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ver" sheetId="1" r:id="rId1"/>
    <sheet name="── Charts ──" sheetId="2" r:id="rId2"/>
    <sheet name="CT Charts" sheetId="3" r:id="rId3"/>
    <sheet name="FDA Charts" sheetId="4" r:id="rId4"/>
    <sheet name="_MTS_ChartData" sheetId="5" state="hidden" r:id="rId5"/>
    <sheet name="MTS Charts" sheetId="6" r:id="rId6"/>
    <sheet name="── Summary ──" sheetId="7" r:id="rId7"/>
    <sheet name="Summary Statistics" sheetId="8" r:id="rId8"/>
    <sheet name="Summary Statistics - Enrollment" sheetId="9" r:id="rId9"/>
    <sheet name="FDA Approval Summary" sheetId="10" r:id="rId10"/>
    <sheet name="MTS Summary Statistics" sheetId="11" r:id="rId11"/>
    <sheet name="── Database ──" sheetId="12" r:id="rId12"/>
    <sheet name="Trial Database" sheetId="13" r:id="rId13"/>
    <sheet name="Novel Approval Database" sheetId="14" r:id="rId14"/>
    <sheet name="Biosimilar Approval Database" sheetId="15" r:id="rId15"/>
    <sheet name="MTS Database" sheetId="16" r:id="rId16"/>
  </sheets>
  <definedNames>
    <definedName name="_xlnm._FilterDatabase" localSheetId="14" hidden="1">'Biosimilar Approval Database'!$A$2:$H$65</definedName>
    <definedName name="_xlnm._FilterDatabase" localSheetId="15" hidden="1">'MTS Database'!$A$1:$I$91</definedName>
    <definedName name="_xlnm._FilterDatabase" localSheetId="13" hidden="1">'Novel Approval Database'!$A$2:$J$417</definedName>
    <definedName name="_xlnm._FilterDatabase" localSheetId="12" hidden="1">'Trial Database'!$A$1:$K$28727</definedName>
  </definedNames>
  <calcPr calcId="124519" fullCalcOnLoad="1"/>
</workbook>
</file>

<file path=xl/sharedStrings.xml><?xml version="1.0" encoding="utf-8"?>
<sst xmlns="http://schemas.openxmlformats.org/spreadsheetml/2006/main" count="262106" uniqueCount="64269">
  <si>
    <t>Charts</t>
  </si>
  <si>
    <t>Summary</t>
  </si>
  <si>
    <t>Database</t>
  </si>
  <si>
    <t>NCT ID</t>
  </si>
  <si>
    <t>Title</t>
  </si>
  <si>
    <t>Sponsor</t>
  </si>
  <si>
    <t>Funder Type</t>
  </si>
  <si>
    <t>Phase</t>
  </si>
  <si>
    <t>Phase (Raw)</t>
  </si>
  <si>
    <t>Status</t>
  </si>
  <si>
    <t>Enrollment</t>
  </si>
  <si>
    <t>Enrollment Type</t>
  </si>
  <si>
    <t>Start Date</t>
  </si>
  <si>
    <t>Study Type</t>
  </si>
  <si>
    <t>NCT04335591</t>
  </si>
  <si>
    <t>Extension to Study on Efficacy and Safety of Linzagolix for the Treatment of Endometriosis-associated Pain (EDELWEISS 6)</t>
  </si>
  <si>
    <t>Kissei Pharmaceutical Co., Ltd.</t>
  </si>
  <si>
    <t>INDUSTRY</t>
  </si>
  <si>
    <t>Phase 3</t>
  </si>
  <si>
    <t>PHASE3</t>
  </si>
  <si>
    <t>COMPLETED</t>
  </si>
  <si>
    <t>ACTUAL</t>
  </si>
  <si>
    <t>INTERVENTIONAL</t>
  </si>
  <si>
    <t>NCT04469920</t>
  </si>
  <si>
    <t>Hepatic Impairment, Cholestatic Liver Disease, &amp; NASH with Advanced Fibrosis &amp; Normal Hepatic Function</t>
  </si>
  <si>
    <t>Zydus Therapeutics Inc.</t>
  </si>
  <si>
    <t>Phase 1</t>
  </si>
  <si>
    <t>PHASE1</t>
  </si>
  <si>
    <t>NCT04285346</t>
  </si>
  <si>
    <t>Adjunctive Ganaxolone Treatment (Part A) in TSC Followed by Long-term Treatment (Part B)</t>
  </si>
  <si>
    <t>Marinus Pharmaceuticals</t>
  </si>
  <si>
    <t>Phase 2</t>
  </si>
  <si>
    <t>PHASE2</t>
  </si>
  <si>
    <t>NCT05642546</t>
  </si>
  <si>
    <t>First-in-Human (FIH) Clinical Study of NM8074 in Healthy Adult Volunteers</t>
  </si>
  <si>
    <t>NovelMed Therapeutics</t>
  </si>
  <si>
    <t>NCT04202705</t>
  </si>
  <si>
    <t>A First-in-human Dose-escalation and Expansion Study With the Antibody-drug Conjugate SYD1875</t>
  </si>
  <si>
    <t>Byondis B.V.</t>
  </si>
  <si>
    <t>NCT06048224</t>
  </si>
  <si>
    <t>Phase III Clinical Trial Comparing the Safety, Efficacy, and Immunogenicity of Recombinant Anti-interleukin-6 Receptor Humanized Monoclonal Antibody Injection in Combination With Methotrexate and Jamelor ® in the Treatment of Moderate to Severe Rheumatoid Arthritis</t>
  </si>
  <si>
    <t>Zhejiang Hisun Pharmaceutical Co. Ltd.</t>
  </si>
  <si>
    <t>NCT04429503</t>
  </si>
  <si>
    <t>Study of a High-Dose Aflibercept in Participants With Diabetic Eye Disease</t>
  </si>
  <si>
    <t>Regeneron Pharmaceuticals</t>
  </si>
  <si>
    <t>Phase 2/3</t>
  </si>
  <si>
    <t>PHASE2|PHASE3</t>
  </si>
  <si>
    <t>NCT04571489</t>
  </si>
  <si>
    <t>A Phase II Study of Gimatecan (ST1481) in Locally Advanced or Metastatic Pancreatic Cancer</t>
  </si>
  <si>
    <t>Lee's Pharmaceutical Limited</t>
  </si>
  <si>
    <t>UNKNOWN</t>
  </si>
  <si>
    <t>ESTIMATED</t>
  </si>
  <si>
    <t>NCT04096950</t>
  </si>
  <si>
    <t>Safety and Pharmacokinetics Study of MT-3921 in Spinal Cord Injury</t>
  </si>
  <si>
    <t>Tanabe Pharma America, Inc.</t>
  </si>
  <si>
    <t>NCT04632862</t>
  </si>
  <si>
    <t>The Efficacy and Safety of DWP16001 Compared to Placebo in the Treatment of Type 2 Diabetes Mellitus.</t>
  </si>
  <si>
    <t>Daewoong Pharmaceutical Co. LTD.</t>
  </si>
  <si>
    <t>NCT04340362</t>
  </si>
  <si>
    <t>Phase 2a Study of VX-147 in Adults With APOL1-mediated Focal Segmental Glomerulosclerosis</t>
  </si>
  <si>
    <t>Vertex Pharmaceuticals Incorporated</t>
  </si>
  <si>
    <t>NCT04674189</t>
  </si>
  <si>
    <t>A Study to Evaluate the Safety and Immunogenicity of Vaccine CVnCoV in Healthy Adults in Germany for COVID-19</t>
  </si>
  <si>
    <t>CureVac</t>
  </si>
  <si>
    <t>NCT04505813</t>
  </si>
  <si>
    <t>Antigen-specific T Cell Therapy for Patients With Relapsed Refractory Multiple Myeloma</t>
  </si>
  <si>
    <t>NexImmune Inc.</t>
  </si>
  <si>
    <t>Phase 1/2</t>
  </si>
  <si>
    <t>PHASE1|PHASE2</t>
  </si>
  <si>
    <t>SUSPENDED</t>
  </si>
  <si>
    <t>NCT04351165</t>
  </si>
  <si>
    <t>BA Study of IMP4297 (20mg vs 10mg) in Healthy Male Subjects</t>
  </si>
  <si>
    <t>Impact Therapeutics, Inc.</t>
  </si>
  <si>
    <t>NCT04349267</t>
  </si>
  <si>
    <t>Study of BMS-986315 Alone and in Combination With Nivolumab or Cetuximab in Participants With Advanced Solid Tumors</t>
  </si>
  <si>
    <t>Bristol-Myers Squibb</t>
  </si>
  <si>
    <t>NCT04627207</t>
  </si>
  <si>
    <t>A Clinical Trial to Evaluate the Safety and Pharmacokinetic Characteristics of CKD-333 or Co-administration of CKD-333 and D085 in Healthy Volunteers</t>
  </si>
  <si>
    <t>Chong Kun Dang Pharmaceutical</t>
  </si>
  <si>
    <t>NCT04268953</t>
  </si>
  <si>
    <t>Study to Compare the Pharmacokinetics of Daily Administration of Tricaprilin on Ketone Body Production</t>
  </si>
  <si>
    <t>Cerecin</t>
  </si>
  <si>
    <t>NCT04520412</t>
  </si>
  <si>
    <t>A Study of Sodium Oligomannate (GV-971) in Participants With Mild to Moderate Alzheimer's Disease</t>
  </si>
  <si>
    <t>Green Valley (Shanghai) Pharmaceuticals Co., Ltd.</t>
  </si>
  <si>
    <t>NCT05052437</t>
  </si>
  <si>
    <t>PK and Drug Interaction Study of Utidelone Plus Capecitabine in Patients With Advanced Breast Cancer</t>
  </si>
  <si>
    <t>Beijing Biostar Pharmaceuticals Co., Ltd.</t>
  </si>
  <si>
    <t>NCT04429919</t>
  </si>
  <si>
    <t>AP-325 in Subjects With Peripheral Post-surgical Neuropathic Pain</t>
  </si>
  <si>
    <t>Algiax Pharmaceuticals GmbH</t>
  </si>
  <si>
    <t>NCT04417465</t>
  </si>
  <si>
    <t>First In Human Study With ABBV-CLS-579 When Given Alone and In Combination In Participants With Locally Advanced Or Metastatic Tumors</t>
  </si>
  <si>
    <t>AbbVie</t>
  </si>
  <si>
    <t>NCT04459767</t>
  </si>
  <si>
    <t>Investigation Of Safety, Tolerability, Pharmacokinetics And Pharmacodynamics Of Single Doses Of Vupanorsen In Japanese Healthy Adult Participants With Elevated Triglycerides</t>
  </si>
  <si>
    <t>Pfizer</t>
  </si>
  <si>
    <t>NCT05801627</t>
  </si>
  <si>
    <t>SAL067 Treatment in Patients With Type 2 Diabetes Who Are Not Controlled by Metformin</t>
  </si>
  <si>
    <t>Shenzhen Salubris Pharmaceuticals Co., Ltd.</t>
  </si>
  <si>
    <t>NCT04543383</t>
  </si>
  <si>
    <t>A Study to Assess the Reversal of the Anticoagulant Effects of Milvexian by 4-Factor Prothrombin Complex Concentrate (4F-PCC) (Part 1) and Recombinant Human Factor VIIa (rFVIIa) (Part 2) in Healthy Participants</t>
  </si>
  <si>
    <t>Janssen Research &amp; Development, LLC</t>
  </si>
  <si>
    <t>NCT04579666</t>
  </si>
  <si>
    <t>MERIDIAN: A Study to Evaluate the Efficacy and Safety of Pegcetacoplan in Adults With Amyotrophic Lateral Sclerosis (ALS)</t>
  </si>
  <si>
    <t>Apellis Pharmaceuticals, Inc.</t>
  </si>
  <si>
    <t>TERMINATED</t>
  </si>
  <si>
    <t>NCT04346654</t>
  </si>
  <si>
    <t>A Study to Assess Efficacy and Safety of Eltrombopag in Combination With a Short Course of Dexamethasone in Patients With Newly Diagnosed ITP</t>
  </si>
  <si>
    <t>Novartis Pharmaceuticals</t>
  </si>
  <si>
    <t>NCT04666675</t>
  </si>
  <si>
    <t>A Study of Oral Upadacitinib Tablets to Assess Change in Disease State in Participants Aged 12-75 Years With Moderate to Severe Atopic Dermatitis in Brazil</t>
  </si>
  <si>
    <t>WITHDRAWN</t>
  </si>
  <si>
    <t>NCT04434937</t>
  </si>
  <si>
    <t>Open-Label Study of Parsaclisib, in Japanese Participants With Relapsed or Refractory Follicular Lymphoma (CITADEL-213)</t>
  </si>
  <si>
    <t>Incyte Biosciences Japan GK</t>
  </si>
  <si>
    <t>NCT04267939</t>
  </si>
  <si>
    <t>ATR Inhibitor Elimusertib (BAY1895344) Plus Niraparib Phase 1b Study in Advanced Solid Tumors and Ovarian Cancer</t>
  </si>
  <si>
    <t>Bayer</t>
  </si>
  <si>
    <t>NCT04460456</t>
  </si>
  <si>
    <t>A Study of SBT6050 Alone and in Combination With PD-1 Inhibitors in Subjects With Advanced HER2 Expressing Solid Tumors</t>
  </si>
  <si>
    <t>Silverback Therapeutics</t>
  </si>
  <si>
    <t>NCT04620031</t>
  </si>
  <si>
    <t>A Study Evaluating Sedation of Intravenous Administration of HSK3486 Injectable Emulsion in ICU Patients Undergoing Mechanical Ventilation</t>
  </si>
  <si>
    <t>Haisco Pharmaceutical Group Co., Ltd.</t>
  </si>
  <si>
    <t>NCT04568902</t>
  </si>
  <si>
    <t>Study of H3B-6545 in Japanese Women With Estrogen Receptor (ER)-Positive, Human Epidermal Growth Factor Receptor 2 (HER2)-Negative Breast Cancer</t>
  </si>
  <si>
    <t>Eisai Co., Ltd.</t>
  </si>
  <si>
    <t>NCT03978637</t>
  </si>
  <si>
    <t>Safety and Efficacy of Itacitinib in Participants With Bronchiolitis Obliterans Syndrome Following Lung Transplantation</t>
  </si>
  <si>
    <t>Incyte Corporation</t>
  </si>
  <si>
    <t>NCT04670757</t>
  </si>
  <si>
    <t>Safety and Pharmacokinetics of JAK/ROCK Inhibitor in Healthy Volunteers</t>
  </si>
  <si>
    <t>Celon Pharma SA</t>
  </si>
  <si>
    <t>NCT06180954</t>
  </si>
  <si>
    <t>A Study of Carbon-14-Labelled [14C] LOXO-305 (Pirtobrutinib) in Healthy Male Participants</t>
  </si>
  <si>
    <t>Eli Lilly and Company</t>
  </si>
  <si>
    <t>NCT04219254</t>
  </si>
  <si>
    <t>A Study of BI-1206 in Combination With Pembrolizumab in Subjects With Advanced Solid Tumors</t>
  </si>
  <si>
    <t>BioInvent International AB</t>
  </si>
  <si>
    <t>RECRUITING</t>
  </si>
  <si>
    <t>NCT04242953</t>
  </si>
  <si>
    <t>Study to Determine Safety, Tolerability and Pharmacokinetics, of SCO-120 in Healthy Male and Post-menopausal Female Subjects</t>
  </si>
  <si>
    <t>Sun Pharma Advanced Research Company Limited</t>
  </si>
  <si>
    <t>NCT04532957</t>
  </si>
  <si>
    <t>A Multiple Ascending Dose Study to Investigate Safety of KBP-7072 in Healthy Subjects</t>
  </si>
  <si>
    <t>KBP Biosciences</t>
  </si>
  <si>
    <t>NCT05088642</t>
  </si>
  <si>
    <t>A Trial of Hetrombopag in Healthy and Hepatic Impairment Subjects</t>
  </si>
  <si>
    <t>Jiangsu HengRui Medicine Co., Ltd.</t>
  </si>
  <si>
    <t>NCT04666441</t>
  </si>
  <si>
    <t>COVID-19 Study Assessing the Virologic Efficacy of REGN10933+REGN10987 Across Different Dose Regimens in Adult Outpatients With SARS-CoV-2 Infection</t>
  </si>
  <si>
    <t>NCT04532294</t>
  </si>
  <si>
    <t>Safety, Tolerability, Pharmacokinetics, and Immunogenicity of Severe Acute Respiratory Syndrome Coronavirus 2 (SARS-CoV-2/COVID-19) Neutralizing Antibody in Healthy Participants</t>
  </si>
  <si>
    <t>BeiGene</t>
  </si>
  <si>
    <t>NCT04129502</t>
  </si>
  <si>
    <t>TAK-788 as First-Line Treatment Versus Platinum-Based Chemotherapy for Non-Small Cell Lung Cancer (NSCLC) With EGFR Exon 20 Insertion Mutations</t>
  </si>
  <si>
    <t>Takeda</t>
  </si>
  <si>
    <t>ACTIVE_NOT_RECRUITING</t>
  </si>
  <si>
    <t>NCT04629131</t>
  </si>
  <si>
    <t>Safety, Tolerability, Pharmacokinetics and Pharmacodynamics of TNM002 in Healthy Adults</t>
  </si>
  <si>
    <t>Zhuhai Trinomab Pharmaceutical Co., Ltd.</t>
  </si>
  <si>
    <t>NCT04850339</t>
  </si>
  <si>
    <t>First in Human Study of ANXV (Recombinant Human Annexin A5) in Healthy Volunteers</t>
  </si>
  <si>
    <t>Annexin Pharmaceuticals AB</t>
  </si>
  <si>
    <t>NCT05561257</t>
  </si>
  <si>
    <t>Vitamin C as add-on Therapy in Patients With Acute Herpes Zoster</t>
  </si>
  <si>
    <t>Pascoe Pharmazeutische Praeparate GmbH</t>
  </si>
  <si>
    <t>NCT04505397</t>
  </si>
  <si>
    <t>Single-Dose Escalation Study Followed by a Multiple-Dose Escalation Study of SKL24741 in Healthy Subjects</t>
  </si>
  <si>
    <t>SK Life Science, Inc.</t>
  </si>
  <si>
    <t>NCT04307186</t>
  </si>
  <si>
    <t>Study to Find the Appropriate Dose of a New Gadolinium-based Contrast Agent (GBCA) for Adults Undergoing Magnetic Resonance Imaging (MRI) for Known or Highly Suspected Brain and/or Spinal Cord Conditions</t>
  </si>
  <si>
    <t>NCT04620161</t>
  </si>
  <si>
    <t>A Proof of Concept Study of Pradigastat in Patients With Functional Constipation</t>
  </si>
  <si>
    <t>Anji Pharma</t>
  </si>
  <si>
    <t>NCT04512066</t>
  </si>
  <si>
    <t>A Trial of the Efficacy and the Safety of RO6889450 (Ralmitaront) vs Placebo in Patients With an Acute Exacerbation of Schizophrenia or Schizoaffective Disorder</t>
  </si>
  <si>
    <t>Hoffmann-La Roche</t>
  </si>
  <si>
    <t>NCT04312282</t>
  </si>
  <si>
    <t>The Effect of Tesetaxel on the QTc Interval and the Effect of Food, Itraconazole, and Rifampin on Tesetaxel Pharmacokinetics in Patients With Advanced Solid Tumors</t>
  </si>
  <si>
    <t>Odonate Therapeutics, Inc.</t>
  </si>
  <si>
    <t>NCT04552327</t>
  </si>
  <si>
    <t>5% KOH Solution vs. Placebo and Diclofenac Gel for the Treatment of Actinic Keratosis</t>
  </si>
  <si>
    <t>Infectopharm Arzneimittel GmbH</t>
  </si>
  <si>
    <t>NCT03986073</t>
  </si>
  <si>
    <t>Study of TQ-F3083 Capsules in Subjects With Type 2 Diabetes Mellitus</t>
  </si>
  <si>
    <t>Chia Tai Tianqing Pharmaceutical Group Co., Ltd.</t>
  </si>
  <si>
    <t>NCT04556773</t>
  </si>
  <si>
    <t>A Phase 1b Study of T-DXd Combinations in HER2-low Advanced or Metastatic Breast Cancer</t>
  </si>
  <si>
    <t>AstraZeneca</t>
  </si>
  <si>
    <t>NCT04543305</t>
  </si>
  <si>
    <t>A Study of PRT1419 in Patients With Relapsed/Refractory Hematologic Malignancies</t>
  </si>
  <si>
    <t>Prelude Therapeutics</t>
  </si>
  <si>
    <t>NCT04476394</t>
  </si>
  <si>
    <t>Open-label Study to Assess the Absorption, Metabolism, Excretion, and Mass Balance of a Single Oral Dose of [14C]-20 mg/100 μCi Anaprazole Sodium Enteric-coated Capsule in Healthy Adult Male Subjects</t>
  </si>
  <si>
    <t>Sihuan Pharmaceutical Holdings Group Ltd.</t>
  </si>
  <si>
    <t>NCT04181788</t>
  </si>
  <si>
    <t>Sasanlimab (PF-06801591, PD-1 Inhibitor) in Participants With Advanced Malignancies</t>
  </si>
  <si>
    <t>NCT04477486</t>
  </si>
  <si>
    <t>Study to Assess Effect of Oral Venetoclax Tablet in Combination With Oral Ibrutinib Capsule on Best Overall Response of Complete Response in Adult Japanese Participants With Relapsed/Refractory Mantle Cell Lymphoma</t>
  </si>
  <si>
    <t>NCT04572841</t>
  </si>
  <si>
    <t>Safety, Tolerability, Pharmacokinetics, and Therapeutic Efficacy of SAR441344 in Primary Sjögren's Syndrome (pSjS)</t>
  </si>
  <si>
    <t>Sanofi</t>
  </si>
  <si>
    <t>NCT03960541</t>
  </si>
  <si>
    <t>Efprezimod Alfa (CD24Fc, MK-7110) Administration to Decrease Low-Density Lipoprotein (LDL) and Inflammation in Human Immunodeficiency Virus (HIV) Patients (CALIBER) (MK-7110-003)</t>
  </si>
  <si>
    <t>Oncoimmune, Inc., a subsidiary of Merck &amp; Co., Inc. (Rahway, New Jersey USA)</t>
  </si>
  <si>
    <t>NCT04649541</t>
  </si>
  <si>
    <t>Study of the Safety, Tolerability, and PK of MRX-8 Administered Intravenously to HVs in SAD and MAD Cohorts</t>
  </si>
  <si>
    <t>MicuRx</t>
  </si>
  <si>
    <t>NCT03794154</t>
  </si>
  <si>
    <t>A Study Of Duloxetine Hydrochloride Hard Gelatinous Capsule Compared To Cymbalta Under Fed Conditions</t>
  </si>
  <si>
    <t>Phase 4</t>
  </si>
  <si>
    <t>PHASE4</t>
  </si>
  <si>
    <t>NCT04432766</t>
  </si>
  <si>
    <t>A Phase 1/2 Study to Assess Safety and Efficacy of BAT2020 in Hospitalized COVID-19 Patients</t>
  </si>
  <si>
    <t>Bio-Thera Solutions</t>
  </si>
  <si>
    <t>NCT04409145</t>
  </si>
  <si>
    <t>First in Human Trial of Topical VT30 in Pts With Venous/Lymphatic Malformations Assoc With PIK3CA or TEK Gene Mutations</t>
  </si>
  <si>
    <t>Venthera, Inc., a BridgeBio company</t>
  </si>
  <si>
    <t>NCT04622319</t>
  </si>
  <si>
    <t>A Study of Trastuzumab Deruxtecan (T-DXd) Versus Trastuzumab Emtansine (T-DM1) in High-risk HER2-positive Participants With Residual Invasive Breast Cancer Following Neoadjuvant Therapy (DESTINY-Breast05)</t>
  </si>
  <si>
    <t>Daiichi Sankyo</t>
  </si>
  <si>
    <t>NCT04558567</t>
  </si>
  <si>
    <t>Vogelxo(R) ABPM Study in Hypogandal Men</t>
  </si>
  <si>
    <t>Upsher-Smith Laboratories</t>
  </si>
  <si>
    <t>NCT04551911</t>
  </si>
  <si>
    <t>Safety and Efficacy of Rayaldee for Treating Mild to Moderate COVID-19</t>
  </si>
  <si>
    <t>OPKO Health, Inc.</t>
  </si>
  <si>
    <t>NCT04232839</t>
  </si>
  <si>
    <t>A Study in Healthy Men to Find the Best Formulation of BI 894416 and to Test How This is Taken up in the Body</t>
  </si>
  <si>
    <t>Boehringer Ingelheim</t>
  </si>
  <si>
    <t>NCT04619628</t>
  </si>
  <si>
    <t>Safety and Immunogenicity of COVI-VAC, a Live Attenuated Vaccine Against COVID-19</t>
  </si>
  <si>
    <t>Codagenix, Inc</t>
  </si>
  <si>
    <t>NCT04648865</t>
  </si>
  <si>
    <t>A Study of LY3537031 in Healthy Participants</t>
  </si>
  <si>
    <t>NCT04630067</t>
  </si>
  <si>
    <t>Assessment of Safety, Tolerability, Immunogenicity, and Pharmacokinetics of AZD3427</t>
  </si>
  <si>
    <t>NCT04305444</t>
  </si>
  <si>
    <t>Study of a Triple Combination Therapy, DTRM-555, in Patients With R/R CLL or R/R Non-Hodgkin's Lymphomas</t>
  </si>
  <si>
    <t>Zhejiang DTRM Biopharma</t>
  </si>
  <si>
    <t>NCT04584112</t>
  </si>
  <si>
    <t>A Study of the Safety, Efficacy, and Pharmacokinetics of Tiragolumab in Combination With Atezolizumab and Chemotherapy in Participants With Triple-Negative Breast Cancer</t>
  </si>
  <si>
    <t>NCT04379167</t>
  </si>
  <si>
    <t>A Phase 2 Clinical Study of YY-20394 in Patients With Relapsed/Refractory Follicular Lymphoma</t>
  </si>
  <si>
    <t>Shanghai YingLi Pharmaceutical Co. Ltd.</t>
  </si>
  <si>
    <t>NCT04484857</t>
  </si>
  <si>
    <t>Study of Roxadustat Conversion in Participants Receiving Stable ESA or as Initial Anemia Treatment in Hemodialysis Participants</t>
  </si>
  <si>
    <t>Kyntra Bio</t>
  </si>
  <si>
    <t>NCT04444141</t>
  </si>
  <si>
    <t>A Study of PD-1/CTLA-4 Bispecific AK104 in Relapsed or Refractory Peripheral T-cell Lymphoma</t>
  </si>
  <si>
    <t>Akeso</t>
  </si>
  <si>
    <t>NCT04044781</t>
  </si>
  <si>
    <t>A Phase 1, Open-Label, PET Study of T2310 &amp; BPN14770</t>
  </si>
  <si>
    <t>Tetra Discovery Partners</t>
  </si>
  <si>
    <t>NCT04173494</t>
  </si>
  <si>
    <t>A Study of Momelotinib Versus Danazol in Symptomatic and Anemic Myelofibrosis Participants (MOMENTUM)</t>
  </si>
  <si>
    <t>Sierra Oncology LLC - a GSK company</t>
  </si>
  <si>
    <t>NCT04441931</t>
  </si>
  <si>
    <t>A Study of LY3832479 (LY-CoV016) in Healthy Participants</t>
  </si>
  <si>
    <t>NCT04402957</t>
  </si>
  <si>
    <t>LSALT Peptide vs. Placebo to Prevent ARDS and Acute Kidney Injury in Patients Infected With SARS-CoV-2 (COVID-19)</t>
  </si>
  <si>
    <t>Arch Biopartners Inc.</t>
  </si>
  <si>
    <t>NCT04229927</t>
  </si>
  <si>
    <t>BPDO-1603 Intervention Trial in Patients With Moderate-to-severe Alzheimer's Disease</t>
  </si>
  <si>
    <t>Hyundai Pharmaceutical Co., LTD.</t>
  </si>
  <si>
    <t>NCT04173273</t>
  </si>
  <si>
    <t>A Study Evaluating the Efficacy and Safety of Oral Etrasimod in the Treatment of Adult Participants With Moderately to Severely Active Crohn's Disease</t>
  </si>
  <si>
    <t>NCT04442022</t>
  </si>
  <si>
    <t>A Study of Rituximab-Gemcitabine-Dexamethasone-Platinum (R-GDP) With or Without Selinexor in Patients With Relapsed/Refractory Diffuse Large B-cell Lymphoma</t>
  </si>
  <si>
    <t>Karyopharm Therapeutics Inc</t>
  </si>
  <si>
    <t>NCT04622111</t>
  </si>
  <si>
    <t>Safety and Pharmacokinetics Study of CPL207280 Compound in Healthy Volunteers.</t>
  </si>
  <si>
    <t>NCT04870164</t>
  </si>
  <si>
    <t>Safety, Tolerability and PK of Ensovibep (MP0420 - a New Candidate With Potential for Treatment of COVID-19)</t>
  </si>
  <si>
    <t>Molecular Partners AG</t>
  </si>
  <si>
    <t>NCT04349631</t>
  </si>
  <si>
    <t>A Clinical Trial to Determine the Safety and Efficacy of HB-adMSCs to Provide Protection Against COVID-19</t>
  </si>
  <si>
    <t>Hope Biosciences Research Foundation</t>
  </si>
  <si>
    <t>NCT04108195</t>
  </si>
  <si>
    <t>A Study of Subcutaneous Daratumumab Regimens in Combination With Bispecific T Cell Redirection Antibodies for the Treatment of Participants With Multiple Myeloma</t>
  </si>
  <si>
    <t>NCT04672434</t>
  </si>
  <si>
    <t>Sym024 Monotherapy and in Combination With Sym021 in Patients With Advanced Solid Tumor Malignancies</t>
  </si>
  <si>
    <t>Symphogen A/S</t>
  </si>
  <si>
    <t>NCT04652245</t>
  </si>
  <si>
    <t>Dymista Allergen Chamber - Onset of Action Study</t>
  </si>
  <si>
    <t>MEDA Pharma GmbH &amp; Co. KG</t>
  </si>
  <si>
    <t>NCT04311411</t>
  </si>
  <si>
    <t>A Study of Tirzepatide in Overweight and Very Overweight Participants</t>
  </si>
  <si>
    <t>NCT05340634</t>
  </si>
  <si>
    <t>Evaluation of Metionac for the Modulation of Metabolic and Endocrine Parameters in Patients With PCOS.</t>
  </si>
  <si>
    <t>Margan Biotech</t>
  </si>
  <si>
    <t>NCT04597632</t>
  </si>
  <si>
    <t>An Extension Study Assessing the Efficacy and Safety of Brolucizumab in a Treat-to-Control Regimen in Patients With Neovascular Age-related Macular Degeneration Who Have Completed the CRTH258A2303 (TALON) Study</t>
  </si>
  <si>
    <t>NCT04521114</t>
  </si>
  <si>
    <t>Leronlimab (PRO 140) in Patients With Nonalcoholic Steatohepatitis</t>
  </si>
  <si>
    <t>CytoDyn, Inc.</t>
  </si>
  <si>
    <t>NCT04519658</t>
  </si>
  <si>
    <t>A Study of CIN-107 in Adults With Treatment-Resistant Hypertension (rHTN)</t>
  </si>
  <si>
    <t>CinCor Pharma, Inc.</t>
  </si>
  <si>
    <t>NCT04675021</t>
  </si>
  <si>
    <t>Absolute Bioavailability and ADME Study of Savolitinib in Healthy Male Subjects</t>
  </si>
  <si>
    <t>NCT04412252</t>
  </si>
  <si>
    <t>Safety and Efficacy of Tofacitinib in Hospitalized Participants With COVID-19 Pneumonia Who Are Receiving Standard of Care Therapy</t>
  </si>
  <si>
    <t>NCT04891965</t>
  </si>
  <si>
    <t>A Study of ART24 in Subjects Recently Cured of a Clostridioides Difficile Infection (CDI)</t>
  </si>
  <si>
    <t>Adiso Therapeutics</t>
  </si>
  <si>
    <t>NCT04582435</t>
  </si>
  <si>
    <t>A Trial Investigating the Pharmacokinetic and Pharmacodynamic Properties of Insulin Icodec in Subjects With Type 2 Diabetes</t>
  </si>
  <si>
    <t>Novo Nordisk A/S</t>
  </si>
  <si>
    <t>NCT04365868</t>
  </si>
  <si>
    <t>Study Evaluating the Efficacy and Safety of Belapectin for the Prevention of Esophageal Varices in NASH Cirrhosis</t>
  </si>
  <si>
    <t>Galectin Therapeutics Inc.</t>
  </si>
  <si>
    <t>NCT04458259</t>
  </si>
  <si>
    <t>Study of PF-07265807 in Participants With Metastatic Solid Tumors.</t>
  </si>
  <si>
    <t>NCT05578859</t>
  </si>
  <si>
    <t>A Study of the Absorption, Metabolism, and Excretion of [14C]-AMG 510 Following a Single Oral Dose in Healthy Male Subjects</t>
  </si>
  <si>
    <t>Amgen</t>
  </si>
  <si>
    <t>NCT04406896</t>
  </si>
  <si>
    <t>The Effect of Reduced Liver Function on Selatogrel Pharmacokinetics</t>
  </si>
  <si>
    <t>Viatris Innovation GmbH</t>
  </si>
  <si>
    <t>NCT04552197</t>
  </si>
  <si>
    <t>A Study of JNJ-64251330 in Healthy Participants</t>
  </si>
  <si>
    <t>NCT06022224</t>
  </si>
  <si>
    <t>A 2nd Generation E1/E2B/E3-Deleted Adenoviral COVID-19 Vaccine: The TCELL VACCINE TRIAL</t>
  </si>
  <si>
    <t>ImmunityBio, Inc.</t>
  </si>
  <si>
    <t>NCT04087460</t>
  </si>
  <si>
    <t>Phase Ⅰa Clinical Trial of a Pneumococcal Vaccine</t>
  </si>
  <si>
    <t>CanSino Biologics Inc.</t>
  </si>
  <si>
    <t>Early Phase 1</t>
  </si>
  <si>
    <t>EARLY_PHASE1</t>
  </si>
  <si>
    <t>NCT04589260</t>
  </si>
  <si>
    <t>TD-1058 First-In-Human Study in Healthy Subjects and Subjects With Idiopathic Pulmonary Fibrosis</t>
  </si>
  <si>
    <t>Theravance Biopharma</t>
  </si>
  <si>
    <t>NCT04281108</t>
  </si>
  <si>
    <t>Efficacy and Safety APT-1011 in Adult Subjects With Eosinophilic Esophagitis (EoE) (FLUTE-2)</t>
  </si>
  <si>
    <t>Ellodi Pharmaceuticals, LP</t>
  </si>
  <si>
    <t>NCT03812874</t>
  </si>
  <si>
    <t>A Study of PTX-9908 Injection for Non-resectable HCC with TACE</t>
  </si>
  <si>
    <t>TCM Biotech International Corp.</t>
  </si>
  <si>
    <t>NCT04321460</t>
  </si>
  <si>
    <t>Study of LRG-002 Hard Capsules (Lek d.d., Slovenia) Used in the Prophylaxis of Antibiotic-associated Diarrhea in Adults.</t>
  </si>
  <si>
    <t>Sandoz</t>
  </si>
  <si>
    <t>NCT04740424</t>
  </si>
  <si>
    <t>FS222 First in Human Study in Patients With Advanced Malignancies</t>
  </si>
  <si>
    <t>invoX Pharma Limited</t>
  </si>
  <si>
    <t>NCT04619797</t>
  </si>
  <si>
    <t>A Study of Tiragolumab in Combination With Atezolizumab Plus Pemetrexed and Carboplatin/Cisplatin Versus Pembrolizumab Plus Pemetrexed and Carboplatin/Cisplatin in Participants With Previously Untreated Advanced Non-Squamous Non-Small Cell Lung Cancer</t>
  </si>
  <si>
    <t>NCT04580498</t>
  </si>
  <si>
    <t>A Trial of SHR-1701 With or Without Chemotherapy in Patients With Stage III NSCLC</t>
  </si>
  <si>
    <t>NCT04637919</t>
  </si>
  <si>
    <t>Safety and Immunogenicity of High-dose IN-B001 in Healthy Subjects</t>
  </si>
  <si>
    <t>HK inno.N Corporation</t>
  </si>
  <si>
    <t>NCT04243434</t>
  </si>
  <si>
    <t>PK Study on Ready-to-Use Injection (VSLI-RTU) 1 Vial &amp; 3 Vial Formulation Marqibo® in Hematological Malignant Patients</t>
  </si>
  <si>
    <t>Acrotech Biopharma Inc.</t>
  </si>
  <si>
    <t>NCT04581512</t>
  </si>
  <si>
    <t>Study to Evaluate the Safety and Tolerability of EP0042</t>
  </si>
  <si>
    <t>Ellipses Pharma</t>
  </si>
  <si>
    <t>NCT04700267</t>
  </si>
  <si>
    <t>A Study Evaluating the Effects of GLPG3970 Given as Oral Treatment for 12 Weeks in Adults With Systemic Lupus Erythematosus</t>
  </si>
  <si>
    <t>Lakefront Biotherapeutics NV</t>
  </si>
  <si>
    <t>NCT04271007</t>
  </si>
  <si>
    <t>Comparative Study:Topison (Mometasone Furoate) Versus Two Others Mometasone Furoates</t>
  </si>
  <si>
    <t>Libbs Farmacêutica LTDA</t>
  </si>
  <si>
    <t>NCT04972539</t>
  </si>
  <si>
    <t>Evaluation of Pharmacokinetics and Safety of AJU-A51 in Healthy Adults</t>
  </si>
  <si>
    <t>AJU Pharm Co., Ltd.</t>
  </si>
  <si>
    <t>NCT04039477</t>
  </si>
  <si>
    <t>A Phase 2 Study to Evaluate the Safety and Efficacy of KZR-616 in Patients With AIHA and ITP</t>
  </si>
  <si>
    <t>Kezar Life Sciences, Inc.</t>
  </si>
  <si>
    <t>NCT04330664</t>
  </si>
  <si>
    <t>Adagrasib in Combination With TNO155 in Patients With Cancer (KRYSTAL 2)</t>
  </si>
  <si>
    <t>Mirati Therapeutics Inc.</t>
  </si>
  <si>
    <t>NCT04304534</t>
  </si>
  <si>
    <t>Study to Gather Information About the Proper Dosing and Safety of the Oral FXIa Inhibitor BAY 2433334 in Patients Following an Acute Heart Attack</t>
  </si>
  <si>
    <t>NCT04150575</t>
  </si>
  <si>
    <t>A Clinical Study to Evaluate Efficacy and Safety of HLX10 Combined With Albumin-Bound Paclitaxel in Patients With Advanced Cervical Cancer Who Have Progressive Disease or Intolerable Toxicity After First-Line Standard Chemotherapy</t>
  </si>
  <si>
    <t>Shanghai Henlius Biotech</t>
  </si>
  <si>
    <t>NCT04442230</t>
  </si>
  <si>
    <t>NasoVAX in Patients With Early Coronavirus Infectious Disease 2019 (COVID-19)</t>
  </si>
  <si>
    <t>Altimmune, Inc.</t>
  </si>
  <si>
    <t>NCT04606771</t>
  </si>
  <si>
    <t>A Study Comparing Savolitinib Plus Osimertinib vs Savolitinib Plus Placebo in Patients With EGFRm+ and MET Amplified Advanced NSCLC</t>
  </si>
  <si>
    <t>NCT04288895</t>
  </si>
  <si>
    <t>Open-label, Flexible-dose Study of Vortioxetine in Patients With Depression in India</t>
  </si>
  <si>
    <t>H. Lundbeck A/S</t>
  </si>
  <si>
    <t>NCT04594928</t>
  </si>
  <si>
    <t>A Study Evaluating the Effects of GLPG3667 Given as an Oral Treatment for 4 Weeks in Adults With Moderate to Severe Plaque Psoriasis</t>
  </si>
  <si>
    <t>NCT04341428</t>
  </si>
  <si>
    <t>Study to Evaluate the Efficacy and Safety of DWP14012 on Maintaining Healing in Subjects With Healed Erosive Esophagitis</t>
  </si>
  <si>
    <t>NCT04410965</t>
  </si>
  <si>
    <t>Evaluation of the Relationship Between ABCG2 Mutation and Teriflunomide Exposure and Safety in Chinese RMS Patients Treated With Teriflunomide 14 mg Once Daily for 24 Weeks</t>
  </si>
  <si>
    <t>NCT04601207</t>
  </si>
  <si>
    <t>A Study Investigating the Bioavailability of CBD and THC in an Emulsion Product in a Healthy Population</t>
  </si>
  <si>
    <t>New Age Ventures LLC</t>
  </si>
  <si>
    <t>NCT04241965</t>
  </si>
  <si>
    <t>A Single-blind, Placebo-controlled, Outpatient Trial to Assess the Effects of Single Oral Tablet Dose of OPC-214870</t>
  </si>
  <si>
    <t>Otsuka Pharmaceutical Development &amp; Commercialization, Inc.</t>
  </si>
  <si>
    <t>NCT04265911</t>
  </si>
  <si>
    <t>Single Ascending Dose of ASP3772 Study in Japanese Healthy Male and Female Adults, and Single Ascending Dose Study of ASP3772 in Comparison With PPSV23 in Japanese Elderly Male and Female Subjects</t>
  </si>
  <si>
    <t>Affinivax, Inc.</t>
  </si>
  <si>
    <t>NCT04350736</t>
  </si>
  <si>
    <t>First in Human SAD and MAD Study of Inhaled TD-0903, a Potential Treatment for ALI Associated With COVID-19</t>
  </si>
  <si>
    <t>NCT06040372</t>
  </si>
  <si>
    <t>A First in Human Study to Assess the Safety, Tolerability of LB54640 in in Healthy Overweight and Obese Subjects</t>
  </si>
  <si>
    <t>LG Chem</t>
  </si>
  <si>
    <t>NCT04187339</t>
  </si>
  <si>
    <t>Study of NGM395 in Adult Participants</t>
  </si>
  <si>
    <t>NGM Biopharmaceuticals, Inc</t>
  </si>
  <si>
    <t>NCT04807881</t>
  </si>
  <si>
    <t>Phase Ib Clinical Study of Keynatinib</t>
  </si>
  <si>
    <t>Medolution Ltd.</t>
  </si>
  <si>
    <t>NCT04500067</t>
  </si>
  <si>
    <t>Intravenous Immunoglobulin (IVIG, Bioven) Efficacy Assess for COVID-19 / SARS-CoV-2 Severe Pneumonia Complex Treatment</t>
  </si>
  <si>
    <t>Biopharma Plasma LLC</t>
  </si>
  <si>
    <t>NCT04258839</t>
  </si>
  <si>
    <t>Brexpiprazole in Treatment of Children and Adolescents With Irritability Associated With Autism Spectrum Disorder for Subjects That Have Completed Participation in 331-201-00148</t>
  </si>
  <si>
    <t>NCT04794101</t>
  </si>
  <si>
    <t>Follow-up Gene Therapy Trial for the Treatment of X-linked Retinitis Pigmentosa Associated With Variants in the RPGR Gene</t>
  </si>
  <si>
    <t>NCT04461925</t>
  </si>
  <si>
    <t>Treatment of Coronavirus COVID-19 Pneumonia (Pathogen SARS-CoV-2) With Cryopreserved Allogeneic P_MMSCs and UC-MMSCs</t>
  </si>
  <si>
    <t>Institute of Cell Therapy</t>
  </si>
  <si>
    <t>NCT04275518</t>
  </si>
  <si>
    <t>A Phase Ib Study of APG-115 Single Agent or in Combination With Azacitidine or Cytarabine in Patients With AML and MDS.</t>
  </si>
  <si>
    <t>Ascentage Pharma Group Inc.</t>
  </si>
  <si>
    <t>NCT04684420</t>
  </si>
  <si>
    <t>GXR RM (Glucophage® Extended Release Reduced Mass) 500 Milligram (mg) Korea Bioequivalence (BE) Study</t>
  </si>
  <si>
    <t>Merck Healthcare KGaA, Darmstadt, Germany, an affiliate of Merck KGaA, Darmstadt, Germany</t>
  </si>
  <si>
    <t>NCT04466176</t>
  </si>
  <si>
    <t>A Pivotal Bioequivalence Study Between Fluticasone Propionate 250 mcg and Salmeterol Xinafoate 50 mcg Inhalation Powder/Respirent Pharmaceuticals vs. ADVAIR DISKUS® 250/50 Inhalation Powder/GSK in Healthy Volunteers</t>
  </si>
  <si>
    <t>Respirent Pharmaceuticals Co Ltd.</t>
  </si>
  <si>
    <t>NCT04427917</t>
  </si>
  <si>
    <t>Study of Multiple Oral Doses of PF-06835919 in Healthy Adult Japanese Participants</t>
  </si>
  <si>
    <t>NCT04621318</t>
  </si>
  <si>
    <t>Pharmacokinetics, Pharmacodynamics, Safety, Tolerability, and Immunogenicity Study of SB16 in Healthy Male Subjects</t>
  </si>
  <si>
    <t>Samsung Bioepis Co., Ltd.</t>
  </si>
  <si>
    <t>NCT04435990</t>
  </si>
  <si>
    <t>Efficacy and Safety Evaluation for the Treatment of Allergy Against Mites</t>
  </si>
  <si>
    <t>Inmunotek S.L.</t>
  </si>
  <si>
    <t>NCT05386810</t>
  </si>
  <si>
    <t>Safety of Sabin Inactivated Poliovirus Vaccine in Adults, Children and Infants and Lot Consistency Immunogenicity, and Safety of the msIPV in 2 Months Old Infants</t>
  </si>
  <si>
    <t>Sinovac Biotech Co., Ltd</t>
  </si>
  <si>
    <t>NCT04270760</t>
  </si>
  <si>
    <t>Olpasiran Trials of Cardiovascular Events And LipoproteiN(a) Reduction - DOSE Finding Study</t>
  </si>
  <si>
    <t>NCT06507891</t>
  </si>
  <si>
    <t>A Clinical Study to Evaluate the Tolerance, Pharmacokinetics and Efficacy of TQ-A3334 Tablets</t>
  </si>
  <si>
    <t>NCT04557735</t>
  </si>
  <si>
    <t>Study of Ravulizumab in Pediatric Participants With HSCT-TMA</t>
  </si>
  <si>
    <t>Alexion Pharmaceuticals, Inc.</t>
  </si>
  <si>
    <t>NCT04236440</t>
  </si>
  <si>
    <t>Study on the Safety of Drug BAY2586116 and How it Works in Patients With Obstructive Sleep Apnea (a Sleep Disorder Caused by the Narrowing and Collapse of the Airway During Sleep) Including the Blood Level of the Drug and Effect of Its Doses and Routes of Administration</t>
  </si>
  <si>
    <t>NCT04365400</t>
  </si>
  <si>
    <t>Assess Efficacy and Safety of Epeleuton in Patients With Hypertriglyceridemia and Type 2 Diabetes</t>
  </si>
  <si>
    <t>Afimmune</t>
  </si>
  <si>
    <t>NCT04258865</t>
  </si>
  <si>
    <t>A Clinical Trial to Compare the Pharmacokinetics and Tolerability of CKD-348</t>
  </si>
  <si>
    <t>NCT04575116</t>
  </si>
  <si>
    <t>A Study to Determine the Bioequivalence of Two Doses of Tafamidis</t>
  </si>
  <si>
    <t>NCT04695652</t>
  </si>
  <si>
    <t>A Study to Evaluate MVC-COV1901 Vaccine Against COVID-19 in Adult</t>
  </si>
  <si>
    <t>Medigen Vaccine Biologics Corp.</t>
  </si>
  <si>
    <t>NCT04169321</t>
  </si>
  <si>
    <t>Granzyme B PET Imaging Drug as a Predictor of Immunotherapy Response to Checkpoint Inhibitors</t>
  </si>
  <si>
    <t>Cytosite Biopharma Inc.</t>
  </si>
  <si>
    <t>NCT04158648</t>
  </si>
  <si>
    <t>A Study to Evaluate the Safety, Efficacy, Pharmacokinetics and Pharmacodynamics of Emicizumab in Participants With Mild or Moderate Hemophilia A Without FVIII Inhibitors</t>
  </si>
  <si>
    <t>NCT04186871</t>
  </si>
  <si>
    <t>Study to Assess Safety and Effectiveness of Branebrutinib Treatment in Participants With Active Systemic Lupus Erythematosus or Primary Sjögren's Syndrome, or Branebrutinib Treatment Followed by Open-label Abatacept Treatment in Study Participants With Active Rheumatoid Arthritis</t>
  </si>
  <si>
    <t>NCT04057898</t>
  </si>
  <si>
    <t>Evaluation of MN-166 (Ibudilast) for 12 Months Followed by an Open-label Extension for 6 Months in Patients With ALS</t>
  </si>
  <si>
    <t>MediciNova</t>
  </si>
  <si>
    <t>NCT04500587</t>
  </si>
  <si>
    <t>Phase 1 First in Human Study of ZN-d5 as a Single Agent</t>
  </si>
  <si>
    <t>K-Group Alpha, Inc., a wholly owned subsidiary of Zentalis Pharmaceuticals, Inc.</t>
  </si>
  <si>
    <t>NCT04300621</t>
  </si>
  <si>
    <t>A Study of Different Oral Thin Film (S)-Ketamine Formulations for Sublingual Administration in Healthy Participants</t>
  </si>
  <si>
    <t>NCT05245604</t>
  </si>
  <si>
    <t>Evaluating the Efficacy and Safety of TJO-087 in Moderate to Severe Dry Eye Disease Patients</t>
  </si>
  <si>
    <t>Taejoon Pharmaceutical Co., Ltd.</t>
  </si>
  <si>
    <t>NCT04595409</t>
  </si>
  <si>
    <t>A Double-blind Study to Compare the Efficacy, Safety, and Immunogenicity of the Proposed Biosimilar Ustekinumab FYB202 to Stelara® in Patients With Moderate-to-Severe Plaque Psoriasis</t>
  </si>
  <si>
    <t>Bioeq GmbH</t>
  </si>
  <si>
    <t>NCT06281704</t>
  </si>
  <si>
    <t>A Study of AK101 in Subjects With Moderately to Severely Active Ulcerative Colitis</t>
  </si>
  <si>
    <t>NCT04491604</t>
  </si>
  <si>
    <t>Ph 3 Efficacy and Safety of B-VEC for the Treatment of DEB</t>
  </si>
  <si>
    <t>Krystal Biotech, Inc.</t>
  </si>
  <si>
    <t>NCT04276558</t>
  </si>
  <si>
    <t>REC 0/0559 Eye Drops for Treatment of Moderate and Severe Neurotrophic Keratitis in Adult Patients</t>
  </si>
  <si>
    <t>RECORDATI GROUP</t>
  </si>
  <si>
    <t>NCT04291248</t>
  </si>
  <si>
    <t>A Study of Anlotinib Combined With AK105 Injection in Subjects With Microsatellite Instability-High (MSI-H) or Mismatch Repair Deficient (dMMR) Advanced Solid Tumor</t>
  </si>
  <si>
    <t>NCT04360187</t>
  </si>
  <si>
    <t>Crisaborole for Chinese and Japanese Subjects (≥2 Years of Age) With Mild to Moderate Atopic Dermatitis</t>
  </si>
  <si>
    <t>NCT04091087</t>
  </si>
  <si>
    <t>Study Evaluating Efficacy and Safety of Crisaborole in Adults With Stasis Dermatitis</t>
  </si>
  <si>
    <t>NCT04315116</t>
  </si>
  <si>
    <t>A Drug-drug Interaction Trial of Loperamide Pharmacokinetics Effect on Pyrotinib Maleate</t>
  </si>
  <si>
    <t>NCT04627116</t>
  </si>
  <si>
    <t>An Ascending, Multiple-Dose, Safety and Tolerability Study of Tecarfarin in Healthy Chinese Volunteers</t>
  </si>
  <si>
    <t>NCT06636435</t>
  </si>
  <si>
    <t>A Phase I, First in Human Study of CBA-1205, Anti-DLK1 Monoclonal Antibody in Patients With Advanced Solid Tumors, Hepatocellular Carcinoma (HCC), Melanoma, and Pediatric Cancer</t>
  </si>
  <si>
    <t>Chiome Bioscience Inc.</t>
  </si>
  <si>
    <t>NCT04416035</t>
  </si>
  <si>
    <t>A Study to Compare the Similarity in Efficacy and Safety Between TRS003 and China-approved Bevacizumab® in NSCLC</t>
  </si>
  <si>
    <t>Zhejiang Teruisi Pharmaceutical Inc.</t>
  </si>
  <si>
    <t>NCT05905614</t>
  </si>
  <si>
    <t>Phase I Clinical Study of SPH4336 Tablets in the Treatment of Advanced Solid Tumors</t>
  </si>
  <si>
    <t>Shanghai Pharmaceuticals Holding Co., Ltd</t>
  </si>
  <si>
    <t>NCT04390984</t>
  </si>
  <si>
    <t>Drug-drug Interaction Study of Gefitinb on Apatinib in NSCLC Patients</t>
  </si>
  <si>
    <t>NCT04237649</t>
  </si>
  <si>
    <t>KAZ954 Alone and With PDR001, NZV930 and NIR178 in Advanced Solid Tumors</t>
  </si>
  <si>
    <t>NCT04622358</t>
  </si>
  <si>
    <t>A Study to Compare PK, PD and Safety of the AD-214-02 and Rabeprazole</t>
  </si>
  <si>
    <t>Addpharma Inc.</t>
  </si>
  <si>
    <t>NCT04350606</t>
  </si>
  <si>
    <t>A Study to Assess Efficacy and Safety of PF-06462700 in Japanese Participants With Aplastic Anemia</t>
  </si>
  <si>
    <t>NCT04370704</t>
  </si>
  <si>
    <t>Study of Combination Therapy With INCMGA00012 (Anti-PD-1), INCAGN02385 (Anti-LAG-3), and INCAGN02390 (Anti-TIM-3) in Participants With Select Advanced Malignancies</t>
  </si>
  <si>
    <t>NCT04559126</t>
  </si>
  <si>
    <t>A Study of EDP-297 in Healthy Subjects</t>
  </si>
  <si>
    <t>Enanta Pharmaceuticals, Inc</t>
  </si>
  <si>
    <t>NCT04176380</t>
  </si>
  <si>
    <t>RAPA-201 T Cell Therapy for Relapsed, Refractory Multiple Myeloma</t>
  </si>
  <si>
    <t>Rapa Therapeutics LLC</t>
  </si>
  <si>
    <t>NCT04354246</t>
  </si>
  <si>
    <t>COM902 (A TIGIT Inhibitor) in Subjects With Advanced Malignancies</t>
  </si>
  <si>
    <t>Compugen Ltd</t>
  </si>
  <si>
    <t>NCT04255589</t>
  </si>
  <si>
    <t>A Clinical Trial to Evaluate the Efficacy and Safety of CKD-495</t>
  </si>
  <si>
    <t>NCT04215991</t>
  </si>
  <si>
    <t>A Study to Assess the Safety, Tolerability, and Pharmacokinetics of Cefiderocol in Hospitalized Pediatric Participants</t>
  </si>
  <si>
    <t>Shionogi</t>
  </si>
  <si>
    <t>NCT04182880</t>
  </si>
  <si>
    <t>Evaluate the Safety and Pharmacokinetic Profile of CPL-01 in the Management of Acute Postoperative Pain</t>
  </si>
  <si>
    <t>Cali Pharmaceuticals LLC</t>
  </si>
  <si>
    <t>NCT04300296</t>
  </si>
  <si>
    <t>PoC Study to Evaluate the Efficacy and Safety of Secukinumab 300 mg in Patients With Lichen Planus</t>
  </si>
  <si>
    <t>NCT04248868</t>
  </si>
  <si>
    <t>tPA by Endovascular Administration for the Treatment of Submassive PE Using CDT for the Reduction of Thrombus Burden</t>
  </si>
  <si>
    <t>Thrombolex, Inc.</t>
  </si>
  <si>
    <t>NCT04218162</t>
  </si>
  <si>
    <t>Lasmiditan Compared to Placebo in the Acute Treatment of Migraine in Korean</t>
  </si>
  <si>
    <t>IlDong Pharmaceutical Co Ltd</t>
  </si>
  <si>
    <t>NCT04255862</t>
  </si>
  <si>
    <t>A Study to Evaluate the Bioequivalence of Bimekizumab Given as 1x2mL or 2x1mL Subcutaneous Injection in Healthy Study Participants</t>
  </si>
  <si>
    <t>UCB Biopharma SRL</t>
  </si>
  <si>
    <t>NCT04550260</t>
  </si>
  <si>
    <t>Study of Durvalumab Versus Placebo in Combination With Definitive Chemoradiation Therapy in Patient With ESCC</t>
  </si>
  <si>
    <t>NCT04288089</t>
  </si>
  <si>
    <t>A Study of H3B-6545 in Combination With Palbociclib in Women With Advanced or Metastatic Estrogen Receptor-Positive Human Epidermal Growth Factor Receptor-2 (HER2)-Negative Breast Cancer</t>
  </si>
  <si>
    <t>Eisai Inc.</t>
  </si>
  <si>
    <t>NCT04355520</t>
  </si>
  <si>
    <t>A Study of TQ-B3525 Tablets Combined With Fulvestrant Injection in Subjects With HR-positive, HER2-negative and PIK3CA Mutation Advanced Breast Cancer</t>
  </si>
  <si>
    <t>NCT04255420</t>
  </si>
  <si>
    <t>SPG Blocks for Headaches</t>
  </si>
  <si>
    <t>Kendall Healthcare Group, Ltd.</t>
  </si>
  <si>
    <t>NCT04008355</t>
  </si>
  <si>
    <t>A Study to Assess Tolerability, Safety, Pharmacokinetics and Effect of AZP2006 in Patients With PSP</t>
  </si>
  <si>
    <t>AlzProtect SAS</t>
  </si>
  <si>
    <t>NCT04423757</t>
  </si>
  <si>
    <t>A Home-based Study Using Mobile Technology to Test Whether BI 1358894 is Effective in People With Depression</t>
  </si>
  <si>
    <t>NCT04577612</t>
  </si>
  <si>
    <t>A Randomized Controlled Test of the Effects of CHI-554 on Fear.</t>
  </si>
  <si>
    <t>Canopy Growth Corporation</t>
  </si>
  <si>
    <t>NCT05055687</t>
  </si>
  <si>
    <t>Evaluation of the Safety, Tolerability and Pharmacokinetics of Intravenous FL058 Administered in Healthy Subjects(SAD/MAD)</t>
  </si>
  <si>
    <t>Qilu Pharmaceutical Co., Ltd.</t>
  </si>
  <si>
    <t>NCT04295070</t>
  </si>
  <si>
    <t>Safety and Immunogenicity of a Live-attenuated Vaccine Against Respiratory Syncytial Virus in Elderly Volunteers</t>
  </si>
  <si>
    <t>NCT06444204</t>
  </si>
  <si>
    <t>A Study to Evaluate the Effect of Mild and Moderate Hepatic Impairment on the Single-Dose Pharmacokinetics of Rilzabrutinib (PRN1008)</t>
  </si>
  <si>
    <t>Principia Biopharma, a Sanofi Company</t>
  </si>
  <si>
    <t>NCT04449484</t>
  </si>
  <si>
    <t>Multiple Ascending Dose Study of MEDI1341 in Patients With Parkinson's Disease</t>
  </si>
  <si>
    <t>NCT04718584</t>
  </si>
  <si>
    <t>the Efficacy and Safety of LDP in Patients With Urinary and Male Genital Tumors</t>
  </si>
  <si>
    <t>Dragonboat Biopharmaceutical Company Limited</t>
  </si>
  <si>
    <t>NCT04480762</t>
  </si>
  <si>
    <t>A Trial of SHR-1703 in Healthy Adults</t>
  </si>
  <si>
    <t>NCT04391569</t>
  </si>
  <si>
    <t>Randomized Therapy In Status Epilepticus</t>
  </si>
  <si>
    <t>NCT04395677</t>
  </si>
  <si>
    <t>A Study of AB-106 in Subjects With Advanced NSCLC Harboring ROS1 Fusion Gene</t>
  </si>
  <si>
    <t>Nuvation Bio Inc.</t>
  </si>
  <si>
    <t>NCT06016036</t>
  </si>
  <si>
    <t>SAL-0951 Tablets in the Treatment of Renal Anemia in Non-dialysis Chronic Kidney Disease</t>
  </si>
  <si>
    <t>NCT04523129</t>
  </si>
  <si>
    <t>ESSENCE 2: CyclASol for the Treatment of Signs and Symptoms of Dry Eye Disease (DED)</t>
  </si>
  <si>
    <t>Novaliq GmbH</t>
  </si>
  <si>
    <t>NCT04627129</t>
  </si>
  <si>
    <t>A Itraconazole Effect Study of SHR2554 on Healthy Chinese Adult Subjects</t>
  </si>
  <si>
    <t>NCT04260022</t>
  </si>
  <si>
    <t>Study of HQP1351 in Subjects With Refractory CML and Ph+ ALL</t>
  </si>
  <si>
    <t>NCT04403763</t>
  </si>
  <si>
    <t>Phase 1/2 Study of AGN-241622 in Healthy Participants and Participants With Presbyopia</t>
  </si>
  <si>
    <t>NCT04321252</t>
  </si>
  <si>
    <t>Study to Assess Safety, Tolerability and Phamacokinetics of KAE609 Administered Intravenously in Healthy Subjects</t>
  </si>
  <si>
    <t>NCT04854538</t>
  </si>
  <si>
    <t>Bioequivalence Study of Budesonide From Ekmasonid 9 mg Extended Release FCT (Hikma Pharma, Egypt) Versus Uceris 9 mg Extended Release Tablets (Man. for: Salix Pharm., a Division of Valeant Pharm. LLC, USA, by: Cosmo S.P.A., Italy by License of Cosmo Tech. Ltd., Ireland, Product of France)</t>
  </si>
  <si>
    <t>Genuine Research Center, Egypt</t>
  </si>
  <si>
    <t>NCT04504448</t>
  </si>
  <si>
    <t>A Study of HNC664 in Healthy Subjects to Evaluate the Safety, Tolerability, and Pharmacokinetics</t>
  </si>
  <si>
    <t>Guangzhou Henovcom Bioscience Co. Ltd.</t>
  </si>
  <si>
    <t>NCT04428255</t>
  </si>
  <si>
    <t>A Clinical Study on the Efficacy and Safety of HBM9161 in Patients With ITP</t>
  </si>
  <si>
    <t>Harbour BioMed (Guangzhou) Co. Ltd.</t>
  </si>
  <si>
    <t>NCT04706416</t>
  </si>
  <si>
    <t>N-Acetyl Glucosamine as Therapeutic Intervention for Coronavirus Disease-19 (COVID-19)</t>
  </si>
  <si>
    <t>Quantinosis.ai LLC</t>
  </si>
  <si>
    <t>NCT05151055</t>
  </si>
  <si>
    <t>Lactoferrin + Vitamin E + Zinc for Hormonal Acne</t>
  </si>
  <si>
    <t>United Laboratories</t>
  </si>
  <si>
    <t>NCT04471415</t>
  </si>
  <si>
    <t>Study to Investigate DRP-104 in Adults With Advanced Solid Tumors</t>
  </si>
  <si>
    <t>Dracen Pharmaceuticals, Inc.</t>
  </si>
  <si>
    <t>NCT04390152</t>
  </si>
  <si>
    <t>Safety and Efficacy of Intravenous Wharton's Jelly Derived Mesenchymal Stem Cells in Acute Respiratory Distress Syndrome Due to COVID 19</t>
  </si>
  <si>
    <t>BioXcellerator</t>
  </si>
  <si>
    <t>NCT04470778</t>
  </si>
  <si>
    <t>Study to Assess the Effect of Acid-reducing Agent Famotidine on the Drug Levels of BMS-986256 in Healthy Participants</t>
  </si>
  <si>
    <t>NCT02616484</t>
  </si>
  <si>
    <t>Trial of Dichloroacetate in Pyruvate Dehydrogenase Complex Deficiency:</t>
  </si>
  <si>
    <t>Saol Therapeutics Inc</t>
  </si>
  <si>
    <t>NCT04388826</t>
  </si>
  <si>
    <t>COVID-19 Treatment of Severe Acute Respiratory Syndrome With Veru-111</t>
  </si>
  <si>
    <t>Veru Inc.</t>
  </si>
  <si>
    <t>NCT04689035</t>
  </si>
  <si>
    <t>A Phase 1 Study in Healthy Volunteers to Evaluate the Safety, Tolerability and Pharmacokinetics of AVLX-144</t>
  </si>
  <si>
    <t>Avilex Pharma</t>
  </si>
  <si>
    <t>NCT04398108</t>
  </si>
  <si>
    <t>A Study to Evaluate the Pharmacokinetics of Margetuximab in Chinese Patients With HER2+ MBC</t>
  </si>
  <si>
    <t>Zai Lab (Shanghai) Co., Ltd.</t>
  </si>
  <si>
    <t>NCT04556526</t>
  </si>
  <si>
    <t>A Study of a 2-dose Ebola Vaccine Regimen of Ad26.ZEBOV Followed by MVA-BN-Filo in Healthy Pregnant Women</t>
  </si>
  <si>
    <t>Janssen Vaccines &amp; Prevention B.V.</t>
  </si>
  <si>
    <t>NCT04639466</t>
  </si>
  <si>
    <t>A Synthetic MVA-based SARS-CoV-2 Vaccine, GEO-CM04S1, for the Prevention of COVID-19 Infection</t>
  </si>
  <si>
    <t>GeoVax, Inc.</t>
  </si>
  <si>
    <t>NCT04329429</t>
  </si>
  <si>
    <t>A Study of RC48-ADC in Subjects With HER2 Overexpressed Metastatic Biliary Tract Cancer</t>
  </si>
  <si>
    <t>RemeGen Co., Ltd.</t>
  </si>
  <si>
    <t>NCT04220866</t>
  </si>
  <si>
    <t>Study of Intratumoral (IT) Ulevostinag (MK-1454) in Combination With Intravenous (IV) Pembrolizumab (MK-3475) Compared to IV Pembrolizumab Alone as the First Line Treatment of Metastatic or Unresectable, Recurrent Head and Neck Squamous Cell Carcinoma (HNSCC) (MK-1454-002)</t>
  </si>
  <si>
    <t>Merck Sharp &amp; Dohme LLC</t>
  </si>
  <si>
    <t>NCT05630937</t>
  </si>
  <si>
    <t>Study on Safety and Efficacy of NMS-01940153E in Adult Patients With Unresectable Hepatocellular Carcinoma (HCC) Previously Treated With Systemic Therapy</t>
  </si>
  <si>
    <t>Nerviano Medical Sciences</t>
  </si>
  <si>
    <t>NCT04580394</t>
  </si>
  <si>
    <t>Crossover Trial of AD109 in Obstructive Sleep Apnea</t>
  </si>
  <si>
    <t>Apnimed</t>
  </si>
  <si>
    <t>NCT04750083</t>
  </si>
  <si>
    <t>HX008 Plus Chemotherapy VS Pembrolizumab Plus Chemotherapy As the First-line Treatment in Participants With Advanced or Metastatic Nonsquamous Non-small Cell Lung Cancer</t>
  </si>
  <si>
    <t>Taizhou Hanzhong biomedical co. LTD</t>
  </si>
  <si>
    <t>NCT04651153</t>
  </si>
  <si>
    <t>A Safety and Pharmacokinetics Study of UCB7853 in Healthy Study Participants and Study Participants With Parkinson's Disease (PD)</t>
  </si>
  <si>
    <t>NCT04451720</t>
  </si>
  <si>
    <t>Study of Subcutaneous Risankizumab Injection to Assess Change in Palmoplantar Pustulosis Area and Severity Index [PPPASI] in Adult Japanese Participants With Palmoplantar Pustulosis</t>
  </si>
  <si>
    <t>NCT04725474</t>
  </si>
  <si>
    <t>First-in-Human Study of the GDF-15 Neutralizing Antibody Visugromab (CTL-002) in Patients With Advanced Cancer (GDFATHER)</t>
  </si>
  <si>
    <t>CatalYm GmbH</t>
  </si>
  <si>
    <t>NCT04498910</t>
  </si>
  <si>
    <t>A Study of LY3451838 in Participants With Migraine</t>
  </si>
  <si>
    <t>NCT04187560</t>
  </si>
  <si>
    <t>Safety and Tolerability of Single and Multiple Doses of LB-102 in Healthy Adults</t>
  </si>
  <si>
    <t>LB Pharmaceuticals Inc.</t>
  </si>
  <si>
    <t>NCT04298060</t>
  </si>
  <si>
    <t>DAS181 for Patients With Severe Hospitalized Flu and SAD-RVs (COVID-19)</t>
  </si>
  <si>
    <t>Ansun Biopharma, Inc.</t>
  </si>
  <si>
    <t>NCT04239950</t>
  </si>
  <si>
    <t>Efficacy of Ethyl Icosapentate in Patients With Severe Hypertriglyceridemia</t>
  </si>
  <si>
    <t>Mochida Pharmaceutical Company, Ltd.</t>
  </si>
  <si>
    <t>NCT04238715</t>
  </si>
  <si>
    <t>A Study of E7090 in Participants With Unresectable Advanced or Metastatic Cholangiocarcinoma With Fibroblast Growth Factor Receptor (FGFR) 2 Gene Fusion</t>
  </si>
  <si>
    <t>NCT04533529</t>
  </si>
  <si>
    <t>A Study of Seltorexant as Adjunctive Therapy to Antidepressants in Adult and Elderly Participants With Major Depressive Disorder With Insomnia Symptoms Who Have Responded Inadequately to Antidepressant and Long-term Safety Extension Treatment With Seltorexant</t>
  </si>
  <si>
    <t>NCT04233502</t>
  </si>
  <si>
    <t>Efficacy and Safety of Slenyto for Insomnia in Children With ASD</t>
  </si>
  <si>
    <t>Neurim Pharmaceuticals Ltd.</t>
  </si>
  <si>
    <t>NCT04268394</t>
  </si>
  <si>
    <t>A Study to Evaluate Potential Cytochrome P450 and Transporter Protein Interactions With CC-99677</t>
  </si>
  <si>
    <t>Celgene</t>
  </si>
  <si>
    <t>NCT04671251</t>
  </si>
  <si>
    <t>Phase 1b Study of AEVI-007 in Subjects With Relapsed or Refractory Multiple Myeloma</t>
  </si>
  <si>
    <t>Avalo Therapeutics, Inc.</t>
  </si>
  <si>
    <t>NCT04209634</t>
  </si>
  <si>
    <t>Open-Label Efficacy and Safety Study of Pozelimab in Patients With CD55-Deficient Protein-Losing Enteropathy (CHAPLE Disease)</t>
  </si>
  <si>
    <t>NCT04504734</t>
  </si>
  <si>
    <t>Bucillamine in Treatment of Patients With COVID-19</t>
  </si>
  <si>
    <t>Revive Therapeutics, Ltd.</t>
  </si>
  <si>
    <t>NCT04236453</t>
  </si>
  <si>
    <t>A Study in Healthy Participants to Assess the Effect of Darunavir, Emtricitabine, and Tenofovir Alafenamide in the Presence of Cobicistat When Administered as a Fixed Dose Combination (Darunavir/Cobicistat/Emtricitabine/Tenofovir Alafenamide) Compared to the Co-administration of the Separate Agents</t>
  </si>
  <si>
    <t>Janssen Pharmaceutica N.V., Belgium</t>
  </si>
  <si>
    <t>NCT04630522</t>
  </si>
  <si>
    <t>Efficacy and Safety of JMT103 in Patients With Bone Metastases From Solid Tumors</t>
  </si>
  <si>
    <t>Shanghai JMT-Bio Inc.</t>
  </si>
  <si>
    <t>NCT04550351</t>
  </si>
  <si>
    <t>Recombinant New Coronavirus Vaccine (CHO Cells) to Prevent SARS-CoV-2 Phase I Clinical Trial (≥60 Years Old)</t>
  </si>
  <si>
    <t>Anhui Zhifei Longcom Biologic Pharmacy Co., Ltd.</t>
  </si>
  <si>
    <t>NCT04494269</t>
  </si>
  <si>
    <t>A Study to Evaluate Pharmacokinetics and Safety of Tegoprazan in Subjects With Hepatic Impairment and Healthy Controls</t>
  </si>
  <si>
    <t>NCT04457856</t>
  </si>
  <si>
    <t>A Study of TJ003234 in Rheumatoid Arthritis Patients</t>
  </si>
  <si>
    <t>I-Mab Biopharma US Limited</t>
  </si>
  <si>
    <t>NCT04705922</t>
  </si>
  <si>
    <t>Relative Bioavailability Study and Food Effect Study of TT-00420 (Tinengotinib) Capsule and Tablet Formulations in Healthy Volunteers</t>
  </si>
  <si>
    <t>TransThera Sciences (Nanjing), Inc.</t>
  </si>
  <si>
    <t>NCT04000737</t>
  </si>
  <si>
    <t>YIV-906 (Formerly PHY906/KD018) With Sorafenib in HBV(+) Hepatocellular Carcinoma (HCC)</t>
  </si>
  <si>
    <t>Yiviva Inc.</t>
  </si>
  <si>
    <t>NCT04240002</t>
  </si>
  <si>
    <t>A Study of Gilteritinib (ASP2215) Combined With Chemotherapy in Children, Adolescents and Young Adults With FMS-like Tyrosine Kinase 3 (FLT3)/Internal Tandem Duplication (ITD) Positive Relapsed or Refractory Acute Myeloid Leukemia (AML)</t>
  </si>
  <si>
    <t>Astellas Pharma Global Development, Inc.</t>
  </si>
  <si>
    <t>NCT06202456</t>
  </si>
  <si>
    <t>A Phase IV Study of Huazhi Rougan Granule in the Treatment of Non-alcoholic Simple Fatty Liver</t>
  </si>
  <si>
    <t>Shandong New Time Pharmaceutical Co., LTD</t>
  </si>
  <si>
    <t>NCT04233437</t>
  </si>
  <si>
    <t>Drug-Drug Interaction Study of MLC1501 Using Cocktail of Drugs Acting as Sensitive Clinical Probes/Substrates of Cytochrome P450 Isoenzymes and Transporters in Healthy Subjects</t>
  </si>
  <si>
    <t>Moleac Pte Ltd.</t>
  </si>
  <si>
    <t>NCT04193202</t>
  </si>
  <si>
    <t>Efficacy and Safety of Gefapixant (MK-7264) in Adult Participants With Recent Onset Chronic Cough (MK-7264-043)</t>
  </si>
  <si>
    <t>NCT04154956</t>
  </si>
  <si>
    <t>SAR408701 Versus Docetaxel in Previously Treated, Carcinoembryonic Antigen-related Cell Adhesion Molecule 5 (CEACAM5) Positive Metastatic Non-squamous Non-small-cell Lung Cancer Patients</t>
  </si>
  <si>
    <t>NCT04648202</t>
  </si>
  <si>
    <t>FS120 Phase 1/1b Study in Patients With Advanced Malignancies</t>
  </si>
  <si>
    <t>NCT04563702</t>
  </si>
  <si>
    <t>Safety and Immunogenicity Trial of an Oral SARS-CoV-2 Vaccine (VXA-CoV2-1) for Prevention of COVID-19 in Healthy Adults and Boost (VXA-CoV2-1.1-S) at 1 Year Post Initial Vaccination in Subset of Subjects</t>
  </si>
  <si>
    <t>Vaxart</t>
  </si>
  <si>
    <t>NCT04682353</t>
  </si>
  <si>
    <t>A Study to Evaluate the Pharmacokinetics (PK) of Medroxyprogesterone Acetate Following an Injection of TV-46046 in Healthy Women of Reproductive Age</t>
  </si>
  <si>
    <t>Teva Branded Pharmaceutical Products R&amp;D, Inc.</t>
  </si>
  <si>
    <t>NCT04253236</t>
  </si>
  <si>
    <t>To Assess the Efficacy and Safety of RVT-1401 in the Treatment of Warm Autoimmune Hemolytic Anemia (ASCEND-WAIHA).</t>
  </si>
  <si>
    <t>Immunovant Sciences GmbH</t>
  </si>
  <si>
    <t>NCT04614467</t>
  </si>
  <si>
    <t>A Placebo-Controlled Trial of CLBS16 in Subjects With Coronary Microvascular Dysfunction</t>
  </si>
  <si>
    <t>Lisata Therapeutics, Inc.</t>
  </si>
  <si>
    <t>NCT04634409</t>
  </si>
  <si>
    <t>A Study of Immune System Proteins in Participants With Mild to Moderate COVID-19 Illness</t>
  </si>
  <si>
    <t>NCT04487236</t>
  </si>
  <si>
    <t>Trial of ZN-A-1041 Enteric Capsules in Patients With HER2-Positive Advanced Solid Tumors</t>
  </si>
  <si>
    <t>Suzhou Zanrong Pharma Limited</t>
  </si>
  <si>
    <t>NCT04556292</t>
  </si>
  <si>
    <t>A Phase II Study to Assess the Efficacy and Safety of SC10914 in the Metastatic Breast Cancer Patients</t>
  </si>
  <si>
    <t>Jiangxi Qingfeng Pharmaceutical Co. Ltd.</t>
  </si>
  <si>
    <t>NCT04382664</t>
  </si>
  <si>
    <t>UV1 Vaccination Plus Nivolumab and Ipilimumab in Treatment of Melanoma</t>
  </si>
  <si>
    <t>Ultimovacs ASA</t>
  </si>
  <si>
    <t>NCT04620811</t>
  </si>
  <si>
    <t>An Extension Study of Lirentelimab in Eosinophilic Gastritis and/or Eosinophilic Duodenitis (Formerly Referred to as Eosinophilic Gastroenteritis)</t>
  </si>
  <si>
    <t>Allakos Inc.</t>
  </si>
  <si>
    <t>NCT04433234</t>
  </si>
  <si>
    <t>Long-term, Extension Study of DS-5141b in Patients With Duchenne Muscular Dystrophy</t>
  </si>
  <si>
    <t>Daiichi Sankyo Co., Ltd.</t>
  </si>
  <si>
    <t>NCT04440189</t>
  </si>
  <si>
    <t>Autologous Adipose-derived Stromal Vascular Fraction for Treatment of Knee Osteoarthritis</t>
  </si>
  <si>
    <t>GID BIO, Inc.</t>
  </si>
  <si>
    <t>NCT04383691</t>
  </si>
  <si>
    <t>A Study of Lurasidone Compared With Placebo for the Treatment of Bipolar I Depression</t>
  </si>
  <si>
    <t>Marubeni Pharmaceuticals (Suzhou) Co., Ltd.</t>
  </si>
  <si>
    <t>NCT04447261</t>
  </si>
  <si>
    <t>A Study to Test How Well Different Doses of BI 1356225 Are Tolerated by Men and Women With Obesity or Overweight</t>
  </si>
  <si>
    <t>NCT04208620</t>
  </si>
  <si>
    <t>Safety and Tolerability Study of Cotadutide in Japanese Obese Subjects With Type 2 Diabetes Melitus</t>
  </si>
  <si>
    <t>NCT04397796</t>
  </si>
  <si>
    <t>Study of the Safety of Therapeutic Tx With Immunomodulatory MSC in Adults With COVID-19 Infection Requiring Mechanical Ventilation</t>
  </si>
  <si>
    <t>NCT04495296</t>
  </si>
  <si>
    <t>A Trial to Evaluate Safety, Tolerability, Pharmacokinetics and Preliminary Efficacy of TST001 in Advanced or Metastatic Solid Tumors</t>
  </si>
  <si>
    <t>Suzhou Transcenta Therapeutics Co., Ltd.</t>
  </si>
  <si>
    <t>NCT04518462</t>
  </si>
  <si>
    <t>Study to Evaluate the Efficacy, Safety, and Pharmacokinetics of EXPAREL, EXPAREL Admixed With Bupivacaine HCl vs. Bupivacaine HCl Administered as Combined Sciatic and Saphenous Nerve Blocks for Postsurgical Analgesia in Subjects Undergoing Lower Extremity Surgeries</t>
  </si>
  <si>
    <t>Pacira Pharmaceuticals, Inc</t>
  </si>
  <si>
    <t>NCT04624243</t>
  </si>
  <si>
    <t>Efficacy and Safety of Elpipodect (MK-8189) in Participants With an Acute Episode of Schizophrenia (MK-8189-008)</t>
  </si>
  <si>
    <t>NCT04578535</t>
  </si>
  <si>
    <t>A Study to Assess the Tolerability, Safety, and Pharmacokinetics of Subcutaneous Immune Globulin Infusion 10% (Human) With Recombinant Human Hyaluronidase (HYQVIA/HyQvia) With Ramp-up and No Ramp-up Dosing in Healthy Adult Participants</t>
  </si>
  <si>
    <t>Baxalta now part of Shire</t>
  </si>
  <si>
    <t>NCT04787887</t>
  </si>
  <si>
    <t>A Phase I Study to Compare Abcertin and EU-sourced Cerezyme® in Healthy Volunteers</t>
  </si>
  <si>
    <t>ISU Abxis Co., Ltd.</t>
  </si>
  <si>
    <t>NCT04609878</t>
  </si>
  <si>
    <t>Study to Assess PT010 in Adult and Adolescent Participants With Inadequately Controlled Asthma (KALOS)</t>
  </si>
  <si>
    <t>NCT04304040</t>
  </si>
  <si>
    <t>A Study of MIL62 Combined With Orelabrutinib for the Treatment of R/R CD20+B Cell Lymphoma</t>
  </si>
  <si>
    <t>Beijing InnoCare Pharma Tech Co., Ltd.</t>
  </si>
  <si>
    <t>NCT06558097</t>
  </si>
  <si>
    <t>Safety, Tolerability, and Pharmacokinetics of XXB750 in Healthy Participants</t>
  </si>
  <si>
    <t>NCT04445220</t>
  </si>
  <si>
    <t>A Study of Cell Therapy in COVID-19 Subjects With Acute Kidney Injury Who Are Receiving Renal Replacement Therapy</t>
  </si>
  <si>
    <t>Sentien Biotechnologies, Inc.</t>
  </si>
  <si>
    <t>NCT04542824</t>
  </si>
  <si>
    <t>Trial of the Safety and Efficacy of Epcoritamab in Japanese Subjects With Relapsed or Refractory (R/R) B-Cell Non-Hodgkin Lymphoma (R/R B-NHL)</t>
  </si>
  <si>
    <t>Genmab</t>
  </si>
  <si>
    <t>NCT04480840</t>
  </si>
  <si>
    <t>Phase 2a Evaluation of Safety, Tolerability, and Pharmacokinetics of PLN-74809 in Patients With Primary Sclerosing Cholangitis (PSC)</t>
  </si>
  <si>
    <t>Pliant Therapeutics, Inc.</t>
  </si>
  <si>
    <t>NCT04442490</t>
  </si>
  <si>
    <t>A Study to Evaluate the Efficacy of Sage-217 in the Treatment of Adult Participants With Major Depressive Disorder (MDD)</t>
  </si>
  <si>
    <t>Biogen</t>
  </si>
  <si>
    <t>NCT04085523</t>
  </si>
  <si>
    <t>A Dose Escalation Trial Evaluating Safety, Efficacy, and Pharmacokinetics of TransCon CNP Administered Once Weekly in Prepubertal Children With Achondroplasia</t>
  </si>
  <si>
    <t>Ascendis Pharma A/S</t>
  </si>
  <si>
    <t>NCT04422899</t>
  </si>
  <si>
    <t>Effect of Intravitreally Administered AIV007 in Subjects With Neovascular Age-Related Macular Degeneration</t>
  </si>
  <si>
    <t>AiViva BioPharma, Inc.</t>
  </si>
  <si>
    <t>NCT04638426</t>
  </si>
  <si>
    <t>Phase 2a Clinical Trial of HL237 for Rheumatoid Arthritis</t>
  </si>
  <si>
    <t>Hanlim Pharm. Co., Ltd.</t>
  </si>
  <si>
    <t>NCT05088343</t>
  </si>
  <si>
    <t>Effect of Hetrombopag on the Pharmacokinetics of Rosuvastatin in Healthy Subjects</t>
  </si>
  <si>
    <t>NCT04468815</t>
  </si>
  <si>
    <t>A Study to Assess the Levels in Blood Plasma of BMS-986278 in Healthy Participants Following Administration of Tablets, With or Without Food, and in the Presence of an Antacid (Esomeprazole)</t>
  </si>
  <si>
    <t>NCT04463017</t>
  </si>
  <si>
    <t>Ascending Dose Study of HU6 in Healthy Volunteers</t>
  </si>
  <si>
    <t>Rivus Pharmaceuticals, Inc.</t>
  </si>
  <si>
    <t>NCT04576455</t>
  </si>
  <si>
    <t>A Study Evaluating the Efficacy and Safety of Giredestrant Compared With Physician's Choice of Endocrine Monotherapy in Participants With Previously Treated Estrogen Receptor-Positive, HER2-Negative Locally Advanced or Metastatic Breast Cancer (acelERA Breast Cancer)</t>
  </si>
  <si>
    <t>NCT04228926</t>
  </si>
  <si>
    <t>Evaluating the Efficacy and Safety of ZKY001 Eye Drops in the Treatment of Corneal Epithelial Defects</t>
  </si>
  <si>
    <t>Zhaoke (Guangzhou) Ophthalmology Pharmaceutical Ltd.</t>
  </si>
  <si>
    <t>NCT04577833</t>
  </si>
  <si>
    <t>A Study of Comparative Formulations of Niraparib and Abiraterone Acetate (AA) in Men With Prostate Cancer</t>
  </si>
  <si>
    <t>NCT04555733</t>
  </si>
  <si>
    <t>A Single and Multiple Dose Study of Lemborexant in Healthy Chinese Participants</t>
  </si>
  <si>
    <t>NCT04628143</t>
  </si>
  <si>
    <t>A Study Evaluating the Efficacy and Safety of CKD-314 in Hospitalized Adult Patients Diagnosed With COVID-19 Pneumonia</t>
  </si>
  <si>
    <t>NCT04970940</t>
  </si>
  <si>
    <t>The Drug-drug Interaction Study of AJU-A51R1 and AJU-A51R2</t>
  </si>
  <si>
    <t>NCT04250350</t>
  </si>
  <si>
    <t>Study to Assess the Safety and Efficacy of Lebrikizumab (LY3650150) in Adolescent Participants With Moderate-to-Severe Atopic Dermatitis</t>
  </si>
  <si>
    <t>NCT04309474</t>
  </si>
  <si>
    <t>A Safety and Efficacy Study of Intravenous (IV) Elezanumab Assessing Change in Neurologic Function in Adult Participants With Acute Ischemic Stroke</t>
  </si>
  <si>
    <t>NCT04334213</t>
  </si>
  <si>
    <t>A Clinical Trial to Investigate the Pharmacokinetic Drug Interaction and Safety of CKD-501, D745 and D150</t>
  </si>
  <si>
    <t>NCT05562362</t>
  </si>
  <si>
    <t>Study to Evaluate the Pharmacokinetics of Oral Sparsentan Suspension</t>
  </si>
  <si>
    <t>Travere Therapeutics, Inc.</t>
  </si>
  <si>
    <t>NCT04504942</t>
  </si>
  <si>
    <t>Basket Study of Leronlimab (PRO 140) in Patients With CCR5+ Locally Advanced or Metastatic Solid Tumors</t>
  </si>
  <si>
    <t>NCT04446299</t>
  </si>
  <si>
    <t>Study 301: BLI4900 Versus an FDA-approved Comparator in Adult Subjects Prior to Colonoscopy</t>
  </si>
  <si>
    <t>Braintree Laboratories</t>
  </si>
  <si>
    <t>NCT04439721</t>
  </si>
  <si>
    <t>γδT Cell Infusion to Prevent Relapsed/Refractory Leukemia Rescue Relapse</t>
  </si>
  <si>
    <t>PersonGen BioTherapeutics (Suzhou) Co., Ltd.</t>
  </si>
  <si>
    <t>NCT04691115</t>
  </si>
  <si>
    <t>Safety, Tolerability and Pharmacokinetics of AM1476 in Healthy Subjects</t>
  </si>
  <si>
    <t>AnaMar AB</t>
  </si>
  <si>
    <t>NCT04540874</t>
  </si>
  <si>
    <t>A Study in Healthy Japanese Men to Test How Different Doses of BI 894416 Are Tolerated</t>
  </si>
  <si>
    <t>NCT04354389</t>
  </si>
  <si>
    <t>DAS181 for STOP COVID-19</t>
  </si>
  <si>
    <t>NCT04540120</t>
  </si>
  <si>
    <t>Safety and Efficacy of Dapansutrile for Treatment of Moderate COVID-19 Symptoms and Evidence of Early Cytokine Release Syndrome</t>
  </si>
  <si>
    <t>Olatec Therapeutics, Inc.</t>
  </si>
  <si>
    <t>NCT04475224</t>
  </si>
  <si>
    <t>Phase 3 Study of KP-100IT in Subjects With Acute Spinal Cord Injury</t>
  </si>
  <si>
    <t>Kringle Pharma, Inc.</t>
  </si>
  <si>
    <t>NCT04442503</t>
  </si>
  <si>
    <t>A Study to Evaluate the Efficacy and Safety of SAGE-217 in Participants With Severe Postpartum Depression (PPD)</t>
  </si>
  <si>
    <t>NCT04616742</t>
  </si>
  <si>
    <t>Study to Evaluate the Mass Babance and Biotransformation of [14C]SHR6390 in Healthy Adult Male Volunteers</t>
  </si>
  <si>
    <t>NCT04282980</t>
  </si>
  <si>
    <t>A Study of DCC-2618 (Ripretinib) In Patients With With Advanced Gastrointestinal Stromal Tumors (GIST)</t>
  </si>
  <si>
    <t>NCT04233346</t>
  </si>
  <si>
    <t>The Study for CML Who Failed Prior TKIs or With T315I Mutation or Ph+ ALL Who Failed Prior TKIs or With T315I Mutation</t>
  </si>
  <si>
    <t>Otsuka Beijing Research Institute</t>
  </si>
  <si>
    <t>NCT04302103</t>
  </si>
  <si>
    <t>A Study of TACI（Transmembrane Activator and Calcium-modulator and Cyclophilin Ligand (CAML) Interactor）-Antibody Fusion Protein Injection (RC18) in Subjects With Systemic Myasthenia Gravis</t>
  </si>
  <si>
    <t>NCT04466514</t>
  </si>
  <si>
    <t>A Phase 1 Study to Evaluate the Effect of Food on Pharmacokinetics of ASTX029</t>
  </si>
  <si>
    <t>Astex Pharmaceuticals, Inc.</t>
  </si>
  <si>
    <t>NCT04154189</t>
  </si>
  <si>
    <t>A Study to Compare the Efficacy and Safety of Ifosfamide and Etoposide With or Without Lenvatinib in Children, Adolescents and Young Adults With Relapsed and Refractory Osteosarcoma</t>
  </si>
  <si>
    <t>NCT04369391</t>
  </si>
  <si>
    <t>A Clinical Study to Investigate the Effect of an Investigational Drug on Electrocardiogram Intervals in Adults With Schizophrenia.</t>
  </si>
  <si>
    <t>NCT04590235</t>
  </si>
  <si>
    <t>A Study of Selumetinib in Chinese Paediatric and Adult Subjects With Neurofibromatosis Type 1 (NF1) and Inoperable Plexiform Neurofibromas (PN)</t>
  </si>
  <si>
    <t>NCT04238676</t>
  </si>
  <si>
    <t>Persica 002 Phase 1b PP353 vs Placebo in the Treatment of Low Back Pain</t>
  </si>
  <si>
    <t>Persica Pharmaceuticals Ltd</t>
  </si>
  <si>
    <t>NCT05433896</t>
  </si>
  <si>
    <t>Evaluating the Effects of Omeprazole on the Pharmacokinetics of XS004 (Dasatinib) Tablets in Healthy Adult Subjects Under Fasting Conditions</t>
  </si>
  <si>
    <t>Xspray Pharma AB</t>
  </si>
  <si>
    <t>NCT04629846</t>
  </si>
  <si>
    <t>Study in Participants With Early-Stage or Locally Advanced Human Epidermal Growth Factor Receptor (HER) 2-Positive and Estrogen Receptor/Progesterone Receptor Negative Breast Cancer to Evaluate the Efficiency and Safety of Treatment With Trastuzumab Plus (+) QL1209/Pertuzumab + Docetaxel.</t>
  </si>
  <si>
    <t>NCT04471987</t>
  </si>
  <si>
    <t>Safety and Early Signs of Efficacy of IL12-L19L19.</t>
  </si>
  <si>
    <t>Philogen S.p.A.</t>
  </si>
  <si>
    <t>NCT04324814</t>
  </si>
  <si>
    <t>A Trial of SHR-1701 in Subjects With Advanced Solid Tumors</t>
  </si>
  <si>
    <t>Atridia Pty Ltd.</t>
  </si>
  <si>
    <t>NCT04468984</t>
  </si>
  <si>
    <t>Study of Oral Navitoclax Tablet in Combination With Oral Ruxolitinib Tablet Versus Best Available Therapy to Assess Change in Spleen Volume in Adult Participants With Relapsed/Refractory Myelofibrosis</t>
  </si>
  <si>
    <t>NCT04202952</t>
  </si>
  <si>
    <t>The Tolerability, Pharmacokinetics and Pharmacodynamics Study of HEC110114 Tablets in HCV-infected Subjects</t>
  </si>
  <si>
    <t>Sunshine Lake Pharma Co., Ltd.</t>
  </si>
  <si>
    <t>NCT04247542</t>
  </si>
  <si>
    <t>ACX-362E [Ibezapolstat] for Oral Treatment of Clostridioides Difficile Infection</t>
  </si>
  <si>
    <t>Acurx Pharmaceuticals Inc.</t>
  </si>
  <si>
    <t>NCT04366713</t>
  </si>
  <si>
    <t>A Study to Characterize Colon Pathology in Patients With HER2 Amplified Breast Cancer Treated With Neratinib</t>
  </si>
  <si>
    <t>Puma Biotechnology, Inc.</t>
  </si>
  <si>
    <t>NCT04370873</t>
  </si>
  <si>
    <t>Frespaciguat (MK-5475) in Participants With Pulmonary Hypertension Associated With Chronic Obstructive Pulmonary Disease (PH-COPD) (MK-5475-006)</t>
  </si>
  <si>
    <t>NCT04729088</t>
  </si>
  <si>
    <t>Pharmacokinetics Trial of Isosorbide Mononitrate 0.5% Gel for Intra Anal Application in Healthy Subjects</t>
  </si>
  <si>
    <t>Biolab Sanus Farmaceutica</t>
  </si>
  <si>
    <t>NCT04644770</t>
  </si>
  <si>
    <t>A Study of JNJ-69086420, an Actinium-225-Labeled Antibody Targeting Human Kallikrein-2 (hK2) for Advanced Prostate Cancer</t>
  </si>
  <si>
    <t>NCT04195373</t>
  </si>
  <si>
    <t>A Safety Study of TMV-018 in Patients With Tumors of the Gastrointestinal Tract</t>
  </si>
  <si>
    <t>Themis Bioscience GmbH</t>
  </si>
  <si>
    <t>NCT04194203</t>
  </si>
  <si>
    <t>A Study of Bevacizumab, Carboplatin, and Paclitaxel or Pemetrexed With or Without Atezolizumab in Chemotherapy-Naïve Patients With Stage IV Non-Squamous Non-Small Cell Lung Cancer (IMpower151)</t>
  </si>
  <si>
    <t>NCT04582786</t>
  </si>
  <si>
    <t>Dose Finding Study of STR-324</t>
  </si>
  <si>
    <t>Alaxia SAS</t>
  </si>
  <si>
    <t>NCT04676906</t>
  </si>
  <si>
    <t>A Study Investigating the Distribution and Metabolism of Three 14C-labeled Radioactive Study Compounds</t>
  </si>
  <si>
    <t>NCT04467684</t>
  </si>
  <si>
    <t>Study Investigating the Safety, Tolerability, and PK, PD, of CB-0406</t>
  </si>
  <si>
    <t>Gilead Sciences</t>
  </si>
  <si>
    <t>NCT04358549</t>
  </si>
  <si>
    <t>Study of the Use of Favipiravir in Hospitalized Subjects With COVID-19</t>
  </si>
  <si>
    <t>Fujifilm Pharmaceuticals U.S.A., Inc.</t>
  </si>
  <si>
    <t>NCT04187443</t>
  </si>
  <si>
    <t>MS-553 in Diabetic Retinopathy Patients With Central Involved Macular Edema</t>
  </si>
  <si>
    <t>Shenzhen MingSight Relin Pharmaceuticals Co., Ltd.</t>
  </si>
  <si>
    <t>NCT04159415</t>
  </si>
  <si>
    <t>Study of REGN4461, a Leptin Receptor Agonist Antibody, in Patients With Generalized Lipodystrophy</t>
  </si>
  <si>
    <t>NCT04203498</t>
  </si>
  <si>
    <t>Safety and Effectiveness of Nabiximols Oromucosal Spray as Add-on Therapy in Participants With Spasticity Due to Multiple Sclerosis</t>
  </si>
  <si>
    <t>Jazz Pharmaceuticals</t>
  </si>
  <si>
    <t>NCT04472598</t>
  </si>
  <si>
    <t>Study of Oral Navitoclax Tablet In Combination With Oral Ruxolitinib Tablet When Compared With Oral Ruxolitinib Tablet To Assess Change In Spleen Volume In Adult Participants With Myelofibrosis</t>
  </si>
  <si>
    <t>NCT04143958</t>
  </si>
  <si>
    <t>To Assess the Glycosphingolipid Clearance and Clinical Effects of Switching to Agalsidase Beta (Fabrazyme) Versus Continuing on Agalsidase Alfa (Replagal) in Male Patients With Classic Fabry Disease</t>
  </si>
  <si>
    <t>NCT04562155</t>
  </si>
  <si>
    <t>Clinical Study to Evaluate the Efficacy and Safety of Three Different Doses of BAY1817080 Compared to Placebo in Patients With Chronic Cough</t>
  </si>
  <si>
    <t>NCT04375878</t>
  </si>
  <si>
    <t>OPTION 2: A Trial to Assess the Safety and Efficacy of MS1819 in Enteric Capsules in Patients With Cystic Fibrosis</t>
  </si>
  <si>
    <t>Entero Therapeutics</t>
  </si>
  <si>
    <t>NCT04587908</t>
  </si>
  <si>
    <t>A Phase 3 Study of TAS-205 in Patients With Duchenne Muscular Dystrophy（REACH-DMD）</t>
  </si>
  <si>
    <t>Taiho Pharmaceutical Co., Ltd.</t>
  </si>
  <si>
    <t>NCT04557306</t>
  </si>
  <si>
    <t>Evaluationn of Tolerability and Safety of CBT101, an Autologous Natural Killer Cell, in Patients With Solid Cancer</t>
  </si>
  <si>
    <t>CHABiotech CO., Ltd</t>
  </si>
  <si>
    <t>NCT04231747</t>
  </si>
  <si>
    <t>A Study of CC-97540, CD19-targeted NEX-T Chimeric Antigen Receptor (CAR) T Cells, in Subjects With Relapsed or Refractory B-cell Non-Hodgkin Lymphoma</t>
  </si>
  <si>
    <t>Juno Therapeutics, a Subsidiary of Celgene</t>
  </si>
  <si>
    <t>NCT04329949</t>
  </si>
  <si>
    <t>Study of Relacorilant in Combination With Nab-Paclitaxel in Patients With Metastatic Pancreatic Ductal Adenocarcinoma</t>
  </si>
  <si>
    <t>Corcept Therapeutics</t>
  </si>
  <si>
    <t>NCT04495478</t>
  </si>
  <si>
    <t>A Study of Ramucirumab (LY3009806) in Healthy Participants</t>
  </si>
  <si>
    <t>NCT04655040</t>
  </si>
  <si>
    <t>Estimation of the Effect of Multiple Dose Ritlecitinib (PF-06651600) on the Pharmacokinetics of a Single Dose of Caffeine in Healthy Participants</t>
  </si>
  <si>
    <t>NCT04565249</t>
  </si>
  <si>
    <t>Evaluation of the Safety, Tolerability, and Pharmacokinetics of PLN-74809 in Participants With Acute Respiratory Distress Syndrome (ARDS) Associated With at Least Severe COVID-19</t>
  </si>
  <si>
    <t>NCT04091438</t>
  </si>
  <si>
    <t>A Study of a Single Intravenous Infusion Dose of TAK-925 in Participants With Idiopathic Hypersomnia</t>
  </si>
  <si>
    <t>Millennium Pharmaceuticals, Inc.</t>
  </si>
  <si>
    <t>NCT04318548</t>
  </si>
  <si>
    <t>Study to Assess the Safety and Immunogenicity of GSK Meningococcal Group B Vaccine When Administered Concomitantly With GSK Meningococcal MenACWY Conjugate Vaccine in Healthy Subjects of 16-18 Years of Age</t>
  </si>
  <si>
    <t>GlaxoSmithKline</t>
  </si>
  <si>
    <t>NCT04470063</t>
  </si>
  <si>
    <t>Multi-dose, Dose Escalation Study to Evaluate the Safety, Tolerability, Pharmacokinetics, and Pharmacodynamics of DDO-3055 Tablets in Patients With Anemia of Non-dialysis Chronic Kidney Diseases.</t>
  </si>
  <si>
    <t>NCT04590963</t>
  </si>
  <si>
    <t>Assessment of Efficacy and Safety of Monalizumab Plus Cetuximab Compared to Placebo Plus Cetuximab in Recurrent or Metastatic Head and Neck Cancer</t>
  </si>
  <si>
    <t>NCT04634149</t>
  </si>
  <si>
    <t>A Study to Evaluate the Drug Levels, Safety, and Tolerability of BMS-986036 in Participants With Normal Liver Function and Participants With Moderate and Severe Liver Impairment</t>
  </si>
  <si>
    <t>NCT04515849</t>
  </si>
  <si>
    <t>A Study of Cotadutide in Participants Who Have Chronic Kidney Disease With Type 2 Diabetes Mellitus</t>
  </si>
  <si>
    <t>NCT07054255</t>
  </si>
  <si>
    <t>Bioequivalence Study of Ranolazine Extended-release Tablets in Healthy Chinese Subjects</t>
  </si>
  <si>
    <t>NCT04495621</t>
  </si>
  <si>
    <t>MEN1611 With Cetuximab in Metastatic Colorectal Cancer (C-PRECISE-01)</t>
  </si>
  <si>
    <t>Menarini Group</t>
  </si>
  <si>
    <t>NCT04396106</t>
  </si>
  <si>
    <t>Safety and Efficacy of AT-527 in Subjects With Moderate Coronavirus Disease (COVID-19) in a Hospital Setting</t>
  </si>
  <si>
    <t>Atea Pharmaceuticals, Inc.</t>
  </si>
  <si>
    <t>NCT04483947</t>
  </si>
  <si>
    <t>A Study to Assess Safety, Tolerability, PK and PD of AZD2693 in Non-alcoholic Steatohepatitis Patients</t>
  </si>
  <si>
    <t>NCT04392648</t>
  </si>
  <si>
    <t>A Study to Evaluate the Safety, Tolerability and Efficacy of Intravenous TAK-573 as Part of Combination Therapy in Participants With Relapsed or Refractory Multiple Myeloma (RRMM)</t>
  </si>
  <si>
    <t>Teva Branded Pharmaceutical Products R&amp;D LLC</t>
  </si>
  <si>
    <t>NCT04608110</t>
  </si>
  <si>
    <t>A Phase 1 Trial of ASTX030 in Patients With Myelodysplastic Syndrome</t>
  </si>
  <si>
    <t>NCT04352361</t>
  </si>
  <si>
    <t>Ascending Single-dose Study to Evaluate TVB-2640 in Chinese Healthy Subjects</t>
  </si>
  <si>
    <t>Ascletis Pharmaceuticals Co., Ltd.</t>
  </si>
  <si>
    <t>NCT04440163</t>
  </si>
  <si>
    <t>MenABCWY Noninferiority Study in Healthy Participants ≥10 to &lt;26 Years of Age</t>
  </si>
  <si>
    <t>NCT04145193</t>
  </si>
  <si>
    <t>Novel Oncology Therapies in Combination With Adjuvant Chemo in High-risk MSS-CRC</t>
  </si>
  <si>
    <t>MedImmune LLC</t>
  </si>
  <si>
    <t>NCT04217993</t>
  </si>
  <si>
    <t>Jaktinib for the Treatment of Ruxolitinib Intolerance of Myelofibrosis</t>
  </si>
  <si>
    <t>Suzhou Zelgen Biopharmaceuticals Co.,Ltd</t>
  </si>
  <si>
    <t>NCT04239833</t>
  </si>
  <si>
    <t>A Study of SH-1028 Tablets Versus Gefitinib in Patients With Locally Advanced or Metastatic Non-small Cell Lung Cancer</t>
  </si>
  <si>
    <t>Nanjing Sanhome Pharmaceutical, Co., Ltd.</t>
  </si>
  <si>
    <t>NCT04072458</t>
  </si>
  <si>
    <t>A Clinical Trial of BP1002 in Patients With Advanced Lymphoid Malignancies</t>
  </si>
  <si>
    <t>Bio-Path Holdings, Inc.</t>
  </si>
  <si>
    <t>NCT04351555</t>
  </si>
  <si>
    <t>A Study of Osimertinib With or Without Chemotherapy Versus Chemotherapy Alone as Neoadjuvant Therapy for Patients With EGFRm Positive Resectable Non-Small Cell Lung Cancer</t>
  </si>
  <si>
    <t>NCT05239221</t>
  </si>
  <si>
    <t>AZP-3601 SAD and MAD Study in Healthy Subjects and Patients With Hypoparathyroidism</t>
  </si>
  <si>
    <t>NCT04442347</t>
  </si>
  <si>
    <t>Phase 1b Study to Assess Safety, Tolerability, and Pharmacokinetics of ARCT-810 in Stable Adult Subjects With Ornithine Transcarbamylase Deficiency</t>
  </si>
  <si>
    <t>Arcturus Therapeutics, Inc.</t>
  </si>
  <si>
    <t>NCT03686384</t>
  </si>
  <si>
    <t>SVT-15652 Otic Solution for the Treatment of Otomycosis</t>
  </si>
  <si>
    <t>Salvat</t>
  </si>
  <si>
    <t>NCT04620408</t>
  </si>
  <si>
    <t>Study on the Food Effects of Oral SHR4640 Tablets in Healthy Volunteers</t>
  </si>
  <si>
    <t>NCT04318743</t>
  </si>
  <si>
    <t>A Bridging Trial to Compare the PK Profile When Glepaglutide is Administered Via Vial/Syringe Versus Autoinjector.</t>
  </si>
  <si>
    <t>Zealand Pharma</t>
  </si>
  <si>
    <t>NCT04355689</t>
  </si>
  <si>
    <t>Safety and Efficacy of NPI-001 Tablets for RP Associated With Usher Syndrome</t>
  </si>
  <si>
    <t>Nacuity Pharmaceuticals, Inc.</t>
  </si>
  <si>
    <t>NCT04230252</t>
  </si>
  <si>
    <t>A Study of the Newly Formulated Tylenol Tablet (Acetaminophen) to the Tylenol 8 Hour (H) Extended Release (ER) Tablet (Acetaminophen) in Healthy Participants</t>
  </si>
  <si>
    <t>Janssen Korea, Ltd., Korea</t>
  </si>
  <si>
    <t>NCT04333147</t>
  </si>
  <si>
    <t>Long-term Safety and Efficacy of GSK3196165 (Otilimab) in the Treatment of Rheumatoid Arthritis (RA)</t>
  </si>
  <si>
    <t>NCT04546789</t>
  </si>
  <si>
    <t>Effect of Hepatic Impairment on M2951 (BTK Inhibitor) PK</t>
  </si>
  <si>
    <t>NCT04311710</t>
  </si>
  <si>
    <t>A Study Evaluating the Drug Levels of Iplimumab Given Under the Skin Alone and in Combination With Nivolumab in Multiple Tumor Types</t>
  </si>
  <si>
    <t>NCT04452955</t>
  </si>
  <si>
    <t>A Study to Assess Safety and Efficacy of PRL3-Zumab in Patients With Solid Tumors</t>
  </si>
  <si>
    <t>Intra-IMMUSG Pte Ltd</t>
  </si>
  <si>
    <t>NCT04674358</t>
  </si>
  <si>
    <t>The TRANQUILITY Trial: Clinical Trial to Assess the Efficacy and Safety in Subjects With Dry Eye Disease</t>
  </si>
  <si>
    <t>Aldeyra Therapeutics, Inc.</t>
  </si>
  <si>
    <t>NCT04452591</t>
  </si>
  <si>
    <t>Study of Cretostimogene Given in Patients With Non-Muscle Invasive Bladder Cancer ,Unresponsive to Bacillus-Calmette-Guerin</t>
  </si>
  <si>
    <t>CG Oncology, Inc.</t>
  </si>
  <si>
    <t>NCT05136521</t>
  </si>
  <si>
    <t>Bioavailability Study of 300 mg Trazodone Hydrochloride (New Polymer) vs. 300 mg Trazodone Hydrochloride (Contramid® Prolonged-release Tablets) Under Fasting Conditions</t>
  </si>
  <si>
    <t>Aziende Chimiche Riunite Angelini Francesco S.p.A</t>
  </si>
  <si>
    <t>NCT04212221</t>
  </si>
  <si>
    <t>MGD013 Monotherapy and Combination With Brivanib Dose Escalation and Expansion Study in Advanced Liver Cancer Patients</t>
  </si>
  <si>
    <t>NCT04541433</t>
  </si>
  <si>
    <t>A Phase 1 Study of AZD9833 in Japanese Women With ER Positive, HER2 Negative Advanced Breast Cancer</t>
  </si>
  <si>
    <t>NCT04561258</t>
  </si>
  <si>
    <t>Study to Evaluate the Safety of a Gene and Cell Therapy Product in Participants With HIV That is Well-Controlled on Antiretroviral Therapy</t>
  </si>
  <si>
    <t>American Gene Technologies International Inc.</t>
  </si>
  <si>
    <t>NCT05127135</t>
  </si>
  <si>
    <t>Safety and Efficacy of ThisCART7 in Patients With Refractory or Relapsed T Cell Malignancies</t>
  </si>
  <si>
    <t>Fundamenta Therapeutics, Ltd.</t>
  </si>
  <si>
    <t>NCT04272008</t>
  </si>
  <si>
    <t>The Effects of Annovera™ and Tampon Co-Usage on the Pharmacokinetics of Segesterone Acetate and Ethinyl Estradiol</t>
  </si>
  <si>
    <t>TherapeuticsMD</t>
  </si>
  <si>
    <t>NCT04116658</t>
  </si>
  <si>
    <t>First-in-Human, Phase 1b/2a Trial of a Multipeptide Therapeutic Vaccine in Patients With Progressive Glioblastoma</t>
  </si>
  <si>
    <t>Enterome</t>
  </si>
  <si>
    <t>NCT04506905</t>
  </si>
  <si>
    <t>Safety, Tolerability, and Pharmacokinetics Study of Elpipodect (MK-8189) in Participants With Schizophrenia and Healthy Participants (MK-8189-011)</t>
  </si>
  <si>
    <t>NCT05675501</t>
  </si>
  <si>
    <t>Evaluation of Topical Encapsulated Benzoyl Peroxide on the Skin Microbiome and Skin Biophysical Properties</t>
  </si>
  <si>
    <t>Sol-Gel Technologies, Ltd.</t>
  </si>
  <si>
    <t>NCT04590430</t>
  </si>
  <si>
    <t>Study to Assess the Safety, Tolerability, and Pharmacokinetics of HFB30132A Against COVID-19 in Healthy Adults</t>
  </si>
  <si>
    <t>HiFiBiO Therapeutics</t>
  </si>
  <si>
    <t>NCT06180967</t>
  </si>
  <si>
    <t>A Drug Drug Interaction (DDI) Study of Pirtobrutinib (LOXO-305) and Different Formulations of Midazolam in Healthy Participants</t>
  </si>
  <si>
    <t>NCT04659369</t>
  </si>
  <si>
    <t>Study of Pharmacokinetic, Safety, Immunogenicity and Efficacy of CMAB819 and Nivolumab in R/M HNSCC</t>
  </si>
  <si>
    <t>Taizhou Mabtech Pharmaceutical Co.,Ltd</t>
  </si>
  <si>
    <t>NCT04349683</t>
  </si>
  <si>
    <t>Efficacy and Safety of Jinshuibao for Patients With Chronic Kidney Disease Due to Glomerulonephritis</t>
  </si>
  <si>
    <t>Jemincare</t>
  </si>
  <si>
    <t>NCT04218851</t>
  </si>
  <si>
    <t>Posaconazole (MK-5592) Intravenous and Oral in Children With Invasive Aspergillosis (IA) (MK-5592-104)</t>
  </si>
  <si>
    <t>NCT05327231</t>
  </si>
  <si>
    <t>IN10018 Monotherapy or in Combination With Docetaxel in Gastric or GEJ Adenocarcinoma</t>
  </si>
  <si>
    <t>InxMed (Shanghai) Co., Ltd.</t>
  </si>
  <si>
    <t>NCT04638153</t>
  </si>
  <si>
    <t>A Study Of Safety, Tolerability And Effectiveness Of Recifercept In Children With Achondroplasia</t>
  </si>
  <si>
    <t>NCT04471675</t>
  </si>
  <si>
    <t>Evaluation of the Safety and Efficacy of Albumin-bound Docetaxel</t>
  </si>
  <si>
    <t>CSPC ZhongQi Pharmaceutical Technology Co., Ltd.</t>
  </si>
  <si>
    <t>NCT05004753</t>
  </si>
  <si>
    <t>A Study to Evaluate the Safety and Efficacy of Artemisinin- a Herbal Supplement on COVID-19 Subjects</t>
  </si>
  <si>
    <t>Mateon Therapeutics</t>
  </si>
  <si>
    <t>NCT04476966</t>
  </si>
  <si>
    <t>Bioequivalence Study of Mirabegron From Bladogra 25 mg Extended Release Tablets (Multi-Apex for Pharmaceutical Industries, Egypt) Versus Myrbetriq 25 mg Extended Release Tablets (Marketed by Astellas Pharma US, Inc, Product of Japan)</t>
  </si>
  <si>
    <t>NCT04478266</t>
  </si>
  <si>
    <t>Amcenestrant (SAR439859) Plus Palbociclib as First Line Therapy for Patients With ER (+) HER2(-) Advanced Breast Cancer</t>
  </si>
  <si>
    <t>NCT04427072</t>
  </si>
  <si>
    <t>Study of Capmatinib Efficacy in Comparison With Docetaxel in Previously Treated Participants With Non-small Cell Lung Cancer Harboring MET Exon 14 Skipping Mutation</t>
  </si>
  <si>
    <t>NCT04372394</t>
  </si>
  <si>
    <t>A Study to Assess the Effect of a High Fat Meal on Surufatinib in Healthy Subjects</t>
  </si>
  <si>
    <t>Hutchison Medipharma Limited</t>
  </si>
  <si>
    <t>NCT04755894</t>
  </si>
  <si>
    <t>HDDO-1756 Bio Equivalence Study</t>
  </si>
  <si>
    <t>NCT04513522</t>
  </si>
  <si>
    <t>A Study to Evaluate the Safety and Efficacy of Nivolumab With Ipilimumab in Participants With Untreated Advanced Kidney Cancer Conducted in India</t>
  </si>
  <si>
    <t>NCT04153175</t>
  </si>
  <si>
    <t>Study to Assess Intracerebroventricular (ICV) Delivery of CT-010 in Subjects With Focal Seizures, With Temporal Lobe Onset With or Without Secondary Generalization</t>
  </si>
  <si>
    <t>Cerebral Therapeutics LLC</t>
  </si>
  <si>
    <t>NCT04204629</t>
  </si>
  <si>
    <t>Food-effect on PK and PD of Single Oral Dose of HIP1601 in Healthy Subjects</t>
  </si>
  <si>
    <t>Hanmi Pharmaceutical Company Limited</t>
  </si>
  <si>
    <t>NCT04574817</t>
  </si>
  <si>
    <t>Study of HX008 for the Treatment of Anaplastic Thyroid Cancer (ATC)</t>
  </si>
  <si>
    <t>NCT04615468</t>
  </si>
  <si>
    <t>A Study of TQ-B3525 in Subjects With Relapsed/Refractory Peripheral T-cell Lymphoma（PTCL）</t>
  </si>
  <si>
    <t>NCT04617691</t>
  </si>
  <si>
    <t>A Study of Intravenous Formulation of Guselkumab Using Prefilled Syringes and Final Vialed Product in Healthy Participants</t>
  </si>
  <si>
    <t>NCT04571060</t>
  </si>
  <si>
    <t>Randomized Trial in Adult Participants With Acute Migraines</t>
  </si>
  <si>
    <t>NCT04275050</t>
  </si>
  <si>
    <t>A Study to Evaluate the Tolerance and Pharmacokinetics of TQB3303 Tablets</t>
  </si>
  <si>
    <t>NCT04499443</t>
  </si>
  <si>
    <t>Safety, Tolerability and Pharmacokinetic Characteristics Evaluation of GST-HG131 Tablets</t>
  </si>
  <si>
    <t>Fujian Cosunter Pharmaceutical Co. Ltd</t>
  </si>
  <si>
    <t>NCT04379713</t>
  </si>
  <si>
    <t>20-valent Pneumococcal Conjugate Vaccine Safety Study in Healthy Infants</t>
  </si>
  <si>
    <t>NCT03830723</t>
  </si>
  <si>
    <t>Personalized Insemination Treatment Study</t>
  </si>
  <si>
    <t>Clinique Ovo</t>
  </si>
  <si>
    <t>NCT04505826</t>
  </si>
  <si>
    <t>A Dose Escalation/Expansion Study of Oral OP-1250 in Subjects With Advanced and/or Metastatic HR+, HER2- Breast Cancer</t>
  </si>
  <si>
    <t>Olema Pharmaceuticals, Inc.</t>
  </si>
  <si>
    <t>NCT04222985</t>
  </si>
  <si>
    <t>Safety and Efficacy of 4 Investigational HSV 2 Vaccines in Adults With Recurrent Genital Herpes Caused by HSV 2</t>
  </si>
  <si>
    <t>Sanofi Pasteur, a Sanofi Company</t>
  </si>
  <si>
    <t>NCT05108766</t>
  </si>
  <si>
    <t>A Phase Ⅲ Study to Evaluate Tildrakizumab in the Treatment of Chinese Subjects With Moderate to Severe Plaquetype Psoriasis</t>
  </si>
  <si>
    <t>Shenzhen Kangzhe Pharmaceutical Co., Ltd.</t>
  </si>
  <si>
    <t>NCT05099822</t>
  </si>
  <si>
    <t>Study to Evaluate the Safety, Tolerability, Pharmacokinetics and Pharmacodynamics of CC-97489 in Healthy Adult Participants</t>
  </si>
  <si>
    <t>NCT04230122</t>
  </si>
  <si>
    <t>A Study of LY3478006 in Healthy Participants</t>
  </si>
  <si>
    <t>NCT05593094</t>
  </si>
  <si>
    <t>A Phase 1 Trial of ZN-A-1041 Enteric Capsules or Combination in Participants With Human Epidermal Growth Factor Receptor 2 (HER2)-Positive Advanced Solid Tumors</t>
  </si>
  <si>
    <t>NCT04083651</t>
  </si>
  <si>
    <t>A Study of Methylnaltrexone Bromide (MNTX) in Participants With Advanced Pancreatic Cancer</t>
  </si>
  <si>
    <t>Bausch Health Americas, Inc.</t>
  </si>
  <si>
    <t>NCT04202354</t>
  </si>
  <si>
    <t>Study of ARO-HSD in Healthy Volunteers and Patients With Non-Alcoholic Steatohepatitis (NASH) or Suspected NASH</t>
  </si>
  <si>
    <t>Arrowhead Pharmaceuticals</t>
  </si>
  <si>
    <t>NCT03936218</t>
  </si>
  <si>
    <t>Goserelin 10.8mg Injection in Treatment of Advanced Prostate Cancer</t>
  </si>
  <si>
    <t>Eurofarma Laboratorios S.A.</t>
  </si>
  <si>
    <t>NCT04358523</t>
  </si>
  <si>
    <t>A Study of the Relative Bioavailability of ASC18 Tablets vs Reference Tablets in Healthy Volunteers</t>
  </si>
  <si>
    <t>NCT04682873</t>
  </si>
  <si>
    <t>A Clinical Study to Assess the Efficacy and Safety of Amizon® Max in the Treatment of Moderate Covid-19, Caused by the SARS-CoV-2 Virus</t>
  </si>
  <si>
    <t>Joint Stock Company "Farmak"</t>
  </si>
  <si>
    <t>NCT04269551</t>
  </si>
  <si>
    <t>A Safety and Tolerability Study of BIVV020 in Adults With Cold Agglutinin Disease</t>
  </si>
  <si>
    <t>Bioverativ, a Sanofi company</t>
  </si>
  <si>
    <t>NCT04564066</t>
  </si>
  <si>
    <t>A Phase 1 Study to Compare the Safety and Effect of Efgartigimod as an Intravenous Infusion With the Effect of Efgartigimod as a Subcutaneous Injection in Healthy Volunteers</t>
  </si>
  <si>
    <t>argenx</t>
  </si>
  <si>
    <t>NCT04590937</t>
  </si>
  <si>
    <t>A Study in Healthy People to Test Whether BI 730357 Affects How 4 Other Medicines (Rosuvastatin, Digoxin, Metformin, and Furosemide) Are Taken up in the Body</t>
  </si>
  <si>
    <t>NCT04431453</t>
  </si>
  <si>
    <t>Study of Remdesivir in Participants Below 18 Years Old With COVID-19</t>
  </si>
  <si>
    <t>NCT04673695</t>
  </si>
  <si>
    <t>A Clinical Study to Evaluate the Safety and Pharmacokinetics of CKD-344</t>
  </si>
  <si>
    <t>NCT04402866</t>
  </si>
  <si>
    <t>TD-0903 for ALI Associated With COVID-19</t>
  </si>
  <si>
    <t>NCT04380688</t>
  </si>
  <si>
    <t>Acalabrutinib Study With Best Supportive Care Versus Best Supportive Care in Subjects Hospitalized With COVID-19.</t>
  </si>
  <si>
    <t>NCT04555486</t>
  </si>
  <si>
    <t>Study to Evaluate Safety, Tolerability, PK and PD of DCR-PHXC in PH Type 3 Patients</t>
  </si>
  <si>
    <t>Dicerna Pharmaceuticals, Inc., a Novo Nordisk company</t>
  </si>
  <si>
    <t>NCT04529096</t>
  </si>
  <si>
    <t>Chronic Pain Master Protocol (CPMP): A Study of LY3016859 in Participants With Chronic Low Back Pain</t>
  </si>
  <si>
    <t>NCT04291846</t>
  </si>
  <si>
    <t>A Food Effect Study of SHR1459 on Healthy Chinese Adult Subjects</t>
  </si>
  <si>
    <t>NCT04564027</t>
  </si>
  <si>
    <t>A Study Investigating DNA-damage Response Agents in Molecularly Altered Advanced Cancer</t>
  </si>
  <si>
    <t>NCT04557059</t>
  </si>
  <si>
    <t>A Study of Adding Apalutamide to Radiotherapy and LHRH Agonist in High-Risk Patients With Hormone-Sensitive Prostate Cancer</t>
  </si>
  <si>
    <t>NCT04494659</t>
  </si>
  <si>
    <t>A Drug-drug Interaction Trial to Evaluate the Pharmacokinetics Effect of Rifampicin on Famitinib</t>
  </si>
  <si>
    <t>NCT04638985</t>
  </si>
  <si>
    <t>Evaluation of Immunogenicity and Safety of Combined Immunization of sIPV, DTaP and MMR</t>
  </si>
  <si>
    <t>China National Biotec Group Company Limited</t>
  </si>
  <si>
    <t>NCT04699643</t>
  </si>
  <si>
    <t>FGFR4 Inhibitor EVER4010001 in Combination With PD-1 Inhibitor Pembrolizumab in Patients With Advanced Solid Tumors</t>
  </si>
  <si>
    <t>EverNov Medicines (Zhuhai Hengqin) Co., Ltd</t>
  </si>
  <si>
    <t>NCT04597697</t>
  </si>
  <si>
    <t>A Study to Test How a New Long-acting Insulin (Insulin Icodec) Works in the Body of People With Liver Disease</t>
  </si>
  <si>
    <t>NCT03041259</t>
  </si>
  <si>
    <t>Revascularization of Stenosed Vessels Using Optimized Treatment of Rejuveinix for Reversing Endothelial Dysfunction</t>
  </si>
  <si>
    <t>Reven Pharmaceuticals, Inc.</t>
  </si>
  <si>
    <t>NCT05409196</t>
  </si>
  <si>
    <t>Phase 1 Trial for Safety, Tolerability, and Immunogenicity of a Live, Attenuated, Oral Shigella/ETEC Combination Vaccine to Healthy Adults</t>
  </si>
  <si>
    <t>Eveliqure Biotechnologies GmbH</t>
  </si>
  <si>
    <t>NCT04385550</t>
  </si>
  <si>
    <t>A Study of Anlotinib Hydrochloride Capsule Combined With AK105 Injection in Subject With Advanced Gastric and Gastro-oesophageal Junction Adenocarcinoma</t>
  </si>
  <si>
    <t>NCT03740997</t>
  </si>
  <si>
    <t>Study to Determine Safety and Dosage of OPTISON in Pediatric Participants</t>
  </si>
  <si>
    <t>GE Healthcare</t>
  </si>
  <si>
    <t>NCT04566380</t>
  </si>
  <si>
    <t>ONO-4538 Phase II Rollover Study (ONO-4538-98)</t>
  </si>
  <si>
    <t>Ono Pharmaceutical Co., Ltd.</t>
  </si>
  <si>
    <t>NCT04540042</t>
  </si>
  <si>
    <t>Study to Assess the Safety and Efficacy of SelK2 on Airway Responses Following Allergen Challenge in Subjects With Asthma (Part 1) and in Subjects With Chronic Obstructive Pulmonary Disease (Part 2)</t>
  </si>
  <si>
    <t>Tetherex Pharmaceuticals Corporation</t>
  </si>
  <si>
    <t>NCT04371718</t>
  </si>
  <si>
    <t>Effect of JKB-122 on Prednisolone and Azathioprine Induced Remission in Autoimmune Hepatitis (AIH)</t>
  </si>
  <si>
    <t>TaiwanJ Pharmaceuticals Co., Ltd</t>
  </si>
  <si>
    <t>NCT04509596</t>
  </si>
  <si>
    <t>DZD1516 in Combination With Trastuzumab and Capecitabine, or in Combination With T-DM1, in Patients With Metastatic HER2 Positive Breast Cancer</t>
  </si>
  <si>
    <t>Dizal Pharmaceuticals</t>
  </si>
  <si>
    <t>NCT04408755</t>
  </si>
  <si>
    <t>Assessment of the Efficacy, Safety, and Tolerability of AVP-786 for the Treatment of Agitation in Patients With Dementia of the Alzheimer's Type</t>
  </si>
  <si>
    <t>NCT04615325</t>
  </si>
  <si>
    <t>A Study Evaluating the Safety, Tolerability, Pharmacokinetics, and Immunogenicity of Intravitreal Injections of RO7303359 in Participants With Geographic Atrophy Secondary to Age-related Macular Degeneration</t>
  </si>
  <si>
    <t>NCT04472897</t>
  </si>
  <si>
    <t>A Study to Evaluate Safety, Tolerability and Pharmacokinetics of GSK2556286 in Healthy Adult Participants</t>
  </si>
  <si>
    <t>NCT04414397</t>
  </si>
  <si>
    <t>A Study Evaluating JUVÉDERM® VOLUMA® XC Injectable Gel for Correction of Temple Hollowing in Adult Participants ≥ 22 Years Old</t>
  </si>
  <si>
    <t>Allergan</t>
  </si>
  <si>
    <t>NCT04400318</t>
  </si>
  <si>
    <t>The Effect of Dupilumab on Lung Inflammation and Related Changes in Airway Volumes Detectable by Functional Respiratory Imaging in Patients With Moderate-severe Asthma</t>
  </si>
  <si>
    <t>NCT04492020</t>
  </si>
  <si>
    <t>Study to Evaluate Oral Ubrogepant in the Acute Treatment of Migraine During the Prodrome in Adult Participants</t>
  </si>
  <si>
    <t>NCT04592913</t>
  </si>
  <si>
    <t>Assessing Durvalumab and FLOT Chemotherapy in Resectable Gastric and Gastroesophageal Junction Cancer</t>
  </si>
  <si>
    <t>NCT04802980</t>
  </si>
  <si>
    <t>A Study of HB002.1T Plus Chemotherapy in Subjects With Solid Tumor</t>
  </si>
  <si>
    <t>Huabo Biopharm Co., Ltd.</t>
  </si>
  <si>
    <t>NCT04441255</t>
  </si>
  <si>
    <t>A Study to Evaluate the Effect of High-Fat Meal on TAK-788 Pharmacokinetics (PK) in Healthy Adult Participants</t>
  </si>
  <si>
    <t>NCT04378543</t>
  </si>
  <si>
    <t>Safety Evaluation of ART352-L in Subjects Undergoing Posterolateral Spinal Fusion</t>
  </si>
  <si>
    <t>Ankasa Regenerative Therapeutics, Inc.</t>
  </si>
  <si>
    <t>NCT04055818</t>
  </si>
  <si>
    <t>A Study of Nicotinamide With Oral Tetrahydrouridine and Decitabine to Treat High Risk Sickle Cell Disease</t>
  </si>
  <si>
    <t>EpiDestiny, Inc.</t>
  </si>
  <si>
    <t>NCT04268823</t>
  </si>
  <si>
    <t>Clinical Study to Assess the Mode of Action of QBW251 in Patients With Chronic Obstructive Pulmonary Disease (COPD)</t>
  </si>
  <si>
    <t>NCT04637139</t>
  </si>
  <si>
    <t>A Study to Evaluate the Mass Balance Absorption and AME of VBR</t>
  </si>
  <si>
    <t>Assembly Biosciences</t>
  </si>
  <si>
    <t>NCT04444011</t>
  </si>
  <si>
    <t>Pharmacokinetic Interactions of Quadruple Therapy With Anaprazole/Amoxicilin/Clarithromycin/Bismuth</t>
  </si>
  <si>
    <t>NCT04173611</t>
  </si>
  <si>
    <t>Evaluation of Safety, Pharmacokinetics and Pharmacodynamics of EXPAREL® Administered Via a Single Intrathecal Injection to Healthy Volunteers</t>
  </si>
  <si>
    <t>NCT04411628</t>
  </si>
  <si>
    <t>A Study of LY3819253 (LY-CoV555) in Participants Hospitalized for COVID-19</t>
  </si>
  <si>
    <t>NCT04600505</t>
  </si>
  <si>
    <t>A Study to Assess Drug Absorption of Fixed Dose Combinations of Budesonide, Glycopyrronium, and Formoterol</t>
  </si>
  <si>
    <t>NCT04115956</t>
  </si>
  <si>
    <t>A Clinical Study of Melphalan Flufenamide (Melflufen) and Dexamethasone for Patients With Immunoglobulin Light Chain (AL) Amyloidosis</t>
  </si>
  <si>
    <t>Oncopeptides AB</t>
  </si>
  <si>
    <t>NCT04253912</t>
  </si>
  <si>
    <t>Topical 2% Povidone-Iodine Gel in Verruca Vulgaris</t>
  </si>
  <si>
    <t>Veloce BioPharma LLC</t>
  </si>
  <si>
    <t>NCT04575311</t>
  </si>
  <si>
    <t>A Study to Investigate the Pharmacokinetic Profile of Oral AB680 in Healthy Volunteers</t>
  </si>
  <si>
    <t>Arcus Biosciences, Inc.</t>
  </si>
  <si>
    <t>NCT04631835</t>
  </si>
  <si>
    <t>Phase I Study of the HS-10352 in Patients With Advanced Breast Cancer</t>
  </si>
  <si>
    <t>Jiangsu Hansoh Pharmaceutical Co., Ltd.</t>
  </si>
  <si>
    <t>NCT04407091</t>
  </si>
  <si>
    <t>A Study to Assess the Mass Balance Recovery, Pharmacokinetics, Metabolite Profile and Metabolite Identification of [14C]AZD4831</t>
  </si>
  <si>
    <t>NCT04452474</t>
  </si>
  <si>
    <t>Study of the Efficacy and Safety of a Single Administration of Olokizumab vs. Placebo in Addition to Standard Treatment in Patients With Severe Acute Respiratory Syndrome Coronavirus 2 (SARS-CoV-2) Infection (COVID-19).</t>
  </si>
  <si>
    <t>R-Pharm</t>
  </si>
  <si>
    <t>NCT04546724</t>
  </si>
  <si>
    <t>Pivotal Study to Evaluate Safety and Immunogenicity of a Live-Attenuated Chikungunya Virus Vaccine Candidate in Adults</t>
  </si>
  <si>
    <t>Valneva Austria GmbH</t>
  </si>
  <si>
    <t>NCT04479241</t>
  </si>
  <si>
    <t>LUMINOS-101: Lerapolturev (PVSRIPO) and Pembrolizumab in Patients With Recurrent Glioblastoma</t>
  </si>
  <si>
    <t>Istari Oncology, Inc.</t>
  </si>
  <si>
    <t>NCT04556656</t>
  </si>
  <si>
    <t>PRidopidine's Outcome On Function in Huntington Disease, PROOF- HD</t>
  </si>
  <si>
    <t>Prilenia</t>
  </si>
  <si>
    <t>NCT04202965</t>
  </si>
  <si>
    <t>PTG-300 in Subjects With Hereditary Hemochromatosis</t>
  </si>
  <si>
    <t>Protagonist Therapeutics, Inc.</t>
  </si>
  <si>
    <t>NCT04423029</t>
  </si>
  <si>
    <t>A Study of DF6002 Alone and in Combination With Nivolumab</t>
  </si>
  <si>
    <t>Dragonfly Therapeutics</t>
  </si>
  <si>
    <t>NCT04050553</t>
  </si>
  <si>
    <t>A Study of Tirzepatide in Participants With Type 2 Diabetes Mellitus</t>
  </si>
  <si>
    <t>NCT04189445</t>
  </si>
  <si>
    <t>Futibatinib in Patients With Specific FGFR Aberrations</t>
  </si>
  <si>
    <t>Taiho Oncology, Inc.</t>
  </si>
  <si>
    <t>NCT04586439</t>
  </si>
  <si>
    <t>A Study of JNJ-73763989 in Healthy Chinese Adult Participants</t>
  </si>
  <si>
    <t>NCT05319275</t>
  </si>
  <si>
    <t>Study of Acetyllevocarnitine Hydrochloride Tablets in Chinese Patients With Paresthesias Caused by DPN</t>
  </si>
  <si>
    <t>NCT04794439</t>
  </si>
  <si>
    <t>Plaque Removal Efficacy of Four Dentifrices Following a Single Brushing</t>
  </si>
  <si>
    <t>Church &amp; Dwight Company, Inc.</t>
  </si>
  <si>
    <t>NCT04526665</t>
  </si>
  <si>
    <t>Study of Elafibranor in Patients With Primary Biliary Cholangitis (PBC)</t>
  </si>
  <si>
    <t>Ipsen</t>
  </si>
  <si>
    <t>NCT04513067</t>
  </si>
  <si>
    <t>A Safety Study of YQ23 in Advanced Solid Tumors Patients</t>
  </si>
  <si>
    <t>New Beta Innovation Limited</t>
  </si>
  <si>
    <t>NCT04483700</t>
  </si>
  <si>
    <t>Study to Evaluate the Efficacy and Safety of Filgotinib in Participants With Active Ankylosing Spondylitis Who Are Naive to Biologic Disease-Modifying Antirheumatic Drug Therapy</t>
  </si>
  <si>
    <t>NCT04454398</t>
  </si>
  <si>
    <t>Study to Evaluate STI-1499 (COVI-GUARD) in Patients With Moderate COVID-19</t>
  </si>
  <si>
    <t>Sorrento Therapeutics, Inc.</t>
  </si>
  <si>
    <t>NCT03936933</t>
  </si>
  <si>
    <t>Pharmacodynamic Study Goserelin 3.6mg Injection Administered Subcutaneously in Premenopausal Patients with Breast Cancer</t>
  </si>
  <si>
    <t>NCT04463472</t>
  </si>
  <si>
    <t>Study of COVID-19 DNA Vaccine (AG0301-COVID19)</t>
  </si>
  <si>
    <t>AnGes, Inc.</t>
  </si>
  <si>
    <t>NCT04311112</t>
  </si>
  <si>
    <t>Safety and Efficacy of Zuretinol Acetate in Subjects With Inherited Retinal Disease</t>
  </si>
  <si>
    <t>Retinagenix Holdings</t>
  </si>
  <si>
    <t>NCT05191628</t>
  </si>
  <si>
    <t>Amniotic Membrane Visio-AMTRIX in Recurrent Macular Hole</t>
  </si>
  <si>
    <t>TBF Genie Tissulaire</t>
  </si>
  <si>
    <t>NCT04604899</t>
  </si>
  <si>
    <t>Safety of Repeat Intravitreal Injection of Human Retinal Progenitor Cells (jCell) in Adult Subjects With Retinitis Pigmentosa</t>
  </si>
  <si>
    <t>jCyte, Inc</t>
  </si>
  <si>
    <t>NCT04338711</t>
  </si>
  <si>
    <t>A Study In Adult Healthy Volunteers To Asses Once Daily (QD) Dosing With The Selected Age-Appropriate Modified Release (MR) Formulations</t>
  </si>
  <si>
    <t>NCT04672499</t>
  </si>
  <si>
    <t>Single and Multiple Dose Study of Miricorilant (CORT118335) Tablet Formulations in Healthy Participants</t>
  </si>
  <si>
    <t>NCT04729764</t>
  </si>
  <si>
    <t>Evaluation the Safety and Tolerance of GP681 Tablets in Healthy Subjects</t>
  </si>
  <si>
    <t>NCT04437199</t>
  </si>
  <si>
    <t>Tricaprilin Phase 2 Pilot Study in Migraine</t>
  </si>
  <si>
    <t>NCT04443907</t>
  </si>
  <si>
    <t>Study of Safety and Efficacy of Genome-edited Hematopoietic Stem and Progenitor Cells in Sickle Cell Disease (SCD)</t>
  </si>
  <si>
    <t>NCT04360434</t>
  </si>
  <si>
    <t>First-in-Human Study of NI006 in Patients With Amyloid Transthyretin Cardiomyopathy</t>
  </si>
  <si>
    <t>Neurimmune AG</t>
  </si>
  <si>
    <t>NCT04506463</t>
  </si>
  <si>
    <t>Efficacy and Safety of MM-II for Treatment of Knee Pain in Subjects With Symptomatic Knee Osteoarthritis</t>
  </si>
  <si>
    <t>Sun Pharmaceutical Industries Limited</t>
  </si>
  <si>
    <t>NCT04604184</t>
  </si>
  <si>
    <t>ACTION ON COVID-19: A Study to Test Whether BI 764198 Helps Lung Health of People Hospitalised With COVID-19</t>
  </si>
  <si>
    <t>NCT04517864</t>
  </si>
  <si>
    <t>PLACEBO-CONTROLLED SAFETY STUDY OF RITLECITINIB (PF-06651600) IN ADULTS WITH ALOPECIA AREATA</t>
  </si>
  <si>
    <t>NCT04474119</t>
  </si>
  <si>
    <t>KN046 in Subjects With Advanced Squamous Non-small Cell Lung Cancer</t>
  </si>
  <si>
    <t>Jiangsu Alphamab Biopharmaceuticals Co., Ltd</t>
  </si>
  <si>
    <t>NCT04543409</t>
  </si>
  <si>
    <t>A Study of Benralizumab in Patients With Eosinophilic Esophagitis</t>
  </si>
  <si>
    <t>NCT04182204</t>
  </si>
  <si>
    <t>A Study to Evaluate the Safety and Efficacy of Polatuzumab Vedotin in Combination With Rituximab, Gemcitabine and Oxaliplatin Compared to Rituximab, Gemcitabine and Oxaliplatin Alone in Participants With Relapsed or Refractory Diffuse Large B-Cell Lymphoma</t>
  </si>
  <si>
    <t>NCT04481594</t>
  </si>
  <si>
    <t>A Study to Evaluate the Safety and Tolerability of Single and Multiple Ascending Doses of HPN-01 in Healthy Subjects</t>
  </si>
  <si>
    <t>Hepanova Inc.</t>
  </si>
  <si>
    <t>NCT04635631</t>
  </si>
  <si>
    <t>STUDY OF TALAZOPARIB MONOTHERAPY IN CHINESE PARTICIPANTS WITH ADVANCED SOLID TUMORS</t>
  </si>
  <si>
    <t>NCT04469621</t>
  </si>
  <si>
    <t>A Phase 1b Trial to Evaluate Safety and Effect of SAR443122 on Immune System in Severe COVID-19</t>
  </si>
  <si>
    <t>NCT04152499</t>
  </si>
  <si>
    <t>Phase I-II, FIH, TROP2 ADC, Advanced Unresectable/Metastatic Solid Tumors, Refractory to Standard Therapies (KL264-01)</t>
  </si>
  <si>
    <t>Klus Pharma Inc.</t>
  </si>
  <si>
    <t>NCT03082352</t>
  </si>
  <si>
    <t>Clinical Bioequivalence Study on Two Metoprolol Tablet 100mg Formulations</t>
  </si>
  <si>
    <t>Bright Future Pharmaceuticals Factory O/B Bright Future Pharmaceutical Laboratories Limited</t>
  </si>
  <si>
    <t>NCT04326036</t>
  </si>
  <si>
    <t>Use of cSVF Via IV Deployment for Residual Lung Damage After Symptomatic COVID-19 Infection</t>
  </si>
  <si>
    <t>Black Tie Medical, Inc.</t>
  </si>
  <si>
    <t>NCT04456387</t>
  </si>
  <si>
    <t>An Open Label Study to Determine the Safety and Efficacy of Recombinant Human Coagulation Factor VIII-Fc Fusion Protein for Injection in Adolescent and Adult Patients With Hemophilia A.</t>
  </si>
  <si>
    <t>Zhengzhou Gensciences Inc</t>
  </si>
  <si>
    <t>NCT04623814</t>
  </si>
  <si>
    <t>the Safety, Tolerability, and Pharmacokinetics Study of HEC113995</t>
  </si>
  <si>
    <t>NCT04432584</t>
  </si>
  <si>
    <t>A Study Evaluating the Safety, Pharmacokinetics, and Efficacy of Crovalimab Versus Eculizumab in Participants With Paroxysmal Nocturnal Hemoglobinuria (PNH) Currently Treated With Complement Inhibitors</t>
  </si>
  <si>
    <t>NCT04265534</t>
  </si>
  <si>
    <t>KEAPSAKE: A Study of Telaglenastat (CB-839) With Standard-of-Care Chemoimmunotherapy in 1L KEAP1/NRF2-Mutated, Nonsquamous NSCLC</t>
  </si>
  <si>
    <t>Calithera Biosciences, Inc</t>
  </si>
  <si>
    <t>NCT04384484</t>
  </si>
  <si>
    <t>Study to Evaluate Loncastuximab Tesirine With Rituximab Versus Immunochemotherapy in Participants With Relapsed or Refractory Diffuse Large B-Cell Lymphoma</t>
  </si>
  <si>
    <t>ADC Therapeutics S.A.</t>
  </si>
  <si>
    <t>NCT04503733</t>
  </si>
  <si>
    <t>A Study of GMA301 in Subjects With Pulmonary Arterial Hypertension</t>
  </si>
  <si>
    <t>Gmax Biopharm LLC.</t>
  </si>
  <si>
    <t>NCT04358458</t>
  </si>
  <si>
    <t>First-in-Human (FIH) Trial of GEN3009 in Subjects With Relapsed or Refractory B-Cell Non-Hodgkin Lymphomas</t>
  </si>
  <si>
    <t>NCT04533399</t>
  </si>
  <si>
    <t>A Study Looking at the Effectiveness and Safety of a COVID-19 Vaccine in South African Adults</t>
  </si>
  <si>
    <t>Novavax</t>
  </si>
  <si>
    <t>NCT05040906</t>
  </si>
  <si>
    <t>A Study Comparing the Efficacy and Safety Between H-CHOP and R-CHOP in Untreated CD20-Positive Diffuse Large B-cell Lymphoma Patients</t>
  </si>
  <si>
    <t>NCT04093349</t>
  </si>
  <si>
    <t>A Gene Transfer Study for Late-Onset Pompe Disease (RESOLUTE)</t>
  </si>
  <si>
    <t>Spark Therapeutics, Inc.</t>
  </si>
  <si>
    <t>NCT04243083</t>
  </si>
  <si>
    <t>A Safety, Tolerability, Pharmacokinetics And Pharmacodynamics Study of TLL018, With Food Effect, in Healthy Participants</t>
  </si>
  <si>
    <t>TLL Pharmaceutical, LLC</t>
  </si>
  <si>
    <t>NCT04371666</t>
  </si>
  <si>
    <t>Phase 3 Trial of Pamrevlumab or Placebo With Systemic Corticosteroids in Participants With Non-ambulatory Duchenne Muscular Dystrophy (DMD)</t>
  </si>
  <si>
    <t>NCT04625972</t>
  </si>
  <si>
    <t>Phase III Double-blind, Placebo-controlled Study of AZD7442 for Post- Exposure Prophylaxis of COVID-19 in Adults</t>
  </si>
  <si>
    <t>NCT04023331</t>
  </si>
  <si>
    <t>67Cu-SARTATE™ Peptide Receptor Radionuclide Therapy Administered to Pediatric Patients With High-Risk, Relapsed, Refractory Neuroblastoma</t>
  </si>
  <si>
    <t>Clarity Pharmaceuticals Ltd</t>
  </si>
  <si>
    <t>NCT04493853</t>
  </si>
  <si>
    <t>Capivasertib+Abiraterone as Treatment for Patients With Metastatic Hormone-sensitive Prostate Cancer and PTEN Deficiency</t>
  </si>
  <si>
    <t>NCT04214639</t>
  </si>
  <si>
    <t>Clinical Study Comparing the Efficacy and Safety of IDP-126 Gel in the Treatment of Acne Vulgaris</t>
  </si>
  <si>
    <t>NCT04682639</t>
  </si>
  <si>
    <t>A Study to Assess the Safety and Efficacy of Oral Etrasimod in Adult Participants With Eosinophilic Esophagitis</t>
  </si>
  <si>
    <t>NCT04502901</t>
  </si>
  <si>
    <t>the Safety, Tolerability and PK of KX-826 in Healthy Males With Alopecia Following Topical Multiple Dose Ascending</t>
  </si>
  <si>
    <t>Suzhou Kintor Pharmaceutical Inc,</t>
  </si>
  <si>
    <t>NCT04511702</t>
  </si>
  <si>
    <t>Infusion Duration Study To Assess Tolerability of Pegloticase Administered With a Shorter Infusion Duration in Subjects With Uncontrolled Gout Receiving Methotrexate</t>
  </si>
  <si>
    <t>NCT04564053</t>
  </si>
  <si>
    <t>Study of Safety, Tolerability and Pharmacokinetics of LNA043 in Japanese Osteoarthritis Participants</t>
  </si>
  <si>
    <t>NCT05203601</t>
  </si>
  <si>
    <t>A Phase Ⅰa Clinical Study Exploring Efficacy of SIBP-03 When Treating the Patients With Advanced Malignant Solid Tumors.</t>
  </si>
  <si>
    <t>Shanghai Institute Of Biological Products</t>
  </si>
  <si>
    <t>NCT04385095</t>
  </si>
  <si>
    <t>Trial of Inhaled Anti-viral (SNG001) for SARS-CoV-2 (COVID-19) Infection</t>
  </si>
  <si>
    <t>Synairgen Research Ltd.</t>
  </si>
  <si>
    <t>NCT04483375</t>
  </si>
  <si>
    <t>Safety, Tolerability and Pharmacokinetics of SCTA01, an Anti-SARS-CoV-2 Monoclonal Antibody, in Healthy Chinese Subjects</t>
  </si>
  <si>
    <t>Sinocelltech Ltd.</t>
  </si>
  <si>
    <t>NCT04494815</t>
  </si>
  <si>
    <t>A Phase 1b Study to Evaluate the Efficacy, Safety, Tolerability, and Pharmacokinetics of SR419</t>
  </si>
  <si>
    <t>Shanghai SIMR Biotechnology Co., Ltd.</t>
  </si>
  <si>
    <t>NCT03961815</t>
  </si>
  <si>
    <t>Open-label Extension Study of Brazikumab in Crohn's Disease</t>
  </si>
  <si>
    <t>NCT04229225</t>
  </si>
  <si>
    <t>A Study of Single and Repeat Dose Administration of UBX0101 in Patients With Osteoarthritis of the Knee</t>
  </si>
  <si>
    <t>Unity Biotechnology, Inc.</t>
  </si>
  <si>
    <t>NCT04323124</t>
  </si>
  <si>
    <t>Study of Single and Multiple Ascending Doses of PF-07059013 in Healthy Adult Participants</t>
  </si>
  <si>
    <t>NCT04274738</t>
  </si>
  <si>
    <t>A Study of Mavorixafor in Combination With Ibrutinib in Participants With Waldenstrom's Macroglobulinemia (WM) Whose Tumors Express Mutations in MYD88 and CXCR4</t>
  </si>
  <si>
    <t>X4 Pharmaceuticals</t>
  </si>
  <si>
    <t>NCT04550325</t>
  </si>
  <si>
    <t>Safety, PK and PD of Kamada Anti-SARS-CoV-2 in COVID-19</t>
  </si>
  <si>
    <t>Kamada, Ltd.</t>
  </si>
  <si>
    <t>NCT04204408</t>
  </si>
  <si>
    <t>A Research Study Investigating Mim8 in People With Haemophilia A</t>
  </si>
  <si>
    <t>NCT04443608</t>
  </si>
  <si>
    <t>Patiromer Utility as an Adjunct Treatment in Patients Needing Urgent Hyperkalemia Management</t>
  </si>
  <si>
    <t>Comprehensive Research Associates</t>
  </si>
  <si>
    <t>NCT04662710</t>
  </si>
  <si>
    <t>Efficacy and Safety of Lenvatinib (E7080/MK-7902) Plus Pembrolizumab (MK-3475) Plus Chemotherapy in Participants With Advanced/Metastatic Gastroesophageal Adenocarcinoma (MK-7902-015/E7080-G000-321/LEAP-015)</t>
  </si>
  <si>
    <t>NCT04446260</t>
  </si>
  <si>
    <t>A Study of SHR-A1811 in Subjects With Advanced Malignant Solid Tumors</t>
  </si>
  <si>
    <t>NCT04367090</t>
  </si>
  <si>
    <t>Pharmacokinetic Study of Pyrotinib and Docetaxel in Combination With Trastuzumab in Patients With HER2 Metastatic Breast Cancer</t>
  </si>
  <si>
    <t>NCT06131476</t>
  </si>
  <si>
    <t>Clinical Investigation of Visual Acuity in Contact Lens Wearers After Instillation of a Lipid- Based Lubricating Eye Drop</t>
  </si>
  <si>
    <t>Johnson &amp; Johnson Vision Care, Inc.</t>
  </si>
  <si>
    <t>NCT04282590</t>
  </si>
  <si>
    <t>A Study to Investigate the Safety and Efficacy of TRK-750 for the Treatment of Patients With CIPN (Chopin Study)</t>
  </si>
  <si>
    <t>Toray Industries, Inc</t>
  </si>
  <si>
    <t>NCT04582318</t>
  </si>
  <si>
    <t>A Phase 1/2 Study to Assess the Safety, Tolerability and Pharmacokinetics of NGM621 in Healthy Subjects, and to Assess the Safety, PK and Efficacy in Subjects With Moderate to Severe ARDS Caused by COVID-19</t>
  </si>
  <si>
    <t>NCT04478279</t>
  </si>
  <si>
    <t>A Phase 1-2 Study of ST101 in Patients With Advanced Solid Tumors</t>
  </si>
  <si>
    <t>Sapience Therapeutics</t>
  </si>
  <si>
    <t>NCT04501679</t>
  </si>
  <si>
    <t>A Study to Assess the Efficacy and Safety of Nemolizumab (CD14152) in Participants With Prurigo Nodularis (PN)</t>
  </si>
  <si>
    <t>Galderma R&amp;D</t>
  </si>
  <si>
    <t>NCT04657497</t>
  </si>
  <si>
    <t>A Study of FOY-305 in Patients With SARS-Cov-2 Infection (COVID-19)</t>
  </si>
  <si>
    <t>NCT04073680</t>
  </si>
  <si>
    <t>A Phase 1b/2 Study of Serabelisib in Combination With Canagliflozin in Patients With Advanced Solid Tumors</t>
  </si>
  <si>
    <t>Petra Pharma</t>
  </si>
  <si>
    <t>NCT04440696</t>
  </si>
  <si>
    <t>To Evaluate the Patient Tolerance, Pharmacodynamics and Pharmacokinetics of Lanthanum Polystyrene Sulfonate Powder</t>
  </si>
  <si>
    <t>Grand Life Science (Liaoning) Co., Ltd.</t>
  </si>
  <si>
    <t>NCT04626596</t>
  </si>
  <si>
    <t>A Study to Assess Contraceptive Efficacy and Safety of Etonogestrel (ENG) Implant Beyond 3 Years of Use (MK-8415-060)</t>
  </si>
  <si>
    <t>Organon and Co</t>
  </si>
  <si>
    <t>NCT04519788</t>
  </si>
  <si>
    <t>AT-301 Nasal Spray in Healthy Adults</t>
  </si>
  <si>
    <t>Atossa Therapeutics, Inc.</t>
  </si>
  <si>
    <t>NCT04653142</t>
  </si>
  <si>
    <t>A Study to Test Different Doses of BI 765063 Alone and in Combination With BI 754091 in Japanese Patients With Different Types of Advanced Cancer (Solid Tumors)</t>
  </si>
  <si>
    <t>NCT04566770</t>
  </si>
  <si>
    <t>A Clinical Trial of A COVID-19 Vaccine Named Recombinant Novel Coronavirus Vaccine (Adenovirus Type 5 Vector)</t>
  </si>
  <si>
    <t>NCT04474470</t>
  </si>
  <si>
    <t>A Study to Evaluate NT219 Alone and in Combination with ERBITUX® (Cetuximab) in Adults with Advanced Solid Tumors and Head and Neck Cancer</t>
  </si>
  <si>
    <t>TyrNovo Ltd.</t>
  </si>
  <si>
    <t>NCT04488705</t>
  </si>
  <si>
    <t>A First in Human Study to Evaluate the Safety, Tolerability and Pharmacokinetics of Single and Multiple Ascending Doses of Inhaled ETD002 in Healthy Subjects</t>
  </si>
  <si>
    <t>Enterprise Therapeutics Ltd</t>
  </si>
  <si>
    <t>NCT04333654</t>
  </si>
  <si>
    <t>Hydroxychloroquine in Outpatient Adults With COVID-19</t>
  </si>
  <si>
    <t>NCT04426890</t>
  </si>
  <si>
    <t>To Compare Efficacy and Safety of CT-P39 and EU-approved Xolair in Patients With Chronic Spontaneous Urticaria</t>
  </si>
  <si>
    <t>Celltrion</t>
  </si>
  <si>
    <t>NCT04520386</t>
  </si>
  <si>
    <t>OMT-111 for Terminal Stage Solid Tumors</t>
  </si>
  <si>
    <t>MetiMedi Pharmaceuticals</t>
  </si>
  <si>
    <t>NCT04478461</t>
  </si>
  <si>
    <t>Safety, Tolerability, and Pharmacokinetics of MW11 in Patients With Advanced Solid Tumors</t>
  </si>
  <si>
    <t>Mabwell (Shanghai) Bioscience Co., Ltd.</t>
  </si>
  <si>
    <t>NCT04380142</t>
  </si>
  <si>
    <t>Study Comparing Continuous Subcutaneous Infusion Of ABBV-951 With Oral Carbidopa/Levodopa Tablets For Treatment Of Motor Fluctuations In Adult Participants With Advanced Parkinson's Disease</t>
  </si>
  <si>
    <t>NCT04460105</t>
  </si>
  <si>
    <t>Lanadelumab in Participants Hospitalized With COVID-19 Pneumonia</t>
  </si>
  <si>
    <t>Shire</t>
  </si>
  <si>
    <t>NCT04524273</t>
  </si>
  <si>
    <t>Myasthenia Gravis Inebilizumab Trial</t>
  </si>
  <si>
    <t>NCT04525131</t>
  </si>
  <si>
    <t>Safety, Dose Tolerance, Pharmacokinetics, Pharmacodynamics of CPX-POM in Patients With Newly Diagnosed or Recurrent Bladder Tumors</t>
  </si>
  <si>
    <t>CicloMed LLC</t>
  </si>
  <si>
    <t>NCT04088266</t>
  </si>
  <si>
    <t>An Open-Label, Single-Center Study to Evaluate the Exposure-Response Relationship Between the Plasma Drug Concentrations and the Change From Baseline in QTc at Steady State Following Once-daily Administration of CASSIPA® in Opioid Dependent Subjects.</t>
  </si>
  <si>
    <t>Teva Pharmaceuticals USA</t>
  </si>
  <si>
    <t>NCT04616196</t>
  </si>
  <si>
    <t>Study of NKTR 255 in Combination With Cetuximab in Solid Tumors</t>
  </si>
  <si>
    <t>Nektar Therapeutics</t>
  </si>
  <si>
    <t>NCT04146805</t>
  </si>
  <si>
    <t>Safety, Tolerability, Pharmacokinetics, and Pharmacodynamics of BLD-0409 in Healthy Subjects</t>
  </si>
  <si>
    <t>Blade Therapeutics</t>
  </si>
  <si>
    <t>NCT04379856</t>
  </si>
  <si>
    <t>Proof of Concept Study in Patients With Short Bowel Syndrome</t>
  </si>
  <si>
    <t>9 Meters Biopharma, Inc.</t>
  </si>
  <si>
    <t>NCT04326959</t>
  </si>
  <si>
    <t>Implantation of Mesenchymal Stem Cell, Conditioned Medium, or Triamcinolone Acetonide for Keloid</t>
  </si>
  <si>
    <t>PT. Prodia Stem Cell Indonesia</t>
  </si>
  <si>
    <t>NCT04380805</t>
  </si>
  <si>
    <t>A Study of AK104, a PD-1/CTLA-4 Bispecific Antibody in Subjects With Recurrent/Metastatic Cervical Cancer</t>
  </si>
  <si>
    <t>NCT03214666</t>
  </si>
  <si>
    <t>GTB-3550 Tri-Specific Killer Engager (TriKE®) for High Risk Hematological Malignancies</t>
  </si>
  <si>
    <t>GT Biopharma, Inc.</t>
  </si>
  <si>
    <t>NCT04544956</t>
  </si>
  <si>
    <t>A Mechanistic Study of GSK3228836 With Fine Needle Aspiration (FNA) in Participants With Chronic Hepatitis B</t>
  </si>
  <si>
    <t>NCT04252586</t>
  </si>
  <si>
    <t>A Long-term Safety Study of Cannabidiol Oral Solution (GWP42003-P, CBD-OS) in Patients With Rett Syndrome</t>
  </si>
  <si>
    <t>NCT04492722</t>
  </si>
  <si>
    <t>A Study to Evaluate the Safety and Efficacy of AZD5718 in Participants With Proteinuric Chronic Kidney Disease</t>
  </si>
  <si>
    <t>NCT04774107</t>
  </si>
  <si>
    <t>The Pharmacokinetics of P1101 + Ribavirin in Interferon Treatment-Naïve Subjects With Chronic Hepatitis C Virus (HCV) Genotype 2 Infection</t>
  </si>
  <si>
    <t>PharmaEssentia</t>
  </si>
  <si>
    <t>NCT04345471</t>
  </si>
  <si>
    <t>A Study of MD-120 in Patients With Depression</t>
  </si>
  <si>
    <t>NCT04599881</t>
  </si>
  <si>
    <t>A Study of PTR-01 in Recessive Dystrophic Epidermolysis Bullosa</t>
  </si>
  <si>
    <t>Phoenix Tissue Repair, Inc.</t>
  </si>
  <si>
    <t>NCT04373265</t>
  </si>
  <si>
    <t>Study of Relacorilant in Combination With Pembrolizumab for Patients With Adrenocortical Carcinoma Which Produces Too Much Stress Hormone (Cortisol)</t>
  </si>
  <si>
    <t>NCT04435392</t>
  </si>
  <si>
    <t>Jaktinib Hydrochloride Cream For Atopic Dermatitis</t>
  </si>
  <si>
    <t>NCT04442945</t>
  </si>
  <si>
    <t>Phase 1 Study of ANAVEX3-71</t>
  </si>
  <si>
    <t>Anavex Life Sciences Corp.</t>
  </si>
  <si>
    <t>NCT04486781</t>
  </si>
  <si>
    <t>A Study of Pembrolizumab+ sEphB4 in Metastatic Urothelial Carcinoma</t>
  </si>
  <si>
    <t>Vasgene Therapeutics, Inc</t>
  </si>
  <si>
    <t>NCT04485481</t>
  </si>
  <si>
    <t>Single and Multiple Ascending Dose Study of ADX-914 in Healthy Adult Volunteers</t>
  </si>
  <si>
    <t>Q32 Bio Inc.</t>
  </si>
  <si>
    <t>NCT04551677</t>
  </si>
  <si>
    <t>Annual Study for Collection of Serum Samples in Children and Older Adults Receiving the 2020-2021 Formulations of Fluzone Quadrivalent Vaccine and Fluzone High-Dose Quadrivalent Vaccine, Respectively</t>
  </si>
  <si>
    <t>NCT05154201</t>
  </si>
  <si>
    <t>Treatment of Patients With Advanced Solid Tumors With Oral Agent ORIN1001 and in Combination With Standard of Care.</t>
  </si>
  <si>
    <t>Orinove, Inc.</t>
  </si>
  <si>
    <t>NCT04407234</t>
  </si>
  <si>
    <t>A Study to Measure Stomach Emptying in Overweight Non-diabetic and Diabetic Participants Using Tirzepatide</t>
  </si>
  <si>
    <t>NCT04906434</t>
  </si>
  <si>
    <t>A Study to Assess the Safety, Tolerability, and Pharmacokinetics of ABSK-011 in Patients With Advanced Solid Tumor</t>
  </si>
  <si>
    <t>Abbisko Therapeutics Co, Ltd</t>
  </si>
  <si>
    <t>NCT04292730</t>
  </si>
  <si>
    <t>Study to Evaluate the Safety and Antiviral Activity of Remdesivir (GS-5734™) in Participants With Moderate Coronavirus Disease (COVID-19) Compared to Standard of Care Treatment</t>
  </si>
  <si>
    <t>NCT04735536</t>
  </si>
  <si>
    <t>Pilot Clinical Study of CT1812 in Mild to Moderate Alzheimer's Disease Using EEG</t>
  </si>
  <si>
    <t>Cognition Therapeutics</t>
  </si>
  <si>
    <t>NCT04564612</t>
  </si>
  <si>
    <t>Study of BIIB091 Formulations in Healthy Participants</t>
  </si>
  <si>
    <t>NCT04535544</t>
  </si>
  <si>
    <t>A Study of JNJ-73763989 + Nucleos(t)Ide Analog in Participants Co-Infected With Hepatitis B and Hepatitis D Virus</t>
  </si>
  <si>
    <t>NCT04569032</t>
  </si>
  <si>
    <t>A Study of Brentuximab Vedotin and CHP in Frontline Treatment of PTCL With Less Than 10% CD30 Expression</t>
  </si>
  <si>
    <t>Seagen, a wholly owned subsidiary of Pfizer</t>
  </si>
  <si>
    <t>NCT04480294</t>
  </si>
  <si>
    <t>A Phase I Study to Evaluate the Safety, Tolerability, Pharmacokinetics, Pharmacodynamics and Food Effect of Oral HRS5091 in Healthy Subjects and Chronic Hepatitis B Patients</t>
  </si>
  <si>
    <t>NCT04443751</t>
  </si>
  <si>
    <t>A Safety and Efficacy Study of SHR-1702 Monotherapy in Patients With Acute Myeloid Leukemia (AML) or Myelodysplastic Syndrome (MDS)</t>
  </si>
  <si>
    <t>NCT04428151</t>
  </si>
  <si>
    <t>Lenvatinib (E7080/MK-7902) in Combination With Pembrolizumab (MK-3475) vs. Standard Chemotherapy and Lenvatinib Monotherapy in Participants With Recurrent/Metastatic Head and Neck Squamous Cell Carcinoma That Progressed After Platinum Therapy and Immunotherapy (MK-7902-009/E7080-G000-228/LEAP-009)</t>
  </si>
  <si>
    <t>NCT04517253</t>
  </si>
  <si>
    <t>A Study of Baricitinib (LY3009104) in Adult and Pediatric Japanese Participants With NNS/CANDLE, SAVI, and AGS</t>
  </si>
  <si>
    <t>NCT04549168</t>
  </si>
  <si>
    <t>A Study of Lemborexant in Chinese Participants With Insomnia Disorder</t>
  </si>
  <si>
    <t>NCT04215978</t>
  </si>
  <si>
    <t>Safety and Preliminary Effectiveness of BGB-A445 in Combination With Tislelizumab in Participants With Advanced Solid Tumors</t>
  </si>
  <si>
    <t>NCT04177290</t>
  </si>
  <si>
    <t>A PK Similarity Study of Two Sintilimab Products Produced by Different Processes in Advanced or Metastatic NSCLC Patients</t>
  </si>
  <si>
    <t>Innovent Biologics (Suzhou) Co. Ltd.</t>
  </si>
  <si>
    <t>NCT04351243</t>
  </si>
  <si>
    <t>A Study to Assess the Efficacy and Safety of Gimsilumab in Subjects With Lung Injury or Acute Respiratory Distress Syndrome Secondary to COVID-19 (BREATHE)</t>
  </si>
  <si>
    <t>Kinevant Sciences GmbH</t>
  </si>
  <si>
    <t>NCT04608955</t>
  </si>
  <si>
    <t>Evaluation of Early Bactericidal Activity and Safety in Pulmonary Tuberculosis With WX-081</t>
  </si>
  <si>
    <t>Shanghai Jiatan Pharmatech Co., Ltd</t>
  </si>
  <si>
    <t>NCT04685538</t>
  </si>
  <si>
    <t>Chloroprocaine 3% Gel Eye Drop as Topical Anestheticsin Phacoemulsification.</t>
  </si>
  <si>
    <t>Sintetica SA</t>
  </si>
  <si>
    <t>NCT04541485</t>
  </si>
  <si>
    <t>To Evaluate Safety, Tolerability and Pharmacodynamics of DWRX2003 Against COVID-19 (in Philippines)</t>
  </si>
  <si>
    <t>NCT04522089</t>
  </si>
  <si>
    <t>A Study to Evaluate the Safety and Immunogenicity of COVID-19 (AdimrSC-2f) Vaccine</t>
  </si>
  <si>
    <t>Adimmune Corporation</t>
  </si>
  <si>
    <t>NCT04558021</t>
  </si>
  <si>
    <t>A Study To Evaluate The Efficacy And Safety Of a Novel Niclosamide Suspension Formulation For COVID-19</t>
  </si>
  <si>
    <t>Imuneks Farma ilac San. Tic. A.S.</t>
  </si>
  <si>
    <t>NCT04328844</t>
  </si>
  <si>
    <t>A Study to Assess a PI3Kδ Inhibitor (IOA-244) in Patients With Metastatic Cancers</t>
  </si>
  <si>
    <t>iOnctura</t>
  </si>
  <si>
    <t>NCT04497987</t>
  </si>
  <si>
    <t>A Study of LY3819253 (LY-CoV555) and LY3832479 (LY-CoV016) in Preventing SARS-CoV-2 Infection and COVID-19 in Nursing Home Residents and Staff</t>
  </si>
  <si>
    <t>NCT04683484</t>
  </si>
  <si>
    <t>A Clinical Trial to Assess the Safety and Immunogenicity of Nanocovax in Heathy Volunteers</t>
  </si>
  <si>
    <t>Nanogen Pharmaceutical Biotechnology Joint Stock Company</t>
  </si>
  <si>
    <t>NCT04482309</t>
  </si>
  <si>
    <t>A Phase 2 Study of T-DXd in Patients With Selected HER2 Expressing Tumors</t>
  </si>
  <si>
    <t>NCT04429087</t>
  </si>
  <si>
    <t>A Study to Test Different Doses of Obrixtamig in Patients With Small Cell Lung Cancer and Other Neuroendocrine Tumours That Are Positive for DLL3</t>
  </si>
  <si>
    <t>NCT03977792</t>
  </si>
  <si>
    <t>An Open Label Study to Evaluate the Safety and Efficacy of BOR15001L7 for the Treatment of Cold Sores in Patients With Recurrent Herpes Labialis</t>
  </si>
  <si>
    <t>Laboratoire Boreaderme Inc.</t>
  </si>
  <si>
    <t>NCT04525599</t>
  </si>
  <si>
    <t>A Study to Assess the Safety, Tolerability and Immunogenicity of ASP3772, a Pneumococcal Vaccine, in Toddlers 12 to 15 Months of Age in Comparison to an Active Comparator</t>
  </si>
  <si>
    <t>NCT06215521</t>
  </si>
  <si>
    <t>A Study to Evaluate the Effect of Pirtobrutinib (LOXO-305) on QTc Interval in Healthy Participants</t>
  </si>
  <si>
    <t>NCT04289987</t>
  </si>
  <si>
    <t>A Study to Evaluate the Efficacy and Safety of Therapeutic Hepatitis B Vaccine</t>
  </si>
  <si>
    <t>CHA Vaccine Institute Co., Ltd.</t>
  </si>
  <si>
    <t>NCT03974516</t>
  </si>
  <si>
    <t>Careseng 1370 for Healthy Volunteers</t>
  </si>
  <si>
    <t>i Cure Biotech Co., Ltd.</t>
  </si>
  <si>
    <t>NCT04572152</t>
  </si>
  <si>
    <t>A Study of AK119 (Anti-CD73) in Combination With AK104 in Subjects With Advanced Solid Tumors</t>
  </si>
  <si>
    <t>NCT04314544</t>
  </si>
  <si>
    <t>Efficacy and Safety of Tildrakizumab Compared to Placebo in Subjects With Active Psoriatic Arthritis I (INSPIRE 1)</t>
  </si>
  <si>
    <t>NCT04585100</t>
  </si>
  <si>
    <t>FM101 Safety, Tolerability, Efficacy Study in the Patients With Ocular Hypertension</t>
  </si>
  <si>
    <t>Future Medicine</t>
  </si>
  <si>
    <t>NCT04456686</t>
  </si>
  <si>
    <t>Chronic Pain Master Protocol (CPMP): A Study of LY3016859 in Participants With Osteoarthritis</t>
  </si>
  <si>
    <t>NCT04479631</t>
  </si>
  <si>
    <t>Safety, Tolerability, and Pharmacokinetics Study of Human Monoclonal Antibody BRII-196</t>
  </si>
  <si>
    <t>Brii Biosciences Limited</t>
  </si>
  <si>
    <t>NCT04592653</t>
  </si>
  <si>
    <t>Less Frequent IV Dosing &amp; Tumor Microenvironment (TME) Study of Nemvaleukin Alfa (ALKS 4230) Monotherapy and in Combination With Pembrolizumab (ARTISTRY-3)</t>
  </si>
  <si>
    <t>Mural Oncology, Inc</t>
  </si>
  <si>
    <t>NCT04830345</t>
  </si>
  <si>
    <t>Efficacy and Safety of Botulinum Toxin at Moderate to Severe Glabellar Lines</t>
  </si>
  <si>
    <t>EuBiologics Co.,Ltd</t>
  </si>
  <si>
    <t>NCT04466137</t>
  </si>
  <si>
    <t>Phase 3 Study to Evaluate the Safety and Efficacy of YPEG-rhG-CSF in Malignancies Receiving Chemotherapy</t>
  </si>
  <si>
    <t>Xiamen Amoytop Biotech Co., Ltd.</t>
  </si>
  <si>
    <t>NCT04570657</t>
  </si>
  <si>
    <t>Study to Assess the Efficacy and Safety of MEDI3506 in Adults With Uncontrolled Moderate-to-severe Asthma</t>
  </si>
  <si>
    <t>NCT04684602</t>
  </si>
  <si>
    <t>Mesenchymal Stem Cells for the Treatment of Various Chronic and Acute Conditions</t>
  </si>
  <si>
    <t>Thomas Advanced Medical LLC</t>
  </si>
  <si>
    <t>NCT04428775</t>
  </si>
  <si>
    <t>A Safety and Biomarker Study of ALZT-OP1a in Subjects With Mild-Moderate ALS Disease</t>
  </si>
  <si>
    <t>AZTherapies, Inc.</t>
  </si>
  <si>
    <t>NCT04321330</t>
  </si>
  <si>
    <t>A Study to Investigate the Efficacy and Safety of Atezolizumab (Tecentriq) in Previously-Treated Patients With Advanced Thymic Carcinoma</t>
  </si>
  <si>
    <t>NCT04244253</t>
  </si>
  <si>
    <t>A Phase 2 Trial of OPC-64005 for Major Depressive Disorder</t>
  </si>
  <si>
    <t>Otsuka Pharmaceutical Co., Ltd.</t>
  </si>
  <si>
    <t>NCT04407377</t>
  </si>
  <si>
    <t>Effects of Tolperisone on Measures of Drowsiness and Cognitive Function</t>
  </si>
  <si>
    <t>Neurana Pharmaceuticals, Inc.</t>
  </si>
  <si>
    <t>NCT04666012</t>
  </si>
  <si>
    <t>Safety and Immunogenicity Study of AdCLD-CoV19: A COVID-19 Preventive Vaccine in Healthy Volunteers</t>
  </si>
  <si>
    <t>Cellid Co., Ltd.</t>
  </si>
  <si>
    <t>NCT03992430</t>
  </si>
  <si>
    <t>A Study to Compare Safety and Efficacy of High Doses of Eteplirsen in Participants With Duchenne Muscular Dystrophy (DMD) (MIS51ON)</t>
  </si>
  <si>
    <t>Sarepta Therapeutics, Inc.</t>
  </si>
  <si>
    <t>NCT05175131</t>
  </si>
  <si>
    <t>Efficacy and Safety of Mebeverine + Simethicone in Patients With Functional Bowel Disorders</t>
  </si>
  <si>
    <t>Abbott</t>
  </si>
  <si>
    <t>NCT04783753</t>
  </si>
  <si>
    <t>Drug-Drug Interaction Study Between EDP-514, Itraconazole, Carbamazepine, and Quinidine in Healthy Subjects</t>
  </si>
  <si>
    <t>NCT04411472</t>
  </si>
  <si>
    <t>(Revival) Study to Investigate the Efficacy and Safety of Alkaline Phosphatase in Patients With Sepsis-Associated AKI</t>
  </si>
  <si>
    <t>AM-Pharma</t>
  </si>
  <si>
    <t>NCT04362072</t>
  </si>
  <si>
    <t>Study of Lorlatinib In People With ALK-positive Non-small Cell Lung Cancer</t>
  </si>
  <si>
    <t>NCT04353830</t>
  </si>
  <si>
    <t>A Study Evaluating the Safety, Tolerability, and Initial Efficacy of Recombinant Human Anti-T-cell Immunoreceptor With Ig and ITIM Domains (TIGIT) Monoclonal Antibody Injection (IBI939) in Subjects With Advanced Malignant Tumors</t>
  </si>
  <si>
    <t>NCT04229030</t>
  </si>
  <si>
    <t>RZL-012 for Dercum's Disease Lipomas</t>
  </si>
  <si>
    <t>Raziel Therapeutics Ltd.</t>
  </si>
  <si>
    <t>NCT04374877</t>
  </si>
  <si>
    <t>Study of CHS-388 (Formerly Known as SRF388) in Patients With Advanced Solid Tumors</t>
  </si>
  <si>
    <t>Coherus Oncology, Inc.</t>
  </si>
  <si>
    <t>NCT04411030</t>
  </si>
  <si>
    <t>A Study to Investigate the Effect of CYP3A4 Inhibition on the Single Dose Pharmacokinetics of ASTX660 and the Effect of a Single Dose of ASTX660 on the Pharmacokinetics of the CYP3A4 Substrate Midazolam</t>
  </si>
  <si>
    <t>NCT04335539</t>
  </si>
  <si>
    <t>A Study to Assess the Safety, Tolerability, and Pharmacokinetics of Single and Multiple Doses of Cefiderocol in Hospitalized Pediatric Participants</t>
  </si>
  <si>
    <t>NCT04439539</t>
  </si>
  <si>
    <t>A Study of JNJ-73763989, Pegylated Interferon Alpha-2a, Nucleos(t)Ide Analog (NA) With or Without JNJ-56136379 in Treatment-naive Participants With Hepatitis B e Antigen (HBeAg) Positive Chronic Hepatitis B Virus (HBV) Infection</t>
  </si>
  <si>
    <t>NCT04306237</t>
  </si>
  <si>
    <t>A Study to Evaluate the Safety, Tolerability, and Efficacy of IMB-1018972 in Patients With Refractory Angina</t>
  </si>
  <si>
    <t>Imbria Pharmaceuticals, Inc.</t>
  </si>
  <si>
    <t>NCT04203901</t>
  </si>
  <si>
    <t>Dendritic Cell Immunotherapy Plus Standard Treatment of Advanced Renal Cell Carcinoma</t>
  </si>
  <si>
    <t>CoImmune</t>
  </si>
  <si>
    <t>NCT04368429</t>
  </si>
  <si>
    <t>Study of a Quadrivalent Meningococcal Conjugate Vaccine as a Single Dose Compared With a Single Dose of a Meningococcal Reference Vaccine in Children, Adolescents, and Adults 2 to 55 Years of Age</t>
  </si>
  <si>
    <t>NCT04453137</t>
  </si>
  <si>
    <t>Pharmacokinetic, Efficacy, Safety, and Immunogenicity of AVT02 With Moderate to Severe Chronic Plaque Psoriasis</t>
  </si>
  <si>
    <t>Alvotech Swiss AG</t>
  </si>
  <si>
    <t>NCT04205812</t>
  </si>
  <si>
    <t>Platinum-Based Chemotherapy With/Without INCMGA00012, an Anti-PD-1 Antibody, in Non-Small Cell Lung Cancer</t>
  </si>
  <si>
    <t>NCT04284228</t>
  </si>
  <si>
    <t>Antigen-specific T Cell Therapy for AML or MDS Patients With Relapsed Disease After Allo-HCT</t>
  </si>
  <si>
    <t>NCT04326829</t>
  </si>
  <si>
    <t>QL1604 Monotherapy for dMMR or MSI-H Advanced Solid Tumors</t>
  </si>
  <si>
    <t>NCT04490512</t>
  </si>
  <si>
    <t>Study of FluBHPVE6E7 in HPV-16 Infected Women</t>
  </si>
  <si>
    <t>BlueSky Immunotherapies GmbH</t>
  </si>
  <si>
    <t>NCT06012565</t>
  </si>
  <si>
    <t>KAND567 Versus Placebo in Subjects Hospitalized With COVID-19</t>
  </si>
  <si>
    <t>Novakand Pharma AB</t>
  </si>
  <si>
    <t>NCT04210375</t>
  </si>
  <si>
    <t>Study of JK07 in Subjects With Heart Failure With Reduced Ejection Fraction (HFrEF)</t>
  </si>
  <si>
    <t>Salubris Biotherapeutics Inc</t>
  </si>
  <si>
    <t>NCT04210219</t>
  </si>
  <si>
    <t>A Study of JNJ-64264681 in Participants With Non-Hodgkin Lymphoma and Chronic Lymphocytic Leukemia</t>
  </si>
  <si>
    <t>NCT04347239</t>
  </si>
  <si>
    <t>Evaluate the Efficacy &amp; Safety of Leronlimab in Patients With Severe or Critical COVID-19</t>
  </si>
  <si>
    <t>NCT04335136</t>
  </si>
  <si>
    <t>Recombinant Human Angiotensin-converting Enzyme 2 (rhACE2) as a Treatment for Patients With COVID-19</t>
  </si>
  <si>
    <t>Apeiron Biologics</t>
  </si>
  <si>
    <t>NCT04218734</t>
  </si>
  <si>
    <t>A Study of DBPR108 and Metformin Hydrochloride Combination Therapy in Patients With T2DM</t>
  </si>
  <si>
    <t>NCT04452214</t>
  </si>
  <si>
    <t>A Study of the Safety and Tolerance of CAN04 and Pembrolizumab in Combination With and Without Carboplatin and Pemetrexed in Subjects With Solid Tumors</t>
  </si>
  <si>
    <t>Cantargia AB</t>
  </si>
  <si>
    <t>NCT04220632</t>
  </si>
  <si>
    <t>A Study of IBI377 in Combination With Corticosteroids for the Treatment of First-Line Acute Graft-Versus-Host Disease</t>
  </si>
  <si>
    <t>NCT04416984</t>
  </si>
  <si>
    <t>Safety and Efficacy of ALLO-501A Anti-CD19 Allogeneic CAR T Cells in Adults With Relapsed/Refractory Large B Cell Lymphoma, Chronic Lymphocytic Leukemia and Small Lymphocytic Lymphoma (ALPHA2)</t>
  </si>
  <si>
    <t>Allogene Therapeutics</t>
  </si>
  <si>
    <t>NCT04065971</t>
  </si>
  <si>
    <t>Randomized, Placebo-controlled, Double-blind Study of 2LHERP® in Orofacial Herpes Infections.</t>
  </si>
  <si>
    <t>Labo'Life</t>
  </si>
  <si>
    <t>NCT04221321</t>
  </si>
  <si>
    <t>Effect of Tegoprazan or RAPA114 on Pharmacokinetic of Atorvastatin in Healthy Adult Volunteers</t>
  </si>
  <si>
    <t>NCT04812509</t>
  </si>
  <si>
    <t>Efficacy and Safety of MW032 and Xgeva® in Subjects With Bone Metastases From Solid Tumors</t>
  </si>
  <si>
    <t>NCT04346914</t>
  </si>
  <si>
    <t>Study of ZKAB001 Combined With Carboplatin and Etoposide in the Extensive Small Cell Lung Cancer</t>
  </si>
  <si>
    <t>NCT04491136</t>
  </si>
  <si>
    <t>Effective Study of ARNI on Ventricular Arrhythmia in HFrEF Patients With ICD or CRT-D (RHYTHM)</t>
  </si>
  <si>
    <t>NCT04717063</t>
  </si>
  <si>
    <t>Clinical Efficacy of Single-Use of Peroxyl Mouthwash for Reducing Bacteria Saliva and Bioaerosol Contamination Phase 2</t>
  </si>
  <si>
    <t>Colgate Palmolive</t>
  </si>
  <si>
    <t>NCT05921916</t>
  </si>
  <si>
    <t>Study to Assess the Safety and Tolerability of MBF-118 in Healthy Volunteers</t>
  </si>
  <si>
    <t>Medibiofarma S.L.</t>
  </si>
  <si>
    <t>NCT04585464</t>
  </si>
  <si>
    <t>A Study to Assess Safety, Tolerability, and PK of EDG-5506 in Healthy Volunteers and Becker Muscular Dystrophy Adults</t>
  </si>
  <si>
    <t>Edgewise Therapeutics, Inc.</t>
  </si>
  <si>
    <t>NCT04077099</t>
  </si>
  <si>
    <t>A Study of REGN5093 in Adult Patients With Mesenchymal Epithelial Transition Factor (MET)-Altered Advanced Non-Small Cell Lung Cancer</t>
  </si>
  <si>
    <t>NCT04386304</t>
  </si>
  <si>
    <t>Safety and Biomarker Response to (+)-Epicatechin in Becker Muscular Dystrophy</t>
  </si>
  <si>
    <t>Epirium Bio Inc.</t>
  </si>
  <si>
    <t>NCT04557163</t>
  </si>
  <si>
    <t>Drug-drug Interaction Study with TS-142 in Healthy Adult Subjects (concomitant Administration of Itraconazole)</t>
  </si>
  <si>
    <t>Taisho Pharmaceutical Co., Ltd.</t>
  </si>
  <si>
    <t>NCT04220411</t>
  </si>
  <si>
    <t>A Study for AR100DP1 in Mild to Moderate Atopic Dermatitis (AD)</t>
  </si>
  <si>
    <t>Arjil Pharmaceuticals LLC</t>
  </si>
  <si>
    <t>NCT04322032</t>
  </si>
  <si>
    <t>Clinical Study to Evaluate the Pharmacokinetic Profiles and Safety of CKD-389</t>
  </si>
  <si>
    <t>NCT04381832</t>
  </si>
  <si>
    <t>Adenosine Receptor Antagonist Combination Therapy for Metastatic Castrate Resistant Prostate Cancer</t>
  </si>
  <si>
    <t>NCT04483479</t>
  </si>
  <si>
    <t>Orally Administered ENT-01 for Parkinson's Disease-Related Constipation Follow-on Safety "Roll-over" Study (Rollover)</t>
  </si>
  <si>
    <t>Enterin Inc.</t>
  </si>
  <si>
    <t>NCT04375696</t>
  </si>
  <si>
    <t>Randomized Double Blind Placebo Controlled Clinical Trial to Evaluate Obese and Overweight Subjects</t>
  </si>
  <si>
    <t>Certmedica International GmbH</t>
  </si>
  <si>
    <t>NCT04658862</t>
  </si>
  <si>
    <t>A Study of TAR-200 in Combination With Cetrelimab Versus Concurrent Chemoradiotherapy in Participants With Muscle-invasive Bladder Cancer (MIBC) of the Bladder</t>
  </si>
  <si>
    <t>NCT04482569</t>
  </si>
  <si>
    <t>Study to Evaluate Safety, Tolerability, and Pharmacokinetics of XNW4107 Alone or in Combination With Imipenem/Cilastatin</t>
  </si>
  <si>
    <t>Evopoint Biosciences Inc.</t>
  </si>
  <si>
    <t>NCT04507269</t>
  </si>
  <si>
    <t>Study of VIR-2218 in Patients With Chronic Hepatitis B in Mainland China</t>
  </si>
  <si>
    <t>NCT04413227</t>
  </si>
  <si>
    <t>A Phase Ib Study With Pegylated Recombinant Human Endostatin in Advanced / Metastatic NSCLC or Other Solid Tumors</t>
  </si>
  <si>
    <t>Jiangsu Simcere Pharmaceutical Co., Ltd.</t>
  </si>
  <si>
    <t>NCT04206605</t>
  </si>
  <si>
    <t>A Study of Lanadelumab in Teenagers and Adults to Prevent Acute Attacks of Non-histaminergic Angioedema With Normal C1-Inhibitor (C1-INH)</t>
  </si>
  <si>
    <t>NCT04591262</t>
  </si>
  <si>
    <t>A Study To Asses Mass Balance And Absolute Bioavailability Of 14C PF-06826647 In Healthy Male Participants</t>
  </si>
  <si>
    <t>NCT04433494</t>
  </si>
  <si>
    <t>A Study of TY-302 in Patients With Advanced Solid Tumors</t>
  </si>
  <si>
    <t>TYK Medicines, Inc</t>
  </si>
  <si>
    <t>NCT04285086</t>
  </si>
  <si>
    <t>Ropeginterferon Alfa-2b (P1101) vs. Anagrelide in Essential Thrombocythemia Patients With Hydroxyurea Resistance or Intolerance</t>
  </si>
  <si>
    <t>NCT04219241</t>
  </si>
  <si>
    <t>Clinical Extension Study for Safety and Efficacy Evaluation of Cellavita-HD Administration in Huntington's Patients.</t>
  </si>
  <si>
    <t>Azidus Brasil</t>
  </si>
  <si>
    <t>NCT04198818</t>
  </si>
  <si>
    <t>A Study to Evaluate the Safety, Tolerability and Pharmacokinetics of HH2710 in Patient With Advanced Tumors</t>
  </si>
  <si>
    <t>Haihe Biopharma Co., Ltd.</t>
  </si>
  <si>
    <t>NCT04394624</t>
  </si>
  <si>
    <t>Tusamitamab Ravtansine (SAR408701) in Combination With Ramucirumab or Ramucirumab and Pembrolizumab in Pretreated Patients With NSQ NSCLC (CARMEN-LC04)</t>
  </si>
  <si>
    <t>NCT04278924</t>
  </si>
  <si>
    <t>A Study of TAK-079 in Adults With Persistent/Chronic Primary Immune Thrombocytopenia</t>
  </si>
  <si>
    <t>NCT04033159</t>
  </si>
  <si>
    <t>Early Phase Human Drug Trial to Investigate Dynamin 101 (DYN101) in Patients ≥ 16 Years With Centronuclear Myopathies</t>
  </si>
  <si>
    <t>Dynacure</t>
  </si>
  <si>
    <t>NCT04476017</t>
  </si>
  <si>
    <t>A Study to Evaluate the Safety and Tolerability of SAGE-718 in Participants With Parkinson's Disease Mild Cognitive Impairment (PD-MCI)</t>
  </si>
  <si>
    <t>Supernus Pharmaceuticals, Inc.</t>
  </si>
  <si>
    <t>NCT04267250</t>
  </si>
  <si>
    <t>Effect Of Multiple Dose PF-06700841 On The Pharmacokinetics Of Single Dose Oral Contraceptive Steroids</t>
  </si>
  <si>
    <t>NCT04422210</t>
  </si>
  <si>
    <t>A Study Evaluating The Safety, Tolerability, Pharmacokinetics, And Efficacy Of Venetoclax In Combination With Atezolizumab, Carboplatin, And Etoposide In Participants With Untreated Extensive-Stage Small Cell Lung Cancer (ES-SCLC).</t>
  </si>
  <si>
    <t>NCT04413617</t>
  </si>
  <si>
    <t>TO ASSESS THE EFFICACY AND SAFETY OF PF-06650833, PF-06651600, AND TOFACITINIB ALONE AND IN COMBINATION IN PARTICIPANTS WITH ACTIVE RHEUMATOID ARTHRITIS WITH AN INADEQUATE RESPONSE TO METHOTREXATE</t>
  </si>
  <si>
    <t>NCT04669691</t>
  </si>
  <si>
    <t>A Dose-ranging Pediatric Study of an Adjuvanted Pandemic Influenza Vaccine</t>
  </si>
  <si>
    <t>Seqirus</t>
  </si>
  <si>
    <t>NCT04260191</t>
  </si>
  <si>
    <t>Study of AMG 910 in Subjects With CLDN18.2-Positive Gastric and Gastroesophageal Junction Adenocarcinoma</t>
  </si>
  <si>
    <t>NCT04602390</t>
  </si>
  <si>
    <t>Assessment of ANK-700 in Patients With Relapsing Remitting Multiple Sclerosis</t>
  </si>
  <si>
    <t>Anokion SA</t>
  </si>
  <si>
    <t>NCT04433559</t>
  </si>
  <si>
    <t>Study of Pharmacological Treatment in Women With Female Sexual Interest/Arousal Disorder (FSIAD).</t>
  </si>
  <si>
    <t>Lidia Larrañaga</t>
  </si>
  <si>
    <t>NCT04642950</t>
  </si>
  <si>
    <t>A Phase II/III Study of Sargramostim</t>
  </si>
  <si>
    <t>Nobelpharma</t>
  </si>
  <si>
    <t>NCT04451668</t>
  </si>
  <si>
    <t>An Open Label Study of FT218 in Subjects With Narcolepsy</t>
  </si>
  <si>
    <t>Avadel</t>
  </si>
  <si>
    <t>NCT04806659</t>
  </si>
  <si>
    <t>A Phase 1 Study of SH1573 Capsules in Subjects With Refractory or Relapsed Acute Myelogenous Leukemia</t>
  </si>
  <si>
    <t>NCT04430842</t>
  </si>
  <si>
    <t>Dose Escalation Study to Assess the Safety, Tolerability, Pharmacokinetics, and Pharmacodynamics of QBS10072S</t>
  </si>
  <si>
    <t>Quadriga Biosciences, Inc.</t>
  </si>
  <si>
    <t>NCT04537442</t>
  </si>
  <si>
    <t>Clinical Study to Evaluate the Safety and Efficacy of IM21 CAR-T Cells in the Treatment of Elderly Patients With Relapsed or Refractory Multiple Myeloma</t>
  </si>
  <si>
    <t>Beijing Immunochina Medical Science &amp; Technology Co., Ltd.</t>
  </si>
  <si>
    <t>NCT04658186</t>
  </si>
  <si>
    <t>A 18-month Study to Evaluate the Efficacy, Safety, Tolerability and Pharmacokinetics of Oral UCB0599 in Study Participants With Early-stage Parkinson's Disease</t>
  </si>
  <si>
    <t>NCT04221451</t>
  </si>
  <si>
    <t>A Multinational, Randomized, Double-blind, Placebo-controlled Study to Assess the Efficacy, Pharmacodynamics, Pharmacokinetics, and Safety of Venglustat in Late-onset GM2</t>
  </si>
  <si>
    <t>Genzyme, a Sanofi Company</t>
  </si>
  <si>
    <t>NCT04690751</t>
  </si>
  <si>
    <t>Bioavailability and Food Effect Study of Cenobamate as an Oral Suspension and Tablet</t>
  </si>
  <si>
    <t>NCT04446351</t>
  </si>
  <si>
    <t>Study of the Safety and Effectiveness of GSK6097608 in Participants With Advanced Solid Tumors</t>
  </si>
  <si>
    <t>NCT03996369</t>
  </si>
  <si>
    <t>Etrasimod Versus Placebo as Induction Therapy in Moderately to Severely Active Ulcerative Colitis</t>
  </si>
  <si>
    <t>Arena Pharmaceuticals</t>
  </si>
  <si>
    <t>NCT04455503</t>
  </si>
  <si>
    <t>Study of Adjuvant Immunotherapy With EVX-02 and Anti-PD-1</t>
  </si>
  <si>
    <t>Evaxion Biotech A/S</t>
  </si>
  <si>
    <t>NCT04538742</t>
  </si>
  <si>
    <t>A Phase 1b/2 Study of T-DXd Combinations in HER2-positive Metastatic Breast Cancer</t>
  </si>
  <si>
    <t>NCT04502888</t>
  </si>
  <si>
    <t>Ph1 Study of SL-172154 Administered Intratumorally in Subjects With Squamous Cell Carcinoma of the Head and Neck or Skin</t>
  </si>
  <si>
    <t>Shattuck Labs, Inc.</t>
  </si>
  <si>
    <t>NCT04556617</t>
  </si>
  <si>
    <t>PLX2853 in Combination With Abiraterone Acetate and Prednisone and in Combination With Olaparib in Subjects With Metastatic Castration-Resistant Prostate Cancer (mCRPC)</t>
  </si>
  <si>
    <t>Opna Bio LLC</t>
  </si>
  <si>
    <t>NCT04612725</t>
  </si>
  <si>
    <t>A Study to Investigate the Use of Benralizumab in Patients With Chronic Spontaneous Urticaria Who Are Symptomatic Despite the Use of Antihistamines (ARROYO)</t>
  </si>
  <si>
    <t>NCT04325776</t>
  </si>
  <si>
    <t>A Study of AL2846 Versus Zoledronic Acid in Subjects With Advanced Non-Small Cell Lung Cancer With Bone Metastasis</t>
  </si>
  <si>
    <t>NCT04612517</t>
  </si>
  <si>
    <t>A Multiple Ascending Dose Trial Assessing Safety, Tolerability, Pharmacokinetics and Pharmacodynamics of ZP7570</t>
  </si>
  <si>
    <t>NCT05264493</t>
  </si>
  <si>
    <t>Bioavailability Study of Naloxone 5 Milligrams (mg) Intramuscular (IM) Autoinjector</t>
  </si>
  <si>
    <t>NCT04315298</t>
  </si>
  <si>
    <t>Evaluation of the Efficacy and Safety of Sarilumab in Hospitalized Patients With COVID-19</t>
  </si>
  <si>
    <t>NCT04428333</t>
  </si>
  <si>
    <t>Study of GSK3359609 With Pembrolizumab and 5-fluorouracil (5-FU)-Platinum Chemotherapy in Participants With Recurrent or Metastatic Head and Neck Squamous Cell Carcinoma</t>
  </si>
  <si>
    <t>NCT04269252</t>
  </si>
  <si>
    <t>CHI-907 CBD Extract and Experiences of Test Anxiety</t>
  </si>
  <si>
    <t>NCT04471038</t>
  </si>
  <si>
    <t>Safety, Tolerability, and Pharmacokinetics of SAB-176 in Healthy Participants</t>
  </si>
  <si>
    <t>SAb Biotherapeutics, Inc.</t>
  </si>
  <si>
    <t>NCT04184050</t>
  </si>
  <si>
    <t>Study of HPN217 in Participants With Relapsed/Refractory Multiple Myeloma MK-4002 (MK-4002-001)</t>
  </si>
  <si>
    <t>Harpoon Therapeutics, Inc., a subsidiary of Merck &amp; Co., Inc. (Rahway, New Jersey USA)</t>
  </si>
  <si>
    <t>NCT04626297</t>
  </si>
  <si>
    <t>A Study of Lebrikizumab (LY3650150) on Vaccine Response in Adults With Atopic Dermatitis (ADopt-VA)</t>
  </si>
  <si>
    <t>NCT04391959</t>
  </si>
  <si>
    <t>Evaluation of AZR-MD-001 in Patients With Meibomian Gland Dysfunction (MGD)</t>
  </si>
  <si>
    <t>Azura Ophthalmics</t>
  </si>
  <si>
    <t>NCT06090123</t>
  </si>
  <si>
    <t>Drug-Drug Interaction (DDI) Study for TPN171H</t>
  </si>
  <si>
    <t>Vigonvita Life Sciences</t>
  </si>
  <si>
    <t>NCT04362410</t>
  </si>
  <si>
    <t>Tezepelumab Phase 1 PK Study in Healthy Chinese Subjects</t>
  </si>
  <si>
    <t>NCT04294810</t>
  </si>
  <si>
    <t>A Study of Tiragolumab in Combination With Atezolizumab Compared With Placebo in Combination With Atezolizumab in Patients With Previously Untreated Locally Advanced Unresectable or Metastatic PD-L1-Selected Non-Small Cell Lung Cancer</t>
  </si>
  <si>
    <t>NCT04343859</t>
  </si>
  <si>
    <t>A Study of IMMH-010 in Patients With Advanced Malignant Solid Tumors</t>
  </si>
  <si>
    <t>Tianjin Chasesun Pharmaceutical Co., LTD</t>
  </si>
  <si>
    <t>NCT04260360</t>
  </si>
  <si>
    <t>Trial of NanoDoce Intratumoral Injection in Renal Cell Carcinoma</t>
  </si>
  <si>
    <t>NanOlogy, LLC</t>
  </si>
  <si>
    <t>NCT04196101</t>
  </si>
  <si>
    <t>A Study to Assess EDP-938 for the Treatment of Acute Upper Respiratory Tract Infection With Respiratory Syncytial Virus in Adult Subjects</t>
  </si>
  <si>
    <t>NCT04641481</t>
  </si>
  <si>
    <t>An Efficacy and Safety Clinical Trial of an Investigational COVID-19 Vaccine (BBV152) in Adult Volunteers</t>
  </si>
  <si>
    <t>Bharat Biotech International Limited</t>
  </si>
  <si>
    <t>NCT04541628</t>
  </si>
  <si>
    <t>Safety &amp; Efficacy of Encapsulated Allogeneic FVIII Cell Therapy in Haemophilia A</t>
  </si>
  <si>
    <t>NCT04462536</t>
  </si>
  <si>
    <t>Efficacy and Safety of Nerinetide in Participants With Acute Ischemic Stroke Undergoing Endovascular Thrombectomy Excluding Thrombolysis</t>
  </si>
  <si>
    <t>NoNO Inc.</t>
  </si>
  <si>
    <t>NCT04462263</t>
  </si>
  <si>
    <t>Study to Investigate the Receptor Occupancy of HTL0014242 Using [18F] FPEB in Healthy Male Subjects</t>
  </si>
  <si>
    <t>Nxera Pharma UK Limited</t>
  </si>
  <si>
    <t>NCT04447287</t>
  </si>
  <si>
    <t>A Study to Assess the Effect of a Single Dose of ASP8062 on the Multiple Dose Safety, Tolerability and Pharmacokinetics of Buprenorphine/Naloxone in Participants With Opioid Use Disorder</t>
  </si>
  <si>
    <t>NCT04210349</t>
  </si>
  <si>
    <t>Study of Shenzhen Quadrivalent Inactivated Influenza Vaccine Versus the Shenzhen Trivalent Inactivated Influenza Vaccine in Chinese Subjects From 6 Months of Age</t>
  </si>
  <si>
    <t>NCT03129126</t>
  </si>
  <si>
    <t>The Safety, Tolerability and Efficacy of LP-10 in Subjects With Refractory Moderate to Severe Hemorrhagic Cystitis</t>
  </si>
  <si>
    <t>Lipella Pharmaceuticals, Inc.</t>
  </si>
  <si>
    <t>NCT04187508</t>
  </si>
  <si>
    <t>A Study to Evaluate the Effect of AZD8154 Administered Via Nebulizer Once Daily in Subjects With Mild Allergic Asthma Challenged With an Inhaled Allergen</t>
  </si>
  <si>
    <t>NCT04540965</t>
  </si>
  <si>
    <t>Impact of a Histamine H2 Receptor Antagonist (H2RA) on the Pharmacokinetics (PK) of Telaglenastat in Healthy Subjects</t>
  </si>
  <si>
    <t>NCT04457336</t>
  </si>
  <si>
    <t>A Ph2b to Evaluate Clinical Efficacy and Safety of Tildacerfont in Adult CAH</t>
  </si>
  <si>
    <t>Spruce Biosciences</t>
  </si>
  <si>
    <t>NCT04469998</t>
  </si>
  <si>
    <t>Evaluation of AXR-270 for the Treatment of Posterior Blepharitis Associated With Meibomian Gland Dysfunction</t>
  </si>
  <si>
    <t>AxeroVision, Inc.</t>
  </si>
  <si>
    <t>NCT04262804</t>
  </si>
  <si>
    <t>A Study to Evaluate the Efficacy and Safety of Margetuximab Plus Chemotherapy in the Treatment of Chinese Patients With HER2+ MBC</t>
  </si>
  <si>
    <t>NCT04294004</t>
  </si>
  <si>
    <t>KUR-113 Bone Graft Versus Local Autograft for the Treatment of Single-level Transforaminal Lumbar Interbody Fusion</t>
  </si>
  <si>
    <t>Kuros Biosurgery AG</t>
  </si>
  <si>
    <t>NCT04381884</t>
  </si>
  <si>
    <t>Ivermectin Effect on SARS-CoV-2 Replication in Patients With COVID-19</t>
  </si>
  <si>
    <t>Laboratorio Elea Phoenix S.A.</t>
  </si>
  <si>
    <t>NCT04262336</t>
  </si>
  <si>
    <t>Study to Evaluate Safety and Efficacy of DB-020 to Protect Hearing in Patients Receiving Cisplatin for Cancer Treatment</t>
  </si>
  <si>
    <t>Decibel Therapeutics</t>
  </si>
  <si>
    <t>NCT04301804</t>
  </si>
  <si>
    <t>A Trial of SHR6390 in Healthy Caucasian Volunteers</t>
  </si>
  <si>
    <t>NCT04237116</t>
  </si>
  <si>
    <t>A Study of Secukinumab Treatment in Patients With Plaque Psoriasis and Coexisting Non-alcoholic Fatty Liver Disease (NAFLD)</t>
  </si>
  <si>
    <t>NCT04348916</t>
  </si>
  <si>
    <t>Study of ONCR-177 Alone and in Combination With PD-1 Blockade in Adult Subjects With Advanced and/or Refractory Cutaneous, Subcutaneous or Metastatic Nodal Solid Tumors or With Liver Metastases of Solid Tumors</t>
  </si>
  <si>
    <t>Oncorus, Inc.</t>
  </si>
  <si>
    <t>NCT04650555</t>
  </si>
  <si>
    <t>BIO 300 Oral Powder Safety and Pharmacokinetics</t>
  </si>
  <si>
    <t>Humanetics Corporation</t>
  </si>
  <si>
    <t>NCT04470726</t>
  </si>
  <si>
    <t>Safety and Efficacy Evaluation of AIV001 in Nonmelanoma Skin Cancer of the Low Risk Basal Cell Carcinoma Subtype</t>
  </si>
  <si>
    <t>NCT04248426</t>
  </si>
  <si>
    <t>A Phase 1 Double-Blinded Study for Safety, Tolerability, Pharmacokinetics, and Antiviral Activity of ATI-2173 in Healthy Subjects and Subjects With Chronic Hepatitis B Virus Infection</t>
  </si>
  <si>
    <t>Antios Therapeutics, Inc</t>
  </si>
  <si>
    <t>NCT04205630</t>
  </si>
  <si>
    <t>SYD985 in Patients With HER2-expressing Recurrent, Advanced or Metastatic Endometrial Carcinoma</t>
  </si>
  <si>
    <t>NCT04672928</t>
  </si>
  <si>
    <t>A Phase Ib/III Clinical Study to Evaluate the Efficacy and Safety of IBI318 in Combination With Paclitaxel Versus Placebo in Combination With Paclitaxel in Patients With Small Cell Lung Cancer Who Have Failed First-line or Above Chemotherapies</t>
  </si>
  <si>
    <t>NCT04349436</t>
  </si>
  <si>
    <t>Study to Investigate the Efficacy and Safety of RP1 in Adult Patients With Organ Transplants and Advanced Skin Malignancies</t>
  </si>
  <si>
    <t>Replimune, Inc.</t>
  </si>
  <si>
    <t>NCT04355936</t>
  </si>
  <si>
    <t>Telmisartan for Treatment of COVID-19 Patients</t>
  </si>
  <si>
    <t>NCT04646044</t>
  </si>
  <si>
    <t>A Placebo Controlled Trial of Bempegaldesleukin (BEMPEG; NKTR-214) With Standard of Care in Patients With Mild COVID-19</t>
  </si>
  <si>
    <t>NCT04420884</t>
  </si>
  <si>
    <t>A Study of Dazostinag as Single Agent and Dazostinag in Combination With Pembrolizumab in Adults With Advanced or Metastatic Solid Tumors</t>
  </si>
  <si>
    <t>NCT04415749</t>
  </si>
  <si>
    <t>NasoShield in Healthy Adults to Study Safety and Immunogenicity</t>
  </si>
  <si>
    <t>NCT04232345</t>
  </si>
  <si>
    <t>A Study to Assess the Effect AZD4831 in Japanese and Chinese Healthy Volunteers</t>
  </si>
  <si>
    <t>NCT06135181</t>
  </si>
  <si>
    <t>A Study to Learn More About the Safety and the Blood Level of BAY1747846 Given as Injection Into the Vein at Increasing Single Doses in Chinese Healthy Male Participants</t>
  </si>
  <si>
    <t>NCT04596319</t>
  </si>
  <si>
    <t>Ph 1/2 Study Evaluating Safety and Tolerability of Inhaled AP-PA02 in Subjects With Chronic Pseudomonas Aeruginosa Lung Infections and Cystic Fibrosis</t>
  </si>
  <si>
    <t>Armata Pharmaceuticals, Inc.</t>
  </si>
  <si>
    <t>NCT04389632</t>
  </si>
  <si>
    <t>A Study of Sigvotatug Vedotin in Advanced Solid Tumors</t>
  </si>
  <si>
    <t>NCT04674800</t>
  </si>
  <si>
    <t>Extension Study of MYL-1701P-3001 for Safety and Efficacy</t>
  </si>
  <si>
    <t>Mylan Pharmaceuticals Inc</t>
  </si>
  <si>
    <t>NCT04375514</t>
  </si>
  <si>
    <t>Study of ARO-ENaC in Healthy Volunteers and in Patients With Cystic Fibrosis</t>
  </si>
  <si>
    <t>NCT04553406</t>
  </si>
  <si>
    <t>Safety, Tolerability, Pharmacokinetics and Efficacy of SPR720 for the Treatment of Patients With Mycobacterium Avium Complex (MAC) Pulmonary Disease</t>
  </si>
  <si>
    <t>Spero Therapeutics</t>
  </si>
  <si>
    <t>NCT04286438</t>
  </si>
  <si>
    <t>Bentracimab in Ticagrelor-treated Patients With Uncontrolled Bleeding or Requiring Urgent Surgery or Invasive Procedure</t>
  </si>
  <si>
    <t>SFJ Pharmaceuticals, Inc.</t>
  </si>
  <si>
    <t>NCT05149898</t>
  </si>
  <si>
    <t>Open-Label Study of ZYN002 Administered as a Transdermal Gel to Children and Adolescents With 22q11.2 Deletion Syndrome (INSPIRE)</t>
  </si>
  <si>
    <t>Harmony Biosciences Management, Inc.</t>
  </si>
  <si>
    <t>NCT05200000</t>
  </si>
  <si>
    <t>Wharton's Jelly Eye Drops in the Treatment of Chronic Keratitis</t>
  </si>
  <si>
    <t>NCT04797793</t>
  </si>
  <si>
    <t>A Study Comparing Adapalene Gel 0.1% and to Differin Gel in the Treatment of Acne Vulgaris</t>
  </si>
  <si>
    <t>Sun Pharmaceutical Industries, Inc.</t>
  </si>
  <si>
    <t>NCT04435600</t>
  </si>
  <si>
    <t>A Study of Subcutaneous Risankizumab Injection for Pediatric Participants With Moderate to Severe Plaque Psoriasis to Assess Change in Disease Symptoms</t>
  </si>
  <si>
    <t>NCT04175600</t>
  </si>
  <si>
    <t>A Study of Selexipag as Add-On Treatment to Standard of Care in Children With Pulmonary Arterial Hypertension</t>
  </si>
  <si>
    <t>Actelion</t>
  </si>
  <si>
    <t>NCT04524611</t>
  </si>
  <si>
    <t>Study Comparing Intravenous (IV)/Subcutaneous (SC) Risankizumab to IV/SC Ustekinumab to Assess Change in Crohn's Disease Activity Index (CDAI) in Adult Participants With Moderate to Severe Crohn's Disease (CD)</t>
  </si>
  <si>
    <t>NCT04187144</t>
  </si>
  <si>
    <t>Comparative Study to Evaluate Efficacy and Safety of Gepotidacin to Nitrofurantoin in Treatment of Uncomplicated Urinary Tract Infection (UTI)</t>
  </si>
  <si>
    <t>NCT04516564</t>
  </si>
  <si>
    <t>A Study of AK119 (Anti-CD73 Antibody), a Treatment for COVID-19, in Healthy Subjects</t>
  </si>
  <si>
    <t>Akesobio Australia Pty Ltd</t>
  </si>
  <si>
    <t>NCT04560816</t>
  </si>
  <si>
    <t>A Study of the Cardiac Effects of ALXN1840 in Healthy Adults</t>
  </si>
  <si>
    <t>NCT04510298</t>
  </si>
  <si>
    <t>A Study of the Safety, PK, and Exploratory Efficacy of SP-624 in Acutely Psychotic Adult Subjects With Schizophrenia</t>
  </si>
  <si>
    <t>Sirtsei Pharmaceuticals, Inc.</t>
  </si>
  <si>
    <t>NCT04363814</t>
  </si>
  <si>
    <t>Clinical Impact of BACTEK-R in Subject With Mild Pneumonia Due to COVID-19 Infection</t>
  </si>
  <si>
    <t>NCT03492996</t>
  </si>
  <si>
    <t>A Mass Balance Study of LCB01-0371 After a Single Oral LCB01-0371 Dose With a [14C]LCB01-0371-microtrace</t>
  </si>
  <si>
    <t>LigaChem Biosciences, Inc.</t>
  </si>
  <si>
    <t>NCT04269031</t>
  </si>
  <si>
    <t>A First-in-human Study to Assess the Safety, Tolerability, Pharmacokinetics and Pharmacodynamics of AZD2373 After Single Dose Administration in Healthy Male Subjects of African Ancestry.</t>
  </si>
  <si>
    <t>NCT04543812</t>
  </si>
  <si>
    <t>PBF-1681 (Ferric Citrate) for the Treatment of IDA in Patients With NDD-CKD</t>
  </si>
  <si>
    <t>Panion &amp; BF Biotech Inc.</t>
  </si>
  <si>
    <t>NCT04523207</t>
  </si>
  <si>
    <t>A Study of Apalutamide (Adjuvant Treatment) and Androgen Deprivation Therapy (ADT) in Participants Who Have Undergone Radical Prostatectomy (RP) for Non-metastatic Prostate Cancer and Who Are at High Risk for Metastases</t>
  </si>
  <si>
    <t>NCT04507256</t>
  </si>
  <si>
    <t>AZD7442 - a Potential Combination Therapy for the Prevention and Treatment of COVID-19</t>
  </si>
  <si>
    <t>NCT06677853</t>
  </si>
  <si>
    <t>Timolol Maleate Gel for the Treatment of Infantile Hemangioma</t>
  </si>
  <si>
    <t>Auson Pharmaceuticals Inc.</t>
  </si>
  <si>
    <t>NCT04378075</t>
  </si>
  <si>
    <t>A Study to Evaluate Efficacy and Safety of Vatiquinone for Treating Mitochondrial Disease in Participants With Refractory Epilepsy</t>
  </si>
  <si>
    <t>PTC Therapeutics</t>
  </si>
  <si>
    <t>NCT04327388</t>
  </si>
  <si>
    <t>Sarilumab COVID-19</t>
  </si>
  <si>
    <t>NCT04189588</t>
  </si>
  <si>
    <t>Phase 2 Study IV QUZYTTIR™ (Cetirizine Hydrochloride Injection) vs V Diphenhydramine</t>
  </si>
  <si>
    <t>TerSera Therapeutics LLC</t>
  </si>
  <si>
    <t>NCT05496205</t>
  </si>
  <si>
    <t>A SAD Study to Evaluate the Safety, Tolerability and PK/PD of iN1011-N17 in Healthy Volunteers</t>
  </si>
  <si>
    <t>iN Therapeutics Co., Ltd.</t>
  </si>
  <si>
    <t>NCT04398745</t>
  </si>
  <si>
    <t>A Study of Belantamab Mafodotin Monotherapy in Multiple Myeloma Participants With Normal and Varying Degree of Impaired Renal Function</t>
  </si>
  <si>
    <t>NCT04042545</t>
  </si>
  <si>
    <t>Safety and Efficacy of Inhaled Cannabis For the Uncontrolled Pain Relief in Patients With Advanced Cancer</t>
  </si>
  <si>
    <t>Tetra Bio-Pharma</t>
  </si>
  <si>
    <t>NCT04446065</t>
  </si>
  <si>
    <t>Previfenon® as Chemoprophylaxis of COVID-19 in Health Workers</t>
  </si>
  <si>
    <t>MELISA Institute Genomics &amp; Proteomics Research SpA</t>
  </si>
  <si>
    <t>NCT04160065</t>
  </si>
  <si>
    <t>Immunotherapy With IFx-Hu2.0 Vaccine for Advanced Non-melanoma Skin Cancers</t>
  </si>
  <si>
    <t>TuHURA Biosciences, Inc.</t>
  </si>
  <si>
    <t>NCT04461600</t>
  </si>
  <si>
    <t>A Study of AL101 Monotherapy in Patients With Notch Activated Triple Negative Breast Cancer</t>
  </si>
  <si>
    <t>Ayala Pharmaceuticals, Inc,</t>
  </si>
  <si>
    <t>NCT04190628</t>
  </si>
  <si>
    <t>Safety and Tolerability of ABM-1310 in Patients With Advanced Solid Tumors</t>
  </si>
  <si>
    <t>ABM Therapeutics Corporation</t>
  </si>
  <si>
    <t>NCT05551507</t>
  </si>
  <si>
    <t>IN10018 in Combination With Standard Chemotherapy in High-grade Serous Epithelial Ovarian Cancer</t>
  </si>
  <si>
    <t>NCT04686786</t>
  </si>
  <si>
    <t>An Open-label Extension Trial of CVL-865 as Adjunctive Therapy in the Treatment of Focal Onset Seizures</t>
  </si>
  <si>
    <t>NCT04269642</t>
  </si>
  <si>
    <t>SR-Exenatide (PT320) to Eveluate Efficacy and Safety in Patients With Early Parkinson's Disease</t>
  </si>
  <si>
    <t>Peptron, Inc.</t>
  </si>
  <si>
    <t>NCT04228783</t>
  </si>
  <si>
    <t>A Study of 2-dose Vaccine Regimen Using 3 Consecutive Lots of Ad26.ZEBOV and MVA-BN-Filo in Adult Participants</t>
  </si>
  <si>
    <t>NCT04625595</t>
  </si>
  <si>
    <t>Multiple Ascending Dose (MAD) Study of IMT-002 in HLA-DQ8-positive Type 1 Diabetes</t>
  </si>
  <si>
    <t>Immunomolecular Therapeutics, Inc.</t>
  </si>
  <si>
    <t>NCT04518995</t>
  </si>
  <si>
    <t>Study to Evaluate the Efficacy and Safety of CTP-543 in Adults With Moderate to Severe Alopecia Areata (THRIVE-AA1)</t>
  </si>
  <si>
    <t>Concert Pharmaceuticals</t>
  </si>
  <si>
    <t>NCT04631575</t>
  </si>
  <si>
    <t>An Investigational Study of SHR6390 in Participants With Mild to Moderate Liver Impairment and Healthy Participants</t>
  </si>
  <si>
    <t>NCT04363801</t>
  </si>
  <si>
    <t>A Study of DKN-01 in Combination With Tislelizumab ± Chemotherapy in Patients With Gastric or Gastroesophageal Cancer</t>
  </si>
  <si>
    <t>Leap Therapeutics, Inc.</t>
  </si>
  <si>
    <t>NCT04446507</t>
  </si>
  <si>
    <t>A Pharmacokinetic Study of Saroglitazar Magnesium in Subjects with Severe Renal Impairment and Normal Renal Function</t>
  </si>
  <si>
    <t>NCT03580044</t>
  </si>
  <si>
    <t>Efficacy, Safety, and Tolerability of ATM-AVI in the Treatment of Serious Infection Due to MBL-producing Gram-negative Bacteria</t>
  </si>
  <si>
    <t>NCT05846009</t>
  </si>
  <si>
    <t>A First-in-human Single and Repeated Dose Escalation Study of SAR442501 in Healthy Adults Subjects</t>
  </si>
  <si>
    <t>NCT04604795</t>
  </si>
  <si>
    <t>Study to Evaluate the Safety, Tolerability, and Pharmacokinetics of GSK3915393 in Healthy Participants and to Evaluate the Interaction Between GSK3915393 and Grapefruit Juice and Itraconazole</t>
  </si>
  <si>
    <t>NCT04255277</t>
  </si>
  <si>
    <t>To Study the Effect of Cenerimod on the Electrical Activity of the Heart, in Men and Women. To Study the Effect of Cenerimod on the Use of Oral Contraceptives in Women. To Study the Effect That Charcoal Has on the Elimination of Cenerimod From the Body, in Women and Men.</t>
  </si>
  <si>
    <t>NCT04445701</t>
  </si>
  <si>
    <t>Study of AO-176 as Monotherapy and in Combination With Bortezomib/Dexamethasone in Relapsed/Refractory Multiple Myeloma</t>
  </si>
  <si>
    <t>Arch Oncology</t>
  </si>
  <si>
    <t>NCT04640077</t>
  </si>
  <si>
    <t>A Follow-On Study of Donanemab (LY3002813) With Video Assessments in Participants With Alzheimer's Disease (TRAILBLAZER-EXT)</t>
  </si>
  <si>
    <t>NCT04380519</t>
  </si>
  <si>
    <t>Study of the Efficacy and Safety of a Single Administration of Olokizumab and RPH-104 With Standard Therapy in Patients With Severe Severe Acute Respiratory Syndrome Coronavirus 2 (SARS-CoV-2) Infection (COVID-19)</t>
  </si>
  <si>
    <t>R-Pharm International, LLC</t>
  </si>
  <si>
    <t>NCT04517877</t>
  </si>
  <si>
    <t>Caring Light Project for Family Caregivers</t>
  </si>
  <si>
    <t>Photozig, Inc.</t>
  </si>
  <si>
    <t>NCT06081712</t>
  </si>
  <si>
    <t>A Study to Investigate the Safety, Tolerability, and Pharmacokinetics of TNP-2198 Capsules in Asymptomatic Participants With Helicobacter Pylori Infection</t>
  </si>
  <si>
    <t>TenNor Therapeutics (Suzhou) Limited</t>
  </si>
  <si>
    <t>NCT04448119</t>
  </si>
  <si>
    <t>Control of COVID-19 Outbreaks in Long Term Care</t>
  </si>
  <si>
    <t>Appili Therapeutics Inc.</t>
  </si>
  <si>
    <t>NCT04744207</t>
  </si>
  <si>
    <t>A Study to Investigate Safety of GS-248 and Efficacy on Raynauds' Phenomenon in Systemic Sclerosis</t>
  </si>
  <si>
    <t>Gesynta Pharma AB</t>
  </si>
  <si>
    <t>NCT04701502</t>
  </si>
  <si>
    <t>Efficacy and Safety of Viusid and Asbrip in Hospitalized Patients With Mild and Moderate COVID-19</t>
  </si>
  <si>
    <t>Catalysis SL</t>
  </si>
  <si>
    <t>NCT04228445</t>
  </si>
  <si>
    <t>3,3'-Dioxo-2,2'-Bisindolylidene-5,5'-Disulfonate Disodium 0.8% Solution as an Aid for Ureteral Patency</t>
  </si>
  <si>
    <t>Prove pharm</t>
  </si>
  <si>
    <t>NCT04523272</t>
  </si>
  <si>
    <t>A Study of TQB2450 Injection Combined With Anlotinib Hydrochloride Capsule Versus Sunitinib in Subjects With Advanced Renal Cancer</t>
  </si>
  <si>
    <t>NCT04054544</t>
  </si>
  <si>
    <t>Gluten Challenge Study in Celiac Disease Participants (MK-0000-402)</t>
  </si>
  <si>
    <t>NCT04571944</t>
  </si>
  <si>
    <t>Efficacy and Safety of Suvorexant (MK-4305) for Reducing Incidence of Delirium in Japanese Participants at High Risk of Delirium (MK-4305-085)</t>
  </si>
  <si>
    <t>NCT04196283</t>
  </si>
  <si>
    <t>A Study to Determine the Safety, Tolerability, Pharmacokinetics, and Preliminary Efficacy of ABBV-368 Plus Tilsotolimod and Other Therapy Combinations in Participants With Recurrent/Metastatic Head and Neck Squamous Cell Carcinoma</t>
  </si>
  <si>
    <t>NCT04669041</t>
  </si>
  <si>
    <t>A Study to Evaluate the Efficacy and the Safety of Single Pill Combination (SPC) Ezetimibe/Rosuvastatin in Chinese Adult Patients With Primary Hypercholesterolemia Not Adequately Controlled on Statin Therapy</t>
  </si>
  <si>
    <t>NCT04470154</t>
  </si>
  <si>
    <t>A Study Evaluating the Safety, Pharmacokinetics, and Efficacy of HSK21542 Injection in Subjects Undergoing Hemodialysis</t>
  </si>
  <si>
    <t>NCT04425070</t>
  </si>
  <si>
    <t>A Study of Evaluating the Safety and Efficacy of ATG-010 Combined With Chemotherapy Sequential With ATG-010 Monotherapy Maintenance in Peripheral T- and NK/T-cell Lymphoma</t>
  </si>
  <si>
    <t>Antengene Corporation</t>
  </si>
  <si>
    <t>NCT04355286</t>
  </si>
  <si>
    <t>Bemotrizinol UV Filter Part 1 Clinical PK Evaluation in Topical MUsT Study</t>
  </si>
  <si>
    <t>dsm-firmenich Switzerland AG</t>
  </si>
  <si>
    <t>NCT04110886</t>
  </si>
  <si>
    <t>Safety, Tolerability, and Pharmacokinetics of HSK21542 in Healthy Volunteers</t>
  </si>
  <si>
    <t>Sichuan Haisco Pharmaceutical Group Co., Ltd</t>
  </si>
  <si>
    <t>NCT04642469</t>
  </si>
  <si>
    <t>Phase III Study to Determine Efficacy of Durvalumab in Stage II-III Non-small Cell Lung Cancer (NSCLC) After Curative Intent Therapy.</t>
  </si>
  <si>
    <t>NCT04655586</t>
  </si>
  <si>
    <t>Assessing Safety, Hospitalization and Efficacy of rNAPc2 in COVID-19</t>
  </si>
  <si>
    <t>ARCA Biopharma, Inc.</t>
  </si>
  <si>
    <t>NCT04547205</t>
  </si>
  <si>
    <t>A Study of Anti-VEGFR2 AK109 in Subjects With Advanced Solid Tumors</t>
  </si>
  <si>
    <t>NCT04473651</t>
  </si>
  <si>
    <t>Safety and Tolerability of Lu AG06479 in Healthy Young Men</t>
  </si>
  <si>
    <t>NCT04152837</t>
  </si>
  <si>
    <t>Safety of Lixivaptan in Subjects Previously Treated With Tolvaptan for Autosomal Dominant Polycystic Kidney Disease</t>
  </si>
  <si>
    <t>Palladio Biosciences</t>
  </si>
  <si>
    <t>NCT04361812</t>
  </si>
  <si>
    <t>Comparison of Pharmacokinetics and Safety of HS632 and Xolair® With a Single Injection</t>
  </si>
  <si>
    <t>BioRay Pharmaceutical Co., Ltd.</t>
  </si>
  <si>
    <t>NCT04609579</t>
  </si>
  <si>
    <t>Study of SNX281 in Subjects With Advanced Solid Tumors and Lymphoma</t>
  </si>
  <si>
    <t>Stingthera, Inc.</t>
  </si>
  <si>
    <t>NCT04501796</t>
  </si>
  <si>
    <t>A Trial of NT-I7 in COVID-19 (SPESELPIS)</t>
  </si>
  <si>
    <t>NeoImmuneTech</t>
  </si>
  <si>
    <t>NCT04468659</t>
  </si>
  <si>
    <t>AHEAD 3-45 Study: A Study to Evaluate Efficacy and Safety of Treatment With Lecanemab in Participants With Preclinical Alzheimer's Disease and Elevated Amyloid and Also in Participants With Early Preclinical Alzheimer's Disease and Intermediate Amyloid</t>
  </si>
  <si>
    <t>NCT04692766</t>
  </si>
  <si>
    <t>Study to Evaluate the Efficacy and Safety of RPH-104 Treatment in Patients With Idiopathic Recurrent Pericarditis</t>
  </si>
  <si>
    <t>NCT04460066</t>
  </si>
  <si>
    <t>A Study of Anti-PD-L1 Antibody in Neoadjuvant Chemotherapy of Esophageal Squamous Cell Carcinoma.</t>
  </si>
  <si>
    <t>NCT04600895</t>
  </si>
  <si>
    <t>The Prevent Severe COVID-19 (PRESECO) Study</t>
  </si>
  <si>
    <t>NCT04263623</t>
  </si>
  <si>
    <t>Clinical Study to Assess the Efficacy and Safety of AT-5214 in the Treatment of Subjects With Palmar Hyperhidrosis</t>
  </si>
  <si>
    <t>Atacama Therapeutics</t>
  </si>
  <si>
    <t>NCT04296461</t>
  </si>
  <si>
    <t>Study of Welgenaleucel (UWC19) in Patients With Relapsed or Refractory B-cell Lymphoma</t>
  </si>
  <si>
    <t>UWELL Biopharma</t>
  </si>
  <si>
    <t>NCT04362137</t>
  </si>
  <si>
    <t>Study to Assess the Efficacy and Safety of Ruxolitinib in Patients With COVID-19 Associated Cytokine Storm</t>
  </si>
  <si>
    <t>NCT04353375</t>
  </si>
  <si>
    <t>HMPL-453 Tartrate in Advanced Intrahepatic Cholangiocarcinoma</t>
  </si>
  <si>
    <t>Hutchmed</t>
  </si>
  <si>
    <t>NCT04645901</t>
  </si>
  <si>
    <t>A Study of SYHA1805 in Healthy Adult Subjects</t>
  </si>
  <si>
    <t>NCT04530110</t>
  </si>
  <si>
    <t>A Study to Test if Fremanezumab is Effective in Preventing Migraine in Children and Adolescents</t>
  </si>
  <si>
    <t>NCT04251117</t>
  </si>
  <si>
    <t>GNOS-PV02 Personalized Neoantigen Vaccine, INO-9012 and Pembrolizumab in Subjects With Advanced HCC</t>
  </si>
  <si>
    <t>Geneos Therapeutics</t>
  </si>
  <si>
    <t>NCT04108325</t>
  </si>
  <si>
    <t>A Phase Ib Study of YY-20394 in Patients With Relapsed or Refractory Peripheral T-Cell Lymphoma</t>
  </si>
  <si>
    <t>NCT04231968</t>
  </si>
  <si>
    <t>A Study of AK0529 in Chinese Infants Hospitalized With RSV</t>
  </si>
  <si>
    <t>Shanghai Ark Biopharmaceutical Co., Ltd.</t>
  </si>
  <si>
    <t>NCT04381650</t>
  </si>
  <si>
    <t>A Study of TAK-981 Given With Pembrolizumab in Participants With Select Advanced or Metastatic Solid Tumors</t>
  </si>
  <si>
    <t>NCT04668066</t>
  </si>
  <si>
    <t>Study to Evaluate Safety and Tolerability of PF-07242813 in Healthy Participants and Participants With Atopic Dermatitis</t>
  </si>
  <si>
    <t>NCT04295772</t>
  </si>
  <si>
    <t>Doravirine/Islatravir (DOR/ISL) in Pediatric Participants With Human Immunodeficiency Virus Type 1 (HIV-1) Who Are &lt;18 Years of Age and Weigh ≥35 kg (MK-8591A-028)</t>
  </si>
  <si>
    <t>NCT04464239</t>
  </si>
  <si>
    <t>A Single Ascending and Repeated Dose Study to Evaluate the Safety, Tolerability, and Pharmacokinetics of TS-142 in Healthy Participants</t>
  </si>
  <si>
    <t>Taisho Pharmaceutical R&amp;D Inc.</t>
  </si>
  <si>
    <t>NCT04776746</t>
  </si>
  <si>
    <t>Open-Label Extension Study of Trofinetide for Rett Syndrome</t>
  </si>
  <si>
    <t>ACADIA Pharmaceuticals Inc.</t>
  </si>
  <si>
    <t>NCT04255875</t>
  </si>
  <si>
    <t>Dose Escalation Study of PF-07209326 in Healthy Participants and Participants With Sickle Cell Disease</t>
  </si>
  <si>
    <t>NCT04110496</t>
  </si>
  <si>
    <t>Safety and Tolerability of RTX-134 in Adults With Phenylketonuria</t>
  </si>
  <si>
    <t>Rubius Therapeutics</t>
  </si>
  <si>
    <t>NCT05526313</t>
  </si>
  <si>
    <t>Study of Purinostat Mesylate for Injection in the Treatment of Relapsed or Refractory B Cell-related Tumor-predominant</t>
  </si>
  <si>
    <t>Chengdu Zenitar Biomedical Technology Co., Ltd</t>
  </si>
  <si>
    <t>NCT04385056</t>
  </si>
  <si>
    <t>Evaluate Umbilical Cord-derived Allogeneic Mesenchymal Stem Cells for the Treatment of Bradykinesia</t>
  </si>
  <si>
    <t>IMAC Holdings, Inc.</t>
  </si>
  <si>
    <t>NCT04627480</t>
  </si>
  <si>
    <t>Evaluation of a Neurostimulation Device for Insomnia: A Randomized Trial</t>
  </si>
  <si>
    <t>ProofPilot</t>
  </si>
  <si>
    <t>NCT04603846</t>
  </si>
  <si>
    <t>A Study of Anti-PD-L1 Antibody ZKAB001 Combined With Albumin-bound Paclitaxel in Advanced Urothelial Carcinoma</t>
  </si>
  <si>
    <t>NCT04541186</t>
  </si>
  <si>
    <t>Study to Explore the Efficacy and Safety of BIO89-100 (Pegozafermin) in Participants With Severe Hypertriglyceridemia</t>
  </si>
  <si>
    <t>89bio, Inc.</t>
  </si>
  <si>
    <t>NCT04559984</t>
  </si>
  <si>
    <t>JUVÉDERM VOLUX® for Chin Retrusion in China</t>
  </si>
  <si>
    <t>NCT04060758</t>
  </si>
  <si>
    <t>Open Label, Sequential-dose Study of PA5108 Latanoprost FA SR Ocular Implant for Mild-moderate Glaucoma</t>
  </si>
  <si>
    <t>PolyActiva Pty Ltd</t>
  </si>
  <si>
    <t>NCT04464226</t>
  </si>
  <si>
    <t>Study to Continue Treatment With Darolutamide in Patients Who Have Been Participating in Previous Darolutamide Studies Supported by Bayer</t>
  </si>
  <si>
    <t>NCT04578743</t>
  </si>
  <si>
    <t>Exercise as Concussion Therapy Trial- 2</t>
  </si>
  <si>
    <t>ANSwers Neuroscience, Inc.</t>
  </si>
  <si>
    <t>NCT04385368</t>
  </si>
  <si>
    <t>Phase III Study to Determine the Efficacy of Durvalumab in Combination With Chemotherapy in Completely Resected Stage II-III Non-small Cell Lung Cancer (NSCLC)</t>
  </si>
  <si>
    <t>NCT04242199</t>
  </si>
  <si>
    <t>Safety, Tolerability, Pharmacokinetics, and Pharmacodynamics of INCB099280 in Participants With Advanced Solid Tumors</t>
  </si>
  <si>
    <t>NCT04065555</t>
  </si>
  <si>
    <t>Intratumoral Microdosing of TAK-981 in Head and Neck Cancer</t>
  </si>
  <si>
    <t>Presage Biosciences</t>
  </si>
  <si>
    <t>NCT04050293</t>
  </si>
  <si>
    <t>Therapy for Migraine Prevention in Children 6-11 Years of Age</t>
  </si>
  <si>
    <t>NCT04322006</t>
  </si>
  <si>
    <t>A Phase I/II Study of TJ004309 for Advanced Solid Tumor</t>
  </si>
  <si>
    <t>TJ Biopharma Co., Ltd.</t>
  </si>
  <si>
    <t>NCT04405908</t>
  </si>
  <si>
    <t>SCB-2019 as COVID-19 Vaccine</t>
  </si>
  <si>
    <t>Clover Biopharmaceuticals AUS Pty</t>
  </si>
  <si>
    <t>NCT04560998</t>
  </si>
  <si>
    <t>A Research Study to Compare a Medicine Called Semaglutide Against Placebo in People With Peripheral Arterial Disease and Type 2 Diabetes</t>
  </si>
  <si>
    <t>NCT03646916</t>
  </si>
  <si>
    <t>Intraoperative Dexamethasone and Its Effect on Hyperglycemia</t>
  </si>
  <si>
    <t>Ascension Health</t>
  </si>
  <si>
    <t>NCT04234204</t>
  </si>
  <si>
    <t>A Study to Find Out if Fezolinetant Helps Reduce Moderate to Severe Hot Flashes in Women in Asia Going Through Menopause</t>
  </si>
  <si>
    <t>Astellas Pharma China, Inc.</t>
  </si>
  <si>
    <t>NCT04464733</t>
  </si>
  <si>
    <t>Safety, Tolerability, Pharmacokinetics(PK), Pharmacodynamics(PD) and Food Effect of HRS9950 in Healthy and CHB Subjects</t>
  </si>
  <si>
    <t>NCT04039347</t>
  </si>
  <si>
    <t>Extension Trial on Efficacy / Safety of L-CsA + SoC in Treating BOS in Post Single or Double Lung Transplant (BOSTON-3)</t>
  </si>
  <si>
    <t>Zambon SpA</t>
  </si>
  <si>
    <t>NCT04538625</t>
  </si>
  <si>
    <t>Prophylaxis of Diarrhea in Adult Cancer Patients Receiving Targeted Cancer Therapy</t>
  </si>
  <si>
    <t>Napo Pharmaceuticals, Inc.</t>
  </si>
  <si>
    <t>NCT04123548</t>
  </si>
  <si>
    <t>StrataGraft® Skin Tissue Expanded Access at Specific Study Sites ( StrataCAT )</t>
  </si>
  <si>
    <t>Stratatech, a Mallinckrodt Company</t>
  </si>
  <si>
    <t>NCT04493255</t>
  </si>
  <si>
    <t>A Study to Determine the Metabolism and Elimination of [14C]E7090 in Healthy Male Participants</t>
  </si>
  <si>
    <t>Eisai Limited</t>
  </si>
  <si>
    <t>NCT04035135</t>
  </si>
  <si>
    <t>A Clinical Study of ANX005 and IVIG in Subjects With Guillain Barré Syndrome (GBS)</t>
  </si>
  <si>
    <t>Annexon, Inc.</t>
  </si>
  <si>
    <t>NCT04500808</t>
  </si>
  <si>
    <t>A Study of Macitentan, in Healthy Japanese Male Participants</t>
  </si>
  <si>
    <t>Janssen Pharmaceutical K.K.</t>
  </si>
  <si>
    <t>NCT06190691</t>
  </si>
  <si>
    <t>Study of Pirtobrutinib (LOXO-305) in Participants With Impaired Liver Function and Healthy Participants</t>
  </si>
  <si>
    <t>NCT04465955</t>
  </si>
  <si>
    <t>A Study of NGM621 in Participants With Geographic Atrophy</t>
  </si>
  <si>
    <t>NCT04553068</t>
  </si>
  <si>
    <t>Evaluation of EVO100 for Prevention of Urogenital Chlamydia Trachomatis and Neisseria Gonorrhoeae Infection</t>
  </si>
  <si>
    <t>Evofem Inc.</t>
  </si>
  <si>
    <t>NCT04715750</t>
  </si>
  <si>
    <t>Evaluation of Imaging Characteristics of [18F]PI-2620 PET in AD and PSP Patients Using High and Low Specific Activity</t>
  </si>
  <si>
    <t>Life Molecular Imaging GmbH</t>
  </si>
  <si>
    <t>NCT04148118</t>
  </si>
  <si>
    <t>A Safety and Immunogenicity of Intranasal Nanoemulsion Adjuvanted Recombinant Anthrax Vaccine in Healthy Adults</t>
  </si>
  <si>
    <t>BlueWillow Biologics</t>
  </si>
  <si>
    <t>NCT05230290</t>
  </si>
  <si>
    <t>Clinical Study of KD6001 in Advanced Solid Tumours</t>
  </si>
  <si>
    <t>Shanghai Kanda Biotechnology Co., Ltd.</t>
  </si>
  <si>
    <t>NCT04431089</t>
  </si>
  <si>
    <t>Efficacy and Safety of SHC014748M in Patients With Relapsed or Refractory Follicular (FL) or Marginal Zone (MZL) Lymphoma</t>
  </si>
  <si>
    <t>NCT04449874</t>
  </si>
  <si>
    <t>A Study to Evaluate the Safety, Pharmacokinetics, and Activity of GDC-6036 Alone or in Combination in Participants With Advanced or Metastatic Solid Tumors With a KRAS G12C Mutation</t>
  </si>
  <si>
    <t>Genentech, Inc.</t>
  </si>
  <si>
    <t>NCT04673474</t>
  </si>
  <si>
    <t>A Food-Effect Study of Hemay022 in Healthy Participants</t>
  </si>
  <si>
    <t>Tianjin Hemay Oncology Pharmaceutical Co., Ltd</t>
  </si>
  <si>
    <t>NCT04507659</t>
  </si>
  <si>
    <t>Jaktinib Hydrochloride Tablets In The Treatment of Active Ankylosing Spondylitis</t>
  </si>
  <si>
    <t>NCT05999994</t>
  </si>
  <si>
    <t>A Master Protocol (LY900023) That Includes Several Clinical Trials of Drugs for Children and Young Adults With Cancer</t>
  </si>
  <si>
    <t>NCT04093466</t>
  </si>
  <si>
    <t>A Phase 1 Study of CX1003 (Kanitinib) in Patients with Advanced Solid Tumors</t>
  </si>
  <si>
    <t>Beijing Konruns Pharmaceutical Co., Ltd.</t>
  </si>
  <si>
    <t>NCT04435366</t>
  </si>
  <si>
    <t>A Phase 3 Safety and Efficacy Study of Intravitreal Administration of Zimura (Complement C5 Inhibitor)</t>
  </si>
  <si>
    <t>IVERIC bio, Inc.</t>
  </si>
  <si>
    <t>NCT04105166</t>
  </si>
  <si>
    <t>Gene Therapy for Pyruvate Kinase Deficiency (PKD)</t>
  </si>
  <si>
    <t>Rocket Pharmaceuticals Inc.</t>
  </si>
  <si>
    <t>NCT04253353</t>
  </si>
  <si>
    <t>A Drug-Drug Interaction Study To Estimate The Effect Of Tafamidis On Rosuvastatin Pharmacokinetics</t>
  </si>
  <si>
    <t>NCT04265651</t>
  </si>
  <si>
    <t>Study of Infigratinib in Children With Achondroplasia</t>
  </si>
  <si>
    <t>QED Therapeutics, a BridgeBio company</t>
  </si>
  <si>
    <t>NCT04572776</t>
  </si>
  <si>
    <t>Phase 3 Study to Assess Resiniferatoxin vs Standard of Care for the Treatment of Intractable Cancer Pain</t>
  </si>
  <si>
    <t>NCT04362189</t>
  </si>
  <si>
    <t>Efficacy and Safety Study of Allogeneic HB-adMSCs for the Treatment of COVID-19</t>
  </si>
  <si>
    <t>NCT04486950</t>
  </si>
  <si>
    <t>A Study of TAK-951 in Healthy Adults</t>
  </si>
  <si>
    <t>NCT04250597</t>
  </si>
  <si>
    <t>Study of GNX102 in Patients With Advanced Solid Tumors</t>
  </si>
  <si>
    <t>GlycoNex, Inc.</t>
  </si>
  <si>
    <t>NCT04365101</t>
  </si>
  <si>
    <t>Natural Killer Cell (CYNK-001) Infusions in Adults With COVID-19</t>
  </si>
  <si>
    <t>Celularity Incorporated</t>
  </si>
  <si>
    <t>NCT04658823</t>
  </si>
  <si>
    <t>Efficacy and Safety of Tocotrienols in CADASIL</t>
  </si>
  <si>
    <t>Hovid Berhad</t>
  </si>
  <si>
    <t>NCT04382053</t>
  </si>
  <si>
    <t>Study of Efficacy and Safety of DV890 in Patients With COVID-19 Pneumonia</t>
  </si>
  <si>
    <t>NCT04677712</t>
  </si>
  <si>
    <t>Effects of Mitigation Treatments on Bruising of CCH-aaes Treatment of Buttock Cellulite</t>
  </si>
  <si>
    <t>Endo USA Inc., a Keenova Therapeutics Company</t>
  </si>
  <si>
    <t>NCT04313881</t>
  </si>
  <si>
    <t>Magrolimab + Azacitidine Versus Azacitidine + Placebo in Untreated Participants With Myelodysplastic Syndrome (MDS)</t>
  </si>
  <si>
    <t>NCT04309916</t>
  </si>
  <si>
    <t>Study to Evaluate the Efficacy and Safety of Tegoprazan in ERD Patients With Nighttime Heartburn and Sleep Disturbance</t>
  </si>
  <si>
    <t>NCT05940506</t>
  </si>
  <si>
    <t>Phase II Study Evaluating the Efficacy and Safety of KX-826</t>
  </si>
  <si>
    <t>NCT04318704</t>
  </si>
  <si>
    <t>Efficacy, Safety and Tolerability of NP-120 on Idiopathic Pulmonary Fibrosis and Its Associated Cough</t>
  </si>
  <si>
    <t>Algernon Pharmaceuticals</t>
  </si>
  <si>
    <t>NCT04246047</t>
  </si>
  <si>
    <t>Evaluation of Efficacy and Safety of Belantamab Mafodotin, Bortezomib and Dexamethasone Versus Daratumumab, Bortezomib and Dexamethasone in Participants With Relapsed/Refractory Multiple Myeloma</t>
  </si>
  <si>
    <t>NCT04655976</t>
  </si>
  <si>
    <t>Efficacy Comparison of Cobolimab + Dostarlimab + Docetaxel to Dostarlimab + Docetaxel to Docetaxel Alone in Participants With Advanced Non-small Cell Lung Cancer Who Have Progressed on Prior Anti-PD-(L)1 Therapy and Chemotherapy</t>
  </si>
  <si>
    <t>NCT04309526</t>
  </si>
  <si>
    <t>Safety, Tolerability and Pharmacokinetics of NCO-48 Fumarate in Healthy Subjects</t>
  </si>
  <si>
    <t>Nucorion Pharmaceuticals, Inc.</t>
  </si>
  <si>
    <t>NCT04513340</t>
  </si>
  <si>
    <t>WD-1603 PK Study Under Fasting and Fed Conditions in Healthy Subjects</t>
  </si>
  <si>
    <t>Hong Kong WD Pharmaceutical Co., Limited</t>
  </si>
  <si>
    <t>NCT04753710</t>
  </si>
  <si>
    <t>Efficacy, Safety and Tolerability Study of Chloroprocaine 3% Gel Eye Drops in Healthy Volunteers</t>
  </si>
  <si>
    <t>NCT04487210</t>
  </si>
  <si>
    <t>A Study to Evaluate the Safety and Immunogenicity of MVC-COV1901 Against COVID-19</t>
  </si>
  <si>
    <t>NCT04304482</t>
  </si>
  <si>
    <t>ANAVEX2-73 Study in Pediatric Patients With Rett Syndrome</t>
  </si>
  <si>
    <t>NCT04587479</t>
  </si>
  <si>
    <t>A First-in-Human Study of JAB-8263 in Adult Patients With Advanced Solid Tumors</t>
  </si>
  <si>
    <t>Jacobio Pharmaceuticals Co., Ltd.</t>
  </si>
  <si>
    <t>NCT04274452</t>
  </si>
  <si>
    <t>A Study to Assess the Efficacy and Safety of Efgartigimod in Adult Patients With Primary Immune Thrombocytopenia (ITP)</t>
  </si>
  <si>
    <t>NCT05418426</t>
  </si>
  <si>
    <t>A Phase 1, Open-Label, Parallel Group Study to Evaluate the Pharmacokinetics and Safety of DARE-HRT1 in Healthy PostMenopausal Women</t>
  </si>
  <si>
    <t>Daré Bioscience, Inc.</t>
  </si>
  <si>
    <t>NCT04435314</t>
  </si>
  <si>
    <t>Efficacy and Safety of Nitazoxanide for Post Exposure Prophylaxis of COVID-19</t>
  </si>
  <si>
    <t>NCT04994821</t>
  </si>
  <si>
    <t>TDCS to Reduce Craving in Cocaine Addiction- Phase 2 Study</t>
  </si>
  <si>
    <t>Soterix Medical</t>
  </si>
  <si>
    <t>NCT04507204</t>
  </si>
  <si>
    <t>Real-World Evidence of Duration of Effect of Adhansia XR (Extended-Release) for Treatment of Attention-Deficit/Hyperactivity Disorder (ADHD)</t>
  </si>
  <si>
    <t>Purdue Pharma LP</t>
  </si>
  <si>
    <t>NCT04169178</t>
  </si>
  <si>
    <t>Evaluate Safety, Tolerability and PK of HLX55 in Patients With Advanced Solid Tumors With Different cMET Status</t>
  </si>
  <si>
    <t>Henlix, Inc</t>
  </si>
  <si>
    <t>NCT04210115</t>
  </si>
  <si>
    <t>Study of Pembrolizumab (MK-3475) Versus Placebo in Participants With Esophageal Carcinoma Who Are Receiving Chemotherapy and Radiation Therapy (MK-3475-975/KEYNOTE-975)</t>
  </si>
  <si>
    <t>NCT04735926</t>
  </si>
  <si>
    <t>Efficacy and Safety of Calcifediol vs Placebo in Subjects With Vitamin D Deficiency</t>
  </si>
  <si>
    <t>Faes Farma, S.A.</t>
  </si>
  <si>
    <t>NCT04146285</t>
  </si>
  <si>
    <t>A Phase I Clinical Trial of BAT4406F Injection in Patients With Neuromyelitis Optica Spectrum Disorders</t>
  </si>
  <si>
    <t>NCT04597476</t>
  </si>
  <si>
    <t>A Randomized, Double-blind Study to Evaluate the Clinical Effect and Safety of Fucoidan in Patients With Squamous Cell Carcinomas of the Head and Neck</t>
  </si>
  <si>
    <t>Hi-Q Marine Biotech International, Ltd.</t>
  </si>
  <si>
    <t>NCT04478097</t>
  </si>
  <si>
    <t>Clinical Trial to Evaluate the Safety and Pharmacokinetic Characteristics in Healthy Volunteers</t>
  </si>
  <si>
    <t>NCT04685226</t>
  </si>
  <si>
    <t>A Phase I/II Clinical Trial of ICP-723 in the Treatment of Advanced Solid Tumors</t>
  </si>
  <si>
    <t>NCT04243785</t>
  </si>
  <si>
    <t>A Study of BTX-A51 in People With Relapsed or Refractory Acute Myeloid Leukemia or High-Risk Myelodysplastic Syndrome</t>
  </si>
  <si>
    <t>Edgewood Oncology Inc.</t>
  </si>
  <si>
    <t>NCT04504916</t>
  </si>
  <si>
    <t>A Study of Zilovertamab Vedotin (MK-2140/VLS-101) in Participants With Solid Tumors (MK-2140-002)</t>
  </si>
  <si>
    <t>VelosBio Inc., a subsidiary of Merck &amp; Co., Inc. (Rahway, New Jersey USA)</t>
  </si>
  <si>
    <t>NCT04673149</t>
  </si>
  <si>
    <t>GLS-5310 Vaccine for the Prevention of SARS-CoV-2 (COVID-19)</t>
  </si>
  <si>
    <t>GeneOne Life Science, Inc.</t>
  </si>
  <si>
    <t>NCT04576325</t>
  </si>
  <si>
    <t>Pharmacokinetic Profile of Voriconazole Inhalation Powder in Adult Subjects With Asthma</t>
  </si>
  <si>
    <t>TFF Pharmaceuticals, Inc.</t>
  </si>
  <si>
    <t>NCT04626518</t>
  </si>
  <si>
    <t>Substudy 03B: A Study of Immune and Targeted Combination Therapies in Participants With Second Line Plus (2L+) Renal Cell Carcinoma (MK-3475-03B/KEYMAKER-U03)</t>
  </si>
  <si>
    <t>NCT04767035</t>
  </si>
  <si>
    <t>Relative Bioavailability Study of MELT-100, IV Midazolam, and IV Ketamine</t>
  </si>
  <si>
    <t>Melt Pharmaceuticals</t>
  </si>
  <si>
    <t>NCT04704921</t>
  </si>
  <si>
    <t>Pivotal 1 Study of ABBV-RGX-314 (Also Known as RGX-314) Gene Therapy Administered Via Subretinal Delivery One Time in Participants With nAMD</t>
  </si>
  <si>
    <t>NCT04501276</t>
  </si>
  <si>
    <t>A Phase 1b/2 Study of ADG116, ADG116 Combined With Anti-PD-1 Antibody or Anti-CD137 Antibody in Solid Tumors Patients</t>
  </si>
  <si>
    <t>Adagene Inc</t>
  </si>
  <si>
    <t>NCT04564040</t>
  </si>
  <si>
    <t>A Study in Healthy Subjects to Assess Bioavailability (Proportion of a Drug Which Enters the Circulation to Have an Active Effect) of Acalabrutinib Tablet and Protonpump Inhibitor Effect (Members of a Class of Medications That Inhibits in Gastric Acid Production) for Rabeprazole</t>
  </si>
  <si>
    <t>NCT04203485</t>
  </si>
  <si>
    <t>Camrelizumab Combined With Apatinib Mesylate or Camrelizumab Alone for First-line Treatment in Subjects With Programmed Death Ligand 1 (PD-L1) Positive Relapsed or Advanced Non-small Cell Lung Cancer (NSCLC)</t>
  </si>
  <si>
    <t>NCT04576689</t>
  </si>
  <si>
    <t>Safety and Efficacy of IBE-814 Intravitreal (IVT) Implant - a Sustained, Low Dose Dexamethasone Therapy</t>
  </si>
  <si>
    <t>Ripple Therapeutics Pty Ltd</t>
  </si>
  <si>
    <t>NCT04405778</t>
  </si>
  <si>
    <t>A Study of TAK-102 in Adult With Previously-Treated Solid Tumors</t>
  </si>
  <si>
    <t>NCT04537715</t>
  </si>
  <si>
    <t>Effects of Itraconazole and Rifampin on the Blood Tazemetostat Levels</t>
  </si>
  <si>
    <t>Epizyme, Inc.</t>
  </si>
  <si>
    <t>NCT04176120</t>
  </si>
  <si>
    <t>Cryopreserved Human Umbilical Cord (TTAX01) for Late Stage, Complex Non-healing Diabetic Foot Ulcers (AMBULATE DFU)</t>
  </si>
  <si>
    <t>BioTissue Holdings, Inc</t>
  </si>
  <si>
    <t>NCT04440982</t>
  </si>
  <si>
    <t>Feasibility Study of Intraoperative Detection of Residual Cancer in Breast Cancer Patients</t>
  </si>
  <si>
    <t>Lumicell, Inc.</t>
  </si>
  <si>
    <t>NCT04293185</t>
  </si>
  <si>
    <t>A Study Evaluating Gene Therapy With BB305 Lentiviral Vector in Sickle Cell Disease</t>
  </si>
  <si>
    <t>Genetix Biotherapeutics Inc.</t>
  </si>
  <si>
    <t>NCT04639674</t>
  </si>
  <si>
    <t>AST-120 in Hemodialysis Patients With Uremic Pruritus</t>
  </si>
  <si>
    <t>Conmed Pharmaceutical &amp; Bio-Medical Corporation</t>
  </si>
  <si>
    <t>NCT02706015</t>
  </si>
  <si>
    <t>Cefaliv® Compared to Neosaldina® in the Treatment of Migraine Attacks</t>
  </si>
  <si>
    <t>Ache Laboratorios Farmaceuticos S.A.</t>
  </si>
  <si>
    <t>NCT04364997</t>
  </si>
  <si>
    <t>Study of Desvenlafaxine in Treating Major Depressive Disorder.</t>
  </si>
  <si>
    <t>NCT04818203</t>
  </si>
  <si>
    <t>A Study on the Anti-Wrinkle Efficacy Assessment and Safety Evaluation of the Cluster of Autologous Dermal Fibroblast on Bilateral Crow's Feet</t>
  </si>
  <si>
    <t>S.Biomedics Co., Ltd.</t>
  </si>
  <si>
    <t>NCT04476303</t>
  </si>
  <si>
    <t>A Study to Evaluate the Pharmacokinetics and Safety of BEY2153 in Healthy Participants</t>
  </si>
  <si>
    <t>BeyondBio Inc.</t>
  </si>
  <si>
    <t>NCT04405076</t>
  </si>
  <si>
    <t>Dose-Confirmation Study to Evaluate the Safety, Reactogenicity, and Immunogenicity of mRNA-1273 COVID-19 Vaccine in Adults Aged 18 Years and Older</t>
  </si>
  <si>
    <t>ModernaTX, Inc.</t>
  </si>
  <si>
    <t>NCT04334980</t>
  </si>
  <si>
    <t>Evaluating the Safety, Tolerability and Immunogenicity of bacTRL-Spike Vaccine for Prevention of COVID-19</t>
  </si>
  <si>
    <t>Symvivo Corporation</t>
  </si>
  <si>
    <t>NCT04074590</t>
  </si>
  <si>
    <t>Study of Efficacy, Safety, and Tolerability of LYS006, in Patients With Mild to Moderate Ulcerative Colitis</t>
  </si>
  <si>
    <t>NCT04457180</t>
  </si>
  <si>
    <t>A Pharmacokinetic Interaction Study Between Apatinib Mesylate and Repaglinide or Bupropion in Advanced Solid Tumor Subjects</t>
  </si>
  <si>
    <t>NCT04423380</t>
  </si>
  <si>
    <t>A Study to Investigate Safety and Tolerability of SH3051 Capsule in Patients With Advanced Solid Tumors</t>
  </si>
  <si>
    <t>NCT04103879</t>
  </si>
  <si>
    <t>US Study of UM171-Expanded CB in Patients With High Risk Leukemia/Myelodysplasia</t>
  </si>
  <si>
    <t>ExCellThera inc.</t>
  </si>
  <si>
    <t>NCT04706468</t>
  </si>
  <si>
    <t>To Evaluate the Efficacy and Safety of TG-1000 Compared With Placebo in Adult Patients With Acute Uncomplicated Influenza Virus Infection</t>
  </si>
  <si>
    <t>TaiGen Biotechnology Co., Ltd.</t>
  </si>
  <si>
    <t>NCT04381910</t>
  </si>
  <si>
    <t>Irinotecan Hydrochloride Liposome Injection (LY01610) For Small Cell Lung Cancer</t>
  </si>
  <si>
    <t>Luye Pharma Group Ltd.</t>
  </si>
  <si>
    <t>NCT04257110</t>
  </si>
  <si>
    <t>A First-in-human Study of Multiple Doses of BB-1701 in Subjects With Locally Advanced/Metastatic HER2 Expressing Solid Tumors</t>
  </si>
  <si>
    <t>Bliss Biopharmaceutical (Hangzhou) Co., Ltd</t>
  </si>
  <si>
    <t>NCT04349280</t>
  </si>
  <si>
    <t>A Study to Evaluate the Efficacy and Safety of Bintrafusp Alfa (M7824) Monotherapy in Metastatic or Locally Advanced Urothelial Cancer</t>
  </si>
  <si>
    <t>NCT05526690</t>
  </si>
  <si>
    <t>Study to Evaluate the Effect of CIN-107 on the Pharmacokinetics of the MATE Substrate, Metformin, in Healthy Subjects</t>
  </si>
  <si>
    <t>NCT03969420</t>
  </si>
  <si>
    <t>Study of Alvocidib in Patients With Relapsed/Refractory AML Following Treatment With Venetoclax Combination Therapy</t>
  </si>
  <si>
    <t>Sumitomo Pharma America, Inc.</t>
  </si>
  <si>
    <t>NCT03880279</t>
  </si>
  <si>
    <t>Autologous TAC T Cells Targeting CD19 in R/R Large B-Cell Lymphoma</t>
  </si>
  <si>
    <t>Triumvira Immunologics, Inc.</t>
  </si>
  <si>
    <t>NCT04100018</t>
  </si>
  <si>
    <t>A Study of Nivolumab or Placebo in Combination With Docetaxel in Men With Advanced Castration-resistant Prostate Cancer</t>
  </si>
  <si>
    <t>NCT04549597</t>
  </si>
  <si>
    <t>Study to Evaluate the Use of Tenapanor as Core Therapy in the Treatment of Hyperphosphatemia</t>
  </si>
  <si>
    <t>Ardelyx</t>
  </si>
  <si>
    <t>NCT04565379</t>
  </si>
  <si>
    <t>Clinical Trial to Investigate the Efficacy and Safety of NuSepin® in COVID-19 Pneumonia Patients</t>
  </si>
  <si>
    <t>Shaperon</t>
  </si>
  <si>
    <t>NCT04612413</t>
  </si>
  <si>
    <t>A Phase 2 Study Evaluating Efficacy, Safety and Tolerability of Different Doses and Regimens of Allocetra-OTS for the Treatment of Organ Failure in Adult Sepsis Patients</t>
  </si>
  <si>
    <t>Enlivex Therapeutics Ltd.</t>
  </si>
  <si>
    <t>NCT04144517</t>
  </si>
  <si>
    <t>A Study of ALKS 4230 (Nemvaleukin Alfa) With Pembrolizumab in Head and Neck Cancer</t>
  </si>
  <si>
    <t>NCT04365179</t>
  </si>
  <si>
    <t>Study of NEROFE, a Novel Hormone-Peptide in Adult Patients With Advanced MDS and AML</t>
  </si>
  <si>
    <t>Immune System Key Ltd</t>
  </si>
  <si>
    <t>NCT04317703</t>
  </si>
  <si>
    <t>Bioequivalence Study for Fixed Dose Combination Zemimet® SR Tab. 50/1000 and Coadministration of Gemigliptin 50 mg and Metformin 1000 mg.</t>
  </si>
  <si>
    <t>NCT05016427</t>
  </si>
  <si>
    <t>A Study of Possibility of Using Regulatory T Cells(VT301) for Treatment of Alzheimer's Disease</t>
  </si>
  <si>
    <t>VTBIO Co. LTD</t>
  </si>
  <si>
    <t>NCT04290390</t>
  </si>
  <si>
    <t>Annovera™ Drug-Drug Interaction Study</t>
  </si>
  <si>
    <t>NCT03823703</t>
  </si>
  <si>
    <t>Study Evaluating the Safety, Efficacy, and Pharmacokinetics of Miricorilant in Participants With Presumed Nonalcoholic Steatohepatitis (NASH)</t>
  </si>
  <si>
    <t>NCT04672460</t>
  </si>
  <si>
    <t>A Bioequivalence Study Between the Proposed and Current Talazoparib Capsule Formulation and Food Effect Study for the Proposed Talazoparib Capsule Formulation in Participants With Advanced Solid Tumors</t>
  </si>
  <si>
    <t>NCT04181827</t>
  </si>
  <si>
    <t>A Study Comparing JNJ-68284528, a CAR-T Therapy Directed Against B-cell Maturation Antigen (BCMA), Versus Pomalidomide, Bortezomib and Dexamethasone (PVd) or Daratumumab, Pomalidomide and Dexamethasone (DPd) in Participants With Relapsed and Lenalidomide-Refractory Multiple Myeloma</t>
  </si>
  <si>
    <t>NCT04673461</t>
  </si>
  <si>
    <t>Study Investigating STA363 Compared to Placebo in Patients With Chronic Discogenic Low Back Pain</t>
  </si>
  <si>
    <t>Stayble Therapeutics</t>
  </si>
  <si>
    <t>NCT04521686</t>
  </si>
  <si>
    <t>Study of LY3410738 Administered to Patients With Advanced Solid Tumors With IDH1 or IDH2 Mutations</t>
  </si>
  <si>
    <t>NCT04681170</t>
  </si>
  <si>
    <t>Efficacy and Safety of Lomitapide in Paediatric Patients With Homozygous Familial Hypercholesterolaemia (HoFH)</t>
  </si>
  <si>
    <t>Amryt Pharma</t>
  </si>
  <si>
    <t>NCT04268069</t>
  </si>
  <si>
    <t>Efficacy and Safety of PL9643 Ophthalmic Solution in Subjects With Dry Eye</t>
  </si>
  <si>
    <t>ORA, Inc.</t>
  </si>
  <si>
    <t>NCT04687059</t>
  </si>
  <si>
    <t>An Exploratory Study of PQ Grass 27600 SU</t>
  </si>
  <si>
    <t>Allergy Therapeutics</t>
  </si>
  <si>
    <t>NCT03646188</t>
  </si>
  <si>
    <t>Dose Escalation Trial to Evaluate Dose Limiting Toxicity/Maximum Tolerated Dose of Microneedle Arrays Containing Doxorubicin (D-MNA) in Basal Cell Carcinoma (BCC)</t>
  </si>
  <si>
    <t>SkinJect, Inc.</t>
  </si>
  <si>
    <t>NCT04408183</t>
  </si>
  <si>
    <t>GLS-1200 Topical Nasal Spray to Prevent SARS-CoV-2 Infection (COVID-19)</t>
  </si>
  <si>
    <t>NCT04387461</t>
  </si>
  <si>
    <t>Study of CG0070 Given in Combination With Pembrolizumab, in Non-Muscle Invasive Bladder Cancer, Unresponsive to Bacillus Calmette-Guerin</t>
  </si>
  <si>
    <t>NCT04641442</t>
  </si>
  <si>
    <t>Study to Evaluate the Efficacy, Safety and Tolerability of MAS825 in Patients With Monogenic IL-18 Driven Autoinflammatory Diseases, Including NLRC4-GOF, XIAP Deficiency, or CDC42 Mutations</t>
  </si>
  <si>
    <t>NCT04280718</t>
  </si>
  <si>
    <t>A Study to Assess the Long-term Safety and Efficacy of a Subcutaneous Formulation of Efgartigimod in Adults With Chronic Inflammatory Demyelinating Polyneuropathy (CIDP, an Autoimmune Disorder That Affects the Peripheral Nerves)</t>
  </si>
  <si>
    <t>NCT04516746</t>
  </si>
  <si>
    <t>Phase III Double-blind, Placebo-controlled Study of AZD1222 for the Prevention of COVID-19 in Adults</t>
  </si>
  <si>
    <t>NCT04893941</t>
  </si>
  <si>
    <t>Dose Escalation Trial of CM310 in Patients With Moderate-to-Severe Atopic Dermatitis (AD)</t>
  </si>
  <si>
    <t>Keymed Biosciences Co.Ltd</t>
  </si>
  <si>
    <t>NCT05233657</t>
  </si>
  <si>
    <t>A Safety，Tolerability and Pharmacokinetics Clinical Trial of JX11502MA Capsule</t>
  </si>
  <si>
    <t>Zhejiang Jingxin Pharmaceutical Co., Ltd.</t>
  </si>
  <si>
    <t>NCT04401865</t>
  </si>
  <si>
    <t>Safety and Effectiveness of the PXL-Platinum 330 System</t>
  </si>
  <si>
    <t>Colorado Eye Consultants/Cornea Consultants of Colorado</t>
  </si>
  <si>
    <t>NCT04583995</t>
  </si>
  <si>
    <t>A Study Looking at the Effectiveness, Immune Response, and Safety of a COVID-19 Vaccine in Adults in the United Kingdom</t>
  </si>
  <si>
    <t>NCT04225195</t>
  </si>
  <si>
    <t>Amphotericin B Cholesteryl Sulfate Complex for Injection(ABCD) in the Treatment of Invasive Candidiasis and Invasive Aspergillosis</t>
  </si>
  <si>
    <t>NCT04544267</t>
  </si>
  <si>
    <t>Study on a High-Dose Quadrivalent Influenza Vaccine Compared With Standard-Dose Quadrivalent Influenza Vaccine in Children 6 Months Through 35 Months of Age</t>
  </si>
  <si>
    <t>NCT04363242</t>
  </si>
  <si>
    <t>A Study to Find the MTD of SYN125 in People With Solid Tumors and the MTD of SYN125 With a Fixed Dose of SYN004 in People in Patients With Epithelial Cancers With EGFR Expressions</t>
  </si>
  <si>
    <t>Synermore Biologics Co., Ltd.</t>
  </si>
  <si>
    <t>NCT04631354</t>
  </si>
  <si>
    <t>Study in Healthy Adults to Quantify Lung Deposition and Distribution of Radio-labelled S-770108 Inhalation Powder Formulation Delivered by a Novel Inhaler Device</t>
  </si>
  <si>
    <t>NCT04526912</t>
  </si>
  <si>
    <t>Treatment and Prevention of Acute Lung Injury (ALI) in Patients With COVID-19 Infection</t>
  </si>
  <si>
    <t>Viela Bio</t>
  </si>
  <si>
    <t>NCT04159831</t>
  </si>
  <si>
    <t>A Study to Evaluate LTI-01 in Patients With Infected, Non-draining Pleural Effusions</t>
  </si>
  <si>
    <t>Rein Therapeutics</t>
  </si>
  <si>
    <t>NCT04392102</t>
  </si>
  <si>
    <t>A Study of Niraparib in Patients With Relapsed Ovarian Cancer</t>
  </si>
  <si>
    <t>NCT04147819</t>
  </si>
  <si>
    <t>A First in Human Study of BAY2701439 to Look at Safety, How the Body Absorbs, Distributes and Excretes the Drug, and How Well the Drug Works in Participants With Advanced Cancer Expressing the HER2 Protein</t>
  </si>
  <si>
    <t>NCT04426357</t>
  </si>
  <si>
    <t>A Study to Evaluate the Effect of Renal Impairment on JNJ-64417184 and Its Two Minor Metabolites JNJ-68294291 and JNJ-65201526 in Adult Participants</t>
  </si>
  <si>
    <t>NCT04335253</t>
  </si>
  <si>
    <t>First-In-Human Study of EOS884448 in Participants with Advanced Cancers.</t>
  </si>
  <si>
    <t>iTeos Therapeutics</t>
  </si>
  <si>
    <t>NCT06064539</t>
  </si>
  <si>
    <t>Study of Drug-drug Interaction of the Effects of Gemfibrozil and Rifampicin on SAR442168 in Healthy Adult Subjects</t>
  </si>
  <si>
    <t>NCT04328077</t>
  </si>
  <si>
    <t>LIFT Study: A Safety, Tolerability, Efficacy, and Pharmacokinetics Study of TERN-101 in Subjects With Non-Cirrhotic Non-Alcoholic Steatohepatitis (NASH)</t>
  </si>
  <si>
    <t>Terns, Inc.</t>
  </si>
  <si>
    <t>NCT04471428</t>
  </si>
  <si>
    <t>Study of Atezolizumab in Combination With Cabozantinib Versus Docetaxel in Patients With Metastatic Non-Small Cell Lung Cancer Previously Treated With an Anti-PD-L1/PD-1 Antibody and Platinum-Containing Chemotherapy</t>
  </si>
  <si>
    <t>NCT04123470</t>
  </si>
  <si>
    <t>A Phase I/II Trial Investigating LOAd703 in Combination With Atezolizumab in Malignant Melanoma</t>
  </si>
  <si>
    <t>Lokon Pharma AB</t>
  </si>
  <si>
    <t>NCT04469465</t>
  </si>
  <si>
    <t>Danicopan as Add-on Therapy to a C5 Inhibitor in Paroxysmal Nocturnal Hemoglobinuria (PNH) Participants Who Have Clinically Evident Extravascular Hemolysis (EVH)(ALPHA)</t>
  </si>
  <si>
    <t>NCT04899271</t>
  </si>
  <si>
    <t>A Study to Assess Efficacy/Safety of Ladarixin in Type 1 Diabetes Patients With Preserved ß-cell Function at Baseline.</t>
  </si>
  <si>
    <t>Dompé Farmaceutici S.p.A</t>
  </si>
  <si>
    <t>NCT04360265</t>
  </si>
  <si>
    <t>Follow-up Study of AAV-Mediated Gene Transfer (UX111; Previously Known as ABO-102) for MPS Type IIIA</t>
  </si>
  <si>
    <t>Ultragenyx Pharmaceutical Inc</t>
  </si>
  <si>
    <t>ENROLLING_BY_INVITATION</t>
  </si>
  <si>
    <t>NCT04058028</t>
  </si>
  <si>
    <t>Efficacy and Safety of AMG 570 in Subjects With Active Systemic Lupus Erythematosus (SLE)</t>
  </si>
  <si>
    <t>NCT04448756</t>
  </si>
  <si>
    <t>Study of M5049 in Participants With COVID-19 Pneumonia (ANEMONE)</t>
  </si>
  <si>
    <t>EMD Serono Research &amp; Development Institute, Inc.</t>
  </si>
  <si>
    <t>NCT04539639</t>
  </si>
  <si>
    <t>Clinical Study of Jaktinib in the Treatment of Patients With Moderate and Severe Atopic Dermatitis</t>
  </si>
  <si>
    <t>NCT04577807</t>
  </si>
  <si>
    <t>LUMINOS-102: Lerapolturev With or Without Immune Checkpoint Blockade in Advanced PD-1 Refractory Melanoma</t>
  </si>
  <si>
    <t>NCT04454437</t>
  </si>
  <si>
    <t>Study of Sacituzumab Govitecan in Chinese Patients With Metastatic Triple-negative Breast Cancer Who Received at Least Two Prior Treatments</t>
  </si>
  <si>
    <t>NCT04267822</t>
  </si>
  <si>
    <t>Study of RV521 in the Treatment of Adult Subjects Who Have Undergone HCT With an URTI With RSV</t>
  </si>
  <si>
    <t>NCT04662281</t>
  </si>
  <si>
    <t>Efficacy and Safety of LX9211 in Participants With Postherpetic Neuralgia</t>
  </si>
  <si>
    <t>Lexicon Pharmaceuticals</t>
  </si>
  <si>
    <t>NCT04544995</t>
  </si>
  <si>
    <t>Dose Escalation and Cohort Expansion Study of Niraparib and Dostarlimab in Paediatric Participants With Solid Tumors (SCOOP)</t>
  </si>
  <si>
    <t>NCT04017130</t>
  </si>
  <si>
    <t>A Study of MT-0169 in Participants With Relapsed or Refractory Multiple Myeloma</t>
  </si>
  <si>
    <t>Molecular Templates, Inc.</t>
  </si>
  <si>
    <t>NCT04109092</t>
  </si>
  <si>
    <t>A Study of Stimulator of Interferon Genes (STING) Agonist E7766 in Non-muscle Invasive Bladder Cancer (NMIBC) Including Participants Unresponsive to Bacillus Calmette-Guerin (BCG) Therapy, INPUT-102</t>
  </si>
  <si>
    <t>NCT04830371</t>
  </si>
  <si>
    <t>Non-inferiority and Safety Study of EuTCV Compared to Typbar-TCV in Healthy 6 Months-45 Years Aged Participants</t>
  </si>
  <si>
    <t>NCT04551300</t>
  </si>
  <si>
    <t>A Phase 2 Study to Evaluate the Safety and Efficacy of VS-505(AP301) to Treat Hyperphosphatemia in Hemodialysis Patients</t>
  </si>
  <si>
    <t>Shanghai Alebund Pharmaceuticals Limited</t>
  </si>
  <si>
    <t>NCT04221477</t>
  </si>
  <si>
    <t>A Study to Evaluate the Efficacy and Safety of Obinutuzumab in Participants With ISN/RPS 2003 Class III or IV Lupus Nephritis</t>
  </si>
  <si>
    <t>NCT04033081</t>
  </si>
  <si>
    <t>Registry of Sarcoma Patients Treated With Permanently Implantable LDR CivaSheet®</t>
  </si>
  <si>
    <t>CivaTech Oncology</t>
  </si>
  <si>
    <t>NCT04004611</t>
  </si>
  <si>
    <t>A Study of Mirikizumab (LY3074828) in Children and Teenagers With Ulcerative Colitis (UC)</t>
  </si>
  <si>
    <t>NCT04195698</t>
  </si>
  <si>
    <t>Open-Label Extension Study of Upadacitinib in Adult Participants With Moderate to Severe Atopic Dermatitis</t>
  </si>
  <si>
    <t>NCT04240704</t>
  </si>
  <si>
    <t>Safety and Preliminary Efficacy of JBH492 Monotherapy in Patients With CLL and NHL</t>
  </si>
  <si>
    <t>NCT04142658</t>
  </si>
  <si>
    <t>PROACT Xa - A Trial to Determine if Participants With an On-X Aortic Valve Can be Maintained Safely on Apixaban</t>
  </si>
  <si>
    <t>Artivion Inc.</t>
  </si>
  <si>
    <t>NCT04625855</t>
  </si>
  <si>
    <t>Study of the Absorption, Metabolism, and Excretion of [14C]-Tebipenem Pivoxil Hydrobromide (TBPM-PI-HBr) Following a Single Oral Dose in Healthy Male Subjects</t>
  </si>
  <si>
    <t>NCT04243863</t>
  </si>
  <si>
    <t>VNRX-7145 SAD/MAD Safety and PK in Healthy Adult Volunteers</t>
  </si>
  <si>
    <t>Basilea Pharmaceutica</t>
  </si>
  <si>
    <t>NCT04452006</t>
  </si>
  <si>
    <t>A Study in Healthy Subjects to Investigate the Safety and Tolerability of ACT- 541478 as Well as What ACT-541478 Does to the Body and the Way the Body Takes up, Distributes, and Gets Rid of ACT-541478</t>
  </si>
  <si>
    <t>Idorsia Pharmaceuticals Ltd.</t>
  </si>
  <si>
    <t>NCT04557150</t>
  </si>
  <si>
    <t>A Study Evaluating the Safety and Pharmacokinetics of Escalating Doses of Forimtamig in Participants With Relapsed or Refractory Multiple Myeloma (r/r MM)</t>
  </si>
  <si>
    <t>NCT04576208</t>
  </si>
  <si>
    <t>A Study to Evaluate the Impact of Management Strategies on Gastrointestinal-Related Adverse Events in Participants With Non-Small Cell Lung Cancer Harboring Epidermal Growth Factor Receptor (EGFR) Exon 20 Insertion Mutations Receiving TAK-788</t>
  </si>
  <si>
    <t>NCT04504435</t>
  </si>
  <si>
    <t>Safety, Tolerability and Pharmacokinetics (PK) Investigation of GSK3494245 in Healthy Participants</t>
  </si>
  <si>
    <t>NCT04398225</t>
  </si>
  <si>
    <t>A Trial to Assess the Pharmacokinetics, Safety, and Tolerability of Centanafadine in Pediatric Subjects With Attention-deficit/Hyperactivity Disorder</t>
  </si>
  <si>
    <t>NCT04317040</t>
  </si>
  <si>
    <t>Efprezimod Alfa (CD24Fc, MK-7110) as a Non-antiviral Immunomodulator in COVID-19 Treatment (MK-7110-007)</t>
  </si>
  <si>
    <t>NCT04232514</t>
  </si>
  <si>
    <t>Drug-drug Interaction Study Between HEC74647PA Capsule and HEC110114 Tablets in Healthy Subjects</t>
  </si>
  <si>
    <t>NCT04792385</t>
  </si>
  <si>
    <t>Safety, Compliance and Pharmacokinetics of Estetrol Monohydrate/Drospirenone 15/3 mg in Post-menarchal Female Adolescents</t>
  </si>
  <si>
    <t>Estetra</t>
  </si>
  <si>
    <t>NCT04582708</t>
  </si>
  <si>
    <t>Use of NERv's Inline Device as an Early Diagnostic Method for Postoperative Complications</t>
  </si>
  <si>
    <t>FluidAI Medical</t>
  </si>
  <si>
    <t>NCT04458298</t>
  </si>
  <si>
    <t>A Study to Evaluate OP-101 (Dendrimer N-acetyl-cysteine) in Severe Coronavirus Disease 2019 (COVID-19) Patients</t>
  </si>
  <si>
    <t>Ashvattha Therapeutics, Inc.</t>
  </si>
  <si>
    <t>NCT04288778</t>
  </si>
  <si>
    <t>A Study to Assess Safety of Canagliflozin and Metformin Hydrochloride Combination Given as a Supplement to Diet and Exercise to Improve Blood Sugar Level in Indian Adult Participants With Diabetes</t>
  </si>
  <si>
    <t>Johnson &amp; Johnson Private Limited</t>
  </si>
  <si>
    <t>NCT04655898</t>
  </si>
  <si>
    <t>Metabolism and Excretion of [14C]CC-90001 in Healthy Male Subjects</t>
  </si>
  <si>
    <t>NCT04690387</t>
  </si>
  <si>
    <t>Dendritic Cell Vaccine, AV-COVID-19, to Prevent COVID-19 Infection</t>
  </si>
  <si>
    <t>Aivita Biomedical, Inc.</t>
  </si>
  <si>
    <t>NCT04474314</t>
  </si>
  <si>
    <t>A Study of IMR-687 in Subjects With Sickle Cell Disease</t>
  </si>
  <si>
    <t>Cardurion Pharmaceuticals, Inc.</t>
  </si>
  <si>
    <t>NCT04150393</t>
  </si>
  <si>
    <t>Safety and Tolerability Evaluation of MaaT033</t>
  </si>
  <si>
    <t>MaaT Pharma</t>
  </si>
  <si>
    <t>NCT04505033</t>
  </si>
  <si>
    <t>A Study of Injection HB0017 in Adult Healthy Volunteers</t>
  </si>
  <si>
    <t>NCT05361031</t>
  </si>
  <si>
    <t>The Safety and Tolerability of Engensis (VM202) in Patients With Charcot-Marie-Tooth Disease Subtype 1A (CMT1A)</t>
  </si>
  <si>
    <t>Helixmith Co., Ltd.</t>
  </si>
  <si>
    <t>NCT04686994</t>
  </si>
  <si>
    <t>Study to Evaluate the Safety and Efficacy of ASC41 in Overweight and Obese Subjects</t>
  </si>
  <si>
    <t>Gannex Pharma Co., Ltd.</t>
  </si>
  <si>
    <t>NCT04334577</t>
  </si>
  <si>
    <t>Study on Efficacy of Attenuated Zoster Vaccine, Live</t>
  </si>
  <si>
    <t>Changchun BCHT Biotechnology Co.</t>
  </si>
  <si>
    <t>NCT04209205</t>
  </si>
  <si>
    <t>Study to Demonstrate the Efficacy, Safety and Tolerability of Intravenous Secukinumab up to 52 Weeks in Subjects With Active Psoriatic Arthritis</t>
  </si>
  <si>
    <t>NCT04683627</t>
  </si>
  <si>
    <t>A 12-week Study to Evaluate the Efficacy and Safety of HP-5000 in Subjects With Osteoarthritis Pain of the Knee</t>
  </si>
  <si>
    <t>Noven Pharmaceuticals, Inc.</t>
  </si>
  <si>
    <t>NCT04447729</t>
  </si>
  <si>
    <t>A Study to Test if Fremanezumab Reduces Pain in Patients With Interstitial Cystitis-Bladder Pain Syndrome</t>
  </si>
  <si>
    <t>NCT04603937</t>
  </si>
  <si>
    <t>A Study to Evaluate the Efficacy, Durability, and Safety of KSI-301 Compared to Aflibercept in Participants With Diabetic Macular Edema (DME)</t>
  </si>
  <si>
    <t>Kodiak Sciences Inc</t>
  </si>
  <si>
    <t>NCT04284995</t>
  </si>
  <si>
    <t>A Phase 2 Open Label Study to Assess the PK/PD Properties of RUC-4 in Patients With a ST-elevation Myocardial Infarction</t>
  </si>
  <si>
    <t>CeleCor Therapeutics</t>
  </si>
  <si>
    <t>NCT04596839</t>
  </si>
  <si>
    <t>Antiviral Activity and Safety of Remdesivir in Bangladeshi Patients With Severe Coronavirus Disease (COVID-19)</t>
  </si>
  <si>
    <t>Dr. Md. Alimur Reza</t>
  </si>
  <si>
    <t>NCT04378569</t>
  </si>
  <si>
    <t>Safety and Efficacy of ARQ-252 Cream in Subjects With Chronic Hand Eczema</t>
  </si>
  <si>
    <t>Arcutis Biotherapeutics, Inc.</t>
  </si>
  <si>
    <t>NCT04238195</t>
  </si>
  <si>
    <t>A Single-Dose, Randomized, Placebo- and Active-Control, Four-Way, Cross-Over Study for the Evaluation of the Effect of Tebipenem Pivoxil Hydrobromide (TBPM-PI-HBr) on the QT/QTc Intervals in Adult Healthy Subjects</t>
  </si>
  <si>
    <t>NCT04409327</t>
  </si>
  <si>
    <t>Phase 2 Study to Determine if RTB101 Reduces the Severity of COVID-19 in Older Adults Residing in Nursing Homes</t>
  </si>
  <si>
    <t>Restorbio Inc.</t>
  </si>
  <si>
    <t>NCT04265456</t>
  </si>
  <si>
    <t>A Phase 1 Study to Evaluate Pregabalin and Acetaminophen in Healthy Volunteers</t>
  </si>
  <si>
    <t>Nevakar, Inc.</t>
  </si>
  <si>
    <t>NCT05155072</t>
  </si>
  <si>
    <t>Clinical Trial to Evaluate the Safety and Pharmacokinetic/Pharmacodynamic Characteristics of DW1903</t>
  </si>
  <si>
    <t>Daewon Pharmaceutical Co., Ltd.</t>
  </si>
  <si>
    <t>NCT04606381</t>
  </si>
  <si>
    <t>A Study of Amivantamab Subcutaneous (SC) Administration for the Treatment of Advanced Solid Malignancies</t>
  </si>
  <si>
    <t>NCT04257929</t>
  </si>
  <si>
    <t>A Phase 2 Study to Evaluate the Safety and Efficacy of Pitolisant in Patients With Prader-Willi Syndrome, Followed by an Open Label Extension</t>
  </si>
  <si>
    <t>NCT04506645</t>
  </si>
  <si>
    <t>Study to Assess the Safety, Tolerability, and Pharmacokinetics of REGN5381 (an NPR1 Agonist) in Adult Humans</t>
  </si>
  <si>
    <t>NCT04587830</t>
  </si>
  <si>
    <t>ADI-PEG 20 Plus Radiotherapy and Temozolomide in Subjects With Glioblastoma Multiforme</t>
  </si>
  <si>
    <t>Polaris Group</t>
  </si>
  <si>
    <t>NCT04495322</t>
  </si>
  <si>
    <t>To Evaluate the Safety, Tolerability, and Pharmacokinetics Profiles of TG-1000 in Healthy Volunteers, and the Food Effect on Pharmacokinetics of Single Oral Dose of TG-1000 in Healthy Volunteers.</t>
  </si>
  <si>
    <t>NCT04277637</t>
  </si>
  <si>
    <t>Study of Bcl-2 Inhibitor Sonrotoclax (BGB-11417) in Participants With Mature B-Cell Malignancies</t>
  </si>
  <si>
    <t>BeOne Medicines</t>
  </si>
  <si>
    <t>NCT04243837</t>
  </si>
  <si>
    <t>LYT-100 in Patients With BCRL</t>
  </si>
  <si>
    <t>PureTech</t>
  </si>
  <si>
    <t>NCT04384445</t>
  </si>
  <si>
    <t>Zofin (Organicell Flow) for Patients With COVID-19</t>
  </si>
  <si>
    <t>ZEO ScientifiX, Inc.</t>
  </si>
  <si>
    <t>NCT04528719</t>
  </si>
  <si>
    <t>A Dose Escalation Study to Evaluate Safety, Reactogenicity, and Immunogenicity of mRNA-1345 in Healthy Adults and in Children Who Are Respiratory Syncytial Virus (RSV)-Seropositive</t>
  </si>
  <si>
    <t>NCT04616079</t>
  </si>
  <si>
    <t>Ascending Dose Study of the Safety and Tolerability of REGN6490 in Healthy Volunteers</t>
  </si>
  <si>
    <t>NCT04370379</t>
  </si>
  <si>
    <t>Trial to Evaluate the Safety and Tolerability of Repeated Intravitreal Injection of IBI302 in Neovascular AMD Patients</t>
  </si>
  <si>
    <t>NCT04438005</t>
  </si>
  <si>
    <t>A Study of ICP-022 in Patients With R/R DLBCL</t>
  </si>
  <si>
    <t>NCT04317066</t>
  </si>
  <si>
    <t>A Study of Pembrolizumab (MK-3475) in Participants With Relapsed or Refractory Primary Mediastinal Large B-cell Lymphoma (rrPMBCL) (MK-3475-A33/KEYNOTE-A33)</t>
  </si>
  <si>
    <t>NCT04397562</t>
  </si>
  <si>
    <t>A Clinical Trial of the Efficacy and Safety of Levilimab (BCD-089) in Patients With Severe COVID-19</t>
  </si>
  <si>
    <t>Biocad</t>
  </si>
  <si>
    <t>NCT04536688</t>
  </si>
  <si>
    <t>A Study of RGLS4326 in Patients With Autosomal Dominant Polycystic Kidney Disease</t>
  </si>
  <si>
    <t>Regulus Therapeutics Inc.</t>
  </si>
  <si>
    <t>NCT04625270</t>
  </si>
  <si>
    <t>A Study of Avutometinib (VS-6766) v. Avutometinib (VS-6766) + Defactinib in Recurrent Low-Grade Serous Ovarian Cancer With and Without a KRAS Mutation</t>
  </si>
  <si>
    <t>Verastem, Inc.</t>
  </si>
  <si>
    <t>NCT04030962</t>
  </si>
  <si>
    <t>A Study of the Drugs AGN-242428 and AGN-231868 in Participants With Dry Eye Disease</t>
  </si>
  <si>
    <t>NCT04470388</t>
  </si>
  <si>
    <t>A Study of EDP-514 in Patients With Chronic Hepatitis B Virus Infection Who Are Not Currently on Treatment</t>
  </si>
  <si>
    <t>NCT04213261</t>
  </si>
  <si>
    <t>A Study of FCX-007 for Recessive Dystrophic Epidermolysis Bullosa</t>
  </si>
  <si>
    <t>Castle Creek Biosciences, LLC.</t>
  </si>
  <si>
    <t>NCT04270669</t>
  </si>
  <si>
    <t>Evaluation of RC28-E Injection in Wet Age-related Macular Degeneration</t>
  </si>
  <si>
    <t>NCT04469023</t>
  </si>
  <si>
    <t>Late Phase II Study of TS-142 in Patients with Insomnia</t>
  </si>
  <si>
    <t>NCT04188262</t>
  </si>
  <si>
    <t>Natural Vascular Scaffold (NVS) Therapy for Treatment of Atherosclerotic Lesions (Activate I)</t>
  </si>
  <si>
    <t>Alucent Biomedical</t>
  </si>
  <si>
    <t>NCT04270370</t>
  </si>
  <si>
    <t>A Study of LY3478045 in Healthy Participants</t>
  </si>
  <si>
    <t>NCT04284761</t>
  </si>
  <si>
    <t>A Study to Establish the Feasibility of Biolen for the Local Delivery of Bicalutamide in Patients With Prostate Cancer</t>
  </si>
  <si>
    <t>Alessa Therapeutics Inc.</t>
  </si>
  <si>
    <t>NCT04549480</t>
  </si>
  <si>
    <t>Bioequivalence Study of Bosutinib Pediatric Capsule Relative to Commercial Tablet Under Fed Condition</t>
  </si>
  <si>
    <t>NCT04516096</t>
  </si>
  <si>
    <t>A Compassionate Use Protocol of AMX0035 for Treatment of Patients With Amyotrophic Lateral Sclerosis (ALS)</t>
  </si>
  <si>
    <t>Amylyx Pharmaceuticals Inc.</t>
  </si>
  <si>
    <t>NCT04566003</t>
  </si>
  <si>
    <t>Evaluation Comparing Tau PET Radiotracers, [18F]GTP1 and [18F]PI-2620 or [18F]MK-6240 in Subjects With Normal Cognition or Prodromal to Moderate Alzheimer's Disease</t>
  </si>
  <si>
    <t>NCT04281524</t>
  </si>
  <si>
    <t>A Clinical Study to Test the Efficacy and Safety of CSL312 on Catheter-associated Blood Clot Formation in Subjects With Cancer Who Receive Chemotherapy Through a PICC Line</t>
  </si>
  <si>
    <t>CSL Behring</t>
  </si>
  <si>
    <t>NCT04514796</t>
  </si>
  <si>
    <t>Pharmacokinetics, Safety, Tolerability, and Immunogenicity of Two Formulations of SB5 in Healthy Male Subjects</t>
  </si>
  <si>
    <t>NCT04634669</t>
  </si>
  <si>
    <t>Open-Label Safety Study of AXS-05 in Subjects With TRD (EVOLVE)</t>
  </si>
  <si>
    <t>Axsome Therapeutics, Inc.</t>
  </si>
  <si>
    <t>NCT04355169</t>
  </si>
  <si>
    <t>A Study of Naldemedine in Participants Undergoing Surgeries That Include a Bowel Resection or Bowel Transection</t>
  </si>
  <si>
    <t>NCT04247594</t>
  </si>
  <si>
    <t>Dose Escalation Study to Evaluate the Safety, Tolerability, PK and PD of Voxelotor in Patients With SCD</t>
  </si>
  <si>
    <t>NCT04429542</t>
  </si>
  <si>
    <t>Study of Safety and Tolerability of BCA101 Monotherapy and in Combination Therapy in Patients With EGFR-driven Advanced Solid Tumors</t>
  </si>
  <si>
    <t>Bicara Therapeutics</t>
  </si>
  <si>
    <t>NCT04598269</t>
  </si>
  <si>
    <t>Study of ATI-1777 in Adult Patients With Moderate or Severe Atopic Dermatitis</t>
  </si>
  <si>
    <t>Aclaris Therapeutics, Inc.</t>
  </si>
  <si>
    <t>NCT04603027</t>
  </si>
  <si>
    <t>A Phase 2 Study Investigating the Effect of EDP1815 in the Treatment of Mild to Moderate Plaque Psoriasis</t>
  </si>
  <si>
    <t>Evelo Biosciences, Inc.</t>
  </si>
  <si>
    <t>NCT04635423</t>
  </si>
  <si>
    <t>Efficacy, Immunogenicity, and Safety Study of V503 (9-valent Human Papillomavirus [9vHPV] Vaccine) in Japanese Males (V503-064)</t>
  </si>
  <si>
    <t>NCT04701983</t>
  </si>
  <si>
    <t>Study to Assess the Efficacy, Safety, and Tolerability of SAR440340/REGN3500/Itepekimab in Chronic Obstructive Pulmonary Disease (COPD)</t>
  </si>
  <si>
    <t>NCT04202003</t>
  </si>
  <si>
    <t>A Study to Evaluate the Safety and Tolerability, Pharmacokinetics, Pharmacodynamics and Preliminary Efficacy of TJ011133 as Monotherapy and in Combination With Azacitidine (AZA) in Patients With Acute Myeloid Leukemia (AML) or Myelodysplastic Syndrome (MDS)</t>
  </si>
  <si>
    <t>NCT04424641</t>
  </si>
  <si>
    <t>A Study on the Safety of GEN1044 (DuoBody®-CD3x5T4) in Patients With Malignant Solid Tumors</t>
  </si>
  <si>
    <t>NCT04714996</t>
  </si>
  <si>
    <t>Efficacy, Safety and Pharmacokinetics of ES-481 in Adult Patients With Drug Resistant Epilepsy</t>
  </si>
  <si>
    <t>ES Therapeutics Australia Pty Ltd</t>
  </si>
  <si>
    <t>NCT04728984</t>
  </si>
  <si>
    <t>A Multi-site Bridging Study of Nalfurafine Hydrochloride Orally Disintegrating Tablet</t>
  </si>
  <si>
    <t>Shenyang Sunshine Pharmaceutical Co., LTD.</t>
  </si>
  <si>
    <t>NCT04285515</t>
  </si>
  <si>
    <t>Clinical Trial Evaluating Lumateperone Monotherapy in the Treatment of Bipolar Depression or Major Depressive Disorder</t>
  </si>
  <si>
    <t>Intra-Cellular Therapies, Inc.</t>
  </si>
  <si>
    <t>NCT04553133</t>
  </si>
  <si>
    <t>PF-07104091 as a Single Agent and in Combination Therapy</t>
  </si>
  <si>
    <t>NCT04454658</t>
  </si>
  <si>
    <t>Safety and Tolerability Study of Oral ABBV-744 Tablet Alone or in Combination With Oral Ruxolitinib Tablet or Oral Navitoclax Tablet in Adult Participants With Myelofibrosis</t>
  </si>
  <si>
    <t>NCT05206578</t>
  </si>
  <si>
    <t>Study to Evaluate the Efficacy and Safety in Patients With Primary Hypercholesterolemia</t>
  </si>
  <si>
    <t>Ahn-Gook Pharmaceuticals Co.,Ltd</t>
  </si>
  <si>
    <t>NCT04168385</t>
  </si>
  <si>
    <t>MRX-800: A Long-Term Safety Study of Maralixibat in the Treatment of Cholestatic Liver Disease in Subjects Who Previously Participated in a Maralixibat Study</t>
  </si>
  <si>
    <t>Mirum Pharmaceuticals, Inc.</t>
  </si>
  <si>
    <t>NCT04606784</t>
  </si>
  <si>
    <t>Study of Nebulized Ampion for the Treatment of Adult COVID-19 Patients With Respiratory Distress</t>
  </si>
  <si>
    <t>Ampio Pharmaceuticals. Inc.</t>
  </si>
  <si>
    <t>NCT04578548</t>
  </si>
  <si>
    <t>A Study to Evaluate the Effects of GLPG2737 in Participants With Autosomal Dominant Polycystic Kidney Disease (ADPKD)</t>
  </si>
  <si>
    <t>NCT04072315</t>
  </si>
  <si>
    <t>Phase 2a Evaluation of PLN-74809 on αvβ6 Receptor Occupancy Using PET Imaging in Participants With IPF/</t>
  </si>
  <si>
    <t>NCT04639115</t>
  </si>
  <si>
    <t>A Phase 1, Multicenter, Open-Label Study to Evaluate the Effect of Mild or Moderate Hepatic Impairment on the Multiple-Dose Pharmacokinetics of Ozanimod</t>
  </si>
  <si>
    <t>NCT04236414</t>
  </si>
  <si>
    <t>Investigating Safety, Tolerability, Efficacy and PK of Olaparib in Paediatric Patients With Solid Tumours</t>
  </si>
  <si>
    <t>NCT04140526</t>
  </si>
  <si>
    <t>Safety, PK and Efficacy of ONC-392 in Monotherapy and in Combination of Anti-PD-1 in Advanced Solid Tumors and NSCLC</t>
  </si>
  <si>
    <t>OncoC4, Inc.</t>
  </si>
  <si>
    <t>NCT04585815</t>
  </si>
  <si>
    <t>Study of Immunotherapy (Sasanlimab) in Combination With Targeted Therapies in People With Advanced Non-small Cell Lung Cancer (NSCLC) (Landscape 1011 Study)</t>
  </si>
  <si>
    <t>NCT04593121</t>
  </si>
  <si>
    <t>Study to Evaluate Safety, Tolerability, Pharmacokinetics and Pharmacodynamics of BIIB107 in Healthy Adult Participants</t>
  </si>
  <si>
    <t>NCT04574284</t>
  </si>
  <si>
    <t>A Study of TQB2450 Injection Combined With Anlotinib Hydrochloride Capsule in Subjects With Advanced Endometrial Cancer</t>
  </si>
  <si>
    <t>NCT04447404</t>
  </si>
  <si>
    <t>DUR-928 in Subjects With SARS-CoV-2 With Acute Lung, Liver or Kidney Injury</t>
  </si>
  <si>
    <t>Durect</t>
  </si>
  <si>
    <t>NCT04242407</t>
  </si>
  <si>
    <t>Evaluating Efficacy of the Dexmedetomidine Transdermal System for Postoperative Analgesia Following Abdominoplasty</t>
  </si>
  <si>
    <t>Teikoku Pharma USA, Inc.</t>
  </si>
  <si>
    <t>NCT04412564</t>
  </si>
  <si>
    <t>A Study of TQ-B3101 Capsules in Subjects With Advanced Malignant Tumor</t>
  </si>
  <si>
    <t>NCT04744402</t>
  </si>
  <si>
    <t>Phase 2 Clinical Trial of CartiLife® in the United States</t>
  </si>
  <si>
    <t>Biosolution Co., Ltd.</t>
  </si>
  <si>
    <t>NCT04472819</t>
  </si>
  <si>
    <t>The Single, Multiple Dose and Food Effect Study of SHR2285 Tablets on Pharmacokinetics and Pharmacodynamics in Healthy Subjects</t>
  </si>
  <si>
    <t>NCT05745532</t>
  </si>
  <si>
    <t>Safety and Efficacy Evaluation of β-globin Restored Autologous Hematopoietic Stem Cells in β-thalassemia Major Patients</t>
  </si>
  <si>
    <t>Shenzhen Hemogen</t>
  </si>
  <si>
    <t>NCT04281992</t>
  </si>
  <si>
    <t>Treatment of Diabetic Foot Ulcers With AUP1602-C</t>
  </si>
  <si>
    <t>Aurealis Oy</t>
  </si>
  <si>
    <t>NCT04566692</t>
  </si>
  <si>
    <t>A Study to Evaluate IGSC 20% Biweekly Dosing in Treatment-Experienced Participants and Loading/Maintenance Dosing in Treatment-Naïve Participants With Primary Immunodeficiency</t>
  </si>
  <si>
    <t>Grifols Therapeutics LLC</t>
  </si>
  <si>
    <t>NCT03836287</t>
  </si>
  <si>
    <t>Safety and Efficacy Study of Sofpironium Bromide in Subjects With Axillary Hyperhidrosis (BBI-4000-CL-301)</t>
  </si>
  <si>
    <t>Botanix Pharmaceuticals</t>
  </si>
  <si>
    <t>NCT04676971</t>
  </si>
  <si>
    <t>Efficacy and Safety of hzVSF-v13 in Patients With COVID-19 Pneumonia</t>
  </si>
  <si>
    <t>ImmuneMed, Inc.</t>
  </si>
  <si>
    <t>NCT04582409</t>
  </si>
  <si>
    <t>A Study to Evaluate the Efficacy, Safety, Tolerability, and Pharmacokinetics of HSY244 in Participants With Atrial Fibrillation</t>
  </si>
  <si>
    <t>NCT05359432</t>
  </si>
  <si>
    <t>Comparison of Empaglifozin and Vildagliptin in Type 2 Diabetes Mellitus</t>
  </si>
  <si>
    <t>Getz Pharma</t>
  </si>
  <si>
    <t>NCT04498650</t>
  </si>
  <si>
    <t>A Study to Evaluate Safety and Tolerability of Different Doses and Efficacy of PQ912 in Subjects With MCI and Mild AD</t>
  </si>
  <si>
    <t>Vivoryon Therapeutics N.V.</t>
  </si>
  <si>
    <t>NCT04263350</t>
  </si>
  <si>
    <t>A Study to Examine the Acceptable Taste and to Estimate the Amount of Atazanavir and Cobicistat in the Body When Taken as a Combination Product Versus When Taken as Separate Products at the Same Time</t>
  </si>
  <si>
    <t>NCT03882476</t>
  </si>
  <si>
    <t>RCT of Sepsis Machine Learning Algorithm</t>
  </si>
  <si>
    <t>Dascena</t>
  </si>
  <si>
    <t>NCT03853317</t>
  </si>
  <si>
    <t>QUILT-3.063: A Study of N-803, haNK and Avelumab in Patients With Merkel Cell Carcinoma That Has Progressed After Checkpoint Therapy</t>
  </si>
  <si>
    <t>NCT04583618</t>
  </si>
  <si>
    <t>Study of a Pneumococcal Conjugate Vaccine in Adults Aged 50 to 84 Years.</t>
  </si>
  <si>
    <t>NCT04375397</t>
  </si>
  <si>
    <t>Study of Oral Ibrutinib Capsules to Assess Respiratory Failure in Adult Participants With Severe Acute Respiratory Syndrome Coronavirus-2 (SARS-CoV-2) and Pulmonary Injury</t>
  </si>
  <si>
    <t>NCT04483440</t>
  </si>
  <si>
    <t>Dose Escalation Study of Intravitreal 4D-110 in Patients With Choroideremia</t>
  </si>
  <si>
    <t>4D Molecular Therapeutics</t>
  </si>
  <si>
    <t>NCT04379050</t>
  </si>
  <si>
    <t>Extension Study To Evaluate Safety And Tolerability Of 24-Hour Daily Exposure Of Continuous Subcutaneous Infusion of ABBV-951 In Adult Participants With Parkinson's Disease</t>
  </si>
  <si>
    <t>NCT03891420</t>
  </si>
  <si>
    <t>A Study to Evaluate the Safety, Pharmacokinetics and Antiviral Effects of Galidesivir in Yellow Fever or COVID-19</t>
  </si>
  <si>
    <t>BioCryst Pharmaceuticals</t>
  </si>
  <si>
    <t>NCT04249908</t>
  </si>
  <si>
    <t>Pharmacokinetics of Besifovir in Adults With Normal and Impaired Renal Function</t>
  </si>
  <si>
    <t>NCT04381325</t>
  </si>
  <si>
    <t>A Study of MSB0254 Injection in Advanced Solid Tumors</t>
  </si>
  <si>
    <t>NCT04459676</t>
  </si>
  <si>
    <t>Study to Assess Efficacy and Safety Relative to Standard of Care in Patients With COVID-19 Pneumonia</t>
  </si>
  <si>
    <t>Angion Biomedica Corp</t>
  </si>
  <si>
    <t>NCT04299191</t>
  </si>
  <si>
    <t>Study of LAM561 Acid in Pediatric Patients With Malignant Glioma and Other Advanced Solid Tumors</t>
  </si>
  <si>
    <t>Laminar Pharmaceuticals</t>
  </si>
  <si>
    <t>NCT04543591</t>
  </si>
  <si>
    <t>Ravulizumab in Thrombotic Microangiopathy After Hematopoietic Stem Cell Transplant</t>
  </si>
  <si>
    <t>NCT04540497</t>
  </si>
  <si>
    <t>A Study of Inebilizumab Efficacy and Safety in IgG4- Related Disease</t>
  </si>
  <si>
    <t>NCT03929835</t>
  </si>
  <si>
    <t>Study to Investigate the Efficacy and Safety of Cannabis Oil for the Treatment of Subjects With Hidradenitis Suppurativa</t>
  </si>
  <si>
    <t>TO Pharmaceuticals</t>
  </si>
  <si>
    <t>NCT04626635</t>
  </si>
  <si>
    <t>A Trial to Find Out How Safe REGN7075 is and How Well it Works in Combination With Cemiplimab for Adult Participants With Advanced Cancers</t>
  </si>
  <si>
    <t>NCT04647708</t>
  </si>
  <si>
    <t>Study of M5049 in CLE and SLE Participants</t>
  </si>
  <si>
    <t>NCT04498390</t>
  </si>
  <si>
    <t>A Safety Study of LY3493269 in Healthy Participants</t>
  </si>
  <si>
    <t>NCT04489797</t>
  </si>
  <si>
    <t>A Study to Evaluate Effects of Proton-pump Inhibitor on Acalabrutinib Capsule When Administered Orally With COCA-COLA in Healthy Participants</t>
  </si>
  <si>
    <t>NCT04548700</t>
  </si>
  <si>
    <t>Liposomal Mitoxantrone Hydrochloride Injection,Cyclophosphamide, Vincristine and Prednisone in the Treatment of PTCL</t>
  </si>
  <si>
    <t>NCT04086745</t>
  </si>
  <si>
    <t>A Study of Baricitinib in Participants With Rheumatoid Arthritis</t>
  </si>
  <si>
    <t>NCT04325828</t>
  </si>
  <si>
    <t>A Study of Apalutamide Combined With GnRH Agonist in Participants With Androgen Receptor Positive Salivary Gland Carcinoma</t>
  </si>
  <si>
    <t>NCT04294056</t>
  </si>
  <si>
    <t>A Study to Evaluate the Differences in Pharmadynamics, Pharmacokinetics, and Safety Between Ciprofol and Propofol</t>
  </si>
  <si>
    <t>NCT04538664</t>
  </si>
  <si>
    <t>A Study of Combination Amivantamab and Carboplatin-Pemetrexed Therapy, Compared With Carboplatin-Pemetrexed, in Participants With Advanced or Metastatic Non-Small Cell Lung Cancer Characterized by Epidermal Growth Factor Receptor (EGFR) Exon 20 Insertions</t>
  </si>
  <si>
    <t>NCT04489511</t>
  </si>
  <si>
    <t>Study of STG-001 in Subjects With Stargardt Disease</t>
  </si>
  <si>
    <t>Stargazer Pharmaceuticals, Inc.</t>
  </si>
  <si>
    <t>NCT04354727</t>
  </si>
  <si>
    <t>A Study of APG-1252 in Patients With Myelofibrosis Who Progressed After Initial Therapy</t>
  </si>
  <si>
    <t>NCT04480957</t>
  </si>
  <si>
    <t>Ascending Dose Study of Investigational SARS-CoV-2 Vaccine ARCT-021 in Healthy Adult Subjects</t>
  </si>
  <si>
    <t>NCT04262466</t>
  </si>
  <si>
    <t>Safety and Efficacy of IMC-F106C as a Single Agent and in Combination With Checkpoint Inhibitors</t>
  </si>
  <si>
    <t>Immunocore Ltd</t>
  </si>
  <si>
    <t>NCT04601402</t>
  </si>
  <si>
    <t>GEN-001 (Live Biotherapeutic Product) and Avelumab Combination Study for Patients With Solid Tumors Who Have Progressed on Anti-PD-(L)1 Therapy</t>
  </si>
  <si>
    <t>Genome &amp; Company</t>
  </si>
  <si>
    <t>NCT04464551</t>
  </si>
  <si>
    <t>The Absorption, Metabolism and Excretion of [14C]D-0316 in Human</t>
  </si>
  <si>
    <t>Betta Pharmaceuticals Co., Ltd.</t>
  </si>
  <si>
    <t>NCT04252495</t>
  </si>
  <si>
    <t>The Effect of Hepatic Impairment on Aprocitentan Pharmacokinetics</t>
  </si>
  <si>
    <t>NCT04538066</t>
  </si>
  <si>
    <t>Bryostatin Treatment of Moderately Severe Alzheimer's Disease</t>
  </si>
  <si>
    <t>Neurotrope Bioscience, Inc.</t>
  </si>
  <si>
    <t>NCT04324905</t>
  </si>
  <si>
    <t>Study to Compare the Safety, Pharmacokinetics and Pharmacodynamics of HIP1802 to HGP1705 in Healthy Volunteers</t>
  </si>
  <si>
    <t>NCT04293094</t>
  </si>
  <si>
    <t>Study of AMG 650 in Adult Participants With Advanced Solid Tumors</t>
  </si>
  <si>
    <t>Volastra Therapeutics, Inc.</t>
  </si>
  <si>
    <t>NCT03948646</t>
  </si>
  <si>
    <t>Safety and Efficacy Study of Sofpironium Bromide in Subjects With Axillary Hyperhidrosis (BBI-4000-CL-302)</t>
  </si>
  <si>
    <t>NCT04777669</t>
  </si>
  <si>
    <t>Removing Background Talker Noise for Cochlear Implant Users</t>
  </si>
  <si>
    <t>York Sound Inc</t>
  </si>
  <si>
    <t>NCT04137510</t>
  </si>
  <si>
    <t>Bioflow-DAPT Study</t>
  </si>
  <si>
    <t>Biotronik AG</t>
  </si>
  <si>
    <t>NCT04434482</t>
  </si>
  <si>
    <t>IMP4297 in Combination With Temozolomide in Patients With Advanced Solid Tumors and Small Cell Lung Cancer</t>
  </si>
  <si>
    <t>NCT05110118</t>
  </si>
  <si>
    <t>Pharmacokinetic Characteristics, Safety, Tolerability and Immunogenicity of LY01008 and Avastin in Healthy Chinese Male Subjects</t>
  </si>
  <si>
    <t>Shandong Boan Biotechnology Co., Ltd</t>
  </si>
  <si>
    <t>NCT05134350</t>
  </si>
  <si>
    <t>Study of the Effect of Food and a Proton Pump Inhibitor (PPI; Omeprazole) on LOXO-305 in Healthy Participants</t>
  </si>
  <si>
    <t>Loxo Oncology, Inc.</t>
  </si>
  <si>
    <t>NCT04621227</t>
  </si>
  <si>
    <t>Study To Evaluate The Effect Of Two Steady State Doses of PF 06882961 On Rosuvastatin And Midazolam Pharmacokinetics In Otherwise Healthy Adult Participants With Obesity</t>
  </si>
  <si>
    <t>NCT04262661</t>
  </si>
  <si>
    <t>A Study to Look at How Safe NNC0472-0147 is in Healthy People and in People With Type 2 Diabetes</t>
  </si>
  <si>
    <t>NCT04449029</t>
  </si>
  <si>
    <t>A Study of GSK3228836 in Participants With Chronic Hepatitis B (CHB)</t>
  </si>
  <si>
    <t>NCT04371380</t>
  </si>
  <si>
    <t>Pharmacokinetic Study of Cabotegravir and Rilpivirine Long-acting Intramuscular Injections in Healthy Adult Participants</t>
  </si>
  <si>
    <t>ViiV Healthcare</t>
  </si>
  <si>
    <t>NCT04907227</t>
  </si>
  <si>
    <t>Study of Pembrolizumab (MK-3475) Plus Docetaxel Versus Placebo Plus Docetaxel in Chemotherapy-naïve Metastatic Castration-resistant Prostate Cancer (mCRPC) (MK-3475-921/KEYNOTE-921)-China Extension</t>
  </si>
  <si>
    <t>NCT04461353</t>
  </si>
  <si>
    <t>A Study to Evaluate the Safety, Tolerability and Pharmacokinetics of Orally Inhaled Aerosolized Hydroxychloroquine Sulfate in Healthy Adult Volunteers</t>
  </si>
  <si>
    <t>Pulmoquine Therapeutics, Inc</t>
  </si>
  <si>
    <t>NCT04470427</t>
  </si>
  <si>
    <t>A Study to Evaluate Efficacy, Safety, and Immunogenicity of mRNA-1273 Vaccine in Adults Aged 18 Years and Older to Prevent COVID-19</t>
  </si>
  <si>
    <t>NCT04471441</t>
  </si>
  <si>
    <t>Efficacy and Safety of Everolimus Versus Mycophenolate Mofetil in Liver Transplant Recipients.</t>
  </si>
  <si>
    <t>NCT04633122</t>
  </si>
  <si>
    <t>A Study to Assess DCC-2618 and Sunitinib in Patients With Advanced GIST After Treatment With Imatinib</t>
  </si>
  <si>
    <t>NCT05104931</t>
  </si>
  <si>
    <t>PK Evaluation of a Nanoformed Oral IR Piroxicam Tablet in Healthy Subjects</t>
  </si>
  <si>
    <t>Nanoform Finland Plc</t>
  </si>
  <si>
    <t>NCT03932331</t>
  </si>
  <si>
    <t>Study of Acalabrutinib in Chinese Adult Subjects With Relapsed or Refractory Mantle Cell Lymphoma, Chronic Lymphocytic Leukemia or Other B-cell Malignancies</t>
  </si>
  <si>
    <t>NCT04460729</t>
  </si>
  <si>
    <t>A Phase II, Open-Label, Multicenter Study of Capmatinib in Subjects With MET Exon 14 Skipping Mutation Positive, Advanced, NSCLC With Brain Metastases</t>
  </si>
  <si>
    <t>NCT04713072</t>
  </si>
  <si>
    <t>A Study to Investigate Efficacy, Tolerability and Safety of ABY-035 in Patients With Active Psoriatic Arthritis</t>
  </si>
  <si>
    <t>ACELYRIN Inc.</t>
  </si>
  <si>
    <t>NCT04639986</t>
  </si>
  <si>
    <t>Asian Study of Sacituzumab Govitecan (IMMU-132) in HR+/HER2- Metastatic Breast Cancer (MBC)</t>
  </si>
  <si>
    <t>NCT04551586</t>
  </si>
  <si>
    <t>A Study to Assess ACH-0145228 When Administered as Immediate Release Tablet Versus Powder-In-Capsule in Healthy Adult Participants</t>
  </si>
  <si>
    <t>NCT05110170</t>
  </si>
  <si>
    <t>Efficacy and Safety of LY01005 in Patients With Breast Cancer Compared to ZOLADEX®</t>
  </si>
  <si>
    <t>NCT04488770</t>
  </si>
  <si>
    <t>Safety, Tolerability and Pharmacokinetic Investigation of GSK3882347 in Healthy Participants.</t>
  </si>
  <si>
    <t>NCT04110054</t>
  </si>
  <si>
    <t>Evaluation of S-600918 in Adults With Refractory Chronic Cough</t>
  </si>
  <si>
    <t>NCT04206488</t>
  </si>
  <si>
    <t>A Study of JNJ-70033093 and Digoxin in Healthy Participants</t>
  </si>
  <si>
    <t>NCT04645966</t>
  </si>
  <si>
    <t>A Clinical Trial to Assess the Safety, Tolerability and Immunogenicity of MenABCWY in Healthy Infants</t>
  </si>
  <si>
    <t>NCT04504669</t>
  </si>
  <si>
    <t>First Time in Human Study of AZD8701 With or Without Durvalumab in Participants With Advanced Solid Tumours</t>
  </si>
  <si>
    <t>NCT04191096</t>
  </si>
  <si>
    <t>Efficacy and Safety of Pembrolizumab (MK-3475) Plus Enzalutamide Plus Androgen Deprivation Therapy (ADT) Versus Placebo Plus Enzalutamide Plus ADT in Participants With Metastatic Hormone-Sensitive Prostate Cancer (mHSPC) (MK-3475-991/KEYNOTE-991)</t>
  </si>
  <si>
    <t>NCT04605094</t>
  </si>
  <si>
    <t>Efficacy and Safety Study of the Use of Benralizumab for Patients With Moderate to Severe Atopic Dermatitis</t>
  </si>
  <si>
    <t>NCT04723186</t>
  </si>
  <si>
    <t>MT1002 Phase II Study in ACS Patients With PCI</t>
  </si>
  <si>
    <t>Shaanxi Micot Pharmaceutical Technology Co., Ltd.</t>
  </si>
  <si>
    <t>NCT04580654</t>
  </si>
  <si>
    <t>A Study to Assess the Pharmacokinetics and Safety of CSL312 in Healthy Japanese and Caucasian Adults</t>
  </si>
  <si>
    <t>NCT06563856</t>
  </si>
  <si>
    <t>A Study of TEPEZZA Subcutaneous Administration in Healthy Adults</t>
  </si>
  <si>
    <t>NCT04665856</t>
  </si>
  <si>
    <t>Study of Atezolizumab Plus Carboplatin and Etoposide With or Without Tiragolumab in Participants With Untreated Extensive-Stage Small Cell Lung Cancer</t>
  </si>
  <si>
    <t>NCT04560894</t>
  </si>
  <si>
    <t>SCT-I10A Plus SCT510 Versus Sorafenib as First-Line Therapy for Advanced Hepatocellular Carcinoma</t>
  </si>
  <si>
    <t>NCT04473664</t>
  </si>
  <si>
    <t>A Study of Quizartinib Pharmacokinetics in Participants With Moderate Hepatic Impairment</t>
  </si>
  <si>
    <t>NCT04409509</t>
  </si>
  <si>
    <t>Treatment With CSL312 in Adults With Coronavirus Disease 2019 (COVID-19)</t>
  </si>
  <si>
    <t>NCT04364763</t>
  </si>
  <si>
    <t>A Study to Evaluate the Effect of RBT-9 on Progression of COVID-19 in High-Risk Individuals (The PREVENT Study)</t>
  </si>
  <si>
    <t>Renibus Therapeutics, Inc.</t>
  </si>
  <si>
    <t>NCT04820907</t>
  </si>
  <si>
    <t>Clinical Efficacy and Safety Evaluation of HCP1904-1 in Essential Hypertension Patients</t>
  </si>
  <si>
    <t>NCT04218071</t>
  </si>
  <si>
    <t>Actuate 1901: 9-ING-41 in Myelofibrosis</t>
  </si>
  <si>
    <t>Actuate Therapeutics Inc.</t>
  </si>
  <si>
    <t>NCT04563533</t>
  </si>
  <si>
    <t>Clinical Trial of Quadrivalent Recombinant Norovirus Vaccine (Pichia Pastoris)</t>
  </si>
  <si>
    <t>NCT04353492</t>
  </si>
  <si>
    <t>An Open-label Study Evaluating Ofatumumab Treatment Effectiveness and PROs in Subjects With RMS Transitioning From Fumarate-based RMS Approved Therapies or Fingolimod to Ofatumumab</t>
  </si>
  <si>
    <t>NCT04268771</t>
  </si>
  <si>
    <t>A Phase III Transition Study of DRL Rituximab to Reference Medicinal Products</t>
  </si>
  <si>
    <t>Dr. Reddy's Laboratories Limited</t>
  </si>
  <si>
    <t>NCT04317833</t>
  </si>
  <si>
    <t>A Study of SSS17 in Healthy Subjects</t>
  </si>
  <si>
    <t>NCT04266028</t>
  </si>
  <si>
    <t>Study to Evaluate Safety and Tolerability of sc Immunotherapy With DM-101 in Adults With Birch Pollen Allergy</t>
  </si>
  <si>
    <t>Desentum Oy</t>
  </si>
  <si>
    <t>NCT04789200</t>
  </si>
  <si>
    <t>Phase 2 Study of NX9 for Delineation of Bowel Anatomy</t>
  </si>
  <si>
    <t>Nextrast, Inc.</t>
  </si>
  <si>
    <t>NCT04328506</t>
  </si>
  <si>
    <t>Bioequivalency Study of CM082 Tablet in Healthy Volunteers</t>
  </si>
  <si>
    <t>AnewPharma</t>
  </si>
  <si>
    <t>NCT04696822</t>
  </si>
  <si>
    <t>Bioavailability of Nasal Epinephrine</t>
  </si>
  <si>
    <t>Nasus Pharma</t>
  </si>
  <si>
    <t>NCT04665895</t>
  </si>
  <si>
    <t>A Clinical Trial for Examining the Therapeutic Equivalence Between Fluticasone Propionate 100 mcg/Blister Oral Inhalation Powder/Respirent Pharmaceuticals vs. FLOVENT DISKUS® 100mcg/Blister Oral Inhalation Powder/GSK in Patients With Asthma</t>
  </si>
  <si>
    <t>NCT04124042</t>
  </si>
  <si>
    <t>Efficacy and Safety of XT-150 in Osteoarthritis of the Knee</t>
  </si>
  <si>
    <t>Xalud Therapeutics, Inc.</t>
  </si>
  <si>
    <t>NCT04389775</t>
  </si>
  <si>
    <t>To Evaluate the Safety, Tolerability, PK, and PD of XW003 Injection in Healthy Adult Participants</t>
  </si>
  <si>
    <t>Sciwind Biosciences APAC CO Pty. Ltd.</t>
  </si>
  <si>
    <t>NCT04509466</t>
  </si>
  <si>
    <t>Clinical Study of Liposomal Mitoxantrone Hydrochloride Injection Combined With Pegaspargase in the Treatment of NKTCL</t>
  </si>
  <si>
    <t>NCT04389229</t>
  </si>
  <si>
    <t>OVSTAR TIL Trial (OVarian Cancer Co-STimulatory Antigen Receptor TIL Trial)</t>
  </si>
  <si>
    <t>Immetacyte Ltd</t>
  </si>
  <si>
    <t>NCT04626739</t>
  </si>
  <si>
    <t>CAR-T Cells in Treating Patients With Relapsed or Refractory NHL</t>
  </si>
  <si>
    <t>Hebei Senlang Biotechnology Inc., Ltd.</t>
  </si>
  <si>
    <t>NCT04652102</t>
  </si>
  <si>
    <t>A Phase 2b/3, Randomized, Observer-Blinded, Placebo-Controlled, Multicenter Clinical Study Evaluating the Efficacy and Safety of Investigational SARS-CoV-2 mRNA Vaccine CVnCoV in Adults 18 Years of Age and Older</t>
  </si>
  <si>
    <t>NCT04237831</t>
  </si>
  <si>
    <t>A Study to Evaluate the Pharmacokinetics (Drug Levels and Metabolism), Safety, and Tolerability of BMS-986259 in Participants With Various Levels of Kidney Function</t>
  </si>
  <si>
    <t>NCT04614337</t>
  </si>
  <si>
    <t>Phase 2 Study of LUM-201 in Children With Growth Hormone Deficiency (OraGrowtH210 Trial)</t>
  </si>
  <si>
    <t>Lumos Pharma</t>
  </si>
  <si>
    <t>NCT04458857</t>
  </si>
  <si>
    <t>A Study to Test if Fremanezumab is Effective in Preventing Episodic Migraine in Patients 6 to 17 Years of Age</t>
  </si>
  <si>
    <t>NCT04145349</t>
  </si>
  <si>
    <t>CAMPFIRE: A Study of Ramucirumab (LY3009806) in Children and Young Adults With Desmoplastic Small Round Cell Tumor</t>
  </si>
  <si>
    <t>NCT03499704</t>
  </si>
  <si>
    <t>A Study to Evaluate the Effect of add-on Pioglitazone or Dapagliflozin in Participants With Type 2 Diabetes Mellitus Inadequately Controlled by DPP-4 Inhibitor and Metformin Therapy</t>
  </si>
  <si>
    <t>Celltrion Pharm, Inc.</t>
  </si>
  <si>
    <t>NCT04382326</t>
  </si>
  <si>
    <t>20-valent Pneumococcal Conjugate Vaccine Safety and Immunogenicity Study of a 4-Dose Series in Healthy Infants</t>
  </si>
  <si>
    <t>NCT04260438</t>
  </si>
  <si>
    <t>Clinical Study to Evaluate the Pharmacokinetics, Safety and Tolerability of CKD-393 in Healthy Subjects</t>
  </si>
  <si>
    <t>NCT04326348</t>
  </si>
  <si>
    <t>A Study of TQ05105 Tablets in Subjects With Hemophagocytic Lymphohistiocytosis（HLH）</t>
  </si>
  <si>
    <t>NCT04620135</t>
  </si>
  <si>
    <t>Efficacy and Safety Study of Netarsudil 0.02% Ophthalmic Solution Compared to Ripasudil Hydrochloride Hydrate 0.4% Ophthalmic Solution in Japanese Subjects With Primary Open Angle Glaucoma or Ocular Hypertension</t>
  </si>
  <si>
    <t>Aerie Pharmaceuticals</t>
  </si>
  <si>
    <t>NCT04223635</t>
  </si>
  <si>
    <t>Study of Pexidartinib in Participants With Moderate Hepatic Impairment Compared With Healthy Participants</t>
  </si>
  <si>
    <t>NCT04479644</t>
  </si>
  <si>
    <t>Safety, Tolerability, and Pharmacokinetics Study of Human Monoclonal Antibody BRII-198</t>
  </si>
  <si>
    <t>NCT03873493</t>
  </si>
  <si>
    <t>A Study Evaluating the Efficacy of Venetoclax Plus Ibrutinib in Participants With T-cell Prolymphocytic Leukemia</t>
  </si>
  <si>
    <t>NCT04679948</t>
  </si>
  <si>
    <t>A Study in Healthy People to Test Whether BI 730357 Influences the Amount of Caffeine, Warfarin, Omeprazole, and Midazolam in the Blood</t>
  </si>
  <si>
    <t>NCT04386915</t>
  </si>
  <si>
    <t>Study on the Tolerance and Pharmacokinetics of GST-HG141 Tablets</t>
  </si>
  <si>
    <t>NCT04211558</t>
  </si>
  <si>
    <t>A Study to Evaluate the Pharmacokinetics of Single Oral Doses of Ozanimod in Healthy Adult Chinese Subjects</t>
  </si>
  <si>
    <t>NCT04117958</t>
  </si>
  <si>
    <t>Study of AMG 199 in Subjects With MUC17-Positive Solid Tumors Including Gastric, Gastroesophageal Junction, Colorectal, and Pancreatic Cancers</t>
  </si>
  <si>
    <t>NCT04582201</t>
  </si>
  <si>
    <t>A Clinical Trial to Evaluate the Safety of agenT-797 in COVID-19 Participants With ARDS</t>
  </si>
  <si>
    <t>MiNK Therapeutics</t>
  </si>
  <si>
    <t>NCT04530136</t>
  </si>
  <si>
    <t>Prevention of Severe SARS-CoV-2 Infection in Hospitalized Patients With COVID-19</t>
  </si>
  <si>
    <t>Pharming Technologies B.V.</t>
  </si>
  <si>
    <t>NCT04805307</t>
  </si>
  <si>
    <t>Safety, Tolerability, Pharmacokinetics, and Preliminary Efficacy, Phase 1 Study of CMG901</t>
  </si>
  <si>
    <t>NCT04578028</t>
  </si>
  <si>
    <t>A First in Human Study to Assess the Safety, Tolerability and Pharmacokinetics of ONO-2808-01 in Healthy Participants</t>
  </si>
  <si>
    <t>NCT04598607</t>
  </si>
  <si>
    <t>Tolerability and Pharmacokinetics of Hypidone Hydrochloride in Healthy Subjects</t>
  </si>
  <si>
    <t>Zhejiang Huahai Pharmaceutical Co., Ltd.</t>
  </si>
  <si>
    <t>NCT04206007</t>
  </si>
  <si>
    <t>Mesenchymal Stem Cells for The Treatment of Chronic Obstructive Pulmonary Disease</t>
  </si>
  <si>
    <t>Meridigen Biotech Co., Ltd.</t>
  </si>
  <si>
    <t>NCT04301011</t>
  </si>
  <si>
    <t>Study of TBio-6517 Given Alone or in Combination With Pembrolizumab in Solid Tumors</t>
  </si>
  <si>
    <t>Turnstone Biologics, Corp.</t>
  </si>
  <si>
    <t>NCT04437511</t>
  </si>
  <si>
    <t>A Study of Donanemab (LY3002813) in Participants With Early Alzheimer's Disease (TRAILBLAZER-ALZ 2)</t>
  </si>
  <si>
    <t>NCT04304144</t>
  </si>
  <si>
    <t>A Study to Evaluate the Safety and Tolerability of CAEL-101 in Patients With AL Amyloidosis</t>
  </si>
  <si>
    <t>NCT04556838</t>
  </si>
  <si>
    <t>Study of VVN001 Ophthalmic Solution in Dry Eye Disease</t>
  </si>
  <si>
    <t>VivaVision Biotech, Inc</t>
  </si>
  <si>
    <t>NCT04797715</t>
  </si>
  <si>
    <t>Assessing Clinical Outcomes in Alzheimer's Disease Agitation</t>
  </si>
  <si>
    <t>NCT04171258</t>
  </si>
  <si>
    <t>Clinical Trial to Compare the Safety and Efficacy of Botulax® Versus Botox® in Patients With Cervical Dystonia</t>
  </si>
  <si>
    <t>Hugel</t>
  </si>
  <si>
    <t>NCT04760743</t>
  </si>
  <si>
    <t>Safety and Immunogenicity of a SARS-CoV-2 Vaccine (NBP2001) in Healthy Adults (COVID-19)</t>
  </si>
  <si>
    <t>SK Bioscience Co., Ltd.</t>
  </si>
  <si>
    <t>NCT04435158</t>
  </si>
  <si>
    <t>A Multiple Dose Study to Evaluate the Effect of SHR-1222 Injection in Postmenopausal Osteoporosis Patients</t>
  </si>
  <si>
    <t>NCT04638543</t>
  </si>
  <si>
    <t>A Study to Assess the Efficacy, Safety, and Pharmacokinetics of ABP-671 in Patients With Gout or Hyperuricemia</t>
  </si>
  <si>
    <t>Atom Therapeutics Co., Ltd</t>
  </si>
  <si>
    <t>NCT04275115</t>
  </si>
  <si>
    <t>Effects of Repeated Doses of Foliglurax on Drug Metabolizing Enzymes in Healthy Subjects</t>
  </si>
  <si>
    <t>NCT05426148</t>
  </si>
  <si>
    <t>Lot Consistency Clinical Trial of of Recombinant HPV Bivalent Vaccine in 9 to14 Years Old Healthy Female</t>
  </si>
  <si>
    <t>Xiamen Innovax Biotech Co., Ltd</t>
  </si>
  <si>
    <t>NCT04368585</t>
  </si>
  <si>
    <t>Study to Examine the Effect of Antacid and Omeprazole on the Single-Dose Pharmacokinetics of Tebipenem Pivoxil Hydrobromide (TBPM-PI-HBr) in Healthy Adult Subjects</t>
  </si>
  <si>
    <t>NCT04718636</t>
  </si>
  <si>
    <t>A Study to Evaluate Effects of CC-99677 on the Pharmacokinetics of an Oral Contraceptive in Healthy Female Participants</t>
  </si>
  <si>
    <t>NCT04451811</t>
  </si>
  <si>
    <t>A PK Dose Proportionality Study of OPL-002 in Healthy Volunteers</t>
  </si>
  <si>
    <t>Oppilan Pharma Ltd</t>
  </si>
  <si>
    <t>NCT04629664</t>
  </si>
  <si>
    <t>FX-322 in Adults With Severe Sensorineural Hearing Loss</t>
  </si>
  <si>
    <t>Frequency Therapeutics</t>
  </si>
  <si>
    <t>NCT04322604</t>
  </si>
  <si>
    <t>A Study to Assess AK002 in Eosinophilic Gastritis and/or Eosinophilic Duodenitis (Formerly Referred to as Eosinophilic Gastroenteritis)</t>
  </si>
  <si>
    <t>NCT04570384</t>
  </si>
  <si>
    <t>Intravenous L-Citrulline Influence on the Need for Invasive Mechanical Ventilation for Acute Hypoxemic Respiratory Failure in Patients With COVID-19</t>
  </si>
  <si>
    <t>Asklepion Pharmaceuticals, LLC</t>
  </si>
  <si>
    <t>NCT04503278</t>
  </si>
  <si>
    <t>A Clinical Study of the Safety and Effectiveness of an Investigational Cell Therapy Given With and Without an Investigational RNA-based Vaccine in Patients With Organ Tumors</t>
  </si>
  <si>
    <t>BioNTech Cell &amp; Gene Therapies GmbH</t>
  </si>
  <si>
    <t>NCT04398134</t>
  </si>
  <si>
    <t>A Study of ABI-H2158-containing Regimens in Participants With Chronic Hepatitis B Virus Infection</t>
  </si>
  <si>
    <t>NCT04509947</t>
  </si>
  <si>
    <t>A Study of Ad26.COV2.S in Adults (COVID-19)</t>
  </si>
  <si>
    <t>NCT04533048</t>
  </si>
  <si>
    <t>A Clinical Study to Evaluate MW33 Injection</t>
  </si>
  <si>
    <t>NCT04590248</t>
  </si>
  <si>
    <t>A Study of Adavosertib as Treatment for Uterine Serous Carcinoma</t>
  </si>
  <si>
    <t>NCT04555148</t>
  </si>
  <si>
    <t>COVIDIG (COVID-19 Hyper-ImmunoGlobulin)</t>
  </si>
  <si>
    <t>Green Cross Corporation</t>
  </si>
  <si>
    <t>NCT05274087</t>
  </si>
  <si>
    <t>Study to Evaluate the Effect of Different Warm-Up Times of Risankizumab Autoinjector (AI) on the Injection Pain Experiences in Healthy Volunteers</t>
  </si>
  <si>
    <t>NCT04398433</t>
  </si>
  <si>
    <t>INO-3107 With Electroporation (EP) in Participants With HPV-6- and/or HPV-11-Associated Recurrent Respiratory Papillomatosis (RRP)</t>
  </si>
  <si>
    <t>Inovio Pharmaceuticals</t>
  </si>
  <si>
    <t>NCT04509700</t>
  </si>
  <si>
    <t>Rollover Study to Provide Continued Treatment for Participants With B-Cell Malignancies Previously Enrolled in Studies of Parsaclisib (INCB050465)</t>
  </si>
  <si>
    <t>NCT04220307</t>
  </si>
  <si>
    <t>A Study of a PD-1/CTLA-4 Bispecific Antibody AK104 in Patients With Metastatic Nasopharyngeal Carcinoma</t>
  </si>
  <si>
    <t>NCT04276207</t>
  </si>
  <si>
    <t>A Study of LY900014 Versus Insulin Lispro (Humalog) on High Blood Sugar in Participants With Type 1 Diabetes Who Use Insulin Pumps</t>
  </si>
  <si>
    <t>NCT04311515</t>
  </si>
  <si>
    <t>To Evaluate Safety, Tolerability and Pharmacological Effects of PU AD in Subjects With Mild AD Dementia</t>
  </si>
  <si>
    <t>Samus Therapeutics, Inc.</t>
  </si>
  <si>
    <t>NCT04229433</t>
  </si>
  <si>
    <t>The Multiple Dose of PK/PD Study of SHR2285 Tablets in Healthy Subjects</t>
  </si>
  <si>
    <t>NCT04231448</t>
  </si>
  <si>
    <t>Phase III Study of Tucidinostat in Combination With R-CHOP in Patients With Newly Diagnosed Double-Expressor DLBCL</t>
  </si>
  <si>
    <t>Chipscreen Biosciences, Ltd.</t>
  </si>
  <si>
    <t>NCT02711735</t>
  </si>
  <si>
    <t>Safety of RUTI® Vaccination in MDR-TB Patients</t>
  </si>
  <si>
    <t>Archivel Farma S.L.</t>
  </si>
  <si>
    <t>NCT04459598</t>
  </si>
  <si>
    <t>A Study of the Effect of a Moderate CYP3A Inducer Efavirenz on Quizartinib Pharmacokinetics in Healthy Participants</t>
  </si>
  <si>
    <t>NCT04425733</t>
  </si>
  <si>
    <t>Frespaciguat (MK-5475) in Participants With Hypoxemia Due to COVID-19 Pneumonia (MK-5475-009)</t>
  </si>
  <si>
    <t>NCT04227938</t>
  </si>
  <si>
    <t>ALPN-101 in Steroid-resistant or Steroid-refractory Acute GVHD</t>
  </si>
  <si>
    <t>Alpine Immune Sciences, Inc.</t>
  </si>
  <si>
    <t>NCT04536532</t>
  </si>
  <si>
    <t>Evaluation HEC121120 Tolerance in Healthy Subjects and Patients With Chronic Hepatitis B, Pharmacokinetics Characteristics and Antiviral Activity of Ⅰ Phase of Study</t>
  </si>
  <si>
    <t>NCT04139798</t>
  </si>
  <si>
    <t>Perfluorohexylcotane (NOV03) for the Treatment of Signs and Symptoms of Dry Eye Disease Associated With Meibomian Gland Dysfunction (Gobi Study)</t>
  </si>
  <si>
    <t>Bausch &amp; Lomb Incorporated</t>
  </si>
  <si>
    <t>NCT04310215</t>
  </si>
  <si>
    <t>Efficacy and Safety of Allogenic Stem Cell Product(CARTISTEM®) for Osteochondral Lesion of Talus</t>
  </si>
  <si>
    <t>Hyundai Bioland Co., Ltd.</t>
  </si>
  <si>
    <t>NCT04400058</t>
  </si>
  <si>
    <t>Octagam 10% Therapy in COVID-19 Patients With Severe Disease Progression</t>
  </si>
  <si>
    <t>Octapharma</t>
  </si>
  <si>
    <t>NCT04641143</t>
  </si>
  <si>
    <t>Efficacy and Safety Study of Adjunctive Troriluzole in Obsessive Compulsive Disorder</t>
  </si>
  <si>
    <t>Biohaven Pharmaceuticals, Inc.</t>
  </si>
  <si>
    <t>NCT04551885</t>
  </si>
  <si>
    <t>FT516 in Combination With Monoclonal Antibodies in Advanced Solid Tumors</t>
  </si>
  <si>
    <t>Fate Therapeutics</t>
  </si>
  <si>
    <t>NCT04158076</t>
  </si>
  <si>
    <t>Evaluating the Efficacy and Safety of Co-administrated Rosuvastatin/Ezetimibe and Telmisartan/Amlodipine</t>
  </si>
  <si>
    <t>NCT04697758</t>
  </si>
  <si>
    <t>Safety and Bioactivity of AXT107 in Subjects With Diabetic Macular Edema</t>
  </si>
  <si>
    <t>AsclepiX Therapeutics, Inc.</t>
  </si>
  <si>
    <t>NCT04585035</t>
  </si>
  <si>
    <t>Study to Evaluate D-1553 in Subjects With Solid Tumors</t>
  </si>
  <si>
    <t>InventisBio Co., Ltd</t>
  </si>
  <si>
    <t>NCT04154943</t>
  </si>
  <si>
    <t>Study of Cemiplimab in Patients With Type of Skin Cancer Stage II to IV Cutaneous Squamous Cell Carcinoma</t>
  </si>
  <si>
    <t>NCT03888534</t>
  </si>
  <si>
    <t>Intravenous Ixazomib in Pediatric Participants With Relapsed or Refractory Acute Lymphoblastic Leukemia (ALL) or Lymphoblastic Lymphoma (LLy)</t>
  </si>
  <si>
    <t>NCT04756934</t>
  </si>
  <si>
    <t>A Study of HX008 Plus LP002 for the Treatment of Patients With Advanced Melanoma</t>
  </si>
  <si>
    <t>Taizhou HoudeAoke Biomedical Co., Ltd.</t>
  </si>
  <si>
    <t>NCT04602221</t>
  </si>
  <si>
    <t>A Study in Healthy Men to Test Whether BI 409306, BI 425809 or Lamotrigine Can Reverse the Memory Problems Caused by Ketamine</t>
  </si>
  <si>
    <t>NCT04540185</t>
  </si>
  <si>
    <t>A Phase 3 Randomized Double Blind Efficacy and Safety Study of Oral Polio Vaccine and NA-831 for Covid-19</t>
  </si>
  <si>
    <t>Biomed Industries, Inc.</t>
  </si>
  <si>
    <t>NCT04236219</t>
  </si>
  <si>
    <t>ALLN-346 Single Ascending Dose (SAD) Study in Healthy Volunteers</t>
  </si>
  <si>
    <t>Allena Pharmaceuticals</t>
  </si>
  <si>
    <t>NCT04325009</t>
  </si>
  <si>
    <t>Bioequivalence Study Between "Dong-A Atorvastatin Tab" and "Lipitor Tab"</t>
  </si>
  <si>
    <t>Dong-A ST Co., Ltd.</t>
  </si>
  <si>
    <t>NCT04436133</t>
  </si>
  <si>
    <t>Immunogenicity AND Safety Study of the 11 Valent Recombinant Human Papillomavirus Vaccine (Hansenulapolymorpha)</t>
  </si>
  <si>
    <t>National Vaccine and Serum Institute, China</t>
  </si>
  <si>
    <t>NCT04445935</t>
  </si>
  <si>
    <t>Anticoagulation in Patients Suffering From COVID-19 Disease The ANTI-CO Trial</t>
  </si>
  <si>
    <t>Hamad Medical Corporation</t>
  </si>
  <si>
    <t>NCT04128917</t>
  </si>
  <si>
    <t>Triple Therapy With Tegoprazan in H. Pylori Positive Patients_PILOT</t>
  </si>
  <si>
    <t>NCT04492163</t>
  </si>
  <si>
    <t>Open-Label Pilot Study of OPTUNE® With High Density Transducer Arrays for the Treatment of Recurrent GBM</t>
  </si>
  <si>
    <t>NovoCure GmbH</t>
  </si>
  <si>
    <t>NCT04684914</t>
  </si>
  <si>
    <t>HepTcell Immunotherapy in Patients With Inactive Chronic Hepatitis B (CHB)</t>
  </si>
  <si>
    <t>NCT04513652</t>
  </si>
  <si>
    <t>A Study of the Safety and Anesthetic Effect of AG-920 Topical Ophthalmic Solution</t>
  </si>
  <si>
    <t>American Genomics, LLC</t>
  </si>
  <si>
    <t>NCT04383938</t>
  </si>
  <si>
    <t>Phase 1/2 Study of APR-246 in Combination With Pembrolizumab in Subjects With Solid Tumor Malignancies</t>
  </si>
  <si>
    <t>Aprea Therapeutics</t>
  </si>
  <si>
    <t>NCT04614948</t>
  </si>
  <si>
    <t>A Study of Ad26.COV2.S for the Prevention of SARS-CoV-2-mediated COVID-19 in Adults</t>
  </si>
  <si>
    <t>NCT04451226</t>
  </si>
  <si>
    <t>A Study to Assess the Safety and Tolerability of Fezolinetant in Women Seeking Treatment for Relief of Vasomotor Symptoms (VMS) Associated With Menopause</t>
  </si>
  <si>
    <t>NCT04521621</t>
  </si>
  <si>
    <t>A Study of Gebasaxturev (V937) in Combination With Pembrolizumab (MK-3475) in Participants With Advanced/Metastatic Solid Tumors (V937-013)</t>
  </si>
  <si>
    <t>NCT04626752</t>
  </si>
  <si>
    <t>CAR-T Cells in Treating Patients With Relapsed or Refractory Multiple Myeloma</t>
  </si>
  <si>
    <t>NCT04545385</t>
  </si>
  <si>
    <t>A Study to Test if TEV-48574 is Effective in Relieving Asthma</t>
  </si>
  <si>
    <t>NCT04303858</t>
  </si>
  <si>
    <t>A Study to Evaluate Safety and Anti-Tumor Activity of Eciskafusp Alfa (RO7284755) Alone or in Combination With Atezolizumab in Participants With Advanced and/or Metastatic Solid Tumors</t>
  </si>
  <si>
    <t>NCT03829878</t>
  </si>
  <si>
    <t>Efficacy, Safety, and Tolerability Study of Oral Full-Spectrum MicrobiotaTM (CP101) in Subjects With Autism Spectrum Disorder and Associated GI Symptoms (SPROUT)</t>
  </si>
  <si>
    <t>Finch Research and Development LLC.</t>
  </si>
  <si>
    <t>NCT04252287</t>
  </si>
  <si>
    <t>A Study on Impact of Canagliflozin on Health Status, Quality of Life, and Functional Status in Heart Failure</t>
  </si>
  <si>
    <t>NCT04740021</t>
  </si>
  <si>
    <t>Study of LP002 in Combination With Chemotherapy for Patients With Extensive Stage Small Cell Lung Cancer</t>
  </si>
  <si>
    <t>NCT04322149</t>
  </si>
  <si>
    <t>Multiple Doses of AT-1501-A201 in Adults With ALS</t>
  </si>
  <si>
    <t>Anelixis Therapeutics, LLC</t>
  </si>
  <si>
    <t>NCT04250155</t>
  </si>
  <si>
    <t>An Open-Label Dose-Escalation Study to Evaluate XmAb24306 as a Single Agent and in Combination With Atezolizumab in Participants With Locally Advanced or Metastatic Solid Tumors</t>
  </si>
  <si>
    <t>NCT04523285</t>
  </si>
  <si>
    <t>A Phase I Study of TQB728 Tablets on Tolerance and Pharmacokinetics</t>
  </si>
  <si>
    <t>NCT04248465</t>
  </si>
  <si>
    <t>An Efficacy and Safety Study of Ravulizumab in ALS Participants</t>
  </si>
  <si>
    <t>NCT04238819</t>
  </si>
  <si>
    <t>A Study of Abemaciclib (LY2835219) in Combination With Other Anti-Cancer Treatments in Children and Young Adult Participants With Solid Tumors, Including Neuroblastoma</t>
  </si>
  <si>
    <t>NCT04372706</t>
  </si>
  <si>
    <t>RTX-240 Monotherapy and in Combination With Pembrolizumab</t>
  </si>
  <si>
    <t>NCT04619706</t>
  </si>
  <si>
    <t>Ultramicronized Palmitoylethanolamide (PEA) Treatment in Hospitalized Participants With COVID-19</t>
  </si>
  <si>
    <t>Quantum Biopharma</t>
  </si>
  <si>
    <t>NCT04626765</t>
  </si>
  <si>
    <t>CAR-T for Children With Relapsed and Refractory Acute Lymphoblastic Leukemia</t>
  </si>
  <si>
    <t>NCT04453618</t>
  </si>
  <si>
    <t>A Study to Evaluate the Safety, Tolerability, Pharmacokinetics, and Food Effect of SYHA1402 in Healthy Subjects</t>
  </si>
  <si>
    <t>NCT04630860</t>
  </si>
  <si>
    <t>A Study to Evaluate the Pharmacokinetics and Safety of LY03003 in Patients With Advanced-stage PD</t>
  </si>
  <si>
    <t>NCT04478513</t>
  </si>
  <si>
    <t>A Study to Assess the Effect of Fluvoxamine and Smoking on Pharmacokinetics ( the Movement of Drugs Within the Body) of AZD4635 in Healthy Volunteers</t>
  </si>
  <si>
    <t>NCT04243486</t>
  </si>
  <si>
    <t>A Study of the Safety and Efficacy of UHE-105 Shampoo in Subjects With Scalp Psoriasis</t>
  </si>
  <si>
    <t>Therapeutics, Inc.</t>
  </si>
  <si>
    <t>NCT05811000</t>
  </si>
  <si>
    <t>A Phase 2 Clinical Study to Explore the Optimal Dosage/Administration of PM012 Tablet in Alzheimer's Disease</t>
  </si>
  <si>
    <t>Mediforum Ltd., Co.</t>
  </si>
  <si>
    <t>NCT04549363</t>
  </si>
  <si>
    <t>Characterization of Corneal Epithelial Changes in Participants Treated With Belantamab Mafodotin</t>
  </si>
  <si>
    <t>NCT04445363</t>
  </si>
  <si>
    <t>A Study With Jaktinib Hydrochloride Cream Applied Topically to Subjects With Alopecia Areata</t>
  </si>
  <si>
    <t>NCT04123795</t>
  </si>
  <si>
    <t>A Study to Evaluate the Pharmacokinetics, Safety, and Effectiveness of Certolizumab Pegol in Children With Moderate to Severe Chronic Plaque Psoriasis</t>
  </si>
  <si>
    <t>NCT04344795</t>
  </si>
  <si>
    <t>Phase 1a/1b Study of TPST-1495 as a Single Agent and in Combination With Pembrolizumab in Subjects With Solid Tumors</t>
  </si>
  <si>
    <t>Tempest Therapeutics</t>
  </si>
  <si>
    <t>NCT04497844</t>
  </si>
  <si>
    <t>A Study of Niraparib in Combination With Abiraterone Acetate and Prednisone Versus Abiraterone Acetate and Prednisone for the Treatment of Participants With Deleterious Germline or Somatic Homologous Recombination Repair (HRR) Gene-Mutated Metastatic Castration-Sensitive Prostate Cancer (mCSPC)</t>
  </si>
  <si>
    <t>NCT04338399</t>
  </si>
  <si>
    <t>The BURAN Study of Buparlisib in Patients With Recurrent or Metastatic HNSCC</t>
  </si>
  <si>
    <t>Adlai Nortye Biopharma Co., Ltd.</t>
  </si>
  <si>
    <t>NCT04527471</t>
  </si>
  <si>
    <t>Pilot Study of Ensifentrine or Placebo Delivered Via pMDI in Hospitalized Patients With COVID-19</t>
  </si>
  <si>
    <t>Verona Pharma Inc</t>
  </si>
  <si>
    <t>NCT04422912</t>
  </si>
  <si>
    <t>A Phase 1/2, Open-label, Safety and Dosing Study of Autologous CART Cells (Desmoglein 3 Chimeric Autoantibody Receptor T Cells [DSG3-CAART] or CD19-specific Chimeric Antigen Receptor T Cells [CABA-201]) in Subjects With Active, Pemphigus Vulgaris (RESET-PV)</t>
  </si>
  <si>
    <t>Cabaletta Bio</t>
  </si>
  <si>
    <t>NCT04594850</t>
  </si>
  <si>
    <t>Clinical Trial to Evaluate Efficacy and Safety of of Autologous Mesenchymal Stem Cells (MSC) Injected Intracavernously</t>
  </si>
  <si>
    <t>Pharmicell Co., Ltd.</t>
  </si>
  <si>
    <t>NCT04246489</t>
  </si>
  <si>
    <t>Bintrafusp Alfa Monotherapy in Platinum-Experienced Cervical Cancer</t>
  </si>
  <si>
    <t>NCT04063215</t>
  </si>
  <si>
    <t>A Clinical Trial to Determine the Safety and Efficacy of Hope Biosciences Autologous Mesenchymal Stem Cell Therapy for the Treatment of Traumatic Brain Injury and Hypoxic-Ischemic Encephalopathy</t>
  </si>
  <si>
    <t>Hope Biosciences LLC</t>
  </si>
  <si>
    <t>NCT04209049</t>
  </si>
  <si>
    <t>A Research Study Looking Into Blood Levels of NNC0174-0833 in People With Normal and Impaired Kidney Function</t>
  </si>
  <si>
    <t>NCT04561076</t>
  </si>
  <si>
    <t>Evaluate Safety and Pharmacokinetics of HLX70 in Healthy Adult Volunteers</t>
  </si>
  <si>
    <t>Hengenix Biotech Inc</t>
  </si>
  <si>
    <t>NCT04299633</t>
  </si>
  <si>
    <t>Study in Healthy Adult Subjects to Assess the Effect of Phosphate Binders on the Pharmacokinetics of a Single Dose of Vadadustat</t>
  </si>
  <si>
    <t>Akebia Therapeutics</t>
  </si>
  <si>
    <t>NCT04671433</t>
  </si>
  <si>
    <t>Gene Therapy Trial for the Treatment of X-linked Retinitis Pigmentosa Associated With Variants in the RPGR Gene</t>
  </si>
  <si>
    <t>NCT04597125</t>
  </si>
  <si>
    <t>RADIANT: A Study of Radium-223 Dichloride (Xofigo) vs Enzalutamide or Abiraterone (ARPIs, Androgen Receptor Pathway Inhibitors) in Patients With Prostate Cancer That Has Spread to the Bones (mCRPC, Metastatic Castration-Resistant Prostate Cancer)</t>
  </si>
  <si>
    <t>NCT04508426</t>
  </si>
  <si>
    <t>Single-dose AME Study With [14C]AR882 in Healthy Male Subjects</t>
  </si>
  <si>
    <t>Arthrosi Therapeutics</t>
  </si>
  <si>
    <t>NCT04473417</t>
  </si>
  <si>
    <t>Pharmacokinetics and Safety/Tolerability Profiles of DA-2811 in Healthy Subjects</t>
  </si>
  <si>
    <t>NCT04435652</t>
  </si>
  <si>
    <t>A Study of QL1604 Plus Nab-paclitaxel Versus Paclitaxel in Subjects With Advanced Gastric Cancer.</t>
  </si>
  <si>
    <t>NCT04671849</t>
  </si>
  <si>
    <t>An Open Label, Multi-center, Phase I Clinical Study to Evaluate the Safety, Effectiveness and Pharmacokinetic Characteristics of SIM1803-1A in Patients With Locally Advanced/Metastatic Solid Tumors With NTRK, ROS1 or ALK Gene Fusion Mutations.</t>
  </si>
  <si>
    <t>NCT04042025</t>
  </si>
  <si>
    <t>Long-term Follow-up Study of Patients Receiving Onasemnogene Abeparvovec-xioi</t>
  </si>
  <si>
    <t>Novartis Gene Therapies</t>
  </si>
  <si>
    <t>NCT04300114</t>
  </si>
  <si>
    <t>A Study of Maintenance Treatment With Fluzoparib in gBRCA/PALB2 Mutated Pancreatic Cancer Whose Disease Has Not Progressed on First Line Platinum-Based Chemotherapy</t>
  </si>
  <si>
    <t>NCT04422496</t>
  </si>
  <si>
    <t>The Safety, Tolerability, Pharmacokinetics and Pharmacodynamics Study of HEC96719 Tablets in Healthy Subjects</t>
  </si>
  <si>
    <t>NCT07084896</t>
  </si>
  <si>
    <t>Sub-study of Belantamab Mafodotin (GSK2857916) in Combination With Nirogacestat in Participants With RRMM</t>
  </si>
  <si>
    <t>NCT04232917</t>
  </si>
  <si>
    <t>Study of 2LPAPI® on the Clearance of Genital HR-HPV Infections.</t>
  </si>
  <si>
    <t>NCT04526691</t>
  </si>
  <si>
    <t>Datopotamab Deruxtecan (Dato-DXd) in Combination With Pembrolizumab With or Without Platinum Chemotherapy in Subjects With Advanced or Metastatic Non-Small Cell Lung Cancer (TROPION-Lung02)</t>
  </si>
  <si>
    <t>NCT05082662</t>
  </si>
  <si>
    <t>Bioequivalence Study to Compare Diclofenac Potassium Coated Tablet Versus Cataflam® 50 Coated Tablet</t>
  </si>
  <si>
    <t>Humanis Saglık Anonim Sirketi</t>
  </si>
  <si>
    <t>NCT04617782</t>
  </si>
  <si>
    <t>Pharmacokinetic Study of 5 and 10 mg Corplex™ Donepezil TDS Compared to 10 mg Aricept® in Healthy Volunteers</t>
  </si>
  <si>
    <t>Corium, Inc.</t>
  </si>
  <si>
    <t>NCT04480788</t>
  </si>
  <si>
    <t>CD7-CART in the Treatment of r / r CD7 Positive Hemolymph System Malignancies on Increasing Dose and Open Label Study</t>
  </si>
  <si>
    <t>NCT04099303</t>
  </si>
  <si>
    <t>Phase I Clinical Trial of Diphtheria, Tetanus and Acellular Pertussis (Three Components) Combined Vaccine, Adsorbed .</t>
  </si>
  <si>
    <t>NCT04121286</t>
  </si>
  <si>
    <t>A Study of JAB-3312 in Adult Patients With Advanced Solid Tumors in China</t>
  </si>
  <si>
    <t>Allist Pharmaceuticals, Inc.</t>
  </si>
  <si>
    <t>NCT04512170</t>
  </si>
  <si>
    <t>Single and Multiple Dose Safety, Tolerability, PK and Food Effect Study of HEC585 in Healthy Male and Female Subjects</t>
  </si>
  <si>
    <t>NCT04307173</t>
  </si>
  <si>
    <t>Study of Multiple Ascending Dose of KBL693 in Healthy Participants</t>
  </si>
  <si>
    <t>KoBioLabs</t>
  </si>
  <si>
    <t>NCT06244290</t>
  </si>
  <si>
    <t>Dentinal Hypersensitivity Reduction</t>
  </si>
  <si>
    <t>NCT04272203</t>
  </si>
  <si>
    <t>A Study to Determine Safety, Tolerability, Pharmacokinetics, and Recommended Phase 2 Dose (RP2D) of Intravenous ABBV-184 in Adult Participants With Previously Treated Cancers</t>
  </si>
  <si>
    <t>NCT04444427</t>
  </si>
  <si>
    <t>Evaluation of GLR2007 for Advanced Solid Tumors</t>
  </si>
  <si>
    <t>Gan and Lee Pharmaceuticals, USA</t>
  </si>
  <si>
    <t>NCT03757403</t>
  </si>
  <si>
    <t>RDD1609 as a Treatment for Idiopathic Pruritus Ani</t>
  </si>
  <si>
    <t>RDD Pharma Ltd</t>
  </si>
  <si>
    <t>NCT04545580</t>
  </si>
  <si>
    <t>Clinical Study to Evaluate the Treatment Effect and Safety of BAY1817080 in Patients With Overactive Bladder (OAB)</t>
  </si>
  <si>
    <t>NCT04459325</t>
  </si>
  <si>
    <t>Tigerase® Efficacy and Safety as Part of Complex Therapy in Patients With COVID-19</t>
  </si>
  <si>
    <t>AO GENERIUM</t>
  </si>
  <si>
    <t>NCT05217303</t>
  </si>
  <si>
    <t>HL-085 in NRAS-mutated Advanced Melanoma</t>
  </si>
  <si>
    <t>Shanghai Kechow Pharma, Inc.</t>
  </si>
  <si>
    <t>NCT04630808</t>
  </si>
  <si>
    <t>MRCT Evaluating NCX 470 vs. Latanoprost in Subjects With Open-Angle Glaucoma or Ocular Hypertension</t>
  </si>
  <si>
    <t>Nicox Ophthalmics, Inc.</t>
  </si>
  <si>
    <t>NCT04718480</t>
  </si>
  <si>
    <t>Fluvoxamine Administration in Moderate SARS-CoV-2 (COVID-19) Infected Patients</t>
  </si>
  <si>
    <t>SigmaDrugs Research Ltd.</t>
  </si>
  <si>
    <t>NCT04064827</t>
  </si>
  <si>
    <t>A Study to Evaluate Safety, Efficacy and Pharmacokinetics of Paricalcitol For Treatment of Secondary Hyperparathyroidism (SHPT) in Pediatric Participants With Stage 5 Chronic Kidney Disease (CKD)</t>
  </si>
  <si>
    <t>NCT04526197</t>
  </si>
  <si>
    <t>Phase 1 Study of ALXN1840 on the Metabolism of a CYP2C9 Substrate in Healthy Participants.</t>
  </si>
  <si>
    <t>NCT03972488</t>
  </si>
  <si>
    <t>Study to Evaluate the Efficacy and Safety of Lutathera in Patients With Grade 2 and Grade 3 Advanced GEP-NET</t>
  </si>
  <si>
    <t>Advanced Accelerator Applications</t>
  </si>
  <si>
    <t>NCT04575818</t>
  </si>
  <si>
    <t>A Study in Healthy Male Volunteers Investigating the Safety, Absorption and Elimination of Single Doses of GLPG4059</t>
  </si>
  <si>
    <t>NCT04616924</t>
  </si>
  <si>
    <t>RHB-204 for the Treatment of Pulmonary Mycobacterium Avium Complex Disease</t>
  </si>
  <si>
    <t>RedHill Biopharma Limited</t>
  </si>
  <si>
    <t>NCT04285567</t>
  </si>
  <si>
    <t>A Study to Compare the Efficacy and Safety of a Combined Regimen of Venetoclax and Obinutuzumab Versus Fludarabine, Cyclophosphamide, and Rituximab (FCR)/ Bendamustine And Rituximab (BR) in FIT Patients With Previously Untreated Chronic Lymphocytic Leukemia (CLL) Without DEL (17P) or TP53 Mutation</t>
  </si>
  <si>
    <t>NCT04479852</t>
  </si>
  <si>
    <t>A Study of the Safety and Efficacy of SP-624 in the Treatment of Adults With Major Depressive Disorder</t>
  </si>
  <si>
    <t>NCT03754244</t>
  </si>
  <si>
    <t>A Phase I Study of TQ-B3456 on Tolerance and Pharmacokinetics</t>
  </si>
  <si>
    <t>NCT04323098</t>
  </si>
  <si>
    <t>Study to Evaluate the Efficacy and Safety of Valoctocogene Roxaparvovec, With Prophylactic Steroids in Hemophilia A</t>
  </si>
  <si>
    <t>BioMarin Pharmaceutical</t>
  </si>
  <si>
    <t>NCT04431687</t>
  </si>
  <si>
    <t>A Clinical Trial to Investigate the Pharmacokinetic Drug Interaction and Safety of CKD-501, D759 and D150 (CKD-393)</t>
  </si>
  <si>
    <t>NCT04553978</t>
  </si>
  <si>
    <t>A Single Oral Dose, Crossover Comparative PK Study of WD-1603 in Healthy Subjects Under Fasting Conditions</t>
  </si>
  <si>
    <t>NCT04410133</t>
  </si>
  <si>
    <t>Study to Establish the Diagnostic Performance of 18F Fluciclovine PET in Detecting Recurrent Brain Metastases</t>
  </si>
  <si>
    <t>Blue Earth Diagnostics</t>
  </si>
  <si>
    <t>NCT04529811</t>
  </si>
  <si>
    <t>Randomised, Placebo-controlled Safety and Pharmacokinetics Study of Novel Rifaximin Formulations in Healthy Volunteers</t>
  </si>
  <si>
    <t>NCT02289300</t>
  </si>
  <si>
    <t>A Study to Evaluate a Study Drug, DCB-BO1202, for Alleviating Liver Fibrosis in Liver Cancer Patients</t>
  </si>
  <si>
    <t>A2 Healthcare Taiwan Corporation</t>
  </si>
  <si>
    <t>NCT04358809</t>
  </si>
  <si>
    <t>Clinical Trial of Mycobacterium w in COVID-19 Positive Patients, Hospitalized But Not Critically Ill</t>
  </si>
  <si>
    <t>Cadila Pharnmaceuticals</t>
  </si>
  <si>
    <t>NCT04495153</t>
  </si>
  <si>
    <t>CAN-2409 Plus Prodrug With Standard of Care Immune Checkpoint Inhibitor for Stage III/IV NSCLC</t>
  </si>
  <si>
    <t>Candel Therapeutics, Inc.</t>
  </si>
  <si>
    <t>NCT04229537</t>
  </si>
  <si>
    <t>Study of SCT-I10A Combined SCT200 or SCT-I10A Combined SCT200 Plus Chemotherapy in ESCC and CRC</t>
  </si>
  <si>
    <t>NCT04284488</t>
  </si>
  <si>
    <t>Dose-escalation Study of APG-1387 and Toripalimab in Solid Tumors</t>
  </si>
  <si>
    <t>NCT04510090</t>
  </si>
  <si>
    <t>Evaluate the Safety, Tolerability, and PK of EP547 in Healthy Subjects and Subjects With Cholestatic or Uremic Pruritus</t>
  </si>
  <si>
    <t>Escient Pharmaceuticals, Inc</t>
  </si>
  <si>
    <t>NCT04586270</t>
  </si>
  <si>
    <t>A Study of TAS0612 in Participants With Advanced or Metastatic Solid Tumor Cancer</t>
  </si>
  <si>
    <t>NCT04498182</t>
  </si>
  <si>
    <t>A Phase 2b Study Evaluating the Safety and Efficacy of AR-15512 Ophthalmic Solution for the Treatment of Dry Eye Disease</t>
  </si>
  <si>
    <t>NCT04711161</t>
  </si>
  <si>
    <t>First-in-Human Evaluation of GRN-300 in Subjects With Recurrent Ovarian, Primary Peritoneal, and Fallopian Tube Cancers.</t>
  </si>
  <si>
    <t>Green3Bio, Inc.</t>
  </si>
  <si>
    <t>NCT04577794</t>
  </si>
  <si>
    <t>A Study Evaluating the Effects of GLPG3970 Given as an Oral Treatment for 6 Weeks in Adults With Ulcerative Colitis</t>
  </si>
  <si>
    <t>NCT02057159</t>
  </si>
  <si>
    <t>A Study of NeuroVax™, a Therapeutic TCR Peptide Vaccine for SPMS of Multiple Sclerosis</t>
  </si>
  <si>
    <t>Immune Response BioPharma, Inc.</t>
  </si>
  <si>
    <t>NCT04254783</t>
  </si>
  <si>
    <t>A Study to Evaluate the Effect of Intravenous (IV) Infusions of Risankizumab on Pharmacokinetics of Cytochome P450 Substrates in Adult Participants With Moderately to Severely Active Ulcerative Colitis or Crohn's Disease</t>
  </si>
  <si>
    <t>NCT05140096</t>
  </si>
  <si>
    <t>A Study to Evaluate the Effect of Pharmacokinetics (PK) of Acalabrutinib and Its Active Metabolite (ACP-5862) When Administered Alone and With Moderate CYP3A4 Inhibitors Fluconazole or Isavuconazole in Healthy Adult Participants</t>
  </si>
  <si>
    <t>Acerta Pharma BV</t>
  </si>
  <si>
    <t>NCT04447183</t>
  </si>
  <si>
    <t>The Safety and Effectiveness of rhTSH in Radioiodine Treatment for Patients With Differentiated Thyroid Cancer.</t>
  </si>
  <si>
    <t>NCT04238962</t>
  </si>
  <si>
    <t>A Research Study to Compare Two Different Forms of Once-weekly Semaglutide in Two Different Injection Pens</t>
  </si>
  <si>
    <t>NCT04362761</t>
  </si>
  <si>
    <t>A Study Evaluating the Long-Term Safety of Elexacaftor Combination Therapy</t>
  </si>
  <si>
    <t>NCT04519073</t>
  </si>
  <si>
    <t>Phase 1 Study to Evaluate the Safety and Immunogenicity of a Candidate Vaccine Against Respiratory Syncytial Virus</t>
  </si>
  <si>
    <t>Virometix</t>
  </si>
  <si>
    <t>NCT04096573</t>
  </si>
  <si>
    <t>Efficacy and Safety of LC51-0255 in Subjects With Ulcerative Colitis</t>
  </si>
  <si>
    <t>NCT04678856</t>
  </si>
  <si>
    <t>Dupilumab in CRSsNP</t>
  </si>
  <si>
    <t>NCT04612062</t>
  </si>
  <si>
    <t>A First-in-Human Study of CEE321 in Adult Subjects</t>
  </si>
  <si>
    <t>NCT04421508</t>
  </si>
  <si>
    <t>A Study to Assess Pulsed Inhaled Nitric Oxide vs Placebo in Subjects With Mild or Moderate COVID-19</t>
  </si>
  <si>
    <t>Bellerophon Pulse Technologies</t>
  </si>
  <si>
    <t>NCT04267640</t>
  </si>
  <si>
    <t>Study of AMG0001 to Improve Ulcer Healing and Perfusion in Subjects With Peripheral Ischemic Ulcers</t>
  </si>
  <si>
    <t>AnGes USA, Inc.</t>
  </si>
  <si>
    <t>NCT04313023</t>
  </si>
  <si>
    <t>The Use PUL-042 to Reduce the Infection Rate and Progression to COVID-19 in Adults Exposed to SARS-CoV-2</t>
  </si>
  <si>
    <t>Pulmotect, Inc.</t>
  </si>
  <si>
    <t>NCT04149379</t>
  </si>
  <si>
    <t>Hyperbaric Oxygen Therapy After Stroke - PILOT</t>
  </si>
  <si>
    <t>Norwegian Underwater Intervention (NUI)</t>
  </si>
  <si>
    <t>NCT04641260</t>
  </si>
  <si>
    <t>A Study to Assess the Effect of Food With Fezolinetant in Healthy Female Participants</t>
  </si>
  <si>
    <t>NCT04655625</t>
  </si>
  <si>
    <t>Phase II / III Study of COVID-19 DNA Vaccine (AG0302-COVID19)</t>
  </si>
  <si>
    <t>NCT04425460</t>
  </si>
  <si>
    <t>A Multi-center,Randomized,Double-blind,Placebo-controlled,Phase 3 Study Evaluating Favipiravir in Treatment of COVID19</t>
  </si>
  <si>
    <t>NCT04249323</t>
  </si>
  <si>
    <t>Single and Multiple Ascending Dose Study of CORT113176 in Healthy Participants</t>
  </si>
  <si>
    <t>NCT04404543</t>
  </si>
  <si>
    <t>A Study of SYHA1807 in Subjects With Extensive-Stage Small Cell Lung Cancer</t>
  </si>
  <si>
    <t>NCT04555213</t>
  </si>
  <si>
    <t>A Dose Escalation and Dose Expansion Study of NOX66 in the Treatment of COVID-19</t>
  </si>
  <si>
    <t>Noxopharm Limited</t>
  </si>
  <si>
    <t>NCT04649060</t>
  </si>
  <si>
    <t>Study of Melflufen (Melphalan Flufenamide) in Combination With Daratumumab in Relapsed-Refractory Multiple Myeloma</t>
  </si>
  <si>
    <t>NCT04702568</t>
  </si>
  <si>
    <t>A Long-Term Safety Study of BCX9930 in Participants With Paroxysmal Nocturnal Hemoglobinuria (PNH)</t>
  </si>
  <si>
    <t>NCT04337918</t>
  </si>
  <si>
    <t>Nitric Oxide Releasing Solutions to Prevent and Treat Mild/Moderate COVID-19 Infection</t>
  </si>
  <si>
    <t>Sanotize Research and Development corp.</t>
  </si>
  <si>
    <t>NCT04155918</t>
  </si>
  <si>
    <t>Phase 2a Study of AR882 Alone and in Combination With Febuxostat or Allopurinol in Gout Patients</t>
  </si>
  <si>
    <t>NCT04292197</t>
  </si>
  <si>
    <t>A Study to Assess 18-Methoxycoronaridine (18-MC HCl) in Healthy Volunteers</t>
  </si>
  <si>
    <t>Definium Therapeutics US, Inc.</t>
  </si>
  <si>
    <t>NCT04610047</t>
  </si>
  <si>
    <t>Efficacy and Safety of Norketotifen in Uncomplicated Influenza-like Illness</t>
  </si>
  <si>
    <t>Emergo Therapeutics, Inc.</t>
  </si>
  <si>
    <t>NCT04249947</t>
  </si>
  <si>
    <t>P-PSMA-101 CAR-T Cells in the Treatment of Subjects With Metastatic Castration-Resistant Prostate Cancer (mCRPC) and Advanced Salivary Gland Cancers (SGC)</t>
  </si>
  <si>
    <t>Poseida Therapeutics, Inc.</t>
  </si>
  <si>
    <t>NCT04265755</t>
  </si>
  <si>
    <t>Biomarker and Genetic Predictors of Erenumab Treatment Response</t>
  </si>
  <si>
    <t>NCT04565678</t>
  </si>
  <si>
    <t>A Study to Assess the Relative Bioavailability and Effect of Food on the Coated Granule Formulation of Mitapivat in Healthy Participants</t>
  </si>
  <si>
    <t>Agios Pharmaceuticals, Inc.</t>
  </si>
  <si>
    <t>NCT04711213</t>
  </si>
  <si>
    <t>A Clinical Study to Assess the Efficacy and Safety of SED80 for Use in Cataract Surgery</t>
  </si>
  <si>
    <t>iDrop, Inc.</t>
  </si>
  <si>
    <t>NCT05354050</t>
  </si>
  <si>
    <t>Pharmacokinetic Study of DARE-BV1</t>
  </si>
  <si>
    <t>NCT04336410</t>
  </si>
  <si>
    <t>Safety, Tolerability and Immunogenicity of INO-4800 for COVID-19 in Healthy Volunteers</t>
  </si>
  <si>
    <t>NCT04644120</t>
  </si>
  <si>
    <t>Study to Assess Adverse Events and How Intravenous (IV) ABBV-47D11 and IV ABBV-2B04 Given Alone and in Combination Moves Through the Body of Adult Participants With Coronavirus Disease 2019 (COVID-19)</t>
  </si>
  <si>
    <t>NCT05504317</t>
  </si>
  <si>
    <t>A Study of AK111 in Subjects With Moderate-to-severe Plaque Psoriasis</t>
  </si>
  <si>
    <t>NCT04162210</t>
  </si>
  <si>
    <t>Study of Single Agent Belantamab Mafodotin Versus Pomalidomide Plus Low-dose Dexamethasone (Pom/Dex) in Participants With Relapsed/Refractory Multiple Myeloma (RRMM)</t>
  </si>
  <si>
    <t>NCT04614740</t>
  </si>
  <si>
    <t>The Phase I/Phase II Clinical Study of VC004 in Patients With Localized Advanced/Metastatic Solid Tumors</t>
  </si>
  <si>
    <t>Jiangsu vcare pharmaceutical technology co., LTD</t>
  </si>
  <si>
    <t>NCT04083235</t>
  </si>
  <si>
    <t>A Study to Assess the Effectiveness and Safety of Irinotecan Liposome Injection, 5-fluorouracil/Leucovorin Plus Oxaliplatin in Patients Not Previously Treated for Metastatic Pancreatic Cancer, Compared to Nab-paclitaxel+Gemcitabine Treatment</t>
  </si>
  <si>
    <t>NCT04543617</t>
  </si>
  <si>
    <t>A Study of Atezolizumab With or Without Tiragolumab in Participants With Unresectable Esophageal Squamous Cell Carcinoma Whose Cancers Have Not Progressed Following Definitive Concurrent Chemoradiotherapy</t>
  </si>
  <si>
    <t>NCT04508140</t>
  </si>
  <si>
    <t>Study of BO-112 With Pembrolizumab for Colorectal or Gastric/GEJ Cancer With Liver Metastasis</t>
  </si>
  <si>
    <t>Highlight Therapeutics</t>
  </si>
  <si>
    <t>NCT04410523</t>
  </si>
  <si>
    <t>Study of Efficacy and Safety of CSJ117 in Patients With Severe Uncontrolled Asthma</t>
  </si>
  <si>
    <t>NCT04640012</t>
  </si>
  <si>
    <t>Ascending-Dose Study to Evaluate the Safety, Tolerability, Pharmacokinetics of DC371739 Single-Dose Treatment in Healthy Subjects</t>
  </si>
  <si>
    <t>Guangzhou JOYO Pharma Co., Ltd</t>
  </si>
  <si>
    <t>NCT04669665</t>
  </si>
  <si>
    <t>A Study of SLS-002 (Intranasal Racemic Ketamine) in Adults With Major Depressive Disorder at Imminent Risk of Suicide</t>
  </si>
  <si>
    <t>Seelos Therapeutics, Inc.</t>
  </si>
  <si>
    <t>NCT04203511</t>
  </si>
  <si>
    <t>INCMGA00012 in Combination With Chemoradiation in Participants With Stage III Non-Small Cell Lung Cancer (POD1UM-301)</t>
  </si>
  <si>
    <t>NCT04417257</t>
  </si>
  <si>
    <t>Study of LAU-7b for the Treatment of Coronavirus Disease 2019 (COVID-19) Disease in Adults</t>
  </si>
  <si>
    <t>Laurent Pharmaceuticals Inc.</t>
  </si>
  <si>
    <t>NCT04592419</t>
  </si>
  <si>
    <t>A Study to Evaluate the Efficacy, Durability, and Safety of KSI-301 Compared to Aflibercept in Patients With Macular Edema Due to Retinal Vein Occlusion (RVO)</t>
  </si>
  <si>
    <t>NCT04674709</t>
  </si>
  <si>
    <t>Evaluation of the Safety and Pharmacokinetics of Oleander 4X in Healthy Volunteers</t>
  </si>
  <si>
    <t>Avila Herbals</t>
  </si>
  <si>
    <t>NCT05851599</t>
  </si>
  <si>
    <t>Dose-Ranging Study of SKF7® for Obesity</t>
  </si>
  <si>
    <t>Medika Natura Sdn Bhd</t>
  </si>
  <si>
    <t>NCT04640532</t>
  </si>
  <si>
    <t>KRT-232 in Combination With TL-895 for the Treatment of R/R MF and KRT-232 for the Treatment of JAKi Intolerant MF</t>
  </si>
  <si>
    <t>Kartos Therapeutics, Inc.</t>
  </si>
  <si>
    <t>NCT04303195</t>
  </si>
  <si>
    <t>A Study to Evaluate the Safety and Efficacy of NG101 in Adult Participants With Symptomatic Diabetic or Idiopathic Gastroparesis</t>
  </si>
  <si>
    <t>Neurogastrx, Inc.</t>
  </si>
  <si>
    <t>NCT03594175</t>
  </si>
  <si>
    <t>Efficacy and Safety of CUSA-081 in the Restoration of Central Venous Access Device (CVAD) Functionality</t>
  </si>
  <si>
    <t>Chiesi Farmaceutici S.p.A.</t>
  </si>
  <si>
    <t>NCT04098744</t>
  </si>
  <si>
    <t>Artesunate Vaginal Inserts for the Treatment of Cervical Intraepithelial Neoplasia (CIN2/3)</t>
  </si>
  <si>
    <t>Frantz Viral Therapeutics, LLC</t>
  </si>
  <si>
    <t>NCT04390334</t>
  </si>
  <si>
    <t>A Study in Healthy Male Subjects to Investigate the Effect of Famotidine and Efavirenz on the Way the Body Takes up, Distributes, and Gets Rid of Daridorexant.</t>
  </si>
  <si>
    <t>NCT04523571</t>
  </si>
  <si>
    <t>Safety and Immunogenicity of SARS-CoV-2 mRNA Vaccine (BNT162b1) in Chinese Healthy Subjects</t>
  </si>
  <si>
    <t>BioNTech SE</t>
  </si>
  <si>
    <t>NCT04519437</t>
  </si>
  <si>
    <t>Study Assessing the Safety, Tolerability, Pharmacokinetics, and Immunogenicity of Repeated Subcutaneous Doses of Anti-Spike (S) SARS-CoV-2 Monoclonal Antibodies (REGN10933+REGN10987) in Adult Volunteers as Related to COVID-19</t>
  </si>
  <si>
    <t>NCT04405245</t>
  </si>
  <si>
    <t>Study to Assess the Efficacy, Safety and Tolerability of AKB-9778 Ophthalmic Solution as and Adjunct to Latanoprost in Patients With Ocular Hypertension or Open Angle Glaucoma</t>
  </si>
  <si>
    <t>EyePoint Pharmaceuticals, Inc.</t>
  </si>
  <si>
    <t>NCT04636957</t>
  </si>
  <si>
    <t>A Phase III Study of Ciprofloxacin Plus Fluocinolone in Acute Otitis Externa (AOE)</t>
  </si>
  <si>
    <t>NCT04622865</t>
  </si>
  <si>
    <t>Masitinib Combined With Isoquercetin and Best Supportive Care in Hospitalized Patients With Moderate and Severe COVID-19</t>
  </si>
  <si>
    <t>AB Science</t>
  </si>
  <si>
    <t>NCT04237792</t>
  </si>
  <si>
    <t>Safety and Efficacy of Dexmedetomidine (DEX) for Sedation of Subjects ≥1 Month to &lt;17 Years Undergoing MRI Scans</t>
  </si>
  <si>
    <t>NCT04260802</t>
  </si>
  <si>
    <t>A Study to Evaluate the Safety and Pharmacokinetics of OC-001 in Patients With Locally Advanced or Metastatic Cancers</t>
  </si>
  <si>
    <t>Ocellaris Pharma, Inc.</t>
  </si>
  <si>
    <t>NCT04220801</t>
  </si>
  <si>
    <t>A Study of Orally Administered ZM-H1505R to Evaluate Safety, Tolerability and Pharmacokinetics After Single and Multiple Ascending Doses in Healthy Participants</t>
  </si>
  <si>
    <t>Shanghai Zhimeng Biopharma, Inc.</t>
  </si>
  <si>
    <t>NCT04294472</t>
  </si>
  <si>
    <t>A Safety, Pharmacokinetics and Efficacy Study of MAU868 for the Treatment of BK Viremia in Kidney Transplant Recipients</t>
  </si>
  <si>
    <t>Vera Therapeutics, Inc.</t>
  </si>
  <si>
    <t>NCT03127592</t>
  </si>
  <si>
    <t>Phase III Efficacy and Tolerability Trial of the Fixed Dose Combination of Etodolac 400 mg and Cyclobenzaprine 10 mg Versus Isolated Active Substances in Pain Control After Impacted Third Molar Extraction</t>
  </si>
  <si>
    <t>Apsen Farmaceutica S.A.</t>
  </si>
  <si>
    <t>NCT06742216</t>
  </si>
  <si>
    <t>Monosialoganglioside in Acute Ischemic Stroke: a Randomized, Blinded and Multicenter Confirmatory Study</t>
  </si>
  <si>
    <t>NCT04556383</t>
  </si>
  <si>
    <t>A Study With GB004 in Adult Subjects With Active Ulcerative Colitis (UC)</t>
  </si>
  <si>
    <t>GB004, Inc.</t>
  </si>
  <si>
    <t>NCT04210388</t>
  </si>
  <si>
    <t>A Study to Assess the Amount of Drug Levels in Blood and Safety of AZD5718 Formulations in Healthy Volunteers</t>
  </si>
  <si>
    <t>NCT04435483</t>
  </si>
  <si>
    <t>A Study of Acalabrutinib Suspension to Evaluate Relative Bioavailability and Proton-pump Inhibitor Effect in Healthy Volunteers</t>
  </si>
  <si>
    <t>NCT04424251</t>
  </si>
  <si>
    <t>Efficacy and Safety of HSK21542 in Inducing Postoperative Analgesia in Undergoing Elective Laparoscopic Surgery</t>
  </si>
  <si>
    <t>NCT04395170</t>
  </si>
  <si>
    <t>Convalescent Plasma (PC) and Human Intravenous Anti-COVID-19 Immunoglobulin (IV Anti COVID-19 IgG) in Patients Hospitalized for COVID-19.</t>
  </si>
  <si>
    <t>Lifefactors Zona Franca, SAS</t>
  </si>
  <si>
    <t>NCT05155722</t>
  </si>
  <si>
    <t>Assessment of Safety ,Tolerance and Pharmacokinetics Clinical Efficacy With BAT1308 in Advanced Solid Tumors</t>
  </si>
  <si>
    <t>NCT04513366</t>
  </si>
  <si>
    <t>A Study of SEL-212 in Patients With Gout Refractory to Conventional Therapy</t>
  </si>
  <si>
    <t>Swedish Orphan Biovitrum</t>
  </si>
  <si>
    <t>NCT04486937</t>
  </si>
  <si>
    <t>SC10914 Monotherapy for the mCRPC With g/s BRCA Mutation</t>
  </si>
  <si>
    <t>NCT04020575</t>
  </si>
  <si>
    <t>Autologous huMNC2-CAR44 or huMNC2-CAR22 T Cells for Breast Cancer Targeting Cleaved Form of MUC1 (MUC1*)</t>
  </si>
  <si>
    <t>Minerva Biotechnologies Corporation</t>
  </si>
  <si>
    <t>NCT04737486</t>
  </si>
  <si>
    <t>A First-in-Human Study of AV-001 in Healthy Subjects</t>
  </si>
  <si>
    <t>Vasomune Therapeutics, Inc.</t>
  </si>
  <si>
    <t>NCT00424866</t>
  </si>
  <si>
    <t>FGF-1 for Intramuscular Injection for the Treatment of Peripheral Arterial Disease</t>
  </si>
  <si>
    <t>CardioVascular BioTherapeutics, Inc.</t>
  </si>
  <si>
    <t>NCT04294251</t>
  </si>
  <si>
    <t>Efficacy and Safety of DWP450 in Subjects With Benign Masseteric Hypertrophy</t>
  </si>
  <si>
    <t>NCT04463251</t>
  </si>
  <si>
    <t>Study to Evaluate the Effect on Parameters of Systemic Inflammation and Disease Outcomes and Safety of RPH-104 in Subjects With Acute ST-elevation Myocardial Infarction</t>
  </si>
  <si>
    <t>R-Pharm Overseas, Inc.</t>
  </si>
  <si>
    <t>NCT04318041</t>
  </si>
  <si>
    <t>Evaluation of the Structural Modification Effect of Diacerein (Artrodar®) in Knee Osteoarthritic Patients</t>
  </si>
  <si>
    <t>TRB Chemedica</t>
  </si>
  <si>
    <t>NCT04353037</t>
  </si>
  <si>
    <t>PATCH 2&amp;3:Prevention &amp; Treatment of COVID-19 (Severe Acute Respiratory Syndrome Coronavirus 2) With Hydroxychloroquine</t>
  </si>
  <si>
    <t>UnitedHealth Group</t>
  </si>
  <si>
    <t>NCT04445194</t>
  </si>
  <si>
    <t>Phase I Clinical Study of Recombinant Novel Coronavirus Vaccine</t>
  </si>
  <si>
    <t>NCT04650451</t>
  </si>
  <si>
    <t>Safety and Activity Study of HER2-Targeted Dual Switch CAR-T Cells (BPX-603) in Subjects With HER2-Positive Solid Tumors</t>
  </si>
  <si>
    <t>Bellicum Pharmaceuticals</t>
  </si>
  <si>
    <t>NCT04126031</t>
  </si>
  <si>
    <t>Evaluation of Pharmacokinetics, Safety, and Tolerability of Ceftazidime-avibactam in Neonates and Infants.</t>
  </si>
  <si>
    <t>NCT04102202</t>
  </si>
  <si>
    <t>BOL-DP-o-05 as an Add-On Treatment of Subjects With Newly Diagnosed Type 1 Diabetes Mellitus</t>
  </si>
  <si>
    <t>Breath of Life International Pharma Ltd</t>
  </si>
  <si>
    <t>NCT04396639</t>
  </si>
  <si>
    <t>Moroctocog Alfa (AF-CC) for Prophylaxis and Treatment of Bleeding Episodes in Previously Treated Hemophilia A Patients</t>
  </si>
  <si>
    <t>NCT04308395</t>
  </si>
  <si>
    <t>Extension Study of Patidegib Topical Gel, 2% in Subjects With Gorlin Syndrome (Basal Cell Nevus Syndrome)</t>
  </si>
  <si>
    <t>NCT04612634</t>
  </si>
  <si>
    <t>Evaluation of the Safety and Immunogenicity of Hepatitis A Vaccine</t>
  </si>
  <si>
    <t>NCT07146087</t>
  </si>
  <si>
    <t>Allogeneic Mesenchymal Stem Cell-Derived Exosome Therapy for Progressive Multiple Sclerosis</t>
  </si>
  <si>
    <t>Biocells Medical</t>
  </si>
  <si>
    <t>NCT04535453</t>
  </si>
  <si>
    <t>A Study to Evaluate a Range of Dose Levels and Vaccination Intervals of Ad26.COV2.S in Healthy Adults and Adolescents</t>
  </si>
  <si>
    <t>NCT04493684</t>
  </si>
  <si>
    <t>GSK3739937 First-Time-In-Human (FTIH) Study in Healthy Volunteers</t>
  </si>
  <si>
    <t>NCT04428281</t>
  </si>
  <si>
    <t>A Study to Investigate the Safety, Tolerability, Pharmacokinetics (PK) and Pharmacodynamics (PD) of RO7248824 in Participants With Angelman Syndrome (AS)</t>
  </si>
  <si>
    <t>NCT04475432</t>
  </si>
  <si>
    <t>Safety and Efficacy of TP-03 for the Treatment of Demodex Blepharitis</t>
  </si>
  <si>
    <t>Tarsus Pharmaceuticals, Inc.</t>
  </si>
  <si>
    <t>NCT04388319</t>
  </si>
  <si>
    <t>Zonisamide/Bupropion Effects on Switching to Electronic Cigarettes</t>
  </si>
  <si>
    <t>Rose Research Center, LLC</t>
  </si>
  <si>
    <t>NCT04406649</t>
  </si>
  <si>
    <t>A Study to Evaluate the Safety of STS101 in the Acute Treatment of Migraine</t>
  </si>
  <si>
    <t>Satsuma Pharmaceuticals, Inc.</t>
  </si>
  <si>
    <t>NCT04457011</t>
  </si>
  <si>
    <t>Efficacy and Safety of Susu Zhike Granules for Treating Acute Cough Due to Common Cold With Cold-cough Syndrome in Children</t>
  </si>
  <si>
    <t>Tasly Pharmaceutical Group Co., Ltd</t>
  </si>
  <si>
    <t>NCT04632706</t>
  </si>
  <si>
    <t>Exploratory Ph I Trial of the Active IMP in Healthy Volunteers in Relation to COVID-19</t>
  </si>
  <si>
    <t>MedinCell S.A</t>
  </si>
  <si>
    <t>NCT04128007</t>
  </si>
  <si>
    <t>Safety and Efficacy of ARQ-154 Foam in Adolescent and Adult Subjects With Scalp and Body Psoriasis</t>
  </si>
  <si>
    <t>NCT04512963</t>
  </si>
  <si>
    <t>Phase I Study of Progerinin in Healthy Volunteers</t>
  </si>
  <si>
    <t>PRG Science &amp; Technology Co., Ltd.</t>
  </si>
  <si>
    <t>NCT04421885</t>
  </si>
  <si>
    <t>Bioequivalence Study Comparing Two Tablet Formulations of Tebipenem Pivoxil Hydrobromide (TBPM-PI-HBr) in Healthy Adult Subjects</t>
  </si>
  <si>
    <t>NCT03926793</t>
  </si>
  <si>
    <t>Clinical Study of Inhaled GB002 for Treatment of WHO Group I Pulmonary Arterial Hypertension</t>
  </si>
  <si>
    <t>GB002, Inc., a wholly owned subsidiary of Gossamer Bio, Inc.</t>
  </si>
  <si>
    <t>NCT04633733</t>
  </si>
  <si>
    <t>The Study of Pharmacokinetic Interactions Between HL237 and Tacrolimus</t>
  </si>
  <si>
    <t>NCT04485585</t>
  </si>
  <si>
    <t>A Study to Evaluate Drug-drug Interactions Between BR9006-1 and BR9006-2 in Healthy Male Volunteers.</t>
  </si>
  <si>
    <t>Boryung Pharmaceutical Co., Ltd</t>
  </si>
  <si>
    <t>NCT04588298</t>
  </si>
  <si>
    <t>A Study to Investigate the Biological Effects of AZD9833 in Women With ER-positive, HER2 Negative Primary Breast Cancer</t>
  </si>
  <si>
    <t>NCT04607421</t>
  </si>
  <si>
    <t>A Study of Encorafenib Plus Cetuximab With or Without Chemotherapy in People With Previously Untreated Metastatic Colorectal Cancer</t>
  </si>
  <si>
    <t>NCT04663347</t>
  </si>
  <si>
    <t>Safety and Efficacy Trial of Epcoritamab Combinations in Subjects With B-cell Non-Hodgkin Lymphoma (B-NHL)</t>
  </si>
  <si>
    <t>NCT04018248</t>
  </si>
  <si>
    <t>BR101801 in Adult Patients With Advanced Hematologic Malignancies(Phase I)</t>
  </si>
  <si>
    <t>NCT04472858</t>
  </si>
  <si>
    <t>A Study of CS1001 in Combination With Donafenib in Subjects With Advanced Solid Tumors</t>
  </si>
  <si>
    <t>NCT04480333</t>
  </si>
  <si>
    <t>Safety, Tolerability and Pharmacokinetics of Inhaled Nanoparticle Formulation of Remdesivir (GS-5734) and NA-831</t>
  </si>
  <si>
    <t>NCT04303598</t>
  </si>
  <si>
    <t>Phase III Clinical Study of Azvudine in Hiv-infected Treatment Naive Patients</t>
  </si>
  <si>
    <t>Henan Genuine Biotech Co., Ltd.</t>
  </si>
  <si>
    <t>NCT04223349</t>
  </si>
  <si>
    <t>A Study of JNJ-70033093 (BMS-986177) in Healthy Adult Participants</t>
  </si>
  <si>
    <t>NCT05413187</t>
  </si>
  <si>
    <t>A Trial to Assess the Efficacy and Safety of Medical Grade Cannabis in Children Diagnosed With Autism Spectrum Disorder</t>
  </si>
  <si>
    <t>NCT04624204</t>
  </si>
  <si>
    <t>Placebo-controlled, Study of Concurrent Chemoradiation Therapy With Pembrolizumab Followed by Pembrolizumab and Olaparib in Newly Diagnosed Treatment-Naïve Limited-Stage Small Cell Lung Cancer (LS-SCLC) (MK 7339-013/KEYLYNK-013)</t>
  </si>
  <si>
    <t>NCT04568863</t>
  </si>
  <si>
    <t>Efficacy of Intravenous Melatonin on Mortality in Adult Patients Admitted to the Intensive Care Unit With COVID-19</t>
  </si>
  <si>
    <t>Pharmamel S.L.</t>
  </si>
  <si>
    <t>NCT04780984</t>
  </si>
  <si>
    <t>Tiotropium Bromide Inhalation Solution in Subjects With Chronic Obstructive Pulmonary Disease</t>
  </si>
  <si>
    <t>Nephron Pharmaceuticals Corporation</t>
  </si>
  <si>
    <t>NCT05199155</t>
  </si>
  <si>
    <t>Use of a Nerve Regeneration Conduit (NerVFIX®) in the Treatment of Nerve Section of the Wrist</t>
  </si>
  <si>
    <t>NCT04332549</t>
  </si>
  <si>
    <t>To Assess the Bioavailability and Safety of Paclitaxel Injection Concentrate for Suspension in Subjects With Locally Recurrent or Metastatic Breast Cancer</t>
  </si>
  <si>
    <t>NCT04351152</t>
  </si>
  <si>
    <t>Phase 3 Study to Evaluate Efficacy and Safety of Lenzilumab in Patients With COVID-19</t>
  </si>
  <si>
    <t>Humanigen, Inc.</t>
  </si>
  <si>
    <t>NCT04344158</t>
  </si>
  <si>
    <t>A Phase III Clinical Trial of AK105 Injection Combined With Anlotinib Hydrochloride Capsules Versus Sorafenib in Subjects With Advanced Hepatocellular Carcinoma (HCC)</t>
  </si>
  <si>
    <t>NCT04572243</t>
  </si>
  <si>
    <t>A Study of Lorcaserin as Adjunctive Treatment in Participants With Dravet Syndrome</t>
  </si>
  <si>
    <t>NCT04318535</t>
  </si>
  <si>
    <t>Bioequivalence (BE) Study of Test Griseofulvin 500 Milligram (mg) Tablets Versus Reference and Dose Proportionality Study of Test Griseofulvin 250 mg and 500 mg Tablets Under Fed Conditions</t>
  </si>
  <si>
    <t>NCT04557189</t>
  </si>
  <si>
    <t>A Study of TAK-951 to Stop Adults Getting Nausea and Vomiting After Planned Surgery</t>
  </si>
  <si>
    <t>NCT04058587</t>
  </si>
  <si>
    <t>A Phase I Trial of Simmitinib in Advanced Solid Tumors</t>
  </si>
  <si>
    <t>NCT04613492</t>
  </si>
  <si>
    <t>A Study of MEDI9253 in Combination With Durvalumab in Select Solid Tumors</t>
  </si>
  <si>
    <t>NCT04317209</t>
  </si>
  <si>
    <t>A Study of SHR0410 in Hemodialysis Patients With Pruritus</t>
  </si>
  <si>
    <t>NCT04154072</t>
  </si>
  <si>
    <t>A Clinical Study of NLY01 in Patient's With Early Parkinson's Disease</t>
  </si>
  <si>
    <t>Neuraly, Inc.</t>
  </si>
  <si>
    <t>NCT04601181</t>
  </si>
  <si>
    <t>Safety and Efficacy of ThisCART22 in Patients With Refractory or Relapsed B Cell Malignancies</t>
  </si>
  <si>
    <t>NCT04440436</t>
  </si>
  <si>
    <t>Assessment of Safety and Efficacy of IM19 for Recurrent or Refractory (R/R) Non-Hodgkin's Lymphoma(NHL) Patients</t>
  </si>
  <si>
    <t>NCT04642937</t>
  </si>
  <si>
    <t>Study of CD200 Activation Receptor Ligand (CD200AR-L) and Allogeneic Tumor Lysate Vaccine Immunotherapy for Recurrent Glioblastoma</t>
  </si>
  <si>
    <t>OX2 Therapeutics</t>
  </si>
  <si>
    <t>NCT04603001</t>
  </si>
  <si>
    <t>Study of Oral LY3410738 in Patients With Advanced Hematologic Malignancies With IDH1 or IDH2 Mutations</t>
  </si>
  <si>
    <t>NCT04710407</t>
  </si>
  <si>
    <t>Study to Assess the Intrapulmonary Pharmacokinetics of SPR859 by Comparing the Plasma, Epithelial Lining Fluid (ELF), and Alveolar Macrophages (AM) Concentrations Following the Oral Administration of Five Doses of SPR994 in Healthy, Nonsmoking Volunteers</t>
  </si>
  <si>
    <t>NCT04639375</t>
  </si>
  <si>
    <t>Polio Vaccine (IPV) for SARS-CoV-2 and Prevention of Coronavirus Disease (COVID-19)</t>
  </si>
  <si>
    <t>E-MO Biology Inc</t>
  </si>
  <si>
    <t>NCT04096001</t>
  </si>
  <si>
    <t>Woebot for Substance Use Disorders</t>
  </si>
  <si>
    <t>Woebot Health</t>
  </si>
  <si>
    <t>NCT04419467</t>
  </si>
  <si>
    <t>Vascular Endothelial Growth Factor-B (VEGF-B) Blockade With the Monoclonal Antibody CSL346 in Subjects With Diabetic Kidney Disease</t>
  </si>
  <si>
    <t>NCT04509167</t>
  </si>
  <si>
    <t>Pilot Study of Neoantigen Peptides for the Treatment of Neoplasms</t>
  </si>
  <si>
    <t>Instituto de Medicina Regenerativa</t>
  </si>
  <si>
    <t>NCT06160401</t>
  </si>
  <si>
    <t>Evaluation of Safety, Tolerability, PK/PD, and Metabolism of Single-Dose Singletine(DC407) in Adults</t>
  </si>
  <si>
    <t>NCT04101357</t>
  </si>
  <si>
    <t>Safety, Pharmacokinetics, Pharmacodynamics, and Preliminary Efficacy Trial of BNT411</t>
  </si>
  <si>
    <t>NCT04427930</t>
  </si>
  <si>
    <t>Follow-up Study for Participants of Jointstem Phase 3 Clinical Trial</t>
  </si>
  <si>
    <t>R-Bio</t>
  </si>
  <si>
    <t>NCT04653467</t>
  </si>
  <si>
    <t>A Study to Evaluate How Well Single and Multiple Doses of GLPG4399 Are Tolerated in Healthy, Adult Subjects</t>
  </si>
  <si>
    <t>NCT04563936</t>
  </si>
  <si>
    <t>Efficacy and Safety of LY01005 in Patients With Prostate Cancer Compared to ZOLADEX®</t>
  </si>
  <si>
    <t>NCT05118958</t>
  </si>
  <si>
    <t>Phase 1 Crossover Study in Healthy Subjects to Evaluate the PK Profile of KVD824 Following Single and Multiple Doses of Modified Release (MR) Formulations</t>
  </si>
  <si>
    <t>KalVista Pharmaceuticals, Ltd.</t>
  </si>
  <si>
    <t>NCT04447755</t>
  </si>
  <si>
    <t>A Study of Lenvatinib (MK-7902) in Pediatric Participants With Relapsed or Refractory Solid Malignancies (MK-7902-013/E7080)</t>
  </si>
  <si>
    <t>NCT04577885</t>
  </si>
  <si>
    <t>A Rifampin Effect Study of SHR2554 on Healthy Chinese Adult Subjects</t>
  </si>
  <si>
    <t>NCT04291781</t>
  </si>
  <si>
    <t>A Study of RC18 Administered Subcutaneously to Subjects With Primary IgA(Immunoglobulin A) Nephropathy</t>
  </si>
  <si>
    <t>NCT04540419</t>
  </si>
  <si>
    <t>Clinical Trial of Recombinant Novel Coronavirus Vaccine (Adenovirus Type 5 Vector) Against COVID-19</t>
  </si>
  <si>
    <t>NPO Petrovax</t>
  </si>
  <si>
    <t>NCT04535752</t>
  </si>
  <si>
    <t>A Single and Multiple Ascending Dose Study of ANX009 in Normal Healthy Volunteers (NHV)</t>
  </si>
  <si>
    <t>NCT04568265</t>
  </si>
  <si>
    <t>A Clinical Study of APG-1387 in Combination With Entecavir in Patients With Chronic Hepatitis B</t>
  </si>
  <si>
    <t>NCT04350463</t>
  </si>
  <si>
    <t>A Safety and Efficacy Study of CC-90011 in Combination With Nivolumab in Subjects With Advanced Cancers</t>
  </si>
  <si>
    <t>NCT04421963</t>
  </si>
  <si>
    <t>Roll Over StudY for Patients Who Have Completed a Previous Oncology Study With Olaparib</t>
  </si>
  <si>
    <t>NCT04651881</t>
  </si>
  <si>
    <t>Clinical Study to Investigate the PK Profiles and Safety of CKD-385 in Healthy Volunteers Under Fed Conditions</t>
  </si>
  <si>
    <t>NCT04637828</t>
  </si>
  <si>
    <t>A Study to Compare the Efficacy of GNS561 Versus Standard of Care in Patients With SARS-CoV-2 (COVID-19) Infection</t>
  </si>
  <si>
    <t>Genoscience Pharma</t>
  </si>
  <si>
    <t>NCT04266795</t>
  </si>
  <si>
    <t>A Study of Pevonedistat and Venetoclax Combined With Azacitidine to Treat Acute Myeloid Leukemia (AML) in Adults Unable to Receive Intensive Chemotherapy</t>
  </si>
  <si>
    <t>NCT04282031</t>
  </si>
  <si>
    <t>A Study of BPI-1178 in Patients With Advanced Solid Tumor and HR+/HER2- Breast Cancer</t>
  </si>
  <si>
    <t>Beta Pharma (Suzhou) Co., Ltd.</t>
  </si>
  <si>
    <t>NCT04533737</t>
  </si>
  <si>
    <t>Efficacy and Safety of Brodalumab Compared With Guselkumab in the Treatment of Plaque Psoriasis After Inadequate Response to Ustekinumab</t>
  </si>
  <si>
    <t>LEO Pharma</t>
  </si>
  <si>
    <t>NCT04445246</t>
  </si>
  <si>
    <t>Inhaled Iloprost for Suspected COVID-19 Respiratory Failure</t>
  </si>
  <si>
    <t>NCT04487431</t>
  </si>
  <si>
    <t>A Trial to Learn How a New Liquid Form of BAY1817080 is Tolerated and Taken up by the Body of Healthy Male Participants (Part A). By Labeling BAY1817080 With a Radioactive Substance (Carbon 14) Researchers Want to Learn How the Study Drug is Processed and Excreted by the Body After Dosing (Part B)</t>
  </si>
  <si>
    <t>NCT04546256</t>
  </si>
  <si>
    <t>A Pilot Bioequivalence Study Between Fluticasone Propionate 500 mcg and Salmeterol Xinafoate 50 mcg Inhalation Powder/Respirent Pharmaceuticals vs. ADVAIR DISKUS® 500/50 Inhalation Powder/GSK in Healthy Volunteers</t>
  </si>
  <si>
    <t>NCT04520945</t>
  </si>
  <si>
    <t>Phase 2B Clinical Study of Chondrogen for Treatment of Knee Osteoarthritis</t>
  </si>
  <si>
    <t>Meluha Life Sciences SDN BHD</t>
  </si>
  <si>
    <t>NCT04430088</t>
  </si>
  <si>
    <t>Phase 3 Efficacy and Safety Study of VVZ-149 Injections for Postoperative Pain Following Bunionectomy</t>
  </si>
  <si>
    <t>Vivozon, Inc.</t>
  </si>
  <si>
    <t>NCT04647903</t>
  </si>
  <si>
    <t>Study to Evaluate the Abuse Liability, Pharmacokinetics, Safety and Tolerability of an Abuse-Deterrent d-Amphetamine Sulfate Immediate Release Formulation (ADAIR)</t>
  </si>
  <si>
    <t>Vallon Pharmaceuticals, Inc.</t>
  </si>
  <si>
    <t>NCT04186403</t>
  </si>
  <si>
    <t>Evaluating the Safety and Tolerability of Brexpiprazole in the Treatment of Adults With Borderline Personality Disorder (BPD)</t>
  </si>
  <si>
    <t>NCT04153929</t>
  </si>
  <si>
    <t>A Study to Test Whether Different Doses of BI 456906 Are Effective in Treating Adults With Type 2 Diabetes.</t>
  </si>
  <si>
    <t>NCT04493242</t>
  </si>
  <si>
    <t>Extracellular Vesicle Infusion Treatment for COVID-19 Associated ARDS</t>
  </si>
  <si>
    <t>Direct Biologics, LLC</t>
  </si>
  <si>
    <t>NCT04415073</t>
  </si>
  <si>
    <t>A Phase 2 Study to Evaluate Axatilimab for Hospitalized Participants With Respiratory Involvement Secondary to COVID-19</t>
  </si>
  <si>
    <t>Syndax Pharmaceuticals</t>
  </si>
  <si>
    <t>NCT04472494</t>
  </si>
  <si>
    <t>Study of Abatacept in the Treatment of Hospitalized COVID-19 Participants With Respiratory Compromise</t>
  </si>
  <si>
    <t>NCT04393038</t>
  </si>
  <si>
    <t>ABX464 in Treating Inflammation and Preventing Acute Respiratory Failure in Patients With COVID-19</t>
  </si>
  <si>
    <t>Abivax S.A.</t>
  </si>
  <si>
    <t>NCT04452643</t>
  </si>
  <si>
    <t>Efficacy of BACMUNE (MV130) in the Prevention of Disease Due to COVID-19 Infection in Healthcare Personnel</t>
  </si>
  <si>
    <t>NCT04389450</t>
  </si>
  <si>
    <t>Double-Blind, Multicenter, Study to Evaluate the Efficacy of PLX PAD for the Treatment of COVID-19</t>
  </si>
  <si>
    <t>Pluristem Ltd.</t>
  </si>
  <si>
    <t>NCT04633447</t>
  </si>
  <si>
    <t>A Study to Evaluate Guselkumab for the Treatment of Participants With New-onset or Relapsing Giant Cell Arteritis</t>
  </si>
  <si>
    <t>NCT04653038</t>
  </si>
  <si>
    <t>A Study to Evaluate the Safety and Efficacy of MGD013 in Patients With Melanoma</t>
  </si>
  <si>
    <t>NCT05021978</t>
  </si>
  <si>
    <t>A Clinical Trial of PRAX-944 in Participants With Essential Tremor</t>
  </si>
  <si>
    <t>Praxis Precision Medicines</t>
  </si>
  <si>
    <t>NCT04189315</t>
  </si>
  <si>
    <t>Relieving Burden of Hypophosphatasia in Adults With Functional Impairment Due to Chronic Disease</t>
  </si>
  <si>
    <t>NCT04614350</t>
  </si>
  <si>
    <t>Pilot Study for Healing and Safety Outcomes in Gingival Recession</t>
  </si>
  <si>
    <t>McGuire Institute</t>
  </si>
  <si>
    <t>NCT04352413</t>
  </si>
  <si>
    <t>A Study of PLM60 in Subjects With Relapsed Small-cell Lung Cancer After Platinum-based First-Line Chemotherapy</t>
  </si>
  <si>
    <t>NCT04348643</t>
  </si>
  <si>
    <t>Safety and Efficacy of CEA-Targeted CAR-T Therapy for Relapsed/Refractory CEA+ Cancer</t>
  </si>
  <si>
    <t>Chongqing Precision Biotech Co., Ltd</t>
  </si>
  <si>
    <t>NCT04609826</t>
  </si>
  <si>
    <t>A Study of JNJ-74856665 in Participants With Acute Myeloid Leukemia (AML) or Myelodysplastic Syndrome (MDS)</t>
  </si>
  <si>
    <t>NCT04494243</t>
  </si>
  <si>
    <t>A Study to Compare PK, PD and Safety of the AD-214 10/600mg and Rabeprazole</t>
  </si>
  <si>
    <t>NCT04191382</t>
  </si>
  <si>
    <t>Phase 2 Window Study of SAR439859 (Amcenestrant) Versus Letrozole in Post-menopausal Patients With ER+, HER2- Pre-operative Post-menopausal Primary Breast Cancer</t>
  </si>
  <si>
    <t>NCT04509674</t>
  </si>
  <si>
    <t>EMPACT-MI: A Study to Test Whether Empagliflozin Can Lower the Risk of Heart Failure and Death in People Who Had a Heart Attack (Myocardial Infarction)</t>
  </si>
  <si>
    <t>NCT04572685</t>
  </si>
  <si>
    <t>Evaluate the PK of LY03010 Process 1 and Process 2 Drug Product vs INVEGA SUSTENNA After Intramuscular Injection in Schizophrenia Patients</t>
  </si>
  <si>
    <t>NCT04565015</t>
  </si>
  <si>
    <t>Study of Immune Globulin Intravenous (Human) GC5107 in Pediatric Subjects With Primary Humoral Immunodeficiency</t>
  </si>
  <si>
    <t>GC Biopharma Corp</t>
  </si>
  <si>
    <t>NCT04539340</t>
  </si>
  <si>
    <t>A Multi-cohort Study of the Tolerance, Safety, and Pharmacokinetics of GNR-055 in Healthy Volunteers</t>
  </si>
  <si>
    <t>NCT04569084</t>
  </si>
  <si>
    <t>Efficacy and Safety Study of Oral Edaravone Administered in Subjects With ALS</t>
  </si>
  <si>
    <t>NCT04838548</t>
  </si>
  <si>
    <t>A Study to Evaluate the Efficacy and Safety of MRG003 in Patients With EGFR-Positive Advanced Non-Small Cell Lung Cancer</t>
  </si>
  <si>
    <t>Shanghai Miracogen Inc.</t>
  </si>
  <si>
    <t>NCT04221217</t>
  </si>
  <si>
    <t>Long-term Safety and Efficacy Study of MND-2119 in Patients With Hypertriglyceridemia</t>
  </si>
  <si>
    <t>NCT04626778</t>
  </si>
  <si>
    <t>Clinical Efficacy of Single-Use of Peroxyl Mouthwash for Reducing Bacteria in Saliva and Bioaerosol Contamination</t>
  </si>
  <si>
    <t>NCT04654143</t>
  </si>
  <si>
    <t>Clinical Trial to Investigate the Safety, Tolerability and Pharmacokinetics of BVL-GSK098 in Healthy Volunteers</t>
  </si>
  <si>
    <t>BioVersys AG</t>
  </si>
  <si>
    <t>NCT04692025</t>
  </si>
  <si>
    <t>Study to Evaluate the Effect of Food on the Pharmacokinetics of ASC41 in Healthy Volunteers</t>
  </si>
  <si>
    <t>NCT04477850</t>
  </si>
  <si>
    <t>A Study to Evaluate the Efficacy, Drug Levels and Safety of Luspatercept (ACE-536) for the Treatment of Anemia Due to IPSS-R Very Low, Low, or Intermediate Risk Myelodysplastic Syndromes in Chinese and Japanese Participants With Ring Sideroblasts Who Require Red Blood Cell Transfusions</t>
  </si>
  <si>
    <t>NCT04520750</t>
  </si>
  <si>
    <t>VALO-2: Study Evaluating the Safety and Efficacy of PTX022 in the Treatment of Adults With Pachyonychia Congenita</t>
  </si>
  <si>
    <t>Palvella Therapeutics, Inc.</t>
  </si>
  <si>
    <t>NCT04200950</t>
  </si>
  <si>
    <t>Trial for the Early Identification of Acute Kidney Injury</t>
  </si>
  <si>
    <t>NCT04737876</t>
  </si>
  <si>
    <t>A Study to Evaluate the Safety, Tolerability, and Fecal Pharmacokinetics of BX002-A in Healthy Adults</t>
  </si>
  <si>
    <t>BiomX, Inc.</t>
  </si>
  <si>
    <t>NCT04402008</t>
  </si>
  <si>
    <t>Study of Poziotinib in Japanese Patients With NSCLC</t>
  </si>
  <si>
    <t>Spectrum Pharmaceuticals, Inc</t>
  </si>
  <si>
    <t>NCT04636697</t>
  </si>
  <si>
    <t>Study of a Recombinant Coronavirus-Like Particle COVID-19 Vaccine in Adults</t>
  </si>
  <si>
    <t>Medicago</t>
  </si>
  <si>
    <t>NCT04033926</t>
  </si>
  <si>
    <t>A Phase 2 Study of KZR-616 to Evaluate Safety and Efficacy in Patients With Active Polymyositis or Dermatomyositis</t>
  </si>
  <si>
    <t>NCT04426825</t>
  </si>
  <si>
    <t>A Study of Atezolizumab in Combination With Bevacizumab in Patients With EGFR Mutation Positive Stage IIIB-IV Non-Squamous Non-Small Cell Lung Cancer</t>
  </si>
  <si>
    <t>NCT04453189</t>
  </si>
  <si>
    <t>A Study to Assess the Effects of Acid-Reducing Agent(s) on JNJ-64417184 in Healthy Participants</t>
  </si>
  <si>
    <t>NCT04575597</t>
  </si>
  <si>
    <t>Efficacy and Safety of Molnupiravir (MK-4482) in Non-Hospitalized Adult Participants With COVID-19 (MK-4482-002)</t>
  </si>
  <si>
    <t>NCT04571424</t>
  </si>
  <si>
    <t>A Study to Evaluate Safety, Tolerability, Pharmacokinetics, and Pharmacodynamics of BIIB133 (Dapirolizumab Pegol) in Healthy Japanese and Caucasian Participants</t>
  </si>
  <si>
    <t>NCT04327024</t>
  </si>
  <si>
    <t>Study of Verinurad in Heart Failure With Preserved Ejection Fraction</t>
  </si>
  <si>
    <t>NCT04521751</t>
  </si>
  <si>
    <t>A Proof of Concept Trial in Overweight and Obese Patients, Investigating Effect of EMP16-02 on Body Weight (Primary)</t>
  </si>
  <si>
    <t>Empros Pharma AB</t>
  </si>
  <si>
    <t>NCT04326283</t>
  </si>
  <si>
    <t>Trial of Safety, Tolerability and Efficacy of Trametinib (SNR1611) in Patients With Amyotrophic Lateral Sclerosis (ALS)</t>
  </si>
  <si>
    <t>Genuv Inc.</t>
  </si>
  <si>
    <t>NCT04142983</t>
  </si>
  <si>
    <t>Tdap Vaccine Safety for Plasma Donors</t>
  </si>
  <si>
    <t>GCAM Inc.</t>
  </si>
  <si>
    <t>NCT04200456</t>
  </si>
  <si>
    <t>A Study to Evaluate the Efficacy, Safety, and Tolerability of Rozanolixizumab in Adult Study Participants With Persistent or Chronic Primary Immune Thrombocytopenia (ITP)</t>
  </si>
  <si>
    <t>NCT04712266</t>
  </si>
  <si>
    <t>A Trial to Investigate Hyperglycemic and Hypoglycemic Excursions in Subjects With Type 1 Diabetes</t>
  </si>
  <si>
    <t>Abvance Therapeutics</t>
  </si>
  <si>
    <t>NCT04679545</t>
  </si>
  <si>
    <t>Using Cannabidiol to Treat Diabetic Peripheral Neuropathy of the Feet</t>
  </si>
  <si>
    <t>Pure Green</t>
  </si>
  <si>
    <t>NCT04355845</t>
  </si>
  <si>
    <t>A STUDY TO EVALUATE THE EFFECT OF PF-06651600 ON PHARMACOKINETICS OF SINGLE DOSE SUMATRIPTAN IN HEALTHY PARTICIPANTS.</t>
  </si>
  <si>
    <t>NCT04573153</t>
  </si>
  <si>
    <t>Metabolic Cofactor Supplementation and Hydroxychloroquine Combination in Covid-19 Patients</t>
  </si>
  <si>
    <t>ScandiBio Therapeutics AB</t>
  </si>
  <si>
    <t>NCT04446377</t>
  </si>
  <si>
    <t>A Study of LAM-002A for the Prevention of Progression of COVID-19</t>
  </si>
  <si>
    <t>OrphAI Therapeutics</t>
  </si>
  <si>
    <t>NCT04509557</t>
  </si>
  <si>
    <t>[177Lu]Ludotadipep Treatment in Patients With Metastatic Castration-resistant Prostate Cancer.</t>
  </si>
  <si>
    <t>FutureChem</t>
  </si>
  <si>
    <t>NCT04687072</t>
  </si>
  <si>
    <t>A Study to Evaluate the Efficacy and Safety of Efgartigimod PH20 Subcutaneous in Adult Patients With Primary Immune Thrombocytopenia</t>
  </si>
  <si>
    <t>NCT04682119</t>
  </si>
  <si>
    <t>A Safety Study of LY3526318 in Healthy Participants</t>
  </si>
  <si>
    <t>NCT04621630</t>
  </si>
  <si>
    <t>Pharmacokinetics of PN-235 in Healthy Volunteers</t>
  </si>
  <si>
    <t>NCT04246177</t>
  </si>
  <si>
    <t>Safety and Efficacy of Lenvatinib (E7080/MK-7902) With Pembrolizumab (MK-3475) in Combination With Transarterial Chemoembolization (TACE) in Participants With Incurable/Non-metastatic Hepatocellular Carcinoma (MK-7902-012/E7080-G000-318/LEAP-012)</t>
  </si>
  <si>
    <t>NCT04193293</t>
  </si>
  <si>
    <t>A Study of Duvelisib in Combination With Pembrolizumab in Head and Neck Cancer</t>
  </si>
  <si>
    <t>SecuraBio</t>
  </si>
  <si>
    <t>NCT04221906</t>
  </si>
  <si>
    <t>Study to Evaluate the Safety and Antipsoriatic Efficacy of BOS-475 in a Psoriasis Plaque Test</t>
  </si>
  <si>
    <t>Boston Pharmaceuticals</t>
  </si>
  <si>
    <t>NCT04632316</t>
  </si>
  <si>
    <t>A Trial to Evaluate the Safety and Efficacy of oNKord® in Subjects With Acute Myeloid Leukemia</t>
  </si>
  <si>
    <t>Glycostem Therapeutics BV</t>
  </si>
  <si>
    <t>NCT04214652</t>
  </si>
  <si>
    <t>NCT04390763</t>
  </si>
  <si>
    <t>Study of Efficacy and Safety of NIS793 (With and Without Spartalizumab) in Combination With SOC Chemotherapy in First-line Metastatic Pancreatic Ductal Adenocarcinoma (mPDAC)</t>
  </si>
  <si>
    <t>NCT04366349</t>
  </si>
  <si>
    <t>A Study to Evaluate the Safety and Tolerability, Pharmacokinetics (PK) and Pharmacodynamics (PD) of Melrilimab (GSK3772847) in Healthy Participants</t>
  </si>
  <si>
    <t>NCT04241458</t>
  </si>
  <si>
    <t>A Study to Test How Well Healthy Men and Women Tolerate Different Doses of BI 706321</t>
  </si>
  <si>
    <t>NCT04462198</t>
  </si>
  <si>
    <t>Phase I/IIa Study Evaluating Safety and Efficacy of an Intratympanic Dose of PIPE-505 in Subjects With Hearing Loss</t>
  </si>
  <si>
    <t>Contineum Therapeutics</t>
  </si>
  <si>
    <t>NCT04626921</t>
  </si>
  <si>
    <t>A Multi-Center, Open-Label Long-Term Extension Study of CNM-Au8 In Patients With Stable Relapsing Multiple Sclerosis</t>
  </si>
  <si>
    <t>Clene Nanomedicine</t>
  </si>
  <si>
    <t>NCT04537949</t>
  </si>
  <si>
    <t>A Trial Investigating the Safety and Effects of One BNT162 Vaccine Against COVID-19 in Healthy Adults</t>
  </si>
  <si>
    <t>NCT04539548</t>
  </si>
  <si>
    <t>A Study Assessing the Safety and Efficacy of Dextenza® for the Treatment of Ocular Pain and Inflammation Following Surgery for Pediatric Cataract</t>
  </si>
  <si>
    <t>Ocular Therapeutix, Inc.</t>
  </si>
  <si>
    <t>NCT04737187</t>
  </si>
  <si>
    <t>Phase III Study of Trifluridine/Tipiracil With and Without Bevacizumab in Refractory Metastatic Colorectal Cancer Patients</t>
  </si>
  <si>
    <t>NCT04497948</t>
  </si>
  <si>
    <t>Acalabrutinib Study With Best Supportive Care in Participants Hospitalized With COVID-19</t>
  </si>
  <si>
    <t>NCT04480710</t>
  </si>
  <si>
    <t>A Study of CRV431 Dosed Once Daily in NASH Induced F2 and F3 Subjects</t>
  </si>
  <si>
    <t>Hepion Pharmaceuticals, Inc.</t>
  </si>
  <si>
    <t>NCT04396340</t>
  </si>
  <si>
    <t>First-in-Human Study of XMT-1592 in Patients With Ovarian Cancer and NSCLC Likely to Express NaPi2b</t>
  </si>
  <si>
    <t>Mersana Therapeutics</t>
  </si>
  <si>
    <t>NCT04221542</t>
  </si>
  <si>
    <t>Study of AMG 509 in Participants With Metastatic Castration-Resistant Prostate Cancer</t>
  </si>
  <si>
    <t>NCT04428073</t>
  </si>
  <si>
    <t>Therapeutic Vaccine Trial of COVID-19 for Severe Acute Respiratory Syndrome Coronavirus 2 (SARS-CoV-2) Infection</t>
  </si>
  <si>
    <t>GeneCure Biotechnologies</t>
  </si>
  <si>
    <t>NCT05933070</t>
  </si>
  <si>
    <t>A Phase I Open-Label Dose Escalation Study of Intravenous INKmune In Patients With MDS or AML</t>
  </si>
  <si>
    <t>Inmune Bio, Inc.</t>
  </si>
  <si>
    <t>NCT04305197</t>
  </si>
  <si>
    <t>A Study of ICP-022 in Patients With Systemic Lupus Erythematosus (SLE)</t>
  </si>
  <si>
    <t>NCT04486313</t>
  </si>
  <si>
    <t>Trial to Evaluate Efficacy and Safety of Nitazoxanide in the Treatment of Mild or Moderate COVID-19</t>
  </si>
  <si>
    <t>Romark Laboratories L.C.</t>
  </si>
  <si>
    <t>NCT04789954</t>
  </si>
  <si>
    <t>Study on the Dose-response Relationship of Pharmacodynamic Parameters in Patients With Hemophilia With Inhibitors</t>
  </si>
  <si>
    <t>AryoGen Pharmed Co.</t>
  </si>
  <si>
    <t>NCT04228354</t>
  </si>
  <si>
    <t>A Research Study Looking at the Comparability (Bioequivalence) of Two Versions of Semaglutide</t>
  </si>
  <si>
    <t>NCT04242446</t>
  </si>
  <si>
    <t>A Study to Evaluate the Efficacy and Safety of Bimekizumab in Study Participants With Moderate to Severe Hidradenitis Suppurativa</t>
  </si>
  <si>
    <t>NCT04534582</t>
  </si>
  <si>
    <t>Pharmacokinetic, Safety and Immunogenicity Phase I Study of HLX14 Versus Prolia® in Healthy Male Subjects</t>
  </si>
  <si>
    <t>NCT04602624</t>
  </si>
  <si>
    <t>A Study to Evaluate the Safety and Tolerability of SAGE-718 in Participants With Mild Cognitive Impairment or Mild Dementia Due to Alzheimer's Disease (AD)</t>
  </si>
  <si>
    <t>NCT04493424</t>
  </si>
  <si>
    <t>A Study to Test Long-term Treatment With Spesolimab in People With Palmoplantar Pustulosis (PPP) Who Took Part in Previous Studies With Spesolimab</t>
  </si>
  <si>
    <t>NCT04636827</t>
  </si>
  <si>
    <t>Evaluation of Safety and Immunogenicity of Combined Immunization of sIPV, DTaP and HepA</t>
  </si>
  <si>
    <t>NCT04606576</t>
  </si>
  <si>
    <t>Study to Evaluate the Efficacy and Safety of ORMD-0801 in Subjects With Type 2 Diabetes Mellitus</t>
  </si>
  <si>
    <t>Oramed, Ltd.</t>
  </si>
  <si>
    <t>NCT04388189</t>
  </si>
  <si>
    <t>Leveraging EEG for Antidepressant Prediction With Duloxetine and Bupropion</t>
  </si>
  <si>
    <t>Alto Neuroscience</t>
  </si>
  <si>
    <t>NCT04231318</t>
  </si>
  <si>
    <t>Study of Cingal® and Triamcinolone Hexacetonide for the Relief of Knee Osteoarthritis Pain</t>
  </si>
  <si>
    <t>Anika Therapeutics, Inc.</t>
  </si>
  <si>
    <t>NCT04179760</t>
  </si>
  <si>
    <t>Safety and Efficacy of SCM-AGH in Subjects With Moderate to Severe Atopic Dermatitis</t>
  </si>
  <si>
    <t>SCM Lifescience Co., LTD.</t>
  </si>
  <si>
    <t>NCT04511533</t>
  </si>
  <si>
    <t>Dacomitinib for Treatment of Patients in India With Metastatic Non Small Cell Lung Cancer With EGFR Activating Mutations</t>
  </si>
  <si>
    <t>NCT04592549</t>
  </si>
  <si>
    <t>Study of Monoclonal Antibody Cocktail Being Tested for the Prevention of COVID-19</t>
  </si>
  <si>
    <t>Alachua Government Services, Inc.</t>
  </si>
  <si>
    <t>NCT04185363</t>
  </si>
  <si>
    <t>An Extension Study of Maralixibat in Patients With Progressive Familial Intrahepatic Cholestasis (PFIC)</t>
  </si>
  <si>
    <t>NCT04456452</t>
  </si>
  <si>
    <t>Study of Ampion for the Treatment of Adult COVID-19 Patients Requiring Oxygen Supplementation</t>
  </si>
  <si>
    <t>NCT04251533</t>
  </si>
  <si>
    <t>Study Assessing the Efficacy and Safety of Alpelisib + Nab-paclitaxel in Subjects With Advanced TNBC Who Carry Either a PIK3CA Mutation or Have PTEN Loss</t>
  </si>
  <si>
    <t>NCT04340193</t>
  </si>
  <si>
    <t>A Study of Nivolumab and Ipilimumab and Nivolumab Alone in Combination With Trans-arterial ChemoEmbolization (TACE) in Participants With Intermediate Stage Liver Cancer</t>
  </si>
  <si>
    <t>NCT04278768</t>
  </si>
  <si>
    <t>Dose Escalation/ Expansion Study of CA-4948 as Monotherapy in Patients With Acute Myelogenous Leukemia (AML) or Myelodysplastic Syndrome (MDS)</t>
  </si>
  <si>
    <t>Curis, Inc.</t>
  </si>
  <si>
    <t>NCT03706274</t>
  </si>
  <si>
    <t>PROCLAIM-CX-188: A Trial to Find Safe and Active Doses of an Investigational Drug CX-188 for Patients With Solid Tumors</t>
  </si>
  <si>
    <t>CytomX Therapeutics</t>
  </si>
  <si>
    <t>NCT04481191</t>
  </si>
  <si>
    <t>Immunogenicity and Safety of Concomitant and Non-Concomitant Administration of RotaTeq® (V260) and Inactivated Poliomyelitis Vaccine in Healthy Chinese Infants (V260-074)</t>
  </si>
  <si>
    <t>NCT03843710</t>
  </si>
  <si>
    <t>31P-MRS Imaging to Assess the Effects of CNM-Au8 on Impaired Neuronal Redox State in Amyotrophic Lateral Sclerosis (REPAIR-ALS)</t>
  </si>
  <si>
    <t>NCT04667624</t>
  </si>
  <si>
    <t>Study to Evaluate the Safety and PK of LODIENT Tablet 80/2.5mg in Healthy Adult Volunteers</t>
  </si>
  <si>
    <t>NCT04342897</t>
  </si>
  <si>
    <t>A Study of LY3127804 in Participants With COVID-19</t>
  </si>
  <si>
    <t>NCT04531982</t>
  </si>
  <si>
    <t>Efficacy and Safety of Pimavanserin as Adjunctive Treatment for the Negative Symptoms of Schizophrenia</t>
  </si>
  <si>
    <t>NCT04652518</t>
  </si>
  <si>
    <t>LYT-100 in Post-acute COVID-19 Respiratory Disease</t>
  </si>
  <si>
    <t>NCT04297124</t>
  </si>
  <si>
    <t>A Study to Evaluate the Metabolism and Excretion of [14C]-CC-90009 in Healthy Male Subjects</t>
  </si>
  <si>
    <t>NCT04638491</t>
  </si>
  <si>
    <t>Safety Tolerability Pharmacokinetic and Preliminary Efficacy in Chinese Advanced Solid Tumors Patients</t>
  </si>
  <si>
    <t>NCT04275960</t>
  </si>
  <si>
    <t>Study in Healthy Adult Male Participants to Gather Information How the Human Body Absorbs, Distributes and Excretes the Study Drug Selitrectinib Including the Effect of the Interaction of Food With the Study Drug on the Human Body</t>
  </si>
  <si>
    <t>NCT06090136</t>
  </si>
  <si>
    <t>Safety and Pharmacokinetics of a Single Oral TPN171H in Healthy Elderly Subjects</t>
  </si>
  <si>
    <t>NCT04446312</t>
  </si>
  <si>
    <t>Study 302: BLI4900 Versus an FDA-approved Comparator in Adult Subjects Prior to Colonoscopy</t>
  </si>
  <si>
    <t>NCT04672512</t>
  </si>
  <si>
    <t>Single and Multiple Ascending Dose Study of CORT125329 in Healthy Participants</t>
  </si>
  <si>
    <t>NCT04639219</t>
  </si>
  <si>
    <t>A Study of T-DXd for the Treatment of Solid Tumors Harboring HER2 Activating Mutations</t>
  </si>
  <si>
    <t>NCT04620330</t>
  </si>
  <si>
    <t>A Study of Avutometinib (VS-6766) + Defactinib in Recurrent KRAS G12V, Other KRAS and BRAF Non-Small Cell Lung Cancer</t>
  </si>
  <si>
    <t>NCT04471519</t>
  </si>
  <si>
    <t>Whole-Virion Inactivated SARS-CoV-2 Vaccine (BBV152) for COVID-19 in Healthy Volunteers</t>
  </si>
  <si>
    <t>NCT04269200</t>
  </si>
  <si>
    <t>Durvalumab With or Without Olaparib as Maintenance Therapy After First-Line Treatment of Advanced and Recurrent Endometrial Cancer</t>
  </si>
  <si>
    <t>NCT04489381</t>
  </si>
  <si>
    <t>Trial to Evaluate Efficacy and Safety of Nitazoxanide in the Treatment of Colds Due to Enterovirus/Rhinovirus Infection</t>
  </si>
  <si>
    <t>NCT04374136</t>
  </si>
  <si>
    <t>A Phase 3 Study to Evaluate Efficacy and Safety of AL001 in Frontotemporal Dementia (INFRONT-3)</t>
  </si>
  <si>
    <t>Alector Inc.</t>
  </si>
  <si>
    <t>NCT04223960</t>
  </si>
  <si>
    <t>A Study to Evaluate the Safety, Tolerability, Pharmacokinetics, Pharmacodynamics, Bioavailability, and Food-effects of EA1080 in Healthy Caucasian and Japanese Male Participants</t>
  </si>
  <si>
    <t>EA Pharma Co., Ltd.</t>
  </si>
  <si>
    <t>NCT04620213</t>
  </si>
  <si>
    <t>Safety and Efficacy of Nyxol (0.75% Phentolamine Ophthalmic Solution) to Reverse Pharmacologically-Induced Mydriasis</t>
  </si>
  <si>
    <t>Ocuphire Pharma, Inc.</t>
  </si>
  <si>
    <t>NCT04225260</t>
  </si>
  <si>
    <t>Long-term Treatment of Moderate to Severe Glabellar Lines and Lateral Canthal Lines</t>
  </si>
  <si>
    <t>NCT04567524</t>
  </si>
  <si>
    <t>A Multiple Dose Study to Assess the Safety, Tolerability and PK of Risperidone Extended Release Capsules</t>
  </si>
  <si>
    <t>Lyndra Inc.</t>
  </si>
  <si>
    <t>NCT04551079</t>
  </si>
  <si>
    <t>A Study to Evaluate the Safety, Tolerability, Pharmacodynamics, and Pharmacokinetics (PK) of Oral TAK-994 in an Acute Sleep Phase Delay Paradigm in Healthy Male Participants</t>
  </si>
  <si>
    <t>NCT04324359</t>
  </si>
  <si>
    <t>Study to See How Well an Eye Drop, SURF-201, Works and What Side Effects There Are in Cataract Surgery Subjects</t>
  </si>
  <si>
    <t>Surface Ophthalmics, Inc.</t>
  </si>
  <si>
    <t>NCT04864782</t>
  </si>
  <si>
    <t>QL1604 Plus Chemotherapy in Subjects With Stage IVB, Recurrent, or Metastatic Cervical Cancer</t>
  </si>
  <si>
    <t>NCT04793659</t>
  </si>
  <si>
    <t>Fasudil fOr redUcing elopemeNt and Spatial Disorientation</t>
  </si>
  <si>
    <t>Woolsey Pharmaceuticals</t>
  </si>
  <si>
    <t>NCT04495179</t>
  </si>
  <si>
    <t>A Study of AZD4635 With Durvalumab and With Cabazitaxel and Durvalumab in Patients With mCRPC.</t>
  </si>
  <si>
    <t>NCT04480424</t>
  </si>
  <si>
    <t>Study to Evaluate the Safety and Efficacy of High Dose Intravenous Immune Globulin (IVIG) Plus Standard Medical Treatment (SMT) Versus SMT Alone in Participants in Intensive Care Unit (ICU) With Coronavirus Disease (COVID-19)</t>
  </si>
  <si>
    <t>NCT04581824</t>
  </si>
  <si>
    <t>Efficacy Comparison of Dostarlimab Plus Chemotherapy Versus Pembrolizumab Plus Chemotherapy in Participants With Metastatic Non-squamous Non-small Cell Lung Cancer (NSCLC)</t>
  </si>
  <si>
    <t>NCT05523323</t>
  </si>
  <si>
    <t>A Study of Pembrolizumab (MK-3475) With or Without Lenvatinib (E7080/MK-7902) as First Line (1L) Intervention in a Programmed Cell Death-ligand 1 (PD-L1) Selected Population With Recurrent or Metastatic Head and Neck Squamous Cell Carcinoma (R/M HNSCC) (MK-7902-010/LEAP-010)-China Extension</t>
  </si>
  <si>
    <t>NCT04198480</t>
  </si>
  <si>
    <t>A Clinical Trial to Assess the Efficacy and Safety of JMT103 in Patients With Refractory HCM</t>
  </si>
  <si>
    <t>NCT04454424</t>
  </si>
  <si>
    <t>Study on the Safety of BAY1817080, How it is Tolerated and the Way the Body Absorbs, Distributes and Gets Rid of the Study Drug in Participants With Impaired Liver Function or Normal Liver Function</t>
  </si>
  <si>
    <t>NCT04047303</t>
  </si>
  <si>
    <t>CNS Penetration, PK and PD of Preoperative CC-90010 in Progressive/Recurrent Diffuse Astrocytoma, Anaplastic Astrocytoma and Glioblastoma</t>
  </si>
  <si>
    <t>NCT04341454</t>
  </si>
  <si>
    <t>Study to Evaluate the Efficacy and Safety of DWP14012 in Patients With Acute or Chronic Gastritis</t>
  </si>
  <si>
    <t>NCT04812691</t>
  </si>
  <si>
    <t>CD19-targeted CAR T Cells （JWCAR029） for Primary Refractory Diffuse Large B Cell Lymphoma</t>
  </si>
  <si>
    <t>Shanghai Ming Ju Biotechnology Co., Ltd.</t>
  </si>
  <si>
    <t>NCT04460885</t>
  </si>
  <si>
    <t>A Research Study to Compare Two Types of Insulin, a New Insulin, Insulin Icodec and an Available Insulin, Insulin Glargine, in People With Type 2 Diabetes Who Have Not Used Insulin Before</t>
  </si>
  <si>
    <t>NCT07213089</t>
  </si>
  <si>
    <t>Immunogenicity of a Combined Diphtheria-Tetanus-recombinant Acellular Pertussis (DTaP) Vaccine in Healthy Toddlers</t>
  </si>
  <si>
    <t>BioNet-Asia Co., Ltd.</t>
  </si>
  <si>
    <t>NCT04417517</t>
  </si>
  <si>
    <t>A Study of Evorpacept (ALX148) With Azacitidine for Higher Risk Myelodysplastic Syndrome (ASPEN-02)</t>
  </si>
  <si>
    <t>ALX Oncology Inc.</t>
  </si>
  <si>
    <t>NCT04429191</t>
  </si>
  <si>
    <t>JSP191 Antibody Conditioning Regimen in MDS/AML Subjects Undergoing Allogenic Hematopoietic Stem Cell Transplantation</t>
  </si>
  <si>
    <t>Jasper Therapeutics, Inc.</t>
  </si>
  <si>
    <t>NCT04584515</t>
  </si>
  <si>
    <t>IMP4297 DDI (Drug-Drug Interaction)Trial in Healthy Male Volunteers</t>
  </si>
  <si>
    <t>NCT04328740</t>
  </si>
  <si>
    <t>Phase 1 Study of Oral TP-1454</t>
  </si>
  <si>
    <t>NCT04414150</t>
  </si>
  <si>
    <t>A Trial of SHR-1802 in Patients With Failure of Standard Treatment for Advanced Malignant Tumours</t>
  </si>
  <si>
    <t>NCT04774874</t>
  </si>
  <si>
    <t>A Phase 2a Trial of FOL-005 Topical Formulations to Investigate Hair Growth Potential and Safety in Healthy Male Volunteers</t>
  </si>
  <si>
    <t>Follicum AB</t>
  </si>
  <si>
    <t>NCT05501418</t>
  </si>
  <si>
    <t>Evaluate the Safety and Efficacy of Allogeneic Umbilical Cord Mesenchymal Stem Cells in Patients With COVID-19</t>
  </si>
  <si>
    <t>Ever Supreme Bio Technology Co., Ltd.</t>
  </si>
  <si>
    <t>NCT04537897</t>
  </si>
  <si>
    <t>A Study in Healthy Men and Women Who Are Either Between 18 - 45 Years or Between 65 - 80 Years to Test How Different Doses of BI 474121 Are Tolerated</t>
  </si>
  <si>
    <t>NCT03686397</t>
  </si>
  <si>
    <t>SVT-15652 Otic Solution for the Treatment of Otomycosis.</t>
  </si>
  <si>
    <t>NCT04514653</t>
  </si>
  <si>
    <t>RGX-314 Gene Therapy Administered in the Suprachoroidal Space for Participants With Neovascular Age-Related Macular Degeneration (nAMD)</t>
  </si>
  <si>
    <t>NCT04608513</t>
  </si>
  <si>
    <t>A Placebo-controlled Phase 1 Study to Investigate the Safety, Tolerability, and Pharmacokinetics of Single- and Multiple-ascending Doses of ACT-1014-6470 in Healthy Subjects</t>
  </si>
  <si>
    <t>NCT04655690</t>
  </si>
  <si>
    <t>A Study to Look at How Safe Insulin NNC0471-0119 is and How it Works in People With Type 1 Diabetes Mellitus</t>
  </si>
  <si>
    <t>NCT04296890</t>
  </si>
  <si>
    <t>A Study of Mirvetuximab Soravtansine in Platinum-Resistant, Advanced High-Grade Epithelial Ovarian, Primary Peritoneal, or Fallopian Tube Cancers With High Folate Receptor-Alpha Expression</t>
  </si>
  <si>
    <t>ImmunoGen, Inc.</t>
  </si>
  <si>
    <t>NCT03993106</t>
  </si>
  <si>
    <t>A Study of sEphB4-HSA in Kaposi Sarcoma</t>
  </si>
  <si>
    <t>NCT04200352</t>
  </si>
  <si>
    <t>A Study to Test if TEV-50717 is Safe and Effective in Relieving Abnormal Involuntary Movements in Cerebral Palsy</t>
  </si>
  <si>
    <t>NCT05395533</t>
  </si>
  <si>
    <t>A Phase 1 Study of TRS005 in Patients With R/R CD20-positive B-NHL.</t>
  </si>
  <si>
    <t>NCT04519749</t>
  </si>
  <si>
    <t>An Open-label, Phase 1/2 Trial of Gene Therapy 4D-310 in Adults With Fabry Disease</t>
  </si>
  <si>
    <t>NCT04208958</t>
  </si>
  <si>
    <t>Study of VE800 and Nivolumab in Patients With Selected Types of Advanced or Metastatic Cancer</t>
  </si>
  <si>
    <t>Vedanta Biosciences, Inc.</t>
  </si>
  <si>
    <t>NCT04625985</t>
  </si>
  <si>
    <t>Metformin Glycinate, Treatment of Patients With COVID-19 and Severe Acute Respiratory Syndrome Secondary to SARS-CoV-2.</t>
  </si>
  <si>
    <t>Laboratorios Silanes S.A. de C.V.</t>
  </si>
  <si>
    <t>NCT04360343</t>
  </si>
  <si>
    <t>Compare the Pharmacokinetics, Pharmacodynamics and Safety/Tolerability of LC51-0255 Film-coated Tablet (SG85) With LC51-0255 Uncoated Tablet (SG82) in Healthy Subjects</t>
  </si>
  <si>
    <t>NCT04474210</t>
  </si>
  <si>
    <t>A Study to Evaluate the Effect of Renal Impairment on JNJ-56136379 in Adult Participants</t>
  </si>
  <si>
    <t>NCT04094610</t>
  </si>
  <si>
    <t>A Study of Repotrectinib in Pediatric and Young Adult Subjects Harboring ALK, ROS1, OR NTRK1-3 Alterations</t>
  </si>
  <si>
    <t>Turning Point Therapeutics, Inc.</t>
  </si>
  <si>
    <t>NCT04404790</t>
  </si>
  <si>
    <t>Antiplatelet Thrombolysin (Anfibatide) Phase 1 Clinical Trial in Healthy Volunteers</t>
  </si>
  <si>
    <t>NCT04557397</t>
  </si>
  <si>
    <t>Fruquintinib CYP3A Inhibitor and Inducer Study</t>
  </si>
  <si>
    <t>NCT04308590</t>
  </si>
  <si>
    <t>A Study of the Efficacy and Safety of Relacorilant in Patients With Cortisol-Secreting Adrenal Adenomas</t>
  </si>
  <si>
    <t>NCT04654897</t>
  </si>
  <si>
    <t>Mass Balance Study of [14C]-NT-814 Oral Suspension in Healthy Male Subjects</t>
  </si>
  <si>
    <t>NCT05214690</t>
  </si>
  <si>
    <t>A Phase 1 Clinical Trial to Evaluate the Safety and Pharmacokinetic Characteristics of DW1809-T2</t>
  </si>
  <si>
    <t>NCT04263142</t>
  </si>
  <si>
    <t>A Relative Bioavailability and Food-Effect Study of GSK3640254 Tablet and Capsule Formulations in Healthy Participants</t>
  </si>
  <si>
    <t>NCT04946383</t>
  </si>
  <si>
    <t>Safety and Effectivness of Quercetin &amp; Dasatinib on Epigenetic Aging</t>
  </si>
  <si>
    <t>TruDiagnostic</t>
  </si>
  <si>
    <t>NCT04733183</t>
  </si>
  <si>
    <t>Efficacy and Safety of L19TNF in Previously Treated Patients with Advanced Stage or Metastatic Soft-tissue Sarcoma</t>
  </si>
  <si>
    <t>NCT03945773</t>
  </si>
  <si>
    <t>Study of Cabozantinib as 2nd Line Treatment in Subjects With Locally Advanced or Metastatic Renal Cell Carcinoma (RCC) With a Clear-Cell Component Who Progressed After 1st Line Treatment With Checkpoint Inhibitors</t>
  </si>
  <si>
    <t>NCT04371185</t>
  </si>
  <si>
    <t>Comparative Study to Evaluate the Pharmacokinetics of BAT2206 vs Stelara® in Healthy Subjects</t>
  </si>
  <si>
    <t>NCT04516343</t>
  </si>
  <si>
    <t>Development of a Robotic Ankle Assist Device</t>
  </si>
  <si>
    <t>BiOMOTUM, Inc.</t>
  </si>
  <si>
    <t>NCT04296864</t>
  </si>
  <si>
    <t>Evaluation of Dupilumab in Patients With Atopic Keratoconjunctivitis (AKC)</t>
  </si>
  <si>
    <t>Andover Eye Associates</t>
  </si>
  <si>
    <t>NCT04040621</t>
  </si>
  <si>
    <t>Single-dose PK Study of Ceftazidime-Avibactam In Hospitalized Children Receiving Systemic Antibiotics for Nosocomial Pneumonia</t>
  </si>
  <si>
    <t>NCT04623892</t>
  </si>
  <si>
    <t>A Study to Evaluate the Tolerance and Pharmacokinetics of TQB2618 Injection in Subjects With Advanced Solid Tumors</t>
  </si>
  <si>
    <t>NCT04377711</t>
  </si>
  <si>
    <t>A Study of the Safety and Efficacy of Ciclesonide in the Treatment of Non-hospitalized COVID-19 Patients</t>
  </si>
  <si>
    <t>Covis Pharma S.à.r.l.</t>
  </si>
  <si>
    <t>NCT04352114</t>
  </si>
  <si>
    <t>A Study of LY3461767 in Healthy Participants</t>
  </si>
  <si>
    <t>NCT04617847</t>
  </si>
  <si>
    <t>Open-label Extension Study to Evaluate the Safety and Tolerability of WVE-120101 in Patients With Huntington's Disease</t>
  </si>
  <si>
    <t>Wave Life Sciences USA, Inc.</t>
  </si>
  <si>
    <t>NCT04883593</t>
  </si>
  <si>
    <t>A Study Comparing the Efficacy of TA103 and the Placebo Control in the Treatment of Interdigital Tinea Pedis.</t>
  </si>
  <si>
    <t>NCT04560738</t>
  </si>
  <si>
    <t>A Study to Evaluate the Metabolism and Excretion of [14C]-CC-92480 in Healthy Male Participants</t>
  </si>
  <si>
    <t>NCT04455100</t>
  </si>
  <si>
    <t>A Phase I Study of SHR1459 in Healthy Subjects</t>
  </si>
  <si>
    <t>NCT06074107</t>
  </si>
  <si>
    <t>Study of BEBT-908 in the Relapsed or Refractory Diffuse Large B-cell Lymphoma Subjects</t>
  </si>
  <si>
    <t>BeBetter Med Inc</t>
  </si>
  <si>
    <t>NCT04537884</t>
  </si>
  <si>
    <t>Safety and Tolerability Study of UBX1325 in Patients With Diabetic Macular Edema or Neovascular Age-Related Macular Degeneration</t>
  </si>
  <si>
    <t>NCT04243499</t>
  </si>
  <si>
    <t>First-in-Human Study of ICT01 in Patients With Advanced Cancer</t>
  </si>
  <si>
    <t>ImCheck Therapeutics</t>
  </si>
  <si>
    <t>NCT04260464</t>
  </si>
  <si>
    <t>Renal Impairment Study of PF-06700841</t>
  </si>
  <si>
    <t>NCT04620109</t>
  </si>
  <si>
    <t>Clinical Evaluation of Safety and Tolerability of KDR2-2 Eye Drops in Healthy Volunteers With Pharmacokinetic Assessment</t>
  </si>
  <si>
    <t>Guangzhou HuiBoRui Biological Pharmaceutical Technology Co. Ltd</t>
  </si>
  <si>
    <t>NCT04649216</t>
  </si>
  <si>
    <t>Excretion Balance, PK and Metabolism of a Single Oral Dose of [14C]PCO371</t>
  </si>
  <si>
    <t>Chugai Pharmaceutical</t>
  </si>
  <si>
    <t>NCT04671316</t>
  </si>
  <si>
    <t>Bioequivalence Study Between "DA-5209 Tab" and "Lixiana Tab"</t>
  </si>
  <si>
    <t>NCT04423744</t>
  </si>
  <si>
    <t>Study to Gather Information on the Influence of BAY1817080 on the Electrical Activity of the Heart Recorded by an Electrocardiogram in Healthy Male and Female Participants</t>
  </si>
  <si>
    <t>NCT04388878</t>
  </si>
  <si>
    <t>Study Of Single And Multiple Ascending Doses Of PF-07054894 In Healthy Adult Participants</t>
  </si>
  <si>
    <t>NCT04626726</t>
  </si>
  <si>
    <t>Adult B-ALL Treated by CART Cell Bridging Allogeneic Hematopoietic Stem Cell Transplantation</t>
  </si>
  <si>
    <t>NCT04488185</t>
  </si>
  <si>
    <t>An Efficacy Study of Secukinumab in Plaque Psoriasis Patients With Subclinical Psoriatic Arthritis as Measured by Musculoskeletal Ultrasound</t>
  </si>
  <si>
    <t>NCT04638647</t>
  </si>
  <si>
    <t>Secukinumab Open Label Roll-over Extension Protocol</t>
  </si>
  <si>
    <t>NCT04498247</t>
  </si>
  <si>
    <t>A Study to Assess Safety, Tolerability, and Immunogenicity of V591 (COVID-19 Vaccine) in Healthy Participants (V591-001)</t>
  </si>
  <si>
    <t>NCT04136171</t>
  </si>
  <si>
    <t>CARDIO-TTRansform: A Study to Evaluate the Efficacy and Safety of Eplontersen (Formerly Known as ION-682884, IONIS-TTR-LRx and AKCEA-TTR-LRx) in Participants With Transthyretin-Mediated Amyloid Cardiomyopathy (ATTR CM)</t>
  </si>
  <si>
    <t>Ionis Pharmaceuticals, Inc.</t>
  </si>
  <si>
    <t>NCT04603287</t>
  </si>
  <si>
    <t>A Study of SI-B001, an EGFR/HER3 Bispecific Antibody, in Locally Advanced or Metastatic Epithelial Tumors</t>
  </si>
  <si>
    <t>Sichuan Baili Pharmaceutical Co., Ltd.</t>
  </si>
  <si>
    <t>NCT04580121</t>
  </si>
  <si>
    <t>A Dose Escalation and Expansion Study Evaluating the Safety, Tolerability, Pharmacokinetics, and Pharmacodynamics of RO7283420.</t>
  </si>
  <si>
    <t>NCT04542252</t>
  </si>
  <si>
    <t>Drug-Drug Interaction Study of Intravenous Administration of SyB V-1901 and Cyclosporine in Japanese Healthy Subjects</t>
  </si>
  <si>
    <t>SymBio Pharmaceuticals</t>
  </si>
  <si>
    <t>NCT04673591</t>
  </si>
  <si>
    <t>Effects of Tregalizumab on Allergen-induced Airway Responses and Airway Inflammation in Asthmatic Patients</t>
  </si>
  <si>
    <t>T-Balance Therapeutics GmbH</t>
  </si>
  <si>
    <t>NCT04218110</t>
  </si>
  <si>
    <t>Preoperative Skin Preparation Study to Evaluate the Antimicrobial Capabilities of Four Test Substances</t>
  </si>
  <si>
    <t>Professional Disposables International, Inc.</t>
  </si>
  <si>
    <t>NCT04287179</t>
  </si>
  <si>
    <t>SUSTAIN SWITCH: A Research Study to Compare Two Dose Schedules of Semaglutide Taken Once Weekly in People With Type 2 Diabetes</t>
  </si>
  <si>
    <t>NCT06165146</t>
  </si>
  <si>
    <t>A Study of the Effects of Pirtobrutinib (LOXO-305) on Repaglinide (CYP2C8 Substrate) in Healthy Participants</t>
  </si>
  <si>
    <t>NCT04504279</t>
  </si>
  <si>
    <t>Evaluation of FB-401 in Children, Adolescents and Adults (2 Years and Older) With Mild to Moderate Atopic Dermatitis</t>
  </si>
  <si>
    <t>Forte Biosciences, Inc.</t>
  </si>
  <si>
    <t>NCT04495127</t>
  </si>
  <si>
    <t>Selumetinib Paediatric NF1 Japan Study</t>
  </si>
  <si>
    <t>NCT04262791</t>
  </si>
  <si>
    <t>A Non-Drug Study Detecting And Quantifying Nocturnal Scratch Behaviors From Wrist Actigraphy Data In Adult Healthy Volunteers And Participants With Atopic Dermatitis (AD)</t>
  </si>
  <si>
    <t>NCT04565574</t>
  </si>
  <si>
    <t>A Study to Assess the Effect of Food Intake and Drug-drug Interactions of E7090 When Co-administered With Rabeprazole or Rifampin in Healthy Participants</t>
  </si>
  <si>
    <t>NCT04518046</t>
  </si>
  <si>
    <t>Study of Sitravatinib, Nivolumab and Ipilimumab in Advanced or Metastatic Clear-Cell Renal Cell Carcinoma or Other Solid Malignancies</t>
  </si>
  <si>
    <t>NCT03414788</t>
  </si>
  <si>
    <t>Distribution of a Single IV Dose Of [124I]-Pf 06687234 and Pf 06687234 Assessed With PET-CT Imaging In Moderate To Severe Ulcerative Colitis and Crohn's Disease</t>
  </si>
  <si>
    <t>NCT04616586</t>
  </si>
  <si>
    <t>SILtuximab in Viral ARds (SILVAR) Study</t>
  </si>
  <si>
    <t>NCT04400123</t>
  </si>
  <si>
    <t>A Bioequivalence Study of Famitinib Malate on Healthy Chinese Volunteers</t>
  </si>
  <si>
    <t>NCT04561362</t>
  </si>
  <si>
    <t>Study BT8009-100 in Subjects With Nectin-4 Expressing Advanced Malignancies</t>
  </si>
  <si>
    <t>BicycleTx Limited</t>
  </si>
  <si>
    <t>NCT04496596</t>
  </si>
  <si>
    <t>Study of Suramin in Subjects With Furosemide-Resistant AKI</t>
  </si>
  <si>
    <t>Rediscovery Life Sciences</t>
  </si>
  <si>
    <t>NCT04401527</t>
  </si>
  <si>
    <t>Treatment of Lung Injury From COVID-19 Infection With Intravenous Sodium Nitrite</t>
  </si>
  <si>
    <t>Hope Pharmaceuticals</t>
  </si>
  <si>
    <t>NCT04475848</t>
  </si>
  <si>
    <t>A Study to Investigate the Safety, Tolerability, Pharmacokinetics, Pharmacodynamics and Food Effect of RO6953958 in Healthy Participants</t>
  </si>
  <si>
    <t>NCT05269810</t>
  </si>
  <si>
    <t>Clinical Study to Investigate the Efficacy of Orally Administered SA001 in Patients With Primary Sjögren's Syndrome</t>
  </si>
  <si>
    <t>Samjin Pharmaceutical Co., Ltd.</t>
  </si>
  <si>
    <t>NCT04278820</t>
  </si>
  <si>
    <t>A Study of TQA3526 in the Treatment of Primary Biliary Cirrhosis (PBC)</t>
  </si>
  <si>
    <t>NCT04592835</t>
  </si>
  <si>
    <t>To Evaluate the Safety, Tolerability and Pharmacokinetic Properties of DWRX2003</t>
  </si>
  <si>
    <t>NCT04396574</t>
  </si>
  <si>
    <t>A 12-Month Study of Lasmiditan (LY573144) Treatment in Children Aged 6 to 17 With Migraine</t>
  </si>
  <si>
    <t>NCT04314024</t>
  </si>
  <si>
    <t>Relative Bioavailability (rBA) of Evobrutinib Intended Commercial and Clinical Tablets, and Effect of Food on Intended Commercial Tablets</t>
  </si>
  <si>
    <t>NCT04418024</t>
  </si>
  <si>
    <t>Efficacy and Safety of AG10 in Subjects with Transthyretin Amyloid Polyneurophathy</t>
  </si>
  <si>
    <t>Eidos Therapeutics, a BridgeBio company</t>
  </si>
  <si>
    <t>NCT04447118</t>
  </si>
  <si>
    <t>Phase 3 Study of Pyrotinib Versus Docetaxel in Patients With Advanced Non-squamous NSCLC Harboring a HER2 Exon 20 Mutation Who Failed Platinum Based Chemotherapy</t>
  </si>
  <si>
    <t>NCT04605991</t>
  </si>
  <si>
    <t>A Study of Mealtime Insulin LY900014 in Participants With Type 2 Diabetes Using Continuous Glucose Monitoring (PRONTO-Time in Range)</t>
  </si>
  <si>
    <t>NCT02200718</t>
  </si>
  <si>
    <t>A Study of NeuroVax™, a Novel Therapeutic TCR Peptide Vaccine for Pediatric Multiple Sclerosis</t>
  </si>
  <si>
    <t>NCT04273815</t>
  </si>
  <si>
    <t>A Study to Evaluate the Tolerance, Pharmacokinetics and Efficacy of TQ-A3334 Tablets</t>
  </si>
  <si>
    <t>NCT04241835</t>
  </si>
  <si>
    <t>A Study to Compare the Blood Levels and Safety of Tazemetostat in Participants With Advanced Cancer and Moderate/Severe Liver Impairment to Participants With Advanced Cancer and Normal Liver Function</t>
  </si>
  <si>
    <t>NCT04447040</t>
  </si>
  <si>
    <t>Acetaminophen/Naproxen Sodium Dose Ranging Study</t>
  </si>
  <si>
    <t>Johnson &amp; Johnson Consumer Inc., McNeil Consumer Healthcare Division</t>
  </si>
  <si>
    <t>NCT04609943</t>
  </si>
  <si>
    <t>Study to Find the Highest Safe Dose of Soluble Guanylate Cyclase (sGC) Activator, BAY 1211163 Administered as Multiple Doses by Inhalation to Patients Who Cannot Breathe by Their Own and Suffer From a Type of Lung Failure That Causes Fluid to Build up in the Lungs Making Breathing Difficult (ARDS)</t>
  </si>
  <si>
    <t>NCT04586335</t>
  </si>
  <si>
    <t>Study of CYH33 in Combination With Olaparib an Oral PARP Inhibitor in Patients With Advanced Solid Tumors.</t>
  </si>
  <si>
    <t>NCT04591535</t>
  </si>
  <si>
    <t>PK Study of WD-1603 in Healthy Subjects</t>
  </si>
  <si>
    <t>NCT04512235</t>
  </si>
  <si>
    <t>A Study to Evaluate the Efficacy and Safety of CAEL-101 in Patients With Mayo Stage IIIa AL Amyloidosis (CARES)</t>
  </si>
  <si>
    <t>NCT04616716</t>
  </si>
  <si>
    <t>A Food Effect Study of FMTN on Healthy Chinese Adult Subjects</t>
  </si>
  <si>
    <t>NCT05508178</t>
  </si>
  <si>
    <t>Recombinant, Bivalent, Norovirus Vaccine Study</t>
  </si>
  <si>
    <t>Icon Genetics GmbH</t>
  </si>
  <si>
    <t>NCT04707248</t>
  </si>
  <si>
    <t>A Study of DS-6000a in Subjects With Advanced Renal Cell Carcinoma and Ovarian Tumors</t>
  </si>
  <si>
    <t>NCT04573478</t>
  </si>
  <si>
    <t>Atrasentan in Patients With IgA Nephropathy</t>
  </si>
  <si>
    <t>NCT04446650</t>
  </si>
  <si>
    <t>A Study of Fedratinib in Japanese Subjects With DIPSS (Dynamic International Prognostic Scoring System)- Intermediate or High-risk Primary Myelofibrosis (PMF), Post-polycythemia Vera Myelofibrosis (Post-PV MF), or Post-essential Thrombocythemia Myelofibrosis (Post-ET MF)</t>
  </si>
  <si>
    <t>NCT04498832</t>
  </si>
  <si>
    <t>Study to Assess the Immune Response and the Safety Profile of a High-Dose Quadrivalent Influenza Vaccine (QIV-HD) Compared to a Standard-Dose Quadrivalent Influenza Vaccine (QIV-SD) in Japanese Adults 60 Years of Age and Older</t>
  </si>
  <si>
    <t>NCT04557098</t>
  </si>
  <si>
    <t>A Study of Teclistamab in Participants With Relapsed or Refractory Multiple Myeloma</t>
  </si>
  <si>
    <t>NCT04623333</t>
  </si>
  <si>
    <t>A Study of TQB2450 Injection in Subjects With PD-L1 Positive Recurrent or Metastatic Cervical Cancer</t>
  </si>
  <si>
    <t>NCT04611152</t>
  </si>
  <si>
    <t>A Trial to Evaluate the Efficacy, Durability, and Safety of KSI-301 Compared to Aflibercept in Participants With Diabetic Macular Edema (DME)</t>
  </si>
  <si>
    <t>NCT04573309</t>
  </si>
  <si>
    <t>Copper and Molybdenum Balance in Participants With Wilson Disease Treated With ALXN1840</t>
  </si>
  <si>
    <t>NCT04631484</t>
  </si>
  <si>
    <t>International Trial of Efficacy of Cytoflavin in Head Trauma</t>
  </si>
  <si>
    <t>POLYSAN Scientific &amp; Technological Pharmaceutical Company</t>
  </si>
  <si>
    <t>NCT04444752</t>
  </si>
  <si>
    <t>A Study to Assess the Efficacy and Safety of CBP-201 in Adult Subjects With Moderate to Severe Atopic Dermatitis</t>
  </si>
  <si>
    <t>Connect Biopharm LLC</t>
  </si>
  <si>
    <t>NCT04464798</t>
  </si>
  <si>
    <t>A Dose Finding and Safety Study of CC-220, Alone and in Combination With an Anti-CD20 Monoclonal Antibody (mAb) in Subjects With Relapsed or Refractory Lymphomas</t>
  </si>
  <si>
    <t>NCT04524832</t>
  </si>
  <si>
    <t>Research Study Comparing New Tablets of Semaglutide in New Doses, in Healthy People</t>
  </si>
  <si>
    <t>NCT04187898</t>
  </si>
  <si>
    <t>Open-Label, Phase 1 Study to Evaluate Duration of Severe Neutropenia After Same-Day Dosing of Eflapegrastim in Patients With Breast-Cancer</t>
  </si>
  <si>
    <t>NCT04208698</t>
  </si>
  <si>
    <t>A Scintigraphy Study in Adults With Diabetic Gastroparesis</t>
  </si>
  <si>
    <t>CinDome Pharma, Inc.</t>
  </si>
  <si>
    <t>NCT04227106</t>
  </si>
  <si>
    <t>Phase 3, Open-label Clinical Trial of EB-101 for the Treatment of Recessive Dystrophic Epidermolysis Bullosa (RDEB)</t>
  </si>
  <si>
    <t>Abeona Therapeutics, Inc</t>
  </si>
  <si>
    <t>NCT04154826</t>
  </si>
  <si>
    <t>Recombinant Interleukin-7 (CYT107) to Treat Patients With Refractory Nontuberculous Mycobacterial Lung Disease</t>
  </si>
  <si>
    <t>Revimmune</t>
  </si>
  <si>
    <t>NCT04434196</t>
  </si>
  <si>
    <t>A Safety and Preliminary Efficacy Study of CC-99282 in Combination With Obinutuzumab in Subjects With Relapsed or Refractory Chronic Lymphocytic Leukemia/Small Lymphocytic Lymphoma</t>
  </si>
  <si>
    <t>NCT04695041</t>
  </si>
  <si>
    <t>A Healthy Volunteer Study of PBI-4050</t>
  </si>
  <si>
    <t>Liminal BioSciences Ltd.</t>
  </si>
  <si>
    <t>NCT04041362</t>
  </si>
  <si>
    <t>the Study to Evaluate the Safety of UB-421 in Combination With Antiretroviral Therapy (ART) and the Efficacy in Reduction of HIV Viral Load and Proviral DNA as Compared to ART Alone in ART-experienced Viremic HIV-1 Patients</t>
  </si>
  <si>
    <t>United BioPharma</t>
  </si>
  <si>
    <t>NCT03985423</t>
  </si>
  <si>
    <t>A Study to Evaluate the Efficacy, Safety and Pharmacokinetics of Emapalumab in Adult Patients With HLH</t>
  </si>
  <si>
    <t>NCT04651959</t>
  </si>
  <si>
    <t>Bioequivalence Study of Favipiravir 200 mg Film Tablet (Pharma Plant, Turkey) Under Fasting Conditions</t>
  </si>
  <si>
    <t>Pharma Plant</t>
  </si>
  <si>
    <t>NCT04291079</t>
  </si>
  <si>
    <t>SRK-181 Alone or in Combination With Anti-PD-(L)1 Antibody Therapy in Patients With Locally Advanced or Metastatic Solid Tumors (DRAGON)</t>
  </si>
  <si>
    <t>Scholar Rock, Inc.</t>
  </si>
  <si>
    <t>NCT04471727</t>
  </si>
  <si>
    <t>A Study in Participants With Advanced Cancers Associated With Expression of DLL3 (MK-6070-001/HPN328-4001)</t>
  </si>
  <si>
    <t>NCT04303169</t>
  </si>
  <si>
    <t>Substudy 02C: Safety and Efficacy of Pembrolizumab in Combination With Investigational Agents or Pembrolizumab Alone in Participants With Stage III Melanoma Who Are Candidates for Neoadjuvant Therapy (MK-3475-02C/KEYMAKER-U02)</t>
  </si>
  <si>
    <t>NCT04258527</t>
  </si>
  <si>
    <t>Phase 1 Study of Pemigatinib in Patients With Advanced Malignancies With FGF/FGFR Alterations</t>
  </si>
  <si>
    <t>NCT02396459</t>
  </si>
  <si>
    <t>Triac Trial II in MCT8 Deficiency Patients</t>
  </si>
  <si>
    <t>Rare Thyroid Therapeutics International AB</t>
  </si>
  <si>
    <t>NCT04271488</t>
  </si>
  <si>
    <t>Study to Evaluate the Pharmacokinetics (PK) of E7090 (Herein Referred to as Tasurgratinib) and Its Metabolite in Participants With Mild and Moderate Hepatic Impairment Compared to Healthy Participants</t>
  </si>
  <si>
    <t>NCT04142086</t>
  </si>
  <si>
    <t>Dose-ranging Study of an Investigational Yellow Fever Candidate Vaccine in Adults</t>
  </si>
  <si>
    <t>NCT04647773</t>
  </si>
  <si>
    <t>To Evaluate the Efficacy and Safety of HSK16149 Capsule in Chinese Patients With Diabetic Peripheral Neuropathic Pain</t>
  </si>
  <si>
    <t>NCT04452318</t>
  </si>
  <si>
    <t>COVID-19 Study Assessing the Efficacy and Safety of Anti-Spike SARS CoV-2 Monoclonal Antibodies for Prevention of SARS CoV-2 Infection Asymptomatic in Healthy Adults and Adolescents Who Are Household Contacts to an Individual With a Positive SARS-CoV-2 RT-PCR Assay</t>
  </si>
  <si>
    <t>NCT04603924</t>
  </si>
  <si>
    <t>Study of Niclosamide in Moderate and Severe Hospitalized Coronavirus-19 (COVID-19) Patients</t>
  </si>
  <si>
    <t>NeuroBo Pharmaceuticals Inc.</t>
  </si>
  <si>
    <t>NCT04097379</t>
  </si>
  <si>
    <t>Safety, Tolerability and Preliminary Efficacy of Multiple Intra-articular Injections of LRX712 in Patients With Knee OA</t>
  </si>
  <si>
    <t>NCT04313166</t>
  </si>
  <si>
    <t>Treatment Continuation Study for Patients With ALS/MND Who Completed Study CMD-2019-001</t>
  </si>
  <si>
    <t>Collaborative Medicinal Development Pty Limited</t>
  </si>
  <si>
    <t>NCT04601766</t>
  </si>
  <si>
    <t>A Phase I, Two-phase, Crossover Study to Evaluate the Safety, Tolerability and Pharmacokinetics of APL-1501 ER Tablets</t>
  </si>
  <si>
    <t>Asieris Pharmaceuticals (AUS) Pty Ltd.</t>
  </si>
  <si>
    <t>NCT04259281</t>
  </si>
  <si>
    <t>A Study of the Safety and Tolerability of GTX-102 in Children With Angelman Syndrome</t>
  </si>
  <si>
    <t>NCT07435311</t>
  </si>
  <si>
    <t>A Phase I Comparative Study of Pharmacokinetics, Safety, and Efficacy of RPH-002 and Erbitux® in Unresectable Metastatic or Recurrent Head and Neck Squamous Cell Carcinoma</t>
  </si>
  <si>
    <t>NCT04233801</t>
  </si>
  <si>
    <t>A Study to Test How Well Empagliflozin Works in Chinese Patients With Type 2 Diabetes Who Already Take Insulin</t>
  </si>
  <si>
    <t>NCT04271592</t>
  </si>
  <si>
    <t>A Study to Assess Safety, Tolerability, and Pharmacokinetics of ABI-H3733 in Healthy Adults</t>
  </si>
  <si>
    <t>NCT04297865</t>
  </si>
  <si>
    <t>Evaluate Safety, Tolerability, Pharmacokinetics and Pharmacodynamics of CJ-15314 Phosphate in Healthy Male Subjects</t>
  </si>
  <si>
    <t>NCT04540900</t>
  </si>
  <si>
    <t>A Phase I Study of KB301, a Replication-Incompetent, Non-Integrating Vector Expressing Human Type III Collagen (COL3) for the Treatment of Superficial Skin Depressions</t>
  </si>
  <si>
    <t>NCT04053283</t>
  </si>
  <si>
    <t>First in Human Study With NG-641, a Tumour Selective Transgene Expressing Adenoviral Vector</t>
  </si>
  <si>
    <t>Akamis Bio</t>
  </si>
  <si>
    <t>NCT04505722</t>
  </si>
  <si>
    <t>A Study of Ad26.COV2.S for the Prevention of SARS-CoV-2-Mediated COVID-19 in Adult Participants</t>
  </si>
  <si>
    <t>NCT04418167</t>
  </si>
  <si>
    <t>JSI-1187-01 Monotherapy and in Combination With Dabrafenib for Advanced Solid Tumors With MAPK Pathway Mutations</t>
  </si>
  <si>
    <t>JS InnoPharm, LLC</t>
  </si>
  <si>
    <t>NCT04493567</t>
  </si>
  <si>
    <t>Relative Levels of BMS-986036 in Blood Plasma in Healthy, Overweight, and Obese Participants Following Subcutaneous Administration Via Auto-injector Versus Pre-filled Syringe</t>
  </si>
  <si>
    <t>NCT04587011</t>
  </si>
  <si>
    <t>A Study to Explore Pharmacokinetics/Pharmacodynamics and Safety of Tegoprazan BID Dosing in Healthy Subjects</t>
  </si>
  <si>
    <t>NCT04392271</t>
  </si>
  <si>
    <t>A Study of the Effects of Multiple Doses of LY3372689 on the Brain in Healthy Participants</t>
  </si>
  <si>
    <t>NCT04527081</t>
  </si>
  <si>
    <t>Study of COVID-19 DNA Vaccine (AG0302-COVID19)</t>
  </si>
  <si>
    <t>NCT04535947</t>
  </si>
  <si>
    <t>Study to Evaluate the Efficacy of SDP-4 in Subjects With Dry Eye Disease (DED) (SDP-4-CS202)</t>
  </si>
  <si>
    <t>Silk Technologies, Ltd.</t>
  </si>
  <si>
    <t>NCT04597918</t>
  </si>
  <si>
    <t>A Study to Investigate Aqueous Humor and Multimodal Imaging Biomarkers in Treatment-Naïve Participants With Diabetic Macular Edema Treated With Faricimab</t>
  </si>
  <si>
    <t>NCT04338685</t>
  </si>
  <si>
    <t>A Study Evaluating Safety, Pharmacokinetics, Pharmacodynamics, And Clinical Activity Of RO7119929 (TLR7 Agonist) In Participants With Unresectable Advanced Or Metastatic Hepatocellular Carcinoma, Biliary Tract Cancer, Or Solid Tumors With Hepatic Metastases</t>
  </si>
  <si>
    <t>NCT04383210</t>
  </si>
  <si>
    <t>Study of Seribantumab in Adult Patients With NRG1 Gene Fusion Positive Advanced Solid Tumors</t>
  </si>
  <si>
    <t>Elevation Oncology</t>
  </si>
  <si>
    <t>NCT04225715</t>
  </si>
  <si>
    <t>A Trial To Evaluate The Efficacy And Safety Of Multiple Combination Therapies In Participants With Chronic Hepatitis B</t>
  </si>
  <si>
    <t>NCT04183790</t>
  </si>
  <si>
    <t>Evaluation of Long-term Safety and Efficacy of ELX/TEZ/IVA TC Combination Therapy in Participants With Cystic Fibrosis Who Are 6 Years of Age and Older</t>
  </si>
  <si>
    <t>NCT04498117</t>
  </si>
  <si>
    <t>Oregovomab Plus Chemo in Newly Diagnosed Patients With Advanced Epithelial Ovarian Cancer Following Optimal Debulking Surgery</t>
  </si>
  <si>
    <t>CanariaBio Inc.</t>
  </si>
  <si>
    <t>NCT04440176</t>
  </si>
  <si>
    <t>A Trial to Describe the Safety and Immunogenicity of MenABCWY When Administered on 2 Schedules</t>
  </si>
  <si>
    <t>NCT04515290</t>
  </si>
  <si>
    <t>A Phase IIa Clinical Trial on TSG-01 in the Treatment of Chronic Heart Failure in Patients With Coronary Heart Disease.</t>
  </si>
  <si>
    <t>Shanghai Hongyitang Biopharmaceutical Technology Co. Ltd.</t>
  </si>
  <si>
    <t>NCT05485818</t>
  </si>
  <si>
    <t>Safety and Efficacy Study of Thymosin Beta 4 in Patients With Acute Myocardial Infarction.Infarction</t>
  </si>
  <si>
    <t>Beijing Northland Biotech. Co., Ltd.</t>
  </si>
  <si>
    <t>NCT04537806</t>
  </si>
  <si>
    <t>A Study of Brexanolone for Acute Respiratory Distress Syndrome (ARDS) Due to Coronavirus Disease 2019 (COVID-19)</t>
  </si>
  <si>
    <t>Sage Therapeutics</t>
  </si>
  <si>
    <t>NCT04643249</t>
  </si>
  <si>
    <t>Drug-drug Interaction Study of KL1333 in Healthy Subjects</t>
  </si>
  <si>
    <t>Abliva AB</t>
  </si>
  <si>
    <t>NCT04225676</t>
  </si>
  <si>
    <t>Study of Efficacy and Safety of Reinfusion of Tisagenlecleucel in Pediatric and Young Adult Patients With Acute Lymphoblastic Leukemia (ALL)</t>
  </si>
  <si>
    <t>NCT04167540</t>
  </si>
  <si>
    <t>GDNF Gene Therapy for Parkinson's Disease</t>
  </si>
  <si>
    <t>Brain Neurotherapy Bio, Inc.</t>
  </si>
  <si>
    <t>NCT04526704</t>
  </si>
  <si>
    <t>Study to Evaluate Discontinuation and Re-Treatment in Participants With Tenosynovial Giant Cell Tumor (TGCT) Previously Treated With Pexidartinib</t>
  </si>
  <si>
    <t>NCT04589026</t>
  </si>
  <si>
    <t>A Study Validating the Use of Candin as a Challenge Agent in Healthy Participants - Intervention Specific Appendix 1</t>
  </si>
  <si>
    <t>NCT04625725</t>
  </si>
  <si>
    <t>Phase III Double-blind, Placebo-controlled Study of AZD7442 for Pre-exposure Prophylaxis of COVID-19 in Adult.</t>
  </si>
  <si>
    <t>NCT04457778</t>
  </si>
  <si>
    <t>First in Human Study of M6223</t>
  </si>
  <si>
    <t>NCT04348474</t>
  </si>
  <si>
    <t>Efficacy and Safety of Hydroxychloroquine and Azithromycin for the Treatment of Ambulatory Patients With Mild COVID-19</t>
  </si>
  <si>
    <t>NCT04333160</t>
  </si>
  <si>
    <t>Phase III Study on the Safety and Efficacy of a Single Intra-articular Administration of JTA-004 in Symptomatic Knee Osteoarthritis</t>
  </si>
  <si>
    <t>Bone Therapeutics S.A</t>
  </si>
  <si>
    <t>NCT04370054</t>
  </si>
  <si>
    <t>Study to Evaluate the Efficacy and Safety of PF-07055480 / Giroctocogene Fitelparvovec Gene Therapy in Moderately Severe to Severe Hemophilia A Adults</t>
  </si>
  <si>
    <t>NCT04422431</t>
  </si>
  <si>
    <t>Copper Concentration &amp; Histopathologic Changes in Liver Biopsy in Participants With Wilson Disease Treated With ALXN1840</t>
  </si>
  <si>
    <t>NCT04431141</t>
  </si>
  <si>
    <t>Pharmacokinetic Drug Interaction Between Teneligliptin and Empagliflozin</t>
  </si>
  <si>
    <t>Handok Inc.</t>
  </si>
  <si>
    <t>NCT04024436</t>
  </si>
  <si>
    <t>A Study of TAS-120 in Patients With Metastatic Breast Cancer</t>
  </si>
  <si>
    <t>NCT04292912</t>
  </si>
  <si>
    <t>A Study to Evaluate the Safety, Tolerability, Pharmacokinetics, and Pharmacodynamics of GSK2798745 in Participants With Diabetic Macular Edema</t>
  </si>
  <si>
    <t>NCT04188964</t>
  </si>
  <si>
    <t>Study to Assess the Safety, Tolerability, Pharmacokinetics and Efficacy of Burosumab in Patients Less Than 1 Year of Age</t>
  </si>
  <si>
    <t>Kyowa Kirin Pharmaceutical Development Ltd</t>
  </si>
  <si>
    <t>NCT04643457</t>
  </si>
  <si>
    <t>A Study to Test the Safety, Pharmacokinetics, and Efficacy of UCB9741 in Healthy Study Participants and in Study Participants With Atopic Dermatitis</t>
  </si>
  <si>
    <t>NCT04316364</t>
  </si>
  <si>
    <t>A Trial of SHR-1316/Placebo in Combination With Chemotherapy in Patients With Resectable NSCLC</t>
  </si>
  <si>
    <t>NCT04248439</t>
  </si>
  <si>
    <t>Gene Therapy for Fanconi Anemia, Complementation Group A</t>
  </si>
  <si>
    <t>NCT04468971</t>
  </si>
  <si>
    <t>REgulatory T Cell infuSion fOr Lung Injury Due to COVID-19 PnEumonia</t>
  </si>
  <si>
    <t>Cellenkos, Inc.</t>
  </si>
  <si>
    <t>NCT04291664</t>
  </si>
  <si>
    <t>PK and Dose Escalation and Expansion Study of DST-2970</t>
  </si>
  <si>
    <t>DisperSol Technologies, LLC</t>
  </si>
  <si>
    <t>NCT04553042</t>
  </si>
  <si>
    <t>A Study of Seltorexant in Healthy Participants</t>
  </si>
  <si>
    <t>NCT04402060</t>
  </si>
  <si>
    <t>A Study of APL-9 in Adults With Mild to Moderate ARDS Due to COVID-19</t>
  </si>
  <si>
    <t>NCT04447820</t>
  </si>
  <si>
    <t>Study to Investigate the Efficacy and Pharmacokinetic Profile of K-877-ER Compared to K-877-IR</t>
  </si>
  <si>
    <t>Kowa Research Institute, Inc.</t>
  </si>
  <si>
    <t>NCT04411082</t>
  </si>
  <si>
    <t>A Study of IMR-687 in Subjects With Beta Thalassemia</t>
  </si>
  <si>
    <t>NCT05749380</t>
  </si>
  <si>
    <t>Pharmacokinetics and Safety of AmBisome and DKF-5122</t>
  </si>
  <si>
    <t>Dongkook Pharmaceutical Co., Ltd.</t>
  </si>
  <si>
    <t>NCT04428788</t>
  </si>
  <si>
    <t>Study to Evaluate the Safety and Tolerability of CC-94676 in Participants With Metastatic Castration-Resistant Prostate Cancer</t>
  </si>
  <si>
    <t>NCT04318327</t>
  </si>
  <si>
    <t>BCMA-directed CAR-T Cell Therapy in Adult Patients With Multiple Myeloma</t>
  </si>
  <si>
    <t>NCT04230070</t>
  </si>
  <si>
    <t>Bioavailability of Levonorgestrel and Ethinyl Estradiol Tablets 15.0 mg/0.03 mg With Regards to Reference Product</t>
  </si>
  <si>
    <t>Laboratorios Andromaco S.A.</t>
  </si>
  <si>
    <t>NCT04608396</t>
  </si>
  <si>
    <t>Mechanistic Evaluation of Response in TRD (MERIT)</t>
  </si>
  <si>
    <t>NCT04531462</t>
  </si>
  <si>
    <t>A Study to Test How Well Empagliflozin Works in Japanese People With Type 2 Diabetes Who Are Older Than 65 Years</t>
  </si>
  <si>
    <t>NCT04405323</t>
  </si>
  <si>
    <t>Study That Evaluates the Effect of CYP3A4 Inhibition on Lu AG06466 in Healthy Men and Women</t>
  </si>
  <si>
    <t>NCT04236362</t>
  </si>
  <si>
    <t>A Study of TQB2450 Combined With Anlotinib in Subjects With Gynecological Cancer</t>
  </si>
  <si>
    <t>NCT04601077</t>
  </si>
  <si>
    <t>The Evaluation of Nitric Oxide Generating Lozenges on Outcome in Newly Diagnosed COVID-19 Patient of African American and Hispanic Origin</t>
  </si>
  <si>
    <t>Nitric Oxide Innovations LLC</t>
  </si>
  <si>
    <t>NCT03437265</t>
  </si>
  <si>
    <t>A Pharmacokinetic Study of PLENVU® in Healthy Subjects</t>
  </si>
  <si>
    <t>Norgine</t>
  </si>
  <si>
    <t>NCT04544319</t>
  </si>
  <si>
    <t>Clinical Trial to Compare the PK of the Fixed-dose Combinations and Each Component of Gemigliptin/Dapagliflozin 50/10 mg</t>
  </si>
  <si>
    <t>NCT04088500</t>
  </si>
  <si>
    <t>A Study of Combination Nivolumab and Ipilimumab Retreatment in Patients With Advanced Renal Cell Carcinoma</t>
  </si>
  <si>
    <t>NCT04305392</t>
  </si>
  <si>
    <t>Pharmacokinetics, Pharmacodynamics and Safety of SHR4640 in Patients With Hepatic Impairment</t>
  </si>
  <si>
    <t>NCT04303039</t>
  </si>
  <si>
    <t>Study to Investigate the Effects of Food on Relative Bioavailability of ABP-671 Tablets in Healthy Subjects</t>
  </si>
  <si>
    <t>NCT05679830</t>
  </si>
  <si>
    <t>The Effects of CBD Isolate on Menstrual-Related Symptoms</t>
  </si>
  <si>
    <t>NCT04306900</t>
  </si>
  <si>
    <t>TTX-030 in Combination With Immunotherapy and/or Chemotherapy in Subjects With Advanced Cancers</t>
  </si>
  <si>
    <t>Trishula Therapeutics, Inc.</t>
  </si>
  <si>
    <t>NCT04258111</t>
  </si>
  <si>
    <t>IBI310 in Combination with Sintilimab in Patients with DNA Mismatch Repair Deficient (dMMR)/microsatellite Instability High (MSI-H) Locally-advanced or Metastatic Colorectal Cancer</t>
  </si>
  <si>
    <t>NCT04451330</t>
  </si>
  <si>
    <t>A Study to Compare Efficacy and Safety of Trifarotene Cream When Used With an Oral Antibiotic for the Treatment of Severe Acne Vulgaris (AV)</t>
  </si>
  <si>
    <t>NCT04656067</t>
  </si>
  <si>
    <t>Comparative Study Between Oxytocin Versus Tranexamic Acid and Ethamsylate</t>
  </si>
  <si>
    <t>Egymedicalpedia</t>
  </si>
  <si>
    <t>NCT04501107</t>
  </si>
  <si>
    <t>A Trial to Compare BioChaperone Insulin Lispro Formulations With US Approved Humalog® and With EU Approved Humalog® in Patients With Type 1 Diabetes Mellitus</t>
  </si>
  <si>
    <t>Adocia</t>
  </si>
  <si>
    <t>NCT04250207</t>
  </si>
  <si>
    <t>Study to Investigate the Safety and Efficacy of K-321 in Patients With Fuchs Endothelial Corneal Dystrophy (FECD) Following Descemetorhexis</t>
  </si>
  <si>
    <t>NCT04392219</t>
  </si>
  <si>
    <t>COVID-19 First In Human Study to Evaluate Safety, Tolerability, and Pharmacokinetics of EIDD-2801 in Healthy Volunteers</t>
  </si>
  <si>
    <t>Ridgeback Biotherapeutics, LP</t>
  </si>
  <si>
    <t>NCT04257136</t>
  </si>
  <si>
    <t>VBI-S for the Treatment of Hypotension in Hypovolemic Septic Shock Patients</t>
  </si>
  <si>
    <t>Vivacelle Bio</t>
  </si>
  <si>
    <t>NCT03934372</t>
  </si>
  <si>
    <t>Safety and Efficacy of Ponatinib for Treatment of Pediatric Recurrent or Refractory Leukemias, Lymphomas or Solid Tumors</t>
  </si>
  <si>
    <t>Incyte Biosciences International Sàrl</t>
  </si>
  <si>
    <t>NCT02149706</t>
  </si>
  <si>
    <t>A Study of NeuroVax™, a Novel Therapeutic TCR Peptide Vaccine for SPMS of Multiple Sclerosis</t>
  </si>
  <si>
    <t>NCT04596033</t>
  </si>
  <si>
    <t>TiTAN-1: Safety, Proliferation and Persistence of GEN-011 Autologous Cell Therapy</t>
  </si>
  <si>
    <t>Genocea Biosciences, Inc.</t>
  </si>
  <si>
    <t>NCT04491838</t>
  </si>
  <si>
    <t>Study of a Single Subcutaneous Dose of Pozelimab Produced From Two Different Manufacturing Processes in Healthy Adult Participants</t>
  </si>
  <si>
    <t>NCT04330248</t>
  </si>
  <si>
    <t>A Study of Steady-state Carbamazepine on the Single-dose of Erdafitinib Tablets in Healthy Adult Participants</t>
  </si>
  <si>
    <t>Johnson &amp; Johnson Pharmaceutical Research &amp; Development, L.L.C.</t>
  </si>
  <si>
    <t>NCT04883736</t>
  </si>
  <si>
    <t>A Study Comparing Tretinoin Gel Microsphere, 0.1% and RETIN-A MICRO ® Gel Microsphere, 0.1% in the Treatment of Acne Vulgaris</t>
  </si>
  <si>
    <t>NCT04379271</t>
  </si>
  <si>
    <t>A Study to Evaluate the Efficacy, Safety and Tolerability of IMU-838 as Addition to Investigator's Choice of Standard of Care Therapy, in Patients With Coronavirus Disease 19 (COVID-19)</t>
  </si>
  <si>
    <t>Immunic AG</t>
  </si>
  <si>
    <t>NCT04449926</t>
  </si>
  <si>
    <t>BCG and Plasma Amyloid in Non-Demented Adults</t>
  </si>
  <si>
    <t>Mindful Diagnostics and Therapeutics, LLC</t>
  </si>
  <si>
    <t>NCT04571515</t>
  </si>
  <si>
    <t>Dose-Response Study of MR-107A-01 in The Treatment of Post-Surgical Dental Pain</t>
  </si>
  <si>
    <t>Mylan Inc.</t>
  </si>
  <si>
    <t>NCT04543344</t>
  </si>
  <si>
    <t>Study To Evaluate The Pharmacokinetic, Safety And Tolerability Of Single Or Multiple Subcutaneous Doses of Recifercept</t>
  </si>
  <si>
    <t>NCT04819399</t>
  </si>
  <si>
    <t>Investigation of Safety and Tolerability of Catumaxomab in Patients With NMIBC</t>
  </si>
  <si>
    <t>Lindis Biotech GmbH</t>
  </si>
  <si>
    <t>NCT04400487</t>
  </si>
  <si>
    <t>Actigraphy Improvement With Voxelotor (ActIVe) Study</t>
  </si>
  <si>
    <t>NCT04195958</t>
  </si>
  <si>
    <t>A Study to Assess the Impact of Omalizumab on Exercise Capacity, Physical Activity, and Sleep Quality in Participants With Moderate to Severe Allergic Asthma</t>
  </si>
  <si>
    <t>NCT04390776</t>
  </si>
  <si>
    <t>Bioequivalence Study of PF-06651600 Capsules Relative to Tablets and Estimation of Food Effect on Capsules.</t>
  </si>
  <si>
    <t>NCT04475549</t>
  </si>
  <si>
    <t>Phase 2a Study of IW-6463 in Adults Diagnosed With Mitochondrial Encephalomyopathy, Lactic Acidosis, and Stroke-like Episodes (MELAS)</t>
  </si>
  <si>
    <t>Tisento Therapeutics</t>
  </si>
  <si>
    <t>NCT04434248</t>
  </si>
  <si>
    <t>An Adaptive Study of Favipiravir Compared to Standard of Care in Hospitalized Patients With COVID-19</t>
  </si>
  <si>
    <t>Chromis LLC</t>
  </si>
  <si>
    <t>NCT04421378</t>
  </si>
  <si>
    <t>A Study of Selinexor in Combination With Standard of Care Therapy for Newly Diagnosed or Recurrent Glioblastoma</t>
  </si>
  <si>
    <t>NCT04316585</t>
  </si>
  <si>
    <t>A Study to Evaluate the Benefit and Safety of GSK2982772 in Moderate to Severe Psoriasis Participants</t>
  </si>
  <si>
    <t>NCT04249843</t>
  </si>
  <si>
    <t>Study of Safety, Pharmacokinetics, and Antitumor Activity of BGB-3245 in Participants With Advanced or Refractory Tumors</t>
  </si>
  <si>
    <t>MapKure, LLC</t>
  </si>
  <si>
    <t>NCT04890509</t>
  </si>
  <si>
    <t>A Study of Bemcentinib for the Treatment of COVID-19 in Hospitalised Patients</t>
  </si>
  <si>
    <t>BerGenBio ASA</t>
  </si>
  <si>
    <t>NCT04507321</t>
  </si>
  <si>
    <t>Pharmacokinetics and Metabolism of 14 Carbon [14C]-GSK3640254</t>
  </si>
  <si>
    <t>NCT04657198</t>
  </si>
  <si>
    <t>Extension Study to Evaluate the Safety and Immunogenicity of a Revaccination Dose of the RSVPreF3 OA Investigational Vaccine in Adults 60 Years and Older Who Participated in the RSV OA=ADJ-002 Study</t>
  </si>
  <si>
    <t>NCT04520321</t>
  </si>
  <si>
    <t>A Phase 1/ Phase 2 Study of TTHX1114(NM141)</t>
  </si>
  <si>
    <t>Trefoil Therapeutics, Inc.</t>
  </si>
  <si>
    <t>NCT04488016</t>
  </si>
  <si>
    <t>A Study to Evaluate Relative Bioavailability, Proton Pump Inhibitor (PPI) (Rabeprazole) Effect, Food Effect and Particle Size Effect of New Acalabrutinib Tablet in Healthy Subjects</t>
  </si>
  <si>
    <t>NCT04551547</t>
  </si>
  <si>
    <t>Safety and Immunogenicity Study of Inactivated Vaccine for Prevention of COVID-19</t>
  </si>
  <si>
    <t>Sinovac Research and Development Co., Ltd.</t>
  </si>
  <si>
    <t>NCT04479800</t>
  </si>
  <si>
    <t>Effect of Food on the Pharmacokinetics of ASTX660 in Healthy Volunteers</t>
  </si>
  <si>
    <t>NCT06418607</t>
  </si>
  <si>
    <t>A Study of the Safety, Tolerability, and Bioequivalence of Orally Administered Venglustat in Healthy Adult Participants</t>
  </si>
  <si>
    <t>NCT05985187</t>
  </si>
  <si>
    <t>Clinical Study to Evaluate the Efficacy and Safety of TQB2440 Injection/Perjeta® Combined With Trastuzumab and Docetaxel in the Treatment of Patients With Early or Locally Advanced Breast Cancer.</t>
  </si>
  <si>
    <t>NCT04670809</t>
  </si>
  <si>
    <t>Safety and Efficacy Study of Clevidipine Butyrate Injection in Hypertensive Emergencies</t>
  </si>
  <si>
    <t>Nanjing Yoko Biomedical Co., Ltd.</t>
  </si>
  <si>
    <t>NCT04208399</t>
  </si>
  <si>
    <t>A Study to Evaluate the Effect of Hepatic Impairment on JNJ-56136379</t>
  </si>
  <si>
    <t>Janssen Sciences Ireland UC</t>
  </si>
  <si>
    <t>NCT04537793</t>
  </si>
  <si>
    <t>Evaluation of ELX/TEZ/IVA in Cystic Fibrosis (CF) Subjects 2 Through 5 Years</t>
  </si>
  <si>
    <t>NCT02904304</t>
  </si>
  <si>
    <t>Desloratadine,Phenylephrine Hcl,Ibuprofen Compared to Placebo in Treatment of Symptoms Associated With Common Cold/Flu</t>
  </si>
  <si>
    <t>NCT04253028</t>
  </si>
  <si>
    <t>Use of NERv's Inline Device as an Early Diagnostic Method for Anastomotic Leak.</t>
  </si>
  <si>
    <t>NCT04779892</t>
  </si>
  <si>
    <t>The Study of Infliximab (CMAB008 and Remicade) in Healthy Subjects to Compare the PK and Safety</t>
  </si>
  <si>
    <t>NCT04260009</t>
  </si>
  <si>
    <t>Pharmacokinetics, Safety, and Efficacy of Brigatinib Monotherapy in Pediatric and Young Adult Participants With ALK+ Anaplastic Large Cell Lymphoma, Inflammatory Myofibroblastic Tumors or Other Solid Tumors</t>
  </si>
  <si>
    <t>NCT04338321</t>
  </si>
  <si>
    <t>A Long-term Comparison of Esketamine Nasal Spray Versus Quetiapine Extended Release, Both in Combination With a Selective Serotonin Reuptake Inhibitor/Serotonin-Norepinephrine Reuptake Inhibitor, in Participants With Treatment Resistant Major Depressive Disorder</t>
  </si>
  <si>
    <t>Janssen-Cilag International NV</t>
  </si>
  <si>
    <t>NCT04456699</t>
  </si>
  <si>
    <t>Efficacy and Safety of Olaparib (MK-7339) With or Without Bevacizumab Compared to Bevacizumab With a Fluoropyrimidine in Unresectable or Metastatic Colorectal Cancer (CRC) (MK-7339-003/LYNK-003)</t>
  </si>
  <si>
    <t>NCT04419532</t>
  </si>
  <si>
    <t>A Study Evaluating DS-1055a in Participants With Relapsed or Refractory Locally Advanced or Metastatic Solid Tumors</t>
  </si>
  <si>
    <t>NCT04248361</t>
  </si>
  <si>
    <t>TEM-PCR™ Prospective Clinical Utility Study</t>
  </si>
  <si>
    <t>Diatherix Laboratories, LLC</t>
  </si>
  <si>
    <t>NCT04503902</t>
  </si>
  <si>
    <t>Toripalimab Combined With Donafenib in the Treatment of Advanced Hepatocellular Carcinoma</t>
  </si>
  <si>
    <t>NCT04088396</t>
  </si>
  <si>
    <t>A Study of Baricitinib (LY3009104) in Participants From 1 Year to Less Than 18 Years Old With Systemic Juvenile Idiopathic Arthritis (sJIA)</t>
  </si>
  <si>
    <t>NCT04279405</t>
  </si>
  <si>
    <t>A Phase Ib Study of YY-20394 in Participants With B-cell Hematologic Malignancies</t>
  </si>
  <si>
    <t>NCT04278131</t>
  </si>
  <si>
    <t>BS01 in Patients With Retinitis Pigmentosa</t>
  </si>
  <si>
    <t>Bionic Sight LLC</t>
  </si>
  <si>
    <t>NCT04236141</t>
  </si>
  <si>
    <t>A Study to Evaluate the Efficacy and Safety of Polatuzumab Vedotin in Combination With Bendamustine and Rituximab Compared With Bendamustine and Rituximab Alone in Chinese Patients With Relapsed or Refractory Diffuse Large B-cell Lymphoma (R/R DLBCL).</t>
  </si>
  <si>
    <t>NCT04217473</t>
  </si>
  <si>
    <t>TNFalpha and Interleukin 2 Coding Oncolytic Adenovirus TILT-123 During TIL Treatment of Advanced Melanoma</t>
  </si>
  <si>
    <t>TILT Biotherapeutics Ltd.</t>
  </si>
  <si>
    <t>NCT04123405</t>
  </si>
  <si>
    <t>Efficacy and Safety of Acetylcysteine for the Treatment of Acute Uncomplicated Rhinosinusitis</t>
  </si>
  <si>
    <t>NCT04619056</t>
  </si>
  <si>
    <t>First-in-man Clinical Trial of CEB-01 PLGA Membrane in Recurrent or Locally Advanced Retroperitoneal Soft Tissue Sarcoma</t>
  </si>
  <si>
    <t>CEBIOTEX</t>
  </si>
  <si>
    <t>NCT04693429</t>
  </si>
  <si>
    <t>Clinical Study for the Evaluation of Safety and Tolerability of PRO-172 Ophthalmic Solution+</t>
  </si>
  <si>
    <t>Laboratorios Sophia S.A de C.V.</t>
  </si>
  <si>
    <t>NCT04285580</t>
  </si>
  <si>
    <t>A Phase 3b Study Evaluating the 24-Hour Intraocular Pressure Lowering Effect of Bimatoprost SR in Patients With Open-Angle Glaucoma or Ocular Hypertension</t>
  </si>
  <si>
    <t>NCT04349969</t>
  </si>
  <si>
    <t>A Study to Evaluate the Safety, Pharmacokinetics, and Antitumor Activity of AK117 as Monotherapy or in Combination With AK104</t>
  </si>
  <si>
    <t>NCT06448962</t>
  </si>
  <si>
    <t>Phase 3 Study to Evaluate the Efficacy and Safety of Co-administrated AD-2021 and AD-2022</t>
  </si>
  <si>
    <t>NCT04205227</t>
  </si>
  <si>
    <t>ENB003 Plus Pembrolizumab Phase 1b/2a in Solid Tumors</t>
  </si>
  <si>
    <t>ENB Therapeutics, Inc</t>
  </si>
  <si>
    <t>NCT05318443</t>
  </si>
  <si>
    <t>A Study Exploring Efficacy of SIBP04 in Subjects With Non-squamous Non-small Cell Lung Cancer</t>
  </si>
  <si>
    <t>NCT04622735</t>
  </si>
  <si>
    <t>Nefopam/Paracetamol Fixed Dose Combination in Acute Pain After Impacted Third Molar Extraction</t>
  </si>
  <si>
    <t>Unither Pharmaceuticals, France</t>
  </si>
  <si>
    <t>NCT04056455</t>
  </si>
  <si>
    <t>A Study of Mobocertinib Capsules in People With Severe Kidney Problems and People With Healthy Kidneys</t>
  </si>
  <si>
    <t>NCT04410978</t>
  </si>
  <si>
    <t>Relapsing Forms of Multiple Sclerosis (RMS) Study of Bruton's Tyrosine Kinase (BTK) Inhibitor Tolebrutinib (SAR442168) (GEMINI 1)</t>
  </si>
  <si>
    <t>NCT04227210</t>
  </si>
  <si>
    <t>Safety and Immune Response to an Investigational Vaccine Against Respiratory Syncytial Virus in Healthy Adults</t>
  </si>
  <si>
    <t>Meissa Vaccines, Inc.</t>
  </si>
  <si>
    <t>NCT04339413</t>
  </si>
  <si>
    <t>A Study to Evaluate the Safety and Tolerability of Long-term Administration of Gantenerumab in Participants With Alzheimer's Disease (AD)</t>
  </si>
  <si>
    <t>NCT04155424</t>
  </si>
  <si>
    <t>A Study of the Safety and Activity of Eculizumab in Pediatric Participants With Relapsing Neuromyelitis Optica Spectrum Disorder</t>
  </si>
  <si>
    <t>NCT04357223</t>
  </si>
  <si>
    <t>NOGO for an Overactive Bladder</t>
  </si>
  <si>
    <t>SagaNatura</t>
  </si>
  <si>
    <t>NCT04683185</t>
  </si>
  <si>
    <t>A Study to Assess the Safety and Tolerability of E6742 in Japanese Healthy Adult Participants</t>
  </si>
  <si>
    <t>NCT04652297</t>
  </si>
  <si>
    <t>Safety, Tolerability and Pharmacokinetics of Single and Multiple Oral Administration of HS-10356 in Healthy Volunteers</t>
  </si>
  <si>
    <t>NCT04442178</t>
  </si>
  <si>
    <t>InterLeukin-7 to Improve Clinical Outcomes in Lymphopenic pAtients With COVID-19 Infection ( ILIAD-7-US-I )</t>
  </si>
  <si>
    <t>NCT04347915</t>
  </si>
  <si>
    <t>The Phase 2 Study to Evaluate the Safety and Efficacy of Clevudine in Patients With Moderate COVID-19</t>
  </si>
  <si>
    <t>Bukwang Pharmaceutical</t>
  </si>
  <si>
    <t>NCT04489940</t>
  </si>
  <si>
    <t>Bintrafusp Alfa in High Mobility Group AT-Hook 2 (HMGA2) Expressing Triple Negative Breast Cancer</t>
  </si>
  <si>
    <t>NCT04645524</t>
  </si>
  <si>
    <t>Crossover Trial of AD182 and AD504 in Obstructive Sleep Apnea</t>
  </si>
  <si>
    <t>NCT04390568</t>
  </si>
  <si>
    <t>A Trial in Healthy Chinese Volunteers to Test How Different Doses of BI 655130 Are Taken up in the Body</t>
  </si>
  <si>
    <t>NCT04217720</t>
  </si>
  <si>
    <t>SNS-301 Monotherapy in High Risk MDS and CMML</t>
  </si>
  <si>
    <t>Sensei Biotherapeutics, Inc.</t>
  </si>
  <si>
    <t>NCT04359680</t>
  </si>
  <si>
    <t>Trial to Evaluate the Efficacy and Safety of Nitazoxanide (NTZ) for Pre- and Post Exposure Prophylaxis of COVID-19 and Other Viral Respiratory Illnesses (VRI) in Healthcare Workers and Others at Increased Risk of SARS-CoV-2 Infection</t>
  </si>
  <si>
    <t>NCT04300647</t>
  </si>
  <si>
    <t>A Study of Tiragolumab Plus Atezolizumab and Atezolizumab Monotherapy in Participants With Metastatic and/or Recurrent PD-L1-Positive Cervical Cancer</t>
  </si>
  <si>
    <t>NCT04203797</t>
  </si>
  <si>
    <t>A Study to Evaluate the Effect of Dupilumab on Exercise Capacity in Adult Patients With Asthma</t>
  </si>
  <si>
    <t>NCT04442126</t>
  </si>
  <si>
    <t>A Study of NM21-1480 in Adult Patients With Advanced Solid Tumors</t>
  </si>
  <si>
    <t>Numab Therapeutics AG</t>
  </si>
  <si>
    <t>NCT04241549</t>
  </si>
  <si>
    <t>A Study of Cusatuzumab Plus Azacitidine in Japanese Participants With Newly Diagnosed Acute Myeloid Leukemia or High-risk Myelodysplastic Syndrome Who Are Not Candidates for Intensive Treatment</t>
  </si>
  <si>
    <t>OncoVerity, Inc.</t>
  </si>
  <si>
    <t>NCT04671017</t>
  </si>
  <si>
    <t>Dose Finding Study to Evaluate The Safety, Tolerability and Immunogenicity of an Inactiviated, Adjuvanted SARS-CoV-2 Virus Vaccine Candidate Against Covid-19 in Healthy Subjects</t>
  </si>
  <si>
    <t>NCT04449276</t>
  </si>
  <si>
    <t>A Study to Evaluate the Safety, Reactogenicity and Immunogenicity of Vaccine CVnCoV in Healthy Adults for COVID-19</t>
  </si>
  <si>
    <t>NCT04460027</t>
  </si>
  <si>
    <t>W-SUDs for COVID-19</t>
  </si>
  <si>
    <t>NCT03954613</t>
  </si>
  <si>
    <t>Evaluation of the Contribution of Regular Cognitive Exercises to Treatment in Patients With Alzheimer's Disease</t>
  </si>
  <si>
    <t>Neutec Ar-Ge San ve Tic A.Ş</t>
  </si>
  <si>
    <t>NCT04409262</t>
  </si>
  <si>
    <t>A Study to Evaluate the Efficacy and Safety of Remdesivir Plus Tocilizumab Compared With Remdesivir Plus Placebo in Hospitalized Participants With Severe COVID-19 Pneumonia</t>
  </si>
  <si>
    <t>NCT04489303</t>
  </si>
  <si>
    <t>Virtual Patient Behavioral Response Training for Family Caregivers</t>
  </si>
  <si>
    <t>NCT04552470</t>
  </si>
  <si>
    <t>A Study to Evaluate the Safety, Tolerability, Pharmacokinetics and Pharmacodynamics of PF-06882961 in Japanese Adults With Type 2 Diabetes Mellitus</t>
  </si>
  <si>
    <t>NCT04420689</t>
  </si>
  <si>
    <t>Bevonescein to Highlight Nerves in Patients Undergoing Head &amp; Neck Surgery</t>
  </si>
  <si>
    <t>Alume Biosciences, Inc.</t>
  </si>
  <si>
    <t>NCT04233879</t>
  </si>
  <si>
    <t>Study of Doravirine/Islatravir (DOR/ISL 100 mg/0.75 mg) to Evaluate the Antiretroviral Activity, Safety, and Tolerability in Treatment-Naïve Participants With Human Immunodeficiency Virus Type 1 (HIV-1) Infection (MK-8591A-020)</t>
  </si>
  <si>
    <t>NCT04348890</t>
  </si>
  <si>
    <t>Proof of Concept Trial of Vamorolone in Pediatric Ulcerative Colitis</t>
  </si>
  <si>
    <t>ReveraGen BioPharma, Inc.</t>
  </si>
  <si>
    <t>NCT04583423</t>
  </si>
  <si>
    <t>A Study of MK-3655 in Individuals With Pre-cirrhotic Nonalcoholic Steatohepatitis (NASH) (MK-3655-001)</t>
  </si>
  <si>
    <t>NCT05188924</t>
  </si>
  <si>
    <t>Efficacy and Safety of DKF-306 in Patients With Periodontal Diseases</t>
  </si>
  <si>
    <t>NCT04623996</t>
  </si>
  <si>
    <t>A Study of TP-0184 to Treat Anemia in Adults With IPSS-R Low or Intermediate Risk MDS</t>
  </si>
  <si>
    <t>NCT03774082</t>
  </si>
  <si>
    <t>Activity, Safety and Pharmacokinetics in Pediatric Subjects With Moderate and Severe Chronic Graft vs. Host Disease After Allogeneic Stem Cell Transplant</t>
  </si>
  <si>
    <t>NCT04586920</t>
  </si>
  <si>
    <t>A Study of LY3509754 in Healthy Non-Japanese and Japanese Participants</t>
  </si>
  <si>
    <t>NCT04202679</t>
  </si>
  <si>
    <t>Study of Dupilumab for the Treatment of Patients With Prurigo Nodularis, Inadequately Controlled on Topical Prescription Therapies or When Those Therapies Are Not Advisable (PRIME2)</t>
  </si>
  <si>
    <t>NCT04539262</t>
  </si>
  <si>
    <t>Study in Participants With Early Stage Coronavirus Disease 2019 (COVID-19) to Evaluate the Safety, Efficacy, and Pharmacokinetics of Remdesivir Administered by Inhalation</t>
  </si>
  <si>
    <t>NCT04632927</t>
  </si>
  <si>
    <t>Efficacy of Secukinumab Compared to Ustekinumab in Adults With Active Psoriatic Arthritis and Failure of TNFα-Inhibitor Treatment</t>
  </si>
  <si>
    <t>NCT04488978</t>
  </si>
  <si>
    <t>Phase 2 Study to Evaluate the Efficacy and Safety of Irbesartan and Amlodipine Combined or Alone in Patients With Essential Hypetension</t>
  </si>
  <si>
    <t>NCT04199104</t>
  </si>
  <si>
    <t>A Study of Pembrolizumab (MK-3475) With or Without Lenvatinib (E7080/MK-7902) as First Line (1L) Intervention in a Programmed Cell Death-ligand 1 (PD-L1) Selected Population With Recurrent or Metastatic Head and Neck Squamous Cell Carcinoma (R/M HNSCC) (MK-7902-010) (KEYNOTE-010)</t>
  </si>
  <si>
    <t>NCT04166552</t>
  </si>
  <si>
    <t>Evaluation of Safety, Tolerability and Preliminary Efficacy of EHP-101 in Diffuse Cutaneous Systemic Sclerosis</t>
  </si>
  <si>
    <t>Emerald Health Pharmaceuticals</t>
  </si>
  <si>
    <t>NCT04524052</t>
  </si>
  <si>
    <t>To Evaluate Safety, Tolerability, Pharmacodynamics, and Pharmacokinetics of DWRX2003 Against COVID-19</t>
  </si>
  <si>
    <t>NCT04167358</t>
  </si>
  <si>
    <t>Linerixibat Long-term Safety, and Tolerability Study</t>
  </si>
  <si>
    <t>NCT04472650</t>
  </si>
  <si>
    <t>Relative Bioavailability of Two Different Capsule Formulations of Sitravatinib in Healthy Adults</t>
  </si>
  <si>
    <t>NCT04568174</t>
  </si>
  <si>
    <t>First in Human Study to Test the Safety and Preliminary Efficacy of PPSGG in Patients With Anti-MAG Neuropathy</t>
  </si>
  <si>
    <t>Polyneuron Pharmaceuticals AG</t>
  </si>
  <si>
    <t>NCT04274933</t>
  </si>
  <si>
    <t>A Study to Evaluate the Safety and Tolerability of Venetoclax Tablets in Combination With Capecitabine Tablets in Adult Participants With Hormone Receptor-Positive, HER2-Negative Locally Advanced or Metastatic Breast Cancer Who Had Disease Progression During or After CDK4/6 Inhibitor Therapy</t>
  </si>
  <si>
    <t>NCT04591717</t>
  </si>
  <si>
    <t>COVID-19 Vaccination Using a 2nd Generation (E1/E2B/E3-Deleted) Adenoviral-COVID-19 in Normal Healthy Volunteers</t>
  </si>
  <si>
    <t>NCT04324268</t>
  </si>
  <si>
    <t>A Study to Evaluate Safety, Tolerability, and Bioavailability of Subcutaneous Lirentelimab (AK002) in Adult Healthy Volunteers</t>
  </si>
  <si>
    <t>NCT04269538</t>
  </si>
  <si>
    <t>Evaluation of Safety, Tolerability and Pharmacokinetics of Single Dose of PF-06480605 in Japanese Healthy Participants</t>
  </si>
  <si>
    <t>Telavant, Inc.</t>
  </si>
  <si>
    <t>NCT04389840</t>
  </si>
  <si>
    <t>Dociparstat for the Treatment of Severe COVID-19 in Adults at High Risk of Respiratory Failure</t>
  </si>
  <si>
    <t>NCT04501874</t>
  </si>
  <si>
    <t>A Study to Evaluate EMB 001 in Subjects With Cocaine Use Disorder</t>
  </si>
  <si>
    <t>Embera NeuroTherapeutics, Inc.</t>
  </si>
  <si>
    <t>NCT04474197</t>
  </si>
  <si>
    <t>Evaluation of the Efficacy and Safety of VX-864 in Subjects With the PiZZ Genotype</t>
  </si>
  <si>
    <t>NCT04119843</t>
  </si>
  <si>
    <t>Safety and Diagnostic Efficacy of Mangoral in Participants With Focal Liver Lesions and Reduced Kidney Function</t>
  </si>
  <si>
    <t>Ascelia Pharma AB</t>
  </si>
  <si>
    <t>NCT04592484</t>
  </si>
  <si>
    <t>A First-in-Human Study of CDK-002 (exoSTING) in Subjects With Advanced/Metastatic, Recurrent, Injectable Solid Tumors</t>
  </si>
  <si>
    <t>Codiak BioSciences</t>
  </si>
  <si>
    <t>NCT04524949</t>
  </si>
  <si>
    <t>IMCY-0098 Proof of ACtion in Type 1 Diabetes (IMPACT Study)</t>
  </si>
  <si>
    <t>Imcyse SA</t>
  </si>
  <si>
    <t>NCT04478448</t>
  </si>
  <si>
    <t>Bioequivalence Study of Favipiravir From Flupirava 200 mg Tablet (European Egyptian Pharmaceutical Industries , Egypt) Versus Avigan 200 mg Tablets (Man. by Toyama Chemical Co., Ltd Japan)</t>
  </si>
  <si>
    <t>NCT04735978</t>
  </si>
  <si>
    <t>Study of RP3 Monotherapy and RP3 in Combination With Nivolumab in Patients With Solid Tumours</t>
  </si>
  <si>
    <t>NCT04515043</t>
  </si>
  <si>
    <t>EXPLORATORY STUDY Addendum to INVAC1-CT-101 (NCT02301754)</t>
  </si>
  <si>
    <t>Invectys</t>
  </si>
  <si>
    <t>NCT04469595</t>
  </si>
  <si>
    <t>A Study of Intravitreal ILUVIEN® Implant as Baseline Therapy in Patients With Early Diabetic Macular Edema (DME)</t>
  </si>
  <si>
    <t>Alimera Sciences</t>
  </si>
  <si>
    <t>NCT04564456</t>
  </si>
  <si>
    <t>A Pivotal Bioequivalence Study Between Fluticasone Propionate 500 mcg and Salmeterol Xinafoate 50 mcg Inhalation Powder/Respirent Pharmaceuticals vs. ADVAIR DISKUS® 500/50 Inhalation Powder/GSK in Healthy Volunteers</t>
  </si>
  <si>
    <t>NCT04606537</t>
  </si>
  <si>
    <t>Drug to Drug Interaction Study of KBP-5074 in Healthy Subjects</t>
  </si>
  <si>
    <t>NCT04484623</t>
  </si>
  <si>
    <t>Belantamab Mafodotin Plus Pomalidomide and Dexamethasone (Pd) Versus Bortezomib Plus Pd in Relapsed/Refractory Multiple Myeloma</t>
  </si>
  <si>
    <t>NCT04448561</t>
  </si>
  <si>
    <t>A Study to Assess the Safety, Tolerability and Pharmacokinetics of Multiple Doses of ASP8062 With a Single Dose of Morphine in Recreational Opioid Using Participants</t>
  </si>
  <si>
    <t>NCT04109456</t>
  </si>
  <si>
    <t>IN10018 Monotherapy and Combination Therapy for Metastatic Melanoma</t>
  </si>
  <si>
    <t>NCT04656795</t>
  </si>
  <si>
    <t>PK Study in Subjects With Renal Impairment (Severe and if Required Mild &amp; Moderate) Compared to Subjects With Normal Renal Function</t>
  </si>
  <si>
    <t>NCT04030169</t>
  </si>
  <si>
    <t>Open Label Study of MDMA-assisted Psychotherapy for Treatment of PTSD With Optional fMRI Sub-Study</t>
  </si>
  <si>
    <t>MAPS Europe B.V.</t>
  </si>
  <si>
    <t>NCT04527354</t>
  </si>
  <si>
    <t>Pilot Study to Assess Efficacy and Safety of Treamid in the Rehabilitation of Patients After COVID-19 Pneumonia</t>
  </si>
  <si>
    <t>PHARMENTERPRISES LLC</t>
  </si>
  <si>
    <t>NCT04218266</t>
  </si>
  <si>
    <t>Study to Gather Information About the Proper Dosing of the Oral FXIa Inhibitor BAY 2433334 and to Compare the Safety of the Study Drug to Apixaban, a Non-vitamin K Oral Anticoagulant (NOAC) in Patients With Irregular Heartbeat (Atrial Fibrillation) That Can Lead to Heart-related Complications.</t>
  </si>
  <si>
    <t>NCT04030195</t>
  </si>
  <si>
    <t>Dose-escalation Study of Safety of PBCAR20A in Subjects With r/r NHL or r/r CLL/SLL</t>
  </si>
  <si>
    <t>Precision BioSciences, Inc.</t>
  </si>
  <si>
    <t>NCT03915431</t>
  </si>
  <si>
    <t>A Study of NCS-01 in Patients With Acute Ischemic Stroke</t>
  </si>
  <si>
    <t>NC Medial Research Inc</t>
  </si>
  <si>
    <t>NCT04498169</t>
  </si>
  <si>
    <t>A Phase 2 Study Evaluating the Safety and Efficacy of Netarsudil Ophthalmic Solution in Patients With Corneal Edema Due to Fuchs Corneal Dystrophy</t>
  </si>
  <si>
    <t>NCT04492683</t>
  </si>
  <si>
    <t>Diagnostic Accuracy and Safety of DBV1605 for the Diagnosis of Non-IgE Mediated Cow's Milk Allergy in Children</t>
  </si>
  <si>
    <t>DBV Technologies</t>
  </si>
  <si>
    <t>NCT04478695</t>
  </si>
  <si>
    <t>Study of AMG 330 in Combination With Pembrolizumab in Adult With Relapsed or Refractory Acute Myeloid Leukemia</t>
  </si>
  <si>
    <t>NCT04468607</t>
  </si>
  <si>
    <t>A Study of BLYG8824A in Participants With Locally Advanced or Metastatic Colorectal Cancer</t>
  </si>
  <si>
    <t>NCT04611971</t>
  </si>
  <si>
    <t>A Study Validating the Use of Candin as a Challenge Agent in Healthy Participants - Intervention Specific Appendix 2</t>
  </si>
  <si>
    <t>NCT04250506</t>
  </si>
  <si>
    <t>A Study to Assess the Effect of Single Doses of Daridorexant on Electrocardiogram Parameters in Healthy Subjects</t>
  </si>
  <si>
    <t>NCT00117936</t>
  </si>
  <si>
    <t>Fibroblast Growth Factor-1 (FGF-1) for the Treatment of Coronary Heart Disease</t>
  </si>
  <si>
    <t>NCT04215809</t>
  </si>
  <si>
    <t>Study of APG-2575 as a Single Agent or in Combination With Other Therapeutic Agents for CLL/SLL</t>
  </si>
  <si>
    <t>NCT04315493</t>
  </si>
  <si>
    <t>Effect of Low-fat Diet on the Pharmacokinetics of Pyrotinib in Healthy Participants</t>
  </si>
  <si>
    <t>NCT04537234</t>
  </si>
  <si>
    <t>Study to Assess the Immune Response and the Safety Profile of a High-Dose Quadrivalent Influenza Vaccine (QIV-HD) Compared to a Standard-Dose Quadrivalent Influenza Vaccine (QIV-SD) in Taiwanese Adults 65 Years of Age and Older</t>
  </si>
  <si>
    <t>NCT04170998</t>
  </si>
  <si>
    <t>Efficacy and Safety of Evogliptin When Added to Ongoing Metformin and Dapagliflozin Combination Therapy in Patients With Type 2 Diabetes Who Have Inadequate Glycemic Control</t>
  </si>
  <si>
    <t>NCT04470128</t>
  </si>
  <si>
    <t>A Study Evaluating the Efficacy and Safety of HSK21542 Injection for Analgesia in Subjects Undergoing Colonoscopy</t>
  </si>
  <si>
    <t>NCT04711187</t>
  </si>
  <si>
    <t>Study of AT-527 in Healthy Subjects (R07496998)</t>
  </si>
  <si>
    <t>NCT04685993</t>
  </si>
  <si>
    <t>A Study of the Safety and Tolerability of LPCN 1144 in Subjects Who Completed the LPCN 1144-18-002 Trial</t>
  </si>
  <si>
    <t>Lipocine Inc.</t>
  </si>
  <si>
    <t>NCT04461119</t>
  </si>
  <si>
    <t>Study to Determine the Safety, Tolerability, and Efficacy of Evenamide in Patients With Chronic Schizophrenia</t>
  </si>
  <si>
    <t>Newron Pharmaceuticals SPA</t>
  </si>
  <si>
    <t>NCT04496167</t>
  </si>
  <si>
    <t>Safety and Efficacy of EN3835 in Participants With Frozen Shoulder</t>
  </si>
  <si>
    <t>NCT04532567</t>
  </si>
  <si>
    <t>A Study to Evaluate the Safety, Tolerability, and Pharmacokinetics of GLPG1205 in Healthy Japanese and Caucasian Male Subjects</t>
  </si>
  <si>
    <t>NCT04670263</t>
  </si>
  <si>
    <t>Evaluating the Efficacy of Dry Eye (DE) Disease Treatment Using Novel Tear Film Imager (TFI)</t>
  </si>
  <si>
    <t>Adom Advanced Optical Technologies Ltd.</t>
  </si>
  <si>
    <t>NCT04514419</t>
  </si>
  <si>
    <t>Treatment of Breast Cancer With Trastuzumab + HS627/ Pertuzumab + Docetaxel</t>
  </si>
  <si>
    <t>NCT04277598</t>
  </si>
  <si>
    <t>A Study to Evaluate Safety and Efficacy of APO-2 at Three Different Doses in Patients With Diabetic Foot Ulcer</t>
  </si>
  <si>
    <t>Aposcience AG</t>
  </si>
  <si>
    <t>NCT04486001</t>
  </si>
  <si>
    <t>Study of Intravenous Administration of Allogeneic Adipose Stem Cells for COVID-19</t>
  </si>
  <si>
    <t>NCT04410367</t>
  </si>
  <si>
    <t>Study to Establish Image Interpretation Criteria for 18F Fluciclovine PET in Detecting Recurrent Brain Metastases (PURSUE)</t>
  </si>
  <si>
    <t>NCT04234607</t>
  </si>
  <si>
    <t>A Study of TQB2450 or Placebo Combined With Anlotinib, Etoposide and Carboplatin Versus Etoposide and Carboplatin in Subjects With Extensive Small Cell Lung Cancer (ETER701)</t>
  </si>
  <si>
    <t>NCT04624867</t>
  </si>
  <si>
    <t>Study Will Assess Skin Irritation and Sensitization for HP-1050 Patch</t>
  </si>
  <si>
    <t>NCT05274100</t>
  </si>
  <si>
    <t>Study of Intravenous and Subcutaneous Administration of Risankizumab in Healthy Participants</t>
  </si>
  <si>
    <t>NCT04421911</t>
  </si>
  <si>
    <t>A Study to Assess Efficacy and Safety of the Ketoprofen vs Diclofenac</t>
  </si>
  <si>
    <t>NCT04644809</t>
  </si>
  <si>
    <t>A Study of LY3561774 in Participants With Dyslipidemia</t>
  </si>
  <si>
    <t>NCT04417530</t>
  </si>
  <si>
    <t>Phase 2 Trial to Evaluate Belzupacap Sarotalocan (AU-011) Via Suprachoroidal Administration in Subjects With Primary Indeterminate Lesions and Small Choroidal Melanoma</t>
  </si>
  <si>
    <t>Aura Biosciences</t>
  </si>
  <si>
    <t>NCT04419636</t>
  </si>
  <si>
    <t>Binding of Lu AG06466 in the Brain in Healthy Men</t>
  </si>
  <si>
    <t>NCT04622332</t>
  </si>
  <si>
    <t>A Pilot Study to Assess Safety and Efficacy of SIR1-365 in Patients With Severe COVID-19</t>
  </si>
  <si>
    <t>Sironax USA, Inc.</t>
  </si>
  <si>
    <t>NCT04364399</t>
  </si>
  <si>
    <t>Clinical Trial to Evaluate the Safety and Immunogenicity of Mumps Vaccine</t>
  </si>
  <si>
    <t>Sinovac (Dalian) Vaccine Technology Co., Ltd.</t>
  </si>
  <si>
    <t>NCT04348175</t>
  </si>
  <si>
    <t>A Phase 1 Study to Evaluate the Pharmacokinetics of Setmelanotide in Subjects With Varying Degrees of Renal Impairment</t>
  </si>
  <si>
    <t>Rhythm Pharmaceuticals, Inc.</t>
  </si>
  <si>
    <t>NCT04172441</t>
  </si>
  <si>
    <t>Trial Evaluating Efficacy and Safety of Dasiglucagon in Children With Congenital Hyperinsulinism</t>
  </si>
  <si>
    <t>NCT04521296</t>
  </si>
  <si>
    <t>Efficacy and Safety of DWJ1248 in Patients With Mild to Moderate COVID-19 Compared to the Placebo</t>
  </si>
  <si>
    <t>NCT05418803</t>
  </si>
  <si>
    <t>BE Study of Two Formulations of Rivaroxaban 2.5 mg in Healthy Subjects</t>
  </si>
  <si>
    <t>Yuhan Corporation</t>
  </si>
  <si>
    <t>NCT04388254</t>
  </si>
  <si>
    <t>Simufilam (PTI-125), 100 mg, for Mild-to-moderate Alzheimer's Disease Patients</t>
  </si>
  <si>
    <t>Cassava Sciences, Inc.</t>
  </si>
  <si>
    <t>NCT04256629</t>
  </si>
  <si>
    <t>A Study to Assess the Effect of Verinurad on the Electric Activity of the Heart</t>
  </si>
  <si>
    <t>NCT04417088</t>
  </si>
  <si>
    <t>Exablate Blood-Brain Barrier Disruption for the Treatment of rGBM in Subjects Undergoing Carboplatin Monotherapy</t>
  </si>
  <si>
    <t>InSightec</t>
  </si>
  <si>
    <t>NCT04186156</t>
  </si>
  <si>
    <t>A Study of Selective HDAC6 Inhibition With KA2507 in Advanced Biliary Tract Cancer</t>
  </si>
  <si>
    <t>Karus Therapeutics Limited</t>
  </si>
  <si>
    <t>NCT04773431</t>
  </si>
  <si>
    <t>Safety Evaluation of LSCD101 Transplantation for Limbal Stem Cell Deficiency</t>
  </si>
  <si>
    <t>CliPS Co., Ltd</t>
  </si>
  <si>
    <t>NCT05604794</t>
  </si>
  <si>
    <t>A Retrospective Effectiveness Trial of Ketamine-Assisted Psychotherapy in Adult Patients Coping With Mental Health</t>
  </si>
  <si>
    <t>Field Trip Health</t>
  </si>
  <si>
    <t>NCT04433546</t>
  </si>
  <si>
    <t>Pemziviptadil (PB1046), a Long-acting, Sustained Release Human VIP Analogue, Intended to Provide Clinical Improvement to Hospitalized COVID-19 Patients at High Risk for Rapid Clinical Deterioration and Acute Respiratory Distress Syndrome (ARDS).</t>
  </si>
  <si>
    <t>PhaseBio Pharmaceuticals Inc.</t>
  </si>
  <si>
    <t>NCT04712903</t>
  </si>
  <si>
    <t>Durvalumab Plus Chemotherapy in Untreated Patients With Extensive-Stage Small Cell Lung Cancer</t>
  </si>
  <si>
    <t>NCT04451083</t>
  </si>
  <si>
    <t>Multiple-dose Study of FOY-305 in Japanese Healthy Adult Male Subjects</t>
  </si>
  <si>
    <t>NCT04150029</t>
  </si>
  <si>
    <t>A Study of MBG453 in Combination With Azacitidine and Venetoclax in AML Patients Unfit for Chemotherapy</t>
  </si>
  <si>
    <t>NCT04293029</t>
  </si>
  <si>
    <t>Pharmacokinetics and Safety of SHR0302 in Patients With Hepatic Impairment</t>
  </si>
  <si>
    <t>NCT04683354</t>
  </si>
  <si>
    <t>Study of HL-085 in Patients With Advanced Solid Tumor Tumors</t>
  </si>
  <si>
    <t>Kechow Pharma, Inc.</t>
  </si>
  <si>
    <t>NCT04482257</t>
  </si>
  <si>
    <t>Bioequivalence Study of Irinotecan Liposome Injection in Chinese Advanced Pancreatic Cancer.</t>
  </si>
  <si>
    <t>CSPC Ouyi Pharmaceutical Co., Ltd.</t>
  </si>
  <si>
    <t>NCT04358393</t>
  </si>
  <si>
    <t>A Study of APG-115 Alone or Combined With Azacitidine in Patients With AML, CMML, or MDS</t>
  </si>
  <si>
    <t>NCT04378010</t>
  </si>
  <si>
    <t>A Randomized, Double-blind Study to Assess the Safety and Efficacy of EDP-305 in Subjects With Liver-biopsy Proven NASH</t>
  </si>
  <si>
    <t>NCT06181006</t>
  </si>
  <si>
    <t>A Study to Evaluate Pirtobrutinib (LOXO-305) in Healthy Adult Participants</t>
  </si>
  <si>
    <t>NCT04667533</t>
  </si>
  <si>
    <t>Desidustat in the Treatment of Chemotherapy Induced Anemia</t>
  </si>
  <si>
    <t>Zydus Lifesciences Limited</t>
  </si>
  <si>
    <t>NCT04223843</t>
  </si>
  <si>
    <t>A Study to Test the Combination of Tiotropium and Olodaterol Using the Respimat® Inhaler in People With Chronic Obstructive Pulmonary Disease (COPD) Who Have Different Abilities to Inhale</t>
  </si>
  <si>
    <t>NCT03658213</t>
  </si>
  <si>
    <t>To Compare ZOLADEX 10.8 mg With ZOLADEX 3.6mg in Chinese Pre-menopausal ER+ HER2- Early Breast Cancer.</t>
  </si>
  <si>
    <t>NCT04686916</t>
  </si>
  <si>
    <t>Clinical Trial Studying the Efficacy and Safety of IP2018 in Depressed, Erectile Dysfunction (ED) Patients</t>
  </si>
  <si>
    <t>Initiator Pharma</t>
  </si>
  <si>
    <t>NCT04299048</t>
  </si>
  <si>
    <t>Study to Assess the Safety and Tolerability of Repeated Doses of an Investigational New Drug in Patients With Cancer and Cachexia.</t>
  </si>
  <si>
    <t>NCT04348435</t>
  </si>
  <si>
    <t>A Randomized, Double-Blind, Single Center, Efficacy and Safety Study of Allogeneic HB-adMSCs Against COVID-19.</t>
  </si>
  <si>
    <t>NCT04779606</t>
  </si>
  <si>
    <t>Efficacy, Safety and Local Tolerability Study of Chloroprocaine 3% Gel Eye Drops in Healthy Volunteers</t>
  </si>
  <si>
    <t>NCT04433585</t>
  </si>
  <si>
    <t>A Study of LY3471851 in Adults With Systemic Lupus Erythematosus (SLE)</t>
  </si>
  <si>
    <t>NCT04511650</t>
  </si>
  <si>
    <t>Evaluation of the Safety and Efficacy of Razuprotafib in Hospitalized Subjects With Coronavirus Disease 2019</t>
  </si>
  <si>
    <t>NCT04223804</t>
  </si>
  <si>
    <t>A Study to Evaluate the Safety, Pharmacokinetics and Pharmacodynamics of ABBV-181 (Budigalimab) in Adult Participants With Human Immunodeficiency Virus (HIV)-1</t>
  </si>
  <si>
    <t>NCT04208178</t>
  </si>
  <si>
    <t>Study of Alpelisib (BYL719) in Combination With Trastuzumab and Pertuzumab as Maintenance Therapy in Patients With HER2-positive Advanced Breast Cancer With a PIK3CA Mutation</t>
  </si>
  <si>
    <t>NCT04127578</t>
  </si>
  <si>
    <t>Phase 1/2a Clinical Trial of PR001 (LY3884961) in Patients With Parkinson's Disease With at Least One GBA1 Mutation (PROPEL)</t>
  </si>
  <si>
    <t>Prevail Therapeutics</t>
  </si>
  <si>
    <t>NCT04225117</t>
  </si>
  <si>
    <t>A Study to Evaluate Enfortumab Vedotin in Subjects With Locally Advanced or Metastatic Malignant Solid Tumors (EV-202)</t>
  </si>
  <si>
    <t>NCT04432324</t>
  </si>
  <si>
    <t>Study to Evaluate the Safety and Efficacy of High Dose IVIG in Hospitalized Participants With Coronavirus Disease (COVID-19)</t>
  </si>
  <si>
    <t>Instituto Grifols, S.A.</t>
  </si>
  <si>
    <t>NCT04425291</t>
  </si>
  <si>
    <t>Evaluate the Immunogenicity and Safety of 4-valent and 9-valent HPV Recombinant Vaccine in Chinese Healthy Females</t>
  </si>
  <si>
    <t>Shanghai Bovax Biotechnology Co., Ltd.</t>
  </si>
  <si>
    <t>NCT04289285</t>
  </si>
  <si>
    <t>Safety and Efficacy of IBI306 in Chinese Subjects With Non-familial Hypercholesterolemia</t>
  </si>
  <si>
    <t>NCT04190823</t>
  </si>
  <si>
    <t>A Study of RC98 in Subjects With Advanced Malignant Solid Tumors</t>
  </si>
  <si>
    <t>NCT04434768</t>
  </si>
  <si>
    <t>Evaluate the Safety and Explore Efficacy of Umbilical Cord Mesenchymal Stem Cells in Acute Ischemic Stroke</t>
  </si>
  <si>
    <t>NCT03875183</t>
  </si>
  <si>
    <t>Study to Evaluate Effects of INL1 in Patients With Heart Failure and Reduced Ejection Fraction</t>
  </si>
  <si>
    <t>Innolife Co., Ltd.</t>
  </si>
  <si>
    <t>NCT04456296</t>
  </si>
  <si>
    <t>A Study of the Effect of Testosterone Replacement Therapy on Blood Pressure in Adult Male Participants With Hypogonadism</t>
  </si>
  <si>
    <t>NCT04264442</t>
  </si>
  <si>
    <t>Efficacy and Safety of Losmapimod in Treating Subjects With Facioscapulohumeral Muscular Dystrophy (FSHD) With Open-Label Extension (OLE)</t>
  </si>
  <si>
    <t>Fulcrum Therapeutics</t>
  </si>
  <si>
    <t>NCT04246190</t>
  </si>
  <si>
    <t>A Clinical Study to Evaluate the Pharmacokinetics and Safety of CKD-396</t>
  </si>
  <si>
    <t>NCT04445389</t>
  </si>
  <si>
    <t>Safety and Immunogenicity Study of GX-19, a COVID-19 Preventive DNA Vaccine in Healthy Adults</t>
  </si>
  <si>
    <t>Genexine, Inc.</t>
  </si>
  <si>
    <t>NCT04240223</t>
  </si>
  <si>
    <t>A Study to Investigate the Use of Delayed Release Tablets for Colonic Delivery of Brilacidin in Healthy Volunteers</t>
  </si>
  <si>
    <t>Innovation Pharmaceuticals, Inc.</t>
  </si>
  <si>
    <t>NCT04023396</t>
  </si>
  <si>
    <t>Efficacy and Safety Study of ABX464 as Maintenance Therapy in Patients With Moderate to Severe Ulcerative Colitis</t>
  </si>
  <si>
    <t>NCT04442269</t>
  </si>
  <si>
    <t>Investigating Treatment With Dupilumab in Patients With Allergic Bronchopulmonary Aspergillosis (ABPA) (LIBERTY ABPA AIRED)</t>
  </si>
  <si>
    <t>NCT04341090</t>
  </si>
  <si>
    <t>A Food Effect Study of Apatinib Mesylate in Healthy Subjects</t>
  </si>
  <si>
    <t>NCT04118088</t>
  </si>
  <si>
    <t>A Study of Darvadstrocel in Adults With Crohn's Disease and Complex Perianal Fistula</t>
  </si>
  <si>
    <t>NCT04342273</t>
  </si>
  <si>
    <t>A Through QT/QTc Study of KW-6356</t>
  </si>
  <si>
    <t>Kyowa Kirin Co., Ltd.</t>
  </si>
  <si>
    <t>NCT04709224</t>
  </si>
  <si>
    <t>Pharmacokinetics, Safety, and Tolerability of Lumateperone Long-Acting Injectable in Patients With Schizophrenia</t>
  </si>
  <si>
    <t>NCT04626479</t>
  </si>
  <si>
    <t>Substudy 03A: A Study of Immune and Targeted Combination Therapies in Participants With First Line (1L) Renal Cell Carcinoma (MK-3475-03A)</t>
  </si>
  <si>
    <t>NCT04400188</t>
  </si>
  <si>
    <t>A Study of Fluzoparib (SHR-3162) and Temozolomide With or Without SHR-1316 in Treating Patients With Replapsed Small Cell Lung Cancer</t>
  </si>
  <si>
    <t>NCT04356742</t>
  </si>
  <si>
    <t>Efficacy and Safety of Dapagliflozin When Added to Ongoing Metformin and Evogliptin Combination Therapy in Patients With Type 2 Diabetes Who Have Inadequate Glycemic Control</t>
  </si>
  <si>
    <t>NCT04571996</t>
  </si>
  <si>
    <t>Blood-Brain Barrier Penetration of Therapeutic Agents in Human</t>
  </si>
  <si>
    <t>Orion Corporation, Orion Pharma</t>
  </si>
  <si>
    <t>NCT02582996</t>
  </si>
  <si>
    <t>Cefalium® Compared to Tylenol® in the Treatment of Migraine Attacks</t>
  </si>
  <si>
    <t>NCT04469686</t>
  </si>
  <si>
    <t>Phase 3 Study to Evaluate the Safety and Efficacy of Hydrocortisone Acetate Suppositories</t>
  </si>
  <si>
    <t>Cristcot LLC</t>
  </si>
  <si>
    <t>NCT04426669</t>
  </si>
  <si>
    <t>A Study of Metastatic Gastrointestinal Cancers Treated With Tumor Infiltrating Lymphocytes in Which the Gene Encoding the Intracellular Immune Checkpoint CISH Is Inhibited Using CRISPR Genetic Engineering</t>
  </si>
  <si>
    <t>Intima Bioscience, Inc.</t>
  </si>
  <si>
    <t>NCT04384666</t>
  </si>
  <si>
    <t>A Randomized, Open-Label, Crossover Study to Evaluate the Pharmacokinetic Profiles of Rotigotine After a Single Dose of LY03003 (28 mg) Versus After a Week of Daily NEUPRO® Transdermal Patch (4 mg Every 24 Hours) in Healthy Volunteers</t>
  </si>
  <si>
    <t>NCT04391894</t>
  </si>
  <si>
    <t>A Study to Assess the Safety and Efficacy of ECF843 vs Vehicle in Subjects With Dry Eye Disease</t>
  </si>
  <si>
    <t>NCT04410445</t>
  </si>
  <si>
    <t>Study to Compare Adjuvant Immunotherapy of Bempegaldesleukin Combined With Nivolumab Versus Nivolumab After Complete Resection of Melanoma in Patients at High Risk for Recurrence</t>
  </si>
  <si>
    <t>NCT04607772</t>
  </si>
  <si>
    <t>Study of Selinexor in Combination With Backbone Treatments or Novel Therapies In Participants With Relapsed or Refractory (RR) Diffuse Large B-Cell Lymphoma (DLBCL)</t>
  </si>
  <si>
    <t>NCT04636983</t>
  </si>
  <si>
    <t>Clinical Trial to Investigate the Safety, Tolerability and Pharmacokinetics of BV100 in Male Subjects</t>
  </si>
  <si>
    <t>BioVersys SAS</t>
  </si>
  <si>
    <t>NCT04648475</t>
  </si>
  <si>
    <t>Safety and Efficacy of CD19 and CD22 Targeted CAR-T Therapy for Relapsed/Refractory B Cell Leukemia and Lymphoma</t>
  </si>
  <si>
    <t>NCT04107675</t>
  </si>
  <si>
    <t>A Safety Study of Liposomal Cyclosporine A to Treat Bronchiolitis After Hematopoietic Transplant (BOSTON-4)</t>
  </si>
  <si>
    <t>NCT04167475</t>
  </si>
  <si>
    <t>Effect of B. Longum 1714™ on Sleep Quality</t>
  </si>
  <si>
    <t>PrecisionBiotics Group Ltd.</t>
  </si>
  <si>
    <t>NCT04271475</t>
  </si>
  <si>
    <t>A Study to Evaluate Efficacy and Safety of Macitentan 75 mg in Inoperable or Persistent/Recurrent Chronic Thromboembolic Pulmonary Hypertension</t>
  </si>
  <si>
    <t>NCT04388202</t>
  </si>
  <si>
    <t>Leveraging EEG for Antidepressant Prediction With Sertraline and Escitalopram</t>
  </si>
  <si>
    <t>NCT04449939</t>
  </si>
  <si>
    <t>A Study of Subcutaneous KY1005 in Healthy Volunteers</t>
  </si>
  <si>
    <t>Kymab Limited</t>
  </si>
  <si>
    <t>NCT04475939</t>
  </si>
  <si>
    <t>Placebo-controlled Study Comparing Niraparib Plus Pembrolizumab Versus Placebo Plus Pembrolizumab as Maintenance Therapy in Participants With Advanced/Metastatic Non-Small Cell Lung Cancer</t>
  </si>
  <si>
    <t>NCT04613557</t>
  </si>
  <si>
    <t>Safety, Activity and Cell Kinetics of CYAD-211 in Patients With Relapsed or Refractory Multiple Myeloma</t>
  </si>
  <si>
    <t>Celyad Oncology SA</t>
  </si>
  <si>
    <t>NCT04313127</t>
  </si>
  <si>
    <t>Phase I Clinical Trial of a COVID-19 Vaccine in 18-60 Healthy Adults</t>
  </si>
  <si>
    <t>NCT04381494</t>
  </si>
  <si>
    <t>Mobile Devices to Detect Early Pneumonitis in Stage III NSCLC Patients on Durvalumab.</t>
  </si>
  <si>
    <t>NCT04470622</t>
  </si>
  <si>
    <t>Aprepitant Injectable Emulsion in Patients With COVID-19 (GUARDS-1)</t>
  </si>
  <si>
    <t>Heron Therapeutics</t>
  </si>
  <si>
    <t>NCT04593251</t>
  </si>
  <si>
    <t>Dose Escalation Study to Evaluate an Experimental New Treatment (CALY-002) in Healthy Subjects and Subjects With Celiac Disease and Eosinophilic Esophagitis</t>
  </si>
  <si>
    <t>Calypso Biotech BV</t>
  </si>
  <si>
    <t>NCT04521179</t>
  </si>
  <si>
    <t>Study of KN026 Combined With KN046 in Patients With Locally Advanced HER2-positive Solid Tumors</t>
  </si>
  <si>
    <t>NCT04477096</t>
  </si>
  <si>
    <t>Evaluation of Drug Interaction Between HS-10234 and Emtriccitabine</t>
  </si>
  <si>
    <t>NCT04204473</t>
  </si>
  <si>
    <t>A Study of TY-9591 in Advanced Non-small Cell Lung Cancer(NSCLC) Patients With EGFR Positive Mutation</t>
  </si>
  <si>
    <t>NCT04660305</t>
  </si>
  <si>
    <t>AT278 and NovoRapid® in Glucose Clamp Study</t>
  </si>
  <si>
    <t>Arecor Limited</t>
  </si>
  <si>
    <t>NCT04382066</t>
  </si>
  <si>
    <t>Proof of Concept Study to Evaluate the Safety Profile of Plitidepsin in Patients With COVID-19</t>
  </si>
  <si>
    <t>PharmaMar</t>
  </si>
  <si>
    <t>NCT04435431</t>
  </si>
  <si>
    <t>A Clinical Study of Mesdopetam in Patients With Parkinson's Disease Experiencing Levodopa Induced Dyskinesia</t>
  </si>
  <si>
    <t>Integrative Research Laboratories AB</t>
  </si>
  <si>
    <t>NCT04194645</t>
  </si>
  <si>
    <t>A Study in Healthy Men to Test How the Body Takes up and Tolerates Different Doses of BI 474121, and Whether it Makes a Difference if BI 474121 is Taken as a Tablet or a Drink.</t>
  </si>
  <si>
    <t>NCT04392154</t>
  </si>
  <si>
    <t>Long-term Safety and Efficacy Study of Lebrikizumab (LY3650150) in Participants With Moderate-to-Severe Atopic Dermatitis (ADjoin)</t>
  </si>
  <si>
    <t>NCT03990077</t>
  </si>
  <si>
    <t>Study of HL-085 Plus Docetaxel in Patients With KRAS Mutant NSCLC</t>
  </si>
  <si>
    <t>NCT04373083</t>
  </si>
  <si>
    <t>Anti-PD-1 Antibody Treatment With Cemiplimab and Radiotherapy in Early-stage Classical Hodgkin Lymphoma</t>
  </si>
  <si>
    <t>NCT04244656</t>
  </si>
  <si>
    <t>A Safety and Efficacy Study Evaluating CTX120 in Subjects With Relapsed or Refractory Multiple Myeloma</t>
  </si>
  <si>
    <t>CRISPR Therapeutics AG</t>
  </si>
  <si>
    <t>NCT05108051</t>
  </si>
  <si>
    <t>Study to Investigate the Potential Drug-Drug Interaction Between ZSP1273 and Oseltamivir</t>
  </si>
  <si>
    <t>Guangdong Raynovent Biotech Co., Ltd</t>
  </si>
  <si>
    <t>NCT03628053</t>
  </si>
  <si>
    <t>Tisagenlecleucel vs Blinatumomab or Inotuzumab for Patients With Relapsed/Refractory B-cell Precursor Acute Lymphoblastic Leukemia</t>
  </si>
  <si>
    <t>NCT04466254</t>
  </si>
  <si>
    <t>Efficacy and Safety Study of Combination of CPGJ602 and Chemotherapy, in First Line, With Wild KRAS/NRAS/BRAF in Metastatic Colorectal Cancer</t>
  </si>
  <si>
    <t>Sunshine Guojian Pharmaceutical (Shanghai) Co., Ltd.</t>
  </si>
  <si>
    <t>NCT04398329</t>
  </si>
  <si>
    <t>Dose-Escalation Study of HTX-034 Following Bunionectomy</t>
  </si>
  <si>
    <t>NCT04423601</t>
  </si>
  <si>
    <t>Effect of Itraconazole on the Pharmacokinetics of SHR6390 in Healthy Subjects</t>
  </si>
  <si>
    <t>NCT04533581</t>
  </si>
  <si>
    <t>Study of ME-401 in Subjects With Relapsed or Refractory Indolent B-cell Non-Hodgkin's Lymphoma (NHL)</t>
  </si>
  <si>
    <t>NCT04167345</t>
  </si>
  <si>
    <t>Evaluation of the Efficacy and Safety of VX-814 in Subjects With the PiZZ Genotype</t>
  </si>
  <si>
    <t>NCT04635995</t>
  </si>
  <si>
    <t>Phase 1 Trial of LVGN7409 (CD40 Agonist Antibody) as Single Agent and Combination Therapies in Advanced or Metastatic Malignancy</t>
  </si>
  <si>
    <t>Lyvgen Biopharma Holdings Limited</t>
  </si>
  <si>
    <t>NCT04461483</t>
  </si>
  <si>
    <t>A Study to Evaluate the Safety, Tolerability and Pharmacokinetics of Single Ascending Dose and Multiple Doses With Titration of TAK-935 in Healthy Japanese Participants</t>
  </si>
  <si>
    <t>NCT04592341</t>
  </si>
  <si>
    <t>A Study to Evaluate the Pharmacodynamic (PD) Effects of Once Weekly Administration of Gantenerumab in Participants With Early Alzheimer's Disease (AD)</t>
  </si>
  <si>
    <t>NCT04169256</t>
  </si>
  <si>
    <t>Safety, Tolerability, Pharmacokinetic and Pharmacodynamic Profile of HYR-PB21 in Healthy Volunteers</t>
  </si>
  <si>
    <t>Fruithy Medical Pty Ltd</t>
  </si>
  <si>
    <t>NCT04328831</t>
  </si>
  <si>
    <t>Safety and Efficacy of IBI322 in Chinese Subjects With Advanced Malignant Tumors</t>
  </si>
  <si>
    <t>NCT04432857</t>
  </si>
  <si>
    <t>AN0025 and Pembrolizumab Combination in Advanced Solid Tumors</t>
  </si>
  <si>
    <t>NCT04785612</t>
  </si>
  <si>
    <t>Study of RSVpreF Vaccination and RSV Challenge in Healthy Adults</t>
  </si>
  <si>
    <t>Hvivo</t>
  </si>
  <si>
    <t>NCT03911505</t>
  </si>
  <si>
    <t>ZIP Study-OL Study of Safety, PK, Efficacy, PD, Immunogenicity of ATB200/AT2221 in Pediatrics Aged 0 to &lt; 18 y.o. w/LOPD</t>
  </si>
  <si>
    <t>Amicus Therapeutics</t>
  </si>
  <si>
    <t>NCT04408937</t>
  </si>
  <si>
    <t>The Purpose of This Study is to Investigate Safety and Tolerability of Tropifexor.</t>
  </si>
  <si>
    <t>NCT04493502</t>
  </si>
  <si>
    <t>A Study of LY3041658 in Adults With Hidradenitis Suppurativa</t>
  </si>
  <si>
    <t>NCT04497883</t>
  </si>
  <si>
    <t>A Study to Evaluate the Pharmacokinetics, Safety, and Tolerability of a Single Oral Dose of Maribavir Administered in Healthy Japanese Participants Compared With Matched, Healthy, Non-Hispanic, Caucasian Participants and to Assess Dose-Proportionality of 3 Doses of Maribavir in Japanese Participants</t>
  </si>
  <si>
    <t>NCT04186845</t>
  </si>
  <si>
    <t>Imaging Study to Investigate Safety and Diagnostic Performance of 18F rhPSMA 7.3 PET Ligand in Suspected Prostate Cancer Recurrence</t>
  </si>
  <si>
    <t>NCT04562766</t>
  </si>
  <si>
    <t>Study to Evaluate Rilzabrutinib in Adults and Adolescents With Persistent or Chronic Immune Thrombocytopenia (ITP)</t>
  </si>
  <si>
    <t>NCT04570644</t>
  </si>
  <si>
    <t>Randomized I/II Phase Study of ALZT-OP1 Combination Therapy in Alzheimer's Disease and Normal Healthy Volunteers</t>
  </si>
  <si>
    <t>NCT04270409</t>
  </si>
  <si>
    <t>Isatuximab in Combination With Lenalidomide and Dexamethasone in High-risk Smoldering Multiple Myeloma</t>
  </si>
  <si>
    <t>NCT04706793</t>
  </si>
  <si>
    <t>Oral Etrasimod Versus Placebo for the Treatment of Moderately to Severely Active Ulcerative Colitis in Adult Japanese Participants (ELEVATE UC 40 JAPAN)</t>
  </si>
  <si>
    <t>NCT04396821</t>
  </si>
  <si>
    <t>A Trial to Evaluate Safety and Tolerability of TST001 in Advanced or Metastatic Solid Tumors</t>
  </si>
  <si>
    <t>NCT04450004</t>
  </si>
  <si>
    <t>Safety, Tolerability and Immunogenicinity of a Coronavirus-Like Particle COVID-19 Vaccine in Adults Aged 18-55 Years.</t>
  </si>
  <si>
    <t>NCT04478708</t>
  </si>
  <si>
    <t>Single and Multiple Ascending Dose Study of AMG 133 in Participants With Obesity</t>
  </si>
  <si>
    <t>NCT04339504</t>
  </si>
  <si>
    <t>Follow-up Safety and Efficacy Evaluation on Subjects Who Completed Phase I Clinical Trial</t>
  </si>
  <si>
    <t>Medipost Co Ltd.</t>
  </si>
  <si>
    <t>NCT04379635</t>
  </si>
  <si>
    <t>Comparing the Efficacy and Safety of a New Additional Treatment With Tislelizumab in Non-Small Cell Lung Cancer (NSCLC)</t>
  </si>
  <si>
    <t>NCT05103878</t>
  </si>
  <si>
    <t>A Phase 1, Single-Ascending-Dose Study of BT051 in Healthy Subjects</t>
  </si>
  <si>
    <t>Bacainn Therapeutics, Inc.</t>
  </si>
  <si>
    <t>NCT06048887</t>
  </si>
  <si>
    <t>Single and Multiple-Ascending Dose Study of CRN04894 in Healthy Volunteers</t>
  </si>
  <si>
    <t>Crinetics Pharmaceuticals Inc.</t>
  </si>
  <si>
    <t>NCT03267108</t>
  </si>
  <si>
    <t>A Study to Assess Pulsed Inhaled Nitric Oxide in Subjects With Pulmonary Fibrosis at Risk for Pulmonary Hypertension</t>
  </si>
  <si>
    <t>NCT04538014</t>
  </si>
  <si>
    <t>A Study in Healthy Men to Investigate Uptake and Distribution of Lu AF88434 in the Brain</t>
  </si>
  <si>
    <t>NCT04358406</t>
  </si>
  <si>
    <t>Rhu-pGSN for Severe Covid-19 Pneumonia</t>
  </si>
  <si>
    <t>BioAegis Therapeutics Inc.</t>
  </si>
  <si>
    <t>NCT04645940</t>
  </si>
  <si>
    <t>Fruquintinib Food Effect and Proton Pump Inhibitor Study</t>
  </si>
  <si>
    <t>NCT04616209</t>
  </si>
  <si>
    <t>Allogeneic PB103 (NK Cells) Therapy in Non-small Cell Lung Cancer (NSCLC) Patients</t>
  </si>
  <si>
    <t>Precision Biotech Taiwan Corp.</t>
  </si>
  <si>
    <t>NCT04125732</t>
  </si>
  <si>
    <t>Epicardial Delivery of XC001 Gene Therapy for Refractory Angina Coronary Treatment (The EXACT Trial)</t>
  </si>
  <si>
    <t>XyloCor Therapeutics, Inc.</t>
  </si>
  <si>
    <t>NCT04281485</t>
  </si>
  <si>
    <t>Study to Evaluate the Safety and Efficacy of PF-06939926 for the Treatment of Duchenne Muscular Dystrophy</t>
  </si>
  <si>
    <t>NCT05629949</t>
  </si>
  <si>
    <t>A Multicenter, Double-blind, Randomized, Parallel-group, Phase III Study of the Efficacy and Safety of QL1701 Plus Docetaxel Versus Herceptin® Plus Docetaxel as First Line Therapy in Patients With HER2-positive Metastatic Breast Cancer</t>
  </si>
  <si>
    <t>NCT04229615</t>
  </si>
  <si>
    <t>A Study of Fluzoparib±Apatinib Versus Placebo Maintenance Treatment in Patients With Advanced Ovarian Cancer Following Response on First-Line Platinum-Based Chemotherapy</t>
  </si>
  <si>
    <t>NCT04482725</t>
  </si>
  <si>
    <t>Injection Site Pain Comparison of Excipient Solutions</t>
  </si>
  <si>
    <t>NCT04432376</t>
  </si>
  <si>
    <t>Efficacy and Safety Study of Miconazole Oil Versus Vehicle on Fungal Infection of the Ear Canal (Otomycosis)</t>
  </si>
  <si>
    <t>Hill Dermaceuticals, Inc.</t>
  </si>
  <si>
    <t>NCT04568876</t>
  </si>
  <si>
    <t>Micronized and Ultramicronized Palmitoylethanolamide in COVID-19 Patients</t>
  </si>
  <si>
    <t>Epitech Group SpA</t>
  </si>
  <si>
    <t>NCT04402489</t>
  </si>
  <si>
    <t>Study to Evaluate Efficacy, Safety, and Tolerability of MT-7117 in Subjects With Erythropoietic Protoporphyria or X-Linked Protoporphyria</t>
  </si>
  <si>
    <t>NCT04106050</t>
  </si>
  <si>
    <t>Pharmacodynamic Study of BIIB095 and BIIB074 in Healthy Participants and Participants With Painful Diabetic Polyneuropathy</t>
  </si>
  <si>
    <t>NCT04273191</t>
  </si>
  <si>
    <t>A Study to Evaluate Multimodal Neuroimaging Parameters in Women With Postpartum Depression Who Are Receiving ZULRESSO™ (Brexanolone)</t>
  </si>
  <si>
    <t>NCT04498403</t>
  </si>
  <si>
    <t>A Study of the Long-Term Safety of Crisaborole Ointment, 2% in Japanese Pediatric and Adult Participants With Mild to Moderate Atopic Dermatitis</t>
  </si>
  <si>
    <t>NCT04287478</t>
  </si>
  <si>
    <t>Bacteriophage Therapy in Patients With Urinary Tract Infections</t>
  </si>
  <si>
    <t>Adaptive Phage Therapeutics, Inc.</t>
  </si>
  <si>
    <t>NCT04649515</t>
  </si>
  <si>
    <t>Efficacy and Safety of TY027, a Treatment for COVID-19, in Humans</t>
  </si>
  <si>
    <t>Tychan Pte Ltd.</t>
  </si>
  <si>
    <t>NCT04294459</t>
  </si>
  <si>
    <t>Safety, Pharmacokinetics, and Preliminary Efficacy of Isatuximab in Patients Awaiting Kidney Transplantation</t>
  </si>
  <si>
    <t>NCT04213196</t>
  </si>
  <si>
    <t>Safety, Tolerability and Pharmacokinetics of HSK21542 in Healthy Volunteers</t>
  </si>
  <si>
    <t>NCT04137289</t>
  </si>
  <si>
    <t>A Study to Find a Safe and Effective Dose of BI 905711 in Patients With Advanced Gastrointestinal Cancer</t>
  </si>
  <si>
    <t>NCT05357196</t>
  </si>
  <si>
    <t>PT-112 (Phosplatin's Platinum) Combine With Gemcitabine Injection for Advanced Solid Tumors</t>
  </si>
  <si>
    <t>SciClone Pharmaceuticals</t>
  </si>
  <si>
    <t>NCT04597450</t>
  </si>
  <si>
    <t>Lu AG06466 in Participants With Post Traumatic Stress Disorder (PTSD)</t>
  </si>
  <si>
    <t>NCT04514159</t>
  </si>
  <si>
    <t>A Study of ZN-c5 and Abemaciclib in Participants With Breast Cancer</t>
  </si>
  <si>
    <t>Zeno Alpha Inc.</t>
  </si>
  <si>
    <t>NCT04545060</t>
  </si>
  <si>
    <t>VIR-7831 for the Early Treatment of COVID-19 in Outpatients</t>
  </si>
  <si>
    <t>Vir Biotechnology, Inc.</t>
  </si>
  <si>
    <t>NCT04217590</t>
  </si>
  <si>
    <t>Reduce Incidence of Pre-Dialysis Hyperkalaemia With Sodium Zirconium Cyclosilicate in Chinese Subjects</t>
  </si>
  <si>
    <t>NCT04731324</t>
  </si>
  <si>
    <t>Clinical Study to Evaluate the Safety, Tolerability and Pharmacokinetics and Pharmacodynamics of ZYIL1 Following Oral Administration in Healthy Volunteers</t>
  </si>
  <si>
    <t>NCT04015180</t>
  </si>
  <si>
    <t>Extension Study to Evaluate the Long-term Outcomes of Subjects in Study 20090</t>
  </si>
  <si>
    <t>NCT04436276</t>
  </si>
  <si>
    <t>NCT04458389</t>
  </si>
  <si>
    <t>A Phase 1/2 Study of TY101 for Locally Advanced /Metastatic Solid Tumors and Relapsed or Refractory Lymphomas</t>
  </si>
  <si>
    <t>Tayu Huaxia Biotech Medical Group Co., Ltd.</t>
  </si>
  <si>
    <t>NCT04680091</t>
  </si>
  <si>
    <t>Drug-Drug Interaction of Pyrotinib With a Moderate CYP3A Inducer</t>
  </si>
  <si>
    <t>NCT04596150</t>
  </si>
  <si>
    <t>Study to Evaluate the Safety and Antitumor Activity of CX-2009 Monotherapy and in Combination With CX-072 in Advanced Breast Cancer</t>
  </si>
  <si>
    <t>NCT04468529</t>
  </si>
  <si>
    <t>Evaluate the Effect of Injectable Neucardin on the Cardiac Function of Subjects With Chronic Systolic Heart Failure</t>
  </si>
  <si>
    <t>Zensun Sci. &amp; Tech. Co., Ltd.</t>
  </si>
  <si>
    <t>NCT04395092</t>
  </si>
  <si>
    <t>Haplo-identical Natural Killer (NK) Cells to Prevent Post-Transplant Relapse in AML and MDS (NK-REALM)</t>
  </si>
  <si>
    <t>Kiadis Pharma</t>
  </si>
  <si>
    <t>NCT05602792</t>
  </si>
  <si>
    <t>A Study of T3011 Administered Via Intratumoral Injection in Patients With Advanced Solid Tumors</t>
  </si>
  <si>
    <t>ImmVira Pharma Co. Ltd</t>
  </si>
  <si>
    <t>NCT05016011</t>
  </si>
  <si>
    <t>Efficacy of Allogeneic UCMSCs for Treating Large Defects Knee Injury</t>
  </si>
  <si>
    <t>Cytopeutics Sdn. Bhd.</t>
  </si>
  <si>
    <t>NCT04581772</t>
  </si>
  <si>
    <t>A Study to Evaluate the Bioavailability and Safety of DNL343 in Healthy Volunteers</t>
  </si>
  <si>
    <t>Denali Therapeutics Inc.</t>
  </si>
  <si>
    <t>NCT04517357</t>
  </si>
  <si>
    <t>A Phase 2 Trial of Fluzoparib Combined With Apatinib Versus Fluzoparib Monotherapy in Treatment With Relapsed Ovarian Cancer Patients</t>
  </si>
  <si>
    <t>NCT04714229</t>
  </si>
  <si>
    <t>Safety and Immunogenicity of Meningococcal Conjugate Vaccine in Healthy Adults Aged 19 to 55 Years Old</t>
  </si>
  <si>
    <t>NCT04530344</t>
  </si>
  <si>
    <t>Assess the Long Term Efficacy and Safety of Ruxolitinib Cream in Participants With Vitiligo</t>
  </si>
  <si>
    <t>NCT03983395</t>
  </si>
  <si>
    <t>Study of ISB 1302 (CD3 Bispecific Ab) in HER2-positive Metastatic Breast Cancer</t>
  </si>
  <si>
    <t>Ichnos Sciences SA</t>
  </si>
  <si>
    <t>NCT04524871</t>
  </si>
  <si>
    <t>A Study Evaluating the Efficacy and Safety of Multiple Immunotherapy-Based Treatment Combinations in Patients With Advanced Liver Cancers (Morpheus-Liver)</t>
  </si>
  <si>
    <t>NCT04229901</t>
  </si>
  <si>
    <t>Study to Evaluate the Efficacy and Safety of HepaStem in Patients With Acute on Chronic Liver Failure (ACLF)</t>
  </si>
  <si>
    <t>Cellaion SA</t>
  </si>
  <si>
    <t>NCT04521478</t>
  </si>
  <si>
    <t>A Study to Test the Effect of Different Doses of BI 1358894 and Quetiapine in People With Depression</t>
  </si>
  <si>
    <t>NCT04171115</t>
  </si>
  <si>
    <t>Study to Evaluate Safety and PK of a Single IM Dose of G03-52-01 vs Placebo in Adult Subjects</t>
  </si>
  <si>
    <t>NCT04537208</t>
  </si>
  <si>
    <t>Study of Recombinant Protein Vaccine Formulations Against COVID-19 in Healthy Adults 18 Years of Age and Older</t>
  </si>
  <si>
    <t>NCT04412616</t>
  </si>
  <si>
    <t>ZZ06 in Adult Patients With Advanced Solid Tumor Malignancies</t>
  </si>
  <si>
    <t>Changchun Intellicrown Pharmaceutical Co. LTD</t>
  </si>
  <si>
    <t>NCT04566926</t>
  </si>
  <si>
    <t>A Study of JNJ-64140284 in Healthy Male Participants</t>
  </si>
  <si>
    <t>NCT04549025</t>
  </si>
  <si>
    <t>Study of PD-1 Inhibitor JTX-4014 Alone and in Combination With Vopratelimab in Biomarker-selected Subjects With Metastatic NSCLC After One Prior Platinum-containing Regimen</t>
  </si>
  <si>
    <t>Jounce Therapeutics, Inc.</t>
  </si>
  <si>
    <t>NCT05571163</t>
  </si>
  <si>
    <t>A Study to Evaluate the Relative Bioavailability of AMG 510 Administered as Tablets and as a Water Dispersion in Healthy Participants</t>
  </si>
  <si>
    <t>NCT04572906</t>
  </si>
  <si>
    <t>Safety and Efficacy of NTX-001 Compared to SOC in Acute Single Peripheral Nerve Injuries</t>
  </si>
  <si>
    <t>Neuraptive Therapeutics Inc.</t>
  </si>
  <si>
    <t>NCT04223778</t>
  </si>
  <si>
    <t>Safety and Efficacy of a Switch to Doravirine/Islatravir in Participants With HIV-1 (MK-8591A-017)</t>
  </si>
  <si>
    <t>NCT04224493</t>
  </si>
  <si>
    <t>A Study to Assess the Efficacy, Safety, Pharmacodynamics, and Pharmacokinetics of Tazemetostat in Combination With Lenalidomide Plus Rituximab Versus Placebo in Combination With Lenalidomide Plus Rituximab in Adult Patients at Least 18 Years of Age With Relapsed/Refractory Follicular Lymphoma.</t>
  </si>
  <si>
    <t>NCT04830449</t>
  </si>
  <si>
    <t>Clinical Efficacy and Safety Evaluation of HCP1904-2 in Essential Hypertension Patients</t>
  </si>
  <si>
    <t>NCT04232826</t>
  </si>
  <si>
    <t>A Clinical Trial of CNCT19 Cells in the Treatment of CD19 Positive Relapsed or Refractory Diffuse Non-Hodgkin Lymphoma</t>
  </si>
  <si>
    <t>Juventas Cell Therapy Ltd.</t>
  </si>
  <si>
    <t>NCT04858958</t>
  </si>
  <si>
    <t>Study of FURMONERTINIB in Patients With NSCLC Having Exon 20 Insertion Mutation</t>
  </si>
  <si>
    <t>NCT04343547</t>
  </si>
  <si>
    <t>Study to Evaluate Drug-Drug Interaction of DWP16001 in Combination With DWC202001 and DWC202002 in Healthy Male Adults</t>
  </si>
  <si>
    <t>NCT04510649</t>
  </si>
  <si>
    <t>Surufatinib DDI With a PPI and a CYP3A Inducer</t>
  </si>
  <si>
    <t>NCT04106258</t>
  </si>
  <si>
    <t>A Pilot Study of Hemoporfin PDT in Children(2-7 Years Old) With Port-wine Stain</t>
  </si>
  <si>
    <t>Shanghai Fudan-Zhangjiang Bio-Pharmaceutical Co., Ltd.</t>
  </si>
  <si>
    <t>NCT04439955</t>
  </si>
  <si>
    <t>Study to Evaluate the Safety, Tolerability and Efficacy of Cannabidiol (CBD) as a Steroid-sparing Therapy in Chronic Spontaneous Urticaria (CSU) Patients</t>
  </si>
  <si>
    <t>Stero Biotechs Ltd.</t>
  </si>
  <si>
    <t>NCT04550195</t>
  </si>
  <si>
    <t>A Study to Evaluate the Safety, Tolerability, and Drug Levels of BMS-986337 When Taken by Mouth by Healthy Participants</t>
  </si>
  <si>
    <t>NCT04159519</t>
  </si>
  <si>
    <t>A Study to Assess the Reduction of Daily Maintenance ICS/LABA Treatment Towards Anti-Inflammatory Reliever Treatment in Patients With Severe Eosinophilic Asthma Treated With Benralizumab</t>
  </si>
  <si>
    <t>NCT04387448</t>
  </si>
  <si>
    <t>A Study of TRPC5 Channel Inhibitor in Patients With Diabetic Nephropathy, Focal Segmental Glomerulosclerosis, and Treatment-Resistant Minimal Change Disease</t>
  </si>
  <si>
    <t>Goldfinch Bio, Inc.</t>
  </si>
  <si>
    <t>NCT04419493</t>
  </si>
  <si>
    <t>A Study in Healthy Men to Compare 2 Different Formulations of Alteplase</t>
  </si>
  <si>
    <t>NCT04492293</t>
  </si>
  <si>
    <t>An Efficacy and Safety Study of ICP-192 in Subjects With Bladder Urothelial Cancer</t>
  </si>
  <si>
    <t>NCT05187858</t>
  </si>
  <si>
    <t>A Study of LNP3794 in Subjects With NRAS/KRAS Mutated Advanced or Metastatic Refractory Solid Tumors</t>
  </si>
  <si>
    <t>Lupin Ltd.</t>
  </si>
  <si>
    <t>NCT04199598</t>
  </si>
  <si>
    <t>Relative Bioavailability Study With Abediterol Administered Via Three Different Inhalation Devices in Healthy Volunteers.</t>
  </si>
  <si>
    <t>NCT04397263</t>
  </si>
  <si>
    <t>A Study of Guselkumab in Participants With Moderately to Severely Active Crohn's Disease</t>
  </si>
  <si>
    <t>NCT04577404</t>
  </si>
  <si>
    <t>Safety Extension Study of Oral Edaravone Administered in Subjects With Amyotrophic Lateral Sclerosis (ALS)</t>
  </si>
  <si>
    <t>NCT04575584</t>
  </si>
  <si>
    <t>Efficacy and Safety of Molnupiravir (MK-4482) in Hospitalized Adult Participants With COVID-19 (MK-4482-001)</t>
  </si>
  <si>
    <t>NCT04609852</t>
  </si>
  <si>
    <t>A Study to Assess the Safety and Tolerability of E8001 in Healthy Male Participants</t>
  </si>
  <si>
    <t>NCT04304547</t>
  </si>
  <si>
    <t>Clinical Study to Evauate the Pharmacokinetic Profiles and Safety of CKD-348 in Healthy Volunteers</t>
  </si>
  <si>
    <t>NCT04691349</t>
  </si>
  <si>
    <t>CAR-T for r/r Malignant Tumors in Children</t>
  </si>
  <si>
    <t>NCT05533073</t>
  </si>
  <si>
    <t>Comparative Bioavailability Study Between Etoricoxib and Tramadol, Administered Individually or in Combination</t>
  </si>
  <si>
    <t>NCT04537351</t>
  </si>
  <si>
    <t>The MEseNchymal coviD-19 Trial: MSCs in Adults With Respiratory Failure Due to COVID-19 or Another Underlying Cause</t>
  </si>
  <si>
    <t>Cynata Therapeutics Limited</t>
  </si>
  <si>
    <t>NCT04599855</t>
  </si>
  <si>
    <t>A Study of Esketamine Nasal Spray, Administered as Monotherapy, in Adult Participants With Treatment-resistant Depression</t>
  </si>
  <si>
    <t>NCT04336722</t>
  </si>
  <si>
    <t>Efficacy and Safety of Odevixibat in Children With Biliary Atresia Who Have Undergone a Kasai HPE (BOLD)</t>
  </si>
  <si>
    <t>Albireo, an Ipsen Company</t>
  </si>
  <si>
    <t>NCT04394351</t>
  </si>
  <si>
    <t>Study to Investigate the Efficacy and Safety of Dupilumab in Pediatric Patients With Active Eosinophilic Esophagitis (EoE)</t>
  </si>
  <si>
    <t>NCT04561245</t>
  </si>
  <si>
    <t>ALT-801 (Pemvidutide) in Healthy Overweight and Obese Volunteers to Study Safety and Tolerability</t>
  </si>
  <si>
    <t>NCT04421222</t>
  </si>
  <si>
    <t>Oral EPI-7386 in Patients with Castration-Resistant Prostate Cancer</t>
  </si>
  <si>
    <t>ESSA Pharmaceuticals</t>
  </si>
  <si>
    <t>NCT05877651</t>
  </si>
  <si>
    <t>MASCT-I in Patients With Metastatic or Recurrent Solid Tumors Who Failed Standard Therapy.</t>
  </si>
  <si>
    <t>HRYZ Biotech Co.</t>
  </si>
  <si>
    <t>NCT04565756</t>
  </si>
  <si>
    <t>A Study to Evaluate the Safety and Tolerability of EXN407</t>
  </si>
  <si>
    <t>Exonate Limited</t>
  </si>
  <si>
    <t>NCT04390737</t>
  </si>
  <si>
    <t>Evaluate the Safety and Clinical Activity of HH2853</t>
  </si>
  <si>
    <t>NCT04147195</t>
  </si>
  <si>
    <t>Study of Various Treatments in Non-alcoholic Fatty Liver Disease (NAFLD) Patients Who Have Aspects of Non-alcoholic Steatohepatitis (NASH)</t>
  </si>
  <si>
    <t>NCT04589234</t>
  </si>
  <si>
    <t>Saltikva for Metastatic Pancreatic Cancer</t>
  </si>
  <si>
    <t>Salspera LLC</t>
  </si>
  <si>
    <t>NCT04502277</t>
  </si>
  <si>
    <t>Bioavailability of Flucanazole</t>
  </si>
  <si>
    <t>Sutphin Drugs</t>
  </si>
  <si>
    <t>NCT03920254</t>
  </si>
  <si>
    <t>TD-1473 Long-Term Safety (LTS) Ulcerative Colitis (UC) Study</t>
  </si>
  <si>
    <t>NCT04569994</t>
  </si>
  <si>
    <t>A Study to Look at the Safety of NNC0363-0845 in Healthy People and People With Type 1 Diabetes</t>
  </si>
  <si>
    <t>NCT04300556</t>
  </si>
  <si>
    <t>A Study to Evaluate the Safety, Tolerability, and Efficacy of MORAb-202 (Herein Referred to as Farletuzumab Ecteribulin), a Folate Receptor Alpha (FRα)-Targeting Antibody-drug Conjugate (ADC) in Participants With Selected Tumor Types</t>
  </si>
  <si>
    <t>NCT04278872</t>
  </si>
  <si>
    <t>Phase 2 Study of SJX-653 in Postmenopausal Women With Moderate to Severe Vasomotor Symptoms</t>
  </si>
  <si>
    <t>Sojournix, Inc.</t>
  </si>
  <si>
    <t>NCT04616339</t>
  </si>
  <si>
    <t>STUDY TO COMPARE PHARMACOKINETICS (PK) OF SINGLE ORAL DOSES OF DIFFERENT PF-06882961 FORMULATIONS IN PARTICIPANTS WHO ARE OVERWEIGHT OR HAVE OBESITY</t>
  </si>
  <si>
    <t>NCT04531475</t>
  </si>
  <si>
    <t>Study to Evaluate the Safety and Efficacy of X842 in Patients With Reflux Esophagitis</t>
  </si>
  <si>
    <t>Jiangsu Sinorda Biomedicine Co., Ltd</t>
  </si>
  <si>
    <t>NCT04244175</t>
  </si>
  <si>
    <t>A Trial of the Efficacy and Safety of CVL-865 as Adjunctive Therapy in the Treatment of Focal Onset Seizures</t>
  </si>
  <si>
    <t>NCT04393675</t>
  </si>
  <si>
    <t>Study to Investigate the Safety of LT5001 Drug Product for Uremic Pruritus in Hemodialysis Patients</t>
  </si>
  <si>
    <t>Lumosa Therapeutics Co., Ltd.</t>
  </si>
  <si>
    <t>NCT04688775</t>
  </si>
  <si>
    <t>Eptinezumab in Participants With Episodic Cluster Headache</t>
  </si>
  <si>
    <t>NCT04197986</t>
  </si>
  <si>
    <t>Oral Infigratinib for the Adjuvant Treatment of Subjects With Invasive Urothelial Carcinoma With Susceptible FGFR3 Genetic Alterations</t>
  </si>
  <si>
    <t>NCT04208386</t>
  </si>
  <si>
    <t>A Study to Evaluate the Effect of Hepatic Impairment on JNJ-73763989</t>
  </si>
  <si>
    <t>NCT04630002</t>
  </si>
  <si>
    <t>Drug-drug Interaction (DDI) Study of GSK3640254 With Darunavir/Ritonavir (DRV/RTV) and Etravirine (ETR)</t>
  </si>
  <si>
    <t>NCT04512053</t>
  </si>
  <si>
    <t>A Phase 2 Study of TAS-303 in Female Patients With Stress Urinary Incontinence</t>
  </si>
  <si>
    <t>NCT04394845</t>
  </si>
  <si>
    <t>A Study of the Biodistribution and Safety of [18F]GTP1 in Healthy Japanese Participants</t>
  </si>
  <si>
    <t>NCT04329572</t>
  </si>
  <si>
    <t>Efficacy and Safety of Hydroxychloroquine and Azithromycin for Patients With Moderate to Severe COVID-19</t>
  </si>
  <si>
    <t>NCT04451772</t>
  </si>
  <si>
    <t>A Study of the Safety of Oral Elsubrutinib Capsules and Oral Upadacitinib Tablets Given Alone or in Combination (ABBV-599) for Adult Participants With Moderately to Severely Active Systemic Lupus Erythematosus to Assess Change in Disease State</t>
  </si>
  <si>
    <t>NCT04657172</t>
  </si>
  <si>
    <t>Safety &amp; Efficacy of Pilocarpine Eye Solutions for Temporary Improvement of Near Vision in Presbyopic Adults</t>
  </si>
  <si>
    <t>Eyenovia Inc.</t>
  </si>
  <si>
    <t>NCT04465266</t>
  </si>
  <si>
    <t>A Phase 1 PK Study of Tolperisone in Healthy Subjects</t>
  </si>
  <si>
    <t>NCT04328766</t>
  </si>
  <si>
    <t>Pharmacokinetic Interaction Between DWP14012 and DWC202005 in Healthy Volunteers</t>
  </si>
  <si>
    <t>NCT04462822</t>
  </si>
  <si>
    <t>A Pilot Bioequivalence Study Between Fluticasone Propionate 250 mcg and Salmeterol Xinafoate 50 mcg Inhalation Powder/Respirent Pharmaceuticals vs. ADVAIR DISKUS® 250/50 Inhalation Powder/GSK in Healthy Volunteers</t>
  </si>
  <si>
    <t>NCT04482270</t>
  </si>
  <si>
    <t>A Study to Investigate the Effect of Mild and Moderate Hepatic Impairment on the Safety and Tolerability of Fezolinetant Compared to Participants With Normal Hepatic Function</t>
  </si>
  <si>
    <t>NCT04655183</t>
  </si>
  <si>
    <t>Study of M4344 in Combination With Niraparib</t>
  </si>
  <si>
    <t>NCT04426851</t>
  </si>
  <si>
    <t>A Study in Healthy Men to Test How BI 1358894 is Taken up in the Body and How Food Influences the Amount of BI 1358894 in the Blood</t>
  </si>
  <si>
    <t>NCT04140305</t>
  </si>
  <si>
    <t>Study Describing Cognitive Processing Speed Changes in Relapsing Multiple Sclerosis Subjects Treated With Ozanimod (RPC-1063)</t>
  </si>
  <si>
    <t>NCT04450329</t>
  </si>
  <si>
    <t>A Study to Compare SB15 (Proposed Aflibercept Biosimilar) to Eylea in Subjects With Neovascular Age-related Macular Degeneration (AMD)</t>
  </si>
  <si>
    <t>NCT04400201</t>
  </si>
  <si>
    <t>A Clinical Study of Remimazolam Tosilate in Patients Undergoing Bronchoscopy</t>
  </si>
  <si>
    <t>NCT04223856</t>
  </si>
  <si>
    <t>Enfortumab Vedotin and Pembrolizumab vs. Chemotherapy Alone in Untreated Locally Advanced or Metastatic Urothelial Cancer</t>
  </si>
  <si>
    <t>NCT04338022</t>
  </si>
  <si>
    <t>Study of Evobrutinib in Participants With RMS (evolutionRMS 1)</t>
  </si>
  <si>
    <t>NCT04346199</t>
  </si>
  <si>
    <t>NCT04270747</t>
  </si>
  <si>
    <t>A Study to Understand Effectiveness and Safety of ABP 938 Compared to Aflibercept (Eylea®) in Patients Suffering With Neovascular Age-related Macular Degeneration [Neovascular (Wet) AMD]</t>
  </si>
  <si>
    <t>NCT04423393</t>
  </si>
  <si>
    <t>Study of VIR-3434 in Healthy Volunteers and Patients With Chronic Hepatitis B Virus Infection</t>
  </si>
  <si>
    <t>NCT04305184</t>
  </si>
  <si>
    <t>A Study to Assess ASP0598 Otic Solution Following Topical Application in the Ear in Subjects With Chronic Tympanic Membrane Perforation (CTMP)</t>
  </si>
  <si>
    <t>NCT04325698</t>
  </si>
  <si>
    <t>A BRIDGING STUDY OF PF-06439535 (CN) PLUS PACLITAXEL-CARBOPLATIN VERSUS BEVACIZUMAB PLUS PACLITAXEL-CARBOPLATIN IN NSCLC</t>
  </si>
  <si>
    <t>NCT04555304</t>
  </si>
  <si>
    <t>Phase 2 Study of KH903 in Patients With Advanced Gastric or Gastroesophageal Junction Adenocarcinoma As Second-Line Therapy</t>
  </si>
  <si>
    <t>Chengdu Kanghong Biotech Co., Ltd.</t>
  </si>
  <si>
    <t>NCT04533464</t>
  </si>
  <si>
    <t>MultiStem® for Treatment of Trauma Induced Multiple Organ Failure/Systemic Inflammatory Response Syndrome</t>
  </si>
  <si>
    <t>Healios K.K.</t>
  </si>
  <si>
    <t>NCT04603833</t>
  </si>
  <si>
    <t>A Study of SHR3680 in Combination With Docetaxel in the Treatment of mCRPC</t>
  </si>
  <si>
    <t>NCT04504383</t>
  </si>
  <si>
    <t>PN-943 in Adults With Moderate to Severe Active Ulcerative Colitis (UC)</t>
  </si>
  <si>
    <t>NCT04380961</t>
  </si>
  <si>
    <t>A Study to Evaluate the Efficacy and Safety of Sirukumab in Confirmed Severe or Critical Confirmed Coronavirus Disease (COVID)-19</t>
  </si>
  <si>
    <t>NCT04629170</t>
  </si>
  <si>
    <t>Safety and Tolerability of SYNB8802 in Healthy Adult Volunteers and Adult Subjects With Enteric Hyperoxaluria</t>
  </si>
  <si>
    <t>Synlogic</t>
  </si>
  <si>
    <t>NCT04421027</t>
  </si>
  <si>
    <t>A Study of Baricitinib (LY3009104) in Participants With COVID-19</t>
  </si>
  <si>
    <t>NCT06051786</t>
  </si>
  <si>
    <t>A Study to Evaluate the Safety and Effectiveness of a Nasal Spray to Treat Perennial Allergic Rhinitis</t>
  </si>
  <si>
    <t>Synmosa Biopharma Corp.</t>
  </si>
  <si>
    <t>NCT04542070</t>
  </si>
  <si>
    <t>A Study to Evaluate Efficacy and Safety of Cabotegravir (CAB) Long Acting (LA) Plus (+) Rilpivirine (RPV) LA Versus BIKTARVY® (BIK) in Participants With Human Immunodeficiency Virus (HIV)-1 Who Are Virologically Suppressed</t>
  </si>
  <si>
    <t>NCT04534842</t>
  </si>
  <si>
    <t>Efficacy and Safety of SYNB1618 and SYNB1934 in Adult Patients With Phenylketonuria</t>
  </si>
  <si>
    <t>NCT04314037</t>
  </si>
  <si>
    <t>Bioequivalence Study of Coated Cesol Tablet Formulation Versus Biltricide</t>
  </si>
  <si>
    <t>NCT04622072</t>
  </si>
  <si>
    <t>XZP-5809-TT1 Tablets in Patients With T790M Mutation-positive Locally Advanced or Metastatic Non-small Cell Lung Cancer</t>
  </si>
  <si>
    <t>NCT04363372</t>
  </si>
  <si>
    <t>A Study for Efficacy and Safety of Live Biotherapeutic MRx4DP0004 to Treat COVID-19</t>
  </si>
  <si>
    <t>4D pharma plc</t>
  </si>
  <si>
    <t>NCT04679194</t>
  </si>
  <si>
    <t>Study of Mana 312 (Multi Tumor-Associated Antigen T Cells) in Adults With AML/MDS After HSCT</t>
  </si>
  <si>
    <t>Mana Therapeutics</t>
  </si>
  <si>
    <t>NCT04450394</t>
  </si>
  <si>
    <t>A Phase 2 Study of LY3209590 in Participants With Type 2 Diabetes Mellitus</t>
  </si>
  <si>
    <t>NCT04458051</t>
  </si>
  <si>
    <t>Primary Progressive Multiple Sclerosis (PPMS) Study of Bruton's Tyrosine Kinase (BTK) Inhibitor Tolebrutinib (SAR442168) (PERSEUS)</t>
  </si>
  <si>
    <t>NCT04674137</t>
  </si>
  <si>
    <t>XC8 in the Treatment of Patients With the Eosinophilic Phenotype of Bronchial Asthma</t>
  </si>
  <si>
    <t>Chemlmmune Therapeutics LLC</t>
  </si>
  <si>
    <t>NCT04587622</t>
  </si>
  <si>
    <t>Pharmacokinetic Study of Icenticaftor in Participants With Hepatic Impairment</t>
  </si>
  <si>
    <t>NCT04488900</t>
  </si>
  <si>
    <t>Evaluation of the Safety and Tolerability of CKD-508 in Healthy Subjects</t>
  </si>
  <si>
    <t>NCT04429334</t>
  </si>
  <si>
    <t>Efficacy and Safety Study of Nangibotide in Patients With COVID-19 Receiving Ventilatory Support</t>
  </si>
  <si>
    <t>Inotrem</t>
  </si>
  <si>
    <t>NCT04993222</t>
  </si>
  <si>
    <t>A Pilot Bioequivalence Study Between Amphotericin B Liposome for Injection and AmBisome® in Healthy Subjects</t>
  </si>
  <si>
    <t>CSPC Zhongnuo Pharmaceutical (Shijiazhuang) Co., Ltd.</t>
  </si>
  <si>
    <t>NCT04448431</t>
  </si>
  <si>
    <t>Comparison of Vortioxetine and Desvenlafaxine in Adult Patients Suffering From Depression</t>
  </si>
  <si>
    <t>NCT04251156</t>
  </si>
  <si>
    <t>Research Study of How Well Semaglutide Works in People Living With Overweight or Obesity.</t>
  </si>
  <si>
    <t>NCT04357522</t>
  </si>
  <si>
    <t>Immunogenicity and Safety Study of 15-Valent Pneumococcal Conjugate Vaccine in 2-month-old and 3-month-old Healthy Volunteers</t>
  </si>
  <si>
    <t>Beijing Zhifei Lvzhu Biopharmaceutical Co., Ltd</t>
  </si>
  <si>
    <t>NCT04576702</t>
  </si>
  <si>
    <t>Safety and Immunogenicity of an MF59-Adjuvanted Influenza Vaccine in Older Adults</t>
  </si>
  <si>
    <t>NCT04233151</t>
  </si>
  <si>
    <t>QL1203 In Combination With Chemotherapy for Metastatic Colorectal Cancer to Determine Efficacy and Safety</t>
  </si>
  <si>
    <t>NCT04554056</t>
  </si>
  <si>
    <t>Trial to Compare the Efficacy and Safety Of MW05 and PEG-rhG-CSF</t>
  </si>
  <si>
    <t>NCT04542447</t>
  </si>
  <si>
    <t>To Evaluate Safety and Efficacy of Nuvastatic as an Immunomodulator Adjuvant Therapy in COVID-19 Patients.</t>
  </si>
  <si>
    <t>Natureceuticals Sdn Bhd</t>
  </si>
  <si>
    <t>NCT04734548</t>
  </si>
  <si>
    <t>Phase Ib/IIa Clinical Study of ApTOLL for the Treatment of Acute Ischemic Stroke</t>
  </si>
  <si>
    <t>aptaTargets S.L.</t>
  </si>
  <si>
    <t>NCT04132817</t>
  </si>
  <si>
    <t>A Study of Multiple Immune and Disease Treatment Combinations in Participants With ER+HER2- Breast Cancer That Has Spread</t>
  </si>
  <si>
    <t>NCT04256317</t>
  </si>
  <si>
    <t>A Multi-phase Study of ASTX030 (Azacitidine and Cedazuridine) in Myeloid Neoplasm Alone or in Combination With Venetoclax in AML (AZTOUND Study)</t>
  </si>
  <si>
    <t>NCT03515291</t>
  </si>
  <si>
    <t>A Trial of Cardiac Injections of iMP Cells During CABG Surgery</t>
  </si>
  <si>
    <t>Cell Therapy Ltd.</t>
  </si>
  <si>
    <t>NCT04532710</t>
  </si>
  <si>
    <t>Therapeutic Effect of Tacrosolv in Patients With Allergic Rhinoconjunctivitis</t>
  </si>
  <si>
    <t>Marinomed Biotech AG</t>
  </si>
  <si>
    <t>NCT04292899</t>
  </si>
  <si>
    <t>Study to Evaluate the Safety and Antiviral Activity of Remdesivir (GS-5734™) in Participants With Severe Coronavirus Disease (COVID-19)</t>
  </si>
  <si>
    <t>NCT04257032</t>
  </si>
  <si>
    <t>A Study in Healthy Men to Test the Influence of BI 1323495 on the Amount of the Medicines Rosuvastatin and Dabigatran in the Blood</t>
  </si>
  <si>
    <t>NCT04387409</t>
  </si>
  <si>
    <t>Study to Assess VPM1002 in Reducing Healthcare Professionals' Absenteeism in COVID-19 Pandemic</t>
  </si>
  <si>
    <t>Serum Life Science Europe GmbH</t>
  </si>
  <si>
    <t>NCT04390399</t>
  </si>
  <si>
    <t>Combination Immunotherapy Plus Standard-of-Care Chemotherapy Versus Standard-of-Care Chemotherapy for the Treatment of Locally Advanced or Metastatic Pancreatic Cancer</t>
  </si>
  <si>
    <t>NCT04617509</t>
  </si>
  <si>
    <t>A Study in Healthy Subjects to Evaluate Pharmacokinetics and Food Effect After Dosing of GS-248</t>
  </si>
  <si>
    <t>NCT04490499</t>
  </si>
  <si>
    <t>A Hepatitis B Vaccine Challenge Study After Previous Vaxelis® Vaccination (V419-013)</t>
  </si>
  <si>
    <t>NCT03954639</t>
  </si>
  <si>
    <t>Phase 3, Randomized, Double Blinded, Active Controlled, Multicenter Study to Evaluate the Efficacy, Safety, and Pharmacokinetics of EXPAREL Admixed With Bupi vs. Bupi Only Administered as Combined Sciatic and Adductor Canal Nerve Block for Postsurgical Analgesia in Lower Extremity Surgeries</t>
  </si>
  <si>
    <t>NCT04384653</t>
  </si>
  <si>
    <t>Crossover Study to Compare the Pharmacokinetics and Bioavailability of a Novel Furosemide Regimen Administered Subcutaneously vs. the Same Dose Administered Intravenously in Subjects With Chronic Heart Failure</t>
  </si>
  <si>
    <t>SQ Innovation, Inc.</t>
  </si>
  <si>
    <t>NCT04655872</t>
  </si>
  <si>
    <t>Mass Balance of Oral [14C]TPN171H in Healthy Male Subjects</t>
  </si>
  <si>
    <t>NCT04482595</t>
  </si>
  <si>
    <t>BIO 300 Oral Suspension in Previously Hospitalized Long COVID Patients</t>
  </si>
  <si>
    <t>NCT04681729</t>
  </si>
  <si>
    <t>Dupilumab for the Treatment of Chronic Inducible Cold Urticaria in Patients Who Remain Symptomatic Despite the Use of H1-antihistamine (LIBERTY-CINDU CUrIADS)</t>
  </si>
  <si>
    <t>NCT04481139</t>
  </si>
  <si>
    <t>A Study to Evaluate the Efficacy and Safety of SHR0302 in Patients With Ankylosing Spondylitis</t>
  </si>
  <si>
    <t>NCT04269395</t>
  </si>
  <si>
    <t>A Study to Assess Recurrence of Actinic Keratosis in Participants Treated With Methyl Aminolevulinate Hydrochloride Cream or Vehicle Cream Who Achieved Complete Response to Treated Lesions in Earlier Study</t>
  </si>
  <si>
    <t>NCT04630366</t>
  </si>
  <si>
    <t>A Phase 1, First Time in Humans Study of NST-1024</t>
  </si>
  <si>
    <t>NorthSea Therapeutics B.V.</t>
  </si>
  <si>
    <t>NCT04029688</t>
  </si>
  <si>
    <t>A Study Evaluating the Safety, Tolerability, Pharmacokinetics and Preliminary Activity of Idasanutlin in Combination With Either Chemotherapy or Venetoclax in Treatment of Pediatric and Young Adult Participants With Relapsed/Refractory Acute Leukemias or Solid Tumors</t>
  </si>
  <si>
    <t>NCT04385303</t>
  </si>
  <si>
    <t>Patient-Reported Outcomes in Evaluating Lorecivivint (SM04690) for Moderate to Severe Knee Osteoarthritis (STRIDES-1)</t>
  </si>
  <si>
    <t>Biosplice Therapeutics, Inc.</t>
  </si>
  <si>
    <t>NCT04672083</t>
  </si>
  <si>
    <t>A Clinical Study of the HIV Drug CPT31 in Healthy Volunteers</t>
  </si>
  <si>
    <t>Navigen, Inc.</t>
  </si>
  <si>
    <t>NCT04405505</t>
  </si>
  <si>
    <t>A Study of TQB2450 Injection Combined With Anlotinib Hydrochloride Capsule Versus Paclitaxel for Injection (Albumin Bound) in Subjects With Triple Negative Breast Cancer (TNBC)</t>
  </si>
  <si>
    <t>NCT04629105</t>
  </si>
  <si>
    <t>Regenerative Medicine for COVID-19 and Flu-Elicited ARDS Using Lomecel-B (RECOVER)</t>
  </si>
  <si>
    <t>Longeveron Inc.</t>
  </si>
  <si>
    <t>NCT04567329</t>
  </si>
  <si>
    <t>Effect of NOV03 on Signs and Symptoms of Dry Eye Disease Associated With Meibomian Gland Dysfunction (Mojave Study)</t>
  </si>
  <si>
    <t>NCT04485702</t>
  </si>
  <si>
    <t>Phase 1 Bioavailability Study of MELT-100 (Midazolam and Ketamine Sublingual) and IV Midazolam or Ketamine</t>
  </si>
  <si>
    <t>NCT05082753</t>
  </si>
  <si>
    <t>Bioequivalence Study to Compare Two Tablets of Ivermectin Tablets (3 mg Ivermectin) Versus Two Tablets of Stromectol ® Tablets (3 mg Ivermectin), in Healthy Subjects Under Fasting Conditions</t>
  </si>
  <si>
    <t>NCT04210037</t>
  </si>
  <si>
    <t>Study of APG-1252 Plus Paclitaxel in Patients With Relapsed/Refractory Small Cell Lung Cancer</t>
  </si>
  <si>
    <t>NCT04685265</t>
  </si>
  <si>
    <t>A Study to Assess the Safety, Tolerability, Pharmacokinetics and Pharmacodynamics of anle138b in Parkinson's Disease</t>
  </si>
  <si>
    <t>MODAG GmbH</t>
  </si>
  <si>
    <t>NCT04446000</t>
  </si>
  <si>
    <t>Evaluate the Safety, Tolerability, Pharmacokinetics, and Pharmacodynamics of Subcutaneous CSL730 in Healthy Adult Subjects</t>
  </si>
  <si>
    <t>NCT04408599</t>
  </si>
  <si>
    <t>A Safety and Tolerability Study of NC410 in Subjects With Advanced or Metastatic Solid Tumors</t>
  </si>
  <si>
    <t>NextCure, Inc.</t>
  </si>
  <si>
    <t>NCT04503863</t>
  </si>
  <si>
    <t>An Additional Study of NPC-22 in Healthy Adult Males</t>
  </si>
  <si>
    <t>NCT04342936</t>
  </si>
  <si>
    <t>Study of Camrelizumab (SHR-1210) vs. Chemotherapy in Participants With Relapsed or Refractory Classical Hodgkin Lymphoma</t>
  </si>
  <si>
    <t>NCT04542499</t>
  </si>
  <si>
    <t>Flexible-Dose, Adjunctive Therapy Trial in Adults With Parkinson's Disease With Motor Fluctuations (TEMPO-3)</t>
  </si>
  <si>
    <t>NCT04305587</t>
  </si>
  <si>
    <t>Multiple Escalating Oral Doses Study of PF-07081532 in Adult Participants With Type 2 Diabetes Mellitus</t>
  </si>
  <si>
    <t>NCT05134337</t>
  </si>
  <si>
    <t>Study of the Effects of Itraconazole and Rifampin on LOXO-305 in Healthy Participants</t>
  </si>
  <si>
    <t>NCT04563845</t>
  </si>
  <si>
    <t>Effect of Therapeutic and Supratherapeutic Oral Doses of GSK3640254 on Cardiac Conduction Compared to Placebo and a Single Oral Dose of Moxifloxacin</t>
  </si>
  <si>
    <t>NCT04221828</t>
  </si>
  <si>
    <t>Trial of NanoPac Focal Therapy for Prostate Cancer</t>
  </si>
  <si>
    <t>NCT04747392</t>
  </si>
  <si>
    <t>Bioequivalence Study of SAL001 and FORSTEO in Healthy Chinese Adults</t>
  </si>
  <si>
    <t>NCT04540211</t>
  </si>
  <si>
    <t>A Study of Atezolizumab Plus Tiragolumab in Combination With Paclitaxel and Cisplatin Compared With Paclitaxel and Cisplatin as First-Line Treatment in Participants With Unresectable Locally Advanced, Unresectable Recurrent, or Metastatic Esophageal Carcinoma</t>
  </si>
  <si>
    <t>NCT04260698</t>
  </si>
  <si>
    <t>Expanded Access of Omidubicel, for Allogeneic Transplantation in Patients With Hematological Malignancies</t>
  </si>
  <si>
    <t>Gamida Cell ltd</t>
  </si>
  <si>
    <t>NCT04501029</t>
  </si>
  <si>
    <t>A Study of Gimatecan (ST1481) in Small Cell Lung Cancer</t>
  </si>
  <si>
    <t>NCT04148937</t>
  </si>
  <si>
    <t>A Study of the CD73 Inhibitor LY3475070 Alone or in Combination With Pembrolizumab in Participants With Advanced Cancer</t>
  </si>
  <si>
    <t>NCT04778137</t>
  </si>
  <si>
    <t>The Study of Omalizumab (CMAB007 and Xolair) in Healthy Subjects to Compare the PK, PD and Safety</t>
  </si>
  <si>
    <t>NCT04417972</t>
  </si>
  <si>
    <t>The Pharmacokinetic(PK)/Pharmacodynamics(PD) Study of SHR7280 Tablets in Premenopausal Subjects With Endometriosis.</t>
  </si>
  <si>
    <t>NCT04339595</t>
  </si>
  <si>
    <t>Long-Term Treatment Effect With Tildrakizumab in Participants With Plaque Psoriasis</t>
  </si>
  <si>
    <t>Almirall, S.A.</t>
  </si>
  <si>
    <t>NCT04634812</t>
  </si>
  <si>
    <t>Mass Balance Study of KBP-5074 in Healthy Male Subjects</t>
  </si>
  <si>
    <t>NCT04407000</t>
  </si>
  <si>
    <t>Bioequivalence Study of Favipiravir 200 mg Film Tablet (World Medicine, Turkey) Under Fasting Conditions</t>
  </si>
  <si>
    <t>World Medicine ILAC SAN. ve TIC. A.S.</t>
  </si>
  <si>
    <t>NCT04448964</t>
  </si>
  <si>
    <t>A Study of JNJ-70033093 in Healthy Participants</t>
  </si>
  <si>
    <t>NCT04399551</t>
  </si>
  <si>
    <t>A Study Evaluating Implementation Strategies for Cabotegravir (CAB)+ Rilpivirine (RPV) Long-acting (LA) Injectables for Human Immunodeficiency Virus (HIV)-1 Treatment in European Countries</t>
  </si>
  <si>
    <t>NCT04690556</t>
  </si>
  <si>
    <t>Study to Compare Efficacy, Safety, and Immunogenicity of LUBT010 (Proposed Ranibizumab Biosimilar) and Lucentis® in Patients With Neovascular AMD</t>
  </si>
  <si>
    <t>NCT04406194</t>
  </si>
  <si>
    <t>Bioequivalence Study of Favipiravir 200 mg Film Tablet (ATABAY, Turkey) Under Fasting Conditions</t>
  </si>
  <si>
    <t>Atabay Kimya Sanayi Ticaret A.S.</t>
  </si>
  <si>
    <t>NCT04606602</t>
  </si>
  <si>
    <t>Study to Investigate Safety, Tolerability, PK and PD Response of SLN360 in Subjects With Elevated Lipoprotein(a)</t>
  </si>
  <si>
    <t>Silence Therapeutics plc</t>
  </si>
  <si>
    <t>NCT04679129</t>
  </si>
  <si>
    <t>Study to Evaluate Safety, Tolerability and Pharmacokinetics and Pharmacodynamics of ASC42 in Healthy Subjects</t>
  </si>
  <si>
    <t>NCT04647344</t>
  </si>
  <si>
    <t>A Study of AK104 in Patients With Locally Advanced or Metastatic Non-small Cell Lung Cancer</t>
  </si>
  <si>
    <t>NCT05531344</t>
  </si>
  <si>
    <t>Composite Steep-pulseTreatment Device Used in Patients With Benign Prostatic Hyperplasia</t>
  </si>
  <si>
    <t>REMD Medical Technology</t>
  </si>
  <si>
    <t>NCT04601909</t>
  </si>
  <si>
    <t>FX-322 in Adults With Age-Related Sensorineural Hearing Loss</t>
  </si>
  <si>
    <t>NCT04209114</t>
  </si>
  <si>
    <t>A Study of Nivolumab Plus Bempegaldesleukin (Bempeg/NKTR-214) vs Nivolumab Alone vs Standard of Care in Participants With Bladder Cancer That May Have Invaded The Muscle Wall of the Bladder and Who Cannot Get Cisplatin, A Type of Medicine Given To Treat Bladder Cancer</t>
  </si>
  <si>
    <t>NCT04567316</t>
  </si>
  <si>
    <t>A Study in Healthy Men to Test How BI 1358894 is Taken up and Handled by the Body</t>
  </si>
  <si>
    <t>NCT04484415</t>
  </si>
  <si>
    <t>Efficacy and Safety of Cevira® in Patients With Cervical Histologic High-grade Squamous Intraepithelial Lesions (HSIL)</t>
  </si>
  <si>
    <t>Asieris MediTech (Hong Kong) Co., Ltd.</t>
  </si>
  <si>
    <t>NCT04381377</t>
  </si>
  <si>
    <t>Efficacy and Safety of Polyoxidonium® in Hospitalized Patients With Coronavirus Disease COVID-19</t>
  </si>
  <si>
    <t>NCT04169711</t>
  </si>
  <si>
    <t>Study of ARO-HIF2 in Patients With Advanced Clear Cell Renal Cell Carcinoma</t>
  </si>
  <si>
    <t>NCT04511871</t>
  </si>
  <si>
    <t>A Phase I Trial of CCT303-406 in Patients With Relapsed or Refractory HER2 Positive Solid Tumors</t>
  </si>
  <si>
    <t>Shanghai PerHum Therapeutics Co., Ltd.</t>
  </si>
  <si>
    <t>NCT04511845</t>
  </si>
  <si>
    <t>A Dose-Escalation Study of SPYK04 in Patients With Locally Advanced or Metastatic Solid Tumors (With Expansion).</t>
  </si>
  <si>
    <t>NCT04580745</t>
  </si>
  <si>
    <t>Study of MORF 057 to Evaluate Single and Multi Ascending Doses in Healthy Volunteers</t>
  </si>
  <si>
    <t>Morphic Therapeutic, Inc. (A Wholly Owned Subsidiary of Eli Lilly and Company)</t>
  </si>
  <si>
    <t>NCT04548869</t>
  </si>
  <si>
    <t>A Single Dose Study of the Safety, Pharmacokinetics and Pharmacodynamics of CDX-0159 in Patients With Cold Contact Urticaria, Symptomatic Dermographism, or Cholinergic Urticaria</t>
  </si>
  <si>
    <t>Celldex Therapeutics</t>
  </si>
  <si>
    <t>NCT04439695</t>
  </si>
  <si>
    <t>Study to Evaluate the Safety and Immunogenicity of KBP-V001 Quadrivalent Influenza Vaccine in Healthy Adults</t>
  </si>
  <si>
    <t>KBio Inc</t>
  </si>
  <si>
    <t>NCT04512001</t>
  </si>
  <si>
    <t>MSB11456 in Participants With Moderately to Severely Active Rheumatoid Arthritis</t>
  </si>
  <si>
    <t>Fresenius Kabi SwissBioSim GmbH</t>
  </si>
  <si>
    <t>NCT04523181</t>
  </si>
  <si>
    <t>Double-blind Study to Evaluate the Safety and Efficacy of Antroquinonol in Mild-Moderate COVID-19 Hospitalized Patients</t>
  </si>
  <si>
    <t>Golden Biotechnology Corporation</t>
  </si>
  <si>
    <t>NCT04575467</t>
  </si>
  <si>
    <t>A Study to Evaluate the Efficacy, Safety and Tolerability of CBL-514 Injection for Reducing Subcutaneous Fat (Stage 1)</t>
  </si>
  <si>
    <t>Caliway Biopharmaceuticals Co., Ltd.</t>
  </si>
  <si>
    <t>NCT04221399</t>
  </si>
  <si>
    <t>Type 2 Diabetes Patients With Renal Impairment</t>
  </si>
  <si>
    <t>NCT04739865</t>
  </si>
  <si>
    <t>The Safety and Efficacy Of Psilocybin as an Adjunctive Therapy in Participants With Treatment Resistant Depression</t>
  </si>
  <si>
    <t>COMPASS Pathways</t>
  </si>
  <si>
    <t>NCT04278144</t>
  </si>
  <si>
    <t>A First-in-human Study Using BDC-1001 as a Single Agent and in Combination With Nivolumab in Advanced HER2-Expressing Solid Tumors</t>
  </si>
  <si>
    <t>Bolt Biotherapeutics, Inc.</t>
  </si>
  <si>
    <t>NCT04226833</t>
  </si>
  <si>
    <t>A Study to Investigate the Effect of Impaired Hepatic Function on the Pharmacokinetics of Entrectinib in Volunteers With Different Levels of Hepatic Function</t>
  </si>
  <si>
    <t>NCT04175847</t>
  </si>
  <si>
    <t>A Phase I /IIa Study of RC88-ADC in Subjects With Advanced Malignant Solid Tumors</t>
  </si>
  <si>
    <t>NCT04441099</t>
  </si>
  <si>
    <t>NBE-002 in Patients With Advanced Solid Tumors</t>
  </si>
  <si>
    <t>NBE-Therapeutics AG</t>
  </si>
  <si>
    <t>NCT04277884</t>
  </si>
  <si>
    <t>Firibastat in Treatment-resistant Hypertension</t>
  </si>
  <si>
    <t>Quantum Genomics SA</t>
  </si>
  <si>
    <t>NCT04249687</t>
  </si>
  <si>
    <t>Treatment of Moderate to Severe Lateral Canthal Lines</t>
  </si>
  <si>
    <t>NCT04492787</t>
  </si>
  <si>
    <t>Efficacy and Safety of Changkang Granule in the Treatment of Diarrhea-predominant Irritable Bowel Syndrome (IBS-D)</t>
  </si>
  <si>
    <t>NCT05075304</t>
  </si>
  <si>
    <t>A Safety and Tolerability Study of BDB-001 in Mild, Moderate COVID-19 Patients</t>
  </si>
  <si>
    <t>Staidson (Beijing) Biopharmaceuticals Co., Ltd</t>
  </si>
  <si>
    <t>NCT04592536</t>
  </si>
  <si>
    <t>A Trial of the Effect of CVL-865 on Panic Symptoms Induced by Carbon Dioxide Inhalation in Healthy Subjects</t>
  </si>
  <si>
    <t>Cerevel Therapeutics, LLC</t>
  </si>
  <si>
    <t>NCT04271163</t>
  </si>
  <si>
    <t>Transcranial Electromagnetic Treatment (TEMT) Against Alzheimer's Disease</t>
  </si>
  <si>
    <t>NeuroEM Therapeutics, Inc.</t>
  </si>
  <si>
    <t>NCT04568434</t>
  </si>
  <si>
    <t>A Study of Olezarsen (Formerly Known as AKCEA-APOCIII-LRx) Administered to Patients With Familial Chylomicronemia Syndrome (FCS)</t>
  </si>
  <si>
    <t>NCT04252300</t>
  </si>
  <si>
    <t>Study to Learn the Effect of Drug BAY1817080 on the Way the Body Absorbs, Distributes and Excretes Another Drug Rosuvastatin in Healthy Adult Participants</t>
  </si>
  <si>
    <t>NCT04315311</t>
  </si>
  <si>
    <t>Study Of Effects Of Oral CREON Capsules In Adult Participants With Exocrine Pancreatic Insufficiency Not Due To Cystic Fibrosis, Chronic Pancreatitis, Pancreatectomy, Or Pancreatic Cancer</t>
  </si>
  <si>
    <t>NCT04256655</t>
  </si>
  <si>
    <t>Safety, Tolerability, Pharmacodynamics and Pharmacokinetics of CDX 6114 in PKU Patients</t>
  </si>
  <si>
    <t>Société des Produits Nestlé (SPN)</t>
  </si>
  <si>
    <t>NCT04398147</t>
  </si>
  <si>
    <t>Phase I/II Clinical Trial of Recombinant Novel Coronavirus Vaccine (Adenovirus Type 5 Vector) in Canada</t>
  </si>
  <si>
    <t>NCT04544826</t>
  </si>
  <si>
    <t>A Study of JNJ-77474462 (Bermekimab) in Healthy Participants of Japanese Descent Following Administration of Single Ascending Subcutaneous Doses</t>
  </si>
  <si>
    <t>NCT04586985</t>
  </si>
  <si>
    <t>Safety, Tolerability and Pharmacokinetics of FTX-6058</t>
  </si>
  <si>
    <t>NCT04205643</t>
  </si>
  <si>
    <t>CT-P13 (Infliximab) Subcutaneous Administration in Patients With Moderately to Severely Active Ulcerative Colitis (LIBERTY-UC)</t>
  </si>
  <si>
    <t>NCT04534114</t>
  </si>
  <si>
    <t>Factor XI LICA to Reduce Events Such as Heart Attack and Stroke in Patients Whose Kidneys Are no Longer Able to Work as They Should and Require Treatment to Filter Wastes From the Blood: Focus is on the Safety of BAY2976217 and the Way the Body Absorbs, Distributes and Removes the Study Drug</t>
  </si>
  <si>
    <t>NCT04351685</t>
  </si>
  <si>
    <t>Evaluation of Efficacy and Safety of VPM1002 in Comparison to BCG in Prevention of Tb Infection in Infants</t>
  </si>
  <si>
    <t>Serum Institute of India Pvt. Ltd.</t>
  </si>
  <si>
    <t>NCT04385849</t>
  </si>
  <si>
    <t>Study of the Safety of Therapeutic Treatment With an Immunomodulatory Agent (N-803) in Adults With COVID-19</t>
  </si>
  <si>
    <t>NCT04386616</t>
  </si>
  <si>
    <t>A Study to Evaluate the Safety and Efficacy of MSTT1041A (Astegolimab) or UTTR1147A in Patients With Severe COVID-19 Pneumonia</t>
  </si>
  <si>
    <t>NCT04690426</t>
  </si>
  <si>
    <t>PROtocol for Coxsackievirus VaccinE in Healthy VoluNTteers</t>
  </si>
  <si>
    <t>Provention Bio, Inc.</t>
  </si>
  <si>
    <t>NCT04546984</t>
  </si>
  <si>
    <t>Multiple Dose Safety, Tolerability, PK，PD and Food Effect Study of HEC96719 in Healthy Adult Subjects</t>
  </si>
  <si>
    <t>NCT04233216</t>
  </si>
  <si>
    <t>Doravirine/Islatravir (DOR/ISL) in Heavily Treatment-Experienced (HTE) Participants for Human Immunodeficiency Virus Type 1 (HIV-1) Infection (MK-8591A-019)</t>
  </si>
  <si>
    <t>NCT04586426</t>
  </si>
  <si>
    <t>A Study of the Combination of Talquetamab and Teclistamab in Participants With Relapsed or Refractory Multiple Myeloma</t>
  </si>
  <si>
    <t>NCT04584697</t>
  </si>
  <si>
    <t>Study to Evaluate the Safety, Pharmacokinetics and Efficacy of STI-2020 (COVI-AMG™) in Outpatients With COVID-19</t>
  </si>
  <si>
    <t>NCT04342910</t>
  </si>
  <si>
    <t>Study to Evaluate the Efficacy and Safety of Camrelizumab and Apatinib in Patients With GC/GEJC</t>
  </si>
  <si>
    <t>NCT04561115</t>
  </si>
  <si>
    <t>A Study to Evaluate the Pharmacokinetics, Safety, and Tolerability of Immune Globulin (Human) 10% (Gamunex-C) PEG Process (IVIG-PEG) Compared to Gamunex-C in Participants With Primary Humoral Immunodeficiency</t>
  </si>
  <si>
    <t>NCT04469725</t>
  </si>
  <si>
    <t>KN046 (a Humanized PD-L1/CTLA4 Bispecific Single Domain Fc Fusion Protein Antibody) in Subjects With Thymic Carcinoma</t>
  </si>
  <si>
    <t>NCT04210843</t>
  </si>
  <si>
    <t>Study of Efficacy and Safety of Ligelizumab in Chronic Spontaneous Urticaria Patients Who Completed a Previous Study With Ligelizumab</t>
  </si>
  <si>
    <t>NCT03939715</t>
  </si>
  <si>
    <t>Surgical Intervention With DermaPure vs Native Tissue in Pelvic Organ Prolapse</t>
  </si>
  <si>
    <t>Colorado Pelvic Floor Consultants</t>
  </si>
  <si>
    <t>NCT04541225</t>
  </si>
  <si>
    <t>Study of NUV-422 in Adults With Recurrent or Refractory High-grade Gliomas and Solid Tumors</t>
  </si>
  <si>
    <t>NCT04444284</t>
  </si>
  <si>
    <t>Study of the Safety and Immunogenicity of an Intranasal Vaccine for Respiratory Syncytial Virus in Seropositive Children</t>
  </si>
  <si>
    <t>NCT04616326</t>
  </si>
  <si>
    <t>A Study of Galcanezumab (LY2951742) in Participants 12 to 17 Years of Age With Chronic Migraine</t>
  </si>
  <si>
    <t>NCT04466891</t>
  </si>
  <si>
    <t>A Study of ZW25 (Zanidatamab) in Subjects With Advanced or Metastatic HER2-Amplified Biliary Tract Cancers</t>
  </si>
  <si>
    <t>NCT04239391</t>
  </si>
  <si>
    <t>Hemoglobin Maintenance in Pediatric ESRD (End-stage Renal Disease) Patients by Ferric Pyrophosphate Citrate (FPC)</t>
  </si>
  <si>
    <t>Rockwell Medical Technologies, Inc.</t>
  </si>
  <si>
    <t>NCT04426474</t>
  </si>
  <si>
    <t>A Study of LY3502970 in Participants With Type 2 Diabetes</t>
  </si>
  <si>
    <t>NCT03903718</t>
  </si>
  <si>
    <t>Evaluation of the Safety and Efficacy of a Monoclonal Antibody to Treat Influenza</t>
  </si>
  <si>
    <t>NCT04494425</t>
  </si>
  <si>
    <t>Study of Trastuzumab Deruxtecan (T-DXd) vs Investigator's Choice Chemotherapy in HER2-low, Hormone Receptor Positive, Metastatic Breast Cancer</t>
  </si>
  <si>
    <t>NCT04470050</t>
  </si>
  <si>
    <t>Dexmedetomidine in the Treatment of Symptoms Of Acute Opioid Withdrawal</t>
  </si>
  <si>
    <t>BioXcel Therapeutics Inc</t>
  </si>
  <si>
    <t>NCT04644068</t>
  </si>
  <si>
    <t>Study of AZD5305 as Monotherapy and in Combination With Anti-cancer Agents in Patients With Advanced Solid Malignancies</t>
  </si>
  <si>
    <t>NCT04546347</t>
  </si>
  <si>
    <t>A Study to Assess the Rel Bioavailability, Food Effect and Absolute Bioavailability on the Pharmacokinetics of AZD9833</t>
  </si>
  <si>
    <t>NCT04501640</t>
  </si>
  <si>
    <t>A Study to Investigate the Effect of Food With Mirabegron in Healthy Chinese Participants</t>
  </si>
  <si>
    <t>NCT04609696</t>
  </si>
  <si>
    <t>Study of the Metabolism of Danicopan in Healthy Adults</t>
  </si>
  <si>
    <t>NCT04507061</t>
  </si>
  <si>
    <t>Study on the Safety of the Drug Runcaciguat and How Well it Works When Given at the Highest Dose as Tolerated by Individual Patient Whose Kidneys Are Not Working Properly and Suffering at the Same Time From High Blood Sugar and/or High Blood Pressure and a Disease of the Heart and the Blood Vessels.</t>
  </si>
  <si>
    <t>NCT06308861</t>
  </si>
  <si>
    <t>Investigate Safety, Tolerability, PK/PK of J2H 1702 in Healthy Males</t>
  </si>
  <si>
    <t>J2H Biotech</t>
  </si>
  <si>
    <t>NCT04516369</t>
  </si>
  <si>
    <t>Study of Efficacy and Safety of Voretigene Neparvovec in Japanese Patients With Biallelic RPE65 Mutation-associated Retinal Dystrophy</t>
  </si>
  <si>
    <t>NCT04443088</t>
  </si>
  <si>
    <t>An Open-Label Study of INV-1120 as a Single Agent and in Combination With Pembrolizumab in Adult Patients With Advanced Solid Tumors</t>
  </si>
  <si>
    <t>Shenzhen Ionova Life Sciences Co., Ltd.</t>
  </si>
  <si>
    <t>NCT04245722</t>
  </si>
  <si>
    <t>FT596 as a Monotherapy and in Combination With Anti-CD20 Monoclonal Antibodies</t>
  </si>
  <si>
    <t>NCT04501783</t>
  </si>
  <si>
    <t>Study of Efficacy and Safety of TL-FVP-t vs. SOC in Patients With Mild to Moderate COVID-19</t>
  </si>
  <si>
    <t>NCT04552262</t>
  </si>
  <si>
    <t>Study to Learn More About the Effect of a New Drug Called BAY2327949 on the Blood Flow Through Kidneys in Adult Participants With Moderate Chronic Kidney Disease</t>
  </si>
  <si>
    <t>NCT04489888</t>
  </si>
  <si>
    <t>A Study of Pembrolizumab (MK-3475) Plus Carboplatin and Paclitaxel as First-line Treatment of Recurrent/Metastatic Head and Neck Squamous Cell Carcinoma (MK-3475-B10/KEYNOTE B10)</t>
  </si>
  <si>
    <t>NCT04686669</t>
  </si>
  <si>
    <t>A Relative Bioavailability Study of FOR-6219 in Capsule and Tablet Formulations</t>
  </si>
  <si>
    <t>Forendo Pharma Ltd</t>
  </si>
  <si>
    <t>NCT05019794</t>
  </si>
  <si>
    <t>Infigratinib in Subjects With GC or GEJ With FGFR2 Amplification or Other Solid Tumors With Other FGFR Alterations</t>
  </si>
  <si>
    <t>LianBio LLC</t>
  </si>
  <si>
    <t>NCT04551950</t>
  </si>
  <si>
    <t>Bintrafusp Alfa Combination Therapy in Participants With Cervical Cancer (INTR@PID 046)</t>
  </si>
  <si>
    <t>NCT04457960</t>
  </si>
  <si>
    <t>A Study of JNJ-66525433 in Healthy Participants and Participants With Ulcerative Colitis</t>
  </si>
  <si>
    <t>NCT04420754</t>
  </si>
  <si>
    <t>Study of AIC100 CAR T Cells in Relapsed/Refractory Thyroid Cancer</t>
  </si>
  <si>
    <t>AffyImmune Therapeutics, Inc.</t>
  </si>
  <si>
    <t>NCT04361461</t>
  </si>
  <si>
    <t>Use of Hydroxychloroquine Alone or Associated for Inpatients With SARS-CoV2 Virus (COVID-19)</t>
  </si>
  <si>
    <t>NCT04348513</t>
  </si>
  <si>
    <t>Triiodothyronine for the Treatment of Critically Ill Patients With COVID-19 Infection</t>
  </si>
  <si>
    <t>Uni-Pharma Kleon Tsetis Pharmaceutical Laboratories S.A.</t>
  </si>
  <si>
    <t>NCT04501120</t>
  </si>
  <si>
    <t>Study of Lisaftoclax (APG-2575) Single Agent and Combination With Therapy in Patients Relapsed/Refractory AML</t>
  </si>
  <si>
    <t>NCT04638660</t>
  </si>
  <si>
    <t>Safety and Efficacy of Nyxol (0.75% Phentolamine Ophthalmic Solution) in Subjects With Dim Light Vision Disturbances</t>
  </si>
  <si>
    <t>NCT04292223</t>
  </si>
  <si>
    <t>Open-Label Study With Pimavanserin on Activities of Daily Living in Subjects With Parkinson's Disease Psychosis</t>
  </si>
  <si>
    <t>NCT04613674</t>
  </si>
  <si>
    <t>A Study of Camrelizumab Plus Chemotherapy vs Placebo Plus Chemotherapy as Neoadjuvant Therapy in Participants With Triple Negative Breast Cancer (TNBC)</t>
  </si>
  <si>
    <t>NCT04670289</t>
  </si>
  <si>
    <t>Safety, Tolerability, and Pharmacokinetics of Single Dose TenoMiR as a Treatment for Tennis Elbow</t>
  </si>
  <si>
    <t>Causeway Therapeutics</t>
  </si>
  <si>
    <t>NCT04400682</t>
  </si>
  <si>
    <t>Bioequivalence Study of Favipiravir 200 mg Film Tablet (Novelfarma, Turkey) Under Fasting Conditions</t>
  </si>
  <si>
    <t>Novelfarma Ilaç San. ve Tic. Ltd. Sti.</t>
  </si>
  <si>
    <t>NCT04394650</t>
  </si>
  <si>
    <t>A Study of CC-98633, BCMA-targeted Chimeric Antigen Receptor (CAR) T Cells, in Participants With Relapsed and/or Refractory Multiple Myeloma</t>
  </si>
  <si>
    <t>NCT04541459</t>
  </si>
  <si>
    <t>Validation of New Devices Against Ambient Electromagnetic Radiation</t>
  </si>
  <si>
    <t>Waveguard GmbH</t>
  </si>
  <si>
    <t>NCT04600817</t>
  </si>
  <si>
    <t>A Study to Evaluate the Efficacy and Safety of TJ107 in Lympopenic Patients With Newly Diagnosed Glioblastoma Who Completed Standard Concurrent Chemoradiotherapy (CCRT)</t>
  </si>
  <si>
    <t>NCT04786340</t>
  </si>
  <si>
    <t>A 12-Week Study of Topical Pirenzepine or Placebo in Type 2 Diabetic Patients (T2DM) With Painful Peripheral Neuropathy</t>
  </si>
  <si>
    <t>WinSanTor, Inc</t>
  </si>
  <si>
    <t>NCT05513625</t>
  </si>
  <si>
    <t>Potential Influence of Esomeprazole on the Pharmacokinetics of Pritelivir</t>
  </si>
  <si>
    <t>AiCuris Anti-infective Cures AG</t>
  </si>
  <si>
    <t>NCT04622124</t>
  </si>
  <si>
    <t>A Safety and Tolerability Study of FCN-207 in Healthy Volunteers</t>
  </si>
  <si>
    <t>Fochon Pharmaceuticals, Ltd.</t>
  </si>
  <si>
    <t>NCT04233424</t>
  </si>
  <si>
    <t>D-PLEX 311: Safety and Efficacy of D-PLEX in the Prevention of Post Abdominal Surgery Incisional Infection</t>
  </si>
  <si>
    <t>PolyPid Ltd.</t>
  </si>
  <si>
    <t>NCT04163562</t>
  </si>
  <si>
    <t>Oral Immunotherapy for Peanut Allergic Patients</t>
  </si>
  <si>
    <t>InnoUp Farma S.L.</t>
  </si>
  <si>
    <t>NCT04483115</t>
  </si>
  <si>
    <t>Acute Haemodynamic Study of TPN171H in Patients with Pulmonary Arterial Hypertension</t>
  </si>
  <si>
    <t>NCT04934774</t>
  </si>
  <si>
    <t>Non-gene Edited Anti-CD7 CAR T Cells for Relapsed/Refractory T Cell Malignances</t>
  </si>
  <si>
    <t>iCell Gene Therapeutics</t>
  </si>
  <si>
    <t>NCT04312997</t>
  </si>
  <si>
    <t>The Use of PUL-042 Inhalation Solution to Reduce the Severity of COVID-19 in Adults Positive for SARS-CoV-2 Infection</t>
  </si>
  <si>
    <t>NCT04319224</t>
  </si>
  <si>
    <t>Vopratelimab (JTX-2011) Alone and in Combination With Anti-Programmed Cell Death Protein 1 (PD-1) or Anti-Cytotoxic T-Lymphocyte Antigen 4 (CTLA-4) in Subjects With Advanced and/or Refractory Solid Tumors</t>
  </si>
  <si>
    <t>NCT04657926</t>
  </si>
  <si>
    <t>A Trial of APPA in the Treatment of Knee Osteoarthritis</t>
  </si>
  <si>
    <t>AKL Research and Development</t>
  </si>
  <si>
    <t>NCT04524689</t>
  </si>
  <si>
    <t>Tusamitamab Ravtansine (SAR408701) in Combination With Pembrolizumab and Tusamitamab Ravtansine (SAR408701) in Combination With Pembrolizumab and Platinum-based Chemotherapy With or Without Pemetrexed in Patients With NSQ NSCLC</t>
  </si>
  <si>
    <t>NCT04440423</t>
  </si>
  <si>
    <t>Bioavailability of Clotiazepam 5 mg With Regards to Reference Product</t>
  </si>
  <si>
    <t>NCT04228601</t>
  </si>
  <si>
    <t>A Study of Fluzoparib in Combination With mFOLFIRINOX in Patients With Advanced Pancreatic Cancer</t>
  </si>
  <si>
    <t>NCT04798430</t>
  </si>
  <si>
    <t>Long-term Efficacy and Safety of OLE LIB003 in HoFH, HeFH, and High-risk CVD Patients Requiring Further LDL-C Reduction</t>
  </si>
  <si>
    <t>LIB Therapeutics LLC</t>
  </si>
  <si>
    <t>NCT04622228</t>
  </si>
  <si>
    <t>Study of Low-Dose Radiotherapy (LDRT) Concurrent Cisplatin/Carboplatin Plus Etoposide With Atezolizumab for Patients With Extensive-Stage Small Cell Lung Cancer</t>
  </si>
  <si>
    <t>NCT04249362</t>
  </si>
  <si>
    <t>Study of Durvalumab Following Radiation Therapy in Patients With Stage 3 Unresectable NSCLC Ineligible for Chemotherapy</t>
  </si>
  <si>
    <t>NCT04096560</t>
  </si>
  <si>
    <t>A Study of TAK-994 in Adults With Type 1 and Type 2 Narcolepsy</t>
  </si>
  <si>
    <t>NCT04256174</t>
  </si>
  <si>
    <t>A Study of AK120 (IL-4Rα) in Healthy Subjects and Subjects With Moderate- to- Severe Atopic Dermatitis</t>
  </si>
  <si>
    <t>NCT04003818</t>
  </si>
  <si>
    <t>Efficacy and Safety of Teicoplanin in CDAD</t>
  </si>
  <si>
    <t>NCT04606446</t>
  </si>
  <si>
    <t>Study of PF-07248144 in Advanced or Metastatic Solid Tumors</t>
  </si>
  <si>
    <t>NCT04364269</t>
  </si>
  <si>
    <t>Safety, Tolerability, Pharmacokinetics (PK), Pharmacodynamics (PD) and Preliminary Efficacy of VIT-2763 in β-thalassaemia</t>
  </si>
  <si>
    <t>Vifor (International) Inc.</t>
  </si>
  <si>
    <t>NCT03937154</t>
  </si>
  <si>
    <t>Study of Romiplostim for Chemotherapy-induced Thrombocytopenia in Adult Subjects With Non-small Cell Lung Cancer (NSCLC), Ovarian Cancer, or Breast Cancer</t>
  </si>
  <si>
    <t>NCT04414618</t>
  </si>
  <si>
    <t>A Study of Opaganib in Coronavirus Disease 2019 Pneumonia</t>
  </si>
  <si>
    <t>NCT04181762</t>
  </si>
  <si>
    <t>Study of Safety, Efficacy and Tolerability of Secukinumab Versus Placebo, in Combination With SoC Therapy, in Patients With Active Lupus Nephritis</t>
  </si>
  <si>
    <t>NCT04289662</t>
  </si>
  <si>
    <t>K-924 Phase III Long Term Study</t>
  </si>
  <si>
    <t>Kowa Company, Ltd.</t>
  </si>
  <si>
    <t>NCT04854642</t>
  </si>
  <si>
    <t>A Single Dose Study About the Influence of Food on the Oral Bioavailability of Ladarixin Capsule in Healthy Volunteers</t>
  </si>
  <si>
    <t>NCT04447469</t>
  </si>
  <si>
    <t>Study of Mavrilimumab (KPL-301) in Participants Hospitalized With Severe Corona Virus Disease 2019 (COVID-19) Pneumonia and Hyper-inflammation</t>
  </si>
  <si>
    <t>Kiniksa Pharmaceuticals International, plc</t>
  </si>
  <si>
    <t>NCT04452669</t>
  </si>
  <si>
    <t>VentaProst in Subjects With COVID-19 Requiring Mechanical Ventilation</t>
  </si>
  <si>
    <t>Aerogen Pharma Limited</t>
  </si>
  <si>
    <t>NCT04640480</t>
  </si>
  <si>
    <t>Dose-finding Study to Evaluate the Safety, Tolerability, and Pharmacokinetics of SNB-101(SN-38) in Patients With Tumors</t>
  </si>
  <si>
    <t>SN BioScience</t>
  </si>
  <si>
    <t>NCT04794803</t>
  </si>
  <si>
    <t>Reparixin in COVID-19 Pneumonia - Efficacy and Safety</t>
  </si>
  <si>
    <t>NCT04101227</t>
  </si>
  <si>
    <t>Study to Evaluate AD04 in Adults With Alcohol Use Disorder (AUD) and Selected Serotonin Transporter Polymorphisms</t>
  </si>
  <si>
    <t>Adial Pharmaceuticals</t>
  </si>
  <si>
    <t>NCT04436744</t>
  </si>
  <si>
    <t>A Study to Evaluate the Efficacy, Safety, and Pharmacokinetics of Giredestrant Plus Palbociclib Compared With Anastrozole Plus Palbociclib for Postmenopausal Women With Estrogen Receptor-Positive and HER2-Negative Untreated Early Breast Cancer (coopERA Breast Cancer)</t>
  </si>
  <si>
    <t>NCT04572698</t>
  </si>
  <si>
    <t>A Study to Compare LY09004 and Eylea in the Treatment of Wet Age-related Macular Degeneration（wAMD）</t>
  </si>
  <si>
    <t>NCT04643093</t>
  </si>
  <si>
    <t>Compare the Efficacy and Safety of 1PC111 With Pitavastatin and Ezetimibe in Patients With Primary Hypercholesterolemia or Mixed Dyslipidemia</t>
  </si>
  <si>
    <t>Orient Pharma Co., Ltd.</t>
  </si>
  <si>
    <t>NCT05581992</t>
  </si>
  <si>
    <t>Study to Evaluate the Drug-drug Interaction Effect of Omeprazole on the Pharmacokinetics (PK) of AMG 510 in Healthy Participants</t>
  </si>
  <si>
    <t>NCT04225936</t>
  </si>
  <si>
    <t>A Single-dose Study to Evaluate the Pharmacokinetics, Safety, and Tolerability of BMS-986263 in Participants With Varying Degrees of Liver Impairment</t>
  </si>
  <si>
    <t>NCT04450732</t>
  </si>
  <si>
    <t>Safety of GQ1001 in Adult Patients With HER2-Positive Advanced Solid Tumors</t>
  </si>
  <si>
    <t>GeneQuantum Healthcare (Suzhou) Co., Ltd.</t>
  </si>
  <si>
    <t>NCT04522830</t>
  </si>
  <si>
    <t>A Study in Adults to Test the Effects of Low Dose Thimerosal on Symptoms of COVID-19</t>
  </si>
  <si>
    <t>Beech Tree Labs, Inc.</t>
  </si>
  <si>
    <t>NCT04601844</t>
  </si>
  <si>
    <t>Safety, Tolerability, Pharmacokinetics, and Pharmacodynamics of Pozelimab in Combination With Cemdisiran in Healthy Adult Volunteers</t>
  </si>
  <si>
    <t>NCT06987864</t>
  </si>
  <si>
    <t>An Extension Clinical Study of BCD-148 for the Treatment of Patients With PNH Previously Treated in Clinical Study No. BCD-148-2/NOCTURN</t>
  </si>
  <si>
    <t>NCT04658199</t>
  </si>
  <si>
    <t>A Study to Test the Safety and Tolerability of Long-term UCB0107 Administration in Study Participants With Progressive Supranuclear Palsy</t>
  </si>
  <si>
    <t>NCT04152863</t>
  </si>
  <si>
    <t>Efficacy, Safety, and Tolerability of Gebasaxturev (V937) Administered Intravenously or Intratumorally With Pembrolizumab (MK-3475) Versus Pembrolizumab Alone in Participants With Advanced/Metastatic Melanoma (V937-011)</t>
  </si>
  <si>
    <t>NCT04574401</t>
  </si>
  <si>
    <t>A Phase 1 Study of IS-002 Injection in Patients Undergoing Robotic Prostatectomy</t>
  </si>
  <si>
    <t>Intuitive Surgical</t>
  </si>
  <si>
    <t>NCT04286412</t>
  </si>
  <si>
    <t>Nonacog Alfa Prophylaxis And Treatment Of Bleeding Episodes In Previously Treated Patients With Hemophilia B</t>
  </si>
  <si>
    <t>NCT04333134</t>
  </si>
  <si>
    <t>A Trial of SHR3162 in Healthy Caucasian Volunteers</t>
  </si>
  <si>
    <t>NCT04139434</t>
  </si>
  <si>
    <t>Dose-Escalation Study of Oral Administration of LP-108 as Monotherapy and in Combination With Azacitidine in Patients With Relapsed or Refractory MDS, CMML, or AML</t>
  </si>
  <si>
    <t>Newave Pharmaceutical Inc</t>
  </si>
  <si>
    <t>NCT04570267</t>
  </si>
  <si>
    <t>Pharmacokinetics and Safety of Subcutaneous CSL324 in Healthy Japanese and White Subjects</t>
  </si>
  <si>
    <t>NCT04655118</t>
  </si>
  <si>
    <t>Study of TL-895 in Subjects With Myelofibrosis or Indolent Systemic Mastocytosis</t>
  </si>
  <si>
    <t>Telios Pharma, Inc.</t>
  </si>
  <si>
    <t>NCT04081597</t>
  </si>
  <si>
    <t>A Study of Single Ascending Doses of STAR-101 in Healthy Participants</t>
  </si>
  <si>
    <t>Acanthas Pharma Inc</t>
  </si>
  <si>
    <t>NCT04555096</t>
  </si>
  <si>
    <t>A Trial of GC4419 in Patients With Critical Illness Due to COVID-19</t>
  </si>
  <si>
    <t>Galera Therapeutics, Inc.</t>
  </si>
  <si>
    <t>NCT03818542</t>
  </si>
  <si>
    <t>A Study to Assess the Effects of Multiple Study Drug Regimens in Subjects With Newly Diagnosed Locally Advanced Head and Neck Squamous Cell Carcinoma</t>
  </si>
  <si>
    <t>NCT04465890</t>
  </si>
  <si>
    <t>A Phase II Study of Subcutaneously Injected PD-L1 Antibody ASC22 in Chronic Hepatitis B Patients</t>
  </si>
  <si>
    <t>NCT03458325</t>
  </si>
  <si>
    <t>Furoscix Real-World Evaluation for Decreasing Hospital Admissions in Heart Failure</t>
  </si>
  <si>
    <t>scPharmaceuticals, Inc.</t>
  </si>
  <si>
    <t>NCT04382040</t>
  </si>
  <si>
    <t>A Phase II, Controlled Clinical Study Designed to Evaluate the Effect of ArtemiC in Patients Diagnosed With COVID-19</t>
  </si>
  <si>
    <t>MGC Pharmaceuticals d.o.o</t>
  </si>
  <si>
    <t>NCT04353518</t>
  </si>
  <si>
    <t>Clinical Trial to Evaluate Mycobacterium w in Preventing COVID-19 in Subjects at Risk of Getting Infected With COVID-19</t>
  </si>
  <si>
    <t>NCT04654182</t>
  </si>
  <si>
    <t>Evaluation of the Residual Antimicrobial Efficacy of One Test Material Based on a Modification of ASTM E1115-11 Test Method</t>
  </si>
  <si>
    <t>Molnlycke Health Care AB</t>
  </si>
  <si>
    <t>NCT04259346</t>
  </si>
  <si>
    <t>A Study of Two Formulations of Ixekizumab in Healthy Participants</t>
  </si>
  <si>
    <t>NCT04018313</t>
  </si>
  <si>
    <t>To Compare the PK and Safety of Omalizumab (CT-P39, EU-approved Xolair, and US-licensed Xolair) in Healthy Subjects</t>
  </si>
  <si>
    <t>NCT04265261</t>
  </si>
  <si>
    <t>A Study to Investigate the Efficacy and Safety of RG7774 in Patients With Diabetes Mellitus Type 1 or Type 2 With Treatment-Naive Diabetic Retinopathy</t>
  </si>
  <si>
    <t>NCT04565717</t>
  </si>
  <si>
    <t>A Study of ALN-HSD in Healthy Adult Subjects and Adult Patients With Nonalcoholic Steatohepatitis (NASH)</t>
  </si>
  <si>
    <t>Alnylam Pharmaceuticals</t>
  </si>
  <si>
    <t>NCT04749173</t>
  </si>
  <si>
    <t>To Assess the Safety, Tolerability and Pharmacokinetic Properties of Niclosamide Injectable (DWRX2003) Which is the Treatment of COVID-19 in Healthy Volunteers.</t>
  </si>
  <si>
    <t>NCT04477369</t>
  </si>
  <si>
    <t>Safety and Pharmacokinetics of DWJ1439, DWJ1464, DWC202003 or DWC202004 in Healthy Volunteers</t>
  </si>
  <si>
    <t>NCT04475588</t>
  </si>
  <si>
    <t>Efficacy and Safety of Itolizumab in COVID-19 Complications</t>
  </si>
  <si>
    <t>Biocon Limited</t>
  </si>
  <si>
    <t>NCT04400695</t>
  </si>
  <si>
    <t>A Study of RC48-ADC for the Treatment of Locally Advanced or Metastatic Breast Cancer With Low Expression of HER2</t>
  </si>
  <si>
    <t>NCT04810637</t>
  </si>
  <si>
    <t>A Study to Evaluate the Safety and Efficacy of GX-I7 in Elderly Patients With Asymptomatic or Mild Symptoms of COVID-19</t>
  </si>
  <si>
    <t>PT Kalbe Genexine Biologics</t>
  </si>
  <si>
    <t>NCT04480736</t>
  </si>
  <si>
    <t>A Study of JNJ-64281802 Against Dengue Serotype 1 Infection in a Dengue Human Challenge Model in Healthy Adult Participants</t>
  </si>
  <si>
    <t>NCT04206553</t>
  </si>
  <si>
    <t>A Study to Evaluate the Efficacy and Safety of Dupilumab in Adult Patients With Bullous Pemphigoid</t>
  </si>
  <si>
    <t>NCT04362007</t>
  </si>
  <si>
    <t>A Phase I/II Study of ASTX660 in Patients With Relapsed or Refractory T-cell Lymphoma</t>
  </si>
  <si>
    <t>NCT04890795</t>
  </si>
  <si>
    <t>A Phase Ib / IIA Study of AL8326 in Small Cell Lung Cancer</t>
  </si>
  <si>
    <t>Advenchen Laboratories Nanjing Ltd.</t>
  </si>
  <si>
    <t>NCT04553692</t>
  </si>
  <si>
    <t>Phase 1a/1b Study of Aplitabart (IGM-8444) Alone or in Combination in Participants with Relapsed, Refractory, or Newly Diagnosed Cancers</t>
  </si>
  <si>
    <t>IGM Biosciences, Inc.</t>
  </si>
  <si>
    <t>NCT04380701</t>
  </si>
  <si>
    <t>A Trial Investigating the Safety and Effects of Four BNT162 Vaccines Against COVID-19 in Healthy and Immunocompromised Adults</t>
  </si>
  <si>
    <t>NCT04487067</t>
  </si>
  <si>
    <t>A Study of Atezolizumab (Tecentriq) in Combination With Bevacizumab to Investigate Safety and Efficacy in Patients With Unresectable Hepatocellular Carcinoma Not Previously Treated With Systemic Therapy-Amethista</t>
  </si>
  <si>
    <t>NCT04505839</t>
  </si>
  <si>
    <t>First-In-Human Dose-Escalation Study of STP1002 in Patients With Advanced-Stage Solid Tumors</t>
  </si>
  <si>
    <t>ST Pharm Co., Ltd.</t>
  </si>
  <si>
    <t>NCT04824079</t>
  </si>
  <si>
    <t>Keynatinib in Treated Patients With NSCLC and Brain Metastases</t>
  </si>
  <si>
    <t>NCT04684394</t>
  </si>
  <si>
    <t>A Multiple Dose Study of Repeat Intravitreal Injections of GEM103 in Neovascular Age-related Macular Degeneration</t>
  </si>
  <si>
    <t>Gemini Therapeutics, Inc.</t>
  </si>
  <si>
    <t>NCT04401813</t>
  </si>
  <si>
    <t>Efficacy and Safety of IBI310 Combined with Sintilimab in Patients with Advanced Hepatocellular Carcinoma</t>
  </si>
  <si>
    <t>NCT04256980</t>
  </si>
  <si>
    <t>Pemigatinib in Treating Patients With Advanced/Metastatic or Surgically Unresectable Cholangiocarcinoma Including FGFR2 Rearrangement</t>
  </si>
  <si>
    <t>NCT04622046</t>
  </si>
  <si>
    <t>A Phase 3 Study of ALXN2060 in Japanese Participants With Symptomatic ATTR-CM</t>
  </si>
  <si>
    <t>NCT04451954</t>
  </si>
  <si>
    <t>Study of Recombinant Influenza Vaccine Containing Different H3 Antigens Without or With Adjuvant in Healthy Adult Subjects</t>
  </si>
  <si>
    <t>NCT04232280</t>
  </si>
  <si>
    <t>Dose-Finding Trial to Evaluate the Safety and Immunogenicity of Cytomegalovirus (CMV) Vaccine mRNA-1647 in Healthy Adults</t>
  </si>
  <si>
    <t>NCT04742283</t>
  </si>
  <si>
    <t>Multicenter Study Assessing the Efficacy and Safety of DE-126 Ophthalmic Solution 0.002% Compared With Timolol Maleate Ophthalmic Solution 0.5% in Subjects With Primary Open Angle Glaucoma or Ocular Hypertension</t>
  </si>
  <si>
    <t>Santen Inc.</t>
  </si>
  <si>
    <t>NCT04411680</t>
  </si>
  <si>
    <t>Study of Sargramostim in Patients With COVID-19</t>
  </si>
  <si>
    <t>Partner Therapeutics, Inc.</t>
  </si>
  <si>
    <t>NCT04419688</t>
  </si>
  <si>
    <t>A First in Human Study of STT-5058, an Antibody That Binds ApoC3</t>
  </si>
  <si>
    <t>Staten Biotechnology BV</t>
  </si>
  <si>
    <t>NCT04547894</t>
  </si>
  <si>
    <t>A Study of the Pharmacokinetics of ASC09F in Healthy Subjects</t>
  </si>
  <si>
    <t>NCT04535531</t>
  </si>
  <si>
    <t>A Phase 3 Molluscum Contagiosum Efficacy and Safety Study</t>
  </si>
  <si>
    <t>Novan, Inc.</t>
  </si>
  <si>
    <t>NCT05170841</t>
  </si>
  <si>
    <t>Study Evaluating Dexketoprofen Trometamol/Tramadol Hydrochloride Analgesic Efficacy in Acute Low Back Pain</t>
  </si>
  <si>
    <t>Menarini International Operations Luxembourg SA</t>
  </si>
  <si>
    <t>NCT04424927</t>
  </si>
  <si>
    <t>PRV-015 in Gluten-free Diet Non-responsive Celiac Disease</t>
  </si>
  <si>
    <t>Provention Bio, a Sanofi Company</t>
  </si>
  <si>
    <t>NCT04649203</t>
  </si>
  <si>
    <t>Cytoflavin in the Treatment of Patients With Diabetic Polyneuropathy</t>
  </si>
  <si>
    <t>NCT04159805</t>
  </si>
  <si>
    <t>A Study of TAK-079 in People With Generalized Myasthenia Gravis</t>
  </si>
  <si>
    <t>NCT04185090</t>
  </si>
  <si>
    <t>To Evaluate the Pharmacokinetic/Pharmacodynamic Interactions and Safety Between ID1801 and ID1803 in Healthy Male Adults</t>
  </si>
  <si>
    <t>NCT04071379</t>
  </si>
  <si>
    <t>Comparison of Immunogenicity and Safety of DTP-HB-Hib (Bio Farma) With Pentabio® Vaccine Primed With Recombinant Hepatitis B</t>
  </si>
  <si>
    <t>PT Bio Farma</t>
  </si>
  <si>
    <t>NCT04383574</t>
  </si>
  <si>
    <t>Safety and Immunogenicity Study of Inactivated Vaccine for Prevention of SARS-CoV-2 Infection(COVID-19)</t>
  </si>
  <si>
    <t>Sinovac Life Sciences Co., Ltd.</t>
  </si>
  <si>
    <t>NCT04537910</t>
  </si>
  <si>
    <t>A Study of LY3819253 (LY-CoV555) in Healthy Participants</t>
  </si>
  <si>
    <t>NCT04215120</t>
  </si>
  <si>
    <t>Desidustat in the Treatment of Anemia in CKD on Dialysis Patients</t>
  </si>
  <si>
    <t>NCT04585750</t>
  </si>
  <si>
    <t>The Evaluation of PC14586 in Patients With Advanced Solid Tumors Harboring a TP53 Y220C Mutation (PYNNACLE)</t>
  </si>
  <si>
    <t>PMV Pharmaceuticals, Inc</t>
  </si>
  <si>
    <t>NCT04688320</t>
  </si>
  <si>
    <t>Massive Pulmonary Embolism: Trial of Non-immunogenic Recombinant Staphylokinase VS Alteplase FORPE</t>
  </si>
  <si>
    <t>Supergene, LLC</t>
  </si>
  <si>
    <t>NCT04209179</t>
  </si>
  <si>
    <t>A Clinical Study Investigating the Safety, Tolerability, PK and PD of PCO371 in Patients With Hypoparathyroidism</t>
  </si>
  <si>
    <t>NCT04559568</t>
  </si>
  <si>
    <t>A Study of LY3522348 in Healthy Participants</t>
  </si>
  <si>
    <t>NCT04336449</t>
  </si>
  <si>
    <t>Eptinezumab in Healthy Japanese Subjects</t>
  </si>
  <si>
    <t>NCT04561752</t>
  </si>
  <si>
    <t>A Food Effect Study With ZN-c5 in Healthy Post-Menopausal Subjects</t>
  </si>
  <si>
    <t>NCT04555655</t>
  </si>
  <si>
    <t>The Effects of Chicken Extract and a Peptide Supplement for the Prevention of Cognitive Decline in Non-demented Elderly Adults</t>
  </si>
  <si>
    <t>Brand's Suntory Asia</t>
  </si>
  <si>
    <t>NCT04524455</t>
  </si>
  <si>
    <t>Blinatumomab in Combination With AMG 404 for the Treatment of Adults With Relapsed or Refractory B Cell Precursor ALL</t>
  </si>
  <si>
    <t>NCT04240158</t>
  </si>
  <si>
    <t>IW-6463 Safety Study in Healthy Elderly Subjects</t>
  </si>
  <si>
    <t>NCT04405349</t>
  </si>
  <si>
    <t>Investigating the Combination of VB10.16 and Atezolizumab in Patients With HPV 16-positive Cervical Cancer</t>
  </si>
  <si>
    <t>Nykode Therapeutics ASA</t>
  </si>
  <si>
    <t>NCT04322552</t>
  </si>
  <si>
    <t>A Pharmacokinetic Interaction Study Between Apatinib Mesylate and Transporter Pgp Substrate Digoxin in Advanced Solid Tumor Subjects</t>
  </si>
  <si>
    <t>NCT04470141</t>
  </si>
  <si>
    <t>A Study of SHC014748M in Patients With Relapsed or Refractory Peripheral T Cell Lymphoma</t>
  </si>
  <si>
    <t>NCT04541888</t>
  </si>
  <si>
    <t>Assess the Safety and Efficacy of CsA Ophthalmic Gel in Subjects With Moderate to Severe Dry Eye Disease</t>
  </si>
  <si>
    <t>NCT04268303</t>
  </si>
  <si>
    <t>Dexmedetomidine in the Treatment of Agitation Associated With Schizophrenia</t>
  </si>
  <si>
    <t>NCT04362670</t>
  </si>
  <si>
    <t>Study to Evaluate the Safety, Tolerability, and Efficacy of OTX-CSI in Subjects With Dry Eye Disease.</t>
  </si>
  <si>
    <t>NCT04313205</t>
  </si>
  <si>
    <t>A Pharmacokinetic Study of JKB-122 Tablets Compared to Capsule</t>
  </si>
  <si>
    <t>NCT04219826</t>
  </si>
  <si>
    <t>Dose-finding Study to Evaluate the Safety, Tolerability, Pharmacokinetics, and Pharmacodynamics of CK-3773274 in Adults With Hypertrophic Cardiomyopathy</t>
  </si>
  <si>
    <t>Cytokinetics</t>
  </si>
  <si>
    <t>NCT04306926</t>
  </si>
  <si>
    <t>A Study of TQB2450 Injection Combined With Stereotactic Body Radiation Therapy (SBRT) in Subjects With Advanced Oligometastatic Non-Small Cell Lung Cancer</t>
  </si>
  <si>
    <t>NCT04398758</t>
  </si>
  <si>
    <t>Moisturizer Mediated Prevention of Symptoms of Atopic Dermatitis in Early Childhood</t>
  </si>
  <si>
    <t>NCT05731752</t>
  </si>
  <si>
    <t>Study on the Tolerability and Pharmacokinetics of HX009 in Patients With Advanced Solid Tumors</t>
  </si>
  <si>
    <t>Hangzhou Hanx Biopharmaceuticals, Ltd.</t>
  </si>
  <si>
    <t>NCT04430738</t>
  </si>
  <si>
    <t>Tucatinib Plus Trastuzumab and Oxaliplatin-based Chemotherapy or Pembrolizumab-containing Combinations for HER2+ Gastrointestinal Cancers</t>
  </si>
  <si>
    <t>NCT04517149</t>
  </si>
  <si>
    <t>4D-125 in Patients With X-Linked Retinitis Pigmentosa (XLRP)</t>
  </si>
  <si>
    <t>NCT04419558</t>
  </si>
  <si>
    <t>Zephyrus II: Efficacy and Safety Study of Pamrevlumab in Participants With Idiopathic Pulmonary Fibrosis (IPF)</t>
  </si>
  <si>
    <t>NCT04551352</t>
  </si>
  <si>
    <t>A Study of RO7293583 in Participants With Unresectable Metastatic Tyrosinase Related Protein 1 (TYRP1)-Positive Melanomas</t>
  </si>
  <si>
    <t>NCT04437693</t>
  </si>
  <si>
    <t>Post Exposure Prophylaxis in Healthcare Workers Exposed to COVID-19 Patients</t>
  </si>
  <si>
    <t>NCT04268784</t>
  </si>
  <si>
    <t>A Study to Evaluate the Safety, Tolerability, Pharmacokinetics, and Pharmacodynamics of DNL343 in Healthy Volunteers</t>
  </si>
  <si>
    <t>NCT04255433</t>
  </si>
  <si>
    <t>A Study of Tirzepatide (LY3298176) Compared With Dulaglutide on Major Cardiovascular Events in Participants With Type 2 Diabetes</t>
  </si>
  <si>
    <t>NCT04684147</t>
  </si>
  <si>
    <t>Clinical Trial of CNCT19 Cell Injection in the Treatment of Relapsed or Refractory Acute Lymphoblastic Leukemia</t>
  </si>
  <si>
    <t>NCT04557449</t>
  </si>
  <si>
    <t>Study to Test the Safety and Tolerability of PF-07220060 in Participants With Advance Solid Tumors</t>
  </si>
  <si>
    <t>NCT04155710</t>
  </si>
  <si>
    <t>Study of Autologous Peripheral Blood Lymphocytes in the Treatment of Patients With CLL or SLL</t>
  </si>
  <si>
    <t>Iovance Biotherapeutics, Inc.</t>
  </si>
  <si>
    <t>NCT04495920</t>
  </si>
  <si>
    <t>Clinical Evaluation of the Residual Antimicrobial Activity</t>
  </si>
  <si>
    <t>CAGE Bio Inc.</t>
  </si>
  <si>
    <t>NCT04306224</t>
  </si>
  <si>
    <t>A Study of IMC-002 in Subjects With Metastatic or Locally Advanced Solid Tumors and Relapsed or Refractory Lymphomas</t>
  </si>
  <si>
    <t>ImmuneOncia Therapeutics Inc.</t>
  </si>
  <si>
    <t>NCT04239313</t>
  </si>
  <si>
    <t>A Phase Ib Study of the Recombinant Mycobacterium Tuberculosis Vaccine Freeze-dried (AEC/BC02)</t>
  </si>
  <si>
    <t>NCT04421820</t>
  </si>
  <si>
    <t>BOLD-100 in Combination With FOLFOX for the Treatment of Advanced Solid Tumours</t>
  </si>
  <si>
    <t>Bold Therapeutics, Inc.</t>
  </si>
  <si>
    <t>NCT04556760</t>
  </si>
  <si>
    <t>Study to Assess the Effect on Glucose Homeostasis of Two Dose Levels of AZD9567, Compared to Prednisolone, in Adults With Type 2 Diabetes</t>
  </si>
  <si>
    <t>NCT04674488</t>
  </si>
  <si>
    <t>TILs for Treatment of Metastatic or Recurrent Cervical Cancer</t>
  </si>
  <si>
    <t>Shanghai OriginCell Therapeutics Co., Ltd.</t>
  </si>
  <si>
    <t>NCT04628780</t>
  </si>
  <si>
    <t>Study to Test the Safety and Tolerability of PF-07209960 in Advanced or Metastatic Solid Tumors</t>
  </si>
  <si>
    <t>NCT04306146</t>
  </si>
  <si>
    <t>Study of CAD-9303 in Subjects With Schizophrenia</t>
  </si>
  <si>
    <t>Cadent Therapeutics</t>
  </si>
  <si>
    <t>NCT04109482</t>
  </si>
  <si>
    <t>Trial to Evaluate the Safety and Efficacy of MB-102 in Patients With BPDCN.</t>
  </si>
  <si>
    <t>Mustang Bio</t>
  </si>
  <si>
    <t>NCT04508179</t>
  </si>
  <si>
    <t>A Phase 1 SAD and MAD Study of the Safety, Tolerability and PK of 7HP349 in Normal Healthy Male Subjects</t>
  </si>
  <si>
    <t>7 Hills Pharma, LLC</t>
  </si>
  <si>
    <t>NCT04503746</t>
  </si>
  <si>
    <t>A Study to Evaluate the Efficacy and Safety of ALH-L1005 in Patients With Chronic Periodontitis</t>
  </si>
  <si>
    <t>AngioLab, Inc.</t>
  </si>
  <si>
    <t>NCT04463264</t>
  </si>
  <si>
    <t>Efficacy and Safety Study of Nitazoxanide (NTX) in the Treatment of Patients With SARS-CoV-2 Virus Infection (COVID-19)</t>
  </si>
  <si>
    <t>Laboratorios Roemmers S.A.I.C.F.</t>
  </si>
  <si>
    <t>NCT04643587</t>
  </si>
  <si>
    <t>Study to Assess CSL787 in Non-cystic Fibrosis Bronchiectasis (NCFB)</t>
  </si>
  <si>
    <t>NCT04465487</t>
  </si>
  <si>
    <t>Study of REGN6569 and Cemiplimab in Adult Patients With Advanced Solid Tumor Malignancies</t>
  </si>
  <si>
    <t>NCT04629287</t>
  </si>
  <si>
    <t>Safety,Tolerability, and Pharmacokinetic of KPCXM18 for Injection</t>
  </si>
  <si>
    <t>Kunming Pharmaceuticals, Inc.</t>
  </si>
  <si>
    <t>NCT04551898</t>
  </si>
  <si>
    <t>Severe Acute Respiratory Syndrome Coronavirus 2 (SARS-CoV-2) Neutralizing Antibody BGB-DXP593 in Participants With Mild-to-Moderate Coronavirus Disease 2019 (COVID-19)</t>
  </si>
  <si>
    <t>NCT04303156</t>
  </si>
  <si>
    <t>Pharmacokinetics of Islatravir in Participants With Severe Renal Impairment (MK-8591-026)</t>
  </si>
  <si>
    <t>NCT04248829</t>
  </si>
  <si>
    <t>Clinical Trial of YH25448(Lazertinib) as the First-line Treatment in Patients With EGFR Mutation Positive Locally Advanced or Metastatic NSCLC (LASER301)</t>
  </si>
  <si>
    <t>NCT04532931</t>
  </si>
  <si>
    <t>Four Different Experimental Drug Regimens to Standard of Care for the Treatment of Symptomatic Outpatients With COVID-19</t>
  </si>
  <si>
    <t>Shin Poong Pharmaceutical Co. Ltd.</t>
  </si>
  <si>
    <t>NCT04211272</t>
  </si>
  <si>
    <t>A 2-part Study to Investigate the Effect of Macitentan in Healthy Male Participants</t>
  </si>
  <si>
    <t>NCT04151719</t>
  </si>
  <si>
    <t>An Extension Study of Methylnaltrexone Bromide (MNTX) in Participants With Advanced Pancreatic Cancer</t>
  </si>
  <si>
    <t>NCT04321031</t>
  </si>
  <si>
    <t>Metabolic Interventions to Resolve Non-alcoholic Steatohepatitis (NASH) With Fibrosis (MIRNA)</t>
  </si>
  <si>
    <t>NCT04305275</t>
  </si>
  <si>
    <t>A Study to Evaluate the Efficacy, Safety, and Tolerability of SAGE-324 in Participants With Essential Tremor</t>
  </si>
  <si>
    <t>NCT04882007</t>
  </si>
  <si>
    <t>Study of OSE-127 vs Placebo in Patients With Moderate to Severe Active Ulcerative Colitis</t>
  </si>
  <si>
    <t>OSE Immunotherapeutics</t>
  </si>
  <si>
    <t>NCT04084951</t>
  </si>
  <si>
    <t>Study of SQZ-PBMC-HPV in Patients With HPV16+ Recurrent, Locally Advanced or Metastatic Solid Tumors</t>
  </si>
  <si>
    <t>SQZ Biotechnologies</t>
  </si>
  <si>
    <t>NCT04568031</t>
  </si>
  <si>
    <t>Study of AZD1222 for the Prevention of COVID-19 in Japan</t>
  </si>
  <si>
    <t>NCT03176472</t>
  </si>
  <si>
    <t>Ricolinostat in Patients With Painful Diabetic Peripheral Neuropathy</t>
  </si>
  <si>
    <t>Regenacy Pharmaceuticals LLC</t>
  </si>
  <si>
    <t>NCT04426695</t>
  </si>
  <si>
    <t>Safety, Tolerability, and Efficacy of Anti-Spike (S) SARS-CoV-2 Monoclonal Antibodies for Hospitalized Adult Patients With COVID-19</t>
  </si>
  <si>
    <t>NCT04336098</t>
  </si>
  <si>
    <t>Study of SRF617 in Patients With Advanced Solid Tumors</t>
  </si>
  <si>
    <t>NCT05172622</t>
  </si>
  <si>
    <t>Safety, Tolerability, and Pharmacokinetic and Pharmacodynamic Characteristics of JP-2266 in Healthy Subjects</t>
  </si>
  <si>
    <t>Jeil Pharmaceutical Co., Ltd.</t>
  </si>
  <si>
    <t>NCT04261712</t>
  </si>
  <si>
    <t>A Study to Evaluate the Long-Term Safety and Efficacy of Paltusotine for the Treatment of Acromegaly (ACROBAT Advance)</t>
  </si>
  <si>
    <t>NCT04445519</t>
  </si>
  <si>
    <t>Phase 3 Trial of NCX 470 vs. Latanoprost in Subjects With Open-Angle Glaucoma or Ocular Hypertension</t>
  </si>
  <si>
    <t>NCT04205019</t>
  </si>
  <si>
    <t>Safety Stem Cells in Spinal Cord Injury</t>
  </si>
  <si>
    <t>Neuroplast</t>
  </si>
  <si>
    <t>NCT04302519</t>
  </si>
  <si>
    <t>Novel Coronavirus Induced Severe Pneumonia Treated by Dental Pulp Mesenchymal Stem Cells</t>
  </si>
  <si>
    <t>CAR-T (Shanghai) Biotechnology Co., Ltd.</t>
  </si>
  <si>
    <t>NCT04411641</t>
  </si>
  <si>
    <t>Nonrelapsing Secondary Progressive Multiple Sclerosis (NRSPMS) Study of Bruton's Tyrosine Kinase (BTK) Inhibitor Tolebrutinib (SAR442168) (HERCULES)</t>
  </si>
  <si>
    <t>NCT04408794</t>
  </si>
  <si>
    <t>Long-term Safety Study of BHV-3500 (Zavegepant*) for the Acute Treatment of Migraine</t>
  </si>
  <si>
    <t>NCT04449861</t>
  </si>
  <si>
    <t>Durvalumab Plus Chemotherapy in ES-SCLC (Oriental)</t>
  </si>
  <si>
    <t>NCT04086342</t>
  </si>
  <si>
    <t>CHI-902 for Treatment of Social Anxiety Disorder</t>
  </si>
  <si>
    <t>NCT04649151</t>
  </si>
  <si>
    <t>A Study to Evaluate the Safety, Reactogenicity, and Effectiveness of mRNA-1273 Vaccine in Adolescents 12 to &lt;18 Years Old to Prevent COVID-19</t>
  </si>
  <si>
    <t>NCT04669002</t>
  </si>
  <si>
    <t>EP0057 in Combination With Olaparib in Advanced Ovarian Cancer</t>
  </si>
  <si>
    <t>NCT04261777</t>
  </si>
  <si>
    <t>Ferumoxtran-10-enhanced MRI in Prostate Cancer Patients</t>
  </si>
  <si>
    <t>Saving Patients' Lives Medical B.V.</t>
  </si>
  <si>
    <t>NCT04234672</t>
  </si>
  <si>
    <t>A Study to Assess Absolute Bioavailability (ABA) of TAK-831 and to Characterize Mass Balance, Pharmacokinetics (PK), Metabolism, and Excretion of [14C]TAK-831 in Male Healthy Participants</t>
  </si>
  <si>
    <t>Neurocrine Biosciences</t>
  </si>
  <si>
    <t>NCT04491877</t>
  </si>
  <si>
    <t>Study of an Live-Attenuated Respiratory Syncytial Virus Vaccine in Infants and Toddlers</t>
  </si>
  <si>
    <t>NCT04501666</t>
  </si>
  <si>
    <t>Study to Assess the Efficacy and Safety of Nemolizumab (CD14152) in Participants With Prurigo Nodularis (PN)</t>
  </si>
  <si>
    <t>NCT04652206</t>
  </si>
  <si>
    <t>Clinical Trial to Investigate Safety, Tolerability and MTD for SCO-101 in Combination With Gemcitabine and Nab-paclitaxel in Inoperable Pancreatic Cancer Patients.</t>
  </si>
  <si>
    <t>Scandion Oncology A/S</t>
  </si>
  <si>
    <t>NCT04502706</t>
  </si>
  <si>
    <t>Study of GS-0189 (Formerly FSI-189) as Monotherapy and in Combination With Rituximab in Participants With Relapsed/Refractory Non-Hodgkin Lymphoma</t>
  </si>
  <si>
    <t>NCT04644484</t>
  </si>
  <si>
    <t>A Phase III Clinical Study to Evaluate SYN023's Efficacy and Safety</t>
  </si>
  <si>
    <t>Synermore Biologics (Suzhou) Co., Ltd.</t>
  </si>
  <si>
    <t>NCT03726333</t>
  </si>
  <si>
    <t>Hepatic Impairment Study for Lorlatinib in Cancer Patients</t>
  </si>
  <si>
    <t>NCT04536415</t>
  </si>
  <si>
    <t>Bioequivalence Study of Oseltamivir Phosphate and TAMIFLU Under Fed Condition in Healthy Volunteers</t>
  </si>
  <si>
    <t>Austarpharma, LLC</t>
  </si>
  <si>
    <t>NCT04652076</t>
  </si>
  <si>
    <t>GYNecological Cancers Treated with NETrin MAbs in Combination with Chemotherapy and /or Pembrolizumab</t>
  </si>
  <si>
    <t>NETRIS Pharma</t>
  </si>
  <si>
    <t>NCT04304508</t>
  </si>
  <si>
    <t>Study to Gather Information About Proper Dosing and Safety of the Oral FXIa Inhibitor BAY 2433334 in Patients Following a Recent Non Cardioembolic Ischemic Stroke Which Occurs When a Blood Clot Has Formed Somewhere in the Human Body (But Not in the Heart) Travelled to the Brain.</t>
  </si>
  <si>
    <t>NCT04917315</t>
  </si>
  <si>
    <t>To Evaluate the Efficacy and Safety of JLP-2002 on Symptoms of Overactive Bladder</t>
  </si>
  <si>
    <t>NCT04504825</t>
  </si>
  <si>
    <t>A Study to Evaluate the Efficacy and Safety of CAEL-101 in Patients With Mayo Stage IIIb AL Amyloidosis (CARES)</t>
  </si>
  <si>
    <t>NCT04379076</t>
  </si>
  <si>
    <t>InterLeukin-7 (CYT107) to Improve Clinical Outcomes in Lymphopenic pAtients With COVID-19 Infection UK Cohort</t>
  </si>
  <si>
    <t>NCT04276415</t>
  </si>
  <si>
    <t>DS-6157a in Participants With Advanced Gastrointestinal Stromal Tumor (GIST)</t>
  </si>
  <si>
    <t>NCT03687476</t>
  </si>
  <si>
    <t>Safety and Tolerability Study of VTS-270 in Pediatric Participants With Niemann-Pick Type C (NPC) Disease</t>
  </si>
  <si>
    <t>Vtesse, LLC, a Mallinckrodt Pharmaceuticals Company</t>
  </si>
  <si>
    <t>NCT04353817</t>
  </si>
  <si>
    <t>A Study Evaluating Efficacy and Safety of Elexacaftor/Tezacaftor/Ivacaftor in Subjects 6 Through 11 Years of Age With Cystic Fibrosis and F/MF Genotypes</t>
  </si>
  <si>
    <t>NCT04440735</t>
  </si>
  <si>
    <t>A Study of DSP107 Alone and in Combination with Atezolizumab for Patients with Advanced Solid Tumors</t>
  </si>
  <si>
    <t>Kahr Medical</t>
  </si>
  <si>
    <t>NCT04403308</t>
  </si>
  <si>
    <t>ONO-7913 Phase I Study (ONO-7913)</t>
  </si>
  <si>
    <t>NCT04273217</t>
  </si>
  <si>
    <t>A Study to Determine the Safety of AV-1, an Antibody Being Developed for Treatment of Dengue, in Healthy Volunteers</t>
  </si>
  <si>
    <t>AbViro LLC</t>
  </si>
  <si>
    <t>NCT04161885</t>
  </si>
  <si>
    <t>A Study Evaluating Safety and Efficacy of Venetoclax in Combination With Azacitidine Versus Standard of Care After Allogeneic Stem Cell Transplantation (SCT) in Participants With Acute Myeloid Leukemia (AML)</t>
  </si>
  <si>
    <t>NCT04419649</t>
  </si>
  <si>
    <t>A Study of Elritercept to Treat Anemia in Adults With Very Low, Low, or Intermediate Risk Myelodysplastic Syndromes (MDS)</t>
  </si>
  <si>
    <t>NCT04401748</t>
  </si>
  <si>
    <t>Study Of Venetoclax Tablet With Intravenous or Subcutaneous Azacitidine to Assess Change in Disease Activity In Adult Participants With Newly Diagnosed Higher-Risk Myelodysplastic Syndrome</t>
  </si>
  <si>
    <t>NCT04333108</t>
  </si>
  <si>
    <t>Masitinib in Severe Indolent or Smoldering Systemic Mastocytosis Unresponsive to Optimal Symptomatic Treatment</t>
  </si>
  <si>
    <t>NCT04287985</t>
  </si>
  <si>
    <t>Safety and Efficacy Study of VIS649 for IgA Nephropathy</t>
  </si>
  <si>
    <t>NCT04705415</t>
  </si>
  <si>
    <t>A Single and Multiple Ascending Dose Study of Niclosamide in Healthy Volunteers</t>
  </si>
  <si>
    <t>NCT04468425</t>
  </si>
  <si>
    <t>Tofacitinib Citrate Topical Gel 3.2% FDA BA Bridging Study</t>
  </si>
  <si>
    <t>TWi Biotechnology, Inc.</t>
  </si>
  <si>
    <t>NCT04143217</t>
  </si>
  <si>
    <t>Open-label Long-Term Safety and Efficacy of SPN-812 (Viloxazine Extended-release Capsule) in Adults With ADHD</t>
  </si>
  <si>
    <t>NCT04446117</t>
  </si>
  <si>
    <t>Study of Cabozantinib in Combination With Atezolizumab Versus Second NHT in Subjects With mCRPC</t>
  </si>
  <si>
    <t>Exelixis</t>
  </si>
  <si>
    <t>NCT04404361</t>
  </si>
  <si>
    <t>PRE-VENT Study in Hospitalized Patients With Severe COVID-19 With or Without Cancer</t>
  </si>
  <si>
    <t>CTI BioPharma</t>
  </si>
  <si>
    <t>NCT04563273</t>
  </si>
  <si>
    <t>Clinical Study of BCG Vaccine for Intradermal Injection</t>
  </si>
  <si>
    <t>NCT04479865</t>
  </si>
  <si>
    <t>Phase 1 Clinical Trial to Evaluate the Safety, PK and PD of DA-5207 TDS in Healthy Adults</t>
  </si>
  <si>
    <t>NCT04607733</t>
  </si>
  <si>
    <t>A Study of Mirikizumab in Healthy Participants</t>
  </si>
  <si>
    <t>NCT04310592</t>
  </si>
  <si>
    <t>Natural Killer Cell (CYNK-001) Infusions in Adults with AML</t>
  </si>
  <si>
    <t>NCT04361136</t>
  </si>
  <si>
    <t>Clinical Trial to Evaluate Light-induced Skin Reactions After Application of Delgocitinib Cream</t>
  </si>
  <si>
    <t>NCT04439071</t>
  </si>
  <si>
    <t>A Study to Evaluate Efficacy and Safety of PTC299 (Emvododstat) in Hospitalized Participants With Coronavirus (COVID-19)</t>
  </si>
  <si>
    <t>NCT04404660</t>
  </si>
  <si>
    <t>A Study of CD19 Targeted CAR T Cell Therapy in Adult Patients With Relapsed or Refractory B Cell Acute Lymphoblastic Leukaemia (ALL)</t>
  </si>
  <si>
    <t>Autolus Limited</t>
  </si>
  <si>
    <t>NCT04177680</t>
  </si>
  <si>
    <t>Pharmacodynamic Effects of a Free-Fatty Acid Formulation of Omega-3 Pentaenoic Acid in Adults With Hypertriglyceridemia</t>
  </si>
  <si>
    <t>Matinas BioPharma Nanotechnologies, Inc.</t>
  </si>
  <si>
    <t>NCT04526496</t>
  </si>
  <si>
    <t>Safety, Tolerability and Pharmacokinetics of FTP-198 in Healthy Australian Volunteers</t>
  </si>
  <si>
    <t>NCT04104646</t>
  </si>
  <si>
    <t>CHF6563 in Babies With Neonatal Opioid Withdrawal Syndrome</t>
  </si>
  <si>
    <t>NCT04659161</t>
  </si>
  <si>
    <t>A Study to Assess Efficacy and Safety of KarXT in Acutely Psychotic Hospitalized Adult Patients With Schizophrenia (EMERGENT-2)</t>
  </si>
  <si>
    <t>Karuna Therapeutics, Inc., a Bristol Myers Squibb company</t>
  </si>
  <si>
    <t>NCT04519476</t>
  </si>
  <si>
    <t>Selinexor Treatment for Multiple Myeloma Patients Who Are Refractory to Lenalidomide-containing Therapy.</t>
  </si>
  <si>
    <t>Oncotherapeutics</t>
  </si>
  <si>
    <t>NCT04397276</t>
  </si>
  <si>
    <t>A Study of JNJ-70218902 in Participants With Advanced Stage Solid Tumors</t>
  </si>
  <si>
    <t>NCT04309968</t>
  </si>
  <si>
    <t>Study to Evaluate the Safety, Tolerability, Pharmacokinetics (PK) and Anti-tumor Activity of SYHA1801 Monotherapy in Patients With Advanced Solid Tumors</t>
  </si>
  <si>
    <t>NCT04286750</t>
  </si>
  <si>
    <t>Study in Healthy Subjects to Examine the Safety and Tolerability of ACT-1004-1239 Given as Multiple, Gradually Increasing Doses and to Examine the Effects of ACT-1004-1239 on the Body and the Way the Body Takes up, Distributes, and Gets Rid of ACT-1004-1239</t>
  </si>
  <si>
    <t>NCT04762160</t>
  </si>
  <si>
    <t>SYMPHONY-2, A Trial to Examine Combination of Tazemetostat With Rituximab in Subjects With Relapsed/Refractory Follicular Lymphoma</t>
  </si>
  <si>
    <t>NCT04294160</t>
  </si>
  <si>
    <t>A Study of Select Drug Combinations in Adult Patients With Advanced/Metastatic BRAF V600 Colorectal Cancer</t>
  </si>
  <si>
    <t>NCT04594213</t>
  </si>
  <si>
    <t>Safety and Efficacy Study of the Simultaneous Treatment of Upper Facial Lines (Horizontal Forehead Lines, Glabellar Frown Lines and Lateral Canthal Lines) in Subjects With Moderate to Severe Upper Facial Lines</t>
  </si>
  <si>
    <t>Merz North America, Inc.</t>
  </si>
  <si>
    <t>NCT04400383</t>
  </si>
  <si>
    <t>Clinical Trial to Evaluate AB011 Injection in Patients With CLDN18.2-positive Advanced Solid Tumors</t>
  </si>
  <si>
    <t>CARsgen Therapeutics Co., Ltd.</t>
  </si>
  <si>
    <t>NCT04622254</t>
  </si>
  <si>
    <t>Safety and Efficacy Study of the Simultaneous Treatment of Upper Facial Lines (Horizontal Forehead Lines, Glabellar Frown Lines and Crows Feet) in Subjects With Moderate to Severe Upper Facial Lines</t>
  </si>
  <si>
    <t>NCT04667156</t>
  </si>
  <si>
    <t>Study to Investigate Relative Bioavailability of Different Formulations of SHR6390 in Healthy Subjects</t>
  </si>
  <si>
    <t>NCT04334460</t>
  </si>
  <si>
    <t>Safety and Antiviral Activity of BLD-2660 in COVID-19 Hospitalized Subjects</t>
  </si>
  <si>
    <t>NCT04368559</t>
  </si>
  <si>
    <t>Study of Rezafungin Compared to Standard Antimicrobial Regimen for Prevention of Invasive Fungal Diseases in Adults Undergoing Allogeneic Blood and Marrow Transplantation</t>
  </si>
  <si>
    <t>Mundipharma Research Limited</t>
  </si>
  <si>
    <t>NCT04574362</t>
  </si>
  <si>
    <t>Safety and Efficacy Trial of BHV3000 (Rimegepant) 75 mg for the Acute Treatment of Migraine</t>
  </si>
  <si>
    <t>NCT04564846</t>
  </si>
  <si>
    <t>A Study to Evaluate the Effect of ORMD-0801 in Patients With Type 2 Diabetes Mellitus</t>
  </si>
  <si>
    <t>NCT04669808</t>
  </si>
  <si>
    <t>Open Label, Dose Escalation Study for the Safety and Efficacy of STP705 in Adult Patients With Basal Cell Carcinoma</t>
  </si>
  <si>
    <t>Sirnaomics</t>
  </si>
  <si>
    <t>NCT05490017</t>
  </si>
  <si>
    <t>To Evaluate the Safety, Tolerability, Pharmacokinetics, and Pharmacodynamics of Escalating Single and Multiple Doses of KP104</t>
  </si>
  <si>
    <t>Kira Pharmacenticals (US), LLC.</t>
  </si>
  <si>
    <t>NCT04266197</t>
  </si>
  <si>
    <t>Vardenafil Inhaled for Pulmonary Arterial Hypertension PRN Phase 2B Study</t>
  </si>
  <si>
    <t>Respira Therapeutics, Inc.</t>
  </si>
  <si>
    <t>NCT04480723</t>
  </si>
  <si>
    <t>A Study for the Identification of Biomarker Signatures for Diagnosis of Pulmonary Hypertension (PH) in Participants at Low or Intermediate Probability of PH Undergoing Cardiac Magnetic Resonance Imaging</t>
  </si>
  <si>
    <t>NCT04448379</t>
  </si>
  <si>
    <t>Efficacy and Safety of JMT101 Combined With Afatinib (or Osimertinib) in Patients With Non-Small Cell Lung Cancer</t>
  </si>
  <si>
    <t>NCT04652349</t>
  </si>
  <si>
    <t>Efficacy and Safety of HGP1910 and HCP1903 in Patients With Primary Hypercholesterolemia</t>
  </si>
  <si>
    <t>NCT04525352</t>
  </si>
  <si>
    <t>A Trial to Evaluate Safety and Efficacy of RP-L401-0120 in Subjects With Infantile Malignant Osteopetrosis</t>
  </si>
  <si>
    <t>NCT04836052</t>
  </si>
  <si>
    <t>Omega-3 Oil Use in COVID-19 Patients in Qatar</t>
  </si>
  <si>
    <t>NCT04515147</t>
  </si>
  <si>
    <t>A Dose-Confirmation Study to Evaluate the Safety, Reactogenicity and Immunogenicity of Vaccine CVnCoV in Healthy Adults for COVID-19</t>
  </si>
  <si>
    <t>NCT04594252</t>
  </si>
  <si>
    <t>Copper Balance in Healthy Participants Administered ALXN1840</t>
  </si>
  <si>
    <t>NCT04208646</t>
  </si>
  <si>
    <t>Allogenic Adipose Tissue-Derived Mesenchymal Progenitor Cells for the Treatment of Knee Osteoarthritis</t>
  </si>
  <si>
    <t>Shanghai AbelZeta Ltd.</t>
  </si>
  <si>
    <t>NCT04319159</t>
  </si>
  <si>
    <t>Study to Evaluate the Safety of BF-200 ALA (Ameluz®) for Photodynamic Therapy (PDT) in the Treatment of Expanded Fields of Actinic Keratosis (AK)</t>
  </si>
  <si>
    <t>Biofrontera Bioscience GmbH</t>
  </si>
  <si>
    <t>NCT04673396</t>
  </si>
  <si>
    <t>Phase I Clinical Study for Evaluation of Pharmacokinetic, Safety, Tolerance of Norcantharidin Lipid Microsphere for Injection in Patients With Solid Tumor</t>
  </si>
  <si>
    <t>Beijing Nuokangda Pharmaceutical Technology Co., Ltd.</t>
  </si>
  <si>
    <t>NCT04424290</t>
  </si>
  <si>
    <t>HORNBILL: A Study to Test Different Doses of BI 764524 in Patients Who Have Had Laser Treatment for a Type of Diabetic Eye Disease Called Diabetic Retinopathy With Diabetic Macular Ischemia</t>
  </si>
  <si>
    <t>NCT05160090</t>
  </si>
  <si>
    <t>Single Dose Crossover Comparative Bioavailability Study of Bupropion Hcl MR Tablet 300mg</t>
  </si>
  <si>
    <t>Alembic Pharmaceuticals Ltd.</t>
  </si>
  <si>
    <t>NCT04338997</t>
  </si>
  <si>
    <t>PK Study in Patients With Parkinson's Disease With IZD174</t>
  </si>
  <si>
    <t>Inflazome UK Ltd</t>
  </si>
  <si>
    <t>NCT04573582</t>
  </si>
  <si>
    <t>Pharmacokinetics of Enasidenib (CC-90007) in Participants With Mild, Moderate and Severe Hepatic Impairment</t>
  </si>
  <si>
    <t>NCT04318080</t>
  </si>
  <si>
    <t>Tislelizumab in Participants With Relapsed or Refractory Classical Hodgkin Lymphoma</t>
  </si>
  <si>
    <t>NCT04257617</t>
  </si>
  <si>
    <t>A Trial of ZL-1201 in Subjects With Advanced Cancer</t>
  </si>
  <si>
    <t>NCT05943990</t>
  </si>
  <si>
    <t>Study of GSK3845097 in Previously Treated Participants With Advanced Synovial Sarcoma and Myxoid/Round Cell Liposarcoma</t>
  </si>
  <si>
    <t>Adaptimmune</t>
  </si>
  <si>
    <t>NCT05468060</t>
  </si>
  <si>
    <t>Study of the Safety, Tolerability, Pharmacokinetic Characteristics of PA1010 in Healthy Subjects</t>
  </si>
  <si>
    <t>Zhejiang Palo Alto Pharmaceuticals, Inc.</t>
  </si>
  <si>
    <t>NCT04102020</t>
  </si>
  <si>
    <t>A Study of Oral Venetoclax Tablets and Oral Azacitidine as Maintenance Therapy in Adult Participants With Acute Myeloid Leukemia in First Remission After Conventional Chemotherapy</t>
  </si>
  <si>
    <t>NCT04324879</t>
  </si>
  <si>
    <t>A Study of TQ-B3525 in the Treatment of Relapsed / Refractory Follicular Lymphoma (FL)</t>
  </si>
  <si>
    <t>NCT04642638</t>
  </si>
  <si>
    <t>Safety, Immunogenicity, and Efficacy of INO-4800 for COVID-19 in Adults at High Risk of SARS-CoV-2 Exposure</t>
  </si>
  <si>
    <t>NCT04466085</t>
  </si>
  <si>
    <t>Clinical Study of Recombinant Novel Coronavirus Vaccine</t>
  </si>
  <si>
    <t>NCT04235985</t>
  </si>
  <si>
    <t>Evaluation of Chlorhexidine Gluconate Concentration on Skin of Human Subjects Following Multiple Application Times</t>
  </si>
  <si>
    <t>NCT04247815</t>
  </si>
  <si>
    <t>Study of ATI-450 Plus Methotrexate (MTX) vs MTX Alone in Patients With Moderate to Severe RA</t>
  </si>
  <si>
    <t>NCT04125927</t>
  </si>
  <si>
    <t>Cystadrops in Pediatric Cystinosis Patients From Six Months to Less Than Two Years Old (SCOB2)</t>
  </si>
  <si>
    <t>NCT04261920</t>
  </si>
  <si>
    <t>Clinical Trial Scheme of Huangqi Guizhi Wuwu Decoction</t>
  </si>
  <si>
    <t>Jiangsu Famous Medical Technology Co., Ltd.</t>
  </si>
  <si>
    <t>NCT04495283</t>
  </si>
  <si>
    <t>A Phase 2 Study to Evaluate Pregabalin and Acetaminophen Compared to Acetaminophen and Placebo in Subjects Undergoing Bunionectomy</t>
  </si>
  <si>
    <t>NCT04688580</t>
  </si>
  <si>
    <t>Pharmacokinetics, Safety, and Tolerability of Various XW10172 Oral Formulations in Healthy Adult Volunteers</t>
  </si>
  <si>
    <t>XWPharma</t>
  </si>
  <si>
    <t>NCT04569786</t>
  </si>
  <si>
    <t>Dose Ranging Trial to Assess Safety and Immunogenicity of V590 (COVID-19 Vaccine) in Healthy Adults (V590-001)</t>
  </si>
  <si>
    <t>NCT04193527</t>
  </si>
  <si>
    <t>A Study to Evaluate the Diagnostic Efficacy of DaTSCAN™ Ioflupane (123I) Injection in Single Photon Emission Computed Tomography (SPECT) for the Diagnosis of Parkinsonian Syndrome (PS) in Chinese Patients</t>
  </si>
  <si>
    <t>NCT04276883</t>
  </si>
  <si>
    <t>Dexmedetomidine in the Treatment of Agitation Associated With Bipolar Disorder</t>
  </si>
  <si>
    <t>NCT04492956</t>
  </si>
  <si>
    <t>Effects of Ecopipam or Placebo in Adults With Stuttering (Speak Freely)</t>
  </si>
  <si>
    <t>Emalex Biosciences Inc.</t>
  </si>
  <si>
    <t>NCT04667975</t>
  </si>
  <si>
    <t>The Purpose of Study is to Evaluate the Safety, Pharmacokinetics and Anti-tumor Effects of CKD-702 in Patients With Advanced or Metastatic Non-small Cell Lung Cancer Who Failed to Standard Therapy</t>
  </si>
  <si>
    <t>NCT04889118</t>
  </si>
  <si>
    <t>Safety and Efficacy Study of Pembrolizumab (MK-3475) Combined With Lenvatinib (MK-7902/E7080) as First-line Intervention in Adults With Advanced Melanoma (MK-7902-003/E7080-G000-312/LEAP-003)-China Extension Study</t>
  </si>
  <si>
    <t>NCT04467346</t>
  </si>
  <si>
    <t>Bioequivalence Study Between Temozolomide Oral Suspension (Ped-TMZ) and Temodal® Capsules</t>
  </si>
  <si>
    <t>Orphelia Pharma</t>
  </si>
  <si>
    <t>NCT04121442</t>
  </si>
  <si>
    <t>Isunakinra Alone and in Combination With a PD-1/PD-L1 Inhibitor in Patients With Solid Tumors</t>
  </si>
  <si>
    <t>Buzzard Pharmaceuticals</t>
  </si>
  <si>
    <t>NCT04363359</t>
  </si>
  <si>
    <t>Clinical Trial of Quadrivalent Influenza Virus Split Vaccine</t>
  </si>
  <si>
    <t>NCT04690686</t>
  </si>
  <si>
    <t>Immunopheresis Alone or in Combination With Paclitaxel or Atezolizumab in Non-small Cell Lung Cancer (NSCLC).</t>
  </si>
  <si>
    <t>Immunicom Inc</t>
  </si>
  <si>
    <t>NCT04603989</t>
  </si>
  <si>
    <t>A Study of HNC042 in Healthy Chinese Subjects to Evaluate the Safety, Tolerability, and Pharmacokinetics</t>
  </si>
  <si>
    <t>NCT04508023</t>
  </si>
  <si>
    <t>A Study of Rivaroxaban to Reduce the Risk of Major Venous and Arterial Thrombotic Events, Hospitalization and Death in Medically Ill Outpatients With Acute, Symptomatic Coronavirus Disease 2019 (COVID-19) Infection</t>
  </si>
  <si>
    <t>NCT04357756</t>
  </si>
  <si>
    <t>A Study to Assess YH001 in Combination With Toripalimab Injection in Subjects With Advanced Solid Tumors</t>
  </si>
  <si>
    <t>Eucure (Beijing) Biopharma Co., Ltd</t>
  </si>
  <si>
    <t>NCT04612465</t>
  </si>
  <si>
    <t>Clinical Study to Evaluate Efficacy and Safety of ASC and Fibringlue or Fibringlue in Patients With Crohn's Fistula</t>
  </si>
  <si>
    <t>Anterogen Co., Ltd.</t>
  </si>
  <si>
    <t>NCT03850509</t>
  </si>
  <si>
    <t>Efficacy and Safety of Oral OPS-2071 in Participants With Crohn's Disease Showing Symptoms of Active Inflammation</t>
  </si>
  <si>
    <t>NCT04088149</t>
  </si>
  <si>
    <t>An Open-labeled Phase II Study to Evaluate the Efficacy and Safety of GXNPC-1 in Patients with Chronic Stroke</t>
  </si>
  <si>
    <t>Gwo Xi Stem Cell Applied Technology Co., Ltd.</t>
  </si>
  <si>
    <t>NCT04480138</t>
  </si>
  <si>
    <t>Pegylated Interferon - α2b With SARSCoV- 2 (COVID-19)</t>
  </si>
  <si>
    <t>NCT04535167</t>
  </si>
  <si>
    <t>First-In-Human Study To Evaluate Safety, Tolerability, And Pharmacokinetics Following Single Ascending And Multiple Ascending Doses of PF-07304814 In Hospitalized Participants With COVID-19.</t>
  </si>
  <si>
    <t>NCT04315792</t>
  </si>
  <si>
    <t>Evaluate Efficacy and Safety of Endoxifen in Bipolar I Disorder Patients</t>
  </si>
  <si>
    <t>Jina Pharmaceuticals Inc.</t>
  </si>
  <si>
    <t>NCT05059509</t>
  </si>
  <si>
    <t>Evaluate Efficacy of FB825 in Adults With Atopic Dermatitis</t>
  </si>
  <si>
    <t>Oneness Biotech Co., Ltd.</t>
  </si>
  <si>
    <t>NCT04440358</t>
  </si>
  <si>
    <t>Exablate Blood-Brain Barrier Disruption With Carboplatin for the Treatment of rGBM</t>
  </si>
  <si>
    <t>NCT04251026</t>
  </si>
  <si>
    <t>A Study of Tividenofusp Alfa (DNL310) in Pediatric Participants With Hunter Syndrome</t>
  </si>
  <si>
    <t>NCT04250363</t>
  </si>
  <si>
    <t>Chemoprophylactic Activity of M5717 in PfSPZ Challenge Model</t>
  </si>
  <si>
    <t>NCT04469907</t>
  </si>
  <si>
    <t>Study to Assess the Pharmacokinetics and Safety of AZD9977 in Participants With Renal Impairment</t>
  </si>
  <si>
    <t>NCT04380532</t>
  </si>
  <si>
    <t>Tableted COVID-19 Therapeutic Vaccine</t>
  </si>
  <si>
    <t>Immunitor LLC</t>
  </si>
  <si>
    <t>NCT04641299</t>
  </si>
  <si>
    <t>A Study of AZD8233 in Participants With Dyslipidemia</t>
  </si>
  <si>
    <t>NCT05217472</t>
  </si>
  <si>
    <t>An Efficacy and Safety Study of Injectable Ravagalimab to Assess Change in EULAR Sjogren's Syndrome Disease Activity Index (ESSDAI) in Adult Participants With Moderately to Severely Active Primary Sjogren's Syndrome (pSS)</t>
  </si>
  <si>
    <t>NCT04230265</t>
  </si>
  <si>
    <t>Phase 1 Study of UniCAR02-T-CD123 in Patients With Selected CD123 Positive Hematologic Malignancies</t>
  </si>
  <si>
    <t>AvenCell Europe GmbH</t>
  </si>
  <si>
    <t>NCT04569409</t>
  </si>
  <si>
    <t>Clinical Study to Evaluate Efficacy and Safety of ALLO-ASC-DFU in Patients With Diabetic Wagner Grade 2 Foot Ulcers.</t>
  </si>
  <si>
    <t>NCT04817202</t>
  </si>
  <si>
    <t>Safety, Tolerability, Pharmacokinetics of hzVSf-v13 in Healthy Adults (Intravenous and Subcutaneous Administration)</t>
  </si>
  <si>
    <t>NCT04209712</t>
  </si>
  <si>
    <t>Natural Killer Cells Infusion for Treating Acute Myeloid Leukemia Patients With Minimal Residual Disease</t>
  </si>
  <si>
    <t>Shanghai iCELL Biotechnology Co., Ltd, Shanghai, China</t>
  </si>
  <si>
    <t>NCT04500132</t>
  </si>
  <si>
    <t>To Evaluate Safety and Efficacy of EC-18 in COVID-19 Infection to Pneumonia</t>
  </si>
  <si>
    <t>Enzychem Lifesciences Corporation</t>
  </si>
  <si>
    <t>NCT04594681</t>
  </si>
  <si>
    <t>A Safety Study of KHK4951 in Healthy Volunteers and Patients With Wet Age-Related Macular Degeneration</t>
  </si>
  <si>
    <t>NCT04194034</t>
  </si>
  <si>
    <t>Study of Intrahepatic Arterial Infusion of TG6002 in Combination With 5-FC in Patients With Metastatic Colorectal Cancer</t>
  </si>
  <si>
    <t>Transgene</t>
  </si>
  <si>
    <t>NCT04657744</t>
  </si>
  <si>
    <t>Bioequivalence Study of Fingolimod From Sphingomod 0.5 mg Hard Gelatin Capsules (Hikma Pharma, Egypt) Versus Gilenya 0.5 mg Hard Capsules (Novartis Pharma AG, Basle, Switzerland).</t>
  </si>
  <si>
    <t>NCT04640545</t>
  </si>
  <si>
    <t>A Study to Assess LBL-007 in Combination With Toripalimab and Axitinib Tablets Subjects With Advanced Melanoma</t>
  </si>
  <si>
    <t>Nanjing Leads Biolabs Co.,Ltd</t>
  </si>
  <si>
    <t>NCT04738630</t>
  </si>
  <si>
    <t>Study of HX008 for the Treatment of BCG-Unresponsive Non-muscle Invasive Bladder Cancer</t>
  </si>
  <si>
    <t>NCT04422028</t>
  </si>
  <si>
    <t>Bioavailability of Desogestrel 0.075 mg Tablets With Regards to Reference Product</t>
  </si>
  <si>
    <t>NCT04637009</t>
  </si>
  <si>
    <t>A Study of TAS1553 in Subjects With Relapsed or Refractory Acute Myeloid Leukemia (AML) and Other Myeloid Neoplasms</t>
  </si>
  <si>
    <t>NCT04194944</t>
  </si>
  <si>
    <t>A Study of Selpercatinib (LY3527723) in Participants With Advanced or Metastatic RET Fusion-Positive Non-Small Cell Lung Cancer</t>
  </si>
  <si>
    <t>NCT04582448</t>
  </si>
  <si>
    <t>A Study Looking at How Insulin Icodec is Taken up in the Blood When Administered in Different Injection Sites in People With Type 2 Diabetes</t>
  </si>
  <si>
    <t>NCT04480567</t>
  </si>
  <si>
    <t>AAV Gene Therapy Study for Subjects with PKU</t>
  </si>
  <si>
    <t>NCT04335006</t>
  </si>
  <si>
    <t>A Phase 3 Study Comparing Carelizumab Plus Nab-paclitaxel and Apatinib, Carelizumab Plus Nab-paclitaxel, and Nab-paclitaxel in Patients With Advanced Triple Negative Breast Cancer.</t>
  </si>
  <si>
    <t>NCT05238714</t>
  </si>
  <si>
    <t>Excretion Balance, Pharmacokinetics, and Metabolism Following of [14C]-Venglustat Administration in Healthy Male Subjects</t>
  </si>
  <si>
    <t>NCT04488926</t>
  </si>
  <si>
    <t>Micronized and Ultramicronized Palmitoylethanolamide in Fibromyalgia Patients</t>
  </si>
  <si>
    <t>NCT04294667</t>
  </si>
  <si>
    <t>A Study to Evaluate the Efficacy and Safety of Dapirolizumab Pegol in Study Participants With Moderately to Severely Active Systemic Lupus Erythematosus</t>
  </si>
  <si>
    <t>NCT04412707</t>
  </si>
  <si>
    <t>A PK, Safety and Tolerability Study of Peripheral and Central Infusion of Melflufen in RRMM Patients</t>
  </si>
  <si>
    <t>NCT04627532</t>
  </si>
  <si>
    <t>Single Ascending Dose Study of Intravenous Infusion of PF 07304814 in Healthy Adult Participants</t>
  </si>
  <si>
    <t>NCT04416516</t>
  </si>
  <si>
    <t>Safety and Efficacy of ASN-002 Combined With a Hedgehog Pathway Inhibitor</t>
  </si>
  <si>
    <t>Ascend Biopharmaceuticals Ltd</t>
  </si>
  <si>
    <t>NCT04527484</t>
  </si>
  <si>
    <t>A Bioequivalence Study to Compare Two Formulations of SHR-1314 After Subcutaneous Injection in Healthy Subjects</t>
  </si>
  <si>
    <t>NCT04244552</t>
  </si>
  <si>
    <t>A Phase 1b Trial of ATRC-101 in Adults With Advanced Solid Malignancies</t>
  </si>
  <si>
    <t>Atreca, Inc.</t>
  </si>
  <si>
    <t>NCT04527107</t>
  </si>
  <si>
    <t>A Study to Evaluate THR-149 Treatment for Diabetic Macular Oedema</t>
  </si>
  <si>
    <t>Oxurion</t>
  </si>
  <si>
    <t>NCT04363736</t>
  </si>
  <si>
    <t>A Study to Investigate Intravenous Tocilizumab in Participants With Moderate to Severe COVID-19 Pneumonia</t>
  </si>
  <si>
    <t>NCT04853134</t>
  </si>
  <si>
    <t>Proxalutamide Treatment for COVID-19 Female Outpatients</t>
  </si>
  <si>
    <t>Applied Biology, Inc.</t>
  </si>
  <si>
    <t>NCT04319198</t>
  </si>
  <si>
    <t>Rollover Study in Participants With Metastatic Solid Tumors Benefiting From Therapy With Sacituzumab Govitecan-hziy</t>
  </si>
  <si>
    <t>NCT06094738</t>
  </si>
  <si>
    <t>A Study to Evaluate the Effect of Food on the Oral Bioavailability of Relacorilant in Healthy Subjects</t>
  </si>
  <si>
    <t>NCT04541134</t>
  </si>
  <si>
    <t>Phase 3 Clinical Trial to Evaluate of the Efficacy and Safety of DW9801 in Patients With Primary Dysmenorrhea</t>
  </si>
  <si>
    <t>NCT04324021</t>
  </si>
  <si>
    <t>Efficacy and Safety of Emapalumab and Anakinra in Reducing Hyperinflammation and Respiratory Distress in Patients With COVID-19 Infection.</t>
  </si>
  <si>
    <t>NCT04323436</t>
  </si>
  <si>
    <t>Study of Capmatinib and Spartalizumab/Placebo in Advanced NSCLC Patients With MET Exon 14 Skipping Mutations</t>
  </si>
  <si>
    <t>NCT04623944</t>
  </si>
  <si>
    <t>NKX101, Intravenous Allogeneic CAR NK Cells, in Adults With AML or MDS</t>
  </si>
  <si>
    <t>Nkarta, Inc.</t>
  </si>
  <si>
    <t>NCT04001231</t>
  </si>
  <si>
    <t>Study of Exenatide Once-Weekly Suspension in Chinese Patients With Type 2 Diabetes Mellitus</t>
  </si>
  <si>
    <t>NCT04780386</t>
  </si>
  <si>
    <t>Compare the Pharmacokinetics of NVP-1805 and Coadministration of NVP-1805-R1 With NVP-1805-R2</t>
  </si>
  <si>
    <t>NVP Healthcare</t>
  </si>
  <si>
    <t>NCT04469270</t>
  </si>
  <si>
    <t>Study to Assess Safety and Efficacy of Engensis in Painful Diabetic Peripheral Neuropathy</t>
  </si>
  <si>
    <t>NCT04224688</t>
  </si>
  <si>
    <t>A Study to Assess the Efficacy, Safety, and Tolerability of Rozanolixizumab in Adult Study Participants With Persistent or Chronic Primary Immune Thrombocytopenia (ITP)</t>
  </si>
  <si>
    <t>NCT04428086</t>
  </si>
  <si>
    <t>A Pharmacokinetic Interaction Study Between Apatinib and Rosuvastatin or Metformin in Solid Tumor Subjects.</t>
  </si>
  <si>
    <t>NCT04493931</t>
  </si>
  <si>
    <t>Drug-drug Interaction Study of Gepotidacin</t>
  </si>
  <si>
    <t>NCT04222712</t>
  </si>
  <si>
    <t>A Study to Evaluate TRS01 Eye Drops in Participants With Active Non-infectious Anterior Uveitis</t>
  </si>
  <si>
    <t>Tarsier Pharma</t>
  </si>
  <si>
    <t>NCT04238481</t>
  </si>
  <si>
    <t>A Study for Ureter Visualization, Using ASP5354 in Subjects Undergoing Laparoscopic/Minimally Invasive Colorectal Surgery</t>
  </si>
  <si>
    <t>Astellas Pharma Inc</t>
  </si>
  <si>
    <t>NCT04548219</t>
  </si>
  <si>
    <t>A Study to Compare Two Different Formulations of Mirikizumab in Healthy Participants</t>
  </si>
  <si>
    <t>NCT04511728</t>
  </si>
  <si>
    <t>A Study to Evaluate the Efficacy and Safety of HSK3486 in the Induction of General Anesthesia</t>
  </si>
  <si>
    <t>NCT04352465</t>
  </si>
  <si>
    <t>Efficacy and Safety of MTX-loaded Nanoparticles to Treat Severe COVID-19 Patients</t>
  </si>
  <si>
    <t>NCT04505137</t>
  </si>
  <si>
    <t>A Study to Investigate Safe and Tolerable Dose of GMA301 Injection in Healthy Volunteers</t>
  </si>
  <si>
    <t>Gmax Biopharm Australia Pty Ltd.</t>
  </si>
  <si>
    <t>NCT04211337</t>
  </si>
  <si>
    <t>A Study of Selpercatinib (LY3527723) in Participants With RET-Mutant Medullary Thyroid Cancer</t>
  </si>
  <si>
    <t>NCT04341077</t>
  </si>
  <si>
    <t>Study to Evaluate the Safety and Pharmacokinetics of Single-Dose Fluzoparib in Healthy Chinese Subjects</t>
  </si>
  <si>
    <t>NCT04452877</t>
  </si>
  <si>
    <t>A Study of Dabrafenib in Combination With Trametinib in Chinese Patients With BRAF V600E Mutant Metastatic NSCLC</t>
  </si>
  <si>
    <t>NCT04663139</t>
  </si>
  <si>
    <t>Xla1 Christensenella Minuta, Phase I, Randomized, Partially Placebo-controlled Double-blind Protocol, Evaluating Safety, Tolerability and Impact on the Gut Microbiota in Healthy Volunteers, Overweight and Obese Adults</t>
  </si>
  <si>
    <t>YSOPIA Bioscience</t>
  </si>
  <si>
    <t>NCT04472728</t>
  </si>
  <si>
    <t>Testing the Efficacy and Safety of BIO101 for the Prevention of Respiratory Deterioration in COVID-19 Patients</t>
  </si>
  <si>
    <t>Biophytis</t>
  </si>
  <si>
    <t>NCT04235101</t>
  </si>
  <si>
    <t>Phase I Study of SYD985 With Niraparib in Patients With Solid Tumors</t>
  </si>
  <si>
    <t>NCT04557319</t>
  </si>
  <si>
    <t>Safety and Pharmacokinetics of GNR-038 in Healthy Volunteers</t>
  </si>
  <si>
    <t>NCT04606472</t>
  </si>
  <si>
    <t>A Study of SI-B003, a PD-1/CTLA-4 Bispecific Antibody, in Patients With Advanced Solid Tumors</t>
  </si>
  <si>
    <t>NCT04261075</t>
  </si>
  <si>
    <t>IPH5201 as Monotherapy or in Combination With Durvalumab +/- Oleclumab in Subjects With Advanced Solid Tumors.</t>
  </si>
  <si>
    <t>NCT04082975</t>
  </si>
  <si>
    <t>Efficacy and Safety of NVP-1203 and NVP-1203-R in Patients With Acute Low Back Pain</t>
  </si>
  <si>
    <t>NCT04281472</t>
  </si>
  <si>
    <t>A Study to Assess the Safety and Efficacy of a Subcutaneous Formulation of Efgartigimod in Adults With Chronic Inflammatory Demyelinating Polyneuropathy (CIDP, an Autoimmune Disorder That Affects the Peripheral Nerves)</t>
  </si>
  <si>
    <t>NCT04465877</t>
  </si>
  <si>
    <t>Study to Evaluate Safety, Tolerability, Pharmacokinetics &amp; Pharmacodynamics of JTT-662 in Subjects With Type 2 Diabetes</t>
  </si>
  <si>
    <t>Akros Pharma Inc.</t>
  </si>
  <si>
    <t>NCT02347228</t>
  </si>
  <si>
    <t>Evaluate Safety, Tolerability, PK, Preliminary Clinical Activity of OB318 in Patients With Advanced Solid Malignancies</t>
  </si>
  <si>
    <t>NCT04382885</t>
  </si>
  <si>
    <t>Cariprazine Pediatric ASD PK Study</t>
  </si>
  <si>
    <t>NCT04467840</t>
  </si>
  <si>
    <t>Opaganib, a Sphingosine Kinase-2 (SK2) Inhibitor in COVID-19 Pneumonia</t>
  </si>
  <si>
    <t>NCT04436640</t>
  </si>
  <si>
    <t>A Study to Evaluate the Long-term Safety, Tolerability and Efficacy of Bimekizumab in Subjects With Active Axial Spondyloarthritis Including Ankylosing Spondylitis and Nonradiographic Axial Spondyloarthritis</t>
  </si>
  <si>
    <t>NCT04521361</t>
  </si>
  <si>
    <t>A Study to Assess How Radium-223 Distributes in the Body of Patients With Prostate Cancer Which Spread to the Bones</t>
  </si>
  <si>
    <t>NCT04379869</t>
  </si>
  <si>
    <t>To Evaluate the Safety, Tolerability and Pharmacokinetics of Oral NNZ-2591 in Healthy Volunteers</t>
  </si>
  <si>
    <t>Neuren Pharmaceuticals Limited</t>
  </si>
  <si>
    <t>NCT04305054</t>
  </si>
  <si>
    <t>Substudy 02B: Safety and Efficacy of Pembrolizumab in Combination With Investigational Agents or Pembrolizumab Alone in Participants With First Line (1L) Advanced Melanoma (MK-3475-02B/KEYMAKER-U02)</t>
  </si>
  <si>
    <t>NCT04157751</t>
  </si>
  <si>
    <t>A Study to Test the Effect of Empagliflozin in Patients Who Are in Hospital for Acute Heart Failure</t>
  </si>
  <si>
    <t>NCT04540705</t>
  </si>
  <si>
    <t>A Study to Compare Bempegaldesleukin (BEMPEG: NKTR-214) Combined With Nivolumab and Tyrosine Kinase Inhibitor (TKI) to Nivolumab and TKI Alone in Participants With Previously Untreated Kidney Cancer That is Advanced or Has Spread</t>
  </si>
  <si>
    <t>NCT04164290</t>
  </si>
  <si>
    <t>A Study to Evaluate the Tolerability and Pharmacokinetics of Jiashen Tablets in Healthy Subjects</t>
  </si>
  <si>
    <t>NCT04596631</t>
  </si>
  <si>
    <t>A Research Study to Compare a New Medicine Oral Semaglutide to a Dummy Medicine in Children and Teenagers With Type 2 Diabetes</t>
  </si>
  <si>
    <t>NCT04376827</t>
  </si>
  <si>
    <t>A Study of Guselkumab in Participants With Active Lupus Nephritis</t>
  </si>
  <si>
    <t>NCT05673902</t>
  </si>
  <si>
    <t>Study of the Safety and Efficacy of RPH-104 in Preventing Recurrences in Patients With Idiopathic Recurrent Pericarditis</t>
  </si>
  <si>
    <t>NCT04279769</t>
  </si>
  <si>
    <t>Study to Evaluate the Safety of CB-280 in Patients With Cystic Fibrosis</t>
  </si>
  <si>
    <t>NCT04174105</t>
  </si>
  <si>
    <t>Gene Transfer Study in Patients With Late Onset Pompe Disease</t>
  </si>
  <si>
    <t>Astellas Gene Therapies</t>
  </si>
  <si>
    <t>NCT04393441</t>
  </si>
  <si>
    <t>Efficacy and Safety of a New Artificial Tear Formulation Compared With Systane Ultra Multidose in Participants With Dry Eye Disease</t>
  </si>
  <si>
    <t>NCT04432454</t>
  </si>
  <si>
    <t>Evaluation of Lasofoxifene Combined With Abemaciclib in Advanced or Metastatic ER+/HER2- Breast Cancer With an ESR1 Mutation</t>
  </si>
  <si>
    <t>Sermonix Pharmaceuticals Inc.</t>
  </si>
  <si>
    <t>NCT04393753</t>
  </si>
  <si>
    <t>Domatinostat in Combination With Avelumab in Patients With Advanced Merkel Cell Carcinoma Progressing on Anti-PD-(L)1</t>
  </si>
  <si>
    <t>4SC AG</t>
  </si>
  <si>
    <t>NCT04615403</t>
  </si>
  <si>
    <t>Study of Exchange of Travoprost Intraocular Implant</t>
  </si>
  <si>
    <t>Glaukos Corporation</t>
  </si>
  <si>
    <t>NCT04590586</t>
  </si>
  <si>
    <t>Study of Multiple Candidate Agents for the Treatment of COVID-19 in Hospitalized Patients</t>
  </si>
  <si>
    <t>NCT04274894</t>
  </si>
  <si>
    <t>A Study of the Effect of Topical Testosterone Replacement Therapy on Blood Pressure in Adult Male Participants With Hypogonadism</t>
  </si>
  <si>
    <t>NCT04247256</t>
  </si>
  <si>
    <t>A Phase 2 Trial of SCO-101 in Combination With FOLFIRI for Patients With Metastatic Colorectal Cancer (mCRC) With Acquired Resistance to FOLFIRI</t>
  </si>
  <si>
    <t>NCT04497805</t>
  </si>
  <si>
    <t>Clinical Study of ALLO-ASC-SHEET in Subjects With Diabetic Wagner Grade II Foot Ulcers</t>
  </si>
  <si>
    <t>NCT03890666</t>
  </si>
  <si>
    <t>A 12-Week Treatment Study to Evaluate the Effectiveness of Albuterol Multidose Dry Powder Inhaler With Integrated Electronic Module Digital System (eMDPI DS) in Participants13 Years or Older With Asthma</t>
  </si>
  <si>
    <t>NCT04097756</t>
  </si>
  <si>
    <t>A Phase I Study of LX-039 Tablets</t>
  </si>
  <si>
    <t>Shandong Luoxin Pharmaceutical Group Stock Co., Ltd.</t>
  </si>
  <si>
    <t>NCT04309669</t>
  </si>
  <si>
    <t>Assessment of the eFficacy, the Onset-of-Action and the Safety of Tot'héma® in Adults With Moderate Iron Deficiency Anaemia</t>
  </si>
  <si>
    <t>Laboratoire Innotech International</t>
  </si>
  <si>
    <t>NCT04462770</t>
  </si>
  <si>
    <t>A Study of EPX-100 (Clemizole Hydrochloride) in Participants With Dravet Syndrome</t>
  </si>
  <si>
    <t>Epygenix</t>
  </si>
  <si>
    <t>NCT04436562</t>
  </si>
  <si>
    <t>Study of the Absorption, Metabolism, and Excretion Following a Single Dose of [14C]-Poziotinib in Healthy Male Subjects</t>
  </si>
  <si>
    <t>NCT04616105</t>
  </si>
  <si>
    <t>Study of the Safety, Tolerability, and Pharmacokinetics of REGN6490 in Healthy Japanese Adult Volunteers</t>
  </si>
  <si>
    <t>NCT04283526</t>
  </si>
  <si>
    <t>Study of Select Combinations in Adults With Myelofibrosis</t>
  </si>
  <si>
    <t>NCT04627285</t>
  </si>
  <si>
    <t>A Study to Test the Long-term Use of Oral Lacosamide in Pediatric Study Participants Who Completed NCT01964560 (EP0034) or NCT00938912 (SP848) and Received Lacosamide Treatment</t>
  </si>
  <si>
    <t>NCT04254978</t>
  </si>
  <si>
    <t>Study of Bomedemstat in Participants With Essential Thrombocythemia (IMG-7289-CTP-201/MK-3543-003)</t>
  </si>
  <si>
    <t>Imago BioSciences, Inc., a subsidiary of Merck &amp; Co., Inc., (Rahway, New Jersey USA)</t>
  </si>
  <si>
    <t>NCT04281758</t>
  </si>
  <si>
    <t>Comparison of Plasma Caffeine Concentration After Oral Consumption of Caffeinated Beverages With Varied Bioactive Compounds in Healthy Volunteers</t>
  </si>
  <si>
    <t>PepsiCo Global R&amp;D</t>
  </si>
  <si>
    <t>NCT04441398</t>
  </si>
  <si>
    <t>Efficacy and Safety of Nitazoxanide 600 mg to Treat Mild Ambulatory COVID-19 Patients</t>
  </si>
  <si>
    <t>NCT04191304</t>
  </si>
  <si>
    <t>A Phase III Study to Evaluate the Efficacy and Safety of Benralizumab in Patients With Hypereosinophilic Syndrome (HES)</t>
  </si>
  <si>
    <t>NCT04614025</t>
  </si>
  <si>
    <t>Open-label Multicenter Study to Evaluate the Efficacy of PLX-PAD for the Treatment of COVID-19</t>
  </si>
  <si>
    <t>NCT04196491</t>
  </si>
  <si>
    <t>A Study to Evaluate the Safety of bb2121 in Subjects With High Risk, Newly Diagnosed Multiple Myeloma (NDMM)</t>
  </si>
  <si>
    <t>NCT04599933</t>
  </si>
  <si>
    <t>An Evaluation of the Efficacy and Safety of CSF-1 in the Temporary Correction of Presbyopia (NEAR-1)</t>
  </si>
  <si>
    <t>Orasis Pharmaceuticals Ltd.</t>
  </si>
  <si>
    <t>NCT04606433</t>
  </si>
  <si>
    <t>Phase I Clinical Study of GNC-038 in Patients With Non-Hodgkin's Lymphoma or Acute Lymphoblastic Leukemia</t>
  </si>
  <si>
    <t>NCT04459585</t>
  </si>
  <si>
    <t>A Study of the Effect of Quizartinib on the Pharmacokinetics of the P-gp Substrate Dabigatran Etexilate in Healthy Participants</t>
  </si>
  <si>
    <t>NCT04320615</t>
  </si>
  <si>
    <t>A Study to Evaluate the Safety and Efficacy of Tocilizumab in Patients With Severe COVID-19 Pneumonia</t>
  </si>
  <si>
    <t>NCT04450693</t>
  </si>
  <si>
    <t>Cryopreserved Human Umbilical Cord (TTAX01) for Late Stage, Complex Non-healing Diabetic Foot Ulcers (AMBULATE DFU II)</t>
  </si>
  <si>
    <t>NCT04539938</t>
  </si>
  <si>
    <t>A Study of Tucatinib Plus Trastuzumab Deruxtecan in HER2+ Breast Cancer</t>
  </si>
  <si>
    <t>NCT06094725</t>
  </si>
  <si>
    <t>A Study to Evaluate the Effects of Hepatic Impairment on the Pharmacokinetics of Relacorilant</t>
  </si>
  <si>
    <t>NCT04585776</t>
  </si>
  <si>
    <t>A Study of LY900014 and Insulin Degludec in Participants With Type 1 Diabetes</t>
  </si>
  <si>
    <t>NCT04218084</t>
  </si>
  <si>
    <t>Study to Evaluate the Effect of GBT440 on TCD in Pediatrics With Sickle Cell Disease</t>
  </si>
  <si>
    <t>NCT04058197</t>
  </si>
  <si>
    <t>Deferoxamine for Sickle Cell Chronic Leg Ulcer Treatment</t>
  </si>
  <si>
    <t>TauTona Group</t>
  </si>
  <si>
    <t>NCT04221360</t>
  </si>
  <si>
    <t>A Clinical Study to Evaluate the Pharmacokinetics, Safety and Tolerability of CKD-375</t>
  </si>
  <si>
    <t>NCT04214808</t>
  </si>
  <si>
    <t>To Evaluate the Pharmacokinetics and Safety of AD-208</t>
  </si>
  <si>
    <t>NCT04404140</t>
  </si>
  <si>
    <t>A Study Evaluating The Safety, Efficacy and Pharmacokinetics Of Ipatasertib In Combination With Atezolizumab And Docetaxel In Metastatic Castration-Resistant Prostate Cancer (mCRPC).</t>
  </si>
  <si>
    <t>NCT04418297</t>
  </si>
  <si>
    <t>A Phase I Study to Assess the Safety, Tolerability, Pharmacokinetics and Pharmacodynamics of CT-G20 in Subjects With Obstructive Hypertrophic Cardiomyopathy</t>
  </si>
  <si>
    <t>NCT04445038</t>
  </si>
  <si>
    <t>Safety, Tolerability and Pharmacokinetic of Recombinant Anti-IL-5 Humanized Monoclonal Antibody Injection</t>
  </si>
  <si>
    <t>NCT04307940</t>
  </si>
  <si>
    <t>Study to Collect Information on How Well the Study Drug Naproxen Sodium Tablets Works Compared to Hydrocodone/Acetaminophen Tablets in Order to Relieve Pain in Participants Experiencing Moderate to Severe Pain After Having Their Wisdom Teeth Removed</t>
  </si>
  <si>
    <t>NCT03759678</t>
  </si>
  <si>
    <t>N-Acetyl-L-Leucine for Ataxia-Telangiectasia (A-T)</t>
  </si>
  <si>
    <t>IntraBio Inc</t>
  </si>
  <si>
    <t>NCT04377243</t>
  </si>
  <si>
    <t>Immunotherapy of Chronic Kidney Failure</t>
  </si>
  <si>
    <t>NCT04332523</t>
  </si>
  <si>
    <t>A Study of JNJ-53718678 in Participants With Hepatic Impairment</t>
  </si>
  <si>
    <t>NCT04591626</t>
  </si>
  <si>
    <t>A Study of Dulaglutide (LY2189265) in Chinese Participants With Type 2 Diabetes</t>
  </si>
  <si>
    <t>NCT04526574</t>
  </si>
  <si>
    <t>Safety and Immunogenicity of 20vPnC Coadministered With SIIV in Adults ≥65 Years of Age</t>
  </si>
  <si>
    <t>NCT04345614</t>
  </si>
  <si>
    <t>A Study of Auxora in Patients With Severe COVID-19 Pneumonia</t>
  </si>
  <si>
    <t>CalciMedica, Inc.</t>
  </si>
  <si>
    <t>NCT04633148</t>
  </si>
  <si>
    <t>Dose-escalating Trial With UniCAR02-T Cells and PSMA Target Module (TMpPSMA) in Patients With Progressive Disease After Standard Systemic Therapy in Cancers With Positive PSMA Marker</t>
  </si>
  <si>
    <t>NCT04490915</t>
  </si>
  <si>
    <t>Global Safety and Efficacy Registration Study of Crinecerfont for Congenital Adrenal Hyperplasia</t>
  </si>
  <si>
    <t>NCT04941976</t>
  </si>
  <si>
    <t>Benzydamine in Sore Throat Pain Relief (BePaiR Study)</t>
  </si>
  <si>
    <t>NCT04495140</t>
  </si>
  <si>
    <t>Study To Characterize Mass Balance, Absolute Bioavailability, Fraction Absorbed And Pharmacokinetics Of 14C PF-06882961</t>
  </si>
  <si>
    <t>NCT04497116</t>
  </si>
  <si>
    <t>Study of RP-3500, Camonsertib, in Advanced Solid Tumors</t>
  </si>
  <si>
    <t>Repare Therapeutics</t>
  </si>
  <si>
    <t>NCT04677933</t>
  </si>
  <si>
    <t>A Study to Evaluate the Safety, Tolerability, Pharmacokinetics and Preliminary Efficacy of Multiple Subcutaneous Doses of OLP-1002</t>
  </si>
  <si>
    <t>OliPass Australia Pty Ltd</t>
  </si>
  <si>
    <t>NCT04225208</t>
  </si>
  <si>
    <t>Pharmacokinetic and Mass Balance Study of Orally Administered [14C]-AZD4205 in Healthy Adult Male Volunteers</t>
  </si>
  <si>
    <t>NCT04334317</t>
  </si>
  <si>
    <t>A Study of TAK-071 in People With Parkinson Disease</t>
  </si>
  <si>
    <t>NCT04626674</t>
  </si>
  <si>
    <t>A Gene Transfer Therapy Study to Evaluate the Safety of and Expression From Delandistrogene Moxeparvovec (SRP-9001) in Participants With Duchenne Muscular Dystrophy (DMD) - Non-Ambulatory Cohort</t>
  </si>
  <si>
    <t>NCT04346615</t>
  </si>
  <si>
    <t>Safety and Efficacy Trial of Zavegepant* Intranasal for Hospitalized Patients With COVID-19 Requiring Supplemental Oxygen</t>
  </si>
  <si>
    <t>NCT04684940</t>
  </si>
  <si>
    <t>Safety, Tolerability, and Efficacy Study of Valoctocogene Roxaparvovec in Hemophilia A With Active or Prior Inhibitors</t>
  </si>
  <si>
    <t>NCT04527250</t>
  </si>
  <si>
    <t>A Study of the Relative Bioavailability of ASC41 in Healthy Subjects</t>
  </si>
  <si>
    <t>NCT04521413</t>
  </si>
  <si>
    <t>Safety and Efficacy Study of CFI-402411 in Subjects With Advanced Solid Malignancies</t>
  </si>
  <si>
    <t>Treadwell Therapeutics, Inc</t>
  </si>
  <si>
    <t>NCT04426955</t>
  </si>
  <si>
    <t>Study of Camrelizumab (SHR-1210) in Combination With Concurrent Chemoradiotherapy in Locally Advanced Esophageal Cancer</t>
  </si>
  <si>
    <t>NCT04572308</t>
  </si>
  <si>
    <t>Cell Therapy for CD7 Positive T-cell Acute Lymphoblastic Leukemia and Lymphoblastic Lymphoma Using CD7-Specific CAR-T Cells</t>
  </si>
  <si>
    <t>NCT04247074</t>
  </si>
  <si>
    <t>Treatment of Moderate to Severe Lateral Canthal Lines and Glabellar Lines Alone or in Combination</t>
  </si>
  <si>
    <t>NCT04470089</t>
  </si>
  <si>
    <t>A Clinical Trial Investigating the Short-term Relief of Symptoms of Acute Pharyngitis by Treatment With Three Different Doses of MYRAMISTIN™ Oromucosal Spray</t>
  </si>
  <si>
    <t>Megainpharm GmbH</t>
  </si>
  <si>
    <t>NCT03732768</t>
  </si>
  <si>
    <t>Study of Radspherin® in Recurrent Ovarian Cancer Subjects With Peritoneal Carcinomatosis</t>
  </si>
  <si>
    <t>Oncoinvent Solutions AS</t>
  </si>
  <si>
    <t>NCT04688008</t>
  </si>
  <si>
    <t>Relative Bioavailability of Early Phase and Late Phase Hetrombopag Olamine Formulations</t>
  </si>
  <si>
    <t>NCT04596540</t>
  </si>
  <si>
    <t>A Study of SEL-212 in Patients With Gout Refractory to Conventional Therapy II</t>
  </si>
  <si>
    <t>NCT04298918</t>
  </si>
  <si>
    <t>A Study Evaluating the Safety and Efficacy of Venetoclax in Combination With Trastuzumab Emtansine in Patients With Previously Treated HER2-Positive Locally Advanced or Metastatic Breast Cancer</t>
  </si>
  <si>
    <t>NCT04145700</t>
  </si>
  <si>
    <t>CAMPFIRE: A Study of Ramucirumab (LY3009806) in Children and Young Adults With Synovial Sarcoma</t>
  </si>
  <si>
    <t>NCT04290624</t>
  </si>
  <si>
    <t>A Clinical Study to Evaluate the Efficacy of a Range of Dental/Denture Products for Improved Oral Health in Partial Denture Wearers</t>
  </si>
  <si>
    <t>HALEON</t>
  </si>
  <si>
    <t>NCT04519424</t>
  </si>
  <si>
    <t>CSL324 in COVID-19</t>
  </si>
  <si>
    <t>NCT05123976</t>
  </si>
  <si>
    <t>Fasted Bioequivalence Study of 2 Olanzapine Film-coated Tablets, 5 mg, in Healthy, Adult Male and Female Subjects.</t>
  </si>
  <si>
    <t>NCT05244759</t>
  </si>
  <si>
    <t>Mass Balance Recovery, Absorption, Metabolism and Excretion of [14C]-BLU-5937</t>
  </si>
  <si>
    <t>Bellus Health Inc. - a GSK company</t>
  </si>
  <si>
    <t>NCT04619251</t>
  </si>
  <si>
    <t>A Study in Healthy Japanese Men to Test How Different Doses of BI 1323495 Are Tolerated and How Itraconazole Influences the Amount of BI 1323495 in the Blood</t>
  </si>
  <si>
    <t>NCT04453202</t>
  </si>
  <si>
    <t>A Study to Evaluate a Range of Dose Levels of an Adenovirus Serotype 26 (Ad26.RSV.preF)-Based Vaccine in Older Adults</t>
  </si>
  <si>
    <t>NCT04756154</t>
  </si>
  <si>
    <t>Efficacy Study of Patient Preoperative Preps In-vivo</t>
  </si>
  <si>
    <t>Solventum US LLC</t>
  </si>
  <si>
    <t>NCT04714294</t>
  </si>
  <si>
    <t>Evaluate the Safety, Tolerability and Pharmacokinetics Characteristics of HPP737 in Healthy Volunteers</t>
  </si>
  <si>
    <t>Newsoara Biopharma Co., Ltd.</t>
  </si>
  <si>
    <t>NCT04128137</t>
  </si>
  <si>
    <t>Efficacy and Tolerance of Flucortac in Patients With Orthostatic Neurogenic Hypotension</t>
  </si>
  <si>
    <t>H.A.C. PHARMA</t>
  </si>
  <si>
    <t>NCT04186637</t>
  </si>
  <si>
    <t>An Open-label Study of ALPN-202 in Subjects With Advanced Malignancies</t>
  </si>
  <si>
    <t>NCT04568603</t>
  </si>
  <si>
    <t>Islatravir and Methadone Pharmacokinetics (MK-8591-029)</t>
  </si>
  <si>
    <t>NCT04193215</t>
  </si>
  <si>
    <t>V114 and Acute Otitis Media (V114-032/PNEU-ERA)</t>
  </si>
  <si>
    <t>NCT04139824</t>
  </si>
  <si>
    <t>The Effect of Naproxen on the Pharmacokinetic Profile of LC350189 in Healthy Adults</t>
  </si>
  <si>
    <t>NCT04225156</t>
  </si>
  <si>
    <t>A Long-term Study to Assess the Safety and Efficacy of Efgartigimod in Adult Patients With Primary Immune Thrombocytopenia (ITP).</t>
  </si>
  <si>
    <t>NCT04186442</t>
  </si>
  <si>
    <t>Evaluate the Safety and Efficacy of Botulax® Versus Botox® in Patient With Overactive Bladder</t>
  </si>
  <si>
    <t>NCT04463602</t>
  </si>
  <si>
    <t>Desidustat in the Management of COVID-19 Patients</t>
  </si>
  <si>
    <t>NCT04461886</t>
  </si>
  <si>
    <t>A Long-term Study of NPC-12G Gel in Neurofibromatosis Type I</t>
  </si>
  <si>
    <t>NCT04829227</t>
  </si>
  <si>
    <t>Safety and Efficacy of Sofwave Treatment to Lift Lax Skin</t>
  </si>
  <si>
    <t>Sofwave Medical LTD</t>
  </si>
  <si>
    <t>NCT04498741</t>
  </si>
  <si>
    <t>Drug-Drug Interaction Study Between EDP-938, Tacrolimus, Dabigatran, Rosuvastatin and Midazolam in Healthy Subjects</t>
  </si>
  <si>
    <t>NCT04458805</t>
  </si>
  <si>
    <t>Safety, Tolerability and Pharmacokinetics of Oral NX-13 in Healthy Adults Male and Female Volunteers</t>
  </si>
  <si>
    <t>Landos Biopharma Inc.</t>
  </si>
  <si>
    <t>NCT04354480</t>
  </si>
  <si>
    <t>A Study to Evaluate the Single Vaccination of an Adenovirus Serotype 26 Pre-Fusion F (Ad26.preF) Based Respiratory Syncytial Virus (RSV) Vaccine in Japanese Adults Aged 60 Years and Older</t>
  </si>
  <si>
    <t>NCT04615273</t>
  </si>
  <si>
    <t>A Trial to Compare the Efficacy and Safety of Once-weekly Lonapegsomatropin With Placebo and a Daily Somatropin Product in Adults With Growth Hormone Deficiency</t>
  </si>
  <si>
    <t>Ascendis Pharma Endocrinology Division A/S</t>
  </si>
  <si>
    <t>NCT04155580</t>
  </si>
  <si>
    <t>A Study of ASTX660 as a Single Agent and in Combination With ASTX727 in Subjects With Relapsed/Refractory Acute Myeloid Leukemia (AML)</t>
  </si>
  <si>
    <t>NCT04291105</t>
  </si>
  <si>
    <t>Phase 2 Trial of Voyager V1 in Combination With Cemiplimab in Cancer Patients</t>
  </si>
  <si>
    <t>Vyriad, Inc.</t>
  </si>
  <si>
    <t>NCT04476446</t>
  </si>
  <si>
    <t>An Expanded Access Protocol for Esketamine Treatment in Participants With Treatment Resistant Depression (TRD) Who do Not Have Other Treatment Alternatives</t>
  </si>
  <si>
    <t>Janssen-Cilag, S.A.</t>
  </si>
  <si>
    <t>NCT04750005</t>
  </si>
  <si>
    <t>A Twelve Week Study of Virtually Supervised Mouth Rinse and Flossing</t>
  </si>
  <si>
    <t>Johnson &amp; Johnson Consumer Inc. (J&amp;JCI)</t>
  </si>
  <si>
    <t>NCT05163756</t>
  </si>
  <si>
    <t>To Evaluate the Efficacy and Safety of DW1903 in Acute and Chronic Gastritis Patient</t>
  </si>
  <si>
    <t>NCT04533022</t>
  </si>
  <si>
    <t>Safety, Efficacy and Pharmacokinetics of C21 in Subjects With IPF</t>
  </si>
  <si>
    <t>Vicore Pharma AB</t>
  </si>
  <si>
    <t>NCT04640623</t>
  </si>
  <si>
    <t>A Study of TAR-200 in Combination With Cetrelimab, TAR-200 Alone, or Cetrelimab Alone in Participants With Non-Muscle Invasive Bladder Cancer (NMIBC) Unresponsive to Intravesical Bacillus Calmette-Guérin Who Are Ineligible for or Elected Not to Undergo Radical Cystectomy</t>
  </si>
  <si>
    <t>NCT04503603</t>
  </si>
  <si>
    <t>A Study to Determine the Safety, Tolerability, and Pharmacokinetics of Lanadelumab Administered Intravenously in Healthy Adult Volunteer Participants</t>
  </si>
  <si>
    <t>NCT04312594</t>
  </si>
  <si>
    <t>Study of Jaktinib Hydrochloride Tablets in Participants With Idiopathic Pulmonary Fibrosis</t>
  </si>
  <si>
    <t>NCT04617483</t>
  </si>
  <si>
    <t>Study of the Commercial Scale SARS-CoV-2 Vaccine Against the Pilot Scale Among Adults, and Bridging Study of the Immunogenicity in Elderly Against That in Adults</t>
  </si>
  <si>
    <t>NCT04573270</t>
  </si>
  <si>
    <t>Mesenchymal Stem Cells for the Treatment of COVID-19</t>
  </si>
  <si>
    <t>NCT04419623</t>
  </si>
  <si>
    <t>A Study of TL-895 With Standard Available Treatment Versus Standard Available Treatment for the Treatment of COVID-19 in Patients With Cancer</t>
  </si>
  <si>
    <t>NCT06091579</t>
  </si>
  <si>
    <t>A Study to Evaluate the Safety, Tolerability and Pharmacokinetics of Treprostinil Palmitil Inhalation Powder (TPIP) in Healthy Participants</t>
  </si>
  <si>
    <t>Insmed Incorporated</t>
  </si>
  <si>
    <t>NCT04172246</t>
  </si>
  <si>
    <t>Study of Zanubrutinib in Japanese Participants With B-Cell Malignancies</t>
  </si>
  <si>
    <t>NCT04581629</t>
  </si>
  <si>
    <t>Safety, Tolerability, and Efficacy of Encaleret in Participants With Autosomal Dominant Hypocalcemia (ADH) Type 1</t>
  </si>
  <si>
    <t>Calcilytix Therapeutics, Inc., a BridgeBio company</t>
  </si>
  <si>
    <t>NCT04368728</t>
  </si>
  <si>
    <t>Study to Describe the Safety, Tolerability, Immunogenicity, and Efficacy of RNA Vaccine Candidates Against COVID-19 in Healthy Individuals</t>
  </si>
  <si>
    <t>NCT04285229</t>
  </si>
  <si>
    <t>A Study of Ixekizumab (LY2439821) in Chinese Participants With Radiographic Axial Spondyloarthritis</t>
  </si>
  <si>
    <t>NCT04349072</t>
  </si>
  <si>
    <t>A Study to Evaluate Mavacamten in Adults With Symptomatic Obstructive HCM Who Are Eligible for Septal Reduction Therapy</t>
  </si>
  <si>
    <t>NCT04383977</t>
  </si>
  <si>
    <t>Apatinib and Etoposide Capsule Versus Apatinib in Patients With Platinum Resistant Ovarian Cancer</t>
  </si>
  <si>
    <t>NCT05950165</t>
  </si>
  <si>
    <t>A Study to Assess Safety and Efficacy of CHO-H01 as a Single Agent/Combined With Lenalidomide in Subjects With Refractory or Relapsed Non-Hodgkin's Lymphoma</t>
  </si>
  <si>
    <t>Cho Pharma Inc.</t>
  </si>
  <si>
    <t>NCT04178902</t>
  </si>
  <si>
    <t>A Study of the Safety and Tolerability of ABBV-467 in Adult Participants With Relapsed/Refractory (R/R) Multiple Myeloma</t>
  </si>
  <si>
    <t>NCT04081337</t>
  </si>
  <si>
    <t>A Study to Measure Energy Expenditure and Food Intake in Participants With Obesity Using Tirzepatide</t>
  </si>
  <si>
    <t>NCT04390581</t>
  </si>
  <si>
    <t>A Study to Evaluate the Effect of Juvederm Volift With Lidocaine on Aging Hands in Participants Age 35 and Older</t>
  </si>
  <si>
    <t>NCT05063682</t>
  </si>
  <si>
    <t>The Efficacy and Safety of Brain-targeting Immune Cells (EGFRvIII-CAR T Cells) in Treating Patients With Leptomeningeal Disease From Glioblastoma. Administering Patients EGFRvIII -CAR T Cells May Help to Recognize and Destroy Brain Tumor Cells in Patients</t>
  </si>
  <si>
    <t>Chembrain LTD</t>
  </si>
  <si>
    <t>NCT04511624</t>
  </si>
  <si>
    <t>Single Dose Tolerability and Pharmacokinetics of IBI112 in Healthy Subjects</t>
  </si>
  <si>
    <t>NCT04671082</t>
  </si>
  <si>
    <t>Efficacy and Safety of Tolperisone in Subjects With Pain Due to Acute Back Muscle Spasm</t>
  </si>
  <si>
    <t>NCT04336124</t>
  </si>
  <si>
    <t>Safety and Pharmacokinetic Study of CVM-1118 Extended-Release in Advanced Cancer Patients</t>
  </si>
  <si>
    <t>TaiRx, Inc.</t>
  </si>
  <si>
    <t>NCT04418661</t>
  </si>
  <si>
    <t>Safety and Efficacy Study of Vociprotafib (SAR442720) in Combination With Other Agents in Advanced Malignancies</t>
  </si>
  <si>
    <t>NCT04835142</t>
  </si>
  <si>
    <t>Comparison of A140 and Erbitux Combined With mfolfox6 to Evaluate Efficacy and Safety of First-line Treatment for Ras Wild-type mCRC</t>
  </si>
  <si>
    <t>Sichuan Kelun-Biotech Biopharmaceutical Co., Ltd.</t>
  </si>
  <si>
    <t>NCT04435379</t>
  </si>
  <si>
    <t>Study to Assess VPM1002 in Reducing Hospital Admissions and/or Severe Respiratory Infectious Diseases in Elderly in COVID-19 Pandemic</t>
  </si>
  <si>
    <t>NCT04500561</t>
  </si>
  <si>
    <t>YY-20394 、GEMOX Treatment Diffuse Large B-cell Lymphoma Single Arm, Open, Multicentrized Phase 1b/2 Clinical Trial</t>
  </si>
  <si>
    <t>NCT04525079</t>
  </si>
  <si>
    <t>To Evaluate the Safety, Tolerability and Pharmacokinetics of CT-P59 in Healthy Subjects</t>
  </si>
  <si>
    <t>NCT04024696</t>
  </si>
  <si>
    <t>A Clinical Study to Evaluate Pharmacokinetics, Safety, and Tolerability of Abexinostat in Chinese Patients</t>
  </si>
  <si>
    <t>Xynomic Pharmaceuticals, Inc.</t>
  </si>
  <si>
    <t>NCT04934124</t>
  </si>
  <si>
    <t>Single Ascending Dose Study to Evaluate the Safety, Tolerability, and Pharmacokinetics of ITI 333 in Healthy Volunteers</t>
  </si>
  <si>
    <t>NCT04567303</t>
  </si>
  <si>
    <t>Study of Zifibancimig in Participants With Neovascular Age-related Macular Degeneration</t>
  </si>
  <si>
    <t>NCT04362813</t>
  </si>
  <si>
    <t>Study of Efficacy and Safety of Canakinumab Treatment for CRS in Participants With COVID-19-induced Pneumonia</t>
  </si>
  <si>
    <t>NCT04798313</t>
  </si>
  <si>
    <t>Comparing of the Pharmacokinetic, Pharmacodynamic, Safety and Immunogenicity of MW031 and Prolia® in Healthy Adults</t>
  </si>
  <si>
    <t>NCT04368988</t>
  </si>
  <si>
    <t>Evaluation of the Safety and Immunogenicity of a SARS-CoV-2 rS Nanoparticle Vaccine With/Without Matrix-M Adjuvant</t>
  </si>
  <si>
    <t>NCT03580473</t>
  </si>
  <si>
    <t>Efficacy and Safety of Saturno IIB Association on the Control of Ocular Inflammation Post-phacoemulsification</t>
  </si>
  <si>
    <t>EMS</t>
  </si>
  <si>
    <t>NCT04252742</t>
  </si>
  <si>
    <t>Erenumab - Comprehensive Assessment of Efficacy in (High-Frequency) Episodic Migraine</t>
  </si>
  <si>
    <t>NCT04249583</t>
  </si>
  <si>
    <t>Treatment of Moderate to Severe Glabellar Lines</t>
  </si>
  <si>
    <t>NCT03996473</t>
  </si>
  <si>
    <t>Study to Test the Safety and How Radium-223 Dichloride an Alpha Particle-emitting Radioactive Agent Works in Combination With Pembrolizumab an Immune Checkpoint Inhibitor in Patients With Stage IV Non-small Cell Lung Cancer With Bone Metastases</t>
  </si>
  <si>
    <t>NCT05250583</t>
  </si>
  <si>
    <t>Use of a Biological Lens of Amniotic Membrane (LV-Visio-AMTRIX) in the Treatment of Treatment-Resistant Keratitis</t>
  </si>
  <si>
    <t>NCT04456673</t>
  </si>
  <si>
    <t>Pivotal Study to Assess the Efficacy, Safety and Tolerability of Dupilumab in Patients With Moderate to Severe COPD With Type 2 Inflammation</t>
  </si>
  <si>
    <t>NCT04239469</t>
  </si>
  <si>
    <t>Phase II Clinical Trial, Use of KL16-012 in Women With Fibromyalgia Refractary to Conventional Treatment.</t>
  </si>
  <si>
    <t>Knop Laboratorios</t>
  </si>
  <si>
    <t>NCT04702490</t>
  </si>
  <si>
    <t>Study to Evaluate MET409 Alone or in Combination With Empagliflozin in Patients With Type 2 Diabetes and NASH</t>
  </si>
  <si>
    <t>Metacrine, Inc.</t>
  </si>
  <si>
    <t>NCT04687813</t>
  </si>
  <si>
    <t>Safety, Tolerability and Pharmacokinetics of FTP-198 Tablet in Healthy Chinese Volunteers</t>
  </si>
  <si>
    <t>NCT04450160</t>
  </si>
  <si>
    <t>Trial of AEO in New Glioblastoma (GBM)</t>
  </si>
  <si>
    <t>MetVital, Inc.</t>
  </si>
  <si>
    <t>NCT04547127</t>
  </si>
  <si>
    <t>A Study to Evaluate Safety and Efficacy of Convalescent Methylene Blue Treated (MBT) Plasma From Donors Recovered From Coronavirus Disease 2019 (COVID-19)</t>
  </si>
  <si>
    <t>NCT04456088</t>
  </si>
  <si>
    <t>Inhaled NO for the Treatment of COVID-19 Caused by SARS-CoV-2 (CANADA Trial)</t>
  </si>
  <si>
    <t>Beyond Air Inc.</t>
  </si>
  <si>
    <t>NCT04382586</t>
  </si>
  <si>
    <t>Covid-19 Infection and Pulmonary Distress Treatment With Zanubrutinib in Hospitalized Participants</t>
  </si>
  <si>
    <t>NCT04405570</t>
  </si>
  <si>
    <t>Safety, Tolerability and Efficacy of Molnupiravir (EIDD-2801) to Eliminate Infectious Virus Detection in Persons With COVID-19</t>
  </si>
  <si>
    <t>NCT04361942</t>
  </si>
  <si>
    <t>Treatment of Severe COVID-19 Pneumonia With Allogeneic Mesenchymal Stem Cells</t>
  </si>
  <si>
    <t>Red de Terapia Celular</t>
  </si>
  <si>
    <t>NCT04992442</t>
  </si>
  <si>
    <t>Study to Assess Absolute Bioavailability of TAK-935 (OV935) and to Characterize Mass Balance, Pharmacokinetics, Metabolism, and Excretion of [14C]TAK-935 (OV935) in Healthy Male Participants</t>
  </si>
  <si>
    <t>NCT04480502</t>
  </si>
  <si>
    <t>ENVASARC: Envafolimab And Envafolimab With Ipilimumab In Patients With Undifferentiated Pleomorphic Sarcoma Or Myxofibrosarcoma</t>
  </si>
  <si>
    <t>Tracon Pharmaceuticals Inc.</t>
  </si>
  <si>
    <t>NCT04594369</t>
  </si>
  <si>
    <t>A Study to Assess the Efficacy, Safety, and Tolerability of Brensocatib in Participants With Non-Cystic Fibrosis Bronchiectasis</t>
  </si>
  <si>
    <t>NCT04282070</t>
  </si>
  <si>
    <t>SHR-1701 in Patients With Recurrent/Metastatic Nasopharyngeal Carcinoma</t>
  </si>
  <si>
    <t>NCT04679415</t>
  </si>
  <si>
    <t>Efficacy and Safety of hzVSF-v13 in Moderate to Severe Patients With COVID-19 Pneumonia</t>
  </si>
  <si>
    <t>NCT04193436</t>
  </si>
  <si>
    <t>A STUDY TO COMPARE THE PHARMACOKINETICS OF PF-06835919 IN PARTICIPANTS WITH AND WITHOUT HEPATIC IMPAIRMENT</t>
  </si>
  <si>
    <t>NCT04529499</t>
  </si>
  <si>
    <t>Clinical Trial Evaluating the Efficacy and Safety of Favipiravir in Moderate to Severe COVID-19 Patients</t>
  </si>
  <si>
    <t>NCT04393298</t>
  </si>
  <si>
    <t>A Study to Assess the Safety, Pharmacokinetics and Anti Tumor Activity of UCB6114 Administered Intravenously to Participants With Advanced Solid Tumors</t>
  </si>
  <si>
    <t>NCT04233814</t>
  </si>
  <si>
    <t>Safety, Tolerability and Pharmacokinetic Study of LTI-03 in Healthy Adult Subjects</t>
  </si>
  <si>
    <t>NCT05716126</t>
  </si>
  <si>
    <t>Single Dose Mass Balance Study With [14C]Iruplinalkib (WX-0593) In Healthy Male Volunteers</t>
  </si>
  <si>
    <t>NCT04225078</t>
  </si>
  <si>
    <t>A Study to Evaluate the Effects of Loperamide (JNJ-289679) on Electrocardiogram Intervals in Healthy Adult Participants</t>
  </si>
  <si>
    <t>NCT04491006</t>
  </si>
  <si>
    <t>A Study of ATH-1017 in Mild to Moderate Alzheimer's Disease</t>
  </si>
  <si>
    <t>LeonaBio</t>
  </si>
  <si>
    <t>NCT04571164</t>
  </si>
  <si>
    <t>A Study to Evaluate the Effectiveness and Safety of LY03003 in Patients With Early Primary PD</t>
  </si>
  <si>
    <t>NCT04453852</t>
  </si>
  <si>
    <t>Monovalent Recombinant COVID19 Vaccine</t>
  </si>
  <si>
    <t>Vaxine Pty Ltd</t>
  </si>
  <si>
    <t>NCT04255238</t>
  </si>
  <si>
    <t>A Study to Evaluate the Efficacy and Safety of Dual add-on Therapy With Gemigliptin 50 mg and Dapagliflozin 10 mg Added to Metformin Who Have Inadequate Glycemic Control on Metformin Alone</t>
  </si>
  <si>
    <t>NCT04529148</t>
  </si>
  <si>
    <t>The Efficacy and Safety of Ginkgo Biloba Dropping Pills in the Treatment of Coronary Heart Disease With Stable Angina Pectoris and Depression</t>
  </si>
  <si>
    <t>Wanbangde Pharmaceutical Group Co., LTD</t>
  </si>
  <si>
    <t>NCT04373187</t>
  </si>
  <si>
    <t>Study to Evaluate the Pharmacokinetic Comparability of CC-93538 From Two Different Drug Concentrations in Healthy Adult Subjects</t>
  </si>
  <si>
    <t>NCT04309084</t>
  </si>
  <si>
    <t>Natural Killer Cell (CYNK-001) Infusions in Adults With Multiple Myeloma</t>
  </si>
  <si>
    <t>NCT04399538</t>
  </si>
  <si>
    <t>Study of Pharmacodynamics and Safety of DGAT2i and ACCi Coadministered in Participants With Sponsor-defined Presumed Non Alcoholic Steatohepatitis</t>
  </si>
  <si>
    <t>NCT04247126</t>
  </si>
  <si>
    <t>A Study of SY 5609, a Selective CDK7 Inhibitor, in Advanced Solid Tumors</t>
  </si>
  <si>
    <t>Syros Pharmaceuticals</t>
  </si>
  <si>
    <t>NCT04211415</t>
  </si>
  <si>
    <t>Phase I Study of DS-2741a in Healthy Volunteers and Participants With Atopic Dermatitis</t>
  </si>
  <si>
    <t>NCT04478084</t>
  </si>
  <si>
    <t>Study of Purified Vero Rabies Vaccine Compared With a Reference Rabies Vaccine as Simulated Rabies Post-Exposure Prophylaxis in Adult and Pediatric Population in Thaïland</t>
  </si>
  <si>
    <t>NCT04656652</t>
  </si>
  <si>
    <t>Study of DS-1062a Versus Docetaxel in Previously Treated Advanced or Metastatic Non-small Cell Lung Cancer With or Without Actionable Genomic Alterations (TROPION-LUNG01)</t>
  </si>
  <si>
    <t>NCT04830358</t>
  </si>
  <si>
    <t>Safety and Immunogenicity of the 'EuPCV15' in Healthy Korean Adults</t>
  </si>
  <si>
    <t>NCT05429385</t>
  </si>
  <si>
    <t>NCT04260529</t>
  </si>
  <si>
    <t>CyPep-1 Injections in Cancer Inducing Lymphocyte Infiltrate Accumulations</t>
  </si>
  <si>
    <t>Cytovation AS</t>
  </si>
  <si>
    <t>NCT04735822</t>
  </si>
  <si>
    <t>A Phase I Study to Evaluate the Taste of Belumosudil Oral Suspensions &amp; Assess Relative Bioavailability</t>
  </si>
  <si>
    <t>Kadmon Corporation, LLC</t>
  </si>
  <si>
    <t>NCT04402541</t>
  </si>
  <si>
    <t>Study of CB-5339 in Acute Myeloid Leukemia or Myelodysplastic Syndrome</t>
  </si>
  <si>
    <t>Cleave Therapeutics, Inc.</t>
  </si>
  <si>
    <t>NCT01957683</t>
  </si>
  <si>
    <t>Canadian eCLIPs™ Safety and Feasibility Study Protocol</t>
  </si>
  <si>
    <t>Evasc Medical Systems Corp.</t>
  </si>
  <si>
    <t>NCT04418141</t>
  </si>
  <si>
    <t>A Study to Evaluate the Safety, Tolerability, Pharmacokinetics, and Preliminary Efficacy of CN1</t>
  </si>
  <si>
    <t>Curon Biopharmaceutical (Australia) Co Pty Ltd</t>
  </si>
  <si>
    <t>NCT04485065</t>
  </si>
  <si>
    <t>Safety and Efficacy of IBI188 With Azacitidine in Subjects With Newly Diagnosed Higher Risk MDS</t>
  </si>
  <si>
    <t>NCT04774809</t>
  </si>
  <si>
    <t>Assess the Efficacy and Safety of SHR0302 Ointment in Adult Patients With Vitiligo</t>
  </si>
  <si>
    <t>Reistone Biopharma Company Limited</t>
  </si>
  <si>
    <t>NCT03910621</t>
  </si>
  <si>
    <t>Safety and Efficacy of Miglustat in Chinese NPC Patients</t>
  </si>
  <si>
    <t>NCT04428814</t>
  </si>
  <si>
    <t>Study to Compare PK and Safety of Subcutaneous Injection of Ustekinumab and CT-P43 in Healthy Subjects</t>
  </si>
  <si>
    <t>NCT04030598</t>
  </si>
  <si>
    <t>A Study to Assess the Clinical Efficacy of Donidalorsen (Also Known as IONIS-PKK-LRx and ISIS 721744) in Participants With Hereditary Angioedema</t>
  </si>
  <si>
    <t>NCT04242498</t>
  </si>
  <si>
    <t>NCT04223193</t>
  </si>
  <si>
    <t>Flexible-Dose Trial in Early Parkinson's Disease (PD)</t>
  </si>
  <si>
    <t>NCT04587206</t>
  </si>
  <si>
    <t>A Clinical Trial to Evaluate the Pharmacokinetics and Tolerability of CKD-348</t>
  </si>
  <si>
    <t>NCT04223752</t>
  </si>
  <si>
    <t>Safety and Pharmacokinetics of Ceftolozane/Tazobactam in Pediatric Participants With Nosocomial Pneumonia (MK-7625A-036)</t>
  </si>
  <si>
    <t>NCT04289649</t>
  </si>
  <si>
    <t>K-924 Phase III Confirmatory Study</t>
  </si>
  <si>
    <t>NCT04362748</t>
  </si>
  <si>
    <t>Study of AMG 256 in Adult Subjects With Advanced Solid Tumors</t>
  </si>
  <si>
    <t>NCT03992339</t>
  </si>
  <si>
    <t>A Study of Evaluating the Safety and Efficacy of ATG-010 in Relapsed/Refractory Diffuse Large B-Cell Lymphoma</t>
  </si>
  <si>
    <t>NCT04246801</t>
  </si>
  <si>
    <t>Clobetasol Propionate Ophthalmic Nanoemulsion 0.05% for the Treatment of Inflammation and Pain Associated With Cataract Surgery (CLOSE-1)</t>
  </si>
  <si>
    <t>NCT04080206</t>
  </si>
  <si>
    <t>A Safety Study of 188-0551 Spray Versus Reference Listed Drug (RLD) in Adult Subjects With Plaque Psoriasis</t>
  </si>
  <si>
    <t>NCT04171700</t>
  </si>
  <si>
    <t>A Study to Evaluate Rucaparib in Participants With Solid Tumors and With Deleterious Mutations in HRR Genes</t>
  </si>
  <si>
    <t>pharmaand GmbH</t>
  </si>
  <si>
    <t>NCT04544748</t>
  </si>
  <si>
    <t>A Phase 1 Study of GNR-051 in Subjects With Advanced Malignancies</t>
  </si>
  <si>
    <t>NCT04560881</t>
  </si>
  <si>
    <t>Clinical Trial to Evaluate the Efficacy, Immunogenicity and Safety of the Inactivated SARS-CoV-2 Vaccine (COVID-19)</t>
  </si>
  <si>
    <t>NCT04503265</t>
  </si>
  <si>
    <t>A Trial of AMXI-5001 for Treatment in Patients With Advanced Malignancies</t>
  </si>
  <si>
    <t>AtlasMedx, Incorporated</t>
  </si>
  <si>
    <t>NCT04227600</t>
  </si>
  <si>
    <t>A Study of JR-171 in Patients With Mucopolysaccharidosis I</t>
  </si>
  <si>
    <t>JCR Pharmaceuticals Co., Ltd.</t>
  </si>
  <si>
    <t>NCT04526509</t>
  </si>
  <si>
    <t>Master Protocol to Assess Safety and Dose of First Time in Human Next Generation Engineered T Cells in NY-ESO-1 and/or LAGE-1a Positive Advanced Solid Tumors</t>
  </si>
  <si>
    <t>NCT04482699</t>
  </si>
  <si>
    <t>RAPA-501-Allo Therapy of COVID-19-ARDS</t>
  </si>
  <si>
    <t>NCT04311463</t>
  </si>
  <si>
    <t>Bioequivalence Study of Paroxetine and PAXIL Under Fasting Conditions in Healthy Mexican Participants</t>
  </si>
  <si>
    <t>NCT04558216</t>
  </si>
  <si>
    <t>Evaluation of Effect of Rifampin on the Pharmacokinetics of Vonoprazan in Healthy Participants</t>
  </si>
  <si>
    <t>Phathom Pharmaceuticals, Inc.</t>
  </si>
  <si>
    <t>NCT04618744</t>
  </si>
  <si>
    <t>A Study to Assess the Safety and Efficacy of Oral Insulin in T2DM Patients With Nonalcoholic Steatohepatitis (NASH)</t>
  </si>
  <si>
    <t>NCT04611932</t>
  </si>
  <si>
    <t>Clinical Study to Evaluate the Pharmacokinetic Profiles and Safety of CKD-333 Low Dose in Healthy Volunteers</t>
  </si>
  <si>
    <t>NCT04604132</t>
  </si>
  <si>
    <t>Derazantinib Alone or in Combination With Paclitaxel, Ramucirumab or Atezolizumab in Gastric Adenocarcinoma</t>
  </si>
  <si>
    <t>NCT04511130</t>
  </si>
  <si>
    <t>Efficacy of MT-401 in Patients With AML Following Stem Cell Transplant</t>
  </si>
  <si>
    <t>Marker Therapeutics, Inc.</t>
  </si>
  <si>
    <t>NCT04505436</t>
  </si>
  <si>
    <t>Study to Evaluate Efficacy, Safety and Tolerability of HM15211(Efocipegtrutide) in Subjects</t>
  </si>
  <si>
    <t>NCT04675034</t>
  </si>
  <si>
    <t>A Study of the Efficacy and Safety of MEDI7352 in Participants With Painful Osteoarthritis of the Knee</t>
  </si>
  <si>
    <t>NCT04546009</t>
  </si>
  <si>
    <t>A Study Evaluating the Efficacy and Safety of Giredestrant Combined With Palbociclib Compared With Letrozole Combined With Palbociclib in Participants With Estrogen Receptor-Positive, HER2-Negative Locally Advanced or Metastatic Breast Cancer (persevERA Breast Cancer)</t>
  </si>
  <si>
    <t>NCT04241393</t>
  </si>
  <si>
    <t>An Open-label Trial to Evaluate Mass Balance of Tavapadon at Steady State in Healthy Subjects</t>
  </si>
  <si>
    <t>NCT04239014</t>
  </si>
  <si>
    <t>A Study to Evaluate the Effectiveness and Tolerability of a Second Maintenance Treatment in Participants With Ovarian Cancer, Who Have Previously Received Polyadenosine 5'Diphosphoribose [Poly (ADP Ribose)] Polymerase Inhibitor (PARPi) Treatment.</t>
  </si>
  <si>
    <t>NCT04530838</t>
  </si>
  <si>
    <t>20-valent Pneumococcal Conjugate Vaccine Safety and Immunogenicity Study in Healthy Japanese Infants</t>
  </si>
  <si>
    <t>NCT04635800</t>
  </si>
  <si>
    <t>A Study to Evaluate the Safety, Tolerability and Pharmacokinetics of IVT MHU650 in Macular Edema Patients</t>
  </si>
  <si>
    <t>NCT04380636</t>
  </si>
  <si>
    <t>Study of Pembrolizumab With Concurrent Chemoradiation Therapy Followed by Pembrolizumab With or Without Olaparib in Stage III Non-Small Cell Lung Cancer (NSCLC) (MK-7339-012/KEYLYNK-012)</t>
  </si>
  <si>
    <t>NCT04231136</t>
  </si>
  <si>
    <t>Study to Evaluate the Pharmacodynamics After Single Oral Dosing of Tegoprazan, EAPA115 and RAPA115 in Healthy Volunteers</t>
  </si>
  <si>
    <t>NCT04161898</t>
  </si>
  <si>
    <t>A Study to Evaluate the Efficacy and Safety of Upadacitinib in Participants With Takayasu Arteritis (TAK)</t>
  </si>
  <si>
    <t>NCT04189614</t>
  </si>
  <si>
    <t>An Efficacy and Safety Study of Cofetuzumab Pelidotin in Participants With PTK7-Expressing, Recurrent Non-Small Cell Lung Cancer</t>
  </si>
  <si>
    <t>NCT04456816</t>
  </si>
  <si>
    <t>A Study of the Safety, Tolerability, Pharmacokinetics and Efficacy of Treatment With AP1189 in Patients With iMN and Severe Proteinuria</t>
  </si>
  <si>
    <t>SynAct Pharma Aps</t>
  </si>
  <si>
    <t>NCT04683406</t>
  </si>
  <si>
    <t>A Study of ZSP1273 Tablets in Patients With Acute Uncomplicated Influenza A</t>
  </si>
  <si>
    <t>NCT04596007</t>
  </si>
  <si>
    <t>The Safety, Tolerability, Pharmacokinetics and Pharmacodynamics Study of HEC83518 Tablets in Chinses Healthy Subjects</t>
  </si>
  <si>
    <t>NCT04472832</t>
  </si>
  <si>
    <t>A Study to Evaluate the Pharmacokinetics, Safety, and Tolerability of Mitapivat (AG-348) in Healthy Adult Participants</t>
  </si>
  <si>
    <t>NCT04372121</t>
  </si>
  <si>
    <t>Extension to Study on Efficacy and Safety of Linzagolix for the Treatment of Endometriosis-associated Pain</t>
  </si>
  <si>
    <t>NCT04936984</t>
  </si>
  <si>
    <t>Study to Evaluate and Compare the Bioequivalence of Two Abaloparatide-sMTS Treatments in Healthy Women.</t>
  </si>
  <si>
    <t>Radius Health, Inc.</t>
  </si>
  <si>
    <t>NCT04485884</t>
  </si>
  <si>
    <t>A Study to Evaluate Pharmacokinetics/Pharmacodynamics and Safety/Tolerability of IN-C005 in Healthy Male Subjects</t>
  </si>
  <si>
    <t>NCT04508621</t>
  </si>
  <si>
    <t>A Phase 3 Study To Evaluate The Efficacy And Safety Of TNX-102 SL In Patients With Fibromyalgia</t>
  </si>
  <si>
    <t>Tonix Pharmaceuticals, Inc.</t>
  </si>
  <si>
    <t>NCT04601584</t>
  </si>
  <si>
    <t>GNR-084 Safety and Pharmacological Characteristics in Refractory or Relapse B-cell Precursor ALL</t>
  </si>
  <si>
    <t>NCT04305249</t>
  </si>
  <si>
    <t>Safety and Preliminary Efficacy of ATG-017 Monotherapy or Combination Therapy With Nivolumab in Advanced Solid Tumors and Hematological Malignancies</t>
  </si>
  <si>
    <t>Antengene Therapeutics Limited</t>
  </si>
  <si>
    <t>NCT04575038</t>
  </si>
  <si>
    <t>CRISIS2: A Phase 2 Study of the Safety and Antiviral Activity of Brequinar in Non-hospitalized Pts With COVID-19</t>
  </si>
  <si>
    <t>Clear Creek Bio, Inc.</t>
  </si>
  <si>
    <t>NCT04522817</t>
  </si>
  <si>
    <t>CLBS119 for Repair of COVID-19 Induced Pulmonary Damage</t>
  </si>
  <si>
    <t>NCT04640233</t>
  </si>
  <si>
    <t>Clinical Trial to Assess Safety and Immunogenicity of Gam-COVID-Vac Combined Vector Vaccine for Severe Acute Respiratory Syndrome Coronavirus 2 (SARS-Сov-2) Infection</t>
  </si>
  <si>
    <t>NCT04455633</t>
  </si>
  <si>
    <t>Efficacy, Safety, and PK of LX9211 in Participants With Diabetic Peripheral Neuropathic Pain</t>
  </si>
  <si>
    <t>NCT04377555</t>
  </si>
  <si>
    <t>Prospective Study to Assess Disease Activity and Biomarkers in Minority Participants With Relapsing Multiple Sclerosis (RMS) After Initiation and During Treatment With Ocrelizumab</t>
  </si>
  <si>
    <t>NCT04430855</t>
  </si>
  <si>
    <t>A Study of Oral Upadacitinib Tablet Compared to Placebo in Adult Participants With Moderate to Severe Hidradenitis Suppurativa to Assess Change in Disease Symptoms</t>
  </si>
  <si>
    <t>NCT04058535</t>
  </si>
  <si>
    <t>Clinical Study of ALT-L9 to Determine Safety, Efficacy and Pharmacokinetics in Neovascular AMD</t>
  </si>
  <si>
    <t>Alteogen, Inc.</t>
  </si>
  <si>
    <t>NCT04222725</t>
  </si>
  <si>
    <t>A Study of TRS01 in Participants With Post-surgical Ocular Inflammation</t>
  </si>
  <si>
    <t>NCT04624217</t>
  </si>
  <si>
    <t>A Trial of SHR-1701 in Combination With Gemcitabine and Albumin Paclitaxel in Patients With Pancreatic Cancer</t>
  </si>
  <si>
    <t>NCT04499352</t>
  </si>
  <si>
    <t>A Study to Test BI 754091 Alone or in Combination With BI 836880 in People Who Have Advanced Anal Cancer</t>
  </si>
  <si>
    <t>NCT04677543</t>
  </si>
  <si>
    <t>Validation of Patient Reported Outcome Measures in Participants With Nontuberculous Mycobacterial Lung Infection Caused by Mycobacterium Avium Complex</t>
  </si>
  <si>
    <t>NCT04566445</t>
  </si>
  <si>
    <t>HORIZON: A Phase II Study to Evaluate the Safety and Efficacy of Two Doses of GT005</t>
  </si>
  <si>
    <t>Gyroscope Therapeutics Limited</t>
  </si>
  <si>
    <t>NCT04224272</t>
  </si>
  <si>
    <t>A Study of ZW25 (Zanidatamab) With Palbociclib Plus Fulvestrant in Patients With HER2+/HR+ Advanced Breast Cancer</t>
  </si>
  <si>
    <t>NCT04508244</t>
  </si>
  <si>
    <t>Beta Blocker Use In Traumatic Brain Injury Based On The High-Sensitive Troponin T Status</t>
  </si>
  <si>
    <t>NCT04476849</t>
  </si>
  <si>
    <t>A Study to Investigate the Effect of Renal Impairment on the Safety and Tolerability of Fezolinetant Compared to Participants With Normal Renal Function</t>
  </si>
  <si>
    <t>NCT04439578</t>
  </si>
  <si>
    <t>Effect of Rifampicin on the Pharmacokinetics of SHR6390 in Healthy Subjects</t>
  </si>
  <si>
    <t>NCT04584710</t>
  </si>
  <si>
    <t>A Phase 2 Study of RTB101 as COVID-19 Post-Exposure Prophylaxis in Older Adults</t>
  </si>
  <si>
    <t>NCT04432831</t>
  </si>
  <si>
    <t>A Study to Evaluate the Long-Term Safety and Tolerability of Faricimab in Participants With Diabetic Macular Edema</t>
  </si>
  <si>
    <t>NCT04222972</t>
  </si>
  <si>
    <t>A Study of Pralsetinib Versus Standard of Care for First-Line Treatment of Advanced Non-Small Cell Lung Cancer (NSCLC)</t>
  </si>
  <si>
    <t>NCT05694728</t>
  </si>
  <si>
    <t>A Phase II Trial Evaluate the Immunogenicity and Safety Profile of HPV Vaccine</t>
  </si>
  <si>
    <t>Beijing Health Guard Biotechnology, Inc</t>
  </si>
  <si>
    <t>NCT04530643</t>
  </si>
  <si>
    <t>A Phase II Study of HY209 Gel for Atopic Dermatitis Patients (Shaperon)</t>
  </si>
  <si>
    <t>NCT04249076</t>
  </si>
  <si>
    <t>Clobetasol Propionate Ophthalmic Nanoemulsion 0.05% for the Treatment of Inflammation and Pain Associated With Cataract Surgery (CLOSE-2)</t>
  </si>
  <si>
    <t>NCT04683250</t>
  </si>
  <si>
    <t>Study of RET Inhibitor TAS0953/HM06 in Patients With Advanced Solid Tumors With RET Gene Abnormalities</t>
  </si>
  <si>
    <t>NCT04532749</t>
  </si>
  <si>
    <t>A Study of Seltorexant as Adjunctive Therapy to Antidepressants in Adult and Elderly Participants With Major Depressive Disorder With Insomnia Symptoms Who Have Responded Inadequately to Antidepressant Therapy</t>
  </si>
  <si>
    <t>NCT04486625</t>
  </si>
  <si>
    <t>Pharmacokinetic Study of Aztreonam-Avibactam in Severe Renal Impairment</t>
  </si>
  <si>
    <t>NCT04643886</t>
  </si>
  <si>
    <t>A Multiple Dose Study of Repeat Intravitreal Injections of GEM103 in Dry Age-related Macular Degeneration</t>
  </si>
  <si>
    <t>NCT04774328</t>
  </si>
  <si>
    <t>Preliminary Study of CA-008 (Vocacapsaicin) in Patients Undergoing Ventral Hernia Repair</t>
  </si>
  <si>
    <t>Concentric Analgesics</t>
  </si>
  <si>
    <t>NCT04271839</t>
  </si>
  <si>
    <t>Efficiency Control of Fluticasone/Formoterol K-haler (Medium Strength) vs ICS/LABA (High Strength) in Asthma Patients</t>
  </si>
  <si>
    <t>Mundipharma Pharmaceuticals S.L.</t>
  </si>
  <si>
    <t>NCT04602975</t>
  </si>
  <si>
    <t>A Study to Investigate the Safety and Immunogenicity of the SF2a-TT15 Synthetic Carbohydrate-based Conjugate Vaccine Against Shigella Flexneri 2a</t>
  </si>
  <si>
    <t>Institut Pasteur</t>
  </si>
  <si>
    <t>NCT04392830</t>
  </si>
  <si>
    <t>A Study to Investigate the Safety, Tolerability, Pharmacokinetics of ALZ002 DS in Healthy Volunteers</t>
  </si>
  <si>
    <t>AnnJi Pharmaceutical Co., Ltd.</t>
  </si>
  <si>
    <t>NCT04502693</t>
  </si>
  <si>
    <t>Effectiveness of GlaxoSmithKline Biologicals S.A's Meningococcal Group B and Combined ABCWY Vaccines in Healthy Adolescents and Young Adults</t>
  </si>
  <si>
    <t>NCT04758273</t>
  </si>
  <si>
    <t>A Safety and Immunogenicity Study of Inactivated SARS-CoV-2 Vaccine (Vero Cells) in Healthy Population Aged 18 Years and Above(COVID-19)</t>
  </si>
  <si>
    <t>Beijing Minhai Biotechnology Co., Ltd</t>
  </si>
  <si>
    <t>NCT04414475</t>
  </si>
  <si>
    <t>A Study of Selinexor (Seli) + Low-dose Dexamethasone (LDD) in Penta-refractory Multiple Myeloma (MM), Seli and Bortezomib + LDD in Triple-class Refractory MM.</t>
  </si>
  <si>
    <t>NCT04171765</t>
  </si>
  <si>
    <t>A Study to Evaluate the Efficacy, Safety, and Pharmacokinetics of BFKB8488A Compared With Placebo in Participants With Non-Alcoholic Steatohepatitis</t>
  </si>
  <si>
    <t>NCT04258995</t>
  </si>
  <si>
    <t>A TRIAL TO EVALUATE THE SAFETY, TOLERABILITY, AND IMMUNOGENICITY OF A BOOSTER DOSE OF A GROUP B STREPTOCOCCUS 6 VALENT POLYSACCHARIDE CONJUGATE VACCINE (GBS6) IN HEALTHY ADULTS</t>
  </si>
  <si>
    <t>NCT04122339</t>
  </si>
  <si>
    <t>MAX-10181 Given Orally to Patients With Advanced Solid Tumor</t>
  </si>
  <si>
    <t>Maxinovel Pty., Ltd.</t>
  </si>
  <si>
    <t>NCT04602000</t>
  </si>
  <si>
    <t>A Phase 2/3 Study to Evaluate the Efficacy and Safety of CT-P59 in Patients With Mild to Moderate SARS-CoV-2 Infection</t>
  </si>
  <si>
    <t>NCT04680429</t>
  </si>
  <si>
    <t>A Single and Multiple Ascending and Food Effect Study of RP7214, a DHODH Inhibitor in Healthy Adult Subjects</t>
  </si>
  <si>
    <t>Rhizen Pharmaceuticals SA</t>
  </si>
  <si>
    <t>NCT04186819</t>
  </si>
  <si>
    <t>Imaging Study to Investigate the Safety and Diagnostic Performance of rhPSMA 7.3 (18F) in Newly Diagnosed Prostate Cancer.</t>
  </si>
  <si>
    <t>NCT04100330</t>
  </si>
  <si>
    <t>A Study of Ficlatuzumab With HiDAC and HiDAC Alone in Adults With Relapsed or Refractory Acute Myeloid Leukemia</t>
  </si>
  <si>
    <t>AVEO Pharmaceuticals, Inc.</t>
  </si>
  <si>
    <t>NCT04369430</t>
  </si>
  <si>
    <t>Study Assessing Efficacy and Safety of AKST4290 in Subjects With Parkinson's Disease on Stable Dopaminergic Treatment</t>
  </si>
  <si>
    <t>Alkahest, Inc.</t>
  </si>
  <si>
    <t>NCT04598867</t>
  </si>
  <si>
    <t>A Study to Assess the Efficacy and Safety of CD-008-0045 in Patients With Generalized Anxiety Disorder</t>
  </si>
  <si>
    <t>ChemRar Research and Development Institute, LLC</t>
  </si>
  <si>
    <t>NCT04613999</t>
  </si>
  <si>
    <t>A Study of Ralinepag in Healthy Chinese Adult Subjects</t>
  </si>
  <si>
    <t>Everstar Medicines (Shanghai) Limited</t>
  </si>
  <si>
    <t>NCT05214677</t>
  </si>
  <si>
    <t>A Phase 1 Clinical Trial to Evaluate the Safety and Pharmacokinetic Characteristics of DW1809</t>
  </si>
  <si>
    <t>NCT05017493</t>
  </si>
  <si>
    <t>Treatment of Covid-19 With a Herbal Compound, Xagrotin</t>
  </si>
  <si>
    <t>Biomad AS</t>
  </si>
  <si>
    <t>NCT05624853</t>
  </si>
  <si>
    <t>A Randomized, Active-controlled, Parallel, Open-label, Multicenter, Phase 4 Study to Compare the Efficacy and Safety of Pregabalin Sustained Release Tablet and Pregabalin Immediate Release Capsule in Type II Diabetic Patients With Peripheral Neuropathic Pain</t>
  </si>
  <si>
    <t>NCT04511819</t>
  </si>
  <si>
    <t>Losmapimod Safety and Efficacy in COVID-19</t>
  </si>
  <si>
    <t>NCT04515628</t>
  </si>
  <si>
    <t>Study to Assess the Effect of Branebrutinib on the Drug Levels of Rosuvastatin in Healthy Participants</t>
  </si>
  <si>
    <t>NCT04162366</t>
  </si>
  <si>
    <t>A Research Study to Show Aprocitentan is Efficacious and Safe to Treat Patients With Uncontrolled Blood Pressure and Chronic Kidney Disease.</t>
  </si>
  <si>
    <t>NCT04320745</t>
  </si>
  <si>
    <t>A Study to Evaluate Androderm®'s Effect on Blood Pressure in Adult Hypogonodal Male Participants</t>
  </si>
  <si>
    <t>NCT04401475</t>
  </si>
  <si>
    <t>A Randomized, Double-Blind, Placebo-Controlled Study to Evaluate the Safety and Efficacy of EB05 + SOC Vs. Placebo + SOC in Adult Hospitalized Patients with COVID-19</t>
  </si>
  <si>
    <t>Edesa Biotech Inc.</t>
  </si>
  <si>
    <t>NCT04432207</t>
  </si>
  <si>
    <t>A Study of IMU-201 (PD1-Vaxx), a B-Cell Immunotherapy, in Adults With Non-Small Cell Lung Cancer</t>
  </si>
  <si>
    <t>Imugene Limited</t>
  </si>
  <si>
    <t>NCT04380753</t>
  </si>
  <si>
    <t>AMG 510 Ethnic Sensitivity Study (CodeBreaK 105).</t>
  </si>
  <si>
    <t>NCT04480463</t>
  </si>
  <si>
    <t>A Study to Comparing SCD411 and Eylea® in Subjects With Wet Age-related Macular Degeneration (AMD)</t>
  </si>
  <si>
    <t>Sam Chun Dang Pharm. Co. Ltd.</t>
  </si>
  <si>
    <t>NCT04540393</t>
  </si>
  <si>
    <t>AZD1222 Vaccine for the Prevention of COVID-19</t>
  </si>
  <si>
    <t>NCT04541706</t>
  </si>
  <si>
    <t>Lorlatinib in ALK Inhibitor Treated Unresectable Advanced/Recurrent ALK-Positive Non Small Cell Lung Cancer Patients in India</t>
  </si>
  <si>
    <t>NCT04364035</t>
  </si>
  <si>
    <t>Safety, Tolerability and Immunogenicity of MVA.HTI and ChAdOx1.HTI With Vesatolimod in HIV-1 Positive Patients</t>
  </si>
  <si>
    <t>Aelix Therapeutics</t>
  </si>
  <si>
    <t>NCT04513925</t>
  </si>
  <si>
    <t>A Study of Atezolizumab and Tiragolumab Compared With Durvalumab in Participants With Locally Advanced, Unresectable Stage III Non-Small Cell Lung Cancer (NSCLC)</t>
  </si>
  <si>
    <t>NCT04676035</t>
  </si>
  <si>
    <t>The DDI Study Had Been Designed to Investigate the Effect of SHR3680 on the Pharmacokinetics of Midazolam, S-Warfarin and Omeprazole</t>
  </si>
  <si>
    <t>NCT03801889</t>
  </si>
  <si>
    <t>SP-420 in Subjects With Transfusion-dependent Beta-Thalassemia or Other Rare Anemias</t>
  </si>
  <si>
    <t>Abfero Pharmaceuticals, Inc</t>
  </si>
  <si>
    <t>NCT04489771</t>
  </si>
  <si>
    <t>A Study of Belzutifan (MK-6482) in Participants With Advanced Renal Cell Carcinoma (MK-6482-013)</t>
  </si>
  <si>
    <t>NCT04611321</t>
  </si>
  <si>
    <t>Study of IBI318 in Patients With Advanced Cutaneous Squamous Cell Carcinoma</t>
  </si>
  <si>
    <t>NCT04314843</t>
  </si>
  <si>
    <t>Study of Lenzilumab and Axicabtagene Ciloleucel in Participants With Relapsed or Refractory Large B-Cell Lymphoma</t>
  </si>
  <si>
    <t>Kite, A Gilead Company</t>
  </si>
  <si>
    <t>NCT04484935</t>
  </si>
  <si>
    <t>Evaluate the Safety and Tolerability, for Nirsevimab in Immunocompromised Children</t>
  </si>
  <si>
    <t>NCT04407208</t>
  </si>
  <si>
    <t>Convalescent Plasma Therapy in Patients With COVID-19</t>
  </si>
  <si>
    <t>Biofarma</t>
  </si>
  <si>
    <t>NCT04178733</t>
  </si>
  <si>
    <t>A Safety Study of LY3493269 Given as a Single Injection in Healthy Participants</t>
  </si>
  <si>
    <t>NCT04545749</t>
  </si>
  <si>
    <t>A Study to Evaluate the Safety, Tolerability, and Immunogenicity of UB-612 COVID-19 Vaccine</t>
  </si>
  <si>
    <t>United Biomedical Inc., Asia</t>
  </si>
  <si>
    <t>NCT04343248</t>
  </si>
  <si>
    <t>Trial to Evaluate the Efficacy and Safety of Nitazoxanide (NTZ) for Post-Exposure Prophylaxis of COVID-19 and Other Viral Respiratory Illnesses in Elderly Residents of Long-Term Care Facilities (LTCF)</t>
  </si>
  <si>
    <t>NCT04485052</t>
  </si>
  <si>
    <t>Efficacy and Safety Evaluation of IBI188 in Combination With Demethylating Agents in Treatment of Patients With Acute Myeloid Leukemia</t>
  </si>
  <si>
    <t>NCT04499248</t>
  </si>
  <si>
    <t>AGN-193408 SR in the Treatment of Open-angle Glaucoma or Ocular Hypertension</t>
  </si>
  <si>
    <t>NCT04248855</t>
  </si>
  <si>
    <t>Assessment of KAN-101 in Celiac Disease (ACeD)</t>
  </si>
  <si>
    <t>Kanyos Bio, Inc., a wholly-owned subsidiary of Anokion SA</t>
  </si>
  <si>
    <t>NCT04554043</t>
  </si>
  <si>
    <t>The PK/PD Study of SHR7280 Tablets in Healthy Subjects.</t>
  </si>
  <si>
    <t>NCT04595825</t>
  </si>
  <si>
    <t>CM-101 in PSC Patients -The SPRING Study</t>
  </si>
  <si>
    <t>ChemomAb Ltd.</t>
  </si>
  <si>
    <t>NCT04486391</t>
  </si>
  <si>
    <t>Tislelizumab Monotherapy Versus Salvage Chemotherapy for Relapsed/Refractory Classical Hodgkin Lymphoma</t>
  </si>
  <si>
    <t>NCT04686591</t>
  </si>
  <si>
    <t>Absolute Bioavailability and ADME Study of [14C]AZD9977 in Healthy Male Subjects</t>
  </si>
  <si>
    <t>NCT04605926</t>
  </si>
  <si>
    <t>A Study to Evaluate the Efficacy and Safety of Itolizumab in Subjects Hospitalized With COVID-19</t>
  </si>
  <si>
    <t>NCT04172987</t>
  </si>
  <si>
    <t>A Study of the Effect of Tirzepatide on How the Body Handles Birth Control Pills in Healthy Female Participants</t>
  </si>
  <si>
    <t>NCT04476108</t>
  </si>
  <si>
    <t>Chronic Pain Master Protocol (CPMP): A Study of LY3016859 in Participants With Diabetic Peripheral Neuropathic Pain</t>
  </si>
  <si>
    <t>NCT04267276</t>
  </si>
  <si>
    <t>A Study in Healthy Men to Test How BI 1265162 is Taken up and Processed by the Body</t>
  </si>
  <si>
    <t>NCT04464395</t>
  </si>
  <si>
    <t>Study of CPI-006 as Immunotherapy for Hospitalized COVID-19 Patients</t>
  </si>
  <si>
    <t>Corvus Pharmaceuticals, Inc.</t>
  </si>
  <si>
    <t>NCT04488822</t>
  </si>
  <si>
    <t>A Study of the Efficacy and Safety of Pexidartinib in Adult Subjects With TGCT</t>
  </si>
  <si>
    <t>NCT04404595</t>
  </si>
  <si>
    <t>Claudin18.2 CAR-T (CT041) in Patients With Gastric, Pancreatic Cancer, or Other Specified Digestive Cancers</t>
  </si>
  <si>
    <t>NCT04570839</t>
  </si>
  <si>
    <t>COM701 in Combination With BMS-986207 and Nivolumab in Subjects With Advanced Solid Tumors.</t>
  </si>
  <si>
    <t>NCT04640272</t>
  </si>
  <si>
    <t>A Multi-Center, Open Label, Extension Study Assessing the Efficacy and Safety of Additional Intravitreal Injections of RBM-007 in Subjects With Wet Age-related Macular Degeneration</t>
  </si>
  <si>
    <t>Ribomic USA Inc</t>
  </si>
  <si>
    <t>NCT04172675</t>
  </si>
  <si>
    <t>A Study of Erdafitinib Versus Investigator Choice of Intravesical Chemotherapy in Participants Who Received Bacillus Calmette-Guérin (BCG) and Recurred With High Risk Non-Muscle-Invasive Bladder Cancer (NMIBC)</t>
  </si>
  <si>
    <t>NCT04430348</t>
  </si>
  <si>
    <t>PTX-35 in Patients With Advanced Solid Tumors</t>
  </si>
  <si>
    <t>Pelican Therapeutics, Inc.</t>
  </si>
  <si>
    <t>NCT04464889</t>
  </si>
  <si>
    <t>HA-1H TCR T Cell for Relapsed/Persistent Hematologic Malignancies After Allogeneic Stem Cell Transplantation</t>
  </si>
  <si>
    <t>Medigene AG</t>
  </si>
  <si>
    <t>NCT04227847</t>
  </si>
  <si>
    <t>A Safety Study of SEA-CD70 in Patients With Myeloid Malignancies</t>
  </si>
  <si>
    <t>NCT04322708</t>
  </si>
  <si>
    <t>A Study of Lirentelimab (AK002) in Patients With Active Eosinophilic Esophagitis</t>
  </si>
  <si>
    <t>NCT04546425</t>
  </si>
  <si>
    <t>20-valent Pneumococcal Conjugate Vaccine Safety and Immunogenicity Study of a 3-Dose Series in Healthy Infants</t>
  </si>
  <si>
    <t>NCT04388176</t>
  </si>
  <si>
    <t>Cold Challenge With C21 in RP</t>
  </si>
  <si>
    <t>NCT04324840</t>
  </si>
  <si>
    <t>A Study of CC-90010 in Combination With Temozolomide With or Without Radiation Therapy in Participants With Newly Diagnosed Glioblastoma</t>
  </si>
  <si>
    <t>NCT04609618</t>
  </si>
  <si>
    <t>Evaluatation of Appscent Device Safety and Effectiveness for Relief of Obstructive Sleep Apnea (OSA) Syndrome in Adults.</t>
  </si>
  <si>
    <t>Y.A. Appscent Ltd.</t>
  </si>
  <si>
    <t>NCT05533788</t>
  </si>
  <si>
    <t>ABSK091 Food Effect Study in Healthy Subjects</t>
  </si>
  <si>
    <t>NCT04338061</t>
  </si>
  <si>
    <t>Study of Evobrutinib in Participants With RMS (evolutionRMS 2)</t>
  </si>
  <si>
    <t>NCT04328727</t>
  </si>
  <si>
    <t>Combination of Eltrombopag With Immunosuppressive Therapy in East-Asian Patients With Severe Aplastic Anemia</t>
  </si>
  <si>
    <t>NCT04369846</t>
  </si>
  <si>
    <t>A Phase I/IIa Study to Investigate the GM-XANTHO in Healthy Volunteers and Atopic Dermatitis Patients</t>
  </si>
  <si>
    <t>Xantho Biotechnology Co., LTD</t>
  </si>
  <si>
    <t>NCT04075292</t>
  </si>
  <si>
    <t>Study of Acalabrutinib Versus Chlorambucil Plus Rituximab in Adult Subjects With Previously Untreated Chronic Lymphocytic Leukemia</t>
  </si>
  <si>
    <t>NCT04610892</t>
  </si>
  <si>
    <t>Efficacy and Safety of MEDI6570 in Patients With a History of Myocardial Infarction</t>
  </si>
  <si>
    <t>NCT04286607</t>
  </si>
  <si>
    <t>Open-Label Extension Trial of PDE4 Inhibition With Roflumilast for the Management of Plaque Psoriasis</t>
  </si>
  <si>
    <t>NCT04639804</t>
  </si>
  <si>
    <t>Pharmacokinetic Interaction Between Tegoprazan and NSAIDs After Multiple Oral Dosing in Healthy Male Volunteers</t>
  </si>
  <si>
    <t>NCT04341116</t>
  </si>
  <si>
    <t>Study of TJ003234 (Anti-GM-CSF Monoclonal Antibody) in Subjects With Severe Coronavirus Disease 2019 (COVID-19)</t>
  </si>
  <si>
    <t>NCT04398706</t>
  </si>
  <si>
    <t>Study of a Pneumococcal Conjugate Vaccine When Administered Concomitantly With Routine Pediatric Vaccines in Healthy Toddlers and Infants</t>
  </si>
  <si>
    <t>NCT04479904</t>
  </si>
  <si>
    <t>A Trial of Famitinib in Patients With Failure of First-Line Treatment For Intrahepatic Cholangiocarcinoma</t>
  </si>
  <si>
    <t>NCT04541004</t>
  </si>
  <si>
    <t>Adolescent Mite Allergy Safety Evaluation</t>
  </si>
  <si>
    <t>ALK-Abelló A/S</t>
  </si>
  <si>
    <t>NCT04313608</t>
  </si>
  <si>
    <t>A Study Evaluating the Safety and Efficacy of Glofitamab or Mosunetuzumab in Combination With Gemcitabine Plus Oxaliplatin in Participants With Relapsed or Refractory Diffuse Large B-Cell Lymphoma and High-Grade Large B-Cell Lymphoma</t>
  </si>
  <si>
    <t>NCT04408625</t>
  </si>
  <si>
    <t>Phase 1/2 Clinical Trial of LY3884963 in Patients With Frontotemporal Dementia With Progranulin Mutations (FTD-GRN)</t>
  </si>
  <si>
    <t>NCT06425276</t>
  </si>
  <si>
    <t>Evaluate Safety and Efficacy of High-dose Melphalan HCL for Injection in MM Patients With Auto-HSC Transplantation</t>
  </si>
  <si>
    <t>CASI Pharmaceuticals (China) Co., Ltd.</t>
  </si>
  <si>
    <t>NCT04232553</t>
  </si>
  <si>
    <t>A Long-term Extension Study of Mirikizumab (LY3074828) in Participants With Crohn's Disease</t>
  </si>
  <si>
    <t>NCT04325737</t>
  </si>
  <si>
    <t>Study Assessing the Safety, Tolerability, and Pharmacokinetics of SEP-363856 in Japanese Male and Female Subjects With Schizophrenia</t>
  </si>
  <si>
    <t>Sumitomo Pharma Co., Ltd.</t>
  </si>
  <si>
    <t>NCT04693195</t>
  </si>
  <si>
    <t>A Multiple-Dose Study of BLU-5937 in Chronic Pruritus Associated With Atopic Dermatitis</t>
  </si>
  <si>
    <t>NCT04513912</t>
  </si>
  <si>
    <t>A Study of Seltorexant Compared to Quetiapine XR as Adjunctive Therapy to Antidepressants in Adult and Elderly Participants With Major Depressive Disorder With Insomnia Symptoms Who Have Responded Inadequately to Antidepressant Therapy</t>
  </si>
  <si>
    <t>NCT04176757</t>
  </si>
  <si>
    <t>A Study of ZN-c5 in Participants With Breast Cancer</t>
  </si>
  <si>
    <t>NCT06135675</t>
  </si>
  <si>
    <t>PK Profile and Preliminary Efficacy of TNP-2092 Capsules in Liver Cirrhosis Patients With Hyperammonemia</t>
  </si>
  <si>
    <t>NCT04042701</t>
  </si>
  <si>
    <t>DS8201a and Pembrolizumab in Participants With Locally Advanced/Metastatic Breast or Non-Small Cell Lung Cancer</t>
  </si>
  <si>
    <t>NCT04086823</t>
  </si>
  <si>
    <t>A Single Blind, Randomized, Placebo-controlled, Phase 2a, 2-cohort Study for the Evaluation of Safety and Efficacy of RZL-012 for Submental Fat Reduction in Healthy Volunteers.</t>
  </si>
  <si>
    <t>NCT05002179</t>
  </si>
  <si>
    <t>Echinaforce Study to Investigate Explorative Pharmacology and Effectiveness to Prevent From Enveloped Virus Infections</t>
  </si>
  <si>
    <t>A. Vogel AG</t>
  </si>
  <si>
    <t>NCT04502862</t>
  </si>
  <si>
    <t>A Phase 4, Randomized, Double-blind, Placebo-controlled, Multicenter, Parallel-group Study of the Effect of Dupilumab on Sleep Disturbance in Patients With Uncontrolled Persistent Asthma</t>
  </si>
  <si>
    <t>NCT04369469</t>
  </si>
  <si>
    <t>Efficacy and Safety Study of IV Ravulizumab in Patients With COVID-19 Severe Pneumonia</t>
  </si>
  <si>
    <t>NCT04585412</t>
  </si>
  <si>
    <t>Evaluate Bioequivalence of Palonosetron (0.25mg/5mL)</t>
  </si>
  <si>
    <t>Yung Shin Pharm. Ind. Co., Ltd.</t>
  </si>
  <si>
    <t>NCT04221230</t>
  </si>
  <si>
    <t>Study in Major Depressive Disorder With NMRA-335140 (BTRX-335140) vs Placebo</t>
  </si>
  <si>
    <t>Neumora Therapeutics, Inc.</t>
  </si>
  <si>
    <t>NCT04358081</t>
  </si>
  <si>
    <t>Hydroxychloroquine Monotherapy and in Combination With Azithromycin in Patients With Moderate and Severe COVID-19 Disease</t>
  </si>
  <si>
    <t>NCT04307381</t>
  </si>
  <si>
    <t>An Extension Study of Donidalorsen (IONIS-PKK-LRx) in Participants With Hereditary Angioedema</t>
  </si>
  <si>
    <t>NCT04134312</t>
  </si>
  <si>
    <t>A Phase 1 Open Label Trial of Intravenous Administration of MVA-BN-Brachyury Vaccine in Patients With Advanced Cancer</t>
  </si>
  <si>
    <t>Bavarian Nordic</t>
  </si>
  <si>
    <t>NCT04346381</t>
  </si>
  <si>
    <t>Study to Evaluate the Efficacy and Safety of Camrelizumab and Famitinib in Patients With Advanced Solid Tumor</t>
  </si>
  <si>
    <t>NCT04544449</t>
  </si>
  <si>
    <t>A Study to Evaluate the Efficacy and Safety of Fenebrutinib Compared With Ocrelizumab in Adult Participants With Primary Progressive Multiple Sclerosis</t>
  </si>
  <si>
    <t>NCT04634565</t>
  </si>
  <si>
    <t>PHARMACOKINETIC CHARACTERIZATION OF PF-06651600 IN CHINESE ADULT PARTICIPANTS</t>
  </si>
  <si>
    <t>NCT04502030</t>
  </si>
  <si>
    <t>Double-blind, Randomized, Placebo-controlled, Prospective Phase III Study Evaluating Efficacy and Safety of Panzyga in Primary Infection Prophylaxis in Patients With Chronic Lymphocytic Leukemia ("PRO-SID" Study)</t>
  </si>
  <si>
    <t>NCT04139317</t>
  </si>
  <si>
    <t>Safety and Efficacy of Capmatinib (INC280) Plus Pembrolizumab vs Pembrolizumab Alone in NSCLC With PD-L1≥ 50%</t>
  </si>
  <si>
    <t>NCT04281420</t>
  </si>
  <si>
    <t>A Study of Evaluating Dual Inhibitor of PAK4 and NAMPT ATG-019 in Advanced Solid Tumors or Non-Hodgkin's Lymphoma</t>
  </si>
  <si>
    <t>NCT04277624</t>
  </si>
  <si>
    <t>A Study to Assess Bioequivalence of Fezolinetant Formulations in Healthy Female Participants</t>
  </si>
  <si>
    <t>NCT04302025</t>
  </si>
  <si>
    <t>A Study of Multiple Therapies in Biomarker-selected Participants With Resectable Stages IB-III Non-small Cell Lung Cancer (NSCLC)</t>
  </si>
  <si>
    <t>NCT04333576</t>
  </si>
  <si>
    <t>Study Of Oral Elagolix Tablets In Combination With Combined Oral Contraceptive Capsules/Tablets To Assess Dysmenorrhea Response In Adult Female Participants With Endometriosis And Associated Moderate To Severe Pain</t>
  </si>
  <si>
    <t>NCT04223791</t>
  </si>
  <si>
    <t>Switch to Doravirine/Islatravir (DOR/ISL) in Human Immunodeficiency Virus 1 (HIV-1) Participants Treated With Bictegravir/Emtricitabine/Tenofovir Alafenamide (BIC/FTC/TAF) (MK-8591A-018)</t>
  </si>
  <si>
    <t>NCT04580797</t>
  </si>
  <si>
    <t>Clinical Study to Evaluate Pharmacokinetics and Safety of PF-06700841 After Single and Multiple Oral Doses as Modified Release Formulations</t>
  </si>
  <si>
    <t>NCT04393597</t>
  </si>
  <si>
    <t>Effects of Food on the Pharmacokinetics of DWJ1458 in Healthy Adults</t>
  </si>
  <si>
    <t>NCT04452435</t>
  </si>
  <si>
    <t>Safety and Efficacy of C21 in Subjects With COVID-19</t>
  </si>
  <si>
    <t>NCT04440943</t>
  </si>
  <si>
    <t>A Study of the PD-L1xCD27 Bispecific Antibody CDX-527 in Patients With Advanced Malignancies</t>
  </si>
  <si>
    <t>NCT04537923</t>
  </si>
  <si>
    <t>A Study of Tirzepatide (LY3298176) Versus Insulin Lispro (U100) in Participants With Type 2 Diabetes Inadequately Controlled on Insulin Glargine (U100) With or Without Metformin</t>
  </si>
  <si>
    <t>NCT04703374</t>
  </si>
  <si>
    <t>A Study to Compare PK, PD and Safety of CKD-382 in Healthy Subjects</t>
  </si>
  <si>
    <t>NCT04386876</t>
  </si>
  <si>
    <t>Bioequivalence Study of Lopinavir/Ritonavir 200/50 mg Film Tablet (World Medicine Ilac, Turkey) Under Fasting Conditions</t>
  </si>
  <si>
    <t>NCT04301310</t>
  </si>
  <si>
    <t>Study to Evaluate the Effect of Rifampin on the Drug Levels in Blood and Safety of BMS-986235 in Healthy Participants</t>
  </si>
  <si>
    <t>NCT04464460</t>
  </si>
  <si>
    <t>A Study to Evaluate the Safety, Pharmacokinetics (PK), and Efficacy of TAK-671 for the Treatment of Coronavirus Disease (COVID) 2019 in Adults</t>
  </si>
  <si>
    <t>NCT04245397</t>
  </si>
  <si>
    <t>Study of SX-682 Alone and in Combination With Oral or Intravenous Decitabine in Subjects With Myelodysplastic Syndrome</t>
  </si>
  <si>
    <t>Syntrix Biosystems, Inc.</t>
  </si>
  <si>
    <t>NCT04155125</t>
  </si>
  <si>
    <t>A Study of Efepoetin Alfa in Treating Anaemia Associated With Chronic Kidney Diseases Patient</t>
  </si>
  <si>
    <t>NCT04479917</t>
  </si>
  <si>
    <t>Efficacy and Safety of TPN171H in the Patients With Erectile Dysfunction</t>
  </si>
  <si>
    <t>NCT04051268</t>
  </si>
  <si>
    <t>Immunogenicity and Safety of Vi-DT (Diphtheria Toxoid) Typhoid Conjugate Vaccine (Phase III)</t>
  </si>
  <si>
    <t>NCT04229303</t>
  </si>
  <si>
    <t>Phase 1 Three Part SAD, MAD &amp; Cross-Over Study of ZP-059 in Healthy and Asthmatic Subjects</t>
  </si>
  <si>
    <t>NCT04428476</t>
  </si>
  <si>
    <t>Open-label Extension of the HOPE-2 Trial</t>
  </si>
  <si>
    <t>Capricor Inc.</t>
  </si>
  <si>
    <t>NCT04355676</t>
  </si>
  <si>
    <t>Evaluation of Activity and Safety of Two Regimens of Low Dose Oral Selinexor in Participants With Moderate or Severe COVID-19</t>
  </si>
  <si>
    <t>NCT03974113</t>
  </si>
  <si>
    <t>Fitusiran Prophylaxis in Male Pediatric Subjects Aged 1 to Less Than 12 Years With Hemophilia A or B</t>
  </si>
  <si>
    <t>NCT04607980</t>
  </si>
  <si>
    <t>A Study to Investigate ABP 654 for the Treatment of Participants With Moderate to Severe Plaque Psoriasis</t>
  </si>
  <si>
    <t>NCT04601051</t>
  </si>
  <si>
    <t>Study to Evaluate Safety, Tolerability, Pharmacokinetics, and Pharmacodynamics of NTLA-2001 in Patients With Hereditary Transthyretin Amyloidosis With Polyneuropathy (ATTRv-PN) and Patients With Transthyretin Amyloidosis-Related Cardiomyopathy (ATTR-CM)</t>
  </si>
  <si>
    <t>Intellia Therapeutics</t>
  </si>
  <si>
    <t>NCT04523220</t>
  </si>
  <si>
    <t>Study to Investigate the Safety of a Drug Called Osocimab at Low and High Doses in Adult Patients With Kidney Failure Requiring Regular Hemodialysis</t>
  </si>
  <si>
    <t>NCT04571710</t>
  </si>
  <si>
    <t>A Trial of SHR1258 in Patients With Biliary Tract Cancer</t>
  </si>
  <si>
    <t>NCT04664725</t>
  </si>
  <si>
    <t>Drug-drug Interaction of SHR3680 With Repaglinide and Bupropion</t>
  </si>
  <si>
    <t>NCT04330040</t>
  </si>
  <si>
    <t>Prospective Multicentre Phase-IV Clinical Trial of Olaparib in Indian Patients With Ovarian and Metastatic Breast Cancer</t>
  </si>
  <si>
    <t>NCT04249284</t>
  </si>
  <si>
    <t>Pharmacokinetics (Drug Levels in Blood) of BMS-986165 When Taken as Various Solid Tablet Prototypes by Healthy Participants</t>
  </si>
  <si>
    <t>NCT04672135</t>
  </si>
  <si>
    <t>A Phase 1 (First in Human) Randomized, Double-blind, Placebo-controlled SAD, MAD Study With Oral REM0046127</t>
  </si>
  <si>
    <t>reMYND</t>
  </si>
  <si>
    <t>NCT04810533</t>
  </si>
  <si>
    <t>The Absorption, Metabolism and Excretion of [14C]SH-1028 in Chinese Healthy Male Volunteers</t>
  </si>
  <si>
    <t>NCT04516447</t>
  </si>
  <si>
    <t>A Study of Azenosertib (ZN-c3) in Patients With Ovarian Cancer</t>
  </si>
  <si>
    <t>K-Group, Beta, Inc., a wholly owned subsidiary of Zentalis Pharmaceuticals, Inc</t>
  </si>
  <si>
    <t>NCT04416126</t>
  </si>
  <si>
    <t>Safety, Tolerability and Pharmacokinetics of ARCT-810 in Healthy Adult Subjects</t>
  </si>
  <si>
    <t>NCT04346108</t>
  </si>
  <si>
    <t>A Study of Immune Globulin Subcutaneous (Human), 20% Solution (IGSC, 20%) in Japanese Participants With Primary Immunodeficiency Diseases (PID)</t>
  </si>
  <si>
    <t>NCT04516278</t>
  </si>
  <si>
    <t>A 3-month Study to Assess the Safety of ONS-5010 in Subjects With Visual Impairment Due to Retinal Disorders</t>
  </si>
  <si>
    <t>Outlook Therapeutics, Inc.</t>
  </si>
  <si>
    <t>NCT04605718</t>
  </si>
  <si>
    <t>A Study To Investigate The Safety, Tolerability And Pharmacokinetics (PK) Of RO7223280 Following Intravenous Administration In Healthy Participants</t>
  </si>
  <si>
    <t>NCT04269408</t>
  </si>
  <si>
    <t>A Safety and Efficacy Study of NicaPlant® in Aneurysmal Subarachnoid Haemorrhage Patients Undergoing Aneurysm Clipping</t>
  </si>
  <si>
    <t>BIT Pharma GmbH</t>
  </si>
  <si>
    <t>NCT04447417</t>
  </si>
  <si>
    <t>Dupilumab Skin Barrier Function Study in Atopic Dermatitis</t>
  </si>
  <si>
    <t>NCT04554940</t>
  </si>
  <si>
    <t>A Clinical Trial to Evaluate Safety of Vosoritide in At-risk Infants With Achondroplasia</t>
  </si>
  <si>
    <t>NCT04230213</t>
  </si>
  <si>
    <t>A Comparative Study Between PF-06410293 and Humira® in Combination With Methotrexate in Participants With Active Rheumatoid Arthritis</t>
  </si>
  <si>
    <t>NCT04485013</t>
  </si>
  <si>
    <t>TTX-080 HLA-G Antagonist in Subjects With Advanced Cancers</t>
  </si>
  <si>
    <t>Tizona Therapeutics, Inc</t>
  </si>
  <si>
    <t>NCT04636229</t>
  </si>
  <si>
    <t>Efficacy of Amniotic Suspension Allograft in Patients With Osteoarthritis of the Knee</t>
  </si>
  <si>
    <t>Organogenesis</t>
  </si>
  <si>
    <t>NCT04343651</t>
  </si>
  <si>
    <t>Study to Evaluate the Efficacy and Safety of Leronlimab for Mild to Moderate COVID-19</t>
  </si>
  <si>
    <t>NCT04520451</t>
  </si>
  <si>
    <t>Open Label Two-Arm Study to Evaluate Rilzabrutinib in IgG4-Related Disease Participants</t>
  </si>
  <si>
    <t>NCT04462029</t>
  </si>
  <si>
    <t>A Study to Compare the Pharmacokinetics of BR4002 and BR4002-1 in Healthy Volunteers</t>
  </si>
  <si>
    <t>NCT04566601</t>
  </si>
  <si>
    <t>A Study to Test Different Doses of BI 1358894 and Find Out Whether They Reduce Symptoms in People With Borderline Personality Disorder</t>
  </si>
  <si>
    <t>NCT04675996</t>
  </si>
  <si>
    <t>First-in-Human Study of INT-1B3 in Patients With Advanced Solid Tumors</t>
  </si>
  <si>
    <t>InteRNA</t>
  </si>
  <si>
    <t>NCT04346888</t>
  </si>
  <si>
    <t>A Study to Evaluate the Efficacy, Safety and PD and PK of HBM9161 in MG Patients</t>
  </si>
  <si>
    <t>NCT04214288</t>
  </si>
  <si>
    <t>A Study to Investigate Efficacy and Safety With Oral AZD9833 Compared With Intramuscular Fulvestrant in Post-menopausal Women at Least 18 Years of Age With Advanced ER-positive HER2 Negative Breast Cancer</t>
  </si>
  <si>
    <t>NCT04270682</t>
  </si>
  <si>
    <t>Study to Evaluate Patients With Cerebrotendinous Xanthomatosis (RESTORE)</t>
  </si>
  <si>
    <t>NCT04133480</t>
  </si>
  <si>
    <t>Investigation of Cognitive Outcomes With Cannabidiol Oral Solution</t>
  </si>
  <si>
    <t>NCT04427501</t>
  </si>
  <si>
    <t>A Study of LY3819253 (LY-CoV555) and LY3832479 (LY-CoV016) in Participants With Mild to Moderate COVID-19 Illness</t>
  </si>
  <si>
    <t>NCT07184827</t>
  </si>
  <si>
    <t>Evaluate the Efficacy and Safety of U101 Oral Capsules in the Prevention of Uncomplicated rUTIs in Women</t>
  </si>
  <si>
    <t>NCT04332653</t>
  </si>
  <si>
    <t>NT-I7 (Efineptakin Alfa) in Combination With Pembrolizumab in Participants With Advanced Solid Tumors</t>
  </si>
  <si>
    <t>NCT04575181</t>
  </si>
  <si>
    <t>A Clinical Study to Compare the Efficacy and Safety of a Novel Medicine (NNC0268-0965) With Insulin Glargine</t>
  </si>
  <si>
    <t>NCT04699032</t>
  </si>
  <si>
    <t>Study of Pharmacokinetics and Safety of Apraglutide in Participants With Normal and Impaired Kidney Function.</t>
  </si>
  <si>
    <t>VectivBio AG</t>
  </si>
  <si>
    <t>NCT04306302</t>
  </si>
  <si>
    <t>A Study to Evaluate the Different Doses of VAC52416 (ExPEC10V) in Japanese Adults</t>
  </si>
  <si>
    <t>NCT04515953</t>
  </si>
  <si>
    <t>A Phase I Dose-escalation Study of a Single Administration of Extended-Release Injectable Suspension (ND-340)</t>
  </si>
  <si>
    <t>Nang Kuang Pharmaceutical Co., Ltd.</t>
  </si>
  <si>
    <t>NCT04325711</t>
  </si>
  <si>
    <t>A Study of CSPCHA131 in Patients With Advanced Solid Tumor</t>
  </si>
  <si>
    <t>NCT04526106</t>
  </si>
  <si>
    <t>REFOCUS: A First-in-Human Study of Highly Selective FGFR2 Inhibitor, RLY-4008, in Patients With ICC and Other Advanced Solid Tumors</t>
  </si>
  <si>
    <t>Elevar Therapeutics</t>
  </si>
  <si>
    <t>NCT04314661</t>
  </si>
  <si>
    <t>Mesenchymal Stem Cell Therapy (MSCs) and Conditioned Medium Therapy for Osteoartrithis</t>
  </si>
  <si>
    <t>NCT04733001</t>
  </si>
  <si>
    <t>A Study to Investigate the Effect of Food on the Pharmacokinetics of HSG4112</t>
  </si>
  <si>
    <t>Glaceum</t>
  </si>
  <si>
    <t>NCT04373967</t>
  </si>
  <si>
    <t>Study to Assess the Efficacy and Safety of Liraglutide in the Treatment of Type 2 Diabetes</t>
  </si>
  <si>
    <t>NCT04573036</t>
  </si>
  <si>
    <t>A Trial of HRS4800 Tables in Healthy Male Subjects</t>
  </si>
  <si>
    <t>NCT04451187</t>
  </si>
  <si>
    <t>A Study of Oral Seltorexant as an add-on Medication to an Antidepressant on On-road Driving Performance in Participants With Major Depressive Disorder</t>
  </si>
  <si>
    <t>NCT04641871</t>
  </si>
  <si>
    <t>Sym021 in Combination With Either Sym022 or Sym023 or Sym023 and Irinotecan in Patients With Recurrent Advanced Selected Solid Tumor Malignancies</t>
  </si>
  <si>
    <t>NCT04412577</t>
  </si>
  <si>
    <t>A Study of TQB3473 Tablets in Subjects With Relapsed or Refractory Hematological Malignancies</t>
  </si>
  <si>
    <t>NCT04345107</t>
  </si>
  <si>
    <t>Multiple Ascending Doses of SY-009 in Type 2 Diabetes Mellitus</t>
  </si>
  <si>
    <t>Suzhou Yabao Pharmaceutical R&amp;D Co., Ltd.</t>
  </si>
  <si>
    <t>NCT04614636</t>
  </si>
  <si>
    <t>FT538 in Subjects With Advanced Hematologic Malignancies</t>
  </si>
  <si>
    <t>NCT04649021</t>
  </si>
  <si>
    <t>Safety and Immunogenicity of SARS-CoV-2 mRNA Vaccine (BNT162b2) in Chinese Healthy Population</t>
  </si>
  <si>
    <t>NCT04234464</t>
  </si>
  <si>
    <t>A Study to Assess the Efficacy of Budesonide/Albuterol Metered-dose Inhaler (BDA MDI/PT027) on Exercise-induced Bronchoconstriction in Adults and Adolescents With Asthma</t>
  </si>
  <si>
    <t>Bond Avillion 2 Development LP</t>
  </si>
  <si>
    <t>NCT04305795</t>
  </si>
  <si>
    <t>An Open-label Study Using ASP-1929 Photoimmunotherapy in Combination With Anti-PD1 Therapy in EGFR Expressing Advanced Solid Tumors</t>
  </si>
  <si>
    <t>Rakuten Medical, Inc.</t>
  </si>
  <si>
    <t>NCT04626128</t>
  </si>
  <si>
    <t>Safety and Tolerability Study of Suprachoroidal Injection of CLS-AX Following Anti-VEGF Therapy in Neovascular AMD</t>
  </si>
  <si>
    <t>Clearside Biomedical, Inc.</t>
  </si>
  <si>
    <t>NCT04380207</t>
  </si>
  <si>
    <t>P1 Single and Multiple Ascending Dose (SAD/MAD) Study of IV QPX7728 Alone and Combined With QPX2014 in NHV</t>
  </si>
  <si>
    <t>Qpex Biopharma, Inc.</t>
  </si>
  <si>
    <t>NCT05566834</t>
  </si>
  <si>
    <t>Minnelide™ Capsules Alone and in Combination With Paclitaxel in Advanced Gastric Cancer</t>
  </si>
  <si>
    <t>Minneamrita Therapeutics LLC</t>
  </si>
  <si>
    <t>NCT04387916</t>
  </si>
  <si>
    <t>A Study of KC1036 in Patients with Advanced Solid Tumors</t>
  </si>
  <si>
    <t>NCT04335357</t>
  </si>
  <si>
    <t>TBR-760 in Adult Patients With Non-Functioning Pituitary Adenomas</t>
  </si>
  <si>
    <t>Tiburio Therapeutics</t>
  </si>
  <si>
    <t>NCT04279119</t>
  </si>
  <si>
    <t>Maximal Usage Pharmacokinetics and Safety of ARQ-151 in Adolescents and Adults With Chronic Plaque Psoriasis</t>
  </si>
  <si>
    <t>NCT04410081</t>
  </si>
  <si>
    <t>A Study of (14C)-JNJ-73841937 (Lazertinib) in Healthy Male Participants</t>
  </si>
  <si>
    <t>NCT04301739</t>
  </si>
  <si>
    <t>to Evaluate Efficacy and Safety of HLX10 in Combination With Chemotherapy Versus Placebo in Combination With Chemotherapy as Neoadjuvant Therapy and HLX10 Versus Placebo as Adjuvant Therapy in Patients With Triple Negative Breast Cancer (TNBC)</t>
  </si>
  <si>
    <t>NOT_YET_RECRUITING</t>
  </si>
  <si>
    <t>NCT04661644</t>
  </si>
  <si>
    <t>Efficacy and Safety of Mesenchymal Stem Cell Clusters in Patients with Critical Limb Ischemia</t>
  </si>
  <si>
    <t>NCT04414163</t>
  </si>
  <si>
    <t>A Study of IMC-001 in Subjects With Relapsed or Refractory Extranodal NK/T Cell Lymphoma, Nasal Type</t>
  </si>
  <si>
    <t>NCT04413552</t>
  </si>
  <si>
    <t>INDV-2000 First in Human</t>
  </si>
  <si>
    <t>Indivior Inc.</t>
  </si>
  <si>
    <t>NCT04345367</t>
  </si>
  <si>
    <t>Study of Abrocitinib Compared With Dupilumab in Adults With Moderate to Severe Atopic Dermatitis on Background Topical Therapy</t>
  </si>
  <si>
    <t>NCT04266509</t>
  </si>
  <si>
    <t>Study to Evaluate the Effect of Repeat-Dose Rifampin on the Pharmacokinetics (PK) of PF-06651600</t>
  </si>
  <si>
    <t>NCT04490109</t>
  </si>
  <si>
    <t>B244 Topical Spray for the Treatment of Pruritus in Adults With a History of Atopic Dermatitis</t>
  </si>
  <si>
    <t>AOBiome LLC</t>
  </si>
  <si>
    <t>NCT04191616</t>
  </si>
  <si>
    <t>Study of Early Relapsed, Lenalidomide-refractory Subjects Eligible for Carfilzomib Triplet</t>
  </si>
  <si>
    <t>NCT04490434</t>
  </si>
  <si>
    <t>Drug-drug Interaction Between DWP14012 and Three Different Kinds of NSAIDs</t>
  </si>
  <si>
    <t>NCT04414852</t>
  </si>
  <si>
    <t>A Study to Evaluate the Pharmacokinetics of Apatinib in Subjects With Impaired Renal Function</t>
  </si>
  <si>
    <t>NCT04221152</t>
  </si>
  <si>
    <t>A Extension Study of Empagliflozin in Patients With Refractory Diabetes Mellitus With Insulin Resistance ( EMPIRE-02 )</t>
  </si>
  <si>
    <t>Kobe University</t>
  </si>
  <si>
    <t>NCT04452838</t>
  </si>
  <si>
    <t>Study To Assess The Bioequivalence Under Fed And Fasted Conditions Of The Fesoterodine Beads-In-Capsule SR4 And SR7 Formulations And To Estimate The Bioavailability of SR7 Beads Sprinkled On Apple Sauce Relative To The Beads-In-Capsule SR7 Formulation Administer</t>
  </si>
  <si>
    <t>NCT04246671</t>
  </si>
  <si>
    <t>TAEK-VAC-HerBy Vaccine for Brachyury and HER2 Expressing Cancer</t>
  </si>
  <si>
    <t>NCT04701164</t>
  </si>
  <si>
    <t>Efficacy and Safety of ANX005 in Subjects With Guillain-Barré Syndrome</t>
  </si>
  <si>
    <t>NCT04483687</t>
  </si>
  <si>
    <t>Study to Evaluate the Efficacy and Safety of Filgotinib in Participants With Active Ankylosing Spondylitis Who Have an Inadequate Response to Biologic Disease-Modifying Antirheumatic Drug Therapy</t>
  </si>
  <si>
    <t>NCT04315987</t>
  </si>
  <si>
    <t>NestaCell® Mesenchymal Stem Cell to Treat Patients With Severe COVID-19 Pneumonia</t>
  </si>
  <si>
    <t>NCT04445987</t>
  </si>
  <si>
    <t>Long-Term Safety of ARQ-154 Foam in Subjects With Seborrheic Dermatitis</t>
  </si>
  <si>
    <t>NCT04207463</t>
  </si>
  <si>
    <t>A Study of Anlotinib and AK105 Injection in Subjects With Gastrointestinal Tumors, Urinary System Tumors, Neuroendocrine Tumors</t>
  </si>
  <si>
    <t>NCT04443244</t>
  </si>
  <si>
    <t>Evaluate the Safety and Efficacy of Botulax® in Subjects With Benign Masseteric Hypertrophy</t>
  </si>
  <si>
    <t>NCT05372016</t>
  </si>
  <si>
    <t>Evaluate the Immunogenicity and Safety of 9-valent HPV Recombinant Vaccine in Chinese Healthy Females</t>
  </si>
  <si>
    <t>NCT04419506</t>
  </si>
  <si>
    <t>A Study to Test How Taking BI 1015550 for 12 Weeks Affects Lung Function in People With Idiopathic Pulmonary Fibrosis (IPF)</t>
  </si>
  <si>
    <t>NCT04294147</t>
  </si>
  <si>
    <t>A Study of Gastrointestinal Emptying Time in Adult Participants With Migraine Before and After Start of a mAb CGRP Antagonist</t>
  </si>
  <si>
    <t>NCT04566549</t>
  </si>
  <si>
    <t>The Safety and Efficacy Evaluation of Hair Products Containing Probiotics</t>
  </si>
  <si>
    <t>GenMont Biotech Incorporation</t>
  </si>
  <si>
    <t>NCT04616443</t>
  </si>
  <si>
    <t>OH2 Injection in Combination With HX008 for Melanoma.</t>
  </si>
  <si>
    <t>Binhui Biopharmaceutical Co., Ltd.</t>
  </si>
  <si>
    <t>NCT05574543</t>
  </si>
  <si>
    <t>A Phase I/II Study of AGA111 for Lumbar Interbody Fusion in Patients With Degenerative Disc Disease</t>
  </si>
  <si>
    <t>Angitia Biopharmaceuticals</t>
  </si>
  <si>
    <t>NCT04676685</t>
  </si>
  <si>
    <t>A Study to Assess the Safety and Tolerability of E2730 After Multiple Dose and the Food Effect After Single Dose in Healthy Participants</t>
  </si>
  <si>
    <t>NCT04466904</t>
  </si>
  <si>
    <t>Multiple-dose Tolerability and Pharmacokinetic of IBI362 in Chinese Patients With T2DM</t>
  </si>
  <si>
    <t>NCT04532125</t>
  </si>
  <si>
    <t>SAD and MAD Study With IV and SC Doses of ARGX-117</t>
  </si>
  <si>
    <t>NCT04489420</t>
  </si>
  <si>
    <t>Natural Killer Cell (CYNK-001) IV Infusion or IT Administration in Adults With Recurrent GBM</t>
  </si>
  <si>
    <t>NCT04551963</t>
  </si>
  <si>
    <t>Interaction Study of Zanubrutinib With Moderate and Strong CYP3A Inhibitors in Participants With B-Cell Malignancies</t>
  </si>
  <si>
    <t>NCT03808532</t>
  </si>
  <si>
    <t>Moisturizer to Prevent Atopic Dermatitis</t>
  </si>
  <si>
    <t>MYOR Ltd.</t>
  </si>
  <si>
    <t>NCT04418934</t>
  </si>
  <si>
    <t>Clinical Investigation to Evaluate the Hemanext® Red Blood Cell Processing System for Extended Storage of Leukoreduced Red Blood Cells</t>
  </si>
  <si>
    <t>Hemanext</t>
  </si>
  <si>
    <t>NCT04171843</t>
  </si>
  <si>
    <t>A Dose-escalation Study to Evaluate the Safety and Clinical Activity of PBCAR269A, With or Without Nirogacestat, in Study Participants With Relapsed/Refractory Multiple Myeloma</t>
  </si>
  <si>
    <t>NCT04056468</t>
  </si>
  <si>
    <t>A Study to Evaluate Pharmacokinetics (PK) and Safety of Oral Mobocertinib in Participants With Moderate or Severe Hepatic Impairment (HI) and Normal Hepatic Function</t>
  </si>
  <si>
    <t>NCT04241185</t>
  </si>
  <si>
    <t>Efficacy and Safety of Pembrolizumab (MK-3475) in Combination With Chemoradiotherapy (CRT) Versus CRT Alone in Muscle-invasive Bladder Cancer (MIBC) (MK-3475-992/KEYNOTE-992)</t>
  </si>
  <si>
    <t>NCT03644940</t>
  </si>
  <si>
    <t>Subpopulation-Specific Sepsis Identification Using Machine Learning</t>
  </si>
  <si>
    <t>NCT04283474</t>
  </si>
  <si>
    <t>Phase 1 XG005-03 Topical Study</t>
  </si>
  <si>
    <t>Xgene Pharmaceutical Group</t>
  </si>
  <si>
    <t>NCT04567550</t>
  </si>
  <si>
    <t>RGX-314 Gene Therapy Administered in the Suprachoroidal Space for Participants With Diabetic Retinopathy (DR) With and Without Center Involved-Diabetic Macular Edema (CI-DME)</t>
  </si>
  <si>
    <t>NCT04483791</t>
  </si>
  <si>
    <t>DynamX Bioadaptor Hong Kong Registry</t>
  </si>
  <si>
    <t>Elixir Medical Corporation</t>
  </si>
  <si>
    <t>NCT04059406</t>
  </si>
  <si>
    <t>Study to Evaluate the Efficacy, Safety, Tolerability, Pharmacokinetics, and Pharmacodynamics of Sapablursen (Formerly ISIS 702843, IONIS-TMPRSS6-LRx)</t>
  </si>
  <si>
    <t>NCT04508075</t>
  </si>
  <si>
    <t>Efficacy, Safety and Immunogenicity Study of SARS-CoV-2 Inactivated Vaccine</t>
  </si>
  <si>
    <t>NCT04583592</t>
  </si>
  <si>
    <t>Camostat Efficacy vs. Placebo for Outpatient Treatment of COVID-19 (CAMELOT)</t>
  </si>
  <si>
    <t>Sagent Pharmaceuticals Inc.</t>
  </si>
  <si>
    <t>NCT04314206</t>
  </si>
  <si>
    <t>VNRX-5024 Safety and PK in Healthy Adult Volunteers</t>
  </si>
  <si>
    <t>NCT04382924</t>
  </si>
  <si>
    <t>Safety and Efficacy of NP-120 (Ifenprodil) for the Treatment of Hospitalized Patient With Confirmed COVID-19 Disease</t>
  </si>
  <si>
    <t>NCT05066646</t>
  </si>
  <si>
    <t>A Phase 1/2 Study of a Fully Human BCMA-targeting CAR (CT103A) in Patients With Relapsed/Refractory Multiple Myeloma (FUMANBA-1)</t>
  </si>
  <si>
    <t>Nanjing IASO Biotechnology Co., Ltd.</t>
  </si>
  <si>
    <t>NCT04064242</t>
  </si>
  <si>
    <t>Study of Efficacy, Safety and Tolerability of CMK389 in Patients With Chronic Pulmonary Sarcoidosis</t>
  </si>
  <si>
    <t>NCT04255069</t>
  </si>
  <si>
    <t>A Study to Evaluate the Efficacy and Safety of JKB-122 in Patients With NASH and Fibrosis</t>
  </si>
  <si>
    <t>NCT04374032</t>
  </si>
  <si>
    <t>Clinical Trial to Evaluate the Efficacy and Safety of an Immunomodulatory Therapy for the Treatment of Patients With Moderate to Severe COVID-19 Infection</t>
  </si>
  <si>
    <t>Bosnalijek D.D</t>
  </si>
  <si>
    <t>NCT04751864</t>
  </si>
  <si>
    <t>Brain Stimulation &amp; Generalized Anxiety Study</t>
  </si>
  <si>
    <t>NCT04734184</t>
  </si>
  <si>
    <t>A Prospective Study on 18F-DCFPyL PET/CT Imaging in Biochemical Recurrence of Prostate Cancer</t>
  </si>
  <si>
    <t>Curium PET France</t>
  </si>
  <si>
    <t>NCT04429295</t>
  </si>
  <si>
    <t>Study of DTwP-HepB-Hib-IPV (SHAN6™) Vaccine Administered Concomitantly With Routine Pediatric Vaccines to Healthy Infants and Toddlers in Thailand</t>
  </si>
  <si>
    <t>NCT04323657</t>
  </si>
  <si>
    <t>TC-110 T Cells in Adults With Relapsed or Refractory Non-Hodgkin Lymphoma or Acute Lymphoblastic Leukemia</t>
  </si>
  <si>
    <t>TCR2 Therapeutics</t>
  </si>
  <si>
    <t>NCT04203836</t>
  </si>
  <si>
    <t>A Trial to Evaluate the Effect of Food on LEO 152020</t>
  </si>
  <si>
    <t>JW Pharmaceutical</t>
  </si>
  <si>
    <t>NCT05294536</t>
  </si>
  <si>
    <t>A Pharmacokinetic Study Comparing the Liraglutide Injection (RD12014) and Victoza® in Healthy Chinese Subjects</t>
  </si>
  <si>
    <t>NCT05599828</t>
  </si>
  <si>
    <t>A Study to Evaluate the Impact of Acid-reducing Agents on the Pharmacokinetics (PK) of AMG 510 in Healthy Participants</t>
  </si>
  <si>
    <t>NCT04283136</t>
  </si>
  <si>
    <t>A Study to Test the Blood Concentration of 4 Padsevonil Product Variants and the Effect of Food on Padsevonil</t>
  </si>
  <si>
    <t>NCT04544436</t>
  </si>
  <si>
    <t>A Study to Evaluate the Efficacy, Safety and Pharmacokinetics (PK) of a Higher Dose of Ocrelizumab in Adults With Relapsing Multiple Sclerosis (RMS)</t>
  </si>
  <si>
    <t>NCT04618263</t>
  </si>
  <si>
    <t>Safety and Tolerability of Single and Multiple Ascending Doses of GATE-101 in Normal Human Volunteers</t>
  </si>
  <si>
    <t>Syndeio Biosciences, Inc</t>
  </si>
  <si>
    <t>NCT04256421</t>
  </si>
  <si>
    <t>A Study of Atezolizumab Plus Carboplatin and Etoposide With or Without Tiragolumab in Patients With Untreated Extensive-Stage Small Cell Lung Cancer</t>
  </si>
  <si>
    <t>NCT04222114</t>
  </si>
  <si>
    <t>Comparing the Efficacy and Safety of Intra-peritoneal Infusion of Catumaxomab and Treatment of Investigator Choice in Patients With Advanced Gastric Carcinoma With Peritoneal Metastasis</t>
  </si>
  <si>
    <t>LintonPharm Co.,Ltd.</t>
  </si>
  <si>
    <t>NCT04119687</t>
  </si>
  <si>
    <t>Study to Evaluate the Safety and Tolerability of FX201 in Patients with Osteoarthritis of the Knee</t>
  </si>
  <si>
    <t>NCT04272957</t>
  </si>
  <si>
    <t>A Study of HMPL-306 in Patients With IDH1 and/or IDH2 Mutation of Relapsed/Refractory Myeloid Leukemia/Neoplasms</t>
  </si>
  <si>
    <t>NCT04365387</t>
  </si>
  <si>
    <t>A Study to Assess Immunization Responses in Adult and Adolescent Participants With Moderate-to-Severe Atopic Dermatitis Treated With Nemolizumab</t>
  </si>
  <si>
    <t>NCT04417036</t>
  </si>
  <si>
    <t>This Study Collects Information on the Safety of Inhaled Pegylated Adrenomedullin (PEG-ADM), How the Drug is Tolerated and How it Affects Patients Suffering From a Type of Lung Failure That Cause Fluid to Build up in the Lungs Making Breathing Difficult (ARDS)</t>
  </si>
  <si>
    <t>NCT04590599</t>
  </si>
  <si>
    <t>A Phase II Clinical Study to Assess the Efficacy and Safety of IBI310 or Placebo Combined With Sintilimab for Advanced Cervical Cancer Subjects Who Have Failed or Cannot Tolerate First-line or Above Platinum-based Chemotherapy</t>
  </si>
  <si>
    <t>NCT03878719</t>
  </si>
  <si>
    <t>Study of the Combination of Binimetinib and Encorafenib in Adolescent Patients With Unresectable or Metastatic BRAF V600-mutant Melanoma</t>
  </si>
  <si>
    <t>NCT04577781</t>
  </si>
  <si>
    <t>A Study Evaluating the Effects of GLPG3970 Given as an Oral Treatment for 6 Weeks in Adults With Moderately to Severely Active Rheumatoid Arthritis and an Inadequate Response to Methotrexate</t>
  </si>
  <si>
    <t>NCT04265781</t>
  </si>
  <si>
    <t>Study on the Safety of Drug BAY1817080 at Different Doses and the Way the Body Absorbs and Eliminates the Drug in Japanese Healthy Adult Male Participants</t>
  </si>
  <si>
    <t>NCT04374630</t>
  </si>
  <si>
    <t>Study With Afuresertib and Paclitaxel in Platinum Resistant Ovarian</t>
  </si>
  <si>
    <t>Laekna Limited</t>
  </si>
  <si>
    <t>NCT04576728</t>
  </si>
  <si>
    <t>Efficacy and Safety of Trimodulin in Subjects With Severe COVID-19</t>
  </si>
  <si>
    <t>Biotest</t>
  </si>
  <si>
    <t>NCT07179081</t>
  </si>
  <si>
    <t>A Study of AL58805 in Patients With Advanced Tumors</t>
  </si>
  <si>
    <t>NCT04646330</t>
  </si>
  <si>
    <t>A Trial of AK104 Plus Anlotinib in NSCLC</t>
  </si>
  <si>
    <t>NCT04530071</t>
  </si>
  <si>
    <t>Evaluation of Safety, Tolerability, and Efficacy of CordSTEM-DD in Patients With Chronic Low Back Pain</t>
  </si>
  <si>
    <t>NCT04540016</t>
  </si>
  <si>
    <t>Mass Balance and Biotransformation of [14C]HSK7653 in Human</t>
  </si>
  <si>
    <t>NCT04435847</t>
  </si>
  <si>
    <t>Safety and Efficacy of HST 001 in Male Pattern Hair Loss</t>
  </si>
  <si>
    <t>Histogen</t>
  </si>
  <si>
    <t>NCT04163016</t>
  </si>
  <si>
    <t>A Study in Pregnant Women With Chronic Inflammatory Diseases Treated With Cimzia (Certolizumab Pegol)</t>
  </si>
  <si>
    <t>NCT04464707</t>
  </si>
  <si>
    <t>A Study to Test if Fremanezumab is Effective in Preventing Chronic Migraine in Participants 6 to 17 Years of Age</t>
  </si>
  <si>
    <t>NCT04277663</t>
  </si>
  <si>
    <t>The Study of IBI310 in Combination With IBI308 Compared to High-Dose Interferon In Patients With Acral Melanoma That Has Been Removed by Surgery</t>
  </si>
  <si>
    <t>NCT04130204</t>
  </si>
  <si>
    <t>Topical Application to Relieve Gout: Efficacy Trial &amp; Safety (TARGETS)</t>
  </si>
  <si>
    <t>Dyve Biosciences, Inc.</t>
  </si>
  <si>
    <t>NCT04425252</t>
  </si>
  <si>
    <t>Safety and Anti-coronavirus Response of Suppression of Host Nucleotide Synthesis in Patients With COVID-19</t>
  </si>
  <si>
    <t>NCT04471298</t>
  </si>
  <si>
    <t>A Study of Qishenyiqi Dripping Pills in Healthy Participants</t>
  </si>
  <si>
    <t>NCT04365933</t>
  </si>
  <si>
    <t>A Study of the Oral Farnesoid X Receptor Modulator EYP001a to Assess Its Safety and Anti-viral Effect in Chronic Hepatitis B Patients in Combination With Pegylated Interferon alpha2a Alone and With Entecavir</t>
  </si>
  <si>
    <t>Enyo Pharma</t>
  </si>
  <si>
    <t>NCT04468958</t>
  </si>
  <si>
    <t>Safety, Tolerability, and Pharmacokinetics of SAB-185 in Healthy Participants</t>
  </si>
  <si>
    <t>NCT04663464</t>
  </si>
  <si>
    <t>Study to Evaluate and Compare the PK Profiles of Abaloparatide-SC and Abaloparatide-sMTS in a Cohort of Healthy Men and Healthy Women.</t>
  </si>
  <si>
    <t>NCT04746287</t>
  </si>
  <si>
    <t>Evaluation of the Safety and Tolerability of CKD-510 in Healthy Subjects</t>
  </si>
  <si>
    <t>NCT04149574</t>
  </si>
  <si>
    <t>A Study Comparing the Efficacy and Safety of Nivolumab in Combination With Bacillus Calmette-Guerin (BCG) Versus BCG Alone in Participants With High-Risk Non-Muscle Invasive Bladder Cancer (HR NMIBC)</t>
  </si>
  <si>
    <t>NCT04329403</t>
  </si>
  <si>
    <t>Clinical Endpoint Bioequivalence Study of Adapalene Gel 0.1%</t>
  </si>
  <si>
    <t>Aurobindo Pharma Ltd</t>
  </si>
  <si>
    <t>NCT04362254</t>
  </si>
  <si>
    <t>A Study to Test Long-term Treatment With Spesolimab in Patients With Fistulising Crohn's Disease Who Took Part in Previous Trials</t>
  </si>
  <si>
    <t>NCT05058105</t>
  </si>
  <si>
    <t>Safety, Tolerability, Pharmacokinetics of Intravenous FL058 and Meropenem in Healthy Subjects(SAD/MAD)</t>
  </si>
  <si>
    <t>NCT04527718</t>
  </si>
  <si>
    <t>Study of the Safety, Tolerability and Pharmacokinetics of 611 in Adult Healthy Volunteers</t>
  </si>
  <si>
    <t>NCT04541082</t>
  </si>
  <si>
    <t>Phase I Study of Oral ONC206 in Recurrent and Rare Primary Central Nervous System Neoplasms</t>
  </si>
  <si>
    <t>NCT04487080</t>
  </si>
  <si>
    <t>A Study of Amivantamab and Lazertinib Combination Therapy Versus Osimertinib in Locally Advanced or Metastatic Non-Small Cell Lung Cancer</t>
  </si>
  <si>
    <t>NCT04075266</t>
  </si>
  <si>
    <t>A Study of Ocrelizumab in Children and Adolescents With Relapsing-Remitting Multiple Sclerosis</t>
  </si>
  <si>
    <t>NCT04352608</t>
  </si>
  <si>
    <t>Safety and Immunogenicity Study of Inactivated Vaccine for Prophylaxis of SARS CoV-2 Infection (COVID-19)</t>
  </si>
  <si>
    <t>NCT04663308</t>
  </si>
  <si>
    <t>A Study to Evaluate Efficacy and Safety of an Investigational Drug Named Volixibat in Patients With Itching Caused by Primary Sclerosing Cholangitis (PSC)</t>
  </si>
  <si>
    <t>NCT04258189</t>
  </si>
  <si>
    <t>A Study of JNJ-64417184, Administered as an Oral Solution, in Healthy Participants</t>
  </si>
  <si>
    <t>NCT04337879</t>
  </si>
  <si>
    <t>A Study of AL2846 Capsule Combined With Standard Chemotherapy Regimen in Subjects With Advanced Colorectal Cancer</t>
  </si>
  <si>
    <t>NCT04408079</t>
  </si>
  <si>
    <t>A Study to Evaluate the Tolerance, Efficacy and Pharmacokinetics of TQB3558 Tablets</t>
  </si>
  <si>
    <t>NCT04157127</t>
  </si>
  <si>
    <t>Th-1 Dendritic Cell Immunotherapy Plus Standard Chemotherapy for Pancreatic Adenocarcinoma</t>
  </si>
  <si>
    <t>Diakonos Oncology Corporation</t>
  </si>
  <si>
    <t>NCT04693520</t>
  </si>
  <si>
    <t>Biomarker Effects of ALZ-801 in APOE4 Carriers With Early Alzheimer's Disease</t>
  </si>
  <si>
    <t>Alzheon Inc.</t>
  </si>
  <si>
    <t>NCT04342988</t>
  </si>
  <si>
    <t>Effect of Cequa Treatment on Accuracy of Pre-operative Biometry &amp; Higher Order Aberrations in Dry Eye Patients Undergoing Cataract Surgery</t>
  </si>
  <si>
    <t>Research Insight LLC</t>
  </si>
  <si>
    <t>NCT04524403</t>
  </si>
  <si>
    <t>A Study Evaluating the Safety, Efficacy, and Pharmacokinetics of Miricorilant in Obese Adult Patients With Schizophrenia While Taking Antipsychotic Medications (GRATITUDE II)</t>
  </si>
  <si>
    <t>NCT04465916</t>
  </si>
  <si>
    <t>Study of EYP001a to Assess Its Safety and Anti-viral Effect in CHB Patients in Combination With NA (ETV or TD)</t>
  </si>
  <si>
    <t>NCT04590326</t>
  </si>
  <si>
    <t>A Study to Find Out How Safe REGN5668 is and How Well it Works In Adult Women When Given With Either Cemiplimab, or Cemiplimab + Fianlimab, or Ubamatamab</t>
  </si>
  <si>
    <t>NCT04588259</t>
  </si>
  <si>
    <t>Research Study to Compare a New Medicine "Fast-acting Insulin Aspart" to Another Medicine "Insulin Aspart" in Chinese People With Diabetes</t>
  </si>
  <si>
    <t>NCT04635527</t>
  </si>
  <si>
    <t>A Study on the Safety and Effectiveness of IBI318 Combined With Conventional TACE (cTACE) as a Perioperative Treatment for Potentially Resected Hepatocellular Carcinoma</t>
  </si>
  <si>
    <t>NCT04410354</t>
  </si>
  <si>
    <t>Study of Merimepodib in Combination With Remdesivir in Adult Patients With Advanced COVID-19</t>
  </si>
  <si>
    <t>ViralClear Pharmaceuticals, Inc.</t>
  </si>
  <si>
    <t>NCT04593641</t>
  </si>
  <si>
    <t>This is a Phase 1 Study to Evaluate the Safety,Tolerability and Virology of CT P59 in Patients With Mild Symptoms of Symptoms of Coronavirus Disease (COVID-19)</t>
  </si>
  <si>
    <t>NCT04379596</t>
  </si>
  <si>
    <t>Ph1b/2 Study of the Safety and Efficacy of T-DXd Combinations in Advanced HER2-expressing Gastric Cancer (DESTINY-Gastric03)</t>
  </si>
  <si>
    <t>NCT04702841</t>
  </si>
  <si>
    <t>CAR - γ δ T Cells in the Treatment of Relapsed and Refractory CD7 Positive T Cell-derived Malignant Tumors</t>
  </si>
  <si>
    <t>NCT03849456</t>
  </si>
  <si>
    <t>Safety and Tolerability of Cannabidivarin (CBDV) in Children and Young Adults With Autism Spectrum Disorder</t>
  </si>
  <si>
    <t>NCT04294654</t>
  </si>
  <si>
    <t>Vortioxetine in Patients With Depression and Early Dementia</t>
  </si>
  <si>
    <t>NCT04071366</t>
  </si>
  <si>
    <t>A Study of Itacitinib for the Prevention of Cytokine Release Syndrome Induced by Immune Effector Cell Therapy</t>
  </si>
  <si>
    <t>NCT04812860</t>
  </si>
  <si>
    <t>A Study to Evaluate the Efficacy and Safety of HR18042 Tablets in the Treatment of Postoperative Pain of Impacted Tooth.</t>
  </si>
  <si>
    <t>NCT04525859</t>
  </si>
  <si>
    <t>Poly-ICLC (Hiltonol®) Vaccine In Malignant Pleural Mesothelioma</t>
  </si>
  <si>
    <t>Oncovir, Inc.</t>
  </si>
  <si>
    <t>NCT04165096</t>
  </si>
  <si>
    <t>KEYMAKER-U01 Substudy 3: Efficacy and Safety Study of Pembrolizumab (MK-3475) When Used With Investigational Agents in Participants With Advanced Non-small Cell Lung Cancer (NSCLC), Previously Treated With Anti-programmed Cell Death Receptor Ligand 1 (PD-L1) Therapy (MK-3475-01C/KEYMAKER-U01C)</t>
  </si>
  <si>
    <t>NCT04376554</t>
  </si>
  <si>
    <t>Effect of Tebipenem on Normal Human Intestinal Microbiota</t>
  </si>
  <si>
    <t>NCT04623671</t>
  </si>
  <si>
    <t>Intravenous Infusion of CAP-1002 in Patients With COVID-19</t>
  </si>
  <si>
    <t>NCT04415671</t>
  </si>
  <si>
    <t>Phase 1 Safety, Tolerability, PK &amp; PD Study of AD-214 Administered to Healthy Volunteers</t>
  </si>
  <si>
    <t>AdAlta Limited</t>
  </si>
  <si>
    <t>NCT04450498</t>
  </si>
  <si>
    <t>A Study to Demonstrate Non-inferior Immunogenicity of Yuxi Walvax MPV ACYW® Vaccine in Healthy Subjects Aged 2-10 Years</t>
  </si>
  <si>
    <t>Walvax Biotechnology Co., Ltd.</t>
  </si>
  <si>
    <t>NCT04485663</t>
  </si>
  <si>
    <t>A Study of ALG-010133 Drug to Evaluate Safety, Tolerability, Pharmacokinetics and Pharmacodynamics After Single and Multiple Doses in Healthy Volunteers and CHB Subjects</t>
  </si>
  <si>
    <t>Aligos Therapeutics</t>
  </si>
  <si>
    <t>NCT04595916</t>
  </si>
  <si>
    <t>Efficacy and Safety of Polyene Phosphatidylcholine in Treatment of Patients With Acute Drug-induced Liver Injury</t>
  </si>
  <si>
    <t>NCT03866798</t>
  </si>
  <si>
    <t>Study to Evaluate the Efficacy and Safety of PANZYGA in Pediatric Patients With Chronic Immune Thrombocytopenia (ITP)</t>
  </si>
  <si>
    <t>NCT04208087</t>
  </si>
  <si>
    <t>PK and Safety of SI-722 in IC/BPS</t>
  </si>
  <si>
    <t>Seikagaku Corporation</t>
  </si>
  <si>
    <t>NCT04192344</t>
  </si>
  <si>
    <t>A Study to Assess the Safety, Tolerability, and Pharmacokinetics of ABSK-021 in Patients With Advanced Solid Tumor</t>
  </si>
  <si>
    <t>NCT04295538</t>
  </si>
  <si>
    <t>Safety And Efficacy Study Of Intravenous (IV) Administration Of Elezanumab To Assess Change In Upper Extremity Motor Score (UEMS) In Adult Participants With Acute Traumatic Cervical Spinal Cord Injury (SCI)</t>
  </si>
  <si>
    <t>NCT04541043</t>
  </si>
  <si>
    <t>Efficacy and Safety in Patients With Primary IgA Nephropathy Who Have Completed Study Nef-301 (Nefigard-OLE)</t>
  </si>
  <si>
    <t>Calliditas Therapeutics AB</t>
  </si>
  <si>
    <t>NCT04406415</t>
  </si>
  <si>
    <t>Oral Nafamostat in Healthy Volunteers (NAF-101)</t>
  </si>
  <si>
    <t>Ensysce Biosciences</t>
  </si>
  <si>
    <t>NCT04241315</t>
  </si>
  <si>
    <t>ELUCIDATE: Enabling Lung Cancer Identification Using Folate Receptor Targeting</t>
  </si>
  <si>
    <t>On Target Laboratories, LLC</t>
  </si>
  <si>
    <t>NCT04435626</t>
  </si>
  <si>
    <t>Study to Evaluate the Efficacy (Effect on Disease) and Safety of Finerenone in Participants With Heart Failure and Left Ventricular Ejection Fraction (Proportion of Blood Expelled Per Heart Stroke) Greater or Equal to 40%</t>
  </si>
  <si>
    <t>NCT04470908</t>
  </si>
  <si>
    <t>The Effect of Moderate CYP3A Inducer Rifabutin on the Pharmacokinetics of Zanubrutinib in Healthy Males</t>
  </si>
  <si>
    <t>NCT04759885</t>
  </si>
  <si>
    <t>Efficacy and Safety of mAnnitol in Bowel Preparation During Elective Colonoscopy and Comparison With Moviprep®</t>
  </si>
  <si>
    <t>NTC srl</t>
  </si>
  <si>
    <t>NCT04611789</t>
  </si>
  <si>
    <t>A Study of LY3832479 (LY-CoV016) in Healthy Participants 1</t>
  </si>
  <si>
    <t>NCT05351840</t>
  </si>
  <si>
    <t>To Evaluate the Pharmacokinetic Interactions and Safety in Healthy Volunteers</t>
  </si>
  <si>
    <t>NCT04423718</t>
  </si>
  <si>
    <t>Study of the Effects of High Dose Aflibercept Injected Into the Eye of Patients With an Age-related Disorder That Causes Loss of Vision Due to Growth of Abnormal Blood Vessels at the Back of the Eye</t>
  </si>
  <si>
    <t>NCT04671420</t>
  </si>
  <si>
    <t>Evaluate the Efficacy and Safety of HLX01 Versus Mabthera in Patients With Low Tumour Burden Follicular Lymphoma.</t>
  </si>
  <si>
    <t>NCT06106074</t>
  </si>
  <si>
    <t>Study of the Tolerability and Pharmacokinetics of Oral Doses of SAR442168 With a Food Effect Investigation in Healthy Adult Participants</t>
  </si>
  <si>
    <t>NCT04531150</t>
  </si>
  <si>
    <t>Safety, Tolerability, and Pharmacokinetics of Single Ascending Oral Doses of INV-101 in Healthy Male and Female Subjects</t>
  </si>
  <si>
    <t>Inversago Pharma Inc.</t>
  </si>
  <si>
    <t>NCT04327089</t>
  </si>
  <si>
    <t>Study to Evaluate the Pharmacokinetics and Drug-Drug Interactions of Setanaxib in Healthy Adult Male and Female Subjects</t>
  </si>
  <si>
    <t>NCT04587713</t>
  </si>
  <si>
    <t>Single Dose Bioavailability and Ethnobridging PK Study in Healthy Subjects</t>
  </si>
  <si>
    <t>NCT04666688</t>
  </si>
  <si>
    <t>LYT-200 Alone and in Combination With Chemotherapy or Tislelizumab in Patients With Locally Advanced or Metastatic Solid Tumors</t>
  </si>
  <si>
    <t>NCT05088070</t>
  </si>
  <si>
    <t>Clinical Study of SPH3348 Tablets, a C-Met Inhibitor, in Patients with Advanced Solid Tumors</t>
  </si>
  <si>
    <t>NCT04365218</t>
  </si>
  <si>
    <t>A Study to Evaluate the Safety and Pharmacokinetics With MEDI8367 Administered in Healthy Subjects, and in Subjects With Chronic Kidney Disease</t>
  </si>
  <si>
    <t>NCT04429763</t>
  </si>
  <si>
    <t>Safety and Efficacy of Mesenchymal Stem Cells in the Management of Severe COVID-19 Pneumonia</t>
  </si>
  <si>
    <t>Trustem</t>
  </si>
  <si>
    <t>NCT04176016</t>
  </si>
  <si>
    <t>Phase I Study of Radiolabeled OTSA101-DTPA in Patients With Relapsed or Refractory Synovial Sarcoma</t>
  </si>
  <si>
    <t>OncoTherapy Science, Inc.</t>
  </si>
  <si>
    <t>NCT04547361</t>
  </si>
  <si>
    <t>A Study to Assess the Safety and Tolerability of E2511 in Healthy Participants</t>
  </si>
  <si>
    <t>NCT04195750</t>
  </si>
  <si>
    <t>A Study of Belzutifan (MK-6482) Versus Everolimus in Participants With Advanced Renal Cell Carcinoma (MK-6482-005)</t>
  </si>
  <si>
    <t>NCT04609397</t>
  </si>
  <si>
    <t>A Study to Evaluate the Efficacy and Safety of Hemay005 in the Treatment of Behçet Disease</t>
  </si>
  <si>
    <t>Tianjin Hemay Pharmaceutical Co., Ltd</t>
  </si>
  <si>
    <t>NCT04715997</t>
  </si>
  <si>
    <t>Safety and Immunogenicity Study of GX-19N, a COVID-19 Preventive DNA Vaccine in Healthy Adults</t>
  </si>
  <si>
    <t>NCT04311424</t>
  </si>
  <si>
    <t>Study of Tirzepatide in Healthy Participants</t>
  </si>
  <si>
    <t>NCT04299880</t>
  </si>
  <si>
    <t>Rollover Study to Provide Continued Access to Napabucasin for Patients Enrolled in Boston Biomedical-sponsored Protocols</t>
  </si>
  <si>
    <t>NCT04199689</t>
  </si>
  <si>
    <t>Efficacy Against Oral Persistent Infection, Immunogenicity and Safety of the 9-valent Human Papillomavirus Vaccine (9vHPV) in Men Aged 20-45 Years (V503-049)</t>
  </si>
  <si>
    <t>NCT04264156</t>
  </si>
  <si>
    <t>A Safety and Efficacy Study of Lucinactant for Inhalation in Preterm Neonates 26 to 32 Weeks Gestational Age</t>
  </si>
  <si>
    <t>Windtree Therapeutics</t>
  </si>
  <si>
    <t>NCT04882241</t>
  </si>
  <si>
    <t>Study of Pembrolizumab (MK-3475) Plus Chemotherapy Versus Placebo Plus Chemotherapy in Participants With Gastric or Gastroesophageal Junction (GEJ) Adenocarcinoma (MK-3475-585/KEYNOTE-585)-China Extension</t>
  </si>
  <si>
    <t>NCT04314362</t>
  </si>
  <si>
    <t>Methods to Enhance AZR-MD-001 for Meibomian Gland Dysfunction (MGD)</t>
  </si>
  <si>
    <t>NCT04536961</t>
  </si>
  <si>
    <t>A Study to Evaluate the Drug Levels of BMS-986165 When Taken as Various Solid Tablet Prototypes by Healthy Participants</t>
  </si>
  <si>
    <t>NCT04313153</t>
  </si>
  <si>
    <t>Trial Evaluating the Efficacy and Safety of Oral Vadadustat Once Daily (QD) and Three Times Weekly (TIW) for the Maintenance Treatment of Anemia in Hemodialysis Subjects Converting From Erythropoiesis-Stimulating Agents (ESAs)</t>
  </si>
  <si>
    <t>NCT04708795</t>
  </si>
  <si>
    <t>Clinical Trial on Pharmacokinetic and Tolerability of AP701</t>
  </si>
  <si>
    <t>CannaXan GmbH</t>
  </si>
  <si>
    <t>NCT04044742</t>
  </si>
  <si>
    <t>A Phase 3 Study to Evaluate the Efficacy and Safety of Resiniferatoxin for Pain Due to Osteoarthritis of the Knee</t>
  </si>
  <si>
    <t>NCT04535986</t>
  </si>
  <si>
    <t>A Phase 3 Clinical Trial to Evaluate the Safety and Efficacy of Ensifentrine in Patients With COPD</t>
  </si>
  <si>
    <t>Verona Pharma, Inc., a subsidiary of Merck &amp; Co., Inc. (Rahway, New Jersey USA</t>
  </si>
  <si>
    <t>NCT03859869</t>
  </si>
  <si>
    <t>A Study of Creon (Pancrelipase) in Resected and Non-resected Pancreatic Cancer Participants With Exocrine Pancreatic Insufficiency (EPI)</t>
  </si>
  <si>
    <t>NCT04410094</t>
  </si>
  <si>
    <t>A Study to Assess the Effects of Itraconazole and Rifampin on Lazertinib in Healthy Adult Participants</t>
  </si>
  <si>
    <t>NCT04344951</t>
  </si>
  <si>
    <t>Chloroquine Phosphate Against Infection by the Novel Coronavirus SARS-CoV-2 (COVID-19): The HOPE Open-Label, Non Randomized Clinical Trial</t>
  </si>
  <si>
    <t>NCT04622345</t>
  </si>
  <si>
    <t>Safety and Efficacy of VSJ-110 in the Treatment of Allergic Conjunctivitis in Adults With a History of Ocular Allergies</t>
  </si>
  <si>
    <t>Vanda Pharmaceuticals</t>
  </si>
  <si>
    <t>NCT04548999</t>
  </si>
  <si>
    <t>A Study to Evaluate the Efficacy, Safety and Pharmacokinetics (PK) of a Higher Dose of Ocrelizumab in Adults With Primary Progressive Multiple Sclerosis (PPMS)</t>
  </si>
  <si>
    <t>NCT04417621</t>
  </si>
  <si>
    <t>Study of Efficacy and Safety of LXH254 Combinations in Patients With Previously Treated Unresectable or Metastatic Melanoma</t>
  </si>
  <si>
    <t>NCT04256434</t>
  </si>
  <si>
    <t>A Bioavailability Study of NALDEBAIN ER Injection and Nalbuphine Injection in Healthy Volunteers.</t>
  </si>
  <si>
    <t>NCT04332432</t>
  </si>
  <si>
    <t>GT-032 Belapectin Hepatic Impairment</t>
  </si>
  <si>
    <t>NCT04434092</t>
  </si>
  <si>
    <t>A Study Evaluating the Efficacy and Safety of Crovalimab Versus Eculizumab in Participants With Paroxysmal Nocturnal Hemoglobinuria (PNH) Not Previously Treated With Complement Inhibitors</t>
  </si>
  <si>
    <t>NCT03776071</t>
  </si>
  <si>
    <t>A Trial of Enzastaurin Plus Temozolomide During and Following Radiation Therapy in Patients With Newly Diagnosed Glioblastoma With or Without the Novel Genomic Biomarker, DGM1</t>
  </si>
  <si>
    <t>Denovo Biopharma LLC</t>
  </si>
  <si>
    <t>NCT04623021</t>
  </si>
  <si>
    <t>A Study Evaluating the Efficacy and Safety of CKD-314 (Nafabelltan) in Hospitalized Adult Patients Diagnosed With COVID-19 Pneumonia</t>
  </si>
  <si>
    <t>NCT04448132</t>
  </si>
  <si>
    <t>Evaluation of Persistence of Immunity in 4-year-old Children Previously Immunised With IPV-Al AJV (Picovax®)</t>
  </si>
  <si>
    <t>AJ Vaccines A/S</t>
  </si>
  <si>
    <t>NCT03508167</t>
  </si>
  <si>
    <t>Security and Efficacy of Dorilax® (Fixed Association of Paracetamol 350 mg, Carisoprodol 150 mg and Caffeine 50 mg) Plus Thermal Band Compared to Placebo Plus Thermal Band in the Treatment of Acute Low Back Pain.</t>
  </si>
  <si>
    <t>NCT05874336</t>
  </si>
  <si>
    <t>An Open-Label, Two-Part Study Designed to Assess the Absolute Bioavailability and Mass Balance of Aramchol</t>
  </si>
  <si>
    <t>Galmed Pharmaceuticals Ltd</t>
  </si>
  <si>
    <t>NCT04296370</t>
  </si>
  <si>
    <t>A Study of Fluzoparib±Apatinib Versus Chemotherapy Treatment of Physician's Choice in HER2-negative Metastatic Breast Cancer Patients With Germline BRCA Mutation</t>
  </si>
  <si>
    <t>NCT04888442</t>
  </si>
  <si>
    <t>Phase I Study of pCAR-19B in the Treatment of Adult CD19-positive Relapsed/Refractory B-ALL</t>
  </si>
  <si>
    <t>NCT04273945</t>
  </si>
  <si>
    <t>Outcome Study Assessing a 75 Milligrams (mg) Dose of Macitentan in Patients With Pulmonary Arterial Hypertension</t>
  </si>
  <si>
    <t>NCT04488575</t>
  </si>
  <si>
    <t>Safety and Efficacy of EDP1815 in the Treatment of Patients Hospitalized With COVID-19 Infection</t>
  </si>
  <si>
    <t>NCT04179175</t>
  </si>
  <si>
    <t>Extension Study to Assess Effects of Non-interrupted Versus Interrupted and Long Term Treatment of Two Dose Regimes of Secukinumab in Subjects With Hidradenitis Suppurativa</t>
  </si>
  <si>
    <t>NCT04181437</t>
  </si>
  <si>
    <t>Pharmacokinetic Interaction and Safety Between NVP-1203-R1 and NVP-1203-R2</t>
  </si>
  <si>
    <t>NCT04396756</t>
  </si>
  <si>
    <t>Evaluation of Efficacy and Safety of PLN-74809 in Patients With Idiopathic Pulmonary Fibrosis</t>
  </si>
  <si>
    <t>NCT04503551</t>
  </si>
  <si>
    <t>A Multicenter, Randomized Study in Participants With Diabetic Retinopathy Without Center-involved Diabetic Macular Edema To Evaluate the Efficacy, Safety, and Pharmacokinetics of Ranibizumab Delivered Via the Port Delivery System Relative to the Comparator Arm</t>
  </si>
  <si>
    <t>NCT04415645</t>
  </si>
  <si>
    <t>Absorption, Metabolism, Excretion, and Mass Balance Study of [14C]-VVZ-149 in Healthy Adult Male Subjects</t>
  </si>
  <si>
    <t>NCT04471337</t>
  </si>
  <si>
    <t>Study on the Safety of BAY1817080 How it is Tolerated and the Way the Body Absorbs, Distributes and Gets Rid of the Study Drug Given to Participants With Moderate Renal Impairment and End Stage Renal Disease Requiring Dialysis Compared With Matched Participants With Normal Renal Function</t>
  </si>
  <si>
    <t>NCT03936153</t>
  </si>
  <si>
    <t>Study to Evaluate Efficacy and Safety of Oral Abexinostat in Patients With Relapsed or Refractory Diffuse Large B-cell Lymphoma (DLBCL)</t>
  </si>
  <si>
    <t>NCT04362722</t>
  </si>
  <si>
    <t>Intratumoral Administration of Daromun in Non-melanoma Skin Cancer Patients</t>
  </si>
  <si>
    <t>NCT04682431</t>
  </si>
  <si>
    <t>A Phase 1a/1b FIH Study of PY159 and in Combination With Pembrolizumab in Subjects With Advanced Solid Tumors</t>
  </si>
  <si>
    <t>Ikena Oncology</t>
  </si>
  <si>
    <t>NCT04254107</t>
  </si>
  <si>
    <t>A Safety Study of SEA-TGT (SGN-TGT) in Advanced Cancer</t>
  </si>
  <si>
    <t>Seagen Inc.</t>
  </si>
  <si>
    <t>NCT05986292</t>
  </si>
  <si>
    <t>A Master Protocol Study (LY900028) of Multiple Intervention-Specific-Appendices (ISAs) in Participants With Chronic Pain</t>
  </si>
  <si>
    <t>NCT04440007</t>
  </si>
  <si>
    <t>Study of the Efficacy and Safety of STI-5656 (Abivertinib Maleate) in Subjects Hospitalized With COVID-19</t>
  </si>
  <si>
    <t>NCT03329664</t>
  </si>
  <si>
    <t>Autologous Killer Cell Therapy in Colon Cancer Patients</t>
  </si>
  <si>
    <t>Sabz Biomedicals</t>
  </si>
  <si>
    <t>NCT04396236</t>
  </si>
  <si>
    <t>A Study of Lasmiditan (LY573144) Treatment in Children Aged 6 to 17 With Migraine</t>
  </si>
  <si>
    <t>NCT04509622</t>
  </si>
  <si>
    <t>A Study of Oral Venetoclax Tablet in Combination With Subcutaneous Low-Dose Cytarabine (LDAC) Injection to Assess Adverse Events in Adult Japanese Participants With Acute Myeloid Leukemia (AML)</t>
  </si>
  <si>
    <t>NCT04398953</t>
  </si>
  <si>
    <t>A Study of TQ-B3525 Tablet in the Treatment of Relapsed / Refractory Mantle Cell Lymphoma (MCL)</t>
  </si>
  <si>
    <t>NCT04520607</t>
  </si>
  <si>
    <t>A Long-Term Safety and Efficacy Study of Lorecivivint in Subjects With Osteoarthritis of the Knee</t>
  </si>
  <si>
    <t>NCT04471064</t>
  </si>
  <si>
    <t>A Study of XY0206 Tablets in Patients With Relapsed / Refractory Acute Myeloid Leukemia</t>
  </si>
  <si>
    <t>Shijiazhuang Yiling Pharmaceutical Co. Ltd</t>
  </si>
  <si>
    <t>NCT04480853</t>
  </si>
  <si>
    <t>Safety and Efficacy Study of Fingolimod in Taiwanese Adults (≥ 20years) With Relapsing Remitting Multiple Sclerosis</t>
  </si>
  <si>
    <t>NCT04261439</t>
  </si>
  <si>
    <t>A Phase I/Ib Study of NIZ985 Alone and in Combination With Spartalizumab</t>
  </si>
  <si>
    <t>NCT05963009</t>
  </si>
  <si>
    <t>Baxdrostat Bioavailability and Bioequivalence Study</t>
  </si>
  <si>
    <t>NCT05347628</t>
  </si>
  <si>
    <t>Assessing the Safety and Efficacy of PLB1004 in Patients With Advanced Non-Small Cell Lung Cancer (NSCLC)</t>
  </si>
  <si>
    <t>Avistone Biotechnology Co., Ltd.</t>
  </si>
  <si>
    <t>NCT04712500</t>
  </si>
  <si>
    <t>A Food-Effect Study of AND017 in Healthy Participants</t>
  </si>
  <si>
    <t>Kind Pharmaceuticals LLC</t>
  </si>
  <si>
    <t>NCT04256707</t>
  </si>
  <si>
    <t>Relative Bioavailability/Bioequivalence of Different Formulations of Selinexor, the Impact of Hepatic Impairment on Selinexor Pharmacokinetics, Tolerability and Antitumor Activity of Selinexor Combination Treatment</t>
  </si>
  <si>
    <t>NCT04747964</t>
  </si>
  <si>
    <t>A Safety Study of STSP-0601 in Adult Patients With Hemophilia A or B With Inhibitor</t>
  </si>
  <si>
    <t>NCT03751969</t>
  </si>
  <si>
    <t>A Study Evaluating the Mass Balance of Micro-dose[14C]HSK3486 Emulsion Injection in Healthy Adults</t>
  </si>
  <si>
    <t>NCT04209556</t>
  </si>
  <si>
    <t>A Study To Evaluate The Safety And Efficacy Of PF-06826647 In Participants With Moderate To Severe Ulcerative Colitis</t>
  </si>
  <si>
    <t>NCT04444167</t>
  </si>
  <si>
    <t>A Study of Anti-PD-1/CTLA-4 Bispecific AK104 Plus Lenvatinib in First-line Advanced Hepatocellular Carcinoma</t>
  </si>
  <si>
    <t>NCT04519567</t>
  </si>
  <si>
    <t>Multiple Ascending Dose Study of CTI-1601 Versus Placebo in Subjects With Friedreich's Ataxia</t>
  </si>
  <si>
    <t>Larimar Therapeutics, Inc.</t>
  </si>
  <si>
    <t>NCT04564417</t>
  </si>
  <si>
    <t>First-In-Human (FIH) Study of W0180 as Single Agent and in Combination With Pembrolizumab in Adults With Locally Advanced or Metastatic Solid Tumors</t>
  </si>
  <si>
    <t>Pierre Fabre Medicament</t>
  </si>
  <si>
    <t>NCT04410991</t>
  </si>
  <si>
    <t>Relapsing Forms of Multiple Sclerosis (RMS) Study of Bruton's Tyrosine Kinase (BTK) Inhibitor Tolebrutinib (SAR442168) (GEMINI 2)</t>
  </si>
  <si>
    <t>NCT04487574</t>
  </si>
  <si>
    <t>A Study to Assess the Efficacy and Safety of XC221 in Patients With COVID-19</t>
  </si>
  <si>
    <t>RSV Therapeutics LLC</t>
  </si>
  <si>
    <t>NCT04282018</t>
  </si>
  <si>
    <t>Study of BGB-10188 as Monotherapy, and in Combination With Zanubrutinib, and Tislelizumab</t>
  </si>
  <si>
    <t>NCT04314531</t>
  </si>
  <si>
    <t>Efficacy and Safety of Tildrakizumab Compared to Placebo in Anti-TNF naïve Subjects With Active Psoriatic Arthritis II (INSPIRE 2)</t>
  </si>
  <si>
    <t>NCT04401137</t>
  </si>
  <si>
    <t>The Evaluation of Pharmacokinetic/Pharmacodynamic Characteristics and Safety of QDX in Healthy Korean Male Subjects</t>
  </si>
  <si>
    <t>SK Chemicals Co., Ltd.</t>
  </si>
  <si>
    <t>NCT04297995</t>
  </si>
  <si>
    <t>Evaluate the Efficacy and Safety of HLX10 in Combination With HLX07 in Patients With Advanced Head and Neck Tumors</t>
  </si>
  <si>
    <t>NCT04367077</t>
  </si>
  <si>
    <t>MultiStem Administration for COVID-19 Induced ARDS (MACoVIA)</t>
  </si>
  <si>
    <t>NCT04511975</t>
  </si>
  <si>
    <t>A Study Evaluating the Safety and Efficacy of IBI188 in Combination With AZA in Subjects With Newly Diagnosed MDS</t>
  </si>
  <si>
    <t>NCT04207801</t>
  </si>
  <si>
    <t>A Phase II Study to Evaluate Efficacy &amp; Safety of AUR101 in Patients of Moderate-to-Severe Psoriasis</t>
  </si>
  <si>
    <t>Aurigene Discovery Technologies Limited</t>
  </si>
  <si>
    <t>NCT04161430</t>
  </si>
  <si>
    <t>A Study to Evaluate the Efficacy and Safety of DBPR108 100 mg in Type 2 Diabetes Mellitus Patients</t>
  </si>
  <si>
    <t>NCT04484428</t>
  </si>
  <si>
    <t>A Study to Evaluate the Efficacy and Safety of K-285 Compared With Menthol Gel for the Treatment of Delayed Onset Muscle Soreness (DOMS) in the Lower Extremity</t>
  </si>
  <si>
    <t>NCT03394911</t>
  </si>
  <si>
    <t>Healthy Adult Male Facial Skin Surface Lipid Pheromone p.o. to Treat Opioid Addiction</t>
  </si>
  <si>
    <t>Bubba Nicholson</t>
  </si>
  <si>
    <t>NCT04442737</t>
  </si>
  <si>
    <t>A Study of Darunavir/Cobicistat/Emtricitabine/Tenofovir Alafenamide (D/C/F/TAF) Evaluated as a Fixed Dose Combination Regimen in Participants Switching From an Integrase Inhibitor Who Have Experienced Rapid Weight Gain</t>
  </si>
  <si>
    <t>Janssen Scientific Affairs, LLC</t>
  </si>
  <si>
    <t>NCT04319757</t>
  </si>
  <si>
    <t>ACE1702 in Subjects With Advanced or Metastatic HER2-expressing Solid Tumors</t>
  </si>
  <si>
    <t>Acepodia Biotech, Inc.</t>
  </si>
  <si>
    <t>NCT04602065</t>
  </si>
  <si>
    <t>Evaluation of Safety and Efficacy of IBI318 Monotherapy for Relapsed/Refractory Extranodal NK/T Cell Lymphoma (Nasal Type) Trial</t>
  </si>
  <si>
    <t>NCT04425902</t>
  </si>
  <si>
    <t>Evaluation of Pharmacokinetic Interaction Between GSK3640254 and Caffeine, Metoprolol, Montelukast, Flurbiprofen, Omeprazole, Midazolam, Digoxin, and Pravastatin in Healthy Adults</t>
  </si>
  <si>
    <t>NCT04259801</t>
  </si>
  <si>
    <t>First Research Study to Look at How Two Medicines, NNC0480-0389 and Semaglutide, Work Together in Healthy People, in People With High Body Weight and in People With Diabetes</t>
  </si>
  <si>
    <t>NCT04561128</t>
  </si>
  <si>
    <t>A Trial of SHR-1819 in Healthy Subjects</t>
  </si>
  <si>
    <t>NCT04276428</t>
  </si>
  <si>
    <t>A Study of LY3209590 in Japanese Participants With Type 2 Diabetes Mellitus</t>
  </si>
  <si>
    <t>NCT04249128</t>
  </si>
  <si>
    <t>Nourishing Hair, Skin &amp; Nails Supplement Study (Derm Aid)</t>
  </si>
  <si>
    <t>NCT04494256</t>
  </si>
  <si>
    <t>A Study to Assess the Safety, Tolerability, and Effect on Disease Progression of BIIB105 in Participants With Amyotrophic Lateral Sclerosis (ALS) and Participants With the ALS Ataxin-2 (ATXN2) Genetic Mutation</t>
  </si>
  <si>
    <t>NCT04293172</t>
  </si>
  <si>
    <t>Study to Evaluate the Effect of Ticagrelor Versus Placebo in Reducing Vaso-Occlusive Crises Rate in Pediatric Patients With Sickle Cell Disease.</t>
  </si>
  <si>
    <t>NCT04322539</t>
  </si>
  <si>
    <t>A Study of Efficacy and Safety of Fruquintinib (HMPL-013) in Participants With Metastatic Colorectal Cancer</t>
  </si>
  <si>
    <t>NCT04772105</t>
  </si>
  <si>
    <t>Study of Two Multiple Intravitreal Doses of BAT5906 for Safety and Efficacy in Patients With Diabetic Macular Edema</t>
  </si>
  <si>
    <t>NCT04429529</t>
  </si>
  <si>
    <t>Safety of TY027, a Treatment for COVID-19, in Humans</t>
  </si>
  <si>
    <t>NCT04606329</t>
  </si>
  <si>
    <t>To Evaluate the Efficacy and Safety of LuminoMark Injection in Patients With Nonpalpable Breast Lesions(Phase 3)</t>
  </si>
  <si>
    <t>NCT03340675</t>
  </si>
  <si>
    <t>Oral Ifetroban in Subjects With Duchenne Muscular Dystrophy</t>
  </si>
  <si>
    <t>Cumberland Pharmaceuticals</t>
  </si>
  <si>
    <t>NCT03855280</t>
  </si>
  <si>
    <t>Evaluation of a Recombinant Factor IX Product, APVO101, in Previously-Treated Pediatric Patients With Hemophilia B</t>
  </si>
  <si>
    <t>Medexus Pharma, Inc.</t>
  </si>
  <si>
    <t>NCT04215146</t>
  </si>
  <si>
    <t>A Study to Assess Overall Response Rate by Inducing an Inflammatory Phenotype in Metastatic BReast cAnCEr With the Oncolytic Reovirus PeLareorEp in CombinaTion With Anti-PD-L1 Avelumab and Paclitaxel - BRACELET-1 Study</t>
  </si>
  <si>
    <t>Oncolytics Biotech</t>
  </si>
  <si>
    <t>NCT04597541</t>
  </si>
  <si>
    <t>A Study of AK112 for Advanced Solid Tumors</t>
  </si>
  <si>
    <t>NCT04538794</t>
  </si>
  <si>
    <t>A Study of CDX-0159 in Patients With Chronic Spontaneous Urticaria</t>
  </si>
  <si>
    <t>NCT04422366</t>
  </si>
  <si>
    <t>Evaluate the Efficacy, Immunogenicity and Safety of 9-valent HPV Recombinant Vaccine in Chinese Healthy Females</t>
  </si>
  <si>
    <t>NCT04288856</t>
  </si>
  <si>
    <t>Study to Assess the Safety, Tolerability, Pharmacokinetics, and Effect on Disease Progression of BIIB078 Administered to Previously Treated Adults C9ORF72-Associated Amyotrophic Lateral Sclerosis (ALS)</t>
  </si>
  <si>
    <t>NCT04673682</t>
  </si>
  <si>
    <t>A Clinical Trial to Evaluate the Pharmacokinetic Profiles and Safety of CKD-845</t>
  </si>
  <si>
    <t>NCT04303780</t>
  </si>
  <si>
    <t>Study to Compare AMG 510 "Proposed INN Sotorasib" With Docetaxel in Non Small Cell Lung Cancer (NSCLC) (CodeBreak 200).</t>
  </si>
  <si>
    <t>NCT04502446</t>
  </si>
  <si>
    <t>A Safety and Efficacy Study Evaluating CTX130 in Subjects With Relapsed or Refractory T or B Cell Malignancies (COBALT-LYM)</t>
  </si>
  <si>
    <t>NCT04456361</t>
  </si>
  <si>
    <t>Use of Mesenchymal Stem Cells in Acute Respiratory Distress Syndrome Caused by COVID-19</t>
  </si>
  <si>
    <t>NCT04246086</t>
  </si>
  <si>
    <t>A Study Evaluating the Safety, Pharmacokinetics, and Efficacy of Mosunetuzumab + Lenalidomide (+Len), and the Safety, Tolerability, and Pharmacokinetics of SC Versus IV Mosunetuzumab + Len in Participants With Follicular Lymphoma</t>
  </si>
  <si>
    <t>NCT04296994</t>
  </si>
  <si>
    <t>A Study of QL1706 in Subjects With Advanced Malignant Tumor</t>
  </si>
  <si>
    <t>NCT06046196</t>
  </si>
  <si>
    <t>Clinical Trial to Evaluate the Efficacy and Safety of Sarpogrelate SR in Patients With Chronic Artery Occlusive Disease</t>
  </si>
  <si>
    <t>NCT04438083</t>
  </si>
  <si>
    <t>A Safety and Efficacy Study Evaluating CTX130 in Subjects With Relapsed or Refractory Renal Cell Carcinoma (COBALT-RCC)</t>
  </si>
  <si>
    <t>NCT04270942</t>
  </si>
  <si>
    <t>At-Risk for Type 1 Diabetes Extension Study (TN-10 Extension)</t>
  </si>
  <si>
    <t>NCT04413942</t>
  </si>
  <si>
    <t>Evaluate Efficacy, PK, and Safety of FB825 in Adults With Atopic Dermatitis</t>
  </si>
  <si>
    <t>NCT04522323</t>
  </si>
  <si>
    <t>A Study to Evaluate MEDI5752 and Axitinib in Subjects With Advanced Renal Cell Carcinoma</t>
  </si>
  <si>
    <t>NCT04473079</t>
  </si>
  <si>
    <t>Efficacy and Safety of Lacidofil® STRONG as an Adjuvant for Helicobacter Pylori Treatment in Non-ulcer Dyspepsia</t>
  </si>
  <si>
    <t>Lallemand Health Solutions</t>
  </si>
  <si>
    <t>NCT04322227</t>
  </si>
  <si>
    <t>Study Investigating Effects of Foliglurax in Patients With Parkinson's Disease (PD) and Healthy Subjects</t>
  </si>
  <si>
    <t>NCT04643470</t>
  </si>
  <si>
    <t>Zanubrutinib in Participants With Active Proliferative Lupus Nephritis</t>
  </si>
  <si>
    <t>NCT05795907</t>
  </si>
  <si>
    <t>Single &amp; Multiple Ascending Dose Study of SAR443820 in Healthy Adult Participants</t>
  </si>
  <si>
    <t>NCT04191499</t>
  </si>
  <si>
    <t>A Study Evaluating the Efficacy and Safety of Inavolisib + Palbociclib + Fulvestrant vs Placebo + Palbociclib + Fulvestrant in Participants With PIK3CA-Mutant, Hormone Receptor-Positive, HER2-Negative, Locally Advanced or Metastatic Breast Cancer</t>
  </si>
  <si>
    <t>NCT04493216</t>
  </si>
  <si>
    <t>A Dose-Range Finding Clinical Trial Study in Human Immunodeficiency Virus (HIV-1) Infected Treatment-Naive Adults</t>
  </si>
  <si>
    <t>NCT04488419</t>
  </si>
  <si>
    <t>ATH-1017 for Treatment of Mild to Moderate Alzheimer's Disease</t>
  </si>
  <si>
    <t>NCT04305899</t>
  </si>
  <si>
    <t>A Study to Compare the Taste and Levels in Blood Plasma of BMS-986165 When Taken as Different Formulations by Healthy Adult Participants</t>
  </si>
  <si>
    <t>NCT04659109</t>
  </si>
  <si>
    <t>Glenzocimab in SARS-Cov-2 Acute Respiratory DistrEss syNdrome Related to COVID-19</t>
  </si>
  <si>
    <t>Acticor Biotech</t>
  </si>
  <si>
    <t>NCT04164732</t>
  </si>
  <si>
    <t>Study of Efficacy of Oral Sacubitril/Valsartan in Adult Patients With Non-obstructive Hypertrophic Cardiomyopathy</t>
  </si>
  <si>
    <t>NCT04424316</t>
  </si>
  <si>
    <t>A Trial to Evaluate the Efficacy and Safety of RSVpreF in Infants Born to Women Vaccinated During Pregnancy.</t>
  </si>
  <si>
    <t>NCT04470167</t>
  </si>
  <si>
    <t>Phase 1/2 Clinical Study of TPX-115 in Patients With Partial-Thickness Rotator Cuff Tear</t>
  </si>
  <si>
    <t>Tego Science, Inc.</t>
  </si>
  <si>
    <t>NCT04481009</t>
  </si>
  <si>
    <t>A Study to Evaluate YH003 in Combination With Toripalimab (Anti-PD-1 mAb) in Subjects With Advanced Solid Tumors</t>
  </si>
  <si>
    <t>NCT04631016</t>
  </si>
  <si>
    <t>A Phase II, Randomized, Double-blind, Placebo-controlled Study to Assess MEDI3506 in Participants With COPD and Chronic Bronchitis</t>
  </si>
  <si>
    <t>NCT04559204</t>
  </si>
  <si>
    <t>Evaluation of Safety and Immunogenicity of Combined Immunization of PPV23 and IIV4</t>
  </si>
  <si>
    <t>NCT04626414</t>
  </si>
  <si>
    <t>Four-Way Crossover Study to Compare Ferric Maltol Capsules and Oral Suspension in Healthy Volunteers</t>
  </si>
  <si>
    <t>Shield Therapeutics</t>
  </si>
  <si>
    <t>NCT04325763</t>
  </si>
  <si>
    <t>A Study of TQB2450 in Subjects With Stage III Non-Small Cell Lung Cancer(NSCLC)</t>
  </si>
  <si>
    <t>NCT04167514</t>
  </si>
  <si>
    <t>Treatment of GVHD in Hematopoietic Stem Cell Transplant (HSCT) Recipients Using AAT Plus Corticosteroids (CS) Compared With Corticosteroids Alone</t>
  </si>
  <si>
    <t>NCT04607512</t>
  </si>
  <si>
    <t>Study to Evaluate the ECG Effects of Telaglenastat in Healthy Adult Subjects</t>
  </si>
  <si>
    <t>NCT04432298</t>
  </si>
  <si>
    <t>Study of the Efficacy and Safety of Intravenous Pamrevlumab, in Hospitalized Participants With Acute COVID-19 Disease</t>
  </si>
  <si>
    <t>NCT04238793</t>
  </si>
  <si>
    <t>Single Ascending Doses Study of KLS-2031 in Subjects With Neuropathic Pain From Lumbosacral Radiculopathy</t>
  </si>
  <si>
    <t>Kolon Life Science</t>
  </si>
  <si>
    <t>NCT04210245</t>
  </si>
  <si>
    <t>Study of Aldafermin (NGM282) in Subjects With Compensated Cirrhosis (ALPINE 4)</t>
  </si>
  <si>
    <t>NCT04797975</t>
  </si>
  <si>
    <t>Off-the-shelf NK Cells (KDS-1000) as Immunotherapy for COVID-19</t>
  </si>
  <si>
    <t>NCT04094519</t>
  </si>
  <si>
    <t>A Study to Evaluate the Effect of Multiple Doses of Enzalutamide on the Pharmacokinetics of Substrates of P-glycoprotein (Digoxin) and Breast Cancer Resistant Protein (Rosuvastatin) in Male Subjects With Prostate Cancer</t>
  </si>
  <si>
    <t>NCT04453111</t>
  </si>
  <si>
    <t>Efficacy of Bone-marrow-derived and Placenta-derived Multipotent Mesenchymal Stem / Stromal Cells for Osteoarthritis</t>
  </si>
  <si>
    <t>NCT04375657</t>
  </si>
  <si>
    <t>Thymus Regeneration, Immunorestoration, and Insulin Mitigation Extension Trial</t>
  </si>
  <si>
    <t>Intervene Immune, Inc.</t>
  </si>
  <si>
    <t>NCT04308681</t>
  </si>
  <si>
    <t>A Study Measuring the Effectiveness, Safety, and Tolerability of BMS-986278 in Participants With Lung Fibrosis</t>
  </si>
  <si>
    <t>NCT05783830</t>
  </si>
  <si>
    <t>Study Evaluating the Pharmacokinetics of a Single Microdose of ACD856</t>
  </si>
  <si>
    <t>AlzeCure Pharma</t>
  </si>
  <si>
    <t>NCT04152200</t>
  </si>
  <si>
    <t>A Study to Evaluate Lumasiran in Patients With Advanced Primary Hyperoxaluria Type 1</t>
  </si>
  <si>
    <t>NCT04274907</t>
  </si>
  <si>
    <t>A Safety Study of Oral Venetoclax in Combination With Intravenous Pembrolizumab in Adult Participants With Previously Untreated Non-Small Cell Lung Cancer (NSCLC) With High Programmed Cell Death Ligand-1 (PD-L1) Expression</t>
  </si>
  <si>
    <t>NCT04548427</t>
  </si>
  <si>
    <t>Study to Evaluate the Efficacy and Safety of CKD-352</t>
  </si>
  <si>
    <t>NCT04239092</t>
  </si>
  <si>
    <t>9-ING-41 in Pediatric Patients With Refractory Malignancies.</t>
  </si>
  <si>
    <t>NCT04488601</t>
  </si>
  <si>
    <t>Participatory Evaluation (of) Aging (With) Rapamycin (for) Longevity Study</t>
  </si>
  <si>
    <t>AgelessRx</t>
  </si>
  <si>
    <t>NCT04880993</t>
  </si>
  <si>
    <t>Bioequivalence of Dapagliflozin 10 mg Tablets Under Fasting Conditions</t>
  </si>
  <si>
    <t>NCT04576312</t>
  </si>
  <si>
    <t>Safety of Ascending Doses of Niclosamide (UNI911 INHALATION) in Healthy Volunteers</t>
  </si>
  <si>
    <t>UNION therapeutics</t>
  </si>
  <si>
    <t>NCT04476030</t>
  </si>
  <si>
    <t>A Comparative Study of Sage-217 Plus an Antidepressant (ADT) Versus Placebo Plus an ADT in Adults With Major Depressive Disorder</t>
  </si>
  <si>
    <t>NCT04586907</t>
  </si>
  <si>
    <t>A Study of LY3537021 in Healthy Participants and Participants With Type 2 Diabetes Mellitus</t>
  </si>
  <si>
    <t>NCT04585009</t>
  </si>
  <si>
    <t>Safety, Tolerability and Pharmacokinetics of GSK3923868 Inhalation Powder in Healthy Participants and Stable Asthmatics</t>
  </si>
  <si>
    <t>NCT03977753</t>
  </si>
  <si>
    <t>Randomized, Placebo-controlled, Double Blind Study to Evaluate the Efficacy of 2LVERU®JUNIOR and 2LVERU® on the Treatment of Warts</t>
  </si>
  <si>
    <t>NCT04375865</t>
  </si>
  <si>
    <t>Evaluating the Pharmacokinetic Interactions and Safety Between AD-2111 and AD-2112</t>
  </si>
  <si>
    <t>NCT04411550</t>
  </si>
  <si>
    <t>Compare Pharmacokinetics, Safety, and Immunogenicity of HLX11 vs. Perjeta in Healthy Chinese Male Subjects</t>
  </si>
  <si>
    <t>NCT04642079</t>
  </si>
  <si>
    <t>Safety and Immunogenicity Study of 20vPnC in Healthy Children 15 Months Through 17 Years of Age</t>
  </si>
  <si>
    <t>NCT04503980</t>
  </si>
  <si>
    <t>αPD1-MSLN-CAR T Cells for the Treatment of MSLN-positive Advanced Solid Tumors</t>
  </si>
  <si>
    <t>Shanghai Cell Therapy Group Co.,Ltd</t>
  </si>
  <si>
    <t>NCT04372186</t>
  </si>
  <si>
    <t>A Study to Evaluate the Efficacy and Safety of Tocilizumab in Hospitalized Participants With COVID-19 Pneumonia</t>
  </si>
  <si>
    <t>NCT04539483</t>
  </si>
  <si>
    <t>Monoclonal Antibody Therapy Against Chronic Herpes Simplex Virus 1 Infection</t>
  </si>
  <si>
    <t>Heidelberg ImmunoTherapeutics GmbH</t>
  </si>
  <si>
    <t>NCT04123886</t>
  </si>
  <si>
    <t>A Phase I Study Evaluating SCB-313(Recombinant Human TRAIL-Trimer Fusion Protein) for the Treatment of Malignant Pleural Effusion</t>
  </si>
  <si>
    <t>Sichuan Clover Biopharmaceuticals, Inc.</t>
  </si>
  <si>
    <t>NCT04321980</t>
  </si>
  <si>
    <t>A Clinical Study to Measure the Effect of OP-101 After Being Administered Subcutaneous in Healthy Volunteers</t>
  </si>
  <si>
    <t>Orpheris, Inc.</t>
  </si>
  <si>
    <t>NCT04396327</t>
  </si>
  <si>
    <t>SM-1 vs. an Active Comparator in A Model of Transient Insomnia</t>
  </si>
  <si>
    <t>Sequential Medicine Ltd</t>
  </si>
  <si>
    <t>NCT04535674</t>
  </si>
  <si>
    <t>Asunercept in Patients With Severe COVID-19</t>
  </si>
  <si>
    <t>Apogenix AG</t>
  </si>
  <si>
    <t>NCT04225923</t>
  </si>
  <si>
    <t>A Study for Kidney Transplant Recipients at High-Risk of Cytomegalovirus Infection</t>
  </si>
  <si>
    <t>NCT04282668</t>
  </si>
  <si>
    <t>A Study of TAS1440 With ATRA in Subjects With r/r AML</t>
  </si>
  <si>
    <t>NCT04604496</t>
  </si>
  <si>
    <t>STUDY OF PF-06882961 IN PARTICIPANTS WITH AND WITHOUT VARYING DEGREES OF HEPATIC IMPAIREMENT</t>
  </si>
  <si>
    <t>NCT04377620</t>
  </si>
  <si>
    <t>Assessment of Efficacy and Safety of Ruxolitinib in Participants With COVID-19-Associated ARDS Who Require Mechanical Ventilation (RUXCOVID-DEVENT)</t>
  </si>
  <si>
    <t>NCT04649723</t>
  </si>
  <si>
    <t>Drug-Drug Interaction of SHR1459 With a Strong CYP3A Index Inducer (Rifampicin)</t>
  </si>
  <si>
    <t>NCT04425876</t>
  </si>
  <si>
    <t>A Study of Fluzoparib in Combination With mFOLFIRINOX in Patients With Resectable Pancreatic Cancer</t>
  </si>
  <si>
    <t>NCT04280081</t>
  </si>
  <si>
    <t>A Study of Selpercatinib (LY3527723) in Participants With Advanced Solid Tumors Including RET Fusion-positive Solid Tumors, Medullary Thyroid Cancer and Other Tumors With RET Activation</t>
  </si>
  <si>
    <t>NCT04559971</t>
  </si>
  <si>
    <t>A Phase 1 Study to Evaluate the Safety, Tolerability, PK and PD of SLN124 in Healthy Volunteers</t>
  </si>
  <si>
    <t>NCT04349306</t>
  </si>
  <si>
    <t>Evaluate the Efficacy and Safety of Rasburicase (Fasturtec®) in the Prevention and Treatment of Hyperuricemia in Pediatric Patients With Non-Hodgkin's Lymphoma and Acute Leukemia</t>
  </si>
  <si>
    <t>NCT04218552</t>
  </si>
  <si>
    <t>Determining the Optimal Dose of AD-209 in Patients With Essential Hypertension</t>
  </si>
  <si>
    <t>NCT04534699</t>
  </si>
  <si>
    <t>Pharmacokinetics of KBP-5074 in Patients With Moderate Hepatic Impairment</t>
  </si>
  <si>
    <t>NCT04439838</t>
  </si>
  <si>
    <t>A Study in Healthy Men to Test How Different Doses of BI 1595043 Are Tolerated</t>
  </si>
  <si>
    <t>NCT04450901</t>
  </si>
  <si>
    <t>Dose Escalation/Dose Expansion Study of YBL-006 in Patients With Advanced Solid Tumors</t>
  </si>
  <si>
    <t>Y Biologics Inc.</t>
  </si>
  <si>
    <t>NCT04801836</t>
  </si>
  <si>
    <t>Estetrol (E4) for the Treatment of Patients With Confirmed SARS-COV-2 Infection</t>
  </si>
  <si>
    <t>NEURALIS s.a.</t>
  </si>
  <si>
    <t>NCT04451434</t>
  </si>
  <si>
    <t>Study of Danicopan in Participants of Japanese Descent</t>
  </si>
  <si>
    <t>NCT04410198</t>
  </si>
  <si>
    <t>Study of Roxadustat Conversion in Participants Receiving Stable Erythropoiesis-Stimulating Agent (ESA) or as Initial Anemia Treatment in Chronic Dialysis Participants</t>
  </si>
  <si>
    <t>NCT04727138</t>
  </si>
  <si>
    <t>3-part Study to Assess Safety, Tolerability, Pharmacokinetics and Pharmacodynamics of EXS21546</t>
  </si>
  <si>
    <t>Exscientia AI Limited</t>
  </si>
  <si>
    <t>NCT04524858</t>
  </si>
  <si>
    <t>Study of ATI-450 in Patients With Cryopyrin-Associated Periodic Syndrome (CAPS)</t>
  </si>
  <si>
    <t>NCT04412863</t>
  </si>
  <si>
    <t>Study of VIR-2218 With or Without Pegylated Interferon Alpha-2a for Treatment of Chronic Hepatitis B Virus Infection</t>
  </si>
  <si>
    <t>NCT04464564</t>
  </si>
  <si>
    <t>Study to Assess the Efficacy, Safety, and Tolerability of AVP-786 for the Treatment of Agitation in Patients With Dementia of the Alzheimer's Type</t>
  </si>
  <si>
    <t>NCT04501952</t>
  </si>
  <si>
    <t>Study to Evaluate the Efficacy and Safety of Remdesivir (GS-5734™) Treatment of Coronavirus Disease 2019 (COVID-19) in an Outpatient Setting</t>
  </si>
  <si>
    <t>NCT04583358</t>
  </si>
  <si>
    <t>Study of the Efficacy and Safety of AMT-101 in Subjects With Ulcerative Colitis (LOMBARD)</t>
  </si>
  <si>
    <t>Applied Molecular Transport</t>
  </si>
  <si>
    <t>NCT04195269</t>
  </si>
  <si>
    <t>Osteoarthritis of the Knee Pain Study Using a CBD and THC Sublingual Tablet</t>
  </si>
  <si>
    <t>NCT04626505</t>
  </si>
  <si>
    <t>Trial to Evaluate Reduction in Inflammation in Patients With Advanced Chronic Renal Disease Utilizing Antibody Mediated IL-6 Inhibition in Japan.</t>
  </si>
  <si>
    <t>NCT06300866</t>
  </si>
  <si>
    <t>Gingivitis Reduction After Use of 0.45% Stannous Fluoride Toothpaste</t>
  </si>
  <si>
    <t>NCT04664153</t>
  </si>
  <si>
    <t>Study To Assess Efficacy, Safety, Tolerability And Pharmacokinetics Of PF-07038124 Ointment In Participants With Atopic Dermatitis Or Plaque Psoriasis</t>
  </si>
  <si>
    <t>NCT04661839</t>
  </si>
  <si>
    <t>A COVID-19 Study to Evaluate Safety and Pharmacokinetics of COVID-HIGIV Administered in Healthy Adults</t>
  </si>
  <si>
    <t>Emergent BioSolutions</t>
  </si>
  <si>
    <t>NCT04245839</t>
  </si>
  <si>
    <t>A Study to Evaluate the Efficacy and Safety of JCAR017 in Adult Subjects With Relapsed or Refractory Indolent B-cell Non-Hodgkin Lymphoma (NHL)</t>
  </si>
  <si>
    <t>NCT04281342</t>
  </si>
  <si>
    <t>To Study the Effect of Aprocitentan on the Electrical Activity of the Heart in Healthy Men and Women</t>
  </si>
  <si>
    <t>NCT04264637</t>
  </si>
  <si>
    <t>Study to Find Out How Long it Takes Azelastine Hydrochloride 0.15% Nasal Spray to Relieve Symptoms in Patients Suffering From Allergic Rhinitis</t>
  </si>
  <si>
    <t>NCT04305470</t>
  </si>
  <si>
    <t>Gleolan for Visualization of Newly Diagnosed or Recurrent Meningioma</t>
  </si>
  <si>
    <t>NX Development Corp</t>
  </si>
  <si>
    <t>NCT04277546</t>
  </si>
  <si>
    <t>Open-label Extension Study of Brazikumab in Ulcerative Colitis</t>
  </si>
  <si>
    <t>NCT04440345</t>
  </si>
  <si>
    <t>Evaluate the Safety, Tolerability, Pharmacokinetics, and Pharmacodynamics of IBI362 in Overweight or Obesity Subjects</t>
  </si>
  <si>
    <t>NCT04340427</t>
  </si>
  <si>
    <t>A Study of TQB3455 Tablets in Subjects With Advanced Malignancies</t>
  </si>
  <si>
    <t>NCT04973722</t>
  </si>
  <si>
    <t>A Study to Evaluate LY06006 and Prolia in Healthy Adults</t>
  </si>
  <si>
    <t>NCT04382651</t>
  </si>
  <si>
    <t>Study of Efficacy and Safety of MAS825 in Patients With COVID-19</t>
  </si>
  <si>
    <t>NCT04552353</t>
  </si>
  <si>
    <t>Evaluate Bioequivalence of Voriconazole(200mg/Vial) .</t>
  </si>
  <si>
    <t>NCT04663737</t>
  </si>
  <si>
    <t>Evaluating Safety, Pharmacokinetics and Clinical Benefit of Silmitasertib (CX-4945) in Subjects With Moderate COVID-19</t>
  </si>
  <si>
    <t>Senhwa Biosciences, Inc.</t>
  </si>
  <si>
    <t>NCT04305041</t>
  </si>
  <si>
    <t>Substudy 02A: Safety and Efficacy of Pembrolizumab in Combination With Investigational Agents in Participants With Programmed Cell-death 1 (PD-1) Refractory Melanoma (MK-3475-02A/KEYMAKER-U02)</t>
  </si>
  <si>
    <t>NCT04484337</t>
  </si>
  <si>
    <t>Study to Evaluate Pharmacokinetic (PK), Safety and Tolerability of Cabotegravir (CAB) 400 Milligrams Per Milliliter (mg/mL) Formulation in Healthy Adult Participants</t>
  </si>
  <si>
    <t>NCT04405739</t>
  </si>
  <si>
    <t>The Safety of Molnupiravir (EIDD-2801) and Its Effect on Viral Shedding of SARS-CoV-2 (END-COVID)</t>
  </si>
  <si>
    <t>NCT04494373</t>
  </si>
  <si>
    <t>Comparing of the Pharmacokinetic, Pharmacodynamic, Safety and Immunogenicity of HS-20090 and Xgeva® in Healthy Adults</t>
  </si>
  <si>
    <t>NCT05162937</t>
  </si>
  <si>
    <t>to Evaluate the Preliminary Efficacy and Safety of GR1501 Injection in Patients With Active Axial Spondyloarthritis</t>
  </si>
  <si>
    <t>Genrix (Shanghai) Biopharmaceutical Co., Ltd.</t>
  </si>
  <si>
    <t>NCT04564937</t>
  </si>
  <si>
    <t>The Study of Drug SCT510A in Patients With Wet Age-related Macular Degeneration (wAMD)</t>
  </si>
  <si>
    <t>NCT04494503</t>
  </si>
  <si>
    <t>Study of APG2575 Single Agent and Combination Therapy in Patients With Relapsed/Refractory CLL/SLL</t>
  </si>
  <si>
    <t>NCT04321941</t>
  </si>
  <si>
    <t>Trial Evaluating the Diagnostic Usefulness of Lumentin® 44 When Used as Contrast Agent</t>
  </si>
  <si>
    <t>Lument AB</t>
  </si>
  <si>
    <t>NCT04713254</t>
  </si>
  <si>
    <t>Drug Drug Interaction Study With Lu AG06466 in Young Healthy Men</t>
  </si>
  <si>
    <t>NCT04077437</t>
  </si>
  <si>
    <t>A Multi-Site Phase 3 Study of MDMA-Assisted Psychotherapy for PTSD (MAPP2)</t>
  </si>
  <si>
    <t>Resilient Pharmaceuticals</t>
  </si>
  <si>
    <t>NCT04445688</t>
  </si>
  <si>
    <t>Crossover Trial of AD036 in Obstructive Sleep Apnea</t>
  </si>
  <si>
    <t>NCT04024462</t>
  </si>
  <si>
    <t>A Two-Arm Study to Evaluate the Pharmacokinetics, Efficacy, and Safety of Subcutaneous Administration of the Fixed-Dose Combination of Pertuzumab and Trastuzumab in Combination With Chemotherapy in Chinese Participants With HER2-Positive Early Breast Cancer</t>
  </si>
  <si>
    <t>NCT04697654</t>
  </si>
  <si>
    <t>The Safety, Tolerability, and Pharmacokinetics of Inhaled TLC19 in Healthy Volunteers</t>
  </si>
  <si>
    <t>Taiwan Liposome Company</t>
  </si>
  <si>
    <t>NCT04230473</t>
  </si>
  <si>
    <t>A Clinical Trial of CNCT19 Cells in the Treatment of CD19 Positive Relapsed or Refractory Acute Lymphoblastic Leukemia</t>
  </si>
  <si>
    <t>NCT04194905</t>
  </si>
  <si>
    <t>Bioavailability of Levonorgestrel/Ethinyl Estradiol Tablets 0.1 mg/0.02 mg With Regards to Reference Product</t>
  </si>
  <si>
    <t>NCT06354127</t>
  </si>
  <si>
    <t>DWP450 for Treating Moderate to Severe Glabellar Lines</t>
  </si>
  <si>
    <t>NCT04625205</t>
  </si>
  <si>
    <t>A Clinical Study of the Safety and Activity of the Investigational Cell Therapy NEO-PTC-01 in Patients With Advanced Melanoma</t>
  </si>
  <si>
    <t>BioNTech US Inc.</t>
  </si>
  <si>
    <t>NCT04556851</t>
  </si>
  <si>
    <t>HSK7653 Treatment in Patients With Type 2 Diabetes Who Are Not Controlled With Diet and Exercise</t>
  </si>
  <si>
    <t>NCT04556669</t>
  </si>
  <si>
    <t>Anti-PD-L1 Armored Anti-CD22 CAR-T/CAR-TILs Targeting Patients With Solid Tumors</t>
  </si>
  <si>
    <t>NCT05639803</t>
  </si>
  <si>
    <t>A Clinical Trial of PEGIFNα1b in Chinese Healthy Adults</t>
  </si>
  <si>
    <t>NCT04194242</t>
  </si>
  <si>
    <t>The Tolerability , Pharmacokinetics and Pharmacodynamics Study of HEC96719 Tablets in Healthy Adult Subjects</t>
  </si>
  <si>
    <t>NCT04394286</t>
  </si>
  <si>
    <t>A Phase 1/2 Study of SHP648, an Adeno-Associated Viral Vector for Gene Transfer in Hemophilia B Subjects</t>
  </si>
  <si>
    <t>NCT04211909</t>
  </si>
  <si>
    <t>Study to Investigate the Efficacy and Safety of Sofosbuvir/Velpatasvir (SOF/VEL) Fixed-Dose Combination (FDC) and Sofosbuvir/Velpatasvir/Voxilaprevir (SOF/VEL/VOX ) FDC for 12 Weeks in Adults With Chronic Hepatitis C Virus (HCV) Infection</t>
  </si>
  <si>
    <t>NCT04198363</t>
  </si>
  <si>
    <t>A Study to Evaluate the Efficacy and Safety of Bismuth-Containing Quadruple Therapy With Oral Vonoprazan (TAK-438) 20 mg Compared to Esomeprazole 20 mg Twice Daily in Paticipants With Helicobacter Pylori Infection</t>
  </si>
  <si>
    <t>NCT05055752</t>
  </si>
  <si>
    <t>Randomized, Crossover Bioequivalence Study of PL-ASA Versus Immediate Release Aspirin in Healthy Volunteers.</t>
  </si>
  <si>
    <t>PLx Pharma</t>
  </si>
  <si>
    <t>NCT04222647</t>
  </si>
  <si>
    <t>Investigation of Efficacy and Tolerability of a Lactic Acid Containing Vaginal Suppository in Post-menopausal Women With VVA</t>
  </si>
  <si>
    <t>Dr. August Wolff GmbH &amp; Co. KG Arzneimittel</t>
  </si>
  <si>
    <t>NCT04510987</t>
  </si>
  <si>
    <t>Study to Assess the Safety, Tolerability, Effects on the Body, Absorption, Distribution and Elimination of 25 mg BAY2433334 in Renal Impairment Including Renal Replacement Therapy ("Dialysis")</t>
  </si>
  <si>
    <t>NCT04586478</t>
  </si>
  <si>
    <t>Phase II Clinical Trial of CNCT19 Cell Injection in the Treatment of Relapsed or Refractory Non-Hodgkin's Lymphoma</t>
  </si>
  <si>
    <t>NCT04276493</t>
  </si>
  <si>
    <t>Anti-HER2 Bispecific Antibody Zanidatamab (ZW25) Activity in Combination With Chemotherapy With/Without Tislelizumab</t>
  </si>
  <si>
    <t>NCT04778904</t>
  </si>
  <si>
    <t>First-In-Human Study of ChAdOx1-HBV &amp; MVA-HBV Vaccines (VTP-300) for Chronic HBV</t>
  </si>
  <si>
    <t>Barinthus Biotherapeutics</t>
  </si>
  <si>
    <t>NCT04678206</t>
  </si>
  <si>
    <t>Evaluation of the Efficacy and Safety of BLU-5937 in Adults With Refractory Chronic Cough</t>
  </si>
  <si>
    <t>NCT04370548</t>
  </si>
  <si>
    <t>DARE-BV1 in the Treatment of Bacterial Vaginosis (DARE-BVFREE)</t>
  </si>
  <si>
    <t>NCT04462952</t>
  </si>
  <si>
    <t>Study of Adavosertib(AZD1775) in Japanese Patients With Advanced Solid Tumours</t>
  </si>
  <si>
    <t>NCT04607148</t>
  </si>
  <si>
    <t>A Study Assessing the Long-Term Safety and Tolerability of Galegenimab (FHTR2163) in Participants With Geographic Atrophy Secondary to Age-Related Macular Degeneration</t>
  </si>
  <si>
    <t>NCT04651855</t>
  </si>
  <si>
    <t>The Evaluation of the Effect of Mesenchymal Stem Cells on the Immune System of Patients With ALS</t>
  </si>
  <si>
    <t>Polski Bank Komorek Macierzystych JSC (PBKM)</t>
  </si>
  <si>
    <t>NCT04197778</t>
  </si>
  <si>
    <t>Food Effect Study of DDO-3055 Tablets in Healthy Subjects</t>
  </si>
  <si>
    <t>NCT04298749</t>
  </si>
  <si>
    <t>Safety and Tolerability of GX-P1 in Healthy Male Volunteers</t>
  </si>
  <si>
    <t>NCT04473521</t>
  </si>
  <si>
    <t>A Clinical Study to Assess Force Required to Dislodge Upper Denture With and Without Use of a Novel Denture Adhesive</t>
  </si>
  <si>
    <t>NCT04881006</t>
  </si>
  <si>
    <t>Bioequivalence of Dapagliflozin 10 mg Tablets Under Fed Conditions</t>
  </si>
  <si>
    <t>NCT04526990</t>
  </si>
  <si>
    <t>Phase III Trial of A COVID-19 Vaccine of Adenovirus Vector in Adults 18 Years Old and Above</t>
  </si>
  <si>
    <t>NCT04081103</t>
  </si>
  <si>
    <t>NEXAGON for the Treatment of Corneal Persistent Epithelial Defects Following Severe Ocular Injuries</t>
  </si>
  <si>
    <t>NCT04454918</t>
  </si>
  <si>
    <t>Study to Assess Absolute Bioavailability (ABA) of TAK-906 and to Characterize Mass Balance, Pharmacokinetics (PK), Metabolism, and Excretion of [14C]-TAK-906 in Healthy Male Participants</t>
  </si>
  <si>
    <t>NCT04483297</t>
  </si>
  <si>
    <t>First-In-Human Study of AK1320 Encapsulated Microspheres (AK1320 MS)</t>
  </si>
  <si>
    <t>Asahi Kasei Therapeutics Corporation</t>
  </si>
  <si>
    <t>NCT04654390</t>
  </si>
  <si>
    <t>The Efficacy Nad Safety of DWP16001 Compared to Active Drug in the Treatment of Type 2 Diabetes Mellitus</t>
  </si>
  <si>
    <t>NCT04341259</t>
  </si>
  <si>
    <t>A Study Of The Pharmacokinetics And Safety Of Ipatasertib In Chinese Participants With Locally Advanced Or Metastatic Solid Tumors.</t>
  </si>
  <si>
    <t>NCT04477291</t>
  </si>
  <si>
    <t>A Study of CG-806 in Patients With Relapsed or Refractory AML or Higher-Risk MDS</t>
  </si>
  <si>
    <t>Aptose Biosciences Inc.</t>
  </si>
  <si>
    <t>NCT04126590</t>
  </si>
  <si>
    <t>Phase I Study of KN044 in Locally Advanced/Metastatic Solid Tumors</t>
  </si>
  <si>
    <t>NCT04655313</t>
  </si>
  <si>
    <t>Maximal Usage Pharmacokinetics and Safety of ARQ-151 in Children With Plaque Psoriasis (ARQ-151-215)</t>
  </si>
  <si>
    <t>NCT05194046</t>
  </si>
  <si>
    <t>Drug-drug Interactions and Safety Among JP-1366, Amoxicillin, and Clarithromycin in Healthy Volunteers</t>
  </si>
  <si>
    <t>Onconic Therapeutics Inc.</t>
  </si>
  <si>
    <t>NCT04532918</t>
  </si>
  <si>
    <t>Pharmacokinetics of Verinurad and Allopurinol in Combination With Cyclosporine and Rifampicin in Healthy Volunteers</t>
  </si>
  <si>
    <t>NCT04551924</t>
  </si>
  <si>
    <t>A Trial of HR18034 in Inguinal Hernia Repair</t>
  </si>
  <si>
    <t>NCT04178460</t>
  </si>
  <si>
    <t>A Study of Niraparib Combined With MGD013 in Patients With Advanced or Metastatic Solid Tumor Who Failed Prior Treatment</t>
  </si>
  <si>
    <t>NCT04557280</t>
  </si>
  <si>
    <t>A Comparative Study of Selatogrel (ACT-246475) Formulations in Healthy Subjects</t>
  </si>
  <si>
    <t>NCT04298879</t>
  </si>
  <si>
    <t>IBI376 in Patients With Relapsed or Refractory Follicular Lymphoma/Marginal Zone Lymphoma</t>
  </si>
  <si>
    <t>NCT04353791</t>
  </si>
  <si>
    <t>Study of OST-122 in Patients With Moderate to Severe Ulcerative Colitis</t>
  </si>
  <si>
    <t>Oncostellae S.L</t>
  </si>
  <si>
    <t>NCT06418620</t>
  </si>
  <si>
    <t>A Study of the Safety, Tolerability, and Bioavailability of Orally Administered Venglustat in Healthy Adult Participants</t>
  </si>
  <si>
    <t>NCT04528290</t>
  </si>
  <si>
    <t>A Study to Evaluate the Relative Bioavailability of a Pediatric Granule Formulation of Ozanimod in Healthy Adult Subjects</t>
  </si>
  <si>
    <t>NCT04221945</t>
  </si>
  <si>
    <t>Study of Chemoradiotherapy With or Without Pembrolizumab (MK-3475) For The Treatment of Locally Advanced Cervical Cancer (MK-3475-A18/KEYNOTE-A18/ENGOT-cx11/GOG-3047)</t>
  </si>
  <si>
    <t>NCT04435665</t>
  </si>
  <si>
    <t>NFX-179 Topical Gel Treatment in Adults With Neurofibromatosis 1 (NF1) and Cutaneous Neurofibromas (cNF)</t>
  </si>
  <si>
    <t>NFlection Therapeutics, Inc.</t>
  </si>
  <si>
    <t>NCT04768699</t>
  </si>
  <si>
    <t>Study of Recombinant Human Coagulation Factor VIIa for Injection (FⅦa) in Patients With Hemophilia.</t>
  </si>
  <si>
    <t>NCT04510207</t>
  </si>
  <si>
    <t>A Study to Evaluate The Efficacy, Safety and Immunogenicity of Inactivated SARS-CoV-2 Vaccines (Vero Cell) in Healthy Population Aged 18 Years Old and Above</t>
  </si>
  <si>
    <t>NCT04436107</t>
  </si>
  <si>
    <t>Zanubrutinib, in Combination With Lenalidomide, With or Without Rituximab in Participants With Relapsed/Refractory Diffuse Large B-Cell Lymphoma</t>
  </si>
  <si>
    <t>NCT04688671</t>
  </si>
  <si>
    <t>Efficacy and Safety of ETX-018810 for the Treatment of Diabetic Peripheral Neuropathic Pain</t>
  </si>
  <si>
    <t>Eliem Therapeutics (UK) Ltd.</t>
  </si>
  <si>
    <t>NCT04570332</t>
  </si>
  <si>
    <t>BO-112 With Pembrolizumab in Unresectable Malignant Melanoma</t>
  </si>
  <si>
    <t>NCT03729284</t>
  </si>
  <si>
    <t>A Study of Duloxetine Hydrochloride Hard Gelatinous Capsule Compared To Cymbalta</t>
  </si>
  <si>
    <t>NCT04300309</t>
  </si>
  <si>
    <t>Pharmacokinetics, Safety, Tolerability and Efficacy of a New Artemether-lumefantrine Dispersible Tablet in Infants and Neonates &lt;5 kg Body Weight With Acute Uncomplicated Plasmodium Falciparum Malaria</t>
  </si>
  <si>
    <t>NCT04346316</t>
  </si>
  <si>
    <t>A Phase II Study in Patients With Alopecia Areata</t>
  </si>
  <si>
    <t>NCT04513704</t>
  </si>
  <si>
    <t>A Clinical Trial Comparing Semaglutide in Healthy People Who Eat and Take the Medicine at Different Times</t>
  </si>
  <si>
    <t>NCT04608344</t>
  </si>
  <si>
    <t>Study to Evaluate Organic Anion Transporting Polypeptide (OATP) Transporter-Mediated Drug-Drug Interactions Between Filgotinib and Statins as Probe Drugs in Healthy Participants</t>
  </si>
  <si>
    <t>NCT04572893</t>
  </si>
  <si>
    <t>Exploratory Study of Danicamtiv in Patients With Primary Dilated Cardiomyopathy (DCM) Due to Genetic Variants or Other Causalities</t>
  </si>
  <si>
    <t>NCT05731934</t>
  </si>
  <si>
    <t>The Tolerability and Pharmacokinetics of HX301 Monolactate Capsules in Patients With Advanced Solid Tumors</t>
  </si>
  <si>
    <t>NCT04279314</t>
  </si>
  <si>
    <t>Open-Label Extension Study of Trofinetide for the Treatment of Girls and Women With Rett Syndrome</t>
  </si>
  <si>
    <t>NCT04643678</t>
  </si>
  <si>
    <t>Anakinra in the Management of COVID-19 Infection</t>
  </si>
  <si>
    <t>NCT04575766</t>
  </si>
  <si>
    <t>A Study of FT-7051 in Men With MCRPC</t>
  </si>
  <si>
    <t>NCT04215653</t>
  </si>
  <si>
    <t>A Phase 3 Randomised Controlled Trial to Evaluate Efficacy and Safety of Anaprazole in Patients With Duodenal Ulcers.</t>
  </si>
  <si>
    <t>NCT04195919</t>
  </si>
  <si>
    <t>The Pharmacokinetics/Pharmacodynamics and Safety/Tolerability of Evogliptin in Hemodialysis Patients</t>
  </si>
  <si>
    <t>NCT04331730</t>
  </si>
  <si>
    <t>A Study to Assess the Efficacy and Safety of AKST4290 With Aflibercept in Patients With Newly Diagnosed nAMD</t>
  </si>
  <si>
    <t>NCT04514367</t>
  </si>
  <si>
    <t>An Open Label Study of ANX005 in Subjects With, or at Risk for, Manifest Huntington's Disease</t>
  </si>
  <si>
    <t>NCT04401800</t>
  </si>
  <si>
    <t>Preliminary Antitumor Activity, Safety and Tolerability of Tislelizumab in Combination With Lenvatinib for Hepatocellular Carcinoma</t>
  </si>
  <si>
    <t>NCT03773744</t>
  </si>
  <si>
    <t>MG1-MAGEA3 With Ad-MAGEA3 and Pembrolizumab in Patients With Previously Treated Metastatic Melanoma or Cutaneous Squamous Cell Carcinoma</t>
  </si>
  <si>
    <t>NCT04184895</t>
  </si>
  <si>
    <t>A Study to Assess the Safety, Tolerability and Immunological Response of ASP2390 in Adult Subjects Allergic to House Dust Mites</t>
  </si>
  <si>
    <t>NCT04418765</t>
  </si>
  <si>
    <t>A Study to Evaluate the Efficacy and Safety of Eptinezumab for the Prevention of Migraine in Participants That Are Not Helped by Previous Preventive Treatments</t>
  </si>
  <si>
    <t>NCT04661007</t>
  </si>
  <si>
    <t>To Assess the Safety and Tolerability of Tafasitamab Alone or in Combination With Other Drugs in Japanese Participants With Non-Hodgkins Lymphoma (NHL)</t>
  </si>
  <si>
    <t>NCT04450407</t>
  </si>
  <si>
    <t>A Study of LY3209590 in Participants With Type 1 Diabetes</t>
  </si>
  <si>
    <t>NCT04250337</t>
  </si>
  <si>
    <t>Safety and Efficacy of Lebrikizumab (LY3650150) in Combination With Topical Corticosteroid in Moderate-to-Severe Atopic Dermatitis.</t>
  </si>
  <si>
    <t>NCT04185545</t>
  </si>
  <si>
    <t>Efficacy, Safety and Immunogenicity of Rotavirus RV3 Vaccine (Bio Farma) in Neonates</t>
  </si>
  <si>
    <t>NCT04529772</t>
  </si>
  <si>
    <t>A Combination of Acalabrutinib With R-CHOP in Subjects With Previously Untreated Non-GCB DLBCL (ACE-LY-312)</t>
  </si>
  <si>
    <t>NCT04127695</t>
  </si>
  <si>
    <t>A Study to Evaluate the Safety and Tolerability of ABBV-0805 in Patients With Parkinson's Disease</t>
  </si>
  <si>
    <t>NCT04302064</t>
  </si>
  <si>
    <t>A Study to Assess the Safety, Tolerability, Pharmacokinetics, and Pharmacodynamics of Single-Ascending and Multiple Doses of Eplontersen (Formerly Known as ION-682884, IONIS-TTR-LRx and AKCEA-TTR-LRx) in Healthy Japanese Participants</t>
  </si>
  <si>
    <t>NCT04497298</t>
  </si>
  <si>
    <t>Clinical Trial to Evaluate the Safety and Immunogenicity of the COVID-19 Vaccine</t>
  </si>
  <si>
    <t>NCT04358432</t>
  </si>
  <si>
    <t>A Study of PCSK9 Inhibitor AK102 in Patients With Hypercholesterolemia</t>
  </si>
  <si>
    <t>NCT04451408</t>
  </si>
  <si>
    <t>A Study of LY3372993 in Participants With Alzheimer's Disease (AD) and Healthy Participants</t>
  </si>
  <si>
    <t>NCT04355117</t>
  </si>
  <si>
    <t>A Safety Evaluation Trial of TEV-48125 Self-administered in Migraine Patients</t>
  </si>
  <si>
    <t>NCT04653168</t>
  </si>
  <si>
    <t>A Study of LY3041658 in Healthy Participants</t>
  </si>
  <si>
    <t>NCT04684524</t>
  </si>
  <si>
    <t>Dupilumab in Allergic Fungal Rhinosinusitis (AFRS) (LIBERTY-AFRS-AI)</t>
  </si>
  <si>
    <t>NCT04623541</t>
  </si>
  <si>
    <t>Safety and Efficacy Study of Epcoritamab in Subjects With Relapsed/Refractory Chronic Lymphocytic Leukemia and Richter's Syndrome</t>
  </si>
  <si>
    <t>NCT04631588</t>
  </si>
  <si>
    <t>Intradermal (ID) BOTOX in the Treatment of Facial Fine Lines</t>
  </si>
  <si>
    <t>NCT05737927</t>
  </si>
  <si>
    <t>Pharmacodynamics and Pharmacokinetics of Different Glucose Bead Formulations in Obese Healthy Subjects</t>
  </si>
  <si>
    <t>Aphaia Pharma US LLC</t>
  </si>
  <si>
    <t>NCT04170283</t>
  </si>
  <si>
    <t>Long-term Extension Study of Zanubrutinib (BGB-3111) Regimens in Participants With B-cell Malignancies</t>
  </si>
  <si>
    <t>NCT04678388</t>
  </si>
  <si>
    <t>Clinical Study to Investigate the PK Profiles and Safety of CKD-385 in Healthy Volunteers Under Fasting Conditions</t>
  </si>
  <si>
    <t>NCT04659070</t>
  </si>
  <si>
    <t>To Evaluate the Efficacy and Safety of Co-administrated Ezetimibe/Rosuvastatin and Telmisartan in Patients With Essential Hypertension and Primary Hypercholesterolemia</t>
  </si>
  <si>
    <t>NCT06242769</t>
  </si>
  <si>
    <t>Clinical Research Study to Evaluate the Stain Removal Efficacy</t>
  </si>
  <si>
    <t>NCT04398940</t>
  </si>
  <si>
    <t>A Study of TQ-B3139 Capsules in Subjects With MET-Altered Advanced Non-small Cell Lung Cancer</t>
  </si>
  <si>
    <t>NCT04496089</t>
  </si>
  <si>
    <t>Evaluation of Safety, Biodistibution and Sensitivity/Specificity of PET/CT Imaging With 89Zr-TLX250 in Subjects With RCC</t>
  </si>
  <si>
    <t>Telix Pharmaceuticals (Innovations) Pty Limited</t>
  </si>
  <si>
    <t>NCT04476797</t>
  </si>
  <si>
    <t>Phase I/II Study of SBRT and GC4711 for Centrally Located or Large NSCLC</t>
  </si>
  <si>
    <t>NCT04669262</t>
  </si>
  <si>
    <t>BGB-DXP604 Alone and in Combination With BGB-DXP593 in Healthy Participants</t>
  </si>
  <si>
    <t>NCT04053062</t>
  </si>
  <si>
    <t>LIGHT-PSMA-CART in Treating Patients With Castrate-Resistant Prostate Cancer</t>
  </si>
  <si>
    <t>Bioray Laboratories</t>
  </si>
  <si>
    <t>NCT04622774</t>
  </si>
  <si>
    <t>First-in-Human Study of IMGC936 in Participants With Advanced Solid Tumors</t>
  </si>
  <si>
    <t>NCT04345120</t>
  </si>
  <si>
    <t>Multiple Ascending Doses of SY-008 in Type 2 Diabetes Mellitus</t>
  </si>
  <si>
    <t>NCT04409223</t>
  </si>
  <si>
    <t>Efficacy and Safety of Famitinib Versus Sunitinib in the Treatment of Advanced Gastrointestinal Stromal Tumour Patients After Failure of Imatinib</t>
  </si>
  <si>
    <t>NCT04200573</t>
  </si>
  <si>
    <t>Effect of Hepatic Impairment on the Pharmacokinetics of a Single Dose of TD-9855</t>
  </si>
  <si>
    <t>NCT04690335</t>
  </si>
  <si>
    <t>Human Challenge Study to Evaluate the Efficacy of MV-012-968 Vaccine</t>
  </si>
  <si>
    <t>NCT04444050</t>
  </si>
  <si>
    <t>Study to Evaluate the Safety, Tolerability, Drug Levels and Drug Effects of BMS-986331 in Healthy Participants</t>
  </si>
  <si>
    <t>NCT04291859</t>
  </si>
  <si>
    <t>Lu AF28996 in Participants With Parkinson's Disease (PD)</t>
  </si>
  <si>
    <t>NCT04282746</t>
  </si>
  <si>
    <t>A Study of Sublingually Administered (S)-Ketamine Oral Solution in Healthy Participants</t>
  </si>
  <si>
    <t>NCT04407689</t>
  </si>
  <si>
    <t>InterLeukin-7 to Improve Clinical Outcomes in Lymphopenic pAtients With COVID-19 Infection FR BL Cohort</t>
  </si>
  <si>
    <t>NCT04522986</t>
  </si>
  <si>
    <t>An Exploratory Study of ADR-001 in Patients with Severe Pneumonia Caused by SARS-CoV-2 Infection</t>
  </si>
  <si>
    <t>Rohto Pharmaceutical Co., Ltd.</t>
  </si>
  <si>
    <t>NCT04613596</t>
  </si>
  <si>
    <t>Phase 2 Trial of Adagrasib Monotherapy and in Combination With Pembrolizumab and a Phase 3 Trial of Adagrasib in Combination in Patients With a KRAS G12C Mutation KRYSTAL-7</t>
  </si>
  <si>
    <t>NCT05361005</t>
  </si>
  <si>
    <t>Tolerability and Safety of BDB-001 Injection in Healthy Subjects</t>
  </si>
  <si>
    <t>NCT04106219</t>
  </si>
  <si>
    <t>A Study of LY3295668 Erbumine in Participants With Relapsed/Refractory Neuroblastoma</t>
  </si>
  <si>
    <t>NCT04493541</t>
  </si>
  <si>
    <t>A Study to Assess the Safety and Drug Levels of BMS-986256 in Participants With Active Cutaneous Lupus Erythematosus</t>
  </si>
  <si>
    <t>NCT04384081</t>
  </si>
  <si>
    <t>A Study to Test How Different Doses of BI 456906 Are Tolerated in Japanese Men With a Body Mass Index (BMI) Between 23 and 40 kg/m2</t>
  </si>
  <si>
    <t>NCT04395053</t>
  </si>
  <si>
    <t>A Bioavailability Study of SHR1459 on Healthy Chinese Volunteers</t>
  </si>
  <si>
    <t>NCT04119453</t>
  </si>
  <si>
    <t>A Study to Evaluate the Efficacy and Safety of Rivoceranib in Participants With Recurrent or Metastatic Adenoid Cystic Carcinoma (ACC)</t>
  </si>
  <si>
    <t>NCT04806529</t>
  </si>
  <si>
    <t>An Efficacy, Immunogenicity and Safety Study Investigating an Adjuvanted SARS-CoV-2 Influenza Vaccine to Protect Against COVID-19 in Adults Over Aged 18 Years-old and Older</t>
  </si>
  <si>
    <t>NCT04400331</t>
  </si>
  <si>
    <t>Open-Label Rollover Study for Continuing Valbenazine Administration for the Treatment of Chorea Associated With Huntington Disease</t>
  </si>
  <si>
    <t>NCT04353102</t>
  </si>
  <si>
    <t>A Study to Evaluate the Safety, Tolerability and How YH002 Enters, Moves Through and Exits the Body in Subjects With Advanced Solid Malignancies</t>
  </si>
  <si>
    <t>NCT04313400</t>
  </si>
  <si>
    <t>Topically Applied AMTX-100 CF for Adult Patients With Mild to Moderate Atopic Dermatitis</t>
  </si>
  <si>
    <t>Amytrx Therapeutics, Inc.</t>
  </si>
  <si>
    <t>NCT04235270</t>
  </si>
  <si>
    <t>A Study of Macitentan and Tadalafil as a Fixed Dose Combination and the Free Combination in Healthy Adult Participants</t>
  </si>
  <si>
    <t>NCT04091945</t>
  </si>
  <si>
    <t>A Study to Evaluate the Safety and Potential Efficacy of LT3001 Drug Product in Subjects With AIS</t>
  </si>
  <si>
    <t>NCT04564742</t>
  </si>
  <si>
    <t>Dapagliflozin Effects on Cardiometabolic Outcomes in Patients With an Acute Heart Attack.</t>
  </si>
  <si>
    <t>NCT04444466</t>
  </si>
  <si>
    <t>A Study to Evaluate Safety, Tolerability, Pharmacokinetics, and Pharmacodynamics of UCB8600 in Healthy Participants, Atopic Participants, and Chronic Spontaneous Urticaria Participants</t>
  </si>
  <si>
    <t>NCT04089566</t>
  </si>
  <si>
    <t>Study of Nusinersen (BIIB058) in Participants With Spinal Muscular Atrophy</t>
  </si>
  <si>
    <t>NCT04458272</t>
  </si>
  <si>
    <t>A Study of DS-1001b in Patients With Chemotherapy- and Radiotherapy-Naive IDH1 Mutated WHO Grade II Glioma</t>
  </si>
  <si>
    <t>NCT06030375</t>
  </si>
  <si>
    <t>Safety, Tolerability and Pharmacokinetics After Continuous Infusion of KAND567</t>
  </si>
  <si>
    <t>NCT04542057</t>
  </si>
  <si>
    <t>A Phase 3 Trial to Evaluate the Safety and Efficacy of Ensifentrine in Patients With COPD</t>
  </si>
  <si>
    <t>NCT04556539</t>
  </si>
  <si>
    <t>Study of SC10914 in Patients With gBRCA1/2 Mutation Advanced Ovarian Cancer</t>
  </si>
  <si>
    <t>NCT03995472</t>
  </si>
  <si>
    <t>A Study of SHR-1501 Combined With SHR-1316 in Patients With Advanced Tumors</t>
  </si>
  <si>
    <t>NCT04599972</t>
  </si>
  <si>
    <t>An Evaluation of the Efficacy and Safety of CSF-1 in the Temporary Correction of Presbyopia (NEAR-2)</t>
  </si>
  <si>
    <t>NCT04675242</t>
  </si>
  <si>
    <t>Study Evaluating the Safety and Efficacy of NCX 4251 Ophthalmic Suspension for the Treatment of Blepharitis</t>
  </si>
  <si>
    <t>NCT04572295</t>
  </si>
  <si>
    <t>A Study of E7090 as Monotherapy and in Combination With Other Anticancer Agents in Participants With Estrogen Receptor Positive (ER+) and Human Epidermal Growth Receptor 2 Negative (HER2-) Recurrent/Metastatic Breast Cancer</t>
  </si>
  <si>
    <t>NCT04444986</t>
  </si>
  <si>
    <t>Bioequivalence Study of Favir 200 mg Film Tablet Kocak Under Fasting Conditions</t>
  </si>
  <si>
    <t>Kocak Farma</t>
  </si>
  <si>
    <t>NCT04404569</t>
  </si>
  <si>
    <t>Continued Treatment for Participants Enrolled in Studies of BXQ-350</t>
  </si>
  <si>
    <t>Bexion Pharmaceuticals, Inc.</t>
  </si>
  <si>
    <t>NCT04587453</t>
  </si>
  <si>
    <t>Tralokinumab in Combination With Topical Corticosteroids in Japanese Subjects With Moderate-to-severe Atopic Dermatitis</t>
  </si>
  <si>
    <t>NCT04632342</t>
  </si>
  <si>
    <t>Phase 2a Clinical Trial to Evaluate the Efficacy and Safety of HL301 on Radiation Pneumonitis in Non-small Cell Lung Cancer Patients</t>
  </si>
  <si>
    <t>NCT04581473</t>
  </si>
  <si>
    <t>Study to Evaluate the Efficacy, Safety and Pharmacokinetics of CT041 Autologous CAR T-cell Injection</t>
  </si>
  <si>
    <t>NCT04060888</t>
  </si>
  <si>
    <t>A Study of Ustekinumab in Chinese Participants With Active Systemic Lupus Erythematosus</t>
  </si>
  <si>
    <t>NCT04227470</t>
  </si>
  <si>
    <t>A Study of HBM9161 in NMOSD Patients</t>
  </si>
  <si>
    <t>NCT04515641</t>
  </si>
  <si>
    <t>Single-Dose Islatravir in Moderate Hepatic Impairment (MK-8591-030)</t>
  </si>
  <si>
    <t>NCT04461795</t>
  </si>
  <si>
    <t>Efficacy of AJOVY (Fremanezumab-vfrm) on Interictal Migraine Related Burden</t>
  </si>
  <si>
    <t>David True</t>
  </si>
  <si>
    <t>NCT04321343</t>
  </si>
  <si>
    <t>Study of PXL065 in Patients With Nonalcoholic Steatohepatitis (NASH)</t>
  </si>
  <si>
    <t>Poxel SA</t>
  </si>
  <si>
    <t>NCT04309643</t>
  </si>
  <si>
    <t>Drug-drug Interaction Study of CTP-543 and Oral Contraceptives in Healthy Female Subjects</t>
  </si>
  <si>
    <t>NCT04598542</t>
  </si>
  <si>
    <t>Drug-Drug Interaction Study of Lorecivivint and Triamcinolone Acetonide in Healthy Volunteers</t>
  </si>
  <si>
    <t>NCT04577469</t>
  </si>
  <si>
    <t>Bioequivalence Study of Sulfadoxine/ Pyrimethamine Tablets in Healthy Subjects Under Fasting Conditions</t>
  </si>
  <si>
    <t>Emzor Pharmaceutical Industries Limited</t>
  </si>
  <si>
    <t>NCT04434469</t>
  </si>
  <si>
    <t>A Study Evaluating The Safety And Pharmacokinetics Of Escalating Doses Of RO7297089 In Patients With Relapsed Or Refractory Multiple Myeloma</t>
  </si>
  <si>
    <t>NCT04524351</t>
  </si>
  <si>
    <t>Posiphen® Dose-Finding, Biomarker Study in Early Alzheimer's and Parkinson's Patients</t>
  </si>
  <si>
    <t>Annovis Bio Inc.</t>
  </si>
  <si>
    <t>NCT04627142</t>
  </si>
  <si>
    <t>A Study to Test Different Doses of BI 1701963 in Combination With Irinotecan in People With Advanced Bowel Cancer With Kirsten Rat Sarcoma Viral Oncogene Homologue (KRAS) Mutation</t>
  </si>
  <si>
    <t>NCT04698642</t>
  </si>
  <si>
    <t>A Study to Evaluate the Safety, Tolerability, and Preliminary Efficacy of CBL-514 Injection for Reducing Convexity or Fullness of Abdominal Subcutaneous Fat</t>
  </si>
  <si>
    <t>NCT04226105</t>
  </si>
  <si>
    <t>Efficacy and Safety of GP40081 Сompared to NovoMix® 30 FlexPen® in Type 2 Diabetes Mellitus Patients</t>
  </si>
  <si>
    <t>Geropharm</t>
  </si>
  <si>
    <t>NCT04421456</t>
  </si>
  <si>
    <t>Trial to Investigate the Safety and Efficacy of GWP42003-P Versus Placebo as Adjunctive Therapy in Participants With Schizophrenia Experiencing Inadequate Response to Ongoing Antipsychotic Treatment</t>
  </si>
  <si>
    <t>NCT04564872</t>
  </si>
  <si>
    <t>HSK7653 Metformin Add-on Study in Patients With Type 2 Diabetes Mellitus</t>
  </si>
  <si>
    <t>NCT04475523</t>
  </si>
  <si>
    <t>Phase 1 Study of CI-8993 Anti-VISTA Antibody in Patients With Advanced Solid Tumor Malignancies</t>
  </si>
  <si>
    <t>NCT03976076</t>
  </si>
  <si>
    <t>A Study of Orally Administered JBPOS0101 in Refractory Infantile Spasms Patients</t>
  </si>
  <si>
    <t>Bio-Pharm Solutions Co., Ltd.</t>
  </si>
  <si>
    <t>NCT04412668</t>
  </si>
  <si>
    <t>Study to Evaluate the Safety and Efficacy of ATYR1923 (Efzofitimod) In Participants With Severe Pneumonia Related to COVID-19</t>
  </si>
  <si>
    <t>aTyr Pharma, Inc.</t>
  </si>
  <si>
    <t>NCT04259450</t>
  </si>
  <si>
    <t>Study to Assess AFM24 in Advanced Solid Cancers</t>
  </si>
  <si>
    <t>Affimed GmbH</t>
  </si>
  <si>
    <t>NCT04278417</t>
  </si>
  <si>
    <t>Study of Efficacy and Safety of Brolucizumab Versus Panretinal Photocoagulation Laser in Patients With Proliferative Diabetic Retinopathy</t>
  </si>
  <si>
    <t>NCT04144140</t>
  </si>
  <si>
    <t>Study of Intratumorally Administered Stimulator of Interferon Genes (STING) Agonist E7766 in Participants With Advanced Solid Tumors or Lymphomas - INSTAL-101</t>
  </si>
  <si>
    <t>NCT04864925</t>
  </si>
  <si>
    <t>Measurement of Viral Load Reduction in the Oral Cavity After a Regimental Use of OC Toothpaste Products</t>
  </si>
  <si>
    <t>NCT04359550</t>
  </si>
  <si>
    <t>Study of ZKAB001 for Maintenance Therapy in Patients With High-grade Osteosarcoma After Adjuvant Chemotherapy</t>
  </si>
  <si>
    <t>NCT04594135</t>
  </si>
  <si>
    <t>Anti-CD5 CAR T Cells for Relapsed/Refractory T Cell Malignancies</t>
  </si>
  <si>
    <t>NCT04383418</t>
  </si>
  <si>
    <t>A Trial of Dexmedetomidine Hydrochloride Nasal Spray in Preoperative Sedation of Adults</t>
  </si>
  <si>
    <t>NCT04660890</t>
  </si>
  <si>
    <t>A Study of the Cardiac Effects of ALXN2050 in Healthy Adults</t>
  </si>
  <si>
    <t>NCT04364789</t>
  </si>
  <si>
    <t>Phase I, First-In-Human Study of TT-00920 in Healthy Subjects</t>
  </si>
  <si>
    <t>NCT04266301</t>
  </si>
  <si>
    <t>Study of Efficacy and Safety of MBG453 in Combination With Azacitidine in Subjects With Intermediate, High or Very High Risk Myelodysplastic Syndrome (MDS) as Per IPSS-R, or Chronic Myelomonocytic Leukemia-2 (CMML-2)</t>
  </si>
  <si>
    <t>NCT04476719</t>
  </si>
  <si>
    <t>The Bioequivalence Study of Umifenovir 200 mg Capsul (ATABAY, Turkey) Under Fasting Conditions</t>
  </si>
  <si>
    <t>NCT04442295</t>
  </si>
  <si>
    <t>An Open-Label Study to Investigate the Safety of Single and Multiple Ascending Doses in Children and Adolescents With Dravet Syndrome</t>
  </si>
  <si>
    <t>Stoke Therapeutics, Inc</t>
  </si>
  <si>
    <t>NCT04502069</t>
  </si>
  <si>
    <t>Treatment of COVID-19 With Opaganib in Patients With Pneumonia Requiring Oxygen</t>
  </si>
  <si>
    <t>NCT04648254</t>
  </si>
  <si>
    <t>Oral Axl/Mer/CSF1R Selective Tyrosine Kinase Inhibitor in Patients With Advanced Solid Tumor</t>
  </si>
  <si>
    <t>Qurient Co., Ltd.</t>
  </si>
  <si>
    <t>NCT04515979</t>
  </si>
  <si>
    <t>Vactosertib in Combination with Pembrolizumab for PD-L1 Positive Non-small Cell Lung Cancer (NSCLC) Subjects</t>
  </si>
  <si>
    <t>MedPacto, Inc.</t>
  </si>
  <si>
    <t>NCT04583527</t>
  </si>
  <si>
    <t>Alleviate-HF-1 Study</t>
  </si>
  <si>
    <t>Alleviant Medical, Inc.</t>
  </si>
  <si>
    <t>NCT04640194</t>
  </si>
  <si>
    <t>A Study to Test Whether Different Doses of Alteplase Help People With Severe Breathing Problems Because of COVID-19</t>
  </si>
  <si>
    <t>NCT05867056</t>
  </si>
  <si>
    <t>Study of IMC-I109V in Non-cirrhotic HBeAg-negative Chronic HBV Infection</t>
  </si>
  <si>
    <t>NCT04537429</t>
  </si>
  <si>
    <t>A Study in Children and Young People With Migraine to Learn What the Body Does to Eptinezumab</t>
  </si>
  <si>
    <t>NCT04924062</t>
  </si>
  <si>
    <t>Pembrolizumab (MK-3475) Plus Gemcitabine/Cisplatin Versus Placebo Plus Gemcitabine/Cisplatin for First-Line Advanced and/or Unresectable Biliary Tract Carcinoma (BTC) (MK-3475-966/KEYNOTE-966)-China Extension Study</t>
  </si>
  <si>
    <t>NCT04295642</t>
  </si>
  <si>
    <t>A 2-Part Trial of CVL-751 in Subjects With Parkinson's Disease</t>
  </si>
  <si>
    <t>NCT04586803</t>
  </si>
  <si>
    <t>Study on the Bioavailability of Three Different Prescription Processes of SHR4640 Tablets in Healthy Volunteers</t>
  </si>
  <si>
    <t>NCT05801094</t>
  </si>
  <si>
    <t>A Phase I Study of QL1604 for Advanced Solid Tumors</t>
  </si>
  <si>
    <t>NCT04512872</t>
  </si>
  <si>
    <t>A Phase I Study to Evaluate the Safety and Pharmacokinetics of CT-P41 and EU-approved Prolia in Healthy Male Subjects</t>
  </si>
  <si>
    <t>NCT05668572</t>
  </si>
  <si>
    <t>A Phase III Trial Evaluates the Efficacy, Immunogenicity and Safety Profile of HPV Vaccine</t>
  </si>
  <si>
    <t>NCT04449588</t>
  </si>
  <si>
    <t>Efficacy and Safety Study of BDB-001 in Severe COVID-19 With ALI/ARDS</t>
  </si>
  <si>
    <t>NCT04260373</t>
  </si>
  <si>
    <t>Study to Evaluate the Mass Balance and Biotransformation of [14C]SHR4640 in Chinese Healthy Adult Male Volunteers.</t>
  </si>
  <si>
    <t>NCT04211922</t>
  </si>
  <si>
    <t>Alkotinib Capsule in Patients With ALK-positive Non-small Cell Lung Cancer Previously Treated With Crizotinib</t>
  </si>
  <si>
    <t>NCT04671953</t>
  </si>
  <si>
    <t>Effect of BMS-986165 on the Blood Levels of Metformin</t>
  </si>
  <si>
    <t>NCT04493619</t>
  </si>
  <si>
    <t>PLX2853 as a Single Agent in Advanced Gynecological Malignancies and in Combination With Carboplatin in Platinum-Resistant Epithelial Ovarian Cancer</t>
  </si>
  <si>
    <t>NCT04349098</t>
  </si>
  <si>
    <t>Evaluation of Activity and Safety of Oral Selinexor in Participants With Severe COVID-19 Infection</t>
  </si>
  <si>
    <t>NCT04678921</t>
  </si>
  <si>
    <t>Study of TJ210001 Administered in Subjects With Relapsed or Refractory Advanced Solid Tumors</t>
  </si>
  <si>
    <t>NCT04588727</t>
  </si>
  <si>
    <t>Safety, Tolerability, Pharmacokinetics and Pharmacodynamics Study of AZD3366 in Healthy Subjects, Japanese and Chinese Subjects</t>
  </si>
  <si>
    <t>NCT05141994</t>
  </si>
  <si>
    <t>Clinical Study on the Efficacy and Safety of BAT5906 Injection</t>
  </si>
  <si>
    <t>NCT04573322</t>
  </si>
  <si>
    <t>Safety and Efficacy of Trans Sodium Crocetinate (TSC) in SARS-CoV-2 (COVID-19) Infected Subjects</t>
  </si>
  <si>
    <t>Diffusion Pharmaceuticals Inc</t>
  </si>
  <si>
    <t>NCT04552041</t>
  </si>
  <si>
    <t>Prospekta in the Treatment of Cognitive, Behavioral and Psychiatric Disorders in Patients With Vascular Dementia.</t>
  </si>
  <si>
    <t>Materia Medica Holding</t>
  </si>
  <si>
    <t>NCT04725877</t>
  </si>
  <si>
    <t>VIR-1111: A Prototype Human CMV-based Vaccine for Human Immunodeficiency Virus (HIV) in Healthy Volunteers</t>
  </si>
  <si>
    <t>NCT04438096</t>
  </si>
  <si>
    <t>Safety and Efficacy of CVI-LM001 in Patients With Hypercholesterolemia</t>
  </si>
  <si>
    <t>CVI Pharmaceuticals</t>
  </si>
  <si>
    <t>NCT04460183</t>
  </si>
  <si>
    <t>A Study to Assess Efficacy and Safety of RESP301 Plus Standard of Care (SOC) Compared to SOC Alone in Hospitalized Participants With COVID-19</t>
  </si>
  <si>
    <t>Thirty Respiratory Limited</t>
  </si>
  <si>
    <t>NCT04611802</t>
  </si>
  <si>
    <t>A Study to Evaluate the Efficacy, Immune Response, and Safety of a COVID-19 Vaccine in Adults ≥ 18 Years With a Pediatric Expansion in Adolescents (12 to&lt;18 Years) at Risk for SARS-CoV-2</t>
  </si>
  <si>
    <t>NCT04521075</t>
  </si>
  <si>
    <t>A Phase Ib Trial to Evaluate the Safety and Efficacy of FMT and Nivolumab in Subjects With Metastatic or Inoperable Melanoma, MSI-H, dMMR or NSCLC</t>
  </si>
  <si>
    <t>Ella Therapeutics Ltd</t>
  </si>
  <si>
    <t>NCT04480879</t>
  </si>
  <si>
    <t>Evaluation of AZD8154 Concentrations in Blood</t>
  </si>
  <si>
    <t>NCT04539470</t>
  </si>
  <si>
    <t>Study to Evaluate the Safety and Pharmacokinetics of Efmarodocokin Alfa in Combination With Standard of Care in Participants Undergoing Allogeneic Hematopoietic Stem Cell Transplantation</t>
  </si>
  <si>
    <t>NCT03997786</t>
  </si>
  <si>
    <t>A Study of Tildrakizumab in Pediatric Subjects With Chronic Plaque Psoriasis</t>
  </si>
  <si>
    <t>NCT04406623</t>
  </si>
  <si>
    <t>Phase 1 Study of SL-172154 (SIRPα-Fc-CD40L) in Subjects With Ovarian Cancer</t>
  </si>
  <si>
    <t>NCT04485546</t>
  </si>
  <si>
    <t>Study to Evaluate OXERVATE® in Patients With Stage 1 Neurotrophic Keratitis</t>
  </si>
  <si>
    <t>NCT04543370</t>
  </si>
  <si>
    <t>Study of Edasalonexent With Midazolam and Deflazacort in Healthy Subjects</t>
  </si>
  <si>
    <t>Catabasis Pharmaceuticals</t>
  </si>
  <si>
    <t>NCT04275583</t>
  </si>
  <si>
    <t>A Study to Evaluate the Tolerance and Pharmacokinetics of TQB3602 Capsule</t>
  </si>
  <si>
    <t>NCT04592198</t>
  </si>
  <si>
    <t>Buccal Film Versus IV Injection Palonosetron for Moderately Emetogenic Chemotherapy Induced Nausea and Vomiting</t>
  </si>
  <si>
    <t>Xiamen LP Pharmaceutical Co., Ltd</t>
  </si>
  <si>
    <t>NCT04384107</t>
  </si>
  <si>
    <t>Study to Evaluate the Safety, Tolerability, and Immunogenicity of V114 in Healthy Japanese Infants (V114-033)</t>
  </si>
  <si>
    <t>NCT04386707</t>
  </si>
  <si>
    <t>Lot-consistency Clinical Trial of Sabin Strain Inactivated Polio Vaccine</t>
  </si>
  <si>
    <t>NCT04480307</t>
  </si>
  <si>
    <t>Clinical Trial Assessing Temelimab Following Rituximab Treatment in Patients With Relapsing Forms of Multiple Sclerosis</t>
  </si>
  <si>
    <t>GeNeuro Innovation SAS</t>
  </si>
  <si>
    <t>NCT04163575</t>
  </si>
  <si>
    <t>Immunotherapy With CD22 CAR T-cells for B-Cell Lymphoma, ALL and CLL</t>
  </si>
  <si>
    <t>Kecellitics Biotech Company Ltd</t>
  </si>
  <si>
    <t>NCT04387981</t>
  </si>
  <si>
    <t>Mass Balance Study of [14C]-Orvepitant Oral Solution in Healthy Male Subjects</t>
  </si>
  <si>
    <t>Nerre Therapeutics Ltd.</t>
  </si>
  <si>
    <t>NCT04296799</t>
  </si>
  <si>
    <t>A Phase 1 Study of SMP-100 in Normal Healthy Volunteers</t>
  </si>
  <si>
    <t>Chengdu SciMount Pharmatech Co., Ltd.</t>
  </si>
  <si>
    <t>NCT04068181</t>
  </si>
  <si>
    <t>Talimogene Laherparepvec With Pembrolizumab in Melanoma Following Progression on Prior Anti-PD-1 Based Therapy (MASTERKEY-115) (Mk-3475-A07/KEYNOTE-A07).</t>
  </si>
  <si>
    <t>NCT04567667</t>
  </si>
  <si>
    <t>Study to Assess the Way the Body Absorbs, Distributes, Breaks Down and Eliminates Radioactive BMS-986278 in Healthy Male Participants</t>
  </si>
  <si>
    <t>NCT04280328</t>
  </si>
  <si>
    <t>Study of Ciforadenant in Combination With Daratumumab in Patients With Relapsed or Refractory Multiple Myeloma</t>
  </si>
  <si>
    <t>NCT04547101</t>
  </si>
  <si>
    <t>A Study of AK104 in Subjects With Locally Advanced Unresectable or Metastatic MSI-H/dMMR Solid Tumors</t>
  </si>
  <si>
    <t>NCT03732781</t>
  </si>
  <si>
    <t>Study of Radspherin® in Colorectal Carcinoma Subjects With Peritoneal Carcinomatosis Treated With HIPEC</t>
  </si>
  <si>
    <t>NCT04203719</t>
  </si>
  <si>
    <t>A Study of Anlotinib and AK105 Injection in Subjects With Advanced Head, Neck and Chest Cancer</t>
  </si>
  <si>
    <t>NCT04425629</t>
  </si>
  <si>
    <t>Safety, Tolerability, and Efficacy of Anti-Spike (S) SARS-CoV-2 Monoclonal Antibodies for the Treatment of Ambulatory Adult and Pediatric Patients With COVID-19</t>
  </si>
  <si>
    <t>NCT04536337</t>
  </si>
  <si>
    <t>A Study of ALG-000184 Drug to Evaluate Safety, Tolerability, Pharmacokinetics and Pharmacodynamics After Single and Multiple Doses in Healthy Volunteers and CHB Subjects</t>
  </si>
  <si>
    <t>NCT04455581</t>
  </si>
  <si>
    <t>A Study to Determine the Safety, Tolerability, and Efficacy of SHR-1209 in Patients With Familial Hypercholesterolemia</t>
  </si>
  <si>
    <t>NCT04372407</t>
  </si>
  <si>
    <t>A Study to Assess the Effect of a Strong CYP3A Inhibitor, on Surufatinib in Healthy Subjects</t>
  </si>
  <si>
    <t>NCT04330534</t>
  </si>
  <si>
    <t>First-in-Human Study of BCX9930 in Healthy Volunteers and Patients With PNH</t>
  </si>
  <si>
    <t>NCT04235959</t>
  </si>
  <si>
    <t>A Study of Tirzepatide in Chinese Participants With Type 2 Diabetes Mellitus</t>
  </si>
  <si>
    <t>NCT04070846</t>
  </si>
  <si>
    <t>Mass Balance Study of [14C]LC350189 in Healthy Volunteers</t>
  </si>
  <si>
    <t>NCT04457869</t>
  </si>
  <si>
    <t>A Study of F520 in Relapsed/Refractory Primary Central Nervous System Lymphoma (PCNSL) or Secondary Central Nervous System Lymphoma (SCNSL)</t>
  </si>
  <si>
    <t>NCT04676178</t>
  </si>
  <si>
    <t>A Study of PRA023 in Healthy Volunteers</t>
  </si>
  <si>
    <t>Prometheus Biosciences, Inc., a subsidiary of Merck &amp; Co., Inc. (Rahway, New Jersey USA)</t>
  </si>
  <si>
    <t>NCT04459715</t>
  </si>
  <si>
    <t>A Study of Xevinapant (Debio 1143) in Combination With Platinum-Based Chemotherapy and Standard Fractionation Intensity-Modulated Radiotherapy in Participants With Locally Advanced Squamous Cell Carcinoma of the Head and Neck, Suitable for Definitive Chemoradiotherapy (TrilynX)</t>
  </si>
  <si>
    <t>NCT04516291</t>
  </si>
  <si>
    <t>A Dose-Ranging Study With Vupanorsen (TRANSLATE-TIMI 70)</t>
  </si>
  <si>
    <t>NCT04646590</t>
  </si>
  <si>
    <t>A Phase III Clinical Trial to Determine the Safety and Efficacy of ZF2001 for Prevention of COVID-19</t>
  </si>
  <si>
    <t>NCT04996810</t>
  </si>
  <si>
    <t>The Safety and Efficacy Study of PROTOXIN in Subjects With Moderate to Severe Glabellar Lines</t>
  </si>
  <si>
    <t>Protox Inc.</t>
  </si>
  <si>
    <t>NCT04233918</t>
  </si>
  <si>
    <t>Evaluate the Efficacy and Safety of Evinacumab in Pediatric Patients With Homozygous Familial Hypercholesterolemia</t>
  </si>
  <si>
    <t>NCT04140227</t>
  </si>
  <si>
    <t>Long-Term Safety and Tolerability of NOV03 (Perfluorohexyloctane) in Subjects Who Completed Trial NVU-003 (Kalahari Study)</t>
  </si>
  <si>
    <t>NCT04418427</t>
  </si>
  <si>
    <t>ADVM-022 Intravitreal Gene Therapy for DME</t>
  </si>
  <si>
    <t>Adverum Biotechnologies, Inc.</t>
  </si>
  <si>
    <t>NCT04338269</t>
  </si>
  <si>
    <t>A Study of Atezolizumab in Combination With Cabozantinib Compared to Cabozantinib Alone in Participants With Advanced Renal Cell Carcinoma After Immune Checkpoint Inhibitor Treatment</t>
  </si>
  <si>
    <t>NCT04233060</t>
  </si>
  <si>
    <t>A Study of CS3005 in Advanced Solid Tumors</t>
  </si>
  <si>
    <t>CStone Pharmaceuticals</t>
  </si>
  <si>
    <t>NCT04333420</t>
  </si>
  <si>
    <t>Randomized, Controlled Study of IFX-1 in Patients With Severe COVID-19 Pneumonia</t>
  </si>
  <si>
    <t>InflaRx GmbH</t>
  </si>
  <si>
    <t>NCT04240886</t>
  </si>
  <si>
    <t>Open-label Study of APX001 for Treatment of Patients With Invasive Mold Infections Caused by Aspergillus or Rare Molds</t>
  </si>
  <si>
    <t>NCT04141670</t>
  </si>
  <si>
    <t>S 48168 (ARM 210) for the Treatment of RYR1-related Myopathies (RYR1-RM)</t>
  </si>
  <si>
    <t>RyCarma Therapeutics, Inc.</t>
  </si>
  <si>
    <t>NCT04520360</t>
  </si>
  <si>
    <t>Bioavailability and Food Effect Study of 3 Types of Carisbamate</t>
  </si>
  <si>
    <t>NCT04441788</t>
  </si>
  <si>
    <t>A Study to Assess the Safety, Tolerability, and Efficacy of ION-827359 in Participants With Mild to Moderate Chronic Obstructive Pulmonary Disease (COPD) With Chronic Bronchitis (CB)</t>
  </si>
  <si>
    <t>NCT04486651</t>
  </si>
  <si>
    <t>HX008 Plus Irinotecan Versus Placebo Plus Irinotecan as Second-line Treatment in Advanced Gastric Cancer</t>
  </si>
  <si>
    <t>NCT04540627</t>
  </si>
  <si>
    <t>Exploratory Study to Estimate the Prophylactic Efficacy of Palivizumab in Healthy Adult Participants Inoculated With RSV</t>
  </si>
  <si>
    <t>mAbxience Research S.L.</t>
  </si>
  <si>
    <t>NCT04570631</t>
  </si>
  <si>
    <t>Study to Determine Recommended Phase 2 Dose of Intravenous (IV) Eftozanermin Alfa in Combination With IV or Subcutaneous (SC) Bortezomib and Oral Dexamethasone Tablet and to Assess Change in Disease Symptoms in Adult Participants With Relapsed or Refractory Multiple Myeloma</t>
  </si>
  <si>
    <t>NCT04142970</t>
  </si>
  <si>
    <t>Safety and Pharmacokinetics/Pharmacodynamics of HSK3486 in Patients With Impairment Renal Functions</t>
  </si>
  <si>
    <t>NCT04228666</t>
  </si>
  <si>
    <t>A Clinical Trial to Determine the Safety and Efficacy of Hope Biosciences Autologous Mesenchymal Stem Cell Therapy (HB-adMSCs) for the Treatment of Alzheimer's Disease</t>
  </si>
  <si>
    <t>NCT04644003</t>
  </si>
  <si>
    <t>Safety, Tolerability and Pharmacokinetics Study of STP1 in a Subgroup of Patients With Autism Spectrum Disorder (ASD)</t>
  </si>
  <si>
    <t>Stalicla SA</t>
  </si>
  <si>
    <t>NCT04594551</t>
  </si>
  <si>
    <t>Study of Purified Vero Rabies Vaccine Compared With a Reference Rabies Vaccine as Simulated Rabies Post-Exposure Prophylaxis in Adults in Thaïland</t>
  </si>
  <si>
    <t>NCT04469179</t>
  </si>
  <si>
    <t>Safety, Tolerability, and Pharmacokinetics of SAB-185 in Ambulatory Participants With COVID-19</t>
  </si>
  <si>
    <t>NCT04120246</t>
  </si>
  <si>
    <t>Alpha-TEA and Trastuzumab for the Treatment of Refractory HER2+ Metastatic Breast Cancer</t>
  </si>
  <si>
    <t>Veana Therapeutics</t>
  </si>
  <si>
    <t>NCT05329454</t>
  </si>
  <si>
    <t>To Evaluate the Food Effect and the Absorption Profile of Ibuprofen Modified-Release Tablets 800 mg</t>
  </si>
  <si>
    <t>Overseas Pharmaceuticals, Ltd.</t>
  </si>
  <si>
    <t>NCT04756323</t>
  </si>
  <si>
    <t>A Study to Evaluate Safety and Immunogenicity of Inactivated SARS-CoV-2 Vaccine (Vero Cells) in Healthy Population Aged 18 Years and Above(COVID-19)</t>
  </si>
  <si>
    <t>NCT04199169</t>
  </si>
  <si>
    <t>Safety and Immunogenicity of a Nipah Virus Vaccine</t>
  </si>
  <si>
    <t>Auro Vaccines LLC</t>
  </si>
  <si>
    <t>NCT04670679</t>
  </si>
  <si>
    <t>A Dose Escalation/Expansion Study of ERAS-601 in Patients With Advanced or Metastatic Solid Tumors</t>
  </si>
  <si>
    <t>Erasca, Inc.</t>
  </si>
  <si>
    <t>NCT04499235</t>
  </si>
  <si>
    <t>A Study to Assess the Therapeutic Effect and Safety of Adjunctive AKST4290 in Subjects With Bullous Pemphigoid</t>
  </si>
  <si>
    <t>NCT04003610</t>
  </si>
  <si>
    <t>Pemigatinib + Pembrolizumab vs Pemigatinib Alone vs Standard of Care for Urothelial Carcinoma (FIGHT-205)</t>
  </si>
  <si>
    <t>NCT04476043</t>
  </si>
  <si>
    <t>To Assess the Efficacy and Safety of INCB054707 in Participants With Hidradenitis Suppurativa</t>
  </si>
  <si>
    <t>NCT04235140</t>
  </si>
  <si>
    <t>Long-term Safety of Lumacaftor/Ivacaftor in Participants With Cystic Fibrosis Who Are Homozygous for F508del and 12 to &lt;24 Months of Age at Treatment Initiation</t>
  </si>
  <si>
    <t>NCT04652882</t>
  </si>
  <si>
    <t>Evaluating the Effects of Tasimelteon vs. Placebo in Delayed Sleep-Wake Phase Disorder (DSWPD)</t>
  </si>
  <si>
    <t>NCT04464525</t>
  </si>
  <si>
    <t>Omecamtiv Mecarbil Post-trial Access Study</t>
  </si>
  <si>
    <t>NCT04588480</t>
  </si>
  <si>
    <t>Study to Evaluate the Safety, Tolerability, and Immunogenicity of an RNA Vaccine Candidate Against COVID-19 in Healthy Japanese Adults</t>
  </si>
  <si>
    <t>NCT04540796</t>
  </si>
  <si>
    <t>A Study of JNJ-75348780 in Participants With Non-Hodgkin Lymphoma (NHL) and Chronic Lymphocytic Leukemia (CLL)</t>
  </si>
  <si>
    <t>NCT04509323</t>
  </si>
  <si>
    <t>Clinical Study of Huperzine A in the Treatment of Patients With Hypertensive Cerebral Hemorrhage</t>
  </si>
  <si>
    <t>NCT03915496</t>
  </si>
  <si>
    <t>Study Evaluating the Mechanism of Action of PF-04965842 Monotherapy for Moderate-to-severe Atopic Dermatitis</t>
  </si>
  <si>
    <t>NCT04504760</t>
  </si>
  <si>
    <t>Single and Multiple Ascending Dose Study to Assess the Safety, Tolerability and PK of ONO-2910 in Japanese and Caucasian Subjects</t>
  </si>
  <si>
    <t>NCT04140123</t>
  </si>
  <si>
    <t>Tolerability, Efficacy, and PK of ZSP1601 in Patients With Non-Alcoholic Steatohepatitis (NASH)</t>
  </si>
  <si>
    <t>NCT04664959</t>
  </si>
  <si>
    <t>A Study to Compare SB16 (Proposed Denosumab Biosimilar) to Prolia® in Postmenopausal Women With Osteoporosis</t>
  </si>
  <si>
    <t>NCT04305496</t>
  </si>
  <si>
    <t>Capivasertib+Fulvestrant vs Placebo+Fulvestrant as Treatment for Locally Advanced (Inoperable) or Metastatic HR+/HER2- Breast Cancer</t>
  </si>
  <si>
    <t>NCT05088174</t>
  </si>
  <si>
    <t>A Trial of Hetrombopag in Healthy Subjects</t>
  </si>
  <si>
    <t>NCT04492709</t>
  </si>
  <si>
    <t>A Study to Assess the Effect of Multiple Doses of AZD5718 on Pharmacokinetics of Oral Midazolam in Healthy Subjects</t>
  </si>
  <si>
    <t>NCT04536792</t>
  </si>
  <si>
    <t>A Study to Assess the Safety, Tolerability, Pharmacokinetics, and Pharmacodynamics of AG-946 in Healthy Volunteers and in Participants With Sickle Cell Disease</t>
  </si>
  <si>
    <t>NCT03969992</t>
  </si>
  <si>
    <t>A Dose-Ranging Study to Determine the Efficacy, Safety and Tolerability of AeroFact</t>
  </si>
  <si>
    <t>NCT04408898</t>
  </si>
  <si>
    <t>SPEARHEAD 2 Study in Subjects With Recurrent or Metastatic Head and Neck Cancer</t>
  </si>
  <si>
    <t>NCT04455230</t>
  </si>
  <si>
    <t>A Long Term Follow-Up Study of Fabry Disease Subjects Treated With FLT190</t>
  </si>
  <si>
    <t>Spur Therapeutics</t>
  </si>
  <si>
    <t>NCT04329728</t>
  </si>
  <si>
    <t>The OPAL Study: AVM0703 for Treatment of Lymphoid Malignancies</t>
  </si>
  <si>
    <t>AVM Biotechnology Inc</t>
  </si>
  <si>
    <t>NCT04370236</t>
  </si>
  <si>
    <t>INB03 for the Treatment of Pulmonary Complications From COVID-19</t>
  </si>
  <si>
    <t>NCT04412057</t>
  </si>
  <si>
    <t>Clinical Trial to Evaluate CERC-002 in Adults With COVID-19 Pneumonia and Acute Lung Injury</t>
  </si>
  <si>
    <t>Aevi Genomic Medicine, LLC, a Cerecor company</t>
  </si>
  <si>
    <t>NCT04411199</t>
  </si>
  <si>
    <t>D-PLEX 312 - Safety and Efficacy of D-PLEX in the Prevention of Post Abdominal Surgery Incisional Infection (SHIELD II)</t>
  </si>
  <si>
    <t>NCT04269356</t>
  </si>
  <si>
    <t>Study to Assess the Way the Body Absorbs, Distributes, Breaks Down and Eliminates Radioactive BMS-986256 in Healthy Male Participants</t>
  </si>
  <si>
    <t>NCT04399837</t>
  </si>
  <si>
    <t>A Study to Test Whether BI 655130 (Spesolimab) Prevents Flare-ups in Patients With Generalized Pustular Psoriasis</t>
  </si>
  <si>
    <t>NCT04628936</t>
  </si>
  <si>
    <t>Open-label Extension to the Phase 2 Crossover Study (PRESIDIO) Evaluating KZR-616 in Patients With PM and DM.</t>
  </si>
  <si>
    <t>NCT04326881</t>
  </si>
  <si>
    <t>A Study to Compare Pharmacokinetic and Safety Profiles of Different Formulations of SHR-1314 After Subcutaneous Injection in Healthy Subjects</t>
  </si>
  <si>
    <t>NCT04631107</t>
  </si>
  <si>
    <t>AD109 Dose Finding in Mild to Moderate OSA</t>
  </si>
  <si>
    <t>NCT04264819</t>
  </si>
  <si>
    <t>Study of Brolucizumab in Adult Patients With Suboptimal Anatomically Controlled Neovascular Age-related Macular Degeneration</t>
  </si>
  <si>
    <t>NCT04762407</t>
  </si>
  <si>
    <t>A Study to Evaluate the Pharmacokinetics, Safety and Tolerability of HCP1903</t>
  </si>
  <si>
    <t>NCT04318145</t>
  </si>
  <si>
    <t>Study to Evaluate Sex Differences in the Acute Effects of PL-3994 in Heart Failure Subjects</t>
  </si>
  <si>
    <t>Palatin Technologies, Inc</t>
  </si>
  <si>
    <t>NCT04357795</t>
  </si>
  <si>
    <t>Effect of Cequa™ in Subjects With Dry Eye Disease</t>
  </si>
  <si>
    <t>NCT04111965</t>
  </si>
  <si>
    <t>Clinical Trial to Compare the Safety and Efficacy of Nanodrop®</t>
  </si>
  <si>
    <t>NCT04241068</t>
  </si>
  <si>
    <t>A Study to Evaluate Safety and Tolerability of Aducanumab in Participants With Alzheimer's Disease Who Had Previously Participated in the Aducanumab Studies 221AD103, 221AD301, 221AD302 and 221AD205</t>
  </si>
  <si>
    <t>NCT03943446</t>
  </si>
  <si>
    <t>A Study of TAK-018 in Preventing the Recurrence of Crohn's Disease After Surgery</t>
  </si>
  <si>
    <t>NCT04193176</t>
  </si>
  <si>
    <t>Efficacy and Safety of Gefapixant (MK-7264) in Women With Chronic Cough and Stress Urinary Incontinence (MK-7264-042)</t>
  </si>
  <si>
    <t>NCT07551713</t>
  </si>
  <si>
    <t>Bioequivalence Study of Lidocaine and Prilocaine Cream in Healthy Chinese Subjects</t>
  </si>
  <si>
    <t>NCT04448223</t>
  </si>
  <si>
    <t>A Clinical Study to Evaluate the Efficacy and Safety of CKD-351</t>
  </si>
  <si>
    <t>NCT04717310</t>
  </si>
  <si>
    <t>Evaluate the Efficacy and Safety of Topical SHR0302 Ointment in Patients With Mild-to-Moderate Atopic Dermatitis</t>
  </si>
  <si>
    <t>NCT04401020</t>
  </si>
  <si>
    <t>First-in-human Single Agent Study of SAR442257 in RRMM and RR-NHL</t>
  </si>
  <si>
    <t>NCT04973735</t>
  </si>
  <si>
    <t>A Phase I Study of LY-CovMab Injection in Chinese Healthy Subjects</t>
  </si>
  <si>
    <t>NCT04445090</t>
  </si>
  <si>
    <t>A Study in Healthy Men to Test How Well Different Doses of BI 1569912 Are Tolerated and How Food Influences the Amount of BI 1569912 in the Blood</t>
  </si>
  <si>
    <t>NCT04653779</t>
  </si>
  <si>
    <t>A Clinical Trial to Evaluate the Preference Regarding Convenience of Medication and Efficacy/Safety of SUGAMET®XR Tablet 5/1000mg</t>
  </si>
  <si>
    <t>NCT04552808</t>
  </si>
  <si>
    <t>To Evaluate the Pharmacokinetics and Safety of Yimitasvir Phosphate Capsules in Subjects With Moderate and Severe Liver Function Impairment and in Healthy Subjects</t>
  </si>
  <si>
    <t>NCT04516382</t>
  </si>
  <si>
    <t>Pharmacokinetics and Pharmacodynamics of Different PTG-300 Regimens in Healthy Volunteers</t>
  </si>
  <si>
    <t>NCT04605159</t>
  </si>
  <si>
    <t>A Phase III, Double-blind Study to Assess Safety and Efficacy of an RSV Maternal Unadjuvanted Vaccine, in Pregnant Women and Infants Born to Vaccinated Mothers</t>
  </si>
  <si>
    <t>NCT04526210</t>
  </si>
  <si>
    <t>Study of ALXN1840 on the Metabolism of a CYP2B6 Substrate in Healthy Participants</t>
  </si>
  <si>
    <t>NCT03867682</t>
  </si>
  <si>
    <t>Venetoclax and Lintuzumab-Ac225 in AML Patients</t>
  </si>
  <si>
    <t>Actinium Pharmaceuticals</t>
  </si>
  <si>
    <t>NCT04325035</t>
  </si>
  <si>
    <t>The Safety and Efficacy of Istaroxime for Pre-Cardiogenic Shock</t>
  </si>
  <si>
    <t>NCT04529850</t>
  </si>
  <si>
    <t>Ph 2 Open Label Study of GC4419 to Reduce SOM Associated With Chemoradiotherapy for Head and Neck Cancer</t>
  </si>
  <si>
    <t>NCT05063318</t>
  </si>
  <si>
    <t>Clinical Trial of Lurbinectedin (PM01183) in Patients With Advanced Solid Tumors</t>
  </si>
  <si>
    <t>NCT04254913</t>
  </si>
  <si>
    <t>Clinical Pharmacology Study of Oral Edaravone in Amyotrophic Lateral Sclerosis Patients With Gastrostomy</t>
  </si>
  <si>
    <t>Tanabe Pharma Corporation</t>
  </si>
  <si>
    <t>NCT04200235</t>
  </si>
  <si>
    <t>A Trial of Dexmedetomidine Hydrochloride Nasal Spray in Preoperative Sedation of Children</t>
  </si>
  <si>
    <t>NCT04336982</t>
  </si>
  <si>
    <t>A Safety and Efficacy Study of CC-90009 Combinations in Subjects With Acute Myeloid Leukemia</t>
  </si>
  <si>
    <t>NCT04427774</t>
  </si>
  <si>
    <t>A Study of Surufatinib Plus Sintilimab in Patients With Advanced Solid Tumor</t>
  </si>
  <si>
    <t>NCT04407182</t>
  </si>
  <si>
    <t>Safety and Efficacy of Viusid and Asbrip in Hospitalized Patients Infected by SARS-Cov-2 With COVID-19</t>
  </si>
  <si>
    <t>NCT04472676</t>
  </si>
  <si>
    <t>A Study of LY3473329 in Healthy Participants</t>
  </si>
  <si>
    <t>NCT04515576</t>
  </si>
  <si>
    <t>A Study of LY3493269 in Participants With Type 2 Diabetes</t>
  </si>
  <si>
    <t>NCT04473690</t>
  </si>
  <si>
    <t>KBP-201 COVID-19 Vaccine Trial in Healthy Volunteers</t>
  </si>
  <si>
    <t>NCT04544813</t>
  </si>
  <si>
    <t>A Study of JNJ-77474462 in Healthy Participants</t>
  </si>
  <si>
    <t>NCT04622592</t>
  </si>
  <si>
    <t>Adjuvanted Seasonal Recombinant Quadrivalent Virus-Like Particles (QVLP) Influenza Vaccine in Adults 65 Years of Age and Older</t>
  </si>
  <si>
    <t>NCT04343287</t>
  </si>
  <si>
    <t>Safety and Efficacy of BRM421 for Dry Eye Syndrome Treatment</t>
  </si>
  <si>
    <t>BRIM Biotechnology Inc.</t>
  </si>
  <si>
    <t>NCT04600284</t>
  </si>
  <si>
    <t>Evaluating the Pharmacokinetic Interaction Between AD-2101 and AD-2102</t>
  </si>
  <si>
    <t>NCT04627584</t>
  </si>
  <si>
    <t>A Phase 2 Clinical Trial of MW33 Injection in Patients With COVID-19</t>
  </si>
  <si>
    <t>NCT04576949</t>
  </si>
  <si>
    <t>A Study of Cytisinicline for Smoking Cessation in Adult Smokers</t>
  </si>
  <si>
    <t>Achieve Life Sciences</t>
  </si>
  <si>
    <t>NCT04513548</t>
  </si>
  <si>
    <t>Study of Mechanism of Action of Ligelizumab (QGE031) in Patients With Chronic Urticaria</t>
  </si>
  <si>
    <t>NCT04593771</t>
  </si>
  <si>
    <t>Phase I Clinical Protocol of BCG-PPD in Healthy People</t>
  </si>
  <si>
    <t>NCT04486716</t>
  </si>
  <si>
    <t>A Single Arm Study Evaluating the Efficacy, Safety and Tolerability of Ofatumumab in Patients With Relapsing Multiple Sclerosis</t>
  </si>
  <si>
    <t>NCT04258033</t>
  </si>
  <si>
    <t>A Study of PLB1001 in Non-small Cell Lung Cancer With c-Met Dysregulation(KUNPENG)</t>
  </si>
  <si>
    <t>Beijing Pearl Biotechnology Limited Liability Company</t>
  </si>
  <si>
    <t>NCT04627038</t>
  </si>
  <si>
    <t>Chronic Pain Master Protocol (CPMP): A Study of LY3556050 in Participants With Osteoarthritis</t>
  </si>
  <si>
    <t>NCT04376684</t>
  </si>
  <si>
    <t>Investigating Otilimab in Patients With Severe Pulmonary COVID-19 Related Disease</t>
  </si>
  <si>
    <t>NCT04600947</t>
  </si>
  <si>
    <t>Study of LP002 for the Treatment of Patients With Relapsed or Refractory Primary Mediastinal Large B-cell Lymphoma</t>
  </si>
  <si>
    <t>NCT04187404</t>
  </si>
  <si>
    <t>A Novel Therapeutic Vaccine (EO2401) in Metastatic Adrenocortical Carcinoma, or Malignant Pheochromocytoma/Paraganglioma</t>
  </si>
  <si>
    <t>NCT04492033</t>
  </si>
  <si>
    <t>A Study of CTX-009 (ABL001) in Combination With Irinotecan or Paclitaxel in Advanced or Metastatic Solid Tumor Patients</t>
  </si>
  <si>
    <t>NCT04577352</t>
  </si>
  <si>
    <t>A Study to Assess the Efficacy and Safety of Vatiquinone for the Treatment of Participants With Friedreich Ataxia</t>
  </si>
  <si>
    <t>NCT04372433</t>
  </si>
  <si>
    <t>IO-202 as Monotherapy and IO-202 Plus Azacitidine ± Venetoclax in Patients in AML and CMML</t>
  </si>
  <si>
    <t>Immune-Onc Therapeutics</t>
  </si>
  <si>
    <t>NCT04326426</t>
  </si>
  <si>
    <t>ODYSSEY: A Study to Investigate the Efficacy of Tradipitant in Treating Severe or Critical COVID-19 Infection</t>
  </si>
  <si>
    <t>NCT04545944</t>
  </si>
  <si>
    <t>Evaluation of Effect of Vonoprazan on Midazolam Pharmacokinetics in Healthy Participants</t>
  </si>
  <si>
    <t>NCT04437433</t>
  </si>
  <si>
    <t>A Study Evaluating Oral Atogepant for the Prevention of Migraine in Japanese Participants With Chronic or Episodic Migraine</t>
  </si>
  <si>
    <t>NCT04522167</t>
  </si>
  <si>
    <t>Efficacy and Safety of the Aflibercept FYB203 Biosimilar in Comparison to Eylea® in Patients With Neovascular Age-Related Macular Degeneration</t>
  </si>
  <si>
    <t>NCT04060199</t>
  </si>
  <si>
    <t>Study to Assess the Efficacy and Safety of Viltolarsen in Ambulant Boys With DMD (RACER53)</t>
  </si>
  <si>
    <t>NS Pharma, Inc.</t>
  </si>
  <si>
    <t>NCT04384393</t>
  </si>
  <si>
    <t>Safety and Efficacy of ThisCART19 in Patients With Refractory or Relapsed B Cell Malignancies</t>
  </si>
  <si>
    <t>NCT04147234</t>
  </si>
  <si>
    <t>A Study to Find the Best Dose of BI 1387446 Alone or in Combination With Ezabenlimab (BI 754091) in Patients With Different Types of Advanced or Metastatic Cancer (Solid Tumors)</t>
  </si>
  <si>
    <t>NCT04551599</t>
  </si>
  <si>
    <t>A Study of the Effects of Food and Age on Danicopan</t>
  </si>
  <si>
    <t>NCT04737304</t>
  </si>
  <si>
    <t>A First-in-Human PoC Study With BEN2293 in Patients With Mild to Moderate Atopic Dermatitis</t>
  </si>
  <si>
    <t>BenevolentAI Bio</t>
  </si>
  <si>
    <t>NCT05121714</t>
  </si>
  <si>
    <t>Evaluation of the Potential CYP1A2-mediated Drug Drug Interaction Safety, and Tolerability of ABX464</t>
  </si>
  <si>
    <t>NCT04486963</t>
  </si>
  <si>
    <t>A Phase Ⅱ Clinical Study of Sanhuangjingshimingwan in Wet( Neovascular)Age-related Macular Degeneration(wAMD) Subjects</t>
  </si>
  <si>
    <t>NCT04456998</t>
  </si>
  <si>
    <t>GB002 in Adult Subjects With Pulmonary Arterial Hypertension (PAH)</t>
  </si>
  <si>
    <t>NCT04318093</t>
  </si>
  <si>
    <t>Study of the Safety of BMS-986259 in Participants With Post-Acute Decompensated Heart Failure</t>
  </si>
  <si>
    <t>NCT04641312</t>
  </si>
  <si>
    <t>A Study of LY3457263 in Healthy Participants and Participants With Type 2 Diabetes</t>
  </si>
  <si>
    <t>NCT04481607</t>
  </si>
  <si>
    <t>A Study to Evaluate the Tolerance, Efficacy and Pharmacokinetics of TQB3454 Tablets</t>
  </si>
  <si>
    <t>NCT04801199</t>
  </si>
  <si>
    <t>Effect of CPL-2009-0031 in the Treatment of Patients With Uncontrolled Type 2 Diabetes Mellitus</t>
  </si>
  <si>
    <t>NCT04274075</t>
  </si>
  <si>
    <t>Evaluation of the Relative Bioavailability and Food Effect of GDC-9545 in Healthy Females of Non-Childbearing Potential</t>
  </si>
  <si>
    <t>NCT04409132</t>
  </si>
  <si>
    <t>Study to Investigate the Pharmacokinetic Comparability of Dosing Triferic AVNU IV by Continuous Infusion and IV Bolus.</t>
  </si>
  <si>
    <t>NCT04231292</t>
  </si>
  <si>
    <t>A Phase 2 Clinical Study of Pegerythropoietin Injection (RD01) for the Treatment of Anemia in Chronic Renal Failure Patients With Hemodialysis</t>
  </si>
  <si>
    <t>Shengzhen Sciprogen Bio-pharmaceutical Co. Ltd</t>
  </si>
  <si>
    <t>NCT05051332</t>
  </si>
  <si>
    <t>Phase 3 Clinical Trial of CartiLife® in Korea</t>
  </si>
  <si>
    <t>NCT04651036</t>
  </si>
  <si>
    <t>A Phase 1 Study to Assess the Immunogenicity of QL0605 Compared to US Neulasta in Healthy Subjects</t>
  </si>
  <si>
    <t>NCT04475107</t>
  </si>
  <si>
    <t>The Efficacy and Safety of Pyramax in Mild to Moderate COVID-19 Patients</t>
  </si>
  <si>
    <t>NCT04494386</t>
  </si>
  <si>
    <t>Umbilical Cord Lining Stem Cells (ULSC) in Patients With COVID-19 ARDS</t>
  </si>
  <si>
    <t>Restem, LLC.</t>
  </si>
  <si>
    <t>NCT04266756</t>
  </si>
  <si>
    <t>A Study of Selexipag in Healthy Male Participant</t>
  </si>
  <si>
    <t>NCT04580303</t>
  </si>
  <si>
    <t>CCH Treatment of Cellulite in the Presence of Dermal Laxity With Comparison Between Two (2) Different Injection Techniques</t>
  </si>
  <si>
    <t>NCT04480827</t>
  </si>
  <si>
    <t>Open-Label Study to Evaluate the Safety, Tolerability, and PK of Aramchol in Subjects With Hepatic Impairment</t>
  </si>
  <si>
    <t>Galmed Research and Development, Ltd.</t>
  </si>
  <si>
    <t>NCT04100772</t>
  </si>
  <si>
    <t>Phase I Clinical Trial of a Candidate PCV13 in Healthy People Aged 6 Weeks and Above</t>
  </si>
  <si>
    <t>NCT04686383</t>
  </si>
  <si>
    <t>Safety, Tolerability, and Pharmacokinetics of CAL056 Mesylate in Patients With Resistant or Refractory Solid Tumors</t>
  </si>
  <si>
    <t>Calgent Biotechnology Co., Ltd</t>
  </si>
  <si>
    <t>NCT04528641</t>
  </si>
  <si>
    <t>Phase I Study to Assess the Safety and Immunology of a COVID-19 Vaccine With GRAd-COV2 Vaccine</t>
  </si>
  <si>
    <t>ReiThera Srl</t>
  </si>
  <si>
    <t>NCT04699175</t>
  </si>
  <si>
    <t>A Trial of HR021618 in Postsurgical Pain Management</t>
  </si>
  <si>
    <t>NCT04207983</t>
  </si>
  <si>
    <t>A 48 Week Study to Evaluate the Efficacy and Safety of Two (2) EYS606 Treatment Regimens in Subjects With Active Chronic Non-infectious Uveitis (CNIU)</t>
  </si>
  <si>
    <t>Eyevensys</t>
  </si>
  <si>
    <t>NCT04598451</t>
  </si>
  <si>
    <t>A Study to Assess the Efficacy and Safety of a Subcutaneous Formulation of Efgartigimod PH20 SC in Adults With Pemphigus (Vulgaris or Foliaceus)</t>
  </si>
  <si>
    <t>NCT04426201</t>
  </si>
  <si>
    <t>InterLeukin-7 to Improve Clinical Outcomes in Lymphopenic Patients With COVID-19 Infection ( ILIAD-7-US-O )</t>
  </si>
  <si>
    <t>NCT04454567</t>
  </si>
  <si>
    <t>A Study Evaluating Treatment Intensification With ABI-H0731 in Participants With Chronic Hepatitis B Infection on Nucleos(t)Ide Reverse Transcriptase Inhibitors</t>
  </si>
  <si>
    <t>NCT04457830</t>
  </si>
  <si>
    <t>The Efficacy and Safety of F520 in Patients With Relapsed/Refractory Peripheral T Cell Lymphoma (PTCL).</t>
  </si>
  <si>
    <t>NCT04763265</t>
  </si>
  <si>
    <t>Study to Compare 2 Botulinum Type A Toxins in the Treatment of Glabellar Frown Lines</t>
  </si>
  <si>
    <t>Croma-Pharma GmbH</t>
  </si>
  <si>
    <t>NCT04404283</t>
  </si>
  <si>
    <t>Brentuximab Vedotin Plus Lenalidomide and Rituximab for the Treatment of Relapsed/Refractory DLBCL</t>
  </si>
  <si>
    <t>NCT04352595</t>
  </si>
  <si>
    <t>A Phase Ⅱ Study of Hemay808 for Atopic Dermatitis Patients</t>
  </si>
  <si>
    <t>NCT04370431</t>
  </si>
  <si>
    <t>A Study of TTYP01 in Healthy Adult Subjects</t>
  </si>
  <si>
    <t>Shanghai Auzone Biological Technology Co., Ltd.</t>
  </si>
  <si>
    <t>NCT04252339</t>
  </si>
  <si>
    <t>RLY-1971 in Subjects With Advanced or Metastatic Solid Tumors</t>
  </si>
  <si>
    <t>NCT04316065</t>
  </si>
  <si>
    <t>Bioequivalence Study Between YHP1906 Tab. 5 mg and YHR1902 Tab. 5 mg</t>
  </si>
  <si>
    <t>NCT04333771</t>
  </si>
  <si>
    <t>A Study to Evaluate the Efficacy and Safety of SHR0302 in Patients With Rheumatoid Arthritis</t>
  </si>
  <si>
    <t>NCT04262856</t>
  </si>
  <si>
    <t>Study to Evaluate Monotherapy and Combination Immunotherapies in Participants With PD-L1 Positive Non-small Cell Lung Cancer</t>
  </si>
  <si>
    <t>NCT04388475</t>
  </si>
  <si>
    <t>Open-label Study Investigating of OKN-007 Combined With Temozolomide in Patients With Recurrent Glioblastoma</t>
  </si>
  <si>
    <t>Oblato, Inc.</t>
  </si>
  <si>
    <t>NCT04565236</t>
  </si>
  <si>
    <t>A Post Approval Commitment Study to Gain More Information on How Safe and Effective KOVALTRY is in Chinese Children, Adolescents /Adults With Severe Hemophilia A</t>
  </si>
  <si>
    <t>NCT04569357</t>
  </si>
  <si>
    <t>Clinical Trial of Efficacy and Safety of Prospekta in the Treatment of Attention Deficit/Hyperactivity Disorder in Children</t>
  </si>
  <si>
    <t>NCT03938792</t>
  </si>
  <si>
    <t>Study of the Efficacy and Safety PF-06741086 in Adult and Teenage Participants With Severe Hemophilia A or Moderately Severe to Severe Hemophilia B</t>
  </si>
  <si>
    <t>NCT04640311</t>
  </si>
  <si>
    <t>Comparison of Daprodustat Formulations Produced by Two Methods of Manufacture for Bioequivalence and Dissolution in Healthy Participants</t>
  </si>
  <si>
    <t>NCT03240809</t>
  </si>
  <si>
    <t>An Open-label, Single-dose Study to Evaluate Safety, Tolerability, and Pharmacokinetics of Brodalumab in Pediatric Subjects</t>
  </si>
  <si>
    <t>NCT04657666</t>
  </si>
  <si>
    <t>Trial to Evaluate the Effect of Nabiximols Oromucosal Spray on Clinical Measures of Spasticity in Participants With Multiple Sclerosis</t>
  </si>
  <si>
    <t>NCT04443192</t>
  </si>
  <si>
    <t>A Single Ascending and Repeated Dose Study of Oral ZF874 in Healthy Volunteers and PiXZ Subjects</t>
  </si>
  <si>
    <t>Z Factor Limited</t>
  </si>
  <si>
    <t>NCT04691375</t>
  </si>
  <si>
    <t>A Study of PY314 in Subjects With Advanced Solid Tumors</t>
  </si>
  <si>
    <t>NCT03934567</t>
  </si>
  <si>
    <t>A Multi-Center Phase 2 Study to Evaluate Efficacy and Safety of Oral Abexinostat as Monotherapy in Patients With Relapsed or Refractory Follicular Lymphoma</t>
  </si>
  <si>
    <t>NCT04106492</t>
  </si>
  <si>
    <t>Phase 1/2a Study of SQ3370 in Patients With Advanced Solid Tumors</t>
  </si>
  <si>
    <t>Shasqi, Inc.</t>
  </si>
  <si>
    <t>NCT05036512</t>
  </si>
  <si>
    <t>A Study to Evaluate GBT021601 in Single and Multiple Doses in Healthy Participants</t>
  </si>
  <si>
    <t>NCT04556734</t>
  </si>
  <si>
    <t>Safety and Efficacy of Oral Etrasimod in Adult Participants With Moderate-to-Severe Alopecia Areata</t>
  </si>
  <si>
    <t>NCT04223895</t>
  </si>
  <si>
    <t>A Clinical Trial to Investigate the Pharmacokinetics and Safety/Tolerability of CKD-386 in Healthy Adult Volunteers</t>
  </si>
  <si>
    <t>NCT04495101</t>
  </si>
  <si>
    <t>Study to Evaluate the Safety and Efficacy of Prolastin in Hospitalized Subjects With COVID-19</t>
  </si>
  <si>
    <t>NCT04479436</t>
  </si>
  <si>
    <t>A Study to Evaluate U3-1402 in Subjects With Advanced or Metastatic Colorectal Cancer</t>
  </si>
  <si>
    <t>NCT04528836</t>
  </si>
  <si>
    <t>First-in-Human Study of the SHP2 Inhibitor BBP-398 in Patients With Advanced Solid Tumors</t>
  </si>
  <si>
    <t>Navire Pharma Inc., a BridgeBio company</t>
  </si>
  <si>
    <t>NCT04634500</t>
  </si>
  <si>
    <t>The Efficacy and Safety of DWP16001 in Combination With Metformin in Patients With Type 2 Diabetes.</t>
  </si>
  <si>
    <t>NCT04052698</t>
  </si>
  <si>
    <t>Clinical Study to Investigate the Efficacy and Safety of Wilate During Prophylaxis in Previously Treated Patients With VWD</t>
  </si>
  <si>
    <t>NCT04370587</t>
  </si>
  <si>
    <t>A Clinical Study of Intratumoral MVR-T3011 (T3011) Given as a Single Agent and in Combination With Intravenous Pembrolizumab in Participants With Advanced or Metastatic Solid Tumors</t>
  </si>
  <si>
    <t>NCT04785625</t>
  </si>
  <si>
    <t>Efficacy and Safety Study of Postsurgical Analgesia With INL-001 in Abdominoplasty</t>
  </si>
  <si>
    <t>Innocoll</t>
  </si>
  <si>
    <t>NCT04839510</t>
  </si>
  <si>
    <t>A Study of MRG002 in the Treatment of HER2-positive Unresectable Locally Advanced or Metastatic Urothelium Cancer</t>
  </si>
  <si>
    <t>NCT04727554</t>
  </si>
  <si>
    <t>Study of AMG 994 Monotherapy and AMG 994 and AMG 404 Combination Therapy in Participants With Advanced Solid Tumors</t>
  </si>
  <si>
    <t>NCT04821089</t>
  </si>
  <si>
    <t>A Study to Assess the Safety and Efficacy of IPN10200 in Adult Participants With Moderate to Severe Upper Facial Lines</t>
  </si>
  <si>
    <t>NCT04856150</t>
  </si>
  <si>
    <t>A Study of Q-1802 in Patients With Advanced Solid Tumors</t>
  </si>
  <si>
    <t>QureBio Ltd.</t>
  </si>
  <si>
    <t>NCT04547140</t>
  </si>
  <si>
    <t>Study to Evaluate the Safety and Efficacy of Liquid Alpha1-Proteinase Inhibitor (Human) in Hospitalized Participants With Coronavirus Disease (COVID-19)</t>
  </si>
  <si>
    <t>NCT04897750</t>
  </si>
  <si>
    <t>Pharmacokinetic Study of Intranasal CT001 in Children 1-17 Years of Age Undergoing Elective Surgical Procedures</t>
  </si>
  <si>
    <t>Cessatech A/S</t>
  </si>
  <si>
    <t>NCT04920903</t>
  </si>
  <si>
    <t>A Single and Multiple Ascending Dose Study of COR588</t>
  </si>
  <si>
    <t>Cortexyme Inc.</t>
  </si>
  <si>
    <t>NCT04941183</t>
  </si>
  <si>
    <t>Phase 1 Study to Assess Safety, Tolerability, PD, PK, Immunogenicity of IV NTR-441 Solution in Healthy Volunteers and COVID-19 Patients</t>
  </si>
  <si>
    <t>Neutrolis</t>
  </si>
  <si>
    <t>NCT04657991</t>
  </si>
  <si>
    <t>A Clinical Trial of Three Study Medicines (Encorafenib, Binimetinib, and Pembrolizumab) in Patients With Advanced or Metastatic Melanoma</t>
  </si>
  <si>
    <t>NCT05005520</t>
  </si>
  <si>
    <t>Study of DTRI-031 in Healthy Volunteers</t>
  </si>
  <si>
    <t>Basking Biosciences, Inc.</t>
  </si>
  <si>
    <t>NCT05159882</t>
  </si>
  <si>
    <t>Safety and Efficacy of THR-1442 Compared to Dapagliflozin as Add-on Therapy to Metformin in T2DM</t>
  </si>
  <si>
    <t>NCT04800562</t>
  </si>
  <si>
    <t>A Clinical Trial to Evaluate PCS499 in Treating Ulcerations in Patients Who Have Necrobiosis Lipoidica</t>
  </si>
  <si>
    <t>Processa Pharmaceuticals</t>
  </si>
  <si>
    <t>NCT04914117</t>
  </si>
  <si>
    <t>A Study of RC118 in Patients With Locally Advanced Unresectable/Metastatic Solid Tumours</t>
  </si>
  <si>
    <t>NCT04913090</t>
  </si>
  <si>
    <t>A Phase I Clinical Trial of XZP-5610 Tablets in Healthy Subjects</t>
  </si>
  <si>
    <t>Xuanzhu Biopharmaceutical Co., Ltd.</t>
  </si>
  <si>
    <t>NCT05109442</t>
  </si>
  <si>
    <t>Study to Assess AFM24 in Combination With Atezolizumab in Selected Advanced/Metastatic EGFR-expressing Cancers</t>
  </si>
  <si>
    <t>NCT05068440</t>
  </si>
  <si>
    <t>Treatment of CD79B Mutant Relapsed/Refractory Diffuse Large B-Cell Lymphoma With Bruton Tyrosine Kinase Inhibitor Zanubrutinib</t>
  </si>
  <si>
    <t>NCT05040789</t>
  </si>
  <si>
    <t>Phase 3 Study to Evaluate the Lot Consistency of a Recombinant Coronavirus-Like Particle COVID-19 Vaccine</t>
  </si>
  <si>
    <t>NCT04795479</t>
  </si>
  <si>
    <t>T/QT Study to Investigate the Effect of Relacorilant on Cardiac Repolarization in Healthy Volunteers</t>
  </si>
  <si>
    <t>NCT05003466</t>
  </si>
  <si>
    <t>Study of Inactivated SARS-CoV-2 Vaccine (Vero Cells) in Healthy Population Aged 3 to 17 Years(COVID-19)</t>
  </si>
  <si>
    <t>Shenzhen Kangtai Biological Products Co., LTD</t>
  </si>
  <si>
    <t>NCT04900766</t>
  </si>
  <si>
    <t>A Study of Mitoxantrone Hydrochloride Liposome Injection in Subjects With Advanced Bone and Soft Tissue Sarcoma</t>
  </si>
  <si>
    <t>NCT04569695</t>
  </si>
  <si>
    <t>A Study of JNJ-70033093 (BMS-986177) in Healthy Chinese Adult Participants</t>
  </si>
  <si>
    <t>NCT04822701</t>
  </si>
  <si>
    <t>A Study to Test BI 767551 in People With Mild to Moderate Symptoms of COVID-19</t>
  </si>
  <si>
    <t>NCT03850795</t>
  </si>
  <si>
    <t>HC-1119 Versus Enzalutamide in Metastatic Castration-Resistant Prostate Cancer (mCRPC)</t>
  </si>
  <si>
    <t>Hinova Pharmaceuticals USA, Inc.</t>
  </si>
  <si>
    <t>NCT05011396</t>
  </si>
  <si>
    <t>PH94B Nasal Spray for Anxiety Induced by a Public Speaking Challenge - 2</t>
  </si>
  <si>
    <t>VistaGen Therapeutics, Inc.</t>
  </si>
  <si>
    <t>NCT05038488</t>
  </si>
  <si>
    <t>Phase 2a MIB-626 vs. Placebo COVID-19</t>
  </si>
  <si>
    <t>Metro International Biotech, LLC</t>
  </si>
  <si>
    <t>NCT04650542</t>
  </si>
  <si>
    <t>Drug-Drug Interaction Study of HBI-3000 and Paroxetine in Healthy Adult Male and Female Subjects</t>
  </si>
  <si>
    <t>HUYABIO International, LLC.</t>
  </si>
  <si>
    <t>NCT04930042</t>
  </si>
  <si>
    <t>Efficacy, Safety, and Immunogenicity of AVT04 With Moderate-to-Severe Chronic Plaque Psoriasis</t>
  </si>
  <si>
    <t>NCT05106153</t>
  </si>
  <si>
    <t>A Study to Determine the Abuse Potential of Seltorexant Compared to Suvorexant and Zolpidem</t>
  </si>
  <si>
    <t>NCT04916002</t>
  </si>
  <si>
    <t>A Trial To Find Out If Vidutolimod Together With Cemiplimab Is Safe And If It Works In Adult Participants With Advanced Cancer Or Metastatic Cancer</t>
  </si>
  <si>
    <t>NCT04609566</t>
  </si>
  <si>
    <t>Brentuximab Vedotin With Pembrolizumab in Metastatic Solid Tumors</t>
  </si>
  <si>
    <t>NCT04643002</t>
  </si>
  <si>
    <t>Isatuximab in Combination With Novel Agents in RRMM - Master Protocol</t>
  </si>
  <si>
    <t>NCT05449405</t>
  </si>
  <si>
    <t>Chlorpheniramine Nasal Spray to Accelerate COVID-19 Clinical Recovery in an Outpatient Setting: ACCROS-I</t>
  </si>
  <si>
    <t>Dr. Ferrer BioPharma</t>
  </si>
  <si>
    <t>NCT04897594</t>
  </si>
  <si>
    <t>AVIATION Study: A Safety, Pharmacokinetics, Pharmacodynamics and Preliminary Efficacy Study of TERN-201 in Patients With Non-Cirrhotic Non-Alcoholic Steatohepatitis</t>
  </si>
  <si>
    <t>NCT04934722</t>
  </si>
  <si>
    <t>Efficacy and Safety of Pembrolizumab (MK-3475) Plus Enzalutamide Plus Androgen Deprivation Therapy (ADT) Versus Placebo Plus Enzalutamide Plus ADT in Participants With Metastatic Hormone-Sensitive Prostate Cancer (mHSPC) (MK-3475-991/KEYNOTE-991)-China Extension</t>
  </si>
  <si>
    <t>NCT05027230</t>
  </si>
  <si>
    <t>A Safety and Efficacy Study of STSP-0601 in Adult Patients With Hemophilia A or B With Inhibitor</t>
  </si>
  <si>
    <t>NCT04837677</t>
  </si>
  <si>
    <t>A Study of PRT1419 in Patients With Advanced Solid Tumors</t>
  </si>
  <si>
    <t>NCT04944992</t>
  </si>
  <si>
    <t>A Study of Efinopegdutide (MK-6024) in Participants With Nonalcoholic Fatty Liver Disease (NAFLD) (MK-6024-001)</t>
  </si>
  <si>
    <t>NCT05003141</t>
  </si>
  <si>
    <t>PSB202 in Patients With Previously Treated-, Relapsed-, Indolent B-Cell Malignancies</t>
  </si>
  <si>
    <t>Qilu Puget Sound Biotherapeutics (dba Sound Biologics)</t>
  </si>
  <si>
    <t>NCT04657822</t>
  </si>
  <si>
    <t>Rollover Study for Patients With Sickle Cell Disease Who Have Completed a Prior Novartis-Sponsored Crizanlizumab Study</t>
  </si>
  <si>
    <t>NCT04440592</t>
  </si>
  <si>
    <t>Study to Evaluate Efficacy, Safety, and Tolerability of MT-7117 in Subjects With Diffuse Cutaneous Systemic Sclerosis</t>
  </si>
  <si>
    <t>NCT04740905</t>
  </si>
  <si>
    <t>A Study to Evaluate the Efficacy and Safety of Faricimab in Participants With Macular Edema Secondary to Branch Retinal Vein Occlusion</t>
  </si>
  <si>
    <t>NCT04887831</t>
  </si>
  <si>
    <t>Trilaciclib, a CDK 4/6 Inhibitor, in Patients With Advanced/Metastatic Bladder Cancer Receiving Chemotherapy Then Avelumab</t>
  </si>
  <si>
    <t>G1 Therapeutics, Inc.</t>
  </si>
  <si>
    <t>NCT06181045</t>
  </si>
  <si>
    <t>A Study of LY3410738 in Healthy Adult Participants</t>
  </si>
  <si>
    <t>NCT05065619</t>
  </si>
  <si>
    <t>Safety Immunogenicity Study of MT-2766 in Japanese Adults（COVID-19）</t>
  </si>
  <si>
    <t>NCT04754594</t>
  </si>
  <si>
    <t>To Evaluate the Safety, Tolerability, and Immunogenicity of BNT162b2 Against COVID-19 in Healthy Pregnant Women 18 Years of Age and Older</t>
  </si>
  <si>
    <t>NCT05023551</t>
  </si>
  <si>
    <t>Study of DSP-0390 in Patients With Recurrent High-Grade Glioma</t>
  </si>
  <si>
    <t>NCT04814875</t>
  </si>
  <si>
    <t>A Study to Evaluate the Combination of ATX-101 and Platinum-based Chemotherapy</t>
  </si>
  <si>
    <t>THERAPIM PTY LTD</t>
  </si>
  <si>
    <t>NCT04998981</t>
  </si>
  <si>
    <t>A Phase 3 Study to Evaluate the Efficacy and Safety of K-877 in Chinese Patients With High TG and Low HDL-C</t>
  </si>
  <si>
    <t>NCT05011812</t>
  </si>
  <si>
    <t>Study of PBI-0451 in Healthy Subjects.</t>
  </si>
  <si>
    <t>Pardes Biosciences, Inc.</t>
  </si>
  <si>
    <t>NCT05041803</t>
  </si>
  <si>
    <t>European Extension Study to Evaluate Safety and Efficacy of CTP-543 in Adults With Alopecia Areata</t>
  </si>
  <si>
    <t>NCT05127772</t>
  </si>
  <si>
    <t>A Clinical Trial of HEC93077 in Chinese Healthy Subjects and HUA Patients With Single or Multiple Dosing</t>
  </si>
  <si>
    <t>NCT06147895</t>
  </si>
  <si>
    <t>A Study to Evaluate the Safety, Reactogenicity and Immunogenicity of Prophylactic Hepatitis B Vaccine</t>
  </si>
  <si>
    <t>NCT04677569</t>
  </si>
  <si>
    <t>Study to Evaluate ALIS (Amikacin Liposome Inhalation Suspension) in Participants With Nontuberculous Mycobacterial Lung Infection Caused by Mycobacterium Avium Complex</t>
  </si>
  <si>
    <t>NCT04971512</t>
  </si>
  <si>
    <t>A 2 PART STUDY EVALUATING EDP-721 IN HEALTHY SUBJECTS AND EDP-721 IN COMBINATION WITH EDP-514 IN PATIENTS WITH CHRONIC HEPATITIS B VIRUS INFECTION.</t>
  </si>
  <si>
    <t>NCT04798586</t>
  </si>
  <si>
    <t>MAGNETISMM-2: Study of Elranatamab (PF-06863135) in Japanese Participants With Multiple Myeloma</t>
  </si>
  <si>
    <t>NCT05101486</t>
  </si>
  <si>
    <t>A Study of an Ad26.RSV.PreF-based Regimen at the End of Shelf-life in Adults Aged 60 to 75 Years</t>
  </si>
  <si>
    <t>NCT04768673</t>
  </si>
  <si>
    <t>A Study to Investigate the PK and Safety of CKD-393</t>
  </si>
  <si>
    <t>NCT04909853</t>
  </si>
  <si>
    <t>Renal Impairment Study of PF-07321332 Boosted With Ritonavir in Adult Participants With Renal Impairment and in Healthy Participants With Normal Renal Function.</t>
  </si>
  <si>
    <t>NCT04927572</t>
  </si>
  <si>
    <t>Safety, Pharmacokinetics and Efficacy of FMX114 Versus Vehicle in Adults With Atopic Dermatitis</t>
  </si>
  <si>
    <t>Vyne Therapeutics Inc.</t>
  </si>
  <si>
    <t>NCT04832139</t>
  </si>
  <si>
    <t>A Study of Marstacimab to Compare Prefilled Pen (PFP) Device to Prefilled Syringe (PFS) Device</t>
  </si>
  <si>
    <t>NCT05083312</t>
  </si>
  <si>
    <t>Efficacy and Safety APT-1011 in Adolescent Subjects With Eosinophilic Esophagitis (EoE) - A Sub-Study of the FLUTE-2 Trial</t>
  </si>
  <si>
    <t>NCT04940182</t>
  </si>
  <si>
    <t>A Study to Assess the Efficacy and Safety of XC221 in Patients With Mild COVID-19</t>
  </si>
  <si>
    <t>NCT04638803</t>
  </si>
  <si>
    <t>Microdose Pharmacokinetic Study of PRX-P4-003 In Healthy Volunteers</t>
  </si>
  <si>
    <t>Praxis Bioresearch, LLC</t>
  </si>
  <si>
    <t>NCT04815096</t>
  </si>
  <si>
    <t>Imaging Immune Activation in COVID-19</t>
  </si>
  <si>
    <t>CellSight Technologies, Inc.</t>
  </si>
  <si>
    <t>NCT04962503</t>
  </si>
  <si>
    <t>A Proof of Concept Study to Evaluate the Safety of Afamelanotide in Patients With Acute Arterial Ischaemic Stroke (AIS)</t>
  </si>
  <si>
    <t>Clinuvel Pharmaceuticals Limited</t>
  </si>
  <si>
    <t>NCT04811573</t>
  </si>
  <si>
    <t>A Study in Healthy People to Compare 3 Different Formulations of Apremilast Tablets Taken With or Without Food</t>
  </si>
  <si>
    <t>NCT04932005</t>
  </si>
  <si>
    <t>A Study of DZD2269 in Healthy Adult Participants</t>
  </si>
  <si>
    <t>NCT05161845</t>
  </si>
  <si>
    <t>Clinical Trial of Measles, Mumps and Rubella Combined Vaccine, Live</t>
  </si>
  <si>
    <t>NCT04707313</t>
  </si>
  <si>
    <t>A Study to Evaluate the Efficacy and Safety of PF-06882961 in Adults With Obesity</t>
  </si>
  <si>
    <t>NCT04999020</t>
  </si>
  <si>
    <t>Ravulizumab Versus Placebo in Adult Participants With Dermatomyositis</t>
  </si>
  <si>
    <t>NCT04701788</t>
  </si>
  <si>
    <t>A Clinical Trial to Evaluate the Immunogenicity and Safety of PPV23 Vaccine Revaccinations in the Elderly</t>
  </si>
  <si>
    <t>NCT05173441</t>
  </si>
  <si>
    <t>Human COVID-19 Immunoglobulin (COVID-HIG) Therapy for COVID-19 Patients</t>
  </si>
  <si>
    <t>Sinopharm Wuhan Plasma-derived Biotherapies Co., Ltd.</t>
  </si>
  <si>
    <t>NCT05105841</t>
  </si>
  <si>
    <t>Study to Assess Change in Disease Activity and Adverse Events of Oral Venetoclax in Combination With Intravenous (IV) Obinutuzumab or Oral Ibrutinib in Adult Participants With Untreated Chronic Lymphocytic Leukemia (CLL)/Small Lymphocytic Lymphoma (SLL)</t>
  </si>
  <si>
    <t>NCT05199129</t>
  </si>
  <si>
    <t>Clinical Efficacy and Safety Evaluation of HCP1904-3 in Essential Hypertension Patients</t>
  </si>
  <si>
    <t>NCT04714554</t>
  </si>
  <si>
    <t>A Study of the Effects of Erythromycin on the Pharmacokinetics of Relugolix, Estradiol, and Norethindrone in Healthy Postmenopausal Women and on the Pharmacokinetics of Relugolix in Healthy Adult Men</t>
  </si>
  <si>
    <t>Myovant Sciences GmbH</t>
  </si>
  <si>
    <t>NCT04737122</t>
  </si>
  <si>
    <t>Study of LM-061 in Subjects in Advanced Tumors</t>
  </si>
  <si>
    <t>LaNova Medicines Limited</t>
  </si>
  <si>
    <t>NCT04551261</t>
  </si>
  <si>
    <t>GLS4/RTV and TAF Drug-drug Interaction</t>
  </si>
  <si>
    <t>NCT05003622</t>
  </si>
  <si>
    <t>Phase 1 Safety Study of Encorafenib in Chinese Patients With Advanced Metastatic BRAF V600E Mutant Solid Tumors</t>
  </si>
  <si>
    <t>NCT05125523</t>
  </si>
  <si>
    <t>A Study of Sirolimus for Injection (Albumin Bound) in Patients With Advanced Solid Tumors</t>
  </si>
  <si>
    <t>NCT04880642</t>
  </si>
  <si>
    <t>A Trial to Investigate Recovery From COVID-19 With C21 in Adult Subjects</t>
  </si>
  <si>
    <t>NCT04887870</t>
  </si>
  <si>
    <t>Study of Sitravatinib With or Without Other Anticancer Therapies Receiving Clinical Benefit From Parent Study</t>
  </si>
  <si>
    <t>NCT04836494</t>
  </si>
  <si>
    <t>A First in Human, Dose Escalation Study to Evaluate the Safety and Tolerability of BBP-671 in Healthy Volunteers and Patients With Propionic Acidemia or Methylmalonic Acidemia</t>
  </si>
  <si>
    <t>CoA Therapeutics, Inc., a BridgeBio company</t>
  </si>
  <si>
    <t>NCT05607641</t>
  </si>
  <si>
    <t>Efficacy and Safety Study of Ketorolac / Pitofenone / Fenpiverinium for the Treatment of Patients With Pain After Surgical Abdominal and Pelvic Operations</t>
  </si>
  <si>
    <t>Darnitsa Pharmaceutical Company</t>
  </si>
  <si>
    <t>NCT04638829</t>
  </si>
  <si>
    <t>Safety and Treatment Satisfaction in Adults With Chronic ITP After Switching to Avatrombopag From Eltrombopag or Romiplostim</t>
  </si>
  <si>
    <t>Sobi, Inc.</t>
  </si>
  <si>
    <t>NCT05344729</t>
  </si>
  <si>
    <t>Clinical Trial for Effect of TQB3616 Capsule on Pharmacokinetics in Healthy Adult Subjects</t>
  </si>
  <si>
    <t>NCT05918445</t>
  </si>
  <si>
    <t>PM8002 in the Treatment of Patients With Advanced Solid Tumors</t>
  </si>
  <si>
    <t>Biotheus Inc.</t>
  </si>
  <si>
    <t>NCT04859777</t>
  </si>
  <si>
    <t>A Study of MPT-0118 in Subjects With Advanced or Metastatic Refractory Solid Tumors</t>
  </si>
  <si>
    <t>Monopteros Therapeutics Inc.</t>
  </si>
  <si>
    <t>NCT05143957</t>
  </si>
  <si>
    <t>A Study to Evaluate Sapablursen (Formerly ISIS 702843, IONIS-TMPRSS6-LRx) in Patients With Polycythemia Vera</t>
  </si>
  <si>
    <t>NCT05054439</t>
  </si>
  <si>
    <t>A Clinical Study of SI-B001 in Combination With Paclitaxel in the Treatment of Recurrent and Metastatic HNSCC</t>
  </si>
  <si>
    <t>NCT05115019</t>
  </si>
  <si>
    <t>A Clinical Trial to Evaluate the Efficacy of RUTI® to Reduce the Severity of SARS-CoV-2 Infection (COVID-19)</t>
  </si>
  <si>
    <t>PT. Innovative Pharma Solutions</t>
  </si>
  <si>
    <t>NCT04728711</t>
  </si>
  <si>
    <t>A Double Masked, Placebo Controlled, Single Center, Randomized Clinical Trial to Assess the Safety and Efficacy of Subjects With Mild Asthma Induced by the Bronchial Allergen Challenge (BAC)</t>
  </si>
  <si>
    <t>NCT04771130</t>
  </si>
  <si>
    <t>A Study of BGB-11417 in Participants With Myeloid Malignancies</t>
  </si>
  <si>
    <t>NCT04501367</t>
  </si>
  <si>
    <t>Assessing the Efficacy and Safety fo DEXTENZA, Sustained Release Dexamethasone 0.4 mg Insert(s) for the Treatment of Pain, Inflammation, and Cystoid Macular Edema Following 27 Gauge Vitrectomy With Internal Limiting Membrane Peel for the Treatment of Retinal Edema Associated With Macular Pucker.</t>
  </si>
  <si>
    <t>Kovach Eye Institute</t>
  </si>
  <si>
    <t>NCT05120830</t>
  </si>
  <si>
    <t>NTLA-2002 in Adults With Hereditary Angioedema (HAE)</t>
  </si>
  <si>
    <t>NCT04136834</t>
  </si>
  <si>
    <t>A Phase I Open-label Study for Subjects With Advanced Malignancies</t>
  </si>
  <si>
    <t>Athenex, Inc.</t>
  </si>
  <si>
    <t>NCT05055609</t>
  </si>
  <si>
    <t>Open-Label, Dose-Escalation With Expansion to Assess the Safety, Tolerability, and PK of TRE-515 in Subjects With Solid Tumors</t>
  </si>
  <si>
    <t>Trethera</t>
  </si>
  <si>
    <t>NCT05076422</t>
  </si>
  <si>
    <t>A Study to Test How Well Men Tolerate Different Doses of BI 3006337</t>
  </si>
  <si>
    <t>NCT04713553</t>
  </si>
  <si>
    <t>A Phase 3 Study to Evaluate the Safety, Tolerability, and Immunogenicity of Multiple Production Lots and Dose Levels of BNT162b2 RNA-Based COVID-19 Vaccines Against COVID-19 in Healthy Participants</t>
  </si>
  <si>
    <t>NCT05895877</t>
  </si>
  <si>
    <t>Evaluate the Efficacy and Safety of Goofice® (Elobixibat) in Patients With Chronic Constipation</t>
  </si>
  <si>
    <t>NCT04064346</t>
  </si>
  <si>
    <t>Efficacy and Safety of Lixivaptan in the Treatment of Autosomal Dominant Polycystic Kidney Disease</t>
  </si>
  <si>
    <t>NCT05187169</t>
  </si>
  <si>
    <t>Food Effect of VS-6766 in Healthy Adult Subjects</t>
  </si>
  <si>
    <t>NCT04771351</t>
  </si>
  <si>
    <t>Study to Evaluate a Single Dose of STI-2020 (COVI-AMG™) in Hospitalized Adults With COVID-19</t>
  </si>
  <si>
    <t>NCT04930536</t>
  </si>
  <si>
    <t>Acalabrutinib Study in Indian Patients With Chronic Lymphocytic Leukaemia &amp; Relapsed and Refractory Mantle Cell Lymphoma</t>
  </si>
  <si>
    <t>NCT05048134</t>
  </si>
  <si>
    <t>A Phase I Study of HRS2300 or Combined With SHR-1316 or SHR-1701 or Trametinib or Almonertinib in Patients With Advanced Malignancies</t>
  </si>
  <si>
    <t>NCT04736823</t>
  </si>
  <si>
    <t>A Trial of AK112 (PD1/VEGF Bispecific) in Combination With Chemotherapy in Patients With NSCLC</t>
  </si>
  <si>
    <t>NCT04992546</t>
  </si>
  <si>
    <t>Phase 2a Study of the Safety, Tolerability, and Pharmacokinetics of Topically Administered PRN473 (SAR444727) in Patients With Mild to Moderate Atopic Dermatitis</t>
  </si>
  <si>
    <t>NCT05097794</t>
  </si>
  <si>
    <t>A Clinical Trial to Evaluate Drug-drug Interactions and Safety Between "BR1015-1" and "BR1015-2" in Healthy Volunteers</t>
  </si>
  <si>
    <t>NCT04715529</t>
  </si>
  <si>
    <t>Phase 1 Study to Evaluate Safety and Pharmacokinetics of FZJ-003 in Healthy Volunteers</t>
  </si>
  <si>
    <t>NCT03528681</t>
  </si>
  <si>
    <t>A Study to Investigate the Safety and Efficacy of ZS in Patients With Hyperkalemia.</t>
  </si>
  <si>
    <t>NCT04662528</t>
  </si>
  <si>
    <t>Safety and Efficacy of MAT9001(Omega-3-pentaenoic Acid) in Subjects With Triglycerides ≥500 mg/dL and &lt;2000 mg/dL</t>
  </si>
  <si>
    <t>Matinas Biopharma, Inc</t>
  </si>
  <si>
    <t>NCT05185011</t>
  </si>
  <si>
    <t>Study of the Pharmacokinetics and Safety of TPN171H Tablets in Subjects With Mild ,Moderate Hepatic Insufficiency and Normal Liver Function</t>
  </si>
  <si>
    <t>NCT05525637</t>
  </si>
  <si>
    <t>Safety and Efficacy Study of YZJ-1139 in Insomnia Disorder</t>
  </si>
  <si>
    <t>Shanghai Haiyan Pharmaceutical Technology Co., Ltd.</t>
  </si>
  <si>
    <t>NCT04869228</t>
  </si>
  <si>
    <t>A Phase 3 Randomized, Double-Blind Placebo Controlled, Multi-regional Trial to Evaluate the Efficacy and Safety of GT0918 for the Treatment of Mild to Moderate COVID-19 Male Patients</t>
  </si>
  <si>
    <t>NCT04811053</t>
  </si>
  <si>
    <t>HR021618 in Moderate to Severe Pain After Abdominal Surgery</t>
  </si>
  <si>
    <t>NCT04844411</t>
  </si>
  <si>
    <t>A Study of JNJ-67835989 in Healthy Participants</t>
  </si>
  <si>
    <t>NCT05324592</t>
  </si>
  <si>
    <t>Safety and Efficacy of 9MW0813 in Subjects With Diabetic Macular Edema</t>
  </si>
  <si>
    <t>NCT04299464</t>
  </si>
  <si>
    <t>A 12-Week Placebo-Controlled Study to Investigate the Efficacy, Safety, and Tolerability of RO7017773 in Participants Aged 15-45 Years With Autism Spectrum Disorder (ASD)</t>
  </si>
  <si>
    <t>NCT05043922</t>
  </si>
  <si>
    <t>A Study to Evaluate the Efficacy and Safety of CYH33 in Patients With Recurrent/Persistent Ovary Clear Cell Carcinoma</t>
  </si>
  <si>
    <t>NCT04964375</t>
  </si>
  <si>
    <t>A Study to Assess Safety, Tolerability, and Pharmacokinetics of ABSK043 in Patients With Advanced Solid Tumor</t>
  </si>
  <si>
    <t>NCT04789304</t>
  </si>
  <si>
    <t>A Study to Test How Healthy Men Tolerate Different Doses of BI 1595043</t>
  </si>
  <si>
    <t>NCT05961384</t>
  </si>
  <si>
    <t>Phase 1 Study to Determine the Metabolism and Clearance of Baxdrostat</t>
  </si>
  <si>
    <t>NCT06132932</t>
  </si>
  <si>
    <t>A Study of WX390 in Patients With Advanced Solid Tumors With PIK3CA Mutations</t>
  </si>
  <si>
    <t>NCT04665206</t>
  </si>
  <si>
    <t>Study to Evaluate VT3989 in Patients With Metastatic Solid Tumors</t>
  </si>
  <si>
    <t>Vivace Therapeutics, Inc</t>
  </si>
  <si>
    <t>NCT04373564</t>
  </si>
  <si>
    <t>Effect on Body Movement and Mental Skills in Patients Who Received Gadolinium-based Contrast Media for Magnetic Resonance Examination Multiple Times Within 5 Years</t>
  </si>
  <si>
    <t>Guerbet</t>
  </si>
  <si>
    <t>NCT05018299</t>
  </si>
  <si>
    <t>Evaluate the Efficacy and Safety of FB704A in Adult With Severe Asthma</t>
  </si>
  <si>
    <t>NCT05039099</t>
  </si>
  <si>
    <t>A Study to Evaluate, Safety, Tolerability, Pharmacodynamic (PD) Markers and Pharmacokinetics (PK) of AP-101 in Participants With Amyotrophic Lateral Sclerosis (ALS)</t>
  </si>
  <si>
    <t>AL-S Pharma</t>
  </si>
  <si>
    <t>NCT05048498</t>
  </si>
  <si>
    <t>Pharmacokinetics, Tolerability and Safety of NEX-18a</t>
  </si>
  <si>
    <t>Nanexa AB</t>
  </si>
  <si>
    <t>NCT04819347</t>
  </si>
  <si>
    <t>Albuvirtide in Combination With 3BNC117 in Virologically Suppressed Subjects With HIV-1 Infection</t>
  </si>
  <si>
    <t>Frontier Biotechnologies Inc.</t>
  </si>
  <si>
    <t>NCT05105464</t>
  </si>
  <si>
    <t>A Study to Investigate the Safety of SYHA1815 in Subjects With Unresectable Locally Advanced or Metastatic Solid Tumors</t>
  </si>
  <si>
    <t>Shanghai Runshi Pharmaceutical Technology Co., Ltd</t>
  </si>
  <si>
    <t>NCT04924192</t>
  </si>
  <si>
    <t>A Clinical Study of TQB3616 Capsules Combined With Anlotinib Hydrochloride Capsules or Standard Chemotherapy Second-line and Above in the Treatment of Advanced Lung Cancer</t>
  </si>
  <si>
    <t>NCT05042609</t>
  </si>
  <si>
    <t>A Study of TRS01 in Subjects With Active Non-infectious Anterior Uveitis Including Subjects With Uveitic Glaucoma</t>
  </si>
  <si>
    <t>NCT05070312</t>
  </si>
  <si>
    <t>Pharmacokinetics, Immunogenicity, Safety and Tolerability of MEDI3506 in Health Chinese Participants</t>
  </si>
  <si>
    <t>NCT04852419</t>
  </si>
  <si>
    <t>A PHASE 1B STUDY OF ZN-C5 IN CHINESE SUBJECTS</t>
  </si>
  <si>
    <t>Zentera Therapeutics HK Limited</t>
  </si>
  <si>
    <t>NCT04796623</t>
  </si>
  <si>
    <t>A Study of TQB3616 Capsules Combined With Fulvestrant Injection in Subjects With Advanced Breast Cancer</t>
  </si>
  <si>
    <t>NCT05002868</t>
  </si>
  <si>
    <t>Safety, Pharmacokinetics and Anti-tumor Activity of RP12146, in Patients With Solid Tumors</t>
  </si>
  <si>
    <t>NCT04485260</t>
  </si>
  <si>
    <t>An Open-Label, Multicenter, Phase 1b/2 Study of the Safety and Efficacy of KRT-232 Combined With Ruxolitinib in Patients With Primary Myelofibrosis (PMF), Post-Polycythemia Vera MF (Post-PV-MF), Or Post-Essential Thrombocythemia MF (Post ET-MF) Who Have a Suboptimal Response to Ruxolitinib</t>
  </si>
  <si>
    <t>NCT04819113</t>
  </si>
  <si>
    <t>Study to Evaluate the Safety and Immunogenicity of Nimenrix (Registered) in Healthy Infants, Given at 3 and 12 Months of Age</t>
  </si>
  <si>
    <t>NCT05062759</t>
  </si>
  <si>
    <t>Study to Assess the Effect of Tezepelumab on the Immune Response to Influenza Vaccination in Participants With Asthma</t>
  </si>
  <si>
    <t>NCT04728035</t>
  </si>
  <si>
    <t>Study of Irinotecan Liposome Injection in Patients With Advanced Breast Cance</t>
  </si>
  <si>
    <t>NCT04844918</t>
  </si>
  <si>
    <t>A Study of Tirzepatide (LY3298176) in Participants With Obesity Disease</t>
  </si>
  <si>
    <t>NCT04731623</t>
  </si>
  <si>
    <t>A Study to Assess the Safety, Tolerability, Pharmacokinetics and Pharmacodynamics of ION904</t>
  </si>
  <si>
    <t>NCT05315180</t>
  </si>
  <si>
    <t>A Phase 1，Open-label Study of BPI-421286 in Subjects With Advanced Solid Tumors</t>
  </si>
  <si>
    <t>NCT04827589</t>
  </si>
  <si>
    <t>Study to Evaluate the Efficacy, Safety, and Tolerability of Tirabrutinib in Participants With Antihistamine-Resistant Chronic Spontaneous Urticaria</t>
  </si>
  <si>
    <t>NCT05119335</t>
  </si>
  <si>
    <t>A Study of NKT2152, a HIF2α Inhibitor, in Patients With Advanced Clear Cell Renal Cell Carcinoma</t>
  </si>
  <si>
    <t>NiKang Therapeutics, Inc.</t>
  </si>
  <si>
    <t>NCT07588074</t>
  </si>
  <si>
    <t>Tolerability Comparison of Flarex to Lotemax SM</t>
  </si>
  <si>
    <t>Harrow Inc</t>
  </si>
  <si>
    <t>NCT04665050</t>
  </si>
  <si>
    <t>Safety, Tolerability, and Immunogenicity of a Polyvalent Pneumococcal Conjugate Vaccine (V116) in Japanese Adults (V116-002)</t>
  </si>
  <si>
    <t>NCT04890613</t>
  </si>
  <si>
    <t>Study of CX-5461 in Patients With Solid Tumours and BRCA1/2, PALB2 or Homologous Recombination Deficiency (HRD) Mutation</t>
  </si>
  <si>
    <t>NCT05016882</t>
  </si>
  <si>
    <t>Research Study on Whether a Combination of 2 Medicines (NNC0194 0499 and Semaglutide) Works in People With Non-alcoholic Steatohepatitis (NASH)</t>
  </si>
  <si>
    <t>NCT04868708</t>
  </si>
  <si>
    <t>A Study of AK104（ an Anti-PD-1 and Anti-CTLA-4 Bispecific Antibody) in Recurrent or Metastatic Cervical Cancer</t>
  </si>
  <si>
    <t>NCT05094765</t>
  </si>
  <si>
    <t>Fecal Microbiota Transplant (FMT) Capsule for Improving the Efficacy of GI-aGVHD</t>
  </si>
  <si>
    <t>Shenzhen Xbiome Biotech Co., Ltd.</t>
  </si>
  <si>
    <t>NCT04995081</t>
  </si>
  <si>
    <t>Clinical Trial for Parkinson's Disease Using Allogeneic HB-adMSCs (Early and Moderate PD)</t>
  </si>
  <si>
    <t>NCT04673799</t>
  </si>
  <si>
    <t>Comparing of the Pharmacokinetics, Immunogenicity and Safety of MV088 and Prolia® in Healthy Adults.</t>
  </si>
  <si>
    <t>NCT04655599</t>
  </si>
  <si>
    <t>Effect of Olorinab on Gastrointestinal Transit in Patients With Irritable Bowel Syndrome</t>
  </si>
  <si>
    <t>NCT04688632</t>
  </si>
  <si>
    <t>Thorough QT Study to Evaluate Ampreloxetine in Healthy Subjects</t>
  </si>
  <si>
    <t>NCT04770467</t>
  </si>
  <si>
    <t>A Safety and Efficacy Study of Human Monoclonal Antibodies, BRII-196 and BRII-198 for the Treatment of Patients With COVID-19</t>
  </si>
  <si>
    <t>Brii Biosciences, Inc.</t>
  </si>
  <si>
    <t>NCT04655807</t>
  </si>
  <si>
    <t>A Study of JNJ-64304500 as Add-on Therapy in Participants With Active Crohn's Disease</t>
  </si>
  <si>
    <t>NCT05116111</t>
  </si>
  <si>
    <t>A Study To Evaluate the Safety, Tolerance, Pharmacokinetics/Pharmacodynamics and Efficacy of SYHA1402 Tablets For the Treatment of Patients With Diabetic Peripheral Neuropathy in China</t>
  </si>
  <si>
    <t>NCT04704219</t>
  </si>
  <si>
    <t>Pembrolizumab Plus Lenvatinib for First-line Advanced/Metastatic Non-clear Cell Renal Cell Carcinoma (1L nccRCC) (MK-3475-B61)</t>
  </si>
  <si>
    <t>NCT05054530</t>
  </si>
  <si>
    <t>Assessment of the Safety, Tolerability, and Pharmacokinetic of GMA106</t>
  </si>
  <si>
    <t>NCT04823130</t>
  </si>
  <si>
    <t>Dupilumab Effect on Pruritus Neuro-mechanisms in Patients With Atopic Dermatitis</t>
  </si>
  <si>
    <t>NCT04982445</t>
  </si>
  <si>
    <t>Study Using CABENUVA™ for the Treatment of Human Immunodeficiency Virus (HIV)-1, Administered in Infusion Centers (IC) or Alternate Sites of Administration (ASA) in the United States (U.S.)</t>
  </si>
  <si>
    <t>NCT04911777</t>
  </si>
  <si>
    <t>Proof of Principle Study to Evaluate the Safety, PK, Viral Shedding and Efficacy of Pentarlandir™ UPPTA for Patients With Early COVID-19</t>
  </si>
  <si>
    <t>SyneuRx International (Taiwan) Corp</t>
  </si>
  <si>
    <t>NCT04840667</t>
  </si>
  <si>
    <t>A Study of Replagal in Treatment-naïve Adults With Fabry Disease</t>
  </si>
  <si>
    <t>NCT04989465</t>
  </si>
  <si>
    <t>A Clinical Trial of 23-valent Pneumococcal Polysaccharide Vaccine</t>
  </si>
  <si>
    <t>NCT05020665</t>
  </si>
  <si>
    <t>Entospletinib Plus Intensive Induction/Consolidation Chemotherapy in Newly Diagnosed NPM1-mutated AML</t>
  </si>
  <si>
    <t>Kronos Bio</t>
  </si>
  <si>
    <t>NCT03978611</t>
  </si>
  <si>
    <t>A Study to Assess Safety of Relatlimab With Ipilimumab in Participants With Advanced Melanoma Who Progressed on Anti-Programmed Cell Death Protein 1 (Anti-PD-1) Treatment</t>
  </si>
  <si>
    <t>NCT04728334</t>
  </si>
  <si>
    <t>A Phase 1 Dose Escalation and Expansion Study of AK117</t>
  </si>
  <si>
    <t>NCT04864834</t>
  </si>
  <si>
    <t>Phase III Study Assessing the Efficacy, Safety and Immunogenicity of SOK583A1 Versus Eylea® in Patients With Neovascular Age-related Macular Degeneration</t>
  </si>
  <si>
    <t>NCT04765436</t>
  </si>
  <si>
    <t>PTX-COVID19-B, an mRNA Humoral Vaccine, is Intended for Prevention of COVID-19 in a General Population. This Study is Designed to Evaluate Safety, Tolerability, and Immunogenicity of PTX-COVID19-B Vaccine in Healthy Seronegative Adults Aged 18-64</t>
  </si>
  <si>
    <t>Providence Therapeutics Holdings Inc.</t>
  </si>
  <si>
    <t>NCT04827472</t>
  </si>
  <si>
    <t>Study to Evaluate the Safety/Tolerability, Pharmacokinetics, and Pharmacodynamics After Intravenous DWJ1521 Administration in Healthy Adult Volunteers</t>
  </si>
  <si>
    <t>NCT04404192</t>
  </si>
  <si>
    <t>PH94B in the Treatment of Adjustment Disorder With Anxiety</t>
  </si>
  <si>
    <t>NCT06137911</t>
  </si>
  <si>
    <t>Evaluation of Safety, Tolerability &amp; Pharmacokinetics of JYP0061 in Healthy Adults.</t>
  </si>
  <si>
    <t>NCT05116865</t>
  </si>
  <si>
    <t>A Study to Assess the Safety, Tolerability and Pharmacokinetics of Inhaled HH-120 Aerosol in Healthy Volunteers</t>
  </si>
  <si>
    <t>Huahui Health</t>
  </si>
  <si>
    <t>NCT05032157</t>
  </si>
  <si>
    <t>A Phase 3 Study of Efficacy and Safety of Remibrutinib in the Treatment of CSU in Adults Inadequately Controlled by H1-antihistamines</t>
  </si>
  <si>
    <t>NCT03692312</t>
  </si>
  <si>
    <t>Efficacy and Safety of Tideglusib in Congenital Myotonic Dystrophy</t>
  </si>
  <si>
    <t>AMO Pharma Limited</t>
  </si>
  <si>
    <t>NCT04941781</t>
  </si>
  <si>
    <t>PET Study to Determine the Relationship Between Plasma Concentrations and Muscarinic Type 1 Receptor (M1AChR) Occupancy of PIPE-307 in Healthy Volunteers</t>
  </si>
  <si>
    <t>NCT05025072</t>
  </si>
  <si>
    <t>A Bioequivalence Study to Compare the Pharmacokinetics of Two Formulations of Siklos® in Healthy Volunteers</t>
  </si>
  <si>
    <t>Theravia</t>
  </si>
  <si>
    <t>NCT04337177</t>
  </si>
  <si>
    <t>Flavored, Oral Irinotecan VAL-413 (Orotecan®) Given With Temozolomide for Treatment of Recurrent Pediatric Solid Tumors</t>
  </si>
  <si>
    <t>Valent Technologies, LLC</t>
  </si>
  <si>
    <t>NCT07058545</t>
  </si>
  <si>
    <t>A Study of CJC-1134-PC Injection in Antidiabetic Treatment-naive Patients With Type 2 Diabetes Mellitus Who Have Inadequate Glycemic Control</t>
  </si>
  <si>
    <t>Changshan ConjuChem BioPharmaceutical Research and Development (Hebei) Co., Ltd.</t>
  </si>
  <si>
    <t>NCT04857957</t>
  </si>
  <si>
    <t>Safety, Tolerability &amp; Pharmacokinetics Study of CNTX-6016 in Healthy Subjects and Subjects With PDN</t>
  </si>
  <si>
    <t>Centrexion Therapeutics</t>
  </si>
  <si>
    <t>NCT04932512</t>
  </si>
  <si>
    <t>A Study to Assess the Safety, Efficacy, and Pharmacokinetics of Multiple Doses of ION224</t>
  </si>
  <si>
    <t>NCT04082481</t>
  </si>
  <si>
    <t>A Study to Evaluate the Safety, Tolerability, Pharmacokinetics (PK), and Pharmacodynamics (PD) of TAK-988 in Healthy Participants</t>
  </si>
  <si>
    <t>NCT04864977</t>
  </si>
  <si>
    <t>A Study of A Novel Approach to Titrate Basal Insulin (LY2963016) in Participants With Type 2 Diabetes</t>
  </si>
  <si>
    <t>NCT05580107</t>
  </si>
  <si>
    <t>MDPK67b in Patients With Prostate Cancer</t>
  </si>
  <si>
    <t>Med Discovery SA</t>
  </si>
  <si>
    <t>NCT04993768</t>
  </si>
  <si>
    <t>A Phase 2a Study of TPN-101 in Patients With Progressive Supranuclear Palsy (PSP)</t>
  </si>
  <si>
    <t>Transposon Therapeutics, Inc.</t>
  </si>
  <si>
    <t>NCT05112913</t>
  </si>
  <si>
    <t>Lot-to-lot Consistency of an Inactivated SARS-CoV-2 Vaccine Between Different Workshops in Healthy Children Aged 3-17 Years</t>
  </si>
  <si>
    <t>NCT04805060</t>
  </si>
  <si>
    <t>A Study to Evaluate the Tolerance and Pharmacokinetics of TQB2858 Injection in Subjects With Terminal Malignant Tumors</t>
  </si>
  <si>
    <t>NCT05275660</t>
  </si>
  <si>
    <t>A Study to Assess the Safety, Tolerability, and Pharmacokinetics of HFB30132A Against COVID-19 in Chinese Healthy Adults</t>
  </si>
  <si>
    <t>NCT05079035</t>
  </si>
  <si>
    <t>Lyophilized and Micronized Particulate Human Amniotic and Umbilical Cord (TTAX03) for KL Grade 3-4 Knee OA</t>
  </si>
  <si>
    <t>NCT04843540</t>
  </si>
  <si>
    <t>Drug-drug Interaction Study of CTP-543 and Rifampin in Healthy Adult Subjects</t>
  </si>
  <si>
    <t>NCT04797260</t>
  </si>
  <si>
    <t>Phase I/II Clinical Trial Stem Cell Gene Therapy in RAG1-Deficient SCID</t>
  </si>
  <si>
    <t>Genewity Holding B.V.</t>
  </si>
  <si>
    <t>NCT05179525</t>
  </si>
  <si>
    <t>Comparative Bioavailability of Risperidone.</t>
  </si>
  <si>
    <t>Rovi Pharmaceuticals Laboratories</t>
  </si>
  <si>
    <t>NCT05004324</t>
  </si>
  <si>
    <t>Safety and Efficacy of FURESTEM-AD Inj. for Moderate to Severe Atopic Dermatitis (AD)</t>
  </si>
  <si>
    <t>Kang Stem Biotech Co., Ltd.</t>
  </si>
  <si>
    <t>NCT04757376</t>
  </si>
  <si>
    <t>A Phase 3 Study to Compare Between CT-P41 and US-licensed Prolia in Postmenopausal Women With Osteoporosis</t>
  </si>
  <si>
    <t>NCT04844450</t>
  </si>
  <si>
    <t>A Single and Multiple Ascending Dose Study of Subcutaneously Administered JNJ-75220795</t>
  </si>
  <si>
    <t>NCT04775797</t>
  </si>
  <si>
    <t>Safety, Tolerability, and Pharmacokinetics of AB-836 in Healthy Subjects and Subjects With Chronic HBV Infection</t>
  </si>
  <si>
    <t>Arbutus Biopharma Corporation</t>
  </si>
  <si>
    <t>NCT04390113</t>
  </si>
  <si>
    <t>Study to Evaluate Viralym-M (ALVR105) for the Treatment of Virus-Associated Hemorrhagic Cystitis (HC)</t>
  </si>
  <si>
    <t>AlloVir</t>
  </si>
  <si>
    <t>NCT05055791</t>
  </si>
  <si>
    <t>A Study to Evaluate the Safety and Tolerance of SYHX1903 in Patients With Relapsed/Refractory Hematologic Malignancies</t>
  </si>
  <si>
    <t>NCT05095168</t>
  </si>
  <si>
    <t>Safety, Tolerability, Pharmacokinetics (PK) and Pharmacodynamics (PD) of a Single Ascending Dose (SAD) of CAN106 Administered Intravenously (IV) in Healthy Subjects</t>
  </si>
  <si>
    <t>CARE Pharma Shanghai Ltd.</t>
  </si>
  <si>
    <t>NCT05027074</t>
  </si>
  <si>
    <t>Global Study of MK-2060 (Anti-Factor XI Monoclonal Antibody) in Participants With End Stage Renal Disease Receiving Hemodialysis (FXI Hemodialysis Study) (MK-2060-007)</t>
  </si>
  <si>
    <t>NCT04311632</t>
  </si>
  <si>
    <t>A Dose Escalation Study in de Novo Renal Transplantation</t>
  </si>
  <si>
    <t>ITB-Med LLC</t>
  </si>
  <si>
    <t>NCT04838964</t>
  </si>
  <si>
    <t>A Study of MRG003 in the Treatment of EGFR-positive Unresectable, Locally Advanced or Metastatic Biliary Tract Cancer</t>
  </si>
  <si>
    <t>NCT05170763</t>
  </si>
  <si>
    <t>Safety, Tolerability, and Pharmacokinetics of PA9159 Nasal Spray in Healthy Adult Subjects</t>
  </si>
  <si>
    <t>Anhui Palo Alto Pharmaceuticals, Inc.</t>
  </si>
  <si>
    <t>NCT05024721</t>
  </si>
  <si>
    <t>Study to Evaluate the Efficacy and Safety of HIP2101 in Patients With Acute or Chronic Gastritis</t>
  </si>
  <si>
    <t>NCT05045833</t>
  </si>
  <si>
    <t>Multiple Ascending Dose Study to Assess the Pharmacokinetics, Safety, and Tolerability of Orally Administered SYN 020</t>
  </si>
  <si>
    <t>Theriva Biologics, Inc.</t>
  </si>
  <si>
    <t>NCT04806464</t>
  </si>
  <si>
    <t>Clinical Study of VG161 in Subjects with Advanced Primary Liver Cancer</t>
  </si>
  <si>
    <t>CNBG-Virogin Biotech (Shanghai) Ltd.</t>
  </si>
  <si>
    <t>NCT04884399</t>
  </si>
  <si>
    <t>Phase I Study to Compare CMAB818 Injection and Lucentis® in Patients With Wet AMD</t>
  </si>
  <si>
    <t>Shanghai Biomabs Pharmaceutical Co., Ltd.</t>
  </si>
  <si>
    <t>NCT06028321</t>
  </si>
  <si>
    <t>Study of Comparative Bioavailability and Pharmacokinetics of ACM-001.1) and Pindolol in Healthy Volunteers (HV)</t>
  </si>
  <si>
    <t>Actimed Therapeutics Ltd</t>
  </si>
  <si>
    <t>NCT04829604</t>
  </si>
  <si>
    <t>ARX788 in HER2-positive, Metastatic Breast Cancer Subjects (ACE-Breast-03)</t>
  </si>
  <si>
    <t>Ambrx, Inc.</t>
  </si>
  <si>
    <t>NCT04580407</t>
  </si>
  <si>
    <t>Study of TAK-672 in Participants With Acquired Hemophilia A</t>
  </si>
  <si>
    <t>NCT04850144</t>
  </si>
  <si>
    <t>Pharmacokinetic Study Comparing Tiotropium Easyhaler® and Spiriva® HandiHaler®</t>
  </si>
  <si>
    <t>NCT05086744</t>
  </si>
  <si>
    <t>Basket Study to Assess Efficacy, Safety and PK of Iptacopan (LNP023) in Autoimmune Benign Hematological Disorders</t>
  </si>
  <si>
    <t>NCT04632199</t>
  </si>
  <si>
    <t>Study to Assess the Safety and Efficacy of Intravenous Injection of the Imaging Agent 111In-IPN01087 in Patients With Locally Advanced or Metastatic Pancreatic or Colorectal Cancer.</t>
  </si>
  <si>
    <t>NCT05060263</t>
  </si>
  <si>
    <t>A Study of of HOT1030 in Patients With Advanced Solid Tumors</t>
  </si>
  <si>
    <t>NCT04996121</t>
  </si>
  <si>
    <t>A Study of XZP-5955 Tablets in Patients With NTRK or ROS1 Fusion Positive Locally Advanced or Metastatic Solid Tumors</t>
  </si>
  <si>
    <t>NCT04897516</t>
  </si>
  <si>
    <t>Shorter Benznidazole Regimens Compared to the Standard Regimen for Chagas Disease</t>
  </si>
  <si>
    <t>NCT04933916</t>
  </si>
  <si>
    <t>Study of EMB-001 as a Potential Smoking Cessation Treatment</t>
  </si>
  <si>
    <t>NCT05094934</t>
  </si>
  <si>
    <t>A Research Study Looking Into Levels of the Medicine NNC0385-0434 in the Body and How Well it is Tolerated in Participants With Impaired Kidney Function Compared to Participants With Normal Kidney Function</t>
  </si>
  <si>
    <t>NCT04874506</t>
  </si>
  <si>
    <t>MBM-02 (Tempol) for the Treatment of Glioblastoma Multiforme (GBM)</t>
  </si>
  <si>
    <t>Matrix Biomed, Inc.</t>
  </si>
  <si>
    <t>NCT05601999</t>
  </si>
  <si>
    <t>Study of Efficacy and Safety of GNR-060 vs Metalyse in Patients With ST Elevation Myocardial Infarction</t>
  </si>
  <si>
    <t>NCT04637763</t>
  </si>
  <si>
    <t>CRISPR-Edited Allogeneic Anti-CD19 CAR-T Cell Therapy for Relapsed/Refractory B Cell Non-Hodgkin Lymphoma (ANTLER)</t>
  </si>
  <si>
    <t>Caribou Biosciences, Inc.</t>
  </si>
  <si>
    <t>NCT05212987</t>
  </si>
  <si>
    <t>Study of FCN-098 in Patients With Advanced Solid Tumor</t>
  </si>
  <si>
    <t>NCT04730804</t>
  </si>
  <si>
    <t>A Study of ALXN1830 in Healthy Adult Participants</t>
  </si>
  <si>
    <t>NCT04654078</t>
  </si>
  <si>
    <t>Study to Evaluate the Pharmacokinetic Characteristics and Safety of IN-C004 in Healthy Volunteers</t>
  </si>
  <si>
    <t>NCT04891198</t>
  </si>
  <si>
    <t>ENVAFOLIMAB Single-agent Treatment in Patients With Advanced Solid Tumors</t>
  </si>
  <si>
    <t>3D Medicines (Sichuan) Co., Ltd.</t>
  </si>
  <si>
    <t>NCT03698448</t>
  </si>
  <si>
    <t>A Dose-finding Study of Inhaled OligoG vs Placebo in Patients With Cystic Fibrosis</t>
  </si>
  <si>
    <t>AlgiPharma AS</t>
  </si>
  <si>
    <t>NCT04815148</t>
  </si>
  <si>
    <t>MH004 Topical Cream in Healthy Adult Volunteers and Participants With Atopic Dermatitis or Rheumatoid Arthritis</t>
  </si>
  <si>
    <t>Minghui Pharmaceutical Pty Ltd</t>
  </si>
  <si>
    <t>NCT05418348</t>
  </si>
  <si>
    <t>Relative Bioavailability of Intravenous GTX-104 Compared to Oral Nimodipine Capsules in Healthy Subjects</t>
  </si>
  <si>
    <t>Grace Therapeutics Inc.</t>
  </si>
  <si>
    <t>NCT05045534</t>
  </si>
  <si>
    <t>A Study to Investigate the Safety, Tolerability and Pharmacokinetics of TB-840 in Healthy Subjects</t>
  </si>
  <si>
    <t>Therasid Bioscience</t>
  </si>
  <si>
    <t>NCT05068193</t>
  </si>
  <si>
    <t>A Clinical Trial to Compare the Pharmacokinetics and Bioequivalence of "BR2008" With "BR2008-1" in Healthy Volunteers</t>
  </si>
  <si>
    <t>NCT04865835</t>
  </si>
  <si>
    <t>A Clinical Trial Study to Determine the Effect of an Investigational Drug (SEP-363856) Has on the Way That the Drug Metformin Travels Through the Body in People With Schizophrenia.</t>
  </si>
  <si>
    <t>NCT04799249</t>
  </si>
  <si>
    <t>Trilaciclib, a CDK 4/6 Inhibitor, in Patients Receiving Gemcitabine and Carboplatin for Metastatic Triple-Negative Breast Cancer (TNBC)</t>
  </si>
  <si>
    <t>NCT05627947</t>
  </si>
  <si>
    <t>Comparison Between Topical Mitomycin C and Cyclosporine</t>
  </si>
  <si>
    <t>NCT04095858</t>
  </si>
  <si>
    <t>Efprezimod Alfa (CD24Fc, MK-7110) for the Prevention of Acute Graft Versus Host Disease (GVHD) Following Myeloablative Hematopoietic Stem Cell Transplantation (HSCT) (MK-7110-005)</t>
  </si>
  <si>
    <t>NCT04408638</t>
  </si>
  <si>
    <t>A Phase III Study Evaluating Glofitamab in Combination With Gemcitabine + Oxaliplatin vs Rituximab in Combination With Gemcitabine + Oxaliplatin in Participants With Relapsed/Refractory Diffuse Large B-Cell Lymphoma</t>
  </si>
  <si>
    <t>NCT05072938</t>
  </si>
  <si>
    <t>Clinical Trial to Compare Rebamipide/Nizatidine Combination Therapy With Nizatidine Monotherapy in Patients With Gastritis</t>
  </si>
  <si>
    <t>NCT04704323</t>
  </si>
  <si>
    <t>CAP-100 for Subjects With Relapsed/Refractory Chronic Lymphocytic Leukemia</t>
  </si>
  <si>
    <t>Catapult Therapeutics</t>
  </si>
  <si>
    <t>NCT04838080</t>
  </si>
  <si>
    <t>Safety and Immunogenicity of the Inactivated Koçak-19 Inaktif Adjuvanlı COVID-19 Vaccine Compared to Placebo</t>
  </si>
  <si>
    <t>NCT04943068</t>
  </si>
  <si>
    <t>A Phase 3, Bridging, Multicenter, Randomized, Double-blind, Placebo-controlled, Parallel-group Trial to Evaluate the Efficacy and Safety of Subcutaneously Administered Bremelanotide in Premenopausal Women With Hypoactive Sexual Desire Disorder (With or Without Decreased Arousal)</t>
  </si>
  <si>
    <t>Kwang Dong Pharmaceutical co., ltd.</t>
  </si>
  <si>
    <t>NCT04931823</t>
  </si>
  <si>
    <t>Dose Escalation and Dose Expansion Study of CPO-100 in Patients With Advanced Solid Tumors</t>
  </si>
  <si>
    <t>Conjupro Biotherapeutics, Inc.</t>
  </si>
  <si>
    <t>NCT04229979</t>
  </si>
  <si>
    <t>Galinpepimut-S Versus Investigator's Choice of Best Available Therapy for Maintenance in AML CR2/CRp2</t>
  </si>
  <si>
    <t>Sellas Life Sciences Group</t>
  </si>
  <si>
    <t>NCT04857840</t>
  </si>
  <si>
    <t>Randomized Study of Extended Treatment With Firibastat in Treatment-Resistant Hypertension (REFRESH)</t>
  </si>
  <si>
    <t>NCT04802382</t>
  </si>
  <si>
    <t>Clinical Study Designed to Evaluate the Effect of CimetrA in Patients Diagnosed With COVID-19</t>
  </si>
  <si>
    <t>NCT04985968</t>
  </si>
  <si>
    <t>The Efficacy and Safety of Cobitolimod in Participants With Moderate to Severe Active Left-Sided Ulcerative Colitis</t>
  </si>
  <si>
    <t>InDex Pharmaceuticals</t>
  </si>
  <si>
    <t>NCT05000450</t>
  </si>
  <si>
    <t>Safety and Efficacy of ALLO-605 an Anti-BCMA Allogeneic CAR T Cell Therapy in Patients With Relapsed/Refractory Multiple Myeloma</t>
  </si>
  <si>
    <t>NCT04713891</t>
  </si>
  <si>
    <t>A Study of KF-0210 in Advanced Solid Tumors Patients</t>
  </si>
  <si>
    <t>Keythera Pharmaceuticals (Australia) Pty Ltd</t>
  </si>
  <si>
    <t>NCT05119790</t>
  </si>
  <si>
    <t>A Study of Mass Balance, Pharmacokinetics, Metabolite Profile, and Metabolite Identification of BIIB122/DNL151 in Healthy Male Subjects</t>
  </si>
  <si>
    <t>NCT05066997</t>
  </si>
  <si>
    <t>A Pivotal Safety and Efficacy Study of OCS-01 Eye Drops in Participants With Diabetic Macular Edema (DIAMOND 1)</t>
  </si>
  <si>
    <t>Oculis</t>
  </si>
  <si>
    <t>NCT05066165</t>
  </si>
  <si>
    <t>Study Investigating NTLA-5001 in Subjects With Acute Myeloid Leukemia</t>
  </si>
  <si>
    <t>NCT04863365</t>
  </si>
  <si>
    <t>A Study of Efficacy and Safety of PHP-201 in Patients With Primary Open Angle Glaucoma or Ocular Hypertension</t>
  </si>
  <si>
    <t>pH Pharma</t>
  </si>
  <si>
    <t>NCT05108779</t>
  </si>
  <si>
    <t>QLF32004 Injection for the Treatment of Patients With Advanced Malignant Tumors</t>
  </si>
  <si>
    <t>NCT04787042</t>
  </si>
  <si>
    <t>Phase 1a and Phase 2 Study for Safety, Preliminary Efficacy, PK and PD of ST-067</t>
  </si>
  <si>
    <t>Simcha IL-18, Inc.</t>
  </si>
  <si>
    <t>NCT05116787</t>
  </si>
  <si>
    <t>BCX9930 for the Treatment of Paroxysmal Nocturnal Hemoglobinuria (PNH) in Participants Not Receiving Other Complement Inhibitor Therapy</t>
  </si>
  <si>
    <t>NCT05047133</t>
  </si>
  <si>
    <t>Effect of Early Administration of TXA in Adult Hip Fractures</t>
  </si>
  <si>
    <t>NCT04850638</t>
  </si>
  <si>
    <t>Drug Interaction Between SHR4640 Tablets and Furosemide Tablets in Healthy Volunteers (Single Center, Single Arm, Open, Self-control)</t>
  </si>
  <si>
    <t>NCT04987658</t>
  </si>
  <si>
    <t>Phase 1 Study of OLZ/SAM in Pediatric Subjects With Bipolar I Disorder</t>
  </si>
  <si>
    <t>Alkermes, Inc.</t>
  </si>
  <si>
    <t>NCT04817228</t>
  </si>
  <si>
    <t>A Study to Evaluate the Clinical Performance, Safety and Pharmacology Effect of EscharEx in Patients With Lower Leg Ulcers</t>
  </si>
  <si>
    <t>MediWound Ltd</t>
  </si>
  <si>
    <t>NCT04912141</t>
  </si>
  <si>
    <t>Prevention of Acute Kidney Injury in Patients With NSTEMI</t>
  </si>
  <si>
    <t>NCT05002231</t>
  </si>
  <si>
    <t>Relative Bioavailability and Food Effect Study of Losmapimod 15 mg Tablets</t>
  </si>
  <si>
    <t>NCT04905121</t>
  </si>
  <si>
    <t>Phase 1b Study in Patients With Short-Lasting Unilateral Neuralgiform Headache Attacks (SUNHA)</t>
  </si>
  <si>
    <t>Beckley Psytech Limited</t>
  </si>
  <si>
    <t>NCT04784455</t>
  </si>
  <si>
    <t>Nomacopan (rVA576) in Transplant Associated Thrombotic Microangiopathy</t>
  </si>
  <si>
    <t>AKARI Therapeutics</t>
  </si>
  <si>
    <t>NCT05249348</t>
  </si>
  <si>
    <t>Effect of Food on PC14586 in Healthy Volunteers and the PK of PC14586 in Healthy Japanese Volunteers</t>
  </si>
  <si>
    <t>NCT05253755</t>
  </si>
  <si>
    <t>Study the Safety and Efficacy of DBI-001 Gel Versus Aqueous Gel</t>
  </si>
  <si>
    <t>DermBiont, Inc.</t>
  </si>
  <si>
    <t>NCT04785326</t>
  </si>
  <si>
    <t>Efficacy, Safety, and Immunogenicity of Subcutaneous DMB-3115 Versus Stelara® in Patients With Moderate to Severe Chronic Plaque Psoriasis</t>
  </si>
  <si>
    <t>NCT04800614</t>
  </si>
  <si>
    <t>A Study to Explore the Effect of Food Before a Single Dose of Sitravatinib</t>
  </si>
  <si>
    <t>NCT05152849</t>
  </si>
  <si>
    <t>Efficacy, Safety, Tolerability of AXA1125 in Fatigue After COVID-19 Infection</t>
  </si>
  <si>
    <t>Axcella Health, Inc</t>
  </si>
  <si>
    <t>NCT04486378</t>
  </si>
  <si>
    <t>A Phase II Clinical Trial Comparing the Efficacy of RO7198457 Versus Watchful Waiting in Patients With ctDNA-positive, Resected Stage II (High Risk) and Stage III Colorectal Cancer</t>
  </si>
  <si>
    <t>NCT04760626</t>
  </si>
  <si>
    <t>A Research Study to Compare a New Weekly Insulin, Insulin Icodec Used With DoseGuide App, and Daily Insulins in People With Type 2 Diabetes Who Have Not Used Insulin Before</t>
  </si>
  <si>
    <t>NCT06547385</t>
  </si>
  <si>
    <t>Study of ONO-4578 and XELOX/FOLFOX Plus Bevacizumab in Colorectal Cancer</t>
  </si>
  <si>
    <t>NCT04825743</t>
  </si>
  <si>
    <t>A Phase 3 Study of Zalunfiban in Subjects With ST-elevation MI</t>
  </si>
  <si>
    <t>NCT04801043</t>
  </si>
  <si>
    <t>To Evaluate the Pharmacokinetics of XNW4107 in Healthy Adult Young Females and in Healthy Adult Elderly Males and Females.</t>
  </si>
  <si>
    <t>NCT04730635</t>
  </si>
  <si>
    <t>Cognition Platform Study in Participants at Risk for Alzheimer's Disease (AD) (MK-0000-413)</t>
  </si>
  <si>
    <t>NCT04502433</t>
  </si>
  <si>
    <t>Poractant Alfa (Curosurf®)) -- Effect in Adult Patients Diagnosed With 2019 Novel Coronavirus (SARS-COV-19; (Covid-19)) Acute Respiratory Distress Syndrome (ARDS)</t>
  </si>
  <si>
    <t>NCT05369078</t>
  </si>
  <si>
    <t>Safety, Tolerance and Pharmacokinetics of THR-1442 in Chinese Healthy Subjects</t>
  </si>
  <si>
    <t>NCT04781543</t>
  </si>
  <si>
    <t>A Multicenter Trial to Evaluate the Efficacy, Safety, Tolerability and Pharmacokinetics of HZN-825 in Patients With Diffuse Cutaneous Systemic Sclerosis</t>
  </si>
  <si>
    <t>NCT05710094</t>
  </si>
  <si>
    <t>Safety and Tolerability of Single and Multiple Doses of SoftOx Biofilm Eradicator (SBE) in Chronic Leg Wounds</t>
  </si>
  <si>
    <t>SoftOx Solutions AS</t>
  </si>
  <si>
    <t>NCT05043766</t>
  </si>
  <si>
    <t>Evaluation of Oral PF614 Relative to OxyContin (PF614-102)</t>
  </si>
  <si>
    <t>NCT05173883</t>
  </si>
  <si>
    <t>A Phase 1 Clinical Study of CU-20401 in Chinese Healthy Population</t>
  </si>
  <si>
    <t>Cutia Therapeutics（Wuxi）Co.,Ltd</t>
  </si>
  <si>
    <t>NCT06868654</t>
  </si>
  <si>
    <t>China Subpopulation: Evaluation of Efficacy and Safety of Belantamab Mafodotin, Bortezomib and Dexamethasone Versus Daratumumab, Bortezomib and Dexamethasone in Participants With Relapsed/Refractory Multiple Myeloma</t>
  </si>
  <si>
    <t>NCT05085366</t>
  </si>
  <si>
    <t>A Study to Evaluate the Efficacy, Safety, and Immunogenicity of mRNA-1647 Cytomegalovirus (CMV) Vaccine in Healthy Participants 16 to 40 Years of Age</t>
  </si>
  <si>
    <t>NCT03567694</t>
  </si>
  <si>
    <t>Single and Multiple Doses of HA115 and Food Effect in Healthy Adult Volunteers</t>
  </si>
  <si>
    <t>NCT04990037</t>
  </si>
  <si>
    <t>A Study of the Safety and Tolerance of CAN04 in Combination With FOLFIRINOX in Subjects With Metastatic Pancreatic Ductal Adenocarcinoma</t>
  </si>
  <si>
    <t>NCT04235322</t>
  </si>
  <si>
    <t>Study of 2LHERP® in Genital Herpes Infections</t>
  </si>
  <si>
    <t>NCT04867551</t>
  </si>
  <si>
    <t>A Clinical Study of KDT-3594 in Japanese Patients With Early Parkinson's Disease</t>
  </si>
  <si>
    <t>NCT04795531</t>
  </si>
  <si>
    <t>A Research Study to Compare Two Types of Insulin, a New Insulin, Insulin Icodec and an Available Insulin, Insulin Degludec, in People With Type 2 Diabetes Who Have Not Used Insulin Before (ONWARDS 3)</t>
  </si>
  <si>
    <t>NCT04679441</t>
  </si>
  <si>
    <t>A Novel Computer-Based Functional Skills Assessment and Training Program</t>
  </si>
  <si>
    <t>i-Function, Inc.</t>
  </si>
  <si>
    <t>NCT04916431</t>
  </si>
  <si>
    <t>A Study to Evaluate the Safety, Tolerability, Pharmacokinetics, and Pharmacodynamics of mRNA-6231 in Healthy Adults</t>
  </si>
  <si>
    <t>NCT04980482</t>
  </si>
  <si>
    <t>Open-Label Study of AB-729, Nucleos(t)Ide Analogue and Pegylated Interferon Alfa-2a in Subjects With Chronic Hepatitis B Infection</t>
  </si>
  <si>
    <t>NCT04899310</t>
  </si>
  <si>
    <t>A Study to Assess the Safety, Pharmacokinetics, and Pharmacodynamics of mRNA-3705 in Participants With Isolated Methylmalonic Acidemia</t>
  </si>
  <si>
    <t>NCT04679623</t>
  </si>
  <si>
    <t>Study of Midazolam in Healthy Adults</t>
  </si>
  <si>
    <t>Rafa Laboratories</t>
  </si>
  <si>
    <t>NCT04709913</t>
  </si>
  <si>
    <t>Multiple Ascending Dose Study of HU6 in High BMI Volunteers</t>
  </si>
  <si>
    <t>NCT04687020</t>
  </si>
  <si>
    <t>Long-term Use of Viltolarsen in Boys With Duchenne Muscular Dystrophy in Clinical Practice (VILT-502)</t>
  </si>
  <si>
    <t>NCT04801420</t>
  </si>
  <si>
    <t>Phase 2 Study Of VLA15, A Vaccine Candidate Against Lyme Borreliosis, In A Healthy Pediatric And Adult Study Population</t>
  </si>
  <si>
    <t>NCT05035368</t>
  </si>
  <si>
    <t>Ladarixin as Adjunctive Therapy to Improve Insulin Sensitivity and Glucometabolic Outcomes in Type 1 Diabetes</t>
  </si>
  <si>
    <t>NCT04700618</t>
  </si>
  <si>
    <t>A Clinical Trial to Evaluate the Safety and Immunogenicity of PPV23 Vaccine Revaccinated in 60-70 Years Old</t>
  </si>
  <si>
    <t>NCT04980248</t>
  </si>
  <si>
    <t>Study of ALXN1850 in Participants With Hypophosphatasia (HPP)</t>
  </si>
  <si>
    <t>NCT05217355</t>
  </si>
  <si>
    <t>A Phase II Study to Evaluate the Efficacy and Safety of MBA-P01 in Subjects With Moderate to Severe Glabellar Lines</t>
  </si>
  <si>
    <t>Medytox Korea</t>
  </si>
  <si>
    <t>NCT04744051</t>
  </si>
  <si>
    <t>ATCell™ Expanded Autologous, Adipose-Derived Mesenchymal Stem Cells Deployed Via Intravenous Infusion</t>
  </si>
  <si>
    <t>American CryoStem Corporation</t>
  </si>
  <si>
    <t>NCT04777331</t>
  </si>
  <si>
    <t>A Study to Evaluate the Efficacy and Safety of Intravenous Prasinezumab in Participants With Early Parkinson's Disease</t>
  </si>
  <si>
    <t>NCT04828005</t>
  </si>
  <si>
    <t>Pharmacodynamic Evaluation of Intranasal Nalmefene</t>
  </si>
  <si>
    <t>Opiant Pharmaceuticals Inc</t>
  </si>
  <si>
    <t>NCT05051566</t>
  </si>
  <si>
    <t>A Multiple Dose Study of LY3502970 in Healthy Participants</t>
  </si>
  <si>
    <t>NCT04830644</t>
  </si>
  <si>
    <t>A Study to Evaluate the Efficacy and Safety of Iguratimod Compared to Placebo in Patients With Active Primary Sjogren's Syndrome.</t>
  </si>
  <si>
    <t>NCT04651634</t>
  </si>
  <si>
    <t>MIT-001 for Prevention of CCRT-Induced OM in HNSCC Patients</t>
  </si>
  <si>
    <t>MitoImmune Therapeutics</t>
  </si>
  <si>
    <t>NCT04708834</t>
  </si>
  <si>
    <t>Long-term Safety Study of Adjunctive Troriluzole in Subjects With Obsessive Compulsive Disorder</t>
  </si>
  <si>
    <t>NCT04754334</t>
  </si>
  <si>
    <t>A Phase 3 Study to Evaluate the Efficacy and Safety of ORMD-0801 in Subjects With Type 2 Diabetes Mellitus</t>
  </si>
  <si>
    <t>NCT05013554</t>
  </si>
  <si>
    <t>Dose Escalation and Expansion Study of SAR443216 in Participants With Relapsed/Refractory HER2 Expressing Solid Tumors</t>
  </si>
  <si>
    <t>NCT04885361</t>
  </si>
  <si>
    <t>To Evaluate the Safety, and Immunogenicity of Vaccine Candidate Against COVID-19, in Healthy Adults</t>
  </si>
  <si>
    <t>NCT04621669</t>
  </si>
  <si>
    <t>Drug-durg Interaction of SHR3680 With Digoxin, Rosuvastatin Calcium and Metformin Hydrochloride</t>
  </si>
  <si>
    <t>NCT04672356</t>
  </si>
  <si>
    <t>A Study to Evaluate the Safety , Tolerability and Efficacy of IBI939 in Combination With Sintilimab in Patients With Advanced Lung Cancer</t>
  </si>
  <si>
    <t>NCT04578873</t>
  </si>
  <si>
    <t>Phase 1 Oral QPX7831 SAD and MAD in Healthy Adults</t>
  </si>
  <si>
    <t>NCT04927169</t>
  </si>
  <si>
    <t>InterLeukin-7 to Improve Clinical Outcomes in Lymphopenic pAtients With COVID-19 Infection (Brazil Cohort)</t>
  </si>
  <si>
    <t>NCT04795466</t>
  </si>
  <si>
    <t>Study of the Efficacy and Safety of Various Anti-inflammatory Agents in Participants With Mild Cognitive Impairment or Mild Alzheimer's Disease</t>
  </si>
  <si>
    <t>NCT05161741</t>
  </si>
  <si>
    <t>Research on Human Insulin rDNA Safety and Efficacy in Patients With Type 2 Diabetes Mellitus</t>
  </si>
  <si>
    <t>NCT04614051</t>
  </si>
  <si>
    <t>Safety Evaluation of Autologous Dendritic Cell Anticancer Immune Cell Therapy (Cellgram-DC)</t>
  </si>
  <si>
    <t>NCT04954131</t>
  </si>
  <si>
    <t>Immunogenicity and Safety Study of Adjuvanted SARS-CoV-2 (SCB-2019) Vaccine in Adultsin China</t>
  </si>
  <si>
    <t>Zhejiang Clover Biopharmaceuticals, Inc.</t>
  </si>
  <si>
    <t>NCT04821622</t>
  </si>
  <si>
    <t>Study of Talazoparib With Enzalutamide in Men With DDR Gene Mutated mCSPC</t>
  </si>
  <si>
    <t>NCT04748705</t>
  </si>
  <si>
    <t>Fibromyalgia Outcome Research Trial Evaluating Synergistic Suppression of HSV-1</t>
  </si>
  <si>
    <t>Virios Therapeutics, Inc.</t>
  </si>
  <si>
    <t>NCT05862831</t>
  </si>
  <si>
    <t>Clinical Study of PM1003 in Phase I/IIa Treatment of Advanced Malignant Solid Tumors</t>
  </si>
  <si>
    <t>NCT04748536</t>
  </si>
  <si>
    <t>Safety and PK of Repeated Doses of IRL201104 in Healthy Volunteers</t>
  </si>
  <si>
    <t>Revolo Biotherapeutics</t>
  </si>
  <si>
    <t>NCT04612699</t>
  </si>
  <si>
    <t>A Phase 2 Study of Jaktinib in Participants With Moderate to Severe Psoriasis</t>
  </si>
  <si>
    <t>NCT05178134</t>
  </si>
  <si>
    <t>A Phase 2 Bridging Study to Assess the New Formulation of ETVAX</t>
  </si>
  <si>
    <t>Scandinavian Biopharma AB</t>
  </si>
  <si>
    <t>NCT04987892</t>
  </si>
  <si>
    <t>Investigating Medication vs. Prostatic Urethral Lift: Assessment and Comparison of Therapies for BPH</t>
  </si>
  <si>
    <t>NeoTract, Inc.</t>
  </si>
  <si>
    <t>NCT05157711</t>
  </si>
  <si>
    <t>Clinical Trial of Anusol Ointment for Symptom Relief in Patients With Haemorrhoids</t>
  </si>
  <si>
    <t>NCT05382936</t>
  </si>
  <si>
    <t>Study of the PI3K Inhibitor SL-901 in Patients With Advanced Solid Tumors</t>
  </si>
  <si>
    <t>Stemline Therapeutics, Inc.</t>
  </si>
  <si>
    <t>NCT04999111</t>
  </si>
  <si>
    <t>A Study of Ad26.COV2.S Administered as Booster Vaccination in Adults Who Have Previously Received Primary Vaccination With Ad26.COV2.S or BNT162b2</t>
  </si>
  <si>
    <t>NCT06964711</t>
  </si>
  <si>
    <t>GW117 ODT （Orally Disintegrating Tablets） Safety and Pharmacokinetics Study in Healthy Subjects</t>
  </si>
  <si>
    <t>Beijing Greatway Pharmaceutical Technology Co.,Ltd.</t>
  </si>
  <si>
    <t>NCT04970407</t>
  </si>
  <si>
    <t>A Comparative Study to Evaluate the Effects and Mechanism of Action of Dysport®, Botox® and Xeomin® in the Extensor Digitorum Brevis Model in Healthy Adult Male Participants</t>
  </si>
  <si>
    <t>NCT04552899</t>
  </si>
  <si>
    <t>A Study to Evaluate the Efficacy and Safety of Recombinant Human Pentraxin-2 (rhPTX-2; PRM-151) in Participants With Idiopathic Pulmonary Fibrosis</t>
  </si>
  <si>
    <t>NCT05028608</t>
  </si>
  <si>
    <t>A Study to Learn What Happens to Elinzanetant in the Body When Taken With or Without Carbamazepine, and How Safe it is in Healthy Men and Women Aged 18 to 60 Years.</t>
  </si>
  <si>
    <t>NCT04702425</t>
  </si>
  <si>
    <t>VOB560-MIK665 Combination First in Human Trial in Patients With Hematological Malignancies (Relapsed/Refractory Non-Hodgkin Lymphoma, Relapsed/Refractory Acute Myeloid Leukemia, or Relapsed/Refractory Multiple Myeloma)</t>
  </si>
  <si>
    <t>NCT06569420</t>
  </si>
  <si>
    <t>Study Of Comparing SAF-189s With Crizotinib In First Line ALK-Positive Advanced and Metastatic NSCLC</t>
  </si>
  <si>
    <t>Shanghai Fosun Pharmaceutical Industrial Development Co. Ltd.</t>
  </si>
  <si>
    <t>NCT05017623</t>
  </si>
  <si>
    <t>A Study to Evaluate YH003 in Subjects With Advanced Solid Tumors</t>
  </si>
  <si>
    <t>NCT04718896</t>
  </si>
  <si>
    <t>A Study to Assess the Pharmacokinetics, Safety, and Efficacy of Two Doses of Bimekizumab in Adolescent Study Participants With Moderate to Severe Plaque Psoriasis</t>
  </si>
  <si>
    <t>NCT04988997</t>
  </si>
  <si>
    <t>VIBRANT Study of Vurolenatide in Adult Patients With Short Bowel Syndrome.</t>
  </si>
  <si>
    <t>NCT05022810</t>
  </si>
  <si>
    <t>A Bioequivalence Study of a New Paracetamol Oral Suspension 24mg/ml Compared to the Marketed Paracetamol Oral Suspension (Panadol Baby and Infant 24mg/ml) in Healthy Adult Subjects</t>
  </si>
  <si>
    <t>NCT04849559</t>
  </si>
  <si>
    <t>Effects of Tradipitant on Satiation, Gastric Volume, Gastric Accommodation, and Gastric Emptying in Healthy Volunteers</t>
  </si>
  <si>
    <t>NCT05103917</t>
  </si>
  <si>
    <t>A Study to Assess the Safety, Tolerability and Antitumor Activity of X4P-001 in Combination With TNBC</t>
  </si>
  <si>
    <t>NCT04656418</t>
  </si>
  <si>
    <t>CSL312 (Garadacimab) in the Prevention of Hereditary Angioedema Attacks</t>
  </si>
  <si>
    <t>NCT05282797</t>
  </si>
  <si>
    <t>Safety, Tolerability, Pharmacokinetics, and Pharmacodynamics of CB1 Antagonist ANEB-001 in a THC Challenge Test</t>
  </si>
  <si>
    <t>Anebulo Pharmaceuticals</t>
  </si>
  <si>
    <t>NCT05525182</t>
  </si>
  <si>
    <t>Efficacy and Safety of ES16001 in Patients With COVID-19</t>
  </si>
  <si>
    <t>Genencell Co. Ltd.</t>
  </si>
  <si>
    <t>NCT05217680</t>
  </si>
  <si>
    <t>Clinical Study to Evaluate PRO-169 for Diabetic Macular Edema</t>
  </si>
  <si>
    <t>NCT04661033</t>
  </si>
  <si>
    <t>Safety, Pharmacokinetics, and Efficacy of Subcutaneous Isatuximab in Adults With Warm Autoimmune Hemolytic Anemia (wAIHA)</t>
  </si>
  <si>
    <t>NCT04921358</t>
  </si>
  <si>
    <t>Tislelizumab in Combination With Sitravatinib in Participants With Locally Advanced or Metastatic Non-Small Cell Lung Cancer</t>
  </si>
  <si>
    <t>NCT05220878</t>
  </si>
  <si>
    <t>Comparative Study of Clinical Efficacy and Safety of GNR-069 and Nplate in Patients With ITP</t>
  </si>
  <si>
    <t>NCT04792008</t>
  </si>
  <si>
    <t>YQ23 Study in Patients With Critical Limb Ischaemia</t>
  </si>
  <si>
    <t>NCT05110976</t>
  </si>
  <si>
    <t>A Study to Investigate the Safety, Tolerability and Effects of AZD8630 in Healthy Subjects and Subjects With Asthma on Inhaled Corticosteroids and Long-acting Beta-agonists</t>
  </si>
  <si>
    <t>NCT05038618</t>
  </si>
  <si>
    <t>A Study o Evaluate the Safety, Tolerability, and Immunogenicity of MVC-COV1901, CT-COV-21 Sub-study</t>
  </si>
  <si>
    <t>NCT04714190</t>
  </si>
  <si>
    <t>A Study of RC48-ADC in Local Advanced or Metastatic Gastric Cancer With the HER2-Overexpression</t>
  </si>
  <si>
    <t>NCT04837560</t>
  </si>
  <si>
    <t>Safety and Efficacy of the ElastiMed's SACS 2.0 - Smart Active Compression Stocking for the Treatment of Venous Edema</t>
  </si>
  <si>
    <t>ElastiMed ltd</t>
  </si>
  <si>
    <t>NCT04949425</t>
  </si>
  <si>
    <t>A Study to Assess the Safety and Tolerability of Adavosertib for Patients With Advanced Solid Tumours</t>
  </si>
  <si>
    <t>NCT07588646</t>
  </si>
  <si>
    <t>Study To Investigate The Potential DDI Between HEC585 And Pirfenidone/Nintedanib In Healthy Subjects</t>
  </si>
  <si>
    <t>NCT04932252</t>
  </si>
  <si>
    <t>A Study of A4368 in Healthy Subjects</t>
  </si>
  <si>
    <t>Autophagy Sciences, Inc.</t>
  </si>
  <si>
    <t>NCT04906460</t>
  </si>
  <si>
    <t>Open-label Study of WVE-N531 in Patients With Duchenne Muscular Dystrophy (FORWARD-53)</t>
  </si>
  <si>
    <t>NCT05013424</t>
  </si>
  <si>
    <t>A Study of OnabotulinumtoxinA X Injection in Adult Participants With Glabellar Lines</t>
  </si>
  <si>
    <t>NCT06021678</t>
  </si>
  <si>
    <t>Safety and Efficacy of EX103 in Subjects with Relapsed/Refractory CD20-Positive Non-Hodgkin Lymphoma</t>
  </si>
  <si>
    <t>Guangzhou Excelmab Inc.</t>
  </si>
  <si>
    <t>NCT04562389</t>
  </si>
  <si>
    <t>Study of Selinexor in Combination With Ruxolitinib in Myelofibrosis</t>
  </si>
  <si>
    <t>NCT06582732</t>
  </si>
  <si>
    <t>Performance of the Travoprost Intraocular Implant</t>
  </si>
  <si>
    <t>NCT04944121</t>
  </si>
  <si>
    <t>Phase 2 Study of RSLV-132 in Subjects With Long COVID</t>
  </si>
  <si>
    <t>Resolve Therapeutics</t>
  </si>
  <si>
    <t>NCT04964089</t>
  </si>
  <si>
    <t>A Study to Evaluate the Efficacy and Safety of Intravitreal KSI-301 Compared With Intravitreal Aflibercept in Participants With Neovascular (Wet) Age-related Macular Degeneration (wAMD)</t>
  </si>
  <si>
    <t>NCT04772274</t>
  </si>
  <si>
    <t>A Study to Compare SB17 (Proposed Ustekinumab Biosimilar) to European Union (EU) Sourced Stelara and United States of America (US) Sourced Stelara in Healthy Subjects</t>
  </si>
  <si>
    <t>NCT05149313</t>
  </si>
  <si>
    <t>A Study of Lebrikizumab in Combination With Topical Corticosteroids in Patients With Atopic Dermatitis (AD) That Are Not Adequately Controlled With or Are Non-eligible for Cyclosporine</t>
  </si>
  <si>
    <t>NCT04855760</t>
  </si>
  <si>
    <t>Safety of REL-1017 for Major Depressive Disorder</t>
  </si>
  <si>
    <t>Relmada Therapeutics, Inc.</t>
  </si>
  <si>
    <t>NCT05083923</t>
  </si>
  <si>
    <t>A Study of Diroximel Fumarate (DRF) in Adult Participants From the Asia-Pacific Region With Relapsing Forms of Multiple Sclerosis (RMS)</t>
  </si>
  <si>
    <t>NCT05103046</t>
  </si>
  <si>
    <t>First in Human Study of UCT-03-008 in Participants With Advanced Solid Tumors</t>
  </si>
  <si>
    <t>1200 Pharma, LLC</t>
  </si>
  <si>
    <t>NCT04695327</t>
  </si>
  <si>
    <t>TNFα and IL-2 Coding Oncolytic Adenovirus TILT-123 Monotherapy</t>
  </si>
  <si>
    <t>NCT05144698</t>
  </si>
  <si>
    <t>RAPA-201 Therapy of Solid Tumors</t>
  </si>
  <si>
    <t>NCT04801693</t>
  </si>
  <si>
    <t>A Study in Healthy Men to Test How Well Different Doses of BI 1819479 Are Tolerated and Taken up by the Body With or Without Food</t>
  </si>
  <si>
    <t>NCT05011526</t>
  </si>
  <si>
    <t>A Study to Evaluate Immunogenicity and Safety of MVC-COV1901 Compared With AZD1222 Against COVID-19 in Adults</t>
  </si>
  <si>
    <t>NCT04852978</t>
  </si>
  <si>
    <t>COVID-19 Study to Assess Immunogenicity, Safety, and Tolerability of Moderna mRNA-1273 Vaccine Administered With Casirivimab+Imdevimab in Healthy Adult Volunteers</t>
  </si>
  <si>
    <t>NCT04882085</t>
  </si>
  <si>
    <t>Efficacy and Safety of CAZ-AVI in the Treatment of Infections Due to Carbapenem-resistant G- Pathogens in Chinese Adults</t>
  </si>
  <si>
    <t>NCT04965350</t>
  </si>
  <si>
    <t>Lot Consistency Clinical Trial of Bivalent HPV Vaccine in 9 to 30 Years Old Healthy Females</t>
  </si>
  <si>
    <t>Shanghai Zerun Biotechnology Co.,Ltd</t>
  </si>
  <si>
    <t>NCT04756960</t>
  </si>
  <si>
    <t>Evaluation of the Absolute Bioavailability and Mass Balance of CHF6001 (Tanimilast) in Healthy Subjects</t>
  </si>
  <si>
    <t>NCT04978779</t>
  </si>
  <si>
    <t>A Study to Evaluate VIP152 in Subjects With Relapsed/Refractory Chronic Lymphocytic Leukemia or Richter Syndrome</t>
  </si>
  <si>
    <t>Vincerx Pharma, Inc.</t>
  </si>
  <si>
    <t>NCT04950127</t>
  </si>
  <si>
    <t>Global Linerixibat Itch Study of Efficacy and Safety in Primary Biliary Cholangitis (PBC) (GLISTEN)</t>
  </si>
  <si>
    <t>NCT05376969</t>
  </si>
  <si>
    <t>Evaluate the Long Term Safety and Efficacy of DWP16001 add-on to Metformin in Patients With T2DM Inadequately Controlled on Metformin</t>
  </si>
  <si>
    <t>NCT05216497</t>
  </si>
  <si>
    <t>Efficacy and Safety of Ingavirin®, 90 mg Capsules in Patients With COVID-19</t>
  </si>
  <si>
    <t>Valenta Pharm JSC</t>
  </si>
  <si>
    <t>NCT05147220</t>
  </si>
  <si>
    <t>Efficacy and Safety of Remibrutinib Compared to Teriflunomide in Participants With Relapsing Multiple Sclerosis (RMS)</t>
  </si>
  <si>
    <t>NCT04940624</t>
  </si>
  <si>
    <t>A Study of Soticlestat as an Add-on Therapy in Children and Young Adults With Dravet Syndrome</t>
  </si>
  <si>
    <t>NCT05047523</t>
  </si>
  <si>
    <t>Study of ALXN1840 Versus Standard of Care in Pediatric Participants With Wilson Disease</t>
  </si>
  <si>
    <t>NCT04802759</t>
  </si>
  <si>
    <t>A Study Evaluating the Efficacy and Safety of Multiple Treatment Combinations in Participants With Breast Cancer</t>
  </si>
  <si>
    <t>NCT05195879</t>
  </si>
  <si>
    <t>A Study of XTR004 Radiotracer in Healthy Volunteers</t>
  </si>
  <si>
    <t>Sinotau Pharmaceutical Group</t>
  </si>
  <si>
    <t>NCT04656288</t>
  </si>
  <si>
    <t>A Study in Healthy Men to Test if Different Formulations of BI 764198 With or Without Food Influence the Amount of BI 764198 in the Blood</t>
  </si>
  <si>
    <t>NCT05114486</t>
  </si>
  <si>
    <t>Safety &amp; Efficacy of Pilocarpine Ophthalmic Spray for Temporary Improvement of Near Vision in Presbyopic Adults</t>
  </si>
  <si>
    <t>NCT04865770</t>
  </si>
  <si>
    <t>A Research Study to Find Out How Semaglutide Works in the Kidneys Compared to Placebo, in People With Type 2 Diabetes and Chronic Kidney Disease (the REMODEL Trial)</t>
  </si>
  <si>
    <t>NCT04903873</t>
  </si>
  <si>
    <t>A Study to Evaluate Safety, Efficacy, and Pharmacokinetics in Participants With Advanced Solid Tumors</t>
  </si>
  <si>
    <t>Eutilex</t>
  </si>
  <si>
    <t>NCT05156125</t>
  </si>
  <si>
    <t>VTX002 Versus Placebo for the Treatment of Moderately to Severely Active Ulcerative Colitis</t>
  </si>
  <si>
    <t>NCT05298813</t>
  </si>
  <si>
    <t>Phase 1/2 Study to Evaluate the Efficacy and Safety of Inhaled IBIO123 in Participants With Mild to Moderate COVID-19 Illness</t>
  </si>
  <si>
    <t>Immune Biosolutions Inc</t>
  </si>
  <si>
    <t>NCT05075603</t>
  </si>
  <si>
    <t>Relapsed/Refractory Large B-cell Lymphoma With NT-I7 Post-CD19 CAR T-cell Therapy</t>
  </si>
  <si>
    <t>NCT04804514</t>
  </si>
  <si>
    <t>Evaluation of the Safety and Tolerability of KH001 in Dentin Hypersensitivity Patients</t>
  </si>
  <si>
    <t>HysensBio Co., Ltd</t>
  </si>
  <si>
    <t>NCT04636814</t>
  </si>
  <si>
    <t>A 52-week, Placebo- and Active- Controlled (Roflumilast, Daliresp® 500µg) Study to Evaluate the Efficacy and Safety of Two Doses of CHF6001 DPI (Tanimilast) as add-on to Maintenance Triple Therapy in Subjects With COPD and Chronic Bronchitis. (PILLAR)</t>
  </si>
  <si>
    <t>NCT05072535</t>
  </si>
  <si>
    <t>A Study to Evaluate Relative Bioavailability and Food-Effect of HA121-28 Tablet B in Healthy Subjects</t>
  </si>
  <si>
    <t>NCT04832425</t>
  </si>
  <si>
    <t>A Clinical Trial of PRAX-114 in Participants With Major Depressive Disorder</t>
  </si>
  <si>
    <t>NCT05058040</t>
  </si>
  <si>
    <t>A Clinical Study to Evaluate the Long-Term Safety Sodium Oligomannate Capsules (GV-971)</t>
  </si>
  <si>
    <t>NCT04783389</t>
  </si>
  <si>
    <t>A Study to Evaluate CBP-201, Rademikibart, in Adult Patients With Chronic Rhinosinusitis With Nasal Polyps</t>
  </si>
  <si>
    <t>NCT05357820</t>
  </si>
  <si>
    <t>A Study of AB-106 in Chinese Healthy Adult Men Evaluated the Effects of Itraconazole and Rifampicin on AB-106 PK</t>
  </si>
  <si>
    <t>NCT05030324</t>
  </si>
  <si>
    <t>A Study to Evaluate the Safety, Tolerability and Efficacy of XC221 in Patients With Uncomplicated Influenza or Other Acute Viral Upper Respiratory Infections</t>
  </si>
  <si>
    <t>NCT04908046</t>
  </si>
  <si>
    <t>A Study of HMPL-295S1 in Patients With Advanced Malignant Solid Tumors</t>
  </si>
  <si>
    <t>NCT04869488</t>
  </si>
  <si>
    <t>A Trial of SHR3162 Combined With Apatinib Mesylate Tablets or SHR3162 Monotherapy in Patients With Metastatic Castration Resistant Prostate Cancer</t>
  </si>
  <si>
    <t>NCT04770220</t>
  </si>
  <si>
    <t>An Efficacy and Safety Study of ALZ-801 in APOE4/4 Early AD Subjects</t>
  </si>
  <si>
    <t>NCT05070546</t>
  </si>
  <si>
    <t>A Study of an Ad26.RSV. preF-based Vaccine in Adults Aged 18 to 59 Years, Including Adults at High Risk for Severe RSV Infection</t>
  </si>
  <si>
    <t>NCT04770896</t>
  </si>
  <si>
    <t>A Study of Atezolizumab With Lenvatinib or Sorafenib Versus Lenvatinib or Sorafenib Alone in Hepatocellular Carcinoma Previously Treated With Atezolizumab and Bevacizumab</t>
  </si>
  <si>
    <t>NCT06525246</t>
  </si>
  <si>
    <t>Study of ONO-7475 in Combination With Osimertinib in EGFR Gene Mutation-positive Non-small Cell Lung Cancer</t>
  </si>
  <si>
    <t>NCT05059262</t>
  </si>
  <si>
    <t>Study of Vimseltinib for Tenosynovial Giant Cell Tumor</t>
  </si>
  <si>
    <t>Deciphera Pharmaceuticals, LLC</t>
  </si>
  <si>
    <t>NCT05207787</t>
  </si>
  <si>
    <t>Phase Ⅰ/Ⅱ Study of the HS-10365 in Patients With Advanced Solid Tumors</t>
  </si>
  <si>
    <t>NCT04681833</t>
  </si>
  <si>
    <t>Safety and Efficacy of BARS13 in the Elderly</t>
  </si>
  <si>
    <t>Advaccine (Suzhou) Biopharmaceuticals Co., Ltd.</t>
  </si>
  <si>
    <t>NCT04929249</t>
  </si>
  <si>
    <t>A Randomized Study to Evaluate the Effect of an "Inclisiran First" Implementation Strategy Compared to Usual Care in Patients With Atherosclerotic Cardiovascular Disease and Elevated LDL-C Despite Receiving Maximally Tolerated Statin Therapy (VICTORION-INITIATE)</t>
  </si>
  <si>
    <t>NCT04920617</t>
  </si>
  <si>
    <t>DPX-Survivac and Pembrolizumab With and Without Intermittent Low-Dose Cyclophosphamide, in Subjects With Relapsed/Refractory Diffuse Large B-Cell Lymphoma</t>
  </si>
  <si>
    <t>ImmunoVaccine Technologies, Inc. (IMV Inc.)</t>
  </si>
  <si>
    <t>NCT04837040</t>
  </si>
  <si>
    <t>A Study to Evaluate the Safety and Efficacy of Paltusotine for the Treatment of Acromegaly</t>
  </si>
  <si>
    <t>NCT05576298</t>
  </si>
  <si>
    <t>A Clinical Study Comparing the Pharmacokinetics and Pharmacodynamic Characteristics of Insulin Degludec Injection (RD15003) and Insulin Degludec Injection (Tresiba®) in Healthy Subjects</t>
  </si>
  <si>
    <t>NCT04806893</t>
  </si>
  <si>
    <t>Study of Long-Term Efficacy and Safety of LIB003 in CVD or High Risk for CVD Patients Needing Further LDL-C Reduction</t>
  </si>
  <si>
    <t>NCT05127226</t>
  </si>
  <si>
    <t>HALOS: A Safety, Tolerability, Pharmacokinetics and Pharmacodynamics Study of Multiple Ascending Doses of ION582 in Participants With Angelman Syndrome</t>
  </si>
  <si>
    <t>NCT05089708</t>
  </si>
  <si>
    <t>AkLief Evaluation in Acne-induced Post-Inflammatory Hyperpigmentation</t>
  </si>
  <si>
    <t>NCT04869384</t>
  </si>
  <si>
    <t>Effect of Electronic Monitoring and Feedback on Adherence to Easyhaler Controller Medication in Patients With Asthma</t>
  </si>
  <si>
    <t>NCT04975958</t>
  </si>
  <si>
    <t>Double/Triple Combinations of AN2025, AN0025 and Atezolizumab in Advanced Solid Tumors</t>
  </si>
  <si>
    <t>NCT04985955</t>
  </si>
  <si>
    <t>A Study Validating the Use of Candin as a Challenge Agent in Healthy Participants - Intervention Specific Appendix 3</t>
  </si>
  <si>
    <t>NCT05109078</t>
  </si>
  <si>
    <t>ADME Study of [14C]- Rongliflozin in Healthy Male Subjects</t>
  </si>
  <si>
    <t>NCT04936035</t>
  </si>
  <si>
    <t>A Study to Evaluate Efficacy and Safety of ALN-AGT01 in Patients With Mild To-Moderate Hypertension</t>
  </si>
  <si>
    <t>NCT05164263</t>
  </si>
  <si>
    <t>Real World Safety &amp; Efficacy Experience of Empagliflozin With or Without Metformin in T2DM Patients - EASE Study</t>
  </si>
  <si>
    <t>NCT04842604</t>
  </si>
  <si>
    <t>Continuation Study of B1371019(NCT03416179) and B1371012(NCT02367456) Evaluating Azacitidine With Or Without Glasdegib In Patients With Previously Untreated AML, MDS or CMML</t>
  </si>
  <si>
    <t>NCT04843449</t>
  </si>
  <si>
    <t>Study to Evaluate the Effects of Itraconazole and Rifampin on the Pharmacokinetics of ASC40 in Healthy Subjects</t>
  </si>
  <si>
    <t>NCT05188638</t>
  </si>
  <si>
    <t>Safety of Ascending Single and Multiple Doses of Nebulised SoftOx Inhalation Solution in Healthy Subjects</t>
  </si>
  <si>
    <t>NCT04908215</t>
  </si>
  <si>
    <t>INM-755 (Cannabinol) Cream for Treatment of Epidermolysis Bullosa</t>
  </si>
  <si>
    <t>InMed Pharmaceuticals Inc.</t>
  </si>
  <si>
    <t>NCT04771143</t>
  </si>
  <si>
    <t>Study to Assess Safety, Tolerability, and Interactions of Cocaine and Oral AFQ056</t>
  </si>
  <si>
    <t>NCT07120308</t>
  </si>
  <si>
    <t>To Evaluate the Efficacy and Safety of ZKY001 Eye Drops in the Treatment of Corneal Epithelial Defects Caused by Neurotrophic Keratitis</t>
  </si>
  <si>
    <t>NCT04550832</t>
  </si>
  <si>
    <t>PanACEA DElpazolid Dose-finding and COmbination DEvelopment (DECODE)</t>
  </si>
  <si>
    <t>NCT04914221</t>
  </si>
  <si>
    <t>The Safety and PK Characteristics of the Co-administration of JLP-2002 and Comparator in Healthy Volunteers</t>
  </si>
  <si>
    <t>NCT05314621</t>
  </si>
  <si>
    <t>A Study Comparing the Efficacy of Pataday® Once Daily Relief Extra Strength to Flonase® Allergy Relief in Subjects With Allergic Conjunctivitis</t>
  </si>
  <si>
    <t>Andover Research Eye Institute</t>
  </si>
  <si>
    <t>NCT05015361</t>
  </si>
  <si>
    <t>A Trial of Efficacy and Safety of Remimazolam Tosilate for Injection in Local Anesthesia Assisted Sedation</t>
  </si>
  <si>
    <t>NCT04747470</t>
  </si>
  <si>
    <t>Study to Assess the Effects of GS-3583 in Participants With Advanced Solid Tumors</t>
  </si>
  <si>
    <t>NCT05002270</t>
  </si>
  <si>
    <t>JAB-21822 Activity in Adult Patients With Advanced Solid Tumors Harboring KRAS G12C Mutation</t>
  </si>
  <si>
    <t>NCT04562116</t>
  </si>
  <si>
    <t>A Study to Assess the Effects of Nemolizumab on Cytochrome P450 Substrates in Participants With Moderate-to-Severe Atopic Dermatitis</t>
  </si>
  <si>
    <t>NCT05050448</t>
  </si>
  <si>
    <t>Comparative Usability Evaluation of Sustained Acoustic Medicine (SAM) Devices and Topical Gel for OA Knee Pain</t>
  </si>
  <si>
    <t>ZetrOZ, Inc.</t>
  </si>
  <si>
    <t>NCT04816526</t>
  </si>
  <si>
    <t>Descartes-08 Consolidation Treatment in Patients With High-Risk Multiple Myeloma High-Risk Multiple Myeloma Who Have Residual Disease After Induction Therapy</t>
  </si>
  <si>
    <t>Cartesian Therapeutics</t>
  </si>
  <si>
    <t>NCT04849026</t>
  </si>
  <si>
    <t>Bioequivalence Study in Patients With Schizophrenia by Using Clozaril 100 mg Tablet (Clozapine) and WID-CLZ18</t>
  </si>
  <si>
    <t>Whanin Pharmaceutical Company</t>
  </si>
  <si>
    <t>NCT04701021</t>
  </si>
  <si>
    <t>TENDU Vaccine in Patients With Relapse After Primary Radical Prostatectomy</t>
  </si>
  <si>
    <t>NCT04260126</t>
  </si>
  <si>
    <t>Study of PDS0101 and Pembrolizumab Combination I/O in Subjects With HPV16 + Recurrent and/or Metastatic HNSCC</t>
  </si>
  <si>
    <t>PDS Biotechnology Corp.</t>
  </si>
  <si>
    <t>NCT05191563</t>
  </si>
  <si>
    <t>A Study to Compare the Pharmacokinetics, Safety and Tolerability Between Fixed-Dose Combination of HCP1904 and Co-Administration of RLD2001-2 and RLD2006 Tablets in Healthy Subjects.</t>
  </si>
  <si>
    <t>NCT04666298</t>
  </si>
  <si>
    <t>Study of Efficacy and Safety of Inclisiran in Japanese Participants With High Cardiovascular Risk and Elevated LDL-C</t>
  </si>
  <si>
    <t>NCT04818398</t>
  </si>
  <si>
    <t>Study of Single-Ascending Doses of DS-6016a in Healthy Japanese Subjects</t>
  </si>
  <si>
    <t>NCT04617314</t>
  </si>
  <si>
    <t>A Study of RC108-ADC in Subjects With Advanced Malignant Solid Tumors</t>
  </si>
  <si>
    <t>NCT04620148</t>
  </si>
  <si>
    <t>TAK-242 in Patients With Acute Alcoholic Hepatitis</t>
  </si>
  <si>
    <t>Akaza Bioscience Ltd</t>
  </si>
  <si>
    <t>NCT04633226</t>
  </si>
  <si>
    <t>Safety and Immunogenicity of V114 in Healthy Infants in South Korea (V114-036)</t>
  </si>
  <si>
    <t>NCT04704843</t>
  </si>
  <si>
    <t>A Study of Guselkumab in Adult Participants With Celiac Disease</t>
  </si>
  <si>
    <t>NCT04803708</t>
  </si>
  <si>
    <t>Bacteriophage Therapy TP-102 in Diabetic Foot Ulcers</t>
  </si>
  <si>
    <t>Technophage, SA</t>
  </si>
  <si>
    <t>NCT04944290</t>
  </si>
  <si>
    <t>To Compare the Efficacy and Safety of Perrigo's Product to an FDA Approved Product for the Treatment of Glaucoma or Ocular Hypertension in Both Eyes</t>
  </si>
  <si>
    <t>Padagis LLC</t>
  </si>
  <si>
    <t>NCT04746040</t>
  </si>
  <si>
    <t>A Bioequivalence Study Between Fluticasone Propionate 250 mcg and Salmeterol Xinafoate 50 mcg Inhalation Powder/Respirent Pharmaceuticals vs. ADVAIR DISKUS® 250/50 Inhalation Powder/GSK in Healthy Volunteers</t>
  </si>
  <si>
    <t>NCT04967833</t>
  </si>
  <si>
    <t>A Study of GC101 TIL in Advanced Solid Tumors (TR)</t>
  </si>
  <si>
    <t>Shanghai Juncell Therapeutics</t>
  </si>
  <si>
    <t>NCT04642248</t>
  </si>
  <si>
    <t>A Comprehensive Analysis for Identification of Risk Factors for Running-Related Injuries</t>
  </si>
  <si>
    <t>ACE Running LLC</t>
  </si>
  <si>
    <t>NCT04308278</t>
  </si>
  <si>
    <t>Study to Evaluate the Efficacy of 2LEBV® and 2LXFS® on Asthenia in Patients With an Epstein-Barr Virus Infection</t>
  </si>
  <si>
    <t>NCT05083585</t>
  </si>
  <si>
    <t>A Study Evaluating the Immunogenicity of Different Clinical Trial Materials of Ad26.RSV.preF- Based Vaccine in Adults Aged 60 - 75 Years Old</t>
  </si>
  <si>
    <t>NCT04585789</t>
  </si>
  <si>
    <t>A Study to Assess Intrahepatic and Peripheral Changes of Immunologic and Virologic Markers in Chronic Hepatitis B Virus Infection</t>
  </si>
  <si>
    <t>NCT04809818</t>
  </si>
  <si>
    <t>A Study to Evaluate Safety and PK of Multiple Doses of LT3001 Drug Product and Drug-drug Interaction in Healthy Subjects</t>
  </si>
  <si>
    <t>NCT05218408</t>
  </si>
  <si>
    <t>CYNK-001 IV and IC in Combination With IL2 in Surgical Eligible Recurrent GBM With IDH-1 Wild Type</t>
  </si>
  <si>
    <t>NCT04762589</t>
  </si>
  <si>
    <t>RT001 in Amyotrophic Lateral Sclerosis</t>
  </si>
  <si>
    <t>Biojiva LLC</t>
  </si>
  <si>
    <t>NCT05180474</t>
  </si>
  <si>
    <t>GEN1047 for Solid Tumors - First in Human (FIH) Trial</t>
  </si>
  <si>
    <t>NCT04789655</t>
  </si>
  <si>
    <t>Study of CC-96191 in Participants With Relapsed or Refractory Acute Myeloid Leukemia</t>
  </si>
  <si>
    <t>NCT05012943</t>
  </si>
  <si>
    <t>The ARCT-154 Self-Amplifying RNA Vaccine Efficacy Study (ARCT-154-01)</t>
  </si>
  <si>
    <t>Vinbiocare Biotechnology Joint Stock Company</t>
  </si>
  <si>
    <t>NCT04769648</t>
  </si>
  <si>
    <t>Safety and Efficacy of Pro-ocular™ 1% in Daily Scleral Lens Wearing Patients With Ocular Graft-versus-Host Disease</t>
  </si>
  <si>
    <t>Glia, LLC</t>
  </si>
  <si>
    <t>NCT04632225</t>
  </si>
  <si>
    <t>Safety of Engensis in Participants With Amyotrophic Lateral Sclerosis</t>
  </si>
  <si>
    <t>NCT04847518</t>
  </si>
  <si>
    <t>Assessment of Efficacy of KAN-JANG® in Mild COVID-19</t>
  </si>
  <si>
    <t>Swedish Herbal Institute AB</t>
  </si>
  <si>
    <t>NCT04933721</t>
  </si>
  <si>
    <t>Open-label Berotralstat Access to HAE Patients Previously Enrolled in Berotralstat Studies</t>
  </si>
  <si>
    <t>NCT04745104</t>
  </si>
  <si>
    <t>A Trial of SHR-1707 in Healthy Young Adult and Elderly Subjects</t>
  </si>
  <si>
    <t>NCT04620304</t>
  </si>
  <si>
    <t>Study for Evaluation of the Safety, Pharmacokinetics, and Antiviral Activity of UB-421 Subcutaneous Formulation Administered in HIV-1 Infected Treatment Naive Patients</t>
  </si>
  <si>
    <t>NCT04948333</t>
  </si>
  <si>
    <t>Asciminib Treatment Optimization in ≥ 3rd Line CML-CP</t>
  </si>
  <si>
    <t>NCT04695847</t>
  </si>
  <si>
    <t>M1231 in Participants With Solid Tumors</t>
  </si>
  <si>
    <t>NCT04945226</t>
  </si>
  <si>
    <t>A Clinical Trial to Assess Pharmacokinetic/Pharmacodynamic Profiles and Safety of IVL3001</t>
  </si>
  <si>
    <t>Inventage Lab., Inc.</t>
  </si>
  <si>
    <t>NCT04453085</t>
  </si>
  <si>
    <t>An Extension Study of JR-171-101 Study in Patients With Mucopolysaccharidosis Type I (MPS I)</t>
  </si>
  <si>
    <t>NCT04871815</t>
  </si>
  <si>
    <t>Effects of Sodium Pyruvate Nasal Spray in COVID-19 Long Haulers.</t>
  </si>
  <si>
    <t>Cellular Sciences, inc.</t>
  </si>
  <si>
    <t>NCT04810676</t>
  </si>
  <si>
    <t>A Clinical Trial to Evaluate the Pharmacokinetic Profiles and Safety of CKD-383.</t>
  </si>
  <si>
    <t>NCT04740476</t>
  </si>
  <si>
    <t>An Open-Label Extension Study of STK-001 for Patients With Dravet Syndrome</t>
  </si>
  <si>
    <t>NCT04985604</t>
  </si>
  <si>
    <t>Tovorafenib (DAY101) Monotherapy for Patients With Melanoma and Other Solid Tumors</t>
  </si>
  <si>
    <t>Day One Biopharmaceuticals, Inc.</t>
  </si>
  <si>
    <t>NCT04590547</t>
  </si>
  <si>
    <t>GLS-1027 for the Prevention of Severe Pneumonitis Caused by SARS-CoV-2 Infection (COVID-19)</t>
  </si>
  <si>
    <t>NCT05189548</t>
  </si>
  <si>
    <t>To Evaluate the Safety and Primary Immunogenicity of Cell-free (Three-component) Combination Vaccine for Phase I Immunogenicity in Children and Infants</t>
  </si>
  <si>
    <t>NCT05216341</t>
  </si>
  <si>
    <t>Study of OLP-1002 Injections for Reducing Moderate to Severe Pain Due to Osteoarthritis in Hip and/or Knee Joint</t>
  </si>
  <si>
    <t>OliPass Corporation</t>
  </si>
  <si>
    <t>NCT04736602</t>
  </si>
  <si>
    <t>Efficacy and Safety Study of Triptorelin 3-Month Formulation in Chinese Children With Central Precocious Puberty.</t>
  </si>
  <si>
    <t>NCT05190445</t>
  </si>
  <si>
    <t>Cinrebafusp Alfa in Combination With Ramucirumab and Paclitaxel in HER2-High Gastric or GEJ Adenocarcinoma and in Combination With Tucatinib in HER2-Low Gastric or GEJ Andenocarinoma</t>
  </si>
  <si>
    <t>Pieris Pharmaceuticals, Inc.</t>
  </si>
  <si>
    <t>NCT04675528</t>
  </si>
  <si>
    <t>Food Effect on Pharmacokinetics and Safety of DHP107 (Liporaxel®) FEEL Study</t>
  </si>
  <si>
    <t>Daehwa Pharmaceutical Co., Ltd.</t>
  </si>
  <si>
    <t>NCT05082051</t>
  </si>
  <si>
    <t>Oral CDX-7108 in Healthy Adults and EPI Subjects</t>
  </si>
  <si>
    <t>NCT04660929</t>
  </si>
  <si>
    <t>CAR-macrophages for the Treatment of HER2 Overexpressing Solid Tumors</t>
  </si>
  <si>
    <t>Carisma Therapeutics Inc</t>
  </si>
  <si>
    <t>NCT04446637</t>
  </si>
  <si>
    <t>Acute Bronchodilator Effects of Ipratropium/Levosalbutamol 20/50 mcg Fixed Dose Combination vs Salbutamol 100 mcg Inhaler Plus Ipratropium 20 mcg Inhalation Aerosol Free Combination in Patients With Stable COPD</t>
  </si>
  <si>
    <t>NCT06365437</t>
  </si>
  <si>
    <t>A Dose Escalation Study of TCD601 Compared to ATG in de Novo Renal Transplantation</t>
  </si>
  <si>
    <t>NCT04879628</t>
  </si>
  <si>
    <t>Proof-of-concept Study for SAR441344 (Frexalimab) in Relapsing Multiple Sclerosis</t>
  </si>
  <si>
    <t>NCT06051565</t>
  </si>
  <si>
    <t>Cardiovascular Contrast-enhanced Magnetic Resonance Imaging Using Polysaccharide Superparamagnetic Iron Oxide Injection in Diabetic Patients</t>
  </si>
  <si>
    <t>NCT04685473</t>
  </si>
  <si>
    <t>Safety and Tolerability Study for T-1101 (Tosylate) Capsules to Treat Advanced Refractory Solid Tumors</t>
  </si>
  <si>
    <t>Taivex Therapeutics Corporation</t>
  </si>
  <si>
    <t>NCT04855045</t>
  </si>
  <si>
    <t>An Open-label, Dose Escalation and Double-masked, Randomized, Controlled Trial Evaluating Safety and Tolerability of Sepofarsen in Children (&lt;8 Years of Age) With LCA10 Caused by Mutations in the CEP290 Gene.</t>
  </si>
  <si>
    <t>ProQR Therapeutics</t>
  </si>
  <si>
    <t>NCT04798001</t>
  </si>
  <si>
    <t>Safety and Immunogenicity of an Intranasal RSV Vaccine Expressing SARS-CoV-2 Spike Protein (COVID-19 Vaccine) in Adults</t>
  </si>
  <si>
    <t>NCT05062330</t>
  </si>
  <si>
    <t>The TRANQUILITY 2 Trial: A Phase 3 Clinical Trial to Assess the Efficacy and Safety in Subjects With Dry Eye Disease</t>
  </si>
  <si>
    <t>NCT04755283</t>
  </si>
  <si>
    <t>Safety and Tolerability of Abelacimab (MAA868) vs. Rivaroxaban in Patients With Atrial Fibrillation</t>
  </si>
  <si>
    <t>Anthos Therapeutics, Inc.</t>
  </si>
  <si>
    <t>NCT04816669</t>
  </si>
  <si>
    <t>A Study to Evaluate Safety, Tolerability, &amp; Immunogenicity of Multiple Formulations of BNT162b2 Against COVID-19 in Healthy Adults</t>
  </si>
  <si>
    <t>NCT04725331</t>
  </si>
  <si>
    <t>A Clinical Trial Assessing BT-001 Alone and in Combination With Pembrolizumab in Metastatic or Advanced Solid Tumors</t>
  </si>
  <si>
    <t>NCT04881045</t>
  </si>
  <si>
    <t>Study to Test the Safety and Tolerability of PF-07257876 in Participants With Selected Advanced Tumors.</t>
  </si>
  <si>
    <t>NCT05041257</t>
  </si>
  <si>
    <t>Mirvetuximab Soravtansine Monotherapy in Platinum-Sensitive Epithelial, Peritoneal, and Fallopian Tube Cancers</t>
  </si>
  <si>
    <t>NCT05321602</t>
  </si>
  <si>
    <t>Study to Evaluate the PK Profiles of LY03010 in Patients With Schizophrenia or Schizoaffective Disorder</t>
  </si>
  <si>
    <t>NCT05142553</t>
  </si>
  <si>
    <t>Immunogenicity and Safety of a Booster Vaccination With a Recombinant Protein RBD Candidate Vaccine Against SARS-CoV-2 in Healthy Adults Volunteers Fully Vaccinated Followed by an Extension Period to Study a Fourth Dose Administration.</t>
  </si>
  <si>
    <t>Hipra Scientific, S.L.U</t>
  </si>
  <si>
    <t>NCT05005975</t>
  </si>
  <si>
    <t>Extension Study to Evaluate Safety and Tolerability of Oral Dersimelagon (MT-7117) in Subjects With Erythropoietic Protoporphyria (EPP) or X-Linked Protoporphyria (XLP)</t>
  </si>
  <si>
    <t>NCT05170269</t>
  </si>
  <si>
    <t>Prevention of Maternal-fetal Cytomegalovirus Transmission After Primary Maternal Infection, GW ≤ 14 (PreCyssion)</t>
  </si>
  <si>
    <t>NCT04672954</t>
  </si>
  <si>
    <t>A Study in Healthy Men to Test How Different Doses of BI 474121 Are Taken up and How They Influence the Amount of a Molecular Messenger (cGMP) in the Spinal Fluid</t>
  </si>
  <si>
    <t>NCT04859751</t>
  </si>
  <si>
    <t>Study of VB4-845 Injection for Treating Patients With Non-muscle Invasive Bladder Cancer</t>
  </si>
  <si>
    <t>NCT04969497</t>
  </si>
  <si>
    <t>Study of PK, Safety, and Tolerability of 2 Lots of M207 &amp; Intranasal Zolmitriptan in Healthy Volunteers</t>
  </si>
  <si>
    <t>Zosano Pharma Corporation</t>
  </si>
  <si>
    <t>NCT05070260</t>
  </si>
  <si>
    <t>ACTISAVE: ACuTe Ischemic Stroke Study Evaluating Glenzocimab Used as Add-on Therapy Versus placEbo</t>
  </si>
  <si>
    <t>NCT04865458</t>
  </si>
  <si>
    <t>A Study to Evaluate the Tolerability, Safety, Pharmacokinetics of HEC89736 in Patients With Relapsed or Refractory B-cell Hematologic Malignancies</t>
  </si>
  <si>
    <t>NCT05086276</t>
  </si>
  <si>
    <t>FX-322 in Adults With Acquired Sensorineural Hearing Loss</t>
  </si>
  <si>
    <t>NCT04825574</t>
  </si>
  <si>
    <t>Study for Patients Previously Treated in Avapritinib Clinical Trials</t>
  </si>
  <si>
    <t>Blueprint Medicines Corporation</t>
  </si>
  <si>
    <t>NCT05036135</t>
  </si>
  <si>
    <t>A Study of AV-101 (Dry Powder Inhaled Imatinib) in Patients With Pulmonary Arterial Hypertension (PAH)</t>
  </si>
  <si>
    <t>Aerovate Therapeutics</t>
  </si>
  <si>
    <t>NCT05359068</t>
  </si>
  <si>
    <t>Study to Evaluate the Efficacy and Safety of SPH3127 In Patients With Mild-moderate Essential Hypertension</t>
  </si>
  <si>
    <t>NCT05137418</t>
  </si>
  <si>
    <t>Safety and Immunogenicity of COVID-19 Vaccine, Inactivated in Healthy Population Aged From 3 to 11 Years</t>
  </si>
  <si>
    <t>NCT04649710</t>
  </si>
  <si>
    <t>A Study to Evaluate the Drug Levels and Safety of Pegbelfermin in Healthy Overweight and Obese Chinese and Korean Participants</t>
  </si>
  <si>
    <t>NCT05045313</t>
  </si>
  <si>
    <t>A Study to Evaluate the Drug-drug Interactions (DDIs) of DBPR108 With Warfarin Sodium, Digoxin, Probenecid in Healthy Subjects</t>
  </si>
  <si>
    <t>NCT04925752</t>
  </si>
  <si>
    <t>Study of Lenacapavir for HIV Pre-Exposure Prophylaxis in People Who Are at Risk for HIV Infection</t>
  </si>
  <si>
    <t>NCT04755985</t>
  </si>
  <si>
    <t>A Study to Compare PK, PD and Safety of the AD-213-B and AD-2132</t>
  </si>
  <si>
    <t>NCT04866485</t>
  </si>
  <si>
    <t>A Study to Evaluate Safety, Tolerability, PK/PD and Preliminary Efficacy of HBM4003 Combined With Anti-PD-1 Antibody</t>
  </si>
  <si>
    <t>NCT04900350</t>
  </si>
  <si>
    <t>A Trial of AK117 (Anti-CD47) in Patients With Myelodysplastic Syndrome</t>
  </si>
  <si>
    <t>NCT04899193</t>
  </si>
  <si>
    <t>Pergoveris FD and Liquid China BE Study</t>
  </si>
  <si>
    <t>NCT04841538</t>
  </si>
  <si>
    <t>A Study of ES101 (PD-L1x4-1BB Bispecific Antibody) in Patients With Advanced Malignant Thoracic Tumors</t>
  </si>
  <si>
    <t>Elpiscience Biopharma, Ltd.</t>
  </si>
  <si>
    <t>NCT04944368</t>
  </si>
  <si>
    <t>Phase II Clinical Trial of CinnaGen COVID-19 Vaccine (SpikoGen)</t>
  </si>
  <si>
    <t>Cinnagen</t>
  </si>
  <si>
    <t>NCT05372120</t>
  </si>
  <si>
    <t>A Clinical Trial of ICP-192 in Treated Patients With Advanced Solid Tumors With FGF/FGFR Gene Alterations</t>
  </si>
  <si>
    <t>NCT05016323</t>
  </si>
  <si>
    <t>A Study to Evaluate the Efficacy and Safety of HR19042 Capsules in the Treatment of Primary IgA Nephropathy.</t>
  </si>
  <si>
    <t>NCT04981717</t>
  </si>
  <si>
    <t>A Study to Examine the Efficacy and Safety of Anti-Fel d 1 Antibodies Injections in Cat-allergic Adolescent and Adult Patients With Allergic Rhinitis Who Live With a Cat</t>
  </si>
  <si>
    <t>NCT04736810</t>
  </si>
  <si>
    <t>A Study of Penpulimab Combination Therapy in Patients With Advanced Nasopharyngeal Carcinoma</t>
  </si>
  <si>
    <t>NCT05061524</t>
  </si>
  <si>
    <t>A FIH Study of YH35324 in Atopic Healthy Subjects or Subjects with Mild Allergic Diseases</t>
  </si>
  <si>
    <t>NCT05162222</t>
  </si>
  <si>
    <t>A Study to Evaluate the Effect of Co-administration of Itraconazole or Diltiazem on the Single-dose of Danicamtiv in Healthy Participants</t>
  </si>
  <si>
    <t>NCT04770272</t>
  </si>
  <si>
    <t>Study to Compare a Mono Atezolizumab Window Followed by a Atezolizumab - CTX Therapy With Atezolizumab - CTX Therapy</t>
  </si>
  <si>
    <t>Palleos Healthcare GmbH</t>
  </si>
  <si>
    <t>NCT04999969</t>
  </si>
  <si>
    <t>Safety, Pharmacokinetics and Clinical Activity of AZD0171 in Combination With Durvalumab and Chemotherapy in Locally Advanced or Metastatic Solid Tumours</t>
  </si>
  <si>
    <t>NCT04896541</t>
  </si>
  <si>
    <t>Phase I Double-blind, Placebo-controlled Study of AZD7442</t>
  </si>
  <si>
    <t>NCT05160922</t>
  </si>
  <si>
    <t>Crizotinib Continuation Clinical Study</t>
  </si>
  <si>
    <t>NCT05269329</t>
  </si>
  <si>
    <t>Efficacy and Safety of XC8, Film-coated Tablets, 10 mg in Patients With Dry Non-productive Cough Against Acute Respiratory Viral Infection</t>
  </si>
  <si>
    <t>NCT05119972</t>
  </si>
  <si>
    <t>Tolerability, Pharmacokinetics and Efficacy of ZSP1603 in Patients With Idiopathic Pulmonary Fibrosis （IPF）</t>
  </si>
  <si>
    <t>NCT04891770</t>
  </si>
  <si>
    <t>Study to Evaluate the Safety and Efficacy of Selgantolimod (SLGN)-Containing Combination Therapies for the Treatment of Chronic Hepatitis B (CHB)</t>
  </si>
  <si>
    <t>NCT04849845</t>
  </si>
  <si>
    <t>Afrezza® Dosing Optimization Study</t>
  </si>
  <si>
    <t>Mannkind Corporation</t>
  </si>
  <si>
    <t>NCT05126329</t>
  </si>
  <si>
    <t>Pharmacokinetics of Amcenestrant in Female Hepatic Impaired Participants as Compared to Participants With Normal Hepatic Function</t>
  </si>
  <si>
    <t>NCT04681131</t>
  </si>
  <si>
    <t>CAB-AXL-ADC Safety and Efficacy Study in Adults With NSCLC</t>
  </si>
  <si>
    <t>BioAtla, Inc.</t>
  </si>
  <si>
    <t>NCT04953325</t>
  </si>
  <si>
    <t>Immunogenicity and Safety of an Inactivated COVID-19 Vaccine</t>
  </si>
  <si>
    <t>NCT05229510</t>
  </si>
  <si>
    <t>Safety, Tolerability, and Pharmacokinetics of Inhaled Virazole Administered Via Air-Jet Nebulizer in Healthy Volunteers</t>
  </si>
  <si>
    <t>NCT05271682</t>
  </si>
  <si>
    <t>A Study Evaluating Safety, Tolerability and Clinical Activity of FHND6091 in Patients With Multiple Myeloma</t>
  </si>
  <si>
    <t>Jiangsu Chia Tai Fenghai Pharmaceutical Co., Ltd.</t>
  </si>
  <si>
    <t>NCT04820023</t>
  </si>
  <si>
    <t>Phase 1/2 Study of BBT-176 in Advanced NSCLC With Progression After EGFR TKI Treatment</t>
  </si>
  <si>
    <t>Bridge Biotherapeutics, Inc.</t>
  </si>
  <si>
    <t>NCT05092841</t>
  </si>
  <si>
    <t>A Study to Assess the Efficacy and Safety of PXT3003 in Charcot-Marie-Tooth Type 1A</t>
  </si>
  <si>
    <t>Tasly GeneNet Pharmaceuticals Co., Ltd</t>
  </si>
  <si>
    <t>NCT05280054</t>
  </si>
  <si>
    <t>AV-101 Alone and in Combination With Probenecid in Healthy Subjects</t>
  </si>
  <si>
    <t>NCT04630353</t>
  </si>
  <si>
    <t>A Study HB-201 in Patients With Newly Diagnosed HPV16+ Oropharynx or Locally Advanced Cervical Cancer</t>
  </si>
  <si>
    <t>Hookipa Biotech GmbH</t>
  </si>
  <si>
    <t>NCT04902105</t>
  </si>
  <si>
    <t>Drug-Drug Interaction Study to Evaluate the Effect of Inhibition of UGTs on the PK of Ecopipam and Its Active Metabolite</t>
  </si>
  <si>
    <t>NCT04906395</t>
  </si>
  <si>
    <t>Ovarian Suppression Evaluating Subcutaneous Leuprolide Acetate in Breast Cancer</t>
  </si>
  <si>
    <t>Tolmar Inc.</t>
  </si>
  <si>
    <t>NCT05047341</t>
  </si>
  <si>
    <t>A Study of Human Substance Balance and Biotransformation of [14C]SHR0302</t>
  </si>
  <si>
    <t>NCT05001737</t>
  </si>
  <si>
    <t>Evaluate Efficacy, Safety and Tolerability, PK and PD of Emapalumab in Children and Adults With MAS in Still's or SLE</t>
  </si>
  <si>
    <t>NCT05198362</t>
  </si>
  <si>
    <t>Study of Tesomet With Open-label Extension in Subjects With Prader-Willi Syndrome</t>
  </si>
  <si>
    <t>Saniona</t>
  </si>
  <si>
    <t>NCT04569227</t>
  </si>
  <si>
    <t>Prevention of COVID-19 Infection to Severe Pneumonia or ARDS</t>
  </si>
  <si>
    <t>NCT05320861</t>
  </si>
  <si>
    <t>Single Dose ADME Study of [14C]SJP-0008 in Healthy Male Subjects</t>
  </si>
  <si>
    <t>Senju Pharmaceutical Co., Ltd.</t>
  </si>
  <si>
    <t>NCT04294862</t>
  </si>
  <si>
    <t>Tissue Distribution, Pharmacokinetics, Safety, and Tolerability After a Single Dose of TNP-2092 in Participants Undergoing Primary Total Hip or Knee Arthroplasty</t>
  </si>
  <si>
    <t>TenNor Therapeutics Limited</t>
  </si>
  <si>
    <t>NCT05142774</t>
  </si>
  <si>
    <t>Long Term Extension Study of Tapinarof Cream, 1% for Subjects With Atopic Dermatitis</t>
  </si>
  <si>
    <t>NCT05099159</t>
  </si>
  <si>
    <t>A Study to Learn More About How Well Elinzanetant Works and How Safe it is for the Treatment of Vasomotor Symptoms (Hot Flashes) That Are Caused by Hormonal Changes Over 26 Weeks in Women Who Have Been Through the Menopause (OASIS-2)</t>
  </si>
  <si>
    <t>NCT02860559</t>
  </si>
  <si>
    <t>Safety and Early Efficacy Study of TBX-1400 in Patients With Severe Combined Immunodeficiency</t>
  </si>
  <si>
    <t>Taiga Biotechnologies, Inc.</t>
  </si>
  <si>
    <t>NCT04882826</t>
  </si>
  <si>
    <t>Bioequivalence Study of Two Formulations of Sildenafil Tablet 100 mg in Healthy Male Volunteers Under Fasting Conditions</t>
  </si>
  <si>
    <t>Pharmtechnology LLC</t>
  </si>
  <si>
    <t>NCT06254235</t>
  </si>
  <si>
    <t>Bioequivalence Study of Two Octreotide Microsphere Formulations in Healthy Volunteers</t>
  </si>
  <si>
    <t>NCT04949191</t>
  </si>
  <si>
    <t>The Purpose of the Study is to Continue to Provide Pemigatinib to Patients With Advanced Malignancies.</t>
  </si>
  <si>
    <t>NCT05036980</t>
  </si>
  <si>
    <t>Randomized, Double-Blind, Placebo-Controlled, Crossover Study of Trans Sodium Crocetinate in Healthy Volunteers Exercising at Altitude</t>
  </si>
  <si>
    <t>NCT05100303</t>
  </si>
  <si>
    <t>A Study to Evaluate the Tolerance and Efficacy of Mitoxantrone Hydrochloride Liposome Injection Combined With Cytarabine in Patients With Acute Myeloid Leukemia (AML)</t>
  </si>
  <si>
    <t>NCT04285827</t>
  </si>
  <si>
    <t>Safety of Single Doses of CSL889 in Adult Patients With Sickle Cell Disease</t>
  </si>
  <si>
    <t>NCT04817189</t>
  </si>
  <si>
    <t>Oral Akynzeo® vs Standard of Care in Preventing CINV in High-risk MEC Patients (MyRisk)</t>
  </si>
  <si>
    <t>Helsinn Healthcare SA</t>
  </si>
  <si>
    <t>NCT05149027</t>
  </si>
  <si>
    <t>A Study to Evaluate Safety, Tolerability, PK/PD and Preliminary Efficacy of HBM4003 Combine With Toripalimab in Patients With Advanced HCC and Other Solid Tumors</t>
  </si>
  <si>
    <t>NCT04768842</t>
  </si>
  <si>
    <t>A Study of Two Different Formulations of LY3209590 in Healthy Participants</t>
  </si>
  <si>
    <t>NCT05035082</t>
  </si>
  <si>
    <t>A Research Study Comparing RYBELSUS® to Other Blood Sugar Lowering Tablets in People Living in America With Type 2 Diabetes (REALYSE)</t>
  </si>
  <si>
    <t>NCT04989803</t>
  </si>
  <si>
    <t>Study of KITE-363 or KITE-753 in Participants With Relapsed and/or Refractory B-cell Lymphoma</t>
  </si>
  <si>
    <t>NCT04939779</t>
  </si>
  <si>
    <t>Trial to Evaluate Bioequivalence of LCB01-0371 in Different Batches</t>
  </si>
  <si>
    <t>NCT04745689</t>
  </si>
  <si>
    <t>Study of AZD2811 + Durvalumab in ES-SCLC</t>
  </si>
  <si>
    <t>NCT05138562</t>
  </si>
  <si>
    <t>TUC3PII-01_TU2670 Phase IIa Clinical Study</t>
  </si>
  <si>
    <t>TiumBio Co., Ltd.</t>
  </si>
  <si>
    <t>NCT04712110</t>
  </si>
  <si>
    <t>A Study of TAK-019 in Healthy Japanese Adults (COVID-19)</t>
  </si>
  <si>
    <t>NCT05116813</t>
  </si>
  <si>
    <t>Open-label Safety Study of Dipraglurant (ADX48621) in Patients With Parkinson's Disease Receiving Levodopa-based Therapy</t>
  </si>
  <si>
    <t>Addex Pharma S.A.</t>
  </si>
  <si>
    <t>NCT05148780</t>
  </si>
  <si>
    <t>A Study of Acute Respiratory Infections in Global Outpatient Setting</t>
  </si>
  <si>
    <t>NCT05190185</t>
  </si>
  <si>
    <t>A Clinical Trial of TAA06 Injection in Advanced Solid Tumors</t>
  </si>
  <si>
    <t>NCT04932915</t>
  </si>
  <si>
    <t>Safety and Efficacy of Intranasal Administration of Niclosamide (UNI91103) in Adults With Asymptomatic or Mild COVID-19</t>
  </si>
  <si>
    <t>NCT05008224</t>
  </si>
  <si>
    <t>Study of Safety and Efficacy of Pembrolizumab and Chemotherapy in Participants With Newly Diagnosed Classical Hodgkin Lymphoma (cHL) (MK-3475-C11/KEYNOTE-C11)</t>
  </si>
  <si>
    <t>NCT05110027</t>
  </si>
  <si>
    <t>Enpatoran Human Mass Balance and Absolute Bioavailability Study</t>
  </si>
  <si>
    <t>NCT04703842</t>
  </si>
  <si>
    <t>Modulation of SERCA2a of Intra-myocytic Calcium Trafficking in Heart Failure With Reduced Ejection Fraction</t>
  </si>
  <si>
    <t>Sardocor Corp.</t>
  </si>
  <si>
    <t>NCT04887948</t>
  </si>
  <si>
    <t>Safety and Immunogenicity Study of 20vPnC When Coadministered With a Booster Dose of BNT162b2</t>
  </si>
  <si>
    <t>NCT04878354</t>
  </si>
  <si>
    <t>A Study in Children and Adolescents With Birch Pollen-induced Rhinoconjunctivitis</t>
  </si>
  <si>
    <t>NCT06388772</t>
  </si>
  <si>
    <t>Study to Assess PK, Safety and Tolerability Early in Healthy Subjects</t>
  </si>
  <si>
    <t>Changzhou Qianhong Bio-pharma Co., Ltd.</t>
  </si>
  <si>
    <t>NCT04999839</t>
  </si>
  <si>
    <t>Study of NDI-034858 in Participants With Moderate to Severe Plaque Psoriasis</t>
  </si>
  <si>
    <t>NCT04483973</t>
  </si>
  <si>
    <t>SPI-1005 Treatment in Severe COVID-19 Patients</t>
  </si>
  <si>
    <t>Sound Pharmaceuticals, Incorporated</t>
  </si>
  <si>
    <t>NCT05072522</t>
  </si>
  <si>
    <t>A Study of SKLB1028 in Patients With Advanced Solid Tumor</t>
  </si>
  <si>
    <t>NCT04411654</t>
  </si>
  <si>
    <t>Phase 1/2 Clinical Trial of PR001 in Infants With Type 2 Gaucher Disease (PROVIDE)</t>
  </si>
  <si>
    <t>NCT04770545</t>
  </si>
  <si>
    <t>An Extension Study to Evaluate the Long-term Safety and Efficacy of Pegcetacoplan (APL-2) in Subjects With Geographic Atrophy Secondary to AMD</t>
  </si>
  <si>
    <t>NCT05109611</t>
  </si>
  <si>
    <t>Nitric Oxide Nasal Spray (NONS) as Prevention for Treatment of Individuals at Risk of Exposure to COVID-19 Infection</t>
  </si>
  <si>
    <t>NCT06160440</t>
  </si>
  <si>
    <t>The Safety, Tolerability, and Pharmacokinetic Study of SC1011 in Healthy Subjects.</t>
  </si>
  <si>
    <t>NCT05018013</t>
  </si>
  <si>
    <t>Study of Ammoxetine Hydrochloride Enteric-coated Tablets in Subjects With Depression</t>
  </si>
  <si>
    <t>NCT04856982</t>
  </si>
  <si>
    <t>A Study of BIIB067 (Tofersen) Initiated in Clinically Presymptomatic Adults With a Confirmed Superoxide Dismutase 1 Mutation</t>
  </si>
  <si>
    <t>NCT04844866</t>
  </si>
  <si>
    <t>Efficacy and Safety of MB-CART2019.1 vs. SoC in Lymphoma Patients</t>
  </si>
  <si>
    <t>Miltenyi Biomedicine GmbH</t>
  </si>
  <si>
    <t>NCT04773522</t>
  </si>
  <si>
    <t>A Study of JNJ-64407564 in Japanese Participants With Relapsed or Refractory Multiple Myeloma</t>
  </si>
  <si>
    <t>NCT04870112</t>
  </si>
  <si>
    <t>A Study to Evaluate Subcutaneous Durvalumab in Patients With Non-Small Cell Lung Cancer and Small Cell Lung Cancer</t>
  </si>
  <si>
    <t>NCT04601857</t>
  </si>
  <si>
    <t>Futibatinib and Pembrolizumab Combination in the Treatment of Advanced or Metastatic Urothelial Carcinoma</t>
  </si>
  <si>
    <t>NCT04990219</t>
  </si>
  <si>
    <t>A Study of Lu AG06466 for the Treatment of Spasticity in Participants With Multiple Sclerosis</t>
  </si>
  <si>
    <t>NCT04737967</t>
  </si>
  <si>
    <t>The Potential Protective Role of Venlafaxine Versus Memantine in Paclitaxel Induced Peripheral Neuropathy</t>
  </si>
  <si>
    <t>Mendel AI</t>
  </si>
  <si>
    <t>NCT04833907</t>
  </si>
  <si>
    <t>rAAV-Olig001-ASPA Gene Therapy for Treatment of Children With Typical Canavan Disease</t>
  </si>
  <si>
    <t>Myrtelle Inc.</t>
  </si>
  <si>
    <t>NCT04886739</t>
  </si>
  <si>
    <t>CGB-400 Topical Gel for the Treatment of Inflammatory Lesions of Rosacea</t>
  </si>
  <si>
    <t>NCT05035212</t>
  </si>
  <si>
    <t>Study to Evaluate the Efficacy, Immunogenicity, and Safety of RSVpreF in Adults.</t>
  </si>
  <si>
    <t>NCT04524000</t>
  </si>
  <si>
    <t>Study Assessing the Efficacy and Safety of Treatment With Alpelisib Plus Fulvestrant in Japanese Men and Postmenopausal Women With Advanced Breast Cancer</t>
  </si>
  <si>
    <t>NCT06657495</t>
  </si>
  <si>
    <t>To Evaluate the Safety and Efficacy of TD0015 Pilulae in Patients with Knee Osteoarthritis</t>
  </si>
  <si>
    <t>Sao Thai Duong Joint Stock Company</t>
  </si>
  <si>
    <t>NCT04632381</t>
  </si>
  <si>
    <t>Intravenous Zotatifin in Adults With Mild or Moderate COVID-19</t>
  </si>
  <si>
    <t>Effector Therapeutics</t>
  </si>
  <si>
    <t>NCT04741165</t>
  </si>
  <si>
    <t>Study of HX008 in Combination With Bevacizumab or Lenvatinib for the Treatment of Advanced Hepatocellular Carcinoma (HCC)</t>
  </si>
  <si>
    <t>NCT04975711</t>
  </si>
  <si>
    <t>Study to Compare the Safety, Pharmacokinetics and Pharmacodynamics of HIP2105 to RLD2104 in Healthy Volunteers</t>
  </si>
  <si>
    <t>NCT07057271</t>
  </si>
  <si>
    <t>A Study of CJC-1134-PC Injection in Patients With Type 2 Diabetes With Inadequately Controlled Blood Glucose Level After Metformin Monotherapy or Metformin in Combination With Insulin Secretagogues</t>
  </si>
  <si>
    <t>NCT04683328</t>
  </si>
  <si>
    <t>The Safety and Efficacy of SCTA01 Against COVID-19 in Patients Admitted to High Dependence or Intensive Care</t>
  </si>
  <si>
    <t>NCT05090111</t>
  </si>
  <si>
    <t>A Study of ALG-055009 in Healthy Volunteers and Subjects With Hyperlipidemia</t>
  </si>
  <si>
    <t>NCT04893187</t>
  </si>
  <si>
    <t>A Phase 1 Study of SSS17 in Healthy Subjects.</t>
  </si>
  <si>
    <t>NCT05096221</t>
  </si>
  <si>
    <t>A Gene Transfer Therapy Study to Evaluate the Safety and Efficacy of Delandistrogene Moxeparvovec (SRP-9001) in Participants With Duchenne Muscular Dystrophy (DMD)</t>
  </si>
  <si>
    <t>NCT05091411</t>
  </si>
  <si>
    <t>Clinical Trials of the Consistency and Non-inferiority Bridging Between Batches of Recombinant New Coronavirus Vaccine (CHO Cells)</t>
  </si>
  <si>
    <t>NCT05009732</t>
  </si>
  <si>
    <t>A Study to Evaluate the Efficacy and Safety of Proxalutamide (GT0918) in Hospitalized COVID-19 Subjects</t>
  </si>
  <si>
    <t>NCT04873063</t>
  </si>
  <si>
    <t>Evaluation of Systemic Bioavailability and Effects on 24-Hour Plasma Cortisol Profile of 6 mg Delivered Once Daily Versus 3 mg Delivered Twice Daily in Healthy Adult Male Volunteers</t>
  </si>
  <si>
    <t>SOFAR S.p.A.</t>
  </si>
  <si>
    <t>NCT04937387</t>
  </si>
  <si>
    <t>Efficacy and Safety of Fluticasone Furoate/Umeclidinium/Vilanterol (FF/UMEC/VI) in Chinese Participants With Inadequately Controlled Asthma</t>
  </si>
  <si>
    <t>NCT04846816</t>
  </si>
  <si>
    <t>A Study to Assess Safety and Efficacy of a Novel Patch Infusor Device and Novel SUBCUTaneous Furosemide Formulation Combination in Patients With Heart Failure</t>
  </si>
  <si>
    <t>NCT04926116</t>
  </si>
  <si>
    <t>A Study of AK3280 in Chinese Healthy Volunteers</t>
  </si>
  <si>
    <t>NCT04876092</t>
  </si>
  <si>
    <t>A Study of the MALT1 Inhibitor JNJ-67856633 and Ibrutinib in Combination in B-cell NHL and CLL</t>
  </si>
  <si>
    <t>NCT04813107</t>
  </si>
  <si>
    <t>A Study to Evaluate the Safety and Efficacy of Oral APL-1202 in Combination With Tislelizumab Compared to Tislelizumab Alone as Neoadjuvant Therapy in Patients With Muscle Invasive Bladder Cancer</t>
  </si>
  <si>
    <t>Jiangsu Yahong Meditech Co., Ltd aka Asieris</t>
  </si>
  <si>
    <t>NCT05995912</t>
  </si>
  <si>
    <t>Efficacy and Safety of Etoricoxib-tramadol Tablet in Acute Postoperative Pain</t>
  </si>
  <si>
    <t>Laboratorios Liomont</t>
  </si>
  <si>
    <t>NCT04669821</t>
  </si>
  <si>
    <t>A Clinical Study Evaluating Sedation of Intravenous Administration of HSK3486 in ICU Patients Undergoing Long-Term Mechanical Ventilation</t>
  </si>
  <si>
    <t>NCT06497699</t>
  </si>
  <si>
    <t>A Real-world Study of DEXYCU in the Treatment of Inflammation After Cataract Surgery</t>
  </si>
  <si>
    <t>Ocumension Therapeutics (Shanghai) Co., Ltd</t>
  </si>
  <si>
    <t>NCT04729114</t>
  </si>
  <si>
    <t>A Safety and Dose-finding Study of PRL-02 Depot in Men With Advanced Prostate Cancer</t>
  </si>
  <si>
    <t>NCT04991506</t>
  </si>
  <si>
    <t>A Study of ES102 (OX40 Agonist) in Combination With JS001 in Patients With Advanced Solid Tumors</t>
  </si>
  <si>
    <t>NCT05199519</t>
  </si>
  <si>
    <t>Study to Evaluate the Safety, Tolerance, Pharmacokinetics and Preliminary Efficacy of IBI345</t>
  </si>
  <si>
    <t>NCT04956419</t>
  </si>
  <si>
    <t>A Study to Evaluate the Efficacy and Safety of SHR8008 vs. Fluconazole in Subjects With Acute Vulvovaginal Candidiasis</t>
  </si>
  <si>
    <t>NCT04897867</t>
  </si>
  <si>
    <t>CoolSculpting® Elite for Non-Invasive Fat Reduction</t>
  </si>
  <si>
    <t>NCT04853498</t>
  </si>
  <si>
    <t>A Study to Evaluate the Tolerance and Pharmacokinetics of TQB3720 Tablets</t>
  </si>
  <si>
    <t>NCT05201911</t>
  </si>
  <si>
    <t>A Study to Characterize the Biodistribution of 124I-Labeled AT-03 in Patients With Systemic Amyloidosis</t>
  </si>
  <si>
    <t>Attralus, Inc.</t>
  </si>
  <si>
    <t>NCT06326814</t>
  </si>
  <si>
    <t>A Study to Test if SAR443809 is Tolerated and Safe When Taken as a Single Dose in Healthy Adults</t>
  </si>
  <si>
    <t>NCT04720378</t>
  </si>
  <si>
    <t>Safety and Tolerability Study of IV ST266 in COVID-19 Subjects</t>
  </si>
  <si>
    <t>Noveome Biotherapeutics, formerly Stemnion</t>
  </si>
  <si>
    <t>NCT04801771</t>
  </si>
  <si>
    <t>Effects of Hypoglossal Nerve Stimulation on Cognition and Language in Down Syndrome and Obstructive Sleep Apnea</t>
  </si>
  <si>
    <t>Inspire Medical Systems, Inc.</t>
  </si>
  <si>
    <t>NCT04991571</t>
  </si>
  <si>
    <t>Study to Collect Samples for MIST Analysis of Zibotentan and Bioavailability of Zibotentan and Dapagliflozin in Heatlhy Participants</t>
  </si>
  <si>
    <t>NCT04870606</t>
  </si>
  <si>
    <t>Proxalutamide (GT0918) Treatment for Outpatients With Mild or Moderate COVID-19 Illness</t>
  </si>
  <si>
    <t>NCT04752826</t>
  </si>
  <si>
    <t>BI-1808 as a Single Agent and With Pembrolizumab (KEYTRUDA® ) in Treatment of Advanced Malignancies(Keynote-D20)</t>
  </si>
  <si>
    <t>NCT04898543</t>
  </si>
  <si>
    <t>QUILT-3.076: Study of Autologous M-CENK in Subjects With Locally Advanced or Metastatic Solid Tumors</t>
  </si>
  <si>
    <t>NCT04669015</t>
  </si>
  <si>
    <t>Phase 3 Inhaled Novaferon Study in Hospitalized Patients With Moderate to Severe COVID-19</t>
  </si>
  <si>
    <t>Genova Inc.</t>
  </si>
  <si>
    <t>NCT05158244</t>
  </si>
  <si>
    <t>Study of Multiple Oral Doses of PF-07081532 in Adult Participants With Type 2 Diabetes Mellitus</t>
  </si>
  <si>
    <t>NCT05048784</t>
  </si>
  <si>
    <t>A Study to Compare the Pharmacokinetics of Two Different Tablets of Sotorasib in Healthy Participants</t>
  </si>
  <si>
    <t>NCT05050604</t>
  </si>
  <si>
    <t>A Clinical Trial to Evaluate the Efficacy and Safety of Choline Alfoscerate in Vascular Cognitive Impairment Patients</t>
  </si>
  <si>
    <t>NCT05032833</t>
  </si>
  <si>
    <t>Single Ascending Dose Study With 5-MeO-DMT in Healthy Subjects</t>
  </si>
  <si>
    <t>NCT04871347</t>
  </si>
  <si>
    <t>The Safety and Efficacy of TWP-101 in Patients With Advanced Solid Tumor</t>
  </si>
  <si>
    <t>Shandong TheraWisdom Biopharma Co., Ltd.</t>
  </si>
  <si>
    <t>NCT04869358</t>
  </si>
  <si>
    <t>Exploring the Immune Response to SARS-CoV-2 COVID-19 Vaccines in Patients With Relapsing Multiple Sclerosis (RMS) Treated With Ofatumumab</t>
  </si>
  <si>
    <t>NCT04950764</t>
  </si>
  <si>
    <t>An Open-Label Study Following Oral Dosing of Seladelpar to Participants With Primary Biliary Cholangitis (PBC) and Hepatic Impairment (HI)</t>
  </si>
  <si>
    <t>NCT04535609</t>
  </si>
  <si>
    <t>An Efficacy and Safety Study of 24 Week Treatment With Mavodelpar (REN001) in Primary Mitochondrial Myopathy Patients</t>
  </si>
  <si>
    <t>Reneo Pharma Ltd</t>
  </si>
  <si>
    <t>NCT05030506</t>
  </si>
  <si>
    <t>A Study of Belzutifan (MK-6482) as Monotherapy and in Combination With Lenvatinib (E7080/MK-7902) With or Without Pembrolizumab (MK-3475) in China Participants With Advanced Renal Cell Carcinoma (MK-6482-010)</t>
  </si>
  <si>
    <t>NCT05876364</t>
  </si>
  <si>
    <t>Study to Assess Safety, Reactogenicity and Immunogenicity of the repRNA(QTP104) Vaccine Against SARS-CoV-2(COVID-19)</t>
  </si>
  <si>
    <t>Quratis Inc.</t>
  </si>
  <si>
    <t>NCT04908787</t>
  </si>
  <si>
    <t>A Phase III Study of BD0801 Combined With Chemotherapy in Recurrent, Platinum-resistant Epithelial Ovarian Cancer</t>
  </si>
  <si>
    <t>NCT06817187</t>
  </si>
  <si>
    <t>Clinical Study on the Combined Administration of 15-Valent Pneumococcal Conjugate Vaccine and Diphtheria, Tetanus, Pertussis Vaccine</t>
  </si>
  <si>
    <t>NCT05098938</t>
  </si>
  <si>
    <t>A Study to Compare Sitavig (Acyclovir) Buccal Tablet With a Placebo in the Treatment of Herpes Labialis in Participants Whose Immune System Works Normally</t>
  </si>
  <si>
    <t>NCT04718805</t>
  </si>
  <si>
    <t>A Study of Darunavir in the Presence of Cobicistat When Administered as a Fixed Dose Combination Under Fed Conditions</t>
  </si>
  <si>
    <t>NCT04722666</t>
  </si>
  <si>
    <t>Study of Efficacy and Safety of MIJ821 in Addition to Comprehensive Standard of Care on the Rapid Reduction of Symptoms of Major Depressive Disorder in Subjects Who Have Suicidal Ideation With Intent</t>
  </si>
  <si>
    <t>NCT04615845</t>
  </si>
  <si>
    <t>Safety Evaluation of Autologous Dendritic Cell Anticancer Immune Cell Therapy (Cellgram-DC-PC)</t>
  </si>
  <si>
    <t>NCT05118737</t>
  </si>
  <si>
    <t>Adding Colchicine to Tocilizumab in Patients With Severe COVID-19 Pneumonia.</t>
  </si>
  <si>
    <t>NCT05166577</t>
  </si>
  <si>
    <t>Nanatinostat Plus Valganciclovir in Advanced EBV+ Solid Tumors and in Combination With Pembrolizumab in EBV+ RM-NPC</t>
  </si>
  <si>
    <t>Viracta Therapeutics, Inc.</t>
  </si>
  <si>
    <t>NCT04862286</t>
  </si>
  <si>
    <t>Study to Evaluate Adverse Events and Change in Disease Activity in Participants Between 6 and 17 Years With Moderate to Severe Plaque Psoriasis Treated With Subcutaneous (SC) Injection of Risankizumab Who Have Completed Participation in Study M19-977</t>
  </si>
  <si>
    <t>NCT05037929</t>
  </si>
  <si>
    <t>A Study to Evaluate the Efficacy and Safety of Astegolimab in Participants With Chronic Obstructive Pulmonary Disease</t>
  </si>
  <si>
    <t>NCT05138770</t>
  </si>
  <si>
    <t>Pharmacokinetics and Pharmacodynamics Clinical Study of VC005 Tablets in Healthy Subjects</t>
  </si>
  <si>
    <t>NCT05378269</t>
  </si>
  <si>
    <t>Study of Intravaginal Tamoxifen in PostMenopausal Women With VVA</t>
  </si>
  <si>
    <t>NCT04659629</t>
  </si>
  <si>
    <t>NL-201 Monotherapy and in Combination With Pembrolizumab in Patients With Relapsed or Refractory Cancer</t>
  </si>
  <si>
    <t>Neurogene Inc.</t>
  </si>
  <si>
    <t>NCT05667545</t>
  </si>
  <si>
    <t>Evaluation of the Effect of Self-Assembling Peptide P11-4</t>
  </si>
  <si>
    <t>NCT05041972</t>
  </si>
  <si>
    <t>ARX788 in Selected HER2-mutated or HER2-amplified/Overexpressed Solid Tumors (ACE-Pan Tumor-02)</t>
  </si>
  <si>
    <t>NCT05032859</t>
  </si>
  <si>
    <t>Tapinarof for the Treatment of Atopic Dermatitis in Children and Adults (DMVT-505-3102)</t>
  </si>
  <si>
    <t>NCT04652583</t>
  </si>
  <si>
    <t>Auricular Muscle Zone Stimulation for Parkinson Disease</t>
  </si>
  <si>
    <t>Stoparkinson Healthcare Systems LLC</t>
  </si>
  <si>
    <t>NCT05172141</t>
  </si>
  <si>
    <t>A Safety, Tolerability, and Efficacy Study of IBI314 in Patients With Mild to Moderate COVID-19</t>
  </si>
  <si>
    <t>NCT05027373</t>
  </si>
  <si>
    <t>Safety, Tolerability and Pharmacokinetic of Recombinant Anti-IL-1β Humanized Monoclonal Antibody Injection</t>
  </si>
  <si>
    <t>NCT04839042</t>
  </si>
  <si>
    <t>A Phase 1, First-In-Human Study of the Investigational COVID-19 Vaccine SC-Ad6-1 in Healthy Volunteers</t>
  </si>
  <si>
    <t>Moat Biotechnology Corporation</t>
  </si>
  <si>
    <t>NCT05011305</t>
  </si>
  <si>
    <t>Saroglitazar Magnesium for the Treatment of Nonalcoholic Steatohepatitis With Fibrosis</t>
  </si>
  <si>
    <t>NCT04906005</t>
  </si>
  <si>
    <t>Pharmacokinetics and Safety of Gadopiclenol in Japanese Healthy Volunteers</t>
  </si>
  <si>
    <t>NCT05060666</t>
  </si>
  <si>
    <t>Prophylaxis of COVID-19 Disease With Ivermectin in COVID-19 Contact Persons [German: Prophylaxe Der COVID-19-Erkrankung Mit Ivermectin Bei COVID-19 Kontaktpersonen]</t>
  </si>
  <si>
    <t>NCT04969731</t>
  </si>
  <si>
    <t>Safety and Efficacy of Immuncell-LC With Gemcitabine in Resectable Pancreatic Cancer</t>
  </si>
  <si>
    <t>GC Cell Corporation</t>
  </si>
  <si>
    <t>NCT04612751</t>
  </si>
  <si>
    <t>Phase 1b Study of Dato-DXd in Combination With Immunotherapy With or Without Carboplatin in Advanced or Metastatic Non-Small Cell Lung Cancer</t>
  </si>
  <si>
    <t>NCT04740931</t>
  </si>
  <si>
    <t>A Study to Evaluate the Efficacy and Safety of Faricimab in Participants With Macular Edema Secondary to Central Retinal or Hemiretinal Vein Occlusion</t>
  </si>
  <si>
    <t>NCT07357545</t>
  </si>
  <si>
    <t>Immunogenicity and Safety Assessment of Rabies Vaccine (Vero Cell) for Human Use, Freeze-dried</t>
  </si>
  <si>
    <t>NCT04832854</t>
  </si>
  <si>
    <t>A Study Evaluating the Safety and Efficacy of Neoadjuvant and Adjuvant Tiragolumab Plus Atezolizumab, With or Without Platinum-Based Chemotherapy, in Participants With Previously Untreated Locally Advanced Resectable Stage II, IIIA, or Select IIIB Non-Small Cell Lung Cancer</t>
  </si>
  <si>
    <t>NCT04545554</t>
  </si>
  <si>
    <t>Study to Evaluate Romosozumab in Children and Adolescents With Osteogenesis Imperfecta</t>
  </si>
  <si>
    <t>NCT04871451</t>
  </si>
  <si>
    <t>Extension Study of ABP-19000 to Evaluate Safety and Efficacy of Repeat Treatments of ABP-450 in Cervical Dystonia</t>
  </si>
  <si>
    <t>AEON Biopharma, Inc.</t>
  </si>
  <si>
    <t>NCT04754802</t>
  </si>
  <si>
    <t>PH94B Nasal Spray for Anxiety Induced by a Public Speaking Challenge</t>
  </si>
  <si>
    <t>NCT04982575</t>
  </si>
  <si>
    <t>Research Study to Look at How Well Cagrilintide Together With Semaglutide Works in People With Type 2 Diabetes</t>
  </si>
  <si>
    <t>NCT04809623</t>
  </si>
  <si>
    <t>Study of Edecesertib in Participants With Cutaneous Lupus Erythematosus (CLE)</t>
  </si>
  <si>
    <t>NCT04993352</t>
  </si>
  <si>
    <t>Evaluate the Safety and Efficacy of HLX04-O in Subjects With wAMD</t>
  </si>
  <si>
    <t>NCT04708782</t>
  </si>
  <si>
    <t>Study of Efficacy and Safety of Inhaled Treprostinil in Subjects With Idiopathic Pulmonary Fibrosis</t>
  </si>
  <si>
    <t>United Therapeutics</t>
  </si>
  <si>
    <t>NCT05006352</t>
  </si>
  <si>
    <t>A Study to Determine the Safety, Pharmacokinetics, and Pharmacodynamics of DNL343 in Participants With Amyotrophic Lateral Sclerosis</t>
  </si>
  <si>
    <t>NCT04778410</t>
  </si>
  <si>
    <t>Study of Magrolimab Combinations in Participants With Myeloid Malignancies</t>
  </si>
  <si>
    <t>NCT04842643</t>
  </si>
  <si>
    <t>An Extension Study of TAK-664 for Japanese People With Primary Immunodeficiency Disease</t>
  </si>
  <si>
    <t>NCT04629976</t>
  </si>
  <si>
    <t>Activity of NCO-48 Fumarate in Treatment-Naive Adults With Chronic Hepatitis B</t>
  </si>
  <si>
    <t>NCT04707768</t>
  </si>
  <si>
    <t>Study Evaluating the Efficacy and Safety of Dose Conversion From a Long-acting Erythropoiesis-stimulating Agent (Mircera®) to Three Times Weekly Oral Vadadustat for the Maintenance Treatment of Anemia in Hemodialysis Subjects</t>
  </si>
  <si>
    <t>NCT04886050</t>
  </si>
  <si>
    <t>Relative Bioavailability Study to Assess an LC350189 Tablet Compared to an LC350189 Capsule in Healthy Adults</t>
  </si>
  <si>
    <t>NCT04952597</t>
  </si>
  <si>
    <t>Study of Ociperlimab Plus Tislelizumab Plus Chemoradiotherapy in Participants With Untreated Limited-Stage Small Cell Lung Cancer</t>
  </si>
  <si>
    <t>NCT04881448</t>
  </si>
  <si>
    <t>A Study to Examine Past Estimated Glomerular Filtration Rate (eGFR) Slope as a Risk Marker for Rapid Kidney Function Decline in People With Chronic Kidney Disease</t>
  </si>
  <si>
    <t>NCT05155215</t>
  </si>
  <si>
    <t>Study to Evaluate the Safety and Efficacy of IM19 CAR-T Cells in Patients With Relapsed and Refractory (R/R) Mantle Cell Lymphoma</t>
  </si>
  <si>
    <t>NCT04093076</t>
  </si>
  <si>
    <t>Dose-ranging Study: Safety, Tolerability and Immunogenicity of INO-4500 in Healthy Volunteers in Ghana</t>
  </si>
  <si>
    <t>NCT04705090</t>
  </si>
  <si>
    <t>A Study of YY-20394 in Patients With Relapsed or Refractory Peripheral T/NK Cell Lymphoma</t>
  </si>
  <si>
    <t>NCT05132088</t>
  </si>
  <si>
    <t>Research Study to Investigate How Well Semaglutide Tablets Taken Once Daily Work in East Asian People Who Are Overweight or Living With Obesity</t>
  </si>
  <si>
    <t>NCT05050474</t>
  </si>
  <si>
    <t>Booster Immunization Study of Recombinant SARS-CoV-2 Fusion Protein Vaccine (V-01)</t>
  </si>
  <si>
    <t>Livzon Pharmaceutical Group Inc.</t>
  </si>
  <si>
    <t>NCT05050318</t>
  </si>
  <si>
    <t>Annual Study for Collection of Serum Samples in Children and Older Adults Receiving the 2021-2022 Formulations of Fluzone Quadrivalent Vaccine and Fluzone High-Dose Quadrivalent Vaccine, Respectively</t>
  </si>
  <si>
    <t>NCT04860297</t>
  </si>
  <si>
    <t>A Study to Evaluate Safety and Immunogenicity of mRNA-1273 Vaccine to Prevent COVID-19 in Adult Organ Transplant Recipients and in Healthy Adult Participants</t>
  </si>
  <si>
    <t>NCT05085197</t>
  </si>
  <si>
    <t>The Safety and Tolerability of STSA-1005 Following Intravenous Infusion in Healthy Subjects</t>
  </si>
  <si>
    <t>Staidson Biopharma Inc.</t>
  </si>
  <si>
    <t>NCT04700280</t>
  </si>
  <si>
    <t>A Study Evaluating the Effects of GLPG3970 Given as an Oral Treatment for 12 Weeks in Adults With Active Primary Sjögren's Syndrome (pSS)</t>
  </si>
  <si>
    <t>NCT04953962</t>
  </si>
  <si>
    <t>Study of CBP501/Cisplatin/Nivolumab Combinations in Advanced Pancreatic Cancer</t>
  </si>
  <si>
    <t>CanBas Co. Ltd.</t>
  </si>
  <si>
    <t>NCT04686773</t>
  </si>
  <si>
    <t>Open-label, Non-randomized, Non-comparative, Phase II Study of Safety and Immunogenicity of Combination of AZD1222 and rAd26-S for COVID-19 Prevention</t>
  </si>
  <si>
    <t>NCT05012670</t>
  </si>
  <si>
    <t>Mass Balance Recovery, Metabolite Profile, and Metabolite Identification of [14C]-Paxalisib in Healthy Male Subjects</t>
  </si>
  <si>
    <t>Kazia Therapeutics Limited</t>
  </si>
  <si>
    <t>NCT05157360</t>
  </si>
  <si>
    <t>HAT for the Treatment of Sepsis Associated With NASTI</t>
  </si>
  <si>
    <t>NCT04652570</t>
  </si>
  <si>
    <t>Efficacy and Safety of VB119 in Subjects With Membranous Nephropathy</t>
  </si>
  <si>
    <t>Tenet Medicines</t>
  </si>
  <si>
    <t>NCT04808154</t>
  </si>
  <si>
    <t>A Phase I Study to Investigate the Safety, Tolerability and Pharmacokinetic Profile of SNP-630 in Health Subjects.</t>
  </si>
  <si>
    <t>Sinew Pharma Inc.</t>
  </si>
  <si>
    <t>NCT04617054</t>
  </si>
  <si>
    <t>Phase II Study of AB-106 to Treat Patients With Solid Tumors With NTRK Gene Fusion</t>
  </si>
  <si>
    <t>NCT04892446</t>
  </si>
  <si>
    <t>Study of Magrolimab Combinations in Patients With Relapsed/Refractory Multiple Myeloma</t>
  </si>
  <si>
    <t>NCT05003986</t>
  </si>
  <si>
    <t>Study of Sparsentan Treatment in Pediatrics With Proteinuric Glomerular Diseases</t>
  </si>
  <si>
    <t>NCT04835441</t>
  </si>
  <si>
    <t>ALPN-101 (Acazicolcept) in Systemic Lupus Erythematosus</t>
  </si>
  <si>
    <t>Alpine Immune Sciences Inc, A Subsidiary of Vertex</t>
  </si>
  <si>
    <t>NCT04786990</t>
  </si>
  <si>
    <t>Open-Label Study of SPN-812 Administered With Psychostimulants in Children and Adolescents With ADHD</t>
  </si>
  <si>
    <t>NCT04986982</t>
  </si>
  <si>
    <t>OpiCapone Effect on Motor Fluctuations and pAiN</t>
  </si>
  <si>
    <t>Bial - Portela C S.A.</t>
  </si>
  <si>
    <t>NCT04702880</t>
  </si>
  <si>
    <t>A Study of BMS-986012 in Combination With Carboplatin, Etoposide, and Nivolumab as First-line Therapy in Extensive-stage Small Cell Lung Cancer</t>
  </si>
  <si>
    <t>NCT04753437</t>
  </si>
  <si>
    <t>A Study of Vonoprazan in Adults With Helicobacter Pylori</t>
  </si>
  <si>
    <t>NCT04728061</t>
  </si>
  <si>
    <t>Study to Assess the Pharmacokinetics, Pharmacodynamics, Safety, and Tolerability of GEn1E-1124</t>
  </si>
  <si>
    <t>GEn1E Lifesciences</t>
  </si>
  <si>
    <t>NCT04534205</t>
  </si>
  <si>
    <t>A Clinical Trial Investigating the Safety, Tolerability, and Therapeutic Effects of BNT113 in Combination With Pembrolizumab Versus Pembrolizumab Alone for Patients With a Form of Head and Neck Cancer Positive for Human Papilloma Virus 16 and Expressing the Protein PD-L1</t>
  </si>
  <si>
    <t>NCT05042986</t>
  </si>
  <si>
    <t>A Study of the Absorption, Metabolism, and Excretion of [14C]-SKI-O-703 Following a Single Oral Dose in Healthy Male Subjects</t>
  </si>
  <si>
    <t>Oscotec Inc.</t>
  </si>
  <si>
    <t>NCT05337254</t>
  </si>
  <si>
    <t>A Study of the PK and Safety of Single Doses of STS101, DHE Injection and Nasal Spray in Healthy Subjects</t>
  </si>
  <si>
    <t>NCT04607005</t>
  </si>
  <si>
    <t>Efficacy and Safety of Mepolizumab in Adults With Chronic Rhinosinusitis With Nasal Polyps (CRSwNP)/ Eosinophilic Chronic Rhinosinusitis (ECRS)</t>
  </si>
  <si>
    <t>NCT05052554</t>
  </si>
  <si>
    <t>Study With QR-504a to Evaluate Safety, Tolerability &amp; Corneal Endothelium Molecular Biomarker(s) in Subjects With FECD3</t>
  </si>
  <si>
    <t>NCT04976322</t>
  </si>
  <si>
    <t>A Study to Evaluate the Safety and Tolerability of Dapirolizumab Pegol in Study Participants With Systemic Lupus Erythematosus</t>
  </si>
  <si>
    <t>NCT04640142</t>
  </si>
  <si>
    <t>Study to Evaluate the Pharmacokinetics, Efficacy, Tolerability, and Safety of Subcutaneous Human Immunoglobulin (Newnorm) in Patients With Primary Immunodeficiency Diseases</t>
  </si>
  <si>
    <t>NCT05085002</t>
  </si>
  <si>
    <t>A Study of Lerociclib in Participants With Advanced Breast Cancer</t>
  </si>
  <si>
    <t>EQRx, Inc.</t>
  </si>
  <si>
    <t>NCT04779242</t>
  </si>
  <si>
    <t>Omadacycline vs. Moxifloxacin for the Treatment of Community-Acquired Bacterial Pneumonia</t>
  </si>
  <si>
    <t>Paratek Pharmaceuticals Inc</t>
  </si>
  <si>
    <t>NCT05052996</t>
  </si>
  <si>
    <t>Study Evaluating the Safety and Efficacy of Islatravir in Combination With Lenacapavir in Virologically Suppressed People With HIV</t>
  </si>
  <si>
    <t>NCT05054751</t>
  </si>
  <si>
    <t>GB491 Combined With Fulvestrant for HR+ HER2- Locally Advanced or Metastatic Breast Cancer</t>
  </si>
  <si>
    <t>Genor Biopharma Co., Ltd.</t>
  </si>
  <si>
    <t>NCT04809220</t>
  </si>
  <si>
    <t>A Study of Two Doses of Dulaglutide (LY2189265) in Japanese Patients With Type 2 Diabetes</t>
  </si>
  <si>
    <t>NCT04787562</t>
  </si>
  <si>
    <t>Pharmacokinetics of XNW4107 in Subjects With Various Degrees of Renal Function</t>
  </si>
  <si>
    <t>NCT04988386</t>
  </si>
  <si>
    <t>Open-Label Safety Study of Acoramidis (AG10) in Symptomatic ATTR Participants</t>
  </si>
  <si>
    <t>NCT04908722</t>
  </si>
  <si>
    <t>A Study to Evaluate Dose Levels of Ad26.COV2.S Administered as a Two-dose Schedule in Healthy Adults</t>
  </si>
  <si>
    <t>NCT04499924</t>
  </si>
  <si>
    <t>Tucatinib, Trastuzumab, Ramucirumab, and Paclitaxel Versus Paclitaxel and Ramucirumab in Previously Treated HER2+ Gastroesophageal Cancer</t>
  </si>
  <si>
    <t>NCT04878471</t>
  </si>
  <si>
    <t>Study to Evaluate the Safety, Tolerability, and Pharmacokinetics of ASP5354 in Healthy Adult Japanese Male Participants</t>
  </si>
  <si>
    <t>NCT04787471</t>
  </si>
  <si>
    <t>Corneal Crosslinking for Treatment of Corneal Neovascularization</t>
  </si>
  <si>
    <t>Price Vision Group</t>
  </si>
  <si>
    <t>NCT04850898</t>
  </si>
  <si>
    <t>Study of SAB-176 in Healthy Adult Participants</t>
  </si>
  <si>
    <t>NCT05205863</t>
  </si>
  <si>
    <t>Dose-Response in PD and Safety of Cofact Under VKA Anticoagulation</t>
  </si>
  <si>
    <t>Prothya Biosolutions</t>
  </si>
  <si>
    <t>NCT05142475</t>
  </si>
  <si>
    <t>A Study of GC101 TIL in Advanced Breast Cancer (10hospital)</t>
  </si>
  <si>
    <t>NCT04729309</t>
  </si>
  <si>
    <t>Mass Balance and Absolute Bioavailability Study of RO7049389 in Healthy Volunteers</t>
  </si>
  <si>
    <t>NCT05037409</t>
  </si>
  <si>
    <t>Investigation of Safety, Tolerability, Immunogenicity and Pharmacokinetics of Single-Dose of PF-06823859 in Japanese Healthy Participants</t>
  </si>
  <si>
    <t>NCT04760730</t>
  </si>
  <si>
    <t>Safety and Immunogenicity Study in Adults of AZD1222 and rAd26-S Administered as Heterologous Prime Boost Regimen for the Prevention of Coronavirus Disease 2019 (COVID-19)</t>
  </si>
  <si>
    <t>NCT04669899</t>
  </si>
  <si>
    <t>Study of JTX-8064, as Monotherapy and in Combination With a PD-1 Inhibitor, in Adult Subjects With Advanced Refractory Solid Tumors</t>
  </si>
  <si>
    <t>NCT05236621</t>
  </si>
  <si>
    <t>A Study of the Efficacy and Safety of Pomalidomide Capsules Combined With Low-Dose Dexamethasone in Subjects With Relapsed and Refractory Multiple Myeloma</t>
  </si>
  <si>
    <t>NCT04868292</t>
  </si>
  <si>
    <t>Study to Assess the Intrapulmonary Pharmacokinetics of SPR206 in Healthy Volunteers</t>
  </si>
  <si>
    <t>NCT04988867</t>
  </si>
  <si>
    <t>An Open-Label Study of Trofinetide for the Treatment of Girls Two to Five Years of Age Who Have Rett Syndrome</t>
  </si>
  <si>
    <t>NCT04696809</t>
  </si>
  <si>
    <t>A Study of Teclistamab in Japanese Participants With Relapsed or Refractory Multiple Myeloma</t>
  </si>
  <si>
    <t>NCT04997239</t>
  </si>
  <si>
    <t>A Clinical Trial of Quadrivalent Influenza Vaccine in Children Aged 3-8 Years Old</t>
  </si>
  <si>
    <t>NCT04388501</t>
  </si>
  <si>
    <t>A Study Evaluating Drug Drug Interaction Between Milvexian and Atorvastatin in Healthy Participants</t>
  </si>
  <si>
    <t>NCT03770299</t>
  </si>
  <si>
    <t>An Investigational Immuno-therapy Study of Nivolumab Given After Surgery in Non-Small Cell Lung Cancer (NSCLC) Participants With Minimal Residual Disease</t>
  </si>
  <si>
    <t>NCT05151731</t>
  </si>
  <si>
    <t>A Study to Investigate Vamikibart (RO7200220) in Diabetic Macular Edema</t>
  </si>
  <si>
    <t>NCT05683951</t>
  </si>
  <si>
    <t>Clinical Trial to Evaluate the Efficacy and Safety of DWKH</t>
  </si>
  <si>
    <t>NCT05499351</t>
  </si>
  <si>
    <t>A Study of Booster Immunization With COVID-19 Vaccine,Inactivated Co -Administration With Influenza Vaccine and Pneumococcal Polysaccharide Vaccine</t>
  </si>
  <si>
    <t>NCT05113251</t>
  </si>
  <si>
    <t>Trastuzumab Deruxtecan (T-DXd) Alone or in Sequence With THP, Versus Standard Treatment (ddAC-THP), in HER2-positive Early Breast Cancer</t>
  </si>
  <si>
    <t>NCT04803929</t>
  </si>
  <si>
    <t>Clinical Study of Anti-ILT3 CAR-T Therapy for R/R AML(M4/M5)</t>
  </si>
  <si>
    <t>Carbiogene Therapeutics Co. Ltd.</t>
  </si>
  <si>
    <t>NCT05092802</t>
  </si>
  <si>
    <t>The Efficacy of HLX208 (BRAF V600E Inhibitor) for Refractory Primary Brain Tumors With BRAF Mutation After First-line Treatment</t>
  </si>
  <si>
    <t>NCT04750226</t>
  </si>
  <si>
    <t>Study To Assess Adverse Events and Change in Disease Activity Of 24-hour Continuous Subcutaneous Infusion Of ABBV-951 In Adult Participants With Advanced Parkinson's Disease</t>
  </si>
  <si>
    <t>NCT05104476</t>
  </si>
  <si>
    <t>A Study of Lu AF82422 in Participants With Multiple System Atrophy</t>
  </si>
  <si>
    <t>NCT04832971</t>
  </si>
  <si>
    <t>Study of ARO-ANG3 in Adults With Mixed Dyslipidemia</t>
  </si>
  <si>
    <t>NCT05019040</t>
  </si>
  <si>
    <t>Study of the Safety, Tolerability, Pharmacokinetic and Pharmacodynamic Characteristics of PA1010 in HBV Patients</t>
  </si>
  <si>
    <t>NCT05024058</t>
  </si>
  <si>
    <t>Study of Efficacy and Safety of Ligelizumab in Adolescents and Adults With Chronic Inducible Urticaria Who Remain Symptomatic Despite Treatment With H1- Antihistamines</t>
  </si>
  <si>
    <t>NCT04956640</t>
  </si>
  <si>
    <t>Study of LY3537982 in Cancer Patients With a Specific Genetic Mutation (KRAS G12C)</t>
  </si>
  <si>
    <t>NCT05053126</t>
  </si>
  <si>
    <t>Study Evaluating Abuse Potential of Lyrica® in Healthy Non-Drug Dependent Recreational Opioid Users</t>
  </si>
  <si>
    <t>Viatris Specialty LLC</t>
  </si>
  <si>
    <t>NCT04381468</t>
  </si>
  <si>
    <t>SEMA4D Blockade Safety and Brain Metabolic Activity in Alzheimer's Disease (AD)</t>
  </si>
  <si>
    <t>Vaccinex Inc.</t>
  </si>
  <si>
    <t>NCT04812925</t>
  </si>
  <si>
    <t>A Phase 3 Study to Evaluate the Safety and Efficacy of Efgartigimod PH20 Subcutaneous in Adult Patients With Primary Immune Thrombocytopenia</t>
  </si>
  <si>
    <t>NCT04647526</t>
  </si>
  <si>
    <t>Study Evaluating mCRPC Treatment Using PSMA [Lu-177]-PNT2002 Therapy After Second-line Hormonal Treatment</t>
  </si>
  <si>
    <t>POINT Biopharma, a wholly owned subsidiary of Eli Lilly and Company</t>
  </si>
  <si>
    <t>NCT04971291</t>
  </si>
  <si>
    <t>An Evaluation of AXS-05 for the Treatment of TRD in Treatment-Adherent Patients</t>
  </si>
  <si>
    <t>NCT03766750</t>
  </si>
  <si>
    <t>Efficacy and Safety of Lima Association in the Control of Type II Diabetes Mellitus.</t>
  </si>
  <si>
    <t>NCT05148091</t>
  </si>
  <si>
    <t>The Safety, Tolerability and Immunogenicity of COVID-19 Vaccine (SCTV01C) in Healthy, Unvaccinated Adults</t>
  </si>
  <si>
    <t>NCT04313244</t>
  </si>
  <si>
    <t>Immunogenicity and Safety of Dengue Tetravalent Vaccine (TDV) and Recombinant 9-valent Human Papillomavirus Vaccine (9vHPV) in Participants Aged ≥9 to &lt;15 Years</t>
  </si>
  <si>
    <t>NCT04743414</t>
  </si>
  <si>
    <t>Drug-drug Interaction Study of CTP-543 and Itraconazole in Healthy Adult Subjects</t>
  </si>
  <si>
    <t>NCT03084952</t>
  </si>
  <si>
    <t>Phase 2 Trial to Evaluate 18-Methoxycoronaridine Efficacy, Safety and Tolerability in Cutaneous Leishmaniasis Patients</t>
  </si>
  <si>
    <t>Infan Industria Quimica Farmaceutica Nacional</t>
  </si>
  <si>
    <t>NCT04989387</t>
  </si>
  <si>
    <t>Study of INCA 0186 in Subjects With Advanced Solid Tumors</t>
  </si>
  <si>
    <t>NCT04691804</t>
  </si>
  <si>
    <t>A Multicenter, Randomized, Double-Blind, Placebo-Controlled Phase III Study of Fuzuloparib Combined With Abiraterone Acetate and Prednisone (AA-P) Versus Placebo Combined With AA-P as First-Line Treatment in Patients With Metastatic Castration-Resistant Prostate Cancer</t>
  </si>
  <si>
    <t>NCT04856904</t>
  </si>
  <si>
    <t>Study of Trifarotene Cream to Assess Risk of a Trophic Acne Scar Formation</t>
  </si>
  <si>
    <t>NCT04919811</t>
  </si>
  <si>
    <t>Taletrectinib Phase 2 Global Study in ROS1 Positive NSCLC</t>
  </si>
  <si>
    <t>NCT04597411</t>
  </si>
  <si>
    <t>Study of 225Ac-PSMA-617 in Men With PSMA-positive Prostate Cancer</t>
  </si>
  <si>
    <t>Endocyte</t>
  </si>
  <si>
    <t>NCT04755244</t>
  </si>
  <si>
    <t>A Study of Evorpacept (ALX148) With Venetoclax and Azacitidine for Acute Myeloid Leukemia (ASPEN-05)</t>
  </si>
  <si>
    <t>NCT05282771</t>
  </si>
  <si>
    <t>A Study Comparing Halobetasol Propionate and Tazarotene Topical Lotion 0.01%/0.045% to Duobrii® Lotion (Halobetasol Propionate and Tazarotene Lotion), 0.01%/0.045% (Reference Listed Drug) in the Treatment of Moderate to Severe Plaque Psoriasis.</t>
  </si>
  <si>
    <t>NCT04728321</t>
  </si>
  <si>
    <t>A Study of Anti-PD-1/CTLA-4 Bispecific AK104 Alone or in Combination With Lenvatinib in Advanced Hepatocellular Carcinoma</t>
  </si>
  <si>
    <t>NCT04659304</t>
  </si>
  <si>
    <t>Study Evaluating Safety and Tolerability of Allocetra-OTS in Patients With COVID-19</t>
  </si>
  <si>
    <t>NCT05022771</t>
  </si>
  <si>
    <t>A First in Human Study to Evaluate the Safety, Tolerability, Pharmacokinetics and Immunogenicity of PMG1015</t>
  </si>
  <si>
    <t>Pulmongene Ltd.</t>
  </si>
  <si>
    <t>NCT04309734</t>
  </si>
  <si>
    <t>Study of AT-777 in Healthy Subjects and AT-777 in Combination With AT-527 in HCV-Infected Subjects</t>
  </si>
  <si>
    <t>NCT04886063</t>
  </si>
  <si>
    <t>Open Label Study of ATH-1017 for Treatment of Mild to Moderate Alzheimer's Disease</t>
  </si>
  <si>
    <t>NCT04746963</t>
  </si>
  <si>
    <t>Safety and Bioactivity of AXT107 in Subjects With Neovascular Age-Related Macular Degeneration</t>
  </si>
  <si>
    <t>NCT04741087</t>
  </si>
  <si>
    <t>Study of the Safety and Efficacy of AMT-101 in Subjects With Pouchitis</t>
  </si>
  <si>
    <t>NCT05064371</t>
  </si>
  <si>
    <t>Long-Term Extension Study With Eptinezumab as Preventive Treatment in Participants With Migraine in Japan</t>
  </si>
  <si>
    <t>NCT05144984</t>
  </si>
  <si>
    <t>A Research Study Looking at How Well a Combination of the Medicines Semaglutide and NNC0480-0389 Works in People With Type 2 Diabetes</t>
  </si>
  <si>
    <t>NCT04746105</t>
  </si>
  <si>
    <t>A Clinical Pharmacology Study of TS-142 in Patients with Obstructive Sleep Apnea Hypopnea.</t>
  </si>
  <si>
    <t>NCT05976386</t>
  </si>
  <si>
    <t>Single Dose Comparability Study of New and Current Dupilumab Drug Products Subcutaneously Administered in Healthy Adults</t>
  </si>
  <si>
    <t>NCT04736394</t>
  </si>
  <si>
    <t>A Phase 3 Study to Evaluate the Safety and Efficacy of APL-1202 as a Single-agent Oral Treatment Versus Intravesical Instillation of Epirubicin Hydrochloride in naïve Intermediate-risk NMIBC Patients</t>
  </si>
  <si>
    <t>NCT05132777</t>
  </si>
  <si>
    <t>Efficacy and Safety of JMT101 Combined With Osimertinib in Patients With Non-Small Cell Lung Cancer</t>
  </si>
  <si>
    <t>NCT04856865</t>
  </si>
  <si>
    <t>ADP101 for Oral Immunotherapy in Food-Allergic Children and Adults</t>
  </si>
  <si>
    <t>Alladapt Immunotherapeutics, Inc.</t>
  </si>
  <si>
    <t>NCT04765995</t>
  </si>
  <si>
    <t>Study of Pharmacokinetics, Pharmacodynamics, Safety, and Immunogenicity of of HZBio1 in Healthy Subjects</t>
  </si>
  <si>
    <t>Hangzhou Grand Biologic Pharmaceutical, Inc.</t>
  </si>
  <si>
    <t>NCT04911881</t>
  </si>
  <si>
    <t>A Study of the Safety and Tolerability of IBI321 in Patients With Advanced Solid Tumors</t>
  </si>
  <si>
    <t>NCT04960930</t>
  </si>
  <si>
    <t>To Evaluate the Efficacy and Safety of Minocycline Hydrochloride Foam in the Treatment of Moderate-to-severe Acne Vulgaris</t>
  </si>
  <si>
    <t>Cutia Therapeutics (Shanghai) Co., Ltd</t>
  </si>
  <si>
    <t>NCT05112419</t>
  </si>
  <si>
    <t>A Study to Assess Zibotentan Pharmacokinetics in Participants With Moderate Hepatic and Moderate Renal Impairment</t>
  </si>
  <si>
    <t>NCT04900519</t>
  </si>
  <si>
    <t>Study of the Safety and Efficacy of STI-6643 in Subjects With Advanced Solid Tumors</t>
  </si>
  <si>
    <t>NCT04643067</t>
  </si>
  <si>
    <t>Phase 1b/2a Study to Evaluate Safety and Efficacy of KPG-818 in SLE</t>
  </si>
  <si>
    <t>Kangpu Biopharmaceuticals, Ltd.</t>
  </si>
  <si>
    <t>NCT04578756</t>
  </si>
  <si>
    <t>Open-Label, Flexible-dose Study to Evaluate the Long-Term Safety and Tolerability of Cariprazine in the Treatment of Pediatric Participants With Schizophrenia, Bipolar I Disorder, or Autism Spectrum Disorder</t>
  </si>
  <si>
    <t>NCT03897075</t>
  </si>
  <si>
    <t>Efficacy and Safety Study of Tildrakizumab in the Treatment of Nail Psoriasis</t>
  </si>
  <si>
    <t>NCT05797701</t>
  </si>
  <si>
    <t>A Study in Healthy Adult Male &amp; Female Participants to Assess the Amount of the Study Medicine (SAR443820) Absorbed by the Body, When Given Orally in Fasted Condition as a Tablet Versus as a Capsule (Part 1) and When Given Orally as a Tablet in Fasted Condition Versus as a Tablet After Food (Part 2)</t>
  </si>
  <si>
    <t>NCT05009966</t>
  </si>
  <si>
    <t>Study of SYSA1801 in the Treatment of Claudin( CLDN) 18.2 Positive Advanced Malignant Solid Tumor</t>
  </si>
  <si>
    <t>NCT04825431</t>
  </si>
  <si>
    <t>Mass Balance Study of [14C] TAS-205 in Healthy Volunteers</t>
  </si>
  <si>
    <t>NCT04586153</t>
  </si>
  <si>
    <t>Study to Assess the Effect of Meplazumab on COVID-19</t>
  </si>
  <si>
    <t>Jiangsu Pacific Meinuoke Bio Pharmaceutical Co Ltd</t>
  </si>
  <si>
    <t>NCT05111912</t>
  </si>
  <si>
    <t>Effects of XW003 Versus Liraglutide on Body Weight of Adult Participants With Obesity</t>
  </si>
  <si>
    <t>NCT04722653</t>
  </si>
  <si>
    <t>A Research Study Looking at How the Medicine NNC0194-0499 Behaves in Japanese and Non-Asian Men</t>
  </si>
  <si>
    <t>NCT05044195</t>
  </si>
  <si>
    <t>A Clinical Study to Evaluate the Immunogenicity and Safety of an Adjuvanted Quadrivalent Influenza Vaccine Compared With a Licensed Quadrivalent Vaccine in Adults 50 to 64 Years of Age</t>
  </si>
  <si>
    <t>NCT04678453</t>
  </si>
  <si>
    <t>Safety of SNK01 in Subjects With Alzheimer's Disease (ASK-AD)</t>
  </si>
  <si>
    <t>NKGen Biotech, Inc.</t>
  </si>
  <si>
    <t>NCT04965675</t>
  </si>
  <si>
    <t>A Study With Eptinezumab in Adolescents (12-17 Years) With Chronic Migraine</t>
  </si>
  <si>
    <t>NCT04564339</t>
  </si>
  <si>
    <t>Study of Ravulizumab in Proliferative Lupus Nephritis (LN) or Immunoglobulin A Nephropathy (IgAN)</t>
  </si>
  <si>
    <t>NCT04738357</t>
  </si>
  <si>
    <t>A Clinical Study to Evaluate Efficacy and Safety of HSK21542 for Postoperative Analgesia of Subjects Undergoing Elective Laparoscopic Surgery Under General Anesthesia</t>
  </si>
  <si>
    <t>NCT05187793</t>
  </si>
  <si>
    <t>Study of Efficacy of Different Treatment Regimens of Olokizumab</t>
  </si>
  <si>
    <t>NCT05073484</t>
  </si>
  <si>
    <t>Assessment of Safety and Preliminary Efficacy With BAT6021 in Solid Tumor Patients</t>
  </si>
  <si>
    <t>NCT04488133</t>
  </si>
  <si>
    <t>A Study to Learn About the Effect of Nusinersen (BIIB058) Given as Injections to Children With Spinal Muscular Atrophy (SMA) Who Were Previously Treated With Onasemnogene Abeparvovec (RESPOND)</t>
  </si>
  <si>
    <t>NCT04971733</t>
  </si>
  <si>
    <t>A Study to Assess Safety and Target Engagement of E2814 in Participants With Mild to Moderate Cognitive Impairment Due to Dominantly Inherited Alzheimer's Disease</t>
  </si>
  <si>
    <t>NCT04753034</t>
  </si>
  <si>
    <t>Study of TER-101 Topical Ointment in Subjects With Atopic Dermatitis</t>
  </si>
  <si>
    <t>Teres Bio, Inc.</t>
  </si>
  <si>
    <t>NCT05768321</t>
  </si>
  <si>
    <t>Study of GEC255 in Subjects With Advanced Solid Tumors With KRAS p.G12C Mutation</t>
  </si>
  <si>
    <t>GenEros Biopharma Hangzhou Ltd</t>
  </si>
  <si>
    <t>NCT04906993</t>
  </si>
  <si>
    <t>Camrelizumab Combined With Famitinib Malate for Treatment of Recurrent/Metastatic Cervical Cancer</t>
  </si>
  <si>
    <t>NCT05086952</t>
  </si>
  <si>
    <t>A Study in Healthy Adult Male Participants to Learn the Way Vericiguat is Absorbed With and Without Food When Taken as a Single Dose in Liquid Form Suitable for Children Compared to a 10 Milligram (mg) Tablet That Releases the Active Substance Immediately</t>
  </si>
  <si>
    <t>NCT04953052</t>
  </si>
  <si>
    <t>A Randomized Study to Investigate the Effect of Intravenous Imatinib on the Amount of Oxygen in the Lungs and Blood of Adults With COVID-19 Needing Mechanical Ventilation and Supportive Care.</t>
  </si>
  <si>
    <t>Exvastat Ltd.</t>
  </si>
  <si>
    <t>NCT05296993</t>
  </si>
  <si>
    <t>Safety &amp; Efficacy of Extended Longevity Protocol</t>
  </si>
  <si>
    <t>NCT04486833</t>
  </si>
  <si>
    <t>Quaratusugene Ozeplasmid (Reqorsa) and Osimertinib in Patients With Advanced Lung Cancer Who Progressed on Osimertinib</t>
  </si>
  <si>
    <t>Genprex, Inc.</t>
  </si>
  <si>
    <t>NCT07563634</t>
  </si>
  <si>
    <t>Long-term Safety and Efficacy of Adjunctive Brivaracetam in Chinese Patients With Uncontrolled Focal Epilepsy</t>
  </si>
  <si>
    <t>NCT04647487</t>
  </si>
  <si>
    <t>A Study of LY3484356 in Women With Breast Cancer Before Having Surgery</t>
  </si>
  <si>
    <t>NCT04958187</t>
  </si>
  <si>
    <t>Study to Evaluate the Pharmacokinetics of ANG-3777 in Hemodialysis Subjects</t>
  </si>
  <si>
    <t>NCT04991909</t>
  </si>
  <si>
    <t>A Phase 1, Randomized, Double-blind, Placebo-controlled Study to Evaluate the Safety, Tolerability, Pharmacokinetics of HRS4800 in Healthy Subjects</t>
  </si>
  <si>
    <t>NCT05109663</t>
  </si>
  <si>
    <t>A Dose Escalation and Food Effect Study of SKLB1028 in Healthy Subjects</t>
  </si>
  <si>
    <t>NCT05084911</t>
  </si>
  <si>
    <t>The Efficacy and Safety of Pyramax in Mild to Moderate COVID-19 Patients (Phase3)</t>
  </si>
  <si>
    <t>NCT04338763</t>
  </si>
  <si>
    <t>RP72 Monotherapy and in Combination With Gemcitabine in Patients With Pancreatic Cancer</t>
  </si>
  <si>
    <t>Rise Biopharmaceuticals, Inc.</t>
  </si>
  <si>
    <t>NCT05139316</t>
  </si>
  <si>
    <t>A Study of Adeno-Associated Virus Serotype 8-Mediated Gene Transfer of Glucose-6-Phosphatase in Patients With Glycogen Storage Disease Type Ia (GSDIa)</t>
  </si>
  <si>
    <t>NCT05077904</t>
  </si>
  <si>
    <t>A Study to Test the Efficacy and Safety of Staccato Alprazolam in Study Participants 12 Years of Age and Older With Stereotypical Prolonged Seizures</t>
  </si>
  <si>
    <t>NCT05153564</t>
  </si>
  <si>
    <t>A Research Study Looking Into the Effect of Semaglutide and NNC0480 0389 on Blood Levels of a Birth Control Pill in Woman After Menopause</t>
  </si>
  <si>
    <t>NCT04961099</t>
  </si>
  <si>
    <t>Phase I Clinical Study of HY01 in Patients</t>
  </si>
  <si>
    <t>Heyu (Suzhou) Pharmaceutical Technology Co., Ltd</t>
  </si>
  <si>
    <t>NCT04856371</t>
  </si>
  <si>
    <t>Study of CYH33 in Combination With Endocrine Therapy With or Without Palbociclib in Patients With HR+, HER2- Advanced Breast Cancer</t>
  </si>
  <si>
    <t>NCT04928144</t>
  </si>
  <si>
    <t>Phase 1 Study of SHJ002 Sterile Ophthalmic Solution in Pediatric Subjects</t>
  </si>
  <si>
    <t>Sunhawk Vision Biotech, Inc.</t>
  </si>
  <si>
    <t>NCT05026320</t>
  </si>
  <si>
    <t>A Clinical Trial to Compare Safety and Effectiveness for Relieving Tenderness of 10% Naproxen Gel vs. a 2.32% Diclofenac Diethylamine Gel in the Treatment of Strains and Bruises of the Legs.</t>
  </si>
  <si>
    <t>NCT04997161</t>
  </si>
  <si>
    <t>Study of SZC and Enhanced Nutrition Advice Compared to SoC in Dialysis Patients With Hyperkalaemia</t>
  </si>
  <si>
    <t>NCT04980027</t>
  </si>
  <si>
    <t>Evaluation of the Safety and Efficacy of Insulin Glargine 300 U/ml (Gla-300) in Insulin-naïve Patients With Type 2 Diabetes Mellitus Uncontrolled on Oral Antihyperglycemic Drugs</t>
  </si>
  <si>
    <t>NCT05152173</t>
  </si>
  <si>
    <t>Efficacy, Safety, and Tolerability, of EN3835 vs Placebo in the Treatment of Plantar Fibromatosis</t>
  </si>
  <si>
    <t>NCT04574869</t>
  </si>
  <si>
    <t>A Study of RLS-0071 in Patients With Acute Lung Injury Due to COVID-19 Pneumonia in Early Respiratory Failure</t>
  </si>
  <si>
    <t>ReAlta Life Sciences, Inc.</t>
  </si>
  <si>
    <t>NCT05199142</t>
  </si>
  <si>
    <t>A Study to Evaluate the Safety, Tolerability, and Pharmacodynamics of SDI-118 in Elderly Male and Female Study Participants With Cognitive Decline</t>
  </si>
  <si>
    <t>Syndesi Therapeutics</t>
  </si>
  <si>
    <t>NCT06035354</t>
  </si>
  <si>
    <t>A Study to Evaluate the Safety, Pharmacokinetics and Efficacy of AK120 in Subjects With Atopic Dermatitis</t>
  </si>
  <si>
    <t>NCT04716894</t>
  </si>
  <si>
    <t>A Study in Healthy Men to Test How Itraconazole Influences the Amount of BI 474121 in the Blood</t>
  </si>
  <si>
    <t>NCT05313386</t>
  </si>
  <si>
    <t>Study of BXCL501 In Agitation Associated With Delirium in ICU Patients</t>
  </si>
  <si>
    <t>NCT04790370</t>
  </si>
  <si>
    <t>Ultrasound-facilitated, Catheter-directed, Thrombolysis in Intermediate-high Risk Pulmonary Embolism</t>
  </si>
  <si>
    <t>Boston Scientific Corporation</t>
  </si>
  <si>
    <t>NCT04643405</t>
  </si>
  <si>
    <t>APG-1387 Plus Chemotherapy in Advanced Pancreatic Adenocarcinoma</t>
  </si>
  <si>
    <t>NCT05093166</t>
  </si>
  <si>
    <t>Clinical Trial to Assess the Safety and Efficacy of Investigational Product in Patients Due to Hypospadias Treatment Failure</t>
  </si>
  <si>
    <t>Holostem s.r.l.</t>
  </si>
  <si>
    <t>NCT04672369</t>
  </si>
  <si>
    <t>A Study to Evaluate the Efficacy of IBI939 in Combination With Sintilimab in Patients With Advanced NSCLC</t>
  </si>
  <si>
    <t>NCT05113940</t>
  </si>
  <si>
    <t>A Study of PF-07258669 In Healthy Adult Participants</t>
  </si>
  <si>
    <t>NCT05223920</t>
  </si>
  <si>
    <t>An Extension Study of Bomedemstat (IMG-7289/MK-3543) in Participants With Myeloproliferative Neoplasms (IMG-7289-CTP-202/MK-3543-005)</t>
  </si>
  <si>
    <t>NCT04396717</t>
  </si>
  <si>
    <t>Safety Study of Pritumumab in Brain Cancer</t>
  </si>
  <si>
    <t>Nascent Biotech</t>
  </si>
  <si>
    <t>NCT04788017</t>
  </si>
  <si>
    <t>A Study Evaluating the Safety, Tolerability, and Pharmacokinetics of Ziresovir in Healthy Subjects</t>
  </si>
  <si>
    <t>NCT04956224</t>
  </si>
  <si>
    <t>Safety and Immunogenicity of VLA2001 Adults Aged ≥56 Years</t>
  </si>
  <si>
    <t>NCT04683224</t>
  </si>
  <si>
    <t>A Study to Evaluate the Safety, Immunogenicity, and Efficacy of UB-612 COVID-19 Vaccine</t>
  </si>
  <si>
    <t>Vaxxinity, Inc.</t>
  </si>
  <si>
    <t>NCT04931459</t>
  </si>
  <si>
    <t>A Study to Evaluate the Safety, Tolerability, and Blood Levels of ACU193 in Participants With MCI or Mild AD</t>
  </si>
  <si>
    <t>Acumen Pharmaceuticals</t>
  </si>
  <si>
    <t>NCT04895696</t>
  </si>
  <si>
    <t>A Study Evaluating the Efficacy and Safety of Afimetoran Compared With Placebo in Participants With Active Systemic Lupus Erythematosus (SLE)</t>
  </si>
  <si>
    <t>NCT05132569</t>
  </si>
  <si>
    <t>Efficacy and Safety of Tolebrutinib (SAR442168) Tablets in Adult Participants With Generalized Myasthenia Gravis</t>
  </si>
  <si>
    <t>NCT04840394</t>
  </si>
  <si>
    <t>Clinical Study of BDB018: Monotherapy and in Combination With Pembrolizumab in Subjects With Advanced Solid Tumors</t>
  </si>
  <si>
    <t>Eikon Therapeutics</t>
  </si>
  <si>
    <t>NCT02545127</t>
  </si>
  <si>
    <t>Merotocin in Mothers With Inadequate Milk Production and Infants Delivered Prematurely</t>
  </si>
  <si>
    <t>Ferring Pharmaceuticals</t>
  </si>
  <si>
    <t>NCT05197179</t>
  </si>
  <si>
    <t>A Bridging Study of FB2001 in Healthy Subjects</t>
  </si>
  <si>
    <t>NCT04707196</t>
  </si>
  <si>
    <t>A Study of Abemaciclib in Indian Women With Advanced Breast Cancer</t>
  </si>
  <si>
    <t>NCT04848662</t>
  </si>
  <si>
    <t>To Compare the Pharmacokinetics of Budesonide Delivered by BDA MDI to Budesonide Delivered by Pulmicort Respules in Children With Asthma Aged 4 to 8 Years.</t>
  </si>
  <si>
    <t>NCT05409027</t>
  </si>
  <si>
    <t>A Study to Assess 11 Beta-hydroxysteroid Dehydrogenase Type 1 Inhibition in Adipose Tissue by SPI-62</t>
  </si>
  <si>
    <t>Sparrow Pharmaceuticals</t>
  </si>
  <si>
    <t>NCT03532958</t>
  </si>
  <si>
    <t>Phase 2 Trial of BNZ-1 in Patients With Moderate to Severe Alopecia Areata</t>
  </si>
  <si>
    <t>Equillium</t>
  </si>
  <si>
    <t>NCT04951648</t>
  </si>
  <si>
    <t>A Phase III Study to Assess the Efficacy and Safety of Almonertinib Versus Platinum-based Chemotherapy as First-line Therapy in Patients With Locally Advanced or Metastatic NSCLC Harbouring Uncommon EGFR Mutation</t>
  </si>
  <si>
    <t>NCT05359055</t>
  </si>
  <si>
    <t>Drug-drug Interaction Study of SPH3127</t>
  </si>
  <si>
    <t>NCT05322525</t>
  </si>
  <si>
    <t>A Research Study to Evaluate the Safety and Potential Efficacy of ON101 Cream for the Treatment of Venous Leg Ulcers.</t>
  </si>
  <si>
    <t>NCT05073315</t>
  </si>
  <si>
    <t>A Comparative Study Between ABP 501 and Humira® in Participants With Moderate to Severe Plaque Psoriasis</t>
  </si>
  <si>
    <t>NCT05128058</t>
  </si>
  <si>
    <t>A Target Occupancy Study With Ritlecitinib.</t>
  </si>
  <si>
    <t>NCT04851717</t>
  </si>
  <si>
    <t>Investigation of Remimazolam in Children Undergoing Sedation for Medical Procedures</t>
  </si>
  <si>
    <t>Acacia Pharma Ltd</t>
  </si>
  <si>
    <t>NCT04793204</t>
  </si>
  <si>
    <t>A Study to Evaluate the Pharmacokinetics and Safety of Fezolinetant in Healthy Chinese Female Subjects</t>
  </si>
  <si>
    <t>NCT04861987</t>
  </si>
  <si>
    <t>A Study of the Safety and PK of PCS6422 (Eniluracil) with Capecitabine in Patients with Advanced, Refractory GI Tract Tumors</t>
  </si>
  <si>
    <t>NCT04722991</t>
  </si>
  <si>
    <t>Non-proliferative Diabetic Retinopathy Treated With Runcaciguat</t>
  </si>
  <si>
    <t>NCT05064397</t>
  </si>
  <si>
    <t>A 1-year Trial to Inform About Long-term Exposure to Eptinezumab in Participants With Chronic Cluster Headache (cCH)</t>
  </si>
  <si>
    <t>NCT04502082</t>
  </si>
  <si>
    <t>Study of ET140203 T Cells in Adults With Advanced Hepatocellular Carcinoma (ARYA-1)</t>
  </si>
  <si>
    <t>Eureka Therapeutics Inc.</t>
  </si>
  <si>
    <t>NCT04747197</t>
  </si>
  <si>
    <t>First in Human Study to Evaluate the Safety and Tolerability of EYP-1901 in Patients With Wet Age Related Macular Degeneration (wAMD)</t>
  </si>
  <si>
    <t>NCT04962724</t>
  </si>
  <si>
    <t>A Study to Evaluate the Absorption, Metabolism, and Excretion and Absolute Bioavailability of Xevinapant in Healthy Male Participants</t>
  </si>
  <si>
    <t>Debiopharm International SA</t>
  </si>
  <si>
    <t>NCT05088980</t>
  </si>
  <si>
    <t>Study to Assess Effectiveness and Adverse Events of JUVEDERM VOLBELLA With Lidocaine Injection in Correcting Infraorbital Hollowing in Chinese Adult Participants</t>
  </si>
  <si>
    <t>NCT04940390</t>
  </si>
  <si>
    <t>A Randomized, Double-Blind, Parallel Group, Placebo-Controlled Study to Assess STS101 in the Acute Treatment of Migraine</t>
  </si>
  <si>
    <t>NCT04826328</t>
  </si>
  <si>
    <t>Study to Evaluate the Safety and Tolerability of FX301 in Patients Undergoing Bunionectomy</t>
  </si>
  <si>
    <t>NCT05652257</t>
  </si>
  <si>
    <t>A Study of the Absorption, Metabolism, and Excretion of [14C]-Brensocatib Following a Single Oral Administration in Healthy Male Participants</t>
  </si>
  <si>
    <t>NCT05098184</t>
  </si>
  <si>
    <t>A Study of GC101 TIL in Advanced Melanoma (10hospital)</t>
  </si>
  <si>
    <t>NCT04967443</t>
  </si>
  <si>
    <t>Pivotal Bioequivalence Study to Qualify Manufacturing Site Transfer for Prazosin Hydrochloride Capsules</t>
  </si>
  <si>
    <t>NCT05096208</t>
  </si>
  <si>
    <t>Clinical Lot Consistency for RSVpreF in a Population of Healthy Adults 18 to ≤49 Years of Age</t>
  </si>
  <si>
    <t>NCT04931667</t>
  </si>
  <si>
    <t>3-year, Open-Label Study Evaluating Safety, Tolerability, and Efficacy of Lorecivivint in Knee Osteoarthritis</t>
  </si>
  <si>
    <t>NCT04827134</t>
  </si>
  <si>
    <t>A Food-effect Study of the Pediatric Dispersible Tablet Formulations of TRIUMEQ® and DOVATO® in Healthy Adult Participants</t>
  </si>
  <si>
    <t>NCT04890548</t>
  </si>
  <si>
    <t>Study to Evaluate the Effects of AZD3427 in Patients With Heart Failure</t>
  </si>
  <si>
    <t>NCT03564548</t>
  </si>
  <si>
    <t>Inhaled Cannabinoids Versus Immediate-release Oral Opioids for the Management of Breakthrough Cancer Pain</t>
  </si>
  <si>
    <t>NCT04570436</t>
  </si>
  <si>
    <t>Evaluating the Abuse Potential of NEURONTIN® When Taken Orally in Healthy Non-drug Dependent Participants With Sedative Drug Abuse Experience</t>
  </si>
  <si>
    <t>NCT05217732</t>
  </si>
  <si>
    <t>Study to Assess the Safety, Tolerability and Pharmacokinetics of ZX-7101A and the Food Effect in Healthy Volunteers</t>
  </si>
  <si>
    <t>Nanjing Zenshine Pharmaceuticals</t>
  </si>
  <si>
    <t>NCT04634552</t>
  </si>
  <si>
    <t>A Study of Talquetamab in Participants With Relapsed or Refractory Multiple Myeloma</t>
  </si>
  <si>
    <t>NCT04723238</t>
  </si>
  <si>
    <t>Bioavailability of Duloxetine 60 mg With Regards to Reference Product in Fasting Conditions</t>
  </si>
  <si>
    <t>NCT05866809</t>
  </si>
  <si>
    <t>Evaluation of the Safety and Efficacy of HK-660S in Patients With Primary Sclerosing Cholangitis</t>
  </si>
  <si>
    <t>CuromeBiosciences</t>
  </si>
  <si>
    <t>NCT04713904</t>
  </si>
  <si>
    <t>Bioavailability of Clormadinone/Ethinyl Estradiol Tablets 2 mg/0.02 mg With Regards to Reference Product</t>
  </si>
  <si>
    <t>NCT04962139</t>
  </si>
  <si>
    <t>Evaluate the Safety and Efficacy of ON101 Cream for the Treatment of Chronic Diabetic Foot Ulcers</t>
  </si>
  <si>
    <t>NCT05076877</t>
  </si>
  <si>
    <t>A Study of Lazertinib (JNJ-73841937) in Healthy Participants</t>
  </si>
  <si>
    <t>NCT04734275</t>
  </si>
  <si>
    <t>Study to Assess Relative Bioavailability and Safety of AZD5718 in Healthy Volunteers</t>
  </si>
  <si>
    <t>NCT04993157</t>
  </si>
  <si>
    <t>Pharmacokinetics Study of FIA586 in Participants With Mild and Moderate Hepatic Impairment</t>
  </si>
  <si>
    <t>NCT04851834</t>
  </si>
  <si>
    <t>NTX-301 Monotherapy in Advanced Solid Tumours and in Combination With Platinum-based Chemotherapy in Advanced Ovarian &amp; Bladder Cancer and in Combination With Temozolomide in High-grade Glioma</t>
  </si>
  <si>
    <t>Xennials Therapeutics Australia Pty Ltd</t>
  </si>
  <si>
    <t>NCT04702165</t>
  </si>
  <si>
    <t>Image - Navigated Resection of Lung Nodules</t>
  </si>
  <si>
    <t>Navigation Sciences, Inc.</t>
  </si>
  <si>
    <t>NCT04878211</t>
  </si>
  <si>
    <t>A Open-label Study to Assess Response to COVID-19 Vaccine in Multiple Sclerosis Participants Treated With Ofatumumab</t>
  </si>
  <si>
    <t>NCT04745299</t>
  </si>
  <si>
    <t>Evaluation the Efficacy and Safety of Mutiple Lenzumestrocel (Neuronata-R® Inj.) Treatment in Patients With ALS</t>
  </si>
  <si>
    <t>Corestemchemon, Inc.</t>
  </si>
  <si>
    <t>NCT05061147</t>
  </si>
  <si>
    <t>A Study to Evaluate the Safety and Tolerability, Pharmacokinetics, Pharmacodynamics and Preliminary Efficacy of Max-40279-01 in Combination With Azacitidine (AZA) in Patients With Myelodysplastic Syndrome (MDS) or Relapsed/Refractory Acute Myeloid Leukemia (R/R AML)</t>
  </si>
  <si>
    <t>NCT06333249</t>
  </si>
  <si>
    <t>A Study Comparing Two Doses of AGTC-501 in Male Subjects With X-linked Retinitis Pigmentosa Caused by RPGR Mutations (SKYLINE)</t>
  </si>
  <si>
    <t>Beacon Therapeutics</t>
  </si>
  <si>
    <t>NCT04833049</t>
  </si>
  <si>
    <t>Study to Evaluate Absorption, Metabolism, and Excretion, of TAK-994 in 6 Healthy Male Adults</t>
  </si>
  <si>
    <t>NCT04976192</t>
  </si>
  <si>
    <t>Study to Compare Efficacy and Safety of TEV-45779 With XOLAIR (Omalizumab) in Adults With Chronic Idiopathic Urticaria</t>
  </si>
  <si>
    <t>NCT04557384</t>
  </si>
  <si>
    <t>A Study of Ramucirumab (LY3009806) Given by Injection Under the Skin in Participants With Advanced Cancer</t>
  </si>
  <si>
    <t>NCT05241106</t>
  </si>
  <si>
    <t>A Study of HYML-122 in Patients With FLT3 Positive Relapsed or Refractory Acute Myeloid Leukemia (AML)</t>
  </si>
  <si>
    <t>Tarapeutics Science Inc.</t>
  </si>
  <si>
    <t>NCT05211830</t>
  </si>
  <si>
    <t>A Study to Evaluate Topically Applied SXR1096 Cream in Patients With Netherton Syndrome</t>
  </si>
  <si>
    <t>Sixera Pharma</t>
  </si>
  <si>
    <t>NCT04817007</t>
  </si>
  <si>
    <t>A Study to Assess the Safety and Tolerability of BMS-986158 Alone and in Combination With Either Ruxolitinib or Fedratinib in Participants With Blood Cancer (Myelofibrosis)</t>
  </si>
  <si>
    <t>NCT04660344</t>
  </si>
  <si>
    <t>A Study of Atezolizumab Versus Placebo as Adjuvant Therapy in Participants With High-risk Muscle-invasive Bladder Cancer (MIBC) Who Are ctDNA Positive Following Cystectomy</t>
  </si>
  <si>
    <t>NCT04619433</t>
  </si>
  <si>
    <t>A Study to Evaluate SHR-1210 in Combination With Famitinib Plus Chemotherapy in Subjects With NSCLC.</t>
  </si>
  <si>
    <t>NCT04246762</t>
  </si>
  <si>
    <t>Study in Subjects With Rheumatoid Arthritis to Evaluate the Effect of a Single Dose of Olokizumab on the Pharmacokinetics of Substrates for CYP1A2, CYP2C9, CYP2C19 and CYP3A4</t>
  </si>
  <si>
    <t>NCT05037188</t>
  </si>
  <si>
    <t>Clinical Study of the Safety and Immunogenicity of a Recombinant Viral Vector AAV5 (Adeno-Associated Virus Type 5 )-RBD (Receptor Binding Domain)-S Vaccine for the Prevention of Coronavirus Infection (COVID-19)</t>
  </si>
  <si>
    <t>NCT04947553</t>
  </si>
  <si>
    <t>A Study to Assess the Long-term Safety and Efficacy of AXS-05 in Subjects With Alzheimer's Disease Agitation</t>
  </si>
  <si>
    <t>NCT04826172</t>
  </si>
  <si>
    <t>Exploratory Study on the Safety, Tolerability, and Pharmacodynamics of IMB-1018972 in Subjects With Angina Due to Obstructive Coronary Artery Disease (IMPROVE-Ischemia)</t>
  </si>
  <si>
    <t>NCT04654351</t>
  </si>
  <si>
    <t>A Study of Icatibant (TAK-667) in Japanese Children and Teenagers With Acute Attacks of Hereditary Angioedema</t>
  </si>
  <si>
    <t>NCT04521231</t>
  </si>
  <si>
    <t>A Study of Subcutaneous Blinatumomab Administration in Participants With R/R and MRD+ B-ALL</t>
  </si>
  <si>
    <t>NCT04713930</t>
  </si>
  <si>
    <t>A Study of JNJ-61393215 in Healthy Japanese Male Participants</t>
  </si>
  <si>
    <t>NCT04826107</t>
  </si>
  <si>
    <t>Study of DP303c Injection in Patients With Advanced or Metastatic Gastric Cancer</t>
  </si>
  <si>
    <t>NCT05087056</t>
  </si>
  <si>
    <t>Safety, Tolerability, and Immunogenicity of MenABCWY Administered on Different Dosing Schedules in Healthy Adolescents</t>
  </si>
  <si>
    <t>NCT04623775</t>
  </si>
  <si>
    <t>A Study of Relatlimab Plus Nivolumab in Combination With Chemotherapy vs. Nivolumab in Combination With Chemotherapy as First Line Treatment for Participants With Stage IV or Recurrent Non-small Cell Lung Cancer (NSCLC)</t>
  </si>
  <si>
    <t>NCT04768881</t>
  </si>
  <si>
    <t>Safety and Efficacy of Selinexor in Combination With Pembrolizumab in Recurrent Advanced Melanoma</t>
  </si>
  <si>
    <t>NCT04594707</t>
  </si>
  <si>
    <t>A Study to Evaluate Long Term Safety and Efficacy of Recombinant Human Pentraxin-2 (rhPTX-2; PRM-151) in Participants With Idiopathic Pulmonary Fibrosis</t>
  </si>
  <si>
    <t>NCT05019105</t>
  </si>
  <si>
    <t>Phase 1 ALKS 1140 in Healthy Adults</t>
  </si>
  <si>
    <t>NCT05056194</t>
  </si>
  <si>
    <t>Valiloxybate (XW10172 MR) Efficacy and Safety Parkinson's Disease Study</t>
  </si>
  <si>
    <t>NCT04951622</t>
  </si>
  <si>
    <t>A Study of Nipocalimab Administered to Adults With Generalized Myasthenia Gravis</t>
  </si>
  <si>
    <t>NCT04959266</t>
  </si>
  <si>
    <t>A Study to Assess the Effects of Itraconazole, Rifampicin, and Omeprazole on Pharmacokinetics of Adavosertib</t>
  </si>
  <si>
    <t>NCT04803305</t>
  </si>
  <si>
    <t>Study to Compare the Effects of Repeated Doses of an Investigational New Drug and a Placebo on Appetite in Advanced Cancer and Anorexia</t>
  </si>
  <si>
    <t>NCT04547166</t>
  </si>
  <si>
    <t>A Clinical Study to Evaluate Efficacy and Safety of Serplulimab（HLX10） Combined With Bevacizumab（HLX04) and Chemotherapy (XELOX) in Patients With Metastatic Colorectal Cancer (mCRC)</t>
  </si>
  <si>
    <t>NCT05143905</t>
  </si>
  <si>
    <t>A Study to Assess the Safety, Tolerability and Pharmacokinetics of AZD7503 in Healthy Participants</t>
  </si>
  <si>
    <t>NCT04943692</t>
  </si>
  <si>
    <t>Efficacy and Safety of Metformin Glycinate Compared to Metformin Hydrochloride on the Progression of Type 2 Diabetes</t>
  </si>
  <si>
    <t>NCT04673864</t>
  </si>
  <si>
    <t>A Clinical Trial to Evaluate the Tolerability and Pharmacokinetics of CKD-386</t>
  </si>
  <si>
    <t>NCT05080764</t>
  </si>
  <si>
    <t>Study to Evaluate the Safety and Efficacy of BF-200 ALA (Ameluz®) and BF-RhodoLED® in the Treatment of Moderate to Severe Acne Vulgaris With Photodynamic Therapy in Adults</t>
  </si>
  <si>
    <t>Biofrontera Inc.</t>
  </si>
  <si>
    <t>NCT04896632</t>
  </si>
  <si>
    <t>Study of Safety, Tolerability, and Pharmacokinetics of INE963 in Healthy Participants</t>
  </si>
  <si>
    <t>NCT04995029</t>
  </si>
  <si>
    <t>Buprenorphine Extended-Release Subcutaneous Injection (RBP-6000) in High-risk Users</t>
  </si>
  <si>
    <t>NCT05220072</t>
  </si>
  <si>
    <t>Mass Balance Recovery and Metabolite Identification of Carbon-14 BIA 28-6156</t>
  </si>
  <si>
    <t>Bial R&amp;D Investments, S.A.</t>
  </si>
  <si>
    <t>NCT05103657</t>
  </si>
  <si>
    <t>A Study to Test Whether Taking BI 1358894 for 8 Weeks Helps Adults With Post-traumatic Stress Disorder</t>
  </si>
  <si>
    <t>NCT04713475</t>
  </si>
  <si>
    <t>Study of Safety, Tolerability and Efficacy of PBGM01 in Pediatric Participants With GM1 Gangliosidosis</t>
  </si>
  <si>
    <t>Gemma Biotherapeutics</t>
  </si>
  <si>
    <t>NCT04810611</t>
  </si>
  <si>
    <t>Phase Ib Study of Select Drug Combinations in Patients With Lower Risk MDS</t>
  </si>
  <si>
    <t>NCT04498377</t>
  </si>
  <si>
    <t>Study of F-652 (IL-22:IgG2 Fusion Protein) in Patients With Moderate to Severe COVID-19</t>
  </si>
  <si>
    <t>EVIVE Biotechnology</t>
  </si>
  <si>
    <t>NCT05107492</t>
  </si>
  <si>
    <t>Evaluation of the Pharmacokinetics, Safety and Tolerability of Single Dose of PF-06480605 in Chinese Healthy Participants</t>
  </si>
  <si>
    <t>NCT04740034</t>
  </si>
  <si>
    <t>A Study of AMG 340 in Subjects With Metastatic Castrate-Resistant Prostate Carcinoma</t>
  </si>
  <si>
    <t>NCT04898309</t>
  </si>
  <si>
    <t>Efficacy and Safety of GNR-038 vs Berinert® in Patients With Hereditary Angioedema</t>
  </si>
  <si>
    <t>NCT05106751</t>
  </si>
  <si>
    <t>A Randomized, Multicenter, Evaluator-Blinded, Active-Controlled, Parallel-Group Investigation to Evaluate the Performance and Safety of YVOIRE® Classic Plus Versus Comparator for Temporary Correction of Nasolabial Folds</t>
  </si>
  <si>
    <t>NCT05077631</t>
  </si>
  <si>
    <t>Study to Evaluate the Effects of Single Ascending Oral Doses of ACD856 on Safety, Tolerability and Pharmacokinetics</t>
  </si>
  <si>
    <t>NCT04975295</t>
  </si>
  <si>
    <t>A Study of LY3361237 in Participants With Psoriasis</t>
  </si>
  <si>
    <t>NCT05119907</t>
  </si>
  <si>
    <t>Study of Sacituzumab Govitecan in Patients With Solid Tumor</t>
  </si>
  <si>
    <t>NCT04823611</t>
  </si>
  <si>
    <t>A Study of AZD8233 in Participants With Dyslipidemia.</t>
  </si>
  <si>
    <t>NCT05117554</t>
  </si>
  <si>
    <t>Study to Investigate the Safety, Tolerability, and Pharmacokinetic Profile With Oral AB521 in Healthy Volunteers</t>
  </si>
  <si>
    <t>NCT05113745</t>
  </si>
  <si>
    <t>A Study to Assess the Long-term Efficacy and Safety of AXS-12 (Reboxetine) in Subjects With Narcolepsy (ENCORE)</t>
  </si>
  <si>
    <t>NCT04809142</t>
  </si>
  <si>
    <t>A Study of TQB2450 Injection Combined With Anlotinib Hydrochloride Capsule as Second-line Treatment in Subjects With Advanced Biliary Cancer</t>
  </si>
  <si>
    <t>NCT04796831</t>
  </si>
  <si>
    <t>A Study to Determine the Absolute Oral Bioavailability of Quizartinib Using a Radiolabeled Microtracer in Healthy Subjects</t>
  </si>
  <si>
    <t>NCT04767802</t>
  </si>
  <si>
    <t>PTG-300 in Patients With Polycythemia Vera and Elevated Hematocrit</t>
  </si>
  <si>
    <t>NCT05274802</t>
  </si>
  <si>
    <t>A Study of ALS-4 in Healthy Adults Subjects</t>
  </si>
  <si>
    <t>Aptorum International Limited</t>
  </si>
  <si>
    <t>NCT05137002</t>
  </si>
  <si>
    <t>A Study of CIN-107 in Patients With Uncontrolled Hypertension</t>
  </si>
  <si>
    <t>NCT04971746</t>
  </si>
  <si>
    <t>Drug-drug Interaction Study with GLPG4716 and Nintedanib and Pirfenidone in Healthy Subjects</t>
  </si>
  <si>
    <t>NCT04628494</t>
  </si>
  <si>
    <t>A Phase 3 Trial of Epcoritamab vs Investigator's Choice Chemotherapy in Relapsed/Refractory (R/R) Diffuse Large B-cell Lymphoma (DLBCL)</t>
  </si>
  <si>
    <t>NCT04934072</t>
  </si>
  <si>
    <t>A Study to Evaluate the Efficacy, Pharmacodynamics, Safety, and Immunogenicity of FKS518 in Postmenopausal Women With Osteoporosis</t>
  </si>
  <si>
    <t>NCT05059977</t>
  </si>
  <si>
    <t>A Study of TAK-881 in Healthy Adults</t>
  </si>
  <si>
    <t>NCT04837196</t>
  </si>
  <si>
    <t>Study of ASP7517 Alone and With Pembrolizumab in Participants With Advanced Solid Tumors Expressing WT1 Antigen</t>
  </si>
  <si>
    <t>NCT04873362</t>
  </si>
  <si>
    <t>A Study Evaluating the Efficacy and Safety of Adjuvant Atezolizumab or Placebo and Trastuzumab Emtansine for Participants With HER2-Positive Breast Cancer at High Risk of Recurrence Following Preoperative Therapy</t>
  </si>
  <si>
    <t>NCT06180980</t>
  </si>
  <si>
    <t>A Study of the Effect of Food on Pirtobrutinib (LOXO-305) in Healthy Participants</t>
  </si>
  <si>
    <t>NCT04886154</t>
  </si>
  <si>
    <t>A Study on the Safety, Effectiveness and Immune Response of Meningococcal Combined ABCWY Vaccine in Healthy Adolescents and Adults</t>
  </si>
  <si>
    <t>NCT04878705</t>
  </si>
  <si>
    <t>Safety and Tolerability of TWP-201 in Healthy Female Subjects</t>
  </si>
  <si>
    <t>NCT05003453</t>
  </si>
  <si>
    <t>The Effectiveness of a Topical Palmitoylethanolamide (PEA) Formulation (Levagen+) for Reducing Symptoms of Eczema</t>
  </si>
  <si>
    <t>RDC Clinical Pty Ltd</t>
  </si>
  <si>
    <t>NCT05075057</t>
  </si>
  <si>
    <t>Immunogenicity and Safety of an Inactivated COVID-19 Vaccine in Patients Aged ≥60 Years With Chronic Bronchitis and COPD</t>
  </si>
  <si>
    <t>NCT04840901</t>
  </si>
  <si>
    <t>A Study of Lebrikizumab (LY3650150) Administered by Two Different Devices in Healthy Participants</t>
  </si>
  <si>
    <t>NCT04624659</t>
  </si>
  <si>
    <t>A Study of Etavopivat in Adults and Adolescents With Sickle Cell Disease (HIBISCUS)</t>
  </si>
  <si>
    <t>Forma Therapeutics, Inc.</t>
  </si>
  <si>
    <t>NCT05642403</t>
  </si>
  <si>
    <t>A Study of XW001 in Healthy Adult Subjects</t>
  </si>
  <si>
    <t>Hangzhou Sciwind Biosciences Co., Ltd.</t>
  </si>
  <si>
    <t>NCT05130437</t>
  </si>
  <si>
    <t>A Study to Assess the Long-term Safety and Clinical Activity of mRNA-3927 in Participants Previously Enrolled in the mRNA-3927-P101 Study</t>
  </si>
  <si>
    <t>NCT04530981</t>
  </si>
  <si>
    <t>A Drug-Drug Interaction Study to Evaluate the Effect of Ripretinib on the Pharmacokinetics of a CYP2C8 Probe Substrate in Patients with Advanced GIST</t>
  </si>
  <si>
    <t>NCT04701476</t>
  </si>
  <si>
    <t>TATE and Pembrolizumab (MK3475) in mCRC and NSCLC</t>
  </si>
  <si>
    <t>Teclison Ltd.</t>
  </si>
  <si>
    <t>NCT05040113</t>
  </si>
  <si>
    <t>A Study On Human Mass Balance And Biotransformation</t>
  </si>
  <si>
    <t>NCT05008913</t>
  </si>
  <si>
    <t>Human Absorption, Distribution, Metabolism, and Excretion Study of [14C]Adavosertib</t>
  </si>
  <si>
    <t>NCT04969991</t>
  </si>
  <si>
    <t>Study of Varespladib in Patients Hospitalized With Severe COVID-19</t>
  </si>
  <si>
    <t>Ophirex, Inc.</t>
  </si>
  <si>
    <t>NCT04541550</t>
  </si>
  <si>
    <t>Allogeneic Micronized Amniotic Membrane Product for the Treatment of Hidradenitis Suppurativa</t>
  </si>
  <si>
    <t>IntegoGen, LLC</t>
  </si>
  <si>
    <t>NCT05072080</t>
  </si>
  <si>
    <t>A Phase 3 Trial of the VLP-Based Chikungunya Vaccine PXVX0317 (CHIKV VLP Vaccine)</t>
  </si>
  <si>
    <t>NCT05042362</t>
  </si>
  <si>
    <t>A Study to Learn More About How Well Elinzanetant Works and How Safe it is for the Treatment of Vasomotor Symptoms (Hot Flashes) That Are Caused by Hormonal Changes Over 26 Weeks in Women Who Have Been Through the Menopause</t>
  </si>
  <si>
    <t>NCT03481842</t>
  </si>
  <si>
    <t>Safety, Tolerability and Efficacy of Vaginal Suppositories for Treatment of the Endometriosis</t>
  </si>
  <si>
    <t>BioGene Pharmaceutical Ltd.</t>
  </si>
  <si>
    <t>NCT04706286</t>
  </si>
  <si>
    <t>Clinical Trial to Investigate the Pharmacokinetics and Safety of CKD-393</t>
  </si>
  <si>
    <t>NCT04811469</t>
  </si>
  <si>
    <t>Safety, Tolerability and Pharmacokinetics of CBP-174 in Healthy Adults</t>
  </si>
  <si>
    <t>Connect Biopharma Australia Pty Ltd</t>
  </si>
  <si>
    <t>NCT05159895</t>
  </si>
  <si>
    <t>Pharmacokinetic and Mass Balance Study of Oral-Administrated [14C]-DZD9008 in Healthy Male Subjects</t>
  </si>
  <si>
    <t>NCT05232396</t>
  </si>
  <si>
    <t>Clinical Study of Single Dose IL-6R mAb Injection in RA Patients</t>
  </si>
  <si>
    <t>Beijing VDJBio Co., LTD.</t>
  </si>
  <si>
    <t>NCT04778059</t>
  </si>
  <si>
    <t>Safety and Efficacy of USB002 for Respiratory Distress Due to COVID-19</t>
  </si>
  <si>
    <t>US Biotest, Inc.</t>
  </si>
  <si>
    <t>NCT05152680</t>
  </si>
  <si>
    <t>Mass Balance Study of NV-5138 in Healthy Male Subjects.</t>
  </si>
  <si>
    <t>Navitor Pharmaceuticals, Inc.</t>
  </si>
  <si>
    <t>NCT04861480</t>
  </si>
  <si>
    <t>Dual-target CAR-T Cells (C-4-29) in the Treatment of Relapsed/Refractory Multiple Myeloma</t>
  </si>
  <si>
    <t>NCT04963296</t>
  </si>
  <si>
    <t>A Study to Evaluate the Efficacy and Safety of Obinutuzumab in Participants With Systemic Lupus Erythematosus</t>
  </si>
  <si>
    <t>NCT04639180</t>
  </si>
  <si>
    <t>A Study to Evaluate Camrelizumab Plus Rivoceranib (Apatinib) as Adjuvant Therapy in Patients With Hepatocellular Carcinoma (HCC) at High Risk of Recurrence After Curative Resection or Ablation</t>
  </si>
  <si>
    <t>NCT04830579</t>
  </si>
  <si>
    <t>Bioequivalence Study of Two Formulations of Etoricoxib Tablets 120 mg in Healthy Volunteers Under Fasting Conditions</t>
  </si>
  <si>
    <t>NCT04882124</t>
  </si>
  <si>
    <t>Study of Effect of CSJ117 on Symptoms, Pharmacodynamics and Safety in Patients With COPD</t>
  </si>
  <si>
    <t>NCT04844424</t>
  </si>
  <si>
    <t>A Study of JNJ-70033093 (Milvexian) in Healthy Adult Participants</t>
  </si>
  <si>
    <t>NCT05103423</t>
  </si>
  <si>
    <t>Safety and Efficacy Study of BDB-001 Injection in Patients With Moderate to Severe Hidradenitis Suppurativa (HS)</t>
  </si>
  <si>
    <t>NCT04923282</t>
  </si>
  <si>
    <t>Recombinant Human Alkaline Phosphatase in Healthy Japanese Subjects</t>
  </si>
  <si>
    <t>NCT05001282</t>
  </si>
  <si>
    <t>A Study to Evaluate ELU001 in Patients With Solid Tumors That Overexpress Folate Receptor Alpha (FRα)</t>
  </si>
  <si>
    <t>Elucida Oncology</t>
  </si>
  <si>
    <t>NCT05930080</t>
  </si>
  <si>
    <t>Efficacy and Safety of SKCPT in Patients With Knee Osteoarthritis: Phase III Clinical Trial</t>
  </si>
  <si>
    <t>NCT04708327</t>
  </si>
  <si>
    <t>Single-Blind Study of STAT-205 in Mild COVID-19</t>
  </si>
  <si>
    <t>Cytocom, Inc.</t>
  </si>
  <si>
    <t>NCT04523142</t>
  </si>
  <si>
    <t>CyclASol for the Treatment of Signs and Symptoms of Dry Eye Disease in Subjects Who Completed CYS-004</t>
  </si>
  <si>
    <t>NCT04880031</t>
  </si>
  <si>
    <t>A Study of BOS-580 in Obese Subjects at Risk for, or With Biopsy-confirmed, Nonalcoholic Steatohepatitis (NASH) With an Extension</t>
  </si>
  <si>
    <t>NCT04940039</t>
  </si>
  <si>
    <t>A Study to Assess the Treatment of Schizophrenia With Paliperidone Palmitate in Rwandan Healthcare Settings</t>
  </si>
  <si>
    <t>NCT04935359</t>
  </si>
  <si>
    <t>Study of Efficacy and Safety of NIS793 in Combination With Standard of Care (SOC) Chemotherapy in First-line Metastatic Pancreatic Ductal Adenocarcinoma (mPDAC) - daNIS-2</t>
  </si>
  <si>
    <t>NCT04714151</t>
  </si>
  <si>
    <t>A Phase III Confirmatory Study of K-877 Extended Release Tablet</t>
  </si>
  <si>
    <t>NCT05588531</t>
  </si>
  <si>
    <t>Study on Tolerance, Pharmacokinetics and Drug Interaction of YK-1169 in Healthy Volunteers</t>
  </si>
  <si>
    <t>NCT05166421</t>
  </si>
  <si>
    <t>Study to Evaluate Pharmacokinetic Comparability Between AZD7442 Co-formulation (AZD8895 + AZD1061) vs AZD8895 and AZD1061 Individually in Adult Healthy Participants</t>
  </si>
  <si>
    <t>NCT03651349</t>
  </si>
  <si>
    <t>To Determine the Maximum Tolerated Dose (MTD) of HK-001 in Healthy Volunteers</t>
  </si>
  <si>
    <t>Everfront Biotech Co., Ltd.</t>
  </si>
  <si>
    <t>NCT04784143</t>
  </si>
  <si>
    <t>Study Comparing Two Versus Three Active MDMA-assisted Sessions in U.S. Military Veterans With Chronic PTSD</t>
  </si>
  <si>
    <t>NCT04541108</t>
  </si>
  <si>
    <t>Phase 0 Master Protocol for CIVO Intratumoral Microdosing of Anti-Cancer Therapies</t>
  </si>
  <si>
    <t>NCT04934891</t>
  </si>
  <si>
    <t>A Study to Assess the Safety, Tolerability, Pharmacokinetics and Pharmacodynamics of Single and Multiple Doses of ION547</t>
  </si>
  <si>
    <t>NCT04882163</t>
  </si>
  <si>
    <t>Study to Evaluate Tolerability of Iberdomide (CC-220) in Combination With Polatuzumab Vedotin Plus Rituximab or Tafasitamab or Rituximab Plus Chemotherapy in B-cell Lymphoma</t>
  </si>
  <si>
    <t>NCT04971226</t>
  </si>
  <si>
    <t>A Study of Oral Asciminib Versus Other TKIs in Adult Patients With Newly Diagnosed Ph+ CML-CP</t>
  </si>
  <si>
    <t>NCT05159778</t>
  </si>
  <si>
    <t>Phase 2 Study of Imprime PGG and Pembrolizumab in Patients With HR+/HER2- Metastatic Breast Cancer (mBCA)</t>
  </si>
  <si>
    <t>HiberCell, Inc.</t>
  </si>
  <si>
    <t>NCT04845399</t>
  </si>
  <si>
    <t>Phase III Expansion Trial for Determining the Safety and Efficacy of Recombinant Human Coagulation Factor VIII-Fc Fusion Protein for Injection in Adolescent and Adult Patients With Hemophilia A</t>
  </si>
  <si>
    <t>NCT04335032</t>
  </si>
  <si>
    <t>EPA-FFA to Treat Hospitalised Patients With COVID-19 (SARS-CoV-2)</t>
  </si>
  <si>
    <t>S.L.A. Pharma AG</t>
  </si>
  <si>
    <t>NCT05171387</t>
  </si>
  <si>
    <t>Darolutamide + Androgen Deprivation Therapy (ADT) in Chinese Men With High Risk, Nonmetastatic Prostate Cancer</t>
  </si>
  <si>
    <t>NCT04998604</t>
  </si>
  <si>
    <t>EValuating trEatment RESponses of Dupilumab Versus Omalizumab in Type 2 Patients</t>
  </si>
  <si>
    <t>NCT04680052</t>
  </si>
  <si>
    <t>A Phase 3 Study to Assess Efficacy and Safety of Tafasitamab Plus Lenalidomide and Rituximab Compared to Placebo Plus Lenalidomide and Rituximab in Patients With Relapsed/Refractory (R/R) Follicular Lymphoma or Marginal Zone Lymphoma.</t>
  </si>
  <si>
    <t>NCT04666038</t>
  </si>
  <si>
    <t>Study of LOXO-305 (Pirtobrutinib) Versus Investigator's Choice (Idelalisib Plus Rituximab or Bendamustine Plus Rituximab) in Patients With Previously Treated Chronic Lymphocytic Leukemia (CLL)/Small Lymphocytic Lymphoma (SLL)</t>
  </si>
  <si>
    <t>NCT04839926</t>
  </si>
  <si>
    <t>A Single Ascending Dose Study Of CY150112 After Single Oral Administration in Healthy Chinese Subjects</t>
  </si>
  <si>
    <t>Jiangsu Nhwa Pharmaceutical Co., Ltd.</t>
  </si>
  <si>
    <t>NCT04674826</t>
  </si>
  <si>
    <t>A Trial to Compare the Pharmacokinetics of Tralokinumab in Healthy Subjects</t>
  </si>
  <si>
    <t>NCT05302843</t>
  </si>
  <si>
    <t>A Phase 1 Study of BPI-28592 in Subjects With Advanced Solid Tumors</t>
  </si>
  <si>
    <t>NCT05178043</t>
  </si>
  <si>
    <t>GT90001 Plus Nivolumab in Patients With Advanced Hepatocellular Carcinoma</t>
  </si>
  <si>
    <t>NCT04778176</t>
  </si>
  <si>
    <t>Assessing the Pharmacokinetics, Safety, Tolerability and Efficacy of Continuous Oral Levodopa Via the DopaFuse® Delivery System in Parkinson's Disease Patients</t>
  </si>
  <si>
    <t>SynAgile Corporation</t>
  </si>
  <si>
    <t>NCT04990284</t>
  </si>
  <si>
    <t>eArly levoDopa With Opicapone in Parkinson's paTients wIth motOr fluctuatioNs.</t>
  </si>
  <si>
    <t>NCT04736147</t>
  </si>
  <si>
    <t>A Study of JNJ-64300535 in Healthy Participants</t>
  </si>
  <si>
    <t>NCT04794738</t>
  </si>
  <si>
    <t>A Clinical Study of SHR8554 Injection for the Treatment of Pain After Orthopedic Surgery</t>
  </si>
  <si>
    <t>NCT01464515</t>
  </si>
  <si>
    <t>Efficiency of Deep Transcranial Magnetic Stimulation on Patients With Mild Cognitive Impairment</t>
  </si>
  <si>
    <t>Brainsway</t>
  </si>
  <si>
    <t>NCT04851535</t>
  </si>
  <si>
    <t>Study of Jaktinib In Patients With Myelofibrosis Who Were Relapsed or Refractory of Ruxolitinib Treatment.</t>
  </si>
  <si>
    <t>NCT05337774</t>
  </si>
  <si>
    <t>Imaging [18F]PI-2620 and [18F]Florbetaben in Military Service Members With Blast Related Mild Traumatic Brain Injury</t>
  </si>
  <si>
    <t>Lantheus Biosciences Ltd.</t>
  </si>
  <si>
    <t>NCT05133518</t>
  </si>
  <si>
    <t>A Study of MELT-300 (Midazolam and Ketamine Sublingual Tablets) for Sedation and Intraoperative Ocular Analgesia in Participants Undergoing Cataract Extraction With Lens Replacement (CELR)</t>
  </si>
  <si>
    <t>NCT05069597</t>
  </si>
  <si>
    <t>Study to Evaluate Symptoms of Exocrine Pancreatic Insufficiency in Adult Participants With Cystic Fibrosis or Chronic Pancreatitis Treated With Creon</t>
  </si>
  <si>
    <t>NCT05139849</t>
  </si>
  <si>
    <t>VAsopressin and STeroids in Addition to Adrenaline in Cardiac Arrest - a Randomized Clinical Trial</t>
  </si>
  <si>
    <t>Tiohundra AB</t>
  </si>
  <si>
    <t>NCT04201808</t>
  </si>
  <si>
    <t>Efficacy and Safety of TAF in Patients With Suboptimal Response to Other Nucleos(t)Ides</t>
  </si>
  <si>
    <t>New Discovery LLC</t>
  </si>
  <si>
    <t>NCT04391868</t>
  </si>
  <si>
    <t>A Bioequivalence Study of Sildenafil Citrate Orally-Disintegrating Film Dosage Form</t>
  </si>
  <si>
    <t>Pfizer's Upjohn has merged with Mylan to form Viatris Inc.</t>
  </si>
  <si>
    <t>NCT04917874</t>
  </si>
  <si>
    <t>A Long-term Treatment With B-VEC for Dystrophic Epidermolysis Bullosa</t>
  </si>
  <si>
    <t>NCT04613518</t>
  </si>
  <si>
    <t>A Study of the Safety, Efficacy, and Biomarker Response of BMS-986165 in Participants With Moderate to Severe Ulcerative Colitis</t>
  </si>
  <si>
    <t>NCT04972110</t>
  </si>
  <si>
    <t>Study of RP-3500 (Camonsertib) With Niraparib or Olaparib in Advanced Solid Tumors</t>
  </si>
  <si>
    <t>NCT05018403</t>
  </si>
  <si>
    <t>First-in-human Trial With Single-dose C5a-neutralizing AON-D21 in Healthy Male Subjects</t>
  </si>
  <si>
    <t>Aptarion Biotech AG</t>
  </si>
  <si>
    <t>NCT04971161</t>
  </si>
  <si>
    <t>Allogeneic ABCB5-positive Dermal Mesenchymal Stromal Cells for Treatment of CVU (Phase IIb)</t>
  </si>
  <si>
    <t>RHEACELL GmbH &amp; Co. KG</t>
  </si>
  <si>
    <t>NCT04877769</t>
  </si>
  <si>
    <t>Bronchopulmonary PK of AT-527 (R07496998)</t>
  </si>
  <si>
    <t>NCT04819854</t>
  </si>
  <si>
    <t>Single and Multiple Ascending Dose Study With EP395</t>
  </si>
  <si>
    <t>EpiEndo Pharmaceuticals</t>
  </si>
  <si>
    <t>NCT05046522</t>
  </si>
  <si>
    <t>A Study Evaluating the Effectiveness of PEA Compared to Placebo for Reducing Pain Severity and Duration of Migraines.</t>
  </si>
  <si>
    <t>NCT04666129</t>
  </si>
  <si>
    <t>Study of Relugolix in Men With Metastatic Castration-Sensitive Prostate Cancer or Non-Metastatic or Metastatic Castration-Resistant Prostate Cancer</t>
  </si>
  <si>
    <t>NCT04819373</t>
  </si>
  <si>
    <t>BDB001-201: A Clinical Study of BDB001 in Patients With PD-(L)1 Refractory Solid Tumors</t>
  </si>
  <si>
    <t>NCT05007756</t>
  </si>
  <si>
    <t>A Study Exploring the Use of Challenge Agents in Healthy Volunteers or Participants With a Disease of Interest</t>
  </si>
  <si>
    <t>NCT04958876</t>
  </si>
  <si>
    <t>Study to Evaluate the Safety of SP-104</t>
  </si>
  <si>
    <t>Scilex Pharmaceuticals, Inc.</t>
  </si>
  <si>
    <t>NCT05055518</t>
  </si>
  <si>
    <t>APL-102 Capsule in Patients With Advanced Solid Tumors</t>
  </si>
  <si>
    <t>Apollomics Inc.</t>
  </si>
  <si>
    <t>NCT04672980</t>
  </si>
  <si>
    <t>RTX-321 Monotherapy in Patients With HPV 16+ Tumors</t>
  </si>
  <si>
    <t>NCT04865419</t>
  </si>
  <si>
    <t>Study of AZD0466 Monotherapy or in Combination in Patients With Advanced Haematological Malignancies</t>
  </si>
  <si>
    <t>NCT05436223</t>
  </si>
  <si>
    <t>Human CD19 Targeted T Cells Injection(CD19 CAR-T) Therapy for Relapsed and Refractory B-cell Non-Hodgkin's Lymphoma</t>
  </si>
  <si>
    <t>Hrain Biotechnology Co., Ltd.</t>
  </si>
  <si>
    <t>NCT04712669</t>
  </si>
  <si>
    <t>A Study of Rodatristat Ethyl in Patients With Pulmonary Arterial Hypertension (Core OLE)</t>
  </si>
  <si>
    <t>Altavant Sciences GmbH</t>
  </si>
  <si>
    <t>NCT04697953</t>
  </si>
  <si>
    <t>Efficacy and Safety of Brolucizumab 6mg in a Treat and Extend Regimen in Patients With Neovascular Age-Related Macular Degeneration (nAMD) With Prior Anti-VEGF Exposure (PEREGRINE)</t>
  </si>
  <si>
    <t>NCT04914195</t>
  </si>
  <si>
    <t>Leuprolide Acetate 3.75 mg Depot Injection for Patients With Advanced Prostate Cancer</t>
  </si>
  <si>
    <t>Bharat Serums and Vaccines Limited</t>
  </si>
  <si>
    <t>NCT04314895</t>
  </si>
  <si>
    <t>Trial of NanoPac Intratumoral Injection in Lung Cancer</t>
  </si>
  <si>
    <t>NCT04399239</t>
  </si>
  <si>
    <t>AuriNovo for Auricular Reconstruction</t>
  </si>
  <si>
    <t>3DBio Therapeutics</t>
  </si>
  <si>
    <t>NCT04871334</t>
  </si>
  <si>
    <t>Safety, Tolerability and Pharmacokinetics of TWP-101 in Patients With Advanced Melanoma and Urothelial Carcinoma</t>
  </si>
  <si>
    <t>NCT05081167</t>
  </si>
  <si>
    <t>A Study to Assess the Efficacy and Safety of REL-1017 as Monotherapy for Major Depressive Disorder (MDD)</t>
  </si>
  <si>
    <t>NCT04988308</t>
  </si>
  <si>
    <t>A Study of Bermekimab for the Treatment of Participants With Moderate to Severe Hidradenitis Suppurativa</t>
  </si>
  <si>
    <t>NCT04881825</t>
  </si>
  <si>
    <t>Evaluation of Long Term Safety and Efficacy of Glepaglutide in Treatment of SBS - Extension Trial</t>
  </si>
  <si>
    <t>NCT04874350</t>
  </si>
  <si>
    <t>A Study to Assess the Efficacy, Safety, and Tolerability of Oral LPCN 1148 in Male Subjects With Cirrhosis of the Liver and Sarcopenia</t>
  </si>
  <si>
    <t>NCT04394689</t>
  </si>
  <si>
    <t>Measles and Rubella Vaccine Microneedle Patch Phase 1-2 Age De-escalation Trial</t>
  </si>
  <si>
    <t>Micron Biomedical, Inc</t>
  </si>
  <si>
    <t>NCT05141110</t>
  </si>
  <si>
    <t>Evaluation of Pharmacokinetic and Safety of NVP-1705 and NVP-1705-R in Healthy Subjects</t>
  </si>
  <si>
    <t>NCT04983810</t>
  </si>
  <si>
    <t>A Study to Investigate Fadraciclib (CYC065), in Subjects With Advanced Solid Tumors and Lymphoma</t>
  </si>
  <si>
    <t>Cyclacel Pharmaceuticals, Inc.</t>
  </si>
  <si>
    <t>NCT05269290</t>
  </si>
  <si>
    <t>Efficacy and Safety of Ingavirin®, Syrup, 30 mg/5 ml, in Children With Influenza and Other Acute Respiratory Viral Infections</t>
  </si>
  <si>
    <t>NCT05961397</t>
  </si>
  <si>
    <t>Phase 1 PK Study to Evaluate the PK of CIN-107 in Subjects With Hepatic Impairment</t>
  </si>
  <si>
    <t>NCT04829214</t>
  </si>
  <si>
    <t>OTO-313 in Subjects With Unilateral Subjective Tinnitus</t>
  </si>
  <si>
    <t>Otonomy, Inc.</t>
  </si>
  <si>
    <t>NCT04993755</t>
  </si>
  <si>
    <t>A Phase 2a Study of TPN-101 in Patients With C9ORF72 ALS/FTD</t>
  </si>
  <si>
    <t>NCT05519514</t>
  </si>
  <si>
    <t>Bio-Equivalence Study of Budesonide Prolonged-release Tablets 9 Mg In Healthy Human Adult Subjects</t>
  </si>
  <si>
    <t>NCT04680026</t>
  </si>
  <si>
    <t>A Study of IV HBI-3000 for the Conversion Recent Onset Atrial Fibrillation (AF)</t>
  </si>
  <si>
    <t>NCT04986852</t>
  </si>
  <si>
    <t>Olinvacimab With Pembrolizumab in Patients With mTNBC</t>
  </si>
  <si>
    <t>PharmAbcine</t>
  </si>
  <si>
    <t>NCT03967548</t>
  </si>
  <si>
    <t>The Germinal Peptide Eye Drops in Healthy Volunteers in a Clinical Study</t>
  </si>
  <si>
    <t>NCT04878055</t>
  </si>
  <si>
    <t>Study on Efficacy and Safety of Reparixin in the Treatment of Hospitalized Patients With Severe COVID-19 Pneumonia.</t>
  </si>
  <si>
    <t>NCT04592315</t>
  </si>
  <si>
    <t>A Study to Assess the Safety, Tolerability and Pharmacokinetics of Lipovirtide in HIV-infected Patients</t>
  </si>
  <si>
    <t>Shanxi Kangbao Biological Product Co., Ltd.</t>
  </si>
  <si>
    <t>NCT04802733</t>
  </si>
  <si>
    <t>Phase 1 Safety and Tolerability Study of MSK-DA01 Cell Therapy for Advanced Parkinson's Disease</t>
  </si>
  <si>
    <t>BlueRock Therapeutics</t>
  </si>
  <si>
    <t>NCT05102006</t>
  </si>
  <si>
    <t>A Phase Ib/II Clinical Study of LBL-007 in Combination With Toripalimab in Treatment of Advanced Malignant Tumors</t>
  </si>
  <si>
    <t>NCT04940052</t>
  </si>
  <si>
    <t>Study of Efficacy and Safety of Dabrafenib in Combination With Trametinib in Previously Treated Patients With Metastatic, Radio-active Iodine Refractory BRAF V600E Mutation Positive Differentiated Thyroid Cancer</t>
  </si>
  <si>
    <t>NCT03540355</t>
  </si>
  <si>
    <t>Efficacy and Safety of Cipros 20 Association on Dyslipidemia Treatment</t>
  </si>
  <si>
    <t>NCT04667143</t>
  </si>
  <si>
    <t>Dual Add-on Therapy in Type 2 Diabetes Poorly Controlled With Metformin Monotherapy</t>
  </si>
  <si>
    <t>NCT04822298</t>
  </si>
  <si>
    <t>Study of AMG 160 in Subjects With Non-Small Cell Lung Cancer</t>
  </si>
  <si>
    <t>NCT04767321</t>
  </si>
  <si>
    <t>A Study to Evaluate the Safety and Efficacy of 3% LTX-109 for Nasal Decolonisation of Staphylococcus</t>
  </si>
  <si>
    <t>Pharma Holdings AS</t>
  </si>
  <si>
    <t>NCT05024747</t>
  </si>
  <si>
    <t>A Bioequivalence Study of 21 Milligram (mg) Nicotine Transdermal Patches (NicoDerm CQ, GlaxoSmithKline [GSK] Dungarvan) Compared to the Current Marketed 21 mg Nicotine Transdermal Patches (NicoDerm CQ, Alza) in Healthy Adult Smokers</t>
  </si>
  <si>
    <t>NCT04716998</t>
  </si>
  <si>
    <t>Safety and the Efficacy of MesenCure for the Treatment of Pulmonary Manifestations of COVID-19</t>
  </si>
  <si>
    <t>BonusBio Group Ltd</t>
  </si>
  <si>
    <t>NCT04931563</t>
  </si>
  <si>
    <t>Anifrolumab Asian PhIII Efficacy Study for Systemic Lupus Erythematosus (SLE)</t>
  </si>
  <si>
    <t>NCT04864821</t>
  </si>
  <si>
    <t>Clinical Study of CD276 Targeted Autologous Chimeric Antigen Receptor T Cell Infusion in Patients With CD276 Positive Advanced Solid Tumor</t>
  </si>
  <si>
    <t>NCT04604704</t>
  </si>
  <si>
    <t>Pilot Study Into LDN and NAD+ for Treatment of Patients With Post-COVID-19 Syndrome</t>
  </si>
  <si>
    <t>NCT04827576</t>
  </si>
  <si>
    <t>Study of Magrolimab in Patients With Solid Tumors</t>
  </si>
  <si>
    <t>NCT05098990</t>
  </si>
  <si>
    <t>Jinfukang Oral Liquid Combined With Chemotherapy for Treating Driver Gene-negative Advanced NSCLC</t>
  </si>
  <si>
    <t>China Resources Sanjiu Medical &amp; Pharmaceutical Co., Ltd.</t>
  </si>
  <si>
    <t>NCT04421352</t>
  </si>
  <si>
    <t>Safety and Tolerability Evaluation of Low-dose Radiation in Combination With CS1001 in Relapsed SCLC Patients</t>
  </si>
  <si>
    <t>NCT04906785</t>
  </si>
  <si>
    <t>NCT05198778</t>
  </si>
  <si>
    <t>A Safety, PK, PD and Food Effect Study of URC102 in Healthy Adults and Patients With Renal Impairment</t>
  </si>
  <si>
    <t>NCT05036291</t>
  </si>
  <si>
    <t>A Study of NB004 as Monotherapy or Combination Therapy in Patients With Advanced Solid Tumors</t>
  </si>
  <si>
    <t>Ningbo Newbay Technology Development Co., Ltd</t>
  </si>
  <si>
    <t>NCT03971110</t>
  </si>
  <si>
    <t>A Study of Neoadjuvant Hormone Therapy in Patient With Advanced Prostate Cancer Undergoing Radical Prostatectomy.</t>
  </si>
  <si>
    <t>NCT04802343</t>
  </si>
  <si>
    <t>A Trial to Learn How BAY1817080 Moves Into, Through and Out of the Body and How Safe it is in Healthy Chinese Men</t>
  </si>
  <si>
    <t>NCT04894825</t>
  </si>
  <si>
    <t>Safety, Tolerability and Pharmacokinetic Profile of M108 Monoclonal Antibody in Patients With Advanced Unresectable Solid Tumors in China</t>
  </si>
  <si>
    <t>FutureGen Biopharmaceutical (Beijing) Co., Ltd</t>
  </si>
  <si>
    <t>NCT04895020</t>
  </si>
  <si>
    <t>Immunobridging Study of 9-valent Human Papillomavirus Recombinant Vaccine in Chinese Females Aged 9 to 19 Years</t>
  </si>
  <si>
    <t>NCT04840485</t>
  </si>
  <si>
    <t>Efficacy and Safety of SHR-1314 in Patients With Active Ankylosing Spondylitis</t>
  </si>
  <si>
    <t>Suzhou Suncadia Biopharmaceuticals Co., Ltd.</t>
  </si>
  <si>
    <t>NCT04078191</t>
  </si>
  <si>
    <t>Comparison of Tc 99m Tilmanocept Imaging With IHC Analysis of CD206 Expression in Synovial Tissue of Subjects With RA</t>
  </si>
  <si>
    <t>Navidea Biopharmaceuticals</t>
  </si>
  <si>
    <t>NCT05101317</t>
  </si>
  <si>
    <t>A Study to Assess the Efficacy and Safety of HMI-115 in Subjects With Endometriosis-Associated Pain</t>
  </si>
  <si>
    <t>Hope Medicine (Nanjing) Co., Ltd</t>
  </si>
  <si>
    <t>NCT04821674</t>
  </si>
  <si>
    <t>Study of DS-5670a (COVID-19 Vaccine) in Japanese Healthy Adults and Elderly Subjects</t>
  </si>
  <si>
    <t>NCT04524390</t>
  </si>
  <si>
    <t>Evaluation of Maralixibat in Biliary Atresia Response Post-Kasai</t>
  </si>
  <si>
    <t>NCT04835480</t>
  </si>
  <si>
    <t>A Phase II Study of OsrHSA in Patients With Decompensated Cirrhotic Ascites</t>
  </si>
  <si>
    <t>Healthgen Biotechnology Corp.</t>
  </si>
  <si>
    <t>NCT04724980</t>
  </si>
  <si>
    <t>Adjuvant PRGN-2012 in Adult Patients With Recurrent Respiratory Papillomatosis</t>
  </si>
  <si>
    <t>Precigen, Inc</t>
  </si>
  <si>
    <t>NCT04488003</t>
  </si>
  <si>
    <t>Study of Ulixertinib for Patients With Advanced Malignancies Harboring MEK or Atypical BRAF Alterations</t>
  </si>
  <si>
    <t>BioMed Valley Discoveries, Inc</t>
  </si>
  <si>
    <t>NCT05210868</t>
  </si>
  <si>
    <t>A Phase I/II Study of CM355 in Patients With Relapsed or Refractory B-Cell Non-Hodgkin's Lymphoma (B-NHL)</t>
  </si>
  <si>
    <t>NCT05172050</t>
  </si>
  <si>
    <t>Multicenter Double Blind, Parallel-group Phase 2/3 Trial, to Study Raloxifene in Adult COVID-19 Patients.</t>
  </si>
  <si>
    <t>NCT05198310</t>
  </si>
  <si>
    <t>Study to Assess the Safety, Pharmacokinetics, and Efficacy of KPL-404 in Participants With Rheumatoid Arthritis With Inadequate Response or Intolerance to at Least One Biologic Disease-modifying Anti-rheumatic Drug or a Janus Kinase Inhibitor</t>
  </si>
  <si>
    <t>Kiniksa Pharmaceuticals, Ltd.</t>
  </si>
  <si>
    <t>NCT04700124</t>
  </si>
  <si>
    <t>Perioperative Enfortumab Vedotin (EV) Plus Pembrolizumab (MK-3475) Versus Neoadjuvant Chemotherapy for Cisplatin-Eligible Muscle Invasive Bladder Cancer (MIBC) (MK-3475-B15/ KEYNOTE-B15 / EV-304)</t>
  </si>
  <si>
    <t>NCT04676425</t>
  </si>
  <si>
    <t>A Study to Investigate the Influence of Hepatic Impairment on Elpipodect (MK-8189) Treatment (MK-8189-012)</t>
  </si>
  <si>
    <t>NCT04846868</t>
  </si>
  <si>
    <t>Clinical Trial of Iclepertin Effect on Cognition and Functional Capacity in Schizophrenia (CONNEX-1)</t>
  </si>
  <si>
    <t>NCT04739774</t>
  </si>
  <si>
    <t>Investigation of the Effect of Inhibition of CYP3A4/5 by Itraconazole on the PK of CHF6001 (Tanimilast)</t>
  </si>
  <si>
    <t>NCT05050279</t>
  </si>
  <si>
    <t>A Trial to Evaluate the Effect of Delgocitinib on the Heart Rhythm of Healthy People</t>
  </si>
  <si>
    <t>NCT05265091</t>
  </si>
  <si>
    <t>A Study of KL590586 in Patients With Advanced Solid Tumors</t>
  </si>
  <si>
    <t>NCT05123482</t>
  </si>
  <si>
    <t>A Phase I/IIa Study of AZD8205 Given Alone or Combined, in Participants With Advanced/Metastatic Solid Malignancies</t>
  </si>
  <si>
    <t>NCT05068024</t>
  </si>
  <si>
    <t>A Study of FWD1509 in Adults With Non-Small Cell Lung Cancer</t>
  </si>
  <si>
    <t>Forward Pharmaceuticals Co., Ltd.</t>
  </si>
  <si>
    <t>NCT05142423</t>
  </si>
  <si>
    <t>A Study of AK109 Combined With AK104 in Patients With Advanced Solid Tumors</t>
  </si>
  <si>
    <t>NCT04151225</t>
  </si>
  <si>
    <t>Study to Evaluate Safety, Tolerability and Efficacy of GSK2330811 in Crohn's Disease</t>
  </si>
  <si>
    <t>NCT04544189</t>
  </si>
  <si>
    <t>Study Assessing the Efficacy and Safety of Treatment With Alpelisib Plus Fulvestrant Versus Placebo Plus Fulvestrant in Chinese Men and Postmenopausal Women With Advanced Breast Cancer</t>
  </si>
  <si>
    <t>NCT04891718</t>
  </si>
  <si>
    <t>CIVO Intratumoural Microdosing of Anti-Cancer Therapies in Australia</t>
  </si>
  <si>
    <t>NCT04868760</t>
  </si>
  <si>
    <t>A Study to Evaluate the Similarity in Pharmacokinetics and Safety of IBI310 and Ipilimumab（YERVOY）in Adult Healthy Chinese Male Volunteers</t>
  </si>
  <si>
    <t>NCT04854460</t>
  </si>
  <si>
    <t>Bioequivalence Study of Ivermectin From Revemact 6 mg Tablets (Man. by EVA Pharma for Horus for Pharmaceutical Industries, Egypt) and Stromectol 2*3 mg Tablets (Merck Sharp &amp; Dohme B.V., Haarlem, The Netherlands)</t>
  </si>
  <si>
    <t>NCT05547061</t>
  </si>
  <si>
    <t>A Phase 1/2 Clinical Trial to Evaluate the Safety, Tolerability, Dosimetry, and Anti-tumor Activity of Ga-68-NGUL / Lu-177-DGUL in Patients With Metastatic Castration-resistant Prostate Cancer (mCRPC) Refractory to Standard Therapy</t>
  </si>
  <si>
    <t>Cellbion Co., Ltd.</t>
  </si>
  <si>
    <t>NCT04908189</t>
  </si>
  <si>
    <t>A Study to Determine the Efficacy and Safety of Deucravacitinib Compared With Placebo in Participants With Active Psoriatic Arthritis (PsA) Who Are Naïve to Biologic Disease Modifying Anti-rheumatic Drugs or Had Previously Received TNFα Inhibitor Treatment</t>
  </si>
  <si>
    <t>NCT04159103</t>
  </si>
  <si>
    <t>Open-Label Study of mRNA-3927 in Participants With Propionic Acidemia</t>
  </si>
  <si>
    <t>NCT05135546</t>
  </si>
  <si>
    <t>Inhaled Recombinant Non-immunogenic Staphylokinase vs Placebo in Patients With COVID-19 - FORRIF Trial</t>
  </si>
  <si>
    <t>NCT04752696</t>
  </si>
  <si>
    <t>Onvansertib in Combination With Nanoliposomal Irinotecan, Leucovorin, and Fluorouracil for Second-Line Treatment of Participants With Metastatic Pancreatic Ductal Adenocarcinoma</t>
  </si>
  <si>
    <t>Cardiff Oncology</t>
  </si>
  <si>
    <t>NCT04924296</t>
  </si>
  <si>
    <t>A Phase II Study to Evaluate the Efficacy and Safety of SHR-1314 in Lupus Nephritis</t>
  </si>
  <si>
    <t>NCT04987762</t>
  </si>
  <si>
    <t>Safety and Tolerability Study of Adhansia XR® Extended-Release Capsules in Children</t>
  </si>
  <si>
    <t>NCT04788459</t>
  </si>
  <si>
    <t>Safety and Immunogenicity of COVID-eVax, a Candidate Plasmid DNA Vaccine for COVID-19, in Healthy Adult Volunteers</t>
  </si>
  <si>
    <t>Takis</t>
  </si>
  <si>
    <t>NCT05147259</t>
  </si>
  <si>
    <t>A Study to Evaluate the Safety, Tolerability and Pharmacokinetics of HR011408 at Two Formulations in Healthy Subject</t>
  </si>
  <si>
    <t>NCT05007080</t>
  </si>
  <si>
    <t>A Study to Evaluate Different Dose Levels of Ad26.COV2.S in Healthy Adolescents From 12 to 17 Years Inclusive</t>
  </si>
  <si>
    <t>NCT04794491</t>
  </si>
  <si>
    <t>An Interventional Safety Switch Study (Segue Study) of XYWAV in Narcolepsy</t>
  </si>
  <si>
    <t>NCT04849260</t>
  </si>
  <si>
    <t>Phase Ib/II Clinical Study of Pexa-Vec (Vaccinia GM CSF / Thymidine Kinase-Deactivated Virus) Combined With Recombinant Whole Human Anti-PD-L1 Monoclonal Antibody (ZKAB001) in Metastatic Melanoma</t>
  </si>
  <si>
    <t>NCT04646603</t>
  </si>
  <si>
    <t>MRG-001 as an Immunoregulatory and Regenerative Therapy for COVID-19 Patients</t>
  </si>
  <si>
    <t>MedRegen LLC</t>
  </si>
  <si>
    <t>NCT04762017</t>
  </si>
  <si>
    <t>OCS-05 in Patients With Optic Neuritis</t>
  </si>
  <si>
    <t>NCT04913610</t>
  </si>
  <si>
    <t>Study to Assess Adverse Events, Change in Disease Activity and How Oral ABBV-4083 Capsules When Given Alone or In Combination With Albendazole Capsules Moves in The Body of Adult Participants With Onchocerca Volvulus Infection</t>
  </si>
  <si>
    <t>NCT05069623</t>
  </si>
  <si>
    <t>A Phase 1/2 Study to Determine Safety and Immunogenicity of Two COVID 19 Vaccines VB10.2129 (RBD Candidate) and VB10.2210 (T Cell Candidate) Previously Vaccinated in Healthy Adult Volunteers</t>
  </si>
  <si>
    <t>NCT04706962</t>
  </si>
  <si>
    <t>TH1902 in Patients With Advanced Solid Tumors</t>
  </si>
  <si>
    <t>Theratechnologies</t>
  </si>
  <si>
    <t>NCT04978597</t>
  </si>
  <si>
    <t>Early ParkinSon wIth L-DOPA/DDCI and OpicapoNe (EPSILON Study)</t>
  </si>
  <si>
    <t>NCT04836559</t>
  </si>
  <si>
    <t>A Study to Investigate JNJ-40411813 in Combination With Levetiracetam or Brivaracetam in Epilepsy</t>
  </si>
  <si>
    <t>NCT04881461</t>
  </si>
  <si>
    <t>A Study in Adults With Grass Pollen-induced Rhinoconjunctivitis</t>
  </si>
  <si>
    <t>NCT04679883</t>
  </si>
  <si>
    <t>Phase 2 Clinical Trial to Evaluate the Efficacy and Safety of GLH8NDE in Patients With Dry Eye Disease</t>
  </si>
  <si>
    <t>GL Pharm Tech Corporation</t>
  </si>
  <si>
    <t>NCT04767997</t>
  </si>
  <si>
    <t>Probiotics on Sleep Among Adults Study</t>
  </si>
  <si>
    <t>NCT05010954</t>
  </si>
  <si>
    <t>Efficacy and Safety of LXI-15028 Comparing With Lansoprazole in the Treatment of Duodenal Ulcer</t>
  </si>
  <si>
    <t>NCT05060419</t>
  </si>
  <si>
    <t>Meropenem-FL058 Phase 2 Study in the Treatment of Complicated Urinary Tract Infections</t>
  </si>
  <si>
    <t>NCT05072028</t>
  </si>
  <si>
    <t>Mass Balance and Biotransformation Study of [14C]DBPR108 in Human</t>
  </si>
  <si>
    <t>NCT04912466</t>
  </si>
  <si>
    <t>IBI322 Monotherapy or Combination Therapy in Subjects With Advanced Malignant Tumors.</t>
  </si>
  <si>
    <t>NCT05225831</t>
  </si>
  <si>
    <t>Safety and Efficacy of CD19/CD22 Dual Targeted CAR-T Cell Therapy in R/R B-Cell Acute Lymphoblastic Leukemia</t>
  </si>
  <si>
    <t>NCT04374253</t>
  </si>
  <si>
    <t>A Study to Evaluate the Safety, Tolerability, and Efficacy of Long-Term Gantenerumab Administration in Participants With Alzheimer's Disease (AD)</t>
  </si>
  <si>
    <t>NCT04693039</t>
  </si>
  <si>
    <t>Study on the Safety, Tolerance and Pharmacokinetics of Phenlarmide Tablets</t>
  </si>
  <si>
    <t>NCT05013905</t>
  </si>
  <si>
    <t>A Phase 2a Safety and Efficacy Open-Label Study of Tulisokibart (MK-7240/PRA023) in Participants With Moderately to Severely Active Crohn's Disease (MK-7240-006)</t>
  </si>
  <si>
    <t>NCT04677530</t>
  </si>
  <si>
    <t>A Study of JNJ-40411813 in Healthy Japanese Male Participants</t>
  </si>
  <si>
    <t>NCT04874831</t>
  </si>
  <si>
    <t>Domatinostat in Combination With Avelumab in Patients With Treatment-naïve Metastatic Merkel Cell Carcinoma (MERKLIN 1)</t>
  </si>
  <si>
    <t>NCT04963231</t>
  </si>
  <si>
    <t>DAYBREAK: A Study of Setmelanotide in Participants With Specific Gene Variants in the Melanocortin-4 Receptor (MC4R) Pathway</t>
  </si>
  <si>
    <t>NCT04808622</t>
  </si>
  <si>
    <t>Safety and Efficacy of Trans Sodium Crocetinate (TSC) in Enhancing Tissue Oxygen Levels in Healthy Volunteers</t>
  </si>
  <si>
    <t>NCT04908995</t>
  </si>
  <si>
    <t>Safety, Tolerability, Pharmacokinetics and Food Effects of Oral EC5026 in Healthy Subjects</t>
  </si>
  <si>
    <t>EicOsis Human Health Inc.</t>
  </si>
  <si>
    <t>NCT04827875</t>
  </si>
  <si>
    <t>Safety and Efficacy of AIV001 on Scar Formation and Keloid Recurrence Following Keloidectomy</t>
  </si>
  <si>
    <t>NCT02403505</t>
  </si>
  <si>
    <t>Early Phase Clinical Trial About Therapeutic Biological Product Mix for Treating CEA Positive Rectal Cancer</t>
  </si>
  <si>
    <t>Han Xu, M.D., Ph.D., FAPCR, Sponsor-Investigator, IRB Chair</t>
  </si>
  <si>
    <t>NCT04944953</t>
  </si>
  <si>
    <t>To Compare the Safety and Efficacy of "HG-102" With Botox® in the Improvement of Moderate to Severe Glabellar Lines.</t>
  </si>
  <si>
    <t>NCT04515394</t>
  </si>
  <si>
    <t>Study of Tepotinib Combined With Cetuximab in Participants With Left-Sided RAS/BRAF Wild Type Metastatic Colorectal Cancer (PERSPECTIVE)</t>
  </si>
  <si>
    <t>NCT04878731</t>
  </si>
  <si>
    <t>Study to Evaluate Safety and Tolerability of a Single Dose of PF-06741086 in Chinese Adult Participants With Severe Hemophilia</t>
  </si>
  <si>
    <t>NCT05476107</t>
  </si>
  <si>
    <t>SAD Study to Assess the Safety, Tolerability, PK, and In-Vivo Performance of AMT-126 in Healthy Male and Female Subjects</t>
  </si>
  <si>
    <t>NCT04889651</t>
  </si>
  <si>
    <t>A Study to Compare the Pharmacokinetics and Safety Between BR9004 and BR9004-1 in Healthy Male Volunteers</t>
  </si>
  <si>
    <t>NCT05077865</t>
  </si>
  <si>
    <t>Single Ascending and Multiple Dose Study to Evaluate Safety, Tolerability, and PK of MYMD1 in Healthy Male and Female Adult Subjects</t>
  </si>
  <si>
    <t>TNF Pharmaceuticals, Inc.</t>
  </si>
  <si>
    <t>NCT05004311</t>
  </si>
  <si>
    <t>The Effect of Severe Kidney Impairment on Cenerimod Pharmacokinetics</t>
  </si>
  <si>
    <t>NCT02985671</t>
  </si>
  <si>
    <t>To Evaluate the Superiority of Fixed Combination (Orfenadrine 35mg, Acetaminophen 325mg, Caffeine 65mg and Diclofenac Sodium 50mg) Compared to Voltaren® (Diclofenac Sodium 50mg) in the Treatment of Acute Postural Low Back Pain.</t>
  </si>
  <si>
    <t>NCT04928612</t>
  </si>
  <si>
    <t>A Study of CBP-1018 in Patients With Advanced Solid Tumors</t>
  </si>
  <si>
    <t>Coherent Biopharma (Suzhou) Co., Ltd.</t>
  </si>
  <si>
    <t>NCT05168007</t>
  </si>
  <si>
    <t>Study Evaluating the Efficacy and Safety of WID-RGC20(Cariprazine) in Patients With Schizophrenia</t>
  </si>
  <si>
    <t>NCT05070195</t>
  </si>
  <si>
    <t>A Study to Investigate the Drug-drug Interactions (DDIs) Between SKLB1028 and Midazolam in Healthy Subjects</t>
  </si>
  <si>
    <t>NCT04950075</t>
  </si>
  <si>
    <t>Study of INBRX-109 in Conventional Chondrosarcoma</t>
  </si>
  <si>
    <t>Inhibrx Biosciences, Inc</t>
  </si>
  <si>
    <t>NCT04995419</t>
  </si>
  <si>
    <t>A Study to Evaluate Enfortumab Vedotin (ASG-22CE) in Chinese Participants With Locally Advanced or Metastatic Urothelial Cancer Who Previously Received Platinum-containing Chemotherapy and Programmed Cell Death Protein-1 ( PD 1) / (Programmed Death Ligand-1 (PD-L1) Inhibitor Therapy</t>
  </si>
  <si>
    <t>NCT03678467</t>
  </si>
  <si>
    <t>Evaluation of EpiBone-CMF for Mandibular Ramus Reconstruction</t>
  </si>
  <si>
    <t>Epibone, Inc.</t>
  </si>
  <si>
    <t>NCT04636567</t>
  </si>
  <si>
    <t>Open-label Study to Evaluate Nerindocianine as a Surgical Aid in Ureter Delineation During Minimally Invasive Surgery</t>
  </si>
  <si>
    <t>Li-Cor, Inc.</t>
  </si>
  <si>
    <t>NCT04974957</t>
  </si>
  <si>
    <t>Study of SHR-1701 Plus BP102 in Subjects With Selected Solid Tumors</t>
  </si>
  <si>
    <t>NCT04964557</t>
  </si>
  <si>
    <t>A Study to Assess the Safety, Efficacy and Tolerability of AZD8233 Treatment in Participants With Hyperlipidaemia</t>
  </si>
  <si>
    <t>NCT05429567</t>
  </si>
  <si>
    <t>Effectiveness of Patient-Controlled Intravenous Analgesia (PCIA) With Fentanyl</t>
  </si>
  <si>
    <t>NCT04875806</t>
  </si>
  <si>
    <t>A Safety and Tolerability Study of NC762 in Subjects With Advanced or Metastatic Solid Tumors</t>
  </si>
  <si>
    <t>NCT05030584</t>
  </si>
  <si>
    <t>A Study to Learn More About How Well Elinzanetant Works and How Safe it is for the Treatment of Vasomotor Symptoms (Hot Flashes) That Are Caused by Hormonal Changes Over 52 Weeks in Women Who Have Been Through the Menopause</t>
  </si>
  <si>
    <t>NCT04825678</t>
  </si>
  <si>
    <t>A Study to Evaluate Treatment Satisfaction With Erenumab in Participants With Migraine</t>
  </si>
  <si>
    <t>NCT04982926</t>
  </si>
  <si>
    <t>A Study of TAS2940 in Participants With Locally Advanced or Metastatic Solid Tumor Cancer</t>
  </si>
  <si>
    <t>NCT05062876</t>
  </si>
  <si>
    <t>A Study to Compare PK, PD and Safety of the AD-214 and AD-2141</t>
  </si>
  <si>
    <t>NCT05002140</t>
  </si>
  <si>
    <t>Trial of XRD-0394, a Kinase Inhibitor, in Combination With Palliative Radiotherapy in Advanced Cancer Patients</t>
  </si>
  <si>
    <t>XRad Therapeutics Inc</t>
  </si>
  <si>
    <t>NCT05021991</t>
  </si>
  <si>
    <t>A Clinical Trial of 2 Doses of PRAX-944 in Participants With Essential Tremor</t>
  </si>
  <si>
    <t>NCT04944706</t>
  </si>
  <si>
    <t>Efficacy and Safety of Qishenyiqi Dripping Pills for Treating Chronic Heart Failure With Preserved Ejection Fraction</t>
  </si>
  <si>
    <t>NCT04810598</t>
  </si>
  <si>
    <t>Study to Assess Adverse Events and the Movement of Oral Venetoclax Tablet Through the Body of Female Participants Aged 18-75 Years With Impaired Renal Function</t>
  </si>
  <si>
    <t>NCT05993143</t>
  </si>
  <si>
    <t>Ivermectin to Prevent SARS-CoV-2 (COVID-19) Hospitalisation in Subjects Over 50</t>
  </si>
  <si>
    <t>Insud Pharma</t>
  </si>
  <si>
    <t>NCT05020015</t>
  </si>
  <si>
    <t>A Study of TAK-007 in Adults With Relapsed or Refractory (r/r) B-cell Non-Hodgkin Lymphoma (NHL)</t>
  </si>
  <si>
    <t>NCT05092776</t>
  </si>
  <si>
    <t>Efficacy and Safety of RPH-104 for Resolution and Prevention of Recurring Attacks in Adult Subjects With Familial Mediterranean Fever With Resistance to or Intolerance of Colchicine</t>
  </si>
  <si>
    <t>NCT07079540</t>
  </si>
  <si>
    <t>The Phase III Clinical Trial of X842 Capsules for Reflux Esophagitis</t>
  </si>
  <si>
    <t>NCT05063968</t>
  </si>
  <si>
    <t>A Clinical Trial of XZP-6019 Tablets in Healthy Subjects</t>
  </si>
  <si>
    <t>NCT04749368</t>
  </si>
  <si>
    <t>Study to Investigate the Safety and Efficacy of BRII-835 and BRII-179 Combination Therapy Treating Chronic Hepatitis B Virus (HBV) Infection</t>
  </si>
  <si>
    <t>NCT05055414</t>
  </si>
  <si>
    <t>Arformoterol/Budesonide for COVID-19</t>
  </si>
  <si>
    <t>Korea United Pharm. Inc.</t>
  </si>
  <si>
    <t>NCT04740814</t>
  </si>
  <si>
    <t>A Study to Assess the Pharmacokinetics of Certolizumab Pegol in Adults With Active Rheumatoid Arthritis</t>
  </si>
  <si>
    <t>NCT04904549</t>
  </si>
  <si>
    <t>Study of Monovalent and Bivalent Recombinant Protein Vaccines Against COVID-19 in Adults 18 Years of Age and Older</t>
  </si>
  <si>
    <t>NCT05083949</t>
  </si>
  <si>
    <t>A Study in Healthy Humans to Assess the Relative Bioavailability of One Fixed-dose Combination Tablet Empagliflozin/Metformin Versus Jardiance® Tablet and Glifage® Tablet Administered Together</t>
  </si>
  <si>
    <t>NCT04720976</t>
  </si>
  <si>
    <t>JAB-3312 Based Combination Therapy in Adult Patients With Advanced Solid Tumors</t>
  </si>
  <si>
    <t>NCT06350058</t>
  </si>
  <si>
    <t>Phase I Clinical Trial of Inactivated Rotavirus Vaccine in a Population Aged 6 Weeks-49 Years Old</t>
  </si>
  <si>
    <t>NCT05060016</t>
  </si>
  <si>
    <t>A Phase 2 Study of Tarlatamab in Patients With Small Cell Lung Cancer (SCLC)</t>
  </si>
  <si>
    <t>NCT04829747</t>
  </si>
  <si>
    <t>Study to Assess Adverse Events (AEs) When Oral Atogepant Tablet is Given to Adult Chinese Participants Who Completed Study 3101-303-002 to Prevent Chronic Migraine</t>
  </si>
  <si>
    <t>NCT04881747</t>
  </si>
  <si>
    <t>A Study to Compare Two Different Formulations of Lasmiditan in Healthy Participants</t>
  </si>
  <si>
    <t>NCT04750343</t>
  </si>
  <si>
    <t>Safety and Immunogenicity Study of SARS-CoV-2 Nanoparticle Vaccine (GBP510) Adjuvanted With or Without AS03 (COVID-19)</t>
  </si>
  <si>
    <t>NCT04962308</t>
  </si>
  <si>
    <t>Clinical Trial of Inactivated SARS-CoV-2 Vaccine for Prevention of COVID-19 in Healthy Adults</t>
  </si>
  <si>
    <t>NCT05470725</t>
  </si>
  <si>
    <t>Study to Evaluate the Pharmacokinetics of CIN-107 in Subjects With Varying Degrees of Renal Function</t>
  </si>
  <si>
    <t>NCT04842032</t>
  </si>
  <si>
    <t>Study to Assess the Safety, Pharmacokinetics and Efficacy of KRN23 in Pediatric Chinese Patients With XLH</t>
  </si>
  <si>
    <t>NCT04885998</t>
  </si>
  <si>
    <t>AMG 757 and AMG 404 in Subjects With Small Cell Lung Cancer (SCLC)</t>
  </si>
  <si>
    <t>NCT04996004</t>
  </si>
  <si>
    <t>A Study to Learn About the Study Medicine (Called Ontorpacept or TTI-621) Given Alone and in Combination With Doxorubicin in People With Leiomyosarcoma</t>
  </si>
  <si>
    <t>NCT05137626</t>
  </si>
  <si>
    <t>Drug-drug Interaction Study of Digoxin and AT-527 (R07496998)</t>
  </si>
  <si>
    <t>NCT05030025</t>
  </si>
  <si>
    <t>Abacavir, Dolutegravir and Lamivudine Dispersible Tablets (60 mg/5 mg/30 mg)</t>
  </si>
  <si>
    <t>NCT04614103</t>
  </si>
  <si>
    <t>Autologous LN-145 in Patients With Metastatic Non-Small-Cell Lung Cancer</t>
  </si>
  <si>
    <t>NCT04922788</t>
  </si>
  <si>
    <t>Study to Evaluate the Safety, Immunogenicity, and Efficacy of Nanocovax Vaccine Against COVID-19</t>
  </si>
  <si>
    <t>NCT04842331</t>
  </si>
  <si>
    <t>PREvent Viral Exposure and Transmission Study: a COVID-19 (SARS-CoV-2) PEP Study (PREVENT)</t>
  </si>
  <si>
    <t>NCT04807972</t>
  </si>
  <si>
    <t>Study to Evaluate Adverse Events and Change in Disease Activity When Intravenous (IV) Infusion of ABBV-927 is Administered in Combination With IV Modified FOLFIRINOX (mFFX) With or Without IV Budigalimab Compared to mFFX in Adult Participants With Untreated Pancreatic Cancer Metastasis</t>
  </si>
  <si>
    <t>NCT04847102</t>
  </si>
  <si>
    <t>A Phase III Clinical Study of a SARS-CoV-2 Messenger Ribonucleic Acid (mRNA) Vaccine Candidate Against COVID-19 in Population Aged 18 Years and Above</t>
  </si>
  <si>
    <t>NCT04913337</t>
  </si>
  <si>
    <t>Study of NGM707 As Monotherapy and in Combination with Pembrolizumab in Advanced or Metastatic Solid Tumor Malignancies</t>
  </si>
  <si>
    <t>NCT04947137</t>
  </si>
  <si>
    <t>Development of a Normative Database for Rheumatoid Arthritis (RA) Imaging With Tc99m Tilmanocept</t>
  </si>
  <si>
    <t>NCT05007977</t>
  </si>
  <si>
    <t>Effect of ZT-01 on Glucagon During Hypoglycemia in Type 1 Diabetes Mellitus</t>
  </si>
  <si>
    <t>Zucara Therapeutics Inc.</t>
  </si>
  <si>
    <t>NCT03867851</t>
  </si>
  <si>
    <t>Study to Evaluate Safety and Efficacy of IBsolvMIR in Islet Transplantation</t>
  </si>
  <si>
    <t>TikoMed AB</t>
  </si>
  <si>
    <t>NCT04727853</t>
  </si>
  <si>
    <t>Study of Irinotecan Liposome Injection as Second-line Regimen in Patients With Small Cell Lung Cancer (SCLC)</t>
  </si>
  <si>
    <t>NCT04489537</t>
  </si>
  <si>
    <t>Study of Coagulation Factor VIIa Marzeptacog Alfa (Activated) in Subjects With Hemophilia A or B</t>
  </si>
  <si>
    <t>Catalyst Biosciences</t>
  </si>
  <si>
    <t>NCT04731675</t>
  </si>
  <si>
    <t>An Open-Label Study of Intra-articular AMB-05X Injections in Subjects With Tenosynovial Giant Cell Tumor of the Knee</t>
  </si>
  <si>
    <t>AmMax Bio, Inc.</t>
  </si>
  <si>
    <t>NCT04894227</t>
  </si>
  <si>
    <t>Lot-to-lot Consistency of an Inactivated SARS-CoV-2 Vaccine for Prevention of COVID-19 in Healthy Adults</t>
  </si>
  <si>
    <t>NCT05195827</t>
  </si>
  <si>
    <t>Effect of PRM-125 on Ambulatory Blood Pressure</t>
  </si>
  <si>
    <t>PRM Pharma, LLC</t>
  </si>
  <si>
    <t>NCT04674761</t>
  </si>
  <si>
    <t>Efficacy and Safety of Odevixibat in Patients With Alagille Syndrome</t>
  </si>
  <si>
    <t>Albireo</t>
  </si>
  <si>
    <t>NCT05032196</t>
  </si>
  <si>
    <t>Study of WVE-003 in Patients With Huntington's Disease</t>
  </si>
  <si>
    <t>NCT04289103</t>
  </si>
  <si>
    <t>Evaluation of EFficacy and SaFEty of Leukotac (Inolimomab) in Pediatric Patients With SR-aGvHD</t>
  </si>
  <si>
    <t>ElsaLys Biotech</t>
  </si>
  <si>
    <t>NCT04691154</t>
  </si>
  <si>
    <t>A Phase 3 Study to Evaluate the Safety and Tolerability of L606 in Subjects With PAH or PH-ILD</t>
  </si>
  <si>
    <t>Liquidia Technologies, Inc.</t>
  </si>
  <si>
    <t>NCT04670770</t>
  </si>
  <si>
    <t>An Open Label Study of the Effects of SHR1459 in NMOSDs Patients</t>
  </si>
  <si>
    <t>NCT05420545</t>
  </si>
  <si>
    <t>A Clinical Study of CD70-targeted CAR-T in the Treatment of CD70-positive Advanced/Metastatic Solid Tumors</t>
  </si>
  <si>
    <t>NCT03509545</t>
  </si>
  <si>
    <t>Comparison of Once Daily 40 mg Torsemide With Twice-daily 40 mg Furosemide</t>
  </si>
  <si>
    <t>Sarfez Pharmaceuticals, Inc.</t>
  </si>
  <si>
    <t>NCT04802837</t>
  </si>
  <si>
    <t>Safety, Tolerability and the Pharmacokinetics of Ridinilazole in Adolescent Subjects</t>
  </si>
  <si>
    <t>Summit Therapeutics</t>
  </si>
  <si>
    <t>NCT04979572</t>
  </si>
  <si>
    <t>A Phase I Study of TS-172 in Healthy Adult Subjects (Single and Multiple Doses)</t>
  </si>
  <si>
    <t>NCT04908748</t>
  </si>
  <si>
    <t>Efficacy and Safety of Esflurbiprofen Hydrogel Patch in the Treatment of Local Acute Pain</t>
  </si>
  <si>
    <t>Teikoku Seiyaku Co., Ltd.</t>
  </si>
  <si>
    <t>NCT05020678</t>
  </si>
  <si>
    <t>NKX019, Intravenous Allogeneic Chimeric Antigen Receptor Natural Killer Cells (CAR NK), in Adults With B-cell Cancers</t>
  </si>
  <si>
    <t>NCT05007808</t>
  </si>
  <si>
    <t>Efficacy and Safety of G001 in Patients With Osteoarthritis (OA) of the Knee</t>
  </si>
  <si>
    <t>BUZZZ Pharmaceuticals Limited</t>
  </si>
  <si>
    <t>NCT05180708</t>
  </si>
  <si>
    <t>A Multicenter, Phase 3 Randomized, Double-Blind, Vehicle-Controlled Study Evaluating the Safety and Efficacy of QTORIN 3.9% Rapamycin Anhydrous Gel in the Treatment of Pachyonychia Congenita</t>
  </si>
  <si>
    <t>NCT04822025</t>
  </si>
  <si>
    <t>A Study to Evaluate MVC-COV1901 Vaccine Against COVID-19 in Elderly Adults</t>
  </si>
  <si>
    <t>NCT04395456</t>
  </si>
  <si>
    <t>A Study of the C3 Inhibitor AMY-101 in Patients With ARDS Due to COVID-19 (SAVE)</t>
  </si>
  <si>
    <t>Amyndas Pharmaceuticals S.A.</t>
  </si>
  <si>
    <t>NCT04926051</t>
  </si>
  <si>
    <t>A Study to Assess the Safety, Tolerability and Drug Levels of BMS-986172 in Healthy and Obese Participants, Including an Assessment of the Effects of Food on BMS-986172 Absorption</t>
  </si>
  <si>
    <t>NCT05004129</t>
  </si>
  <si>
    <t>Safety and Efficacy of Tideglusib in Congenital or Childhood Onset Myotonic Dystrophy</t>
  </si>
  <si>
    <t>NCT04690595</t>
  </si>
  <si>
    <t>BAFFR Targeting CAR-T Cells for the Treatment of Relapsed or Refractory B-cell ALL</t>
  </si>
  <si>
    <t>PeproMene Bio, Inc.</t>
  </si>
  <si>
    <t>NCT05112939</t>
  </si>
  <si>
    <t>A Study of a Rilpivirine Extended-Release Suspension in Healthy Participants</t>
  </si>
  <si>
    <t>NCT04464577</t>
  </si>
  <si>
    <t>A Study to Evaluate the Effect of Fluconazole, Bupropion, or Itraconazole on the Drug Levels and Safety of BMS-986235</t>
  </si>
  <si>
    <t>NCT05092581</t>
  </si>
  <si>
    <t>COVID-19 Study of Pharmacokinetics, Safety, Tolerability, and Efficacy of Intravenous Anti-Spike(s) SARS-CoV-2 Monoclonal Antibodies (Casirivimab+Imdevimab) for the Treatment of Pediatric Patients Hospitalized Due to COVID-19</t>
  </si>
  <si>
    <t>NCT05056519</t>
  </si>
  <si>
    <t>The Safety and Immunogenicity Evaluation of Live Attenuated Influenza Vaccine</t>
  </si>
  <si>
    <t>NCT04188730</t>
  </si>
  <si>
    <t>A Study Evaluating the Relative Bioavailability of Lofexidine Granules for Reconstitution Compared to LUCEMYRA (Lofexidine) Tablets and the Effect of Food on the Bioavailability of the Lofexidine Granules for Reconstitution</t>
  </si>
  <si>
    <t>USWM, LLC (dba US WorldMeds)</t>
  </si>
  <si>
    <t>NCT04881929</t>
  </si>
  <si>
    <t>Study of KN026 in Combination With Docetaxel as Neoadjuvant Therapy in HER2-positive Breast Cancer</t>
  </si>
  <si>
    <t>NCT04867057</t>
  </si>
  <si>
    <t>Trichomylin® Safety, Tolerability &amp; Pharmacokinetics in Healthy Adults and First in Human Osteoarthritis Pain Evaluation</t>
  </si>
  <si>
    <t>ZYUS Life Sciences Inc.</t>
  </si>
  <si>
    <t>NCT04472429</t>
  </si>
  <si>
    <t>Carboplatin-paclitaxel With Retifanlimab or Placebo in Participants With Locally Advanced or Metastatic Squamous Cell Anal Carcinoma (POD1UM-303/InterAACT 2).</t>
  </si>
  <si>
    <t>NCT04812431</t>
  </si>
  <si>
    <t>Safety and Exploratory Efficacy of Transplantation Therapy Using PSA-NCAM(+) NPC in AIS-A Level of Sub-acute SCI</t>
  </si>
  <si>
    <t>NCT06725524</t>
  </si>
  <si>
    <t>A Study of JMT601 in Participants With Relapsed or Refractory CD20-positive B-cell Non-Hodgkin Lymphoma</t>
  </si>
  <si>
    <t>NCT04691180</t>
  </si>
  <si>
    <t>A Phase 1 Study of Human Monoclonal Antibodies, BRII-196 and BRII-198</t>
  </si>
  <si>
    <t>NCT04916769</t>
  </si>
  <si>
    <t>Bioavailability of Bosutinib Administered as Capsule Contents Mixed With Applesauce or Yogurt Relative to Intact Capsules Under Fed Condition</t>
  </si>
  <si>
    <t>NCT04672395</t>
  </si>
  <si>
    <t>A Controlled Phase 2/3 Study of Adjuvanted Recombinant SARS-CoV-2 Trimeric S-protein Vaccine (SCB-2019) for the Prevention of COVID-19</t>
  </si>
  <si>
    <t>NCT04902781</t>
  </si>
  <si>
    <t>Clinical Benefit, Safety, PK and PD Study of AT-007 in Pediatric Subjects With Classic Galactosemia</t>
  </si>
  <si>
    <t>Applied Therapeutics, Inc.</t>
  </si>
  <si>
    <t>NCT05203679</t>
  </si>
  <si>
    <t>Evaluation of the Safety and Efficacy of Hemophilia B Gene Therapy Drug</t>
  </si>
  <si>
    <t>Shanghai Xinzhi BioMed Co., Ltd.</t>
  </si>
  <si>
    <t>NCT04409080</t>
  </si>
  <si>
    <t>REGN7257 in Adult Patients With Severe Aplastic Anemia That Is Refractory to or Relapsed on Immunosuppressive Therapy</t>
  </si>
  <si>
    <t>NCT04986423</t>
  </si>
  <si>
    <t>ZEN003694 and Enzalutamide Versus Enzalutamide Monotherapy in Metastatic Castration-Resistant Prostate Cancer</t>
  </si>
  <si>
    <t>Zenith Epigenetics</t>
  </si>
  <si>
    <t>NCT04949841</t>
  </si>
  <si>
    <t>Open-label Multi-site Extension Trial in Subjects Who Completed the DELTA 1 or DELTA 2 Trials</t>
  </si>
  <si>
    <t>NCT04743141</t>
  </si>
  <si>
    <t>Long-term Safety Study of Rimegepant in Pediatric Subjects for the Acute Treatment of Migraine</t>
  </si>
  <si>
    <t>NCT04809805</t>
  </si>
  <si>
    <t>A Study to Learn How Safe BAY2666605 is, How it Affects the Body, How it Moves Into, Through and Out of the Body, the Maximum Amount That Can be Given and Its Action Against Tumors in Adult Participants With Skin Cancer That Has Spread to Other Parts of the Body and Other Types of Advanced Cancer</t>
  </si>
  <si>
    <t>NCT04908813</t>
  </si>
  <si>
    <t>Study of HLX22 in Combanition With Trastuzumab and Chemotherapy Versus Placebo in Combination With Trastuzumab and Chemotherapy for Treatment of Locally Advanced or Metastatic Gastric Cancer</t>
  </si>
  <si>
    <t>NCT04776213</t>
  </si>
  <si>
    <t>Cognition and HRQoL in Adults With Highly-active RMS in Year 3 and 4 After Initial Mavenclad® Dose (CLARIFY MS Extension)</t>
  </si>
  <si>
    <t>NCT04876924</t>
  </si>
  <si>
    <t>A Study of BBP-711 (ORF-229) in Healthy Adult Volunteers</t>
  </si>
  <si>
    <t>Cantero Therapeutics, a BridgeBio company</t>
  </si>
  <si>
    <t>NCT04947124</t>
  </si>
  <si>
    <t>A Study to Determine the Safety and Tolerability of 2 Concentrations of QLS-101</t>
  </si>
  <si>
    <t>Qlaris Bio, Inc.</t>
  </si>
  <si>
    <t>NCT05071313</t>
  </si>
  <si>
    <t>A Study of an Ad26.RSV.preF-based Vaccine and High-dose Seasonal Influenza Vaccine, With and Without Coadministration, in Adults Aged 65 Years and Older</t>
  </si>
  <si>
    <t>NCT07343323</t>
  </si>
  <si>
    <t>A First-in-Human Study of KINE-101 in Healthy Volunteers</t>
  </si>
  <si>
    <t>Kine Sciences Co., Ltd.</t>
  </si>
  <si>
    <t>NCT04972188</t>
  </si>
  <si>
    <t>A Clinical Study to Evaluate the Safety, Tolerability and Pharmacokinetics and Pharmacodynamics of ZYIL1 Following Oral Administration in Healthy Volunteers</t>
  </si>
  <si>
    <t>NCT05113342</t>
  </si>
  <si>
    <t>Descartes-25 in Relapsed/Refractory Multiple Myeloma</t>
  </si>
  <si>
    <t>NCT04614246</t>
  </si>
  <si>
    <t>Study to Gather Information How Well Three Different Doses of BAY1817080 Given Twice Daily Over 12 Weeks Work in Comparison to an Inactive Pill (Placebo) and Elagolix in Women Suffering From Pain Related to a Condition Where the Tissue That Usually Grows Inside the Womb Grows Outside of the Womb</t>
  </si>
  <si>
    <t>NCT04785820</t>
  </si>
  <si>
    <t>A Study of Lomvastomig (RO7121661) and Tobemstomig (RO7247669) Compared With Nivolumab in Participants With Advanced or Metastatic Squamous Cell Carcinoma of the Esophagus</t>
  </si>
  <si>
    <t>NCT04677660</t>
  </si>
  <si>
    <t>A Study of TAK-919 in Healthy Japanese Adults (COVID-19)</t>
  </si>
  <si>
    <t>NCT05121441</t>
  </si>
  <si>
    <t>Study to Evaluate ARD-101 in Adults With Obesity</t>
  </si>
  <si>
    <t>Aardvark Therapeutics, Inc.</t>
  </si>
  <si>
    <t>NCT05407779</t>
  </si>
  <si>
    <t>Study of the Pharmacodynamics, Pharmacokinetics, Safety, and Immunogenicity of Single Escalating Doses of BCD-180 in Healthy Volunteers</t>
  </si>
  <si>
    <t>NCT05204862</t>
  </si>
  <si>
    <t>Phase 1/2 Study of TU2218 Alone and in Combination With Checkpoint Inhibitors in Patients With Advanced Solid Tumors</t>
  </si>
  <si>
    <t>NCT05016661</t>
  </si>
  <si>
    <t>Extension Study of ABP-20001 to Evaluate Safety and Efficacy of Repeat Treatments of ABP-450 for Migraine Prevention</t>
  </si>
  <si>
    <t>NCT04822883</t>
  </si>
  <si>
    <t>Safety, Biomarker Study of RL-007 in Subjects With Schizophrenia</t>
  </si>
  <si>
    <t>Recognify Life Sciences</t>
  </si>
  <si>
    <t>NCT04806854</t>
  </si>
  <si>
    <t>PK and PD Study of LUM-201 in Children With Idiopathic Growth Hormone Deficiency: (OraGrowtH212)</t>
  </si>
  <si>
    <t>NCT04610970</t>
  </si>
  <si>
    <t>A Study of TQ-B3525 in Subjects With Relapse/Refractory Diffuse Large B-cell Lymphoma （DLBCL）</t>
  </si>
  <si>
    <t>NCT04795323</t>
  </si>
  <si>
    <t>Proof of Concept Study Assessing Technology-Assisted Respiratory Adherence Prototype Version 3 in Individuals With COPD</t>
  </si>
  <si>
    <t>NCT05106205</t>
  </si>
  <si>
    <t>Phamacokinetics and Safety Profiles of DA-5213 10mg in Healthy Subjects</t>
  </si>
  <si>
    <t>NCT04791423</t>
  </si>
  <si>
    <t>Study of GRAd-COV2 for the Prevention of COVID-19 in Adults</t>
  </si>
  <si>
    <t>NCT04857827</t>
  </si>
  <si>
    <t>A Study to Evaluate Safety and Tolerability of QLS-101 in NTG</t>
  </si>
  <si>
    <t>NCT04949269</t>
  </si>
  <si>
    <t>A Study to Evaluate the Drug Levels of Deucravacitinib From Tablets After Oral Administration in Healthy Participants</t>
  </si>
  <si>
    <t>NCT05027646</t>
  </si>
  <si>
    <t>Study to Assess Bioequivalence and Adhesion Properties Between Two Granisetron Transdermal Patches.</t>
  </si>
  <si>
    <t>Kyowa Kirin, Inc.</t>
  </si>
  <si>
    <t>NCT04615962</t>
  </si>
  <si>
    <t>Topical Cream SNG100 for Treatment in Moderate Atopic Dermatitis Subjects.</t>
  </si>
  <si>
    <t>Seanergy Dermatology Ltd.</t>
  </si>
  <si>
    <t>NCT05023486</t>
  </si>
  <si>
    <t>NP-G2-044 as Monotherapy and Combination Therapy in Patients With Advanced or Metastatic Solid Tumor Malignancies</t>
  </si>
  <si>
    <t>Novita Pharmaceuticals, Inc.</t>
  </si>
  <si>
    <t>NCT05148962</t>
  </si>
  <si>
    <t>Study of GRT-R910 COVID-19 Boost Vaccine in Healthy Volunteers</t>
  </si>
  <si>
    <t>Gritstone bio, Inc.</t>
  </si>
  <si>
    <t>NCT05182073</t>
  </si>
  <si>
    <t>FT576 in Subjects With Multiple Myeloma</t>
  </si>
  <si>
    <t>NCT04721015</t>
  </si>
  <si>
    <t>Study of Intravenous (IV) ABBV-637 Alone or in Combination With IV Docetaxel/Osimertinib to Assess Adverse Events and Change in Disease Activity in Adult Participants With Relapsed/Refractory (R/R) Solid Tumors</t>
  </si>
  <si>
    <t>NCT05070858</t>
  </si>
  <si>
    <t>A Study to Test How Safe Pozelimab and Cemdisiran Combination Therapy and Cemdisiran Alone Are and How Well They Work in Adult Patients With Generalized Myasthenia Gravis</t>
  </si>
  <si>
    <t>NCT05011058</t>
  </si>
  <si>
    <t>An Open-Label Phase 2 Trial of Nanatinostat Plus Valganciclovir in Patients With EBV+ Relapsed/Refractory Lymphomas</t>
  </si>
  <si>
    <t>NCT05282914</t>
  </si>
  <si>
    <t>A Study to Compare PK, PD and Safety of UI058 and UIC202004 in Healthy Subjects</t>
  </si>
  <si>
    <t>NCT05048849</t>
  </si>
  <si>
    <t>A Study to Evaluate the Safety, Tolerability, and Immunogenicity of COVID-19 Vaccine, CT-COV-21 Extension Study</t>
  </si>
  <si>
    <t>NCT04944043</t>
  </si>
  <si>
    <t>A Study of TQ05105 in Patients With Chronic Graft Versus Host Disease</t>
  </si>
  <si>
    <t>NCT05019755</t>
  </si>
  <si>
    <t>A Study to Investigate the Effect of Food on the Pharmacokinetics of IN-A002 Capsule in Healthy Male Subjects</t>
  </si>
  <si>
    <t>NCT04445714</t>
  </si>
  <si>
    <t>To Assess Safety of Fixed Dose Combination of Dapagliflozin and Saxagliptin in Type 2 Diabetes Mellitus Patients</t>
  </si>
  <si>
    <t>NCT04650633</t>
  </si>
  <si>
    <t>SHR-1701 in Patients With Recurrent/Metastatic Scchn</t>
  </si>
  <si>
    <t>NCT04868604</t>
  </si>
  <si>
    <t>64Cu-SAR-bisPSMA and 67Cu-SAR-bisPSMA for Identification and Treatment of PSMA-expressing Metastatic Castrate Resistant Prostate Cancer (SECuRE)</t>
  </si>
  <si>
    <t>NCT05079152</t>
  </si>
  <si>
    <t>Evaluation of Immunogenicity and Safety of Combined Immunization of COVAX (Produced in Wuhan) and PPV23 / IIV4</t>
  </si>
  <si>
    <t>NCT05116826</t>
  </si>
  <si>
    <t>Nitazoxanide Pharmacokinetic Parameters in Hepatic Impaired Patients</t>
  </si>
  <si>
    <t>Genfit</t>
  </si>
  <si>
    <t>NCT04711226</t>
  </si>
  <si>
    <t>Safety, Tolerability and Efficacy of Immunomodulation With AT-1501 in Islet Cell Transplantation</t>
  </si>
  <si>
    <t>NCT04993404</t>
  </si>
  <si>
    <t>Pharmacokinetics Of Jaktinib In Subjects With Hepatic Impairment And Normal Hepatic Function</t>
  </si>
  <si>
    <t>NCT04927247</t>
  </si>
  <si>
    <t>A Study of a Single Dose of Inclacumab to Reduce Re-admission in Participants With Sickle Cell Disease and Recurrent Vaso-occlusive Crises</t>
  </si>
  <si>
    <t>NCT04576156</t>
  </si>
  <si>
    <t>A Study Comparing Imetelstat Versus Best Available Therapy for the Treatment of Intermediate-2 or High-risk Myelofibrosis (MF) Who Have Not Responded to Janus Kinase (JAK)-Inhibitor Treatment</t>
  </si>
  <si>
    <t>Geron Corporation</t>
  </si>
  <si>
    <t>NCT05467995</t>
  </si>
  <si>
    <t>A Study to Evaluate the Efficacy and Safety of AK111 in Subjects With Active Ankylosing Spondylitis</t>
  </si>
  <si>
    <t>NCT04735471</t>
  </si>
  <si>
    <t>A Phase 1 Study of ADI-001 in B Cell Malignancies</t>
  </si>
  <si>
    <t>Adicet Therapeutics</t>
  </si>
  <si>
    <t>NCT04535037</t>
  </si>
  <si>
    <t>A Study to Evaluate Immunogenicity and Safety of GlaxoSmithKline (GSK)'s Infanrix Hexa Vaccine (DTPa-HBV-IPV/Hib) Versus MCM Vaccine BV's Vaxelis Vaccine (DTaP5-HBV-IPV-Hib) in Healthy Infants and Toddlers</t>
  </si>
  <si>
    <t>NCT04656275</t>
  </si>
  <si>
    <t>A Study in Patients With Non-cystic Fibrosis Bronchiectasis to Test How Well Different Doses of BI 1323495 Are Tolerated and How BI 1323495 Affects Biomarkers of Inflammation</t>
  </si>
  <si>
    <t>NCT05098275</t>
  </si>
  <si>
    <t>Phamacokinetics and Safety Profiles of DA-5210 10/500mg in Healthy Subjects at Fed State</t>
  </si>
  <si>
    <t>NCT05420519</t>
  </si>
  <si>
    <t>Clinical Study of CD70-targeted CAR-T Therapy for Advanced/Advanced Renal Cancer</t>
  </si>
  <si>
    <t>NCT05147467</t>
  </si>
  <si>
    <t>Study of APG-2575 in Patients With Relapsed/Refractory CLL/SLL</t>
  </si>
  <si>
    <t>NCT04764851</t>
  </si>
  <si>
    <t>Drug-Drug Interaction Study to Evaluate the Effects of Ecopipam on the Pharmacokinetics of Multiple Substrates</t>
  </si>
  <si>
    <t>NCT05552937</t>
  </si>
  <si>
    <t>Evaluate the Safety and Efficacy of Tafasitamab Combined With Lenalidomide in Patients With Relapsed or Refractory DLBCL</t>
  </si>
  <si>
    <t>NCT05063877</t>
  </si>
  <si>
    <t>Safety, Tolerability, and Exploratory Efficacy of Adjunctive EQU-001 for Seizures in Adults With Epilepsy</t>
  </si>
  <si>
    <t>Equilibre Biopharmaceuticals B.V.</t>
  </si>
  <si>
    <t>NCT04436029</t>
  </si>
  <si>
    <t>Descartes-11 Consolidation Treatment in Patients With High-Risk Multiple Myeloma Who Have Residual Disease After Induction Therapy</t>
  </si>
  <si>
    <t>NCT05148195</t>
  </si>
  <si>
    <t>A Phase II Study of Envofolimab and BD0801 With/Without Chemotherapy in Patients With Advanced Solid Tumors</t>
  </si>
  <si>
    <t>NCT05064800</t>
  </si>
  <si>
    <t>PF-07321332/Ritonavir and Ritonavir on Dabigatran Study in Healthy Participants</t>
  </si>
  <si>
    <t>NCT05549492</t>
  </si>
  <si>
    <t>Transversus Abdominis Plane Block With or Without Buprenorphine After Inguinal Hernia Surgery</t>
  </si>
  <si>
    <t>NCT04784312</t>
  </si>
  <si>
    <t>A Clinical Study in Health Subjects to Evaluate 9MW1411 Injection</t>
  </si>
  <si>
    <t>NCT04990544</t>
  </si>
  <si>
    <t>Phase II Clinical Trial of Recombinant SARS-CoV-2 Spike Protein Vaccine (CHO Cell) for the Prevention of COVID-19</t>
  </si>
  <si>
    <t>NCT04909021</t>
  </si>
  <si>
    <t>Safety and Immunogenicity of an Intranasal Vaccine for Respiratory Syncytial Virus in Seronegative Children 6-36 Months</t>
  </si>
  <si>
    <t>NCT04822181</t>
  </si>
  <si>
    <t>Research Study on Whether Semaglutide Works in People With Non-alcoholic Steatohepatitis (NASH)</t>
  </si>
  <si>
    <t>NCT04805411</t>
  </si>
  <si>
    <t>Subcutaneously CM310/Placebo in Patients With Moderate-to-Severe Atopic Dermatitis (AD)</t>
  </si>
  <si>
    <t>NCT04766463</t>
  </si>
  <si>
    <t>A Clinical Study of SHR8554 Injection for the Treatment of Pain After Abdominal Surgery.</t>
  </si>
  <si>
    <t>NCT06465264</t>
  </si>
  <si>
    <t>To Assess Allisartan Isoproxil/Amlodipine in Patients With Essential Hypertension Uncontrolled With Amlodipine or Allisartan Isoproxil</t>
  </si>
  <si>
    <t>NCT04159493</t>
  </si>
  <si>
    <t>A Randomized Controlled Phase 2 Study to Determine Lowest Efficacious Dose of Ovestin in Vulvar and Vaginal Atrophy</t>
  </si>
  <si>
    <t>Aspen USA Inc</t>
  </si>
  <si>
    <t>NCT05116007</t>
  </si>
  <si>
    <t>Anti-PD-1 and VEGF Bispecific Antibody AK112 in Combination With Chemotherapy in Patients With ES-SCLC</t>
  </si>
  <si>
    <t>NCT05065892</t>
  </si>
  <si>
    <t>Evaluation of Immunogenicity and Safety of COVID-19 Vaccine (Produced in Wuhan) in Patients With Hypertension and/or Diabetes</t>
  </si>
  <si>
    <t>NCT05047536</t>
  </si>
  <si>
    <t>KZR-261 in Subjects With Advanced Solid Malignancies</t>
  </si>
  <si>
    <t>NCT05157763</t>
  </si>
  <si>
    <t>A Study to Evaluate the Safety and Efficacy of EscharEx (EX-02) in the Treatment of Basal Cell Carcinoma</t>
  </si>
  <si>
    <t>NCT04616014</t>
  </si>
  <si>
    <t>A Study of Oral Insulin to Reduce Liver Fat Content in Type 2 Diabetes Patients With Nonalcoholic Steatohepatitis (NASH)</t>
  </si>
  <si>
    <t>NCT04925206</t>
  </si>
  <si>
    <t>A Safety and Efficacy Study Evaluating ET-01 in Subjects with Transfusion Dependent Β-Thalassaemia</t>
  </si>
  <si>
    <t>EdiGene (GuangZhou) Inc.</t>
  </si>
  <si>
    <t>NCT04789408</t>
  </si>
  <si>
    <t>Study of KITE-222 in Participants With Relapsed/Refractory Acute Myeloid Leukemia</t>
  </si>
  <si>
    <t>NCT04674150</t>
  </si>
  <si>
    <t>A Pilot Randomized Controlled Trial for Feasibility of Administering an AR Game to Postoperative Pediatric Cancer Patients</t>
  </si>
  <si>
    <t>ALTality, Inc.</t>
  </si>
  <si>
    <t>NCT04810390</t>
  </si>
  <si>
    <t>Study to Assess the Safety, Tolerability and Efficacy of Bilastine Ophthalmic Solution 0.6% in Children</t>
  </si>
  <si>
    <t>NCT04869982</t>
  </si>
  <si>
    <t>Efficacy, Immunogenicity and Safety Study of GSKs Recombinant Zoster Vaccine Shingrix (GSK1437173A) in Chinese Adults Aged ≥50 Years</t>
  </si>
  <si>
    <t>NCT04771390</t>
  </si>
  <si>
    <t>Study to Compare How the Body Absorbs, Distributes and Excretes the Drug Selitrectinib (BAY2731954) Given as Two Different Tablet Formulations or as Liquid Formulations Including the Effect of Food on the Absorption, Distribution or Excretion of the Different Formulations in Healthy Participants</t>
  </si>
  <si>
    <t>NCT04896697</t>
  </si>
  <si>
    <t>Vilastobart (XTX101) Monotherapy and Vilastobart and Atezolizumab Combination Therapy in Advanced Solid Tumors</t>
  </si>
  <si>
    <t>Xilio Development, Inc.</t>
  </si>
  <si>
    <t>NCT04648020</t>
  </si>
  <si>
    <t>Clonidine HCl MBT vs. Placebo to Prevent Chemoradiotherapy-Induced Severe Oral Mucositis in Oropharyngeal Cancer.</t>
  </si>
  <si>
    <t>Monopar Therapeutics</t>
  </si>
  <si>
    <t>NCT04729608</t>
  </si>
  <si>
    <t>Batiraxcept (AVB-S6-500)/Placebo in Combination With Paclitaxel in Patients With Platinum-Resistant Recurrent Ovarian Cancer</t>
  </si>
  <si>
    <t>Aravive, Inc.</t>
  </si>
  <si>
    <t>NCT04984525</t>
  </si>
  <si>
    <t>Safety and Tolerability of SYNB1934 in Healthy Adult Volunteers</t>
  </si>
  <si>
    <t>NCT04710576</t>
  </si>
  <si>
    <t>A Study of Axatilimab at 3 Different Doses in Participants With Chronic Graft Versus Host Disease (cGVHD)</t>
  </si>
  <si>
    <t>NCT04972968</t>
  </si>
  <si>
    <t>A Study to Evaluate the Change in Disease State and Adverse Events in Adult Participants With Polymyalgia Rheumatica (PMR) Dependent on Glucocorticoid Treatment, Receiving Subcutaneous Injections of ABBV-154</t>
  </si>
  <si>
    <t>NCT04932291</t>
  </si>
  <si>
    <t>Study to Test the Efficacy and Safety of Vafidemstat in Adult Borderline Personality Disorder Population</t>
  </si>
  <si>
    <t>Oryzon Genomics S.A.</t>
  </si>
  <si>
    <t>NCT05249374</t>
  </si>
  <si>
    <t>Recombinant Human Serum Albumin in Patients With Liver Cirrhosis and Ascites Subjects</t>
  </si>
  <si>
    <t>Protgen Ltd</t>
  </si>
  <si>
    <t>NCT04793620</t>
  </si>
  <si>
    <t>Pertussis Acellular Vaccine Adjuvanted With TQL1055</t>
  </si>
  <si>
    <t>Adjuvance Technologies, Inc.</t>
  </si>
  <si>
    <t>NCT04364620</t>
  </si>
  <si>
    <t>AB-16B5 Combined With Docetaxel in Subjects With Metastatic Non-Small Cell Lung Cancer (EGIA-002)</t>
  </si>
  <si>
    <t>Alethia Biotherapeutics</t>
  </si>
  <si>
    <t>NCT05061420</t>
  </si>
  <si>
    <t>A Study of SAR444245 Combined With Other Anticancer Therapies for the Treatment of Participants With HNSCC (Master Protocol) (Pegathor Head and Neck 204)</t>
  </si>
  <si>
    <t>NCT04814225</t>
  </si>
  <si>
    <t>Investigation of the Efficacy and Safety of Three Test Products and Comparator on Muscular Performance After the Initiation of a Resistance Training Program</t>
  </si>
  <si>
    <t>Roquette Canada, LTD.</t>
  </si>
  <si>
    <t>NCT05042440</t>
  </si>
  <si>
    <t>Pharmacokinetic Assessment of Standard Half-Life (SHL) FVIII, Extended Half-Life (EHL) FVIII, and Efanesoctocog Alfa (BIVV001) in Severe Hemophilia A</t>
  </si>
  <si>
    <t>NCT04286789</t>
  </si>
  <si>
    <t>Randomized, Double-blind, Vehicle Controlled, Repeat Dose Comparative Study in RA Patients Managed With DMARDs</t>
  </si>
  <si>
    <t>Oryn Therapeutics, LLC</t>
  </si>
  <si>
    <t>NCT04840550</t>
  </si>
  <si>
    <t>Study to Evaluate the Safety, Efficacy of Tegoprazan for the Prevention of PUD in Patients on Treatment With NSAIDs</t>
  </si>
  <si>
    <t>NCT04823208</t>
  </si>
  <si>
    <t>A Study of LY3437943 in Japanese Participants With Type 2 Diabetes Mellitus (T2DM)</t>
  </si>
  <si>
    <t>NCT05145010</t>
  </si>
  <si>
    <t>Extension Study of Infigratinib in Children With Achondroplasia (ACH)</t>
  </si>
  <si>
    <t>NCT04873323</t>
  </si>
  <si>
    <t>A QT/QTc Evaluation Study of TS-142 in Healthy Adult Subjects</t>
  </si>
  <si>
    <t>NCT05042310</t>
  </si>
  <si>
    <t>A Study of LY3541860 in Healthy Japanese and Non-Japanese Participants</t>
  </si>
  <si>
    <t>NCT04812535</t>
  </si>
  <si>
    <t>Non-comparative Study of IFX-1 Alone or IFX-1+Pembrolizumab in Patients With Locally Advanced or Metastatic cSCC.</t>
  </si>
  <si>
    <t>NCT04816890</t>
  </si>
  <si>
    <t>A Trial to Assess the Efficacy and Safety of M1 Pram P037 Prandial Insulin in Subjects With Type 1 Diabetes (T1DM)</t>
  </si>
  <si>
    <t>NCT04951713</t>
  </si>
  <si>
    <t>Effect of Clarithromycin and Rifampicin on the Pharmacokinetics of XZP-3287 in Healthy Subjects</t>
  </si>
  <si>
    <t>NCT04720534</t>
  </si>
  <si>
    <t>Study to Evaluate ARO-APOC3 in Adults With Severe Hypertriglyceridemia</t>
  </si>
  <si>
    <t>NCT04842747</t>
  </si>
  <si>
    <t>VERU-111 in the Treatment of SARS-Cov-2 Infection by Assessing Its Effect on the Proportion of Patients Who Die on Study</t>
  </si>
  <si>
    <t>NCT05516121</t>
  </si>
  <si>
    <t>VLT-015 in Patients With Schizophrenia</t>
  </si>
  <si>
    <t>CF Pharma, LLC</t>
  </si>
  <si>
    <t>NCT05072106</t>
  </si>
  <si>
    <t>Study to Evaluate the Effect of Bosentan on the Pharmacokinetics of Lurbinectedin in Patients With Advanced Solid Tumors</t>
  </si>
  <si>
    <t>NCT04691063</t>
  </si>
  <si>
    <t>The Study is Being Conducted to Evaluate the Efficacy and Safety of SHR-1316 in Combination With Chemo-radiotherapy in Patients With LS-SCLC.</t>
  </si>
  <si>
    <t>NCT04699656</t>
  </si>
  <si>
    <t>Plazomicin Study in ESRD Patients Receiving IHD</t>
  </si>
  <si>
    <t>Cipla USA Inc.</t>
  </si>
  <si>
    <t>NCT05104892</t>
  </si>
  <si>
    <t>Proof of Concept Study of Rilzabrutinib in Adult Participants With Moderate-to-severe Asthma</t>
  </si>
  <si>
    <t>NCT04739111</t>
  </si>
  <si>
    <t>An Exploratory Clinical Study of LDP Combined With CDP1 in Patients With Advanced Malignant Tumor</t>
  </si>
  <si>
    <t>NCT04596995</t>
  </si>
  <si>
    <t>A Study to Investigate the Long-term Safety, Tolerability, and Efficacy of Rozanolixizumab in Study Participants With Persistent or Chronic Primary Immune Thrombocytopenia (ITP)</t>
  </si>
  <si>
    <t>NCT04841577</t>
  </si>
  <si>
    <t>A Study on the Immune Response and Safety Elicited by a Vaccine Against Respiratory Syncytial Virus (RSV) When Given Alone and Together With a Vaccine Against Influenza in Adults Aged 60 Years and Above</t>
  </si>
  <si>
    <t>NCT04782076</t>
  </si>
  <si>
    <t>A Drug Drug Interaction (DDI) Study of Selpercatinib and Dabigatran in Healthy Participants</t>
  </si>
  <si>
    <t>NCT04759846</t>
  </si>
  <si>
    <t>Hepatic Impairment Study of Encorafenib in Combination With Binimetinib in BRAF Melanoma</t>
  </si>
  <si>
    <t>NCT04756531</t>
  </si>
  <si>
    <t>STUDY OF PF-07321332 IN HEALTHY PARTICIPANTS</t>
  </si>
  <si>
    <t>NCT05077475</t>
  </si>
  <si>
    <t>A Clinical Trial to Evaluate the Safety and Pharmacokinetics of AJU-C52L in Healthy Volunteers</t>
  </si>
  <si>
    <t>NCT05360628</t>
  </si>
  <si>
    <t>Evaluation of PK and Safety of D-0120 and Allopurinol</t>
  </si>
  <si>
    <t>NCT04124367</t>
  </si>
  <si>
    <t>IMPULSE - StIMulation of Brain Plasticity to Improve Upper Limb Recovery After StrokE</t>
  </si>
  <si>
    <t>Ever Neuro Pharma GmbH</t>
  </si>
  <si>
    <t>NCT04792567</t>
  </si>
  <si>
    <t>Exploring the Immune Response to SARS-CoV-2 modRNA Vaccines in Patients With Secondary Progressive Multiple Sclerosis (AMA-VACC)</t>
  </si>
  <si>
    <t>NCT04806451</t>
  </si>
  <si>
    <t>Global Safety and Efficacy Registration Study of Crinecerfont in Pediatric Participants With Classic Congenital Adrenal Hyperplasia (CAHtalyst Pediatric Study)</t>
  </si>
  <si>
    <t>NCT04738175</t>
  </si>
  <si>
    <t>Study to Evaluate the Safety and Efficacy of a Single Dose of STI-2020 (COVI-AMG™) to Treat COVID-19</t>
  </si>
  <si>
    <t>NCT04694781</t>
  </si>
  <si>
    <t>Study of LVGN6051 (CD137 Agonist Antibody) in Advanced or Metastatic Malignancy</t>
  </si>
  <si>
    <t>NCT05029401</t>
  </si>
  <si>
    <t>A Study of Oral Ibogaine in Opioid Withdrawal</t>
  </si>
  <si>
    <t>atai Therapeutics, Inc.</t>
  </si>
  <si>
    <t>NCT04971928</t>
  </si>
  <si>
    <t>Phase 1 Study of GSK3228836 Pharmacokinetics in Participants With Hepatic Impairment</t>
  </si>
  <si>
    <t>NCT04588129</t>
  </si>
  <si>
    <t>Receptor Occupancy of LB-102 Using Positron Emission Tomography (PET) in Healthy Volunteers</t>
  </si>
  <si>
    <t>NCT04644237</t>
  </si>
  <si>
    <t>Trastuzumab Deruxtecan in Participants With HER2-mutated Metastatic Non-small Cell Lung Cancer (NSCLC)</t>
  </si>
  <si>
    <t>NCT05156528</t>
  </si>
  <si>
    <t>Efficacy, Immunogenicity and Safety of S. Flexneriza-S. Sonnei Bivalent Conjugate Vaccine in Volunteers Aged From 6 Months to 5 Years</t>
  </si>
  <si>
    <t>NCT04650854</t>
  </si>
  <si>
    <t>A Study to Evaluate Rozanolixizumab in Study Participants With Generalized Myasthenia Gravis</t>
  </si>
  <si>
    <t>NCT05104905</t>
  </si>
  <si>
    <t>A Phase I/II Open Label Single Centre Trial to Assess the Safety, Tolerability and Efficacy of Single Dose Neoadjuvant Anti-CLEVER-1 Antibody Bexmarilimab in Localised Renal Cell and Colon Carcinoma</t>
  </si>
  <si>
    <t>Faron Pharmaceuticals Ltd</t>
  </si>
  <si>
    <t>NCT04982705</t>
  </si>
  <si>
    <t>IDG-16177 for the Evaluation of Its Safety and Pharmacokinetics</t>
  </si>
  <si>
    <t>NCT05190991</t>
  </si>
  <si>
    <t>Safety and Efficacy of RPH-104 Used to Prevent Recurrent Fever Attacks in Adult Patients With Colchicine Resistant or Colchicine Intolerant Familial Mediterranean Fever</t>
  </si>
  <si>
    <t>NCT05034497</t>
  </si>
  <si>
    <t>Intraventricular Administration of Rhenium-186 NanoLiposome for Leptomeningeal Metastases</t>
  </si>
  <si>
    <t>Plus Therapeutics</t>
  </si>
  <si>
    <t>NCT04982224</t>
  </si>
  <si>
    <t>Study of REGN5093-M114 (METxMET Antibody-Drug Conjugate) in Adult Patients With Mesenchymal Epithelial Transition Factor (MET) Overexpressing Advanced Cancer</t>
  </si>
  <si>
    <t>NCT05386823</t>
  </si>
  <si>
    <t>Evaluate the Safety, Tolerability and PK of HF1K16 in Healthy Volunteers</t>
  </si>
  <si>
    <t>HighField Biopharmaceuticals Corporation</t>
  </si>
  <si>
    <t>NCT05037851</t>
  </si>
  <si>
    <t>An Open-label Safety Study of PC945 (Opelconazole) Prophylaxis or Pre-emptive Therapy Against Pulmonary Aspergillosis in Lung Transplant Recipients (OPERA-S Study)</t>
  </si>
  <si>
    <t>Pulmocide Ltd</t>
  </si>
  <si>
    <t>NCT04753489</t>
  </si>
  <si>
    <t>Bioequivalence Study of Two Formulations of Rivaroxaban Tablets 10 mg in Healthy Male Volunteers in Fasting Conditions</t>
  </si>
  <si>
    <t>NCT04999527</t>
  </si>
  <si>
    <t>Study to Evaluate the Safety, Tolerability, PK and PD of DISC-0974 in Healthy Subjects</t>
  </si>
  <si>
    <t>Disc Medicine, Inc</t>
  </si>
  <si>
    <t>NCT04913220</t>
  </si>
  <si>
    <t>A Study of SAR444245 Combined With Cemiplimab for the Treatment of Participants With Various Advanced Skin Cancers (Pegathor Skin 201)</t>
  </si>
  <si>
    <t>NCT05146869</t>
  </si>
  <si>
    <t>A Single-dose and Multiple-dose Study to Evaluate the Pharmacokinetics and Pharmacodynamics of DBPR108 Tablets in Type 2 Diabetes Mellitus Patients</t>
  </si>
  <si>
    <t>NCT04907851</t>
  </si>
  <si>
    <t>A Study to Assess RXC004 Efficacy in Advanced Solid Tumours After Progression on Standard of Care (SoC) Therapy (PORCUPINE2)</t>
  </si>
  <si>
    <t>Redx Pharma Ltd</t>
  </si>
  <si>
    <t>NCT05026866</t>
  </si>
  <si>
    <t>A Donanemab (LY3002813) Study in Participants With Preclinical Alzheimer's Disease (TRAILBLAZER-ALZ 3)</t>
  </si>
  <si>
    <t>NCT04974359</t>
  </si>
  <si>
    <t>A Study to Evaluate Lu AG06466 in Participants With Fibromyalgia</t>
  </si>
  <si>
    <t>NCT04998396</t>
  </si>
  <si>
    <t>A Study of AAV9 Gene Therapy in Participants With Canavan Disease (CANaspire Clinical Trial)</t>
  </si>
  <si>
    <t>Aspa Therapeutics</t>
  </si>
  <si>
    <t>NCT04722146</t>
  </si>
  <si>
    <t>A Study of Teclistamab With Other Anticancer Therapies in Participants With Multiple Myeloma</t>
  </si>
  <si>
    <t>NCT05084222</t>
  </si>
  <si>
    <t>Use of Buventol Easyhaler and Bufomix Easyhaler in Methacoline Challenge Testing</t>
  </si>
  <si>
    <t>NCT05071729</t>
  </si>
  <si>
    <t>A Study to Learn How Elinzanetant Moves Into, Through, and Out of the Body, How Safe it is, and How it Affects the Body in Participants With Kidneys That do Not Work as Well as They Should Compared to Participants Whose Kidneys Work Normally</t>
  </si>
  <si>
    <t>NCT04972396</t>
  </si>
  <si>
    <t>Pemvidutide (ALT-801) DDI Study in Healthy Volunteers</t>
  </si>
  <si>
    <t>NCT04820842</t>
  </si>
  <si>
    <t>A Study of TAK-994 in Adults With Narcolepsy</t>
  </si>
  <si>
    <t>NCT05049083</t>
  </si>
  <si>
    <t>A Relative Bioavailability Study of Different Processes of SHR2554 Tablets in Healthy Adult Subjects</t>
  </si>
  <si>
    <t>NCT04675294</t>
  </si>
  <si>
    <t>Evorpacept (ALX148) in Combination With Pembrolizumab in Patients With Advanced Head and Neck Squamous Cell Carcinoma (ASPEN-03)</t>
  </si>
  <si>
    <t>NCT04396366</t>
  </si>
  <si>
    <t>Study of Safety, Tolerability, Pharmacokinetics and Pharmacodynamics of QBW251 in Subjects With Bronchiectasis</t>
  </si>
  <si>
    <t>NCT04949256</t>
  </si>
  <si>
    <t>Efficacy and Safety of Pembrolizumab (MK-3475) Plus Lenvatinib (E7080/MK-7902) Plus Chemotherapy in Participants With Metastatic Esophageal Carcinoma (MK-7902-014/E7080-G000-320/LEAP-014)</t>
  </si>
  <si>
    <t>NCT04588922</t>
  </si>
  <si>
    <t>Study of SLS009 (Formerly GFH009) a Potent Highly Selective CDK9 Inhibitor in Patients With Hematologic Malignancies and High-Risk Newly Diagnosed AML</t>
  </si>
  <si>
    <t>NCT04798027</t>
  </si>
  <si>
    <t>Study of mRNA Vaccine Formulation Against COVID-19 in Healthy Adults 18 Years of Age and Older</t>
  </si>
  <si>
    <t>NCT04829305</t>
  </si>
  <si>
    <t>A Trial of SHR2285 in Healthy Subjects</t>
  </si>
  <si>
    <t>NCT05015894</t>
  </si>
  <si>
    <t>A Research Study Looking Into Blood Levels of the Medicine NNC0480-0389 in Participants With Reduced Kidney Function Compared to Participants With Normal Kidney Function</t>
  </si>
  <si>
    <t>NCT04655027</t>
  </si>
  <si>
    <t>A Study to Investigate the Effect of Roxadustat Versus Recombinant Human Erythropoietin (rHuEPO) on Oral Iron Absorption in Chinese Patients With Anemia of Chronic Kidney Disease (CKD)</t>
  </si>
  <si>
    <t>NCT04120402</t>
  </si>
  <si>
    <t>Study to Evaluate the Efficacy and Safety of EP-104IAR in Patients With Osteoarthritis of the Knee</t>
  </si>
  <si>
    <t>Eupraxia Pharmaceuticals Inc.</t>
  </si>
  <si>
    <t>NCT04964453</t>
  </si>
  <si>
    <t>A Study in Healthy Men to Test How BI 474121 is Tolerated</t>
  </si>
  <si>
    <t>NCT04978337</t>
  </si>
  <si>
    <t>A Study of Rilematovir (JNJ-53718678) in Adult Outpatients With Respiratory Syncytial Virus (RSV) Infection</t>
  </si>
  <si>
    <t>NCT04770246</t>
  </si>
  <si>
    <t>TAS-117 in Patients With Advanced Solid Tumors Harboring Germline PTEN Mutations</t>
  </si>
  <si>
    <t>NCT04785196</t>
  </si>
  <si>
    <t>APG-115 in Combination With PD-1 Inhibitor in Patients With Advanced Liposarcoma or Advanced Solid Tumors</t>
  </si>
  <si>
    <t>NCT04440488</t>
  </si>
  <si>
    <t>ARALAST NP Alpha-1 Lung Density Chronic Obstructive Pulmonary Disease-Emphysema (COPD-E) Study</t>
  </si>
  <si>
    <t>NCT04799054</t>
  </si>
  <si>
    <t>A Study of TransCon TLR7/8 Agonist With or Without Pembrolizumab in Patients With Advanced or Metastatic Solid Tumors</t>
  </si>
  <si>
    <t>Ascendis Pharma Oncology Division A/S</t>
  </si>
  <si>
    <t>NCT05035654</t>
  </si>
  <si>
    <t>LYR-220 for Adult Subjects With Chronic Rhinosinusitis (BEACON Study)</t>
  </si>
  <si>
    <t>Lyra Therapeutics</t>
  </si>
  <si>
    <t>NCT05049122</t>
  </si>
  <si>
    <t>Dupilumab in Japanese Patients With Chronic Rhinosinusitis With Nasal Polyp (SINUS-M52)</t>
  </si>
  <si>
    <t>NCT05132127</t>
  </si>
  <si>
    <t>Sutimlimab (BIVV009) for the Adult Participants With Cold Agglutinin Disease (CAD) Who Have Completed Phase 3 Studies (CARDINAL or CADENZA) in Japan</t>
  </si>
  <si>
    <t>NCT06848556</t>
  </si>
  <si>
    <t>Evaluate the Effect of Tirazamine on Primary Liver Cancer.</t>
  </si>
  <si>
    <t>Zhejiang Raygene Pharmaceuticals Co., Ltd</t>
  </si>
  <si>
    <t>NCT04592822</t>
  </si>
  <si>
    <t>A Single Dose Bioequivalence Study of WD-1602 Versus Pradaxa® in Healthy Subjects Under Fed Condition</t>
  </si>
  <si>
    <t>NCT04792723</t>
  </si>
  <si>
    <t>Pharmacokinetic and Pharmacodynamic Study of a Novel Sublingual Aspirin Tablet</t>
  </si>
  <si>
    <t>Vita Green Health Products Co. Ltd</t>
  </si>
  <si>
    <t>NCT05128786</t>
  </si>
  <si>
    <t>CCT301-38 CAR-T in Patients With Relapsed or Refractory AXL Positive Sarcomas</t>
  </si>
  <si>
    <t>NCT05034822</t>
  </si>
  <si>
    <t>Study of Ruxolitinib Cream in Children With Atopic Dermatitis</t>
  </si>
  <si>
    <t>NCT04786262</t>
  </si>
  <si>
    <t>A Safety, Tolerability, and Efficacy Study of VX-880 in Participants With Type 1 Diabetes</t>
  </si>
  <si>
    <t>NCT05015127</t>
  </si>
  <si>
    <t>A Study to Evaluate the Efficacy and Safety of HBM9161 on Moderate to Severe Thyroid Eye Disease</t>
  </si>
  <si>
    <t>NCT05103241</t>
  </si>
  <si>
    <t>A Phase I Mass Balance Study of [14C]GP681 in Healthy Chinese Male Volunteers</t>
  </si>
  <si>
    <t>NCT04697056</t>
  </si>
  <si>
    <t>A Study to Evaluate the Efficacy and Safety of Imsidolimab (ANB019) in the Treatment of Participants With Ichthyosis</t>
  </si>
  <si>
    <t>NCT04925479</t>
  </si>
  <si>
    <t>Study to Determine the Dose and Safety of Asciminib in Pediatric Patients With Chronic Myeloid Leukemia</t>
  </si>
  <si>
    <t>NCT04921254</t>
  </si>
  <si>
    <t>A Study to Assess the Safety, Tolerability and Pharmacokinetics of BSG005.</t>
  </si>
  <si>
    <t>Biosergen AS</t>
  </si>
  <si>
    <t>NCT04882592</t>
  </si>
  <si>
    <t>Noninvasive Spinal Neuromodulation Enables Locomotor Recovery in Individuals With Cerebral Palsy</t>
  </si>
  <si>
    <t>SpineX Inc.</t>
  </si>
  <si>
    <t>NCT05038787</t>
  </si>
  <si>
    <t>A Study of LY3473329 in Healthy Japanese Participants</t>
  </si>
  <si>
    <t>NCT04591184</t>
  </si>
  <si>
    <t>A Clinical Trial of a Prophylactic Plasmid DNA Vaccine for COVID-19 [Covigenix VAX-001] in Adults</t>
  </si>
  <si>
    <t>Entos Pharmaceuticals Inc.</t>
  </si>
  <si>
    <t>NCT04526132</t>
  </si>
  <si>
    <t>A Phase Ⅲ Clinical Study Trial of Felbinac Trometamol Injection in China</t>
  </si>
  <si>
    <t>NCT04740671</t>
  </si>
  <si>
    <t>A Phase 3 Study to Compare the Efficacy and Safety of HLX04-O with Ranibizumab in Subjects with WAMD</t>
  </si>
  <si>
    <t>NCT04952506</t>
  </si>
  <si>
    <t>Clinical Study to Compare the Pharmacokinetics and Safety of D113 With CKD-349 in Healthy Volunteers</t>
  </si>
  <si>
    <t>NCT04696952</t>
  </si>
  <si>
    <t>A Study to Evaluate Next Day Effects of TS-142 on Driving Performance in Healthy Subjects</t>
  </si>
  <si>
    <t>NCT04761601</t>
  </si>
  <si>
    <t>First in Human Study of UCT-01-097 in Participants With Advanced Solid Tumors</t>
  </si>
  <si>
    <t>NCT04927312</t>
  </si>
  <si>
    <t>Study to Assess Efficacy and Safety of PF-06947386 in Japanese Adult Patients With Complicated Intra-abdominal Infection</t>
  </si>
  <si>
    <t>NCT04973163</t>
  </si>
  <si>
    <t>A Study to Test Different Doses of BI 1823911 Alone and Combined With Other Medicines in People With Different Types of Advanced Cancer With KRAS Mutation</t>
  </si>
  <si>
    <t>NCT05082116</t>
  </si>
  <si>
    <t>Efficacy and Safety of Turoctocog Alfa Pegol (N8-GP) for Prophylaxis and Treatment of Bleeding Episodes in Previously Treated Chinese Patients With Haemophilia A (pathfinder10)</t>
  </si>
  <si>
    <t>NCT04978298</t>
  </si>
  <si>
    <t>Study to Evaluate the Pressor Effect of Oral Tyramine During Ozanimod Treatment in Healthy Adult Participants</t>
  </si>
  <si>
    <t>NCT04959344</t>
  </si>
  <si>
    <t>Safety and Immunogenicity of a Klebsiella Pneumoniae Tetravalent Bioconjugate Vaccine (Kleb4V)</t>
  </si>
  <si>
    <t>LimmaTech Biologics AG</t>
  </si>
  <si>
    <t>NCT05027087</t>
  </si>
  <si>
    <t>The Effect of a Novel Blueberry Supplement on Dry Eye Disease</t>
  </si>
  <si>
    <t>SightSage Foods and Nutrition Inc.</t>
  </si>
  <si>
    <t>NCT04663321</t>
  </si>
  <si>
    <t>Efficacy and Safety of MK-1942 When Added to Stable Antidepressant Therapy in Participants With Treatment-Resistant Depression (TRD) (MK-1942-006)</t>
  </si>
  <si>
    <t>NCT04854681</t>
  </si>
  <si>
    <t>Phase 1 Trial of the TQB2928 Injection in Patients With Advanced Cancers</t>
  </si>
  <si>
    <t>NCT04656600</t>
  </si>
  <si>
    <t>Study to Evaluate Efficacy and Safety of Imiglucerase Treatment in Chinese Patients With Gaucher Disease Type Ⅲ</t>
  </si>
  <si>
    <t>NCT04867200</t>
  </si>
  <si>
    <t>A Clinical Study to Evaluate the Safety and Pharmacokinetics of CKD-344 in Healthy Volunteers</t>
  </si>
  <si>
    <t>NCT04730349</t>
  </si>
  <si>
    <t>A Study of Bempegaldesleukin (BEMPEG: NKTR-214) in Combination With Nivolumab in Children, Adolescents and Young Adults With Recurrent or Treatment-resistant Cancer</t>
  </si>
  <si>
    <t>NCT04935112</t>
  </si>
  <si>
    <t>A Study to Explore the Effect of Acid-reducing Agents</t>
  </si>
  <si>
    <t>NCT04653493</t>
  </si>
  <si>
    <t>CD19 Targeted CAR T Cell Therapy in Patients With Relapsed/ Refractory B Cell Acute Lymphoblastic Leukaemia (ALL)</t>
  </si>
  <si>
    <t>NCT05491733</t>
  </si>
  <si>
    <t>A Bioequivalence Study of APX001 High-load and Low-load Tablets</t>
  </si>
  <si>
    <t>NCT04873752</t>
  </si>
  <si>
    <t>A Study to Investigate the Safety and Efficacy of UC-MSCs in Pediatric Patients With Cerebral Palsy</t>
  </si>
  <si>
    <t>NCT04801056</t>
  </si>
  <si>
    <t>Study of TB006 in Outpatient Patients With Mild to Moderate COVID-19</t>
  </si>
  <si>
    <t>TrueBinding, Inc.</t>
  </si>
  <si>
    <t>NCT04936542</t>
  </si>
  <si>
    <t>A Study to Compare the Safety and Efficacy of Dysport® and Botox® in Adults With Upper Limb Spasticity.</t>
  </si>
  <si>
    <t>NCT04952753</t>
  </si>
  <si>
    <t>Study of NIS793 and Other Novel Investigational Combinations With SOC Anti-cancer Therapy for the 2L Treatment of mCRC</t>
  </si>
  <si>
    <t>NCT05095701</t>
  </si>
  <si>
    <t>An Immunity Persistence Study of Live Attenuated Varicella Vaccine</t>
  </si>
  <si>
    <t>NCT05086666</t>
  </si>
  <si>
    <t>A Phase 1b/2 Clinical Study to Evaluate the Safety and Tolerability and Efficacy of AZD4547</t>
  </si>
  <si>
    <t>NCT04877756</t>
  </si>
  <si>
    <t>Study to Evaluate Efficacy of OLX10010 in Reducing Recurrence of Hypertrophic Scarring After Scar Revision Surgery</t>
  </si>
  <si>
    <t>Olix Pharmaceuticals, Inc.</t>
  </si>
  <si>
    <t>NCT04855656</t>
  </si>
  <si>
    <t>Study of Lunresertib Alone or in Combination With RP-3500 or Debio 0123 in Patients With Advanced Solid Tumors</t>
  </si>
  <si>
    <t>NCT05164172</t>
  </si>
  <si>
    <t>A Study With Eptinezumab in Children and Adolescents (6 to 17 Years) With Chronic or Episodic Migraine</t>
  </si>
  <si>
    <t>NCT04924101</t>
  </si>
  <si>
    <t>Efficacy and Safety of Pembrolizumab Plus Investigational Agents in Combination With Chemotherapy as First-Line Treatment in Extensive-Stage Small Cell Lung Cancer (ES-SCLC) (MK-3475-B99/ KEYNOTE-B99)</t>
  </si>
  <si>
    <t>NCT06337981</t>
  </si>
  <si>
    <t>Efficacy and Safety of AJU-S56 in Dry Eye Syndrome Patients</t>
  </si>
  <si>
    <t>NCT04811027</t>
  </si>
  <si>
    <t>Combination Study With Eftilagimod Alpha (a Soluble LAG-3 Fusion Protein) and Pembrolizumab in Patients With Recurrent or Metastatic HNSCC</t>
  </si>
  <si>
    <t>Immutep S.A.S.</t>
  </si>
  <si>
    <t>NCT04444622</t>
  </si>
  <si>
    <t>Immunotherapy for Third Line Metastatic Colorectal Cancer</t>
  </si>
  <si>
    <t>Mirror Biologics, Inc.</t>
  </si>
  <si>
    <t>NCT04884295</t>
  </si>
  <si>
    <t>Dose-Finding, Safety, and Efficacy Study of XVR011 Added to Standard of Care in Patients Hospitalised for COVID-19</t>
  </si>
  <si>
    <t>ExeVir Bio BV</t>
  </si>
  <si>
    <t>NCT04809363</t>
  </si>
  <si>
    <t>A Study of CDPATH™ to Help Manage and Treat Crohn's Disease</t>
  </si>
  <si>
    <t>NCT05018533</t>
  </si>
  <si>
    <t>The Safety and Pharmacokinetics Study of TAKC-02 Inhalation Solution in Healthy Adult Males.</t>
  </si>
  <si>
    <t>TAK-Circulator Co.</t>
  </si>
  <si>
    <t>NCT04784533</t>
  </si>
  <si>
    <t>A Study to Evaluate the Durability of Response of CTP-543 in Adult Patients With Moderate to Severe Alopecia Areata</t>
  </si>
  <si>
    <t>NCT04684238</t>
  </si>
  <si>
    <t>Effect &amp; Safety of Inhaled Isoflurane vs IV Midazolam for Sedation in Mechanically Ventilated Children 3-17 Years Old</t>
  </si>
  <si>
    <t>Sedana Medical</t>
  </si>
  <si>
    <t>NCT04895358</t>
  </si>
  <si>
    <t>Study of Pembrolizumab (MK-3475) Plus Chemotherapy Versus Placebo Plus Chemotherapy for HR+/HER2- Locally Recurrent Inoperable or Metastatic Breast Cancer (MK-3475-B49/KEYNOTE-B49)</t>
  </si>
  <si>
    <t>NCT04467515</t>
  </si>
  <si>
    <t>A Study to Evaluate Safety, Tolerability, Dosimetry, and Preliminary Efficacy of the HER2 Directed Radioligand CAM-H2 in Patients With Advanced/Metastatic HER2-Positive Breast, Gastric, and Gastro-Esophageal Junction (GEJ) Cancer</t>
  </si>
  <si>
    <t>Precirix</t>
  </si>
  <si>
    <t>NCT04718844</t>
  </si>
  <si>
    <t>A Study Investigate the Safety, Tolerability, Pharmacokinetic, and Pharmacodynamic Response of SLN124 in Adults With Alpha/Beta-thalassaemia and Very Low- and Low-risk Myelodysplastic Syndrome</t>
  </si>
  <si>
    <t>NCT05212948</t>
  </si>
  <si>
    <t>A Study of S-268019 for the Prevention of COVID-19</t>
  </si>
  <si>
    <t>NCT04662255</t>
  </si>
  <si>
    <t>Study of BTK Inhibitor LOXO-305 Versus Approved BTK Inhibitor Drugs in Patients With Mantle Cell Lymphoma (MCL)</t>
  </si>
  <si>
    <t>NCT04955626</t>
  </si>
  <si>
    <t>To Evaluate the Safety, Tolerability, Efficacy and Immunogenicity of BNT162b2 Boosting Strategies Against COVID-19 in Participants ≥12 Years of Age.</t>
  </si>
  <si>
    <t>NCT04331743</t>
  </si>
  <si>
    <t>A Study to Evaluate the Safety and Efficacy of PLM60 in Advanced HCC</t>
  </si>
  <si>
    <t>NCT04680767</t>
  </si>
  <si>
    <t>A Study of LY3502970 in Healthy Male Participants</t>
  </si>
  <si>
    <t>NCT04817800</t>
  </si>
  <si>
    <t>To Investigate Drug-drug Interaction and Relative Bioavailability Between the FDC AzelastineHCL/Beclomethasone Dipropionate Nasal Spray, &amp; Beclomethasone Dipropionate Nasal Spray in the Test Vehicle, and RinoClenil® Nasal Spray</t>
  </si>
  <si>
    <t>NCT04526834</t>
  </si>
  <si>
    <t>Phase 1 Study of Autologous CD30.CAR-T in Relapsed or Refractory CD30 Positive Non-Hodgkin Lymphoma</t>
  </si>
  <si>
    <t>Tessa Therapeutics</t>
  </si>
  <si>
    <t>NCT04776330</t>
  </si>
  <si>
    <t>a Clinical Research of BCMA-Targeted Prime CAR-T Cell Therapy in Relapsed/Refractory Multiple Myeloma and Plasma Cell Disease</t>
  </si>
  <si>
    <t>NCT03127267</t>
  </si>
  <si>
    <t>Efficacy and Safety of Masitinib Versus Placebo in the Treatment of ALS Patients</t>
  </si>
  <si>
    <t>NCT04695977</t>
  </si>
  <si>
    <t>CMP-001 in Combination With Nivolumab Compared to Nivolumab Monotherapy in Subjects With Advanced Melanoma</t>
  </si>
  <si>
    <t>NCT04996030</t>
  </si>
  <si>
    <t>A Study for Oral SY-2101 for Participants With Acute Promyelocytic Leukemia</t>
  </si>
  <si>
    <t>NCT04706975</t>
  </si>
  <si>
    <t>Study to Evaluate the Efficacy and Safety of Oral Difelikefalin (CR845) for Moderate to Severe Pruritus in Subjects With Notalgia Paresthetica (KOMFORT)</t>
  </si>
  <si>
    <t>Cara Therapeutics, Inc.</t>
  </si>
  <si>
    <t>NCT05051930</t>
  </si>
  <si>
    <t>A Clinical Trial of TQC3721 Suspension for Inhalation</t>
  </si>
  <si>
    <t>NCT05062200</t>
  </si>
  <si>
    <t>A Study of JNJ-77242113 in Healthy Japanese and Chinese Participants</t>
  </si>
  <si>
    <t>NCT04951765</t>
  </si>
  <si>
    <t>Effect of Food on the Pharmacokinetics of XZP-3287 in Healthy Subjects</t>
  </si>
  <si>
    <t>NCT04982692</t>
  </si>
  <si>
    <t>A Clinical Study of INTRAROSA® (Prasterone) Vaginal Inserts in Postmenopausal Vulvovaginal Atrophy</t>
  </si>
  <si>
    <t>NCT04830592</t>
  </si>
  <si>
    <t>A Study of NG-641 and Pembrolizumab in Squamous Cell Carcinoma of the Head and Neck</t>
  </si>
  <si>
    <t>NCT04963855</t>
  </si>
  <si>
    <t>A Phase I Study of GT300 in Healthy Subjects</t>
  </si>
  <si>
    <t>Generian Pharmaceuticals, Inc.</t>
  </si>
  <si>
    <t>NCT04750278</t>
  </si>
  <si>
    <t>A Phase 2/3 Study to Evaluate FP-025 in Patients With Severe to Critical COVID 19</t>
  </si>
  <si>
    <t>Foresee Pharmaceuticals Co., Ltd.</t>
  </si>
  <si>
    <t>NCT04798638</t>
  </si>
  <si>
    <t>A Study to Assess the Effect of Food on the Pharmacokinetics of TY-9591 in Healthy Volunteers</t>
  </si>
  <si>
    <t>NCT04770935</t>
  </si>
  <si>
    <t>To Assess the Pharmacokinetics and Safety and Tolerability of Efanesoctocog Alfa (BIVV001)in Adults With Type 2N and 3 Von Willebrand Disease (VWD)</t>
  </si>
  <si>
    <t>NCT06190678</t>
  </si>
  <si>
    <t>Study of Pirtobrutinib (LOXO-305) in Participants With Impaired Kidney Function and Healthy Participants</t>
  </si>
  <si>
    <t>NCT05068947</t>
  </si>
  <si>
    <t>Safety, Tolerability, and Pharmacokinetic Study of Single Ascending Dose of GV101 in Healthy Subjects</t>
  </si>
  <si>
    <t>Graviton Bioscience Corporation</t>
  </si>
  <si>
    <t>NCT04580485</t>
  </si>
  <si>
    <t>INCB106385 Alone or in Combination With Immunotherapy in Advanced Solid Tumors</t>
  </si>
  <si>
    <t>NCT05132049</t>
  </si>
  <si>
    <t>Pharmacokinetics and Safety Profiles After Administration of DA-5211 and Co-administration of DA-5211-R1 and DA-5211-R2 in Healthy Adult Volunteers</t>
  </si>
  <si>
    <t>NCT05398926</t>
  </si>
  <si>
    <t>Immunogenicity and Safety of a Third Dose of COVID-19 Vaccine(Vero Cell), Inactivated in the Elderly</t>
  </si>
  <si>
    <t>NCT04675333</t>
  </si>
  <si>
    <t>Evorpacept (ALX148) in Combination With Pembrolizumab and Chemotherapy in Patients With Advanced Head and Neck Squamous Cell Carcinoma (ASPEN-04)</t>
  </si>
  <si>
    <t>NCT04763226</t>
  </si>
  <si>
    <t>A Study to Evaluate the Safety, Tolerability, Drug Levels, and Drug Effects of BMS-986308 in Healthy Participants</t>
  </si>
  <si>
    <t>NCT04697511</t>
  </si>
  <si>
    <t>Drug-drug Interaction Study of Evobrutinib With Midazolam in Healthy Participants</t>
  </si>
  <si>
    <t>NCT05279807</t>
  </si>
  <si>
    <t>Effectiveness and Safety of Combination of Amlodipine and Zofenopril in Hypertensive Patients Versus Each Monotherapy</t>
  </si>
  <si>
    <t>NCT04918771</t>
  </si>
  <si>
    <t>Clinical Study of Efficacy and Safety of Raphamin in the Treatment of ARVI in Children 12-18 Years Old</t>
  </si>
  <si>
    <t>NCT01624532</t>
  </si>
  <si>
    <t>A Study to Assess Dose-Response, Efficacy (Immunogenicity) and the Safety of GC1109</t>
  </si>
  <si>
    <t>NCT04496349</t>
  </si>
  <si>
    <t>A Study Evaluating APG-115 as a Single Agent or in Combination With APG-2575 in Subjects With R/R T-PLL and NHL</t>
  </si>
  <si>
    <t>NCT04841421</t>
  </si>
  <si>
    <t>Clinical Study on PET Imaging, Distribution and PK of 89Zr-CD147 in Patients With Solid Tumors</t>
  </si>
  <si>
    <t>NCT04921878</t>
  </si>
  <si>
    <t>A Study of Mitoxantrone Hydrochloride Liposome Injection in Chinese Patients With Advanced Solid Tumors</t>
  </si>
  <si>
    <t>NCT05005234</t>
  </si>
  <si>
    <t>A Study of GFH925 in Patients With Advanced Solid Tumors With KRAS G12C Mutations</t>
  </si>
  <si>
    <t>NCT04279847</t>
  </si>
  <si>
    <t>Safety and Tolerability Study of INCB057643 in Participants With Myelofibrosis and Other Advanced Myeloid Neoplasms</t>
  </si>
  <si>
    <t>NCT05101148</t>
  </si>
  <si>
    <t>Phase I Study to Assess the Effect of Food on the PK and Gastrointestinal Tolerability of Selumetinib in Adolescent Children With Neurofibromatosis Type 1 Related Plexiform Neurofibromas</t>
  </si>
  <si>
    <t>NCT04755647</t>
  </si>
  <si>
    <t>Nitric Oxide Footbath for Treatment of Diabetic Foot Ulcers</t>
  </si>
  <si>
    <t>NCT04857047</t>
  </si>
  <si>
    <t>A Multi Doses Study to Compare the Pharmacokinetics of BR9003A and BR9003 in Healthy Adult Subjects</t>
  </si>
  <si>
    <t>NCT05101109</t>
  </si>
  <si>
    <t>Study to Evaluate the Safety and Tolerability of ABL501, and to Determine the Maximum Tolerated Dose (MTD) and Recommended Phase 2 Dose (RP2D) of ABL501 in Subjects With Any Progressive, Locally Advanced (Unresectable) or Metastatic Solid Tumors</t>
  </si>
  <si>
    <t>ABL Bio, Inc.</t>
  </si>
  <si>
    <t>NCT04300192</t>
  </si>
  <si>
    <t>Study to Evaluate the Immune Response After Booster Vaccination With Tdap-IPV Vaccine (Against Tetanus, Diphtheria, Pertussis and Poliomyelitis) in Children Who Received Different Pertussis Primary Vaccine Regimens in Republic of South Africa</t>
  </si>
  <si>
    <t>NCT04654507</t>
  </si>
  <si>
    <t>Efficacy of Corticosteroids in Reducing Renal Scarring in Acute Pyelonephritis in Children</t>
  </si>
  <si>
    <t>NCT05007236</t>
  </si>
  <si>
    <t>Study to Evaluate the Efficacy and Safety of Oral RP7214, a DHODH Inhibitor, in Patients With Symptomatic Mild COVID-19 Infection.</t>
  </si>
  <si>
    <t>NCT05043311</t>
  </si>
  <si>
    <t>The Safety and Immunogenicity of SCTV01C in Healthy Population Aged ≥18 Years Previously Vaccinated With mRNA COVID-19 Vaccine.</t>
  </si>
  <si>
    <t>NCT04969211</t>
  </si>
  <si>
    <t>Bioequivalence Study Between VHX-896 Tablets and Iloperidone Tablets in Healthy Volunteers</t>
  </si>
  <si>
    <t>NCT04867785</t>
  </si>
  <si>
    <t>A Study of LY3437943 in Participants With Type 2 Diabetes</t>
  </si>
  <si>
    <t>NCT05841043</t>
  </si>
  <si>
    <t>Efficacy and Safety of SHR8028 Eye Drops for the Treatment of Dry Eye Disease</t>
  </si>
  <si>
    <t>NCT05004415</t>
  </si>
  <si>
    <t>Mass Balance Study of AT-527 in Healthy Adult Male Subjects (R07496998)</t>
  </si>
  <si>
    <t>NCT05117632</t>
  </si>
  <si>
    <t>ALTO-100 in MDD and/or PTSD</t>
  </si>
  <si>
    <t>NCT04808414</t>
  </si>
  <si>
    <t>SAD/MAD Safety and PK Study of QPX9003 (Novel Polymyxin) in Normal Healthy Volunteers</t>
  </si>
  <si>
    <t>NCT04902885</t>
  </si>
  <si>
    <t>Phase 3 Study Evaluating Efficacy, Safety and Pharmacokinetics of Trilaciclib In Small Cell Lung Cancer Patients</t>
  </si>
  <si>
    <t>NCT05118334</t>
  </si>
  <si>
    <t>IBI310 (Anti-CTLA-4) in Combination With Sintilimab in Patients With Non-small-cell Lung Cancer (NSCLC)</t>
  </si>
  <si>
    <t>NCT04702698</t>
  </si>
  <si>
    <t>Effect of Food on Peposertib PK</t>
  </si>
  <si>
    <t>NCT04774926</t>
  </si>
  <si>
    <t>Study of Innovative Multimodal Imaging Biomarkers to Predict Anatomical Outcome in Naive Patients With wAMD Treated With Brolucizumab.</t>
  </si>
  <si>
    <t>NCT04677855</t>
  </si>
  <si>
    <t>Study of PCUR-101 in Combination With ADT in Patients With mCRPC</t>
  </si>
  <si>
    <t>Pellficure Pharmaceuticals, Inc</t>
  </si>
  <si>
    <t>NCT05176717</t>
  </si>
  <si>
    <t>Study to Evaluate the Efficacy Safety and Tolerability of QR-421a in Subjects With RP Due to Mutations in Exon 13 of the USH2A Gene With Early to Moderate Vision Loss (Celeste)</t>
  </si>
  <si>
    <t>Laboratoires Thea</t>
  </si>
  <si>
    <t>NCT04794348</t>
  </si>
  <si>
    <t>Clinical Trial Assessing Non-Inferiority of Freeze Dried Plasma to Fresh Frozen Plasma in Reversing Warfarin</t>
  </si>
  <si>
    <t>Teleflex</t>
  </si>
  <si>
    <t>NCT04713176</t>
  </si>
  <si>
    <t>Efficacy and Safety of DWJ1248 With Remdesivir in Severe COVID-19 Patients</t>
  </si>
  <si>
    <t>NCT05154968</t>
  </si>
  <si>
    <t>A Study of Two Formulations (Both Refrigerated and Room Temperature) Using an Autoinjector Device in Healthy Participants</t>
  </si>
  <si>
    <t>NCT04258826</t>
  </si>
  <si>
    <t>A Study to Evaluate LY3154207 on the Brain of Healthy Participants</t>
  </si>
  <si>
    <t>NCT04634435</t>
  </si>
  <si>
    <t>Autologous Memory-like NK Cell Therapy With BHV-1100 and Low Dose IL-2 in Multiple Myeloma Patients</t>
  </si>
  <si>
    <t>NCT05153343</t>
  </si>
  <si>
    <t>Safety of Flonoltinib Maleate Tablets for the Treatment of Patients With Myeloproliferative</t>
  </si>
  <si>
    <t>NCT04880434</t>
  </si>
  <si>
    <t>Study of Brexucabtagene Autoleucel (KTE-X19) in Participants With Relapsed/Refractory Mantle Cell Lymphoma (Cohort 3)</t>
  </si>
  <si>
    <t>NCT05052398</t>
  </si>
  <si>
    <t>Proof of Principle Study Evaluating Gonyautoxins NEURO SERUM, on Chemotherapy-induced Peripheral Neuropathy</t>
  </si>
  <si>
    <t>Algenis SpA</t>
  </si>
  <si>
    <t>NCT04712721</t>
  </si>
  <si>
    <t>Study of [68Ga]-FF58 in Patients With Selected Solid Tumors Expected to Overexpress αvβ3 and αvβ5 Integrins.</t>
  </si>
  <si>
    <t>NCT05073133</t>
  </si>
  <si>
    <t>Safety and Efficacy of Intravenous OAV101 (AVXS-101) in Pediatric Patients With Spinal Muscular Atrophy (SMA) (OFELIA)</t>
  </si>
  <si>
    <t>NCT04953078</t>
  </si>
  <si>
    <t>A Study to Evaluate Safety, Tolerability, and Reactogenicity of an RBD-Fc-based Vaccine to Prevent COVID-19</t>
  </si>
  <si>
    <t>Baiya Phytopharm Co., Ltd.</t>
  </si>
  <si>
    <t>NCT04795128</t>
  </si>
  <si>
    <t>A Study Evaluating the Safety, Tolerability and Preliminary Efficacy of IBI322 in Subjects With Hematologic Malignancy</t>
  </si>
  <si>
    <t>NCT04709536</t>
  </si>
  <si>
    <t>A Study of IBI306 in Participants With Hypercholesterolemia</t>
  </si>
  <si>
    <t>NCT04889287</t>
  </si>
  <si>
    <t>A Study to Learn How Much Rosuvastatin Gets Into the Blood When Taken With or Without Elinzanetant and to Learn About the Safety of Elinzanetant in Healthy Participants</t>
  </si>
  <si>
    <t>NCT05189093</t>
  </si>
  <si>
    <t>Recombinant Humanized Anti-CD47/PD-1 Bifunctional Antibody HX009 in Patients With Relapsed/Refractory Lymphoma</t>
  </si>
  <si>
    <t>NCT05395416</t>
  </si>
  <si>
    <t>Antaitavir Hasophate Capsules Combined With Yiqibuvir Tablets in Treatment Adult Patients With Chronic Hepatitis C</t>
  </si>
  <si>
    <t>NCT04994106</t>
  </si>
  <si>
    <t>A Study to Assess the Safety, Tolerability, and Pharmacokinetics of AZD5462 Following Single and Multiple Ascending Dose Administration to Healthy Volunteers</t>
  </si>
  <si>
    <t>NCT04844749</t>
  </si>
  <si>
    <t>Efficacy Evaluation of VERU-111 for mCRPC in Patients Who Have Failed at Least One Androgen Receptor Targeting Agent</t>
  </si>
  <si>
    <t>NCT04883138</t>
  </si>
  <si>
    <t>Recombinant Hyperimmune Polyclonal Antibody (GIGA-2050) in COVID-19 Patients</t>
  </si>
  <si>
    <t>GigaGen, Inc.</t>
  </si>
  <si>
    <t>NCT05061706</t>
  </si>
  <si>
    <t>Multicenter Study of Lumateperone as Adjunctive Therapy in the Treatment of Patients With Major Depressive Disorder</t>
  </si>
  <si>
    <t>NCT05104515</t>
  </si>
  <si>
    <t>First-in-human Study of OVM-200 as a Therapeutic Cancer Vaccine</t>
  </si>
  <si>
    <t>Oxford Vacmedix UK Ltd.</t>
  </si>
  <si>
    <t>NCT04854499</t>
  </si>
  <si>
    <t>Study of Magrolimab Combination Therapy in Patients With Head and Neck Squamous Cell Carcinoma</t>
  </si>
  <si>
    <t>NCT04863638</t>
  </si>
  <si>
    <t>A Immuno-bridging and Immunization Schedules Study of COVID-19 Vaccine (Vero Cell), Inactivated</t>
  </si>
  <si>
    <t>NCT04951635</t>
  </si>
  <si>
    <t>A Phase III Study to Assess the Effects of Almonertinib Following Chemoradiation in Patients With Stage III Unresectable Non-small Cell Lung Cancer</t>
  </si>
  <si>
    <t>NCT05255458</t>
  </si>
  <si>
    <t>A Study to Evaluate the Long-term Efficacy and Safety of AK102 in Patients With Hyperlipidemia</t>
  </si>
  <si>
    <t>NCT04835714</t>
  </si>
  <si>
    <t>A Study to Find a Safe and Effective Dose of BI 1701963 Alone and in Combination With BI 3011441 in Patients With Advanced Cancer and a Certain Mutation (Kirsten Rat Sarcoma Viral Oncogene Homologue [KRAS])</t>
  </si>
  <si>
    <t>NCT04903821</t>
  </si>
  <si>
    <t>A Study to Learn How Different Levels of Decreased Liver Function Influence Blood Levels of Elinzanetant Compared to Normal Liver Function in Male and Female Participants</t>
  </si>
  <si>
    <t>NCT05410535</t>
  </si>
  <si>
    <t>To Evaluate Efficacy of Ursodeoxycholic Acid (UDCA) for the Prevention of Gallstone Formation After Gasterectomy</t>
  </si>
  <si>
    <t>NCT06194214</t>
  </si>
  <si>
    <t>A Drug Drug Interaction (DDI) Study of Pirtobrutinib (LOXO-305) and Digoxin (P-Glycoprotein Substrate) in Healthy Participants</t>
  </si>
  <si>
    <t>NCT05212116</t>
  </si>
  <si>
    <t>A Study of SDI-118 in Participants in Remission From Depression</t>
  </si>
  <si>
    <t>NCT04859244</t>
  </si>
  <si>
    <t>First-in-Human Study of Orally Administered GS-441524 for COVID-19</t>
  </si>
  <si>
    <t>Copycat Sciences LLC</t>
  </si>
  <si>
    <t>NCT04975399</t>
  </si>
  <si>
    <t>Study to Evaluate the Safety and Tolerability of CC-92328 in Participants With Relapsed and/or Refractory Multiple Myeloma</t>
  </si>
  <si>
    <t>NCT04749914</t>
  </si>
  <si>
    <t>A Study of Lasmiditan in Healthy Volunteers</t>
  </si>
  <si>
    <t>NCT05068206</t>
  </si>
  <si>
    <t>A Clinical Study to Compare the Efficacy and Safety of AK105 Plus Anlotinib and Capecitabine/Oxaliplatin (CapeOx) , Anlotinib Plus CapeOx, Bevacizumab Plus CapeOx</t>
  </si>
  <si>
    <t>NCT04642365</t>
  </si>
  <si>
    <t>A Study to Evaluate the Safety and Tolerability of RO7296682 in Combination With Atezolizumab in Participants With Advanced Solid Tumors.</t>
  </si>
  <si>
    <t>NCT05231044</t>
  </si>
  <si>
    <t>A Multi-Center Study to Evaluate the Efficacy and Safety of KX01 Ointment 1% on Actinic Keratosis on Face or Scalp</t>
  </si>
  <si>
    <t>NCT04759664</t>
  </si>
  <si>
    <t>LUT014 for the Reduction of Dose-Limiting Acneiform Lesions Associated With EGFRI Treatment of mCRC</t>
  </si>
  <si>
    <t>Lutris Pharma Ltd.</t>
  </si>
  <si>
    <t>NCT05236998</t>
  </si>
  <si>
    <t>A Pharmacokinetic Study of SID1903 (FDC of Dapagliflozin and Sitagliptin) in Healthy Adult Volunteers</t>
  </si>
  <si>
    <t>NCT04950114</t>
  </si>
  <si>
    <t>An Open-Label, Long-term Study of GFB-887 in Patients With Glomerular Kidney Diseases</t>
  </si>
  <si>
    <t>NCT04878016</t>
  </si>
  <si>
    <t>A Study of Carboplatin Plus Etoposide With or Without ZKAB001 (Anti-PD-L1 Antibody) in Patients With ES-SCLC</t>
  </si>
  <si>
    <t>NCT05050006</t>
  </si>
  <si>
    <t>ITIL-168 in Advanced Melanoma</t>
  </si>
  <si>
    <t>Instil Bio</t>
  </si>
  <si>
    <t>NCT04985136</t>
  </si>
  <si>
    <t>A Study of Camrelizumab Combined With Rivoceranib Mesylate Versus Investigator's Choice of Regimen in Treatment of Patients With Advanced Hepatocellular Carcinoma (HCC)</t>
  </si>
  <si>
    <t>NCT05039944</t>
  </si>
  <si>
    <t>SI-B001 as a Single Agent or in Combination With Chemotherapy in the Treatment of Digestive System Malignancies</t>
  </si>
  <si>
    <t>NCT04960709</t>
  </si>
  <si>
    <t>Treatment Combination of Durvalumab, Tremelimumab and Enfortumab Vedotin or Durvalumab and Enfortumab Vedotin in Patients With Muscle Invasive Bladder Cancer Ineligible to Cisplatin or Who Refuse Cisplatin</t>
  </si>
  <si>
    <t>NCT05188209</t>
  </si>
  <si>
    <t>A Study to Evaluate the Efficacy and Safety of MRG003 in Patients With Advanced Gastric Cancer.</t>
  </si>
  <si>
    <t>NCT04871282</t>
  </si>
  <si>
    <t>A Study of AL102 in Patients With Progressing Desmoid Tumors</t>
  </si>
  <si>
    <t>Immunome, Inc.</t>
  </si>
  <si>
    <t>NCT04742959</t>
  </si>
  <si>
    <t>Study of TT-00420 (Tinengotinib) Tablet as Monotherapy and Combination Therapy in Patients With Advanced Solid Tumors</t>
  </si>
  <si>
    <t>NCT05047445</t>
  </si>
  <si>
    <t>A First Time in Human Phase 1 Open-Label Study of the COVIDITY Vaccine Administered by Needle-free Injection</t>
  </si>
  <si>
    <t>Scancell Ltd</t>
  </si>
  <si>
    <t>NCT04658472</t>
  </si>
  <si>
    <t>Proof-of-concept Study for SAR445088 in Chronic Inflammatory Demyelinating Polyneuropathy (CIDP)</t>
  </si>
  <si>
    <t>NCT05059301</t>
  </si>
  <si>
    <t>A Study of 3 Lots of an Investigational Vaccine Against Respiratory Syncytial Virus (RSV) in Adults Aged 60 Years and Above</t>
  </si>
  <si>
    <t>NCT05021536</t>
  </si>
  <si>
    <t>Phase III Trial of AMX0035 for Amyotrophic Lateral Sclerosis Treatment</t>
  </si>
  <si>
    <t>NCT04898634</t>
  </si>
  <si>
    <t>A Study of JNJ-78278343, a T-Cell-Redirecting Agent Targeting Human Kallikrein 2 (KLK2), for Advanced Prostate Cancer</t>
  </si>
  <si>
    <t>NCT05109598</t>
  </si>
  <si>
    <t>Clinical Trial of Immunogenicity Bridging of a Recombinant New Coronavirus（COVID-19） Vaccine (CHO Cell)</t>
  </si>
  <si>
    <t>NCT04945421</t>
  </si>
  <si>
    <t>IBI310 in Combination With Siltilimab in Subjects With Anti-PD-1/PD-L1 Resistance R/M NPC</t>
  </si>
  <si>
    <t>NCT05102136</t>
  </si>
  <si>
    <t>Study to Evaluate the Safety, Tolerability, Pharmacokinetics, and Pharmacodynamics of REGN9933 in Adult Healthy Volunteers</t>
  </si>
  <si>
    <t>NCT04847739</t>
  </si>
  <si>
    <t>Seeded Cells on Matrix Plug Treating Crohn's Perianal Fistulas (STOMP-II)</t>
  </si>
  <si>
    <t>Avobis Bio, LLC</t>
  </si>
  <si>
    <t>NCT05030428</t>
  </si>
  <si>
    <t>Study of Inclisiran to Prevent Cardiovascular (CV) Events in Participants With Established Cardiovascular Disease</t>
  </si>
  <si>
    <t>NCT04779307</t>
  </si>
  <si>
    <t>A Study of Vedolizumab in Children and Teenagers With Moderate to Severe Ulcerative Colitis (UC)</t>
  </si>
  <si>
    <t>NCT05013099</t>
  </si>
  <si>
    <t>Study of Zirconium Zr 89 Crefmirlimab Berdoxam PET/CT in Subjects With Advanced or Metastatic Malignancies</t>
  </si>
  <si>
    <t>ImaginAb, Inc.</t>
  </si>
  <si>
    <t>NCT05324163</t>
  </si>
  <si>
    <t>Evaluate Efficacy and Safety of X0002 in Treatment of Knee Osteoarthritis</t>
  </si>
  <si>
    <t>Jiangsu XinChen-Techfields Pharma Co., LTD.</t>
  </si>
  <si>
    <t>NCT04963439</t>
  </si>
  <si>
    <t>A Study of Two Macitentan Pediatric Formulations in Healthy Adult Participants</t>
  </si>
  <si>
    <t>NCT05045781</t>
  </si>
  <si>
    <t>Safety, Tolerability and Pharmacokinetics of Eptinezumab in Healthy Chinese Subjects</t>
  </si>
  <si>
    <t>NCT04773067</t>
  </si>
  <si>
    <t>A Study to Evaluate UB-612 COVID-19 Vaccine in Adolescent, Younger and Elderly Adult Volunteers</t>
  </si>
  <si>
    <t>NCT04868877</t>
  </si>
  <si>
    <t>Phase 1/2 Study Evaluating MCLA-129, a Human Anti-EGFR, Anti-c-MET Bispecific Antibody, in Advanced NSCLC and Other Solid Tumors, Alone and in Combination</t>
  </si>
  <si>
    <t>Merus B.V.</t>
  </si>
  <si>
    <t>NCT07456800</t>
  </si>
  <si>
    <t>PK of Deupirfenidone Versus Pirfenidone in Older Healthy Subjects</t>
  </si>
  <si>
    <t>NCT05863832</t>
  </si>
  <si>
    <t>Study to Assess the Safety &amp; Efficacy of Oral Ciprodiazole Versus Currently Used Ciprofloxacin &amp; Metronidazole</t>
  </si>
  <si>
    <t>MinaPharm Pharmaceuticals</t>
  </si>
  <si>
    <t>NCT04898387</t>
  </si>
  <si>
    <t>Efficacy and Safety Assessment of T4030 Eye Drops Versus Ganfort® UD in Ocular Hypertensive or Glaucomatous Patients.</t>
  </si>
  <si>
    <t>NCT04660799</t>
  </si>
  <si>
    <t>A Study on Pharmacokinetics (PK), Efficacy and Safety of Subcutaneous (SC) Versus Intravenous (IV) Rituximab, in Combination With CHOP (Cyclophosphamide, Doxorubicin, Vincristine, Prednisone) in Previously Untreated Participants With CD20 Positive Diffuse Large B-Cell Lymphoma (DLBCL)</t>
  </si>
  <si>
    <t>NCT04897126</t>
  </si>
  <si>
    <t>Efficacy and Safety of Shexiang Baoxin Pill in Patients With Ischemia With Non-Obstructive Coronary Artery</t>
  </si>
  <si>
    <t>Shanghai Hutchison Pharmaceuticals Limited</t>
  </si>
  <si>
    <t>NCT05506540</t>
  </si>
  <si>
    <t>A First-in-human Single Ascending Dose/Multiple Ascending Dose Study of ENN0403 in Healthy Subjects</t>
  </si>
  <si>
    <t>EnnovaBio</t>
  </si>
  <si>
    <t>NCT04571216</t>
  </si>
  <si>
    <t>Study Assessing Efficacy and Safety of NFL-101 as a Tobacco Cessation Therapy</t>
  </si>
  <si>
    <t>NFL Biosciences SAS</t>
  </si>
  <si>
    <t>NCT04527991</t>
  </si>
  <si>
    <t>Study of Sacituzumab Govitecan Versus Physician's Choice of Treatment in Participants With Urothelial Cancer That Cannot Be Removed or Has Spread</t>
  </si>
  <si>
    <t>NCT04931147</t>
  </si>
  <si>
    <t>A 3-part Study to Evaluate Safety, Tolerability, Food Effect and Drug-drug Interactions of RXC007 in Healthy Volunteers</t>
  </si>
  <si>
    <t>NCT05108038</t>
  </si>
  <si>
    <t>A Study to Evaluate the PK, PD and Safety of CKD-382 in Healthy Subjects</t>
  </si>
  <si>
    <t>NCT06109415</t>
  </si>
  <si>
    <t>A Multi-surgery Assessment of ZYNRELEF (HTX-011), AMAZE.</t>
  </si>
  <si>
    <t>NCT04980690</t>
  </si>
  <si>
    <t>Clinical Trial of IBC0966 in Patients With Advanced Malignant Tumors</t>
  </si>
  <si>
    <t>SUNHO（China）BioPharmaceutical CO., Ltd.</t>
  </si>
  <si>
    <t>NCT05101135</t>
  </si>
  <si>
    <t>To Evaluate the Efficacy and Safety of JT-001 add-on in Paatients With Type 2 Diabetes Mellitus Inadequately Controlled With Metformin and Dapagliflozin</t>
  </si>
  <si>
    <t>NCT05041790</t>
  </si>
  <si>
    <t>A Clinical Trial to Evaluate the Efficacy and Safety of Choline Alfoscerate Compared to Placebo in Patients With Degenerative Mild Cognitive Impairment</t>
  </si>
  <si>
    <t>NCT04781387</t>
  </si>
  <si>
    <t>Evaluation of CRS3123 vs. Oral Vancomycin in Adult Patients With Clostridioides Difficile Infection</t>
  </si>
  <si>
    <t>Crestone, Inc</t>
  </si>
  <si>
    <t>NCT04812548</t>
  </si>
  <si>
    <t>A Study of Sabatolimab in Combination With Azacitidine and Venetoclax in High or Very High Risk MDS Participants</t>
  </si>
  <si>
    <t>NCT04809376</t>
  </si>
  <si>
    <t>Treatment Effects of Subcutaneous Injections of Pentosan Polysulfate Sodium vs Placebo in Participants With Knee OA Pain</t>
  </si>
  <si>
    <t>Paradigm Biopharmaceuticals USA (INC)</t>
  </si>
  <si>
    <t>NCT04855240</t>
  </si>
  <si>
    <t>Evaluate the Efficacy and Safety of ACP-044 for the Treatment of Acute Postoperative Pain Following Bunionectomy</t>
  </si>
  <si>
    <t>NCT04260217</t>
  </si>
  <si>
    <t>APG-2575 Single Agent or in Combination With Ibrutinib or Rituximab in Patients With Waldenström Macroglobulinemia</t>
  </si>
  <si>
    <t>NCT04661917</t>
  </si>
  <si>
    <t>A Trial to Learn More About How BAY2327949 Works and How Safe it is in Patients Whose Kidneys Are Damaged Due to High Blood Sugar Levels or High Blood Pressures, and With a Further Disease of the Heart or the Blood Vessels.</t>
  </si>
  <si>
    <t>NCT04892706</t>
  </si>
  <si>
    <t>Study to Compare the Safety and Efficacy of IDP-126 Gel to Epiduo® Forte Gel and Vehicle Gel</t>
  </si>
  <si>
    <t>NCT04819776</t>
  </si>
  <si>
    <t>Evaluation of Efficacy and Safety of Iloperidone in the Acute Treatment of Manic or Mixed Episodes Associated With Bipolar I Disorder</t>
  </si>
  <si>
    <t>NCT04974008</t>
  </si>
  <si>
    <t>Osteosarcoma Maintenance Therapy With OST31-164</t>
  </si>
  <si>
    <t>Emerald Clinical Inc.</t>
  </si>
  <si>
    <t>NCT04825223</t>
  </si>
  <si>
    <t>Study of a Novel Multicomponent Meningococcal Group B Vaccine When Given Alone or With Other Licensed Vaccines in Adults, Adolescents, Toddlers and Infants</t>
  </si>
  <si>
    <t>NCT05123079</t>
  </si>
  <si>
    <t>Relative Bioavailability and Food Effect Following Single Oral Dose of Darigabat Tablet Formulations in Healthy Participants</t>
  </si>
  <si>
    <t>NCT04740970</t>
  </si>
  <si>
    <t>A Study of JNJ-64304500 in Participants With Alopecia Areata</t>
  </si>
  <si>
    <t>NCT04915950</t>
  </si>
  <si>
    <t>A Study to Assess the Effect of Oral Temanogrel on Digital Blood Flow in Adult Participants With Raynaud's Phenomenon Secondary to Systemic Sclerosis</t>
  </si>
  <si>
    <t>NCT04956042</t>
  </si>
  <si>
    <t>Study of Fosciclopirox in Patients With Relapsed/Refractory Acute Myeloid Leukemia</t>
  </si>
  <si>
    <t>NCT05050942</t>
  </si>
  <si>
    <t>A Trial to Assess Efficacy and Safety of Octreotide Subcutaneous Depot in Patients With GEP-NET</t>
  </si>
  <si>
    <t>Camurus AB</t>
  </si>
  <si>
    <t>NCT04674813</t>
  </si>
  <si>
    <t>A Study of CC-95266 in Participants With Relapsed and/or Refractory Multiple Myeloma</t>
  </si>
  <si>
    <t>NCT05140824</t>
  </si>
  <si>
    <t>A Study to Evaluate the Safety, Tolerability, and PK Profile of Single and Multiple Doses TJ202 in Patient With Systemic Lupus Erythematosus</t>
  </si>
  <si>
    <t>NCT04971980</t>
  </si>
  <si>
    <t>Safety and Efficacy Study of Human Umbilical Cord-Derived Mesenchymal Stem Cells(BC-U001) for Rheumatoid Arthritis</t>
  </si>
  <si>
    <t>Beijing Baylx Biotech Co., Ltd.</t>
  </si>
  <si>
    <t>NCT04562090</t>
  </si>
  <si>
    <t>A Study With Mirabegron 50 mg and 25 mg in Chinese Participants With Overactive Bladder</t>
  </si>
  <si>
    <t>NCT05015686</t>
  </si>
  <si>
    <t>Safety and Immunogenicity of Live Attenuated Varicella Vaccine in Healthy Population Aged ≥13 Years Old</t>
  </si>
  <si>
    <t>NCT04938752</t>
  </si>
  <si>
    <t>Pharmacokinetics and Safety/Tolerability Profiles of DA-2811 in Healthy Subjects (DA-2811)</t>
  </si>
  <si>
    <t>NCT04682106</t>
  </si>
  <si>
    <t>A Study of LY3493269 in Healthy Participants</t>
  </si>
  <si>
    <t>NCT05112952</t>
  </si>
  <si>
    <t>A Study to Evaluate the Effect of Hepatic Impairment on Lazertinib (JNJ-73841937)</t>
  </si>
  <si>
    <t>NCT05002244</t>
  </si>
  <si>
    <t>A Drug-Drug Interaction Study of CTL0801 and CTL0802 Compared to Coadministration in Healthy Adult Volunteers</t>
  </si>
  <si>
    <t>NCT04735432</t>
  </si>
  <si>
    <t>Evaluating the Pharmacodynamic Noninferiority of Efgartigimod PH20 SC Administered Subcutaneously as Compared to Efgartigimod Administered Intravenously in Patients With Generalized Myasthenia Gravis</t>
  </si>
  <si>
    <t>NCT04884009</t>
  </si>
  <si>
    <t>A Trial of SHR-1701 in Combination With and Without Famitinib Malate in Patients With Extensive Stage Small Cell Lung Cancer</t>
  </si>
  <si>
    <t>NCT05043298</t>
  </si>
  <si>
    <t>A Phase Ia/Ib Clinical Trial of IBI360 Monotherapy or in Combination With Sintilimab and (or) Chemotherapy in Advanced or Metastatic Solid Tumors</t>
  </si>
  <si>
    <t>NCT04492436</t>
  </si>
  <si>
    <t>A Trial Measuring ART-123 Ability to Prevent Sensory Neuropathy in Unresectable mCRC Subjects w/Oxaliplatin-based Chemo</t>
  </si>
  <si>
    <t>Veloxis Pharmaceuticals</t>
  </si>
  <si>
    <t>NCT05336721</t>
  </si>
  <si>
    <t>A Phase II Study of Chiauranib in Combine With Capecitabine in TNBC</t>
  </si>
  <si>
    <t>NCT04819438</t>
  </si>
  <si>
    <t>Riluzole Orodispersible Film Replicate Bioavailability</t>
  </si>
  <si>
    <t>Cross Research S.A.</t>
  </si>
  <si>
    <t>NCT04821063</t>
  </si>
  <si>
    <t>Placebo-Corrected Effects of Therapeutic Dose (100 mg) and Supratherapeutic Dose (300 mg) of ITF2357 (Givinostat) and Moxifloxacin on QT/QTC Interval</t>
  </si>
  <si>
    <t>Italfarmaco</t>
  </si>
  <si>
    <t>NCT04927793</t>
  </si>
  <si>
    <t>Absorption, Metabolism, and Excretion (AME) Study of [14C]EDP-938 in Healthy Male Subjects</t>
  </si>
  <si>
    <t>NCT05168904</t>
  </si>
  <si>
    <t>A Study to Investigate Fadraciclib (CYC065), in Subjects With Leukemia or Myelodysplastic Syndrome (MDS)</t>
  </si>
  <si>
    <t>NCT05106907</t>
  </si>
  <si>
    <t>Safety and Clinical Activity of ThisCART19 in Patients With r/r Non-Hodgkin's B Cell Lymphoma</t>
  </si>
  <si>
    <t>NCT07392736</t>
  </si>
  <si>
    <t>A Phase I/IIa Study of AL8326 Combined With Toripalimab in the Treatment of Advanced Solid Tumors.</t>
  </si>
  <si>
    <t>Advenchen Laboratories, LLC</t>
  </si>
  <si>
    <t>NCT04787211</t>
  </si>
  <si>
    <t>A Study of Human Monoclonal Antibodies, BRII-196 and BRII-198</t>
  </si>
  <si>
    <t>NCT05115292</t>
  </si>
  <si>
    <t>A First-in-Human, Phase 1 Dose-Escalation and Cohort Expansion Study to Evaluate the Safety, Tolerability, and Pharmacokinetics of BJ-005 in Patients With Advanced Solid Tumor or Lymphoma</t>
  </si>
  <si>
    <t>BJ Bioscience, Inc.</t>
  </si>
  <si>
    <t>NCT04752644</t>
  </si>
  <si>
    <t>Phase 2a Study of MVA-BN-RSV Vaccination and RSV Challenge in Healthy Adults</t>
  </si>
  <si>
    <t>NCT04893798</t>
  </si>
  <si>
    <t>A Study Comparing Subcutaneous Injection of Sayana Press In the Upper Arm Versus Anterior Thigh and Abdomen</t>
  </si>
  <si>
    <t>NCT05046847</t>
  </si>
  <si>
    <t>A Clinical Study to Evaluate the Tolerability and Pharmacokinetics of TQB3811 Tablets in Patients With Advanced Malignant Tumors</t>
  </si>
  <si>
    <t>NCT05099549</t>
  </si>
  <si>
    <t>Safety, Tolerability, and Anti-Tumor Activity of AFM24 in Combination With SNK01 in Subjects With Advanced/Metastatic EGFR-Expressing Cancers</t>
  </si>
  <si>
    <t>NCT05053139</t>
  </si>
  <si>
    <t>A Research Study Investigating Mim8 in Adults and Adolescents With Haemophilia A With or Without Inhibitors</t>
  </si>
  <si>
    <t>NCT05102292</t>
  </si>
  <si>
    <t>The Efficacy and Safety of HLX208 in Advanced Anaplastic Thyroid Cancer (ATC) With BRAF V600 Mutation</t>
  </si>
  <si>
    <t>NCT04775745</t>
  </si>
  <si>
    <t>Study of Oral Administration of LP-168 in Patients With Relapsed or Refractory B-cell Malignancies.</t>
  </si>
  <si>
    <t>NCT05099445</t>
  </si>
  <si>
    <t>Study to Evaluate the Pharmacokinetics, Safety, and Pharmacodynamics of INCB000928 in Participants With Impaired Renal Function and Hemodialysis</t>
  </si>
  <si>
    <t>NCT06246695</t>
  </si>
  <si>
    <t>A Study to Evaluate the Effect of Itraconazole and Rifampicin on the Pharmacokinetics of Jaktinib in Healthy Volunteers</t>
  </si>
  <si>
    <t>NCT04926701</t>
  </si>
  <si>
    <t>A First in Human Study to Evaluate the Safety, Tolerability and Pharmacokinetics of Single and Multiple Ascending Doses of Inhaled ETD001 in Healthy Subjects</t>
  </si>
  <si>
    <t>NCT04932265</t>
  </si>
  <si>
    <t>Effect of Gamma-cyclodextrin on the Bioavailability of Ginsenosides</t>
  </si>
  <si>
    <t>EuroPharma, Inc.</t>
  </si>
  <si>
    <t>NCT04899518</t>
  </si>
  <si>
    <t>ALY688 Ophthalmic Solution in Subjects With Dry Eye Disease</t>
  </si>
  <si>
    <t>Allysta Pharmaceutical</t>
  </si>
  <si>
    <t>NCT05144997</t>
  </si>
  <si>
    <t>Lorlatinib Continuation Study</t>
  </si>
  <si>
    <t>NCT04734197</t>
  </si>
  <si>
    <t>A Research Study To See How Well an Eye Drop, SURF-100 (A Mycophenolic Acid/Betamethasone Sodium Phosphate Combination), Works and What Side Effects There Are in Subjects With Dry Eye Disease</t>
  </si>
  <si>
    <t>NCT05003479</t>
  </si>
  <si>
    <t>Clinical Trial of SARS-CoV-2 Vaccine (Vero Cells), Inactivated in Healthy Population Aged 3 to 17 Years(COVID-19)</t>
  </si>
  <si>
    <t>NCT04037241</t>
  </si>
  <si>
    <t>Study of Anti-CEA CAR-T + Chemotherapy VS Chemotherapy Alone in Patients With CEA+Pancreatic Cancer &amp; Liver Metastases</t>
  </si>
  <si>
    <t>NCT04643483</t>
  </si>
  <si>
    <t>A Study to Test Efficacy, Safety, and Pharmacokinetics of Certolizumab Pegol in Children and Adolescents With Moderately to Severely Active Crohn's Disease</t>
  </si>
  <si>
    <t>NCT04778397</t>
  </si>
  <si>
    <t>Study of Magrolimab in Combination With Azacitidine Versus Physician's Choice of Venetoclax in Combination With Azacitidine or Intensive Chemotherapy in Patients With TP53 Mutant Acute Myeloid Leukemia That Have Not Been Treated</t>
  </si>
  <si>
    <t>NCT05101096</t>
  </si>
  <si>
    <t>Study of Sacituzumab Govitecan (SG) in Japanese Participants With Advanced Solid Tumors</t>
  </si>
  <si>
    <t>NCT05115942</t>
  </si>
  <si>
    <t>Hydronidone for the Treatment of Liver Fibrosis Associated with Chronic Viral Hepatitis B Phase 3 Trial.</t>
  </si>
  <si>
    <t>Beijing Continent Pharmaceutical Co, Ltd.</t>
  </si>
  <si>
    <t>NCT05117242</t>
  </si>
  <si>
    <t>Safety and Efficacy Study of GEN1046 as a Single Agent or in Combination With Pembrolizumab for Treatment of Recurrent (Non-small Cell) Lung Cancer</t>
  </si>
  <si>
    <t>NCT05065983</t>
  </si>
  <si>
    <t>A Study to Assess the Safety and Immunogenicity of PXVX0317 Chikungunya Virus Virus-Like Particle Vaccine</t>
  </si>
  <si>
    <t>NCT04502394</t>
  </si>
  <si>
    <t>Safety and Efficacy of KRT-232 in Combination With Acalabrutinib in Subjects With R/R DLBCL or R/R CLL</t>
  </si>
  <si>
    <t>NCT04990323</t>
  </si>
  <si>
    <t>US Study of ECT-001-CB in Pediatric and Young Adult Patients With High-Risk Myeloid Malignancies</t>
  </si>
  <si>
    <t>NCT04649359</t>
  </si>
  <si>
    <t>MagnetisMM-3: Study Of Elranatamab (PF-06863135) Monotherapy in Participants With Multiple Myeloma Who Are Refractory to at Least One PI, One IMiD and One Anti-CD38 mAb</t>
  </si>
  <si>
    <t>NCT04987242</t>
  </si>
  <si>
    <t>An Inpatient Study of ALLN-346 (Engineered Urate Oxidase) in Hyperuricemic Subjects (Study 201)</t>
  </si>
  <si>
    <t>NCT04729205</t>
  </si>
  <si>
    <t>Assessment of Safety and Therapeutic Efficacy of Promitil in Combination With Folfox in Patients With GI Malignancies</t>
  </si>
  <si>
    <t>Lipomedix Pharmaceuticals Inc.</t>
  </si>
  <si>
    <t>NCT04768296</t>
  </si>
  <si>
    <t>Berzosertib + Topotecan in Relapsed Platinum-Resistant Small-Cell Lung Cancer (DDRiver SCLC 250)</t>
  </si>
  <si>
    <t>NCT05201170</t>
  </si>
  <si>
    <t>A Phase 3, Multi-Center Study Evaluating PL9643 in Patients with Dry Eye</t>
  </si>
  <si>
    <t>NCT04994483</t>
  </si>
  <si>
    <t>Simufilam 100 mg for Mild-to-Moderate Alzheimer's Disease</t>
  </si>
  <si>
    <t>NCT05089266</t>
  </si>
  <si>
    <t>Study of αPD1-MSLN-CAR T Cells to Evaluate the Safety, Tolerability, and Effectiveness for Patients With MSLN-positive Advanced Solid Tumors</t>
  </si>
  <si>
    <t>NCT04628988</t>
  </si>
  <si>
    <t>A Study of CC-90011 and Comparators in Participants With Prostate Cancer</t>
  </si>
  <si>
    <t>NCT04934696</t>
  </si>
  <si>
    <t>A Study to Characterize the Drug Levels of an Oral Contraceptive With and Without BMS-986166 in Healthy Female Participants of Childbearing Potential</t>
  </si>
  <si>
    <t>NCT05245968</t>
  </si>
  <si>
    <t>A Study of Pimitespib in Combination With Imatinib in Patients With GIST (CHAPTER-GIST-101)</t>
  </si>
  <si>
    <t>NCT04877990</t>
  </si>
  <si>
    <t>A Study to Evaluate the Long-term Safety and Efficacy of Deucravacitinib in Participants With Crohn's Disease or Ulcerative Colitis</t>
  </si>
  <si>
    <t>NCT05065359</t>
  </si>
  <si>
    <t>Multiple-Ascending Dose in Japanese Patients Bridging Study</t>
  </si>
  <si>
    <t>NCT05091346</t>
  </si>
  <si>
    <t>A Study of E7386 in Combination With Pembrolizumab in Previously Treated Participants With Selected Solid Tumors</t>
  </si>
  <si>
    <t>NCT04733040</t>
  </si>
  <si>
    <t>Efficacy, Safety and PK/PD of MOR202 in Anti-PLA2R+ Membranous Nephropathy (aMN) (NewPLACE)</t>
  </si>
  <si>
    <t>HI-Bio, A Biogen Company</t>
  </si>
  <si>
    <t>NCT04905979</t>
  </si>
  <si>
    <t>Trial of AD113 and Atomoxetine in OSA Patients With Hypertension</t>
  </si>
  <si>
    <t>NCT05083468</t>
  </si>
  <si>
    <t>The Safety, Tolerability, and Pharmacokinetics (PK) of SR750 in Healthy Volunteers</t>
  </si>
  <si>
    <t>NCT05039190</t>
  </si>
  <si>
    <t>Evaluate the Efficacy and Safety of HBM9161(HL161)Subcutaneous Injection in Patients With Generalized MG Patients</t>
  </si>
  <si>
    <t>NCT04982991</t>
  </si>
  <si>
    <t>Single Ascending Dose Study of SAR443820 in Healthy Adult Chinese and Japanese Female and Male Participants</t>
  </si>
  <si>
    <t>NCT04683848</t>
  </si>
  <si>
    <t>Study to Assess the Efficacy and Safety of MT-3921 in Subjects With Acute Traumatic Cervical Spinal Cord Injury</t>
  </si>
  <si>
    <t>NCT04834778</t>
  </si>
  <si>
    <t>A Study of HC-5404-FU to Establish the Maximum Tolerated Dose (MTD)</t>
  </si>
  <si>
    <t>NCT05328115</t>
  </si>
  <si>
    <t>A Study on the Safety, Tolerability and Immunogenicity of ALZ-101 in Participants With Early Alzheimer's Disease</t>
  </si>
  <si>
    <t>Alzinova AB</t>
  </si>
  <si>
    <t>NCT05092815</t>
  </si>
  <si>
    <t>The Efficacy and Safety of HLX208 in Adult Langerhans Cell Histiocytosis (LCH) and Erdheim-Chester Disease (ECD) With BRAF V600E Mutation</t>
  </si>
  <si>
    <t>NCT04975308</t>
  </si>
  <si>
    <t>A Study of Imlunestrant, Investigator's Choice of Endocrine Therapy, and Imlunestrant Plus Abemaciclib in Participants With ER+, HER2- Advanced Breast Cancer</t>
  </si>
  <si>
    <t>NCT04877717</t>
  </si>
  <si>
    <t>A Study of SHR-A1904 in Patients With Advanced Solid Cancer</t>
  </si>
  <si>
    <t>Shanghai Hengrui Pharmaceutical Co., Ltd.</t>
  </si>
  <si>
    <t>NCT05170568</t>
  </si>
  <si>
    <t>PA3-17 Injection Treatment of Adult Patients With CD7-positive Relapsed/Refractory Lymphoid Hematologic Malignancies</t>
  </si>
  <si>
    <t>NCT04826159</t>
  </si>
  <si>
    <t>IMPROVE-DiCE: Study to Evaluate Effect of IMB-1018972 on Cardiac Energetics in T2DM &amp; Obesity (Pt 1) With HFpEF (Pt 2)</t>
  </si>
  <si>
    <t>NCT04739059</t>
  </si>
  <si>
    <t>Long-term Safety and Efficacy of CSL312 (Garadacimab) in the Prophylactic Treatment of Hereditary Angioedema Attacks</t>
  </si>
  <si>
    <t>NCT04682808</t>
  </si>
  <si>
    <t>A Study of FCN-338 in Patients With Chronic CLL/SLL</t>
  </si>
  <si>
    <t>NCT04541589</t>
  </si>
  <si>
    <t>Study of Safety and Tolerability of CFZ533 in Patients With Sjögren's Syndrome</t>
  </si>
  <si>
    <t>NCT05029518</t>
  </si>
  <si>
    <t>3-Way Crossover Study to Compare the PK (Pharmokinetics) and to Evaluate the Effect of Food on the Bioavailability</t>
  </si>
  <si>
    <t>NCT05165290</t>
  </si>
  <si>
    <t>Prospective, Double-masked, Randomized, Multi-center, Active-controlled, Parallel-group, 3-month Study Assessing the Safety &amp; Ocular Hypotensive Efficacy of TC-002 Ophthalmic Solution Compared to Latanoprost Ophthalmic Solution 0.005% in Subjects With Elevated Intraocular Pressure</t>
  </si>
  <si>
    <t>TearClear Corp</t>
  </si>
  <si>
    <t>NCT05091307</t>
  </si>
  <si>
    <t>A Study of Ad26.COV2.S and Influenza Vaccines in Healthy Adults</t>
  </si>
  <si>
    <t>NCT05257148</t>
  </si>
  <si>
    <t>Effectiveness and Safety of Combination of Nebivolol and Zofenopril in Hypertensive patIents Versus Each Monotherapy</t>
  </si>
  <si>
    <t>NCT04856774</t>
  </si>
  <si>
    <t>Trial of SHR-1701 Plus BP102 in Subjects With Selected Solid Tumors</t>
  </si>
  <si>
    <t>NCT04790513</t>
  </si>
  <si>
    <t>Trial to Evaluate Efficacy and Safety of LIB003, Evolocumab and Alirocumab in High-risk CVD Patients</t>
  </si>
  <si>
    <t>NCT04859426</t>
  </si>
  <si>
    <t>A Study to Evaluate the Pharmacokinetics and Safety of DBPR108 in Subjects With Hepatic Impairment</t>
  </si>
  <si>
    <t>NCT04705597</t>
  </si>
  <si>
    <t>Study to Evaluate the Safety, Tolerability, and Efficacy of BGE-175 in Hospitalized Adults With Coronavirus Disease 2019 (COVID-19) That Are Not in Respiratory Failure</t>
  </si>
  <si>
    <t>BioAge Labs, Inc.</t>
  </si>
  <si>
    <t>NCT04548791</t>
  </si>
  <si>
    <t>Study of Coagulation Factor VIIa Marzeptacog Alfa (Activated) in Subjects With Inherited Bleeding Disorders</t>
  </si>
  <si>
    <t>NCT04732949</t>
  </si>
  <si>
    <t>Study to Assess Efficacy and Safety of Inhaled Interferon-β Therapy for COVID-19</t>
  </si>
  <si>
    <t>NCT05020925</t>
  </si>
  <si>
    <t>SHR-1701 in Combination With Famitinib in Patients With Recurrent/Metastatic Nasopharyngeal Carcinoma</t>
  </si>
  <si>
    <t>NCT04857320</t>
  </si>
  <si>
    <t>Transdermal Insulin Response In Healthy Volunteers</t>
  </si>
  <si>
    <t>Transdermal Delivery Solutions Corp</t>
  </si>
  <si>
    <t>NCT04673617</t>
  </si>
  <si>
    <t>AB-101 as Monotherapy and With Immunotherapy in Patients With Relapsed/Refractory B-Cell Non-Hodgkin Lymphoma</t>
  </si>
  <si>
    <t>Artiva Biotherapeutics, Inc.</t>
  </si>
  <si>
    <t>NCT04797650</t>
  </si>
  <si>
    <t>Study to Evaluate the Efficacy and Safety of CTP-543 in Adults With Moderate to Severe Alopecia Areata (THRIVE-AA2)</t>
  </si>
  <si>
    <t>NCT04570423</t>
  </si>
  <si>
    <t>A Study to Evaluate the Safety and Pharmacokinetics of Eflapegrastim in Pediatric Participants With Solid Tumors or Lymphomas and Treated With Myelosuppressive Chemotherapy</t>
  </si>
  <si>
    <t>NCT05159908</t>
  </si>
  <si>
    <t>A Study to Investigate How Effective, Safe and Tolerable the Drug NBI-921352 is When Used With Anti-seizure Medications in Adults With Focal Onset Seizures</t>
  </si>
  <si>
    <t>NCT04993391</t>
  </si>
  <si>
    <t>AP-L1898 Capsule in Patients With Non-small Cell Lung Cancer</t>
  </si>
  <si>
    <t>Suzhou Junjing BioSciences Co., Ltd.</t>
  </si>
  <si>
    <t>NCT04900818</t>
  </si>
  <si>
    <t>Study of TJ033721 (Givastomig) in Subjects With Advanced or Metastatic Solid Tumors</t>
  </si>
  <si>
    <t>NCT04860518</t>
  </si>
  <si>
    <t>Human Intravenous Interferon Beta-Ia Safety and Preliminary Efficacy in Hospitalized Subjects With COVID-19</t>
  </si>
  <si>
    <t>NCT04894110</t>
  </si>
  <si>
    <t>Study of Safety and Tolerability of EO2002 in the Treatment of Corneal Edema</t>
  </si>
  <si>
    <t>Emmecell</t>
  </si>
  <si>
    <t>NCT05305300</t>
  </si>
  <si>
    <t>A Phase I Study to Evaluate Safety, Tolerability, and Immunogenicity of a PIKA COVID-19 Vaccine in Healthy Individuals</t>
  </si>
  <si>
    <t>Yisheng Biopharma (Singapore) Pte. Ltd.</t>
  </si>
  <si>
    <t>NCT04855136</t>
  </si>
  <si>
    <t>Safety and Efficacy of bb2121 (Ide-cel) Combinations in Multiple Myeloma</t>
  </si>
  <si>
    <t>NCT05162300</t>
  </si>
  <si>
    <t>Same-Day Combination of VI Peel and Botox for Correction of Sun Damage, Fine Lines and Wrinkles</t>
  </si>
  <si>
    <t>Vitality Institute Medical Products</t>
  </si>
  <si>
    <t>NCT04956900</t>
  </si>
  <si>
    <t>Clinical Trial Enzyme Application Targeting Venous Leg Ulcers</t>
  </si>
  <si>
    <t>SolasCure Limited</t>
  </si>
  <si>
    <t>NCT05123599</t>
  </si>
  <si>
    <t>A Study of JNJ-73763989, JNJ-64300535, and Nucleos(t)Ide Analogs in Virologically Suppressed, Hepatitis B e Antigen (HBeAg)- Negative Participants With Chronic Hepatitis B Virus Infection</t>
  </si>
  <si>
    <t>NCT05138653</t>
  </si>
  <si>
    <t>A Single and Multiple Ascending Dose Trial of CVL-354 in Healthy Participants</t>
  </si>
  <si>
    <t>NCT04687137</t>
  </si>
  <si>
    <t>Expanded Access Program With Lanadelumab for Japanese People With Hereditary Angioedema</t>
  </si>
  <si>
    <t>NCT04783545</t>
  </si>
  <si>
    <t>Phase I Study of VLX-1005 in Healthy Subjects</t>
  </si>
  <si>
    <t>Veralox Therapeutics</t>
  </si>
  <si>
    <t>NCT04893811</t>
  </si>
  <si>
    <t>Trial to Describe the Safety, Tolerability, and Immunogenicity of Trumenba When Administered to Immunocompromised Participants ≥10 Years of Age</t>
  </si>
  <si>
    <t>NCT06391944</t>
  </si>
  <si>
    <t>JMT101 Combined With Osimertinib in Patients With Stage Ⅲb-Ⅳ Non-small Cell Lung Cancer (NSCLC) Characterized by Epithermal Growth Factor Receptor (EGFR) Common Mutations</t>
  </si>
  <si>
    <t>NCT04983264</t>
  </si>
  <si>
    <t>A Study to Evaluate GBT021601-012 Single Dose and Multiple Dose in Participants With Sickle Cell Disease (SCD)</t>
  </si>
  <si>
    <t>NCT04911907</t>
  </si>
  <si>
    <t>Clinical Study of Utidelone Injection in Patients With Advanced or Metastatic Solid Tumors</t>
  </si>
  <si>
    <t>NCT05087212</t>
  </si>
  <si>
    <t>Mobilization of Stem Cells With AMD3100 (Plerixafor) in Combination With G-CSF in Multiple Myeloma Patients</t>
  </si>
  <si>
    <t>NCT05205330</t>
  </si>
  <si>
    <t>Vorbipiprant (CR6086) / Balstilimab (AGEN2034) Combination in Stage IV Refractory pMMR - MSS CRC, and Other Metastatic GI Cancers</t>
  </si>
  <si>
    <t>Rottapharm Biotech</t>
  </si>
  <si>
    <t>NCT04939467</t>
  </si>
  <si>
    <t>Dedicated Drug-Drug Interaction (DDI) Study in Healthy Volunteers</t>
  </si>
  <si>
    <t>NCT04752371</t>
  </si>
  <si>
    <t>A Study to Evaluate Camoteskimab in Participants With Still's Disease</t>
  </si>
  <si>
    <t>Apollo Therapeutics Ltd</t>
  </si>
  <si>
    <t>NCT04830930</t>
  </si>
  <si>
    <t>A Study to Investigate the Effect of Food on the PK, PD of CKD-381 in Healthy Volunteers</t>
  </si>
  <si>
    <t>NCT05137730</t>
  </si>
  <si>
    <t>A Study of Relative Bioavailability of a New Formulation Compared With the Approved Formulation of rhPTH [1-84] and to Find Out Dose Linearity of the New Formulation in Healthy Adults</t>
  </si>
  <si>
    <t>NCT04888507</t>
  </si>
  <si>
    <t>Pozelimab and Cemdisiran Combination Therapy in Adult Participants With Paroxysmal Nocturnal Hemoglobinuria Who Switch From Eculizumab Therapy</t>
  </si>
  <si>
    <t>NCT04652700</t>
  </si>
  <si>
    <t>Oral Islatravir (MK-8591) Once-Monthly as Preexposure Prophylaxis (PrEP) in Men and Transgender Women Who Are at High Risk for HIV-1 Infection (MK-8591-024)</t>
  </si>
  <si>
    <t>NCT05002569</t>
  </si>
  <si>
    <t>A Study to Assess Adjuvant Immunotherapy With Nivolumab Plus Relatlimab Versus Nivolumab Alone After Complete Resection of Stage III-IV Melanoma</t>
  </si>
  <si>
    <t>NCT04716881</t>
  </si>
  <si>
    <t>Pharmacokinetic Study of Vivitrol in Healthy Participants</t>
  </si>
  <si>
    <t>Go Medical Industries Pty Ltd</t>
  </si>
  <si>
    <t>NCT04647253</t>
  </si>
  <si>
    <t>A Clinical Trial to Assess the Agent Paclitaxel Coated PTCA Balloon Catheter for the Treatment of Subjects With In-Stent Restenosis (ISR)</t>
  </si>
  <si>
    <t>NCT05490095</t>
  </si>
  <si>
    <t>Randomized Crossover of SVG101(Dispersible Tab. of Everolimus) and Afinitor 5mg in Healthy Adults</t>
  </si>
  <si>
    <t>Sovargen</t>
  </si>
  <si>
    <t>NCT04711603</t>
  </si>
  <si>
    <t>A Phase III Clinical Study of MR13A9 in Hemodialysis Patients With Pruritus.</t>
  </si>
  <si>
    <t>NCT04919551</t>
  </si>
  <si>
    <t>A Clinical Trial to Evaluate the Effect of Food on PK and PD of Vicagrel Capsules in Healthy Adult Subjects</t>
  </si>
  <si>
    <t>NCT05147051</t>
  </si>
  <si>
    <t>Meglimine Sodium Succinate for Correction of Metabolic Acidosis in Critically Ill Patients</t>
  </si>
  <si>
    <t>NCT04908202</t>
  </si>
  <si>
    <t>A Study to Determine the Efficacy and Safety of Deucravacitinib Compared With Placebo in Participants With Active Psoriatic Arthritis (PsA) Who Are Naïve to Biologic Disease-modifying Anti-rheumatic Drugs</t>
  </si>
  <si>
    <t>NCT04922957</t>
  </si>
  <si>
    <t>A Phase 2b Multi-Center, Randomized, Double-Blind, Placebo-Controlled Study, Evaluating Efficacy and Safety of Allocetra-OTS in Patients With Severe or Critical COVID-19 With Associated Acute Respiratory Distress Syndrome (ARDS)</t>
  </si>
  <si>
    <t>NCT04846881</t>
  </si>
  <si>
    <t>Clinical Trial of Iclepertin Effect on Cognition and Functional Capacity in Schizophrenia (CONNEX-2)</t>
  </si>
  <si>
    <t>NCT04104919</t>
  </si>
  <si>
    <t>Study to Evaluate a Preop Dose of Brivoligide Injection for Pain After Mastectomy in Patients With High PCS Scores</t>
  </si>
  <si>
    <t>Adynxx, Inc.</t>
  </si>
  <si>
    <t>NCT05013229</t>
  </si>
  <si>
    <t>A Research Study to See How Well the New Weekly Medicine IcoSema, Which is a Combination of Insulin Icodec and Semaglutide, Controls Blood Sugar Level in People With Type 2 Diabetes Compared to Insulin Glargine Taken Daily With Insulin Aspart (COMBINE 3)</t>
  </si>
  <si>
    <t>NCT05165966</t>
  </si>
  <si>
    <t>Safety and Immunogenicity Study of Booster Vaccination in Different Doses of COVID-19 Vaccine (Vero Cell),Inactivated for Prevention of COVID-19</t>
  </si>
  <si>
    <t>NCT04970654</t>
  </si>
  <si>
    <t>A Research Study in Chinese Children With a Low Level of Hormone to Grow. Treatment is Somapacitan Once a Week Compared to Norditropin® Once a Day.</t>
  </si>
  <si>
    <t>NCT04772053</t>
  </si>
  <si>
    <t>Molecular Disease Characterization Initiative (MDCI)</t>
  </si>
  <si>
    <t>NCT05628545</t>
  </si>
  <si>
    <t>Adoptive Treatment of Advanced Hepatocellular Carcinoma With Allogeneic γδ-T Cells</t>
  </si>
  <si>
    <t>Guangdong GD Kongming Biotech LLC</t>
  </si>
  <si>
    <t>NCT04350177</t>
  </si>
  <si>
    <t>A Study to Assess Single and Multiple Doses of IkT-148009 in Healthy Elderly Participants and Parkinson's Patients</t>
  </si>
  <si>
    <t>ABLi Therapeutics, Inc.</t>
  </si>
  <si>
    <t>NCT04591275</t>
  </si>
  <si>
    <t>Clinical Efficacy and Safety Comparative Study Between CMAB807 Injection and Prolia® .</t>
  </si>
  <si>
    <t>NCT04909801</t>
  </si>
  <si>
    <t>A Study to Compare the Response to Treatment With Abatacept vs Adalimumab, on Background Methotrexate, in Adults With Early, Seropositive, and Shared Epitope-positive Rheumatoid Arthritis and an Inadequate Response to Methotrexate</t>
  </si>
  <si>
    <t>NCT04839809</t>
  </si>
  <si>
    <t>A Study to Assess Safety, Tolerability, and Pharmacokinetics of CC-92480 Formulations in Healthy Adult Participants</t>
  </si>
  <si>
    <t>NCT04836663</t>
  </si>
  <si>
    <t>A Study of TQ-B3525 Tablets in Subjects With PIK3CA and/or PIK3R1/2 Gene-altered Recurrent/Metastatic Advanced Gynecologic Tumors</t>
  </si>
  <si>
    <t>NCT05098171</t>
  </si>
  <si>
    <t>A Study of GC201 TIL in Advanced Gynecologic Tumors (10hospital)</t>
  </si>
  <si>
    <t>NCT04716634</t>
  </si>
  <si>
    <t>Efficacy and Safety of Tislelizumab in Combination With Fruquintinib in Participants With Selected Solid Tumors</t>
  </si>
  <si>
    <t>NCT04634344</t>
  </si>
  <si>
    <t>Assess the Safety, Tolerability, PK and Anti-tumor Efficacy of DZD2269 in Patients With MCRPC</t>
  </si>
  <si>
    <t>NCT05239832</t>
  </si>
  <si>
    <t>Recombinant SARS-CoV-2 Fusion Protein Vaccine Booster Immunization Study to Evaluate the Safety and Immunogencity</t>
  </si>
  <si>
    <t>NCT04814472</t>
  </si>
  <si>
    <t>Healthy Volunteer Study Comparing Tablet and Oral Solution Formulations</t>
  </si>
  <si>
    <t>NCT04875195</t>
  </si>
  <si>
    <t>A Study of Pembrolizumab (MK-3475) in Relapsed or Refractory Classical Hodgkin's Lymphoma (rrcHL) or Relapsed or Refractory Primary Mediastinal Large B-cell Lymphoma (rrPMBCL) (MK-3475-B68)</t>
  </si>
  <si>
    <t>NCT05027867</t>
  </si>
  <si>
    <t>KRT-232 in Subjects With Relapsed or Refractory Small Cell Lung Cancer</t>
  </si>
  <si>
    <t>NCT04776044</t>
  </si>
  <si>
    <t>Clinical Trial to Evaluate the Safety and Efficacy of ATR-002 in Adult Hospitalized Patients With COVID-19</t>
  </si>
  <si>
    <t>Atriva Therapeutics GmbH</t>
  </si>
  <si>
    <t>NCT05055934</t>
  </si>
  <si>
    <t>Study of the Effectiveness and Safety of SHR-1314 for Psoriatic Arthritis</t>
  </si>
  <si>
    <t>NCT04887064</t>
  </si>
  <si>
    <t>Pharmacokinetics of Sotorasib in Healthy Participants and Participants With Moderate or Severe Hepatic Impairment</t>
  </si>
  <si>
    <t>NCT04629729</t>
  </si>
  <si>
    <t>FT819 in Subjects With B-cell Malignancies</t>
  </si>
  <si>
    <t>NCT02772081</t>
  </si>
  <si>
    <t>A Study in Preterm Neonates With Respiratory Distress Syndrome (RDS) Comparing CUROSURF® Administration Through Less Invasive Surfactant Administration (LISA) and Conventional Administration</t>
  </si>
  <si>
    <t>NCT04731298</t>
  </si>
  <si>
    <t>Study to Investigate the Pharmacokinetics, Pharmacodynamics and Assess the Efficacy and Safety to Support Dose Selection of Emapalumab in Pre-empting Graft Failure in Patients at High Risk After HSCT.</t>
  </si>
  <si>
    <t>NCT04631211</t>
  </si>
  <si>
    <t>Thrombosomes® in Bleeding Thrombocytopenic Patients Study</t>
  </si>
  <si>
    <t>Cellphire Therapeutics, Inc.</t>
  </si>
  <si>
    <t>NCT04958434</t>
  </si>
  <si>
    <t>Study of TST005 in Patients With Locally Advanced or Metastatic Solid Tumors</t>
  </si>
  <si>
    <t>NCT04518306</t>
  </si>
  <si>
    <t>Efficacy and Safety of GMRx2 Compared to Placebo for the Treatment of Hypertension</t>
  </si>
  <si>
    <t>George Medicines PTY Limited</t>
  </si>
  <si>
    <t>NCT04849728</t>
  </si>
  <si>
    <t>A Phase 3 Study Evaluating Efficacy and Safety of Lanifibranor Followed by an Active Treatment Extension in Adult Patients With (NASH) and Fibrosis Stages F2 and F3 ( NATiV3 )</t>
  </si>
  <si>
    <t>Inventiva Pharma</t>
  </si>
  <si>
    <t>NCT04905511</t>
  </si>
  <si>
    <t>Preliminary Safety of The TRUE Vascular Graft for Hemodialysis Access (TRUE HD I Study)</t>
  </si>
  <si>
    <t>Vascudyne, Inc.</t>
  </si>
  <si>
    <t>NCT05060432</t>
  </si>
  <si>
    <t>Study of EOS-448 With Standard of Care and/or Investigational Therapies in Participants With Advanced Solid Tumors</t>
  </si>
  <si>
    <t>iTeos Belgium SA</t>
  </si>
  <si>
    <t>NCT05075564</t>
  </si>
  <si>
    <t>A Study of ES002023 (Anti-CD39 Antibody) in Patients With Locally Advanced or Metastatic Solid Tumors</t>
  </si>
  <si>
    <t>NCT05100199</t>
  </si>
  <si>
    <t>A Study to the Assess the Change in Condition and Adverse Events of OnabotulinumtoxinA X Injection in Adult Participants With Glabellar Lines</t>
  </si>
  <si>
    <t>NCT04781816</t>
  </si>
  <si>
    <t>Proof of Concept Study of SAR443122 in Patients With Cutaneous Lupus Erythematosus</t>
  </si>
  <si>
    <t>NCT04739306</t>
  </si>
  <si>
    <t>Study to Compare Efficacy and Safety of CT-P42 in Comparison With Eylea in Patients With Diabetic Macular Edema</t>
  </si>
  <si>
    <t>NCT04887506</t>
  </si>
  <si>
    <t>TAVT-45 (Abiraterone Acetate) Granules in Patients With Prostate Cancer</t>
  </si>
  <si>
    <t>Tavanta Therapeutics</t>
  </si>
  <si>
    <t>NCT04857138</t>
  </si>
  <si>
    <t>A Study to Evaluate Safety, Pharmacokinetics and Anti-Tumor Activity of RO7300490, as Single Agent or in Combination With Atezolizumab in Participants With Advanced Solid Tumors</t>
  </si>
  <si>
    <t>NCT05216432</t>
  </si>
  <si>
    <t>First-in-Human Study of Mutant-selective PI3Kα Inhibitor, RLY-2608, as a Single Agent in Patients With Advanced Solid Tumors and in Combination With Endocrine Therapy +/- a CDK4/6 or CDK4 Inhibitor in Patients With Advanced Solid Tumors or Advanced Breast Cancer</t>
  </si>
  <si>
    <t>Relay Therapeutics, Inc.</t>
  </si>
  <si>
    <t>NCT05043792</t>
  </si>
  <si>
    <t>Safety, Tolerability, Pharmacokinetics and Pharmacodynamics of Multiple Ascending Dose of TT-00920 in Healthy Subjects</t>
  </si>
  <si>
    <t>NCT04831944</t>
  </si>
  <si>
    <t>To Evaluate the Safety, and Pharmacokinetics of Parscaclisib in Participants With Normal Hepatic Function and Hepatic Impairment.</t>
  </si>
  <si>
    <t>NCT05028114</t>
  </si>
  <si>
    <t>Tricaprilin Liquid Formulation PK Study</t>
  </si>
  <si>
    <t>NCT04811716</t>
  </si>
  <si>
    <t>Pozelimab and Cemdisiran Combination Treatment in Adult Participants With Paroxysmal Nocturnal Hemoglobinuria Who Have Received Pozelimab Monotherapy</t>
  </si>
  <si>
    <t>NCT05076838</t>
  </si>
  <si>
    <t>Pharmacokinetics Study of VALTOCO® in Pediatric Subjects With Epilepsy</t>
  </si>
  <si>
    <t>Neurelis, Inc.</t>
  </si>
  <si>
    <t>NCT05125926</t>
  </si>
  <si>
    <t>A Phase Ⅰ Trial to Evaluate the Safety and Immunogenicity of SARS-CoV-2 Vaccine LYB001</t>
  </si>
  <si>
    <t>Yantai Patronus Biotech Co., Ltd.</t>
  </si>
  <si>
    <t>NCT05153915</t>
  </si>
  <si>
    <t>A Study to Evaluate the Safety and Efficacy of a Modigraf® Based Immunosuppression Regimen in De Novo Pediatric Allograft Liver and Kidney Transplantation Recipients</t>
  </si>
  <si>
    <t>NCT04886804</t>
  </si>
  <si>
    <t>Beamion LUNG-1: A Study to Test Different Doses of Zongertinib in People With Different Types of Advanced Cancer (Solid Tumours With Changes in the HER2 Gene)</t>
  </si>
  <si>
    <t>NCT05364047</t>
  </si>
  <si>
    <t>Clinical Trial of SARS-CoV-2 mRNA Vaccine in China</t>
  </si>
  <si>
    <t>AIM Vaccine Co., Ltd.</t>
  </si>
  <si>
    <t>NCT05087992</t>
  </si>
  <si>
    <t>A Study to Find the Best Dose of BI 905711 in Combination With Chemotherapy and to Test Whether This Dose Helps People With Advanced Gastrointestinal Cancers</t>
  </si>
  <si>
    <t>NCT04772534</t>
  </si>
  <si>
    <t>Immunogenicity and Safety of the 9-valent Human Papillomavirus (9vHPV) Vaccine in Japanese Boys and Girls (V503-066)</t>
  </si>
  <si>
    <t>NCT04782609</t>
  </si>
  <si>
    <t>Study of Icapamespib (PU-AD) in Patients With Recurrent Malignant Glioma</t>
  </si>
  <si>
    <t>NCT05127421</t>
  </si>
  <si>
    <t>Ruxolitinib Cream in Participants With Facial and/or Neck Atopic Dermatitis Involvement</t>
  </si>
  <si>
    <t>NCT05329298</t>
  </si>
  <si>
    <t>A Phase 1/2 Study of BPI-361175 in Subjects With Advanced Solid Tumors</t>
  </si>
  <si>
    <t>NCT06770114</t>
  </si>
  <si>
    <t>Clinical Study to Investigate a New Mouthwash in Reducing Plaque and Helping Prevent Gum Problems on Dental Implants Over a 6-month Period of Product Use</t>
  </si>
  <si>
    <t>NCT05001555</t>
  </si>
  <si>
    <t>Efficacy and Safety of Dexketoprofen/Vitamin B Vs Dexketoprofen for Post-traumatic Cervical Sprain Grade I-II</t>
  </si>
  <si>
    <t>NCT04265209</t>
  </si>
  <si>
    <t>[18F] LBT-999 PET Compared to [123I]-FP/CIT SPECT to Distinguish Between Parkinson's Diseases and Essential Tremor</t>
  </si>
  <si>
    <t>NCT05001698</t>
  </si>
  <si>
    <t>Anifrolumab PK Study for Systemic Lupus Erythematosus (SLE)</t>
  </si>
  <si>
    <t>NCT05222516</t>
  </si>
  <si>
    <t>Immunomodulation by OM-85 (Broncho-Vaxom) in Early AD</t>
  </si>
  <si>
    <t>OM Pharma SA</t>
  </si>
  <si>
    <t>NCT04664738</t>
  </si>
  <si>
    <t>PEP on a Skin Graft Donor Site Wound</t>
  </si>
  <si>
    <t>Rion Inc.</t>
  </si>
  <si>
    <t>NCT05135793</t>
  </si>
  <si>
    <t>Bioequivalence Study of Vonoprazan From Topoprazan 20 mg Tablets (Hikma Pharma, Egypt) Versus Takecab 20 mg Tablets (Takeda Pharmaceutical Co. Ltd., Japan)</t>
  </si>
  <si>
    <t>NCT04726215</t>
  </si>
  <si>
    <t>Imaging of T-cell Activation With [18F]F-AraG in Advanced Non Small Cell Lung Cancer</t>
  </si>
  <si>
    <t>NCT04884815</t>
  </si>
  <si>
    <t>A Phase 1/2/3 Study of UX701 Gene Therapy in Adults With Wilson Disease</t>
  </si>
  <si>
    <t>NCT05076149</t>
  </si>
  <si>
    <t>A Study of VX-121 Combination Therapy in Participants With Cystic Fibrosis (CF) Who Are Homozygous for F508del, Heterozygous for F508del and a Gating (F/G) or Residual Function (F/RF) Mutation, or Have At Least 1 Other Triple Combination Responsive (TCR) CFTR Mutation and No F508del Mutation</t>
  </si>
  <si>
    <t>NCT04994743</t>
  </si>
  <si>
    <t>Safety, Tolerability, and Pharmacokinetic Study of CORT113176 in Healthy Participants</t>
  </si>
  <si>
    <t>NCT04684108</t>
  </si>
  <si>
    <t>SG301 Safety Study in Subjects With Relapsed or Refractory Multiple Myeloma and Other Hematological Malignancies</t>
  </si>
  <si>
    <t>Hangzhou Sumgen Biotech Co., Ltd.</t>
  </si>
  <si>
    <t>NCT04938817</t>
  </si>
  <si>
    <t>Safety and Efficacy Study of Investigational Agents as Monotherapy or in Combination With Pembrolizumab (MK-3475) for the Treatment of Extensive-Stage Small Cell Lung Cancer (ES-SCLC) in Need of Second-Line Therapy (MK-3475-B98/KEYNOTE-B98)</t>
  </si>
  <si>
    <t>NCT04762277</t>
  </si>
  <si>
    <t>A Study to Test Whether Spesolimab Helps People With a Skin Disease Called Hidradenitis Suppurativa</t>
  </si>
  <si>
    <t>NCT04617028</t>
  </si>
  <si>
    <t>Jaktinib Versus Hydroxycarbamide in Subjects With Intermediate-2 or High-risk Myelofibrosis</t>
  </si>
  <si>
    <t>NCT05226767</t>
  </si>
  <si>
    <t>Effect of Daily Oral Administration of Food Supplement NLC-V in Patients Diagnosed With COVID-19</t>
  </si>
  <si>
    <t>Todos Medical, Ltd.</t>
  </si>
  <si>
    <t>NCT04618211</t>
  </si>
  <si>
    <t>Dose-ranging Study of Oral PHA-022121 for Acute Treatment of Angioedema Attacks in Patients With Hereditary Angioedema</t>
  </si>
  <si>
    <t>Pharvaris Netherlands B.V.</t>
  </si>
  <si>
    <t>NCT04770532</t>
  </si>
  <si>
    <t>A Research Study to Compare Two Types of Insulin, a New Weekly Insulin, Insulin Icodec and an Available Daily Insulin, Insulin Degludec, in People With Type 2 Diabetes Who Use Daily Insulin</t>
  </si>
  <si>
    <t>NCT04637698</t>
  </si>
  <si>
    <t>OH2 Oncolytic Viral Therapy in Pancreatic Cancer</t>
  </si>
  <si>
    <t>NCT04700709</t>
  </si>
  <si>
    <t>Efficacy and Safety of Sirolimus Plus CNI Compared With MMF Plus CNI in ABO-i Kidney Transplant Recipients.</t>
  </si>
  <si>
    <t>NCT05129475</t>
  </si>
  <si>
    <t>Food Effect Study to Evaluate the Effect of High-Fat Meal on the Relative Bioavailability of PF-07321332 Boosted With Ritonavir in Healthy Adult Participants</t>
  </si>
  <si>
    <t>NCT04681677</t>
  </si>
  <si>
    <t>Recurrent GBM Treated With Neurosurgical Resection and IORT Using the Xoft Axxent eBx System and Bevacizumab</t>
  </si>
  <si>
    <t>Xoft, Inc.</t>
  </si>
  <si>
    <t>NCT05144139</t>
  </si>
  <si>
    <t>A Phase I/II Clinical Trial in Healthy People Aged 18 Years and Above</t>
  </si>
  <si>
    <t>Stemirna Therapeutics</t>
  </si>
  <si>
    <t>NCT04565275</t>
  </si>
  <si>
    <t>A Study of ICP-192 in Patients With Advanced Solid Tumors</t>
  </si>
  <si>
    <t>NCT04973228</t>
  </si>
  <si>
    <t>Trial of PDE4 Inhibition With Roflumilast (ARQ-154) Foam 0.3% for the Management of Seborrheic Dermatitis (STRATUM)</t>
  </si>
  <si>
    <t>NCT04060407</t>
  </si>
  <si>
    <t>CD24Fc With Ipilimumab and Nivolumab to Decrease irAE (CINDI)</t>
  </si>
  <si>
    <t>NCT04967664</t>
  </si>
  <si>
    <t>Comparison of Qutenza (8% Capsaicin) With a Low-dose Capsaicin for Treatment of Nerve Pain After Surgery</t>
  </si>
  <si>
    <t>Averitas Pharma, Inc.</t>
  </si>
  <si>
    <t>NCT05162131</t>
  </si>
  <si>
    <t>Study to Evaluate the Safety, Tolerability, PK, and PD of PB2452 With and Without Ticagrelor Pretreatment in Chinese Healthy Volunteers</t>
  </si>
  <si>
    <t>NCT04657081</t>
  </si>
  <si>
    <t>Pharmacokinetics, Safety, and Efficacy of ASTX727 in Combination With Venetoclax in Acute Myeloid Leukemia (AML)</t>
  </si>
  <si>
    <t>NCT04891419</t>
  </si>
  <si>
    <t>JUVÉDERM® VOLUMA® With Lidocaine for Correction of Temple Hollowing in Chinese Population</t>
  </si>
  <si>
    <t>NCT04882319</t>
  </si>
  <si>
    <t>Irritation and Sensitization Study of HP-5000 Topical System</t>
  </si>
  <si>
    <t>NCT04812067</t>
  </si>
  <si>
    <t>A Safety and Efficacy Trial of TTHX1114 in People With CED</t>
  </si>
  <si>
    <t>NCT04686136</t>
  </si>
  <si>
    <t>A Long-Term Safety and Tolerability Extension Study Evaluating Atogepant for the Prevention of Chronic or Episodic Migraine</t>
  </si>
  <si>
    <t>NCT04812236</t>
  </si>
  <si>
    <t>Clinical Study on Wuling Powder in Treating Metabolic Syndrome of Spleen Deficiency and Dampness</t>
  </si>
  <si>
    <t>NCT04818229</t>
  </si>
  <si>
    <t>A Study to Investigate the Effects of CBP-307 on the Heart Rate-corrected QT Interval (QTc) in Healthy Subjects</t>
  </si>
  <si>
    <t>NCT05082545</t>
  </si>
  <si>
    <t>Phase I Study of SHR-2002 + SHR-1316 in Patients With Advanced Malignant Tumors</t>
  </si>
  <si>
    <t>NCT05064436</t>
  </si>
  <si>
    <t>A Study to Evaluate the Safety, Tolerability, Kinetics, Biodistribution and Repeatability of 11C-BMS-986196 After Intravenous (IV) Administration in Healthy Participants and After Repeat IV Administration in Participants With Multiple Sclerosis</t>
  </si>
  <si>
    <t>NCT05050136</t>
  </si>
  <si>
    <t>A Study to Evaluate Efficacy and Safety of an Investigational Drug Named Volixibat in Patients With Itching Caused by Primary Biliary Cholangitis</t>
  </si>
  <si>
    <t>NCT04998487</t>
  </si>
  <si>
    <t>A Single-Dose Study of LY3471851 in Healthy Participants</t>
  </si>
  <si>
    <t>NCT04631549</t>
  </si>
  <si>
    <t>An Investigational Study of SHR3680 in Participants With Mild to Moderate Liver Impairment and Healthy Participants</t>
  </si>
  <si>
    <t>NCT04883658</t>
  </si>
  <si>
    <t>A Clinical Trial to Evaluate the Tolerability and Pharmacokinetics of CKD-348(2)</t>
  </si>
  <si>
    <t>NCT04913519</t>
  </si>
  <si>
    <t>A Phase 1 Study of TDM-105795 Topical Solution in Male Subjects With Androgenetic Alopecia (AGA)</t>
  </si>
  <si>
    <t>Technoderma Medicines Inc.</t>
  </si>
  <si>
    <t>NCT04772885</t>
  </si>
  <si>
    <t>A Single and Multiple Ascending Dose Trial of KT-474 in Healthy Adult Volunteers and Patients With Atopic Dermatitis (AD) or Hidradenitis Suppurativa (HS)</t>
  </si>
  <si>
    <t>Kymera Therapeutics, Inc.</t>
  </si>
  <si>
    <t>NCT04730843</t>
  </si>
  <si>
    <t>A Study of ES102 (OX40 Agonist) in Patients With Advanced Solid Tumors</t>
  </si>
  <si>
    <t>NCT04862884</t>
  </si>
  <si>
    <t>A Trial to Evaluate the Safety and PK Profile of HRS4800 in Healthy Subjects</t>
  </si>
  <si>
    <t>NCT05163535</t>
  </si>
  <si>
    <t>Open Labelled, Randomized Study to Evaluate the Efficacy, Safety and Dose Selection of VM-1500A-LAI Drug in HIV-infected Patients Transferred From Previous Stable Therapy (NNRTI + 2NRTI), Including ELPIDA®</t>
  </si>
  <si>
    <t>Viriom</t>
  </si>
  <si>
    <t>NCT04652726</t>
  </si>
  <si>
    <t>Study to Evaluate Efficacy and Safety of Inclisiran in Adolescents With Heterozygous Familial Hypercholesterolemia</t>
  </si>
  <si>
    <t>NCT04741828</t>
  </si>
  <si>
    <t>Persistence and Long-Term Protection of Vi Antibodies Induced by Vi-DT Conjugate Vaccines in Indonesian</t>
  </si>
  <si>
    <t>NCT04603807</t>
  </si>
  <si>
    <t>A Study to Compare the Efficacy and Safety of Entrectinib and Crizotinib in Participants With Advanced or Metastatic ROS1 Non-small Cell Lung Cancer (NSCLC) With and Without Central Nervous System (CNS) Metastases</t>
  </si>
  <si>
    <t>NCT04805606</t>
  </si>
  <si>
    <t>A Clinical Traial to Assess Pharmacokinetic/Pharmacodynamic Profiles and Safety of CKD-843</t>
  </si>
  <si>
    <t>NCT03235232</t>
  </si>
  <si>
    <t>BREMEN Eye Drops Versus Combigan for Open-angle Glaucoma or Intraocular Hypertension</t>
  </si>
  <si>
    <t>NCT04659863</t>
  </si>
  <si>
    <t>Study to Evaluate Efficacy and Safety of Inclisiran in Adolescents With Homozygous Familial Hypercholesterolemia</t>
  </si>
  <si>
    <t>NCT04828993</t>
  </si>
  <si>
    <t>The Effect Of Tafamidis Meglumine In Transthyretin Amyloid Polyneuropathy Patients</t>
  </si>
  <si>
    <t>NCT05136404</t>
  </si>
  <si>
    <t>A Relative Bioavailability Study of Selpercatinib (LY3527723) in Healthy Participants</t>
  </si>
  <si>
    <t>NCT05102552</t>
  </si>
  <si>
    <t>Evaluating the Safety and Relative Bioavailability of Three SPN-817 Treatments (A, B and C) in Healthy Adult Subjects</t>
  </si>
  <si>
    <t>NCT04846036</t>
  </si>
  <si>
    <t>The KHENERGYC Study</t>
  </si>
  <si>
    <t>Khondrion BV</t>
  </si>
  <si>
    <t>NCT04729387</t>
  </si>
  <si>
    <t>Alpelisib Plus Olaparib in Platinum-resistant/Refractory, High-grade Serous Ovarian Cancer, With no Germline BRCA Mutation Detected</t>
  </si>
  <si>
    <t>NCT04679038</t>
  </si>
  <si>
    <t>A Trial of SHR-1701 in Combination With Famitinib in Patients With Advanced Solid Tumors</t>
  </si>
  <si>
    <t>NCT05663372</t>
  </si>
  <si>
    <t>Bioequivalence Study of Test and Reference 50 mg Eplerenone Film-coated Tablets in Healthy Volunteers</t>
  </si>
  <si>
    <t>NCT05061901</t>
  </si>
  <si>
    <t>Bioequivalence Study of Two Formulations of Lisinopril Tablet 20 mg in Healthy Volunteers Under Fasting Conditions</t>
  </si>
  <si>
    <t>NCT04773665</t>
  </si>
  <si>
    <t>Safety, Tolerability, and Immunogenicity of the COVID-19 Vaccine Candidates VBI-2902a and VBI-2905a</t>
  </si>
  <si>
    <t>VBI Vaccines Inc.</t>
  </si>
  <si>
    <t>NCT04714073</t>
  </si>
  <si>
    <t>A Study in Healthy Men to Test How Itraconazole Influences the Amount of BI 706321 in the Blood</t>
  </si>
  <si>
    <t>NCT04961541</t>
  </si>
  <si>
    <t>Evaluation of the Safety and Immunogenicity of Influenza and COVID-19 Combination Vaccine</t>
  </si>
  <si>
    <t>NCT05255094</t>
  </si>
  <si>
    <t>A Study to Evaluate the Efficacy and Safety of AK102 in Patients With Hyperlipidemia</t>
  </si>
  <si>
    <t>NCT04773353</t>
  </si>
  <si>
    <t>Efficacy and Safety of FE 999049 in Controlled Ovarian Stimulation in Indian Women</t>
  </si>
  <si>
    <t>NCT05415345</t>
  </si>
  <si>
    <t>Immunogenicity and Safety of Co-immunization With Cecolin and Hecolin</t>
  </si>
  <si>
    <t>NCT04641273</t>
  </si>
  <si>
    <t>A 2-part Trial to Learn More About How BAY1817080 Works, How Safe it is, and What the Right Dose is for Participants With Diabetic Neuropathic Pain</t>
  </si>
  <si>
    <t>NCT04859439</t>
  </si>
  <si>
    <t>A Study to Evaluate the Pharmacokinetics and Safety of DBPR108 in Subjects With Renal Impairment</t>
  </si>
  <si>
    <t>NCT04993729</t>
  </si>
  <si>
    <t>Safety and Efficacy of T89 in the Prevention and Treatment of Adults With Acute Mountain Sickness (AMS)</t>
  </si>
  <si>
    <t>Tasly Pharmaceuticals, Inc.</t>
  </si>
  <si>
    <t>NCT04935229</t>
  </si>
  <si>
    <t>Intrahepatic Delivery of SD-101 by Pressure-Enabled Regional Immuno-oncology (PERIO), With Checkpoint Blockade in Adults With Metastatic Uveal Melanoma</t>
  </si>
  <si>
    <t>TriSalus Life Sciences, Inc.</t>
  </si>
  <si>
    <t>NCT05104866</t>
  </si>
  <si>
    <t>A Phase-3, Open-Label, Randomized Study of Dato-DXd Versus Investigator's Choice of Chemotherapy (ICC) in Participants With Inoperable or Metastatic HR-Positive, HER2-Negative Breast Cancer Who Have Been Treated With One or Two Prior Lines of Systemic Chemotherapy (TROPION-Breast01)</t>
  </si>
  <si>
    <t>NCT04662931</t>
  </si>
  <si>
    <t>An Indian Multi-centric Phase IV Study to Assess the Safety of Crizanlizumab in Sickle Cell Disease Patients</t>
  </si>
  <si>
    <t>NCT04327661</t>
  </si>
  <si>
    <t>Motion Syros: A Study to Investigate the Efficacy of Tradipitant in Subjects Affected by Motion Sickness</t>
  </si>
  <si>
    <t>NCT04560569</t>
  </si>
  <si>
    <t>Albuvirtide in Combination With 3BNC117 in Patients With Multi-Drug Resistant (MDR) HIV-1 Infection</t>
  </si>
  <si>
    <t>NCT04718402</t>
  </si>
  <si>
    <t>A Study of Mitoxantrone Hydrochloride Liposome Injection in the Treatment of Advanced Gastric Carcinoma</t>
  </si>
  <si>
    <t>NCT04986202</t>
  </si>
  <si>
    <t>Study to Evaluate the Efficacy and Safety of AZD4831 in Participants With Heart Failure With Left Ventricular Ejection Fraction &gt; 40%</t>
  </si>
  <si>
    <t>NCT05098886</t>
  </si>
  <si>
    <t>Phamacokinetics and Safety Profiles of DA-5210 10/1000mg in Healthy Subjects at Fed State</t>
  </si>
  <si>
    <t>NCT04998851</t>
  </si>
  <si>
    <t>A Study Evaluating B Cell Levels In Infants Of Lactating Women With CIS Or MS Receiving Ocrelizumab</t>
  </si>
  <si>
    <t>NCT04208529</t>
  </si>
  <si>
    <t>A Long-term Follow-up Study in Participants Who Received CTX001</t>
  </si>
  <si>
    <t>NCT05083169</t>
  </si>
  <si>
    <t>A Study of Teclistamab in Combination With Daratumumab Subcutaneously (SC) (Tec-Dara) Versus Daratumumab SC, Pomalidomide, and Dexamethasone (DPd) or Daratumumab SC, Bortezomib, and Dexamethasone (DVd) in Participants With Relapsed or Refractory Multiple Myeloma</t>
  </si>
  <si>
    <t>NCT05186805</t>
  </si>
  <si>
    <t>Maximal Use Study of Tapinarof Cream, 1% in Pediatric Subjects With Extensive Atopic Dermatitis</t>
  </si>
  <si>
    <t>NCT04808362</t>
  </si>
  <si>
    <t>Phase 1/2 Study to Evaluate Safety, PK and Efficacy of the MYC-Inhibitor OMO-103 in Solid Tumours</t>
  </si>
  <si>
    <t>Peptomyc S.L.</t>
  </si>
  <si>
    <t>NCT04990388</t>
  </si>
  <si>
    <t>Safety, Tolerability, and Pharmacokinetics of UX053 in Patients With Glycogen Storage Disease Type III (GSD III)</t>
  </si>
  <si>
    <t>NCT04594642</t>
  </si>
  <si>
    <t>A Study of AZD0486 in Subjects With B-Cell Non-Hodgkin Lymphoma</t>
  </si>
  <si>
    <t>NCT04506086</t>
  </si>
  <si>
    <t>Feasibility Study to Evaluate Outpatient Blinatumomab in Subjects With Minimal Residual Disease (MRD) of B-precursor Acute Lymphoblastic Leukemia (ALL)</t>
  </si>
  <si>
    <t>NCT04714983</t>
  </si>
  <si>
    <t>DNX-2440 for Resectable Colorectal Liver Metastasis</t>
  </si>
  <si>
    <t>DNAtrix, Inc.</t>
  </si>
  <si>
    <t>NCT05164094</t>
  </si>
  <si>
    <t>A Study of an Epstein-Barr Virus (EBV) Candidate Vaccine, mRNA-1189, in 10- to 30-Year-Old Healthy Adolescents and Adults</t>
  </si>
  <si>
    <t>NCT04955678</t>
  </si>
  <si>
    <t>A Comparative Study of ZG-801 and Placebo in Patients With Hyperkalemia</t>
  </si>
  <si>
    <t>Zeria Pharmaceutical</t>
  </si>
  <si>
    <t>NCT05013385</t>
  </si>
  <si>
    <t>A Study to Test Whether Spesolimab Helps People With Crohn's Disease Who Have Symptoms of Bowel Obstruction</t>
  </si>
  <si>
    <t>NCT04842617</t>
  </si>
  <si>
    <t>Phase III Study ：SHR6390/Placebo Combined With Endocrine Therapy for the Adjuvant Treatment of Hormone Receptor Positive,Human Epidermal Receptor 2 Negative</t>
  </si>
  <si>
    <t>NCT04880850</t>
  </si>
  <si>
    <t>A Research Study to Compare Two Types of Insulin, a New Weekly Insulin, Insulin Icodec and an Available Daily Insulin, Insulin Glargine, Both in Combination With Mealtime Insulin, in People With Type 2 Diabetes Who Use Daily Insulin and Mealtime Insulin (ONWARDS 4)</t>
  </si>
  <si>
    <t>NCT05008835</t>
  </si>
  <si>
    <t>Evaluate the Efficacy and Safety of ACP-044 in Subjects With Pain Associated With Osteoarthritis of the Knee</t>
  </si>
  <si>
    <t>NCT04892017</t>
  </si>
  <si>
    <t>Study of Inlexisertib (DCC-3116) in Participants With RAS/MAPK Pathway Mutant Solid Tumors</t>
  </si>
  <si>
    <t>NCT04935320</t>
  </si>
  <si>
    <t>Comparison of Blood Levels of HTL0016878 From an Oral Capsule and an Oral Solution</t>
  </si>
  <si>
    <t>NCT04988152</t>
  </si>
  <si>
    <t>A Study to Investigate the PK, Safety, and Tolerability of Sotrovimab vs Placebo Administered IV or IM in Japanese and Caucasian Participants</t>
  </si>
  <si>
    <t>NCT04845191</t>
  </si>
  <si>
    <t>COVID-19 Subcutaneously and Orally Administered Supplemental Vaccine Boost to Enhance T Cell Protection in Those Who Have Already Received EUA S-Based Vaccines</t>
  </si>
  <si>
    <t>NCT04776252</t>
  </si>
  <si>
    <t>Open-label, Follow-up of Doravirine/Islatravir (DOR/ISL 100 mg/0.75mg) for Participants With Human Immunodeficiency Virus-1 (HIV-1) Infection (MK-8591A-033)</t>
  </si>
  <si>
    <t>NCT04797247</t>
  </si>
  <si>
    <t>Study of Efficacy and Safety of LIB003 in Patient With CVD on Statins Requiring Additional LDL-C Reduction</t>
  </si>
  <si>
    <t>NCT04604548</t>
  </si>
  <si>
    <t>The KHENEREXT Study</t>
  </si>
  <si>
    <t>NCT04581785</t>
  </si>
  <si>
    <t>Gene Therapy With hLB-001 in Pediatric Patients With Severe Methylmalonic Acidemia</t>
  </si>
  <si>
    <t>LogicBio Therapeutics, Inc</t>
  </si>
  <si>
    <t>NCT04629508</t>
  </si>
  <si>
    <t>To Assess the Safety, Tolerability and Efficacy of Itacitinib Immediate Release Tablets in Participants With Primary or Secondary Myelofibrosis Who Have Received Prior Ruxolitinib and/or Fedratinib Monotherapy (LIMBER-213)</t>
  </si>
  <si>
    <t>NCT04300140</t>
  </si>
  <si>
    <t>Safety and Efficacy Study of AVB-S6-500 (Batiraxcept) in Patients With Advanced or Metastatic Clear Cell Renal Cell Carcinoma</t>
  </si>
  <si>
    <t>NCT05137548</t>
  </si>
  <si>
    <t>A Drug-Drug Interaction Study Between ATI-2173 and Tenofovir Disoproxil Fumarate in Healthy Subjects</t>
  </si>
  <si>
    <t>NCT05250726</t>
  </si>
  <si>
    <t>Use of a Treated, Devitalized and Sterile Meniscus Segment (MENISC-T) in the Treatment of Scaphotrapeziotrapezoid Osteoarthritis</t>
  </si>
  <si>
    <t>NCT04783090</t>
  </si>
  <si>
    <t>MT1013 Clinical TRIAL In Healthy Subject</t>
  </si>
  <si>
    <t>NCT04845620</t>
  </si>
  <si>
    <t>Trial of PDE4 Inhibition With Roflumilast for the Management of Atopic Dermatitis (Integument-PED)</t>
  </si>
  <si>
    <t>NCT05526820</t>
  </si>
  <si>
    <t>A Study of Combined Immunization With Live Attenuated Varicella Vaccine and Inactivated Hepatitis A Vaccine</t>
  </si>
  <si>
    <t>NCT04884685</t>
  </si>
  <si>
    <t>Safety of an Inactivated SARS-CoV-2 Vaccine (CoronaVac) in Children and Adolescents</t>
  </si>
  <si>
    <t>NCT05042908</t>
  </si>
  <si>
    <t>Evaluation of LBL-003 Phase I Study in Patients With Advanced Malignancies</t>
  </si>
  <si>
    <t>NCT04976140</t>
  </si>
  <si>
    <t>Allogeneic Mitochondria (PN-101) Transplantation for Refractory Polymyositis or Dermatomyositis</t>
  </si>
  <si>
    <t>Paean Biotechnology Inc.</t>
  </si>
  <si>
    <t>NCT04816604</t>
  </si>
  <si>
    <t>Open-label Extension Study of GB002 in Adult Subjects With Pulmonary Arterial Hypertension (PAH)</t>
  </si>
  <si>
    <t>NCT04637555</t>
  </si>
  <si>
    <t>Open-label Extension Study for CLCZ696G2301 (PARADISE-MI)</t>
  </si>
  <si>
    <t>NCT04633278</t>
  </si>
  <si>
    <t>CMP-001 in Combination With Pembrolizumab in Subjects With Recurrent or Metastatic Head and Neck Squamous Cell Carcinoma</t>
  </si>
  <si>
    <t>NCT06117540</t>
  </si>
  <si>
    <t>A Study of WX390 in Patients With Advanced Solid Tumors</t>
  </si>
  <si>
    <t>NCT04419389</t>
  </si>
  <si>
    <t>APR-246 in Combination With Acalabrutinib or Venetoclax Based Therapy in Subjects With R/R Non Hodgkin Lymphomas (NHL)</t>
  </si>
  <si>
    <t>NCT04973189</t>
  </si>
  <si>
    <t>A Study of SHR-1707 in Healthy Young Adult and Elderly Subjects</t>
  </si>
  <si>
    <t>NCT05136443</t>
  </si>
  <si>
    <t>Loteprednol Etabonate 0.25% for Prevention of Cornea Transplant Rejection</t>
  </si>
  <si>
    <t>NCT04694989</t>
  </si>
  <si>
    <t>A Clinical Trial to Evaluate the Tolerability and Pharmacokinetics of CKD-386(2)</t>
  </si>
  <si>
    <t>NCT04968184</t>
  </si>
  <si>
    <t>Efficacy and Safety of KBP-5074 in Uncontrolled Hypertension and Moderate or Severe Chronic Kidney Disease (CKD)</t>
  </si>
  <si>
    <t>NCT05067933</t>
  </si>
  <si>
    <t>A Ph 2 Trial With an Oral Tableted COVID-19 Vaccine</t>
  </si>
  <si>
    <t>NCT05152485</t>
  </si>
  <si>
    <t>A Study to Evaluate the Relative Bioavailability of Two Formulations of BIIB104 and Assess the Effect of Food on the Pharmacokinetics of BIIB104 Following Administration of a Single, Fixed, Oral Dose of BIIB104 in Healthy Participants</t>
  </si>
  <si>
    <t>NCT04847440</t>
  </si>
  <si>
    <t>A Study of Safety and Efficacy of ATI-2173 in Combination With Tenofovir Disoproxil Fumarate in Subjects With Chronic Hepatitis B Virus Infection and in Subjects With Hepatitis D Virus Coinfection</t>
  </si>
  <si>
    <t>NCT05152147</t>
  </si>
  <si>
    <t>A Study of Zanidatamab in Combination With Chemotherapy Plus or Minus Tislelizumab in Patients With HER2-positive Advanced or Metastatic Gastric and Esophageal Cancers</t>
  </si>
  <si>
    <t>NCT04732468</t>
  </si>
  <si>
    <t>COVID-19 Oral and Subcutaneous Vaccination Using a 2nd Generation (E1/E2B/E3-Deleted) Adenovirus Platform in Healthy Volunteers in USA</t>
  </si>
  <si>
    <t>NCT04610138</t>
  </si>
  <si>
    <t>Study of ZnAg Liquid Solution to Treat COVID-19 Symptomatic Participants</t>
  </si>
  <si>
    <t>NCT04896008</t>
  </si>
  <si>
    <t>A Study of Sotatercept in Participants With PAH WHO FC III or FC IV at High Risk of Mortality (MK-7962-006/ZENITH)</t>
  </si>
  <si>
    <t>Acceleron Pharma, Inc., a wholly-owned subsidiary of Merck &amp; Co., Inc., Rahway, NJ USA</t>
  </si>
  <si>
    <t>NCT04702776</t>
  </si>
  <si>
    <t>Study to Compare the Efficacy of the Ophthalmic Solution Humylub Ofteno® PF With Hyabak® and Lagricel Ofteno® PF as Treatment for Dry Eye.</t>
  </si>
  <si>
    <t>NCT04983589</t>
  </si>
  <si>
    <t>A Study to Assess Safety and Efficacy in Participants Age 40 to 55 With Presbyopia (Old Eye) Who Receive AGN-190584 in Both Eyes Twice Daily</t>
  </si>
  <si>
    <t>NCT05147415</t>
  </si>
  <si>
    <t>Study of Tesomet With Open-label Extension in Subjects With Hypothalamic Obesity (HO)</t>
  </si>
  <si>
    <t>NCT04844125</t>
  </si>
  <si>
    <t>SHR - 1209 Treatment Efficacy and Safety of the Patients With Hypercholesterolemia Ⅲ Period Clinical Research</t>
  </si>
  <si>
    <t>NCT04787991</t>
  </si>
  <si>
    <t>Exploratory Platform Trial to Evaluate Immunotherapy Combinations With Chemotherapy for the Treatment of Patients With Previously Untreated Metastatic Pancreatic Adenocarcinoma</t>
  </si>
  <si>
    <t>Cancer Insight, LLC</t>
  </si>
  <si>
    <t>NCT04969835</t>
  </si>
  <si>
    <t>A Study Evaluating the Safety, Pharmacokinetics and Early Efficacy of AVA6000 in Solid Tumours</t>
  </si>
  <si>
    <t>Avacta Life Sciences Ltd</t>
  </si>
  <si>
    <t>NCT04853576</t>
  </si>
  <si>
    <t>A Study Evaluating the Safety and Efficacy of EDIT-301 in Participants With Severe Sickle Cell Disease (RUBY)</t>
  </si>
  <si>
    <t>Editas Medicine, Inc.</t>
  </si>
  <si>
    <t>NCT05019950</t>
  </si>
  <si>
    <t>Safety Tolerability and Pharmacokinetics of Oral NIM-1324 in Healthy Adult Male and Female Volunteers</t>
  </si>
  <si>
    <t>NImmune Biopharma</t>
  </si>
  <si>
    <t>NCT05067140</t>
  </si>
  <si>
    <t>A Study of ARV-766 Given by Mouth in Men With Metastatic Prostate Cancer</t>
  </si>
  <si>
    <t>NCT04983368</t>
  </si>
  <si>
    <t>A Double-Blind, Placebo-Controlled, Dose Ranging Study of Xanamem® in Healthy Elderly Volunteers</t>
  </si>
  <si>
    <t>Actinogen Medical</t>
  </si>
  <si>
    <t>NCT04752774</t>
  </si>
  <si>
    <t>A Study to Assess the Safety and Efficacy of IPN10200 in Adult Participants With Upper Limb Spasticity.</t>
  </si>
  <si>
    <t>NCT04661397</t>
  </si>
  <si>
    <t>A Study in Healthy Participants to Assess the Effect of Darunavir, Emtricitabine, and Tenofovir Alafenamide in the Presence of Cobicistat as Fixed Dose Combination (Darunavir/Cobicistat/Emtricitabine/Tenofovir Alafenamide) Compared With Co-administration of the Separate Agents</t>
  </si>
  <si>
    <t>NCT04980885</t>
  </si>
  <si>
    <t>A Trial of AK117 (Anti-CD47 Antibody) in Patients With Acute Myeloid Leukemia</t>
  </si>
  <si>
    <t>NCT04689308</t>
  </si>
  <si>
    <t>This is a Phase 1 Study of MH048 in Patients With Selected Relapsed/Refractory B-cell Malignancies</t>
  </si>
  <si>
    <t>Minghui Pharmaceutical (Shanghai) LTD</t>
  </si>
  <si>
    <t>NCT04837482</t>
  </si>
  <si>
    <t>A Study to Assess the Impact and Adverse Events of Topical Eyedrops of AGN-190584 on Night-driving Performance in Participants, 40 to 55 Years of Age</t>
  </si>
  <si>
    <t>NCT04732286</t>
  </si>
  <si>
    <t>A Study of Atezolizumab in Combination With Bevacizumab in Spanish Patients With Unresectable or Unsuitable for Locoregional Treatments Hepatocellular Carcinoma Not Previously Treated With Systemic Therapy</t>
  </si>
  <si>
    <t>NCT05028556</t>
  </si>
  <si>
    <t>A Trial of Y101D, a PD-L1/TGF-β Bispecific Antibody, in Patients With Metastatic or Locally Advanced Solid Tumors</t>
  </si>
  <si>
    <t>Wuhan YZY Biopharma Co., Ltd.</t>
  </si>
  <si>
    <t>NCT05001451</t>
  </si>
  <si>
    <t>Study of GDX012 in Patients With MRD Positive AML</t>
  </si>
  <si>
    <t>GammaDelta Therapeutics Limited</t>
  </si>
  <si>
    <t>NCT05067270</t>
  </si>
  <si>
    <t>A Study of Infusion Site Pain After Infusion of Excipients in Participants With Type 1 Diabetes Mellitus</t>
  </si>
  <si>
    <t>NCT04880161</t>
  </si>
  <si>
    <t>A Study to Evaluate Ampion in Patients With Prolonged Respiratory Symptoms Due to COVID-19 (Long COVID)</t>
  </si>
  <si>
    <t>NCT04919642</t>
  </si>
  <si>
    <t>Study to Evaluate the Efficacy and Safety of TT-00420 (Tinengotinib) in Cholangiocarcinoma</t>
  </si>
  <si>
    <t>NCT05163886</t>
  </si>
  <si>
    <t>Study of Safety, Tolerability, and Biological Activity of LAM-002A in C9ORF72-Associated Amyotrophic Lateral Sclerosis</t>
  </si>
  <si>
    <t>NCT04689594</t>
  </si>
  <si>
    <t>A Study to Evaluate the Esophageal Stenosis Inhibition Effects of CLS2702C/CLS2702D After Endoscopic Submucosal Dissection (ESD) in Patients With Superficial Esophageal Cancer in the Steroid Administration Risk Group</t>
  </si>
  <si>
    <t>CellSeed Inc.</t>
  </si>
  <si>
    <t>NCT05074394</t>
  </si>
  <si>
    <t>Randomized Study to Evaluate Intranasal Dose of STI-2099 (COVI-DROPS™) in Outpatient Adults With Mild COVID-19 Infection</t>
  </si>
  <si>
    <t>NCT05222841</t>
  </si>
  <si>
    <t>The Effectiveness of Spermotrend Food Supplement in the Treatment of Male Infertility</t>
  </si>
  <si>
    <t>NCT04598477</t>
  </si>
  <si>
    <t>A Study to Assess the Long-term Safety and Efficacy of a Subcutaneous Formulation of Efgartigimod PH20 SC in Adults With Pemphigus (Vulgaris or Foliaceus)</t>
  </si>
  <si>
    <t>NCT06126328</t>
  </si>
  <si>
    <t>Materna Prep Study Phase II</t>
  </si>
  <si>
    <t>Materna Medical</t>
  </si>
  <si>
    <t>NCT04857437</t>
  </si>
  <si>
    <t>Study in Healthy Adults Evaluating PF-07202954</t>
  </si>
  <si>
    <t>NCT04958239</t>
  </si>
  <si>
    <t>A Study to Test BI 765179 Alone and in Combination With Ezabenlimab in Patients With Advanced Cancer (Solid Tumors) and BI 765179 in Combination With Pembrolizumab in Patients With Advanced Head and Neck Cancer</t>
  </si>
  <si>
    <t>NCT04612712</t>
  </si>
  <si>
    <t>A Phase 1/2 Study of Donafenib in Combination With KN046 in Advanced Gastrointestinal Tumors</t>
  </si>
  <si>
    <t>NCT04765202</t>
  </si>
  <si>
    <t>StrataGraft Overlay of Meshed Autograft in Full-thickness Thermal Burns</t>
  </si>
  <si>
    <t>NCT04676737</t>
  </si>
  <si>
    <t>TTHX1114(NM141) in Combination With DWEK/DSO</t>
  </si>
  <si>
    <t>NCT05075772</t>
  </si>
  <si>
    <t>A Study in Healthy Men to Test How BI 765080 is Taken up in the Body When Given as an Injection Under the Skin Compared With an Infusion Into the Vein</t>
  </si>
  <si>
    <t>NCT04887857</t>
  </si>
  <si>
    <t>A Study to Assess Safety and Tolerability of CC-486 (ONUREG®, Oral Azacitidine) in Combination Therapy in Participants With Acute Myeloid Leukemia (AML)</t>
  </si>
  <si>
    <t>NCT04320602</t>
  </si>
  <si>
    <t>Ravulizumab in Adult Participants With Paroxysmal Nocturnal Hemoglobinuria Currently Treated With High-Dose Eculizumab</t>
  </si>
  <si>
    <t>NCT05104567</t>
  </si>
  <si>
    <t>A Study of SAR444245 Combined With Other Anticancer Therapies for the Treatment of Participants With Gastrointestinal Cancer (Master Protocol) (Pegathor Gastrointestinal 203)</t>
  </si>
  <si>
    <t>NCT05074602</t>
  </si>
  <si>
    <t>A Study to Evaluate the Efficacy and Safety of SHR8008 vs. Fluconazole in Subjects With Recurrent Vulvovaginal Candidiasis</t>
  </si>
  <si>
    <t>NCT05086445</t>
  </si>
  <si>
    <t>A Study of LY3502970 in Japanese Participants With Type 2 Diabetes Mellitus</t>
  </si>
  <si>
    <t>NCT04976777</t>
  </si>
  <si>
    <t>A Study to Evaluate an Updated Dexamethasone Intravitreal (Into the Eye) Applicator in Adult Participants With Macular Edema Due to Diseases of the Retina</t>
  </si>
  <si>
    <t>NCT04913675</t>
  </si>
  <si>
    <t>Intramuscular and Intravenous VIR-7831 (Sotrovimab) for Mild/Moderate COVID-19.</t>
  </si>
  <si>
    <t>NCT04697381</t>
  </si>
  <si>
    <t>Study of the Efficacy and Safety of Somatropin in Japanese Participants With PWS</t>
  </si>
  <si>
    <t>NCT04870177</t>
  </si>
  <si>
    <t>Study of AK112 in the Treatment of Advanced Gynecological Tumors</t>
  </si>
  <si>
    <t>NCT05297201</t>
  </si>
  <si>
    <t>Efficacy, Safety and Pharmacokinetic Study of CPL500036 in Patients with Levodopa Induced Dyskinesia</t>
  </si>
  <si>
    <t>NCT04508530</t>
  </si>
  <si>
    <t>Phase III Study To Compare The Effect of Panzyga Versus Placebo in Patients With Pediatric Acute-onset Neuropsychiatric Syndrome (PANS/PANDAS)</t>
  </si>
  <si>
    <t>NCT04787328</t>
  </si>
  <si>
    <t>A Study of HA121-28 Tablets in Patients With Medullary Thyroid Carcinoma (MTC)</t>
  </si>
  <si>
    <t>NCT04868981</t>
  </si>
  <si>
    <t>Study on the Tolerability, Pharmacodynamics and Pharmacokinetics of GST-HG141 Tablets</t>
  </si>
  <si>
    <t>NCT05470829</t>
  </si>
  <si>
    <t>A Multiple-dose Study in Chinese Subjects to Evaluate Safety,Tolerability,PK and PD of ZM-H1505R</t>
  </si>
  <si>
    <t>NCT04874129</t>
  </si>
  <si>
    <t>Phase 1 to Evaluate the Safety and Pharmacokinetic Characteristics of Fixed-dose Combination of YYC506</t>
  </si>
  <si>
    <t>Yooyoung Pharmaceutical Co., Ltd.</t>
  </si>
  <si>
    <t>NCT04688931</t>
  </si>
  <si>
    <t>A Phase 3 Study of UGN-102 for Low-Grade Intermediate-Risk Non-Muscle Invasive Bladder Cancer</t>
  </si>
  <si>
    <t>UroGen Pharma Ltd.</t>
  </si>
  <si>
    <t>NCT05547906</t>
  </si>
  <si>
    <t>Evaluation of the Safety and Efficacy of ASCA101 in Patients With Advanced Solid Tumors</t>
  </si>
  <si>
    <t>MetaFines</t>
  </si>
  <si>
    <t>NCT05222152</t>
  </si>
  <si>
    <t>Chronocort Versus Plenadren Replacement Therapy in Adults With Adrenal Insufficiency</t>
  </si>
  <si>
    <t>Neurocrine UK Limited</t>
  </si>
  <si>
    <t>NCT04924114</t>
  </si>
  <si>
    <t>A Study of MK-6194 (PT101) in Participants With Active Ulcerative Colitis (UC) (MK-6194-002)</t>
  </si>
  <si>
    <t>NCT04336826</t>
  </si>
  <si>
    <t>A Study to Evaluate the Safety and Pharmacokinetics of Ataluren in Participants From ≥6 Months to &lt;2 Years of Age With Nonsense Mutation Duchenne Muscular Dystrophy (nmDMD)</t>
  </si>
  <si>
    <t>NCT06390098</t>
  </si>
  <si>
    <t>Positron Emission Tomography Study in Healthy Subjects to Determine the Relationship Between Plasma Concentration and Brain Target Occupancy of ASN51</t>
  </si>
  <si>
    <t>Asceneuron S.A.</t>
  </si>
  <si>
    <t>NCT04720716</t>
  </si>
  <si>
    <t>A Study to Compare the Effectiveness and Safety of IBI310 Combined With Sintilimab Versus Sorafenib in the First-line Treatment of Advanced HCC</t>
  </si>
  <si>
    <t>NCT04618393</t>
  </si>
  <si>
    <t>A Study of EMB-02 in Participants With Advanced Solid Tumors</t>
  </si>
  <si>
    <t>Shanghai EpimAb Biotherapeutics Co., Ltd.</t>
  </si>
  <si>
    <t>NCT05068921</t>
  </si>
  <si>
    <t>A Clinical Trial to Evaluate Tolerability and Pharmacokinetics of TQB2858 Injection in Subjects With Advanced Malignancy</t>
  </si>
  <si>
    <t>NCT05172726</t>
  </si>
  <si>
    <t>Tapinarof for the Treatment of Plaque Psoriasis in Pediatric Subjects</t>
  </si>
  <si>
    <t>NCT04518293</t>
  </si>
  <si>
    <t>Efficacy and Safety of GMRx2 Compared to Dual Combinations for the Treatment of Hypertension</t>
  </si>
  <si>
    <t>NCT04776148</t>
  </si>
  <si>
    <t>Study of Lenvatinib (MK-7902/E7080) in Combination With Pembrolizumab (MK-3475) Versus Standard of Care in Participants With Metastatic Colorectal Cancer (MK-7902-017/E7080-G000-325/LEAP-017)</t>
  </si>
  <si>
    <t>NCT05383898</t>
  </si>
  <si>
    <t>Study to Evaluate D-1553 in Subjects With Lung Cancer</t>
  </si>
  <si>
    <t>NCT04912063</t>
  </si>
  <si>
    <t>Study to Evaluate Adverse Events and Movement of Lemzoparlimab in Body When Used Intravenously (IV) With Azacitidine Subcutaneously or IV and Venetoclax Orally in Participants With Acute Myeloid Leukemia and With Azacitidine With or Without Venetoclax in Participants With Myelodysplastic Syndrome</t>
  </si>
  <si>
    <t>NCT04554914</t>
  </si>
  <si>
    <t>A Study to Evaluate Tabelecleucel in Participants With Epstein Barr Virus (EBV) Associated Diseases</t>
  </si>
  <si>
    <t>NCT04733521</t>
  </si>
  <si>
    <t>A Phase 1/2 Study of SC-43 in Combination With Cisplatin</t>
  </si>
  <si>
    <t>RaND Biosciences</t>
  </si>
  <si>
    <t>NCT04816916</t>
  </si>
  <si>
    <t>Efficacy and Safety of AXA1665 in Cirrhotic Subjects With Prior Overt Hepatic Encephalopathy</t>
  </si>
  <si>
    <t>NCT04641247</t>
  </si>
  <si>
    <t>A Long-term Treatment Extension Study of Niraparib in Participants Who Completed a Prior GlaxoSmithKline/TESARO-sponsored Niraparib Study</t>
  </si>
  <si>
    <t>NCT05057949</t>
  </si>
  <si>
    <t>A Study to Evaluate Drug-Drug Interaction of Larotinib With Itraconazole and Rifampin in Healthy Adult Participants</t>
  </si>
  <si>
    <t>NCT04789174</t>
  </si>
  <si>
    <t>Solriamfetol's Effect on Cognitive Health in Apnea Participants During a Randomized Placebo-controlled Study</t>
  </si>
  <si>
    <t>NCT04747613</t>
  </si>
  <si>
    <t>Long-term Safety and Tolerability of Iptacopan in Patients With Paroxysmal Nocturnal Hemoglobinuria</t>
  </si>
  <si>
    <t>NCT04967508</t>
  </si>
  <si>
    <t>A Study to Compare SB17 (Proposed Ustekinumab Biosimilar) to Stelara® in Subject With Moderate to Severe Plaque Psoriasis</t>
  </si>
  <si>
    <t>NCT04659174</t>
  </si>
  <si>
    <t>An Extension Study to Assess Long-term Safety, Tolerability, and Efficacy of KarXT in Adult Patients With Schizophrenia (EMERGENT-4)</t>
  </si>
  <si>
    <t>NCT04792489</t>
  </si>
  <si>
    <t>DALY II USA/ MB-CART2019.1 for DLBCL</t>
  </si>
  <si>
    <t>NCT05006768</t>
  </si>
  <si>
    <t>Bioequivalence Study of Baricitinib From Barcimiant 4 mg Film Coated Tablets (Horus Pharma, Egypt) and Olumiant 4 mg Film Coated Tablets (Eli Lilly Nederland B.V., The Netherlands)</t>
  </si>
  <si>
    <t>NCT04633213</t>
  </si>
  <si>
    <t>A Study Evaluating HBM9036 Efficacy and Safety on Moderate to Severe Dry Eye</t>
  </si>
  <si>
    <t>NCT03897491</t>
  </si>
  <si>
    <t>PD L 506 for Stereotactic Interstitial Photodynamic Therapy of Newly Diagnosed Supratentorial IDH Wild-type Glioblastoma</t>
  </si>
  <si>
    <t>photonamic GmbH &amp; Co. KG</t>
  </si>
  <si>
    <t>NCT05021120</t>
  </si>
  <si>
    <t>A Study to Evaluate the Safety, Pharmacokinetics, and Antitumor Activity of AK127 in Combination With AK104 in Advanced and Metastatic Solid Tumours</t>
  </si>
  <si>
    <t>NCT04895982</t>
  </si>
  <si>
    <t>Study to Evaluate Safety, Tolerability &amp; Immunogenicity of BNT162b2 in Immunocompromised Participants ≥2 Years</t>
  </si>
  <si>
    <t>NCT04963270</t>
  </si>
  <si>
    <t>A Study To Evaluate Efficacy, Safety, Pharmacokinetics, And Pharmacodynamics Of Satralizumab In Patients With Generalized Myasthenia Gravis</t>
  </si>
  <si>
    <t>NCT04810962</t>
  </si>
  <si>
    <t>Efficacy and Safety of APP13007 for Treatment of Inflammation and Pain After Cataract Surgery Including a Corneal Endothelial Cell Sub-study</t>
  </si>
  <si>
    <t>Formosa Pharmaceuticals, Inc.</t>
  </si>
  <si>
    <t>NCT04929210</t>
  </si>
  <si>
    <t>A Study of Guselkumab Administered Subcutaneously in Bio-naive Participants With Active Psoriatic Arthritis Axial Disease</t>
  </si>
  <si>
    <t>NCT04796324</t>
  </si>
  <si>
    <t>Anti-tumor Effect of Ixabepilone in Metastatic Breast Cancer (mBC) Selected by the Ixabepilone DRP.</t>
  </si>
  <si>
    <t>Allarity Therapeutics</t>
  </si>
  <si>
    <t>NCT04948788</t>
  </si>
  <si>
    <t>SHR1459 in Combination With YY-20394 in Recurrent and Refractory B-cell Non-Hodgkin's Lymphoma</t>
  </si>
  <si>
    <t>NCT04316442</t>
  </si>
  <si>
    <t>Study of the Safety and Efficacy of STI-6129 in Patients With Relapsed or Refractory Systemic AL Amyloidosis</t>
  </si>
  <si>
    <t>NCT05119894</t>
  </si>
  <si>
    <t>A Clinical Pharmacology Trial of Brexpiprazole Long Acting Injectable (LAI) Administered as a Single Dose in Patients With Schizophrenia</t>
  </si>
  <si>
    <t>NCT03919162</t>
  </si>
  <si>
    <t>A Trial to Evaluate the Efficacy and Safety of PQ912 in Patients With Early AD</t>
  </si>
  <si>
    <t>NCT05091723</t>
  </si>
  <si>
    <t>TD-0903 Pharmacokinetics Study in Healthy Participants With Supplemental Oxygenation</t>
  </si>
  <si>
    <t>NCT04579679</t>
  </si>
  <si>
    <t>Open-Label Surufatinib in European Patients With NET</t>
  </si>
  <si>
    <t>NCT04871646</t>
  </si>
  <si>
    <t>Phase 3 Clinical Trial to Evaluate the Efficacy and Safety of CKD-314</t>
  </si>
  <si>
    <t>NCT05419427</t>
  </si>
  <si>
    <t>Denosumab Biosimilar Injection in Post Menopausal Women With Osteoporosis</t>
  </si>
  <si>
    <t>Lambda Therapeutic Research Ltd.</t>
  </si>
  <si>
    <t>NCT05050682</t>
  </si>
  <si>
    <t>Study to Investigate the Mass Balance, Metabolism, and Excretion of [14C]-PF-07304814 in Healthy Participants</t>
  </si>
  <si>
    <t>NCT05061979</t>
  </si>
  <si>
    <t>A Study to Evaluate the Pharmacokinetics (How it Moves Into, Through and Out From the Body) of a New Gadolinium-based Contrast Agent (GBCA) After Injection and How Safe it is in Participants With Normal and Impaired Renal Function</t>
  </si>
  <si>
    <t>NCT05077488</t>
  </si>
  <si>
    <t>VFORM: Prospective, Open Label, Study to Evaluate VOLIFT With Lidocaine Treatment for FORehead Contouring and Marionette Lines</t>
  </si>
  <si>
    <t>NCT04712396</t>
  </si>
  <si>
    <t>A Study to Assess How Itraconazole Affects the Uptake and Elimination of Capivasertib in the Body</t>
  </si>
  <si>
    <t>NCT05212896</t>
  </si>
  <si>
    <t>An Exploratory Clinical Study of BC006 in Patients With Advanced Solid Tumors</t>
  </si>
  <si>
    <t>NCT04784091</t>
  </si>
  <si>
    <t>Trial to Evaluate the Safety and Efficacy of TP-03 for the Treatment of Demodex Blepharitis</t>
  </si>
  <si>
    <t>NCT04647890</t>
  </si>
  <si>
    <t>Effects of FT011 in Systemic Sclerosis</t>
  </si>
  <si>
    <t>Certa Therapeutics</t>
  </si>
  <si>
    <t>NCT04906421</t>
  </si>
  <si>
    <t>Study of TVB-2640 in Subjects With Nonalcoholic Steatohepatitis (NASH)</t>
  </si>
  <si>
    <t>Sagimet Biosciences Inc.</t>
  </si>
  <si>
    <t>NCT05016687</t>
  </si>
  <si>
    <t>First-in-human Clinical Trial Evaluating CUR-N399 in Healthy Volunteers.</t>
  </si>
  <si>
    <t>Curovir AB</t>
  </si>
  <si>
    <t>NCT05152563</t>
  </si>
  <si>
    <t>A Study to Assess Subcutaneous AK002 in Eosinophilic Gastritis and/or Eosinophilic Duodenitis</t>
  </si>
  <si>
    <t>NCT05058352</t>
  </si>
  <si>
    <t>A Study of HS269 in Patients With Advanced Solid Tumors</t>
  </si>
  <si>
    <t>NCT04855747</t>
  </si>
  <si>
    <t>A Study to Assess the Efficacy and Safety of REL-1017 as Adjunctive Treatment for Major Depressive Disorder (MDD)</t>
  </si>
  <si>
    <t>Levomecor Inc.</t>
  </si>
  <si>
    <t>NCT04719832</t>
  </si>
  <si>
    <t>Placebo-controlled Efficacy and Safety Study of GSK3511294 (Depemokimab) in Participants With Severe Asthma With an Eosinophilic Phenotype</t>
  </si>
  <si>
    <t>NCT04211714</t>
  </si>
  <si>
    <t>Study to Evaluate of EXG34217 in Patients With Telomere Biology Disorders With Bone Marrow Failure</t>
  </si>
  <si>
    <t>Elixirgen Therapeutics, Inc.</t>
  </si>
  <si>
    <t>NCT04802863</t>
  </si>
  <si>
    <t>Intrapulmonary Pharmacokinetics of XNW4107, Imipenem and Cilastatin in Healthy Subjects</t>
  </si>
  <si>
    <t>NCT04839016</t>
  </si>
  <si>
    <t>Efficacy 、Safety and PK of SHR-1314 in Patients With Moderate-to-Severe Plaque Psoriasis</t>
  </si>
  <si>
    <t>NCT04533347</t>
  </si>
  <si>
    <t>Tafenoquine in Patients With Mild to Moderate COVID-19</t>
  </si>
  <si>
    <t>60 Degrees Pharmaceuticals LLC</t>
  </si>
  <si>
    <t>NCT05227768</t>
  </si>
  <si>
    <t>Safety and Pharmacokinetics Study of Single Ascending Doses of VV116 in Healthy Volunteers</t>
  </si>
  <si>
    <t>NCT04738123</t>
  </si>
  <si>
    <t>A Study to Assess Efficacy and Safety of KarXT in Acutely Psychotic Hospitalized Adult Patients With Schizophrenia (EMERGENT-3)</t>
  </si>
  <si>
    <t>NCT04880291</t>
  </si>
  <si>
    <t>First-In-Human Study of GFB-024 in Healthy Overweight and Obese Participants, and Participants With Type 2 Diabetes</t>
  </si>
  <si>
    <t>NCT04666259</t>
  </si>
  <si>
    <t>Asciminib in Monotherapy for Chronic Myeloid Leukemia in Chronic Phase (CML-CP) With and Without T315I Mutation</t>
  </si>
  <si>
    <t>NCT05139810</t>
  </si>
  <si>
    <t>OASIS-HAE: A Study to Evaluate the Safety and Efficacy of Donidalorsen (ISIS 721744 or IONIS-PKK-LRx) in Participants With Hereditary Angioedema (HAE)</t>
  </si>
  <si>
    <t>NCT05031624</t>
  </si>
  <si>
    <t>A Phase 1 Study of Subcutaneous CDX-0159 in Healthy Subjects</t>
  </si>
  <si>
    <t>NCT04283097</t>
  </si>
  <si>
    <t>Safety, Tolerability and Pharmacokinetics Study of KPG-818 in Hematological Malignancies Subjects</t>
  </si>
  <si>
    <t>NCT04853524</t>
  </si>
  <si>
    <t>A Study of JNJ-56136379 in Healthy Participants</t>
  </si>
  <si>
    <t>NCT04860960</t>
  </si>
  <si>
    <t>Phase 3 Study to Evaluate Intravenous Trappsol(R) Cyclo(TM) in Pediatric and Adult Patients With Niemann-Pick Disease Type C1</t>
  </si>
  <si>
    <t>Cyclo Therapeutics, Inc.</t>
  </si>
  <si>
    <t>NCT04903158</t>
  </si>
  <si>
    <t>Relative Bioavailability Study of SHR3680</t>
  </si>
  <si>
    <t>NCT05167071</t>
  </si>
  <si>
    <t>HBM4003 Combine With Toripalimab in Patients With Advanced NEN and Other Solid Tumors Study</t>
  </si>
  <si>
    <t>NCT05205811</t>
  </si>
  <si>
    <t>The Effects of Combination Zonisamide and Bupropion on Switching to an Electronic Cigarette</t>
  </si>
  <si>
    <t>NCT04526119</t>
  </si>
  <si>
    <t>A Phase III Trial of Z-338 in Paediatric Patients With Functional Dyspepsia</t>
  </si>
  <si>
    <t>NCT04565392</t>
  </si>
  <si>
    <t>Remotely-conducted Trial of Famotidine vs Placebo for Patients at Home With Coronavirus (COVID) of 2019 (COVID-19)</t>
  </si>
  <si>
    <t>drpykessupplements.com</t>
  </si>
  <si>
    <t>NCT04976634</t>
  </si>
  <si>
    <t>Pembrolizumab Plus Lenvatinib in Combination With Belzutifan in Solid Tumors (MK-6482-016)</t>
  </si>
  <si>
    <t>NCT05029609</t>
  </si>
  <si>
    <t>Phase 1b Multiple Ascending Dose Study of Foralumab in Primary and Secondary Progressive MS</t>
  </si>
  <si>
    <t>Tiziana Life Sciences LTD</t>
  </si>
  <si>
    <t>NCT04619420</t>
  </si>
  <si>
    <t>A Study of JNJ-63733657 in Participants With Early Alzheimer's Disease</t>
  </si>
  <si>
    <t>NCT04714359</t>
  </si>
  <si>
    <t>A Multi-Site Open-Label Extension Study of MDMA-Assisted Psychotherapy for PTSD</t>
  </si>
  <si>
    <t>NCT04678882</t>
  </si>
  <si>
    <t>Dupilumab in Japanese Patients With Atopic Dermatitis</t>
  </si>
  <si>
    <t>NCT04937920</t>
  </si>
  <si>
    <t>A Trial to Evaluate the Safety and Antimicrobial Efficacy of DBI-002 Probiotic in Adults With Tinea Versicolor</t>
  </si>
  <si>
    <t>NCT04583280</t>
  </si>
  <si>
    <t>A Study of Rilematovir in Infants and Children and Subsequently in Neonates Hospitalized With Acute Respiratory Tract Infection Due to Respiratory Syncytial Virus (RSV)</t>
  </si>
  <si>
    <t>NCT04770779</t>
  </si>
  <si>
    <t>A Study Evaluating the Efficacy and Safety of Mitapivat in Participants With Transfusion-Dependent Alpha- or Beta-Thalassemia (α- or β-TDT)</t>
  </si>
  <si>
    <t>NCT04714320</t>
  </si>
  <si>
    <t>A Study to Assess the Safety, Tolerability and Efficacy of IONIS-AGT-LRx in Hypertensive Participants With Uncontrolled Blood Pressure</t>
  </si>
  <si>
    <t>NCT04960124</t>
  </si>
  <si>
    <t>A Study to Evaluate the Effect of Hepatic Impairment on JNJ-42847922 in Adult Participants</t>
  </si>
  <si>
    <t>NCT04734860</t>
  </si>
  <si>
    <t>Study to Evaluate a Single Dose of STI-2020 (COVI-AMG™) in Adults With Mild COVID-19 Symptoms</t>
  </si>
  <si>
    <t>NCT05125679</t>
  </si>
  <si>
    <t>Effect of Guselkumab on Cardiovascular Risk Surrogate Markers in Participants With Moderate to Severe Plaque Psoriasis</t>
  </si>
  <si>
    <t>Janssen-Cilag Ltd.</t>
  </si>
  <si>
    <t>NCT04687423</t>
  </si>
  <si>
    <t>Study of FCN-011 in Patients With Advanced Solid Tumor（Phase I）and NTRK Fusion Positive Advanced Solid Tumor （Phase II）</t>
  </si>
  <si>
    <t>NCT04734873</t>
  </si>
  <si>
    <t>CPI-006 Plus Standard of Care Versus Placebo Plus Standard of Care in Mild to Moderately Symptomatic Hospitalized Covid-19 Patients</t>
  </si>
  <si>
    <t>NCT04845178</t>
  </si>
  <si>
    <t>Investigation of Safety and Efficacy of ABP-450 for Migraine Prevention in Adults</t>
  </si>
  <si>
    <t>NCT05252715</t>
  </si>
  <si>
    <t>Immunogenicity and Safety of Meningococcal ACYW135 Polysaccharide Conjugate Vaccine in Volunteers Aged From 3 to 5 Months</t>
  </si>
  <si>
    <t>NCT04811625</t>
  </si>
  <si>
    <t>Pharmacodynamic and Pharmacokinetic Study of PL-ASA</t>
  </si>
  <si>
    <t>NCT04907968</t>
  </si>
  <si>
    <t>Study of Upifitamab Rilsodotin in Combination With Carboplatin in Participants With High-grade Serous Ovarian Cancer</t>
  </si>
  <si>
    <t>NCT04807335</t>
  </si>
  <si>
    <t>Study of CT001 in Healthy Volunteers</t>
  </si>
  <si>
    <t>NCT05124340</t>
  </si>
  <si>
    <t>Safety and Tuberculin Conversion Following BCG Vaccination</t>
  </si>
  <si>
    <t>NCT06329674</t>
  </si>
  <si>
    <t>Efficacy and Safety of AJU-A51 in Type 2 Diabetes Mellitus Patients</t>
  </si>
  <si>
    <t>NCT04855435</t>
  </si>
  <si>
    <t>Safety and Preliminary Efficacy of MBS8(1V270) in Cancer Patients With Advanced Solid Tumours</t>
  </si>
  <si>
    <t>MonTa Biosciences ApS</t>
  </si>
  <si>
    <t>NCT04365374</t>
  </si>
  <si>
    <t>Post-Surgical Stereotactic Radiotherapy (SRT) Versus GammaTile-ROADS (Radiation One and Done Study)</t>
  </si>
  <si>
    <t>GT Medical Technologies, Inc.</t>
  </si>
  <si>
    <t>NCT05027568</t>
  </si>
  <si>
    <t>A Study to Assess an ATX Inhibitor (IOA-289) in Healthy Volunteers</t>
  </si>
  <si>
    <t>NCT04698018</t>
  </si>
  <si>
    <t>A Research Study to Look at How Faster Aspart Works in Chinese People With Type 1 Diabetes or Type 2 Diabetes</t>
  </si>
  <si>
    <t>NCT06062602</t>
  </si>
  <si>
    <t>PBI-MST-01(NCT04541108) Substudy TAK-02: Intratumoral Microdosing of TAK-676 in HNSCC</t>
  </si>
  <si>
    <t>NCT04909502</t>
  </si>
  <si>
    <t>Evaluation of Safety, Tolerability and Preliminary Efficacy of EHP-101 in Relapsing Forms of Multiple Sclerosis</t>
  </si>
  <si>
    <t>NCT05417997</t>
  </si>
  <si>
    <t>Effect of Kunamin in SARS-CoV-2 RT-PCR Positive Covid-19 Patients</t>
  </si>
  <si>
    <t>RAAS Nutritionals, LLC</t>
  </si>
  <si>
    <t>NCT05098197</t>
  </si>
  <si>
    <t>A Study of GC101 TIL in Advanced Hepatobiliary-Pancreatic Cancers (10hospital)</t>
  </si>
  <si>
    <t>NCT04747431</t>
  </si>
  <si>
    <t>A Study of PBFT02 in Participants With FTD and Mutations in the Granulin Precursor (GRN) or C9ORF72 Genes</t>
  </si>
  <si>
    <t>Passage Bio, Inc.</t>
  </si>
  <si>
    <t>NCT05059223</t>
  </si>
  <si>
    <t>A Study to Assess the Efficacy and Safety of AXS-12 (Reboxetine) in Patients With Narcolepsy</t>
  </si>
  <si>
    <t>NCT04909450</t>
  </si>
  <si>
    <t>Study to Evaluate the Safety and Efficacy of CSB-001 Ophthalmic Solution 0.1% in Neurotrophic Keratitis Subjects</t>
  </si>
  <si>
    <t>Claris Biotherapeutics, Inc.</t>
  </si>
  <si>
    <t>NCT04800874</t>
  </si>
  <si>
    <t>Study of BBP-418 in Patients With LGMD2I</t>
  </si>
  <si>
    <t>ML Bio Solutions, Inc.</t>
  </si>
  <si>
    <t>NCT04911790</t>
  </si>
  <si>
    <t>Safety of an Inactivated SARS-CoV-2 Vaccine for Prevention of COVID-19 in Adults</t>
  </si>
  <si>
    <t>NCT04737538</t>
  </si>
  <si>
    <t>A Proof-of-principle Clinical Study Investigating the Efficacy of an Experimental Dentifrice Containing Sodium Bicarbonate and Sodium Hyaluronate on Gingivitis</t>
  </si>
  <si>
    <t>NCT04563026</t>
  </si>
  <si>
    <t>A Phase 2b Study in Subjects With Alcoholic Hepatitis to Evaluate Safety and Efficacy of DUR-928 Treatment</t>
  </si>
  <si>
    <t>NCT04748926</t>
  </si>
  <si>
    <t>Food Effect and Relative Bioavailability Study of Rilzabrutinib in Healthy Participants</t>
  </si>
  <si>
    <t>NCT04636515</t>
  </si>
  <si>
    <t>A Phase Ⅱ Study of F520 in Patients With Urothelial Carcinoma</t>
  </si>
  <si>
    <t>NCT04873115</t>
  </si>
  <si>
    <t>Double-blind, Placebo-controlled, Randomized Clinical Trial Comparing the Efficacy and Safety of Sialanar Plus orAl rehabiLitation Against Placebo Plus Oral Rehabilitation for chIldren and Adolescents With seVere Sialorrhoea and Neurodisabilties,</t>
  </si>
  <si>
    <t>Proveca Pharma Limited</t>
  </si>
  <si>
    <t>NCT04709835</t>
  </si>
  <si>
    <t>Study to Evaluate the Effects of AT-527 in Non-Hospitalized Adult Patients With Mild or Moderate COVID-19</t>
  </si>
  <si>
    <t>NCT04545515</t>
  </si>
  <si>
    <t>A Study Evaluating the Long-term Safety and Efficacy of Elexacaftor/Tezacaftor/Ivacaftor in Cystic Fibrosis (CF) Particpants 6 Years and Older and F/MF Genotypes</t>
  </si>
  <si>
    <t>NCT04982913</t>
  </si>
  <si>
    <t>Single Dose and Multiple Dose Safety, Tolerability, PK，and Food Effect Study，and Interaction With Oseltamivir Study of HEC116094 in Healthy Adult Subjects</t>
  </si>
  <si>
    <t>NCT04620590</t>
  </si>
  <si>
    <t>Dapagliflozin Treatment in Type 2 Diabetes</t>
  </si>
  <si>
    <t>NCT04939610</t>
  </si>
  <si>
    <t>A Study of 177Lu-FAP-2286 in Advanced Solid Tumors</t>
  </si>
  <si>
    <t>NCT05046873</t>
  </si>
  <si>
    <t>A Research Study Looking Into Blood Levels of Semaglutide and NNC0480-0389 When Given in the Same Injection or in Two Separate Injections in Healthy People</t>
  </si>
  <si>
    <t>NCT05228470</t>
  </si>
  <si>
    <t>A Study of Elranatamab (PF-06863135) in Chinese Participants With Refractory Multiple Myeloma.</t>
  </si>
  <si>
    <t>NCT05145127</t>
  </si>
  <si>
    <t>Open-Label Extension Study of Marstacimab in Hemophilia Participants With or Without Inhibitors</t>
  </si>
  <si>
    <t>NCT04796194</t>
  </si>
  <si>
    <t>Intratumoral Injection of LTX-315 in Combination With Pembrolizumab in Advanced Melanoma</t>
  </si>
  <si>
    <t>Lytix Biopharma AS</t>
  </si>
  <si>
    <t>NCT04976283</t>
  </si>
  <si>
    <t>Effect of Oral Anti-diabetic Medication on Liver Fat in Subjects With Type II Diabetes and Non-alcoholic Fatty Liver</t>
  </si>
  <si>
    <t>NCT04923269</t>
  </si>
  <si>
    <t>A Study of LY3532226 in Healthy Participants</t>
  </si>
  <si>
    <t>NCT05356793</t>
  </si>
  <si>
    <t>The Efficacy Of SCH1 In The Treatment Of Acute Infectious Conjunctivitis</t>
  </si>
  <si>
    <t>Sacsh</t>
  </si>
  <si>
    <t>NCT05136898</t>
  </si>
  <si>
    <t>Feasibility of Home Instillation of UGN-102 for Treatment of Low-Grade (LG) Non-Muscle Invasive Bladder Cancer (NMIBC)</t>
  </si>
  <si>
    <t>NCT05906199</t>
  </si>
  <si>
    <t>A Study to Compare the Effects of Improving the Carotid Artery Intima Media Thickness and Changing Lipid Levels by Cilostazol/Ginkgo Leaf Extract and Aspirin in Diabetic Peripheral Angiopathy.</t>
  </si>
  <si>
    <t>NCT04676633</t>
  </si>
  <si>
    <t>Safety, Tolerability, PK, Anti-Tumor Activity of STP705 in Subjects With Advanced/Metastatic or Surgically Unresectable Solid Tumors Who Are Refractory to Standard Therapy</t>
  </si>
  <si>
    <t>NCT04781647</t>
  </si>
  <si>
    <t>A Study Evaluating ABI-H0731-containing Regimens in Chinese Participants With Chronic Hepatitis B Virus Infection</t>
  </si>
  <si>
    <t>NCT05066230</t>
  </si>
  <si>
    <t>A Study to Evaluate the Efficacy and Safety of Intravitreal KSI-301 in Non-proliferative Diabetic Retinopathy (NPDR)</t>
  </si>
  <si>
    <t>NCT07239765</t>
  </si>
  <si>
    <t>A Study to Evaluate the Safety, Efficacy, and PPK of ABCD in Patients With IMD</t>
  </si>
  <si>
    <t>NCT04699877</t>
  </si>
  <si>
    <t>A Study to Investigate the Effect of Severe Renal Impairment on Gilteritinib Compared to Healthy Participants With Normal Renal Function</t>
  </si>
  <si>
    <t>NCT04742036</t>
  </si>
  <si>
    <t>Capivasertib China PK Study</t>
  </si>
  <si>
    <t>NCT06715319</t>
  </si>
  <si>
    <t>Obeticholic Acid Versus Placebo, in Combination with Ursodeoxycholic Acid in Patients with Primary Biliary Cirrhosis</t>
  </si>
  <si>
    <t>NCT05096832</t>
  </si>
  <si>
    <t>Recombinant SARS-CoV-2 Fusion Protein Vaccine (V-01) Booster Study</t>
  </si>
  <si>
    <t>NCT05032144</t>
  </si>
  <si>
    <t>The Safety and Tolerability of STSA-1002 Following Intravenous Infusion in Healthy Subjects</t>
  </si>
  <si>
    <t>NCT04577963</t>
  </si>
  <si>
    <t>A Study of Fruquintinib in Combination With Tislelizumab in Advanced Solid Tumors</t>
  </si>
  <si>
    <t>NCT04855721</t>
  </si>
  <si>
    <t>A Dose-Ranging Phase II Study of AUR101 in Psoriasis (INDUS-3)</t>
  </si>
  <si>
    <t>NCT05214599</t>
  </si>
  <si>
    <t>Pharmacokinetics, Efficacy, Tolerability and Safety of Different Budesonide Oral Gel Doses in Adults' Subjects of Both Genders With Eosinophilic Esophagitis (EoE)</t>
  </si>
  <si>
    <t>Bazell Pharma AG</t>
  </si>
  <si>
    <t>NCT05103332</t>
  </si>
  <si>
    <t>Zilebesiran as Add-on Therapy in Patients With Hypertension Not Adequately Controlled by a Standard of Care Antihypertensive Medication (KARDIA-2)</t>
  </si>
  <si>
    <t>NCT05113693</t>
  </si>
  <si>
    <t>Study to Evaluate the Pharmacokinetic Profiles and Safety of CKD-393</t>
  </si>
  <si>
    <t>NCT05077384</t>
  </si>
  <si>
    <t>Open-label Study of Surufatinib in Japanese Patients</t>
  </si>
  <si>
    <t>NCT04907149</t>
  </si>
  <si>
    <t>Evaluation of Mass Balance and Absolute Bioavailability of GLPG3970</t>
  </si>
  <si>
    <t>NCT04753606</t>
  </si>
  <si>
    <t>Randomized Study of Obicetrapib as an Adjunct to Statin Therapy</t>
  </si>
  <si>
    <t>NewAmsterdam Pharma</t>
  </si>
  <si>
    <t>NCT05168644</t>
  </si>
  <si>
    <t>Single Ascending Dose and Multiple Ascending Dose Study of Niclosamide Inhalation Powder in Healthy Adult Subjects</t>
  </si>
  <si>
    <t>NCT04739293</t>
  </si>
  <si>
    <t>Study of ON 123300 in Patients With Advanced Cancer</t>
  </si>
  <si>
    <t>Traws Pharma, Inc.</t>
  </si>
  <si>
    <t>NCT04890106</t>
  </si>
  <si>
    <t>Bioequivalence Study With Clinical Endpoint Comparing Bimatoprost Ophthalmic Solution 0.01% to LUMIGAN® In The Treatment of Chronic Open-Angle Glaucoma</t>
  </si>
  <si>
    <t>Mankind Pharma Limited</t>
  </si>
  <si>
    <t>NCT04941755</t>
  </si>
  <si>
    <t>A Study to Determine the Effect of Famotidine on the Drug Levels of BMS-986256 in Healthy Participants</t>
  </si>
  <si>
    <t>NCT04882878</t>
  </si>
  <si>
    <t>A Study of Nipocalimab in Adult Participants With Active Systemic Lupus Erythematosus</t>
  </si>
  <si>
    <t>NCT04940078</t>
  </si>
  <si>
    <t>A Research Study to Compare Blood Levels of Cagrilintide and Semaglutide After Combined Versus Separate Injections in People With Overweight or Obesity</t>
  </si>
  <si>
    <t>NCT04600778</t>
  </si>
  <si>
    <t>A Randomized, Double-Blind, Placebo-Controlled, Parallel-Group, Multicenter Study to Evaluate the Efficacy and Safety of Cavosonstat Administered Twice Daily Compared With Placebo for 24 Weeks in Adult Subjects With Chronic Obstructive Pulmonary Disease (COPD)</t>
  </si>
  <si>
    <t>GSNOR Therapeutics, Inc.</t>
  </si>
  <si>
    <t>NCT04984876</t>
  </si>
  <si>
    <t>Efficacy and Safety of QGE031 (Ligelizumab) in Patients With Peanut Allergy</t>
  </si>
  <si>
    <t>NCT06439433</t>
  </si>
  <si>
    <t>ALA-PDT in Patients With CIN2 in p16-positivity and High-risk HPV Infection</t>
  </si>
  <si>
    <t>NCT04685135</t>
  </si>
  <si>
    <t>Phase 3 Study of MRTX849 (Adagrasib) vs Docetaxel in Patients With Advanced Non-Small Cell Lung Cancer With KRAS G12C Mutation</t>
  </si>
  <si>
    <t>NCT04804540</t>
  </si>
  <si>
    <t>A Study of Vedolizumab in People With Ulcerative Colitis and Crohn's Disease</t>
  </si>
  <si>
    <t>NCT04443868</t>
  </si>
  <si>
    <t>Nitric Oxide Releasing Solution to Treat and Prevent Exacerbation of Mild COVID-19 Infection</t>
  </si>
  <si>
    <t>NCT05007782</t>
  </si>
  <si>
    <t>Study of Denikitug (GS-1811) Given Alone or With Zimberelimab in Adults With Advanced Solid Tumors</t>
  </si>
  <si>
    <t>NCT04979442</t>
  </si>
  <si>
    <t>Treatment of Milademetan Versus Trabectedin in Patient With Dedifferentiated Liposarcoma</t>
  </si>
  <si>
    <t>Rain Oncology Inc</t>
  </si>
  <si>
    <t>NCT04544410</t>
  </si>
  <si>
    <t>A Ph2b to Evaluate Tildacerfont in the Reduction of Glucocorticoid Steroid Doses in Adult CAH</t>
  </si>
  <si>
    <t>NCT04571879</t>
  </si>
  <si>
    <t>Nebulized Lidocaine and Intranasal Midazolam for NGT Insertion in Children</t>
  </si>
  <si>
    <t>NCT04093362</t>
  </si>
  <si>
    <t>Futibatinib Versus Gemcitabine-Cisplatin Chemotherapy as First-Line Treatment of Patients With Advanced Cholangiocarcinoma Harboring FGFR2 Gene Rearrangements</t>
  </si>
  <si>
    <t>NCT04718961</t>
  </si>
  <si>
    <t>A Placebo-controlled Study of Volixibat in Subjects With Elevated Serum Bile Acids Associated With Intrahepatic Cholestasis of Pregnancy (OHANA)</t>
  </si>
  <si>
    <t>NCT04188574</t>
  </si>
  <si>
    <t>A Trial Involving Treatment of BB2603 in Subjects With Distal Subungual Onychomycosis of the Toenail</t>
  </si>
  <si>
    <t>Blueberry Therapeutics</t>
  </si>
  <si>
    <t>NCT04776018</t>
  </si>
  <si>
    <t>A Study Of TAK-981 Given With Monoclonal Antibodies (mAbs) In Adults With Relapsed or Refractory Multiple Myeloma (RRMM)</t>
  </si>
  <si>
    <t>NCT05138796</t>
  </si>
  <si>
    <t>A Pharmacokinetic Study of TP-05 in Healthy Subjects</t>
  </si>
  <si>
    <t>NCT05205070</t>
  </si>
  <si>
    <t>A Study to Evaluate the Efficacy and Safety of Rosnilimab (ANB030) in Treatment of Subjects With Moderate-to-Severe Alopecia Areata</t>
  </si>
  <si>
    <t>AnaptysBio, Inc.</t>
  </si>
  <si>
    <t>NCT05145413</t>
  </si>
  <si>
    <t>A Study to Assess Efficacy and Safety of Adjunctive KarXT in Subjects With Inadequately Controlled Symptoms of Schizophrenia</t>
  </si>
  <si>
    <t>NCT04990479</t>
  </si>
  <si>
    <t>Nous-PEV: a Novel Immunotherapy for Lung Cancer and Melanoma</t>
  </si>
  <si>
    <t>Nouscom SRL</t>
  </si>
  <si>
    <t>NCT04625361</t>
  </si>
  <si>
    <t>Single and Multiple Dose Safety, Tolerability, PK and Food Effect Study of HEC122505MsOH Tablets in Healthy Adult Subjects</t>
  </si>
  <si>
    <t>NCT05102903</t>
  </si>
  <si>
    <t>A Clinical Trial to Compare the Pharmacokinetics and Safety of "BR1016A" With "BR1016B" in Healthy Volunteers</t>
  </si>
  <si>
    <t>NCT04841720</t>
  </si>
  <si>
    <t>A Study Evaluating Drug-Drug Interaction (DDI) Between HSK16149 Capsules and Metformin Hydrochloride Tablets</t>
  </si>
  <si>
    <t>NCT04747808</t>
  </si>
  <si>
    <t>Study of LL-BMT1 in Patients With Elevated Intraocular Pressure</t>
  </si>
  <si>
    <t>MediPrint Ophthalmics, Inc.</t>
  </si>
  <si>
    <t>NCT04946890</t>
  </si>
  <si>
    <t>A Study of MRX2843 in Subjects With Relapsed/Refractory Acute Myeloid Leukemia</t>
  </si>
  <si>
    <t>NCT04490018</t>
  </si>
  <si>
    <t>Study on a Quadrivalent Meningococcal Conjugate Vaccine (MenACYW Conjugate Vaccine) Compared to a Meningococcal Reference Vaccine, and When Given Alone or With Two Other Vaccines in Healthy Adolescents</t>
  </si>
  <si>
    <t>NCT04528082</t>
  </si>
  <si>
    <t>Apremilast Pediatric Study in Children With Active Oral Ulcers Associated With Behçet's Disease</t>
  </si>
  <si>
    <t>NCT04892043</t>
  </si>
  <si>
    <t>Study of SQZ-AAC-HPV in Patients With HPV16+ Recurrent, Locally Advanced or Metastatic Solid Tumors</t>
  </si>
  <si>
    <t>NCT05245578</t>
  </si>
  <si>
    <t>Safety Evaluation of KX01 Ointment 1% in Japanese Healthy Male Subjects</t>
  </si>
  <si>
    <t>NCT05143996</t>
  </si>
  <si>
    <t>CLN-049 in Patients With Relapsed/Refractory Acute Myeloid Leukemia (AML) or Myelodysplastic Syndrome (MDS)</t>
  </si>
  <si>
    <t>Cullinan Therapeutics Inc.</t>
  </si>
  <si>
    <t>NCT04985825</t>
  </si>
  <si>
    <t>Imgatuzumab in Patients With Advanced Cutaneous Squamous Cell Carcinoma</t>
  </si>
  <si>
    <t>Pega-One S.A.S.</t>
  </si>
  <si>
    <t>NCT04764448</t>
  </si>
  <si>
    <t>A Study of Belcesiran in Patients With AATLD</t>
  </si>
  <si>
    <t>NCT04833855</t>
  </si>
  <si>
    <t>Study to Evaluate Tezepelumab in Adults With Chronic Spontaneous Urticaria</t>
  </si>
  <si>
    <t>NCT04684485</t>
  </si>
  <si>
    <t>To Assess the Efficacy and Safety of SCD-044 in the Treatment of Moderate to Severe Atopic Dermatitis</t>
  </si>
  <si>
    <t>NCT04606589</t>
  </si>
  <si>
    <t>Feasibility Study Evaluating the Efficacy of a Wireless Vital Signs Monitor for Critically Ill Newborns in Kenya</t>
  </si>
  <si>
    <t>Neopenda, PBC</t>
  </si>
  <si>
    <t>NCT04989816</t>
  </si>
  <si>
    <t>Study of T-DXd Monotherapy in Patients With HER2-expressing Locally Advanced or Metastatic Gastric or GEJ Adenocarcinoma Who Have Received 2 or More Prior Regimens</t>
  </si>
  <si>
    <t>NCT04882540</t>
  </si>
  <si>
    <t>A Study to Evaluate the Pharmacokinetics and Safety of Brivaracetam in Healthy Chinese Subjects</t>
  </si>
  <si>
    <t>NCT04713189</t>
  </si>
  <si>
    <t>Effectiveness and Tolerance of Inhaled Fentanyl Aerosol (25µg/Dose) in Chinese Patients With Breakthrough Cancer Pain</t>
  </si>
  <si>
    <t>NCT04368806</t>
  </si>
  <si>
    <t>A Phase 2b/3a Study to Evaluate the Efficacy and Safety of JointStem in Patients Diagnosed as Knee Osteoarthritis</t>
  </si>
  <si>
    <t>Nature Cell Co. Ltd.</t>
  </si>
  <si>
    <t>NCT04859452</t>
  </si>
  <si>
    <t>A Study to Evaluate the DDI of DBPR108 With Metformin,Glibenclamide,Valsartan, or Simvastatin in Healthy Subjects</t>
  </si>
  <si>
    <t>NCT04796948</t>
  </si>
  <si>
    <t>A Study of Irinotecan Liposome in Advanced Pancreatic Cancer</t>
  </si>
  <si>
    <t>NCT04915755</t>
  </si>
  <si>
    <t>Efficacy and Safety Comparison of Niraparib to Placebo in Participants With Human Epidermal Growth Factor 2 Negative (HER2-) Breast Cancer Susceptibility Gene Mutation (BRCAmut) or Triple-Negative Breast Cancer (TNBC) With Molecular Disease</t>
  </si>
  <si>
    <t>NCT05356143</t>
  </si>
  <si>
    <t>A Comparative Study of Rupatadine 10 mg Tablets and Clarinex® 5 mg Tablets Under Fasting Conditions</t>
  </si>
  <si>
    <t>J. Uriach and Company</t>
  </si>
  <si>
    <t>NCT04671355</t>
  </si>
  <si>
    <t>TRIMBOW® and RELVAR® on Lung Stiffness Reduction Assessed Through Forced Oscillation Technique in Patients With COPD</t>
  </si>
  <si>
    <t>NCT04768855</t>
  </si>
  <si>
    <t>A Study of LY3540378 in Healthy Participants</t>
  </si>
  <si>
    <t>NCT04888715</t>
  </si>
  <si>
    <t>To Evaluate Drug-drug Interactions Between DWN12088 and Pirfenidone or Nintedanib in Healthy Volunteers</t>
  </si>
  <si>
    <t>NCT04593758</t>
  </si>
  <si>
    <t>To Evaluate Maximally Tolerated Dose (MTD), Safety and Efficacy of CPI-613® (Devimistat) Plus Hydroxychloroquine in Patients With Relapsed or Refractory Clear Cell Sarcoma of Soft Tissue</t>
  </si>
  <si>
    <t>Cornerstone Pharmaceuticals</t>
  </si>
  <si>
    <t>NCT04818515</t>
  </si>
  <si>
    <t>Study To Assess Adverse Events and Drug to Drug Interaction of Oral Tablet Atogepant and Ubrogepant in Adult Participants With a History of Migraine</t>
  </si>
  <si>
    <t>NCT04667416</t>
  </si>
  <si>
    <t>Safety and Preliminary Efficacy of PalinGen Flow Amniotic Tissue Allograft in Chronic Ulcers of the Lower Extremities</t>
  </si>
  <si>
    <t>Amnio Technology, LLC</t>
  </si>
  <si>
    <t>NCT06197789</t>
  </si>
  <si>
    <t>Safety and Efficacy Study of TPX-105 for Correction of Nasojugal Groove</t>
  </si>
  <si>
    <t>NCT05006950</t>
  </si>
  <si>
    <t>SPY Fluorescence Imaging Systems and Indocyanine Green to Determine the Percentage of Successful Critical Anatomy Recognition in Laparoscopic Cholecystectomy Surgeries.</t>
  </si>
  <si>
    <t>Stryker Endoscopy</t>
  </si>
  <si>
    <t>NCT05441904</t>
  </si>
  <si>
    <t>Study to Assess the Safety, Tolerability, and Pharmacokinetics of PXL770 in Healthy Subjects.</t>
  </si>
  <si>
    <t>NCT06099535</t>
  </si>
  <si>
    <t>A Study of LNK01001 Capsule in Moderately to Severely Active Rheumatoid Arthritis</t>
  </si>
  <si>
    <t>Lynk Pharmaceuticals Co., Ltd</t>
  </si>
  <si>
    <t>NCT05338034</t>
  </si>
  <si>
    <t>Phase 2a Study of HPG1860 in Subjects With NASH</t>
  </si>
  <si>
    <t>Hepagene (Shanghai) Co., Ltd.</t>
  </si>
  <si>
    <t>NCT04847232</t>
  </si>
  <si>
    <t>Effect of Sodium Zirconium Cyclosilicate on Arrythmia-related Cardiovascular Outcomes in Participants on Chronic Hemodialysis With Recurrent Hyperkalemia (DIALIZE-Outcomes)</t>
  </si>
  <si>
    <t>NCT03553914</t>
  </si>
  <si>
    <t>PLM60 for Peripheral T Cell Lymphoma (PTCL)</t>
  </si>
  <si>
    <t>NCT05024214</t>
  </si>
  <si>
    <t>Phase Ib/II Trial of Envafolimab Plus Lenvatinib for Subjects With Solid Tumors</t>
  </si>
  <si>
    <t>NCT04932824</t>
  </si>
  <si>
    <t>Long-term Follow-up to the Phase 1 Study of Adjuvanted SARS-CoV-2 (SCB 2019) Vaccine for COVID-19.</t>
  </si>
  <si>
    <t>NCT04586023</t>
  </si>
  <si>
    <t>Study to Evaluate the Efficacy and Safety of Fenebrutinib Compared With Teriflunomide in Relapsing Multiple Sclerosis (RMS)</t>
  </si>
  <si>
    <t>NCT05201079</t>
  </si>
  <si>
    <t>Primary or Recurrent Clostridioides Difficile Infection Treatment With Capsules of Lyophilised Faecal Microbiota vs Fidaxomicin</t>
  </si>
  <si>
    <t>Mikrobiomik Healthcare Company S.L.</t>
  </si>
  <si>
    <t>NCT04930861</t>
  </si>
  <si>
    <t>Study of Codivir in Patients With COVID-19</t>
  </si>
  <si>
    <t>Code Pharma</t>
  </si>
  <si>
    <t>NCT04524442</t>
  </si>
  <si>
    <t>Post-Authorization Safety Study (PASS) of LysaKare® in Adult Gastroenteropancreatic Neuroendocrine Tumor (GEP-NET) Patients</t>
  </si>
  <si>
    <t>NCT05027269</t>
  </si>
  <si>
    <t>Study of AOC 1001 in Adult Myotonic Dystrophy Type 1 (DM1) Patients</t>
  </si>
  <si>
    <t>Avidity Biosciences, Inc.</t>
  </si>
  <si>
    <t>NCT04708041</t>
  </si>
  <si>
    <t>Safety and Immunogenicity of Extended 2-dose Regimens of 9-valent Human Papillomavirus (9vHPV) Vaccine (V503-069)</t>
  </si>
  <si>
    <t>NCT05074888</t>
  </si>
  <si>
    <t>Сlinical Trial of Efficacy and Safety of Prospekta in the Treatment of Post-COVID-19 Asthenia.</t>
  </si>
  <si>
    <t>NCT04702997</t>
  </si>
  <si>
    <t>A Trial of Bardoxolone Methyl in Patients With CKD at Risk of Rapid Progression (MERLIN)</t>
  </si>
  <si>
    <t>NCT05028582</t>
  </si>
  <si>
    <t>Topical Roflumilast to Treat Scalp and Body Psoriasis (ARRECTOR)</t>
  </si>
  <si>
    <t>NCT04977570</t>
  </si>
  <si>
    <t>A Study of SYHA1805 in Healthy Subjects</t>
  </si>
  <si>
    <t>NCT04786873</t>
  </si>
  <si>
    <t>A Research Study of How Well Macimorelin Works to Find Out if Children Have a Lack of Growth Hormone and How Safe it is</t>
  </si>
  <si>
    <t>AEterna Zentaris</t>
  </si>
  <si>
    <t>NCT05067283</t>
  </si>
  <si>
    <t>A Study of Calderasib (MK-1084) in KRAS Mutant Advanced Solid Tumors (MK-1084-001)</t>
  </si>
  <si>
    <t>NCT04768062</t>
  </si>
  <si>
    <t>Study to Assess the Safety and Efficacy of Viltolarsen in Ambulant Boys With DMD (RACER53-X)</t>
  </si>
  <si>
    <t>NCT05068466</t>
  </si>
  <si>
    <t>A Study to Evaluate the Safety, Tolerability and Pharmacokinetics of INCB054707</t>
  </si>
  <si>
    <t>NCT05178550</t>
  </si>
  <si>
    <t>A Study in Healthy Participants Investigating Biomarkers After Exposure to Heparin When Heparin is Administered in the Fasted State or After a High-fat Meal. Heparin, a Registered Drug, is an Anticoagulant (Blood Thinner) That Prevents the Formation of Blood Clots.</t>
  </si>
  <si>
    <t>NCT04715646</t>
  </si>
  <si>
    <t>A Study to Test the Safety and Tolerability of Brivaracetam in Children and Adolescents With Seizures</t>
  </si>
  <si>
    <t>NCT04154488</t>
  </si>
  <si>
    <t>A Study of Mavorixafor in Participants With Congenital Neutropenia and Chronic Idiopathic Neutropenia Disorders</t>
  </si>
  <si>
    <t>NCT04815603</t>
  </si>
  <si>
    <t>Study to Evaluate Efficacy and Safety of BGE-117 in the Treatment of Anemia of Aging</t>
  </si>
  <si>
    <t>NCT04914520</t>
  </si>
  <si>
    <t>Study of VN-0200 in Japanese Healthy Adults and Elderly Subjects</t>
  </si>
  <si>
    <t>NCT05175742</t>
  </si>
  <si>
    <t>PTX-COVID19-B, an mRNA Humoral Vaccine, Intended for Prevention of COVID-19 in a General Population. This Study is Designed to Demonstrate the Safety, Tolerability, and Immunogenicity of PTX-COVID19-B in Comparison to the Pfizer-BioNTech COVID-19 Vaccine.</t>
  </si>
  <si>
    <t>NCT04784442</t>
  </si>
  <si>
    <t>A Dose-finding Trial of ETC-1002(Bempedoic Acid) in Patients With Hypercholesterolemia</t>
  </si>
  <si>
    <t>NCT04784910</t>
  </si>
  <si>
    <t>Study to Evaluate the Efficacy and Safety of DWP14012 in Prevention of NSAIDs Induced Peptic Ulcer</t>
  </si>
  <si>
    <t>NCT04610580</t>
  </si>
  <si>
    <t>Bioavailability Study of 2 Oral Formulations of ALXN1840</t>
  </si>
  <si>
    <t>NCT05262179</t>
  </si>
  <si>
    <t>A Phase 1 Clinical Trial to Explore Systemic Exposure of CTO0101 Eye Drops, Safety and Local Tolerability in Healthy Adults</t>
  </si>
  <si>
    <t>NCT04864561</t>
  </si>
  <si>
    <t>COV-COMPARE Immunogenicity of Vaccine VLA2001 Compared to AZD1222</t>
  </si>
  <si>
    <t>NCT05084261</t>
  </si>
  <si>
    <t>An Investigation of Oral BT051 in Subjects With Moderately to Severely Active Ulcerative Colitis (UC)</t>
  </si>
  <si>
    <t>NCT04727970</t>
  </si>
  <si>
    <t>Tricaprilin Infantile Spasms Pilot Study</t>
  </si>
  <si>
    <t>NCT05035641</t>
  </si>
  <si>
    <t>A Study of AND017 to Treat Anemia in Non-dialysis-Dependent Chronic Kidney Disease (NDD-CKD) Patients</t>
  </si>
  <si>
    <t>NCT05061446</t>
  </si>
  <si>
    <t>Etrasimod Dose-Ranging Versus Placebo as Induction Therapy Study in Adult Japanese Subjects With Moderately to Severely Active Ulcerative Colitis</t>
  </si>
  <si>
    <t>NCT05057273</t>
  </si>
  <si>
    <t>Safety and Efficacy of Oral BT-11 in Crohn's Disease Patients With Moderate to Severe Disease</t>
  </si>
  <si>
    <t>NCT05086523</t>
  </si>
  <si>
    <t>Cardiac Neuromodulation Therapy (CNT) "Washout" Sub-Study</t>
  </si>
  <si>
    <t>BackBeat Medical Inc</t>
  </si>
  <si>
    <t>NCT04848480</t>
  </si>
  <si>
    <t>A Research Study to Compare a New Weekly Insulin, Insulin Icodec, and an Available Daily Insulin, Insulin Degludec, Both in Combination With Mealtime Insulin in People With Type 1 Diabetes (ONWARDS 6)</t>
  </si>
  <si>
    <t>NCT05063539</t>
  </si>
  <si>
    <t>A Study of LY3372689 to Assess the Safety, Tolerability, and Efficacy in Participants With Alzheimer's Disease</t>
  </si>
  <si>
    <t>NCT04958265</t>
  </si>
  <si>
    <t>A Study Evaluating the Efficacy, Safety, Pharmacokinetics and Pharmacodynamics of Crovalimab in Pediatric Participants With Atypical Hemolytic Uremic Syndrome (aHUS)</t>
  </si>
  <si>
    <t>NCT04857866</t>
  </si>
  <si>
    <t>Safety, Tolerability and PK of a Single Subcutaneous Injection of XmAb27564 in Healthy Volunteers</t>
  </si>
  <si>
    <t>Xencor, Inc.</t>
  </si>
  <si>
    <t>NCT05113966</t>
  </si>
  <si>
    <t>Trilaciclib in Patients Receiving Sacituzumab Govitecan-hziy for Triple Negative Breast Cancer</t>
  </si>
  <si>
    <t>NCT04684381</t>
  </si>
  <si>
    <t>Pharmacokinetics and Safety of Endari (L-glutamine) in Sickle Cell Disease Patients</t>
  </si>
  <si>
    <t>Emmaus Medical, Inc.</t>
  </si>
  <si>
    <t>NCT05226507</t>
  </si>
  <si>
    <t>A Phase 1 Clinical Study of NXP800 in Subjects With Advanced Cancers and Expansion in Subjects With Ovarian Cancer</t>
  </si>
  <si>
    <t>Nuvectis Pharma, Inc.</t>
  </si>
  <si>
    <t>NCT05059236</t>
  </si>
  <si>
    <t>A Study to Learn How Well Darolutamide Administered Together With Androgen Deprivation Therapy (ADT) Works in Men With Metastatic Hormone-sensitive Prostate Cancer. Results Will be Compared With ADT Alone From a Previously Conducted Study.</t>
  </si>
  <si>
    <t>NCT04707664</t>
  </si>
  <si>
    <t>Sargramostim Use in COVID-19 to Recover Patient Health</t>
  </si>
  <si>
    <t>NCT05159284</t>
  </si>
  <si>
    <t>Efficacy and Safety of Topical Hydrocortisone on Signs and Symptoms of Dry Eye Associated to Meibomian Gland Dysfunction</t>
  </si>
  <si>
    <t>Laboratorios Thea, Spain</t>
  </si>
  <si>
    <t>NCT04703192</t>
  </si>
  <si>
    <t>Valemetostat Tosylate (DS-3201b), an Enhancer of Zeste Homolog (EZH) 1/2 Dual Inhibitor, for Relapsed/Refractory Peripheral T-Cell Lymphoma (VALENTINE-PTCL01)</t>
  </si>
  <si>
    <t>NCT05154136</t>
  </si>
  <si>
    <t>A Drug-Drug Interaction Study to Evaluate the Effect of Itraconazole on the Pharmacokinetic Profile of Etrumadenant in Healthy Adult Participants</t>
  </si>
  <si>
    <t>NCT04989699</t>
  </si>
  <si>
    <t>Study Evaluating the Treatment of OTX-TKI for Subjects With Neovascular Age-related Macular Degeneration</t>
  </si>
  <si>
    <t>NCT04843098</t>
  </si>
  <si>
    <t>Study of TL117 in Patients With Recurrent or Metastatic Head and Neck Squamous Cell Carcinoma</t>
  </si>
  <si>
    <t>Suzhou Junde Biotechnology Co., Ltd</t>
  </si>
  <si>
    <t>NCT05266014</t>
  </si>
  <si>
    <t>This is a Dose-finding Study Followed by 2-year Extension Study to Evaluate Safety and Tolerability of Tinlarebant in Adolescent Subjects With Stargardt Disease</t>
  </si>
  <si>
    <t>RBP4 Pty Ltd</t>
  </si>
  <si>
    <t>NCT05127746</t>
  </si>
  <si>
    <t>Phase 1 Clinical Trial of DA-5207 in Healthy Adults</t>
  </si>
  <si>
    <t>NCT05066373</t>
  </si>
  <si>
    <t>Scintigraphy Study to Evaluate the Gastrointestinal Behavior of EDP1815 Oral Dosage Forms</t>
  </si>
  <si>
    <t>NCT05144854</t>
  </si>
  <si>
    <t>A Study to Evaluate the Efficacy and Safety of ONO-4538 in Combination With Ipilimumab and Chemotherapy in Chemotherapy-naïve Participants With HER2-negative Unresectable Advanced or Recurrent Gastric Cancer (Including Esophagogastric Junction Cancer)</t>
  </si>
  <si>
    <t>NCT04956328</t>
  </si>
  <si>
    <t>Study of Obeticholic Acid（OCA） Combination With Ursodeoxycholic Acid (UDCA) in Patients With Primay Biliary Cirrhosis (PBC)</t>
  </si>
  <si>
    <t>NCT04874636</t>
  </si>
  <si>
    <t>Chronic Pain Master Protocol (CPMP): A Study of LY3556050 in Participants With Chronic Low Back Pain</t>
  </si>
  <si>
    <t>NCT04802967</t>
  </si>
  <si>
    <t>A Study on Ketoprofen Lysine Salt (KLS) + Gabapentin (GABA) vs KLS to Investigate Their Pharmacodynamic in Healthy Males</t>
  </si>
  <si>
    <t>NCT04475198</t>
  </si>
  <si>
    <t>Single Ascending Dose Study to Evaluate the Safety, Tolerability, and Pharmacokinetics of ST-2427</t>
  </si>
  <si>
    <t>SiteOne Therapeutics, Inc.</t>
  </si>
  <si>
    <t>NCT05097287</t>
  </si>
  <si>
    <t>Study Assessing the Long-term Effect of Dupilumab on Prevention of Lung Function Decline in Adult Patients With Uncontrolled Moderate to Severe Asthma</t>
  </si>
  <si>
    <t>NCT05139121</t>
  </si>
  <si>
    <t>Study of the Safety and Efficacy of MR-100A-01 in Approximately 1200 Healthy Women for up to 13 Cycles</t>
  </si>
  <si>
    <t>Mylan Technologies Inc.</t>
  </si>
  <si>
    <t>NCT05007509</t>
  </si>
  <si>
    <t>Safety and Immunogenicity Study of Recombinant Protein RBD Candidate Vaccine Against SARS-CoV-2 in Adult Healthy Volunteers (COVID-19)</t>
  </si>
  <si>
    <t>Laboratorios Hipra, S.A.</t>
  </si>
  <si>
    <t>NCT05093530</t>
  </si>
  <si>
    <t>Safety and Tolerability of Single and Multiple Doses of Neumifil</t>
  </si>
  <si>
    <t>Pneumagen Ltd.</t>
  </si>
  <si>
    <t>NCT06735235</t>
  </si>
  <si>
    <t>Salivary Fluoride Clearance</t>
  </si>
  <si>
    <t>Procter and Gamble</t>
  </si>
  <si>
    <t>NCT04725240</t>
  </si>
  <si>
    <t>Open-Label Study of Setmelanotide in Hypothalamic Obesity</t>
  </si>
  <si>
    <t>NCT04434326</t>
  </si>
  <si>
    <t>The Absorption, Metabolism and Excretion of [14C]CM082 in Human</t>
  </si>
  <si>
    <t>NCT04774952</t>
  </si>
  <si>
    <t>Dose Escalation of RMC-5552 Monotherapy in Relapsed/Refractory Solid Tumors</t>
  </si>
  <si>
    <t>Revolution Medicines, Inc.</t>
  </si>
  <si>
    <t>NCT04984668</t>
  </si>
  <si>
    <t>A Phase Ib/II Study of GT90001 Combined With KN046 in Solid Tumors</t>
  </si>
  <si>
    <t>NCT04971785</t>
  </si>
  <si>
    <t>Study of Semaglutide, and Cilofexor/Firsocostat, Alone and in Combination, in Adults With Cirrhosis Due to Nonalcoholic Steatohepatitis (NASH)</t>
  </si>
  <si>
    <t>NCT04784715</t>
  </si>
  <si>
    <t>Trastuzumab Deruxtecan (T-DXd) With or Without Pertuzumab Versus Taxane, Trastuzumab and Pertuzumab in HER2-positive Metastatic Breast Cancer (DESTINY-Breast09)</t>
  </si>
  <si>
    <t>NCT04646889</t>
  </si>
  <si>
    <t>Pharmacokinetic Study of AR882 in Subjects With Various Degrees of Renal Impairment</t>
  </si>
  <si>
    <t>NCT07002255</t>
  </si>
  <si>
    <t>A Clinical Study of the Interactions Between Azvudine Tablets (FNC) and Rifampicin Capsules (RIF)</t>
  </si>
  <si>
    <t>NCT04784897</t>
  </si>
  <si>
    <t>A Study to Evaluate the Efficacy and Safety of Brilacidin in Hospitalized Participants With COVID-19</t>
  </si>
  <si>
    <t>NCT04942210</t>
  </si>
  <si>
    <t>Study on an Investigational Yellow Fever Vaccine Compared With YF-VAX in Adults in the USA</t>
  </si>
  <si>
    <t>NCT04693234</t>
  </si>
  <si>
    <t>AdvanTIG-202: Anti-PD-1 Monoclonal Antibody Tislelizumab (BGB-A317) Combined With or Without Anti-TIGIT Monoclonal Antibody Ociperlimab (BGB-A1217) in Participants With Previously Treated Recurrent or Metastatic Cervical Cancer</t>
  </si>
  <si>
    <t>NCT05556863</t>
  </si>
  <si>
    <t>Evaluation of the Safety, Tolerability, Pharmacokinetics and Pharmacodynamics of ELA026 in Single and Multiple Doses in Healthy Volunteers</t>
  </si>
  <si>
    <t>Electra Therapeutics Inc.</t>
  </si>
  <si>
    <t>NCT05003687</t>
  </si>
  <si>
    <t>Safety and Tolerability of Lu AG06474 in Healthy Young Men</t>
  </si>
  <si>
    <t>NCT05093205</t>
  </si>
  <si>
    <t>STUDY TO EVALUATE THE EFFECT OF PF-06882961 ON SINGLE DOSE ATORVASTATIN, MEDAZOLAM AND ORALCONTRACEPTIVE PHARMACOKINETICS IN HEALTHY ADULT PARTICIPANTS</t>
  </si>
  <si>
    <t>NCT05328531</t>
  </si>
  <si>
    <t>Clinical Study of Genakumab for Injection in Patients With Acute Gout</t>
  </si>
  <si>
    <t>Changchun GeneScience Pharmaceutical Co., Ltd.</t>
  </si>
  <si>
    <t>NCT04706923</t>
  </si>
  <si>
    <t>A Phase 2a Study of IV BCV in Subjects With Adenovirus Infection</t>
  </si>
  <si>
    <t>NCT04947423</t>
  </si>
  <si>
    <t>Nasal Gel for the Prevention of Nausea and Vomiting Associated With Motion</t>
  </si>
  <si>
    <t>Repurposed Therapeutics, Inc.</t>
  </si>
  <si>
    <t>NCT04762680</t>
  </si>
  <si>
    <t>Study of Recombinant Protein Vaccines With Adjuvant as a Primary Series and as a Booster Dose Against COVID-19 in Adults 18 Years of Age and Older</t>
  </si>
  <si>
    <t>NCT04758962</t>
  </si>
  <si>
    <t>A Study of the Safety of and Immune Response to Varying Doses of a Vaccine Against COVID-19 in Healthy Adults</t>
  </si>
  <si>
    <t>NCT04762641</t>
  </si>
  <si>
    <t>This is a Study to Evaluate the Safety and Tolerability of ABL503, and to Determine the Maximum Tolerated Dose (MTD) and Recommended Phase 2 Dose (RP2D) of ABL503 in Subjects with Any Progressive Locally Advanced or Metastatic Solid Tumors</t>
  </si>
  <si>
    <t>NCT04843319</t>
  </si>
  <si>
    <t>To Determine an Effective Dose of VERU-100 for the Treatment of Advanced Prostate Cancer</t>
  </si>
  <si>
    <t>NCT04857034</t>
  </si>
  <si>
    <t>A Study to Evaluate Efficacy and Safety of Deucravacitinib in Participants With Active Discoid and/or Subacute Cutaneous Lupus Erythematosus (DLE/SCLE)</t>
  </si>
  <si>
    <t>NCT04634877</t>
  </si>
  <si>
    <t>Study of Pembrolizumab (MK-3475) in Combination With Adjuvant Chemotherapy With or Without Radiotherapy in Participants With Newly Diagnosed Endometrial Cancer After Surgery With Curative Intent (MK-3475-B21 / KEYNOTE-B21 / ENGOT-en11 / GOG-3053)</t>
  </si>
  <si>
    <t>NCT05599919</t>
  </si>
  <si>
    <t>Nitric Oxide Nasal Spray (NONS) To Treat and Prevent the Exacerbation of Infection in Individuals With Mild COVID-19</t>
  </si>
  <si>
    <t>NCT04943900</t>
  </si>
  <si>
    <t>A Study of BMS-986416 With and Without Nivolumab in Select Solid Tumors</t>
  </si>
  <si>
    <t>NCT04838860</t>
  </si>
  <si>
    <t>Siltuximab In Siltuximab-RElapsed/REfractory Multicentric CAstleman Disease</t>
  </si>
  <si>
    <t>NCT05123820</t>
  </si>
  <si>
    <t>Pharmacokinetics of Omeprazole and Midazolam When Co-administered With ACT-1014-6470</t>
  </si>
  <si>
    <t>NCT05065879</t>
  </si>
  <si>
    <t>Evaluation of Immunogenicity and Safety of COVID-19 Vaccine (Produced in Beijing) in Patients With Hypertension and/or Diabetes</t>
  </si>
  <si>
    <t>NCT04867720</t>
  </si>
  <si>
    <t>Efficacy and Safety of CertiroBell® Tablet Plus Tacrolimus in Primary Living Donor Liver Transplant Recipients</t>
  </si>
  <si>
    <t>NCT04976270</t>
  </si>
  <si>
    <t>A Study to Evaluate How Well Single and Multiple Doses of GLPG3667 Are Tolerated in Healthy, Adult Subjects</t>
  </si>
  <si>
    <t>NCT04977024</t>
  </si>
  <si>
    <t>SARS-CoV-2 Vaccine (GEO-CM04S1) Versus mRNA SARS-COV-2 Vaccine in Patients With Blood Cancer</t>
  </si>
  <si>
    <t>NCT04740827</t>
  </si>
  <si>
    <t>Atogepant for Prophylaxis of Migraine in Participants Who Failed Previous Oral Prophylactic Treatments.</t>
  </si>
  <si>
    <t>NCT04977986</t>
  </si>
  <si>
    <t>Clinical Study of Cannabidiol in Children, Adolescents, and Young Adults With Fragile X Syndrome</t>
  </si>
  <si>
    <t>Zynerba Pharmaceuticals, Inc.</t>
  </si>
  <si>
    <t>NCT04609670</t>
  </si>
  <si>
    <t>Study of Radiolabeled ALXN2050 in Healthy Adult Males</t>
  </si>
  <si>
    <t>NCT04612790</t>
  </si>
  <si>
    <t>A Study to Investigate the Use of Benralizumab in Patients With Bullous Pemphigoid.</t>
  </si>
  <si>
    <t>NCT04944979</t>
  </si>
  <si>
    <t>Clinical Assessment of Pharmacokinetics, Efficacy, and Safety of 10% IVIg in Pediatric PID Patients (KIDCARES10)</t>
  </si>
  <si>
    <t>Kedrion S.p.A.</t>
  </si>
  <si>
    <t>NCT05090280</t>
  </si>
  <si>
    <t>Pharmacokinetics of Oxycodone and PF614 Co-Administered with Nafamostat (PF614-MPAR-101)</t>
  </si>
  <si>
    <t>NCT04842201</t>
  </si>
  <si>
    <t>Single Ascending Dose Study of CM326 in Healthy Volunteers</t>
  </si>
  <si>
    <t>NCT04905836</t>
  </si>
  <si>
    <t>Study of Allogeneic Adipose-Derived Mesenchymal Stem Cells for Treatment of COVID-19 Acute Respiratory Distress</t>
  </si>
  <si>
    <t>NCT04998201</t>
  </si>
  <si>
    <t>Study of Plozasiran (ARO-APOC3) in Adults With Mixed Dyslipidemia</t>
  </si>
  <si>
    <t>NCT05109312</t>
  </si>
  <si>
    <t>A Multi-surgery Assessment of ZYNRELEF (HTX-011), AMAZE. Master Protocol HTX-011-401.</t>
  </si>
  <si>
    <t>NCT04969939</t>
  </si>
  <si>
    <t>A Research Study to Investigate How Well NNC0165-1875 in Combination With Semaglutide Works in People With Obesity</t>
  </si>
  <si>
    <t>NCT04629339</t>
  </si>
  <si>
    <t>Study of INCB086550 in Select Solid Tumors</t>
  </si>
  <si>
    <t>NCT04854512</t>
  </si>
  <si>
    <t>Investigational Study of Delayed Release Metformin</t>
  </si>
  <si>
    <t>NCT04927481</t>
  </si>
  <si>
    <t>A Study of Mitoxantrone Hydrochloride Liposome Injection in Patients With Advanced HER2 Negative Breast Cancer</t>
  </si>
  <si>
    <t>NCT04786730</t>
  </si>
  <si>
    <t>A Trial to Assess the Pharmacokinetics, Safety, and Tolerability of Centanafadine Capsules in Pediatric Subjects With Attention-deficit Hyperactivity Disorder</t>
  </si>
  <si>
    <t>NCT05112965</t>
  </si>
  <si>
    <t>An Extension Study in Participants Previously Enrolled in a Genentech and/or F. Hoffmann-La Roche Ltd Sponsored Atezolizumab Study (IMbrella C)</t>
  </si>
  <si>
    <t>NCT05086107</t>
  </si>
  <si>
    <t>Pharmacokinetics and Safety of BV100 Administered as Single Intravenous Infusion to Subjects With Renal Impairment</t>
  </si>
  <si>
    <t>NCT05961007</t>
  </si>
  <si>
    <t>Evaluation of IBI302 Injection in nAMD or DME</t>
  </si>
  <si>
    <t>NCT04830501</t>
  </si>
  <si>
    <t>Study of the of the Safety and Tolerability of TT-00434 in Patients With Advanced Solid Tumors</t>
  </si>
  <si>
    <t>NCT04750239</t>
  </si>
  <si>
    <t>Safety and Clinical Activity of Nivatrotamab in Relapsed/Recurrent Metastatic Small-cell Lung Cancer</t>
  </si>
  <si>
    <t>Y-mAbs Therapeutics</t>
  </si>
  <si>
    <t>NCT04840992</t>
  </si>
  <si>
    <t>Phase I/II Clinical Trial of Recombinant Novel Coronavirus (COVID-19) Vaccine (Adenovirus Type 5 Vector) for Inhalation</t>
  </si>
  <si>
    <t>NCT04673357</t>
  </si>
  <si>
    <t>A Study of Ustekinumab in Pediatric Participants With Moderately to Severely Active Crohn's Disease</t>
  </si>
  <si>
    <t>NCT05337657</t>
  </si>
  <si>
    <t>A Phase Ib Study of GB491 Plus Letrozole in Patients With Advanced Breast Cancer</t>
  </si>
  <si>
    <t>NCT04893707</t>
  </si>
  <si>
    <t>The Study of CM310 in Patients With Atopic Dermatitis</t>
  </si>
  <si>
    <t>NCT04755075</t>
  </si>
  <si>
    <t>Surufatinib Hepatic Impairment Study</t>
  </si>
  <si>
    <t>NCT04762875</t>
  </si>
  <si>
    <t>MGTA-145 + Plerixafor in the Mobilization of HSCs for Allogeneic Transplant in Hematologic Malignancies</t>
  </si>
  <si>
    <t>Ensoma</t>
  </si>
  <si>
    <t>NCT04984577</t>
  </si>
  <si>
    <t>Study of Compound Edaravone Injection for Treatment of Acute Ischemic Stroke</t>
  </si>
  <si>
    <t>NCT05087030</t>
  </si>
  <si>
    <t>Comparative Efficacy and Safety Study of RGB-14-P and Prolia® in Women With Postmenopausal Osteoporosis</t>
  </si>
  <si>
    <t>Gedeon Richter Plc.</t>
  </si>
  <si>
    <t>NCT05276609</t>
  </si>
  <si>
    <t>ARTEMIS-001: Phase 1 Study of the HS-20093 in Patients With Advanced Solid Tumors</t>
  </si>
  <si>
    <t>Shanghai Hansoh Biomedical Co., Ltd</t>
  </si>
  <si>
    <t>NCT05085184</t>
  </si>
  <si>
    <t>Study to Evaluate the Safety and PK of UI018</t>
  </si>
  <si>
    <t>NCT04816643</t>
  </si>
  <si>
    <t>Study to Evaluate the Safety, Tolerability, and Immunogenicity of an RNA Vaccine Candidate Against COVID-19 in Healthy Children</t>
  </si>
  <si>
    <t>NCT04983407</t>
  </si>
  <si>
    <t>Safety and Efficacy Study of AVB-S6-500 (Batiraxcept) in Patients With Advanced Pancreatic Adenocarcinoma</t>
  </si>
  <si>
    <t>NCT05127434</t>
  </si>
  <si>
    <t>A Study to Evaluate the Safety and Efficacy of mRNA-1345 Vaccine Targeting Respiratory Syncytial Virus (RSV) in Adults ≥60 Years of Age</t>
  </si>
  <si>
    <t>NCT05065398</t>
  </si>
  <si>
    <t>A Phase II Clinical Trial to Evaluate HLX208 in Advanced Non-small Cell Lung Cancer Patients With BRAF V600 Mutation</t>
  </si>
  <si>
    <t>NCT04766398</t>
  </si>
  <si>
    <t>Phosphate Binder-combination Study of KHK7791 in Hyperphosphatemia Patients on Hemodialysis</t>
  </si>
  <si>
    <t>NCT04857606</t>
  </si>
  <si>
    <t>Single Ascending Dose of AMG 609 in Participants With Non-alcoholic Fatty Liver Disease</t>
  </si>
  <si>
    <t>NCT03644706</t>
  </si>
  <si>
    <t>Study Evaluating Subjects With Distal Renal Tubular Acidosis</t>
  </si>
  <si>
    <t>Advicenne Pharma</t>
  </si>
  <si>
    <t>NCT05238649</t>
  </si>
  <si>
    <t>Immunogenicity and Safety of Sequential Immunization of Recombinant SARS-CoV-2 Fusion Protein Vaccine</t>
  </si>
  <si>
    <t>NCT04820452</t>
  </si>
  <si>
    <t>A Study of IBI302 in Patients With nAMD</t>
  </si>
  <si>
    <t>NCT04830800</t>
  </si>
  <si>
    <t>A Phase 1/2 Safety and Immunogenicity Trial of COVID-19 Vaccine COVIVAC (Phase 1)</t>
  </si>
  <si>
    <t>Institute of Vaccines and Medical Biologicals, Vietnam</t>
  </si>
  <si>
    <t>NCT04895709</t>
  </si>
  <si>
    <t>A Study of BMS-986340 as Monotherapy and as Combination Therapy in Participants With Advanced Solid Tumors</t>
  </si>
  <si>
    <t>NCT05172193</t>
  </si>
  <si>
    <t>Safety &amp; Immunogenicity of Booster SARS-CoV-2 Vaccine (Vero Cell)</t>
  </si>
  <si>
    <t>PT. Kimia Farma (Persero) Tbk</t>
  </si>
  <si>
    <t>NCT04828616</t>
  </si>
  <si>
    <t>Study of DP303c Injection in Patients With Advanced Ovarian Cancer</t>
  </si>
  <si>
    <t>NCT04667104</t>
  </si>
  <si>
    <t>A Study of JNJ-73763989, JNJ-56136379, Nucleos(t)Ide Analogs, and Pegylated Interferon Alpha-2a in Virologically Suppressed Participants With Chronic Hepatitis B Virus Infection</t>
  </si>
  <si>
    <t>NCT04988087</t>
  </si>
  <si>
    <t>A Study to Evaluate the Safety, Tolerability and Efficacy of MHV370 in Participants With Sjogren's Syndrome (SjS) or Mixed Connective Tissue Disease (MCTD)</t>
  </si>
  <si>
    <t>NCT04797104</t>
  </si>
  <si>
    <t>Study to Assess the Efficacy and Safety of LIB003 in HeFH Patients on Oral Lipid Therapy Needing Further LDL-C Reduction</t>
  </si>
  <si>
    <t>NCT05175625</t>
  </si>
  <si>
    <t>Immunogenicity and Safety of a Booster Dose of the SpikoGen COVID-19 Vaccine</t>
  </si>
  <si>
    <t>NCT05064449</t>
  </si>
  <si>
    <t>A Study of Soticlestat With Itraconazole and Mefenamic Acid in Healthy Adults</t>
  </si>
  <si>
    <t>NCT04903626</t>
  </si>
  <si>
    <t>Study to Evaluate Adverse Events and Change in Disease Activity in Adult and Adolescent Participants With Acute Hepatitis C Virus (HCV) Infection on Treatment With Oral Tablets of Glecaprevir (GLE)/Pibrentasvir (PIB)</t>
  </si>
  <si>
    <t>NCT04485104</t>
  </si>
  <si>
    <t>Assessment of Adjunctive Cannabidiol Oral Solution (GWP42003-P) in Children With Tuberous Sclerosis Complex (TSC), Dravet Syndrome (DS), or Lennox-Gastaut Syndrome (LGS) Who Experience Inadequately-controlled Seizures</t>
  </si>
  <si>
    <t>NCT06181084</t>
  </si>
  <si>
    <t>A Study Comparing Different Formulations of LY3410738 in Healthy Adult Participants</t>
  </si>
  <si>
    <t>NCT05221138</t>
  </si>
  <si>
    <t>Food Effect on Pharmacokinetic Profiles of VV116 Administered Orally to Chinese Healthy Volunteers</t>
  </si>
  <si>
    <t>NCT03797040</t>
  </si>
  <si>
    <t>Open-label Phase I Study for PEP or Treatment of HS-ARS PLX-R18 for the Post-Exposure Prevention (PEP) or Treatment of Hematopoietic Syndrome of Acute Radiation Syndrome (HS-ARS)</t>
  </si>
  <si>
    <t>NCT04693507</t>
  </si>
  <si>
    <t>Teverelix Evaluated in Advanced Prostate Cancer</t>
  </si>
  <si>
    <t>Antev Ltd.</t>
  </si>
  <si>
    <t>NCT05003804</t>
  </si>
  <si>
    <t>Allergic Disease Onset Prevention Study</t>
  </si>
  <si>
    <t>Siolta Therapeutics, Inc.</t>
  </si>
  <si>
    <t>NCT05025358</t>
  </si>
  <si>
    <t>A Study of LP-118 in Patients With Advanced Tumors</t>
  </si>
  <si>
    <t>Guangzhou Lupeng Pharmaceutical Company LTD.</t>
  </si>
  <si>
    <t>NCT04651348</t>
  </si>
  <si>
    <t>A Clinical Study of MIL95 in Advanced Malignancies.</t>
  </si>
  <si>
    <t>Beijing Mabworks Biotech Co., Ltd.</t>
  </si>
  <si>
    <t>NCT05207111</t>
  </si>
  <si>
    <t>Fasting Bioavailability Study of Mylan's Revefenacin Inhalation Solution</t>
  </si>
  <si>
    <t>Mylan Pharma UK Ltd.</t>
  </si>
  <si>
    <t>NCT04887311</t>
  </si>
  <si>
    <t>MBM-01 (Tempol) for the Treatment of Ataxia Telangiectasia</t>
  </si>
  <si>
    <t>NCT04816214</t>
  </si>
  <si>
    <t>Study Evaluating Efficacy and Safety of Capmatinib in Combination With Osimertinib in Adult Subjects With Non-small Cell Lung Cancers as Second Line Therapy</t>
  </si>
  <si>
    <t>NCT04880616</t>
  </si>
  <si>
    <t>Safety, Efficacy, and Tolerability of NBI-827104 for the Treatment of Essential Tremor</t>
  </si>
  <si>
    <t>NCT04799847</t>
  </si>
  <si>
    <t>Catumaxomab in Patients With Non-Muscle-Invasive Bladder Cancer Who Have Failed or Are Intolerant to BCG Vaccine</t>
  </si>
  <si>
    <t>NCT04772365</t>
  </si>
  <si>
    <t>A Phase 1, Randomized, Double-blind, Placebo-controlled, Single and Multiple Dose Escalation Study in Healthy Subjects</t>
  </si>
  <si>
    <t>NCT04703764</t>
  </si>
  <si>
    <t>A Study to Investigate the Safety and Pharmacokinetic/Pharmacodynamic Characteristics of HSG4112</t>
  </si>
  <si>
    <t>NCT05023811</t>
  </si>
  <si>
    <t>A Study of the ADME of [14C]RIST4721 in Healthy Male Subjects</t>
  </si>
  <si>
    <t>Aristea Therapeutics, Inc.</t>
  </si>
  <si>
    <t>NCT04954287</t>
  </si>
  <si>
    <t>Phase 1 Study of Intranasal PIV5 COVID-19 Vaccine Expressing SARS-CoV-2 Spike Protein in Healthy Adults and Adolescents</t>
  </si>
  <si>
    <t>CyanVac LLC</t>
  </si>
  <si>
    <t>NCT05982106</t>
  </si>
  <si>
    <t>To Evaluate the Effect of Food on the Pharmacokinetics of TQ05105 Tablets in Healthy Adult Subjects</t>
  </si>
  <si>
    <t>NCT04901936</t>
  </si>
  <si>
    <t>A Study of Pegcetacoplan in Pediatric Patients With Paroxysmal Nocturnal Hemoglobinuria (PNH)</t>
  </si>
  <si>
    <t>NCT05065216</t>
  </si>
  <si>
    <t>Treatment of Acute Ischemic Stroke (ReMEDy2 Trial)</t>
  </si>
  <si>
    <t>DiaMedica Therapeutics Inc</t>
  </si>
  <si>
    <t>NCT05074134</t>
  </si>
  <si>
    <t>Absorption, Metabolism, and Excretion Study of [14C]-TNP-2092</t>
  </si>
  <si>
    <t>NCT04865393</t>
  </si>
  <si>
    <t>Phase 1 Study of PK and Safety of SPR206 in Subjects With Various Degrees Of Renal Function</t>
  </si>
  <si>
    <t>NCT04874714</t>
  </si>
  <si>
    <t>Efficacy and Safety Evaluation for the Treatment of Asthma and Allergic Rhinitis/Rhinoconjunctivitis</t>
  </si>
  <si>
    <t>NCT04964284</t>
  </si>
  <si>
    <t>Efficacy and Safety Study of rhTSH for Adjuvant Radioiodine Ablation Therapy in Patients With Differentiated Thyroid Cancer</t>
  </si>
  <si>
    <t>NCT04858451</t>
  </si>
  <si>
    <t>COmmunity Patients at Risk of Viral Infections Including SARS-CoV-2</t>
  </si>
  <si>
    <t>NCT04808453</t>
  </si>
  <si>
    <t>Phase I Study of CPI-300 in Patients With Advanced Tumors</t>
  </si>
  <si>
    <t>Coordination Pharmaceuticals, Inc.</t>
  </si>
  <si>
    <t>NCT05061537</t>
  </si>
  <si>
    <t>Study of PF-07263689 in Participants With Selected Advanced Solid Tumors</t>
  </si>
  <si>
    <t>NCT05092646</t>
  </si>
  <si>
    <t>Evaluating Intra-articular Injection of Axolotl Ambient Compared to Saline in Subjects With Ankle Osteoarthritis</t>
  </si>
  <si>
    <t>Axolotl Biologix</t>
  </si>
  <si>
    <t>NCT04780841</t>
  </si>
  <si>
    <t>A Study Evaluating the Safety and Efficacy of RDX013 for the Treatment of Hyperkalemia</t>
  </si>
  <si>
    <t>NCT05025605</t>
  </si>
  <si>
    <t>Determining Efficacy and Safety of BXCL501 in Agitation Associated With Pediatric Schizophrenia and Bipolar Disorder</t>
  </si>
  <si>
    <t>NCT05150405</t>
  </si>
  <si>
    <t>A Phase Ia Clinical Study of QLF31907 Injection in Patients With Advanced Malignant Tumors</t>
  </si>
  <si>
    <t>NCT05060822</t>
  </si>
  <si>
    <t>Phase ll Study of HEC585 in Patients With IPF</t>
  </si>
  <si>
    <t>NCT04839341</t>
  </si>
  <si>
    <t>Study to Evaluate PK and Safety With Uproleselan Combined With Chemotherapy to Treat Chinese R/R AML Patients</t>
  </si>
  <si>
    <t>NCT04812262</t>
  </si>
  <si>
    <t>A Phase 1 Study of DD01 in Overweight/Obese Subjects With T2DM and NAFLD</t>
  </si>
  <si>
    <t>NCT04799327</t>
  </si>
  <si>
    <t>The Effect of SHR20004（Noiiglutide ） on Body Weight in Obese Subjects Without Diabetes</t>
  </si>
  <si>
    <t>NCT04898283</t>
  </si>
  <si>
    <t>Efficacy and Safety Evaluation of the Treatment of Allergy Against Cupressaceae and Grasses.</t>
  </si>
  <si>
    <t>NCT05120141</t>
  </si>
  <si>
    <t>A Twelve Week Study of Experimental Mouth Rinses</t>
  </si>
  <si>
    <t>NCT05940194</t>
  </si>
  <si>
    <t>NDV-HXP-S Vaccine Clinical Trial (COVIVAC)</t>
  </si>
  <si>
    <t>NCT05117060</t>
  </si>
  <si>
    <t>Efficacy and Safety of LEO 152020 Tablets for the Treatment of Adults With Moderate to Severe Atopic Dermatitis</t>
  </si>
  <si>
    <t>NCT04517188</t>
  </si>
  <si>
    <t>Halodine Nasal Antiseptic in Patients With COVID-19</t>
  </si>
  <si>
    <t>Halodine LLC</t>
  </si>
  <si>
    <t>NCT04835805</t>
  </si>
  <si>
    <t>A Study to Evaluate the Safety and Activity of Belvarafenib as a Single Agent and in Combination With Either Cobimetinib or Cobimetinib Plus Nivolumab in Patients With NRAS-mutant Advanced Melanoma.</t>
  </si>
  <si>
    <t>NCT05080842</t>
  </si>
  <si>
    <t>A Study of AC682 for the Treatment of Locally Advanced or Metastatic ER+ Breast Cancer</t>
  </si>
  <si>
    <t>Accutar Biotechnology Inc</t>
  </si>
  <si>
    <t>NCT07132437</t>
  </si>
  <si>
    <t>Phase I Clinical Study of ZKY001 Eye Drops in the Treatment of Corneal Epithelial Defect</t>
  </si>
  <si>
    <t>NCT05064059</t>
  </si>
  <si>
    <t>A Study of Coformulated Favezelimab/Pembrolizumab (MK-4280A) Versus Standard of Care in Subjects With Previously Treated Metastatic PD-L1 Positive Colorectal Cancer (MK-4280A-007)</t>
  </si>
  <si>
    <t>NCT05026996</t>
  </si>
  <si>
    <t>Study to Assess the Pharmacokinetics of Pelacarsen (TQJ230) in Participants With Mild Hepatic Impairment Compared to Matched Healthy Participants</t>
  </si>
  <si>
    <t>NCT05704361</t>
  </si>
  <si>
    <t>A Study to Investigate the Safety, Tolerability, and Processing by the Body of Intravenous and Subcutaneous RO7121932 Administration in Participants With Multiple Sclerosis</t>
  </si>
  <si>
    <t>NCT04952805</t>
  </si>
  <si>
    <t>Study to Select the Dose and Evaluate Safety and Efficacy of Monoclonal Antibody in Adult With Recently Diagnosed Asymptomatic to Moderately Severe COVID-19.</t>
  </si>
  <si>
    <t>Toscana Life Sciences Sviluppo s.r.l.</t>
  </si>
  <si>
    <t>NCT04987229</t>
  </si>
  <si>
    <t>Long-term Safety Extension Study of OLZ/SAM in Pediatric Subjects</t>
  </si>
  <si>
    <t>NCT04766931</t>
  </si>
  <si>
    <t>The Safety and Efficacy of FB2001 in Healthy Subjects and Patients With COVID-19 Infection</t>
  </si>
  <si>
    <t>NCT05170737</t>
  </si>
  <si>
    <t>AEF0217 First-in-Human Phase I Study in 3 Parts (Single and Multiple Ascending Doses, and Food Effect) in Healthy Subjects.</t>
  </si>
  <si>
    <t>Aelis Farma</t>
  </si>
  <si>
    <t>NCT04239027</t>
  </si>
  <si>
    <t>A Study to Assess the Effects of Brolucizumab in Adult Patients With Neovascular Age Related Macular Degeneration</t>
  </si>
  <si>
    <t>NCT05082285</t>
  </si>
  <si>
    <t>A Study on the Safety, Tolerability and Immune Response of Meningococcal Combined ABCWY Vaccine in Healthy Infants</t>
  </si>
  <si>
    <t>NCT04717635</t>
  </si>
  <si>
    <t>Study of Efficacy and Safety of Canakinumab in Japanese Patients With AOSD</t>
  </si>
  <si>
    <t>NCT04649385</t>
  </si>
  <si>
    <t>BGB-15025 Alone and in Combination With Anti-PD-1 Monoclonal Antibody Tislelizumab in Participants With Advanced Solid Tumors</t>
  </si>
  <si>
    <t>NCT04912115</t>
  </si>
  <si>
    <t>Randomized, Double-Blind, Active Placebo-Controlled Study of Ketamine to Treat Levodopa-Induced Dyskinesia</t>
  </si>
  <si>
    <t>PharmaTher Inc.</t>
  </si>
  <si>
    <t>NCT05086315</t>
  </si>
  <si>
    <t>First-in-human Study of SAR443579 Infusion in Male and Female Children and Adult Participants With Relapsed or Refractory Acute Myeloid Leukemia (R/R AML), B-cell Acute Lymphoblastic Leukemia (B-ALL), High Risk-myelodysplasia (HR-MDS), or Blastic Plasmacytoid Dendritic Cell Neoplasm (BPDCN)</t>
  </si>
  <si>
    <t>NCT05054140</t>
  </si>
  <si>
    <t>Study to Evaluate Efficacy, Safety, and Tolerability of IMU-838 in Patients With Progressive Multiple Sclerosis</t>
  </si>
  <si>
    <t>NCT04817774</t>
  </si>
  <si>
    <t>Safety &amp; Tolerability Study of Chimeric Antigen Receptor T-Reg Cell Therapy in Living Donor Renal Transplant Recipients</t>
  </si>
  <si>
    <t>Sangamo Therapeutics</t>
  </si>
  <si>
    <t>NCT04679350</t>
  </si>
  <si>
    <t>Efficacy and Safety of hzVSFv13 in Patients With COVID-19 Pneumonia</t>
  </si>
  <si>
    <t>NCT04866225</t>
  </si>
  <si>
    <t>A Study in Healthy Adult Male Participants to Assess Absorption, Distribution, Metabolism and Excretion (ADME) of Radiolabeled PF-06865571.</t>
  </si>
  <si>
    <t>NCT06266091</t>
  </si>
  <si>
    <t>Treat Malignant Ascites Caused by Gastrointestinal or Ovarian Cancer With M701 Bispecific Antibody</t>
  </si>
  <si>
    <t>NCT04825860</t>
  </si>
  <si>
    <t>A Clinical Trial to Evaluate the Efficacy and Safety of SEP-363856 in Acutely Psychotic People With Schizophrenia, Followed by an Open-label Extension Phase</t>
  </si>
  <si>
    <t>NCT04331288</t>
  </si>
  <si>
    <t>Effects of Ethanol on the Pharmacokinetics of PT-150 (Formerly ORG34517) (PT150 PK Study)</t>
  </si>
  <si>
    <t>Pop Test Oncology LLC</t>
  </si>
  <si>
    <t>NCT04899674</t>
  </si>
  <si>
    <t>A Study in Healthy Men and Women to Test Whether BI 1358894 Influences the Amount of Bupropion in the Blood</t>
  </si>
  <si>
    <t>NCT05161390</t>
  </si>
  <si>
    <t>Study of LM-302 in Patients With Advance Solid Tumors</t>
  </si>
  <si>
    <t>LaNova Medicines Zhejiang Co., Ltd.</t>
  </si>
  <si>
    <t>NCT05178810</t>
  </si>
  <si>
    <t>Study to Investigate the Efficacy and Safety of FAB122 (Daily Oral Edaravone) in Patients With Amyotrophic Lateral Sclerosis</t>
  </si>
  <si>
    <t>Ferrer Internacional S.A.</t>
  </si>
  <si>
    <t>NCT04982276</t>
  </si>
  <si>
    <t>A Study of AK109 and AK104 in Advanced Gastric Adenocarcinoma or Gastroesophageal Junction Adenocarcinoma</t>
  </si>
  <si>
    <t>NCT05212168</t>
  </si>
  <si>
    <t>Norovirus Challenge Study</t>
  </si>
  <si>
    <t>NCT04862780</t>
  </si>
  <si>
    <t>(SYMPHONY) Phase 1/2 Study Targeting EGFR Resistance Mechanisms in NSCLC</t>
  </si>
  <si>
    <t>NCT04884035</t>
  </si>
  <si>
    <t>Study of Safety and Efficacy of Iberdomide (CC-220) and CC-99282 Combined With R-CHOP to Treat Lymphoma</t>
  </si>
  <si>
    <t>NCT05075876</t>
  </si>
  <si>
    <t>Bioequivalence Study in Healthy Chinese Subjects Comparing SP-01 (Granisetron Patch) Manufactured at Two Different Sites</t>
  </si>
  <si>
    <t>Solasia Pharma K.K.</t>
  </si>
  <si>
    <t>NCT05086289</t>
  </si>
  <si>
    <t>Chronic Pain Master Protocol (CPMP): A Study of LY3526318 in Participants With Chronic Low Back Pain</t>
  </si>
  <si>
    <t>NCT05166096</t>
  </si>
  <si>
    <t>Comparative Pharmacokinetic, Pharmacodynamic, and Safety Study of 1 Dose Level of Aspirin for Injection and Oral Aspirin Tablets in Healthy Adult Human Subjects</t>
  </si>
  <si>
    <t>Rhoshan Pharmaceuticals Inc</t>
  </si>
  <si>
    <t>NCT05073003</t>
  </si>
  <si>
    <t>A Study on the Safety and Immune Responses to the GVGH altSonflex1-2-3 Vaccine Against Shigellosis in Adults, Children, and Infants</t>
  </si>
  <si>
    <t>NCT04624750</t>
  </si>
  <si>
    <t>Open Label Study in Adolescents and Children With Myotonic Disorders</t>
  </si>
  <si>
    <t>NCT04852003</t>
  </si>
  <si>
    <t>A Trial of SHR0410 Injection for the Treatment of Pain After Endoscopic Surgery of the Lower Abdominal</t>
  </si>
  <si>
    <t>NCT05673603</t>
  </si>
  <si>
    <t>A Study of Brensocatib Following a Single Oral Administration in Participants With or Without Renal Impairment</t>
  </si>
  <si>
    <t>NCT04789291</t>
  </si>
  <si>
    <t>A Study in Healthy Men to Test How BI 1595043 is Taken up in the Body When Given With or Without Food</t>
  </si>
  <si>
    <t>NCT04867642</t>
  </si>
  <si>
    <t>A Study to Test the Safety, Tolerability, and Blood Levels of UCB0022 in Healthy Participants and Participants With Parkinson's Disease</t>
  </si>
  <si>
    <t>NCT05034042</t>
  </si>
  <si>
    <t>A Study to Find the Best Dose of Fezolinetant to Treat Hot Flashes in Women Going Through Menopause</t>
  </si>
  <si>
    <t>NCT04668690</t>
  </si>
  <si>
    <t>Clinical Study of Mitoxantrone Hydrochloride Liposome Injection vs. Chidamide in Patients With Relapsed/Refractory PTCL</t>
  </si>
  <si>
    <t>NCT04780685</t>
  </si>
  <si>
    <t>A Phase II Study in Patients With Moderate to Severe ARDS Due to COVID-19</t>
  </si>
  <si>
    <t>Stemedica Cell Technologies, Inc.</t>
  </si>
  <si>
    <t>NCT05053035</t>
  </si>
  <si>
    <t>A Phase 2 Study to Evaluate AL001 in C9orf72-Associated ALS</t>
  </si>
  <si>
    <t>NCT04965389</t>
  </si>
  <si>
    <t>A Study of Milvexian Using an IV Microtracer With Additional Formulation and Food Effect Comparison in Healthy Participants</t>
  </si>
  <si>
    <t>NCT05108350</t>
  </si>
  <si>
    <t>A Study to Assess the Bioequivalence of Fixed Dose Combination of HR20033 Relative to Co-administration of the Individual Components in Healthy Chinese Subjects</t>
  </si>
  <si>
    <t>Shandong Suncadia Medicine Co., Ltd.</t>
  </si>
  <si>
    <t>NCT04751318</t>
  </si>
  <si>
    <t>Bioavailability of Duloxetine 60 mg With Regards to Reference Product in Feeding Conditions</t>
  </si>
  <si>
    <t>NCT04830124</t>
  </si>
  <si>
    <t>Nemvaleukin Alfa Monotherapy and in Combination With Pembrolizumab in Patients With Advanced Cutaneous or Mucosal Melanoma - ARTISTRY-6</t>
  </si>
  <si>
    <t>NCT05158296</t>
  </si>
  <si>
    <t>Study to Evaluate the Efficacy Safety and Tolerability of Ultevursen in Subjects With RP Due to Mutations in Exon 13 of the USH2A Gene (Sirius)</t>
  </si>
  <si>
    <t>NCT04607655</t>
  </si>
  <si>
    <t>A Study to Evaluate the Safety, Tolerability, Pharmacokinetics and Pharmacodynamics of Orally Administered GB1211 in Participants With Suspected or Confirmed Non-alcoholic Steatohepatitis (NASH) and Liver Fibrosis</t>
  </si>
  <si>
    <t>Galecto Biotech AB</t>
  </si>
  <si>
    <t>NCT05013008</t>
  </si>
  <si>
    <t>An add-on Study to the FIGARO-DKD Study Called FIGARO-BM to Learn About the Link Between Biomarkers (Substances in the Blood Used as Indicators of Biological Processes, Disease Processes or Responses to Medication) and Finerenone in FIGARO-DKD Participants</t>
  </si>
  <si>
    <t>NCT04914897</t>
  </si>
  <si>
    <t>A Study of SAR444245 Combined With Other Anticancer Therapies for the Treatment of Participants With Lung Cancer or Mesothelioma (Pegathor Lung 202)</t>
  </si>
  <si>
    <t>NCT05176873</t>
  </si>
  <si>
    <t>A Phase 1 Study to Assess the Safety, Tolerability, Pharmacokinetics of DZD8586 in Healthy Adult Participants</t>
  </si>
  <si>
    <t>Dizal (Jiangsu) Pharmaceutical Co., Ltd.</t>
  </si>
  <si>
    <t>NCT04892173</t>
  </si>
  <si>
    <t>JNJ-90301900 (NBTXR3) Activated by Radiotherapy With or Without Cetuximab in LA-HNSCC</t>
  </si>
  <si>
    <t>Johnson &amp; Johnson Enterprise Innovation Inc.</t>
  </si>
  <si>
    <t>NCT04965506</t>
  </si>
  <si>
    <t>A Study of IBI362 in Chinese Patients With Type 2 Diabetes</t>
  </si>
  <si>
    <t>NCT04718389</t>
  </si>
  <si>
    <t>A Study of GSK3511294 (Depemokimab) Compared With Mepolizumab or Benralizumab in Participants With Severe Asthma With an Eosinophilic Phenotype</t>
  </si>
  <si>
    <t>NCT05956418</t>
  </si>
  <si>
    <t>A Study to Assess the Safety and Efficacy of Centhaquine in Hypovolemic Shock Patients</t>
  </si>
  <si>
    <t>Pharmazz, Inc.</t>
  </si>
  <si>
    <t>NCT04981704</t>
  </si>
  <si>
    <t>A Study to Evaluate the Effect of Multiple Doses of Itraconazole, Phenytoin, and Paroxetine on the Single-Dose Pharmacokinetics of Poziotinib in Healthy Adult Participants</t>
  </si>
  <si>
    <t>NCT04853368</t>
  </si>
  <si>
    <t>Study to Evaluate Adverse Events and Change in Disease Activity With Oral Capsules of Galicaftor/Navocaftor/ABBV-119 or Galicaftor/Navocaftor/ABBV-576 Combination Therapies in Adult Participants With Cystic Fibrosis</t>
  </si>
  <si>
    <t>NCT04840914</t>
  </si>
  <si>
    <t>A Study of LY3461767 in Participants With Chronic Heart Failure With Reduced Ejection Fraction</t>
  </si>
  <si>
    <t>NCT04607668</t>
  </si>
  <si>
    <t>Trilaciclib, a CDK 4/6 Inhibitor, in Patients Receiving FOLFOXIRI/Bevacizumab for Metastatic Colorectal Cancer (mCRC):</t>
  </si>
  <si>
    <t>NCT05181085</t>
  </si>
  <si>
    <t>Study of NST-6179 in Healthy Subjects</t>
  </si>
  <si>
    <t>NCT05041543</t>
  </si>
  <si>
    <t>Safety and Tolerability of NTX-101 in Korean Healthy Volunteers</t>
  </si>
  <si>
    <t>Pinotbio, Inc.</t>
  </si>
  <si>
    <t>NCT05218668</t>
  </si>
  <si>
    <t>Rho Kinase Inhibitor in Amyotrophic Lateral Sclerosis (REAL)</t>
  </si>
  <si>
    <t>NCT04441047</t>
  </si>
  <si>
    <t>Universal Anti-Viral Vaccine for Healthy Elderly Adults</t>
  </si>
  <si>
    <t>NCT05171790</t>
  </si>
  <si>
    <t>A Study to Evaluate the Efficacy and Safety of QL1706 Injection in Patients With Solid Tumors</t>
  </si>
  <si>
    <t>NCT05143463</t>
  </si>
  <si>
    <t>A FIH Study to Assess the Safety and Tolerability of NS Intravenous NS101 Infusion</t>
  </si>
  <si>
    <t>Neuracle Science Co., LTD.</t>
  </si>
  <si>
    <t>NCT05054725</t>
  </si>
  <si>
    <t>Combination Study of RMC-4630 and Sotorasib for NSCLC Subjects With KRASG12C Mutation After Failure of Prior Standard Therapies</t>
  </si>
  <si>
    <t>NCT05130450</t>
  </si>
  <si>
    <t>A Study of Olezarsen (Formerly Known as AKCEA-APOCIII-LRx) in Participants With Familial Chylomicronemia Syndrome (FCS)</t>
  </si>
  <si>
    <t>NCT04830813</t>
  </si>
  <si>
    <t>Phase 3 Clinical Study of Chiauranib Capsule in Patients With Small-cell Lung Cancer</t>
  </si>
  <si>
    <t>NCT05074433</t>
  </si>
  <si>
    <t>A Study to Evaluate Efficacy and Safety of Casirivimab+Imdevimab (Monoclonal Antibodies) for Prevention of COVID-19 in Immunocompromised Adolescents and Adults</t>
  </si>
  <si>
    <t>NCT06444191</t>
  </si>
  <si>
    <t>Pharmacokinetics (PK) of Rilzabrutinib (PRN1008) in Healthy Japanese and Caucasian Subjects</t>
  </si>
  <si>
    <t>NCT04945733</t>
  </si>
  <si>
    <t>A Study of Amivantamab in Participants With Previously Treated Advanced or Metastatic Gastric or Esophageal Cancer</t>
  </si>
  <si>
    <t>NCT02847949</t>
  </si>
  <si>
    <t>A Study of IGN002 for Refractory NHL</t>
  </si>
  <si>
    <t>NCT05083078</t>
  </si>
  <si>
    <t>A Study of Guselkumab and Risankizumab in Healthy Participants and Participants With Psoriatic Arthritis</t>
  </si>
  <si>
    <t>NCT04984889</t>
  </si>
  <si>
    <t>A Study of TAK-662 for Japanese Patients With Congenital Protein C Deficiency</t>
  </si>
  <si>
    <t>NCT05163041</t>
  </si>
  <si>
    <t>Study BT7480-100 in Patients With Advanced Malignancies Associated With Nectin-4 Expression</t>
  </si>
  <si>
    <t>NCT04774003</t>
  </si>
  <si>
    <t>Study of Pharmacokinetics, Pharmacodynamics, Safety and Tolerability of Inclisiran in Chinese Participants With Elevated Serum LDL-C</t>
  </si>
  <si>
    <t>NCT05056883</t>
  </si>
  <si>
    <t>A Phase III Confirmatory Study of K-237</t>
  </si>
  <si>
    <t>NCT04921566</t>
  </si>
  <si>
    <t>Bioequivalence Study of Two Formulations of Torasemide Tablet 10 mg in Healthy Volunteers Under Fasting Conditions</t>
  </si>
  <si>
    <t>NCT05101122</t>
  </si>
  <si>
    <t>Study for Efficacy and Dose Escalation of AD313 + Atomoxetine (SEED)</t>
  </si>
  <si>
    <t>NCT05258331</t>
  </si>
  <si>
    <t>Clinical Trial to Evaluate the Safety, Tolerability and Efficacy of CT303 in Patients With Psoriasis</t>
  </si>
  <si>
    <t>NCT04921527</t>
  </si>
  <si>
    <t>Chiauranib Plus Weekly Paclitaxel in Patients with Platinum-refractory or Platinum-resistant Recurrent Ovarian Cancer</t>
  </si>
  <si>
    <t>NCT04768686</t>
  </si>
  <si>
    <t>FLX475 Combined With Pembrolizumab in Patients With Advanced or Metastatic Gastric Cancer</t>
  </si>
  <si>
    <t>NCT04767373</t>
  </si>
  <si>
    <t>Efficacy and Safety of Clesrovimab (MK-1654) in Infants (MK-1654-004)</t>
  </si>
  <si>
    <t>NCT04031066</t>
  </si>
  <si>
    <t>Interventional Study to Assess Efficacy and Safety of Velmanase Alfa in Patients With Alpha Mannosidosis</t>
  </si>
  <si>
    <t>NCT05813561</t>
  </si>
  <si>
    <t>The Efficacy and Safety of DWP14012 in Chinese Patients With Reflux Esophagitis</t>
  </si>
  <si>
    <t>NCT04893486</t>
  </si>
  <si>
    <t>CODY: A Study Evaluating The Safety And Efficacy Of QTORIN 3.9% Sirolimus Topical Gel For The Prevention Of Basal Cell Carcinomas (BCCs) In Patients With Gorlin Syndrome</t>
  </si>
  <si>
    <t>NCT04933383</t>
  </si>
  <si>
    <t>Crossover Trial to Assess Efficacy and Safety of Inhaled AQ001S Compared to a Budesonide Suspension in Mild Asthmatics</t>
  </si>
  <si>
    <t>Aquilon Pharmaceuticals S.A.</t>
  </si>
  <si>
    <t>NCT04666922</t>
  </si>
  <si>
    <t>A Study in Healthy Men to Test How the Body Takes up and Tolerates Different Doses of BI 765080</t>
  </si>
  <si>
    <t>NCT04910022</t>
  </si>
  <si>
    <t>Ph I/II Study of NMS-03305293+TMZ in Adult Patients With Recurrent Glioblastoma</t>
  </si>
  <si>
    <t>NCT05153772</t>
  </si>
  <si>
    <t>Targeted Alpha-emitter Therapy of PRRT Naïve and Previous PRRT Neuroendocrine Tumor Patients</t>
  </si>
  <si>
    <t>Orano Med LLC</t>
  </si>
  <si>
    <t>NCT04540770</t>
  </si>
  <si>
    <t>A Phase 1 Study to Evaluate Safety, Tolerability, Pharmacokinetics, and Immunogenicity of HuL001</t>
  </si>
  <si>
    <t>HuniLife Biotechnology, Inc.</t>
  </si>
  <si>
    <t>NCT04923945</t>
  </si>
  <si>
    <t>Savolitinib for Treating Locally Advanced or Metastatic Non-small Cell Lung Cancer (NSCLC) Patients</t>
  </si>
  <si>
    <t>NCT05029622</t>
  </si>
  <si>
    <t>A Study to Assess the Efficacy and Safety of the Triptorelin 6-month Formulation in Paediatric Participants With Central Precocious Puberty.</t>
  </si>
  <si>
    <t>NCT04758767</t>
  </si>
  <si>
    <t>CID-103 (Anti-CD38 Antibody) in Previously Treated Relapsed or Refractory Multiple Myeloma</t>
  </si>
  <si>
    <t>CASI pharmaceuticals, Inc.</t>
  </si>
  <si>
    <t>NCT04815993</t>
  </si>
  <si>
    <t>Pharmacokinetics, Safety, and Tolerability of SYN-020</t>
  </si>
  <si>
    <t>NCT05181007</t>
  </si>
  <si>
    <t>Drug-drug Interaction Between Ciprofol and Mefanamic Acid or Valproate</t>
  </si>
  <si>
    <t>NCT04112199</t>
  </si>
  <si>
    <t>A Study for Evaluation of BIV201 to Reduce Ascites and Complications in Patients With Cirrhosis and Refractory Ascites</t>
  </si>
  <si>
    <t>BioVie Inc.</t>
  </si>
  <si>
    <t>NCT05012787</t>
  </si>
  <si>
    <t>Safety and Immunogenicity of Adjuvanted SARS-CoV-2 (SCB-2019) Vaccine in Adults With Chronic Immune-Mediated Diseases</t>
  </si>
  <si>
    <t>NCT04839393</t>
  </si>
  <si>
    <t>A Drug-Drug Interaction Study Between PF-06882961 and PF-06865571 in Healthy Adult Participants and Overweight Adults or Adults With Obesity Who Are Otherwise Healthy</t>
  </si>
  <si>
    <t>NCT04732221</t>
  </si>
  <si>
    <t>A Study of the Efficacy and Safety of Frespaciguat (MK-5475) in Participants With Pulmonary Arterial Hypertension (INSIGNIA-PAH: Phase 2/3 Study of an Inhaled sGC Stimulator in PAH) (MK-5475-007)</t>
  </si>
  <si>
    <t>NCT04712006</t>
  </si>
  <si>
    <t>A Study of JNJ-64304500 Following Subcutaneous Injection in Healthy Chinese Adult Participants</t>
  </si>
  <si>
    <t>NCT04970992</t>
  </si>
  <si>
    <t>A Pharmacokinetic and Pharmacodynamic Study of DZ-002 in Patients With Advanced Solid Malignancies or Lymphoma</t>
  </si>
  <si>
    <t>Da Zen Theranostics Inc</t>
  </si>
  <si>
    <t>NCT04800263</t>
  </si>
  <si>
    <t>A Trial of SHR-1905 in Healthy Subjects</t>
  </si>
  <si>
    <t>NCT05017987</t>
  </si>
  <si>
    <t>Clinical Trial to Compare Pharmacokinetics After Administration of ATB-101 or Co-administration of ATB-1011 and ATB-1012</t>
  </si>
  <si>
    <t>Autotelicbio</t>
  </si>
  <si>
    <t>NCT04820530</t>
  </si>
  <si>
    <t>Study of Efficacy and Safety of Twice Daily Oral Iptacopan (LNP023) in Adult PNH Patients Who Are Naive to Complement Inhibitor Therapy</t>
  </si>
  <si>
    <t>NCT05009836</t>
  </si>
  <si>
    <t>Clinical Study on Savolitinib + Osimertinib in Treatment of EGFRm+/MET+ Locally Advanced or Metastatic NSCLC</t>
  </si>
  <si>
    <t>NCT04906109</t>
  </si>
  <si>
    <t>Clinical Study to Evaluate the Pharmacokinetics, Safety and Tolerability of DA-2803 in Healthy Subjects</t>
  </si>
  <si>
    <t>NCT04814771</t>
  </si>
  <si>
    <t>Mass Balance Study of TS-142 in Healthy Adult Subjects.</t>
  </si>
  <si>
    <t>NCT04538911</t>
  </si>
  <si>
    <t>Phase I Clinical Protocol for Pre-evaluation of the Safety of BCG-PPD in Tuberculosis Patients</t>
  </si>
  <si>
    <t>NCT04856787</t>
  </si>
  <si>
    <t>A Clinical Studyf of SHR-1701 or Placebo in Combination With BP102 and XELOX in the First-line Treatment of mCRC</t>
  </si>
  <si>
    <t>NCT04709328</t>
  </si>
  <si>
    <t>To Evaluate SCTA01 Treatment of High-risk Outpatients With COVID-19</t>
  </si>
  <si>
    <t>NCT05123209</t>
  </si>
  <si>
    <t>Safety and Efficacy Evaluation of IM83 CAR-T Cells for Patients With Advanced Liver Tumors</t>
  </si>
  <si>
    <t>NCT05821712</t>
  </si>
  <si>
    <t>A New Mouthwash on Reducing Dental Plaque and Helping Prevent Gum Problems</t>
  </si>
  <si>
    <t>NCT05077267</t>
  </si>
  <si>
    <t>ABNCoV2 Vaccine in SARS-CoV-2 (COVID-19) Seronegative and Seropositive Adult Subjects</t>
  </si>
  <si>
    <t>NCT05109832</t>
  </si>
  <si>
    <t>A Study of Absorption-Distribution-Metabolism-Excretion (ADME) of [14C]IMP4297 to China Healthy Male Subjects</t>
  </si>
  <si>
    <t>NCT04676711</t>
  </si>
  <si>
    <t>A Study of GFH312 in Healthy Subjects</t>
  </si>
  <si>
    <t>GenFleet Therapeutics (Australia) Pty Ltd.</t>
  </si>
  <si>
    <t>NCT05089019</t>
  </si>
  <si>
    <t>A Study Comparing Two Formulations of Selpercatinib (LY3527723) in Healthy Participants</t>
  </si>
  <si>
    <t>NCT04678830</t>
  </si>
  <si>
    <t>Double Blind, Placebo Controlled Study of Safety and Efficacy of Leronlimab in Patients With "Long" COVID-19</t>
  </si>
  <si>
    <t>NCT04624230</t>
  </si>
  <si>
    <t>Evaluation of Oral Tofacitinib in Children Aged 2 to 17 Years Old Suffering From Moderate to Severe Ulcerative Colitis</t>
  </si>
  <si>
    <t>NCT04984993</t>
  </si>
  <si>
    <t>Clinical Investigation Using MED3000 Gel or Tadalafil Tablets in the Treatment of Erectile Dysfunction</t>
  </si>
  <si>
    <t>Futura Medical Developments Ltd.</t>
  </si>
  <si>
    <t>NCT05059600</t>
  </si>
  <si>
    <t>A Study To Assess The Safe-Use Conditions For Administration of ZULRESSO® in a Home Setting</t>
  </si>
  <si>
    <t>NCT05079919</t>
  </si>
  <si>
    <t>A Study of Olezarsen (ISIS 678354) Administered to Participants With Severe Hypertriglyceridemia</t>
  </si>
  <si>
    <t>NCT04914598</t>
  </si>
  <si>
    <t>A Phase Ⅲ Clinical Study of Combined Cisplatin Versus Placebo Combined With Intracavitary Cisplatin Injection in the Treatment of Malignant Pleural Effusions</t>
  </si>
  <si>
    <t>NCT04770428</t>
  </si>
  <si>
    <t>Evaluate Safety, Tolerability, Pharmacokinetics and Immunogenicity of MEDI7352 in Healthy Volunteers</t>
  </si>
  <si>
    <t>NCT04860830</t>
  </si>
  <si>
    <t>CONNEX-3: A Study to Test Whether Iclepertin Improves Learning and Memory in People With Schizophrenia</t>
  </si>
  <si>
    <t>NCT05140200</t>
  </si>
  <si>
    <t>Study of GSK3511294 in Healthy Chinese Participants</t>
  </si>
  <si>
    <t>NCT04817111</t>
  </si>
  <si>
    <t>NAD+ Precursor Supplementation in Friedreich's Ataxia</t>
  </si>
  <si>
    <t>NCT04773977</t>
  </si>
  <si>
    <t>Clinical Study of IBI362 in Healthy Chinese Male Subjects</t>
  </si>
  <si>
    <t>NCT04389281</t>
  </si>
  <si>
    <t>X-ray Psoralen Activated Cancer Therapy in Head and Neck, Breast, Sarcoma and Melanoma</t>
  </si>
  <si>
    <t>Immunolight, LLC</t>
  </si>
  <si>
    <t>NCT04772612</t>
  </si>
  <si>
    <t>A Study to Evaluate the Effect of Mild, Moderate, and Severe Hepatic Impairment on Pharmacokinetics of Sitravatinib</t>
  </si>
  <si>
    <t>NCT05164341</t>
  </si>
  <si>
    <t>Study to Evaluate the Safety and Efficacy of Daily Subcutaneous Metreleptin Treatment in Subjects With PL</t>
  </si>
  <si>
    <t>NCT04931654</t>
  </si>
  <si>
    <t>A Study to Assess the Safety and Efficacy of AZD7789 in Participants With Advanced or Metastatic Solid Cancer</t>
  </si>
  <si>
    <t>NCT04806503</t>
  </si>
  <si>
    <t>A Dose-ranging Study to Evaluate the Safety and Efficacy of UNR844 in Subjects With Presbyopia.</t>
  </si>
  <si>
    <t>NCT04964986</t>
  </si>
  <si>
    <t>Metabolic Balance Study of Apraglutide in Patients With Short Bowel Syndrome, Intestinal Failure (SBS-IF) and Colon-in-Continuity (CIC)</t>
  </si>
  <si>
    <t>NCT04233073</t>
  </si>
  <si>
    <t>Trial of Andexanet in Patients Receiving an Oral FXa Inhibitor Who Require Urgent Surgery</t>
  </si>
  <si>
    <t>NCT05092269</t>
  </si>
  <si>
    <t>A Long-term Extension Study of Ustekinumab in Pediatric Participants</t>
  </si>
  <si>
    <t>NCT05557903</t>
  </si>
  <si>
    <t>Phase Ⅰ Clinical Study of Anti-CD52 Monoclonal Antibody in NHL and T-PLL</t>
  </si>
  <si>
    <t>Lanzhou Institute of Biological Products Co., Ltd</t>
  </si>
  <si>
    <t>NCT05008341</t>
  </si>
  <si>
    <t>Evaluate Sunosi® PK in Breast Milk and Plasma of Healthy Postpartum Women Following Single Dose Oral Administration</t>
  </si>
  <si>
    <t>NCT04815083</t>
  </si>
  <si>
    <t>Fluorescence Imaging of Carcinoma During Breast Conserving Surgery</t>
  </si>
  <si>
    <t>SBI ALApharma Canada, Inc.</t>
  </si>
  <si>
    <t>NCT05067894</t>
  </si>
  <si>
    <t>Safety and Immunogenicity of SARS-CoV-2 Protein Subunit Recombinant Vaccine</t>
  </si>
  <si>
    <t>NCT05085639</t>
  </si>
  <si>
    <t>GLS-5310 Vaccine in Healthy Volunteers for the Prevention of SARS-CoV-2 (COVID-19)</t>
  </si>
  <si>
    <t>NCT05020249</t>
  </si>
  <si>
    <t>A Study to Evaluate the Efficacy and Safety of Bimekizumab in Adult Korean Study Participants With Moderate to Severe Plaque Psoriasis</t>
  </si>
  <si>
    <t>NCT04756804</t>
  </si>
  <si>
    <t>Perioperative Patient Skin Antiseptic Preparation Evaluation</t>
  </si>
  <si>
    <t>Zurex Pharma, Inc.</t>
  </si>
  <si>
    <t>NCT04705350</t>
  </si>
  <si>
    <t>A Study to Test Safety, Tolerability, Pharmacokinetics, and Pharmacodynamics of Single Ascending Intravenous Doses of Zampilimab in Healthy Participants</t>
  </si>
  <si>
    <t>NCT05070390</t>
  </si>
  <si>
    <t>A Study of Enlicitide Chloride (MK-0616 Oral PCSK9 Inhibitor) in Participants With Moderate Renal Impairment (MK-0616-007)</t>
  </si>
  <si>
    <t>NCT04447898</t>
  </si>
  <si>
    <t>Dose Escalation Study Assessing the Safety and Immune Response of PPV-06 Vaccine</t>
  </si>
  <si>
    <t>Peptinov SAS</t>
  </si>
  <si>
    <t>NCT04821648</t>
  </si>
  <si>
    <t>RJV001 Study in Adults Receiving Abdominoplasty</t>
  </si>
  <si>
    <t>Rejuven Dermaceutical Co., Ltd.</t>
  </si>
  <si>
    <t>NCT04729517</t>
  </si>
  <si>
    <t>Efficacy and Safety Study of AI201901 in Allergic Rhinitis Patients</t>
  </si>
  <si>
    <t>Abdi Ibrahim Ilac San. ve Tic A.S.</t>
  </si>
  <si>
    <t>NCT05265676</t>
  </si>
  <si>
    <t>Bioequivalence Study of a Generic Enoxaparin Sodium to Clexane® After Single Subcutaneous Dose in Healthy Human Subjects</t>
  </si>
  <si>
    <t>Venus Remedies Limited</t>
  </si>
  <si>
    <t>NCT05531968</t>
  </si>
  <si>
    <t>Treatment of Moderate to Severe Glabellar Lines (BMI2006)</t>
  </si>
  <si>
    <t>BMI Korea</t>
  </si>
  <si>
    <t>NCT04846920</t>
  </si>
  <si>
    <t>A Study of Belzutifan (MK-6482) in Participants With Advanced Clear Cell Renal Cell Carcinoma (MK-6482-018)</t>
  </si>
  <si>
    <t>NCT05194982</t>
  </si>
  <si>
    <t>A Study of BL-B01D1 in Patients With Locally Advanced or Metastatic Solid Tumor</t>
  </si>
  <si>
    <t>NCT04969276</t>
  </si>
  <si>
    <t>Study of a Quadrivalent High-Dose Influenza Vaccine and a Moderna COVID-19 Vaccine Administered Either Concomitantly or Singly in Participants 65 Years of Age and Older Previously Vaccinated With a 2-dose Schedule of Moderna COVID-19 Vaccine</t>
  </si>
  <si>
    <t>NCT05116774</t>
  </si>
  <si>
    <t>BCX9930 for the Treatment of Paroxysmal Nocturnal Hemoglobinuria (PNH) in Participants With Inadequate Response to C5 Inhibitor Therapy</t>
  </si>
  <si>
    <t>NCT05041010</t>
  </si>
  <si>
    <t>Rescues On Reperfusion Damage In Cerebral Infarction by Nelonemdaz</t>
  </si>
  <si>
    <t>GNT Pharma</t>
  </si>
  <si>
    <t>NCT04640376</t>
  </si>
  <si>
    <t>Paracetamol UNIFLASH for Buccal Use Phase III Trial in Acute Pain Due to a Tooth Extraction</t>
  </si>
  <si>
    <t>NCT04991740</t>
  </si>
  <si>
    <t>A Study of JNJ-78306358 in Participants With Advanced Stage Solid Tumors</t>
  </si>
  <si>
    <t>NCT04656691</t>
  </si>
  <si>
    <t>At-Home Infusion Using Bamlanivimab in Participants With Mild to Moderate COVID-19</t>
  </si>
  <si>
    <t>Daniel Griffin</t>
  </si>
  <si>
    <t>NCT04558918</t>
  </si>
  <si>
    <t>Study of Efficacy and Safety of Twice Daily Oral LNP023 in Adult PNH Patients With Residual Anemia Despite Anti-C5 Antibody Treatment</t>
  </si>
  <si>
    <t>NCT04856891</t>
  </si>
  <si>
    <t>A Study of Lirentelimab (AK002) in Patients With Active Eosinophilic Duodenitis</t>
  </si>
  <si>
    <t>NCT04148742</t>
  </si>
  <si>
    <t>Assessing an Oral Bruton Tyrosine Kinase Inhibitor, DZD9008 in Patients Who Have Non-Hodgkin B-cell Lymphoma (WU-KONG3)</t>
  </si>
  <si>
    <t>NCT05116891</t>
  </si>
  <si>
    <t>A Phase 1/2 Study of CAN04 in Combination With Different Chemotherapy Regimens in Subjects With Advanced Solid Tumors</t>
  </si>
  <si>
    <t>NCT05051891</t>
  </si>
  <si>
    <t>A Randomized, Open-label, Multi-center, Phase III Study of Orelabrutinib in Combination With Rituximab, Cyclophosphamide, Doxorubicin, Vincristine, and Prednisone (R-CHOP) vs. R-CHOP Alone in Patients With Treatment-naїve Mantle Cell Lymphoma</t>
  </si>
  <si>
    <t>NCT04949490</t>
  </si>
  <si>
    <t>A Trial Investigating the Safety and Effects of One or Two Additional Doses of Comirnaty or One Dose of BNT162b2s01 in BNT162-01 or BNT162-04 Trial Subjects</t>
  </si>
  <si>
    <t>NCT05048160</t>
  </si>
  <si>
    <t>A Clinical Study of 6MW3211 Injection in the Treatment of Advanced Malignant Neoplasm</t>
  </si>
  <si>
    <t>NCT05216562</t>
  </si>
  <si>
    <t>Efficacy and Safety of EXOSOME-MSC Therapy to Reduce Hyper-inflammation In Moderate COVID-19 Patients</t>
  </si>
  <si>
    <t>Dermama Bioteknologi Laboratorium</t>
  </si>
  <si>
    <t>NCT06894446</t>
  </si>
  <si>
    <t>Efficacy and Safety of Numeta G13%E Compared to Compounded Parenteral Nutrition in Preterm Neonates</t>
  </si>
  <si>
    <t>Baxter Healthcare Corporation</t>
  </si>
  <si>
    <t>NCT04822961</t>
  </si>
  <si>
    <t>Senaparib in mCRPC Patients With Homologous Recombination Repair Gene Alterations After Docetaxel Treatment</t>
  </si>
  <si>
    <t>NCT05032950</t>
  </si>
  <si>
    <t>Drug-Drug Interaction Study to Estimate the Effect of PF-07321332/Ritonavir and Ritonavir on Midazolam in Healthy Participants</t>
  </si>
  <si>
    <t>NCT06077903</t>
  </si>
  <si>
    <t>GT101 Injection in the Treatment of Metastatic/Recurrent Advanced Solid Tumors</t>
  </si>
  <si>
    <t>Grit Biotechnology</t>
  </si>
  <si>
    <t>NCT04731818</t>
  </si>
  <si>
    <t>An Exploratory Study of ZB-06 as a Vaginal Contraceptive Film</t>
  </si>
  <si>
    <t>NCT04184882</t>
  </si>
  <si>
    <t>A Study to Assess the Safety, Tolerability and Preliminary Efficacy of ASP0367 (MA-0211) in Pediatric Male Participants With Duchenne Muscular Dystrophy (DMD)</t>
  </si>
  <si>
    <t>NCT04766723</t>
  </si>
  <si>
    <t>A Study to Investigate the Efficacy and Safety of NT 201 (Botulinum Toxin) Compared With Placebo for the Treatment of Adult Participants With Essential Tremor in the Arm</t>
  </si>
  <si>
    <t>Merz Pharmaceuticals GmbH</t>
  </si>
  <si>
    <t>NCT04825496</t>
  </si>
  <si>
    <t>Clinical Study of ssCART-19 Cells in Patients With CD19 Positive Relapsed or Refractory Acute Lymphoblastic Leukemia</t>
  </si>
  <si>
    <t>Shanghai Unicar-Therapy Bio-medicine Technology Co.,Ltd</t>
  </si>
  <si>
    <t>NCT02873468</t>
  </si>
  <si>
    <t>Efficacy and Safety of Three Doses of Florence Oral Suspension in Adults With Eosinophilic Esophagitis</t>
  </si>
  <si>
    <t>NCT05048797</t>
  </si>
  <si>
    <t>A Study to Investigate the Efficacy and Safety of Trastuzumab Deruxtecan as the First Treatment Option for Unresectable, Locally Advanced/Metastatic Non-Small Cell Lung Cancer With HER2 Mutations</t>
  </si>
  <si>
    <t>NCT05051579</t>
  </si>
  <si>
    <t>A Study of LY3502970 in Participants With Obesity or Overweight With Weight-related Comorbidities</t>
  </si>
  <si>
    <t>NCT05081388</t>
  </si>
  <si>
    <t>COVID-19 Study to Evaluate Safety, Tolerability, and Efficacy of REGN14256+Imdevimab for the Treatment of COVID-19 Adult and Adolescent Patients Without Risk Factors for Progression to Severe Disease</t>
  </si>
  <si>
    <t>NCT05068388</t>
  </si>
  <si>
    <t>Effect of Oral (Z)-Endoxifen in Premenopausal Women With Measurable Breast Density</t>
  </si>
  <si>
    <t>NCT05113888</t>
  </si>
  <si>
    <t>Exploratory Study on Dosage of Qizhi Weitong Granules in the Treatment of Irritable Bowel Syndrome （IBS)</t>
  </si>
  <si>
    <t>NCT04692688</t>
  </si>
  <si>
    <t>Study of the Safety and Efficacy of APX3330 in Diabetic Retinopathy</t>
  </si>
  <si>
    <t>NCT04699461</t>
  </si>
  <si>
    <t>Study to Evaluate the Efficacy and Safety of Loncastuximab Tesirine Versus Idelalisib in Participants With Relapsed or Refractory Follicular Lymphoma</t>
  </si>
  <si>
    <t>NCT06316791</t>
  </si>
  <si>
    <t>Exploratory Clinical Study of CNCT19 Anti CD19 Cell Therapy in the Treatment of Refractory Autoimmune Diseases</t>
  </si>
  <si>
    <t>NCT04728360</t>
  </si>
  <si>
    <t>Comparative Study of BAT2206 With Stelara® in Patients With Moderate to Severe Plaque Psoriasis</t>
  </si>
  <si>
    <t>NCT04513223</t>
  </si>
  <si>
    <t>A Phase 1 Study of SHR-A1811 in Patients With Selected HER2 Expressing Tumors</t>
  </si>
  <si>
    <t>NCT04953923</t>
  </si>
  <si>
    <t>Thorough QT Assessment of Cedazuridine in Healthy Subjects</t>
  </si>
  <si>
    <t>NCT06048705</t>
  </si>
  <si>
    <t>Study of GSK3901961 In Previously Treated Advanced (Metastatic OR Unresectable) Synovial Sarcoma/ Myxoid/Round Cell Liposarcoma, and Previously Treated Metastatic Non-Small Cell Lung Cancer</t>
  </si>
  <si>
    <t>NCT04894474</t>
  </si>
  <si>
    <t>A Study to Test Whether BI 767551 Can Prevent COVID-19 in People Who Have Been Exposed to SARS-CoV-2</t>
  </si>
  <si>
    <t>NCT05065190</t>
  </si>
  <si>
    <t>A Study to Test How Well a Medicine Called Nintedanib Helps People in China With Progressive Lung Fibrosis</t>
  </si>
  <si>
    <t>NCT04878003</t>
  </si>
  <si>
    <t>Study of KRT-232 or TL-895 in Janus Associated Kinase Inhibitor Treatment-Naïve Myelofibrosis</t>
  </si>
  <si>
    <t>NCT04844073</t>
  </si>
  <si>
    <t>A Study of TAK-186 (Also Known as MVC-101) in Adults With Advanced or Metastatic Cancer</t>
  </si>
  <si>
    <t>NCT05087069</t>
  </si>
  <si>
    <t>Clinical Trial to Investigate the Safety, Tolerability and Pharmacokinetics of BV100 in Healthy Male Subjects</t>
  </si>
  <si>
    <t>NCT04991753</t>
  </si>
  <si>
    <t>A Proof-of-concept Study of the Efficacy and Safety of Nipocalimab in Participants With Active Rheumatoid Arthritis</t>
  </si>
  <si>
    <t>NCT04819269</t>
  </si>
  <si>
    <t>Tivanisiran for Dry Eye in Subjects With Sjögren's Syndrome</t>
  </si>
  <si>
    <t>Sylentis, S.A.</t>
  </si>
  <si>
    <t>NCT04977453</t>
  </si>
  <si>
    <t>GI-101/GI-101A as a Single Agent or in Combination With Pembrolizumab or Lenvatinib in Advanced Solid Tumors</t>
  </si>
  <si>
    <t>GI Innovation, Inc.</t>
  </si>
  <si>
    <t>NCT04717375</t>
  </si>
  <si>
    <t>Study of SAR444881 Administered Alone and in Combination With Other Therapeutics in Participants With Advanced Solid Tumors</t>
  </si>
  <si>
    <t>NCT04795557</t>
  </si>
  <si>
    <t>Efficacy of Adaptogens in Patients With Long COVID-19</t>
  </si>
  <si>
    <t>NCT05317741</t>
  </si>
  <si>
    <t>SAD Study of IA-14069</t>
  </si>
  <si>
    <t>ILAb Co., Ltd.</t>
  </si>
  <si>
    <t>NCT05049161</t>
  </si>
  <si>
    <t>A Long-term Extension of Study GNC-401</t>
  </si>
  <si>
    <t>NCT04804605</t>
  </si>
  <si>
    <t>Open Label Extension Trial of PDE4 Inhibition With Roflumilast for the Management of Atopic Dermatitis</t>
  </si>
  <si>
    <t>NCT04930094</t>
  </si>
  <si>
    <t>Phase III Study of Efficacy and Safety of Secukinumab Versus Placebo, in Combination With Glucocorticoid Taper Regimen, in Patients With Giant Cell Arteritis (GCA)</t>
  </si>
  <si>
    <t>NCT05009329</t>
  </si>
  <si>
    <t>A Study of JAB-21822 in Adult Patients With Advanced Solid Tumors Harboring KRAS p.G12C Mutation in China</t>
  </si>
  <si>
    <t>NCT05803902</t>
  </si>
  <si>
    <t>An Evaluation of 9MW1911 Injection in Healthy Subjects</t>
  </si>
  <si>
    <t>NCT04831502</t>
  </si>
  <si>
    <t>Bioavailability and Food Effect Study of Two Formulations of TAK-906</t>
  </si>
  <si>
    <t>NCT04800237</t>
  </si>
  <si>
    <t>Evaluating the Effects of VQW-765 vs. Placebo in Performance Anxiety</t>
  </si>
  <si>
    <t>NCT02546739</t>
  </si>
  <si>
    <t>Immunotherapy With CD19 CAR T-cells for B-Cell Lymphoma, ALL and CLL</t>
  </si>
  <si>
    <t>Beijing Doing Biomedical Co., Ltd.</t>
  </si>
  <si>
    <t>NCT04625101</t>
  </si>
  <si>
    <t>Efficacy, Safety, Tolerability, and Pharmacokinetics of NBI-827104 in Pediatric Subjects With Epileptic Encephalopathy With Continuous Spike-and-Wave During Sleep</t>
  </si>
  <si>
    <t>NCT04632966</t>
  </si>
  <si>
    <t>Safety Study of PTP-001 for Treating Knee Osteoarthritis</t>
  </si>
  <si>
    <t>Bioventus LLC</t>
  </si>
  <si>
    <t>NCT05065645</t>
  </si>
  <si>
    <t>Study to Assess the Safety, Tolerability, Pharmacokinetics and Pharmacodynamics of Inhaled APN01 Developed as Treatment for COVID-19</t>
  </si>
  <si>
    <t>NCT04971473</t>
  </si>
  <si>
    <t>Comparison of the Efficacy and Safety of rhTSH as An Adjunctive Diagnostic Tool in Differentiated Thyroid Cancer Patients Who Had Been Thyroidectomized Vs. Patients Who After Thyroid Hormone Withdrawal</t>
  </si>
  <si>
    <t>NCT05039931</t>
  </si>
  <si>
    <t>A Study of GNC-035, a Tetra-specific Antibody, in Participants With Locally Advanced or Metastatic Solid Tumors</t>
  </si>
  <si>
    <t>NCT06570031</t>
  </si>
  <si>
    <t>ONO-4578-06:Phase I Study of ONO-4578 and Letrozole Plus CDK4 /6 Inhibitors in Breast Cancer</t>
  </si>
  <si>
    <t>NCT04852783</t>
  </si>
  <si>
    <t>US IDE Study of the Contour NEurovasCular System™ for IntraCranial Aneurysm Repair</t>
  </si>
  <si>
    <t>Cerus Endovascular, Inc.</t>
  </si>
  <si>
    <t>NCT05111431</t>
  </si>
  <si>
    <t>NCT04938453</t>
  </si>
  <si>
    <t>A Study in Healthy Men to Test Whether Four Capsules of 25 mg Nintedanib Are Taken up in the Body in the Same Way as One 100 mg Capsule</t>
  </si>
  <si>
    <t>NCT04840745</t>
  </si>
  <si>
    <t>The Safety and Pharmacokinetic/Pharmacodynamic Study of CKD-841 in Postmenopausal Female, Phase 1</t>
  </si>
  <si>
    <t>NCT04589403</t>
  </si>
  <si>
    <t>1a/1b Study of OPT101 First in Human Study Assessing Safety and Tolerability of 15-mer Peptide.</t>
  </si>
  <si>
    <t>Op-T LLC</t>
  </si>
  <si>
    <t>NCT05084651</t>
  </si>
  <si>
    <t>Drug-drug Interaction Study of Ganaplacide and Lumefantrine With Itraconazole</t>
  </si>
  <si>
    <t>NCT04925661</t>
  </si>
  <si>
    <t>HEC53856 Phase Ib Study in Patients With Non-dialysis Renal Anemia</t>
  </si>
  <si>
    <t>NCT04851483</t>
  </si>
  <si>
    <t>A Trial to Learn What Happens to Different Medicinal Forms of BAY2328065 When They Enter the Body and How Safe They Are in Healthy Male and Female Participants</t>
  </si>
  <si>
    <t>NCT04940741</t>
  </si>
  <si>
    <t>Efficacy and Safety of VER-01 in the Treatment of Patients With Chronic Non-specific Low Back Pain</t>
  </si>
  <si>
    <t>Vertanical GmbH</t>
  </si>
  <si>
    <t>NCT04727151</t>
  </si>
  <si>
    <t>TAC T-cells for the Treatment of HER2-positive Solid Tumors</t>
  </si>
  <si>
    <t>NCT04589845</t>
  </si>
  <si>
    <t>Tumor-agnostic Precision Immuno-oncology and Somatic Targeting Rational for You (TAPISTRY) Platform Study</t>
  </si>
  <si>
    <t>NCT04718675</t>
  </si>
  <si>
    <t>A Study of KB-0742 in Participants With Relapsed or Refractory Solid Tumors Including Platinum Resistant High Grade Serous Ovarian Cancer (HGSOC)</t>
  </si>
  <si>
    <t>NCT04748601</t>
  </si>
  <si>
    <t>Qudexy XR for the Prevention of Migraine in Children 6 to 11 Years Old</t>
  </si>
  <si>
    <t>NCT04992065</t>
  </si>
  <si>
    <t>A Research Study Looking at How NNC0385-0434 Tablets Work to Lower Blood Cholesterol in People With Heart Disease or a High Risk of Heart Disease</t>
  </si>
  <si>
    <t>NCT05055128</t>
  </si>
  <si>
    <t>A Study in Patients With Erosive Esophagitis to Investigate Safety, Tolerability, and Healing Rates After 4 Weeks Treatment of X842 or Lansoprazole and Symptom Pattern During Subsequent 4 Weeks Treatment With Lansoprazole</t>
  </si>
  <si>
    <t>Cinclus Pharma Holding AB</t>
  </si>
  <si>
    <t>NCT04703322</t>
  </si>
  <si>
    <t>A Study of Pexidartinib in Tenosynovial Giant Cell Tumor in Japan</t>
  </si>
  <si>
    <t>NCT05082831</t>
  </si>
  <si>
    <t>Human ECM Implanted Within Microfracture Interstices &amp; the Cartilage Defect in the Knee to Regenerate Hyaline Cartilage</t>
  </si>
  <si>
    <t>NCT04991766</t>
  </si>
  <si>
    <t>A Study of [¹⁴C]-LY3484356 in Healthy Female Participants</t>
  </si>
  <si>
    <t>NCT04633057</t>
  </si>
  <si>
    <t>A Study to Evaluating the Efficacy and Safety of Recombinant Long-acting Human Growth Hormone (TJ101) in Children With Growth Hormone Deficiency</t>
  </si>
  <si>
    <t>NCT05130567</t>
  </si>
  <si>
    <t>A Study of LP-128 Capsules in Healthy Subjects</t>
  </si>
  <si>
    <t>NCT05631431</t>
  </si>
  <si>
    <t>Evaluation of Efficacy and Safety of Curalin As Add-On Therapy in Adults With Type 2 Diabetes Mellitus</t>
  </si>
  <si>
    <t>CuraLife</t>
  </si>
  <si>
    <t>NCT05160402</t>
  </si>
  <si>
    <t>Evaluation of IGM-6268 in Healthy Volunteers</t>
  </si>
  <si>
    <t>NCT04537377</t>
  </si>
  <si>
    <t>A Phase I/II Study of VTX-801 in Adult Patients With Wilson's Disease</t>
  </si>
  <si>
    <t>Vivet Therapeutics SAS</t>
  </si>
  <si>
    <t>NCT05051553</t>
  </si>
  <si>
    <t>A Study to Evaluate the Bioavailability of Fedratinib When Administered in Different Ways to Healthy Adult Participants</t>
  </si>
  <si>
    <t>NCT04790851</t>
  </si>
  <si>
    <t>Evaluation of Immunogenicity and Safety of Combined Immunization of COVID-19 Vaccine (Produced in Beijing) and PPV23 / IIV4</t>
  </si>
  <si>
    <t>NCT04818372</t>
  </si>
  <si>
    <t>Dose Escalation and Expansion Study of CM313 in Subjects With Relapsed or Refractory Multiple Myeloma and Lymphoma</t>
  </si>
  <si>
    <t>NCT05193565</t>
  </si>
  <si>
    <t>Study to Compare the Efficacy and Safety After Conversion to RaparoBell® or My-Rept® in Kidney Transplant Patients</t>
  </si>
  <si>
    <t>NCT05044234</t>
  </si>
  <si>
    <t>A Study to Assess Adverse Events and Disease Activity With Cedirogant (ABBV-157) in Adult Participants With Moderate to Severe Psoriasis</t>
  </si>
  <si>
    <t>NCT04805398</t>
  </si>
  <si>
    <t>Subcutaneously CM310/Placebo in Patients With Chronic Rhinosinusitis With Nasal Polyposis (CROWNS-1)</t>
  </si>
  <si>
    <t>NCT04944784</t>
  </si>
  <si>
    <t>A Study to Evaluate the Efficacy and Safety of Reldesemtiv in Patients With Amyotrophic Lateral Sclerosis (ALS)</t>
  </si>
  <si>
    <t>NCT05081518</t>
  </si>
  <si>
    <t>A Study of Lu AG06466 in Participants With Treatment Resistant Focal Epilepsy</t>
  </si>
  <si>
    <t>NCT05018416</t>
  </si>
  <si>
    <t>Renal Autologous Cell Therapy (REACT) in Subjects With Type 1 or 2 Diabetes and Chronic Kidney Disease (REGEN-007)</t>
  </si>
  <si>
    <t>Prokidney</t>
  </si>
  <si>
    <t>NCT05171816</t>
  </si>
  <si>
    <t>Study on Olaparib Plus Abiraterone as First-line Therapy in Men With Metastatic Castration-resistant Prostate Cancer (China Cohort)</t>
  </si>
  <si>
    <t>NCT04971135</t>
  </si>
  <si>
    <t>First-in-human Study of SAN711 in Healthy Participants</t>
  </si>
  <si>
    <t>NCT04732117</t>
  </si>
  <si>
    <t>Efficacy and Safety Study of Secukinumab in Chinese Participants With Non-radiographic Axial Spondyloarthritis</t>
  </si>
  <si>
    <t>NCT04982068</t>
  </si>
  <si>
    <t>Phase I Clinical Trial of Recombinant SARS-CoV-2 Spike Protein Vaccine (CHO Cell) for the Prevention of COVID-19</t>
  </si>
  <si>
    <t>NCT04867343</t>
  </si>
  <si>
    <t>Pharmacokinetics, Safety and Efficacy of HR020602 Injection in Children Undergoing General Anesthesia</t>
  </si>
  <si>
    <t>NCT04884243</t>
  </si>
  <si>
    <t>Safety, Efficacy and Pharmacokinetics of CBT-006 in Patients With Meibomian Gland Dysfunction</t>
  </si>
  <si>
    <t>Cloudbreak Therapeutics, LLC</t>
  </si>
  <si>
    <t>NCT04640025</t>
  </si>
  <si>
    <t>A Rollover Study to Provide Continued Treatment for Participants Previously Enrolled in Studies of Itacitinib</t>
  </si>
  <si>
    <t>NCT04432389</t>
  </si>
  <si>
    <t>Study to Assess the Efficacy and Safety of Allogeneic Osteoblastic Cells (ALLOB®) Single Implantation in Tibial Fracture</t>
  </si>
  <si>
    <t>NCT04814498</t>
  </si>
  <si>
    <t>Drug-Drug Interaction (DDI) Study in Healthy Volunteers</t>
  </si>
  <si>
    <t>NCT05148884</t>
  </si>
  <si>
    <t>Study to Assess the Safety, Tolerability and Preliminary Efficacy of NLX-112 Versus Placebo in L-dopa-induced Dyskinesia</t>
  </si>
  <si>
    <t>Neurolixis SAS</t>
  </si>
  <si>
    <t>NCT04660721</t>
  </si>
  <si>
    <t>A Study Evaluating the Safety and Preliminary Efficacy of sFilm-FS in Controlling Parenchymal Bleeding During Elective Hepatic Surgery</t>
  </si>
  <si>
    <t>Sealantium Medical Ltd.</t>
  </si>
  <si>
    <t>NCT04925284</t>
  </si>
  <si>
    <t>Study of XB002 in Subjects With Solid Tumors (JEWEL-101)</t>
  </si>
  <si>
    <t>NCT04951349</t>
  </si>
  <si>
    <t>Safety and Efficacy of Intranasal Application of GX-03 as a Treatment and Prevention for COVID-19.</t>
  </si>
  <si>
    <t>Turn Therapeutics</t>
  </si>
  <si>
    <t>NCT04793958</t>
  </si>
  <si>
    <t>Phase 3 Study of MRTX849 With Cetuximab vs Chemotherapy in Patients With Advanced Colorectal Cancer With KRAS G12C Mutation (KRYSTAL-10)</t>
  </si>
  <si>
    <t>NCT05103826</t>
  </si>
  <si>
    <t>A Study of SHR6390 Combined With Famitinib in the Treatment of ER + / HER2- Advanced Breast Cancer</t>
  </si>
  <si>
    <t>NCT04632940</t>
  </si>
  <si>
    <t>Phase 3 Trial of Pamrevlumab or Placebo in Combination With Systemic Corticosteroids in Participants With Ambulatory DMD</t>
  </si>
  <si>
    <t>NCT04770389</t>
  </si>
  <si>
    <t>Randomized Study of Obicetrapib in Combination With Ezetimibe</t>
  </si>
  <si>
    <t>NCT06258174</t>
  </si>
  <si>
    <t>A Study of Two Different Formulations of Pirtobrutinib (LOXO-305) In Healthy Participants</t>
  </si>
  <si>
    <t>NCT04818632</t>
  </si>
  <si>
    <t>AZD9833 China PK Study</t>
  </si>
  <si>
    <t>NCT04791332</t>
  </si>
  <si>
    <t>A Study of JNJ-67953964 in Healthy Japanese Adult Male Participants</t>
  </si>
  <si>
    <t>NCT04678908</t>
  </si>
  <si>
    <t>A Study of Injection HB0025 in Patients With Advanced Solid Tumors</t>
  </si>
  <si>
    <t>NCT04814368</t>
  </si>
  <si>
    <t>A Safety and Efficacy Study of Anti-inflammatory (Canakinumab) and Cartilage Stimulating (LNA043) Drugs Injected Into the Knee Joint of Participants With Knee Osteoarthritis (OA)</t>
  </si>
  <si>
    <t>NCT05080621</t>
  </si>
  <si>
    <t>Ripretinib in Combination With Binimetinib in Patients With Gastrointestinal Stromal Tumor (GIST)</t>
  </si>
  <si>
    <t>NCT04838626</t>
  </si>
  <si>
    <t>Study of Diagnostic Performance of [18F]CTT1057 for PSMA-positive Tumors Detection</t>
  </si>
  <si>
    <t>NCT04605185</t>
  </si>
  <si>
    <t>Donafenib and Toripalimab Combined With TACE in Patients With Unresectable Hepatocellular Carcinoma</t>
  </si>
  <si>
    <t>NCT04880876</t>
  </si>
  <si>
    <t>A Study Evaluating Oral Eluxadoline Administered to Pediatric Participants With Irritable Bowel Syndrome With Diarrhea (IBS-D)</t>
  </si>
  <si>
    <t>NCT04649112</t>
  </si>
  <si>
    <t>Dose-escalation Study of Safety of PBCAR19B in Participants With CD19-expressing Malignancies</t>
  </si>
  <si>
    <t>NCT04921111</t>
  </si>
  <si>
    <t>A Phase I Safty and Immunogenicity Study of SCT1000 in Healthy Women Aged 18 to 45 Years</t>
  </si>
  <si>
    <t>NCT05114668</t>
  </si>
  <si>
    <t>Safety, Tolerability, and Pharmacokinetics of EVT801 in Patients With Advanced Solid Tumours</t>
  </si>
  <si>
    <t>NCT04964479</t>
  </si>
  <si>
    <t>A Clinical Study of TQB2450 Injection Combined With Anlotinib Hydrochloride Capsules Versus K Drug in the Treatment of First-line Non-small Cell Lung Cancer(NSCLC)</t>
  </si>
  <si>
    <t>NCT04852679</t>
  </si>
  <si>
    <t>Study to Assess the Efficacy and Safety of Lanreotide Autogel® in Chinese Participants With GEP-NETs</t>
  </si>
  <si>
    <t>NCT04761627</t>
  </si>
  <si>
    <t>A Study to Investigate Interchangeability of ABP 654 for the Treatment of Participants With Moderate to Severe Plaque Psoriasis</t>
  </si>
  <si>
    <t>NCT05180526</t>
  </si>
  <si>
    <t>Assessment of Safety , Clinical Efficacy with QLETLI in Non-infectious Uveitis (UV)</t>
  </si>
  <si>
    <t>NCT05188378</t>
  </si>
  <si>
    <t>A Study to Compare the Pharmacokinetics and Safety of CT-P47 and RoActemra in Healthy Subjects</t>
  </si>
  <si>
    <t>NCT04936308</t>
  </si>
  <si>
    <t>Guselkumab in Active Psoriatic Arthritis Participants With Inadequate Response/Intolerance to One Prior Anti-TNF Alpha Agent</t>
  </si>
  <si>
    <t>NCT04859517</t>
  </si>
  <si>
    <t>Evaluation of ADG20 for the Prevention of COVID-19</t>
  </si>
  <si>
    <t>Invivyd, Inc.</t>
  </si>
  <si>
    <t>NCT04946318</t>
  </si>
  <si>
    <t>Study of Safety of CSJ117 in Participants With Moderate to Severe Uncontrolled Asthma</t>
  </si>
  <si>
    <t>NCT05005559</t>
  </si>
  <si>
    <t>Phase III Clinical Trial of CinnaGen COVID-19 Vaccine (SpikoGen)</t>
  </si>
  <si>
    <t>NCT04721535</t>
  </si>
  <si>
    <t>A Study of DWJ1248 in Prevention of COVID-19 Infection After the Exposure of SARS-COV-2</t>
  </si>
  <si>
    <t>NCT05014568</t>
  </si>
  <si>
    <t>Tapinarof for the Treatment of Atopic Dermatitis in Children and Adults</t>
  </si>
  <si>
    <t>NCT05030350</t>
  </si>
  <si>
    <t>Open-label Safety Trial of PH94B in Social Anxiety Disorder (SAD)</t>
  </si>
  <si>
    <t>NCT04973020</t>
  </si>
  <si>
    <t>A Drug-drug Interaction Study of SHR6390 on Healthy Chinese Volunteers</t>
  </si>
  <si>
    <t>NCT04604782</t>
  </si>
  <si>
    <t>A Study to Evaluate the Safety and Pharmacokinetics of Regadenoson in Pediatric Patients</t>
  </si>
  <si>
    <t>NCT05003713</t>
  </si>
  <si>
    <t>Single and Multiple Ascending Dose Study of CORT125236 in Healthy Participants</t>
  </si>
  <si>
    <t>NCT05764525</t>
  </si>
  <si>
    <t>Efficacy and Safety of VVZ-149 Injections in Patients Undergoing Laparoscopic Colectomy</t>
  </si>
  <si>
    <t>Vivozon Pharmaceutical Inc.</t>
  </si>
  <si>
    <t>NCT04639050</t>
  </si>
  <si>
    <t>Brainshuttle AD: A Multiple Ascending Dose Study to Investigate the Safety, Tolerability, Pharmacokinetics, and Pharmacodynamics of RO7126209 Following Intravenous Infusion in Participants With Prodromal or Mild to Moderate Alzheimer's Disease</t>
  </si>
  <si>
    <t>NCT05149274</t>
  </si>
  <si>
    <t>Evaluate the Pharmacokinetics and Safety of DWP14012 Tablet A and Compare Those of DWP14012 Tablet B in Healthy Subjects</t>
  </si>
  <si>
    <t>NCT04677959</t>
  </si>
  <si>
    <t>A 24-Week Treatment Study to Compare Standard of Care Versus the eMDPI DS in Participants 13 Years or Older With Asthma</t>
  </si>
  <si>
    <t>NCT04854668</t>
  </si>
  <si>
    <t>A Study of Anlotinib Hydrochloride Capsule Combined With Chemotherapy as First-line Treatment in Subjects With RAS/BRAF Wild Metastatic Colorectal Cancer</t>
  </si>
  <si>
    <t>NCT04691427</t>
  </si>
  <si>
    <t>Effectiveness of Virtual Reality Vision Therapy - VERVE</t>
  </si>
  <si>
    <t>OculoMotor Technologies</t>
  </si>
  <si>
    <t>NCT05223478</t>
  </si>
  <si>
    <t>Nyxol (0.75% Phentolamine Ophthalmic Solution) to Reverse Pharmacologically-Induced Mydriasis in Pediatric Subjects</t>
  </si>
  <si>
    <t>NCT04782115</t>
  </si>
  <si>
    <t>Evaluation of RC28-E Injection in Diabetic Macular Edema</t>
  </si>
  <si>
    <t>NCT04987320</t>
  </si>
  <si>
    <t>A Study to Evaluate the Pharmacokinetics, Pharmacodynamics, Safety and Tolerability of Olpasiran in Chinese Participants With Elevated Serum Lipoprotein(a)</t>
  </si>
  <si>
    <t>NCT05181124</t>
  </si>
  <si>
    <t>Compare Pharmacokinetics and Safety of JP-1366 Between Korean and Caucasian</t>
  </si>
  <si>
    <t>NCT04700046</t>
  </si>
  <si>
    <t>Study to Investigate the Efficacy and Safety of Mexiletine in Patients With Myotonic Dystrophy Type 1 and Type 2</t>
  </si>
  <si>
    <t>NCT05665036</t>
  </si>
  <si>
    <t>Safety and Efficacy of Encapsulated Allogeneic MPS-1 Therapy</t>
  </si>
  <si>
    <t>Sigilon Therapeutics, Inc.</t>
  </si>
  <si>
    <t>NCT03784131</t>
  </si>
  <si>
    <t>Tissue Engineered Veins in Patients With Chronic Venous Insufficiency</t>
  </si>
  <si>
    <t>Verigraft AB</t>
  </si>
  <si>
    <t>NCT04841512</t>
  </si>
  <si>
    <t>Preliminary Safety and Efficacy of XT-150 in Facet Joint Osteoarthritis</t>
  </si>
  <si>
    <t>NCT05464745</t>
  </si>
  <si>
    <t>Bioequivalence Study of 8 mg Perindopril Tert-butylamine / 2.5 mg Indapamide Tablets Versus 10 mg Perindopril Arginine / 2.5 mg Indapamide Film-coated Tablets in Healthy Volunteers</t>
  </si>
  <si>
    <t>NCT05190419</t>
  </si>
  <si>
    <t>Study to Assess the Efficacy and Safety of Orismilast in Psoriasis</t>
  </si>
  <si>
    <t>NCT05200728</t>
  </si>
  <si>
    <t>The Tolerability, Safety, and PK Characteristics of SIM1910-09 in Healthy Chinese Volunteers</t>
  </si>
  <si>
    <t>NCT04719065</t>
  </si>
  <si>
    <t>A Study of Mitoxantrone Hydrochloride Liposome Injection in the Treatment of Advanced Solid Tumor</t>
  </si>
  <si>
    <t>NCT04909892</t>
  </si>
  <si>
    <t>Study of Allogeneic Adipose-Derived Mesenchymal Stem Cells to Treat Post COVID-19 "Long Haul" Pulmonary Compromise</t>
  </si>
  <si>
    <t>NCT04578834</t>
  </si>
  <si>
    <t>Study of Efficacy and Safety of LNP023 in Primary IgA Nephropathy Patients</t>
  </si>
  <si>
    <t>NCT04716595</t>
  </si>
  <si>
    <t>A Phase III Long Term Study of K-877 Extended Release Tablet</t>
  </si>
  <si>
    <t>NCT05126901</t>
  </si>
  <si>
    <t>Evaluate the Safety and Efficacy of Ferric Maltol Oral Suspension vs. Ferrous Sulfate Oral Liquid in Children and Adolescents Aged 2 to 17 Years With Iron-deficiency Anaemia, With a Single Arm Study in Infants Aged 1 Month to Less Than 2 Years</t>
  </si>
  <si>
    <t>NCT04713592</t>
  </si>
  <si>
    <t>Study of Subcutaneous (Injected Under the Skin) Risankizumab to Assess Change in Disease Symptoms in Adult Participants With Moderate to Severe Plaque Psoriasis With Palmoplantar Involvement</t>
  </si>
  <si>
    <t>NCT05107011</t>
  </si>
  <si>
    <t>Phase I/II Clinical Trial of LBL-015 for Injection</t>
  </si>
  <si>
    <t>NCT04712734</t>
  </si>
  <si>
    <t>A Study to Evaluate Iloperidone Long-acting Injection (LAI) for the Treatment of Schizophrenia</t>
  </si>
  <si>
    <t>NCT04952467</t>
  </si>
  <si>
    <t>Single-dose Mass Balance Recovery and Metabolite Profile and Identification of 14C-XEN1101</t>
  </si>
  <si>
    <t>Xenon Pharmaceuticals Inc.</t>
  </si>
  <si>
    <t>NCT04843722</t>
  </si>
  <si>
    <t>COVID-19 Supplemental Vaccine Boost to Enhance T Cell Protection in Those Who Have Already Received EUA S-Based Vaccines</t>
  </si>
  <si>
    <t>NCT05155007</t>
  </si>
  <si>
    <t>A Study in Healthy Adult Participants to Assess the Effects of Ciclosporin Administration on Rilematovir</t>
  </si>
  <si>
    <t>NCT04638634</t>
  </si>
  <si>
    <t>Pharmacokinetics, Safety, and Tolerability of CSL760, an Intravenous Anti-SARS-CoV-2 Hyperimmune Globulin, in Healthy Adult Subjects</t>
  </si>
  <si>
    <t>NCT04550234</t>
  </si>
  <si>
    <t>A Study in Healthy Subjects to Assess Drug Availability of 4 Different Formulations of Verinurad and Allopurinol</t>
  </si>
  <si>
    <t>NCT04579757</t>
  </si>
  <si>
    <t>Surufatinib in Combination With Tislelizumab in Subjects With Advanced Solid Tumors</t>
  </si>
  <si>
    <t>NCT04928430</t>
  </si>
  <si>
    <t>Efficacy and Safety of XAV-19 for the Treatment of Moderate-to-severe COVID-19</t>
  </si>
  <si>
    <t>Xenothera SAS</t>
  </si>
  <si>
    <t>NCT04864392</t>
  </si>
  <si>
    <t>Study of Efficacy, Safety, and Tolerability of LNA043 in Patients With Knee Osteoarthritis</t>
  </si>
  <si>
    <t>NCT04867434</t>
  </si>
  <si>
    <t>Efficacy and Safety of RZL-012 on Submental Fat Reduction</t>
  </si>
  <si>
    <t>NCT04903093</t>
  </si>
  <si>
    <t>A Study Evaluating Relative Bioavailability of an Oral Suspension of Abrocitinib and Effect of an Acid Reducing Agent on the Bioavailability of Abrocitinib and Assessing the Taste of Abrocitinib Oral Formulations.</t>
  </si>
  <si>
    <t>NCT05001347</t>
  </si>
  <si>
    <t>A Clinical Study of TJ004309 With Atezolizumab (TECENTRIQ®) in Patients With Ovarian Cancer and Selected Solid Tumors</t>
  </si>
  <si>
    <t>NCT05079126</t>
  </si>
  <si>
    <t>Study of Trans Sodium Crocetinate in Patients With Interstitial Lung Disease</t>
  </si>
  <si>
    <t>NCT05060887</t>
  </si>
  <si>
    <t>Immunogenicity and Safety of Three Dose Levels of OVX836 Candidate Vaccine Against Influenza in Healthy Volunteers.</t>
  </si>
  <si>
    <t>Osivax</t>
  </si>
  <si>
    <t>NCT04936178</t>
  </si>
  <si>
    <t>A Study of NB003 in Patients With Advanced Malignancies</t>
  </si>
  <si>
    <t>NCT04844606</t>
  </si>
  <si>
    <t>A Master Protocol (AMAZ): A Study of Mirikizumab (LY3074828) in Pediatric Participants With Ulcerative Colitis or Crohn's Disease (SHINE-ON)</t>
  </si>
  <si>
    <t>NCT04630158</t>
  </si>
  <si>
    <t>Study of Efficacy and Safety of SAF312 Eye Drops in Subjects With Post-operative Corneal Induced Chronic Pain (CICP)</t>
  </si>
  <si>
    <t>NCT03226626</t>
  </si>
  <si>
    <t>Tumescent Anesthesia Antibiotic Delivery (TAAD)</t>
  </si>
  <si>
    <t>HK Surgical, Inc.</t>
  </si>
  <si>
    <t>NCT05233085</t>
  </si>
  <si>
    <t>A Safety Study of AZD4041 in Healthy Participants</t>
  </si>
  <si>
    <t>NCT04761198</t>
  </si>
  <si>
    <t>A Study of Etigilimab and Nivolumab in Participants With Locally Advanced or Metastatic Tumors</t>
  </si>
  <si>
    <t>Mereo BioPharma</t>
  </si>
  <si>
    <t>NCT04728347</t>
  </si>
  <si>
    <t>Open Label Extension Study to Assess the Safety and Long-Term Immunogenicity of ARCT-021</t>
  </si>
  <si>
    <t>NCT05052255</t>
  </si>
  <si>
    <t>RVU120 (SEL120) in Patients with Relapse/Refractory Metastatic or Advanced Solid Tumors</t>
  </si>
  <si>
    <t>Ryvu Therapeutics SA</t>
  </si>
  <si>
    <t>NCT05178316</t>
  </si>
  <si>
    <t>A Study of JZP150 in Adults With Posttraumatic Stress Disorder</t>
  </si>
  <si>
    <t>NCT04999384</t>
  </si>
  <si>
    <t>First in Human, Dose Escalation Study of AN4005</t>
  </si>
  <si>
    <t>NCT05423977</t>
  </si>
  <si>
    <t>Study of ZV0203 in Patients With HER2-Positive Advanced Solid Tumors</t>
  </si>
  <si>
    <t>Hangzhou Adcoris Biopharmacy Co., Ltd</t>
  </si>
  <si>
    <t>NCT04869800</t>
  </si>
  <si>
    <t>Evaluate the Drug-drugs Interaction Between Lobeglitazone 0.5mg and Empagliflozin 25mg</t>
  </si>
  <si>
    <t>NCT04754100</t>
  </si>
  <si>
    <t>agenT-797 in Participants With Relapsed/Refractory Multiple Myeloma</t>
  </si>
  <si>
    <t>NCT04887298</t>
  </si>
  <si>
    <t>Study of Liposomal Annamycin for the Treatment of Subjects with Soft-Tissue Sarcomas (STS) with Pulmonary Metastases</t>
  </si>
  <si>
    <t>Moleculin Biotech, Inc.</t>
  </si>
  <si>
    <t>NCT04204616</t>
  </si>
  <si>
    <t>A Long-term Study of Nemolizumab (CD14152) in Participants With Prurigo Nodularis (PN)</t>
  </si>
  <si>
    <t>NCT05018806</t>
  </si>
  <si>
    <t>Proof of Concept Study of Rilzabrutinib in Adult Patients With Moderate-to-severe Atopic Dermatitis</t>
  </si>
  <si>
    <t>NCT04927884</t>
  </si>
  <si>
    <t>A Study of Sacituzumab With Chemoimmunotherapy to Treat Advanced Triple-Negative Breast Cancer After Prior Therapies</t>
  </si>
  <si>
    <t>NCT05069649</t>
  </si>
  <si>
    <t>Efficacy and Safety of Ergoferon for COVID-19 Prevention During Vaccination Against SARS-CoV-2</t>
  </si>
  <si>
    <t>NCT05015621</t>
  </si>
  <si>
    <t>A Phase 3 Study to Evaluate Surufatinib Plus Toripalimab in the Treatment of Advanced Neuroendocrine Carcinoma</t>
  </si>
  <si>
    <t>NCT04726033</t>
  </si>
  <si>
    <t>64Cu-TLX592 Phase I Safety, PK, Biodistribution and Dosimetry Study (CUPID Study)</t>
  </si>
  <si>
    <t>NCT05159752</t>
  </si>
  <si>
    <t>A Study to Evaluate the Safety and Efficacy of Afamelanotide in Patients With Xeroderma Pigmentosum (XP)</t>
  </si>
  <si>
    <t>Clinuvel Europe Limited</t>
  </si>
  <si>
    <t>NCT04696393</t>
  </si>
  <si>
    <t>A Study to Compare the Pharmacokinetics and Safety of Mitapivat 100 mg Tablet Formulation With Mitapivat 2 × 50 mg Tablet Formulation in Healthy Adult Participants</t>
  </si>
  <si>
    <t>NCT04044898</t>
  </si>
  <si>
    <t>Pharmacokinetics and Safety of ALA in Acne Vulgaris</t>
  </si>
  <si>
    <t>NCT03942211</t>
  </si>
  <si>
    <t>A Study in Participants With Sarcoidosis-associated Pulmonary Hypertension (SAPH) to Assess the Efficacy and Safety of Oral Selexipag</t>
  </si>
  <si>
    <t>NCT05117294</t>
  </si>
  <si>
    <t>A Study of ASP0367 in People With Kidneys That do Not Work Well and in Healthy People</t>
  </si>
  <si>
    <t>NCT04625153</t>
  </si>
  <si>
    <t>RC18 in Patients With Relapsing Remitting Multiple Sclerosis：a Phase II Trial</t>
  </si>
  <si>
    <t>NCT04980495</t>
  </si>
  <si>
    <t>An Open-label Study to Investigate the Clinical Efficacy of Different Dosing Regimens of Efgartigimod IV in Patients With Generalized Myasthenia Gravis</t>
  </si>
  <si>
    <t>NCT05065541</t>
  </si>
  <si>
    <t>Positron Emission Tomography (PET) Imaging Study to Evaluate Enzyme Availability in the Central Nervous System Before and After CC-97489 Administration in Healthy Participants</t>
  </si>
  <si>
    <t>NCT05507294</t>
  </si>
  <si>
    <t>Single Dose Glumetinib in Healthy Chinese Male Subjects</t>
  </si>
  <si>
    <t>NCT05027451</t>
  </si>
  <si>
    <t>Safety, Tolerability, and Pharmacokinetics of IXT-m200</t>
  </si>
  <si>
    <t>InterveXion Therapeutics, LLC</t>
  </si>
  <si>
    <t>NCT05129137</t>
  </si>
  <si>
    <t>Pharmacokinetic Study of a Fixed Dose Combination Nefopam Hydrochloride (30 mg) / Paracetamol (500 mg)</t>
  </si>
  <si>
    <t>NCT05060237</t>
  </si>
  <si>
    <t>Study to Evaluate Safety and Tolerability of BF-200 ALA (Ameluz®) for Photodynamic Therapy in the Treatment of the Expanded Field of Actinic Keratosis on Face and Scalp</t>
  </si>
  <si>
    <t>NCT05144945</t>
  </si>
  <si>
    <t>Study Describing the Immunogenicity and Safety of Quadrivalent Recombinant Influenza Vaccine (RIV4) Versus a Licensed Quadrivalent-inactivated Influenza Vaccine (IIV4) (Fluarix® Quadrivalent) in Participants 18 Years of Age and Older in South Korea</t>
  </si>
  <si>
    <t>NCT04455841</t>
  </si>
  <si>
    <t>INCB000928 Administered as a Monotherapy or in Combination With Ruxolitinib in Participants With Anemia Due to Myeloproliferative Disorders</t>
  </si>
  <si>
    <t>NCT04723537</t>
  </si>
  <si>
    <t>Upamostat, a Serine Protease Inhibitor, or Placebo for Treatment of COVID-19 Disease</t>
  </si>
  <si>
    <t>NCT05471531</t>
  </si>
  <si>
    <t>Study on Combined Vaccination With Quadrivalent Influenza Vaccine and 23-valent Pneumococcal Polysaccharide Vaccine</t>
  </si>
  <si>
    <t>NCT05385744</t>
  </si>
  <si>
    <t>An International, Multicenter, Randomized, Double-Blind, Double-Masked Study of the Efficacy and Safety of BCD-132 (JSC BIOCAD, Russia) Using an Active Reference Drug (Teriflunomide) for the Treatment of Patients With Multiple Sclerosis</t>
  </si>
  <si>
    <t>NCT05062577</t>
  </si>
  <si>
    <t>A Study to Assess the Safety and Efficacy of ASP8062 as an Add-on Therapy to Buprenorphine/Naloxone in Participants With Opioid Use Disorder</t>
  </si>
  <si>
    <t>NCT05415475</t>
  </si>
  <si>
    <t>Clinical Study of CEA-targeted CAR-T Therapy for CEA-positive Advanced Malignant Solid Tumors</t>
  </si>
  <si>
    <t>NCT05035095</t>
  </si>
  <si>
    <t>Research Study to Investigate How Well Semaglutide Tablets Taken Once Daily Work in People Who Are Overweight or Living With Obesity (OASIS 1)</t>
  </si>
  <si>
    <t>NCT04838639</t>
  </si>
  <si>
    <t>Study to Evaluate the Safety, Tolerability, Pharmacokinetics, and Food Effect of NO-13065 in Healthy and Obese Adult Subjects</t>
  </si>
  <si>
    <t>Otsuka Pharmaceutical Factory, Inc.</t>
  </si>
  <si>
    <t>NCT05026801</t>
  </si>
  <si>
    <t>Azithromycin Plus Hydroxychloroquine for COVID-19 Infection</t>
  </si>
  <si>
    <t>Iterum Therapeutics, International Limited</t>
  </si>
  <si>
    <t>NCT05005312</t>
  </si>
  <si>
    <t>Study to Estimate the Effects of Hepatic Impairment on the Pharmacokinetics (PK) of PF-07321332</t>
  </si>
  <si>
    <t>NCT04847557</t>
  </si>
  <si>
    <t>A Study of Tirzepatide (LY3298176) in Participants With Heart Failure With Preserved Ejection Fraction (HFpEF) and Obesity: The SUMMIT Trial</t>
  </si>
  <si>
    <t>NCT04919239</t>
  </si>
  <si>
    <t>Clinical Trial to Investigate Therapeutic Vaccine (RUTI) Against Tuberculosis (TB)</t>
  </si>
  <si>
    <t>NCT05026177</t>
  </si>
  <si>
    <t>Simufilam 50 mg or 100 mg for Mild-to-Moderate Alzheimer's Disease</t>
  </si>
  <si>
    <t>NCT04765553</t>
  </si>
  <si>
    <t>A Study to Evaluate Emapalumab in Japanese Healthy Volunteers.</t>
  </si>
  <si>
    <t>NCT04771273</t>
  </si>
  <si>
    <t>A Study to Test Safety and Efficacy of Survodutide (BI456906) in Adults With Non-alcoholic Steatohepatitis (NASH) and Fibrosis (F1-F3)</t>
  </si>
  <si>
    <t>NCT04886622</t>
  </si>
  <si>
    <t>A Study of DT2216 in Relapsed/Refractory Malignancies</t>
  </si>
  <si>
    <t>Dialectic Therapeutics, Inc</t>
  </si>
  <si>
    <t>NCT04795037</t>
  </si>
  <si>
    <t>First-In-Human Study of CU06-1004 Following Single and Multiple Ascending Doses in Healthy Volunteers</t>
  </si>
  <si>
    <t>Curacle Co., Ltd.</t>
  </si>
  <si>
    <t>NCT04551053</t>
  </si>
  <si>
    <t>To Evaluate Efficacy and Safety of Parsaclisib and Ruxolitinib in Participants With Myelofibrosis Who Have Suboptimal Response to Ruxolitinib (LIMBER-304)</t>
  </si>
  <si>
    <t>NCT04759131</t>
  </si>
  <si>
    <t>Safety, Efficacy and PK of BIVV001 in Pediatric Patients With Hemophilia A</t>
  </si>
  <si>
    <t>NCT04711902</t>
  </si>
  <si>
    <t>Study of Efficacy and Safety of Secukinumab in Chinese Subjects With Active PsA Compared to Placebo.</t>
  </si>
  <si>
    <t>NCT04916795</t>
  </si>
  <si>
    <t>A Study To Investigate The Pharmacokinetics, Pharmacodynamics, Safety And Tolerability Of Single Dose Vupanorsen In Healthy Chinese Adults</t>
  </si>
  <si>
    <t>NCT04995653</t>
  </si>
  <si>
    <t>A Multiple Dose Study to Evaluate Safety, Tolerability, PK, and Efficacy of SER-155 in Adults Undergoing HSCT</t>
  </si>
  <si>
    <t>Seres Therapeutics, Inc.</t>
  </si>
  <si>
    <t>NCT04965753</t>
  </si>
  <si>
    <t>FHD-609 in Subjects With Advanced Synovial Sarcoma or Advanced SMARCB1-Loss Tumors</t>
  </si>
  <si>
    <t>Foghorn Therapeutics Inc.</t>
  </si>
  <si>
    <t>NCT04896853</t>
  </si>
  <si>
    <t>Treatment of Respiratory Complications Associated With COVID19,Influenza ,Metapneumovirus,RSV Infection Using ProTrans®</t>
  </si>
  <si>
    <t>NextCell Pharma Ab</t>
  </si>
  <si>
    <t>NCT04852172</t>
  </si>
  <si>
    <t>L-citrulline Injection in Patients Aged 6-21 Years Old with Sickle Cell Disease Presenting with Vaso-Occlusive Crisis (VOC)</t>
  </si>
  <si>
    <t>NCT04845646</t>
  </si>
  <si>
    <t>DDI Study of ASC41 in HV and the PK, Safety and Tolerability in Subjects With NAFLD.</t>
  </si>
  <si>
    <t>NCT04906473</t>
  </si>
  <si>
    <t>Safety,Tolerability, Pharmacokinetic,Pharmacodynamics and Efficacy of KY100001 in Patients With Advanced Solid Tumors</t>
  </si>
  <si>
    <t>NCT05038969</t>
  </si>
  <si>
    <t>Bioequivalence Study of Esomeprazole From Stomopral 40 mg Capsules Contain Enteric Coated Pellets (Future Pharmaceuticals Industries, Egypt) and Nexium 40 mg Delayed Release Capsules (AstraZeneca Sweden, Product of France)</t>
  </si>
  <si>
    <t>NCT05141786</t>
  </si>
  <si>
    <t>A Study of MRG002 in the Treatment of Patients With HER2-mutated Unresectable/Metastatic Non-small Cell Lung Cancer (NSCLC).</t>
  </si>
  <si>
    <t>NCT05022654</t>
  </si>
  <si>
    <t>SI-B001 Combined With Irinotecan in the Treatment of Recurrent Metastatic Esophageal Squamous Cell Carcinoma.</t>
  </si>
  <si>
    <t>NCT05110794</t>
  </si>
  <si>
    <t>A Multiple-Dose Study of LY3502970 in Healthy Participants</t>
  </si>
  <si>
    <t>NCT05100329</t>
  </si>
  <si>
    <t>A Study of Mitoxantrone Hydrochloride Liposome Injection in Patients With Advanced Pancreatic Cancer</t>
  </si>
  <si>
    <t>NCT05068141</t>
  </si>
  <si>
    <t>A Study to Evaluate the Efficacy and Safety of SG001 in Combination With Nab-Paclitaxel in Patients With Advanced Triple-Negative Breast Cancer (TNBC)</t>
  </si>
  <si>
    <t>NCT05319756</t>
  </si>
  <si>
    <t>Study Evaluating the Abuse Potential of NEURONTIN® in Healthy Non-drug Dependent, Recreational Opioid Users</t>
  </si>
  <si>
    <t>NCT05152277</t>
  </si>
  <si>
    <t>Safety, Tolerability, Pharmacokinetics, and Pharmacodynamics of HRS9531 in Healthy Subjects</t>
  </si>
  <si>
    <t>Fujian Shengdi Pharmaceutical Co., Ltd.</t>
  </si>
  <si>
    <t>NCT04885712</t>
  </si>
  <si>
    <t>A Study to Evaluate the Efficacy and Safety of Pioglitazone 15mg or 30mg Add-on in Patients With Type 2 Diabetes Mellitus Inadequately Controlled With Metformin and Dapagliflozin</t>
  </si>
  <si>
    <t>NCT05213481</t>
  </si>
  <si>
    <t>Tepotinib Drug-Drug Interaction Study With Carbamazepine in Healthy Participants</t>
  </si>
  <si>
    <t>NCT04872387</t>
  </si>
  <si>
    <t>A Study to Learn More About How Safe BAY2586116 is, How it Affects the Body, How it Moves Into, Through and Out of the Body at Different Doses in Healthy Japanese Male Participants After Taking Single and Multiple Doses Through the Nose</t>
  </si>
  <si>
    <t>NCT05019521</t>
  </si>
  <si>
    <t>A Study of Danicopan in Participants With Geographic Atrophy Secondary to Age-Related Macular Degeneration</t>
  </si>
  <si>
    <t>NCT03081806</t>
  </si>
  <si>
    <t>A Study to Evaluate the Efficacy and Safety of X0002 Spray in Subjects With Osteoarthritis Knee Pain</t>
  </si>
  <si>
    <t>Techfields Pharma Co. Ltd</t>
  </si>
  <si>
    <t>NCT04609904</t>
  </si>
  <si>
    <t>Study to Assess PT010 in Adult and Adolescent Participants With Inadequately Controlled Asthma (LOGOS)</t>
  </si>
  <si>
    <t>NCT05205252</t>
  </si>
  <si>
    <t>A Study of Tazemetostat in Combination With Various Treatments in Participants With Blood Cancer.</t>
  </si>
  <si>
    <t>NCT05126316</t>
  </si>
  <si>
    <t>A Trial to Learn More About Repeated Monthly Injections of Lu AG09222 in Participants With Allergies to Grass Pollen</t>
  </si>
  <si>
    <t>NCT04667052</t>
  </si>
  <si>
    <t>A Study to Compare Two Different Subcutaneously-administered JNJ-64304500 Formulations in Healthy Participants</t>
  </si>
  <si>
    <t>NCT04738487</t>
  </si>
  <si>
    <t>Coformulation of Pembrolizumab/Vibostolimab (MK-7684A) Versus Pembrolizumab (MK-3475) Monotherapy for Programmed Cell Death 1 Ligand 1 (PD-L1) Positive Metastatic Non-Small Cell Lung Cancer (MK-7684A-003, KEYVIBE-003)</t>
  </si>
  <si>
    <t>NCT05800249</t>
  </si>
  <si>
    <t>PE0116 Injection in Treatment of Patients With Advanced Solid Tumours</t>
  </si>
  <si>
    <t>Shanghai HyaMab Biotech Co.,Ltd.</t>
  </si>
  <si>
    <t>NCT04388904</t>
  </si>
  <si>
    <t>Rapid Reinitiation of a Single Tablet Antiretroviral Therapy Using Symtuza® in HIV-1 Infected Treatment-Experienced Patients Off Therapy. (ReSTART)</t>
  </si>
  <si>
    <t>The Crofoot Research Center, Inc.</t>
  </si>
  <si>
    <t>NCT04795427</t>
  </si>
  <si>
    <t>Study of Efficacy and Safety of CML-CP Patients Treated With Asciminib Versus Best Available Therapy, Previously Treated With 2 or More Tyrosine Kinase Inhibitors</t>
  </si>
  <si>
    <t>NCT04847583</t>
  </si>
  <si>
    <t>A Phase 2 Study to Evaluate Biomarker Change, Efficacy, Pharmacokinetics, Safety and Tolerability of Telacebec (Q203) in Covid-19 Patients</t>
  </si>
  <si>
    <t>NCT04932941</t>
  </si>
  <si>
    <t>MP1032 Treatment in Patients With Moderate to Severe COVID-19</t>
  </si>
  <si>
    <t>MetrioPharm AG</t>
  </si>
  <si>
    <t>NCT05159388</t>
  </si>
  <si>
    <t>A Study of PRS-344/S095012 (PD-L1x4-1BB Bispecific Antibody) in Patients With Solid Tumors</t>
  </si>
  <si>
    <t>Servier Bio-Innovation LLC</t>
  </si>
  <si>
    <t>NCT04675983</t>
  </si>
  <si>
    <t>A Study of Sintilimab Plus Ramucirumab as First-line Treatment for G/EGJ Adenocarcinoma (ORIENT-106)</t>
  </si>
  <si>
    <t>NCT05011669</t>
  </si>
  <si>
    <t>The Safety and Efficacy of Lurasidone With Different Initiation Dose in Chinese Acute Phase Patients With Schizophrenia</t>
  </si>
  <si>
    <t>NCT04891653</t>
  </si>
  <si>
    <t>A Phase I Study of BR790 in Subjects With Advanced Solid Tumors</t>
  </si>
  <si>
    <t>NCT04736745</t>
  </si>
  <si>
    <t>Study to Evaluate the Safety and Efficacy of IPN59011 in Improving the Appearance of Moderate to Severe Upper Facial Lines.</t>
  </si>
  <si>
    <t>NCT04965402</t>
  </si>
  <si>
    <t>A Study to Evaluate the Safety, Tolerability, Drug Levels, and Drug Effects of BMS-986166 in Healthy Japanese Participants</t>
  </si>
  <si>
    <t>NCT05113953</t>
  </si>
  <si>
    <t>A Trial of Centanafadine Efficacy, Safety, and Tolerability in Adult Subjects With Binge Eating Disorder</t>
  </si>
  <si>
    <t>NCT04693637</t>
  </si>
  <si>
    <t>Posoleucel (ALVR105, Formerly Viralym-M) for Multi-Virus Prevention in Patients Post-Allogeneic Hematopoietic Cell Transplant</t>
  </si>
  <si>
    <t>NCT04705831</t>
  </si>
  <si>
    <t>Study to Evaluate the Benefit of RUCONEST in Improving Neurological Symptoms in Post COVID-19 Infection</t>
  </si>
  <si>
    <t>IMMUNOe Research Centers</t>
  </si>
  <si>
    <t>NCT04742556</t>
  </si>
  <si>
    <t>A Study to Test Different Doses of BI 3011441 in Japanese People With Different Types of Advanced Cancer (NRAS/KRAS Mutation Positive)</t>
  </si>
  <si>
    <t>NCT04628481</t>
  </si>
  <si>
    <t>A Study of Oral Ladarixin in Recent Onset Type 1 Diabetes and a Low Residual β-cell Function</t>
  </si>
  <si>
    <t>NCT04564092</t>
  </si>
  <si>
    <t>A Study to Evaluate the Safety, Biodistribution, Internal Radiation Dosimetry, and Effective Dose of DaTSCAN™ Ioflupane (123I) Injection in Chinese Healthy Volunteers.</t>
  </si>
  <si>
    <t>NCT04900428</t>
  </si>
  <si>
    <t>Study to Evaluate a Single Intranasal Dose of STI-2099 (COVI-DROPS™) in Outpatient Adults With COVID-19 (UK)</t>
  </si>
  <si>
    <t>NCT04973111</t>
  </si>
  <si>
    <t>A Study to Assess CT-868 and the Relationship Between Insulin Secretory Response and Ambient Blood Glucose</t>
  </si>
  <si>
    <t>Carmot Therapeutics, Inc.</t>
  </si>
  <si>
    <t>NCT04873934</t>
  </si>
  <si>
    <t>Management of LDL-cholesterol With Inclisiran + Usual Care Compared to Usual Care Alone in Participants With a Recent Acute Coronary Syndrome</t>
  </si>
  <si>
    <t>NCT05085964</t>
  </si>
  <si>
    <t>An Open-Label Extension Study to Evaluate Safety &amp; Tolerability of QR-421a in Subjects With Retinitis Pigmentosa</t>
  </si>
  <si>
    <t>NCT04676334</t>
  </si>
  <si>
    <t>CATCH-R: A Rollover Study to Provide Continued Access to Rucaparib</t>
  </si>
  <si>
    <t>NCT04659031</t>
  </si>
  <si>
    <t>A Phase 1 Study of ABC008 in Ascending (Single Ascending Dose/Multiple Ascending Dose) Study in Patients With (IBM)</t>
  </si>
  <si>
    <t>Abcuro, Inc.</t>
  </si>
  <si>
    <t>NCT04834856</t>
  </si>
  <si>
    <t>Viral Clearance, PK and Tolerability of Ensovibep in COVID-19 Patients</t>
  </si>
  <si>
    <t>NCT04659122</t>
  </si>
  <si>
    <t>A Clinical Safety Study on AT-100 in Treating Adults With Severe COVID-19 Infection or Severed Community Acquired Pneumonia</t>
  </si>
  <si>
    <t>Airway Therapeutics, Inc.</t>
  </si>
  <si>
    <t>NCT04912856</t>
  </si>
  <si>
    <t>An Open-Label Extension of the Study XEN496 (Ezogabine) in Children With KCNQ2-DEE</t>
  </si>
  <si>
    <t>NCT04991129</t>
  </si>
  <si>
    <t>The Safety and Efficacy of Multiple-dose of WJ01024 in Subject With Advanced Cancer</t>
  </si>
  <si>
    <t>NCT05391022</t>
  </si>
  <si>
    <t>Study Evaluating Food Effect and QTc in Patients With Advanced Malignancies</t>
  </si>
  <si>
    <t>Constellation Pharmaceuticals</t>
  </si>
  <si>
    <t>NCT04915729</t>
  </si>
  <si>
    <t>A Study in Chinese Patients to Compare How Tenecteplase and Alteplase Given After a Stroke Improve Recovering of Physical Activity</t>
  </si>
  <si>
    <t>NCT04732429</t>
  </si>
  <si>
    <t>Study of HST5040 in Subjects With Propionic or Methylmalonic Acidemia</t>
  </si>
  <si>
    <t>HemoShear Therapeutics</t>
  </si>
  <si>
    <t>NCT04914429</t>
  </si>
  <si>
    <t>A Study of Guselkumab (TREMFYA) in Chinese Participants With Moderate to Severe Plaque Psoriasis</t>
  </si>
  <si>
    <t>NCT06544551</t>
  </si>
  <si>
    <t>Efficacy and Safety Study of Peginterferon Alfacon-2 to Treat Chronic Hepatitis B Virus Infection</t>
  </si>
  <si>
    <t>Beijing Kawin Technology Share-Holding Co., Ltd.</t>
  </si>
  <si>
    <t>NCT04948151</t>
  </si>
  <si>
    <t>Multi-Center Study to Evaluate the Efficacy and Safety of Sildenafil Cream (3.6%) in Premenopausal Patients With Female Sexual Arousal Disorder</t>
  </si>
  <si>
    <t>Strategic Science &amp; Technologies, LLC</t>
  </si>
  <si>
    <t>NCT04256148</t>
  </si>
  <si>
    <t>ALXN1830 in Patients With Warm Autoimmune Hemolytic Anemia</t>
  </si>
  <si>
    <t>NCT04976738</t>
  </si>
  <si>
    <t>A Study of Cybis™ 10:25 THC:CBD Oil in Adults With Chronic Back/Neck Pain</t>
  </si>
  <si>
    <t>Cymra Life Sciences</t>
  </si>
  <si>
    <t>NCT05054543</t>
  </si>
  <si>
    <t>Study to Evaluate the Efficacy of Uproleselan in Combination With Chemotherapy in Chinese Patients With R/R AML</t>
  </si>
  <si>
    <t>NCT04828343</t>
  </si>
  <si>
    <t>A Study to Evaluate the Safety, Tolerability, Pharmacokinetics, and Pharmacodynamics of Rozanolixizumab Administered Subcutaneously Via Manual Push Versus Syringe Driver to Healthy Participants</t>
  </si>
  <si>
    <t>NCT05069935</t>
  </si>
  <si>
    <t>FT538 in Combination With Monoclonal Antibodies in Advanced Solid Tumors</t>
  </si>
  <si>
    <t>NCT05012397</t>
  </si>
  <si>
    <t>Milademetan in Advanced/Metastatic Solid Tumors</t>
  </si>
  <si>
    <t>NCT04757610</t>
  </si>
  <si>
    <t>OPT-302 With Ranibizumab in Neovascular Age-related Macular Degeneration (nAMD)</t>
  </si>
  <si>
    <t>Opthea Limited</t>
  </si>
  <si>
    <t>NCT04949399</t>
  </si>
  <si>
    <t>A Study To Assess the Safety and Effects of OnabotulinumtoxinA (BOTOX) Intramuscular Injection in Adult Participants With Moderate to Severe Platysma Prominence</t>
  </si>
  <si>
    <t>NCT04688164</t>
  </si>
  <si>
    <t>NCT05005845</t>
  </si>
  <si>
    <t>NFX-179 Topical Gel Treatment for Adults With Neurofibromatosis 1 (NF1) and Cutaneous Neurofibromas (cNF)</t>
  </si>
  <si>
    <t>NCT05020639</t>
  </si>
  <si>
    <t>A Study of TQB3820 in Patients With Hematological Malignancies</t>
  </si>
  <si>
    <t>NCT05003245</t>
  </si>
  <si>
    <t>Compare the Efficacy and Safety of HLX04-O with Ranibizumab in Subjects with WAMD</t>
  </si>
  <si>
    <t>NCT05162053</t>
  </si>
  <si>
    <t>PK/PD Study of Vicagrel and Clopidogrel in Healthy Subjects With Different CYP2C19 Metabolizers</t>
  </si>
  <si>
    <t>NCT04988295</t>
  </si>
  <si>
    <t>A Study of Amivantamab and Lazertinib in Combination With Platinum-Based Chemotherapy Compared With Platinum-Based Chemotherapy in Patients With Epidermal Growth Factor Receptor (EGFR)-Mutated Locally Advanced or Metastatic Non- Small Cell Lung Cancer After Osimertinib Failure</t>
  </si>
  <si>
    <t>NCT05163522</t>
  </si>
  <si>
    <t>First-Time-in-Human (FTIH) Study to Evaluate the Safety, Tolerability and Pharmacokinetics (PK) of VH4004280 in Healthy Participants</t>
  </si>
  <si>
    <t>NCT04971395</t>
  </si>
  <si>
    <t>Safety, Tolerability, and Pharmacokinetics of a Single Intravenous Infusion of XTMAB-16 in Healthy Adult Participants</t>
  </si>
  <si>
    <t>Xentria, Inc.</t>
  </si>
  <si>
    <t>NCT04907539</t>
  </si>
  <si>
    <t>A Study to Assess Efficacy of RXC004 +/- Nivolumab in Ring Finger Protein 43 (RNF43) or R-spondin (RSPO) Aberrated, Metastatic, Microsatellite Stable, Colorectal Cancer After Progression on Standard of Care (SOC)</t>
  </si>
  <si>
    <t>NCT04916470</t>
  </si>
  <si>
    <t>Research Study to Look at How Well Semaglutide Works in People Living With Heart Failure, Obesity and Type 2 Diabetes</t>
  </si>
  <si>
    <t>NCT04562870</t>
  </si>
  <si>
    <t>A Study to Evaluate Single Agent Selinexor Versus Physician's Choice in Participants With Previously Treated Myelofibrosis</t>
  </si>
  <si>
    <t>NCT05033886</t>
  </si>
  <si>
    <t>A Study of Fezolinetant to Treat Hot Flashes in Women Going Through Menopause</t>
  </si>
  <si>
    <t>NCT05205083</t>
  </si>
  <si>
    <t>Immunogenicity and Safety of Booster Immunization of ZF2001 After Inoculation With Two Doses of BBIBP-CorV</t>
  </si>
  <si>
    <t>NCT04852705</t>
  </si>
  <si>
    <t>A Study to Evaluate the Efficacy, Safety and Immunogenicity of SARS-CoV-2 Vaccine (Vero Cells), Inactivated in Healthy Adults Aged 18 Years and Older (COVID-19)</t>
  </si>
  <si>
    <t>NCT04709705</t>
  </si>
  <si>
    <t>DMSO Cryopreserved Platelets in Cardiopulmonary Bypass Surgery (CRYPTICS)</t>
  </si>
  <si>
    <t>NCT04576988</t>
  </si>
  <si>
    <t>A Study of Sotatercept for the Treatment of Pulmonary Arterial Hypertension (MK-7962-003/A011-11)(STELLAR)</t>
  </si>
  <si>
    <t>NCT04861688</t>
  </si>
  <si>
    <t>NeuroAiD II™ (MLC901) in Mild Traumatic Brain Injury</t>
  </si>
  <si>
    <t>NCT04987944</t>
  </si>
  <si>
    <t>Safety and Efficacy Active Drug vs. Placebo in Subjects With Asthma</t>
  </si>
  <si>
    <t>NCT05450887</t>
  </si>
  <si>
    <t>Efficacy and Safety of Obeticholic Acid in the Treatment of Primary Biliary Cholangitis</t>
  </si>
  <si>
    <t>Nanjing Chia-tai Tianqing Pharmaceutical</t>
  </si>
  <si>
    <t>NCT04787302</t>
  </si>
  <si>
    <t>PET Trial to Evaluate Target Occupancy of CVL-231 on Brain Receptors Following Oral Dosing</t>
  </si>
  <si>
    <t>NCT04839367</t>
  </si>
  <si>
    <t>Positron Emission Tomography (PET) Imaging of Participants With Confirmed Prostate Cancer Using 64Cu-SAR-bisPSMA (PROPELLER)</t>
  </si>
  <si>
    <t>NCT05207371</t>
  </si>
  <si>
    <t>Clinical Trial of GAIA-102 for Advanced and Relapse NSCLC</t>
  </si>
  <si>
    <t>GAIA BioMedicine Inc.</t>
  </si>
  <si>
    <t>NCT04880564</t>
  </si>
  <si>
    <t>A Study of CN1 in Combination With CN401 in Adult Patients With Relapsed/Refractory Lymphoid Malignancies</t>
  </si>
  <si>
    <t>NCT04923906</t>
  </si>
  <si>
    <t>Aumolertinib with or Without Chemotherapy As 1st Line Treatment in Locally Advanced or Metastatic Non-Small Cell Lung Cancer with Sensitizing EGFR Mutations</t>
  </si>
  <si>
    <t>NCT06596252</t>
  </si>
  <si>
    <t>Once Daily Versus Twice Daily Budesonide Orodispersible Tablets for Induction of Remission in EoE</t>
  </si>
  <si>
    <t>Dr. Falk Pharma GmbH</t>
  </si>
  <si>
    <t>NCT04486157</t>
  </si>
  <si>
    <t>Bioequivalence and Safety Study of IN-A012 and Akynzeo Capsules in Male and Female Healthy Korean Subjects</t>
  </si>
  <si>
    <t>NCT04676893</t>
  </si>
  <si>
    <t>Clinical Study to Evaluate the Pharmacokinetics, Safety and Tolerability of CKD-388 in Healthy Subjects</t>
  </si>
  <si>
    <t>NCT04668157</t>
  </si>
  <si>
    <t>A Study of TAK-536 in Children From 2 to Less Than 6 Years Old With High Blood Pressure</t>
  </si>
  <si>
    <t>NCT04745767</t>
  </si>
  <si>
    <t>A Study of Different Forms of TAK-994 in Healthy Adults</t>
  </si>
  <si>
    <t>NCT04669600</t>
  </si>
  <si>
    <t>A Phase 2a Study Evaluating BIVV020 in Adults With Persistent/Chronic Immune Thrombocytopenia (ITP)</t>
  </si>
  <si>
    <t>NCT04836507</t>
  </si>
  <si>
    <t>Study of Efficacy and Safety of CRC01 in Adult Large B-cell Lymphoma and B-cell Acute Lymphoblastic Leukemia Patients</t>
  </si>
  <si>
    <t>Curocell Inc.</t>
  </si>
  <si>
    <t>NCT04856098</t>
  </si>
  <si>
    <t>Absorption of Indacaterol and Glycopyrronium From Ultibro Breezhaler</t>
  </si>
  <si>
    <t>NCT05029921</t>
  </si>
  <si>
    <t>A Study of Ustekinumab (STELARA) in Chinese Participants With Moderately to Severely Active Crohn's Disease</t>
  </si>
  <si>
    <t>NCT04882098</t>
  </si>
  <si>
    <t>A Study of Guselkumab in Participants With Active Psoriatic Arthritis</t>
  </si>
  <si>
    <t>NCT04989829</t>
  </si>
  <si>
    <t>Effect of Omeprazole on the Pharmacokinetics of SHR6390 in Healthy Subjects</t>
  </si>
  <si>
    <t>NCT04630756</t>
  </si>
  <si>
    <t>AZD4573 in Novel Combinations With Anti-cancer Agents in Patients With Advanced Blood Cancer</t>
  </si>
  <si>
    <t>NCT04693715</t>
  </si>
  <si>
    <t>Safety of RNS60 in Large Vessel Occlusion Stroke Patients Undergoing Endovascular Thrombectomy</t>
  </si>
  <si>
    <t>Revalesio Corporation</t>
  </si>
  <si>
    <t>NCT04882735</t>
  </si>
  <si>
    <t>Efficacy and Safety of Acoramidis (AG10) in Subjects with Transthyretin Amyloid Polyneurophathy (ATTRibute-PN)</t>
  </si>
  <si>
    <t>NCT05029635</t>
  </si>
  <si>
    <t>Phase III Study on HMPL-523 for Treatment of ITP</t>
  </si>
  <si>
    <t>NCT05128175</t>
  </si>
  <si>
    <t>Comparative Bioavailability Study of Carbidopa/Levodopa Extended-Release Tablets Under Fasting and Fed Conditions</t>
  </si>
  <si>
    <t>Shanghai WD Pharmaceutical Co., Ltd.</t>
  </si>
  <si>
    <t>NCT04943536</t>
  </si>
  <si>
    <t>Bicalutamide Implants (Biolen) With Radiation Therapy in Patients With Localized Prostate Cancer</t>
  </si>
  <si>
    <t>NCT04885972</t>
  </si>
  <si>
    <t>Study to Evaluate Intra-articular Resiniferatoxin to Treat Moderate to Severe Pain From Knee Osteoarthritis</t>
  </si>
  <si>
    <t>NCT05063253</t>
  </si>
  <si>
    <t>A Study of TG103 Injection in Overweight/Obese Subjects With Type 2 Diabetes</t>
  </si>
  <si>
    <t>CSPC Baike (Shandong) Biopharmaceutical Co., Ltd.</t>
  </si>
  <si>
    <t>NCT04729972</t>
  </si>
  <si>
    <t>Safety Study to Evaluate Bilateral CNTF Implants in Subjects With MacTel Type 2</t>
  </si>
  <si>
    <t>Neurotech Pharmaceuticals</t>
  </si>
  <si>
    <t>NCT04891237</t>
  </si>
  <si>
    <t>Efficacy and Safety Evaluation for the Treatment of Allergy Against Grass and Olive Pollen</t>
  </si>
  <si>
    <t>NCT05098145</t>
  </si>
  <si>
    <t>A Safety and Efficacy Study of FCR001 in Adults With Rapidly Progressive Diffuse Cutaneous Systemic Sclerosis</t>
  </si>
  <si>
    <t>Talaris Therapeutics Inc.</t>
  </si>
  <si>
    <t>NCT04709172</t>
  </si>
  <si>
    <t>Pilot Study of Cefditoren Pivoxil in COVID-19 Patients With Mild to Moderate Pneumonia</t>
  </si>
  <si>
    <t>Meiji Pharma Spain S.A.</t>
  </si>
  <si>
    <t>NCT04788641</t>
  </si>
  <si>
    <t>Study to Assess the Effect of Sodium Zirconium Cyclosilicate on the Pharmacokinetics of Tacrolimus and Cyclosporin in Healthy Subjects</t>
  </si>
  <si>
    <t>NCT04887194</t>
  </si>
  <si>
    <t>PK Study to Assess Drug-drug Interaction and QTc Between Sitravatinib and a Cocktail of Substrates</t>
  </si>
  <si>
    <t>NCT04985656</t>
  </si>
  <si>
    <t>A Study of Pevonedistat Combined With Decitabine and Cedazuridine in Adults With Higher-risk Myelodysplastic Syndromes</t>
  </si>
  <si>
    <t>NCT04671472</t>
  </si>
  <si>
    <t>Efficacy Confirmation Study of NPC-09</t>
  </si>
  <si>
    <t>NCT04668339</t>
  </si>
  <si>
    <t>A Trial Evaluating the Safety and Effects of an RNA Vaccine ARCT-021 in Healthy Adults</t>
  </si>
  <si>
    <t>NCT04827953</t>
  </si>
  <si>
    <t>Study to Evaluate the Safety and Efficacy of Treatment With NLM-001 and Standard Chemotherapy Plus Zalifrelimab in Patients With Advanced Pancreatic Cancer</t>
  </si>
  <si>
    <t>Nelum Corp</t>
  </si>
  <si>
    <t>NCT04965337</t>
  </si>
  <si>
    <t>Study to Evaluate Safety, Tolerability and Pharmacokinetics of ASC42 in Chinese Healthy Subjects</t>
  </si>
  <si>
    <t>NCT05147337</t>
  </si>
  <si>
    <t>A Study to Assess the Safety and Tolerability of E2511 in Healthy Adult and Elderly Participants</t>
  </si>
  <si>
    <t>NCT04999202</t>
  </si>
  <si>
    <t>A Study to Learn How Safe the Study Drug BAY 2416964 (AhR Inhibitor) in Combination With the Treatment Pembrolizumab is, How This Combination Affects the Body, the Maximum Amount That Can be Given, How it Moves Into, Through and Out of the Body and Its Action Against Advanced Solid Cancers in Adults</t>
  </si>
  <si>
    <t>NCT04770753</t>
  </si>
  <si>
    <t>A Study Evaluating the Efficacy and Safety of Mitapivat in Participants With Non-Transfusion-Dependent Alpha- or Beta-Thalassemia (α- or β-NTDT)</t>
  </si>
  <si>
    <t>NCT05156281</t>
  </si>
  <si>
    <t>NCT05067244</t>
  </si>
  <si>
    <t>A Phase 2 Open-Label Treatment Development Study of MDMA-Assisted Cognitive Processing Therapy (CPT) for Posttraumatic Stress Disorder (PTSD)</t>
  </si>
  <si>
    <t>Remedy</t>
  </si>
  <si>
    <t>NCT04851964</t>
  </si>
  <si>
    <t>Efficacy and Safety of Tezepelumab in Participants With Severe Chronic Rhinosinusitis With Nasal Polyposis</t>
  </si>
  <si>
    <t>NCT06361199</t>
  </si>
  <si>
    <t>Proximod Pharmacokinetics in Healthy Subjects and Patients With Rheumatoid Arthritis</t>
  </si>
  <si>
    <t>Longevity Inc.</t>
  </si>
  <si>
    <t>NCT04987333</t>
  </si>
  <si>
    <t>Study of Efavaleukin Alfa in Healthy Chinese, Japanese, and Caucasian Participants</t>
  </si>
  <si>
    <t>NCT05093933</t>
  </si>
  <si>
    <t>A Study of Vericiguat (MK-1242) in Participants With Chronic Heart Failure With Reduced Ejection Fraction (HFrEF) (MK-1242-035)</t>
  </si>
  <si>
    <t>NCT04430933</t>
  </si>
  <si>
    <t>A Safety and Tolerability Study of NC318 in Combination With Chemotherapy for Subjects With Advanced or Metastatic NSCLC</t>
  </si>
  <si>
    <t>NCT05196971</t>
  </si>
  <si>
    <t>A Study To Evaluate The Safety, Tolerability And Pharmacokinetics of HS-10345 In Treatment-Resistant Depression</t>
  </si>
  <si>
    <t>NCT04928287</t>
  </si>
  <si>
    <t>Randomized, Double-Blind Clinical Trial for Parkinson's Disease (Early and Moderate)</t>
  </si>
  <si>
    <t>NCT04633187</t>
  </si>
  <si>
    <t>Effects of EDP-938 in Hematopoietic Cell Transplant Recipients Infected With Respiratory Syncytial Virus of the Upper Respiratory Tract</t>
  </si>
  <si>
    <t>NCT05131464</t>
  </si>
  <si>
    <t>The Study of CM310 in Patients With Chronic Rhinosinusitis With Nasal Polyps</t>
  </si>
  <si>
    <t>NCT05071664</t>
  </si>
  <si>
    <t>A Study of Guselkumab and Golimumab Combination Therapy in Participants With Active Psoriatic Arthritis</t>
  </si>
  <si>
    <t>NCT04777409</t>
  </si>
  <si>
    <t>A Research Study Investigating Semaglutide in People With Early Alzheimer's Disease (EVOKE Plus)</t>
  </si>
  <si>
    <t>NCT04959032</t>
  </si>
  <si>
    <t>Lumateperone for the Prevention of Relapse in Patients With Schizophrenia</t>
  </si>
  <si>
    <t>NCT04919616</t>
  </si>
  <si>
    <t>An Exploratory Clinical Study of TILs in the Treatment of Recurrent / Refractory Non-small Cell Lung Cancer (NSCLC)</t>
  </si>
  <si>
    <t>NCT04821687</t>
  </si>
  <si>
    <t>A Study to Evaluate the add-on Efficacy and Safety of Opicapone 50 mg or an Extra Dose of L-DOPA 100 mg for the Treatment of Wearing-off in Patients With PD</t>
  </si>
  <si>
    <t>NCT04674514</t>
  </si>
  <si>
    <t>APG-2575 Monotherapy or in Combination With Lenalidomide/DXMS in Subjects With Relapsed or Refractory Multiple Myeloma</t>
  </si>
  <si>
    <t>NCT04670471</t>
  </si>
  <si>
    <t>Assessment of the Pharmacodynamic and Pharmacokinetic Interaction of Remimazolam and Remifentanil</t>
  </si>
  <si>
    <t>Paion UK Ltd.</t>
  </si>
  <si>
    <t>NCT04974398</t>
  </si>
  <si>
    <t>A Study of Penpulimab (AK105) in the First-line Treatment of Recurrent or Metastatic Nasopharyngeal Carcinoma</t>
  </si>
  <si>
    <t>NCT04820309</t>
  </si>
  <si>
    <t>An Open-label Study to Assess the Long-term Safety, Tolerability, and Efficacy of KarXT in Adult Patients With Schizophrenia (EMERGENT-5)</t>
  </si>
  <si>
    <t>NCT05159128</t>
  </si>
  <si>
    <t>A Study of JNJ-75105186 in Healthy Japanese and Chinese Participants</t>
  </si>
  <si>
    <t>NCT05152212</t>
  </si>
  <si>
    <t>Study of LVGN7409 (CD40 Agonist Antibody) in Locally Advanced, Metastatic or Recurrent/Refractory Malignancy</t>
  </si>
  <si>
    <t>NCT05316857</t>
  </si>
  <si>
    <t>DDI Study of Orelabrutinib</t>
  </si>
  <si>
    <t>NCT06466265</t>
  </si>
  <si>
    <t>Study of DNP002 in Patients With Solid Tumors</t>
  </si>
  <si>
    <t>Kumho HT Inc.</t>
  </si>
  <si>
    <t>NCT04540744</t>
  </si>
  <si>
    <t>A Study of Macitentan/Tadalafil Combination Administered a Fixed-dose Combination Formulation Compared to the Reference Free Combination of Macitentan and Tadalafil</t>
  </si>
  <si>
    <t>NCT04679935</t>
  </si>
  <si>
    <t>Efficacy and Safety of Two Different Brolucizumab 6 mg Dosing Regimens in Neovascular Age-related Macular Degeneration</t>
  </si>
  <si>
    <t>NCT04856917</t>
  </si>
  <si>
    <t>A Study to Evaluate the Efficacy and Safety of Imsidolimab (ANB019) in the Treatment of Participants With Acne Vulgaris</t>
  </si>
  <si>
    <t>NCT05116189</t>
  </si>
  <si>
    <t>Pembrolizumab/Placebo Plus Paclitaxel With or Without Bevacizumab for Platinum-resistant Recurrent Ovarian Cancer (MK-3475-B96/KEYNOTE-B96/ENGOT-ov65).</t>
  </si>
  <si>
    <t>NCT04429555</t>
  </si>
  <si>
    <t>Efficacy, Safety, Tolerability, and Biomarkers of Ibudilast (MN-166) in Patients Hospitalized With COVID-19 at Risk for ARDS</t>
  </si>
  <si>
    <t>NCT04911543</t>
  </si>
  <si>
    <t>A Study to Investigate the Regional Brain Kinetics of the Positron Emission Tomography Ligand [18F]-JNJ-70099731 in Healthy Male Participants</t>
  </si>
  <si>
    <t>NCT05331014</t>
  </si>
  <si>
    <t>To Evaluate the Efficacy and Safety in Patients With Dyslipidemia and Hypertension</t>
  </si>
  <si>
    <t>NCT04431726</t>
  </si>
  <si>
    <t>A Study to Evaluate the Efficacy, Safety, Pharmacokinetics, and Pharmacodynamics of Subcutaneous Emicizumab in Participants From Birth to 12 Months of Age With Hemophilia A Without Inhibitors</t>
  </si>
  <si>
    <t>NCT04968158</t>
  </si>
  <si>
    <t>Efficacy and Safety of Fixed-dose Combination of Etoricoxib/Tramadol vs Acetaminophen/Tramadol for Acute Low Back Pain</t>
  </si>
  <si>
    <t>NCT04882176</t>
  </si>
  <si>
    <t>A Clinical Study Preliminary Efficacy of LM-061 Tablet in Subjects With Advanced Tumours</t>
  </si>
  <si>
    <t>NCT05258721</t>
  </si>
  <si>
    <t>Efficacy of ClōSYS® Sensitive Fluoride Toothpaste and ClōSYS® Sensitive Rinse Regimen on MGI, PI and BOP</t>
  </si>
  <si>
    <t>Rowpar Pharmaceuticals, Inc.</t>
  </si>
  <si>
    <t>NCT04718376</t>
  </si>
  <si>
    <t>A Study of Mitoxantrone Hydrochloride Liposome Injection in the Treatment of Relapsed Ovarian Cancer</t>
  </si>
  <si>
    <t>NCT05032560</t>
  </si>
  <si>
    <t>Safety and Pharmacokinetics Study in Healthy Japanese Volunteers</t>
  </si>
  <si>
    <t>NCT04758949</t>
  </si>
  <si>
    <t>FL-101 in Surgically Resectable Non-Small Cell Lung Cancer</t>
  </si>
  <si>
    <t>Flame Biosciences</t>
  </si>
  <si>
    <t>NCT04756726</t>
  </si>
  <si>
    <t>Study to Assess the Safety and Tolerability of CFT7455 in Relapsed/Refractory Non-Hodgkin's Lymphoma or Multiple Myeloma</t>
  </si>
  <si>
    <t>C4 Therapeutics, Inc.</t>
  </si>
  <si>
    <t>NCT05035576</t>
  </si>
  <si>
    <t>A Study to Evaluate Change in Viral Load After OPN-019 in Adults With COVID-19</t>
  </si>
  <si>
    <t>Optinose US Inc.</t>
  </si>
  <si>
    <t>NCT04986540</t>
  </si>
  <si>
    <t>A Trial of SHR - 1906 in Healthy Subjects</t>
  </si>
  <si>
    <t>Guangdong Hengrui Pharmaceutical Co., Ltd</t>
  </si>
  <si>
    <t>NCT05009290</t>
  </si>
  <si>
    <t>A Trial of SHR3680 in Prostate Cancer Patients Who Are Candidates for Radical Prostatectomy</t>
  </si>
  <si>
    <t>NCT04740918</t>
  </si>
  <si>
    <t>A Study of Trastuzumab Emtansine in Combination With Atezolizumab or Placebo as a Treatment for Participants With Human Epidermal Growth Factor 2 (HER2)-Positive and Programmed Death-ligand 1 (PD-L1)-Positive Locally Advanced (LABC) or Metastatic Breast Cancer (MBC)</t>
  </si>
  <si>
    <t>NCT04835389</t>
  </si>
  <si>
    <t>Study of AlloGen® Liquid Intra-articular Injection for Knee Osteoarthritis</t>
  </si>
  <si>
    <t>VIVEX Biologics, Inc.</t>
  </si>
  <si>
    <t>NCT04941989</t>
  </si>
  <si>
    <t>A Study in Healthy Subjects to Assess the Safety, Tolerability and Pharmacokinetics of HTL0022562</t>
  </si>
  <si>
    <t>NCT04991948</t>
  </si>
  <si>
    <t>Study of Pembrolizumab Treatment After CYAD-101 With FOLFOX Preconditioning in Metastatic Colorectal Cancer</t>
  </si>
  <si>
    <t>NCT04696055</t>
  </si>
  <si>
    <t>Regorafenib Plus Pembrolizumab in Patients With Advanced or Spreading Liver Cancer Who Have Been Previously Treated With PD-1/PD-L1 Immune Checkpoint Inhibitors</t>
  </si>
  <si>
    <t>NCT04783935</t>
  </si>
  <si>
    <t>Extension to the MAGNIFY MS Trial on Mavenclad® (Magnify MS Extension)</t>
  </si>
  <si>
    <t>NCT05913024</t>
  </si>
  <si>
    <t>Immunogenicity and Safety of Enterovirus Type 71 Vaccine,Inactivated(Vero Cells) in Volunteers Aged From 6 to 71 Months</t>
  </si>
  <si>
    <t>NCT04730050</t>
  </si>
  <si>
    <t>A Phase I Clinical Trial to Investigate the Safety, Tolerability, and Pharmacokinetic Characteristics of TT-01025-CL in Healthy Subjects</t>
  </si>
  <si>
    <t>NCT04408924</t>
  </si>
  <si>
    <t>Abemaciclib (LY2835219) in Men With Heavily Treated Metastatic Castration-Resistant Prostate Cancer</t>
  </si>
  <si>
    <t>NCT05055726</t>
  </si>
  <si>
    <t>Benzydamine Oromucosal Solution in Oral Mucositis (BOOM)</t>
  </si>
  <si>
    <t>NCT04909515</t>
  </si>
  <si>
    <t>Naxitamab and Granulocyte-Macrophage Colony Stimulating Factor (GMCSF) and Isotretinoin for Consolidation of Patients With High-Risk Neuroblastoma in First Remission.</t>
  </si>
  <si>
    <t>NCT04925674</t>
  </si>
  <si>
    <t>Study of HEC53856 in Patients With Subjects With End-Stage Renal Disease Receiving Dialysis.</t>
  </si>
  <si>
    <t>NCT05044897</t>
  </si>
  <si>
    <t>A Clinical Study to Evaluate the Efficacy and Safety of SI-B001 in the Treatment of Recurrent and Metastatic HNSCC</t>
  </si>
  <si>
    <t>NCT04896385</t>
  </si>
  <si>
    <t>A Study to Evaluate the Mechanism of Action of Ruxolitinib Cream in Subjects With Vitiligo (TRuE-V MOA)</t>
  </si>
  <si>
    <t>NCT04772443</t>
  </si>
  <si>
    <t>Evaluate the Efficacy and Safety of DWJ1506 and DWJ1507</t>
  </si>
  <si>
    <t>NCT04626089</t>
  </si>
  <si>
    <t>Metformin Glycinate in Patients With MS or DM2 , Hospitalized With COVID-19 and SARS Secondary to SARS-CoV-2</t>
  </si>
  <si>
    <t>NCT04858659</t>
  </si>
  <si>
    <t>A Phase 3 Study to Assess the Efficacy and Safety of PK101 in Patients With Knee Osteoarthritis</t>
  </si>
  <si>
    <t>PMG Pharm Co., Ltd</t>
  </si>
  <si>
    <t>NCT04958226</t>
  </si>
  <si>
    <t>A Study to Assess the Effect of Capivasertib on Midazolam in Patients With Advanced Solid Tumours</t>
  </si>
  <si>
    <t>NCT04766476</t>
  </si>
  <si>
    <t>A Study to Evaluate the Safety, Tolerability, and Drug Levels of BMS-963272 in Participants With Nonalcoholic Fatty Liver Disease</t>
  </si>
  <si>
    <t>NCT04668274</t>
  </si>
  <si>
    <t>JOTROL PK, Safety, and Food Effect Assessment</t>
  </si>
  <si>
    <t>Jupiter Orphan Therapeutics Inc.</t>
  </si>
  <si>
    <t>NCT04764474</t>
  </si>
  <si>
    <t>A Study of HMPL-306 in Advanced Hematological Malignancies With mIDH</t>
  </si>
  <si>
    <t>NCT04623710</t>
  </si>
  <si>
    <t>Study of ALXN2050 in Participants With Renal Impairment</t>
  </si>
  <si>
    <t>NCT05116241</t>
  </si>
  <si>
    <t>Immunogenicity and Safety of BPZE1 Intranasal Pertussis Vaccine in Healthy School-age Children</t>
  </si>
  <si>
    <t>ILiAD Biotechnologies</t>
  </si>
  <si>
    <t>NCT04980391</t>
  </si>
  <si>
    <t>A Study on the Safety and Immune Response to an Unadjuvanted RSV Maternal Vaccine, in High Risk Pregnant Women Aged 15 to 49 Years and Infants Born to the Vaccinated Mothers</t>
  </si>
  <si>
    <t>NCT04666610</t>
  </si>
  <si>
    <t>A Study to Evaluate the Efficacy, Safety, and Tolerability of Brivaracetam as Monotherapy in Patients 2 to 25 Years of Age With Childhood Absence Epilepsy or Juvenile Absence Epilepsy</t>
  </si>
  <si>
    <t>NCT04881123</t>
  </si>
  <si>
    <t>SER150 vs Placebo in Diabetic Kidney Disease</t>
  </si>
  <si>
    <t>Serodus AS</t>
  </si>
  <si>
    <t>NCT05081180</t>
  </si>
  <si>
    <t>Study of Avelumab in Combination With Lenvatinib for Children With Primary CNS Tumors</t>
  </si>
  <si>
    <t>NCT06655818</t>
  </si>
  <si>
    <t>Sub-study of Belantamab Mafodotin (GSK2857916) as Monotherapy and in Combination With Dostarlimab (GSK4057190) in Participants With RRMM</t>
  </si>
  <si>
    <t>NCT04909879</t>
  </si>
  <si>
    <t>Study of Allogeneic Adipose-Derived Mesenchymal Stem Cells for Non-COVID-19 Acute Respiratory Distress Syndrome</t>
  </si>
  <si>
    <t>NCT05051761</t>
  </si>
  <si>
    <t>Study to Evaluate the Safety and Efficacy of Jaktinib in Adults With Alopecia Areata</t>
  </si>
  <si>
    <t>NCT04679870</t>
  </si>
  <si>
    <t>A Study to Evaluate the Safety, Tolerability, Pharmacokinetics and Pharmacodynamics of Oral GB2064 in Participants With Myelofibrosis</t>
  </si>
  <si>
    <t>NCT05036473</t>
  </si>
  <si>
    <t>A Study of the Efficacy and Safety of Carbidopa-Levodopa Extended-Release Tablets in Patients With Parkinson's Disease</t>
  </si>
  <si>
    <t>NCT05082727</t>
  </si>
  <si>
    <t>Safety and Efficacy of Softgel KOVIR (TD0068) in the Combination Regimen With Background Treatment in COVID-19 Patients (KOVIR)</t>
  </si>
  <si>
    <t>NCT05093270</t>
  </si>
  <si>
    <t>First-in-Human, Single- and Multiple-Ascending Dose and Food-Effect Study of BGB-23339 in Healthy Participants</t>
  </si>
  <si>
    <t>NCT04911894</t>
  </si>
  <si>
    <t>A Study of Dose Escalation of IBI321 in Patients With Advanced Solid Tumors</t>
  </si>
  <si>
    <t>NCT05397379</t>
  </si>
  <si>
    <t>A Safety, Tolerability, Efficacy, and Pharmacokinetics Study of HEC96719 in Subjects With Non-Cirrhotic Non-Alcoholic Steatohepatitis</t>
  </si>
  <si>
    <t>NCT04744662</t>
  </si>
  <si>
    <t>ONL1204 Ophthalmic Solution in Patients With Geographic Atrophy Associated With Age-related Macular Degeneration</t>
  </si>
  <si>
    <t>ONL Therapeutics</t>
  </si>
  <si>
    <t>NCT04691661</t>
  </si>
  <si>
    <t>Safety, Tolerability, Pharmacokinetics and Efficacy Study of Radotinib in Parkinson's Disease</t>
  </si>
  <si>
    <t>Il-Yang Pharm. Co., Ltd.</t>
  </si>
  <si>
    <t>NCT04484142</t>
  </si>
  <si>
    <t>Study of DS-1062a in Advanced or Metastatic Non-small Cell Lung Cancer With Actionable Genomic Alterations (TROPION-Lung05)</t>
  </si>
  <si>
    <t>NCT04954456</t>
  </si>
  <si>
    <t>A Study of Bispecific Antibody QLS31901 in Patients With Advanced or Metastatic Malignancies</t>
  </si>
  <si>
    <t>NCT04771897</t>
  </si>
  <si>
    <t>A Study of BXQ-350 in Children With Newly Diagnosed Diffuse Intrinsic Pontine Glioma (DIPG) or Diffuse Midline Glioma (DMG)</t>
  </si>
  <si>
    <t>NCT04641962</t>
  </si>
  <si>
    <t>A Study to Evaluate ASP0367 in Participants With Primary Mitochondrial Myopathy</t>
  </si>
  <si>
    <t>NCT04877288</t>
  </si>
  <si>
    <t>A Study to Evaluate the Benefits and Risks of Conversion of Existing Adolescent Kidney Transplant Recipients Aged 12 to &lt;18 Years to a Belatacept-based Immunosuppressive Regimen as Compared to Continuation of a Calcineurin Inhibitor-based Regimen, and Their Adherence to Immunosuppressive Medications</t>
  </si>
  <si>
    <t>NCT05065970</t>
  </si>
  <si>
    <t>Clinical Trial to Assess Efficacy and Safety of the Human Anti-CD38 Antibody Felzartamab (MOR202) in IgA Nephropathy</t>
  </si>
  <si>
    <t>NCT06926673</t>
  </si>
  <si>
    <t>Platform Trial of Novel Regimens Versus Standard of Care (SoC) in Participants With Non-small Cell Lung Cancer (NSCLC) - Sub-study 3</t>
  </si>
  <si>
    <t>NCT04667429</t>
  </si>
  <si>
    <t>the Safety, Tolerability, Pharmacokinetics and Pharmacodynamics Study of HEC83518 Tablets</t>
  </si>
  <si>
    <t>NCT04938583</t>
  </si>
  <si>
    <t>Oregovomab in Combination With Bevacizumab Plus Chemo in BRCA Wild Type Platinum Sensitive Recurrent Ovarian Cancer</t>
  </si>
  <si>
    <t>NCT04813354</t>
  </si>
  <si>
    <t>A Comparison of Critical Errors, Overall Errors, Training/Teaching Time, and Preference Attributes of the ELLIPTA Versus BREEZHALER Dry Powder Inhalers (DPIs) in Adult Participants With Asthma</t>
  </si>
  <si>
    <t>NCT04891354</t>
  </si>
  <si>
    <t>A First-in-Human Study to Assess the Safety and Tolerability of PDNO</t>
  </si>
  <si>
    <t>Attgeno AB</t>
  </si>
  <si>
    <t>NCT05266105</t>
  </si>
  <si>
    <t>A Phase 1 Study of Oral OP-1250 in Combination With Palbociclib in HR+/HER2- Breast Cancer Patients</t>
  </si>
  <si>
    <t>NCT04774718</t>
  </si>
  <si>
    <t>A Study Evaluating the Safety, Pharmacokinetics, and Efficacy of Alectinib in Pediatric Participants With ALK Fusion-Positive Solid or CNS Tumors</t>
  </si>
  <si>
    <t>NCT04386980</t>
  </si>
  <si>
    <t>Study to Evaluate Resiniferatoxin in Patients With Knee Osteoarthritis Whose Total Knee Replacement Surgery is Delayed</t>
  </si>
  <si>
    <t>NCT05043090</t>
  </si>
  <si>
    <t>Savolitinib Plus Durvalumab Versus Sunitinib and Durvalumab Monotherapy in MET-Driven, Unresectable and Locally Advanced or Metastatic PRCC</t>
  </si>
  <si>
    <t>NCT05265910</t>
  </si>
  <si>
    <t>A Study Comparing the Efficacy of Pataday® Once Daily Relief Extra Strength to Claritin® Tablets 24-Hour in Subjects With Allergic Conjunctivitis</t>
  </si>
  <si>
    <t>NCT05074459</t>
  </si>
  <si>
    <t>A Study in Healthy Adults Investigating Eptinezumab Produced by 2 Different Manufacturing Cell Lines</t>
  </si>
  <si>
    <t>NCT06409650</t>
  </si>
  <si>
    <t>To Evaluate Safety and Efficacy of KX-826 in Chinese Female Subjects With Androgenetic Alopecia</t>
  </si>
  <si>
    <t>Suzhou Koshine Biomedica, Inc.</t>
  </si>
  <si>
    <t>NCT05039450</t>
  </si>
  <si>
    <t>A Study of Efruxifermin in Subjects With Compensated Cirrhosis Due to Nonalcoholic Steatohepatitis (NASH) (Symmetry)</t>
  </si>
  <si>
    <t>Akero Therapeutics, Inc</t>
  </si>
  <si>
    <t>NCT05028218</t>
  </si>
  <si>
    <t>A Clinical Study of TQB3824 in Subjects With Advanced Cancer</t>
  </si>
  <si>
    <t>NCT04877691</t>
  </si>
  <si>
    <t>Subcutaneous Anifrolumab in Adult Patients With Systemic Lupus Erythematosus</t>
  </si>
  <si>
    <t>NCT05025397</t>
  </si>
  <si>
    <t>A Study of Danavorexton in Anesthetized Adults</t>
  </si>
  <si>
    <t>NCT05012423</t>
  </si>
  <si>
    <t>FTIH Study of ECC0509 in Healthy Volunteers</t>
  </si>
  <si>
    <t>Eccogene</t>
  </si>
  <si>
    <t>NCT05021640</t>
  </si>
  <si>
    <t>Study of DCR-AUD in Healthy Volunteers</t>
  </si>
  <si>
    <t>NCT04710524</t>
  </si>
  <si>
    <t>FM101 Efficacy Study in Adults With Nonalcoholic Fatty Liver Disease or Nonalcoholic Steatohepatitis</t>
  </si>
  <si>
    <t>NCT05117476</t>
  </si>
  <si>
    <t>A Study of CLN-619 Alone and in Combination With Pembrolizumab in Advanced Solid Tumors</t>
  </si>
  <si>
    <t>NCT04815720</t>
  </si>
  <si>
    <t>Pepinemab in Combination With Pembrolizumab in Recurrent or Metastatic Squamous Cell Carcinoma of the Head and Neck</t>
  </si>
  <si>
    <t>NCT04865159</t>
  </si>
  <si>
    <t>Cardiovascular Safety Study of Tipifarnib in Patients With Advanced Solid Malignancies</t>
  </si>
  <si>
    <t>Kura Oncology, Inc.</t>
  </si>
  <si>
    <t>NCT04678648</t>
  </si>
  <si>
    <t>A Trial of RSC-1255 for Treatment of Patients With Advanced Malignancies</t>
  </si>
  <si>
    <t>RasCal Therapeutics, Inc.</t>
  </si>
  <si>
    <t>NCT05044325</t>
  </si>
  <si>
    <t>A First Time in Human (FTIH) Study to Evaluate the Safety, Tolerability, Pharmacokinetics and Pharmacodynamics of Single and Repeat Doses of GSK3884464 in Healthy Participants</t>
  </si>
  <si>
    <t>NCT04725175</t>
  </si>
  <si>
    <t>Phase I Study Evaluating Safety and Tolerability of Escalating Single and Multiple Doses of of PIPE-307 and Food Effect in Healthy Volunteers</t>
  </si>
  <si>
    <t>NCT04946903</t>
  </si>
  <si>
    <t>A Study to Evaluate the Pharmacokinetics and Safety Between HCP1902 and Co-administration of RLD2007, RLD2008</t>
  </si>
  <si>
    <t>NCT04925713</t>
  </si>
  <si>
    <t>IFx-Hu2.0 for the Treatment of Patients With Skin Cancer</t>
  </si>
  <si>
    <t>NCT04856969</t>
  </si>
  <si>
    <t>Clinical Trial to Evaluate Pharmacokinetic Interaction of ATB-1011 and ATB-1012 in Healthy Adult Volunteers</t>
  </si>
  <si>
    <t>NCT04900454</t>
  </si>
  <si>
    <t>Allogeneic Natural Killer (NK) Cell Therapy in Subjects Hospitalized for COVID-19</t>
  </si>
  <si>
    <t>Coeptis Therapeutics</t>
  </si>
  <si>
    <t>NCT05077462</t>
  </si>
  <si>
    <t>A Clinical Trial to Evaluate the Safety and Pharmacokinetics of AJU-C52H in Healthy Volunteers</t>
  </si>
  <si>
    <t>NCT05044988</t>
  </si>
  <si>
    <t>A Study of HS-10342 in Chinese Patients With HR+/HER2- Advanced and/or Metastatic Breast Cancer</t>
  </si>
  <si>
    <t>NCT04241354</t>
  </si>
  <si>
    <t>A Comparison of PRP Treatment to the IA vs. IA and EA Environments in Patients Diagnosed With Hip Osteoarthritis</t>
  </si>
  <si>
    <t>Regenerative Orthopedics and Sports Medicine</t>
  </si>
  <si>
    <t>NCT04926818</t>
  </si>
  <si>
    <t>Efficacy and Safety of Ofatumumab and Siponimod Compared to Fingolimod in Pediatric Patients With Multiple Sclerosis</t>
  </si>
  <si>
    <t>NCT06897280</t>
  </si>
  <si>
    <t>Clinical Trial of MED HF10™ Spinal Cord Stimulation for the Treatment of Chronic Pain</t>
  </si>
  <si>
    <t>Nevro Corp</t>
  </si>
  <si>
    <t>NCT04318379</t>
  </si>
  <si>
    <t>Therapeutic Hepatitis C Virus Vaccine</t>
  </si>
  <si>
    <t>NCT04657003</t>
  </si>
  <si>
    <t>A Study of Tirzepatide (LY3298176) in Participants With Type 2 Diabetes Who Have Obesity or Are Overweight</t>
  </si>
  <si>
    <t>NCT04691570</t>
  </si>
  <si>
    <t>Safety, Tolerability, Pharmacokinetics and Pharmacodynamics of ANX005 in Participants With Warm Autoimmune Hemolytic Anemia (wAIHA)</t>
  </si>
  <si>
    <t>NCT04735796</t>
  </si>
  <si>
    <t>Study of LM-102 in Subjects in Advanced Tumors</t>
  </si>
  <si>
    <t>NCT04771286</t>
  </si>
  <si>
    <t>A Study in Healthy Men to Find Out How BI 1015550 is Taken up and Handled by the Body</t>
  </si>
  <si>
    <t>NCT04990466</t>
  </si>
  <si>
    <t>Phase 2b/3 Trial of VSV-ΔG SARS-CoV-2 Vaccine (BRILIFE) Against Approved Comparator Vaccine.</t>
  </si>
  <si>
    <t>NeuroRx, Inc.</t>
  </si>
  <si>
    <t>NCT05724069</t>
  </si>
  <si>
    <t>Velusetrag for the Treatment of Chronic Intestinal Pseudo-Obstruction (CIPO).</t>
  </si>
  <si>
    <t>Alfasigma S.p.A.</t>
  </si>
  <si>
    <t>NCT05071703</t>
  </si>
  <si>
    <t>Evaluation of TRILACICLIB in Chinese Patients With Extensive-stage Small Cell Lung Cancer (ES-SCLC) for Chemotherapy-induced Myelosuppression, Antitumor Effects of Combination Regimens, and Safety in a Real-world Study</t>
  </si>
  <si>
    <t>NCT04840927</t>
  </si>
  <si>
    <t>A Study to Evaluate the Relative Bioavailability of E7386 Following Oral Administration of Targeted Release (TR) Tablets Compared to an E7386 Immediate Release (IR) Tablet in Healthy Adult Participants</t>
  </si>
  <si>
    <t>NCT04983732</t>
  </si>
  <si>
    <t>A Bioavailability Study of FL-101 in Healthy Male and Female Subjects</t>
  </si>
  <si>
    <t>NCT04655092</t>
  </si>
  <si>
    <t>Extension Study of P1101 After Completion of Phase 2 Study in PV Patients or Phase 3 Study in ET Patients</t>
  </si>
  <si>
    <t>PharmaEssentia Japan K.K.</t>
  </si>
  <si>
    <t>NCT05273944</t>
  </si>
  <si>
    <t>Bioequivalence Study of Doxorubicin Hydrochloride Liposome Injection (Lipodox®) in Chinese Patients</t>
  </si>
  <si>
    <t>NCT04969965</t>
  </si>
  <si>
    <t>To Evaluate the Comparative Pharmacokinetics of Orally Administered EQ143 in Different Racial and Ethnic Populations</t>
  </si>
  <si>
    <t>NCT04746612</t>
  </si>
  <si>
    <t>First in Human Study to Evaluate the Safety, Tolerability of HH30134 in Advanced Solid Tumors</t>
  </si>
  <si>
    <t>NCT04871711</t>
  </si>
  <si>
    <t>Efficacy and Safety of Delgocitinib Cream in Adults With Moderate to Severe Chronic Hand Eczema</t>
  </si>
  <si>
    <t>NCT04636801</t>
  </si>
  <si>
    <t>A 52-week, Placebo-controlled Study to Evaluate the Efficacy and Safety of 2 Doses of CHF6001 DPI (Tanimilast), as add-on to Maintenance Triple Therapy in Subjects With COPD and Chronic Bronchitis (PILASTER)</t>
  </si>
  <si>
    <t>NCT04715230</t>
  </si>
  <si>
    <t>Meth-OD: A Study of IXT-m200 in Patients With Toxicity From Methamphetamine Overdose</t>
  </si>
  <si>
    <t>NCT04797000</t>
  </si>
  <si>
    <t>Study of Efficacy and Safety of Eltrombopag in Lower-risk MDS Patients With Platelet Transfusion Dependence</t>
  </si>
  <si>
    <t>NCT04857892</t>
  </si>
  <si>
    <t>A Relative Bioavailability and Food-Effect Study of the Fixed Dose Combination of GSK3640254 and Dolutegravir (DTG) in Healthy Participants</t>
  </si>
  <si>
    <t>NCT04849390</t>
  </si>
  <si>
    <t>A Study to Investigate the Efficacy and Tolerability of ESO-101 in Patients With Eosinophilic Esophagitis</t>
  </si>
  <si>
    <t>EsoCap AG</t>
  </si>
  <si>
    <t>NCT04866160</t>
  </si>
  <si>
    <t>A Trial in Healthy Men and Women to Find Out How Well Different Doses of BI 1291583 Are Tolerated</t>
  </si>
  <si>
    <t>NCT05226897</t>
  </si>
  <si>
    <t>Clinical Trial to Assess the Efficacy and Safety of YYC405 in Type 2 Diabetes Patients</t>
  </si>
  <si>
    <t>NCT04718779</t>
  </si>
  <si>
    <t>A Study of Enzyme Replacement Therapy (VPRIV) in People With Type 1 Gaucher Disease Who Were Previously Treated With Substrate Reduction Therapy</t>
  </si>
  <si>
    <t>NCT06001580</t>
  </si>
  <si>
    <t>A Study of BR101 Injection Alone in Subjects With Advanced Solid Tumors</t>
  </si>
  <si>
    <t>NCT04961996</t>
  </si>
  <si>
    <t>A Study Evaluating the Efficacy and Safety of Adjuvant Giredestrant Compared With Physician's Choice of Adjuvant Endocrine Monotherapy in Participants With Estrogen Receptor-Positive, HER2-Negative Early Breast Cancer (lidERA Breast Cancer)</t>
  </si>
  <si>
    <t>NCT05050188</t>
  </si>
  <si>
    <t>A Study to Evaluate the Safety, Tolerability and Pharmacokinetics/Pharmacodynamics of Oral Doses of H008</t>
  </si>
  <si>
    <t>Jiangsu Carephar Pharmaceutical Co., Ltd.</t>
  </si>
  <si>
    <t>NCT04924608</t>
  </si>
  <si>
    <t>Efficacy and Safety of Selumetinib in Adults With NF1 Who Have Symptomatic, Inoperable Plexiform Neurofibromas</t>
  </si>
  <si>
    <t>NCT04868968</t>
  </si>
  <si>
    <t>Study of Safety, Tolerability and Efficacy of DFV890 in Participants With Familial Cold Auto-inflammatory Syndrome (FCAS)</t>
  </si>
  <si>
    <t>NCT04710303</t>
  </si>
  <si>
    <t>COVID-19 Vaccination Using a 2nd Generation (E1/E2B/E3-Deleted) Adenoviral Platform in Healthy South African Adults</t>
  </si>
  <si>
    <t>NCT05199337</t>
  </si>
  <si>
    <t>Phase 1/2 Study of ZN-d5 for the Treatment of Relapsed or Refractory Light Chain (AL) Amyloidosis</t>
  </si>
  <si>
    <t>NCT05094401</t>
  </si>
  <si>
    <t>Use of an Investigational Digital Therapeutic in Patients With Type 2 Diabetes</t>
  </si>
  <si>
    <t>Better Therapeutics</t>
  </si>
  <si>
    <t>NCT04939428</t>
  </si>
  <si>
    <t>Study of MK-4482 for Prevention of Coronavirus Disease 2019 (COVID-19) in Adults (MK-4482-013)</t>
  </si>
  <si>
    <t>NCT04778592</t>
  </si>
  <si>
    <t>Efficacy and Safety of ETX-018810 in Subjects With Lumbosacral Radicular Pain</t>
  </si>
  <si>
    <t>NCT04608812</t>
  </si>
  <si>
    <t>Convection-enhanced Delivery of OS2966 for Patients With High-grade Glioma Undergoing a Surgical Resection</t>
  </si>
  <si>
    <t>OncoSynergy, Inc.</t>
  </si>
  <si>
    <t>NCT04908800</t>
  </si>
  <si>
    <t>A Study to Evaluate the Safety, Tolerability, and Pharmacokinetics of KRP-A218 in Healthy Subjects</t>
  </si>
  <si>
    <t>Kyorin Pharmaceutical Co.,Ltd</t>
  </si>
  <si>
    <t>NCT04358471</t>
  </si>
  <si>
    <t>Intravitreal AAVCAGsCD59 for Advanced Dry Age-related Macular Degeneration (AMD) With Geographic Atrophy (GA)</t>
  </si>
  <si>
    <t>Hemera Biosciences</t>
  </si>
  <si>
    <t>NCT05172037</t>
  </si>
  <si>
    <t>Novaferon in Non-hospitalized Adult Patients With Mild COVID-19</t>
  </si>
  <si>
    <t>NCT05376930</t>
  </si>
  <si>
    <t>Study to Evaluate the Long Term Safety and Efficacy of DWP16001 Compared to Placebo in the Treatment of T2DM.</t>
  </si>
  <si>
    <t>NCT05638165</t>
  </si>
  <si>
    <t>A Single-center, Randomized, Double-blinded, Placebo-controlled, Phase 1 Clinical Trial to Evaluate the Safety, Tolerability and Efficacy of NCP112</t>
  </si>
  <si>
    <t>NovaCell Technology Inc.</t>
  </si>
  <si>
    <t>NCT04692181</t>
  </si>
  <si>
    <t>SYN-004 Safety and Tolerability in Allo-HCT Subjects</t>
  </si>
  <si>
    <t>NCT05256719</t>
  </si>
  <si>
    <t>Clinical Study of Recombinant Humanized CTLA-4-FC Fusion Protein Injection in Healthy Subjects</t>
  </si>
  <si>
    <t>NCT05109000</t>
  </si>
  <si>
    <t>Comparison of Subcutaneous Injection of Normal Saline and Bacteriostatic Saline</t>
  </si>
  <si>
    <t>Jeffrey Alan Klein, MD</t>
  </si>
  <si>
    <t>NCT05208281</t>
  </si>
  <si>
    <t>A Multi-cohort Study of Safety, Efficacy, PK and PD of GNR-055 in Patients With Mucopolysaccharidosis Type II</t>
  </si>
  <si>
    <t>NCT04942067</t>
  </si>
  <si>
    <t>APG-2575 in Combination With Novel Therapeutic Regimens in Subjects With Relapsed or Refractory Multiple Myeloma</t>
  </si>
  <si>
    <t>NCT05363501</t>
  </si>
  <si>
    <t>Pharmacokinetic Evaluation of a New Naloxone Nasal Swab, Naloxone Nasal Spray, and Intramuscular Naloxone Injection in Healthy Volunteers</t>
  </si>
  <si>
    <t>Pocket Naloxone Corp</t>
  </si>
  <si>
    <t>NCT05107739</t>
  </si>
  <si>
    <t>A Study of DeTIL-0255 in Adults With Advanced Malignancies</t>
  </si>
  <si>
    <t>Nurix Therapeutics, Inc.</t>
  </si>
  <si>
    <t>NCT05109702</t>
  </si>
  <si>
    <t>A Study to Assess the Efficacy and Safety of Tanfanercept (HL036) Ophthalmic Solution in Participants With Dry Eye</t>
  </si>
  <si>
    <t>HanAll BioPharma Co., Ltd.</t>
  </si>
  <si>
    <t>NCT05263453</t>
  </si>
  <si>
    <t>HL-085+Vemurafenib to Treat Advanced Melanoma Patients With BRAF V600E/K Mutation</t>
  </si>
  <si>
    <t>NCT05077501</t>
  </si>
  <si>
    <t>Study to Evaluate the Safety, Tolerability, Pharmacokinetics and Pharmacodynamics of Multiple Ascending Doses of ACD856</t>
  </si>
  <si>
    <t>NCT04962230</t>
  </si>
  <si>
    <t>Drug-Drug Interaction Study Assessing Effect of Carbamazepine on PF-07321332 Boosted With Ritonavir</t>
  </si>
  <si>
    <t>NCT04954859</t>
  </si>
  <si>
    <t>Long-term Follow-up Study to Evaluate Durability of Treatment Response in Previous Bepirovirsen Study Participants (B-Sure)</t>
  </si>
  <si>
    <t>NCT05896761</t>
  </si>
  <si>
    <t>A Sub-study of Cabotegravir (CAB) and Rilpivirine (RPV) in Human Immunodeficiency Viruses (HIV)-Infected Participants</t>
  </si>
  <si>
    <t>NCT04984954</t>
  </si>
  <si>
    <t>Evaluate the Efficacy and Safety of MUSK Pill on Coronary Microvascular Dysfunction</t>
  </si>
  <si>
    <t>NCT05187403</t>
  </si>
  <si>
    <t>A Study of Laquinimod Eye-drops in Healthy Participants</t>
  </si>
  <si>
    <t>Active Biotech AB</t>
  </si>
  <si>
    <t>NCT04866641</t>
  </si>
  <si>
    <t>Safety and Tolerability Study for T-1201 Injection 100 mg Kit in Patients With Advanced Solid Tumors</t>
  </si>
  <si>
    <t>NCT04684654</t>
  </si>
  <si>
    <t>BMS-986325 in Healthy Participants and Participants With Primary Sjögren's Syndrome</t>
  </si>
  <si>
    <t>NCT05113069</t>
  </si>
  <si>
    <t>A Study of SHR-A1912 for Injection in Patients With B Cell Lymphomas</t>
  </si>
  <si>
    <t>NCT04782388</t>
  </si>
  <si>
    <t>Study to Assess the Safety, Tolerability, And Pharmacokinetics of Staccato Alprazolam in Healthy Japanese, Chinese, and Caucasian Participants</t>
  </si>
  <si>
    <t>NCT04949386</t>
  </si>
  <si>
    <t>Safety, Tolerability and Efficacy of S-1226 in Post-COVID-19 Subjects With Persistent Respiratory Symptoms.</t>
  </si>
  <si>
    <t>SolAeroMed Inc.</t>
  </si>
  <si>
    <t>NCT05116969</t>
  </si>
  <si>
    <t>A Phase 1 Study of PTX-35 in Healthy Volunteers</t>
  </si>
  <si>
    <t>Heat Biologics</t>
  </si>
  <si>
    <t>NCT04732494</t>
  </si>
  <si>
    <t>Anti-PD-1 Monoclonal Antibody Tislelizumab (BGB-A317) Combined With or Without Anti-TIGIT Monoclonal Antibody Ociperlimab (BGB-A1217) in Participants With Recurrent or Metastatic Esophageal Squamous Cell Carcinoma</t>
  </si>
  <si>
    <t>NCT04910685</t>
  </si>
  <si>
    <t>(HARBOR) Study to Evaluate Efficacy and Safety of BLU-263 Versus Placebo in Patients With Indolent Systemic Mastocytosis</t>
  </si>
  <si>
    <t>NCT05343715</t>
  </si>
  <si>
    <t>PK/PD Study of 2 Agalsidase Formulations in Single Dose of 1 mg/kg Administered to Healthy Volunteers as IV Infusion</t>
  </si>
  <si>
    <t>Bio Sidus SA</t>
  </si>
  <si>
    <t>NCT04811040</t>
  </si>
  <si>
    <t>Study to Evaluate the Safety and Efficacy of Teropavimab and Zinlirvimab in Combination With Lenacapavir in Virologically Suppressed Adults With HIV-1 Infection</t>
  </si>
  <si>
    <t>NCT04847674</t>
  </si>
  <si>
    <t>A Study to Test if TEV-53275 is Effective in Relieving Asthma</t>
  </si>
  <si>
    <t>NCT05225389</t>
  </si>
  <si>
    <t>Study to Assess the Absorption, Metabolism, Excretion, and Mass Balance of CT1812 in Healthy Adult Male Subjects</t>
  </si>
  <si>
    <t>NCT05124210</t>
  </si>
  <si>
    <t>Pharmacokinetics, Pharmacodynamics, and Safety of Single-dose Sotrovimab in High-risk Pediatric Participants With Mild to Moderate COVID-19</t>
  </si>
  <si>
    <t>NCT05037097</t>
  </si>
  <si>
    <t>A Trial Evaluating the Safety and Immunogenicity of 3 COVID-19 SARS-CoV-2 RNA Vaccines in Healthy Adults</t>
  </si>
  <si>
    <t>NCT04261413</t>
  </si>
  <si>
    <t>Phase Ia/Ib Study of RS-0139 in Patients With a Recurrent, Locally Advanced or Metastatic Solid Tumors</t>
  </si>
  <si>
    <t>RS Arastirma Egitim Danismanlik Ilac Sanayi Ticaret A.S.</t>
  </si>
  <si>
    <t>NCT05327660</t>
  </si>
  <si>
    <t>CO Monitoring for Tobacco Cessation in Quitlines</t>
  </si>
  <si>
    <t>Consumer Wellness Solutions</t>
  </si>
  <si>
    <t>NCT05074420</t>
  </si>
  <si>
    <t>A Study of Baricitinib (LY3009104) in Children With COVID-19</t>
  </si>
  <si>
    <t>NCT05097079</t>
  </si>
  <si>
    <t>Efficacy and Safety Study of MYOBLOC in the Treatment of Sialorrhea in Pediatric Subjects</t>
  </si>
  <si>
    <t>Solstice Neurosciences, LLC, a subsidiary of MDD US Operations, LLC</t>
  </si>
  <si>
    <t>NCT04968574</t>
  </si>
  <si>
    <t>A Study Evaluating the Safety and Efficacy of ENV-101 in Subjects With Idiopathic Pulmonary Fibrosis (IPF)</t>
  </si>
  <si>
    <t>Endeavor Biomedicines, Inc.</t>
  </si>
  <si>
    <t>NCT05196360</t>
  </si>
  <si>
    <t>MAX-10181 in Patients With Advanced Solid Tumor</t>
  </si>
  <si>
    <t>NCT05145218</t>
  </si>
  <si>
    <t>A Clinical Study of TQB2450 Injection Combined With Anlotinib Hydrochloride Capsules Versus Paclitaxel as Weekly Treatment of Relapsed Platinum-resistant Ovarian Cancer</t>
  </si>
  <si>
    <t>NCT04721223</t>
  </si>
  <si>
    <t>JAB-3068 Activity in Adult Patients With Advanced Solid Tumors</t>
  </si>
  <si>
    <t>NCT04586010</t>
  </si>
  <si>
    <t>A Study to Evaluate the Efficacy and Safety of Fenebrutinib Compared With Teriflunomide in Relapsing Multiple Sclerosis (RMS)</t>
  </si>
  <si>
    <t>NCT04992260</t>
  </si>
  <si>
    <t>Efficacy, Immunogenicity and Safety of COVID-19 Vaccine , Inactivated in Children and Adolescents</t>
  </si>
  <si>
    <t>NCT05014360</t>
  </si>
  <si>
    <t>A Study of JNJ-64251330 in Participants With Familial Adenomatous Polyposis</t>
  </si>
  <si>
    <t>NCT04876755</t>
  </si>
  <si>
    <t>MBM-02 (Tempol) for the Treatment of Biochemical Recurrent Prostate Cancer</t>
  </si>
  <si>
    <t>NCT04507347</t>
  </si>
  <si>
    <t>Efficacy and Safety of TRC041266 in Patients With Heart Failure, LVEF ≥40%, Diastolic Dysfunction and Type 2 Diabetes Mellitus</t>
  </si>
  <si>
    <t>Torrent Pharmaceuticals Limited</t>
  </si>
  <si>
    <t>NCT04629248</t>
  </si>
  <si>
    <t>A Study Evaluating the Efficacy and Safety of Obinutuzumab in Participants With Primary Membranous Nephropathy</t>
  </si>
  <si>
    <t>NCT05134649</t>
  </si>
  <si>
    <t>A Study To Assess the Safety of OnabotulinumtoxinA (BOTOX) Intramuscular Injection in Adult Participants With Platysma Prominence</t>
  </si>
  <si>
    <t>NCT04923048</t>
  </si>
  <si>
    <t>A Safety, Tolerability, Pharmacokinetics and Efficacy Study of GB261 in B-Cell NHL and CLL.</t>
  </si>
  <si>
    <t>NCT04799158</t>
  </si>
  <si>
    <t>A Study to Evaluate the Efficacy and Safety of Vonoprazan Compared to Placebo in Participants With Symptomatic Non-Erosive Gastroesophageal Reflux Disease</t>
  </si>
  <si>
    <t>NCT04995094</t>
  </si>
  <si>
    <t>Study of Neoadjuvant Imprime PGG and Pembrolizumab for Stage III, Resectable Melanoma</t>
  </si>
  <si>
    <t>NCT04674566</t>
  </si>
  <si>
    <t>Evaluation of Safety and Tolerability of COR-101 in Hospitalized Patients With Moderate to Severe COVID-19</t>
  </si>
  <si>
    <t>Corat Therapeutics Gmbh</t>
  </si>
  <si>
    <t>NCT04690283</t>
  </si>
  <si>
    <t>Yiqi Wenjing Prescriptions Preventive Efficacy of Oxaliplatin-induced Peripheral Neuropathy Clinical Trial</t>
  </si>
  <si>
    <t>Nanjing NingQi Medicine Science and Technology Co., Ltd.</t>
  </si>
  <si>
    <t>NCT04607642</t>
  </si>
  <si>
    <t>Trial of BMX-001 or Placebo in Head and Neck Cancer Patients</t>
  </si>
  <si>
    <t>BioMimetix JV, LLC</t>
  </si>
  <si>
    <t>NCT04646005</t>
  </si>
  <si>
    <t>Cemiplimab and ISA101b Vaccine in Adult Participants With Recurrent/Metastatic Human Papillomavirus (HPV)16 Cervical Cancer Who Have Experienced Disease Progression After First Line Chemotherapy</t>
  </si>
  <si>
    <t>NCT04790006</t>
  </si>
  <si>
    <t>A Study of TG103 in Subjects With Type 2 Diabetes</t>
  </si>
  <si>
    <t>NCT04564547</t>
  </si>
  <si>
    <t>Dose Ranging, Switch Study of Islatravir (MK-8591) and Ulonivirine (MK-8507) Once-Weekly in Virologically-Suppressed Adults With Human Immunodeficiency Virus Type 1 (HIV-1) [MK-8591-013]</t>
  </si>
  <si>
    <t>NCT04879849</t>
  </si>
  <si>
    <t>A Study of TAK-676 With Pembrolizumab After Radiation Therapy to Treat a Number of Cancers</t>
  </si>
  <si>
    <t>NCT04708847</t>
  </si>
  <si>
    <t>A Clinical Pharmacology Study to Evaluate the Effect of GYM329 on Disuse Muscle Atrophy in Healthy Volunteer</t>
  </si>
  <si>
    <t>NCT06431438</t>
  </si>
  <si>
    <t>Study to Evaluate the Tolerability, Safety, Pharmacokinetics and Pharmacodynamics of TQA3810 Tablets</t>
  </si>
  <si>
    <t>NCT06840158</t>
  </si>
  <si>
    <t>Double-blind Comparative Randomized Multicenter</t>
  </si>
  <si>
    <t>Innopharm LLC</t>
  </si>
  <si>
    <t>NCT05113849</t>
  </si>
  <si>
    <t>Study to Evaluate the Safety and Immunogenicity of SARS-CoV-2 Vaccine (IN-B009) in Healthy Adults (COVID-19)</t>
  </si>
  <si>
    <t>NCT04643158</t>
  </si>
  <si>
    <t>Efficacy and Safety of Inhaled AZD1402 Administered for Four Weeks in Adults With Asthma on Medium-to-High Dose Inhaled Corticosteroids</t>
  </si>
  <si>
    <t>NCT04820049</t>
  </si>
  <si>
    <t>F573 Ia Clinical Trial</t>
  </si>
  <si>
    <t>NCT05142306</t>
  </si>
  <si>
    <t>A COVID-19 Study to Evaluate Safety and PK of COVID-HIG Administered Through IM, SC, or IV Routes to SARS-CoV-2 Uninfected Adults</t>
  </si>
  <si>
    <t>NCT04416633</t>
  </si>
  <si>
    <t>Study to Access Safety of Durvalumab in Indian Adult Patients With Locally Advanced NSCLC</t>
  </si>
  <si>
    <t>NCT04804904</t>
  </si>
  <si>
    <t>A Pharmacokinetic Study of TQB3101 in Chinese Healthy Subjects</t>
  </si>
  <si>
    <t>NCT06049147</t>
  </si>
  <si>
    <t>Study to Assess the Safety and Tolerability of MBF-015 in Healthy Young Volunteers</t>
  </si>
  <si>
    <t>NCT04904120</t>
  </si>
  <si>
    <t>Targeted Imaging of Melanoma for Alpha-Particle Radiotherapy</t>
  </si>
  <si>
    <t>Perspective Therapeutics</t>
  </si>
  <si>
    <t>NCT04251182</t>
  </si>
  <si>
    <t>Clinical Study Evaluating Efficacy and Safety of T3D-959 in Mild-to-moderate AD Subjects</t>
  </si>
  <si>
    <t>T3D Therapeutics, Inc.</t>
  </si>
  <si>
    <t>NCT04881760</t>
  </si>
  <si>
    <t>A Study of LY3437943 in Participants Who Have Obesity or Are Overweight</t>
  </si>
  <si>
    <t>NCT04884360</t>
  </si>
  <si>
    <t>D9319C00001- 1L OC Mono Global RCT</t>
  </si>
  <si>
    <t>NCT04573920</t>
  </si>
  <si>
    <t>Atrasentan in Patients With Proteinuric Glomerular Diseases</t>
  </si>
  <si>
    <t>NCT04487860</t>
  </si>
  <si>
    <t>Efficacy and Safety of AS012 in Subjects With Non-segmental Vitiligo</t>
  </si>
  <si>
    <t>NCT04784520</t>
  </si>
  <si>
    <t>A Study of HA121-28 Tablets in Advanced Biliary Tract Cancer</t>
  </si>
  <si>
    <t>NCT04886388</t>
  </si>
  <si>
    <t>Pivotal Trial of a Digital Therapeutic for the Treatment of Type 2 Diabetes</t>
  </si>
  <si>
    <t>NCT04734379</t>
  </si>
  <si>
    <t>Rho Kinase (ROCK) Inhibitor in Tauopathies - 1</t>
  </si>
  <si>
    <t>NCT04684446</t>
  </si>
  <si>
    <t>Study in Adults of AZD1222 and rAd26-S Administered as Heterologous Prime-Boost Regimen for the Prevention of COVID-19</t>
  </si>
  <si>
    <t>NCT04675060</t>
  </si>
  <si>
    <t>Effect of High-fat Meal on the Pharmacokinetics of TQ-B3139 Capsules</t>
  </si>
  <si>
    <t>NCT04677179</t>
  </si>
  <si>
    <t>A Study of LY3471851 in Adult Participants With Moderately to Severely Active Ulcerative Colitis (UC)</t>
  </si>
  <si>
    <t>NCT06468579</t>
  </si>
  <si>
    <t>To Evaluate the Safety, Tolerability and PK of GT20029 Gel and Solution in Healthy Subjects</t>
  </si>
  <si>
    <t>NCT04282044</t>
  </si>
  <si>
    <t>Study of CRX100 as Monotherapy and in Combination With Pembrolizumab in Patients With Advanced Solid Malignancies</t>
  </si>
  <si>
    <t>BioEclipse Therapeutics</t>
  </si>
  <si>
    <t>NCT04851444</t>
  </si>
  <si>
    <t>A Study of SI-F019 in Healthy Participants</t>
  </si>
  <si>
    <t>NCT04786964</t>
  </si>
  <si>
    <t>Study of Pemetrexed+Platinum Chemotherapy With or Without Cosibelimab in First Line Metastatic Non-squamous NSCLC</t>
  </si>
  <si>
    <t>Checkpoint Therapeutics, Inc.</t>
  </si>
  <si>
    <t>NCT05121909</t>
  </si>
  <si>
    <t>A Study of Experimental Mouthwashes</t>
  </si>
  <si>
    <t>NCT05131971</t>
  </si>
  <si>
    <t>A Study to Evaluate Safety, Tolerability, Pharmacokinetics and Pharmacodynamics (PD) of GSK3888130B in Healthy Participants</t>
  </si>
  <si>
    <t>NCT04230499</t>
  </si>
  <si>
    <t>Trial of ERapa to Prevent Progression in Familial Adenomatous Polyposis Patients Under Active Surveillance</t>
  </si>
  <si>
    <t>Rapamycin Holdings Inc.</t>
  </si>
  <si>
    <t>NCT04819464</t>
  </si>
  <si>
    <t>A Study to Investigate the Effect of Hepatic Impairment on the Pharmacokinetics of a Single Dose of Cenerimod</t>
  </si>
  <si>
    <t>NCT04693598</t>
  </si>
  <si>
    <t>Gene Transfer Clinical Trial for Krabbe Disease</t>
  </si>
  <si>
    <t>Forge Biologics, Inc</t>
  </si>
  <si>
    <t>NCT05140863</t>
  </si>
  <si>
    <t>To Evaluate the Efficacy and Safety of HSK16149 Capsule in Chinese Patients With Postherpetic Neuralgia</t>
  </si>
  <si>
    <t>NCT03125187</t>
  </si>
  <si>
    <t>Study With Heparin Sodium in Intravenous Administration</t>
  </si>
  <si>
    <t>União Química Farmacêutica Nacional S/A</t>
  </si>
  <si>
    <t>NCT04665921</t>
  </si>
  <si>
    <t>A Study of SGN-STNV in Advanced Solid Tumors</t>
  </si>
  <si>
    <t>NCT05298787</t>
  </si>
  <si>
    <t>A Phase 1 SAD/MAD Study of RLS-0071 in Healthy Volunteers in Support of a COVID-19 Development Program</t>
  </si>
  <si>
    <t>NCT05078593</t>
  </si>
  <si>
    <t>A Clinical Study to Evaluate the Safety, Tolerability and Pharmacokinetic Characteristics of HLX26 Monoclonal Antibody Injection in Patients With Solid Tumor or Lymphoma</t>
  </si>
  <si>
    <t>NCT05022693</t>
  </si>
  <si>
    <t>PK Study of Liquid Formulation of BIO89-100 in Subjects With NASH With Compensation Cirrhosis</t>
  </si>
  <si>
    <t>NCT05128487</t>
  </si>
  <si>
    <t>A Study of NDI 1150-101 in Patients With Solid Tumors</t>
  </si>
  <si>
    <t>Nimbus Saturn, Inc.</t>
  </si>
  <si>
    <t>NCT05441956</t>
  </si>
  <si>
    <t>TGRX-326 Chinese Phase I for Advanced Non-small Cell Lung Cancer (NSCLC)</t>
  </si>
  <si>
    <t>Shenzhen TargetRx Co., Ltd.</t>
  </si>
  <si>
    <t>NCT05024045</t>
  </si>
  <si>
    <t>Study of Oral LOXO-338 in Patients With Advanced Blood Cancers</t>
  </si>
  <si>
    <t>NCT04899219</t>
  </si>
  <si>
    <t>A Study to Investigate the Pharmacokinetics of ACT-1014-6470 in Subjects With Severe Renal Impairment Compared to Control Subjects</t>
  </si>
  <si>
    <t>NCT06215430</t>
  </si>
  <si>
    <t>A Study of Effect of Multiple Doses of LOXO-305 on the Pharmacokinetics of Single Oral Doses of CYP1A2, CYP2C9, CYP2C19 Substrates in Healthy Participants</t>
  </si>
  <si>
    <t>NCT04729907</t>
  </si>
  <si>
    <t>A Study to Learn About the Long-Term Safety of Higher Doses of Nusinersen (BIIB058) Given as Injections to Participants With Spinal Muscular Atrophy (SMA) Who Took Part in an Earlier Nusinersen Trial (ONWARD)</t>
  </si>
  <si>
    <t>NCT05835934</t>
  </si>
  <si>
    <t>Pharmacokinetics, Mass Balance, and Metabolism of [14C]HSK21542 in Healthy Adult Male Volunteers.</t>
  </si>
  <si>
    <t>NCT04794699</t>
  </si>
  <si>
    <t>Study of IDE397 in Participants With Solid Tumors Harboring MTAP Deletion</t>
  </si>
  <si>
    <t>IDEAYA Biosciences</t>
  </si>
  <si>
    <t>NCT04872634</t>
  </si>
  <si>
    <t>A Study to Evaluate the Safety and Anti-tumor Activity of SNK01 (NK Cells) Administered in Combination With Chemotherapy or Chemotherapy / Cetuximab in Local Advanced or Metastatic Non-small Cell Lung Cancer Patients Who Failed Tyrosine Kinase Inhibitor Treatment</t>
  </si>
  <si>
    <t>NKMAX Co., Ltd.</t>
  </si>
  <si>
    <t>NCT05076409</t>
  </si>
  <si>
    <t>A Study in Healthy Men to Test How Fluconazole Influences the Amount of BI 425809 in the Blood</t>
  </si>
  <si>
    <t>NCT04548453</t>
  </si>
  <si>
    <t>Establish the uSI Values and End-user Training Material That Will be Used to Guide Oxytocin Dosing Actions</t>
  </si>
  <si>
    <t>PreTeL, Inc</t>
  </si>
  <si>
    <t>NCT04736628</t>
  </si>
  <si>
    <t>A Study to Test the Effect of Different Doses of Avenciguat (BI 685509) on Kidney Function in People With Chronic Kidney Disease</t>
  </si>
  <si>
    <t>NCT05362851</t>
  </si>
  <si>
    <t>Clinical Trial of YYC301 P3 for Treatment of Osteoarthritis of the Knee</t>
  </si>
  <si>
    <t>NCT04644575</t>
  </si>
  <si>
    <t>Long-term Safety and Efficacy of Efanesoctocog Alfa (BIVV001) in Previously Treated Patients With Hemophilia A</t>
  </si>
  <si>
    <t>NCT04727528</t>
  </si>
  <si>
    <t>Study of the Effect of SZC on Serum Potassium and Serum Bicarbonate in Patients With Hyperkalemia and Metabolic Acidosis Associated With Chronic Kidney Disease</t>
  </si>
  <si>
    <t>NCT04993365</t>
  </si>
  <si>
    <t>Immunogenicity And Safety of COVID-19 Vaccine , Inactivated Co -Administration With EV71 Vaccine (Vero Cell)</t>
  </si>
  <si>
    <t>NCT05203237</t>
  </si>
  <si>
    <t>Phase 1 Study to Evaluate the Safety and Tolerability of VK2735</t>
  </si>
  <si>
    <t>Viking Therapeutics, Inc.</t>
  </si>
  <si>
    <t>NCT06088472</t>
  </si>
  <si>
    <t>TIL Injection for the Treatment of Metastatic or Recurrent Solid Tumors</t>
  </si>
  <si>
    <t>NCT05108922</t>
  </si>
  <si>
    <t>A Study of Donanemab (LY3002813) Compared With Aducanumab in Participants With Early Symptomatic Alzheimer's Disease (TRAILBLAZER-ALZ 4)</t>
  </si>
  <si>
    <t>NCT04677595</t>
  </si>
  <si>
    <t>Study of Capmatinib in Chinese Adult Patients With Advanced Non-small Cell Lung Cancer Harboring MET Exon 14 Skipping Mutation</t>
  </si>
  <si>
    <t>NCT03281681</t>
  </si>
  <si>
    <t>A Multi-center Study of VAL-083 in Patients With Recurrent Platinum Resistant Ovarian Cancer</t>
  </si>
  <si>
    <t>DelMar Pharmaceuticals, Inc.</t>
  </si>
  <si>
    <t>NCT05098054</t>
  </si>
  <si>
    <t>A Study of Soticlestat in Adults With Liver Failure Compared to Those With Normal Liver Function</t>
  </si>
  <si>
    <t>NCT05353205</t>
  </si>
  <si>
    <t>A Study of the Efficacy and Safety of Flumatinib in Patients With Newly Diagnosed Chronic Myeloid Leukemia in Chronic Phase.</t>
  </si>
  <si>
    <t>NCT04687241</t>
  </si>
  <si>
    <t>Almonertinib Versus Placebo as Adjuvant Therapy in Resected Stage II-IIIB Non-Small Cell Lung Cancer With EGFR-sensitive Mutations</t>
  </si>
  <si>
    <t>NCT04982081</t>
  </si>
  <si>
    <t>Treating Congestive HF With hiPSC-CMs Through Endocardial Injection</t>
  </si>
  <si>
    <t>HELP Therapeutics Co., Ltd.</t>
  </si>
  <si>
    <t>NCT05839639</t>
  </si>
  <si>
    <t>A Study to Evaluate the Antiviral Activity and Safety of HH-003 Injection in Subjects With HBeAg-Negative Chronic Hepatitis B Treated With Nucleos(t)Ide Reverse Transcriptase Inhibitors</t>
  </si>
  <si>
    <t>NCT04686175</t>
  </si>
  <si>
    <t>Evaluation of Safety, Tolerability, and Efficacy of INZ-701 in Adults With ENPP1 Deficiency</t>
  </si>
  <si>
    <t>Inozyme Pharma</t>
  </si>
  <si>
    <t>NCT05096845</t>
  </si>
  <si>
    <t>Recombinant SARS-CoV-2 Fusion Protein Vaccine (V-01) Phase III</t>
  </si>
  <si>
    <t>NCT04701606</t>
  </si>
  <si>
    <t>The Safety and Efficacy of Pyronaridine-artesunate (Pyramax® or Artecom®)in COVID-19 Patients</t>
  </si>
  <si>
    <t>NCT04827004</t>
  </si>
  <si>
    <t>A Study of Anlotinib Hydrochloride Capsules in Subjects With Diffuse Large B-Cell Lymphoma</t>
  </si>
  <si>
    <t>NCT07217184</t>
  </si>
  <si>
    <t>Sub-study of Belantamab Mafodotin (GSK2857916) in Combination With Isatuximab in Participants With RRMM</t>
  </si>
  <si>
    <t>NCT04615949</t>
  </si>
  <si>
    <t>Cannabidiol in Patients With COVID-19 and Cardiovascular Disease or Risk Factors</t>
  </si>
  <si>
    <t>Cardiol Therapeutics Inc.</t>
  </si>
  <si>
    <t>NCT05005338</t>
  </si>
  <si>
    <t>A Study to Determine the Absolute Bioavailability of BIIB122/DNL151 in Healthy Subjects</t>
  </si>
  <si>
    <t>NCT05083117</t>
  </si>
  <si>
    <t>Safety and Efficacy of Inhaled XW001 For Hospitalized COVID-19 Patients Requiring Oxygen Therapy</t>
  </si>
  <si>
    <t>NCT04752540</t>
  </si>
  <si>
    <t>A Phase I Study to Assess the Pharmacokinetics of Olorofim in Subjects With Hepatic Impairment</t>
  </si>
  <si>
    <t>F2G Biotech GmbH</t>
  </si>
  <si>
    <t>NCT04632108</t>
  </si>
  <si>
    <t>A 1/2 Phase Study to Evaluate the Safety, Tolerability, Pharmacokinetics, and Antitumor Activity of ASKB589 in Patients With Locally Advanced or Metastatic Solid Tumors</t>
  </si>
  <si>
    <t>Jiangsu Aosaikang Pharmaceutical Co., Ltd.</t>
  </si>
  <si>
    <t>NCT05028478</t>
  </si>
  <si>
    <t>A Study of CN202 in Adult Subjects With Locally Advanced or Metastatic Solid Tumors or Hematologic Malignancies</t>
  </si>
  <si>
    <t>NCT04710043</t>
  </si>
  <si>
    <t>Dose Escalation Trial of BNT152+153 in Patients With Cancer</t>
  </si>
  <si>
    <t>NCT05188417</t>
  </si>
  <si>
    <t>A Study Evaluating the Safety and Efficacy of Tirofiban in Combination With Alteplase in Acute Ischemic Stroke</t>
  </si>
  <si>
    <t>GrandPharma (China) Co., Ltd.</t>
  </si>
  <si>
    <t>NCT04866017</t>
  </si>
  <si>
    <t>A Study to Compare Ociperlimab Plus Tislelizumab Versus Durvalumab Following Concurrent Chemoradiotherapy (cCRT) in Participants With Stage III Unresectable Non-Small Cell Lung Cancer</t>
  </si>
  <si>
    <t>NCT04605549</t>
  </si>
  <si>
    <t>A Study of CIN-107 in Adults With Primary Aldosteronism</t>
  </si>
  <si>
    <t>NCT04766385</t>
  </si>
  <si>
    <t>Clinical Study of KHK7791 in Hyperphosphatemia Patients on Peritoneal Dialysis</t>
  </si>
  <si>
    <t>NCT04878484</t>
  </si>
  <si>
    <t>Evaluate TCRT-ESO-A2 Autologous T Cells Expressing TCR Specific for NY-ESO-1 in Subjects With Advanced Solid Tumors</t>
  </si>
  <si>
    <t>NCT04874233</t>
  </si>
  <si>
    <t>Phase 2a Study of HU6 in Subjects With Elevated Liver Fat and High BMI Volunteers</t>
  </si>
  <si>
    <t>NCT04973449</t>
  </si>
  <si>
    <t>Phase II/III Study of AZD2816, for the Prevention of COVID-19 in Adults</t>
  </si>
  <si>
    <t>NCT05046808</t>
  </si>
  <si>
    <t>Pharmacokinetics Study of Famitinib Malate Capsules in Healthy Subjects</t>
  </si>
  <si>
    <t>NCT04390217</t>
  </si>
  <si>
    <t>LB1148 for Pulmonary Dysfunction Associated With COVID-19 Pneumonia</t>
  </si>
  <si>
    <t>Leading BioSciences, Inc</t>
  </si>
  <si>
    <t>NCT05510674</t>
  </si>
  <si>
    <t>Safety and Dose Ranging Study for OWL-EVO1 as a Lung Cancer EVOC® Probe (Evolution)</t>
  </si>
  <si>
    <t>Owlstone Ltd</t>
  </si>
  <si>
    <t>NCT05008510</t>
  </si>
  <si>
    <t>P2 Clinical Efficacy &amp; Safety Study of V-111 Monotherapy &amp; Sacituzumab Govitecan-hziy/V-111 Combo Therapy for mTNBC .</t>
  </si>
  <si>
    <t>NCT03814135</t>
  </si>
  <si>
    <t>Efficacy and Safety of Two Doses of Hipnos in the Treatment of Adults With Insomnia</t>
  </si>
  <si>
    <t>NCT05181215</t>
  </si>
  <si>
    <t>Bioequivalence Study of Bafiertam 190 mg and Vumerity® 462 mg Delayed-Release Capsules in Fasting Healthy Subjects</t>
  </si>
  <si>
    <t>Banner Life Sciences LLC</t>
  </si>
  <si>
    <t>NCT05052697</t>
  </si>
  <si>
    <t>A Study to Evaluate the Safety, Tolerability, and Immunogenicity of a Modified RNA Vaccine Against Influenza</t>
  </si>
  <si>
    <t>NCT05068856</t>
  </si>
  <si>
    <t>A Study of HRS2543 in Patients With Advanced Tumors</t>
  </si>
  <si>
    <t>NCT04958031</t>
  </si>
  <si>
    <t>A Trial of the Safety, Tolerability, and Pharmacodynamics of CVL-871 in Subjects With Dementia-Related Apathy</t>
  </si>
  <si>
    <t>NCT04857307</t>
  </si>
  <si>
    <t>A Study to Assess the Pharmacokinetics (PK) and Safety of Staccato Alprazolam in Adolescent Study Participants With Epilepsy</t>
  </si>
  <si>
    <t>NCT04885114</t>
  </si>
  <si>
    <t>Safety and Tolerability Study With VY-HTT01, in Adults With Early Manifesting Huntington's Disease</t>
  </si>
  <si>
    <t>Voyager Therapeutics</t>
  </si>
  <si>
    <t>NCT04661540</t>
  </si>
  <si>
    <t>A Study of Auxora in Patients With Critical COVID-19 Pneumonia</t>
  </si>
  <si>
    <t>NCT04875676</t>
  </si>
  <si>
    <t>Immunogenicity &amp; Safety Study of Adenovirus Type 5 (AD5) Based Oral Norovirus Vaccines</t>
  </si>
  <si>
    <t>NCT04989517</t>
  </si>
  <si>
    <t>Study of Efficacy and Safety of Investigational Treatment in Patients With Hidradenitis Suppurativa</t>
  </si>
  <si>
    <t>Azora Therapeutics Australia Pty Ltd</t>
  </si>
  <si>
    <t>NCT05221385</t>
  </si>
  <si>
    <t>Gentulizumab in Patients With Advanced Solid Malignancies and Non-Hodgkin Lymphoma</t>
  </si>
  <si>
    <t>NCT05006885</t>
  </si>
  <si>
    <t>ALT-801 in Diabetic and Non-Diabetic Overweight and Obese Subjects With Non-alcoholic Fatty Liver Disease (NAFLD)</t>
  </si>
  <si>
    <t>NCT05064735</t>
  </si>
  <si>
    <t>Research Study Looking at How Well Semaglutide Works in People Suffering From Obesity and Knee Osteoarthritis</t>
  </si>
  <si>
    <t>NCT04752332</t>
  </si>
  <si>
    <t>A Study of Abemaciclib (LY2835219) Plus Hormone Therapy in Participants With Early Breast Cancer</t>
  </si>
  <si>
    <t>NCT05045716</t>
  </si>
  <si>
    <t>A Study of Subcutaneous Lecanemab in Healthy Participants</t>
  </si>
  <si>
    <t>NCT04711252</t>
  </si>
  <si>
    <t>A Comparative Study of AZD9833 Plus Palbociclib Versus Anastrozole Plus Palbociclib in Patients With ER-Positive HER2 Negative Breast Cancer Who Have Not Received Any Systemic Treatment for Advanced Disease</t>
  </si>
  <si>
    <t>NCT05176665</t>
  </si>
  <si>
    <t>EMB-01 in Patients With Advanced/Metastatic Gastrointestinal Cancers</t>
  </si>
  <si>
    <t>NCT04910100</t>
  </si>
  <si>
    <t>Nebivolol 0.5, 1.0, or Timolol 0.5 Suspension Compared to Timolol 0.5 Solution to Treat Glaucoma/Ocular Hypertension</t>
  </si>
  <si>
    <t>Betaliq, Inc.</t>
  </si>
  <si>
    <t>NCT04463771</t>
  </si>
  <si>
    <t>Safety and Efficacy of Retifanlimab (INCMGA00012) Alone or in Combination With Other Therapies in Participants With Advanced or Metastatic Endometrial Cancer Who Have Progressed on or After Platinum-based Chemotherapy.</t>
  </si>
  <si>
    <t>NCT05133089</t>
  </si>
  <si>
    <t>ALLEVIATE-HFrEF Study</t>
  </si>
  <si>
    <t>NCT05056246</t>
  </si>
  <si>
    <t>Study of AMG 133 Administered Subcutaneously in Healthy Japanese and Caucasian Participants</t>
  </si>
  <si>
    <t>NCT05127473</t>
  </si>
  <si>
    <t>A Research Study of How a New Medicine NNC0365-3769 (Mim8) Works in the Body of Healthy People</t>
  </si>
  <si>
    <t>NCT04834973</t>
  </si>
  <si>
    <t>A Trial of Tigilanol Tiglate in Combination With Pembrolizumab in Stage IIIB to IV M1c-melanoma</t>
  </si>
  <si>
    <t>QBiotics Group Limited</t>
  </si>
  <si>
    <t>NCT04645446</t>
  </si>
  <si>
    <t>Safety and Efficacy of Two Different Concentrations (0.5% and 1%) of Progesterone Topical Gel Compared to Placebo in Patients Diagnosed With Moderate to Severe Dry Eye Syndrome</t>
  </si>
  <si>
    <t>SIFI SpA</t>
  </si>
  <si>
    <t>NCT04669561</t>
  </si>
  <si>
    <t>The Chronology of Lifitegrast Effect on Anterior Surface Rehabilitation (CLEAR) Study</t>
  </si>
  <si>
    <t>NCT04742361</t>
  </si>
  <si>
    <t>Efficacy of [18F]PSMA-1007 PET/CT in Patients With Biochemial Recurrent Prostate Cancer</t>
  </si>
  <si>
    <t>ABX advanced biochemical compounds GmbH</t>
  </si>
  <si>
    <t>NCT04839991</t>
  </si>
  <si>
    <t>Study of CB307 in Patients With Advanced and/or Metastatic PSMA-positive Tumours.</t>
  </si>
  <si>
    <t>Crescendo Biologics Ltd.</t>
  </si>
  <si>
    <t>NCT05519059</t>
  </si>
  <si>
    <t>Pelareorep and Paclitaxel Injection in Chinese Patients With Advanced or Metastatic Breast Cancer</t>
  </si>
  <si>
    <t>NCT04829318</t>
  </si>
  <si>
    <t>A Long-Term Extension Study for Participants With Treatment-resistant Major Depressive Disorder Who Are Continuing Esketamine Nasal Spray Treatment</t>
  </si>
  <si>
    <t>NCT04833582</t>
  </si>
  <si>
    <t>A Study of Azenosertib (ZN-c3) in Combination With Gemcitabine in Subjects With Osteosarcoma</t>
  </si>
  <si>
    <t>NCT04702789</t>
  </si>
  <si>
    <t>Comparative Study of the Efficacy of Either Krytantek Ofteno PF® or Eliptic Ofteno PF® Plus Gaap Ofteno PF® for POAG or Ocular Hypertension.</t>
  </si>
  <si>
    <t>NCT05052710</t>
  </si>
  <si>
    <t>Study to Assess the Effect of AZD4831 on the Pharmacokinetics (Drug Behavior in the Body) of Midazolam</t>
  </si>
  <si>
    <t>NCT05391360</t>
  </si>
  <si>
    <t>Evaluation Freethiadine Tolerance in Healthy Subjects and Patients With Chronic Hepatitis B, Pharmacokinetics Characteristics and Antiviral Activity of Ⅰ Phase of Study</t>
  </si>
  <si>
    <t>NCT06314659</t>
  </si>
  <si>
    <t>Immunogenicity and Safety of Group A and C Meningococcal Polysaccharide Conjugate Vaccine in Volunteers Aged 3-5 Months</t>
  </si>
  <si>
    <t>NCT04522180</t>
  </si>
  <si>
    <t>A Study to Assess the Safety, Tolerability, and Efficacy of IONIS-GHR-LRx Administered in Patients With Acromegaly</t>
  </si>
  <si>
    <t>NCT04908462</t>
  </si>
  <si>
    <t>To Evaluate the Safety, Tolerability, Pharmacokinetics and Pharmacodynamics of Oral AL01211 in Healthy Volunteers</t>
  </si>
  <si>
    <t>AceLink Therapeutics, Inc.</t>
  </si>
  <si>
    <t>NCT05234762</t>
  </si>
  <si>
    <t>Efficacy, Safety, and Pharmacokinetics of ES-481 in Adult Patients With Essential Tremors</t>
  </si>
  <si>
    <t>NCT05148754</t>
  </si>
  <si>
    <t>An Open-label Clinical Study of the Pharmacokinetics and Safety of Elsulfavirine, 200 mg Tablets, With Single and Multiple Oral Administration in Healthy Volunteers</t>
  </si>
  <si>
    <t>NCT04868890</t>
  </si>
  <si>
    <t>A Study of Inhaled Ampion in Adults With Respiratory Distress Due to COVID-19</t>
  </si>
  <si>
    <t>NCT04676724</t>
  </si>
  <si>
    <t>Study of Sequential GSK3228836 and Peginterferon Treatment in Participants With Chronic Hepatitis B (CHB)</t>
  </si>
  <si>
    <t>NCT04944862</t>
  </si>
  <si>
    <t>A Study of CDX-0159 in Patients With Prurigo Nodularis</t>
  </si>
  <si>
    <t>NCT04691141</t>
  </si>
  <si>
    <t>A Study to Evaluating the Pharmacokinetics, Safety, and Efficacy of ATG 016 Monotherapy in IPSS-R Intermediate Risk and Above Myelodysplastic Syndrome (MDS)</t>
  </si>
  <si>
    <t>Shanghai Antengene Corporation Limited</t>
  </si>
  <si>
    <t>NCT05096780</t>
  </si>
  <si>
    <t>Characterizing the Pharmacokinetic Profile of a Novel Encapsulated Caffeine Beverage and Associated Mood and Physiological Effects</t>
  </si>
  <si>
    <t>NCT03678480</t>
  </si>
  <si>
    <t>A Study of HTD1801 in Adolescents With Primary Sclerosing Cholangitis (PSC)</t>
  </si>
  <si>
    <t>HighTide Biopharma Pty Ltd</t>
  </si>
  <si>
    <t>NCT04844580</t>
  </si>
  <si>
    <t>A Clinical Study Evaluating Inhaled Aviptadil on COVID-19</t>
  </si>
  <si>
    <t>Centurion Pharma</t>
  </si>
  <si>
    <t>NCT05067127</t>
  </si>
  <si>
    <t>Phase III Study Assessing the Efficacy and Safety of Pegcetacoplan in Patients With C3 Glomerulopathy or Immune-Complex Membranoproliferative Glomerulonephritis</t>
  </si>
  <si>
    <t>NCT04851873</t>
  </si>
  <si>
    <t>Safety and Efficacy of Intravenous OAV101 (AVXS-101) in Pediatric Patients With Spinal Muscular Atrophy (SMA)</t>
  </si>
  <si>
    <t>NCT04640246</t>
  </si>
  <si>
    <t>Study of TBX-3400 in Subjects With Solid Malignant Tumors Resistant or Refractory to Standard Therapies</t>
  </si>
  <si>
    <t>NCT04554966</t>
  </si>
  <si>
    <t>Study to Assess Adverse Events and How Intravenous (IV) or Subcutaneous (SC) ABBV-382 Moves Through the Body of Adult Participants With Human Immuno-Deficiency Virus (HIV-1)</t>
  </si>
  <si>
    <t>NCT05047991</t>
  </si>
  <si>
    <t>Study of Irinotecan Liposome Injection-containing Regimens Versus Nab-paclitaxel Plus Gemcitabine in Patients With Previously Untreated, Metastatic Pancreatic Adenocarcinoma</t>
  </si>
  <si>
    <t>NCT04672291</t>
  </si>
  <si>
    <t>Nasal Poly-ICLC (Hiltonol®) in Healthy COVID-19 Vaccinated Adults</t>
  </si>
  <si>
    <t>NCT05011097</t>
  </si>
  <si>
    <t>A Phase I Clinical Trial of Y150 in the Treatment of Relapsed or Refractory Multiple Myeloma</t>
  </si>
  <si>
    <t>NCT07319520</t>
  </si>
  <si>
    <t>Clinical Trial to Evaluate the Efficacy and Safety of DW4902</t>
  </si>
  <si>
    <t>NCT04769479</t>
  </si>
  <si>
    <t>A Single Dose Study to Evaluate the Pharmacokinetics of Acoramidis Modified Release Formulations in Healthy Subjects</t>
  </si>
  <si>
    <t>NCT05007496</t>
  </si>
  <si>
    <t>Preventive Dendritic Cell Vaccine, AV-COVID-19, in Subjects Not Actively Infected With COVID-19</t>
  </si>
  <si>
    <t>NCT05098262</t>
  </si>
  <si>
    <t>Phamacokinetics and Safety Profiles of DA-5210 10/500mg in Healthy Subjects at Fasting State</t>
  </si>
  <si>
    <t>NCT05160415</t>
  </si>
  <si>
    <t>A Study of EDG-5506 in Adult Males With Becker Muscular Dystrophy</t>
  </si>
  <si>
    <t>NCT05857215</t>
  </si>
  <si>
    <t>A First-in-Human Study of Single and Multiple Doses of Amilo-5MER in Healthy Subjects</t>
  </si>
  <si>
    <t>NCT04767815</t>
  </si>
  <si>
    <t>To Evaluate Food Effect on the PK and Safety After Oral DWN12088 Administration in Healthy Adult Volunteers</t>
  </si>
  <si>
    <t>NCT05039840</t>
  </si>
  <si>
    <t>Efficacy and Safety of Frexalimab (SAR441344) in the Treatment of Systemic Lupus Erythematosus</t>
  </si>
  <si>
    <t>NCT04910568</t>
  </si>
  <si>
    <t>A Study Evaluating the Safety, Pharmacokinetics, and Activity of Cevostamab in Participants With Relapsed or Refractory Multiple Myeloma</t>
  </si>
  <si>
    <t>NCT04853823</t>
  </si>
  <si>
    <t>A Safety, Tolerability, and Dermal Reactogenicity Study of PDC-APB</t>
  </si>
  <si>
    <t>Hapten Sciences, Inc.</t>
  </si>
  <si>
    <t>NCT05205096</t>
  </si>
  <si>
    <t>Immunogenicity and Safety of Booster Immunization of ZF2001 After Inoculation With Two Doses of CoronaVac</t>
  </si>
  <si>
    <t>NCT04557462</t>
  </si>
  <si>
    <t>A Rollover Extension Program (REP) to Evaluate the Long-term Safety and Tolerability of Open Label Iptacopan/LNP023 in Participants With Primary IgA Nephropathy</t>
  </si>
  <si>
    <t>NCT04583735</t>
  </si>
  <si>
    <t>A Study Evaluating TEPEZZA® Treatment in Patients With Chronic (Inactive) Thyroid Eye Disease</t>
  </si>
  <si>
    <t>NCT05262218</t>
  </si>
  <si>
    <t>Therapeutic Effect of PBF-680 in Patients With COPD</t>
  </si>
  <si>
    <t>Palobiofarma SL</t>
  </si>
  <si>
    <t>NCT04495010</t>
  </si>
  <si>
    <t>Neoadjuvant Nivolumab+Ipilimumab Followed by Adjuvant Nivolumab or Neoadjuvant Nivolumab+Ipilimumab Followed by Adjuvant Observation Compared With Adjuvant Nivolumab in Treatment-Naive High-risk Melanoma Participants</t>
  </si>
  <si>
    <t>NCT05001724</t>
  </si>
  <si>
    <t>KN046 Plus Lenvatinib in Subject With Advanced Non-Small Cell Lung Cancer in the Failure of Anti-PD-(L)1 Agent</t>
  </si>
  <si>
    <t>NCT04338659</t>
  </si>
  <si>
    <t>A Phase 1a Study Evaluating the Safety, Tolerability, and Efficacy of IBI322 in Subjects With Advanced Cancers</t>
  </si>
  <si>
    <t>NCT04855591</t>
  </si>
  <si>
    <t>A Trial of SHR-1703 in Healthy Subjects</t>
  </si>
  <si>
    <t>NCT04819620</t>
  </si>
  <si>
    <t>Pharmacokinetics of PN-232 in Healthy Volunteers</t>
  </si>
  <si>
    <t>NCT04663282</t>
  </si>
  <si>
    <t>A Trial of INS068 in Patients With Type 2 Diabetes Not Adequately Controlled With One or Two Oral Antidiabetics</t>
  </si>
  <si>
    <t>NCT04742218</t>
  </si>
  <si>
    <t>Study to Assess the Food Effect of K-877 in Healthy Adult Volunteers</t>
  </si>
  <si>
    <t>NCT04711148</t>
  </si>
  <si>
    <t>A Phase 2 Study of Orelabrutinib in Patients With Relapsing-Remitting Multiple Sclerosis</t>
  </si>
  <si>
    <t>NCT04932655</t>
  </si>
  <si>
    <t>Food Effect and Bioequivalence Study of Simufilam Tablets in Healthy Volunteers</t>
  </si>
  <si>
    <t>NCT04994509</t>
  </si>
  <si>
    <t>Pre-Exposure Prophylaxis Study of Lenacapavir and Emtricitabine/Tenofovir Alafenamide in Adolescent Girls and Young Women at Risk of HIV Infection</t>
  </si>
  <si>
    <t>NCT05007652</t>
  </si>
  <si>
    <t>A Study of KRN125 in Patients With Multiple Myeloma and Malignant Lymphoma</t>
  </si>
  <si>
    <t>NCT04935879</t>
  </si>
  <si>
    <t>A Study to Assess the Safety and Efficacy of Inclacumab in Participants With Sickle Cell Disease Experiencing Vaso-occlusive Crises</t>
  </si>
  <si>
    <t>NCT04676373</t>
  </si>
  <si>
    <t>Study to Evaluate Efficacy and Safety in Chinese Patients With Late Onset Pompe Disease With Alglucosidase Alfa Treatmen</t>
  </si>
  <si>
    <t>NCT05146882</t>
  </si>
  <si>
    <t>An Extension Study of Belcesiran in Patients With Alpha-1 Antitrypsin Deficiency Associated Liver Disease (AATLD)</t>
  </si>
  <si>
    <t>NCT05098041</t>
  </si>
  <si>
    <t>A Study of Soticlestat and Rifampin in Healthy Adults</t>
  </si>
  <si>
    <t>NCT05066724</t>
  </si>
  <si>
    <t>Efficacy of Centanafadine SR as a Potential Smoking Cessation Treatment</t>
  </si>
  <si>
    <t>NCT04909242</t>
  </si>
  <si>
    <t>Assessing the Safety, Tolerability and Pharmacokinetics(PK) of DZD9008 and the Effect of Low-fat Meal on PK of DZD9008 in Healthy Adult Participants</t>
  </si>
  <si>
    <t>NCT05136456</t>
  </si>
  <si>
    <t>Evaluate the Efficacy and Safety of SHR1459 Tablets in Patients With Primary Membranous Nephropathy</t>
  </si>
  <si>
    <t>NCT04333472</t>
  </si>
  <si>
    <t>Piclidenoson for Treatment of COVID-19</t>
  </si>
  <si>
    <t>Can-Fite BioPharma</t>
  </si>
  <si>
    <t>NCT04551768</t>
  </si>
  <si>
    <t>Study to Evaluate the Safety and Efficacy of VIRAZOLE® in Hospitalized Adult Participants With Respiratory Distress Due to COVID-19</t>
  </si>
  <si>
    <t>NCT05011513</t>
  </si>
  <si>
    <t>Evaluation of Protease Inhibition for COVID-19 in Standard-Risk Patients (EPIC-SR).</t>
  </si>
  <si>
    <t>NCT05119686</t>
  </si>
  <si>
    <t>Phase 2b Evaluation of Efficacy and Safety of AR882 in Gout Patients</t>
  </si>
  <si>
    <t>NCT04951505</t>
  </si>
  <si>
    <t>Safety and Intrapulmonary Pharmacokinetics of Cefepime and Taniborbactam in Healthy Subjects</t>
  </si>
  <si>
    <t>Venatorx Pharmaceuticals, Inc.</t>
  </si>
  <si>
    <t>NCT04526717</t>
  </si>
  <si>
    <t>Heat Shock Protein Inhibitor- MPT0B640 for COVID-19 Infection</t>
  </si>
  <si>
    <t>J Ints Bio</t>
  </si>
  <si>
    <t>NCT05165017</t>
  </si>
  <si>
    <t>Safety &amp; Efficacy of AlloRx SC® in PTHS Patients</t>
  </si>
  <si>
    <t>Vitro Biopharma Inc.</t>
  </si>
  <si>
    <t>NCT04757974</t>
  </si>
  <si>
    <t>Low-dose Fostemsavir Extended Release Relative Bioavailability Study</t>
  </si>
  <si>
    <t>NCT04645797</t>
  </si>
  <si>
    <t>A Dose Escalation Study of APR003 in Patients With Advanced Colorectal Cancer (CRC) With Malignant Liver Lesions</t>
  </si>
  <si>
    <t>Apros Therapeutics, Inc</t>
  </si>
  <si>
    <t>NCT04961567</t>
  </si>
  <si>
    <t>A Study to Learn About the Safety of Litifilimab (BIIB059) Injections and Whether They Can Improve Symptoms of Adult Participants Who Have Systemic Lupus Erythematosus</t>
  </si>
  <si>
    <t>NCT04784000</t>
  </si>
  <si>
    <t>Effect of Carbamazepine on the Pharmacokinetics (PK) of AT-527</t>
  </si>
  <si>
    <t>NCT04985916</t>
  </si>
  <si>
    <t>ET-01 in Subjects With Lateral Canthal Lines, LCL-210</t>
  </si>
  <si>
    <t>Eirion Therapeutics Inc.</t>
  </si>
  <si>
    <t>NCT05118516</t>
  </si>
  <si>
    <t>Safety, Tolerability, and Pharmacokinetics of ASC43F, a Fixed Dose Combination Tablet in Healthy Subjects</t>
  </si>
  <si>
    <t>NCT05125016</t>
  </si>
  <si>
    <t>A Trial to Find Out if REGN4336 is Safe and How Well it Works Alone and in Combination With REGN5678 for Adult Participants With Advanced Prostate Cancer</t>
  </si>
  <si>
    <t>NCT05055258</t>
  </si>
  <si>
    <t>A Trial to Evaluate the Efficacy and Safety of Different Doses of KVD824 for Prophylactic Treatment of HAE Type I or II</t>
  </si>
  <si>
    <t>NCT04967014</t>
  </si>
  <si>
    <t>Study to Evaluate the Safety and Pharmacodynamic/Pharmacokinetic Characteristics of HIP2101 in Healthy Volunteers</t>
  </si>
  <si>
    <t>NCT05909852</t>
  </si>
  <si>
    <t>A Study Comparing the Pharmacokinetics (PK) of ABP 501 40 mg/0.4 mL (ABP 501-HCF) and ABP 501 40 mg/0.8 ml (ABP 501-LCF) in Healthy Adult Participants</t>
  </si>
  <si>
    <t>NCT04742738</t>
  </si>
  <si>
    <t>Safety and Immunogenicity Study of SARS-CoV-2 Nanoparticle Vaccine (GBP510) Adjuvanted With Aluminum Hydroxide (COVID-19)</t>
  </si>
  <si>
    <t>NCT05027581</t>
  </si>
  <si>
    <t>Chondrochymal® for Subjects With Knee Osteoarthritis (Knee OA)</t>
  </si>
  <si>
    <t>Taiwan Bio Therapeutics Inc.</t>
  </si>
  <si>
    <t>NCT04588428</t>
  </si>
  <si>
    <t>Safety, Tolerability and Immunogenicity of INO-4700 for MERS-CoV in Healthy Volunteers</t>
  </si>
  <si>
    <t>NCT05047692</t>
  </si>
  <si>
    <t>Safety and Immunogenicity Study of AdCLD-CoV19-1: A COVID-19 Preventive Vaccine in Healthy Volunteers</t>
  </si>
  <si>
    <t>NCT04684511</t>
  </si>
  <si>
    <t>Rofecoxib Efficacy and Safety Evaluation Trial in Hemophilic Arthropathy</t>
  </si>
  <si>
    <t>Tremeau Pharmceuticals, Inc.</t>
  </si>
  <si>
    <t>NCT04736134</t>
  </si>
  <si>
    <t>A Study to Evaluate the Safety, Tolerability, Drug Levels, and Drug Effects of BMS-986326 in Healthy Participants</t>
  </si>
  <si>
    <t>NCT04919863</t>
  </si>
  <si>
    <t>Safety, Tolerability and Pharmacokinetics of NTP42:KVA4</t>
  </si>
  <si>
    <t>ATXA Therapeutics Limited</t>
  </si>
  <si>
    <t>NCT05140512</t>
  </si>
  <si>
    <t>Pharmacokinetics, Pharmacodynamics and Safety of LY01005 in Patients With Prostate Cancer Compared to ZOLADEX®</t>
  </si>
  <si>
    <t>NCT04888949</t>
  </si>
  <si>
    <t>A Study of ADR-001 in Patients With Severe Pneumonia Caused by SARS-CoV-2 Infection (COVID-19)</t>
  </si>
  <si>
    <t>NCT04964934</t>
  </si>
  <si>
    <t>Phase III Study to Assess AZD9833+ CDK4/6 Inhibitor in HR+/HER2-MBC With Detectable ESR1m Before Progression (SERENA-6)</t>
  </si>
  <si>
    <t>NCT05321732</t>
  </si>
  <si>
    <t>The Drug Interaction of DWP16001 and DWC202010 After Oral Administration in Healthy Adults</t>
  </si>
  <si>
    <t>NCT04829916</t>
  </si>
  <si>
    <t>A Study to Evaluate RMC-035 in Subjects Undergoing Cardiac Surgery</t>
  </si>
  <si>
    <t>Guard Therapeutics AB</t>
  </si>
  <si>
    <t>NCT05033847</t>
  </si>
  <si>
    <t>Clinical Trial on Sequential Immunization of Recombinant COVID-19 Vaccine (CHO Cells) and Inactivated COVID-19 Vaccine (Vero Cells) in Population Aged 18 Years and Above</t>
  </si>
  <si>
    <t>NCT04272333</t>
  </si>
  <si>
    <t>Intratumoral Microdosing of Motolimod in HNSCC</t>
  </si>
  <si>
    <t>NCT04919226</t>
  </si>
  <si>
    <t>Lutetium 177Lu-Edotreotide Versus Best Standard of Care in Well-differentiated Aggressive Grade-2 and Grade-3 GastroEnteroPancreatic NeuroEndocrine Tumors (GEP-NETs) - COMPOSE</t>
  </si>
  <si>
    <t>ITM Solucin GmbH</t>
  </si>
  <si>
    <t>NCT05267743</t>
  </si>
  <si>
    <t>Study to Confirm the Safety and Efficacy of Tegoprazan in Patients With Healed Erosive Reflux Disease</t>
  </si>
  <si>
    <t>NCT05061563</t>
  </si>
  <si>
    <t>A Study to Learn How a Proton Pump Inhibitor Affects the Way Elinzanetant (BAY 3427080) Moves Into, Through and Out of the Body, and How Much of it Gets Absorbed by the Body When Taken as a Single and Small Radioactive Dose in Healthy Adults</t>
  </si>
  <si>
    <t>NCT04963738</t>
  </si>
  <si>
    <t>A Study of JNJ-73763989 in Adult Participants With Renal Impairment</t>
  </si>
  <si>
    <t>NCT05171855</t>
  </si>
  <si>
    <t>A Trial to Investigate Long Term Efficacy and Safety of Lonapegsomatropin in Adults With Growth Hormone Deficiency</t>
  </si>
  <si>
    <t>NCT04856085</t>
  </si>
  <si>
    <t>Study of VIR-2218, VIR-3434, and/or PEG-IFNα in Subjects With Chronic Hepatitis B Virus Infection</t>
  </si>
  <si>
    <t>NCT04729998</t>
  </si>
  <si>
    <t>Bioequivalence Study of Two Formulations of Rivaroxaban Tablets 20 mg in Healthy Male Volunteers Under Fed Conditions</t>
  </si>
  <si>
    <t>NCT04888585</t>
  </si>
  <si>
    <t>Study to Evaluate Adverse Events and Change in Disease Activity in Participants Between 18 to 75 Years of Age Treated With Subcutaneous (SC) Injections of ABBV-154 for Moderately to Severely Active Rheumatoid Arthritis (RA)</t>
  </si>
  <si>
    <t>NCT05198102</t>
  </si>
  <si>
    <t>ZF2001 Booster Immunization Clinical Trials of 12 Months After the Completion of Basic Immunization</t>
  </si>
  <si>
    <t>NCT05107336</t>
  </si>
  <si>
    <t>Study to Assess the Safety, Tolerability, and Pharmacokinetics (Movement of Drugs Within the Body) of AZD2693 in Healthy Participants</t>
  </si>
  <si>
    <t>NCT04120636</t>
  </si>
  <si>
    <t>Phase I Study of Episcleral Celecoxib for Treatment of Macular Edema and Inflammatory Disorders of the Posterior Pole</t>
  </si>
  <si>
    <t>Targeted Therapy Technologies, LLC</t>
  </si>
  <si>
    <t>NCT04814511</t>
  </si>
  <si>
    <t>Escalated Therapy of Scabies With INFECTOSCAB 5% (Permethrin)</t>
  </si>
  <si>
    <t>NCT05070728</t>
  </si>
  <si>
    <t>Safety and Efficacy of an Injectable Fluocinolone Acetonide Intravitreal (FAI) Insert</t>
  </si>
  <si>
    <t>NCT04986436</t>
  </si>
  <si>
    <t>Phase I Study to Evaluate Safety, Tolerability, and Pharmacokinetics of HS-10360 in Healthy Subjects.</t>
  </si>
  <si>
    <t>NCT05312567</t>
  </si>
  <si>
    <t>FP-101 Versus Placebo in the Treatment of Menopausal Vasomotor Symptoms</t>
  </si>
  <si>
    <t>Fervent Pharmaceuticals</t>
  </si>
  <si>
    <t>NCT04824092</t>
  </si>
  <si>
    <t>Tafasitamab + Lenalidomide + R-CHOP Versus R-CHOP in Newly Diagnosed High-intermediate and High Risk DLBCL Patients</t>
  </si>
  <si>
    <t>NCT05046132</t>
  </si>
  <si>
    <t>Study of Setmelanotide Effects on QTc (Corrected QT) Interval in Healthy Participants</t>
  </si>
  <si>
    <t>NCT04528667</t>
  </si>
  <si>
    <t>Study of the Safety and Efficacy of STI-5656 (Abivertinib Maleate) in Subjects Hospitalized Due to COVID-19</t>
  </si>
  <si>
    <t>NCT05145907</t>
  </si>
  <si>
    <t>Study to Evaluate Safety and Efficacy of TJ107 Combine With PD-1 in Patients With Solid Tumors</t>
  </si>
  <si>
    <t>NCT04905407</t>
  </si>
  <si>
    <t>Tamibarotene Plus Venetoclax/Azacitidine in Participants With Newly Diagnosed Acute Myeloid Leukemia (AML)</t>
  </si>
  <si>
    <t>NCT04956744</t>
  </si>
  <si>
    <t>A Study to Evaluate the Safety, Tolerability, and Exploratory Efficacy of IMS001 in Subjects With Multiple Sclerosis</t>
  </si>
  <si>
    <t>ImStem Biotechnology</t>
  </si>
  <si>
    <t>NCT04866134</t>
  </si>
  <si>
    <t>A Study of ERAS-007 as Monotherapy or in Combination With ERAS-601 in Patients With Advanced or Metastatic Solid Tumors</t>
  </si>
  <si>
    <t>NCT04738136</t>
  </si>
  <si>
    <t>Safety, Tolerability and Efficacy Of S-1226 in Moderate Severity Covid-19 Bronchiolitis/Pneumonia</t>
  </si>
  <si>
    <t>NCT05384977</t>
  </si>
  <si>
    <t>Mass Balance Study of NV-5138 in Healthy Male Subjects</t>
  </si>
  <si>
    <t>NCT04676867</t>
  </si>
  <si>
    <t>Effect of Dalcetrapib in Patients With Confirmed Mild to Moderate COVID-19</t>
  </si>
  <si>
    <t>DalCor Pharmaceuticals</t>
  </si>
  <si>
    <t>NCT04689932</t>
  </si>
  <si>
    <t>Triferic AVNU Infusion Via Freedom Pump During Hemodialysis</t>
  </si>
  <si>
    <t>NCT05110157</t>
  </si>
  <si>
    <t>Journey Study: Evaluate the Efficacy, Safety, and Tolerability of Valbenazine as Adjunctive Treatment for Schizophrenia</t>
  </si>
  <si>
    <t>NCT04732871</t>
  </si>
  <si>
    <t>Immunogenicity, Safety, Reactogenicity and Persistence of an Investigational Respiratory Syncytial Virus (RSV) Vaccine in Adults Aged 60 Years and Above</t>
  </si>
  <si>
    <t>NCT04897893</t>
  </si>
  <si>
    <t>Impact of 2.0g Daily of MAG-EPA on the AA/EPA Ratio and Inflammation Biomarkers in a Healthy Population Aged of 50+.</t>
  </si>
  <si>
    <t>SCF Pharma</t>
  </si>
  <si>
    <t>NCT05181137</t>
  </si>
  <si>
    <t>A Phase 3 Study to Investigate the Efficacy and Safety of SHR0302 With Moderately to Severely Active Ulcerative Colitis</t>
  </si>
  <si>
    <t>NCT04996875</t>
  </si>
  <si>
    <t>(Apex) Bezuclastinib in Patients With Advanced Systemic Mastocytosis</t>
  </si>
  <si>
    <t>Cogent Biosciences, Inc.</t>
  </si>
  <si>
    <t>NCT05005728</t>
  </si>
  <si>
    <t>XmAb®20717 (Vudalimab) Alone or in Combination With Chemotherapy or Targeted Therapy in Patients With Metastatic Castration-Resistant Prostate Cancer</t>
  </si>
  <si>
    <t>NCT04823702</t>
  </si>
  <si>
    <t>Study of Aldafermin (NGM282) in Participants With Impaired Hepatic Function</t>
  </si>
  <si>
    <t>NCT04930432</t>
  </si>
  <si>
    <t>Study of MCLA-129, a Human Bispecific EGFR and cMet Antibody, in Patients With Advanced NSCLC and Other Solid Tumors</t>
  </si>
  <si>
    <t>NCT04977336</t>
  </si>
  <si>
    <t>A Study Evaluating Efficacy and Safety of VX-548 for Acute Pain After a Bunionectomy</t>
  </si>
  <si>
    <t>NCT04898907</t>
  </si>
  <si>
    <t>Study Developed to Evaluate the Effect of ANG-3777 on QT/QTc Interval</t>
  </si>
  <si>
    <t>NCT04957914</t>
  </si>
  <si>
    <t>A Study of LY3209590 on Low Blood Sugar in Participants With Type 2 Diabetes Mellitus</t>
  </si>
  <si>
    <t>NCT05097716</t>
  </si>
  <si>
    <t>Study to Evaluate the Effect of Multiple-Dose Ritlecitinib on the Pharmacokinetics (PK) of Tolbutamide</t>
  </si>
  <si>
    <t>NCT05105048</t>
  </si>
  <si>
    <t>A Study to Evaluate the Safety, Reactogenicity, and Immunogenicity of Cytomegalovirus (CMV) Vaccine mRNA-1647</t>
  </si>
  <si>
    <t>NCT04526899</t>
  </si>
  <si>
    <t>A Study to Investigate the Novel Agent BNT111 and Cemiplimab in Combination or as Single Agents in Patients With Advanced Melanoma That Has Not Responded to Other Forms of Treatment</t>
  </si>
  <si>
    <t>NCT04878406</t>
  </si>
  <si>
    <t>A Research Study of How the Medicine NNC0480-0389 Taken With Semaglutide Works in the Body of Healthy Japanese Men</t>
  </si>
  <si>
    <t>NCT04945616</t>
  </si>
  <si>
    <t>To Evaluate the Safety and Tolerability of Combined Administration of SHR2285 Tablets With Aspirin, Clopidogrel or Ticagrelor in Healthy Subjects</t>
  </si>
  <si>
    <t>NCT05151744</t>
  </si>
  <si>
    <t>A Study to Investigate Vamikibart (RO7200220) in Combination With Ranibizumab in Diabetic Macular Edema</t>
  </si>
  <si>
    <t>NCT05470764</t>
  </si>
  <si>
    <t>Bioequivalence Study of 8 mg Perindopril Tert-Butylamine / 2.5 mg Indapamide / 10 mg Amlodipine Tablets Versus 10 mg Perindopril Arginine / 2.5 mg Indapamide / 10 mg Amlodipine Film-Coated Tablets in Healthy Volunteers</t>
  </si>
  <si>
    <t>NCT04903314</t>
  </si>
  <si>
    <t>Dose-Escalation Study of Cenobamate (YKP3089) in Pediatric Subjects With Partial-Onset Seizures</t>
  </si>
  <si>
    <t>NCT04729621</t>
  </si>
  <si>
    <t>A Study to Test if TVB-009P is Effective in Relieving Postmenopausal Osteoporosis</t>
  </si>
  <si>
    <t>NCT05138458</t>
  </si>
  <si>
    <t>A Study of MT-101 in Subjects With CD5+ Relapsed/Refractory TCL</t>
  </si>
  <si>
    <t>Myeloid Therapeutics</t>
  </si>
  <si>
    <t>NCT04701411</t>
  </si>
  <si>
    <t>A Study of Darvadstrocel for Treating Complex Perianal Fistulas in Children and Teenagers With Crohn's Disease</t>
  </si>
  <si>
    <t>NCT04839744</t>
  </si>
  <si>
    <t>A Comparative Study of TG103 Produced by Two Manufacturing Processes in Chinese Healthy Male Subjects</t>
  </si>
  <si>
    <t>NCT04272034</t>
  </si>
  <si>
    <t>Safety, Tolerability, Pharmacokinetics, and Pharmacodynamics of INCB099318 in Participants With Advanced Solid Tumors</t>
  </si>
  <si>
    <t>NCT04702464</t>
  </si>
  <si>
    <t>A Study to Evaluate the Effect of a Dual CYP2C19 and CYP3A4 Inhibitor, Fluconazole, on the Pharmacokinetics of Fedratinib in Healthy Adult Subjects</t>
  </si>
  <si>
    <t>NCT04730258</t>
  </si>
  <si>
    <t>A Study of CFI-400945 With or Without Azacitidine in Patients With AML, MDS or CMML</t>
  </si>
  <si>
    <t>NCT04894071</t>
  </si>
  <si>
    <t>QA102 Phase 1 Study in Healthy Young and Older Adult Subjects</t>
  </si>
  <si>
    <t>Smilebiotek Zhuhai Limited</t>
  </si>
  <si>
    <t>NCT05007106</t>
  </si>
  <si>
    <t>MK-7684A With or Without Other Anticancer Therapies in Participants With Selected Solid Tumors (MK-7684A-005) (KEYVIBE-005)</t>
  </si>
  <si>
    <t>NCT04964544</t>
  </si>
  <si>
    <t>Technology-Assisted Cholesterol Trial in Consumers (TACTiC)</t>
  </si>
  <si>
    <t>NCT04693351</t>
  </si>
  <si>
    <t>A Study to Evaluate the Efficacy and Safety of Adjunctive Troriluzole in Obsessive-Compulsive Disorder</t>
  </si>
  <si>
    <t>NCT05134441</t>
  </si>
  <si>
    <t>Study to Evaluate the Efficacy, Safety, and Tolerability of IMU-838 in Patients With Relapsing Multiple Sclerosis</t>
  </si>
  <si>
    <t>NCT04892641</t>
  </si>
  <si>
    <t>Phase 1 Study of Epetraborole Tablets</t>
  </si>
  <si>
    <t>AN2 Therapeutics, Inc</t>
  </si>
  <si>
    <t>NCT04841369</t>
  </si>
  <si>
    <t>Phase III Clinical Trial of a Candidate PCV13 in Healthy People Aged 6 Weeks and Above (PICTPCV13i)</t>
  </si>
  <si>
    <t>NCT04950166</t>
  </si>
  <si>
    <t>A Study to Evaluate ONM100, an Intraoperative Fluor Imaging Agent for the Detection of Peri Mets</t>
  </si>
  <si>
    <t>OncoNano Medicine, Inc.</t>
  </si>
  <si>
    <t>NCT04750902</t>
  </si>
  <si>
    <t>A Clinical Trial to Assess the Safety and the Anti-caries Efficacy of COL 101 (Arginine) Non-fluoride Dentifrices in Comparison With 0.24% Sodium Fluoride (1100 Ppm F) Dentifrice Control in 10 to 14-year-old Children</t>
  </si>
  <si>
    <t>NCT04492488</t>
  </si>
  <si>
    <t>A Study of MRG002 in Patients with HER2-Positive Advanced Solid Tumors and Locally Advanced or Metastatic Gastric/Gastroesophageal Junction (GEJ) Cancer</t>
  </si>
  <si>
    <t>NCT04697069</t>
  </si>
  <si>
    <t>A Study to Evaluate of the Efficacy and Safety of Imsidolimab (ANB019) in the Treatment of Acneiform Rash</t>
  </si>
  <si>
    <t>NCT03905902</t>
  </si>
  <si>
    <t>DCVAC/OvCa and Standard of Care (SoC) in Relapsed Ovarian, Fallopian Tube, and Primary Peritoneal Carcinoma</t>
  </si>
  <si>
    <t>SOTIO a.s.</t>
  </si>
  <si>
    <t>NCT05712902</t>
  </si>
  <si>
    <t>Sunvozertinib (DZD9008) in Pretreated Lung Cancer Patients with EGFR Exon20 Insertion Mutation (WU-KONG6)</t>
  </si>
  <si>
    <t>NCT04720157</t>
  </si>
  <si>
    <t>An International Prospective Open-label, Randomized, Phase III Study Comparing 177Lu-PSMA-617 in Combination With Standard of Care (SoC), Versus SoC Alone, in Adult Male Patients With Metastatic Hormone Sensitive Prostate Cancer (mHSPC)</t>
  </si>
  <si>
    <t>NCT04942301</t>
  </si>
  <si>
    <t>PK Study for Endostar Continuous Intravenous Infusion in NSCLC Patients With 1st-line Platinum Based Chemotherapy</t>
  </si>
  <si>
    <t>NCT03508453</t>
  </si>
  <si>
    <t>IC14 for Treatment of Amyotrophic Lateral Sclerosis</t>
  </si>
  <si>
    <t>Implicit Bioscience</t>
  </si>
  <si>
    <t>NCT04789577</t>
  </si>
  <si>
    <t>A Study to Evaluate the Safety and Immunogenicity of GlaxoSmithKline Biologicals' Influenza Vaccine GSK3206641A Administered in Adults 18 to 64 Years of Age and 65 Years of Age and Older</t>
  </si>
  <si>
    <t>NCT04375800</t>
  </si>
  <si>
    <t>Doravirine (DOR) in Human Immunodeficiency Virus (HIV)-Infected Children Aged 4 Weeks to &lt;12 Years and &lt;45 kg (MK-1439-066)</t>
  </si>
  <si>
    <t>NCT06109428</t>
  </si>
  <si>
    <t>A Multi-surgery Assessment of ZYNRELEF (HTX-011), AMAZE</t>
  </si>
  <si>
    <t>NCT05020457</t>
  </si>
  <si>
    <t>SI-B001 Combined With Chemotherapy in the Treatment of EGFR/ALK WT Recurrent or Metastatic NSCLC.</t>
  </si>
  <si>
    <t>NCT05155319</t>
  </si>
  <si>
    <t>Universal Influenza A Vaccine in Healthy Adults</t>
  </si>
  <si>
    <t>NCT06076681</t>
  </si>
  <si>
    <t>A Study to Evaluate Preliminary Helicobacter Pylori Eradication After Multiple Doses of TNP-2198 Capsules Combined With Rabeprazole Sodium Enteric-coated Tablets, or Rabeprazole Sodium Enteric-coated Tablets and Amoxicillin Capsules</t>
  </si>
  <si>
    <t>NCT05105295</t>
  </si>
  <si>
    <t>Immunogenicity and Safety of a Third Dose and Immune Persistence of BBIBP-Corv Vaccine in People With HIV Infected</t>
  </si>
  <si>
    <t>NCT05039177</t>
  </si>
  <si>
    <t>A Study of ERAS-007 in Patients With Advanced Gastrointestinal Malignancies</t>
  </si>
  <si>
    <t>NCT05447195</t>
  </si>
  <si>
    <t>Phase 2 Study of CAN008 in Subjects With GBM</t>
  </si>
  <si>
    <t>CANbridge Life Sciences Ltd.</t>
  </si>
  <si>
    <t>NCT04799353</t>
  </si>
  <si>
    <t>Study to Evaluate the Safety and How the Body Handles a Single Dose of Subcutaneous (SC) and Intravenous (IV) Budigalimab in Adult Participants Living With Human Immunodeficiency Virus (HIV)</t>
  </si>
  <si>
    <t>NCT02194751</t>
  </si>
  <si>
    <t>Oncoquest-L Vaccine in Patients With Previously Untreated Stage III or IV, Asymptomatic, Non-bulky Follicular Lymphoma</t>
  </si>
  <si>
    <t>XEME Biopharma Inc.</t>
  </si>
  <si>
    <t>NCT05010525</t>
  </si>
  <si>
    <t>A Study to Assess the Safety, Pharmacokinetics, and Preliminary Efficacy of ATG 016 Monotherapy in Patients With Advanced Solid Tumors</t>
  </si>
  <si>
    <t>NCT05004350</t>
  </si>
  <si>
    <t>A Study Evaluating the Combination of Encorafenib and Cetuximab Versus Irinotecan/Cetuximab or Infusional 5-fluorouracil (5-FU)/Folinic Acid (FA)/Irinotecan (FOLFIRI)/Cetuximab in Chinese Patients With BRAF V600E Mutant Metastatic Colorectal Cancer.</t>
  </si>
  <si>
    <t>NCT05091541</t>
  </si>
  <si>
    <t>A Phase 1/2 Study of CT120 in Patient With Relapsed/Refractory B-cell Non-Hodgkin's Lymphoma</t>
  </si>
  <si>
    <t>NCT04972227</t>
  </si>
  <si>
    <t>Study to Assess the Safety and Pharmacokinetics of CY6463 in Participants With Stable Schizophrenia</t>
  </si>
  <si>
    <t>NCT05160389</t>
  </si>
  <si>
    <t>A Study to Assess the Effect of Food on the Absorption and Bioavailability of PBI-200</t>
  </si>
  <si>
    <t>Pyramid Biosciences</t>
  </si>
  <si>
    <t>NCT05862974</t>
  </si>
  <si>
    <t>A Dose-escalation Study of LPM3480392 in Chinese Healthy Subjects</t>
  </si>
  <si>
    <t>NCT05158491</t>
  </si>
  <si>
    <t>Safety, Tolerability and Preliminary Efficacy of JK1201I in Patients With SCLC</t>
  </si>
  <si>
    <t>JenKem Technology Co., Ltd.</t>
  </si>
  <si>
    <t>NCT04775680</t>
  </si>
  <si>
    <t>Study of ADG106 In Combination With PD-1 Antibody In Advanced or Metastatic Solid Tumors and/or Non Hodgkin Lymphoma</t>
  </si>
  <si>
    <t>Adagene (Suzhou) Limited</t>
  </si>
  <si>
    <t>NCT04398680</t>
  </si>
  <si>
    <t>A Study of Belantamab Mafodotin in Multiple Myeloma Participants With Normal and Impaired Hepatic Function</t>
  </si>
  <si>
    <t>NCT05163080</t>
  </si>
  <si>
    <t>SurVaxM Plus Adjuvant Temozolomide for Newly Diagnosed Glioblastoma (SURVIVE)</t>
  </si>
  <si>
    <t>MimiVax, LLC</t>
  </si>
  <si>
    <t>NCT04802746</t>
  </si>
  <si>
    <t>A Study to Assess the Pulmonary Safety of Staccato Alprazolam in Healthy Study Participants and in Study Participants With Mild Asthma</t>
  </si>
  <si>
    <t>NCT04667897</t>
  </si>
  <si>
    <t>601 Versus Ranibizumab in Patients With Branch Retinal Vein Occlusion (BRVO)</t>
  </si>
  <si>
    <t>NCT05039710</t>
  </si>
  <si>
    <t>A Study of JNJ-75220795 in Japanese Participants</t>
  </si>
  <si>
    <t>NCT04708210</t>
  </si>
  <si>
    <t>Study of the Efficacy and Safety of IBI319 in Patients With Advanced Malignant Tumors</t>
  </si>
  <si>
    <t>NCT04868162</t>
  </si>
  <si>
    <t>A Study to Evaluate the Efficacy and Safety of MRG003 in Patients With Recurrent or Metastatic Squamous Cell Carcinoma of Head and Neck</t>
  </si>
  <si>
    <t>NCT04908683</t>
  </si>
  <si>
    <t>A Study of an Adenovirus Serotype 26 Pre-fusion Conformation-stabilized F Protein (Ad26. RSV. preF) Based Respiratory Syncytial Virus (RSV) Vaccine in the Prevention of Lower Respiratory Tract Disease in Adults Aged 60 Years and Older</t>
  </si>
  <si>
    <t>NCT04777994</t>
  </si>
  <si>
    <t>Study With ABBV-CLS-484 in Participants With Locally Advanced or Metastatic Tumors</t>
  </si>
  <si>
    <t>Calico Life Sciences LLC</t>
  </si>
  <si>
    <t>NCT04551066</t>
  </si>
  <si>
    <t>To Evaluate the Efficacy and Safety of Parsaclisib and Ruxolitinib in Participants With Myelofibrosis (LIMBER-313)</t>
  </si>
  <si>
    <t>NCT04994002</t>
  </si>
  <si>
    <t>A Pharmacokinetic, Pharmacodynamic, Safety and Tolerability Study of CERC-006 in Adults With Complex Lymphatic Malformations</t>
  </si>
  <si>
    <t>NCT04267237</t>
  </si>
  <si>
    <t>A Study of the Efficacy and Safety of RO7198457 in Combination With Atezolizumab Versus Atezolizumab Alone Following Adjuvant Platinum-Doublet Chemotherapy in Participants Who Are ctDNA Positive After Surgical Resection of Stage II-III Non-Small Cell Lung Cancer</t>
  </si>
  <si>
    <t>NCT04683029</t>
  </si>
  <si>
    <t>A Study of Guselkumab in Participants With Systemic Sclerosis</t>
  </si>
  <si>
    <t>NCT04356677</t>
  </si>
  <si>
    <t>Study to Evaluate the Safety and Efficacy of VIRAZOLE® in Hospitalized Adult Participants With Respiratory Distress Due to COVID-19_#2</t>
  </si>
  <si>
    <t>NCT05030857</t>
  </si>
  <si>
    <t>Drug-drug Interaction and Food-effect Study With GLPG4716 and Midazolam in Healthy Subjects</t>
  </si>
  <si>
    <t>NCT05110261</t>
  </si>
  <si>
    <t>Evaluate the Safety and Efficacy of Nirsevimab in Healthy Preterm and Term Infants in China</t>
  </si>
  <si>
    <t>NCT04937829</t>
  </si>
  <si>
    <t>A Study to Test How Well Different Doses of BI 1569912 Are Tolerated and How Well They Work in People With Depression Who Take Anti-depressive Medication</t>
  </si>
  <si>
    <t>NCT04902872</t>
  </si>
  <si>
    <t>Study of CBX-12 in Subjects With Advanced or Metastatic Refractory Solid Tumors</t>
  </si>
  <si>
    <t>Cybrexa Therapeutics</t>
  </si>
  <si>
    <t>NCT04631562</t>
  </si>
  <si>
    <t>Study of ALXN1820 in Healthy Adult Participants</t>
  </si>
  <si>
    <t>NCT04826003</t>
  </si>
  <si>
    <t>Study To Evaluate Safety, Pharmacokinetics, Pharmacodynamics, And Preliminary Anti-Tumor Activity Of RO7122290 In Combination With Cibisatamab With Obinutuzumab Pre-Treatment</t>
  </si>
  <si>
    <t>NCT04649073</t>
  </si>
  <si>
    <t>Safety and Efficacy Study of OPC-415 in Patients With Relapsed and/or Refractory Multiple Myeloma</t>
  </si>
  <si>
    <t>NCT04913272</t>
  </si>
  <si>
    <t>Clinical Trial To Evaluate Safety And Efficacy Of KT-301 (Formerly US-APR2020) In Subjects With Chronic Kidney Disease Stage IV</t>
  </si>
  <si>
    <t>Kibow Pharma</t>
  </si>
  <si>
    <t>NCT04960072</t>
  </si>
  <si>
    <t>A Study of GC101 TIL in r/r Gastrointestinal Tumors (10hospital)</t>
  </si>
  <si>
    <t>NCT04793295</t>
  </si>
  <si>
    <t>Study to Investigate Drug-Drug Interaction Between MT-7117 and Test Drugs in Healthy Subjects</t>
  </si>
  <si>
    <t>NCT07030439</t>
  </si>
  <si>
    <t>A Bioequivalence Study to Compare Senaparib Manufactured at 2 Sites in Healthy Subjects in Fasting State</t>
  </si>
  <si>
    <t>NCT04871724</t>
  </si>
  <si>
    <t>Drug-Drug Interaction Study Between Fluconazole and EDP-938 in Healthy Subjects</t>
  </si>
  <si>
    <t>NCT04928222</t>
  </si>
  <si>
    <t>Placebo Microneedles in Healthy Volunteers (Part I) and Efficacy/Safety of Doxorubicin Microneedles in Basal Cell Cancer Subjects (Part II)</t>
  </si>
  <si>
    <t>NCT04729751</t>
  </si>
  <si>
    <t>A Study to Evaluate the Safety and Tolerability of Maralixibat in Infant Participants With Cholestatic Liver Diseases Including Progressive Familial Intrahepatic Cholestasis (PFIC) and Alagille Syndrome (ALGS).</t>
  </si>
  <si>
    <t>NCT04659096</t>
  </si>
  <si>
    <t>A Study of ION537 in Patients With Molecularly Selected Advanced Solid Tumors</t>
  </si>
  <si>
    <t>NCT05102266</t>
  </si>
  <si>
    <t>A Clinical Trial to Compare the Pharmacokinetics and Safety of "BR1016C" With "BR1016D" in Healthy Volunteers</t>
  </si>
  <si>
    <t>NCT05090566</t>
  </si>
  <si>
    <t>MagnetisMM-4: Umbrella Study of Elranatamab (PF-06863135) in Combination With Anti-Cancer Treatments in Multiple Myeloma</t>
  </si>
  <si>
    <t>NCT04794972</t>
  </si>
  <si>
    <t>A Study of GNC-039, a Tetra-specific Antibody, in Participants With Relapsed/Refractory or Metastatic Solid Tumors</t>
  </si>
  <si>
    <t>NCT04760769</t>
  </si>
  <si>
    <t>Open-label Trial in Parkinson's Disease (PD)</t>
  </si>
  <si>
    <t>NCT04418466</t>
  </si>
  <si>
    <t>Safety, Tolerability, and Pharmacokinetics of Switching From Oral Risperidone to Risperidone Implant</t>
  </si>
  <si>
    <t>Delpor, Inc.</t>
  </si>
  <si>
    <t>NCT04871737</t>
  </si>
  <si>
    <t>Study of a Live rNDV Based Vaccine Against COVID-19</t>
  </si>
  <si>
    <t>Laboratorio Avi-Mex, S.A. de C.V.</t>
  </si>
  <si>
    <t>NCT04571645</t>
  </si>
  <si>
    <t>Dociparstat in Combination With Standard Chemotherapy for the Treatment of Acute Myeloid Leukemia</t>
  </si>
  <si>
    <t>NCT04469062</t>
  </si>
  <si>
    <t>A Study of Mirikizumab (LY3074828) in Participants With Ulcerative Colitis</t>
  </si>
  <si>
    <t>NCT04791553</t>
  </si>
  <si>
    <t>Safety Study of Cenobamate in Subjects With Normal Hepatic Function and Subjects With Severe Hepatic Impairment</t>
  </si>
  <si>
    <t>NCT05008445</t>
  </si>
  <si>
    <t>Study of LM-102 in Patients With Advance Solid Tumors</t>
  </si>
  <si>
    <t>LaNova Medicines Development Co., Ltd.</t>
  </si>
  <si>
    <t>NCT04739761</t>
  </si>
  <si>
    <t>A Study of T-DXd in Participants With or Without Brain Metastasis Who Have Previously Treated Advanced or Metastatic HER2 Positive Breast Cancer</t>
  </si>
  <si>
    <t>NCT05030311</t>
  </si>
  <si>
    <t>A Phase 3 Study of Efficacy and Safety of Remibrutinib in the Treatment of CSU in Adults Inadequately Controlled by H1 Antihistamines</t>
  </si>
  <si>
    <t>NCT04849299</t>
  </si>
  <si>
    <t>Effect of Cyclosporine on the Pharmacokinetics (PK) of AT-527 (R07496998)</t>
  </si>
  <si>
    <t>NCT04940949</t>
  </si>
  <si>
    <t>A Study to Evaluate Lu AF90103 in Healthy Men</t>
  </si>
  <si>
    <t>NCT05039658</t>
  </si>
  <si>
    <t>Efficacy and Safety of IBI110 Single Agent and in Combination With Sintilimab in Patients With Relapsed or Refractory Diffuse Large B Cell Lymphoma (r/r DLBCL)</t>
  </si>
  <si>
    <t>NCT05005455</t>
  </si>
  <si>
    <t>Study of Bevacizumab With Different Manufacturing Process in Healthy Male Subjects</t>
  </si>
  <si>
    <t>NCT05134948</t>
  </si>
  <si>
    <t>A Study to Assess Relatlimab and Nivolumab Fixed-dose Combination in Chinese Participants With Advanced Solid Tumors</t>
  </si>
  <si>
    <t>NCT04858425</t>
  </si>
  <si>
    <t>Safety and Efficacy of Niclosamide in Patients With COVID-19 With Gastrointestinal Infection</t>
  </si>
  <si>
    <t>NCT04745832</t>
  </si>
  <si>
    <t>Phase 3 Study of Zandelisib (ME-401) in Combination With Rituximab in Patients With iNHL - (COASTAL)</t>
  </si>
  <si>
    <t>MEI Pharma, Inc.</t>
  </si>
  <si>
    <t>NCT04844463</t>
  </si>
  <si>
    <t>A Study of JNJ-68179280 in Healthy Participants</t>
  </si>
  <si>
    <t>NCT04665843</t>
  </si>
  <si>
    <t>A Study of Atezolizumab Plus Tiragolumab and Atezolizumab Plus Placebo as First-Line Treatment in Participants With Recurrent/Metastatic PD-L1 Positive Squamous Cell Carcinoma of the Head and Neck</t>
  </si>
  <si>
    <t>NCT04958785</t>
  </si>
  <si>
    <t>Study of Magrolimab Combination Therapy in Patients With Non-Surgically Removable Locally Advanced or Metastatic Triple-Negative Breast Cancer</t>
  </si>
  <si>
    <t>NCT04838847</t>
  </si>
  <si>
    <t>A Study to Evaluate the Immunogenicity and Safety of the SARS-CoV-2 mRNA Vaccine CVnCoV in Elderly Adults Compared to Younger Adults for COVID-19</t>
  </si>
  <si>
    <t>NCT04677504</t>
  </si>
  <si>
    <t>A Study of Atezolizumab With or Without Bevacizumab in Combination With Cisplatin Plus Gemcitabine in Patients With Untreated, Advanced Biliary Tract Cancer</t>
  </si>
  <si>
    <t>NCT05094804</t>
  </si>
  <si>
    <t>A Study of OR2805, a Monoclonal Antibody Targeting CD163, Alone and in Combination With Anticancer Agents</t>
  </si>
  <si>
    <t>OncoResponse, Inc.</t>
  </si>
  <si>
    <t>NCT04964258</t>
  </si>
  <si>
    <t>A Study of TAK-105 in Healthy Adults</t>
  </si>
  <si>
    <t>NCT04984434</t>
  </si>
  <si>
    <t>Phase 1 Study of F182112 in Patients With Relapsed or Refractory Multiple Myeloma</t>
  </si>
  <si>
    <t>NCT05085548</t>
  </si>
  <si>
    <t>ProAgio in Previously Treated Advanced Pancreatic Cancer and Other Solid Tumor Malignancies</t>
  </si>
  <si>
    <t>ProDa BioTech, LLC</t>
  </si>
  <si>
    <t>NCT04961658</t>
  </si>
  <si>
    <t>Advanced Mesenchymal Enhanced Cell THerapY for SepTic Patients</t>
  </si>
  <si>
    <t>Northern Therapeutics</t>
  </si>
  <si>
    <t>NCT04951778</t>
  </si>
  <si>
    <t>Study to Evaluate Safety and Tolerability of CC-91633 (BMS-986397) in Participants With Relapsed or Refractory Acute Myeloid Leukemia or Relapsed or Refractory Higher-Risk Myelodysplastic Syndromes</t>
  </si>
  <si>
    <t>NCT04864743</t>
  </si>
  <si>
    <t>A Study to Evaluate the Pharmacokinetics，Safety and Tolerability of PEG Recombinant Human Coagulation Factor VIII-Fc Fusion Protein for Injection</t>
  </si>
  <si>
    <t>Hangzhou Gensciences Biopharmaceutical Co., Ltd.</t>
  </si>
  <si>
    <t>NCT04660643</t>
  </si>
  <si>
    <t>A Study of Tirzepatide (LY3298176) in Participants With Obesity or Overweight for the Maintenance of Weight Loss</t>
  </si>
  <si>
    <t>NCT04983043</t>
  </si>
  <si>
    <t>Efficacy and Safety of QiShen YiQi Dripping Pills in Chronic Heart Failure</t>
  </si>
  <si>
    <t>NCT04320940</t>
  </si>
  <si>
    <t>Efficacy and Safety of Intravenous Phenobarbital in Neonatal Seizures</t>
  </si>
  <si>
    <t>NEMA Research, Inc.</t>
  </si>
  <si>
    <t>NCT05059587</t>
  </si>
  <si>
    <t>Study to Evaluate the Efficacy and Safety of MBA-P01 in Subjects With Glabellar Lines</t>
  </si>
  <si>
    <t>NCT05047263</t>
  </si>
  <si>
    <t>A Trial to Learn How Well Finerenone Works and How Safe it is in Adult Participants With Non-diabetic Chronic Kidney Disease</t>
  </si>
  <si>
    <t>NCT05100316</t>
  </si>
  <si>
    <t>Screening Protocol for Preliminary Eligibility Determination for Adoptive Cell Therapy Trials</t>
  </si>
  <si>
    <t>NCT04966325</t>
  </si>
  <si>
    <t>Thorough QT (TQT) Study to Evaluate the Effect of LC350189 on Cardiac Repolarization in Healthy Male and Female Subjects</t>
  </si>
  <si>
    <t>NCT04577820</t>
  </si>
  <si>
    <t>Study to Assess the Efficacy and Safety of Garetosmab in Japanese Adult Patients With Fibrodysplasia Ossificans Progressiva (FOP)</t>
  </si>
  <si>
    <t>NCT05192382</t>
  </si>
  <si>
    <t>A Study to Evaluate the Safety and Efficacy of Paltusotine for the Treatment of Acromegaly (PATHFNDR-2)</t>
  </si>
  <si>
    <t>NCT04398485</t>
  </si>
  <si>
    <t>A Study of ION251 Administered to Patients With Relapsed/Refractory Multiple Myeloma</t>
  </si>
  <si>
    <t>NCT04565990</t>
  </si>
  <si>
    <t>A Study of Selexipag in Participants Who Participated in a Previous Selexipag Study</t>
  </si>
  <si>
    <t>NCT05485948</t>
  </si>
  <si>
    <t>A Study to Access Efficacy and Safety of P1101 in Chinese PV Patients Who Are Intolerant or Resistance to HU</t>
  </si>
  <si>
    <t>NCT05188989</t>
  </si>
  <si>
    <t>Efficacy and Safety Study of TPN171H Tablets in Erectile Dysfunction.</t>
  </si>
  <si>
    <t>NCT04699968</t>
  </si>
  <si>
    <t>A Trial of SHR-1701 With or Without Famitinib in Patients With Advanced or Metastatic NSCLC</t>
  </si>
  <si>
    <t>NCT04772989</t>
  </si>
  <si>
    <t>A Study to Evaluate AB308 in Combination With AB122 in Participants With Advanced Malignancies</t>
  </si>
  <si>
    <t>NCT04718740</t>
  </si>
  <si>
    <t>A Drug-drug Interaction Study Of Fluzoparib (SHR3162) on Patients With Recurrent Ovarian Cancer</t>
  </si>
  <si>
    <t>NCT04965818</t>
  </si>
  <si>
    <t>Phase 1b/2 Study of Futibatinib in Combination With Binimetinib in Patients With Advanced KRAS Mutant Cancer</t>
  </si>
  <si>
    <t>NCT04856358</t>
  </si>
  <si>
    <t>A Study to Evaluate How Well Single and Multiple Doses of GLPG3121-modified Release Formulation Are Tolerated in Healthy, Adult Subjects</t>
  </si>
  <si>
    <t>NCT05093855</t>
  </si>
  <si>
    <t>Efficacy and Safety Study of BDB-001 Injection in Patients With Moderate to Severe Hidradenitis Suppurativa (HS)</t>
  </si>
  <si>
    <t>NCT05008055</t>
  </si>
  <si>
    <t>Study of Capivasertib in Relapsed or Refractory B-cell Non-Hodgkin Lymphoma</t>
  </si>
  <si>
    <t>NCT04627025</t>
  </si>
  <si>
    <t>Trial to Evaluate Efficacy and Safety of Apraglutide in SBS-IF</t>
  </si>
  <si>
    <t>NCT05152576</t>
  </si>
  <si>
    <t>A Study To Assess the Adverse Effects and Change in Condition of OnabotulinumtoxinA X Injection in Adult Participants With Forehead Lines</t>
  </si>
  <si>
    <t>NCT04907474</t>
  </si>
  <si>
    <t>Evaluation of Pupil Dilation Speed With the MAP Dispenser</t>
  </si>
  <si>
    <t>NCT05006521</t>
  </si>
  <si>
    <t>Single and Multiple Ascending Dose Study of KN-002</t>
  </si>
  <si>
    <t>Kinaset Therapeutics Inc</t>
  </si>
  <si>
    <t>NCT04913285</t>
  </si>
  <si>
    <t>A Study to Evaluate KIN-2787 in Participants With BRAF and/or NRAS Mutation Positive Solid Tumors</t>
  </si>
  <si>
    <t>NCT04801017</t>
  </si>
  <si>
    <t>A Study to Evaluate the Safety and Efficacy of OT-101+Artemisinin in Hospitalized COVID-19 Subjects</t>
  </si>
  <si>
    <t>Oncotelic Inc.</t>
  </si>
  <si>
    <t>NCT04863417</t>
  </si>
  <si>
    <t>Study to Evaluate the Safety, Local and Systemic Tolerability, and Pharmacokinetics of Multiple-Dose Topical Administration of PF-07038124 in Japanese Healthy Participants</t>
  </si>
  <si>
    <t>NCT04837235</t>
  </si>
  <si>
    <t>Multiple Ascending Dose Study to Assess Safety and Pharmacokinetics of Hemay005 In Healthy Subjects</t>
  </si>
  <si>
    <t>NCT05132413</t>
  </si>
  <si>
    <t>A Study of SHR-1701 Plus Bevacizumab and Chemotherapy in Non-Small-Cell-Lung-Cancer</t>
  </si>
  <si>
    <t>NCT05437289</t>
  </si>
  <si>
    <t>A Study to Evaluate the Safety and Tolerability of AZD7442 in Healthy Chinese Adults</t>
  </si>
  <si>
    <t>NCT04759768</t>
  </si>
  <si>
    <t>Pharmacokinetic Evaluation of Intranasal Nalmefene</t>
  </si>
  <si>
    <t>NCT04844840</t>
  </si>
  <si>
    <t>A Study for Safety and Efficacy Evaluation of Various Doses of STP705 in Reducing Keloid Recurrence</t>
  </si>
  <si>
    <t>NCT04737850</t>
  </si>
  <si>
    <t>Hetrombopag for Pediatric Patients With Chronic Immune Thrombocytopenia</t>
  </si>
  <si>
    <t>NCT04886518</t>
  </si>
  <si>
    <t>Safety and Efficacy of Pitolisant on Excessive Daytime Sleepiness and Other Non-Muscular Symptoms in Patients With Myotonic Dystrophy Type 1</t>
  </si>
  <si>
    <t>NCT05169710</t>
  </si>
  <si>
    <t>A Clinical Study of an Investigational Drug for the Treatment of Major Depressive Episode Associated With Bipolar I Disorder.</t>
  </si>
  <si>
    <t>NCT05131997</t>
  </si>
  <si>
    <t>A Study to Evaluate the Efficacy and Safety of AD-221 and AD-221A</t>
  </si>
  <si>
    <t>NCT04838613</t>
  </si>
  <si>
    <t>Study of Diagnostic Performance of [18F]CTT1057 in BCR</t>
  </si>
  <si>
    <t>NCT04667910</t>
  </si>
  <si>
    <t>601 Versus Ranibizumab in Patients With Central Retinal Vein Occlusion (CRVO)</t>
  </si>
  <si>
    <t>NCT04810078</t>
  </si>
  <si>
    <t>A Study of Subcutaneous Nivolumab Versus Intravenous Nivolumab in Participants With Previously Treated Clear Cell Renal Cell Carcinoma That is Advanced or Has Spread</t>
  </si>
  <si>
    <t>NCT04752215</t>
  </si>
  <si>
    <t>A Study Evaluating Different Doses of BI 765049 When Given Alone and When Given With Ezabenlimab to Patients With Advanced Solid Tumors Expressing the Protein B7-H6 on the Cell Surface</t>
  </si>
  <si>
    <t>NCT05117489</t>
  </si>
  <si>
    <t>A Study Evaluating the Safety, Efficacy, and Pharmacokinetics of Miricorilant in Patients With Presumed Nonalcoholic Steatohepatitis (NASH)</t>
  </si>
  <si>
    <t>NCT04830215</t>
  </si>
  <si>
    <t>Brexpiprazole as Adjunctive Therapy in Adults With Major Depressive Disorder</t>
  </si>
  <si>
    <t>NCT05012735</t>
  </si>
  <si>
    <t>A Study of a Hydrocolloid Bandage on Pimples</t>
  </si>
  <si>
    <t>NCT04569435</t>
  </si>
  <si>
    <t>Study of ANX005 in Adults With Amyotrophic Lateral Sclerosis (ALS)</t>
  </si>
  <si>
    <t>NCT04879017</t>
  </si>
  <si>
    <t>FHD-286 in Subjects With Metastatic Uveal Melanoma</t>
  </si>
  <si>
    <t>NCT04749355</t>
  </si>
  <si>
    <t>Phase 2, Open-Label, Single Arm Study, With BST-236 in Adults With R/R AML or Higher-Risk MDS</t>
  </si>
  <si>
    <t>BioSight Ltd.</t>
  </si>
  <si>
    <t>NCT05222165</t>
  </si>
  <si>
    <t>Study With Infigratinib in Subjects With Advanced Solid and CNS Tumors or Recurrent or Progressive Low-Grade Glioma With Selected FGFR1-3 Alterations</t>
  </si>
  <si>
    <t>NCT04923893</t>
  </si>
  <si>
    <t>A Study of Bortezomib, Lenalidomide and Dexamethasone (VRd) Followed by Cilta-cel, a CAR-T Therapy Directed Against BCMA Versus VRd Followed by Lenalidomide and Dexamethasone (Rd) Therapy in Participants With Newly Diagnosed Multiple Myeloma for Whom ASCT is Not Planned as Initial Therapy</t>
  </si>
  <si>
    <t>NCT05216224</t>
  </si>
  <si>
    <t>ATI-450 vs Placebo in Participants With Moderate to Severe Hidradenitis Suppurativa (HS)</t>
  </si>
  <si>
    <t>NCT04657224</t>
  </si>
  <si>
    <t>A Study of JNJ-64264681 and JNJ-67856633 in Participants With Non-Hodgkin Lymphoma and Chronic Lymphocytic Leukemia</t>
  </si>
  <si>
    <t>NCT05471323</t>
  </si>
  <si>
    <t>Phase I Clinical Trial of RC1012 Injection in Patients With r/r AML</t>
  </si>
  <si>
    <t>Guangdong Ruishun Biotech Co., Ltd</t>
  </si>
  <si>
    <t>NCT05310123</t>
  </si>
  <si>
    <t>AC-11 Supplement and Biological Aging</t>
  </si>
  <si>
    <t>NCT04922554</t>
  </si>
  <si>
    <t>Oral Omadacycline vs. Placebo in Adults With NTM Pulmonary Disease Caused by Mycobacterium Abscessus Complex (MABc)</t>
  </si>
  <si>
    <t>NCT04830137</t>
  </si>
  <si>
    <t>A Study of NX-2127 in Adults With Relapsed/Refractory B-cell Malignancies</t>
  </si>
  <si>
    <t>NCT04750577</t>
  </si>
  <si>
    <t>A Study to Test the Effect of Different Doses of BI 685509 on Kidney Function in People With Diabetic Kidney Disease</t>
  </si>
  <si>
    <t>NCT04572854</t>
  </si>
  <si>
    <t>Study Assessing the Safety and Efficacy of Pegcetacoplan in Post-Transplant Recurrence of C3G or IC-MPGN</t>
  </si>
  <si>
    <t>NCT05098405</t>
  </si>
  <si>
    <t>First-in-human Safety and Tolerability of MP0317 in Patients With Relapsed/Refractory Advanced Solid Tumors</t>
  </si>
  <si>
    <t>NCT05080959</t>
  </si>
  <si>
    <t>A Phase 2, Randomized, Double-Blind, Dose Escalation Study in Postoperative Pain Open Inguinal Herniorrhaphy</t>
  </si>
  <si>
    <t>NCT04947579</t>
  </si>
  <si>
    <t>A Study of CC-99677 in Participants With Active Ankylosing Spondylitis</t>
  </si>
  <si>
    <t>NCT04987203</t>
  </si>
  <si>
    <t>Study to Compare Tivozanib in Combination With Nivolumab to Tivozanib Monotherapy in Subjects With Renal Cell Carcinoma</t>
  </si>
  <si>
    <t>NCT04720183</t>
  </si>
  <si>
    <t>Drug-drug Interaction Study with GLPG3970 and Sulfasalazine in Adult, Healthy Subjects</t>
  </si>
  <si>
    <t>NCT04566666</t>
  </si>
  <si>
    <t>To Assess the Effect of SCD-044 Treatment on Moderate to Severe Plaque Psoriasis</t>
  </si>
  <si>
    <t>NCT04702737</t>
  </si>
  <si>
    <t>A Study of AMG 757 in Participants With Neuroendocrine Prostate Cancer</t>
  </si>
  <si>
    <t>NCT04997902</t>
  </si>
  <si>
    <t>Combination Trial of Tipifarnib and Alpelisib in Adult Recurrent/ Metastatic Head and Neck Squamous Cell Carcinoma (R/M HNSCC)</t>
  </si>
  <si>
    <t>NCT04808570</t>
  </si>
  <si>
    <t>A Study of TQ-B3525 in Subjects With Relapsed/Refractory Chronic Lymphocytic Leukemia/Small Lymphocytic Lymphoma</t>
  </si>
  <si>
    <t>NCT05003531</t>
  </si>
  <si>
    <t>A Study to Evaluate IBI112 in the Treatment of Subjects With Moderate to Severe Plaque Psoriasis</t>
  </si>
  <si>
    <t>NCT04730505</t>
  </si>
  <si>
    <t>A Study to Evaluate the My Hematology Oncology Patient Experience (MyHOPE™) For Multiple Myeloma (MM) Digital Care Network in Patients With MM</t>
  </si>
  <si>
    <t>NCT04967742</t>
  </si>
  <si>
    <t>A Extension Study to Evaluate the Safety, Tolerability, and Immunogenicity of UB-612 COVID-19 Vaccine</t>
  </si>
  <si>
    <t>NCT05112159</t>
  </si>
  <si>
    <t>Phase 1 Study of IPG1094 Safety, Tolerability, and PK in Healthy Participants</t>
  </si>
  <si>
    <t>Nanjing Immunophage Biotech Co., Ltd</t>
  </si>
  <si>
    <t>NCT04992962</t>
  </si>
  <si>
    <t>Cannabinoid Tablets for the Treatment of Pain From Osteoarthritis of the Knee</t>
  </si>
  <si>
    <t>NCT04727580</t>
  </si>
  <si>
    <t>HSK7653 in Chinese Patients with Impaired Glucose Tolerance</t>
  </si>
  <si>
    <t>NCT05061823</t>
  </si>
  <si>
    <t>Bintrafusp Alfa Program Rollover Study</t>
  </si>
  <si>
    <t>NCT04524962</t>
  </si>
  <si>
    <t>Study of Descartes-30 in Acute Respiratory Distress Syndrome</t>
  </si>
  <si>
    <t>NCT05138146</t>
  </si>
  <si>
    <t>A Phase 2 Clinical Study of Evaluation of Recombinant Anti-PD-1 Humanized Monoclonal Antibody Injection (609A) Combined With Doxorubicin Hydrochloride in the Treatment of Metastatic/Unresectable Non-specific Soft Tissue Sarcoma</t>
  </si>
  <si>
    <t>NCT04931342</t>
  </si>
  <si>
    <t>A Study Evaluating the Efficacy and Safety of Biomarker-Driven Therapies in Patients With Persistent or Recurrent Rare Epithelial Ovarian Tumors</t>
  </si>
  <si>
    <t>NCT06976346</t>
  </si>
  <si>
    <t>Relative Bioavailability Study of HRG2010 in Healthy Subjects</t>
  </si>
  <si>
    <t>NCT04676646</t>
  </si>
  <si>
    <t>Study to Assess Efficacy and Safety of SZC for the Management of High Potassium in Patients With Symptomatic HFrEF Receiving Spironolactone</t>
  </si>
  <si>
    <t>NCT04762069</t>
  </si>
  <si>
    <t>A Study of Berubicin in Adult Subjects With Recurrent Glioblastoma Multiforme</t>
  </si>
  <si>
    <t>CNS Pharmaceuticals, Inc.</t>
  </si>
  <si>
    <t>NCT05000346</t>
  </si>
  <si>
    <t>Clinical Trial to Assess the Efficacy and Safety of Inhaled AQ001S in the Management of Acute COVID-19 Symptoms</t>
  </si>
  <si>
    <t>NCT04079088</t>
  </si>
  <si>
    <t>Study to Evaluate Oral BIIB061 Added to Interferon-beta1 (IFN-β1) or Glatiramer Acetate in Relapsing Multiple Sclerosis (RMS)</t>
  </si>
  <si>
    <t>NCT04995042</t>
  </si>
  <si>
    <t>A Phase 1 Dose Escalation and Expansion Study Of SHR7280 In Subjects With Hormone Sensitive Prostate Cancer</t>
  </si>
  <si>
    <t>NCT04592159</t>
  </si>
  <si>
    <t>Study of the Safety and Efficacy of Nabiximols Oromucosal Spray Versus Placebo in Patients With Post-traumatic Stress Disorder</t>
  </si>
  <si>
    <t>NCT05089279</t>
  </si>
  <si>
    <t>Study to Evaluate the Safety and Pharmacokinetics of CKD-349 in Healthy Adult Volunteers</t>
  </si>
  <si>
    <t>NCT05005442</t>
  </si>
  <si>
    <t>A Study of Pembrolizumab/Vibostolimab (MK-7684A) in Relapsed/Refractory Hematological Malignancies (MK-7684A-004, KEYVIBE-004)</t>
  </si>
  <si>
    <t>NCT05381103</t>
  </si>
  <si>
    <t>PSMA-PET to Guide Prostatectomy</t>
  </si>
  <si>
    <t>Five Eleven Pharma, Inc.</t>
  </si>
  <si>
    <t>NCT04973566</t>
  </si>
  <si>
    <t>A Study of Nipocalimab With Co-administration of Etanercept or Hydroxychloroquine in Healthy Participants</t>
  </si>
  <si>
    <t>NCT04960202</t>
  </si>
  <si>
    <t>EPIC-HR: Study of Oral PF-07321332/Ritonavir Compared With Placebo in Nonhospitalized High Risk Adults With COVID-19</t>
  </si>
  <si>
    <t>NCT07541001</t>
  </si>
  <si>
    <t>PRL3-Zumab in Patients With Advanced Solid Tumors</t>
  </si>
  <si>
    <t>NCT04872101</t>
  </si>
  <si>
    <t>Efficacy and Safety of Delgocitinib Cream in Adults With Moderate to Severe Chronic Hand Eczema (DELTA 2)</t>
  </si>
  <si>
    <t>NCT04791319</t>
  </si>
  <si>
    <t>A Study of Bermekimab (JNJ-77474462) in the Treatment of Participants With Moderate to Severe Atopic Dermatitis</t>
  </si>
  <si>
    <t>NCT05044819</t>
  </si>
  <si>
    <t>Assessment of Potential for Chronic Liver Injury in Participants Treated With Epidiolex (Cannabidiol) Oral Solution</t>
  </si>
  <si>
    <t>NCT04948645</t>
  </si>
  <si>
    <t>A Phase 1 Study to Investigate the Safety and Pharmacokinetics of Fosigotifator in Patients With Amyotrophic Lateral Sclerosis</t>
  </si>
  <si>
    <t>NCT04705077</t>
  </si>
  <si>
    <t>A Study to Assess the Pharmacokinetics and Food Effect of SR419 in Healthy Subjects</t>
  </si>
  <si>
    <t>SIMR (Australia) Biotech Pty Ltd.</t>
  </si>
  <si>
    <t>NCT05069129</t>
  </si>
  <si>
    <t>Clinical Trial on Sequential Immunization of Recombinant COVID-19 Vaccine (CHO Cells,NVSI-06-08) and Inactivated COVID-19 Vaccine (Vero Cells) in Population Aged 18 Years and Above</t>
  </si>
  <si>
    <t>NCT05133830</t>
  </si>
  <si>
    <t>Linerixibat and Obeticholic Acid Drug Interaction Study in Healthy Adult Participants</t>
  </si>
  <si>
    <t>NCT05045482</t>
  </si>
  <si>
    <t>Hepatic Impairment With Cirrhosis Due to Cholestatic Liver Disease</t>
  </si>
  <si>
    <t>NCT04435782</t>
  </si>
  <si>
    <t>A Study of Selexipag Assessing Right Ventricular Remodeling in Pulmonary Arterial Hypertension by Cardiac Magnetic Resonance Imaging</t>
  </si>
  <si>
    <t>NCT04908124</t>
  </si>
  <si>
    <t>A Clinical Investigation Into the Effectiveness and Safety of Five Water Based Personal Lubricants.</t>
  </si>
  <si>
    <t>Reckitt Benckiser Healthcare (UK) Limited</t>
  </si>
  <si>
    <t>NCT04914286</t>
  </si>
  <si>
    <t>A Study of GFH018 in Combination With Toripalimab in Patients With Advanced Solid Tumors</t>
  </si>
  <si>
    <t>Genfleet Therapeutics (Shanghai) Inc.</t>
  </si>
  <si>
    <t>NCT05331105</t>
  </si>
  <si>
    <t>HL-085 in Adults With Neurofibromatosis Type 1 (NF1) and Inoperable Plexiform Neurofibromas</t>
  </si>
  <si>
    <t>NCT04917523</t>
  </si>
  <si>
    <t>Immuno-bridging Study of Inactivated SARS-CoV-2 Vaccine in Healthy Population Aged 3-17 vs Aged 18 Years Old and Above</t>
  </si>
  <si>
    <t>NCT04931524</t>
  </si>
  <si>
    <t>A Study to Assess the Absorption, Metabolism and Excretion of [14C]-ANG-3777</t>
  </si>
  <si>
    <t>NCT05116046</t>
  </si>
  <si>
    <t>Continuation Study of Long-term Safety, Tolerability, Pharmacokinetics and Efficacy of Recifercept in Achondroplasia</t>
  </si>
  <si>
    <t>NCT04659603</t>
  </si>
  <si>
    <t>Tusamitamab Ravtansine Monotherapy and in Combination in Patients With CEACAM5-positive Advanced Solid Tumors</t>
  </si>
  <si>
    <t>NCT04616027</t>
  </si>
  <si>
    <t>STUDY OF PF-06882961 IN PARTICIPANTS WITH TYPE 2 DIABETES MELLITUS WITH VARYING DEGREES OF RENAL IMPAIRMENT AND PARTICIPANTS WITHOUT RENAL IMPAIRMENT</t>
  </si>
  <si>
    <t>NCT05596669</t>
  </si>
  <si>
    <t>Analgesic Effect of Ketamine Vs Ketamine Magnesium Infusion and Their Effect on Postoperative Morphine Consumption</t>
  </si>
  <si>
    <t>NCT05387070</t>
  </si>
  <si>
    <t>PaTHway CHINA TRIAL: A Trial to Investigating the Safety, Tolerability and Efficacy of TransCon PTH in Adults With Hypoparathyroidism</t>
  </si>
  <si>
    <t>Visen Pharmaceuticals (Shanghai) Co., Ltd.</t>
  </si>
  <si>
    <t>NCT04844983</t>
  </si>
  <si>
    <t>A Study to Evaluate Safety, Efficacy of Intralesional Injection of STP705 in Patients With isSCC</t>
  </si>
  <si>
    <t>NCT04958746</t>
  </si>
  <si>
    <t>Phase III Clinical Trial Evaluating the Efficacy and Safety of Ciprofol Injection for the Induction of Sedation/Anesthesia in Subjects Undergoing Gynecological Outpatient Surgeries</t>
  </si>
  <si>
    <t>NCT04958135</t>
  </si>
  <si>
    <t>Study to Assess the Effect of Food on a Single Dose of Acoramidis in Healthy Adult Participants</t>
  </si>
  <si>
    <t>NCT05012618</t>
  </si>
  <si>
    <t>A Dose-escalation Study of LUNA18 in Patients With Locally Advanced or Metastatic Solid Tumors (With Expansion).</t>
  </si>
  <si>
    <t>NCT04996056</t>
  </si>
  <si>
    <t>An Open-Label, Randomized Pilot Study Comparing the Safety of a Single Dose of TNX-1300 to Usual Care (UC) Alone for the Treatment of Signs and Symptoms of Acute Cocaine Intoxication in Male Emergency Department (ED) Subjects</t>
  </si>
  <si>
    <t>NCT05028569</t>
  </si>
  <si>
    <t>Study of BOTOX Injections in Prevention of Migraine in Adult Participants With Episodic Migraine</t>
  </si>
  <si>
    <t>NCT04862741</t>
  </si>
  <si>
    <t>Safety, Tolerability, and Pharmacokinetics of Oral NX-13 in Active Ulcerative Colitis</t>
  </si>
  <si>
    <t>NCT04761705</t>
  </si>
  <si>
    <t>Safety and Efficacy Study of JV-GL1 in Patients With Open-Angle Glaucoma or Ocular Hypertension</t>
  </si>
  <si>
    <t>JeniVision, Inc.</t>
  </si>
  <si>
    <t>NCT04782505</t>
  </si>
  <si>
    <t>Safety and Pharmacokinetics Evaluation Study According to the Dose of Camostat Mesylate in Healthy Volunteers</t>
  </si>
  <si>
    <t>NCT05029882</t>
  </si>
  <si>
    <t>Study to Assess Adverse Events and Change in Disease Activity in Adult Participants With Advanced Solid Tumors Receiving Intravenous (IV) ABBV-400 as Monotherapy and in Combination With IV Bevacizumab</t>
  </si>
  <si>
    <t>NCT04938180</t>
  </si>
  <si>
    <t>A Phase 2 Study of Intravenous AMB-05X in Tenosynovial Giant Cell Tumor Patients</t>
  </si>
  <si>
    <t>NCT05075070</t>
  </si>
  <si>
    <t>Immunogenicity and Safety of an Inactivated COVID-19 Vaccine in People With HIV Infected</t>
  </si>
  <si>
    <t>NCT04722627</t>
  </si>
  <si>
    <t>Study of AT-752 in Healthy Subjects</t>
  </si>
  <si>
    <t>NCT05006794</t>
  </si>
  <si>
    <t>Study to Evaluate the Safety, Tolerability, and Pharmacokinetics of GS-9716 as Monotherapy and in Combination With Anticancer Therapies in Adults With Solid Malignancies</t>
  </si>
  <si>
    <t>NCT04763083</t>
  </si>
  <si>
    <t>First in Human Study of NVG-111 in Relapsed/Refractory ROR1+ Malignancies</t>
  </si>
  <si>
    <t>NovalGen Ltd.</t>
  </si>
  <si>
    <t>NCT04701203</t>
  </si>
  <si>
    <t>A Trial Investigating the Safety, Tolerability and Efficacy of TransCon PTH Administered Daily in Adults With Hypoparathyroidism</t>
  </si>
  <si>
    <t>Ascendis Pharma Bone Diseases A/S</t>
  </si>
  <si>
    <t>NCT04828161</t>
  </si>
  <si>
    <t>A Dose Finding, Efficacy and Safety Study of Ensovibep (MP0420) in Ambulatory Adult Patients With Symptomatic COVID-19</t>
  </si>
  <si>
    <t>NCT04892342</t>
  </si>
  <si>
    <t>Study of ESG401 in Adults With Solid Tumors</t>
  </si>
  <si>
    <t>Shanghai Escugen Biotechnology Co., Ltd</t>
  </si>
  <si>
    <t>NCT04673786</t>
  </si>
  <si>
    <t>A Study to Compare the Efficacy and Safety of CT-P43 to Stelara in Patients With Plaque Psoriasis</t>
  </si>
  <si>
    <t>NCT04736173</t>
  </si>
  <si>
    <t>Study Evaluating Effectiveness and Safety of Zimberelimab and Domvanalimab in Lung Cancer</t>
  </si>
  <si>
    <t>NCT04643769</t>
  </si>
  <si>
    <t>Evaluation of Oral ORIN1001 in Subjects With Idiopathic Pulmonary Fibrosis (IPF)</t>
  </si>
  <si>
    <t>NCT05035069</t>
  </si>
  <si>
    <t>Efficacy and Safety of Ciprofol Compared to Propofol for Nonintubated General Anesthesia in Patients Undergoing TAVR</t>
  </si>
  <si>
    <t>NCT05445154</t>
  </si>
  <si>
    <t>SKLB1028, Daunorubicin, and Cytarabine in Treating Patients With Newly Diagnosed Acute Myeloid Leukemia (AML)</t>
  </si>
  <si>
    <t>NCT04959305</t>
  </si>
  <si>
    <t>A Phase 2 Study to Explore the Dose of HCP1803 in Patients With Essential Hypertension</t>
  </si>
  <si>
    <t>NCT04775485</t>
  </si>
  <si>
    <t>A Study to Evaluate Tovorafenib in Pediatric and Young Adult Participants With Relapsed or Progressive Low-Grade Glioma and Advance Solid Tumors</t>
  </si>
  <si>
    <t>NCT05039515</t>
  </si>
  <si>
    <t>A Study to Assess the Effectiveness and Safety of 2 Dosage Regimens of Oral Fidrisertib (IPN60130) for the Treatment of Fibrodysplasia Ossificans Progressiva (FOP).</t>
  </si>
  <si>
    <t>Clementia Pharmaceuticals Inc.</t>
  </si>
  <si>
    <t>NCT04920578</t>
  </si>
  <si>
    <t>A Study of JNJ-69095897 in Healthy Participants</t>
  </si>
  <si>
    <t>NCT04748848</t>
  </si>
  <si>
    <t>A Safety, Tolerability and Preliminary Efficacy Study of CC-90011 in Combination With Venetoclax and Azacitidine in R/R Acute Myeloid Leukemia and Treatment-naïve Participants Not Eligible for Intensive Therapy</t>
  </si>
  <si>
    <t>NCT05115344</t>
  </si>
  <si>
    <t>Study of Flonoltinib Maleate Tablets in the Treatment of Proliferative Bone Marrow Tumors</t>
  </si>
  <si>
    <t>NCT04925934</t>
  </si>
  <si>
    <t>Study of VIB7734 for the Treatment of Moderate to Severely Active SLE</t>
  </si>
  <si>
    <t>NCT05043649</t>
  </si>
  <si>
    <t>Camsirubicin + Pegfilgrastim to Determine MTD in ASTS</t>
  </si>
  <si>
    <t>NCT05148533</t>
  </si>
  <si>
    <t>A Study of Single Drug TJ011133 and Toripalimab Combine Treatment for Advanced Solid Tumor</t>
  </si>
  <si>
    <t>NCT04999787</t>
  </si>
  <si>
    <t>A Clinical Trial Evaluating the Efficacy, Safety, and Pharmacokinetics of HSK21542 Injection in Liver Disease Subjects With Pruritus</t>
  </si>
  <si>
    <t>NCT05007938</t>
  </si>
  <si>
    <t>Befotertinib and Icotinib in Treatment-naive Patients With Advanced EGFR-Mutant Lung Cancer</t>
  </si>
  <si>
    <t>NCT04628793</t>
  </si>
  <si>
    <t>A Study of Single Ascending Doses of PF-07258669 in Healthy Adult Participants</t>
  </si>
  <si>
    <t>NCT04922593</t>
  </si>
  <si>
    <t>Relative Bioavailability of LY03010 Compared to Listed Drug</t>
  </si>
  <si>
    <t>NCT05077449</t>
  </si>
  <si>
    <t>A Study of XZP-3287 in Combination With Fulvestrant in Patients With Advanced Breast Cancer</t>
  </si>
  <si>
    <t>NCT04701658</t>
  </si>
  <si>
    <t>A Real World Study of Bamlanivimab in Participants With Mild-to-Moderate Coronavirus Disease 2019 (COVID-19)</t>
  </si>
  <si>
    <t>NCT05278832</t>
  </si>
  <si>
    <t>A Study of QLS31905 in Patients With Advanced Solid Tumors</t>
  </si>
  <si>
    <t>NCT05084963</t>
  </si>
  <si>
    <t>A Study to Assess the Efficacy, Safety and Tolerability of IRL201104 in Adults With Active Eosinophilic Esophagitis</t>
  </si>
  <si>
    <t>NCT05194358</t>
  </si>
  <si>
    <t>Study of SIAN Nasal Spray in Healthy Adults</t>
  </si>
  <si>
    <t>NCT04644185</t>
  </si>
  <si>
    <t>The Efficacy and Safety of SCTA01 in Hospitalized Patients With Severe COVID-19</t>
  </si>
  <si>
    <t>NCT05154955</t>
  </si>
  <si>
    <t>A Safety and Tolerability Study of 10XB-101 Injection in Adult Subjects With Submental Fat</t>
  </si>
  <si>
    <t>10xBio, LLC</t>
  </si>
  <si>
    <t>NCT04973605</t>
  </si>
  <si>
    <t>A Phase 1b/2 Study of Sonrotoclax (BGB-11417) as Monotherapy and in Various Combinations With Dexamethasone Plus Carfilzomib, Dexamethasone Plus Daratumumab, and Dexamethasone Plus Pomalidomide in Multiple Myeloma</t>
  </si>
  <si>
    <t>NCT04417894</t>
  </si>
  <si>
    <t>A Study to Evaluate the Efficacy and Safety of Dupilumab in Adult and Adolescent Patients With Moderate-to-Severe Atopic Hand and Foot Dermatitis (Liberty-AD-HAFT)</t>
  </si>
  <si>
    <t>NCT04863794</t>
  </si>
  <si>
    <t>A Study To Assess Distribution Of RO7248824 In The Central Nervous System Following Single Intrathecal Doses Of [89zr] Labeled RO7248824 In Healthy Male Participants</t>
  </si>
  <si>
    <t>NCT05824156</t>
  </si>
  <si>
    <t>CM-101 in NASH Patients - The SPLASH Study</t>
  </si>
  <si>
    <t>NCT05116709</t>
  </si>
  <si>
    <t>Assessment of Safety and Preliminary Clinical Efficacy with BAT6005 in Advanced Malignant Solid Tumors</t>
  </si>
  <si>
    <t>NCT04650126</t>
  </si>
  <si>
    <t>Safety, Tolerability, Pharmacokinetics and Pharmacodynamics of Atrosimab (ATM001) in Healthy Volunteers</t>
  </si>
  <si>
    <t>Baliopharm Pty Ltd</t>
  </si>
  <si>
    <t>NCT05346198</t>
  </si>
  <si>
    <t>Evaluate CART-BCMA in Patients With Relapsed and/or Refractory Multiple Myeloma</t>
  </si>
  <si>
    <t>Shanghai Simnova Biotechnology Co.,Ltd.</t>
  </si>
  <si>
    <t>NCT04848714</t>
  </si>
  <si>
    <t>Pharmacokinetic Study Protocol of ANAWIDOW Lyophilized Powder for Solution for Intravenous Use in Fasting Conditions</t>
  </si>
  <si>
    <t>NCT05090904</t>
  </si>
  <si>
    <t>A Study to Assess the Safety, Tolerability, and Pharmacokinetics of Brensocatib Tablets in Adults With Cystic Fibrosis</t>
  </si>
  <si>
    <t>NCT04743804</t>
  </si>
  <si>
    <t>Ravulizumab in Thrombotic Microangiopathy Associated With a Trigger</t>
  </si>
  <si>
    <t>NCT05136833</t>
  </si>
  <si>
    <t>Evaluation of Efficacy and Safety of the Concomitant of RUTI® Immunotherapy With the Standard Treatment in TB Patients</t>
  </si>
  <si>
    <t>NCT04886258</t>
  </si>
  <si>
    <t>Study of Efficacy, Safety and Tolerability of DFV890 in Patients With Knee Osteoarthritis</t>
  </si>
  <si>
    <t>NCT04708158</t>
  </si>
  <si>
    <t>Novaferon for COVID-19 Treatment Trial (NCTT-005)</t>
  </si>
  <si>
    <t>NCT04777201</t>
  </si>
  <si>
    <t>A Study to Evaluate the Long-Term Safety and Tolerability of Faricimab in Participants With Neovascular Age-Related Macular Degeneration</t>
  </si>
  <si>
    <t>NCT04660812</t>
  </si>
  <si>
    <t>An Open Label Study Evaluating the Efficacy and Safety of Etrumadenant (AB928) Based Treatment Combinations in Participants With Metastatic Colorectal Cancer.</t>
  </si>
  <si>
    <t>NCT04573192</t>
  </si>
  <si>
    <t>A Study to Evaluate Safety and Efficacy of L19TNF Plus Lomustine in Patients With Glioblastoma at First Progression</t>
  </si>
  <si>
    <t>NCT04874844</t>
  </si>
  <si>
    <t>JY025 is a First-line Treatment for EGFR Mutated NSCLC Phase II and III Clinical Trials of Efficacy and Safety</t>
  </si>
  <si>
    <t>Beijing Dongfang Biotech Co., Ltd.</t>
  </si>
  <si>
    <t>NCT04151563</t>
  </si>
  <si>
    <t>A Clinical Study Evaluating Nivolumab-containing Treatments in Patients With Advanced Non-small Cell Lung Cancer After Failing Previous PD-1/(L)1 Therapy and Chemotherapy</t>
  </si>
  <si>
    <t>NCT04744363</t>
  </si>
  <si>
    <t>Pharmacokinetics, Safety and Tolerability Study of AVT04 to EU Approved and US Licensed Stelara (Ustekinumab)</t>
  </si>
  <si>
    <t>NCT05026593</t>
  </si>
  <si>
    <t>A Study of IBI110 in Combination With Sintilimab and Chemotherapy in Patients With Untreated Extensive-Stage Small Cell Lung Cancer</t>
  </si>
  <si>
    <t>NCT04927221</t>
  </si>
  <si>
    <t>Multiple Ascending Dose Study to Evaluate the Safety, Tolerability of DC371739 Treatment in Hypercholesterolemic</t>
  </si>
  <si>
    <t>NCT04845321</t>
  </si>
  <si>
    <t>VNRX-9945 Safety and Pharmacokinetics in Healthy Adult Volunteers</t>
  </si>
  <si>
    <t>NCT04899336</t>
  </si>
  <si>
    <t>A Study of Vaccination With 9-valent Extraintestinal Pathogenic Escherichia Coli Vaccine (ExPEC9V) in the Prevention of Invasive Extraintestinal Pathogenic Escherichia Coli Disease in Adults Aged 60 Years And Older With a History of Urinary Tract Infection in the Past 2 Years</t>
  </si>
  <si>
    <t>NCT04555044</t>
  </si>
  <si>
    <t>Pediatric Study to Evaluate Risk of Developing Essential Fatty Acid Deficiency When Receiving Clinolipid or Standard-of-Care Lipid Emulsion (Part A)</t>
  </si>
  <si>
    <t>NCT05247216</t>
  </si>
  <si>
    <t>A Phase 2 Study of Hemay007 in Patients With Rheumatoid Arthritis</t>
  </si>
  <si>
    <t>NCT06538207</t>
  </si>
  <si>
    <t>An Open-label, Uncontrolled Study of ONO-4578 and ONO-4538 in Combination With Standard-of-care Modified FOLFIRINOX (mFFX) or Gemcitabine Plus Nab-paclitaxel (GnP) Therapy as First-line Treatment in Patients With Metastatic Pancreatic Cancer</t>
  </si>
  <si>
    <t>NCT04762498</t>
  </si>
  <si>
    <t>A Phase 4, Open-label Study of KRYSTEXXA® (Pegloticase) Co-administered With Methotrexate (MTX) in Patients With Uncontrolled Gout (FORWARD OL)</t>
  </si>
  <si>
    <t>NCT05116215</t>
  </si>
  <si>
    <t>To Evaluate the Safety of Treating Autoimmune Diseases With Molecular Hydrogen Supplement</t>
  </si>
  <si>
    <t>HoHo Biotech</t>
  </si>
  <si>
    <t>NCT04994535</t>
  </si>
  <si>
    <t>A Study To Assess the Safety and Effects of OnabotulinumtoxinA (BOTOX) Intramuscular Injection in Adult Participants With Platysma Prominence</t>
  </si>
  <si>
    <t>NCT04134039</t>
  </si>
  <si>
    <t>A Clinical Investigation to Assess the Performance of a Polyurethane Condom Versus a Latex Condom in Healthy Monogamous Couples</t>
  </si>
  <si>
    <t>NCT04888312</t>
  </si>
  <si>
    <t>Safety and Efficacy of Mitazalimab in Combination With Chemotherapy in Pancreatic Cancer Patients</t>
  </si>
  <si>
    <t>Alligator Bioscience AB</t>
  </si>
  <si>
    <t>NCT05142592</t>
  </si>
  <si>
    <t>Phase1/2a Study for IPG7236 in Patients With Advanced Solid Tumors</t>
  </si>
  <si>
    <t>NCT04850664</t>
  </si>
  <si>
    <t>Computerized Chemosensory-Based Orbitofrontal Cortex (CBOT) for Opioid Use Disorder</t>
  </si>
  <si>
    <t>Evon Medics LLC</t>
  </si>
  <si>
    <t>NCT04662632</t>
  </si>
  <si>
    <t>Abbreviated Protocol for Two-Stage Exchange</t>
  </si>
  <si>
    <t>Osteal Therapeutics, Inc.</t>
  </si>
  <si>
    <t>NCT05148481</t>
  </si>
  <si>
    <t>A Study to Evaluate Safety and Pharmacokinetics of BIIB104 in Healthy Japanese and Non-Japanese Participants</t>
  </si>
  <si>
    <t>NCT05007392</t>
  </si>
  <si>
    <t>A Study to Evaluate Efficacy of Dotinurad and Febuxostat for the Treatment of Participants With Gout</t>
  </si>
  <si>
    <t>NCT04990271</t>
  </si>
  <si>
    <t>A Clinical Study on the Efficacy and Safety of VEC Intravenous Chemotherapy Combined With Conbercept Intravitreal Injection in the Treatment of Retinoblastoma</t>
  </si>
  <si>
    <t>NCT04717414</t>
  </si>
  <si>
    <t>An Efficacy and Safety Study of Luspatercept (ACE-536) Versus Placebo in Subjects With Myeloproliferative Neoplasm-Associated Myelofibrosis on Concomitant JAK2 Inhibitor Therapy and Who Require Red Blood Cell Transfusions</t>
  </si>
  <si>
    <t>NCT04756037</t>
  </si>
  <si>
    <t>Study of the Safety and Contraceptive Efficacy of Relugolix Combination Therapy in Women With Uterine Fibroids or Endometriosis Who Are at Risk for Pregnancy</t>
  </si>
  <si>
    <t>Sumitomo Pharma Switzerland GmbH</t>
  </si>
  <si>
    <t>NCT04605484</t>
  </si>
  <si>
    <t>Study of Posoleucel (Formerly Known as ALVR105; Viralym-M) in Kidney Transplant Patients With BK Viremia</t>
  </si>
  <si>
    <t>NCT04619004</t>
  </si>
  <si>
    <t>HERTHENA-Lung01: Patritumab Deruxtecan in Subjects With Metastatic or Locally Advanced EGFR-mutated Non-Small Cell Lung Cancer</t>
  </si>
  <si>
    <t>NCT04620733</t>
  </si>
  <si>
    <t>RESPONSE: Response to Seladelpar in Subjects With Primary Biliary Cholangitis (PBC) and an Inadequate Control to or an Intolerance to Ursodeoxycholic Acid (UDCA)</t>
  </si>
  <si>
    <t>NCT04818333</t>
  </si>
  <si>
    <t>A Study of SHR-A1811 in Subjects With Advanced Non-small Cell Lung Cancer</t>
  </si>
  <si>
    <t>NCT04604652</t>
  </si>
  <si>
    <t>Open-Label Study of HTD1801 in Adult Subjects With Primary Biliary Cholangitis</t>
  </si>
  <si>
    <t>NCT04667949</t>
  </si>
  <si>
    <t>Study of Efficacy and Safety of Fingolimod (Gilenya) 0.5 mg in Chinese Patients With Relapsing Multiple Sclerosis (RMS) Patients</t>
  </si>
  <si>
    <t>NCT04867616</t>
  </si>
  <si>
    <t>A Study to Test the Efficacy, Safety, and Tolerability of Bepranemab (UCB0107) in Patients With Mild Cognitive Impairment or Mild Alzheimer's Disease (AD)</t>
  </si>
  <si>
    <t>NCT04308304</t>
  </si>
  <si>
    <t>MK-1942/Donepezil Interactions in Participants With Alzheimer's Disease (MK-1942-005)</t>
  </si>
  <si>
    <t>NCT04773678</t>
  </si>
  <si>
    <t>Efficacy and Safety of CBP-201 in Patients With Moderate to Severe Persistent Asthma With Type 2 Inflammation</t>
  </si>
  <si>
    <t>NCT06808815</t>
  </si>
  <si>
    <t>A Study to Assess S011806 (DC-806 or LY4100504) in Healthy Adult Participants and Participants With Chronic Plaque Psoriasis</t>
  </si>
  <si>
    <t>DICE Therapeutics, Inc., a wholly owned subsidiary of Eli Lilly and Company</t>
  </si>
  <si>
    <t>NCT05179317</t>
  </si>
  <si>
    <t>Safety and Efficacy Study of First-line Treatment With QL1706 Plus Chemotherapy With or Without Bevacizumab in Women With Recurrent, or Metastatic Cervical Cancer</t>
  </si>
  <si>
    <t>NCT04768868</t>
  </si>
  <si>
    <t>The Safety and Pharmacokinetics Preliminary Efficacy of IMP7068 in Patients With Advanced Solid Tumors</t>
  </si>
  <si>
    <t>NCT05842798</t>
  </si>
  <si>
    <t>Safety, Tolerability, Pharmacokinetics and Pharmacodynamics of TNM002 in Chinese Healthy Adults</t>
  </si>
  <si>
    <t>NCT05121363</t>
  </si>
  <si>
    <t>A Clinical Trial to Evaluate TQB2858 Injection Combined With Anlotinib Hydrochloride Capsule in the Treatment of Recurrent or Metastatic Advanced Endometrial Carcinoma</t>
  </si>
  <si>
    <t>NCT05054387</t>
  </si>
  <si>
    <t>China Post-marketing Surveillance (PMS) Study of Fabrazyme®</t>
  </si>
  <si>
    <t>NCT04901416</t>
  </si>
  <si>
    <t>Safety and Efficacy of Allogeneic NK Cell Infusions in Patients With Relapsed/Refractory AML and High Risk MDS</t>
  </si>
  <si>
    <t>NCT04733833</t>
  </si>
  <si>
    <t>A Study to Evaluate the Efficacy and Safety of VB-201 in Patients With COVID-19</t>
  </si>
  <si>
    <t>Vascular Biogenics Ltd. operating as VBL Therapeutics</t>
  </si>
  <si>
    <t>NCT04712838</t>
  </si>
  <si>
    <t>Study on the Bioavailability of SHR0302 in Healthy Subjects</t>
  </si>
  <si>
    <t>NCT04990440</t>
  </si>
  <si>
    <t>A Study of Bermekimab for the Treatment of Adult Participants With Moderate-to-Severe Atopic Dermatitis</t>
  </si>
  <si>
    <t>NCT05259189</t>
  </si>
  <si>
    <t>A Study of NBL-012 in Healthy Chinese Subjects</t>
  </si>
  <si>
    <t>NovaRock Biotherapeutics, Ltd</t>
  </si>
  <si>
    <t>NCT07002229</t>
  </si>
  <si>
    <t>A Clinical Study of the Interactions Between Azvudine Tablets (FNC) and Dolutegravir Sodium Tablets (DTG)</t>
  </si>
  <si>
    <t>NCT04914377</t>
  </si>
  <si>
    <t>To Evaluate the Safety and Efficacy of TQ Formula in Covid-19 Participants</t>
  </si>
  <si>
    <t>Novatek Pharmaceuticals</t>
  </si>
  <si>
    <t>NCT04857112</t>
  </si>
  <si>
    <t>Study Evaluating Efficacy and Safety of Amiselimod (MT-1303) in Mild to Moderate Ulcerative Colitis</t>
  </si>
  <si>
    <t>NCT05004181</t>
  </si>
  <si>
    <t>Safety and Immunogenicity of RNA-based Vaccines Against SARS-CoV-2 Variants in Healthy Participants</t>
  </si>
  <si>
    <t>NCT04828265</t>
  </si>
  <si>
    <t>Study of Aldafermin (NGM282) in Healthy Adult Male Japanese and Non-Japanese Subjects</t>
  </si>
  <si>
    <t>NCT04783636</t>
  </si>
  <si>
    <t>To Compare the Safety and Pharmacokinetics of PT105 With PT105R in Healthy Postmenopausal Female Volunteers</t>
  </si>
  <si>
    <t>NCT04713371</t>
  </si>
  <si>
    <t>A Phase 2 Trial for Patients With Metastatic Solid Cancer</t>
  </si>
  <si>
    <t>Rampart Health, L.L.C.</t>
  </si>
  <si>
    <t>NCT04736758</t>
  </si>
  <si>
    <t>A Clinical Study on the Safety and Efficacy of GP681 Tablets in the Treatment of Uncomplicated Acute Influenza</t>
  </si>
  <si>
    <t>NCT04940026</t>
  </si>
  <si>
    <t>Study to Determine Absorption, Metabolism, and Excretion of [14C]-SAR439859, and to Assess Absolute Oral Bioavailability of Amcenestrant (SAR439859), in Healthy Post-menopausal Women</t>
  </si>
  <si>
    <t>NCT04712643</t>
  </si>
  <si>
    <t>A Study of TACE Combined With Atezolizumab Plus Bevacizumab or TACE Alone in Patients With Untreated Heaptocellular Carcionma</t>
  </si>
  <si>
    <t>NCT04910776</t>
  </si>
  <si>
    <t>Clinical Study for Treatment-naïve IOPD Babies to Evaluate Efficacy and Safety of ERT With Avalglucosidase Alfa</t>
  </si>
  <si>
    <t>NCT04885218</t>
  </si>
  <si>
    <t>Efficacy and Safety of SHR-1209 Combined With Lipid-lowering Agents in Patients With Hypercholesterolemia</t>
  </si>
  <si>
    <t>NCT06903156</t>
  </si>
  <si>
    <t>Efficacy and Safety of Different Dosages of Mexidol® in Patients With Primary Open-angle Glaucoma (POAG)</t>
  </si>
  <si>
    <t>Pharmasoft</t>
  </si>
  <si>
    <t>NCT05195112</t>
  </si>
  <si>
    <t>Evaluate the Efficacy and Safety of MT921 in Subjects With Moderate to Severe Submental Fat</t>
  </si>
  <si>
    <t>Medy-Tox</t>
  </si>
  <si>
    <t>NCT04673630</t>
  </si>
  <si>
    <t>Study to Evaluate the Pharmacokinetics of Tezepelumab in Children With Asthma</t>
  </si>
  <si>
    <t>NCT05129865</t>
  </si>
  <si>
    <t>LYT-300 in Healthy Volunteers</t>
  </si>
  <si>
    <t>NCT04853992</t>
  </si>
  <si>
    <t>Trial to Assess the Efficacy and Safety of LEO 152020 in Adult Patients With Cholinergic Urticaria</t>
  </si>
  <si>
    <t>NCT05025085</t>
  </si>
  <si>
    <t>A Study Investigating AGEN1777 in Participants With Advanced Solid Tumors</t>
  </si>
  <si>
    <t>Agenus Inc.</t>
  </si>
  <si>
    <t>NCT05354843</t>
  </si>
  <si>
    <t>SHP2 Inhibitor ET0038 Monotherapy in Patients With Advanced Solid Tumors</t>
  </si>
  <si>
    <t>Etern BioPharma (Shanghai) Co., Ltd</t>
  </si>
  <si>
    <t>NCT04683926</t>
  </si>
  <si>
    <t>A Randomized Study Investigating Oral Desmetramadol Dose Proportionality and Food Effect In Normal Human Subjects</t>
  </si>
  <si>
    <t>NCT04713826</t>
  </si>
  <si>
    <t>A Trial to Learn More About How Well BAY2586116 Works and How Safe it is in Participants With Moderate to Severe Obstructive Sleep Apnea</t>
  </si>
  <si>
    <t>NCT05177835</t>
  </si>
  <si>
    <t>Long-term Safety and Efficacy Profile of ABX464 in Subjects With Moderate to Severe Active Ulcerative Colitis</t>
  </si>
  <si>
    <t>NCT05865925</t>
  </si>
  <si>
    <t>Safety, Tolerability, Pharmacokinetics (PK), and Primary Clinical Efficacy of LY01616 in Patients With Advanced Solid Tumors</t>
  </si>
  <si>
    <t>NCT04478994</t>
  </si>
  <si>
    <t>A Study With TEPEZZA in Patients With Diffuse Cutaneous Systemic Sclerosis (dcSSc)</t>
  </si>
  <si>
    <t>NCT04415853</t>
  </si>
  <si>
    <t>Study of Larotinib in Unresectable Advanced or Recurrent Esophageal Cancer</t>
  </si>
  <si>
    <t>NCT04849000</t>
  </si>
  <si>
    <t>Study of SHR-1209 in the Treatment of Hypercholesterolemia and Hyperlipidemia Ⅲ Stage</t>
  </si>
  <si>
    <t>NCT04735575</t>
  </si>
  <si>
    <t>A Ph1/2 Study of EMB-06 in Participants With Relapsed or Refractory Myeloma</t>
  </si>
  <si>
    <t>NCT05852730</t>
  </si>
  <si>
    <t>Combination of Intranasal Scopolamine and Sensory Augmentation to Mitigate G-transition Induced Motion Sickness and Enhance Sensorimotor Performance</t>
  </si>
  <si>
    <t>NCT05211167</t>
  </si>
  <si>
    <t>Phase III Clinical Study of Recombinant Erythropoiesis Stimulating Protein Injection (rESP) in the Treatment of Anemia in Hemodialysis Patients With Chronic Renal Failure</t>
  </si>
  <si>
    <t>NCT05361707</t>
  </si>
  <si>
    <t>Evaluating the Effects of Tasimelteon in Individuals With Autism Spectrum Disorder (ASD) and Sleep Disturbances</t>
  </si>
  <si>
    <t>NCT04976309</t>
  </si>
  <si>
    <t>A Single Dose Study of Lu AG09222 in a Headache Model With Healthy Subjects</t>
  </si>
  <si>
    <t>NCT04790903</t>
  </si>
  <si>
    <t>A Study Evaluating the Safety, Efficacy and Pharmacokinetics of Venetoclax in Combination With Polatuzumab Vedotin Plus Rituximab (R) and Cyclophosphamide, Doxorubicin, Prednisone (CHP) in Participants With Untreated BCL-2 Immunohistochemistry (IHC)-Positive Diffuse Large B-Cell Lymphoma (DLBCL)</t>
  </si>
  <si>
    <t>NCT04297254</t>
  </si>
  <si>
    <t>A Study to Assess the Safety and Efficacy of Lenvatinib as First-line Treatment in Participants With Unresectable HCC</t>
  </si>
  <si>
    <t>Eisai Pharmaceuticals India Pvt. Ltd</t>
  </si>
  <si>
    <t>NCT04752722</t>
  </si>
  <si>
    <t>LEGEND Study: EG-70 in NMIBC Patients BCG-Unresponsive and High-Risk NMIBC Incompletely Treated With BCG or BCG-Naïve</t>
  </si>
  <si>
    <t>enGene, Inc.</t>
  </si>
  <si>
    <t>NCT05002777</t>
  </si>
  <si>
    <t>Efficacy, Safety and Pharmacokinetics of Rilzabrutinib in Patients With Warm Autoimmune Hemolytic Anemia (wAIHA)</t>
  </si>
  <si>
    <t>NCT05117177</t>
  </si>
  <si>
    <t>New Formulation Study of Inupadenant (EOS100850) in Patients with Cancer</t>
  </si>
  <si>
    <t>NCT05179265</t>
  </si>
  <si>
    <t>Recombinant Human Serum Albumin in Healthy Subjects</t>
  </si>
  <si>
    <t>NCT07692867</t>
  </si>
  <si>
    <t>Efficacy and Safety Study of Tunodafil Hydrochloride Tablets in Erectile Dysfunction</t>
  </si>
  <si>
    <t>Yangtze River Pharmaceutical Group Co., Ltd.</t>
  </si>
  <si>
    <t>NCT03763136</t>
  </si>
  <si>
    <t>Treating Heart Failure With hPSC-CMs</t>
  </si>
  <si>
    <t>NCT05515471</t>
  </si>
  <si>
    <t>Effect of SHR8058 on Signs and Symptoms of Dry Eye Disease Associated With Meibomian Gland Dysfunction</t>
  </si>
  <si>
    <t>NCT04996264</t>
  </si>
  <si>
    <t>Broad-spectrum Rapid Antidote: Varespladib Oral for Snakebite</t>
  </si>
  <si>
    <t>NCT04079231</t>
  </si>
  <si>
    <t>Efficacy and Safety of Brolucizumab vs. Aflibercept in Patients With Visual Impairment Due to Diabetic Macular Edema</t>
  </si>
  <si>
    <t>NCT06037395</t>
  </si>
  <si>
    <t>Phase I Study to Compare the Pharmacokinetics, Pharmacodynamics, and Safety Between CT-P41 and US-licensed Prolia in Healthy Male Subjects</t>
  </si>
  <si>
    <t>NCT05020236</t>
  </si>
  <si>
    <t>A Study to Learn About the Study Medicine Elranatamab Alone and With Daratumumab in People With Multiple Myeloma Who Have Received Other Treatments</t>
  </si>
  <si>
    <t>NCT05102409</t>
  </si>
  <si>
    <t>An Exploratory Crossover Clinical Trial to Compare the Activity of Reproxalap and Lifitegrast in a Dry Eye Disease Chamber</t>
  </si>
  <si>
    <t>NCT04662151</t>
  </si>
  <si>
    <t>A Clinical Safety Study of AT-100 (rhSP-D) in Preterm Neonates at High Risk for Bronchopulmonary Dysplasia (BPD)</t>
  </si>
  <si>
    <t>NCT04905602</t>
  </si>
  <si>
    <t>A Trial of SHR-1905 in Healthy Subjects and Subjects With Mild Asthma</t>
  </si>
  <si>
    <t>NCT04900337</t>
  </si>
  <si>
    <t>Safety, Tolerability and Efficacy of Amorphous Calcium Carbonate (ACC) Compared to Placebo and Best Available Care (BAT), for the Treatment of Moderate to Severe COVID-19 Patients.</t>
  </si>
  <si>
    <t>Amorphical Ltd.</t>
  </si>
  <si>
    <t>NCT04767581</t>
  </si>
  <si>
    <t>Clinical Study of KHK7791 in Hyperphosphatemia Patients on Hemodialysis</t>
  </si>
  <si>
    <t>NCT05021367</t>
  </si>
  <si>
    <t>A Clinical Study of TQB3823 in Patients With Advanced Malignant Tumor</t>
  </si>
  <si>
    <t>NCT04904471</t>
  </si>
  <si>
    <t>A Global Phase III Clinical Trial of Recombinant COVID- 19 Vaccine (Sf9 Cells)</t>
  </si>
  <si>
    <t>WestVac Biopharma Co., Ltd.</t>
  </si>
  <si>
    <t>NCT04818671</t>
  </si>
  <si>
    <t>Evaluating the Long-Term Safety and Tolerability of Efgartigimod PH20 SC Administered Subcutaneously in Patients With Generalized Myasthenia Gravis</t>
  </si>
  <si>
    <t>NCT03743298</t>
  </si>
  <si>
    <t>Safety of AV-MEL-1 With Anti-PD-1 Therapy in Metastatic Melanoma</t>
  </si>
  <si>
    <t>NCT07280377</t>
  </si>
  <si>
    <t>A Study in Advanced or Metastatic Gastrointestinal Cancers Exploring Treatment Combinations With Pelareorep and Atezolizumab</t>
  </si>
  <si>
    <t>NCT04766892</t>
  </si>
  <si>
    <t>A Study of Mavacamten in Participants With HFpEF and Elevation of NT-proBNP With or Without Elevation of cTnT</t>
  </si>
  <si>
    <t>NCT04966871</t>
  </si>
  <si>
    <t>Safety, Tolerability and Efficacy of PfSPZ Vaccine Against Heterologous CHMI in US Malaria naïve Adults</t>
  </si>
  <si>
    <t>Sanaria Inc.</t>
  </si>
  <si>
    <t>NCT04795141</t>
  </si>
  <si>
    <t>ABY-035 in the Treatment of Subjects With Ankylosing Spondylitis</t>
  </si>
  <si>
    <t>Inmagene LLC</t>
  </si>
  <si>
    <t>NCT03988439</t>
  </si>
  <si>
    <t>A Safety and Pharmacokinetics Study of IDP-118 Lotion in Pediatric Participants With Plaque Psoriasis</t>
  </si>
  <si>
    <t>NCT04765657</t>
  </si>
  <si>
    <t>Study of Efficacy and Safety of Inclisiran in Asian Participants With Atherosclerotic Cardiovascular Disease (ASCVD) or ASCVD High Risk and Elevated Low Density Lipoprotein Cholesterol (LDL-C)</t>
  </si>
  <si>
    <t>NCT04907019</t>
  </si>
  <si>
    <t>A Drug Interaction Study of SY-004 Capsules in Healthy Subjects</t>
  </si>
  <si>
    <t>NCT05851027</t>
  </si>
  <si>
    <t>Evaluating the Efficacy and Safety of QL0911 in Chemotherapy- Induced Thrombocytopenia</t>
  </si>
  <si>
    <t>NCT05574166</t>
  </si>
  <si>
    <t>A Phase I Study to Evaluate Safety and Pharmacokinetics of Escalating Single Doses and Multiple Doses of SP-8356</t>
  </si>
  <si>
    <t>NCT05176639</t>
  </si>
  <si>
    <t>A Safety, Tolerability and Efficacy Study of Veligrotug (VRDN 001) in Healthy Volunteers and Participants With Thyroid Eye Disease (TED) ( THRIVE )</t>
  </si>
  <si>
    <t>Viridian Therapeutics, Inc.</t>
  </si>
  <si>
    <t>NCT05067439</t>
  </si>
  <si>
    <t>A Study to Estimate the Effect of Multiple Dose Abrocitinib on Caffeine, Efavirenz, and Omeprazole in Healthy Participants</t>
  </si>
  <si>
    <t>NCT04875975</t>
  </si>
  <si>
    <t>A Study to Test the Efficacy, Safety, and Pharmacokinetics of Rozanolixizumab in Adult Study Participants With Leucine-Rich Glioma Inactivated 1 Autoimmune Encephalitis</t>
  </si>
  <si>
    <t>NCT04783181</t>
  </si>
  <si>
    <t>A Study of Gene Therapy for Classic Congenital Adrenal Hyperplasia (CAH)</t>
  </si>
  <si>
    <t>Adrenas Therapeutics Inc</t>
  </si>
  <si>
    <t>NCT05038800</t>
  </si>
  <si>
    <t>A Study to Evaluate MK-0482 for Relapsed/Refractory Acute Myeloid Leukemia (AML) or Chronic Myelomonocytic Leukemia (CMML) (MK-0482-002)</t>
  </si>
  <si>
    <t>NCT05031494</t>
  </si>
  <si>
    <t>A Study to Assess YH003 in Combination with Toripalimab(anti-PD-1 MAb) Injection in Patients with Cancers</t>
  </si>
  <si>
    <t>NCT04848402</t>
  </si>
  <si>
    <t>A Device Study in Healthy Participants</t>
  </si>
  <si>
    <t>NCT05156229</t>
  </si>
  <si>
    <t>A Phase 1/2a Study of CDK-003 in Patients With Cutaneous T-Cell Lymphoma (CTCL).</t>
  </si>
  <si>
    <t>NCT05076032</t>
  </si>
  <si>
    <t>Phase II Clinical Trial to Evaluate the Ongoing Pregnancy Rate With OXO-001 in IVF/ICSI With Donor Oocytes.</t>
  </si>
  <si>
    <t>OXOLIFE</t>
  </si>
  <si>
    <t>NCT04895748</t>
  </si>
  <si>
    <t>DFF332 as a Single Agent and in Combination With Everolimus &amp; Immuno-Oncology Agents in Advanced/Relapsed Renal Cancer &amp; Other Malignancies</t>
  </si>
  <si>
    <t>NCT05100225</t>
  </si>
  <si>
    <t>Efficacy and Safety Trial of PTP-001 (MOTYS) for Symptomatic Knee Osteoarthritis</t>
  </si>
  <si>
    <t>NCT05114889</t>
  </si>
  <si>
    <t>Safety and Tolerability of BSI-045B in Healthy Adult Subjects and Patients With Atopic Dermatitis</t>
  </si>
  <si>
    <t>Biosion, Inc.</t>
  </si>
  <si>
    <t>NCT04955834</t>
  </si>
  <si>
    <t>A Clinical Study of Insulin Degludec Injection in Subjects With Type 2 Diabetes</t>
  </si>
  <si>
    <t>NCT04604678</t>
  </si>
  <si>
    <t>Pilot Study Into the Use of Metformin and LDN for Patients With COVID-19</t>
  </si>
  <si>
    <t>NCT04826185</t>
  </si>
  <si>
    <t>A Study to Evaluate the Safety, Tolerability, and Efficacy of IMB-1018972 in Patients With Non-obstructive Hypertrophic Cardiomyopathy Trial</t>
  </si>
  <si>
    <t>NCT06097676</t>
  </si>
  <si>
    <t>An Abuse Potential Study of Orally Administered HORIZANT in Healthy, Non-dependent, Recreational Drug Users</t>
  </si>
  <si>
    <t>Arbor Pharmaceuticals, Inc.</t>
  </si>
  <si>
    <t>NCT05182476</t>
  </si>
  <si>
    <t>Study to Evaluate the Efficacy, Safety, and Tolerability of Luvadaxistat in Participants With Cognitive Impairment Associated With Schizophrenia</t>
  </si>
  <si>
    <t>NCT04834908</t>
  </si>
  <si>
    <t>Evaluation of Equine Antibody Treatment in Patients With COVID 19 Infection</t>
  </si>
  <si>
    <t>NCT05116540</t>
  </si>
  <si>
    <t>Randomized Double-Blind Phase 2 Efficacy and Safety of Autologous HB-MSCs vs Placebo for Treatment of Multiple Sclerosis</t>
  </si>
  <si>
    <t>NCT04661150</t>
  </si>
  <si>
    <t>A Study of Atezolizumab and Trastuzumab in Combination With Capecitabine and Oxaliplatin in Patients With HER2 Positive Locally Advanced Resectable Gastric Cancer of Adenocarcinoma of Gastroesophageal Junction</t>
  </si>
  <si>
    <t>NCT04592874</t>
  </si>
  <si>
    <t>A Phase 2 Study to Evaluate Efficacy and Safety of AL002 in Participants With Early Alzheimer's Disease</t>
  </si>
  <si>
    <t>NCT04956432</t>
  </si>
  <si>
    <t>A Multicentre, Randomized, Double-blind, Allopurinol Controlled Study to Evaluate the Efficacy and Safety of SHR4640 in Subjects With Gout</t>
  </si>
  <si>
    <t>NCT03276052</t>
  </si>
  <si>
    <t>A Phase I, Open-Label, Study to Evaluate the Pharmacokinetics, Safety and Tolerability of Aclidinium Bromide in Healthy Chinese Participants</t>
  </si>
  <si>
    <t>NCT05043285</t>
  </si>
  <si>
    <t>The Safety and Immunogenicity of SCTV01C in Healthy Population Aged ≥18 Years Previously Vaccinated With Inactivated COVID-19 Vaccine.</t>
  </si>
  <si>
    <t>NCT05027776</t>
  </si>
  <si>
    <t>Immunogenicity and Safety of Quadrivalent HPV Vaccine in Healthy Chinese Female Subjects Aged 9 to 19 Years</t>
  </si>
  <si>
    <t>NCT04955340</t>
  </si>
  <si>
    <t>A Phase 1, Open-label Study of the Absorption, Metabolism, Excretion of [14C]-Resminostat</t>
  </si>
  <si>
    <t>NCT05017116</t>
  </si>
  <si>
    <t>A Single and Repeated Dose Escalation of RBD1016 in Subjects with Chronic Hepatitis B Virus (HBV) Infection</t>
  </si>
  <si>
    <t>Suzhou Ribo Life Science Co. Ltd.</t>
  </si>
  <si>
    <t>NCT05045638</t>
  </si>
  <si>
    <t>Effect of Coadministration of Sotorasib on the Pharmacokinetics of Rosuvastatin in Healthy Participants</t>
  </si>
  <si>
    <t>NCT05056558</t>
  </si>
  <si>
    <t>Efficacy and Safety of Baricitinib in Patients With Moderate and Severe COVID-19</t>
  </si>
  <si>
    <t>Incepta Pharmaceuticals Ltd</t>
  </si>
  <si>
    <t>NCT04829435</t>
  </si>
  <si>
    <t>Study 102: Multiple Ascending Dose Study of ALLN-346 (Engineered Urate Oxidase)</t>
  </si>
  <si>
    <t>NCT04205435</t>
  </si>
  <si>
    <t>β-globin Restored Autologous HSC in β-thalassemia Major Patients</t>
  </si>
  <si>
    <t>NCT05015608</t>
  </si>
  <si>
    <t>Study on Savolitinib Combined With Osimertinib in Treatment of Advanced NSCLC With MET Amplification</t>
  </si>
  <si>
    <t>NCT05788991</t>
  </si>
  <si>
    <t>Comparison of Dequalinium Chloride (Fluomizin) vs Oral Metronidazole for the Treatment of Bacterial Vaginosis</t>
  </si>
  <si>
    <t>Medinova AG</t>
  </si>
  <si>
    <t>NCT04824794</t>
  </si>
  <si>
    <t>GEN3014 Trial in Relapsed or Refractory Hematologic Malignancies</t>
  </si>
  <si>
    <t>NCT05358756</t>
  </si>
  <si>
    <t>A Study of Bioavailability and Food Effect of SACT-1 and Edurant® Tablets in Healthy Adult Volunteers</t>
  </si>
  <si>
    <t>NCT04972422</t>
  </si>
  <si>
    <t>A Phase 1b Study of ZN-c3 in Chinese Subjects</t>
  </si>
  <si>
    <t>NCT04896112</t>
  </si>
  <si>
    <t>A Study of LNK01002 in Patients With Primary or Secondary Myelofibrosis,Polycythemia Vera or Acute Myeloid Leukemia</t>
  </si>
  <si>
    <t>NCT05177029</t>
  </si>
  <si>
    <t>Safety and Tolerability Study of Lu AG06466 in Healthy Young Japanese and Caucasian Participants</t>
  </si>
  <si>
    <t>NCT04728802</t>
  </si>
  <si>
    <t>Proxalutamide Treatment for Hospitalized COVID-19 Patients</t>
  </si>
  <si>
    <t>NCT04607837</t>
  </si>
  <si>
    <t>Etrasimod Versus Placebo for the Treatment of Moderately Active Ulcerative Colitis</t>
  </si>
  <si>
    <t>NCT05127486</t>
  </si>
  <si>
    <t>A Study of Galcanezumab (LY2951742) in Adult Participants With Episodic Migraine</t>
  </si>
  <si>
    <t>NCT05006573</t>
  </si>
  <si>
    <t>Efficacy and Safety of Benralizumab in Patients With Non-cystic Fibrosis Bronchiectasis</t>
  </si>
  <si>
    <t>NCT05165394</t>
  </si>
  <si>
    <t>Study to Evaluate the Efficacy and Safety of Once-Weekly Oral NBI-1065846 in the Treatment of Anhedonia in MDD</t>
  </si>
  <si>
    <t>NCT05328557</t>
  </si>
  <si>
    <t>A Phase Ia Study to Evaluate the Safety, Tolerability, Pharmacokinetics and Pharmacodynamics of Subcutaneously Administered CUG252 in Normal Healthy Volunteers</t>
  </si>
  <si>
    <t>Cugene Inc.</t>
  </si>
  <si>
    <t>NCT05139615</t>
  </si>
  <si>
    <t>A Study to Assess the Hemodynamic Effects, Safety, Tolerability, and Pharmacokinetics of Intravenous APD418 in Adult Participants With Heart Failure With Reduced Ejection Fraction</t>
  </si>
  <si>
    <t>NCT04956289</t>
  </si>
  <si>
    <t>Study to Assess the Safety, Tolerability, and Efficacy of Viltolarsen in Ambulant and Non-Ambulant Boys With DMD (Galactic53)</t>
  </si>
  <si>
    <t>NCT04703868</t>
  </si>
  <si>
    <t>A Study to Compare the Safety, Pharmacokinetics and Pharmacodynamics of YPI 011 to Rabeprazole in Healthy Adult Subjects</t>
  </si>
  <si>
    <t>Yungjin Pharm. Co., Ltd.</t>
  </si>
  <si>
    <t>NCT04890574</t>
  </si>
  <si>
    <t>CellMist™ Autologous Cells to Treat Deep Second-Degree Burns</t>
  </si>
  <si>
    <t>RenovaCare, Inc</t>
  </si>
  <si>
    <t>NCT04853017</t>
  </si>
  <si>
    <t>A Study of ELI-002 in Subjects With KRAS Mutated Pancreatic Ductal Adenocarcinoma (PDAC) and Other Solid Tumors</t>
  </si>
  <si>
    <t>Elicio Therapeutics</t>
  </si>
  <si>
    <t>NCT04607850</t>
  </si>
  <si>
    <t>Prime-boost Vaccine Study in Women With Low-grade Cervical HPV Lesions</t>
  </si>
  <si>
    <t>NCT04795713</t>
  </si>
  <si>
    <t>Study of MT-6402 in Subjects With Advanced Solid Cancer That Expresses PD-L1</t>
  </si>
  <si>
    <t>NCT04848220</t>
  </si>
  <si>
    <t>A Study Evaluating the Safety, Tolerability, and Effect on Microvascular Obstruction of Intravenous Temanogrel in Adult Participants Undergoing Percutaneous Coronary Intervention</t>
  </si>
  <si>
    <t>NCT05067946</t>
  </si>
  <si>
    <t>Evaluation of Efficacy, Safety and Immunogenicity of GX-19N in Healthy Individuals Who Have Received COVID-19 Vaccines</t>
  </si>
  <si>
    <t>NCT05205746</t>
  </si>
  <si>
    <t>Phase II Study of AVX/COVID-12 Vaccine in Subjects With Prior SARS-CoV-2 Immunity Evidence</t>
  </si>
  <si>
    <t>NCT05134727</t>
  </si>
  <si>
    <t>Assess the Safety, Tolerability and Pharmacokinetics of AZD5055 Following Single and Multiple Ascending Doses in Healthy Participants</t>
  </si>
  <si>
    <t>NCT04128462</t>
  </si>
  <si>
    <t>MNK-6105 for Patients With Cirrhosis and High Ammonia Levels Affecting Brain Function</t>
  </si>
  <si>
    <t>Mallinckrodt</t>
  </si>
  <si>
    <t>NCT04956627</t>
  </si>
  <si>
    <t>A Study to Assess the Effect of Itraconazole, Phenytoin and Gemfibrozil on the Drug Levels of BMS-986166 in Healthy Participants</t>
  </si>
  <si>
    <t>NCT04150042</t>
  </si>
  <si>
    <t>SHARON: A Clinical Trial for Metastatic Cancer Using Chemotherapy and Patients' Own Stem Cells</t>
  </si>
  <si>
    <t>General Oncology, Inc.</t>
  </si>
  <si>
    <t>NCT04632992</t>
  </si>
  <si>
    <t>A Study Evaluating Targeted Therapies in Participants Who Have Advanced Solid Tumors With Genomic Alterations or Protein Expression Patterns Predictive of Response</t>
  </si>
  <si>
    <t>NCT04665700</t>
  </si>
  <si>
    <t>A Study in Healthy Japanese Men to Test How Well Different Doses of BI 764198 Are Tolerated</t>
  </si>
  <si>
    <t>NCT03708900</t>
  </si>
  <si>
    <t>Pharmacokinetic (PK), Pharmacodynamic (PD) and Tolerability of Osilodrostat in Pediatric Patients With Cushing's Syndrome</t>
  </si>
  <si>
    <t>NCT06868667</t>
  </si>
  <si>
    <t>Japan Expansion Cohort: Evaluation of Efficacy and Safety of Belantamab Mafodotin, Bortezomib and Dexamethasone Versus Daratumumab, Bortezomib and Dexamethasone in Participants With Relapsed/Refractory Multiple Myeloma</t>
  </si>
  <si>
    <t>NCT04603300</t>
  </si>
  <si>
    <t>OMEGA Study: A Study of the Safety and Feasibility of Up-titration With INT301 in Adults With Sensitivity to Peanut</t>
  </si>
  <si>
    <t>Intrommune Therapeutics</t>
  </si>
  <si>
    <t>NCT04869592</t>
  </si>
  <si>
    <t>A Clinical Trial to Evaluate the Recombinant SARS-CoV-2 Vaccine (CHO Cell) for COVID-19</t>
  </si>
  <si>
    <t>NCT04516967</t>
  </si>
  <si>
    <t>Avatrombopag for the Treatment of Thrombocytopenia in Pediatric Subjects With Immune Thrombocytopenia for ≥6 Months</t>
  </si>
  <si>
    <t>NCT04771000</t>
  </si>
  <si>
    <t>A Study of Micro Dose Ambrisentan in Hospitalized Patients With Respiratory Insufficiency Due to COVID-19</t>
  </si>
  <si>
    <t>Noorik Biopharmaceuticals AG</t>
  </si>
  <si>
    <t>NCT04923607</t>
  </si>
  <si>
    <t>Phase I Clinical Trial of TQC2731 Injection</t>
  </si>
  <si>
    <t>NCT04782687</t>
  </si>
  <si>
    <t>Study of Selinexor Plus DRd for Newly Diagnosed Multiple Myeloma</t>
  </si>
  <si>
    <t>US Oncology Research</t>
  </si>
  <si>
    <t>NCT04790916</t>
  </si>
  <si>
    <t>Effect of RO7049665 on the Time to Relapse Following Steroid Tapering in Participants With Autoimmune Hepatitis (AIH)</t>
  </si>
  <si>
    <t>NCT07622004</t>
  </si>
  <si>
    <t>Evaluate the Efficacy and Safety of INI101 Compared to BOTOX® in Subjects With Moderate to Severe Glabellar Lines.</t>
  </si>
  <si>
    <t>INIBIO Co., Ltd.</t>
  </si>
  <si>
    <t>NCT03271515</t>
  </si>
  <si>
    <t>Immunotherapy With Bispecific CAR-T Cells for B-Cell Lymphoma, ALL and CLL</t>
  </si>
  <si>
    <t>NCT05038735</t>
  </si>
  <si>
    <t>Study to Assess the Efficacy and Safety of Alpelisib Plus Fulvestrant in Participants With HR-positive (HR+), HER2-negative, Advanced Breast Cancer After Treatment With a CDK4/6 Inhibitor and an Aromatase Inhibitor.</t>
  </si>
  <si>
    <t>NCT05079425</t>
  </si>
  <si>
    <t>A First-in-Human Study to Assess Single and Multiple Doses of NXC736 in Healthy Participants</t>
  </si>
  <si>
    <t>NEXTGEN Bioscience</t>
  </si>
  <si>
    <t>NCT04777357</t>
  </si>
  <si>
    <t>A Study to Assess Change in Disease Activity and Adverse Events (AEs) With Cariprazine in the Treatment of Depressive Episodes in Pediatric Participants Participants (10 to 17 Years of Age) With Bipolar I Disorder.</t>
  </si>
  <si>
    <t>NCT05119777</t>
  </si>
  <si>
    <t>HArmonyCa Injectable Gel for Mid Face Soft Tissue Augmentation</t>
  </si>
  <si>
    <t>NCT04935801</t>
  </si>
  <si>
    <t>A Phase-I Study of a Nanoparticle-based Peptide Vaccine Against Dengue Virus</t>
  </si>
  <si>
    <t>Gylden Pharma Ltd</t>
  </si>
  <si>
    <t>NCT04667377</t>
  </si>
  <si>
    <t>A Study to Test Whether Different Doses of BI 456906 Help People With Overweight or Obesity to Lose Weight</t>
  </si>
  <si>
    <t>NCT04707157</t>
  </si>
  <si>
    <t>Chronic Pain Master Protocol (CPMP): A Study of LY3556050 in Participants With Diabetic Peripheral Neuropathic Pain</t>
  </si>
  <si>
    <t>NCT06500689</t>
  </si>
  <si>
    <t>To Assess Allisartan Isoproxil/Sustained-Release Indapamide in Patients With Essential Hypertension Uncontrolled With Allisartan Isoproxil</t>
  </si>
  <si>
    <t>NCT05235074</t>
  </si>
  <si>
    <t>OH2 Oncolytic Viral Therapy in Central Nervous System Tumors</t>
  </si>
  <si>
    <t>NCT04887259</t>
  </si>
  <si>
    <t>Trial of LAVA-051 in Patients with Relapsed/refractory CLL, MM, or AML</t>
  </si>
  <si>
    <t>Lava Therapeutics</t>
  </si>
  <si>
    <t>NCT05046327</t>
  </si>
  <si>
    <t>Open-Label Study to Evaluate the Safety and Efficacy of Avatrombopag and Remission Rates in Adults With ITP of ≤6 Months</t>
  </si>
  <si>
    <t>NCT05061719</t>
  </si>
  <si>
    <t>An Open-label Study of Lumateperone as Adjunctive Therapy in the Treatment of Patients With Major Depressive Disorder</t>
  </si>
  <si>
    <t>NCT04669028</t>
  </si>
  <si>
    <t>A Phase 3 Study of NE3107 in Probable Alzheimer's Disease</t>
  </si>
  <si>
    <t>NCT04880512</t>
  </si>
  <si>
    <t>The Safety, Tolerability, and Pharmacokinetics of SYHX1901 Tablets in Chinese Healthy Subjects</t>
  </si>
  <si>
    <t>NCT04737330</t>
  </si>
  <si>
    <t>A Study of the Efficacy and Safety of Secukinumab 300 mg in Patients With Thyroid Eye Disease (TED)</t>
  </si>
  <si>
    <t>NCT05014438</t>
  </si>
  <si>
    <t>A Study of BMS-986166 or Branebrutinib for the Treatment of Participants With Atopic Dermatitis</t>
  </si>
  <si>
    <t>NCT05037149</t>
  </si>
  <si>
    <t>Ph. 1, Evaluation of Safety, Tolerability, PK, Anti-tumor Activity of STP707 IV in Subjects With Solid Tumors</t>
  </si>
  <si>
    <t>NCT04986865</t>
  </si>
  <si>
    <t>A Study ATG-101 in Patients With Metastatic/Advanced Solid Tumors and Mature B-cell Non-Hodgkin Lymphomas</t>
  </si>
  <si>
    <t>Antengene Biologics Limited</t>
  </si>
  <si>
    <t>NCT05127525</t>
  </si>
  <si>
    <t>EffiCacy, Safety and ToLErability of a Novel Ocular ANtiseptic for Ocular Use (CLEAN)</t>
  </si>
  <si>
    <t>iRenix Medical, Inc.</t>
  </si>
  <si>
    <t>NCT04686825</t>
  </si>
  <si>
    <t>The Food Effect on Pharmacokinetics of DA-8010 After a Single Administration of DA-8010 2.5 mg or 5 mg in Healthy Subjects</t>
  </si>
  <si>
    <t>NCT04951076</t>
  </si>
  <si>
    <t>A Phase 2b Study of BNC210 Tablet Formulation in Adults With Post-Traumatic Stress Disorder (PTSD)</t>
  </si>
  <si>
    <t>Bionomics Limited</t>
  </si>
  <si>
    <t>NCT04484025</t>
  </si>
  <si>
    <t>SPI-1005 Treatment in Moderate COVID-19 Patients</t>
  </si>
  <si>
    <t>NCT04992208</t>
  </si>
  <si>
    <t>Safety of an Inactivated SARS-CoV-2 Vaccine for Prevention of COVID-19 in Children and Adolescents</t>
  </si>
  <si>
    <t>NCT05014815</t>
  </si>
  <si>
    <t>Ociperlimab With Tislelizumab and Chemotherapy in Participants With Untreated Metastatic Non-Small Cell Lung Cancer</t>
  </si>
  <si>
    <t>NCT04634825</t>
  </si>
  <si>
    <t>Enoblituzumab Plus Retifanlimab or Tebotelimab in Head and Neck Cancer</t>
  </si>
  <si>
    <t>MacroGenics</t>
  </si>
  <si>
    <t>NCT05026008</t>
  </si>
  <si>
    <t>A Phase 1 Study to Evaluate the Safety, Tolerability, Pharmacokinetics and Pharmacodynamics of SR1375</t>
  </si>
  <si>
    <t>NCT04654468</t>
  </si>
  <si>
    <t>A Study Evaluating the Efficacy, Safety, Pharmacokinetics and Pharmacodynamics of Crovalimab in Participants With Paroxysmal Nocturnal Hemoglobinuria (PNH) Not Previously Treated With Complement Inhibition</t>
  </si>
  <si>
    <t>NCT04775082</t>
  </si>
  <si>
    <t>SCALE KIDS: Research Study to Look at How Well a New Medicine is at Lowering Weight in Children With Obesity</t>
  </si>
  <si>
    <t>NCT06226350</t>
  </si>
  <si>
    <t>A Phase Ⅱ Study of F520 in Patients With Cervical Carcinoma</t>
  </si>
  <si>
    <t>NCT04955990</t>
  </si>
  <si>
    <t>A Study of Real-world Cohort of Pulmonary Arterial Hypertension (PAH) Participants</t>
  </si>
  <si>
    <t>NCT04567615</t>
  </si>
  <si>
    <t>A Study of Relatlimab in Combination With Nivolumab in Participants With Advanced Liver Cancer Who Have Never Been Treated With Immuno-oncology Therapy After Prior Treatment With Tyrosine Kinase Inhibitors</t>
  </si>
  <si>
    <t>NCT04938635</t>
  </si>
  <si>
    <t>Efficacy and Safety Study of Multiple Doses of VIT-2763 in Adults With Transfusion-dependent Beta-thalassemia</t>
  </si>
  <si>
    <t>NCT05414591</t>
  </si>
  <si>
    <t>Pharmacokinetics and Safety Following Administration of DWP16001</t>
  </si>
  <si>
    <t>NCT04777396</t>
  </si>
  <si>
    <t>A Research Study Investigating Semaglutide in People With Early Alzheimer's Disease (EVOKE)</t>
  </si>
  <si>
    <t>NCT04840784</t>
  </si>
  <si>
    <t>First-in Human (FIH) Trial of ETH-155008 in Subjects With B-NHL, CLL/SLL and AML</t>
  </si>
  <si>
    <t>Shengke Pharmaceuticals Pty Ltd</t>
  </si>
  <si>
    <t>NCT04299152</t>
  </si>
  <si>
    <t>Stem Cell Educator Therapy Treat the Viral Inflammation in COVID-19</t>
  </si>
  <si>
    <t>Throne Biotechnologies Inc.</t>
  </si>
  <si>
    <t>NCT06307847</t>
  </si>
  <si>
    <t>Pivotal Study to Evaluate Efficacy and Safety of SP5M001 Inj. as Compared to Synovian Inj. in Patients With Mild to Moderate Knee Osteoarthritis</t>
  </si>
  <si>
    <t>NCT05118750</t>
  </si>
  <si>
    <t>ALTO-300 in Depression</t>
  </si>
  <si>
    <t>NCT05167513</t>
  </si>
  <si>
    <t>Monitoring Parameters Beyond Glycemic Control: Impact of Sitagliptin on Quality of Life in Type 2 Diabetes Patients</t>
  </si>
  <si>
    <t>NCT04924140</t>
  </si>
  <si>
    <t>A Study to Assess Absolute Bioavailability of Aducanumab in Healthy Volunteers</t>
  </si>
  <si>
    <t>NCT04860778</t>
  </si>
  <si>
    <t>An Open-label, Exploratory Study to Investigate the Efficacy of BDNF Essentials® on Cognition</t>
  </si>
  <si>
    <t>Researched Nutritionals LLC</t>
  </si>
  <si>
    <t>NCT04758897</t>
  </si>
  <si>
    <t>Clinical Study of VG161 in Subjects With Advanced Malignant Solid Tumors</t>
  </si>
  <si>
    <t>NCT04862468</t>
  </si>
  <si>
    <t>Perivenous Dexamethasone Therapy: Examining Reduction of Inflammation After Thrombus Removal to Yield Benefit in Acute Femoropopliteal DVT</t>
  </si>
  <si>
    <t>Mercator MedSystems, Inc.</t>
  </si>
  <si>
    <t>NCT04904913</t>
  </si>
  <si>
    <t>A Study of IBI362 Evaluating Weight Loss in Obese and Overweight Chinese Subjects</t>
  </si>
  <si>
    <t>NCT04772079</t>
  </si>
  <si>
    <t>A Study to Evaluate the Drug Levels, Efficacy and Safety of Deucravacitinib in Children and Adolescent Participants With Moderate to Severe Plaque Psoriasis</t>
  </si>
  <si>
    <t>NCT04889040</t>
  </si>
  <si>
    <t>Study to Evaluate the Effects of RO7496998 (AT-527) in Non-Hospitalized Adult and Adolescent Participants With Mild or Moderate COVID-19</t>
  </si>
  <si>
    <t>NCT04882150</t>
  </si>
  <si>
    <t>A Study to Determine the Safety, Drug Levels and Drug Effects of BMS-986196 and Food and Formulation Effects on Relative Absorption Healthy Participants</t>
  </si>
  <si>
    <t>NCT04784390</t>
  </si>
  <si>
    <t>Proof of Concept Study of Binocular Videogames Versus Patching for Amblyopia</t>
  </si>
  <si>
    <t>NCT04712097</t>
  </si>
  <si>
    <t>A Study Evaluating the Efficacy and Safety of Mosunetuzumab in Combination With Lenalidomide in Comparison to Rituximab in Combination With Lenalidomide With a US Extension of Mosunetuzumab in Combination With Lenalidomide in Participants With Follicular Lymphoma</t>
  </si>
  <si>
    <t>NCT04945460</t>
  </si>
  <si>
    <t>A Study of Sotatercept for the Treatment of Cpc-PH Due to HFpEF (MK-7962-007/A011-16)</t>
  </si>
  <si>
    <t>NCT05079282</t>
  </si>
  <si>
    <t>Study of ONO-4685 in Patients With Relapsed or Refractory T Cell Lymphoma</t>
  </si>
  <si>
    <t>NCT04771780</t>
  </si>
  <si>
    <t>Phosphate Binder Switch Study of KHK7791 in Hyperphosphatemia Patients on Hemodialysis</t>
  </si>
  <si>
    <t>NCT05531422</t>
  </si>
  <si>
    <t>Effectiveness and Tolerance of Inhaled Fentanyl Aerosol (25µg/Dose) in Chinese Patients With BTcP</t>
  </si>
  <si>
    <t>NCT04807751</t>
  </si>
  <si>
    <t>Clinical Trial to Evaluate UV-light-induced Allergic Skin Reactions After Application of Delgocitinib Cream</t>
  </si>
  <si>
    <t>NCT04889157</t>
  </si>
  <si>
    <t>A Study to Evaluate the Pharmacokinetics, Pharmacodynamics, Safety and Tolerability of PF-06882961 in Chinese Adults With Type 2 Diabetes Mellitus</t>
  </si>
  <si>
    <t>NCT05017012</t>
  </si>
  <si>
    <t>A Study to Evaluate the Bioavailability of Pembrolizumab (MK-3475) Via Subcutaneous (SC) Injection of Pembrolizumab Formulated With Berahyaluronidase Alfa (MK-5180) [MK-3475A] In Advanced Solid Tumors (MK-3475A-C18)</t>
  </si>
  <si>
    <t>NCT04798989</t>
  </si>
  <si>
    <t>A Study of the Effects of CY6463 in Participants With Alzheimer's Disease With Vascular Pathology</t>
  </si>
  <si>
    <t>NCT04707391</t>
  </si>
  <si>
    <t>Immunogenicity and Safety Study of GSK's MenABCWY Vaccine in Healthy Adolescents and Adults Previously Primed With MenACWY Vaccine</t>
  </si>
  <si>
    <t>NCT04306510</t>
  </si>
  <si>
    <t>A Study to Characterize Adverse Events Occurring Within One Day of TEGSEDI Administration to Adult Participants With hATTR-PN</t>
  </si>
  <si>
    <t>Akcea Therapeutics</t>
  </si>
  <si>
    <t>NCT04936113</t>
  </si>
  <si>
    <t>Continued Safety Evaluation of FB-401 in Children, Adolescents and Adults (2 Years and Older) With Mild to Moderate Atopic Dermatitis Previously Enrolled in the FB401-01 Study</t>
  </si>
  <si>
    <t>NCT04501614</t>
  </si>
  <si>
    <t>A Study of Ponatinib With Chemotherapy in Children, Teenagers, and Adults With Philadelphia Chromosome-Positive Acute Lymphoblastic Leukemia</t>
  </si>
  <si>
    <t>NCT05226338</t>
  </si>
  <si>
    <t>Evaluation of Relative Bioavailability of D-0502 Tablet in Healthy Female Subjects</t>
  </si>
  <si>
    <t>NCT04803955</t>
  </si>
  <si>
    <t>Efficacy and Safety of Kukoamine B Mesilate in Sepsis Patients</t>
  </si>
  <si>
    <t>NCT05163691</t>
  </si>
  <si>
    <t>Pharmacokinetics of GH001 in Healthy Volunteers</t>
  </si>
  <si>
    <t>GH Research Ireland Limited</t>
  </si>
  <si>
    <t>NCT05111249</t>
  </si>
  <si>
    <t>A Dose Range Finding Study With Open-Label Extension to Evaluate the Safety of Oral LMI070/Branaplam in Early Manifest Huntington's Disease</t>
  </si>
  <si>
    <t>NCT05054348</t>
  </si>
  <si>
    <t>First-in-human Study of IO-108 as Single Agent and in Combination With a PD-1 Immune Check Point Inhibitor in Patients With Advanced Solid Tumors</t>
  </si>
  <si>
    <t>NCT04788615</t>
  </si>
  <si>
    <t>Open Label Randomized Multicenter to Assess Efficacy &amp; Tolerability of Ofatumumab 20mg vs. First Line DMT in RMS</t>
  </si>
  <si>
    <t>NCT04780217</t>
  </si>
  <si>
    <t>Intravenous T3011 Given as a Single Agent and in Combination With Other Therapy in Subjects With Advanced Solid Tumors</t>
  </si>
  <si>
    <t>NCT04593784</t>
  </si>
  <si>
    <t>Study of Ciraparantag for Reversal of Anticoagulation Induced by Edoxaban, Apixaban or Rivaroxaban in Healthy Adults</t>
  </si>
  <si>
    <t>AMAG Pharmaceuticals, Inc.</t>
  </si>
  <si>
    <t>NCT05119933</t>
  </si>
  <si>
    <t>A Phase 1/2, Study of YL-15293 in Subjects With Advanced Solid Tumors With a KRAS G12C Mutation</t>
  </si>
  <si>
    <t>NCT04836858</t>
  </si>
  <si>
    <t>A Study to Assess the Efficacy and Safety of CMK389 in Patients With Moderate to Severe Atopic Dermatitis.</t>
  </si>
  <si>
    <t>NCT05103891</t>
  </si>
  <si>
    <t>Relative Bioavailability of Binimetinib 3 x 15 mg and 45 mg Formulations</t>
  </si>
  <si>
    <t>NCT06189391</t>
  </si>
  <si>
    <t>A Study to Evaluate MK-1045 (CN201) in Participants With Relapsed or Refractory B-Cell Non-Hodgkin Lymphoma (MK-1045-001/CN201-101)</t>
  </si>
  <si>
    <t>MSD R&amp;D (China) Co., Ltd.</t>
  </si>
  <si>
    <t>NCT04811118</t>
  </si>
  <si>
    <t>The Comparison of the Pharmacokinetics of Albumin-bound Docetaxel and Taxotere</t>
  </si>
  <si>
    <t>NCT04900038</t>
  </si>
  <si>
    <t>A Clinical Trial of GSK3640254 + Dolutegravir (DTG) in Human Immunodeficiency Virus-1 Infected Treatment-naive Adults</t>
  </si>
  <si>
    <t>NCT04984278</t>
  </si>
  <si>
    <t>Evaluation of the Effect of Nabiximols Oromucosal Spray on Clinical Measures of Spasticity in Participants With Multiple Sclerosis</t>
  </si>
  <si>
    <t>NCT05614518</t>
  </si>
  <si>
    <t>Diagnostic Performance and Safety of 18F-NaF-PET/CT in Bone Metastases Compared With 99mTc⁃MDP-BS±SPECT</t>
  </si>
  <si>
    <t>HTA Co., Ltd.</t>
  </si>
  <si>
    <t>NCT05674448</t>
  </si>
  <si>
    <t>A Study to Evaluate the Antiviral Activity and Safety of HH-003 Injection in Subjects With Chronic Hepatitis B and Hepatitis D Co-infection</t>
  </si>
  <si>
    <t>NCT05083325</t>
  </si>
  <si>
    <t>Bioavailability of Oseltamivir Phosphate 75 mg With Regards to Reference Product</t>
  </si>
  <si>
    <t>NCT04876391</t>
  </si>
  <si>
    <t>A Study Investigating Long-term Treatment With Spesolimab in People With a Skin Disease Called Hidradenitis Suppurativa Who Completed a Previous Clinical Trial</t>
  </si>
  <si>
    <t>NCT04864418</t>
  </si>
  <si>
    <t>AST-021p Study in Advanced Solid Tumors</t>
  </si>
  <si>
    <t>Aston Sci. Inc.</t>
  </si>
  <si>
    <t>NCT04776135</t>
  </si>
  <si>
    <t>Comparative Bioavailability Study of Oral Edaravone Administered Orally and Via a Nasogastric Tube</t>
  </si>
  <si>
    <t>NCT05439408</t>
  </si>
  <si>
    <t>Comparative Bioavailability of XS004 (Dasatinib) Formulation G and SPRYCEL® (Dasatinib) in Healthy, Adult Subjects Under Fasting Conditions</t>
  </si>
  <si>
    <t>NCT04426968</t>
  </si>
  <si>
    <t>A Phase II Study of Hepalatide in Subjects With Chronic Hepatitis B</t>
  </si>
  <si>
    <t>Shanghai HEP Pharmaceutical Co., Ltd.</t>
  </si>
  <si>
    <t>NCT05233774</t>
  </si>
  <si>
    <t>Lomecel-B Effects on Alzheimer's Disease</t>
  </si>
  <si>
    <t>NCT04915989</t>
  </si>
  <si>
    <t>Safety and Immunogenicity of GX-19N, a COVID-19 Preventive DNA Vaccine in Elderly Individuals</t>
  </si>
  <si>
    <t>NCT05201690</t>
  </si>
  <si>
    <t>Safety and Pharmacokinetics Study of Multiple Ascending Doses of VV116 in Healthy Volunteers</t>
  </si>
  <si>
    <t>NCT04941313</t>
  </si>
  <si>
    <t>Phase 1 Study of 3D229 in Healthy Subjects</t>
  </si>
  <si>
    <t>3D Medicines</t>
  </si>
  <si>
    <t>NCT05080660</t>
  </si>
  <si>
    <t>Chronic Pain Master Protocol (CPMP): A Study of LY3526318 in Participants With Osteoarthritis</t>
  </si>
  <si>
    <t>NCT04853251</t>
  </si>
  <si>
    <t>A Study Assessing Corneal Endothelial Cells in Participants With Neovascular Age-related Macular Degeneration (nAMD) Treated With the Port Delivery System With Ranibizumab (PDS)</t>
  </si>
  <si>
    <t>NCT04731922</t>
  </si>
  <si>
    <t>A Study of TAK-510 in Healthy Adults</t>
  </si>
  <si>
    <t>NCT04776629</t>
  </si>
  <si>
    <t>A Proof-of-Activity Study With Orticumab in Subjects With Psoriasis and Cardiometabolic Risk Factors</t>
  </si>
  <si>
    <t>Abcentra</t>
  </si>
  <si>
    <t>NCT04950751</t>
  </si>
  <si>
    <t>Immunogenicity and Safety of Adjuvanted SCB-2020S Vaccines in Adults</t>
  </si>
  <si>
    <t>NCT05093322</t>
  </si>
  <si>
    <t>A Study of Surufatinib in Combination With Gemcitabine in Pediatric, Adolescent, and Young Adult Patients With Recurrent or Refractory Solid Tumors</t>
  </si>
  <si>
    <t>NCT04696731</t>
  </si>
  <si>
    <t>Safety and Efficacy of ALLO-316 in Subjects With Advanced or Metastatic Clear Cell Renal Cell Carcinoma</t>
  </si>
  <si>
    <t>NCT04905342</t>
  </si>
  <si>
    <t>NVP-1805 Compared to Coadministration of NVP-1805-R1 With NVP-1805-R2 in Healthy Adult Volunteers</t>
  </si>
  <si>
    <t>NCT04539041</t>
  </si>
  <si>
    <t>Safety, Tolerability and Pharmacokinetics of Multiple Ascending Doses of NIO752 in Progressive Supranuclear Palsy</t>
  </si>
  <si>
    <t>NCT04724837</t>
  </si>
  <si>
    <t>Zibotentan and Dapagliflozin for the Treatment of CKD (ZENITH-CKD Trial)</t>
  </si>
  <si>
    <t>NCT04855201</t>
  </si>
  <si>
    <t>A Study to Evaluate ASP0367 in Participants With Reduced Maximum Oxygen Uptake Due to Poor Systemic Oxygen Extraction</t>
  </si>
  <si>
    <t>NCT04993430</t>
  </si>
  <si>
    <t>A Phase 1 Study of HRS8807 Monotherapy and in Combination With SHR6390 in Subjects With ER-Positive, HER2-Negative Metastatic or Locally Advanced Breast Cancer</t>
  </si>
  <si>
    <t>NCT04931862</t>
  </si>
  <si>
    <t>Study of WVE-004 in Patients With C9orf72-associated Amyotrophic Lateral Sclerosis (ALS) or Frontotemporal Dementia (FTD)</t>
  </si>
  <si>
    <t>NCT04680988</t>
  </si>
  <si>
    <t>A Study of SHR-1210± SHR-1020 Versus Chemotherapy in Patients With Recurrent or Metastatic Cervical Cancer</t>
  </si>
  <si>
    <t>NCT04825288</t>
  </si>
  <si>
    <t>XB2001 in Combination With ONIVYDE + 5-FU/LV (+Folinic Acid) in Advanced Pancreatic Cancer</t>
  </si>
  <si>
    <t>XBiotech, Inc.</t>
  </si>
  <si>
    <t>NCT04840888</t>
  </si>
  <si>
    <t>A Study of LY3484356 in Healthy Female Participants</t>
  </si>
  <si>
    <t>NCT04801888</t>
  </si>
  <si>
    <t>Study on Combined Vaccination With SARS-CoV-2 Inactivated Vaccine and Quadrivalent Influenza Vaccine</t>
  </si>
  <si>
    <t>NCT05033080</t>
  </si>
  <si>
    <t>A Phase 3 Study of VX-121 Combination Therapy in Participants With Cystic Fibrosis (CF) Heterozygous for F508del and a Minimal Function Mutation (F/MF)</t>
  </si>
  <si>
    <t>NCT04774380</t>
  </si>
  <si>
    <t>Study of Durvalumab in Combination With Platinum and Etoposide for the First Line Treatment of Patients With Extensive-stage Small Cell Lung Cancer</t>
  </si>
  <si>
    <t>NCT05148442</t>
  </si>
  <si>
    <t>A Study Evaluating the Safety, Tolerability and Preliminary Efficacy of IBI322 in Subjects With Myeloid Tumor</t>
  </si>
  <si>
    <t>NCT05069870</t>
  </si>
  <si>
    <t>A Study to Investigate the Drug-drug Interactions (DDIs) of SKLB1028 With Itraconazole, Gemfibrozil or Rifampicin in Healthy Subjects</t>
  </si>
  <si>
    <t>NCT04680273</t>
  </si>
  <si>
    <t>Study to Investigate the Absorption, Metabolism, and Excretion of [14C]-GDC-9545 Following a Single Oral Dose (Part 1) and to Evaluate the Absolute and Relative Bioavailability of Oral Capsule Formulations of GDC-9545 (Part 2) in Healthy Female Subjects of Non-Childbearing Potential</t>
  </si>
  <si>
    <t>NCT05007951</t>
  </si>
  <si>
    <t>Immunogenicity and Safety Study of SK SARS-CoV-2 Recombinant Nanoparticle Vaccine (GBP510) Adjuvanted With AS03 (COVID-19)</t>
  </si>
  <si>
    <t>NCT04855929</t>
  </si>
  <si>
    <t>A Study Evaluating Safety and Therapeutic Activity of ANV419 in Patients with Advanced Cancer.</t>
  </si>
  <si>
    <t>Anaveon AG</t>
  </si>
  <si>
    <t>NCT05181995</t>
  </si>
  <si>
    <t>Safety and Efficacy of 50 mg NYX-783 QD vs. Placebo in PTSD</t>
  </si>
  <si>
    <t>Aptinyx</t>
  </si>
  <si>
    <t>NCT04929483</t>
  </si>
  <si>
    <t>Study Evaluating the Safety, Efficacy and Tolerability of BIO89-100 in Subjects With Biopsy-confirmed Nonalcoholic Steatohepatitis (NASH)</t>
  </si>
  <si>
    <t>NCT05047783</t>
  </si>
  <si>
    <t>Masitinib in Patients With Symptomatic Mild to Moderate COVID-19</t>
  </si>
  <si>
    <t>NCT05346783</t>
  </si>
  <si>
    <t>Comparing Efficacy and Safety of TJO-083 in Dry Eye Disease Patients</t>
  </si>
  <si>
    <t>NCT04999605</t>
  </si>
  <si>
    <t>A Study of AK112 Combined With PARP Inhibitor in the Treatment of Recurrent Ovarian Cancer</t>
  </si>
  <si>
    <t>NCT04950322</t>
  </si>
  <si>
    <t>A Trial of SHR1701 Plus Chemotherapy in Patients With Gastric or Gastroesophageal Cancer</t>
  </si>
  <si>
    <t>NCT04954001</t>
  </si>
  <si>
    <t>Study to Evaluate the Safety, Tolerability, PK Characteristics and Anti-tumor Activity of FCN-159 in Adult and Pediatric Participants With Neurofibromatosis Type 1</t>
  </si>
  <si>
    <t>NCT05033912</t>
  </si>
  <si>
    <t>A Study of CST-2032 in Subjects With Cognitive Impairment</t>
  </si>
  <si>
    <t>CuraSen Therapeutics, Inc.</t>
  </si>
  <si>
    <t>NCT04688853</t>
  </si>
  <si>
    <t>A Study to Investigate the Safety and Efficacy of TEG002 in Relapsed/Refractory Multiple Myeloma Patients</t>
  </si>
  <si>
    <t>Gadeta B.V.</t>
  </si>
  <si>
    <t>NCT05142722</t>
  </si>
  <si>
    <t>Randomized Study to Evaluate the Effect of Obicetrapib on Top of Maximum Tolerated Lipid-Modifying Therapies</t>
  </si>
  <si>
    <t>NCT04944602</t>
  </si>
  <si>
    <t>Study to Evaluate the Therapeutic Equivalence of SYN008 Versus Xolair® in the Treatment of Patients With Refractory Chronic Spontaneous Urticaria</t>
  </si>
  <si>
    <t>NCT04582539</t>
  </si>
  <si>
    <t>To Assess the Safety and Tolerability of INCB000928 in Participants With Myelodysplastic Syndromes or Multiple Myeloma</t>
  </si>
  <si>
    <t>NCT04908475</t>
  </si>
  <si>
    <t>Study of Subcutaneous Risankizumab Injection Compared to Oral Apremilast Tablets to Assess Change in Disease Activity And Adverse Events in Adult Participants With Moderate Plaque Psoriasis Who Are Candidates for Systemic Therapy</t>
  </si>
  <si>
    <t>NCT05487404</t>
  </si>
  <si>
    <t>A Clinical Trial to Evaluate the Safety and Efficacy of ADX-629 in in Subjects With Elevated Ethanol Levels</t>
  </si>
  <si>
    <t>NCT04788511</t>
  </si>
  <si>
    <t>Research Study to Investigate How Well Semaglutide Works in People Living With Heart Failure and Obesity</t>
  </si>
  <si>
    <t>NCT05021887</t>
  </si>
  <si>
    <t>A Bioequivalence Study Between Fluticasone Propionate 100 mcg/Blister Oral Inhalation Powder/Respirent Pharmaceuticals vs. FLOVENT DISKUS® 100 mcg/Blister Oral Inhalation Powder /GSK in Healthy Volunteers Under Fasting Conditions</t>
  </si>
  <si>
    <t>NCT04478825</t>
  </si>
  <si>
    <t>Efficacy and Safety of Rectally Administered BBT-401-1S in Subjects With Ulcerative Colitis</t>
  </si>
  <si>
    <t>NCT04902027</t>
  </si>
  <si>
    <t>A Study of Mitoxantrone Hydrochloride Liposome Injection in the Treatment of Recurrent/Metastatic Head and Neck Cancers</t>
  </si>
  <si>
    <t>NCT04876677</t>
  </si>
  <si>
    <t>Functional Respiratory Imaging Study (DARWiIN)</t>
  </si>
  <si>
    <t>NCT05235269</t>
  </si>
  <si>
    <t>A Study to Evaluate Organ Level Uptake Repeatability of 124I AT-01 in Subjects With Systemic Amyloidosis</t>
  </si>
  <si>
    <t>NCT05038202</t>
  </si>
  <si>
    <t>Study of Bencycloquidium Bromide Nasal Spray in the Treatment of Moderate-severe Persistent Allergic Rhinitis</t>
  </si>
  <si>
    <t>Yingu Pharmaceutical Co., Ltd</t>
  </si>
  <si>
    <t>NCT04773964</t>
  </si>
  <si>
    <t>Study to Evaluate MET642 in Patients With NASH</t>
  </si>
  <si>
    <t>NCT04947319</t>
  </si>
  <si>
    <t>Study of Tirabrutinib (ONO-4059) in Patients With Primary Central Nervous System Lymphoma (PROSPECT Study)</t>
  </si>
  <si>
    <t>NCT04638309</t>
  </si>
  <si>
    <t>APR-548 in Combination With Azacitidine for the Treatment of TP53 Myelodysplastic Syndromes (MDS)</t>
  </si>
  <si>
    <t>NCT04856293</t>
  </si>
  <si>
    <t>Bioequivalence Study for Crizotinib Encapsulated Microsphere Formulation (eMS)</t>
  </si>
  <si>
    <t>NCT05218434</t>
  </si>
  <si>
    <t>A Study of the Safety, Tolerability, Pharmacokinetics and Food Effect After Single and Multiple Ascending Oral Doses</t>
  </si>
  <si>
    <t>Artax Biopharma Inc</t>
  </si>
  <si>
    <t>NCT05093634</t>
  </si>
  <si>
    <t>EMANATE: A Study of Setmelanotide in Patients With Specific Gene Variants in the MC4R Pathway</t>
  </si>
  <si>
    <t>NCT05177107</t>
  </si>
  <si>
    <t>Bacteriophage Therapy in Patients With Diabetic Foot Osteomyelitis</t>
  </si>
  <si>
    <t>NCT04679909</t>
  </si>
  <si>
    <t>Safety and Immunogenicity of AdCOVID in Healthy Adults (COVID-19 Vaccine Study)</t>
  </si>
  <si>
    <t>NCT04834128</t>
  </si>
  <si>
    <t>A Phase II Safety and Tolerability Study of TCB008 in Patients With COVID-19</t>
  </si>
  <si>
    <t>TC Biopharm</t>
  </si>
  <si>
    <t>NCT04987671</t>
  </si>
  <si>
    <t>Pharmacokinetic and Pharmacodynamic Study of AMX0035 in Patients With ALS</t>
  </si>
  <si>
    <t>NCT03870334</t>
  </si>
  <si>
    <t>Efficacy and Safety of Oral BT-11 in Moderate to Severe Crohn's Disease</t>
  </si>
  <si>
    <t>NCT04999098</t>
  </si>
  <si>
    <t>Echinaforce COVID-19 Shedding Study</t>
  </si>
  <si>
    <t>NCT04994912</t>
  </si>
  <si>
    <t>First in Human Study of EI-001 Monoclonal Antibody in Healthy Volunteers</t>
  </si>
  <si>
    <t>Elixiron Immunotherapeutics (Hong Kong) Ltd.</t>
  </si>
  <si>
    <t>NCT04757636</t>
  </si>
  <si>
    <t>OPT-302 With Aflibercept in Neovascular Age-related Macular Degeneration (nAMD)</t>
  </si>
  <si>
    <t>NCT05782959</t>
  </si>
  <si>
    <t>Phase 1 Study of BCD-245 in Subjects With Neuroblastoma</t>
  </si>
  <si>
    <t>NCT05101265</t>
  </si>
  <si>
    <t>Clinical Pharmacokinetic Study of Lurbinectedin in Patients With Advanced Solid Tumors and Varying Degrees of Hepatic Impairment</t>
  </si>
  <si>
    <t>NCT04934514</t>
  </si>
  <si>
    <t>Clinical Study of IAH0968 in Patients With HER2-positive Advanced Solid Tumors</t>
  </si>
  <si>
    <t>NCT04804033</t>
  </si>
  <si>
    <t>A Study to Evaluate the Efficacy and Safety of Oral Zavegepant in Migraine Prevention</t>
  </si>
  <si>
    <t>NCT04956692</t>
  </si>
  <si>
    <t>Study of Pembrolizumab (MK-3475) Subcutaneous (SC) Versus Pembrolizumab Intravenous (IV) Administered With Platinum Doublet Chemotherapy in Participants With Metastatic Squamous or Nonsquamous Non-Small Cell Lung Cancer (NSCLC) (MK-3475-A86)</t>
  </si>
  <si>
    <t>NCT04805671</t>
  </si>
  <si>
    <t>Evaluation of ADG20 for the Treatment of Mild or Moderate COVID-19</t>
  </si>
  <si>
    <t>NCT04264806</t>
  </si>
  <si>
    <t>A Study of Cusatuzumab in Combination With Azacitidine Compared With Azacitidine Alone in Patients With Higher-risk Myelodysplastic Syndrome (MDS) or Chronic Myelomonocytic Leukemia (CMML) and Who Are Not Candidates for Hematopoietic Stem Cell Transplantation (HSCT)</t>
  </si>
  <si>
    <t>NCT04617275</t>
  </si>
  <si>
    <t>A 12-WEEK TITRATE STUDY TO EVALUATE SAFETY, TOLERABILITY AND PHARMACODYNAMICS OF PF-06882961 IN ADULTS WITH TYPE 2 DIABETES MELLITUS AND IN NON-DIABETIC ADULTS WITH OBESITY</t>
  </si>
  <si>
    <t>NCT05088421</t>
  </si>
  <si>
    <t>A First in Human Study of the Safety and Tolerability of Single and Multiple Doses of BWC0977 in Healthy Volunteers</t>
  </si>
  <si>
    <t>Bugworks Research Inc.</t>
  </si>
  <si>
    <t>NCT05134571</t>
  </si>
  <si>
    <t>China Post-marketing Surveillance (PMS) Study of Aldurazyme®</t>
  </si>
  <si>
    <t>NCT05252364</t>
  </si>
  <si>
    <t>A Study to Assess the Safety, Pharmacokinetics, and Anti-Tumor Activity of Oral HP518 in Patients With Metastatic Castration-Resistant Prostate Cancer</t>
  </si>
  <si>
    <t>Hinova Pharmaceuticals Aus Pty Ltd</t>
  </si>
  <si>
    <t>NCT05002933</t>
  </si>
  <si>
    <t>A Clinical Efficacy and Safety Study of Insulin Glargine U300 in Chinese Adult Patients With Uncontrolled Type 2 Diabetes Mellitus With a 3-month Extension Period</t>
  </si>
  <si>
    <t>NCT04173312</t>
  </si>
  <si>
    <t>Efficacy of Local Anesthetic Through Continuous Infusion</t>
  </si>
  <si>
    <t>NCT04856007</t>
  </si>
  <si>
    <t>A Study to Assess the Bioequivalence of Fixed Dose Combination of Dapagliflozin/Metformin XR Relative to Co-administration of the Individual Components in Healthy Chinese Subjects.</t>
  </si>
  <si>
    <t>NCT04924699</t>
  </si>
  <si>
    <t>A Study of MRG002 in the Treatment of Patients With HER2-positive Unresectable Locally Advanced or Metastatic Breast Cancer</t>
  </si>
  <si>
    <t>NCT05212532</t>
  </si>
  <si>
    <t>A Proof-of-Concept Study Evaluating EOM613 in COVID-19 Infected Patients With Severe Symptoms</t>
  </si>
  <si>
    <t>EOM Pharmaceuticals</t>
  </si>
  <si>
    <t>NCT04535193</t>
  </si>
  <si>
    <t>Open-Label Study of 18F-mFBG for Imaging Myocardial Sympathetic Innervation</t>
  </si>
  <si>
    <t>Innervate Radiopharmaceuticals LLC (Formerly: Illumina Radiopharmaceuticals LLC)</t>
  </si>
  <si>
    <t>NCT05089734</t>
  </si>
  <si>
    <t>Study of Sacituzumab Govitecan (SG) Versus Docetaxel in Participants With Advanced or Metastatic Non-Small Cell Lung Cancer (NSCLC)</t>
  </si>
  <si>
    <t>NCT06910514</t>
  </si>
  <si>
    <t>Efficacy and Safety of a Solution for Endoscopic Mucosal Resection of Colonic Lesions</t>
  </si>
  <si>
    <t>Nakafarma S.L.</t>
  </si>
  <si>
    <t>NCT05040932</t>
  </si>
  <si>
    <t>Study of YH004 (4-1BB Agonist Antibody) in Advanced or Metastatic Malignancy</t>
  </si>
  <si>
    <t>NCT05074498</t>
  </si>
  <si>
    <t>Study to Assess the Safety, Tolerability, Pharmacokinetics, Pharmacodynamics, and Efficacy of TB006 in Participants With Alzheimer's Disease</t>
  </si>
  <si>
    <t>NCT04736706</t>
  </si>
  <si>
    <t>A Study of Pembrolizumab (MK-3475) in Combination With Belzutifan (MK-6482) and Lenvatinib (MK-7902), or Pembrolizumab/Quavonlimab (MK-1308A) in Combination With Lenvatinib, Versus Pembrolizumab and Lenvatinib, for Treatment of Advanced Clear Cell Renal Cell Carcinoma (MK-6482-012)</t>
  </si>
  <si>
    <t>NCT04901806</t>
  </si>
  <si>
    <t>Study of PBI-200 in Subjects With NTRK-Fusion-Positive Solid Tumors</t>
  </si>
  <si>
    <t>NCT05099133</t>
  </si>
  <si>
    <t>A Trial to Evaluate Pharmacokinetics, Immunogenicity, Safety, and Tolerability of LEO 138559 in Healthy Japanese Subjects</t>
  </si>
  <si>
    <t>NCT05022849</t>
  </si>
  <si>
    <t>A Study of JNJ-75229414 for Metastatic Castration-resistant Prostate Cancer Participants</t>
  </si>
  <si>
    <t>NCT05059743</t>
  </si>
  <si>
    <t>ADME Study of [14C]- Larotinib in Healthy Male Subjects</t>
  </si>
  <si>
    <t>NCT05107115</t>
  </si>
  <si>
    <t>Rilzabrutinib for the Treatment of Chronic Spontaneous Urticaria in Patients Who Remain Symptomatic Despite the Use of H1 Antihistamine</t>
  </si>
  <si>
    <t>NCT04743115</t>
  </si>
  <si>
    <t>A Phase I, Open-Label, Dose Escalation and Cohort Expansion Study of BS HH 002.SA in Patients With AML and MDS</t>
  </si>
  <si>
    <t>Shanghai Bensen Pharmaceutical Co., Ltd.</t>
  </si>
  <si>
    <t>NCT04686643</t>
  </si>
  <si>
    <t>Phase III Study to Evaluate the Efficacy and Safety of AGSAVI in Patients With Essential Hypertension</t>
  </si>
  <si>
    <t>NCT05034484</t>
  </si>
  <si>
    <t>A Study of ALPN-303 in Adult Healthy Volunteers</t>
  </si>
  <si>
    <t>NCT04819906</t>
  </si>
  <si>
    <t>Effect of Estetrol Monohydrate (E4) on QTc Interval</t>
  </si>
  <si>
    <t>NCT04958252</t>
  </si>
  <si>
    <t>A Study in Healthy Japanese Men to Test How Different Doses of BI 1569912 Are Taken up by the Body and How Well They Are Tolerated</t>
  </si>
  <si>
    <t>NCT05138861</t>
  </si>
  <si>
    <t>A Six Week Pharmacokinetic Study of TP-03 in Healthy Subjects</t>
  </si>
  <si>
    <t>NCT04817644</t>
  </si>
  <si>
    <t>A Research Study to See How Much Semaglutide and SNAC is in the Milk of Healthy, Breastfeeding Women Taking Semaglutide Tablets</t>
  </si>
  <si>
    <t>NCT04760314</t>
  </si>
  <si>
    <t>A Study of Lebrikizumab (LY3650150) in Combination With Topical Corticosteroids in Japanese Participants With Moderate-to-Severe Atopic Dermatitis</t>
  </si>
  <si>
    <t>NCT04700787</t>
  </si>
  <si>
    <t>Safety, Tolerability, and Pharmacokinetics of Sulopenem in Adolescents</t>
  </si>
  <si>
    <t>NCT05153499</t>
  </si>
  <si>
    <t>A Trial of CP101 for the Prevention of Recurrent CDI (PRISM4)</t>
  </si>
  <si>
    <t>NCT03400306</t>
  </si>
  <si>
    <t>A Study Evaluating the Bioavailability and Food Effect of Veliparib Tablets Followed by an Extension in Subjects With Ovarian Cancer</t>
  </si>
  <si>
    <t>NCT04268706</t>
  </si>
  <si>
    <t>Phase 2 Study Evaluating Autologous CD30.CAR-T Cells in Patients With Relapsed/Refractory Hodgkin Lymphoma (CHARIOT)</t>
  </si>
  <si>
    <t>NCT04546633</t>
  </si>
  <si>
    <t>Efficacy, Safety and Tolerability of KAF156 in Combination With Lumefantrine Solid Dispersion Formulation (LUM-SDF) in Pediatric Population With Uncomplicated Plasmodium Falciparum Malaria</t>
  </si>
  <si>
    <t>NCT04544293</t>
  </si>
  <si>
    <t>Clinical Trial of Inhaled Molgramostim Nebulizer Solution in Autoimmune Pulmonary Alveolar Proteinosis (aPAP)</t>
  </si>
  <si>
    <t>Savara Inc.</t>
  </si>
  <si>
    <t>NCT04504708</t>
  </si>
  <si>
    <t>Dose-Escalation and Dose-Expansion Study of ZX-101A in Patients With Relapsed/Resistant or Refractory Advanced Hematologic Malignancies</t>
  </si>
  <si>
    <t>Hangzhou Zenshine Pharmaceuticals Co., Ltd.</t>
  </si>
  <si>
    <t>NCT05021835</t>
  </si>
  <si>
    <t>ZEUS - A Research Study to Look at How Ziltivekimab Works Compared to Placebo in People With Cardiovascular Disease, Chronic Kidney Disease and Inflammation</t>
  </si>
  <si>
    <t>NCT05128643</t>
  </si>
  <si>
    <t>Clinical Study on the Immune Program of Recombinant Novel Coronavirus（COVID-19) Vaccine (CHO Cell)</t>
  </si>
  <si>
    <t>NCT04882917</t>
  </si>
  <si>
    <t>First-in-human Study of M4076 in Advanced Solid Tumors (DDRiver Solid Tumors 410)</t>
  </si>
  <si>
    <t>NCT05049343</t>
  </si>
  <si>
    <t>Study of SAGE-904 Using a Ketamine Challenge to Evaluate Electrophysiology, Safety, Tolerability, and Pharmacokinetics in Healthy Participants</t>
  </si>
  <si>
    <t>NCT05213143</t>
  </si>
  <si>
    <t>The Safety and Efficacy of Lurasidone In Subjects With Schizophrenia Switched From Olanzapine</t>
  </si>
  <si>
    <t>NCT05123755</t>
  </si>
  <si>
    <t>Phase 2a Multiple Ascending Dose Study in Hospitalized Patients With Pneumonia.</t>
  </si>
  <si>
    <t>NCT04908514</t>
  </si>
  <si>
    <t>A Clinical Trial to Evaluate the Safety, Tolerability, and Efficacy of Subjects With Plaque Psoriasis</t>
  </si>
  <si>
    <t>NCT05164393</t>
  </si>
  <si>
    <t>Phase I/IIa Trial to Evaluate AVX001 Gel in Doses of 1% or 3% Compared With Vehicle Over Four Weeks of Field-directed Treatment Period in Adult Subjects With AK</t>
  </si>
  <si>
    <t>Coegin Pharma AB</t>
  </si>
  <si>
    <t>NCT04701216</t>
  </si>
  <si>
    <t>A Trial of SHR8735 in Healthy Subjects</t>
  </si>
  <si>
    <t>NCT05194124</t>
  </si>
  <si>
    <t>Phase 3 Crossover Trial of Two Formulations of Setmelanotide in Participants With Specific Gene Defects in the MC4R Pathway</t>
  </si>
  <si>
    <t>NCT04670796</t>
  </si>
  <si>
    <t>A Safety and Pharmacokinetic Study Between HLX02 and Herceptin®(US-licensed and EU-approved) in Healthy Chinese Male Subjects</t>
  </si>
  <si>
    <t>NCT04738942</t>
  </si>
  <si>
    <t>A Study of Intravenous Vedolizumab Administered Every 4 Weeks in Japanese Participants With Moderate to Severe Ulcerative Colitis or Crohn's Disease</t>
  </si>
  <si>
    <t>NCT05093907</t>
  </si>
  <si>
    <t>A Study to Evaluate Safety and Efficacy of BEY1107 in Combination with Capecitabine in Patients with Metastatic Colorectal Cancer</t>
  </si>
  <si>
    <t>NCT04610736</t>
  </si>
  <si>
    <t>TEMOkids Study : A Phase I Pediatric Study for KIMOZO, Oral Suspension of Temozolomide</t>
  </si>
  <si>
    <t>NCT05045144</t>
  </si>
  <si>
    <t>A Phase III Study to Assess the Lot-to-lot Consistency of GSK's Investigational RSV Maternal Vaccine and the Immune Response and Safety of RSV Maternal Vaccine When Given Alone or Co-administered With GSK's Influenza D-QIV Vaccine in Healthy Non-pregnant Women.</t>
  </si>
  <si>
    <t>NCT04887532</t>
  </si>
  <si>
    <t>A Trial of HR19042 Capsule in Healthy Chinese Subjects</t>
  </si>
  <si>
    <t>NCT05014828</t>
  </si>
  <si>
    <t>To Evaluate the Efficacy and Safety of Tislelizumab in Combination With Lenvatinib in Participants With Selected Solid Tumors</t>
  </si>
  <si>
    <t>NCT05163834</t>
  </si>
  <si>
    <t>Immune Response to PNEUMOVAX 23 in Healthy Adults Receiving Efgartigimod IV</t>
  </si>
  <si>
    <t>NCT04946864</t>
  </si>
  <si>
    <t>A Study to Investigate the Safety, Tolerability, of APG-2575 as a Single Agent or in Combination for Breast Cancer</t>
  </si>
  <si>
    <t>NCT04965493</t>
  </si>
  <si>
    <t>A Trial of Pirtobrutinib (LOXO-305) Plus Venetoclax and Rituximab (PVR) Versus Venetoclax and Rituximab (VR) in Previously Treated Chronic Lymphocytic Leukemia/Small Lymphocytic Lymphoma (CLL/SLL)</t>
  </si>
  <si>
    <t>NCT04927975</t>
  </si>
  <si>
    <t>Study to Evaluate Adverse Events and Change in Disease Activity With Oral Tablets of Upadacitinib in Adult Participants With Non-Segmental Vitiligo</t>
  </si>
  <si>
    <t>NCT04848467</t>
  </si>
  <si>
    <t>COVID-19: A Trial Studying the SARS-CoV-2 mRNA Vaccine CVnCoV to Learn About the Immune Response, the Safety, and the Degree of Typical Vaccination Reactions When CVnCoV is Given at the Same Time as a Flu Vaccine Compared to When the Vaccines Are Separately Given in Adults 60 Years of Age and Older</t>
  </si>
  <si>
    <t>NCT04903509</t>
  </si>
  <si>
    <t>A Study in Men With Overweight to Test How Well Different Doses of BI 1820237 Are Tolerated When Given as an Injection Alone or in Combination With Liraglutide</t>
  </si>
  <si>
    <t>NCT04698187</t>
  </si>
  <si>
    <t>CMP-001 in Combination With Nivolumab in Subjects With Advanced Melanoma</t>
  </si>
  <si>
    <t>NCT05099172</t>
  </si>
  <si>
    <t>First in Human Study of BAY2927088 in Participants Who Have Advanced Non-small Cell Lung Cancer (NSCLC) With Mutations in the Genes of Epidermal Growth Factor Receptor (EGFR) and/or Human Epidermal Growth Factor Receptor 2 (HER2)</t>
  </si>
  <si>
    <t>NCT04857372</t>
  </si>
  <si>
    <t>A Phase I Study of IAG933 in Patients With Advanced Mesothelioma and Other Solid Tumors</t>
  </si>
  <si>
    <t>NCT05219500</t>
  </si>
  <si>
    <t>Targeted Alpha Therapy With 225Actinium-Prostate Specific Membrane Antigen (PSMA)-I&amp;T of Castration-resISTant Prostate Cancer (TATCIST).</t>
  </si>
  <si>
    <t>Fusion Pharmaceuticals Inc.</t>
  </si>
  <si>
    <t>NCT05063734</t>
  </si>
  <si>
    <t>A Study to Evaluate THR-687 Treatment for Diabetic Macular Oedema.</t>
  </si>
  <si>
    <t>NCT04843709</t>
  </si>
  <si>
    <t>A Study of MRG004A in Patients With Tissue Factor Positive Advanced or Metastatic Solid Tumors</t>
  </si>
  <si>
    <t>Lepu Biopharma Co., Ltd.</t>
  </si>
  <si>
    <t>NCT05240898</t>
  </si>
  <si>
    <t>A Phase 1 Study of RO7623066 Alone and in Combination in Patients With Advanced Solid Tumors</t>
  </si>
  <si>
    <t>NCT05085587</t>
  </si>
  <si>
    <t>Bioequivalence Study of Fluticasone Propionate 250 mcg and Salmeterol Xinafoate 50 mcg Inhalation Powder/Respirent Pharmaceuticals vs. ADVAIR DISKUS® 250/50 Inhalation Powder/GSK in Healthy Volunteers</t>
  </si>
  <si>
    <t>NCT05134987</t>
  </si>
  <si>
    <t>A Multiple Dose Study Investigating Pharmacokinetics and Pharmacodynamics of Subcutaneous NNC0363-0845 in Participants With Type 1 Diabetes Pharmacokinetics and Pharmacodynamics: How Insulin NNC0363-0845 is Transported Throughout the Body and How It Works</t>
  </si>
  <si>
    <t>NCT04945772</t>
  </si>
  <si>
    <t>Efficacy and Safety of MCO-010 Optogenetic Therapy in Adults With Retinitis Pigmentosa [RESTORE]</t>
  </si>
  <si>
    <t>Nanoscope Therapeutics Inc.</t>
  </si>
  <si>
    <t>NCT04986995</t>
  </si>
  <si>
    <t>OpicApone Sleep dISorder</t>
  </si>
  <si>
    <t>NCT04786444</t>
  </si>
  <si>
    <t>Study to Demonstrate Consistency of Three Lots of a Live-attenuated Chikungunya Virus Vaccine Candidate in Healthy Adults</t>
  </si>
  <si>
    <t>NCT05014412</t>
  </si>
  <si>
    <t>A Study to Learn About the Study Medicine (Elranatamab) in Participants With Multiple Myeloma That Has Come Back After Responding to Treatment or Has Not Responded to Treatment</t>
  </si>
  <si>
    <t>NCT05091567</t>
  </si>
  <si>
    <t>A Phase III, Open-Label Study of Maintenance Lurbinectedin in Combination With Atezolizumab Compared With Atezolizumab in Participants With Extensive-Stage Small-Cell Lung Cancer</t>
  </si>
  <si>
    <t>NCT04991311</t>
  </si>
  <si>
    <t>The Long-term Effect on Intestinal Absorption and Safety of Treatment With Glepaglutide in Patients With Short Bowel Syndrome</t>
  </si>
  <si>
    <t>NCT04838444</t>
  </si>
  <si>
    <t>Antibody Persistence And Long Term Safety Of A Chikungunya Virus Vaccine (VLA1553)</t>
  </si>
  <si>
    <t>NCT05035030</t>
  </si>
  <si>
    <t>Long-term Safety and Efficacy of Odevixibat in Patients With Alagille Syndrome</t>
  </si>
  <si>
    <t>NCT04883957</t>
  </si>
  <si>
    <t>Study of BGB-11417 in Adult Participants With Mature B-cell Malignancies</t>
  </si>
  <si>
    <t>NCT05403281</t>
  </si>
  <si>
    <t>A Pharmacokinetic Study of DW6012 (FDC of Dapagliflozin and Sitagliptin) in Healthy Adult Volunteers</t>
  </si>
  <si>
    <t>Dong Wha Pharmaceutical Co. Ltd.</t>
  </si>
  <si>
    <t>NCT04903730</t>
  </si>
  <si>
    <t>Safety, Tolerability, &amp; Pharmacokinetics Study of Single &amp; Multiple Inhaled Doses of Imatinib Inhalation Solution</t>
  </si>
  <si>
    <t>Aerami Therapeutics</t>
  </si>
  <si>
    <t>NCT04938830</t>
  </si>
  <si>
    <t>Clesrovimab (MK-1654) in Infants and Children at Increased Risk for Severe Respiratory Syncytial Virus (RSV) Disease (MK-1654-007)</t>
  </si>
  <si>
    <t>NCT05399030</t>
  </si>
  <si>
    <t>A Phase I Randomized, Double-Blind, Placebo-Controlled, Parallel Group Clinical Study of ICP-332 in Healthy Subjects</t>
  </si>
  <si>
    <t>NCT05585658</t>
  </si>
  <si>
    <t>A Randomized, Double-blinded, Active Controlled Crossover Clinical Trial to Investigate PK, PD and Safety of GBPD002</t>
  </si>
  <si>
    <t>Globe Biotech Limited</t>
  </si>
  <si>
    <t>NCT04432155</t>
  </si>
  <si>
    <t>Xenon Inhalation for Treatment of Panic Disorder</t>
  </si>
  <si>
    <t>Nobilis Therapeutics Inc.</t>
  </si>
  <si>
    <t>NCT04674748</t>
  </si>
  <si>
    <t>To Assess the Safety, Tolerability and Pharmacokinetics of INCB086550</t>
  </si>
  <si>
    <t>NCT05033964</t>
  </si>
  <si>
    <t>The DESyne BDS Plus RCT: A Randomized Clinical Trial to Assess the Elixir DESyne BDS Plus Drug Eluting Coronary Stent System for the Treatment of de Novo Native Coronary Artery Lesions</t>
  </si>
  <si>
    <t>NCT04539964</t>
  </si>
  <si>
    <t>Vagus Nerve Stimulation for Moderate to Severe Rheumatoid Arthritis</t>
  </si>
  <si>
    <t>SetPoint Medical Corporation</t>
  </si>
  <si>
    <t>NCT05537987</t>
  </si>
  <si>
    <t>Evaluate the Safety, Tolerability, and Pharmacokinetics of ICP-723 in Patients With Advanced Solid Tumors</t>
  </si>
  <si>
    <t>InnoCare Pharma Inc.</t>
  </si>
  <si>
    <t>NCT04907006</t>
  </si>
  <si>
    <t>A Food-drug Interaction Study of SY-004 in Healthy Subjects</t>
  </si>
  <si>
    <t>NCT04001998</t>
  </si>
  <si>
    <t>Healthy Volunteer Study Comparing Tablet and Capsule Formulations</t>
  </si>
  <si>
    <t>NCT04807348</t>
  </si>
  <si>
    <t>Chiglitazar Added to Metformin for Type 2 Diabetes</t>
  </si>
  <si>
    <t>NCT05293171</t>
  </si>
  <si>
    <t>Study to Investigate the Effect of BL-8040 (Motixafortide) on the QTc Interval in Healthy Subjects</t>
  </si>
  <si>
    <t>BioLineRx, Ltd.</t>
  </si>
  <si>
    <t>NCT04438304</t>
  </si>
  <si>
    <t>A Diagnostic Imaging Study of 64Cu-SARTATE Using PET on Patients With Known or Suspected Neuroendocrine Tumors (DISCO)</t>
  </si>
  <si>
    <t>NCT05104333</t>
  </si>
  <si>
    <t>Evaluation of Immunogenicity, Safety and Antibody Persistence of COVID-19 Booster Vaccine (Produced in Beijing) in Patients With Hypertension and/or Diabetes</t>
  </si>
  <si>
    <t>NCT05127811</t>
  </si>
  <si>
    <t>A Phase I Study of ZN-d5 in Chinese Subjects With Non-Hodgkin Lymphoma</t>
  </si>
  <si>
    <t>NCT05089084</t>
  </si>
  <si>
    <t>Study of ARO-APOC3 (Plozasiran) in Adults With Familial Chylomicronemia Syndrome (FCS)</t>
  </si>
  <si>
    <t>NCT05021900</t>
  </si>
  <si>
    <t>Efficacy and Safety of Tenalisib (RP6530), in Patients With Locally Advanced or Metastatic Breast Cancer</t>
  </si>
  <si>
    <t>NCT04745234</t>
  </si>
  <si>
    <t>Mogamulizumab Q4week Dosing in Participants With R/R CTCL</t>
  </si>
  <si>
    <t>NCT04862663</t>
  </si>
  <si>
    <t>Capivasertib + CDK4/6i + Fulvestrant for Advanced/Metastatic HR+/HER2- Breast Cancer (CAPItello-292)</t>
  </si>
  <si>
    <t>NCT04672564</t>
  </si>
  <si>
    <t>Study to Evaluate Safety and Efficacy of Carrimycin for Treatment of Severe Coronavirus Disease 2019 (COVID-19) in Hospitalized Patients</t>
  </si>
  <si>
    <t>Shenyang Tonglian Group CO., Ltd</t>
  </si>
  <si>
    <t>NCT05483621</t>
  </si>
  <si>
    <t>Hormonal Stimulation of Spermatogenesis</t>
  </si>
  <si>
    <t>NCT04948697</t>
  </si>
  <si>
    <t>A Study Investigating the Efficacy and Safety of Ociperlimab and Tislelizumab and BAT1706 Combinations in Patients With Advanced HCC</t>
  </si>
  <si>
    <t>NCT05027997</t>
  </si>
  <si>
    <t>Exploratory Study of Dipraglurant (ADX48621) for the Treatment of Patients With Blepharospasm</t>
  </si>
  <si>
    <t>NCT04831996</t>
  </si>
  <si>
    <t>To Evaluate the Safety, and Pharmacokinetics of Parscaclisib in Participants With Normal Renal Function and Renal Impairment.</t>
  </si>
  <si>
    <t>NCT06033742</t>
  </si>
  <si>
    <t>A First in Human Study to Evaluate Safety, Tolerability, Pharmacology of HS-10374 in Healthy Subjects</t>
  </si>
  <si>
    <t>NCT04992273</t>
  </si>
  <si>
    <t>COVID-19 Administration of Single-Dose Subcutaneous Anti- Spike(s) SARS-CoV-2 Monoclonal Antibodies Casirivimab and Imdevimab in High-Risk Pediatric Participants Under 12 Years of Age</t>
  </si>
  <si>
    <t>NCT04762225</t>
  </si>
  <si>
    <t>RPTR-168 in Patients With Human Papillomavirus Strain 16 (HPV-16) E6/E7 Positive Tumors and Melanoma</t>
  </si>
  <si>
    <t>Repertoire Immune Medicines</t>
  </si>
  <si>
    <t>NCT04698915</t>
  </si>
  <si>
    <t>Phase 2b Study of GC4711 in Combination With SBRT for Nonmetastatic Pancreatic Cancer</t>
  </si>
  <si>
    <t>NCT04957290</t>
  </si>
  <si>
    <t>A Study of NOX66 and External Beam Radiotherapy in Patients With Metastatic Castration-resistant Prostate Cancer and Other Solid Tumors</t>
  </si>
  <si>
    <t>NCT05106946</t>
  </si>
  <si>
    <t>Safety and Clinical Activity of ThisCART22 in Patients With r/r Non-Hodgkin's B Cell Lymphoma</t>
  </si>
  <si>
    <t>NCT04662580</t>
  </si>
  <si>
    <t>ARX517/JNJ-95298177 as Monotherapy or Combination Therapy in Subjects With Metastatic Prostate Cancer</t>
  </si>
  <si>
    <t>NCT05075083</t>
  </si>
  <si>
    <t>Immunogenicity and Safety of an Inactivated COVID-19 Vaccine in Elderly People With Chronic Bronchitis and COPD</t>
  </si>
  <si>
    <t>NCT05070364</t>
  </si>
  <si>
    <t>Phase 3 Study to Evaluate the Efficacy and Safety of Peginterferon Lambda for 48 Weeks in Patients With Chronic HDV</t>
  </si>
  <si>
    <t>Eiger BioPharmaceuticals</t>
  </si>
  <si>
    <t>NCT04657016</t>
  </si>
  <si>
    <t>A Study of Tirzepatide (LY3298176) In Participants After A Lifestyle Weight Loss Program</t>
  </si>
  <si>
    <t>NCT05004285</t>
  </si>
  <si>
    <t>Evaluate the Clinical Usefulness of [F-18]Florastamin PET/CT Imaging Diagnosis Compared to MRI Diagnosis</t>
  </si>
  <si>
    <t>NCT04969510</t>
  </si>
  <si>
    <t>A Clinical Trial of Adjunctive and Monotherapy PRAX-114 in Participants With Major Depressive Disorder</t>
  </si>
  <si>
    <t>NCT04976127</t>
  </si>
  <si>
    <t>Safety Evaluation of Intravenous Talineuren (TLN) in Parkinson's Disease-affected Patients</t>
  </si>
  <si>
    <t>InnoMedica Schweiz AG</t>
  </si>
  <si>
    <t>NCT04890561</t>
  </si>
  <si>
    <t>A Study to Evaluate Lemborexant in Milk of Healthy Lactating Women</t>
  </si>
  <si>
    <t>NCT04853927</t>
  </si>
  <si>
    <t>Proxalutamide Treatment for COVID-19 Patients in Intensive Care Unit</t>
  </si>
  <si>
    <t>NCT05047770</t>
  </si>
  <si>
    <t>A Study on the Immune Response and Safety of the Shingles Vaccine and the Influenza Vaccine When Either is Given to Healthy Adults at the Same Time or Following a COVID-19 Booster Vaccine</t>
  </si>
  <si>
    <t>NCT05091073</t>
  </si>
  <si>
    <t>A Research Study Looking at the Effect of Food Intake on How the Medicine NN0385-0434 Behaves in the Body of Healthy Participants</t>
  </si>
  <si>
    <t>NCT04185441</t>
  </si>
  <si>
    <t>Efficacy and Safety of Tanzânia Association in the Treatment of Erectile Dysfunction Associated With Benign Prostatic Hyperplasia</t>
  </si>
  <si>
    <t>NCT05442788</t>
  </si>
  <si>
    <t>A Study of HB0017 in Patients With Moderate to Severe Plaque Psoriasis</t>
  </si>
  <si>
    <t>NCT05056727</t>
  </si>
  <si>
    <t>A Study to Evaluate the Effect of Sodium Zirconium Cyclosilicate on Chronic Kidney Disease (CKD) Progression in Participants With CKD and Hyperkalaemia or at Risk of Hyperkalaemia</t>
  </si>
  <si>
    <t>NCT04645069</t>
  </si>
  <si>
    <t>ADG126, ADG126 in Combination With Anti PD1 Antibody, and ADG126 in Combination With ADG106 in Advanced/Metastatic Solid Tumors</t>
  </si>
  <si>
    <t>NCT04906694</t>
  </si>
  <si>
    <t>Study to Evaluate a Single Intranasal Dose of STI-2099 (COVI-DROPS™) in Outpatient Adults With COVID-19 (US)</t>
  </si>
  <si>
    <t>NCT04783766</t>
  </si>
  <si>
    <t>Safety, Tolerability and Pharmacokinetics Study of CK-3773274</t>
  </si>
  <si>
    <t>Corxel Pharmaceuticals</t>
  </si>
  <si>
    <t>NCT05404074</t>
  </si>
  <si>
    <t>Pharmacokinetics of Cobitolimod Enemas in Participants With Active Ulcerative Colitis</t>
  </si>
  <si>
    <t>NCT04704154</t>
  </si>
  <si>
    <t>A Trial to Learn Whether Regorafenib in Combination With Nivolumab Can Improve Tumor Responses and How Safe it is for Participants With Solid Tumors</t>
  </si>
  <si>
    <t>NCT05135663</t>
  </si>
  <si>
    <t>Extension Study of NS-089/NCNP-02 in DMD</t>
  </si>
  <si>
    <t>Nippon Shinyaku Co., Ltd.</t>
  </si>
  <si>
    <t>NCT04557085</t>
  </si>
  <si>
    <t>Randomized, Double-blind Study to Evaluate Efficacy and Safety of Cenobamate Adjunctive Therapy in POS</t>
  </si>
  <si>
    <t>NCT05739006</t>
  </si>
  <si>
    <t>Clinical Trial to Evaluate the PK and Safety of BCD-201 and Keytruda® in Patients With Advanced Malignancies</t>
  </si>
  <si>
    <t>NCT04875533</t>
  </si>
  <si>
    <t>20-valent Pneumococcal Conjugate Vaccine Safety and Immunogenicity Study in Pneumococcal Vaccine-Naïve Adults 60 Years of Age and Older in Japan, Korea, and Taiwan</t>
  </si>
  <si>
    <t>NCT05034952</t>
  </si>
  <si>
    <t>A Study Evaluating Efficacy and Safety of VX-548 for Acute Pain After an Abdominoplasty</t>
  </si>
  <si>
    <t>NCT04840849</t>
  </si>
  <si>
    <t>Evaluate the Pharmacokinetics, Safety, and Tolerability of Nirsevimab in Healthy Chinese Adults</t>
  </si>
  <si>
    <t>NCT04881955</t>
  </si>
  <si>
    <t>Study of the Absorption, Metabolism, and Excretion of [14C]-Ecopipam in Healthy Male Subjects</t>
  </si>
  <si>
    <t>NCT04261387</t>
  </si>
  <si>
    <t>LUT014 for the Treatment of Radiation Induced Dermatitis in Breast Cancer Patients</t>
  </si>
  <si>
    <t>NCT04745026</t>
  </si>
  <si>
    <t>Trial to Investigate the Safety and Efficacy of Cannabidiol Oral Solution (GWP42003-P; CBD-OS) in Children and Adolescents With Autism Spectrum Disorder</t>
  </si>
  <si>
    <t>NCT05478343</t>
  </si>
  <si>
    <t>Clinical Trial to Evaluate the Safety and Efficacy of IM21 CAR-T Cells in Patients With Relapsed and Refractory (R/R) Multiple Myeloma</t>
  </si>
  <si>
    <t>NCT04716114</t>
  </si>
  <si>
    <t>A Study of SKLB1028 Versus Salvage Chemotherapy in Patients With Relapsed or Refractory (R/R) AML With FLT3-Mutated</t>
  </si>
  <si>
    <t>NCT04623216</t>
  </si>
  <si>
    <t>Sabatolimab as a Treatment for Patients With Acute Myeloid Leukemia and Presence of Measurable Residual Disease After Allogeneic Stem Cell Transplantation.</t>
  </si>
  <si>
    <t>NCT04629833</t>
  </si>
  <si>
    <t>Treatment Of Steroid-Refractory Acute Graft-versus-host Disease With Mesenchymal Stromal Cells Versus Best Available Therapy</t>
  </si>
  <si>
    <t>medac GmbH</t>
  </si>
  <si>
    <t>NCT05186285</t>
  </si>
  <si>
    <t>Single Ascending Dose Study of CM338 in Healthy Volunteers</t>
  </si>
  <si>
    <t>NCT04373616</t>
  </si>
  <si>
    <t>A Study of ACI-24 in Adults With Down Syndrome</t>
  </si>
  <si>
    <t>AC Immune SA</t>
  </si>
  <si>
    <t>NCT04756336</t>
  </si>
  <si>
    <t>LTX-109 as Treatment for Hidradenitis Suppurativa</t>
  </si>
  <si>
    <t>NCT04939116</t>
  </si>
  <si>
    <t>Study of Safety and Efficacy of ANG-3070 in Chronic Kidney Disease</t>
  </si>
  <si>
    <t>NCT07418996</t>
  </si>
  <si>
    <t>Live Double Combined Lactobacillus Capsule for Vaginal Use（IIa）</t>
  </si>
  <si>
    <t>Guangdong Longchuangji Pharmaceutical Co., Ltd.</t>
  </si>
  <si>
    <t>NCT05064488</t>
  </si>
  <si>
    <t>Drug-Drug Interaction Study of Evobrutinib and Transporter Substrates</t>
  </si>
  <si>
    <t>NCT04849988</t>
  </si>
  <si>
    <t>A Phase 2 Study to Evaluate the Safety and Efficacy of ABP-450 in the Treatment of Cervical Dystonia</t>
  </si>
  <si>
    <t>NCT04985942</t>
  </si>
  <si>
    <t>Clinical Trial of Lumateperone as Adjunctive Therapy in the Treatment of Patients With Major Depressive Disorder</t>
  </si>
  <si>
    <t>NCT04466410</t>
  </si>
  <si>
    <t>Safety and Efficacy of XT-150 for Treatment of Neuropathic Pain</t>
  </si>
  <si>
    <t>NCT05112861</t>
  </si>
  <si>
    <t>A 3-month Study to Compare the Safety of ONS-5010 in Vials Versus Pre-filled Syringe in Subjects With Visual Impairment Due to Retinal Disorders</t>
  </si>
  <si>
    <t>NCT04398524</t>
  </si>
  <si>
    <t>A Phase II Study of Cemiplimab and ISA101b in Patients With Recurrent/Metastatic HPV16 Positive OPC</t>
  </si>
  <si>
    <t>ISA Pharmaceuticals</t>
  </si>
  <si>
    <t>NCT04941261</t>
  </si>
  <si>
    <t>Clinical Trial to Evaluate the Recombinant Norovirus Bivalent (GI. 1 / GII. 4) Vaccine (Hansenula Polymorpha)</t>
  </si>
  <si>
    <t>NCT04853069</t>
  </si>
  <si>
    <t>Oestrogen Treatment for COVID-19 Symptoms</t>
  </si>
  <si>
    <t>NCT04933747</t>
  </si>
  <si>
    <t>Study to Evaluate Safety and Tolerability of Iberdomide (CC-220) in Participants With Kidney Impairment Compared to Participants With Normal Kidney Function</t>
  </si>
  <si>
    <t>NCT05067335</t>
  </si>
  <si>
    <t>A Study to Test the Efficacy, Safety and Tolerability of Romosozumab Treatment in Postmenopausal Chinese Women With Osteoporosis</t>
  </si>
  <si>
    <t>NCT05014490</t>
  </si>
  <si>
    <t>Bioequivalence Study of Test and Reference 120 mg Etoricoxib Film-coated Tablets in Healthy Volunteers</t>
  </si>
  <si>
    <t>NCT04926246</t>
  </si>
  <si>
    <t>A Study in Healthy Men to Find the Best Formulation of BI 685509 and to Test How it is Taken up in the Body</t>
  </si>
  <si>
    <t>NCT04911361</t>
  </si>
  <si>
    <t>The DEPOT Study (Dry Eye Prescription Options for Therapy)</t>
  </si>
  <si>
    <t>NCT04862091</t>
  </si>
  <si>
    <t>Comparative Study of Abiraterone Acetate Tablets (I) or ZYTIGA® in Patients With Metastatic Castration-resistant Prostate Cancer</t>
  </si>
  <si>
    <t>NCT04686682</t>
  </si>
  <si>
    <t>A First-in-Human, JAB-8263 in Adult Patients With Advanced Tumors</t>
  </si>
  <si>
    <t>NCT04933227</t>
  </si>
  <si>
    <t>A Study to Explore the Efficacy and Safety of Atezolizumab Plus Tiragolumab and Chemotherapy in 1st Line HER2 Negative Unresectable, Recurrent or Metastatic Gastric Cancer or Adenocarcinoma of Gastroesophageal Junction (GEJ)</t>
  </si>
  <si>
    <t>NCT05126927</t>
  </si>
  <si>
    <t>A PET Imaging Agent to Assess the Level of Tumor Tissue-infiltrating CD8 + T Cells in Patients With Solid Tumors</t>
  </si>
  <si>
    <t>SmartNuclide Biopharma</t>
  </si>
  <si>
    <t>NCT05532124</t>
  </si>
  <si>
    <t>Part A: In Patients With Chronic Liver Diseases, LAENNEC (Human Placenta Hydrolysate) is to Assess Safety and Tolerability After the Doses of Doses. Part B: Part A, it is to Determine the Optimal Dose by Evaluating Two Capacity and Placebo Groups.</t>
  </si>
  <si>
    <t>Green Cross Wellbeing</t>
  </si>
  <si>
    <t>NCT04782323</t>
  </si>
  <si>
    <t>Safety and Immunogenicity of Different Formulations of an MF59-Adjuvanted Influenza Vaccine in Older Adults</t>
  </si>
  <si>
    <t>NCT04938427</t>
  </si>
  <si>
    <t>A Study of Soticlestat as an Add-on Therapy in Children, Teenagers, and Adults With Lennox-Gastaut Syndrome</t>
  </si>
  <si>
    <t>NCT04718870</t>
  </si>
  <si>
    <t>Dupilumab-PEdiatric Skin Barrier Function and LIpidomics STudy in Patients With Atopic Dermatitis</t>
  </si>
  <si>
    <t>NCT04543188</t>
  </si>
  <si>
    <t>A FIH Study of PF-07284890 in Participants With BRAF V600 Mutant Solid Tumors With and Without Brain Involvement</t>
  </si>
  <si>
    <t>NCT04825561</t>
  </si>
  <si>
    <t>A Study to Evaluate the Efficacy and Safety of AD-208</t>
  </si>
  <si>
    <t>NCT04772742</t>
  </si>
  <si>
    <t>Eptinezumab in Adults With Migraine and Medication Overuse Headache</t>
  </si>
  <si>
    <t>NCT04895722</t>
  </si>
  <si>
    <t>Evaluation of Co-formulated Pembrolizumab/Quavonlimab (MK-1308A) Versus Other Treatments in Participants With Microsatellite Instability-High (MSI-H) or Mismatch Repair Deficient (dMMR) Stage IV Colorectal Cancer (CRC) (MK-1308A-008/KEYSTEP-008).</t>
  </si>
  <si>
    <t>NCT04800822</t>
  </si>
  <si>
    <t>PF-07284892 in Participants With Advanced Solid Tumors</t>
  </si>
  <si>
    <t>NCT04730427</t>
  </si>
  <si>
    <t>Safety and Preliminary Efficacy Study of GX-I7 in Patients With COVID-19</t>
  </si>
  <si>
    <t>NCT04571970</t>
  </si>
  <si>
    <t>RGX-121 Gene Therapy in Children 5 Years of Age and Over With MPS II (Hunter Syndrome)</t>
  </si>
  <si>
    <t>REGENXBIO Inc.</t>
  </si>
  <si>
    <t>NCT05383131</t>
  </si>
  <si>
    <t>To Evaluate Drug-drug Interactions Between HEC585 and Pirfenidone or Nintedanib in Healthy Volunteers</t>
  </si>
  <si>
    <t>NCT04882072</t>
  </si>
  <si>
    <t>A Study of Ustekinumab in Participants With Takayasu Arteritis (TAK)</t>
  </si>
  <si>
    <t>NCT04796896</t>
  </si>
  <si>
    <t>A Study to Evaluate Safety and Effectiveness of mRNA-1273 COVID-19 Vaccine in Healthy Children Between 6 Months of Age and Less Than 12 Years of Age</t>
  </si>
  <si>
    <t>NCT04817670</t>
  </si>
  <si>
    <t>Study to Assess Efficacy and Safety of VIT-2763 (Vamifeport) in Subjects With Sickle Cell Disease</t>
  </si>
  <si>
    <t>NCT05023980</t>
  </si>
  <si>
    <t>A Study of Pirtobrutinib (LOXO-305) Versus Bendamustine Plus Rituximab (BR) in Untreated Patients With Chronic Lymphocytic Leukemia (CLL)/Small Lymphocytic Lymphoma (SLL)</t>
  </si>
  <si>
    <t>NCT04942496</t>
  </si>
  <si>
    <t>A 96-hour Patch Test Study Using Healthy Human Volunteers to Assess the Skin Irritation Potential of 11 Topically Applied Formulations</t>
  </si>
  <si>
    <t>NCT04617522</t>
  </si>
  <si>
    <t>Study of Sacituzumab Govitecan in Participants With Advanced or Metastatic Solid Tumor and Moderate Liver Impairment</t>
  </si>
  <si>
    <t>NCT05014139</t>
  </si>
  <si>
    <t>A Study of Intravesical Enfortumab Vedotin For Treatment of Patients With Non-muscle Invasive Bladder Cancer (NMIBC)</t>
  </si>
  <si>
    <t>NCT04736927</t>
  </si>
  <si>
    <t>Drug-drug Interaction Study With GLPG3667 and Midazolam in Healthy Subjects</t>
  </si>
  <si>
    <t>NCT05012761</t>
  </si>
  <si>
    <t>The Pharmacokinetics (PK), Safety, Tolerability of SR419 in Healthy Volunteers</t>
  </si>
  <si>
    <t>NCT04939142</t>
  </si>
  <si>
    <t>A Study of Evaluating the Safety and Efficacy of ATG-010, Bortezomib, and Dexamethasone (SVd) Versus Bortezomib and Dexamethasone (Vd) in Patients With Relapsed or Refractory Multiple Myeloma (RRMM)</t>
  </si>
  <si>
    <t>NCT05059522</t>
  </si>
  <si>
    <t>Continued Access Study for Participants Deriving Benefit in Pfizer-Sponsored Avelumab Parent Studies That Are Closing</t>
  </si>
  <si>
    <t>NCT05046561</t>
  </si>
  <si>
    <t>Study to Reinforce Immunity (STRI) Phase 2 Clinical Trial</t>
  </si>
  <si>
    <t>Eyecheck, Inc.</t>
  </si>
  <si>
    <t>NCT04981431</t>
  </si>
  <si>
    <t>A Study to Learn How Safe Elinzanetant is, How it Affects the Body, and How it Moves Into, Through and Out of the Body After Single and Multiple Doses in Japanese Healthy Female Adults</t>
  </si>
  <si>
    <t>NCT04472000</t>
  </si>
  <si>
    <t>Can Vitamin C Reduce the Risk of Postoperative Shoulder Stiffness?</t>
  </si>
  <si>
    <t>Lindenhofgruppe AG</t>
  </si>
  <si>
    <t>NCT04722887</t>
  </si>
  <si>
    <t>A Study to Evaluate Safety, Tolerability and Pharmacokinetics of Two Different Doses of Alpha1-Proteinase Inhibitor Subcutaneous (Human) 15% in Participants With Alpha1-Antitrypsin Deficiency</t>
  </si>
  <si>
    <t>NCT04759807</t>
  </si>
  <si>
    <t>A Phase 1b Study of PUR1800 in Patients With COPD</t>
  </si>
  <si>
    <t>Pulmatrix Inc.</t>
  </si>
  <si>
    <t>NCT04930809</t>
  </si>
  <si>
    <t>Single and Multiple Dose Study of VER-01 in Healthy Volunteers</t>
  </si>
  <si>
    <t>NCT04564833</t>
  </si>
  <si>
    <t>Effect of RBT-1 on Preconditioning Response Biomarkers in Subjects Undergoing CABG and/or Cardiac Valve Surgery</t>
  </si>
  <si>
    <t>NCT05061693</t>
  </si>
  <si>
    <t>A Study to Evaluate the Efficacy and Safety of INCB054707 in Participants With Prurigo Nodularis</t>
  </si>
  <si>
    <t>NCT04933565</t>
  </si>
  <si>
    <t>First in Human Study of ORG-129 in Healthy Volunteers</t>
  </si>
  <si>
    <t>Origo Biopharma</t>
  </si>
  <si>
    <t>NCT05122598</t>
  </si>
  <si>
    <t>Development and Evaluation of Computerized Olfactory Training Program for Cognitive Decline in Early Alzheimer's Disease</t>
  </si>
  <si>
    <t>NCT04866563</t>
  </si>
  <si>
    <t>A Study of Efficacy and Safety of AX-8 in Chronic Cough</t>
  </si>
  <si>
    <t>Axalbion SA</t>
  </si>
  <si>
    <t>NCT05006716</t>
  </si>
  <si>
    <t>A Dose-Escalation and Expansion Study of BGB-16673 in Participants With B-Cell Malignancies</t>
  </si>
  <si>
    <t>NCT05103683</t>
  </si>
  <si>
    <t>First in Human Study of TORL-1-23 in Participants With Advanced Cancer</t>
  </si>
  <si>
    <t>TORL Biotherapeutics, LLC</t>
  </si>
  <si>
    <t>NCT04747977</t>
  </si>
  <si>
    <t>To Assess the Efficacy and Safety of OTX-DED for the Short-term Treatment of Signs and Symptoms of Dry Eye Disease</t>
  </si>
  <si>
    <t>NCT04723394</t>
  </si>
  <si>
    <t>Phase III Study of AZD7442 for Treatment of COVID-19 in Outpatient Adults</t>
  </si>
  <si>
    <t>NCT04962022</t>
  </si>
  <si>
    <t>Drug-Drug Interaction Study Assessing Effect of Itraconazole on PF-07321332/Ritonavir in Healthy Participants</t>
  </si>
  <si>
    <t>NCT05077969</t>
  </si>
  <si>
    <t>Leidos-Enabled Adaptive Protocol (LEAP-CT) for Evaluation of Post-exposure Prophylaxis for Newly-infected COVID-19 Patients</t>
  </si>
  <si>
    <t>Leidos Life Sciences</t>
  </si>
  <si>
    <t>NCT04322669</t>
  </si>
  <si>
    <t>Study of Pidotimod in Children With Recurrent Respiratory Tract Infections (RRI)</t>
  </si>
  <si>
    <t>NCT04745351</t>
  </si>
  <si>
    <t>Study to Evaluate the Efficacy and Safety of Remdesivir in Participants With Severely Reduced Kidney Function Who Are Hospitalized for Coronavirus Disease 2019 (COVID-19)</t>
  </si>
  <si>
    <t>NCT04779177</t>
  </si>
  <si>
    <t>Safety, Tolerability, and Pharmacokinetics of Lumateperone in Pediatric Patients With Schizophrenia or Schizoaffective Disorder</t>
  </si>
  <si>
    <t>NCT04987970</t>
  </si>
  <si>
    <t>A Clinical Trial to Evaluate the Tolerability and Pharmacokinetics of CKD-386(2) 80/20/10mg</t>
  </si>
  <si>
    <t>NCT04752566</t>
  </si>
  <si>
    <t>A Study to Evaluate the Efficacy and Safety of Eculizumab in Guillain-Barré Syndrome</t>
  </si>
  <si>
    <t>NCT04891757</t>
  </si>
  <si>
    <t>FHD-286 as Monotherapy or Combination Therapy in Subjects With Advanced Hematologic Malignancies</t>
  </si>
  <si>
    <t>NCT05023031</t>
  </si>
  <si>
    <t>Evaluation of Pharmacokinetic and Safety of NVP-2102 and NVP-2102-R in Healthy Subjects</t>
  </si>
  <si>
    <t>NCT04676477</t>
  </si>
  <si>
    <t>HER3-DXd (Patritumab Deruxtecan; U3-1402) in Combination With Osimertinib in Subjects With Locally Advanced or Metastatic EGFR-mutated Non-Small Cell Lung Cancer</t>
  </si>
  <si>
    <t>NCT04875169</t>
  </si>
  <si>
    <t>Evaluate Efficacy and Safety of Oral SHR0302 in Subjects Aged 12 Years and Older With Moderate to Severe Atopic Dermatitis</t>
  </si>
  <si>
    <t>NCT04922151</t>
  </si>
  <si>
    <t>601 Versus Ranibizumab in Patients With Pathological Myopic Choroidal Neovascularization (pmCNV)</t>
  </si>
  <si>
    <t>NCT07218029</t>
  </si>
  <si>
    <t>A Clinical Study of Sotatercept (MK-7962) in People With Pulmonary Arterial Hypertension (MK-7962-038)</t>
  </si>
  <si>
    <t>NCT05009953</t>
  </si>
  <si>
    <t>Study of Irinotecan Liposome Injection in Patients With Advanced Biliary Tract Cancer</t>
  </si>
  <si>
    <t>NCT04768972</t>
  </si>
  <si>
    <t>FUSION: A Study to Evaluate the Efficacy, Safety, Pharmacokinetics and Pharmacodynamics of ION363 in Amyotrophic Lateral Sclerosis Participants With Fused in Sarcoma Mutations (FUS-ALS)</t>
  </si>
  <si>
    <t>NCT04700072</t>
  </si>
  <si>
    <t>Substudy 02D: Safety and Efficacy of Pembrolizumab in Combination With Investigational Agents or Pembrolizumab Alone in Participants With Melanoma Brain Metastasis (MK-3475-02D/KEYMAKER-U02)</t>
  </si>
  <si>
    <t>NCT04729595</t>
  </si>
  <si>
    <t>Study to Evaluate the Effects of Tempol (MBM-02) in COVID-19 Patients.</t>
  </si>
  <si>
    <t>Adamis Pharmaceuticals Corporation</t>
  </si>
  <si>
    <t>NCT04767529</t>
  </si>
  <si>
    <t>A Study of Efruxifermin in Non-Cirrhotic Subjects With Histologically Confirmed Nonalcoholic Steatohepatitis (NASH)</t>
  </si>
  <si>
    <t>NCT05008965</t>
  </si>
  <si>
    <t>Evaluate the Efficacy and Safety of FB825 in Adult With Allergic Asthma</t>
  </si>
  <si>
    <t>NCT05028634</t>
  </si>
  <si>
    <t>Safety Study to Evaluate Immune Response of Vaccines in Participants With Relapsing Forms of Multiple Sclerosis Who Receive Ozanimod Compared to Non-Pegylated Interferon (IFN)-β or No Disease Modifying Therapy</t>
  </si>
  <si>
    <t>NCT05072444</t>
  </si>
  <si>
    <t>Drug-Drug Interaction Study of IV QPX2014 Combined With QPX7728 in Healthy Adult Subjects</t>
  </si>
  <si>
    <t>NCT04589663</t>
  </si>
  <si>
    <t>Study to Compare the Pharmacokinetics of Mometasone Furoate Alone and in Combination With Indacaterol in Patients ≥ 6 to &lt; 12 Years Old With Asthma</t>
  </si>
  <si>
    <t>NCT04607200</t>
  </si>
  <si>
    <t>AGEN2034 &amp; AGEN1884 in Patients With Recurrent, Inoperable Angiosarcoma</t>
  </si>
  <si>
    <t>NCT05420493</t>
  </si>
  <si>
    <t>Clinical Study of Chimeric Antigen Receptor T Lymphocytes (CAR-T) in the Treatment of Relapsed/Refractory Non-Hodgkin Lymphoma</t>
  </si>
  <si>
    <t>NCT04804267</t>
  </si>
  <si>
    <t>Evaluation of Clinical Equivalence Between Two Linaclotide Products in the Treatment of Chronic Idiopathic Constipation</t>
  </si>
  <si>
    <t>NCT04854434</t>
  </si>
  <si>
    <t>A Study to Evaluate the Safety and Efficacy of Selinexor With or Without Pembrolizumab Versus Standard of Care in Previously Treated Metastatic Colorectal Cancer With RAS Mutations</t>
  </si>
  <si>
    <t>NCT04956263</t>
  </si>
  <si>
    <t>A Comparison of Postprandial Glucose After a MMTT, and the Metabolic Effects of Insulin Withdrawal in a Crossover Study in Subjects With Type 1 Diabetes</t>
  </si>
  <si>
    <t>Youngene Therapeutics Inc., Ltd.</t>
  </si>
  <si>
    <t>NCT05355129</t>
  </si>
  <si>
    <t>A Phase 1 Study of TT-00920 in Healthy Subjects</t>
  </si>
  <si>
    <t>NCT04958967</t>
  </si>
  <si>
    <t>Phase Ib Study of FURMONERTINIB in Patients with NSCLC Having Exon 20 Insertion Mutation</t>
  </si>
  <si>
    <t>NCT04807400</t>
  </si>
  <si>
    <t>Study in Primary Care Evaluating Inclisiran Delivery Implementation + Enhanced Support</t>
  </si>
  <si>
    <t>NCT02588807</t>
  </si>
  <si>
    <t>Food Supplement for the Treatment of Patients With Amyotrophic Lateral Sclerosis</t>
  </si>
  <si>
    <t>Herb Spirit</t>
  </si>
  <si>
    <t>NCT05164471</t>
  </si>
  <si>
    <t>Phase 1/2 Dose Confirmation Study of FLT180a in Hemophilia B</t>
  </si>
  <si>
    <t>NCT05077332</t>
  </si>
  <si>
    <t>LEAP-CT for Treatment of COVID-19 Patients (Master Protocol)</t>
  </si>
  <si>
    <t>NCT05046795</t>
  </si>
  <si>
    <t>Revefenacin in Chinese Subjects With Moderate to Very Severe Chronic Obstructive Pulmonary Disease(COPD)</t>
  </si>
  <si>
    <t>NCT05137600</t>
  </si>
  <si>
    <t>A Drug-Drug Interaction Study Between ATI-2173 and Midazolam or Clarithromycin in Healthy Subjects</t>
  </si>
  <si>
    <t>NCT04927065</t>
  </si>
  <si>
    <t>A Study to Evaluate the Immunogenicity and Safety of mRNA Vaccine Boosters for SARS-CoV-2 (COVID-19) Variants</t>
  </si>
  <si>
    <t>NCT04944771</t>
  </si>
  <si>
    <t>Study to Assess the Effect of Food and Acid Reducing Agents on the Absorption of Capivasertib in Healthy Participants</t>
  </si>
  <si>
    <t>NCT04956575</t>
  </si>
  <si>
    <t>A Study of mRNA-1010 Seasonal Influenza Vaccine in Healthy Adults</t>
  </si>
  <si>
    <t>NCT05206201</t>
  </si>
  <si>
    <t>A Study Of Zy-19489 Administered Via Oral Route To Investigate The Safety, Tolerability And Pharmacokinetics In Healthy Adult Human Subjects</t>
  </si>
  <si>
    <t>NCT04603495</t>
  </si>
  <si>
    <t>Phase 3 Study of Pelabresib (CPI-0610) in Myelofibrosis (MF) (MANIFEST-2)</t>
  </si>
  <si>
    <t>NCT05091619</t>
  </si>
  <si>
    <t>A Phase 3 Study of BIBP Diphtheria, Tetanus and Acellular Pertussis (Three Components) Combined Vaccine, Adsorbed</t>
  </si>
  <si>
    <t>NCT04862767</t>
  </si>
  <si>
    <t>TASO-001 in Combination With Recombinant Interleukin-2(Aldesleukin) in Advanced or Metastatic Solid Tumor</t>
  </si>
  <si>
    <t>NCT04622007</t>
  </si>
  <si>
    <t>Tomivosertib Combined With Pembrolizumab in Subjects With PD-L1 Positive NSCLC (KICKSTART)</t>
  </si>
  <si>
    <t>NCT04815551</t>
  </si>
  <si>
    <t>A Phase 1 Study of AV-380 in Healthy Subjects</t>
  </si>
  <si>
    <t>NCT05106400</t>
  </si>
  <si>
    <t>Clinical Adhesion Study Between ZTlido 1.8% and Three Over-the-counter External Analgesic Lidocaine-containing Patches</t>
  </si>
  <si>
    <t>NCT05120297</t>
  </si>
  <si>
    <t>A Phase 3 Study of Efficacy and Safety of AK101 in Subjects With Psoriasis</t>
  </si>
  <si>
    <t>NCT06179537</t>
  </si>
  <si>
    <t>Evaluation of the Pharmacokinetics and Safety of BLU-5937 in Healthy Adult Japanese and Caucasian Subjects</t>
  </si>
  <si>
    <t>NCT04583228</t>
  </si>
  <si>
    <t>Evaluate the Safety, Tolerability, Pharmacodynamics, Pharmacokinetics, and Immunogenicity of HLX71 (Recombinant Human Angiotensin-converting Enzyme 2-Fc Fusion Protein for COVID-19) in Healthy Adult Subjects</t>
  </si>
  <si>
    <t>NCT04952545</t>
  </si>
  <si>
    <t>Study of ALXN2050 in Healthy Adult Participants of Japanese Descent</t>
  </si>
  <si>
    <t>NCT05042401</t>
  </si>
  <si>
    <t>A Trial of SHR-1703 in Asthma</t>
  </si>
  <si>
    <t>NCT06759857</t>
  </si>
  <si>
    <t>FHND9041 Versus Afatinib for Non-small Cell Lung Cancer</t>
  </si>
  <si>
    <t>NCT04985812</t>
  </si>
  <si>
    <t>A Study of JNJ-67484703 in Participants With Active Rheumatoid Arthritis</t>
  </si>
  <si>
    <t>NCT05197270</t>
  </si>
  <si>
    <t>4D-150 in Patients With Neovascular (Wet) Age-Related Macular Degeneration</t>
  </si>
  <si>
    <t>NCT04965272</t>
  </si>
  <si>
    <t>A Study To Assess Adverse Events and Change in Disease Activity With Oral Cariprazine When Added to Antidepressant Therapies (ADTs) Compared to Placebo in Adult Participants With Generalized Anxiety Disorder (GAD) Who Have Had an Inadequate Response to ADTs Alone</t>
  </si>
  <si>
    <t>NCT05071612</t>
  </si>
  <si>
    <t>Parallel Arm Trial of AD109 and AD504 In Patients With OSA</t>
  </si>
  <si>
    <t>NCT04608786</t>
  </si>
  <si>
    <t>A Clinical Study of PD-L1 Antibody ZKAB001 Combined With Capecitabine in Resected Biliary Tract Cancer</t>
  </si>
  <si>
    <t>NCT04763759</t>
  </si>
  <si>
    <t>Study to Evaluate Safety and Activity of TRL1068 in Prosthetic Joint Infections</t>
  </si>
  <si>
    <t>Trellis Bioscience LLC</t>
  </si>
  <si>
    <t>NCT04764669</t>
  </si>
  <si>
    <t>A Study of E2027 in Participants With Dementia With Lewy Bodies (DLB) or Parkinson's Disease Dementia (PDD) With or Without Amyloid Copathology</t>
  </si>
  <si>
    <t>NCT04686305</t>
  </si>
  <si>
    <t>Phase Ib Study of the Safety of T-DXd and Immunotherapy Agents With and Without Chemotherapy in Advanced or Metastatic HER2+, Non-squamous NSCLC</t>
  </si>
  <si>
    <t>NCT05497479</t>
  </si>
  <si>
    <t>Study Evaluating Techniques for Measuring Tear Production</t>
  </si>
  <si>
    <t>NCT04593823</t>
  </si>
  <si>
    <t>Avoiding Treatment in the Hospital With Furoscix for the Management of Congestion in Heart Failure - A Pilot Study</t>
  </si>
  <si>
    <t>NCT04718103</t>
  </si>
  <si>
    <t>A Study of GSK3511294 (Depemokimab) in Participants With Severe Asthma With an Eosinophilic Phenotype</t>
  </si>
  <si>
    <t>NCT05071183</t>
  </si>
  <si>
    <t>A Study of Repotrectinib in Combination With Other Anticancer Therapies for the Treatment of Subjects With KRAS-Mutant Solid Tumors</t>
  </si>
  <si>
    <t>NCT05140382</t>
  </si>
  <si>
    <t>AZD4573 as Monotherapy or in Combinations With Anti-cancer Agents in Patients With r/r PTCL or r/r cHL</t>
  </si>
  <si>
    <t>NCT05034120</t>
  </si>
  <si>
    <t>Food Effect and Mass Balance Study of XZP-3621 Tablets</t>
  </si>
  <si>
    <t>NCT04430283</t>
  </si>
  <si>
    <t>Evaluation of FDY-5301 in Major Trauma Patients in ICU</t>
  </si>
  <si>
    <t>Faraday Pharmaceuticals, Inc.</t>
  </si>
  <si>
    <t>NCT05885854</t>
  </si>
  <si>
    <t>XTR003 PET Radiotracer for the Detection of Viable Myocardium</t>
  </si>
  <si>
    <t>NCT04823962</t>
  </si>
  <si>
    <t>Effect of rhGM-CSF on the Healing of Venous Leg Ulcers</t>
  </si>
  <si>
    <t>Reponex Pharmaceuticals A/S</t>
  </si>
  <si>
    <t>NCT04814186</t>
  </si>
  <si>
    <t>A Study to Assess the Safety and Efficacy Of Tafamidis In Chinese Participants With Transthyretin Amyloid Cardiomyopathy (ATTR-CM)</t>
  </si>
  <si>
    <t>NCT04811560</t>
  </si>
  <si>
    <t>A Phase 1/2 Study of Bleximenib in Participants With Acute Leukemia (cAMeLot-1)</t>
  </si>
  <si>
    <t>NCT04779879</t>
  </si>
  <si>
    <t>Safety, Tolerability and Pharmacokinetics of Second Generation VIR-7831 Material in Non-hospitalized Participants With Mild to Moderate COVID-19</t>
  </si>
  <si>
    <t>NCT04813796</t>
  </si>
  <si>
    <t>A Study to Evaluate Safety, Reactogenicity, and Immunogenicity of mRNA-1283 and mRNA-1273 Vaccines in Healthy Adults Between 18 Years and 55 Years of Age to Prevent COVID-19</t>
  </si>
  <si>
    <t>NCT05179603</t>
  </si>
  <si>
    <t>A Study of SAR444245 With or Without Other Anticancer Therapies for the Treatment of Adults and Adolescents With Relapsed or Refractory B Cell Lymphoma (Master Protocol) [Pegathor Lymphoma 205]</t>
  </si>
  <si>
    <t>NCT04844086</t>
  </si>
  <si>
    <t>RPM CD19-mbIL15-CAR-T Cells in Patient With Advanced Lymphoid Malignancies</t>
  </si>
  <si>
    <t>Eden BioCell Ltd.</t>
  </si>
  <si>
    <t>NCT04984369</t>
  </si>
  <si>
    <t>The Efficacy of HLX208 (BRAF V600E Inhibitor) With Cetuximab for Metastatic Colorectal Cancer (mCRC) With BRAF V600E Mutation After First-line Treatment</t>
  </si>
  <si>
    <t>NCT04580420</t>
  </si>
  <si>
    <t>Safety &amp; Efficacy of DCR-PHXC in Patients With PH1 and ESRD</t>
  </si>
  <si>
    <t>NCT05055024</t>
  </si>
  <si>
    <t>An Open Label Study of NLS-2 (Mazindol Extended Release) in Subjects With Narcolepsy</t>
  </si>
  <si>
    <t>NLS Pharmaceutics</t>
  </si>
  <si>
    <t>NCT04567420</t>
  </si>
  <si>
    <t>DNA-guided Second Line Adjuvant Therapy for High Residual Risk, Estrogen Receptor Positive, HER-2 Negative Breast Cancer (DARE)</t>
  </si>
  <si>
    <t>Criterium, Inc.</t>
  </si>
  <si>
    <t>NCT04939701</t>
  </si>
  <si>
    <t>Study of ASP0739 Alone and With Pembrolizumab in Advanced Solid Tumors With NY-ESO-1 Expression Participants</t>
  </si>
  <si>
    <t>NCT04824365</t>
  </si>
  <si>
    <t>Sodium Pyruvate Nasal Spray Treatment of COVID-19 Infection</t>
  </si>
  <si>
    <t>NCT04849416</t>
  </si>
  <si>
    <t>A Study of LOXO-305 in Chinese Participants With Blood Cancer (Including Lymphoma and Chronic Leukemia)</t>
  </si>
  <si>
    <t>NCT05124795</t>
  </si>
  <si>
    <t>IMU-935 in Patients With Progressive, Metastatic Castration Resistant Prostate Cancer</t>
  </si>
  <si>
    <t>NCT04728893</t>
  </si>
  <si>
    <t>Efficacy and Safety of Nemtabrutinib (MK-1026) in Participants With Hematologic Malignancies (MK-1026-003)</t>
  </si>
  <si>
    <t>NCT05516407</t>
  </si>
  <si>
    <t>Safety and Efficacy of Oral Full-Spectrum Medicinal Cannabis Plant Extract in Children With Autism Spectrum Disorder.</t>
  </si>
  <si>
    <t>Fenix Innovation Group</t>
  </si>
  <si>
    <t>NCT04829344</t>
  </si>
  <si>
    <t>NCT03887221</t>
  </si>
  <si>
    <t>A Single and Multiple Dose Study to Assess How the Drug Enters, Moves Through and Exits the Body, Safety and Tolerability of Safinamide in Healthy Adult Chinese Volunteers</t>
  </si>
  <si>
    <t>NCT06817811</t>
  </si>
  <si>
    <t>Bioequivalence Study of Apixaban 5 mg Film-Coated Tablet</t>
  </si>
  <si>
    <t>Dexa Medica Group</t>
  </si>
  <si>
    <t>NCT04846998</t>
  </si>
  <si>
    <t>A Study to Compare the Pharmacokinetics of BR9003A and BR9003 in Healthy Adult Subjects</t>
  </si>
  <si>
    <t>NCT05075044</t>
  </si>
  <si>
    <t>Immunogenicity and Safety of an Inactivated COVID-19 Vaccine in People Aged ≥18 Years With HIV Infected</t>
  </si>
  <si>
    <t>NCT04923932</t>
  </si>
  <si>
    <t>Savolitinib for Treating Gastric Cancer and Esophagogastric Junction Adenocarcinoma Patients</t>
  </si>
  <si>
    <t>NCT04968912</t>
  </si>
  <si>
    <t>A Study of Nipocalimab in Adults With Primary Sjogren's Syndrome (pSS)</t>
  </si>
  <si>
    <t>NCT04839965</t>
  </si>
  <si>
    <t>Study of Intravenous Ampion in Adult COVID-19 Patients Requiring Supplemental Oxygen</t>
  </si>
  <si>
    <t>NCT04694365</t>
  </si>
  <si>
    <t>Safety and Pharmacokinetics of Fluzoparib in Healthy Subjects and Those With Impaired Liver Function</t>
  </si>
  <si>
    <t>NCT04727164</t>
  </si>
  <si>
    <t>Study Investigating Safety,Tolerability,Pharmacokinetics and Antitumor Activities of HBM4003 Combine With Toripalimab</t>
  </si>
  <si>
    <t>NCT04685564</t>
  </si>
  <si>
    <t>A Single Dose-escalation Study to Evaluate the Safety and Pharmacokinetics of RBD1016</t>
  </si>
  <si>
    <t>NCT04880187</t>
  </si>
  <si>
    <t>Safety, Tolerability, and Efficacy of AXA1125 in NASH With Fibrosis</t>
  </si>
  <si>
    <t>NCT04873232</t>
  </si>
  <si>
    <t>A 6-Month Extension Study of VMDN-003-2 to Assess Engensis in Participants With Painful Diabetic Peripheral Neuropathy</t>
  </si>
  <si>
    <t>NCT04704739</t>
  </si>
  <si>
    <t>Evaluation of Mass Balance and Absolute Bioavailability of GLPG1205</t>
  </si>
  <si>
    <t>NCT04759339</t>
  </si>
  <si>
    <t>An Open Label, Study of the Systemic Exposure to Articaine After Topical Ocular Dosing of AG-920</t>
  </si>
  <si>
    <t>NCT05107375</t>
  </si>
  <si>
    <t>Clinical Study of Recombinant Novel Coronavirus（COVID-19） Vaccine (CHO Cell) Combined With Influenza Vaccine</t>
  </si>
  <si>
    <t>NCT04951219</t>
  </si>
  <si>
    <t>A Phase 3 Study to Evaluate Safety and Biomarkers of Resmetirom (MGL-3196) in Patients With Non-alcoholic Fatty Liver Disease (NAFLD), MAESTRO-NAFLD-Open-Label-Extension (MAESTRO-NAFLD-OLE)</t>
  </si>
  <si>
    <t>Madrigal Pharmaceuticals, Inc.</t>
  </si>
  <si>
    <t>NCT04809467</t>
  </si>
  <si>
    <t>A Study Evaluating Safety, PK, and Efficacy of Tafasitamab and Parsaclisib in Participants With Relapsed/Refractory Non Hodgkin Lymphoma (R/R NHL) or Chronic Lymphocytic Leukemia (CLL)</t>
  </si>
  <si>
    <t>NCT05083481</t>
  </si>
  <si>
    <t>A Study of ASP1570 Taken by Itself, or ASP1570 Taken Together With Either Pembrolizumab, Standard Therapies, or Both, in Adults With Solid Tumors</t>
  </si>
  <si>
    <t>NCT04389671</t>
  </si>
  <si>
    <t>The Safety and Preliminary Tolerability of Lyophilized Lucinactant in Adults With Coronavirus Disease 2019 (COVID-19)</t>
  </si>
  <si>
    <t>NCT04749563</t>
  </si>
  <si>
    <t>Study of IGC-AD1 in Subjects With Dementia Due to Alzheimer's Disease</t>
  </si>
  <si>
    <t>IGC Pharma, LLC</t>
  </si>
  <si>
    <t>NCT04886765</t>
  </si>
  <si>
    <t>A Study to Evaluate the Safety and Efficacy of ALMB-0168 in Patients With Osteosarcoma</t>
  </si>
  <si>
    <t>AlaMab Therapeutics (Shanghai) Inc.</t>
  </si>
  <si>
    <t>NCT04599465</t>
  </si>
  <si>
    <t>A Study to Assess the Effect of ELX/TEZ/IVA on Glucose Tolerance in Participants With Cystic Fibrosis (CF)</t>
  </si>
  <si>
    <t>NCT06542731</t>
  </si>
  <si>
    <t>An Open-label, Uncontrolled Study of ONO-4578 and ONO-4538 in Combination With Standard-of-care Docetaxel and Ramucirumab as Second-line Therapy in Patients With Advanced or Recurrent Non-small Cell Lung Cancer</t>
  </si>
  <si>
    <t>NCT05046431</t>
  </si>
  <si>
    <t>Comparative Study of BAT2506 With Simponi® in Participants With Active Psoriatic Arthritis</t>
  </si>
  <si>
    <t>NCT04867837</t>
  </si>
  <si>
    <t>Study of OCTAPLEX in Patients With Acute Major Bleeding on DOAC Therapy With Factor Xa Inhibitor</t>
  </si>
  <si>
    <t>NCT04882631</t>
  </si>
  <si>
    <t>A Study to Evaluate the Skin Irritation Potential of PBI-100 Topical Cream in Healthy Participants</t>
  </si>
  <si>
    <t>NCT04762511</t>
  </si>
  <si>
    <t>A Study on the Reactogenicity, Safety and Immune Response of a Vaccine Against Herpes Simplex Virus (HSV)-2 in Healthy Participants Aged 18-40 Years</t>
  </si>
  <si>
    <t>NCT04709575</t>
  </si>
  <si>
    <t>Study to Assess the Efficacy of Anti-Bet v 1 Monoclonal Antibodies in Adults to Reduce Symptoms of Seasonal Allergic Rhinitis</t>
  </si>
  <si>
    <t>NCT03797612</t>
  </si>
  <si>
    <t>Study to Evaluate a Preop Dose of Brivoligide Injection for Pain After Knee Replacement in Patients With High PCS Scores</t>
  </si>
  <si>
    <t>NCT04630028</t>
  </si>
  <si>
    <t>A Study of Ustekinumab in Pediatric Participants With Moderately to Severely Active Ulcerative Colitis (UC)</t>
  </si>
  <si>
    <t>NCT04669171</t>
  </si>
  <si>
    <t>A Novel Vaccine (EO2463) as Monotherapy and in Combination, for Treatment of Patients With Indolent Non-Hodgkin Lymphoma</t>
  </si>
  <si>
    <t>NCT05067972</t>
  </si>
  <si>
    <t>A Study of PF-07260437 in Advanced or Metastatic Solid Tumors</t>
  </si>
  <si>
    <t>NCT05075577</t>
  </si>
  <si>
    <t>EPI-7386 in Combination with Enzalutamide Compared with Enzalutamide Alone in Subjects with MCRPC</t>
  </si>
  <si>
    <t>NCT04729101</t>
  </si>
  <si>
    <t>Study to Evaluate the Pharmacokinetics, Pharmacodynamics, and Safety of Vonoprazan and Lansoprazole in Healthy Participants</t>
  </si>
  <si>
    <t>NCT04972981</t>
  </si>
  <si>
    <t>A Study to Evaluate the Safety, Tolerability, Pharmacokinetics, and Antitumor Activity of ADCT-901 in Participants With Selected Advanced Solid Tumors</t>
  </si>
  <si>
    <t>NCT04888728</t>
  </si>
  <si>
    <t>To Evaluate Drug-drug Interactions Between DWN12088 and Nebivolol or Paroxetine in Healthy Volunteers</t>
  </si>
  <si>
    <t>NCT04704934</t>
  </si>
  <si>
    <t>Trastuzumab Deruxtecan for Subjects With HER2-Positive Gastric Cancer or Gastro-Esophageal Junction Adenocarcinoma After Progression on or After a Trastuzumab-Containing Regimen (DESTINY-Gastric04)</t>
  </si>
  <si>
    <t>NCT05024032</t>
  </si>
  <si>
    <t>A Study of Tirzepatide (LY3298176) in Chinese Participants Without Type 2 Diabetes Who Have Obesity or Overweight (SURMOUNT-CN)</t>
  </si>
  <si>
    <t>NCT04944901</t>
  </si>
  <si>
    <t>28-Day Daily-dose Crossover Study of the Safety and Tolerability of SB-121 (Lactobacillus Reuteri With Sephadex® and Maltose) in Subjects, Ages 15 to 45 Years, Diagnosed With Autistic Disorder</t>
  </si>
  <si>
    <t>Scioto Biosciences, Inc.</t>
  </si>
  <si>
    <t>NCT04957719</t>
  </si>
  <si>
    <t>Selatogrel Outcome Study in Suspected Acute Myocardial Infarction</t>
  </si>
  <si>
    <t>NCT04689828</t>
  </si>
  <si>
    <t>177Lu-PSMA-617 vs. Androgen Receptor-Directed Therapy in the Treatment of Progressive Metastatic Castrate Resistant Prostate Cancer</t>
  </si>
  <si>
    <t>NCT04948099</t>
  </si>
  <si>
    <t>A Study of Single and Multiple Ascending Doses of VIB1116 in Rheumatic Diseases</t>
  </si>
  <si>
    <t>NCT04911751</t>
  </si>
  <si>
    <t>A Study to Investigate Efficacy and Safety of KBL697 in Patients with Moderate Plaque Type Psoriasis</t>
  </si>
  <si>
    <t>NCT05141422</t>
  </si>
  <si>
    <t>A Drug-drug Interaction Study of SHR2150 on Healthy Chinese Volunteers</t>
  </si>
  <si>
    <t>NCT05160545</t>
  </si>
  <si>
    <t>A Study of GNC-035, a Tetra-specific Antibody, in Participants With Locally Advanced or Metastatic Breast Cancer</t>
  </si>
  <si>
    <t>NCT04924075</t>
  </si>
  <si>
    <t>Belzutifan/MK-6482 for the Treatment of Advanced Pheochromocytoma/Paraganglioma (PPGL), Pancreatic Neuroendocrine Tumor (pNET), Von Hippel-Lindau (VHL) Disease-Associated Tumors, Advanced Gastrointestinal Stromal Tumor (wt GIST), or Solid Tumors With HIF-2α Related Genetic Alterations (MK-6482-015)</t>
  </si>
  <si>
    <t>NCT05204667</t>
  </si>
  <si>
    <t>Different Dosage Regimens of Methocarbamol/Paracetamol in Acute Non-specific Low Back Pain. MioPain Study</t>
  </si>
  <si>
    <t>NCT04845841</t>
  </si>
  <si>
    <t>Comparison of the Extent to Which the Drug Given as Two Different Capsule Sizes Becomes Available to the Body</t>
  </si>
  <si>
    <t>NCT06548997</t>
  </si>
  <si>
    <t>A Phase I Study of GZR18 Injection in Healthy Subjects</t>
  </si>
  <si>
    <t>NCT07028320</t>
  </si>
  <si>
    <t>To Evaluate the Efficacy and Safety of SAL056 for Postmenopausal Women With Osteoporosis at High Fracture Risk</t>
  </si>
  <si>
    <t>NCT04909723</t>
  </si>
  <si>
    <t>Safety, Tolerability, and Pharmacodynamics of NOV-001 in Adult Subjects</t>
  </si>
  <si>
    <t>Novome Biotechnologies Inc</t>
  </si>
  <si>
    <t>NCT03527069</t>
  </si>
  <si>
    <t>Efficacy and Safety of Cipros 10 Association on the Isolated Hypertriglyceridemia and Dyslipidemia Treatment</t>
  </si>
  <si>
    <t>NCT04714541</t>
  </si>
  <si>
    <t>Modified Ketogenic Diet and Ketamine for Anorexia Nervosa</t>
  </si>
  <si>
    <t>Homeostasis Therapeutics, LLC</t>
  </si>
  <si>
    <t>NCT04943627</t>
  </si>
  <si>
    <t>Balstilimab Versus Investigator Choice Chemotherapy in Patients With Recurrent Cervical Cancer (BRAVA)</t>
  </si>
  <si>
    <t>NCT05144061</t>
  </si>
  <si>
    <t>A First-in-human Study of HRS2398 Tablets in Subjects With Advanced Malignant Tumors</t>
  </si>
  <si>
    <t>NCT04979390</t>
  </si>
  <si>
    <t>Safety, Tolerability and Pharmacokinetics of the New Formulation SHR-1316 in Subjects With Advanced Tumors</t>
  </si>
  <si>
    <t>NCT06558513</t>
  </si>
  <si>
    <t>To Evaluate a Phase I/II Clinical Study of XNW5004 Tablets in Patients With Relapsed/Refractory Advanced Tumors</t>
  </si>
  <si>
    <t>NCT04772313</t>
  </si>
  <si>
    <t>Pegloticase and Methotrexate Co-administered in Participants With Uncontrolled Gout Who Previously Failed Pegloticase Monotherapy</t>
  </si>
  <si>
    <t>NCT04846842</t>
  </si>
  <si>
    <t>A Study of Oral Gimatecan in Platinum-Resistant Epithelial Ovarian, Fallopian Tube or Peritoneal Cancer</t>
  </si>
  <si>
    <t>NCT04995523</t>
  </si>
  <si>
    <t>A Study of AZD2936 Anti-TIGIT/Anti-PD-1 Bispecific Antibody in Participants With Advanced or Metastatic NSCLC</t>
  </si>
  <si>
    <t>NCT04527380</t>
  </si>
  <si>
    <t>A Study of Ixekizumab (LY2439821) in Children With Juvenile Idiopathic Arthritis Categories of Enthesitis-related Arthritis (Including Juvenile Onset Ankylosing Spondylitis) and Juvenile Psoriatic Arthritis</t>
  </si>
  <si>
    <t>NCT05453227</t>
  </si>
  <si>
    <t>Zinc Containing Vaginal Topical " Suppository "</t>
  </si>
  <si>
    <t>NCT05813470</t>
  </si>
  <si>
    <t>Efficacy and Safety of Zerafil® (Omalizumab) in Participants With Uncontrolled Moderate to Severe Allergic Asthma</t>
  </si>
  <si>
    <t>NCT04682288</t>
  </si>
  <si>
    <t>Levofloxacin Ocular Implant for Ocular Surgery</t>
  </si>
  <si>
    <t>NCT06540261</t>
  </si>
  <si>
    <t>The Study of ONO-7913, ONO-4538 and the Standard of Care as First-line Treatment in Patients Colorectal Cancer</t>
  </si>
  <si>
    <t>NCT05943886</t>
  </si>
  <si>
    <t>A Phase 1 Study of HEC88473 Injection in Healthy Subjects, Obese Subjects and T2DM Subjects</t>
  </si>
  <si>
    <t>Dongguan HEC Biopharmaceutical R&amp;D Co., Ltd.</t>
  </si>
  <si>
    <t>NCT04849273</t>
  </si>
  <si>
    <t>A Study of TPX-0131, a Novel Oral ALK Tyrosine Kinase Inhibitor, in Patients With ALK+ Advanced or Metastatic NSCLC</t>
  </si>
  <si>
    <t>NCT05129891</t>
  </si>
  <si>
    <t>A Research Study Looking at New Protein-based Tablets in Healthy Male Participants</t>
  </si>
  <si>
    <t>NCT04929223</t>
  </si>
  <si>
    <t>A Study Evaluating the Safety and Efficacy of Targeted Therapies in Subpopulations of Patients With Metastatic Colorectal Cancer (INTRINSIC)</t>
  </si>
  <si>
    <t>NCT04884217</t>
  </si>
  <si>
    <t>Treatment of Dry Eye Disease Using Pro-ocular™ - A Proof of Concept, Safety, and Efficacy Study</t>
  </si>
  <si>
    <t>PharmaDax Inc.</t>
  </si>
  <si>
    <t>NCT05099640</t>
  </si>
  <si>
    <t>A Study of PTC923 in Participants With Phenylketonuria</t>
  </si>
  <si>
    <t>NCT04742907</t>
  </si>
  <si>
    <t>Safety and Efficacy of TU-100 as an Adjunct to an Enhanced Recovery After Surgery in Subjects Undergoing Bowel Resection</t>
  </si>
  <si>
    <t>Tsumura USA</t>
  </si>
  <si>
    <t>NCT06172309</t>
  </si>
  <si>
    <t>A Phase I Study of NTQ1062 in Chinese Patients With Advanced Solid Tumors</t>
  </si>
  <si>
    <t>NCT04758234</t>
  </si>
  <si>
    <t>A Study of LY3549492 in Healthy Participants</t>
  </si>
  <si>
    <t>NCT04614298</t>
  </si>
  <si>
    <t>A Phase 4 Study of Brodalumab (KHK4827) in Subjects With Moderate to Severe Plaque Psoriasis</t>
  </si>
  <si>
    <t>NCT04126044</t>
  </si>
  <si>
    <t>A SINGLE-DOSE, 2-ARM, PHARMACOKINETIC STUDY OF PF-06439535 (CN) AND EUROPEAN UNION SOURCED BEVACIZUMAB IN CHINESE HEALTHY MALE VOLUNTEERS</t>
  </si>
  <si>
    <t>NCT05176093</t>
  </si>
  <si>
    <t>A 6-Month Extension Study to Assess the Long-Term Safety of Engensis in Amyotrophic Lateral Sclerosis</t>
  </si>
  <si>
    <t>NCT04798209</t>
  </si>
  <si>
    <t>A Study to Examine the Safety, Tolerability, and Pharmacokinetics of Single- and Multiple-ascending Doses of ACT-777991 in Healthy Subjects</t>
  </si>
  <si>
    <t>NCT04848506</t>
  </si>
  <si>
    <t>Open-label Extension Study to Evaluate the Long-term Safety and Tolerability of Aficamten in Adults With HCM</t>
  </si>
  <si>
    <t>NCT04835584</t>
  </si>
  <si>
    <t>KRT-232 and TKI Study in Chronic Myeloid Leukemia</t>
  </si>
  <si>
    <t>NCT04860258</t>
  </si>
  <si>
    <t>COVID-19: A Study to Evaluate Safety, Reactogenicity and Immunogenicity of the SARS-CoV-2 mRNA Vaccine CVnCoV in Adults With Co-morbidities</t>
  </si>
  <si>
    <t>NCT04900363</t>
  </si>
  <si>
    <t>A Trial of AK112 (PD-1/VEGF Bispecific Antibody) in Patients With NSCLC</t>
  </si>
  <si>
    <t>NCT05022004</t>
  </si>
  <si>
    <t>A Therapeutic Equivalence Study in Subjects With Primary Open Angle Glaucoma or Ocular Hypertension</t>
  </si>
  <si>
    <t>NCT04752358</t>
  </si>
  <si>
    <t>ADP-A2M4CD8 in HLA-A2+ Subjects With MAGE-A4 Positive Esophageal or Esophagogastric Junction Cancers (SURPASS-2)</t>
  </si>
  <si>
    <t>NCT05088655</t>
  </si>
  <si>
    <t>A Bioequivalence Study of Hetrombopag in Healthy Subjects</t>
  </si>
  <si>
    <t>NCT04728698</t>
  </si>
  <si>
    <t>Study of Intravenous Administration of Allogeneic Adipose-Derived Mesenchymal Stem Cells for COVID-19-Induced Acute Respiratory Distress</t>
  </si>
  <si>
    <t>NCT04751487</t>
  </si>
  <si>
    <t>NCT04765384</t>
  </si>
  <si>
    <t>A Study of Ad26.COV2.S in Healthy Pregnant Participants (COVID-19)</t>
  </si>
  <si>
    <t>NCT04974047</t>
  </si>
  <si>
    <t>Study of Tislelizumab in Participants With Resectable Esophageal Squamous Cell Carcinoma</t>
  </si>
  <si>
    <t>NCT04891302</t>
  </si>
  <si>
    <t>The Proof of Concept Phase 2 Study to Evaluate the Safety and Efficacy of Clevudine in Patients With Mild and Moderate COVID-19</t>
  </si>
  <si>
    <t>NCT04833894</t>
  </si>
  <si>
    <t>Evaluating the Pharmacokinetics, Pharmacodynamics, and Safety of Efgartigimod Administered Intravenously in Children With Generalized Myasthenia Gravis</t>
  </si>
  <si>
    <t>NCT05603039</t>
  </si>
  <si>
    <t>A Phase Ib/II Trial to Evaluate the Safety and Efficacy of QL1706 in Patients With Advanced Hepatocellular Carcinoma</t>
  </si>
  <si>
    <t>NCT04971031</t>
  </si>
  <si>
    <t>A Clinical Trial to Assess Subjects With Dry Eye Disease.</t>
  </si>
  <si>
    <t>NCT04973137</t>
  </si>
  <si>
    <t>A Study to Evaluate the Efficacy and Safety of Birtamimab in Mayo Stage IV Patients With AL Amyloidosis</t>
  </si>
  <si>
    <t>Prothena Biosciences Ltd.</t>
  </si>
  <si>
    <t>NCT05022927</t>
  </si>
  <si>
    <t>A Phase I Study of ERY974 in Patients With Hepatocellular Carcinoma</t>
  </si>
  <si>
    <t>NCT04843631</t>
  </si>
  <si>
    <t>Bioequivalence Phase I Study of BFI-751 Compared With EU and US-STELARA® in Healthy Adults</t>
  </si>
  <si>
    <t>BioFactura Australia Pty Ltd.</t>
  </si>
  <si>
    <t>NCT04836195</t>
  </si>
  <si>
    <t>Study of PCLX-001 in R/R Advanced Solid Malignancies and B-cell Lymphoma</t>
  </si>
  <si>
    <t>Pacylex Pharmaceuticals</t>
  </si>
  <si>
    <t>NCT04914546</t>
  </si>
  <si>
    <t>A Study of LY3819469 in Healthy Participants</t>
  </si>
  <si>
    <t>NCT05236842</t>
  </si>
  <si>
    <t>Efficacy, Safety and Tolerability of Sulthiame in Patients With Obstructive Sleep Apnea (OSA)</t>
  </si>
  <si>
    <t>Desitin Arzneimittel GmbH</t>
  </si>
  <si>
    <t>NCT04724369</t>
  </si>
  <si>
    <t>Open-Label Study of 18F-mFBG for Imaging Neuroblastoma</t>
  </si>
  <si>
    <t>NCT04980872</t>
  </si>
  <si>
    <t>A Study of the Safety and Tolerability in Participants With PIK3CA-related Overgrowth Spectrum or Proteus Syndrome Who Are Being Treated With Miransertib (MK-7075) in Other Studies (MK-7075-006)</t>
  </si>
  <si>
    <t>NCT05199272</t>
  </si>
  <si>
    <t>A Phase 1/2a Study of 23ME-00610 in Patients With Advanced Solid Malignancies</t>
  </si>
  <si>
    <t>23andMe, Inc.</t>
  </si>
  <si>
    <t>NCT04951388</t>
  </si>
  <si>
    <t>A Study to Evaluate MVC-COV1901 Vaccine Against COVID-19 in Adolescents</t>
  </si>
  <si>
    <t>NCT05171673</t>
  </si>
  <si>
    <t>Study of PK and Safety of the LicartTM Topical System in Pediatric and Adult Participants with Minor Soft Tissue Injury</t>
  </si>
  <si>
    <t>IBSA Institut Biochimique SA</t>
  </si>
  <si>
    <t>NCT04872166</t>
  </si>
  <si>
    <t>A Study of BTX-A51 in People With Advanced Solid Tumor and Breast Cancer</t>
  </si>
  <si>
    <t>NCT05124561</t>
  </si>
  <si>
    <t>Study to Evaluate the inHaled Recombinant COVID-19 Vaccine (Adenovirus Type 5 Vector) On the Protective-Efficacy in Adults (SeiHOPE)</t>
  </si>
  <si>
    <t>NCT04647383</t>
  </si>
  <si>
    <t>A Study to Evaluate the Respiratory Safety of Lemborexant in Adult and Elderly Participants With Moderate to Severe Obstructive Sleep Apnea, and in Adult and Elderly Participants With Moderate to Severe Chronic Obstructive Pulmonary Disease</t>
  </si>
  <si>
    <t>NCT04624841</t>
  </si>
  <si>
    <t>Indocyanine Green to Visualize Critical View of Safety During Laparoscopic Cholecystectomy for Acute Cholecystitis</t>
  </si>
  <si>
    <t>NCT05197751</t>
  </si>
  <si>
    <t>MSP3-CRM-Vac4All/ Alhydrogel® Malaria Vaccine</t>
  </si>
  <si>
    <t>Vac4All</t>
  </si>
  <si>
    <t>NCT04955327</t>
  </si>
  <si>
    <t>To Compare the Efficacy and Tolerability of A. Paniculata/A. Chilensis in Individuals With URTI</t>
  </si>
  <si>
    <t>Vedic Lifesciences Pvt. Ltd.</t>
  </si>
  <si>
    <t>NCT04785794</t>
  </si>
  <si>
    <t>Safety and Immunogenicity of the Sing2016 M2SR H3N2 Monovalent Influenza Vaccine in Adults Ages 50 to 85 Years Old</t>
  </si>
  <si>
    <t>FluGen Inc</t>
  </si>
  <si>
    <t>NCT04886596</t>
  </si>
  <si>
    <t>Efficacy Study of GSK's Investigational Respiratory Syncytial Virus (RSV) Vaccine in Adults Aged 60 Years and Above</t>
  </si>
  <si>
    <t>NCT04648241</t>
  </si>
  <si>
    <t>Study to Evaluate the Immunogenicity, Safety, and Tolerability of a Tick-Borne Encephalitis (TBE) Vaccine in Healthy Japanese Participants 1 Year of Age and Older</t>
  </si>
  <si>
    <t>NCT04819841</t>
  </si>
  <si>
    <t>Gene Correction in Autologous CD34+ Hematopoietic Stem Cells (HbS to HbA) to Treat Severe Sickle Cell Disease</t>
  </si>
  <si>
    <t>Kamau Therapeutics</t>
  </si>
  <si>
    <t>NCT04594031</t>
  </si>
  <si>
    <t>US Phase I Study of ECT-001-CB in Patients With Sickle-Cell Disease</t>
  </si>
  <si>
    <t>NCT05184062</t>
  </si>
  <si>
    <t>A Study to Evaluate the Safety and Tolerability of AZD7442 in Chinese Adults</t>
  </si>
  <si>
    <t>NCT04811131</t>
  </si>
  <si>
    <t>Safety and Efficacy of ARQ-252 Cream 0.3% in Subjects With Non-Segmental Facial Vitiligo</t>
  </si>
  <si>
    <t>NCT04273269</t>
  </si>
  <si>
    <t>A Safety and Efficacy Study of LYS-GM101 Gene Therapy in Patients With GM1 Gangliosidosis</t>
  </si>
  <si>
    <t>LYSOGENE</t>
  </si>
  <si>
    <t>NCT04903288</t>
  </si>
  <si>
    <t>A Study of SmartFlow Magnetic Resonance (MR) Compatible Ventricular Cannula for Administering Eladocagene Exuparvovec to Pediatric Participants</t>
  </si>
  <si>
    <t>NCT04725188</t>
  </si>
  <si>
    <t>Pembrolizumab/Vibostolimab Coformulation (MK-7684A) or Pembrolizumab/Vibostolimab Coformulation Plus Docetaxel Versus Docetaxel for Metastatic Non Small Cell Lung Cancer (NSCLC) With Progressive Disease After Platinum Doublet Chemotherapy and Immunotherapy (MK-7684A-002, KEYVIBE-002)</t>
  </si>
  <si>
    <t>NCT04914403</t>
  </si>
  <si>
    <t>Mesenchymal Stem Cells for The Treatment of Frailty Syndrome</t>
  </si>
  <si>
    <t>NCT03885141</t>
  </si>
  <si>
    <t>Biolab Zolpidem Orodispersible 1.0 mg, 1.75 mg and 3.5 mg to Treat Maintenance Insomnia Disorder.</t>
  </si>
  <si>
    <t>NCT04838405</t>
  </si>
  <si>
    <t>A Study of CT-388 in Otherwise Healthy Overweight and Obese Adults and Patients With Type 2 Diabetes Mellitus</t>
  </si>
  <si>
    <t>NCT03635827</t>
  </si>
  <si>
    <t>Xenon Inhalation for Treatment of Posttraumatic Stress Disorder</t>
  </si>
  <si>
    <t>NCT04993586</t>
  </si>
  <si>
    <t>Phase I/II Study of COVID-19 DNA Vaccine (AG0302-COVID19 High-dose)</t>
  </si>
  <si>
    <t>NCT05028673</t>
  </si>
  <si>
    <t>A Study to Evaluate a New Tablet Formulation of Lu AG06466 in Healthy Participants</t>
  </si>
  <si>
    <t>NCT05048056</t>
  </si>
  <si>
    <t>Phase 2 Study of Efficacy and Safety of AK120, in Subjects With Moderate-to-Severe Atopic Dermatitis</t>
  </si>
  <si>
    <t>NCT04781127</t>
  </si>
  <si>
    <t>Home-administered tDCS for Treatment of Depression</t>
  </si>
  <si>
    <t>NCT04680637</t>
  </si>
  <si>
    <t>Efficacy and Safety of Efavaleukin Alfa in Subjects With Active Systemic Lupus Erythematosus</t>
  </si>
  <si>
    <t>NCT04998422</t>
  </si>
  <si>
    <t>A Study of HG381 Administered to Patients With Advanced Solid Tumors</t>
  </si>
  <si>
    <t>HitGen Inc.</t>
  </si>
  <si>
    <t>NCT05054842</t>
  </si>
  <si>
    <t>Clinical Study of Retagliptin Phosphate Combined With Metformin in the Treatment of Type 2 Diabetes</t>
  </si>
  <si>
    <t>NCT04866056</t>
  </si>
  <si>
    <t>Jaktinib and Azacitidine In Treating Patients With MDS With MF or MDS/MPN With MF.</t>
  </si>
  <si>
    <t>NCT04589442</t>
  </si>
  <si>
    <t>Microsurfaced Grafts in Deep Burn Wounds</t>
  </si>
  <si>
    <t>CellTherX</t>
  </si>
  <si>
    <t>NCT04819932</t>
  </si>
  <si>
    <t>Pharmacokinetics and Safety of DWJ1451 in Healthy Adults</t>
  </si>
  <si>
    <t>NCT03417921</t>
  </si>
  <si>
    <t>A Study of ABTL0812 in Pancreatic Cancer</t>
  </si>
  <si>
    <t>Ability Pharmaceuticals SL</t>
  </si>
  <si>
    <t>NCT04820621</t>
  </si>
  <si>
    <t>Study of the Influence of Liver Function on Blood Concentrations of Runcaciguat in Participants With Different Degrees of Liver Impairment</t>
  </si>
  <si>
    <t>NCT04274426</t>
  </si>
  <si>
    <t>Mirvetuximab Soravtansine (IMGN853), in Folate Receptor Alpha (FRα) High Recurrent Ovarian Cancer</t>
  </si>
  <si>
    <t>AGO Research GmbH</t>
  </si>
  <si>
    <t>NCT05404243</t>
  </si>
  <si>
    <t>Clinical Trial to Test the Phenolization in Sacrococcygeal Pilonidal Disease</t>
  </si>
  <si>
    <t>HJ23</t>
  </si>
  <si>
    <t>NCT05002998</t>
  </si>
  <si>
    <t>TEPEZZA® (Teprotumumab-trbw) Post-Marketing Requirement Study</t>
  </si>
  <si>
    <t>NCT05857449</t>
  </si>
  <si>
    <t>An Exploratory Study of LPM3480392 at Different Infusion Rates in Chinese Healthy Subjects</t>
  </si>
  <si>
    <t>NCT04848558</t>
  </si>
  <si>
    <t>A Study of Nipocalimab in Healthy Male and Female Participants</t>
  </si>
  <si>
    <t>NCT04084678</t>
  </si>
  <si>
    <t>Study of Ralinepag on Exercise Capacity by Cardiopulmonary Exercise Testing (CPET) in WHO Group 1 PH Subjects</t>
  </si>
  <si>
    <t>NCT04713709</t>
  </si>
  <si>
    <t>A Single-Dose, Bioequivalence Study of FMXIN001 4 mg Microspheres Powder</t>
  </si>
  <si>
    <t>NCT05150587</t>
  </si>
  <si>
    <t>Safety, Efficacy and Pharmacokinetics of Rifaximin in Patients With Moderate-to-severe Papulopustular Rosacea</t>
  </si>
  <si>
    <t>NCT04885647</t>
  </si>
  <si>
    <t>A Study of YPEG-rhEPO in Patients Suffered From Anemia Due to Chronic Kidney Disease</t>
  </si>
  <si>
    <t>NCT05096364</t>
  </si>
  <si>
    <t>A Phase 2 Study of Efficacy and Safety of AK111 in Subjects With Moderate-to-Severe Psoriasis</t>
  </si>
  <si>
    <t>NCT04712864</t>
  </si>
  <si>
    <t>Study of CD4-Targeted Chimeric Antigen Receptor T-Cells (CD4- CAR-T) in Subjects With Relapsed or Refractory T-Cell Lymphoma</t>
  </si>
  <si>
    <t>Legend Biotech USA Inc</t>
  </si>
  <si>
    <t>NCT04975438</t>
  </si>
  <si>
    <t>Clinical Effect, Safety and Tolerability of GSK1070806 in Atopic Dermatitis</t>
  </si>
  <si>
    <t>NCT04431258</t>
  </si>
  <si>
    <t>ABTL0812 in Combination With FOLFIRINOX for First-line Treatment of Metastatic Pancreatic Study</t>
  </si>
  <si>
    <t>NCT04973826</t>
  </si>
  <si>
    <t>Study to Assess the Pharmacokinetics, Safety and Tolerability of Aztreonam-Avibactam in Healthy Chinese Participants.</t>
  </si>
  <si>
    <t>NCT04775615</t>
  </si>
  <si>
    <t>Multi-dose, Dose Escalation Study to Evaluate the Safety, Tolerability, Pharmacokinetics, and Pharmacodynamics of DDO-3055 Tablets in Healthy Subjects.</t>
  </si>
  <si>
    <t>NCT04156347</t>
  </si>
  <si>
    <t>Topotecan Episcleral Plaque for Treatment of Retinoblastoma</t>
  </si>
  <si>
    <t>NCT04596293</t>
  </si>
  <si>
    <t>Efficacy and Safety of Orally Administered BBT-401-1S in Subjects With Ulcerative Colitis</t>
  </si>
  <si>
    <t>NCT04978493</t>
  </si>
  <si>
    <t>A Study to Test Whether BI 706321 Combined With Ustekinumab Helps People With Crohn's Disease</t>
  </si>
  <si>
    <t>NCT05154604</t>
  </si>
  <si>
    <t>A Study of SHR-A1921 for Injection in Subjects With Advanced Solid Tumours</t>
  </si>
  <si>
    <t>NCT06114238</t>
  </si>
  <si>
    <t>Pharmacokinetic Study to Compare Itepekimab Exposure When Administered With an Autoinjector Versus Prefilled Syringe</t>
  </si>
  <si>
    <t>NCT05007262</t>
  </si>
  <si>
    <t>Tangningtongluo Tablet in the Treatment of Non-proliferative Diabetic Retinopathy</t>
  </si>
  <si>
    <t>Guizhou Bailing Group Pharmaceutical Co Ltd</t>
  </si>
  <si>
    <t>NCT05156203</t>
  </si>
  <si>
    <t>Safety and Tolerability Study for T-1301 Capsules to Treat Advanced Solid Tumors</t>
  </si>
  <si>
    <t>NCT04629703</t>
  </si>
  <si>
    <t>Double-Blind, Randomized, Placebo-Controlled, Multi-Center Phase 3 Study to Evaluate the Efficacy and Safety of Fostamatinib in COVID-19 Subjects</t>
  </si>
  <si>
    <t>Rigel Pharmaceuticals</t>
  </si>
  <si>
    <t>NCT04167618</t>
  </si>
  <si>
    <t>177Lu-DTPA-Omburtamab Radioimmunotherapy for Recurrent or Refractory Medulloblastoma</t>
  </si>
  <si>
    <t>NCT05003440</t>
  </si>
  <si>
    <t>A Research Study Looking at How the Medicine NNC0385-0434 Works in the Body of Healthy Japanese Men</t>
  </si>
  <si>
    <t>NCT05003089</t>
  </si>
  <si>
    <t>A Trial to Learn How BAY1834845 and BAY1830839 Affect Inflammation When Taken by Mouth Twice a Day for 7 Days in a Row in Healthy Male Participants</t>
  </si>
  <si>
    <t>NCT04601610</t>
  </si>
  <si>
    <t>KN046 Combined With Ningatinib in the Treatment of Advanced Hepatocellular Carcinoma</t>
  </si>
  <si>
    <t>NCT05154123</t>
  </si>
  <si>
    <t>Drug-drug Interaction Study of Rosuvastatin and AT-527 (R07496998)</t>
  </si>
  <si>
    <t>NCT05017480</t>
  </si>
  <si>
    <t>A Study to Evaluate the Efficacy and Safety of CBP-201 in Moderate to Severe Atopic Dermatitis in China</t>
  </si>
  <si>
    <t>NCT05169580</t>
  </si>
  <si>
    <t>Safety, Tolerability, Pharmacokinetics and Pharmacodynamics of Pociredir</t>
  </si>
  <si>
    <t>NCT04993690</t>
  </si>
  <si>
    <t>A Study of LP-168 in Participants With Relapse or Refractory B-Cell Lymphoma</t>
  </si>
  <si>
    <t>NCT05128591</t>
  </si>
  <si>
    <t>A Study to Compare Pharmacokinetic Parameters and Safety Profiles Between AD-109 and AD-1091</t>
  </si>
  <si>
    <t>NCT04871113</t>
  </si>
  <si>
    <t>A Study to Evaluate the Antiviral Effect, Safety and Tolerability of GSK3810109A in Viremic Human Immunodeficiency Virus (HIV)-1 Infected Adults</t>
  </si>
  <si>
    <t>NCT04797780</t>
  </si>
  <si>
    <t>Tamibarotene Plus Azacitidine in Participants With Newly Diagnosed RARA-positive Higher-Risk Myelodysplastic Syndrome</t>
  </si>
  <si>
    <t>NCT05162274</t>
  </si>
  <si>
    <t>Clinical Trial to Assess Bioequivalence of Lazertinib Between Two Formulations in Healthy Volunteers.</t>
  </si>
  <si>
    <t>NCT04930562</t>
  </si>
  <si>
    <t>Efficacy and Safety of BN101 in Subjects With Chronic Graft Versus Host Disease (cGVHD)</t>
  </si>
  <si>
    <t>BioNova Pharmaceuticals (Shanghai) LTD.</t>
  </si>
  <si>
    <t>NCT05050097</t>
  </si>
  <si>
    <t>A Study of Talquetamab With Other Anticancer Therapies in Participants With Multiple Myeloma</t>
  </si>
  <si>
    <t>NCT04861259</t>
  </si>
  <si>
    <t>A Study Evaluating the Efficacy, Safety, Pharmacokinetics and Pharmacodynamics of Crovalimab in Adult and Adolescent Participants With Atypical Hemolytic Uremic Syndrome (aHUS)</t>
  </si>
  <si>
    <t>NCT05078580</t>
  </si>
  <si>
    <t>Pharmacokinetic (PK) and Safety Study of Iptacopan (LNP023) in Participants With Mild, Moderate, and Severe Hepatic Impairment Compared to Matched Control Healthy Participants With Normal Hepatic Function.</t>
  </si>
  <si>
    <t>NCT04746924</t>
  </si>
  <si>
    <t>A Study of Ociperlimab With Tislelizumab Compared to Pembrolizumab in Participants With Untreated Lung Cancer</t>
  </si>
  <si>
    <t>NCT04465396</t>
  </si>
  <si>
    <t>A Study to Evaluate the Bioavailability of Teduglutide Administered Subcutaneously by Syringe Injection Versus Pen Injector in Healthy Adult Participants</t>
  </si>
  <si>
    <t>NCT04961359</t>
  </si>
  <si>
    <t>Recombinant New Coronavirus Vaccine (CHO Cells) to Prevent SARS-CoV-2（COVID-19） Phase I Clinical Trial (3~17 Years Old)</t>
  </si>
  <si>
    <t>NCT04849351</t>
  </si>
  <si>
    <t>Clinical Study of HMPL-689 for Relapsed/Refractory Marginal Zone Lymphoma and Follicular Lymphoma</t>
  </si>
  <si>
    <t>NCT05173792</t>
  </si>
  <si>
    <t>Study of AK119 in Subjects With Advanced Solid Tumors</t>
  </si>
  <si>
    <t>NCT04889599</t>
  </si>
  <si>
    <t>A Bioequivalence Study of Docetaxel Injection in Patients With Solid Tumours</t>
  </si>
  <si>
    <t>Zhuhai Beihai Biotech Co., Ltd</t>
  </si>
  <si>
    <t>NCT04736199</t>
  </si>
  <si>
    <t>Darolutamide in Addition to ADT Versus ADT in Metastatic Hormone-sensitive Prostate Cancer</t>
  </si>
  <si>
    <t>NCT04815967</t>
  </si>
  <si>
    <t>Efficacy and Safety Study of MYOBLOC® in the Treatment of Adult Upper Limb Spasticity</t>
  </si>
  <si>
    <t>NCT04906798</t>
  </si>
  <si>
    <t>NCT04953884</t>
  </si>
  <si>
    <t>Efficacy, PK, Immunogenicity and Safety of Wilate in Severe Von Willebrand Disease (VWD) Patients &lt;6 Years of Age</t>
  </si>
  <si>
    <t>NCT06949358</t>
  </si>
  <si>
    <t>A Study to Evaluate Safety and Tolerability of Olipudase Alfa in Pediatric and Adult Participants With Acid Sphingomyelinase Deficiency (ASMD) Who Completed the DFI12712 or the LTS13632 Study in France</t>
  </si>
  <si>
    <t>NCT04957758</t>
  </si>
  <si>
    <t>Phase 2 Clinical Trial to Evaluate OC-01 Nasal Spray in Subjects With Neurotrophic Keratopathy</t>
  </si>
  <si>
    <t>Oyster Point Pharma, Inc.</t>
  </si>
  <si>
    <t>NCT04768985</t>
  </si>
  <si>
    <t>Study to Assess the Bioequivalence of Acalabrutinib Tablet and Acalabrutinib Capsule</t>
  </si>
  <si>
    <t>NCT04308785</t>
  </si>
  <si>
    <t>A Study of Atezolizumab With or Without Tiragolumab Consolidation in Limited Stage Small Cell Lung Cancer</t>
  </si>
  <si>
    <t>NCT04951609</t>
  </si>
  <si>
    <t>A Study of Seltorexant as Adjunctive Therapy to Antidepressants in Adolescents With Major Depressive Disorder Who Have an Inadequate Response to Selective Serotonin Reuptake Inhibitor (SSRI) and Psychotherapy</t>
  </si>
  <si>
    <t>NCT05096598</t>
  </si>
  <si>
    <t>A First-in-human Study Looking at the Safety of ZP8396 and How it Works in the Body of Healthy Trial Participants</t>
  </si>
  <si>
    <t>NCT05043714</t>
  </si>
  <si>
    <t>Study of NG-641 in Combination With Nivolumab in Metastatic or Advanced Epithelial Tumours</t>
  </si>
  <si>
    <t>NCT05104216</t>
  </si>
  <si>
    <t>Immunogenicity and Safety of a Third Dose and Immune Persistence of BBIBP-Corv Vaccine in Elderly People With Chronic Bronchitis and COPD</t>
  </si>
  <si>
    <t>NCT04883333</t>
  </si>
  <si>
    <t>A Single and Multiple Ascending-dose Trial of LEO 153339 in Healthy Adults</t>
  </si>
  <si>
    <t>NCT06219733</t>
  </si>
  <si>
    <t>Vactosertib and Imatinib Combination in Patients with Advanced Desmoid Tumor/aggressive Fibromatosis (DT/AF)</t>
  </si>
  <si>
    <t>NCT04276233</t>
  </si>
  <si>
    <t>Efficacy and Safety Study of Mepolizumab 100 Milligram (mg) Subcutaneous (SC) in Indian Participants Aged Greater Than or Equal to (&gt;=) 18 Years With Severe Eosinophilic Asthma</t>
  </si>
  <si>
    <t>NCT04875026</t>
  </si>
  <si>
    <t>Frequency and Intensity of Local Reactions in Patients Treated With 4% 5-FU vs 4% 5-FU Associated With an Emollient Cream: a Randomised, Controlled Clinical Trial</t>
  </si>
  <si>
    <t>NCT05089630</t>
  </si>
  <si>
    <t>A Study of Safety and Immune Response to Different Doses of a Cytomegalovirus Vaccine in Healthy Adults</t>
  </si>
  <si>
    <t>NCT05004571</t>
  </si>
  <si>
    <t>Safety, Tolerability, and Pharmacokinetics of EQU-001 in Healthy Volunteers</t>
  </si>
  <si>
    <t>NCT05106309</t>
  </si>
  <si>
    <t>Pharmacokinetics of CVL-231 Following Single Oral Administration of Modified- and Immediate-release Formulations in Fasted and Fed Healthy Participants</t>
  </si>
  <si>
    <t>NCT04922021</t>
  </si>
  <si>
    <t>An Evaluation of LEO 138559 in Adults With Moderate to Severe Atopic Dermatitis.</t>
  </si>
  <si>
    <t>NCT05318521</t>
  </si>
  <si>
    <t>RCT, Blinded, 2-Arm Efficacy Study of IP and Placebo in Patients With Chronic Pain Related to Osteoarthritis of the Knee</t>
  </si>
  <si>
    <t>NCT05142514</t>
  </si>
  <si>
    <t>Safety and Immunogenicity of Recombinant Protein RBD Fusion Dimer Vaccine Against the Virus That Cause COVID-19, Known as Severe Acute Respiratoy Syndrome Coronavirus 2 (SARS-CoV-2)</t>
  </si>
  <si>
    <t>NCT05020652</t>
  </si>
  <si>
    <t>A Clinical Trial of TQ05105 Tablets in the Treatment of Moderate and High Risk Myelofibrosis</t>
  </si>
  <si>
    <t>NCT04690699</t>
  </si>
  <si>
    <t>LUMINOS-103: A Basket Trial of Safety &amp; Efficacy of Lerapolturev With or Without Checkpoint Inhibitors</t>
  </si>
  <si>
    <t>NCT04785638</t>
  </si>
  <si>
    <t>An Open-label Safety and Pharmacokinetic Study of INL-001 in Adults Following Various Open Soft-Tissue Surgeries</t>
  </si>
  <si>
    <t>NCT05299658</t>
  </si>
  <si>
    <t>An Open-Label Extension for the Phase 2 Study in Early Symptomatic Amyotrophic Lateral Sclerosis Patients on Stable Background Therapy to Assess Bioenergetic Catalysis With CNM-Au8 to Slow Disease Progression in ALS</t>
  </si>
  <si>
    <t>NCT04923594</t>
  </si>
  <si>
    <t>Four-week Study of the Safety and Efficacy of NLS-2 (Mazindol Extended Release) in the Treatment of Narcolepsy</t>
  </si>
  <si>
    <t>NCT04976595</t>
  </si>
  <si>
    <t>A Study to Monitor Ambulatory Blood Pressure Monitoring in Hypogonadal Men Treated With Nasal Testosterone Gel</t>
  </si>
  <si>
    <t>Acerus Pharmaceuticals Corporation</t>
  </si>
  <si>
    <t>NCT04590781</t>
  </si>
  <si>
    <t>Safety and Efficacy of XmAb18087 ± Pembrolizumab in Advanced Merkel Cell Carcinoma or Extensive-stage Small Cell Lung Cancer</t>
  </si>
  <si>
    <t>NCT04464967</t>
  </si>
  <si>
    <t>Safety and Preliminary Efficacy of SNK01 in Combination With Trastuzumab or Cetuximab in Subjects With Advanced HER2 or EGFR Cancers</t>
  </si>
  <si>
    <t>NCT04593511</t>
  </si>
  <si>
    <t>to Evaluate the Safety, Tolerability and Pharmacokinetics of Four Formulations of LY03009 in Healthy Volunteers</t>
  </si>
  <si>
    <t>NCT05000671</t>
  </si>
  <si>
    <t>A Study to Evaluate the Safety and Effect of STC314 Injection Continuous Infusion in Subjects With Acute Respiratory Distress Syndrome</t>
  </si>
  <si>
    <t>Grand Medical Pty Ltd.</t>
  </si>
  <si>
    <t>NCT04739709</t>
  </si>
  <si>
    <t>Efficacy and Safety of APP13007 for Treatment of Inflammation and Pain After Cataract Surgery</t>
  </si>
  <si>
    <t>NCT04974528</t>
  </si>
  <si>
    <t>Afrezza® INHALE-1 Study in Pediatrics</t>
  </si>
  <si>
    <t>NCT04782128</t>
  </si>
  <si>
    <t>Evaluation of RC28-E Injection in Diabetic Retinopathy</t>
  </si>
  <si>
    <t>NCT04886700</t>
  </si>
  <si>
    <t>Study of the SG001 Injection for Patients With Relapsed or Metastatic Uterine Cervical Cancer</t>
  </si>
  <si>
    <t>NCT04940364</t>
  </si>
  <si>
    <t>A Study to Examine the Safety, Tolerability and Biological Effects of Single Doses of Subcutaneously and Intravenously Administered Pozelimab as Monotherapy and in Combination With Single Doses of Subcutaneously Administered Cemdisiran in Adult Japanese Healthy Volunteers</t>
  </si>
  <si>
    <t>NCT05584306</t>
  </si>
  <si>
    <t>A Dose Ranging Placebo-controlled Double-blind Study to Evaluate the Safety, Pharmacokinetics and Efficacy of 610 in Participants With Severe Eosinophilic Asthma</t>
  </si>
  <si>
    <t>NCT04708184</t>
  </si>
  <si>
    <t>A Study to Assess Relative Bioavailability of and Effect of Food on a New Oral Tablet Formulation of GLPG3970</t>
  </si>
  <si>
    <t>NCT05001152</t>
  </si>
  <si>
    <t>Taste Assessment of Ozanimod</t>
  </si>
  <si>
    <t>NCT05110638</t>
  </si>
  <si>
    <t>Safety and Tolerability Study of SKX-16 in Subjects With Moderate to Severe Distal Subungual Onychomycosis</t>
  </si>
  <si>
    <t>SATO Pharmaceutical Co., Ltd.</t>
  </si>
  <si>
    <t>NCT04677829</t>
  </si>
  <si>
    <t>Safety and Tolerability of PNT001 in Patients With Acute Traumatic Brain Injury (TBI)</t>
  </si>
  <si>
    <t>Pinteon Therapeutics, Inc</t>
  </si>
  <si>
    <t>NCT04586231</t>
  </si>
  <si>
    <t>A Study of Belzutifan (MK-6482) in Combination With Lenvatinib Versus Cabozantinib for Treatment of Renal Cell Carcinoma (MK-6482-011)</t>
  </si>
  <si>
    <t>NCT04993677</t>
  </si>
  <si>
    <t>A Study of SEA-CD40 Given With Other Drugs in Cancers</t>
  </si>
  <si>
    <t>NCT04718181</t>
  </si>
  <si>
    <t>Bioavailability and Bioequivalence of Two Risdiplam Tablets in Healthy Participants</t>
  </si>
  <si>
    <t>NCT05088967</t>
  </si>
  <si>
    <t>Efficacy and Safety of IBI110 in Combination With Sintilimab Versus Sintilimab Alone in Neoadjuvant and Adjuvant Therapy of Radically Resectable Non-small Cell Lung Cancer</t>
  </si>
  <si>
    <t>NCT04918511</t>
  </si>
  <si>
    <t>A Study of OPD5 Followed by Autologous Stem Cell Transplant for Patients With Relapsed Refractory Multiple Myeloma</t>
  </si>
  <si>
    <t>NCT05015309</t>
  </si>
  <si>
    <t>A Study to Investigate Safety and Tolerability of SH3765 Tablet in Patients With Advanced Malignant Tumor</t>
  </si>
  <si>
    <t>NCT05120219</t>
  </si>
  <si>
    <t>A Study to Assess the Effect of Food on HR20033 and Pharmacokinetic After Multiple Dose in Healthy Volunteers</t>
  </si>
  <si>
    <t>NCT04855565</t>
  </si>
  <si>
    <t>ALY688-SR in Generally Healthy Overweight or Obese Adults</t>
  </si>
  <si>
    <t>NCT05077436</t>
  </si>
  <si>
    <t>Bioavailability Study Comparing 2 Vamifeport Oral Formulations in Fasted Versus Fed State in Healthy Subjects</t>
  </si>
  <si>
    <t>NCT05200936</t>
  </si>
  <si>
    <t>Safety and Efficacy of Low Dose MM120 for ADHD Proof of Concept Trial</t>
  </si>
  <si>
    <t>NCT04783311</t>
  </si>
  <si>
    <t>Safety, Tolerance and Immunogenicity of EuCorVac-19 for the Prevention of COVID-19 in Healthy Adults</t>
  </si>
  <si>
    <t>NCT04726332</t>
  </si>
  <si>
    <t>Study of XL102 as Single-Agent and Combination Therapy in Subjects With Solid Tumors (QUARTZ-101)</t>
  </si>
  <si>
    <t>NCT05033132</t>
  </si>
  <si>
    <t>A Phase II Study of Balstilimab Independently or in Combination With Zalifrelimab in Advanced Cervical Cancer</t>
  </si>
  <si>
    <t>NCT04821323</t>
  </si>
  <si>
    <t>A Study Exploring the Use of Challenge Agents in Healthy Volunteers - Intervention Specific Appendix</t>
  </si>
  <si>
    <t>NCT04945824</t>
  </si>
  <si>
    <t>A Human Factors Study to Evaluate a Novel Intracanalicular Insertion Device in Healthy Subjects</t>
  </si>
  <si>
    <t>NCT05131373</t>
  </si>
  <si>
    <t>Safety, Tolerability, and Immunogenicity of ORI-A-ce001 for the Treatment of Acne Vulgaris</t>
  </si>
  <si>
    <t>NCT05008783</t>
  </si>
  <si>
    <t>A Study of AK104 in the First-line Treatment of Locally Advanced Unresectable or Metastatic G/GEJ Adenocarcinoma</t>
  </si>
  <si>
    <t>NCT04918797</t>
  </si>
  <si>
    <t>COVAXIN in a Pediatric Cohort</t>
  </si>
  <si>
    <t>NCT05041920</t>
  </si>
  <si>
    <t>A Drug-drug Interaction Study of Famitinib Malate With a Proton Pump Inhibitor in Healthy Adult Subjects</t>
  </si>
  <si>
    <t>NCT04803227</t>
  </si>
  <si>
    <t>Safety and Tolerability of Emricasan in Symptomatic Outpatients Diagnosed With Mild-COVID-19</t>
  </si>
  <si>
    <t>NCT05143190</t>
  </si>
  <si>
    <t>Extension Study to PTR-01-002 (A Study in Recessive Dystrophic Epidermolysis Bullosa (RDEB) Patients Previously Treated With PTR-01)</t>
  </si>
  <si>
    <t>NCT04816513</t>
  </si>
  <si>
    <t>A Study to Assess the Bioequivalence of Ustekinumab by Two Different Injection Devices in Healthy Participants</t>
  </si>
  <si>
    <t>NCT04649242</t>
  </si>
  <si>
    <t>Randomized Study in Children and Adolescents With Migraine: Acute Treatment</t>
  </si>
  <si>
    <t>NCT04578613</t>
  </si>
  <si>
    <t>ICP-022 Versus Chlorambucil Combined With Rituximab in the Treatment of Untreated CLL/SLL</t>
  </si>
  <si>
    <t>NCT04579380</t>
  </si>
  <si>
    <t>Basket Study of Tucatinib and Trastuzumab in Solid Tumors With HER2 Alterations</t>
  </si>
  <si>
    <t>NCT04697810</t>
  </si>
  <si>
    <t>Namodenoson in the Treatment of Non-Alcoholic Steatohepatitis (NASH)</t>
  </si>
  <si>
    <t>NCT04820686</t>
  </si>
  <si>
    <t>A Study Evaluating Treatment Regimens Containing Vebicorvir (ABI-H0731) in Participants With Chronic Hepatitis B Infection</t>
  </si>
  <si>
    <t>NCT04480086</t>
  </si>
  <si>
    <t>Safety and Tolerability Study of Mivebresib Tablet Alone or in Combination With Ruxolitinib Tablet or Navitoclax Tablet in Adult Participants With Myelofibrosis</t>
  </si>
  <si>
    <t>NCT04948827</t>
  </si>
  <si>
    <t>A First-in-Human Study of SBP-9330 in Healthy Subjects</t>
  </si>
  <si>
    <t>Camino Pharma, LLC</t>
  </si>
  <si>
    <t>NCT05158335</t>
  </si>
  <si>
    <t>Safety, Tolerability, Pharmacokinetic, and Pharmacodynamic Study of MBX 2109 in Healthy Adult Subjects</t>
  </si>
  <si>
    <t>MBX Biosciences</t>
  </si>
  <si>
    <t>NCT04830397</t>
  </si>
  <si>
    <t>Study to Evaluate QLS-101 Compared to Timolol Maleate Eye Drops in Subjects With High Eye Pressure (Glaucoma or Ocular Hypertension).</t>
  </si>
  <si>
    <t>NCT04834024</t>
  </si>
  <si>
    <t>MIL62 Combined With Lenalidomide Versus Lenalidomide for Patients With Rituximab Refractory Follicular Lymphoma</t>
  </si>
  <si>
    <t>NCT04969224</t>
  </si>
  <si>
    <t>A Study to Evaluate ELX/TEZ/IVA on Cough and Physical Activity in Participants With Cystic Fibrosis (CF)</t>
  </si>
  <si>
    <t>NCT04667117</t>
  </si>
  <si>
    <t>A Multicenter Study to Assess Response to Influenza Vaccine in Multiple Sclerosis Participants Treated With Ofatumumab</t>
  </si>
  <si>
    <t>NCT04657068</t>
  </si>
  <si>
    <t>A Study of ART0380 for the Treatment of Advanced or Metastatic Solid Tumors</t>
  </si>
  <si>
    <t>Artios Pharma Ltd</t>
  </si>
  <si>
    <t>NCT04699188</t>
  </si>
  <si>
    <t>Study of JDQ443 in Patients With Advanced Solid Tumors Harboring the KRAS G12C Mutation</t>
  </si>
  <si>
    <t>NCT04755088</t>
  </si>
  <si>
    <t>Surufatinib Renal Impairment Study</t>
  </si>
  <si>
    <t>NCT04964518</t>
  </si>
  <si>
    <t>A Study of APG-2575 in Combination With Azacitidine in Patients With Acute Myeloid Leukemia (AML)</t>
  </si>
  <si>
    <t>NCT04753697</t>
  </si>
  <si>
    <t>A Study to Evaluate the Efficacy and Safety of CC-93538 in Adult and Adolescent Participants With Eosinophilic Esophagitis</t>
  </si>
  <si>
    <t>NCT05155995</t>
  </si>
  <si>
    <t>A Study to Evaluate the Pharmacokinetics and Safety Between HCP2001 and Co-administration of Each Component in Healthy Volunteers</t>
  </si>
  <si>
    <t>NCT04813822</t>
  </si>
  <si>
    <t>Study Evaluating the Efficacy and Safety of Miconazole Nitrate + Domiphen Bromide Vaginal Cream in the Treatment of Subjects With Acute Vulvovaginal Candidiasis</t>
  </si>
  <si>
    <t>Aesculape CRO Belgium BV</t>
  </si>
  <si>
    <t>NCT04940845</t>
  </si>
  <si>
    <t>Comparing of the Pharmacokinetic, Safety and Immunogenicity of HS-20090-2 Injection and Prolia® in Healthy Adults</t>
  </si>
  <si>
    <t>NCT04680975</t>
  </si>
  <si>
    <t>Efficacy and Safety of Belumosudil in Subjects With Diffuse Cutaneous Systemic Sclerosis</t>
  </si>
  <si>
    <t>Kadmon, a Sanofi Company</t>
  </si>
  <si>
    <t>NCT05176483</t>
  </si>
  <si>
    <t>Study of Zanzalintinib in Combination With Immuno-Oncology Agents in Participants With Solid Tumors</t>
  </si>
  <si>
    <t>NCT06033612</t>
  </si>
  <si>
    <t>Safety, Tolerability, Pharmacokinetics, and Food Effect Study of RV299 in Healthy Adults</t>
  </si>
  <si>
    <t>NCT05247528</t>
  </si>
  <si>
    <t>Safety And Tolerability Of Subcutaneous MANP In Difficult To Control/Resistant Hypertensive Subjects</t>
  </si>
  <si>
    <t>E-Star BioTech, LLC</t>
  </si>
  <si>
    <t>NCT06616922</t>
  </si>
  <si>
    <t>Assessment of the Effects and Tolerability of RD03/2016 for the Treatment of Bacterial Conjunctivitis in Adults</t>
  </si>
  <si>
    <t>NCT04377945</t>
  </si>
  <si>
    <t>Study in Parkinson's Disease Patients With Dyskinesia With Combinations of JM-010 and Its Individual Components</t>
  </si>
  <si>
    <t>NCT04850651</t>
  </si>
  <si>
    <t>Effect of Fluconazole on the Pharmacokinetics of Pyrotinib in Healthy Subjects</t>
  </si>
  <si>
    <t>NCT04984512</t>
  </si>
  <si>
    <t>The Efficacy And Safety Of Mitizodone Phosphate Tablets In The Treatment of Patient With Major Depressive Disorder</t>
  </si>
  <si>
    <t>NCT04697628</t>
  </si>
  <si>
    <t>Tisotumab Vedotin vs Chemotherapy in Recurrent or Metastatic Cervical Cancer</t>
  </si>
  <si>
    <t>NCT05001022</t>
  </si>
  <si>
    <t>A Study of ALG-020572 Drug to Evaluate Safety, Tolerability, Pharmacokinetics and Pharmacodynamics After Single Doses in Healthy Volunteers and Multiple Doses in CHB Subjects</t>
  </si>
  <si>
    <t>NCT04818801</t>
  </si>
  <si>
    <t>Safety, Reactogenicity and Immunogenicity Study of ReCOV</t>
  </si>
  <si>
    <t>Jiangsu Rec-Biotechnology Co., Ltd.</t>
  </si>
  <si>
    <t>NCT04725994</t>
  </si>
  <si>
    <t>Study to Assess the Safety, Tolerability, and Efficacy of IDX-1197 in Combination With XELOX or Irinotecan in Patients With Advanced Gastric Cancer</t>
  </si>
  <si>
    <t>Idience Co., Ltd.</t>
  </si>
  <si>
    <t>NCT05108545</t>
  </si>
  <si>
    <t>A Study of Amphotericin B Liposome for Injection in Patients With Persistent Neutropenia and Fever</t>
  </si>
  <si>
    <t>NCT04721977</t>
  </si>
  <si>
    <t>A Study of Tucatinib (MK-7119) in Combination With Trastuzumab and Capecitabine in Participants With Previously Treated Locally Advanced Unresectable or Metastatic Human Epidermal Growth Factor Receptor 2 Positive (HER2+) Breast Carcinoma (MK-7119-001)</t>
  </si>
  <si>
    <t>NCT04969666</t>
  </si>
  <si>
    <t>A Phase II, Repeat Single Oral Dose Study of IPED2015 in Healthy Male Subjects With Erectile Dysfunction</t>
  </si>
  <si>
    <t>NCT06010537</t>
  </si>
  <si>
    <t>Contrast-enhanced Magnetic Resonance Imaging With Polysaccharide Superparamagnetic Iron Oxide Nanoparticle</t>
  </si>
  <si>
    <t>NCT04641975</t>
  </si>
  <si>
    <t>A Study to Evaluate Mirabegron in Pediatric Participants From 5 to Less Than 18 Years of Age With Overactive Bladder (OAB)</t>
  </si>
  <si>
    <t>NCT04699929</t>
  </si>
  <si>
    <t>A Study to Evaluate YH001 in Subjects With Advanced Solid Tumors</t>
  </si>
  <si>
    <t>NCT04660539</t>
  </si>
  <si>
    <t>A Study to Evaluate the Safety and Efficacy of Satralizumab in Participants With Neuromyelitis Optica Spectrum Disorder (NMOSD)</t>
  </si>
  <si>
    <t>NCT04660370</t>
  </si>
  <si>
    <t>A Clinical Trial to Evaluate the Tolerability and Pharmacokinetics of CKD-348</t>
  </si>
  <si>
    <t>NCT04707469</t>
  </si>
  <si>
    <t>Research Study to Compare Three Doses of Semaglutide Tablets Taken Once Daily in People With Type 2 Diabetes</t>
  </si>
  <si>
    <t>NCT04595370</t>
  </si>
  <si>
    <t>Efficacy, Safety and Tolerability of AZD9977 and Dapagliflozin in Participants With Heart Failure and Chronic Kidney Disease</t>
  </si>
  <si>
    <t>NCT05040295</t>
  </si>
  <si>
    <t>A Single Dose Study To Test Two Pediatric Forms Of Ritlecitinib Compared With Adult Ritlecitinib In Healthy Adults</t>
  </si>
  <si>
    <t>NCT04921969</t>
  </si>
  <si>
    <t>A Study to Assess the Efficacy and Safety of Ruxolitinib Cream in Children With Atopic Dermatitis (TRuE-AD3)</t>
  </si>
  <si>
    <t>NCT04774094</t>
  </si>
  <si>
    <t>Efficacy and Safety of Ceftazidime-Avibactam (CAZ-AVI) in Chinese Participants With HAP (Including VAP)</t>
  </si>
  <si>
    <t>NCT05418829</t>
  </si>
  <si>
    <t>AT-007 in Adult Subjects With Classic Galactosemia (CG)</t>
  </si>
  <si>
    <t>NCT07044115</t>
  </si>
  <si>
    <t>Evaluation of the Tolerance, Safety, Pharmacokinetics, Pharmacodynamics, and Efficacy of MIL62 Injection for Treating Lupus Nephritis</t>
  </si>
  <si>
    <t>NCT04800315</t>
  </si>
  <si>
    <t>A Study to Evaluate Safety and Effectiveness of Cendakimab (CC-93538) in Participants With Moderate to Severe Atopic Dermatitis</t>
  </si>
  <si>
    <t>NCT04806035</t>
  </si>
  <si>
    <t>Study of TG-1801 Alone or in Combination With Ublituximab in Subjects With B-Cell Lymphoma or Chronic Lymphocytic Leukemia</t>
  </si>
  <si>
    <t>TG Therapeutics, Inc.</t>
  </si>
  <si>
    <t>NCT06314685</t>
  </si>
  <si>
    <t>Immunogenicity and Safety of MCV4 in Volunteers Aged 6 Months-5 Years</t>
  </si>
  <si>
    <t>NCT04895215</t>
  </si>
  <si>
    <t>AB-2004 in Treatment of Irritability Associated With Autism Spectrum Disorder (ASD)</t>
  </si>
  <si>
    <t>Vertero Therapeutics</t>
  </si>
  <si>
    <t>NCT05128942</t>
  </si>
  <si>
    <t>A Phase 2 Study to Evaluate the Safety, Efficacy and PK of Tildacerfont in Children Aged 2-17 Years With CAH</t>
  </si>
  <si>
    <t>NCT05241470</t>
  </si>
  <si>
    <t>Study of ST-100 as Treatment for Dry Eye Disease</t>
  </si>
  <si>
    <t>Stuart Therapeutics, Inc.</t>
  </si>
  <si>
    <t>NCT04644029</t>
  </si>
  <si>
    <t>Oral ISL QM as PrEP in Cisgender Women at High Risk for HIV-1 Infection (MK-8591-022)</t>
  </si>
  <si>
    <t>NCT05514353</t>
  </si>
  <si>
    <t>A Phase 1 Study to Assess Single and Multiple Ascending Doses of PBI-100 Topical Cream</t>
  </si>
  <si>
    <t>NCT04683003</t>
  </si>
  <si>
    <t>A Study of TAK-755 in Participants With Congenital Thrombotic Thrombocytopenic Purpura</t>
  </si>
  <si>
    <t>NCT04353661</t>
  </si>
  <si>
    <t>A Study Of ¹²⁹XE MRI To Assess Disease Progression In Patients With COPD Treated With Or Without Azithromycin And Standard-of-Care Medications</t>
  </si>
  <si>
    <t>NCT04947631</t>
  </si>
  <si>
    <t>Efficacy and Safety of DKF-313 in Patients With Benign Prostatic Hyperplasia</t>
  </si>
  <si>
    <t>NCT04656561</t>
  </si>
  <si>
    <t>A Study Investigating the Efficacy and Safety of Intravitreal Injections of ANX007 in Patients With Geographic Atrophy</t>
  </si>
  <si>
    <t>NCT04798222</t>
  </si>
  <si>
    <t>Study to Assess the Bioavailability of Different Formulations of AZD9977 and Dapagliflozin and Influence of Food in Selected Formulations in Healthy Volunteers</t>
  </si>
  <si>
    <t>NCT04631601</t>
  </si>
  <si>
    <t>Safety and Efficacy of Therapies for Metastatic Castration-resistant Prostate Cancer (mCRPC)</t>
  </si>
  <si>
    <t>NCT05064345</t>
  </si>
  <si>
    <t>A Study to Evaluate HB0034 in Healthy Adult Participants</t>
  </si>
  <si>
    <t>Shanghai Huaota Biopharmaceutical Co., Ltd.</t>
  </si>
  <si>
    <t>NCT04837508</t>
  </si>
  <si>
    <t>A Study of MRG002 in the Treatment of HER2-positive Unresectable, Locally Advanced or Metastatic Biliary Tract Cancer</t>
  </si>
  <si>
    <t>NCT04932850</t>
  </si>
  <si>
    <t>Study to Evaluate the Safety and Concentrations of Monoclonal Antibody Against Virus That Causes COVID-19 Disease.</t>
  </si>
  <si>
    <t>NCT05116410</t>
  </si>
  <si>
    <t>A Study of HS-20094 in Healthy Participants</t>
  </si>
  <si>
    <t>NCT04854174</t>
  </si>
  <si>
    <t>A Food Effect Study of ZN-d5 in Healthy Female Volunteers</t>
  </si>
  <si>
    <t>NCT04817618</t>
  </si>
  <si>
    <t>Study of Efficacy and Safety of Iptacopan in Patients With C3 Glomerulopathy.</t>
  </si>
  <si>
    <t>NCT05148325</t>
  </si>
  <si>
    <t>Assessment of Safety ,Tolerance and Pharmacokinetics Clinical Efficacy With BAT4706 in Advanced Solid Tumors</t>
  </si>
  <si>
    <t>NCT04657289</t>
  </si>
  <si>
    <t>A Study of the Efficacy, Safety, and Pharmacokinetics of a 36-Week Refill Regimen for the Port Delivery System With Ranibizumab in Patients With Neovascular Age-Related Macular Degeneration (Velodrome)</t>
  </si>
  <si>
    <t>NCT05023525</t>
  </si>
  <si>
    <t>A Study of Safety, Tolerability, and Pharmacokinetics of Single Ascending Dosed of HSK31858 in Healthy Volunteers</t>
  </si>
  <si>
    <t>NCT05552625</t>
  </si>
  <si>
    <t>The Efficacy and Safety of TADIOS as an Adjuvant Therapy in Patients Diagnosed With Mild to Moderate COVID-19</t>
  </si>
  <si>
    <t>NCT04849650</t>
  </si>
  <si>
    <t>PK Study of IV and Oral Amisulpride in Subjects With Severe Renal Impairment</t>
  </si>
  <si>
    <t>NCT05056974</t>
  </si>
  <si>
    <t>A Proof-of-concept Trial to Evaluate the Safety and Efficacy of UB-421 Plus Chidamide in Changing HIV Reservoirs</t>
  </si>
  <si>
    <t>NCT04734210</t>
  </si>
  <si>
    <t>Research Study To See How Well An Eye Drop (SURF-200) Works, What Side Effects There Are, And To Compare It With Vehicle In Subjects With An Episodic Flare-Up of Dry Eye Disease</t>
  </si>
  <si>
    <t>NCT04708340</t>
  </si>
  <si>
    <t>Tolerability and Efficacy of RJX in Patients With COVID-19</t>
  </si>
  <si>
    <t>NCT05017168</t>
  </si>
  <si>
    <t>To Evaluate the Safety, Tolerability and Pharmacokinetics of CT-P63 in Healthy Subjects</t>
  </si>
  <si>
    <t>NCT04814108</t>
  </si>
  <si>
    <t>A Study of Azenosertib (ZN-c3) in Women With Recurrent or Persistent Uterine Serous Carcinoma</t>
  </si>
  <si>
    <t>NCT04690868</t>
  </si>
  <si>
    <t>A Study to Compare PK, PD and Safety of the AD-213-A and AD-2131</t>
  </si>
  <si>
    <t>NCT04852068</t>
  </si>
  <si>
    <t>A Clinical Trial of Freeze-dried Human Rabies Vaccine (Vero Cells)</t>
  </si>
  <si>
    <t>NCT05134974</t>
  </si>
  <si>
    <t>Safety and Efficacy of Nyxol (0.75% Phentolamine Ophthalmic Solution) to Reverse Pharmacologically-Induced Mydriasis (MIRA-3)</t>
  </si>
  <si>
    <t>NCT04973657</t>
  </si>
  <si>
    <t>A Study to Assess the Pharmacodynamics of VK0214 in Male Subjects With AMN</t>
  </si>
  <si>
    <t>NCT04894305</t>
  </si>
  <si>
    <t>A Study of Ad26.COV2.S in Healthy Adults (COVID-19)</t>
  </si>
  <si>
    <t>NCT05071053</t>
  </si>
  <si>
    <t>Tusamitamab Ravtansine (SAR408701) in Combination With Ramucirumab in Pretreated Participants With Gastric Cancer</t>
  </si>
  <si>
    <t>NCT05138705</t>
  </si>
  <si>
    <t>Clinical Trial of Quadrivalent Influenza Virus Split Vaccine in Population Aged 3-8 Years</t>
  </si>
  <si>
    <t>NCT03291470</t>
  </si>
  <si>
    <t>Study to Determine the Efficacy and Safety of TG-C in Subjects With Kellgren/Lawrence Grade 2 or 3 OA of the Knee</t>
  </si>
  <si>
    <t>Kolon TissueGene, Inc.</t>
  </si>
  <si>
    <t>NCT05133323</t>
  </si>
  <si>
    <t>A Study With Lu AG09222 in Adults With Migraine Who Have Not Been Helped by Prior Preventive Treatments</t>
  </si>
  <si>
    <t>NCT05053880</t>
  </si>
  <si>
    <t>A Study to Evaluate Safety and Efficacy of ACT001 and Anti-PD-1 in Patients With Surgically Accessible Recurrent Glioblastoma Multiforme</t>
  </si>
  <si>
    <t>Accendatech USA Inc.</t>
  </si>
  <si>
    <t>NCT04853342</t>
  </si>
  <si>
    <t>To Assess the Efficacy and Safety of Furmonertinib Versus Placebo, in Patients With Epidermal Growth Factor Receptor Mutation Positive Stage II-IIIA Non-small Cell Lung Carcinoma, Following Complete Tumour Resection With or Without Adjuvant Chemotherapy</t>
  </si>
  <si>
    <t>NCT04776096</t>
  </si>
  <si>
    <t>Efficacy and Toxicity of Bepotastine 1,5% PF vs Olopatadine 0,2% With BAK on Allergic Conjunctivitis Treatment</t>
  </si>
  <si>
    <t>Laboratorios Poen</t>
  </si>
  <si>
    <t>NCT04920786</t>
  </si>
  <si>
    <t>Sequential Dose-escalation Study to Assess the Safety, Tolerability and Pharmacokinetics of TB006 in Healthy Subjects</t>
  </si>
  <si>
    <t>NCT04868253</t>
  </si>
  <si>
    <t>Efficacy and Safety of Combination EMB-001 as a Potential Smoking Cessation Treatment</t>
  </si>
  <si>
    <t>NCT04903327</t>
  </si>
  <si>
    <t>Study of Intravenous COVI-MSC for Treatment of COVID-19-Induced Acute Respiratory Distress</t>
  </si>
  <si>
    <t>NCT05137041</t>
  </si>
  <si>
    <t>Efficacy and Safety of FIRTECH in Patients With Mild to Moderate Acute Low Back Pain</t>
  </si>
  <si>
    <t>NCT04657302</t>
  </si>
  <si>
    <t>A Study to Evaluate Glofitamab as Single Agent Administered After Pretreatment With Obinutuzumab in Chinese Patients With Relapsed/Refractory Diffuse Large B-Cell Lymphoma</t>
  </si>
  <si>
    <t>NCT05068427</t>
  </si>
  <si>
    <t>Trial of Chidamide in Combination With Envafolimab in Patients With PD-1 Inhibitor Resistant Advanced NSCLC.</t>
  </si>
  <si>
    <t>NCT05070702</t>
  </si>
  <si>
    <t>First in Human Study of CT-1500 in Healthy Participants</t>
  </si>
  <si>
    <t>Circadian Therapeutics Ltd</t>
  </si>
  <si>
    <t>NCT04982237</t>
  </si>
  <si>
    <t>A Study of AK104 Plus Platinum-containing Chemotherapy±Bevacizumab as First-line Treatment for Persistent, Recurrent, or Metastatic Cervical Cancer</t>
  </si>
  <si>
    <t>NCT03883945</t>
  </si>
  <si>
    <t>A Safety and Efficacy Study to Evaluate Rosacea</t>
  </si>
  <si>
    <t>NCT04925024</t>
  </si>
  <si>
    <t>Evaluation of Lomecel-B™ Injection in Patients With Hypoplastic Left Heart Syndrome (HLHS): A Phase IIb Clinical Trial.</t>
  </si>
  <si>
    <t>NCT05018273</t>
  </si>
  <si>
    <t>Study of VB10.NEO in Combination With Atezolizumab in Solid Tumors</t>
  </si>
  <si>
    <t>NCT05151705</t>
  </si>
  <si>
    <t>A Trial of HR17031 Injection With Hepatic Insufficiency</t>
  </si>
  <si>
    <t>NCT05639998</t>
  </si>
  <si>
    <t>BBV152/BBV154 Heterologus Prime-Boost Study</t>
  </si>
  <si>
    <t>NCT05052970</t>
  </si>
  <si>
    <t>Mitoxantrone Hydrochloride Liposome Injection, Bortezomib and Dexamethasone in the Treatment of R/R MM</t>
  </si>
  <si>
    <t>NCT04893551</t>
  </si>
  <si>
    <t>A Study of Tilvestamab (BGB149) in Relapsed, Platinum-resistant, High-grade Serous Ovarian Cancer (HGSOC) Participants</t>
  </si>
  <si>
    <t>NCT05222724</t>
  </si>
  <si>
    <t>Efficacy of the Combination of Ibuprofen and Paracetamol in Acute Non-specific Low Back Pain</t>
  </si>
  <si>
    <t>NCT04156659</t>
  </si>
  <si>
    <t>Study of Tisagenlecleucel in Chinese Pediatric and Young Adult Subjects With Relapsed or Refractory B-cell ALL</t>
  </si>
  <si>
    <t>NCT04839380</t>
  </si>
  <si>
    <t>The Purpose of the Study is to Evaluate the Effect of Ruxolitinib Cream on Itch in Participants With Atopic Dermatitis</t>
  </si>
  <si>
    <t>NCT04673383</t>
  </si>
  <si>
    <t>SPL026 (DMT Fumarate) in Healthy Subjects and MDD Patients</t>
  </si>
  <si>
    <t>Small Pharma Ltd</t>
  </si>
  <si>
    <t>NCT04560166</t>
  </si>
  <si>
    <t>Naxitamab and GM-CSF in Combination With IT in Patients With High-Risk Neuroblastoma</t>
  </si>
  <si>
    <t>NCT05278156</t>
  </si>
  <si>
    <t>Efficacy, Safety and Pharmacokinetics Study of CPL500036 (PDE10A Inhibitor) in Patients With Schizophrenia</t>
  </si>
  <si>
    <t>NCT05439473</t>
  </si>
  <si>
    <t>Evaluation of the Efficacy and Safety of Curalin as Add-On Therapy in Adults With Type 2 Diabetes Mellitus</t>
  </si>
  <si>
    <t>NCT04705051</t>
  </si>
  <si>
    <t>Long-term Treatment of Autosomal Dominant Polycystic Kidney Disease (ADPKD) With Venglustat</t>
  </si>
  <si>
    <t>NCT04675151</t>
  </si>
  <si>
    <t>Safety and Efficacy of Nyxol With Pilocarpine Eye Drops in Subjects With Presbyopia</t>
  </si>
  <si>
    <t>NCT04671875</t>
  </si>
  <si>
    <t>A Clinical Study of MIL93 in Solid Tumors.</t>
  </si>
  <si>
    <t>NCT05014919</t>
  </si>
  <si>
    <t>Vortioxetine to Prevent Return of Symptoms in Children With Depression</t>
  </si>
  <si>
    <t>NCT04999761</t>
  </si>
  <si>
    <t>AB122 Platform Study</t>
  </si>
  <si>
    <t>NCT04718883</t>
  </si>
  <si>
    <t>CD19-targeted CAR T Cells for Relapsed and Refractory (R/R) Mantle Cell Lymphoma</t>
  </si>
  <si>
    <t>NCT05040880</t>
  </si>
  <si>
    <t>A Bioequivalence Study Between Telmione Plus 80/12.5mg and Micardis Plus 80/12.5 mg in Healthy Adult Volunteers</t>
  </si>
  <si>
    <t>NCT05460546</t>
  </si>
  <si>
    <t>The Effect of Jincaopian Tablets on Chronic Pelvic Pain After Pelvic Inflammatory Disease</t>
  </si>
  <si>
    <t>NCT04529954</t>
  </si>
  <si>
    <t>Anti-Epilepsy Medication Valproate Administered Via ICV Route and Catheters and Pumps for CSF Infusion</t>
  </si>
  <si>
    <t>NCT04853329</t>
  </si>
  <si>
    <t>Dose Escalation and Expansion Study of CPO107 for Patients With Advanced CD20-positive Non-Hodgkins Lymphoma</t>
  </si>
  <si>
    <t>NCT05016245</t>
  </si>
  <si>
    <t>MANDARIN (S6371)</t>
  </si>
  <si>
    <t>NCT05147272</t>
  </si>
  <si>
    <t>Study of RP-6306 With Gemcitabine in Advanced Solid Tumors</t>
  </si>
  <si>
    <t>NCT05038020</t>
  </si>
  <si>
    <t>A Study to Evaluate the Efficacy of Oral AKST4290 in Participants With Moderately Severe to Severe Diabetic Retinopathy (CAPRI)</t>
  </si>
  <si>
    <t>NCT05378503</t>
  </si>
  <si>
    <t>Phase IV Study of Qsymia in Obese Patients</t>
  </si>
  <si>
    <t>Alvogen Korea</t>
  </si>
  <si>
    <t>NCT04920383</t>
  </si>
  <si>
    <t>ALPN-202 With PD-1 Inhibition in Advanced Malignancies</t>
  </si>
  <si>
    <t>NCT04762602</t>
  </si>
  <si>
    <t>A Study of HMPL-306 in Advanced Solid Tumors With IDH Mutations</t>
  </si>
  <si>
    <t>NCT05139602</t>
  </si>
  <si>
    <t>A Study to Assess Disease Activity and Safety of Subcutaneous Lutikizumab (ABT-981) in Adult Participants With Moderate to Severe Hidradenitis Suppurativa Who Have Failed Anti-Tumor Necrosis Factor (TNF) Therapy and Who Are Naïve to Biologic Therapy</t>
  </si>
  <si>
    <t>NCT05308953</t>
  </si>
  <si>
    <t>A Phase I Safety Study of NVG-291 in Healthy Adults</t>
  </si>
  <si>
    <t>NervGen Pharma</t>
  </si>
  <si>
    <t>NCT04927195</t>
  </si>
  <si>
    <t>Study in Healthy Participants and Participants With Moderate Atopic Dermatitis &amp; Optionally, Moderate Psoriasis, and/or Mild Asthma</t>
  </si>
  <si>
    <t>NCT05131477</t>
  </si>
  <si>
    <t>Study Testing Response Effect of KY1005 Against Moderate-to-Severe Atopic Dermatitis, The STREAM-AD Study</t>
  </si>
  <si>
    <t>NCT05192200</t>
  </si>
  <si>
    <t>An Extension Study for Participants Who Have Completed the Treatment Period of a Qualifying Parent Study</t>
  </si>
  <si>
    <t>NCT04744831</t>
  </si>
  <si>
    <t>Trastuzumab Deruxtecan in Participants With HER2-overexpressing Advanced or Metastatic Colorectal Cancer</t>
  </si>
  <si>
    <t>NCT04901195</t>
  </si>
  <si>
    <t>A Study to Test the Long-term Treatment of Bimekizumab in Study Participants With Moderate to Severe Hidradenitis Suppurativa</t>
  </si>
  <si>
    <t>NCT05005507</t>
  </si>
  <si>
    <t>A Study of JNJ-73763989, Pegylated Interferon Alpha-2a and Nucleos(t)Ide Analogs in Participants With Chronic Hepatitis B Virus Infection</t>
  </si>
  <si>
    <t>NCT04725136</t>
  </si>
  <si>
    <t>Safety and Explore the Efficacy of Multiple Doses of FURESTEM-AD Inj. for Moderate to Severe Chronic Atopic Dermatitis</t>
  </si>
  <si>
    <t>NCT05263271</t>
  </si>
  <si>
    <t>Gentulizumab in Relapsed/Refractory Acute Myelogenous Leukemia or Myelodysplastic Syndrome</t>
  </si>
  <si>
    <t>NCT04886271</t>
  </si>
  <si>
    <t>Recombinant Humanized Anti-CD47 / PD-1 Bifunctional Antibody HX009 Injection in the Treatment of Advanced Solid Tumors</t>
  </si>
  <si>
    <t>NCT05441475</t>
  </si>
  <si>
    <t>A Phase 2, Open-Label Study of ABSK-011 Combined Atezolizumab or SOC in HCC Patients</t>
  </si>
  <si>
    <t>NCT04965519</t>
  </si>
  <si>
    <t>A Study of RC48-ADC for the Treatment of HER2-expressing Gynecological Malignancies</t>
  </si>
  <si>
    <t>NCT03120130</t>
  </si>
  <si>
    <t>Study of Amblyomin-X in Advanced Solid Tumor</t>
  </si>
  <si>
    <t>NCT05107037</t>
  </si>
  <si>
    <t>A Clinical Trial to Evaluate the Tolerability and Pharmacokinetics of TQ-B3234 in Patients With Type I Neurofibromatosis</t>
  </si>
  <si>
    <t>NCT05031871</t>
  </si>
  <si>
    <t>Pharmacokinetics of HR17031 Injection in Healthy Subjects</t>
  </si>
  <si>
    <t>NCT04802057</t>
  </si>
  <si>
    <t>Safety and Tolerability Study in Adults With Cold Agglutinin Disease Previously Treated With SAR445088 or Never Treated With SAR445088</t>
  </si>
  <si>
    <t>NCT05087745</t>
  </si>
  <si>
    <t>A Clinical Study on TIL for the Treatment of Advanced Solid Tumors</t>
  </si>
  <si>
    <t>NCT04892472</t>
  </si>
  <si>
    <t>EF-36/Keynote B36: A Pilot, Randomized, Open-label Study of Tumor Treating Fields (TTFields, 150 kHz) Concomitant With Pembrolizumab for First Line Treatment of Advanced or Metastatic Non-small Cell Lung Cancer</t>
  </si>
  <si>
    <t>NCT05015192</t>
  </si>
  <si>
    <t>Single Ascending Dose Study of NH102 in Healthy Subjects</t>
  </si>
  <si>
    <t>NCT04855292</t>
  </si>
  <si>
    <t>A Study of TG103 Injection in Overweight/Obese Subjects Without Diabetes</t>
  </si>
  <si>
    <t>NCT05047601</t>
  </si>
  <si>
    <t>A Study of a Potential Oral Treatment to Prevent COVID-19 in Adults Who Are Exposed to Household Member(s) With a Confirmed Symptomatic COVID-19 Infection</t>
  </si>
  <si>
    <t>NCT05124730</t>
  </si>
  <si>
    <t>Fasting Bioequivalence Study of 2 Metformin 500 mg Prolonged Release Tablets in 44 Healthy Male and Female Volunteers</t>
  </si>
  <si>
    <t>NCT05012436</t>
  </si>
  <si>
    <t>A Study to Evaluate the Pharmacokinetics and Safety of YHD1119 in Subjects With Renal Impairment and Healthy Subjects</t>
  </si>
  <si>
    <t>NCT04937153</t>
  </si>
  <si>
    <t>GEN1046 Safety and PK in Subjects With Advanced Solid Malignancies</t>
  </si>
  <si>
    <t>NCT04882228</t>
  </si>
  <si>
    <t>Phase 4 Study to Evaluate Efficacy and Safety of Entelon Tab.150mg in Patients With Chronic Venous Disease(CVD)</t>
  </si>
  <si>
    <t>NCT05040971</t>
  </si>
  <si>
    <t>Research Study Looking at How Well Semaglutide Works in People Living With Obesity and Prediabetes</t>
  </si>
  <si>
    <t>NCT04962464</t>
  </si>
  <si>
    <t>The Impact of a Fast Diet and Calorie Mimetic Supplements on Epigenetic Aging</t>
  </si>
  <si>
    <t>NCT04966832</t>
  </si>
  <si>
    <t>Safety, Tolerability and Pharmacokinetics of XW10508 Immediate and Modified Release Formulations in Healthy Adults</t>
  </si>
  <si>
    <t>NCT05434312</t>
  </si>
  <si>
    <t>TGRX-678 Chinese Phase I in Chronic Myelogenous Leukemia (CML) Patients</t>
  </si>
  <si>
    <t>NCT05027139</t>
  </si>
  <si>
    <t>A Study of Zanidatamab (ZW25) With Evorpacept (ALX148) in Patients With Advanced HER2-expressing Cancer</t>
  </si>
  <si>
    <t>NCT05801107</t>
  </si>
  <si>
    <t>Study to Investigate the Efficacy and Safety of WX-0593 in ALK Positive Non-Small Cell Lung Cancer (NSCLC) Patients</t>
  </si>
  <si>
    <t>NCT05122650</t>
  </si>
  <si>
    <t>A Study To Assess the Safety and Efficacy of JZP385 in the Treatment of Adults With Moderate to Severe Essential Tremor (ET)</t>
  </si>
  <si>
    <t>NCT04784559</t>
  </si>
  <si>
    <t>Trial to Determine the Efficacy/Safety of Plitidepsin vs Control in Patients With Moderate COVID-19 Infection</t>
  </si>
  <si>
    <t>NCT04829123</t>
  </si>
  <si>
    <t>The Safety, Tolerability, Pharmacokinetic, and Pharmacodynamic Study of HEC88473 in Healthy Subjects</t>
  </si>
  <si>
    <t>NCT04857359</t>
  </si>
  <si>
    <t>Dipraglurant (ADX48621) for the Treatment of Patients With Parkinson's Disease Receiving Levodopa-based Therapy</t>
  </si>
  <si>
    <t>NCT05018286</t>
  </si>
  <si>
    <t>Open-label Extension Trial to Evaluate the Long-term Safety of Apraglutide in Short Bowel Syndrome.</t>
  </si>
  <si>
    <t>NCT04673942</t>
  </si>
  <si>
    <t>A Study of AdAPT-001 in Subjects With Sarcoma and Refractory Solid Tumors</t>
  </si>
  <si>
    <t>EpicentRx, Inc.</t>
  </si>
  <si>
    <t>NCT05009368</t>
  </si>
  <si>
    <t>A Drug-Drug Interaction Study of CTL0901 and CTL0902 Compared to Coadministration in Healthy Adult Volunteers</t>
  </si>
  <si>
    <t>NCT04857996</t>
  </si>
  <si>
    <t>Safety, Tolerability and Evidence of Activity Study of UBX1325 in Patients With Diabetic Macular Edema (BEHOLD)</t>
  </si>
  <si>
    <t>NCT06547242</t>
  </si>
  <si>
    <t>Levothyroxine-sodium Bioequivalence Trial With Oral Single Dose Administration</t>
  </si>
  <si>
    <t>Berlin-Chemie AG Menarini Group</t>
  </si>
  <si>
    <t>NCT04991480</t>
  </si>
  <si>
    <t>A Study of ART4215 for the Treatment of Advanced or Metastatic Solid Tumors</t>
  </si>
  <si>
    <t>NCT06790303</t>
  </si>
  <si>
    <t>Platform Trial of Novel Regimens Versus Standard of Care (SoC) in Participants With Non-small Cell Lung Cancer (NSCLC) - Sub-study 2</t>
  </si>
  <si>
    <t>NCT05151146</t>
  </si>
  <si>
    <t>A Phase 1 Study of ANJ900 Chinese Healthy Subjects</t>
  </si>
  <si>
    <t>NCT04861779</t>
  </si>
  <si>
    <t>A Study of HSK29116 in Adults With Relapsed/Refractory B-cell Malignancies</t>
  </si>
  <si>
    <t>NCT04859569</t>
  </si>
  <si>
    <t>Efficacy and Safety of LY01011 and Xgeva® in Patients With Bone Metastases From Solid Tumors</t>
  </si>
  <si>
    <t>NCT04846673</t>
  </si>
  <si>
    <t>Pregabalin and Alpha-lipoic Acid Combination Versus Each Monotherapy in Patients With Diabetic Peripheral Neuropathy</t>
  </si>
  <si>
    <t>NCT05219669</t>
  </si>
  <si>
    <t>Pharmacokinetic Evaluation of Intranasal Nalmefene Using Three Dosing Regimens</t>
  </si>
  <si>
    <t>NCT03890341</t>
  </si>
  <si>
    <t>Study in Women on the Effect of JNJ-64530440 on Oral Contraceptive and Midazolam, and the Effect of a High-fat Meal on JNJ-64530440</t>
  </si>
  <si>
    <t>NCT04847141</t>
  </si>
  <si>
    <t>A Study to Evaluate the Safety and Efficacy of C19-IG 20% in SARS-CoV-2 Infected Asymptomatic Ambulatory Outpatients</t>
  </si>
  <si>
    <t>NCT04917861</t>
  </si>
  <si>
    <t>A Study of Zika Vaccine mRNA-1893 in Adult Participants Living in Endemic and Non-Endemic Flavivirus Areas</t>
  </si>
  <si>
    <t>NCT05841394</t>
  </si>
  <si>
    <t>A Multi-center, Double-blinding, Parallel and Positive-controlled Phase III Clinical Trial for Efficacy and Safety Evaluation of Ilaprazole Sodium for Injection on Prevention of Stress Ulcer Bleeding</t>
  </si>
  <si>
    <t>NCT04902131</t>
  </si>
  <si>
    <t>A Study Comparing MENOPUR in a Pen Formulation With a Powder and Solvent Formulation in Healthy Women</t>
  </si>
  <si>
    <t>NCT06095427</t>
  </si>
  <si>
    <t>A Pharmacokinetic Similarity Study in Healthy Male Subjects to Evaluate Pharmacokinetics, Pharmacodynamics, Safety and Immunogenicity of LY06006 Versus US-Prolia and EU-Prolia by Single-dose Subcutaneous Injection</t>
  </si>
  <si>
    <t>NCT05297669</t>
  </si>
  <si>
    <t>A Phase # Clinical Study Trial of Felbinac Trometamol Injection in China</t>
  </si>
  <si>
    <t>NCT04880694</t>
  </si>
  <si>
    <t>A Study to Evaluate the Safety and Effect of STC3141 Continuous Infusion in Subjects With Severe Corona Virus Disease 2019（COVID-19）Pneumonia</t>
  </si>
  <si>
    <t>NCT05145179</t>
  </si>
  <si>
    <t>A Study to Evaluate Safety, Tolerability, Pharmacokinetics and Potential Anti-tumor Effects of SSGJ-705 in Patients With Advanced or Metastatic HER2-expressing Solid Tumors</t>
  </si>
  <si>
    <t>NCT04818346</t>
  </si>
  <si>
    <t>A Study to Evaluate the Efficacy and Safety of INCB054707 in Participants With Vitiligo</t>
  </si>
  <si>
    <t>NCT04674683</t>
  </si>
  <si>
    <t>Study Comparing Investigational Drug HBI-8000 + Nivolumab vs. Placebo + Nivolumab in Patients With Advanced Melanoma</t>
  </si>
  <si>
    <t>NCT04681066</t>
  </si>
  <si>
    <t>A Study of Auxora in Patients With Acute Pancreatitis and Accompanying SIRS</t>
  </si>
  <si>
    <t>NCT04975256</t>
  </si>
  <si>
    <t>Adagrasib in Combination With BI 1701963 in Patients With Cancer (KRYSTAL 14)</t>
  </si>
  <si>
    <t>NCT05069896</t>
  </si>
  <si>
    <t>A Study to Compare Two Formulations of Mirikizumab (LY3074828) in Healthy Participants</t>
  </si>
  <si>
    <t>NCT04678505</t>
  </si>
  <si>
    <t>Study of a Single Intravenous (IV) Dose of MK-3402 in Participants With Impaired Renal Function and in Healthy Controls (MK-3402-004)</t>
  </si>
  <si>
    <t>NCT04933682</t>
  </si>
  <si>
    <t>Drug Interaction Study of ALXN2050 With Fluconazole and Rifampin in Healthy Adult Participants</t>
  </si>
  <si>
    <t>NCT04836182</t>
  </si>
  <si>
    <t>A Study to Assess the Safety, Tolerability and Efficacy of IONIS-AGT-LRx in Participants With Chronic Heart Failure With Reduced Ejection Fraction</t>
  </si>
  <si>
    <t>NCT05011123</t>
  </si>
  <si>
    <t>Study on an Investigational Yellow Fever Vaccine Compared With Stamaril in Adults in Europe and Asia</t>
  </si>
  <si>
    <t>NCT05195203</t>
  </si>
  <si>
    <t>A Study of HS-10353 in Chinese Participants.</t>
  </si>
  <si>
    <t>NCT04804254</t>
  </si>
  <si>
    <t>Study to Evaluate Adverse Events, Change in Disease Activity, Movement of Oral ABBV-623 and ABBV-992 Tablets in the Body of Adult Participants With B-cell Cancers</t>
  </si>
  <si>
    <t>NCT04611776</t>
  </si>
  <si>
    <t>A Study Evaluating the Efficacy and Safety of Adjuvant Platinum-Doublet Chemotherapy, With or Without Atezolizumab, in Patients Who Are ctDNA Positive After Complete Surgical Resection of Stage IB to Select IIIB Non-Small Cell Lung Cancer</t>
  </si>
  <si>
    <t>NCT04990310</t>
  </si>
  <si>
    <t>Single Dose Absorption, Distribution, Metabolism, and Excretion Study of [14C]-CORT113176 in Healthy Male Participants</t>
  </si>
  <si>
    <t>NCT04443010</t>
  </si>
  <si>
    <t>Safety and Efficacy of L19TNF Plus Temozolomide Chemoradiotherapy in Patients With Newly Diagnosed Glioblastoma</t>
  </si>
  <si>
    <t>NCT04408989</t>
  </si>
  <si>
    <t>A Study Comparing the Pharmacokinetic Similarity of MB02-SP, MB02-DM and US Licensed-Avastin®.</t>
  </si>
  <si>
    <t>NCT04589650</t>
  </si>
  <si>
    <t>Study Assessing the Efficacy, Safety and PK of Alpelisib (BYL719) in Pediatric and Adult Patients With PIK3CA-related Overgrowth Spectrum</t>
  </si>
  <si>
    <t>NCT05390710</t>
  </si>
  <si>
    <t>PhI to Solid Tumors and PhII to Locally Advanced or mTNBC</t>
  </si>
  <si>
    <t>NCT04455620</t>
  </si>
  <si>
    <t>BNT151 as a Monotherapy and in Combination With Other Anti-cancer Agents in Patients With Solid Tumors</t>
  </si>
  <si>
    <t>NCT05536362</t>
  </si>
  <si>
    <t>Propofol With Clonidine and Ketamine Throughout Colon Cancer Surgery</t>
  </si>
  <si>
    <t>NCT04854746</t>
  </si>
  <si>
    <t>Ph 1b: Safety &amp; Immunogenicity of Ad5 Based Oral Norovirus Vaccine</t>
  </si>
  <si>
    <t>NCT04639310</t>
  </si>
  <si>
    <t>XEN496 (Ezogabine) in Children With KCNQ2 Developmental and Epileptic Encephalopathy</t>
  </si>
  <si>
    <t>NCT05123196</t>
  </si>
  <si>
    <t>Exploratory Study of MT-8554 in Subjects With Painful Diabetic Peripheral Neuropathy</t>
  </si>
  <si>
    <t>NCT04953897</t>
  </si>
  <si>
    <t>Study to Evaluate the Pharmacokinetics and Safety of Oral Decitabine and Cedazuridine in Cancer Patients With Renal Impairment</t>
  </si>
  <si>
    <t>NCT04832724</t>
  </si>
  <si>
    <t>RGX-314 Gene Therapy Pharmacodynamic Study for Neovascular Age-related Macular Degeneration (nAMD)</t>
  </si>
  <si>
    <t>NCT05037760</t>
  </si>
  <si>
    <t>A Study of Elritercept Alone or Together With Ruxolitinib in Adults With Myelofibrosis</t>
  </si>
  <si>
    <t>NCT04739423</t>
  </si>
  <si>
    <t>A Study of Clenbuterol (CST-103) Co-administered With Nadolol (CST-107) in Subjects With Neurodegenerative Disorders</t>
  </si>
  <si>
    <t>NCT05207189</t>
  </si>
  <si>
    <t>Biological Sling Allograft (UVT) for the Treatment of Urinary Incontinence in Women Presenting With Synthetic Sling Complications</t>
  </si>
  <si>
    <t>NCT04849910</t>
  </si>
  <si>
    <t>Allogeneic Engineered Hematopoietic Stem Cell Transplant (HCT) Lacking the CD33 Protein, and Post-HCT Treatment With Mylotarg, for Patients With CD33+ AML or MDS</t>
  </si>
  <si>
    <t>Vor Biopharma</t>
  </si>
  <si>
    <t>NCT04957550</t>
  </si>
  <si>
    <t>To Evaluate the Efficacy and Safety of SHR0302 Tablet in Subjects of Active Psoriatic Arthritis</t>
  </si>
  <si>
    <t>NCT04950504</t>
  </si>
  <si>
    <t>Evaluate the Safety, Tolerability, Pharmacodynamics, and Efficacy of CNP-201 in Subjects Ages 16-35 With Peanut Allergy</t>
  </si>
  <si>
    <t>COUR Pharmaceutical Development Company, Inc.</t>
  </si>
  <si>
    <t>NCT04669067</t>
  </si>
  <si>
    <t>TL-895 and KRT-232 Study in Acute Myeloid Leukemia</t>
  </si>
  <si>
    <t>NCT05297292</t>
  </si>
  <si>
    <t>A Study to Evaluate the Efficacy and Safety of MW02 in the Treatment of nAMD</t>
  </si>
  <si>
    <t>NCT05097014</t>
  </si>
  <si>
    <t>CHF5993 and CHF1535 pMDI on Lung Hyperinflation and Exercise Endurance Time in Subjects With COPD</t>
  </si>
  <si>
    <t>NCT05001516</t>
  </si>
  <si>
    <t>Study of Turning Point Therapeutics LM-302 in Patients With Advance Solid Tumors</t>
  </si>
  <si>
    <t>NCT04704232</t>
  </si>
  <si>
    <t>Study of Safety, Efficacy, and Pharmacokinetics of Topical ACD440 in Healthy Volunteers</t>
  </si>
  <si>
    <t>NCT04919499</t>
  </si>
  <si>
    <t>A Study of BI 765128 in Patients With an Eye Condition Called Diabetic Macular Ischemia Who Have Received Laser Treatment</t>
  </si>
  <si>
    <t>NCT04975893</t>
  </si>
  <si>
    <t>A Long-Term Extension Study to Evaluate the Immunogenicity and Safety of Cytomegalovirus (CMV) mRNA-1647 Vaccine</t>
  </si>
  <si>
    <t>NCT05011019</t>
  </si>
  <si>
    <t>A Clinical Trial to Evaluate the Safety and Efficacy of AL2846 Capsules in Chinese Patients With Type I Neurofibromatosis</t>
  </si>
  <si>
    <t>NCT04782271</t>
  </si>
  <si>
    <t>Safety, Tolerability and Pharmacokinetic Profile of SYL1801 Eye Drops</t>
  </si>
  <si>
    <t>NCT04753164</t>
  </si>
  <si>
    <t>Multicenter Study to Evaluate the Efficacy and Safety of Oral ACT-539313 in the Treatment of Adults With Moderate to Severe Binge Eating Disorder</t>
  </si>
  <si>
    <t>NCT04847544</t>
  </si>
  <si>
    <t>A Randomized, Double-Blind, Placebo-Controlled, Clinical Trial to Evaluate the Safety, Tolerability, Efficacy, and Pharmacodynamics for the Treatment of COVID-19.</t>
  </si>
  <si>
    <t>NCT04905212</t>
  </si>
  <si>
    <t>A Study of Telitacicept for Injection (RC18) in Subjects With IgA Nephropathy</t>
  </si>
  <si>
    <t>NCT04781634</t>
  </si>
  <si>
    <t>a Clinical Research of CD19 and CD22 Targeted Prime CAR-T Cell in Relapsed/Refractory B-ALL</t>
  </si>
  <si>
    <t>NCT04540406</t>
  </si>
  <si>
    <t>NBT-NM108 as an Early Treatment for Suspected or Confirmed Symptomatic COVID-19 Patients</t>
  </si>
  <si>
    <t>Notitia Biotechnologies Company</t>
  </si>
  <si>
    <t>NCT04978506</t>
  </si>
  <si>
    <t>A Study in Healthy Men to Test How Well Different Doses of BI 1569912 Are Tolerated</t>
  </si>
  <si>
    <t>NCT04689152</t>
  </si>
  <si>
    <t>Clinical Trial to Evaluate the Efficacy and Safety of Cellgram-LC Administration in Patients With Alcoholic Cirrhosis</t>
  </si>
  <si>
    <t>NCT05357911</t>
  </si>
  <si>
    <t>A Study on the Effect of AB-106 on the Pharmacokinetics of Digoxin</t>
  </si>
  <si>
    <t>NCT04859621</t>
  </si>
  <si>
    <t>Phase II Clinical Trial of Vitamin D3 for Reducing Recurrence of Recurrent Lower Urinary Tract Infections</t>
  </si>
  <si>
    <t>NCT05557565</t>
  </si>
  <si>
    <t>A Phase II Trial to Evaluate the Efficacy and Safety of QL1706 in Patients With Cervical Cancer</t>
  </si>
  <si>
    <t>NCT04819100</t>
  </si>
  <si>
    <t>A Study of Selpercatinib After Surgery or Radiation in Participants With Non-Small Cell Lung Cancer (NSCLC)</t>
  </si>
  <si>
    <t>NCT05086692</t>
  </si>
  <si>
    <t>A Beta-only IL-2 ImmunoTherapY Study</t>
  </si>
  <si>
    <t>Medicenna Therapeutics, Inc.</t>
  </si>
  <si>
    <t>NCT05127564</t>
  </si>
  <si>
    <t>A Study to Evaluate the Pharmacokinetics, Safety, and Tolerability of Diroximel Fumarate (DRF) in Chinese and Caucasian Adult Healthy Participants</t>
  </si>
  <si>
    <t>NCT04921384</t>
  </si>
  <si>
    <t>Eptinezumab as Preventive Treatment of Migraine in Adults With Migraine</t>
  </si>
  <si>
    <t>NCT04005001</t>
  </si>
  <si>
    <t>Machine Learning Sepsis Alert Notification Using Clinical Data</t>
  </si>
  <si>
    <t>NCT04711837</t>
  </si>
  <si>
    <t>Efficacy and Safety of HSK3486 Compared to Propofol in Induction of General Anesthesia in Adults Having Elective Surgery</t>
  </si>
  <si>
    <t>Haisco-USA Pharmaceuticals, Inc.</t>
  </si>
  <si>
    <t>NCT04630145</t>
  </si>
  <si>
    <t>A Study of Bedaquiline Administered as Part of a Treatment Regimen With Clarithromycin and Ethambutol in Adult Patients With Treatment-refractory Mycobacterium Avium Complex-lung Disease (MAC-LD)</t>
  </si>
  <si>
    <t>NCT05492630</t>
  </si>
  <si>
    <t>Single and Multiple Dose Safety, Tolerability, PK and Food Effect Study of HEC73077 in Healthy Subjects</t>
  </si>
  <si>
    <t>NCT04773600</t>
  </si>
  <si>
    <t>Trial of PDE4 Inhibition With Roflumilast for the Management of Atopic Dermatitis (INTEGUMENT-II)</t>
  </si>
  <si>
    <t>NCT04708236</t>
  </si>
  <si>
    <t>A Study of ORTD-1 in Patients Hospitalized With COVID-19 Related Pneumonia</t>
  </si>
  <si>
    <t>NCT04801095</t>
  </si>
  <si>
    <t>A Phase I Study of WM-S1-030 in Patients With Advanced Solid Tumors</t>
  </si>
  <si>
    <t>Wellmarker Bio</t>
  </si>
  <si>
    <t>NCT04789928</t>
  </si>
  <si>
    <t>Conservative Treatment of Catheter - Related Injections With Gentamicine/EDTA</t>
  </si>
  <si>
    <t>NCT05135871</t>
  </si>
  <si>
    <t>Study Evaluating the Pharmacokinetics of Mavacamten in Healthy Adult Chinese Subjects</t>
  </si>
  <si>
    <t>NCT06126965</t>
  </si>
  <si>
    <t>Phase III Study of KX-826 With Adult Male Patients With AGA</t>
  </si>
  <si>
    <t>NCT04742153</t>
  </si>
  <si>
    <t>A Study of MRG002 in the Treatment of Patients With HER2-low Locally Advanced or Metastatic Breast Cancer (BC)</t>
  </si>
  <si>
    <t>NCT05174637</t>
  </si>
  <si>
    <t>A Study of FDA018-ADC in Patients With Advanced Solid Tumors</t>
  </si>
  <si>
    <t>NCT04865445</t>
  </si>
  <si>
    <t>Drug-drug Interaction Study of Midazolam and AT-527 (R07496998)</t>
  </si>
  <si>
    <t>NCT04559412</t>
  </si>
  <si>
    <t>Study to Assess the Safety and Efficacy of Enbrel Administered by Sofusa DoseConnect for Rheumatoid Arthritis</t>
  </si>
  <si>
    <t>NCT04842019</t>
  </si>
  <si>
    <t>Study to Assess the Safety, Pharmacokinetics and Efficacy of KRN23 in Adult Chinese Patients With XLH</t>
  </si>
  <si>
    <t>NCT05052567</t>
  </si>
  <si>
    <t>CEND-1 Injection (QLC12102) in Patients With Advanced Metastatic Pancreatic Ductal Adenocarcinoma</t>
  </si>
  <si>
    <t>NCT04519645</t>
  </si>
  <si>
    <t>A Study to Evaluate the Efficacy, Safety, and Pharmacokinetics of Lacosamide in Neonates With Repeated Electroencephalographic Neonatal Seizures</t>
  </si>
  <si>
    <t>NCT04895345</t>
  </si>
  <si>
    <t>A Study of TQB2450 in Combination With Intensity-modulated Radiotherapy in Patients With Inoperable Locally Recurrent Nasopharyngeal Carcinoma</t>
  </si>
  <si>
    <t>NCT05876767</t>
  </si>
  <si>
    <t>Tolerability, Pharmacokinetics and Pharmacodynamics of Ascending Single and Repeated Doses of SAR444336 in Healthy Adult Participants</t>
  </si>
  <si>
    <t>NCT05152420</t>
  </si>
  <si>
    <t>Study of Intravenous VMX-C001 in Healthy Subjects and in Combination With Selected Direct Oral Anticoagulants in Healthy Older Subjects</t>
  </si>
  <si>
    <t>VarmX B.V.</t>
  </si>
  <si>
    <t>NCT04994717</t>
  </si>
  <si>
    <t>Study Comparing Blinatumomab Alternating With Low-intensity Chemotherapy Versus Standard of Care Chemotherapy for Older Adults With Newly Diagnosed Philadelphia-negative B-cell Precursor Acute Lymphoblastic Leukemia</t>
  </si>
  <si>
    <t>NCT05435274</t>
  </si>
  <si>
    <t>Phase 1/2 Study of HS-10376 in Patients With Non-Small Cell Lung Cancer</t>
  </si>
  <si>
    <t>NCT04877379</t>
  </si>
  <si>
    <t>VNRX-7145 Drug-Drug Interaction in Healthy Adult Volunteers</t>
  </si>
  <si>
    <t>NCT05108025</t>
  </si>
  <si>
    <t>DMT310-005 Topical in the Treatment of Acne Rosacea</t>
  </si>
  <si>
    <t>Dermata Therapeutics</t>
  </si>
  <si>
    <t>NCT05084859</t>
  </si>
  <si>
    <t>A Study Evaluating the Safety, Pharmacokinetics, and Preliminary Efficacy of Orally Administered SM08502 Combined With Hormonal Therapy or Chemotherapy in Subjects With Advanced Solid Tumors</t>
  </si>
  <si>
    <t>NCT04885491</t>
  </si>
  <si>
    <t>A Study to Evaluate the Efficacy, Safety and Tolerability of PDNO Infusion in COVID-19 Patients With Acute Pulmonary Hypertension</t>
  </si>
  <si>
    <t>NCT05107674</t>
  </si>
  <si>
    <t>A Study of NX-1607 in Adults With Advanced Malignancies</t>
  </si>
  <si>
    <t>NCT05243017</t>
  </si>
  <si>
    <t>Safety and Efficacy of AMT-130 in European Adults With Early Manifest Huntington's Disease</t>
  </si>
  <si>
    <t>UniQure Biopharma B.V.</t>
  </si>
  <si>
    <t>NCT04934059</t>
  </si>
  <si>
    <t>Efficacy and Safety of Yuxuebi Tablet in Treating Night Pain of Ankylosing Spondylitis (AS).</t>
  </si>
  <si>
    <t>NCT04858308</t>
  </si>
  <si>
    <t>Phase 3 Trial to Evaluate the Efficacy and Safety of YYC506.</t>
  </si>
  <si>
    <t>NCT04466917</t>
  </si>
  <si>
    <t>A Study of ABP 215 Versus Bevacizumab in Chinese Subjects With Advanced Non-Squamous Non-Small Cell Lung Cancer</t>
  </si>
  <si>
    <t>NCT04751682</t>
  </si>
  <si>
    <t>Safety and Immunogenicity of an Intranasal SARS-CoV-2 Vaccine (BBV154) for COVID-19</t>
  </si>
  <si>
    <t>NCT04765059</t>
  </si>
  <si>
    <t>A Study to Evaluate Chemotherapy Plus Osimertinib Against Chemotherapy Plus Placebo in Patients With Non-small Cell Lung Cancer (NSCLC)</t>
  </si>
  <si>
    <t>NCT05154890</t>
  </si>
  <si>
    <t>A Multiple Ascending Dose Study of ACN00177 (Pegtarviliase) in Subjects With CBS Deficiency</t>
  </si>
  <si>
    <t>Aeglea Biotherapeutics</t>
  </si>
  <si>
    <t>NCT04928625</t>
  </si>
  <si>
    <t>A Trial of SHR-A1904 in Patients With Advanced Pancreatic Cancer</t>
  </si>
  <si>
    <t>NCT05006118</t>
  </si>
  <si>
    <t>Pharmacokinetics and Excretion of Oral [14C]-Rodatristat Ethyl</t>
  </si>
  <si>
    <t>NCT05009680</t>
  </si>
  <si>
    <t>A Single and Repeat Dose Trial in Participants With Hepatic Impairment</t>
  </si>
  <si>
    <t>NCT05110768</t>
  </si>
  <si>
    <t>Treatment of (IDA) by (FPC) Delivered Via Infusion Pump in Patients Receiving Home Infusion Therapy</t>
  </si>
  <si>
    <t>NCT05136391</t>
  </si>
  <si>
    <t>A Phase I Study to Evaluate XTR003 in Healthy Chinese Volunteers</t>
  </si>
  <si>
    <t>NCT04766840</t>
  </si>
  <si>
    <t>Donor-derived CAR-T Cells in the Treatment of AML Patients</t>
  </si>
  <si>
    <t>NCT04737174</t>
  </si>
  <si>
    <t>ES-481 for Uncontrolled Glioma-Associated Epilepsy and Assessment for Potential Anti-Tumorigenic Effect in Patients With Isocitrate Dehydrogenase 1 (IDH1) Mutant Tumors</t>
  </si>
  <si>
    <t>NCT04943913</t>
  </si>
  <si>
    <t>Study of GC101 TIL in Brain Glioma (Soochow2)</t>
  </si>
  <si>
    <t>NCT05251090</t>
  </si>
  <si>
    <t>A Study to Evaluate the Safety and Pharmacokinetic of Recombinant Human Coagulation Factor VIII ，Fc Fusion Protein for Injection</t>
  </si>
  <si>
    <t>NCT04996797</t>
  </si>
  <si>
    <t>A Phase 2 Safety and Efficacy Study of Tulisokibart (MK-7240/PRA023) in Subjects With Moderately to Severely Active Ulcerative Colitis (MK-7240-005)</t>
  </si>
  <si>
    <t>NCT05135468</t>
  </si>
  <si>
    <t>A Phase 3 Clinical Study Patients With Androgenetic Alopecia (AGA)</t>
  </si>
  <si>
    <t>NCT04273997</t>
  </si>
  <si>
    <t>Metronidazole Ointment in Non-healing Pilonidal Sinus Wounds</t>
  </si>
  <si>
    <t>NCT04927585</t>
  </si>
  <si>
    <t>Evaluating the Safety and Immunogenicity of Polyvalent DNA/gp120 HIV Vaccine in Healthy, HIV-uninfected Adults</t>
  </si>
  <si>
    <t>Worcester HIV Vaccine</t>
  </si>
  <si>
    <t>NCT05079217</t>
  </si>
  <si>
    <t>Safety and Immunogenicity Study of Booster Vaccination With Medium-dosage or High-dosage SARS-CoV-2 Inactivated Vaccine for Prevention of COVID-19</t>
  </si>
  <si>
    <t>NCT05636891</t>
  </si>
  <si>
    <t>Pharmacokinetic/Pharmacodynamic Parameters of NNG-DEPO (Stimus) With Aranesp® (Amgen) in Treatment of Anemia in CKD Patients on Dialysis</t>
  </si>
  <si>
    <t>NCT04983550</t>
  </si>
  <si>
    <t>Efficacy and Safety of SG001 Combined With PLD in Patients With Platinum-resistant Relapsed EOC</t>
  </si>
  <si>
    <t>NCT05884515</t>
  </si>
  <si>
    <t>Evaluation of Home Use COVID-19 Frequent Antigen Testing and Data Reporting</t>
  </si>
  <si>
    <t>IDX20 Inc</t>
  </si>
  <si>
    <t>NCT04644315</t>
  </si>
  <si>
    <t>A Home-Based Approach Study to Evaluate the Efficacy and Safety of Alectinib in Locally-Advanced or Metastatic ALK-Positive Solid Tumors</t>
  </si>
  <si>
    <t>NCT05032235</t>
  </si>
  <si>
    <t>Safety and Pharmacokinetics of Fluzoparib in Healthy Subjects and Those With Impaired Kidney Function</t>
  </si>
  <si>
    <t>NCT05287360</t>
  </si>
  <si>
    <t>A Study Comparing Four Different Rivoceranib Tablets in Healthy Participants</t>
  </si>
  <si>
    <t>NCT04880213</t>
  </si>
  <si>
    <t>Study of M5049 in Healthy Japanese and Caucasian Participants</t>
  </si>
  <si>
    <t>NCT04869943</t>
  </si>
  <si>
    <t>Efficacy Evaluation of Enobosarm Monotherapy in Treatment of AR+/ER+/HER2- Metastatic Breast Cancer</t>
  </si>
  <si>
    <t>NCT04958291</t>
  </si>
  <si>
    <t>Study to Evaluate the Safety, Tolerability, Pharmacokinetics and Pharmacodynamics of CC-99677 in Healthy Adult Japanese Participants.</t>
  </si>
  <si>
    <t>NCT04314687</t>
  </si>
  <si>
    <t>Stem Cell and Conditioned Medium for Cerebral Palsy</t>
  </si>
  <si>
    <t>NCT04863248</t>
  </si>
  <si>
    <t>Trilaciclib, a CDK 4/6 Inhibitor, in Patients Receiving Docetaxel for Metastatic Non-Small Cell Lung Cancer (NSCLC) (PRESERVE 4)</t>
  </si>
  <si>
    <t>NCT05137236</t>
  </si>
  <si>
    <t>A Study to Evaluate the Immunogenicity and Safety of mRNA-1283 COVID-19 Vaccine Boosters</t>
  </si>
  <si>
    <t>NCT05369858</t>
  </si>
  <si>
    <t>A Mass Balance and Biotransformation Study of [14C]SKLB1028 in Chinese Healthy Male Subjects</t>
  </si>
  <si>
    <t>NCT05641558</t>
  </si>
  <si>
    <t>Evaluation of 611 in Chinese Adult Patients With Moderate-to-Severe Atopic Dermatitis</t>
  </si>
  <si>
    <t>NCT06532344</t>
  </si>
  <si>
    <t>An Open-label, Uncontrolled Study of ONO-7913 and ONO-4538 in Combination With Modified FOLFIRINOX Therapy, the Standard of Care, as First-line Treatment in Patients With Metastatic Pancreatic Cancer</t>
  </si>
  <si>
    <t>NCT05060484</t>
  </si>
  <si>
    <t>A Phase II Study of SCT1000 in Healthy Women Aged 18 to 45 Years</t>
  </si>
  <si>
    <t>NCT05042206</t>
  </si>
  <si>
    <t>Clinical Trial to Evaluate Safety of Allogeneic Bone Marrow Derived Mesenchymal Stem Cell in Chronic Kidney Disease</t>
  </si>
  <si>
    <t>NCT05657184</t>
  </si>
  <si>
    <t>Treatment of Idiopathic Pulmonary Fibrosis (IPF) by REGEND001</t>
  </si>
  <si>
    <t>Regend Therapeutics</t>
  </si>
  <si>
    <t>NCT04808648</t>
  </si>
  <si>
    <t>The Effect of Itraconazole and Rifampicin on the Pharmacokinetics of SH-1028</t>
  </si>
  <si>
    <t>NCT05384938</t>
  </si>
  <si>
    <t>FAsenra Safety Trial in India</t>
  </si>
  <si>
    <t>NCT04861948</t>
  </si>
  <si>
    <t>IBI188 Combination Therapy in Solid Tumors</t>
  </si>
  <si>
    <t>NCT04856930</t>
  </si>
  <si>
    <t>A Study to Evaluate the Efficacy and Safety of Imsidolimab (ANB019) in the Treatment of Participants With Hidradenitis Suppurativa</t>
  </si>
  <si>
    <t>NCT04705844</t>
  </si>
  <si>
    <t>Study of Adalimumab or Placebo in Patients With Mild to Moderate COVID-19 (COMBAAT)</t>
  </si>
  <si>
    <t>NCT04916119</t>
  </si>
  <si>
    <t>Study of IBI323 in Patients With Advanced Malignancies</t>
  </si>
  <si>
    <t>NCT04740307</t>
  </si>
  <si>
    <t>Safety and Efficacy of Coformulated Pembrolizumab/Quavonlimab (MK-1308A) in Combination With Lenvatinib (E7080/MK-7902) in Advanced Hepatocellular Carcinoma (MK-1308A-004)</t>
  </si>
  <si>
    <t>NCT05105971</t>
  </si>
  <si>
    <t>Assessment of Safety and Preliminary Efficacy With BAT6026 in Solid Tumor Patients in China</t>
  </si>
  <si>
    <t>NCT04301284</t>
  </si>
  <si>
    <t>Study of CAD-1883 for Spinocerebellar Ataxia</t>
  </si>
  <si>
    <t>NCT04903184</t>
  </si>
  <si>
    <t>Exploratory Study to Evaluate the Efficacy of RUTI® Against SARS-COV-2 Infection (COVID-19) in Healthcare Workers</t>
  </si>
  <si>
    <t>RUTI Immunotherapeutics S.L.</t>
  </si>
  <si>
    <t>NCT04984811</t>
  </si>
  <si>
    <t>NT-I7 in Combination With Atezolizumab in Previously Untreated, PD-L1-expressing, Locally Advanced or Metastatic NSCLC</t>
  </si>
  <si>
    <t>NCT04759833</t>
  </si>
  <si>
    <t>A Study of Prucalopride For Functional Constipation in Children and Teenagers</t>
  </si>
  <si>
    <t>NCT04843033</t>
  </si>
  <si>
    <t>A Study to Investigate Safety and Tolerability of SH3809 Tablet in Patients With Advanced Solid Tumors</t>
  </si>
  <si>
    <t>NCT04773587</t>
  </si>
  <si>
    <t>Trial of PDE4 Inhibition With Roflumilast for the Management of Atopic Dermatitis</t>
  </si>
  <si>
    <t>NCT04565171</t>
  </si>
  <si>
    <t>Pharmacokinetics of Yimitasvir Phosphate Capsule in Subjects With Normal Renal Function and ESRD</t>
  </si>
  <si>
    <t>NCT04050163</t>
  </si>
  <si>
    <t>MiSaver® Stem Cell Treatment for Heart Attack (Acute Myocardial Infarction)</t>
  </si>
  <si>
    <t>Honya Medical Inc</t>
  </si>
  <si>
    <t>NCT04735393</t>
  </si>
  <si>
    <t>A Multi-Center, Double-Masked, Randomized, Vehicle-Controlled, Parallel-Group Clinical Trial Evaluating the Safety of Reproxalap Ophthalmic Solution in Subjects With Dry Eye Disease</t>
  </si>
  <si>
    <t>NCT04863014</t>
  </si>
  <si>
    <t>Efficacy and Safety of Evinacumab in Adult Patients With Severe Hypertriglyceridemia for the Prevention of Recurrent Acute Pancreatitis</t>
  </si>
  <si>
    <t>NCT05463484</t>
  </si>
  <si>
    <t>Effects of a Composition on the Oral Microbiome, pH, Nitrite/Nitrate Ratio, Elastases and Inflammation in Oral Dysbiosis</t>
  </si>
  <si>
    <t>Mucosa Innovations, S.L.</t>
  </si>
  <si>
    <t>NCT04942964</t>
  </si>
  <si>
    <t>A Study to Evaluate ASP0367 in Participants With Mild/Moderate Hepatic Impairment Compared to Participants With Normal Hepatic Function</t>
  </si>
  <si>
    <t>NCT04857398</t>
  </si>
  <si>
    <t>A Study to Test How a New Long-acting Insulin (Insulin Icodec) Works in the Body of People From China With Type 2 Diabetes</t>
  </si>
  <si>
    <t>NCT04267393</t>
  </si>
  <si>
    <t>Safety and Effectiveness of BMS-986263 in Adults With Compensated Cirrhosis (Liver Disease) From Nonalcoholic Steatohepatitis (NASH)</t>
  </si>
  <si>
    <t>NCT04880863</t>
  </si>
  <si>
    <t>NAP in Combination With Docetaxel Following Obinutuzumab Pretreatment in Subjects With Checkpoint Inhibitor Pretreated Advanced or Metastatic NSCLC</t>
  </si>
  <si>
    <t>NeoTX Therapeutics Ltd.</t>
  </si>
  <si>
    <t>NCT04782193</t>
  </si>
  <si>
    <t>a Clinical Research of CD19 and CD22 Targeted Prime CAR-T Cell in Relapsed/Refractory B Cell Lymphoma</t>
  </si>
  <si>
    <t>NCT04959981</t>
  </si>
  <si>
    <t>A Study of Anti-Cancer Therapies Targeting the MAPK Pathway in Patients With Advanced NSCLC</t>
  </si>
  <si>
    <t>NCT05026164</t>
  </si>
  <si>
    <t>Study to Assess the Safety, Tolerability, and Effects of CHI-202 to Support Recovery From Physical Activity</t>
  </si>
  <si>
    <t>NCT04908865</t>
  </si>
  <si>
    <t>Open-label Study of Belimumab Plus Standard Therapy in Chinese Pediatric Participants With Active Systemic Lupus Erythematosus (SLE)</t>
  </si>
  <si>
    <t>NCT05706207</t>
  </si>
  <si>
    <t>A Study of HB0030 Injection in Patients With Advanced Solid Tumors</t>
  </si>
  <si>
    <t>NCT05136144</t>
  </si>
  <si>
    <t>Adaptive Design Study for Safety and Efficacy of Treatment Regimens With SM-020 in Subjects With Seborrheic Keratosis</t>
  </si>
  <si>
    <t>NCT05181475</t>
  </si>
  <si>
    <t>Long-term Efficacy and Safety Study of GV-971</t>
  </si>
  <si>
    <t>NCT04930900</t>
  </si>
  <si>
    <t>Pharmacokinetics of Adrenaline After Administration of ARS -1 in Subjects With Upper Respiratory Tract Infection</t>
  </si>
  <si>
    <t>ARS Pharmaceuticals, Inc.</t>
  </si>
  <si>
    <t>NCT04763044</t>
  </si>
  <si>
    <t>Evaluation of the Fluoride Dose Response Using In Situ Caries Model</t>
  </si>
  <si>
    <t>NCT05604898</t>
  </si>
  <si>
    <t>A Phase 2 Study of Recombinant Anti-IL-17A Humanized Monoclonal Antibody in Chinese Participants With Moderate-to-Severe Plaque Psoriasis</t>
  </si>
  <si>
    <t>NCT04937530</t>
  </si>
  <si>
    <t>RT001 in Patients With Progressive Supranuclear Palsy (PSP) PROGRESSIVE SUPRANUCLEAR PALSY</t>
  </si>
  <si>
    <t>NCT03866499</t>
  </si>
  <si>
    <t>A Study of BPI-7711 Capsule in Non-small Cell Lung Cancer Patients</t>
  </si>
  <si>
    <t>Beta Pharma Shanghai</t>
  </si>
  <si>
    <t>NCT05108571</t>
  </si>
  <si>
    <t>Phamacokinetics and Safety Profiles of DA-5210 10/1000mg in Healthy Subjects at Fasting State</t>
  </si>
  <si>
    <t>NCT04802811</t>
  </si>
  <si>
    <t>A Phase I Study to Evaluate the Safety, Tolerability, Pharmacokinetics ，Pharmacodynamics of Oral SHR2150 in Healthy Subjects</t>
  </si>
  <si>
    <t>NCT05064332</t>
  </si>
  <si>
    <t>A Study To Estimate The Effect of PF-06650833 On The Pharmacokinetics (PK) of Oral Contraceptive (OC)</t>
  </si>
  <si>
    <t>NCT05107557</t>
  </si>
  <si>
    <t>NCT05005403</t>
  </si>
  <si>
    <t>Study to Assess Adverse Events and Pharmacokinetics in Adult Participants With Non-Small Cell Lung Cancer, Head and Neck Squamous Cell Carcinoma and Other Solid Tumors, Receiving Intravenous Infusion of Azirkitug Alone or in Combination(s) With Budigalimab, Bevacizumab, or Telisotuzumab Adizutecan</t>
  </si>
  <si>
    <t>NCT04518137</t>
  </si>
  <si>
    <t>A Study of Evaluating the Safety and Efficacy of ATG-008 for Advanced Solid Tumors (BUNCH)</t>
  </si>
  <si>
    <t>NCT05099094</t>
  </si>
  <si>
    <t>VEGFA-targeting Gene Therapy to Treat Retinal and Choroidal Neovascularization Diseases</t>
  </si>
  <si>
    <t>Shanghai BDgene Co., Ltd.</t>
  </si>
  <si>
    <t>NCT06153329</t>
  </si>
  <si>
    <t>A Trial to Evaluate the Pharmacokinetics and Pharmacodynamics of THDB0206 Injection in Healthy Chinese Subjects</t>
  </si>
  <si>
    <t>Tonghua Dongbao Pharmaceutical Co.,Ltd</t>
  </si>
  <si>
    <t>NCT04764201</t>
  </si>
  <si>
    <t>The Pharmacokinetic Characteristics and Safety Between HIP2001 and HGP2001 in Healthy Volunteers</t>
  </si>
  <si>
    <t>NCT05048719</t>
  </si>
  <si>
    <t>A Study of LY3502970 in Participants With Type 2 Diabetes Mellitus</t>
  </si>
  <si>
    <t>NCT04952519</t>
  </si>
  <si>
    <t>Efficacy of Amantadine Treatment in COVID-19 Patients</t>
  </si>
  <si>
    <t>Noblewell</t>
  </si>
  <si>
    <t>NCT03443622</t>
  </si>
  <si>
    <t>Phase I Study of SC-43 Oral Solution in Subjects With Refractory Solid Tumors</t>
  </si>
  <si>
    <t>SupremeCure Pharma Inc.</t>
  </si>
  <si>
    <t>NCT05098522</t>
  </si>
  <si>
    <t>Allergen Challenge Trial of IRL201104 in Seasonal Allergic Rhinitis</t>
  </si>
  <si>
    <t>NCT04676529</t>
  </si>
  <si>
    <t>Study to Evaluate Safety, Pharmacokinetic and Pharmacodynamic Dose Escalation and Expansion Study of PXS-5505 in Patients With Primary, Post-polycythemia Vera or Post-essential Thrombocythemia Myelofibrosis</t>
  </si>
  <si>
    <t>Syntara</t>
  </si>
  <si>
    <t>NCT05001945</t>
  </si>
  <si>
    <t>Trial on the Safety and Efficacy of MLS-101 in Patients With Uncontrolled Hypertension</t>
  </si>
  <si>
    <t>Mineralys Therapeutics Inc.</t>
  </si>
  <si>
    <t>NCT05148312</t>
  </si>
  <si>
    <t>Single-dose AQ001S PK Study in Healthy Volunteers</t>
  </si>
  <si>
    <t>NCT05158192</t>
  </si>
  <si>
    <t>Bioavailability of Diosmin/Hesperidin (90/10) 500 mg Tablets With Regards to Reference Product</t>
  </si>
  <si>
    <t>NCT04849741</t>
  </si>
  <si>
    <t>A Study to Evaluate the Safety and Efficacy of Zilganersen (ION373) in Patients With Alexander Disease (AxD)</t>
  </si>
  <si>
    <t>NCT04895241</t>
  </si>
  <si>
    <t>NCT04444895</t>
  </si>
  <si>
    <t>A Study of Long-Term Safety and Efficacy of Lanadelumab for Prevention of Acute Attacks of Non-histaminergic Angioedema With Normal C1-Inhibitor</t>
  </si>
  <si>
    <t>NCT05109975</t>
  </si>
  <si>
    <t>A Study to Evaluate Safety and Preliminary Anti-tumor Activity of Debio 0123 as Monotherapy in Adult Participants With Advanced Solid Tumors</t>
  </si>
  <si>
    <t>NCT04893239</t>
  </si>
  <si>
    <t>Exploratory Study to Assess Delivery of LMN-201 Components Via Enteric Capsules in the Gut of Individuals With Ostomies</t>
  </si>
  <si>
    <t>Lumen Bioscience, Inc.</t>
  </si>
  <si>
    <t>NCT05033431</t>
  </si>
  <si>
    <t>Study to Evaluate the Pharmacokinetics (Movement of Drugs Within the Body), Safety and Tolerability of Brazikumab in Healthy Chinese and White Participants</t>
  </si>
  <si>
    <t>NCT04842630</t>
  </si>
  <si>
    <t>A Phase 1 Dose Escalation and Expansion Study Of SHR-1916 In Subjects With Locally Advanced Or Metastatic Solid Tumors</t>
  </si>
  <si>
    <t>NCT05005065</t>
  </si>
  <si>
    <t>Evaluation of the Pharmacokinetics/Pharmacodynamics and Safety/Tolerability of IN-C005 and IN-A001 in Healthy Caucasians</t>
  </si>
  <si>
    <t>NCT04594811</t>
  </si>
  <si>
    <t>NT-I7 in Combination With Nivolumab in Advanced Gastric, Gastro-Esophageal Junction or Esophageal Adenocarcinoma</t>
  </si>
  <si>
    <t>NCT04894994</t>
  </si>
  <si>
    <t>FLX475 in Combination With Ipilimumab in Advanced Melanoma</t>
  </si>
  <si>
    <t>RAPT Therapeutics, Inc.</t>
  </si>
  <si>
    <t>NCT04654065</t>
  </si>
  <si>
    <t>Study to Evaluate Oral Mucosa Absorption of IN-C004 in Healthy Volunteers</t>
  </si>
  <si>
    <t>NCT04731467</t>
  </si>
  <si>
    <t>A Study of CM24 in Combination with Nivolumab in Adults with Advanced Solid Tumors</t>
  </si>
  <si>
    <t>Famewave Ltd.</t>
  </si>
  <si>
    <t>NCT04839575</t>
  </si>
  <si>
    <t>Study of Latiglutenase in T1D/CD Patients</t>
  </si>
  <si>
    <t>NCT04634253</t>
  </si>
  <si>
    <t>A Study of LY3462817 in Participants With Rheumatoid Arthritis</t>
  </si>
  <si>
    <t>NCT05223595</t>
  </si>
  <si>
    <t>A Study of Gentuximab in Combination With Almonertinib in EGFR Mutation-positive Metastatic NSCLC</t>
  </si>
  <si>
    <t>NCT04935177</t>
  </si>
  <si>
    <t>Renal Function in Highly Sensitized Patients 1 Year After Desensitization With Imlifidase Prior to DD Kidney Tx</t>
  </si>
  <si>
    <t>Hansa Biopharma AB</t>
  </si>
  <si>
    <t>NCT05163028</t>
  </si>
  <si>
    <t>A Dose Escalation Study of SHP2 Inhibitor in Patients With Solid Tumors Harboring KRAS of EGFR Mutations</t>
  </si>
  <si>
    <t>NCT05372939</t>
  </si>
  <si>
    <t>Study of the Efficacy and Safety of AMT-101 in Combination With Adalimumab in Subjects With Ulcerative Colitis (MARKET)</t>
  </si>
  <si>
    <t>NCT04733781</t>
  </si>
  <si>
    <t>Subcutaneous Injection of Large Volumes of Tumescent Lidocaine and Epinephrine by Laypersons</t>
  </si>
  <si>
    <t>NCT04921345</t>
  </si>
  <si>
    <t>Pharmacokinetics, Safety and Efficacy of Nemolizumab in Participants With Moderate-to-Severe Atopic Dermatitis</t>
  </si>
  <si>
    <t>NCT05104437</t>
  </si>
  <si>
    <t>Evaluation of Immunogenicity, Safety and Antibody Persistence of COVID-19 Booster Vaccine (Produced in Wuhan) in Patients With Hypertension and/or Diabetes</t>
  </si>
  <si>
    <t>NCT04616677</t>
  </si>
  <si>
    <t>A Study to Evaluate the Effect of Renal Impairment on JNJ-42847922 in Adult Participants</t>
  </si>
  <si>
    <t>NCT04809012</t>
  </si>
  <si>
    <t>Study of STI-3031 in Patients With Selected Relapsed or Refractory Solid Tumors</t>
  </si>
  <si>
    <t>NCT04854928</t>
  </si>
  <si>
    <t>Study to Evaluate a Single Dose of LTX-109 in Subjects With COVID-19 (Coronavirus Disease 2019) Infection.</t>
  </si>
  <si>
    <t>NCT04759365</t>
  </si>
  <si>
    <t>Safety, Tolerability, Pharmacokinetic, and Pharmacodynamic Study of Oral ASN51 in Healthy Subjects and Subjects With Alzheimer's Disease</t>
  </si>
  <si>
    <t>Asceneuron Pty Ltd.</t>
  </si>
  <si>
    <t>NCT03899636</t>
  </si>
  <si>
    <t>A Pivotal Study of Safety and Effectiveness of NanoKnife IRE for Stage 3 Pancreatic Cancer</t>
  </si>
  <si>
    <t>Angiodynamics, Inc.</t>
  </si>
  <si>
    <t>NCT04746911</t>
  </si>
  <si>
    <t>Maximal Usage Pharmacokinetics and Safety of ARQ-151 in Children With Plaque Psoriasis (ARQ-151-216)</t>
  </si>
  <si>
    <t>NCT05417425</t>
  </si>
  <si>
    <t>Omeza Products in Combination With Standard of Care for the Treatment of Diabetic Foot Ulcers</t>
  </si>
  <si>
    <t>Omeza, LLC</t>
  </si>
  <si>
    <t>NCT04864054</t>
  </si>
  <si>
    <t>GPC3-Targeted T-Cell Therapy (ECT204) in Adults With Advanced HCC</t>
  </si>
  <si>
    <t>NCT04786574</t>
  </si>
  <si>
    <t>A Study to See if Tolvaptan Can Delay Dialysis in Infants and Children Who at Enrollment Are 28 Days to Less Than 12 Weeks Old With Autosomal Recessive Polycystic Kidney Disease (ARPKD)</t>
  </si>
  <si>
    <t>NCT05199818</t>
  </si>
  <si>
    <t>Buccal Film vs IV Palonosetron for Prevention of CINV in Cancer Patients Receiving MEC</t>
  </si>
  <si>
    <t>NCT05153317</t>
  </si>
  <si>
    <t>Evaluation of Long-term Safety and Efficacy of ELX/TEZ/IVA in Cystic Fibrosis (CF) Participants 2 Years and Older</t>
  </si>
  <si>
    <t>NCT05411913</t>
  </si>
  <si>
    <t>Topical CBD for Musculoskeletal Pain</t>
  </si>
  <si>
    <t>Apothyx, Co.</t>
  </si>
  <si>
    <t>NCT05137717</t>
  </si>
  <si>
    <t>A Study of Maribavir in Japanese People With Cytomegalovirus (CMV) Infection</t>
  </si>
  <si>
    <t>NCT04449250</t>
  </si>
  <si>
    <t>Fed-Fast Crossover Study to Assess the Effect of Food With CTx-1301 in Healthy Subjects</t>
  </si>
  <si>
    <t>Cingulate Therapeutics</t>
  </si>
  <si>
    <t>NCT06124573</t>
  </si>
  <si>
    <t>Bioequivalence Study of Sitagliptin Hydrochloride / Metformin Hydrochloride Extended-release Film Coated Tablets 100 mg /1000 mg (FDC) in Healthy Adult Male and Female Subjects Under Fed Conditions.</t>
  </si>
  <si>
    <t>Galenicum Health</t>
  </si>
  <si>
    <t>NCT05387083</t>
  </si>
  <si>
    <t>A Human Tick Kill Study to Investigate the Safety, Tolerability, and Whole Blood Concentration of TP-05</t>
  </si>
  <si>
    <t>NCT05501327</t>
  </si>
  <si>
    <t>Dose Regimen Study of SLI-F06 in Healthy Volunteers</t>
  </si>
  <si>
    <t>Scarless Laboratories, Inc.</t>
  </si>
  <si>
    <t>NCT05349435</t>
  </si>
  <si>
    <t>A Healthy Volunteer Study to Compare Fezagepras (PBI-4050) With Sodium Phenylbutyrate</t>
  </si>
  <si>
    <t>NCT05548491</t>
  </si>
  <si>
    <t>Safety, Tolerability and Pharmacodynamics of AZR-MD-001 in Contact Lens Discomfort (CLD)</t>
  </si>
  <si>
    <t>NCT05477160</t>
  </si>
  <si>
    <t>A Study of STAR-0215 in Healthy Adult Participants</t>
  </si>
  <si>
    <t>Astria Therapeutics, Inc.</t>
  </si>
  <si>
    <t>NCT05246982</t>
  </si>
  <si>
    <t>HLX07+HLX10+Chemotherapy or HLX07 Monotherapy in Patients With Advanced Metastatic Gastric Cancer</t>
  </si>
  <si>
    <t>NCT05439603</t>
  </si>
  <si>
    <t>ANC-501 in the Treatment of Adults With Major Depressive Disorder</t>
  </si>
  <si>
    <t>Ancora Bio, Inc. d/b/a EmbarkNeuro, Inc.</t>
  </si>
  <si>
    <t>NCT05631327</t>
  </si>
  <si>
    <t>A JZP341 Study in Adult Participants With Advanced or Metastatic Solid Tumors</t>
  </si>
  <si>
    <t>NCT05104489</t>
  </si>
  <si>
    <t>Dose-finding Study for AdimrSC-2f Vaccine</t>
  </si>
  <si>
    <t>NCT05531097</t>
  </si>
  <si>
    <t>Ascending Single-Dose and Multiple-Dose Study to Evaluate HSK31679 in Healthy Subjects and Subjects With Elevated LDL-C</t>
  </si>
  <si>
    <t>NCT05270213</t>
  </si>
  <si>
    <t>Evaluation of RBS2418 in Subjects With Advanced, Metastatic Solid Tumors</t>
  </si>
  <si>
    <t>Riboscience, LLC.</t>
  </si>
  <si>
    <t>NCT05076760</t>
  </si>
  <si>
    <t>MEM-288 Oncolytic Virus Alone and in Combination With Standard of Care Therapy in Advanced Solid Tumors</t>
  </si>
  <si>
    <t>Memgen, Inc.</t>
  </si>
  <si>
    <t>NCT05490446</t>
  </si>
  <si>
    <t>A Study of Tebapivat (AG-946) in Participants With Anemia Due to Lower-Risk Myelodysplastic Syndromes (LR-MDS)</t>
  </si>
  <si>
    <t>NCT05503888</t>
  </si>
  <si>
    <t>Phase Ib/II Study of Almonertinib Combined With SHR-1701 in the Treatment of Relapsed or Advanced Non-small Cell Lung Cancer</t>
  </si>
  <si>
    <t>NCT05389696</t>
  </si>
  <si>
    <t>Clinical Trial to Evaluate Pharmacokinetic Characteristics of MIT-001 After SC Administration in Healthy Subjects</t>
  </si>
  <si>
    <t>NCT05063162</t>
  </si>
  <si>
    <t>A Study to Evaluate the Efficacy and Safety of Rozanolixizumab in Adult Participants With Myelin Oligodendrocyte Glycoprotein (MOG) Antibody-associated Disease (MOGAD)</t>
  </si>
  <si>
    <t>NCT05095727</t>
  </si>
  <si>
    <t>A Study of mRNA-3745 in Adult and Pediatric Participants With Glycogen Storage Disease Type 1a (GSD1a)</t>
  </si>
  <si>
    <t>NCT05552950</t>
  </si>
  <si>
    <t>The Efficacy and Safety of BioBlock® Intranasally Administered Virus-Neutralizing Bovine Colostrum Nasal Spray in Preventing of COVID-19 (Coronavirus Disease-19) Infection in Healthy Volunteer Individuals</t>
  </si>
  <si>
    <t>Chemi-Pharm AS</t>
  </si>
  <si>
    <t>NCT05121480</t>
  </si>
  <si>
    <t>A Study Investigating the Effect of EDP1815 in the Treatment of Mild, Moderate and Severe Atopic Dermatitis</t>
  </si>
  <si>
    <t>NCT06003088</t>
  </si>
  <si>
    <t>Relative Bioavailability and Pharmacodynamics of HSK7653 in Healthy Volunteers</t>
  </si>
  <si>
    <t>NCT05594927</t>
  </si>
  <si>
    <t>Icaritin Soft Capsule Versus Huachansu Tablet in the First-line Treatment of Unresectable Hepatocellular Carcinoma With Poor Conditions and Biomarker Enrichment (Biomarker Enrichment Study of Poor Prognosis HCC Patients, BESTPOP)</t>
  </si>
  <si>
    <t>Beijing Shenogen Biomedical Co., Ltd</t>
  </si>
  <si>
    <t>NCT05060029</t>
  </si>
  <si>
    <t>A Pilot Study to Evaluate the Efficacy and Safety of Lactobacillus Species Suppositories on Vaginal Health and pH</t>
  </si>
  <si>
    <t>NCT05387239</t>
  </si>
  <si>
    <t>Safety and Effectiveness of VL-PX10 + VL-P22 Treatment on Pulmonary Fibrosis Secondary to Covid-19</t>
  </si>
  <si>
    <t>Vitti Labs, LLC</t>
  </si>
  <si>
    <t>NCT05679401</t>
  </si>
  <si>
    <t>A Study With Imlifidase in Anti-GBM Disease</t>
  </si>
  <si>
    <t>NCT05134012</t>
  </si>
  <si>
    <t>RAdiolabeled Perfusion to Identify Coronary Artery Disease Using WAter To Evaluate Responses of Myocardial FLOW (RAPID-WATER-FLOW)</t>
  </si>
  <si>
    <t>MedTrace Pharma A/S</t>
  </si>
  <si>
    <t>NCT05280067</t>
  </si>
  <si>
    <t>ZETAMET™ BONE GRAFT IN THE REPAIR OF BONE DEFECTS FROM METASTATIC BREAST CANCER IN VERTEBRAL BONES</t>
  </si>
  <si>
    <t>Zetagen Therapeutics, Inc</t>
  </si>
  <si>
    <t>NCT06003530</t>
  </si>
  <si>
    <t>Study for Treatment of Chronic Diabetic Foot Ulcers With the Investigational Allogeneic Cell Therapy Product, hOMSC200</t>
  </si>
  <si>
    <t>Cytora Ltd.</t>
  </si>
  <si>
    <t>NCT05159700</t>
  </si>
  <si>
    <t>A Phase I Study, Evaluating the Safety, Pharmacokinetics and Efficacy of PRJ1-3024 in Subjects With Advanced Solid Tumors</t>
  </si>
  <si>
    <t>Zhuhai Yufan Biotechnologies Co., Ltd</t>
  </si>
  <si>
    <t>NCT05597462</t>
  </si>
  <si>
    <t>Impact of DFD-29 on Microbial Flora of Healthy, Adult Human Subjects When Administered Over 16 Weeks</t>
  </si>
  <si>
    <t>Journey Medical Corporation</t>
  </si>
  <si>
    <t>NCT05032066</t>
  </si>
  <si>
    <t>A Multicenter Trial to Evaluate the Efficacy, Safety and Tolerability of HZN-825 in Subjects With Idiopathic Pulmonary Fibrosis</t>
  </si>
  <si>
    <t>NCT05150496</t>
  </si>
  <si>
    <t>Immunogenicity and Safety Study of the 3rd Booster Dose Using the High or Medium Dose of Inactivated (CoronaVac®) Vaccine in Healthy Adults in Turkey</t>
  </si>
  <si>
    <t>NCT05238441</t>
  </si>
  <si>
    <t>A Phase II Clinical Trial to Evaluate the Immunogenicity and Safety of SCTV01E in Population Aged ≥18 Years Previously Fully Vaccinated With mRNA COVID-19 Vaccine</t>
  </si>
  <si>
    <t>NCT04444245</t>
  </si>
  <si>
    <t>Ovarian Rejuvenation Using Platelet Rich Plasma (PRP) &amp; Autologous Tissue Stromal Vascular Fraction (tSVF) and Cell Enriched tSVF</t>
  </si>
  <si>
    <t>NCT05554237</t>
  </si>
  <si>
    <t>A Study to Learn About the Study Medicine Called CTB+AVP in Healthy Adult People.</t>
  </si>
  <si>
    <t>NCT05464030</t>
  </si>
  <si>
    <t>Anti-CEACAM5 ADC M9140 in Advanced Solid Tumors (PROCEADE-CRC-01)</t>
  </si>
  <si>
    <t>NCT05505877</t>
  </si>
  <si>
    <t>Phase I/IIa Study of BR790 in Combination With Tislelizumab in Adult Subjects With Advanced Solid Tumors</t>
  </si>
  <si>
    <t>Shanghai Gopherwood Biotech Co., Ltd.</t>
  </si>
  <si>
    <t>NCT04667039</t>
  </si>
  <si>
    <t>Efficacy, Safety, pharmacokinetiсs, Immunogenicity of GNR-067 and Lucentis®</t>
  </si>
  <si>
    <t>NCT05489744</t>
  </si>
  <si>
    <t>Human Mass Balance and Biotransformation Study of [14C]Afuresertib</t>
  </si>
  <si>
    <t>NCT04621331</t>
  </si>
  <si>
    <t>Investigating the Efficacy, Safety and PK of Roxadustat (FG-4592) for Treatment of Anemia in Pediatric Patients With CKD</t>
  </si>
  <si>
    <t>NCT05294172</t>
  </si>
  <si>
    <t>KL-A167 Injection Combined With Cisplatin and Gemcitabine vs Placebo Combined With Cisplatin and Gemcitabine in the Treatment of Recurrent or Metastatic Nasopharyngeal Carcinoma</t>
  </si>
  <si>
    <t>NCT05470101</t>
  </si>
  <si>
    <t>A PET Study Following a Single Oral Dose of ITI-333 in Healthy Subjects</t>
  </si>
  <si>
    <t>NCT05217901</t>
  </si>
  <si>
    <t>A Study to Learn How [14C]ASP0367 is Processed by the Body in Healthy Men</t>
  </si>
  <si>
    <t>NCT05673057</t>
  </si>
  <si>
    <t>Study of MP0533 in Patients Acute Myeloid Leukemia or Myelodysplastic Syndrome</t>
  </si>
  <si>
    <t>NCT05244057</t>
  </si>
  <si>
    <t>A Study of Hepalatide Combined With TAF and PEG-IFN as Finite Treatment of Chronic Hepatitis B Patients</t>
  </si>
  <si>
    <t>NCT04873765</t>
  </si>
  <si>
    <t>Biosimilarity Study of Subcutaneous Pegfilgrastim in Healthy Volunteers</t>
  </si>
  <si>
    <t>Megalabs</t>
  </si>
  <si>
    <t>NCT05108623</t>
  </si>
  <si>
    <t>A Study Investigating agenT-797 in Participants With Relapsed/Refractory Solid Tumors</t>
  </si>
  <si>
    <t>NCT06850922</t>
  </si>
  <si>
    <t>A Study to Evaluate the Safety, Tolerability, Pharmacokinetics, and Efficacy of RO7446603 Administered Alone or in Combination With Aflibercept or Faricimab in Participants With Diabetic Macular Edema</t>
  </si>
  <si>
    <t>NCT05203822</t>
  </si>
  <si>
    <t>Tepotinib Drug-Drug Interaction Study With Itraconazole in Healthy Participants</t>
  </si>
  <si>
    <t>NCT05688605</t>
  </si>
  <si>
    <t>A Study of MRG003 in the Treatment of Patients With EGFR-positive Advanced or Metastatic Solid Tumors</t>
  </si>
  <si>
    <t>NCT06909877</t>
  </si>
  <si>
    <t>Study to Evaluate Efficacy and Safety of HH2853 in Relapsed/Refractory Peripheral T-cell Lymphoma</t>
  </si>
  <si>
    <t>NCT05348577</t>
  </si>
  <si>
    <t>Study of Capivasertib + Docetaxel vs Placebo + Docetaxel as Treatment for Metastatic Castration Resistant Prostate Cancer (mCRPC)</t>
  </si>
  <si>
    <t>NCT04925570</t>
  </si>
  <si>
    <t>The Anchor Study: Digitally Delivered Intervention for Reducing Problematic Substance Use</t>
  </si>
  <si>
    <t>NCT05419401</t>
  </si>
  <si>
    <t>A Study to Investigate the Absolute Bioavailability, Absorption, Metabolism, Distribution and Excretion of [14C]AZD5363 (Capivasertib)</t>
  </si>
  <si>
    <t>NCT05168202</t>
  </si>
  <si>
    <t>A Study to Assess the Effect of CC-95251 in Participants With Acute Myeloid Leukemia and Myelodysplastic Syndromes</t>
  </si>
  <si>
    <t>NCT05372653</t>
  </si>
  <si>
    <t>A Long-term Trial of OPA-15406 in Infants With Atopic Dermatitis</t>
  </si>
  <si>
    <t>NCT05178901</t>
  </si>
  <si>
    <t>A Phase 1 Study to Evaluate Safety &amp; Immunogenicity of RVSV-Nipah Virus Vaccine Candidate PHV02 in Healthy Adult Subjects</t>
  </si>
  <si>
    <t>Public Health Vaccines LLC</t>
  </si>
  <si>
    <t>NCT05413369</t>
  </si>
  <si>
    <t>iGlarLixi vs IDegAsp in Chinese Participants After OAD(s)</t>
  </si>
  <si>
    <t>NCT05565729</t>
  </si>
  <si>
    <t>A Phase I Study of LY3471851 in Healthy Participants</t>
  </si>
  <si>
    <t>NCT05339802</t>
  </si>
  <si>
    <t>A Phase Ⅱ Clinical Study of 9MW1411 Injection in Acute Bacterial Skin and Skin Structure Infections</t>
  </si>
  <si>
    <t>NCT05458128</t>
  </si>
  <si>
    <t>A Long-Term Safety and Effectiveness Study to Evaluate Pitolisant in Adult Patients With Idiopathic Hypersomnia</t>
  </si>
  <si>
    <t>NCT05262595</t>
  </si>
  <si>
    <t>A Study to Look at How Insulin NNC0471-0119 Works in the Body in People With Type 1 Diabetes When Injected by Insulin Pump</t>
  </si>
  <si>
    <t>NCT04895410</t>
  </si>
  <si>
    <t>Study to Assess Adverse Events and Change in Disease Activity of Intravenous (IV) Lemzoparlimab With or Without Oral/IV Dexamethasone and in Combination With Oral/IV/Subcutaneous Anti-Myeloma Regimens in Adult Participants With Multiple Myeloma</t>
  </si>
  <si>
    <t>NCT05322720</t>
  </si>
  <si>
    <t>HR Positive, HER2 Negative Advanced Breast Cancer With Progression After Endocrine Therapy</t>
  </si>
  <si>
    <t>Taizhou EOC Pharma Co., Ltd.</t>
  </si>
  <si>
    <t>NCT05521256</t>
  </si>
  <si>
    <t>A Research Study of a New Medicine NNC0113-6856 in Healthy Males</t>
  </si>
  <si>
    <t>NCT05266729</t>
  </si>
  <si>
    <t>Determine the Dosing Interval and Optimal Dose of AYP-101 for the Reduction of Submental Fat in Chin Area</t>
  </si>
  <si>
    <t>AMIpharm Co., Ltd.</t>
  </si>
  <si>
    <t>NCT05324137</t>
  </si>
  <si>
    <t>A Study of CM326 in Patients With Chronic Rhinosinusitis With Nasal Polyps</t>
  </si>
  <si>
    <t>NCT05323045</t>
  </si>
  <si>
    <t>A First-in-human Dose-escalation and Expansion Study With the Antibody-drug Conjugate BYON3521</t>
  </si>
  <si>
    <t>NCT05316259</t>
  </si>
  <si>
    <t>A Food-Effect Study of BPI-16350 in Healthy Subjects</t>
  </si>
  <si>
    <t>NCT05480462</t>
  </si>
  <si>
    <t>Immunogenicity and Safety of Vaccine Against Tetanus and Diphtheria.</t>
  </si>
  <si>
    <t>IBSS Biomed S.A.</t>
  </si>
  <si>
    <t>NCT05333588</t>
  </si>
  <si>
    <t>The Safety Study of Autologous TILs Therapy for Patients With Glioblastoma Multiforme.</t>
  </si>
  <si>
    <t>NCT05101369</t>
  </si>
  <si>
    <t>A Study Assessing the Mass Balance, Pharmacokinetics, and Metabolite Profiles of a Single Oral Dose of [14C]-INCB086550</t>
  </si>
  <si>
    <t>NCT05291520</t>
  </si>
  <si>
    <t>A Study to Investigate the Safety and Pharmacokinetics of a Single Dose of VH3810109 (Also Known as GSK3810109), Administered Either Subcutaneously (SC) With rHuPH20 or Intravenously (IV), in Healthy Adult Participants</t>
  </si>
  <si>
    <t>NCT05288166</t>
  </si>
  <si>
    <t>A Study of Abemaciclib (LY2835219) With Abiraterone in Men With Prostate Cancer That Has Spread to Other Parts of the Body and is Expected to Respond to Hormonal Treatment (Metastatic Hormone-Sensitive Prostate Cancer)</t>
  </si>
  <si>
    <t>NCT05123586</t>
  </si>
  <si>
    <t>A IMMA Master Protocol: A Study of LY3361237 in Participants With at Least Moderately Active Systemic Lupus Erythematosus</t>
  </si>
  <si>
    <t>NCT05544929</t>
  </si>
  <si>
    <t>A Study of Safety and Efficacy of KFA115 Alone and in Combo With Pembrolizumab in Patients With Select Advanced Cancers</t>
  </si>
  <si>
    <t>NCT05397171</t>
  </si>
  <si>
    <t>A First-in-human Study to Evaluate the Safety and Tolerability of AZD8853 in Participants With Selected Advanced/Metastatic Solid Tumours</t>
  </si>
  <si>
    <t>NCT05562219</t>
  </si>
  <si>
    <t>QA108 Phase II Study in Subjects With Intermediate Age-Related Macular Degeneration</t>
  </si>
  <si>
    <t>NCT05386030</t>
  </si>
  <si>
    <t>Saypha® VOLUME Lidocaine for Midface Augmentation</t>
  </si>
  <si>
    <t>NCT05217667</t>
  </si>
  <si>
    <t>Study of ARO-ANG3 in Participants With Homozygous Familial Hypercholesterolemia (HOFH)</t>
  </si>
  <si>
    <t>NCT05459844</t>
  </si>
  <si>
    <t>A Study Comparing Treatment With Lutetium[177Lu] Oxodotreotide Injection to Octreotide LAR in Patients With GEP-NETs</t>
  </si>
  <si>
    <t>NCT05519839</t>
  </si>
  <si>
    <t>A Study to Evaluate the Safety and Immunogenicity of COVID-19 and Influenza Combination Vaccine</t>
  </si>
  <si>
    <t>NCT05605119</t>
  </si>
  <si>
    <t>First in Human, Dose Escalation, Dose Expansion Study of AUR105</t>
  </si>
  <si>
    <t>NCT05410145</t>
  </si>
  <si>
    <t>A Study of D3S-001 Monotherapy or Combination Therapy in Subjects With Advanced Solid Tumors With a KRAS p.G12C Mutation</t>
  </si>
  <si>
    <t>D3 Bio (Wuxi) Co., Ltd</t>
  </si>
  <si>
    <t>NCT05480436</t>
  </si>
  <si>
    <t>Immunogenicity and Safety of BBIBP-Corv Coadministered With PPV23 and IIV4 in Hemodialysis Population</t>
  </si>
  <si>
    <t>NCT05778877</t>
  </si>
  <si>
    <t>A Study to Evaluate the Safety, Tolerability, and Pharmacodynamics of SEL-302 in Pediatric Subjects With MMA</t>
  </si>
  <si>
    <t>Selecta Biosciences, Inc.</t>
  </si>
  <si>
    <t>NCT06137703</t>
  </si>
  <si>
    <t>A Study to Learn About the Study Medication, Zavegepant, in Healthy Volunteers</t>
  </si>
  <si>
    <t>NCT05185622</t>
  </si>
  <si>
    <t>A Study to Assess Vamorolone in Boys Ages 2 to &lt;4 Years and 7 to &lt;18 Years With Duchenne Muscular Dystrophy (DMD)</t>
  </si>
  <si>
    <t>Santhera Pharmaceuticals</t>
  </si>
  <si>
    <t>NCT05183139</t>
  </si>
  <si>
    <t>A Multicenter In-class Transition Study of Ixazomib Combined With Pomalidomide and Dexamethasone or With Lenalidomide and Dexamethasone in Adults With Relapsed/Refractory Multiple Myeloma</t>
  </si>
  <si>
    <t>NCT05613127</t>
  </si>
  <si>
    <t>To Evaluate the Immunogenicity and Safety of Inactivated Hepatitis A Vaccine in Healthy Children Aged From 24mons-15yrs</t>
  </si>
  <si>
    <t>Boryung Biopharma Co., Ltd.</t>
  </si>
  <si>
    <t>NCT05844956</t>
  </si>
  <si>
    <t>A Study of DZD8586 in Relapsed or Refractory B-Cell Non-Hodgkin Lymphoma (TAI-SHAN1)</t>
  </si>
  <si>
    <t>NCT05529056</t>
  </si>
  <si>
    <t>Study of Atropine Therapeutic Effect on Myopic Progression</t>
  </si>
  <si>
    <t>LitePharmTech Co., Ltd.</t>
  </si>
  <si>
    <t>NCT05165628</t>
  </si>
  <si>
    <t>Safety, Tolerability and Efficacy of CYP-006TK in Adults with Diabetic Foot Ulcers</t>
  </si>
  <si>
    <t>NCT05178836</t>
  </si>
  <si>
    <t>A Phase II Study to Evaluate the Efficacy and Safety of F520 Combined With F007 in Patients With RR DLBCL</t>
  </si>
  <si>
    <t>NCT05161936</t>
  </si>
  <si>
    <t>A Study to Evaluate Lumasiran in Adults With Recurrent Calcium Oxalate Kidney Stone Disease and Elevated Urinary Oxalate Levels</t>
  </si>
  <si>
    <t>NCT05457257</t>
  </si>
  <si>
    <t>Clinical Study to Assess the Efficacy and Safety of Olaparib in Chinese Patients With Metastatic Castration-Resistant Prostate Cancer Who Have Failed Prior Treatment With a New Hormonal Agent and Have BRCA1/2 Mutations</t>
  </si>
  <si>
    <t>NCT05071430</t>
  </si>
  <si>
    <t>Safety and Efficacy of HB-1 for Panic Disorder</t>
  </si>
  <si>
    <t>HB BioTech, LLC</t>
  </si>
  <si>
    <t>NCT05514444</t>
  </si>
  <si>
    <t>Study of MK-4464 as Monotherapy and in Combination With Pembrolizumab in Participants With Advanced/Metastatic Solid Tumors (MK-4464-001)</t>
  </si>
  <si>
    <t>NCT05238337</t>
  </si>
  <si>
    <t>A Phase 1 Study of the Absorption, Metabolism, and Excretion of [14C] PBI-200</t>
  </si>
  <si>
    <t>NCT05276830</t>
  </si>
  <si>
    <t>An Efficacy, and Safety Study Of BXCL501 For The Treatment Of Agitation Associated With Dementia</t>
  </si>
  <si>
    <t>NCT05462132</t>
  </si>
  <si>
    <t>Safety, Tolerability and Pharmacodynamics of SYNB1353 in Healthy Adult Volunteers</t>
  </si>
  <si>
    <t>NCT05544552</t>
  </si>
  <si>
    <t>Safety and Preliminary Anti-Tumor Activity of TYRA-300 in Advanced Urothelial Carcinoma and Other Solid Tumors With FGFR3 Gene Alterations</t>
  </si>
  <si>
    <t>Tyra Biosciences, Inc</t>
  </si>
  <si>
    <t>NCT05136664</t>
  </si>
  <si>
    <t>Trial Evaluating the Efficacy and Safety of Patiromer in Chinese Subjects</t>
  </si>
  <si>
    <t>Vifor Fresenius Medical Care Renal Pharma</t>
  </si>
  <si>
    <t>NCT05375838</t>
  </si>
  <si>
    <t>A Safety, Reactogenicity, and Immunogenicity Study of mRNA-1073 (COVID-19/Influenza) Vaccine in Adults 18 to 75 Years Old</t>
  </si>
  <si>
    <t>NCT05599945</t>
  </si>
  <si>
    <t>First Human Dose Trial for a New Medication to Potentially Treat Liver Diseases</t>
  </si>
  <si>
    <t>NCT05533372</t>
  </si>
  <si>
    <t>MAD Study of IA-14069</t>
  </si>
  <si>
    <t>NCT05504395</t>
  </si>
  <si>
    <t>A Pharmacokinetic and Safety Study of CSTI-500 in Subjects With Prader-Willi Syndrome</t>
  </si>
  <si>
    <t>ConSynance Therapeutics</t>
  </si>
  <si>
    <t>NCT05678881</t>
  </si>
  <si>
    <t>Safety, Tolerability, and Efficacy of RLS103 in a Clinical Model of Photosensitive Epilepsy</t>
  </si>
  <si>
    <t>Receptor Life Sciences</t>
  </si>
  <si>
    <t>NCT03926819</t>
  </si>
  <si>
    <t>A Study to Assess the Safety and Pharmacokinetics of HBI-002, an Oral Carbon Monoxide Therapeutic, in Healthy Volunteers</t>
  </si>
  <si>
    <t>Hillhurst Biopharmaceuticals, Inc.</t>
  </si>
  <si>
    <t>NCT05298592</t>
  </si>
  <si>
    <t>A Study of BMS-986406 as Monotherapy and Combination Therapies in Participants With Advanced Tumors</t>
  </si>
  <si>
    <t>NCT05523687</t>
  </si>
  <si>
    <t>AME Study of [14C]-PC14586 in Healthy Male Participants</t>
  </si>
  <si>
    <t>NCT05137314</t>
  </si>
  <si>
    <t>Study in Patients Undergoing Debridement, Antibiotics, and Implant Retention (DAIR) for Treatment of a Periprosthetic Joint Infection (PJI) Occurring After Total Knee Arthroplasty (TKA)</t>
  </si>
  <si>
    <t>Peptilogics</t>
  </si>
  <si>
    <t>NCT05273749</t>
  </si>
  <si>
    <t>A Phase 3 Study to Evaluate the Efficacy and Safety of TNX-102 SL Taken Daily in Patients With Fibromyalgia</t>
  </si>
  <si>
    <t>NCT05579977</t>
  </si>
  <si>
    <t>Trial to Learn About the Study Medicine (PF-07081532) and Rybelsus in People With Type 2 Diabetes and Separately PF-07081532 in People With Obesity</t>
  </si>
  <si>
    <t>NCT05232175</t>
  </si>
  <si>
    <t>Clinical Study of ALT-BB4 to Determine Tolerance, Safety and Pharmacokinetics in Healthy Volunteer</t>
  </si>
  <si>
    <t>NCT05491330</t>
  </si>
  <si>
    <t>Bioequivalence Study of Nirmatrelvir &amp; Ritonavir From Copaxid 150 +100 mg Tablets (Eva Pharma, Egypt) Versus Paxlovid 150 + 100 mg Film Coated Tablets (Pfizer Europe, Belgium)</t>
  </si>
  <si>
    <t>NCT05223660</t>
  </si>
  <si>
    <t>A Phase I Pharmacokinetics Study for KT07 Capsule</t>
  </si>
  <si>
    <t>Yiling Pharmaceutical Inc.</t>
  </si>
  <si>
    <t>NCT04496479</t>
  </si>
  <si>
    <t>Allogenic Hepatocyte Transplantation Into Periduodenal Lymph Nodes</t>
  </si>
  <si>
    <t>LyGenesis, Inc.</t>
  </si>
  <si>
    <t>NCT05243680</t>
  </si>
  <si>
    <t>An Open-Label Extension Study of GSK3511294 (Depemokimab) in Participants Who Were Previously Enrolled in 206713 (NCT04719832) or 213744 (NCT04718103)</t>
  </si>
  <si>
    <t>NCT05114746</t>
  </si>
  <si>
    <t>Study of 177Lu-PSMA-617 In Metastatic Castrate-Resistant Prostate Cancer in Japan</t>
  </si>
  <si>
    <t>NCT05162768</t>
  </si>
  <si>
    <t>Study to Evaluate Efficacy and Safety of Elamipretide in Subjects With Primary Mitochondrial Disease From Nuclear DNA Mutations (nPMD)</t>
  </si>
  <si>
    <t>Stealth BioTherapeutics Inc.</t>
  </si>
  <si>
    <t>NCT05370235</t>
  </si>
  <si>
    <t>A Study to Evaluate the Safety and Efficacy of Afamelanotide in Patients With Xeroderma Pigmentosum C and V</t>
  </si>
  <si>
    <t>NCT05623189</t>
  </si>
  <si>
    <t>HTD1801 in Adults With Nonalcoholic Steatohepatitis and Liver Fibrosis Who Have Type 2 Diabetes or Pre-Diabetes</t>
  </si>
  <si>
    <t>NCT05504213</t>
  </si>
  <si>
    <t>A Phase Ib Study of HS-10352 Plus Fulvestrant in Patients With Advanced Breast Cancer</t>
  </si>
  <si>
    <t>NCT05321082</t>
  </si>
  <si>
    <t>A Study to Find Out Whether BI 1015550 Improves Lung Function in People With Progressive Fibrosing Interstitial Lung Diseases (PF-ILDs)</t>
  </si>
  <si>
    <t>NCT05653479</t>
  </si>
  <si>
    <t>Safety and Blood Levels After a Single Injection of UPB-101 in Healthy Japanese and Non-Japanese Non-East Asian Adults</t>
  </si>
  <si>
    <t>Upstream Bio Inc.</t>
  </si>
  <si>
    <t>NCT05292950</t>
  </si>
  <si>
    <t>Study of ARO-MUC5AC in Healthy Subjects and Patients With Muco-Obstructive Lung Disease</t>
  </si>
  <si>
    <t>NCT05336279</t>
  </si>
  <si>
    <t>Bioequivalence Study of Famitinib Malate in Healthy Volunteers Under Fasting Condition</t>
  </si>
  <si>
    <t>NCT05256108</t>
  </si>
  <si>
    <t>Assessment of Abuse Potential of Cebranopadol in Humans</t>
  </si>
  <si>
    <t>Tris Pharma, Inc.</t>
  </si>
  <si>
    <t>NCT05378425</t>
  </si>
  <si>
    <t>A Study of NTX-1088, a Monoclonal Antibody Targeting the Poliovirus Receptor (PVR, CD155), as Monotherapy and Combined With Pembrolizumab</t>
  </si>
  <si>
    <t>Nectin Therapeutics Ltd</t>
  </si>
  <si>
    <t>NCT05621525</t>
  </si>
  <si>
    <t>Phase I Study of the BBP-398 in Patients With Advance Solid Tumors</t>
  </si>
  <si>
    <t>NCT05564117</t>
  </si>
  <si>
    <t>Research Study Looking at How Well Semaglutide Tablets Taken Once Daily Work in People Who Have a Body Weight Above the Healthy Range</t>
  </si>
  <si>
    <t>NCT05388760</t>
  </si>
  <si>
    <t>Tralokinumab Monotherapy for Children With Moderate-to-severe Atopic Dermatitis - TRAPEDS 1 (TRAlokinumab PEDiatric Trial no. 1)</t>
  </si>
  <si>
    <t>NCT05592262</t>
  </si>
  <si>
    <t>Pharmacokinetic Test of High-fat Diet After Oral Administration of SHR2554 in Healthy Subjects</t>
  </si>
  <si>
    <t>NCT05226923</t>
  </si>
  <si>
    <t>Study of the Safety and Pharmacokinetics of KSP-1007 Alone and Coadministered With Meropenem in Healthy Subjects</t>
  </si>
  <si>
    <t>Sumitovant Biopharma, Inc.</t>
  </si>
  <si>
    <t>NCT05314517</t>
  </si>
  <si>
    <t>A Study to Assess the Efficacy and Safety of Namilumab in Participants With Chronic Pulmonary Sarcoidosis</t>
  </si>
  <si>
    <t>NCT05213624</t>
  </si>
  <si>
    <t>A Study to Test BI 764198 in People With a Type of Kidney Disease Called Focal Segmental Glomerulosclerosis</t>
  </si>
  <si>
    <t>NCT05323435</t>
  </si>
  <si>
    <t>Immunogenicity and Safety Study of Recombinant Two-Component COVID-19 Vaccine (CHO Cell)(ReCOV)</t>
  </si>
  <si>
    <t>NCT05222425</t>
  </si>
  <si>
    <t>Treatment of Non-severe Covid-19 Outpatients With Xagrotin, Phase 3</t>
  </si>
  <si>
    <t>NCT05247489</t>
  </si>
  <si>
    <t>A Study to Evaluate the Safety and Efficacy of Ruxolitinib Cream With Phototherapy in Participants With Vitiligo</t>
  </si>
  <si>
    <t>NCT05227118</t>
  </si>
  <si>
    <t>Elpipodect (MK-8189) Safety and Tolerability in Participants With Alzheimer's Disease With or Without Symptoms of Agitation-Aggression and/or Psychosis (MK-8189-017)</t>
  </si>
  <si>
    <t>NCT05393895</t>
  </si>
  <si>
    <t>An Evaluation of the Safety of CSF-1 in Presbyopic Subjects</t>
  </si>
  <si>
    <t>NCT05223101</t>
  </si>
  <si>
    <t>A Bioequivalence Study Between Telmione 80 mg and Micardis 80 mg in Healthy Adult Volunteers</t>
  </si>
  <si>
    <t>NCT06258330</t>
  </si>
  <si>
    <t>Study of AM003 in Patients With Locally Advanced and Metastatic Solid Tumors</t>
  </si>
  <si>
    <t>Aummune Ltd.</t>
  </si>
  <si>
    <t>NCT05151328</t>
  </si>
  <si>
    <t>Efficacy and Safety of Plecanatide Comparing With Placebo in the Treatment of Functional Constipation</t>
  </si>
  <si>
    <t>NCT05238207</t>
  </si>
  <si>
    <t>A Study to Evaluate BBI-001 in Hereditary Haemochromatosis (HH) Patients and Iron Deficient Volunteers</t>
  </si>
  <si>
    <t>Bond Biosciences</t>
  </si>
  <si>
    <t>NCT04500834</t>
  </si>
  <si>
    <t>Metal Panel Allergen Patch Test Study</t>
  </si>
  <si>
    <t>Allerderm</t>
  </si>
  <si>
    <t>NCT05154630</t>
  </si>
  <si>
    <t>Study on Tolerability and Pharmacokinetics of TQB2858 Injection in Subjects With Advanced Malignant Tumors</t>
  </si>
  <si>
    <t>NCT05109728</t>
  </si>
  <si>
    <t>A Dose Finding Study of [177Lu]Lu-DOTA-TATE in Newly Diagnosed Glioblastoma in Combination With Standard of Care and in Recurrent Glioblastoma as a Single Agent.</t>
  </si>
  <si>
    <t>NCT05480501</t>
  </si>
  <si>
    <t>Clinical Trial to Evaluate the Safety and Efficacy of IM19 CAR-T Cells in Patients With Relapsed and Refractory (R/R) B-cell Acute Lymphoblastic Leukemia</t>
  </si>
  <si>
    <t>NCT05611671</t>
  </si>
  <si>
    <t>A Study to Evaluate MORF-057 in Adults With Moderately to Severely Active UC</t>
  </si>
  <si>
    <t>NCT05390528</t>
  </si>
  <si>
    <t>A Study Evaluating the Safety, Tolerability, Pharmacokinetic and Efficacy of HLX301(TIGIT×PDL1 Bispecific) in Locally Advanced/Metastatic Solid Tumors or Lymphoma</t>
  </si>
  <si>
    <t>NCT05150457</t>
  </si>
  <si>
    <t>Safety and Preliminary Efficacy of BNA035 in Patients With Advanced Solid Tumors</t>
  </si>
  <si>
    <t>Binacea Pharma, Inc.</t>
  </si>
  <si>
    <t>NCT05518201</t>
  </si>
  <si>
    <t>Evaluate the Safety and Immunogenicity of a 9-valent HPV Vaccine in Chinese Healthy Male Aged 9-45 Year-old</t>
  </si>
  <si>
    <t>NCT05281471</t>
  </si>
  <si>
    <t>Efficacy &amp; Safety of Olvi-Vec and Platinum-doublet + Bevacizumab Compared to Physician's Choice of Chemotherapy and Bevacizumab in Platinum-Resistant/Refractory Ovarian Cancer (PRROC) (OnPrime, GOG-3076)</t>
  </si>
  <si>
    <t>Genelux Corporation</t>
  </si>
  <si>
    <t>NCT04701281</t>
  </si>
  <si>
    <t>Study of Intra-Arterial Oxaliplatin Plus Capecitabine to Treat Liver Metastases From Colorectal Cancer</t>
  </si>
  <si>
    <t>AllVascular</t>
  </si>
  <si>
    <t>NCT05501912</t>
  </si>
  <si>
    <t>A Study of ABM-1310 in Patients With BRAF V600-Mutant Advanced Solid Tumors</t>
  </si>
  <si>
    <t>ABM Therapeutics Shanghai Company Limited</t>
  </si>
  <si>
    <t>NCT05203172</t>
  </si>
  <si>
    <t>The FLOTILLA Study: Providing Continued Access to The Study Medicines Encorafenib and Binimetinib for Participants in Prior Clinical Trials</t>
  </si>
  <si>
    <t>NCT05484401</t>
  </si>
  <si>
    <t>Ibuprofen Liquid Capsules 2 x 200 mg Efficacy and PK/PD Study in Surgical Removal of Impacted Third Molars</t>
  </si>
  <si>
    <t>NCT05458219</t>
  </si>
  <si>
    <t>A First-in-human Study of IBI343 in Subjects With Locally Advanced Unresectable or Metastatic Solid Tumors</t>
  </si>
  <si>
    <t>NCT05196711</t>
  </si>
  <si>
    <t>A Study to Evaluate the Safety of MAX-40070 in Healthy Subjects</t>
  </si>
  <si>
    <t>NCT04769895</t>
  </si>
  <si>
    <t>MaaT013 As Salvage Therapy in Ruxolitinib Refractory GI-aGVHD Patients</t>
  </si>
  <si>
    <t>NCT05594875</t>
  </si>
  <si>
    <t>A Trial of SHR-A1921 for Injection in Subjects With Advanced Solid Tumors</t>
  </si>
  <si>
    <t>NCT05133336</t>
  </si>
  <si>
    <t>Saroglitazar Magnesium for Treatment of Primary Biliary Cholangitis</t>
  </si>
  <si>
    <t>NCT04677972</t>
  </si>
  <si>
    <t>SPI-1005 for the Treatment of Meniere's Disease</t>
  </si>
  <si>
    <t>NCT06367712</t>
  </si>
  <si>
    <t>Letrozole Alone Protocol Versus Using Letrozole and HCG Protocol</t>
  </si>
  <si>
    <t>NCT05255601</t>
  </si>
  <si>
    <t>A Study to Evaluate the Safety, Tolerability, Drug Levels, and Preliminary Efficacy of Relatlimab Plus Nivolumab in Pediatric and Young Adults With Hodgkin and Non-Hodgkin Lymphoma</t>
  </si>
  <si>
    <t>NCT05262400</t>
  </si>
  <si>
    <t>A Study to Learn About the Study Medicine (Called PF-07220060 in Combination With PF-07104091) In Participants With Breast Cancer and Solid Tumors</t>
  </si>
  <si>
    <t>NCT05495581</t>
  </si>
  <si>
    <t>A Study About How ASP5354 Affects the Body in Healthy Adults and in Adults Whose Kidneys do Not Work Well</t>
  </si>
  <si>
    <t>NCT05543330</t>
  </si>
  <si>
    <t>A Phase Ib/II Clinical Trial of M701 in the Treatment of Malignant Pleural Effusions Caused by NSCLC</t>
  </si>
  <si>
    <t>NCT05956691</t>
  </si>
  <si>
    <t>AllerPops Reduce Nasal Symptoms in Adult Volunteers With Allergic Rhinitis</t>
  </si>
  <si>
    <t>AllerPops Corp</t>
  </si>
  <si>
    <t>NCT05652660</t>
  </si>
  <si>
    <t>A Study to Understand the Effect of a Study Medicine Called ARV-471 on Rosuvastatin in Healthy Adults</t>
  </si>
  <si>
    <t>NCT04908176</t>
  </si>
  <si>
    <t>A Drug-drug Interaction Study of Avapritinib and Midazolam</t>
  </si>
  <si>
    <t>NCT05420324</t>
  </si>
  <si>
    <t>A Study to Assess YH003 in Combination with Pebolizumab and Albumin Paclitaxel Injection in Subjects with Unresectable/metastatic Mucosal Melanoma</t>
  </si>
  <si>
    <t>NCT05276076</t>
  </si>
  <si>
    <t>A Prospective, Open Label, Dose-escalation, SAD/MAD, Multicenter, 24weeks, Phase I/IIa Clinical Trial to Evaluate the Safety, Tolerability and Pharmacodynamics of Investigational Product (VM-001) in Patients With Graft-versus-host Disease(GvHD)</t>
  </si>
  <si>
    <t>ViGenCell Inc.</t>
  </si>
  <si>
    <t>NCT05440097</t>
  </si>
  <si>
    <t>CARE FOR ALL：an Evaluation of an Asthma QIP</t>
  </si>
  <si>
    <t>NCT05437510</t>
  </si>
  <si>
    <t>Study of a Single Intramuscular Dose of Nirsevimab in the Prevention of Hospitalizations Due to Respiratory Syncytial Virus (RSV) Infection in Healthy Term and Preterm Infants During the First Year of Life</t>
  </si>
  <si>
    <t>NCT05206513</t>
  </si>
  <si>
    <t>Study to Assess the Efficacy, Safety, and Tolerability of Valbenazine for the Treatment of Dyskinesia Due to Cerebral Palsy</t>
  </si>
  <si>
    <t>NCT05388435</t>
  </si>
  <si>
    <t>Safety, Tolerability, PK/PD &amp; Preliminary Efficacy of SKL27969 in Advanced Solid Tumors Patients</t>
  </si>
  <si>
    <t>NCT05513976</t>
  </si>
  <si>
    <t>Clinical Study of SHR4640 Tablets Combined With Febuxostat Tablets in the Treatment of Primary Gout and Hyperuricemia</t>
  </si>
  <si>
    <t>NCT05341089</t>
  </si>
  <si>
    <t>A Study of Two Different Formulations of LY3502970 in Healthy Participants</t>
  </si>
  <si>
    <t>NCT05361174</t>
  </si>
  <si>
    <t>A Study to Investigate the Efficacy and Safety of an Infusion of IOV-4001 in Adult Participants With Unresectable or Metastatic Melanoma or Stage III or IV Non-small-cell Lung Cancer</t>
  </si>
  <si>
    <t>NCT05262491</t>
  </si>
  <si>
    <t>A Study of BL-B01D1 in Patients With Locally Advanced or Metastatic Gastrointestinal Tumor and Other Solid Tumor</t>
  </si>
  <si>
    <t>NCT05496465</t>
  </si>
  <si>
    <t>Safety and Efficacy of Intranasal Epinephrine After Administration of ARS -1 in Subjects With Frequent Urticaria Flares</t>
  </si>
  <si>
    <t>NCT05348200</t>
  </si>
  <si>
    <t>Safety and Efficacy of CITI-002 in Adult Patients With Moderate Grade Hemorrhoids</t>
  </si>
  <si>
    <t>Citius Pharmaceuticals, Inc.</t>
  </si>
  <si>
    <t>NCT05461209</t>
  </si>
  <si>
    <t>A Study of Comparing Talquetamab to Belantamab Mafodotin in Participants With Relapsed/Refractory Multiple Myeloma</t>
  </si>
  <si>
    <t>NCT05298644</t>
  </si>
  <si>
    <t>COVID-19 Paediatric VLA2001-321 Study</t>
  </si>
  <si>
    <t>NCT05657834</t>
  </si>
  <si>
    <t>Open-label Study of the Absorption, Metabolism, and Excretion of [14C]TVB-2640 Following a Single Oral Dose in Healthy Male Subjects</t>
  </si>
  <si>
    <t>NCT05738993</t>
  </si>
  <si>
    <t>A Double-Blind, Comparative, Randomized Clinical Study of the Pharmacokinetics, Safety, and Immunogenicity of a Single Intravenous Infusion of BCD-178 or Perjeta® in Healthy Volunteers</t>
  </si>
  <si>
    <t>NCT05347004</t>
  </si>
  <si>
    <t>A Study in Healthy People to Test How BI 425809 is Taken up in the Body When Taken With or Without Food</t>
  </si>
  <si>
    <t>NCT05206604</t>
  </si>
  <si>
    <t>A First-in-human Study of Multiple Doses of Topically Administered PF-07295324 and PF-07259955</t>
  </si>
  <si>
    <t>NCT05120271</t>
  </si>
  <si>
    <t>BOXR1030 T Cells in Subjects With Advanced GPC3-Positive Solid Tumors</t>
  </si>
  <si>
    <t>Sotio Biotech Inc.</t>
  </si>
  <si>
    <t>NCT07215806</t>
  </si>
  <si>
    <t>Effect of Evobrutinib on Pharmacokinetics of a Combined Oral Contraceptive</t>
  </si>
  <si>
    <t>NCT05661747</t>
  </si>
  <si>
    <t>Dental Appliance to Treat SDB in Children</t>
  </si>
  <si>
    <t>Vivos BioTechnologies, Inc.</t>
  </si>
  <si>
    <t>NCT05432193</t>
  </si>
  <si>
    <t>FAPi Radioligand OpeN-Label, Phase 1 Study to Evaluate Safety, Tolerability and DosImetry of [Lu-177]-PNT6555; A Dose Escalation Study for TReatment of Patients With Select Solid Tumors (FRONTIER)</t>
  </si>
  <si>
    <t>NCT05576584</t>
  </si>
  <si>
    <t>Safety, Tolerability and Pharmacokinetic Characteristics Evaluation on GST-HG121 Tablets</t>
  </si>
  <si>
    <t>Fujian Akeylink Biotechnology Co., Ltd.</t>
  </si>
  <si>
    <t>NCT05531149</t>
  </si>
  <si>
    <t>Efficacy and Safety of Trimodulin (BT588) in Subjects With CAP Including COVID-19 Pneumonia</t>
  </si>
  <si>
    <t>NCT05550532</t>
  </si>
  <si>
    <t>A Study of Aticaprant 10 Milligrams (mg) as Adjunctive Therapy in Adult Participants With MDD With Moderate-to-severe Anhedonia and Inadequate Response to Current Antidepressant Therapy</t>
  </si>
  <si>
    <t>NCT05529316</t>
  </si>
  <si>
    <t>A Study of Botensilimab (AGEN1181) for the Treatment of Advanced Melanoma</t>
  </si>
  <si>
    <t>NCT07116863</t>
  </si>
  <si>
    <t>A Multicenter, Randomized, Double-Blind Phase 3 Trial of KDF1901 in Patients With Essential Hypertension</t>
  </si>
  <si>
    <t>Kyungdong Pharmaceutical Co., Ltd.</t>
  </si>
  <si>
    <t>NCT05247658</t>
  </si>
  <si>
    <t>Use of a Disk of Amniotic Membrane (Visio-AMTRIX) in Postoperative Care After PKR</t>
  </si>
  <si>
    <t>NCT05450198</t>
  </si>
  <si>
    <t>Multiple Rising Dose Study of MK-6194 in Participants With Atopic Dermatitis (MK-6194-008)</t>
  </si>
  <si>
    <t>NCT07040826</t>
  </si>
  <si>
    <t>Lifitegrast Eye Drops in Healthy Subjects：Phase I Study</t>
  </si>
  <si>
    <t>NCT05607199</t>
  </si>
  <si>
    <t>A First in Human Study of AUR 103 Calcium to Evaluate Safety, Pharmacokinetics and Pharmacodynamics</t>
  </si>
  <si>
    <t>NCT05304663</t>
  </si>
  <si>
    <t>Safety and Efficacy of Different Administration Sequences of L19TNF With Lomustine in Glioblastoma at First Progression</t>
  </si>
  <si>
    <t>NCT05528315</t>
  </si>
  <si>
    <t>SAD/MAD of ABX-002-1902 Investigating the Safety, Pharmacokinetics/Pharmacodynamics of in Healthy Subjects</t>
  </si>
  <si>
    <t>Autobahn Therapeutics, Inc.</t>
  </si>
  <si>
    <t>NCT05246514</t>
  </si>
  <si>
    <t>A Single Arm Phase 2 Study to Evaluate Efficacy and Safety of Trastuzumab Deruxtecan for Patients With HER2 Mutant NSCLC</t>
  </si>
  <si>
    <t>NCT05665647</t>
  </si>
  <si>
    <t>Drug-Drug Interaction Study of Itraconazole, Rifampicin and Midazolam With SIM0417/Ritonavir in Healthy Participants</t>
  </si>
  <si>
    <t>NCT05174806</t>
  </si>
  <si>
    <t>Multi-center Study to Assess Safety, Tolerability and Efficacy of Topical Pravibismane in Moderate DFI Patients</t>
  </si>
  <si>
    <t>Microbion Corporation</t>
  </si>
  <si>
    <t>NCT05294458</t>
  </si>
  <si>
    <t>A Randomised, Open-Label Study to Evaluate the Relative and Absolute Bioavailability of Cotadutide in Healthy Subjects</t>
  </si>
  <si>
    <t>NCT05287126</t>
  </si>
  <si>
    <t>A Study to Evaluate Etrasimod Treatment in Adolescents With Ulcerative Colitis</t>
  </si>
  <si>
    <t>NCT04634747</t>
  </si>
  <si>
    <t>Phase 2 Study to Evaluate PVX-410 + Pembrolizumab + Chemotherapy for Metastatic, PD-L1+ Triple-Negative Breast Cancer</t>
  </si>
  <si>
    <t>OncoPep, Inc.</t>
  </si>
  <si>
    <t>NCT05084508</t>
  </si>
  <si>
    <t>A Study on the Immune Response and Safety of Various Potencies of an Investigational Chickenpox Vaccine Compared With a Marketed Chickenpox Vaccine, Given to Healthy Children 12 to 15 Months of Age</t>
  </si>
  <si>
    <t>NCT05325346</t>
  </si>
  <si>
    <t>A Phase I Study of the Co-administration of VLX-1005 and Argatroban in Healthy Human Subjects</t>
  </si>
  <si>
    <t>NCT05509868</t>
  </si>
  <si>
    <t>Study of PBK_L1704 for the Treatment of Moderate to Severe Acute Pain After Bunionectomy in South Korea</t>
  </si>
  <si>
    <t>Pharmbio Korea Co., Ltd.</t>
  </si>
  <si>
    <t>NCT05521191</t>
  </si>
  <si>
    <t>A Study of RGLS8429 in Patients With Autosomal Dominant Polycystic Kidney Disease</t>
  </si>
  <si>
    <t>NCT05227196</t>
  </si>
  <si>
    <t>A Research Study Looking at the Comparability of 2 Different Forms of Oral Semaglutide in Healthy People</t>
  </si>
  <si>
    <t>NCT05552196</t>
  </si>
  <si>
    <t>A Study of Ponesimod in Healthy Adult Participants</t>
  </si>
  <si>
    <t>NCT05367388</t>
  </si>
  <si>
    <t>A Study Comparing Two Different Capsules, APL-101 and PLB-1001 Capsules, in Healthy Chinese and Caucasian Participants</t>
  </si>
  <si>
    <t>NCT05455320</t>
  </si>
  <si>
    <t>A Study Comparing Talquetamab in Combination With Daratumumab or in Combination With Daratumumab and Pomalidomide Versus Daratumumab in Combination With Pomalidomide and Dexamethasone in Participants With Multiple Myeloma That Returns After Treatment or is Resistant to Treatment</t>
  </si>
  <si>
    <t>NCT05567796</t>
  </si>
  <si>
    <t>A Research Study to See How Well CagriSema Helps People With Excess Body Weight Lose Weight</t>
  </si>
  <si>
    <t>NCT05223179</t>
  </si>
  <si>
    <t>Intramuscular CodaVax-H1N1 in Healthy Adults</t>
  </si>
  <si>
    <t>NCT05284760</t>
  </si>
  <si>
    <t>A Study of Soticlestat Tablets in Healthy Adults</t>
  </si>
  <si>
    <t>NCT05318820</t>
  </si>
  <si>
    <t>A Clinical Study to Evaluate the Pharmacokinetics and Bioequivalence of HMPL-523 Tablets Produced by Two Different Manufacturers</t>
  </si>
  <si>
    <t>NCT05039359</t>
  </si>
  <si>
    <t>Flecainide Acetate Inhalation Solution for Cardioversion of Recent-Onset, Symptomatic Atrial Fibrillation</t>
  </si>
  <si>
    <t>InCarda Therapeutics, Inc.</t>
  </si>
  <si>
    <t>NCT05037162</t>
  </si>
  <si>
    <t>Study Designed to Evaluate the Effect of CimetrA in Patients Diagnosed With COVID-19</t>
  </si>
  <si>
    <t>NCT05047250</t>
  </si>
  <si>
    <t>A Study of Atezolizumab in High PD-L1 Expression, Chemotherapy-Naïve Patients With Stage IV Non-Squamous or Squamous Non-Small Cell Lung Cancer</t>
  </si>
  <si>
    <t>NCT05032690</t>
  </si>
  <si>
    <t>Evaluation of the Relative Bioavailability of Bosutinib Capsules Under Fed Condition and Estimation of Food Effect on Orally Administered Bosutinib Capsule</t>
  </si>
  <si>
    <t>NCT07231068</t>
  </si>
  <si>
    <t>A Dose-escalation and Dose-expansion Phase I/Phase II Clinical Study of Dositinib Mesylate Tablets (90-1408) in the Treatment of Locally Advanced or Metastatic Non-small Cell Lung Cancer With Positive EGFR Mutation</t>
  </si>
  <si>
    <t>NCT05652335</t>
  </si>
  <si>
    <t>A Study of JNJ-79635322 in Participants With Relapsed or Refractory Multiple Myeloma or Previously Treated Amyloid Light-chain (AL) Amyloidosis</t>
  </si>
  <si>
    <t>NCT06225635</t>
  </si>
  <si>
    <t>A Phase 1 Study to Evaluate the Safety and Pharmacokinetics of Ezerosu Tab</t>
  </si>
  <si>
    <t>NCT05504239</t>
  </si>
  <si>
    <t>Clinical Efficacy and Safety Evaluation of Teneligliptin in Type 2 Diabetes Who Have Inadequate GlycemIc Control With Empaglyflozin and Metformin</t>
  </si>
  <si>
    <t>NCT06411275</t>
  </si>
  <si>
    <t>A Phase 2 Study of Berberine Ursodeoxycholate (HTD1801) in Patients With Type 2 Diabetes Inadequately Controlled With Diet and Exercise</t>
  </si>
  <si>
    <t>NCT05220293</t>
  </si>
  <si>
    <t>Treatment of Eosinophilic Chronic Rhinosinusitis Utilizing Betamethasone Dipropionate Nasal Cream</t>
  </si>
  <si>
    <t>Oticara Australia PTY LTD</t>
  </si>
  <si>
    <t>NCT05630547</t>
  </si>
  <si>
    <t>A Study to Evaluate the Effect of SAR443820 on Serum Neurofilament Levels in Male and Female Adult Participants With Multiple Sclerosis</t>
  </si>
  <si>
    <t>NCT05688280</t>
  </si>
  <si>
    <t>Intratumoral Injection of IP-001 Following Thermal Ablation in Patients With CRC, NSCLC, and STS</t>
  </si>
  <si>
    <t>Immunophotonics, Inc.</t>
  </si>
  <si>
    <t>NCT04928846</t>
  </si>
  <si>
    <t>A Study to Assess Disease Activity and Adverse Events of Intravenous (IV) Telisotuzumab Vedotin Compared to IV Docetaxel in Adult Participants With Previously Treated Non-Squamous Non-Small Cell Lung Cancer (NSCLC)</t>
  </si>
  <si>
    <t>NCT05264506</t>
  </si>
  <si>
    <t>Contraceptive Efficacy and Safety of NOMAC-E2 Combined Oral Contraceptive</t>
  </si>
  <si>
    <t>NCT04983446</t>
  </si>
  <si>
    <t>In-patient COVID-19 Study of Intranasal Foralumab</t>
  </si>
  <si>
    <t>NCT05557942</t>
  </si>
  <si>
    <t>Inhaled Imatinib Pulmonary Arterial Hypertension Clinical Trial - Follow Up Long Term Extension (IMPAHCT-FUL)</t>
  </si>
  <si>
    <t>NCT05212701</t>
  </si>
  <si>
    <t>To Assess Efficacy and Safety of Oral Reparixin in Patients With Fatigue and Locally Advanced / Metastatic Breast Cancer</t>
  </si>
  <si>
    <t>NCT05602129</t>
  </si>
  <si>
    <t>A Clinical Study to Evaluate the Efficacy, Safety and PK/PD Profiles of Anticoagulation of HSK36273 for Injection in Continuous Renal Replacement Therapy Subjects</t>
  </si>
  <si>
    <t>NCT04707131</t>
  </si>
  <si>
    <t>A Study of Single Ascending Dose of LEM-S401 in Healthy Participants</t>
  </si>
  <si>
    <t>Lemonex Inc.</t>
  </si>
  <si>
    <t>NCT05329194</t>
  </si>
  <si>
    <t>Effectiveness and Safety Study of Tezepelumab in Adults &amp; Adolescent Participants With Severe Asthma in the United States</t>
  </si>
  <si>
    <t>NCT05255822</t>
  </si>
  <si>
    <t>INNA-051 Influenza Challenge Study</t>
  </si>
  <si>
    <t>ENA Respiratory Pty Ltd</t>
  </si>
  <si>
    <t>NCT05462353</t>
  </si>
  <si>
    <t>Study to Evaluate the Safety, Tolerability, and Efficacy of ASC41 Tablets in Adult Patients With NASH</t>
  </si>
  <si>
    <t>NCT05267769</t>
  </si>
  <si>
    <t>Clinical Trial on Pharmacokinetics and Tolerability of AP707</t>
  </si>
  <si>
    <t>NCT05345769</t>
  </si>
  <si>
    <t>Safety and Efficacy of AM712 in Patients with NAMD</t>
  </si>
  <si>
    <t>AffaMed Therapeutics Limited</t>
  </si>
  <si>
    <t>NCT03631771</t>
  </si>
  <si>
    <t>Pediatric Risk of Hypothyroidism With Iodinated Contrast Media</t>
  </si>
  <si>
    <t>NCT05525455</t>
  </si>
  <si>
    <t>TT-816 As Monotherapy or in Combination with a PD-1 Inhibitor in Patients with Advanced Cancers (SEABEAM) (MK3475-E88)</t>
  </si>
  <si>
    <t>Teon Therapeutics, Inc.</t>
  </si>
  <si>
    <t>NCT05651178</t>
  </si>
  <si>
    <t>Human CD19-CD22 Targeted T Cells Injection for Refractory/Relapsed Central Nervous System Leukemia/Lymphoma Patients</t>
  </si>
  <si>
    <t>NCT05170958</t>
  </si>
  <si>
    <t>A Phase I/II Clinical Study of LBL-024 in Patients With Advanced Malignant Tumors</t>
  </si>
  <si>
    <t>NCT05849558</t>
  </si>
  <si>
    <t>Study to Compare the Efficacy &amp; Safety of Ursoplus Capsules vs. UDCA vs. Placebo Among Chronic Liver Disease Patients</t>
  </si>
  <si>
    <t>NCT05413135</t>
  </si>
  <si>
    <t>Study of ARO-APOC3 in Adults With Dyslipidemia</t>
  </si>
  <si>
    <t>NCT05525715</t>
  </si>
  <si>
    <t>A Study of QY201 Tablet in Subjects With Moderate to Severe Atopic Dermatitis</t>
  </si>
  <si>
    <t>E-nitiate Biopharmaceuticals (Hangzhou) Co., Ltd.</t>
  </si>
  <si>
    <t>NCT05279235</t>
  </si>
  <si>
    <t>Efficacy and Safety of JT001 (VV116) Compared With Favipiravir</t>
  </si>
  <si>
    <t>Shanghai Vinnerna Biosciences Co., Ltd.</t>
  </si>
  <si>
    <t>NCT05590884</t>
  </si>
  <si>
    <t>Gadopiclenol Pharmacokinetics, Safety and Efficacy in Children &lt; 2 Years of Age</t>
  </si>
  <si>
    <t>NCT05138133</t>
  </si>
  <si>
    <t>Phase 3 Study of Anifrolumab in Adult Patients With Active Proliferative Lupus Nephritis</t>
  </si>
  <si>
    <t>NCT05185843</t>
  </si>
  <si>
    <t>A Study of Olezarsen (Formerly Known as AKCEA-APOCIII-LRX) Administered to Adults With Familial Chylomicronemia Syndrome (FCS) Previously Treated With Volanesorsen</t>
  </si>
  <si>
    <t>NCT05275205</t>
  </si>
  <si>
    <t>Safety, Tolerability, and Efficacy Study of UBX1325 in Patients With Neovascular Age-Related Macular Degeneration (ENVISION)</t>
  </si>
  <si>
    <t>NCT05107856</t>
  </si>
  <si>
    <t>PRT1419 as Monotherapy or in Combination With Azacitidine or Venetoclax in R/R Myeloid or B-cell Malignancies</t>
  </si>
  <si>
    <t>NCT04769869</t>
  </si>
  <si>
    <t>A Clinical Trial in Healthy Volunteers and Patients With Mild Asthma to Investigate a New Medicine (AZD4604) for the Treatment of Asthma</t>
  </si>
  <si>
    <t>NCT05533294</t>
  </si>
  <si>
    <t>Study of ARO-RAGE in Healthy Subjects</t>
  </si>
  <si>
    <t>NCT05222802</t>
  </si>
  <si>
    <t>A Study to Evaluate ERAS-801 in Patients With Recurrent Glioblastoma (THUNDERBBOLT-1)</t>
  </si>
  <si>
    <t>Katmai Pharmaceuticals Inc.</t>
  </si>
  <si>
    <t>NCT05559541</t>
  </si>
  <si>
    <t>Study of AK119 Combined With AK104 in Patients With Advanced Solid Tumors</t>
  </si>
  <si>
    <t>NCT05489094</t>
  </si>
  <si>
    <t>The Impact of Nutrition Education and Milk Provision in Fueling the Progress of 1 - 3 Years Old Children</t>
  </si>
  <si>
    <t>Danone Specialized Nutrition Indonesia</t>
  </si>
  <si>
    <t>NCT05481151</t>
  </si>
  <si>
    <t>A Study to Assess Efficacy, Safety, and Tolerability of P1101 in Adult Patients With PV</t>
  </si>
  <si>
    <t>NCT05084053</t>
  </si>
  <si>
    <t>A Study of TAK-771 in Japanese Participants With Chronic Inflammatory Demyelinating Polyradiculoneuropathy (CIDP) and Multifocal Motor Neuropathy (MMN)</t>
  </si>
  <si>
    <t>NCT05130866</t>
  </si>
  <si>
    <t>Efficacy and Safety of REC-2282 in Patients With Progressive Neurofibromatosis Type 2 (NF2) Mutated Meningiomas</t>
  </si>
  <si>
    <t>Recursion Pharmaceuticals Inc.</t>
  </si>
  <si>
    <t>NCT05121402</t>
  </si>
  <si>
    <t>Safety and Efficacy Study of TLL018 in the Treatment of Ulcerative Colitis</t>
  </si>
  <si>
    <t>NCT05407766</t>
  </si>
  <si>
    <t>Mesenchymal Stem Cells (MSCs) for Perianal Fistula</t>
  </si>
  <si>
    <t>Ossium Health, Inc.</t>
  </si>
  <si>
    <t>NCT05773937</t>
  </si>
  <si>
    <t>A Clinical Study of 9MW2821 in Advanced Malignant Solid Tumors</t>
  </si>
  <si>
    <t>NCT05258591</t>
  </si>
  <si>
    <t>Post-stroke Motor Rehabilitation Using Functional Near-infrared Spectroscopy-based Brain-computer-interface</t>
  </si>
  <si>
    <t>Axem Neurotechnology Inc.</t>
  </si>
  <si>
    <t>NCT05127590</t>
  </si>
  <si>
    <t>RBN-2397 in Combination With Pembrolizumab in Patients With SCCL</t>
  </si>
  <si>
    <t>Ribon Therapeutics, Inc.</t>
  </si>
  <si>
    <t>NCT05620823</t>
  </si>
  <si>
    <t>A Study to Evaluate the Efficacy and Safety of Povorcitinib (INCB054707) in Participants With Moderate to Severe Hidradenitis Suppurativa</t>
  </si>
  <si>
    <t>NCT04647240</t>
  </si>
  <si>
    <t>MTX-001 for the Treatment of Non-Healing Venous Stasis Ulcers</t>
  </si>
  <si>
    <t>Merakris Therapeutics</t>
  </si>
  <si>
    <t>NCT05304910</t>
  </si>
  <si>
    <t>A Study Investigating the Movement of Lu AG09222 Into, Through, and Out of the Body of Healthy Caucasian, Chinese, and Japanese Participants</t>
  </si>
  <si>
    <t>NCT05067582</t>
  </si>
  <si>
    <t>A 12-Week Crossover Study to Assess the Efficacy, Safety and Tolerability of L1-79 in Subjects Aged 12-21 Years With Autism Spectrum Disorder</t>
  </si>
  <si>
    <t>Yamo Pharmaceuticals LLC</t>
  </si>
  <si>
    <t>NCT05505097</t>
  </si>
  <si>
    <t>Safety and Pharmacokinetics of Dioxidin, Solution for Topical and External Use, 0.25 mg/ml and Dioxidin, Solution for Infusion and External Use, 5 mg/ml in Healthy Volunteers</t>
  </si>
  <si>
    <t>NCT05497297</t>
  </si>
  <si>
    <t>A Study to Evaluate the Pharmacokinetics of HSK7653 in Subjects With Renal Impairment</t>
  </si>
  <si>
    <t>NCT05355818</t>
  </si>
  <si>
    <t>Efficacy and Safety of Delgocitinib Cream in Adolescents 12-17 Years of Age With Moderate to Severe Chronic Hand Eczema</t>
  </si>
  <si>
    <t>NCT05459285</t>
  </si>
  <si>
    <t>A Pharmacokinetic Study Comparing the 14028 Injection and TRULICITY® in Healthy Chinese Subjects</t>
  </si>
  <si>
    <t>NCT05642585</t>
  </si>
  <si>
    <t>A Study of Single-dose MY008211A in Healthy Adults</t>
  </si>
  <si>
    <t>Wuhan Createrna Science and Technology Co., Ltd</t>
  </si>
  <si>
    <t>NCT07282054</t>
  </si>
  <si>
    <t>Efficacy and Safety of THDB0206 Compared to Insulin Lispro Injection in Participants With Type 1 Diabetes</t>
  </si>
  <si>
    <t>NCT05379829</t>
  </si>
  <si>
    <t>A Research Study of How the Medicine Ziltivekimab Works in the Body of Chinese Men and Women With Kidney Disease and Inflammation</t>
  </si>
  <si>
    <t>NCT05279131</t>
  </si>
  <si>
    <t>A Study to Evaluate the Safety and Tolerability of Tirbanibulin Ointment 1% in Adult Participants With Actinic Keratosis</t>
  </si>
  <si>
    <t>NCT05489237</t>
  </si>
  <si>
    <t>First-in-human Study of IDRX-42 in Participants With Metastatic and/or Unresectable Gastrointestinal Stromal Tumors</t>
  </si>
  <si>
    <t>IDRX, Inc., a wholly owned subsidiary of GSK, LLC</t>
  </si>
  <si>
    <t>NCT05638737</t>
  </si>
  <si>
    <t>A Study in Participants With Non-cirrhotic NASH With Fibrosis</t>
  </si>
  <si>
    <t>NCT05241873</t>
  </si>
  <si>
    <t>(Concerto) Study of BLU-451 in Advanced Cancers With EGFR Exon 20 Insertion Mutations</t>
  </si>
  <si>
    <t>NCT05156983</t>
  </si>
  <si>
    <t>A Study of TAK-330 to Reverse the Effects of Factor Xa Inhibitors For Adults Needing Urgent Surgery</t>
  </si>
  <si>
    <t>NCT05613205</t>
  </si>
  <si>
    <t>Safety and Immunogenicity of a Novel Conjugate Vaccine Against Salmonella Typhi and Salmonella Paratyphi A in Healthy Adults</t>
  </si>
  <si>
    <t>NCT05600231</t>
  </si>
  <si>
    <t>A Study of Virtually Supervised Mouth Rinses and Flossing</t>
  </si>
  <si>
    <t>NCT05121831</t>
  </si>
  <si>
    <t>A First in Human Study to Assess the Safety, Tolerability, and Pharmacokinetics of DGX-001</t>
  </si>
  <si>
    <t>Digestome Therapeutics</t>
  </si>
  <si>
    <t>NCT04675931</t>
  </si>
  <si>
    <t>To Evaluate Efficacy, Safety, Tolerability and PK of Intravenous Cipargamin in Participants With Severe Plasmodium Falciparum Malaria</t>
  </si>
  <si>
    <t>NCT05439629</t>
  </si>
  <si>
    <t>Efficacy Evaluation Study of BAT5906 and Lucentis® in Patients With Macular Degeneration</t>
  </si>
  <si>
    <t>NCT06136754</t>
  </si>
  <si>
    <t>Investigate a Varnish to Protect From Erosive Toothwear</t>
  </si>
  <si>
    <t>NCT05519865</t>
  </si>
  <si>
    <t>A Study of Tucidinostat Combined With Tislelizumab as First-line Treatment in Advanced NSCLC</t>
  </si>
  <si>
    <t>NCT05523167</t>
  </si>
  <si>
    <t>A Study to Investigate the Efficacy and Safety of Efgartigimod PH20 SC in Adult Participants With Active Idiopathic Inflammatory Myopathy.</t>
  </si>
  <si>
    <t>NCT05301764</t>
  </si>
  <si>
    <t>A Study of LVGN6051 Combined With Anlotinib in Patient With Soft Tissue Sarcoma</t>
  </si>
  <si>
    <t>NCT04586244</t>
  </si>
  <si>
    <t>An Umbrella Study to Determine the Safety and Efficacy of Various Monotherapy or Combination Therapies in Neoadjuvant Urothelial Carcinoma</t>
  </si>
  <si>
    <t>NCT05254171</t>
  </si>
  <si>
    <t>Study of Nab-Paclitaxel and Gemcitabine With or Without SBP-101 in Pancreatic Cancer</t>
  </si>
  <si>
    <t>Panbela Therapeutics, Inc.</t>
  </si>
  <si>
    <t>NCT05605197</t>
  </si>
  <si>
    <t>U87 CART in Treatment of Advanced Solid Tumor</t>
  </si>
  <si>
    <t>NCT05195723</t>
  </si>
  <si>
    <t>Study to Assess the Safety and Pharmacokinetics of WP1122 in Healthy Volunteers</t>
  </si>
  <si>
    <t>NCT05504876</t>
  </si>
  <si>
    <t>Pharmacokinetics of Midazolam When Co-administered With HEC74647 and HEC110114</t>
  </si>
  <si>
    <t>NCT05200013</t>
  </si>
  <si>
    <t>BAT7104 in Patients With Advanced Solid Tumours</t>
  </si>
  <si>
    <t>NCT05501860</t>
  </si>
  <si>
    <t>A Safety Study of of AG-920 Sterile Topical Ophthalmic Solution</t>
  </si>
  <si>
    <t>NCT05108259</t>
  </si>
  <si>
    <t>To Compare the Pharmacokinetics and Safety of PBP1502 and Humira in Healthy Subjects</t>
  </si>
  <si>
    <t>Prestige Biopharma Limited</t>
  </si>
  <si>
    <t>NCT05408780</t>
  </si>
  <si>
    <t>A Phase 1, Two-part, Randomized Study to Evaluate the Pharmacokinetics, Safety, and Tolerability of a Liquid Formulation of Tricaprilin and Matching Placebo in Healthy Subjects</t>
  </si>
  <si>
    <t>NCT05411588</t>
  </si>
  <si>
    <t>A Study to Learn How the Study Medicine Called PF-07275315 Works in Healthy People</t>
  </si>
  <si>
    <t>NCT05507203</t>
  </si>
  <si>
    <t>ABTECT-1 - ABX464 Treatment Evaluation for Ulcerative Colitis Therapy -1</t>
  </si>
  <si>
    <t>NCT06258408</t>
  </si>
  <si>
    <t>A Phase 1 Study of BB102 in Participants With Advanced Solid Tumors</t>
  </si>
  <si>
    <t>Broadenbio Ltd., Co.</t>
  </si>
  <si>
    <t>NCT05219617</t>
  </si>
  <si>
    <t>Investigate Efficacy and Safety of Carisbamate as Adjunctive Treatment for Seizures Associated With LGS in Children and Adults</t>
  </si>
  <si>
    <t>NCT05442190</t>
  </si>
  <si>
    <t>Topical SGX302 for Mild-to-Moderate Psoriasis</t>
  </si>
  <si>
    <t>Soligenix</t>
  </si>
  <si>
    <t>NCT04182490</t>
  </si>
  <si>
    <t>LMN-101 in a Campylobacter Human Challenge Model</t>
  </si>
  <si>
    <t>NCT05430360</t>
  </si>
  <si>
    <t>Autologous Tumor-infiltrating Lymphocyte Injection (GT201) for the Treatment of Metastatic/Recurrent Advanced Solid Tumors</t>
  </si>
  <si>
    <t>NCT05360680</t>
  </si>
  <si>
    <t>A Phase 1 in Patients With HLA-A*0201+ and WT1+ Recurrent/Metastatic Cancers</t>
  </si>
  <si>
    <t>Cue Biopharma</t>
  </si>
  <si>
    <t>NCT05454098</t>
  </si>
  <si>
    <t>Clifutinib Food Effect Study in Healthy Subjects</t>
  </si>
  <si>
    <t>NCT05345691</t>
  </si>
  <si>
    <t>Comparison of Efficacy, Pharmacodynamics, Safety, and Immunogenicity Between Bmab 1000 and Prolia® in Postmenopausal Women With Osteoporosis</t>
  </si>
  <si>
    <t>Biocon Biologics UK Ltd</t>
  </si>
  <si>
    <t>NCT05405660</t>
  </si>
  <si>
    <t>A Study of CDX-0159 in Patients With Chronic Inducible Urticaria</t>
  </si>
  <si>
    <t>NCT05886660</t>
  </si>
  <si>
    <t>NCT05473624</t>
  </si>
  <si>
    <t>Study of HRS-1167 as Monotherapy in Patients With Advanced Solid Tumors</t>
  </si>
  <si>
    <t>NCT05421923</t>
  </si>
  <si>
    <t>The Pharmacokinetics (PK), Pharmacodynamics(PD), Safety, Tolerability of SR1375 in Healthy Volunteers</t>
  </si>
  <si>
    <t>NCT05667493</t>
  </si>
  <si>
    <t>An Extension Study to Assess Long-Term Safety of Eplontersen in Adults With Transthyretin-Mediated Amyloid Cardiomyopathy (ATTR-CM)</t>
  </si>
  <si>
    <t>NCT05267626</t>
  </si>
  <si>
    <t>Study of AU-007, A Monoclonal Antibody That Binds to IL-2 and Inhibits IL-2Rα Binding, in Patients With Unresectable Locally Advanced or Metastatic Cancer</t>
  </si>
  <si>
    <t>Aulos Bioscience, Inc.</t>
  </si>
  <si>
    <t>NCT05818917</t>
  </si>
  <si>
    <t>A Study to Evaluate the Safety, Tolerability, Pharmacokinetics and Preliminary Evidence of Antitumor Activity of FHND5071 as a Single Agent in Adult Patients With Advanced Solid Tumors</t>
  </si>
  <si>
    <t>NCT05396391</t>
  </si>
  <si>
    <t>A Clinical Trial to Evaluate Effect of IAP0971 in Patients With Advanced Malignant Tumors</t>
  </si>
  <si>
    <t>NCT05340790</t>
  </si>
  <si>
    <t>First in Human Study in Healthy Volunteers of Antimicrobial Peptide PL-18 Vaginal Suppositories</t>
  </si>
  <si>
    <t>Protelight Pharmaceuticals Australia PTY LTD</t>
  </si>
  <si>
    <t>NCT05193279</t>
  </si>
  <si>
    <t>Safety and Immunogenicity of SCB-2019 in Children &lt;18 Years of Age</t>
  </si>
  <si>
    <t>NCT05406362</t>
  </si>
  <si>
    <t>Assess Safety and Efficacy of VAD044 in HHT Patients</t>
  </si>
  <si>
    <t>Vaderis Therapeutics AG</t>
  </si>
  <si>
    <t>NCT05183646</t>
  </si>
  <si>
    <t>A Study of the Efficacy and Safety of DMX-200 in Patients With FSGS Who Are Receiving an ARB</t>
  </si>
  <si>
    <t>Dimerix Bioscience Pty Ltd</t>
  </si>
  <si>
    <t>NCT05372588</t>
  </si>
  <si>
    <t>Phase 3 Boosting Study for the SARS-CoV-2 rS Variant Vaccines</t>
  </si>
  <si>
    <t>NCT05446233</t>
  </si>
  <si>
    <t>ADME Study of [14C] Antaitavir Hasophate in Healthy Male Subjects</t>
  </si>
  <si>
    <t>NCT06291948</t>
  </si>
  <si>
    <t>A Clinical Study With Adalimumab Biosimilar</t>
  </si>
  <si>
    <t>Laboratorios Richmond S.A.C.I.F.</t>
  </si>
  <si>
    <t>NCT05018585</t>
  </si>
  <si>
    <t>A Phase III Study to Investigate if the Study Drug Diamyd Can Preserve Insulin Production and Improve Glycemic Control in Patients Newly Diagnosed With Type 1 Diabetes</t>
  </si>
  <si>
    <t>Diamyd Medical AB</t>
  </si>
  <si>
    <t>NCT05637515</t>
  </si>
  <si>
    <t>Hulio Interchangeability to Humira®, Comparing Pharmacokinetics, Efficacy, Safety and Immunogenicity</t>
  </si>
  <si>
    <t>Biocon Biologics Inc.</t>
  </si>
  <si>
    <t>NCT05106335</t>
  </si>
  <si>
    <t>A Study to Evaluate Camrelizumab Combined With Famitinib as Subsequent Therapy in Patients With Advanced NSCLC</t>
  </si>
  <si>
    <t>NCT05324774</t>
  </si>
  <si>
    <t>Efficacy and Safety of 9MW0813 in Subjects With Diabetic Macular Edema</t>
  </si>
  <si>
    <t>NCT05496374</t>
  </si>
  <si>
    <t>A Study to Evaluate the Efficacy, Safety, Tolerability, and Pharmacokinetics of SPR720 as Compared With Placebo for the Treatment of Participants With Mycobacterium Avium Complex (MAC) Pulmonary Disease</t>
  </si>
  <si>
    <t>NCT04011020</t>
  </si>
  <si>
    <t>Clinical Application of Stem Cell Educator Therapy in Type 1 Diabetes</t>
  </si>
  <si>
    <t>NCT03935724</t>
  </si>
  <si>
    <t>Stem Cells in Spinal Cord Injury</t>
  </si>
  <si>
    <t>NCT05403476</t>
  </si>
  <si>
    <t>A Trial to Compare Efficacy and Safety of Follitropin Delta Versus Placebo (Inactive Treatment) in the Treatment of Men With Idiopathic Infertility (Unexplained Reduction of Semen Quality) (ADAM)</t>
  </si>
  <si>
    <t>NCT05466240</t>
  </si>
  <si>
    <t>Study of AT-752 in Patients With Dengue Infection</t>
  </si>
  <si>
    <t>NCT05318040</t>
  </si>
  <si>
    <t>Safety, Tolerability and Pharmacokinetics of CMS121, a Drug Candidate for Alzheimer's Disease, in Healthy Subjects</t>
  </si>
  <si>
    <t>Virogenics, Inc.</t>
  </si>
  <si>
    <t>NCT05387668</t>
  </si>
  <si>
    <t>Safety, Tolerability, and Pharmacokinetics of BGB-23339 in Healthy Japanese and Caucasian Subjects</t>
  </si>
  <si>
    <t>NCT05290220</t>
  </si>
  <si>
    <t>HLX07 Combination Therapy or Motherapy in Patient With Advanced Hepatocellular Carcinoma</t>
  </si>
  <si>
    <t>NCT05601778</t>
  </si>
  <si>
    <t>A Study of HSK31858 in Participants with Non-Cystic Fibrosis Bronchiectasis</t>
  </si>
  <si>
    <t>NCT05309915</t>
  </si>
  <si>
    <t>A Study of STP707 Administered by IV in Healthy Subjects</t>
  </si>
  <si>
    <t>NCT05656508</t>
  </si>
  <si>
    <t>ARVAC - A New Recombinant Coronavirus Disease 2019 (COVID-19) Vaccine</t>
  </si>
  <si>
    <t>Laboratorio Pablo Cassara S.R.L.</t>
  </si>
  <si>
    <t>NCT05679908</t>
  </si>
  <si>
    <t>A Study to Evaluate the Efficacy and Safety of TNX-1900 in Patients With Chronic Migraine</t>
  </si>
  <si>
    <t>NCT05128825</t>
  </si>
  <si>
    <t>A Study of Azenosertib (ZN-c3) in Subjects With Platinum-Resistant High-Grade Serous Ovarian, Fallopian Tube or Primary Peritoneal Cancer</t>
  </si>
  <si>
    <t>NCT05198817</t>
  </si>
  <si>
    <t>A Trial of SHR-2002 Injection or Combined With Other Anti-cancer Medication in Advanced Malignant Tumors of Patients</t>
  </si>
  <si>
    <t>NCT05176691</t>
  </si>
  <si>
    <t>HMPL-760 Safety and Tolerability Study in Patients With Previously Treated CLL/SLL or NHL</t>
  </si>
  <si>
    <t>NCT05257590</t>
  </si>
  <si>
    <t>CVM-1118 in Combination With Nivolumab for Unresectable Advanced Hepatocellular Carcinoma</t>
  </si>
  <si>
    <t>NCT05109650</t>
  </si>
  <si>
    <t>Assessment of Safety and Preliminary Efficacy With BAT6026 in Solid Tumour Patients</t>
  </si>
  <si>
    <t>NCT05284890</t>
  </si>
  <si>
    <t>A Study to Evaluate the Drug Levels of [14C]CC-99677 in Healthy Male Participants</t>
  </si>
  <si>
    <t>NCT05334810</t>
  </si>
  <si>
    <t>DP303c in Patients With HER2-positive Unresectable Locally Advanced, Relapsed, or Metastaticbreast Cancer</t>
  </si>
  <si>
    <t>NCT05398510</t>
  </si>
  <si>
    <t>A Study to Evaluate the Safety, Tolerability and Pharmacokinetics Pharmacodynamics of SHR-2010 by Intravenously/Subcutaneously in Healthy Subject</t>
  </si>
  <si>
    <t>NCT05352269</t>
  </si>
  <si>
    <t>Safety and Tolerability of FMT Capsules in Healthy Volunteers</t>
  </si>
  <si>
    <t>NCT05497843</t>
  </si>
  <si>
    <t>Chiauranib for Advanced or Unresectable Soft Tissue Sarcoma(STS)</t>
  </si>
  <si>
    <t>NCT05298215</t>
  </si>
  <si>
    <t>A Study to Evaluate the Pharmacodynamics, Pharmacokinetics, Safety, and Efficacy of UB-221 IV Infusion as an add-on Therapy in Patients With Chronic Spontaneous Urticaria</t>
  </si>
  <si>
    <t>NCT05468489</t>
  </si>
  <si>
    <t>To Evaluate Efficacy and Safety of Serplulimab + Chemotherapy (Carboplatin- Etoposide) in US Patients With ES-SCLC</t>
  </si>
  <si>
    <t>NCT06984159</t>
  </si>
  <si>
    <t>The Study Will Evaluate if Leuprolide Mesylate is Safe and Effective in the Treatment of Subjects With Advanced Prostate Carcinoma, When Administered as Two Injections Six Months Apart.</t>
  </si>
  <si>
    <t>NCT05279846</t>
  </si>
  <si>
    <t>A Vehicle-controlled Study of Topical MOB015B in the Treatment of Distal Subungual Onychomycosis (DSO)</t>
  </si>
  <si>
    <t>Moberg Pharma AB</t>
  </si>
  <si>
    <t>NCT05292586</t>
  </si>
  <si>
    <t>A Study Testing the Superiority of CHF 1535 pMDI 800/24µg Total Daily Dose Compared With CHF 718 pMDI 800µg Total Daily Dose in Adults With Asthma on Medium or High-Dose Inhaled Corticosteroid</t>
  </si>
  <si>
    <t>NCT05468697</t>
  </si>
  <si>
    <t>A Study of Belzutifan (MK-6482) in Combination With Palbociclib Versus Belzutifan Monotherapy in Participants With Advanced Renal Cell Carcinoma (MK-6482-024/LITESPARK-024)</t>
  </si>
  <si>
    <t>NCT05668897</t>
  </si>
  <si>
    <t>Safety, Tolerability and Pharmacokinetic Characteristics Evaluation on GST-HG171 Tablets</t>
  </si>
  <si>
    <t>NCT05456724</t>
  </si>
  <si>
    <t>A Study to Investigate the Effect of IOP-lowering With TO-O-1001 Eye Drops in Healthy Subjects and in Patients With Open-Angle Glaucoma or Ocular Hypertension</t>
  </si>
  <si>
    <t>Theratocular Biotek Co.</t>
  </si>
  <si>
    <t>NCT04990427</t>
  </si>
  <si>
    <t>CLBS201 in Patients with Chronic Kidney Disease (CKD) and Type 2 Diabetes Mellitus (T2DM)</t>
  </si>
  <si>
    <t>NCT06595186</t>
  </si>
  <si>
    <t>JK-1201I Combined with Adjuvant Temozolomide in Patients with Newly Diagnosed Glioblastoma Multiforme (GBM)</t>
  </si>
  <si>
    <t>NCT05300269</t>
  </si>
  <si>
    <t>SHR-1701 in Combination With Chemotherapy and Radiotherapy in Locally Advanced Rectal Cancer</t>
  </si>
  <si>
    <t>NCT05222906</t>
  </si>
  <si>
    <t>Study to Evaluate the Efficacy and Safety of Venglustat in Adult and Pediatric Patients With Gaucher Disease Type 3</t>
  </si>
  <si>
    <t>NCT05487040</t>
  </si>
  <si>
    <t>A Study to Measure the Amount of Study Medicine in Blood in Adult Participants With COVID-19 and Severe Kidney Disease</t>
  </si>
  <si>
    <t>NCT05417750</t>
  </si>
  <si>
    <t>A Phase I Study of GC101 TIL in Advanced Solid Tumors</t>
  </si>
  <si>
    <t>NCT05117658</t>
  </si>
  <si>
    <t>Study of HA121-28 in Patients With Non-Small Cell Lung Cancer</t>
  </si>
  <si>
    <t>NCT05366738</t>
  </si>
  <si>
    <t>A Study to Determine the Bioavailability of Vonoprazan Sprinkle Capsules on Pudding or on Applesauce Relative to a Vonoprazan Tablet in Healthy Participants</t>
  </si>
  <si>
    <t>NCT05552508</t>
  </si>
  <si>
    <t>BURAN: Benralizumab on Airway Dynamics in Severe Eosinophilic Asthma Using Functional Respiratory Imaging</t>
  </si>
  <si>
    <t>NCT05255276</t>
  </si>
  <si>
    <t>PK Study to Assess Drug-drug Interaction Between Sitravatinib and a P-gp Inducer and an Inhibitor.</t>
  </si>
  <si>
    <t>NCT05567510</t>
  </si>
  <si>
    <t>A Study to Evaluate the Metabolism and Excretion of BMS-986369 in Healthy Male Participants</t>
  </si>
  <si>
    <t>NCT05397496</t>
  </si>
  <si>
    <t>Study of PIT565 in Relapsed and/or Refractory B-cell Malignancies</t>
  </si>
  <si>
    <t>NCT05429788</t>
  </si>
  <si>
    <t>Safety, Tolerability, and Efficacy of RLS103 in Subjects With Acute Anxiety Within Social Anxiety Disorder (SAD)</t>
  </si>
  <si>
    <t>NCT05702788</t>
  </si>
  <si>
    <t>Efficacy and Safety of Jaktinib in Participants With Severe Novel Coronavirus Pneumonia(COVID-19)</t>
  </si>
  <si>
    <t>NCT05444569</t>
  </si>
  <si>
    <t>A Study of LY3537021 in Healthy Participants</t>
  </si>
  <si>
    <t>NCT05497063</t>
  </si>
  <si>
    <t>Bioequivalence Study of Sulfadoxine/ Pyrimethamine Dispersible Tablets in Healthy Subjects Under Fasting Conditions</t>
  </si>
  <si>
    <t>NCT05102721</t>
  </si>
  <si>
    <t>Trial of Immunotherapy With Avelumab and Pepinemab As Second Line For Patients With Metastatic Pancreatic Adenocarcinoma</t>
  </si>
  <si>
    <t>NCT05312021</t>
  </si>
  <si>
    <t>Selective PDE9 Inhibition With IMR-687 in Adults With Heart Failure With Preserved Ejection Fraction</t>
  </si>
  <si>
    <t>NCT05604521</t>
  </si>
  <si>
    <t>A Phase 1 Trial of PfSPZ Vaccine in Healthy Adults to Determine Safety, Tolerability and Efficacy Against Heterologous CHMI</t>
  </si>
  <si>
    <t>NCT05317858</t>
  </si>
  <si>
    <t>Blood-brain Barrier (BBB) Opening Using Exablate Focused Ultrasound With Standard of Care Treatment of NSCLC Brain Mets</t>
  </si>
  <si>
    <t>NCT05248776</t>
  </si>
  <si>
    <t>Efficacy, Safety and Pharmacokinetics Study of CPL207280 After 2-weeks Administration in Subjects With Type 2 Diabetes</t>
  </si>
  <si>
    <t>NCT05031780</t>
  </si>
  <si>
    <t>A Study Evaluating the Efficacy and Safety of Mitapivat (AG-348) in Participants With Sickle Cell Disease (RISE UP)</t>
  </si>
  <si>
    <t>NCT05243862</t>
  </si>
  <si>
    <t>Safety and Activity of PolyPEPI1018 Plus Atezolizumab in Colorectal Cancer.</t>
  </si>
  <si>
    <t>Treos Bio Limited</t>
  </si>
  <si>
    <t>NCT05769946</t>
  </si>
  <si>
    <t>A Study of Hemay005 in Adult With Atopic Dermatitis</t>
  </si>
  <si>
    <t>Ganzhou Hemay Pharmaceutical Co., Ltd</t>
  </si>
  <si>
    <t>NCT05274269</t>
  </si>
  <si>
    <t>Evaluation of Efficacy and Safety of Elexacaftor/Tezacaftor/Ivacaftor (ELX/TEZ/IVA) in Cystic Fibrosis Subjects Without an F508del Mutation</t>
  </si>
  <si>
    <t>NCT05248646</t>
  </si>
  <si>
    <t>Trial of Sibeprenlimab in the Treatment of A Nephropathy (IgAN)</t>
  </si>
  <si>
    <t>NCT05548270</t>
  </si>
  <si>
    <t>Efficacy and Safety of DPI-386 Nasal Gel for the Prevention of Nausea and Vomiting Associated With Motion</t>
  </si>
  <si>
    <t>NCT07105124</t>
  </si>
  <si>
    <t>Safety and Tolerability, and PK of Sibeprenlimab in Chinese Healthy Subject</t>
  </si>
  <si>
    <t>NCT05335486</t>
  </si>
  <si>
    <t>Investigating RELEARN Neurofeedback as Treatment for Chronic Musculoskeletal Pain</t>
  </si>
  <si>
    <t>Redo-Neurosystems</t>
  </si>
  <si>
    <t>NCT05382286</t>
  </si>
  <si>
    <t>Study of Sacituzumab Govitecan-hziy and Pembrolizumab Versus Treatment of Physician's Choice and Pembrolizumab in Patients With Previously Untreated, Locally Advanced Inoperable or Metastatic Triple-Negative Breast Cancer</t>
  </si>
  <si>
    <t>NCT05274516</t>
  </si>
  <si>
    <t>A Trial of HRS-2261 in Healthy Subjects After Single and Multiple Oral Administration</t>
  </si>
  <si>
    <t>NCT04901078</t>
  </si>
  <si>
    <t>A Phase 1 Study Investigating the Safety, Tolerability and Pharmacokinetics of KNX100 in Healthy Volunteers</t>
  </si>
  <si>
    <t>Kinoxis Therapeutics Pty Ltd</t>
  </si>
  <si>
    <t>NCT05331885</t>
  </si>
  <si>
    <t>A Human Monoclonal Antibody Against Staphylococcus Aureus Alpha Toxin in Mechanically Ventilated Adult Subjects - 2</t>
  </si>
  <si>
    <t>Aridis Pharmaceuticals, Inc.</t>
  </si>
  <si>
    <t>NCT05274815</t>
  </si>
  <si>
    <t>Study to Evaluate Efficacy and Safety of Tezepelumab in Reducing Oral Corticosteroid Use in Adult Patients With Severe Asthma</t>
  </si>
  <si>
    <t>NCT05194540</t>
  </si>
  <si>
    <t>Efficacy and Safety of Tralokinumab Administered by an Autoinjector in Adults and Adolescents With Moderate to Severe Atopic Dermatitis (INJECZTRA)</t>
  </si>
  <si>
    <t>NCT05565768</t>
  </si>
  <si>
    <t>Study to Evaluate HZN-457 in Healthy Volunteers</t>
  </si>
  <si>
    <t>Horizon Therapeutics Ireland DAC</t>
  </si>
  <si>
    <t>NCT05406752</t>
  </si>
  <si>
    <t>Pharmacokinetic Study of Paracetamol UNIFLASH (125 MG/1.25 ML)</t>
  </si>
  <si>
    <t>NCT05237752</t>
  </si>
  <si>
    <t>A Phase Ib/II Clinical Trial to Evaluate the Safety and Efficacy of LG00034053 in Patients With Knee OA</t>
  </si>
  <si>
    <t>NCT04676048</t>
  </si>
  <si>
    <t>ASC618 Gene Therapy in Hemophilia A Patients</t>
  </si>
  <si>
    <t>ASC Therapeutics</t>
  </si>
  <si>
    <t>NCT05374785</t>
  </si>
  <si>
    <t>Efficacy and Safety Study Comparing CPL409116 to Placebo in Participants With Active Rheumatoid Arthritis</t>
  </si>
  <si>
    <t>NCT05514535</t>
  </si>
  <si>
    <t>A Research Study to Look Into How Semaglutide, Together With a Lower Dose of Insulin Glargine, Compares to a Higher Dose of Insulin Glargine Alone in People With Type 2 Diabetes (SUSTAIN OPTIMIZE)</t>
  </si>
  <si>
    <t>NCT05559476</t>
  </si>
  <si>
    <t>A Study on the Immune Response and Safety Elicited by a Vaccine Against Respiratory Syncytial Virus (RSV) When Given Alone and Together With a Vaccine Against Influenza in Adults Aged 65 Years and Above</t>
  </si>
  <si>
    <t>NCT05239806</t>
  </si>
  <si>
    <t>A Phase II Clinical Trial to Evaluate the Immunogenicity and Safety of SCTV01C and SCTV01E in Population Aged ≥12 Years Previously Fully Vaccinated With Inactivated COVID-19 Vaccine</t>
  </si>
  <si>
    <t>NCT04187547</t>
  </si>
  <si>
    <t>A Phase III Multi Regional Clinical Trial (MRCT) of Tricaprilin in Mild to Moderately Severe Probable Alzheimer's Disease With Optional Open Label Extension</t>
  </si>
  <si>
    <t>NCT05358808</t>
  </si>
  <si>
    <t>ACHIEVE - Efficacy and Effectiveness of Adoptive Cellular tHerapy wIth Ex-Vivo Expanded Allogeneic γδ T-lymphocytes (TCB008) for Patients With Refractory or Relapsed Acute Myeloid Leukaemia (AML)</t>
  </si>
  <si>
    <t>NCT05301517</t>
  </si>
  <si>
    <t>A Study to Evaluate the Efficacy and Safety of Roxadustat for the Treatment of Anemia in Participants Receiving Chemotherapy Treatment for Non-Myeloid Malignancies</t>
  </si>
  <si>
    <t>NCT05532358</t>
  </si>
  <si>
    <t>A Drug-Drug Interaction Study to Assess the CYP1A2 and CYP3A4 Interaction Potential of TEV-56286 (anle138b)</t>
  </si>
  <si>
    <t>NCT05554926</t>
  </si>
  <si>
    <t>Study of [4-14C] AEF0117 Following a Single Oral Dose in Healthy Male Subjects</t>
  </si>
  <si>
    <t>NCT05111626</t>
  </si>
  <si>
    <t>Bemarituzumab Plus Chemotherapy and Nivolumab Versus Chemotherapy and Nivolumab for FGFR2b Overexpressed Untreated Advanced Gastric and Gastroesophageal Junction Cancer.</t>
  </si>
  <si>
    <t>NCT05130021</t>
  </si>
  <si>
    <t>A Clincal Study of Max-40279-01 in Patients With Advanced Colorectal Cancer</t>
  </si>
  <si>
    <t>NCT05474755</t>
  </si>
  <si>
    <t>To Assess the Efficacy of GP681 Tablet Versus Placebo in Patients With Acute Uncomplicated Influenza Virus Infection</t>
  </si>
  <si>
    <t>NCT05305989</t>
  </si>
  <si>
    <t>Extended Treatment and Follow-up of Subjects Treated With Belumosudil in Study KD025-208 or Study KD025-213</t>
  </si>
  <si>
    <t>NCT05275010</t>
  </si>
  <si>
    <t>A Study in Healthy Male Subjects to Investigate the Comparability of Pharmacokinetics of the Fixed-Dose Combination of Pertuzumab and Trastuzumab Administered Subcutaneously Using a Handheld Syringe or Using the On-Body Delivery System</t>
  </si>
  <si>
    <t>NCT05163561</t>
  </si>
  <si>
    <t>Evaluation of Safety and Immunogenicity of Inactivated Adjuvanted Polio Vaccine in Comparison With Licensed Inactivated Poliovirus Vaccine</t>
  </si>
  <si>
    <t>NCT05622370</t>
  </si>
  <si>
    <t>An Open Label, Balanced, Randomized, 3×3 Latin Square Design Comparing of Brivaracetam Sustained-release Tablets and Brivaracetam Tablets in the Oral Comparative Pharmacokinetic(PK) Study in Chinese Healthy Adult Subjects Under Fasting Conditions.</t>
  </si>
  <si>
    <t>NCT05382104</t>
  </si>
  <si>
    <t>Maribavir Food-Effect Study in Healthy Adults Participants</t>
  </si>
  <si>
    <t>NCT05526248</t>
  </si>
  <si>
    <t>A Study Called ARAMON to Learn to What Extent Does Study Treatment With Darolutamide Affects Testosterone Levels in Men With Prostate Cancer That Had Not Been Treated With Hormonal Therapy Compared to Treatment With Enzalutamide</t>
  </si>
  <si>
    <t>NCT05669521</t>
  </si>
  <si>
    <t>Phase 2a Study to Evaluate Suppression of 5-Fluorouracil -Induced Mucositis by TK112690</t>
  </si>
  <si>
    <t>Tosk, Inc.</t>
  </si>
  <si>
    <t>NCT05164055</t>
  </si>
  <si>
    <t>Avalglucosidase Alfa French Post-trial Access for Participants With Pompe Disease (PTA Avalglucosidase)</t>
  </si>
  <si>
    <t>NCT05445232</t>
  </si>
  <si>
    <t>A Drug-Drug Interaction (DDI) Study of LY3437943 in Obese Participants</t>
  </si>
  <si>
    <t>NCT05258747</t>
  </si>
  <si>
    <t>A Crossover Bioequivalence Study of Olaparib Tablets, 150 mg (Lek Pharmaceuticals d.d.) and Lynparza® (Olaparib) Tablets 150 mg (AstraZeneca Pharmaceuticals LP), in Patients With Breast Cancer Gene (BRCA) Mutated Ovarian Cancer, Recurrent Ovarian Cancer or Metastatic Breast Cancer</t>
  </si>
  <si>
    <t>NCT06743438</t>
  </si>
  <si>
    <t>Long-term Safety and Efficacy of Tenofovir Amibufenamide in Patients With CHB</t>
  </si>
  <si>
    <t>NCT05387733</t>
  </si>
  <si>
    <t>A Study to Evaluate the Efficacy and Safety of CBL-514 in Participants With Dercum's Disease Lipomas</t>
  </si>
  <si>
    <t>NCT05112991</t>
  </si>
  <si>
    <t>Study of Envafolimab Alone or With Lenvatinib in Patients With Advanced Endometrial Cancer</t>
  </si>
  <si>
    <t>NCT05234190</t>
  </si>
  <si>
    <t>Safety and Clinical Activity of QEL-001 in A2-mismatch Liver Transplant Patients</t>
  </si>
  <si>
    <t>Quell Therapeutics Limited</t>
  </si>
  <si>
    <t>NCT05492578</t>
  </si>
  <si>
    <t>Long-Term Safety and Efficacy Evaluation of Amlitelimab in Participants of Previous Amlitelimab Moderate to Severe Atopic Dermatitis Clinical Trials</t>
  </si>
  <si>
    <t>NCT05330325</t>
  </si>
  <si>
    <t>A Research Study to Compare Somapacitan Once a Week With Norditropin® Once a Day in Children Who Need Help to Grow</t>
  </si>
  <si>
    <t>NCT05568797</t>
  </si>
  <si>
    <t>A Study on the Immune Response and Safety of a Vaccine Against Respiratory Syncytial Virus (RSV) When Given Alone or Co-administered With an Adjuvanted Vaccine Against Influenza in Adults Aged 65 Years and Above</t>
  </si>
  <si>
    <t>NCT05259033</t>
  </si>
  <si>
    <t>A Research Study to See How Well the New Weekly Medicine IcoSema, Which is a Combination of Insulin Icodec and Semaglutide, Controls Blood Sugar Level in People With Type 2 Diabetes Compared to Weekly Semaglutide (COMBINE 2)</t>
  </si>
  <si>
    <t>NCT05780515</t>
  </si>
  <si>
    <t>A Study of ANX009 in Adult Participants With Lupus Nephritis</t>
  </si>
  <si>
    <t>NCT05549297</t>
  </si>
  <si>
    <t>Tebentafusp Regimen Versus Investigator's Choice in Previously Treated Advanced Melanoma (TEBE-AM)</t>
  </si>
  <si>
    <t>NCT05270525</t>
  </si>
  <si>
    <t>Effect of Ensifentrine on Sputum Markers of Inflammation in COPD</t>
  </si>
  <si>
    <t>NCT05445076</t>
  </si>
  <si>
    <t>Study of the Efficacy, Safety, Pharmacokinetics and Pharmacodynamics of BCD-180 in Patients With Axial Spondyloarthritis</t>
  </si>
  <si>
    <t>NCT05471817</t>
  </si>
  <si>
    <t>A Study to Learn How the Study Drug Elinzanetant (BAY 3427080) Affects the Way the Drug Dabigatran Moves Into, Through and Out of the Body in Healthy Male and Female Participants</t>
  </si>
  <si>
    <t>NCT05358717</t>
  </si>
  <si>
    <t>A Study to Evaluate the Safety and Efficacy of PTC518 in Participants With Huntington's Disease (HD)</t>
  </si>
  <si>
    <t>NCT05407389</t>
  </si>
  <si>
    <t>Rollover Extension Clinical Trial To Evaluate The Long-Term Safety And Efficacy Of KT-301 (Formerly US-APR2020) In Subjects With CKD IV Completing The US-APR2020-01 Study</t>
  </si>
  <si>
    <t>NCT05147350</t>
  </si>
  <si>
    <t>Study of RP-6306 With FOLFIRI in Advanced Solid Tumors</t>
  </si>
  <si>
    <t>NCT05968118</t>
  </si>
  <si>
    <t>Angiogenesis and Blood Perfusion Effect of HGF Gene Therapy in PAD Patients</t>
  </si>
  <si>
    <t>NCT05426018</t>
  </si>
  <si>
    <t>The Efficacy and Safety of Different Doses of SY-009 in Patients With Type 2 Diabetes Mellitus</t>
  </si>
  <si>
    <t>NCT05352815</t>
  </si>
  <si>
    <t>A Research Study to See How Well the New Weekly Medicine IcoSema, Which is a Combination of Insulin Icodec and Semaglutide, Controls Blood Sugar Level in People With Type 2 Diabetes Compared to Weekly Insulin Icodec</t>
  </si>
  <si>
    <t>NCT06344715</t>
  </si>
  <si>
    <t>Phase 1 Study Evaluating Safety and Tolerability of SL-T10, GX-I7, and Pembrolizumab Triple Combination in mCRPC.</t>
  </si>
  <si>
    <t>SL VAXiGEN</t>
  </si>
  <si>
    <t>NCT05372887</t>
  </si>
  <si>
    <t>Safety and Efficacy Study of TNX-102 SL in Participants With PTSD</t>
  </si>
  <si>
    <t>NCT05289921</t>
  </si>
  <si>
    <t>To Evaluate HU-014 in the Treatment of Post Stroke Upper Limb</t>
  </si>
  <si>
    <t>Huons Co., Ltd.</t>
  </si>
  <si>
    <t>NCT05384249</t>
  </si>
  <si>
    <t>Phase 2b Pivotal Study of Izokibep in Non-infectious, Intermediate-, Posterior- or Pan-uveitis</t>
  </si>
  <si>
    <t>NCT05419635</t>
  </si>
  <si>
    <t>A Study to Learn How the Study Treatment Asundexian Moves Into, Through and Out of the Body, How it Works, How Safe it is, and How it Affects the Body in Participants With Mild or Moderate Reduction of Liver Function Compared to Participants With Normal Liver Function</t>
  </si>
  <si>
    <t>NCT05318326</t>
  </si>
  <si>
    <t>A Randomized, Double-blind, Placebo-controlled, Multicenter Clinical Trial to Evaluate the Clinical Efficacy and Safety of Yogliptin Tablets</t>
  </si>
  <si>
    <t>Chengdu Easton Biopharmaceuticals Co,Ltd</t>
  </si>
  <si>
    <t>NCT05680155</t>
  </si>
  <si>
    <t>A Phase 3 Study to Evaluate the Efficacy of XW003 Compared With Placebo in T2DM Patients</t>
  </si>
  <si>
    <t>NCT05559905</t>
  </si>
  <si>
    <t>Respiratory Syncytial Virus (RSV) Human Challenge Study of Molnupiravir in Healthy Participants (MK-4482-017)</t>
  </si>
  <si>
    <t>NCT05186922</t>
  </si>
  <si>
    <t>The Study of CM326 in Patients With Moderate-to-severe Atopic Dermatitis</t>
  </si>
  <si>
    <t>NCT05425602</t>
  </si>
  <si>
    <t>A Study of MAX-40279combined With KN046 in Patients With Advanced / Metastatic Solid Tumors</t>
  </si>
  <si>
    <t>NCT05136677</t>
  </si>
  <si>
    <t>A Study to Evaluate Nivolumab in Combination With Ipilimumab Versus Pemetrexed With Cisplatin or Carboplatin for Unresectable Pleural Mesothelioma in Chinese Participants</t>
  </si>
  <si>
    <t>NCT05493501</t>
  </si>
  <si>
    <t>Aumolertinib With Chemotherapy or Alone Compared With Osimertinib in Patients With Epidermal Growth Factor Receptor-Mutant Non-Small Cell Lung Cancer</t>
  </si>
  <si>
    <t>EQRx International, Inc.</t>
  </si>
  <si>
    <t>NCT06245330</t>
  </si>
  <si>
    <t>A Phase I/II Study of AST-001 in Subjects With Advanced Solid Tumors</t>
  </si>
  <si>
    <t>Ascentawits Pharmaceuticals, Ltd</t>
  </si>
  <si>
    <t>NCT05613777</t>
  </si>
  <si>
    <t>A Study in Healthy Women to Test Whether BI 425809 Influences the Amount of a Contraceptive in the Blood</t>
  </si>
  <si>
    <t>NCT05201781</t>
  </si>
  <si>
    <t>A Long-term Study for Participants Previously Treated With Ciltacabtagene Autoleucel</t>
  </si>
  <si>
    <t>NCT05422365</t>
  </si>
  <si>
    <t>Intravenous Immunoglobulin (IVIG, Bioven) Efficacy and Safety in Chronic Primary Immune Thrombocytopenia (ITP) in Adults</t>
  </si>
  <si>
    <t>NCT05561530</t>
  </si>
  <si>
    <t>A Study of ALG-125755 to Evaluate Safety, Tolerability, Pharmacokinetics, and Pharmacodynamics After Single Doses in Healthy Volunteers, and Single and Multiple Doses in CHB Subjects</t>
  </si>
  <si>
    <t>NCT04594941</t>
  </si>
  <si>
    <t>A Study of Flurpiridaz (18F) Injection for PET Imaging for Assessment of MPI Quality Using HPLC and SPE Manufacturing Processes</t>
  </si>
  <si>
    <t>NCT05664737</t>
  </si>
  <si>
    <t>A Study to Determine the Efficacy and Safety of Luspatercept in Adult Participants and to Evaluate the Safety and Pharmacokinetics in and Adolescent Participants With Alpha (α)-Thalassemia</t>
  </si>
  <si>
    <t>NCT05448001</t>
  </si>
  <si>
    <t>Clinical Trial to Evaluate the Efficacy and Safety of JP-1366 in Patients With Gastric Ulcer</t>
  </si>
  <si>
    <t>NCT05375994</t>
  </si>
  <si>
    <t>Study of Avutometinib (VS-6766) + Adagrasib in KRAS G12C NSCLC Patients</t>
  </si>
  <si>
    <t>NCT05463731</t>
  </si>
  <si>
    <t>A Study of Remternetug (LY3372993) in Participants With Alzheimer's Disease (TRAILRUNNER-ALZ 1)</t>
  </si>
  <si>
    <t>NCT05425472</t>
  </si>
  <si>
    <t>A Phase II Study of HR070803 in the Treatment of Advanced Esophageal Cancer</t>
  </si>
  <si>
    <t>NCT05219370</t>
  </si>
  <si>
    <t>Treatment With Cannabis Oil Containing CBD, THC, CBDV or CBG vs. Placebo of Persons With ADHD</t>
  </si>
  <si>
    <t>Brlev Agricultural Crops Ltd</t>
  </si>
  <si>
    <t>NCT05198505</t>
  </si>
  <si>
    <t>Clinical Trial of TQB2868 Injection in Subjects With Advanced Malignant Tumors</t>
  </si>
  <si>
    <t>Chia Tai Tianqing Pharmaceutical Group Nanjing Shunxin Pharmaceutical Co., Ltd.</t>
  </si>
  <si>
    <t>NCT05609929</t>
  </si>
  <si>
    <t>Study the Effect of Omeprazole on AB-106 Pharmacokinetics</t>
  </si>
  <si>
    <t>NCT05667194</t>
  </si>
  <si>
    <t>Phase 1 Trial of KH617</t>
  </si>
  <si>
    <t>Sichuan Honghe Biotechnology Co., Ltd.</t>
  </si>
  <si>
    <t>NCT05582850</t>
  </si>
  <si>
    <t>DT-9081 Study in Participants With Advanced, Recurrent or Metastatic Solid Tumours</t>
  </si>
  <si>
    <t>Domain Therapeutics SA</t>
  </si>
  <si>
    <t>NCT04957485</t>
  </si>
  <si>
    <t>Study to Assess the Safety and Immunogenicity of TPOXX® When Administered Orally for 28 Days With JYNNEOS</t>
  </si>
  <si>
    <t>SIGA Technologies</t>
  </si>
  <si>
    <t>NCT05559125</t>
  </si>
  <si>
    <t>A Study of STSA-1002 Combined With STSA-1005 in Healthy Subjects</t>
  </si>
  <si>
    <t>NCT05334368</t>
  </si>
  <si>
    <t>Depemokimab in Participants With Hypereosinophilic Syndrome, Efficacy, and Safety Trial</t>
  </si>
  <si>
    <t>NCT05569174</t>
  </si>
  <si>
    <t>Study of Efficacy and Safety of AIN457/Secukinumab in Patients With Rotator Cuff Tendinopathy</t>
  </si>
  <si>
    <t>NCT04976660</t>
  </si>
  <si>
    <t>TT-4 As a Single Agent in Subjects with Advanced Selected Solid Tumors</t>
  </si>
  <si>
    <t>Tarus Therapeutics, Inc.</t>
  </si>
  <si>
    <t>NCT06399068</t>
  </si>
  <si>
    <t>Clinical Study to Evaluate the Pharmacokinetic Profiles and Safety of CKD-387 in Healthy Volunteers Under Fed Conditions</t>
  </si>
  <si>
    <t>NCT04945018</t>
  </si>
  <si>
    <t>A Study of iPS Cell-derived Cardiomyocyte Spheroids (HS-001) in Patients With Heart Failure (LAPiS Study)</t>
  </si>
  <si>
    <t>Heartseed Inc.</t>
  </si>
  <si>
    <t>NCT05633147</t>
  </si>
  <si>
    <t>Effect of Clarithromycin on PK of Linaprazan, Linaprazan on PK of Clarithromycin and Linaprazan on PK of Midazolam</t>
  </si>
  <si>
    <t>NCT04230148</t>
  </si>
  <si>
    <t>Study of Safety, Tolerability and Clinical Outcomes of Egaten in Fascioliasis Patients (6 Years of Age or Older).</t>
  </si>
  <si>
    <t>NCT05485974</t>
  </si>
  <si>
    <t>A Dose Escalation Study of HBI-2438 in Patients With Solid Tumors Harboring KRAS G12C Mutation</t>
  </si>
  <si>
    <t>NCT05501821</t>
  </si>
  <si>
    <t>Study of KBA1412 in Participants With Advanced Solid Malignant Tumors</t>
  </si>
  <si>
    <t>Kling Biotherapeutics B.V.</t>
  </si>
  <si>
    <t>NCT05196035</t>
  </si>
  <si>
    <t>A Study to Learn More About How Well the Study Treatment Finerenone Works, How Safe it is, How it Moves Into, Through, and Out of the Body, and the Effects it Has on the Body When Taken With an ACE Inhibitor or Angiotensin Receptor Blocker in Children With Chronic Kidney Disease and Proteinuria</t>
  </si>
  <si>
    <t>NCT05184868</t>
  </si>
  <si>
    <t>AT247, NovoLog® and Fiasp® Administered Via Continuous Subcutaneous Infusion in Glucose Clamp Study</t>
  </si>
  <si>
    <t>NCT05327491</t>
  </si>
  <si>
    <t>A Study in Healthy Volunteers to Compare the Pharmacokinetics of Sotorasib Administered as 1 or 2 Tablets</t>
  </si>
  <si>
    <t>NCT05186818</t>
  </si>
  <si>
    <t>Phase 3 Trial to Evaluate the Efficacy and Safety of Aficamten Compared to Placebo in Adults With Symptomatic oHCM</t>
  </si>
  <si>
    <t>NCT05427682</t>
  </si>
  <si>
    <t>A Clinical Trial to Evaluate the Pharmacokinetics and Safety of Pyroglutamate Rongliflozin Capsules in Subjects With Mild and Moderate Liver Damage</t>
  </si>
  <si>
    <t>NCT05322473</t>
  </si>
  <si>
    <t>Evaluation of Sonelokimab for the Treatment of Patients With Active Moderate to Severe Hidradenitis Suppurativa</t>
  </si>
  <si>
    <t>MoonLake Immunotherapeutics AG</t>
  </si>
  <si>
    <t>NCT05234437</t>
  </si>
  <si>
    <t>A Trial of Intratumoural Tigilanol Tiglate in Adult Participants With Stage IIIB to IV M1c Melanoma</t>
  </si>
  <si>
    <t>NCT05207670</t>
  </si>
  <si>
    <t>A Study Evaluating the Safety, Efficacy, and Pharmacokinetics of Mosunetuzumab Monotherapy in Participants With Select B-Cell Malignancies</t>
  </si>
  <si>
    <t>NCT05216354</t>
  </si>
  <si>
    <t>Fruquintinib Renal Impairment Study</t>
  </si>
  <si>
    <t>NCT05285137</t>
  </si>
  <si>
    <t>Study of CD388 Intramuscular or Subcutaneous Administration in Healthy Subjects</t>
  </si>
  <si>
    <t>Cidara Therapeutics Inc., a subsidiary of Merck &amp; Co., Inc. (Rahway, New Jersey USA)</t>
  </si>
  <si>
    <t>NCT05392751</t>
  </si>
  <si>
    <t>Dose Escalation Study to Evaluate the Safety/Tolerability and Efficacy of EA-2353 in Subjects With Retinitis Pigmentosa</t>
  </si>
  <si>
    <t>Endogena Therapeutics, Inc</t>
  </si>
  <si>
    <t>NCT05081245</t>
  </si>
  <si>
    <t>ML-004 in Adolescents and Adults With Autism Spectrum Disorders (ASD)</t>
  </si>
  <si>
    <t>MapLight Therapeutics</t>
  </si>
  <si>
    <t>NCT05510245</t>
  </si>
  <si>
    <t>A Clinical Trial of the Study Medicine (PF-07081532) in People With Diabetes and Kidney Dysfunction</t>
  </si>
  <si>
    <t>NCT05335356</t>
  </si>
  <si>
    <t>Comparing Efficacy and Safety of Bmab 1200 and Stelara in Patients With Moderate to Severe Chronic Plaque Psoriasis</t>
  </si>
  <si>
    <t>NCT05659537</t>
  </si>
  <si>
    <t>A Study of Dulaglutide (LY2189265) in Participants With Type 2 Diabetes Mellitus in India</t>
  </si>
  <si>
    <t>NCT05706870</t>
  </si>
  <si>
    <t>Phase II Study Evaluating the Clinical Efficacy and Safety of GN-037 in Plaque Psoriasis</t>
  </si>
  <si>
    <t>GEN İlaç ve Sağlık Ürünleri A.Ş.</t>
  </si>
  <si>
    <t>NCT05218356</t>
  </si>
  <si>
    <t>Phase IIa Randomized Placebo Controlled Clinical Study of Codivir in Hospitalized Patients with Moderate COVID-19</t>
  </si>
  <si>
    <t>NCT03976973</t>
  </si>
  <si>
    <t>BromAc for Recurrent Peritoneal Mucinous Tumour or Pseudomyxoma Peritonei</t>
  </si>
  <si>
    <t>Mucpharm Pty Ltd</t>
  </si>
  <si>
    <t>NCT05295173</t>
  </si>
  <si>
    <t>A Study of r-PA Treating Patients With Acute Ischemic Stroke（RAISE）</t>
  </si>
  <si>
    <t>Angde Biotech Pharmaceutical Co., Ltd.</t>
  </si>
  <si>
    <t>NCT05197153</t>
  </si>
  <si>
    <t>A Study to Evaluate the Safety and Immunogenicity of Booster With AZD1222, mRNA-1273, or MVC-COV1901 Against COVID-19</t>
  </si>
  <si>
    <t>NCT05373953</t>
  </si>
  <si>
    <t>Clinical Study to Investigate the Pharmacokinetics, Safety and Tolerability Following Single Administration of CHF6001 in Subjects With Mild, Moderate and Severe Liver Impairment in Comparison With Matched Healthy Control Subjects</t>
  </si>
  <si>
    <t>NCT05152303</t>
  </si>
  <si>
    <t>A Study of Remimazolam Tosilate for Sedation in the ICU</t>
  </si>
  <si>
    <t>NCT05246280</t>
  </si>
  <si>
    <t>Tc 99m Tilmanocept Imaging for Early Prediction of Anti-TNFα Therapy Response in Moderate to Severe Active RA</t>
  </si>
  <si>
    <t>NCT05249127</t>
  </si>
  <si>
    <t>64Cu-SAR-bisPSMA for Identification of Participants With Recurrence of Prostate Cancer (COBRA)</t>
  </si>
  <si>
    <t>NCT05062980</t>
  </si>
  <si>
    <t>Quaratusugene Ozeplasmid (Reqorsa) in Combination With Pembrolizumab in Previously Treated Non-Small Lung Cancer</t>
  </si>
  <si>
    <t>NCT05107427</t>
  </si>
  <si>
    <t>Study of MRx0518 and Avelumab in Patients With Urothelial Carcinoma</t>
  </si>
  <si>
    <t>NCT05511025</t>
  </si>
  <si>
    <t>Assess the Safety, Tolerability, and Pharmacokinetics of AZD6234 Following Single Ascending Dose Administration to Healthy Subjects Who Are Overweight or Obese</t>
  </si>
  <si>
    <t>NCT05544591</t>
  </si>
  <si>
    <t>Evaluation of 611 in Chinese Adults With Moderate to Severe Atopic Dermatitis</t>
  </si>
  <si>
    <t>NCT05230810</t>
  </si>
  <si>
    <t>Clinical Trial of Alpelisb and Tucatinib in Patients With PIK3CA-Mutant HER2+ Metastatic Breast Cancer.</t>
  </si>
  <si>
    <t>NCT05129423</t>
  </si>
  <si>
    <t>A Study of MTPS9579A in Participants With Refractory Chronic Spontaneous Urticaria</t>
  </si>
  <si>
    <t>NCT05067790</t>
  </si>
  <si>
    <t>A Study to Learn About the Effect of Higher Doses of Nusinersen (BIIB058) Given as Injections to Participants With Spinal Muscular Atrophy (SMA) Who Were Previously Treated With Risdiplam (ASCEND)</t>
  </si>
  <si>
    <t>NCT05372380</t>
  </si>
  <si>
    <t>A Study to Evaluate Drug-drug Interactions Between BR1017-1 and BR1017-2 in Healthy Volunteers</t>
  </si>
  <si>
    <t>NCT05648968</t>
  </si>
  <si>
    <t>A Study of Efficacy and Safety of Ianalumab in Previously Treated Patients With Warm Autoimmune Hemolytic Anemia</t>
  </si>
  <si>
    <t>NCT06833879</t>
  </si>
  <si>
    <t>Activity Tracking Study in Healthy Volunteers (MK-0000-419)</t>
  </si>
  <si>
    <t>NCT05339685</t>
  </si>
  <si>
    <t>A Study of BL-M02D1 in Patients With Locally Advanced or Metastatic Triple Negative Breast Cancer or Other Solid Tumors</t>
  </si>
  <si>
    <t>NCT05170243</t>
  </si>
  <si>
    <t>A Clinical Study in Healthy Subjects to Evaluate 9MW1911 Injection</t>
  </si>
  <si>
    <t>NCT06204120</t>
  </si>
  <si>
    <t>Phase II Clinical Trial to Evaluate the Efficacy and Safety of LPM3480392 Injection for Moderate to Severe Pain After Abdominal Surgery</t>
  </si>
  <si>
    <t>NCT05473468</t>
  </si>
  <si>
    <t>Single Dose Study To Study The Absorption, Metabolism And Excretion Of Famitinib</t>
  </si>
  <si>
    <t>NCT05457010</t>
  </si>
  <si>
    <t>Phase I Study of Cell Therapies for the Treatment of Patients With Relapsed or Refractory AML or High-risk MDS</t>
  </si>
  <si>
    <t>Arcellx, Inc.</t>
  </si>
  <si>
    <t>NCT05107778</t>
  </si>
  <si>
    <t>Study to Evaluate Safety and Efficacy of ASC42 Combined With ETV and PEG-IFN α-2a in Subjects With HBV</t>
  </si>
  <si>
    <t>NCT05554913</t>
  </si>
  <si>
    <t>Evaluating the Efficacy and Safety of QL0911 in the Prevention of Chemotherapy- Induced Thrombocytopenia</t>
  </si>
  <si>
    <t>NCT05661240</t>
  </si>
  <si>
    <t>Phase Ⅱ/Ⅲ Clinical Study of Tumor Treating Fields （EFE-P100）Combined With Docetaxel in the Treatment of Stage IV Non-small Cell Lung Cancer Patients With Disease Progression After Platinum-based Chemotherapy and Anti-programmed Death 1（PD-1)/Programmed Cell Death-Ligand 1(PD-L1) Antibody Treatment</t>
  </si>
  <si>
    <t>Jiangsu Healthy Life Innovation Medical Technology Co., Ltd</t>
  </si>
  <si>
    <t>NCT05393089</t>
  </si>
  <si>
    <t>Study of AGN-190584 Eye Drops to Assess Safety and Efficacy in Participants Aged 40-80 Years With Pseudophakic Presbyopia</t>
  </si>
  <si>
    <t>NCT05267574</t>
  </si>
  <si>
    <t>An Open Label, Long Term Safety Study of REN001 in Primary Mitochondrial Myopathy Patients (Stride Ahead)</t>
  </si>
  <si>
    <t>NCT05246618</t>
  </si>
  <si>
    <t>FIH Phase I/IIa Trial Evaluating Safety of TUM012 to Minimize Ischemic Reperfusion Injury in Kidney Transplantation</t>
  </si>
  <si>
    <t>iCoat Medical AB</t>
  </si>
  <si>
    <t>NCT05314010</t>
  </si>
  <si>
    <t>A Study of MIL62 in Patients With Neuromyelitis Optica Spectrum Disorder (NMOSD)</t>
  </si>
  <si>
    <t>NCT05486208</t>
  </si>
  <si>
    <t>A Study of LY3844583 in Healthy Participants and Participants With Atopic Dermatitis</t>
  </si>
  <si>
    <t>NCT05343455</t>
  </si>
  <si>
    <t>A Study to Assess the Safety, Efficacy and Tolerability of Oral DFD-29 Capsules for the Treatment of Rosacea (MVOR-2)</t>
  </si>
  <si>
    <t>NCT05464420</t>
  </si>
  <si>
    <t>A Study to Evaluate the Safety, Tolerability, Immunogenicity, and Lot Consistency of V116 in Adults 18 to 49 Years of Age (V116-004, STRIDE-4)</t>
  </si>
  <si>
    <t>NCT05198323</t>
  </si>
  <si>
    <t>A Study to Evaluate the Safety and Efficacy of LT3001 Drug Product in Subjects AIS Undergoing EVT</t>
  </si>
  <si>
    <t>NCT05275673</t>
  </si>
  <si>
    <t>A Study of Sapanisertib in Relapsed/Refractory NFE2L2-Mutated and Wild-Type Squamous Non-Small Cell Lung Cancer</t>
  </si>
  <si>
    <t>Faeth Therapeutics</t>
  </si>
  <si>
    <t>NCT05557851</t>
  </si>
  <si>
    <t>Minnelide Along With Abraxane Plus Gemcitabine in Patients With Metastatic Adenocarcinoma of the Pancreas</t>
  </si>
  <si>
    <t>NCT05274451</t>
  </si>
  <si>
    <t>A Study to Investigate LYL797 in Adults With Solid Tumors</t>
  </si>
  <si>
    <t>Lyell Immunopharma, Inc.</t>
  </si>
  <si>
    <t>NCT05421429</t>
  </si>
  <si>
    <t>KN057 Multiple Dose Study in Moderately Severe to Severe Hemophilia</t>
  </si>
  <si>
    <t>Suzhou Alphamab Co., Ltd.</t>
  </si>
  <si>
    <t>NCT05626439</t>
  </si>
  <si>
    <t>A Relative Bioavailability Study of Staccato Alprazolam Versus Oral Alprazolam in Healthy Study Participants</t>
  </si>
  <si>
    <t>NCT05240300</t>
  </si>
  <si>
    <t>A Study of Topical BX005-A in Subjects With Moderate to Severe Atopic Dermatitis</t>
  </si>
  <si>
    <t>NCT05297045</t>
  </si>
  <si>
    <t>A Study of Oral GLP1RA RGT001-075 in Adults With Type 2 Diabetes</t>
  </si>
  <si>
    <t>Regor Pharmaceuticals Inc.</t>
  </si>
  <si>
    <t>NCT06413095</t>
  </si>
  <si>
    <t>PBI-MST-01 (NCT04541108) Substudy MSD-03: Intratumoral Microdosing of Pembrolizumab Alone and With MK-0482 or MK-4830 in HNSCC or STS</t>
  </si>
  <si>
    <t>NCT05355701</t>
  </si>
  <si>
    <t>A Study to Learn About the Study Medicine Called PF-07799933 in People With Advanced Solid Tumors With BRAF Alterations.</t>
  </si>
  <si>
    <t>NCT06617000</t>
  </si>
  <si>
    <t>A Study of SCG101 TCR-T Cell Therpay in the Treatment of Subjects With Hepatitis B Virus-Related</t>
  </si>
  <si>
    <t>SCG Cell Therapy Pte. Ltd.</t>
  </si>
  <si>
    <t>NCT05104125</t>
  </si>
  <si>
    <t>Study to Evaluate the Safety and Efficacy of ASC40 in Subjects With Moderate to Severe Acne Vulgaris</t>
  </si>
  <si>
    <t>NCT05216510</t>
  </si>
  <si>
    <t>Assessment of Delayed-type Hypersensitivity Reactions to SARS-CoV-2 Peptide Antigens</t>
  </si>
  <si>
    <t>NCT05456269</t>
  </si>
  <si>
    <t>A Study of Bisantrene Combined With Cytarabine or With Decitabine for Adult Subjects With Extramedullary AML and MDS</t>
  </si>
  <si>
    <t>Racura Oncology Ltd</t>
  </si>
  <si>
    <t>NCT05512377</t>
  </si>
  <si>
    <t>Brightline-2: A Study to Test Whether Brigimadlin (BI 907828) Helps People With Cancer in the Biliary Tract, Pancreas, Lung or Bladder</t>
  </si>
  <si>
    <t>NCT05652530</t>
  </si>
  <si>
    <t>Clinical Study of the Safety and Efficacy of BCMA CAR-NK</t>
  </si>
  <si>
    <t>Shenzhen Pregene Biopharma Co., Ltd.</t>
  </si>
  <si>
    <t>NCT05249972</t>
  </si>
  <si>
    <t>A Phase III Study in Subjects With Mild to Moderate Psoriasis.</t>
  </si>
  <si>
    <t>Lipidor AB</t>
  </si>
  <si>
    <t>NCT05229900</t>
  </si>
  <si>
    <t>A Study of SGN-ALPV in Advanced Solid Tumors</t>
  </si>
  <si>
    <t>NCT05712200</t>
  </si>
  <si>
    <t>Study to evaLuate the effIcacy and Safety of abeLacimab in High-risk Patients With Atrial Fibrillation Who Have Been Deemed Unsuitable for Oral antiCoagulation (LILAC-TIMI 76)</t>
  </si>
  <si>
    <t>NCT05614102</t>
  </si>
  <si>
    <t>A First-in-human Study to Learn How Safe the Study Drug BAY2965501 is, Find the Best Dose (Single Drug &amp; Combination), How it Affects the Body, What Maximum Amount Can be Given, How it Moves Into, Through and Out of the Body, How it Acts on Different Tumors in Participants With Advanced Solid Tumors</t>
  </si>
  <si>
    <t>NCT05198700</t>
  </si>
  <si>
    <t>The Effect of Probiotics on Symptoms of Infantile Colic</t>
  </si>
  <si>
    <t>NCT05198531</t>
  </si>
  <si>
    <t>To Evaluate the Safety and Efficacy of TQB2858 Injection to the Subjects With Recurrent/Metastatic Nasopharyngeal Cancer</t>
  </si>
  <si>
    <t>NCT05445128</t>
  </si>
  <si>
    <t>Study of MGTA-145 and Plerixafor in Patients With Sickle Cell Disease</t>
  </si>
  <si>
    <t>NCT05352867</t>
  </si>
  <si>
    <t>Clinical Trial of SARS-CoV-2 mRNA Vaccine in Chinese People</t>
  </si>
  <si>
    <t>NCT05662033</t>
  </si>
  <si>
    <t>A Study to Investigate the Safety, Tolerability, and Pharmacokinetics (PK) of Oral AZD6793 in Healthy and Chronic Obstructive Pulmonary Disease Participants, to Assess the Relative Oral Bioavailability Between Two Formulations, and the Food Effect on the PK of AZD6793 Compared to Fasting State.</t>
  </si>
  <si>
    <t>NCT05489211</t>
  </si>
  <si>
    <t>Study of Dato-DXd as Monotherapy and in Combination With Anti-cancer Agents in Patients With Advanced Solid Tumours (TROPION-PanTumor03)</t>
  </si>
  <si>
    <t>NCT05568121</t>
  </si>
  <si>
    <t>A Bioequivalence Study of L04TD1 Compared to Administration of L04RD1 in Healthy Volunteers</t>
  </si>
  <si>
    <t>NCT04839328</t>
  </si>
  <si>
    <t>A Phase Ⅲ Efficacy and Safety Study of Hemay005 in Subjects With Moderate to Severe Plaque Psoriasis</t>
  </si>
  <si>
    <t>NCT05460065</t>
  </si>
  <si>
    <t>Single and Multiple Intravenous Administrations of Estetrol (E4) in Healthy Adult Volunteers</t>
  </si>
  <si>
    <t>NCT05151692</t>
  </si>
  <si>
    <t>A Study of JNJ-80202135 in Healthy Chinese Adult Participants</t>
  </si>
  <si>
    <t>NCT05477563</t>
  </si>
  <si>
    <t>Evaluation of Efficacy and Safety of a Single Dose of CTX001 in Participants With Transfusion-Dependent β-Thalassemia and Severe Sickle Cell Disease</t>
  </si>
  <si>
    <t>NCT05487963</t>
  </si>
  <si>
    <t>Tolerability and Effectiveness of CGB-500 Topical Ointment, 1% Tofacitinib, for the Treatment of Atopic Dermatitis</t>
  </si>
  <si>
    <t>NCT06285214</t>
  </si>
  <si>
    <t>Study of V117957 in Interstitial Cystitis/Bladder Pain Syndrome</t>
  </si>
  <si>
    <t>Imbrium Therapeutics</t>
  </si>
  <si>
    <t>NCT05098509</t>
  </si>
  <si>
    <t>A Study to Assess RAD011 (Cannabidiol Oral Solution) for the Treatment of Participants With Prader-Willi Syndrome</t>
  </si>
  <si>
    <t>Radius Pharmaceuticals, Inc.</t>
  </si>
  <si>
    <t>NCT05242432</t>
  </si>
  <si>
    <t>A Study of Adenovirus Serotype 26.Respiratory Syncytial Virus.Pre-Fusion F (Ad26.RSV.preF)-Based Vaccine for Prevention of Respiratory Syncytial Virus (RSV) Mediated- Lower Respiratory Tract Disease (LRTD) in Japanese Participants</t>
  </si>
  <si>
    <t>NCT05417932</t>
  </si>
  <si>
    <t>A Study of SCG101 in the Treatment of Subjects With Hepatitis B Virus-Related Hepatocellular Carcinoma</t>
  </si>
  <si>
    <t>NCT05295732</t>
  </si>
  <si>
    <t>The ASCEND Study: Evaluating TMB-001 in the Treatment of RXLI or ARCI Ichthyosis</t>
  </si>
  <si>
    <t>NCT05658016</t>
  </si>
  <si>
    <t>Phase 2a Study to Evaluate Suppression of Radiotherapy-induced Mucositis by TK112690</t>
  </si>
  <si>
    <t>NCT05137444</t>
  </si>
  <si>
    <t>Phase Ⅱ and Ⅲ Trial of a SARS-CoV-2 Vaccine LYB001</t>
  </si>
  <si>
    <t>NCT05364164</t>
  </si>
  <si>
    <t>A Food Effect Study of CT-L01 After Oral Administration in Healthy Volunteers</t>
  </si>
  <si>
    <t>NCT05111600</t>
  </si>
  <si>
    <t>Open-label, Pivotal Clinical Trial to Confirm Efficacy and Safety of Autologous Grafts Containing Stem Cells Genetically Modified for Epidermis Restoration in Patients With Junctional Epidermolysis Bullosa</t>
  </si>
  <si>
    <t>NCT05550207</t>
  </si>
  <si>
    <t>Open-Label Study of AXS-07 for the Acute Treatment of Migraine in Adults With a Prior Inadequate Response to an Oral CGRP Inhibitor (EMERGE)</t>
  </si>
  <si>
    <t>NCT05155293</t>
  </si>
  <si>
    <t>Clinical Study to Compare Efficacy and Safety of AVT06 and EU-Eylea (ALVOEYE)</t>
  </si>
  <si>
    <t>NCT04823052</t>
  </si>
  <si>
    <t>Investigation of Sulindac (HLX-0201) and Gaboxadol (HLX-0206) in Male Fragile X Syndrome Patients Aged 13-40</t>
  </si>
  <si>
    <t>Healx Limited</t>
  </si>
  <si>
    <t>NCT05455112</t>
  </si>
  <si>
    <t>Safety and Efficacy of RUTI® With the Standard of Treatment for Tuberculosis</t>
  </si>
  <si>
    <t>NCT05303467</t>
  </si>
  <si>
    <t>A Feasibility Study to Evaluate the Safety of the TheraSphere Glioblastoma (GBM) Device in Patients With Recurrent GBM</t>
  </si>
  <si>
    <t>NCT05308264</t>
  </si>
  <si>
    <t>Study of R289 in Patients With Lower-risk Myelodysplastic Syndromes (LR MDS)</t>
  </si>
  <si>
    <t>NCT06135363</t>
  </si>
  <si>
    <t>Safety, Tolerability and Pharmacokinetic Study of SC1011 in Healthy Subjects</t>
  </si>
  <si>
    <t>NCT04995484</t>
  </si>
  <si>
    <t>A Study of Belzutifan (MK-6482) in Participants With Hepatic Impairment (MK-6482-020)</t>
  </si>
  <si>
    <t>NCT05414734</t>
  </si>
  <si>
    <t>Study to Evaluate the Safety, Pharmacokinetics and Pharmacodynamic Characteristics of HHT120 in Healthy Subjects</t>
  </si>
  <si>
    <t>Shanghai Synergy Pharmaceutical Sciences Co., Ltd.</t>
  </si>
  <si>
    <t>NCT05573464</t>
  </si>
  <si>
    <t>A Study to Assess the Safety of Budesonide/Glycopyrronium/Formoterol Fumarate With a Next-Generation Propellant in Participants With Moderate to Very Severe Chronic Obstructive Pulmonary Disease</t>
  </si>
  <si>
    <t>NCT05397834</t>
  </si>
  <si>
    <t>A Bioequivalence Study Between Fluticasone Propionate 250 mcg/Blister Oral Inhalation Powder/Respirent Pharmaceuticals vs. FLOVENT DISKUS® 250 mcg/Blister Oral Inhalation Powder /GSK in Healthy Volunteers Under Fasting Conditions</t>
  </si>
  <si>
    <t>NCT05581693</t>
  </si>
  <si>
    <t>A Bioequivalence Study of L04TD2 Compared to Administration of L04RD1 in Healthy Volunteers</t>
  </si>
  <si>
    <t>NCT05071716</t>
  </si>
  <si>
    <t>Study to Assess Rifaximin Soluble Solid Dispersion (SSD) for the Delay of Encephalopathy Decompensation in Cirrhosis</t>
  </si>
  <si>
    <t>NCT05303636</t>
  </si>
  <si>
    <t>LF111 or Drospirenone Chew vs Non-hormonal Contraceptive Methods on Bone Mineral Density in Adolescent and Adult Women</t>
  </si>
  <si>
    <t>NCT05628636</t>
  </si>
  <si>
    <t>AC-OLE-01-VA Tolerability Study in Healthy Participants Under Different Dosing Conditions</t>
  </si>
  <si>
    <t>NCT06479226</t>
  </si>
  <si>
    <t>Effect of Mouthwash in Reducing the Symptoms Associated With Flu and Cold Viruses</t>
  </si>
  <si>
    <t>NCT05407636</t>
  </si>
  <si>
    <t>Pivotal 2 Study of RGX-314 Gene Therapy in Participants With nAMD</t>
  </si>
  <si>
    <t>NCT05293964</t>
  </si>
  <si>
    <t>Phase I Study to Evaluate SIM0270 Alone or in Combination in ER+, HER2- Locally Advanced or Metastatic Breast Cancer</t>
  </si>
  <si>
    <t>NCT05238532</t>
  </si>
  <si>
    <t>Clinical Trial to Evaluate the Safety, Tolerability and Efficacy of CT303 in Patients With ARDS</t>
  </si>
  <si>
    <t>NCT04882293</t>
  </si>
  <si>
    <t>Efficacy and Safety of the Fixed-dose Combination Atorvastatin/Fenofibrate vs Atorvastatin in Patients With T2D and DLP.</t>
  </si>
  <si>
    <t>NCT05440006</t>
  </si>
  <si>
    <t>A Study of Food Effect on the Pharmacokinetics of Fuzuloparib Capsules in Chinese Healthy Adult Subjects</t>
  </si>
  <si>
    <t>NCT05348915</t>
  </si>
  <si>
    <t>A Study to Evaluate the Long-term Safety of Inclacumab Administered to Participants With Sickle Cell Disease</t>
  </si>
  <si>
    <t>NCT05081609</t>
  </si>
  <si>
    <t>A Study to Investigate Safety and Tolerability of TransCon IL-2 β/γ Alone or in Combination With Pembrolizumab and/or TransCon TLR7/8 Agonist or Other Anticancer Therapies in Adult Participants With Locally Advanced or Metastatic Solid Tumor Malignancies</t>
  </si>
  <si>
    <t>NCT05354063</t>
  </si>
  <si>
    <t>A Study of SARS-CoV-2 mRNA Vaccine (SYS6006) in Chinese Healthy Older Adults.</t>
  </si>
  <si>
    <t>NCT05296733</t>
  </si>
  <si>
    <t>A Study to (1) Compare How BI 456906 is Taken up in the Body of Healthy People and People With Liver Problems and (2) Find Out How People With Overweight and Obesity, With and Without Liver Problems, Tolerate Different Doses of BI 456906</t>
  </si>
  <si>
    <t>NCT05275478</t>
  </si>
  <si>
    <t>Safety and Tolerability of TNG908 in Patients With MTAP-deleted Solid Tumors</t>
  </si>
  <si>
    <t>Tango Therapeutics, Inc.</t>
  </si>
  <si>
    <t>NCT05469464</t>
  </si>
  <si>
    <t>Study to Assess the Efficacy and Safety of Orismilast in Atopic Dermatitis (ADESOS)</t>
  </si>
  <si>
    <t>NCT05468749</t>
  </si>
  <si>
    <t>Study to Assess the Effect of Renal Impairment on the Pharmacokinetics of CTP-543</t>
  </si>
  <si>
    <t>NCT05600114</t>
  </si>
  <si>
    <t>Cannabidiol (CBD) for the Treatment of Social Anxiety Disorder</t>
  </si>
  <si>
    <t>EmpowerPharm Inc.</t>
  </si>
  <si>
    <t>NCT05310084</t>
  </si>
  <si>
    <t>Safety and Immunogenicity of BNT162b2 Coadministered With SIIV in Adults 18 Through 64 Years of Age</t>
  </si>
  <si>
    <t>NCT05285644</t>
  </si>
  <si>
    <t>Study Evaluating the Safety and Efficacy of AR-15512</t>
  </si>
  <si>
    <t>NCT05533814</t>
  </si>
  <si>
    <t>A Study to Evaluate the Efficacy and Safety of Perampanel Monotherapy in Untreated Participants With Focal Onset Seizures With or Without Focal to Bilateral Tonic-clonic Seizures</t>
  </si>
  <si>
    <t>Eisai Korea Inc.</t>
  </si>
  <si>
    <t>NCT05572255</t>
  </si>
  <si>
    <t>A Randomized, Open-label, Three-way Crossover Study to Evaluate the Relative Bioavailability of 200 Mg Cenobamate Administered Orally</t>
  </si>
  <si>
    <t>NCT05624944</t>
  </si>
  <si>
    <t>A Pharmacokinetic Study of TS-142 in Patients with Hepatic Impairment</t>
  </si>
  <si>
    <t>NCT05429593</t>
  </si>
  <si>
    <t>A Research Study Investigating How Semaglutide and Dapagliflozin Act in Your Body When Dosed in One Tablet</t>
  </si>
  <si>
    <t>NCT05233033</t>
  </si>
  <si>
    <t>Safety, PK/PD, and Clinical Activity of KT-413 in Adult Patients with Relapsed or Refractory B-cell NHL</t>
  </si>
  <si>
    <t>NCT05602675</t>
  </si>
  <si>
    <t>A Drug Interaction Study of LY3871801 in Healthy Participants</t>
  </si>
  <si>
    <t>NCT05096494</t>
  </si>
  <si>
    <t>Safety and Efficacy of SP-103 in Subjects With Moderate to Severe Acute Lower Back Pain</t>
  </si>
  <si>
    <t>NCT05242822</t>
  </si>
  <si>
    <t>A Study to Evaluate KIN-3248 in Participants With Advanced Tumors Harboring FGFR2 and//or FGFR3 Gene Alterations</t>
  </si>
  <si>
    <t>Kinnate Biopharma</t>
  </si>
  <si>
    <t>NCT05685472</t>
  </si>
  <si>
    <t>MEDI5752 in Japanese Patients With Advanced Solid Tumors.</t>
  </si>
  <si>
    <t>NCT05246046</t>
  </si>
  <si>
    <t>Comparison of Tiotropium Absorption From Tiotropium Easyhaler and Spiriva HandiHaler</t>
  </si>
  <si>
    <t>NCT05227703</t>
  </si>
  <si>
    <t>A Trial of 15 and 30 mg Doses of CVL-231 (Emraclidine) in Participants With Schizophrenia</t>
  </si>
  <si>
    <t>NCT05603403</t>
  </si>
  <si>
    <t>Efficacy And Safety Of Probiatop In The Treatment Of Digestive Symptoms</t>
  </si>
  <si>
    <t>NCT05111145</t>
  </si>
  <si>
    <t>A Study Evaluating the Safety of Elexacaftor/Tezacaftor/Ivacaftor in Participants With Cystic Fibrosis (CF)</t>
  </si>
  <si>
    <t>NCT05829551</t>
  </si>
  <si>
    <t>The Safety, Tolerability and Pharmacokinetics Study of RAY1216 in Healthy Adult Participants</t>
  </si>
  <si>
    <t>NCT05224102</t>
  </si>
  <si>
    <t>A Study to Investigate Faricimab Treatment Response in Treatment-Naive, Underrepresented Patients With Diabetic Macular Edema</t>
  </si>
  <si>
    <t>NCT05513573</t>
  </si>
  <si>
    <t>Phase II Clinical Study to Compare the Efficacy and Safety of HLX07 + Serplulimab +Chemotherapy Versus Placebo + Serplulimab + Chemotherapy in First-Line Treatment of Patients With Recurrent or Metastatic NPC</t>
  </si>
  <si>
    <t>NCT05192395</t>
  </si>
  <si>
    <t>A Crossover Study of DWJ1525 to Evaluate the Safety and Pharmacokinetic Properties in Healthy Volunteers</t>
  </si>
  <si>
    <t>NCT05614037</t>
  </si>
  <si>
    <t>Felodipine Controlled Release Tablets and Felodipine Sustained Release Tablets in Healthy Subjects Under Fasting State Comparative Pharmacokinetic Study</t>
  </si>
  <si>
    <t>NCT05194995</t>
  </si>
  <si>
    <t>JAB-21822 in Combination With Cetuximab in Patients With Advanced CRC and Other Solid Tumors With KRAS G12C Mutation</t>
  </si>
  <si>
    <t>NCT05011851</t>
  </si>
  <si>
    <t>An Open-Label Study of the Safety, Tolerability, and Pharmacokinetics of Oral NNZ-2591 in Angelman Syndrome</t>
  </si>
  <si>
    <t>NCT05126277</t>
  </si>
  <si>
    <t>Safety, Efficacy and Tolerability of Ianalumab Versus Placebo, Combination With SoC Therapy, in Participants With Active Lupus Nephritis</t>
  </si>
  <si>
    <t>NCT05364840</t>
  </si>
  <si>
    <t>Study to Assess the Safety, Tolerability and Pharmacokinetics of STI-1558 in Healthy Volunteers</t>
  </si>
  <si>
    <t>NCT06207682</t>
  </si>
  <si>
    <t>Effect of Repeated Oral Doses of Avacopan on the Pharmacokinetics (PK) of a Single Dose of Simvastatin</t>
  </si>
  <si>
    <t>NCT05428449</t>
  </si>
  <si>
    <t>Study in Subjects to Evaluate the Safety, Tolerability and Pharmacokinetics of GT20029</t>
  </si>
  <si>
    <t>NCT05278338</t>
  </si>
  <si>
    <t>Efficacy and Safety of JMT103 in the Treatment of Postmenopausal Women With Osteoporosis</t>
  </si>
  <si>
    <t>NCT05251727</t>
  </si>
  <si>
    <t>Assess Safety and Tolerability of ART-123 + FOLFOX + Bevacizumab in Metastatic Colorectal Cancer Patients</t>
  </si>
  <si>
    <t>NCT05346952</t>
  </si>
  <si>
    <t>A Study of TQB2450 Injection Plus Chemotherapy Followed by TQB2450 Plus Anlotinib Versus Tislelizumab Plus Chemotherapy Followed by Tislelizumab in the Treatment of First-line Non-squamous Non-small Cell Lung Cancer(NSCLC).</t>
  </si>
  <si>
    <t>NCT04147949</t>
  </si>
  <si>
    <t>AV-101 (L-4-chlorokynurenine) in Parkinson's Disease Subjects With Levodopa-Induced Dyskinesia</t>
  </si>
  <si>
    <t>NCT05478525</t>
  </si>
  <si>
    <t>A Study Evaluating the Safety, Tolerability, and Pharmacodynamic Effects of GLY-200 in Type 2 Diabetic Patients</t>
  </si>
  <si>
    <t>Glyscend, Inc.</t>
  </si>
  <si>
    <t>NCT05266417</t>
  </si>
  <si>
    <t>Intranasal Insulin and Glutathione as an Add-On Therapy in Parkinson's Disease</t>
  </si>
  <si>
    <t>Gateway Institute for Brain Research</t>
  </si>
  <si>
    <t>NCT04457323</t>
  </si>
  <si>
    <t>S-Metoprolol XR 25-50 mg Tablets vs Metoprolol Zok 50-100 mg Tablets in Hypertension Patients.</t>
  </si>
  <si>
    <t>NCT05938452</t>
  </si>
  <si>
    <t>Safety and Tolerability of Glyceryl Tribenzoate (GTB) Capsules in Healthy Subjects</t>
  </si>
  <si>
    <t>Forest Hills Lab</t>
  </si>
  <si>
    <t>NCT05450549</t>
  </si>
  <si>
    <t>A Study to Evaluate the Safety, Tolerability, Pharmacokinetics, and Pharmacodynamics of DNL919 in Healthy Participants</t>
  </si>
  <si>
    <t>NCT05239143</t>
  </si>
  <si>
    <t>P-MUC1C-ALLO1 Allogeneic CAR-T Cells in the Treatment of Subjects With Advanced or Metastatic Solid Tumors</t>
  </si>
  <si>
    <t>NCT05231590</t>
  </si>
  <si>
    <t>Immunogenicity and Safety of the SpikoGen COVID-19 Vaccine in Children Aged 5 to &lt;12 Years and 12 to &lt;18 Years Compared With Adults Aged 18 to 40 Years</t>
  </si>
  <si>
    <t>NCT05555290</t>
  </si>
  <si>
    <t>PT027 Compared to PT007 in Patients With Asthma With Mannitol-induced Acute Airway Obstruction</t>
  </si>
  <si>
    <t>NCT05510843</t>
  </si>
  <si>
    <t>A Study to Evaluate THB001 in Adult Patients With Chronic Cold Urticaria</t>
  </si>
  <si>
    <t>Third Harmonic Bio, Inc.</t>
  </si>
  <si>
    <t>NCT05274997</t>
  </si>
  <si>
    <t>A Phase II Study of Linperlisib (YY-20394) in Patients With Relapsed or Refractory Peripheral T/NK Cell Lymphoma</t>
  </si>
  <si>
    <t>NCT05539248</t>
  </si>
  <si>
    <t>A Study on the Safety, Tolerability, Efficacy, Pharmacokinetics and Pharmacodynamics of CAN106 in Subjects With PNH</t>
  </si>
  <si>
    <t>NCT05276297</t>
  </si>
  <si>
    <t>A Study on the Safety, Efficacy and Immune Response Following Sequential Treatment With an Anti-sense Oligonucleotide Against Chronic Hepatitis B (CHB) and Chronic Hepatitis B Targeted Immunotherapy (CHB-TI) in CHB Patients Receiving Nucleos(t)Ide Analogue (NA) Therapy</t>
  </si>
  <si>
    <t>NCT05099510</t>
  </si>
  <si>
    <t>Natrunix Safety PK Study in Healthy Volunteers</t>
  </si>
  <si>
    <t>NCT05903118</t>
  </si>
  <si>
    <t>A Phase I/II Study to Evaluate a SARS-CoV-2 mRNA Vaccine in Healthy Adults</t>
  </si>
  <si>
    <t>Argorna Pharmaceuticals Co., LTD</t>
  </si>
  <si>
    <t>NCT05537090</t>
  </si>
  <si>
    <t>A Study to Assess Effect of BV100 on the Pharmacokinetics of Midazolam in Healthy Participants</t>
  </si>
  <si>
    <t>NCT05353361</t>
  </si>
  <si>
    <t>A Phase Ib/II Study of SHR-A1811 Injection in Breast Cancer</t>
  </si>
  <si>
    <t>NCT05986591</t>
  </si>
  <si>
    <t>Bioequivalence Study of Tiotropium 18 μg Inhalation Powder, Hard Capsule With Spiriva®Handihaler® 18 μg Inhalation Powder, Hard Capsule in Patients With Chronic Obstructive Pulmonary Disease (COPD)</t>
  </si>
  <si>
    <t>Xiromed LLC</t>
  </si>
  <si>
    <t>NCT05248074</t>
  </si>
  <si>
    <t>To Evaluate the Safety, Pharmacokinetic and the Effect of Food After Administration of ABN401 in Healthy Adult Volunteers</t>
  </si>
  <si>
    <t>Abion Inc</t>
  </si>
  <si>
    <t>NCT05229497</t>
  </si>
  <si>
    <t>A Phase Ib/II Study of AK112 in Combination With AK117 in Advanced Malignant Tumors</t>
  </si>
  <si>
    <t>NCT05169697</t>
  </si>
  <si>
    <t>A Study to Assess YH002 in Combination with YH001 in Subjects with Advanced Solid Tumors</t>
  </si>
  <si>
    <t>NCT05349097</t>
  </si>
  <si>
    <t>Study to Evaluate IMG-004 in Healthy Participants</t>
  </si>
  <si>
    <t>NCT05528679</t>
  </si>
  <si>
    <t>A Phase II Study of 610 in Participants With Severe Eosinophilic Asthma</t>
  </si>
  <si>
    <t>NCT05493462</t>
  </si>
  <si>
    <t>Intranasal Human FGF-1 for Subjects With Parkinson's Disease</t>
  </si>
  <si>
    <t>Zhittya Genesis Medicine, Inc.</t>
  </si>
  <si>
    <t>NCT05730673</t>
  </si>
  <si>
    <t>Leronlimab in Combination With Regorafenib in Patients With CCR5+, Metastatic Colorectal Cancer</t>
  </si>
  <si>
    <t>NCT06760260</t>
  </si>
  <si>
    <t>Evaluation of the Safety and Efficacy of Human CI-135 (FLT3) Targeted CAR-T Cells Injection for Subjects with Relapsed/Refractory Acute Myeloid Leukemia</t>
  </si>
  <si>
    <t>NCT05305560</t>
  </si>
  <si>
    <t>A Study to Evaluate the Efficacy and Safety of Ivermectin in COVID-19 Prevention</t>
  </si>
  <si>
    <t>NCT05623020</t>
  </si>
  <si>
    <t>A Study to Learn About the Effects of the Combination of Elranatamab, Daratumumab and Lenalidomide Compared With Daratumumab, Bortezomib, Lenalidomide, and Dexamethasone in Patients With Newly Diagnosed Multiple Myeloma Who Are Not Candidates for Transplant</t>
  </si>
  <si>
    <t>NCT05459220</t>
  </si>
  <si>
    <t>A Trial of SHR0410 Injection for the Treatment of Pain After Laparoscopic Surgery</t>
  </si>
  <si>
    <t>NCT05371613</t>
  </si>
  <si>
    <t>A Study to Determine the Efficacy and Safety of Tividenofusp Alfa (DNL310) vs Idursulfase in Pediatric and Young Adult Participants With Neuronopathic (nMPS II) or Non-Neuronopathic Mucopolysaccharidosis Type II (nnMPS II)</t>
  </si>
  <si>
    <t>NCT05524883</t>
  </si>
  <si>
    <t>Safety, Tolerability, Pharmacodynamic, Efficacy, and Pharmacokinetic Study of DYNE-251 in Participants With Duchenne Muscular Dystrophy Amenable to Exon 51 Skipping</t>
  </si>
  <si>
    <t>Dyne Therapeutics</t>
  </si>
  <si>
    <t>NCT05441046</t>
  </si>
  <si>
    <t>Genakumab Alone and in Combination With Tislelizumab in Patients With Advanced Malignant Solid Tumors</t>
  </si>
  <si>
    <t>NCT05461170</t>
  </si>
  <si>
    <t>SOLSTICE: Combination Therapy for the Treatment of Chronic Hepatitis D Infection.</t>
  </si>
  <si>
    <t>NCT05339373</t>
  </si>
  <si>
    <t>Bioequivalence Study of Two Formulations of Tablets Aceclofenac 100 mg in Healthy Volunteers Under Fasting Conditions</t>
  </si>
  <si>
    <t>NCT05426369</t>
  </si>
  <si>
    <t>A Clinical Trial Evaluating SCB-219M in in Chemotherapy-induced Thrombocytopenia (CIT)</t>
  </si>
  <si>
    <t>NCT05495269</t>
  </si>
  <si>
    <t>Safety and Tolerability Study of QLS-101 in Adolescents With Sturge-Weber Syndrome (SWS)-Related Glaucoma Due to Elevated Episcleral Venous Pressure (EVP)</t>
  </si>
  <si>
    <t>NCT05134194</t>
  </si>
  <si>
    <t>A Study of Camrelizumab in Combination With Chemotherapy Regimen Comparative Chemotherapy Regimen for Metastatic Triple-negative Breast Cancer</t>
  </si>
  <si>
    <t>NCT05263388</t>
  </si>
  <si>
    <t>A Trial to Compare the Ovarian Response of REKOVELLE and GONAL-F in Conventional Dosing in Women Undergoing Controlled Ovarian Stimulation</t>
  </si>
  <si>
    <t>NCT05560646</t>
  </si>
  <si>
    <t>A Study to Investigate Efficacy and Safety of OG-6219 BID in 3 Dose Levels Compared With Placebo in Participants Aged 18 to 49 With Moderate to Severe Endometriosis-related Pain</t>
  </si>
  <si>
    <t>NCT05441488</t>
  </si>
  <si>
    <t>Masitinib in the Treatment of Patients With Primary Progressive or Non-active Secondary Progressive Multiple Sclerosis</t>
  </si>
  <si>
    <t>NCT05245669</t>
  </si>
  <si>
    <t>Study to Compare the Pharmacokinetics, Pharmacodynamics, Safety, Tolerability, and Immunogenicity of Biosimilar Denosumab With Prolia® in Healthy Adult Male Volunteers</t>
  </si>
  <si>
    <t>Enzene Biosciences Ltd.</t>
  </si>
  <si>
    <t>NCT05425056</t>
  </si>
  <si>
    <t>A Study Testing the Use of a Perivascular Sirolimus Formulation (Sirogen) in ESRD Patients Undergoing AV Fistula Surgery</t>
  </si>
  <si>
    <t>Vascular Therapies, Inc.</t>
  </si>
  <si>
    <t>NCT05626959</t>
  </si>
  <si>
    <t>Evaluating the Efficacy of NTI164 in Young People With Autism Spectrum Disorder</t>
  </si>
  <si>
    <t>NCT05382546</t>
  </si>
  <si>
    <t>A Pharmacokinetic Study of Intravenous NTM-001 in Healthy Chinese Subjects</t>
  </si>
  <si>
    <t>Nuance Pharma (shanghai) Co., Ltd</t>
  </si>
  <si>
    <t>NCT05272683</t>
  </si>
  <si>
    <t>Drug-drug Interaction Study with GLPG3667 and Itraconazole in Healthy Subjects</t>
  </si>
  <si>
    <t>NCT05269966</t>
  </si>
  <si>
    <t>Study to Evaluate the Safety and Effectiveness of Intravitreal Injections (IVI) of Brolucizumab in Patients With Neovascular Age-related Macular Degeneration (nAMD)</t>
  </si>
  <si>
    <t>NCT05285982</t>
  </si>
  <si>
    <t>A Study to Evaluate Long-term Safety of Nintedanib in Children and Adolescents With Interstitial Lung Disease (InPedILD®-ON)</t>
  </si>
  <si>
    <t>NCT05639894</t>
  </si>
  <si>
    <t>Study of a Respiratory Syncytial Virus Candidate Encapsulated in a Lipid Nanoparticle Based Formulation in Adults Aged 18 to 50 Years and 60 Years and Older</t>
  </si>
  <si>
    <t>NCT05048082</t>
  </si>
  <si>
    <t>A Study to Evaluate Pegsitacianine, an Intraoperative Fluorescence Imaging Agent for the Detection of Lung Malignancies</t>
  </si>
  <si>
    <t>NCT05667129</t>
  </si>
  <si>
    <t>A Phase 1 Study to Evaluate Safety and Tolerability of Single and Multiple Ascending Doses of XEN-101</t>
  </si>
  <si>
    <t>Xeno Biosciences</t>
  </si>
  <si>
    <t>NCT05460429</t>
  </si>
  <si>
    <t>Immunogenicity, Safety and Protective Effect of Live Attenuated Varicella Vaccine and Study on Antibody Level and Etiology of Varicella Zoster Virus</t>
  </si>
  <si>
    <t>NCT05604170</t>
  </si>
  <si>
    <t>Open-label Study of Adjunctive GNX Treatment in Children and Adults With TSC-related Epilepsy</t>
  </si>
  <si>
    <t>NCT05397938</t>
  </si>
  <si>
    <t>Efficacy and Safety of JMT103 in the Treatment of Glucocorticoid Induced Osteoporosis</t>
  </si>
  <si>
    <t>NCT06383819</t>
  </si>
  <si>
    <t>Efficacy and Safety of Longidaza® for the Treatment of Patients With Residual Changes in the Lungs After COVID-19</t>
  </si>
  <si>
    <t>NCT05289557</t>
  </si>
  <si>
    <t>The Efficacy and Safety of Bonjesta® for Nausea and Vomiting of Pregnancy in Pregnant Adolescents</t>
  </si>
  <si>
    <t>Duchesnay Inc.</t>
  </si>
  <si>
    <t>NCT05286281</t>
  </si>
  <si>
    <t>A Study To Evaluate The Pharmacokinetics, Excretion, Mass Balance and Metabolism of PF-07265803</t>
  </si>
  <si>
    <t>NCT05337228</t>
  </si>
  <si>
    <t>Clinical Trial to Evaluate the Safety and Efficacy of IN-C006 Peri Inj. Compared With RPN301</t>
  </si>
  <si>
    <t>NCT03814109</t>
  </si>
  <si>
    <t>Efficacy and Safety of Leningrado Association in the Treatment of Hypertension</t>
  </si>
  <si>
    <t>NCT05603312</t>
  </si>
  <si>
    <t>A Double-blind Study to Evaluate the Safety of Glutamic Acid Decarboxylase Gene Transfer in Parkinson's Participants</t>
  </si>
  <si>
    <t>MeiraGTx, LLC</t>
  </si>
  <si>
    <t>NCT05654181</t>
  </si>
  <si>
    <t>A First-in-human Study of Single Doses of PF-07328948 Which is Given to Healthy Adult Participants</t>
  </si>
  <si>
    <t>NCT05401565</t>
  </si>
  <si>
    <t>Study To Evaluate The Efficacy And Safety Of Balovaptan In Adults With Post-Traumatic Stress Disorder (PTSD)</t>
  </si>
  <si>
    <t>NCT06794957</t>
  </si>
  <si>
    <t>A Study of AL8326 in Non-Small Cell Lung Cancer</t>
  </si>
  <si>
    <t>NCT05240612</t>
  </si>
  <si>
    <t>A Clinical Pharmacological Study of MT-3921 in Subjects With HTLV-1 Associated Myelopathy (HAM)</t>
  </si>
  <si>
    <t>NCT04384367</t>
  </si>
  <si>
    <t>Efficacy and Safety of Rizatriptan-Naproxen (10/550 Mg) in the Acute Treatment of Migraine</t>
  </si>
  <si>
    <t>NCT05083364</t>
  </si>
  <si>
    <t>Study of ARO-C3 in Adult Healthy Volunteers and Patients With Complement Mediated Renal Disease</t>
  </si>
  <si>
    <t>NCT04933695</t>
  </si>
  <si>
    <t>A Study of Sotorasib (AMG 510) in Participants With Stage IV NSCLC Whose Tumors Harbor a KRAS p.G12C Mutation in Need of First-line Treatment</t>
  </si>
  <si>
    <t>NCT07389577</t>
  </si>
  <si>
    <t>A Study to Compare JL14002 to Lucentis® in Subjects With Wet Age-related Macular Degeneration (wAMD)</t>
  </si>
  <si>
    <t>Jecho Biopharmaceuticals Co., Ltd.</t>
  </si>
  <si>
    <t>NCT04889430</t>
  </si>
  <si>
    <t>Efficacy and Safety of Iptacopan (LNP023) in Adult Patients With Atypical Hemolytic Uremic Syndrome Naive to Complement Inhibitor Therapy</t>
  </si>
  <si>
    <t>NCT05195632</t>
  </si>
  <si>
    <t>Phase II Study Investigating the Combination of Encorafenib and Binimetinib in BRAF V600E Mutated Chinese Patients With Metastatic Non-Small Cell Lung Cancer</t>
  </si>
  <si>
    <t>NCT05369676</t>
  </si>
  <si>
    <t>To Evaluate SSD8432/ Ritonavir in Adults With COVID-19</t>
  </si>
  <si>
    <t>NCT05407818</t>
  </si>
  <si>
    <t>A Study of JNJ-63733657 in Healthy Chinese Participants</t>
  </si>
  <si>
    <t>NCT05261490</t>
  </si>
  <si>
    <t>Study of Maplirpacept (PF-07901801) in Combination With PLD in Patients With Platinum-Resistant Ovarian Cancer</t>
  </si>
  <si>
    <t>NCT05184335</t>
  </si>
  <si>
    <t>Safety and Efficacy of Brilaroxazine (RP5063) in Schizophrenia</t>
  </si>
  <si>
    <t>Reviva Pharmaceuticals</t>
  </si>
  <si>
    <t>NCT05279417</t>
  </si>
  <si>
    <t>ATI-450 Plus Methotrexate (MTX) Versus Placebo Plus MTX in Participants With Moderate to Severe Active Rheumatoid Arthritis (RA)</t>
  </si>
  <si>
    <t>NCT05624606</t>
  </si>
  <si>
    <t>Safety and Immunogenicity of Quadrivalent Influenza mRNA Vaccine MRT5410 in Adult Participants 18 Years of Age and Older</t>
  </si>
  <si>
    <t>NCT04991935</t>
  </si>
  <si>
    <t>Safety Study of CC-93538 in Adult and Adolescent Participants With Eosinophilic Esophagitis</t>
  </si>
  <si>
    <t>NCT05381350</t>
  </si>
  <si>
    <t>Immunogenicity and Safety of Booster Immunization of COVID-19 Vaccine (Vero Cell), Inactivated (Omicron Variant) in Healthy People Aged 18 Years and Above</t>
  </si>
  <si>
    <t>NCT05394350</t>
  </si>
  <si>
    <t>A Study of MK-1088 as Monotherapy and in Combination With Pembrolizumab in Participants With Advanced Solid Tumors (MK-1088-002)</t>
  </si>
  <si>
    <t>NCT05624450</t>
  </si>
  <si>
    <t>Efficacy and Safety of Tozorakimab in Patients Hospitalised for Viral Lung Infection Requiring Supplemental Oxygen</t>
  </si>
  <si>
    <t>NCT05391776</t>
  </si>
  <si>
    <t>TST002 Intervenous Injection in Postmenopausal Women and Men With Reduced Bone Mineral Density</t>
  </si>
  <si>
    <t>HJB (Hangzhou) Co., Ltd.</t>
  </si>
  <si>
    <t>NCT05272150</t>
  </si>
  <si>
    <t>Study of Guselkumab in Skin of Color Participants With Moderate-to-severe Plaque and/or Scalp Psoriasis</t>
  </si>
  <si>
    <t>NCT05313035</t>
  </si>
  <si>
    <t>Safety and Immunogenicity Study of COVID-19 Protein Subunit Recombinant Vaccine</t>
  </si>
  <si>
    <t>NCT05608343</t>
  </si>
  <si>
    <t>This Study is to Assess the Efficacy of Difamilast Ointment in Mild to Moderate Atopic Dermatitis(AD)</t>
  </si>
  <si>
    <t>NCT05460832</t>
  </si>
  <si>
    <t>Phase 2b Study of MBS2320 in Participants With Methotrexate-Refractory RA</t>
  </si>
  <si>
    <t>Modern Biosciences Ltd</t>
  </si>
  <si>
    <t>NCT05345938</t>
  </si>
  <si>
    <t>A Study of Mitoxantrone Hydrochloride Liposome Injection in Subjects With Acute Myeloid Leukemia</t>
  </si>
  <si>
    <t>NCT05555121</t>
  </si>
  <si>
    <t>Rescue Progesterone Supplementation During Frozen Embryo Transfer</t>
  </si>
  <si>
    <t>NCT05165433</t>
  </si>
  <si>
    <t>Study of NG-350A Plus Pembrolizumab in Metastatic or Advanced Epithelial Tumours (FORTIFY)</t>
  </si>
  <si>
    <t>NCT05572684</t>
  </si>
  <si>
    <t>A Safety, Tolerability and Efficacy Study of NC410 Plus Pembrolizumab in Participants with Advanced Unresectable or Metastatic Solid Tumors</t>
  </si>
  <si>
    <t>NCT05533411</t>
  </si>
  <si>
    <t>A Study of Donanemab (LY3002813) in Healthy Chinese Participants</t>
  </si>
  <si>
    <t>NCT05113771</t>
  </si>
  <si>
    <t>A Biomarker-Guided, Randomized, Placebo-Controlled Efficacy and Safety Study of Liafensine in Patients With TRD</t>
  </si>
  <si>
    <t>NCT05462587</t>
  </si>
  <si>
    <t>A Study to Evaluate Efficacy and Safety of AVTX-803 in Patients With Leukocyte Adhesion Deficiency Type II</t>
  </si>
  <si>
    <t>AUG Therapeutics</t>
  </si>
  <si>
    <t>NCT05674045</t>
  </si>
  <si>
    <t>A Phase 2, Randomized, Placebo-controlled, Double-blind Study of EG017 in Female Patients With Stress Urinary Incontinence</t>
  </si>
  <si>
    <t>NCT05640245</t>
  </si>
  <si>
    <t>Evaluation of Sonelokimab for the Treatment of Patients With Active Psoriatic Arthritis</t>
  </si>
  <si>
    <t>NCT06481202</t>
  </si>
  <si>
    <t>A Safety and Pharmacokinetic Study of Complarate (Tocilizumab Biosimilar) and Actemra® in Healthy Volunteers</t>
  </si>
  <si>
    <t>NCT05827653</t>
  </si>
  <si>
    <t>MAD Study of NX210c</t>
  </si>
  <si>
    <t>Axoltis Pharma</t>
  </si>
  <si>
    <t>NCT05177094</t>
  </si>
  <si>
    <t>Chronic Pain Master Protocol (CPMP): A Study of LY3526318 in Participants With Diabetic Peripheral Neuropathic Pain</t>
  </si>
  <si>
    <t>NCT05240131</t>
  </si>
  <si>
    <t>A Study to Investigate the Safety and Efficacy of GB1211 (a Galectin-3 Inhibitor) in Combination With Atezolizumab in Patients With Non-Small Cell Lung Cancer (NSCLC).</t>
  </si>
  <si>
    <t>NCT05535972</t>
  </si>
  <si>
    <t>To Evaluate Real-World Effectiveness of Fluticasone Furoate/Umeclidinium Bromide/Vilanterol (FF/UMEC/VI) in a Single Inhaler (Trelegy Ellipta) in Participants With Symptomatic COPD</t>
  </si>
  <si>
    <t>NCT05375929</t>
  </si>
  <si>
    <t>A Study to Learn About Abrocitinib Tablets in People With Atopic Dermatitis in India</t>
  </si>
  <si>
    <t>NCT04970901</t>
  </si>
  <si>
    <t>A Study to Evaluate the Safety and Anti-cancer Activity of Loncastuximab Tesirine in Combination With Other Anti-cancer Agents in Participants With Relapsed or Refractory B-cell Non-Hodgkin Lymphoma (LOTIS-7)</t>
  </si>
  <si>
    <t>NCT05030831</t>
  </si>
  <si>
    <t>Evaluation of Safety, Tolerability, and Efficacy of INZ-701 in Adults With ABCC6 Deficiency Causing PXE</t>
  </si>
  <si>
    <t>NCT05347095</t>
  </si>
  <si>
    <t>A Study of Guselkumab in Participants With Fistulizing, Perianal Crohn's Disease</t>
  </si>
  <si>
    <t>NCT05254457</t>
  </si>
  <si>
    <t>Long-Term Safety, Efficacy, and Durability of EN3835 in the Treatment and Retreatment of Plantar Fibromatosis</t>
  </si>
  <si>
    <t>NCT05650112</t>
  </si>
  <si>
    <t>Safety and Tolerability of FB-001 in Healthy Adult Volunteers and Adult Subjects With Enteric Hyperoxaluria</t>
  </si>
  <si>
    <t>Federation Bio Inc.</t>
  </si>
  <si>
    <t>NCT05625412</t>
  </si>
  <si>
    <t>A Study of BMS-986360/CC-90001 Alone and in Combination With Chemotherapy or Nivolumab in Advanced Solid Tumors</t>
  </si>
  <si>
    <t>NCT06165965</t>
  </si>
  <si>
    <t>To Evaluate the Safety and Pharmacokinetic Characteristics After the Administration of JT-001, JT-002 and JLP-2008</t>
  </si>
  <si>
    <t>NCT04898322</t>
  </si>
  <si>
    <t>SY-005 （Recombinant Human Annexin A5）in Patients With Sepsis</t>
  </si>
  <si>
    <t>NCT05120375</t>
  </si>
  <si>
    <t>Assessment of Safety and Preliminary Efficacy With BAT6021 in Solid Tumor Patients in China</t>
  </si>
  <si>
    <t>NCT06117566</t>
  </si>
  <si>
    <t>A Study of WX390 Combined With Toripalimab in Patients With Advanced Solid Tumors</t>
  </si>
  <si>
    <t>NCT05458102</t>
  </si>
  <si>
    <t>Drug-Drug Interaction Study of Vesatolimod in Adults With HIV-1 Who Have Very Low or Undetectable Virus Levels</t>
  </si>
  <si>
    <t>NCT05070845</t>
  </si>
  <si>
    <t>Safety and Efficacy Study of PF-06835375 in Primary Immune Thrombocytopenia</t>
  </si>
  <si>
    <t>NCT05425719</t>
  </si>
  <si>
    <t>Pharmacokinetics and Safety of MB-102 (Relmapirazin) and the MediBeacon Transdermal GFR Measurement System in Evaluation of Kidney Function in Normal and Renal Compromised Subjects</t>
  </si>
  <si>
    <t>MediBeacon</t>
  </si>
  <si>
    <t>NCT05677672</t>
  </si>
  <si>
    <t>The Purpose of This Study is to Evaluate the Safety and Efficacy of Human TH-SC01 Cell Injection in the Treatment of Complex Perianal Fistula</t>
  </si>
  <si>
    <t>Jiangsu Topcel-KH Pharmaceutical Co., Ltd.</t>
  </si>
  <si>
    <t>NCT05642845</t>
  </si>
  <si>
    <t>Bioequivalence Study of Two Formulations of Atorvastatin Film-coated Tablets 40 mg in Healthy Volunteers Under Fasting Conditions</t>
  </si>
  <si>
    <t>NCT05307328</t>
  </si>
  <si>
    <t>SPI-62 as a Treatment for Adrenocorticotropic Hormone-dependent Cushing's Syndrome</t>
  </si>
  <si>
    <t>NCT05387265</t>
  </si>
  <si>
    <t>A Trial to Find Safe and Active Doses for an Investigational Drug, CX-904, for Patients With Advanced Solid Tumors</t>
  </si>
  <si>
    <t>NCT05492877</t>
  </si>
  <si>
    <t>An Efficacy and Safety Study of Mitiperstat (AZD4831) (MPO Inhibitor) vs Placebo in the Treatment of Moderate to Severe COPD.</t>
  </si>
  <si>
    <t>NCT05408663</t>
  </si>
  <si>
    <t>A Phase 1 Study of EXT608 in Healthy Adults</t>
  </si>
  <si>
    <t>Extend Biosciences Inc.</t>
  </si>
  <si>
    <t>NCT05303532</t>
  </si>
  <si>
    <t>Roll Over StudY for Patients Who Have Completed a Previous Oncology Study With Durvalumab</t>
  </si>
  <si>
    <t>NCT05551598</t>
  </si>
  <si>
    <t>Efficacy and Safety of Mitoxantrone Hydrochloride Liposome Injection in the Treatment of Neuromyelitis Optica Spectrum Disorder (NMOSD)</t>
  </si>
  <si>
    <t>NCT05316233</t>
  </si>
  <si>
    <t>A Study to Assess Adverse Events and Change in Disease Activity of JUVÉDERM® VOLITE™ XC Injectable Gel for Change in Neck Appearance in Adult Participants</t>
  </si>
  <si>
    <t>NCT05483504</t>
  </si>
  <si>
    <t>Clinical Study of F61 Injection in Healthy Chinese Subjects</t>
  </si>
  <si>
    <t>Wuhan Institute of Biological Products Co., Ltd</t>
  </si>
  <si>
    <t>NCT05268016</t>
  </si>
  <si>
    <t>Efficacy and Safety of ME3183 in Subjects With Moderate to Severe Plaque Psoriasis</t>
  </si>
  <si>
    <t>Meiji Pharma USA Inc.</t>
  </si>
  <si>
    <t>NCT04549116</t>
  </si>
  <si>
    <t>Subcutaneous Progesterone in Frozen- Thawed Single Euploid Blastocyst Transfer.</t>
  </si>
  <si>
    <t>NCT05253833</t>
  </si>
  <si>
    <t>Phase 2 to Assess Efficacy and Safety in AR882 Alone or in Combination With Allopurinol in Patients With Tophaceous Gout</t>
  </si>
  <si>
    <t>NCT05563844</t>
  </si>
  <si>
    <t>Study of Purinostat Mesylate for Injection in the Treatment of Relapsed or Refractory Diffuse Large B-cell Lymphoma (R/R DLBCL)</t>
  </si>
  <si>
    <t>NCT05205109</t>
  </si>
  <si>
    <t>A Study to Assess the Safety, Pharmacokinetics, Pharmacodynamics, and Preliminary Efficacy of ATG 037 Monotherapy and Combination Therapy With Pembrolizumab in Patients With Advanced Solid Tumors</t>
  </si>
  <si>
    <t>NCT05234684</t>
  </si>
  <si>
    <t>A Study of Orelabrutinib Plus R-CHOP in Treatment-naïve Patients With MCD Subtype Diffuse Large B-cell Lymphoma</t>
  </si>
  <si>
    <t>NCT05535933</t>
  </si>
  <si>
    <t>HMPL-523 (Sovleplenib) in the Treatment of Warm Antibody Autoimmune Hemolytic Anemia</t>
  </si>
  <si>
    <t>NCT05352763</t>
  </si>
  <si>
    <t>Open-Label Extension of the PTI-125-04 Study in Mild-to-Moderate Alzheimer's Disease</t>
  </si>
  <si>
    <t>NCT04915404</t>
  </si>
  <si>
    <t>Berubicin in Adult Patients With Recurrent Glioblastoma Multiforme (WHO Grade IV)</t>
  </si>
  <si>
    <t>WPD Pharmaceuticals Sp. z o.o.</t>
  </si>
  <si>
    <t>NCT05271799</t>
  </si>
  <si>
    <t>A Study to Evaluate Pharmacokinetic, Safety, Tolerability and Relative Bioavailability of Gepotidacin in Healthy Adult Male and Female Participants</t>
  </si>
  <si>
    <t>NCT05860114</t>
  </si>
  <si>
    <t>Givinostat and Metabolites Pharmacokinetics in Urine and Plasma (Part 3)</t>
  </si>
  <si>
    <t>NCT05271409</t>
  </si>
  <si>
    <t>A Study to Evaluate the Efficacy, Safety, Pharmacokinetics, and Pharmacodynamics of Satralizumab in Participants With Myelin Oligodendrocyte Glycoprotein Antibody-associated Disease</t>
  </si>
  <si>
    <t>NCT05417321</t>
  </si>
  <si>
    <t>A Study Evaluating the Safety and Efficacy of HB0036 in Subjects With Advanced Solid Tumors</t>
  </si>
  <si>
    <t>NCT05587699</t>
  </si>
  <si>
    <t>The Parallel Study to Evaluate the Pharmacokinetics, Pharmacodynamics, and Safety of CKD-843 A</t>
  </si>
  <si>
    <t>NCT05615532</t>
  </si>
  <si>
    <t>A Relative Bioavailability Study of LY3209590 in Healthy Participants</t>
  </si>
  <si>
    <t>NCT05257993</t>
  </si>
  <si>
    <t>Study to Assess the Safety, Tolerability of JPI-547 in Combination With Modified FOLFIRINOX or Gemcitabine-nab-paclitaxel in Patients With Locally Advanced and Metastatic Pancreatic Cancer</t>
  </si>
  <si>
    <t>NCT05567887</t>
  </si>
  <si>
    <t>A Study to Learn About the Study Medicine (Called Maplirpacept (PF-07901801)) in Japanese With Hematologic Malignancies</t>
  </si>
  <si>
    <t>NCT05549804</t>
  </si>
  <si>
    <t>A Study of Intratumoral KL340399 in Patients With Advanced Solid Tumors</t>
  </si>
  <si>
    <t>NCT05296798</t>
  </si>
  <si>
    <t>A Study to Evaluate the Efficacy and Safety of Giredestrant in Combination With Phesgo (Pertuzumab, Trastuzumab, and Hyaluronidase-zzxf) Versus Phesgo in Participants With Locally Advanced or Metastatic Breast Cancer (heredERA Breast Cancer)</t>
  </si>
  <si>
    <t>NCT05704244</t>
  </si>
  <si>
    <t>Safety and Efficacy of FE 999326 Administered Intravesically to Japanese Subjects With High-grade, BCG Unresponsive, Non-muscle Invasive Bladder Cancer (NMIBC)</t>
  </si>
  <si>
    <t>NCT05366634</t>
  </si>
  <si>
    <t>A Single Ascending Dose Study to Evaluate MDK-703 in Healthy Adult Volunteers</t>
  </si>
  <si>
    <t>Medikine, Inc.</t>
  </si>
  <si>
    <t>NCT05305599</t>
  </si>
  <si>
    <t>Different Doses of ZED1227 vs. Placebo in NAFLD</t>
  </si>
  <si>
    <t>NCT05320393</t>
  </si>
  <si>
    <t>Study to Demonstrate Safety and Duration of Effect of 40 Units of PrabotulinumtoxinA-xvfs to Treat Glabellar Lines</t>
  </si>
  <si>
    <t>Evolus, Inc.</t>
  </si>
  <si>
    <t>NCT05759234</t>
  </si>
  <si>
    <t>A Study of HS248 in Patients With Advanced Solid Tumors</t>
  </si>
  <si>
    <t>Hanhui Pharmaceutical Co., Ltd</t>
  </si>
  <si>
    <t>NCT05549609</t>
  </si>
  <si>
    <t>A Study of XSTEM-VLU in Patients With Difficult-to-heal Venous Leg Ulcers</t>
  </si>
  <si>
    <t>Xintela AB</t>
  </si>
  <si>
    <t>NCT04878432</t>
  </si>
  <si>
    <t>STIMULUS MDS-US : Sabatolimab Added to HMA in Higher Risk MDS</t>
  </si>
  <si>
    <t>NCT05345964</t>
  </si>
  <si>
    <t>Phase I Study of GST-HG151 Tablets in Healthy Volunteers</t>
  </si>
  <si>
    <t>NCT05839964</t>
  </si>
  <si>
    <t>A Double-Blind, Randomized, Placebo-Controlled Study of the Safety and Effects of CBN With and Without CBD on Sleep Quality</t>
  </si>
  <si>
    <t>NCT05329103</t>
  </si>
  <si>
    <t>A Study to Evaluate PEEL-224 in Patients With Advanced Solid Tumors</t>
  </si>
  <si>
    <t>Peel Therapeutics Inc</t>
  </si>
  <si>
    <t>NCT05430386</t>
  </si>
  <si>
    <t>Study of HS-10241 in Combination With Almonertinib in Patients With Locally Advanced or Metastatic NSCLC</t>
  </si>
  <si>
    <t>NCT05369754</t>
  </si>
  <si>
    <t>A Phase Ia Clinical Study to Evaluate the Safety, Tolerability, PK and Immunogenicity of YBSW015 in Healthy Subjects</t>
  </si>
  <si>
    <t>Yabao Pharmaceutical Group</t>
  </si>
  <si>
    <t>NCT05563454</t>
  </si>
  <si>
    <t>A Study to Learn How Safe the Study Treatment BAY2395840 is, How it Affects the Body and How it Moves Into, Through, and Out of the Body if Given in Single and in Repetitive Doses to Japanese Healthy Male Participants</t>
  </si>
  <si>
    <t>NCT05347394</t>
  </si>
  <si>
    <t>A Phase 1 Dose Escalation Study of Oral VX-708 in Healthy Participants</t>
  </si>
  <si>
    <t>NCT05682170</t>
  </si>
  <si>
    <t>Study of the ZN-d5 and ZN-c3 in Subjects With Acute Myeloid Leukemia (AML)</t>
  </si>
  <si>
    <t>NCT05020769</t>
  </si>
  <si>
    <t>SI-B001 Combined With Osimertinib Mesylate Tablets in the Treatment of Recurrent Metastatic Non-small Cell Lung Cancer.</t>
  </si>
  <si>
    <t>NCT05617183</t>
  </si>
  <si>
    <t>Compare the Auto-injector and Pre-filled Syringe of CT-P47 in Healthy Subjects</t>
  </si>
  <si>
    <t>NCT05407246</t>
  </si>
  <si>
    <t>Phase II Study of Hemay005 in Patients With Active Ankylosing Spondylitis</t>
  </si>
  <si>
    <t>NCT05463094</t>
  </si>
  <si>
    <t>GXR RM China BE Study (Darmstadt - Jiangsu)</t>
  </si>
  <si>
    <t>NCT05239741</t>
  </si>
  <si>
    <t>Study of Pembrolizumab (MK-3475) Versus Chemotherapy in Chinese Participants With Stage IV Colorectal Cancer (MK-3475-C66)</t>
  </si>
  <si>
    <t>NCT05431088</t>
  </si>
  <si>
    <t>A Phase 2/3 Study in Adult and Adolescent Participants With SCD</t>
  </si>
  <si>
    <t>NCT05403541</t>
  </si>
  <si>
    <t>Phase 3 Study to Assess the Efficacy and Safety of Batoclimab as Induction and Maintenance Therapy in Adult Participants With Generalized Myasthenia Gravis</t>
  </si>
  <si>
    <t>NCT05469854</t>
  </si>
  <si>
    <t>A Study to Investigate the Pharmacokinetics and ECG Effects of Linaprazan Glurate</t>
  </si>
  <si>
    <t>NCT05346224</t>
  </si>
  <si>
    <t>A Study to Evaluate the Efficacy and Safety of HLX11 vs. EU-Perjeta® in the Neoadjuvant Therapy of HER2-Positive and HR-Negative Early-stage or Locally Advanced Breast Cancer</t>
  </si>
  <si>
    <t>NCT05239650</t>
  </si>
  <si>
    <t>Phase II Clinical Study to Evaluate the Efficacy and Safety of HLX07+HLX10 +mFOLFOX6 or HLX07 Monotherapy in Patients With mCRC</t>
  </si>
  <si>
    <t>NCT05258682</t>
  </si>
  <si>
    <t>Safety of Nebulized Combination Therapy BromAc® in COVID-19 Respiratory Disease</t>
  </si>
  <si>
    <t>NCT05347225</t>
  </si>
  <si>
    <t>A Study of Nemtabrutinib (MK-1026) in China Participants With Relapsed or Refractory Hematologic Malignancies (MK-1026-005)</t>
  </si>
  <si>
    <t>NCT05598268</t>
  </si>
  <si>
    <t>A Study of T3011 Administered Via Intravenously in Patients With Advanced Solid Tumors.</t>
  </si>
  <si>
    <t>NCT05616013</t>
  </si>
  <si>
    <t>Safety and Efficacy of Bimagrumab and Semaglutide in Adults Who Are Overweight or Obese</t>
  </si>
  <si>
    <t>NCT05509023</t>
  </si>
  <si>
    <t>Evaluating Safety and Efficacy of ADX-914 in Patients With Moderate to Severe Atopic Dermatitis (SIGNAL-AD)</t>
  </si>
  <si>
    <t>NCT05399550</t>
  </si>
  <si>
    <t>Study to Evaluate The Safety and Efficacy of Balovaptan in Participants With Acute Ischemic Stroke at a High Risk of Developing Malignant Brain Edema</t>
  </si>
  <si>
    <t>NCT05265013</t>
  </si>
  <si>
    <t>ASP-1929 Photoimmunotherapy Combined With Pembrolizumab in Patients With Recurrent Head and Neck Cancer, With or Without Metastases</t>
  </si>
  <si>
    <t>NCT05059327</t>
  </si>
  <si>
    <t>Basimglurant (NOE-101) in Children, Adolescents, and Young Adults With TSC</t>
  </si>
  <si>
    <t>Noema Pharma AG</t>
  </si>
  <si>
    <t>NCT05263180</t>
  </si>
  <si>
    <t>A Study of EMB-09 in Participants With Advanced or Metastatic Solid Tumors.</t>
  </si>
  <si>
    <t>NCT05724446</t>
  </si>
  <si>
    <t>Clobetasol Propionate Ophthalmic Nanoemulsion, 0.05% in the Treatment of Inflammation After Cataract Surgery in Pediatric Population</t>
  </si>
  <si>
    <t>NCT05597241</t>
  </si>
  <si>
    <t>Multiple Ascending Dose and Electroencephalography Trial of GATE-202 in Healthy Volunteers</t>
  </si>
  <si>
    <t>NCT05886829</t>
  </si>
  <si>
    <t>Chlorpheniramine Nasal Spray to Accelerate COVID-19 Clinical Recovery in an Outpatient Setting: ACCROS-III</t>
  </si>
  <si>
    <t>NCT05368103</t>
  </si>
  <si>
    <t>Study of DAXDILIMAB for the Treatment of Moderate-to-Severe Alopecia Areata</t>
  </si>
  <si>
    <t>NCT03979742</t>
  </si>
  <si>
    <t>Umbilical Cord Blood Cell (MC001) Transplant Into Injured Spinal Cord Followed by the Locomotor Training</t>
  </si>
  <si>
    <t>StemCyte, Inc.</t>
  </si>
  <si>
    <t>NCT05689203</t>
  </si>
  <si>
    <t>A Phase 2 Study to Evaluate the Efficacy and Safety of QLS1128 Orally in Symptomatic Participants With Mild to Moderate COVID-19</t>
  </si>
  <si>
    <t>NCT05526703</t>
  </si>
  <si>
    <t>Clinical Trial to Evaluate the Efficacy and Safety of D064 and D701 Combination Therapy</t>
  </si>
  <si>
    <t>NCT05274880</t>
  </si>
  <si>
    <t>Study to Evaluate the Food Effect on Pharmacokinetics Profile and Safety of CKD-393</t>
  </si>
  <si>
    <t>NCT05449535</t>
  </si>
  <si>
    <t>Study of JYB1904 (an Anti-immunoglobulin E Antibody) in Healthy Chinese Subjects</t>
  </si>
  <si>
    <t>NCT05573035</t>
  </si>
  <si>
    <t>A Study to Investigate LYL845 in Adults With Solid Tumors</t>
  </si>
  <si>
    <t>NCT05431426</t>
  </si>
  <si>
    <t>PK of CHF6001 in Subjects With Mild, Moderate and Severe Renal Impairment vs. Healthy Volunteers</t>
  </si>
  <si>
    <t>NCT05218655</t>
  </si>
  <si>
    <t>A Safety Study for Previously Treated Vatiquinone (PTC743) Participants With Inherited Mitochondrial Disease</t>
  </si>
  <si>
    <t>NCT05314738</t>
  </si>
  <si>
    <t>Safety and Efficacy of Corneal Cross-linking in Subjects With Keratoconus</t>
  </si>
  <si>
    <t>NCT05360550</t>
  </si>
  <si>
    <t>A Study to Evaluate the Effect of a Contraceptive Vaginal Ring LSP- 5415 on Ovarian Function in Healthy Adult Females</t>
  </si>
  <si>
    <t>Lupin Research Inc</t>
  </si>
  <si>
    <t>NCT05531682</t>
  </si>
  <si>
    <t>A Study to Evaluate the Efficacy and Safety of HB0017 in Patients With Moderate to Severe Plaque Psoriasis</t>
  </si>
  <si>
    <t>NCT06860282</t>
  </si>
  <si>
    <t>A Study of CX2101A Enteric-Coated Tablets in Healthy Chinese Adult Subjects</t>
  </si>
  <si>
    <t>Heronova Pharmaceuticals</t>
  </si>
  <si>
    <t>NCT05442710</t>
  </si>
  <si>
    <t>Recovery From Acute Immune Failure in Septic Shock by Immune Cell Extracorporeal Therapy</t>
  </si>
  <si>
    <t>Artcline GmbH</t>
  </si>
  <si>
    <t>NCT06769620</t>
  </si>
  <si>
    <t>A First in Human Study of ORT247 in Healthy Volunteers</t>
  </si>
  <si>
    <t>Orthogonal Neuroscience Inc.</t>
  </si>
  <si>
    <t>NCT05387759</t>
  </si>
  <si>
    <t>A Thorough QT Study of Aticaprant (JNJ-67953964) in Healthy Adult Participants</t>
  </si>
  <si>
    <t>NCT05625919</t>
  </si>
  <si>
    <t>A Study of Safety and Efficacy of Sirolimus for Injection (Albumin-bound) in Patients With Advanced Malignant Perivascular Epithelioid Cell Tumor (PEComa)</t>
  </si>
  <si>
    <t>NCT05248230</t>
  </si>
  <si>
    <t>4D-710 in Adult Patients With Cystic Fibrosis</t>
  </si>
  <si>
    <t>NCT05125809</t>
  </si>
  <si>
    <t>Setrusumab vs Placebo for Osteogenesis Imperfecta</t>
  </si>
  <si>
    <t>NCT05521438</t>
  </si>
  <si>
    <t>Safety, Tolerability and Efficacy of QRX003 Lotion in Subjects With Netherton Syndrome</t>
  </si>
  <si>
    <t>Quoin Pharmaceuticals</t>
  </si>
  <si>
    <t>NCT05289271</t>
  </si>
  <si>
    <t>Safety, Tolerability, and Immunogenicity of Vaxelis™ in Children Previously Vaccinated With Vaxelis™ or Hexyon™ (V419-016)</t>
  </si>
  <si>
    <t>NCT05567471</t>
  </si>
  <si>
    <t>Phase 3 Study to Evaluate Immunogenicity and Safety of BBV154 Booster Dose</t>
  </si>
  <si>
    <t>NCT05267106</t>
  </si>
  <si>
    <t>Study to Evaluate the Efficacy and Safety of Pemigatinib in Participants With Previously Treated Glioblastoma or Other Primary Central Nervous System Tumors Harboring Activating FGFR1-3 Alterations</t>
  </si>
  <si>
    <t>NCT05315947</t>
  </si>
  <si>
    <t>A Study to Assess the Bioequivalence Between Brivaracetam Tablet and Dry Syrup in Healthy Male Japanese Study Participants</t>
  </si>
  <si>
    <t>NCT05677438</t>
  </si>
  <si>
    <t>A Phase 2 Study to Evaluate the Safety and Efficacy of CKD-498 in Female Patients With Androgenetic Alopecia</t>
  </si>
  <si>
    <t>NCT05511038</t>
  </si>
  <si>
    <t>A Study to Learn How Safe the Study Drug Intravitreal (Given by an Injection Into the Eye) Aflibercept is in Participants in India With Diabetic Macular Edema</t>
  </si>
  <si>
    <t>NCT04976647</t>
  </si>
  <si>
    <t>A Study of HLX07 + HLX10 With or Without Chemotherapy Versus HLX10 With Chemotherapy in First Line sqNSCLC</t>
  </si>
  <si>
    <t>NCT05466448</t>
  </si>
  <si>
    <t>An Open Label Study That Will Test Safety and Efficacy of RZL-012 Injection Into the Submental Fat in Chinese vs. Non-Chinese Subjects.</t>
  </si>
  <si>
    <t>NCT05542264</t>
  </si>
  <si>
    <t>A Clinical Study That Will Assess the Effect of SEP-363856 or Prior Antipsychotic (PA) Standard of Care on Body-weight Associated Parameters in Subjects With Schizophrenia</t>
  </si>
  <si>
    <t>NCT05238116</t>
  </si>
  <si>
    <t>Safety and Efficacy of PC945 (Opelconazole) in Combination With Other Antifungal Therapy for the Treatment of Refractory Invasive Pulmonary Aspergillosis (OPERA-T Study)</t>
  </si>
  <si>
    <t>NCT04581733</t>
  </si>
  <si>
    <t>A Study of the Efficacy and Safety of MT1621 in Thymidine Kinase 2 (TK2) Deficiency (Treatment naïve)</t>
  </si>
  <si>
    <t>Zogenix MDS, Inc.</t>
  </si>
  <si>
    <t>NCT06465433</t>
  </si>
  <si>
    <t>Extension Study to Provide Continued Treatment for Patients With Hematologic Malignancies Previously Enrolled in Studies With Tafasitamab</t>
  </si>
  <si>
    <t>NCT05337345</t>
  </si>
  <si>
    <t>A Study to Evaluate the Drug Levels of Cendakimab Delivered Subcutaneously in Healthy Participants</t>
  </si>
  <si>
    <t>NCT05564039</t>
  </si>
  <si>
    <t>A Study of Tirzepatide (LY3298176) in Adult Participants With Type 2 Diabetes Switching From Dulaglutide (SURPASS-SWITCH)</t>
  </si>
  <si>
    <t>NCT05539157</t>
  </si>
  <si>
    <t>Study to Evaluate JCXH-211 as Monotherapy in Patients With Malignant Solid Tumors</t>
  </si>
  <si>
    <t>Immorna Biotherapeutics, Inc.</t>
  </si>
  <si>
    <t>NCT05359081</t>
  </si>
  <si>
    <t>A Clinical Trial to Evaluate the Long-term Safety and Tolerability of SEP-363856 in Patients With Schizophrenia in Japan</t>
  </si>
  <si>
    <t>NCT05352919</t>
  </si>
  <si>
    <t>An Extension Study to Learn More About the Long-Term Safety of Litifilimab (BIIB059) Injections and Whether They Can Improve Symptoms of Adult Participants Who Have Systemic Lupus Erythematosus</t>
  </si>
  <si>
    <t>NCT05201092</t>
  </si>
  <si>
    <t>A Study Investigating Lu AG06466 in Healthy Men</t>
  </si>
  <si>
    <t>NCT05626634</t>
  </si>
  <si>
    <t>Open-label, Long-term Safety Study of LP352 in Subjects With Developmental and Epileptic Encephalopathy</t>
  </si>
  <si>
    <t>Longboard Pharmaceuticals</t>
  </si>
  <si>
    <t>NCT05109234</t>
  </si>
  <si>
    <t>A Study to Test the Long-term Safety, Tolerability and Efficacy of Brivaracetam in Study Participants 2 to 26 Years of Age With Childhood Absence Epilepsy or Juvenile Absence Epilepsy</t>
  </si>
  <si>
    <t>NCT05279300</t>
  </si>
  <si>
    <t>A Study of CS5001 in Patients With Advanced Solid Tumors and Lymphomas</t>
  </si>
  <si>
    <t>NCT05365100</t>
  </si>
  <si>
    <t>A Study of BN102 in Patients With Previously Treated CLL/SLL and B-cell NHL</t>
  </si>
  <si>
    <t>NCT04732416</t>
  </si>
  <si>
    <t>HM15136 (Efpegerglucagon) Treatment for 8 Weeks in Subjects Aged ≥2 Years With Congenital Hyperinsulinism (CHI)</t>
  </si>
  <si>
    <t>NCT05144347</t>
  </si>
  <si>
    <t>Study of XL114 in Subjects With Non-Hodgkin's Lymphoma</t>
  </si>
  <si>
    <t>NCT05170828</t>
  </si>
  <si>
    <t>Cryopreserved MMUD BM With PTCy for Hematologic Malignancies</t>
  </si>
  <si>
    <t>NCT05213728</t>
  </si>
  <si>
    <t>A Phase 1, Open-label, Safety and Immunogenicity Study of an Oral Multi-dose Administration Regimen With an Adenoviral-vector Based Tablet Norovirus Vaccine (VXA-G1.1-NN) Administered to Healthy Adult Volunteers</t>
  </si>
  <si>
    <t>NCT05615467</t>
  </si>
  <si>
    <t>A Study of Effect of LY3556050 on Metformin in Healthy Participants</t>
  </si>
  <si>
    <t>NCT05428436</t>
  </si>
  <si>
    <t>A Study in Healthy People to Compare 2 Different Formulations of BI 1015550 Taken With or Without Food</t>
  </si>
  <si>
    <t>NCT05421663</t>
  </si>
  <si>
    <t>A Study of JNJ-90014496 in Participants With B-Cell Non-Hodgkin Lymphoma</t>
  </si>
  <si>
    <t>NCT05453487</t>
  </si>
  <si>
    <t>Immunogenicity and Safety of an Inactivated SARS-CoV-2 Vaccine (Sinopharm BBIBP-CorV) Coadministered With Rabies Vaccine</t>
  </si>
  <si>
    <t>NCT06209281</t>
  </si>
  <si>
    <t>A Phase III Clinical Study of the Efficacy and Safety of Two Low-concentration Atropine Sulfate Eye Drops</t>
  </si>
  <si>
    <t>NCT05339334</t>
  </si>
  <si>
    <t>A Study to Learn About the Study Medicine PF-07321332 and Ritonavir in Adult Healthy Chinese Participants.</t>
  </si>
  <si>
    <t>NCT05227209</t>
  </si>
  <si>
    <t>A Clinical Trial to Determine the Long-term Safety and Tolerability of an Investigational Drug in People With Major Depressive Episode Associated With Bipolar I Disorder (Bipolar I Depression).</t>
  </si>
  <si>
    <t>NCT05186909</t>
  </si>
  <si>
    <t>A Study of CM310 in Subjects With Moderate to Severe Asthma</t>
  </si>
  <si>
    <t>NCT05381909</t>
  </si>
  <si>
    <t>A Study of BGB-24714 as Monotherapy and With Combination Therapies in Participants With Solid Tumors</t>
  </si>
  <si>
    <t>NCT05607563</t>
  </si>
  <si>
    <t>A Study of PM1009 (Anti-TIGIT/PVRIG) in Patients With Advanced Tumours</t>
  </si>
  <si>
    <t>NCT05327816</t>
  </si>
  <si>
    <t>A Study of Various Respiratory Syncytial Virus (RSV) Pre-Fusion (preF)-Based Vaccine Formulations in Adults Aged 60 Years and Older</t>
  </si>
  <si>
    <t>NCT04965077</t>
  </si>
  <si>
    <t>Treatment of Advanced and Metastatic Solid Tumors With MIL97</t>
  </si>
  <si>
    <t>NCT05518734</t>
  </si>
  <si>
    <t>A Phase 1 Dose Escalation Study of VX-708 in Healthy Participants</t>
  </si>
  <si>
    <t>NCT05200364</t>
  </si>
  <si>
    <t>A Study of STRO-002, an Anti-Folate Receptor Alpha Antibody Drug Conjugate, in Combination With Bevacizumab in Epithelial Ovarian Cancer</t>
  </si>
  <si>
    <t>Sutro Biopharma, Inc.</t>
  </si>
  <si>
    <t>NCT05309187</t>
  </si>
  <si>
    <t>Dose-Escalation and Dose-Expansion Study of IO-202 and IO-202+Pembrolizumab in Solid Tumors</t>
  </si>
  <si>
    <t>NCT05413421</t>
  </si>
  <si>
    <t>Study of ORIC-944 in Patients With Metastatic Prostate Cancer</t>
  </si>
  <si>
    <t>ORIC Pharmaceuticals</t>
  </si>
  <si>
    <t>NCT05536414</t>
  </si>
  <si>
    <t>Trial of Centanafadine Efficacy and Safety as Monotherapy or as Adjunct to SSRI in Adults With Major Depressive Disorder</t>
  </si>
  <si>
    <t>NCT05816681</t>
  </si>
  <si>
    <t>Assessment of Elemental Impurities Level After Multiple Administration of DWJ1230 or DWB2001 in Subjects With Functional Diarrhea or Irritable Bowel Syndrome With Predominant Diarrhea.</t>
  </si>
  <si>
    <t>NCT05634811</t>
  </si>
  <si>
    <t>Safety Study of a Vaccine to Help Protect Against Lyme Disease in Healthy Children</t>
  </si>
  <si>
    <t>NCT03649464</t>
  </si>
  <si>
    <t>Investigation of Oral OKN-007 in Recurrent High-grade Glioma Participants</t>
  </si>
  <si>
    <t>NCT03309514</t>
  </si>
  <si>
    <t>Transplantation of Neural Stem Cell-Derived Neurons for Parkinson's Disease</t>
  </si>
  <si>
    <t>NeuroGeneration</t>
  </si>
  <si>
    <t>NCT05251259</t>
  </si>
  <si>
    <t>Study to Assess the Efficacy and Safety of Atuliflapon in Moderate-to-Severe Uncontrolled Asthma</t>
  </si>
  <si>
    <t>NCT05667779</t>
  </si>
  <si>
    <t>A Study Evaluating Safety, Tolerability, and Pharmacokinetics of QRL-101 in Healthy Participants</t>
  </si>
  <si>
    <t>QurAlis Corporation</t>
  </si>
  <si>
    <t>NCT05445557</t>
  </si>
  <si>
    <t>Evaluation of Safety and Efficacy of RZL-012 in Subjects Seeking Fat Reduction in the Flanks</t>
  </si>
  <si>
    <t>NCT05053165</t>
  </si>
  <si>
    <t>A Study to Assess the Safety and Tolerability of LB-P6 and LB-P8 in Healthy Participants</t>
  </si>
  <si>
    <t>LISCure Biosciences</t>
  </si>
  <si>
    <t>NCT04906980</t>
  </si>
  <si>
    <t>A Study of JNJ-64281802 in Participants With Confirmed Dengue Fever</t>
  </si>
  <si>
    <t>NCT05409157</t>
  </si>
  <si>
    <t>A Study to Evaluate the Drug Levels of BMS-986166 in Healthy Male Participants</t>
  </si>
  <si>
    <t>NCT05026567</t>
  </si>
  <si>
    <t>Bioavailability Study of Midazolam Administered as a Solution by Conventional Syringe or ZENEO®</t>
  </si>
  <si>
    <t>Crossject</t>
  </si>
  <si>
    <t>NCT05480800</t>
  </si>
  <si>
    <t>A Study to Evaluate Safety, Reactogenicity, and Immune Response of GVGH iNTS-TCV Vaccine Against Invasive Nontyphoidal Salmonella and Typhoid Fever</t>
  </si>
  <si>
    <t>NCT05245071</t>
  </si>
  <si>
    <t>Tusamitamab Ravtansine in NSQ NSCLC Participants With Negative or Moderate CEACAM5 Expression Tumors and High Circulating CEA</t>
  </si>
  <si>
    <t>NCT05512494</t>
  </si>
  <si>
    <t>Lot-to-lot Consistency of Quadrivalent Influenza Vaccine (Split Virion), Inactivated</t>
  </si>
  <si>
    <t>NCT04806945</t>
  </si>
  <si>
    <t>A Phase III Study to Evaluate Efficacy and Safety of First-Line Treatment With HLX10 + Chemotherapy in Patients With Advanced Cervical Cancer</t>
  </si>
  <si>
    <t>NCT05478772</t>
  </si>
  <si>
    <t>Study to Evaluate Multiple Doses of Fluconazole, a CYP3A4 and CYP2C9 Inhibitor, on the Pharmacokinetics of CTP-543 in Healthy Subjects</t>
  </si>
  <si>
    <t>NCT05444530</t>
  </si>
  <si>
    <t>A Study of VAC85135, a Neoantigen Vaccine Regimen, Concurrently Administered With Ipilimumab for the Treatment of Myeloproliferative Neoplasms</t>
  </si>
  <si>
    <t>NCT05275465</t>
  </si>
  <si>
    <t>A Study to Evaluate the Safety, Tolerability, and Pharmacokinetics of HH-006 in Healthy Volunteers</t>
  </si>
  <si>
    <t>NCT05220605</t>
  </si>
  <si>
    <t>Nebulised BromAc in Healthy Volunteers</t>
  </si>
  <si>
    <t>NCT05162469</t>
  </si>
  <si>
    <t>A Study of SHR-A1909 in Subjects With Advanced Malignant Tumors</t>
  </si>
  <si>
    <t>NCT05282069</t>
  </si>
  <si>
    <t>A Study to Evaluate the Efficacy and Safety of DA-8010 in Patients With Overactive Bladder</t>
  </si>
  <si>
    <t>NCT05506969</t>
  </si>
  <si>
    <t>Trial of the Immunogenicity, Safety, and Tolerability of rF1V Vaccine With CpG 1018® Adjuvant Compared With rF1V Vaccine in Adults 18 to 55 Years of Age</t>
  </si>
  <si>
    <t>Dynavax Technologies Corporation</t>
  </si>
  <si>
    <t>NCT05139030</t>
  </si>
  <si>
    <t>Phase 3 Adductor Canal Block With EXPAREL in Subjects Undergoing Primary Unilateral Total Knee Arthroplasty</t>
  </si>
  <si>
    <t>NCT05288075</t>
  </si>
  <si>
    <t>Study to Compare Relative Bioavailability of 3 Indacaterol/Glycopyrronium Test Products and Reference Product</t>
  </si>
  <si>
    <t>NCT05177939</t>
  </si>
  <si>
    <t>Phase III Clinical Study of NPB-01 in Patients With Autoimmune Encephalitis</t>
  </si>
  <si>
    <t>Nihon Pharmaceutical Co., Ltd</t>
  </si>
  <si>
    <t>NCT05039619</t>
  </si>
  <si>
    <t>A Study to Evaluate the Efficacy, Safety, and Pharmacokinetics of Obinutuzumab in Adolescents With Active Class III or IV Lupus Nephritis and the Safety and PK of Obinutuzumab in Pediatric Participants</t>
  </si>
  <si>
    <t>NCT05248867</t>
  </si>
  <si>
    <t>A Study to Assess Adverse Events and Change in Disease Activity of Intramuscular AGN-151586 Injection in Adult Participants With Glabellar Lines</t>
  </si>
  <si>
    <t>NCT05174000</t>
  </si>
  <si>
    <t>BE of Euthyrox® Tablets (Merck Nantong Versus Merck Darmstadt Sites)</t>
  </si>
  <si>
    <t>NCT05450692</t>
  </si>
  <si>
    <t>A Phase III Study of Ceralasertib Plus Durvalumab Versus Docetaxel in Patients With Non Small Cell Lung Cancer (NSCLC) Whose Disease Progressed On or After Prior Anti PD (L)1 Therapy And Platinum Based Chemotherapy</t>
  </si>
  <si>
    <t>NCT05227144</t>
  </si>
  <si>
    <t>Study of ORIC-533 in Relapsed or Refractory Multiple Myeloma</t>
  </si>
  <si>
    <t>NCT06180057</t>
  </si>
  <si>
    <t>Bioequivalence Study to Compare Chenodeoxycholic Acid Capsules (250mg Chenodeoxycholic Acid) Versus Chenodeoxycholic Acid Leadiant 250 mg Hard Capsules (250mg Chenodeoxycholic Acid)</t>
  </si>
  <si>
    <t>NCT03887273</t>
  </si>
  <si>
    <t>Study to Investigate the Safety of the Transplantation of Human Glial Restricted Progenitor Cells Into Subjects With Transverse Myelitis</t>
  </si>
  <si>
    <t>Q Therapeutics, Inc.</t>
  </si>
  <si>
    <t>NCT05515445</t>
  </si>
  <si>
    <t>Pharmacokinetics of Chiglitazar in Subjects With Hepatic Impairment and Normal Hepatic Function</t>
  </si>
  <si>
    <t>NCT05278845</t>
  </si>
  <si>
    <t>Crossover Study to Evaluate the Effect of Food on the Pharmacokinetics of SLC-391 in Healthy Adult Subjects</t>
  </si>
  <si>
    <t>SignalChem Lifesciences Corporation</t>
  </si>
  <si>
    <t>NCT05135559</t>
  </si>
  <si>
    <t>A Research Study on How Well Concizumab Works for You if You Have Haemophilia A or B With or Without Inhibitors</t>
  </si>
  <si>
    <t>NCT05515588</t>
  </si>
  <si>
    <t>A Study in Healthy Men to Test How BI 690517 is Taken up and Handled by the Body</t>
  </si>
  <si>
    <t>NCT05101070</t>
  </si>
  <si>
    <t>S-531011 as Monotherapy and in Combination With an Immune Checkpoint Inhibitor in Advanced or Metastatic Solid Tumors</t>
  </si>
  <si>
    <t>NCT05587322</t>
  </si>
  <si>
    <t>A Study to Evaluate the Efficacy and Safety of BLI5100 in Patients With Non-Erosive Reflux Disease</t>
  </si>
  <si>
    <t>NCT05318846</t>
  </si>
  <si>
    <t>A Study to Evaluate the Efficacy and Safety of HRS4800 Tablets for Postoperative Analgesia After Impacted Teeth Removal Surgery.</t>
  </si>
  <si>
    <t>NCT05381142</t>
  </si>
  <si>
    <t>A Study to Learn More About How the Study Treatment Elinzanetant (or BAY3427080) Moves Into, Through and Out of the Body, How Safe it is and How it Affects the Body After Taking Single and Multiple Doses in Healthy Women Aged 40 to 65 Years</t>
  </si>
  <si>
    <t>NCT05256381</t>
  </si>
  <si>
    <t>A Study of SOT101 in Combination With Pembrolizumab to Evaluate the Efficacy and Safety in Patients With Selected Advanced Solid Tumors</t>
  </si>
  <si>
    <t>SOTIO Biotech AG</t>
  </si>
  <si>
    <t>NCT05181462</t>
  </si>
  <si>
    <t>Nadunolimab in Combination With Gemcitabine Plus Carboplatin in Patients With Advanced Triple Negative Breast Cancer.</t>
  </si>
  <si>
    <t>NCT05198596</t>
  </si>
  <si>
    <t>A Study to Evaluate Immunogenicity and Safety of MVC-COV1901 Compared With AZD1222 in Adults Aged 18 Years and Above</t>
  </si>
  <si>
    <t>NCT04140279</t>
  </si>
  <si>
    <t>A Study to Evaluate the Effect of Latanoprostene Bunod Ophthalmic Solution 0.024% on Episcleral Venous Pressure and Outflow Facility in Participants With Ocular Hypertension</t>
  </si>
  <si>
    <t>NCT05652920</t>
  </si>
  <si>
    <t>Ori-C101Chimeric Antigen Receptor (CAR) Modified T Cells for the Treatment of HCC</t>
  </si>
  <si>
    <t>OriCell Therapeutics Co., Ltd.</t>
  </si>
  <si>
    <t>NCT05278546</t>
  </si>
  <si>
    <t>A Study of ILB2109 in Patients With Advanced Solid Malignancies</t>
  </si>
  <si>
    <t>Innolake Biopharm</t>
  </si>
  <si>
    <t>NCT05643872</t>
  </si>
  <si>
    <t>A Study Evaluating the Safety and Pharmacokinetics of QTORIN Rapamycin 3.9% Anhydrous Gel in the Treatment of Adults With Pachyonychia Congenita</t>
  </si>
  <si>
    <t>NCT05507437</t>
  </si>
  <si>
    <t>Pharmacokinetics and Safety of TIN816 in Patients With Sepsis-associated Acute Kidney Injury</t>
  </si>
  <si>
    <t>NCT05830539</t>
  </si>
  <si>
    <t>IN10018 Combination Therapy in Previously-treated Locally Advanced or Metastatic Solid Tumor Patients</t>
  </si>
  <si>
    <t>NCT05419375</t>
  </si>
  <si>
    <t>Screening Study for Participants With Malignant Tumors</t>
  </si>
  <si>
    <t>NCT05573230</t>
  </si>
  <si>
    <t>A Drug Interaction Study of Cyclosporine and LY3502970 in Healthy Participants</t>
  </si>
  <si>
    <t>NCT05566028</t>
  </si>
  <si>
    <t>The Efficacy and Safety of D745 Added to D150 Plus D759 Therapy in Patients with Type 2 Diabetes</t>
  </si>
  <si>
    <t>NCT05359861</t>
  </si>
  <si>
    <t>Trial of Atezolizumab and Bevacizumab With SRF388 or Placebo in Patients With Hepatocellular Carcinoma</t>
  </si>
  <si>
    <t>NCT05223231</t>
  </si>
  <si>
    <t>Evaluation of LBL-019 Monotherapy or Combined With Anti-PD-1 Antibody in the Treatment of Advanced Malignant Tumors</t>
  </si>
  <si>
    <t>NCT05502237</t>
  </si>
  <si>
    <t>Zimberelimab and Domvanalimab in Combination With Chemotherapy Versus Pembrolizumab With Chemotherapy in Patients With Untreated Metastatic Non-Small Cell Lung Cancer</t>
  </si>
  <si>
    <t>NCT07302945</t>
  </si>
  <si>
    <t>A Single-volunteer Study of Immune Response Following OTS-412 Vaccinia Virus Systemic Injection(Self-experiment)</t>
  </si>
  <si>
    <t>Bionoxx Inc.</t>
  </si>
  <si>
    <t>NCT05418868</t>
  </si>
  <si>
    <t>A Study to Investigate Pharmacokinetics, Safety and Tolerability of Long-Acting Cabotegravir Plus Recombinant Human Hyaluronidase PH20 in Healthy Adult Participants</t>
  </si>
  <si>
    <t>NCT06106113</t>
  </si>
  <si>
    <t>Pharmacokinetics and Safety of GST-HG171 Tablets in Subjects With Impaired and Normal Liver Function</t>
  </si>
  <si>
    <t>NCT05159440</t>
  </si>
  <si>
    <t>First in Human Study of TORL-2-307-MAB in Participants With Advanced Cancer</t>
  </si>
  <si>
    <t>NCT05614817</t>
  </si>
  <si>
    <t>CBP-201 in Adolescent and Adult Patients With Moderate-to-severe Atopic Dermatitis</t>
  </si>
  <si>
    <t>NCT05767060</t>
  </si>
  <si>
    <t>BAT7104 Injection in Patients With Advanced Malignant Tumors.</t>
  </si>
  <si>
    <t>NCT05279456</t>
  </si>
  <si>
    <t>A Phase 3b/4 Randomised Trial of 3 Doses of Protein-based Covid-19 Vaccine (SpikoGen)</t>
  </si>
  <si>
    <t>NCT05687253</t>
  </si>
  <si>
    <t>Evaluation of Intubation Conditions Following BX1000 or Rocuronium in Subjects Undergoing Surgery</t>
  </si>
  <si>
    <t>Baudax Bio</t>
  </si>
  <si>
    <t>NCT05394103</t>
  </si>
  <si>
    <t>Highly Selective CDK7 Inhibitor Q901 in Selected Advanced Solid Tumors</t>
  </si>
  <si>
    <t>NCT05504083</t>
  </si>
  <si>
    <t>Evaluate the Efficacy and Safety of D-0120 in Primary Hyperuricemia Patients</t>
  </si>
  <si>
    <t>NCT05653453</t>
  </si>
  <si>
    <t>Clinical Study of Tumor Treating Fields Combined with Gemcitabine and Albumin-bound Paclitaxel in the First-line Treatment of Locally Advanced Pancreatic Cancer</t>
  </si>
  <si>
    <t>NCT05304637</t>
  </si>
  <si>
    <t>Usability, Immediate, and 30 Day Effect of External Neuromodulation With iTEAR100 Generation 2 in Dry Eye Patients</t>
  </si>
  <si>
    <t>Olympic Ophthalmics, Inc.</t>
  </si>
  <si>
    <t>NCT05548296</t>
  </si>
  <si>
    <t>A Phase 2 Study of ACR-368 in Endometrial Adenocarcinoma</t>
  </si>
  <si>
    <t>Acrivon Therapeutics</t>
  </si>
  <si>
    <t>NCT05587296</t>
  </si>
  <si>
    <t>A Study to Learn More About How Well Elinzanetant Works and How Safe it is Compared to Placebo for the Treatment of Hot Flashes Caused by Anti-cancer Therapy in Women With, or at High Risk for Developing Hormone-receptor Positive Breast Cancer</t>
  </si>
  <si>
    <t>NCT05573724</t>
  </si>
  <si>
    <t>Drug-drug Interaction Study With AZD5305 and Itraconazole in Patients With Advanced Solid Malignancies</t>
  </si>
  <si>
    <t>NCT05541861</t>
  </si>
  <si>
    <t>Safety and Effects of an Investigational COVID-19 Vaccine as Booster in Healthy People</t>
  </si>
  <si>
    <t>NCT05487170</t>
  </si>
  <si>
    <t>A Study of RNK05047 in Subjects With Advanced Solid Tumors/Diffuse Large B-cell Lymphoma (CHAMP-1)</t>
  </si>
  <si>
    <t>Ranok Therapeutics (Hangzhou) Co., Ltd.</t>
  </si>
  <si>
    <t>NCT05350969</t>
  </si>
  <si>
    <t>Study to Assess Efficacy and Safety of CDR132L in Patients With Reduced Left Ventricular Ejection Fraction After Myocardial Infarction</t>
  </si>
  <si>
    <t>Cardior Pharmaceuticals GmbH</t>
  </si>
  <si>
    <t>NCT05518695</t>
  </si>
  <si>
    <t>Evaluate the Pharmacokinetics of BAT2022 in Healthy Chinese Subjects</t>
  </si>
  <si>
    <t>NCT06592339</t>
  </si>
  <si>
    <t>A Study of MK-0616 in Healthy Adult Participants (MK-0616-009)</t>
  </si>
  <si>
    <t>NCT05490472</t>
  </si>
  <si>
    <t>JAB-2485 Activity in Adult Patients With Advanced Solid Tumors</t>
  </si>
  <si>
    <t>NCT05422482</t>
  </si>
  <si>
    <t>A Study to Evaluate the Safety, Tolerability, PK and PD of Intracerebroventricular GC1123 in Patients with MPS Ⅱ</t>
  </si>
  <si>
    <t>NCT05450562</t>
  </si>
  <si>
    <t>Dose Escalation and Expansion Study of SAR444200-based Regimen in Adult Participants With Advanced Solid Tumors</t>
  </si>
  <si>
    <t>NCT05525286</t>
  </si>
  <si>
    <t>Clinical Trial of SOT102 Antibody Drug Conjugate in Patients With Advanced Gastric and Pancreatic Adenocarcinoma</t>
  </si>
  <si>
    <t>SOTIO Biotech a.s.</t>
  </si>
  <si>
    <t>NCT05211505</t>
  </si>
  <si>
    <t>Investigation of Efficacy and Tolerability of WO 2707, a MoistCream Cremolum, in Postmenopausal Women Suffering From Symptoms of Vaginal Dryness</t>
  </si>
  <si>
    <t>NCT05644353</t>
  </si>
  <si>
    <t>A Bioequivalence Study of Mirikizumab (LY3074828) Solution in Healthy Participants</t>
  </si>
  <si>
    <t>NCT05569421</t>
  </si>
  <si>
    <t>A Study to Assess the Total Systemic Exposure Bioequivalence of of Budesonide, Glycopyrronium, and Formoterol Delivered by BGF MDI With Next-Generation Propellant Compared With BGF MDI With HFA Propellant</t>
  </si>
  <si>
    <t>NCT05208814</t>
  </si>
  <si>
    <t>A Study to Evaluate the Pharmacokinetics and Safety of TPN171H Tablets in Patients with Renal Insufficiency and Healthy Subjects</t>
  </si>
  <si>
    <t>NCT05395052</t>
  </si>
  <si>
    <t>FT536 Monotherapy and in Combination With Monoclonal Antibodies in Advanced Solid Tumors</t>
  </si>
  <si>
    <t>NCT05538949</t>
  </si>
  <si>
    <t>Safety, Tolerability and Pharmacokinetics of EB-203 Eye Drops in Healthy Volunteers</t>
  </si>
  <si>
    <t>EyebioKorea, Inc.</t>
  </si>
  <si>
    <t>NCT06212648</t>
  </si>
  <si>
    <t>Evaluate the Efficacy and Safety of SPC1001 and Monotherapy in Patients With Essential Hypertension</t>
  </si>
  <si>
    <t>NCT05382325</t>
  </si>
  <si>
    <t>A Study of MK-1484 as Monotherapy and in Combination With Pembrolizumab (MK-3475) In Advanced or Metastatic Solid Tumors (MK-1484-001)</t>
  </si>
  <si>
    <t>NCT05846568</t>
  </si>
  <si>
    <t>Study to Evaluate GR1801's Efficacy and Safety</t>
  </si>
  <si>
    <t>NCT05367440</t>
  </si>
  <si>
    <t>Study of AZD5305 When Given in Combination With New Hormonal Agents in Patients With Metastatic Prostate Cancer</t>
  </si>
  <si>
    <t>NCT05547321</t>
  </si>
  <si>
    <t>Efficacy and Safety Study of OMTX705, Monotherapy and Anti-PD-1-combined, in Subjects With Advanced Solid Tumors.</t>
  </si>
  <si>
    <t>Oncomatryx Biopharma S.L.</t>
  </si>
  <si>
    <t>NCT05443126</t>
  </si>
  <si>
    <t>A Study of EP0031 (Lunbotinib) in Patients With Advanced RET-altered Malignancies</t>
  </si>
  <si>
    <t>NCT05347485</t>
  </si>
  <si>
    <t>A Study of JNJ-68284528 Out-of-Specification (OOS) for Commercial Release in Participants With Multiple Myeloma</t>
  </si>
  <si>
    <t>NCT06139315</t>
  </si>
  <si>
    <t>A Study to Test How Well Different Doses of BI 765845 Are Tolerated by Healthy People</t>
  </si>
  <si>
    <t>NCT05496335</t>
  </si>
  <si>
    <t>A Study to Evaluate Sequential Administration of AGN-151586 and OnabotulinumtoxinA (BOTOX) Injections in Adult Participants for Treatment of Glabellar Lines</t>
  </si>
  <si>
    <t>NCT05351671</t>
  </si>
  <si>
    <t>A Clinical Study to Determine the Safety, Tolerability and Effect of RLS-0071 Doses When Given to Healthy Adults After Inhaling LPS</t>
  </si>
  <si>
    <t>NCT05383664</t>
  </si>
  <si>
    <t>Molecular Responses Caused by UV Exposure of Human Skin</t>
  </si>
  <si>
    <t>Access Business Group</t>
  </si>
  <si>
    <t>NCT05730699</t>
  </si>
  <si>
    <t>Efficacy and Safety of Divozilimab in Patients With Neuromyelitis Optica Spectrum Disorders (AQUARELLE)</t>
  </si>
  <si>
    <t>NCT05376085</t>
  </si>
  <si>
    <t>Bioequivalence Study Between "DA-5215 Tab" and "DA-5215-R Tab"</t>
  </si>
  <si>
    <t>NCT06399055</t>
  </si>
  <si>
    <t>Clinical Study to Evaluate the Pharmacokinetic Profiles and Safety of CKD-387 in Healthy Volunteers Under Fasting Conditions</t>
  </si>
  <si>
    <t>NCT05173974</t>
  </si>
  <si>
    <t>A Clinical Study to Evaluate the Maximum Maxillary Bite Force (BF) When Using Two Novel Denture Adhesives Compared to Using No-Adhesive</t>
  </si>
  <si>
    <t>NCT05523089</t>
  </si>
  <si>
    <t>The Effectiveness of CD388 to Prevent Flu in an Influenza Challenge Model in Healthy Adults</t>
  </si>
  <si>
    <t>NCT05425940</t>
  </si>
  <si>
    <t>Study of XL092 + Atezolizumab vs Regorafenib in Participants With Metastatic Colorectal Cancer</t>
  </si>
  <si>
    <t>NCT05252338</t>
  </si>
  <si>
    <t>A Study to Evaluate the Safety, Reactogenicity and Immunogenicity of Vaccine CVSQIV in Healthy Adults</t>
  </si>
  <si>
    <t>NCT05386550</t>
  </si>
  <si>
    <t>Phase III Xevinapant (Debio 1143) and Radiotherapy in Resected LA SCCHN, High Risk, Cisplatin-ineligible Participants (XRAY VISION)</t>
  </si>
  <si>
    <t>NCT05023018</t>
  </si>
  <si>
    <t>NEO100 and High-Grade Meningioma</t>
  </si>
  <si>
    <t>Neonc Technologies, Inc.</t>
  </si>
  <si>
    <t>NCT05654090</t>
  </si>
  <si>
    <t>Evaluate Bioequivalence of Burotam (1/1 g/Vial)</t>
  </si>
  <si>
    <t>NCT05302388</t>
  </si>
  <si>
    <t>A Study Exploring Efficacy of Pegloticase in Subjects With Asymptomatic Hyperuricemia</t>
  </si>
  <si>
    <t>NCT05369403</t>
  </si>
  <si>
    <t>A Study of Lebrikizumab (LY3650150) in Adult and Adolescent Participants With Moderate-to-Severe Atopic Dermatitis Previously Treated With Dupilumab</t>
  </si>
  <si>
    <t>NCT05569941</t>
  </si>
  <si>
    <t>A First in Human Study to Assess Safety, Tolerability, Pharmacokinetics of ABI-4334 in Healthy Subjects</t>
  </si>
  <si>
    <t>NCT05538624</t>
  </si>
  <si>
    <t>A Study of Intraperitoneally Administered AVB-001 in Patients With Serous Adenocarcinoma of the Ovary</t>
  </si>
  <si>
    <t>Avenge Bio, Inc</t>
  </si>
  <si>
    <t>NCT05472662</t>
  </si>
  <si>
    <t>A Study to Compare the Effects of Two Propellants in Adults With Mild Asthma</t>
  </si>
  <si>
    <t>NCT05306366</t>
  </si>
  <si>
    <t>A Brain Imaging PET Study of [11C]-Lu AF90103 in Healthy Adult Male Participants</t>
  </si>
  <si>
    <t>NCT05616208</t>
  </si>
  <si>
    <t>Implantation of BioSphincter TM for Treatment of Severe Passive Fecal Incontinence</t>
  </si>
  <si>
    <t>Cellf Bio LLC</t>
  </si>
  <si>
    <t>NCT05395117</t>
  </si>
  <si>
    <t>A Study to Assess the Effect of AZD5462 on the Pharmacokinetics of Midazolam, Rosuvastatin and Digoxin</t>
  </si>
  <si>
    <t>NCT04998474</t>
  </si>
  <si>
    <t>FRAME-001 Personalized Vaccine in NSCLC</t>
  </si>
  <si>
    <t>Frame Pharmaceuticals B.V.</t>
  </si>
  <si>
    <t>NCT05291390</t>
  </si>
  <si>
    <t>Pyronaridine in Acute Lymphoblastic Leukemia (ALL) and Acute Myeloid Leukemia (AML)</t>
  </si>
  <si>
    <t>Armaceutica, Inc.</t>
  </si>
  <si>
    <t>NCT05377996</t>
  </si>
  <si>
    <t>A Study of Emiltatug Ledadotin (Emi-Le) in Participants With Solid Tumors</t>
  </si>
  <si>
    <t>NCT05552859</t>
  </si>
  <si>
    <t>Gla-300 and IDeg-100 in Insulin-Naïve People With Type 2 Diabetes Mellitus and Renal Impairment</t>
  </si>
  <si>
    <t>NCT05248880</t>
  </si>
  <si>
    <t>A Study to Assess Adverse Events and Change in Disease Activity of Intramuscular AGN-151586 Injection in Toxin-Naïve Adult Participants With Glabellar Lines</t>
  </si>
  <si>
    <t>NCT05274659</t>
  </si>
  <si>
    <t>A Study to Evaluate the Safety and Tolerability of KJ103 in Healthy Adults</t>
  </si>
  <si>
    <t>Shanghai Bao Pharmaceuticals Co., Ltd.</t>
  </si>
  <si>
    <t>NCT05315479</t>
  </si>
  <si>
    <t>Safety and Pharmacokinetics of N1539 in Children 2 to &lt;17 Years of Age Following Surgery</t>
  </si>
  <si>
    <t>NCT05282030</t>
  </si>
  <si>
    <t>Study to Assess the Plasma Concentration of Tolebrutinib Given as a Tablet to Adult Participants With Renal Impairment Compared to Healthy Participants.</t>
  </si>
  <si>
    <t>NCT05383482</t>
  </si>
  <si>
    <t>Afuresertib +Sintilimab+Chemotherapy in Patients With Selected Solid Tumors That Resistance to Prior Anti-PD-1/PD-L1</t>
  </si>
  <si>
    <t>NCT05293028</t>
  </si>
  <si>
    <t>Study of F527 in Patients With Relapsed or Refractory Lymphoma</t>
  </si>
  <si>
    <t>NCT05426746</t>
  </si>
  <si>
    <t>First-In-Human Study to Investigate the Safety, Tolerability, Pharmacokinetics and Pharmacodynamics of ALT-100</t>
  </si>
  <si>
    <t>Aqualung Therapeutics Corp.</t>
  </si>
  <si>
    <t>NCT05868083</t>
  </si>
  <si>
    <t>The Safety and Efficacy of SNC-109 CAR-T Cells Therapy the Recurrent Glioblastoma</t>
  </si>
  <si>
    <t>NCT05353257</t>
  </si>
  <si>
    <t>A Study to Evaluate the Efficacy and Safety of Serplulimab in Combination With Chemotherapy and Concurrent Radiotherapy in Patients With Limited-Stage Small Cell Lung Cancer</t>
  </si>
  <si>
    <t>NCT05572281</t>
  </si>
  <si>
    <t>Bioequivalence Study Between Tasimelteon Capsule Formulation and Liquid Suspension Formulation in Healthy Volunteers</t>
  </si>
  <si>
    <t>NCT05874167</t>
  </si>
  <si>
    <t>A Pharmacokinetic Study of DW6013 (FDC of Linagliptin and Metformin) in Healthy Adult Volunteers</t>
  </si>
  <si>
    <t>NCT05339100</t>
  </si>
  <si>
    <t>Accessorized Pre-Filled Syringe to Autoinjector Pharmacokinetic Bridging Study in Anifrolumab</t>
  </si>
  <si>
    <t>NCT05310032</t>
  </si>
  <si>
    <t>A Study to Investigate the Safety, Tolerability, Pharmacokinetic/Pharmacodynamic Characteristics and Food Effect of HSG4112 in High Doses</t>
  </si>
  <si>
    <t>NCT05027204</t>
  </si>
  <si>
    <t>A Study of Docetaxel for Injection (Albumin-bound) in Combination With Nivolumab in Patients With Head and Neck (SCCHN)</t>
  </si>
  <si>
    <t>NCT05421338</t>
  </si>
  <si>
    <t>A Study in Healthy Men to Test How BI 456906 is Processed in the Body</t>
  </si>
  <si>
    <t>NCT05531526</t>
  </si>
  <si>
    <t>Phase 3, Double-blind, Randomized, Placebo-controlled Trial to Evaluate the Efficacy and Safety of AR1001 in Participants With Early Alzheimer's Disease (Polaris-AD)</t>
  </si>
  <si>
    <t>AriBio Co., Ltd.</t>
  </si>
  <si>
    <t>NCT05653713</t>
  </si>
  <si>
    <t>Effects of CSL324 in the Lung After Segmental Challenge</t>
  </si>
  <si>
    <t>NCT05556226</t>
  </si>
  <si>
    <t>Study to Assess Adverse Events and Compare How Two Subcutaneous ABBV-154 Injection Formulations Move Through the Body of Adult Healthy Participants</t>
  </si>
  <si>
    <t>NCT05307406</t>
  </si>
  <si>
    <t>A First-in-Human Study With XAB05 in Healthy Subjects</t>
  </si>
  <si>
    <t>NCT05449704</t>
  </si>
  <si>
    <t>Pharmacokinetics and Safety Profiles After Administration of DA-5218 and Co-administration of DA-5218-R1, DA-5218-R2 and DA-5218-R3 in Healthy Adult Volunteers</t>
  </si>
  <si>
    <t>NCT06548815</t>
  </si>
  <si>
    <t>Safety, Tolerability, Pharmacokinetics and Pharmacodynamics of Single-dose GZR4</t>
  </si>
  <si>
    <t>NCT05269121</t>
  </si>
  <si>
    <t>Bacteriophage Therapy in First Time Chronic Prosthetic Joint Infections</t>
  </si>
  <si>
    <t>NCT05609578</t>
  </si>
  <si>
    <t>Combination Therapies With Adagrasib in Patients With Advanced NSCLC With KRAS G12C Mutation</t>
  </si>
  <si>
    <t>NCT05383378</t>
  </si>
  <si>
    <t>A First-In-Human Study to Evaluate the Safety, Tolerability, and Efficacy of Si-544 in Adults With Atopic Dermatitis</t>
  </si>
  <si>
    <t>selectION Therapeutics GmbH</t>
  </si>
  <si>
    <t>NCT05471843</t>
  </si>
  <si>
    <t>Study of BGB-11417 Monotherapy in Participants With Relapsed or Refractory Mantle Cell Lymphoma</t>
  </si>
  <si>
    <t>NCT05339126</t>
  </si>
  <si>
    <t>RNS System LGS Feasibility Study</t>
  </si>
  <si>
    <t>NeuroPace</t>
  </si>
  <si>
    <t>NCT05508906</t>
  </si>
  <si>
    <t>Phase 1b Study of OP-1250 (Palazestrant) in Combination With Ribociclib, Alpelisib, Everolimus, or Atirmociclib in ER+, HER2- Breast Cancer</t>
  </si>
  <si>
    <t>NCT05452785</t>
  </si>
  <si>
    <t>A Comparative Bioavailability Study of DFD-29 Capsules 40 mg Versus SOLODYN® Tablets 105 mg, Under Fasting &amp; Fed Conditions in Healthy Adult Human Subjects</t>
  </si>
  <si>
    <t>NCT04775706</t>
  </si>
  <si>
    <t>Phase 2 Study to Assess the Safety, PK, and PD of Sonefpeglutide (HM15912) in SBS-IF Subjects</t>
  </si>
  <si>
    <t>NCT05612633</t>
  </si>
  <si>
    <t>A Study of Zelavespib (PU-H71) in Subjects With AP-MPN or BP-MPN</t>
  </si>
  <si>
    <t>NCT05585632</t>
  </si>
  <si>
    <t>A Safety, Reactogenicity, and Immunogenicity Study of mRNA-1045 (Influenza and Respiratory Syncytial Virus [RSV]) or mRNA-1230 (Influenza, RSV, and Severe Acute Respiratory Syndrome Coronavirus 2 [SARS-CoV-2]) Vaccine in Adults 50 to 75 Years Old</t>
  </si>
  <si>
    <t>NCT05309668</t>
  </si>
  <si>
    <t>Pharmacokinetics, Safety and Efficacy of the Selumetinib Granule Formulation in Children Aged ≥1 to &lt;7 Years With NF1-related Symptomatic, Inoperable PN</t>
  </si>
  <si>
    <t>NCT05697952</t>
  </si>
  <si>
    <t>E1K Intra Articular(IA) Treatment for Knee Osteoarthritis</t>
  </si>
  <si>
    <t>Ensol Bioscience</t>
  </si>
  <si>
    <t>NCT05166876</t>
  </si>
  <si>
    <t>Brequinar Combined With Dipyridamole in Patients With Mild to Moderate COVID-19</t>
  </si>
  <si>
    <t>NCT05282940</t>
  </si>
  <si>
    <t>NCT05373914</t>
  </si>
  <si>
    <t>RESPIRARE - Efficacy and Safety of Cudetaxestat in Patients With Idiopathic Pulmonary Fibrosis (IPF)</t>
  </si>
  <si>
    <t>NCT06553404</t>
  </si>
  <si>
    <t>Myoslow Lens Study to Control Myopia in Children</t>
  </si>
  <si>
    <t>Crystal Optic</t>
  </si>
  <si>
    <t>NCT05149326</t>
  </si>
  <si>
    <t>KN046 in Subjects With Advanced Pancreatic Ductal Adenocarcinoma.</t>
  </si>
  <si>
    <t>NCT05602818</t>
  </si>
  <si>
    <t>A Study of Soticlestat in Healthy Adult Nondependent Recreational Drug Users With Central Nervous System (CNS) Depressant Experience</t>
  </si>
  <si>
    <t>NCT05367635</t>
  </si>
  <si>
    <t>A Study of SKB315 in Patients With Advanced Solid Tumors</t>
  </si>
  <si>
    <t>NCT05121740</t>
  </si>
  <si>
    <t>Extension Study in a Cohort of Adult Patients With COVID-19 Infection</t>
  </si>
  <si>
    <t>NCT05291689</t>
  </si>
  <si>
    <t>A Phase 2a Open-Label Study to Evaluate the Efficacy and Safety of MORF-057 in Adults With UC</t>
  </si>
  <si>
    <t>NCT05491785</t>
  </si>
  <si>
    <t>Cebranopadol Effects on Ventilatory Drive, Central Nervous System (CNS) and Pain.</t>
  </si>
  <si>
    <t>NCT05620576</t>
  </si>
  <si>
    <t>A Chronic Pain Master Protocol (CPMP): A Study of LY3857210 in Participants With Diabetic Peripheral Neuropathic Pain (NP05).</t>
  </si>
  <si>
    <t>NCT05495243</t>
  </si>
  <si>
    <t>Phase 2a, 28-day Investigational Use Study of ARINA-1 in Non-Cystic Fibrosis Bronchiectasis (NCFBE) With Excess Mucus and Cough</t>
  </si>
  <si>
    <t>Renovion, Inc.</t>
  </si>
  <si>
    <t>NCT05135715</t>
  </si>
  <si>
    <t>A Study of RC48-ADC in Advanced Melanoma Subjects With HER2 Variant (Mutation, Amplification, Overexpression)</t>
  </si>
  <si>
    <t>NCT05195008</t>
  </si>
  <si>
    <t>A Study to Evaluate the Safety, Tolerability, and Pharmacokinetics, With Target Occupancy Study of BIIB113 in Healthy Participants</t>
  </si>
  <si>
    <t>NCT05453825</t>
  </si>
  <si>
    <t>A Study of Navicixizumab Monotherapy or in Combination in Patients With Select Advanced Solid Tumors</t>
  </si>
  <si>
    <t>OncXerna Theraputics, Inc.</t>
  </si>
  <si>
    <t>NCT05210790</t>
  </si>
  <si>
    <t>A Phase 3 Study of Rusfertide in Patients With Polycythemia Vera</t>
  </si>
  <si>
    <t>NCT04919096</t>
  </si>
  <si>
    <t>Study of SCB-420 in Subjects With Neovascular Age-related Macular Degeneration</t>
  </si>
  <si>
    <t>NCT05486117</t>
  </si>
  <si>
    <t>Pharmacokinetics of Delgocitinib 20 mg/g Cream in Subjects With Chronic Hand Eczema</t>
  </si>
  <si>
    <t>NCT05223868</t>
  </si>
  <si>
    <t>A Study of JNJ-77242113 in Participants With Moderate-to-severe Plaque Psoriasis</t>
  </si>
  <si>
    <t>NCT05257408</t>
  </si>
  <si>
    <t>Relacorilant in Combination With Nab-Paclitaxel in Advanced, Platinum-Resistant, High-Grade Epithelial Ovarian, Primary Peritoneal, or Fallopian-Tube Cancer</t>
  </si>
  <si>
    <t>NCT05199610</t>
  </si>
  <si>
    <t>An Open-Label, Single-Dose, Parallel-Group Study of the Pharmacokinetics and Safety of EQ143</t>
  </si>
  <si>
    <t>NCT05528510</t>
  </si>
  <si>
    <t>A Study of Guselkumab Therapy in Participants With Moderately to Severely Active Ulcerative Colitis</t>
  </si>
  <si>
    <t>NCT04879043</t>
  </si>
  <si>
    <t>Study to Assess Safety of HDP-101 in Patients With Relapsed Refractory Multiple Myeloma</t>
  </si>
  <si>
    <t>Heidelberg Pharma AG</t>
  </si>
  <si>
    <t>NCT05254925</t>
  </si>
  <si>
    <t>Phototoxicity Potential of 6% Bemotrizinol</t>
  </si>
  <si>
    <t>NCT05465590</t>
  </si>
  <si>
    <t>A Phase 1 Study to Evaluate Paclitaxel Conjugated CXC Receptor 4 Antagonist (MB1707) in Patients With Advanced Cancer</t>
  </si>
  <si>
    <t>Mainline Biosciences, Inc.</t>
  </si>
  <si>
    <t>NCT05623982</t>
  </si>
  <si>
    <t>A Study of GNC-038 Injection in Patients With Relapsed or Refractory Non-Hodgkin's Lymphoma</t>
  </si>
  <si>
    <t>NCT05139017</t>
  </si>
  <si>
    <t>A Study of Zilovertamab Vedotin (MK-2140) in Combination With Standard of Care in Participants With Relapsed or Refractory Diffuse Large B-Cell Lymphoma (rrDLBCL) (MK-2140-003)</t>
  </si>
  <si>
    <t>NCT05500508</t>
  </si>
  <si>
    <t>Oral AMXT 1501 Dicaprate in Combination With IV DFMO</t>
  </si>
  <si>
    <t>Aminex Therapeutics, Inc.</t>
  </si>
  <si>
    <t>NCT05429268</t>
  </si>
  <si>
    <t>Study to Evaluate the Safety and Efficacy of Tafasitamab Plus Lenalidomide in Participants With Relapsed or Refractory Diffuse Large B-Cell Lymphoma (firmMIND)</t>
  </si>
  <si>
    <t>NCT05579691</t>
  </si>
  <si>
    <t>A Double-Blind, Placebo-Controlled, Dose Exploration Study of CTI-1601 in Adult Subjects With Friedreich's Ataxia</t>
  </si>
  <si>
    <t>NCT05069610</t>
  </si>
  <si>
    <t>Evaluating Safety, Tolerability, and Potential Efficacy of Intranasal AD17002 in Adults With Mild to Moderate COVID-19</t>
  </si>
  <si>
    <t>Advagene Biopharma Co. Ltd.</t>
  </si>
  <si>
    <t>NCT05478174</t>
  </si>
  <si>
    <t>Efficacy and Safety of HSK3486 Compared to Propofol for Adults Undergoing Elective Surgery With General Anesthesia</t>
  </si>
  <si>
    <t>NCT05311618</t>
  </si>
  <si>
    <t>Study of NGM438 as Monotherapy and in Combination With Pembrolizumab in Advanced or Metastatic Solid Tumors</t>
  </si>
  <si>
    <t>NCT05437120</t>
  </si>
  <si>
    <t>Pharmacokinetics and Safety Assessment of VX-121/Tezacaftor/Deutivacaftor in Participants With Moderate Hepatic Impairment</t>
  </si>
  <si>
    <t>NCT04456023</t>
  </si>
  <si>
    <t>Study of Tisagenlecleucel in Chinese Adult Patients With Relapsed or Refractory Diffuse Large B-cell Non-Hodgkin Lymphoma (DLBCL)</t>
  </si>
  <si>
    <t>NCT05442060</t>
  </si>
  <si>
    <t>To Evaluate OBI-833/OBI-821 in Combination With First-Line Erlotinib in Patients With EGFR-Mutated, Globo H-Positive, Locally Advanced or Metastatic Non-Small Cell Lung Cancer</t>
  </si>
  <si>
    <t>OBI Pharma, Inc</t>
  </si>
  <si>
    <t>NCT06796868</t>
  </si>
  <si>
    <t>A Study to Evaluate Efficacy and Safety of GW117 Tablets in Major Depressive Disorder</t>
  </si>
  <si>
    <t>NCT05486182</t>
  </si>
  <si>
    <t>Impact of 18F-FES PET on the Therapeutic Treatment of Patients With Metastatic Breast Cancer</t>
  </si>
  <si>
    <t>NCT05590403</t>
  </si>
  <si>
    <t>A Study on the Immune Response and Safety of a Vaccine Against Respiratory Syncytial Virus Given to Adults 50-59 Years of Age, Including Adults at Increased Risk of Respiratory Syncytial Virus Lower Respiratory Tract Disease, Compared to Older Adults 60 Years of Age and Above</t>
  </si>
  <si>
    <t>NCT05513586</t>
  </si>
  <si>
    <t>A Study to Evaluate the Long-term Safety of TAK-771 in Japanese Primary Immunodeficiency Disease (PID) Participants</t>
  </si>
  <si>
    <t>NCT05270668</t>
  </si>
  <si>
    <t>Phase 2 Safety and Efficacy Study of Tulisokibart (MK-7240/PRA023) in Subjects With Systemic Sclerosis Associated With Interstitial Lung Disease (SSc-ILD) (MK-7240-007)</t>
  </si>
  <si>
    <t>NCT05513703</t>
  </si>
  <si>
    <t>A Study to Assess Disease Activity of Intravenously (IV) Infused Telisotuzumab Vedotin in Adult Participants With Advanced/Metastatic Non-Squamous Non-Small Cell Lung Cancer (NSCLC)</t>
  </si>
  <si>
    <t>NCT05113862</t>
  </si>
  <si>
    <t>A Phase-I Study of a Nanoparticle-based Peptide Vaccine Against SARS-CoV-2</t>
  </si>
  <si>
    <t>NCT05572879</t>
  </si>
  <si>
    <t>A Phase III Study of COVID-19 Vaccine EuCorVac-19 in Healthy Adults</t>
  </si>
  <si>
    <t>NCT05281510</t>
  </si>
  <si>
    <t>Study of VRC07-523LS, CAP256V2LS, and Vesatolimod, in Early Antiretroviral-treated HIV-1 Clade C-infected Women</t>
  </si>
  <si>
    <t>NCT05635110</t>
  </si>
  <si>
    <t>Evaluation of the Effects of Omeprazole and Rifampin on the Pharmacokinetics of VX-548 in Healthy Participants</t>
  </si>
  <si>
    <t>NCT05295459</t>
  </si>
  <si>
    <t>Efficacy and Safety of LYR-210 for the Treatment of Chronic Rhinosinusitis in Adults (ENLIGHTEN 2)</t>
  </si>
  <si>
    <t>NCT05307874</t>
  </si>
  <si>
    <t>Phase 1/2a Study of ICT01 Plus Low Dose SC IL-2 in Patients With Advanced Solid Tumors</t>
  </si>
  <si>
    <t>NCT05655520</t>
  </si>
  <si>
    <t>A Study to Evaluate the Safety and Tolerability of SAGE-718 in Participants With Huntington's Disease</t>
  </si>
  <si>
    <t>NCT05207722</t>
  </si>
  <si>
    <t>CYNK-101 in Combination with Trastuzumab and Pembrolizumab in Patients with Locally Advanced Unresectable or Metastatic HER2-Positive Gastric or Gastroesophageal Junction (G/GEJ) Adenocarcinoma</t>
  </si>
  <si>
    <t>NCT05127954</t>
  </si>
  <si>
    <t>Long-term Extension Study to Assess Safety and Tolerability of Oral Ubrogepant Tablets for the Acute Treatment of Migraine in Pediatric Participants (Ages 6-17)</t>
  </si>
  <si>
    <t>NCT05394675</t>
  </si>
  <si>
    <t>A Study of DS-9606a in Patients With Advanced Solid Tumors</t>
  </si>
  <si>
    <t>NCT05581719</t>
  </si>
  <si>
    <t>A Phase 1/2a Study Evaluating Allocetra-OTS as Monotherapy or in Combination With Anti-PD-1 Therapy for the Treatment of Advanced Solid Tumor Malignancy</t>
  </si>
  <si>
    <t>Enlivex Therapeutics RDO Ltd.</t>
  </si>
  <si>
    <t>NCT05325853</t>
  </si>
  <si>
    <t>A Study of Safety and the Local Anesthetic Effect of AG-920 Ophthalmic Solution in a Pediatric Population</t>
  </si>
  <si>
    <t>NCT05197075</t>
  </si>
  <si>
    <t>A Study to Assess the Acceptability of the Darunavir/Cobicistat (DRV/COBI) Fixed-dose Combination (FDC) Tablet in Human Immunodeficiency Virus (HIV)-1 Infected Children</t>
  </si>
  <si>
    <t>NCT05526742</t>
  </si>
  <si>
    <t>A Study to Evaluate the Relative Bioavailability of Formulations of CKD-510 and to Assess the Effect of Food on the CKD-510 Tablet Formulation in Healthy Subjects</t>
  </si>
  <si>
    <t>NCT05281601</t>
  </si>
  <si>
    <t>AZD7442 Pharmacokinetics, Pharmacodynamics, and Safety Evaluation in Pediatrics</t>
  </si>
  <si>
    <t>NCT05552222</t>
  </si>
  <si>
    <t>A Study of Teclistamab in Combination With Daratumumab and Lenalidomide (Tec-DR) and Talquetamab in Combination With Daratumumab and Lenalidomide (Tal-DR) in Participants With Newly Diagnosed Multiple Myeloma</t>
  </si>
  <si>
    <t>NCT05480657</t>
  </si>
  <si>
    <t>Safety, Tolerability, and Efficacy of Immunomodulation With AT-1501 in Combination With Transplanted Islet Cells in Adults With Brittle T1D</t>
  </si>
  <si>
    <t>Eledon Pharmaceuticals</t>
  </si>
  <si>
    <t>NCT05323981</t>
  </si>
  <si>
    <t>Comparison of Pharmacokinetics and Safety of HS627(2 Specifications) Versus PERJETA With a Single Injection</t>
  </si>
  <si>
    <t>NCT05494619</t>
  </si>
  <si>
    <t>A Study to Evaluate the Efficacy, Safety, Pharmacokinetics, and Pharmacodynamics of Crovalimab in Participants With Guillain-Barré Syndrome (GBS)</t>
  </si>
  <si>
    <t>NCT05686239</t>
  </si>
  <si>
    <t>A Study to Evaluate RL-007 in the Treatment of Cognitive Impairment Associated With Schizophrenia (CIAS)</t>
  </si>
  <si>
    <t>NCT05327530</t>
  </si>
  <si>
    <t>A Study of the Safety and Efficacy of Various Combinations of Avelumab as Therapy in Locally Advanced or Metastatic Urothelial Carcinoma (JAVELIN Bladder Medley)</t>
  </si>
  <si>
    <t>NCT05582629</t>
  </si>
  <si>
    <t>JT001 (VV116) for the Treatment of COVID-19</t>
  </si>
  <si>
    <t>NCT05314231</t>
  </si>
  <si>
    <t>Safety and Pharmacokinetic Study of Subcutaneous ALXN1720 in Participants With Proteinuria</t>
  </si>
  <si>
    <t>NCT05161195</t>
  </si>
  <si>
    <t>Roll-over Study to Allow Continued Access to Ribociclib</t>
  </si>
  <si>
    <t>NCT05206019</t>
  </si>
  <si>
    <t>Study to Evaluate Pharmacokinetic and Safety of Albuvirtide Between Intravenous Drip and Intravenous Injection</t>
  </si>
  <si>
    <t>NCT04873869</t>
  </si>
  <si>
    <t>Study to Evaluate NBI-921352 as Adjunctive Therapy in Subjects With SCN8A Developmental and Epileptic Encephalopathy Syndrome (SCN8A-DEE)</t>
  </si>
  <si>
    <t>NCT05607537</t>
  </si>
  <si>
    <t>A Study to Determine the Absolute Bioavailability and the Absorption, Metabolism, and Elimination Properties of Carbon-14 (14C)E7386 in Healthy Male Participants</t>
  </si>
  <si>
    <t>NCT05797753</t>
  </si>
  <si>
    <t>A Study to Assess the Effect of Erythromycin on the Test Medicine (SAR443820) When Given Orally as Tablets to Healthy Adult Male and Female Participants (Part A); and the Effect of Itraconazole on the Test Medicine (SAR443820) When Given Orally as Capsules to Healthy Adult Male Participants (Part B)</t>
  </si>
  <si>
    <t>NCT05152641</t>
  </si>
  <si>
    <t>Study to Evaluate Efficacy and Safety of BGE-117 in Moderately to Severely Anemic Older Individuals After Major Hip Surgery</t>
  </si>
  <si>
    <t>NCT05342428</t>
  </si>
  <si>
    <t>Safety and Efficacy of TLL018 in Patients With Plaque Psoriasis</t>
  </si>
  <si>
    <t>Hangzhou Highlightll Pharmaceutical Co., Ltd</t>
  </si>
  <si>
    <t>NCT05549219</t>
  </si>
  <si>
    <t>24-Week Study to Assess the PD, Safety, Tolerability, and PK of GLM101 in Participants With PMM2-CDG</t>
  </si>
  <si>
    <t>Glycomine, Inc.</t>
  </si>
  <si>
    <t>NCT05382312</t>
  </si>
  <si>
    <t>Early Bactericidal Activity, Safety &amp; Tolerability of Oral GSK3036656 in a Dual Combination With Novel and Established Antitubercular Agents, or Standard of Care in Adults With Rifampicin Susceptible Pulmonary Tuberculosis</t>
  </si>
  <si>
    <t>NCT05660772</t>
  </si>
  <si>
    <t>Microfragmented Adipose Tissue Compared to Corticosteroid Injection for the Treatment of Knee Osteoarthritis</t>
  </si>
  <si>
    <t>Lipogems International spa</t>
  </si>
  <si>
    <t>NCT05278975</t>
  </si>
  <si>
    <t>Study of RSO-021 in Patients With Malignant Pleural Effusion Due to Advanced/Metastatic Solid Tumors Including Mesothelioma</t>
  </si>
  <si>
    <t>RS Oncology LLC</t>
  </si>
  <si>
    <t>NCT05573100</t>
  </si>
  <si>
    <t>The Study of CU06-1004 in Patients With Diabetic Macular Edema (DME)</t>
  </si>
  <si>
    <t>NCT05438329</t>
  </si>
  <si>
    <t>First-in-human Study of DB-1305/BNT325 for Advanced/Metastatic Solid Tumors</t>
  </si>
  <si>
    <t>DualityBio Inc.</t>
  </si>
  <si>
    <t>NCT05004675</t>
  </si>
  <si>
    <t>Trial to Evaluate Efficacy and Safety of LIB003 and Inclisiran in High-risk CVD Patients</t>
  </si>
  <si>
    <t>NCT05277012</t>
  </si>
  <si>
    <t>A Study to Evaluate Pharmacokinetics (PK) of Etrumadenant Tablet and Capsule Formulations in Healthy Adult Participants</t>
  </si>
  <si>
    <t>NCT05141357</t>
  </si>
  <si>
    <t>A Study of HBI-8000 (Tucidinostat) With Pembrolizumab in Non-Small Cell Lung Cancer</t>
  </si>
  <si>
    <t>NCT05394012</t>
  </si>
  <si>
    <t>A Phase 1a Trial to Evaluate the Safety and Immunogenicity of a SARS-CoV-2 mRNA Chimera Vaccine Against COVID-19</t>
  </si>
  <si>
    <t>NCT05432492</t>
  </si>
  <si>
    <t>A Study of AK112 in Patients With Unresectable Hepatocellular Carcinoma (HCC)</t>
  </si>
  <si>
    <t>NCT05304481</t>
  </si>
  <si>
    <t>Efficacy and Safety of Activated T Lymphocytes (ATL) in Hepatocellular Carcinoma</t>
  </si>
  <si>
    <t>Lukas Biomedical Inc.</t>
  </si>
  <si>
    <t>NCT05464628</t>
  </si>
  <si>
    <t>Drug Interaction Study of ASC42 With Atorvastatin</t>
  </si>
  <si>
    <t>NCT05486065</t>
  </si>
  <si>
    <t>A Research Study to Look Into How Well Semaglutide Medicine Works at Different Doses in People With Type 2 Diabetes and Overweight</t>
  </si>
  <si>
    <t>NCT05633407</t>
  </si>
  <si>
    <t>Efficacy and Safety Study of Efgartigimod in Adults With Post-COVID-19 POTS</t>
  </si>
  <si>
    <t>NCT05586321</t>
  </si>
  <si>
    <t>Study of Safety and Antitumor Activity of GEN1056 in Participants With Advanced Solid Tumors</t>
  </si>
  <si>
    <t>NCT05330858</t>
  </si>
  <si>
    <t>Relative Bioavailability of ESK-001 Tablet Versus Liquid in Healthy Participants</t>
  </si>
  <si>
    <t>Alumis Inc</t>
  </si>
  <si>
    <t>NCT05435014</t>
  </si>
  <si>
    <t>T-ACE Oil by TAE/TACE in Patients With Hepatocellular Carcinoma</t>
  </si>
  <si>
    <t>T-ACE Medical Co., Ltd</t>
  </si>
  <si>
    <t>NCT04899349</t>
  </si>
  <si>
    <t>Study of Safety and Efficacy of Dapagliflozin + Metformin XR Versus Metformin XR in Participants With HR+, HER2-, Advanced Breast Cancer While on Treatment With Alpelisib and Fulvestrant</t>
  </si>
  <si>
    <t>NCT05434585</t>
  </si>
  <si>
    <t>A Study to Evaluate Safety, Tolerability, and Immunogenicity of SARS-CoV-2 Variant (COVID-19) mRNA Vaccines</t>
  </si>
  <si>
    <t>Suzhou Abogen Biosciences Co., Ltd.</t>
  </si>
  <si>
    <t>NCT05437848</t>
  </si>
  <si>
    <t>Chinese Multiple Dose Escalation (MDE) High Dose Study</t>
  </si>
  <si>
    <t>NCT05312385</t>
  </si>
  <si>
    <t>Efficacy and Safety of Inhaled Isoflurane Delivered Via the Sedaconda ACD-S Compared to Intravenous Propofol for Sedation of Mechanically Ventilated Intensive Care Unit Adult Patients (INSPiRE-ICU1)</t>
  </si>
  <si>
    <t>NCT05431725</t>
  </si>
  <si>
    <t>Immunogenicity and Safety Study of Influenza Vaccine (Split Virion), Inactivated, Quadrivalent</t>
  </si>
  <si>
    <t>NCT05477576</t>
  </si>
  <si>
    <t>Study of RYZ101 Compared With SOC in Pts w Inoperable SSTR+ Well-differentiated GEP-NET That Has Progressed Following 177Lu-SSA Therapy</t>
  </si>
  <si>
    <t>RayzeBio, Inc.</t>
  </si>
  <si>
    <t>NCT05344989</t>
  </si>
  <si>
    <t>A First-in-Human Study to Assess Single Doses of APNmAb005 in Healthy Participants</t>
  </si>
  <si>
    <t>APRINOIA Therapeutics, LLC</t>
  </si>
  <si>
    <t>NCT05297552</t>
  </si>
  <si>
    <t>A Study of RC48-ADC Combined With JS001 For Perioperative Treatment of Muscle-Invasive Bladder Cancer</t>
  </si>
  <si>
    <t>NCT05542849</t>
  </si>
  <si>
    <t>The Efficacy and Tolerability of Acarbose in Healthy Individuals</t>
  </si>
  <si>
    <t>NCT05216835</t>
  </si>
  <si>
    <t>Safety and Preliminary Efficacy Assessment of AZD7789 in Patients With Relapsed or Refractory Classical Hodgkin Lymphoma</t>
  </si>
  <si>
    <t>NCT05153408</t>
  </si>
  <si>
    <t>(HARMONY) Study of BLU-701 in EGFR-mutant NSCLC</t>
  </si>
  <si>
    <t>NCT05629585</t>
  </si>
  <si>
    <t>A Study of Dato-DXd With or Without Durvalumab Versus Investigator's Choice of Therapy in Patients With Stage I-III Triple-negative Breast Cancer Without Pathological Complete Response Following Neoadjuvant Therapy (TROPION-Breast03)</t>
  </si>
  <si>
    <t>NCT05398263</t>
  </si>
  <si>
    <t>Tezepelumab Efficacy and Safety in Reducing Oral Corticosteroid Use in Adults With Oral Corticosteroid Dependent Asthma</t>
  </si>
  <si>
    <t>NCT06897098</t>
  </si>
  <si>
    <t>Regeneration of Knee and Ankle Cartilage From Autologous Cartilage Mini-grafts (From the Patient's Own Cells)</t>
  </si>
  <si>
    <t>Vanarix SA</t>
  </si>
  <si>
    <t>NCT05569954</t>
  </si>
  <si>
    <t>Safety and Immunogenicity of V116 in Pneumococcal Vaccine-naïve Adults 50 Years of Age or Older (V116-010, STRIDE-10)</t>
  </si>
  <si>
    <t>NCT04987294</t>
  </si>
  <si>
    <t>Phase IIa Study of ALLN-346 (Engineered Urate Oxidase) in Subjects With Hyperuricemia, Gout and Chronic Kidney Disease</t>
  </si>
  <si>
    <t>NCT05192356</t>
  </si>
  <si>
    <t>A Clinical Trial to Evaluate the Tolerability and Pharmacokinetics of CKD-348(3)</t>
  </si>
  <si>
    <t>NCT05329051</t>
  </si>
  <si>
    <t>A Study to Evaluate the Immunogenicity and Safety of a Recombinant Protein COVID-19 Vaccine in Population Aged ≥18 Years</t>
  </si>
  <si>
    <t>NCT05314439</t>
  </si>
  <si>
    <t>A Study to Assess the Safety, Tolerability, and Efficacy of Monthly Subcutaneous Administration of ION904 in Participants With Uncontrolled Hypertension</t>
  </si>
  <si>
    <t>NCT05444894</t>
  </si>
  <si>
    <t>EDIT-301 for Autologous Hematopoietic Stem Cell Transplant (HSCT) in Participants With Transfusion-Dependent Beta Thalassemia (TDT)</t>
  </si>
  <si>
    <t>NCT05900531</t>
  </si>
  <si>
    <t>A Study to Evaluate the Safety, Tolerability, Pharmacokinetics, and Pharmacodynamics of K-757 in Healthy Overweight/Obese Volunteers</t>
  </si>
  <si>
    <t>Kallyope Inc.</t>
  </si>
  <si>
    <t>NCT05466877</t>
  </si>
  <si>
    <t>A Study of MG-K10 in Subjects With Atopic Dermatitis</t>
  </si>
  <si>
    <t>Shanghai Mabgeek Biotech.Co.Ltd</t>
  </si>
  <si>
    <t>NCT06247488</t>
  </si>
  <si>
    <t>Abuse Potential of HORIZANT With and Without Oxycodone in Healthy, Nondependent Recreational Opioid Users</t>
  </si>
  <si>
    <t>NCT05258773</t>
  </si>
  <si>
    <t>Evaluation of the Presence of SENS-401 in the Perilymph</t>
  </si>
  <si>
    <t>Sensorion</t>
  </si>
  <si>
    <t>NCT05330286</t>
  </si>
  <si>
    <t>Study to Compare the Pharmacokinetics, Safety and Tolerability of the Pediatric and Adult Branaplam Formulation in Healthy Adults and the Effect of Food on the Latter.</t>
  </si>
  <si>
    <t>NCT05280470</t>
  </si>
  <si>
    <t>Ifinatamab Deruxtecan (I-DXd) in Subjects With Pretreated Extensive-Stage Small Cell Lung Cancer (ES-SCLC)</t>
  </si>
  <si>
    <t>NCT06987851</t>
  </si>
  <si>
    <t>An Extension Clinical Study of the Efficacy and Safety of BCD-132 in Patients With Multiple Sclerosis Who Previously Received Therapy in Clinical Studies of JSC BIOCAD</t>
  </si>
  <si>
    <t>NCT05513053</t>
  </si>
  <si>
    <t>Study With Quadrivalent Recombinant Influenza Vaccine (RIV4) in Participants 9 Through 49 Years of Age.</t>
  </si>
  <si>
    <t>NCT05524545</t>
  </si>
  <si>
    <t>A Study of Evorpacept (ALX148) With Enfortumab Vedotin for Subjects With Urothelial Carcinoma (ASPEN-07)</t>
  </si>
  <si>
    <t>NCT04934670</t>
  </si>
  <si>
    <t>A Study to Compare T-Guard vs Ruxolitinib for Treatment of Steroid-Refractory Acute Graft-vs-Host Disease (BMT CTN 2002)</t>
  </si>
  <si>
    <t>Xenikos</t>
  </si>
  <si>
    <t>NCT05219838</t>
  </si>
  <si>
    <t>Binding and Effects of Lu AG06466 in the Brain of Healthy Men</t>
  </si>
  <si>
    <t>NCT05194735</t>
  </si>
  <si>
    <t>Phase I/II Study of Autologous T Cells to Express T-Cell Receptors (TCRs) in Subjects With Solid Tumors</t>
  </si>
  <si>
    <t>Alaunos Therapeutics</t>
  </si>
  <si>
    <t>NCT05189717</t>
  </si>
  <si>
    <t>A Trial of HRS-8080 Tablets in Metastatic or Local Advanced Breast Cancer of Adults</t>
  </si>
  <si>
    <t>NCT05259995</t>
  </si>
  <si>
    <t>Sustained Acoustic Medicine Ultrasound Diathermy Clinical Performance</t>
  </si>
  <si>
    <t>NCT05397639</t>
  </si>
  <si>
    <t>Masupirdine for the Treatment of Agitation in Dementia of the Alzheimer's Type</t>
  </si>
  <si>
    <t>Suven Life Sciences Limited</t>
  </si>
  <si>
    <t>NCT05335122</t>
  </si>
  <si>
    <t>A Study to Evaluate the Efficacy and Safety of OTX-TIC (Travoprost) Intracameral Implant for Patients With Open-angle Glaucoma (OAG) or Ocular Hypertension (OHT)</t>
  </si>
  <si>
    <t>NCT05171075</t>
  </si>
  <si>
    <t>A Study Comparing Abelacimab to Dalteparin in the Treatment of Gastrointestinal/Genitourinary Cancer and Associated VTE</t>
  </si>
  <si>
    <t>NCT05513937</t>
  </si>
  <si>
    <t>Effectiveness and Safety of Combination of Nebivolol and Amlodipine in Hypertensive Patients Versus Each Monotherapy</t>
  </si>
  <si>
    <t>NCT05469737</t>
  </si>
  <si>
    <t>A Study to Compare the Efficacy and Safety of Oral Azacitidine Plus Best Supportive Care (BSC) Versus Placebo Plus BSC in Participants With International Prognostic Scoring System Revised (IPSS-R) Low- or Intermediate-risk Myelodysplastic Syndrome (MDS)</t>
  </si>
  <si>
    <t>NCT05277922</t>
  </si>
  <si>
    <t>Effect of C21 on Forearm Blood Flow</t>
  </si>
  <si>
    <t>NCT05360381</t>
  </si>
  <si>
    <t>HLX35(EGFR×4-1BB Bispecific) in Patients With Advanced or Metastatic Solid Tumors</t>
  </si>
  <si>
    <t>NCT05306379</t>
  </si>
  <si>
    <t>Drug-Drug Interaction Study to Investigate Effects of Voclosporin on Pharmacokinetics of Simvastatin</t>
  </si>
  <si>
    <t>Aurinia Pharmaceuticals Inc.</t>
  </si>
  <si>
    <t>NCT05580003</t>
  </si>
  <si>
    <t>A Study to Learn Safety and Blood Levels of PF-07817883 in Healthy People</t>
  </si>
  <si>
    <t>NCT05373186</t>
  </si>
  <si>
    <t>A Trial Investigating the Pharmacodynamics of BC Combo THDB0207 Compared With Humalog® Mix25 and Simultaneous Injections of Humalog® and Lantus® in Healthy Chinese Volunteers</t>
  </si>
  <si>
    <t>NCT05305456</t>
  </si>
  <si>
    <t>Clinical Trial Scheme of Tanreqing Capsules in the Treatment of COVID-19</t>
  </si>
  <si>
    <t>NCT04998812</t>
  </si>
  <si>
    <t>A Study Evaluating B Cell Levels In Infants Potentially Exposed To Ocrelizumab During Pregnancy</t>
  </si>
  <si>
    <t>NCT05144360</t>
  </si>
  <si>
    <t>Efficacy and Safety of Atenas Association in the Treatment of Type II Diabetes Mellitus and Hypertension</t>
  </si>
  <si>
    <t>NCT06706713</t>
  </si>
  <si>
    <t>Study of BEBT-109 in Subjects With EGFR Exon 20 Insertion Mutations Non-Small Cell Lung Cancer</t>
  </si>
  <si>
    <t>NCT05263869</t>
  </si>
  <si>
    <t>A Study of MRG002 in Treatment of Advanced HER-2 Positive Breast Cancer Patients</t>
  </si>
  <si>
    <t>NCT05354141</t>
  </si>
  <si>
    <t>Extracellular Vesicle Treatment for Acute Respiratory Distress Syndrome (ARDS) (EXTINGUISH ARDS)</t>
  </si>
  <si>
    <t>NCT05304962</t>
  </si>
  <si>
    <t>FIH Study of RGT-419B Alone and With Endocrine Therapy in HR-Positive, HER2-Negative Advanced/Metastatic Breast Cancer</t>
  </si>
  <si>
    <t>NCT05327946</t>
  </si>
  <si>
    <t>A Study in People With Advanced Cancer to Test How Well Different Doses of BI 770371 Alone or in Combination With Ezabenlimab Are Tolerated</t>
  </si>
  <si>
    <t>NCT05645705</t>
  </si>
  <si>
    <t>A Two-Week Study of Clinical Safety and Saliva Flow Quantification</t>
  </si>
  <si>
    <t>NCT05453903</t>
  </si>
  <si>
    <t>A Study of Bleximenib in Combination With Acute Myeloid Leukemia (AML) Directed Therapies</t>
  </si>
  <si>
    <t>NCT05144386</t>
  </si>
  <si>
    <t>Study of EBT-101 in Aviremic HIV-1 Infected Adults on Stable ART</t>
  </si>
  <si>
    <t>Excision BioTherapeutics</t>
  </si>
  <si>
    <t>NCT05653323</t>
  </si>
  <si>
    <t>A Phase 1 Dose Escalation Study of VX-993 in Healthy Participants</t>
  </si>
  <si>
    <t>NCT05976503</t>
  </si>
  <si>
    <t>A Study of the Interaction of Tunodafil Hydrochloride Tablets and Alcohol</t>
  </si>
  <si>
    <t>NCT05128773</t>
  </si>
  <si>
    <t>Study of Amcenestrant (SAR439859) Versus Tamoxifen for Patients With Hormone Receptor-positive (HR+) Early Breast Cancer, Who Have Discontinued Adjuvant Aromatase Inhibitor Therapy Due to Treatment-related Toxicity</t>
  </si>
  <si>
    <t>NCT05520827</t>
  </si>
  <si>
    <t>A Study in Healthy Men to Test How Different Doses of BI 1584862 Are Tolerated and How BI 1584862 is Taken up in the Body With or Without Food</t>
  </si>
  <si>
    <t>NCT05207761</t>
  </si>
  <si>
    <t>Study to Evaluate Drug-drug Interaction, Safety and Tolerability in Case of the Co-administration of D565 and D930</t>
  </si>
  <si>
    <t>NCT06124560</t>
  </si>
  <si>
    <t>Bioequivalence Study of Sitagliptin Hydrochloride / Metformin Hydrochloride Extended-release Film Coated Tablets 100 mg /1000 mg (FDC) in Healthy Adult Male and Female Subjects Under Fasting Conditions.</t>
  </si>
  <si>
    <t>NCT04527224</t>
  </si>
  <si>
    <t>Study to Evaluate the Efficacy and Safety of AstroStem-V in Treatment of COVID-19 Pneumonia</t>
  </si>
  <si>
    <t>NCT05659459</t>
  </si>
  <si>
    <t>The KIN-FAST Trial (KIN001 For Accelerated Symptoms Termination) in Non Hospitalized Patients Infected With SARS-CoV-2</t>
  </si>
  <si>
    <t>Kinarus AG</t>
  </si>
  <si>
    <t>NCT05525559</t>
  </si>
  <si>
    <t>NCT05244980</t>
  </si>
  <si>
    <t>A Study of TDM-105795 in Male Subjects With Androgenetic Alopecia (AGA)</t>
  </si>
  <si>
    <t>NCT04961905</t>
  </si>
  <si>
    <t>Pharmacokinetic Characteristics and Safety After Administration of NVP-2002</t>
  </si>
  <si>
    <t>NCT05508659</t>
  </si>
  <si>
    <t>A Study of Duvelisib Combined With SG001 Injection in Patient With Advanced Solid Tumors</t>
  </si>
  <si>
    <t>NCT05528861</t>
  </si>
  <si>
    <t>A Study to Assess Subcutaneous Lirentelimab (AK002) in Chronic Spontaneous Urticaria</t>
  </si>
  <si>
    <t>NCT06873542</t>
  </si>
  <si>
    <t>A Study of DC05F01 in Chinese Patients with Advanced or Metastatic Solid Tumors</t>
  </si>
  <si>
    <t>NCT05653427</t>
  </si>
  <si>
    <t>A Study of Amivantamab Monotherapy in Participants With Previously Treated Advanced Hepatocellular Carcinoma</t>
  </si>
  <si>
    <t>NCT05552183</t>
  </si>
  <si>
    <t>Study to Evaluate the Safety, Tolerability, and PK of Pacritinib</t>
  </si>
  <si>
    <t>NCT05192941</t>
  </si>
  <si>
    <t>Study of Efficacy, Safety, Tolerability and Quality of Life of Inclisiran (KJX839) vs Placebo, on Top of Ongoing Individually Optimized Lipid-lowering Therapy, in Participants With Hypercholesterolemia</t>
  </si>
  <si>
    <t>NCT05665283</t>
  </si>
  <si>
    <t>A Single Dose BE Study of X-396 in Healthy Volunteers Under Fasted Conditions</t>
  </si>
  <si>
    <t>Xcovery Holdings, Inc.</t>
  </si>
  <si>
    <t>NCT05635461</t>
  </si>
  <si>
    <t>Relative Bioavailability and Food Effect Study of CVN424</t>
  </si>
  <si>
    <t>Cerevance Beta, Inc.</t>
  </si>
  <si>
    <t>NCT06209203</t>
  </si>
  <si>
    <t>A Phase II Clinical Trial to Evaluate the Efficacy and Safety of ZKY001 Eye Drops</t>
  </si>
  <si>
    <t>NCT05586516</t>
  </si>
  <si>
    <t>A Study to Assess an ATX Inhibitor (IOA-289) in Patients With Metastatic Pancreatic Cancer</t>
  </si>
  <si>
    <t>NCT05585606</t>
  </si>
  <si>
    <t>Study of the Safety and Neuroprotective Capacity of Scp776 in Acute Ischemic Stroke</t>
  </si>
  <si>
    <t>Silver Creek Pharmaceuticals</t>
  </si>
  <si>
    <t>NCT05208047</t>
  </si>
  <si>
    <t>(Peak) A Phase 3 Randomized Trial of CGT9486+Sunitinib vs. Sunitinib in Subjects With Gastrointestinal Stromal Tumors</t>
  </si>
  <si>
    <t>NCT05839106</t>
  </si>
  <si>
    <t>Phase I/IIa Study for PM1032 in the Treatment of Patients With Advanced Solid Tumors</t>
  </si>
  <si>
    <t>NCT05193604</t>
  </si>
  <si>
    <t>A Clinical Trial to Evaluate Tolerability and Security of TQB2858 Injection in Subjects With Advanced Pancreatic Carcinoma</t>
  </si>
  <si>
    <t>NCT05618314</t>
  </si>
  <si>
    <t>Study of AT-527 in Subjects With Normal and Impaired Renal Function</t>
  </si>
  <si>
    <t>NCT05411016</t>
  </si>
  <si>
    <t>A Study of KK4277 in Healthy Volunteers and Patients With Systemic Lupus Erythematosus and Cutaneous Lupus Erythematosus</t>
  </si>
  <si>
    <t>NCT05347758</t>
  </si>
  <si>
    <t>A Phase I Single- and Multiple- Ascending Dose and Food Effect Study to Evaluate the Safety, Tolerability, Pharmacokinetics and Pharmacodynamics of HRS-7535 in Healthy Subjects</t>
  </si>
  <si>
    <t>NCT02864784</t>
  </si>
  <si>
    <t>Investigating the Safety, Tolerability and Efficacy of Amorphous Calcium Carbonate (ACC) on the Treatment of Subjects With CRPC</t>
  </si>
  <si>
    <t>NCT05092347</t>
  </si>
  <si>
    <t>A Study to Learn How Safe and Tolerable Vonsetamig is in Adult Patients With Chronic Kidney Disease (CKD) Who Need Kidney Transplantation and Are Highly Sensitized to Human Leukocyte Antigen (HLA)</t>
  </si>
  <si>
    <t>NCT05360238</t>
  </si>
  <si>
    <t>Study to Assess Safety, Tolerability and Efficacy of MB-106 in Patients With Relapsed or Refractory B-Cell NHL or CLL</t>
  </si>
  <si>
    <t>NCT05252533</t>
  </si>
  <si>
    <t>A Study of Ustekinumab in Pediatric Participants (U-POPS) With Juvenile Psoriatic Arthritis or Psoriasis</t>
  </si>
  <si>
    <t>NCT05570058</t>
  </si>
  <si>
    <t>Assess the Safety, Pharmacokinetics, Pharmacodynamics and Clinical Activity of RXC007 in Idiopathic Pulmonary Fibrosis</t>
  </si>
  <si>
    <t>NCT05279755</t>
  </si>
  <si>
    <t>A Study to Evaluate the Safety and Pharmacokinetics of Single and Multiple Doses of Prosetin in Healthy Volunteers and Participants With ALS</t>
  </si>
  <si>
    <t>ProJenX</t>
  </si>
  <si>
    <t>NCT05245838</t>
  </si>
  <si>
    <t>Trial to Evaluate the Safety, Tolerability, and Immunogenicity of an Investigational Herpes Zoster Vaccine (Z-1018) Compared to Shingrix® in Healthy Adult Volunteers</t>
  </si>
  <si>
    <t>NCT05259085</t>
  </si>
  <si>
    <t>Study of ALXN2050 in Participants With Hepatic Impairment</t>
  </si>
  <si>
    <t>NCT05192304</t>
  </si>
  <si>
    <t>Evaluate the Safety, Tolerability and Pharmacokinetic Profile of TPN672 Tablets Maleate in Patients With Schizophrenia</t>
  </si>
  <si>
    <t>Jiangsu Kanion Pharmaceutical Co., Ltd</t>
  </si>
  <si>
    <t>NCT05351047</t>
  </si>
  <si>
    <t>A Study to Assess Safety, Tolerability, PK and PD of AZD2373 in Healthy Male Participants of Sub-Saharan West African Ancestry</t>
  </si>
  <si>
    <t>NCT05828277</t>
  </si>
  <si>
    <t>A Phase 1 Study to Assess the Effect of Hepatic Impairment on the Pharmacokinetics of Repotrectinib in Advanced Cancer Patients</t>
  </si>
  <si>
    <t>NCT05222399</t>
  </si>
  <si>
    <t>A Study of LY3871801 in Healthy Participants</t>
  </si>
  <si>
    <t>NCT05737212</t>
  </si>
  <si>
    <t>Studying the Safety, Efficacy, and Pharmacokinetic Characteristics of BNCT in Patients With Recurrent High-grade Gliomas</t>
  </si>
  <si>
    <t>Dawonmedax Co., Ltd.</t>
  </si>
  <si>
    <t>NCT05374512</t>
  </si>
  <si>
    <t>A Study of Dato-DXd Versus Investigator's Choice Chemotherapy in Patients With Locally Recurrent Inoperable or Metastatic Triple-negative Breast Cancer, Who Are Not Candidates for PD-1/PD-L1 Inhibitor Therapy (TROPION-Breast02)</t>
  </si>
  <si>
    <t>NCT05515328</t>
  </si>
  <si>
    <t>A Study in Healthy Men to Test How BI 685509 is Processed in the Body</t>
  </si>
  <si>
    <t>NCT05411965</t>
  </si>
  <si>
    <t>A Study to Evaluate the Pharmacokinetics After Administration of BR3003 and Co-administration of BR3003B and BR3003C.</t>
  </si>
  <si>
    <t>NCT06233292</t>
  </si>
  <si>
    <t>A Study of ZG005 in Patients With Advanced Solid Tumors</t>
  </si>
  <si>
    <t>NCT05921292</t>
  </si>
  <si>
    <t>Omeza Combination Therapy for the Management and Treatment of Chronic Cutaneous Wounds/Ulcers of Multiple Etiologies</t>
  </si>
  <si>
    <t>NCT05118763</t>
  </si>
  <si>
    <t>Intranasal INNA-051 for Prevention of COVID-19 in Adults</t>
  </si>
  <si>
    <t>NCT05427253</t>
  </si>
  <si>
    <t>First-in-human Trial to Evaluate the Safety, Tolerability and Pharmacokinetics of C106 in Healthy Subjects</t>
  </si>
  <si>
    <t>NCT05432375</t>
  </si>
  <si>
    <t>Study of Tinostamustine for Adjuvant Treatment of Glioblastoma</t>
  </si>
  <si>
    <t>NCT05609019</t>
  </si>
  <si>
    <t>A Study Evaluating SYHX2005 in the Treatment of Patients With Advanced Solid Tumors</t>
  </si>
  <si>
    <t>NCT05281328</t>
  </si>
  <si>
    <t>A Trial to Assess the Efficacy and Safety of Octreotide Subcutaneous Depot in Patients With PLD</t>
  </si>
  <si>
    <t>NCT05336071</t>
  </si>
  <si>
    <t>The Relative Bioavailability of INS068 Injection With Two Different Formulations in Healthy Subjects</t>
  </si>
  <si>
    <t>NCT04940130</t>
  </si>
  <si>
    <t>PfSPZ Vaccine Trial in Malian Children</t>
  </si>
  <si>
    <t>NCT05491421</t>
  </si>
  <si>
    <t>A Study of ZT002 in Healthy Participants</t>
  </si>
  <si>
    <t>QL Biopharmaceutical Australia Pty Ltd</t>
  </si>
  <si>
    <t>NCT05238701</t>
  </si>
  <si>
    <t>A Dose-escalation Study to Evaluate the Safety, Tolerability and Pharmacokinetic of LPM3770164 in Healthy Subjects</t>
  </si>
  <si>
    <t>NCT05547087</t>
  </si>
  <si>
    <t>A Dose Finding Study of VN-0200</t>
  </si>
  <si>
    <t>NCT05144009</t>
  </si>
  <si>
    <t>A Study of Loncastuximab Tesirine and Rituximab (Lonca-R) in Previously Untreated Unfit/Frail Participants With Diffuse Large B-cell Lymphoma (DLBCL)</t>
  </si>
  <si>
    <t>NCT05041699</t>
  </si>
  <si>
    <t>PK, Safety Study of 90-Day Use of Vaginal Rings Containing Dapivirine and Levonorgestrel</t>
  </si>
  <si>
    <t>International Partnership for Microbicides, Inc.</t>
  </si>
  <si>
    <t>NCT05561816</t>
  </si>
  <si>
    <t>Efficacy and Safety of Dioxidin Versus Miramistin in Superficial Pyoderma</t>
  </si>
  <si>
    <t>NCT05804721</t>
  </si>
  <si>
    <t>Bioequivalence Study of Aripiprazole From Apipe 10 mg Orally Disintegrating Tablets (Man. by: P&amp;C Labs (Pellets &amp; CR Products), Egypt) Versus Abilify 10 mg Orodispersible Tablets (Otsuka Pharmaceutical Netherlands B.V., Netherlands)</t>
  </si>
  <si>
    <t>NCT05280509</t>
  </si>
  <si>
    <t>Study of TL-895 Combined With Ruxolitinib in JAKi Treatment-Naïve MF Subjects and Subjects With MF Who Have a Suboptimal Response to Ruxolitinib</t>
  </si>
  <si>
    <t>NCT05398198</t>
  </si>
  <si>
    <t>Efficacy and Safety of GSK3923868 Inhalation Powder, During Experimental Human Rhinovirus Infection in Participants With Mild Asthma</t>
  </si>
  <si>
    <t>NCT05817708</t>
  </si>
  <si>
    <t>A Study of Silmitasertib (CX-4945) in Healthy Subject</t>
  </si>
  <si>
    <t>NCT05518708</t>
  </si>
  <si>
    <t>A Study in Healthy Men to Test How Different Doses of BI 3032950 Are Tolerated</t>
  </si>
  <si>
    <t>NCT05388825</t>
  </si>
  <si>
    <t>Pharmacodynamic Study of TPN171H Tablets in Patients With Mild to Moderate Erectile Dysfunction</t>
  </si>
  <si>
    <t>NCT04964050</t>
  </si>
  <si>
    <t>A Bioequivalence Study Between Capozide Versus ACE-Hemmer-ratiopharm in Healthy Adult Participants Under Fasting Conditions</t>
  </si>
  <si>
    <t>NCT05093790</t>
  </si>
  <si>
    <t>A Study to Evaluate BMS-986141 Added on to Aspirin or Ticagrelor or the Combination, on Thrombus Formation in a Thrombosis Chamber Model in Participants With Stable Coronary Artery Disease and Healthy Participants</t>
  </si>
  <si>
    <t>NCT05323708</t>
  </si>
  <si>
    <t>Comparison of Pharmacokinetics, Pharmacodynamics, Safety, and Tolerability of Bmab 1000 and Prolia® in Normal Healthy Volunteers: DENARIUS: DENosumab Pharmacokinetic equivAlence tRIal in Healthy volUnteerS</t>
  </si>
  <si>
    <t>NCT05483868</t>
  </si>
  <si>
    <t>A Phase 1, Open-label Trial of Belzupacap Sarotalocan (AU-011) in Bladder Cancer</t>
  </si>
  <si>
    <t>NCT05234320</t>
  </si>
  <si>
    <t>Study to Evaluate the Safety, Tolerability, and Pharmacokinetics in Healthy Volunteers of the Novel Self-Administered Intranasal CG- SpikeDown Antiviral Drug</t>
  </si>
  <si>
    <t>Caregen Co. Ltd.</t>
  </si>
  <si>
    <t>NCT05468320</t>
  </si>
  <si>
    <t>Caplacizumab and Immunosuppressive Therapy Without Firstline Therapeutic Plasma Exchange in Adults With Immune-mediated Thrombotic Thrombocytopenic Purpura</t>
  </si>
  <si>
    <t>NCT05575076</t>
  </si>
  <si>
    <t>Open-label Extension for Phase 3 Clinical Trials of Simufilam</t>
  </si>
  <si>
    <t>NCT05349968</t>
  </si>
  <si>
    <t>Pharmacokinetics and Efficacy of Multiple Dosing of Lipovirtide for Injection in HIV-infected Patients</t>
  </si>
  <si>
    <t>NCT07016997</t>
  </si>
  <si>
    <t>A Phase I, First in Human Study of CBA-1535, T Cell Engager(5T4/CD3/5T4) in Patients With Advanced Solid Tumors.</t>
  </si>
  <si>
    <t>NCT05315713</t>
  </si>
  <si>
    <t>An Open-Label, Multicenter Study Evaluating the Safety, Efficacy, and Pharmacokinetics of Mosunetuzumab in Combination With Tiragolumab With or Without Atezolizumab in Participants With B-Cell Non-Hodgkin Lymphoma</t>
  </si>
  <si>
    <t>NCT05745623</t>
  </si>
  <si>
    <t>Study of ICP-723 in Patients With Advanced Solid Tumors or Primary Central Nervous System Tumors</t>
  </si>
  <si>
    <t>NCT05494918</t>
  </si>
  <si>
    <t>First-In-Human Study in Subjects With Advanced or Metastatic Solid Malignant Tumors</t>
  </si>
  <si>
    <t>Alphamab (Australia) Co Pty Ltd.</t>
  </si>
  <si>
    <t>NCT05082610</t>
  </si>
  <si>
    <t>A Study of HMBD-002, a Monoclonal Antibody Targeting VISTA, as Monotherapy and Combined With Pembrolizumab, in Patients With Advanced Solid Tumors</t>
  </si>
  <si>
    <t>Hummingbird Bioscience</t>
  </si>
  <si>
    <t>NCT05132907</t>
  </si>
  <si>
    <t>Safety and Immunogenicity of HDT-301 Targeting a SARS-CoV-2 Variant Spike Protein</t>
  </si>
  <si>
    <t>HDT Bio</t>
  </si>
  <si>
    <t>NCT05068284</t>
  </si>
  <si>
    <t>A Study to Evaluate Adverse Events and Change in Disease Activity in Participants Between 18 to 75 Years of Age Treated With Intravenous (IV) Infusion and Subcutaneous (SC) Injections of ABBV-154 for Moderately to Severely Active Crohn's Disease</t>
  </si>
  <si>
    <t>NCT05242471</t>
  </si>
  <si>
    <t>A Study of Combination Therapy With Guselkumab and Golimumab in Participants With Moderately to Severely Active Crohn's Disease</t>
  </si>
  <si>
    <t>NCT05844787</t>
  </si>
  <si>
    <t>A Study to Evaluate the Safety, Tolerability and Pharmacokinetics Profile of MT101-5 in Healthy Volunteers</t>
  </si>
  <si>
    <t>Mthera Pharma Co., Ltd.</t>
  </si>
  <si>
    <t>NCT05475821</t>
  </si>
  <si>
    <t>Study to Assess Adverse Events and How Oral ABBV-990 Moves Through the Body of Adult Healthy Participants</t>
  </si>
  <si>
    <t>NCT05414175</t>
  </si>
  <si>
    <t>A Study of Mavacamten in Obstructive Hypertrophic Cardiomyopathy</t>
  </si>
  <si>
    <t>NCT05606965</t>
  </si>
  <si>
    <t>A Study to Evaluate the Safety, Reactogenicity, and Immunogenicity of mRNA-1010 in Healthy Adults</t>
  </si>
  <si>
    <t>NCT07076056</t>
  </si>
  <si>
    <t>Clinical Trial to Evaluate the Efficacy and Safety of DW1026C1 or DW1026C2</t>
  </si>
  <si>
    <t>NCT05463965</t>
  </si>
  <si>
    <t>A Study to Evaluate the Efficacy and Safety of QM1114-DP for the Treatment of Moderate to Severe Glabellar Lines</t>
  </si>
  <si>
    <t>NCT05369000</t>
  </si>
  <si>
    <t>Trial of LAVA-1207 in Patients With Therapy Refractory Metastatic Castration Resistant Prostate Cancer (mCRPC) Resistant Prostate Cancer</t>
  </si>
  <si>
    <t>NCT05267301</t>
  </si>
  <si>
    <t>AlmegaPL CV Health Open Label Study</t>
  </si>
  <si>
    <t>Qualitas Health</t>
  </si>
  <si>
    <t>NCT05702489</t>
  </si>
  <si>
    <t>A Study to Evaluate the Efficacy and Safety of ZX-7101A Tablets in Adults with Uncomplicated Influenza</t>
  </si>
  <si>
    <t>NCT05620160</t>
  </si>
  <si>
    <t>Study of RAY1216 Tablets Compared With Placebo in Patients With Mild to Moderate COVID-19</t>
  </si>
  <si>
    <t>NCT05563246</t>
  </si>
  <si>
    <t>A Study of LY3473329 in Adult Participants With Elevated Lipoprotein(a) at High Risk for Cardiovascular Events</t>
  </si>
  <si>
    <t>NCT05429177</t>
  </si>
  <si>
    <t>A First-in-Human Study of QY101 Ointment in Adult Subjects</t>
  </si>
  <si>
    <t>NCT05512819</t>
  </si>
  <si>
    <t>A Study to Describe the Safety and Immunogenicity of 20vPnC in Infants in India and Taiwan</t>
  </si>
  <si>
    <t>NCT05325229</t>
  </si>
  <si>
    <t>A Study of Docetaxel for Injection (Albumin-bound) in Combination With Bevacizumab in Patients With Ovarian Cancer</t>
  </si>
  <si>
    <t>NCT05543629</t>
  </si>
  <si>
    <t>A Study of BMS-986442 With Nivolumab With or Without Chemotherapy in Solid Tumors and Non-small Cell Lung Cancer</t>
  </si>
  <si>
    <t>NCT05415722</t>
  </si>
  <si>
    <t>DUET Study: A Clinical Study to Evaluate the Safety, Efficacy, Pharmacokinetics and Pharmacodynamics of Orally Administered TERN-501 as Monotherapy and in Combination With TERN-101 in Noncirrhotic Adults With Presumed Non-Alcoholic Steatohepatitis</t>
  </si>
  <si>
    <t>NCT05468502</t>
  </si>
  <si>
    <t>Phase I/IIa Clinical Trial of Human Umbilical Cord Mesenchymal Stem Cell Injection in the Treatment of Idiopathic Pulmonary Fibrosis (IPF)</t>
  </si>
  <si>
    <t>Shanghai Life Science &amp; Technology</t>
  </si>
  <si>
    <t>NCT05276401</t>
  </si>
  <si>
    <t>Nu-3 Topical Gel for Treatment of Diabetic Foot Ulcer</t>
  </si>
  <si>
    <t>Lakewood-Amedex Inc</t>
  </si>
  <si>
    <t>NCT05333107</t>
  </si>
  <si>
    <t>A Research Study Looking at New Protein-based Tablets in Healthy Men - Oral Formulation II</t>
  </si>
  <si>
    <t>NCT05619536</t>
  </si>
  <si>
    <t>Study of CD388 Subcutaneous Administration in Healthy Japanese Subjects</t>
  </si>
  <si>
    <t>NCT06883656</t>
  </si>
  <si>
    <t>The Pharmacokinetics Study of Fotagliptin in Patients with Different Degrees of Renal Insufficiency</t>
  </si>
  <si>
    <t>NCT05283395</t>
  </si>
  <si>
    <t>Rocklatan® Evaluation</t>
  </si>
  <si>
    <t>NCT04976153</t>
  </si>
  <si>
    <t>Skeletal Muscle-derived Cell Implantation for Treatment of Fecal Incontinence</t>
  </si>
  <si>
    <t>Innovacell GmbH</t>
  </si>
  <si>
    <t>NCT05091528</t>
  </si>
  <si>
    <t>A Safety and Activity Study of SBT6050 in Combination With Other HER2-directed Therapies for HER2-positive Cancers</t>
  </si>
  <si>
    <t>NCT05105607</t>
  </si>
  <si>
    <t>A Study to Evaluate the Safety, Tolerability, and Pharmacokinetics of D-4517.2 After Subcutaneous Administration in Healthy Participants</t>
  </si>
  <si>
    <t>NCT05178654</t>
  </si>
  <si>
    <t>Study to Investigate the Mass Balance, Metabolism, and Excretion of [14C]PF-07321332 in Healthy Male Participants.</t>
  </si>
  <si>
    <t>NCT05226494</t>
  </si>
  <si>
    <t>Safety and Tolerability of Fb-PMT in Recurrent Glioblastoma</t>
  </si>
  <si>
    <t>NanoPharmaceuticals LLC</t>
  </si>
  <si>
    <t>NCT05476354</t>
  </si>
  <si>
    <t>Clinical Efficacy and Safety Evaluation of Irbesartan and Amlodipine Combined Therapy in Essential Hypertension Patients</t>
  </si>
  <si>
    <t>NCT05461105</t>
  </si>
  <si>
    <t>A Study to Evaluate the Safety and Efficacy of Rencofilstat in Adult Subjects With NASH F3</t>
  </si>
  <si>
    <t>NCT05386888</t>
  </si>
  <si>
    <t>A Trial of GFH018 and Toripalimab in Combination With Concurrent Chemoradiotherapy in Stage III NSCLC Chemoradiotherapy in Stage III NSCLC</t>
  </si>
  <si>
    <t>NCT05662670</t>
  </si>
  <si>
    <t>A Phase I/II Study of WJ13404 Monotherapy in Patients With Advanced or Mentastatic Non-Small Cell Lung Cancer</t>
  </si>
  <si>
    <t>NCT05497089</t>
  </si>
  <si>
    <t>Temelimab as a Disease Modifying Therapy in Patients With Neuropsychiatric Symptoms in Post-COVID 19 or PASC Syndrome</t>
  </si>
  <si>
    <t>GeNeuro SA</t>
  </si>
  <si>
    <t>NCT05297097</t>
  </si>
  <si>
    <t>The Impact of a Human Breast Milk Supplement on Epigenetic and Cellular Markers</t>
  </si>
  <si>
    <t>NCT05552274</t>
  </si>
  <si>
    <t>FTIH of ECC4703 in Healthy Volunteers</t>
  </si>
  <si>
    <t>NCT05323110</t>
  </si>
  <si>
    <t>Study of Intravenously Administered Anti-LIGHT Monoclonal Antibody CBS001 in Healthy Volunteers</t>
  </si>
  <si>
    <t>Capella Bioscience Ltd</t>
  </si>
  <si>
    <t>NCT05145361</t>
  </si>
  <si>
    <t>Clinical Study of B001 Injection in Subjects With Neuromyelitis Optic Spectrum Disorder (NMOSD)</t>
  </si>
  <si>
    <t>NCT04782661</t>
  </si>
  <si>
    <t>A Study of JNJ-70075200 in Healthy Participants</t>
  </si>
  <si>
    <t>NCT05387642</t>
  </si>
  <si>
    <t>A Clinical Trial of PRAX-114 in Participants With Essential Tremor</t>
  </si>
  <si>
    <t>NCT05338086</t>
  </si>
  <si>
    <t>A Study to Compare Efficacy, PK, PD, Safety and IMM of MB09 to Prolia® [EU-sourced] in Postmenopausal Osteoporosis.</t>
  </si>
  <si>
    <t>NCT05523570</t>
  </si>
  <si>
    <t>A Study to Evaluate the Safety, Tolerability, PK and PD of HNC364 Injectable Suspension</t>
  </si>
  <si>
    <t>NCT06511869</t>
  </si>
  <si>
    <t>AZD4205 in Peripheral T Cell Lymphoma Following First-Line Therapy (JACKPOT26)</t>
  </si>
  <si>
    <t>NCT04231266</t>
  </si>
  <si>
    <t>Multi-Center Study of ManNAc for GNE Myopathy</t>
  </si>
  <si>
    <t>Leadiant Biosciences, Inc.</t>
  </si>
  <si>
    <t>NCT05222269</t>
  </si>
  <si>
    <t>[68Ga]Ga-PentixaFor PET Imaging in CNS Lymphoma Patients</t>
  </si>
  <si>
    <t>Pentixapharm AG</t>
  </si>
  <si>
    <t>NCT05360966</t>
  </si>
  <si>
    <t>Study Evaluating the Safety and Efficacy of AR-15512 (COMET-3)</t>
  </si>
  <si>
    <t>NCT05329259</t>
  </si>
  <si>
    <t>A Study to Describe the Safety of a Vaccine (Called 13vPnC) in Healthy People 18 to 49 Years of Age in India</t>
  </si>
  <si>
    <t>NCT05542303</t>
  </si>
  <si>
    <t>A Safety, Tolerability and Pharmacokinetics Study of ZB001 in Healthy Subjects</t>
  </si>
  <si>
    <t>Zenas BioPharma (USA), LLC</t>
  </si>
  <si>
    <t>NCT05291286</t>
  </si>
  <si>
    <t>BXQ-350 Pharmacokinetic/Pharmacodynamic Study in Cancer Patients</t>
  </si>
  <si>
    <t>NCT05258266</t>
  </si>
  <si>
    <t>A Study to Evaluate the Activity, Safety and Tolerability of ZX-101A in Advanced Solid Tumors</t>
  </si>
  <si>
    <t>NCT05377554</t>
  </si>
  <si>
    <t>Bevonescein for Intra-Operative Nerve Visualization in Head and Neck Surgery</t>
  </si>
  <si>
    <t>NCT05151653</t>
  </si>
  <si>
    <t>A Study to Test How Well Healthy Men Tolerate BI 765250 When Given as an Infusion Into the Vein or as an Injection Under the Skin</t>
  </si>
  <si>
    <t>NCT05166161</t>
  </si>
  <si>
    <t>A Long-Term Safety Study of PTC923 in Participants With Phenylketonuria</t>
  </si>
  <si>
    <t>NCT05591222</t>
  </si>
  <si>
    <t>Study of Daxdilimab (HZN-7734) in Participants With Moderate-to-Severe Primary Discoid Lupus Erythematosus</t>
  </si>
  <si>
    <t>NCT02709031</t>
  </si>
  <si>
    <t>Cicletanine in Hypertension With Diabetes: Added Magnesium Preserves Potassium and Sodium</t>
  </si>
  <si>
    <t>Navitas Pharma</t>
  </si>
  <si>
    <t>NCT05376527</t>
  </si>
  <si>
    <t>Open Multi-cohort Study of the First Phase of Safety of a Drug Based on Double Recombinant Vaccinia Virus VV-GMCSF-Lact</t>
  </si>
  <si>
    <t>"Oncostar" LLC</t>
  </si>
  <si>
    <t>NCT05177770</t>
  </si>
  <si>
    <t>Study of SRF617 With AB928 (Etrumadenant) and AB122 (Zimberelimab) in Patients With Metastatic Castration Resistant Prostate Cancer</t>
  </si>
  <si>
    <t>NCT06556641</t>
  </si>
  <si>
    <t>A Clinical Study of GZR33 and GZR101 in Healthy Subjects</t>
  </si>
  <si>
    <t>NCT05424354</t>
  </si>
  <si>
    <t>Acute Partial Thickness Burn Study Comparing Transforming Powder Dressing to Standard of Care Dressing</t>
  </si>
  <si>
    <t>ULURU Inc.</t>
  </si>
  <si>
    <t>NCT05265286</t>
  </si>
  <si>
    <t>A Study of Repeat Dosing of PEG Recombinant Human Coagulation Factor VIII-Fc Fusion Protein for Injection</t>
  </si>
  <si>
    <t>NCT05296629</t>
  </si>
  <si>
    <t>A Randomized, Double-Blind Study to Assess the Safety, Efficacy and Tolerability of Oral DFD-29 Capsules for the Treatment of Rosacea.</t>
  </si>
  <si>
    <t>NCT05478031</t>
  </si>
  <si>
    <t>A Phase 2a Study to Investigate REM0046127 in Mild to Moderate Alzheimer's Disease</t>
  </si>
  <si>
    <t>NCT05851105</t>
  </si>
  <si>
    <t>the Safety and Efficacy Evaluation of HGI-002 Injection in Patients With Transfusion-Dependent α-Thalassemia</t>
  </si>
  <si>
    <t>NCT05485961</t>
  </si>
  <si>
    <t>Combined Dose-Finding and CV Outcomes Study With CSL300 (Clazakizumab) in Adult Subjects With ESKD Undergoing Dialysis (POSIBIL6ESKD)</t>
  </si>
  <si>
    <t>NCT05089461</t>
  </si>
  <si>
    <t>A Study to Evaluate the Cardiac Safety of Mitoxantrone Hydrochloride Liposome Injection in the Treatment of Advanced Malignant Tumor</t>
  </si>
  <si>
    <t>NCT05267470</t>
  </si>
  <si>
    <t>A Study of Bemarituzumab Monotherapy and Combination With Other Anti-cancer Therapy in SqNSCLC With FGFR2b Overexpression (FORTITUDE-201)</t>
  </si>
  <si>
    <t>NCT05223894</t>
  </si>
  <si>
    <t>Treating Heart Failure With hiPSC-CMs</t>
  </si>
  <si>
    <t>NCT05351788</t>
  </si>
  <si>
    <t>SKB264 Combinatiton Therapy in Patients With Advanced or Metastatic Non-small Cell Lung Cancer.</t>
  </si>
  <si>
    <t>NCT05409066</t>
  </si>
  <si>
    <t>Study of Subcutaneous Epcoritamab in Combination With Intravenous Rituximab and Oral Lenalidomide (R2) to Assess Adverse Events and Change in Disease Activity in Adult Participants With Follicular Lymphoma</t>
  </si>
  <si>
    <t>NCT05362773</t>
  </si>
  <si>
    <t>A Study of MGD024 in Patients With Relapsed or Refractory Hematologic Malignancies</t>
  </si>
  <si>
    <t>NCT05427383</t>
  </si>
  <si>
    <t>KN026 in Combination With Chemotherapy in HER2 Positive Gastric Cancer Subjects Who Have Failed First-line Therapy</t>
  </si>
  <si>
    <t>NCT05403554</t>
  </si>
  <si>
    <t>A Study of NI-1801 in Patients with Mesothelin Expressing Solid Cancers</t>
  </si>
  <si>
    <t>Light Chain Bioscience - Novimmune SA</t>
  </si>
  <si>
    <t>NCT05355805</t>
  </si>
  <si>
    <t>Hidradenitis Suppurativa Phase 2b Study of Izokibep</t>
  </si>
  <si>
    <t>NCT05417087</t>
  </si>
  <si>
    <t>Single Dose Oral Bioequivalence Study of Vortioxetine Hemihydrobromide Orally Disintegrating Tablets</t>
  </si>
  <si>
    <t>Seasons Biotechnology (Taizhou) Co., Ltd.</t>
  </si>
  <si>
    <t>NCT05315921</t>
  </si>
  <si>
    <t>Study of OsrhAAT or Placebo in Healthy Volunteers</t>
  </si>
  <si>
    <t>NCT05342636</t>
  </si>
  <si>
    <t>A Study of Combination Therapies With or Without Pembrolizumab (MK-3475) and/or Chemotherapy in Participants With Advanced Esophageal Cancer (MK-3475-06A)</t>
  </si>
  <si>
    <t>NCT04971109</t>
  </si>
  <si>
    <t>Safety, Tolerability and Pharmacokinetics of TPOXX When Administered Orally for 28 Days</t>
  </si>
  <si>
    <t>NCT05378763</t>
  </si>
  <si>
    <t>A Study of Poziotinib in Previously Treated Participants With Locally Advanced or Metastatic NSCLC Harboring HER2 Exon 20 Mutations</t>
  </si>
  <si>
    <t>NCT05196399</t>
  </si>
  <si>
    <t>Bioequivalence Study of Different Aprocitentan Tablet Formulations</t>
  </si>
  <si>
    <t>NCT05395104</t>
  </si>
  <si>
    <t>A Study to Assess the Effect of Cefiderocol on the Pharmacokinetics (PK) of Midazolam in Healthy Participants</t>
  </si>
  <si>
    <t>NCT04785365</t>
  </si>
  <si>
    <t>Long-Term Follow-Up Study of Patients Receiving ATL001</t>
  </si>
  <si>
    <t>Achilles Therapeutics UK Limited</t>
  </si>
  <si>
    <t>NCT05172544</t>
  </si>
  <si>
    <t>Trial of an Inactivated Yellow Fever Virus Vaccine</t>
  </si>
  <si>
    <t>Najit Technologies, Inc.</t>
  </si>
  <si>
    <t>NCT05602493</t>
  </si>
  <si>
    <t>A Randomized Control Trial Phase (IIIa) Unicentric, Placebo Controlled, Double-Blinded Efficacy and Safety of Topical Alendronic Acid on Alveolar Bone Remodeling After Tooth Extraction</t>
  </si>
  <si>
    <t>Xeolas Pharmaceuticals Limited</t>
  </si>
  <si>
    <t>NCT05369052</t>
  </si>
  <si>
    <t>Safety and Efficacy Study of Contezolid Acefosamil and Contezolid Compared to Linezolid Administered Intravenously and Orally to Adults With Moderate or Severe Diabetic Foot Infections (DFI)</t>
  </si>
  <si>
    <t>NCT04816721</t>
  </si>
  <si>
    <t>A Study to Evaluate EDP 938 Regimens in Children With RSV</t>
  </si>
  <si>
    <t>NCT05412004</t>
  </si>
  <si>
    <t>Obstructive Sleep Apnea Master Protocol GPIF: A Study of Tirzepatide (LY3298176) in Participants With Obstructive Sleep Apnea</t>
  </si>
  <si>
    <t>NCT05496894</t>
  </si>
  <si>
    <t>A Study of Mitoxantrone Hydrochloride Liposome Injection for Relapsing Multiple Sclerosis</t>
  </si>
  <si>
    <t>NCT06732531</t>
  </si>
  <si>
    <t>Safety, Tolerability, and Preliminary Efficacy of BH011 in Subjects With Non-Muscle-Invasive Bladder Cancer</t>
  </si>
  <si>
    <t>NCT05581407</t>
  </si>
  <si>
    <t>Safety, Tolerability, and Immunogenicity of TETRALITE, a Novel Adjuvanted, Low-dose Influenza Vaccin</t>
  </si>
  <si>
    <t>LiteVax BV</t>
  </si>
  <si>
    <t>NCT05295875</t>
  </si>
  <si>
    <t>Efficacy and Safety of ALT-801 in the Treatment of Obesity</t>
  </si>
  <si>
    <t>NCT05113784</t>
  </si>
  <si>
    <t>the Safety and Efficacy of Meplazumab in Patients With COVID-19</t>
  </si>
  <si>
    <t>NCT05549947</t>
  </si>
  <si>
    <t>Efficacy and Safety Study of SHR-1819 Injection in Adult Patients With Severe Atopic Dermatitis</t>
  </si>
  <si>
    <t>NCT05415137</t>
  </si>
  <si>
    <t>Efficacy and Safety of Intravenous Efzofitimod in Patients With Pulmonary Sarcoidosis</t>
  </si>
  <si>
    <t>NCT05425745</t>
  </si>
  <si>
    <t>Evaluate the Effect of Obicetrapib in Patients With HeFH on Top of Maximum Tolerated Lipid-Modifying Therapies.</t>
  </si>
  <si>
    <t>NCT05147662</t>
  </si>
  <si>
    <t>A Study to Learn How Safe the Study Treatment BAY94-9027 is and How it Affects the Body in Previously Treated Children Aged 7 to Less Than 12 Years With Severe Hemophilia A, a Genetic Bleeding Disorder That is Caused by the Lack of a Protein Called Clotting Factor 8 (FVIII) in the Blood</t>
  </si>
  <si>
    <t>NCT07002242</t>
  </si>
  <si>
    <t>A Clinical Study of the Interactions Between Azvudine Tablets (FNC) and Aluvia</t>
  </si>
  <si>
    <t>NCT05321069</t>
  </si>
  <si>
    <t>A Study to Find Out Whether BI 1015550 Improves Lung Function in People With Idiopathic Pulmonary Fibrosis (IPF)</t>
  </si>
  <si>
    <t>NCT05318937</t>
  </si>
  <si>
    <t>A Study to Evaluate the Effects of SAGE-718 in Participants With Parkinson's Disease Cognitive Impairment</t>
  </si>
  <si>
    <t>NCT05284994</t>
  </si>
  <si>
    <t>TQ-B3525 Tablets Combined With Osimertinib Mesylate Tablets in the Treatment of Advanced Non-Small Cell Lung Cancer</t>
  </si>
  <si>
    <t>NCT05644977</t>
  </si>
  <si>
    <t>A Multiple Dose Trial of Emraclidine in Elderly Participants and in Participants With Dementia Due to Alzheimer's Disease</t>
  </si>
  <si>
    <t>NCT05192486</t>
  </si>
  <si>
    <t>A Study of GNC-038, a Tetra-specific Antibody, in Participants With R/R Diffuse Large B-cell Lymphoma (DLBCL)</t>
  </si>
  <si>
    <t>NCT05643170</t>
  </si>
  <si>
    <t>An Open-label Study to Assess the Long-term Safety, Tolerability, Effectiveness, and Durability of Effect of KarXT in Patients With DSM-5 Diagnosis of Schizophrenia</t>
  </si>
  <si>
    <t>NCT05355753</t>
  </si>
  <si>
    <t>A Study to Assess the Safety and Tolerability of CFT8634 in Locally Advanced or Metastatic SMARCB1-Perturbed Cancers, Including Synovial Sarcoma and SMARCB1-Null Tumors</t>
  </si>
  <si>
    <t>NCT05270837</t>
  </si>
  <si>
    <t>Study to Evaluate the Safety and Efficacy of Pegvaliase in Adolescents (Ages 12-17) With Phenylketonuria</t>
  </si>
  <si>
    <t>NCT05492799</t>
  </si>
  <si>
    <t>Safety, Tolerability and Efficacy of ICV AX 250 Treatment in MPS IIIB -OLE</t>
  </si>
  <si>
    <t>Allievex Corporation</t>
  </si>
  <si>
    <t>NCT05458193</t>
  </si>
  <si>
    <t>A Study to Investigate the Effects of Daridorexant on Nighttime Breathing in Patients With Shallow or Paused Breath During Sleep</t>
  </si>
  <si>
    <t>NCT05407909</t>
  </si>
  <si>
    <t>To Evaluate the Safety and Tolerability of SYHX2001 in Patients With Advanced or Metastatic Solid Tumors</t>
  </si>
  <si>
    <t>NCT05365178</t>
  </si>
  <si>
    <t>To Evaluate the Efficacy and Safety of TQB3616 in Combination With Fulvestrant Versus Placebo in Combination With Fulvestrant in Previously Untreated Hormone-receptor (HR)-Positive, Human Epidermal Growth Factor Receptor 2 (HER2)-Negative Advanced Breast Cancer</t>
  </si>
  <si>
    <t>NCT05364944</t>
  </si>
  <si>
    <t>A Study to Assess the Pharmacokinetics, Pharmacodynamics, Safety, and Tolerability of Debio 4126 in Participants With Acromegaly or Functioning Gastroenteropancreatic Neuroendocrine Tumors (GEP-NETs)</t>
  </si>
  <si>
    <t>NCT05352516</t>
  </si>
  <si>
    <t>A Study to Evaluate the Efficacy and Safety of HLX14 vs. Denosumab Prolia® in Postmenopausal Women With Osteoporosis at High Risk of Fracture</t>
  </si>
  <si>
    <t>NCT05161806</t>
  </si>
  <si>
    <t>Study of the Safety of Use of Intravitreal SOK583A1 Provided in a Prefilled Syringe</t>
  </si>
  <si>
    <t>NCT05304533</t>
  </si>
  <si>
    <t>A Study to Assess the Drug Interaction Between MYK-224 and Itraconazole and Verapamil in Healthy Participants</t>
  </si>
  <si>
    <t>NCT04709458</t>
  </si>
  <si>
    <t>Safety and Early Efficacy Study of TBX-2400 in Patients With AML or Myelofibrosis</t>
  </si>
  <si>
    <t>NCT05326243</t>
  </si>
  <si>
    <t>Phase 1/2 Study of CD19 Chimeric Antigen Receptor T-cell (CD19 CAR-T; PL001) for Relapsed or Refractory B-cell Lymphoma</t>
  </si>
  <si>
    <t>Pell Bio-Med Technology Co., Ltd.</t>
  </si>
  <si>
    <t>NCT05765955</t>
  </si>
  <si>
    <t>Effects of p38 MAPK Inhibitor POLB 001 on in Vivo LPS Challenge Responses</t>
  </si>
  <si>
    <t>Poolbeg Pharma plc</t>
  </si>
  <si>
    <t>NCT05260385</t>
  </si>
  <si>
    <t>To Evaluate KC1036 in the Patients with Advanced Digestive System Tumors</t>
  </si>
  <si>
    <t>NCT05198336</t>
  </si>
  <si>
    <t>Immunogenicity of an Inactivated COVID-19 Vaccine</t>
  </si>
  <si>
    <t>NCT05867771</t>
  </si>
  <si>
    <t>A Study of PM1022 in Patients With Advanced Tumors</t>
  </si>
  <si>
    <t>NCT05400811</t>
  </si>
  <si>
    <t>Efficacy and Safety Evaluation for the Treatment of HDM Induced Allergic Asthma and Rhinitis/Rhinoconjunctivitis</t>
  </si>
  <si>
    <t>NCT05643534</t>
  </si>
  <si>
    <t>Study to Assess Safety and Efficacy of Tenapanor for Treatment of IBS-C in Pediatric Patients 12 to Less Than 18 Years</t>
  </si>
  <si>
    <t>NCT06085534</t>
  </si>
  <si>
    <t>A Study of LNK01001 Capsule in Patients With Ankylosing Spondylitis</t>
  </si>
  <si>
    <t>NCT05387928</t>
  </si>
  <si>
    <t>A Study of KL340399 in Patients With Advanced Solid Tumors</t>
  </si>
  <si>
    <t>NCT05776901</t>
  </si>
  <si>
    <t>C-STRESS: A Mental Health App for College Students With Depression</t>
  </si>
  <si>
    <t>Benten Technologies, Inc.</t>
  </si>
  <si>
    <t>NCT05151471</t>
  </si>
  <si>
    <t>Efficacy and Safety Extension Study of Oral Edaravone Administered in Subjects With ALS</t>
  </si>
  <si>
    <t>NCT05323136</t>
  </si>
  <si>
    <t>Evaluate the Effects of Renal Impairment on the Pharmacokinetics and Pharmacodynamics</t>
  </si>
  <si>
    <t>NCT06256536</t>
  </si>
  <si>
    <t>A Study of GZR18 Injection in Chinese Obese/Overweight Patients</t>
  </si>
  <si>
    <t>NCT05210634</t>
  </si>
  <si>
    <t>Study to Assess the Safety, Pharmacokinetics, and Pharmacodynamics of CHI-915 in Healthy Participants</t>
  </si>
  <si>
    <t>NCT05499130</t>
  </si>
  <si>
    <t>A Study to Test the Effect of TEV-48574 in Moderate to Severe Ulcerative Colitis or Crohn's Disease</t>
  </si>
  <si>
    <t>NCT05590338</t>
  </si>
  <si>
    <t>A Study to Investigate the Safety, Tolerability, Pharmacokinetics, and Pharmacodynamic of GSK1070806 After a Single Intravenous Dose in Healthy Male and Female Caucasian, Chinese and Japanese Participants Aged 18 to 65 Years of Age Inclusive</t>
  </si>
  <si>
    <t>NCT06469138</t>
  </si>
  <si>
    <t>A Study to Investigate 14C-bemcentinib in Healthy Male Subjects</t>
  </si>
  <si>
    <t>NCT05586958</t>
  </si>
  <si>
    <t>Tigulixostat, Phase 3 Study, Placebo Controlled in Gout Patients</t>
  </si>
  <si>
    <t>NCT05254158</t>
  </si>
  <si>
    <t>A Research Study of How NNC0174-0833 Behaves in Chinese Volunteers Who Are Normal Weight, Overweight or With Obesity</t>
  </si>
  <si>
    <t>NCT05430555</t>
  </si>
  <si>
    <t>A Phase 1/ 2, First-in-Human, Open-Label, Accelerated-Titration, Two-Part Clinical Trial of TK-8001 in Patients With HLA-A*02:01 Genotype and Advanced-Stage/ Metastatic MAGE-A1+ Solid Tumors</t>
  </si>
  <si>
    <t>T-knife GmbH</t>
  </si>
  <si>
    <t>NCT05405985</t>
  </si>
  <si>
    <t>Study to Access the Relative Bioavailability of Subcutaneous Dose of Nemolizumab When Administered Via Auto-Injector Versus Dual-Chamber Syringe</t>
  </si>
  <si>
    <t>NCT04992858</t>
  </si>
  <si>
    <t>Ningetinib in Advanced NSCLC Skipping Mutations With MET Exon 14 Skipping Mutations</t>
  </si>
  <si>
    <t>NCT04011748</t>
  </si>
  <si>
    <t>Clinical Application of Stem Cell Educator Therapy in Alopecia Areata</t>
  </si>
  <si>
    <t>NCT05668585</t>
  </si>
  <si>
    <t>A Study to Characterize the Safety, Tolerability, and Preliminary Efficacy of CFT1946 as Monotherapy and Combination Therapy in Subjects With BRAF V600 Mutant Solid Tumors</t>
  </si>
  <si>
    <t>NCT06768658</t>
  </si>
  <si>
    <t>A Study of TAK-951 in Participants With Cyclic Vomiting Syndrome (CVS)</t>
  </si>
  <si>
    <t>NCT05604885</t>
  </si>
  <si>
    <t>A Dose-range Study of the Safety and Efficacy of Treatment in Adult Rheumatoid Arthritis Patients With an Inadequate Response to Methotrexate</t>
  </si>
  <si>
    <t>NCT05249335</t>
  </si>
  <si>
    <t>Comparison for Efficacy and Safety of Bowel Preparation Between Oral Sulfate Table and 2L-polyethylene Glycol/Ascorbate in Elderly</t>
  </si>
  <si>
    <t>NCT05617755</t>
  </si>
  <si>
    <t>AB-1015, an Integrated Circuit T (ICT) Cell Therapy in Patients With Platinum Resistant Epithelial Ovarian Cancer</t>
  </si>
  <si>
    <t>Arsenal Biosciences, Inc.</t>
  </si>
  <si>
    <t>NCT05587478</t>
  </si>
  <si>
    <t>A Study of EDP-323 in Healthy Subjects</t>
  </si>
  <si>
    <t>NCT05258071</t>
  </si>
  <si>
    <t>A Clinical Study Evaluating Efficacy of Pirepemat on Falls Frequency in Patients With Parkinson's Disease (PD)</t>
  </si>
  <si>
    <t>NCT05483933</t>
  </si>
  <si>
    <t>Phase 1b Study of SL-172154 Administered With Combination Agent(s) in Subjects With Ovarian Cancers</t>
  </si>
  <si>
    <t>NCT05603832</t>
  </si>
  <si>
    <t>A Phase 3 Study of F14 for Management of Pain Following Total Knee Replacement</t>
  </si>
  <si>
    <t>Arthritis Innovation Corporation</t>
  </si>
  <si>
    <t>NCT05141006</t>
  </si>
  <si>
    <t>Study of BOTOX Injections to Assess Change in Disease Activity and Adverse Events in Adult Female Participants With Interstitial Cystitis/Bladder Pain Syndrome (IC/BPS)</t>
  </si>
  <si>
    <t>NCT05569252</t>
  </si>
  <si>
    <t>A Study of DS-1211b in Individuals With PseudoXanthoma Elasticum</t>
  </si>
  <si>
    <t>NCT05265247</t>
  </si>
  <si>
    <t>Bioequivalence Study of Esomeprazole 20 Milligram (mg) Delayed-Release Capsules in Healthy Adult Participants</t>
  </si>
  <si>
    <t>NCT05215847</t>
  </si>
  <si>
    <t>Study to Evaluate ARD-101 in Adults Receiving Bariatric Surgery</t>
  </si>
  <si>
    <t>NCT05299099</t>
  </si>
  <si>
    <t>Clinical Trial to Evaluate the Safety and Efficacy of IN-C006 Inj. Compared With RCN301</t>
  </si>
  <si>
    <t>NCT05370755</t>
  </si>
  <si>
    <t>A Study of ICP-189 and ICP-189 in Combination With Anti-PD-1 Monoclonal Antibody in Patients With Advanced Solid Tumors</t>
  </si>
  <si>
    <t>NCT05397600</t>
  </si>
  <si>
    <t>Efficacy and Safety Assessment of T4032 (Unpreserved Bimatoprost 0.01%) Versus Lumigan® 0.01% in Ocular Hypertensive or Glaucomatous Patients</t>
  </si>
  <si>
    <t>NCT05416307</t>
  </si>
  <si>
    <t>Open-label Study of ELA026 in Participants With Secondary Hemophagocytic Lymphohistiocytosis (sHLH)</t>
  </si>
  <si>
    <t>NCT05371964</t>
  </si>
  <si>
    <t>A Study to Evaluate the Safety, Pharmacokinetics, Pharmacodynamics and Clinical Activity of Imetelstat in Combination With Ruxolitinib in Participants With Myelofibrosis</t>
  </si>
  <si>
    <t>NCT05236543</t>
  </si>
  <si>
    <t>A Study to Assess the Pharmacokinetics of AZD4831 When Administered Alone and in Combination With Itraconazole</t>
  </si>
  <si>
    <t>NCT05199584</t>
  </si>
  <si>
    <t>A Study Evaluating the Safety and Efficacy of ENV-101 (Taladegib) in Patients With Advanced Solid Tumors Harboring PTCH1 Loss of Function Mutations</t>
  </si>
  <si>
    <t>NCT05316155</t>
  </si>
  <si>
    <t>Study of Erdafitinib Intravesical Delivery System for Localized Bladder Cancer</t>
  </si>
  <si>
    <t>NCT05495568</t>
  </si>
  <si>
    <t>To Compare Pharmacokinetics, Efficacy, and Safety of CT-P17 With Humira in Patients With Moderate to Severe Chronic Plaque Psoriasis</t>
  </si>
  <si>
    <t>NCT05352750</t>
  </si>
  <si>
    <t>Phase 1 Study of SON-1010 in Adult Patients With Advanced Solid Tumors</t>
  </si>
  <si>
    <t>Sonnet BioTherapeutics</t>
  </si>
  <si>
    <t>NCT04979806</t>
  </si>
  <si>
    <t>Study of Cefepime-zidebactam (FEP-ZID) in Complicated Urinary Tract Infection (cUTI) or Acute Pyelonephritis (AP)</t>
  </si>
  <si>
    <t>Wockhardt</t>
  </si>
  <si>
    <t>NCT04786847</t>
  </si>
  <si>
    <t>177Lu-DOTA-TLX591 Safety, Biodistribution and Dosimetry Study</t>
  </si>
  <si>
    <t>NCT05061550</t>
  </si>
  <si>
    <t>Neoadjuvant and Adjuvant Treatment in Resectable Non-small Cell Lung Cancer</t>
  </si>
  <si>
    <t>NCT05269004</t>
  </si>
  <si>
    <t>A Rollover Study to Evaluate the Long-Term Safety and Efficacy of Ocrelizumab In Patients With Multiple Sclerosis</t>
  </si>
  <si>
    <t>NCT05405543</t>
  </si>
  <si>
    <t>A Study to Evaluate the Safety, Tolerability, and Drug Levels of MYK-224 Administered in Single and Multiple Doses in Healthy Adult Japanese Participants</t>
  </si>
  <si>
    <t>NCT05232825</t>
  </si>
  <si>
    <t>A Phase III, Non-Inferiority, Randomized, Open-Label, Parallel Group, Multicenter Study To Investigate The Pharmacokinetics, Pharmacodynamics, Safety And Radiological And Clinical Effects Of Subcutaneous Ocrelizumab Versus Intravenous Ocrelizumab In Patients With Multiple Sclerosis</t>
  </si>
  <si>
    <t>NCT05121948</t>
  </si>
  <si>
    <t>A Study of HC-7366 to Establish the Maximum Tolerated Dose (MTD) and Recommended Phase 2 Dose (RP2D)</t>
  </si>
  <si>
    <t>NCT05368285</t>
  </si>
  <si>
    <t>A Phase 2 Study of CDX-0159 in Patients With Chronic Spontaneous Urticaria</t>
  </si>
  <si>
    <t>NCT04191447</t>
  </si>
  <si>
    <t>Efficacy and Safety of Flamboyant 200/12 Association in the Treatment of Adults With Severe Asthma</t>
  </si>
  <si>
    <t>NCT05238363</t>
  </si>
  <si>
    <t>The Efficacy and Safety of HLX07 in Locally Advanced or Metastatic Cutaneous Squamous Cell Carcinoma (CSCC)</t>
  </si>
  <si>
    <t>NCT05436678</t>
  </si>
  <si>
    <t>A Multiple-Dose PK Study to Evaluate the Comparative Bioavailability of PrimeC Tablets to Ciprofloxacin Tablets Co-administered With Celecoxib Capsules, in Healthy Adult Subject</t>
  </si>
  <si>
    <t>NeuroSense Therapeutics Ltd.</t>
  </si>
  <si>
    <t>NCT05236517</t>
  </si>
  <si>
    <t>A Research Study Looking at How 50 mg Semaglutide Daily Affects Food Intake and Emptying of the Stomach in People With Obesity</t>
  </si>
  <si>
    <t>NCT05529849</t>
  </si>
  <si>
    <t>A Study to Assess the Safety, Tolerability and Pharmacokinetics of TCMCB07 in Single and Multiple Ascending Doses in Health Subjects</t>
  </si>
  <si>
    <t>Endevica Bio</t>
  </si>
  <si>
    <t>NCT05262387</t>
  </si>
  <si>
    <t>A Study of LY900014 (Lyumjev) Versus Insulin Lispro (Humalog) in Participants With Type 1 Diabetes</t>
  </si>
  <si>
    <t>NCT05461287</t>
  </si>
  <si>
    <t>Safety, Tolerability and Pharmacokinetics Study of QLS31904 in Patients With Advanced Solid Tumors</t>
  </si>
  <si>
    <t>NCT05245058</t>
  </si>
  <si>
    <t>SPH5030 Tablets in Subjects With Advanced Her2-positive Solid Tumors</t>
  </si>
  <si>
    <t>NCT05103358</t>
  </si>
  <si>
    <t>Phase 2 Basket Trial of Nab-sirolimus in Patients With Malignant Solid Tumors With Pathogenic Alterations in TSC1/TSC2 Genes (PRECISION 1)</t>
  </si>
  <si>
    <t>Aadi Bioscience, Inc.</t>
  </si>
  <si>
    <t>NCT05608044</t>
  </si>
  <si>
    <t>A Study of Botensilimab and Balstilimab for the Treatment of Colorectal Cancer</t>
  </si>
  <si>
    <t>NCT05458544</t>
  </si>
  <si>
    <t>[Lu-177]Ludotadipep in Castration-resistant Prostate Cancer(CRPC): Investigation of Drug and Application</t>
  </si>
  <si>
    <t>NCT05096052</t>
  </si>
  <si>
    <t>PROlectin M, a Nucleocapsid TErminal GaleCTin Antagonist for COVID-19</t>
  </si>
  <si>
    <t>Bioxytran Inc.</t>
  </si>
  <si>
    <t>NCT05293548</t>
  </si>
  <si>
    <t>A Clinical Trial on Sequential Immunization of Recombinant COVID-19 Vaccine (CHO Cell, NVSI-06-09) and Inactivated COVID-19 Vaccine (Vero Cell)</t>
  </si>
  <si>
    <t>NCT05222555</t>
  </si>
  <si>
    <t>Safety and Pharmacokinetics Study of a Modified Tafasitamab IV Dosing Regimen Combined With Lenalidomide in R-R DLBCL Patients</t>
  </si>
  <si>
    <t>NCT05446298</t>
  </si>
  <si>
    <t>ONC-392 and Pembrolizumab in Platinum Resistant Ovarian Cancer</t>
  </si>
  <si>
    <t>NCT05572333</t>
  </si>
  <si>
    <t>Clinical Trial to Investigate the Safety and Tolerability of EP395 in Patients With COPD</t>
  </si>
  <si>
    <t>NCT07226752</t>
  </si>
  <si>
    <t>A Sub-study Trial of Epcoritamab vs Investigator's Choice Chemotherapy in Relapsed/Refractory Diffuse Large B-cell Lymphoma (R/R DLBCL) in China</t>
  </si>
  <si>
    <t>NCT05518149</t>
  </si>
  <si>
    <t>A Study of Aticaprant in Adult and Elderly Participants With Major Depressive Disorder (MDD)</t>
  </si>
  <si>
    <t>NCT05164458</t>
  </si>
  <si>
    <t>Safety and Efficacy of IBI389 Single Agent, and in Combination With Sintilimab, in Patients With Advanced Malignancies</t>
  </si>
  <si>
    <t>NCT05357755</t>
  </si>
  <si>
    <t>A Study of JNJ-77242113 for the Treatment of Moderate-to-Severe Plaque Psoriasis</t>
  </si>
  <si>
    <t>NCT04771416</t>
  </si>
  <si>
    <t>Study of Safety, Tolerability and Efficacy of PBKR03 in Pediatric Subjects With Early Infantile Krabbe Disease</t>
  </si>
  <si>
    <t>NCT05483387</t>
  </si>
  <si>
    <t>Prospective Post-market Clinical Follow-up Study of the HBS 2 Resorb Mg in Patients With Intra- and Extraarticular Fractures, Pseudarthroses and Arthrodesis of Small Bones and Bone Fragments.</t>
  </si>
  <si>
    <t>KLS Martin</t>
  </si>
  <si>
    <t>NCT07102706</t>
  </si>
  <si>
    <t>Phase I Trial of GR1803 Injection in Patients With RRMM</t>
  </si>
  <si>
    <t>NCT04020055</t>
  </si>
  <si>
    <t>A Study to Evaluate Migalastat in Fabry Subjects With Amenable GLA Variant and Renal Disease</t>
  </si>
  <si>
    <t>NCT05457400</t>
  </si>
  <si>
    <t>ENSO 16 - Study in Healthy Subjects</t>
  </si>
  <si>
    <t>Alpha Republic GmbH</t>
  </si>
  <si>
    <t>NCT05651100</t>
  </si>
  <si>
    <t>Safety and Efficacy of Sequential CD19 and CD22 Targeted CAR-T Therapy for Relapsed/Refractory B Cell Lymphoma</t>
  </si>
  <si>
    <t>NCT05174416</t>
  </si>
  <si>
    <t>A Study to Evaluate the Efficacy and Safety of Mavacamten in Chinese Adults With Symptomatic Obstructive HCM</t>
  </si>
  <si>
    <t>NCT05275504</t>
  </si>
  <si>
    <t>Study to Evaluate the Safety and Tolerability of TT-01488 in Patients With B-Cell Malignancies</t>
  </si>
  <si>
    <t>NCT05217628</t>
  </si>
  <si>
    <t>An Efficacy and Safety Study of Basimglurant (NOE-101) in Patients With Trigeminal Neuralgia.</t>
  </si>
  <si>
    <t>NCT03905109</t>
  </si>
  <si>
    <t>Phase 2b/3 Study of ABX464 in Moderate to Severe Active Crohn's Disease Patients</t>
  </si>
  <si>
    <t>NCT05261399</t>
  </si>
  <si>
    <t>Savolitinib Plus Osimertinib Versus Platinum-based Doublet Chemotherapy in Participants With Non-Small Cell Lung Cancer Who Have Progressed on Osimertinib Treatment</t>
  </si>
  <si>
    <t>NCT05454020</t>
  </si>
  <si>
    <t>A Study of Topical XG004 in Participants With Osteoarthritis of the Knee</t>
  </si>
  <si>
    <t>NCT05453279</t>
  </si>
  <si>
    <t>A Dose Escalation Phase 1 Study Evaluating the Safety and Pharmacokinetics of an Inhaled COVID-19 Inhibitor Delcetravir in Healthy Subjects</t>
  </si>
  <si>
    <t>Esfam Biotech Pty Ltd</t>
  </si>
  <si>
    <t>NCT05234736</t>
  </si>
  <si>
    <t>A Study to Evaluate the Pharmacokinetic Profile of CBL-514 Injection in Healthy Volunteers</t>
  </si>
  <si>
    <t>NCT05472857</t>
  </si>
  <si>
    <t>Clinical Study of CLDN18.2-targeting CAR T Cells in Advanced Solid Tumors With Positive CLDN18.2 Expression</t>
  </si>
  <si>
    <t>Suzhou Immunofoco Biotechnology Co., Ltd</t>
  </si>
  <si>
    <t>NCT05392530</t>
  </si>
  <si>
    <t>A Study of Two Different Test Formulations Compared to the Reference Formulation of Macitentan in Healthy Adult Participants</t>
  </si>
  <si>
    <t>NCT05571787</t>
  </si>
  <si>
    <t>HMPL-523 Food Effect and Proton Pump Inhibitor Study</t>
  </si>
  <si>
    <t>NCT07182864</t>
  </si>
  <si>
    <t>MH004 Ointment in Healthy Adult Volunteers and Participants With Mild to Moderate Atopic Dermatitis</t>
  </si>
  <si>
    <t>Minghui Pharmaceutical (Hangzhou) Ltd</t>
  </si>
  <si>
    <t>NCT05663593</t>
  </si>
  <si>
    <t>Safety, Tolerability,PK/PD, Food Effect of Single and Multiple Ascending Doses of HSK31858 in Healthy Volunteers</t>
  </si>
  <si>
    <t>NCT05375604</t>
  </si>
  <si>
    <t>A Study of exoASO-STAT6 (CDK-004) in Patients With Advanced Hepatocellular Carcinoma (HCC) and Patients With Liver Metastases From EIther Primary Gastric Cancer or Colorectal Cancer (CRC)</t>
  </si>
  <si>
    <t>NCT05416749</t>
  </si>
  <si>
    <t>A Clinical Study of 8MW2311 in Subjects With Locally Advanced or Metastatic Solid Tumors</t>
  </si>
  <si>
    <t>NCT05254548</t>
  </si>
  <si>
    <t>A Study to Investigate the Effect of Single and Repeated Oral Doses of ACT-539313 on What the Body Does to Flurbiprofen, Omeprazole, Midazolam in Healthy Subjects</t>
  </si>
  <si>
    <t>NCT05089435</t>
  </si>
  <si>
    <t>An Open-label Study of EZYPRO® in Atrial Fibrillation Detection on ESUS Patients</t>
  </si>
  <si>
    <t>Sigknow Biomedical Co., Ltd.</t>
  </si>
  <si>
    <t>NCT06085521</t>
  </si>
  <si>
    <t>A Study of LNK01001 Capsule in Patients With Moderate to Severe Atopic Dermatitis</t>
  </si>
  <si>
    <t>NCT05070247</t>
  </si>
  <si>
    <t>A Study of TAK-500 With or Without Pembrolizumab in Adults With Select Locally Advanced or Metastatic Solid Tumors</t>
  </si>
  <si>
    <t>NCT04976855</t>
  </si>
  <si>
    <t>Study to Assess Repeated Doses of INDV-2000 in Healthy Volunteers and in Treatment Seeking Individuals With Opioid Use Disorder</t>
  </si>
  <si>
    <t>NCT06284226</t>
  </si>
  <si>
    <t>An Exploratory Clinical Study to Evaluate the Safety and Efficacy of NK Cells (Combined With Standard Therapy) in the Treatment of Solid Tumor Patients</t>
  </si>
  <si>
    <t>Beijing Kejing Biotechnology Co., Ltd.</t>
  </si>
  <si>
    <t>NCT05367843</t>
  </si>
  <si>
    <t>A Study Assessing the Safety, Tolerability, Immunogenicity of COVID-19 Vaccine Candidate PRIME-2-CoV_Beta, Orf Virus Expressing SARS-CoV_2 Spike and Nucleocapsid Proteins</t>
  </si>
  <si>
    <t>Speransa Therapeutics</t>
  </si>
  <si>
    <t>NCT05489991</t>
  </si>
  <si>
    <t>A Study of TmPSMA-02 Chimeric Antigen Receptor (CAR) T-cells in Patients With Metastatic Castration Resistant Prostate Cancer (mCRPC)</t>
  </si>
  <si>
    <t>Tceleron Therapeutics, Inc.</t>
  </si>
  <si>
    <t>NCT05266248</t>
  </si>
  <si>
    <t>Pilot Study Characterizing the Pharmacokinetic Profile of a Novel Encapsulated Caffeine Beverage in the Fed and Fasted States</t>
  </si>
  <si>
    <t>NCT06067191</t>
  </si>
  <si>
    <t>Safety, Pharmacokinetics,and Antiviral Activity of RV299 Against Respiratory Syncytical Virus (RSV)</t>
  </si>
  <si>
    <t>NCT05212818</t>
  </si>
  <si>
    <t>Evaluate the Efficacy and Safety of TF0023 in Treatments for COVID-19 in Hospitalized Adults</t>
  </si>
  <si>
    <t>Techfields Inc</t>
  </si>
  <si>
    <t>NCT05156710</t>
  </si>
  <si>
    <t>BIVV020 (SAR445088) in Prevention and Treatment of Antibody-mediated Rejection (AMR)</t>
  </si>
  <si>
    <t>NCT05389215</t>
  </si>
  <si>
    <t>Clinical Trial to Evaluate the Safety and Efficacy of DWN12088 in Patients With IPF</t>
  </si>
  <si>
    <t>NCT05481333</t>
  </si>
  <si>
    <t>A Trial to Learn if REGN7999 is Safe and Well Tolerated, and How it Works in the Body of Healthy Participants</t>
  </si>
  <si>
    <t>NCT05269355</t>
  </si>
  <si>
    <t>A Study of Unesbulin in Participants With Advanced Leiomyosarcoma (LMS)</t>
  </si>
  <si>
    <t>NCT05126784</t>
  </si>
  <si>
    <t>AVT03 With Prolia in Healthy Male Subjects</t>
  </si>
  <si>
    <t>NCT05470348</t>
  </si>
  <si>
    <t>A Study of BL-B01D1 in Patients With Unresectable Locally Advanced or Metastatic Breast Cancer and Other Solid Tumors</t>
  </si>
  <si>
    <t>NCT05441826</t>
  </si>
  <si>
    <t>Efficacy and Safety of VB119 in Subjects With Minimal Change Disease (MCD) and Focal Segmental Glomerulosclerosis (FSGS)</t>
  </si>
  <si>
    <t>NCT05299385</t>
  </si>
  <si>
    <t>The Study for Evaluating the Clinical Effectiveness and Safety of Respiratory Rehabilitation Software 'Redpill Breath'(COPD, Asthma, Lung Cancer, Etc.)</t>
  </si>
  <si>
    <t>Lifesemantics Corp.</t>
  </si>
  <si>
    <t>NCT05214976</t>
  </si>
  <si>
    <t>A Trial of Camrelizumab for Injection in Combination With Famitinib Malate Capsule and Paclitaxel For Injection(Albumin Bound) in Advanced Solid Tumors of Patients</t>
  </si>
  <si>
    <t>NCT05368558</t>
  </si>
  <si>
    <t>Study to Assess Adverse Events and Change in Disease Activity of Oral Cariprazine Capsules in Adult Participants With Schizophrenia</t>
  </si>
  <si>
    <t>NCT05601726</t>
  </si>
  <si>
    <t>First-in-human Study Aiming to Characterize the Safety, Tolerability, Pharmacokinetic and Preliminary Signs of Activity of ABD-3001 in Refractory or Relapsed AML and High Risk MDS Adult Patients</t>
  </si>
  <si>
    <t>Advanced BioDesign</t>
  </si>
  <si>
    <t>NCT05475925</t>
  </si>
  <si>
    <t>A Study of DR-01 in Subjects With Large Granular Lymphocytic Leukemia or Cytotoxic Lymphomas</t>
  </si>
  <si>
    <t>Dren Bio</t>
  </si>
  <si>
    <t>NCT05169008</t>
  </si>
  <si>
    <t>A Study to Evaluate the Safety and Immunogenicity of Ad5-nCoV and Ad5-nCoV-IH in CoronaVac Immunized Children and Adolescents</t>
  </si>
  <si>
    <t>NCT05519540</t>
  </si>
  <si>
    <t>PK Study of Xevinapant (Debio 1143) in Healthy East Asian Participants</t>
  </si>
  <si>
    <t>NCT05259813</t>
  </si>
  <si>
    <t>Phase I Study of JWCAR029 in Subjects With R/R CLL/SLL</t>
  </si>
  <si>
    <t>NCT05369390</t>
  </si>
  <si>
    <t>A Research Study on How NNC0487-0111 Works in People With Overweight or Obesity</t>
  </si>
  <si>
    <t>NCT05299359</t>
  </si>
  <si>
    <t>A Single Heterologous Booster Vaccination Study of TAK-019 in Healthy Japanese Adults (COVID-19)</t>
  </si>
  <si>
    <t>NCT05459688</t>
  </si>
  <si>
    <t>Open-Label Extension Study of Patients Previously Enrolled in Study CIN-107-124</t>
  </si>
  <si>
    <t>NCT05475210</t>
  </si>
  <si>
    <t>177Lu-DOTA-EB-TATE in Adult Patients With Advanced, Well- Differentiated Neuroendocrine Tumors</t>
  </si>
  <si>
    <t>Molecular Targeting Technologies, Inc.</t>
  </si>
  <si>
    <t>NCT05008588</t>
  </si>
  <si>
    <t>Combination of Conditioned Medium and Umbilical Cord-Mesenchymal Stem Cells Therapy for Acute Stroke Infarct</t>
  </si>
  <si>
    <t>NCT05338970</t>
  </si>
  <si>
    <t>HERTHENA-Lung02: A Study of Patritumab Deruxtecan Versus Platinum-based Chemotherapy in Metastatic or Locally Advanced EGFRm NSCLC After Failure of EGFR TKI Therapy</t>
  </si>
  <si>
    <t>NCT05651074</t>
  </si>
  <si>
    <t>Assessment of the Effect of Omeprazole on Vicagrel in Healthy Subjects</t>
  </si>
  <si>
    <t>NCT05876780</t>
  </si>
  <si>
    <t>A Gene Transfer Single Dose Study to Evaluate the Safety, Tolerability and Efficacy of SRP-9003 in Non-Ambulatory and Ambulatory Participants With Limb Girdle Muscular Dystrophy, Type 2E/R4 (Beta-Sarcoglycan [β-SG] Deficiency)</t>
  </si>
  <si>
    <t>NCT05382442</t>
  </si>
  <si>
    <t>A Study of AK112 With or Without AK117 in Metastatic Colorectal Cancer</t>
  </si>
  <si>
    <t>NCT05229042</t>
  </si>
  <si>
    <t>A Study to Investigate the Safety and Efficacy of Ricolinostat</t>
  </si>
  <si>
    <t>Beijing 3E-Regenacy Pharmaceuticals Co., Ltd.</t>
  </si>
  <si>
    <t>NCT05584670</t>
  </si>
  <si>
    <t>A First-in-human, Dose Escalation and Dose Expansion Study of SAR445877 in Adult Participants With Advanced Solid Tumors</t>
  </si>
  <si>
    <t>NCT05091424</t>
  </si>
  <si>
    <t>A Study Evaluating the Safety, Efficacy, and Pharmacokinetics of Mosunetuzumab and a Combined Regimen of Mosunetuzumab and Venetoclax in Participants With Relapsed or Refractory Chronic Lymphocytic Leukemia</t>
  </si>
  <si>
    <t>NCT05380427</t>
  </si>
  <si>
    <t>A Phase I Clinical Trial Evaluating the Safety, Tolerability, and Pharmacokinetics of CU-40101 Liniment in Single and Multiple Doses in Adult Male Androgenic Alopecia Subjects</t>
  </si>
  <si>
    <t>NCT05386589</t>
  </si>
  <si>
    <t>A Study to Evaluate Molnupiravir (MK-4482) in Participants With Moderate Hepatic Impairment (MK-4482-016)</t>
  </si>
  <si>
    <t>NCT05970679</t>
  </si>
  <si>
    <t>Clinical Trial to Evaluate the Efficacy and Safety of DW1125 and DW1125A</t>
  </si>
  <si>
    <t>NCT05668988</t>
  </si>
  <si>
    <t>A Study of DZD9008 Versus Platinum-Based Doublet Chemotherapy in Local Advanced or Metastatic Non-small Cell Lung Cancer (WU-KONG28)</t>
  </si>
  <si>
    <t>NCT04947527</t>
  </si>
  <si>
    <t>Efficacy and Safety Evaluation of Anti-Caries Varnish</t>
  </si>
  <si>
    <t>Advantage Silver Dental Arrest, LLC</t>
  </si>
  <si>
    <t>NCT05429840</t>
  </si>
  <si>
    <t>Safety &amp; PK of Single Doses of MT1980</t>
  </si>
  <si>
    <t>Monument Therapeutics Limited</t>
  </si>
  <si>
    <t>NCT05159518</t>
  </si>
  <si>
    <t>A Study of PRT2527 in Participants With Advanced Solid Tumors</t>
  </si>
  <si>
    <t>NCT05648110</t>
  </si>
  <si>
    <t>Parent Study: Study Understanding Pre-Exposure pRophylaxis of NOvel Anitbodies (SUPERNOVA) Sub-study: Study Understanding Pre-Exposure pRophylaxis of NOvel Anitbodies (SUPERNOVA Sub-study)</t>
  </si>
  <si>
    <t>NCT06228846</t>
  </si>
  <si>
    <t>An Phase I Study of YY001 in Patients with Advanced Solid Tumors</t>
  </si>
  <si>
    <t>Shanghai Yuyao Biotech Co., Ltd.</t>
  </si>
  <si>
    <t>NCT05451407</t>
  </si>
  <si>
    <t>Efficacy and Safety of TQB2618 Injection Combined With Toripalimab Injection in Patients With Advanced Melanoma</t>
  </si>
  <si>
    <t>NCT05319314</t>
  </si>
  <si>
    <t>LYL273 for Patients With Relapsed or Refractory mCRC</t>
  </si>
  <si>
    <t>NCT05354752</t>
  </si>
  <si>
    <t>Multiple-dose Escalation Clinical Study of VC005 Tablets in Healthy Subjects</t>
  </si>
  <si>
    <t>NCT05588609</t>
  </si>
  <si>
    <t>Study Evaluating Zenocutuzumab in Patients With or Without Molecularly Defined Cancers</t>
  </si>
  <si>
    <t>NCT05424887</t>
  </si>
  <si>
    <t>A Study to Evaluate the Efficacy and Safety of AK3280 in Patients With Idiopathic Pulmonary Fibrosis</t>
  </si>
  <si>
    <t>NCT07336836</t>
  </si>
  <si>
    <t>Renewal-NAD+: A Study of Oral NAD+ and Its Multi-omic Impact in a Healthy Cohort</t>
  </si>
  <si>
    <t>BioNADrx Holdings, Inc. Bryleos</t>
  </si>
  <si>
    <t>NCT05423106</t>
  </si>
  <si>
    <t>A Single and Multiple Ascending Dose Study of JNJ-64457744</t>
  </si>
  <si>
    <t>NCT05569278</t>
  </si>
  <si>
    <t>Safety and Pharmacokinetics of GEH200486 in Healthy Volunteers</t>
  </si>
  <si>
    <t>NCT05349409</t>
  </si>
  <si>
    <t>A Trial of the Combination of SHR-A1811 and Fluzoparib in HER2-Expressing Cancers</t>
  </si>
  <si>
    <t>NCT06846099</t>
  </si>
  <si>
    <t>A Study to Evaluate the Safety, Tolerability, Pharmacokinetics, Efficacy and Indications of RP903</t>
  </si>
  <si>
    <t>Risen (Suzhou) Pharma Tech Co., Ltd.</t>
  </si>
  <si>
    <t>NCT05383352</t>
  </si>
  <si>
    <t>A Study to Compare Onivyde Manufactured at Two Different Production Sites in Adult Participants With Advanced Cancer in the Pancreas</t>
  </si>
  <si>
    <t>NCT04949438</t>
  </si>
  <si>
    <t>A Study to Assess the Pharmacokinetics (Uptake of Drugs by the Body), Safety and Tolerability of AZD4831 in Participants With Severe Renal Impairment and Healthy Volunteers</t>
  </si>
  <si>
    <t>NCT05284747</t>
  </si>
  <si>
    <t>EVOLVE-MI: EVOLocumab Very Early After Myocardial Infarction</t>
  </si>
  <si>
    <t>NCT05131204</t>
  </si>
  <si>
    <t>Efficacy and Safety of the Combination of Pozelimab and Cemdisiran Versus Continued Eculizumab or Ravulizumab Treatment in Adult Patients With Paroxysmal Nocturnal Hemoglobinuria</t>
  </si>
  <si>
    <t>NCT05325645</t>
  </si>
  <si>
    <t>Trial of Brexpiprazole Once-weekly (QW) Formulation in Patients With Acute Schizophrenia</t>
  </si>
  <si>
    <t>NCT05492591</t>
  </si>
  <si>
    <t>A Study Exploring Efficacy of Peginterferon in Patients With Herpes Zoster</t>
  </si>
  <si>
    <t>NCT05764668</t>
  </si>
  <si>
    <t>Efficacy and Safety of Zihua Wenfei Granules in Treatment of Postinfectious Cough (Wind-cold Invading Lungs Syndrome)</t>
  </si>
  <si>
    <t>DoCare Pharmaceutial Technology Co.,Ltd</t>
  </si>
  <si>
    <t>NCT05244473</t>
  </si>
  <si>
    <t>A Safety Study of Brentuximab Vedotin in Participants With HIV</t>
  </si>
  <si>
    <t>NCT05648669</t>
  </si>
  <si>
    <t>A Study to Evaluate Safety and Efficacy of Elagolix in Patients With Moderate to Severe Endometriosis-Associated Pain</t>
  </si>
  <si>
    <t>Qilu Pharmaceutical (Hainan) Co., Ltd.</t>
  </si>
  <si>
    <t>NCT05392179</t>
  </si>
  <si>
    <t>A Study in Subjects With Retinitis Pigmentosa</t>
  </si>
  <si>
    <t>NCT05423262</t>
  </si>
  <si>
    <t>A Study of TRK-950 in Patients With Advanced Solid Tumors</t>
  </si>
  <si>
    <t>NCT05435170</t>
  </si>
  <si>
    <t>Food Effect Study of Linerixibat Tablets in Healthy Adult Participants</t>
  </si>
  <si>
    <t>NCT05504486</t>
  </si>
  <si>
    <t>Open-label Brexpiprazole fMRI Trial in Adults With Major Depressive Disorder and Anxiety</t>
  </si>
  <si>
    <t>NCT05488873</t>
  </si>
  <si>
    <t>A Study of Topical Pirenzepine or Placebo in Oncology Patients With Chemotherapy Induced Peripheral Neuropathy</t>
  </si>
  <si>
    <t>NCT05172596</t>
  </si>
  <si>
    <t>PHE885 CAR-T Therapy in Adult Participants With Relapsed and Refractory Multiple Myeloma</t>
  </si>
  <si>
    <t>NCT05480488</t>
  </si>
  <si>
    <t>A Study to Examine the Effect of Daridorexant on the Way the Body Absorbs, Distributes, and Gets Rid of Midazolam and Warfarin in Healthy Male Subjects</t>
  </si>
  <si>
    <t>NCT05163288</t>
  </si>
  <si>
    <t>A Pivotal Study of N-Acetyl-L-Leucine on Niemann-Pick Disease Type C</t>
  </si>
  <si>
    <t>NCT05633654</t>
  </si>
  <si>
    <t>Study of Sacituzumab Govitecan-hziy and Pembrolizumab Versus Treatment of Physician's Choice in Patients With Triple Negative Breast Cancer Who Have Residual Invasive Disease After Surgery and Neoadjuvant Therapy (ASCENT-05/AFT-65 OptimICE-RD/GBG 119/NSABP B-63)</t>
  </si>
  <si>
    <t>NCT05425446</t>
  </si>
  <si>
    <t>Study of the Safety, Tolerability, Pharmacokinetics and Biomarker of DONQ52 in Celiac Disease Patients</t>
  </si>
  <si>
    <t>NCT05352646</t>
  </si>
  <si>
    <t>NewishT Cell Therapy for HCC With High Risk of Recurrence After Radical Resection</t>
  </si>
  <si>
    <t>Newish Technology (Beijing) Co., Ltd.</t>
  </si>
  <si>
    <t>NCT05200286</t>
  </si>
  <si>
    <t>A Phase I Study to Assess the Pharmacokinetics of Olorofim in Subjects With Renal Impairment</t>
  </si>
  <si>
    <t>NCT04306315</t>
  </si>
  <si>
    <t>Adjusted Brodalumab Dose Compared With Standard Brodalumab Dose in Subjects With Moderate-to-severe Plaque Psoriasis and ≥120 kg Body Weight</t>
  </si>
  <si>
    <t>NCT05429762</t>
  </si>
  <si>
    <t>Effect of Tusamitamab Ravtansine on QTc Interval in Participants With Metastatic Solid Tumors</t>
  </si>
  <si>
    <t>NCT05084989</t>
  </si>
  <si>
    <t>Safety, and Immunogenicity Study of the Recombinant Two-component COVID-19 Vaccine (CHO Cell)</t>
  </si>
  <si>
    <t>NCT05712876</t>
  </si>
  <si>
    <t>A Phase 1 Study to Investigate Safety, Tolerability, and Pharmacokinetics of CK-0045 in Healthy Participants and Otherwise Healthy Participants With Obesity</t>
  </si>
  <si>
    <t>Cytoki Pharma</t>
  </si>
  <si>
    <t>NCT05251376</t>
  </si>
  <si>
    <t>Study of LYN-014 in Individuals With Opioid Use Disorder Who Are Stable on Methadone Therapy</t>
  </si>
  <si>
    <t>NCT05272813</t>
  </si>
  <si>
    <t>A Study to Investigate the Efficacy and Safety of MS-553 in CLL/SLL</t>
  </si>
  <si>
    <t>NCT05219968</t>
  </si>
  <si>
    <t>Efficacy and Safety of LYR-210 for the Treatment of Chronic Rhinosinusitis in Adults</t>
  </si>
  <si>
    <t>NCT06171880</t>
  </si>
  <si>
    <t>To Evaluate the Safety and Pharmacokinetic Characteristics After the Administration of JC-001 and JLP-1901</t>
  </si>
  <si>
    <t>NCT05156320</t>
  </si>
  <si>
    <t>Efficacy and Safety of Apitegromab in Patients With Later-Onset Spinal Muscular Atrophy Treated With Nusinersen or Risdiplam</t>
  </si>
  <si>
    <t>NCT05311176</t>
  </si>
  <si>
    <t>A Study of IMU-131 (HER-Vaxx) in Combination With Chemotherapy or Pembrolizumab in Patients With Metastatic HER2/Neu Over-Expressing Gastric Cancer (nextHERIZON)</t>
  </si>
  <si>
    <t>NCT05561140</t>
  </si>
  <si>
    <t>Resolution of Sickle Cell Leg Ulcers With Voxelotor</t>
  </si>
  <si>
    <t>NCT04849715</t>
  </si>
  <si>
    <t>A Study of Parsaclisib, a PI3Kδ Inhibitor, in Combination With Bendamustine and Rituximab in Patients With Newly Diagnosed Mantle Cell Lymphoma</t>
  </si>
  <si>
    <t>NCT05579925</t>
  </si>
  <si>
    <t>A Study of CM310 in Children Patients With Moderate-to-severe Atopic Dermatis</t>
  </si>
  <si>
    <t>NCT05594589</t>
  </si>
  <si>
    <t>A Study to Assess the Pharmacodynamics of Lemborexant in Korean Participants With Insomnia Disorder</t>
  </si>
  <si>
    <t>NCT05513391</t>
  </si>
  <si>
    <t>Study With Quadrivalent Recombinant Influenza Vaccine (RIV4) Compared With Egg-Based Quadrivalent Influenza Vaccine (IIV4) in Participants Aged 3 to 8 Years</t>
  </si>
  <si>
    <t>NCT04851613</t>
  </si>
  <si>
    <t>Study to Evaluate Efficacy &amp; Safety of Afuresertib Plus Fulvestrant in Patients With Locally Advanced or Metastatic HR+/HER2- Breast Cancer</t>
  </si>
  <si>
    <t>NCT05376176</t>
  </si>
  <si>
    <t>A Multicenter Study Assessing the Efficacy and Safety of STN1010904 Ophthalmic Suspension 0.03% and 0.1% Compared With Vehicle in Subjects With Fuchs Endothelial Corneal Dystrophy (FECD)</t>
  </si>
  <si>
    <t>NCT05536440</t>
  </si>
  <si>
    <t>A Study to Learn About Study Medicine Called PF-07261271 in Healthy People</t>
  </si>
  <si>
    <t>NCT05114590</t>
  </si>
  <si>
    <t>Effect of Soliqua 100/33 on Time in Range From Continuous Glucose Monitoring in Insulin-naive Patients With Very Uncontrolled Type 2 Diabetes Mellitus</t>
  </si>
  <si>
    <t>NCT05516758</t>
  </si>
  <si>
    <t>A Study of Peresolimab (LY3462817) in Participants With Moderately-to-Severely Active Rheumatoid Arthritis</t>
  </si>
  <si>
    <t>NCT05283226</t>
  </si>
  <si>
    <t>Study to Evaluate the Safety and Efficacy of Oral NRC-2694-A in Combination With Paclitaxel in Patients With Recurrent and/or Metastatic Head and Neck Squamous Cell Carcinoma, Who Progressed on or After Immune Checkpoint Inhibitor Therapy</t>
  </si>
  <si>
    <t>NATCO Pharma Ltd.</t>
  </si>
  <si>
    <t>NCT05233826</t>
  </si>
  <si>
    <t>Safety and Immunogenicity of COVI-VAC as a Booster Dose in Adults Previously Vaccinated Against COVID-19</t>
  </si>
  <si>
    <t>NCT05519085</t>
  </si>
  <si>
    <t>A Study to Evaluate Mezigdomide, Bortezomib and Dexamethasone (MEZIVd) Versus Pomalidomide, Bortezomib and Dexamethasone (PVd) in Participants With Relapsed or Refractory Multiple Myeloma (RRMM)</t>
  </si>
  <si>
    <t>NCT05496725</t>
  </si>
  <si>
    <t>Evaluate Bioequivalence of Micafungin (50mg/Vial)</t>
  </si>
  <si>
    <t>NCT05630820</t>
  </si>
  <si>
    <t>Study of Bepirovirsen in Nucleos(t)Ide Analogue-treated Participants With Chronic Hepatitis B (B-Well 2)</t>
  </si>
  <si>
    <t>NCT05832697</t>
  </si>
  <si>
    <t>An Exploratory Clinical Trial to Evaluate and Compare Safety and Pharmacokinetic Characteristics After Administration of the DWJ1439, DWJ1464, DWC202108 or DWC202109 in Healthy Adult Volunteers</t>
  </si>
  <si>
    <t>NCT05638776</t>
  </si>
  <si>
    <t>Treatment of Chronic Obstructive Pulmonary Disease (COPD) With Diffusion Capacity Defect by REGEND001 Cell Therapy</t>
  </si>
  <si>
    <t>NCT06394518</t>
  </si>
  <si>
    <t>Phase 1, Single-Dose and Multiple-Dose Continuous Intravenous Infusions of TNP-2092 for Injection in Healthy Chinese Participants</t>
  </si>
  <si>
    <t>TenNor Therapeutics Inc.</t>
  </si>
  <si>
    <t>NCT05404724</t>
  </si>
  <si>
    <t>Study on the Pharmacokinetic Effect of Itraconazole on SHR0302 Tablets in Healthy Subjects</t>
  </si>
  <si>
    <t>NCT05363917</t>
  </si>
  <si>
    <t>Natrunix Versus Methotrexate in Rheumatoid Arthritis</t>
  </si>
  <si>
    <t>NCT05089617</t>
  </si>
  <si>
    <t>To Evaluate the Safety, Tolerability, and Pharmacokinetics of YG1699（Antidiabetic） in Healthy Chinese Sbjects</t>
  </si>
  <si>
    <t>NCT05277168</t>
  </si>
  <si>
    <t>A TRIAL TO EVALUATE THE SAFETY, TOLERABILITY, PHARMACOKINETICS, AND EFFICACY OF SHR-A1904 IN SUBJECTS WITH ADVANCED SOLID TUMORS</t>
  </si>
  <si>
    <t>NCT05118789</t>
  </si>
  <si>
    <t>A Study of Zidesamtinib (NVL-520) in Patients With Advanced NSCLC and Other Solid Tumors Harboring ROS1 Rearrangement (ARROS-1)</t>
  </si>
  <si>
    <t>Nuvalent Inc.</t>
  </si>
  <si>
    <t>NCT05317013</t>
  </si>
  <si>
    <t>CBD in Postmenopausal Women With Osteopenia</t>
  </si>
  <si>
    <t>NCT05262023</t>
  </si>
  <si>
    <t>A Study to Evaluate the Safety, Tolerability, Pharmacokinetics, and Pharmacodynamics of DNL593 in Healthy Participants and Participants With Frontotemporal Dementia (FTD-GRN)</t>
  </si>
  <si>
    <t>NCT05583474</t>
  </si>
  <si>
    <t>OPC-1085EL in the Treatment of Primary Open Angle Glaucoma or Ocular Hypertension in Chinese Subjects</t>
  </si>
  <si>
    <t>NCT05239039</t>
  </si>
  <si>
    <t>An Expanded Access Program in China to Provide Spesolimab to People With a Flare-up in Generalized Pustular Psoriasis Who Have no Other Treatment Options</t>
  </si>
  <si>
    <t>NCT05288881</t>
  </si>
  <si>
    <t>Single Ascending Dose Study of ANX105</t>
  </si>
  <si>
    <t>NCT06005792</t>
  </si>
  <si>
    <t>Multiple Ascending-Dose Study of XmAb®27564 in Patients With Psoriasis or Atopic Dermatitis</t>
  </si>
  <si>
    <t>NCT05305664</t>
  </si>
  <si>
    <t>A Multicenter Trial Assessing the Impact of Lipoprotein(a) Lowering With Pelacarsen (TQJ230) on the Rate of Weekly Lipoprotein Apheresis Sessions in Patients With Hyperlipoproteinemia(a) and Established Cardiovascular Disease in Germany</t>
  </si>
  <si>
    <t>NCT05492409</t>
  </si>
  <si>
    <t>Study of the Safety and Immunogenicity of Long-term GNR-069 Therapy in ITP Patients</t>
  </si>
  <si>
    <t>NCT05548439</t>
  </si>
  <si>
    <t>Safety, Tolerability, and Immunogenicity of Trivalent Coronavirus Vaccine Candidate VBI-2901a</t>
  </si>
  <si>
    <t>NCT05523895</t>
  </si>
  <si>
    <t>Pimavanserin for the Treatment of Irritability Associated With Autism Spectrum Disorder</t>
  </si>
  <si>
    <t>NCT05171777</t>
  </si>
  <si>
    <t>A Study to Evaluate Participant and Healthcare Professional Reported Preference for Subcutaneous Atezolizumab Compared With Intravenous Atezolizumab Formulation in Participants With Non-Small Cell Lung Cancer</t>
  </si>
  <si>
    <t>NCT05440136</t>
  </si>
  <si>
    <t>A Safety Study of LY3462817 in Healthy Japanese and Non-Japanese Participants</t>
  </si>
  <si>
    <t>NCT05670730</t>
  </si>
  <si>
    <t>Study of AOC 1044 in Healthy Adult Volunteers and Participants With Duchenne Muscular Dystrophy (DMD) Mutations Amenable to Exon 44 Skipping</t>
  </si>
  <si>
    <t>NCT05340530</t>
  </si>
  <si>
    <t>To Evaluate the Pharmacokinetic Effects of TQD3606 for Injection in Healthy Adult Subjects</t>
  </si>
  <si>
    <t>NCT05556265</t>
  </si>
  <si>
    <t>A Study to Evaluate Efficacy and Safety of Deucravacitinib in Participants With Alopecia Areata</t>
  </si>
  <si>
    <t>NCT05304767</t>
  </si>
  <si>
    <t>An Extension Study to Assess Long-Term Safety and Tolerability of Adjunctive KarXT in Subjects With Inadequately Controlled Symptoms of Schizophrenia</t>
  </si>
  <si>
    <t>NCT05225675</t>
  </si>
  <si>
    <t>A Clinical Trial to Investigate the Safety and Tolerability, Efficacy, Pharmacokinetics, Pharmacodynamics and Immunogenicity of 2 Dose Regimens of ARGX-117 in Adults With Multifocal Motor Neuropathy</t>
  </si>
  <si>
    <t>NCT06626464</t>
  </si>
  <si>
    <t>A Study of Elpipodect (MK-8189) Human Absorption, Metabolism, and Excretion in Healthy Male Participants (MK-8189-010)</t>
  </si>
  <si>
    <t>NCT05202145</t>
  </si>
  <si>
    <t>Drug-Drug Interaction (DDI) Study of ALXN2050 in Healthy Adult Participants</t>
  </si>
  <si>
    <t>NCT05412030</t>
  </si>
  <si>
    <t>A Phase 2 Study to Evaluate the Safety, Tolerability, and Immune Response of AFX3772 Vaccine in Healthy Infants</t>
  </si>
  <si>
    <t>NCT05732805</t>
  </si>
  <si>
    <t>A Clinical Study of BCD-217 (Nurulimab + Prolgolimab) Followed by Anti-PD-1 Compared to Anti-PD-1 Monotherapy as First-Line Treatment in Subjects With Unresectable/Metastatic Melanoma</t>
  </si>
  <si>
    <t>NCT05308654</t>
  </si>
  <si>
    <t>A Study to Assess the Adverse Events and Change in Disease Activity in Adult Participants With Relapsed or Refractory Multiple Myeloma Receiving Oral ABBV-453 Tablets</t>
  </si>
  <si>
    <t>NCT05323019</t>
  </si>
  <si>
    <t>Repeated Intranasal Esketamine Plus Almond Therapy in Patients With Treatment Resistant Depression</t>
  </si>
  <si>
    <t>Zylorion Health</t>
  </si>
  <si>
    <t>NCT05330273</t>
  </si>
  <si>
    <t>Drug-drug Interaction Study of Ganaplacide and Lumefantrine With Efavirenz</t>
  </si>
  <si>
    <t>NCT05354453</t>
  </si>
  <si>
    <t>A Study in Healthy Men to Test How Well Different Doses of BI 1839100 Are Tolerated (1490-0001)</t>
  </si>
  <si>
    <t>NCT05451095</t>
  </si>
  <si>
    <t>A Study in Healthy Men to Test Whether BI 474121 Can Reverse the Memory Problems Caused by Ketamine</t>
  </si>
  <si>
    <t>NCT05616728</t>
  </si>
  <si>
    <t>A Study to Evaluate EDP-235 in Non-hospitalized Adults With COVID-19</t>
  </si>
  <si>
    <t>NCT05559437</t>
  </si>
  <si>
    <t>Ultrasound-guided Ilioinguinal/Iliohypogastric Nerve Block</t>
  </si>
  <si>
    <t>NCT05706454</t>
  </si>
  <si>
    <t>Phase 2/Phase 3 Study To Evaluate The Efficacy And Safety Of Ramatroban Along With The Standard Of Care In Subjects Hospitalized For COVID Pneumonia</t>
  </si>
  <si>
    <t>KARE Biosciences</t>
  </si>
  <si>
    <t>NCT05524194</t>
  </si>
  <si>
    <t>6MW3511 in Patients With Advanced Solid Tumor</t>
  </si>
  <si>
    <t>NCT05546502</t>
  </si>
  <si>
    <t>Safety and Immunogenicity of SARS-CoV-2 Protein Subunit Recombinant Vaccine in Healthy Children</t>
  </si>
  <si>
    <t>NCT05379595</t>
  </si>
  <si>
    <t>A Study of Amivantamab Monotherapy and in Addition to Standard-of-Care Chemotherapy in Participants With Advanced or Metastatic Colorectal Cancer</t>
  </si>
  <si>
    <t>NCT05536973</t>
  </si>
  <si>
    <t>Safety and Efficacy of ADVM-022 in Treatment-Experienced Patients With Neovascular Age-related Macular Degeneration [LUNA]</t>
  </si>
  <si>
    <t>NCT05790694</t>
  </si>
  <si>
    <t>A Trial of HBM9378 in Healthy Chinese Subjects</t>
  </si>
  <si>
    <t>NCT05366231</t>
  </si>
  <si>
    <t>Kesuting Syrup in the Treatment of Corona Virus Disease 2019 (COVID-19)</t>
  </si>
  <si>
    <t>NCT05331183</t>
  </si>
  <si>
    <t>Study to Evaluate Elexacaftor/Tezacaftor/Ivacaftor (ELX/TEZ/IVA) Long-term Safety and Efficacy in Subjects Without F508del</t>
  </si>
  <si>
    <t>NCT04895436</t>
  </si>
  <si>
    <t>Study to Assess Change in Disease Activity and Adverse Events of Oral Venetoclax With Intravenous (IV) Obinutuzumab in Adult Participants With Recurring Chronic Lymphocytic Leukemia (CLL)</t>
  </si>
  <si>
    <t>NCT05380947</t>
  </si>
  <si>
    <t>A Study in Healthy Men to Compare Two Different Oral Formulations of BI 1810631 and to Test How Food or Rabeprazole Influence the Amount of BI 1810631 in the Blood</t>
  </si>
  <si>
    <t>NCT05295433</t>
  </si>
  <si>
    <t>An Extension Study to Evaluate the Long-Term Safety and Clinical Activity of mRNA-3705 in Participants Previously Enrolled in Other Clinical Studies of mRNA-3705</t>
  </si>
  <si>
    <t>NCT06361992</t>
  </si>
  <si>
    <t>Efficacy and Safety of Blue Cap for the Treatment of Atopic Dermatitis in Children</t>
  </si>
  <si>
    <t>NCT05468736</t>
  </si>
  <si>
    <t>Study to Evaluate Safety and Immunogenicity of COVID-19 Vaccine in Children 6 Months to &lt; 12 Years</t>
  </si>
  <si>
    <t>NCT05033444</t>
  </si>
  <si>
    <t>A First in Human Study of the Safety, Tolerability and Pharmacokinetics of PRV-002 in Healthy Volunteers</t>
  </si>
  <si>
    <t>Odyssey Group International, Inc.</t>
  </si>
  <si>
    <t>NCT05228899</t>
  </si>
  <si>
    <t>Zofin to Treat COVID-19 Long Haulers</t>
  </si>
  <si>
    <t>NCT06025084</t>
  </si>
  <si>
    <t>The Effect of the Egg Shell Nanoparticles Combined With Titanium Dioxide Nanoparticles</t>
  </si>
  <si>
    <t>NCT05317312</t>
  </si>
  <si>
    <t>Study of MR-107A-02 in the Treatment of Post Surgical Dental Pain.</t>
  </si>
  <si>
    <t>Mylan Specialty, LP</t>
  </si>
  <si>
    <t>NCT06098599</t>
  </si>
  <si>
    <t>Comparing the Pharmacokinetic Profile of LY01612 and CAELYX® in Chinese Subjects With Advanced Breast Cancer</t>
  </si>
  <si>
    <t>NCT05310071</t>
  </si>
  <si>
    <t>A Study to Verify the Clinical Benefit of Aducanumab in Participants With Early Alzheimer's Disease</t>
  </si>
  <si>
    <t>NCT05460364</t>
  </si>
  <si>
    <t>A Study to Evaluate the Pharmacokinetic Interaction and Safety Between BR1018-1 and BR1018-2 in Healthy Adult Subjects</t>
  </si>
  <si>
    <t>NCT05025332</t>
  </si>
  <si>
    <t>An Open-Label Study of Oral NNZ-2591 in Pitt Hopkins Syndrome (PTHS-001)</t>
  </si>
  <si>
    <t>NCT05465707</t>
  </si>
  <si>
    <t>A Study of CM313 Injection in Subjects With Systemic Lupus Erythematosus</t>
  </si>
  <si>
    <t>NCT05367232</t>
  </si>
  <si>
    <t>A Study of ICP-033 in Patients With Advanced Solid Tumors</t>
  </si>
  <si>
    <t>NCT05309421</t>
  </si>
  <si>
    <t>A Single Arm Trial Evaluating the Efficacy and Safety of EVX-01 in Combination With Pembrolizumab in Adults With Unresectable or Metastatic Melanoma</t>
  </si>
  <si>
    <t>NCT05398614</t>
  </si>
  <si>
    <t>SENL101 Autologous T Cell Injection in Adults With Relapsed or Refractory CD7+ Hematolymphoid Malignancies</t>
  </si>
  <si>
    <t>NCT05519449</t>
  </si>
  <si>
    <t>Study of JANX007 in Subjects With Metastatic Castration-Resistant Prostate Cancer (ENGAGER-PSMA-01)</t>
  </si>
  <si>
    <t>Janux Therapeutics</t>
  </si>
  <si>
    <t>NCT05584800</t>
  </si>
  <si>
    <t>Study of ZGGS18 in Patients With Advanced Solid Tumors</t>
  </si>
  <si>
    <t>NCT05165849</t>
  </si>
  <si>
    <t>A Study of GFS101A in Combination With Toripalimab in Patients With Advanced Solid Tumors</t>
  </si>
  <si>
    <t>Zhejiang Genfleet Therapeutics Co., Ltd.</t>
  </si>
  <si>
    <t>NCT05363800</t>
  </si>
  <si>
    <t>Phase I Study of HRS-3738 in Recurrent and Refractory Non-Hodgkin's Lymphoma and Multiple Myeloma</t>
  </si>
  <si>
    <t>NCT05656911</t>
  </si>
  <si>
    <t>A Study to Learn How Well the Study Treatment Zabedosertib (BAY1834845) Works and How Safe it is Compared to Placebo in Adult Participants With Moderate-to-severe Atopic Dermatitis</t>
  </si>
  <si>
    <t>NCT05228834</t>
  </si>
  <si>
    <t>Voxelotor Neurocognitive Function Study</t>
  </si>
  <si>
    <t>NCT05369104</t>
  </si>
  <si>
    <t>Phage Therapy in Prosthetic Joint Infection Due to Staphylococcus Aureus Treated With DAIR.</t>
  </si>
  <si>
    <t>Phagenix</t>
  </si>
  <si>
    <t>NCT05528406</t>
  </si>
  <si>
    <t>A Phase II Clinical Trial to Evaluate HLX208 in Advanced Solid Tumor Patients With BRAF V600 Mutation</t>
  </si>
  <si>
    <t>NCT05514548</t>
  </si>
  <si>
    <t>Phase 2 Study of INV-202 in Patients With Diabetic Kidney Disease</t>
  </si>
  <si>
    <t>NCT05329025</t>
  </si>
  <si>
    <t>A Study of QL1706 Combined With Chemotherapy in Advanced Non-small Cell Lung Cancer</t>
  </si>
  <si>
    <t>NCT05183347</t>
  </si>
  <si>
    <t>A Study in Healthy Japanese Men to Test How Well Different Doses of BI 1291583 Are Tolerated</t>
  </si>
  <si>
    <t>NCT05223699</t>
  </si>
  <si>
    <t>Study of MGTA-117 in Patients With Adult Acute Myeloid Leukemia (AML) and Myelodysplasia-Excess Blasts (MDS-EB)</t>
  </si>
  <si>
    <t>Magenta Therapeutics, Inc.</t>
  </si>
  <si>
    <t>NCT07404306</t>
  </si>
  <si>
    <t>Part 1: Dose-Finding of HSK3486 Injection In Nondependent, Recreational Central Nervous System Depressant Users</t>
  </si>
  <si>
    <t>NCT05621252</t>
  </si>
  <si>
    <t>Imaging Evaluation of PLN-74809 in Participants With IPF (PLN-74809)</t>
  </si>
  <si>
    <t>NCT05436652</t>
  </si>
  <si>
    <t>A Trial of Prednisolone in Combination With SPI-62 or Placebo in Subjects With Polymyalgia Rheumatica (PMR)</t>
  </si>
  <si>
    <t>NCT05909436</t>
  </si>
  <si>
    <t>Immuno-Oncology Drugs GLS-012 Alone &amp; in Combination GLS-010 Treating With Advanced Patients Solid Tumors</t>
  </si>
  <si>
    <t>Guangzhou Gloria Biosciences Co., Ltd.</t>
  </si>
  <si>
    <t>NCT03734484</t>
  </si>
  <si>
    <t>Gram Type Infection-Specific Sepsis Identification Using Machine Learning</t>
  </si>
  <si>
    <t>NCT04803058</t>
  </si>
  <si>
    <t>A Study of TCD601 in the Induction of Tolerance in Renal Transplantation (PERSPECTIVE)</t>
  </si>
  <si>
    <t>NCT05576415</t>
  </si>
  <si>
    <t>Pharmacokinetics, Pharmacodynamics, Safety and Tolerability of OC-01 in Adult Chinese With Dry Eye Disease</t>
  </si>
  <si>
    <t>NCT05690204</t>
  </si>
  <si>
    <t>Dose Finding Study to Evaluate Safety and Efficacy of 3 Dosages of SAP 001.</t>
  </si>
  <si>
    <t>Shanton Pharma Pte. Ltd.</t>
  </si>
  <si>
    <t>NCT05332704</t>
  </si>
  <si>
    <t>Safety, Tolerability, PK, PD and Preliminary Efficacy of ONO-4685</t>
  </si>
  <si>
    <t>NCT05485584</t>
  </si>
  <si>
    <t>rSIFN-co Among Healthy Subjects and Subjects With Mild or Asymptomatic COVID-19</t>
  </si>
  <si>
    <t>Sichuan Huiyang Life Science and Technology Corporation</t>
  </si>
  <si>
    <t>NCT05219578</t>
  </si>
  <si>
    <t>RTX-224 Monotherapy in Patients With Solid Tumors</t>
  </si>
  <si>
    <t>NCT02021474</t>
  </si>
  <si>
    <t>A Multicenter, Randomized, Double-blind, Placebo-controlled Trial to Assess the Efficacy and Safety of Subcutaneous AGX-201 for Migraine Prophylaxis</t>
  </si>
  <si>
    <t>AgoneX Biopharmaceuticals, Inc.</t>
  </si>
  <si>
    <t>NCT05205447</t>
  </si>
  <si>
    <t>Study of the Effects of Itraconazole and Carbamazepine on LY3410738 in Healthy Participants</t>
  </si>
  <si>
    <t>NCT05426343</t>
  </si>
  <si>
    <t>A Study to Evaluate Immunogenicity and Safety of MVC-COV1901 Vaccine Compared With AZD1222</t>
  </si>
  <si>
    <t>NCT05095337</t>
  </si>
  <si>
    <t>Study to Evaluate the Mass Balance and Biotransformation of [14C]SHR1459 in Healthy Adult Male Volunteers</t>
  </si>
  <si>
    <t>NCT04485039</t>
  </si>
  <si>
    <t>Drug-drug Interaction Study of TPOXX When Co-administered With Phosphate Binders</t>
  </si>
  <si>
    <t>NCT05273775</t>
  </si>
  <si>
    <t>A Pharmacokinetic Study to Evaluate the Drug Interaction Between HRS5091 and Probe Drugs in Healthy Volunteers</t>
  </si>
  <si>
    <t>NCT05276557</t>
  </si>
  <si>
    <t>PyloPlus Urea Breath Test System Pediatric Safety and Efficacy Study</t>
  </si>
  <si>
    <t>ARJ Medical, Inc.</t>
  </si>
  <si>
    <t>NCT05382728</t>
  </si>
  <si>
    <t>Phase III Study of TY-9591 in Patients With Locally Advanced or Metastatic Non-small Cell Lung Cancer (FLETEO)</t>
  </si>
  <si>
    <t>NCT05392192</t>
  </si>
  <si>
    <t>A Clinical Trial to Evaluate the Safety and Efficacy in Subjects With Chronic Cough</t>
  </si>
  <si>
    <t>NCT05722171</t>
  </si>
  <si>
    <t>Clinical Study of UTAA06 Injection in the Treatment of Relapsed/Refractory Acute Myeloid Leukemia</t>
  </si>
  <si>
    <t>NCT05509634</t>
  </si>
  <si>
    <t>Clinical Study of HR20013 for Injection in Patients With Malignant Solid Tumors</t>
  </si>
  <si>
    <t>NCT05377944</t>
  </si>
  <si>
    <t>Assessment on Efficacy and Safety of BAT2306 and Cosentyx® in Plaque Psoriasis Patients</t>
  </si>
  <si>
    <t>NCT05498428</t>
  </si>
  <si>
    <t>A Study of Amivantamab in Participants With Advanced or Metastatic Solid Tumors Including Epidermal Growth Factor Receptor (EGFR)-Mutated Non-Small Cell Lung Cancer</t>
  </si>
  <si>
    <t>NCT05382871</t>
  </si>
  <si>
    <t>Sequential Immunization of Two Doses of Inactivated COVID-19 Vaccine (Omicron) in Vaccinated Population Aged 18 Years and Above</t>
  </si>
  <si>
    <t>NCT05478109</t>
  </si>
  <si>
    <t>A Clinical Trial of XZP-3287 for Material Balance</t>
  </si>
  <si>
    <t>NCT06402630</t>
  </si>
  <si>
    <t>A Phase 2 Placebo Controlled, Clinical Trial Designed to Assess the Efficacy, Safety and Dose Response Characterisation of STS01 for the Treatment of Mild-moderate Alopecia Areata (AA)</t>
  </si>
  <si>
    <t>Soterios Ltd</t>
  </si>
  <si>
    <t>NCT05481307</t>
  </si>
  <si>
    <t>A Study to Evaluate Pharmacokinetic/Pharmacodynamic Drug-drug Interaction and Safety/Tolerability Between RLD2202 and RLD2203</t>
  </si>
  <si>
    <t>NCT05781399</t>
  </si>
  <si>
    <t>First-in-Human, Multiple Part Clinical Study of JNT-517 in Healthy Participants and in Participants With Phenylketonuria</t>
  </si>
  <si>
    <t>NCT05497453</t>
  </si>
  <si>
    <t>A Phase 1/2 Study to Evaluate OTX-2002 in Patients with Hepatocellular Carcinoma and Other Solid Tumor Types Known for Association with the MYC Oncogene</t>
  </si>
  <si>
    <t>Omega Therapeutics</t>
  </si>
  <si>
    <t>NCT07107672</t>
  </si>
  <si>
    <t>Mass Balance Study of [14C]X842 in Healthy Adult Male Subjects</t>
  </si>
  <si>
    <t>NCT05427812</t>
  </si>
  <si>
    <t>Phase 1/2 Study of ISB 1442 in Relapsed/Refractory Multiple Myeloma</t>
  </si>
  <si>
    <t>NCT05186753</t>
  </si>
  <si>
    <t>(Summit) A Study to Evaluate the Efficacy and Safety of CGT9486 Versus Placebo in Patients With Indolent or Smoldering Systemic Mastocytosis</t>
  </si>
  <si>
    <t>NCT05326412</t>
  </si>
  <si>
    <t>Mechanistic Study of the Effect of Itepekimab on Airway Inflammation in Patients With COPD</t>
  </si>
  <si>
    <t>NCT05470881</t>
  </si>
  <si>
    <t>Phase I Clinical Trial to Evaluate the Safety and Tolerability of Ophtalmic Solution PRO-201</t>
  </si>
  <si>
    <t>NCT05436834</t>
  </si>
  <si>
    <t>A Study to Evaluate the Safety and Immunogenicity of the mRNA COVID-19 Vaccines in Healthy Children Between 6 Months to Less Than 6 Years of Age</t>
  </si>
  <si>
    <t>NCT05620134</t>
  </si>
  <si>
    <t>Study of JK08 in Patients with Unresectable Locally Advanced or Metastatic Cancer</t>
  </si>
  <si>
    <t>NCT05259722</t>
  </si>
  <si>
    <t>A 24 Week Trial to Compare the Efficacy and Safety of Delgocitinib Cream 20 mg/g Twice-daily With Alitretinoin Capsules Once-daily in Adult Participants With Severe Chronic Hand Eczema</t>
  </si>
  <si>
    <t>NCT05066672</t>
  </si>
  <si>
    <t>Phase 2 Study of NV-5138 in Adults With Treatment Resistant Depression</t>
  </si>
  <si>
    <t>NCT05466734</t>
  </si>
  <si>
    <t>BE Study of Once Daily PMR Compared to Twice Daily Cilostazol IR Tablets in Healthy Volunteers</t>
  </si>
  <si>
    <t>Genovate Biotechnology Co., Ltd.,</t>
  </si>
  <si>
    <t>NCT05582395</t>
  </si>
  <si>
    <t>A Study of Mavacamten in Non-Obstructive Hypertrophic Cardiomyopathy</t>
  </si>
  <si>
    <t>NCT05408312</t>
  </si>
  <si>
    <t>Phase I Clinical Trial of GEN2-Recombinant COVID-19 Vaccine (CHO Cells) in Healthy People Aged 18 and Above</t>
  </si>
  <si>
    <t>NCT05641181</t>
  </si>
  <si>
    <t>A Trial of CRB4101 in Healthy Subjects</t>
  </si>
  <si>
    <t>China Resources Biopharmaceutical Co., Ltd</t>
  </si>
  <si>
    <t>NCT05216887</t>
  </si>
  <si>
    <t>A Study to Assess the Pharmacokinetic (PK) Comparability of 2 Fixed Subcutaneous (SC) Doses of Aducanumab (BIIB037) With a Single, Weight-Based Intravenous (IV) Dose in Healthy Volunteers</t>
  </si>
  <si>
    <t>NCT05358106</t>
  </si>
  <si>
    <t>Assess Safety, Tolerability and Pharmacokinetics of AntiBKV in Healthy Adult Volunteers.</t>
  </si>
  <si>
    <t>Memo Therapeutics AG</t>
  </si>
  <si>
    <t>NCT05555758</t>
  </si>
  <si>
    <t>Aom0319 SAD Study in Healthy Subjects</t>
  </si>
  <si>
    <t>Amckaus PTY LTD.</t>
  </si>
  <si>
    <t>NCT05742126</t>
  </si>
  <si>
    <t>A Study of Safety, Tolerability, Pharmacokinetics and Pharmacodynamics of Multiple Ascending Dosed of HSK36273 in Healthy Volunteers</t>
  </si>
  <si>
    <t>NCT05275855</t>
  </si>
  <si>
    <t>First in Human Study to Assess the Safety, Tolerability and Pharmacokinetics of EDI048 in Healthy Volunteers</t>
  </si>
  <si>
    <t>NCT05333419</t>
  </si>
  <si>
    <t>Study of a Latanoprost Ocular Implant for Treatment of Open Angle Glaucoma or Ocular Hypertension.</t>
  </si>
  <si>
    <t>NCT05621447</t>
  </si>
  <si>
    <t>A Mass Balance Study of [14C] TAS-303 in Healthy Adult Male Subjects</t>
  </si>
  <si>
    <t>NCT05740332</t>
  </si>
  <si>
    <t>Wet Time for a Foam Hand Sanitizer</t>
  </si>
  <si>
    <t>Medline Industries</t>
  </si>
  <si>
    <t>NCT05548387</t>
  </si>
  <si>
    <t>A Study to Evaluate the Pharmacokinetics and Safety Between HCP2202 and Co-administration of Each Component in Healthy Volunteers</t>
  </si>
  <si>
    <t>NCT05232916</t>
  </si>
  <si>
    <t>Phase 3 Study to Evaluate the Efficacy and Safety of HER2/Neu Peptide GLSI-100 (GP2 + GM-CSF) in HER2/Neu Positive Subjects</t>
  </si>
  <si>
    <t>Greenwich LifeSciences, Inc.</t>
  </si>
  <si>
    <t>NCT05436275</t>
  </si>
  <si>
    <t>A Study of CM310 in Patients With Chronic Rhinosinusitis With Nasal Polyposis （CROWNS-2）</t>
  </si>
  <si>
    <t>NCT06294275</t>
  </si>
  <si>
    <t>A Study of Single and Multiple Dose Administration of LP-001 in Healthy Subjects</t>
  </si>
  <si>
    <t>Longbio Pharma</t>
  </si>
  <si>
    <t>NCT05664828</t>
  </si>
  <si>
    <t>Efficacy of SN132D in Patients With Suspected Endometriosis</t>
  </si>
  <si>
    <t>Spago Nanomedical AB</t>
  </si>
  <si>
    <t>NCT05110807</t>
  </si>
  <si>
    <t>A Clinical Study to Evaluate the Tolerability and Pharmacokinetics of TQB3617 Capsule in Patients With Advanced Malignant Tumors</t>
  </si>
  <si>
    <t>NCT05631704</t>
  </si>
  <si>
    <t>A Study to Investigate Safety, Tolerability, and Pharmacokinetics (PK) of VH4524184 and the Potential for Changes in Cytochrome P450 3A (CYP3A) Activity</t>
  </si>
  <si>
    <t>NCT05675449</t>
  </si>
  <si>
    <t>A Clinical Trial of Four Medicines (Elranatamab Plus Carfilzomib and Dexamethasone or Maplirpacept) in People With Relapsed Refractory Multiple Myeloma</t>
  </si>
  <si>
    <t>NCT05175352</t>
  </si>
  <si>
    <t>A Study Evaluating Potential Disease-Mediated Drug-Drug Interaction in Adult Participants With Active Eosinophilic Esophagitis Receiving Cendakimab</t>
  </si>
  <si>
    <t>NCT05195749</t>
  </si>
  <si>
    <t>A Prospective, Phase II Study to Evaluate Safety of 101-PGC-005 ('005) for Moderate to Severe COVID-19 Disease Along With Standard of Care</t>
  </si>
  <si>
    <t>101 Therapeutics</t>
  </si>
  <si>
    <t>NCT05153239</t>
  </si>
  <si>
    <t>Clinical Trial of Lurbinectedin as Single-agent or in Combination With Irinotecan Versus Topotecan or Irinotecan in Patients With Relapsed Small-cell Lung Cancer (LAGOON)</t>
  </si>
  <si>
    <t>NCT05600777</t>
  </si>
  <si>
    <t>A 24-Week Study of the Efficacy and Safety of BLU-5937 in Adults With Refractory Chronic Cough</t>
  </si>
  <si>
    <t>NCT05330975</t>
  </si>
  <si>
    <t>A Study of mRNA-1345 Vaccine Targeting Respiratory Syncytial Virus (RSV) in Adults ≥50 Years of Age</t>
  </si>
  <si>
    <t>NCT02562612</t>
  </si>
  <si>
    <t>Study of SM-88 in Advanced Cancers</t>
  </si>
  <si>
    <t>Tyme, Inc</t>
  </si>
  <si>
    <t>NCT05284812</t>
  </si>
  <si>
    <t>A Phase Ⅱ Clinical Trial of the Recombinant Mycobacterium Tuberculosis Vaccine Freeze-dried (AEC/BC02)</t>
  </si>
  <si>
    <t>NCT05337137</t>
  </si>
  <si>
    <t>A Study of Nivolumab and Relatlimab in Combination With Bevacizumab in Advanced Liver Cancer</t>
  </si>
  <si>
    <t>NCT05394402</t>
  </si>
  <si>
    <t>A Trial of SHR0410 Injection in Postsurgical Pain Management</t>
  </si>
  <si>
    <t>NCT05252546</t>
  </si>
  <si>
    <t>Effect of Montmorillonite Power or Loperamide on the Pharmacokinetics of Pyrotinib in Healthy Subjects</t>
  </si>
  <si>
    <t>NCT05667688</t>
  </si>
  <si>
    <t>Pharmacokinetics and Pharmacodynamics Study of LBS-008 in Healthy Volunteers Aged 50-85</t>
  </si>
  <si>
    <t>NCT05178862</t>
  </si>
  <si>
    <t>A Phase 3, Randomized, Double-blind Study for Patients With Invasive Candidiasis Treated With IV Echinocandin Followed by Either Oral Ibrexafungerp or Oral Fluconazole</t>
  </si>
  <si>
    <t>Scynexis, Inc.</t>
  </si>
  <si>
    <t>NCT05490888</t>
  </si>
  <si>
    <t>Single and Multiple Dose Escalation of PHIN-214 in Child-Pugh A and B Liver Cirrhotics</t>
  </si>
  <si>
    <t>PharmaIN</t>
  </si>
  <si>
    <t>NCT05176951</t>
  </si>
  <si>
    <t>A Study to Evaluate the Safety and Tolerability of Treprostinil Palmitil Inhalation Powder in Participants With Pulmonary Hypertension Associated With Interstitial Lung Disease</t>
  </si>
  <si>
    <t>NCT05373472</t>
  </si>
  <si>
    <t>Phase II Clinical Trial of COVID-19 mRNA Vaccine in Adults Aged 18 Years and Older</t>
  </si>
  <si>
    <t>NCT05117346</t>
  </si>
  <si>
    <t>An Exploratory Safety and Efficacy Clinical Study of CARDIX-101 for the Treatment of Chronic Bradycardia</t>
  </si>
  <si>
    <t>Cardix Therapeutics LLC</t>
  </si>
  <si>
    <t>NCT05283837</t>
  </si>
  <si>
    <t>A Study to Evaluate Safety, Efficacy, Pharmacokinetics, and Immunogenicity of Test Pertuzumab (ZRC-3277, Cadila Healthcare Ltd.,)</t>
  </si>
  <si>
    <t>NCT04638439</t>
  </si>
  <si>
    <t>The Safety and Efficacy of Sequential Treatment of Ropeginterferon Alfa-2b (P1101) and Anti-PD1 in Interferon-Naive Adults With Chronic Hepatitis B or D Infection</t>
  </si>
  <si>
    <t>NCT04796922</t>
  </si>
  <si>
    <t>To Evaluate Efficacy and Safety of Parsaclisib Plus Either Rituximab or Obinutuzumab in R/R Follicular Lymphoma (FL) and Marginal Zone Lymphoma (MZL) (CITADEL-302)</t>
  </si>
  <si>
    <t>NCT05781386</t>
  </si>
  <si>
    <t>A Phase I Trial of SIM1811-03 in Subjects With Advanced Tumors</t>
  </si>
  <si>
    <t>Jiangsu Simcere Biologics Co., Ltd</t>
  </si>
  <si>
    <t>NCT05223166</t>
  </si>
  <si>
    <t>A Clinical Study to Evaluate the Efficacy and Safety of Pitolisant in the Treatment of EDS in Patients With OSA</t>
  </si>
  <si>
    <t>Citrine Medicine Limited</t>
  </si>
  <si>
    <t>NCT05325866</t>
  </si>
  <si>
    <t>A Study Evaluating Bemarituzumab in Solid Tumors With Fibroblast Growth Factor Receptor 2b (FGFR2b) Overexpression</t>
  </si>
  <si>
    <t>NCT05429502</t>
  </si>
  <si>
    <t>Study of Efficacy and Safety of Ribociclib (LEE011) in Combination With Topotecan and Temozolomide (TOTEM) in Pediatric Patients With Relapsed or Refractory Neuroblastoma and Other Solid Tumors</t>
  </si>
  <si>
    <t>NCT05232266</t>
  </si>
  <si>
    <t>The Effectiveness of a Caralluma Fimbriata Extract on Stress, Sleep and Neurotransmitters</t>
  </si>
  <si>
    <t>NCT05236231</t>
  </si>
  <si>
    <t>A Study of Fixed Dose Combination of Macitentan/Tadalafil (10 mg/20 mg) Compared to the Reference Free Combination of Macitentan and Tadalafil in Healthy Adult Participants</t>
  </si>
  <si>
    <t>NCT05217537</t>
  </si>
  <si>
    <t>Study to Evaluate the PK of IV and PO Omadacycline in Children and Adolescents With Suspected or Confirmed Bacterial Infections</t>
  </si>
  <si>
    <t>NCT05408572</t>
  </si>
  <si>
    <t>Study of SON-1010 (IL12-FHAB) in Healthy Adults</t>
  </si>
  <si>
    <t>NCT05175105</t>
  </si>
  <si>
    <t>A Study to Evaluate the Efficacy and Safety of Mitapivat in Pediatric Participants With Pyruvate Kinase Deficiency (PKD) Who Are Not Regularly Transfused, Followed by a 5-Year Extension Period</t>
  </si>
  <si>
    <t>NCT05481827</t>
  </si>
  <si>
    <t>ORACLE: A Long-term Follow-up Study to Evaluate the Safety of GT005 in Participants With Geographic Atrophy Secondary to Age-related Macular Degeneration Treated in a Gyroscope-sponsored Antecedent Study</t>
  </si>
  <si>
    <t>NCT05759962</t>
  </si>
  <si>
    <t>Phase 1 Study of LQT-1213 in Healthy Adults</t>
  </si>
  <si>
    <t>Thryv Therapeutics, Inc.</t>
  </si>
  <si>
    <t>NCT05276570</t>
  </si>
  <si>
    <t>Study of ARO-RAGE in Healthy Subjects and Patients With Inflammatory Lung Disease</t>
  </si>
  <si>
    <t>NCT05228184</t>
  </si>
  <si>
    <t>Use of Tirosint®-SOL or Tablet Formulations of Levothyroxine in Pediatric Patients With Congenital Hypothyroidism (CH)</t>
  </si>
  <si>
    <t>NCT05599984</t>
  </si>
  <si>
    <t>Study to Evaluate Adverse Events, Change in Disease Activity, and How ABBV-706 Moves Through the Body When Intravenously (IV) Infused Alone or in Combination With IV Infused Budigalimab, Cisplatin, or Carboplatin in Adult Participants With Advanced Solid Tumors</t>
  </si>
  <si>
    <t>NCT05387785</t>
  </si>
  <si>
    <t>Study to Assess the Safety and Tolerability of ANG-3070 in Subjects With Idiopathic Pulmonary Fibrosis</t>
  </si>
  <si>
    <t>NCT04858776</t>
  </si>
  <si>
    <t>Perivenous Dexamethasone Therapy: Examining Reduction of Inflammation After Thrombus Removal to Yield Benefit in Subacute and Chronic Iliofemoral DVT</t>
  </si>
  <si>
    <t>NCT05060276</t>
  </si>
  <si>
    <t>Study to Assess an Anti-Trop2 Antibody Drug Conjugate in Relapsed or Refractory Solid Tumors</t>
  </si>
  <si>
    <t>NCT05669950</t>
  </si>
  <si>
    <t>A Trial of Lu AG13909 in Participants With Congenital Adrenal Hyperplasia</t>
  </si>
  <si>
    <t>NCT05259397</t>
  </si>
  <si>
    <t>PF-07225570 Alone or in Combination With an Anti-PD-1 Antibody in Recurrent Non-muscle Invasive Bladder Cancer (NMIBC)</t>
  </si>
  <si>
    <t>NCT05455684</t>
  </si>
  <si>
    <t>A Study of Aticaprant as Adjunctive Therapy in Adult Participants With Major Depressive Disorder (MDD) With Moderate-to-severe Anhedonia and Inadequate Response to Current Antidepressant Therapy</t>
  </si>
  <si>
    <t>NCT05329649</t>
  </si>
  <si>
    <t>Evaluation of Safety and Efficacy of CTX001 in Pediatric Participants With Severe Sickle Cell Disease (SCD)</t>
  </si>
  <si>
    <t>NCT05366855</t>
  </si>
  <si>
    <t>Study to Evaluate the Long-Term Safety and Efficacy of Imsidolimab (ANB019) in the Treatment of Subjects With GPP</t>
  </si>
  <si>
    <t>NCT05497635</t>
  </si>
  <si>
    <t>A Study of STSA-1002 in Healthy Subjects</t>
  </si>
  <si>
    <t>NCT05332340</t>
  </si>
  <si>
    <t>Safety, Tolerability and Pharmacokinetics (PK) Evaluation of BZ371A, Topically Administered</t>
  </si>
  <si>
    <t>Biozeus Biopharmaceutical S.A.</t>
  </si>
  <si>
    <t>NCT05236738</t>
  </si>
  <si>
    <t>A Study to Compare the Drug Levels of Atazanavir and Cobicistat Between the Coadministration of Age-Appropriate Mini-Tablet Formulations and the Coadministration of the Individual Reference Products in Healthy Adults Under Fed Conditions</t>
  </si>
  <si>
    <t>NCT05075408</t>
  </si>
  <si>
    <t>To Evaluate the Efficacy and Safety of Nemolizumab for 12 Weeks in Participants With Chronic Kidney Disease With Associated Moderate to Severe Pruritus</t>
  </si>
  <si>
    <t>NCT06008925</t>
  </si>
  <si>
    <t>Clinical Study of VG161 Combined With Nivolumab Injection in Patients With Advanced Metastatic Gastric Cancer</t>
  </si>
  <si>
    <t>NCT05660720</t>
  </si>
  <si>
    <t>Evaluate the Effect of Orelabrutinib on Cardiac Repolarization in Healthy Subjects</t>
  </si>
  <si>
    <t>NCT04548843</t>
  </si>
  <si>
    <t>A First in Human Study to Evaluate the Safety of Infusion of MNV-BM-PLC (Autologous CD34+ Cells Enriched With Placenta Derived Allogeneic Mitochondria) in Patients With Primary Mitochondrial Diseases Associated With Mitochondrial DNA Mutation or Deletion</t>
  </si>
  <si>
    <t>Minovia Therapeutics Ltd.</t>
  </si>
  <si>
    <t>NCT05421013</t>
  </si>
  <si>
    <t>Study to Evaluate Safety, Efficacy of Intralesional Injection of STP705 in Adults With Facial isSCC</t>
  </si>
  <si>
    <t>NCT04975178</t>
  </si>
  <si>
    <t>Efficacy, Safety and Immunogenicity Evaluation of MTBVAC in Newborns in Sub-Saharan Africa</t>
  </si>
  <si>
    <t>Biofabri, S.L</t>
  </si>
  <si>
    <t>NCT05507567</t>
  </si>
  <si>
    <t>Safety, Tolerability and Prophylactic Antiviral Activity of Neumifil Against Influenza Via a Human Viral Challenge Model</t>
  </si>
  <si>
    <t>NCT05237284</t>
  </si>
  <si>
    <t>Phase 2 Study for SAR443820 in Participants With Amyotrophic Lateral Sclerosis (ALS)</t>
  </si>
  <si>
    <t>NCT05114915</t>
  </si>
  <si>
    <t>A Study to Evaluate the Safety and Efficacy of Docetaxel for Injection (Albumin-bound)in Different Dose Regimens in Patients With Advanced Solid Tumors</t>
  </si>
  <si>
    <t>NCT05380635</t>
  </si>
  <si>
    <t>PK and ECG Determinations Following 8 Weeks of HyBryte Treatment for Cutaneous T-Cell Lymphoma</t>
  </si>
  <si>
    <t>NCT05445440</t>
  </si>
  <si>
    <t>A Study to Assess the Effects of BMS-986371 on the Drug Levels of Methotrexate in the Presence and Absence of Sulfasalazine</t>
  </si>
  <si>
    <t>NCT05660538</t>
  </si>
  <si>
    <t>Evaluation of Efficacy and Safety of VX-548 for Painful Diabetic Peripheral Neuropathy (DPN)</t>
  </si>
  <si>
    <t>NCT05456425</t>
  </si>
  <si>
    <t>A Clinical Trial on Safety and Efficacy of CBT-001 in Patients With Pterygium</t>
  </si>
  <si>
    <t>NCT05457517</t>
  </si>
  <si>
    <t>A Phase 1b/2 Study of YL-13027 Combined With Sintilimab in Patients With Advanced Solid Tumors</t>
  </si>
  <si>
    <t>NCT05413668</t>
  </si>
  <si>
    <t>First in Human Study of RVP-001, a New Manganese Based MRI Contrast Agent</t>
  </si>
  <si>
    <t>Reveal Pharmaceuticals Inc.</t>
  </si>
  <si>
    <t>NCT05293678</t>
  </si>
  <si>
    <t>Safety and Tolerability of Regeneron Anti-SARS-CoV-2 Monoclonal Antibody/Ies in Adult Healthy Volunteers as Related to COVID-19</t>
  </si>
  <si>
    <t>NCT04203433</t>
  </si>
  <si>
    <t>A Study of DLX105-DMP in Subjects With Plaque Psoriasis</t>
  </si>
  <si>
    <t>DelArrivo, Inc.</t>
  </si>
  <si>
    <t>NCT05280717</t>
  </si>
  <si>
    <t>Relative Bioavailability, Safety, and Tolerability of Single-dose Sotrovimab Injection in Adults (COSMIC)</t>
  </si>
  <si>
    <t>NCT04894240</t>
  </si>
  <si>
    <t>A Study of Monepantel in Individuals With Motor Neurone Disease</t>
  </si>
  <si>
    <t>Neurizon Therapeutics Limited</t>
  </si>
  <si>
    <t>NCT05212584</t>
  </si>
  <si>
    <t>CD7 CAR-T Cell Treatment of Relapsed/Refractory CD7+ T -Acute Lymphoblastic Leukemia/ Lymphoma</t>
  </si>
  <si>
    <t>NCT05064358</t>
  </si>
  <si>
    <t>Study to Investigate Alternative Dosing Regimens of Belantamab Mafodotin in Participants With Relapsed or Refractory Multiple Myeloma</t>
  </si>
  <si>
    <t>NCT05241535</t>
  </si>
  <si>
    <t>Study to Evaluate the Effect of a Single Oral Dose of MT-7117 on the QT/QTc Interval in Healthy Subjects</t>
  </si>
  <si>
    <t>NCT04711135</t>
  </si>
  <si>
    <t>Study to Evaluate Safety and Dosimetry of Lutathera in Adolescent Patients With GEP-NETs and PPGLs</t>
  </si>
  <si>
    <t>NCT05182840</t>
  </si>
  <si>
    <t>A Study to Test Whether Different Doses of BI 690517 Alone or in Combination With Empagliflozin Improve Kidney Function in People With Chronic Kidney Disease</t>
  </si>
  <si>
    <t>NCT05434091</t>
  </si>
  <si>
    <t>A First-In-Human Study of the Study Medicine, Called PF-07291177, in Healthy Adult Participants</t>
  </si>
  <si>
    <t>NCT07464535</t>
  </si>
  <si>
    <t>A Single-Dose, Randomized, Open-Label, 2-Way Crossover Study to Evaluate the Dose-Proportionality, Safety, and Tolerability of TNX-102 SL (Cyclobenzaprine HCl Sublingual Tablets) in Healthy Japanese and Chinese Subjects</t>
  </si>
  <si>
    <t>NCT06223308</t>
  </si>
  <si>
    <t>A Study Evaluating the Safety and Efficacy of HB0028 in Subjects With Advanced Solid Tumors</t>
  </si>
  <si>
    <t>NCT05210582</t>
  </si>
  <si>
    <t>A Study to Assess the Changes in Pigmentation and Safety of Afamelanotide in Patients With Vitiligo on the Face</t>
  </si>
  <si>
    <t>Clinuvel, Inc.</t>
  </si>
  <si>
    <t>NCT05197023</t>
  </si>
  <si>
    <t>A STUDY TO EVALUATE THE SAFETY, TOLERABILITY, PHARMACOKINETICS, AND PHARMACODYNAMICS OF MULTIPLE SUBCUTANEOUS INJECTIONS OF SHR-1819 IN PATIENTS WITH MODERATE TO SEVERE ATOPIC DERMATITIS</t>
  </si>
  <si>
    <t>NCT05259020</t>
  </si>
  <si>
    <t>To Evaluate the Pharmacokinetics and the Safety of ID14009 Compared to Coadministration of ID1805 With ID1803 in Healthy Adult Volunteers</t>
  </si>
  <si>
    <t>NCT05452525</t>
  </si>
  <si>
    <t>Pharmacokinetics and Safety/Tolerability Profile of CKD-379</t>
  </si>
  <si>
    <t>NCT05191017</t>
  </si>
  <si>
    <t>Study of NUV-422 in Combination With Enzalutamide in Patients With mCRPC</t>
  </si>
  <si>
    <t>NCT05668429</t>
  </si>
  <si>
    <t>ADME Study of [14^C]-Ibrexafungerp in Healthy Male Subjects</t>
  </si>
  <si>
    <t>NCT05654831</t>
  </si>
  <si>
    <t>FTIH of ECC5004 in Healthy and Diabetic Participants</t>
  </si>
  <si>
    <t>NCT05484466</t>
  </si>
  <si>
    <t>A Study to Evaluate the Efficacy and Safety of ZM-H1505R in Combination With ETV Compared With ETV Monotherapy in Patients With CHB</t>
  </si>
  <si>
    <t>NCT05287165</t>
  </si>
  <si>
    <t>Clinical Trial to Evaluate the Safety and Efficacy of IM96 CAR-T Cells Therapy in Patients With Advanced Digestive System Neoplasms</t>
  </si>
  <si>
    <t>NCT05581303</t>
  </si>
  <si>
    <t>Olpasiran Trials of Cardiovascular Events and Lipoprotein(a) Reduction (OCEAN(a)) - Outcomes Trial</t>
  </si>
  <si>
    <t>NCT05670470</t>
  </si>
  <si>
    <t>A Prospective, Randomized, Investigator-blinded, Parallel, Multi-center, Phase 3 Trial</t>
  </si>
  <si>
    <t>NCT05681351</t>
  </si>
  <si>
    <t>CORE-OLE: A Study of Olezarsen (ISIS 678354) Administered Subcutaneously to Participants With Severe Hypertriglyceridemia (SHTG)</t>
  </si>
  <si>
    <t>NCT05500222</t>
  </si>
  <si>
    <t>A Phase 3 Study to Evaluate the Effect of Resmetirom on Clinical Outcomes in Patients With Well-compensated NASH Cirrhosis (MAESTRO-NASH-OUTCOMES)</t>
  </si>
  <si>
    <t>NCT05217927</t>
  </si>
  <si>
    <t>Efficacy and Safety Study of Rimegepant in Episodic Migraine Prevention With Multiple Dosing Regimens</t>
  </si>
  <si>
    <t>NCT05281094</t>
  </si>
  <si>
    <t>Efficacy and Safety of Two Doses of HIL-214 in Children</t>
  </si>
  <si>
    <t>HilleVax</t>
  </si>
  <si>
    <t>NCT05496686</t>
  </si>
  <si>
    <t>Targeted Alpha Particle Radiotherapy for Metastatic Uveal Melanoma</t>
  </si>
  <si>
    <t>Modulation Therapeutics, Inc.</t>
  </si>
  <si>
    <t>NCT05832775</t>
  </si>
  <si>
    <t>Study to Assess the Safety of MRx0029 or MRx0005 Compared to Placebo, in People With Parkinson's</t>
  </si>
  <si>
    <t>NCT05181501</t>
  </si>
  <si>
    <t>A Study of Fully Human BCMA CAR-T (CT103A) in Patients With Newly Diagnosed High-risk Multiple Myeloma (FUMANBA-2)</t>
  </si>
  <si>
    <t>NCT05367700</t>
  </si>
  <si>
    <t>A Study of HS-10382 in Patients With Chronic Myeloid Leukemia.</t>
  </si>
  <si>
    <t>NCT05378945</t>
  </si>
  <si>
    <t>Clinical Trial to Evaluate the Efficacy and Safety of OC-01 (Varenicline) Nasal Spray on Signs and Symptoms of Dry Eye Disease</t>
  </si>
  <si>
    <t>NCT05239728</t>
  </si>
  <si>
    <t>A Study of Belzutifan (MK-6482) Plus Pembrolizumab (MK-3475) Versus Placebo Plus Pembrolizumab in Participants With Clear Cell Renal Cell Carcinoma Post Nephrectomy (MK-6482-022)</t>
  </si>
  <si>
    <t>NCT05065957</t>
  </si>
  <si>
    <t>Study of Combination Therapy of D07001-Softgel Capsules and Xeloda/TS-1 in Subjects With Advanced Biliary Tract Cancer</t>
  </si>
  <si>
    <t>InnoPharmax Inc.</t>
  </si>
  <si>
    <t>NCT05418712</t>
  </si>
  <si>
    <t>A Microneurography (MNG) Study of VX-150 in Healthy Participants</t>
  </si>
  <si>
    <t>NCT05361395</t>
  </si>
  <si>
    <t>First-Line Tarlatamab in Combination With Carboplatin, Etoposide, and PD-L1 Inhibitor in Subjects With Extensive Stage Small Cell Lung Cancer (ES-SCLC)</t>
  </si>
  <si>
    <t>NCT05338775</t>
  </si>
  <si>
    <t>A Study of Talquetamab and Teclistamab Each in Combination With a Programmed Cell Death Receptor-1 (PD-1) Inhibitor for the Treatment of Participants With Relapsed or Refractory Multiple Myeloma</t>
  </si>
  <si>
    <t>NCT05685277</t>
  </si>
  <si>
    <t>Bioequivalence Study of Two Formulations of Tablets Ramipril/Hydrochlorothiazide 10 mg/25 mg in Healthy Volunteers Under Fasting Conditions</t>
  </si>
  <si>
    <t>NCT05406401</t>
  </si>
  <si>
    <t>A Study of Zilovertamab Vedotin (MK-2140) in Combination With Cyclophosphamide, Doxorubicin, and Prednisone Plus Rituximab or Rituximab Biosimilar (Truxima) (R-CHP) in Participants With Diffuse Large B-Cell Lymphoma (DLBCL) (MK-2140-007)</t>
  </si>
  <si>
    <t>NCT05031481</t>
  </si>
  <si>
    <t>Efficacy and Safety of Different Doses of Venus Association in Patients With Vulvovaginal Candidiasis.</t>
  </si>
  <si>
    <t>NCT05462756</t>
  </si>
  <si>
    <t>A Study of Insulin Efsitora Alfa (LY3209590) as a Weekly Basal Insulin Compared to Insulin Glargine in Adult Participants With Type 2 Diabetes on Multiple Daily Injections</t>
  </si>
  <si>
    <t>NCT05650229</t>
  </si>
  <si>
    <t>Efficacy of KL1333 in Adult Patients With Primary Mitochondrial Disease</t>
  </si>
  <si>
    <t>NCT05172856</t>
  </si>
  <si>
    <t>A Phase Ib Study of Primary Efficacy and Safety of IBI321 Monotherapy or Combination Therapy in Patients With Advanced Solid Tumors</t>
  </si>
  <si>
    <t>NCT05374538</t>
  </si>
  <si>
    <t>VIC-1911 Monotherapy in Combination With Sotorasib for the Treatment of KRAS G12C-Mutant Non-Small Cell Lung Cancer</t>
  </si>
  <si>
    <t>Vitrac Therapeutics, LLC</t>
  </si>
  <si>
    <t>NCT05312632</t>
  </si>
  <si>
    <t>A Study to Evaluate the Efficacy and Safety of Safinamide Mesilate as Add-on Therapy to Levodopa in Parkinson's Disease Participants With Motor Fluctuation in South Korea</t>
  </si>
  <si>
    <t>NCT05364021</t>
  </si>
  <si>
    <t>Study to Investigate LP352 in Subjects With Developmental and Epileptic Encephalopathies</t>
  </si>
  <si>
    <t>NCT05602558</t>
  </si>
  <si>
    <t>The Phase Ⅱ/Ⅲ Trial of LYB001</t>
  </si>
  <si>
    <t>NCT05829226</t>
  </si>
  <si>
    <t>A Phase 1 Study With LYT-200 in Patients With Relapsed/Refractory Acute Myeloid Leukemia (AML), or With Relapsed/Refractory, High-risk Myelodysplastic Syndrome (MDS)</t>
  </si>
  <si>
    <t>NCT05539833</t>
  </si>
  <si>
    <t>KSH01-TCRT Solid Tumors</t>
  </si>
  <si>
    <t>TCRx Therapeutics Co.Ltd</t>
  </si>
  <si>
    <t>NCT05156398</t>
  </si>
  <si>
    <t>Efficacy and Safety Study of Rimegepant for the Preventative Treatment of Migraine in Pediatric Subjects</t>
  </si>
  <si>
    <t>NCT05654532</t>
  </si>
  <si>
    <t>Study of AC699 in Patients With Estrogen Receptor Positive/Human Epidermal Growth Factor Receptor 2 Negative (ER+/HER2-) Locally Advanced or Metastatic Breast Cancer</t>
  </si>
  <si>
    <t>NCT05415098</t>
  </si>
  <si>
    <t>Study of Safety, Pharmacokinetic and Efficacy of APG-5918 in Advanced Solid Tumors or Lymphomas</t>
  </si>
  <si>
    <t>NCT05313152</t>
  </si>
  <si>
    <t>Study of TAVO103A in Healthy Volunteers</t>
  </si>
  <si>
    <t>Tavotek Biotherapeutics</t>
  </si>
  <si>
    <t>NCT05579899</t>
  </si>
  <si>
    <t>Safety and Efficacy Study of EVO101 Topical Cream in Atopic Dermatitis</t>
  </si>
  <si>
    <t>Evommune, Inc.</t>
  </si>
  <si>
    <t>NCT05399368</t>
  </si>
  <si>
    <t>An Efficacy and Safety Study of RPT193 in Adults With Atopic Dermatitis</t>
  </si>
  <si>
    <t>NCT05463497</t>
  </si>
  <si>
    <t>To Evaluate the Pharmacokinetic Drug Interactions, Safety and Drug Tolerance in Healthy Volunteers</t>
  </si>
  <si>
    <t>NCT04752813</t>
  </si>
  <si>
    <t>A Study of BPM31510 With Vitamin K1 in Subjects With Newly Diagnosed Glioblastoma (GB)</t>
  </si>
  <si>
    <t>BPGbio</t>
  </si>
  <si>
    <t>NCT05088460</t>
  </si>
  <si>
    <t>A Study to Examine the Effects of the Leptin Receptor (LEPR) Agonist Antibody REGN4461 in Adult Patients With Familial Partial Lipodystrophy (FPLD)</t>
  </si>
  <si>
    <t>NCT05214482</t>
  </si>
  <si>
    <t>A Study of AK112 in Advanced Malignant Tumors</t>
  </si>
  <si>
    <t>NCT05197062</t>
  </si>
  <si>
    <t>A Study of 14C JNJ-67953964 in Healthy Adult Male Participants</t>
  </si>
  <si>
    <t>NCT05263583</t>
  </si>
  <si>
    <t>Sepantronium Bromide for the Treatment of High-grade B-cell Lymphoma</t>
  </si>
  <si>
    <t>Cothera Bioscience, Inc</t>
  </si>
  <si>
    <t>NCT05419505</t>
  </si>
  <si>
    <t>Study of Different Interventions to Reduce Bruising Following CCH-Aaes Treatment for Cellulite of the Buttocks</t>
  </si>
  <si>
    <t>NCT05135091</t>
  </si>
  <si>
    <t>Study of NRTX-1001 Neural Cell Therapy in Drug-Resistant Unilateral Mesial Temporal Lobe Epilepsy (EPIC (EPIlepsy Cell Therapy))</t>
  </si>
  <si>
    <t>Neurona Therapeutics</t>
  </si>
  <si>
    <t>NCT05327803</t>
  </si>
  <si>
    <t>Study of Epetraborole in Patients With Treatment-refractory MAC Lung Disease</t>
  </si>
  <si>
    <t>NCT05619770</t>
  </si>
  <si>
    <t>Study to Evaluate Pharmacokinetics, Safety &amp; Tolerability of 101-PGC-005 in Healthy, Adult, Human Subjects</t>
  </si>
  <si>
    <t>NCT05698888</t>
  </si>
  <si>
    <t>Study of VP301 in Patients With Multiple Myeloma, Lymphoma, or Solid Tumors</t>
  </si>
  <si>
    <t>Virtuoso BINco, Inc.</t>
  </si>
  <si>
    <t>NCT05242042</t>
  </si>
  <si>
    <t>JT001 (VV116) for the Early Treatment of COVID-19</t>
  </si>
  <si>
    <t>Shanghai JunTop Biosciences Co., LTD</t>
  </si>
  <si>
    <t>NCT05479994</t>
  </si>
  <si>
    <t>Study of BGB-11417 in Participants With Relapsed or Refractory Chronic Lymphocytic Leukemia or Small Lymphocytic Lymphoma</t>
  </si>
  <si>
    <t>NCT05025241</t>
  </si>
  <si>
    <t>An Open-Label Study of Oral NNZ-2591 in Phelan-McDermid Syndrome (PMS-001)</t>
  </si>
  <si>
    <t>NCT05595460</t>
  </si>
  <si>
    <t>Study of RYZ101 in Combination With SoC in Subjects With SSTR+ ES-SCLC</t>
  </si>
  <si>
    <t>NCT05100862</t>
  </si>
  <si>
    <t>A Study of Zanubrutinib Plus Anti-CD20 Versus Lenalidomide Plus Rituximab in Participants With Relapsed/Refractory Follicular or Marginal Zone Lymphoma</t>
  </si>
  <si>
    <t>NCT05194579</t>
  </si>
  <si>
    <t>Pharmacokinetic Comparability Study in Healthy Participants - PF-06881894 On-Body Injector Relative to Prefilled Syringe</t>
  </si>
  <si>
    <t>NCT05630846</t>
  </si>
  <si>
    <t>A Study on the Immune Response and Safety of a Combined Measles, Mumps, Rubella, Chickenpox Vaccine Compared to a Marketed Combined Vaccine, Given to Healthy Children 4 to 6 Years of Age</t>
  </si>
  <si>
    <t>NCT05205850</t>
  </si>
  <si>
    <t>A Study of RC118 in Patients with Locally Advanced Unresectable or Metastatic Malignant Solid Tumors</t>
  </si>
  <si>
    <t>NCT06619210</t>
  </si>
  <si>
    <t>A Trial to Evaluate the Safety and Efficacy of HL231 Solution for Inhalation in Patients with COPD</t>
  </si>
  <si>
    <t>NCT05269940</t>
  </si>
  <si>
    <t>A Study to Evaluate Activity, Safety and Tolerability of ZX-101A in Relapsed/Refractory Hematological Malignancies</t>
  </si>
  <si>
    <t>NCT06356389</t>
  </si>
  <si>
    <t>A Clinical Trial to Evaluate Safety, Tolerance and Pharmacokinetics of JX11502MA Capsule in Patients With Schizophrenia.</t>
  </si>
  <si>
    <t>NCT05306418</t>
  </si>
  <si>
    <t>A Research Study Looking at Mim8 in Children With Haemophilia A With or Without Inhibitors</t>
  </si>
  <si>
    <t>NCT05256810</t>
  </si>
  <si>
    <t>A Study to Evaluate ALN-XDH in Healthy Subjects and Patients With Gout</t>
  </si>
  <si>
    <t>NCT05429697</t>
  </si>
  <si>
    <t>Study of SMT-NK Inj. Plus Pembrolizumab vs Pembrolizumab Monotherapy in Patients With Advanced Biliary Tract Cancer</t>
  </si>
  <si>
    <t>SMT bio Co., Ltd.</t>
  </si>
  <si>
    <t>NCT05498610</t>
  </si>
  <si>
    <t>A Research Study of How the Medicine NNC0480-0389 Taken With Semaglutide Works in the Body of Healthy Chinese Men</t>
  </si>
  <si>
    <t>NCT05434663</t>
  </si>
  <si>
    <t>Safety Study of Repeat Doses of SUSTOL in Adults</t>
  </si>
  <si>
    <t>NCT05050149</t>
  </si>
  <si>
    <t>Study Evaluating the Safety and Efficacy of PTX-022 (QTORIN Sirolimus) in the Treatment of Microcystic Lymphatic Malformations</t>
  </si>
  <si>
    <t>NCT05629338</t>
  </si>
  <si>
    <t>Ascending Dose Study of FrontlineODP™ Spray Dried Plasma</t>
  </si>
  <si>
    <t>Velico Medical</t>
  </si>
  <si>
    <t>NCT05167448</t>
  </si>
  <si>
    <t>A Study of ES104 in Patients With Metastatic Colorectal Cancer</t>
  </si>
  <si>
    <t>Elpiscience (Suzhou) Biopharma, Ltd.</t>
  </si>
  <si>
    <t>NCT05101187</t>
  </si>
  <si>
    <t>Olorofim Aspergillus Infection Study</t>
  </si>
  <si>
    <t>NCT05234606</t>
  </si>
  <si>
    <t>A Safety and Preliminary Efficacy Study of SBT6290 Alone and in Combination With PD-(L)1 Inhibitors in Select Advanced Solid Tumors</t>
  </si>
  <si>
    <t>NCT04983238</t>
  </si>
  <si>
    <t>Evaluation of Safety and Efficacy of Sodium Thiosulfate (BYON5667) Eye Drops to Reduce Ocular Toxicity in Cancer Patients Treated With SYD985</t>
  </si>
  <si>
    <t>NCT05381948</t>
  </si>
  <si>
    <t>Study of EYP-1901 in Subjects With Wet Age Related Macular Degeneration (wAMD)</t>
  </si>
  <si>
    <t>NCT05165732</t>
  </si>
  <si>
    <t>Safety and Immunogenicity Study of Booster Vaccination With COVID-19 Vaccine (Vero Cell),Inactivated From Different Manufactures for Prevention of COVID-19</t>
  </si>
  <si>
    <t>NCT05718687</t>
  </si>
  <si>
    <t>A GBT021601 ADME Microtracer Study in Healthy Volunteers</t>
  </si>
  <si>
    <t>NCT05295121</t>
  </si>
  <si>
    <t>Study of the Effect of Food Intake on the Bioavailability of XC221 100 mg Tablets</t>
  </si>
  <si>
    <t>NCT04791384</t>
  </si>
  <si>
    <t>Phase Ib/II Trial of Abemaciclib and Elacestrant in Patients With Brain Metastasis Due to HR+/Her2- Breast Cancer</t>
  </si>
  <si>
    <t>NCT05043987</t>
  </si>
  <si>
    <t>Dose Escalation and Expansion Study of CPO102, an Anti-claudin 18.2 ADC in Patients With Advanced Cancers</t>
  </si>
  <si>
    <t>NCT05437263</t>
  </si>
  <si>
    <t>A Study to Investigate the Efficacy and Safety of Brepocitinib in Adults With Dermatomyositis</t>
  </si>
  <si>
    <t>Priovant Therapeutics, Inc.</t>
  </si>
  <si>
    <t>NCT05333406</t>
  </si>
  <si>
    <t>Determine the Safety and Dose of EN001 in Patients With Charcot-Marie-Tooth Disease (CMT) Type 1A</t>
  </si>
  <si>
    <t>ENCell</t>
  </si>
  <si>
    <t>NCT05320198</t>
  </si>
  <si>
    <t>Study of DISC-0974 (RALLY-MF) in Participants With Myelofibrosis or Myelodysplastic Syndrome and Anemia</t>
  </si>
  <si>
    <t>NCT05066698</t>
  </si>
  <si>
    <t>ST266 Eyedrops for the Treatment of Persistent Corneal Epithelial Defects</t>
  </si>
  <si>
    <t>NCT05550350</t>
  </si>
  <si>
    <t>A Study to Evaluate the Efficacy and Safety of DEXYCU® for the Treatment of Ocular Pain Associated With Cataract Surgery</t>
  </si>
  <si>
    <t>NCT05171920</t>
  </si>
  <si>
    <t>A Placebo-Controlled Study of Auxora for the Extended Treatment of High- Risk Patients With Critical COVID-19 Pneumonia</t>
  </si>
  <si>
    <t>NCT05125068</t>
  </si>
  <si>
    <t>Safety and Efficacy of AT-1501 in Patients With IgA Nephropathy (IgAN)</t>
  </si>
  <si>
    <t>NCT05219513</t>
  </si>
  <si>
    <t>A Study to Evaluate the Safety, Tolerability, Pharmacokinetics, and Efficacy of RO7443904 in Combination With Glofitamab in Participants With Relapsed/Refractory B-Cell Non-Hodgkin's Lymphoma</t>
  </si>
  <si>
    <t>NCT05297890</t>
  </si>
  <si>
    <t>A Study of Lorlatinib in Subjects With ROS1-Positive Non-Small Cell Lung Cancer</t>
  </si>
  <si>
    <t>NCT04410224</t>
  </si>
  <si>
    <t>Study of ASN004 in Patients With Advanced Solid Tumors</t>
  </si>
  <si>
    <t>Kirilys Therapeutics Inc.</t>
  </si>
  <si>
    <t>NCT05097989</t>
  </si>
  <si>
    <t>Study of ALXN2050 in Proliferative Lupus Nephritis (LN) or Immunoglobulin A Nephropathy (IgAN)</t>
  </si>
  <si>
    <t>NCT05580991</t>
  </si>
  <si>
    <t>Intratumoral CAN1012(selective TLR7 Agonist) in Subjects with Solid Tumors</t>
  </si>
  <si>
    <t>Canwell Biotech Limited</t>
  </si>
  <si>
    <t>NCT05180890</t>
  </si>
  <si>
    <t>A Study of Danavorexton (TAK-925) in Adults With Obstructive Sleep Apnea</t>
  </si>
  <si>
    <t>NCT03752489</t>
  </si>
  <si>
    <t>Unsupervised Machine Learning for Clustering of Septic Patients to Determine Optimal Treatment</t>
  </si>
  <si>
    <t>NCT05279313</t>
  </si>
  <si>
    <t>A Trial of Centanafadine Long-term Safety in Children and Adolescents With Attention-deficit/Hyperactivity Disorder.</t>
  </si>
  <si>
    <t>NCT05378360</t>
  </si>
  <si>
    <t>DWP708 for Treating Epidermal Growth Factor Receptor Inhibitor Related Skin Toxicities</t>
  </si>
  <si>
    <t>NCT05270460</t>
  </si>
  <si>
    <t>Safety, PK and Efficacy of PCS12852 on Gastric Emptying Rate in Patients With Moderate to Severe Gastroparesis</t>
  </si>
  <si>
    <t>NCT05409326</t>
  </si>
  <si>
    <t>A Study of TQH2722 Injection to Evaluate the Safety, Tolerability, Pharmacokinetics, Efficacy and Immunogenicity in Healthy Adult Subjects</t>
  </si>
  <si>
    <t>NCT05393635</t>
  </si>
  <si>
    <t>ITIL-168 in Advanced Solid Tumors</t>
  </si>
  <si>
    <t>NCT05376839</t>
  </si>
  <si>
    <t>A Study to Assess Safety of Cedirogant and How Cedirogant Moves Through the Body in Adult Participants With Mild, Moderate and Severe Hepatic Impairment</t>
  </si>
  <si>
    <t>NCT05597839</t>
  </si>
  <si>
    <t>Study of DF9001 in Patients With Advanced Solid Tumors</t>
  </si>
  <si>
    <t>NCT05432401</t>
  </si>
  <si>
    <t>TAA05 Injection in the Treatment of Adult Patients With FLT3-positive Relapsed/Refractory Acute Myeloid Leukemia</t>
  </si>
  <si>
    <t>NCT05583812</t>
  </si>
  <si>
    <t>A Study of FB2001 for Inhalation in Healthy Chinese Adults</t>
  </si>
  <si>
    <t>NCT06237400</t>
  </si>
  <si>
    <t>A Study of ZG19018 in Patients With KRAS G12C Mutant Advanced Solid Tumors.</t>
  </si>
  <si>
    <t>NCT05431907</t>
  </si>
  <si>
    <t>Phase 1/2 Study Evaluating Safety and Potential Efficacy of Allocetra-OTS Via Pressurized Intra-Peritoneal Aerosol Chemotherapy as Add-on to Standard of Care Chemotherapy for Treatment of Peritoneal Metastasis</t>
  </si>
  <si>
    <t>NCT05245500</t>
  </si>
  <si>
    <t>Phase 1 Study of MRTX1719 in Solid Tumors With MTAP Deletion</t>
  </si>
  <si>
    <t>NCT05265923</t>
  </si>
  <si>
    <t>A Study of CM310 in Patients With Moderate-to-Severe Atopic Dermatitis</t>
  </si>
  <si>
    <t>NCT05382559</t>
  </si>
  <si>
    <t>A Study of ASP3082 in Adults With Advanced Solid Tumors</t>
  </si>
  <si>
    <t>NCT05518123</t>
  </si>
  <si>
    <t>Efficacy and Tolerability of Rimegepant for the Prevention of Migraine in Adults With History of Inadequate Response to Oral Preventive Medications</t>
  </si>
  <si>
    <t>NCT05287113</t>
  </si>
  <si>
    <t>Study of Retinfanlimab in Combination With INCAGN02385 and INCAGN02390 as First-Line Treatment in Participants With PD-L1-Positive (CPS ≥ 1) Recurrent/Metastatic Squamous Cell Carcinoma of the Head and Neck</t>
  </si>
  <si>
    <t>NCT05489679</t>
  </si>
  <si>
    <t>A Study of AC682 In Chinese Patients With ER+/HER2- Locally Advanced or Metastatic Breast Cancer</t>
  </si>
  <si>
    <t>NCT05232279</t>
  </si>
  <si>
    <t>Effect of Testofen on Erectile Function in an Adult Male Population</t>
  </si>
  <si>
    <t>NCT05282446</t>
  </si>
  <si>
    <t>A Study to Explore the PK and PD of INV-202 in Metabolic Syndrome</t>
  </si>
  <si>
    <t>NCT05418673</t>
  </si>
  <si>
    <t>A Study to Assess if BIIB122 Tablets Are Safe and Can Slow Worsening of Early-Stage Parkinson's Disease in Participants With Specific LRRK2 Genetic Variants Between the Ages of 30 and 80 Using the Movement Disorder Society-Unified Parkinson's Disease Rating Scale</t>
  </si>
  <si>
    <t>NCT05357989</t>
  </si>
  <si>
    <t>A Double-blind Study to Investigate Efficacy and Safety of Buntanetap Compared With Placebo in Participants With Early PD</t>
  </si>
  <si>
    <t>NCT05580250</t>
  </si>
  <si>
    <t>A Study of LY3526318 in Healthy Male Japanese Participants</t>
  </si>
  <si>
    <t>NCT05620355</t>
  </si>
  <si>
    <t>Efficacy and Safety of BG2109 in Subjects With Heavy Menstrual Bleeding Associated With Uterine Fibroids.</t>
  </si>
  <si>
    <t>Bio Genuine (Shanghai) Biotech Co., Ltd.</t>
  </si>
  <si>
    <t>NCT05403385</t>
  </si>
  <si>
    <t>Study of Inupadenant (EOS100850) With Chemotherapy as Second Line Treatment for Nonsquamous Non-small Cell Lung Cancer</t>
  </si>
  <si>
    <t>NCT05215340</t>
  </si>
  <si>
    <t>Study of Dato-DXd Plus Pembrolizumab vs Pembrolizumab Alone in the First-line Treatment of Subjects With Advanced or Metastatic NSCLC Without Actionable Genomic Alterations</t>
  </si>
  <si>
    <t>NCT05525208</t>
  </si>
  <si>
    <t>Booster Study of COVID-19 Protein Subunit Recombinant Vaccine</t>
  </si>
  <si>
    <t>NCT05207176</t>
  </si>
  <si>
    <t>Study to Evaluate the Safety and PK Properties of DWP16001 in Healthy Subjects With Various Ethnicities</t>
  </si>
  <si>
    <t>NCT04644289</t>
  </si>
  <si>
    <t>WoO: Window of Opportunity Trial of Olaparib and Durvalumab in Histologically Proven EOC</t>
  </si>
  <si>
    <t>NCT05353010</t>
  </si>
  <si>
    <t>A Study to Evaluate Effect of IN-A001 on Pharmacokinetics of Tacrolimus in Healthy Volunteers</t>
  </si>
  <si>
    <t>NCT05445323</t>
  </si>
  <si>
    <t>Gene Therapy for Cardiomyopathy Associated With Friedreich's Ataxia</t>
  </si>
  <si>
    <t>Lexeo Therapeutics</t>
  </si>
  <si>
    <t>NCT05154240</t>
  </si>
  <si>
    <t>A Phase 1, Evaluate the Safety, Tolerability, and Pharmacokinetics of INS018_055 in Healthy Subjects</t>
  </si>
  <si>
    <t>InSilico Medicine Hong Kong Limited</t>
  </si>
  <si>
    <t>NCT04987489</t>
  </si>
  <si>
    <t>A Study of Etavopivat in Patients With Thalassemia or Sickle Cell Disease</t>
  </si>
  <si>
    <t>NCT05451602</t>
  </si>
  <si>
    <t>HEC169096 in Participants With Advanced Solid Tumors</t>
  </si>
  <si>
    <t>NCT05319431</t>
  </si>
  <si>
    <t>A Phase II Study of AK104 Plus Lenvatinib and TACE in HCC</t>
  </si>
  <si>
    <t>NCT05526222</t>
  </si>
  <si>
    <t>A Phase III Study of Jaktinib in Adults With Moderate and Severe Atopic Dermatitis</t>
  </si>
  <si>
    <t>NCT05236868</t>
  </si>
  <si>
    <t>A Study of JNJ-42847922 (Seltorexant) in Healthy Participants</t>
  </si>
  <si>
    <t>NCT05569148</t>
  </si>
  <si>
    <t>A Study in Patients With Neovascular Age-Related Macular Degeneration or Diabetic Macular Edema to Evaluate the Safety of the Faricimab Prefilled Syringe</t>
  </si>
  <si>
    <t>NCT05509543</t>
  </si>
  <si>
    <t>Study to Evaluate the Safety and the Pharmacokinetics of IY-NT-T</t>
  </si>
  <si>
    <t>NCT05198752</t>
  </si>
  <si>
    <t>A Study of Neoantigen mRNA Personalised Cancer in Patients With Advanced Solid Tumors</t>
  </si>
  <si>
    <t>NCT06563115</t>
  </si>
  <si>
    <t>Safety, Tolerability, Pharmacokinetics and Pharmacodynamics of (PEG)-BHD1028</t>
  </si>
  <si>
    <t>EncuraGen, Inc</t>
  </si>
  <si>
    <t>NCT05403749</t>
  </si>
  <si>
    <t>A Study of Longer Interval of IVT IBI302 in Subjects With nAMD</t>
  </si>
  <si>
    <t>NCT05302648</t>
  </si>
  <si>
    <t>To Evaluate the Safety and Efficacy of Human Derived Anti-BCMA CAR-T Injection for Subjects with R/R MM</t>
  </si>
  <si>
    <t>NCT05753878</t>
  </si>
  <si>
    <t>A Study to Evaluate the Safety and Pharmacokinetics of HH-120 Nasal Spray in Healthy Volunteers</t>
  </si>
  <si>
    <t>NCT05422378</t>
  </si>
  <si>
    <t>A Study to Evaluate Safety, Tolerability of Subcutaneous Injection in Adult Subjects Undergoing Abdominoplasty</t>
  </si>
  <si>
    <t>NCT05256290</t>
  </si>
  <si>
    <t>Phase 1/2 Study of Silevertinib (BDTX-1535) in Patients With Glioblastoma or Non-Small Cell Lung Cancer With EGFR Mutations</t>
  </si>
  <si>
    <t>Black Diamond Therapeutics, Inc.</t>
  </si>
  <si>
    <t>NCT05276310</t>
  </si>
  <si>
    <t>A Study of IMC-002 in Patients With Advanced Cancer Failed to Standard Therapy</t>
  </si>
  <si>
    <t>NCT05252390</t>
  </si>
  <si>
    <t>NUV-868 as Monotherapy and in Combination With Olaparib or Enzalutamide in Adult Patients With Advanced Solid Tumors</t>
  </si>
  <si>
    <t>NCT05410860</t>
  </si>
  <si>
    <t>Efficacy and Safety Study of Etripamil Nasal Spray Self-Administration for the Termination of Spontaneous Episodes of Paroxysmal Supraventricular Tachycardia</t>
  </si>
  <si>
    <t>NCT05462990</t>
  </si>
  <si>
    <t>A Proof-of-concept Study to Examine QUC398 in Participants With Knee OA</t>
  </si>
  <si>
    <t>NCT05362110</t>
  </si>
  <si>
    <t>A Study to Evaluate Efficacy and Safety of HCP1803 in Patients With Essential Hypertension</t>
  </si>
  <si>
    <t>NCT05635643</t>
  </si>
  <si>
    <t>Study of CHS-114 in Participants With Advanced Solid Tumors</t>
  </si>
  <si>
    <t>NCT05864105</t>
  </si>
  <si>
    <t>PM8002 in Combination With Chemotherapy as First Line Therapy in Hepatocellular Carcinoma</t>
  </si>
  <si>
    <t>NCT05439824</t>
  </si>
  <si>
    <t>A Study of SARS-CoV-2 mRNA Vaccine (SYS6006) in Chinese Healthy Participants Aged 18 Years or More</t>
  </si>
  <si>
    <t>NCT05328583</t>
  </si>
  <si>
    <t>A Study to Evaluate the Safety, Tolerability, and Pharmacokinetics of Oral HRS5685 in Healthy Subjects</t>
  </si>
  <si>
    <t>RetroLead (Shanghai) BioPharma Co., Ltd.</t>
  </si>
  <si>
    <t>NCT05057494</t>
  </si>
  <si>
    <t>A Study of Acalabrutinib Plus Venetoclax Versus Venetoclax Plus Obinutuzumab in Previously Untreated Chronic Lymphocytic Leukemia or Small Lymphocytic Lymphoma</t>
  </si>
  <si>
    <t>NCT05157841</t>
  </si>
  <si>
    <t>Phase 3, Sciatic Nerve Block With EXPAREL for Subjects Undergoing Bunionectomy</t>
  </si>
  <si>
    <t>NCT03994471</t>
  </si>
  <si>
    <t>Efficacy and Safety of XyloCore Peritoneal Dialysis Solution.</t>
  </si>
  <si>
    <t>Iperboreal Pharma Srl</t>
  </si>
  <si>
    <t>NCT05431634</t>
  </si>
  <si>
    <t>Multiple Dose Study to Determine Safety and Tolerability of ESK-001 in Healthy Participants</t>
  </si>
  <si>
    <t>NCT05613387</t>
  </si>
  <si>
    <t>A Research Study Looking at the Safety of Multiple Doses of ZP8396 and How it Works in the Body of Healthy Participants</t>
  </si>
  <si>
    <t>NCT05516316</t>
  </si>
  <si>
    <t>Clinical Trial Comparing the Pharmacological Effects of EP395 With Placebo in Healthy Adults</t>
  </si>
  <si>
    <t>NCT05352828</t>
  </si>
  <si>
    <t>Autologous CD30.CAR-T in Combination With Nivolumab in cHL Patients After Failure of Frontline Therapy</t>
  </si>
  <si>
    <t>NCT05407311</t>
  </si>
  <si>
    <t>64Cu-SAR-BBN for Identification of Participants With Recurrence of Prostate Cancer (SABRE)</t>
  </si>
  <si>
    <t>NCT05655221</t>
  </si>
  <si>
    <t>A Trial to Evaluate the Safety Tolerability and Pharmacokinetics of B1344 by Subcutaneous Injection in Healthy Subjects</t>
  </si>
  <si>
    <t>Tasly Biopharmaceuticals Co., Ltd.</t>
  </si>
  <si>
    <t>NCT05252416</t>
  </si>
  <si>
    <t>(VELA) Study of BLU-222 in Advanced Solid Tumors</t>
  </si>
  <si>
    <t>NCT05235516</t>
  </si>
  <si>
    <t>A Study of AK104/Placebo Combined With Chemoradiotherapy For The Treatment of Locally Advanced Cervical Cancer</t>
  </si>
  <si>
    <t>NCT05341557</t>
  </si>
  <si>
    <t>A Phase 1 Study of BPI-371153 in Subjects with Advanced Solid Tumors or Relapsed/Refractory Lymphoma</t>
  </si>
  <si>
    <t>NCT05365581</t>
  </si>
  <si>
    <t>A Study of ASP2138 Given by Itself or Given With Other Cancer Treatments in Adults With Stomach Cancer, Gastroesophageal Junction Cancer, or Pancreatic Cancer</t>
  </si>
  <si>
    <t>NCT04831281</t>
  </si>
  <si>
    <t>ATH-1017 Treatment in Subjects With Parkinson's Disease Dementia or Dementia With Lewy Bodies (SHAPE Trial)</t>
  </si>
  <si>
    <t>NCT05206357</t>
  </si>
  <si>
    <t>Study of the Adverse Events and Change in Disease State of Pediatric Participants (and Young Adults Between the Ages of 18-25) With Relapsed/Refractory Aggressive Mature B-cell Neoplasms Receiving Subcutaneous (SC) Injections of Epcoritamab</t>
  </si>
  <si>
    <t>NCT05578092</t>
  </si>
  <si>
    <t>A Phase 1 Study of MRTX0902 in Solid Tumors With Mutations in the KRAS MAPK Pathway</t>
  </si>
  <si>
    <t>NCT06218784</t>
  </si>
  <si>
    <t>A MAD Study to Evaluate the Safety, Tolerability and PK/PD of iN1011-N17 in Healthy Volunteers and PHN Patients.</t>
  </si>
  <si>
    <t>NCT05319587</t>
  </si>
  <si>
    <t>Study of Liposomal Annamycin in Combination With Cytarabine for the Treatment of Subjects With Acute Myeloid Leukemia (AML)</t>
  </si>
  <si>
    <t>NCT05918133</t>
  </si>
  <si>
    <t>A Study of PM8002 Plus Nab-paclitaxel as First Line Therapy for TNBC</t>
  </si>
  <si>
    <t>NCT05073458</t>
  </si>
  <si>
    <t>Study of the Efficacy and Safety of Parsaclisib in Participants With Primary Warm Autoimmune Hemolytic Anemia</t>
  </si>
  <si>
    <t>NCT05018598</t>
  </si>
  <si>
    <t>Step-up to Medium Strength Triple Therapy vs High Strength ICS/LABA in Adult Asthmatics Uncontrolled on Medium Strength ICS/LABA</t>
  </si>
  <si>
    <t>NCT05588843</t>
  </si>
  <si>
    <t>Dose-finding Study of SAR443122 in Adult Participants With Ulcerative Colitis</t>
  </si>
  <si>
    <t>NCT05311215</t>
  </si>
  <si>
    <t>Phase II Study to Assess Safety, Pharmacokinetics and Efficacy of SL-1002 for Limb Spasticity</t>
  </si>
  <si>
    <t>NCT05798715</t>
  </si>
  <si>
    <t>Bioequivalence Study of of Metformin HCl From Gleptomet 50/1000 mg F.C.Tablets (EVA Pharma, Egypt) and Janumet 50/1000 mg F.C.Tablets (Merck Sharp &amp; Dohme, The Netherlands)</t>
  </si>
  <si>
    <t>NCT05334108</t>
  </si>
  <si>
    <t>Drug-Drug Interaction Study to Evaluate the Effects of Ecopipam on the Pharmacokinetics of Multiple Substrates for Drug Metabolism and Transport</t>
  </si>
  <si>
    <t>NCT05181540</t>
  </si>
  <si>
    <t>A Study of the Effects of AB-205 in Patients With Lymphoma Undergoing Autologous Hematopoietic Cell Transplantation</t>
  </si>
  <si>
    <t>Angiocrine Bioscience</t>
  </si>
  <si>
    <t>NCT05515289</t>
  </si>
  <si>
    <t>Study of SHR6390 in Renal Insufficiency and Healthy Subjects</t>
  </si>
  <si>
    <t>NCT05214768</t>
  </si>
  <si>
    <t>A Study to Evaluate the Efficacy and Safety of CC-93538 in Adult and Adolescent Japanese Participants With Eosinophilic Gastroenteritis</t>
  </si>
  <si>
    <t>NCT05574010</t>
  </si>
  <si>
    <t>A Study of Safety, Tolerability, Pharmacodynamics, and Pharmacokinetics of KAN-101 in Celiac Disease (ACeD-it)</t>
  </si>
  <si>
    <t>NCT05555446</t>
  </si>
  <si>
    <t>Bovine Colostrum to Prevent Absorption of Gluten</t>
  </si>
  <si>
    <t>Milky Way Life Sciences LLC</t>
  </si>
  <si>
    <t>NCT05588908</t>
  </si>
  <si>
    <t>A Phase Ib/II Study of Recombinant Anti-IL-1β Humanized Monoclonal Antibody Injection in Chinese Participants With Acute Gout</t>
  </si>
  <si>
    <t>NCT05509790</t>
  </si>
  <si>
    <t>A Study of LY3484356 in Chinese Participants With Advanced Breast Cancer</t>
  </si>
  <si>
    <t>NCT05065710</t>
  </si>
  <si>
    <t>A Study of ZL-1211 in Patients With Advanced Solid Tumor</t>
  </si>
  <si>
    <t>Zai Biopharmaceutical (Suzhou) Co., Ltd.</t>
  </si>
  <si>
    <t>NCT05549323</t>
  </si>
  <si>
    <t>A Study to Learn About the Safety, Effects and Pharmacokinetics of Study Medication (PF-07054894) for the Treatment of Ulcerative Colitis</t>
  </si>
  <si>
    <t>NCT06294288</t>
  </si>
  <si>
    <t>A Study of Single and Multiple Doses of LP-003 in Healthy Adult Participants</t>
  </si>
  <si>
    <t>NCT05301842</t>
  </si>
  <si>
    <t>Evaluate Durvalumab and Tremelimumab +/- Lenvatinib in Combination With TACE in Patients With Locoregional HCC</t>
  </si>
  <si>
    <t>NCT05551897</t>
  </si>
  <si>
    <t>A Study to Assess the Pharmacokinetics of Camizestrant (AZD9833) When Administered Alone and in Combination With Itraconazole</t>
  </si>
  <si>
    <t>NCT05514496</t>
  </si>
  <si>
    <t>A Study of NX-019 in Patients with Advanced, Epidermal Growth Factor Receptor (EGFR) Mutant Cancer</t>
  </si>
  <si>
    <t>Nalo Therapeutics Inc.</t>
  </si>
  <si>
    <t>NCT06803290</t>
  </si>
  <si>
    <t>Food Effect Study of VHX-896 in Healthy Volunteers</t>
  </si>
  <si>
    <t>NCT05523297</t>
  </si>
  <si>
    <t>Active-control Randomized Trial Comparing 4-factor Prothrombin Complex Concentrate With Frozen Plasma in Cardiac Surgery</t>
  </si>
  <si>
    <t>NCT05347979</t>
  </si>
  <si>
    <t>Effect of Relacorilant on the Pharmacokinetics of the Sensitive P-glycoprotein Substrate Dabigatran Etexilate in Healthy Participants</t>
  </si>
  <si>
    <t>NCT05292196</t>
  </si>
  <si>
    <t>A Phase II Clinical Trial of TQC3721 Suspension for Inhalation</t>
  </si>
  <si>
    <t>NCT05506176</t>
  </si>
  <si>
    <t>A Clinical Study to Evaluate the Efficacy and Safety of SIM0417 Orally Co-Administered With Ritonavir in Symptomatic Adult Participants With Mild to Moderate COVID-19</t>
  </si>
  <si>
    <t>NCT05769920</t>
  </si>
  <si>
    <t>Dose Escalation TTHX1114 Ophthalmic Solution</t>
  </si>
  <si>
    <t>NCT05427162</t>
  </si>
  <si>
    <t>A Study of Single and Multiple Doses of Different Formulations of a Prostacyclin Receptor Agonist</t>
  </si>
  <si>
    <t>NCT05399459</t>
  </si>
  <si>
    <t>Efficacy and Safety Study of Rimegepant for the Acute Treatment of Migraine in Japanese Subjects (Japan Only)</t>
  </si>
  <si>
    <t>NCT05127759</t>
  </si>
  <si>
    <t>The Efficacy and Safety of HLX208 in Metastatic Colorectal Cancer (mCRC) With BRAF V600E Mutation</t>
  </si>
  <si>
    <t>NCT06481189</t>
  </si>
  <si>
    <t>A Safety, Pharmacokinetics and Pharmacodynamics Study of GNR-086 and Ilaris® in Healthy Volunteers</t>
  </si>
  <si>
    <t>NCT05433480</t>
  </si>
  <si>
    <t>A Study of BPI-16350 in Combination With Fulvestrant in Patients With HR+ and HER2- Locally Advanced, Recurrent or Metastatic Breast Cancer</t>
  </si>
  <si>
    <t>NCT05116085</t>
  </si>
  <si>
    <t>Efficacy and Safety of Tislelizumab (BGB-A317) as Neo-Adjuvant Treatment in Participants With Colorectal Cancer</t>
  </si>
  <si>
    <t>NCT05406440</t>
  </si>
  <si>
    <t>A Study of Elpipodect (MK-8189) in Participants With Schizophrenia (MK-8189-014)</t>
  </si>
  <si>
    <t>NCT05422508</t>
  </si>
  <si>
    <t>Evaluate the Safety and Immunogenicity After MG1111(BARICELA Inj.) as 2nd Vaccination in 4 ~ 6 Year Old Healthy Children With a History of 1st Varicella Vaccination</t>
  </si>
  <si>
    <t>NCT06266923</t>
  </si>
  <si>
    <t>A Clinical Study of SPH6516 Tablets in the Treatment of Advanced Solid Tumors.</t>
  </si>
  <si>
    <t>NCT05284617</t>
  </si>
  <si>
    <t>Exploratory Ph 2A, Double-Blind, Placebo-Controlled Dose Escalation Study of Safety, Tolerability, PD, &amp; PK of HU6 for Subjects With Obese HFpEF</t>
  </si>
  <si>
    <t>NCT04953910</t>
  </si>
  <si>
    <t>Study to Evaluate the Pharmacokinetics and Safety of Oral Decitabine and Cedazuridine in Cancer Patients With Hepatic Impairment</t>
  </si>
  <si>
    <t>NCT05114759</t>
  </si>
  <si>
    <t>A Phase I Clinical Study of SHR-A2009 for Injection in Patients With Advanced Solid Tumors</t>
  </si>
  <si>
    <t>NCT05105035</t>
  </si>
  <si>
    <t>Oral ARV-1801 Given in Combination With Intravenous Ceftazidime or Meropenem for Treatment of Melioidosis in Hospitalized Patients</t>
  </si>
  <si>
    <t>Arrevus Inc.</t>
  </si>
  <si>
    <t>NCT05296525</t>
  </si>
  <si>
    <t>Evaluation of Safety and Efficacy of Allo GDA-201 Natural Killer (NK) Cells in Patients With Relapsed/Refractory B Cell NHL</t>
  </si>
  <si>
    <t>NCT05535959</t>
  </si>
  <si>
    <t>A Study to Evaluate the Relative Bioavailability of a Fixed-dose Combination Tablet of VX-121/Tezacaftor/Deutivacaftor</t>
  </si>
  <si>
    <t>NCT05440643</t>
  </si>
  <si>
    <t>Peanut Sublingual Immunotherapy (SLIT)-Tablet for Treatment of Peanut Allergy</t>
  </si>
  <si>
    <t>NCT05607615</t>
  </si>
  <si>
    <t>A 6-Month Study to Evaluate the Safety &amp; Potential Efficacy of Trappsol Cyclo in Patients With Early Alzheimer's Disease</t>
  </si>
  <si>
    <t>NCT05666635</t>
  </si>
  <si>
    <t>Study of LTC004 in Subjects With Advanced Malignant Tumors</t>
  </si>
  <si>
    <t>Letolab</t>
  </si>
  <si>
    <t>NCT05309135</t>
  </si>
  <si>
    <t>A Safety and Efficacy Study of Corneal Injection for Endothelial Dysfunction Using Human Corneal Endothelial Cell Therapy in Subjects With Corneal Edema Secondary to Endothelial Dysfunction</t>
  </si>
  <si>
    <t>Aurion Biotech</t>
  </si>
  <si>
    <t>NCT05596747</t>
  </si>
  <si>
    <t>A Study of LY3209590 in Chinese Participants With Type 2 Diabetes Mellitus</t>
  </si>
  <si>
    <t>NCT05896748</t>
  </si>
  <si>
    <t>Study to Assess the Effects of Cabotegravir (CAB) and Rilpivirine (RPV) Long-Acting (LA) Injections Following Sub-cutaneous (SC) Administration Compared With Intramuscular (IM) Administration in Adult Participants Living With Human Immunodeficiency Virus (HIV-1) Infection in the FLAIR Study</t>
  </si>
  <si>
    <t>NCT05399485</t>
  </si>
  <si>
    <t>Efficacy and Safety Study of Rimegepant for Migraine Prevention in Japanese Subjects (Japan Only)</t>
  </si>
  <si>
    <t>NCT05467943</t>
  </si>
  <si>
    <t>Tazemetostat for the Treatment of Relapsed/Refractory Follicular Lymphoma</t>
  </si>
  <si>
    <t>NCT05374525</t>
  </si>
  <si>
    <t>A Study Evaluating Implementation Strategies for the Delivery of Cabotegravir in Low and High-Volume PrEP Site in the United States</t>
  </si>
  <si>
    <t>NCT04600752</t>
  </si>
  <si>
    <t>Study to Evaluate the Safety and Clinical Efficacy of Augmentin® Extra Strength-600 in Children With Acute Otitis Media in India</t>
  </si>
  <si>
    <t>NCT05181852</t>
  </si>
  <si>
    <t>Study to Investigate the Pharmacodynamic Effects of IP2015 in Healthy Male Subjects Using the Intradermal Capsaicin Model</t>
  </si>
  <si>
    <t>NCT05163847</t>
  </si>
  <si>
    <t>Safety and Immunogenicity of Cam2020 M2SR H3N2 Monovalent Influenza Vaccine Alone or With Licensed IIV in Older Adults</t>
  </si>
  <si>
    <t>NCT05384626</t>
  </si>
  <si>
    <t>A Study of Neladalkib (NVL-655) in Patients With Advanced NSCLC and Other Solid Tumors Harboring ALK Rearrangement or Activating ALK Mutation (ALKOVE-1)</t>
  </si>
  <si>
    <t>NCT05583526</t>
  </si>
  <si>
    <t>A 52-Week Study of Ritlecitinib Oral Capsules in Adults and Adolescents With Nonsegmental Vitiligo (Active and Stable) Tranquillo</t>
  </si>
  <si>
    <t>NCT05126433</t>
  </si>
  <si>
    <t>Lurbinectedin Monotherapy in Participants With Advanced or Metastatic Solid Tumors</t>
  </si>
  <si>
    <t>NCT05276726</t>
  </si>
  <si>
    <t>A Study of JAB-21822 in Advanced or Metastatic NSCLC With KRAS p.G12C and STK11 Co-mutation and Wild-type KEAP1</t>
  </si>
  <si>
    <t>NCT05348785</t>
  </si>
  <si>
    <t>A Study to Learn About the Safety of BIIB122 Tablets and Whether They Can Slow the Worsening of Early-Stage Parkinson's Disease in Adults Between the Ages of 30 and 80</t>
  </si>
  <si>
    <t>NCT05538585</t>
  </si>
  <si>
    <t>A Study to Assess How Food Affects the Safety and Pharmacokinetics of Galicaftor and Navocaftor</t>
  </si>
  <si>
    <t>NCT05637255</t>
  </si>
  <si>
    <t>A Randomized, Double Masked, Parallel Group, Dose-finding Study to Evaluate SYL1801 in Patients With Neovascular Age-related Macular Degeneration (AMD)</t>
  </si>
  <si>
    <t>NCT05141721</t>
  </si>
  <si>
    <t>A Study of a Patient-Specific Neoantigen Vaccine in Combination With Immune Checkpoint Blockade for Patients With Metastatic Colorectal Cancer</t>
  </si>
  <si>
    <t>Seattle Project Corporation</t>
  </si>
  <si>
    <t>NCT05633433</t>
  </si>
  <si>
    <t>Evaluate the Efficacy and Safety of Azvudine in Preventing SARS-Cov-2 Infection in Household Contacts of Covid-19</t>
  </si>
  <si>
    <t>NCT05496738</t>
  </si>
  <si>
    <t>A Preliminary Study to Evaluate PF-07264660 in Healthy Participants</t>
  </si>
  <si>
    <t>NCT05362058</t>
  </si>
  <si>
    <t>A Study of Insulin Efsitora Alfa (LY3209590) Compared to Degludec in Adults With Type 2 Diabetes Who Are Starting Basal Insulin for the First Time</t>
  </si>
  <si>
    <t>NCT05511844</t>
  </si>
  <si>
    <t>Study of ORM-5029 in Subjects With HER2-Expressing Advanced Solid Tumors</t>
  </si>
  <si>
    <t>Orum Therapeutics USA, Inc.</t>
  </si>
  <si>
    <t>NCT04968938</t>
  </si>
  <si>
    <t>Study of Safety and Effects of MDMA-assisted Therapy for Treatment of PTSD</t>
  </si>
  <si>
    <t>NCT05878561</t>
  </si>
  <si>
    <t>A Study to Evaluate the Efficacy and Safety of BR1015 Combination Therapy</t>
  </si>
  <si>
    <t>NCT05813496</t>
  </si>
  <si>
    <t>Phase IV Trial to Evaluate Efficacy of Alpha-Lipoic Acid in Treating Symptomatic Diabetic Polyneuropathy in Egypt</t>
  </si>
  <si>
    <t>Eva Pharma</t>
  </si>
  <si>
    <t>NCT05916573</t>
  </si>
  <si>
    <t>A Study to Evaluate the Pharmacokinetics of HSK16149 in Subjects With Renal Impairment</t>
  </si>
  <si>
    <t>NCT05769660</t>
  </si>
  <si>
    <t>A Study to Evaluate Safety and Efficacy of BEY1107 in Combination with Temozolomide in Patients with Recurrent or Progressive Glioblastoma Multiforme (GBM)</t>
  </si>
  <si>
    <t>NCT05234580</t>
  </si>
  <si>
    <t>Safety and Efficacy Study of PA9159 Nasal Spray for the Treatment of Seasonal Allergic Rhinitis</t>
  </si>
  <si>
    <t>NCT05469646</t>
  </si>
  <si>
    <t>A Study in Healthy Men to Test How Well Different Doses of BI 1819479 Are Tolerated</t>
  </si>
  <si>
    <t>NCT05155254</t>
  </si>
  <si>
    <t>IO102-IO103 in Combination With Pembrolizumab Versus Pembrolizumab Alone in Advanced Melanoma (IOB-013 / KN-D18)</t>
  </si>
  <si>
    <t>IO Biotech</t>
  </si>
  <si>
    <t>NCT05579366</t>
  </si>
  <si>
    <t>Rinatabart Sesutecan (Rina-S, PRO1184, GEN1184) for Advanced Solid Tumors (GCT1184-01/ PRO1184-001)</t>
  </si>
  <si>
    <t>NCT05583669</t>
  </si>
  <si>
    <t>A Study to Assess the Safety and Pharmacokinetics of Multiple Ascending Subcutaneous Doses of DS-2325a in Healthy Subjects</t>
  </si>
  <si>
    <t>NCT05860582</t>
  </si>
  <si>
    <t>A Study of [14C]GB491 in Male Healthy Subjects</t>
  </si>
  <si>
    <t>NCT04305327</t>
  </si>
  <si>
    <t>Efficacy and Safety of Brodalumab in Adolescents From 12 to 17 Years of Age With Moderate-to-severe Plaque Psoriasis</t>
  </si>
  <si>
    <t>NCT05375461</t>
  </si>
  <si>
    <t>TQB3616 Capsules Plus Fulvestrant Compared to Placebo Plus Fulvestrant in Previously Treated Breast Cancer in Clinical Trail</t>
  </si>
  <si>
    <t>NCT05260541</t>
  </si>
  <si>
    <t>A Clinical Trial of PRAX-114 in Participants With Post-Traumatic Stress Disorder</t>
  </si>
  <si>
    <t>NCT07189962</t>
  </si>
  <si>
    <t>A Pharmacokinetic Study of SHR8554 Injection in the Population With Renal Insufficiency and Healthy Participants</t>
  </si>
  <si>
    <t>NCT06847854</t>
  </si>
  <si>
    <t>A Study to Investigate the Safety, Tolerability, Pharmacokinetics (PK) and Pharmacodynamics (PD) of RO7497372 in Participants With Diabetic Macular Edema (DME)</t>
  </si>
  <si>
    <t>NCT05163223</t>
  </si>
  <si>
    <t>Therapeutic Cancer Vaccine (AST-301, pNGVL3-hICD) in Patients With Breast Cancer</t>
  </si>
  <si>
    <t>NCT05206370</t>
  </si>
  <si>
    <t>A Second Study of Cytisinicline for Smoking Cessation in Adult Smokers</t>
  </si>
  <si>
    <t>NCT05526586</t>
  </si>
  <si>
    <t>A Twelve Week Study of Prototypes Mouth Rinses</t>
  </si>
  <si>
    <t>NCT05371275</t>
  </si>
  <si>
    <t>Phase II Safety Single-arm Study of CDK4/6 Inhibition With Palbociclib in Hospitalized, Moderate COVID-19 Cases to Prevent Thromboinflammation</t>
  </si>
  <si>
    <t>biotx.ai GmbH</t>
  </si>
  <si>
    <t>NCT05311475</t>
  </si>
  <si>
    <t>Prospective, Randomized, Multinational, Multicenter, Double-blind, Placebo and Active Controlled Trial in 4 Parallel-groups of Patients Suffering From Seasonal Allergic Rhinitis</t>
  </si>
  <si>
    <t>NCT05155332</t>
  </si>
  <si>
    <t>A Study to Test Different Doses of BI 1831169 Alone and in Combination With an Anti-PD-1 Antibody in People With Different Types of Advanced Cancer (Solid Tumors)</t>
  </si>
  <si>
    <t>NCT05369975</t>
  </si>
  <si>
    <t>Efficacy and Safety in Imlifidase Desensitized Kidney Tx Patients, Including Two Non-Comparative Reference Cohorts</t>
  </si>
  <si>
    <t>NCT05517564</t>
  </si>
  <si>
    <t>First-in-Human Study of GM-60106 in Healthy Adults and Otherwise Healthy Adults With an Increased Body Mass Index and Markers of Non-Alcoholic Fatty Liver Disease</t>
  </si>
  <si>
    <t>JD Bioscience Inc.</t>
  </si>
  <si>
    <t>NCT05166109</t>
  </si>
  <si>
    <t>A Study to Assess Vamorolone in Becker Muscular Dystrophy (BMD)</t>
  </si>
  <si>
    <t>NCT05332834</t>
  </si>
  <si>
    <t>A Phase 1 Study of Single and Multiple Intravenous Doses of SM17 in Healthy Subjects</t>
  </si>
  <si>
    <t>SinoMab BioScience Ltd</t>
  </si>
  <si>
    <t>NCT05446688</t>
  </si>
  <si>
    <t>A Clinical Study of 6MW3211 Injection in the Treatment of Relapsed/Refractory Lymphoma</t>
  </si>
  <si>
    <t>NCT05090657</t>
  </si>
  <si>
    <t>Nasal Photodisinfection in All Patients Presenting for Surgery for a Wide Range of Surgical Procedures</t>
  </si>
  <si>
    <t>Ondine Biomedical Inc.</t>
  </si>
  <si>
    <t>NCT05243719</t>
  </si>
  <si>
    <t>Open-label Extension Study of ADP101</t>
  </si>
  <si>
    <t>NCT05271292</t>
  </si>
  <si>
    <t>Chiauranib for Advanced Solid Malignant Tumors and Relapsed/Refractory SCLC.</t>
  </si>
  <si>
    <t>NCT05347693</t>
  </si>
  <si>
    <t>Continuing Sodium Zirconium Cyclosilicate (SZC) After Discharge Study</t>
  </si>
  <si>
    <t>NCT05402111</t>
  </si>
  <si>
    <t>A Clinical Study That Will Assess How Food Moves Through the Stomach and Effects Blood Glucose Levels in Subjects With Schizophrenia Taking SEP-363856 or and Prior Antipsychotic (PA) Standard</t>
  </si>
  <si>
    <t>NCT05372809</t>
  </si>
  <si>
    <t>Multi-Center, Prospective, Randomized Controlled Trial Evaluating SkinTE® in the Treatment of Wagner 2 DFUs</t>
  </si>
  <si>
    <t>PolarityTE</t>
  </si>
  <si>
    <t>NCT05160558</t>
  </si>
  <si>
    <t>A Pharmacokinetics and Safety Study of BIIB132 in Adults With Spinocerebellar Ataxia 3</t>
  </si>
  <si>
    <t>NCT05119855</t>
  </si>
  <si>
    <t>Safety and Immunogenicity of 9-valent Human Papillomavirus (9vHPV) Vaccine Coadministered With Messenger Ribonucleic Acid (mRNA)-1273 Severe Acute Respiratory Syndrome Coronavirus 2 (SARS-CoV-2) (COVID-19) Vaccine (V503-076)</t>
  </si>
  <si>
    <t>NCT05607589</t>
  </si>
  <si>
    <t>The Safety, Tolerability, PK, and PD of DWP213388 After SAD and MAD Administration in Healthy Adult Subjects</t>
  </si>
  <si>
    <t>NCT05552326</t>
  </si>
  <si>
    <t>A Study of Olezarsen Administered Subcutaneously to Participants With Severe Hypertriglyceridemia</t>
  </si>
  <si>
    <t>NCT05373485</t>
  </si>
  <si>
    <t>Phase I Clinical Trial of COVID-19 mRNA Vaccine in Adults Aged 18 Years and Older</t>
  </si>
  <si>
    <t>NCT05442047</t>
  </si>
  <si>
    <t>A Research Study to Look at How a New Medicine Called NNC6019-0001 Works and How Safe it is for People Who Have Heart Disease Due to Transthyretin (TTR) Amyloidosis</t>
  </si>
  <si>
    <t>NCT05201248</t>
  </si>
  <si>
    <t>A Study to Evaluate Adverse Events and Change in Disease Activity of Subcutaneous (SC) Epcoritamab As Monotherapy or Combined With Standard of Care Therapies in Adult Participants in China With B-Cell Non-Hodgkin Lymphoma</t>
  </si>
  <si>
    <t>NCT05163808</t>
  </si>
  <si>
    <t>A Randomized Study of BPN14770 in Male Adolescents (Aged 9 to &lt; 18 Years) With Fragile X Syndrome</t>
  </si>
  <si>
    <t>NCT05377255</t>
  </si>
  <si>
    <t>Pharmacokinetics (PK) and Safety of Multiple Doses of Intranasal Naloxone in Healthy Adults</t>
  </si>
  <si>
    <t>NCT05650385</t>
  </si>
  <si>
    <t>A Study of B1962, a PD-L1/VEGF Bispecific Antibody Fusion Protein, for Advanced Solid Tumors</t>
  </si>
  <si>
    <t>NCT05608876</t>
  </si>
  <si>
    <t>A Clinical Study to Investigate the Efficacy of Tigilanol Tiglate Directly in Head and Neck Cancer</t>
  </si>
  <si>
    <t>NCT05163717</t>
  </si>
  <si>
    <t>INP105 Proof-of-concept Study for the Acute Treatment of Agitation in Adolescents and Young Adults With ASD</t>
  </si>
  <si>
    <t>Impel Pharmaceuticals</t>
  </si>
  <si>
    <t>NCT04898348</t>
  </si>
  <si>
    <t>A Study to Investigate Efficacy and Safety of KBL697 in Patients With Mild to Moderate Active Ulcerative Colitis</t>
  </si>
  <si>
    <t>NCT04680676</t>
  </si>
  <si>
    <t>A Study to Test Different Doses of BI 730357 and Find Out Whether They Reduce Symptoms in People With Active Psoriatic Arthritis</t>
  </si>
  <si>
    <t>NCT05370040</t>
  </si>
  <si>
    <t>THEMBA II T-Cell Vaccine: Vaccination With saRNA COVID-19 Vaccines</t>
  </si>
  <si>
    <t>NCT04835168</t>
  </si>
  <si>
    <t>Safety and Pharmacokinetics of Orodispersible BT-11 in Active Eosinophilic Esophagitis</t>
  </si>
  <si>
    <t>NCT05227690</t>
  </si>
  <si>
    <t>A Trial of 10 and 30 mg Doses of CVL-231 (Emraclidine) in Participants With Schizophrenia</t>
  </si>
  <si>
    <t>NCT05758610</t>
  </si>
  <si>
    <t>A Phase I Study of Euthare-155008(ETH-155008) in AML and NHL Patients</t>
  </si>
  <si>
    <t>Shengke Pharmaceuticals (Jiangsu) Limited, China</t>
  </si>
  <si>
    <t>NCT05192512</t>
  </si>
  <si>
    <t>Clinical Trial of the TQB2928 Injection in Patients With Advanced Cancers</t>
  </si>
  <si>
    <t>NCT05202912</t>
  </si>
  <si>
    <t>Food Effect Study of IDX-1197 in Healthy Subjects</t>
  </si>
  <si>
    <t>NCT05451199</t>
  </si>
  <si>
    <t>A Clinical Study of ICP-488 in Healthy Subjects and Patients With Psoriasis</t>
  </si>
  <si>
    <t>NCT07001501</t>
  </si>
  <si>
    <t>A Clinical Study of the Interactions Between Azvudine Tablets (FNC) and Itraconazole Capsules (ICZ)</t>
  </si>
  <si>
    <t>NCT05219812</t>
  </si>
  <si>
    <t>A Study to Learn How Safe BAY2395840 is and How Well it Works in Participants Who Have Diabetic Nerve Pain</t>
  </si>
  <si>
    <t>NCT05481736</t>
  </si>
  <si>
    <t>Efficacy and Safety of COMP360 Psilocybin Therapy in Anorexia Nervosa: a Proof-of-concept Study</t>
  </si>
  <si>
    <t>NCT05434156</t>
  </si>
  <si>
    <t>ELE-101 Safety &amp; Tolerability Study in Healthy Participants and Patients With Depression</t>
  </si>
  <si>
    <t>Eleusis Therapeutics</t>
  </si>
  <si>
    <t>NCT05405439</t>
  </si>
  <si>
    <t>To Evaluate the Efficacy of TQB3823 Combined With Abiraterone and Prednisone in Metastatic Castration-resistant Prostate Cancer Patientsprednisone Acetate Tablets in Patients With Metastatic Castration-resistant Prostate Cancer</t>
  </si>
  <si>
    <t>NCT05146219</t>
  </si>
  <si>
    <t>Study of TY-9591 in Patients With a Lung Cancer With Brain or Leptomeningeal Metastases With EGFR Mutation</t>
  </si>
  <si>
    <t>NCT05254236</t>
  </si>
  <si>
    <t>Immunogenicity and Safety Study of the 3rd Booster Dose Using the High or Medium Dose of Inactivated Vaccine in Healthy Adults in in Hong Kong</t>
  </si>
  <si>
    <t>NCT05382819</t>
  </si>
  <si>
    <t>A Safety, Tolerability and Preliminary Efficacy Study of FRTX-02 Capsules in Healthy Subjects and Subjects With Atopic Dermatitis</t>
  </si>
  <si>
    <t>Fresh Tracks Therapeutics, Inc.</t>
  </si>
  <si>
    <t>NCT05100628</t>
  </si>
  <si>
    <t>A Study of NOX66 Plus Doxorubicin in Anthracycline-naïve, Adult Patients With Soft Tissue Sarcoma</t>
  </si>
  <si>
    <t>NCT05309512</t>
  </si>
  <si>
    <t>Clinical Study of KN052 in Chinese Subjects With Advanced Solid Tumors</t>
  </si>
  <si>
    <t>NCT05124275</t>
  </si>
  <si>
    <t>Safety and Efficacy of Pilocarpine Ophthalmic Topical Cream for the Treatment of Presbyopia</t>
  </si>
  <si>
    <t>NCT04634357</t>
  </si>
  <si>
    <t>ET140203 T Cells in Pediatric Subjects With Hepatoblastoma, HCN-NOS, or Hepatocellular Carcinoma</t>
  </si>
  <si>
    <t>NCT05570539</t>
  </si>
  <si>
    <t>Assessment of the Pharmacokinetics of BLU-5937 Extended Release Prototypes and a BLU-5937 Immediate Release Reference Formulation</t>
  </si>
  <si>
    <t>NCT05243628</t>
  </si>
  <si>
    <t>Afrezza With Basal Combination (ABC): Afrezza® Combined With AID Pump or Insulin Degludec in Adults With Type 1 Diabetes</t>
  </si>
  <si>
    <t>NCT05394857</t>
  </si>
  <si>
    <t>Efficacy and Safety of SHR-1314 by Subcutaneous Injection in Active Moderate to Severe Graves' Orbitopathy Patients</t>
  </si>
  <si>
    <t>NCT05341609</t>
  </si>
  <si>
    <t>Efficacy and Safety of JT001 (VV116) Compared With Paxlovid</t>
  </si>
  <si>
    <t>NCT05216367</t>
  </si>
  <si>
    <t>Fruquintinib Hepatic Impairment Study</t>
  </si>
  <si>
    <t>NCT05189288</t>
  </si>
  <si>
    <t>Clinical Study to Evaluate the Pharmacokinetics, Safety and Tolerability of CKD-388(2) in Healthy Subjects</t>
  </si>
  <si>
    <t>NCT05546580</t>
  </si>
  <si>
    <t>Study of Iadademstat and Gilteritinib in Patients With R/R AML With FMS-like Tyrosine Kinase Mutation (FLT3 Mut+)</t>
  </si>
  <si>
    <t>NCT05604261</t>
  </si>
  <si>
    <t>A Study of Anaprazole Sodium Enteric-coated Tablets in the Treatment of Reflux Esophagitis</t>
  </si>
  <si>
    <t>NCT04320342</t>
  </si>
  <si>
    <t>A Study Comparing Efficacy, Safety and Tolerability of the Fixed Dose Triple Combination CHF 5993 With the Fixed Dose Dual Combination CHF 1535 in Subjects With COPD</t>
  </si>
  <si>
    <t>NCT05485779</t>
  </si>
  <si>
    <t>SAD, MAD and Food Effect Evaluation of Safety, Tolerability, and PK of AQ280 in Healthy Subjects</t>
  </si>
  <si>
    <t>AQILION AB</t>
  </si>
  <si>
    <t>NCT05536297</t>
  </si>
  <si>
    <t>Avacincaptad Pegol Open-Label Extension for Patients With Geographic Atrophy</t>
  </si>
  <si>
    <t>NCT05298423</t>
  </si>
  <si>
    <t>Study of Pembrolizumab/Vibostolimab (MK-7684A) in Combination With Concurrent Chemoradiotherapy Followed by Pembrolizumab/Vibostolimab Versus Concurrent Chemoradiotherapy Followed by Durvalumab in Participants With Stage III Non-small Cell Lung Cancer (MK-7684A-006)</t>
  </si>
  <si>
    <t>NCT05480579</t>
  </si>
  <si>
    <t>A Study of IBI311 in Healthy Volunteers</t>
  </si>
  <si>
    <t>NCT05258110</t>
  </si>
  <si>
    <t>A Study in Healthy Men to Test Whether BI 425809 Influences the Amount of Midazolam in the Blood</t>
  </si>
  <si>
    <t>NCT05601882</t>
  </si>
  <si>
    <t>A Study to Evaluate Adverse Events and Change in Disease Activity Comparing Oral Upadacitinib to Subcutaneous Dupilumab in Adolescent and Adult Participants With Moderate to Severe Atopic Dermatitis</t>
  </si>
  <si>
    <t>NCT05365724</t>
  </si>
  <si>
    <t>A Study to Evaluate the Safety and Immunogenicity of Omicron COVID-19 Vaccine (Vero Cell), Inactivated in Population 18 Years Old of Age and Above</t>
  </si>
  <si>
    <t>NCT05242146</t>
  </si>
  <si>
    <t>GB5121 in Adult Patients With Relapsed/Refractory CNS Lymphoma</t>
  </si>
  <si>
    <t>GB005, Inc., a wholly owned subsidiary of Gossamer Bio, Inc.</t>
  </si>
  <si>
    <t>NCT05371080</t>
  </si>
  <si>
    <t>A Study on the Long-term Efficacy, Safety and Persistence of Immune Response of a Vaccine Against Herpes Zoster in Older Adults</t>
  </si>
  <si>
    <t>NCT05582096</t>
  </si>
  <si>
    <t>A Study of LY3457263 in Obese Participants</t>
  </si>
  <si>
    <t>NCT05516979</t>
  </si>
  <si>
    <t>A Safety &amp; Efficacy Study of Treatment With AP1189 in Rheumatoid Arthritis Patients naïve to DMARD Treatment</t>
  </si>
  <si>
    <t>NCT05114603</t>
  </si>
  <si>
    <t>A Phase II Clinical Trial to Evaluate HLX208 in Advanced Melanoma Patients With BRAF V600 Mutation</t>
  </si>
  <si>
    <t>NCT05600036</t>
  </si>
  <si>
    <t>A Study to Evaluate the Efficacy and Safety of ESK-001 in Patients With Plaque Psoriasis</t>
  </si>
  <si>
    <t>NCT05480475</t>
  </si>
  <si>
    <t>A Study to Examine the Effect of Daridorexant on the Way the Body Absorbs, Distributes, and Gets Rid of Dabigatran and Rosuvastatin in Healthy Male Subjects</t>
  </si>
  <si>
    <t>NCT05545319</t>
  </si>
  <si>
    <t>A Study to Learn About the Medicine Called Nirmatrelvir Used in Combination With Ritonavir in People With Weakened Immune Systems or at Increased Risk for Poor Outcomes Who Are Hospitalized Due to Severe COVID-19</t>
  </si>
  <si>
    <t>NCT05020730</t>
  </si>
  <si>
    <t>Trial to Determine the Immunomodulatory Activity of PTM-001 in Patients With Hidradenitis Suppurativa</t>
  </si>
  <si>
    <t>Phoenicis Therapeutics</t>
  </si>
  <si>
    <t>NCT05734807</t>
  </si>
  <si>
    <t>A Study to Evaluate the Antiviral Activity and Safety of HH-003 in Chronic Hepatitis B Subjects With Low-level Viremia</t>
  </si>
  <si>
    <t>NCT05347134</t>
  </si>
  <si>
    <t>SKB264 Injection vs Investigator Selected Regimens to Treat Locally Advanced, Recurrent or Metastatic Triple-negative Breast Cancer</t>
  </si>
  <si>
    <t>NCT05344157</t>
  </si>
  <si>
    <t>A First-in-Human Study of XSTEM-OA in Patients With Knee Osteoarthritis</t>
  </si>
  <si>
    <t>Xindu Pty Ltd</t>
  </si>
  <si>
    <t>NCT05450601</t>
  </si>
  <si>
    <t>A Study to Evaluate the Efficacy and Safety of HCP2102 in Essential Hypertension Patients</t>
  </si>
  <si>
    <t>NCT05468307</t>
  </si>
  <si>
    <t>A Study of GC203 TIL in Advanced Gynecologic Tumors (10hospital)</t>
  </si>
  <si>
    <t>NCT05481411</t>
  </si>
  <si>
    <t>A Study to Evaluate the Pharmacokinetics, Safety, and Pharmacodynamics of Olpasiran in Participants With Various Degrees of Hepatic Impairment</t>
  </si>
  <si>
    <t>NCT05584657</t>
  </si>
  <si>
    <t>Oral Sulopenem Versus Amoxicillin/Clavulanate for Uncomplicated Urinary Tract Infection in Adult Women</t>
  </si>
  <si>
    <t>NCT05371730</t>
  </si>
  <si>
    <t>A Trial to Evaluate the Safety and Efficacy of NK Cells in Subjects With Myelodysplastic Syndromes</t>
  </si>
  <si>
    <t>Nuwacell Biotechnologies Co., Ltd.</t>
  </si>
  <si>
    <t>NCT05087628</t>
  </si>
  <si>
    <t>PRV-3279-2a Trial in Systemic Lupus</t>
  </si>
  <si>
    <t>NCT05338957</t>
  </si>
  <si>
    <t>A Study of MRG002 in the Treatment of Patients With HER2-expressed Advanced Malignant Solid Tumors.</t>
  </si>
  <si>
    <t>NCT04323475</t>
  </si>
  <si>
    <t>Phage Therapy for the Prevention and Treatment of Wound Infections in Burned Patients</t>
  </si>
  <si>
    <t>Precisio Biotix Therapeutics, Inc.</t>
  </si>
  <si>
    <t>NCT04494412</t>
  </si>
  <si>
    <t>An Intravenous (IV) Zanamivir Pharmacokinetics (PK) Study in Hospitalized Neonates and Infants With Influenza Infection</t>
  </si>
  <si>
    <t>NCT05615012</t>
  </si>
  <si>
    <t>A Study Investigating Interactions Between BMS-986322 and Rosuvastatin, Metformin and Methotrexate in Healthy Participants</t>
  </si>
  <si>
    <t>NCT05456165</t>
  </si>
  <si>
    <t>Study of an Individualized Vaccine Targeting Neoantigens in Combination With Immune Checkpoint Blockade for Patients With Colon Cancer</t>
  </si>
  <si>
    <t>NCT05203692</t>
  </si>
  <si>
    <t>A Study of a Single Ascending Dose Study of DS-7011a in Healthy Subjects</t>
  </si>
  <si>
    <t>NCT04711343</t>
  </si>
  <si>
    <t>Comparative Study to Evaluate the Pharmacokinetics of BAT2306 vs Cosentyx® in Healthy Subjects</t>
  </si>
  <si>
    <t>NCT05400226</t>
  </si>
  <si>
    <t>Phase 2 Study of VGT-309 in Lung Cancer</t>
  </si>
  <si>
    <t>Vergent Bioscience, Inc.</t>
  </si>
  <si>
    <t>NCT05324943</t>
  </si>
  <si>
    <t>A Gene Therapy Study in Patients With Gaucher Disease Type 1</t>
  </si>
  <si>
    <t>NCT05110898</t>
  </si>
  <si>
    <t>Efficacy and Safety Study of the Fixed-dose Combination of Olmesartan + Indapamide When Compared to the Isolated Drugs in the Treatment of Hypertension.</t>
  </si>
  <si>
    <t>Brainfarma Industria Química e Farmacêutica S/A</t>
  </si>
  <si>
    <t>NCT05271604</t>
  </si>
  <si>
    <t>A Phase 2 Open Label Study of BA3021 in Patients With Recurrent or Metastatic Squamous Cell Carcinoma of the Head and Neck</t>
  </si>
  <si>
    <t>NCT06430047</t>
  </si>
  <si>
    <t>Efficacy and Safety of EsoDuo®</t>
  </si>
  <si>
    <t>NCT05398848</t>
  </si>
  <si>
    <t>Efficacy, Safety and Immunogenicity Study of the Recombinant Two-component COVID-19 Vaccine (CHO Cell)(Recov)</t>
  </si>
  <si>
    <t>NCT05255107</t>
  </si>
  <si>
    <t>Safety and Effectiveness of the PXL Platinum 330 System With Riboflavin Solution for Previously Untreated Corneal Ulcers</t>
  </si>
  <si>
    <t>Peschke GmbH</t>
  </si>
  <si>
    <t>NCT05363384</t>
  </si>
  <si>
    <t>A Bioequivalence Study of CT-L01 Compared to Co-administration (ALO 25 mg and MET XR 1,000 mg) in Healthy Volunteers</t>
  </si>
  <si>
    <t>NCT05428033</t>
  </si>
  <si>
    <t>A Trial of Centanafadine Efficacy and Safety in Children With Attention-deficit/ Hyperactivity Disorder (ADHD)</t>
  </si>
  <si>
    <t>NCT05163314</t>
  </si>
  <si>
    <t>A Study of Soticlestat as an Add-on Therapy in Children and Adults With Dravet Syndrome or Lennox-Gastaut Syndrome</t>
  </si>
  <si>
    <t>NCT05242484</t>
  </si>
  <si>
    <t>A Study of Combination Therapy With Guselkumab and Golimumab in Participants With Moderately to Severely Active Ulcerative Colitis</t>
  </si>
  <si>
    <t>NCT05561309</t>
  </si>
  <si>
    <t>Phase Ⅱ Study of Adductor Canal Block With HR18034 for Postsurgical Pain Management</t>
  </si>
  <si>
    <t>NCT04986176</t>
  </si>
  <si>
    <t>HC-1119 Adjuvant Treatment for Hospitalized COVID-19 Patients</t>
  </si>
  <si>
    <t>NCT05374226</t>
  </si>
  <si>
    <t>A Phase 1 Study to Evaluate JS019 in Advanced Solid Tumors or Lymphomas</t>
  </si>
  <si>
    <t>Suzhou Kebo Ruijun Biotechnology Co., Ltd</t>
  </si>
  <si>
    <t>NCT05064878</t>
  </si>
  <si>
    <t>A Phase 3 Study to Examine the Efficacy and Safety of ZX008 in Subjects With CDKL5 Deficiency Disorder.</t>
  </si>
  <si>
    <t>Zogenix, Inc.</t>
  </si>
  <si>
    <t>NCT05477108</t>
  </si>
  <si>
    <t>Study to Assess the Lung Exposure Bioequivalence of Budesonide, Glycopyrronium, and Formoterol Delivered by BGF MDI With Next-Generation Propellant Compared With BGF MDI With HFA Propellant</t>
  </si>
  <si>
    <t>NCT05274893</t>
  </si>
  <si>
    <t>A Pharmacokinetic Comparison Study of SYHX2011 and Abraxane® in Patients With Advanced Breast Cancer</t>
  </si>
  <si>
    <t>NCT05543616</t>
  </si>
  <si>
    <t>A Study to Learn About Variant-Adapted COVID-19 RNA Vaccine Candidate(s) in Healthy Children</t>
  </si>
  <si>
    <t>NCT05528055</t>
  </si>
  <si>
    <t>A Study to Investigate the Safety and Tolerability of SCR-6920 Capsule in Patients With Advanced Malignant Tumors</t>
  </si>
  <si>
    <t>NCT05469919</t>
  </si>
  <si>
    <t>An Open-Label Phase 1 Study of Ceralasertib in Japanese Patients With Advanced Solid Malignancies</t>
  </si>
  <si>
    <t>NCT05544916</t>
  </si>
  <si>
    <t>A Study to Evaluate the Safety and Efficacy of XC221 in Patients With Uncomplicated Influenza or Other Acute Viral Upper Respiratory Infections</t>
  </si>
  <si>
    <t>NCT05659264</t>
  </si>
  <si>
    <t>A Study to Evaluate the Safety of mRNA-0184 in Participants With Heart Failure</t>
  </si>
  <si>
    <t>NCT05533632</t>
  </si>
  <si>
    <t>Safety Study of Weekly Semaglutide in Chilean Participants With Type 2 Diabetes</t>
  </si>
  <si>
    <t>NCT05571111</t>
  </si>
  <si>
    <t>Clinical Research Study to Learn About the Effect and Safety of Different Doses of FE 999302 When Given as a Single Dose for Final Development of the Eggs After Ovarian Stimulation</t>
  </si>
  <si>
    <t>NCT05716347</t>
  </si>
  <si>
    <t>Clinical Trial of Safety and Immunogenicity of Recombinant SARS-CoV-2 S-Trimer Vaccine (CHO Cells) as Booster Vaccination in Populations Aged 18 to 59 Years</t>
  </si>
  <si>
    <t>NCT05182047</t>
  </si>
  <si>
    <t>A Study of Butamirate Citrate Syrup Versus (vs) Sinecod Syrup (Vanilla) in Adult Healthy Study Volunteers</t>
  </si>
  <si>
    <t>McNeil AB</t>
  </si>
  <si>
    <t>NCT05352347</t>
  </si>
  <si>
    <t>Phase 2b/3 Trial of NuSepin® in COVID-19 Pneumonia Patients</t>
  </si>
  <si>
    <t>NCT05169671</t>
  </si>
  <si>
    <t>Safety, Tolerability, and Pharmacokinetics Study of ATH-1020</t>
  </si>
  <si>
    <t>NCT05176509</t>
  </si>
  <si>
    <t>A Study to Evaluate the Combination of YH003, YH001 and Pembrolizumab in Subjects with Advanced Solid Tumors</t>
  </si>
  <si>
    <t>NCT05148299</t>
  </si>
  <si>
    <t>A Study of Pegcetacoplan for Patients With Transplant-associated Thrombotic Microangiopathy After Hematopoietic Stem Cell Transplantation</t>
  </si>
  <si>
    <t>NCT05678998</t>
  </si>
  <si>
    <t>WTX-330 in Patients With Advanced or Metastatic Solid Tumors or Non-Hodgkin Lymphoma</t>
  </si>
  <si>
    <t>Werewolf Therapeutics, Inc.</t>
  </si>
  <si>
    <t>NCT06385821</t>
  </si>
  <si>
    <t>A Study to Prove Non-inferior Immunogenicity of Grippol Quadrivalent Compared to Grippol Plus</t>
  </si>
  <si>
    <t>NCT05363592</t>
  </si>
  <si>
    <t>A Bioequivalence Study of CT-L01 Compared to Co-administration (ALO 12.5 mg and MET XR 500 mg) in Healthy Volunteers</t>
  </si>
  <si>
    <t>NCT05065463</t>
  </si>
  <si>
    <t>To Assess the Pharmacokinetics, Safety, and Tolerability of AZD8233 in Participants With Chronic Kidney Disease (CKD), End Stage Renal Disease (ESRD) and Healthy Participants.</t>
  </si>
  <si>
    <t>NCT05245916</t>
  </si>
  <si>
    <t>IBI397 or Combination Therapies in Patients With Advanced Malignancies</t>
  </si>
  <si>
    <t>NCT05146999</t>
  </si>
  <si>
    <t>Assess Aesthetic Improvement and Onset of QM1114-DP in Subjects With Moderate to Severe Glabellar Lines</t>
  </si>
  <si>
    <t>NCT05358821</t>
  </si>
  <si>
    <t>28-Day Study of SAGE-718 on Functioning Capacity in Participants With Huntington's Disease</t>
  </si>
  <si>
    <t>NCT05614544</t>
  </si>
  <si>
    <t>Dose-Finding and Human Abuse Potential Study Of HSK3486 Injection In Nondependent, Recreational Central Nervous System Depressant Users</t>
  </si>
  <si>
    <t>NCT05338398</t>
  </si>
  <si>
    <t>Study for the Prevention of Oral Mucositis (SPOM)</t>
  </si>
  <si>
    <t>E2Bio Life Sciences, LLC</t>
  </si>
  <si>
    <t>NCT04875754</t>
  </si>
  <si>
    <t>A Study Evaluating the Safety, Tolerability, and Range of Biologically Active Doses of ICM-203 in Mild to Moderate Knee Osteoarthritis</t>
  </si>
  <si>
    <t>ICM Biotech Australia Pty Ltd.</t>
  </si>
  <si>
    <t>NCT05182866</t>
  </si>
  <si>
    <t>ASP-1929 Photoimmunotherapy (PIT) Study in Patients With Recurrent Head/Neck Cancer</t>
  </si>
  <si>
    <t>NCT05262751</t>
  </si>
  <si>
    <t>A Study in Healthy Men to Find the Best Formulation for Once Daily Intake of Nintedanib</t>
  </si>
  <si>
    <t>NCT05548231</t>
  </si>
  <si>
    <t>A Study of LY3437943 in Chinese Participants With Obesity Or Overweight</t>
  </si>
  <si>
    <t>NCT05303402</t>
  </si>
  <si>
    <t>A Phase IIb/III Clinical Trial to Assess Safety and Immunogenicity of a COVID-19 Vaccine Booster Dose in Immunosupressed Adults.</t>
  </si>
  <si>
    <t>NCT05498480</t>
  </si>
  <si>
    <t>Study of Relatlimab in Combination With Nivolumab in Chinese Participants</t>
  </si>
  <si>
    <t>NCT05321420</t>
  </si>
  <si>
    <t>LYT-100 in Patients With Idiopathic Pulmonary Fibrosis (IPF)</t>
  </si>
  <si>
    <t>NCT05814159</t>
  </si>
  <si>
    <t>A Study of Anakinra in Japanese Patients With Still's Disease (SJIA and AOSD)</t>
  </si>
  <si>
    <t>NCT05415462</t>
  </si>
  <si>
    <t>A Study of mRNA-1010 Seasonal Influenza Vaccine in Adults</t>
  </si>
  <si>
    <t>NCT05552027</t>
  </si>
  <si>
    <t>Minnesota HealthSolutions Cellular Car Seat Study</t>
  </si>
  <si>
    <t>Minnesota HealthSolutions</t>
  </si>
  <si>
    <t>NCT05363202</t>
  </si>
  <si>
    <t>To Study Generic Fluticasone Propionate Inhalation Aerosol for the Treatment of Bronchial Asthma</t>
  </si>
  <si>
    <t>Glenmark Pharmaceuticals Ltd. India</t>
  </si>
  <si>
    <t>NCT06809218</t>
  </si>
  <si>
    <t>A Pooled Analysis of Long-Term Outcomes After Inhaled Isoflurane Via the Sedaconda ACD-S Compared to Intravenous Propofol</t>
  </si>
  <si>
    <t>NCT05334823</t>
  </si>
  <si>
    <t>A Study of pCAR-19B in the Treatment of CD19-positive Relapsed/Refractory B-ALL in Children and Adolescents</t>
  </si>
  <si>
    <t>NCT05627362</t>
  </si>
  <si>
    <t>A Study to Assess Safety and Effectiveness of Elafibranor in Adult Participants With Primary Sclerosing Cholangitis.</t>
  </si>
  <si>
    <t>NCT05559242</t>
  </si>
  <si>
    <t>Pharmacokinetic Study of Anlotinib Hydrochloride Capsules in Healthy Subjects and Liver Dysfunction Patients</t>
  </si>
  <si>
    <t>NCT05646303</t>
  </si>
  <si>
    <t>Psilocybin-Assisted Psychotherapy in Adults With Alcohol Use Disorder (AUD)</t>
  </si>
  <si>
    <t>Clairvoyant Therapeutics</t>
  </si>
  <si>
    <t>NCT06998108</t>
  </si>
  <si>
    <t>Study of BEBT-209 in Combination With Fulvestrant Versus Placebo in Combination With Fulvestrant in Patients With HR+/HER2- Locally Advanced or Metastatic Breast Cancer Who Have Progressed After Prior Endocrine Therapy</t>
  </si>
  <si>
    <t>NCT05657574</t>
  </si>
  <si>
    <t>A Clinical Trial to Evaluate the Efficacy and Safety of CKD-391 and CKD-331 in Patients With Primary Hypercholesterolemia</t>
  </si>
  <si>
    <t>NCT05187624</t>
  </si>
  <si>
    <t>A Study Evaluating the Safety, Pharmacokinetic and Anti-tumor Activity of RO7428731 in Participants With Glioblastoma</t>
  </si>
  <si>
    <t>NCT05497674</t>
  </si>
  <si>
    <t>Effects of Rifampicin and Probenecid On The Pharmacokinetic Profile Of Rongliflozin In Healthy Subjects</t>
  </si>
  <si>
    <t>NCT04965220</t>
  </si>
  <si>
    <t>HLX208 (BRAF V600E Inhibitor) in Combination With Trametinib in Patients With Advanced Solid Tumors</t>
  </si>
  <si>
    <t>NCT05370950</t>
  </si>
  <si>
    <t>Study of Bioavailability, Pharmacodynamics and Safety of SHR-1209 Administered by Single Subcutaneous Injection at Different Sites in Healthy Volunteers</t>
  </si>
  <si>
    <t>NCT05228613</t>
  </si>
  <si>
    <t>Safety and Immunogenicity Study of COVID-19 Protein Subunit Recombinant Vaccine Adjuvanted With Alum+CpG 1018</t>
  </si>
  <si>
    <t>NCT05624580</t>
  </si>
  <si>
    <t>A Study to Look at Safety and Tolerability of NNC0582-0001, How it is Transported Throughout the Body and How it Works in Healthy Adults</t>
  </si>
  <si>
    <t>NCT05150626</t>
  </si>
  <si>
    <t>A Study to Evaluate the Effect of Different Meal Types on the Pharmacokinetics of DBPR108 in Healthy Subjects</t>
  </si>
  <si>
    <t>NCT05645315</t>
  </si>
  <si>
    <t>Clinical Trial of TQB2618 Injection Combined With TQB2450 Injection in Patients With Advanced Solid Tumors</t>
  </si>
  <si>
    <t>NCT05518318</t>
  </si>
  <si>
    <t>GLS-010 Monotherapy Versus Chemotherapy in Patients With Relapsed or Refractory Classical Hodgkin's Lymphoma (R/R cHL)</t>
  </si>
  <si>
    <t>NCT05142189</t>
  </si>
  <si>
    <t>Clinical Trial Evaluating the Safety, Tolerability and Preliminary Efficacy of BNT116 Alone and in Combinations in Patients With Advanced Non-small Cell Lung Cancer</t>
  </si>
  <si>
    <t>NCT05507450</t>
  </si>
  <si>
    <t>Safety and Immunogenicity of Three V181 Dengue Vaccine Potencies in Adults (V181-003)</t>
  </si>
  <si>
    <t>NCT05775874</t>
  </si>
  <si>
    <t>A Study to Evaluate the Safety and Efficacy of AZD4547 Combination With Tislelizumab in Patients With mUC</t>
  </si>
  <si>
    <t>NCT05309213</t>
  </si>
  <si>
    <t>NCT05432713</t>
  </si>
  <si>
    <t>A Study of LP-168 in Healthy Volunteers</t>
  </si>
  <si>
    <t>NCT05366478</t>
  </si>
  <si>
    <t>A Clinical Study of LM103 Injection in the Treatment of Advanced Solid Tumors</t>
  </si>
  <si>
    <t>Suzhou BlueHorse Therapeutics Co., Ltd.</t>
  </si>
  <si>
    <t>NCT05456685</t>
  </si>
  <si>
    <t>Mirvetuximab Soravtansine (MIRV) With Carboplatin in Second-line Treatment of Folate Receptor Alpha (FRα) Expressing, Platinum-sensitive Epithelial Ovarian Cancer</t>
  </si>
  <si>
    <t>NCT04974749</t>
  </si>
  <si>
    <t>A Study of REPLAGAL® in Treatment-naive Chinese Participants With Fabry Disease</t>
  </si>
  <si>
    <t>NCT05406115</t>
  </si>
  <si>
    <t>Single and Multiple Ascending Dose Study to Evaluate AMG 786 in Healthy Participants and Participants With Obesity</t>
  </si>
  <si>
    <t>NCT05607420</t>
  </si>
  <si>
    <t>Study Evaluating UCART20x22 in B-Cell Non-Hodgkin Lymphoma</t>
  </si>
  <si>
    <t>Cellectis S.A.</t>
  </si>
  <si>
    <t>NCT05119920</t>
  </si>
  <si>
    <t>Safety and Efficacy of Pilocarpine Ophthalmic Topical Cream for the Treatment of Dry Eye Disease</t>
  </si>
  <si>
    <t>NCT05426174</t>
  </si>
  <si>
    <t>Study to Assess the Safety and Immunogenicity of Monovalent mRNA NA Vaccine in Adult Participants 18 Years of Age and Older</t>
  </si>
  <si>
    <t>NCT05312710</t>
  </si>
  <si>
    <t>Safety and Efficacy of APG-157 in Head and Neck Cancer</t>
  </si>
  <si>
    <t>Aveta Biomics, Inc.</t>
  </si>
  <si>
    <t>NCT05664750</t>
  </si>
  <si>
    <t>Study to Compare the Efficacy and Safety of Passive Immunization With TNM002 Injection and Human Tetanus Immunoglobulin as Prophylaxis Against Tetanus</t>
  </si>
  <si>
    <t>NCT05001646</t>
  </si>
  <si>
    <t>Electromagnetic Field Protection Device Use Impact in Healthy Volunteers</t>
  </si>
  <si>
    <t>NCT05062070</t>
  </si>
  <si>
    <t>Safety and Efficacy of Topical TolaSure Targeting Aggregated Mutant Keratin in Severe Epidermolysis Bullosa Simplex</t>
  </si>
  <si>
    <t>BioMendics, LLC</t>
  </si>
  <si>
    <t>NCT05393427</t>
  </si>
  <si>
    <t>A Study of BL-B01D1 in Patients With Locally Advanced or Metastatic Urological Tumors and Other Solid Tumors</t>
  </si>
  <si>
    <t>NCT05627518</t>
  </si>
  <si>
    <t>Relative Bioavailability of Linaprazan for the Test Formulation vs. Reference Formulation</t>
  </si>
  <si>
    <t>NCT05571813</t>
  </si>
  <si>
    <t>Exploratory Trial to Evaluate the Pharmacokinetic Properties and Safety of CKD-341 in Healthy Subjects</t>
  </si>
  <si>
    <t>NCT05540860</t>
  </si>
  <si>
    <t>A Study of EDG-5506 in Children With Duchenne Muscular Dystrophy (LYNX)</t>
  </si>
  <si>
    <t>NCT04745403</t>
  </si>
  <si>
    <t>Redirected HBV-Specific T Cells in Patients With HBV-related HCC (SAFE-T-HBV)</t>
  </si>
  <si>
    <t>Lion TCR Pte. Ltd.</t>
  </si>
  <si>
    <t>NCT05603182</t>
  </si>
  <si>
    <t>A Study of PRA052 in Healthy Volunteers</t>
  </si>
  <si>
    <t>NCT05208762</t>
  </si>
  <si>
    <t>A Study of PF-08046054/SGN-PDL1V in Advanced Solid Tumors</t>
  </si>
  <si>
    <t>NCT05231785</t>
  </si>
  <si>
    <t>A Study to Evaluate the Safety and Tolerability of ALN-APP in Patients With EOAD</t>
  </si>
  <si>
    <t>NCT05991362</t>
  </si>
  <si>
    <t>A Phase I Study of GFH312 in Healthy Chinese Subjects</t>
  </si>
  <si>
    <t>NCT05531890</t>
  </si>
  <si>
    <t>Comparative Bioavailability of Betamethasone Oral Solution Metered Spray (GTX-102) in Healthy Subjects</t>
  </si>
  <si>
    <t>NCT05327296</t>
  </si>
  <si>
    <t>Efficacy and Safety of Inhaled Isoflurane Delivered Via the Sedaconda ACD-S Compared to Intravenous Propofol for Sedation of Mechanically Ventilated Intensive Care Unit Adult Patients (INSPiRE-ICU2)</t>
  </si>
  <si>
    <t>NCT05607446</t>
  </si>
  <si>
    <t>To Evaluate the Efficacy and Safety of TQC3564 Tablets in the Treatment of Persistent Allergic Rhinitis</t>
  </si>
  <si>
    <t>NCT05383703</t>
  </si>
  <si>
    <t>Clinical Study of MNC-168 Enteric-coated Capsule in the Treatment of Advanced Intestinal Solid Tumor</t>
  </si>
  <si>
    <t>Moon (Guangzhou) Biotechnology Co., Ltd.</t>
  </si>
  <si>
    <t>NCT05261386</t>
  </si>
  <si>
    <t>Safety, Efficacy and Pharmacokinetics of CBT-008 in Patients With Meibomian Gland Dysfunction</t>
  </si>
  <si>
    <t>NCT05346484</t>
  </si>
  <si>
    <t>A Study of CF33-hNIS (VAXINIA), an Oncolytic Virus, as Monotherapy or in Combination With Pembrolizumab in Adults With Metastatic or Advanced Solid Tumors</t>
  </si>
  <si>
    <t>NCT03113084</t>
  </si>
  <si>
    <t>Study With Heparin Sodium in Subcutaneous Administration</t>
  </si>
  <si>
    <t>NCT05090891</t>
  </si>
  <si>
    <t>To Assess the Efficacy, Safety, and Tolerability of INCB000928 in Participants With Fibrodysplasia Ossificans Progressiva</t>
  </si>
  <si>
    <t>NCT05508373</t>
  </si>
  <si>
    <t>A Clinical Study to Evaluate the Safety, Tolerability,JS019 in Patients With Advanced Solid Tumors</t>
  </si>
  <si>
    <t>NCT05155306</t>
  </si>
  <si>
    <t>A Study in Healthy People to Compare 2 Different Formulations of BI 1358894 Tablets Taken With or Without Food</t>
  </si>
  <si>
    <t>NCT05348889</t>
  </si>
  <si>
    <t>First-in-Human (FIH) Trial of 1A46 in Subjects with Advanced CD20 And/or CD19 Positive B-cell Hematologic Malignancies</t>
  </si>
  <si>
    <t>Chimagen Biosciences, Ltd</t>
  </si>
  <si>
    <t>NCT05405621</t>
  </si>
  <si>
    <t>Assess Safety, Tolerability, Pharmacokinetics, and Preliminary Efficacy of BAT8009</t>
  </si>
  <si>
    <t>NCT05828485</t>
  </si>
  <si>
    <t>Effect of Food on Pharmacokinetics of MY008211A Tablets in Healthy Adult Subjects</t>
  </si>
  <si>
    <t>NCT05169515</t>
  </si>
  <si>
    <t>A Study Evaluating the Safety, Pharmacokinetics, and Efficacy of Mosunetuzumab or Glofitamab in Combination With CC-220 and/or CC-99282 in Participants With B-Cell Non-Hodgkin Lymphoma</t>
  </si>
  <si>
    <t>NCT05228015</t>
  </si>
  <si>
    <t>Oral TEAD Inhibitor Targeting the Hippo Pathway in Subjects with Advanced Solid Tumors</t>
  </si>
  <si>
    <t>NCT05433584</t>
  </si>
  <si>
    <t>A Study of Tirzepatide Compared With Intensified Conventional Care in Adult Participants With Type 2 Diabetes</t>
  </si>
  <si>
    <t>NCT05335447</t>
  </si>
  <si>
    <t>Evaluation of Mass Balance and Absolute Bioavailability of GLPG3667</t>
  </si>
  <si>
    <t>NCT05511948</t>
  </si>
  <si>
    <t>Randomized and Open Label Study for Safety and Efficacy of DBI-102 vs. Vehicle vs. Hydroquinone on Skin Pigmentation and Lentigos</t>
  </si>
  <si>
    <t>NCT05550363</t>
  </si>
  <si>
    <t>A Study to Evaluate the Efficacy and Safety of DEXYCU® for the Treatment of Ocular Pain Associated With Cataract Surgery (2)</t>
  </si>
  <si>
    <t>NCT05526716</t>
  </si>
  <si>
    <t>A Study to Evaluate the Safety, Tolerability, and Immunogenicity of V116 When Administered Concomitantly With Influenza Vaccine in Adults 50 Years of Age or Older (V116-005, STRIDE-5)</t>
  </si>
  <si>
    <t>NCT05422326</t>
  </si>
  <si>
    <t>A Study to Evaluate Safety and Immunogenicity of One or Two Booster Vaccinations With H5N6 Influenza Vaccine in Adults Primed With H5N1 Influenza Vaccine or Unprimed</t>
  </si>
  <si>
    <t>NCT05602025</t>
  </si>
  <si>
    <t>A Study to Compare the Pharmacokinetics (PK) of Depemokimab When Delivered With a Safety Syringe Device (SSD) or an Autoinjector in Healthy Adult Participants</t>
  </si>
  <si>
    <t>NCT05388487</t>
  </si>
  <si>
    <t>Tolerability and Safety of HF1K16 Injection in Patients With Refractory Solid Tumors</t>
  </si>
  <si>
    <t>NCT05565378</t>
  </si>
  <si>
    <t>A Platform Study of Novel Immunotherapy Combinations in Participants With Previously Untreated, Advanced/Metastatic Non-Small-Cell Lung Cancer</t>
  </si>
  <si>
    <t>NCT05460325</t>
  </si>
  <si>
    <t>A Study of Lanadelumab (SHP643) in Chinese Participants With Hereditary Angioedema (HAE)</t>
  </si>
  <si>
    <t>NCT05109091</t>
  </si>
  <si>
    <t>Study of ATH434 in Participants with Multiple System Atrophy</t>
  </si>
  <si>
    <t>Alterity Therapeutics</t>
  </si>
  <si>
    <t>NCT05321147</t>
  </si>
  <si>
    <t>Safety and Efficacy of Lacutamab in Patients With Relapsed/Refractory Peripheral T-cell Lymphoma That Express KIR3DL2</t>
  </si>
  <si>
    <t>Innate Pharma</t>
  </si>
  <si>
    <t>NCT05259917</t>
  </si>
  <si>
    <t>A Phase III, Crossover Trial Evaluating the Efficacy and Safety of KVD900 (Sebetralstat) for On-Demand Treatment of Angioedema Attacks in Adolescent and Adult Patients With Hereditary Angioedema (HAE)</t>
  </si>
  <si>
    <t>NCT05215418</t>
  </si>
  <si>
    <t>A Study of VI-0521 on Ambulatory Blood Pressure (ABPM) in Overweight or Obese Subjects</t>
  </si>
  <si>
    <t>VIVUS LLC</t>
  </si>
  <si>
    <t>NCT05198349</t>
  </si>
  <si>
    <t>First in Human Study of M1069 in Advanced Solid Tumors</t>
  </si>
  <si>
    <t>NCT05354089</t>
  </si>
  <si>
    <t>A Study of SARS-CoV-2 mRNA Vaccine (SYS6006) in Chinese Healthy Adults Aged 18 -59 Years.</t>
  </si>
  <si>
    <t>NCT06610279</t>
  </si>
  <si>
    <t>NCT05600296</t>
  </si>
  <si>
    <t>Ultrasound-guided Ilioinguinal/Iliohypogastric Nerve Block Compared to the Combined Therapy With Spermatic Cord Block</t>
  </si>
  <si>
    <t>NCT06956170</t>
  </si>
  <si>
    <t>All Japanese Population: Belantamab Mafodotin Plus Pomalidomide and Dexamethasone (Pd) Versus Bortezomib Plus Pd in Relapsed/Refractory Multiple Myeloma</t>
  </si>
  <si>
    <t>NCT05195541</t>
  </si>
  <si>
    <t>A Clinical Study to Evaluate the Safety, Pharmacokinetic Profile and Efficacy of CU-20401</t>
  </si>
  <si>
    <t>NCT05419388</t>
  </si>
  <si>
    <t>A Study of Multiple Doses of RO7247669 in Participants With Previously Untreated Unresectable or Metastatic Melanoma</t>
  </si>
  <si>
    <t>NCT05608005</t>
  </si>
  <si>
    <t>Study on Two Adjuvanted Dose Levels of Panblok H7+MF59 Compared for Immunogenicity and Safety With an Unadjuvanted Dose of Panblok H7 in Participants 18 Years of Age and Older</t>
  </si>
  <si>
    <t>NCT06076694</t>
  </si>
  <si>
    <t>Efficacy and Safety After Multiple Doses of TNP-2198 Capsules, Rabeprazole Sodium Enteric-coated Tablets and Amoxicillin Capsules in Helicobacter Pylori Infected-positive Participants</t>
  </si>
  <si>
    <t>NCT04637529</t>
  </si>
  <si>
    <t>Efficacy and Safety of S (+) - Ibuprofen in Osteoarthritis Pain</t>
  </si>
  <si>
    <t>NCT05432466</t>
  </si>
  <si>
    <t>Clinical Trial to Compare the Efficacy of Celiprolol to Placebo in Patients With Vascular Ehlers-Danlos Syndrome</t>
  </si>
  <si>
    <t>Acer Therapeutics Inc.</t>
  </si>
  <si>
    <t>NCT05416762</t>
  </si>
  <si>
    <t>Single Dose Study to Evaluate Dose-proportionality of Vortioxetine Hemihydrobromide Orally Disintegrating Tablets</t>
  </si>
  <si>
    <t>NCT05339646</t>
  </si>
  <si>
    <t>A Phase I Clinical Study of SSD8432 in Healthy Adult Subjects</t>
  </si>
  <si>
    <t>NCT05481905</t>
  </si>
  <si>
    <t>ENACT: A Study of ENX-101 as Adjunctive Treatment in Patients With Focal Seizures</t>
  </si>
  <si>
    <t>Engrail Therapeutics INC</t>
  </si>
  <si>
    <t>NCT05691361</t>
  </si>
  <si>
    <t>Safety, Tolerability, PK, PD of ADX-324 in Healthy Volunteers and Hereditary Angioedema Patients</t>
  </si>
  <si>
    <t>ADARx Pharmaceuticals, Inc.</t>
  </si>
  <si>
    <t>NCT05586542</t>
  </si>
  <si>
    <t>Study to Assess the Safety of DERMASEAL for Diabetic Foot Ulcers</t>
  </si>
  <si>
    <t>Vitruvian Medical Devices, Inc.</t>
  </si>
  <si>
    <t>NCT05116202</t>
  </si>
  <si>
    <t>A Study Evaluating the Efficacy and Safety of Multiple Treatment Combinations in Patients With Melanoma (Morpheus-Melanoma)</t>
  </si>
  <si>
    <t>NCT05430373</t>
  </si>
  <si>
    <t>GT101 Injection for the Treatment of Metastatic or Recurrent Solid Tumors</t>
  </si>
  <si>
    <t>NCT05211895</t>
  </si>
  <si>
    <t>A Global Study to Assess the Effects of Durvalumab + Domvanalimab Following Concurrent Chemoradiation in Participants With Stage III Unresectable NSCLC</t>
  </si>
  <si>
    <t>NCT04771572</t>
  </si>
  <si>
    <t>Study of Oral Administration of LP-118 in Patients With Relapsed or Refractory CLL, SLL, MDS, MDS/MPN, AML, CMML-2, MPN-BP, ALL, MF, NHL, RT, MM or T-PLL.</t>
  </si>
  <si>
    <t>NCT05480592</t>
  </si>
  <si>
    <t>A Study of HS-10380 in Chinese Participants</t>
  </si>
  <si>
    <t>NCT05516914</t>
  </si>
  <si>
    <t>A Phase Ib/II Clinical Trial of LBL-007 Combined With Tislelizumab in the Treatment of Malignant Tumors</t>
  </si>
  <si>
    <t>NCT04627428</t>
  </si>
  <si>
    <t>Safety and Tolerability of RPE Stem Cell-derived RPE(RPESC-RPE) Transplantation in Patients With Dry Age-related Macular Degeneration (AMD)</t>
  </si>
  <si>
    <t>Luxa Biotechnology, LLC</t>
  </si>
  <si>
    <t>NCT05237206</t>
  </si>
  <si>
    <t>Study of SUPLEXA in Patients With Metastatic Solid Tumours and Haematologic Malignancies</t>
  </si>
  <si>
    <t>Alloplex Biotherapeutics Inc</t>
  </si>
  <si>
    <t>NCT05184764</t>
  </si>
  <si>
    <t>Study Evaluating Safety, Tolerability, and Efficacy of Intravenous AP-SA02 in Subjects With S. Aureus Bacteremia</t>
  </si>
  <si>
    <t>NCT05677763</t>
  </si>
  <si>
    <t>OM-85 in Paediatric Recurrent Respiratory Tract Infections With Wheezing Lower Respiratory Illness</t>
  </si>
  <si>
    <t>NCT06681493</t>
  </si>
  <si>
    <t>A Phase 1 Study of YZJ-4729 Tartrate Injection in Healthy Chinese Subjects</t>
  </si>
  <si>
    <t>NCT05290493</t>
  </si>
  <si>
    <t>NB-001 in Children and Adolescents With 22q11 Deletion Syndrome</t>
  </si>
  <si>
    <t>Nobias Therapeutics, Inc.</t>
  </si>
  <si>
    <t>NCT05380492</t>
  </si>
  <si>
    <t>Study of VOY-101 in Patients With Advanced Non-Neovascular Age-Related Macular Degeneration</t>
  </si>
  <si>
    <t>Perceive Biotherapeutics, Inc.</t>
  </si>
  <si>
    <t>NCT05511363</t>
  </si>
  <si>
    <t>A Study to Assess Efficacy and Safety of KarXT for the Treatment of Psychosis Associated With Alzheimer's Disease (ADEPT-1)</t>
  </si>
  <si>
    <t>NCT05254665</t>
  </si>
  <si>
    <t>A Study of Docetaxel Polymeric Micelles for Injection in Patients With Advanced Solid Tumors</t>
  </si>
  <si>
    <t>NCT05213767</t>
  </si>
  <si>
    <t>Clinical Study to Evaluate the Tolerability and Pharmacokinetics of TQB2916 Injection in Patients With Advanced Malignant Tumors</t>
  </si>
  <si>
    <t>NCT05320692</t>
  </si>
  <si>
    <t>A Study of TACE Combined With Camrelizumab Plus Rivoceranib (Apatinib) in Patients With Incurable Hepatocellular Carcinoma</t>
  </si>
  <si>
    <t>NCT05543681</t>
  </si>
  <si>
    <t>Clinical Trial on Agitation in Alzheimer's Dementia</t>
  </si>
  <si>
    <t>NCT05107128</t>
  </si>
  <si>
    <t>A Study to Evaluate the Effect of SAGE-718 on Cognitive Function in Participants With Huntington's Disease (HD)</t>
  </si>
  <si>
    <t>NCT05514132</t>
  </si>
  <si>
    <t>A Study to Evaluate the Safety and Pharmacokinetics of Ceralasertib in Combination With Durvalumab in Chinese Patients With Advanced Solid Tumours</t>
  </si>
  <si>
    <t>NCT05463432</t>
  </si>
  <si>
    <t>A Study of HR19024 in Subjects With Advanced Solid Tumor</t>
  </si>
  <si>
    <t>NCT05918107</t>
  </si>
  <si>
    <t>A Study of PM8002 Injection in Combination With Standard Chemotherapy as First Line Therapy in MPM</t>
  </si>
  <si>
    <t>NCT05276063</t>
  </si>
  <si>
    <t>A Phase 2b, Study of Linsitinib in Subjects With Active, Moderate to Severe Thyroid Eye Disease (TED)</t>
  </si>
  <si>
    <t>Sling Therapeutics, Inc.</t>
  </si>
  <si>
    <t>NCT06225336</t>
  </si>
  <si>
    <t>Subcutaneous Implant Combination Product (AUR-201) in Patients With Unilateral Microtia (Australia)</t>
  </si>
  <si>
    <t>Auregen Biotherapeutics, SA</t>
  </si>
  <si>
    <t>NCT05731219</t>
  </si>
  <si>
    <t>UTAA06 Injection in the Treatment of Relapsed/Refractory Acute Myeloid Leukemia</t>
  </si>
  <si>
    <t>NCT05262101</t>
  </si>
  <si>
    <t>Clinical Trial of TQB2858 Injection in the Treatment of Advanced High-grade Sarcoma</t>
  </si>
  <si>
    <t>NCT05664581</t>
  </si>
  <si>
    <t>A Study to Assess the Adverse Events and Effectiveness of Rapid Acoustic Pulse (RAP) Device for the Appearance of Cellulite in Adult Participants</t>
  </si>
  <si>
    <t>Zeltiq Aesthetics</t>
  </si>
  <si>
    <t>NCT05429073</t>
  </si>
  <si>
    <t>A Study of RGLS8429 in Healthy Volunteers</t>
  </si>
  <si>
    <t>NCT05121246</t>
  </si>
  <si>
    <t>A PK Study Comparing MB05, EU-sourced Synagis® and US-sourced Synagis® in Healthy Volunteers.</t>
  </si>
  <si>
    <t>NCT05250973</t>
  </si>
  <si>
    <t>A Study of Daratumumab-Based Therapies in Participants With Amyloid Light Chain (AL) Amyloidosis</t>
  </si>
  <si>
    <t>NCT05638854</t>
  </si>
  <si>
    <t>A Study to Evaluate Safety and Pharmacokinetics of ZB002 in Healthy Participants and Participants With Rheumatoid Arthritis</t>
  </si>
  <si>
    <t>NCT05261269</t>
  </si>
  <si>
    <t>A Dose-escalation Study of the Safety and Pharmacology of DAN-222 in Subjects With Metastatic Breast Cancer</t>
  </si>
  <si>
    <t>Dantari, Inc.</t>
  </si>
  <si>
    <t>NCT05512962</t>
  </si>
  <si>
    <t>Oxulumis® Suprachoroidal Microcatherization of Triesence® in Diabetic Macular Edema</t>
  </si>
  <si>
    <t>Oxular Limited</t>
  </si>
  <si>
    <t>NCT04980222</t>
  </si>
  <si>
    <t>A Study to Evaluate the Safety and Efficacy of Glofitamab in Combination With Rituximab (R) Plus Cyclophosphamide, Doxorubicin, Vincristine, and Prednisone (CHOP) in Circulating Tumor (ct)DNA High-Risk Patients With Untreated Diffuse Large B-Cell Lymphoma</t>
  </si>
  <si>
    <t>NCT05643573</t>
  </si>
  <si>
    <t>A Study to Learn How Well the Study Treatment Asundexian Works and How Safe it is Compared to Apixaban to Prevent Stroke or Systemic Embolism in People With Irregular and Often Rapid Heartbeat (Atrial Fibrillation), and at Risk for Stroke</t>
  </si>
  <si>
    <t>NCT05567354</t>
  </si>
  <si>
    <t>A Study to Evaluate the Intranasal Abuse Potential of PF614 in Non-Dependent Recreational Opioid Users (PF614-103)</t>
  </si>
  <si>
    <t>NCT05556512</t>
  </si>
  <si>
    <t>A Study of Tirzepatide (LY3298176) on the Reduction on Morbidity and Mortality in Adults With Obesity</t>
  </si>
  <si>
    <t>NCT05475717</t>
  </si>
  <si>
    <t>A Study to Explore the Efficacy of Alprostadil Liposomes Injection in the Prevention of CI-AKI</t>
  </si>
  <si>
    <t>NCT05535608</t>
  </si>
  <si>
    <t>Targeting the Nine Hallmarks of Aging on DNA Methylation</t>
  </si>
  <si>
    <t>NCT05834868</t>
  </si>
  <si>
    <t>Efficacy and Safety of THDB0206 Compared to Insulin Lispro Injection in Participants With Type 2 Diabetes</t>
  </si>
  <si>
    <t>NCT05215574</t>
  </si>
  <si>
    <t>Study of NGM831 as Monotherapy and in Combination With Pembrolizumab or Pembrolizumab and NGM438 in Advanced or Metastatic Solid Tumors</t>
  </si>
  <si>
    <t>NCT04905693</t>
  </si>
  <si>
    <t>Extension Study of Inhaled Treprostinil in Subjects With Fibrotic Lung Disease</t>
  </si>
  <si>
    <t>NCT05133076</t>
  </si>
  <si>
    <t>Safety and Preliminary Efficacy of BGP345A in Constipation Due to Opioid-based Medications</t>
  </si>
  <si>
    <t>BioGaia Pharma AB</t>
  </si>
  <si>
    <t>NCT05470387</t>
  </si>
  <si>
    <t>A Study to Evaluate LB1148 for Return of Bowel Function in Subjects Undergoing Bowel Resection</t>
  </si>
  <si>
    <t>Palisade Bio</t>
  </si>
  <si>
    <t>NCT04936685</t>
  </si>
  <si>
    <t>Study on an Investigational Quadrivalent Meningococcal Conjugate Vaccine (MenACYW Conjugate Vaccine) Administered as a 5- and/or 10-year Booster Doses in Children and Adolescents Vaccinated 5 or 10 Years Earlier as Toddlers</t>
  </si>
  <si>
    <t>NCT05225415</t>
  </si>
  <si>
    <t>Study to Evaluate the Safety, Tolerability and Efficacy of CT1812 in Subjects With Mild to Moderate Dementia With Lewy Bodies</t>
  </si>
  <si>
    <t>NCT05409235</t>
  </si>
  <si>
    <t>Nesvategrast (OTT166) in Diabetic Retinopathy (DR)</t>
  </si>
  <si>
    <t>OcuTerra Therapeutics, Inc.</t>
  </si>
  <si>
    <t>NCT05121376</t>
  </si>
  <si>
    <t>A Gene Therapy Study of BMN 331 in Subjects With Hereditary Angioedema</t>
  </si>
  <si>
    <t>NCT05461768</t>
  </si>
  <si>
    <t>A Study of BL-M07D1 in Patients With Locally Advanced or Metastatic HER2 Positive/Low Expression Breast Cancer and Other Solid Tumors</t>
  </si>
  <si>
    <t>NCT06147908</t>
  </si>
  <si>
    <t>Clinical Trial to Evaluate the Pharmacokinetic Characteristics of DW5221 and DW5221-R</t>
  </si>
  <si>
    <t>NCT07564726</t>
  </si>
  <si>
    <t>Efficacy and Safety of Ezetimibe/Rosuvastatin and Amlodipine Patients With High Blood Pressure and High Cholesterol</t>
  </si>
  <si>
    <t>NCT05396235</t>
  </si>
  <si>
    <t>A Clinical Pharmacology Study of MT-3921 in Healthy Adult Males</t>
  </si>
  <si>
    <t>NCT05680740</t>
  </si>
  <si>
    <t>A Study to Investigate Efficacy and Safety of VTAMA (Tapinarof) Cream, 1% in Intertriginous Plaque Psoriasis</t>
  </si>
  <si>
    <t>NCT05394168</t>
  </si>
  <si>
    <t>A Phase I Clinical Study of HLX53 in Advanced/Metastatic Solid Tumors</t>
  </si>
  <si>
    <t>NCT05546476</t>
  </si>
  <si>
    <t>Study of the Efficacy and Safety of Ponsegromab in Patients With Cancer, Cachexia and Elevated GDF-15</t>
  </si>
  <si>
    <t>NCT05058391</t>
  </si>
  <si>
    <t>A Study of Elaprase in Children and Adults With Hunter Syndrome (Mucopolysaccharidosis II) in India</t>
  </si>
  <si>
    <t>NCT05383274</t>
  </si>
  <si>
    <t>Optilume PoST AppRoval Clinical Evaluation of Andrology ParaMeters</t>
  </si>
  <si>
    <t>Urotronic Inc.</t>
  </si>
  <si>
    <t>NCT05357027</t>
  </si>
  <si>
    <t>HPV16 E6 TCR T Cells for Cervical Carcinoma</t>
  </si>
  <si>
    <t>TCRCure Biopharma Ltd.</t>
  </si>
  <si>
    <t>NCT05358080</t>
  </si>
  <si>
    <t>Study to Evaluate Efficacy and Safety of Entelon 50mg in Patients With Non-Proliferative Diabetic Retinopathy</t>
  </si>
  <si>
    <t>NCT05211570</t>
  </si>
  <si>
    <t>AB8939 in Patients With Relapsed/Refractory Acute Myeloid Leukemia</t>
  </si>
  <si>
    <t>NCT05514873</t>
  </si>
  <si>
    <t>An Open-label Study to Evaluate the Safety, Tolerability, and Efficacy of Subcutaneous Zilucoplan in Participants With Generalized Myasthenia Gravis Who Were Previously Receiving Intravenous Complement Component 5 Inhibitors</t>
  </si>
  <si>
    <t>NCT05622890</t>
  </si>
  <si>
    <t>A Single-arm Clinical Trial of IMGN853 in Chinese Adult Patients With Platinum-resistant, Epithelial Ovarian Cancer</t>
  </si>
  <si>
    <t>Hangzhou Zhongmei Huadong Pharmaceutical Co., Ltd.</t>
  </si>
  <si>
    <t>NCT05509361</t>
  </si>
  <si>
    <t>Open Label Study to Evaluate the Safety and Efficacy of AK101 Injection Subcutaneously in Subjects With Psoriasis</t>
  </si>
  <si>
    <t>NCT05523141</t>
  </si>
  <si>
    <t>Study to Evaluate Safety, Tolerability, Pharmacokinetics and the Food Effect on PK of ASC10 Tablets in Healthy Subjects</t>
  </si>
  <si>
    <t>NCT05934097</t>
  </si>
  <si>
    <t>FT596 in Combination With R-CHOP in Subjects With B-Cell Lymphoma</t>
  </si>
  <si>
    <t>NCT05226780</t>
  </si>
  <si>
    <t>Extension Study to Evaluate How Safe and Tolerable NBI-921352 is as an Adjunctive Therapy for Participants With SCN8A-DEE</t>
  </si>
  <si>
    <t>NCT05533697</t>
  </si>
  <si>
    <t>Study of mRNA-4359 Administered Alone and in Combination With Immune Checkpoint Blockade in Participants With Advanced Solid Tumors</t>
  </si>
  <si>
    <t>NCT05261646</t>
  </si>
  <si>
    <t>A Clinical Study of Hetrombopag Olamine Tablets in Adults Receiving 21-day Cycles of Chemotherapy for Solid Tumours, Who Are Delayed for at Least 1 Week From Their Scheduled Cycle Because of Chemotherapy-induced Thrombocytopenia</t>
  </si>
  <si>
    <t>NCT05271318</t>
  </si>
  <si>
    <t>Oncolytic Adenovirus Coding for TNFa and IL2 (TILT-123) With Pembrolizumab or Pembrolizumab (Phase 1a) and Pegylated Liposomal Doxorubicin (Phase 1b) as Treatment for Ovarian Cancer.</t>
  </si>
  <si>
    <t>NCT05380323</t>
  </si>
  <si>
    <t>A Study of LY3541105 in Healthy and Overweight Participants</t>
  </si>
  <si>
    <t>NCT06607380</t>
  </si>
  <si>
    <t>A Randomized, Open-Label, Parallel-Design Pharmacokinetic and Pharmacodynamic Interaction Study of TNM002 and Adsorbed Tetanus Vaccine</t>
  </si>
  <si>
    <t>NCT06746480</t>
  </si>
  <si>
    <t>Clinical Study of VG161 in Advanced Intrahepatic Cholangiocarcinoma</t>
  </si>
  <si>
    <t>NCT05419362</t>
  </si>
  <si>
    <t>GEN-001 in Combination With Avelumab for Patients With PD-L1 Positive Gastric Cancer</t>
  </si>
  <si>
    <t>NCT05394662</t>
  </si>
  <si>
    <t>Safety and Effectiveness of Juveena™ Hydrogel System Following Transcervical Gynecologic Procedures (TCGP) At High-Risk for Intrauterine Adhesions</t>
  </si>
  <si>
    <t>Rejoni Inc.</t>
  </si>
  <si>
    <t>NCT05347576</t>
  </si>
  <si>
    <t>A Study to Evaluate the Pharmacokinetic Profiles and Safety of CKD-393(2) in Healthy Volunteers Under Fed Conditions</t>
  </si>
  <si>
    <t>NCT05361668</t>
  </si>
  <si>
    <t>Study to Evaluate the Safety, PK, and Dose Response of Paltusotine in Subjects With Carcinoid Syndrome</t>
  </si>
  <si>
    <t>NCT05181618</t>
  </si>
  <si>
    <t>A Study to Evaluate Overall Health, Physical Activity, and Joint Outcomes in Participants With Severe or Moderate Hemophilia A Without Factor VIII Inhibitors on Emicizumab Prophylaxis</t>
  </si>
  <si>
    <t>NCT05115110</t>
  </si>
  <si>
    <t>A Study to Investigate the Safety and Efficacy of RO7204239 in Combination With Risdiplam (RO7034067) in Participants With Spinal Muscular Atrophy</t>
  </si>
  <si>
    <t>NCT05759520</t>
  </si>
  <si>
    <t>Phase III Clinical Trial of 13-valent Pneumococcal Conjugate Vaccine (Multivalent Conjugate) in Infants</t>
  </si>
  <si>
    <t>Fosun Adgenvax Biopharmaceutical Co.,Ltd.</t>
  </si>
  <si>
    <t>NCT05580159</t>
  </si>
  <si>
    <t>New Generation mRNA Booster Vaccine Against Emerging VOCs</t>
  </si>
  <si>
    <t>NCT04315246</t>
  </si>
  <si>
    <t>177Lu-DTPA-Omburtamab Radioimmunotherapy for Leptomeningeal Metastasis From Solid Tumors (Breast, NSCLC, Malignant Melanoma)</t>
  </si>
  <si>
    <t>NCT05322070</t>
  </si>
  <si>
    <t>Fluocinolone Acetonide Intravitreal Implant 0.18 mg in the Treatment of Chronic Non-Infectious Posterior Segment Uveitis</t>
  </si>
  <si>
    <t>NCT05457283</t>
  </si>
  <si>
    <t>A Study to Learn More About How Safe the Study Treatment Finerenone is in Long-term Use When Taken With an ACE Inhibitor or Angiotensin Receptor Blocker Over 18 Months of Use in Children and Young Adults From 1 to 18 Years of Age With Chronic Kidney Disease and Proteinuria</t>
  </si>
  <si>
    <t>NCT05299554</t>
  </si>
  <si>
    <t>Long-term Safety Study of Chronocort in the Treatment of Participants With Congenital Adrenal Hyperplasia</t>
  </si>
  <si>
    <t>Immedica Pharma AB</t>
  </si>
  <si>
    <t>NCT05403866</t>
  </si>
  <si>
    <t>A Study to Evaluate the Safety and Efficacy of Multiple Doses of LT3001 Drug Product in AIS Subjects</t>
  </si>
  <si>
    <t>NCT05399641</t>
  </si>
  <si>
    <t>Ibrexafungerp for the Treatment of Complicated Vulvovaginal Candidiasis</t>
  </si>
  <si>
    <t>NCT05375305</t>
  </si>
  <si>
    <t>A Study of SHR8554 Injection for the Treatment of Pain After Orthopedic Surgery</t>
  </si>
  <si>
    <t>NCT05526066</t>
  </si>
  <si>
    <t>Study for Adolescents and Adults With Ornithine Transcarbamylase Deficiency to Evaluate Safety and Tolerability of ARCT-810</t>
  </si>
  <si>
    <t>NCT05224531</t>
  </si>
  <si>
    <t>Effect of CS1 in Subjects With Pulmonary Arterial Hypertension</t>
  </si>
  <si>
    <t>Cereno Scientific AB</t>
  </si>
  <si>
    <t>NCT06406153</t>
  </si>
  <si>
    <t>Efficacy and Safety of YW17 (Laronidase-CinnaGen) Compared to Aldurazyme® in MPS I Patients</t>
  </si>
  <si>
    <t>NCT05168683</t>
  </si>
  <si>
    <t>Scintigraphy Study in Healthy Volunteers to Characterize the Performance of ALLN-346 Tablets</t>
  </si>
  <si>
    <t>NCT05447494</t>
  </si>
  <si>
    <t>Phase 1/2 Study of CAN103 in Subjects With Gaucher Disease</t>
  </si>
  <si>
    <t>CANbridge (Suzhou) Bio-pharma Co., Ltd.</t>
  </si>
  <si>
    <t>NCT05035927</t>
  </si>
  <si>
    <t>Evaluation of Psilocybin (TRP-8802) in the Treatment of Binge Eating Disorder</t>
  </si>
  <si>
    <t>TRYP Therapeutics</t>
  </si>
  <si>
    <t>NCT05405595</t>
  </si>
  <si>
    <t>ADG126 in Combination With Pembrolizumab in Patients With Advanced/Metastatic Solid Tumors</t>
  </si>
  <si>
    <t>NCT05152901</t>
  </si>
  <si>
    <t>Study of Inhaled Epinephrine and Intramuscular Epinephrine Administered to Healthy Adults</t>
  </si>
  <si>
    <t>De Motu Cordis</t>
  </si>
  <si>
    <t>NCT05565742</t>
  </si>
  <si>
    <t>A Study of LY3819469 in Participants With Elevated Lipoprotein(a) [Lp(a)]</t>
  </si>
  <si>
    <t>NCT05970783</t>
  </si>
  <si>
    <t>A Study of Jincaopian Tablets on Chronic Pelvic Pain After Pelvic Inflammatory Disease</t>
  </si>
  <si>
    <t>NCT05202405</t>
  </si>
  <si>
    <t>A Study to Evaluate the Safety and Pharmacokinetics of AD-221 Compared to Coadministration of AD-221A and AD-221B</t>
  </si>
  <si>
    <t>NCT06411366</t>
  </si>
  <si>
    <t>Phase I: Safety and Efficacy of an Injectable Follistatin Plasmid Gene Therapy in Humans</t>
  </si>
  <si>
    <t>Minicircle</t>
  </si>
  <si>
    <t>NCT05255237</t>
  </si>
  <si>
    <t>Extension Study to Evaluate Safety and Efficacy of Jaktinib in Adults With Alopecia Areata</t>
  </si>
  <si>
    <t>NCT05539872</t>
  </si>
  <si>
    <t>Comparison of the Pharmacokinetics (PK) and Pharmacodynamics (PD) Biosimilarity of Proposed Biosimilar Rapid-Acting Insulin Aspart (I004) and NovoLog After Single-Dose Subcutaneous Administration to Healthy Volunteers</t>
  </si>
  <si>
    <t>Amphastar Pharmaceuticals, Inc.</t>
  </si>
  <si>
    <t>NCT05583227</t>
  </si>
  <si>
    <t>Efficacy and Safety of Tezepelumab in Patients With Eosinophilic Esophagitis</t>
  </si>
  <si>
    <t>NCT05203705</t>
  </si>
  <si>
    <t>Clinical Study on the Efficacy and Safety of Multiple Oral Administrations of SHR2285 Tablets in Patients Undergoing Elective Total Knee Arthroplasty</t>
  </si>
  <si>
    <t>NCT05166837</t>
  </si>
  <si>
    <t>The Safety of STSA-1002 Following Intravenous Infusion in Healthy Subjects</t>
  </si>
  <si>
    <t>NCT05771077</t>
  </si>
  <si>
    <t>Effect of Poly Amido Amine Dendrimer, Nano-hydroxyapatite</t>
  </si>
  <si>
    <t>NCT06589401</t>
  </si>
  <si>
    <t>Oral Paclitaxel for Patients with Advanced Solid Tumors</t>
  </si>
  <si>
    <t>NCT05346601</t>
  </si>
  <si>
    <t>Trial of Chiauranib Capsule on Pharmacokinetics to Assess the Effect of High Fat Diet in Healthy Volunteers</t>
  </si>
  <si>
    <t>NCT05487651</t>
  </si>
  <si>
    <t>Allogeneic NK T-Cells Expressing CD19 Specific CAR in B-Cell Malignancies</t>
  </si>
  <si>
    <t>NCT04966741</t>
  </si>
  <si>
    <t>Setmelanotide in Pediatric Participants With Rare Genetic Diseases of Obesity</t>
  </si>
  <si>
    <t>NCT05521022</t>
  </si>
  <si>
    <t>Study of AT-02 in Healthy Volunteers and Subjects With Systemic Amyloidosis</t>
  </si>
  <si>
    <t>NCT05585931</t>
  </si>
  <si>
    <t>Effect of TPN171H on Spermatogenesis</t>
  </si>
  <si>
    <t>NCT05438303</t>
  </si>
  <si>
    <t>Study to Assess the Effect of Co-Administration of AZD9833 on the Pharmacokinetics of Midazolam, of Omeprazole, of Celecoxib and of Dabigatran Etexilate in Healthy Postmenopausal Female Volunteers</t>
  </si>
  <si>
    <t>NCT05501886</t>
  </si>
  <si>
    <t>Gedatolisib Plus Fulvestrant With or Without Palbociclib vs Standard-of-Care for the Treatment of Patients With Advanced or Metastatic HR+/HER2- Breast Cancer (VIKTORIA-1)</t>
  </si>
  <si>
    <t>Celcuity Inc</t>
  </si>
  <si>
    <t>NCT05461456</t>
  </si>
  <si>
    <t>Bioavailability and Tolerability of Fexofenadine Hydrochloride Topical Lotion 1%</t>
  </si>
  <si>
    <t>OrchestratePharma GmbH</t>
  </si>
  <si>
    <t>NCT05133531</t>
  </si>
  <si>
    <t>A Study to Evaluate How Safe Pozelimab + Cemdisiran Combination Therapy is and How Well it Works in Adult Patients With Paroxysmal Nocturnal Hemoglobinuria (PNH) Who Have Not Recently Received or Have Not Received Complement Inhibitor Treatment</t>
  </si>
  <si>
    <t>NCT05610202</t>
  </si>
  <si>
    <t>Tolerability and Pharmacokinetics Study of TQB3702 Tablets in Hematologic Tumor Subjects</t>
  </si>
  <si>
    <t>NCT05639153</t>
  </si>
  <si>
    <t>A Trial to Evaluate the Safety, Tolerability, Pharmacokinetics and Preliminary Efficacy of DR30303 in Patients With Advanced Solid Tumors</t>
  </si>
  <si>
    <t>Zhejiang Doer Biologics Co., Ltd.</t>
  </si>
  <si>
    <t>NCT05429372</t>
  </si>
  <si>
    <t>Study of Fordadistrogene Movaparvovec in Early Stage Duchenne Muscular Dystrophy</t>
  </si>
  <si>
    <t>NCT05661461</t>
  </si>
  <si>
    <t>Dose-escalation Study to Assess Safety and Pharmacokinetics of Nab-Sirolimus in Patients With Locally Advanced or Metastatic Solid Tumors and Moderate Liver Impairment</t>
  </si>
  <si>
    <t>NCT05344742</t>
  </si>
  <si>
    <t>A Study of Mitoxantrone Hydrochloride Liposome Injection Combination Therapy in Chinese Patients With Advanced Solid Tumors</t>
  </si>
  <si>
    <t>NCT04997395</t>
  </si>
  <si>
    <t>Feasibility of Cannabidiol for the Treatment of Long COVID</t>
  </si>
  <si>
    <t>Bod Australia</t>
  </si>
  <si>
    <t>NCT05042375</t>
  </si>
  <si>
    <t>A Trial of Camrelizumab Combined With Famitinib Malate in Treatment Naïve Subjects With PD-L1-Positive Recurrent or Metastatic Non-Small Cell Lung Cancer</t>
  </si>
  <si>
    <t>NCT05435677</t>
  </si>
  <si>
    <t>A Research Study to Look at How Insulin Icodec and Semaglutide Work in the Body of People From China With Type 2 Diabetes When Given Alone or Together</t>
  </si>
  <si>
    <t>NCT06361212</t>
  </si>
  <si>
    <t>Ethoximod Pharmacokinetics In Healthy Subjects</t>
  </si>
  <si>
    <t>NCT05337267</t>
  </si>
  <si>
    <t>Phase I Study of Sintilimab in Healthy Chinese Male Subjects</t>
  </si>
  <si>
    <t>NCT04937166</t>
  </si>
  <si>
    <t>A Study of Dual-SIgnaling Protein 107 (DSP107) for Patients With Hematological Malignancies</t>
  </si>
  <si>
    <t>NCT05267600</t>
  </si>
  <si>
    <t>A Phase 2/3 Study of Efgartigimod PH20 SC in Adult Participants With Bullous Pemphigoid</t>
  </si>
  <si>
    <t>NCT05317819</t>
  </si>
  <si>
    <t>Study of ADI-PEG 20 Versus Placebo in Subjects With High Arginine Level and Unresectable Hepatocellular Carcinoma</t>
  </si>
  <si>
    <t>NCT05262530</t>
  </si>
  <si>
    <t>Safety and Preliminary Efficacy Trial of BNT142 in Patients With CLDN6-positive Solid Tumors</t>
  </si>
  <si>
    <t>NCT05207865</t>
  </si>
  <si>
    <t>Safety and Tolerability Study of Daily Dosing Rimegepant in Episodic Migraine Prevention</t>
  </si>
  <si>
    <t>NCT05267054</t>
  </si>
  <si>
    <t>Treatment of Relapsed or Refractory Diffuse Large B Cell Lymphoma With Ociperlimab (BGB-A1217) in Combination With Tislelizumab (BGB-A317) or Rituximab</t>
  </si>
  <si>
    <t>NCT05215951</t>
  </si>
  <si>
    <t>Osimertinib Plus Chemotherapy in Uncommon EGFRm NSCLC</t>
  </si>
  <si>
    <t>NCT05076175</t>
  </si>
  <si>
    <t>A Study Investigating Oral Ozanimod (RPC1063) in Pediatric Participants With Moderate to Severe Active Ulcerative Colitis</t>
  </si>
  <si>
    <t>NCT05837130</t>
  </si>
  <si>
    <t>Non-drug Treatment Study in Parkinson's Disease Patients and Healthy Volunteers to Collect Biological Samples in Order to Assess ex Vivo the Activity of Candidate Therapies and Develop Novel Analytical Methods for Biomarkers</t>
  </si>
  <si>
    <t>Servier</t>
  </si>
  <si>
    <t>NCT05494437</t>
  </si>
  <si>
    <t>Effect of PP-01 on Cannabis Withdrawal Syndrome</t>
  </si>
  <si>
    <t>PleoPharma, Inc.</t>
  </si>
  <si>
    <t>NCT07465731</t>
  </si>
  <si>
    <t>A Trial to Compare the Amount of Centanafadine That Enters the Bloodstream for Two Different Formulations of Centanafadine</t>
  </si>
  <si>
    <t>NCT05359133</t>
  </si>
  <si>
    <t>A Randomized, Double-Blind, Placebo Controlled, Multicenter, Efficacy and Safety Trial of Single Cycle Tetrodotoxin in the Treatment of Chemotherapy Induced Neuropathic Pain</t>
  </si>
  <si>
    <t>Wex Pharmaceuticals Inc.</t>
  </si>
  <si>
    <t>NCT05260008</t>
  </si>
  <si>
    <t>Study Assessing Pain Relief After Replacement of the Knee</t>
  </si>
  <si>
    <t>Allay Therapeutics, Inc.</t>
  </si>
  <si>
    <t>NCT05546268</t>
  </si>
  <si>
    <t>Study of Oral MRT-2359 in Selected Cancer Patients</t>
  </si>
  <si>
    <t>Monte Rosa Therapeutics, Inc</t>
  </si>
  <si>
    <t>NCT05360784</t>
  </si>
  <si>
    <t>"Efficacy and Safety of Brimonidine Tartrate Preservative-Free Formulation in Adults With Ocular Redness"</t>
  </si>
  <si>
    <t>NCT06350838</t>
  </si>
  <si>
    <t>Clinical Study to Investigate the Safety and Tolerance of Therapeutic BCG in Postoperative Adjuvant Therapy in Subjects With Moderate to High-risk Non-muscular Invasive Bladder Cancer (NMIBC)</t>
  </si>
  <si>
    <t>Chengdu CoenBiotech Co., Ltd</t>
  </si>
  <si>
    <t>NCT05369208</t>
  </si>
  <si>
    <t>Evaluation of Avatrombopag for the Treatment of Thrombocytopenia in Japanese Adults With Chronic ITP</t>
  </si>
  <si>
    <t>NCT05470608</t>
  </si>
  <si>
    <t>Phase II Study to Assess Safety and Efficacy of SL-1002 for Osteoarthritic Knee Pain</t>
  </si>
  <si>
    <t>NCT05604287</t>
  </si>
  <si>
    <t>Safety, Tolerability, and Pharmacokinetics of ID119031166M With the Exploration of Pharmacodynamic Effects</t>
  </si>
  <si>
    <t>NCT04791514</t>
  </si>
  <si>
    <t>A Study of Treprostinil Palmitil Inhalation Powder (TPIP) In Pulmonary Arterial Hypertension (PAH)</t>
  </si>
  <si>
    <t>NCT05245552</t>
  </si>
  <si>
    <t>A Clinical Trial of Quadrivalent Influenza Vaccine in Healthy Subjects Aged 6 to 35 Months</t>
  </si>
  <si>
    <t>NCT05333835</t>
  </si>
  <si>
    <t>A Trial Comparing the Efficacy and Safety of HR17031 Injection to INS068 Injection and to SHR20004 Injection in Patients With Type 2 Diabetes</t>
  </si>
  <si>
    <t>NCT06342921</t>
  </si>
  <si>
    <t>ADC189 Tablets on Influenza A Virus Infection/Influenza B Virus Infection</t>
  </si>
  <si>
    <t>Jiaxing AnDiCon Biotech Co.,Ltd</t>
  </si>
  <si>
    <t>NCT05490316</t>
  </si>
  <si>
    <t>A Study of IBI353 (Orismilast) in Chinese Healthy Adults</t>
  </si>
  <si>
    <t>NCT05740215</t>
  </si>
  <si>
    <t>Efficacy and Safety Study of F520 Combined With Lenvatinib in the Treatment of Patients With Advanced Solid Tumors</t>
  </si>
  <si>
    <t>NCT05224609</t>
  </si>
  <si>
    <t>A Study to Learn About the Study Medicine (Called Lorlatinib) in People With Liver Dysfunction</t>
  </si>
  <si>
    <t>NCT05357898</t>
  </si>
  <si>
    <t>Study of SQZ-eAPC-HPV in Patients With HPV16+ Recurrent, Locally Advanced or Metastatic Solid Tumors</t>
  </si>
  <si>
    <t>NCT05485987</t>
  </si>
  <si>
    <t>A Study of Vatiquinone for the Treatment of Participants With Friedreich Ataxia</t>
  </si>
  <si>
    <t>NCT05567952</t>
  </si>
  <si>
    <t>A Study to Learn About a Repeat 5-Day Treatment With the Study Medicines (Called Nirmatrelvir/Ritonavir) in People 12 Years Old or Older With Return of COVID-19 Symptoms and SARS-CoV-2 Positivity After Finishing Treatment With Nirmatrelvir/Ritonavir</t>
  </si>
  <si>
    <t>NCT05462106</t>
  </si>
  <si>
    <t>A Study to Assess the Effects of ACI-24.060 in Alzheimer's Disease and in Down Syndrome (ABATE Study)</t>
  </si>
  <si>
    <t>NCT05479058</t>
  </si>
  <si>
    <t>A Study Evaluating the Effect of Filgotinib Dose De-escalation in Participants With Ulcerative Colitis (UC) in Remission</t>
  </si>
  <si>
    <t>NCT05047185</t>
  </si>
  <si>
    <t>Dose-ranging Study of Oral PHA-022121 for Prophylaxis Against Angioedema Attacks in Patients With Hereditary Angioedema Type I or Type II</t>
  </si>
  <si>
    <t>NCT05209308</t>
  </si>
  <si>
    <t>Rituximab Plus Venetoclax in Combination With Zandelisib in Subjects With CLL</t>
  </si>
  <si>
    <t>NCT05630807</t>
  </si>
  <si>
    <t>Study of Bepirovirsen in Nucleos(t)Ide Analogue-treated Participants With Chronic Hepatitis B (B-Well 1)</t>
  </si>
  <si>
    <t>NCT05263934</t>
  </si>
  <si>
    <t>Efficacy and Safety of Depemokimab Compared With Mepolizumab in Adults With Relapsing or Refractory Eosinophilic Granulomatosis With Polyangiitis (EGPA)</t>
  </si>
  <si>
    <t>NCT05153434</t>
  </si>
  <si>
    <t>A Study of Oral ARD-101 in Patients With Prader-Willi Syndrome</t>
  </si>
  <si>
    <t>NCT05322096</t>
  </si>
  <si>
    <t>Study to Evaluate Efficacy, Safety, and Tolerability of RGH-706 in Prader-Willi Syndrome</t>
  </si>
  <si>
    <t>NCT05206591</t>
  </si>
  <si>
    <t>Study to Demonstrate the Efficacy and Safety of Secukinumab up to 224 Weeks in Subjects With Active Peripheral Spondyloarthritis (pSpA).</t>
  </si>
  <si>
    <t>NCT05303220</t>
  </si>
  <si>
    <t>A Study to Assess Relative Bioavailability of Branebrutinib, From a Tablet Formulation to the Capsule Formulation, the Effect of Food on the Bioavailability of Branebrutinib From a Tablet Formulation, and the Safety and Drug Levels of Branebrutinib From a Tablet Formulation in Healthy Participants</t>
  </si>
  <si>
    <t>NCT05121350</t>
  </si>
  <si>
    <t>A Clinical Trial to Evaluate the Efficacy and Safety of Anotinib Hydrochloride Capsule Combined With Epirubicin Hydrochloride Versus Placebo Combined With Epirubicin Hydrochloride in First-line Treatment of Advanced Soft Tissue Sarcoma</t>
  </si>
  <si>
    <t>NCT04893174</t>
  </si>
  <si>
    <t>Mesenchymal Stem Cells for The Treatment of Knee Osteoarthritis (KOA).</t>
  </si>
  <si>
    <t>NCT05416359</t>
  </si>
  <si>
    <t>Phase I Clinical Trial of TQB3915 Tablets in Subjects With Advanced Malignant Solid Tumors</t>
  </si>
  <si>
    <t>NCT05472090</t>
  </si>
  <si>
    <t>A Phase 2 Study to Evaluate the Efficacy and Safety of TNX-102 SL in Patients With Multi-Site Pain Associated With Post-Acute Sequelae of SARS-CoV-2 Infection</t>
  </si>
  <si>
    <t>NCT05104918</t>
  </si>
  <si>
    <t>Vortioxetine as a Novel Anti-depressant With Improvement in Cognitive Abilities</t>
  </si>
  <si>
    <t>Scotmann Pharmaceuticals</t>
  </si>
  <si>
    <t>NCT05579418</t>
  </si>
  <si>
    <t>The Safety and Long-Term Clinical Benefit of PCSK9i in STEMI Patients</t>
  </si>
  <si>
    <t>NCT05147727</t>
  </si>
  <si>
    <t>Drug-drug Interaction Study Between Fluconazole and Famitinib in Healthy Subjects</t>
  </si>
  <si>
    <t>NCT05411861</t>
  </si>
  <si>
    <t>Post-Operative Pain and Opioid Reduction Trial After Bunionectomy</t>
  </si>
  <si>
    <t>NCT05233761</t>
  </si>
  <si>
    <t>Evaluation of an Oral Cannabidiol (CBD)-Terpene Formulation on Sleep Physiology in Participants With Insomnia</t>
  </si>
  <si>
    <t>Defined Research</t>
  </si>
  <si>
    <t>NCT04982289</t>
  </si>
  <si>
    <t>Study of ALXN1830 Administered Subcutaneously in Adults With Generalized Myasthenia Gravis</t>
  </si>
  <si>
    <t>NCT05413850</t>
  </si>
  <si>
    <t>Anti-tumour Activity of (177Lu) rhPSMA-10.1 Injection</t>
  </si>
  <si>
    <t>Blue Earth Therapeutics Ltd</t>
  </si>
  <si>
    <t>NCT05508074</t>
  </si>
  <si>
    <t>Treatment Combining Riluzole and IFB-088 in Bulbar Amyotrophic Lateral Sclerosis (TRIALS Protocol)</t>
  </si>
  <si>
    <t>InFlectis BioScience</t>
  </si>
  <si>
    <t>NCT04925960</t>
  </si>
  <si>
    <t>Oral Epalrestat Therapy in Pediatric Subjects With PMM2-CDG</t>
  </si>
  <si>
    <t>Maggie's Pearl, LLC</t>
  </si>
  <si>
    <t>NCT05456880</t>
  </si>
  <si>
    <t>BEACON: A Study Evaluating the Safety and Efficacy of BEAM-101 in Patients With Severe Sickle Cell Disease</t>
  </si>
  <si>
    <t>Beam Therapeutics Inc.</t>
  </si>
  <si>
    <t>NCT05482308</t>
  </si>
  <si>
    <t>A Study to Compare Two Tablet Forms of Tafamidis in Healthy Participants</t>
  </si>
  <si>
    <t>NCT06733688</t>
  </si>
  <si>
    <t>A Study to Evaluate Oral Formulations of Tedizolid Phosphate in Healthy Participants (MK-1986-043)</t>
  </si>
  <si>
    <t>NCT05161715</t>
  </si>
  <si>
    <t>Proof-of-concept, Open-label Study in Patients With Early Alzheimer's Disease</t>
  </si>
  <si>
    <t>NCT05034874</t>
  </si>
  <si>
    <t>Multiple-Dose Study to Evaluate the Safety and Efficacy of IXT-m200</t>
  </si>
  <si>
    <t>NCT05183360</t>
  </si>
  <si>
    <t>A Study in Healthy Japanese and Chinese Men to Test How Well Different Doses of BI 706321 Are Tolerated</t>
  </si>
  <si>
    <t>NCT05493800</t>
  </si>
  <si>
    <t>Evaluate the Safety and Efficacy for Oral Mucositis Prevention of MIT-001 in Auto HSCT</t>
  </si>
  <si>
    <t>NCT05331300</t>
  </si>
  <si>
    <t>A Study to Evaluate the Safety, Preliminary Efficacy, and Pharmacokinetic Properties of LASN01 in Healthy Subjects and in Patients With Pulmonary Fibrosis or Thyroid Eye Disease</t>
  </si>
  <si>
    <t>Lassen Therapeutics 1 PTY LTD</t>
  </si>
  <si>
    <t>NCT05619692</t>
  </si>
  <si>
    <t>A Study to Evaluate the Effects of SAGE-718 in Participants With Mild Cognitive Impairment or Mild Dementia Due to Alzheimer's Disease (AD)</t>
  </si>
  <si>
    <t>NCT05440344</t>
  </si>
  <si>
    <t>A Study of Imlunestrant (LY3484356) in Female Participants With Impaired Liver Function</t>
  </si>
  <si>
    <t>NCT05337553</t>
  </si>
  <si>
    <t>A Study to Evaluate the Efficacy and Safety of Taldefgrobep Alfa in Participants With Spinal Muscular Atrophy</t>
  </si>
  <si>
    <t>NCT05259839</t>
  </si>
  <si>
    <t>A Study to Assess Adverse Events and Change in Disease Activity of Intravenously (IV) Infused Etentamig (ABBV-383) in Combination With Anti-Cancer Regimens for the Treatment of Adult Participants With Relapsed/Refractory Multiple Myeloma</t>
  </si>
  <si>
    <t>NCT05625477</t>
  </si>
  <si>
    <t>Study to Compare the Anti-tetanus Neutralizing Antibody Titers and Safety of TNM002 Injection With Human Tetanus Immunoglobulin or Placebo in Adult Volunteers</t>
  </si>
  <si>
    <t>NCT05306444</t>
  </si>
  <si>
    <t>CLN-418 Study on Subjects With Advanced Solid Tumors</t>
  </si>
  <si>
    <t>Harbour BioMed US, Inc.</t>
  </si>
  <si>
    <t>NCT05431153</t>
  </si>
  <si>
    <t>A Study to Investigate the Effect of Tablet Formulation and Food on PF-07104091 in Healthy Participants</t>
  </si>
  <si>
    <t>NCT05194072</t>
  </si>
  <si>
    <t>A Study of Felmetatug Vedotin/SGN-B7H4V in Advanced Solid Tumors</t>
  </si>
  <si>
    <t>NCT05492201</t>
  </si>
  <si>
    <t>A Study of LY3873862 in Healthy Participants</t>
  </si>
  <si>
    <t>NCT05533801</t>
  </si>
  <si>
    <t>A Study to Demonstrate the Bioequivalence of Lecanemab Supplied in Vials and a Single-Use Auto-Injector (AI) in Healthy Participants</t>
  </si>
  <si>
    <t>NCT05639192</t>
  </si>
  <si>
    <t>Asunercept for the Treatment of Patients With Moderate to Severe COVID-19 Disease</t>
  </si>
  <si>
    <t>Apogenix GmbH</t>
  </si>
  <si>
    <t>NCT05201937</t>
  </si>
  <si>
    <t>A Study of JNJ-64281802 in Healthy Adult Participants</t>
  </si>
  <si>
    <t>NCT05533775</t>
  </si>
  <si>
    <t>A Study to Evaluate Glofitamab Monotherapy and Glofitamab + Chemoimmunotherapy in Pediatric and Young Adult Participants With Relapsed/Refractory Mature B-Cell Non-Hodgkin Lymphoma</t>
  </si>
  <si>
    <t>NCT04042844</t>
  </si>
  <si>
    <t>A Single Dose of BRTX 100 for Patients With Chronic Lumbar Disc Disease (cLDD)</t>
  </si>
  <si>
    <t>BioRestorative Therapies</t>
  </si>
  <si>
    <t>NCT05456529</t>
  </si>
  <si>
    <t>Study of Ruxolitinib Cream in Adolescents With Atopic Dermatitis</t>
  </si>
  <si>
    <t>NCT05520177</t>
  </si>
  <si>
    <t>A Phase III Study for 601 Versus Ranibizumab in Patients With Vision Loss</t>
  </si>
  <si>
    <t>NCT06416865</t>
  </si>
  <si>
    <t>Efficacy and Safety of AJU-C52 in Essential Hypertension Patients</t>
  </si>
  <si>
    <t>NCT05013567</t>
  </si>
  <si>
    <t>Efficacy and Safety Study of Ibuprofen Gel Compared to Placebo in the Treatment of Acute Musculoskeletal Pain</t>
  </si>
  <si>
    <t>NCT05351892</t>
  </si>
  <si>
    <t>A Study to Learn More About How Much of the Study Treatment Elinzanetant (or BAY3427080) Gets Absorbed, How Safe it is and How it Affects the Body in Healthy Female and Male Participants</t>
  </si>
  <si>
    <t>NCT05409911</t>
  </si>
  <si>
    <t>A Study to Assess S-217622 in Participants With Mild and Moderate Hepatic Impairment and Healthy Control Participants</t>
  </si>
  <si>
    <t>NCT05318534</t>
  </si>
  <si>
    <t>Safety, Tolerability, Pharmacokinetic, and Pharmacodynamic Study in Healthy Male and Female Subjects and Safety, Tolerability, Pharmacokinetics, and Pilot Efficacy Biomarkers in Subjects With Cold Agglutinin Disease</t>
  </si>
  <si>
    <t>Gliknik Inc.</t>
  </si>
  <si>
    <t>NCT05310734</t>
  </si>
  <si>
    <t>PK and Safety Study of Natroba Topical Suspension 0.9% in Subjects 1 Month to 3 Years 11 Months of Age With Scabies</t>
  </si>
  <si>
    <t>Cipher Pharmaceuticals Inc.</t>
  </si>
  <si>
    <t>NCT05349721</t>
  </si>
  <si>
    <t>Study to Assess the Effects of PTC857 Treatment in Participants With Amyotrophic Lateral Sclerosis ALS</t>
  </si>
  <si>
    <t>NCT05245084</t>
  </si>
  <si>
    <t>A Clinical Trial to Evaluate the Tolerability and Pharmacokinetics of CKD-386(3) 80/20/10mg</t>
  </si>
  <si>
    <t>NCT05367778</t>
  </si>
  <si>
    <t>Phase 1/2 Study of HS-10370 in Patients with Advanced Solid Tumors</t>
  </si>
  <si>
    <t>NCT05586152</t>
  </si>
  <si>
    <t>Study of INV-102 Ophthalmic Solution in Adults With Moderate Symptomatic Dry Eye Disease</t>
  </si>
  <si>
    <t>Invirsa, Inc.</t>
  </si>
  <si>
    <t>NCT05249426</t>
  </si>
  <si>
    <t>A Study to Test Whether Different Combinations of BI 765063, Ezabenlimab, Chemotherapy, Cetuximab, and BI 836880 Help People With Head and Neck Cancer or Liver Cancer</t>
  </si>
  <si>
    <t>NCT05158387</t>
  </si>
  <si>
    <t>Efficacy and Safety of Tozorakimab in Symptomatic Chronic Obstructive Pulmonary Disease With a History of Exacerbations.</t>
  </si>
  <si>
    <t>NCT05220748</t>
  </si>
  <si>
    <t>RM-1995 Photoimmunotherapy, as Monotherapy or Combined With Pembrolizumab, in Patients With Advanced CuSCC and HNSCC</t>
  </si>
  <si>
    <t>NCT05191706</t>
  </si>
  <si>
    <t>Evaluate the Safety of DEXYCU for the Treatment of Inflammation Following Ocular Surgery for Childhood Cataract</t>
  </si>
  <si>
    <t>NCT05466149</t>
  </si>
  <si>
    <t>Efficacy and Safety of Furmonertinib in Patients With Locally Advanced or Metastatic NSCLC With EGFR Exon 20 Insertion</t>
  </si>
  <si>
    <t>NCT05378178</t>
  </si>
  <si>
    <t>A PhaseⅠStudy of HS-10381 in Patients With Advanced Solid Tumors</t>
  </si>
  <si>
    <t>NCT05238493</t>
  </si>
  <si>
    <t>A Dose Escalation Study to Evaluate the Safety, Tolerability, Pharmacokinetics, and Pharmacodynamics of VEL-101</t>
  </si>
  <si>
    <t>NCT05536752</t>
  </si>
  <si>
    <t>QA102 Phase II Study in Subjects With Dry AMD</t>
  </si>
  <si>
    <t>NCT05374343</t>
  </si>
  <si>
    <t>A Study of the Pharmacokinetics, Pharmacodynamics, and Safety of Rongliflozin in Type 2 Diabetic Subjects With Renal Impairment</t>
  </si>
  <si>
    <t>NCT05288543</t>
  </si>
  <si>
    <t>A Study of Orally Administered IPG7236 in Healthy Adult Participants</t>
  </si>
  <si>
    <t>NCT05282004</t>
  </si>
  <si>
    <t>Study of the Safety of Use of Intravitreal SOK583A1 Provided in a Vial Kit</t>
  </si>
  <si>
    <t>NCT05254743</t>
  </si>
  <si>
    <t>A Study of Pirtobrutinib (LOXO-305) Versus Ibrutinib in Participants With Chronic Lymphocytic Leukemia (CLL)/Small Lymphocytic Lymphoma (SLL)</t>
  </si>
  <si>
    <t>NCT05523947</t>
  </si>
  <si>
    <t>Clinical Trial of YH32367 in Patients With HER2 Positive Locally Advanced or Metastatic Solid Tumor</t>
  </si>
  <si>
    <t>NCT05693558</t>
  </si>
  <si>
    <t>NVD-003 in the Treatment of Congenital Pseudarthrosis of the Tibia</t>
  </si>
  <si>
    <t>Novadip Biosciences</t>
  </si>
  <si>
    <t>NCT05505955</t>
  </si>
  <si>
    <t>Study of HRS-5965 in Healthy Subjects and Subjects With Renal Insufficiency</t>
  </si>
  <si>
    <t>Chengdu Suncadia Medicine Co., Ltd.</t>
  </si>
  <si>
    <t>NCT05393284</t>
  </si>
  <si>
    <t>Phase 2 Spectra Study to Evaluate the Safety and Efficacy of OPL-0401 in Patients With Diabetic Retinopathy</t>
  </si>
  <si>
    <t>Valo Health, Inc.</t>
  </si>
  <si>
    <t>NCT05556148</t>
  </si>
  <si>
    <t>Otrivine: Quality of Life (QoL) Impact in a Real-World Setting</t>
  </si>
  <si>
    <t>NCT05263895</t>
  </si>
  <si>
    <t>Relative Bioavailability Study of 4 Different Formulations of PF-07321332 Relative to the Commercial Tablet Formulation</t>
  </si>
  <si>
    <t>NCT05414136</t>
  </si>
  <si>
    <t>Evaluating the Safety, Tolerability, and Pharmacokinetics of BAT1006</t>
  </si>
  <si>
    <t>NCT05564611</t>
  </si>
  <si>
    <t>PK, PD, Safety &amp; Immunogenicity of ADL-018 Lyo in Healthy Adult Subjects</t>
  </si>
  <si>
    <t>Kashiv BioSciences, LLC</t>
  </si>
  <si>
    <t>NCT05429398</t>
  </si>
  <si>
    <t>A Study of Linperlisib Combination With Camrelizumab in Patients With Solid Tumor</t>
  </si>
  <si>
    <t>NCT05464784</t>
  </si>
  <si>
    <t>MN-001 in Non-alcoholic Fatty Liver Disease, Type 2 Diabetes Mellitus, and Hypertriglyceridemia</t>
  </si>
  <si>
    <t>NCT05643248</t>
  </si>
  <si>
    <t>To Assess Safety, Tolerability and PK of NEX-20A, a Subcutaneous Prolonged-release Injection to Healthy Subjects</t>
  </si>
  <si>
    <t>NCT05516498</t>
  </si>
  <si>
    <t>Zibotentan and Dapagliflozin Combination, EvAluated in Liver Cirrhosis (ZEAL Study)</t>
  </si>
  <si>
    <t>NCT05471648</t>
  </si>
  <si>
    <t>A Pharmacokinetic Study Comparing EG1206A and Perjeta (Pertzumab) in Healthy Male Volunteers</t>
  </si>
  <si>
    <t>EirGenix, Inc.</t>
  </si>
  <si>
    <t>NCT05515393</t>
  </si>
  <si>
    <t>A Study of XY03-EA Tablets in the Treatment of Acute Ischemic Stroke</t>
  </si>
  <si>
    <t>NCT05505916</t>
  </si>
  <si>
    <t>An Open-label Extension Trial to Evaluate the Long-term Safety of KVD900 (Sebetralstat) for On-Demand Treatment of Angioedema Attacks in Adolescent and Adult Patients With Hereditary Angioedema (HAE)</t>
  </si>
  <si>
    <t>NCT05375084</t>
  </si>
  <si>
    <t>SHP2 Inhibitor BBP-398 in Combination With Nivolumab in Patients With Advanced Non-Small Cell Lung Cancer With a KRAS Mutation</t>
  </si>
  <si>
    <t>NCT06194552</t>
  </si>
  <si>
    <t>A Multiple Dose Study of the Safety and Pharmacokinetics of NTRX-07</t>
  </si>
  <si>
    <t>NeuroTherapia, Inc.</t>
  </si>
  <si>
    <t>NCT05677893</t>
  </si>
  <si>
    <t>A Phase I Study to Evaluate the Safety, Tolerability, and Pharmacokinetics of Single and Multiple Ascending Doses of Inhaled MBS-COV (SNS812) in Healthy Participants</t>
  </si>
  <si>
    <t>NCT05324293</t>
  </si>
  <si>
    <t>To Evaluate the Safety, Tolerability and Efficacy in Male and Female with AGA Treated with HMI-115 Over a 24-week Treatment Period</t>
  </si>
  <si>
    <t>NCT05220098</t>
  </si>
  <si>
    <t>First-in-Human Study of TAK-280 in Participants With Solid Tumors</t>
  </si>
  <si>
    <t>NCT05260021</t>
  </si>
  <si>
    <t>A Study to Evaluate Tirzepatide (LY3298176) in Pediatric and Adolescent Participants With Type 2 Diabetes Mellitus Inadequately Controlled With Metformin or Basal Insulin or Both</t>
  </si>
  <si>
    <t>NCT05599516</t>
  </si>
  <si>
    <t>Recombinant COVID-19 Vaccine (CHO Cell, NVSI-06-09) Phase III Clinical Trial</t>
  </si>
  <si>
    <t>NCT06311734</t>
  </si>
  <si>
    <t>A Study of LW231 to Evaluate Safety, Tolerability, Pharmacokinetics and Pharmacodynamics in Healthy Volunteers and Participants With Chronic Hepatitis B Virus Infection</t>
  </si>
  <si>
    <t>Shanghai Longwood Biopharmaceuticals Co., Ltd.</t>
  </si>
  <si>
    <t>NCT04828694</t>
  </si>
  <si>
    <t>Pharmacokinetic and Safety Study of Naltrexone Release From Subcutaneous BICX104 Pellets Compared to Vivitrol Injections</t>
  </si>
  <si>
    <t>BioCorRx Inc</t>
  </si>
  <si>
    <t>NCT05342883</t>
  </si>
  <si>
    <t>GammaTile and Stupp in Newly Diagnosed GBM</t>
  </si>
  <si>
    <t>NCT05614895</t>
  </si>
  <si>
    <t>A Study to Investigate the Pharmacokinetics of RO7223280 in Critically Ill Participants With Bacterial Infections</t>
  </si>
  <si>
    <t>NCT05389137</t>
  </si>
  <si>
    <t>To Identify the Immunogenicity and Safety of QIV in Children Aged 3-8 Years</t>
  </si>
  <si>
    <t>NCT05442684</t>
  </si>
  <si>
    <t>A Study to Evaluate the Safety and Immunogenicity of Ad5-vector Based Vaccine Against Coronavirus Variants in Adults (≥18 Years) Immunized With 2 Doses of mRNA Vaccines Plus One Dose of Booster AZD1222 Vaccine</t>
  </si>
  <si>
    <t>NCT07036133</t>
  </si>
  <si>
    <t>Study to Evaluate the Pharmacokinetics and Safety of Pralatrexate in Patients With Advanced Solid Tumor or Hematological Malignancy and Either Normal Hepatic Function or Mild, Moderate, or Severe Hepatic Impairment</t>
  </si>
  <si>
    <t>NCT05232149</t>
  </si>
  <si>
    <t>A Study to Evaluate the Efficacy and Safety of Orelabrutinib in Adult Patients With Immune Thrombocytopenia</t>
  </si>
  <si>
    <t>NCT05568095</t>
  </si>
  <si>
    <t>A Clinical Trial of a New Combination Treatment, Domvanalimab and Zimberelimab, Plus Chemotherapy, for People With an Upper Gastrointestinal Tract Cancer That Cannot be Removed With Surgery That Has Spread to Other Parts of the Body</t>
  </si>
  <si>
    <t>NCT05446129</t>
  </si>
  <si>
    <t>A Study in People With Colorectal Cancer to Test Whether Ezabenlimab or Pembrolizumab in Combination With BI 765063 Lead to Side Effects or Delays in Surgery</t>
  </si>
  <si>
    <t>NCT05503511</t>
  </si>
  <si>
    <t>Safety and Pharmacokinetic Study of NPT 2042 Soft-gelatin Capsules Administered Orally to Healthy Adult Subjects</t>
  </si>
  <si>
    <t>NeuroPro Therapeutics, Inc.</t>
  </si>
  <si>
    <t>NCT05537571</t>
  </si>
  <si>
    <t>Evaluate SLN360 in Participants With Elevated Lipoprotein(a) at High Risk of Atherosclerotic Cardiovascular Disease Events</t>
  </si>
  <si>
    <t>NCT05138822</t>
  </si>
  <si>
    <t>Safety, Tolerability, Pharmacokinetic and Microbiological Investigation of GSK3882347 in Female Participants With Urinary Tract Infections</t>
  </si>
  <si>
    <t>NCT04877522</t>
  </si>
  <si>
    <t>Asciminib Roll-over Study</t>
  </si>
  <si>
    <t>NCT05158777</t>
  </si>
  <si>
    <t>NCT05265975</t>
  </si>
  <si>
    <t>A Study of ATG-010 in Combination With Lenalidomide and Rituximab (R2) in Adults With DLBCL and iNHL</t>
  </si>
  <si>
    <t>NCT04919512</t>
  </si>
  <si>
    <t>A Study of TAR-200 in Combination With Cetrelimab and Cetrelimab Alone in Participants With Muscle-Invasive Urothelial Carcinoma of the Bladder</t>
  </si>
  <si>
    <t>NCT05188677</t>
  </si>
  <si>
    <t>Immunogenicity and Safety Study of SCB-2019 Vaccine as a Booster to COVID-19 Vaccine in Adults</t>
  </si>
  <si>
    <t>NCT05441553</t>
  </si>
  <si>
    <t>A Study to Evaluate the Safety and Efficacy of VGB-R04 in Adult Hemophilia B Patients</t>
  </si>
  <si>
    <t>Shanghai Vitalgen BioPharma Co., Ltd.</t>
  </si>
  <si>
    <t>NCT05156645</t>
  </si>
  <si>
    <t>A Study to Evaluate Efficacy and Safety of the Combination of SCTA01 &amp; SCTA01C in Outpatients With COVID-19</t>
  </si>
  <si>
    <t>NCT05518045</t>
  </si>
  <si>
    <t>A Study of LM-108 as Monotherapy or in Combination With Antitumor Therapies in Subjects With Advanced Solid Tumors</t>
  </si>
  <si>
    <t>NCT05242445</t>
  </si>
  <si>
    <t>A Study of Cetrelimab in Participants With Chronic Hepatitis B Virus Infection</t>
  </si>
  <si>
    <t>NCT05227339</t>
  </si>
  <si>
    <t>RAE (Realize, Analyze, Engage)</t>
  </si>
  <si>
    <t>ContinueYou, LLC</t>
  </si>
  <si>
    <t>NCT05323461</t>
  </si>
  <si>
    <t>A Study to Evaluate the Immunogenicity and Safety of Two Recombinant Protein COVID-19 Vaccines in Population Aged ≥18 Years as Booster Vaccines</t>
  </si>
  <si>
    <t>NCT05567783</t>
  </si>
  <si>
    <t>A Phase 2 Study to Evaluate the Efficacy and Safety of VIR-2482 for the Prevention of Illness Due to Influenza A</t>
  </si>
  <si>
    <t>NCT05232929</t>
  </si>
  <si>
    <t>Long-term Follow-up Study of Risdiplam in Participants With Spinal Muscular Atrophy (SMA)</t>
  </si>
  <si>
    <t>NCT05220722</t>
  </si>
  <si>
    <t>Pressure Enabled Delivery of SD-101 With Checkpoint Blockade for Primary Liver Tumors</t>
  </si>
  <si>
    <t>NCT05493631</t>
  </si>
  <si>
    <t>A Phase 1b Study to Assess the Safety, Tolerability, PK and PD of MG1113 in Hemophilia Patient</t>
  </si>
  <si>
    <t>NCT05211986</t>
  </si>
  <si>
    <t>Safety and Tolerability of IMM01-STEM in Patients With Muscle Atrophy Related to Knee Osteoarthritis.</t>
  </si>
  <si>
    <t>Immunis, Inc.</t>
  </si>
  <si>
    <t>NCT05288205</t>
  </si>
  <si>
    <t>Phase 1/2a Study of JAB-21822 Plus JAB-3312 in Patients With Advanced Solid Tumors Harboring KRAS p.G12C Mutation</t>
  </si>
  <si>
    <t>NCT04423861</t>
  </si>
  <si>
    <t>Efficacy and Safety of Nitazoxanide 600 mg BID Versus Placebo for the Treatment of Hospitalized Patients With COVID-19</t>
  </si>
  <si>
    <t>NCT05748405</t>
  </si>
  <si>
    <t>Phase 1/2 Trial of AEF0217 in Participants With Down Syndrome</t>
  </si>
  <si>
    <t>NCT05027594</t>
  </si>
  <si>
    <t>Ph I Study in Adult Patients With Relapsed or Refractory Multiple Myeloma</t>
  </si>
  <si>
    <t>NCT05652205</t>
  </si>
  <si>
    <t>A Study to Assess Adverse Events and Change in Symptoms With Linaclotide Versus Placebo in Pediatric Subjects, Ages 2 to 5 Years, With Functional Constipation</t>
  </si>
  <si>
    <t>NCT05266612</t>
  </si>
  <si>
    <t>Phase I Study VG2025 as a Single Agent and in Combination Therapy With Nivolumab in Subjects With Advanced Malignant Solid Tumors</t>
  </si>
  <si>
    <t>Virogin Biotech Canada Ltd</t>
  </si>
  <si>
    <t>NCT05171647</t>
  </si>
  <si>
    <t>A Study Evaluating Efficacy and Safety of Mosunetuzumab in Combination With Polatuzumab Vedotin Compared to Rituximab in Combination With Gemcitabine Plus Oxaliplatin in Participants With Relapsed or Refractory Aggressive B-Cell Non-Hodgkin's Lymphoma</t>
  </si>
  <si>
    <t>NCT05449132</t>
  </si>
  <si>
    <t>Comparison of a Single RTX-GRT7039 and Placebo Intra-articular Injection for Pain Associated With Osteoarthritis of the Knee</t>
  </si>
  <si>
    <t>Grünenthal GmbH</t>
  </si>
  <si>
    <t>NCT06429306</t>
  </si>
  <si>
    <t>Study of Dexycu in Treating Intraocular Inflammation</t>
  </si>
  <si>
    <t>NCT05425732</t>
  </si>
  <si>
    <t>Safety and Immunogenicity of V116 in Pneumococcal Vaccine-naïve Adults (V116-003, STRIDE-3)</t>
  </si>
  <si>
    <t>NCT05347147</t>
  </si>
  <si>
    <t>A Trial to Determine the Efficacy and Safety of Presendin in IIH</t>
  </si>
  <si>
    <t>Invex Therapeutics Ltd.</t>
  </si>
  <si>
    <t>NCT06696716</t>
  </si>
  <si>
    <t>ONO-4059 Study in Patients With Steroid-resistant Pemphigus</t>
  </si>
  <si>
    <t>NCT05501652</t>
  </si>
  <si>
    <t>ALLEVIATE-HF-HD Study</t>
  </si>
  <si>
    <t>NCT05191784</t>
  </si>
  <si>
    <t>GX-I7 in Combination With Bevacizumab in Recurrent Glioblastoma (GBM) Patients</t>
  </si>
  <si>
    <t>NCT05370521</t>
  </si>
  <si>
    <t>A Study of Safety and Efficacy of Tildacerfont in Females With Polycystic Ovary Syndrome and Elevated Adrenal Androgens</t>
  </si>
  <si>
    <t>NCT05341570</t>
  </si>
  <si>
    <t>A Phase I Study to Evaluate the Safety, Tolerability, Pharmacokinetics and Preliminary Efficacy of BPI-21668</t>
  </si>
  <si>
    <t>NCT05665088</t>
  </si>
  <si>
    <t>Dexmedetomidine in the Treatment of Agitation Associated With Dementia (TRANQUILITY III)</t>
  </si>
  <si>
    <t>NCT05099770</t>
  </si>
  <si>
    <t>Proact: A Study of REACT in Subjects With Type 2 Diabetes Mellitus and Chronic Kidney Disease</t>
  </si>
  <si>
    <t>NCT05428969</t>
  </si>
  <si>
    <t>A Study to Assess Safety, Tolerability and Preliminary Efficacy of Bexmarilimab in Combination With Standard of Care in Patients With Hematological Malignancies</t>
  </si>
  <si>
    <t>NCT05204394</t>
  </si>
  <si>
    <t>Study to Evaluate Efficacy and Safety of Switching to VM-1500A-LAI + 2NRTIs From the 1st Line Standard of Care Therapy</t>
  </si>
  <si>
    <t>NCT05246137</t>
  </si>
  <si>
    <t>A Phase III Trial to Assess the Safety and Immunogenicity of a HIPRA's Candidate Booster Vaccination Against COVID-19.</t>
  </si>
  <si>
    <t>NCT02826837</t>
  </si>
  <si>
    <t>LEAC-102 for Advanced Colorectal Cancer</t>
  </si>
  <si>
    <t>Taiwan Leader Biotech Corp.</t>
  </si>
  <si>
    <t>NCT05248945</t>
  </si>
  <si>
    <t>DDI Study of Evobrutinib and Carbamazepine</t>
  </si>
  <si>
    <t>NCT05528172</t>
  </si>
  <si>
    <t>A Study to Investigate the Safety and Efficacy of Ripasudil (K-321) Eye Drops After Cataract Surgery</t>
  </si>
  <si>
    <t>NCT05757453</t>
  </si>
  <si>
    <t>Boost Study 31380 (mHealth)</t>
  </si>
  <si>
    <t>NXTech</t>
  </si>
  <si>
    <t>NCT03878953</t>
  </si>
  <si>
    <t>A Clinical Study of rhPTH(1-84) Treatment in Japanese Participants With Chronic Hypoparathyroidism</t>
  </si>
  <si>
    <t>NCT05074472</t>
  </si>
  <si>
    <t>A Phase 1/2, First-in-Human, Open Label, Dose Escalation Study Of A CSP Targeting Functional Antibody in Solid Tumors</t>
  </si>
  <si>
    <t>ZielBio, Inc.</t>
  </si>
  <si>
    <t>NCT05293522</t>
  </si>
  <si>
    <t>A Study of NTX-001 in the Treatment and Prevention of Facial Paralysis Requiring Surgical Repair.</t>
  </si>
  <si>
    <t>NCT04914351</t>
  </si>
  <si>
    <t>HY-0102 Monotherapy in Patients With Locally Advanced/Metastatic Solid Tumours</t>
  </si>
  <si>
    <t>NCT05343481</t>
  </si>
  <si>
    <t>Efficacy of VTP-300 in Chronic Hepatitis B Infection</t>
  </si>
  <si>
    <t>NCT05411367</t>
  </si>
  <si>
    <t>A Study for Evaluation of the Efficacy and Safety of SI-614 Ophthalmic Solution in Patient With Dry Eye</t>
  </si>
  <si>
    <t>NCT04965636</t>
  </si>
  <si>
    <t>Study in Pediatrics With HypEREosinophilic Syndrome (SPHERE)</t>
  </si>
  <si>
    <t>NCT05246111</t>
  </si>
  <si>
    <t>Berzosertib Human Mass Balance Study (DDRiver Solid Tumors 208)</t>
  </si>
  <si>
    <t>NCT05492734</t>
  </si>
  <si>
    <t>A Study to Assess the Feasibility of Non-invasive Dried Blood Sampling</t>
  </si>
  <si>
    <t>NCT05256134</t>
  </si>
  <si>
    <t>A Study to Evaluate the Efficacy and Safety of Gantenerumab in Participants at Risk for or at the Earliest Stages of Alzheimer's Disease (AD)</t>
  </si>
  <si>
    <t>NCT05482971</t>
  </si>
  <si>
    <t>A Single-arm, Multicenter Study to Assess the Efficacy, Safety, and Tolerability of P1101 in Adults With ET</t>
  </si>
  <si>
    <t>NCT04886999</t>
  </si>
  <si>
    <t>Study in Adult Patients With Moderate to Severe Asthma</t>
  </si>
  <si>
    <t>NCT05349864</t>
  </si>
  <si>
    <t>A Study to Understand the Effect of Low-Fat and High-Fat Meals on the Medicine Called PF-07284890 in Healthy Adults</t>
  </si>
  <si>
    <t>NCT05353192</t>
  </si>
  <si>
    <t>A Study to Evaluate the Efficacy and Safety of Recombinant Human Growth Hormone in Children With Achondroplasia</t>
  </si>
  <si>
    <t>NCT05330429</t>
  </si>
  <si>
    <t>Study of Magrolimab Given Together With FOLFIRI/Bevacizumab (BEV) in Participants With Previously Treated Advanced Inoperable Metastatic Colorectal Cancer (mCRC)</t>
  </si>
  <si>
    <t>NCT05549531</t>
  </si>
  <si>
    <t>A Study to Investigate the Effect of Itraconazole on the Way the Body Absorbs, Distributes, and Gets Rid of ACT-1004-1239 Given as a Single Dose of 10 mg to Healthy Male Subjects</t>
  </si>
  <si>
    <t>NCT05424822</t>
  </si>
  <si>
    <t>A Study of JNJ-80948543, a T-cell Redirecting CD79b x CD20 x CD3 Trispecific Antibody, in Participants With Non-Hodgkin Lymphoma (NHL) and Chronic Lymphocytic Leukemia (CLL)</t>
  </si>
  <si>
    <t>NCT05277051</t>
  </si>
  <si>
    <t>First-Time-in-Human Study of GSK4381562 in Participants With Advanced Solid Tumors</t>
  </si>
  <si>
    <t>NCT05458856</t>
  </si>
  <si>
    <t>Effects of Triptorelin When Given Every 6-months Under the Skin to Adult Males With Cancer in the Prostate</t>
  </si>
  <si>
    <t>NCT05238922</t>
  </si>
  <si>
    <t>Study of INCB123667 in Subjects With Advanced Solid Tumors</t>
  </si>
  <si>
    <t>NCT05197049</t>
  </si>
  <si>
    <t>A Study of Guselkumab Subcutaneous Therapy in Participants With Moderately to Severely Active Crohn's Disease</t>
  </si>
  <si>
    <t>NCT05347849</t>
  </si>
  <si>
    <t>Single Ascending Dose Study With BPL-003 in Healthy Subjects</t>
  </si>
  <si>
    <t>NCT04956276</t>
  </si>
  <si>
    <t>Subcutaneous ALXN1830 in Adult Participants With Warm Autoimmune Hemolytic Anemia</t>
  </si>
  <si>
    <t>NCT05322707</t>
  </si>
  <si>
    <t>BE Study Budesonide 80 μg and Formoterol Fumarate Dihydrate 4.5 μg Inhalation Product in Asthma Patient</t>
  </si>
  <si>
    <t>Cipla Ltd.</t>
  </si>
  <si>
    <t>NCT05218499</t>
  </si>
  <si>
    <t>Brightline-1: A Study to Compare Brigimadlin (BI 907828) With Doxorubicin in People With a Type of Cancer Called Dedifferentiated Liposarcoma</t>
  </si>
  <si>
    <t>NCT06548932</t>
  </si>
  <si>
    <t>A Study to Evaluate the Safety, Tolerance, PK and PD Parameters of GZR33 and GZR101 in Healthy Male Adult Subjects</t>
  </si>
  <si>
    <t>NCT05765032</t>
  </si>
  <si>
    <t>Study of SHR-A1921 in Combination With Other Anti-cancer Agents in Patients With Advanced Solid Tumors</t>
  </si>
  <si>
    <t>NCT05447377</t>
  </si>
  <si>
    <t>A Study of SII Yellow Fever Vaccine to Compare Safety and Immunogenicity With STAMARIL® In Healthy Infants</t>
  </si>
  <si>
    <t>NCT06323395</t>
  </si>
  <si>
    <t>Vizol S Lipid Balance Efficacy and Safety Study in Patients With Dry Eye</t>
  </si>
  <si>
    <t>Jadran Galenski laboratorij d.d.</t>
  </si>
  <si>
    <t>NCT05577377</t>
  </si>
  <si>
    <t>OM and Trauma Study</t>
  </si>
  <si>
    <t>Institute of OM Foundation</t>
  </si>
  <si>
    <t>NCT05630677</t>
  </si>
  <si>
    <t>A Study to Compare Bioavailability of AZD5055 Film-coated Tablet With AZD5055 Oral Suspension and to Assess the Effect of Food and an Acid Reducing Agent on Pharmacokinetics (PK) of AZD5055 in Healthy Subjects.</t>
  </si>
  <si>
    <t>NCT04911062</t>
  </si>
  <si>
    <t>HTX-011 in Spinal Surgery</t>
  </si>
  <si>
    <t>NCT05358886</t>
  </si>
  <si>
    <t>A Study of BPN14770 in Male Adults (Aged 18 to 45) With Fragile X Syndrome</t>
  </si>
  <si>
    <t>NCT05559580</t>
  </si>
  <si>
    <t>A Study in People With Systemic Sclerosis to Test Whether Avenciguat (BI 685509) Has an Effect on Lung Function and Other Systemic Sclerosis Symptoms</t>
  </si>
  <si>
    <t>NCT05366296</t>
  </si>
  <si>
    <t>Safety, Reactogenicity, and Immunogenicity Study of a Lyophilized COVID-19 mRNA Vaccine</t>
  </si>
  <si>
    <t>Wuhan Recogen Biotechnology Co., Ltd.</t>
  </si>
  <si>
    <t>NCT05473442</t>
  </si>
  <si>
    <t>Study of EQU-001 for Uncontrolled Focal Onset Seizures</t>
  </si>
  <si>
    <t>NCT05215912</t>
  </si>
  <si>
    <t>A Single and Multiple Dosing Study Targeting Biparatopic Antibody CD38 in Healthy Volunteers</t>
  </si>
  <si>
    <t>TeneoFour Inc.</t>
  </si>
  <si>
    <t>NCT05601219</t>
  </si>
  <si>
    <t>A Phase 1 Study of ADA-011 for Subjects With Advanced Solid Tumors</t>
  </si>
  <si>
    <t>Adanate, Inc</t>
  </si>
  <si>
    <t>NCT05451667</t>
  </si>
  <si>
    <t>Single-Ascending Dose Study to Assess the Safety, Tolerability, and Pharmacokinetics of YJ001 in Healthy Volunteers</t>
  </si>
  <si>
    <t>Yuejia Pharmaceuticals (USA), Inc.</t>
  </si>
  <si>
    <t>NCT05415644</t>
  </si>
  <si>
    <t>Study of the Bioequivalence and Food Effects of HRX0701 Tablets in Healthy Subjects</t>
  </si>
  <si>
    <t>NCT05413863</t>
  </si>
  <si>
    <t>Comparison of the Pharmacokinetic and Pharmacodynamic Properties of Biocon's Insulin R U-500 With Humulin® R U-500 (US Reference Product) in Healthy Subjects</t>
  </si>
  <si>
    <t>NCT05332106</t>
  </si>
  <si>
    <t>Bioavailability of Estradiol Valerate and Dienogest 2 mg/2 mg With Regards to Reference Product</t>
  </si>
  <si>
    <t>NCT05236530</t>
  </si>
  <si>
    <t>Drug-drug Interaction Study of Ganaplacide and Lumefantrine With Midazolam, Repaglinide, Dextromethorphan, Metformin, Rosuvastatin and Dolutegravir</t>
  </si>
  <si>
    <t>NCT05256732</t>
  </si>
  <si>
    <t>Study of AT-527 in Healthy Subjects Under Fasting Conditions or With a Meal</t>
  </si>
  <si>
    <t>NCT05105698</t>
  </si>
  <si>
    <t>Food-effect Bioavailability of Gemigliptin and Dapagliflozin 50/10 mg</t>
  </si>
  <si>
    <t>NCT05347498</t>
  </si>
  <si>
    <t>A Trial of HR091506 Tablets in Treatment of Primary Gout With Hyperuricemia in Adults</t>
  </si>
  <si>
    <t>NCT05478499</t>
  </si>
  <si>
    <t>Efficacy and Safety of Deucravacitinib Versus Placebo in Participants With Moderate-to-severe Scalp Psoriasis</t>
  </si>
  <si>
    <t>NCT05169684</t>
  </si>
  <si>
    <t>A Study of BMS-986218 or BMS-986218 Plus Nivolumab in Combination With Docetaxel in Participants With Metastatic Castration-resistant Prostate Cancer</t>
  </si>
  <si>
    <t>NCT05603052</t>
  </si>
  <si>
    <t>A Phase III of COVID-19 Vaccine EuCorVac-19 in Healthy Adults Aged 18 Years and Older</t>
  </si>
  <si>
    <t>NCT05368831</t>
  </si>
  <si>
    <t>Open-label Study to Evaluate the Effects of NST-1024 on the PK of Multiple Drugs in Healthy Subjects</t>
  </si>
  <si>
    <t>NCT05550337</t>
  </si>
  <si>
    <t>Study Comparing Trifarotene Cream, 0.005% To AKLIEF ® (Trifarotene 0.005% Cream) In The Treatment Of Acne Vulgaris</t>
  </si>
  <si>
    <t>NCT05508867</t>
  </si>
  <si>
    <t>A Study of Coformulated Favezelimab/Pembrolizumab (MK-4280A) Versus Physician's Choice Chemotherapy in PD-(L)1-refractory, Relapsed or Refractory Classical Hodgkin Lymphoma (MK-4280A-008)</t>
  </si>
  <si>
    <t>NCT05443984</t>
  </si>
  <si>
    <t>JP-1366 20mg Versus Esomeprazole 40mg in Patients With Erosive Esophagitis</t>
  </si>
  <si>
    <t>NCT05576012</t>
  </si>
  <si>
    <t>First in Human Study of a Monoclonal Antibody (SOL-116) Targeting BSSL (Bile Salt-Stimulated Lipase), Single and Multiple Dose Parts</t>
  </si>
  <si>
    <t>Lipum AB</t>
  </si>
  <si>
    <t>NCT06014528</t>
  </si>
  <si>
    <t>IN10018 in Combination With Pegylated Liposomal Doxorubicin (PLD) vs. Placebo in Combination With PLD for the Treatment of Platinum-resistant Recurrent Ovarian Cancer</t>
  </si>
  <si>
    <t>NCT05575011</t>
  </si>
  <si>
    <t>A Study to Learn About the Safety of BIIB115 Injections and How BIIB115 is Processed in the Bodies of Healthy Adult Male Volunteers and of Pediatric Participants With Spinal Muscular Atrophy Who Previously Took Onasemnogene Abeparvovec</t>
  </si>
  <si>
    <t>NCT05709444</t>
  </si>
  <si>
    <t>A Phase IIb, Multicenter, Open-Label, Prospective Study of Bremelanotide in Diabetic Kidney Disease</t>
  </si>
  <si>
    <t>NCT05061134</t>
  </si>
  <si>
    <t>A Study of Ceralasertib Monotherapy and Ceralasertib Plus Durvalumab in Patients With Melanoma and Resistance to PD-(L)1 Inhibition</t>
  </si>
  <si>
    <t>NCT05343364</t>
  </si>
  <si>
    <t>A Study to Evaluate the Pharmacokinetics, Pharmacodynamics and Safety of Vonoprazan in Adolescents With Symptomatic Gastroesophageal Reflux Disease</t>
  </si>
  <si>
    <t>NCT05616494</t>
  </si>
  <si>
    <t>A Study of Docetaxel for Injection (Albumin-bound) in Patients With Pancreatic Cancer</t>
  </si>
  <si>
    <t>NCT05164666</t>
  </si>
  <si>
    <t>A Study of TAK-103 in Adult With Solid Tumors</t>
  </si>
  <si>
    <t>NCT05288283</t>
  </si>
  <si>
    <t>Efficacy and Safety of GWP42003-P Oral Solution in Children With Epilepsy With Myoclonic-atonic Seizures</t>
  </si>
  <si>
    <t>NCT05181683</t>
  </si>
  <si>
    <t>COVID-19 Study Assessing the Safety and Tolerability of Co-Formulated Anti-Spike (S) SARS-CoV-2 Monoclonal Antibodies (Casirivimab+Imdevimab) in Adult Volunteers</t>
  </si>
  <si>
    <t>NCT05345873</t>
  </si>
  <si>
    <t>A Study to Evaluate the Immunogenicity and Safety of a Recombinant Protein COVID-19 Vaccine as a Booster Dose in Population Aged 12-17 Years</t>
  </si>
  <si>
    <t>NCT05580341</t>
  </si>
  <si>
    <t>Phase III Study Comparing the Immunogenicity of 9-valent HPV Recombinant Vaccine and Gardasil-9</t>
  </si>
  <si>
    <t>NCT05540873</t>
  </si>
  <si>
    <t>A Clinical Study of IL13Rα2 Targeted CAR-T in Patients With Malignant Glioma (MAGIC-I)</t>
  </si>
  <si>
    <t>CellabMED</t>
  </si>
  <si>
    <t>NCT05161156</t>
  </si>
  <si>
    <t>Bioequivalence Study of Tiotropium Bromide Inhalation Powder</t>
  </si>
  <si>
    <t>Phargentis SA</t>
  </si>
  <si>
    <t>NCT05532722</t>
  </si>
  <si>
    <t>ABC008 in Subjects With T-cell Large Granular Lymphocytic Leukemia (T-LGLL)</t>
  </si>
  <si>
    <t>NCT05131022</t>
  </si>
  <si>
    <t>A Study of NX-5948 in Adults With Relapsed/Refractory B-cell Malignancies</t>
  </si>
  <si>
    <t>NCT05648214</t>
  </si>
  <si>
    <t>A Trial to Learn if ALN-PNP is Safe and Well Tolerated in Healthy Adults and Adult Participants With Metabolic Dysfunction-Associated Steatotic Liver Disease (MASLD)</t>
  </si>
  <si>
    <t>NCT05523765</t>
  </si>
  <si>
    <t>A Study of Brepocitinib in Adults With Active Non-Infectious Non-Anterior Uveitis</t>
  </si>
  <si>
    <t>NCT05611281</t>
  </si>
  <si>
    <t>GS3-007a Oral Solution in Healthy Subjects</t>
  </si>
  <si>
    <t>NCT05475665</t>
  </si>
  <si>
    <t>Clinical Efficacy and Safety Evaluation of Irbesartan High and Amlodipine Combined Therapy in Essential Hypertension Patients</t>
  </si>
  <si>
    <t>NCT05571345</t>
  </si>
  <si>
    <t>A Study to Evaluate the Oral Abuse Potential of PF614 in Non-Dependent Recreational Opioid Users (PF614-104)</t>
  </si>
  <si>
    <t>NCT05144256</t>
  </si>
  <si>
    <t>A Study to Evaluate the Efficacy and Safety of Mitapivat in Pediatric Participants With Pyruvate Kinase Deficiency (PKD) Who Are Regularly Transfused, Followed by a 5-Year Extension Period</t>
  </si>
  <si>
    <t>NCT05366439</t>
  </si>
  <si>
    <t>Study of AT-752 in Healthy Subjects in a Dengue Human Challenge Model</t>
  </si>
  <si>
    <t>NCT05387837</t>
  </si>
  <si>
    <t>Safety, Tolerability and PK of Subcutaneous D-4517.2 in Subjects With Wet AMD or DME</t>
  </si>
  <si>
    <t>NCT06333977</t>
  </si>
  <si>
    <t>A Study of LC542019 in Healthy Subjects and Subjects With T2DM</t>
  </si>
  <si>
    <t>NCT05014672</t>
  </si>
  <si>
    <t>A Trial of Setanaxib in Patients With Primary Biliary Cholangitis (PBC) and Liver Stiffness</t>
  </si>
  <si>
    <t>Calliditas Therapeutics Suisse SA</t>
  </si>
  <si>
    <t>NCT05452239</t>
  </si>
  <si>
    <t>A Study of Eptinezumab in Participants With Migraine and Medication Overuse Headache</t>
  </si>
  <si>
    <t>NCT06231277</t>
  </si>
  <si>
    <t>Phase I Clinical Trial of BH002 in Patients With Advanced Solid Tumors</t>
  </si>
  <si>
    <t>NCT05487781</t>
  </si>
  <si>
    <t>Phase 1 Clinical Study to Describe Biological Safety and Pharmacokinetics of Tyrphostin</t>
  </si>
  <si>
    <t>Molecule X LLC</t>
  </si>
  <si>
    <t>NCT05275998</t>
  </si>
  <si>
    <t>TMB-365 and TMB-380 in Suppressed HIV-1 Infected Individuals</t>
  </si>
  <si>
    <t>TaiMed Biologics Inc.</t>
  </si>
  <si>
    <t>NCT05352893</t>
  </si>
  <si>
    <t>Study to Evaluate the Efficacy and Safety of Imsidolimab (ANB019) in the Treatment of Subjects With GPP</t>
  </si>
  <si>
    <t>NCT05473533</t>
  </si>
  <si>
    <t>Study of Single and Multiple Doses of PRS-220 Administered by Oral Inhalation in Healthy Subjects</t>
  </si>
  <si>
    <t>Pieris Australia Pty Ltd</t>
  </si>
  <si>
    <t>NCT05314933</t>
  </si>
  <si>
    <t>Safety and Pharmacokinetic Study of Intranasal 2-DG in Healthy Volunteers</t>
  </si>
  <si>
    <t>G.ST Antivirals GmbH</t>
  </si>
  <si>
    <t>NCT05308992</t>
  </si>
  <si>
    <t>User Preference Study of an Experimental HydroGlyde Male Condom Compared to a Commercial Latex Male Condom</t>
  </si>
  <si>
    <t>HydroGlyde Coatings, LLC</t>
  </si>
  <si>
    <t>NCT05855187</t>
  </si>
  <si>
    <t>Bioequivalence Study of Modafinil From Bravamax 200 mg Scored Tablets (Chemipharm Pharmaceutical Industries, Egypt) Versus Vigil 200 mg Tablets (Teva GmbH, Germany)</t>
  </si>
  <si>
    <t>NCT05263921</t>
  </si>
  <si>
    <t>Relative Bioavailability Study of PF-07321332/Ritonavir Oral Powder Relative to the Commercial Tablets in Healthy Participants</t>
  </si>
  <si>
    <t>NCT05482087</t>
  </si>
  <si>
    <t>A Study of XZP-3621 in Chinese Patients With ALK Positive NSCLC</t>
  </si>
  <si>
    <t>NCT05459571</t>
  </si>
  <si>
    <t>Study of Axicabtagene Ciloleucel Given With Steroids In Participants With Relapsed Or Refractory Large B-Cell Lymphoma</t>
  </si>
  <si>
    <t>NCT05379634</t>
  </si>
  <si>
    <t>A Study of Nipocalimab in Participants With Active Idiopathic Inflammatory Myopathies</t>
  </si>
  <si>
    <t>NCT05665387</t>
  </si>
  <si>
    <t>Study Assessing the Efficacy and Safety of STN1013600 Ophthalmic Solution 0.1% and 0.3% Compared With Placebo in Subjects With Presbyopia</t>
  </si>
  <si>
    <t>NCT05422781</t>
  </si>
  <si>
    <t>Study To Evaluate The Safety, Tolerability And Immunogenicity Of 4 mg Of ITI-3000 In Patients With Polyomavirus-Positive Merkel Cell Carcinoma (MCC)</t>
  </si>
  <si>
    <t>Immunomic Therapeutics, Inc.</t>
  </si>
  <si>
    <t>NCT05507216</t>
  </si>
  <si>
    <t>ABTECT-2 - ABX464 Treatment Evaluation for Ulcerative Colitis Therapy -2</t>
  </si>
  <si>
    <t>NCT05198934</t>
  </si>
  <si>
    <t>Sotorasib and Panitumumab Versus Investigator's Choice for Participants With Kirsten Rat Sarcoma (KRAS) p.G12C Mutation</t>
  </si>
  <si>
    <t>NCT05418101</t>
  </si>
  <si>
    <t>A Study to Evaluate the Safety, PK and PD of VIS171 in Participants (Healthy and With Autoimmune Disease)</t>
  </si>
  <si>
    <t>NCT05350800</t>
  </si>
  <si>
    <t>A Study to Evaluate the Drug Exposure of Single Ascending Doses of BMS-986369 and the Effect of Food on the BMS-986369 in Healthy Participants</t>
  </si>
  <si>
    <t>NCT05382364</t>
  </si>
  <si>
    <t>Safety and Pharmacokinetics of Tucatinib (MK-7119) in Chinese Participants With Cancer (MK-7119-002)</t>
  </si>
  <si>
    <t>NCT07355621</t>
  </si>
  <si>
    <t>UP-818-CC Injection in Healthy Chinese Subjects</t>
  </si>
  <si>
    <t>EnliTISA (Shanghai) Pharmaceutical Co., Ltd.</t>
  </si>
  <si>
    <t>NCT06561425</t>
  </si>
  <si>
    <t>A Study Evaluating the Safety and Efficacy of GLPG5101 (19CP02) in Participants With Non-Hodgkin Lymphoma</t>
  </si>
  <si>
    <t>NCT05239468</t>
  </si>
  <si>
    <t>Study of OCA in Combination With BZF Evaluating Efficacy, Safety and Tolerability in Participants With PBC</t>
  </si>
  <si>
    <t>Intercept Pharmaceuticals</t>
  </si>
  <si>
    <t>NCT04141150</t>
  </si>
  <si>
    <t>Evaluation of [18F]APN-1607 PET Uptake in Alzheimer's Disease Patients Compared With Healthy Subjects</t>
  </si>
  <si>
    <t>NCT05564208</t>
  </si>
  <si>
    <t>A Study to Evaluate the Effect of Food on the Level of Circulating Elafibranor in Healthy Participants After Intake of a Single Tablet</t>
  </si>
  <si>
    <t>NCT05268289</t>
  </si>
  <si>
    <t>Study of Efficacy and Safety of LNP023 in Participants With Active Lupus Nephritis Class III-IV, +/- V</t>
  </si>
  <si>
    <t>NCT03673748</t>
  </si>
  <si>
    <t>Treatment of Lupus Nephritis With Allogeneic Mesenchymal Stem Cells</t>
  </si>
  <si>
    <t>NCT05244304</t>
  </si>
  <si>
    <t>Phase 3, Randomized, Placebo-Controlled Study of Tinlarebant to Explore Safety and Efficacy in Adolescent Stargardt Disease</t>
  </si>
  <si>
    <t>Belite Bio, Inc</t>
  </si>
  <si>
    <t>NCT05415215</t>
  </si>
  <si>
    <t>A Study to Evaluate Patient Preference for Home Administration of Fixed-Dose Combination of Pertuzumab and Trastuzumab for Subcutaneous Administration in Participants With Early or Locally Advanced/Inflammatory HER2-Positive Breast Cancer</t>
  </si>
  <si>
    <t>NCT05255016</t>
  </si>
  <si>
    <t>Safety and Effectiveness of the PXL Platinum 330 System With Riboflavin Solution for Refractory Corneal Ulcers</t>
  </si>
  <si>
    <t>NCT05174585</t>
  </si>
  <si>
    <t>JAB-BX102 Monotherapy and Combination With Pembrolizumab in Adult Patients With Advanced Solid Tumors</t>
  </si>
  <si>
    <t>NCT05508204</t>
  </si>
  <si>
    <t>Open-label Safety and PK Study of BION-1301 in Japanese Healthy Subjects</t>
  </si>
  <si>
    <t>Chinook Therapeutics, Inc.</t>
  </si>
  <si>
    <t>NCT05451849</t>
  </si>
  <si>
    <t>A Phase 1/2 Trial of TC-510 In Patients With Advanced Mesothelin-Expressing Cancer</t>
  </si>
  <si>
    <t>NCT07214935</t>
  </si>
  <si>
    <t>A TQT Study of Effect of M2951 on Cardiac Repolarization</t>
  </si>
  <si>
    <t>NCT05283915</t>
  </si>
  <si>
    <t>Study to Assess the Plasma Concentration of Tolebrutinib Given as a Tablet to Adult Participants With Mild Hepatic Impairment Compared to Participants With Normal Hepatic Function</t>
  </si>
  <si>
    <t>NCT05522517</t>
  </si>
  <si>
    <t>A Study Validating the Use of Candin as a Challenge Agent in Healthy Participants - Intervention Specific Appendix 4</t>
  </si>
  <si>
    <t>NCT05572463</t>
  </si>
  <si>
    <t>A Platform Study of Novel Immunotherapy Products in Participants With Previously Treated Unresectable or Metastatic Cutaneous Melanoma</t>
  </si>
  <si>
    <t>NCT05490108</t>
  </si>
  <si>
    <t>Evaluation of Safety and Immunogenicity of the Recombinant ZR202-CoV and ZR202a-CoV Vaccines in Adults.</t>
  </si>
  <si>
    <t>NCT05394116</t>
  </si>
  <si>
    <t>A Study to Assess Safety, Tolerability and Efficacy of Garetosmab Versus Placebo Administered Intravenously (IV) in Adult Participants With Fibrodysplasia Ossificans Progressiva (FOP)</t>
  </si>
  <si>
    <t>NCT05298449</t>
  </si>
  <si>
    <t>Phase 2 of HU-045 in Glabellar Lines</t>
  </si>
  <si>
    <t>NCT05469126</t>
  </si>
  <si>
    <t>A Drug Interaction Study of Clarithromycin and LY3502970 in Healthy Participants</t>
  </si>
  <si>
    <t>NCT05684640</t>
  </si>
  <si>
    <t>A Single and Multiple Dose of Rodatristat Ethyl in Healthy Adult Subjects to Evaluate the Effect of Food and Safety</t>
  </si>
  <si>
    <t>NCT05555706</t>
  </si>
  <si>
    <t>Study of B013 and Nab-Paclitaxel for Locally Advanced or Metastatic Triple Negative Breast Cancer</t>
  </si>
  <si>
    <t>Shanghai Jiaolian Drug Research and Development Co., Ltd</t>
  </si>
  <si>
    <t>NCT05568615</t>
  </si>
  <si>
    <t>Extension Study Following the Studies MT-1186-A03 or A04 to Evaluate the Safety of Oral Edaravone in Subjects With ALS</t>
  </si>
  <si>
    <t>NCT05537740</t>
  </si>
  <si>
    <t>A First-in-human Study to Learn How Safe the Study Drug BAY3375968, an Anti-CCR8 Antibody, is, When Given Alone or in Combination With Pembrolizumab, How it Affects the Body, How it Moves Into, Through, and Out of the Body, and to Find the Best Dose in Participants With Advanced Solid Tumors</t>
  </si>
  <si>
    <t>NCT05364255</t>
  </si>
  <si>
    <t>A Study to Assess the Mass Balance Recovery, Metabolite Profile and Metabolite Identification of [14C]AZD9833</t>
  </si>
  <si>
    <t>NCT05267535</t>
  </si>
  <si>
    <t>Piromelatine 20 mg in Participants With Mild Dementia Due to Alzheimer's Disease</t>
  </si>
  <si>
    <t>NCT05574374</t>
  </si>
  <si>
    <t>Drug-drug Interactions Between DWP14012 and DWC202202 in Healthy Subjects</t>
  </si>
  <si>
    <t>NCT05473910</t>
  </si>
  <si>
    <t>A Phase 1/3 Study of T-Cell Receptor Engineered Donor T Cells in Subjects Undergoing Allogeneic Peripheral Blood Stem Cell Transplantation (ALLOHA-2)</t>
  </si>
  <si>
    <t>TScan Therapeutics, Inc.</t>
  </si>
  <si>
    <t>NCT04862143</t>
  </si>
  <si>
    <t>Pilot Decentralized Clinical Trial in Men and Pre and Post-menopausal Women With Breast Cancer and a Specific Mutation (PIK3CA) Treated With Alpelisib in Combination With Fulvestrant</t>
  </si>
  <si>
    <t>NCT06342960</t>
  </si>
  <si>
    <t>KYSA-3: A Study of Anti-CD19 Chimeric Antigen Receptor T-Cell (CD19 CAR T) Therapy, in Subjects With Refractory Lupus Nephritis</t>
  </si>
  <si>
    <t>Kyverna Therapeutics</t>
  </si>
  <si>
    <t>NCT05277350</t>
  </si>
  <si>
    <t>A Study Investigating the Safety, Recovery, and Pharmacodynamics of Multiple Oral Administrations of SNIPR001 in Healthy Subjects</t>
  </si>
  <si>
    <t>SNIPR Biome Aps.</t>
  </si>
  <si>
    <t>NCT05226468</t>
  </si>
  <si>
    <t>An Early Phase Study of NEI-01 in Patients With Solid Tumors or Acute Myeloid Leukemia</t>
  </si>
  <si>
    <t>New Epsilon Innovation Limited</t>
  </si>
  <si>
    <t>NCT05428150</t>
  </si>
  <si>
    <t>Randomized, Crossover, Multi-Dose Pharmacokinetics of EXCL-100 Pirfenidone-Sustained Release Tablet and Esbriet in Healthy Volunteers</t>
  </si>
  <si>
    <t>Excalibur Pharmaceuticals, Inc.</t>
  </si>
  <si>
    <t>NCT05261191</t>
  </si>
  <si>
    <t>A Study of MGD020 Alone or Combined With MGD014 in Persons With HIV-1 on Antiretroviral Therapy</t>
  </si>
  <si>
    <t>NCT05363215</t>
  </si>
  <si>
    <t>A Study to Assess S-217622 in Participants With Renal Impairment and Healthy Participants</t>
  </si>
  <si>
    <t>NCT05501717</t>
  </si>
  <si>
    <t>Safety, PK/PD, and Immunogenicity Study of SC ALXN2030 in Healthy Participants</t>
  </si>
  <si>
    <t>NCT05950815</t>
  </si>
  <si>
    <t>A Study of PM1015 in Patients With Advanced Solid Tumors</t>
  </si>
  <si>
    <t>NCT05407961</t>
  </si>
  <si>
    <t>A Study of LY3532226 in Participants With Type 2 Diabetes Mellitus</t>
  </si>
  <si>
    <t>NCT05197842</t>
  </si>
  <si>
    <t>Efficacy and Safety of Substitution of Glucocorticoid for BDB-001 Injection in Patients With Anti-neutrophil Cytoplasmic Antibody(ANCA)-Associated Vasculitis</t>
  </si>
  <si>
    <t>NCT05253651</t>
  </si>
  <si>
    <t>A Study of Tucatinib With Trastuzumab and mFOLFOX6 Versus Standard of Care Treatment in First-line HER2+ Metastatic Colorectal Cancer</t>
  </si>
  <si>
    <t>NCT05083182</t>
  </si>
  <si>
    <t>A Study of Ustekinumab or Guselkumab in Pediatric Participants With Active Juvenile Psoriatic Arthritis</t>
  </si>
  <si>
    <t>NCT06388759</t>
  </si>
  <si>
    <t>TQ05105 Tablet for Myelofibrosis Treatment in Ruxolitinib-Resistant or Intolerant Patients</t>
  </si>
  <si>
    <t>NCT04930796</t>
  </si>
  <si>
    <t>Food Effect Study of VER-01 in Healthy Volunteers</t>
  </si>
  <si>
    <t>NCT05389462</t>
  </si>
  <si>
    <t>A Study of Mipasetamab Uzoptirine (ADCT-601) in Participants With Solid Tumors</t>
  </si>
  <si>
    <t>NCT05389488</t>
  </si>
  <si>
    <t>OsciPulse D-dimer Efficacy Trial</t>
  </si>
  <si>
    <t>OsciFlex LLC</t>
  </si>
  <si>
    <t>NCT05244070</t>
  </si>
  <si>
    <t>A Study to Evaluate the Safety and Tolerability of BMS-986403 in Participants With Relapsed and/or Refractory Chronic Lymphocytic Leukemia or Small Lymphocytic Lymphoma</t>
  </si>
  <si>
    <t>NCT05110846</t>
  </si>
  <si>
    <t>A Study of CT-868 in Overweight and Obese Participants With Type 2 Diabetes Mellitus</t>
  </si>
  <si>
    <t>NCT05420961</t>
  </si>
  <si>
    <t>A Study to Evaluate the Safety, Tolerability, and Immunogenicity of V116 in Pneumococcal Vaccine-experienced Adults (V116-006, STRIDE-6)</t>
  </si>
  <si>
    <t>NCT05244642</t>
  </si>
  <si>
    <t>A Phase III Study to Evaluate the Efficacy and Safety of Penpulimab in the Relapsed and Refractory Classical Hodgkin's Lymphoma</t>
  </si>
  <si>
    <t>NCT05430854</t>
  </si>
  <si>
    <t>Study of Daxdilimab (HZN-7734) for the Treatment of Systemic Lupus Erythematosus in an Open-label Extension Study</t>
  </si>
  <si>
    <t>NCT05442554</t>
  </si>
  <si>
    <t>A Study of Brentuximab Vedotin Treatment in Chinese Adults With CD30-Positive Cutaneous T-Cell Lymphoma</t>
  </si>
  <si>
    <t>NCT05307705</t>
  </si>
  <si>
    <t>A Study of LOXO-783 in Patients With Breast Cancer/Other Solid Tumors</t>
  </si>
  <si>
    <t>NCT05197556</t>
  </si>
  <si>
    <t>A Study to Evaluate the Safety and Efficacy of HSG4112 in Overweight and Obese Patients</t>
  </si>
  <si>
    <t>NCT05501522</t>
  </si>
  <si>
    <t>Immunogenicity and Safety Study of Heterologous Booster Vaccination of a SARS-CoV-2 Recombinant Protein Nanoparticle Vaccine(GBP510) Adjuvanted with AS03 in Adults Aged 18 Years and Older</t>
  </si>
  <si>
    <t>NCT05562024</t>
  </si>
  <si>
    <t>TAA06 Injection in the Treatment of Patients With B7-H3-positive Relapsed/ Refractory Neuroblastoma</t>
  </si>
  <si>
    <t>NCT05476094</t>
  </si>
  <si>
    <t>Evaluate Pharmacokinetic/Pharmacodynamic and Safety/Tolerability of AYP-101 in Healthy Subjects</t>
  </si>
  <si>
    <t>NCT05162066</t>
  </si>
  <si>
    <t>Study to Evaluate the Safety, Tolerability of BCX9930 in Participants With Either Complement 3 Glomerulopathy (C3G), Immunoglobulin A Nephropathy (IgAN), or Primary Membranous Nephropathy (PMN)</t>
  </si>
  <si>
    <t>NCT05222529</t>
  </si>
  <si>
    <t>Pharmacokinetics, Pharmacodynamics, Safety and Tolerability of Glycopyrronium (Bromide) in Children (6 to Less Than 12 Years) With Asthma</t>
  </si>
  <si>
    <t>NCT05153096</t>
  </si>
  <si>
    <t>Evaluation of the Safety and Efficacy of NBL-015 in Patients With Advanced Solid Tumors</t>
  </si>
  <si>
    <t>NCT05363761</t>
  </si>
  <si>
    <t>Arterial Ablation for the Treatment of Type 2 Diabetes Mellitus and Its Comorbidities</t>
  </si>
  <si>
    <t>Neurotronic, Inc.</t>
  </si>
  <si>
    <t>NCT05480553</t>
  </si>
  <si>
    <t>NPC-06 to Pain Associated With Acute Herpes Zoster</t>
  </si>
  <si>
    <t>NCT05322941</t>
  </si>
  <si>
    <t>Effect of AEF0117 on Treatment-seeking Patients With Cannabis Use Disorder (CUD)</t>
  </si>
  <si>
    <t>NCT05491460</t>
  </si>
  <si>
    <t>Pharmacokinetics and Point of Care Testing of Direct Oral Anticoagulants Subjects</t>
  </si>
  <si>
    <t>Doasense GmbH</t>
  </si>
  <si>
    <t>NCT07002268</t>
  </si>
  <si>
    <t>A Clinical Study of the Interactions Between Azvudine Tablets (FNC) and Tenofovir Alafenol Fumarate Tablets (TAF)</t>
  </si>
  <si>
    <t>NCT06708520</t>
  </si>
  <si>
    <t>Pharmacokinetics and Safety of Rupatadine in Participants With Renal Impairment Compared to Control Participants</t>
  </si>
  <si>
    <t>Noucor Health S.A.</t>
  </si>
  <si>
    <t>NCT05067868</t>
  </si>
  <si>
    <t>A Study of Replagal in Children and Adults With Fabry Disease in India</t>
  </si>
  <si>
    <t>NCT04787250</t>
  </si>
  <si>
    <t>Bacteriophage Therapy in Patients With Prosthetic Joint Infections</t>
  </si>
  <si>
    <t>NCT05248997</t>
  </si>
  <si>
    <t>Safety and Efficacy of BHV-3000 (Rimegepant) Orally Disintegrating Tablet for the Acute Treatment of Chronic Rhinosinusitis</t>
  </si>
  <si>
    <t>NCT05238324</t>
  </si>
  <si>
    <t>Safety and Efficacy of HMI-203 in ERT-Treated Adults With MPS II</t>
  </si>
  <si>
    <t>Homology Medicines, Inc</t>
  </si>
  <si>
    <t>NCT05285696</t>
  </si>
  <si>
    <t>Study to Evaluate the Safety and Dosimetry of [68Ga]-NOTA-hGZP (CSB-111) PET Imaging in Healthy Human Volunteers.</t>
  </si>
  <si>
    <t>NCT05499390</t>
  </si>
  <si>
    <t>AK112 in Advanced Non-Small Cell Lung Cancer</t>
  </si>
  <si>
    <t>NCT05262413</t>
  </si>
  <si>
    <t>A Study of QL1706 Plus Lenvatinib in Subjects With Advanced Renal Cell Carcinoma(RCC)</t>
  </si>
  <si>
    <t>NCT05525780</t>
  </si>
  <si>
    <t>Dose-Escalation Study to Assess the Safety, Tolerability, and Pharmacokinetics of Donepezil From Single Dose of GB-5001 IM Depot and Aricept® Oral Tablets in Healthy Male Volunteers</t>
  </si>
  <si>
    <t>G2GBio, Inc.</t>
  </si>
  <si>
    <t>NCT05243524</t>
  </si>
  <si>
    <t>Maveropepimut-S (MVP-S) and Low-Dose CPA in Patients With Platinum-Resistant Ovarian Cancer</t>
  </si>
  <si>
    <t>NCT05092360</t>
  </si>
  <si>
    <t>Phase 3 Study of Nemvaleukin Alfa in Combination With Pembrolizumab in Patients With Platinum-Resistant Epithelial Ovarian Cancer (ARTISTRY-7)</t>
  </si>
  <si>
    <t>NCT05417880</t>
  </si>
  <si>
    <t>Vitamin D, K2 Plus Empagliflozin Combination in Type Two Diabetes Mellitus</t>
  </si>
  <si>
    <t>NCT05208177</t>
  </si>
  <si>
    <t>A Study of SHR-1802 in Patients With Advanced Solid Tumor</t>
  </si>
  <si>
    <t>NCT05389267</t>
  </si>
  <si>
    <t>Safety Assessment of T4090 Eye Drops in Ocular Hypertensive or Glaucomatous Patients.</t>
  </si>
  <si>
    <t>NCT05642442</t>
  </si>
  <si>
    <t>A Study of Suvecaltamide in Adults With Moderate to Severe Residual Tremor in Parkinson's Disease</t>
  </si>
  <si>
    <t>NCT05318573</t>
  </si>
  <si>
    <t>A Study to Evaluate Safety, Efficacy of FF-10832 in Combo With Pembrolizumab in Urothelial &amp; Non-small Cell Lung Cancer</t>
  </si>
  <si>
    <t>NCT05446142</t>
  </si>
  <si>
    <t>A Relative Bioavailability Study Evaluating Two New Encorafenib Formulations</t>
  </si>
  <si>
    <t>NCT05361369</t>
  </si>
  <si>
    <t>Bioavailability Study of EVEGYN 600 mg/1000 mg/100 mg Vaginal Ovule</t>
  </si>
  <si>
    <t>Exeltis Turkey</t>
  </si>
  <si>
    <t>NCT05075824</t>
  </si>
  <si>
    <t>A Study Evaluating the Efficacy, Safety, Pharmacokinetics, and Pharmacodynamics of Crovalimab as Adjunct Treatment in Prevention of Vaso-Occlusive Episodes (VOE) in Sickle Cell Disease (SCD)</t>
  </si>
  <si>
    <t>NCT05576623</t>
  </si>
  <si>
    <t>Safety and Immunogenicity of AdCLD-CoV19-1 OMI as a Booster: A SARS-CoV-2 (COVID-19) Preventive Vaccine</t>
  </si>
  <si>
    <t>NCT05123703</t>
  </si>
  <si>
    <t>A Study to Evaluate Safety and Efficacy of Ocrelizumab in Comparison With Fingolimod in Children and Adolescents With Relapsing-Remitting Multiple Sclerosis (RRMS)</t>
  </si>
  <si>
    <t>NCT05694741</t>
  </si>
  <si>
    <t>A Study to Assess Safety, Tolerability, and Pharmacokinetics of AZD0186</t>
  </si>
  <si>
    <t>NCT05836623</t>
  </si>
  <si>
    <t>A Phase I Study to Assess PSMA+ and PSMA- Tumour Lesions</t>
  </si>
  <si>
    <t>NCT05453786</t>
  </si>
  <si>
    <t>NCT05341583</t>
  </si>
  <si>
    <t>Ensartinib as Adjuvant Treatment in Anaplastic Lymphoma Kinase (ALK) Positive Non-small Cell Lung Cancer</t>
  </si>
  <si>
    <t>NCT05238454</t>
  </si>
  <si>
    <t>A Phase II Clinical Trial to Evaluate the Immunogenicity and Safety of SCTV01C in Population Aged ≥18 Years and Previously Fully Vaccinated With COVID-19 Vaccine</t>
  </si>
  <si>
    <t>NCT04942054</t>
  </si>
  <si>
    <t>A Study in Patients With Advanced Breast Cancer</t>
  </si>
  <si>
    <t>NCT05096403</t>
  </si>
  <si>
    <t>A Study to Evaluate the Efficacy and Safety of Pegcetacoplan in Patients With Cold Agglutinin Disease (CAD)</t>
  </si>
  <si>
    <t>NCT05452070</t>
  </si>
  <si>
    <t>A Study to Assess Adverse Events and Change in Disease Activity of HArmonyCa Lidocaine Injectable Gel for Mid Face Soft Tissue Augmentation in Adult Participants</t>
  </si>
  <si>
    <t>NCT05847205</t>
  </si>
  <si>
    <t>Study Evaluation of Recombinant Hirudin in Prophylaxis of Post-Operative Deep Vein Thrombosis</t>
  </si>
  <si>
    <t>NCT05307679</t>
  </si>
  <si>
    <t>A Study to Evaluate the Safety and Efficacy of Basmisanil Treatment in Children Aged 2-14 Years With Dup15q Syndrome</t>
  </si>
  <si>
    <t>NCT05374603</t>
  </si>
  <si>
    <t>Savolitinib Combine With Durvalumab in EGFR Wild-type Locally Advanced or Metastatic NSCLC</t>
  </si>
  <si>
    <t>NCT05460273</t>
  </si>
  <si>
    <t>A Study of Dato-DXd in Chinese Patients With Advanced Non-Small Cell Lung Cancer, Triple-negative Breast Cancer and Other Solid Tumors (TROPION-PanTumor02)</t>
  </si>
  <si>
    <t>NCT05305183</t>
  </si>
  <si>
    <t>A Phase III Clinical Study of Minodronate Tablets in Postmenopausal Women With Osteoporosis</t>
  </si>
  <si>
    <t>NCT05293496</t>
  </si>
  <si>
    <t>A Study of MGC018 in Combination With MGD019 in Participants With Advanced Solid Tumors</t>
  </si>
  <si>
    <t>NCT05397665</t>
  </si>
  <si>
    <t>Pharmacodynamic EffIcacy and Clinical Benefit of AT 007 in Patients With Sorbitol Dehydrogenase (SORD) Deficiency</t>
  </si>
  <si>
    <t>NCT03395392</t>
  </si>
  <si>
    <t>NRX-101 for Bipolar Depression With Subacute Suicidal Ideation</t>
  </si>
  <si>
    <t>NCT05214807</t>
  </si>
  <si>
    <t>Long-term Safety and Performance of KiOmedine CM-Chitosan Supplementation in Advanced Symptomatic Knee Osteoarthritis</t>
  </si>
  <si>
    <t>Kiomed Pharma</t>
  </si>
  <si>
    <t>NCT05479981</t>
  </si>
  <si>
    <t>Extension of AOC 1001-CS1 (MARINA) Study in Adult Myotonic Dystrophy Type 1 (DM1) Patients</t>
  </si>
  <si>
    <t>NCT05595681</t>
  </si>
  <si>
    <t>Effect of Mesenchymal Stem Cells on Healing of Foot Ulcers in Diabetes Patients.</t>
  </si>
  <si>
    <t>Cell to Cure ApS</t>
  </si>
  <si>
    <t>NCT05449444</t>
  </si>
  <si>
    <t>Masitinib for the Treatment of Severe Mast Cell Activation Syndrome</t>
  </si>
  <si>
    <t>NCT05729399</t>
  </si>
  <si>
    <t>Clinical Study of Autologous Tumor-infiltrating Lymphocyte Injection (GT201) for Advanced Solid Tumors</t>
  </si>
  <si>
    <t>NCT05484011</t>
  </si>
  <si>
    <t>A Maintenance Therapy Study of Odetiglucan With CDX-1140 in Patients With Metastatic Pancreatic Ductal Adenocarcinoma</t>
  </si>
  <si>
    <t>NCT05690932</t>
  </si>
  <si>
    <t>A Formulation Bridging and Food Effect Study of PBI-200 in Healthy Volunteers</t>
  </si>
  <si>
    <t>NCT05089409</t>
  </si>
  <si>
    <t>A Study of ATB1651 in Adults With Mild to Moderate Onychomycosis</t>
  </si>
  <si>
    <t>AmtixBio Co., Ltd.</t>
  </si>
  <si>
    <t>NCT05204628</t>
  </si>
  <si>
    <t>A Study to Evaluate and Compare the Efficacy and Safety of XZP-3621 Versus Crizotinib</t>
  </si>
  <si>
    <t>NCT05506007</t>
  </si>
  <si>
    <t>A Clinical Trial to Compare the Safety, Tolerability, and PK Properties of DA-5216 and DA-5216-R and to Evaluate the Food Effect on DA-5216.</t>
  </si>
  <si>
    <t>NCT05422911</t>
  </si>
  <si>
    <t>Abiraterone, Enzalutamide, or Apalutamide in Castrate-sensitive Prostate Cancer.</t>
  </si>
  <si>
    <t>NCT05394064</t>
  </si>
  <si>
    <t>A Study to Evaluate Administration of SBT101 Gene Therapy in Adult Patients With Adrenomyeloneuropathy (AMN)</t>
  </si>
  <si>
    <t>SwanBio Therapeutics, Inc.</t>
  </si>
  <si>
    <t>NCT05492500</t>
  </si>
  <si>
    <t>A Study of Ponsegromab in People With Heart Failure</t>
  </si>
  <si>
    <t>NCT05517525</t>
  </si>
  <si>
    <t>A Study to Evaluate the Pharmacokinetics (PK) and Safety of a Single Dose of Brensocatib in Participants With Normal Hepatic Function and Participants With Hepatic Impairment</t>
  </si>
  <si>
    <t>NCT05320874</t>
  </si>
  <si>
    <t>A Study of KM257 in Patients With Advanced HER2-positive or Expressing Solid Tumors.</t>
  </si>
  <si>
    <t>NCT05476497</t>
  </si>
  <si>
    <t>Phase I Trial to Evaluate VLP Peanut in Healthy and Peanut Allergic Subjects</t>
  </si>
  <si>
    <t>NCT04959903</t>
  </si>
  <si>
    <t>Safety and Efficacy of SMART101 in Pediatric and Adult Patients With Hematological Malignancies After T Cell Depleted Allo-HSCT</t>
  </si>
  <si>
    <t>Smart Immune SAS</t>
  </si>
  <si>
    <t>NCT05372991</t>
  </si>
  <si>
    <t>Safety, Tolerability and Pharmacodynamics Evaluation of CBT-009 Eye Drop</t>
  </si>
  <si>
    <t>NCT05657691</t>
  </si>
  <si>
    <t>Xanamem® in Adults With Major Depressive Disorder and Impaired Cognition (XanaCIDD)</t>
  </si>
  <si>
    <t>NCT05796479</t>
  </si>
  <si>
    <t>A PK Comparability Study of Two Different Amlitelimab Drug Products in Healthy Participants</t>
  </si>
  <si>
    <t>NCT05120596</t>
  </si>
  <si>
    <t>First in Human Study of T3P-Y058-739 (T3P)</t>
  </si>
  <si>
    <t>T3 Pharmaceuticals AG</t>
  </si>
  <si>
    <t>NCT06196827</t>
  </si>
  <si>
    <t>Safety and Tolerability of LX101 for Inherited Retinal Dystrophy Associated With RPE65 Mutations</t>
  </si>
  <si>
    <t>Innostellar Biotherapeutics Co.,Ltd</t>
  </si>
  <si>
    <t>NCT05627960</t>
  </si>
  <si>
    <t>First in Human Phase 1 Study of AG01 Anti-Progranulin/GP88 Antibody in Advanced Solid Tumor Malignancies</t>
  </si>
  <si>
    <t>A&amp;G Pharmaceutical Inc.</t>
  </si>
  <si>
    <t>NCT05477524</t>
  </si>
  <si>
    <t>An Efficacy, Safety, Tolerability, Immunogenicity, and Lot-Consistency Clinical Trial of a 6-Valent OspA-Based Lyme Disease Vaccine (VLA15)</t>
  </si>
  <si>
    <t>NCT05442827</t>
  </si>
  <si>
    <t>A Phase II/III Study of Efficacy and Safety of SHR7280 Tablets in Subjects With Menorrhagia With Uterine Fibroids</t>
  </si>
  <si>
    <t>NCT04903197</t>
  </si>
  <si>
    <t>Study of VAY736 as Single Agent and in Combination With Select Antineoplastic Agents in Patients With Non-Hodgkin Lymphoma</t>
  </si>
  <si>
    <t>NCT05328297</t>
  </si>
  <si>
    <t>A Study of JNJ-55308942 in the Treatment of Bipolar Depression</t>
  </si>
  <si>
    <t>NCT05501561</t>
  </si>
  <si>
    <t>Safety and Immunogenicity of Different Formulations of an MF59-Adjuvanted Influenza Vaccine in Older Adults ≥50 Years of Age</t>
  </si>
  <si>
    <t>NCT04918173</t>
  </si>
  <si>
    <t>Efficacy of Atenativ in Patients With Congenital Antithrombin Deficiency Undergoing Surgery or Delivery</t>
  </si>
  <si>
    <t>NCT05385991</t>
  </si>
  <si>
    <t>Booster Dose Study to Assess the Safety and Immunogenicity of ACM-001 Administered Intramuscularly or Intranasally.</t>
  </si>
  <si>
    <t>ACM Biolabs</t>
  </si>
  <si>
    <t>NCT05132582</t>
  </si>
  <si>
    <t>A Study of Tucatinib or Placebo With Trastuzumab and Pertuzumab for Metastatic HER2+ Breast Cancer</t>
  </si>
  <si>
    <t>NCT05776459</t>
  </si>
  <si>
    <t>Efficacy and Safety of AC102 Compared to Steroids in Adults With Idiopathic Sudden Sensorineural Hearing Loss (ISSNHL)</t>
  </si>
  <si>
    <t>AudioCure Pharma GmbH</t>
  </si>
  <si>
    <t>NCT05864170</t>
  </si>
  <si>
    <t>the Safety and Efficacy Evaluation of HGI-001 Injection in Patients With Transfusion-Dependent β-Thalassemia</t>
  </si>
  <si>
    <t>NCT05618730</t>
  </si>
  <si>
    <t>Safety, Tolerability, Plug Retention and Preliminary Efficacy of Tacrolimus-loaded Punctal Plug in Patients With Moderate to Severe Dry Eye Disease - Cohort B</t>
  </si>
  <si>
    <t>Eximore Ltd.</t>
  </si>
  <si>
    <t>NCT05666128</t>
  </si>
  <si>
    <t>Efficacy and Safety of HD-6277 in Adult Patients with Inadequate Control of Type 2 Diabetes Mellitus by Diet and Exercise</t>
  </si>
  <si>
    <t>Hyundai Pharm</t>
  </si>
  <si>
    <t>NCT05065411</t>
  </si>
  <si>
    <t>Efficacy &amp; Safety Evaluation of Enobosarm in Combo With Abemaciclib in Treatment of ER+HER2- Metastatic Breast Cancer</t>
  </si>
  <si>
    <t>NCT05523011</t>
  </si>
  <si>
    <t>Safety and Tolerability Study of MSC Exosome Ointment</t>
  </si>
  <si>
    <t>Paracrine Therapeutics Dermatology Pte. Ltd.</t>
  </si>
  <si>
    <t>NCT05382767</t>
  </si>
  <si>
    <t>Safety and Efficacy of CKDB-501A in Subjects With Post-stroke Upper Limb Spasticity</t>
  </si>
  <si>
    <t>CKD Bio Corporation</t>
  </si>
  <si>
    <t>NCT05253807</t>
  </si>
  <si>
    <t>Study to Evaluate the Efficacy and Safety of Pemigatinib in Participants With Relapsed or Refractory Advanced Non-Small Cell Lung Cancer With an FGFR Alteration</t>
  </si>
  <si>
    <t>NCT05481645</t>
  </si>
  <si>
    <t>Efficacy and Safety of TQB2450 Injection Combined With Chemotherapy ± Anlotinib Hydrochloride Capsules for Advanced Endometrial Cancer or Sarcoma of Uterus.</t>
  </si>
  <si>
    <t>NCT05273528</t>
  </si>
  <si>
    <t>The Immunogenicity and Safety of V-01-351/V-01D Bivalence Vaccine</t>
  </si>
  <si>
    <t>NCT05112536</t>
  </si>
  <si>
    <t>Trilaciclib, a CDK4/6 Inhibitor, in Patients With Early-Stage Triple Negative Breast Cancer</t>
  </si>
  <si>
    <t>NCT05596045</t>
  </si>
  <si>
    <t>Study to Evaluate Safety, Tolerability, Efficacy and Pharmacokinetics of ASC10 in Mild to Moderate COVID-19 Patients</t>
  </si>
  <si>
    <t>NCT05523739</t>
  </si>
  <si>
    <t>Safety and Efficacy Study of STI-1558 in Healthy Adults and SARS-CoV-2-Positive Patients</t>
  </si>
  <si>
    <t>Zhejiang ACEA Pharmaceutical Co. Ltd.</t>
  </si>
  <si>
    <t>NCT02988245</t>
  </si>
  <si>
    <t>Investigating the Use of Genetics to Guide Pharmacologic Therapy for Hypertension</t>
  </si>
  <si>
    <t>Geneticure, LLC</t>
  </si>
  <si>
    <t>NCT05370430</t>
  </si>
  <si>
    <t>BAFFR-targeting CAR T Cells for Patients With Relapsed or Refractory B-NHL</t>
  </si>
  <si>
    <t>NCT05585567</t>
  </si>
  <si>
    <t>A Preliminary Exploratory Study to Evaluate the Safety and Immunogenicity of Omicron Variant Bivalent Vaccine V-01-B5</t>
  </si>
  <si>
    <t>NCT05322577</t>
  </si>
  <si>
    <t>A Study Evaluating Bemarituzumab in Combination With Other Anti-cancer Therapies in Subjects With Previously Untreated Advanced Gastric or Gastroesophageal Junction Cancer.</t>
  </si>
  <si>
    <t>NCT05483530</t>
  </si>
  <si>
    <t>A Study to Investigate the Safety, Tolerability and Efficacy of HLX60 Combination With HLX10 in Subjects With Advanced or Metastatic Solid Tumors</t>
  </si>
  <si>
    <t>NCT05407324</t>
  </si>
  <si>
    <t>Dazucorilant in Patients With Amyotrophic Lateral Sclerosis</t>
  </si>
  <si>
    <t>NCT05367661</t>
  </si>
  <si>
    <t>Safety, Tolerability, Pharmacokinetics, and Pharmacodynamics of CHK-336 in Healthy Volunteers</t>
  </si>
  <si>
    <t>NCT05349396</t>
  </si>
  <si>
    <t>Bioavailability of Eszopiclone 3.0 mg With Regards to Reference Product</t>
  </si>
  <si>
    <t>NCT05524103</t>
  </si>
  <si>
    <t>Study to Evaluate the Safety and Pharmacokinetics of ALMB-0166 in Patients With Acute Spinal Cord Injury</t>
  </si>
  <si>
    <t>NCT05375903</t>
  </si>
  <si>
    <t>A Phase 1 Dose-escalation Study of UGN-301 in Patients With Recurrent Non-muscle Invasive Bladder Cancer (NMIBC)</t>
  </si>
  <si>
    <t>NCT05628103</t>
  </si>
  <si>
    <t>A Clinical Study That Will Evaluate How Well SEP-363856 Works and How Safe it is in People With Schizophrenia That Switch to SEP-363856 From Their Current Antipsychotic Medication</t>
  </si>
  <si>
    <t>NCT05710783</t>
  </si>
  <si>
    <t>Phase II/III Study of the AVX/COVID-12 Vaccine Against COVID-19 Applied as a Booster.</t>
  </si>
  <si>
    <t>NCT05671029</t>
  </si>
  <si>
    <t>Thorough QT/QTc of Pritelivir in Healthy Subjects</t>
  </si>
  <si>
    <t>NCT05651061</t>
  </si>
  <si>
    <t>A Phase I of SS109 in Hemophilia A or and B With Inhibitors</t>
  </si>
  <si>
    <t>NCT05356403</t>
  </si>
  <si>
    <t>CR845-310302: A Study to Evaluate the Safety and Efficacy of Difelikefalin in Advanced Chronic Kidney Disease Patients With Moderate-to-Severe Pruritus</t>
  </si>
  <si>
    <t>NCT05587283</t>
  </si>
  <si>
    <t>Safety, Tolerability, and Acceptability Study of Intravaginal Administration of LABTHERA-001 Capsules in Healthy Women</t>
  </si>
  <si>
    <t>AtoGen Co. Ltd</t>
  </si>
  <si>
    <t>NCT05118841</t>
  </si>
  <si>
    <t>Dose-Escalation and Dose-Expansion Study of ZX-4081 in Patients With Advanced Solid Tumors</t>
  </si>
  <si>
    <t>NCT05283746</t>
  </si>
  <si>
    <t>A Study of Epetraborole Tablets in Subjects With Degrees of Renal Function</t>
  </si>
  <si>
    <t>NCT05532046</t>
  </si>
  <si>
    <t>A Study to Learn How Safe Study Drug BAY2413555 is, How it Affects the Body, and How it Moves Into, Through, and Out of the Body Over 4 Weeks of Use in Participants With Heart Failure and Implanted Cardiac Defibrillator or Cardiac Resynchronization Devices (ICD/CRT)</t>
  </si>
  <si>
    <t>NCT05713188</t>
  </si>
  <si>
    <t>Clinical Investigation of the Safety of the MediSieve Magnetic Haemofiltration System in Healthy Volunteers</t>
  </si>
  <si>
    <t>MediSieve Limited</t>
  </si>
  <si>
    <t>NCT05885841</t>
  </si>
  <si>
    <t>Evaluation of XTR004 as a Novel 18F-labeled PET MPI Tracer in Diagnosis of Known or Suspected CAD</t>
  </si>
  <si>
    <t>NCT05481879</t>
  </si>
  <si>
    <t>Safety, Tolerability, Pharmacodynamic, Efficacy, and Pharmacokinetic Study of DYNE-101 in Participants With Myotonic Dystrophy Type 1</t>
  </si>
  <si>
    <t>NCT05364424</t>
  </si>
  <si>
    <t>A Study Evaluating the Efficacy, Safety, and Pharmacokinetics of Glofitamab in Combination With Rituximab Plus Ifosfamide, Carboplatin Etoposide Phosphate in Participants With Relapsed/Refractory Transplant or CAR-T Therapy Eligible Diffuse B-Cell Lymphoma</t>
  </si>
  <si>
    <t>NCT05489718</t>
  </si>
  <si>
    <t>A Dose Escalation Study of IBI324 in Subjects With Diabetic Macular Edema</t>
  </si>
  <si>
    <t>NCT05135910</t>
  </si>
  <si>
    <t>To Evaluate Hallux Terbinafine Subungual Gel (HSG) in the Treatment of Onychomycosis</t>
  </si>
  <si>
    <t>Hallux, Inc.</t>
  </si>
  <si>
    <t>NCT05670782</t>
  </si>
  <si>
    <t>A Study to Evaluate Safety and Efficacy of KM-819 in Healthy Adults and Participants with Parkinson's Disease</t>
  </si>
  <si>
    <t>FAScinate Therapeutics Inc.</t>
  </si>
  <si>
    <t>NCT05391880</t>
  </si>
  <si>
    <t>Study of Orally Administered BEBT-503 in Healthy Subjects</t>
  </si>
  <si>
    <t>NCT05651191</t>
  </si>
  <si>
    <t>To Evaluate the Safety and Efficacy of Human CD19 Targeted DASH CAR-T Cells Injection for Subjects With R/R B-ALL</t>
  </si>
  <si>
    <t>NCT05683860</t>
  </si>
  <si>
    <t>Open-label Extension (OLE) Study of WVE-004 in Patients With C9orf72-associated Amyotrophic Lateral Sclerosis (ALS) and/or Frontotemporal Dementia (FTD)</t>
  </si>
  <si>
    <t>NCT05415410</t>
  </si>
  <si>
    <t>Proof-of-concept Trial of Apraglutide in Acute Graft Versus Host Disease (aGVHD)</t>
  </si>
  <si>
    <t>NCT05630859</t>
  </si>
  <si>
    <t>Safety and Efficacy of GSK Neisseria Gonorrhoeae GMMA (NgG) Investigational Vaccine When Administered to Healthy Adults 18 to 50 Years of Age</t>
  </si>
  <si>
    <t>NCT05602597</t>
  </si>
  <si>
    <t>HMPL-689 Drug Interaction Study With CYP3A Inhibitor/CYP2C9 Inhibitor/CYP3A Inducer/PPI</t>
  </si>
  <si>
    <t>NCT05429723</t>
  </si>
  <si>
    <t>First-in-Human Study to Investigate the Safety and Tolerability and Pharmacokinetics of HS-10383</t>
  </si>
  <si>
    <t>NCT04739358</t>
  </si>
  <si>
    <t>CNS Dose Escalation/Expansion of Tepotinib in MET-driven NSCLC</t>
  </si>
  <si>
    <t>NCT05564052</t>
  </si>
  <si>
    <t>A Study of Ibrutinib With Rituximab in Relapsed or Refractory Mantle Cell Lymphoma</t>
  </si>
  <si>
    <t>NCT05130255</t>
  </si>
  <si>
    <t>GD2-SADA:177Lu-DOTA Complex in Patients With Solid Tumors Known to Express GD2</t>
  </si>
  <si>
    <t>NCT05322148</t>
  </si>
  <si>
    <t>Cyclosporine 0.1% / Loteprednol 0.2% Effect on Anterior Segment Normalization</t>
  </si>
  <si>
    <t>NCT05126758</t>
  </si>
  <si>
    <t>A Study of Deramiocel (CAP-1002) in Ambulatory and Non-Ambulatory Patients With Duchenne Muscular Dystrophy</t>
  </si>
  <si>
    <t>NCT05358249</t>
  </si>
  <si>
    <t>Platform Study of JDQ443 in Combinations in Patients With Advanced Solid Tumors Harboring the KRAS G12C Mutation</t>
  </si>
  <si>
    <t>NCT05517447</t>
  </si>
  <si>
    <t>Extension Study to Assess Batoclimab in Participants With Thyroid Eye Disease</t>
  </si>
  <si>
    <t>NCT05153148</t>
  </si>
  <si>
    <t>A Study to Evaluate the Efficacy, Safety, and Tolerability of NDI-034858 in Participants With Active Psoriatic Arthritis</t>
  </si>
  <si>
    <t>NCT06024642</t>
  </si>
  <si>
    <t>Study of V117957 in Overactive Bladder Syndrome</t>
  </si>
  <si>
    <t>NCT05266456</t>
  </si>
  <si>
    <t>Safety, Tolerability, and Immunogenicity Study of a 24-Valent Pneumococcal Conjugate Vaccine (VAX-24) in Adults</t>
  </si>
  <si>
    <t>Vaxcyte, Inc.</t>
  </si>
  <si>
    <t>NCT05477186</t>
  </si>
  <si>
    <t>Safety and Immunogenicity Study of a Booster Dose of the Investigational CV0501 mRNA COVID-19 Vaccine in Adults at Least 18 Years Old</t>
  </si>
  <si>
    <t>NCT05130086</t>
  </si>
  <si>
    <t>A Study of Islatravir (MK-8591) in Trans and Gender Diverse Participants (MK-8591-035)</t>
  </si>
  <si>
    <t>NCT05457270</t>
  </si>
  <si>
    <t>A Study to Assess the Relative Bioavailability and Safety of Different Formulations of AZD4831 in Fasted State in Healthy Volunteers.</t>
  </si>
  <si>
    <t>NCT05692570</t>
  </si>
  <si>
    <t>A Study of PBI-200 With Ritonavir or Cobicistat in Healthy Volunteers</t>
  </si>
  <si>
    <t>NCT05061654</t>
  </si>
  <si>
    <t>CEFtolozane-Tazobactam for the Empiric Anti-bacterial Treatment of Neutropenic Fever in Hematology Patients</t>
  </si>
  <si>
    <t>NCT05302284</t>
  </si>
  <si>
    <t>A Study of RC48-ADC Combined With Toripalimab For First-line Treatment of Urothelial Carcinoma</t>
  </si>
  <si>
    <t>NCT05463952</t>
  </si>
  <si>
    <t>A Study to Learn About the Vepdegestrant (ARV-471, PF-07850327) in People With ER+/HER2- Locally Advanced or Metastatic Breast Cancer (BC)</t>
  </si>
  <si>
    <t>NCT05628233</t>
  </si>
  <si>
    <t>SENS-401 to Prevent the Ototoxicity Induced by Cisplatin in Adult Subjects With a Neoplastic Disease</t>
  </si>
  <si>
    <t>NCT05581004</t>
  </si>
  <si>
    <t>A Study to Evaluate the Safety, Pharmacokinetics, and Activity of Enzelkitug as a Single Agent and in Combination With Checkpoint Inhibitor in Participants With Locally Advanced or Metastatic Solid Tumors</t>
  </si>
  <si>
    <t>NCT05928455</t>
  </si>
  <si>
    <t>The Immunogenicity and Safety Following a Heterologous Booster Dose of Recombinant SARS-CoV-2 Vaccine LYB001</t>
  </si>
  <si>
    <t>Guangzhou Patronus Biotech Co., Ltd.</t>
  </si>
  <si>
    <t>NCT05511558</t>
  </si>
  <si>
    <t>A Study of the Absorption, Metabolism, and Excretion of [14C]-Fosgonimeton (ATH-1017)</t>
  </si>
  <si>
    <t>NCT05502549</t>
  </si>
  <si>
    <t>A Study to Evaluate the Safety, Tolerability, and Pharmacokinetics of CB03-154 in Healthy Participants in Australia</t>
  </si>
  <si>
    <t>NCT05391048</t>
  </si>
  <si>
    <t>An BE Study to Compare 10mg &amp; 20mg of IMP4297 Capsules in Healthy Chinese Subjects Under Fed Condition</t>
  </si>
  <si>
    <t>NCT05634447</t>
  </si>
  <si>
    <t>A Clinical Trial to Compare and Evaluate the Safety and Pharmacokinetics of CKD-391</t>
  </si>
  <si>
    <t>NCT05590793</t>
  </si>
  <si>
    <t>Effects of Triptorelin Pamoate 6-month When Given to Adult Chinese Participants With Advanced Cancer in the Prostate</t>
  </si>
  <si>
    <t>NCT05477849</t>
  </si>
  <si>
    <t>A Clinical Study to Evaluate the Safety, Tolerability, Pharmacokinetics and Biologic Effect of VG2025 in Patients with Solid Tumors</t>
  </si>
  <si>
    <t>Shanghai Virogin Biotech Co., Ltd.</t>
  </si>
  <si>
    <t>NCT05082233</t>
  </si>
  <si>
    <t>Identify Effective Doses of SHR7280 Tablets in Controlled Ovarian Hyperstimulation (COH) for Female Subjects Undergoing Assisted Reproductive Technology (ART)</t>
  </si>
  <si>
    <t>NCT05300438</t>
  </si>
  <si>
    <t>Phase I Study of TSN084 in Patients With Advanced Malignant Tumors.</t>
  </si>
  <si>
    <t>Tyligand Bioscience (Shanghai) Limited</t>
  </si>
  <si>
    <t>NCT05375760</t>
  </si>
  <si>
    <t>A Randomized, Open-label, Dose-ranging Study in Adults and Pediatric Individuals ≥ 12 Years of Age to Assess the Safety, Immunogenicity, Pharmacokinetics, and Pharmacodynamics of AZD7442, for Pre-exposure Prophylaxis of COVID-19</t>
  </si>
  <si>
    <t>NCT05178888</t>
  </si>
  <si>
    <t>Adagrasib in Combination With Palbociclib in Patients With Advanced Solid Tumors (KRYSTAL-16)</t>
  </si>
  <si>
    <t>NCT05281523</t>
  </si>
  <si>
    <t>Efficacy and Safety of Depemokimab (GSK3511294) in Participants With Chronic Rhinosinusitis With Nasal Polyps (ANCHOR-2)</t>
  </si>
  <si>
    <t>NCT05266196</t>
  </si>
  <si>
    <t>A Rollover Protocol to Allow for Continued Access to the LSD1 Inhibitor Seclidemstat (SP-2577)</t>
  </si>
  <si>
    <t>Salarius Pharmaceuticals, LLC</t>
  </si>
  <si>
    <t>NCT06175780</t>
  </si>
  <si>
    <t>Phase I Study of KY-0118 in Subjects With Locally Advanced or Metastatic Solid Tumors</t>
  </si>
  <si>
    <t>Novatim Immune Therapeutics (Zhejiang) Co., Ltd.</t>
  </si>
  <si>
    <t>NCT05142696</t>
  </si>
  <si>
    <t>A Study of [177Lu]Lu-DOTA-TATE in Newly Diagnosed ES-SCLC Patients in Combination With Carboplatin, Etoposide and Atezolizumab</t>
  </si>
  <si>
    <t>NCT06368960</t>
  </si>
  <si>
    <t>BM201 in Combination With Radiotherapy in Patients With Advanced Solid Tumors</t>
  </si>
  <si>
    <t>InnoBM Pharmaceuticals Co., Ltd.</t>
  </si>
  <si>
    <t>NCT05191862</t>
  </si>
  <si>
    <t>Bioequivalence Study of PMR Compared to Cilostazol IR Tablets in Healthy Volunteers</t>
  </si>
  <si>
    <t>NCT05187546</t>
  </si>
  <si>
    <t>Test-retest Study With [18F]PI-2620 in PSP-RS and NDC</t>
  </si>
  <si>
    <t>NCT05379946</t>
  </si>
  <si>
    <t>Study to Evaluate D-1553 in Combination With IN10018 in Subjects With Solid Tumors</t>
  </si>
  <si>
    <t>NCT05433844</t>
  </si>
  <si>
    <t>To Evaluate the PK, PD, Safety and Drug Tolerance in Healthy Volunteers</t>
  </si>
  <si>
    <t>NCT05743634</t>
  </si>
  <si>
    <t>A Phase I/II Study of Recombinant Botulinum Toxin Type A for the Treatment of Moderate to Severe Glabellar Lines</t>
  </si>
  <si>
    <t>Chongqing Claruvis Pharmaceutical Co., Ltd.</t>
  </si>
  <si>
    <t>NCT05371093</t>
  </si>
  <si>
    <t>Study of Axicabtagene Ciloleucel Versus Standard of Care Therapy in Participants With Relapsed/Refractory Follicular Lymphoma</t>
  </si>
  <si>
    <t>NCT05533463</t>
  </si>
  <si>
    <t>Phase I Study of HRS-4642 in Patients With Advanced Solid Tumors Harboring KRAS G12D Mutation</t>
  </si>
  <si>
    <t>NCT05310487</t>
  </si>
  <si>
    <t>Phase 1 Study of 162, a Novel Neutralizing Antibody Targeting Hepatitis B Surface Antigen, in Healthy Adult Subjects</t>
  </si>
  <si>
    <t>Yangshengtang Co., Ltd</t>
  </si>
  <si>
    <t>NCT05500898</t>
  </si>
  <si>
    <t>Drug-Drug Interaction of DWP16001 in Combination With DWC202204 and DWC202205 in Healthy Male Adults</t>
  </si>
  <si>
    <t>NCT05126563</t>
  </si>
  <si>
    <t>Randomized Double-Blind Phase 2 Study of Allogeneic HB-adMSCs for the Treatment of Chronic Post-COVID-19 Syndrome</t>
  </si>
  <si>
    <t>NCT05367687</t>
  </si>
  <si>
    <t>A Study to Evaluate Camrelizumab Plus Rivoceranib (Apatinib) Versus Camrelizumab as Adjuvant Therapy in Patients With Hepatocellular Carcinoma (HCC) at High Risk of Recurrence After Curative Resection or Ablation</t>
  </si>
  <si>
    <t>NCT05397587</t>
  </si>
  <si>
    <t>An Immunity Persistence Study of Enterovirus 71 Inactivated Vaccine (Vero Cell)</t>
  </si>
  <si>
    <t>NCT05546151</t>
  </si>
  <si>
    <t>A Study to Assess the Safety and Tolerability of BMS-986322 in Healthy Participants of Japanese Descent</t>
  </si>
  <si>
    <t>NCT06118151</t>
  </si>
  <si>
    <t>Safety and Immunogenicity of a Monovalent mRNA Vaccine Encoding Influenza Hemagglutinin in Adult Participants 18 Years of Age and Older</t>
  </si>
  <si>
    <t>NCT06836037</t>
  </si>
  <si>
    <t>A Clinical Study of Efinopegdutide (MK-6024) in Healthy Chinese Volunteers (MK-6024-011)</t>
  </si>
  <si>
    <t>NCT05398445</t>
  </si>
  <si>
    <t>A Study Evaluating Rocatinlimab in Moderate-to-severe Atopic Dermatitis (ROCKET-IGNITE)</t>
  </si>
  <si>
    <t>NCT05189977</t>
  </si>
  <si>
    <t>A Trial to Assess the Effects of Prazosin or Propranolol on Blood Pressure in the Presence of Brexpiprazole/Sertraline</t>
  </si>
  <si>
    <t>NCT05515601</t>
  </si>
  <si>
    <t>A Bioequivalence Study of Mirikizumab (LY3074828) in Healthy Participants</t>
  </si>
  <si>
    <t>NCT05315167</t>
  </si>
  <si>
    <t>A Phase I/II Study to Evaluate the Safety, Pharmacokinetics and Efficacy of PRJ1-3024 in Subjects with Advanced Solid Tumors</t>
  </si>
  <si>
    <t>NCT05648500</t>
  </si>
  <si>
    <t>A Research Study to Evaluate the Effects of a New Oral Medicine Called Cenerimod in Adults With Systemic Lupus Erythematosus</t>
  </si>
  <si>
    <t>NCT06019507</t>
  </si>
  <si>
    <t>A Study of TCD601 in the Induction of Tolerance in de Novo Liver Transplantation</t>
  </si>
  <si>
    <t>NCT05835609</t>
  </si>
  <si>
    <t>PM534 Administered Intravenously to Patients With Advanced Solid Tumors</t>
  </si>
  <si>
    <t>NCT05227664</t>
  </si>
  <si>
    <t>A Study of AK117/AK112 in Metastatic Triple-Negative Breast Cancer</t>
  </si>
  <si>
    <t>NCT05380934</t>
  </si>
  <si>
    <t>A Clinical Trial of Safety and Tolerance of TQH3821 Tablets in Adult Healthy Subjects</t>
  </si>
  <si>
    <t>NCT05260411</t>
  </si>
  <si>
    <t>A Study to Evaluate the Efficacy and Safety of AK102 Q6W in Patients With Hyperlipidemia</t>
  </si>
  <si>
    <t>NCT05505734</t>
  </si>
  <si>
    <t>A Comparison of PT027 vs PT007 Used as Needed in Participants With Asthma</t>
  </si>
  <si>
    <t>NCT05433675</t>
  </si>
  <si>
    <t>A Study of Two Macitentan Formulations in Healthy Adult Participants</t>
  </si>
  <si>
    <t>NCT05174065</t>
  </si>
  <si>
    <t>Phase 3, Randomized Study of Apremilast in Japanese Participants With Palmoplantar Pustulosis (PPP)</t>
  </si>
  <si>
    <t>NCT03747328</t>
  </si>
  <si>
    <t>ABI-009 (Nab-sirolimus) in Patients With Genetically-confirmed Leigh or Leigh-like Syndrome</t>
  </si>
  <si>
    <t>NCT05547100</t>
  </si>
  <si>
    <t>Study of the Breast Milk Pharmacokinetics of Olanzapine and Samidorphan</t>
  </si>
  <si>
    <t>NCT04987307</t>
  </si>
  <si>
    <t>Safety and Efficacy of Efavaleukin Alfa in Participants With Moderately to Severely Active Ulcerative Colitis</t>
  </si>
  <si>
    <t>NCT05642377</t>
  </si>
  <si>
    <t>A Study to Investigate the Safety, Tolerability, Pharmacokinetic/Pharmacodynamic Characteristics and Food Effect of HGR4113 in Healthy Subjects</t>
  </si>
  <si>
    <t>NCT05193201</t>
  </si>
  <si>
    <t>A Phase Ib Clinical Study for rhTPO in the Treatment of Thrombocytopenia in Patients With Chronic Liver Disease</t>
  </si>
  <si>
    <t>NCT05579431</t>
  </si>
  <si>
    <t>A Phase 1, First-in-human Study of VX-634</t>
  </si>
  <si>
    <t>NCT05277337</t>
  </si>
  <si>
    <t>Study Comparing Treatment With Alluzience vs Reconstituted Toxin</t>
  </si>
  <si>
    <t>NCT05260437</t>
  </si>
  <si>
    <t>Safety, Reactogenicity, and Immunogenicity Trial of CV2CoV mRNA Vaccine Against SARS-CoV-2 in Seropositive Adult Participants</t>
  </si>
  <si>
    <t>NCT05068102</t>
  </si>
  <si>
    <t>A Study to Test How BI 765063 and BI 770371 Are Taken up in Tumours of People With Different Types of Advanced Cancer Who Are Also Taking Ezabenlimab</t>
  </si>
  <si>
    <t>NCT05393037</t>
  </si>
  <si>
    <t>Safety and Immunogenicity of V116 in Adults Living With Human Immunodeficiency Virus (HIV) (V116-007, STRIDE-7)</t>
  </si>
  <si>
    <t>NCT03970031</t>
  </si>
  <si>
    <t>A Study of MSDC-0602K to Assess Glycemic Control and Cardiovascular Outcomes in Patients With Pre-T2D or T2D and NAFLD/NASH</t>
  </si>
  <si>
    <t>Cirius Therapeutics, Inc.</t>
  </si>
  <si>
    <t>NCT05623345</t>
  </si>
  <si>
    <t>Psoriatic Arthritis Study of Izokibep</t>
  </si>
  <si>
    <t>NCT05352672</t>
  </si>
  <si>
    <t>Clinical Study of Fianlimab in Combination With Cemiplimab Versus Pembrolizumab in Adolescent and Adult Patients With Previously Untreated Unresectable Locally Advanced or Metastatic Melanoma</t>
  </si>
  <si>
    <t>NCT05814809</t>
  </si>
  <si>
    <t>Clinical Trial to Evaluate the Safety and Pharmacokinetics of JP-1366 in Healthy Adult Volunteers</t>
  </si>
  <si>
    <t>NCT05580172</t>
  </si>
  <si>
    <t>Phase 1 Study of Oral RH324 in Advanced Non-Small Cell Lung Cancer</t>
  </si>
  <si>
    <t>ReHeva Biosciences,Inc.</t>
  </si>
  <si>
    <t>NCT05316701</t>
  </si>
  <si>
    <t>Precision-T: A Randomized Study of Orca-T in Recipients Undergoing Allogeneic Transplantation for Hematologic Malignancies</t>
  </si>
  <si>
    <t>Orca Biosystems, Inc.</t>
  </si>
  <si>
    <t>NCT05714254</t>
  </si>
  <si>
    <t>Multiple Dose Study of Safety and Pharmacokinetics of MEDI0618 in Healthy Volunteers</t>
  </si>
  <si>
    <t>NCT05214794</t>
  </si>
  <si>
    <t>An Open-label, Phase 2 Study to Assess the Efficacy and Safety of Nemolizumab in Subjects With Systemic Sclerosis</t>
  </si>
  <si>
    <t>Maruho Co., Ltd.</t>
  </si>
  <si>
    <t>NCT05168566</t>
  </si>
  <si>
    <t>Study to Evaluate Sutetinib Maleate Capsule in Locally Advanced or Metastatic Non-small Cell Lung Cancer</t>
  </si>
  <si>
    <t>Teligene US</t>
  </si>
  <si>
    <t>NCT05540522</t>
  </si>
  <si>
    <t>A Study to Evaluate a Modified RNA Vaccine Against Influenza in Adults 18 Years of Age or Older</t>
  </si>
  <si>
    <t>NCT05193851</t>
  </si>
  <si>
    <t>Evaluate the Safety and Pharmacokinetics of Ricolinostat</t>
  </si>
  <si>
    <t>NCT05542953</t>
  </si>
  <si>
    <t>[18F]APN-1607 PET in Subjects With AD Compared to HC</t>
  </si>
  <si>
    <t>APRINOIA Therapeutics</t>
  </si>
  <si>
    <t>NCT04987112</t>
  </si>
  <si>
    <t>Intratumoral CAN1012(Selective TLR7 Agonist) in Subjects With Solid Tumors</t>
  </si>
  <si>
    <t>CanWell Pharma Inc.</t>
  </si>
  <si>
    <t>NCT05329766</t>
  </si>
  <si>
    <t>A Safety and Efficacy Study of Treatment Combinations With and Without Chemotherapy in Adult Participants With Advanced Upper Gastrointestinal Tract Malignancies</t>
  </si>
  <si>
    <t>NCT05626751</t>
  </si>
  <si>
    <t>An Open-label Extension Trial of HZNP-HZN-825-301 in Adult Participants With Diffuse Cutaneous Systemic Sclerosis (Diffuse Cutaneous SSc)</t>
  </si>
  <si>
    <t>NCT05167253</t>
  </si>
  <si>
    <t>A Study to Evaluate the Ability of UB-612 COVID-19 Vaccine to Boost Immunity of Heterologous COVID-19 Vaccines.</t>
  </si>
  <si>
    <t>NCT04627831</t>
  </si>
  <si>
    <t>Comparison of Captisol-Enabled™ Iohexol and Omnipaque™ in Patients With Impaired Renal Function Undergoing Coronary Angiography</t>
  </si>
  <si>
    <t>Ligand Pharmaceuticals</t>
  </si>
  <si>
    <t>NCT05306340</t>
  </si>
  <si>
    <t>A Study Evaluating the Efficacy and Safety of Giredestrant Plus Everolimus Compared With the Physician's Choice of Endocrine Therapy Plus Everolimus in Participants With Estrogen Receptor-Positive, HER2-Negative, Locally Advanced or Metastatic Breast Cancer (evERA Breast Cancer)</t>
  </si>
  <si>
    <t>NCT05423691</t>
  </si>
  <si>
    <t>Leading in MPNs Beyond Ruxolitinib in Combo With T-Regs</t>
  </si>
  <si>
    <t>NCT05441215</t>
  </si>
  <si>
    <t>A Study to Learn About the Medicine (PF-07321332 or Nirmatrelvir/Ritonavir) in Healthy Lactating Women</t>
  </si>
  <si>
    <t>NCT05232708</t>
  </si>
  <si>
    <t>A Clinical Trial Looking at the Comparability of 2 Different Forms of Semaglutide</t>
  </si>
  <si>
    <t>NCT05400317</t>
  </si>
  <si>
    <t>A Study to Evaluate the Efficacy and Safety of AD-218</t>
  </si>
  <si>
    <t>NCT04992715</t>
  </si>
  <si>
    <t>PD-L1 Expression in Lung Cancer</t>
  </si>
  <si>
    <t>NanoMab Technology (UK) Limited</t>
  </si>
  <si>
    <t>NCT05504226</t>
  </si>
  <si>
    <t>Clinical Efficacy and Safety Evaluation of Teneligliptin in Type 2 Diabetes Who Have Inadequate GlycemIc Control With Empaglyflozin 25 mg and Metformin</t>
  </si>
  <si>
    <t>NCT05291091</t>
  </si>
  <si>
    <t>Phase 2 Study of EDG-5506 in Becker Muscular Dystrophy (GRAND CANYON)</t>
  </si>
  <si>
    <t>NCT05413018</t>
  </si>
  <si>
    <t>An Efficacy and Safety Study of Oral Azacitidine (CC-486) as Maintenance Therapy in Chinese Participants With Acute Myeloid Leukemia in Complete Remission</t>
  </si>
  <si>
    <t>NCT05478785</t>
  </si>
  <si>
    <t>A Study to Evaluate the Safety, Tolerability, Pharmacokinetics, and Antitumor Efficacy of Cisplatin Micelle Injection (HA132) in Patients With Advanced Malignant Solid Tumors</t>
  </si>
  <si>
    <t>NCT05548543</t>
  </si>
  <si>
    <t>A Study to Evaluate the Pharmacokinetics and Safety Between HCP2202 and Co-administration of Each Component in Healthy Volunteers Under Fed Conditions</t>
  </si>
  <si>
    <t>NCT05393076</t>
  </si>
  <si>
    <t>Phase I Study of Linerixibat in Adults With Moderate Hepatic Impairment and Healthy Controls</t>
  </si>
  <si>
    <t>NCT05430217</t>
  </si>
  <si>
    <t>Efficacy and Safety of Buspirone, Sustained-release Tablets, 15 mg in Patients With Autonomic Dysfunction Syndrome Accompanied by Vertigo</t>
  </si>
  <si>
    <t>NCT05275868</t>
  </si>
  <si>
    <t>Study of MGY825 in Patients With Advanced Non-small Cell Lung Cancer</t>
  </si>
  <si>
    <t>NCT05878691</t>
  </si>
  <si>
    <t>A Study of GRC 54276 in Participants With Advanced Solid Tumors and Lymphomas.</t>
  </si>
  <si>
    <t>Glenmark Specialty S.A.</t>
  </si>
  <si>
    <t>NCT05372718</t>
  </si>
  <si>
    <t>Thrombolysis With Recombinant Non-immunogenic Staphylokinase vs Surgery in Patients With Acute Limb Ischemia FORAT Trial</t>
  </si>
  <si>
    <t>NCT05639543</t>
  </si>
  <si>
    <t>FXR Effect on Severe Alcohol-Associated Hepatitis (FRESH) Study</t>
  </si>
  <si>
    <t>NCT05452343</t>
  </si>
  <si>
    <t>A Study of CM310 in Subjects With Chronic Pruritus</t>
  </si>
  <si>
    <t>NCT05458076</t>
  </si>
  <si>
    <t>A Study of QLS1128 and in Combination With Ritonavir in Healthy Participants</t>
  </si>
  <si>
    <t>NCT05526391</t>
  </si>
  <si>
    <t>A Study of TAK-341 in Treatment of Multiple System Atrophy</t>
  </si>
  <si>
    <t>NCT05150691</t>
  </si>
  <si>
    <t>A Phase 1/2a Study of DB-1303/BNT323 in Advanced/Metastatic Solid Tumors</t>
  </si>
  <si>
    <t>NCT05295290</t>
  </si>
  <si>
    <t>A Study to Learn About The COVID-19 (Study) Vaccine (Called COMIRNATY) in People That Are Less Than 21 Years Old.</t>
  </si>
  <si>
    <t>NCT05362695</t>
  </si>
  <si>
    <t>A Study of Multiple-ascending Doses of IW-3300 in Healthy Subjects</t>
  </si>
  <si>
    <t>Ironwood Pharmaceuticals, Inc.</t>
  </si>
  <si>
    <t>NCT05865730</t>
  </si>
  <si>
    <t>A Study of Oncobax®-AK in Patients With Advanced Solid Tumors</t>
  </si>
  <si>
    <t>EverImmune</t>
  </si>
  <si>
    <t>NCT05297019</t>
  </si>
  <si>
    <t>A Dosing Study of Hyperbaric Oxygen Therapy (HBOT) on Epigenetic Aging</t>
  </si>
  <si>
    <t>NCT05144334</t>
  </si>
  <si>
    <t>A Study of BTX-1188 in Subjects With Advanced Malignancies</t>
  </si>
  <si>
    <t>Biotheryx, Inc.</t>
  </si>
  <si>
    <t>NCT05249621</t>
  </si>
  <si>
    <t>A Randomized Phase 1 of of MZE001 in Healthy Volunteers</t>
  </si>
  <si>
    <t>Maze Therapeutics</t>
  </si>
  <si>
    <t>NCT04980833</t>
  </si>
  <si>
    <t>Study Assessing Long-term Safety and Efficacy of Alpelisib in Patients With PIK3CA-Related Overgrowth Spectrum (PROS) Who Previously Participated in Study CBYL719F12002 (EPIK-P1)</t>
  </si>
  <si>
    <t>NCT05542576</t>
  </si>
  <si>
    <t>Study of AMDX-2011P as a Retinal Tracer in Subjects With Neurodegenerative Diseases Associated With Amyloidogenic Proteinopathy</t>
  </si>
  <si>
    <t>Amydis Inc.</t>
  </si>
  <si>
    <t>NCT05276817</t>
  </si>
  <si>
    <t>Perio. Maint. With Diode LBR</t>
  </si>
  <si>
    <t>Biolase Inc</t>
  </si>
  <si>
    <t>NCT05698017</t>
  </si>
  <si>
    <t>Study to Evaluate Investigational Allogeneic Cell Therapy Product hOMSC300 for Treatment of Early to Moderate Stage Multiple System Atrophy (MSA)</t>
  </si>
  <si>
    <t>NCT05645536</t>
  </si>
  <si>
    <t>Safety Extension Study for Subjects With HR+, HER2- Breast Cancer for Subjects Who Have Completed the OVELIA Study</t>
  </si>
  <si>
    <t>NCT05238844</t>
  </si>
  <si>
    <t>A Study of Safety and Efficacy of ATI-2173 and Vebicorvir in Combination With Tenofovir Disoproxil Fumarate in Subjects With Chronic Hepatitis B Virus Infection</t>
  </si>
  <si>
    <t>NCT05200273</t>
  </si>
  <si>
    <t>A Study to Evaluate the Safety, Pharmacokinetics, and Antitumor Activity of AK114</t>
  </si>
  <si>
    <t>NCT06137573</t>
  </si>
  <si>
    <t>Human Mass Balance and Biotransformation Study of [14C]TNP-2198</t>
  </si>
  <si>
    <t>NCT05285540</t>
  </si>
  <si>
    <t>Study to Evaluate DT-216 in Adult Patients With Friedreich Ataxia</t>
  </si>
  <si>
    <t>Design Therapeutics, Inc.</t>
  </si>
  <si>
    <t>NCT05633459</t>
  </si>
  <si>
    <t>A Study Evaluating the Safety and Tolerability of QRL-201 in ALS</t>
  </si>
  <si>
    <t>NCT05480761</t>
  </si>
  <si>
    <t>7-Day Trial of Sucraid for Alleviating CSID Symptoms in Subjects With Low, Moderate, and Normal Sucrase Levels</t>
  </si>
  <si>
    <t>QOL Medical, LLC</t>
  </si>
  <si>
    <t>NCT05074810</t>
  </si>
  <si>
    <t>Phase 1/2 Study of Avutometinib (VS-6766) + Sotorasib With or Without Defactinib in KRAS G12C NSCLC Patients</t>
  </si>
  <si>
    <t>NCT05560360</t>
  </si>
  <si>
    <t>A Trial of DDI Between SHR1459 and Efavirenz With Healthy Subjects</t>
  </si>
  <si>
    <t>NCT05377489</t>
  </si>
  <si>
    <t>Open-label Trial to Check the Safety and Tolerability of RTX-GRT7039 Injections for Pain Associated With Osteoarthritis of the Knee</t>
  </si>
  <si>
    <t>NCT05456191</t>
  </si>
  <si>
    <t>A Study to Investigate Tolerability and Efficacy of Asciminib (Oral) Versus Nilotinib (Oral) in Adult Participants (≥18 Years of Age) With Newly Diagnosed Philadelphia Chromosome Positive Chronic Myelogenous Leukemia in Chronic Phase (Ph+ CML-CP)</t>
  </si>
  <si>
    <t>NCT04165486</t>
  </si>
  <si>
    <t>Study to Evaluate the Safety, Tolerability, and Pharmacokinetics of ION464 Administered to Adults With Multiple System Atrophy (HORIZON)</t>
  </si>
  <si>
    <t>NCT05446870</t>
  </si>
  <si>
    <t>Pembrolizumab With Chemotherapy and MK-4830 for Treating Participants With Ovarian Cancer (MK-4830-002)</t>
  </si>
  <si>
    <t>NCT05440383</t>
  </si>
  <si>
    <t>A Clinical Study of KLH-2109 in Uterine Fibroids Patient With Menorrhagia</t>
  </si>
  <si>
    <t>NCT04001010</t>
  </si>
  <si>
    <t>Safety and Efficacy of Inhaled Synthetic THC/CBD for Improving Physical Functioning and for Modulating Cachexia Progression in Patients With Advanced Cancer and Associated Cachexia</t>
  </si>
  <si>
    <t>NCT05505162</t>
  </si>
  <si>
    <t>Assessing the Effect of Multiple Doses of Zibotentan on the Pharmacokinetics of Single Doses of Combined Oral Contraceptives in Healthy Female Participants of Non-childbearing Potential.</t>
  </si>
  <si>
    <t>NCT05219162</t>
  </si>
  <si>
    <t>Real-World Study on Gene Profile in Patients With Advanced NSCLC Who Progressed on First-Line Osimertinib Therapy(GPS).</t>
  </si>
  <si>
    <t>NCT05444088</t>
  </si>
  <si>
    <t>Study of SHR-8068 Combined With Adebrelimab and Bevacizumab in the Treatment of Advanced Hepatocellular Carcinoma</t>
  </si>
  <si>
    <t>NCT05153161</t>
  </si>
  <si>
    <t>Memesto Wearable Device for Persons With Dementia</t>
  </si>
  <si>
    <t>Edgewater Safety Systems, Inc.</t>
  </si>
  <si>
    <t>NCT05286970</t>
  </si>
  <si>
    <t>A Clinical Study of AK115 in Healthy Subjects</t>
  </si>
  <si>
    <t>NCT05129280</t>
  </si>
  <si>
    <t>A Study to Evaluate Safety, Pharmacokinetics, and Preliminary Anti-tumor Activity of RO7444973 in Participants With Unresectable and/or Metastatic MAGE-A4-positive Solid Tumors</t>
  </si>
  <si>
    <t>NCT05377580</t>
  </si>
  <si>
    <t>A Study to Evaluate IBI112 in the Treatment of Moderate to Severe Active Ulcerative Colitis</t>
  </si>
  <si>
    <t>NCT04994080</t>
  </si>
  <si>
    <t>A Study to Assess the Efficacy and Safety of Paricalcitol in the Treatment of Chronic Kidney Disease With Secondary Hyperparathyroidism</t>
  </si>
  <si>
    <t>NCT05359627</t>
  </si>
  <si>
    <t>A Pharmacokinetic Study of Polymyxin B in Healthy Subjects and Subjects With Renal Insufficiency</t>
  </si>
  <si>
    <t>TTY Biopharm</t>
  </si>
  <si>
    <t>NCT05501769</t>
  </si>
  <si>
    <t>ARV-471 in Combination With Everolimus for the Treatment of Advanced or Metastatic ER+, HER2- Breast Cancer</t>
  </si>
  <si>
    <t>Arvinas Estrogen Receptor, Inc.</t>
  </si>
  <si>
    <t>NCT05150717</t>
  </si>
  <si>
    <t>ADME Study of [14C]-Jaktinib in Healthy Male Subjects</t>
  </si>
  <si>
    <t>NCT06416774</t>
  </si>
  <si>
    <t>A Clinical Study of 68Ga-HX01 Injection for PET Imaging</t>
  </si>
  <si>
    <t>Hexin (Suzhou) Pharmaceutical Technology Co., Ltd</t>
  </si>
  <si>
    <t>NCT05827796</t>
  </si>
  <si>
    <t>IN10018+ Standard Chemotherapy (+KN046) in Subjects With Advanced Pancreatic Cancer</t>
  </si>
  <si>
    <t>NCT05221008</t>
  </si>
  <si>
    <t>A Trial of SHR6508 in Secondary Hyperparathyroidism</t>
  </si>
  <si>
    <t>NCT05374590</t>
  </si>
  <si>
    <t>Evaluating Long-term Safety of Efgartigimod Administered Intravenously and Efgartigimod PH20 Administered Subcutaneously in Children With Generalized Myasthenia Gravis</t>
  </si>
  <si>
    <t>NCT05351697</t>
  </si>
  <si>
    <t>Clinical Study of BR105 Injection</t>
  </si>
  <si>
    <t>NCT04975997</t>
  </si>
  <si>
    <t>Open-label Study Comparing Iberdomide, Daratumumab and Dexamethasone (IberDd) Versus Daratumumab, Bortezomib, and Dexamethasone (DVd) in Participants With Relapsed or Refractory Multiple Myeloma (RRMM)</t>
  </si>
  <si>
    <t>NCT05292040</t>
  </si>
  <si>
    <t>A Study of LY3857210 in Healthy Participants</t>
  </si>
  <si>
    <t>NCT05463068</t>
  </si>
  <si>
    <t>Study to Compare the Immunogenicity and Safety of 3 Lots of NVX-CoV2373 in Adults</t>
  </si>
  <si>
    <t>NCT06888518</t>
  </si>
  <si>
    <t>Multistrain Probiotics Against Bacterial Vaginosis</t>
  </si>
  <si>
    <t>Institut AllergoSan Pharma GmbH</t>
  </si>
  <si>
    <t>NCT05262010</t>
  </si>
  <si>
    <t>A Phase III Clinical Trial of a 11-valent Recombinant Human Papillomavirus Vaccine (Hansenulapolymorpha) in Chinese Women Aged 9-45 Years</t>
  </si>
  <si>
    <t>NCT05371379</t>
  </si>
  <si>
    <t>Multiple Ascending Dose Study of CM338 in Healthy Volunteers</t>
  </si>
  <si>
    <t>NCT05328752</t>
  </si>
  <si>
    <t>Safety and Tolerability Study of XXB750 in Heart Failure Participants With Reduced or Mildly Reduced Ejection Fraction (HFrEF/HFmrEF)</t>
  </si>
  <si>
    <t>NCT05165485</t>
  </si>
  <si>
    <t>Phase 4 COPD and Suboptimal Inspiratory Flow Rate</t>
  </si>
  <si>
    <t>NCT05211947</t>
  </si>
  <si>
    <t>A Study to Test Long-term Safety of Iclepertin in People With Schizophrenia Who Took Part in a Previous CONNEX Study</t>
  </si>
  <si>
    <t>NCT05377333</t>
  </si>
  <si>
    <t>A Study of LY3457263 Alone and in Combination With Dulaglutide (LY2189265) in Participants With Type 2 Diabetes</t>
  </si>
  <si>
    <t>NCT05618691</t>
  </si>
  <si>
    <t>A Study of GFH312 in Patients With Peripheral Artery Disease (PAD) and Intermittent Claudication (IC)</t>
  </si>
  <si>
    <t>NCT05306574</t>
  </si>
  <si>
    <t>A Study of Telitacicept for the Treatment of Moderately to Severely Active Systemic Lupus Erythematosus (REMESLE-1)</t>
  </si>
  <si>
    <t>NCT05238597</t>
  </si>
  <si>
    <t>A Study to Evaluate the Safety, Tolerability, and Efficacy of A197 in Subjects With Dry Eye Disease</t>
  </si>
  <si>
    <t>Aramis Biosciences, Inc.</t>
  </si>
  <si>
    <t>NCT05617820</t>
  </si>
  <si>
    <t>Study Comparing Estradiol Vaginal Inserts 4mcg To IMVEXXY ® (Estradiol Vaginal Inerts 4 mcg) In The Treatment Of Dyspareunia in Women With Vulvur and Vaginal Atrophy</t>
  </si>
  <si>
    <t>NCT05358379</t>
  </si>
  <si>
    <t>A Study to Investigate CYC140, in Subjects With Advanced Solid Tumors and Lymphoma</t>
  </si>
  <si>
    <t>NCT05110196</t>
  </si>
  <si>
    <t>Study of Capmatinib in Indian Patients With MET Exon 14 Skipping Mutation Positive Advanced NSCLC.</t>
  </si>
  <si>
    <t>NCT05453968</t>
  </si>
  <si>
    <t>Berotralstat Treatment in Children With Hereditary Angioedema</t>
  </si>
  <si>
    <t>NCT05594797</t>
  </si>
  <si>
    <t>Human BCMA Targeted T Cells Injection（BCMA CAR-T）for Subjects With R/R MM</t>
  </si>
  <si>
    <t>NCT05581823</t>
  </si>
  <si>
    <t>Study to Evaluate the Effects of Cytochrome P450 (CYP) 3A4 Inducer Carbamazepine on Tavapadon Pharmacokinetics in Healthy Adult Participants</t>
  </si>
  <si>
    <t>NCT07554196</t>
  </si>
  <si>
    <t>A Phase 1 Clinical Study Evaluating the Safety, Tolerability, Pharmacokinetics, and Preliminary Efficacy of HH-101 in Patients With Advanced Solid Tumors</t>
  </si>
  <si>
    <t>NCT05254990</t>
  </si>
  <si>
    <t>Reparixin add-on Therapy to Standard Care to Limit Progression in Pts With COVID19 &amp; Other Community Acquired Pneumonia</t>
  </si>
  <si>
    <t>NCT06736340</t>
  </si>
  <si>
    <t>Pharmacokinetics and Safety of Rupatadine in Participants With Hepatic Impairment Compared to Control Participants.</t>
  </si>
  <si>
    <t>NCT05451810</t>
  </si>
  <si>
    <t>A Study to Evaluate Adverse Events of Subcutaneous (SC) Epcoritamab Administered in the Outpatient Setting in Adult Participants With Relapsed or Refractory Diffuse Large B-Cell Lymphoma and Classic Follicular Lymphoma</t>
  </si>
  <si>
    <t>NCT05329220</t>
  </si>
  <si>
    <t>ABNCoV2 Vaccine in Adult Subjects Previously Vaccinated for SARS-CoV-2</t>
  </si>
  <si>
    <t>NCT05663879</t>
  </si>
  <si>
    <t>Safety, Tolerability, Pharmacokinetic and Pharmacodynamic of ID120040002 in Healthy Volunteers</t>
  </si>
  <si>
    <t>NCT05627648</t>
  </si>
  <si>
    <t>Phase 3 Study of KP-100LI in Subjects With Vocal Fold Scar</t>
  </si>
  <si>
    <t>NCT05297448</t>
  </si>
  <si>
    <t>Evaluation of Rifaximin SSD for Delaying Encephalopathy Decompensation in Patients With Cirrhosis</t>
  </si>
  <si>
    <t>NCT05591755</t>
  </si>
  <si>
    <t>Evaluation of Brimonidine Tartrate/Ketotifen Fumarate Combination in Adults With Seasonal Allergic Conjunctivitis</t>
  </si>
  <si>
    <t>NCT05645107</t>
  </si>
  <si>
    <t>A Study to Evaluate Efficacy, Safety, and PK of XEMBIFY®+Standard Medical Treatment (SMT) Compared to Placebo+SMT to Prevent Infections in Participants With HGG and Recurrent or Severe Infections Associated With B-cell Chronic Lymphocytic Leukemia, Multiple Myeloma, and Non-Hodgkin Lymphoma</t>
  </si>
  <si>
    <t>NCT05396833</t>
  </si>
  <si>
    <t>Study of Tuvusertib (M1774) in Combination With DNA Damage Response Inhibitor or Immune Checkpoint Inhibitor (DDRiver Solid Tumors 320)</t>
  </si>
  <si>
    <t>NCT05133180</t>
  </si>
  <si>
    <t>Safety and Efficacy Study on Cenegermin (Oxervate®) vs Vehicle in Severe Sjogren's Dry Eye Disease (PROTEGO-1 Study)</t>
  </si>
  <si>
    <t>NCT05357573</t>
  </si>
  <si>
    <t>Study to Assess the Safety, Pharmacokinetics and Efficacy of KRN23 in Adult Chinese Patients With TIO</t>
  </si>
  <si>
    <t>NCT05133882</t>
  </si>
  <si>
    <t>A Phase Ⅰb/Ⅱ Clinical Study of Clifutinib Besylate Combined With Chemotherapy in the Treatment of Newly Diagnosed AML</t>
  </si>
  <si>
    <t>NCT05202327</t>
  </si>
  <si>
    <t>PDC-1421 Treatment in Adult Patients With ADHD</t>
  </si>
  <si>
    <t>BioLite, Inc.</t>
  </si>
  <si>
    <t>NCT05283161</t>
  </si>
  <si>
    <t>CBD (Cannabidiol)/THC (Tetrahydrocannabinol) Solution as a Pharmacological Strategy for Patients With Fibromyalgia (FibroCann)</t>
  </si>
  <si>
    <t>FG Brasil LTDA</t>
  </si>
  <si>
    <t>NCT04797468</t>
  </si>
  <si>
    <t>A Phase 1 Study of the CD73 Inhibitor(HLX23) Alone in Participants With Solid Tumor</t>
  </si>
  <si>
    <t>NCT05879068</t>
  </si>
  <si>
    <t>A Study of PM8002 in Combination With Chemotherapy in Patients With SCLC</t>
  </si>
  <si>
    <t>NCT05314023</t>
  </si>
  <si>
    <t>Immunogenicity and Safety of V503 in Chinese Males 9 Through 19 Years Old (V503-053)</t>
  </si>
  <si>
    <t>NCT05364073</t>
  </si>
  <si>
    <t>Study of Furmonertinib in Patients With Advanced or Metastatic Non-Small Cell Lung Cancer (NSCLC) With Activating, Including Uncommon, Epidermal Growth Factor Receptor (EGFR) or Human Epidermal Growth Factor Receptor 2 (HER2) Mutations</t>
  </si>
  <si>
    <t>ArriVent BioPharma, Inc.</t>
  </si>
  <si>
    <t>NCT05002946</t>
  </si>
  <si>
    <t>Pharmacokinetics of SP-104</t>
  </si>
  <si>
    <t>NCT05433142</t>
  </si>
  <si>
    <t>Study of XmAb®819 in Subjects With Advanced Clear Cell Renal Cell Carcinoma</t>
  </si>
  <si>
    <t>NCT05448651</t>
  </si>
  <si>
    <t>Safety and Biologic Impact (Pharmacodynamics) of Repeated Injections and Increasing Amounts of UPB-101 in Asthmatics</t>
  </si>
  <si>
    <t>NCT05628740</t>
  </si>
  <si>
    <t>Placebo-controlled, Single and Multiple Dose Study in Healthy Volunteers and Refractory Chronic Cough Patients to Assess the Safety, Tolerability, and Pharmacokinetics of Two Formulations of NTX-1175</t>
  </si>
  <si>
    <t>Nocion Therapeutics</t>
  </si>
  <si>
    <t>NCT05810740</t>
  </si>
  <si>
    <t>Bioequivalence Binimetinib 3 x 15 mg and 45 mg Formulations</t>
  </si>
  <si>
    <t>NCT05388903</t>
  </si>
  <si>
    <t>A Study to Assess the Safety and Pharmacokinetics of Single Ascending Subcutaneous and Intravenous Doses of DS-2325a in Healthy Subjects</t>
  </si>
  <si>
    <t>NCT05173142</t>
  </si>
  <si>
    <t>A Phase Ib/II Clinical Study Evaluating HMPL-453 Tartrate as Monotherapy and in Combination With Chemotherapy or Toripalimab in Advanced Solid Tumors</t>
  </si>
  <si>
    <t>NCT05134662</t>
  </si>
  <si>
    <t>ALT-801 in Overweight and Obese Subjects With Type 2 Diabetes Mellitus (T2DM)</t>
  </si>
  <si>
    <t>NCT05928988</t>
  </si>
  <si>
    <t>A Study to Evaluate the Effect of Itraconazole on Pharmacokinetics (PK) of SHR8554 in Healthy Adult Subjects</t>
  </si>
  <si>
    <t>NCT04975204</t>
  </si>
  <si>
    <t>A Clinical Trial of TQB3909 Tablets in Subjects With Advanced Malignant Tumors</t>
  </si>
  <si>
    <t>NCT05225558</t>
  </si>
  <si>
    <t>A Phase 2a Study, Effect of Vancomycin With vs Without Delpazolid (LCB01-0371) in Patients With MRSA Bacteremia</t>
  </si>
  <si>
    <t>NCT05322616</t>
  </si>
  <si>
    <t>Single-Ascending Dose Study of JK07 in Subjects With HFpEF</t>
  </si>
  <si>
    <t>NCT05309304</t>
  </si>
  <si>
    <t>Cefazolin PK Study 3g vs 2g</t>
  </si>
  <si>
    <t>NCT05084638</t>
  </si>
  <si>
    <t>Study to Assess the Effect of Ofatumumab in Treatment Naïve, Very Early RRMS Patients Benchmarked Against Healthy Controls.</t>
  </si>
  <si>
    <t>NCT05390944</t>
  </si>
  <si>
    <t>An BE Study to Compare 10mg &amp; 20mg of IMP4297 Capsules in Healthy Chinese Subjects Under Fasting Condition</t>
  </si>
  <si>
    <t>NCT05097599</t>
  </si>
  <si>
    <t>StrataPATH™ (Precision Indications for Approved Therapies)</t>
  </si>
  <si>
    <t>Strata Oncology</t>
  </si>
  <si>
    <t>NCT05027906</t>
  </si>
  <si>
    <t>Safety, Pharmacokinetics, and Efficacy of AT 1501 in Patients Undergoing Kidney Transplant</t>
  </si>
  <si>
    <t>NCT05112848</t>
  </si>
  <si>
    <t>A Study to Evaluate Safety and Immunogenicity of a COVID-19 Vaccine in People Living With HIV at Risk for SARS-CoV-2 (COVID-19)</t>
  </si>
  <si>
    <t>NCT05490264</t>
  </si>
  <si>
    <t>[68Ga]Ga-NOTA-SNA002 (PD-L1 PET Tracer) for PET/CT in Patients With Solid Tumors</t>
  </si>
  <si>
    <t>NCT05330143</t>
  </si>
  <si>
    <t>Study to Evaluate Safety, Tolerance and Efficacy of ASC22 Combined With ART in Subjects With HIV</t>
  </si>
  <si>
    <t>NCT05172349</t>
  </si>
  <si>
    <t>Use of a Biological Lens of Amniotic Membrane (LV-Visio-AMTRIX) in the Treatment of Trophic Ulcers</t>
  </si>
  <si>
    <t>NCT05873764</t>
  </si>
  <si>
    <t>A Study to Learn About Effect of Sisunatovir in Healthy Adult Male Participants</t>
  </si>
  <si>
    <t>NCT05440799</t>
  </si>
  <si>
    <t>A Study to Test How Healthy Women Tolerate Different Doses of BI 1819479</t>
  </si>
  <si>
    <t>NCT05216601</t>
  </si>
  <si>
    <t>A Study to Evaluate the Safety, Tolerability, and Immunogenicity of MVC-COV1901 or MVC-COV1901(Beta) Against COVID-19</t>
  </si>
  <si>
    <t>NCT05481528</t>
  </si>
  <si>
    <t>A Study to Learn How Safe the Study Treatment Elinzanetant is and How it Moves Into, Through and Out of the Body When Given as Single Increasing Doses That Are Higher Than Normally Used Compared to Placebo and Moxifloxacin in Healthy Participants</t>
  </si>
  <si>
    <t>NCT05493111</t>
  </si>
  <si>
    <t>A Long-Term Safety Study Evaluating the Safety and Systemic Exposure of AR-15512</t>
  </si>
  <si>
    <t>NCT05410730</t>
  </si>
  <si>
    <t>A Study of SHR-1501 Alone or in Combination With BCG or SHR-1316 in Subjects With NMIBC</t>
  </si>
  <si>
    <t>NCT05143528</t>
  </si>
  <si>
    <t>Evaluating the Efficacy and Safety of Nilotinib BE in Subjects With Early Alzheimer's Disease</t>
  </si>
  <si>
    <t>KeifeRx, LLC</t>
  </si>
  <si>
    <t>NCT04191434</t>
  </si>
  <si>
    <t>Efficacy and Safety of Flamboyant 125/12 Association in the Treatment of Adults With Moderate Asthma</t>
  </si>
  <si>
    <t>NCT05492045</t>
  </si>
  <si>
    <t>A Study to Evaluate D-1553 in Combination Therapy in Non-Small Cell Lung Cancer</t>
  </si>
  <si>
    <t>NCT05232071</t>
  </si>
  <si>
    <t>Placebo-controlled, Proof-of-concept Study to Evaluate the Safety and Efficacy of Lanifibranor Alone and in Combination With SGLT2 Inhibitor EmpaGliflozin in patiEnts With NASH and Type 2 Diabetes Mellitus</t>
  </si>
  <si>
    <t>NCT05123534</t>
  </si>
  <si>
    <t>A Phase 2 Study of Sonodynamic Therapy Using SONALA-001 and Exablate 4000 Type 2.0 in Patients with DIPG</t>
  </si>
  <si>
    <t>SonALAsense, Inc.</t>
  </si>
  <si>
    <t>NCT05173987</t>
  </si>
  <si>
    <t>Study of Pembrolizumab (MK-3475) Versus Chemotherapy in Mismatch Repair Deficient (dMMR) Advanced or Recurrent Endometrial Carcinoma (MK-3475-C93/KEYNOTE-C93/GOG-3064/ENGOT-en15)</t>
  </si>
  <si>
    <t>NCT05370495</t>
  </si>
  <si>
    <t>Study of SY-201 Ophthalmic Solution in Subjects With Dry Eye Disease</t>
  </si>
  <si>
    <t>Seinda Pharmaceutical Guangzhou Corporation</t>
  </si>
  <si>
    <t>NCT05196295</t>
  </si>
  <si>
    <t>To Evaluate the Safety of Treating Rheumatologic and Metabolic Patients With Molecular Hydrogen Supplement.</t>
  </si>
  <si>
    <t>NCT05430919</t>
  </si>
  <si>
    <t>Efficacy of the Anti-Bet v 1 Monoclonal Antibodies (Given Subcutaneously) to Reduce Allergic Rhinitis and Conjunctivitis Symptoms and Skin Test Reactivity Upon Exposure to Birch Allergen in Adult Participants</t>
  </si>
  <si>
    <t>NCT05584202</t>
  </si>
  <si>
    <t>Study to Evaluate the Safety, Reactogenicity, and Effectiveness of mRNA-1273.214 SARS-CoV-2 (COVID-19) Vaccine in Infants</t>
  </si>
  <si>
    <t>NCT05490563</t>
  </si>
  <si>
    <t>STRIDES - a Clinical Research Study of an Investigational New Drug to Treat Spinocerebellar Ataxia</t>
  </si>
  <si>
    <t>NCT05071300</t>
  </si>
  <si>
    <t>A Study to Assess the Long-Term Safety and Efficacy of Eplontersen (Formerly Known as ION-682884, IONIS-TTR-LRx and AKCEA-TTR-LRx) in Patients With Hereditary Transthyretin-Mediated Amyloid Polyneuropathy</t>
  </si>
  <si>
    <t>NCT05522439</t>
  </si>
  <si>
    <t>A Study to Evaluate the Pharmacodynamic, Efficacy and Safety of SHR-1703 in Asthma Patients With Eosinophil Phenotype</t>
  </si>
  <si>
    <t>NCT05451212</t>
  </si>
  <si>
    <t>Open-label Study to Evaluate the Safety of Various Dosing Regimens of MuSK-CAART for MuSK Myasthenia Gravis</t>
  </si>
  <si>
    <t>NCT05090371</t>
  </si>
  <si>
    <t>A Multicenter Study of Continued Current Therapy vs Transition to Ofatumumab After Neurofilament (NfL) Elevation</t>
  </si>
  <si>
    <t>NCT05155709</t>
  </si>
  <si>
    <t>A Study of Siremadlin in Combination With Venetoclax Plus Azacitidine in Adult Participants With Acute Myeloid Leukemia (AML) Who Are Ineligible for Chemotherapy.</t>
  </si>
  <si>
    <t>NCT05768932</t>
  </si>
  <si>
    <t>BAL0891 in Patients With Advanced Solid Tumors or Relapsed or Refractory Acute Myeloid Leukemia</t>
  </si>
  <si>
    <t>SillaJen, Inc.</t>
  </si>
  <si>
    <t>NCT05608187</t>
  </si>
  <si>
    <t>Evaluating Safety and Biological Effect on Wound Healing of ILP100-Topical in Subjects With Diabetic Foot Ulcers</t>
  </si>
  <si>
    <t>Ilya Pharma</t>
  </si>
  <si>
    <t>NCT06117878</t>
  </si>
  <si>
    <t>Safety and Efficacy of NK510 to Treat Osteosarcoma and Soft Tissue Sarcoma</t>
  </si>
  <si>
    <t>Base Therapeutics (Shanghai) Co., Ltd.</t>
  </si>
  <si>
    <t>NCT05396885</t>
  </si>
  <si>
    <t>Study of Anitocabtagene-autoleucel in Relapsed or Refractory Multiple Myeloma (iMMagine-1)</t>
  </si>
  <si>
    <t>NCT05284799</t>
  </si>
  <si>
    <t>Immunogenicity and Safety of the Concomitant Administration of OVX836 and Quadrivalent Influenza Vaccine in Healthy Volunteers.</t>
  </si>
  <si>
    <t>NCT05287399</t>
  </si>
  <si>
    <t>Safety, Tolerability, Pharmacokinetics and Pharmacodynamics of ASC61in Subjects With Advanced Solid Tumors</t>
  </si>
  <si>
    <t>NCT05509699</t>
  </si>
  <si>
    <t>Surufatinib Plus Anti-PD-1/L1 as Maintenance Therapy in Extensive-Stage Small Cell Lung Cancer</t>
  </si>
  <si>
    <t>NCT05517421</t>
  </si>
  <si>
    <t>Study to Assess Batoclimab in Participants With Active Thyroid Eye Disease</t>
  </si>
  <si>
    <t>NCT05218616</t>
  </si>
  <si>
    <t>The Bioequivalence Study of Two Sunitinib Products in Capsules 50 mg in Healthy Volunteers Under Fasting Conditions</t>
  </si>
  <si>
    <t>JLLC NatiVita</t>
  </si>
  <si>
    <t>NCT05484206</t>
  </si>
  <si>
    <t>Effect of Hepatic Impairment on the Pharmacokinetics and Safety of VIR-2218 and VIR-3434</t>
  </si>
  <si>
    <t>NCT05412992</t>
  </si>
  <si>
    <t>Evaluation of the Dexmedetomidine Transdermal Systems for Postoperative Analgesia Following Abdominoplasty</t>
  </si>
  <si>
    <t>NCT05226598</t>
  </si>
  <si>
    <t>Study of Pembrolizumab/Vibostolimab Coformulation (MK-7684A) in Combination With Chemotherapy Versus Pembrolizumab Plus Chemotherapy in Participants With Metastatic Non-Small Cell Lung Cancer (MK-7684A-007/KEYVIBE-007)</t>
  </si>
  <si>
    <t>NCT05579184</t>
  </si>
  <si>
    <t>[Lu-177]Ludotadipep in Castration-resistant Prostate Cancer(CRPC): Investigation of Drug and Application_2</t>
  </si>
  <si>
    <t>NCT05304936</t>
  </si>
  <si>
    <t>HCW9218 for Advanced Pancreatic Cancer</t>
  </si>
  <si>
    <t>NCT05193916</t>
  </si>
  <si>
    <t>A Phase II Clinical Trial of Chiglitazar for NASH</t>
  </si>
  <si>
    <t>NCT05525247</t>
  </si>
  <si>
    <t>A Phase 1/2, Open-label, Multicenter, Dose Escalation and Expansion Study of SLC-3010 Monotherapy and in Combination</t>
  </si>
  <si>
    <t>Selecxine</t>
  </si>
  <si>
    <t>NCT05411471</t>
  </si>
  <si>
    <t>Immunogenicity and Safety Study of Booster Vaccine With the COVID-19 Vaccine (Vero Cell), Inactivated, Omicron Strain</t>
  </si>
  <si>
    <t>Sinovac Biotech (Hong Kong) Limited</t>
  </si>
  <si>
    <t>NCT05263206</t>
  </si>
  <si>
    <t>Efficacy and Safety of Subcutaneous Dupilumab for the Treatment of Adult Participants With Chronic Pruritus of Unknown Origin (CPUO) (LIBERTY-CPUO-CHIC)</t>
  </si>
  <si>
    <t>NCT05303064</t>
  </si>
  <si>
    <t>Study to Evaluate Weight Gain as Assessed by Change in BMI Z-score in Pediatric Subjects With Schizophrenia or Bipolar I Disorder</t>
  </si>
  <si>
    <t>NCT05547399</t>
  </si>
  <si>
    <t>Relative Bioavailability of Zanubrutinib Tablets Compared to Capsules and Effects of Food on the Pharmacokinetics of the Tablet in Healthy Adults</t>
  </si>
  <si>
    <t>NCT05595642</t>
  </si>
  <si>
    <t>A Study to Evaluate Astegolimab in Participants With Chronic Obstructive Pulmonary Disease</t>
  </si>
  <si>
    <t>NCT05335005</t>
  </si>
  <si>
    <t>MK-2060 and Clopidogrel Co-administration Safety and Tolerability Study in Participants With End-Stage Renal Disease (ESRD) (MK-2060-008)</t>
  </si>
  <si>
    <t>NCT05184322</t>
  </si>
  <si>
    <t>XW004 To Evaluate the Safety, Tolerability, PK, and PD of Oral Ecnoglutide Tablet in Healthy Adults</t>
  </si>
  <si>
    <t>NCT05125302</t>
  </si>
  <si>
    <t>Study to Assess Adverse Events and Disease Activity of Oral Ubrogepant Tablets for the Acute Treatment of Migraine in Children and Adolescents (Ages 6-17)</t>
  </si>
  <si>
    <t>NCT05078827</t>
  </si>
  <si>
    <t>Therapeutic Equivalence of Fluorouracil Cream, 5% Compared With Fluorouracil 5% Topical Cream of MylanPharmaceuticals Inc., U.S.A in the Treatment of Actinic Keratosis</t>
  </si>
  <si>
    <t>Encube Ethicals Pvt. Ltd.</t>
  </si>
  <si>
    <t>NCT05800327</t>
  </si>
  <si>
    <t>A Two-Stage Study of the Efficacy, Safety, Pharmacokinetics, Pharmacodynamics and Immunogenicity of Various Doses of Levilimab When Administered Intravenously and Subcutaneously to Healthy Subjects and Subjects With Active Rheumatoid Arthritis</t>
  </si>
  <si>
    <t>NCT03773328</t>
  </si>
  <si>
    <t>A Clinical Trial of CK0801 (a New Drug) In Patients With Treatment-Resistant Guillain-Barré Syndrome (GBS)</t>
  </si>
  <si>
    <t>NCT05284019</t>
  </si>
  <si>
    <t>Real World Effectiveness of Eptinezumab in Participants With Migraine</t>
  </si>
  <si>
    <t>NCT05308472</t>
  </si>
  <si>
    <t>Study of Bitopertin to Evaluate the Safety, Tolerability, Efficacy, and PPIX Concentrations in Participants With EPP</t>
  </si>
  <si>
    <t>NCT05445895</t>
  </si>
  <si>
    <t>A Study to Evaluate the Efficacy and Safety of Renexin CR in Patients With Acute Non-cardioembolic Ischemic Stroke</t>
  </si>
  <si>
    <t>NCT05611853</t>
  </si>
  <si>
    <t>Study of BN301, an Anti-CD74 Antibody Drug Conjugate, in Patients With Advanced B-Cell Malignancies</t>
  </si>
  <si>
    <t>NCT05245539</t>
  </si>
  <si>
    <t>Trial to Study the Effect of CVL-231 on 24-Hour Ambulatory Blood Pressure in Participants With Schizophrenia</t>
  </si>
  <si>
    <t>NCT05611957</t>
  </si>
  <si>
    <t>A Study of LY3437943 in Healthy Participants and Participants With Impaired Renal Function</t>
  </si>
  <si>
    <t>NCT05652595</t>
  </si>
  <si>
    <t>Double-blind, Randomized Comparative Cross-sectional Study of Pharmacodynamics and Pharmacokinetics of Drugs GP40141</t>
  </si>
  <si>
    <t>NCT04837001</t>
  </si>
  <si>
    <t>Evaluation in STEMI Patients Using FDY-5301</t>
  </si>
  <si>
    <t>NCT05416775</t>
  </si>
  <si>
    <t>Phase Ib/II Study of SHR-8068 Injection in the Treatment of Advanced Non-small Cell Lung Cancer</t>
  </si>
  <si>
    <t>NCT05385575</t>
  </si>
  <si>
    <t>A Study to Evaluate Effects of KN056 in Healthy Participants</t>
  </si>
  <si>
    <t>NCT05249101</t>
  </si>
  <si>
    <t>A Study of Ivaltinostat Plus Capecitabine or Capecitabine in Metastatic Pancreatic Adenocarcinoma</t>
  </si>
  <si>
    <t>CG Pharmaceuticals, Inc</t>
  </si>
  <si>
    <t>NCT05043402</t>
  </si>
  <si>
    <t>A Study of Navicixizumab in Patients With Platinum Resistant Ovarian Cancer</t>
  </si>
  <si>
    <t>NCT05688085</t>
  </si>
  <si>
    <t>Pharmacokinetics of Irbesartan High/Amlodipine FDC and Co-administration of Irbesartan High and Amlodipine in Healthy Volunteers</t>
  </si>
  <si>
    <t>NCT05838885</t>
  </si>
  <si>
    <t>A Trial of YPEG-rhGH in Children With Short Stature</t>
  </si>
  <si>
    <t>NCT05229068</t>
  </si>
  <si>
    <t>A Study of Safety, Reactogenicity and Immune Response of the Repeat Vaccination Against RSV When Given to Female Participants of 18-49 Years of Age During Their Subsequent Uncomplicated Pregnancy</t>
  </si>
  <si>
    <t>NCT07150091</t>
  </si>
  <si>
    <t>Sub-study of Belantamab Mafodotin (GSK2857916) in Combination With Nirogacestat, Lenalidomide, and Dexamethasone in Participants With RRMM</t>
  </si>
  <si>
    <t>NCT05332210</t>
  </si>
  <si>
    <t>Evaluate the Safety of HBM9161 (HL161) Subcutaneous Injection in Patients With Generalized Myasthenia Gravis</t>
  </si>
  <si>
    <t>NCT05560373</t>
  </si>
  <si>
    <t>The Effect of Huperzine A Injection on Postoperative Cognitive Dysfunction in Patients With Aneurysmal Subarachnoid Hemorrhage: a Pilot Study</t>
  </si>
  <si>
    <t>NCT05581641</t>
  </si>
  <si>
    <t>Safety and Immune Responses After Vaccination With an Investigational RNA-based Vaccine Against Malaria</t>
  </si>
  <si>
    <t>NCT05496569</t>
  </si>
  <si>
    <t>TQB3616 Capsules in the Treatment of Dedifferentiated Liposarcoma</t>
  </si>
  <si>
    <t>NCT05268497</t>
  </si>
  <si>
    <t>A Study to Assess Feasibility of Using Clinician-directed and Digital Application Supported Cognitive Behavior Therapy (CBT) in Conjunction With Esketamine in Participants With Treatment-resistant Depression</t>
  </si>
  <si>
    <t>NCT05395091</t>
  </si>
  <si>
    <t>Multicenter Study in Postmenopausal Women With Osteoporosis, ALVOBOND</t>
  </si>
  <si>
    <t>NCT05373433</t>
  </si>
  <si>
    <t>To Evaluate SSD8432/Ritonavir in Adults With COVID-19</t>
  </si>
  <si>
    <t>NCT05200247</t>
  </si>
  <si>
    <t>An Expanded Access Trial in Japan to Provide Spesolimab to People With a Flare-up in Generalized Pustular Psoriasis Who Have no Other Treatment Options</t>
  </si>
  <si>
    <t>NCT05125562</t>
  </si>
  <si>
    <t>Extracellular Vesicles Infusion Treatment for Mild-to-Moderate COVID-19</t>
  </si>
  <si>
    <t>NCT05495061</t>
  </si>
  <si>
    <t>A Comparative Confirmatory Study of STN1012600 in Subjects With Primary Open Angle Glaucoma or Ocular Hypertension</t>
  </si>
  <si>
    <t>Santen Pharmaceutical Co., Ltd.</t>
  </si>
  <si>
    <t>NCT05351502</t>
  </si>
  <si>
    <t>A Study to Assess the Safety and Efficacy of Nitric Oxide Injection Into Unresectable Solid Primary or Metastatic Tumors</t>
  </si>
  <si>
    <t>NCT05580042</t>
  </si>
  <si>
    <t>Study to Evaluate the Safety and Tolerability of AC-1101 Topical Gel in Patients with Granuloma Annulare</t>
  </si>
  <si>
    <t>NCT05687266</t>
  </si>
  <si>
    <t>Phase III, Open-label, First-line Study of Dato-DXd in Combination With Durvalumab and Carboplatin for Advanced NSCLC Without Actionable Genomic Alterations</t>
  </si>
  <si>
    <t>NCT05554666</t>
  </si>
  <si>
    <t>A Study of ASKG315 in Patients With Advanced Solid Tumors.</t>
  </si>
  <si>
    <t>AskGene Pharma, Inc.</t>
  </si>
  <si>
    <t>NCT05420779</t>
  </si>
  <si>
    <t>A Study to Evaluate the Efficacy and Safety of TSL-1502 Capsules in Breast Cancer Patients With Germline BRCA Mutations</t>
  </si>
  <si>
    <t>Jiangsu Tasly Diyi Pharmaceutical Co., Ltd.</t>
  </si>
  <si>
    <t>NCT05468346</t>
  </si>
  <si>
    <t>Study on the Body Mass Balance and Biotransformation of [14C]-HEC585</t>
  </si>
  <si>
    <t>NCT05553470</t>
  </si>
  <si>
    <t>Study to Evaluate the Effects of Hepatic Impairment on the Pharmacokinetics of Miricorilant</t>
  </si>
  <si>
    <t>NCT05476783</t>
  </si>
  <si>
    <t>A Long Term Extension Study to Assess the Safety of TB006 in Participants With Alzheimer's Disease</t>
  </si>
  <si>
    <t>NCT05451329</t>
  </si>
  <si>
    <t>A Phase 2 Double-masked Study of VVN539 in Subjects With Elevated Intraocular Pressure</t>
  </si>
  <si>
    <t>NCT05275062</t>
  </si>
  <si>
    <t>Clinical Trial to Evaluate the Safety and Efficacy of IM92 CAR-T Cells Therapy in Patients With Advanced Gastric or Pancreatic Adenocarcinoma</t>
  </si>
  <si>
    <t>NCT05351554</t>
  </si>
  <si>
    <t>A Study to Assess the Safety, Tolerability, and Efficacy of Namilumab in Participants With Active Cardiac Sarcoidosis</t>
  </si>
  <si>
    <t>NCT05277402</t>
  </si>
  <si>
    <t>ADG116 in Combination With Pembrolizumab in Patients With Advanced/Metastatic Solid Tumors</t>
  </si>
  <si>
    <t>NCT05359445</t>
  </si>
  <si>
    <t>IMA401 TCER® in Recurrent and/or Refractory Solid Tumors, Alone or in Combination With a Checkpoint Inhibitor</t>
  </si>
  <si>
    <t>Immatics Biotechnologies GmbH</t>
  </si>
  <si>
    <t>NCT05356195</t>
  </si>
  <si>
    <t>Evaluation of Safety and Efficacy of CTX001 in Pediatric Participants With Transfusion-Dependent β-Thalassemia (TDT)</t>
  </si>
  <si>
    <t>NCT05368805</t>
  </si>
  <si>
    <t>Fruquintinib DDI Study With P-gp and BCRP Substrates</t>
  </si>
  <si>
    <t>NCT05428696</t>
  </si>
  <si>
    <t>Safety and Tolerability, PK, and PD Study of Single and Multiple ALXN2080 Doses in Healthy Participants</t>
  </si>
  <si>
    <t>NCT05668754</t>
  </si>
  <si>
    <t>Study of SDX in Patients With Idiopathic Hypersomnia (IH)</t>
  </si>
  <si>
    <t>Zevra Therapeutics</t>
  </si>
  <si>
    <t>NCT05309902</t>
  </si>
  <si>
    <t>A Study of Soticlestat in Healthy Adults To Evaluate the Effect on QTc Interval</t>
  </si>
  <si>
    <t>NCT05093998</t>
  </si>
  <si>
    <t>Study Evaluating the Efficacy and Safety of AV5080 in Patients With Uncomplicated Influenza</t>
  </si>
  <si>
    <t>NCT05463263</t>
  </si>
  <si>
    <t>A Phase 1/2 Study of STP938 (Dencatistat) for Adult Subjects With Relapsed/Refractory B-Cell and T-Cell Lymphomas</t>
  </si>
  <si>
    <t>Step Pharma, SAS</t>
  </si>
  <si>
    <t>NCT05360576</t>
  </si>
  <si>
    <t>An Open-label, Randomized, 2-Period, Crossover, Pharmacokinetics Study</t>
  </si>
  <si>
    <t>NCT05204563</t>
  </si>
  <si>
    <t>Imipenem/Cilastatin-XNW4107 Versus Imipenem/Cilastatin/Relebactam for Treatment of Participants With Bacterial Pneumonia (XNW4107-302, REITAB-2)</t>
  </si>
  <si>
    <t>NCT05413655</t>
  </si>
  <si>
    <t>A Study of Oral EX039 in Subjects with Mild Alzheimer's Disease</t>
  </si>
  <si>
    <t>Excelsior</t>
  </si>
  <si>
    <t>NCT07230184</t>
  </si>
  <si>
    <t>To Evaluate the Efficacy and Safety of Combination Therapy With B55R1 and B55R2 Compared to B55R1 Monotherapy in Patients With NPDR</t>
  </si>
  <si>
    <t>NCT05851014</t>
  </si>
  <si>
    <t>A Study of GB491 in Combination With Letrozole in Patients With HR Positive and HER2 Negative Advanced Breast Cancer</t>
  </si>
  <si>
    <t>NCT05280548</t>
  </si>
  <si>
    <t>A Study to Evaluate the Effect of Venglustat Tablets on Left Ventricular Mass Index in Male and Female Adult Participants With Fabry Disease</t>
  </si>
  <si>
    <t>NCT05583955</t>
  </si>
  <si>
    <t>A 10-week Efficacy Study of NOE-105 in Childhood Onset Fluency Disorder (Orpheus)</t>
  </si>
  <si>
    <t>NCT05366764</t>
  </si>
  <si>
    <t>First-in-human Study of SAR443765 in Healthy Participants and in Asthmatic Participants</t>
  </si>
  <si>
    <t>NCT05198063</t>
  </si>
  <si>
    <t>ZF2001 Booster Immunization Clinical Trials of 6 Months After the Completion of Basic Immunization</t>
  </si>
  <si>
    <t>NCT05317416</t>
  </si>
  <si>
    <t>Study With Elranatamab Versus Lenalidomide in Patients With Newly Diagnosed Multiple Myeloma After Transplant</t>
  </si>
  <si>
    <t>NCT04078555</t>
  </si>
  <si>
    <t>A Study to Evaluate ENERGI-F703 GEL in Venous Leg Ulcer</t>
  </si>
  <si>
    <t>Energenesis Biomedical Co., Ltd.</t>
  </si>
  <si>
    <t>NCT05445843</t>
  </si>
  <si>
    <t>Study of Efficacy and Safety of JDQ443 Single-agent as First-line Treatment for Patients With Locally Advanced or Metastatic KRAS G12C- Mutated Non-small Cell Lung Cancer With a PD-L1 Expression &lt; 1% or a PD-L1 Expression ≥ 1% and an STK11 Co-mutation.</t>
  </si>
  <si>
    <t>NCT05428943</t>
  </si>
  <si>
    <t>OPT101 in Type 1 Diabetes Patients</t>
  </si>
  <si>
    <t>NCT05335993</t>
  </si>
  <si>
    <t>A Clinical Study Evaluating a Combination of Oregovomab and Niraparib in Adult Women With Platinum Sensitive Recurrent Ovarian Cancer.</t>
  </si>
  <si>
    <t>NCT05522868</t>
  </si>
  <si>
    <t>SB17170 Phase 1 Clinical Trial in Solid Tumors</t>
  </si>
  <si>
    <t>SPARK Biopharma</t>
  </si>
  <si>
    <t>NCT05094050</t>
  </si>
  <si>
    <t>Study to Assess How ABBV-951 is Absorbed When Administered at Different Subcutaneous Sites of Adult Participants With Parkinson's Disease</t>
  </si>
  <si>
    <t>NCT05133297</t>
  </si>
  <si>
    <t>The Safety and Efficacy of TLL-018 in Active Rheumatoid Arthritis</t>
  </si>
  <si>
    <t>NCT05658458</t>
  </si>
  <si>
    <t>A Study to Learn How Well the Drug Vericiguat Works and How Safe it is Under Real World Conditions in Indian Participants After Worsening of a Long-term Heart Condition in Which the Left Side of the Heart Does Not Pump Blood as Well as it Should (Chronic Heart Failure With Reduced Ejection Fraction)</t>
  </si>
  <si>
    <t>NCT06116240</t>
  </si>
  <si>
    <t>A Clinical Trial of TQB2450 Injection Combined With AL2846 Capsules in Patients With Advanced Solid Tumors</t>
  </si>
  <si>
    <t>NCT05324410</t>
  </si>
  <si>
    <t>A Phase 1 Dose Escalation Study to Evaluate Safety and Pharmacokinetics (PK) of VX-840 in Healthy Participants</t>
  </si>
  <si>
    <t>NCT05277376</t>
  </si>
  <si>
    <t>Pharmacokinetic (PK) Evaluation of Bemotrizinol (6%) in a Sunscreen Maximum Usage Trial</t>
  </si>
  <si>
    <t>NCT05378997</t>
  </si>
  <si>
    <t>Safety, Tolerability, and Pharmacokinetics of Ascending Topical Doses of TCP-25 Applied to Epidermal Suction Blister Wounds, Non-Healing Leg Ulcers and Patients With Dystrophic Epidermolysis Bullosa.</t>
  </si>
  <si>
    <t>Xinnate AB</t>
  </si>
  <si>
    <t>NCT05448755</t>
  </si>
  <si>
    <t>A Study of ELX-02 in Patients With Alport Syndrome</t>
  </si>
  <si>
    <t>Eloxx Pharmaceuticals, Inc.</t>
  </si>
  <si>
    <t>NCT05508789</t>
  </si>
  <si>
    <t>A Study of Donanemab (LY3002813) in Participants With Early Symptomatic Alzheimer's Disease (TRAILBLAZER-ALZ 5)</t>
  </si>
  <si>
    <t>NCT05155020</t>
  </si>
  <si>
    <t>A Study to Evaluate the Efficacy and Safety of AK120 in the Treatment of Subjects With Moderate-to-severe Asthma</t>
  </si>
  <si>
    <t>NCT05635084</t>
  </si>
  <si>
    <t>A First-in-human Study of YN001 in Healthy Volunteers</t>
  </si>
  <si>
    <t>Beijing Inno Medicine Co., Ltd.</t>
  </si>
  <si>
    <t>NCT05386758</t>
  </si>
  <si>
    <t>A Study to Evaluate Molnupiravir (MK-4482; MOV) in Participants With Severe Renal Impairment (MK-4482-003)</t>
  </si>
  <si>
    <t>NCT05752552</t>
  </si>
  <si>
    <t>Study to Determine the Safety and Pharmacokinetics of DO-2 in Patients With Advanced or Refractory Solid Tumours</t>
  </si>
  <si>
    <t>DeuterOncology</t>
  </si>
  <si>
    <t>NCT05429008</t>
  </si>
  <si>
    <t>A Phase I Clinical Study of HMPL-A83 in Patients With Advanced Malignant Neoplasm</t>
  </si>
  <si>
    <t>NCT04118868</t>
  </si>
  <si>
    <t>Pembrolizumab Administered Via the Sofusa® DoseConnect™ in Patients With Relapsed/Refractory Cutaneous T-cell Lymphoma.</t>
  </si>
  <si>
    <t>NCT05274750</t>
  </si>
  <si>
    <t>Efficacy and Safety of Depemokimab (GSK3511294) in Participants With Chronic Rhinosinusitis With Nasal Polyps</t>
  </si>
  <si>
    <t>NCT05254574</t>
  </si>
  <si>
    <t>Sustained Acoustic Medicine for Osteoarthritis Pain</t>
  </si>
  <si>
    <t>NCT05309525</t>
  </si>
  <si>
    <t>Effect of Oral TXA on Buttock Bruising Post CCH Injections in Adult Females</t>
  </si>
  <si>
    <t>Luxurgery</t>
  </si>
  <si>
    <t>NCT06534450</t>
  </si>
  <si>
    <t>The Effects Of Therapeutic Plasma Exchange (TPE) On Age Related Biomarkers And Epigenetics</t>
  </si>
  <si>
    <t>Dobri Kiprov</t>
  </si>
  <si>
    <t>NCT05354713</t>
  </si>
  <si>
    <t>NVP-1805 Compared to Coadministration of NVP-1805-R1 With NVP-1805-R2 in Healthy Adult Volunteers (BE)</t>
  </si>
  <si>
    <t>NCT05443724</t>
  </si>
  <si>
    <t>A Study to Evaluate Safety and Tolerability of CVL-231 (Emraclidine) in Adult Participants With Schizophrenia</t>
  </si>
  <si>
    <t>NCT05326035</t>
  </si>
  <si>
    <t>A Study of WJ05129 in Advanced Malignant Solid Tumors</t>
  </si>
  <si>
    <t>NCT05189210</t>
  </si>
  <si>
    <t>GV1001 Subcutaneous(SC) for the Treatment of Mild to Moderate Alzheimer's Disease (AD)</t>
  </si>
  <si>
    <t>GemVax &amp; Kael</t>
  </si>
  <si>
    <t>NCT04933968</t>
  </si>
  <si>
    <t>Study of ALVR106 in Patients With Respiratory Viral Infections After Hematopoietic Cell and Solid Organ Transplant</t>
  </si>
  <si>
    <t>NCT05563480</t>
  </si>
  <si>
    <t>TQB2618 Injection Combined With Penpulimab Injection in the Treatment of Patients With Recurrent/Metastatic Nasopharyngeal Carcinoma</t>
  </si>
  <si>
    <t>NCT05571943</t>
  </si>
  <si>
    <t>A Open-label Study to Assess the Long-term Safety of Difamilast Ointment 1% in Mild to Moderate Atopic Dermatitis</t>
  </si>
  <si>
    <t>NCT05990335</t>
  </si>
  <si>
    <t>Boost Study 21270 (Cognition)</t>
  </si>
  <si>
    <t>NCT05558150</t>
  </si>
  <si>
    <t>Study to Evaluate Pharmacokinetic Drug Interactions and Safety of Ilaprazole and Aceclofenac</t>
  </si>
  <si>
    <t>NCT05295940</t>
  </si>
  <si>
    <t>A Study of LY3841136 in Healthy and Overweight Participants</t>
  </si>
  <si>
    <t>NCT05335499</t>
  </si>
  <si>
    <t>A Phase 2a Study of TAS5315 in Patients With Chronic Spontaneous Urticaria</t>
  </si>
  <si>
    <t>NCT05298306</t>
  </si>
  <si>
    <t>A Two-part Proof-of-Concept Study Assessing the Safety and Efficacy of LAT8881 in Lumbar Radicular Pain</t>
  </si>
  <si>
    <t>Lateral Pharma Pty Ltd</t>
  </si>
  <si>
    <t>NCT05589610</t>
  </si>
  <si>
    <t>Study of EQ101 in Adult Subjects With Moderate to Severe Alopecia Areata</t>
  </si>
  <si>
    <t>NCT07324408</t>
  </si>
  <si>
    <t>Multiple Ascending Dose Study of NH102 in Healthy Subjects</t>
  </si>
  <si>
    <t>NCT05417282</t>
  </si>
  <si>
    <t>MW151 and Whole-brain Radiotherapy in Patients With Intracranial Metastases</t>
  </si>
  <si>
    <t>ImmunoChem Therapeutics, LLC</t>
  </si>
  <si>
    <t>NCT06239623</t>
  </si>
  <si>
    <t>ERK Inhibitor JSI-1187 in Advanced Solid Tumors</t>
  </si>
  <si>
    <t>NCT05301894</t>
  </si>
  <si>
    <t>Extension Study to Evaluate NBI-827104 in Pediatric Participants With Epileptic Encephalopathy With Continuous Spike-and-Wave During Sleep</t>
  </si>
  <si>
    <t>NCT04804553</t>
  </si>
  <si>
    <t>Apremilast Pediatric Study in Children With Active Juvenile Psoriatic Arthritis</t>
  </si>
  <si>
    <t>NCT05136053</t>
  </si>
  <si>
    <t>A Study Investigating Lu AG22515 in Healthy Adults</t>
  </si>
  <si>
    <t>NCT05461339</t>
  </si>
  <si>
    <t>TAB014 Compared to Lucentis® in Patients with Neovascular Age-related Macular Degeneration</t>
  </si>
  <si>
    <t>BioDlink Biopharm Co., Ltd.</t>
  </si>
  <si>
    <t>NCT05292495</t>
  </si>
  <si>
    <t>A Trial of HR17031 Injection With Renal Insufficiency</t>
  </si>
  <si>
    <t>NCT04893759</t>
  </si>
  <si>
    <t>A Study of Pelcitoclax (APG-1252) in Patients With Neuroendocrine Tumors</t>
  </si>
  <si>
    <t>NCT05467722</t>
  </si>
  <si>
    <t>Study to Assess the Effect of Hepatic Impairment on the Pharmacokinetics of CTP-543</t>
  </si>
  <si>
    <t>NCT05284851</t>
  </si>
  <si>
    <t>NCT05254002</t>
  </si>
  <si>
    <t>A Study to Learn How Well the Treatment Combination of Finerenone and Empagliflozin Works and How Safe it is Compared to Each Treatment Alone in Adult Participants With Long-term Kidney Disease (Chronic Kidney Disease) and Type 2 Diabetes</t>
  </si>
  <si>
    <t>NCT05250141</t>
  </si>
  <si>
    <t>Bioavailability of Levodopa 250 mg and Carbidopa 25 mg With Regards to Reference Product</t>
  </si>
  <si>
    <t>NCT05318456</t>
  </si>
  <si>
    <t>The Safety and Efficacy of MoodElite T-4003-1 on Improving Mood in a Healthy Adult Population With Mild to Moderate Depressive Symptoms Not Eligible for Therapeutic Intervention</t>
  </si>
  <si>
    <t>Chenland Nutritionals Inc.</t>
  </si>
  <si>
    <t>NCT05028751</t>
  </si>
  <si>
    <t>A Study to Evaluate Lanraplenib (LANRA) in Combination With Gilteritinib in Participants With FLT3-mutated Relapsed or Refractory Acute Myeloid Leukemia (AML)</t>
  </si>
  <si>
    <t>NCT05232461</t>
  </si>
  <si>
    <t>A Pilot Study to Evaluate the PK Profile of PrimeC-ER Tablets in Healthy Adult Subjects</t>
  </si>
  <si>
    <t>NCT05348122</t>
  </si>
  <si>
    <t>A Study of TG103 Injection in Type 2 Diabetes Subjects</t>
  </si>
  <si>
    <t>NCT04926831</t>
  </si>
  <si>
    <t>Phase II of Neoadjuvant and Adjuvant Capmatinib in NSCLC</t>
  </si>
  <si>
    <t>NCT05305573</t>
  </si>
  <si>
    <t>Assessing the Immunogenicity and Safety of a HIPRA's Candidate Booster Vaccination in Adults Fully Vaccinated With Adenovirus Vaccine Against COVID-19.</t>
  </si>
  <si>
    <t>NCT05320302</t>
  </si>
  <si>
    <t>A Brain Imaging PET Study of [11C]-Lu AF88370 in Healthy Adult Male Participants</t>
  </si>
  <si>
    <t>NCT05631262</t>
  </si>
  <si>
    <t>SKB264 Monotherapy in Selected Subjects With Advanced Solid Tumors</t>
  </si>
  <si>
    <t>NCT05536141</t>
  </si>
  <si>
    <t>A Phase 1 Study of AB521 Monotherapy and Combination Therapies in Renal Cell Carcinoma and Other Solid Tumors</t>
  </si>
  <si>
    <t>NCT05559554</t>
  </si>
  <si>
    <t>A Study to Evaluate the PK Similarity of AK104 in Healthy Chinese Male Subjects</t>
  </si>
  <si>
    <t>NCT05397223</t>
  </si>
  <si>
    <t>A Study of Modified mRNA Vaccines in Healthy Adults</t>
  </si>
  <si>
    <t>NCT05324124</t>
  </si>
  <si>
    <t>A Study of the Effect of Food on Selpercatinib (LY3527723) in Healthy Participants</t>
  </si>
  <si>
    <t>NCT05176366</t>
  </si>
  <si>
    <t>Study of ExoFlo for the Treatment of Medically Refractory Ulcerative Colitis</t>
  </si>
  <si>
    <t>NCT05137054</t>
  </si>
  <si>
    <t>A Study to Examine the Effects of Novel Therapy Linvoseltamab in Combination With Other Cancer Treatments for Adult Participants With Multiple Myeloma That is Resistant to Current Standard of Care Treatments</t>
  </si>
  <si>
    <t>NCT05366062</t>
  </si>
  <si>
    <t>ERC1671 to Treat Malignant Gliomas When Given in Combination With GM-CSF, Cyclophosphamide, Bevacizumab and Pembrolizumab</t>
  </si>
  <si>
    <t>Epitopoietic Research Corporation</t>
  </si>
  <si>
    <t>NCT05366283</t>
  </si>
  <si>
    <t>Study to Evaluate Pharmacokinetics, Pharmacodynamics, and Safety of Sargramostim Administered Subcutaneously, Intravenously, or by Inhalation</t>
  </si>
  <si>
    <t>NCT06386705</t>
  </si>
  <si>
    <t>TSN084 Treating Patients With Advanced Malignant Tumors</t>
  </si>
  <si>
    <t>NCT05677659</t>
  </si>
  <si>
    <t>A Study of VGL101 in Patients With Adult-Onset Leukoencephalopathy With Axonal Spheroids and Pigmented Glia</t>
  </si>
  <si>
    <t>Vigil Neuroscience, Inc.</t>
  </si>
  <si>
    <t>NCT05218642</t>
  </si>
  <si>
    <t>To Evaluate Efficacy, Safety, and Tolerability of KX-826 in Male Subjects With Androgenetic Alopecia</t>
  </si>
  <si>
    <t>NCT05353179</t>
  </si>
  <si>
    <t>Study on Pharmacokinetics of Meperizumab Injection and NUCALA® in Healthy Male Volunteers</t>
  </si>
  <si>
    <t>NCT05259696</t>
  </si>
  <si>
    <t>Glycan Mediated Immune Regulation With a Bi-Sialidase Fusion Protein (GLIMMER-01)</t>
  </si>
  <si>
    <t>Palleon Pharmaceuticals, Inc.</t>
  </si>
  <si>
    <t>NCT05417594</t>
  </si>
  <si>
    <t>Study of AZD9574 as Monotherapy and in Combination With Anti-cancer Agents in Participants With Advanced Solid Malignancies</t>
  </si>
  <si>
    <t>NCT05368857</t>
  </si>
  <si>
    <t>DNA Repair Capacity of Afamelanotide on Ultraviolet Radiation-induced DNA Damage in Healthy Volunteers</t>
  </si>
  <si>
    <t>Clinuvel (UK) Ltd.</t>
  </si>
  <si>
    <t>NCT05169905</t>
  </si>
  <si>
    <t>A Study to Evaluate the Safety and Immune Response to an Unadjuvanted RSV Maternal Vaccine in Healthy Non-pregnant Females From 9 to 49 Years of Age</t>
  </si>
  <si>
    <t>NCT05753956</t>
  </si>
  <si>
    <t>Safety and Pharmacokinetics of GH002 in Healthy Volunteers</t>
  </si>
  <si>
    <t>NCT05313802</t>
  </si>
  <si>
    <t>A Study of LY3502970 in Healthy Overweight and Obese Participants</t>
  </si>
  <si>
    <t>NCT05540912</t>
  </si>
  <si>
    <t>Exploratory Trial to Evaluate the Pharmacokinetic Properties and Safety of CKD-828 in Healthy Subjects</t>
  </si>
  <si>
    <t>NCT05986331</t>
  </si>
  <si>
    <t>Clinical Study of the Efficacy and Safety of BCD-201 and Keytruda in Subjects With Advanced Melanoma</t>
  </si>
  <si>
    <t>NCT05239975</t>
  </si>
  <si>
    <t>A Study of the Immunogenicity and Safety of SCTV01C in Population Aged ≥12 Years and Previously Vaccinated With Inactivated COVID-19 Vaccine</t>
  </si>
  <si>
    <t>NCT05356741</t>
  </si>
  <si>
    <t>To Access the Safety and Effects of Intravenous Administration of VIR-5818 Alone and in Combination With Pembrolizumab in Adult Participants With Locally Advanced or Metastatic HER2-Expressing Cancers</t>
  </si>
  <si>
    <t>NCT05308602</t>
  </si>
  <si>
    <t>A Study to Evaluate the Immunogenicity and Safety of SCTV01C and SCTV01E (Two Recombinant Protein COVID-19 Vaccines) in Population Aged ≥12 Years</t>
  </si>
  <si>
    <t>NCT05748119</t>
  </si>
  <si>
    <t>A Study to Assess the Safety of MEB-1170 in Healthy Subjects</t>
  </si>
  <si>
    <t>Mebias Discovery, Inc</t>
  </si>
  <si>
    <t>NCT05257395</t>
  </si>
  <si>
    <t>A Study of XZP-3287 in Combination With Letrozole/Anastrozole in Patients With Advanced Breast Cancer</t>
  </si>
  <si>
    <t>NCT05919381</t>
  </si>
  <si>
    <t>Gentuximab Combined With Paclitaxel Compared With Placebo Combined With Paclitaxel for Gastric Adenocarcinoma.</t>
  </si>
  <si>
    <t>NCT05720767</t>
  </si>
  <si>
    <t>HMPL-523 CYP3A/P-gp Inhibitor and CYP Inducer Study</t>
  </si>
  <si>
    <t>NCT05256654</t>
  </si>
  <si>
    <t>A Study of LY3561774 in Participants With Mixed Dyslipidemia</t>
  </si>
  <si>
    <t>NCT05444556</t>
  </si>
  <si>
    <t>A Study of Imlunestrant (LY3484356) in Female Healthy Participants</t>
  </si>
  <si>
    <t>NCT05438251</t>
  </si>
  <si>
    <t>Exploring the Effect of Fespixon Cream for the Treatment of Diabetic Foot Ulcers (TEXAS 3A, 3B)</t>
  </si>
  <si>
    <t>NCT05409924</t>
  </si>
  <si>
    <t>First-in-human Single and Multiple Dose Trial of ATR-258</t>
  </si>
  <si>
    <t>Atrogi AB</t>
  </si>
  <si>
    <t>NCT05320588</t>
  </si>
  <si>
    <t>A Study in Patients With Advanced Cancers</t>
  </si>
  <si>
    <t>BiOneCure Therapeutics Inc.</t>
  </si>
  <si>
    <t>NCT05858983</t>
  </si>
  <si>
    <t>Gene Therapy in Subjects With Biallelic RPE65 Mutation-associated Retinal Dystrophy</t>
  </si>
  <si>
    <t>Frontera Therapeutics</t>
  </si>
  <si>
    <t>NCT05248841</t>
  </si>
  <si>
    <t>A Study to Demonstrate Pharmacokinetic and Pharmacodynamic Biosimilarity Between HEC-Glargine and US-Lantus® in Healthy Male Volunteers</t>
  </si>
  <si>
    <t>Lannett Company, Inc.</t>
  </si>
  <si>
    <t>NCT06576388</t>
  </si>
  <si>
    <t>Clinical Trial to Evaluate the Safety and Efficacy of EXG001-307 in Patients With Spinal Muscular Atrophy Type I</t>
  </si>
  <si>
    <t>Guangzhou Jiayin Biotech Ltd</t>
  </si>
  <si>
    <t>NCT05351086</t>
  </si>
  <si>
    <t>A Study to Assess the Safety, Tolerability, and Pharmacokinetics of PUR3100 in Health Adults</t>
  </si>
  <si>
    <t>NCT05299073</t>
  </si>
  <si>
    <t>A Study Comparing the Pharmacokinetic Similarity of MB09 and EU/US-Sourced Xgeva</t>
  </si>
  <si>
    <t>NCT05206773</t>
  </si>
  <si>
    <t>A Study to Evaluate the Effect of Venglustat Tablets on Neuropathic and Abdominal Pain in Male and Female Participants ≥16 Years of Age With Fabry Disease</t>
  </si>
  <si>
    <t>NCT05397470</t>
  </si>
  <si>
    <t>Efficacy and Safety of Losmapimod in Treating Participants With Facioscapulohumeral Muscular Dystrophy (FSHD) (REACH)</t>
  </si>
  <si>
    <t>NCT05552573</t>
  </si>
  <si>
    <t>Safety and Immunogenicity of COVID-19 Vaccine in Population Aged 18 Years and Above</t>
  </si>
  <si>
    <t>NCT05489224</t>
  </si>
  <si>
    <t>A Study to Compare Efficacy and Safety of CT-P47 and RoActemra in Patients With Rheumatoid Arthritis</t>
  </si>
  <si>
    <t>NCT05630573</t>
  </si>
  <si>
    <t>A Study of TNM001 in Chinese Healthy Preterm and Term Infants</t>
  </si>
  <si>
    <t>NCT05434546</t>
  </si>
  <si>
    <t>A Study to Explore the Effect of Sepranolone in Tourette Syndrome</t>
  </si>
  <si>
    <t>Asarina Pharma</t>
  </si>
  <si>
    <t>NCT06676423</t>
  </si>
  <si>
    <t>Evaluate the Safety of Neuronata-R® Inj. Suspended With HypoTHermosol® FRS (HTS-FRS) in Patients With ALS</t>
  </si>
  <si>
    <t>NCT05433285</t>
  </si>
  <si>
    <t>Immuno-bridging Study of COVID-19 Protein Subunit Recombinant Vaccine</t>
  </si>
  <si>
    <t>NCT05330208</t>
  </si>
  <si>
    <t>Single Ascending Dose and Multiple Dose Study to Assess the Safety, Tolerability, Pharmacokinetics and Pharmacodynamics of SHR-1816 in Healthy Subjects</t>
  </si>
  <si>
    <t>Beijing Suncadia Pharmaceuticals Co., Ltd</t>
  </si>
  <si>
    <t>NCT05509725</t>
  </si>
  <si>
    <t>Efficacy and Safety of a Probiotic Formulation in Adults With Irritable Bowel Syndrome With Diarrhea (IBS-D)</t>
  </si>
  <si>
    <t>NCT05329168</t>
  </si>
  <si>
    <t>ERAdicate S. Aureus in Patients With Bacteremia and Endocarditis</t>
  </si>
  <si>
    <t>Lysovant</t>
  </si>
  <si>
    <t>NCT05419856</t>
  </si>
  <si>
    <t>Safety, Tolerability and Pharmacokinetics of Intraarticular 4P004 Single Dose in Patient With KL 2-4 Osteoarthritic Knee</t>
  </si>
  <si>
    <t>4Moving Biotech</t>
  </si>
  <si>
    <t>NCT04994522</t>
  </si>
  <si>
    <t>A Study of Belzutifan (MK-6482) in Participants With Renal Impairment (MK-6482-021)</t>
  </si>
  <si>
    <t>NCT05566041</t>
  </si>
  <si>
    <t>A Phase 3, Controlled, Open-label, Global Randomized Study of RRx-001 With a Platinum Doublet or a Platinum Doublet in Small Cell Lung Cancer</t>
  </si>
  <si>
    <t>NCT05235542</t>
  </si>
  <si>
    <t>A Phase Ib/II Study of AK104 and AK117 in Combination With or Without Chemotherapy in Advanced Malignant Tumors</t>
  </si>
  <si>
    <t>NCT05001269</t>
  </si>
  <si>
    <t>Nedosiran in Pediatric Patients From Birth to 11 Years of Age With PH and Relatively Intact Renal Function</t>
  </si>
  <si>
    <t>NCT05383183</t>
  </si>
  <si>
    <t>Efficacy and Safety of ChOline ALfoscerate in Patient With Mild to Moderate Alzheimer's Disease</t>
  </si>
  <si>
    <t>Daewoong Bio Inc.</t>
  </si>
  <si>
    <t>NCT05466422</t>
  </si>
  <si>
    <t>A Study of MK-2214 in Adults With Mild Cognitive Impairment or Mild-to-Moderate Alzheimer's Disease (MK-2214-002)</t>
  </si>
  <si>
    <t>NCT05419869</t>
  </si>
  <si>
    <t>Pilot Decentralized Trial</t>
  </si>
  <si>
    <t>NCT05396105</t>
  </si>
  <si>
    <t>Extension Study of Oral PHA-022121 for Acute Treatment of Angioedema Attacks in Patients With Hereditary Angioedema</t>
  </si>
  <si>
    <t>NCT05313022</t>
  </si>
  <si>
    <t>Safety and Immunogenicity of Recombinant SARS-CoV-2 Spike Protein Vaccine (CHO Cell) for the Prevention of COVID-19</t>
  </si>
  <si>
    <t>NCT05063994</t>
  </si>
  <si>
    <t>Comparison of Chronocort Versus Standard Hydrocortisone Replacement Therapy in Participants Aged 16 Years and Over With Congenital Adrenal Hyperplasia</t>
  </si>
  <si>
    <t>NCT05348356</t>
  </si>
  <si>
    <t>Nirogacestat in Ovarian Granulosa Cell Tumors</t>
  </si>
  <si>
    <t>SpringWorks Therapeutics, Inc.</t>
  </si>
  <si>
    <t>NCT05160805</t>
  </si>
  <si>
    <t>A Phase 1b Study of ONL1204 Ophthalmic Solution in Patients with Progressing Open Angle Glaucoma</t>
  </si>
  <si>
    <t>NCT05576454</t>
  </si>
  <si>
    <t>Evaluate the Pharmacokinetics of BAT2606 Injection in Healthy Chinese Male Subjects</t>
  </si>
  <si>
    <t>NCT05682222</t>
  </si>
  <si>
    <t>Evaluation of the Immunopharmacology of EDP1815 and EDP2939</t>
  </si>
  <si>
    <t>NCT05264129</t>
  </si>
  <si>
    <t>Study to Assess Adverse Events When Ubrogepant Tablets in Combination With Atogepant Tablets Are Used to Treat Adult Participants With Migraine</t>
  </si>
  <si>
    <t>NCT05204927</t>
  </si>
  <si>
    <t>177Lu-PSMA-I&amp;T for Metastatic Castration-Resistant Prostate Cancer</t>
  </si>
  <si>
    <t>Curium US LLC</t>
  </si>
  <si>
    <t>NCT05437094</t>
  </si>
  <si>
    <t>Effect of Coadministration of Itraconazole on the Pharmacokinetics of CRD-740</t>
  </si>
  <si>
    <t>NCT05085561</t>
  </si>
  <si>
    <t>The Symptomatic Cerebral Cavernous Malformation Trial of REC-994</t>
  </si>
  <si>
    <t>NCT05491642</t>
  </si>
  <si>
    <t>A Study in Male and Female Participants (After Menopause) With Mild to Moderate High Blood Pressure to Learn How Safe the Study Treatment BAY3283142 is, How it Affects the Body and How it Moves Into, Through and Out of the Body After Taking Single and Multiple Doses</t>
  </si>
  <si>
    <t>NCT05616754</t>
  </si>
  <si>
    <t>A Trial Evaluate the Immunogenicity and Safety of Recombinant COVID-19 Omicron-Delta Variant Vaccine (CHO Cell)</t>
  </si>
  <si>
    <t>NCT05514054</t>
  </si>
  <si>
    <t>A Study of Imlunestrant Versus Standard Endocrine Therapy in Participants With Early Breast Cancer</t>
  </si>
  <si>
    <t>NCT05422222</t>
  </si>
  <si>
    <t>Evaluation of VX-121/Tezacaftor/Deutivacaftor in Cystic Fibrosis (CF) Participants 1 Through 11 Years of Age</t>
  </si>
  <si>
    <t>NCT05258669</t>
  </si>
  <si>
    <t>Immuno-bridging and Broadening Study of a Whole, Inactivated COVID-19 Vaccine BBV152 in Healthy Adults</t>
  </si>
  <si>
    <t>Ocugen</t>
  </si>
  <si>
    <t>NCT05345522</t>
  </si>
  <si>
    <t>A Study of Anti-IL-6R mAb Injection in Patients With iMCD</t>
  </si>
  <si>
    <t>NCT05461573</t>
  </si>
  <si>
    <t>Efficacy, Safety, and Tolerability of LPRI-CF113 as an Oral Contraceptive in Females</t>
  </si>
  <si>
    <t>NCT05643794</t>
  </si>
  <si>
    <t>A Proof-of-concept Study to Evaluate the Efficacy and Safety of Rozanolixizumab to Treat Adult Study Participants With Severe Fibromyalgia Syndrome</t>
  </si>
  <si>
    <t>NCT05147805</t>
  </si>
  <si>
    <t>A Study to Evaluate the Efficacy, Safety and Pharmacokinetics of Treprostinil Palmitil Inhalation Powder in Participants With Pulmonary Arterial Hypertension</t>
  </si>
  <si>
    <t>NCT05348343</t>
  </si>
  <si>
    <t>Activated PRP for Treatment of Androgenetic Alopecia</t>
  </si>
  <si>
    <t>Santiste Medical Inc.</t>
  </si>
  <si>
    <t>NCT05458011</t>
  </si>
  <si>
    <t>A Randomized, Double-Blind, Placebo-Controlled Study With an Open-Label Period on Efficacy and Safety of Fremanezumab in Chinese Adults With Migraine</t>
  </si>
  <si>
    <t>NCT05270044</t>
  </si>
  <si>
    <t>Adjuvant Encorafenib and Binimetinib in High-risk Stage II Melanoma With a BRAF Mutation.</t>
  </si>
  <si>
    <t>NCT05104463</t>
  </si>
  <si>
    <t>A Study of CST-2032 and CST-107 in Subjects With Mild Cognitive Impairment or Mild Dementia Due to Parkinson's or Alzheimer's Disease</t>
  </si>
  <si>
    <t>NCT05426733</t>
  </si>
  <si>
    <t>An Open-label Extension Study to Evaluate Long-term Efficacy and Safety of Odevixibat in Children With Biliary Atresia</t>
  </si>
  <si>
    <t>NCT05467709</t>
  </si>
  <si>
    <t>Study To Evaluate The Effect Of Multiple Doses of CTP-543 On The Pharmacokinetics Of Single Doses of Midazolam In Healthy Subjects</t>
  </si>
  <si>
    <t>NCT05593432</t>
  </si>
  <si>
    <t>A Study to Evaluate the Efficacy and Safety of Ruxolitinib Cream in Participants With Cutaneous Lichen Planus</t>
  </si>
  <si>
    <t>NCT05579132</t>
  </si>
  <si>
    <t>A Clinical Study of MK-1045 (CN201) in People With Precursor B-cell Acute Lymphoblastic Leukemia (MK-1045-002)</t>
  </si>
  <si>
    <t>NCT05480306</t>
  </si>
  <si>
    <t>Phase 2 Study of DKN-01 in Colorectal Cancer</t>
  </si>
  <si>
    <t>NCT05167526</t>
  </si>
  <si>
    <t>A Study to Find a Suitable Dose of ASP8731 and Check for Medical Problems at Each Dose in Healthy Adults</t>
  </si>
  <si>
    <t>NCT05486104</t>
  </si>
  <si>
    <t>Phase II Study of Hemay005 in Patients With Active Ulcerative Colitis</t>
  </si>
  <si>
    <t>NCT05255484</t>
  </si>
  <si>
    <t>Study of LM-108 as a Single Agent or in Combination With Pembrolizumab in Subjects With Advanced Solid Tumours</t>
  </si>
  <si>
    <t>NCT05300048</t>
  </si>
  <si>
    <t>Combination of Serabelisib and Insulin Suppressing Diet With or Without Nab-paclitaxel in Subjects With Advanced Solid Tumors With PIK3CA Mutations</t>
  </si>
  <si>
    <t>NCT05460455</t>
  </si>
  <si>
    <t>A Study to Evaluate Multi-dose of HB0034 in Healthy Adult Participants</t>
  </si>
  <si>
    <t>NCT05378906</t>
  </si>
  <si>
    <t>A Study of Darunavir in the Presence of Cobicistat When Administered as a Fixed Dose Combination Compared to the Co-administration of the Separate Available Formulations of Darunavir and Cobicistat Under Fed Conditions in Healthy Participants</t>
  </si>
  <si>
    <t>NCT05430958</t>
  </si>
  <si>
    <t>Safety, Tolerability and Immunogenicity of INO-4800 for COVID19 in Healthy Volunteers</t>
  </si>
  <si>
    <t>NCT05417126</t>
  </si>
  <si>
    <t>Safety and Effects of a Single Intravitreal Injection of vMCO-010 Optogenetic Therapy in Subjects With Stargardt Disease</t>
  </si>
  <si>
    <t>NCT05628116</t>
  </si>
  <si>
    <t>Double-blind, Randomized, Placebo-controlled Study of the Safety, Tolerability and Pharmacokinetics of Ascending Doses of XC243 After Single and Multiple Oral Administration in Healthy Volunteers.</t>
  </si>
  <si>
    <t>NCT06411314</t>
  </si>
  <si>
    <t>Efficacy and Safety of Natamycin and Lactulose Vaginal Suppositories in Treatment of Vulvovaginal Candidiasis</t>
  </si>
  <si>
    <t>Avva Rus, JSC</t>
  </si>
  <si>
    <t>NCT06389578</t>
  </si>
  <si>
    <t>A Study of TEPEZZA® Treatment in Participants With Thyroid Eye Disease</t>
  </si>
  <si>
    <t>NCT05663398</t>
  </si>
  <si>
    <t>Bioequivalence Study of Test and Reference 400 mg Ibuprofen Coated Tablets in Healthy Volunteers</t>
  </si>
  <si>
    <t>NCT05122221</t>
  </si>
  <si>
    <t>CRTE7A2-01 TCR-T Cell for HPV-16 Positive Advanced Cervical, Anal, or Head and Neck Cancers</t>
  </si>
  <si>
    <t>Corregene Biotechnology Co., Ltd</t>
  </si>
  <si>
    <t>NCT05509816</t>
  </si>
  <si>
    <t>A Study of Imlunestrant (LY3484356) in Healthy Women</t>
  </si>
  <si>
    <t>NCT07150104</t>
  </si>
  <si>
    <t>Sub-study of Belantamab Mafodotin (GSK2857916) as Monotherapy and in Combination With Nirogacestat, Pomalidomide, and Dexamethasone in Participants With RRMM</t>
  </si>
  <si>
    <t>NCT07542847</t>
  </si>
  <si>
    <t>A Study to Test the Effects of Itraconazole and Carbamazepine on OPC-167832 in Healthy Men and Women</t>
  </si>
  <si>
    <t>NCT05363449</t>
  </si>
  <si>
    <t>Safety, Tolerability, and Pharmacokinetics of UHE-103 Cream in Subjects With Tinea Cruris and/or Tinea Pedis</t>
  </si>
  <si>
    <t>NCT05180422</t>
  </si>
  <si>
    <t>A Phase I/II Study of AMG 510 in Combination With MVASI in Patients With Advanced, Unresectable or Metastatic KRAS G12C Mutant NSCLC With Asymptomatic Brain Metastasis</t>
  </si>
  <si>
    <t>NCT05312151</t>
  </si>
  <si>
    <t>The Safety and Tolerability of COMP360 in Participants With Post-traumatic Stress Disorder</t>
  </si>
  <si>
    <t>NCT05301322</t>
  </si>
  <si>
    <t>Safety and Immunogenicity of RSVpreF Coadministered With SIIV in Adults ≥65 Years of Age</t>
  </si>
  <si>
    <t>NCT05446883</t>
  </si>
  <si>
    <t>QL1706 Plus Chemotherapy±Bevacizumab for the First-Line Treatment of Persistent, Recurrent or Metastatic Cervical Cancer</t>
  </si>
  <si>
    <t>NCT05310422</t>
  </si>
  <si>
    <t>Safety Study of Tivanisiran to Treat Dry Eye</t>
  </si>
  <si>
    <t>NCT05332366</t>
  </si>
  <si>
    <t>A Trial to Assess the Effect of Delgocitinib Cream 20 mg/g on the Molecular Signature, Safety, and Efficacy in Adults With Frontal Fibrosing Alopecia</t>
  </si>
  <si>
    <t>NCT05001828</t>
  </si>
  <si>
    <t>Study of ADI-PEG 20, Venetoclax and Azacitidine in Acute Myeloid Leukemia</t>
  </si>
  <si>
    <t>NCT05495711</t>
  </si>
  <si>
    <t>hUC Mesenchymal Stem Cells (19#iSCLife®-UT) Therapy for Patients With Thin Endometrial Infertility</t>
  </si>
  <si>
    <t>Sclnow Biotechnology Co., Ltd.</t>
  </si>
  <si>
    <t>NCT03903549</t>
  </si>
  <si>
    <t>Initial Investigation of [18F]P17-059 in Parkinson's Disease Patients and Healthy Volunteers</t>
  </si>
  <si>
    <t>NCT05221658</t>
  </si>
  <si>
    <t>A Phase II Clinical Study to Evaluate the Efficacy and Safety of HLX07 Combination Therapy or Monotherapy in Patients With Advanced ESCC</t>
  </si>
  <si>
    <t>NCT05517226</t>
  </si>
  <si>
    <t>Pharmacokinetics of Cotadutide in Participants With Hepatic Impairment</t>
  </si>
  <si>
    <t>NCT05807529</t>
  </si>
  <si>
    <t>A Study to Evaluate the Safety and Efficacy of 2ccPA in Patients With Symptomatic Knee Osteoarthritis</t>
  </si>
  <si>
    <t>Orient Europharma Co., Ltd.</t>
  </si>
  <si>
    <t>NCT05934539</t>
  </si>
  <si>
    <t>ALG.APV-527 First-in-human Study</t>
  </si>
  <si>
    <t>Aptevo Therapeutics</t>
  </si>
  <si>
    <t>NCT05143177</t>
  </si>
  <si>
    <t>A Study to Evaluate the Efficacy and Safety of DA-1229 (Evogliptin) in Patient's Calcific Aortic Valve Disease With Mild to Moderate Aortic Stenosis (EVOID-AS)</t>
  </si>
  <si>
    <t>REDNVIA Co., Ltd.</t>
  </si>
  <si>
    <t>NCT04452565</t>
  </si>
  <si>
    <t>NA-831, Atazanavir and Dexamethasone Combination Therapy for the Treatment of COVID-19 Infection</t>
  </si>
  <si>
    <t>NCT05250063</t>
  </si>
  <si>
    <t>Phase 2 Study of LUM-201 in Children Who Have Previously Completed the LUM-201-01 Trial (OraGrowtH213)</t>
  </si>
  <si>
    <t>NCT05174221</t>
  </si>
  <si>
    <t>A Study of Mezagitamab in Adults With Primary Immunoglobulin A Nephropathy Receiving Stable Background Therapy</t>
  </si>
  <si>
    <t>NCT05327114</t>
  </si>
  <si>
    <t>Efficacy and Safety Study of Nipocalimab for Adults With Chronic Inflammatory Demyelinating Polyneuropathy (CIDP)</t>
  </si>
  <si>
    <t>NCT05088928</t>
  </si>
  <si>
    <t>Efficacy and Safety of Apixaban in COVID-19 Coagulopathy Patients With Respiratory Severity Under Critical Care</t>
  </si>
  <si>
    <t>NCT04465734</t>
  </si>
  <si>
    <t>A Clinical Study to Compare the Efficacy and Safety of HLX10 in Combination With HLX04 Versus Sorafenib as the First-line Treatment in Patients With Locally Advanced or Metastatic HCC</t>
  </si>
  <si>
    <t>NCT05489328</t>
  </si>
  <si>
    <t>Safety and Immunogenicity of Pneumococcal Conjugate Formulations in Healthy Adults 18 Through 49 Years of Age</t>
  </si>
  <si>
    <t>NCT05620563</t>
  </si>
  <si>
    <t>A Chronic Pain Master Protocol (CPMP): A Study of LY3857210 In Participants With Osteoarthritis Pain</t>
  </si>
  <si>
    <t>NCT05384587</t>
  </si>
  <si>
    <t>Asciminib Monotherapy, With Dose Escalation, for 2nd and 1st Line Chronic Myelogenous Leukemia</t>
  </si>
  <si>
    <t>NCT05452304</t>
  </si>
  <si>
    <t>AZD7798 Safety, Tolerability, and Pharmacokinetics After a Single Ascending and Repeat Dose Administrations to Healthy Subjects, and Patients With Crohn's Disease</t>
  </si>
  <si>
    <t>NCT05514158</t>
  </si>
  <si>
    <t>To Evaluate the Safety, Tolerability, Pharmacokinetics and Preliminary Efficacy of Disitamab Vedotin Combined With RC98 in the Treatment of Subjects With HER2-expressing Locally Advanced or Metastatic Gastric Cancer (Including AEG)</t>
  </si>
  <si>
    <t>NCT05293236</t>
  </si>
  <si>
    <t>ApTOLL for the Treatment of COVID-19</t>
  </si>
  <si>
    <t>Macarena Hernández Jiménez</t>
  </si>
  <si>
    <t>NCT05651711</t>
  </si>
  <si>
    <t>A Study Assessing Rocatinlimab (AMG 451) Monotherapy in Moderate-to-severe Atopic Dermatitis (AD) (ROCKET-Horizon)</t>
  </si>
  <si>
    <t>NCT05077709</t>
  </si>
  <si>
    <t>IO102-IO103 in Combination With Pembrolizumab as First-line Treatment for Patients With Metastatic NSCLC, SCCHN, or mUBC</t>
  </si>
  <si>
    <t>NCT05448599</t>
  </si>
  <si>
    <t>A Clinical Study of 6MW3211 Monotherapy or Combination Therapy for AML or MDS</t>
  </si>
  <si>
    <t>NCT05632211</t>
  </si>
  <si>
    <t>A Study to Investigate the PK, Safety, and Tolerability Between AVT05, US and EU Simponi® in Healthy Adult Participants</t>
  </si>
  <si>
    <t>NCT05387499</t>
  </si>
  <si>
    <t>A Study of NP-011 in Healthy Volunteers</t>
  </si>
  <si>
    <t>Nexel Co., Ltd.</t>
  </si>
  <si>
    <t>NCT05194163</t>
  </si>
  <si>
    <t>MW150 Stress Kinase Inhibitor in Mild to Moderate Alzheimer's Disease</t>
  </si>
  <si>
    <t>Neurokine Therapeutics</t>
  </si>
  <si>
    <t>NCT05355298</t>
  </si>
  <si>
    <t>ACCENT: AMP945 in Combination With Nab-paclitaxel and Gemcitabine for Treatment of Pancreatic Cancer</t>
  </si>
  <si>
    <t>Amplia Therapeutics Limited</t>
  </si>
  <si>
    <t>NCT05164133</t>
  </si>
  <si>
    <t>A Study Evaluating Tocilizumab in Pediatric Patients Hospitalized With COVID-19</t>
  </si>
  <si>
    <t>NCT05924243</t>
  </si>
  <si>
    <t>A Study to Investigate The Safety, Tolerability, Pharmacokinetics and Pharmacodynamics of RO7486967 in Participants With Early Idiopathic Parkinson's Disease.</t>
  </si>
  <si>
    <t>NCT05599932</t>
  </si>
  <si>
    <t>Pharmacokinetics and Safety Study of Siremadlin (HDM201) in Participants With Mild, Moderate and Severe Hepatic Impairment</t>
  </si>
  <si>
    <t>NCT05636306</t>
  </si>
  <si>
    <t>A Phase 1 Study to Evaluate Safety and Tolerability of NoNO-42 in Healthy Adults</t>
  </si>
  <si>
    <t>NCT05238948</t>
  </si>
  <si>
    <t>CKD-506 Drug-Drug Interaction Study in Healthy Male Subjects</t>
  </si>
  <si>
    <t>NCT05203289</t>
  </si>
  <si>
    <t>A Study in Healthy People to Test How 2 Different Formulations of BI 695501 Are Taken up by the Body When Given as an Injection</t>
  </si>
  <si>
    <t>NCT05238558</t>
  </si>
  <si>
    <t>Safety and Immune Response to FMPV-1</t>
  </si>
  <si>
    <t>Hubro Therapeutics AS</t>
  </si>
  <si>
    <t>NCT06128148</t>
  </si>
  <si>
    <t>Phase I Study of JYP0322 in ROS1 Fusion-Positive Solid Tumors</t>
  </si>
  <si>
    <t>NCT06154343</t>
  </si>
  <si>
    <t>A Study of GQ1005 in Subjects With HER2-Expressing Advanced Solid Tumors</t>
  </si>
  <si>
    <t>NCT05623774</t>
  </si>
  <si>
    <t>A Dose Calibration Study Comparing IkT-001Pro to Imatinib Mesylate 400mg</t>
  </si>
  <si>
    <t>Inhibikase Therapeutics</t>
  </si>
  <si>
    <t>NCT05507463</t>
  </si>
  <si>
    <t>Study of KBP-7072 in Healthy Male and Female Subjects</t>
  </si>
  <si>
    <t>NCT05318833</t>
  </si>
  <si>
    <t>A Study of HRS7415 Tablets in Patients With Advanced Malignant Tumors</t>
  </si>
  <si>
    <t>NCT05197426</t>
  </si>
  <si>
    <t>A Study to Compare the Efficacy and Safety of Oral Azacitidine Plus Best Supportive Care Versus Best Supportive Care as Maintenance Therapy in Japanese Participants With Acute Myeloid Leukemia (AML) in Complete Remission</t>
  </si>
  <si>
    <t>NCT05881785</t>
  </si>
  <si>
    <t>Study of Efficacy and Safety of GR1501 in Patients with Radiographic Axial Spondyloarthritis</t>
  </si>
  <si>
    <t>NCT05478252</t>
  </si>
  <si>
    <t>A Research Study to Compare Two Semaglutide Medicines in People With Type 2 Diabetes</t>
  </si>
  <si>
    <t>NCT05279352</t>
  </si>
  <si>
    <t>Safety and Pharmacokinetics of FBR-002 for the Treatment of Patients Hospitalized With COVID-19 in Need of Supplemental Oxygen and at Risk of Severe Outcome</t>
  </si>
  <si>
    <t>Fab'entech</t>
  </si>
  <si>
    <t>NCT05944848</t>
  </si>
  <si>
    <t>A Study of CL-197 Capsules in Healthy Participants</t>
  </si>
  <si>
    <t>NCT05470855</t>
  </si>
  <si>
    <t>Protective Effect, Safety and Immunogenicity of Live Attenuated Varicella Vaccine in Anhui Province</t>
  </si>
  <si>
    <t>NCT05808335</t>
  </si>
  <si>
    <t>A Study to Assess the Efficacy and Safety of Burfiralimab(hzVSF-v13) and OAD (Oral Antiviral Drug)</t>
  </si>
  <si>
    <t>NCT05808725</t>
  </si>
  <si>
    <t>Amlodipine Freeze-Dried Powder for Oral Solution 5 mg</t>
  </si>
  <si>
    <t>Brillian Pharma Inc.</t>
  </si>
  <si>
    <t>NCT05489276</t>
  </si>
  <si>
    <t>Clinical Trial of TQB2825 in Subjects With CD20 Positive Hematological Tumors</t>
  </si>
  <si>
    <t>NCT05515536</t>
  </si>
  <si>
    <t>A Study to Assess the Safety and Efficacy of Vatiquinone in Participants With Friedreich Ataxia</t>
  </si>
  <si>
    <t>NCT05262855</t>
  </si>
  <si>
    <t>Study of [68Ga]FAPI-46 PET in Patients With Pancreatic Ductal Carcinoma</t>
  </si>
  <si>
    <t>SOFIE</t>
  </si>
  <si>
    <t>NCT05631678</t>
  </si>
  <si>
    <t>Drug-drug Interaction Study Beteewn ASK120067 and Rifampicin or Itraconazole</t>
  </si>
  <si>
    <t>NCT06144385</t>
  </si>
  <si>
    <t>A Phase 1, Single-arm, Open-label, Dose-escalation Study of JWATM204 as T Cell-targeted Immunotherapy in the Treatment Amongst Subjects With Advanced Hepatocellular Carcinoma</t>
  </si>
  <si>
    <t>NCT05537766</t>
  </si>
  <si>
    <t>Study of Brexucabtagene Autoleucel in Adults With Rare B-cell Malignancies</t>
  </si>
  <si>
    <t>NCT05404529</t>
  </si>
  <si>
    <t>To Evaluate the Pharmacokinetics (PK) and Safety of Tavapadon in Participants With Mild and Moderate Hepatic Impairment Compared to Participants With Normal Hepatic Function</t>
  </si>
  <si>
    <t>NCT05036278</t>
  </si>
  <si>
    <t>Prophylaxis Regimen for Hemophilia A Patients</t>
  </si>
  <si>
    <t>NCT05438043</t>
  </si>
  <si>
    <t>A Study of Daratumumab</t>
  </si>
  <si>
    <t>NCT05491525</t>
  </si>
  <si>
    <t>Open-label, Long-term Safety, Efficacy, and Pharmacokinetics Study of Vibegron in Pediatric Subjects 2 Years to &lt; 18 Years of Age With NDO and on CIC</t>
  </si>
  <si>
    <t>Urovant Sciences GmbH</t>
  </si>
  <si>
    <t>NCT03912350</t>
  </si>
  <si>
    <t>The Effect of Hepatic Impairment on the Pharmacokinetics of Balovaptan</t>
  </si>
  <si>
    <t>NCT05074550</t>
  </si>
  <si>
    <t>Safety Evaluation Study for Patients With Polycythemia Vera</t>
  </si>
  <si>
    <t>Perseus Proteomics Inc.</t>
  </si>
  <si>
    <t>NCT05656274</t>
  </si>
  <si>
    <t>A Study of the Safety,Tolerability,and Pharmacokinetics of Multiple-Ascending Dose JS1-1-01 in Healty Subjects.</t>
  </si>
  <si>
    <t>NCT05186974</t>
  </si>
  <si>
    <t>Study of Sacituzumab Govitecan Combinations in First-line Treatment of Participants With Advanced or Metastatic Non-Small-Cell Lung Cancer (NSCLC)</t>
  </si>
  <si>
    <t>NCT05572190</t>
  </si>
  <si>
    <t>Evaluate the Safety and Pharmacokinetic Profile of ETR028 and ETR029 in Healthy Adult Subjects</t>
  </si>
  <si>
    <t>Elysium Therapeutics, Inc.</t>
  </si>
  <si>
    <t>NCT05237297</t>
  </si>
  <si>
    <t>Study to Evaluate Pharmacokinetic Drug Interactions and Safety of Naproxen, Aceclofenac, Celecoxib and Ilaprazole</t>
  </si>
  <si>
    <t>NCT05165550</t>
  </si>
  <si>
    <t>Study of Single Ascending Doses of Elsulfavirine to Evaluate the Safety, Tolerability, and Pharmacokinetics of Elsulfavirine and Its Active Metabolite VM-1500A in Healthy Subjects</t>
  </si>
  <si>
    <t>NCT05434897</t>
  </si>
  <si>
    <t>A Study to Evaluate the Safety, Tolerability and Efficacy of AK3280 Cream on Hypertrophic Scar</t>
  </si>
  <si>
    <t>NCT05382910</t>
  </si>
  <si>
    <t>A Study of MG-K10 in Subjects With Asthma</t>
  </si>
  <si>
    <t>NCT05435742</t>
  </si>
  <si>
    <t>SON-080 in Patients With Persistent Chemotherapy-induced Peripheral Neuropathy (CIPN)</t>
  </si>
  <si>
    <t>NCT05801783</t>
  </si>
  <si>
    <t>A Clinical Study on Oncolytic Virus Injection (R130) for the Treatment of Relapsed/Refractory Ovarian Cancer</t>
  </si>
  <si>
    <t>Shanghai Yunying Medical Technology</t>
  </si>
  <si>
    <t>NCT05221502</t>
  </si>
  <si>
    <t>Safety and Efficacy Evaluation of 4-month Regimen of OPC-167832, Delamanid and Bedaquiline in Participants With Drug-Susceptible Pulmonary TB</t>
  </si>
  <si>
    <t>NCT05169437</t>
  </si>
  <si>
    <t>Niraparib in the Treatment of Patients With Advanced PALB2 Mutated Tumors</t>
  </si>
  <si>
    <t>Tempus AI</t>
  </si>
  <si>
    <t>NCT05711381</t>
  </si>
  <si>
    <t>Phase 1 Study of PK and Safety of HM15912 (Sonefpeglutide) in Subjects With Normal and Severe Kidney Function</t>
  </si>
  <si>
    <t>NCT05513001</t>
  </si>
  <si>
    <t>An Extension Study of Long-term Efficacy, Safety and Tolerability of Remibrutinib in Chronic Spontaneous Urticaria Patients Who Completed Preceding Studies With Remibrutinib</t>
  </si>
  <si>
    <t>NCT05269667</t>
  </si>
  <si>
    <t>A Study In Neuromyelitis Optica Spectrum Disorder (NMOSD) With Satralizumab As An Intervention</t>
  </si>
  <si>
    <t>NCT05664100</t>
  </si>
  <si>
    <t>First in Human Safety Study of FX-345 in Adults With Sensorineural Hearing Loss</t>
  </si>
  <si>
    <t>NCT05226871</t>
  </si>
  <si>
    <t>Study for Participants Continuing From Pfizer-sponsored Palbociclib (a Study Medicine) Studies</t>
  </si>
  <si>
    <t>NCT05357677</t>
  </si>
  <si>
    <t>To Evaluate the Efficacy and Safety of SR419 in Patients With Postherpetic Neuralgia (PHN)</t>
  </si>
  <si>
    <t>NCT05401357</t>
  </si>
  <si>
    <t>Bioequivalence Study With Clinical Endpoint Comparing Bimatoprost Ophthalmic Solution 0.01% and LUMIGAN® in the Treatment of Chronic Open-Angle Glaucoma or Ocular Hypertension in Both Eyes.</t>
  </si>
  <si>
    <t>Amneal Pharmaceuticals, LLC</t>
  </si>
  <si>
    <t>NCT05187832</t>
  </si>
  <si>
    <t>A Study of AND019 in Women With ER Positive HER2 Negative Advanced or Metastatic Breast Cancer</t>
  </si>
  <si>
    <t>NCT05306132</t>
  </si>
  <si>
    <t>Study to Assess the Safety, Tolerability, Pharmacokinetics and Preliminary Anti-tumor Activity of ASKC202 With or Without ASK120067</t>
  </si>
  <si>
    <t>NCT03883763</t>
  </si>
  <si>
    <t>Hyperbaric Novabupi® in Spinal Anesthesia in Lower Limbs Vascular Surgery</t>
  </si>
  <si>
    <t>Cristália Produtos Químicos Farmacêuticos Ltda.</t>
  </si>
  <si>
    <t>NCT05603754</t>
  </si>
  <si>
    <t>A Study Utilizing Patient-Reported Outcomes to Evaluate the Safety and Efficacy of Lorecivivint (SM04690) for the Treatment of Moderately to Severely Symptomatic Knee Osteoarthritis (STRIDES)</t>
  </si>
  <si>
    <t>NCT05357651</t>
  </si>
  <si>
    <t>A Study to Assess the Safety and Efficacy of LB1410 in Participants With Advanced Solid Tumor or Lymphoma（Keyplus-001）</t>
  </si>
  <si>
    <t>L &amp; L Bio Co., Ltd., Ningbo, China</t>
  </si>
  <si>
    <t>NCT05380453</t>
  </si>
  <si>
    <t>Efficacy and Safety of Secukinumab in Patients With New Onset of Giant Cell Arteritis Who Are in Clinical Remission</t>
  </si>
  <si>
    <t>NCT05416957</t>
  </si>
  <si>
    <t>Food Effect Bioavailability Study of Vortioxetine Hemihydrobromide Orally Disintegrating Tablets</t>
  </si>
  <si>
    <t>NCT05197712</t>
  </si>
  <si>
    <t>Evaluation of the Safety, Tolerability, and Reactogenicity of the Baiya SARS-CoV-2 Vax 2 Vaccine for COVID-19 Disease</t>
  </si>
  <si>
    <t>NCT05414981</t>
  </si>
  <si>
    <t>A Study to Assess the Safety, Pharmacokinetics, and Antiviral Activity of ABI-H3733 in Subjects With Chronic Hepatitis B Virus Infection</t>
  </si>
  <si>
    <t>NCT05332730</t>
  </si>
  <si>
    <t>A Study on Pharmacokinetics and Safety of BAT2506 Injection Versus Simponi®</t>
  </si>
  <si>
    <t>NCT05445765</t>
  </si>
  <si>
    <t>Anti-CD33 CAR-T Cells for the Treatment of Relapsed/Refractory CD33+ Acute Myeloid Leukemia</t>
  </si>
  <si>
    <t>NCT05625334</t>
  </si>
  <si>
    <t>Study to Compare the Pharmacodynamics and Pharmacokinetics of Acetylsalicylic Acid Powder for Oral Inhalation With Non-enteric-coated Chewable Aspirin in Healthy Adults.</t>
  </si>
  <si>
    <t>Vectura, Inc.</t>
  </si>
  <si>
    <t>NCT05291234</t>
  </si>
  <si>
    <t>A Study to Assess Safety of ABBV-916 and How Intravenous ABBV-916 Moves Through Body and Affects Brain Amyloid Plaque Clearance in Adult Participants (Aged 50-90 Years) With Early Alzheimer's Disease</t>
  </si>
  <si>
    <t>NCT03939364</t>
  </si>
  <si>
    <t>This Study is to Evaluate the Safety and Pharmacokinetics of SBS-101 in Patients With Oral Premalignant Lesions</t>
  </si>
  <si>
    <t>Skyline Biosciences</t>
  </si>
  <si>
    <t>NCT05631795</t>
  </si>
  <si>
    <t>Study to Assess the Safety of Alpelisib Plus Fulvestrant, in Men and Post-menopausal Women With HR-positive, HER2-negative, Advanced Breast Cancer (aBC) With PIK3CA Mutation, Whose Disease Progressed on or After Endocrine Treatment</t>
  </si>
  <si>
    <t>NCT05581199</t>
  </si>
  <si>
    <t>To Assess Efficacy and Safety of Batoclimab in Adult Participants With Active CIDP</t>
  </si>
  <si>
    <t>NCT05193409</t>
  </si>
  <si>
    <t>A Phase 2 Study of BNC210 for the Acute Treatment of Social Anxiety Disorder</t>
  </si>
  <si>
    <t>NCT05553301</t>
  </si>
  <si>
    <t>Safety and Immunogenicity of Quadrivalent Influenza mRNA Vaccine MRT5407 in Adult Participants18 Years of Age and Older</t>
  </si>
  <si>
    <t>NCT06166836</t>
  </si>
  <si>
    <t>a Study to Evaluate the Safety and Efficacy of D-1553 Combined With IN10018 in KRAS G12C Mutant Solid Tumors</t>
  </si>
  <si>
    <t>NCT05182034</t>
  </si>
  <si>
    <t>Clinical Trial to Evaluate Efficacy and Safety of SMUP-IA-01 in Patients With Knee Osteoarthritis</t>
  </si>
  <si>
    <t>NCT05585034</t>
  </si>
  <si>
    <t>Phase 1, First-in-human, Dose-finding and Expansion Study to Evaluate XmAb®808 in Combination With Pembrolizumab in Advanced Solid Tumors</t>
  </si>
  <si>
    <t>NCT07121829</t>
  </si>
  <si>
    <t>Tovorafenib (DAY101) or in Combination With Pimasertib for Participants With Melanoma and Other Solid Tumors</t>
  </si>
  <si>
    <t>NCT05315700</t>
  </si>
  <si>
    <t>Study of ORIC-114 in Patients With Advanced Solid Tumors Harboring an EGFR or HER2 Alteration</t>
  </si>
  <si>
    <t>NCT06719986</t>
  </si>
  <si>
    <t>Pharmacodynamic Evaluation of Intramuscular Nalmefene Autoinjector 1.5 mg Compared to Intranasal Narcan 4 mg</t>
  </si>
  <si>
    <t>NCT05451654</t>
  </si>
  <si>
    <t>NanoMn®_COVID-19 A Prospective, Multicenter, Randomized, Placebo-controlled, Parallel-group, Double-blind Trial to Evaluate the Clinical Efficacy of NanoManganese® on Top of Standard of Care, in Adult Patients With Moderate to Severe Coronavirus Disease 2019 (COVID-19)</t>
  </si>
  <si>
    <t>Medesis Pharma SA</t>
  </si>
  <si>
    <t>NCT05364671</t>
  </si>
  <si>
    <t>Clinical Trial of Efficacy and Safety of Raphamin in the Treatment of Coronavirus Disease 2019 in Outpatients</t>
  </si>
  <si>
    <t>NCT05369065</t>
  </si>
  <si>
    <t>Ablation of Arteries for the Treatment of Type 2 Diabetes Mellitus and Its Comorbidities</t>
  </si>
  <si>
    <t>NCT06964165</t>
  </si>
  <si>
    <t>A Study Comparing Niraparib Versus Platinum-Taxane Doublet Chemotherapy as Neoadjuvant Treatment in Participants With Homologous Recombination-Deficient Stage III/IV Ovarian Cancer (COHORT-C)</t>
  </si>
  <si>
    <t>Tesaro, Inc.</t>
  </si>
  <si>
    <t>NCT05181865</t>
  </si>
  <si>
    <t>Phase 1/2a Study to Evaluate FL-301 in Patients With Advanced Solid Tumors</t>
  </si>
  <si>
    <t>NCT05191667</t>
  </si>
  <si>
    <t>AN0025 and Chemoradiotherapy Combination in Esophageal Cancer</t>
  </si>
  <si>
    <t>NCT06788236</t>
  </si>
  <si>
    <t>Study of Efficacy and Safety of AVTR101 in Sarcopenic Elderly</t>
  </si>
  <si>
    <t>Aventi Biotechnology Inc.</t>
  </si>
  <si>
    <t>NCT05505994</t>
  </si>
  <si>
    <t>The Efficacy and Safety of DWP16001 in Combination With Metformin in T2DM Patients Inadequately Controlled on Metformin</t>
  </si>
  <si>
    <t>NCT05432544</t>
  </si>
  <si>
    <t>Safety and Tolerability of SHR-1918 in Healthy Subjects</t>
  </si>
  <si>
    <t>NCT05463744</t>
  </si>
  <si>
    <t>A Study of Insulin Efsitora Alfa (LY3209590) Compared With Insulin Degludec in Participants With Type 1 Diabetes Treated With Multiple Daily Injection Therapy</t>
  </si>
  <si>
    <t>NCT05202509</t>
  </si>
  <si>
    <t>Cardiovascular Outcome Study to Evaluate the Effect of Obicetrapib in Patients With Cardiovascular Disease</t>
  </si>
  <si>
    <t>NCT05467293</t>
  </si>
  <si>
    <t>Phase 2, Multi-center, Randomized, Double- Masked and Placebo-Controlled Study of YP-P10 Ophthalmic Solution Compared to Placebo in Subjects With Dry Eye (ICECAP 1)</t>
  </si>
  <si>
    <t>Yuyu Pharma, Inc.</t>
  </si>
  <si>
    <t>NCT05141747</t>
  </si>
  <si>
    <t>A Study of MRG002 in the Treatment of HER2-positive/HER2-low Locally Advanced or Metastatic Gastric/Gastroesophageal Junction Cancer.</t>
  </si>
  <si>
    <t>NCT05487235</t>
  </si>
  <si>
    <t>A Study to Evaluate the Safety, Pharmacokinetics, and Activity of GDC-1971 in Combination With Atezolizumab in Participants With Locally Advanced or Metastatic Solid Tumors</t>
  </si>
  <si>
    <t>NCT05897008</t>
  </si>
  <si>
    <t>The Study of Omalizumab (CMAB007 and Xolair) in Healthy Subjects to Compare the PK, PD, Safety and Immunogenicity</t>
  </si>
  <si>
    <t>NCT05248893</t>
  </si>
  <si>
    <t>A Study to Assess Adverse Events of Intramuscular AGN-151586 Injection in Adult Participants With Glabellar Lines</t>
  </si>
  <si>
    <t>NCT05843916</t>
  </si>
  <si>
    <t>Switch Over Study of Biosimilar Agalsidase Beta for Fabry Disease</t>
  </si>
  <si>
    <t>NCT05750355</t>
  </si>
  <si>
    <t>Evaluate the Effect of TPN171H on the QT/QTc Interval in Healthy Volunteers</t>
  </si>
  <si>
    <t>NCT05392114</t>
  </si>
  <si>
    <t>A Study to Assess the Long-Term Safety and Efficacy of Donidalorsen in the Prophylactic Treatment of Hereditary Angioedema (HAE)</t>
  </si>
  <si>
    <t>NCT05191004</t>
  </si>
  <si>
    <t>Study of NUV-422 in Combination With Fulvestrant in Patients With HR+HER2- aBC</t>
  </si>
  <si>
    <t>NCT05515458</t>
  </si>
  <si>
    <t>Pharmacokinetics of Chiglitazar in Subjects With Renal Impairment and Normal Renal Function</t>
  </si>
  <si>
    <t>NCT05421078</t>
  </si>
  <si>
    <t>A Dose-Finding Study in Japanese Patients to Evaluate the Effect of Obicetrapib as an Adjunct to Stable Statin Therapy.</t>
  </si>
  <si>
    <t>NCT05656443</t>
  </si>
  <si>
    <t>Study of GST-HG171/Ritonavir Compared With Placebo in Patients With Mild to Moderate COVID-19</t>
  </si>
  <si>
    <t>NCT05387525</t>
  </si>
  <si>
    <t>A Study of Tirbanibulin Ointment and Diclofenac Sodium Gel for the Treatment of Adult Participants With Actinic Keratosis on the Face or Scalp</t>
  </si>
  <si>
    <t>NCT05488548</t>
  </si>
  <si>
    <t>Dual BET and CBP/p300 Inhibitor in Patients With Targeted Advanced Solid Tumors and Hematological Malignancies</t>
  </si>
  <si>
    <t>Epigenetix, Inc.</t>
  </si>
  <si>
    <t>NCT05671432</t>
  </si>
  <si>
    <t>The Study of CM326 in Moderate-to-severe Atopic Dermatitis</t>
  </si>
  <si>
    <t>NCT05333276</t>
  </si>
  <si>
    <t>Clinical Trial of the TQB3602 Capsule Combined With AK105 Injection in Patients With Advanced Cancers</t>
  </si>
  <si>
    <t>NCT05278676</t>
  </si>
  <si>
    <t>A Single and Multiple Dose Study of Dotinurad in Chinese Healthy Participants</t>
  </si>
  <si>
    <t>NCT05180240</t>
  </si>
  <si>
    <t>Impact of CardiolRx on Myocardial Recovery in Patients With Acute Myocarditis</t>
  </si>
  <si>
    <t>NCT05288504</t>
  </si>
  <si>
    <t>A Study to Evaluate the Safety and Efficacy of AVTX-002 for the Treatment of Poorly Controlled Non-Eosinophilic Asthma.</t>
  </si>
  <si>
    <t>NCT03503058</t>
  </si>
  <si>
    <t>Safety, Tolerability, Immunogenicity and Protective Efficacy of PfSPZ Vaccine and PfSPZ-CVac in Indonesian Adults Against Naturally-Transmitted Malaria</t>
  </si>
  <si>
    <t>NCT05328908</t>
  </si>
  <si>
    <t>A Study of Nivolumab-relatlimab Fixed-dose Combination Versus Regorafenib or TAS-102 in Participants With Later-lines of Metastatic Colorectal Cancer</t>
  </si>
  <si>
    <t>NCT05496595</t>
  </si>
  <si>
    <t>DCBY02 as a Monotherapy in Patients With Advanced or Metastatic Solid Tumors</t>
  </si>
  <si>
    <t>DynamiCure Biotechnology</t>
  </si>
  <si>
    <t>NCT05254912</t>
  </si>
  <si>
    <t>Photoallergic Potential of 6% Bemotrizinol</t>
  </si>
  <si>
    <t>NCT05369767</t>
  </si>
  <si>
    <t>Safety, Tolerability, Pharmacokinetics and Pharmacodynamics Study of Single-dose Injection of SHR-2004 in Healthy Subjects</t>
  </si>
  <si>
    <t>NCT05652647</t>
  </si>
  <si>
    <t>A Study to Understand How the Study Medicine (PF-07081532) is Processed and Eliminated in Healthy Men</t>
  </si>
  <si>
    <t>NCT05185089</t>
  </si>
  <si>
    <t>Efficacy and Safety Study of Orvepitant for Chronic Cough in Patients With Idiopathic Pulmonary Fibrosis</t>
  </si>
  <si>
    <t>NCT05405114</t>
  </si>
  <si>
    <t>Research Study Investigating How Well NDec Works in People With Sickle Cell Disease</t>
  </si>
  <si>
    <t>NCT05061758</t>
  </si>
  <si>
    <t>A Trial of LY3056480 in Patients With SNLH</t>
  </si>
  <si>
    <t>Audion Therapeutics BV</t>
  </si>
  <si>
    <t>NCT05190523</t>
  </si>
  <si>
    <t>Study to Evaluate the Safety and Efficacy of ASC42 Tablets in Subjects With Primary Biliary Cholangitis</t>
  </si>
  <si>
    <t>NCT06523088</t>
  </si>
  <si>
    <t>A Study of PN20 in Healthy Adult Volunteers</t>
  </si>
  <si>
    <t>Chongqing Peg-Bio Biopharm Co., Ltd.</t>
  </si>
  <si>
    <t>NCT05019742</t>
  </si>
  <si>
    <t>Evaluation of SPH3127 in Patients With Mild-to-Moderate Ulcerative Colitis</t>
  </si>
  <si>
    <t>Shanghai Pharma Biotherapeutics USA Inc.</t>
  </si>
  <si>
    <t>NCT05532696</t>
  </si>
  <si>
    <t>Phase 1b/2 Study to Evaluate ABT-101 in Solid Tumor and NSCLC Patients</t>
  </si>
  <si>
    <t>Anbogen Therapeutics, Inc.</t>
  </si>
  <si>
    <t>NCT04766086</t>
  </si>
  <si>
    <t>Trial to Evaluate the Safety, Tolerability, and Immunogenicity of A Multivalent Group B Streptococcus Vaccine When Administered Concomitantly With Tdap in Healthy Nonpregnant Women</t>
  </si>
  <si>
    <t>NCT06590896</t>
  </si>
  <si>
    <t>Safety of Cenobamate in Japanese Subjects With Partial Onset Seizures</t>
  </si>
  <si>
    <t>NCT05686161</t>
  </si>
  <si>
    <t>mRNA Booster Vaccine(SW-BIC-213) Compared With Pfizer andSinopharm Against Emerging VOCs</t>
  </si>
  <si>
    <t>NCT05225857</t>
  </si>
  <si>
    <t>A First-in-Human Study Evaluating AGA2118 in Men and Postmenopausal Women</t>
  </si>
  <si>
    <t>NCT05414201</t>
  </si>
  <si>
    <t>A Study to Assess Change in Disease Activity and Adverse Events of Adalimumab in Chinese Participants Requiring High Dose Corticosteroids for Active Non-Infectious Intermediate, Posterior, or Pan-Uveitis</t>
  </si>
  <si>
    <t>NCT05957107</t>
  </si>
  <si>
    <t>Phase II Trial of VDJ001 in Patients With Moderate-to-severe Active Rheumatoid Arthritis</t>
  </si>
  <si>
    <t>NCT05283330</t>
  </si>
  <si>
    <t>Safety and Tolerability of ²¹²Pb-DOTAM-GRPR1 in Adult Subjects With Recurrent or Metastatic GRPR-expressing Tumors</t>
  </si>
  <si>
    <t>Orano Med Theranostics, SAS</t>
  </si>
  <si>
    <t>NCT05228600</t>
  </si>
  <si>
    <t>YL-13027 in Patients With Advanced Solid Tumors</t>
  </si>
  <si>
    <t>NCT05217693</t>
  </si>
  <si>
    <t>A First-in-human of Multiplle Doses of BB-1705 in Subjects With Locally Advanced/Metastatic Solid Tumors</t>
  </si>
  <si>
    <t>NCT05620017</t>
  </si>
  <si>
    <t>Evaluate the Safety, Tolerability and Pharmacokinetic Characteristics of BAT8008 for Injection</t>
  </si>
  <si>
    <t>NCT05238025</t>
  </si>
  <si>
    <t>MVA-BN-RSV Vaccine Trial</t>
  </si>
  <si>
    <t>NCT05124925</t>
  </si>
  <si>
    <t>Biopsy Based Study to Understand Mechanism of Action of Ianalumab in Salivary Glands and Explore Relationships With Clinical Assessments.</t>
  </si>
  <si>
    <t>NCT05445908</t>
  </si>
  <si>
    <t>SKB264 +/- KL-A167 in Recurrent or Metastatic HER2-negative Breast Cancer</t>
  </si>
  <si>
    <t>NCT05157945</t>
  </si>
  <si>
    <t>ALTO-300 in Depression (ALTO-300-004)</t>
  </si>
  <si>
    <t>NCT05072886</t>
  </si>
  <si>
    <t>Study of Efficacy and Safety of Investigational Treatment in Patients With Nail Psoriasis</t>
  </si>
  <si>
    <t>NCT05210530</t>
  </si>
  <si>
    <t>An Open-Label, FIH Study Evaluating the Safety and Tolerability of VCTX210A Combination Product in Subjects With T1D</t>
  </si>
  <si>
    <t>NCT05343819</t>
  </si>
  <si>
    <t>Ascending Multiple Intravenous Doses of AON-D21 in Healthy Male Subjects.</t>
  </si>
  <si>
    <t>NCT05120349</t>
  </si>
  <si>
    <t>A Global Study to Assess the Effects of Osimertinib in Participants With EGFRm Stage IA2-IA3 NSCLC Following Complete Tumour Resection</t>
  </si>
  <si>
    <t>NCT05538130</t>
  </si>
  <si>
    <t>A Study to Learn About the Study Medicine Called PF-07799544 as Monotherapy or in Combination in People With Advanced Solid Tumors</t>
  </si>
  <si>
    <t>NCT05568225</t>
  </si>
  <si>
    <t>A Study of Etavopivat for the Treatment of Anemia in Patients With Myelodysplastic Syndromes (MDS)</t>
  </si>
  <si>
    <t>NCT05405725</t>
  </si>
  <si>
    <t>A Phase 3 Study to Compare Biosimilar Denosumab With Prolia®</t>
  </si>
  <si>
    <t>NCT05348876</t>
  </si>
  <si>
    <t>A Study to Learn More About How Safe Darolutamide is and How Well it Works Under Real World Conditions When Taken in Addition to Standard Androgen Deprivation Therapy (ADT) in Indian Participants With High-risk Non-metastatic Castration-resistant Prostate Cancer (nmCRPC)</t>
  </si>
  <si>
    <t>NCT05262517</t>
  </si>
  <si>
    <t>Safety and Efficacy of BHV-3000 (Rimegepant) Orally Disintegrating Tablet for Acute Treatment of Temporomandibular Disorders</t>
  </si>
  <si>
    <t>NCT05305040</t>
  </si>
  <si>
    <t>Study of Posoleucel (ALVR105,Viralym-M) for Multi-Virus Prevention in Patients Post-Allogeneic Hematopoietic Cell Transplant</t>
  </si>
  <si>
    <t>NCT05333289</t>
  </si>
  <si>
    <t>A Study of mRNA-1020 and mRNA-1030 Seasonal Influenza Vaccines in Healthy Adults</t>
  </si>
  <si>
    <t>NCT05420220</t>
  </si>
  <si>
    <t>Study of KN046 in Subjects With Advanced Non-Small Cell Lung Cancer</t>
  </si>
  <si>
    <t>NCT05579574</t>
  </si>
  <si>
    <t>A Study to Investigate the Interaction of BMS-986322 and a Combined Oral Hormonal Contraceptive (Ethinyl Estradiol [EE]/Norethindrone [NET]) in Healthy Female Participants</t>
  </si>
  <si>
    <t>NCT05458297</t>
  </si>
  <si>
    <t>A Study of Zilovertamab Vedotin (MK-2140) as Monotherapy and in Combination in Participants With Aggressive and Indolent B-cell Malignancies (MK-2140-006)</t>
  </si>
  <si>
    <t>NCT05499260</t>
  </si>
  <si>
    <t>A Study to Evaluate the Safety, Tolerability, and Pharmacokinetics of CB03-154 in Healthy Participants</t>
  </si>
  <si>
    <t>NCT05448820</t>
  </si>
  <si>
    <t>YH001 Plus Envafolimab With or Without Doxorubicin in Patients With Advanced or Metastatic Sarcoma</t>
  </si>
  <si>
    <t>NCT05329623</t>
  </si>
  <si>
    <t>A Phase 1 Study to Evaluate the Pharmacokinetics of JDQ443 in Participants With Hepatic Impairment Compared to Matched Healthy Control Participants.</t>
  </si>
  <si>
    <t>NCT05586789</t>
  </si>
  <si>
    <t>A Study of the Efficacy and Safety of Ranquilon Tablets in Patients With Anxiety in Neurasthenia and Adjustment Disorders</t>
  </si>
  <si>
    <t>NCT05136690</t>
  </si>
  <si>
    <t>Evoked Responses as Pharmacodynamic Biomarkers in Healthy and Schizophrenic Participants (MK-4334-007)</t>
  </si>
  <si>
    <t>NCT04985682</t>
  </si>
  <si>
    <t>A Study of ADVATE in People With Hemophilia A in India</t>
  </si>
  <si>
    <t>NCT05218096</t>
  </si>
  <si>
    <t>Study of ALXN2050 in Adult Participants With Generalized Myasthenia Gravis</t>
  </si>
  <si>
    <t>NCT05028946</t>
  </si>
  <si>
    <t>A Study of Oral Foralumab in Participants With Moderate to Severely Active Crohn's Disease</t>
  </si>
  <si>
    <t>NCT05435248</t>
  </si>
  <si>
    <t>Phase 1/2 Study of HS-10375 in Patients with Advanced or Metastatic Non-Small-Cell Lung Cancer(NSCLC)</t>
  </si>
  <si>
    <t>NCT05386108</t>
  </si>
  <si>
    <t>Study of Abemaciclib and Elacestrant in Participants With Brain Metastasis Due to ER+/HER-2- Breast Cancer</t>
  </si>
  <si>
    <t>NCT05525910</t>
  </si>
  <si>
    <t>Relative Bioavailability Study of Nirmatrelvir/Ritonavir 4 Different Fixed Dose Combination Tablets Relative to the Commercial Tablets in Healthy Participants</t>
  </si>
  <si>
    <t>NCT05565820</t>
  </si>
  <si>
    <t>A Study to Evaluate the Efficacy and Safety of a Leave-in Spray in Subjects With Head Lice Infestation</t>
  </si>
  <si>
    <t>Alliance Pharmaceuticals</t>
  </si>
  <si>
    <t>NCT05540717</t>
  </si>
  <si>
    <t>Efficacy and Safety of PQ Grass in Subjects With Seasonal Allergic Rhinitis and/or Rhinoconjunctivitis Induced by Grass Pollen</t>
  </si>
  <si>
    <t>NCT05406817</t>
  </si>
  <si>
    <t>Study of Radiolabeled Revumenib in Adults With Acute Leukemia</t>
  </si>
  <si>
    <t>NCT05135390</t>
  </si>
  <si>
    <t>A Clinical Trial Evaluating the Efficacy and Safety of HSK21542 in Patients with Chronic Kidney Disease-Associated Pruritus</t>
  </si>
  <si>
    <t>NCT05241613</t>
  </si>
  <si>
    <t>A Study of AC176 for the Treatment of Metastatic Castration Resistant Prostate Cancer</t>
  </si>
  <si>
    <t>NCT05379985</t>
  </si>
  <si>
    <t>Study of RMC-6236 in Patients With Advanced Solid Tumors Harboring Specific Mutations in RAS</t>
  </si>
  <si>
    <t>NCT05150340</t>
  </si>
  <si>
    <t>A Study of TAK-771 in Japanese People With Primary Immunodeficiency Diseases (PID)</t>
  </si>
  <si>
    <t>NCT05482568</t>
  </si>
  <si>
    <t>A Trial of Injectable SHR-A1811 in Combination With Pyrotinib or SHR-1316 in Subjects With Advanced Non-small Cell Lung Cancer</t>
  </si>
  <si>
    <t>NCT05599191</t>
  </si>
  <si>
    <t>A 52-Week Study of the Efficacy and Safety of BLU-5937 in Adults With Refractory Chronic Cough</t>
  </si>
  <si>
    <t>NCT05248789</t>
  </si>
  <si>
    <t>OH2 Oncolytic Viral Therapy in Advanced Bladder Cancer</t>
  </si>
  <si>
    <t>NCT05491759</t>
  </si>
  <si>
    <t>A Study to Determine Optimal Absorption of Single Dose Omega-3</t>
  </si>
  <si>
    <t>NCT05363280</t>
  </si>
  <si>
    <t>Phase 2 Study for the Patient, Who Has Diagnosed With Small Cell Lung Cancer (SCLC) or Non Small Cell Lung Cancer (NSCLC) or Renal Cell Carcinoma (RCC) and Finished the First Line Stand Treatment , Need More Treatment</t>
  </si>
  <si>
    <t>Advenchen Pharmaceuticals, LLC.</t>
  </si>
  <si>
    <t>NCT05578820</t>
  </si>
  <si>
    <t>Safety, Tolerability and Pharmacokinetics Investigation of Stimotimagene Copolymerplasmid</t>
  </si>
  <si>
    <t>Gene Surgery LLC</t>
  </si>
  <si>
    <t>NCT05380882</t>
  </si>
  <si>
    <t>Clinical Trial of the TQB2930 Injection in Patients With Advanced Cancers</t>
  </si>
  <si>
    <t>NCT05966324</t>
  </si>
  <si>
    <t>Baxdrostat Safety, Tolerability, Pharmacokinetic and Pharmacodynamic Study in a Japanese Population</t>
  </si>
  <si>
    <t>NCT05476679</t>
  </si>
  <si>
    <t>Evaluation the Effects of Various Treatments on RZL-012-Induced Adverse Events</t>
  </si>
  <si>
    <t>NCT05432596</t>
  </si>
  <si>
    <t>Study of ATI-1777 in Patients 12 to 65 Years Old With Mild to Severe Atopic Dermatitis</t>
  </si>
  <si>
    <t>NCT04260256</t>
  </si>
  <si>
    <t>A Study Using [18F]F AraG PET to Evaluate Response to Checkpoint Inhibitor Therapy(CkIT) in Patients With Solid Tumors</t>
  </si>
  <si>
    <t>NCT05889351</t>
  </si>
  <si>
    <t>Study to Evaluate the Efficacy, Safety and Tolerability of 3% LTX-109 for Nasal Decolonisation of Staphylococcus Aureus</t>
  </si>
  <si>
    <t>NCT06777602</t>
  </si>
  <si>
    <t>A Clinical Study To Understand How Radiolabeled MK-5475 Is Taken Up By The Body, Broken Down And Then Removed From The Body in Healthy Participants (MK-5475-011)</t>
  </si>
  <si>
    <t>NCT05619172</t>
  </si>
  <si>
    <t>A Study of Nanrilkefusp Alfa (SOT101) in Combination With Cetuximab to Evaluate the Efficacy and Safety in Patients With Colorectal Cancer</t>
  </si>
  <si>
    <t>NCT05525650</t>
  </si>
  <si>
    <t>Comparative Evaluation of Safety and Immune Activity of New Immunotherapeutic Agents for HDM Allergic Rhinitis Patients</t>
  </si>
  <si>
    <t>RAPHAS</t>
  </si>
  <si>
    <t>NCT05629962</t>
  </si>
  <si>
    <t>SUNRISE-3: Efficacy and Safety of Bemnifosbuvir in High-Risk Outpatients With COVID-19</t>
  </si>
  <si>
    <t>NCT05231746</t>
  </si>
  <si>
    <t>A Study of hSTC810 With Advanced/Metastatic Solid Tumors (STCUBE-001)</t>
  </si>
  <si>
    <t>STCube, Inc.</t>
  </si>
  <si>
    <t>NCT05228314</t>
  </si>
  <si>
    <t>Safety and Immunogenicity Dose-finding Study of Adjuvanted SCB-2020S Vaccine in Adults</t>
  </si>
  <si>
    <t>NCT06209606</t>
  </si>
  <si>
    <t>Pilot Study Using Changes in Serum BCMA to Determine Disease Progression in Multiple Myeloma</t>
  </si>
  <si>
    <t>NCT05899049</t>
  </si>
  <si>
    <t>A Study of Pembrolizumab (MK-3475) in Combination With Belzutifan (MK-6482) and Lenvatinib (MK-7902), or Pembrolizumab/Quavonlimab (MK-1308A) in Combination With Lenvatinib, vs Pembrolizumab and Lenvatinib, for Treatment of Advanced Clear Cell Renal Cell Carcinoma (MK-6482-012)-China Extension Study</t>
  </si>
  <si>
    <t>NCT05292638</t>
  </si>
  <si>
    <t>Safety and Efficacy of CKDB-501A in Subjects With Moderate-to-severe Glabellar Lines</t>
  </si>
  <si>
    <t>NCT05266404</t>
  </si>
  <si>
    <t>Phase 1 Bioequivalence Study of Dapagliflozin/Sitagliptin FDC vs Loose Combination of Single Components</t>
  </si>
  <si>
    <t>NCT05368935</t>
  </si>
  <si>
    <t>Nitazoxanide Pharmacokinetic Parameters in Renal Impaired Subjects</t>
  </si>
  <si>
    <t>NCT05565950</t>
  </si>
  <si>
    <t>AI-09 In Subjects With Glabellar Lines, GL-101</t>
  </si>
  <si>
    <t>NCT06563518</t>
  </si>
  <si>
    <t>Clinical Study of Toothpaste Containing Zinc Lactate as Compared to Colgate Cavity Protection Toothpaste.</t>
  </si>
  <si>
    <t>NCT05179876</t>
  </si>
  <si>
    <t>A Study Providing Treatment Access in Participants With Pulmonary Hypertension Completing a Parent Study and Having no Other Option</t>
  </si>
  <si>
    <t>NCT06614140</t>
  </si>
  <si>
    <t>Personalized Neoantigen Cancer Vaccine for Patients With Solid Tumors</t>
  </si>
  <si>
    <t>Seqker Biosciences, Inc.</t>
  </si>
  <si>
    <t>NCT05394818</t>
  </si>
  <si>
    <t>The Clinical Study of SHR-A2009 for Injection in Patients With Advanced Solid Tumors</t>
  </si>
  <si>
    <t>NCT05466890</t>
  </si>
  <si>
    <t>Phase 2a to Evaluate PL-8177 in Subjects with Active Ulcerative Colitis (UC)</t>
  </si>
  <si>
    <t>NCT05567458</t>
  </si>
  <si>
    <t>A Study to Evaluate Luspatercept (ACE-536) in Chinese Participants Who Require Regular Red Blood Cell Transfusions Due to Beta (β)-Thalassemia.</t>
  </si>
  <si>
    <t>NCT04436458</t>
  </si>
  <si>
    <t>Niclosamide In Moderate COVID-19</t>
  </si>
  <si>
    <t>NCT05709249</t>
  </si>
  <si>
    <t>Xian-Lian-Jie-Du Optimization Decoction As an Adjuvant Treatment for Prevention of Recurrence of Colon Cancer</t>
  </si>
  <si>
    <t>NCT05530278</t>
  </si>
  <si>
    <t>A Study to Assess the Pharmacokinetics and Safety of Co-administered Oral Galicaftor, Navocaftor, and ABBV-576 in Healthy Adults for the Treatment of Cystic Fibrosis</t>
  </si>
  <si>
    <t>NCT05474885</t>
  </si>
  <si>
    <t>BCMA-CD19 cCAR T Cell Treatment of Relapsed/Refractory Systemic Lupus Erythematosus (SLE)</t>
  </si>
  <si>
    <t>NCT05555615</t>
  </si>
  <si>
    <t>Extension Study of Pimavanserin in Irritability Associated With Autism Spectrum Disorder</t>
  </si>
  <si>
    <t>NCT04988555</t>
  </si>
  <si>
    <t>A Phase 1/2 Study of Enzomenib (DSP-5336) in Patients With Acute Leukemia (Horizen-1)</t>
  </si>
  <si>
    <t>NCT05424835</t>
  </si>
  <si>
    <t>A Trial of SHR-A1811versus Pyrotinib in Combination With Capecitabine in HER2-Positive, Unresectable and/or Metastatic Breast Cancer Subjects Previously Treated With Trastuzumab and Taxane</t>
  </si>
  <si>
    <t>NCT05264038</t>
  </si>
  <si>
    <t>A First in Human Study to Evaluate the Safety, Pharmacokinetics, and Pharmacodynamics Effects of OC514</t>
  </si>
  <si>
    <t>Oncocross Australia Pty Ltd.</t>
  </si>
  <si>
    <t>NCT05221840</t>
  </si>
  <si>
    <t>A Global Study to Assess the Effects of Durvalumab With Oleclumab or Durvalumab With Monalizumab Following Concurrent Chemoradiation in Patients With Stage III Unresectable Non-Small Cell Lung Cancer</t>
  </si>
  <si>
    <t>NCT05032040</t>
  </si>
  <si>
    <t>A Study of XmAb20717 (Vudalimab)in Patients With Selected Advanced Gynecologic and Genitourinary Malignancies</t>
  </si>
  <si>
    <t>NCT05052268</t>
  </si>
  <si>
    <t>XTX202 in Patients With Advanced Solid Tumors</t>
  </si>
  <si>
    <t>NCT05525520</t>
  </si>
  <si>
    <t>Study to Evaluate EP547 in Subjects With Cholestatic Pruritus Due to Primary Biliary Cholangitis or Primary Sclerosing Cholangitis</t>
  </si>
  <si>
    <t>NCT05367960</t>
  </si>
  <si>
    <t>An Open-Label Extension Study of BPN14770 in Subjects With Fragile X Syndrome</t>
  </si>
  <si>
    <t>NCT05662020</t>
  </si>
  <si>
    <t>A Study to Evaluate the Immunogenicity and Safety of HPV Vaccine in Healthy Female Participants Aged 9-26 Years in China</t>
  </si>
  <si>
    <t>NCT06425224</t>
  </si>
  <si>
    <t>Effectiveness and Safety of TENS Therapy for Premature Ejaculation</t>
  </si>
  <si>
    <t>Boston Medical Group</t>
  </si>
  <si>
    <t>NCT05555251</t>
  </si>
  <si>
    <t>BI-1607 in Combination with Trastuzumab in Subjects with HER2-positive Advanced Solid Tumors</t>
  </si>
  <si>
    <t>NCT05261139</t>
  </si>
  <si>
    <t>EPIC-Peds: A Study to Learn About the Study Medicine Called PF-07321332 (Nirmatrelvir)/Ritonavir in Patients Under 18 Years of Age With COVID-19 That Are Not Hospitalized But Are at Risk for Severe Disease</t>
  </si>
  <si>
    <t>NCT05407675</t>
  </si>
  <si>
    <t>A Study to Evaluate the Safety and Tolerability of BMS-986408 Alone and in Combination With Nivolumab or Nivolumab and Ipilimumab in Participants With Advanced Solid Tumors</t>
  </si>
  <si>
    <t>NCT03177746</t>
  </si>
  <si>
    <t>The Safety of Dapoxetine/Tadalafil Combination Therapy</t>
  </si>
  <si>
    <t>NCT05229562</t>
  </si>
  <si>
    <t>A Study to See How BIIB122 Works in the Human Body, and to Evaluate it's Safety, and Tolerability in Healthy Adult Japanese, Chinese, and Caucasian Participants</t>
  </si>
  <si>
    <t>NCT05630196</t>
  </si>
  <si>
    <t>A Chronic Pain Master Protocol (CPMP): A Study of LY3857210 in Participants With Chronic Low Back Pain</t>
  </si>
  <si>
    <t>NCT05077423</t>
  </si>
  <si>
    <t>A Phase 1 Trial of CD33xCD3 BsAb in Pediatric Patients With Relapsed or Refractory Acute Myeloid Leukemia</t>
  </si>
  <si>
    <t>NCT05606380</t>
  </si>
  <si>
    <t>A Phase I Study to Investigate the Safety, Tolerability and PK of HLX60 (Anti-GARP Monoclonal Antibody) in Subjects With Solid Tumors or Lymphoma</t>
  </si>
  <si>
    <t>NCT05578846</t>
  </si>
  <si>
    <t>Bioequivalence Between 180 mg and 60 mg ALXN2050 Tablets and Food Effect on ALXN2050 Pharmacokinetics</t>
  </si>
  <si>
    <t>NCT05327595</t>
  </si>
  <si>
    <t>A Study of LY3549492 in Participants With Type 2 Diabetes Mellitus (T2DM)</t>
  </si>
  <si>
    <t>NCT05234775</t>
  </si>
  <si>
    <t>Cross-Over Study to Compare the Pharmacokinetics and Pharmacodynamics of LIB003 Process 1 and Process 2 Drug Product</t>
  </si>
  <si>
    <t>NCT05479812</t>
  </si>
  <si>
    <t>Dose Escalation and Expansion Study of WTX-124 as Monotherapy and in Combination With Pembrolizumab (Pembro) in Patients With Selected Advanced or Metastatic Solid Tumors</t>
  </si>
  <si>
    <t>NCT04860466</t>
  </si>
  <si>
    <t>A Dose Finding Study of CC-96673 in Participants With Relapsed or Refractory Non-Hodgkin's Lymphoma</t>
  </si>
  <si>
    <t>NCT05296772</t>
  </si>
  <si>
    <t>Phase 1 First-in-human Study of JS014</t>
  </si>
  <si>
    <t>Anwita Biosciences</t>
  </si>
  <si>
    <t>NCT05052801</t>
  </si>
  <si>
    <t>Bemarituzumab or Placebo Plus Chemotherapy in Gastric Cancers With Fibroblast Growth Factor Receptor 2b (FGFR2b) Overexpression</t>
  </si>
  <si>
    <t>NCT05538195</t>
  </si>
  <si>
    <t>Safety and Efficacy of CEA-targeted CAR-T for CEA-positive Advanced Malignant Solid Tumors</t>
  </si>
  <si>
    <t>NCT05153330</t>
  </si>
  <si>
    <t>Study of BMF-219, a Covalent Menin Inhibitor, in Adult Patients With AML, ALL (With KMT2A/ MLL1r, NPM1 Mutations), DLBCL, MM, and CLL/SLL</t>
  </si>
  <si>
    <t>Biomea Fusion Inc.</t>
  </si>
  <si>
    <t>NCT05535244</t>
  </si>
  <si>
    <t>A Study Evaluating the Efficacy and Safety of Cevostamab in Prior B Cell Maturation Antigen (BCMA)-Exposed Participants With Relapsed/Refractory Multiple Myeloma</t>
  </si>
  <si>
    <t>NCT05328102</t>
  </si>
  <si>
    <t>Phase 2 Study of Plamotamab Combined With Tafasitamab Plus Lenalidomide Versus Tafasitamab Plus Lenalidomide in Relapsed or Refractory (R/R) Diffuse Large-cell B-cell Lymphoma (DLBCL)</t>
  </si>
  <si>
    <t>NCT05579730</t>
  </si>
  <si>
    <t>Evaluation of Brimonidine Tartrate/Ketotifen Fumarate Combination for the Treatment of Allergic Conjunctivitis</t>
  </si>
  <si>
    <t>NCT06015230</t>
  </si>
  <si>
    <t>Clinical Study to Investigate the Safety, Tolerability, and Pharmacokinetics of GR1603 in SLE</t>
  </si>
  <si>
    <t>NCT04420221</t>
  </si>
  <si>
    <t>Safety, Immunogenicity and Efficacy of GSK S. Aureus Candidate Vaccine (GSK3878858A) When Administered to Healthy Adults (Dose-escalation) and to Adults 18 to 64 Years of Age With a Recent S. Aureus Skin and Soft Tissue Infection (SSTI)</t>
  </si>
  <si>
    <t>NCT05329038</t>
  </si>
  <si>
    <t>Immunogenicity，Safety and Cross - Immune Response With Mutant Strains of a Third Dose of an Inactivated COVID-19 Vaccine</t>
  </si>
  <si>
    <t>NCT05577715</t>
  </si>
  <si>
    <t>A Study of MORAb-202 in Participants With Previously Treated Metastatic Non-Small Cell Lung Cancer (NSCLC) Adenocarcinoma (AC)</t>
  </si>
  <si>
    <t>NCT05268666</t>
  </si>
  <si>
    <t>A Study of Orally Administered JBI-802, an LSD1/HDAC6 Inhibitor, in Patients With Advanced Solid Tumors</t>
  </si>
  <si>
    <t>Jubilant Therapeutics Inc.</t>
  </si>
  <si>
    <t>NCT05662202</t>
  </si>
  <si>
    <t>Study to Evaluate the Safety, Tolerability and Efficacy of BF-200 ALA (Ameluz®) in the Field-directed Treatment of Actinic Keratosis (AK) on the Extremities and Neck/Trunk With Photodynamic Therapy (PDT) Using a RhodoLED Lamp</t>
  </si>
  <si>
    <t>NCT05362045</t>
  </si>
  <si>
    <t>A Study to Evaluate the Effects on the Single-Dose Drug Levels of Mavacamten in Healthy Participants</t>
  </si>
  <si>
    <t>NCT05580796</t>
  </si>
  <si>
    <t>KSH01-R02-101 Solid Tumors</t>
  </si>
  <si>
    <t>NCT05435027</t>
  </si>
  <si>
    <t>Study of Self-Amplifying Messenger Ribonucleic Acid (samRNA) Vaccines Against COVID-19 in Healthy Adults and People Living With Human Immunodeficiency Virus (HIV)</t>
  </si>
  <si>
    <t>NCT05314283</t>
  </si>
  <si>
    <t>A Study Investigating the Safety and Performance of DV3395, a New Concept Device for the Delivery of Medicine.</t>
  </si>
  <si>
    <t>NCT05594602</t>
  </si>
  <si>
    <t>Drug-Drug Interaction Study Between EDP-235, Itraconazole, Carbamazepine and Quinidine in Healthy Subjects.</t>
  </si>
  <si>
    <t>NCT04897412</t>
  </si>
  <si>
    <t>A Study to Evaluate the Efficacy, Safety, and Tolerability of CBL-514 Injection for Reducing Subcutaneous Fat (Stage 2)</t>
  </si>
  <si>
    <t>NCT05275439</t>
  </si>
  <si>
    <t>Phase 1 Study of Shattuck Labs (SL)-172154 in Subjects With MDS or AML</t>
  </si>
  <si>
    <t>NCT05628857</t>
  </si>
  <si>
    <t>A Study of RC108-ADC in Subjects With Advanced Digestive System Malignant Tumor</t>
  </si>
  <si>
    <t>NCT05395481</t>
  </si>
  <si>
    <t>A Single-Ascending and Repeated Dose Study of LY3849891 in Participants With Metabolic Dysfunction-Associated Steatotic Liver Disease (MASLD)</t>
  </si>
  <si>
    <t>NCT05450900</t>
  </si>
  <si>
    <t>Can Biotin Supplementation be Used to Mask hCG Abuse?</t>
  </si>
  <si>
    <t>Sports Medicine Research and Testing Laboratory</t>
  </si>
  <si>
    <t>NCT04998136</t>
  </si>
  <si>
    <t>Research Study Investigating How Well Semaglutide Works in People From Thailand and South Korea Living With Obesity</t>
  </si>
  <si>
    <t>NCT05555212</t>
  </si>
  <si>
    <t>To Evaluate the Efficacy of QLH11811 in Advanced NSCLC Patients With EGFR Mutation</t>
  </si>
  <si>
    <t>NCT05439616</t>
  </si>
  <si>
    <t>Study of Cariprazine Oral Capsules or Solution to Assess Adverse Events and Change in Irritability Due to Autism Spectrum Disorder (ASD) in Participants Aged 5-17 Years With ASD</t>
  </si>
  <si>
    <t>NCT05538572</t>
  </si>
  <si>
    <t>A Study of PRT3645 in Participants With Select Advanced or Metastatic Solid Tumors</t>
  </si>
  <si>
    <t>NCT05731544</t>
  </si>
  <si>
    <t>Study of BMF-219 in Healthy Adult Subjects and in Adult Subjects With Type 2 Diabetes Mellitus (T2D)</t>
  </si>
  <si>
    <t>NCT05302609</t>
  </si>
  <si>
    <t>Evaluation of SclerFIX Graft in Scleral Thinning After Exeresis of Tumors of the Ocular Surface</t>
  </si>
  <si>
    <t>NCT05355077</t>
  </si>
  <si>
    <t>Evaluate the Pharmacokinetics, Safety and Tolerability of JT001 Tablets</t>
  </si>
  <si>
    <t>NCT05522309</t>
  </si>
  <si>
    <t>FGFR Inhibitor ET0111 Monotherapy in Patients With Advanced Solid Tumors</t>
  </si>
  <si>
    <t>NCT05022901</t>
  </si>
  <si>
    <t>An Open-Label Expanded Access Study of the Melphalan/Hepatic Delivery System (HDS) in Patients With Hepatic Dominant Ocular Melanoma</t>
  </si>
  <si>
    <t>Delcath Systems Inc.</t>
  </si>
  <si>
    <t>NCT07497373</t>
  </si>
  <si>
    <t>A Phase I Study to Evaluate the Safety and Tolerability of JL15003 Injection in Patients With Recurrent Glioblastoma</t>
  </si>
  <si>
    <t>NCT05385783</t>
  </si>
  <si>
    <t>A Study of a Psilocybin Analog (CYB003) in Healthy Participants With and Without Major Depressive Disorder</t>
  </si>
  <si>
    <t>Cybin IRL Limited</t>
  </si>
  <si>
    <t>NCT05439941</t>
  </si>
  <si>
    <t>A Long-Term Extension Trial in Participants With Atopic Dermatitis Who Participated in Previous EDP1815 Trials</t>
  </si>
  <si>
    <t>NCT06360445</t>
  </si>
  <si>
    <t>Bioequivalence Study of Olaparib Tablets Under Fasting and Fed Conditions in Healthy Subjects</t>
  </si>
  <si>
    <t>NCT04683939</t>
  </si>
  <si>
    <t>Safety, Pharmacokinetics, Pharmacodynamics, and Preliminary Efficacy Trial of BNT141 in Patients With Unresectable or Metastatic CLDN18.2-positive Gastric, Pancreatic, Ovarian and Biliary Tract Tumors</t>
  </si>
  <si>
    <t>NCT05193214</t>
  </si>
  <si>
    <t>A Phase II Study for 609A in the Treatment of Advanced Undifferentiated Pleomorphic Sarcoma</t>
  </si>
  <si>
    <t>NCT05509400</t>
  </si>
  <si>
    <t>Efficacy and Tolerability of Rimegepant for the Acute Treatment of Migraine in Adults Unsuitable for Triptan Use</t>
  </si>
  <si>
    <t>NCT05385692</t>
  </si>
  <si>
    <t>A Study of BL-M02D1 in Patients With Locally Advanced or Metastatic Gastrointestinal Tumors or Other Solid Tumors</t>
  </si>
  <si>
    <t>NCT05241834</t>
  </si>
  <si>
    <t>A Study of LOXO-260 in Cancer Patients With a Change in a Particular Gene (RET) That Has Not Responded to Treatment</t>
  </si>
  <si>
    <t>NCT05378893</t>
  </si>
  <si>
    <t>A First in Human (FIH) Study to Evaluate the Safety, Tolerability, Pharmacokinetics, and Pharmacodynamics of DR10624</t>
  </si>
  <si>
    <t>NCT02201381</t>
  </si>
  <si>
    <t>Study of the Safety, Tolerability and Efficacy of Metabolic Combination Treatments on Cancer</t>
  </si>
  <si>
    <t>Health Clinics Limited</t>
  </si>
  <si>
    <t>NCT05940571</t>
  </si>
  <si>
    <t>First Phase Clinical Trial of Single Agent MBF-362 in Solid Tumors</t>
  </si>
  <si>
    <t>NCT05233332</t>
  </si>
  <si>
    <t>Study of HL-085 and Vemurafinib in Metastatic Colorectal Cancer (mCRC)</t>
  </si>
  <si>
    <t>NCT05472038</t>
  </si>
  <si>
    <t>A Study to Learn About New COVID-19 RNA Vaccine Candidates in COVID-19 Vaccine-Experienced Healthy Individuals</t>
  </si>
  <si>
    <t>NCT06488209</t>
  </si>
  <si>
    <t>Single and Multiple Ascending Dose Study in Healthy Participants and Participants With an Autoimmune Disease</t>
  </si>
  <si>
    <t>NCT05531565</t>
  </si>
  <si>
    <t>A 2-Part Study to Learn Whether Litifilimab (BIIB059) Injections Can Improve Symptoms of Adult Participants Who Have Active Cutaneous Lupus Erythematosus</t>
  </si>
  <si>
    <t>NCT05515432</t>
  </si>
  <si>
    <t>A Study to Learn How the Study Treatment BAY3283142 Taken as Single Dose by Mouth Moves Into, Through, and Out of the Body, How Safe it is, and How it Affects the Body in Participants With Reduced Kidney Function Compared to Participants With Normal Kidney Function of Similar Age, Gender, and Weight</t>
  </si>
  <si>
    <t>NCT05638347</t>
  </si>
  <si>
    <t>A Trial of HRS-7085 Tablet in Healthy Participants With and Without Food Effect.</t>
  </si>
  <si>
    <t>NCT05297578</t>
  </si>
  <si>
    <t>Safety, Tolerability, and Immunogenicity Study of a 24-Valent Pneumococcal Conjugate Vaccine (VAX-24) in Older Adults</t>
  </si>
  <si>
    <t>NCT05594043</t>
  </si>
  <si>
    <t>A Study of MK-6598 as Monotherapy and in Combination With Pembrolizumab (MK-3475) in Advanced Solid Tumors (MK-6598-001)</t>
  </si>
  <si>
    <t>NCT05594615</t>
  </si>
  <si>
    <t>Drug-Drug Interaction Study Between EDP-235, Midazolam, Caffeine and Rosuvastatin in Healthy Subjects</t>
  </si>
  <si>
    <t>NCT05105243</t>
  </si>
  <si>
    <t>Phase 1 SAD/MAD Study of CVN766 in Healthy Volunteers</t>
  </si>
  <si>
    <t>Cerevance</t>
  </si>
  <si>
    <t>NCT05424549</t>
  </si>
  <si>
    <t>A Clinical Trial to Evaluate the Safety and Efficacy of Rreproxalap in Adults With Dry Eye Disease</t>
  </si>
  <si>
    <t>NCT05353985</t>
  </si>
  <si>
    <t>A Study of TAK-062 in Treatment of Active Celiac Disease in Participants Attempting a Gluten-Free Diet</t>
  </si>
  <si>
    <t>NCT05308576</t>
  </si>
  <si>
    <t>A Study to Evaluate the Efficacy and Safety of SCTV01E (a COVID-19 Vaccine) in Population Aged ≥18 Years</t>
  </si>
  <si>
    <t>NCT05610189</t>
  </si>
  <si>
    <t>Multiple-dose Trial to Determine the Clinical Bioequivalence Between Tavapadon Tablets in Participants With Parkinson's Disease</t>
  </si>
  <si>
    <t>NCT05338346</t>
  </si>
  <si>
    <t>A Study of ATG-018 (ATR Inhibitor) Treatment in Patients With Advanced Solid Tumors and Hematological Malignancies</t>
  </si>
  <si>
    <t>Antengene Discovery Limited</t>
  </si>
  <si>
    <t>NCT05511519</t>
  </si>
  <si>
    <t>Study of ATI-450 vs Placebo in Patients With Moderate to Severe Psoriatic Arthritis</t>
  </si>
  <si>
    <t>NCT05102214</t>
  </si>
  <si>
    <t>HLX301 (TIGIT×PDL1 Bispecific) in Patients With Locally Advanced or Metastatic Solid Tumors</t>
  </si>
  <si>
    <t>NCT05588804</t>
  </si>
  <si>
    <t>Study of the Efficacy and Safety of Broncho-munal®, Capsules, 7 mg for the Treatment of Acute Uncomplicated Respiratory Tract Infections</t>
  </si>
  <si>
    <t>NCT05383209</t>
  </si>
  <si>
    <t>Study of EYP-1901 in Patients With Nonproliferative Diabetic Retinopathy (NPDR)</t>
  </si>
  <si>
    <t>NCT04927299</t>
  </si>
  <si>
    <t>Efficacy and Safety of Losartan/Chlorthalidone vs Losartan/Hydrochlorothiazide in Essential Arterial Hypertension</t>
  </si>
  <si>
    <t>NCT05489614</t>
  </si>
  <si>
    <t>A Study to Evaluate the Pharmacokinetics, Safety, and Pharmacodynamics of Olpasiran in Participants With Normal Renal Function and Participants With Various Degrees of Renal Impairment</t>
  </si>
  <si>
    <t>NCT05434299</t>
  </si>
  <si>
    <t>A Study of TFX05-01 in Patients With Advanced Solid Tumors</t>
  </si>
  <si>
    <t>Zhejiang Yangli Pharmaceutical Technology Co., Ltd.</t>
  </si>
  <si>
    <t>NCT05454033</t>
  </si>
  <si>
    <t>A Study to Assess Adverse Events and Effectiveness of Intradermally Injected JUVÉDERM® VOLITE™ Gel Filler in Adult Participants in China With Fine Lines Around the Mouth</t>
  </si>
  <si>
    <t>NCT05251909</t>
  </si>
  <si>
    <t>Efficacy and Safety of Benralizumab in Patients With Eosinophilic Gastritis and/or Gastroenteritis (The HUDSON GI Study)</t>
  </si>
  <si>
    <t>NCT05411198</t>
  </si>
  <si>
    <t>Study to Assess Change in Disease Activity and Adverse Events of Ab Externo Approach for Glaucoma Gel Stent (XEN45) Implantation In Participants Aged 45 Years or Older With Open-Angle Glaucoma</t>
  </si>
  <si>
    <t>NCT05355935</t>
  </si>
  <si>
    <t>A Study to Investigate the Effects of Brensocatib on QT Interval in Healthy Participants</t>
  </si>
  <si>
    <t>NCT06125717</t>
  </si>
  <si>
    <t>Phase 1 Evaluation of H1 Influenza Vaccine Delivered by MIMIX MAP</t>
  </si>
  <si>
    <t>Terrestrial Bio, Inc.</t>
  </si>
  <si>
    <t>NCT05192174</t>
  </si>
  <si>
    <t>Study of NIB101 in Participants With Advanced Solid Tumors</t>
  </si>
  <si>
    <t>Noile-Immune Biotech, Inc</t>
  </si>
  <si>
    <t>NCT05222178</t>
  </si>
  <si>
    <t>Safety and Efficacy of HMI-103 in Participants With Classical PKU Due to PAH Deficiency</t>
  </si>
  <si>
    <t>NCT05488678</t>
  </si>
  <si>
    <t>Ceftibuten/VNRX-7145 in Participants With Varying Degrees of Renal Function</t>
  </si>
  <si>
    <t>NCT05631626</t>
  </si>
  <si>
    <t>Phase 3 Efficacy and Safety Study in Adults With ADHD Using CTx-1301.</t>
  </si>
  <si>
    <t>NCT05603143</t>
  </si>
  <si>
    <t>Study of Obeldesivir in Participants With COVID-19 Who Have a High Risk of Developing Serious or Severe Illness</t>
  </si>
  <si>
    <t>NCT05495425</t>
  </si>
  <si>
    <t>Clinical Study of NPC-12Y Gel in Patients With Skin Lesions Associated With TSC</t>
  </si>
  <si>
    <t>NCT05253417</t>
  </si>
  <si>
    <t>The CANabidiol Use for RElief of Short Term Insomnia</t>
  </si>
  <si>
    <t>NCT04704518</t>
  </si>
  <si>
    <t>Study to Evaluate the Efficacy of Lagricel® Ofteno PF Compared to Thealoz® Duo After Photorefractive Keratectomy</t>
  </si>
  <si>
    <t>NCT05179226</t>
  </si>
  <si>
    <t>Multi-center Trial of Ferric Derisomaltose in Children 0 to &lt;18 Years of Age With Iron Deficiency Anemia</t>
  </si>
  <si>
    <t>Pharmacosmos A/S</t>
  </si>
  <si>
    <t>NCT05328726</t>
  </si>
  <si>
    <t>Single, Ascending Dose, First Time in Human Study for GZR18 in Healthy Subjects</t>
  </si>
  <si>
    <t>NCT05541315</t>
  </si>
  <si>
    <t>A Single Ascending Dose Study of JNJ-88260237 in Healthy Participants</t>
  </si>
  <si>
    <t>NCT05446740</t>
  </si>
  <si>
    <t>A Study on the Safety, Reactogenicity and Immune Response of a Vaccine Against Influenza in Healthy Younger and Older Adults</t>
  </si>
  <si>
    <t>NCT05490043</t>
  </si>
  <si>
    <t>A Trial of ATG-101 in Patients With Metastatic/Advanced Solid Tumors and Mature B-cell Non-Hodgkin Lymphomas</t>
  </si>
  <si>
    <t>Antengene (Hangzhou) Biologics Co., Ltd.</t>
  </si>
  <si>
    <t>NCT05677035</t>
  </si>
  <si>
    <t>Safety, Tolerability, Pharmacokinetics, and Pharmacodynamics of LINO-1713 in Healthy Korean Female Subjects</t>
  </si>
  <si>
    <t>NCT05496868</t>
  </si>
  <si>
    <t>Add-on Reparixin in Adult Patients With ARDS</t>
  </si>
  <si>
    <t>NCT05504278</t>
  </si>
  <si>
    <t>Efficacy and Safety of IBI351 in Combination With Chemotherapy in Advanced Non-squamous Non-small Cell Lung Cancer Subjects With KRAS G12C Mutation</t>
  </si>
  <si>
    <t>NCT05681689</t>
  </si>
  <si>
    <t>PyloPlus Urea Breath Test System Post Therapy Efficacy Confirmation Study</t>
  </si>
  <si>
    <t>NCT05468190</t>
  </si>
  <si>
    <t>A Clinical Research About CD70-positive Advanced/Metastatic Solid Tumors Treated by CD70-targeted CAR-T</t>
  </si>
  <si>
    <t>NCT05280626</t>
  </si>
  <si>
    <t>First-line Treatment of P53 Mutation With PD-L1 Expression in DLBCL With Anti-PD-1 Mab and R-CHOP</t>
  </si>
  <si>
    <t>NCT05188664</t>
  </si>
  <si>
    <t>Study of LaNova Medicines(LM)-302 in Combination With Toripalimab in Patients With Advanced Solid Tumors</t>
  </si>
  <si>
    <t>LaNova Australia Pty Limited</t>
  </si>
  <si>
    <t>NCT05528120</t>
  </si>
  <si>
    <t>Food Effect Study on the Pharmacokinetics of VC004 Capsules in Healthy Adult Subjects</t>
  </si>
  <si>
    <t>NCT06209320</t>
  </si>
  <si>
    <t>A Study of the Efficacy and Safety of Two Low-concentration Atropine Sulfate Eye Drops</t>
  </si>
  <si>
    <t>NCT05799820</t>
  </si>
  <si>
    <t>QL1706 Monotherapy or in Combination With Bevacizumab and XELOX as First-line Treatment of Unresectable Advanced or Metastatic CRC</t>
  </si>
  <si>
    <t>NCT05248659</t>
  </si>
  <si>
    <t>Trial of Sibeprenlimab in the Treatment of Immunoglobulin A Nephropathy (IgAN)</t>
  </si>
  <si>
    <t>NCT05699486</t>
  </si>
  <si>
    <t>A Study to Evaluate the Efficacy, Safety and Tolerability of PDNO Infusion in Patients With Pulmonary Hypertension After Cardiopulmonary Bypass Surgery</t>
  </si>
  <si>
    <t>NCT05192369</t>
  </si>
  <si>
    <t>A Randomized Study to Evaluate the Effects of CTP-543 on the QT/QTc Intervals in Health Volunteers</t>
  </si>
  <si>
    <t>NCT05241093</t>
  </si>
  <si>
    <t>A Study of HYML-122 and Cytarabine in Patients With FLT3 Positive Relapsed or Refractory Acute Myeloid Leukemia (AML)</t>
  </si>
  <si>
    <t>NCT05394714</t>
  </si>
  <si>
    <t>A Phase I, Autologous ex Vivo Expanded and Activated NK Cell, Magicell-NK, Infusion for Colon Cancer Post Resection Study</t>
  </si>
  <si>
    <t>Medigen Biotechnology Corporation</t>
  </si>
  <si>
    <t>NCT05304364</t>
  </si>
  <si>
    <t>Safety, Tolerability, and Pharmacokinetics of Naltrexone Implant (DLP-160)</t>
  </si>
  <si>
    <t>NCT05579314</t>
  </si>
  <si>
    <t>XW014 in Healthy Subjects and Patients With Type 2 Diabetes Mellitus (T2DM)</t>
  </si>
  <si>
    <t>Sciwind Biosciences USA Co., Ltd.</t>
  </si>
  <si>
    <t>NCT05063357</t>
  </si>
  <si>
    <t>131I-omburtamab Delivered by Convection-Enhanced Delivery in Patients With Diffuse Intrinsic Pontine Glioma</t>
  </si>
  <si>
    <t>NCT05363293</t>
  </si>
  <si>
    <t>Multiple Ascending Dose Safety, Tolerability, PK Study of AL001 in Alzheimer's Disease Patients &amp; Healthy Adult Subjects</t>
  </si>
  <si>
    <t>Alzamend Neuro, Inc.</t>
  </si>
  <si>
    <t>NCT05497557</t>
  </si>
  <si>
    <t>A Study to Evaluate the Impact of Omeprazole on the Pharmacokinetics of Sotorasib Co-administered With an Acidic Beverage in Healthy Volunteers</t>
  </si>
  <si>
    <t>NCT05475106</t>
  </si>
  <si>
    <t>Pilot Study of Neoantigen Peptides and Leukine for the Treatment of Neoplasms</t>
  </si>
  <si>
    <t>NCT05498701</t>
  </si>
  <si>
    <t>A Study Comparing Two Forms of Tafamidis Without Food and the Amount of Tafamidis in the Blood With Food</t>
  </si>
  <si>
    <t>NCT05646719</t>
  </si>
  <si>
    <t>Safety and Efficacy of Nyxol Eye Drops as a Single Agent and With Adjunctive Low-Dose Pilocarpine Eye Drops in Subjects With Presbyopia</t>
  </si>
  <si>
    <t>NCT05560464</t>
  </si>
  <si>
    <t>Evaluation of the Pharmacokinetics and Safety of VX-548 in Participants With Mild or Moderate Hepatic Impairment</t>
  </si>
  <si>
    <t>NCT05193721</t>
  </si>
  <si>
    <t>A Clinical Study of the Safety and Tolerability of SHR-1901 in Subjects With Advanced Malignant Tumors</t>
  </si>
  <si>
    <t>NCT05165992</t>
  </si>
  <si>
    <t>Nebulized Fentanyl for Respiratory Symptoms in Patients With COVID-19</t>
  </si>
  <si>
    <t>NCT05434234</t>
  </si>
  <si>
    <t>A Study of YL201 in Patients With Advanced Solid Tumors</t>
  </si>
  <si>
    <t>MediLink Therapeutics (Suzhou) Co., Ltd.</t>
  </si>
  <si>
    <t>NCT05397093</t>
  </si>
  <si>
    <t>ITIL-306 in Advanced Solid Tumors</t>
  </si>
  <si>
    <t>NCT05512806</t>
  </si>
  <si>
    <t>A Bioavailability and Food Effect Study of AZD5462 in Healthy Volunteers</t>
  </si>
  <si>
    <t>NCT05353972</t>
  </si>
  <si>
    <t>Evaluate IMG-007 in Healthy Participants</t>
  </si>
  <si>
    <t>NCT05397119</t>
  </si>
  <si>
    <t>A Safety and Immunogenicity of Intranasal Nanoemulsion Adjuvanted Recombinant Pandemic Flu Vaccine in Healthy Adults</t>
  </si>
  <si>
    <t>NCT05482698</t>
  </si>
  <si>
    <t>The MC2-25 Cream in Subjects wITh CHronic KIdNEy Disease-aSsociated prurituS (ITCHINESS) Trial</t>
  </si>
  <si>
    <t>MC2 Therapeutics</t>
  </si>
  <si>
    <t>NCT05195528</t>
  </si>
  <si>
    <t>A Study to Evaluate the Efficacy and Safety of Vonoprazan Compared to Placebo for Relief of Heartburn in Participants With Symptomatic Non-Erosive Gastroesophageal Reflux Disease (NERD)</t>
  </si>
  <si>
    <t>NCT05550519</t>
  </si>
  <si>
    <t>A Study in Chronic Hepatitis B e-Antigen Negative Participants After Discontinuation of Nucleos(t)Ide Analog (NA) Treatment</t>
  </si>
  <si>
    <t>NCT05995119</t>
  </si>
  <si>
    <t>Comparative Bioavailability Study of TAH3311 5 mg Oral Dissolving Film vs ELIQUIS® 5 mg Tablet in Healthy Volunteers</t>
  </si>
  <si>
    <t>TAHO Pharmaceuticals Ltd.</t>
  </si>
  <si>
    <t>NCT05348681</t>
  </si>
  <si>
    <t>A Study to Evaluate RIST4721 in Hidradenitis Suppurativa (HS)</t>
  </si>
  <si>
    <t>NCT05198557</t>
  </si>
  <si>
    <t>A Study of MT-0551 in Patients With Systemic Sclerosis</t>
  </si>
  <si>
    <t>NCT05540028</t>
  </si>
  <si>
    <t>Study to Evaluate a 25-Valent Pneumococcal Conjugate Vaccine</t>
  </si>
  <si>
    <t>Inventprise Inc.</t>
  </si>
  <si>
    <t>NCT05462717</t>
  </si>
  <si>
    <t>Dose Escalation and Dose Expansion Study of RMC-6291 Monotherapy in Subjects With Advanced KRASG12C Mutant Solid Tumors</t>
  </si>
  <si>
    <t>NCT05232136</t>
  </si>
  <si>
    <t>OH2 Oncolytic Viral Therapy in Non-Muscle-Invasive Bladder Cancer</t>
  </si>
  <si>
    <t>NCT05329532</t>
  </si>
  <si>
    <t>Modi-1 Moditope in Breast, Head and Neck, Ovarian, or Renal Cancer</t>
  </si>
  <si>
    <t>NCT05596734</t>
  </si>
  <si>
    <t>A Study to Evaluate the Safety, Tolerability, and Immunogenicity of Combined Modified RNA Vaccine Candidates Against COVID-19 and Influenza</t>
  </si>
  <si>
    <t>NCT05216263</t>
  </si>
  <si>
    <t>Study of Oral Atogepant When Added to OnabotulinumtoxinA (BOTOX) to Assess Adverse Events and Change in Disease Activity in Adult Participants With Chronic Migraine</t>
  </si>
  <si>
    <t>NCT05477693</t>
  </si>
  <si>
    <t>Immunogenicity and Safety of 23-valent Pneumococcal Polysaccharide Vaccine</t>
  </si>
  <si>
    <t>NCT05305547</t>
  </si>
  <si>
    <t>A Study to Compare S-217622 With Placebo in Non-Hospitalized Participants With COVID-19</t>
  </si>
  <si>
    <t>NCT05251948</t>
  </si>
  <si>
    <t>An Umbrella Study Evaluating the Efficacy and Safety of Multiple Treatment Combinations in Patients With Gastric or Gastroesophageal Junction Carcinoma</t>
  </si>
  <si>
    <t>NCT05373355</t>
  </si>
  <si>
    <t>Safety and Efficacy of TLL018 in Patients With Chronic Spontaneous Urticaria.</t>
  </si>
  <si>
    <t>NCT05344365</t>
  </si>
  <si>
    <t>A Study to Evaluate Iloperidone for the Treatment of Parkinson's Disease Psychosis</t>
  </si>
  <si>
    <t>NCT05135000</t>
  </si>
  <si>
    <t>Study of Efficacy and Safety of LTP001 in Pulmonary Arterial Hypertension</t>
  </si>
  <si>
    <t>NCT05564221</t>
  </si>
  <si>
    <t>A Multiple Ascending Dose, Phase 1b Study of YH35324 in Atopic Healthy Subjects or Subjects With Allergic Diseases</t>
  </si>
  <si>
    <t>NCT05005078</t>
  </si>
  <si>
    <t>A 16-Week Study of Pirenzepine or Placebo to Treat HIV-Associated Distal Sensory Polyneuropathy in Patients With HIV</t>
  </si>
  <si>
    <t>NCT05198804</t>
  </si>
  <si>
    <t>A Study of Azenosertib (ZN-c3) and Niraparib in Subjects With Platinum-Resistant Ovarian Cancer</t>
  </si>
  <si>
    <t>NCT05475184</t>
  </si>
  <si>
    <t>A Study to Evaluate the Efficacy and Safety of JPI-547 in Platinum-resistant, Advanced/Relapsed Ovarian Cancer Subjects Previously Treated With a PARP Inhibitor</t>
  </si>
  <si>
    <t>NCT05156047</t>
  </si>
  <si>
    <t>A Phase 3 Study to Assess the Safety and Efficacy of Pitolisant in Adult Patients With Idiopathic Hypersomnia</t>
  </si>
  <si>
    <t>NCT05519293</t>
  </si>
  <si>
    <t>Phase I/IIa Study of H002 in NSCLC With Active EGFR Mutation</t>
  </si>
  <si>
    <t>RedCloud Bio</t>
  </si>
  <si>
    <t>NCT05371652</t>
  </si>
  <si>
    <t>A Study to Learn About the Long-term Safety of Rimegepant for the Acute Treatment of Migraine in Chinese Participants</t>
  </si>
  <si>
    <t>NCT05585398</t>
  </si>
  <si>
    <t>A Study to Evaluate the Distribution of Botulinum Neurotoxin Type A Administered as Intradermal Injections, Comparing Different Doses, Concentrations, and Delivery Methods</t>
  </si>
  <si>
    <t>NCT05614063</t>
  </si>
  <si>
    <t>A Randomized Study of XEN1101 Versus Placebo in Focal-Onset Seizures</t>
  </si>
  <si>
    <t>NCT05526521</t>
  </si>
  <si>
    <t>A Study to Investigate the Pharmacokinetics and Safety of Dupilumab in Participants ≥2 Years to &lt;12 Years of Age With Uncontrolled Chronic Spontaneous Urticaria (CSU) (LIBERTY-CSU CUPIDKids)</t>
  </si>
  <si>
    <t>NCT05363774</t>
  </si>
  <si>
    <t>A Research Study of a New Medicine NNC0519-0130 in Healthy People, People With High Body Weight and People With Type 2 Diabetes.</t>
  </si>
  <si>
    <t>NCT05309694</t>
  </si>
  <si>
    <t>A Study to Assess the Safety of a New Inserter Device for Paragard® (Intrauterine Copper Contraceptive)</t>
  </si>
  <si>
    <t>CooperSurgical Inc.</t>
  </si>
  <si>
    <t>NCT05414422</t>
  </si>
  <si>
    <t>A Randomized, Placebo-Controlled, Double-Blind Study to Assess Safety and Efficacy of PCN-101 in TRD</t>
  </si>
  <si>
    <t>Perception Neuroscience</t>
  </si>
  <si>
    <t>NCT05280483</t>
  </si>
  <si>
    <t>ABSK021 Food Effect Study in Healthy Subjects</t>
  </si>
  <si>
    <t>NCT05346354</t>
  </si>
  <si>
    <t>Efficacy and Safety Study of Ravulizumab IV in Pediatric Participants With NMOSD</t>
  </si>
  <si>
    <t>NCT05400876</t>
  </si>
  <si>
    <t>To Evaluate the Safety and Efficacy of TQB2618 Injection Combined With Penpulimab in the Treatment of Patients With Relapsed and Refractory Lymphoma</t>
  </si>
  <si>
    <t>NCT05318976</t>
  </si>
  <si>
    <t>A Study of XPro1595 in Patients With Early Alzheimer's Disease With Biomarkers of Inflammation</t>
  </si>
  <si>
    <t>NCT05076617</t>
  </si>
  <si>
    <t>A Study to Test the Safety and Tolerability of Staccato Alprazolam in Study Participants 12 Years of Age and Older With Stereotypical Prolonged Seizures</t>
  </si>
  <si>
    <t>NCT05167825</t>
  </si>
  <si>
    <t>A Study of Macitentan in Japanese Pediatric Participants With Pulmonary Arterial Hypertension</t>
  </si>
  <si>
    <t>NCT06481215</t>
  </si>
  <si>
    <t>A Safety and Pharmacokinetics Study of Ustekinumab Biosimilar GNR-068 and Stelara® in Healthy Volunteers</t>
  </si>
  <si>
    <t>NCT05299697</t>
  </si>
  <si>
    <t>A Study of TG103 Injection in Overweight or Obesity</t>
  </si>
  <si>
    <t>NCT05312697</t>
  </si>
  <si>
    <t>Long-term Extension Study of Setrusumab in Adults With Type I, III, or IV Osteogenesis Imperfecta</t>
  </si>
  <si>
    <t>NCT05267262</t>
  </si>
  <si>
    <t>Study to Evaluate R3R01 in Patients With Alport Syndrome and Patients With Focal Segmental Glomerulosclerosis</t>
  </si>
  <si>
    <t>River 3 Renal Corp.</t>
  </si>
  <si>
    <t>NCT05431270</t>
  </si>
  <si>
    <t>Dose Escalation/Expansion Study of Mavrostobart (PT199), an Anti-CD73 mAb, Administered Alone and in Combination With a PD-1 Inhibitor or Chemotherapy (the MORNINGSTAR Study)</t>
  </si>
  <si>
    <t>Phanes Therapeutics</t>
  </si>
  <si>
    <t>NCT05467696</t>
  </si>
  <si>
    <t>Study of the Effect of Food on the Bioavailability of the To-Be-Marketed Formulation of CTP-543 in Healthy Volunteers</t>
  </si>
  <si>
    <t>NCT04928703</t>
  </si>
  <si>
    <t>Effects of Ketamine on ERP/EEG Measures in Healthy Volunteers</t>
  </si>
  <si>
    <t>ERP Biomarker Qualification Consortium</t>
  </si>
  <si>
    <t>NCT05266586</t>
  </si>
  <si>
    <t>Study to Evaluate the Effect of Obicetrapib in Combination With Ezetimibe as an Adjunct to HIS Therapy</t>
  </si>
  <si>
    <t>NCT05098132</t>
  </si>
  <si>
    <t>Study of STK-012 Alone and With Other Treatments in Patients With Advanced Lung Cancer and Other Cancers</t>
  </si>
  <si>
    <t>Synthekine</t>
  </si>
  <si>
    <t>NCT05201638</t>
  </si>
  <si>
    <t>Study to Evaluate the Efficacy, Safety and Tolerability of IMU-838 in Patients With Relapsing Multiple Sclerosis</t>
  </si>
  <si>
    <t>NCT05295927</t>
  </si>
  <si>
    <t>A Study of EPI-7386 in Combination With Abiraterone Acetate Plus Prednisone, or Apalutamide in Metastatic Castration-resistant Prostate Cancer (mCRPC)</t>
  </si>
  <si>
    <t>NCT05727683</t>
  </si>
  <si>
    <t>CD19-targeted CAR T Cells for Patients With Relapsed or Refractory in B-cell Acute Lymphoblastic Leukemia</t>
  </si>
  <si>
    <t>NCT05221320</t>
  </si>
  <si>
    <t>Trial of Ulixertinib in Combination With Hydroxychloroquine in Patients With Advanced Gastrointestinal (GI) Malignancies</t>
  </si>
  <si>
    <t>NCT04894266</t>
  </si>
  <si>
    <t>An Open-Label Study of Apabetalone in Covid Infection</t>
  </si>
  <si>
    <t>Resverlogix Corp</t>
  </si>
  <si>
    <t>NCT05517642</t>
  </si>
  <si>
    <t>IH Convidecia as Second Booster Dose Against Breakthrough Infections</t>
  </si>
  <si>
    <t>NCT05463354</t>
  </si>
  <si>
    <t>Safety and Immunogenicity of Recombinant COVID-19 Vaccine (Sf9 Cell) as a Booster</t>
  </si>
  <si>
    <t>NCT05650554</t>
  </si>
  <si>
    <t>Safety and Immunogenicity of Quadrivalent Influenza mRNA Vaccine MRT5413 in Adult Participants18 Years of Age and Older</t>
  </si>
  <si>
    <t>NCT05503693</t>
  </si>
  <si>
    <t>A Safety, Tolerability, and Pharmacokinetics Study of AP303 in Healthy Subjects</t>
  </si>
  <si>
    <t>Alebund Pty Ltd</t>
  </si>
  <si>
    <t>NCT05411133</t>
  </si>
  <si>
    <t>Treatment of Cabotamig (ARB202) in Advanced Gastrointestinal Cancer Patients</t>
  </si>
  <si>
    <t>Arbele Pty Ltd</t>
  </si>
  <si>
    <t>NCT04872478</t>
  </si>
  <si>
    <t>Pharmacokinetic and Safety Study of MRX-2843 in Adolescents and Adults With Relapsed/Refractory AML, ALL, or MPAL</t>
  </si>
  <si>
    <t>Meryx, Inc.</t>
  </si>
  <si>
    <t>NCT04811092</t>
  </si>
  <si>
    <t>Study of Sotatercept in Newly Diagnosed Intermediate- and High-Risk PAH Participants (MK-7962-005/A011-13)</t>
  </si>
  <si>
    <t>NCT05557409</t>
  </si>
  <si>
    <t>A Study to Assess the Efficacy and Safety of AXS-05 in Subjects With Alzheimer's Disease Agitation</t>
  </si>
  <si>
    <t>NCT05307978</t>
  </si>
  <si>
    <t>Safety and Tolerability, Pharmacokinetic, and Pharmacodynamic Study of ALXN1910 in Healthy Participants</t>
  </si>
  <si>
    <t>NCT05294835</t>
  </si>
  <si>
    <t>Ketamine and Epigenetic Aging</t>
  </si>
  <si>
    <t>NCT05544214</t>
  </si>
  <si>
    <t>Clinical Study to Evaluate the Pharmacokinetics, Safety and Tolerability of CKD 371 in Healthy Subjects</t>
  </si>
  <si>
    <t>NCT05651152</t>
  </si>
  <si>
    <t>A Study to Investigate The Safety, Tolerability, Pharmacokinetics, and Pharmacodynamics of JZP441 in Sleep-deprived Healthy Participants</t>
  </si>
  <si>
    <t>NCT03992443</t>
  </si>
  <si>
    <t>Efficacy and Safety of CUSA-081 in the Restoration of Dysfunctional Central Venous Access Device (CVAD) Functionality</t>
  </si>
  <si>
    <t>NCT04878315</t>
  </si>
  <si>
    <t>Bioequivalence Study Between Capoten Versus Captopril Reference Product in Healthy Adult Participants Under Fasting Conditions</t>
  </si>
  <si>
    <t>NCT05582187</t>
  </si>
  <si>
    <t>A Clinical Trial of the Study Medicine (Called Fosmanogepix) in Participants With Varying Degrees of Hepatic Function.</t>
  </si>
  <si>
    <t>NCT05249816</t>
  </si>
  <si>
    <t>Phase 3 Boosting Study for the SARS-CoV-2 rS Vaccine</t>
  </si>
  <si>
    <t>Cogna Technology Solutions LLC</t>
  </si>
  <si>
    <t>NCT05226533</t>
  </si>
  <si>
    <t>Clinical Trials to Assess Safety and Efficacy of DWRX2003 Combination With Remdesivir in Moderate to Severe COVID-19 Patients.</t>
  </si>
  <si>
    <t>NCT05365217</t>
  </si>
  <si>
    <t>A Research Study Investigating Nonacog Beta Pegol (N9-GP) for Treatment and Prevention of Bleedings in Chinese People With Haemophilia B</t>
  </si>
  <si>
    <t>NCT05279716</t>
  </si>
  <si>
    <t>Study in Prostaglandin Associated Peri-orbitopathy Switching From Prostaglandin Monotherapy to Omidenepag Isopropyl</t>
  </si>
  <si>
    <t>Santen Pharmaceutical Asia Pte. Ltd.</t>
  </si>
  <si>
    <t>NCT05498155</t>
  </si>
  <si>
    <t>Study of Neoadjuvant Olaparib Monotherapy and Olaparib and Durvalumab Combination in HER2 Negative BRCAm Breast Cancer</t>
  </si>
  <si>
    <t>NCT05327855</t>
  </si>
  <si>
    <t>Efficacy and Safety of OPL-0301 Compared to Placebo in Adults With Post-Myocardial Infarction (MI)</t>
  </si>
  <si>
    <t>NCT05335876</t>
  </si>
  <si>
    <t>Long-term Follow-up of Patients With Spinal Muscular Atrophy Treated With OAV101 in Clinical Trials</t>
  </si>
  <si>
    <t>NCT05349214</t>
  </si>
  <si>
    <t>Three-arm Study to Assess Efficacy and Safety of Ianalumab (VAY736) in Patients With Active Sjogren's Syndrome</t>
  </si>
  <si>
    <t>NCT05403827</t>
  </si>
  <si>
    <t>A Study to Confirm the Efficacy and Safety of K-161 Ophthalmic Solution for Treatment of Moderate to Severe Dry Eye Disease</t>
  </si>
  <si>
    <t>NCT05332574</t>
  </si>
  <si>
    <t>A Safety, Tolerability, PK and Preliminary Activity Study of GB263T in Advanced NSCLC and Other Solid Tumor</t>
  </si>
  <si>
    <t>NCT05971862</t>
  </si>
  <si>
    <t>A Study to Evaluate the Safety, Tolerability, and Pharmacokinetics of SKI-G-801 in Patients With Advanced Solid Tumors</t>
  </si>
  <si>
    <t>NCT05298046</t>
  </si>
  <si>
    <t>Study of TAVO101 in Healthy Volunteers</t>
  </si>
  <si>
    <t>NCT05199090</t>
  </si>
  <si>
    <t>Study to Assess Safety, Tolerability and Efficacy of SC Administered MBL949 in Obese Participants With or Without T2DM</t>
  </si>
  <si>
    <t>NCT05407220</t>
  </si>
  <si>
    <t>A Study to Evaluate the Pharmacokinetics, Safety and Tolerability of HCP1904 in Healthy Male Volunteers.</t>
  </si>
  <si>
    <t>NCT05577468</t>
  </si>
  <si>
    <t>Efficacy and Safety of Tegoprazan Versus Esomeprazole-containing Bismuth Quadruple Therapy for Eradication of Helicobacter Pylori</t>
  </si>
  <si>
    <t>NCT05511779</t>
  </si>
  <si>
    <t>Study to Confirm of the Safety and Tolerability of Brincidofovir in Subjects With BK Virus Infection (Viremia) After Kidney Transplantation</t>
  </si>
  <si>
    <t>NCT05048342</t>
  </si>
  <si>
    <t>A Safety and Efficacy Study of Remibrutinib in the Treatment of CSU in Japanese Adults Inadequately Controlled by H1-antihistamines</t>
  </si>
  <si>
    <t>NCT05513742</t>
  </si>
  <si>
    <t>A Study of CTX-009 in Adult Patients With Metastatic Colorectal Cancer</t>
  </si>
  <si>
    <t>Compass Therapeutics</t>
  </si>
  <si>
    <t>NCT05426798</t>
  </si>
  <si>
    <t>Clinical Study of TQB2618 Injection in Combination With Demethylation Drugs in Patients With Recurrent/Refractory Acute Myeloid Leukemia, Myelodysplastic Syndromes</t>
  </si>
  <si>
    <t>NCT05438316</t>
  </si>
  <si>
    <t>Bioequivalence Study of Two Formulations of Tablets Ramipril 10 mg in Healthy Volunteers Under Fasting Conditions</t>
  </si>
  <si>
    <t>NCT05389449</t>
  </si>
  <si>
    <t>A Long-term Safety and Efficacy Study of Danicopan as an Add-on Therapy to Complement Component 5 Inhibitor (C5i) in Participants With PNH</t>
  </si>
  <si>
    <t>NCT05404542</t>
  </si>
  <si>
    <t>To Evaluate Pharmacokinetics (PK) and Safety of Tavapadon in Participants With Severe Renal Impairment Compared to Participants With Normal Renal Function</t>
  </si>
  <si>
    <t>NCT05604690</t>
  </si>
  <si>
    <t>Safety and Efficacy of Intranasal Administration of Avacc 10 Vaccine Against COVID-19 in Healthy Volunteers</t>
  </si>
  <si>
    <t>Intravacc B.V.</t>
  </si>
  <si>
    <t>NCT05299424</t>
  </si>
  <si>
    <t>A Study of CM336 in Patients With Relapsed or Refractory Multiple Myeloma</t>
  </si>
  <si>
    <t>NCT05327127</t>
  </si>
  <si>
    <t>Study to Evaluate the Efficacy and Safety of K-877-ER and CSG452 in Participants With NASH With Liver Fibrosis</t>
  </si>
  <si>
    <t>NCT05216250</t>
  </si>
  <si>
    <t>Study of BOTOX Injections to Assess Change in Disease Symptoms in Adult Participants With Upper Limb Essential Tremor</t>
  </si>
  <si>
    <t>NCT05579860</t>
  </si>
  <si>
    <t>A Study Comparing Two Subcutaneous Formulations: Vial and Autoinjector (AI) With Olezarsen, at Two Dose Levels, in Healthy Adult Participants</t>
  </si>
  <si>
    <t>NCT05255991</t>
  </si>
  <si>
    <t>Multinational Study of Efficacy and Safety of Inhaled Treprostinil in Subjects With Idiopathic Pulmonary Fibrosis</t>
  </si>
  <si>
    <t>NCT05234554</t>
  </si>
  <si>
    <t>The INVIGORATE 2 Trial: A Clinical Trial to Assess the Efficacy and Safety of Subjects With Seasonal Allergic Conjunctivitis</t>
  </si>
  <si>
    <t>NCT05228145</t>
  </si>
  <si>
    <t>Gene Therapy Study for Children With CLN5 Batten Disease</t>
  </si>
  <si>
    <t>NCT05312879</t>
  </si>
  <si>
    <t>Phase 2/3 Adaptive Study of VX-147 in Adult and Pediatric Participants With APOL1-Mediated Proteinuric Kidney Disease</t>
  </si>
  <si>
    <t>NCT05257031</t>
  </si>
  <si>
    <t>Efficacy and Safety of SmofKabiven Extra Nitrogen for Parenteral Nutrition in Patients Receiving Intensive Care</t>
  </si>
  <si>
    <t>Fresenius Kabi</t>
  </si>
  <si>
    <t>NCT04283227</t>
  </si>
  <si>
    <t>OTL-200 in Patients With Late Juvenile Metachromatic Leukodystrophy (MLD)</t>
  </si>
  <si>
    <t>Orchard Therapeutics</t>
  </si>
  <si>
    <t>NCT04984356</t>
  </si>
  <si>
    <t>A Phase 1 Study of of Anti-CD7 Allogeneic CAR-T Cell Therapy (WU-CART-007) in Patients With Relapsed or Refractory T-ALL/LBL</t>
  </si>
  <si>
    <t>Wugen, Inc.</t>
  </si>
  <si>
    <t>NCT05263479</t>
  </si>
  <si>
    <t>A Study of HS-20089 in Patients With Advanced Solid Tumors</t>
  </si>
  <si>
    <t>NCT04968379</t>
  </si>
  <si>
    <t>Safety, Tolerability, PK and PD of Intravenous Ferric Carboxymaltose in Infants With Iron Deficiency Anemia</t>
  </si>
  <si>
    <t>American Regent, Inc.</t>
  </si>
  <si>
    <t>NCT05607979</t>
  </si>
  <si>
    <t>Restoring Tissue and Evaluating Novel Treatments for Efficacy in Wounds</t>
  </si>
  <si>
    <t>Lavior Pharma Inc.</t>
  </si>
  <si>
    <t>NCT05144841</t>
  </si>
  <si>
    <t>A Study to Evaluate Zilovertamab Vedotin (MK-2140) for Relapsed or Refractory Diffuse Large B-Cell Lymphoma (DLBCL) (MK-2140-004)</t>
  </si>
  <si>
    <t>NCT05283486</t>
  </si>
  <si>
    <t>Evaluation of Efficacy, Tolerability, and Pharmacokinetics of MYMD1 for Chronic Inflammation and Sarcopenia/Frailty</t>
  </si>
  <si>
    <t>NCT05553366</t>
  </si>
  <si>
    <t>Evaluation of Efficacy and Safety of VX-548 for Acute Pain After a Bunionectomy</t>
  </si>
  <si>
    <t>NCT06954961</t>
  </si>
  <si>
    <t>A Study to Evaluate D-0502 in Subjects With ER+ Her2- Locally Advanced or Metastatic Breast Cancer</t>
  </si>
  <si>
    <t>NCT05009069</t>
  </si>
  <si>
    <t>A Study of Atezolizumab With or Without Tiragolumab Following Neoadjuvant Chemoradiotherapy in Participants With Locally Advanced Rectal Cancer</t>
  </si>
  <si>
    <t>NCT05338931</t>
  </si>
  <si>
    <t>Safety, Tolerability, and Efficacy of AT101 in Patients With Relapsed or Refractory B-cell Non-Hodgkin's Lymphoma</t>
  </si>
  <si>
    <t>AbClon</t>
  </si>
  <si>
    <t>NCT05029856</t>
  </si>
  <si>
    <t>Evaluation of the Safety and Immunogenicity of SII Vaccine Constructs Based on the SARS-CoV-2 (COVID-19) Variant in Adults</t>
  </si>
  <si>
    <t>NCT05177042</t>
  </si>
  <si>
    <t>Trial of ARV-110 and Abiraterone in Participants With Metastatic Prostate Cancer</t>
  </si>
  <si>
    <t>Arvinas Androgen Receptor, Inc.</t>
  </si>
  <si>
    <t>NCT05413161</t>
  </si>
  <si>
    <t>To Compare the PK, PD, Safety &amp; Immunogenicity of ADL-018 in Healthy Subjects</t>
  </si>
  <si>
    <t>NCT05277454</t>
  </si>
  <si>
    <t>Clinical Study of HMPL-653 in Treatment of Advanced Malignant Solid Tumors and TGCT</t>
  </si>
  <si>
    <t>NCT05587998</t>
  </si>
  <si>
    <t>A Study to Assess the Effect of AZD4041 on Respiratory Drive in Recreational Opioid Users.</t>
  </si>
  <si>
    <t>NCT05372107</t>
  </si>
  <si>
    <t>A Study of AG-80308 in Dry Eye Patients</t>
  </si>
  <si>
    <t>Allgenesis Biotherapeutics Inc.</t>
  </si>
  <si>
    <t>NCT05688098</t>
  </si>
  <si>
    <t>Pharmacokinetics of Irbesartan/Amlodipine High FDC and Co-administration of Irbesartan and Amlodipine High in Healthy Volunteers</t>
  </si>
  <si>
    <t>NCT05476887</t>
  </si>
  <si>
    <t>To Evaluate the Safety, Tolerability, Pharmacokinetics, Pharmacodynamics, and Efficacy of KP104</t>
  </si>
  <si>
    <t>NCT05517616</t>
  </si>
  <si>
    <t>The Absorption, Metabolism and Excretion of [14C]APG-2575 in Healthy Subjects</t>
  </si>
  <si>
    <t>NCT05644665</t>
  </si>
  <si>
    <t>A Study to Evaluate Efficacy and Long-term Safety of Oral Ozanimod in Chinese Participants With Moderately to Severely Active Ulcerative Colitis (UC)</t>
  </si>
  <si>
    <t>NCT05297565</t>
  </si>
  <si>
    <t>A Study to Compare Nivolumab Administered Subcutaneously vs Intravenous in Melanoma Participants Following Complete Resection</t>
  </si>
  <si>
    <t>NCT05296044</t>
  </si>
  <si>
    <t>To Evaluate the Efficacy and Safety of JT-003 add-on in Patients With Type 2 Diabetes Mellitus Inadequately Controlled With Metformin and Dapagliflozin</t>
  </si>
  <si>
    <t>NCT05246033</t>
  </si>
  <si>
    <t>A Dose Escalation Trial Evaluating Safety, Efficacy, and Pharmacokinetics of Multiple Subcutaneous Doses of TransCon CNP Administered Once Weekly in Children With Achondroplasia</t>
  </si>
  <si>
    <t>NCT05169567</t>
  </si>
  <si>
    <t>Abemaciclib (LY2835219) Plus Fulvestrant Compared to Placebo Plus Fulvestrant in Previously Treated Breast Cancer</t>
  </si>
  <si>
    <t>NCT05320809</t>
  </si>
  <si>
    <t>Study of 3D189 in Patients With Hematologic Malignancies</t>
  </si>
  <si>
    <t>NCT05483998</t>
  </si>
  <si>
    <t>A Study to Evaluate Single and Multiple Doses of TLC-2716 in Healthy Participants</t>
  </si>
  <si>
    <t>OrsoBio, Inc</t>
  </si>
  <si>
    <t>NCT05551221</t>
  </si>
  <si>
    <t>The Efficacy and Safety of Silodosin Singly or Combined With Ningmitai Capsules in the Treatment of Benign Prostatic Hyperplasia</t>
  </si>
  <si>
    <t>Xintian Pharmaceutical</t>
  </si>
  <si>
    <t>NCT05416021</t>
  </si>
  <si>
    <t>Relative Bioavailability Trial of Dapivirine Ring-004 and Ring-008</t>
  </si>
  <si>
    <t>NCT05099536</t>
  </si>
  <si>
    <t>3D011-08 Monotherapy in Subjects With Advanced Solid Tumors</t>
  </si>
  <si>
    <t>3D Medicines (Beijing) Co., Ltd.</t>
  </si>
  <si>
    <t>NCT05584332</t>
  </si>
  <si>
    <t>A Phase Ⅲ Study to Evaluate the Efficacy, Immunogenicity, Safety of Quadrivalent HPV Recombinant Vaccine in Chinese Healthy Females</t>
  </si>
  <si>
    <t>NCT05890521</t>
  </si>
  <si>
    <t>Safety Study of COVID19 Vaccine on the Market</t>
  </si>
  <si>
    <t>NCT05367973</t>
  </si>
  <si>
    <t>Study of DARE-HRT1 Over 12 Weeks in Healthy PostMenopausal Women</t>
  </si>
  <si>
    <t>NCT05409183</t>
  </si>
  <si>
    <t>Effectiveness of CRD-740 in Heart Failure</t>
  </si>
  <si>
    <t>NCT05089656</t>
  </si>
  <si>
    <t>Efficacy and Safety of Intrathecal OAV101 (AVXS-101) in Pediatric Patients With Type 2 Spinal Muscular Atrophy (SMA)</t>
  </si>
  <si>
    <t>NCT06205329</t>
  </si>
  <si>
    <t>Study of WPV01 in Healthy Subjects</t>
  </si>
  <si>
    <t>Westlake Pharmaceuticals (Hangzhou) Co., Ltd.</t>
  </si>
  <si>
    <t>NCT05205161</t>
  </si>
  <si>
    <t>A Phase I/II Study of AZD0466 as Monotherapy or in Combination With Anticancer Agents in Advanced Non-Hodgkin Lymphoma</t>
  </si>
  <si>
    <t>NCT05521802</t>
  </si>
  <si>
    <t>A Study of C-CAR088 in Patients With Relapsed or Refractory Multiple Myeloma</t>
  </si>
  <si>
    <t>NCT05354102</t>
  </si>
  <si>
    <t>A First-in-human (FIH) Combination Treatment Study With a Single Dose Level of BMC128</t>
  </si>
  <si>
    <t>Biomica Ltd.</t>
  </si>
  <si>
    <t>NCT05441501</t>
  </si>
  <si>
    <t>A Study of JNJ-80038114 in Participants With Advanced Stage Prostate Cancer</t>
  </si>
  <si>
    <t>NCT05561673</t>
  </si>
  <si>
    <t>A Study on the Safety and Immune Response of AS37 Together With Hepatitis B Antigen in Adults Aged 18-45 Years</t>
  </si>
  <si>
    <t>NCT05417269</t>
  </si>
  <si>
    <t>IMCY-0141 Safety and Efficacy in Multiple Sclerosis - ISEMIS Study</t>
  </si>
  <si>
    <t>NCT06008483</t>
  </si>
  <si>
    <t>A Dose Finding Study to Treat Bone Tumor(s)</t>
  </si>
  <si>
    <t>QSAM Therapeutics, Inc.</t>
  </si>
  <si>
    <t>NCT05309629</t>
  </si>
  <si>
    <t>Safety and Efficacy Study of First-line Treatment With QL1706 Plus Chemotherapy in Extensive-Stage Small Cell Lung Cancer</t>
  </si>
  <si>
    <t>NCT05224856</t>
  </si>
  <si>
    <t>To Evaluate the Safety and Efficacy of Inhaled CT-P63 and CT-P66 Combination Therapy in Symptomatic Patients With COVID-19 Not Requiring Supplemental Oxygen</t>
  </si>
  <si>
    <t>NCT05454956</t>
  </si>
  <si>
    <t>Pilot Study Comparing the Safety and Efficacy of Two Dosing Regimens of TP-03 for the Treatment of MGD</t>
  </si>
  <si>
    <t>NCT05578872</t>
  </si>
  <si>
    <t>A Study of ANV419 Alone or in Combination With Approved Treatment in Patients With Cutaneous Melanoma (OMNIA-1).</t>
  </si>
  <si>
    <t>NCT05432141</t>
  </si>
  <si>
    <t>A Safety Study of Sabin Inactivated Poliovirus Vaccine in Infants</t>
  </si>
  <si>
    <t>NCT05600322</t>
  </si>
  <si>
    <t>Comparative Study of Hexvix Blue Light Cystoscopy and White Light Cystoscopy in the Detection of Bladder Cancer</t>
  </si>
  <si>
    <t>Photocure</t>
  </si>
  <si>
    <t>NCT05450705</t>
  </si>
  <si>
    <t>V503 in Chinese Girls 9-14 Years Old Versus Chinese Women 20-26 Years Old (V503-071)</t>
  </si>
  <si>
    <t>NCT05562934</t>
  </si>
  <si>
    <t>An Efficacy, Safety, Tolerability and Dose Finding Study of XXB750 in Resistant Hypertension Patients.</t>
  </si>
  <si>
    <t>NCT05889299</t>
  </si>
  <si>
    <t>Study of the Safety and Efficacy of OMS906 in Patients With Paroxysmal Nocturnal Hemoglobinuria</t>
  </si>
  <si>
    <t>Omeros Corporation</t>
  </si>
  <si>
    <t>NCT05751798</t>
  </si>
  <si>
    <t>Dose-finding and Dose Expansion Study of OSE-279 in Subjects With Advanced Solid Tumors or Lymphomas</t>
  </si>
  <si>
    <t>NCT05432167</t>
  </si>
  <si>
    <t>A Study to Evaluate CIN-107 for the Treatment of Patients With Uncontrolled Hypertension and Chronic Kidney Disease</t>
  </si>
  <si>
    <t>NCT05502367</t>
  </si>
  <si>
    <t>A Study of ABI-2280 Vaginal Insert (Previously Referred to as ABI-2280 Vaginal Tablet) in Participants With Cervical Intraepithelial Neoplasia</t>
  </si>
  <si>
    <t>Antiva Biosciences</t>
  </si>
  <si>
    <t>NCT05683600</t>
  </si>
  <si>
    <t>Efficacy and Safety of COVID-19 Vaccine as Booster Vaccination in Adults 18 Years of Age or Older</t>
  </si>
  <si>
    <t>NCT05208944</t>
  </si>
  <si>
    <t>THIO Sequenced With Cemiplimab in Advanced NSCLC</t>
  </si>
  <si>
    <t>Maia Biotechnology</t>
  </si>
  <si>
    <t>NCT05267899</t>
  </si>
  <si>
    <t>A Phase I First in Human Study to Evaluate the Safety, Tolerability, and Pharmacokinetics of WGI-0301 in Patients With Advanced Solid Tumors</t>
  </si>
  <si>
    <t>Zhejiang Haichang Biotech Co., Ltd.</t>
  </si>
  <si>
    <t>NCT05543707</t>
  </si>
  <si>
    <t>PBI-0451 (Pomotrelvir) Phase 2 Study in Nonhospitalized Symptomatic Adults With COVID-19</t>
  </si>
  <si>
    <t>NCT05497336</t>
  </si>
  <si>
    <t>A Study of IBI351 in Combination With Cetuximab in Subjects With KRAS G12C Mutated Metastatic Colorectal Cancer</t>
  </si>
  <si>
    <t>NCT05984134</t>
  </si>
  <si>
    <t>Efficacy and Safety Study of Thymosin Beta 4 in Patients With Acute Myocardial Infarction</t>
  </si>
  <si>
    <t>NCT05587309</t>
  </si>
  <si>
    <t>A Study to Evaluate the Efficacy and Safety of BLI5100 in Patients With Erosive Esophagitis</t>
  </si>
  <si>
    <t>NCT05179239</t>
  </si>
  <si>
    <t>A Study of SHR-1701 Plus Platinum-containing Chemotherapy With or Without BP102 (Bevacizumab) as First-line Treatment in Cervical Cancer</t>
  </si>
  <si>
    <t>NCT05455502</t>
  </si>
  <si>
    <t>A Study to Evaluate the Relative Bioavailability and Food Effect of a New Tablet Formulation of VX-548</t>
  </si>
  <si>
    <t>NCT05554575</t>
  </si>
  <si>
    <t>Chimeric Antigen Receptor T-Cell (CAR-T) Cells in Patients With R/R T-LBL</t>
  </si>
  <si>
    <t>Bioceltech Therapeutics, Ltd.</t>
  </si>
  <si>
    <t>NCT05387707</t>
  </si>
  <si>
    <t>Study to Evaluate the Efficacy and Safety of Oral Difelikefalin as Adjunct Therapy to a Topical Corticosteroid for Moderate to Severe Pruritus in Subjects With Atopic Dermatitis</t>
  </si>
  <si>
    <t>NCT05098028</t>
  </si>
  <si>
    <t>Pharmacokinetics and Pharmacodynamics of Rifaximin Novel Formulations in Patients With Sickle Cell Disease</t>
  </si>
  <si>
    <t>NCT05423522</t>
  </si>
  <si>
    <t>Clinical Safety and Efficacy Evaluation of NanoLithium® NP03 in Patients With Mild-to-severe Alzheimer's Disease</t>
  </si>
  <si>
    <t>NCT05234853</t>
  </si>
  <si>
    <t>Safety of PUR001 Monotherapy in Patients With Advanced Solid Tumors</t>
  </si>
  <si>
    <t>Purinomia Biotech, Inc.</t>
  </si>
  <si>
    <t>NCT05511922</t>
  </si>
  <si>
    <t>PK Subtrial in Adolescent Patients With HAE Type I or II Participating in the KVD900-302 Trial</t>
  </si>
  <si>
    <t>NCT05249777</t>
  </si>
  <si>
    <t>A Phase III, Randomised, Double-blind, Placebo-controlled Study to Evaluate the Safety and Efficacy of TD0069 Capsule for Patients With Mild to Moderate COVID-19</t>
  </si>
  <si>
    <t>NCT05173012</t>
  </si>
  <si>
    <t>Study to Evaluate SAGE-324 in Participants With Essential Tremor</t>
  </si>
  <si>
    <t>NCT05467475</t>
  </si>
  <si>
    <t>A Study in Healthy Men to Test How Esomeprazole Influences the Amount of BI 1819479 in the Blood</t>
  </si>
  <si>
    <t>NCT05400265</t>
  </si>
  <si>
    <t>Evaluate the Safety, Tolerability, Pharmacokinetic Characteristics and Preliminary Efficacy of HLX26 and HLX10 in Patients With Advanced/Metastatic Solid Tumor</t>
  </si>
  <si>
    <t>NCT04542434</t>
  </si>
  <si>
    <t>Niclosamide in COVID-19</t>
  </si>
  <si>
    <t>NCT05527834</t>
  </si>
  <si>
    <t>Food Effect on Ceftibuten/VNRX-7145 in Healthy Participants</t>
  </si>
  <si>
    <t>NCT05397041</t>
  </si>
  <si>
    <t>A 3-Part Study to Evaluate the Safety, Tolerability, PK, and Food Effect of BMB-101 in Healthy Volunteers</t>
  </si>
  <si>
    <t>Bright Minds Biosciences Pty Ltd</t>
  </si>
  <si>
    <t>NCT05537142</t>
  </si>
  <si>
    <t>A Study to Assess the Phamacokinetics of BV100 in Participants with Varying Degrees of Hepatic Impairment</t>
  </si>
  <si>
    <t>NCT05225805</t>
  </si>
  <si>
    <t>Study to Assess the Safety and PK of Oral and IV Xenleta in Adults With Cystic Fibrosis</t>
  </si>
  <si>
    <t>Nabriva Therapeutics AG</t>
  </si>
  <si>
    <t>NCT05027802</t>
  </si>
  <si>
    <t>A Rollover Study to Further Evaluate the Safety and Efficacy of Palovarotene Capsules in Male and Female Participants Aged ≥14 Years With Fibrodysplasia Ossificans Progressiva (FOP) Who Have Completed the Relevant Parent Studies.</t>
  </si>
  <si>
    <t>NCT05576272</t>
  </si>
  <si>
    <t>A Phase II/III Trial to Evaluate the Efficacy and Safety of QL1706 in Patients With Nasopharyngeal Carcinoma</t>
  </si>
  <si>
    <t>NCT05444257</t>
  </si>
  <si>
    <t>A Study Evaluating the Long-term Safety and Efficacy of VX-121 Combination Therapy</t>
  </si>
  <si>
    <t>NCT05250856</t>
  </si>
  <si>
    <t>CNP-201 in Subjects With Peanut Allergy</t>
  </si>
  <si>
    <t>NCT05550636</t>
  </si>
  <si>
    <t>A Study in Healthy Men to Test Whether BI 1015550 Influences the Amount of Midazolam in the Blood</t>
  </si>
  <si>
    <t>NCT05061771</t>
  </si>
  <si>
    <t>Nomacopan Therapy in Adult Patients With Bullous Pemphigoid Receiving Adjunct Oral Corticosteroid Therapy (ARREST-BP)</t>
  </si>
  <si>
    <t>NCT05445167</t>
  </si>
  <si>
    <t>A Clinical Study of KLH-2109 in Uterine Fibroids Patient With Menorrhagia and Pain</t>
  </si>
  <si>
    <t>NCT05227001</t>
  </si>
  <si>
    <t>A Study To Learn About The Study Vaccine (Called Self-Amplifying Ribonucleic Acid (RNA)) For The Prevention of Influenza</t>
  </si>
  <si>
    <t>NCT06313983</t>
  </si>
  <si>
    <t>A Phase Ⅲ Study of Hemay022 in Combination With AI In Advanced Breast Cancer</t>
  </si>
  <si>
    <t>NCT05147402</t>
  </si>
  <si>
    <t>Food Effects on Bioavailability of MDMA in Healthy Volunteers</t>
  </si>
  <si>
    <t>NCT05279859</t>
  </si>
  <si>
    <t>A Study of Anti-Cancer Therapies Targeting the MAPK Pathway in Patients With Hematologic Malignancies</t>
  </si>
  <si>
    <t>NCT05436288</t>
  </si>
  <si>
    <t>A Study of the KIO-201 (Ocular Bandage Gel) for Improving Persistent Corneal Epithelial Defects</t>
  </si>
  <si>
    <t>Kiora Pharmaceuticals, Inc.</t>
  </si>
  <si>
    <t>NCT05457842</t>
  </si>
  <si>
    <t>A Study to Find the Best Dose of ASP5354 to Show Lymph Nodes in People With Breast Cancer or Melanoma During Surgery</t>
  </si>
  <si>
    <t>NCT05083260</t>
  </si>
  <si>
    <t>NE3107 Activity and Safety in Patients With Parkinson's Disease Using Levodopa</t>
  </si>
  <si>
    <t>NCT05288179</t>
  </si>
  <si>
    <t>Efficacy and Safety of Pirfenidone Capsules in the Treatment of Pneumoconiosis</t>
  </si>
  <si>
    <t>NCT05218070</t>
  </si>
  <si>
    <t>Safety and Immunogenicity Study of EgyVax Vaccine Candidate for Prophylaxis of COVID-19 Infection</t>
  </si>
  <si>
    <t>NCT05224505</t>
  </si>
  <si>
    <t>ATA-100 (Formerly GNT0006) Gene Therapy Trial in Patients With LGMDR9</t>
  </si>
  <si>
    <t>Atamyo Therapeutics</t>
  </si>
  <si>
    <t>NCT06213727</t>
  </si>
  <si>
    <t>ZKY001 Eye Drops in the Treatment of Corneal Epithelial Defects in a Phase Ⅱ Clinical Trial</t>
  </si>
  <si>
    <t>NCT05130970</t>
  </si>
  <si>
    <t>Garadacimab Safety, Pharmacokinetics, and Pharmacodynamics in Idiopathic Pulmonary Fibrosis</t>
  </si>
  <si>
    <t>NCT05224141</t>
  </si>
  <si>
    <t>Pembrolizumab/Vibostolimab (MK-7684A) or Atezolizumab in Combination With Chemotherapy in First Line Treatment of Extensive-Stage Small Cell Lung Cancer (MK-7684A-008/KEYVIBE-008)</t>
  </si>
  <si>
    <t>NCT05245396</t>
  </si>
  <si>
    <t>Study Comparing Pharmacokinetics of Different Formulations of Evobrutinib in Healthy Participants</t>
  </si>
  <si>
    <t>NCT05002127</t>
  </si>
  <si>
    <t>A Study of Evorpacept (ALX148) in Patients With Advanced HER2+ Gastric Cancer (ASPEN-06)</t>
  </si>
  <si>
    <t>NCT05494762</t>
  </si>
  <si>
    <t>Safety, Pharmacokinetics, and Antitumor Activity of BGB-B167 Alone and in Combination With Tislelizumab (BGB-A317) in Participants With Advanced Solid Tumors</t>
  </si>
  <si>
    <t>NCT05188261</t>
  </si>
  <si>
    <t>A Study of Single Ascending Doses of IW-3300 in Healthy Volunteers</t>
  </si>
  <si>
    <t>NCT05263986</t>
  </si>
  <si>
    <t>The Clinical Trial to Evaluate the Pharmacokinetics and Safety of MRTX849 in Patients With Advanced Solid Tumors</t>
  </si>
  <si>
    <t>NCT05593562</t>
  </si>
  <si>
    <t>Study on Human Mass Balance of SPH3127 Tablets</t>
  </si>
  <si>
    <t>NCT05360446</t>
  </si>
  <si>
    <t>Coronary Computed Tomography Study to Assess the Effect of Inclisiran in Addition to Maximally Tolerated Statin Therapy on Atherosclerotic Plaque Progression in Participants With a Diagnosis of Non-obstructive Coronary Artery Disease Without Previous Cardiovascular Events</t>
  </si>
  <si>
    <t>NCT05773703</t>
  </si>
  <si>
    <t>Exploratory PK and Imaging Study of PSMA-Targeted Trillium Compounds and PTI-122 in Metastatic Prostate Cancer</t>
  </si>
  <si>
    <t>Ratio Therapeutics, Inc.</t>
  </si>
  <si>
    <t>NCT06655311</t>
  </si>
  <si>
    <t>A Study of Enlicitide Chloride (MK-0616) in Healthy Participants and Participants Taking Statins (MK-0616-012)</t>
  </si>
  <si>
    <t>NCT05164614</t>
  </si>
  <si>
    <t>Study Evaluating PK of PTH Administered Orally Via RaniPill™ Capsule</t>
  </si>
  <si>
    <t>RANI Therapeutics</t>
  </si>
  <si>
    <t>NCT05362409</t>
  </si>
  <si>
    <t>Study to Evaluate 5-ALA Combined With CV01 Delivery of Ultrasound in Recurrent High Grade Glioma</t>
  </si>
  <si>
    <t>Alpheus Medical, Inc.</t>
  </si>
  <si>
    <t>NCT06039163</t>
  </si>
  <si>
    <t>A Study to Assess the Safety, Tolerability and Preliminary Efficacy of HH-120 for the Treatment of COVID-19</t>
  </si>
  <si>
    <t>NCT05435339</t>
  </si>
  <si>
    <t>A Study to Evaluate Safety, Tolerability, and Preliminary Effect of the GEN1053 Antibody on Malignant Solid Tumors as Monotherapy</t>
  </si>
  <si>
    <t>NCT05698212</t>
  </si>
  <si>
    <t>Proof of Concept Study to Eval MetriDx Lab-developed Test to Identify Endometriosis-specific Bio Markers</t>
  </si>
  <si>
    <t>Hera Biotech, Inc.</t>
  </si>
  <si>
    <t>NCT05636319</t>
  </si>
  <si>
    <t>A Study to Evaluate the Efficacy, Safety, and Immunogenicity of SARS-CoV-2 Variant (BA.4 /5) mRNA Vaccine</t>
  </si>
  <si>
    <t>NCT05337592</t>
  </si>
  <si>
    <t>A Study in Healthy Men to Test How Different Doses of BI 1815368 Are Tolerated and How BI 1815368 is Taken up in the Body With or Without Food</t>
  </si>
  <si>
    <t>NCT05225584</t>
  </si>
  <si>
    <t>Safety, PK, PD, Clinical Activity of KT-333 in Adult Patients With Refractory Lymphoma, Large Granular Lymphocytic Leukemia, Solid Tumors</t>
  </si>
  <si>
    <t>NCT05460767</t>
  </si>
  <si>
    <t>Safety, Tolerability and Preliminary Efficacy of IBI363 in Subjects With Advanced Solid Tumors or Lymphoma</t>
  </si>
  <si>
    <t>NCT05664932</t>
  </si>
  <si>
    <t>Immunogenicity and Safety of COVID-19 Vaccine as a Booster Vaccination in Population Aged 18 Years and Above</t>
  </si>
  <si>
    <t>NCT05339633</t>
  </si>
  <si>
    <t>Study in Healthy Adult Female Subjects</t>
  </si>
  <si>
    <t>NCT05275400</t>
  </si>
  <si>
    <t>A Study of Insulin Efsitora Alfa (LY3209590) Compared With Insulin Degludec in Participants With Type 2 Diabetes Currently Treated With Basal Insulin</t>
  </si>
  <si>
    <t>NCT05149807</t>
  </si>
  <si>
    <t>Clinical Study of SHR-1701 Plus Chemotherapy as Perioperative Treatment in Subjects With Gastric Cancer</t>
  </si>
  <si>
    <t>NCT05147233</t>
  </si>
  <si>
    <t>A Phase 3 Study Evaluating the Efficacy and Safety of OCS-01 Eyedrops Compared to Vehicle for the Treatment of Ocular Inflammation and Pain Following Cataract Surgery</t>
  </si>
  <si>
    <t>NCT05171049</t>
  </si>
  <si>
    <t>A Study Comparing Abelacimab to Apixaban in the Treatment of Cancer-associated VTE</t>
  </si>
  <si>
    <t>NCT05117138</t>
  </si>
  <si>
    <t>Safety and Efficacy of Chimeric Antigen Receptor T Lymphocytes for Patients With Intermediate and Advanced Tumors</t>
  </si>
  <si>
    <t>NCT05453539</t>
  </si>
  <si>
    <t>Proof-of-concept Study of New Imaging Diagnostic in Patients With Suspected Alzheimer's Disease</t>
  </si>
  <si>
    <t>Alzeca Biosciences, Inc.</t>
  </si>
  <si>
    <t>NCT04196257</t>
  </si>
  <si>
    <t>BP1001-A in Patients With Advanced or Recurrent Solid Tumors</t>
  </si>
  <si>
    <t>NCT05186051</t>
  </si>
  <si>
    <t>A Clinical Study to Evaluate the Safety, Tolerability, Pharmacokinetics and Pharmacodynamics of ZYIL1 in Subjects With Cryopyrin Associated Periodic Syndromes (CAPS)</t>
  </si>
  <si>
    <t>NCT05468645</t>
  </si>
  <si>
    <t>In Vivo Mass Balance Study of [14C]Hemay005</t>
  </si>
  <si>
    <t>NCT05233436</t>
  </si>
  <si>
    <t>PF-07265028 As Single Agent And In Combination With Sasanlimab in Advanced or Metastatic Solid Tumors</t>
  </si>
  <si>
    <t>NCT05092503</t>
  </si>
  <si>
    <t>JINZHEN for Treatment of Mild to Moderate COVID-19</t>
  </si>
  <si>
    <t>Lianyungang Kanion Group, Ltd.</t>
  </si>
  <si>
    <t>NCT05545111</t>
  </si>
  <si>
    <t>Efficacy, Safety, Tolerability, and Pharmacokinetics of NBI-1117568 in Adults With Schizophrenia</t>
  </si>
  <si>
    <t>NCT05392127</t>
  </si>
  <si>
    <t>A Pharmacokinetic Study to Evaluate the Drug Interaction Between SHR0302 and CYP Substrates in Healthy Volunteers</t>
  </si>
  <si>
    <t>NCT05136170</t>
  </si>
  <si>
    <t>Study to Evaluate Safety and Efficacy of Cenegermin (Oxervate®) vs Vehicle in Severe Sjogren's Dry Eye Disease</t>
  </si>
  <si>
    <t>NCT05475483</t>
  </si>
  <si>
    <t>Efficacy and Safety on SOM3355 in Huntington's Disease Chorea</t>
  </si>
  <si>
    <t>SOM Innovation Biotech SA</t>
  </si>
  <si>
    <t>NCT05440045</t>
  </si>
  <si>
    <t>A Clinical Study of 6MW3211 in Patients With Renal Cancer</t>
  </si>
  <si>
    <t>NCT05325775</t>
  </si>
  <si>
    <t>Dose-ranging, PK, Safety, Efficacy Study of Osanetant in Patients With Moderate/Severe VMS Associated With Menopause</t>
  </si>
  <si>
    <t>NCT05293665</t>
  </si>
  <si>
    <t>Platform Trial to Compare Homologous Boost of Authorized COVID-19 Vaccines and Heterologous Boost With UB-612 Vaccine</t>
  </si>
  <si>
    <t>NCT05345171</t>
  </si>
  <si>
    <t>Clinical Study of DTX301 AAV-Mediated Gene Transfer for Ornithine Transcarbamylase (OTC) Deficiency</t>
  </si>
  <si>
    <t>NCT05445934</t>
  </si>
  <si>
    <t>Evaluate the Efficacy and Safety of FB2001 in Hospitalized Patients With Moderate to Severe COVID-19 (BRIGHT Study)</t>
  </si>
  <si>
    <t>NCT05577312</t>
  </si>
  <si>
    <t>Safety and Efficacy Evaluation of BRL-101 in Subjects With Transfusion-Dependent β-Thalassemia</t>
  </si>
  <si>
    <t>NCT05026632</t>
  </si>
  <si>
    <t>NPI-002 Intravitreal Implant for the Delay of Cataract Progression</t>
  </si>
  <si>
    <t>NCT04199572</t>
  </si>
  <si>
    <t>Synergistic Effect Of Parenteral Diclofenac And Paracetamol In The Pain Management Of Acute Limb Injuries</t>
  </si>
  <si>
    <t>NCT05369312</t>
  </si>
  <si>
    <t>Phase 1 Study of BPI-442096 in Advanced Solid Tumor Patients</t>
  </si>
  <si>
    <t>NCT05395260</t>
  </si>
  <si>
    <t>FL- 101 Study in Non-Metastatic MIBC</t>
  </si>
  <si>
    <t>NCT05622162</t>
  </si>
  <si>
    <t>Prospective Comparative Study for Patients With Biochemical Recurrence Prostate Cancer Detecting by 18F-JK-PSMA-7</t>
  </si>
  <si>
    <t>ITEL Telecomunicazioni Srl</t>
  </si>
  <si>
    <t>NCT05369286</t>
  </si>
  <si>
    <t>A Study to Evaluate the Safety and Efficacy of Max-40279 and Toripalimab in Patients With Advanced Solid Tumors</t>
  </si>
  <si>
    <t>NCT05567159</t>
  </si>
  <si>
    <t>A Study of Donanemab (LY3002813) in Healthy Participants</t>
  </si>
  <si>
    <t>NCT05607680</t>
  </si>
  <si>
    <t>A Study of IBI362 in Participants With Obesity or Overweight</t>
  </si>
  <si>
    <t>NCT05202262</t>
  </si>
  <si>
    <t>A 24-Week Efficacy and Safety Study to Assess Budesonide and Formoterol Fumarate Metered Dose Inhaler in Adult and Adolescent Participants With Inadequately Controlled Asthma (VATHOS)</t>
  </si>
  <si>
    <t>NCT05463770</t>
  </si>
  <si>
    <t>A Clinical Study That Will Assess the Effect of SEP-363856 and Prior Antipsychotic (PA) Standard of Care on Glucose and Regulation of Insulin in Patients With Schizophrenia</t>
  </si>
  <si>
    <t>NCT05465668</t>
  </si>
  <si>
    <t>Clinical Trial to Compare and Evaluate the Safety and Pharmacokinetic Characteristics of DWP16001 Drug A and C</t>
  </si>
  <si>
    <t>NCT05418582</t>
  </si>
  <si>
    <t>Drug-drug Interactions Between DZD9008 and Itraconazole/Carbamazepine</t>
  </si>
  <si>
    <t>NCT05354362</t>
  </si>
  <si>
    <t>A Study of ATG-010 in Combination With ATG-008 in Patients With Relapsed/Refractory Diffuse Large B-cell Lymphoma</t>
  </si>
  <si>
    <t>NCT05487391</t>
  </si>
  <si>
    <t>A Study of QL1706 Combined With Platinum-containing Chemotherapy in Adjuvant Treatment of Stage II-IIIB Non-small Cell Lung Cancer After Complete Surgical Resection.</t>
  </si>
  <si>
    <t>NCT04779320</t>
  </si>
  <si>
    <t>A Study of Vedolizumab in Children and Teenagers With Moderate to Severe Crohn's Disease (CD)</t>
  </si>
  <si>
    <t>NCT05275023</t>
  </si>
  <si>
    <t>An Efficacy and Safety Study of a Combination of JNJ-73763989, Nucleos(t)Ide Analogs (NA), and a Programmed Cell Death Protein Receptor-1 (PD-1) Inhibitor in Chronic Hepatitis B Participants</t>
  </si>
  <si>
    <t>NCT05542862</t>
  </si>
  <si>
    <t>Booster Study of SpikoGen COVID-19 Vaccine</t>
  </si>
  <si>
    <t>NCT05440786</t>
  </si>
  <si>
    <t>CAMPFIRE: A Study of Abemaciclib (LY2835219) in Participants With Ewing's Sarcoma</t>
  </si>
  <si>
    <t>NCT04969861</t>
  </si>
  <si>
    <t>BEMPEG With Pembrolizumab vs Pembrolizumab Alone in Patients With Metastatic or Recurrent HNSCC (PROPEL-36)</t>
  </si>
  <si>
    <t>NCT05633420</t>
  </si>
  <si>
    <t>Pilot Clinical Trial to Explore Efficacy and Safety of Pyramax in Mild to Moderate COVID-19 Patients</t>
  </si>
  <si>
    <t>NCT05303376</t>
  </si>
  <si>
    <t>Phase 1&amp;2 Study to Evaluate the Safety &amp; Efficacy of Inhaled IBIO123 in Severe COVID-19 Illness</t>
  </si>
  <si>
    <t>NCT05686928</t>
  </si>
  <si>
    <t>Healing Ointment Usage Post-surgical Procedure</t>
  </si>
  <si>
    <t>NCT05393271</t>
  </si>
  <si>
    <t>First-Time-in-Human (FTIH) Study to Evaluate the Safety, Tolerability and Pharmacokinetics (PK) of VH4011499 in Healthy Participants</t>
  </si>
  <si>
    <t>NCT05824871</t>
  </si>
  <si>
    <t>A Phase III Study of Oral Sudapyridine (WX-081) Tablets in Rifampicin-Resistant Pulmonary Tuberculosis Patients</t>
  </si>
  <si>
    <t>NCT05298332</t>
  </si>
  <si>
    <t>Ethnobridging Study in Healthy Volunteers, Chinese and Japanese Subjects</t>
  </si>
  <si>
    <t>NCT05494736</t>
  </si>
  <si>
    <t>MK-8527 Single-Dose Trial in HIV-1 Infected Participants (MK-8527-004)</t>
  </si>
  <si>
    <t>NCT05292911</t>
  </si>
  <si>
    <t>Extension of ALT-801 in Diabetic and Non-Diabetic Overweight and Obese Subjects With (NAFLD)</t>
  </si>
  <si>
    <t>NCT05251714</t>
  </si>
  <si>
    <t>CFI-402257, a Potent and Selective TTK Inhibitor, in Solid Tumors and With Fulvestrant in Breast Cancer</t>
  </si>
  <si>
    <t>NCT05354349</t>
  </si>
  <si>
    <t>Bioavailability of SC Formulation and Japanese Ethnobridging Study for PRA023</t>
  </si>
  <si>
    <t>NCT05319028</t>
  </si>
  <si>
    <t>Study of Mivavotinib (CB-659) in Relapsed/Refractory Diffuse Large B-Cell Lymphoma (DLBCL)</t>
  </si>
  <si>
    <t>NCT05883306</t>
  </si>
  <si>
    <t>Mass Balance and Biotransformation Study of [14C]LXI-15028 in Humans</t>
  </si>
  <si>
    <t>NCT05119998</t>
  </si>
  <si>
    <t>A Phase I Study of IBI325 in Patients With Advanced Solid Tumor</t>
  </si>
  <si>
    <t>NCT05510063</t>
  </si>
  <si>
    <t>Pharmacokinetics, Efficacy, Safety, and Immunogenicity of SB5 Versus Humira in Subjects With Moderate to Severe Chronic Plaque Psoriasis</t>
  </si>
  <si>
    <t>NCT05497284</t>
  </si>
  <si>
    <t>To Assess the Efficacy of the Investigational Products Compared to Placebo in Participants With IPF</t>
  </si>
  <si>
    <t>NCT05260658</t>
  </si>
  <si>
    <t>Safety and Tolerability of CFTX-1554 in Healthy Subjects</t>
  </si>
  <si>
    <t>Confo Therapeutics</t>
  </si>
  <si>
    <t>NCT05070455</t>
  </si>
  <si>
    <t>An Open Label, Multicenter Study to Evaluate the Pharmacokinetics, Efficacy and Safety of ASCENIV™ (IGIV) in Pediatric Subjects With Primary Immunodeficiency Diseases (PIDD)</t>
  </si>
  <si>
    <t>ADMA Biologics, Inc.</t>
  </si>
  <si>
    <t>NCT05611593</t>
  </si>
  <si>
    <t>Study to Evaluate Safety &amp; Usability of a New Formulation for Male Androgenetic Alopecia</t>
  </si>
  <si>
    <t>Follicle Pharma Ltd</t>
  </si>
  <si>
    <t>NCT04612504</t>
  </si>
  <si>
    <t>SynOV1.1 Intratumoral Injection Study</t>
  </si>
  <si>
    <t>Beijing Syngentech Co., Ltd.</t>
  </si>
  <si>
    <t>NCT05375955</t>
  </si>
  <si>
    <t>A Study to Learn About The Study Medicine (PF-07038124) In Patients With Mild To Moderate Atopic Dermatitis Or Mild To Severe Plaque Psoriasis.</t>
  </si>
  <si>
    <t>NCT05388695</t>
  </si>
  <si>
    <t>To Observe the Dual-target Chimeric Antigen Receptor T Cells in the Treatment of B Cell Hematologic Tumors</t>
  </si>
  <si>
    <t>NCT05132075</t>
  </si>
  <si>
    <t>Study of JDQ443 in Comparison With Docetaxel in Participants With Locally Advanced or Metastatic KRAS G12C Mutant Non-small Cell Lung Cancer</t>
  </si>
  <si>
    <t>NCT05541939</t>
  </si>
  <si>
    <t>Effect of Mizagliflozin on Postprandial Glucose and Insulin in Post-Bariatric Hypoglycemia Subjects</t>
  </si>
  <si>
    <t>Vogenx, Inc.</t>
  </si>
  <si>
    <t>NCT05208866</t>
  </si>
  <si>
    <t>Roll-over Study to Assess Safety of Lixivaptan in Participants With ADPKD Who Completed Study PA-ADPKD-303</t>
  </si>
  <si>
    <t>NCT05566639</t>
  </si>
  <si>
    <t>A Study of mRNA-1010 Seasonal Influenza Vaccine in Adults 50 Years Old and Older</t>
  </si>
  <si>
    <t>NCT05567029</t>
  </si>
  <si>
    <t>Study to Evaluate the Relative Bioavailability of Two Risankizumab Drug Product Presentations in Healthy Volunteers.</t>
  </si>
  <si>
    <t>NCT05306275</t>
  </si>
  <si>
    <t>A Study to Compare the Pharmacokinetics of CSL312 Administered by Prefilled Syringe Assembled to Autoinjector to the Pharmacokinetics Administered by Prefilled Syringe Assembled to Needle Safety Device in Healthy Subjects</t>
  </si>
  <si>
    <t>NCT05217446</t>
  </si>
  <si>
    <t>A Study of Encorafenib Plus Cetuximab Taken Together With Pembrolizumab Compared to Pembrolizumab Alone in People With Previously Untreated Metastatic Colorectal Cancer</t>
  </si>
  <si>
    <t>NCT05470270</t>
  </si>
  <si>
    <t>Acceptability of a New Paediatric Formulation of Hydroxycarbamide in Children With Sickle Cell Disease.</t>
  </si>
  <si>
    <t>NCT05400395</t>
  </si>
  <si>
    <t>Clinical Trial for GNX80 in Intermittent Claudication</t>
  </si>
  <si>
    <t>NCT05364242</t>
  </si>
  <si>
    <t>VLA2001 Booster in Adult Participants After Priming With mRNA COVID-19 Vaccine and/or Natural SARS-CoV-2 Infection</t>
  </si>
  <si>
    <t>NCT05461131</t>
  </si>
  <si>
    <t>Pertussis Challenge Study in Adults Vaccinated With BPZE1</t>
  </si>
  <si>
    <t>NCT05431569</t>
  </si>
  <si>
    <t>A Phase IIa Study to Evaluate the Efficacy and Safety of 6MW3211 in Patients With Advanced Lung Cancer</t>
  </si>
  <si>
    <t>NCT05400369</t>
  </si>
  <si>
    <t>A Study to Evaluate the Efficacy and Safety of Sitafloxacin in Adult Subjects With Acute Exacerbation of Chronic Obstructive Pulmonary Disease</t>
  </si>
  <si>
    <t>NCT04912869</t>
  </si>
  <si>
    <t>A Study Evaluating the Safety, Pharmacokinetics, Pharmacodynamics and Efficacy of Crovalimab for the Management of Acute Uncomplicated Vaso-Occlusive Episodes (VOE) in Participants With Sickle Cell Disease (SCD).</t>
  </si>
  <si>
    <t>NCT05544786</t>
  </si>
  <si>
    <t>Relative Bioavailability Study of Nirmatrelvir/Ritonavir Oral Powder Relative to the Commercial Tablets and Estimation of the Effect of Food on Bioavailability of the Nirmatrelvir/Ritonavir Oral Powder in Healthy Participants.</t>
  </si>
  <si>
    <t>NCT05385770</t>
  </si>
  <si>
    <t>Study to Evaluate and Compare the Efficacy and Safety of AZM and AML Combined and Alone in Mild-to-moderate Essential Hypertensive Subjects</t>
  </si>
  <si>
    <t>NCT05188729</t>
  </si>
  <si>
    <t>Open-Label Proof of Concept Study of VP-315 in Basal Cell Carcinoma</t>
  </si>
  <si>
    <t>Verrica Pharmaceuticals Inc.</t>
  </si>
  <si>
    <t>NCT04523727</t>
  </si>
  <si>
    <t>Study to Evaluate the Safety and Tolerability of Ferric Citrate in Children With Hyperphosphatemia Related to Chronic Kidney Disease</t>
  </si>
  <si>
    <t>Keryx Biopharmaceuticals</t>
  </si>
  <si>
    <t>NCT04974996</t>
  </si>
  <si>
    <t>A Study to Evaluate the Tolerability, Safety, Pharmacokinetics, and Antitumor Activity of Loncastuximab Tesirine in Combination With Rituximab, Cyclophosphamide, Doxorubicin, Vincristine, and Prednisone (R-CHOP) in Participants With Previously Untreated Diffuse Large B-cell Lymphoma (LOTIS-8)</t>
  </si>
  <si>
    <t>NCT05249829</t>
  </si>
  <si>
    <t>A Study to Evaluate the Immunogenicity and Safety of Omicron Variant Vaccines in Comparison With mRNA-1273 Booster Vaccine for COVID-19</t>
  </si>
  <si>
    <t>NCT05292131</t>
  </si>
  <si>
    <t>A Bioequivalence Study of Bimekizumab Given as 1x2mL or 2x1mL Subcutaneous Injection Using an Autoinjector in Healthy Study Participants</t>
  </si>
  <si>
    <t>NCT05388669</t>
  </si>
  <si>
    <t>A Study of Lazertinib With Subcutaneous Amivantamab Compared With Intravenous Amivantamab in Participants With Epidermal Growth Factor Receptor (EGFR)-Mutated Advanced or Metastatic Non-small Cell Lung Cancer</t>
  </si>
  <si>
    <t>NCT05156827</t>
  </si>
  <si>
    <t>A Study to Assess the Efficacy, Safety, and Pharmacokinetics of TB006 in Participants With Acute Ischemic Stroke</t>
  </si>
  <si>
    <t>NCT05320094</t>
  </si>
  <si>
    <t>A Study to Evaluate the Effect of Activated Charcoal With Sorbitol on the Single-dose of Mavacamten in Healthy Participants</t>
  </si>
  <si>
    <t>NCT05366751</t>
  </si>
  <si>
    <t>A Study to Evaluate the Long-term Safety and Tolerability of SAGE-324 in Participants With Essential Tremor</t>
  </si>
  <si>
    <t>NCT05248386</t>
  </si>
  <si>
    <t>Efficacy and Safety of RTX-GRT7039 in Adult Subjects With Knee Osteoarthritis</t>
  </si>
  <si>
    <t>NCT07454369</t>
  </si>
  <si>
    <t>Comparative Bioavailability Study Between Etoricoxib / Betamethasone Administered Individually or in Combination</t>
  </si>
  <si>
    <t>NCT05209152</t>
  </si>
  <si>
    <t>AMG 176 With Azacitidine in Subjects With Myelodysplastic Syndrome /Chronic Myelomonocytic Leukemia</t>
  </si>
  <si>
    <t>NCT05376904</t>
  </si>
  <si>
    <t>A Trial of HR18034 for Postoperative Analgesia in Subjects Undergoing Hemorrhoidectomy.</t>
  </si>
  <si>
    <t>NCT05261126</t>
  </si>
  <si>
    <t>A Study of the Efficacy and Safety of Enclitide Chloride (MK-0616 Oral PCSK9 Inhibitor) in Adults With Hypercholesterolemia (MK-0616-008)</t>
  </si>
  <si>
    <t>NCT05487599</t>
  </si>
  <si>
    <t>A Clinical Trial of PR001 (LY3884961) in Patients With Peripheral Manifestations of Gaucher Disease (PROCEED)</t>
  </si>
  <si>
    <t>NCT05016284</t>
  </si>
  <si>
    <t>Comparison of JW-100 and EUCRISA for the Treatment of Atopic Dermatitis</t>
  </si>
  <si>
    <t>NCT05352555</t>
  </si>
  <si>
    <t>Automated Robotic Maneuvering System (RMS) vs Manual Reposition Maneuver in Treatment of Benign Paroxysmal Positional Vertigo (BPPV)</t>
  </si>
  <si>
    <t>Stratejik Yenilikci Girisimler Ltd.</t>
  </si>
  <si>
    <t>NCT05507515</t>
  </si>
  <si>
    <t>A Phase 1 Study of ONO-2020 in Healthy Participants</t>
  </si>
  <si>
    <t>NCT05543252</t>
  </si>
  <si>
    <t>An Extension Study to Evaluate the Long-Term Efficacy, Safety and Tolerability of Minzasolmin (UCB0599) in Study Participants With Parkinson's Disease</t>
  </si>
  <si>
    <t>NCT05508620</t>
  </si>
  <si>
    <t>A Study of Sirolimus for Injection (Albumin-bound) in Patients With Advanced Solid Tumors</t>
  </si>
  <si>
    <t>NCT05641688</t>
  </si>
  <si>
    <t>[18F]PI-2620 Phase 3 Histopathological Study</t>
  </si>
  <si>
    <t>NCT05231668</t>
  </si>
  <si>
    <t>Single Ascending Dose Study of SAR439459 in Adults With Osteogenesis Imperfecta (OI)</t>
  </si>
  <si>
    <t>NCT05533203</t>
  </si>
  <si>
    <t>Safety of Prodencel in the Treatment of Metastatic Castration-resistant Prostate Cancer (mCRPC)</t>
  </si>
  <si>
    <t>Shanghai Humantech Biotechnology Co. Ltd</t>
  </si>
  <si>
    <t>NCT05492318</t>
  </si>
  <si>
    <t>Perpetrator DDI Potential of Givinostat as Inhibitor and Inducer of CYP3A and P-gp Activity</t>
  </si>
  <si>
    <t>NCT05395780</t>
  </si>
  <si>
    <t>A Phase 2 Study to Evaluate the Safety and Efficacy of Max-40279-01 in Patients With Advanced Gastric Cancer or Gastroesophageal Junction Cancer</t>
  </si>
  <si>
    <t>NCT04643418</t>
  </si>
  <si>
    <t>Phase 1/2a Study of MPB-1734 in Patients With Advanced Solid Tumors</t>
  </si>
  <si>
    <t>MegaPro Biomedical Co. Ltd.</t>
  </si>
  <si>
    <t>NCT05411146</t>
  </si>
  <si>
    <t>A Study Investigating the Safety, Absorption, and Elimination of Radioactively Labeled Etrumadenant, a New Compound in the Treatment of Cancer</t>
  </si>
  <si>
    <t>NCT05342623</t>
  </si>
  <si>
    <t>A Study to Evaluate the Safety and Efficacy of Difelikefalin in Advanced Chronic Kidney Disease Patients With Moderate-to-Severe Pruritus</t>
  </si>
  <si>
    <t>NCT05384379</t>
  </si>
  <si>
    <t>Efficacy and Safety Evaluation of BZ371B in ARDS Patients</t>
  </si>
  <si>
    <t>NCT05448391</t>
  </si>
  <si>
    <t>A Study to Evaluate RIST4721 in Familial Mediterranean Fever (FMF)</t>
  </si>
  <si>
    <t>NCT05267613</t>
  </si>
  <si>
    <t>Endoscopic Evidence of Maintenance of Healing With Oral NEXIUM in Patients 1 to 11 Years Old With Erosive Esophagitis.</t>
  </si>
  <si>
    <t>NCT05472324</t>
  </si>
  <si>
    <t>Evaluate the Efficacy and Safety of TQC2731 Injection in Patients With Severe Asthma.</t>
  </si>
  <si>
    <t>NCT05555823</t>
  </si>
  <si>
    <t>Safety, Tolerability, Pharmacokinetics, Pharmacodynamics, Food Effect and DDI of Ascending Doses of the MEK Inhibitor Zapnometinib</t>
  </si>
  <si>
    <t>NCT05495295</t>
  </si>
  <si>
    <t>First-in-human Trial of PhOx430, a First-in-class Acetylglucosaminyltransferase V Inhibitor, in Advanced Solid Tumours</t>
  </si>
  <si>
    <t>Phost'In Therapeutics</t>
  </si>
  <si>
    <t>NCT05179057</t>
  </si>
  <si>
    <t>Posoleucel (ALVR105) for the Treatment of Adenovirus Infection in Pediatric and Adult Participants Receiving Standard of Care Following Allogeneic Hematopoietic Cell Transplantation</t>
  </si>
  <si>
    <t>NCT05465681</t>
  </si>
  <si>
    <t>Study of HR20013 for Injection in Patients With Malignant Solid Tumors</t>
  </si>
  <si>
    <t>NCT05480865</t>
  </si>
  <si>
    <t>SHP2 Inhibitor BBP-398 in Combination With Sotorasib in Patients With Advanced Solid Tumors and a KRAS-G12C Mutation</t>
  </si>
  <si>
    <t>NCT05767632</t>
  </si>
  <si>
    <t>Bioequivalence Study of Solifenacin Succinate &amp; Mirabegron From Mirfenacin MR 5/50 mg Extended Release Tablets (Hikma Pharma, Egypt) Versus Vesicare 5 mg FCT &amp; Betmiga 50 mg Prolonged-Release Tablets (Astellas Pharma Europe B.V, the Netherlands / Astellas Pharma Europe B.V, the Netherlands)</t>
  </si>
  <si>
    <t>NCT05330455</t>
  </si>
  <si>
    <t>Study of GSK3965193 in Healthy Participants and Participants Living With Chronic Hepatitis B Infection</t>
  </si>
  <si>
    <t>NCT05488821</t>
  </si>
  <si>
    <t>Safety, Tolerability and Pharmacokinetics Study of QLH11906 in Patients With Advanced Solid Tumors Harboring MAPK Pathway Alterations.</t>
  </si>
  <si>
    <t>NCT05367765</t>
  </si>
  <si>
    <t>A Real World Study of the Efficacy and Safety of Flumatinib Versus Imatinib in Patients With Newly Diagnosed Chronic Myeloid Leukemia in Chronic Phase</t>
  </si>
  <si>
    <t>NCT05190471</t>
  </si>
  <si>
    <t>A Clinical Trial of BP1002 in Patients With Refractory/Relapsed Acute Myeloid Leukemia (AML)</t>
  </si>
  <si>
    <t>NCT05257798</t>
  </si>
  <si>
    <t>A Study to Learn About The Study Medicine (Called PF-06823859) in Healthy Chinese Participants</t>
  </si>
  <si>
    <t>NCT05278663</t>
  </si>
  <si>
    <t>A Study to Assess the Safety, Tolerability, and Pharmacokinetics of E6742 in Systemic Lupus Erythematosus Participants</t>
  </si>
  <si>
    <t>NCT06254664</t>
  </si>
  <si>
    <t>Open Label Study to Assess the Effect of Patient Use and Robustness of Tiotropium 18ug Inhalation Powder, Hard Capsule,Zephir Inhaler Device</t>
  </si>
  <si>
    <t>NCT05784363</t>
  </si>
  <si>
    <t>A Study of NT 201 in the Treatment of Enlarged Pores and Excessive Sebum Production in the Face</t>
  </si>
  <si>
    <t>NCT05326347</t>
  </si>
  <si>
    <t>A Long-term Administration Trial of Brexpiprazole Once-weekly (QW) Formulation in Patients With Schizophrenia</t>
  </si>
  <si>
    <t>NCT05285826</t>
  </si>
  <si>
    <t>Efficacy, Immunogenicity, and Safety of V503 in Chinese Males (V503-052)</t>
  </si>
  <si>
    <t>NCT05087108</t>
  </si>
  <si>
    <t>Evaluation of the OsciPulse Rapid Cycling Compression Device Effects on Venous Blood Flow</t>
  </si>
  <si>
    <t>NCT05353166</t>
  </si>
  <si>
    <t>REGN5381 in Heart Failure Adult Participants With Elevated Pulmonary Capillary Wedge Pressure</t>
  </si>
  <si>
    <t>NCT05786729</t>
  </si>
  <si>
    <t>Aerobic Exercise After Traumatic Brain Injury</t>
  </si>
  <si>
    <t>Centre for Neuro Skills</t>
  </si>
  <si>
    <t>NCT05438602</t>
  </si>
  <si>
    <t>A Study to Learn About the Study Medicines (Nirmatrelvir Plus Ritonavir) in People Aged 12 Years or Older With COVID-19 and a Compromised Immune System</t>
  </si>
  <si>
    <t>NCT05377112</t>
  </si>
  <si>
    <t>Safety, Tolerability, and Pharmacodynamics of SYNB8802v1 in Subjects With History of Gastric Bypass Surgery or Short-bowel Syndrome</t>
  </si>
  <si>
    <t>NCT04772781</t>
  </si>
  <si>
    <t>Efficacy and Safety of S (+) - Ibuprofen in the Treatment of Mechanical Low Back Pain</t>
  </si>
  <si>
    <t>NCT05566600</t>
  </si>
  <si>
    <t>Allogeneic iPSC-derived Cardiomyocyte Therapy in Patients With Worsening Ischemic Heart Failure</t>
  </si>
  <si>
    <t>NCT05094336</t>
  </si>
  <si>
    <t>A Study of Anvumetostat in Participants With Advanced MTAP-null Solid Tumors (MTAPESTRY 101)</t>
  </si>
  <si>
    <t>NCT05277571</t>
  </si>
  <si>
    <t>A Single-ascending Dose (Part A) and Repeat-dose (Part B) Study to Investigate the Safety, Pharmacokinetics and Efficacy (Part B Only) of UCB1381 in Healthy Study Participants (Part A) and in Study Participants With Moderate to Severe Atopic Dermatitis (Part B)</t>
  </si>
  <si>
    <t>NCT04991116</t>
  </si>
  <si>
    <t>Long Term Evaluation of Safety and Efficacy of Tildrakizumab in Patients With Psoriatic Arthritis</t>
  </si>
  <si>
    <t>NCT05439148</t>
  </si>
  <si>
    <t>OPC-61815 in Healthy Chinese Male Subjects</t>
  </si>
  <si>
    <t>NCT05398653</t>
  </si>
  <si>
    <t>A Phase Ib/ Ⅱ Clinical Study of MIL62 in Primary Membranous Nephropathy</t>
  </si>
  <si>
    <t>NCT05257265</t>
  </si>
  <si>
    <t>A Trial of Centanafadine Efficacy and Safety in Adolescents With Attention- Deficit/Hyperactivity Disorder</t>
  </si>
  <si>
    <t>NCT05508100</t>
  </si>
  <si>
    <t>Dose Confirmation and Dose Expansion Phase 1 Study of IO-108 and IO-108 + Anti-PD-1 in Solid Tumors</t>
  </si>
  <si>
    <t>NCT05585307</t>
  </si>
  <si>
    <t>Study of Novel Antiretrovirals in Participants With HIV-1</t>
  </si>
  <si>
    <t>NCT05563545</t>
  </si>
  <si>
    <t>Anti-CD19 CAR-Engineered NK Cells in the Treatment of Relapsed/Refractory Acute Lymphoblastic Leukemia</t>
  </si>
  <si>
    <t>NCT05378867</t>
  </si>
  <si>
    <t>A Study Assessing the Interchangeability Between TRS003 and Bevacizumab® For CRC</t>
  </si>
  <si>
    <t>NCT05600309</t>
  </si>
  <si>
    <t>A Study of Coformulated Favezelimab/Pembrolizumab (MK-4280A) Versus Standard of Care in Subjects With Previously Treated Metastatic PD-L1 Positive Colorectal Cancer (MK-4280A-007)-China Extension Study</t>
  </si>
  <si>
    <t>NCT05263999</t>
  </si>
  <si>
    <t>A Study of Itolizumab in Combination With Corticosteroids for the First-Line Treatment of Acute Graft Versus Host Disease (EQUATOR)</t>
  </si>
  <si>
    <t>NCT05429632</t>
  </si>
  <si>
    <t>Mocravimod as Adjunctive and Maintenance Treatment in AML Patients Undergoing Allo-HCT</t>
  </si>
  <si>
    <t>Priothera SAS</t>
  </si>
  <si>
    <t>NCT05373199</t>
  </si>
  <si>
    <t>A Trial Comparing the Pharmacodynamics and Pharmacokinetics of BC Combo THDB0207 and Lantus® and Humalog® in Subjects With Type 1 Diabetes</t>
  </si>
  <si>
    <t>NCT05573698</t>
  </si>
  <si>
    <t>Study to Evaluate Multiple Ascending Dose and Multi-Dose of DT-216 in Adult Patients With Friedreich Ataxia</t>
  </si>
  <si>
    <t>NCT05304650</t>
  </si>
  <si>
    <t>A Usability Study of External Neuromodulation With iTEAR100 Generation 2</t>
  </si>
  <si>
    <t>NCT05609825</t>
  </si>
  <si>
    <t>A Study of LY3875383 in Healthy Participants and Participants With Hypertriglyceridemia</t>
  </si>
  <si>
    <t>NCT05190068</t>
  </si>
  <si>
    <t>HMPL-760 in Relapsed/Refractory B-Cell Non-Hodgkin's Lymphoma</t>
  </si>
  <si>
    <t>NCT05556096</t>
  </si>
  <si>
    <t>Safety and Efficacy of ALXN1720 in Adults With Generalized Myasthenia Gravis</t>
  </si>
  <si>
    <t>NCT05238883</t>
  </si>
  <si>
    <t>A Study of HFB200301 as a Single Agent and in Combination With Tislelizumab in Adult Patients With Advanced Solid Tumors</t>
  </si>
  <si>
    <t>NCT05569720</t>
  </si>
  <si>
    <t>First in Human Study to Compare Safety Between Intravenous Bolus Versus Infusion of ApTOLL</t>
  </si>
  <si>
    <t>NCT05373446</t>
  </si>
  <si>
    <t>Evaluation of SSD8432 and Ritonavir in Adult Subjects With COVID-19 Clinical Study</t>
  </si>
  <si>
    <t>NCT05364554</t>
  </si>
  <si>
    <t>A Long-term Extension Study of JNJ-77242113 in Participants With Moderate-to-Severe Plaque Psoriasis</t>
  </si>
  <si>
    <t>NCT05292976</t>
  </si>
  <si>
    <t>Pharmacodynamic Bioequivalence Study of Albuterol Sulfate Inhalation Aerosol, 0.09 mg Albuterol Base/ Inhalation</t>
  </si>
  <si>
    <t>NCT05205486</t>
  </si>
  <si>
    <t>Pharmacokinetics and Safety of Cefazolin 3gm DUPLEX in Adults</t>
  </si>
  <si>
    <t>B. Braun Medical Inc.</t>
  </si>
  <si>
    <t>NCT05678270</t>
  </si>
  <si>
    <t>A Study of ICP-192 in Patients With FGFR2-Rearranged Unresectable or Metastatic Intrahepatic Cholangiocarcinoma</t>
  </si>
  <si>
    <t>NCT05787873</t>
  </si>
  <si>
    <t>A Clinical Trial to Evaluate the Pharmacokinetics and Safety of SIPS-2209-1 in Healthy Korean Volunteers</t>
  </si>
  <si>
    <t>Samik Pharmaceutical Co. Ltd.</t>
  </si>
  <si>
    <t>NCT07001488</t>
  </si>
  <si>
    <t>A Clinical Study of the Interactions Between Azvudine Tablets (FNC) and Rilpivirine Tablets (RPV)</t>
  </si>
  <si>
    <t>NCT05247203</t>
  </si>
  <si>
    <t>Telitacicept Study in Chinese Subjects With Systemic Lupus Erythematosus</t>
  </si>
  <si>
    <t>NCT05517486</t>
  </si>
  <si>
    <t>Single-dose to Evaluate the Pharmacokinetics of GTX-101 and Subcutaneous Injectable Bupivacaine in Healthy Subjects</t>
  </si>
  <si>
    <t>NCT05505825</t>
  </si>
  <si>
    <t>A Study of AK104 in Combination With Chiauranib in Patients With Extensive Stage Small Cell Lung Cancer</t>
  </si>
  <si>
    <t>NCT05642182</t>
  </si>
  <si>
    <t>Study of SFA002 in Patients with Mild to Moderate Psoriasis Plaques</t>
  </si>
  <si>
    <t>SFA Therapeutics</t>
  </si>
  <si>
    <t>NCT05399888</t>
  </si>
  <si>
    <t>A Study to Learn About the Safety of Diranersen (BIIB080) Injections and Whether They Can Improve Symptoms of Participants With Mild Cognitive Impairment Due to Alzheimer's Disease (AD) or Mild AD Dementia Between 50 to 80 Years of Age</t>
  </si>
  <si>
    <t>NCT05629390</t>
  </si>
  <si>
    <t>Trial to Evaluate the Efficacy and Safety of TP-03, LIBRA Study</t>
  </si>
  <si>
    <t>NCT05624710</t>
  </si>
  <si>
    <t>A Study to Evaluate the Pharmacokinetics and Safety of INCB054707 in Participants With Normal Hepatic Function and Participants With Hepatic Impairment</t>
  </si>
  <si>
    <t>NCT05215808</t>
  </si>
  <si>
    <t>SAD/MAD Safety and PK Study of RBN-3143 in Healthy and Atopic Dermatitis Subjects</t>
  </si>
  <si>
    <t>NCT05487976</t>
  </si>
  <si>
    <t>Clinical Study of Recombinant Human Activated Coagulation Factor VII for Injection in Patients With Hemophilia With Inhibitor</t>
  </si>
  <si>
    <t>NCT05118776</t>
  </si>
  <si>
    <t>Study to Evaluate the Safety and Efficacy of ASC40 Tablets in Combination With Bevacizumab in Subjects With rGBM</t>
  </si>
  <si>
    <t>NCT05290597</t>
  </si>
  <si>
    <t>A Phase 1, Open-label, Multicenter, Dose Escalation Study of IBI363 (PD1-IL2m) in Subjects With Advanced Solid Malignancies or Lymphomas</t>
  </si>
  <si>
    <t>NCT05203510</t>
  </si>
  <si>
    <t>A Study of a Mean Pulmonary Artery Pressure-Targeted Approach With Early and Rapid Treprostinil Therapy to Reverse Right Ventricular Remodeling in Participants With Pulmonary Arterial Hypertension</t>
  </si>
  <si>
    <t>NCT05447546</t>
  </si>
  <si>
    <t>Study to Evaluate HT-6184 in Healthy Subjects</t>
  </si>
  <si>
    <t>Halia Therapeutics, Inc.</t>
  </si>
  <si>
    <t>NCT07270146</t>
  </si>
  <si>
    <t>Effectiveness and Safety of Guilu Erxian Oral Liquid in the Treatment of Oligozoospermia and Asthenospermia With Syndrome of Shen (Kidney) Essence Deficiency</t>
  </si>
  <si>
    <t>DongE E Jiao Coporation Limited</t>
  </si>
  <si>
    <t>NCT05184712</t>
  </si>
  <si>
    <t>Phase 3 Clinical Study of AK112 for NSCLC Patients</t>
  </si>
  <si>
    <t>NCT05114265</t>
  </si>
  <si>
    <t>A Study to Evaluate the Safety, Tolerability, Pharmacokinetics and Pharmacodynamic Effects of KUR-101 in Healthy Adults</t>
  </si>
  <si>
    <t>Kures, Inc.</t>
  </si>
  <si>
    <t>NCT05390905</t>
  </si>
  <si>
    <t>A Clinical Trial Evaluating the Efficacy and Safety of HSK21542 in Patients for Postoperative Pain Treatment</t>
  </si>
  <si>
    <t>NCT05398029</t>
  </si>
  <si>
    <t>A Study of VERVE-101 in Patients With Familial Hypercholesterolemia and Cardiovascular Disease</t>
  </si>
  <si>
    <t>Verve Therapeutics, Inc.</t>
  </si>
  <si>
    <t>NCT05301751</t>
  </si>
  <si>
    <t>A Single Ascending Dose Cohort Study of AG-73305 in DME Patients</t>
  </si>
  <si>
    <t>NCT05248802</t>
  </si>
  <si>
    <t>DLBS2411 Treatment For Functional Dyspepsia</t>
  </si>
  <si>
    <t>NCT05324501</t>
  </si>
  <si>
    <t>A Study of Intra-tumoral Administered MTX110 in Patients With Recurrent Glioblastoma</t>
  </si>
  <si>
    <t>Biodexa Pharmaceuticals</t>
  </si>
  <si>
    <t>NCT05373212</t>
  </si>
  <si>
    <t>A Trial Investigating the Dose Linearity and Safety of BC Combo THDB0207 in Subjects With Type 2 Diabetes</t>
  </si>
  <si>
    <t>NCT05194839</t>
  </si>
  <si>
    <t>A Phase 2b Study to Evaluate RIST4721 in Palmoplantar Pustulosis (PPP)</t>
  </si>
  <si>
    <t>NCT05470075</t>
  </si>
  <si>
    <t>A Study to Evaluate the Efficacy and Safety of HR18042 Tablets for Postoperative Analgesia After Impacted Teeth Removal Surgery.</t>
  </si>
  <si>
    <t>NCT05196919</t>
  </si>
  <si>
    <t>Safety and Efficacy of XT-150 for Facet Joint Osteoarthritis Pain</t>
  </si>
  <si>
    <t>NCT05294731</t>
  </si>
  <si>
    <t>Treatment of Chinese Participants With B-Cell Malignancies With BGB-16673, a Bruton Tyrosine Kinase-Targeted Protein-Degrader</t>
  </si>
  <si>
    <t>NCT05104775</t>
  </si>
  <si>
    <t>A Study of GNC-035, a Tetra-specific Antibody, in Participants With Relapsed/Refractory Hematologic Malignancy</t>
  </si>
  <si>
    <t>NCT05265728</t>
  </si>
  <si>
    <t>A Study to Evaluate Efficacy, Safety, Pharmacokinetics, and Pharmacodynamics of Multiple Doses of Natalizumab (BG00002) Administered Subcutaneously to Japanese Participants With Relapsing-Remitting Multiple Sclerosis</t>
  </si>
  <si>
    <t>NCT05619328</t>
  </si>
  <si>
    <t>A Prospective Clinical Trial to Evaluate the Efficacy and Safety of Neurotropic B-Vitamins in Clinically Diagnosed Peripheral Sensory Polyneuropathy of Different Etiologies.</t>
  </si>
  <si>
    <t>NCT05461794</t>
  </si>
  <si>
    <t>Study To Investigate the Efficacy and Safety of Sitravatinib in Combination With Tislelizumab in Participants With Esophageal Squamous Cell Carcinoma</t>
  </si>
  <si>
    <t>NCT05816057</t>
  </si>
  <si>
    <t>A Study of the Efficacy and Safety of Semaglutide Injection in the Treatment of Type 2 Diabetes Mellitus</t>
  </si>
  <si>
    <t>Hangzhou Jiuyuan Gene Engineering Co. Ltd.,</t>
  </si>
  <si>
    <t>NCT05845567</t>
  </si>
  <si>
    <t>The Potential of Givinostat as DDI Victim in Co-administration P-gp Inhibitor (Part 2)</t>
  </si>
  <si>
    <t>NCT06834542</t>
  </si>
  <si>
    <t>Clinical Study of GT201 in the Treatment of Advanced Gynecological Tumors</t>
  </si>
  <si>
    <t>NCT05663073</t>
  </si>
  <si>
    <t>Pharmacokinetics of Irbesartan/Amlodipine FDC and Co-administration of Irbesartan and Amlodipine in Healthy Volunteers</t>
  </si>
  <si>
    <t>NCT05647122</t>
  </si>
  <si>
    <t>First in Human Study of AZD9592 in Solid Tumors</t>
  </si>
  <si>
    <t>NCT05573477</t>
  </si>
  <si>
    <t>Evaluation of Efficacy and Safety of ATB-1011+ATB-1012 Co-administration for Essential Hypertension and Type II Diabetes</t>
  </si>
  <si>
    <t>NCT05304351</t>
  </si>
  <si>
    <t>Safety and Immunogenicity of CRV-101 Vaccine for the Prevention of Herpes Zoster in Adults Aged 50 Years and Older</t>
  </si>
  <si>
    <t>Curevo Inc</t>
  </si>
  <si>
    <t>NCT05305651</t>
  </si>
  <si>
    <t>Study to Monitor the Occurrence of Viral Variants in Patients With Compromised Immune Systems Being Treated for COVID-19</t>
  </si>
  <si>
    <t>NCT05203939</t>
  </si>
  <si>
    <t>Study to Assess the Safety and Efficacy of OCU400 for Retinitis Pigmentosa and Leber Congenital Amaurosis</t>
  </si>
  <si>
    <t>NCT07700875</t>
  </si>
  <si>
    <t>A Phase II Clinical Study of QR12000 Compound Tablets in Patients With Moderate to Severe Essential Hypertension</t>
  </si>
  <si>
    <t>NCT05248672</t>
  </si>
  <si>
    <t>Study to Assess the Pharmacokinetics of CT1812 in Older Healthy Volunteers</t>
  </si>
  <si>
    <t>NCT05453942</t>
  </si>
  <si>
    <t>A Study to Investigate Safety, Tolerability and Clinical Response With SAR441566 Compared With Placebo in Participants With Mild to Moderate Psoriasis</t>
  </si>
  <si>
    <t>NCT05146973</t>
  </si>
  <si>
    <t>External Beam Therapy With Theranostic Radioligand Therapy for Oligometastatic Prostate Cancer (ProstACT TARGET)</t>
  </si>
  <si>
    <t>NCT05416931</t>
  </si>
  <si>
    <t>ACD440 Gel in Peripheral Neuropathic Pain</t>
  </si>
  <si>
    <t>NCT05010577</t>
  </si>
  <si>
    <t>Nebulized Bacteriophage Therapy in Cystic Fibrosis Patients With Chronic Pseudomonas Aeruginosa Pulmonary Infection</t>
  </si>
  <si>
    <t>NCT05503953</t>
  </si>
  <si>
    <t>Phase III Study to Evaluate the Efficacy and Safety of AGSAVI in Patients With Essential Hypertension Inadequately Controlled With AGLS</t>
  </si>
  <si>
    <t>NCT05629741</t>
  </si>
  <si>
    <t>A 2-Part First-in-Human Study to Evaluate the Safety, Tolerability, Pharmacokinetics, and Immunogenicity of CMTX-101</t>
  </si>
  <si>
    <t>Clarametyx Biosciences, Inc.</t>
  </si>
  <si>
    <t>NCT05389722</t>
  </si>
  <si>
    <t>A Study to Assess the Drug Levels of CC-92480 After Coadministration With Rifampin and Itraconazole, and the Drug Levels of Digoxin and Rosuvastatin After Coadministration With CC-92480 in Healthy Participants</t>
  </si>
  <si>
    <t>NCT05155345</t>
  </si>
  <si>
    <t>A Study to Evaluate the Safety, Tolerability, Pharmacokinetics, and Pharmacodynamics of Subcutaneously Administered Mosunetuzumab to Participants With Systemic Lupus Erythematosus</t>
  </si>
  <si>
    <t>NCT05496231</t>
  </si>
  <si>
    <t>A Study on the Immune Response and Safety of an Adjuvanted Human Papillomavirus Vaccine When Given to Healthy Women 16 to 26 Years of Age</t>
  </si>
  <si>
    <t>NCT05623839</t>
  </si>
  <si>
    <t>A Study of LY3305677 in Participants With Obesity Or Overweight</t>
  </si>
  <si>
    <t>NCT05144685</t>
  </si>
  <si>
    <t>A Study to Evaluate the Safety and Effectiveness of a Digital Therapeutic</t>
  </si>
  <si>
    <t>Oui Therapeutics, Inc.</t>
  </si>
  <si>
    <t>NCT05662215</t>
  </si>
  <si>
    <t>A Single and Multiple Ascending Dose Study of CK-3828136 in Healthy Adult Participants</t>
  </si>
  <si>
    <t>NCT05304845</t>
  </si>
  <si>
    <t>Drug-drug Interactions Between DWP14012 and Aspirin in Healthy Subjects</t>
  </si>
  <si>
    <t>NCT05549401</t>
  </si>
  <si>
    <t>Clinical Trial to Evaluate the Tolerability and the Pharmacokinetics of CKD-348</t>
  </si>
  <si>
    <t>NCT05374954</t>
  </si>
  <si>
    <t>Study on Sequential Immunization of Omicron Inactivated COVID-19 Vaccine and Prototype Inactivated COVID-19 Vaccine in Population Aged 18 Years Old and Above</t>
  </si>
  <si>
    <t>NCT05405166</t>
  </si>
  <si>
    <t>SC Versus IV Isatuximab in Combination With Pomalidomide and Dexamethasone in RRMM</t>
  </si>
  <si>
    <t>NCT05522829</t>
  </si>
  <si>
    <t>A Study to Evaluate the Immunogenicity and Safety of a Recombinant Protein COVID-19 Vaccine SCTV01E-1 in Population Aged Above 18 Years</t>
  </si>
  <si>
    <t>NCT05508594</t>
  </si>
  <si>
    <t>Efficacy and Pharmacokinetic-Pharmacodynamic Relationship of Intranasally Administered Sufentanil, Ketamine, and CT001</t>
  </si>
  <si>
    <t>NCT05156866</t>
  </si>
  <si>
    <t>First in Human Study of TORL-2-307-ADC in Participants With Advanced Cancer</t>
  </si>
  <si>
    <t>NCT05384431</t>
  </si>
  <si>
    <t>Can We Achieve 'high-quality' Weight Loss Through Supplementation and Exercise? the TRIM MUSCLE Study</t>
  </si>
  <si>
    <t>Exerkine Corporation</t>
  </si>
  <si>
    <t>NCT05520970</t>
  </si>
  <si>
    <t>Safety and Immunogenicity of COVID-19 Vaccine, AdCLD-CoV19-1</t>
  </si>
  <si>
    <t>NCT05282953</t>
  </si>
  <si>
    <t>A Phase I/II Dose-escalating Study of the Safety, Tolerability and Efficacy of KIO-301 Administered Intravitreally to Patients With Retinitis Pigmentosa and Choroideremia (ABACUS)</t>
  </si>
  <si>
    <t>NCT05619783</t>
  </si>
  <si>
    <t>Extension Study Evaluating The Safety And Tolerability of AMX0035</t>
  </si>
  <si>
    <t>NCT05565417</t>
  </si>
  <si>
    <t>Study of the Monoclonal Antibody IMT-009 in Patients With Advanced Solid Tumors or Lymphomas</t>
  </si>
  <si>
    <t>Immunitas Therapeutics</t>
  </si>
  <si>
    <t>NCT05423717</t>
  </si>
  <si>
    <t>Dose-finding Study Assessing the Efficacy, Safety, and Pharmacokinetics of Daridorexant in Subjects Aged 10 to &lt; 18 Years With Insomnia Disorder</t>
  </si>
  <si>
    <t>NCT05488340</t>
  </si>
  <si>
    <t>A Study of LBP-EC01 in the Treatment of Acute Uncomplicated UTI Caused by Drug Resistant E. Coli (ELIMINATE Trial)</t>
  </si>
  <si>
    <t>Locus Biosciences</t>
  </si>
  <si>
    <t>NCT05623410</t>
  </si>
  <si>
    <t>Study to Compare the Efficacy and Safety of ATGC-110 (Botulinum Toxin) With Xeomin® for the Treatment of Moderate to Severe Glabellar Frown Lines</t>
  </si>
  <si>
    <t>ATGC Co., Ltd.</t>
  </si>
  <si>
    <t>NCT05586568</t>
  </si>
  <si>
    <t>Drug-drug Interaction Study of XZP-3621 Tablet</t>
  </si>
  <si>
    <t>NCT05376150</t>
  </si>
  <si>
    <t>A Study to Evaluate the Safety, Tolerability and Efficacy of XEN1101 in Major Depressive Disorder</t>
  </si>
  <si>
    <t>NCT04773782</t>
  </si>
  <si>
    <t>A Study of Avapritinib in Pediatric Patients With Solid Tumors Dependent on KIT or PDGFRA Signaling</t>
  </si>
  <si>
    <t>NCT05669625</t>
  </si>
  <si>
    <t>A Phase III Clinical Trial to Evaluate the Efficacy and Safety of the Live Attenuated Varicella Vaccine</t>
  </si>
  <si>
    <t>NCT05158140</t>
  </si>
  <si>
    <t>Safety, Tolerability, and Immunogenicity of V110 or V114 Co-administered With a Booster Dose of mRNA-1273 in Healthy Adults (V110-911)</t>
  </si>
  <si>
    <t>NCT05205668</t>
  </si>
  <si>
    <t>Study of F-652 in Subjects With Corona Virus Disease 2019 (COVID-19) Pneumonia</t>
  </si>
  <si>
    <t>NCT05263960</t>
  </si>
  <si>
    <t>A Study of CM350 in Patients With Advanced Solid Tumors</t>
  </si>
  <si>
    <t>NCT05658510</t>
  </si>
  <si>
    <t>Dexmedetomidine in the Treatment of Agitation Associated With Schizophrenia and Bipolar Disorder (SERENITY III)</t>
  </si>
  <si>
    <t>NCT06066008</t>
  </si>
  <si>
    <t>Safety and Efficacy Study of Novel Gene Therapy ZM-01 for X-linked Retinoschisis Patients</t>
  </si>
  <si>
    <t>Zhongmou Therapeutics</t>
  </si>
  <si>
    <t>NCT05249725</t>
  </si>
  <si>
    <t>Therapeutic Effect of Isogladine Maleate on Small Intestinal Mucosal Injury Associated With NSAIDS in Population</t>
  </si>
  <si>
    <t>NCT05166889</t>
  </si>
  <si>
    <t>Efficacy and Safety of Tozorakimab in Symptomatic Chronic Obstructive Pulmonary Disease With a History of Exacerbations</t>
  </si>
  <si>
    <t>NCT05169489</t>
  </si>
  <si>
    <t>A Study of bbT369 in Relapsed and/or Refractory B Cell Non-Hodgkin's Lymphoma (NHL)</t>
  </si>
  <si>
    <t>NCT05477095</t>
  </si>
  <si>
    <t>A Phase 1 Study to Evaluate the Safety, Tolerability, and Immunogenicity of UB-313 in Healthy Participants</t>
  </si>
  <si>
    <t>NCT05575492</t>
  </si>
  <si>
    <t>A Study of mRNA-1647 Cytomegalovirus Vaccine in Healthy Participants 9 to 15 Years of Age and Participants 16 to 25 Years of Age</t>
  </si>
  <si>
    <t>NCT06642961</t>
  </si>
  <si>
    <t>A Randomized, Double-Blind, Placebo-Controlled, Multi-Center, Phase II Trail Evaluating the Efficacy and Safety of GR1802 Injection in Patients with Moderate to Severe Asthma</t>
  </si>
  <si>
    <t>NCT05432583</t>
  </si>
  <si>
    <t>A Clinical Trial in Healthy Volunteers and Volunteers With Recurrent Genital Herpes to Study the Safety, Tolerability, and Immune Responses After Vaccination With an Investigational Vaccine Designed to Prevent Genital Herpes Lesions</t>
  </si>
  <si>
    <t>NCT05353894</t>
  </si>
  <si>
    <t>Effect of Food and Formulation on the Pharmacokinetics, Safety, and Tolerability of GNS561 After One Single Dose (50 and 200mg) in Healthy Volunteers</t>
  </si>
  <si>
    <t>NCT04960579</t>
  </si>
  <si>
    <t>P-BCMA-ALLO1 Allogeneic CAR-T Cells in the Treatment of Subjects With Multiple Myeloma</t>
  </si>
  <si>
    <t>NCT05119569</t>
  </si>
  <si>
    <t>A Study to Investigate the Efficacy of Fenebrutinib in Relapsing Multiple Sclerosis (RMS)</t>
  </si>
  <si>
    <t>NCT04710641</t>
  </si>
  <si>
    <t>Radomised Phase II Study of MTL-CEBPA Plus Sorafenib or Sorafenib Alone</t>
  </si>
  <si>
    <t>Mina Alpha Limited</t>
  </si>
  <si>
    <t>NCT05647954</t>
  </si>
  <si>
    <t>A Study of HX008 Plus Transcatheter Arterial Chemoembolization (TACE) in the First-Line Treatment of Subjects With Stage IV (M1c) Melanoma That is Metastatic to the Liver</t>
  </si>
  <si>
    <t>NCT05372354</t>
  </si>
  <si>
    <t>A Study to Evaluate Safety, Drug Levels and Effectiveness of CC-92480 (BMS-986348) in Combination With Other Treatments in Participants With Relapsed or Refractory Multiple Myeloma</t>
  </si>
  <si>
    <t>NCT05442983</t>
  </si>
  <si>
    <t>A Study to Evaluate the Efficacy of PanCytoVir™ for the Treatment of Non-Hospitalized Patients With COVID-19 Infection</t>
  </si>
  <si>
    <t>TrippBio, Inc.</t>
  </si>
  <si>
    <t>NCT05522231</t>
  </si>
  <si>
    <t>Efficacy and Safety of Fruquintinib in Combination With Sintilimab in Advanced Renal Cell Carcinoma (FRUSICA-2)</t>
  </si>
  <si>
    <t>NCT05126303</t>
  </si>
  <si>
    <t>Efficacy and Safety of RMC-035 in Subjects at High Risk for Acute Kidney Injury Following Open-Chest Cardiac Surgery</t>
  </si>
  <si>
    <t>NCT04706741</t>
  </si>
  <si>
    <t>A Trial of the Efficacy and Safety of Izokibep in the Treatment of Non-anterior Uveitis</t>
  </si>
  <si>
    <t>NCT05890053</t>
  </si>
  <si>
    <t>To Evaluate the Long-term Safety and Efficacy of HSK16149 in Chinese Patients With Peripheral Neuralgia</t>
  </si>
  <si>
    <t>NCT05368402</t>
  </si>
  <si>
    <t>Clinical Trial on Ladarixin Adjunctive Therapy to Improve Glycemic Control in Type 1 Diabetes.</t>
  </si>
  <si>
    <t>NCT05052983</t>
  </si>
  <si>
    <t>A Study to Evaluate the Durability of Response and Safety of Nemolizumab for 24 Weeks in Participants With Prurigo Nodularis</t>
  </si>
  <si>
    <t>NCT05243329</t>
  </si>
  <si>
    <t>Investigating the Therapeutic Effects of Psilocybin in Treatment-Resistant Post-Traumatic Stress Disorder</t>
  </si>
  <si>
    <t>Halucenex Life Sciences Inc.</t>
  </si>
  <si>
    <t>NCT05666453</t>
  </si>
  <si>
    <t>A Clinical Study to Evaluate the Efficacy and Safety of LIV-GAMMA SN Inj. in ABO-Incompatible Liver Transplantation</t>
  </si>
  <si>
    <t>SK Plasma Co., Ltd.</t>
  </si>
  <si>
    <t>NCT05541627</t>
  </si>
  <si>
    <t>A Study to Evaluate AB-1001 Striatal Administration in Adults With Early Manifest Huntington's Disease</t>
  </si>
  <si>
    <t>AskBio France, SAS, a subsidiary of AskBio Inc.</t>
  </si>
  <si>
    <t>NCT05396573</t>
  </si>
  <si>
    <t>A Phase 1b Trial to Evaluate the Safety and Immunogenicity of a SARS-CoV-2 mRNA Chimera Vaccine Against COVID-19</t>
  </si>
  <si>
    <t>NCT05478603</t>
  </si>
  <si>
    <t>A Study to Understand How the Study Medicine (PF-07081532) is Processed in People With Liver Dysfunction</t>
  </si>
  <si>
    <t>NCT05602727</t>
  </si>
  <si>
    <t>Efficacy and Safety of MK-1942 as an Adjunct Therapy in Participants With Mild to Moderate Alzheimer's Disease Dementia (MK-1942-008)</t>
  </si>
  <si>
    <t>NCT05399654</t>
  </si>
  <si>
    <t>A Dose Escalation and Expansion Study of TAC-001 in Patients With Select Advanced or Metastatic Solid Tumors</t>
  </si>
  <si>
    <t>Tallac Therapeutics</t>
  </si>
  <si>
    <t>NCT05067634</t>
  </si>
  <si>
    <t>Safety and Efficacy Study of Cenobamate in Pediatric Subjects 2-17 Years of Age With Partial-onset (Focal) Seizures</t>
  </si>
  <si>
    <t>NCT05024305</t>
  </si>
  <si>
    <t>Safety, Tolerability, PK, PD, Immunogenicity and Efficacy of TWP-102 in Patients With Advanced Malignancies.</t>
  </si>
  <si>
    <t>NCT05173805</t>
  </si>
  <si>
    <t>Phase I Clinical Study of YL-15293 in Patients With Advanced Solid Tumor With KRAS Mutation</t>
  </si>
  <si>
    <t>NCT05433194</t>
  </si>
  <si>
    <t>A Study to Evaluate the Safety, Tolerability, and Immunogenicity of SARS-CoV-2 Variant (COVID-19 Omicron) mRNA Vaccine (Phase 1)</t>
  </si>
  <si>
    <t>NCT04670653</t>
  </si>
  <si>
    <t>Efficacy and Safety of Magnólia Nasal Gel in the Treatment of Allergic Rhinitis</t>
  </si>
  <si>
    <t>NCT05378737</t>
  </si>
  <si>
    <t>Evaluate the Safety, Tolerability and Pharmacokinetic Characteristics of BAT8006 for Injection</t>
  </si>
  <si>
    <t>NCT05304377</t>
  </si>
  <si>
    <t>A Phase 1a/1b Study of ELVN-001 for the Treatment Chronic Myeloid Leukemia</t>
  </si>
  <si>
    <t>Enliven Therapeutics</t>
  </si>
  <si>
    <t>NCT05229601</t>
  </si>
  <si>
    <t>A Study of HFB301001 in Adult Patients With Advanced Solid Tumors</t>
  </si>
  <si>
    <t>NCT05629559</t>
  </si>
  <si>
    <t>4D-310 in Adults With Fabry Disease and Cardiac Involvement</t>
  </si>
  <si>
    <t>NCT05804279</t>
  </si>
  <si>
    <t>Pharmacokinetics of BPDO-1603 or BPDO-16031 and BPDO-16033 Administration in Healthy Adults</t>
  </si>
  <si>
    <t>NCT05363670</t>
  </si>
  <si>
    <t>Administration of ARS-1 or Albuterol in Subjects With Persistent Asthma</t>
  </si>
  <si>
    <t>NCT05507229</t>
  </si>
  <si>
    <t>A Phase III Randomized, Modified Double-blind, Multi-centric, Comparative Study, to Evaluate the Non-inferiority of Immunogenicity and Safety of Hillchol® (BBV131)to Shanchol™ Along With Lot-to-lot Consistency of Hillchol®(BBV131).</t>
  </si>
  <si>
    <t>NCT05238675</t>
  </si>
  <si>
    <t>A Study to Test Whether Different Doses of BI 1291583 Help People With Bronchiectasis</t>
  </si>
  <si>
    <t>NCT05435729</t>
  </si>
  <si>
    <t>A Pharmacodynamics and Safety Study of DSP-9632P in Patients With Levodopa-Induced Dyskinesia in Parkinson's Disease</t>
  </si>
  <si>
    <t>NCT05552495</t>
  </si>
  <si>
    <t>Clinical Study to Evaluate the Pharmacokinetic Profiles and Safety of CKD-386 in Healthy Volunteers Under Fasting Conditions</t>
  </si>
  <si>
    <t>NCT05609812</t>
  </si>
  <si>
    <t>Atacicept in Subjects With Active Lupus Nephritis (COMPASS)</t>
  </si>
  <si>
    <t>NCT05247970</t>
  </si>
  <si>
    <t>A Study to Assess S-309309 in Healthy and Obese Participants</t>
  </si>
  <si>
    <t>NCT05626023</t>
  </si>
  <si>
    <t>A Study of Human TH-SC01 Cell Injection for Treating Perianal Fistulas in Patients With Crohn's Disease</t>
  </si>
  <si>
    <t>NCT04561180</t>
  </si>
  <si>
    <t>Study to Evaluate the Efficacy and Safety of EG-009A Compared to DEX in Patients With COVID-19 Pneumonia</t>
  </si>
  <si>
    <t>Evergreen Therapeutics, Inc.</t>
  </si>
  <si>
    <t>NCT05384262</t>
  </si>
  <si>
    <t>A Study to Assess the Safety, Tolerability, Pharmacokinetics, and Pharmacodynamics of AZD0780 in Healthy Subjects</t>
  </si>
  <si>
    <t>NCT05493488</t>
  </si>
  <si>
    <t>A Trial to Evaluate the Safety and Efficacy of DBI-001 Gel, DBI-002 Gel, and Aqueous Gel in Subjects With Tinea Pedis</t>
  </si>
  <si>
    <t>NCT05005273</t>
  </si>
  <si>
    <t>A Study to Assess BMS-986207 in Combination With Nivolumab and Ipilimumab as First-line Treatment for Participants With Stage IV Non-Small Cell Lung Cancer</t>
  </si>
  <si>
    <t>NCT05323656</t>
  </si>
  <si>
    <t>A Study of Setanaxib Co-Administered With Pembrolizumab in Patients With Recurrent or Metastatic Squamous Cell Carcinoma of Head and Neck (SCCHN)</t>
  </si>
  <si>
    <t>NCT05230537</t>
  </si>
  <si>
    <t>A Masked, Placebo-controlled Study to Assess Iptacopan in Age-related Macular Degeneration</t>
  </si>
  <si>
    <t>NCT05162586</t>
  </si>
  <si>
    <t>The WILLOW Study With M5049 in SLE and CLE (SCLE and/or DLE) (WILLOW)</t>
  </si>
  <si>
    <t>NCT05024773</t>
  </si>
  <si>
    <t>Study of ONCOFID-P-B (PACLITAXEL-HYALURONIC ACID)</t>
  </si>
  <si>
    <t>Fidia Farmaceutici s.p.a.</t>
  </si>
  <si>
    <t>NCT05603572</t>
  </si>
  <si>
    <t>KAT-101 in Subjects With Hepatocellular Carcinoma (HCC)</t>
  </si>
  <si>
    <t>Primocure Pharma</t>
  </si>
  <si>
    <t>NCT05393063</t>
  </si>
  <si>
    <t>A Study to Evaluate the Efficacy and Safety of AK127 in Patients With Advanced Solid Tumors</t>
  </si>
  <si>
    <t>NCT05307692</t>
  </si>
  <si>
    <t>A Study of Seltorexant in Participants With Probable Alzheimer's Disease</t>
  </si>
  <si>
    <t>NCT05355402</t>
  </si>
  <si>
    <t>A Study of Olezarsen (Formerly Known as AKCEA-APOCIII-LRx) in Adults With Hypertriglyceridemia and Atherosclerotic Cardiovascular Disease (Established or at Increased Risk for), and/or With Severe Hypertriglyceridemia</t>
  </si>
  <si>
    <t>NCT05376800</t>
  </si>
  <si>
    <t>A Study to Determine How BI 907828 (Brigimadlin) is Taken up in the Tumor (Phase 0) and to Determine the Highest Dose of BI 907828 (Brigimadlin) That Could be Tolerated (Phase 1a) in Combination With Radiation Therapy in People With a Brain Tumor Called Glioblastoma</t>
  </si>
  <si>
    <t>NCT05365672</t>
  </si>
  <si>
    <t>Clinical Trial With Donor Modified Immune Cells in Living Donor Kidney Transplantation</t>
  </si>
  <si>
    <t>TolerogenixX GmbH</t>
  </si>
  <si>
    <t>NCT05517837</t>
  </si>
  <si>
    <t>A Phase 1, First-in-Human Study of BMS-986421 in Healthy Participants</t>
  </si>
  <si>
    <t>NCT05118919</t>
  </si>
  <si>
    <t>A Safety Study of Lactobacillus Reuteri BGP-014 in Patients With Ulcerative Colitis</t>
  </si>
  <si>
    <t>NCT05289492</t>
  </si>
  <si>
    <t>Study of Novel Regimens in Relapsed or Refractory Multiple Myeloma</t>
  </si>
  <si>
    <t>NCT05593029</t>
  </si>
  <si>
    <t>A Trial of the Safety and Efficacy of SEP-363856 in the Treatment of Adults With Major Depressive Disorder</t>
  </si>
  <si>
    <t>NCT05161481</t>
  </si>
  <si>
    <t>A Study to Test Whether Two Different Doses of Avenciguat Help People With Liver Cirrhosis and High Blood Pressure in the Portal Vein (Main Vessel Going to the Liver)</t>
  </si>
  <si>
    <t>NCT05273619</t>
  </si>
  <si>
    <t>Efficacy and Safety of XC8, Film-coated Tablets, 40 mg in Patients With Dry Non-productive Cough Against Acute Respiratory Viral Infection</t>
  </si>
  <si>
    <t>NCT05085977</t>
  </si>
  <si>
    <t>Safety and Toxicity Study of Intravesical Instillation of TARA-002 in Adults with High-grade Non-muscle Invasive Bladder Cancer (Phase 1a)</t>
  </si>
  <si>
    <t>Protara Therapeutics</t>
  </si>
  <si>
    <t>NCT05562830</t>
  </si>
  <si>
    <t>A Substudy of Investigational Agents in Programmed Cell Death-1/Ligand 1 (PD-1/L1) Refractory Locally Advanced or Metastatic Urothelial Carcinoma (mUC) (MK-3475-04A)</t>
  </si>
  <si>
    <t>NCT06535009</t>
  </si>
  <si>
    <t>Study of ONO-7914 Alone and in Combination With ONO-4538 in Patients With Solid Tumors</t>
  </si>
  <si>
    <t>NCT05351437</t>
  </si>
  <si>
    <t>To Assess the Safety and Tolerability of MTx-COVAB36 as a Therapeutic and Prophylactic Treatment Against COVID-19.</t>
  </si>
  <si>
    <t>NCT05182567</t>
  </si>
  <si>
    <t>GLS-5310 Vaccine in Healthy Volunteers as a Booster for SARS-CoV-2 (COVID-19)</t>
  </si>
  <si>
    <t>NCT05215067</t>
  </si>
  <si>
    <t>A Phase II Trial of AK104 in Advanced Non-Small Cell Lung Cancer</t>
  </si>
  <si>
    <t>NCT05475834</t>
  </si>
  <si>
    <t>Study to Investigate the Mass Balance and Biotransformation of SIM0417 in Healthy Adult Chinese Male Participants</t>
  </si>
  <si>
    <t>NCT05253209</t>
  </si>
  <si>
    <t>A Study Evaluating the Efficacy and Safety of IV L-Citrulline for the Prevention of Clinical Sequelae of Acute Lung Injury Induced by Cardiopulmonary Bypass in Pediatric Patients Undergoing Surgery for Congenital Heart Defects</t>
  </si>
  <si>
    <t>NCT05844202</t>
  </si>
  <si>
    <t>Safety, Tolerability and Immunogenicity of Alveavax-v1.2, a BA.2/Omicron-optimized, DNA Vaccine for COVID-19 Prevention</t>
  </si>
  <si>
    <t>Alvea Holdings, LLC</t>
  </si>
  <si>
    <t>NCT05350072</t>
  </si>
  <si>
    <t>Two-arm Study to Assess Efficacy and Safety of Ianalumab (VAY736) in Patients With Active Sjogren's Syndrome</t>
  </si>
  <si>
    <t>NCT05373901</t>
  </si>
  <si>
    <t>Evaluation of the Safety and Pharmacokinetics of Dinutuximab Beta As Maintenance Therapy in Chinese Participants With High-Risk Neuroblastoma</t>
  </si>
  <si>
    <t>NCT05437900</t>
  </si>
  <si>
    <t>INSIGHTFUL-FFR Clinical Trial</t>
  </si>
  <si>
    <t>CoreAalst BV</t>
  </si>
  <si>
    <t>NCT05125211</t>
  </si>
  <si>
    <t>Safety,Tolerability,and Pharmacokinetics Profiles of GB001 Recombinant Peptide Spray in Healthy Subjects</t>
  </si>
  <si>
    <t>Zhejiang Echon Biopharm Limited</t>
  </si>
  <si>
    <t>NCT05152628</t>
  </si>
  <si>
    <t>A Study of Modigraf® (Tacrolimus Granules) to Evaluate the Pharmacokinetics and Long-term Safety and Efficacy in De Novo Pediatric Allograft Liver and Kidney Transplantation Recipients</t>
  </si>
  <si>
    <t>NCT05216965</t>
  </si>
  <si>
    <t>A Clinical Study of 9MW2821 in Subjects With Advanced Malignant Solid Tumors</t>
  </si>
  <si>
    <t>NCT05470413</t>
  </si>
  <si>
    <t>Evaluate the Efficacy and Safety of SHR0302 in Adult Patients With Severe Alopecia Areata</t>
  </si>
  <si>
    <t>NCT05104970</t>
  </si>
  <si>
    <t>Comparative Pharmacokinetics of Two Different Oral Delivery Systems of Cholecalciferol</t>
  </si>
  <si>
    <t>NCT05543369</t>
  </si>
  <si>
    <t>Study to Compare the Level of Elafibranor in Blood After Repeat Administration in Japanese and Non-Asian Healthy Participants</t>
  </si>
  <si>
    <t>NCT05265273</t>
  </si>
  <si>
    <t>A Study of Nipocalimab in Children Aged 2 to Less Than 18 Years With Generalized Myasthenia Gravis</t>
  </si>
  <si>
    <t>NCT05521269</t>
  </si>
  <si>
    <t>Dose Study of ANX1502 in Healthy Volunteers</t>
  </si>
  <si>
    <t>NCT05223686</t>
  </si>
  <si>
    <t>To Evaluate the Safety and Tolerability of Human CD19-CD22 Targeted T Cells Injection for Subjects With R/R B-ALL.</t>
  </si>
  <si>
    <t>NCT05496426</t>
  </si>
  <si>
    <t>A Study of KL130008 in Adults With Severe Alopecia Areata</t>
  </si>
  <si>
    <t>NCT05155085</t>
  </si>
  <si>
    <t>A Study to Assess Subcutaneous Lirentelimab (AK002) in Atopic Dermatitis</t>
  </si>
  <si>
    <t>NCT05007418</t>
  </si>
  <si>
    <t>Study to Assess Allogeneic Anti-CD38 A2 Dimeric Antigen Receptor T Cells in Relapsed or Refractory Multiple Myeloma</t>
  </si>
  <si>
    <t>NCT05057897</t>
  </si>
  <si>
    <t>A Study of AZD1222, a Vaccine for the Prevention of COVID-19 in Immunocompromised Adults</t>
  </si>
  <si>
    <t>NCT05566288</t>
  </si>
  <si>
    <t>Study to Evaluate Electrocardiographic Effects of Therapeutic &amp; Supratherapeutic Doses of Cytisinicline in Healthy Smokers</t>
  </si>
  <si>
    <t>NCT05349617</t>
  </si>
  <si>
    <t>Safety and Immunogenicity of CHIKV VLP Vaccine PXVX0317 in Adults ≥65 Years</t>
  </si>
  <si>
    <t>NCT05419180</t>
  </si>
  <si>
    <t>Study of Interest of Stiripentol and Carbamazepine in the Treatment of Patients With Pharmacoresistant Focal Epilepsies</t>
  </si>
  <si>
    <t>Biocodex</t>
  </si>
  <si>
    <t>NCT05321979</t>
  </si>
  <si>
    <t>Long-term Extension Study to Evaluate MBA-P01 in Subjects With Moderate to Severe Glabellar Lines</t>
  </si>
  <si>
    <t>NCT05363605</t>
  </si>
  <si>
    <t>A Study of [225Ac]-FPI-1966 in Participants With Advanced Solid Tumours</t>
  </si>
  <si>
    <t>NCT05291546</t>
  </si>
  <si>
    <t>A Study to Evaluate the Safety, Tolerability, Pharmacokinetics, and Pharmacodynamics of REGN9035 in Healthy Adult Volunteers and Mildly Hypertensive Participants</t>
  </si>
  <si>
    <t>NCT05121103</t>
  </si>
  <si>
    <t>A Study of the Safety, Tolerability and Effectiveness of EZM0414 (IPN60210) Investigative Product in Participants With Relapsed/Refractory Multiple Myeloma and Relapsed/Refractory Diffuse Large B Cell Lymphoma</t>
  </si>
  <si>
    <t>NCT05424380</t>
  </si>
  <si>
    <t>A Phase 1, Open Label Study of Intravenous GSK3745417 to Evaluate Safety, Tolerability, Pharmacokinetics, Pharmacodynamics and Determine RP2D &amp; Schedule in Participants With Relapsed or Refractory Myeloid Malignancies Including AML and HR MDS</t>
  </si>
  <si>
    <t>NCT05244551</t>
  </si>
  <si>
    <t>A Study to Assess Safety, Tolerability, and Pharmacokinetics of ABSK061 in Patients With Advanced Solid Tumors</t>
  </si>
  <si>
    <t>NCT04704531</t>
  </si>
  <si>
    <t>Phase II Clinical Study to Evaluate the Efficacy of Multidose Lagricel® Ofteno Ophthalmic Solution as Treatment for Dry Eye Disease.</t>
  </si>
  <si>
    <t>NCT04879329</t>
  </si>
  <si>
    <t>A Study of Disitamab Vedotin Alone or With Pembrolizumab in Urothelial Cancer That Expresses HER2</t>
  </si>
  <si>
    <t>NCT05260359</t>
  </si>
  <si>
    <t>Dermal Irritation, Sensitization and Cumulative Irritation Potential of 6% Bemotrizinol</t>
  </si>
  <si>
    <t>NCT05539651</t>
  </si>
  <si>
    <t>A Single and Multiple Ascending Doses Study to Evaluate the Safety and Pharmacokinetics of RBD5044</t>
  </si>
  <si>
    <t>NCT05412979</t>
  </si>
  <si>
    <t>A Study Evaluating the Safety and Efficacy of Hormone Replacement Therapy With ST-1891 Compared to Levothyroxine in Patients With Primary Hypothyroidism</t>
  </si>
  <si>
    <t>Sention Therapeutics, LLC</t>
  </si>
  <si>
    <t>NCT05243342</t>
  </si>
  <si>
    <t>A Study to Evaluate the Safety and Pharmacokinetics of XMAB24306 in Combination With Daratumumab in Participants With Relapsed/Refractory Multiple Myeloma</t>
  </si>
  <si>
    <t>NCT05634746</t>
  </si>
  <si>
    <t>24-Week Induction Study of APT-1011 in Adult Subjects With Eosinophilic Esophagitis (EoE) (FLUTE 3)</t>
  </si>
  <si>
    <t>NCT05298254</t>
  </si>
  <si>
    <t>A Study on the Reactogenicity, Safety, Immune Response, and Efficacy of a Targeted Immunotherapy Against HSV in Healthy Participants Aged 18-40 Years or in Participants Aged 18-60 Years With Recurrent Genital Herpes</t>
  </si>
  <si>
    <t>NCT05485805</t>
  </si>
  <si>
    <t>A Study to Learn How Well a Single Dose of the Study Treatment Naproxen Sodium and Caffeine Combined in One Tablet (Fixed-dose Combination) Works to Relieve Pain After Dental Surgeries Compared to the Single Ingredients and to Placebo</t>
  </si>
  <si>
    <t>NCT06256523</t>
  </si>
  <si>
    <t>A Study of GZR18 Injection in Chinese Adult Patients With Type 2 Diabetes Mellitus (T2DM)</t>
  </si>
  <si>
    <t>NCT05364931</t>
  </si>
  <si>
    <t>A Study to Evaluate the Safety and Efficacy of Cotadutide Given by Subcutaneous Injection in Adult Participants With Non-cirrhotic Non-alcoholic Steatohepatitis With Fibrosis</t>
  </si>
  <si>
    <t>NCT05432388</t>
  </si>
  <si>
    <t>Study of Efficacy, Safety and Tolerability of Remibrutinib in Adult Participants With an Allergy to Peanuts</t>
  </si>
  <si>
    <t>NCT05160168</t>
  </si>
  <si>
    <t>A Study of THE-630 in Patients With Advanced Gastrointestinal Stromal Tumors (GIST)</t>
  </si>
  <si>
    <t>Theseus Pharmaceuticals</t>
  </si>
  <si>
    <t>NCT05756920</t>
  </si>
  <si>
    <t>This is a Study to Evaluate the Safety, Tolerability, PK and PD of IV Administered ABL301 in Healthy Adult Participants</t>
  </si>
  <si>
    <t>NCT05095246</t>
  </si>
  <si>
    <t>A Study of Inhaled KB407 for the Treatment of Cystic Fibrosis</t>
  </si>
  <si>
    <t>NCT05279768</t>
  </si>
  <si>
    <t>Stem Cells and Secretomes for Infertility Therapy in Polycystic Ovary Syndrome (PCOS) Patients With Insulin Resistance.</t>
  </si>
  <si>
    <t>NCT05266924</t>
  </si>
  <si>
    <t>Recombinant Follicle-stimulating Hormone in Treatment for Infertility</t>
  </si>
  <si>
    <t>NCT05354323</t>
  </si>
  <si>
    <t>NECVAX-NEO1 in Addition to Checkpoint Inhibitor in Patients With Solid Tumors</t>
  </si>
  <si>
    <t>NEC OncoImmunity AS</t>
  </si>
  <si>
    <t>NCT05357950</t>
  </si>
  <si>
    <t>A Phase IIb, Multi-Center, Multinational, Double-Blind, Placebo-Controlled Study, With an Open Label Extension, to Evaluate Safety, Tolerability and Efficacy of PrimeC in Subjects With ALS</t>
  </si>
  <si>
    <t>NCT05522335</t>
  </si>
  <si>
    <t>Phase III Study of BBV154 Intranasal Vaccine in Healthy Volunteers</t>
  </si>
  <si>
    <t>NCT03228940</t>
  </si>
  <si>
    <t>Safety and Effect of Oral RVX000222 in Subjects With Fabry Disease</t>
  </si>
  <si>
    <t>NCT05283720</t>
  </si>
  <si>
    <t>A Study to Evaluate Adverse Events and Change in Disease Activity of Subcutaneous (SC) Epcoritamab in Combination With Oral and Intravenous Anti-Neoplastic Agents in Adult Participants With Non-Hodgkin Lymphoma</t>
  </si>
  <si>
    <t>NCT05503355</t>
  </si>
  <si>
    <t>A Phase I/II Dose Escalation and Expansion Study of BST-236 Plus Venetoclax in Patients With Unfit Newly Diagnosed AML</t>
  </si>
  <si>
    <t>NCT05573568</t>
  </si>
  <si>
    <t>Clinical Study of DMT in Healthy Adults</t>
  </si>
  <si>
    <t>Biomind Labs Inc.</t>
  </si>
  <si>
    <t>NCT05174013</t>
  </si>
  <si>
    <t>Safety, Tolerability, Pharmacokinetics and Target Engagement of GSK3858279 in Healthy Caucasian, Chinese and Japanese Participants</t>
  </si>
  <si>
    <t>NCT04530123</t>
  </si>
  <si>
    <t>Dose-Ranging Study of the Efficacy and Safety of TAK-101 for Prevention of Gluten-Specific T Cell Activation in Participants With Celiac Disease on a Gluten-Free Diet</t>
  </si>
  <si>
    <t>NCT05610280</t>
  </si>
  <si>
    <t>A Study of Olezarsen (ISIS 678354) in Participants With Hypertriglyceridemia and Atherosclerotic Cardiovascular Disease, or With Severe Hypertriglyceridemia</t>
  </si>
  <si>
    <t>NCT05395689</t>
  </si>
  <si>
    <t>Efficacy and Safety Assessment of Beltavac® With Polymerized Extract of HDM</t>
  </si>
  <si>
    <t>Probelte Pharma S.L.U.</t>
  </si>
  <si>
    <t>NCT05618782</t>
  </si>
  <si>
    <t>Clinical Trial to Evaluate the Efficacy and Safety of LEVI-04 in Patients With Osteoarthritis of the Knee</t>
  </si>
  <si>
    <t>Levicept</t>
  </si>
  <si>
    <t>NCT05288010</t>
  </si>
  <si>
    <t>CANPAIN Feasibility Study Pragmatic Real World Trial Investigating CBMP in Chronic Pain Patients</t>
  </si>
  <si>
    <t>Harley Street (CPC) Limited</t>
  </si>
  <si>
    <t>NCT05559359</t>
  </si>
  <si>
    <t>A Study of Lebrikizumab (LY3650150) in Participants 6 Months to &lt;18 Years of Age With Moderate-to-Severe Atopic Dermatitis</t>
  </si>
  <si>
    <t>NCT05202379</t>
  </si>
  <si>
    <t>CC-42344 Safety Study in Healthy Participants</t>
  </si>
  <si>
    <t>Cocrystal Pharma, Inc.</t>
  </si>
  <si>
    <t>NCT05407064</t>
  </si>
  <si>
    <t>A Dose-Finding Study of MM120 (LSD D-Tartrate) for the Treatment of Anxiety Symptoms</t>
  </si>
  <si>
    <t>NCT05408221</t>
  </si>
  <si>
    <t>the Efficacy and Safety of Rulonilimab in Combination With Lenvatinib in Hepatocellular Carcinoma</t>
  </si>
  <si>
    <t>NCT05463419</t>
  </si>
  <si>
    <t>A Phase II/III Study of PIKA Recombinant SARS-CoV-2 Vaccine as a Booster Dose.</t>
  </si>
  <si>
    <t>NCT05039411</t>
  </si>
  <si>
    <t>Safety of Allogeneic Human Umbilical Cord Mesenchymal Stem Cells (UC-MSCs) to Treat Perianal Fistulas w/ Crohn's Disease</t>
  </si>
  <si>
    <t>CryoCord Sdn Bhd</t>
  </si>
  <si>
    <t>NCT05269316</t>
  </si>
  <si>
    <t>Study to Evaluate IMP9064 as a Monotherapy or in Combination in Patients With Advanced Solid Tumors</t>
  </si>
  <si>
    <t>NCT05335044</t>
  </si>
  <si>
    <t>Study to Evaluate the Safety and Pharmacokinetics of CKD-331</t>
  </si>
  <si>
    <t>NCT05486598</t>
  </si>
  <si>
    <t>A Study of Diet Influence of AL8326 in Chinese Healthy Adult Subjects</t>
  </si>
  <si>
    <t>NCT05611801</t>
  </si>
  <si>
    <t>A Clinical Trial of Study Medicine (Marstacimab) in Pediatric Patients With Hemophilia A or Hemophilia B</t>
  </si>
  <si>
    <t>NCT05195892</t>
  </si>
  <si>
    <t>Investigate Bioequivalence of Alpelisib Granule and Film-coated Tablet Formulation and the Food Effect of Alpelisib Granule Formulation in Adult Healthy Volunteers</t>
  </si>
  <si>
    <t>NCT05281263</t>
  </si>
  <si>
    <t>Phase 1 Study of BLB-201 Vaccine in Healthy Young and Older Adults</t>
  </si>
  <si>
    <t>Blue Lake Biotechnology Inc.</t>
  </si>
  <si>
    <t>NCT05326516</t>
  </si>
  <si>
    <t>A Study of Revumenib in Combination With Chemotherapy in Participants With R/R Acute Leukemia</t>
  </si>
  <si>
    <t>NCT05271552</t>
  </si>
  <si>
    <t>Dexmedetomidine in the Treatment of Agitation Associated With Dementia (TRANQUILITY II)</t>
  </si>
  <si>
    <t>NCT05316428</t>
  </si>
  <si>
    <t>A Study of the Hemodynamic Interactions of TPN171H Tablets &amp; Alcohol in Healthy Male Subjects</t>
  </si>
  <si>
    <t>NCT05148871</t>
  </si>
  <si>
    <t>Australian Phase 2b Study to Assess Effect of Dose Interval on Spikogen Covid-19 Vaccine</t>
  </si>
  <si>
    <t>NCT06211634</t>
  </si>
  <si>
    <t>A Phase 1/2 Study to Investigate Safety, Tolerability, Pharmacokinetics, Pharmacodynamics, and Efficacy of HMB-001 in Glanzmann Thrombasthenia</t>
  </si>
  <si>
    <t>Hemab ApS</t>
  </si>
  <si>
    <t>NCT05601232</t>
  </si>
  <si>
    <t>A Phase II Study by Using CICS-1 and SPM-011 Commissioned by CICS and STELLA PHARMA</t>
  </si>
  <si>
    <t>Stella Pharma Corporation</t>
  </si>
  <si>
    <t>NCT05381519</t>
  </si>
  <si>
    <t>A Study to Evaluate the Efficacy and Safety of DXP604 in Patients With Mild to Moderate COVID-19</t>
  </si>
  <si>
    <t>NCT05488314</t>
  </si>
  <si>
    <t>A Study of Amivantamab and Capmatinib Combination Therapy in Unresectable Metastatic Non-small Cell Lung Cancer</t>
  </si>
  <si>
    <t>NCT05636436</t>
  </si>
  <si>
    <t>Safety and Immunogenicity of Recombinant Herpes Zoster Vaccine (CHO Cells) in Healthy Subjects Aged 18 Years and Above</t>
  </si>
  <si>
    <t>MAXVAX Biotechnology Limited Liability Company</t>
  </si>
  <si>
    <t>NCT05176314</t>
  </si>
  <si>
    <t>A Drug Drug Interaction (DDI) Study of Pirtobrutinib (LY3527727) and Rosuvastatin in Healthy Participants</t>
  </si>
  <si>
    <t>NCT05286229</t>
  </si>
  <si>
    <t>A Study to Assess Adverse Events and Change in Disease State of Intravenously (IV) Infused Etentamig (ABBV-383) of Adult Participants With Relapsed or Refractory Multiple Myeloma in Japan</t>
  </si>
  <si>
    <t>NCT05624112</t>
  </si>
  <si>
    <t>Dupilumab Skin BArrier Function and LIpidomics STudy in Atopic Dermatitis in China</t>
  </si>
  <si>
    <t>NCT05576181</t>
  </si>
  <si>
    <t>Safety and Efficacy of ThisCART19A Bridging Hematopoietic Stem Cell Transplantation in Patients With Refractory or Relapsed B-cell Acute Lymphoblastic Leukemia</t>
  </si>
  <si>
    <t>NCT05203419</t>
  </si>
  <si>
    <t>Multiple Ascending Dose Study of MHS552 in Adults Participants With Systemic Lupus Erythematosus (SLE)</t>
  </si>
  <si>
    <t>NCT05104853</t>
  </si>
  <si>
    <t>Study to Evaluate the Safety, Tolerability, PDs, and Efficacy of CNP-104 in Subjects With Primary Biliary Cholangitis</t>
  </si>
  <si>
    <t>NCT05806567</t>
  </si>
  <si>
    <t>A Study to Assess the Effect of Oral Belumosudil on Inhibition of Various Proteins in the Fed State in Healthy Male Subjects</t>
  </si>
  <si>
    <t>NCT05476900</t>
  </si>
  <si>
    <t>A Study to Evaluate the Efficacy and Safety of HR19042 Capsules in the Treatment of Autoimmune Hepatitis.</t>
  </si>
  <si>
    <t>NCT05324631</t>
  </si>
  <si>
    <t>A Study to Evaluate the Efficacy and Safety of SHR0302 in Patients With Non-Radiographic Axial Spondyloarthritis</t>
  </si>
  <si>
    <t>NCT05557045</t>
  </si>
  <si>
    <t>A Study of JZP815 Oral Capsules in Adult Participants With Advanced or Metastatic Solid Tumors Harboring Mitogen Activated Protein Kinase (MAPK) Pathway Alterations to Investigate the Safety, Dosing, and Antitumor Activity of JZP815</t>
  </si>
  <si>
    <t>NCT05503901</t>
  </si>
  <si>
    <t>A Long Term Study of STN1012600 in Subjects With Open Angle Glaucoma or Ocular Hypertension</t>
  </si>
  <si>
    <t>NCT05444153</t>
  </si>
  <si>
    <t>Research Study to Compare Semaglutide Tablets With Empagliflozin Tablets Taken Once Daily in People With Type 2 Diabetes and Obesity</t>
  </si>
  <si>
    <t>NCT05844592</t>
  </si>
  <si>
    <t>First in Human, Single Ascending Dose Study</t>
  </si>
  <si>
    <t>Innovo Therapeutics, Inc.</t>
  </si>
  <si>
    <t>NCT05278611</t>
  </si>
  <si>
    <t>a Safety and Tolerability Study of EP-9001A in Healthy Volunteers</t>
  </si>
  <si>
    <t>NCT05514509</t>
  </si>
  <si>
    <t>A Study Evaluating Implementation Strategies for the Delivery of APRETUDE for Black cis-and Transgender Women in United States EHE Territories</t>
  </si>
  <si>
    <t>NCT05388981</t>
  </si>
  <si>
    <t>Study of Single Doses of SBT115301 in Healthy Participants</t>
  </si>
  <si>
    <t>Sonoma Biotherapeutics, Inc.</t>
  </si>
  <si>
    <t>NCT05408429</t>
  </si>
  <si>
    <t>Safety and Immunogenicity of 20vPnC in Toddlers With 2 Prior Doses of Prevenar 13</t>
  </si>
  <si>
    <t>NCT04665037</t>
  </si>
  <si>
    <t>Posaconazole (MK-5592) Intravenous and Oral in Children (&lt;2 Years) With Invasive Fungal Infection (MK-5592-127)</t>
  </si>
  <si>
    <t>NCT05567757</t>
  </si>
  <si>
    <t>Initial Safety Study of the TRUE AVC in Hemodialysis Access (TRUE AVC I Study)</t>
  </si>
  <si>
    <t>NCT05726630</t>
  </si>
  <si>
    <t>Clinical Study of Divozilimab in Patients With Systemic Scleroderma</t>
  </si>
  <si>
    <t>NCT04821310</t>
  </si>
  <si>
    <t>Protonix Treatment of Maintenance of Healing in Pediatric Participants Aged 1-11 Years and 12-17 Years</t>
  </si>
  <si>
    <t>NCT05585320</t>
  </si>
  <si>
    <t>A Phase 1/2a Study of IMM-1-104 in Participants With Advanced or Metastatic Solid Tumors</t>
  </si>
  <si>
    <t>Immuneering Corporation</t>
  </si>
  <si>
    <t>NCT05783882</t>
  </si>
  <si>
    <t>Prolgolimab 250 mg Q3W in Patients With Unresectable or Metastatic Melanoma</t>
  </si>
  <si>
    <t>NCT05508776</t>
  </si>
  <si>
    <t>A Trial to Evaluate the Effect of LEO 152020 on the Heart of Healthy People</t>
  </si>
  <si>
    <t>NCT05390840</t>
  </si>
  <si>
    <t>A Study to Investigate the Effect on Central Macular Thickness of Treatment With MG-O-1002 Eye Drops in Participants Aged Over 45 With Neovascular Age-related Macular Degeneration (nAMD)</t>
  </si>
  <si>
    <t>NCT05541510</t>
  </si>
  <si>
    <t>Evaluating the Safety and Efficacy of AD17002 Intranasal Spray in Treating Participants With Mild to Moderate COVID-19</t>
  </si>
  <si>
    <t>NCT04573023</t>
  </si>
  <si>
    <t>A Phase III Study of JR-141 in Patients With Mucopolysaccharidosis II (STARLIGHT)</t>
  </si>
  <si>
    <t>NCT05558410</t>
  </si>
  <si>
    <t>Evaluation of Efficacy and Safety of Suzetrigine for Acute Pain After an Abdominoplasty</t>
  </si>
  <si>
    <t>NCT05618613</t>
  </si>
  <si>
    <t>Study of Elacestrant in Combination With Onapristone in Patients With Advanced or Metastatic Breast Cancer</t>
  </si>
  <si>
    <t>Context Therapeutics Inc.</t>
  </si>
  <si>
    <t>NCT05602480</t>
  </si>
  <si>
    <t>Phase I Clinical Trial of a Candidate PCV13 in Healthy People</t>
  </si>
  <si>
    <t>Wuhan BravoVax Co., Ltd.</t>
  </si>
  <si>
    <t>NCT05027308</t>
  </si>
  <si>
    <t>A Study of Teduglutide in Japanese Children With Short Bowel Syndrome Aged 4 Months or Older</t>
  </si>
  <si>
    <t>NCT05243550</t>
  </si>
  <si>
    <t>A Phase 3 Single-Arm Study of UGN-102 for Treatment of Low-Grade Intermediate-Risk Non-Muscle Invasive Bladder Cancer</t>
  </si>
  <si>
    <t>NCT05294250</t>
  </si>
  <si>
    <t>Study of the Effect of Food Intake on the Bioavailability of XC8 10 mg Film-coated Tablets</t>
  </si>
  <si>
    <t>NCT05261750</t>
  </si>
  <si>
    <t>Autologous Dendritic Cells and Allogenic Dendritic Secretomes for Patients With Advanced Nasopharyngeal Cancer</t>
  </si>
  <si>
    <t>NCT05532735</t>
  </si>
  <si>
    <t>Safety and Proof of Concept Study of ANXV (Annexin A5) in Patients With Retinal Vein Occlusion</t>
  </si>
  <si>
    <t>NCT05922813</t>
  </si>
  <si>
    <t>Evaluate the Safety and Tolerability of a Single-dose Administration of BMI2004 Inj.</t>
  </si>
  <si>
    <t>NCT05707676</t>
  </si>
  <si>
    <t>A Study to Evaluate the Safety, Tolerability, Pharmacokinetics and Immunogenicity of LB4330 in Patients With Advanced Solid Tumors（MEETCD8-001）</t>
  </si>
  <si>
    <t>NCT05049850</t>
  </si>
  <si>
    <t>A Study to Investigate DSA Rebound in Patients Treated With Imlifidase Prior to Transplantation</t>
  </si>
  <si>
    <t>NCT05324059</t>
  </si>
  <si>
    <t>Efficacy and Safety of Pregabalin/Tramadol Combination Versus Pregabalin in Acute Pain of Neuropathic Origin</t>
  </si>
  <si>
    <t>NCT04113382</t>
  </si>
  <si>
    <t>Study Assessing CLENPIQ as Bowel Preparation for Pediatric Colonoscopy</t>
  </si>
  <si>
    <t>NCT05036668</t>
  </si>
  <si>
    <t>Study of Efficacy and Safety of ABO809 in Healthy Participants</t>
  </si>
  <si>
    <t>NCT05897190</t>
  </si>
  <si>
    <t>Evaluate the Safety and Immunogenicity of a SARS-CoV-2 mRNA Vaccine Booster</t>
  </si>
  <si>
    <t>NCT05553691</t>
  </si>
  <si>
    <t>SPL026 With or Without SSRIs in Participants With MDD</t>
  </si>
  <si>
    <t>NCT05184218</t>
  </si>
  <si>
    <t>Evaluation of IGM-6268 in Healthy Adults and Patients With Mild to Moderate COVID-19</t>
  </si>
  <si>
    <t>NCT05144243</t>
  </si>
  <si>
    <t>Study to Assess Adverse Events and Change in Disease State of Oral Venetoclax in Combination With Subcutaneous (SC) Azacitidine in Newly Diagnosed Adult Participants With Acute Myeloid Leukemia (AML) Who Are Ineligible for Intensive Chemotherapy in China</t>
  </si>
  <si>
    <t>NCT05664217</t>
  </si>
  <si>
    <t>NKTR-255 vs Placebo Following CD19-directed CAR-T Therapy in Patients With Relapsed/Refractory Large B-cell Lymphoma</t>
  </si>
  <si>
    <t>NCT05516550</t>
  </si>
  <si>
    <t>Study to Assess Efficacy and Safety of Treamid for Patients With Reduced Exercise Tolerance After COVID-19</t>
  </si>
  <si>
    <t>NCT05470049</t>
  </si>
  <si>
    <t>A Clinical Study of the Combination of SHR8554 Injection and SHR0410 Injection for the Treatment of Pain After Abdominal Surgery.</t>
  </si>
  <si>
    <t>NCT04815798</t>
  </si>
  <si>
    <t>Phage Therapy for the Prevention and Treatment of Pressure Ulcers.</t>
  </si>
  <si>
    <t>NCT05431387</t>
  </si>
  <si>
    <t>A Study of Cytisinicline for Vaping Cessation in Adult Smokers</t>
  </si>
  <si>
    <t>NCT05493293</t>
  </si>
  <si>
    <t>Extension Study to Evaluate the Safety and Tolerability of NBI-921352 When Used With Anti-seizure Medications in Adults With Focal Onset Seizures</t>
  </si>
  <si>
    <t>NCT05429021</t>
  </si>
  <si>
    <t>IMM-BCP-01 in Mild to Moderate COVID-19</t>
  </si>
  <si>
    <t>NCT05541471</t>
  </si>
  <si>
    <t>A Study to Evaluate the Pharmacokinetic Drug-drug Interactions Between VX-548, Midazolam, and Digoxin</t>
  </si>
  <si>
    <t>NCT05170204</t>
  </si>
  <si>
    <t>A Study Evaluating the Efficacy and Safety of Multiple Therapies in Cohorts of Participants With Locally Advanced, Unresectable, Stage III Non-Small Cell Lung Cancer (NSCLC)</t>
  </si>
  <si>
    <t>NCT05660109</t>
  </si>
  <si>
    <t>A Study to Assess the Safety of TPM502 in Adults With Celiac Disease</t>
  </si>
  <si>
    <t>Topas Therapeutics GmbH</t>
  </si>
  <si>
    <t>NCT05486949</t>
  </si>
  <si>
    <t>Drug-drug Interactions Between AZD4205 and Itraconazole/Carbamazepine</t>
  </si>
  <si>
    <t>NCT05323734</t>
  </si>
  <si>
    <t>Adjunctive GNX Treatment Compared With Placebo in Children and Adults With TSC-related Epilepsy</t>
  </si>
  <si>
    <t>NCT05276206</t>
  </si>
  <si>
    <t>Application of Transversus Abdominus Plain Block, Local Subcutaneous Injection and IV Nalbuphine</t>
  </si>
  <si>
    <t>NCT05171348</t>
  </si>
  <si>
    <t>A Multiple Ascending Doses Study of CM326 Injection in Healthy Subjects</t>
  </si>
  <si>
    <t>NCT05568706</t>
  </si>
  <si>
    <t>A Study of EDP-938 in Non-hospitalized Adults With RSV Who Are at High Risk for Complications.</t>
  </si>
  <si>
    <t>NCT05461352</t>
  </si>
  <si>
    <t>Long-Term Study of TS-142 in Patients with Insomnia</t>
  </si>
  <si>
    <t>NCT05653752</t>
  </si>
  <si>
    <t>A Study of YL202 in Patients With Locally Advanced or Metastatic Non-small Cell Lung Cancer and Breast Cancer</t>
  </si>
  <si>
    <t>NCT05635838</t>
  </si>
  <si>
    <t>Study to Evaluate of the Efficacy and Safety of Ruxolitinib Cream in Participants With Hidradenitis Suppurativa</t>
  </si>
  <si>
    <t>NCT05505448</t>
  </si>
  <si>
    <t>A Trial to Learn if a COVID-19 Therapeutic is Safe and Well Tolerated, and How it Works in the Body of Healthy Adult Participants</t>
  </si>
  <si>
    <t>NCT05246878</t>
  </si>
  <si>
    <t>A Study of EDP-235 in Healthy Subjects</t>
  </si>
  <si>
    <t>NCT05385978</t>
  </si>
  <si>
    <t>A Study of Distal Jejunal-release Dextrose in Obese Participants</t>
  </si>
  <si>
    <t>NCT05470114</t>
  </si>
  <si>
    <t>A Multi-omics Disease Signature Trial in Adult Patients With Moderate to Severe AD</t>
  </si>
  <si>
    <t>NCT05442775</t>
  </si>
  <si>
    <t>A Phase 3, Open-Label Extension of COURAGE-ALS (CY 5031)</t>
  </si>
  <si>
    <t>NCT05411575</t>
  </si>
  <si>
    <t>Plerixafor in Acute Respiratory Distress Syndrome Related to COVID-19 (Phase IIb)</t>
  </si>
  <si>
    <t>4Living Biotech</t>
  </si>
  <si>
    <t>NCT05382299</t>
  </si>
  <si>
    <t>Study of Sacituzumab Govitecan-hziy Versus Treatment of Physician's Choice in Patients With Previously Untreated Locally Advanced Inoperable or Metastatic Triple-Negative Breast Cancer</t>
  </si>
  <si>
    <t>NCT05512598</t>
  </si>
  <si>
    <t>HB0034 in Patients With Generalized Pustular Psoriasis (GPP)</t>
  </si>
  <si>
    <t>NCT05211284</t>
  </si>
  <si>
    <t>Saroglitazar Magnesium 4 mg for Nonalcoholic Fatty Liver Disease (NAFLD) in People Living With HIV in the US</t>
  </si>
  <si>
    <t>NCT07450833</t>
  </si>
  <si>
    <t>Safety, Tolerability and Pharmacokinetics of Benfo-Oxythiamine (B-OT) in Healthy Volunteers</t>
  </si>
  <si>
    <t>Benfovir AG</t>
  </si>
  <si>
    <t>NCT05079230</t>
  </si>
  <si>
    <t>Study of Magrolimab Versus Placebo in Combination With Venetoclax and Azacitidine in Participants With Acute Myeloid Leukemia</t>
  </si>
  <si>
    <t>NCT05812404</t>
  </si>
  <si>
    <t>Phase 1 Clinical Trial to Evaluate the Effect of DWP14012 on the Pharmacokinetics of DWC202201 in Healthy Subjects</t>
  </si>
  <si>
    <t>NCT05338099</t>
  </si>
  <si>
    <t>Determine the Safety and Dose of EN001 in Patients With Duchenne Muscular Dystrophy(DMD)</t>
  </si>
  <si>
    <t>NCT05207514</t>
  </si>
  <si>
    <t>Compare the Efficacy and the Safety of Taxotere and Nanoxel M as Neoadjuvant Chemotherapy in Breast Cancer</t>
  </si>
  <si>
    <t>Samyang Biopharmaceuticals Corporation</t>
  </si>
  <si>
    <t>NCT05438498</t>
  </si>
  <si>
    <t>Real World Evaluation of the Effectiveness of AZD7442 for Prevention of SARS-CoV-2</t>
  </si>
  <si>
    <t>MediMergent, LLC</t>
  </si>
  <si>
    <t>NCT05470933</t>
  </si>
  <si>
    <t>A Study Explore WJ01075 Tablets in Patients With Advanced Solid Tumors</t>
  </si>
  <si>
    <t>NCT05636904</t>
  </si>
  <si>
    <t>Safety and Efficacy Study of Topical DLQ01 in the Treatment of Androgenetic Alopecia (AGA) in Men</t>
  </si>
  <si>
    <t>Dermaliq Therapeutics, Inc.</t>
  </si>
  <si>
    <t>NCT04941404</t>
  </si>
  <si>
    <t>A Study of TQ05105 Tablets in Subjects With Glucocorticoid-Refractory Acute Graft-Versus-Host Disease (aGVHD)</t>
  </si>
  <si>
    <t>NCT05247684</t>
  </si>
  <si>
    <t>AK112 Neoadjuvant/Adjuvant Treatment for Resectable NSCLC</t>
  </si>
  <si>
    <t>NCT05433506</t>
  </si>
  <si>
    <t>Safety and Pharmacokinetics of HU6</t>
  </si>
  <si>
    <t>NCT05619484</t>
  </si>
  <si>
    <t>Smart Ankle-Foot Orthosis to Improve Stroke Outcomes: Smart AFO</t>
  </si>
  <si>
    <t>Orthocare Innovations, LLC</t>
  </si>
  <si>
    <t>NCT05232864</t>
  </si>
  <si>
    <t>Open-label Extension Study of Efficacy, Safety and Tolerability of Secukinumab in Patients With Active Lupus Nephritis</t>
  </si>
  <si>
    <t>NCT05282121</t>
  </si>
  <si>
    <t>A Study to Test Whether BI 685509 Alone or in Combination With Empagliflozin Helps People With Liver Cirrhosis Caused by Viral Hepatitis or Non-alcoholic Steatohepatitis (NASH) Who Have High Blood Pressure in the Portal Vein (Main Vessel Going to the Liver)</t>
  </si>
  <si>
    <t>NCT05293704</t>
  </si>
  <si>
    <t>An Open Study on the Preventive Effect of Early Mizoribine Conversion on BKV Nephropathy in Renal Transplant Recipients</t>
  </si>
  <si>
    <t>NCT05180799</t>
  </si>
  <si>
    <t>A Phase 1/2 Study of BA3071 in Patients With Solid Tumors</t>
  </si>
  <si>
    <t>NCT05655299</t>
  </si>
  <si>
    <t>VTX958 Versus Placebo for the Treatment of Moderate to Severe Psoriasis</t>
  </si>
  <si>
    <t>Ventyx Biosciences, Inc</t>
  </si>
  <si>
    <t>NCT05560607</t>
  </si>
  <si>
    <t>Knockdown of HSD17B13 mRNA, Pharmacokinetics, Safety, and Tolerability, of AZD7503 in Non-Alcoholic Fatty Liver Disease</t>
  </si>
  <si>
    <t>NCT06281236</t>
  </si>
  <si>
    <t>A Trial of Prednisolone in Combination With SPI-62 in Participants With Polymyalgia Rheumatica (PMR)</t>
  </si>
  <si>
    <t>NCT05186012</t>
  </si>
  <si>
    <t>APG-1252 Monotherapy or in Combination With Other Therapeutic Agent in Subjects With Relapsed or Refractory Non-Hodgkin Lymphoma</t>
  </si>
  <si>
    <t>NCT06746311</t>
  </si>
  <si>
    <t>This is a Phase 1 Study in Which Healthy Volunteers and Participants with Chronic HBV Infection Will Receive HT-101 or Placebo and Will Be Assessed for Safety, Tolerability, Pharmacokinetics (PK), and Antiviral Activity</t>
  </si>
  <si>
    <t>Suzhou HepaThera Biotech Co., Ltd.</t>
  </si>
  <si>
    <t>NCT05245734</t>
  </si>
  <si>
    <t>Human Anti-D (rh) Immunoglobulin (Rhesoglobin) Efficacy, Safety and Some Pharmacokinetics Parameters in Pregnant Women</t>
  </si>
  <si>
    <t>NCT05503264</t>
  </si>
  <si>
    <t>A Study to Evaluate the Efficacy, Safety, Pharmacokinetics (PK), and Pharmacodynamics (PD) of Satralizumab in Participants With Anti-N-methyl-D-aspartic Acid Receptor (NMDAR) or Anti-leucine-rich Glioma-inactivated 1 (LGI1) Encephalitis</t>
  </si>
  <si>
    <t>NCT05162365</t>
  </si>
  <si>
    <t>A Safety, Tolerability, and Efficacy Study of IBI314 in Ambulatory Patients With COVID-19</t>
  </si>
  <si>
    <t>NCT07134907</t>
  </si>
  <si>
    <t>The Efficacy and Safety of Qianweitai (Silodosin Capsule) Versus Tamsulosin in the Treatment of BPH</t>
  </si>
  <si>
    <t>Shanghai Huilun Pharmaceutical Co., Ltd.</t>
  </si>
  <si>
    <t>NCT05753592</t>
  </si>
  <si>
    <t>A Study to Investigate the Pharmacokinetics and Safety of Remibrutinib in Participants With Hepatic Impairment Compared With Matched Healthy Participants</t>
  </si>
  <si>
    <t>NCT05584111</t>
  </si>
  <si>
    <t>Oral Administration of STC-15 in Subjects With Advanced Malignancies</t>
  </si>
  <si>
    <t>STORM Therapeutics LTD</t>
  </si>
  <si>
    <t>NCT05552807</t>
  </si>
  <si>
    <t>SCT200 in Combination With SCT-I10A/Paclitaxel/Docetaxel in Recurrent/Metastatic Head and Neck Squamous Cell Carcinoma</t>
  </si>
  <si>
    <t>NCT05369832</t>
  </si>
  <si>
    <t>An Open-label Study of Ozanimod in Moderate to Severe Ulcerative Colitis in Clinical Practice</t>
  </si>
  <si>
    <t>NCT05402371</t>
  </si>
  <si>
    <t>A Study to Evaluate the Efficacy and Safety of Rencofilstat in Subjects With NASH and Advanced Liver Fibrosis</t>
  </si>
  <si>
    <t>NCT05386472</t>
  </si>
  <si>
    <t>A Study to Learn About the Study Medicine (Nirmatrelvir Plus Ritonavir) in Pregnant Women With COVID-19</t>
  </si>
  <si>
    <t>NCT05588557</t>
  </si>
  <si>
    <t>A Phase I Study to Evaluate the Safety and PK of ND-340 in Healthy Volunteers</t>
  </si>
  <si>
    <t>NCT05568719</t>
  </si>
  <si>
    <t>Safety and Effectiveness of Giroctocogene Fitelparvovec or Fidanacogene Elaparvovec in Patients With Hemophilia A or B Respectively</t>
  </si>
  <si>
    <t>NCT05540327</t>
  </si>
  <si>
    <t>The Willow LTE Study With M5049 in Participants With SCLE, DLE and/or SLE (WILLOW LTE)</t>
  </si>
  <si>
    <t>NCT05219253</t>
  </si>
  <si>
    <t>A Study on the Immune Response and Safety of a Vaccine Against Herpes Zoster in Adults Aged 50 Years and Older in India</t>
  </si>
  <si>
    <t>NCT05203341</t>
  </si>
  <si>
    <t>Study to Assess the Efficacy and Safety of NBI-1065845 in Adults With Major Depressive Disorder (MDD)</t>
  </si>
  <si>
    <t>NCT04721756</t>
  </si>
  <si>
    <t>Early Clinical Evaluation of 18F-LY3546117 in Tumor Imaging</t>
  </si>
  <si>
    <t>Avid Radiopharmaceuticals</t>
  </si>
  <si>
    <t>NCT06511895</t>
  </si>
  <si>
    <t>AZD4205 in Relapsed or Refractory Peripheral T Cell Lymphoma (JACKPOT27)</t>
  </si>
  <si>
    <t>NCT05583357</t>
  </si>
  <si>
    <t>Exploratory Clinical Study to Evaluation of the Safety and Immunogenicity of Bivalent Vaccine V-01D-351</t>
  </si>
  <si>
    <t>NCT05502341</t>
  </si>
  <si>
    <t>Study to Compare Bictegravir/Lenacapavir Versus Current Therapy in People With HIV-1 Who Are Successfully Treated With a Complicated Regimen</t>
  </si>
  <si>
    <t>NCT06508645</t>
  </si>
  <si>
    <t>Study to Evaluate the Safety/Tolerability, PK and PD After Intravenous DWJ1521 Administration in Healthy Volunteers</t>
  </si>
  <si>
    <t>NCT05455619</t>
  </si>
  <si>
    <t>Evexomostat Plus PI3K or AKT Inhibitor and Fulvestrant in Patients With a PI3K Alteration and HR+/Her2- Breast Cancer</t>
  </si>
  <si>
    <t>SynDevRx, Inc.</t>
  </si>
  <si>
    <t>NCT05372367</t>
  </si>
  <si>
    <t>A Study in People With Advanced Cancer to Test Whether the Amount of BI 907828 in the Blood is Influenced by Taking an OATP Inhibitor or a CYP3 Inhibitor</t>
  </si>
  <si>
    <t>NCT04992312</t>
  </si>
  <si>
    <t>A Study of Nasal Glucagon (LY900018) in Pediatric Participants With Type 1 Diabetes</t>
  </si>
  <si>
    <t>NCT05552781</t>
  </si>
  <si>
    <t>H002 in Patients With EGFR Mutation Locally Advanced or Metastatic NSCLC</t>
  </si>
  <si>
    <t>NCT03554707</t>
  </si>
  <si>
    <t>SGT-53 in Children With Recurrent or Progressive CNS Malignancies</t>
  </si>
  <si>
    <t>SynerGene Therapeutics, Inc.</t>
  </si>
  <si>
    <t>NCT06579573</t>
  </si>
  <si>
    <t>ONO-2017 Study Japanese Patients With Primary Generalized Tonic Clonic Seizures.</t>
  </si>
  <si>
    <t>NCT05516966</t>
  </si>
  <si>
    <t>Safety, Tolerability, Pharmacokinetics and Pharmacodynamics of Multiple Subcutaneous Injections of HRS9531 in Patients With Type 2 Diabetes Mellitus</t>
  </si>
  <si>
    <t>NCT05569057</t>
  </si>
  <si>
    <t>A Phase I Trial of SIM1811-03 in Subjects With Advanced Solid Tumors and Cutaneous T-cell Lymphoma</t>
  </si>
  <si>
    <t>NCT05437419</t>
  </si>
  <si>
    <t>A Study to Investigate Safety, Tolerability, and PK of Oral Doses of TCK-276 in Patients With Rheumatoid Arthritis</t>
  </si>
  <si>
    <t>Teijin America, Inc.</t>
  </si>
  <si>
    <t>NCT05428930</t>
  </si>
  <si>
    <t>Safety and Efficacy of CKDB-501B in Subjects With Moderate-to-severe Glabellar Lines</t>
  </si>
  <si>
    <t>NCT05199571</t>
  </si>
  <si>
    <t>Study of Efficacy and Safety of Ofatumumab in Relapsing Multiple Sclerosis (RMS) Patients in China</t>
  </si>
  <si>
    <t>NCT05329545</t>
  </si>
  <si>
    <t>Upifitamab Rilsodotin Maintenance in Platinum-Sensitive Recurrent Ovarian Cancer (UP-NEXT)</t>
  </si>
  <si>
    <t>NCT05377528</t>
  </si>
  <si>
    <t>Study of AGEN1571 in Participants With Advanced Solid Tumors</t>
  </si>
  <si>
    <t>NCT05096065</t>
  </si>
  <si>
    <t>Study to Evaluate the Pharmacodynamics and Efficacy of Leuprolide Tablets (Ovarest®) in Women With Endometriosis</t>
  </si>
  <si>
    <t>Enteris BioPharma Inc.</t>
  </si>
  <si>
    <t>NCT05653856</t>
  </si>
  <si>
    <t>Cu-64-PSMA-I&amp;T Positron Emission Tomography (PET) Imaging of Metastatic PSMA Positive Lesions in Men With Prostate Cancer</t>
  </si>
  <si>
    <t>NCT03863145</t>
  </si>
  <si>
    <t>Study to Evaluate Maximum Tolerated Dose of Oral CB-03-10 With Dose Expansion Phase, in Advanced Solid Tumors</t>
  </si>
  <si>
    <t>Cosmo Technologies Ltd</t>
  </si>
  <si>
    <t>NCT05199753</t>
  </si>
  <si>
    <t>Study of LM-108 as a Single Agent or in Combination With Anti-PD-1 Antibody in Subjects With Advanced Solid Tumours</t>
  </si>
  <si>
    <t>NCT05348772</t>
  </si>
  <si>
    <t>A First-In-Human Phase 1b Study of AmnioPul-02 in COVID-19 / Other LRTI</t>
  </si>
  <si>
    <t>Amniotics AB</t>
  </si>
  <si>
    <t>NCT05415072</t>
  </si>
  <si>
    <t>A Phase I/II Study of DYP688 in Patients With Metastatic Uveal Melanoma and Other GNAQ/11 Mutant Melanomas</t>
  </si>
  <si>
    <t>NCT05516992</t>
  </si>
  <si>
    <t>Moderate - Severe Degenerative Disc Disease Evaluation of the Lumbar Spine</t>
  </si>
  <si>
    <t>Spine BioPharma, Inc</t>
  </si>
  <si>
    <t>NCT05396339</t>
  </si>
  <si>
    <t>A Clinical Trial to Evaluate the Effect of IAE0972 in Patients With Advanced Malignant Solid Tumors.</t>
  </si>
  <si>
    <t>NCT05165771</t>
  </si>
  <si>
    <t>Study to Evaluate Safety, Tolerability, and Efficacy of GS-5718 in Participants With Active Rheumatoid Arthritis Who Have an Inadequate Response to Disease-modifying Antirheumatic Drug(s) (bDMARDs) Treatment</t>
  </si>
  <si>
    <t>NCT05593445</t>
  </si>
  <si>
    <t>A Study to Evaluate the Efficacy and Safety of Ruxolitinib Cream in Participants With Lichen Sclerosus</t>
  </si>
  <si>
    <t>NCT05253053</t>
  </si>
  <si>
    <t>To Evaluate Efficacy and Safety of TT-00420 (Tinengotinib) as Monotherapy and Combination Therapy in Patients With Advanced Solid Tumors</t>
  </si>
  <si>
    <t>NCT05453136</t>
  </si>
  <si>
    <t>Phase III Study of TS-142 in Patients with Insomnia</t>
  </si>
  <si>
    <t>NCT05664334</t>
  </si>
  <si>
    <t>Safety and Immunogenicity of IVX-A12 in Healthy Older Adults</t>
  </si>
  <si>
    <t>Icosavax, Inc.</t>
  </si>
  <si>
    <t>NCT01297400</t>
  </si>
  <si>
    <t>Phase 2 Pilot Study of the Safety and Efficacy of Topical MW-III in Thermal Burns</t>
  </si>
  <si>
    <t>Skingenix, Inc.</t>
  </si>
  <si>
    <t>NCT05309200</t>
  </si>
  <si>
    <t>A Study of OCE-205 in Participants With Cirrhosis With Ascites Who Developed Hepatorenal Syndrome-Acute Kidney Injury</t>
  </si>
  <si>
    <t>Ocelot Bio, Inc</t>
  </si>
  <si>
    <t>NCT05333211</t>
  </si>
  <si>
    <t>Ortho-R® for Rotator Cuff Repair Compared With Standard of Care Rotator Cuff Repair Without Ortho-R®</t>
  </si>
  <si>
    <t>ChitogenX Inc</t>
  </si>
  <si>
    <t>NCT05629598</t>
  </si>
  <si>
    <t>A Study of PEG-EPO Injection (CHO Cells) for Maintenance Therapy of Patients With Renal Anemia .</t>
  </si>
  <si>
    <t>NCT05421598</t>
  </si>
  <si>
    <t>Dose Ranging Study of Amlitelimab in Adult Participants With Moderate-to-severe Asthma</t>
  </si>
  <si>
    <t>NCT05340621</t>
  </si>
  <si>
    <t>NAUTILUS: OKI-179 Plus Binimetinib in Patients with Advanced Solid Tumors in the RAS Pathway (Phase 1b) and NRAS-mutated Melanoma (Phase 2)</t>
  </si>
  <si>
    <t>OnKure, Inc.</t>
  </si>
  <si>
    <t>NCT06088862</t>
  </si>
  <si>
    <t>Evaluate Harm Reduction Products as a Second Line Intervention for Adult Smokers Who Do Not Quit With NRT</t>
  </si>
  <si>
    <t>NCT06068946</t>
  </si>
  <si>
    <t>VK2735 for Weight Management Phase 2</t>
  </si>
  <si>
    <t>NCT06181370</t>
  </si>
  <si>
    <t>Phase I Study to Assess Safety, Tolerability, PK and PD of AGMB-447 in Healthy Participants and Participants With IPF</t>
  </si>
  <si>
    <t>Agomab Spain S.L.</t>
  </si>
  <si>
    <t>NCT05705635</t>
  </si>
  <si>
    <t>A Study of Docetaxel for Injection (Albumin-bound) in Patients With Gastric Cancer</t>
  </si>
  <si>
    <t>NCT05665062</t>
  </si>
  <si>
    <t>Autologous CD19 CAR-T Cell Therapy (SYNCAR-001) + Orthogonal IL-2 (STK-009) in Subjects With CD19+ Hematologic Malignancies</t>
  </si>
  <si>
    <t>NCT05669989</t>
  </si>
  <si>
    <t>International Treatment-extension Study in Adult Participants With Multiple Myeloma and Who Have Derived Clinical Benefit From Isatuximab</t>
  </si>
  <si>
    <t>NCT04327310</t>
  </si>
  <si>
    <t>Clinical Study of Meplazumab to Treat With Malaria</t>
  </si>
  <si>
    <t>NCT06006403</t>
  </si>
  <si>
    <t>Safety and Efficacy of CD123-targeted CAR-NK for Relapsed/Refractory Acute Myeloid Leukemia or Blastic Plasmacytoid Dendritic Cell Neoplasm</t>
  </si>
  <si>
    <t>NCT06136741</t>
  </si>
  <si>
    <t>A Phase 2b Study to Evaluate Rezpegaldesleukin (Rezpeg) in the Treatment of Adult Patients With Moderate-to-Severe Atopic Dermatitis</t>
  </si>
  <si>
    <t>NCT06144060</t>
  </si>
  <si>
    <t>A Trial of Intravenous HRS-8427 in the Treatment of Adults With Complicate Urinary Tract Infection, Including Acute Pyelonephritis</t>
  </si>
  <si>
    <t>NCT05655182</t>
  </si>
  <si>
    <t>A Study of BLB-201 RSV Vaccine in Infants and Children</t>
  </si>
  <si>
    <t>NCT05776069</t>
  </si>
  <si>
    <t>Study of VGA039 in Healthy Volunteers and Patients With Von Willebrand Disease (VIVID)</t>
  </si>
  <si>
    <t>Vega Therapeutics, Inc</t>
  </si>
  <si>
    <t>NCT05648591</t>
  </si>
  <si>
    <t>Safety and Tolerability of Open-Labeled Iloperidone in Adolescents</t>
  </si>
  <si>
    <t>NCT05660382</t>
  </si>
  <si>
    <t>Phase III Efficacy and Safety Study of Miconazole Oil for Otomycosis</t>
  </si>
  <si>
    <t>NCT05939596</t>
  </si>
  <si>
    <t>A Phase I Clinical Trial to Evaluate the Safety, Tolerability, and Immunogenicity of SARS-CoV-2 Bivalent mRNA Vaccine (LVRNA021)</t>
  </si>
  <si>
    <t>NCT06974825</t>
  </si>
  <si>
    <t>A Study of BGM0504 in Chinese Patients With Type 2 Diabetes</t>
  </si>
  <si>
    <t>BrightGene Bio-Medical Technology Co., Ltd.</t>
  </si>
  <si>
    <t>NCT06179108</t>
  </si>
  <si>
    <t>Randomized, Double-blinded, Placebo-controlled, Evaluating the Treatment With LB-102 in Patients With Acute Schizophrenia</t>
  </si>
  <si>
    <t>NCT05723640</t>
  </si>
  <si>
    <t>The Safety and Dosimetry Study of 177Lu-LNC1004 Injection</t>
  </si>
  <si>
    <t>Yantai LNC Biotechnology Singapore PTE. LTD.</t>
  </si>
  <si>
    <t>NCT06312059</t>
  </si>
  <si>
    <t>Goat or Cow Milk Based Infant Formula GMS</t>
  </si>
  <si>
    <t>Kendal Nutricare Ltd</t>
  </si>
  <si>
    <t>NCT05739903</t>
  </si>
  <si>
    <t>Phamacokinetics and Safety Profiles of DA-1229_01 5/1000mg in Healthy Subjects at Fasting State</t>
  </si>
  <si>
    <t>NCT06008288</t>
  </si>
  <si>
    <t>A Phase II Study Evaluating JAB-21822 Monotherapy in Adult Patients With Pancreatic Cancer and Other Solid Tumors Harboring the KRAS p.G12C Mutation.</t>
  </si>
  <si>
    <t>NCT05650320</t>
  </si>
  <si>
    <t>To Demonstrate the Superiority of IMP (0.3% and 1% OPA-15406 Ointment) Versus the Vehicle in Pediatric Patients with AD</t>
  </si>
  <si>
    <t>NCT05972720</t>
  </si>
  <si>
    <t>A Phase 2 Study of Firi-cel in Patients With Relapsed/Refractory Large B-cell Lymphoma</t>
  </si>
  <si>
    <t>CARGO Therapeutics</t>
  </si>
  <si>
    <t>NCT05908396</t>
  </si>
  <si>
    <t>Evaluation of IGM-2644 in Adults With Relapsed and/or Refractory Multiple Myeloma</t>
  </si>
  <si>
    <t>NCT06120582</t>
  </si>
  <si>
    <t>Study of the Safety, Pharmacodynamics and Efficacy of ANB-002 in Patients With Hemophilia B (SAFRAN)</t>
  </si>
  <si>
    <t>NCT05895786</t>
  </si>
  <si>
    <t>A Study to Understand How the Study Medicine (PF-06823859) Works in People With Active Idiopathic Inflammatory Myopathies [Dermatomyositis (DM) and Polymyositis (PM)]</t>
  </si>
  <si>
    <t>NCT05997602</t>
  </si>
  <si>
    <t>To Evaluate the Efficacy, Safety, and PK Characteristics of FCN-159 in Pediatric Patients With Refractory/Recurrent LCH</t>
  </si>
  <si>
    <t>NCT05378672</t>
  </si>
  <si>
    <t>A Study to Inv. Safety, Efficacy &amp; PD of Dasiglucagon as Hypoglycemia Rescue Therapy in Children &lt;6 Years With T1D</t>
  </si>
  <si>
    <t>NCT06353165</t>
  </si>
  <si>
    <t>Anti-bacterial Clinical Study on Teeth, Tongue, Cheek, Gum, and Saliva</t>
  </si>
  <si>
    <t>NCT06049667</t>
  </si>
  <si>
    <t>A Phase 1 Clinical Trail of NTQ2494 Tablets in Patients With Advanced Hematological Malignancies</t>
  </si>
  <si>
    <t>NCT05483907</t>
  </si>
  <si>
    <t>To Evaluate the Efficacy, Safety, and Tolerability of BBT-877 in Patients With IPF</t>
  </si>
  <si>
    <t>NCT06089837</t>
  </si>
  <si>
    <t>Safety, Tolerability, and Pharmacokinetics of Multiple Doses of Oral EC5026 in Healthy Subjects</t>
  </si>
  <si>
    <t>NCT05433272</t>
  </si>
  <si>
    <t>Immunogenicity and Safety Study of One Booster Dose of Trivalent COVID-19 Vaccine (Vero Cell), Inactivated</t>
  </si>
  <si>
    <t>Sinovac Biotech (Colombia) S.A.S.</t>
  </si>
  <si>
    <t>NCT06031454</t>
  </si>
  <si>
    <t>Drug-durg Interaction of Leritrelvir(RAY1216) With Midazolam, Omeprazole, Rosuvastatin, Verapamil, and Rifampin</t>
  </si>
  <si>
    <t>NCT05843305</t>
  </si>
  <si>
    <t>A Study of BPI-452080 in Subjects With Solid Tumors</t>
  </si>
  <si>
    <t>NCT05675072</t>
  </si>
  <si>
    <t>Evaluate the Efficacy and Safety of FB2001 for Inhalation in Patients With Mild to Moderate COVID-19</t>
  </si>
  <si>
    <t>NCT05794230</t>
  </si>
  <si>
    <t>Study of a Quadrivalent Meningococcal Conjugate Vaccine (MenACYW Conjugate Vaccine) Given With Routine Pediatric Vaccines in Healthy Infants and Toddlers in India and the Republic of South Africa</t>
  </si>
  <si>
    <t>NCT06678607</t>
  </si>
  <si>
    <t>Phase I Clinical Trial of PCV24 in People Aged 18 Years and Older</t>
  </si>
  <si>
    <t>Shanghai Reinovax Biologics Co.,LTD</t>
  </si>
  <si>
    <t>NCT05952557</t>
  </si>
  <si>
    <t>An Adjuvant Endocrine-based Therapy Study of Camizestrant (AZD9833) in ER+/HER2- Early Breast Cancer (CAMBRIA-2)</t>
  </si>
  <si>
    <t>NCT05816356</t>
  </si>
  <si>
    <t>To Study the Oral Bioavailability of a New Combination Formation of Decitabine and Tetrahydrouridine in Healthy Males</t>
  </si>
  <si>
    <t>NCT05816395</t>
  </si>
  <si>
    <t>Safety and Efficacy of RHH646 for Knee Osteoarthritis</t>
  </si>
  <si>
    <t>NCT06123754</t>
  </si>
  <si>
    <t>Phase III Study of Envafolimab Versus Placebo Plus Chemotherapy in Resectable Stage III NSCLC</t>
  </si>
  <si>
    <t>NCT05920356</t>
  </si>
  <si>
    <t>A Study Evaluating Sotorasib Platinum Doublet Combination Versus Pembrolizumab Platinum Doublet Combination as a Front-Line Therapy in Participants With Stage IV or Advanced Stage IIIB/C Nonsquamous Non-Small Cell Lung Cancers (CodeBreaK 202)</t>
  </si>
  <si>
    <t>NCT04183595</t>
  </si>
  <si>
    <t>NBMI Treatment in Patients With Mercury Toxicity</t>
  </si>
  <si>
    <t>EmeraMed</t>
  </si>
  <si>
    <t>NCT06225856</t>
  </si>
  <si>
    <t>An Open-Label, Multicenter, Phase I Study to Evaluate the Safety, Pharmacokinetics and Preliminary Efficacy of YY201 in Patients With Advanced Solid Tumors and Hematological Malignancies</t>
  </si>
  <si>
    <t>NCT05868356</t>
  </si>
  <si>
    <t>A PK Study to Assess the Drug-drug Interaction of a Strong CYP2C8 Inhibitor on Adagrasib</t>
  </si>
  <si>
    <t>NCT06138795</t>
  </si>
  <si>
    <t>A Single and Multiple Ascending Dose Study to Investigate Safety, Tolerability, Pharmacokinetics, and Pharmacodynamics of AZD2389 in Healthy Participants</t>
  </si>
  <si>
    <t>NCT05660395</t>
  </si>
  <si>
    <t>A Study to Evaluate the Pharmacokinetics and Safety of Loncastuximab Tesirine in Participants With Relapsed or Refractory Diffuse Large B-cell Lymphoma or High-grade B-cell Lymphoma With Hepatic Impairment (LOTIS-10)</t>
  </si>
  <si>
    <t>NCT06077656</t>
  </si>
  <si>
    <t>Dose-Ranging Study to Evaluate a 25-Valent Pneumococcal Conjugate Vaccine</t>
  </si>
  <si>
    <t>NCT05707377</t>
  </si>
  <si>
    <t>A Study to Examine the Efficacy and Safety of Zanubrutinib Given to Adults With Primary Membranous Nephropathy</t>
  </si>
  <si>
    <t>NCT06181227</t>
  </si>
  <si>
    <t>A Phase 2 Study of Intravitreal AVD-104 in Diabetic Macular Edema</t>
  </si>
  <si>
    <t>Aviceda Therapeutics, Inc.</t>
  </si>
  <si>
    <t>NCT06186531</t>
  </si>
  <si>
    <t>PhytoSERM for Menopausal Hot Flashes and Sustained Brain Health</t>
  </si>
  <si>
    <t>NeuTherapeutics</t>
  </si>
  <si>
    <t>NCT05713110</t>
  </si>
  <si>
    <t>A Study of Tazemetostat in Combination With HMPL-689 in Patients With Relapsed/Refractory Lymphoma</t>
  </si>
  <si>
    <t>NCT05990920</t>
  </si>
  <si>
    <t>Study of Allogeneic Blood-derived Natural Killer Cells to Evaluate Safety and Tolerability in Cancer Refractory to Conventional Therapy</t>
  </si>
  <si>
    <t>NCT05829603</t>
  </si>
  <si>
    <t>Dose-finding Study for the Combination of DMT and Harmine in Healthy Subjects</t>
  </si>
  <si>
    <t>Reconnect Labs</t>
  </si>
  <si>
    <t>NCT06143956</t>
  </si>
  <si>
    <t>A Master Protocol Study (LY900038) of Multiple Intervention-Specific-Appendices (ISAs) in Adult Participants With Obesity or Overweight</t>
  </si>
  <si>
    <t>NCT06579053</t>
  </si>
  <si>
    <t>Bioequivalence Study of Spironolactone Tablets in Healthy Subjects</t>
  </si>
  <si>
    <t>SPH Sine Pharmaceutical Laboratories Co., Ltd.</t>
  </si>
  <si>
    <t>NCT05514340</t>
  </si>
  <si>
    <t>Assess Safety and Efficacy of Sovateltide in Hypoxic-ischemic Encephalopathy</t>
  </si>
  <si>
    <t>NCT06161220</t>
  </si>
  <si>
    <t>A TQT Study to Evaluate the Electrocardiographic Effects of Carbidopa in Healthy Subjects</t>
  </si>
  <si>
    <t>Impax Laboratories, LLC</t>
  </si>
  <si>
    <t>NCT06107803</t>
  </si>
  <si>
    <t>A Study to Evaluate the Safety, Tolerability, Pharmacodynamics, and Pharmacokinetics of Co-Administration of Roluperidone and Olanzapine in Adult Subjects With Moderate to Severe Negative Symptoms of Schizophrenia</t>
  </si>
  <si>
    <t>Minerva Neurosciences</t>
  </si>
  <si>
    <t>NCT05900986</t>
  </si>
  <si>
    <t>LS301-IT in Partial Mastectomy and Sentinel Lymph Node Biopsy (SLNB) for DCIS or Stage I-II Primary Invasive Breast Cancer</t>
  </si>
  <si>
    <t>Integro Theranostics</t>
  </si>
  <si>
    <t>NCT05755282</t>
  </si>
  <si>
    <t>Touch and Feel Evaluation of Two Foam Hand Sanitizers</t>
  </si>
  <si>
    <t>NCT05668403</t>
  </si>
  <si>
    <t>A Phase I Clinical Study of Recombinant Humanized Anti-CD20(B-lymphocyte Antigen CD20) Monoclonal Antibody Subcutaneous Injection in the Treatment of Primary Membranous Nephropathy</t>
  </si>
  <si>
    <t>NCT05851066</t>
  </si>
  <si>
    <t>A VSA003 Phase 1 Study in Chinese Adult Healthy Volunteers</t>
  </si>
  <si>
    <t>Visirna Therapeutics HK Limited</t>
  </si>
  <si>
    <t>NCT05739851</t>
  </si>
  <si>
    <t>Phamacokinetics and Safety Profiles of DA-1229_01 2.5/500mg in Healthy Subjects at Fasting State</t>
  </si>
  <si>
    <t>NCT06126042</t>
  </si>
  <si>
    <t>Comparative Pharmacokinetic Study of Three Abatacept Products in Male Normal Healthy Volunteers by the Subcutaneous Route</t>
  </si>
  <si>
    <t>NCT07277179</t>
  </si>
  <si>
    <t>Evaluate the Efficacy, Safety, and Pharmacokinetic Profile and Immunogenicity of Subcutaneous Netakimab in Chinese Adult Patients With Active Ankylosing Spondylitis</t>
  </si>
  <si>
    <t>SPH-BIOCAD (HK) Limited</t>
  </si>
  <si>
    <t>NCT05959486</t>
  </si>
  <si>
    <t>A Study to Evaluate the Pharmacokinetics and Safety Between Single Administration of "BR6002" and Coadministration of "BR6002A" and "BR6002B" Under Fasting Conditions in Healthy Adult Volunteers</t>
  </si>
  <si>
    <t>NCT05095441</t>
  </si>
  <si>
    <t>A Clinical Study of Intratumoral MVR-C5252 (C5252) in Patients With Recurrent or Progressive Glioblastoma</t>
  </si>
  <si>
    <t>NCT05897320</t>
  </si>
  <si>
    <t>A Study of Eptinezumab in Pediatric Participants With Episodic Migraine</t>
  </si>
  <si>
    <t>NCT05895305</t>
  </si>
  <si>
    <t>Paclitaxel-Coated Pulmonary Balloon for the Treatment of Benign Airway Stenosis</t>
  </si>
  <si>
    <t>Airiver Medical, Inc.</t>
  </si>
  <si>
    <t>NCT06039254</t>
  </si>
  <si>
    <t>Safety and Pharmacokinetics of HRS-1780 in Healthy Subjects and Subjects With Impaired Renal Function</t>
  </si>
  <si>
    <t>NCT05707351</t>
  </si>
  <si>
    <t>A Study of Adynovate in Previously Treated Chinese Teenagers and Adults With Severe Hemophilia A</t>
  </si>
  <si>
    <t>NCT05287945</t>
  </si>
  <si>
    <t>Study of Orellanine in Metastatic Clear-Cell or Papillary Renal Cell Carcinoma</t>
  </si>
  <si>
    <t>Oncorena AB</t>
  </si>
  <si>
    <t>NCT06702995</t>
  </si>
  <si>
    <t>Study of XNW5004 Tablet in Combination With Enzalutamide in Subjects With Metastatic Castration-Resistant Prostate Cancer</t>
  </si>
  <si>
    <t>NCT05811975</t>
  </si>
  <si>
    <t>KSX01-TCRT Injection Project in Solid Tumors</t>
  </si>
  <si>
    <t>NCT05657301</t>
  </si>
  <si>
    <t>Safety and Tolerability of KH631 Gene Therapy in Participants With Neovascular Age-related Macular Degeneration</t>
  </si>
  <si>
    <t>Chengdu Origen Biotechnology Co., Ltd.</t>
  </si>
  <si>
    <t>NCT05762211</t>
  </si>
  <si>
    <t>Oral Pooled Fecal Microbiotherapy to Prevent Allogeneic Hematopoietic Cell Transplantation Complications (PHOEBUS Trial)</t>
  </si>
  <si>
    <t>NCT06203457</t>
  </si>
  <si>
    <t>Open-Label Extension Study to Evaluate the Safety of Efgartigimod in Adult Patients With Primary Sjögren's Syndrome</t>
  </si>
  <si>
    <t>NCT06284265</t>
  </si>
  <si>
    <t>Clinical Trial of the Efficacy and Safety of Raphamin in Prevention of Recurrences of Chronic Bacterial Cystitis</t>
  </si>
  <si>
    <t>NCT06393803</t>
  </si>
  <si>
    <t>Phase 1 Study of KH607 Tablets</t>
  </si>
  <si>
    <t>Chengdu Kanghong Pharmaceutical Group Co., Ltd.</t>
  </si>
  <si>
    <t>NCT05433961</t>
  </si>
  <si>
    <t>Functional and Structural Assessment of Endobronchial Valve Recipients Using Dynamic Hyperpolarized Xenon-129 MRI</t>
  </si>
  <si>
    <t>Xemed LLC</t>
  </si>
  <si>
    <t>NCT05785754</t>
  </si>
  <si>
    <t>DCSZ11 as a Monotherapy and in Combination in Patients With Advanced or Metastatic Solid Tumors</t>
  </si>
  <si>
    <t>NCT05789537</t>
  </si>
  <si>
    <t>A Study of SerpinPC in Participants with Hemophilia B (HemB) with Inhibitors</t>
  </si>
  <si>
    <t>ApcinteX Ltd</t>
  </si>
  <si>
    <t>NCT06103864</t>
  </si>
  <si>
    <t>A Phase III Study of Dato-DXd With or Without Durvalumab Compared With Investigator's Choice of Chemotherapy in Combination With Pembrolizumab in Patients With PD-L1 Positive Locally Recurrent Inoperable or Metastatic Triple-negative Breast Cancer (TROPION-Breast05)</t>
  </si>
  <si>
    <t>NCT06329388</t>
  </si>
  <si>
    <t>Evaluating the Effects of an Oral Protein Supplement on Children's Growth Patterns</t>
  </si>
  <si>
    <t>TruHeight Vitamins</t>
  </si>
  <si>
    <t>NCT05755256</t>
  </si>
  <si>
    <t>The Impact of Probiotics on Skin Hydration in Youth with Mild Acne</t>
  </si>
  <si>
    <t>NCT06198712</t>
  </si>
  <si>
    <t>A Study to Evaluate the Pharmacokinetics and Safety of Etavopivat in Pediatric Patients With Sickle Cell Disease</t>
  </si>
  <si>
    <t>NCT06079112</t>
  </si>
  <si>
    <t>9MW2821 Combined With Toripalimab Injection in Subjects With Local Advanced or Metastatic Urothelial Cancer</t>
  </si>
  <si>
    <t>NCT05957367</t>
  </si>
  <si>
    <t>A Study of Inlexisertib (DCC-3116) in Combination With Anticancer Therapies in Participants With Advanced Malignancies</t>
  </si>
  <si>
    <t>NCT05959499</t>
  </si>
  <si>
    <t>A Study to Evaluate the Pharmacokinetics and Safety Between Single Administration of "BR6002" and Coadministration of "BR6002A" and "BR6002B" Under Fed Conditions in Healthy Adult Volunteers</t>
  </si>
  <si>
    <t>NCT05849311</t>
  </si>
  <si>
    <t>Phase I Trial of Envafolimab for Healthy Male Subjects</t>
  </si>
  <si>
    <t>NCT05663411</t>
  </si>
  <si>
    <t>A Study of SHR6508 in Secondary Hyperparathyroidism</t>
  </si>
  <si>
    <t>NCT06041802</t>
  </si>
  <si>
    <t>A Study of Pembrolizumab (+) Berahyaluronidase Alfa (MK-3475A) (Pembrolizumab Formulated With Berahyaluronidase Alfa (MK-5180)) in Japanese Participants With Recurrent or Metastatic Cutaneous Squamous Cell Carcinoma (R/M cSCC) or Locally Advanced (LA) Unresectable cSCC (MK-3475A-E39)</t>
  </si>
  <si>
    <t>NCT05584137</t>
  </si>
  <si>
    <t>Evaluate the Efficacy, Safety and Tolerability of HLX26 and Serplulimab in Patients with MCRC</t>
  </si>
  <si>
    <t>NCT05658575</t>
  </si>
  <si>
    <t>Study of Dapansutrile Tablets in Subjects With an Acute Gout Flare</t>
  </si>
  <si>
    <t>NCT06688045</t>
  </si>
  <si>
    <t>A Study of the Effects of Itraconazole on the Plasma Levels of Nemtabrutinib (MK-1026-013)</t>
  </si>
  <si>
    <t>NCT05942001</t>
  </si>
  <si>
    <t>Study of HRS-5041 in Patients With Metastatic Castration Resistant Prostate Cancer (mCRPC)</t>
  </si>
  <si>
    <t>NCT05902728</t>
  </si>
  <si>
    <t>Study on Food Influence and Drug-drug Interaction of HLX208 Tablets in Chinese Healthy Subjects</t>
  </si>
  <si>
    <t>NCT06007651</t>
  </si>
  <si>
    <t>A Study of LY3885125 in Participants With Dyslipidemia or Non-Alcoholic Fatty Liver Disease (NAFLD)</t>
  </si>
  <si>
    <t>NCT05517902</t>
  </si>
  <si>
    <t>StrataGraft Safety, Tolerability and Efficacy in Pediatric Subjects</t>
  </si>
  <si>
    <t>NCT05658107</t>
  </si>
  <si>
    <t>A Study to Test How Different Doses of BI 765423 Are Taken up in the Body of Healthy Men</t>
  </si>
  <si>
    <t>NCT05866692</t>
  </si>
  <si>
    <t>A Study of TY-2699a in Patients With Locally Advanced or Metastatic Solid Tumors</t>
  </si>
  <si>
    <t>NCT05757544</t>
  </si>
  <si>
    <t>Safety and Efficacy Study of IV Ganaxolone as Adjuvant Therapy for Established Status Epilepticus (ESE)</t>
  </si>
  <si>
    <t>NCT05998447</t>
  </si>
  <si>
    <t>GEN-001 Plus Pembrolizumab for Patients With Advanced Refractory Biliary Tract Cancer</t>
  </si>
  <si>
    <t>NCT06092047</t>
  </si>
  <si>
    <t>UTAA09 Injection in the Treatment of Relapsed/Refractory Hematolymphatic Malignancies.</t>
  </si>
  <si>
    <t>NCT06292858</t>
  </si>
  <si>
    <t>Safety/Tolerability, PK and Efficacy of IMB071703 Injection in Patients With Advanced Solid Tumors</t>
  </si>
  <si>
    <t>Beijng Immunoah Pharma Tech Co., Ltd.</t>
  </si>
  <si>
    <t>NCT05785767</t>
  </si>
  <si>
    <t>A Study to Learn if a Combination of Fianlimab and Cemiplimab Versus Cemiplimab Alone is More Effective for Adult Participants With Advanced Non-Small Cell Lung Cancer (NSCLC)</t>
  </si>
  <si>
    <t>NCT05826600</t>
  </si>
  <si>
    <t>A Study of OMX-0407 in Patients With Previously Treated Solid Tumours That Can't be Removed Surgically</t>
  </si>
  <si>
    <t>iOmx Therapeutics AG</t>
  </si>
  <si>
    <t>NCT05686044</t>
  </si>
  <si>
    <t>A Dose-ranging Study to Investigate Efficacy of Buntanetap in Mild to Moderate AD</t>
  </si>
  <si>
    <t>NCT06678581</t>
  </si>
  <si>
    <t>SAD,MAD and Food Effect Study of SAP-001 Tablets in Chinese Subjects</t>
  </si>
  <si>
    <t>Shanton Pharma Co., Ltd.</t>
  </si>
  <si>
    <t>NCT06097364</t>
  </si>
  <si>
    <t>A Trial to Learn if Odronextamab Combined With Chemotherapy is Safe and Well-Tolerated and How Well it Works Compared to Rituximab Combined With Chemotherapy for Adult Participants With Follicular Lymphoma</t>
  </si>
  <si>
    <t>NCT05764265</t>
  </si>
  <si>
    <t>Extension Study of Efficacy and Safety of LTP001 in Pulmonary Arterial Hypertension Participants</t>
  </si>
  <si>
    <t>NCT07034209</t>
  </si>
  <si>
    <t>A Study to Evaluate the Efficacy, Safety, Tolerability, Pharmacokinetic Characteristics, and Immunogenicity of Plonmarlimab in Subjects With Rheumatic and Immunological Disease-associated Haemophagocytic Lymphohistiocytosis (HLH) (Also Known as Macrophage Activation Syndrome (MAS))</t>
  </si>
  <si>
    <t>NCT05881525</t>
  </si>
  <si>
    <t>NY-ESO-1 TCR-T Cells for NY-ESO-1 Positive Subjects With Advanced Solid Tumors</t>
  </si>
  <si>
    <t>NCT05694260</t>
  </si>
  <si>
    <t>A Clinical Study in Children With Heterozygous Familial Hypercholesterolemia (HeFH) Aged 6 to 17 Treated Once Daily With Bempedoic Acid Oral Dosing (CLEAR Path 1)</t>
  </si>
  <si>
    <t>Esperion Therapeutics, Inc.</t>
  </si>
  <si>
    <t>NCT05654623</t>
  </si>
  <si>
    <t>A Study to Learn About a New Medicine Called Vepdegestrant (ARV-471, PF-07850327) in People Who Have Advanced Metastatic Breast Cancer</t>
  </si>
  <si>
    <t>NCT06292923</t>
  </si>
  <si>
    <t>A Study of Nasal Foralumab in Non-Active Secondary Progressive Multiple Sclerosis Patients</t>
  </si>
  <si>
    <t>NCT05891262</t>
  </si>
  <si>
    <t>A Study to Evaluate the Drug-drug Interaction of BMS-986196 With Oral Contraceptives in Healthy Female Participants</t>
  </si>
  <si>
    <t>NCT05727189</t>
  </si>
  <si>
    <t>A Study of Idazoxan in Healthy Participants</t>
  </si>
  <si>
    <t>Terran Biosciences Australia Pty Ltd</t>
  </si>
  <si>
    <t>NCT05803850</t>
  </si>
  <si>
    <t>A Study to Evaluate the Safety, Tolerability, PK and PD of HNC1058</t>
  </si>
  <si>
    <t>NCT05666960</t>
  </si>
  <si>
    <t>R-3750 in Patients With Mild to Moderate Ulcerative Colitis</t>
  </si>
  <si>
    <t>Rise Therapeutics LLC</t>
  </si>
  <si>
    <t>NCT06161259</t>
  </si>
  <si>
    <t>Pharmacokinetics of Leritrelvir(RAY1216) in Participants With Hepatic Impairment</t>
  </si>
  <si>
    <t>NCT06127225</t>
  </si>
  <si>
    <t>Proliverenol Supplementation for Non-Alcoholic Fatty Liver Disease (NAFLD)</t>
  </si>
  <si>
    <t>NCT06136559</t>
  </si>
  <si>
    <t>A Study of Nemtabrutinib (MK-1026) Versus Comparator (Investigator's Choice of Ibrutinib or Acalabrutinib) in First Line (1L) Chronic Lymphocytic Leukemia (CLL)/ Small Lymphocytic Lymphoma (SLL) (MK-1026-011/BELLWAVE-011)</t>
  </si>
  <si>
    <t>NCT05981365</t>
  </si>
  <si>
    <t>Voxelotor CYP and Transporter Cocktail Interaction Study</t>
  </si>
  <si>
    <t>NCT06045299</t>
  </si>
  <si>
    <t>Evaluation of the Efficacy and Safety of LNZ101 and LNZ100 for the Presbyopia</t>
  </si>
  <si>
    <t>NCT05847439</t>
  </si>
  <si>
    <t>A Study to Evaluate the Absorption, Metabolism, and Excretion of [14C]BMS-986419 in Healthy Male Participants</t>
  </si>
  <si>
    <t>NCT05983367</t>
  </si>
  <si>
    <t>A Study to Investigate Ompenaclid Combined With FOLFIRI Plus Bevacizumab in Advanced/Metastatic Colorectal Cancer</t>
  </si>
  <si>
    <t>Inspirna, Inc.</t>
  </si>
  <si>
    <t>NCT06057064</t>
  </si>
  <si>
    <t>Study Will Assess the Safety, Neutralizing Activity and Efficacy of AZD3152 in Adults With Conditions Increasing Risk of Inadequate Protective Immune Response After Vaccination and Thus Are at High Risk of Developing Severe COVID-19</t>
  </si>
  <si>
    <t>NCT05976334</t>
  </si>
  <si>
    <t>An Absorption, Distribution, Metabolism, Excretion (ADME) Study of [14C]Subasumstat in Adults With Advanced or Metastatic Solid Tumors</t>
  </si>
  <si>
    <t>NCT06025032</t>
  </si>
  <si>
    <t>a Study in Subjects With Otoferlin Mutation-related Hearing Loss Using RNA Base-eDiting Therapy(SOUND)</t>
  </si>
  <si>
    <t>HuidaGene Therapeutics Co., Ltd.</t>
  </si>
  <si>
    <t>NCT05638139</t>
  </si>
  <si>
    <t>Treatment of Ano-perineal Fistulas Resistant to Surgical Treatment with a Gel and Plug of Wharton's Jelly</t>
  </si>
  <si>
    <t>NCT05620407</t>
  </si>
  <si>
    <t>A Study to Evaluate Effectiveness and Safety of Deucravacitinib (BMS-986165) Compared With Placebo in Participants With Active Systemic Lupus Erythematosus</t>
  </si>
  <si>
    <t>NCT05888844</t>
  </si>
  <si>
    <t>A Study to Evaluate INCB099280 in Participants With Advanced Cutaneous Squamous Cell Carcinoma</t>
  </si>
  <si>
    <t>NCT05887895</t>
  </si>
  <si>
    <t>To Compare the Pharmacokinetics and Pharmacodynamics of HR20014, INS068 and INS062 After Single Subcutaneous Injection in Healthy Subjects</t>
  </si>
  <si>
    <t>NCT06129175</t>
  </si>
  <si>
    <t>UCMSCs as Treatment for Patients With Acute Ischemic Stroke (Stroke Neuroncell-EX)</t>
  </si>
  <si>
    <t>NCT05731271</t>
  </si>
  <si>
    <t>A First-in-Human, Phase 1 Study of TST003 in Subjects With Solid Tumors</t>
  </si>
  <si>
    <t>NCT05443464</t>
  </si>
  <si>
    <t>Mesenchymal Stem Cells (MSCs) for Steroid Refractory Acute GVHD (SR-aGVHD)</t>
  </si>
  <si>
    <t>NCT05885464</t>
  </si>
  <si>
    <t>A Study Evaluating the Safety and Efficacy of BEAM-201 in Relapsed/Refractory T-Cell Acute Lymphoblastic Leukemia (T-ALL) or T-Cell Lymphoblastic Lymphoma (T-LL)</t>
  </si>
  <si>
    <t>NCT05992428</t>
  </si>
  <si>
    <t>Drug Interactions When DA-8010 is Co-administered With Paroxetine or Mirabegron in Healthy Adults</t>
  </si>
  <si>
    <t>NCT05855200</t>
  </si>
  <si>
    <t>Study of Perioperative Dostarlimab in Participants With Untreated T4N0 or Stage III dMMR/MSI-H Resectable Colon Cancer</t>
  </si>
  <si>
    <t>NCT05312801</t>
  </si>
  <si>
    <t>Phase 1 Study of BAFF CAR-T Cells (LMY-920) for Non-Hodgkin Lymphoma</t>
  </si>
  <si>
    <t>Luminary Therapeutics</t>
  </si>
  <si>
    <t>NCT06140836</t>
  </si>
  <si>
    <t>A Study of Repotrectinib Versus Crizotinib in Participants With Locally Advanced or Metastatic Tyrosine Kinase Inhibitor (TKI)-naïve ROS1-positive Non-Small Cell Lung Cancer (NSCLC) (TRIDENT-3)</t>
  </si>
  <si>
    <t>NCT05798611</t>
  </si>
  <si>
    <t>Study of ART0380 in Patients With Biologically Selected Solid Tumors</t>
  </si>
  <si>
    <t>NCT05830071</t>
  </si>
  <si>
    <t>A Thorough QT (TQT) Study of CHF5993 pMDI in Healthy Volunteers (HV)</t>
  </si>
  <si>
    <t>NCT05754957</t>
  </si>
  <si>
    <t>A Study of Milvexian in Participants After a Recent Acute Coronary Syndrome</t>
  </si>
  <si>
    <t>NCT05991401</t>
  </si>
  <si>
    <t>Evaluate the Effect of Clarithromycin/Rifampicin on the Pharmacokinetics of DA-8010 in Healthy Adults</t>
  </si>
  <si>
    <t>NCT05878119</t>
  </si>
  <si>
    <t>Effects of MIB-626 With and Without A High-Intensity Multi-Dimensional Exercise Training Program</t>
  </si>
  <si>
    <t>NCT06070857</t>
  </si>
  <si>
    <t>Study of the Safety, Tolerability, and Pharmacokinetics of LV232 Capsules in Chinese Healthy Volunteers</t>
  </si>
  <si>
    <t>NCT05789745</t>
  </si>
  <si>
    <t>A Study to Evaluate Plasma Gelsolin in Healthy Volunteers</t>
  </si>
  <si>
    <t>NCT05930119</t>
  </si>
  <si>
    <t>HMPL-453 Food Effect and PPI Study in Healthy Volunteer Study</t>
  </si>
  <si>
    <t>NCT05831111</t>
  </si>
  <si>
    <t>A Study of an Epstein-Barr Virus (EBV) Candidate Vaccine, mRNA-1195, in 18- to 55-Year-Old Healthy Participants</t>
  </si>
  <si>
    <t>NCT05718375</t>
  </si>
  <si>
    <t>Phase IIb Clinical Trial for the Efficacy and Safety by CU01-1001 for 24 Weeks in Type 2 DM Patients With Albuminuria</t>
  </si>
  <si>
    <t>NCT05627557</t>
  </si>
  <si>
    <t>A Study to Evaluate the Efficacy and Safety of Obinutuzumab Versus MMF in Participants With Childhood Onset Idiopathic Nephrotic Syndrome</t>
  </si>
  <si>
    <t>NCT06181292</t>
  </si>
  <si>
    <t>Safety and Immunogenicity of a Booster Vaccination With an Adapted Vaccine</t>
  </si>
  <si>
    <t>NCT06115512</t>
  </si>
  <si>
    <t>A Phase 3 Study of AGA111 in Patients With Degenerative Disc Disease Undergoing Lumbar Interbody Fusion</t>
  </si>
  <si>
    <t>NCT05789719</t>
  </si>
  <si>
    <t>An Exploratory Clinical Study to Investigate the Effect of autoSTEM-OA and alloSTEM-OA in Participants With Knee Osteoarthritis</t>
  </si>
  <si>
    <t>StemMedical A/S</t>
  </si>
  <si>
    <t>NCT06379165</t>
  </si>
  <si>
    <t>Efficacy and Safety Study of Meloxicam Nanocrystal Injection for the Treatment of Moderate to Severe Pain</t>
  </si>
  <si>
    <t>NCT06692465</t>
  </si>
  <si>
    <t>To Evaluate the Efficacy and Safety of GT20029 Solution in the Treatment of Androgenetic Alopecia (AGA) in Chinese Adult Males</t>
  </si>
  <si>
    <t>NCT05848700</t>
  </si>
  <si>
    <t>A Clinical Study to Learn if SEP-363856 Has Physical Dependence in Adults With Schizophrenia</t>
  </si>
  <si>
    <t>NCT05622175</t>
  </si>
  <si>
    <t>Safety and Preliminary Signs of Efficacy of F8IL10 for Intra-articular Treatment</t>
  </si>
  <si>
    <t>NCT05753501</t>
  </si>
  <si>
    <t>Study to Evaluate Adverse Events, Change in Disease Activity, and How Oral ABBV-101 Moves Through the Body in Adult Participants With B-Cell Malignancies</t>
  </si>
  <si>
    <t>NCT05865171</t>
  </si>
  <si>
    <t>A Study to Evaluate Pharmacokinetics (PK) and Safety of Inaxaplin in Participants With Renal Impairment</t>
  </si>
  <si>
    <t>NCT05843708</t>
  </si>
  <si>
    <t>A Phase 1, Open-Label Study to Evaluate the Effect of a Low-Fat Meal and Multiple Doses of Ciprofloxacin on the Pharmacokinetics of Vorasidenib in Healthy Subjects</t>
  </si>
  <si>
    <t>NCT06053840</t>
  </si>
  <si>
    <t>An Open-label Trial to Evaluate the Safety and Efficacy of Chloral Hydrate in Patients with Severe Insomnia</t>
  </si>
  <si>
    <t>Pharmanovia</t>
  </si>
  <si>
    <t>NCT06144840</t>
  </si>
  <si>
    <t>INcreased Sun Exposure Without Pain In Research Participants With EPP or XLP</t>
  </si>
  <si>
    <t>NCT05723510</t>
  </si>
  <si>
    <t>PK and PD Interaction Between Tegoprazan and NOACs After Multiple Oral Dosing in Healthy Volunteers</t>
  </si>
  <si>
    <t>NCT05799274</t>
  </si>
  <si>
    <t>Safety of RAD301 in Healthy Human Volunteers and Patients With Pancreatic Cancer or Other Solid Tumors</t>
  </si>
  <si>
    <t>Radiopharm Theranostics, Ltd</t>
  </si>
  <si>
    <t>NCT05970510</t>
  </si>
  <si>
    <t>A Study to Evaluate Efficacy and Safety of Toludesvenlafaxine Hydrochloride Sustained-release Tablets in Generalized Anxiety Disorder.</t>
  </si>
  <si>
    <t>NCT05757713</t>
  </si>
  <si>
    <t>Teplizumab in Pediatric Stage 2 Type 1 Diabetes</t>
  </si>
  <si>
    <t>NCT06299124</t>
  </si>
  <si>
    <t>A Phase I Study of RGT-419B in Patients With HR-Positive, HER2-Negative Advanced Breast Cancer or Other Solid Tumors</t>
  </si>
  <si>
    <t>NCT05489289</t>
  </si>
  <si>
    <t>A Phase III Study of AK104 as Adjuvant Therapy in HCC With High Risk of Recurrence After Curative Resection</t>
  </si>
  <si>
    <t>NCT05823974</t>
  </si>
  <si>
    <t>A Study to Assess the Safety and Immune Response of a Vaccine Against Influenza in Healthy Younger and Older Adults</t>
  </si>
  <si>
    <t>NCT05668390</t>
  </si>
  <si>
    <t>Safety and Efficacy of STALORAL® Birch 300 IR in a Paediatric Population With Birch Pollen-induced ARC w/o Asthma</t>
  </si>
  <si>
    <t>Stallergenes Greer</t>
  </si>
  <si>
    <t>NCT06182124</t>
  </si>
  <si>
    <t>A Study to Learn About the Safety and Immune Response of a New Pneumococcal Vaccine in Adults</t>
  </si>
  <si>
    <t>NCT06180174</t>
  </si>
  <si>
    <t>Clinical Research of CD19 Targeted CAR-T Cell in Relapsed/Refractory B Cell Lymphoma</t>
  </si>
  <si>
    <t>NCT05643508</t>
  </si>
  <si>
    <t>A Clinical Trial to Evaluate the Efficacy and Safety of Co-administration of DWC202206 and DWC202207 in Patients With Concomitant Hypertension and Hyperlipidemia</t>
  </si>
  <si>
    <t>NCT04703335</t>
  </si>
  <si>
    <t>Pilot Clinical Trial - Comparative Study of Two Material Concentration of OD-141309</t>
  </si>
  <si>
    <t>Zaycor Healthcare Corp</t>
  </si>
  <si>
    <t>NCT05631574</t>
  </si>
  <si>
    <t>Study of Covalent Menin Inhibitor BMF-219 in Adult Patients With KRAS Driven Non-Small Cell Lung Cancer, Pancreatic Cancer, and Colorectal Cancer</t>
  </si>
  <si>
    <t>NCT05914376</t>
  </si>
  <si>
    <t>Safety of Recombinant Human IL-21-expressing Oncolytic Vaccinia Virus Injection (hV01) in Advanced Tumors</t>
  </si>
  <si>
    <t>Hangzhou Converd Co., Ltd.</t>
  </si>
  <si>
    <t>NCT05695950</t>
  </si>
  <si>
    <t>A Study Evaluating the Effects of GLPG3667 Given as Oral Treatment for up to 24 Weeks in Adults With Dermatomyositis</t>
  </si>
  <si>
    <t>NCT05684211</t>
  </si>
  <si>
    <t>A Study of Ametumumab in Combination With Anti-PD-1 Monoclonal Antibody and FOLFIRI in Patients With RAS Wild-type Advanced Colorectal Cancer</t>
  </si>
  <si>
    <t>Shanghai Celfuture Biotech Co., Ltd.</t>
  </si>
  <si>
    <t>NCT05737433</t>
  </si>
  <si>
    <t>Single Dose ADME Study of [14C]-Rencofilstat in Healthy Male Subjects</t>
  </si>
  <si>
    <t>NCT05949606</t>
  </si>
  <si>
    <t>A Study of SI-B001+SI-B003± Chemotherapy in the Treatment of Locally Advanced or Metastatic Non-small Cell Lung Cancer</t>
  </si>
  <si>
    <t>NCT05868967</t>
  </si>
  <si>
    <t>A Clinical Study to Investigate the Mass Balance and Biotransformation of [14C]DWP14012 in Healthy Chinese Male Subjects</t>
  </si>
  <si>
    <t>NCT05778864</t>
  </si>
  <si>
    <t>A Study of LY3473329 in Participants With Impaired and Normal Renal Function</t>
  </si>
  <si>
    <t>NCT05941793</t>
  </si>
  <si>
    <t>A Study to Evaluate the Efficacy, Safety, and Concentration of SNS812 in Mild to Moderate COVID-19 Patients</t>
  </si>
  <si>
    <t>NCT06145893</t>
  </si>
  <si>
    <t>A Study of Efficacy and Safety of Hemay005 Tablets in Patients With Behçet's Disease</t>
  </si>
  <si>
    <t>NCT06052852</t>
  </si>
  <si>
    <t>Study of BDC-3042 as Single Agent and in Combination With Cemiplimab in Patients With Advanced Malignancies</t>
  </si>
  <si>
    <t>NCT05715398</t>
  </si>
  <si>
    <t>BR790 in Combination With Anlotinib in Adult Subjects With Advanced Non-Small Cell Lung Cancer</t>
  </si>
  <si>
    <t>NCT05993806</t>
  </si>
  <si>
    <t>A Bioequivalence Study of L04TD3 Compared to Administration of L04RD1 in Healthy Volunteers</t>
  </si>
  <si>
    <t>NCT05814016</t>
  </si>
  <si>
    <t>A Study of Danavorexton in People With Obstructive Sleep Apnea After General Anesthesia for Abdominal Surgery</t>
  </si>
  <si>
    <t>NCT05701709</t>
  </si>
  <si>
    <t>Phase I Study of SHR-A2102 in Patients With Advanced Solid Tumors</t>
  </si>
  <si>
    <t>NCT06066099</t>
  </si>
  <si>
    <t>Single Ascending Dose, Multiple Ascending Dose, Food Effect Study With AP31969</t>
  </si>
  <si>
    <t>Acesion Pharma</t>
  </si>
  <si>
    <t>NCT06739044</t>
  </si>
  <si>
    <t>Efficacy and Safety of Semaglutide Injection vs Ozempic® in Patients With Type 2 Diabetes</t>
  </si>
  <si>
    <t>NCT05935098</t>
  </si>
  <si>
    <t>BGB-A3055 Alone and in Combination With Tislelizumab in Participants With Solid Tumors</t>
  </si>
  <si>
    <t>NCT06025214</t>
  </si>
  <si>
    <t>Bioequivalence Study for Fluticasone Propionate 500 mcg/Salmeterol Xinafoate 50 mcg Inhalation Powder in Healthy Volunteers</t>
  </si>
  <si>
    <t>NCT05791864</t>
  </si>
  <si>
    <t>A First-in-Human, Open-Label, Dose-Escalation Study to Evaluate the Safety and Tolerability of Gene Therapy With TTX-381 for the Ocular Manifestations Associated With Neuronal Ceroid Lipofuscinosis Type 2 (CLN2) Disease</t>
  </si>
  <si>
    <t>Tern Therapeutics, LLC</t>
  </si>
  <si>
    <t>NCT03070132</t>
  </si>
  <si>
    <t>802NP301 Efficacy and Safety Study of BIIB074 in Participants With Trigeminal Neuralgia</t>
  </si>
  <si>
    <t>NCT06176963</t>
  </si>
  <si>
    <t>A Study to Evaluate the Usability of the SB11 PFS in Subjects With Wet AMD or Macular Oedema Secondary to RVO</t>
  </si>
  <si>
    <t>NCT05878704</t>
  </si>
  <si>
    <t>Study of GBT021601 in Participants With Renal Impairment</t>
  </si>
  <si>
    <t>NCT05830799</t>
  </si>
  <si>
    <t>A Trial to Evaluate the Impact of C21 on the Exposure of 4 Substrates in Healthy Volunteers</t>
  </si>
  <si>
    <t>NCT06047548</t>
  </si>
  <si>
    <t>A Study of LY3298176 (Tirzepatide) For the Maintenance of Body Weight Reduction in Participants Who Have Obesity or Overweight With Weight-Related Comorbidities</t>
  </si>
  <si>
    <t>NCT05841563</t>
  </si>
  <si>
    <t>Clinical Trial of PM54 in Advanced Solid Tumors Patients.</t>
  </si>
  <si>
    <t>NCT06151587</t>
  </si>
  <si>
    <t>A Phase 3 Clinical Study of QLM3004 in Delaying Myopia in Children</t>
  </si>
  <si>
    <t>NCT05602116</t>
  </si>
  <si>
    <t>ASC - Autism Study</t>
  </si>
  <si>
    <t>NCT05952947</t>
  </si>
  <si>
    <t>HRYZ-T101 Injection for HPV18 Positive Solid Tumor</t>
  </si>
  <si>
    <t>NCT06154447</t>
  </si>
  <si>
    <t>Evaluation of VX-828 in Healthy Participants and in Participants With Cystic Fibrosis</t>
  </si>
  <si>
    <t>NCT05876949</t>
  </si>
  <si>
    <t>AVT03 With Xgeva in Healthy Male Subjects</t>
  </si>
  <si>
    <t>NCT05895552</t>
  </si>
  <si>
    <t>A Study of RTA 901 (BIIB143) in Participants With Diabetic Peripheral Neuropathic Pain</t>
  </si>
  <si>
    <t>Reata, a wholly owned subsidiary of Biogen</t>
  </si>
  <si>
    <t>NCT05998304</t>
  </si>
  <si>
    <t>ADME Study of [14C] Yiqibuvir in Healthy Male Subjects</t>
  </si>
  <si>
    <t>NCT05784597</t>
  </si>
  <si>
    <t>A Study to Evaluate the Safety and Dosimetry of 68Ga-labelled OncoFAP Derivatives in Solid Tumors</t>
  </si>
  <si>
    <t>NCT05864924</t>
  </si>
  <si>
    <t>A Phase 1 Study of BRG01 in Subjects With Relapsed/Metastatic Epstein-Barr Virus (EBV)-Positive Nasopharyngeal Carcinoma</t>
  </si>
  <si>
    <t>BioSyngen Pte Ltd</t>
  </si>
  <si>
    <t>NCT06138613</t>
  </si>
  <si>
    <t>Motion Delos: An Open Label Safety and Efficacy of Tradipitant in Participants Affected by Motion Sickness</t>
  </si>
  <si>
    <t>NCT05802862</t>
  </si>
  <si>
    <t>A Study of Insulin Degludec/Insulin Aspart Biosimilar (22011) Compared With Insulin Degludec/Insulin Aspart(Ryzodeg) in Participants With Type 2 Diabetes in China</t>
  </si>
  <si>
    <t>NCT05904496</t>
  </si>
  <si>
    <t>A Study of BGB-30813 Alone or in Combination With Tislelizumab in Participants With Advanced or Metastatic Solid Tumors</t>
  </si>
  <si>
    <t>NCT05686096</t>
  </si>
  <si>
    <t>A Study to Evaluate the Absorption, Metabolism, and Excretion (ADME) of BMS-986435</t>
  </si>
  <si>
    <t>NCT05589597</t>
  </si>
  <si>
    <t>EO4010 in Previously Treated Metastatic Colorectal Carcinoma</t>
  </si>
  <si>
    <t>NCT07314320</t>
  </si>
  <si>
    <t>A Study to Detect Radioactivity of [14C]-OPC-167832 in Urine and Feces in Healthy Men</t>
  </si>
  <si>
    <t>NCT06090318</t>
  </si>
  <si>
    <t>Milademetan in Combination With Atezolizumab in Patients With Advanced Solid Tumors With CDKN2A Loss</t>
  </si>
  <si>
    <t>NCT05970718</t>
  </si>
  <si>
    <t>A Trial to Learn if Different Doses of REGN7544 Are Safe in Healthy Adult Participants</t>
  </si>
  <si>
    <t>NCT05926180</t>
  </si>
  <si>
    <t>Assessing the Effect of DZD9008 on the Pharmacokinetics of the Cocktail Probes Representative for CYP3A4, P-gp, BCRP and OATP1B1 in Patients with EGFR or HER2 Mutant Advanced Non-small Cell Lung Cancer (WU-KONG19)</t>
  </si>
  <si>
    <t>NCT06023589</t>
  </si>
  <si>
    <t>A Study to Investigate the Efficacy and Safety of Tezepelumab Compared With Placebo in Children 5 to &lt; 12 Years Old With Severe Asthma</t>
  </si>
  <si>
    <t>NCT05879055</t>
  </si>
  <si>
    <t>A Study of PM8002 in Combination With Chemotherapy in Patients With NEN</t>
  </si>
  <si>
    <t>NCT05950945</t>
  </si>
  <si>
    <t>Trastuzumab Deruxtecan (T-DXd) in Patients Who Have Hormone Receptor-negative and Hormone Receptor-positive HER2-low or HER2 IHC 0 Metastatic Breast Cancer</t>
  </si>
  <si>
    <t>NCT05800977</t>
  </si>
  <si>
    <t>A Study of C-CAR039 (Prizloncabtagene Autoleucel) in Patients With Relapsed/Refractory Large B-Cell Lymphoma</t>
  </si>
  <si>
    <t>NCT05886777</t>
  </si>
  <si>
    <t>A Study to Learn About Two or More Vaccines That Are Put Together as One Shot Against Infectious Lung Illnesses, Including COVID-19 and Respiratory Syncytial Virus (RSV).</t>
  </si>
  <si>
    <t>NCT05743881</t>
  </si>
  <si>
    <t>A Safety, Tolerability, and Immunogenicity Study of mRNA-1345 and mRNA-1365 in Participants Aged 5 Months to &lt;24 Months</t>
  </si>
  <si>
    <t>NCT06307093</t>
  </si>
  <si>
    <t>Study Comparing the Pharmacokinetics, Safety, and Efficacy of RPH-075 and Keytruda® in Patients With Malignant Neoplasms</t>
  </si>
  <si>
    <t>NCT05717348</t>
  </si>
  <si>
    <t>A Study of ES014 in Patients With Locally Advanced or Metastatic Solid Tumours</t>
  </si>
  <si>
    <t>NCT05894148</t>
  </si>
  <si>
    <t>Clinical Study of Multiple Dose Genakumab for Injection in Chinese Healthy Adults</t>
  </si>
  <si>
    <t>NCT05196373</t>
  </si>
  <si>
    <t>Safety, Tolerability, Pharmacokinetics, Immunogenicity and Efficacy of STP705 in Adult Patients With Hypertrophic Scars</t>
  </si>
  <si>
    <t>NCT06214858</t>
  </si>
  <si>
    <t>The Safety, Tolerability, Pharmacokinetics and Food Effects of SHEN211 Tablet in Healthy Subjects</t>
  </si>
  <si>
    <t>JKT Biopharma Co., Ltd.</t>
  </si>
  <si>
    <t>NCT05442996</t>
  </si>
  <si>
    <t>A Phase I Clinical Study to Evaluate the Safety, Tolerability, Pharmacokinetic Characteristics, and Preliminary Efficacy of HLX35 in Combination With HLX10 in Patients With Advanced or Metastatic Solid Tumors</t>
  </si>
  <si>
    <t>NCT05858788</t>
  </si>
  <si>
    <t>A Single Ascending Dose Study to Characterize the Pharmacokinetics, Safety, and Tolerability of SAR441566 in Healthy Adult Japanese Male Participants.</t>
  </si>
  <si>
    <t>NCT06183242</t>
  </si>
  <si>
    <t>Comparative Study of REMAXA®, Enteric-coated Tablets and REMAXOL®, Solution for Infusions, in Intrahepatic Cholestasis</t>
  </si>
  <si>
    <t>NCT05794477</t>
  </si>
  <si>
    <t>A Study of SHR-1802 in Combination With Adebrelimab in Patients With Advanced Solid Tumors</t>
  </si>
  <si>
    <t>NCT05745311</t>
  </si>
  <si>
    <t>Study of the KPCXM18 Injection for Treatment of Acute Ischemic Stroke</t>
  </si>
  <si>
    <t>NCT05680922</t>
  </si>
  <si>
    <t>DLL3-Directed Chimeric Antigen Receptor T-cells in Subjects With Extensive Stage Small Cell Lung Cancer</t>
  </si>
  <si>
    <t>NCT05706129</t>
  </si>
  <si>
    <t>A Study to Assess Safety, Tolerability and Imaging Characteristics of [68Ga]Ga-DPI-4452 and to Assess Safety, Tolerability, and Efficacy of [177Lu]Lu-DPI-4452 in Participants With Unresectable Locally Advanced or Metastatic Solid Tumors</t>
  </si>
  <si>
    <t>ITM Oncologics GmbH</t>
  </si>
  <si>
    <t>NCT06082102</t>
  </si>
  <si>
    <t>Efficacy and Safety of Orelabrutinib Combined With Rituximab Versus Lenalidomide Combined With Rituximab in Patients With Relapsed/Refractory Marginal Zone Lymphoma</t>
  </si>
  <si>
    <t>NCT06183229</t>
  </si>
  <si>
    <t>Cycloferon for Post-exposure Prophylaxis of Acute Respiratory Viral Infections and Influenza</t>
  </si>
  <si>
    <t>NCT05609370</t>
  </si>
  <si>
    <t>A Study Investigating the Efficacy and Safety of Alcestobart (LBL-007) Plus Tislelizumab in Combination With Bevacizumab Plus Fluoropyrimidine Versus Bevacizumab Plus Fluoropyrimidine in Participants With Unresectable or Metastatic Colorectal Cancer</t>
  </si>
  <si>
    <t>NCT05817669</t>
  </si>
  <si>
    <t>A Study of the Safety and Effectiveness of Efgartigimod in Patients With Primary Sjögren's Syndrome (pSS)</t>
  </si>
  <si>
    <t>NCT05943106</t>
  </si>
  <si>
    <t>BCG in Combination With Durvalumab in Adult BCG-naïve, High-risk NMIBC Participants</t>
  </si>
  <si>
    <t>NCT05880706</t>
  </si>
  <si>
    <t>A Study of BL-B01D1 and BL-B01D1 in Combination With Osimertinib Mesylate Tablets in Patients With Locally Advanced or Metastatic Non-small Cell Lung Cancer</t>
  </si>
  <si>
    <t>NCT05688852</t>
  </si>
  <si>
    <t>VTX958 for the Treatment of Moderately to Severely Active Crohn's Disease</t>
  </si>
  <si>
    <t>NCT06057038</t>
  </si>
  <si>
    <t>A Safety Trial of GEN1042 in Japanese Subjects With Malignant Solid Tumors</t>
  </si>
  <si>
    <t>NCT06018987</t>
  </si>
  <si>
    <t>A Study to Assess Adverse Events and Effectiveness of HAC 20L Injections in Adult Participants for the Treatment of Nasolabial Folds</t>
  </si>
  <si>
    <t>NCT05973149</t>
  </si>
  <si>
    <t>Trial of QLH12016 in Patients With Metastatic Castration Resistant Prostate Cancer</t>
  </si>
  <si>
    <t>NCT05754333</t>
  </si>
  <si>
    <t>A Study to Find Out if ASP5354 Can Clearly Help Show the Ureter During Surgery</t>
  </si>
  <si>
    <t>NCT05638126</t>
  </si>
  <si>
    <t>Safety and Tolerance of Increased Doses of HRS-1780 Tablets in Healthy Subjects</t>
  </si>
  <si>
    <t>NCT05862233</t>
  </si>
  <si>
    <t>A Phase Ⅲ Clinical Study of MIL62 in Primary Membranous Nephropathy</t>
  </si>
  <si>
    <t>NCT06188026</t>
  </si>
  <si>
    <t>A Research Study Looking at How the Compound NNC0194-0499 Works With Birth Control Pills in Women Not Able to Bear Children.</t>
  </si>
  <si>
    <t>NCT06144684</t>
  </si>
  <si>
    <t>A Two-Part First-In-Human Study to Assess the Safety, Tolerability, Pharmacokinetics and Pharmacodynamics of GUB014295</t>
  </si>
  <si>
    <t>NCT06132126</t>
  </si>
  <si>
    <t>A Study to Investigate the Safety and Tolerability of LY3938577 in Healthy Participants and Participants With Type 2 Diabetes Mellitus</t>
  </si>
  <si>
    <t>NCT05947578</t>
  </si>
  <si>
    <t>The Safety and Tolerability of CLZ-2002 in Patients With Charcot-Marie Tooth Disease.</t>
  </si>
  <si>
    <t>Cellatoz Therapeutics, Inc</t>
  </si>
  <si>
    <t>NCT05869643</t>
  </si>
  <si>
    <t>A Clinical Trial of STP0404 in Adults With HIV-1 Infection</t>
  </si>
  <si>
    <t>NCT05756322</t>
  </si>
  <si>
    <t>The Safety and Tolerability of LBS-007 in Patients With Relapsed or Resistant Acute Leukaemias</t>
  </si>
  <si>
    <t>Lin BioScience, Inc</t>
  </si>
  <si>
    <t>NCT06095102</t>
  </si>
  <si>
    <t>A Study of JNJ-77242113 for the Treatment of Participants With Plaque Psoriasis Involving Special Areas (Scalp, Genital, and/or Palms of the Hands and the Soles of the Feet)</t>
  </si>
  <si>
    <t>NCT06120283</t>
  </si>
  <si>
    <t>BGB-43395 Alone or as Part of Combination Therapies in Participants With Breast Cancer and Other Advanced Solid Tumors</t>
  </si>
  <si>
    <t>NCT06044337</t>
  </si>
  <si>
    <t>A Long-Term Extension Study to Learn More About the Safety of Litifilimab (BIIB059) Injections and Whether They Can Improve Symptoms of Adult Participants Who Have Active Cutaneous Lupus Erythematosus</t>
  </si>
  <si>
    <t>NCT05740956</t>
  </si>
  <si>
    <t>A Study of Hansoh (HS)-10502 in Patients With Advanced Solid Tumors</t>
  </si>
  <si>
    <t>NCT04593329</t>
  </si>
  <si>
    <t>Efficacy and Safety of Tiradentes Association in the Treatment of Acute Pain</t>
  </si>
  <si>
    <t>NCT06126783</t>
  </si>
  <si>
    <t>A Multicenter, Open-label Extension Study Evaluating the Efficacy and Safety of IBI311 in Subjects With Thyroid Eye Disease</t>
  </si>
  <si>
    <t>NCT05909241</t>
  </si>
  <si>
    <t>A Study of BA1202 in Patients With Advanced Solid Tumors</t>
  </si>
  <si>
    <t>NCT05859750</t>
  </si>
  <si>
    <t>A Study of AK104 With Chemotherapy as First-line Treatment in Patients With Advanced Pancreatic Cancer</t>
  </si>
  <si>
    <t>NCT05577182</t>
  </si>
  <si>
    <t>Study of INCA32459 a LAG-3 and PD-1 Bispecific Antibody in Participants With Select Advanced Malignancies</t>
  </si>
  <si>
    <t>NCT05846659</t>
  </si>
  <si>
    <t>Study of PULSAR-ICI +/- IMSA101 in Patients With Oligoprogressive Solid Tumor Malignancies</t>
  </si>
  <si>
    <t>ImmuneSensor Therapeutics Inc.</t>
  </si>
  <si>
    <t>NCT06039189</t>
  </si>
  <si>
    <t>Study of Guselkumab Versus Placebo for the Treatment of Low Body Surface Area Moderate Plaque Psoriasis</t>
  </si>
  <si>
    <t>NCT03932318</t>
  </si>
  <si>
    <t>Venetoclax, Azacitidine, and Lintuzumab-Ac225 in AML Patients</t>
  </si>
  <si>
    <t>NCT05668013</t>
  </si>
  <si>
    <t>A Study to Evaluate the Long-Term Effect of TEV-48574 in Moderate to Severe Ulcerative Colitis or Crohn's Disease</t>
  </si>
  <si>
    <t>NCT06070948</t>
  </si>
  <si>
    <t>A Study to Assess Food Effect of Venetoclax New Tablet Formulation in Healthy Female Participants</t>
  </si>
  <si>
    <t>NCT06389955</t>
  </si>
  <si>
    <t>Assessment of Relative Bioavailability and Effect of Food on Capsule and Tablet Formulations of TP-3654</t>
  </si>
  <si>
    <t>NCT06172322</t>
  </si>
  <si>
    <t>A Phase Ib/Ⅱ Study of NTQ1062 in Combination With Fulvestrant in Patients With Advanced HR Positive /HER-2 Negative Breast Cancer</t>
  </si>
  <si>
    <t>NCT06043466</t>
  </si>
  <si>
    <t>A Clinical Trial Targeting CEA Chimeric Antigen Receptor T (CAR-T) for CEA Positive Advanced Malignant Solid Tumors</t>
  </si>
  <si>
    <t>NCT05649137</t>
  </si>
  <si>
    <t>A Research Study to See How Semaglutide Helps People With Excess Weight and Type 2 Diabetes Lose Weight</t>
  </si>
  <si>
    <t>NCT05660642</t>
  </si>
  <si>
    <t>An Open-Label Study to Evaluate the Safety, Tolerability and Pharmacodynamics of BPL-003 in Patients With Treatment Resistant Depression</t>
  </si>
  <si>
    <t>NCT06072183</t>
  </si>
  <si>
    <t>A 104-Week Study of Ritlecitinib Oral Capsules in Adults With Nonsegmental Vitiligo (Active and Stable) Tranquillo 2</t>
  </si>
  <si>
    <t>NCT05904886</t>
  </si>
  <si>
    <t>A Study Evaluating Atezolizumab and Bevacizumab, With or Without Tiragolumab, in Participants With Untreated Locally Advanced or Metastatic Hepatocellular Carcinoma (HCC) (IMbrave152)</t>
  </si>
  <si>
    <t>NCT06003231</t>
  </si>
  <si>
    <t>A Study of Disitamab Vedotin in Previously Treated Solid Tumors That Express HER2</t>
  </si>
  <si>
    <t>NCT05714202</t>
  </si>
  <si>
    <t>A Study of TAR-200 in Combination With Cetrelimab or TAR-200 Alone Versus Intravesical Bacillus Calmette-Guérin (BCG) in Participants With BCG-naïve High-risk Non-muscle Invasive Bladder Cancer (HR-NMIBC)</t>
  </si>
  <si>
    <t>NCT05537051</t>
  </si>
  <si>
    <t>A Study of PM1021 (Anti-TIGIT) With or Without PM8001 (Anti-PD-L1/TGF-β) in Patients With Advanced Solid Tumours</t>
  </si>
  <si>
    <t>NCT05740202</t>
  </si>
  <si>
    <t>A Trial of SHR-7367 in Subjects With Advanced Solid Tumors</t>
  </si>
  <si>
    <t>NCT05813665</t>
  </si>
  <si>
    <t>A Study to Evaluate the Efficacy and Safety of Narlumosbart (JMT103) in Patients With Giant Cell Tumor of Bone</t>
  </si>
  <si>
    <t>NCT05795192</t>
  </si>
  <si>
    <t>SB17170 Phase1 Trial in Healthy Volunteer</t>
  </si>
  <si>
    <t>NCT04972292</t>
  </si>
  <si>
    <t>Fixed Dose Combination of COdeine + DIpyrone to Mitigate Moderate to Intense Pain Post-impacted Third Lower Molar Extraction</t>
  </si>
  <si>
    <t>NCT05916911</t>
  </si>
  <si>
    <t>Evaluation Of The Efficacy Of The Combination Of GLIZIGEN® Oral Solution 1/Day And Vaginal Gel 1/Night For 2 Months In Patients With Cervical Intraepithelial Neoplasia Grade 1 (LSIL/CIN-1) Caused By High-Risk Human Papillomavirus (HPV-AR)</t>
  </si>
  <si>
    <t>NCT06248411</t>
  </si>
  <si>
    <t>A Clinical Study of KK2260 in Patients With Advanced or Metastatic Solid Tumors</t>
  </si>
  <si>
    <t>NCT05844111</t>
  </si>
  <si>
    <t>A Study to Investigate the Absorption, Metabolism and Excretion of [14C]-BGB-11417</t>
  </si>
  <si>
    <t>NCT05690711</t>
  </si>
  <si>
    <t>A Trial of HRS8179 on Brain Swelling After Large Hemispheric Infarction</t>
  </si>
  <si>
    <t>NCT06109311</t>
  </si>
  <si>
    <t>A Study of Orforglipron (LY3502970) in Participants With Type 2 Diabetes and Inadequate Glycemic Control With Insulin Glargine, With or Without Metformin and/or SGLT-2 Inhibitor</t>
  </si>
  <si>
    <t>NCT05754450</t>
  </si>
  <si>
    <t>An Extension Study Assessing the Safety and Efficacy of AVTX-803 in Subjects With Leukocyte Adhesion Deficiency Type II</t>
  </si>
  <si>
    <t>NCT05797818</t>
  </si>
  <si>
    <t>Red Light Photobiomodulation and Topical Disinfectants</t>
  </si>
  <si>
    <t>NCT05706623</t>
  </si>
  <si>
    <t>A Phase 1 Open-Label Evaluation of the Pharmacokinetics and Safety of a Single Dose of Apraglutide in Subjects With Normal and Impaired Hepatic Function</t>
  </si>
  <si>
    <t>NCT06769217</t>
  </si>
  <si>
    <t>Clinical Investigation for Everolimus Drug Eluting Stent</t>
  </si>
  <si>
    <t>Frisch Medical Device Private Limited</t>
  </si>
  <si>
    <t>NCT05852691</t>
  </si>
  <si>
    <t>A Study of Tobemstomig + Nab-Paclitaxel Compared With Pembrolizumab + Nab-Paclitaxel in Participants With Previously Untreated, PD-L1-Positive, Locally-Advanced Unresectable or Metastatic Triple-Negative Breast Cancer</t>
  </si>
  <si>
    <t>NCT05688696</t>
  </si>
  <si>
    <t>Evaluate the Efficacy and Safety of Orelabrutinib in Adult Patients With Systemic Lupus Erythematosus</t>
  </si>
  <si>
    <t>NCT05555862</t>
  </si>
  <si>
    <t>Artesunate Suppositories for the Treatment of HIV-negative Patients With Intra-anal HSIL</t>
  </si>
  <si>
    <t>NCT06088043</t>
  </si>
  <si>
    <t>A Study About How Well TAK-279 Works and Its Safety in Participants With Moderate-to-severe Plaque Psoriasis During 52 Weeks of Treatment</t>
  </si>
  <si>
    <t>NCT05881408</t>
  </si>
  <si>
    <t>A Gene Transfer Therapy Study to Evaluate the Safety and Efficacy of Delandistrogene Moxeparvovec (SRP-9001) in Non-Ambulatory and Ambulatory Participants With Duchenne Muscular Dystrophy (DMD)</t>
  </si>
  <si>
    <t>NCT06037018</t>
  </si>
  <si>
    <t>Safety Study of CC312 in Adult Patients With Relapsed/Refractory CD19 Positive B-cell Hematologic Malignancies</t>
  </si>
  <si>
    <t>CytoCares Inc</t>
  </si>
  <si>
    <t>NCT06060613</t>
  </si>
  <si>
    <t>Safety and Efficacy of OBX-115 in Advanced Solid Tumors</t>
  </si>
  <si>
    <t>Obsidian Therapeutics, Inc.</t>
  </si>
  <si>
    <t>NCT05781360</t>
  </si>
  <si>
    <t>A Study to Investigate the Safety, Tolerability, Pharmacokinetics and Preliminary Antitumor Activity of SIM0237 in Adult Participants with Advanced Solid Tumors</t>
  </si>
  <si>
    <t>NCT06056024</t>
  </si>
  <si>
    <t>A Study to Test How Well Different Doses of BI 3706674 Are Tolerated by People With Advanced Cancer in the Stomach and Oesophagus</t>
  </si>
  <si>
    <t>NCT05724693</t>
  </si>
  <si>
    <t>Study of Bemnifosbuvir in Subjects With Normal and Impaired Hepatic Function</t>
  </si>
  <si>
    <t>NCT05671835</t>
  </si>
  <si>
    <t>Study of TTI-101 in Participants With Idiopathic Pulmonary Fibrosis</t>
  </si>
  <si>
    <t>Tvardi Therapeutics, Incorporated</t>
  </si>
  <si>
    <t>NCT05525468</t>
  </si>
  <si>
    <t>A Phase 1 Study of TDM-180935 Following Topical Administration in Healthy Male Subjects</t>
  </si>
  <si>
    <t>NCT06176768</t>
  </si>
  <si>
    <t>A Study of LY3972406 in Adult Participants With Moderate-to-Severe Plaque Psoriasis</t>
  </si>
  <si>
    <t>NCT06439368</t>
  </si>
  <si>
    <t>Effect of Dezocine Combined With Sufentanil on the Quality of Postoperative Recovery and Analgesic Effect in Patients Undergoing Thoracic Surgery</t>
  </si>
  <si>
    <t>NCT05563220</t>
  </si>
  <si>
    <t>Open-Label Umbrella Study To Evaluate Safety And Efficacy Of Elacestrant In Various Combination In Participants With Metastatic Breast Cancer</t>
  </si>
  <si>
    <t>NCT06215716</t>
  </si>
  <si>
    <t>A Study Evaluating Efruxifermin in Subjects With Non-Cirrhotic Nonalcoholic Steatohepatitis (NASH)/Metabolic Dysfunction-Associated Steatohepatitis (MASH) and Fibrosis</t>
  </si>
  <si>
    <t>NCT06181435</t>
  </si>
  <si>
    <t>A Study to Evaluate the Efficacy and Safety of Subcutaneous Amlitelimab Monotherapy Compared With Placebo in Participants Aged 12 Years and Older With Moderate-to-severe Atopic Dermatitis (COAST 2)</t>
  </si>
  <si>
    <t>NCT05644717</t>
  </si>
  <si>
    <t>Effect of Erugliflozin On Liver Fat, Liver Fibrosis and Glycemic Control in Type II DM Patients With NASH/NAFLD</t>
  </si>
  <si>
    <t>NCT05870540</t>
  </si>
  <si>
    <t>BPL-003 Efficacy and Safety in Treatment Resistant Depression</t>
  </si>
  <si>
    <t>NCT05541549</t>
  </si>
  <si>
    <t>A Phase 2 Study Evaluating JCPyV-specific T Cell Therapy for PML</t>
  </si>
  <si>
    <t>Cellevolve Bio Inc</t>
  </si>
  <si>
    <t>NCT06013150</t>
  </si>
  <si>
    <t>Study of Inhaled DMC-IH1 and Intramuscular (EpiPen®) Epinephrine in Healthy Male and Female Participants.</t>
  </si>
  <si>
    <t>NCT05764590</t>
  </si>
  <si>
    <t>A Study to Evaluate Safety and Efficacy of AP-306 in Hyperphosphatemia Patients</t>
  </si>
  <si>
    <t>Alebund Pharmaceuticals</t>
  </si>
  <si>
    <t>NCT05877313</t>
  </si>
  <si>
    <t>Nitric Oxide Releasing Solution (NORS) For The Treatment Of Human Papillomavirus(HPV) Verrucae Plantaris (Plantar Warts)</t>
  </si>
  <si>
    <t>NCT06553287</t>
  </si>
  <si>
    <t>Safety, Tolerability and Pharmacokinetics of LNK01004 Ointment in Adults With Atopic Dermatitis.</t>
  </si>
  <si>
    <t>NCT05555732</t>
  </si>
  <si>
    <t>Datopotamab Deruxtecan (Dato-DXd) and Pembrolizumab With or Without Platinum Chemotherapy in 1L Non-Small Cell Lung Cancer (TROPION-Lung07)</t>
  </si>
  <si>
    <t>NCT05682378</t>
  </si>
  <si>
    <t>Long-term Safety and Tolerability of Inclisiran in Participants With HeFH or HoFH Who Have Completed the Pediatric ORION-16, ORION-13, ORION-20, or ORION-19 Studies</t>
  </si>
  <si>
    <t>NCT06225115</t>
  </si>
  <si>
    <t>A Study to Investigate the Safety, Tolerability, and Pharmacokinetics of KYN-5356 in Healthy Subjects Aged 18 to 55 Years</t>
  </si>
  <si>
    <t>Kynexis B.V.</t>
  </si>
  <si>
    <t>NCT06350890</t>
  </si>
  <si>
    <t>Efficacy and Safety of Berberine Ursodeoxycholate (HTD1801) in Patients With Type 2 Diabetes</t>
  </si>
  <si>
    <t>NCT05386680</t>
  </si>
  <si>
    <t>Phase IIIb, Open-label, Multi-center Study to Evaluate Safety, Tolerability and Efficacy of OAV101 Administered Intrathecally to Participants With SMA Who Discontinued Treatment With Nusinersen or Risdiplam</t>
  </si>
  <si>
    <t>NCT06092580</t>
  </si>
  <si>
    <t>Phase 1 Study of AWT020 in Advanced Cancer</t>
  </si>
  <si>
    <t>NCT06256562</t>
  </si>
  <si>
    <t>A Study of GZR18 Injection in Obese/Overweight Patients</t>
  </si>
  <si>
    <t>NCT06119958</t>
  </si>
  <si>
    <t>Drug-drug Interactions Between DWC202313 and DWC202314 in Healthy Subjects</t>
  </si>
  <si>
    <t>NCT05614648</t>
  </si>
  <si>
    <t>Sciatica Epidural Radiculopathy Experimental New Interventional TherapY Clonidine Micropellet</t>
  </si>
  <si>
    <t>Sollis Therapeutics, Inc.</t>
  </si>
  <si>
    <t>NCT05718648</t>
  </si>
  <si>
    <t>A Study to Test How BI 1015550 is Taken up in the Blood of People With and Without Kidney Problems</t>
  </si>
  <si>
    <t>NCT05814926</t>
  </si>
  <si>
    <t>GP681 in Volunteers With Hepatic Impairment Compared With Healthy Volunteers</t>
  </si>
  <si>
    <t>NCT05976568</t>
  </si>
  <si>
    <t>A Study of QL1706 in Combination With Bevacizumab and/or Chemotherapy as First-line Treatment in Patients With Advanced Hepatocellular Carcinoma</t>
  </si>
  <si>
    <t>NCT06116968</t>
  </si>
  <si>
    <t>An Open-Label Study of Aficamten for Chinese Patients With Symptomatic oHCM</t>
  </si>
  <si>
    <t>NCT05723874</t>
  </si>
  <si>
    <t>A Study in Healthy Men to Test Whether Bosentan Influences the Amount of BI 425809 in the Blood</t>
  </si>
  <si>
    <t>NCT05720091</t>
  </si>
  <si>
    <t>Substance Balance Study of [14C]ZX-7101A in Healthy Adult Male Subjects in China</t>
  </si>
  <si>
    <t>NCT04594018</t>
  </si>
  <si>
    <t>Efficacy and Safety of Finlândia Hair Lotion Association on Androgenetic Alopecia</t>
  </si>
  <si>
    <t>NCT05557591</t>
  </si>
  <si>
    <t>A Trial to Learn How the Cancer Vaccine BNT116 in Combination With Cemiplimab Works and How Safe the Combination is in Adults With Advanced Non-small Cell Lung Cancer (EMPOWERVAX Lung 1)</t>
  </si>
  <si>
    <t>NCT06569524</t>
  </si>
  <si>
    <t>Efficacy and Safety of Recombinant Human FGF21-Fc Fusion Protein for Injection (TQA2225/AP025) in Adult Subjects With Non-alcoholic Steatohepatitis (NASH)</t>
  </si>
  <si>
    <t>NCT05836259</t>
  </si>
  <si>
    <t>Multi-center, Open-label, Single-ascending Dose Study of Safety and Tolerability of TN-201 in Adults With Symptomatic MYBPC3 Mutation-associated HCM</t>
  </si>
  <si>
    <t>Tenaya Therapeutics</t>
  </si>
  <si>
    <t>NCT05723562</t>
  </si>
  <si>
    <t>A Study of Dostarlimab in Untreated dMMR/MSI-H Locally Advanced Rectal Cancer</t>
  </si>
  <si>
    <t>NCT07256288</t>
  </si>
  <si>
    <t>A Phase Ia Study of the Safety, Tolerability, Pharmacokinetics and Pharmacodynamics of Single Doses of EA5 in Healthy Adult Subjects</t>
  </si>
  <si>
    <t>Shanghai Lanyi Therapeutics Co., Ltd.</t>
  </si>
  <si>
    <t>NCT05606913</t>
  </si>
  <si>
    <t>A Study of IBI362 in Participants With Type 2 Diabetes</t>
  </si>
  <si>
    <t>NCT06135103</t>
  </si>
  <si>
    <t>Phase 2 Study of TXA127 in Post-ischemic Stroke Patients</t>
  </si>
  <si>
    <t>Constant Therapeutics LLC</t>
  </si>
  <si>
    <t>NCT05908786</t>
  </si>
  <si>
    <t>A Study Evaluating The Efficacy and Safety of Neoadjuvant Immunotherapy Combinations in Patients With Surgically Resectable Hepatocellular Carcinoma</t>
  </si>
  <si>
    <t>NCT05832073</t>
  </si>
  <si>
    <t>Safety, Pharmacokinetics, and Pharmacodynamic Testing of Rabies mAb CBB 1</t>
  </si>
  <si>
    <t>NCT05748873</t>
  </si>
  <si>
    <t>Promising ROd-cone DYstrophy Gene therapY</t>
  </si>
  <si>
    <t>SparingVision</t>
  </si>
  <si>
    <t>NCT04175704</t>
  </si>
  <si>
    <t>Evaluating the Safety and Tolerability and Determining the PK and PD of Single Dose UB-221 in Chronic Spontaneous Urticaria</t>
  </si>
  <si>
    <t>NCT06182384</t>
  </si>
  <si>
    <t>A Clinical Study to Compare the Safety and Pharmacokinetics of SHR-1314 Injection in Healthy Subjects at Different Specifications Devices</t>
  </si>
  <si>
    <t>NCT05999435</t>
  </si>
  <si>
    <t>Study of LAU-7b for the Treatment of Long COVID in Adults</t>
  </si>
  <si>
    <t>NCT06068608</t>
  </si>
  <si>
    <t>A Trial to Evaluate the Safety, Pharmacokinetics and Pharmacodynamic Profile of TNM005 in Healthy Adult Subjectsy</t>
  </si>
  <si>
    <t>NCT05911217</t>
  </si>
  <si>
    <t>A Study to Evaluate the Efficacy and Safety of CT041 After Adjuvant Chemotherapy for Pancreatic Cancer</t>
  </si>
  <si>
    <t>NCT06056791</t>
  </si>
  <si>
    <t>Study of INKmune in Patients With mCRPC (CaRe Prostate)</t>
  </si>
  <si>
    <t>NCT05896774</t>
  </si>
  <si>
    <t>A Study to Learn About the Study Medicine (Maplirpacept) in People With Advanced Non-Hodgkin Lymphoma or Multiple Myeloma in China</t>
  </si>
  <si>
    <t>NCT06200597</t>
  </si>
  <si>
    <t>A Single and Multiple Ascending Dose Study of LAD603 in Healthy Subjects</t>
  </si>
  <si>
    <t>NCT05602961</t>
  </si>
  <si>
    <t>A Phase I/II Study of GLB-COV2-043 as a COVID-19 Vaccine Booster</t>
  </si>
  <si>
    <t>GreenLight Biosciences, Inc.</t>
  </si>
  <si>
    <t>NCT05694169</t>
  </si>
  <si>
    <t>A Study of Participants With Chronic Kidney Disease Previously Treated With REACT</t>
  </si>
  <si>
    <t>NCT04721548</t>
  </si>
  <si>
    <t>Treatment of Androgenetic Alopecia in Men for 24 Weeks</t>
  </si>
  <si>
    <t>NCT06006585</t>
  </si>
  <si>
    <t>A Study to Test How Well Different Doses of BI 771716 Are Tolerated by People With an Advanced Form of Age-related Macular Degeneration (AMD) Called Geographic Atrophy</t>
  </si>
  <si>
    <t>NCT06208488</t>
  </si>
  <si>
    <t>A Study of Subcutaneous Gefurulimab Using Prefilled Syringe Versus Autoinjector in Healthy Adult Participants</t>
  </si>
  <si>
    <t>NCT05628961</t>
  </si>
  <si>
    <t>Study of Single Oral Doses of HOPO 14-1 Evaluating Safety, Tolerability, Pharmacokinetics</t>
  </si>
  <si>
    <t>SRI International</t>
  </si>
  <si>
    <t>NCT05126342</t>
  </si>
  <si>
    <t>Study to Estimate Efficacy of Combining Dostarlimab and Niraparib in Relapsed EOC After Treatment With PARPi</t>
  </si>
  <si>
    <t>NCT06028373</t>
  </si>
  <si>
    <t>A Study of ATG-031 in Advanced Solid Tumors or B-cell Non-Hodgkin Lymphomas</t>
  </si>
  <si>
    <t>NCT05893862</t>
  </si>
  <si>
    <t>A Study To Evaluate The Effect Of A Supratherapeutic Dose Of Elpipodect (MK-8189) On The QTc Interval In Participants With Schizophrenia (MK-8189-019)</t>
  </si>
  <si>
    <t>NCT05715346</t>
  </si>
  <si>
    <t>LEV102 Topical Gel in Acquired Blepharoptosis</t>
  </si>
  <si>
    <t>Levation Pharma, Ltd.</t>
  </si>
  <si>
    <t>NCT05881993</t>
  </si>
  <si>
    <t>Study of CBP-4888 in Healthy, Non-Pregnant Female Subjects</t>
  </si>
  <si>
    <t>Comanche Biopharma</t>
  </si>
  <si>
    <t>NCT05888493</t>
  </si>
  <si>
    <t>A Phase III Trial Comparing Tisagenlecleucel to Standard of Care (SoC) in Adult Participants With r/r Follicular Lymphoma</t>
  </si>
  <si>
    <t>NCT05993884</t>
  </si>
  <si>
    <t>Safety and Preliminary Efficacy of Allogeneic Endothelial Progenitor Cells (EPCs) in Patients With Acute Ischemic Stroke</t>
  </si>
  <si>
    <t>Allife Medical Science and Technology Co., Ltd.</t>
  </si>
  <si>
    <t>NCT05857384</t>
  </si>
  <si>
    <t>Bioavailability, Bioequivalence and Tolerability of IHL-42X Compared to the Reference Drugs</t>
  </si>
  <si>
    <t>Incannex Healthcare Ltd</t>
  </si>
  <si>
    <t>NCT05993325</t>
  </si>
  <si>
    <t>Immunogenicity and Safety of AdCLD-CoV19-1 OMI As a Booster: a COVID-19 Preventive Vaccine in Healthy Volunteers</t>
  </si>
  <si>
    <t>NCT06051617</t>
  </si>
  <si>
    <t>Seladelpar in Subjects With Primary Biliary Cholangitis (PBC) and Compensated Cirrhosis</t>
  </si>
  <si>
    <t>NCT05711940</t>
  </si>
  <si>
    <t>Efficacy, Safety, and Tolerability of Two Administrations of COMP360 in Participants With TRD</t>
  </si>
  <si>
    <t>NCT05469178</t>
  </si>
  <si>
    <t>A Clinical Study of Bemcentinib With Standard of Care Chemoimmunotherapy in Untreated Advanced/Metastatic Non-small Cell Lung Cancer Patients With a Mutation in the STK11 Gene</t>
  </si>
  <si>
    <t>NCT05823285</t>
  </si>
  <si>
    <t>A Study Evaluates the Safety, Pharmacokinetics, Immunogenicity and Efficacy of QLS31903 in Advanced Solid Tumor Patients</t>
  </si>
  <si>
    <t>NCT05963984</t>
  </si>
  <si>
    <t>A Study of Samuraciclib in Combination With Fulvestrant in Metastatic or Locally Advanced Breast Cancer in Adult Participants</t>
  </si>
  <si>
    <t>Carrick Therapeutics Limited</t>
  </si>
  <si>
    <t>NCT06059508</t>
  </si>
  <si>
    <t>Phase I Clinical Study of SHR-5495 in the Treatment of Patients With Advanced Malignant Tumors</t>
  </si>
  <si>
    <t>NCT06024876</t>
  </si>
  <si>
    <t>A Clinical Study Evaluating the Safety and Efficacy of CS-101 in Treating Subjects With β-thalassemia</t>
  </si>
  <si>
    <t>CorrectSequence Therapeutics Co., Ltd</t>
  </si>
  <si>
    <t>NCT05650333</t>
  </si>
  <si>
    <t>A Study to Learn About the Study Medicine (Called Ritlecitinib) For the Potential Treatment of Severe Alopecia Areata (AA) In Children 6 To Less Than 12 Years of Age</t>
  </si>
  <si>
    <t>NCT06104358</t>
  </si>
  <si>
    <t>Ph 2a Study of HU6 on Energy Metabolism, Muscle and Liver Substrate Metabolism, and Mitochondrial Function in Subjects Who Are Overweight or Obese With Type 2 Diabetes</t>
  </si>
  <si>
    <t>NCT03999658</t>
  </si>
  <si>
    <t>A Study of STI-3031 (an Anti-PD-L1 Antibody) in Patients With Selected Relapsed/Refractory Malignancies</t>
  </si>
  <si>
    <t>NCT06036355</t>
  </si>
  <si>
    <t>The Exploratory Study on the Biological Function of Dendritic Cells In Vivo Supported by Nicotinamide Mononucleotide (Vital NAD)</t>
  </si>
  <si>
    <t>NCT05856487</t>
  </si>
  <si>
    <t>To Evaluate the Safety and Efficacy of NVP-2203 Tablet in Patients</t>
  </si>
  <si>
    <t>NCT06224543</t>
  </si>
  <si>
    <t>MR Image Synthesis With Low Gadobutrol Dose and AI</t>
  </si>
  <si>
    <t>Subtle Medical</t>
  </si>
  <si>
    <t>NCT05992935</t>
  </si>
  <si>
    <t>Study to Evaluate the Safety, Reactogenicity, and Immunogenicity of mRNA-1403 and mRNA-1405 to Prevent Norovirus Acute Gastroenteritis in Healthy Adults 18 to 80 Years of Age</t>
  </si>
  <si>
    <t>NCT06080555</t>
  </si>
  <si>
    <t>Bioequivalence Study of Ferric Carboxymaltose Injection in Participants With Iron Deficiency Anaemia</t>
  </si>
  <si>
    <t>Sichuan Huiyu Pharmaceutical Co., Ltd</t>
  </si>
  <si>
    <t>NCT05701826</t>
  </si>
  <si>
    <t>A Study to Evaluate the Safety, Tolerability, Pharmacokinetics and Pharmacodynamics of HRS3797 in Healthy Subjects</t>
  </si>
  <si>
    <t>NCT05624268</t>
  </si>
  <si>
    <t>Efficacy, Safety, and Tolerability of COMP360 in Participants With TRD</t>
  </si>
  <si>
    <t>NCT06643390</t>
  </si>
  <si>
    <t>A Study of MK-2225 in Healthy Participants (MK-2225-003)</t>
  </si>
  <si>
    <t>NCT05643742</t>
  </si>
  <si>
    <t>A Safety and Efficacy Study Evaluating CTX112 in Subjects With Relapsed or Refractory B-Cell Malignancies</t>
  </si>
  <si>
    <t>NCT05951049</t>
  </si>
  <si>
    <t>A Study of AT-02 in Subjects With Systemic Amyloidosis.</t>
  </si>
  <si>
    <t>NCT05735158</t>
  </si>
  <si>
    <t>Topical KB105 for the Treatment of TGM1-deficient Autosomal Recessive Congenital Ichthyosis (ARCI)</t>
  </si>
  <si>
    <t>NCT05579249</t>
  </si>
  <si>
    <t>A Research Study Comparing Wegovy to Other Weight Management Drugs in People Living With Obesity in America</t>
  </si>
  <si>
    <t>NCT05935358</t>
  </si>
  <si>
    <t>Nuwiq for Perioperative Management Of Patients With Haemophilia A on Emicizumab Regular Prophylaxis Study</t>
  </si>
  <si>
    <t>NCT05970432</t>
  </si>
  <si>
    <t>A Clinical Study of TQH2722 Injection in the Treatment of Moderate to Severe Atopic Dermatitis</t>
  </si>
  <si>
    <t>NCT06241898</t>
  </si>
  <si>
    <t>A First-in-human of Multiplle Doses of BB-1709 in Subjects With Locally Advanced/Metastatic Solid Tumors</t>
  </si>
  <si>
    <t>NCT05841238</t>
  </si>
  <si>
    <t>A Multiple Dose Study of LY3502970 in Healthy Overweight and Obese Participants</t>
  </si>
  <si>
    <t>NCT05810948</t>
  </si>
  <si>
    <t>A Study to Assess Effectiveness and Safety of Efgartigimod in Chinese Patients With Lupus Nephritis (ZL-1103-013)</t>
  </si>
  <si>
    <t>NCT06087848</t>
  </si>
  <si>
    <t>A Study to Evaluate Mesenchymal Stem Cell Product StromaForte's Effect on Cardiovascular Events</t>
  </si>
  <si>
    <t>Cellcolabs Clinical LTD.</t>
  </si>
  <si>
    <t>NCT05954338</t>
  </si>
  <si>
    <t>Bioequivalence Study for the Safety and the Pharmacokinetics of DWJ1543 With DWC202307 in Healthy Adult Volunteers</t>
  </si>
  <si>
    <t>NCT05725291</t>
  </si>
  <si>
    <t>AMT-116 in Patients With Advanced Solid Tumors</t>
  </si>
  <si>
    <t>Multitude Therapeutics Inc.</t>
  </si>
  <si>
    <t>NCT06088004</t>
  </si>
  <si>
    <t>Phase Ⅰ/Ⅱ Clinical Study to Evaluate ABO2011 in Advanced Solid Tumors</t>
  </si>
  <si>
    <t>NCT05673538</t>
  </si>
  <si>
    <t>TT-00973-MS Tablets in Patients With Advanced Solid Tumors</t>
  </si>
  <si>
    <t>NCT06291935</t>
  </si>
  <si>
    <t>Safety and Tolerability of Intravitreal Administration of VG901 in Patients With Retinitis Pigmentosa Due to Mutations in the CNGA1 Gene</t>
  </si>
  <si>
    <t>VeonGen Therapeutics GmbH</t>
  </si>
  <si>
    <t>NCT06168318</t>
  </si>
  <si>
    <t>A Study to Investigate the Relative Bioavailability and Food Effect of an Oral Capsid Inhibitor Tablet Formulation Compared With Other Oral Tablet Formulations in Male and Female Healthy Participants</t>
  </si>
  <si>
    <t>NCT05730335</t>
  </si>
  <si>
    <t>A Study to Assess the Adverse Events and Effectiveness of Rapid Acoustic Pulse (RAP) Device in Adult Participants for the Appearance of Cellulite</t>
  </si>
  <si>
    <t>NCT05200650</t>
  </si>
  <si>
    <t>A Single Arm, Prospective, Open Label, Multi Center, Phase Ib Study to Evaluate the Safety, Tolerability and Initial Efficacy of a Single Intra-tumoral Injection of IntraGel's Polymer-based Cisplatin-loaded Gel (TumoCure) in Subjects With Progressive or Radio-resistant Primary Head and Neck Tumor</t>
  </si>
  <si>
    <t>IntraGel Therapeutics</t>
  </si>
  <si>
    <t>NCT05557448</t>
  </si>
  <si>
    <t>To Evaluate the Efficacy and Safety of TYNADOTE® in the Treatment of Acetaminophen Overdose</t>
  </si>
  <si>
    <t>NCT05707208</t>
  </si>
  <si>
    <t>A Randomized, Controlled Study of Repeat Dose Sustained Release Lidocaine for Treatment of Chronic Scrotal Pain</t>
  </si>
  <si>
    <t>Sustained Therapeutics Inc.</t>
  </si>
  <si>
    <t>NCT06173726</t>
  </si>
  <si>
    <t>Investigator-initiated Phase I Exploratory Clinical Study of the Safety, Tolerability, and Efficacy of BST02 Injection in the Treatment of Locally Advanced/Metastatic Liver Cancer</t>
  </si>
  <si>
    <t>NCT06029426</t>
  </si>
  <si>
    <t>Study to Evaluate the Effects of Oral NMRA-335140 Versus Placebo in Participants With Major Depressive Disorder</t>
  </si>
  <si>
    <t>NCT05714085</t>
  </si>
  <si>
    <t>Efficacy, Safety, and Pharmacokinetics of Vericiguat in Pediatric Participants With Heart Failure Due to Left Ventricular Systolic Dysfunction (MK-1242-036)</t>
  </si>
  <si>
    <t>NCT06292351</t>
  </si>
  <si>
    <t>DMB-I in the Treatment of Alzheimer Type Dementia</t>
  </si>
  <si>
    <t>Bigespas LTD</t>
  </si>
  <si>
    <t>NCT06494345</t>
  </si>
  <si>
    <t>A Study of Genolair in Two Dosage Forms (Solution and Lyophilisate) and Xolair® in Healthy Volunteers</t>
  </si>
  <si>
    <t>NCT05842967</t>
  </si>
  <si>
    <t>A Study to Assess the Safety, Tolerability, and Immunogenicity of RSVpreF in Adults at High Risk of Severe RSV Disease</t>
  </si>
  <si>
    <t>NCT06679153</t>
  </si>
  <si>
    <t>A Phase 2 Study of VVN461 Ophthalmic Solution for Noninfectious Anterior Uveitis</t>
  </si>
  <si>
    <t>NCT05534529</t>
  </si>
  <si>
    <t>Rezafungin Paediatric PK Study in Paediatric Subjects From Birth to &lt;18 Years of Age</t>
  </si>
  <si>
    <t>NCT05848466</t>
  </si>
  <si>
    <t>Assessment of Safety, Tolerability and Pharmacokinetics With BAT8010 for Injection in Advanced Malignant Solid Tumors Patients</t>
  </si>
  <si>
    <t>NCT05668741</t>
  </si>
  <si>
    <t>A Phase 1/2 Study of VX-522 in Participants With Cystic Fibrosis (CF)</t>
  </si>
  <si>
    <t>NCT06680466</t>
  </si>
  <si>
    <t>A Phase Ⅱ Study to Evaluate the Efficacy and Safety of YZJ-4729 in Patients With Moderate to Severe Acute Pain After Abdominal Surgery</t>
  </si>
  <si>
    <t>NCT06150183</t>
  </si>
  <si>
    <t>Safety and Preliminary Efficacy of BNT314 in Cancer Patients With Malignant Solid Tumors</t>
  </si>
  <si>
    <t>NCT05639166</t>
  </si>
  <si>
    <t>Study in Adults to Assess the Safety and Efficacy of Inhaled IBIO123, for Post-exposure Prophylaxis of COVID-19</t>
  </si>
  <si>
    <t>NCT06211283</t>
  </si>
  <si>
    <t>Bioavailability and Food Effect of Sodium Valproate Minitablets in Healthy Subjects.</t>
  </si>
  <si>
    <t>NCT06175351</t>
  </si>
  <si>
    <t>Study to Evaluate the Pharmacokinetic Characteristics, Safety, Tolerability, and Preliminary Efficacy of 9MW1911 in Patients With Chronic Obstructive Pulmonary Disease (COPD).</t>
  </si>
  <si>
    <t>NCT06028074</t>
  </si>
  <si>
    <t>Safety and Tolerability Study of GIM-122 in Subjects With Advanced Solid Malignancies</t>
  </si>
  <si>
    <t>Georgiamune Inc</t>
  </si>
  <si>
    <t>NCT05798520</t>
  </si>
  <si>
    <t>A Study to Learn About the Safety of BIIB091 and Its Effect on Brain Inflammation When Taken Alone or With Diroximel Fumarate (DRF) in Adults With Relapsing Forms of Multiple Sclerosis (MS)</t>
  </si>
  <si>
    <t>NCT05890976</t>
  </si>
  <si>
    <t>Research Study Looking at How Well Semaglutide Tablets Taken Once Daily Work in Chinese Adults Who Are Above a Healthy Weight Range (OASIS 3)</t>
  </si>
  <si>
    <t>NCT05685420</t>
  </si>
  <si>
    <t>Extension Study of Herombopag for Pediatric Patients With Chronic Immune Thrombocytopenia</t>
  </si>
  <si>
    <t>NCT06091826</t>
  </si>
  <si>
    <t>Study Assessing Efficacy and Safety of NFL-101 on Reduction of Reinforcing Properties of Cigarettes (PRECESTO)</t>
  </si>
  <si>
    <t>NCT05970224</t>
  </si>
  <si>
    <t>A Study to Evaluate the Safety, Tolerability and the Effects of Ixodes Ricinus-Contact Phase Inhibitor (Ir-CPI) in Adult Patients With Spontaneous Intracerebral Haemorrhage</t>
  </si>
  <si>
    <t>Bioxodes S.A.</t>
  </si>
  <si>
    <t>NCT05828459</t>
  </si>
  <si>
    <t>First-in-human Study of OT-A201 in Patients With Selected Hematological Malignancies and Solid Tumors</t>
  </si>
  <si>
    <t>Onward Therapeutics</t>
  </si>
  <si>
    <t>NCT05445778</t>
  </si>
  <si>
    <t>Mirvetuximab Soravtansine With Bevacizumab Versus Bevacizumab as Maintenance in Platinum-sensitive Epithelial Ovarian, Fallopian Tube, or Peritoneal Cancer</t>
  </si>
  <si>
    <t>NCT05794243</t>
  </si>
  <si>
    <t>A Multiple-Dose Study of LY3493269 in Healthy Participants</t>
  </si>
  <si>
    <t>NCT05965089</t>
  </si>
  <si>
    <t>A First in Human Study of AX-202 in Healthy Subjects and Patients With Psoriasis.</t>
  </si>
  <si>
    <t>Arxx Therapeutics</t>
  </si>
  <si>
    <t>NCT05862285</t>
  </si>
  <si>
    <t>A Rollover Study for Participants Previously Enrolled in a Genentech and/or F. Hoffman-La Roche Sponsored Study</t>
  </si>
  <si>
    <t>NCT05804526</t>
  </si>
  <si>
    <t>A Study of RC88 Combined With Sintilimab for Advanced Solid Tumours</t>
  </si>
  <si>
    <t>NCT06074497</t>
  </si>
  <si>
    <t>This is an Open Label, Two-part, Multicenter, Phase I Trial to Investigate the Safety, Tolerability, and PK of KGX101 Monotherapy and Combination Therapy With Envafolimab in Patients With Advanced or Metastatic Solid Tumors.</t>
  </si>
  <si>
    <t>Kangabio AUSTRALIA LTD PTY</t>
  </si>
  <si>
    <t>NCT05763576</t>
  </si>
  <si>
    <t>A Study to Investigate Safety, Tolerability, Pharmacokinetics, and Pharmacodynamics of RO7565020 in Healthy Participants and in Participants With Chronic Hepatitis B Virus Infection</t>
  </si>
  <si>
    <t>NCT05744674</t>
  </si>
  <si>
    <t>Phase Ⅱ Study of Intercostal Nerve Block With HR18034 for Postsurgical Pain Management</t>
  </si>
  <si>
    <t>NCT06102213</t>
  </si>
  <si>
    <t>Study To Evaluate The Safety And Efficacy of PBCLN-010 In Combination With PBCLN-014 in Participants Receiving Allogeneic Hematopoietic Cell Transplantation</t>
  </si>
  <si>
    <t>Prolacta Bioscience</t>
  </si>
  <si>
    <t>NCT05683418</t>
  </si>
  <si>
    <t>A Study to Evaluate the Safety and Tolerability of TOS-358 in Women With HR+ HER2- Breast Cancer</t>
  </si>
  <si>
    <t>Totus Medicines</t>
  </si>
  <si>
    <t>NCT06434818</t>
  </si>
  <si>
    <t>Enhanced Digital-Chemosensory-Based Olfactory Training for Remote Management of Substance Use Disorders</t>
  </si>
  <si>
    <t>NCT05730218</t>
  </si>
  <si>
    <t>A Phase 2 Study to Assess the Safety and Efficacy of Intravitreal ONL1204 Ophthalmic Solution in Subjects With Mac-off Retinal Detachment</t>
  </si>
  <si>
    <t>NCT05630066</t>
  </si>
  <si>
    <t>A Study to Investigate the Pharmacokinetics (PK) and Safety and to Provide Proof of Mechanism of Alogabat in Children and Adolescents Aged 5-17 Years With Angelman Syndrome (AS) With Deletion Genotype.</t>
  </si>
  <si>
    <t>NCT05838066</t>
  </si>
  <si>
    <t>Efficacy and Safety of KN026 in Combination With HB1801 in the First-line Treatment of Subjects With HER2-positive Recurrent or Metastatic Breast Cancer.</t>
  </si>
  <si>
    <t>NCT05868122</t>
  </si>
  <si>
    <t>A Study to Evaluate a Fixed Combination of Acetaminophen/Naproxen Sodium in Acute Postoperative Pain Following Bunionectomy</t>
  </si>
  <si>
    <t>NCT06160622</t>
  </si>
  <si>
    <t>Pharmacokinetics of Leritrelvir(RAY1216) in Participants With Severe Kidney Disease</t>
  </si>
  <si>
    <t>NCT05552469</t>
  </si>
  <si>
    <t>Dose Optimization and Expansion Study of DFV890 in Adult Patients With Myeloid Diseases</t>
  </si>
  <si>
    <t>NCT06128369</t>
  </si>
  <si>
    <t>Study Evaluating the Efficacy and Safety of OCS-01 Eye Drops in Subjects Following Cataract Surgery</t>
  </si>
  <si>
    <t>NCT06066645</t>
  </si>
  <si>
    <t>Travoprost Intraocular Implant + iStent Infinite</t>
  </si>
  <si>
    <t>NCT06061718</t>
  </si>
  <si>
    <t>Travoprost Intraocular Implant in Conjunction With Cataract Surgery</t>
  </si>
  <si>
    <t>NCT05732766</t>
  </si>
  <si>
    <t>To Evaluate Safety of Oral Cholera Vaccine Hillchol® (BBV131)</t>
  </si>
  <si>
    <t>NCT05906251</t>
  </si>
  <si>
    <t>A Gene Transfer Study to Evaluate the Safety, Tolerability and Efficacy of SRP-6004 in Ambulatory Participants With Limb Girdle Muscular Dystrophy, Type 2B/R2 (LGMD2B/R2, Dysferlin [DYSF] Related)</t>
  </si>
  <si>
    <t>NCT06548945</t>
  </si>
  <si>
    <t>A Phase I Study of GZR18 Injection in Obese/Overweight Subjects</t>
  </si>
  <si>
    <t>NCT06809569</t>
  </si>
  <si>
    <t>A Study to Evaluate Laser Speckle Contrast Imaging to Assess Changes in Chemical Agent-Induced Skin Blood Flow in Healthy Participants (MK-0000-420)</t>
  </si>
  <si>
    <t>NCT06132737</t>
  </si>
  <si>
    <t>[90Y]Y-PTT Endoradiotherapy in CNS Lymphoma Patients</t>
  </si>
  <si>
    <t>NCT06212973</t>
  </si>
  <si>
    <t>A Study to Evaluate the Efficacy and Safety of Epinastine Hydrochloride Eye Drops in the Treatment of Chinese Seasonal Allergic Conjunctivitis Patients</t>
  </si>
  <si>
    <t>NCT06057883</t>
  </si>
  <si>
    <t>Effects Of A Probiotic Formulation On Stress and Skin Health in Younger Adult Females</t>
  </si>
  <si>
    <t>NCT05756673</t>
  </si>
  <si>
    <t>A Study of Virtually Supervised Mouthwash and Interdental Brushes</t>
  </si>
  <si>
    <t>NCT05865496</t>
  </si>
  <si>
    <t>A Study to Evaluate 611 in Patients With Chronic Rhinosinusitis With Nasal Polyps</t>
  </si>
  <si>
    <t>NCT06152042</t>
  </si>
  <si>
    <t>Phase 2 Trial of BMF-219 in Participants With Type 1 Diabetes Mellitus</t>
  </si>
  <si>
    <t>NCT06621888</t>
  </si>
  <si>
    <t>Investigating The Effects Of Full-Spectrum Medicinal Cannabis Plant Extract 0.08% THC (NTI164) On Paediatric Acute-onset Neuropsychiatric Syndrome (PANS)</t>
  </si>
  <si>
    <t>NCT05944627</t>
  </si>
  <si>
    <t>Evaluate Safety and Explore Efficacy of FURESTEM-OA Kit Inj. in Patients With Knee Osteoarthritis</t>
  </si>
  <si>
    <t>NCT05547503</t>
  </si>
  <si>
    <t>Phase I Single Ascending Dose and Multiple Ascending Doses of Oral AFA-281 in Healthy Volunteers</t>
  </si>
  <si>
    <t>Afasci Inc</t>
  </si>
  <si>
    <t>NCT04891913</t>
  </si>
  <si>
    <t>SY007 in Patients With Acute Ischemic Stroke</t>
  </si>
  <si>
    <t>NCT06050460</t>
  </si>
  <si>
    <t>SA55 Injection: a Potential Therapy for the Prevention and Treatment of COVID-19</t>
  </si>
  <si>
    <t>NCT05816759</t>
  </si>
  <si>
    <t>Evaluate the Pharmacokinetics and Safety Between the Administration of CKD-383 and the Co-administration of CKD-501, D744, and D150</t>
  </si>
  <si>
    <t>NCT05695248</t>
  </si>
  <si>
    <t>A Study of Navenibart (STAR-0215) in Participants With Hereditary Angioedema</t>
  </si>
  <si>
    <t>NCT06012578</t>
  </si>
  <si>
    <t>Study Evaluating ISM5411 Administered Orally to Healthy Volunteers</t>
  </si>
  <si>
    <t>NCT05960097</t>
  </si>
  <si>
    <t>A Study on the Safety and Immune Response of Investigational COVID-19 mRNA Vaccines in Healthy Adults</t>
  </si>
  <si>
    <t>NCT05815862</t>
  </si>
  <si>
    <t>Clinical Study of AL2846 Capsules in the Treatment of Advanced Lung Tumor and Advanced Ovarian Cancer</t>
  </si>
  <si>
    <t>NCT05611424</t>
  </si>
  <si>
    <t>Gene Therapy for Wet AMD</t>
  </si>
  <si>
    <t>NCT03110523</t>
  </si>
  <si>
    <t>A Study to Evaluate the Efficacy and Safety of X0002 Spray in Subjects With Osteoarthritis of the Lumbar Spine</t>
  </si>
  <si>
    <t>NCT06108024</t>
  </si>
  <si>
    <t>A Trial to Evaluate the Safety and Efficacy of SM-020 Gel 1.0% in Subjects With Seborrheic Keratosis</t>
  </si>
  <si>
    <t>NCT06326723</t>
  </si>
  <si>
    <t>Investigate the PK, Safety, and Tolerability After Single and Multiple Dose Daridorexant in Chinese Healthy Subjects</t>
  </si>
  <si>
    <t>NCT05856227</t>
  </si>
  <si>
    <t>Late-onset Sepsis in Term and Pre-term Neonates and Infants up to 3 Months of Age</t>
  </si>
  <si>
    <t>NCT05536726</t>
  </si>
  <si>
    <t>A Phase 3 Study of Recombinant Anti-IL-17A Humanized Monoclonal Antibody in Chinese Participants With Moderate-to-Severe Plaque Psoriasis</t>
  </si>
  <si>
    <t>NCT05999513</t>
  </si>
  <si>
    <t>A Relative Bioavailability Study and Food Effect Study of AB521 in Healthy Adult Volunteers</t>
  </si>
  <si>
    <t>NCT06006689</t>
  </si>
  <si>
    <t>Efficacy and Safety of QiShen YiQi Dripping Pills in the Treatment of Diabetic Kidney Disease (Syndrome of Qi Deficiency With Blood Stasis)</t>
  </si>
  <si>
    <t>NCT06068868</t>
  </si>
  <si>
    <t>Study to Evaluate Adverse Events and Movement of Intravenously (IV) Infused ABBV-787 in Adult Participants With Relapsed/Refractory (R/R) Acute Myeloid Leukemia (AML)</t>
  </si>
  <si>
    <t>NCT05856760</t>
  </si>
  <si>
    <t>A Study to Investigate Safety and Effect of Sparsentan in Combination With SGLT2 Inhibition in Participants With IgAN</t>
  </si>
  <si>
    <t>NCT05629689</t>
  </si>
  <si>
    <t>A Study to Evaluate GEH200520/GEH200521 (18F) Safety and Tolerability When Used for PET Scans in Patients With Solid Tumour Malignancies</t>
  </si>
  <si>
    <t>NCT05702450</t>
  </si>
  <si>
    <t>Study to Evaluate Pharmacokinetics, Safety and Efficacy of CM310</t>
  </si>
  <si>
    <t>NCT05954624</t>
  </si>
  <si>
    <t>Drug-durg Interaction of ZSP1273 With Digoxin, Rosuvastatin,Itraconazole and Probenecid</t>
  </si>
  <si>
    <t>NCT06278077</t>
  </si>
  <si>
    <t>Neurexan - a Clinical Trial in Short-Term Insomnia Patients</t>
  </si>
  <si>
    <t>Biologische Heilmittel Heel GmbH</t>
  </si>
  <si>
    <t>NCT06139575</t>
  </si>
  <si>
    <t>Phase 1/2 Clinical Study of Lutetium Lu 177 JH020002 Injection in Patients With Advanced Prostate Cancer</t>
  </si>
  <si>
    <t>Bivision Pharmaceuticals, Inc.</t>
  </si>
  <si>
    <t>NCT05903794</t>
  </si>
  <si>
    <t>A Study of EXG102-031 in Patients With wAMD (Everest)</t>
  </si>
  <si>
    <t>Exegenesis Bio</t>
  </si>
  <si>
    <t>NCT06046222</t>
  </si>
  <si>
    <t>Trial of Efficacy and Safety of NS-229 Versus Placebo in Patients With Eosinophilic Granulomatosis With Polyangiitis</t>
  </si>
  <si>
    <t>NCT05954611</t>
  </si>
  <si>
    <t>The Study of Single Dose Administration of GR2002 Injection in Chinese Health Volunteers</t>
  </si>
  <si>
    <t>NCT05843643</t>
  </si>
  <si>
    <t>Program to Assess Adverse Events and Change in Disease Activity of Oral Upadacitinib in Adult Participants With Moderate to Severe Systemic Lupus Erythematosus</t>
  </si>
  <si>
    <t>NCT05901935</t>
  </si>
  <si>
    <t>DP303c in Patients With HER2-positive Advanced Breast Cancer</t>
  </si>
  <si>
    <t>NCT05985876</t>
  </si>
  <si>
    <t>KULEA-NET: A Mobile Application for African American/Black Mothers to Promote Exclusive and Continuous Breastfeeding</t>
  </si>
  <si>
    <t>NCT06005740</t>
  </si>
  <si>
    <t>A Phase 1, First in Human Study of TORL-4-500 in Patients With Advanced Cancer</t>
  </si>
  <si>
    <t>NCT06094010</t>
  </si>
  <si>
    <t>A Surveillance Study of Susceptibility to Baloxavir Marboxil in Pediatric Participants With Influenza and Transmission of Influenza to Household Contacts</t>
  </si>
  <si>
    <t>NCT05802810</t>
  </si>
  <si>
    <t>The Mass Balance Study of [14C]JT001</t>
  </si>
  <si>
    <t>NCT05566223</t>
  </si>
  <si>
    <t>CISH Inactivated TILs in the Treatment of NSCLC</t>
  </si>
  <si>
    <t>NCT06175494</t>
  </si>
  <si>
    <t>A Phase 3 Clinical Study to Evaluate the Efficacy, Safety and Immunogenicity of Booster Vaccination With Recombinant COVID-19 (XBB) Trimer Protein Vaccine (Sf9 Cell)</t>
  </si>
  <si>
    <t>NCT05653037</t>
  </si>
  <si>
    <t>A Single Ascending Doses Phase I Study to Evaluate the Safety and Pharmacokinetics of RBD4059 in Healthy Subjects</t>
  </si>
  <si>
    <t>NCT06054477</t>
  </si>
  <si>
    <t>Study of ALE.C04 in Patients With Head and Neck Cancer</t>
  </si>
  <si>
    <t>Alentis Therapeutics AG</t>
  </si>
  <si>
    <t>NCT06019000</t>
  </si>
  <si>
    <t>Study of CYR-064 Versus Placebo in Patients.</t>
  </si>
  <si>
    <t>Cyrano Therapeutics, Inc.</t>
  </si>
  <si>
    <t>NCT06532630</t>
  </si>
  <si>
    <t>Anti-CD19-CAR-T Cells in Subjects With Relapsed/Refractory B Cell Malignancies</t>
  </si>
  <si>
    <t>Shanghai First Song Biotechnology Co., LTD</t>
  </si>
  <si>
    <t>NCT05870839</t>
  </si>
  <si>
    <t>Study of VXCO-100, a SARS-CoV Candidate Vaccine in Healthy Adults in the United States</t>
  </si>
  <si>
    <t>Vaccine Company, Inc.</t>
  </si>
  <si>
    <t>NCT05655312</t>
  </si>
  <si>
    <t>MC1R-targeted Alpha-particle Monotherapy and Combination Therapy Trial With Nivolumab in Adults With Advanced Melanoma</t>
  </si>
  <si>
    <t>NCT05818709</t>
  </si>
  <si>
    <t>A Study to Assess Adverse Events and Effectiveness of HAC 22L Injection for Mid-Face Volume in Adult Participants</t>
  </si>
  <si>
    <t>NCT06233916</t>
  </si>
  <si>
    <t>Mass Balance Study of [14C] D-1553 in Chinese Healthy Adult Male Subjects</t>
  </si>
  <si>
    <t>NCT05985200</t>
  </si>
  <si>
    <t>A Study in Healthy People to Test How Well Repeated Doses of BI 3032950 Are Tolerated</t>
  </si>
  <si>
    <t>NCT05645432</t>
  </si>
  <si>
    <t>An Open-Label Study Evaluating Brexanolone in Adults With Tinnitus</t>
  </si>
  <si>
    <t>NCT05908721</t>
  </si>
  <si>
    <t>Study of CM310 in Patients With Allergic Rhinitis</t>
  </si>
  <si>
    <t>NCT05524571</t>
  </si>
  <si>
    <t>NCT06005714</t>
  </si>
  <si>
    <t>Effect of Pharmacokinetics in Healthy Chinese Subjects</t>
  </si>
  <si>
    <t>NCT05673993</t>
  </si>
  <si>
    <t>A Study to Evaluate the Efficacy and Safety of Telitacicept in Subjects With Active Primary Sjogren's Syndrome</t>
  </si>
  <si>
    <t>NCT05677971</t>
  </si>
  <si>
    <t>Study to Check the Safety of Fazirsiran and Learn if Fazirsiran Can Help People With Liver Disease and Scarring (Fibrosis) Due to an Abnormal Version of Alpha-1 Antitrypsin Protein</t>
  </si>
  <si>
    <t>NCT05745207</t>
  </si>
  <si>
    <t>A Study To Assess the Safety, Tolerability, Pharmacokinetics, and Pharmacodynamics of E2086 in Healthy Adult and Elderly Participants</t>
  </si>
  <si>
    <t>NCT05790681</t>
  </si>
  <si>
    <t>A Study to Test How New Long-acting Insulin (Insulin Icodec) Works in the Body of Children and Teenagers</t>
  </si>
  <si>
    <t>NCT06063967</t>
  </si>
  <si>
    <t>A Study to Assess Adverse Events and Change in Disease Activity of Risankizumab Subcutaneous Induction Treatment for Moderately to Severely Active Crohn's Disease.</t>
  </si>
  <si>
    <t>NCT05958407</t>
  </si>
  <si>
    <t>A 32-week Trial to Evaluate the Efficacy and Safety of Tralokinumab in Subjects With Moderate-to-severe Atopic Hand Eczema Who Are Candidates for Systemic Therapy</t>
  </si>
  <si>
    <t>NCT02994498</t>
  </si>
  <si>
    <t>Safety and Efficacy of DCB-BO1301 in Advanced Melanoma</t>
  </si>
  <si>
    <t>Chung Mei Biopharma Co., Ltd</t>
  </si>
  <si>
    <t>NCT05648006</t>
  </si>
  <si>
    <t>First-line Maintenance of OH2 Injection for Advanced Colorectal Cancer</t>
  </si>
  <si>
    <t>NCT05737784</t>
  </si>
  <si>
    <t>A Clinical Trial of PRAX-222 in Pediatric Participants With Early Onset SCN2A Developmental and Epileptic Encephalopathy</t>
  </si>
  <si>
    <t>NCT05860933</t>
  </si>
  <si>
    <t>A Study of the Effects of Itraconazole or Carbamazepine on LY3537982 in Healthy Participants</t>
  </si>
  <si>
    <t>NCT05645692</t>
  </si>
  <si>
    <t>A Study Evaluating Different Immunotherapies (LAG-3 and PD-1 With or Without TIGIT, Compared to PD-L1 Alone) in Participants With Untreated Locally Advanced Metastatic Urothelial Cancer</t>
  </si>
  <si>
    <t>NCT06016842</t>
  </si>
  <si>
    <t>A Long-Term Study of Elafibranor in Adult Participants With Primary Biliary Cholangitis</t>
  </si>
  <si>
    <t>NCT05651022</t>
  </si>
  <si>
    <t>Study of DECOY20 With or Without Tislelizumab in Patients With Advanced Solid Tumors</t>
  </si>
  <si>
    <t>Indaptus Therapeutics, Inc</t>
  </si>
  <si>
    <t>NCT05933031</t>
  </si>
  <si>
    <t>Exploratory Study to Standard Triple Therapy With Tegoprazan(by Dose) in H. Pylori Positive Patients</t>
  </si>
  <si>
    <t>NCT05653271</t>
  </si>
  <si>
    <t>ACE1831 in Adult Subjects With Relapsed/ Refractory CD20-expressing B-cell Malignancies</t>
  </si>
  <si>
    <t>NCT06118099</t>
  </si>
  <si>
    <t>Proof-of-concept Study Evaluating Subcutaneous Amlitelimab in Adult Participants With Moderate to Severe Hidradenitis Suppurativa</t>
  </si>
  <si>
    <t>NCT05598333</t>
  </si>
  <si>
    <t>Phosphatase Inhibition by Intracoronary Gene Therapy in Subjects With Non-Ischemic NYHA Class III Heart Failure</t>
  </si>
  <si>
    <t>AskBio Inc</t>
  </si>
  <si>
    <t>NCT05683249</t>
  </si>
  <si>
    <t>Study to Evaluate NRCT-101SR in Adult Attention Deficit Hyperactivity Disorder (ADHD)</t>
  </si>
  <si>
    <t>Neurocentria, Inc.</t>
  </si>
  <si>
    <t>NCT05632926</t>
  </si>
  <si>
    <t>A Study to Evaluate the Efficacy and Safety of CBL-514 in Participants With EFP; Cellulite (Stage 1)</t>
  </si>
  <si>
    <t>NCT05725252</t>
  </si>
  <si>
    <t>To Evaluate the Safety and the Pharmacokinetics of NVP-2203</t>
  </si>
  <si>
    <t>NCT06164704</t>
  </si>
  <si>
    <t>A Study to Investigate the Efficacy and Safety of Verekitug (UPB-101) in Participants With Chronic Rhinosinusitis With Nasal Polyps</t>
  </si>
  <si>
    <t>NCT05818852</t>
  </si>
  <si>
    <t>A Study to Evaluate the Effect of VX-548 on the QT/QTc Interval in Healthy Participants</t>
  </si>
  <si>
    <t>NCT05722938</t>
  </si>
  <si>
    <t>Efficacy and Safety of Trimodulin (BT588) in Subjects With Severe Community-acquired Pneumonia (sCAP)</t>
  </si>
  <si>
    <t>NCT05733533</t>
  </si>
  <si>
    <t>A Study to Assess the Efficacy and Tolerance of HRS-2261 in Subjects With Refractory Chronic Cough</t>
  </si>
  <si>
    <t>NCT06880848</t>
  </si>
  <si>
    <t>Sonidegib in Adult Patients With Locally Advanced Basal Cell Carcinoma (laBCC) in China</t>
  </si>
  <si>
    <t>NCT05731947</t>
  </si>
  <si>
    <t>Evaluation of Revumenib in Participants With Colorectal Cancer and Other Solid Tumors</t>
  </si>
  <si>
    <t>NCT05709821</t>
  </si>
  <si>
    <t>IMM60 and Pembrolizumab in Melanoma and NSCLC</t>
  </si>
  <si>
    <t>iOx Therapeutics</t>
  </si>
  <si>
    <t>NCT06697886</t>
  </si>
  <si>
    <t>A Study of the Efficacy and Safety of Antiwei Granules in the Treatment of Common Cold</t>
  </si>
  <si>
    <t>NCT06047483</t>
  </si>
  <si>
    <t>A Trial of HRF2105 Patch in Relieving Pain of Osteoarthritis</t>
  </si>
  <si>
    <t>NCT06119529</t>
  </si>
  <si>
    <t>A Study of LY3872386 in Healthy Participants and Participants With Atopic Dermatitis</t>
  </si>
  <si>
    <t>NCT06259331</t>
  </si>
  <si>
    <t>Evaluation of Viloxazine and Its Metabolite 5-Hydroxy-viloxazine Glucuronide Into Breast Milk in Healthy Lactating Women</t>
  </si>
  <si>
    <t>NCT05671653</t>
  </si>
  <si>
    <t>A Study to Evaluate the Effect of the Experimental GLP-1 Drug PF-07081532 on Blood Levels of Common Birth Control Pills, and Drugs Omeprazole and Midazolam, and Effect of GLP-1 Drug Semaglutide on Midazolam Blood Levels in Healthy Adults With Weight in the Obesity Range</t>
  </si>
  <si>
    <t>NCT05814939</t>
  </si>
  <si>
    <t>Efficacy and Safety Clinical Study of VC005 Tablets in Subjects With Active Ankylosing Spondylitis.</t>
  </si>
  <si>
    <t>NCT05823012</t>
  </si>
  <si>
    <t>Study of XP-8121 For the Treatment of Adult Subjects With Hypothyroidism</t>
  </si>
  <si>
    <t>Xeris Pharmaceuticals</t>
  </si>
  <si>
    <t>NCT06132841</t>
  </si>
  <si>
    <t>A Study to Assess the Safety, Tolerability, Pharmacokinetics, and Pharmacodynamics of AZD6234 After Repeat Dose Administration in Participants Who Are Overweight or Obese</t>
  </si>
  <si>
    <t>NCT07057622</t>
  </si>
  <si>
    <t>A Phase III Clinical Study to Compare the Safety and Efficacy of 177Lu-DOTATATE Injection and Long-acting Oxytrexine in Adult Patients With NETs</t>
  </si>
  <si>
    <t>NCT05551741</t>
  </si>
  <si>
    <t>A First in Human Study of IBC-Ab002 in Persons With Early Alzheimer's Disease (AD)</t>
  </si>
  <si>
    <t>Immunobrain Checkpoint</t>
  </si>
  <si>
    <t>NCT06047080</t>
  </si>
  <si>
    <t>An Open-Label Study Comparing Glofitamab and Polatuzumab Vedotin + Rituximab, Cyclophosphamide, Doxorubicin, and Prednisone Versus Pola-R-CHP in Previously Untreated Patients With Large B-Cell Lymphoma</t>
  </si>
  <si>
    <t>NCT05904470</t>
  </si>
  <si>
    <t>A Phase 2, Safety and Efficacy of Bemnifosbuvir (BEM) and Ruzasvir (RZR) in Subjects With Chronic HCV</t>
  </si>
  <si>
    <t>NCT06149169</t>
  </si>
  <si>
    <t>CD19-targeted CAR T Cells for Relapsed and Refractory (R/R) Large B-cell Lymphoma</t>
  </si>
  <si>
    <t>NCT06105983</t>
  </si>
  <si>
    <t>A Study to Learn How a Medicine That Reduces Stomach Acid Affects the Level of Sisunatovir in the Blood of Healthy Adults.</t>
  </si>
  <si>
    <t>NCT05549505</t>
  </si>
  <si>
    <t>A Trial Using ARV-471 or Anastrozole in Post-Menopausal Women With Breast Cancer Prior to Surgery</t>
  </si>
  <si>
    <t>Arvinas Inc.</t>
  </si>
  <si>
    <t>NCT05923281</t>
  </si>
  <si>
    <t>A Phase III Confirmatory Study of K-877 (Pemafibrate) in Patients With Hypercholesterolemia and Statin Intolerance</t>
  </si>
  <si>
    <t>NCT06129422</t>
  </si>
  <si>
    <t>Safety, Tolerability, Pharmacokinetics, Radiation Dosimetry, and PET Imaging Properties of 89Zr-labeled hNd2 (NMK89) in Patients With Pancreatic Cancer</t>
  </si>
  <si>
    <t>Nihon Medi-Physics Co., Ltd.</t>
  </si>
  <si>
    <t>NCT06128629</t>
  </si>
  <si>
    <t>MAGNITUDE: A Phase 3 Study of NTLA-2001 in Participants With Transthyretin Amyloidosis With Cardiomyopathy (ATTR-CM)</t>
  </si>
  <si>
    <t>NCT06151795</t>
  </si>
  <si>
    <t>A Study to Evaluate XTR006 in Chinese Volunteers</t>
  </si>
  <si>
    <t>NCT03595995</t>
  </si>
  <si>
    <t>A Phase 2 Trial to Evaluate the Safety and Efficacy of UB-621</t>
  </si>
  <si>
    <t>NCT05775601</t>
  </si>
  <si>
    <t>18F-LY3950321-01 Biodistribution and Safety Study</t>
  </si>
  <si>
    <t>NCT05933512</t>
  </si>
  <si>
    <t>A Study to Evaluate the Immunogenicity and Safety of A Recombinant Protein COVID-19 Vaccine as Booster Vaccines</t>
  </si>
  <si>
    <t>NCT05932654</t>
  </si>
  <si>
    <t>POC Study to Evaluate BSI-045B in Moderate-to-severe Atopic Dermatitis</t>
  </si>
  <si>
    <t>NCT05721222</t>
  </si>
  <si>
    <t>Trial of PRO1160 (GEN1160) in Relapsed or Refractory Non-Hodgkin Lymphoma (NHL) (PRO1160-001)</t>
  </si>
  <si>
    <t>NCT05989958</t>
  </si>
  <si>
    <t>The Safety ,Tolerability and Efficacy Study of HepaCure in Chinese Subjects with Acute-On-Chronic Liver Failure</t>
  </si>
  <si>
    <t>Hexaell Biotech Co., Ltd.</t>
  </si>
  <si>
    <t>NCT05771155</t>
  </si>
  <si>
    <t>Efficacy, Safety and Immunogenicity of the Proposed Biosimilar Vedolizumab PB016 in Comparison With Entyvio®</t>
  </si>
  <si>
    <t>Polpharma Biologics S.A.</t>
  </si>
  <si>
    <t>NCT05704543</t>
  </si>
  <si>
    <t>Evaluation of Buprenorphine Extended-Release Subcutaneous Injection at Alternative Injection Locations</t>
  </si>
  <si>
    <t>NCT05692908</t>
  </si>
  <si>
    <t>An Open-Label Study of the Safety of an Anti-CD38 Antibody Drug Conjugate (STI-6129) in Patients With AL Amyloidosis</t>
  </si>
  <si>
    <t>NCT05701774</t>
  </si>
  <si>
    <t>Open-Label Extension Study of DCCR in Patients With Prader-Willi Syndrome</t>
  </si>
  <si>
    <t>Soleno Therapeutics, Inc.</t>
  </si>
  <si>
    <t>NCT05995249</t>
  </si>
  <si>
    <t>A Study of the Interaction of TAK-279 With Substances That Have an Impact on Metabolism in Healthy Adults</t>
  </si>
  <si>
    <t>NCT05744427</t>
  </si>
  <si>
    <t>Safety and Tolerability of JSKN003 in Chinese Subjects With Advanced Solid Tumors</t>
  </si>
  <si>
    <t>NCT05939947</t>
  </si>
  <si>
    <t>A Clinical Trial of ALE.F02 in Patients With Advanced Liver Fibrosis and/or With Mild Cirrhosis</t>
  </si>
  <si>
    <t>NCT05875025</t>
  </si>
  <si>
    <t>Study to Assess the Effect of the New HFA-152a Propellant on Mucociliary Clearance</t>
  </si>
  <si>
    <t>NCT06247748</t>
  </si>
  <si>
    <t>Influence of JY09 on Pharmacokinetics of Metformin , Rosuvastatin , and Digoxin and the QT Interval Study in Overweight Chinese Subjects</t>
  </si>
  <si>
    <t>NCT05762276</t>
  </si>
  <si>
    <t>A Study to Investigate the Safety, Tolerability, Immunogenicity, and Pharmacodynamics of VXX-401 Administered IM in Adult Participants</t>
  </si>
  <si>
    <t>NCT05363891</t>
  </si>
  <si>
    <t>Natrunix or Placebo in Combination With Methotrexate in Rheumatoid Arthritis</t>
  </si>
  <si>
    <t>NCT06101823</t>
  </si>
  <si>
    <t>Phase 2a Study of Efficacy and Safety of OpSCF in Moderate to Severe Atopic Dermatitis</t>
  </si>
  <si>
    <t>Opsidio, LLC</t>
  </si>
  <si>
    <t>NCT05819359</t>
  </si>
  <si>
    <t>Efficacy, Safety, Tolerability, Pharmacodynamics, and Pharmacokinetics of BIA 28-6156 in GBA-PD</t>
  </si>
  <si>
    <t>NCT05667649</t>
  </si>
  <si>
    <t>Autologous Activated Adipose-derived Stem Cells (RB-ADSC) Injected Directly Into the Brain for Mild to Moderate Alzheimer's Disease</t>
  </si>
  <si>
    <t>Regeneration Biomedical, Inc.</t>
  </si>
  <si>
    <t>NCT03831152</t>
  </si>
  <si>
    <t>Extension Study in Primary Distal Renal Tubular Acidosis</t>
  </si>
  <si>
    <t>NCT05964790</t>
  </si>
  <si>
    <t>Safety, Tolerability, Pharmacokinetics and Efficacy Study of HS-10380 in Patients With Schizophrenia</t>
  </si>
  <si>
    <t>NCT06676410</t>
  </si>
  <si>
    <t>Clinical Trial to Evaluate the Efficacy and Safety of Codivir® in Addition to Standard Antiretroviral Treatment for HIV Infection in Antiretroviral-naïve Participants</t>
  </si>
  <si>
    <t>NCT06120491</t>
  </si>
  <si>
    <t>Saruparib (AZD5305) vs Placebo in Men With Metastatic Castration-Sensitive Prostate Cancer Receiving Physician's Choice New Hormonal Agents</t>
  </si>
  <si>
    <t>NCT05662397</t>
  </si>
  <si>
    <t>A Study of HST-1011 Given as Monotherapy and in Combination With an Anti-PD1 Antibody</t>
  </si>
  <si>
    <t>HotSpot Therapeutics, Inc</t>
  </si>
  <si>
    <t>NCT06007482</t>
  </si>
  <si>
    <t>A Study of ES009 in Subjects With Locally Advanced or Metastatic Solid Tumors</t>
  </si>
  <si>
    <t>Elpiscience Biopharma Australia Pty. Ltd.</t>
  </si>
  <si>
    <t>NCT05929235</t>
  </si>
  <si>
    <t>A Study of FX-909 in Patients With Advanced Solid Malignancies, Including Advanced Urothelial Carcinoma</t>
  </si>
  <si>
    <t>Flare Therapeutics Inc.</t>
  </si>
  <si>
    <t>NCT06141473</t>
  </si>
  <si>
    <t>Efficacy and Safety Studies of Frexalimab (SAR441344) in Adults With Relapsing Forms of Multiple Sclerosis</t>
  </si>
  <si>
    <t>NCT06046274</t>
  </si>
  <si>
    <t>GEN1046 in Combination With Anticancer Agents for the Treatment of Advanced Endometrial Cancer</t>
  </si>
  <si>
    <t>NCT06144710</t>
  </si>
  <si>
    <t>SG301-SC Injection Safety Study in Subjects With Systemic Lupus Erythematosus</t>
  </si>
  <si>
    <t>NCT05760313</t>
  </si>
  <si>
    <t>A Study to Assess Adverse Events and Change in Disease Activity in Pediatric Participants (Age 6 Months to &lt;2 Years) With Functional Constipation Who Are Treated With Linaclotide</t>
  </si>
  <si>
    <t>NCT05650580</t>
  </si>
  <si>
    <t>TR115 in Patients With Relapsed / Refractory Non-Hodgkin's Lymphoma or Advanced Solid Tumors</t>
  </si>
  <si>
    <t>NCT05991518</t>
  </si>
  <si>
    <t>IAH0968 in Combination With GC for the Treatment of HER2-Positive Unresectable Advanced/Metastatic Malignant Tumors</t>
  </si>
  <si>
    <t>NCT05938023</t>
  </si>
  <si>
    <t>A Study of ATL1102 or Placebo in Participants With Non-ambulatory Duchenne Muscular Dystrophy</t>
  </si>
  <si>
    <t>Percheron Therapeutics</t>
  </si>
  <si>
    <t>NCT05997927</t>
  </si>
  <si>
    <t>Efficacy and Safety Clinical Study of VC005 Tablets in Adult Patients With Moderate to Severe Atopic Dermatitis</t>
  </si>
  <si>
    <t>NCT05730842</t>
  </si>
  <si>
    <t>Absorption, Metabolism, Excretion and Absolute Bioavailability of EDG-5506 in Healthy Volunteers</t>
  </si>
  <si>
    <t>NCT06215859</t>
  </si>
  <si>
    <t>Study of MR-107A-02 for the Treatment of Acute Postoperative Pain Following Herniorrhaphy</t>
  </si>
  <si>
    <t>NCT06155383</t>
  </si>
  <si>
    <t>Perioperative Disitamab Vedotin Plus Toripalimab and XELOX in Gastric or Gastroesophageal Junction Adenocarcinoma.</t>
  </si>
  <si>
    <t>NCT05864573</t>
  </si>
  <si>
    <t>Study of ZGGS15 in Patients With Advanced Solid Tumors</t>
  </si>
  <si>
    <t>NCT05890105</t>
  </si>
  <si>
    <t>A Study to Learn About the Study Medicine PF-07853578 and How it Acts in the Bodies of Healthy Adults</t>
  </si>
  <si>
    <t>NCT06081894</t>
  </si>
  <si>
    <t>Phase 3 Trial to Evaluate the Efficacy and Safety of Aficamten Compared to Placebo in Adults With Symptomatic nHCM</t>
  </si>
  <si>
    <t>NCT06317805</t>
  </si>
  <si>
    <t>Initial Triple Therapy Including Parenteral Treprostinil vs Initial Double Oral Therapy in PAH Group I Patients</t>
  </si>
  <si>
    <t>AOP Orphan Pharmaceuticals AG</t>
  </si>
  <si>
    <t>NCT05930561</t>
  </si>
  <si>
    <t>4D-150 in Patients With Diabetic Macular Edema</t>
  </si>
  <si>
    <t>NCT05970822</t>
  </si>
  <si>
    <t>Study of BC3402 in Combination With Azacitidine in Patients With MDS and CMML</t>
  </si>
  <si>
    <t>Biocity Biopharmaceutics Co., Ltd.</t>
  </si>
  <si>
    <t>NCT05849727</t>
  </si>
  <si>
    <t>A Clinical Study of TQH3821 Tablets in the Treatment of Treated Rheumatoid Arthritis</t>
  </si>
  <si>
    <t>NCT05875961</t>
  </si>
  <si>
    <t>Study to Evaluate Immunogenicity, Safety and Tolerability of Adjuvanted and Non-Adjuvanted H2N3 Influenza Vaccines in Adults</t>
  </si>
  <si>
    <t>NCT05974969</t>
  </si>
  <si>
    <t>A Study to Assess the PK, PD, Safety and Immunogenicity of Single IV Infusion of BCD-264 and Darzalex in Healthy Subjects</t>
  </si>
  <si>
    <t>NCT05789602</t>
  </si>
  <si>
    <t>A Study of BPI-460372 in Advanced Solid Tumor Patients</t>
  </si>
  <si>
    <t>NCT05905783</t>
  </si>
  <si>
    <t>Hidradenitis Suppurativa Study of Izokibep</t>
  </si>
  <si>
    <t>NCT05663866</t>
  </si>
  <si>
    <t>Premedication to Reduce Amivantamab Associated Infusion Related Reactions</t>
  </si>
  <si>
    <t>NCT05653882</t>
  </si>
  <si>
    <t>A Study Evaluating AB248 Alone or in Combination With Pembrolizumab in Adult Patients With Solid Tumors</t>
  </si>
  <si>
    <t>Asher Biotherapeutics, Inc.</t>
  </si>
  <si>
    <t>NCT05831124</t>
  </si>
  <si>
    <t>A Study to Learn About a Type of Pneumococcal Vaccine With a New Ingredient (PF-07872411) Intended to Enhance the Effects of the Vaccine Which is Given to Adults</t>
  </si>
  <si>
    <t>NCT06008366</t>
  </si>
  <si>
    <t>A Phase 1/2 Study of 7MW3711 in Advanced Solid Tumors</t>
  </si>
  <si>
    <t>NCT06138327</t>
  </si>
  <si>
    <t>A Study of BMN 255 in Participants With Non-Alcoholic Fatty Liver Disease And Hyperoxaluria</t>
  </si>
  <si>
    <t>NCT06087094</t>
  </si>
  <si>
    <t>A Trial of HRS-7450 in Chinese Healthy Volunteers</t>
  </si>
  <si>
    <t>NCT06104566</t>
  </si>
  <si>
    <t>Global Trial in APG2575 for Patients With CLL/SLL</t>
  </si>
  <si>
    <t>NCT05963022</t>
  </si>
  <si>
    <t>A Study of Tirzepatide (LY3298176) in Chinese Participants With Type 2 Diabetes (SURPASS-CN-MONO)</t>
  </si>
  <si>
    <t>NCT05705505</t>
  </si>
  <si>
    <t>Study of Narazaciclib (ON 123300) Plus Letrozole in Endometrial Cancer and Other Gynecologic Malignancies</t>
  </si>
  <si>
    <t>NCT05951179</t>
  </si>
  <si>
    <t>Safety and Efficacy Study of Intravesical Instillation of TARA-002 in Adults With High-grade Non-muscle Invasive Bladder Cancer</t>
  </si>
  <si>
    <t>NCT05658146</t>
  </si>
  <si>
    <t>A Study to Assess the Effects on the Single-Dose Drug Levels of Mavacamten in Healthy Participants</t>
  </si>
  <si>
    <t>NCT05130983</t>
  </si>
  <si>
    <t>Study of ExoFlo for the Treatment of Medically Refractory Crohn's Disease</t>
  </si>
  <si>
    <t>NCT05979441</t>
  </si>
  <si>
    <t>A Study to Assess the Long-term Safety and Efficacy of a Subcutaneous Formulation of Efgartigimod in Adults With Active Idiopathic Inflammatory Myopathy</t>
  </si>
  <si>
    <t>NCT05799651</t>
  </si>
  <si>
    <t>Safety and Immunogenicity of Glycovax-002 Vaccine in Healthy Adults</t>
  </si>
  <si>
    <t>Glycovax Pharma Inc.</t>
  </si>
  <si>
    <t>NCT06099080</t>
  </si>
  <si>
    <t>A Trial to Study the Safety and Efficacy of SM-020 Gel 1.0% in Subjects With Dermatosis Papulosa Nigra (DPN)</t>
  </si>
  <si>
    <t>NCT05988203</t>
  </si>
  <si>
    <t>A Clinical Study Investigating the Safety and Immune Responses After Immunization With Investigational Monkeypox Vaccines</t>
  </si>
  <si>
    <t>NCT05558007</t>
  </si>
  <si>
    <t>Safety and Efficacy Evaluation of BZ371A Topically Applied on Prostatectomized Patients</t>
  </si>
  <si>
    <t>NCT05629364</t>
  </si>
  <si>
    <t>A Multi-Centre, Randomised, Controlled, Masked Phase 2 Study of the Safety and Efficacy of KIO-101 Ophthalmic Solution, Versus Vehicle Control in the Treatment of Dry Eye Disease in Patients With Autoimmune Disease</t>
  </si>
  <si>
    <t>NCT05813912</t>
  </si>
  <si>
    <t>A Research Study to See How a New Weekly Insulin, Insulin Icodec When Given Along With Semaglutide Helps in Reducing the Blood Sugar Level in Patients With Type 2 Diabetes</t>
  </si>
  <si>
    <t>NCT05673811</t>
  </si>
  <si>
    <t>Study of Nab-Paclitaxel and Gemcitabine and Plus/Minus VCN-01 in Patients With Metastatic Pancreatic Cancer</t>
  </si>
  <si>
    <t>Theriva Biologics SL</t>
  </si>
  <si>
    <t>NCT05608681</t>
  </si>
  <si>
    <t>A Trial to Evaluate EP-104GI in Adults With Eosinophilic Esophagitis (EoE).</t>
  </si>
  <si>
    <t>NCT05767034</t>
  </si>
  <si>
    <t>Phase III Study of Efficacy and Safety of Secukinumab Versus Placebo, in Combination With Glucocorticoid Taper Regimen, in Patients With Polymyalgia Rheumatica (PMR)</t>
  </si>
  <si>
    <t>NCT05128344</t>
  </si>
  <si>
    <t>A Study to Evaluate Safety and Efficacy of AMZ002 Treatment, Compared With Vigabatrin in Participants With Infantile Spasms</t>
  </si>
  <si>
    <t>Amzell</t>
  </si>
  <si>
    <t>NCT06198764</t>
  </si>
  <si>
    <t>A Clinical Trial for the Treatment of Carbapenem Resistant Gram-negative Bacterial Infection With Colistimethate Sodium for Injection</t>
  </si>
  <si>
    <t>NCT05493709</t>
  </si>
  <si>
    <t>Efficacy, Safety, and Pharmacokinetics of Leuprolide Mesylate in Subjects With Central Precocious Puberty</t>
  </si>
  <si>
    <t>NCT06235775</t>
  </si>
  <si>
    <t>Administration of GV1001 for the Treatment of Progressive Supranuclear Palsy Who Completed Study GV1001-PSP-CL2-011</t>
  </si>
  <si>
    <t>NCT05877664</t>
  </si>
  <si>
    <t>Study of ZG0895.HCl in Patients With Advanced Solid Tumors</t>
  </si>
  <si>
    <t>NCT05919537</t>
  </si>
  <si>
    <t>Study of an Anti-HER3 Antibody, HMBD-001, With or Without Chemotherapy in Patients With Solid Tumors Harboring an NRG1 Fusion or HER3 Mutation</t>
  </si>
  <si>
    <t>NCT06699355</t>
  </si>
  <si>
    <t>A Study to Evaluate the Drug-Drug Interaction Between Enlicitide Decanoate (MK-0616) and Atorvastatin in Healthy Adult Participants (MK-0616-024)</t>
  </si>
  <si>
    <t>NCT05944185</t>
  </si>
  <si>
    <t>Phase I/II Study of αPD1-MSLN-CAR T Cells in MSLN-positive Advanced Solid Tumors</t>
  </si>
  <si>
    <t>NCT05822440</t>
  </si>
  <si>
    <t>A Study to Learn About How Itraconazole Affects the Blood Level of Study Medicine (PF-07817883) in Healthy Adults.</t>
  </si>
  <si>
    <t>NCT05886868</t>
  </si>
  <si>
    <t>Phase I Study of BL0020, a Novel Anti-tumor Drug, in Adult Subjects With Advanced Solid Tumors</t>
  </si>
  <si>
    <t>Shanghai Best-Link Bioscience, LLC</t>
  </si>
  <si>
    <t>NCT06006390</t>
  </si>
  <si>
    <t>CEA Targeting Chimeric Antigen Receptor T Lymphocytes (CAR-T) in the Treatment of CEA Positive Advanced Solid Tumors</t>
  </si>
  <si>
    <t>NCT05643118</t>
  </si>
  <si>
    <t>Evaluation of OLX10212 in Patients With Neovascular Age-related Macular Degeneration</t>
  </si>
  <si>
    <t>NCT06220318</t>
  </si>
  <si>
    <t>Assessment of the Safety and Efficacy of C019199 Plus Sintilimab in Participants With Advanced Solid Tumors</t>
  </si>
  <si>
    <t>Fujian Haixi Pharmaceuticals Co., Ltd.</t>
  </si>
  <si>
    <t>NCT06310590</t>
  </si>
  <si>
    <t>Safety and Efficacy of TareSphere in Patients With Unresectable Hepatocellular Carcinoma</t>
  </si>
  <si>
    <t>Chengdu New Radiomedicine Technology Co. LTD.</t>
  </si>
  <si>
    <t>NCT06080776</t>
  </si>
  <si>
    <t>SH-1028 Tablets Versus Placebo as Adjuvant Therapy in Resected Stage II-IIIB NSCLC With Sensitizing EGFR Mutations</t>
  </si>
  <si>
    <t>NCT05994807</t>
  </si>
  <si>
    <t>A Drug-Drug Interaction Study to Assess the Pharmacokinetics of DC-806 When Orally Administered Alone, When Coadministered With Itraconazole, and When Coadministered With Carbamazepine in Healthy Adult Participants</t>
  </si>
  <si>
    <t>NCT06343064</t>
  </si>
  <si>
    <t>Vebreltinib Plus PLB1004 in EGFR-mutated, Advanced NSCLC With MET Amplification or MET Overexpression Following EGFR-TKI</t>
  </si>
  <si>
    <t>NCT05890950</t>
  </si>
  <si>
    <t>A Study to Evaluate the Safety, Pharmacokinetics, and Pharmacodynamics of K-757 and K-833 in Overweight/Obese Patients With Type 2 Diabetes</t>
  </si>
  <si>
    <t>NCT06109948</t>
  </si>
  <si>
    <t>Study to Assess the Safety, Tolerability, PK and PD of ABX1100</t>
  </si>
  <si>
    <t>Aro Biotherapeutics</t>
  </si>
  <si>
    <t>NCT06411925</t>
  </si>
  <si>
    <t>The Efficacy and Safety of Atock Dry Syrup With Acute Bronchitis Patients</t>
  </si>
  <si>
    <t>SamA Pharmaceutical Co., Ltd</t>
  </si>
  <si>
    <t>NCT05891548</t>
  </si>
  <si>
    <t>Study to Evaluate Suprachoroidally Administered CLS-AX in the Treatment of Neovascular Age-Related Macular Degeneration</t>
  </si>
  <si>
    <t>NCT05997017</t>
  </si>
  <si>
    <t>Trial of Nab-Sirolimus in Combination With Letrozole in Patients With Advanced or Recurrent Endometrioid Endometrial Cancer</t>
  </si>
  <si>
    <t>NCT05843578</t>
  </si>
  <si>
    <t>STENOVA - A Study to Evaluate Safety, Tolerability, PK and PD of AGMB-129 in Patients With Fibrostenotic Crohn's Disease</t>
  </si>
  <si>
    <t>Agomab Spain S.L.U.</t>
  </si>
  <si>
    <t>NCT05908643</t>
  </si>
  <si>
    <t>A First-In-Human Trial of pTTL in Advanced Colorectal Cancer</t>
  </si>
  <si>
    <t>Neogap Therapeutics AB</t>
  </si>
  <si>
    <t>NCT05879744</t>
  </si>
  <si>
    <t>A Study of CLN-978 in Patients With Relapsed or Refractory (R/R) B Cell Non-Hodgkin Lymphoma (B-NHL)</t>
  </si>
  <si>
    <t>NCT06203444</t>
  </si>
  <si>
    <t>An Open-label Study to Evaluate the Pharmacokinetics of Oral Tenapanor in Breast Milk of Lactating Females</t>
  </si>
  <si>
    <t>NCT05749432</t>
  </si>
  <si>
    <t>A Phase I Study of Hemay181 in Patients With Advanced Solid Tumors</t>
  </si>
  <si>
    <t>NCT05861947</t>
  </si>
  <si>
    <t>A Phase 1 Clinical Trial of AUR106 in Patients With Relapsed Advanced Malignancies</t>
  </si>
  <si>
    <t>NCT06183814</t>
  </si>
  <si>
    <t>A Study of EXG102-031 in Participants With wAMD</t>
  </si>
  <si>
    <t>NCT06042764</t>
  </si>
  <si>
    <t>SA55 Injection Phase II Study in the Treatment of Mild/Moderate COVID-19 Patients</t>
  </si>
  <si>
    <t>NCT06067984</t>
  </si>
  <si>
    <t>An Extension Study of a Second Course of a Digital Therapeutic for the Treatment of Experiential Negative Symptoms of Schizophrenia</t>
  </si>
  <si>
    <t>Click Therapeutics, Inc.</t>
  </si>
  <si>
    <t>NCT05874414</t>
  </si>
  <si>
    <t>Combination of GNS561 and Trametinib in Patients With Advanced KRAS Mutated Cholangiocarcinoma</t>
  </si>
  <si>
    <t>NCT06738433</t>
  </si>
  <si>
    <t>Efficacy and Tolerability of ABB I5 Prebiotic and ABB C22 Postbiotics for the Management of Constipation and Gastrointestinal Well-being: a Pilot Trial</t>
  </si>
  <si>
    <t>AB Biotek</t>
  </si>
  <si>
    <t>NCT06004921</t>
  </si>
  <si>
    <t>A Study to Assess the Safety, Pharmacokinetics, and Pharmacodynamics of AB801 in Healthy Volunteers</t>
  </si>
  <si>
    <t>NCT05975099</t>
  </si>
  <si>
    <t>A Study to Evaluate the Safety and Immunogenicity of mRNA-1975 and mRNA-1982 Against Lyme Disease in Participants 18 Through 70 Years of Age</t>
  </si>
  <si>
    <t>NCT06052306</t>
  </si>
  <si>
    <t>A Study to Learn How Safe the Study Treatment Actinium-225-macropa-pelgifatamab (BAY3546828) is, How it Affects the Body, How it Moves Into, Through and Out of the Body, and About Its Anticancer Activity in Participants With Advanced Metastatic Castration-resistant Prostate Cancer (mCRPC)</t>
  </si>
  <si>
    <t>NCT05947851</t>
  </si>
  <si>
    <t>A Study of Nemtabrutinib Plus Venetoclax vs Venetoclax + Rituximab (VR) in Second-line (2L) + Relapsed/Refractory (R/R) Chronic Lymphocytic Leukemia/Small Lymphocytic Lymphoma (CLL/SLL) (MK-1026-010/BELLWAVE-010).</t>
  </si>
  <si>
    <t>NCT05885412</t>
  </si>
  <si>
    <t>A Phase 1, Dose Escalation Trial of RP-A601 in Subjects With PKP2 Variant-Mediated Arrhythmogenic Cardiomyopathy (PKP2-ACM)</t>
  </si>
  <si>
    <t>NCT07473167</t>
  </si>
  <si>
    <t>Study of Safety and Efficacy of TC011 in the Relapsed/Refractory Large B Cell Non-Hodgkin Lymphoma Patients</t>
  </si>
  <si>
    <t>TICAROS Co., Ltd.</t>
  </si>
  <si>
    <t>NCT05654922</t>
  </si>
  <si>
    <t>Study to Evaluate ARINA-1 in the Prevention of Bronchiolitis Obliterans Progression in Participants With Bilateral Lung Transplant</t>
  </si>
  <si>
    <t>NCT05787002</t>
  </si>
  <si>
    <t>A Study to Assess the Effect of AZD0780 on the Pharmacokinetics of Rosuvastatin.</t>
  </si>
  <si>
    <t>NCT05756153</t>
  </si>
  <si>
    <t>A Study of GFH925 in Combination With Cetuximab in Previously Untreated Advanced NSCLC Harboring KRAS G12C Mutation</t>
  </si>
  <si>
    <t>NCT05913037</t>
  </si>
  <si>
    <t>FCN-159 in Adult Patients With Symptomatic, Inoperable Neurofibromatosis Type 1-Related Plexiform Neurofibromas</t>
  </si>
  <si>
    <t>NCT05844995</t>
  </si>
  <si>
    <t>A Study of Acetaminophen/Naproxen Sodium Fixed Combination Tablets in Adolescents 12 to &lt;17 Years of Age With Pain</t>
  </si>
  <si>
    <t>NCT05877430</t>
  </si>
  <si>
    <t>Safety, Tolerability, and Preliminary Efficacy of CJRB-101 With Pembrolizumab in Subjects With Selected Types of Advanced or Metastatic Cancer</t>
  </si>
  <si>
    <t>CJ Bioscience, Inc.</t>
  </si>
  <si>
    <t>NCT05832151</t>
  </si>
  <si>
    <t>A Study to Evaluate the Efficacy and Safety of CIN-102 (Deudomperidone) in Adults With Diabetic Gastroparesis</t>
  </si>
  <si>
    <t>NCT05683457</t>
  </si>
  <si>
    <t>A Study to Evaluate the Efficacy, Safety, and Immunogenicity of mRNA-1647 Cytomegalovirus (CMV) Vaccine in Allogenic Hematopoietic Cell Transplantation (HCT) Participants.</t>
  </si>
  <si>
    <t>NCT05788328</t>
  </si>
  <si>
    <t>A Drug-Drug Interaction Study to Estimate the Effect of PF-07081532 on the Pharmacokinetics of Dabigatran and Rosuvastatin in Overweight or Obese Adult Participants</t>
  </si>
  <si>
    <t>NCT05825365</t>
  </si>
  <si>
    <t>Selumetinib in Chinese Paediatric With Post-operative NF1-PNs, PhaseⅡ, Double-Blinded, Placebo-Controlled Study</t>
  </si>
  <si>
    <t>NCT05936151</t>
  </si>
  <si>
    <t>A Study of Retatrutide (LY3437943) on Renal Function in Participants With Overweight or Obesity and Chronic Kidney Disease With or Without Type 2 Diabetes</t>
  </si>
  <si>
    <t>NCT05826275</t>
  </si>
  <si>
    <t>Phase 1 Trial in Patients With Human Papillomavirus (HPV)-Associated Cancer</t>
  </si>
  <si>
    <t>Toragen, Inc.</t>
  </si>
  <si>
    <t>NCT04979975</t>
  </si>
  <si>
    <t>Evaluating Safety and Efficacy of Repeat Doses of UB-621in Adult Patients With Recurrent Genital Herpes</t>
  </si>
  <si>
    <t>UBP Greater China (Shanghai) Co., Ltd</t>
  </si>
  <si>
    <t>NCT05584683</t>
  </si>
  <si>
    <t>A Pharmacokinetic Study of LP-001 in Children With a Bacterial Infection</t>
  </si>
  <si>
    <t>Kaizen Bioscience Co.</t>
  </si>
  <si>
    <t>NCT05975905</t>
  </si>
  <si>
    <t>A Study to Investigate the Safety and Efficacy of KER-012 in Combination With Background Therapy in Adult Participants With Pulmonary Arterial Hypertension (PAH) (TROPOS Study).</t>
  </si>
  <si>
    <t>Keros Therapeutics, Inc.</t>
  </si>
  <si>
    <t>NCT06154837</t>
  </si>
  <si>
    <t>A Study for GSK3862995B in Healthy Participants and Participants With Chronic Obstructive Pulmonary Disease</t>
  </si>
  <si>
    <t>NCT05614739</t>
  </si>
  <si>
    <t>FORAGER-1: A Study of LOXO-435 (LY3866288) in Participants With Cancer With a Change in a Gene Called FGFR3</t>
  </si>
  <si>
    <t>NCT06114953</t>
  </si>
  <si>
    <t>Comparative Efficacy of Mizoribine With Mycophenolate Mofetil for Living Related Kidney Transplantation Recipients</t>
  </si>
  <si>
    <t>NCT05765812</t>
  </si>
  <si>
    <t>A Study of Debio 0123 in Combination With Temozolomide in Adult Participants With Recurrent or Progressive Glioblastoma and of Debio 0123 in Combination With Temozolomide and Radiotherapy in Adult Participants With Newly Diagnosed Glioblastoma</t>
  </si>
  <si>
    <t>NCT05765734</t>
  </si>
  <si>
    <t>A Study of TAS3351 in NSCLC Patients With EGFRmt</t>
  </si>
  <si>
    <t>NCT05725434</t>
  </si>
  <si>
    <t>A Study to Evaluate Usability of Subcutaneous Auto-injector of CT-P47 in Patients With Active Rheumatoid Arthritis</t>
  </si>
  <si>
    <t>NCT05661734</t>
  </si>
  <si>
    <t>A Single-arm Study to Evaluate Safety and Effectiveness of VX-548 for Acute Pain</t>
  </si>
  <si>
    <t>NCT05846516</t>
  </si>
  <si>
    <t>A Study to Evaluate ATP150/ATP152/ATP162, VSV-GP154 and Ezabenlimab in Patients With Pancreatic Ductal Adenocarcinoma</t>
  </si>
  <si>
    <t>NCT06090799</t>
  </si>
  <si>
    <t>A Study to Evaluate the Safety, Tolerability, Pharmacokinetics and Pharmacodynamics of SHR-3032 in Healthy Subjects</t>
  </si>
  <si>
    <t>NCT05983133</t>
  </si>
  <si>
    <t>A Study of PF-08046052/SGN-EGFRd2 in Advanced Solid Tumors</t>
  </si>
  <si>
    <t>NCT05222932</t>
  </si>
  <si>
    <t>Oncolytic Adenovirus TILT-123 and Avelumab for Treatment of Solid Tumors Refractory to or Progressing After Anti-PD(L)1</t>
  </si>
  <si>
    <t>NCT05915871</t>
  </si>
  <si>
    <t>Drug Interaction Study Between Tegoprazan, Bismuth, Amoxicillin and Clarithromycin</t>
  </si>
  <si>
    <t>NCT05953506</t>
  </si>
  <si>
    <t>Phase 1a Study in Healthy Participants</t>
  </si>
  <si>
    <t>NCT05857644</t>
  </si>
  <si>
    <t>A Study to Compare How the Study Medicine (PF-07923568) is Processed in Participants With Different Levels of Loss of Liver Function to Healthy Participants.</t>
  </si>
  <si>
    <t>NCT06139406</t>
  </si>
  <si>
    <t>A Study of JNJ-87801493 in Combination With T-Cell Engagers in Participants With B-cell Non-Hodgkin Lymphoid (NHLs) Cancer</t>
  </si>
  <si>
    <t>NCT06153693</t>
  </si>
  <si>
    <t>Efficacy and Safety of Lorundrostat in Subjects With Uncontrolled and Resistant Hypertension</t>
  </si>
  <si>
    <t>NCT06090721</t>
  </si>
  <si>
    <t>DMT310-009 Topical in the Treatment of Acne Vulgaris</t>
  </si>
  <si>
    <t>NCT05670106</t>
  </si>
  <si>
    <t>A Study to Evaluate the Efficacy, Safety, Pharmacokinetics and Dosimetry of [177Lu]Lu-PSMA-617 in Chinese Adult Male Patients With Progressive PSMA-Positive mCRPC</t>
  </si>
  <si>
    <t>NCT05777109</t>
  </si>
  <si>
    <t>Comparing of the PK, PD, Safety and Immunogenicity of HS-20090 and Xgeva® in Healthy Adults</t>
  </si>
  <si>
    <t>NCT05766709</t>
  </si>
  <si>
    <t>A Research Study Comparing Blood Levels of Medicines NNC0194-0499 and Semaglutide Administered as a Combination Formulation Versus Two Separate Formulations</t>
  </si>
  <si>
    <t>NCT05911009</t>
  </si>
  <si>
    <t>To Investigate Efficacy, Pharmacodynamics, and Safety of BC 007 in Participants With Long COVID</t>
  </si>
  <si>
    <t>Berlin Cures GmbH</t>
  </si>
  <si>
    <t>NCT05858814</t>
  </si>
  <si>
    <t>RC1012 Injection (Allo-DNT Cells) for the Prevention of Relapse in AML Patients After Allo-HSCT</t>
  </si>
  <si>
    <t>NCT06232863</t>
  </si>
  <si>
    <t>A Study of BH009 in Head and Neck Squamous Cell Carcinoma and Ovarian Cancer</t>
  </si>
  <si>
    <t>NCT05882903</t>
  </si>
  <si>
    <t>The Effect of Intra-sinus Application of Betamethasone Dipropionate Nasal Cream on Patients with Chronic Rhinosinusitis Post Functional Endoscopic Sinus Surgery (FESS)</t>
  </si>
  <si>
    <t>NCT05676242</t>
  </si>
  <si>
    <t>A Phase III Extended Clinical Trial of Jaktinib Hydrochloride Tablets in the Treatment of Moderate and Severe Atopic Dermatitis</t>
  </si>
  <si>
    <t>NCT06041646</t>
  </si>
  <si>
    <t>Tachyphylaxis, Tolerance, &amp; Withdrawal Post Treatment With Igalmi for Agitation in Schizophrenia or Bipolar Disorder</t>
  </si>
  <si>
    <t>NCT05839041</t>
  </si>
  <si>
    <t>A Multiple Dose Study of AVD-104 for Geographic Atrophy (GA) Secondary to Age-Related Macular Degeneration (AMD)</t>
  </si>
  <si>
    <t>NCT05867303</t>
  </si>
  <si>
    <t>A RC198 Study in Subjects With Locally Advanced Unresectable or Metastatic Solid Tumors</t>
  </si>
  <si>
    <t>NCT05696483</t>
  </si>
  <si>
    <t>Phase 1 Study of OLX-07010 in Healthy Adult and Elderly Participants</t>
  </si>
  <si>
    <t>Oligomerix, Inc</t>
  </si>
  <si>
    <t>NCT05201794</t>
  </si>
  <si>
    <t>A Study of JNJ-64281802 for the Prevention of Dengue Infection</t>
  </si>
  <si>
    <t>NCT06033261</t>
  </si>
  <si>
    <t>A Study of mRNA-1608, a Herpes Simplex Virus -2 (HSV-2) Therapeutic Candidate Vaccine, in Healthy Adults 18 to 55 Years of Age With Recurrent HSV-2 Genital Herpes</t>
  </si>
  <si>
    <t>NCT06013969</t>
  </si>
  <si>
    <t>A Study to Test Whether Spesolimab Helps People With Generalized Pustular Psoriasis (GPP) Who Need Treatment for Repeated Flares</t>
  </si>
  <si>
    <t>NCT06178783</t>
  </si>
  <si>
    <t>A Study of the Palatability and Acceptability of Different Brensocatib Oral Liquid Formulations in Healthy Participants</t>
  </si>
  <si>
    <t>NCT05684705</t>
  </si>
  <si>
    <t>Study to Investigate the Penetration of Rifabutin Into the Lung After Multiple Intravenous Administrations of BV100</t>
  </si>
  <si>
    <t>NCT05923918</t>
  </si>
  <si>
    <t>A Study to Evaluate Safety and Efficacy of PBK_M2101</t>
  </si>
  <si>
    <t>NCT05680818</t>
  </si>
  <si>
    <t>Efficacy and Safety of Encaleret Compared to Standard of Care in Participants With ADH1</t>
  </si>
  <si>
    <t>NCT06158490</t>
  </si>
  <si>
    <t>A Study to Evaluate JYP0061 Tablets in Patients With Moderate-to-severe Atopic Dermatitis</t>
  </si>
  <si>
    <t>NCT05755997</t>
  </si>
  <si>
    <t>CERebrolysin In CADASIL</t>
  </si>
  <si>
    <t>NCT06024174</t>
  </si>
  <si>
    <t>A Study of BMS-986466 With Adagrasib With or Without Cetuximab in Participants With Kirsten Rat Sarcoma Virus Glycine 12 to Cysteine (KRAS G12C)-Mutant Solid Tumors</t>
  </si>
  <si>
    <t>NCT06067568</t>
  </si>
  <si>
    <t>Relative Bioavailability of Two Lutikizumab Formulations and Pharmacokinetics, Safety, and Tolerability of Lutikizumab in Chinese Participants</t>
  </si>
  <si>
    <t>NCT05598320</t>
  </si>
  <si>
    <t>A Clinical Trial to Evaluate Efficacy and Safety of TransCon CNP Compared With Placebo in Children With Achondroplasia</t>
  </si>
  <si>
    <t>Ascendis Pharma Growth Disorders A/S</t>
  </si>
  <si>
    <t>NCT06088459</t>
  </si>
  <si>
    <t>NWRD06 DNA Plasmid for HCC After Radical Resection</t>
  </si>
  <si>
    <t>NCT05943327</t>
  </si>
  <si>
    <t>A Study Investigating Lu AG06474 in Healthy Young Participants</t>
  </si>
  <si>
    <t>NCT05745727</t>
  </si>
  <si>
    <t>A Study to Evaluate the Safety, Tolerability, PK, and PD Properties of PRX-115 in Adult Volunteers With Elevated Uric Acid Levels</t>
  </si>
  <si>
    <t>Protalix</t>
  </si>
  <si>
    <t>NCT05778188</t>
  </si>
  <si>
    <t>A Study to Evaluate the Safety, Tolerability, Pharmacokinetics, and Preliminary Efficacy of RLS-0071 in Newborns With Moderate or Severe Hypoxic-Ischemic Encephalopathy Undergoing Therapeutic Hypothermia</t>
  </si>
  <si>
    <t>NCT05935527</t>
  </si>
  <si>
    <t>Assess the Safety, Tolerability and Efficacy of Latanoprost Liposome for Lower Eyelid Steatoblepharon</t>
  </si>
  <si>
    <t>Peregrine Ophthalmic</t>
  </si>
  <si>
    <t>NCT05717062</t>
  </si>
  <si>
    <t>Broad-spectrum Rapid Antidote: Varespladib IV to Oral Trial for Snakebite (BRAVIO)</t>
  </si>
  <si>
    <t>NCT06049927</t>
  </si>
  <si>
    <t>A Phase III Clinical Trial of Quadrivalent Influenza Vaccine in Healthy Subjects Aged 6 to 35 Months</t>
  </si>
  <si>
    <t>NCT05405361</t>
  </si>
  <si>
    <t>A Clinical Trial to Investigate the Long-term Safety and Tolerability, Efficacy, Pharmacodynamics, Pharmacokinetics, and Immunogenicity of ARGX-117 in Adults With Multifocal Motor Neuropathy</t>
  </si>
  <si>
    <t>NCT06059846</t>
  </si>
  <si>
    <t>A Study of Oral Tebipenem Pivoxil Hydrobromide (TBP-PI-HBr) Compared to Intravenous Imipenem-cilastatin in Participants With Complicated Urinary Tract Infection (cUTI) or Acute Pyelonephritis (AP)</t>
  </si>
  <si>
    <t>NCT05885503</t>
  </si>
  <si>
    <t>Efficacy and Safety of RC28-E Versus Aflibercept in Diabetic Macular Edema</t>
  </si>
  <si>
    <t>NCT05934942</t>
  </si>
  <si>
    <t>A Study in Healthy Women to Test Whether BI 1358894 Influences the Amount of a Contraceptive in the Blood</t>
  </si>
  <si>
    <t>NCT06107686</t>
  </si>
  <si>
    <t>A Study of YL202 in Selected Patients With Advanced Solid Tumors</t>
  </si>
  <si>
    <t>NCT06010342</t>
  </si>
  <si>
    <t>A Study to Evaluate the Efficacy and Safety of TL118 in Solid Tumors Patients</t>
  </si>
  <si>
    <t>NCT05948826</t>
  </si>
  <si>
    <t>First in Human Study of TORL-3-600 in Participants With Advanced Cancer</t>
  </si>
  <si>
    <t>NCT05542355</t>
  </si>
  <si>
    <t>EXL01 in the Maintenance of Steroid-induced Clinical Response/Remission in Participants With Mild to Moderate Crohn's Disease</t>
  </si>
  <si>
    <t>Exeliom Biosciences</t>
  </si>
  <si>
    <t>NCT05935917</t>
  </si>
  <si>
    <t>Study Evaluating the Bioequivalence of Brincidofovir Form H and Form II Tablets in Healthy Adults</t>
  </si>
  <si>
    <t>NCT06096415</t>
  </si>
  <si>
    <t>Safety and Efficacy of ABX-101 in Participants Aged 18 to 50 Years of Age With Moderate to Severe Traumatic Brain Injury</t>
  </si>
  <si>
    <t>Abalonex, LLC</t>
  </si>
  <si>
    <t>NCT05796440</t>
  </si>
  <si>
    <t>A Long-Term Safety Trial of LUM-201 in Children With Idiopathic Growth Hormone Deficiency Who Have Previously Completed a LUM-201 Clinical Trial (OraGrowtH211)</t>
  </si>
  <si>
    <t>NCT05617040</t>
  </si>
  <si>
    <t>Prime-boost Immunotherapeutic Trial in Men With Biochemical Recurrence After Definitive Local Therapy for Prostate Cancer</t>
  </si>
  <si>
    <t>NCT05885555</t>
  </si>
  <si>
    <t>A Study of Ianalumab (VAY736) in Patients With Primary Immune Thrombocytopenia (ITP) Previously Treated With at Least Two Lines of Therapies</t>
  </si>
  <si>
    <t>NCT06033833</t>
  </si>
  <si>
    <t>Long-term Safety and Efficacy Evaluation of Subcutaneous Amlitelimab in Adult Participants With Moderate-to-severe Asthma Who Completed Treatment Period of Previous Amlitelimab Asthma Clinical Study</t>
  </si>
  <si>
    <t>NCT07070752</t>
  </si>
  <si>
    <t>Evaluation of Insulin Glulisine (GP40321) Compared to Insulin Glulisine (Apidra® SoloStar®) in Type 1 Diabetes Mellitus Patients</t>
  </si>
  <si>
    <t>NCT06521190</t>
  </si>
  <si>
    <t>ACOU085 for Hearing Loss Prevention in Testicular Cancer Patients Receiving Cisplatin</t>
  </si>
  <si>
    <t>Acousia Therapeutics GmbH</t>
  </si>
  <si>
    <t>NCT06126224</t>
  </si>
  <si>
    <t>A Study to Assess Efficacy and Safety of KarXT for the Treatment of Psychosis Associated With Alzheimer's Disease (ADEPT-2)</t>
  </si>
  <si>
    <t>NCT05875259</t>
  </si>
  <si>
    <t>A Clinical Trial Study to Evaluate the Pharmacokinetic Interaction and Safety Between BR1019-1 and BR1019-2 in Healthy Adult Subjects</t>
  </si>
  <si>
    <t>NCT05761574</t>
  </si>
  <si>
    <t>A Study of an Acetaminophen/Naproxen Sodium Fixed Combination, Acetaminophen and Naproxen Sodium in Postoperative Dental Pain</t>
  </si>
  <si>
    <t>NCT06104423</t>
  </si>
  <si>
    <t>Open-label inteRventional Clinical Trial to Assess Efficacy and Safety of the exteMporaneous combInation of Nebivolol and Ramipril in hypertenSIve pAtients</t>
  </si>
  <si>
    <t>NCT05638282</t>
  </si>
  <si>
    <t>A Study to Evaluate the Safety and Tolerability of Cendakimab in Chinese Healthy Participants</t>
  </si>
  <si>
    <t>NCT06109259</t>
  </si>
  <si>
    <t>Bioequivalence Study for the Safety and the Pharmacokinetics of DWJ1567 in Healthy Adult Volunteers</t>
  </si>
  <si>
    <t>NCT05731128</t>
  </si>
  <si>
    <t>A Study to Investigate the Efficacy and Safety of Dupilumab Therapy Compared With Placebo in Participants Aged ≥18 Years With Moderately to Severely Active Ulcerative Colitis With an Eosinophilic Phenotype (LIBERTY-UC SUCCEED (Study in UC for Clinical Efficacy Evaluation of Dupilumab))</t>
  </si>
  <si>
    <t>NCT05898399</t>
  </si>
  <si>
    <t>Study of ART6043 in Advanced/Metastatic Solid Tumors Patients (POLKA)</t>
  </si>
  <si>
    <t>NCT05882032</t>
  </si>
  <si>
    <t>A Study of LY3502970 in Participants With Impaired and Normal Liver Function</t>
  </si>
  <si>
    <t>NCT05976321</t>
  </si>
  <si>
    <t>A Study of TAK-279 in Adults With or Without Liver Damage</t>
  </si>
  <si>
    <t>NCT05719558</t>
  </si>
  <si>
    <t>A Study of ASP1002 in Adults for Treatment of Solid Tumors</t>
  </si>
  <si>
    <t>NCT05642455</t>
  </si>
  <si>
    <t>SPEARHEAD-3 Pediatric Study</t>
  </si>
  <si>
    <t>USWM CT, LLC</t>
  </si>
  <si>
    <t>NCT05655507</t>
  </si>
  <si>
    <t>Zuranolone Pharmacokinetics (PK) and Safety Study Adolescent Participants With Major Depressive Disorder (MDD)</t>
  </si>
  <si>
    <t>NCT05621811</t>
  </si>
  <si>
    <t>Different Doses of Naronapride vs. Placebo in Gastroparesis</t>
  </si>
  <si>
    <t>NCT06011109</t>
  </si>
  <si>
    <t>Treatment of Patients With Recurrent High-Grade Glioma With APG-157 and Bevacizumab</t>
  </si>
  <si>
    <t>NCT05958121</t>
  </si>
  <si>
    <t>IMA402 T Cell-Engaging Receptor Molecule (TCER®) in Recurrent and/or Refractory Solid Tumors</t>
  </si>
  <si>
    <t>NCT06287606</t>
  </si>
  <si>
    <t>A Phase 3 Clinical Trials for Bowel Preparation for Colonoscopy</t>
  </si>
  <si>
    <t>NCT06259526</t>
  </si>
  <si>
    <t>A Study of the Effectiveness and Safety of JS1-1-01 in Patients With Moderate to Severe Depression</t>
  </si>
  <si>
    <t>NCT05496192</t>
  </si>
  <si>
    <t>A Study of Nivolumab Intravenous (IV) to Subcutaneous (SC) Switch in Adjuvant Melanoma and Bladder Cancer</t>
  </si>
  <si>
    <t>NCT05892614</t>
  </si>
  <si>
    <t>Study to Evaluate the Efficacy, Safety, and Tolerability of Efzofitimod in Patients With Systemic Sclerosis (SSc)-Related Interstitial Lung Disease (ILD) (SSc-ILD)</t>
  </si>
  <si>
    <t>NCT05607004</t>
  </si>
  <si>
    <t>(Z)-Endoxifen for the Treatment of Premenopausal Women With ER+/HER2- Breast Cancer</t>
  </si>
  <si>
    <t>NCT05660265</t>
  </si>
  <si>
    <t>A Study to Investigate the Safety, Tolerability, and Pharmacokinetics of Oral GSK4172239D Compared With Placebo in Sickle Cell Disease Participants Aged 18 to 50 Years</t>
  </si>
  <si>
    <t>NCT05652907</t>
  </si>
  <si>
    <t>Safety and Efficacy of FSD201 for the Treatment of Chronic Pain Associated With Idiopathic MCAS (MCAD)</t>
  </si>
  <si>
    <t>NCT05909644</t>
  </si>
  <si>
    <t>An Open-label DDI Study of Omaveloxolone in Healthy Subjects</t>
  </si>
  <si>
    <t>NCT05767021</t>
  </si>
  <si>
    <t>A Study of Mirikizumab (LY3074828) in Participants With Moderately to Severely Active Ulcerative Colitis</t>
  </si>
  <si>
    <t>NCT06127238</t>
  </si>
  <si>
    <t>Study of ST-1898 in Advanced Renal Cell Carcinoma</t>
  </si>
  <si>
    <t>Beijing Scitech-Mq Pharmaceuticals Limited</t>
  </si>
  <si>
    <t>NCT06013995</t>
  </si>
  <si>
    <t>A Study to Investigate the Safety, Tolerability, Drug Levels and Drug Effects of BMS-986326 in Adult Participants With Different Forms of Lupus</t>
  </si>
  <si>
    <t>NCT06059001</t>
  </si>
  <si>
    <t>Study to Evaluate the Safety, PK, and Efficacy of the Myc Inhibitor OMO-103 Administered iv in Patients With PDAC</t>
  </si>
  <si>
    <t>NCT06119581</t>
  </si>
  <si>
    <t>A Study of First-Line Olomorasib (LY3537982) and Pembrolizumab With or Without Chemotherapy in Patients With Advanced KRAS G12C-Mutant Non-small Cell Lung Cancer</t>
  </si>
  <si>
    <t>NCT06105528</t>
  </si>
  <si>
    <t>A Phase 1a Study of PMN310 In Healthy Volunteers</t>
  </si>
  <si>
    <t>ProMis Neurosciences, Inc</t>
  </si>
  <si>
    <t>NCT05965700</t>
  </si>
  <si>
    <t>NVG-291 in Spinal Cord Injury Subjects</t>
  </si>
  <si>
    <t>NCT06276998</t>
  </si>
  <si>
    <t>A Study of LNK01001 Capsule in Subjects With Active Rheumatoid Arthritis (COURAGE-RA)</t>
  </si>
  <si>
    <t>NCT05911087</t>
  </si>
  <si>
    <t>A Phase II/III Study to Evaluate the Immunogenicity and Safety and Efficacy of SWIM816 Vaccines for SARS-CoV-2</t>
  </si>
  <si>
    <t>NCT05778071</t>
  </si>
  <si>
    <t>Evaluation of the Safety and Efficacy of Eneboparatide (AZP-3601) in Patients With Chronic Hypoparathyroidism</t>
  </si>
  <si>
    <t>NCT05726864</t>
  </si>
  <si>
    <t>A Study of ELI-002 7P in Subjects With KRAS/NRAS Mutated Solid Tumors</t>
  </si>
  <si>
    <t>NCT06942299</t>
  </si>
  <si>
    <t>A Study of AK0529 in Adults Patients Hospitalized With RSV Infection</t>
  </si>
  <si>
    <t>NCT05639647</t>
  </si>
  <si>
    <t>Study of 2 Medicines (Aztreonam and Avibactam) Compared to Best Available Therapy for Serious Gram-negative Infections</t>
  </si>
  <si>
    <t>NCT03922048</t>
  </si>
  <si>
    <t>Pediatric Postoperative Analgesia Herniorrhaphy Study</t>
  </si>
  <si>
    <t>NCT06132867</t>
  </si>
  <si>
    <t>A Study to Compare the Relative Bioavailability of Brigatinib When Swallowed as a Solution Versus When Swallowed as a Tablet in Healthy Adults</t>
  </si>
  <si>
    <t>NCT05665699</t>
  </si>
  <si>
    <t>Phase II Study to Evaluate Efficacy and Safety of D-0120 in Combination With Allopurinol in Subjects With Gout</t>
  </si>
  <si>
    <t>NCT06022263</t>
  </si>
  <si>
    <t>STA363 in the Treatment of Lumbar Disc Herniation</t>
  </si>
  <si>
    <t>NCT06642987</t>
  </si>
  <si>
    <t>Study to Evaluate the Bioequivalence of Vonopzan Tablet 20mg(Vonoprazan Fumarate) and Vocinti Tablet 20mg in Healthy Adult Subjects.</t>
  </si>
  <si>
    <t>NCT05616221</t>
  </si>
  <si>
    <t>Study to Evaluate the Safety, Phage Kinetics, and Efficacy of Inhaled AP-PA02 in Subjects With Non-Cystic Fibrosis Bronchiectasis and Chronic Pulmonary Pseudomonas Aeruginosa Infection</t>
  </si>
  <si>
    <t>NCT04798716</t>
  </si>
  <si>
    <t>The Use of Exosomes for the Treatment of Acute Respiratory Distress Syndrome or Novel Coronavirus Pneumonia Caused by COVID-19</t>
  </si>
  <si>
    <t>AVEM HealthCare</t>
  </si>
  <si>
    <t>NCT06018506</t>
  </si>
  <si>
    <t>A Phase I Study of BR108 in Hematological Malignancies</t>
  </si>
  <si>
    <t>NCT02615184</t>
  </si>
  <si>
    <t>A Study to Check the Safety of Dexlansoprazole and Learn If it Can Heal Erosive Esophagitis (EE) and Keep it Healed in Children 2 to 11 Years Old</t>
  </si>
  <si>
    <t>NCT05680233</t>
  </si>
  <si>
    <t>Safety Study of OA-235i in Subjects With Nonalcoholic Steatohepatitis</t>
  </si>
  <si>
    <t>Oasis Pharmaceuticals, LLC</t>
  </si>
  <si>
    <t>NCT05431933</t>
  </si>
  <si>
    <t>Study to Evaluate Eupolio(IPV)'s Safety, Long-term Protective Effect and Boosting Effect of One Booster Dose in the Three Primary Vaccination Plus Boosting Schedule, and Protective Effect in the Schedule With Bivalent OPV in Infants</t>
  </si>
  <si>
    <t>NCT05718557</t>
  </si>
  <si>
    <t>Study of PYX-106 in Solid Tumors</t>
  </si>
  <si>
    <t>Pyxis Oncology, Inc</t>
  </si>
  <si>
    <t>NCT04977167</t>
  </si>
  <si>
    <t>Clinical Trial of HG146 Administered to Subjects with Advanced Solid Tumors or Lymphoma</t>
  </si>
  <si>
    <t>NCT05995444</t>
  </si>
  <si>
    <t>A Study to Assess the Effects of Epetraborole on the QT Interval in Healthy Adult Subjects</t>
  </si>
  <si>
    <t>NCT05877599</t>
  </si>
  <si>
    <t>A Study of NT-175 in Adult Participants With Advanced Malignancies That Are Positive for HLA-A*02:01 and the TP53 R175H Mutation</t>
  </si>
  <si>
    <t>NCT05707832</t>
  </si>
  <si>
    <t>A Study of ABCD for Injection in Subjects With Invasive Candidiasis and Invasive Aspergillus</t>
  </si>
  <si>
    <t>NCT06020014</t>
  </si>
  <si>
    <t>Phase 2a Study to Assess the Efficacy and Safety of AZD4604 in Adult Patients With Moderate-to-Severe Asthma Uncontrolled on Medium-High Dose ICS-LABA</t>
  </si>
  <si>
    <t>NCT05769075</t>
  </si>
  <si>
    <t>A Study of TY-2136b in Patients With Advanced Solid Tumors Harboring ALK, ROS1 or NTRK1-3 Alterations</t>
  </si>
  <si>
    <t>NCT05861128</t>
  </si>
  <si>
    <t>Extension Study to Evaluate Safety and Efficacy of Jaktinib in Patients With Active Ankylosing Spondylitis(AS)</t>
  </si>
  <si>
    <t>NCT06162507</t>
  </si>
  <si>
    <t>Study of CM310 in Children Subjects With Moderate-to-severe Atopic Dermatis</t>
  </si>
  <si>
    <t>NCT06099782</t>
  </si>
  <si>
    <t>A Study of Participant Reported Preference for Subcutaneous Pembrolizumab Coformulated With Berahyaluronidase Alfa (MK-3475A) Over Intravenous Pembrolizumab (MK-3475) Formulation in Multiple Tumor Types (MK-3475A-F11)</t>
  </si>
  <si>
    <t>NCT05492682</t>
  </si>
  <si>
    <t>START: Safety and Anti-Tumor Activity of PeptiCRAd-1 in Treatment of Cancer</t>
  </si>
  <si>
    <t>Valo Therapeutics Oy</t>
  </si>
  <si>
    <t>NCT05408546</t>
  </si>
  <si>
    <t>Novel α2-Antiplasmin Inactivation for Lysis of Intravascular Thrombi (NAIL-IT) Trial</t>
  </si>
  <si>
    <t>Translational Sciences, Inc.</t>
  </si>
  <si>
    <t>NCT06532331</t>
  </si>
  <si>
    <t>A PhaseⅠStudy of ONO-7475 in Combination With ONO-4538 and Gemcitabine Plus Nab-paclitaxel (GnP), the Standard of Care, and ONO-7475 in Combination With GnP in Patients With Pancreatic Cancer</t>
  </si>
  <si>
    <t>NCT05945901</t>
  </si>
  <si>
    <t>A Phase II/III Study of HR070803 in Combination With Oxaliplatin, 5-fluorouracil, Calcium Folinate and Bevacizumab Versus FOLFOX in Combination With Bevacizumab for First-line Treatment of Advanced Colorectal Cancer</t>
  </si>
  <si>
    <t>NCT05941507</t>
  </si>
  <si>
    <t>A Study to Evaluate TROP2 ADC LCB84 Single Agent and in Combination With an Anti-PD-1 Ab in Advanced Solid Tumors</t>
  </si>
  <si>
    <t>NCT06077331</t>
  </si>
  <si>
    <t>A Study to Evaluate Efficacy and Safety of HS-10374 for Moderate to Severe Plaque Psoriasis</t>
  </si>
  <si>
    <t>Hansoh BioMedical R&amp;D Company</t>
  </si>
  <si>
    <t>NCT05911841</t>
  </si>
  <si>
    <t>A Study of LY3454738 in the Treatment of Adult Participants With Moderate-to-Severe Atopic Dermatitis</t>
  </si>
  <si>
    <t>NCT05832931</t>
  </si>
  <si>
    <t>Parathyroid Hormone (PTH) Attenuation Trial in Hemodialysis-1</t>
  </si>
  <si>
    <t>Pathalys Pharma</t>
  </si>
  <si>
    <t>NCT05952037</t>
  </si>
  <si>
    <t>A Study to Investigate Efficacy and Safety of BCL2 Inhibitor Sonrotoclax as Monotherapy and in Combination With Zanubrutinib in Adults With Waldenström Macroglobulinemia</t>
  </si>
  <si>
    <t>NCT07486895</t>
  </si>
  <si>
    <t>Trial to Demonstrate the Equivalence of Two Different Strengths of Oral Centanafadine Capsules in Healthy Subjects</t>
  </si>
  <si>
    <t>NCT05836883</t>
  </si>
  <si>
    <t>Study of ExoFlo for the Treatment of Perianal Fistulas</t>
  </si>
  <si>
    <t>NCT05711394</t>
  </si>
  <si>
    <t>A Study to Assess the Adverse Events and Change in Disease Activity of Oral Atogepant Tablets in Pediatric Participants (6-17 Years of Age) With Episodic Migraine</t>
  </si>
  <si>
    <t>NCT05962151</t>
  </si>
  <si>
    <t>Refractory Chronic Cough Improvement Via NAL ER (RIVER)</t>
  </si>
  <si>
    <t>Trevi Therapeutics</t>
  </si>
  <si>
    <t>NCT06128551</t>
  </si>
  <si>
    <t>Study of Elironrasib and Daraxonrasib as Monotherapies and Combination Therapy in Participants With Advanced KRAS G12C Mutant Solid Tumors</t>
  </si>
  <si>
    <t>NCT05563272</t>
  </si>
  <si>
    <t>89Zr-girentuximab for PET Imaging of CAIX Positive Solid Tumors</t>
  </si>
  <si>
    <t>Telix Pharmaceuticals (Innovations) Pty Ltd</t>
  </si>
  <si>
    <t>NCT05544019</t>
  </si>
  <si>
    <t>Study of SGR-1505 in Mature B-Cell Neoplasms</t>
  </si>
  <si>
    <t>Schrödinger, Inc.</t>
  </si>
  <si>
    <t>NCT05701995</t>
  </si>
  <si>
    <t>A Study to Evaluate the Effect of Deucravacitinib on Quality of Life in Participants With Plaque Psoriasis in a Community Setting</t>
  </si>
  <si>
    <t>NCT06189495</t>
  </si>
  <si>
    <t>A Randomized, Double-blind, Placebo-controlled Phase II Clinical Study to Evaluate the Safety, Tolerability, Efficacy, and Pharmacokinetic Profile of Genakumab Injection in Patients With Connective Tissue Disease-associated Interstitial Lung Disease</t>
  </si>
  <si>
    <t>NCT06482177</t>
  </si>
  <si>
    <t>The COAT Trial: Cequa's Onset of Action Trial</t>
  </si>
  <si>
    <t>NCT05633667</t>
  </si>
  <si>
    <t>Study of Novel Treatment Combinations in Patients With Lung Cancer</t>
  </si>
  <si>
    <t>NCT05676034</t>
  </si>
  <si>
    <t>AMX0035 in Adult Patients With Wolfram Syndrome</t>
  </si>
  <si>
    <t>NCT05788237</t>
  </si>
  <si>
    <t>A Study to Examine Respiratory Combination Vaccines Against Respiratory Syncytial Virus (RSV) and Flu in Older Adults</t>
  </si>
  <si>
    <t>NCT05743907</t>
  </si>
  <si>
    <t>Clinical Trial to Evaluate the Efficacy and Safety of DA-2811 When Added to Ongoing Metformin Monotherapy in Patients with Type 2 Diabetes Who Have Inadequate Glycemic Control</t>
  </si>
  <si>
    <t>NCT06166992</t>
  </si>
  <si>
    <t>A Study in Healthy Men to Test How BI 1291583 is Taken up by the Body</t>
  </si>
  <si>
    <t>NCT05269134</t>
  </si>
  <si>
    <t>Bacteriophage Therapy in Patients With Prosthetic Joint Infections (PJI)</t>
  </si>
  <si>
    <t>NCT05907122</t>
  </si>
  <si>
    <t>A Study to Evaluate Similarity of ABP 206 Compared With OPDIVO® (Nivolumab) in Subjects With Resected Melanoma</t>
  </si>
  <si>
    <t>NCT05972629</t>
  </si>
  <si>
    <t>A Phase 1/Phase 2 Open-label Study to Evaluate the Safety, Tolerability, and Efficacy of a Single Intravenous Administration of SAR444836 in Adult Participants With Phenylketonuria</t>
  </si>
  <si>
    <t>NCT05695781</t>
  </si>
  <si>
    <t>Assessment of the Safety and Efficacy of BRM421 Ophthalmic Solutions in Dry Eye Subjects.</t>
  </si>
  <si>
    <t>NCT06056830</t>
  </si>
  <si>
    <t>Positron Emission Tomography Using 64Cu-SAR-bisPSMA in Participants With High-risk Prostate Cancer Prior to Radical Prostatectomy</t>
  </si>
  <si>
    <t>NCT05932303</t>
  </si>
  <si>
    <t>A Study to Assess the Effect of Multiple Doses of Itraconazole, Gemfibrozil, or Carbamazepine on BMS-986278 in Healthy Participants</t>
  </si>
  <si>
    <t>NCT05869669</t>
  </si>
  <si>
    <t>RewinD-LB - Clinical Study of Neflamapimod in Patients With Dementia With Lewy Bodies</t>
  </si>
  <si>
    <t>EIP Pharma Inc</t>
  </si>
  <si>
    <t>NCT05626322</t>
  </si>
  <si>
    <t>Effects of Maplirpacept (PF-07901801),Tafasitamab, and Lenalidomide in People With Relapsed or Refractory Diffuse Large B-cell Lymphoma</t>
  </si>
  <si>
    <t>NCT06079320</t>
  </si>
  <si>
    <t>A Study to Learn About the Study Medicine Sisunatovir in Adults With Respiratory Syncytial Virus (RSV) Infection</t>
  </si>
  <si>
    <t>NCT05652686</t>
  </si>
  <si>
    <t>A Study of Peluntamig (PT217) in Patients With Neuroendocrine Carcinomas Expressing DLL3 (the SKYBRIDGE Study)</t>
  </si>
  <si>
    <t>NCT06109441</t>
  </si>
  <si>
    <t>Efficacy/Safety of ALTB-268 in Subjects w/Moderately to Severely Active UC Refractory to Biologics</t>
  </si>
  <si>
    <t>AltruBio Inc.</t>
  </si>
  <si>
    <t>NCT05861102</t>
  </si>
  <si>
    <t>Efficacy and Safety Study of Jaktinib in Subjects With Active Ankylosing Spondylitis(AS)</t>
  </si>
  <si>
    <t>NCT06056570</t>
  </si>
  <si>
    <t>Open Label PK, PD and DDI of Dotinurad and Allopurinol in Gout Patients With Hyperuricemia</t>
  </si>
  <si>
    <t>Urica Therapeutics Inc.</t>
  </si>
  <si>
    <t>NCT02616302</t>
  </si>
  <si>
    <t>A Study to Check the Safety of Dexlansoprazole and Learn if it Can Treat Symptomatic Nonerosive Gastroesophageal Reflux Disease in Children 2 to 11 Years Old</t>
  </si>
  <si>
    <t>NCT05684653</t>
  </si>
  <si>
    <t>Study to Evaluate Orelabrutinib Tablets in Subjects With Hepatic Impairment and Healthy Subject</t>
  </si>
  <si>
    <t>NCT05741437</t>
  </si>
  <si>
    <t>A Clinical Trial to Compare and Evaluate the Safety and Pharmacokinetics of CKD-378</t>
  </si>
  <si>
    <t>NCT05753930</t>
  </si>
  <si>
    <t>Imlifidase Prior to Kidney Transplant in Highly Sensitised Children</t>
  </si>
  <si>
    <t>NCT06052059</t>
  </si>
  <si>
    <t>A Study to Evaluate Efficacy and Safety of Tulisokibart (MK-7240) in Participants With Moderately to Severely Active Ulcerative Colitis (MK-7240-001)</t>
  </si>
  <si>
    <t>NCT05741359</t>
  </si>
  <si>
    <t>The Safety and Efficacy of BRL-201 in the Treatment of r/r B Lymphocyte Non-Hodgkin Lymphoma</t>
  </si>
  <si>
    <t>NCT05686980</t>
  </si>
  <si>
    <t>A Study to Assess the Adverse Events and How Oral ABBV-552 Capsules Moves Through the Body of Healthy Adult Japanese and Han Chinese Participants</t>
  </si>
  <si>
    <t>NCT05757596</t>
  </si>
  <si>
    <t>Study of VSA001 Injection in Chinese Healthy Adult Volunteers</t>
  </si>
  <si>
    <t>NCT05942820</t>
  </si>
  <si>
    <t>The Safety, Tolerability, and Pharmacokinetics of Single and Multiple Ascending Doses of BWC0977 in Healthy Adult Volunteers</t>
  </si>
  <si>
    <t>NCT06122831</t>
  </si>
  <si>
    <t>A Clinical Trial of TQ05105 Tablets Combined With TQB3617 Capsules in the Treatment of Myelofibrosis (MF)</t>
  </si>
  <si>
    <t>NCT05732402</t>
  </si>
  <si>
    <t>An Open-label Study of Povetacicept in Autoantibody-Associated Glomerular Diseases</t>
  </si>
  <si>
    <t>NCT05818553</t>
  </si>
  <si>
    <t>A Clinical Trial of PRAX-562 in Subjects With Developmental and Epileptic Encephalopathies (DEE)</t>
  </si>
  <si>
    <t>NCT05799495</t>
  </si>
  <si>
    <t>A Study to Understand the Effect and Safety of the Study Medicine PF-07817883 in Adults Who Have Symptoms of COVID-19 But Are Not Hospitalized</t>
  </si>
  <si>
    <t>NCT05931380</t>
  </si>
  <si>
    <t>A Study of Once-Daily Oral Orforglipron (LY3502970) in Japanese Adult Participants With Obesity Disease</t>
  </si>
  <si>
    <t>NCT05753722</t>
  </si>
  <si>
    <t>A First-in-human Study of PRTH-101 Monotherapy +/- Pembrolizumab in Subjects With Advanced Malignancies</t>
  </si>
  <si>
    <t>Incendia Therapeutics</t>
  </si>
  <si>
    <t>NCT05561751</t>
  </si>
  <si>
    <t>Ph2, Study to Assess the Safety and Efficacy of GPC 100 and Propranolol With and Without G-CSF for the Mobilization of Stem Cells in Patients With Multiple Myeloma Undergoing Autologous Stem Cell Transplant</t>
  </si>
  <si>
    <t>GPCR Therapeutics, Inc.</t>
  </si>
  <si>
    <t>NCT05892653</t>
  </si>
  <si>
    <t>A Study of ABM-1310 in Patients With BRAF V600-Mutant Relapsed and Drug Resistant Primary Malignant Brain Tumors</t>
  </si>
  <si>
    <t>NCT05932277</t>
  </si>
  <si>
    <t>A Study to Assess the Effect of BMS-986419 on the Single Dose Drug Levels of Probe Substrates in Healthy Participants</t>
  </si>
  <si>
    <t>NCT06492876</t>
  </si>
  <si>
    <t>Gene Therapy for DME</t>
  </si>
  <si>
    <t>NCT05841160</t>
  </si>
  <si>
    <t>Thorough QT/QTc Study to Evaluate the Effects of Ecopipam (EBS-101) on Cardiac Repolarization</t>
  </si>
  <si>
    <t>NCT05578976</t>
  </si>
  <si>
    <t>A Study to Evaluate Change in Disease Activity of Subcutaneous (SC) Epcoritamab Combined With Intravenous and Oral Rituximab, Cyclophosphamide, Doxorubicin Hydrochloride, Vincristine, and Prednisone (R-CHOP) or R-CHOP in Adult Participants With Newly Diagnosed Diffuse Large B-Cell Lymphoma (DLBCL)</t>
  </si>
  <si>
    <t>NCT05874310</t>
  </si>
  <si>
    <t>Gene Therapy for Subjects With RPGR Mutation-associated X-linked Retinitis Pigmentosa</t>
  </si>
  <si>
    <t>NCT05673460</t>
  </si>
  <si>
    <t>A Clinical Study of Nemtabrutinib in Japanese Participants With Hematological Malignancies (MK-1026-002)</t>
  </si>
  <si>
    <t>NCT05793450</t>
  </si>
  <si>
    <t>Pharmacokinetics of IBI362 in Subjects With and Without Renal Impairment</t>
  </si>
  <si>
    <t>NCT05777174</t>
  </si>
  <si>
    <t>Study of MB-102 (Relmapirazin) and the Use of the MediBeacon® Transdermal GFR Measurement System Using the TGFR Reusable Sensor With Disposable Adhesive Ring</t>
  </si>
  <si>
    <t>NCT06092762</t>
  </si>
  <si>
    <t>A Study to Evaluate the Safety and Efficacy of AK120 in Subjects With Moderate to Severe Atopic Dermatitis</t>
  </si>
  <si>
    <t>NCT05995366</t>
  </si>
  <si>
    <t>A Study to Assess the Mass Balance of [14C] ABBV-903 in Healthy Male Participants Following Single Oral Dose Administration</t>
  </si>
  <si>
    <t>NCT05843422</t>
  </si>
  <si>
    <t>A First-in-Human Study of QY211 Gel in Adult Subjects</t>
  </si>
  <si>
    <t>NCT05641272</t>
  </si>
  <si>
    <t>Clinical Trial to Evaluate the Efficacy and Safety of Polymerized, Mannan-Conjugated Dermatophagoides Allergen Extract</t>
  </si>
  <si>
    <t>NCT05740280</t>
  </si>
  <si>
    <t>iCP-NI - Safety, Tolerability, Pharmacokinetic, and Immunogenicity Study in Healthy Male and Female Subjects</t>
  </si>
  <si>
    <t>Cellivery Therapeutics, Inc.</t>
  </si>
  <si>
    <t>NCT05615623</t>
  </si>
  <si>
    <t>Blood Brain Barrier (BBB) Disruption Using Exablate Focused Ultrasound With Doxorubicin for Treatment of Pediatric DIPG</t>
  </si>
  <si>
    <t>NCT05440227</t>
  </si>
  <si>
    <t>PG2 Injection for the Treatment of moderate-to Severe Fatigue in Breast Cancer Patients</t>
  </si>
  <si>
    <t>PhytoHealth Corporation</t>
  </si>
  <si>
    <t>NCT05873686</t>
  </si>
  <si>
    <t>A Phase 1 Clinical Study of NXP900 in Subjects With Advanced Cancers</t>
  </si>
  <si>
    <t>NCT05992922</t>
  </si>
  <si>
    <t>A Study to Assess the Safety and Efficacy of IC265 Ophthalmic Solution for Dry Eye in Adult Participants</t>
  </si>
  <si>
    <t>Iacta Pharmaceuticals</t>
  </si>
  <si>
    <t>NCT06320353</t>
  </si>
  <si>
    <t>Study сomparing the Efficacy and Safety of RPH-075 and Keytruda® in Patients With Unresectable or Metastatic Skin Melanoma</t>
  </si>
  <si>
    <t>NCT06071962</t>
  </si>
  <si>
    <t>Long Term Efficacy and Tolerability of AP707 in Patients With Chronic Back Pain</t>
  </si>
  <si>
    <t>Apurano Pharmaceuticals GmbH</t>
  </si>
  <si>
    <t>NCT05943041</t>
  </si>
  <si>
    <t>Live Biotherapeutic Product GB104 Phase 1 Study in Colorectal Cancer</t>
  </si>
  <si>
    <t>GILongevity</t>
  </si>
  <si>
    <t>NCT06249256</t>
  </si>
  <si>
    <t>An Exploratory Study on the Treatment of Advanced Solid Tumors by Fast CAR T Cells</t>
  </si>
  <si>
    <t>NCT06003829</t>
  </si>
  <si>
    <t>A Study to Learn About the Tastes of Different Suspensions With the Study Medicine (PF-07923568) in Healthy Adult Participants.</t>
  </si>
  <si>
    <t>NCT05676853</t>
  </si>
  <si>
    <t>A Study of Safety of Weekly Subcutaneous Pegzilarginase in Subjects With Arginase 1 Deficiency</t>
  </si>
  <si>
    <t>NCT03164447</t>
  </si>
  <si>
    <t>UB-421 Combine With Optimized Background Therapy Regimen in Multi-Drug Resistant HIV-1 Infection Patients</t>
  </si>
  <si>
    <t>NCT05824585</t>
  </si>
  <si>
    <t>DZD8586 in Patients With Relapsed or Refractory B-cell Non-Hodgkin Lymphoma</t>
  </si>
  <si>
    <t>NCT04970108</t>
  </si>
  <si>
    <t>Efficacy and Safety of Egito Association in the Treatment of Type II Diabetes Mellitus and Hypertension</t>
  </si>
  <si>
    <t>NCT05673876</t>
  </si>
  <si>
    <t>A Study to Assess the Safety and Pharmacokinetics of GDC-8264 in Combination With Standard of Care in Participants With Acute Graft-Versus-Host Disease (aGVHD)</t>
  </si>
  <si>
    <t>NCT05424276</t>
  </si>
  <si>
    <t>A Randomized, Double-Blind, Placebo-Controlled Trial of IkT-148009 in Untreated Parkinson's Disease</t>
  </si>
  <si>
    <t>NCT07598968</t>
  </si>
  <si>
    <t>Clinical Trial to Evaluate the Safety and Pharmacokinetic Characteristics of HL1113-R1 and HL1113-R2 in Healthy Adult Volunteers</t>
  </si>
  <si>
    <t>NCT06058091</t>
  </si>
  <si>
    <t>RY_SW01 Cell Injection Therapy in Systemic Sclerosis</t>
  </si>
  <si>
    <t>Jiangsu Renocell Biotech Company</t>
  </si>
  <si>
    <t>NCT05891834</t>
  </si>
  <si>
    <t>Study of INV-202 in Patients With Obesity and Metabolic Syndrome</t>
  </si>
  <si>
    <t>NCT05972993</t>
  </si>
  <si>
    <t>A Safety and Immune Response Study to Evaluate Varying Doses of an mRNA Vaccine Against Coronavirus Disease 2019 (COVID-19) in Healthy Adults</t>
  </si>
  <si>
    <t>NCT06038058</t>
  </si>
  <si>
    <t>A Study of BRY812 for Injection Alone in Subjects With Advanced Malignancies</t>
  </si>
  <si>
    <t>NCT05866926</t>
  </si>
  <si>
    <t>Study to Investigate the Long-term Safety of FAB122 in Patients With Amyotrophic Lateral Sclerosis</t>
  </si>
  <si>
    <t>NCT05252585</t>
  </si>
  <si>
    <t>A Phase IV Study of Safety and Efficacy of Everolimus in Taiwanese Patients With Tuberous Sclerosis Complex Who Have Renal Angiomyolipoma (TSC-AML)</t>
  </si>
  <si>
    <t>NCT06034743</t>
  </si>
  <si>
    <t>A Study to Investigate the Efficacy and Safety of Baxdrostat in Participants With Uncontrolled Hypertension on Two or More Medications Including Participants With Resistant Hypertension</t>
  </si>
  <si>
    <t>NCT05943535</t>
  </si>
  <si>
    <t>Study of the Efficacy and Safety of Inhaled Treprostinil in Subjects With Progressive Pulmonary Fibrosis (TETON-PPF)</t>
  </si>
  <si>
    <t>NCT05491317</t>
  </si>
  <si>
    <t>A Safety and Antitumor Activity Trial of Immunoradiotherapy Combinations as a Treatment Option for Subjects With Metastatic Solid Tumors</t>
  </si>
  <si>
    <t>NCT05670704</t>
  </si>
  <si>
    <t>A Clinical Trial to Investigate the Safety, Tolerability, Pharmacokinetics, and Immunogenicity of Single and Multiple Ascending Doses of ARGX-119 in Healthy Participants</t>
  </si>
  <si>
    <t>NCT06059547</t>
  </si>
  <si>
    <t>Neoadjuvant Immunotherapy Combined With the Anti-GDF-15 Antibody Visugromab to Treat Muscle Invasive Bladder Cancer</t>
  </si>
  <si>
    <t>NCT05565248</t>
  </si>
  <si>
    <t>An Open-Label, FIH Study Evaluating the Safety, Tolerability, and Efficacy of VCTX211 Combination Product in Subjects With T1D</t>
  </si>
  <si>
    <t>NCT05719155</t>
  </si>
  <si>
    <t>Pharmacokinetics and Safety/Tolerability of CKD-379</t>
  </si>
  <si>
    <t>NCT05938725</t>
  </si>
  <si>
    <t>KYSA-1: A Study of Anti-CD19 Chimeric Antigen Receptor T-Cell (CD19 CAR T) Therapy, in Subjects With Refractory Lupus Nephritis</t>
  </si>
  <si>
    <t>NCT06224387</t>
  </si>
  <si>
    <t>CTS2190 Phase I /II Clinical Study in Patients</t>
  </si>
  <si>
    <t>CytosinLab Therapeutics Co., Ltd.</t>
  </si>
  <si>
    <t>NCT05812014</t>
  </si>
  <si>
    <t>Clinical Trail of SARS-CoV-2 Bivalent mRNA Vaccine (LVRNA021) in Participants Aged 18 Years and Older</t>
  </si>
  <si>
    <t>NCT05642078</t>
  </si>
  <si>
    <t>Phase Ⅲ Clinical Study of Quadrivalent Influenza Virus Split Vaccine</t>
  </si>
  <si>
    <t>NCT05693935</t>
  </si>
  <si>
    <t>A Randomized, Double-Blind, Placebo-Controlled Study With an Open-Label, Long-Term Safety Phase to Evaluate the Efficacy and Safety of TV-44749 in Adults With Schizophrenia</t>
  </si>
  <si>
    <t>NCT05685732</t>
  </si>
  <si>
    <t>An Efficacy and Safety Study w/ Azstarys® in Children 4-12 Years of Age With ADHD</t>
  </si>
  <si>
    <t>NCT06044233</t>
  </si>
  <si>
    <t>A Bioequivalence Trial of Fasting Single Oral STI-1558 Capsule in Healthy Chinese Subjects</t>
  </si>
  <si>
    <t>NCT05865535</t>
  </si>
  <si>
    <t>A Dose Escalation Study of AV-380 in Cancer Patients With Cachexia</t>
  </si>
  <si>
    <t>NCT05322590</t>
  </si>
  <si>
    <t>BXQ-350 in Newly Diagnosed Metastatic Colorectal Carcinoma</t>
  </si>
  <si>
    <t>NCT06080048</t>
  </si>
  <si>
    <t>A Clinical Trial to Assess the Safety of SOR102 in Healthy Participants and Patients With Ulcerative Colitis</t>
  </si>
  <si>
    <t>Sorriso Pharmaceuticals, Inc.</t>
  </si>
  <si>
    <t>NCT05905926</t>
  </si>
  <si>
    <t>Safety Study of Tenapanor for the Treatment of Pediatric Patients (6 to Less Than 18 Years Old) With IBS-C</t>
  </si>
  <si>
    <t>NCT05951608</t>
  </si>
  <si>
    <t>A Phase Ib/II Clinical Study of AK127 in Combination With AK112 in Patients With Advanced Solid Tumors</t>
  </si>
  <si>
    <t>NCT05970289</t>
  </si>
  <si>
    <t>Investigate the Efficacy and Safety of BRII-835 (VIR-2218) and PEG-IFNα Combination Therapy in Chronic HBV Patients</t>
  </si>
  <si>
    <t>NCT06082635</t>
  </si>
  <si>
    <t>TGRX-326 Chinese Phase III for Advanced Non-small Cell Lung Cancer (NSCLC)</t>
  </si>
  <si>
    <t>NCT05381935</t>
  </si>
  <si>
    <t>A Study of ES014 (Anti-CD39/TGF-β Bispecific Antibody) in Patients With Locally Advanced or Metastatic Solid Tumors</t>
  </si>
  <si>
    <t>NCT06224608</t>
  </si>
  <si>
    <t>Phase I Clinical Trial to Evaluate the Safety of Recombinant Mycobacterium Tuberculosis Fusion Protein (EEC) in Healthy Adults Aged 18-65 and Patients With Pulmonary Tuberculosis</t>
  </si>
  <si>
    <t>NCT05977140</t>
  </si>
  <si>
    <t>CDI-988 Safety Study in Healthy Participants</t>
  </si>
  <si>
    <t>NCT05903274</t>
  </si>
  <si>
    <t>JSP191 (briquilimab) in Subjects with LR-MDS</t>
  </si>
  <si>
    <t>NCT06153420</t>
  </si>
  <si>
    <t>Study of the Research Medicine CIN-103 in Adults With Irritable Bowel Syndrome With Predominant Diarrhea (IBS-D).</t>
  </si>
  <si>
    <t>CinPhloro Pharma, LLC</t>
  </si>
  <si>
    <t>NCT06111196</t>
  </si>
  <si>
    <t>Compare the Pharmacokinetics and Safety of BAT3306 Injection Versus KEYTRUDA® Administered in Healthy Male Subjects</t>
  </si>
  <si>
    <t>NCT05740566</t>
  </si>
  <si>
    <t>Study Comparing Tarlatamab With Standard of Care Chemotherapy in Relapsed Small Cell Lung Cancer</t>
  </si>
  <si>
    <t>NCT05735951</t>
  </si>
  <si>
    <t>Pharmacokinetic Parameters of Stiripentol in Renal Impaired Patients and Matching Controls With Normal Renal Function</t>
  </si>
  <si>
    <t>NCT06114329</t>
  </si>
  <si>
    <t>Study of the Safety and Biologic Activity of AL01211 in Treatment Naive Males With Classic Fabry Disease</t>
  </si>
  <si>
    <t>NCT05851443</t>
  </si>
  <si>
    <t>A Study to Evaluate the Efficacy and Safety Study of Povorcitinib in Participants With Inadequately Controlled Moderate to Severe Asthma</t>
  </si>
  <si>
    <t>NCT05844735</t>
  </si>
  <si>
    <t>A Randomized Placebo- and Active Comparator-controlled Study to Evaluate the Photosafety of SAR441566</t>
  </si>
  <si>
    <t>NCT06011317</t>
  </si>
  <si>
    <t>A Study of EDG-7500 in Healthy Adults</t>
  </si>
  <si>
    <t>NCT05763550</t>
  </si>
  <si>
    <t>To Evaluate the Efficacy and Safety of HSK16149 Capsule in Chinese Patients With Herpetic Neuralgia</t>
  </si>
  <si>
    <t>NCT06355479</t>
  </si>
  <si>
    <t>A Study to Evaluate the Efficacy and Safety of OsrHSA in Patients of Hepatic Cirrhosis With Hypoalbuminemia</t>
  </si>
  <si>
    <t>NCT06054880</t>
  </si>
  <si>
    <t>Indigotindisulfonate Sodium Injection, USP as an Aid in the Determination of Ureteral Patency</t>
  </si>
  <si>
    <t>NCT06182696</t>
  </si>
  <si>
    <t>OriCAR-017 Chimeric Antigen Receptor (CAR) Modified T Cells for the Treatment of R/RMM</t>
  </si>
  <si>
    <t>NCT06038396</t>
  </si>
  <si>
    <t>A Study of RC118 Plus Toripalimab / RC148 in Patients with Locally Advanced Unresectable or Metastatic Solid Tumors</t>
  </si>
  <si>
    <t>NCT05798819</t>
  </si>
  <si>
    <t>A Study of GLS-010 Plus Platinum-containing Chemotherapy±Bevacizumab as First-line Treatment for Persistent, Recurrent, or Metastatic Cervical Cancer</t>
  </si>
  <si>
    <t>NCT05704894</t>
  </si>
  <si>
    <t>Asses the Impact of Early Starting Erythropoetin in the Reduction of Transfusions Blood in Childrens</t>
  </si>
  <si>
    <t>Blau Farmaceutica S.A.</t>
  </si>
  <si>
    <t>NCT05577702</t>
  </si>
  <si>
    <t>Efficacy, Safety, and Pharmacodynamics of Tislelizumab Monotherapy and Multiple Tislelizumab-based Immunotherapy Combinations in Participants With Resectable Non-Small Cell Lung Cancer</t>
  </si>
  <si>
    <t>NCT05785039</t>
  </si>
  <si>
    <t>A Study of BL-B01D1 in Patients With Multiple Solid Tumors, Including Locally Advanced or Metastatic Urinary System Tumors</t>
  </si>
  <si>
    <t>NCT07517575</t>
  </si>
  <si>
    <t>Pharmacokinetics, Efficacy and Safety of Olokizumab In Patients With Juvenile Idiopathic Arthritis</t>
  </si>
  <si>
    <t>NCT06294301</t>
  </si>
  <si>
    <t>A Study of Single and Multiple Doses of LP-005 in Healthy Adult Participants</t>
  </si>
  <si>
    <t>NCT05593575</t>
  </si>
  <si>
    <t>Efficacy and Safety of SPH3127 Tablets on Treating the Diabetic Kidney Disease</t>
  </si>
  <si>
    <t>NCT06043739</t>
  </si>
  <si>
    <t>Relative Bioavailability and Effect of Food Study With an Oral Mini-tablet Formulation of Filgotinib in Healthy Subjects</t>
  </si>
  <si>
    <t>NCT05619744</t>
  </si>
  <si>
    <t>A Study to Evaluate Safety, Tolerability, Pharmacokinetics, Pharmacodynamics, and Preliminary Anti-tumor Activity of RO7616789 in Advanced Small Cell Lung Cancer and Other Neuroendocrine Carcinomas</t>
  </si>
  <si>
    <t>NCT06155084</t>
  </si>
  <si>
    <t>A Study to Assess the Safety, Pharmacokinetics, and Anti-Tumor Activity of Oral HP518 in mCRPC Patients</t>
  </si>
  <si>
    <t>Hinova Pharmaceuticals Inc.</t>
  </si>
  <si>
    <t>NCT05700084</t>
  </si>
  <si>
    <t>Tolerability and Bioavailability of Utidelone Capsule in Patients With Advanced Solid Tumors</t>
  </si>
  <si>
    <t>NCT05838768</t>
  </si>
  <si>
    <t>Study of HRO761 Alone or in Combination in Cancer Patients With Specific DNA Alterations Called Microsatellite Instability or Mismatch Repair Deficiency.</t>
  </si>
  <si>
    <t>NCT05868174</t>
  </si>
  <si>
    <t>Combination of 177Lu-TLX250 and Peposertib in Patients With Carbonic Anhydrase IX -Expressing Solid Tumors</t>
  </si>
  <si>
    <t>NCT06395155</t>
  </si>
  <si>
    <t>A Phase 1 Clinical Trial DHP2306R1 and DHP2306R2 in Healthy Adult Volunteers</t>
  </si>
  <si>
    <t>NCT05920135</t>
  </si>
  <si>
    <t>First-in-Human Study of BBT-207 in Advanced Non-Small Cell Lung Cancer Harboring EGFR Mutation After Treatment With EGFR TKI</t>
  </si>
  <si>
    <t>NCT05687890</t>
  </si>
  <si>
    <t>A Study to Evaluate the Efficacy and Safety of SC0062 in the Treatment of Chronic Kidney Disease</t>
  </si>
  <si>
    <t>NCT06121518</t>
  </si>
  <si>
    <t>Clinical Trial to Evaluate the Efficacy and Safety of D064 and D702 Combination Therapy Versus D064 or D702 Monotherapy</t>
  </si>
  <si>
    <t>NCT06218290</t>
  </si>
  <si>
    <t>A Study to Assess the Tolerability of Oxylanthanum Carbonate in Patients With Chronic Kidney Disease on Dialysis</t>
  </si>
  <si>
    <t>Unicycive Therapeutics, Inc</t>
  </si>
  <si>
    <t>NCT05692180</t>
  </si>
  <si>
    <t>A Multicentre, Randomised, Double-blind, Parallel Group, Placebo-controlled, Time-to-first Asthma Exacerbation Phase III Efficacy and Safety Study of Benralizumab in Paediatric Patients With Severe Eosinophilic Asthma (DOMINICA)</t>
  </si>
  <si>
    <t>NCT05866055</t>
  </si>
  <si>
    <t>A Phase 1 Dose Escalation Study of VX-973 in Healthy Adults</t>
  </si>
  <si>
    <t>NCT05506943</t>
  </si>
  <si>
    <t>A Study of CTX-009 in Combination With Paclitaxel in Adult Patients With Unresectable Advanced, Metastatic or Recurrent Biliary Tract Cancers (COMPANION-002)</t>
  </si>
  <si>
    <t>NCT05557838</t>
  </si>
  <si>
    <t>Durvalumab Plus Tremelimumab as First-line Treatment in Chinese Patients With uHCC</t>
  </si>
  <si>
    <t>NCT05927415</t>
  </si>
  <si>
    <t>A Study to Test How Kidney Problems Influence the Blood Concentrations of Efgartigimod</t>
  </si>
  <si>
    <t>NCT06296121</t>
  </si>
  <si>
    <t>A Study of the Efficacy and Safety of Monotherapy With BCD-264 and Darzalex in Subjects With Relapsed and Refractory Multiple Myeloma</t>
  </si>
  <si>
    <t>NCT06475404</t>
  </si>
  <si>
    <t>A Study of the Tolerance, Safety, and Pharmacokinetics of GNR-055 in Healthy Volunteers</t>
  </si>
  <si>
    <t>NCT05819684</t>
  </si>
  <si>
    <t>A Study of SHR-4602 in Subjects With Advanced Malignant Solid Tumors</t>
  </si>
  <si>
    <t>NCT01341548</t>
  </si>
  <si>
    <t>Civamide Nasal Solution for Cluster Headache</t>
  </si>
  <si>
    <t>Winston Laboratories</t>
  </si>
  <si>
    <t>NCT06039826</t>
  </si>
  <si>
    <t>A Study of LY3437943 in Postmenopausal Female Participants Who Are Overweight or Obese</t>
  </si>
  <si>
    <t>NCT06100952</t>
  </si>
  <si>
    <t>Epithelium-On Corneal Cross-linking in Subjects 8 to 45 Years of Age With Keratoconus</t>
  </si>
  <si>
    <t>Epion Therapeutics</t>
  </si>
  <si>
    <t>NCT05679258</t>
  </si>
  <si>
    <t>A Study to Compare the PK , Safety, Tolerability, and Immunogenicity of HLX15 With Daratumumab in Male Subjects</t>
  </si>
  <si>
    <t>NCT05815004</t>
  </si>
  <si>
    <t>An Efficacy and Safety Study of AVR-RD-02 Compared to Enzyme Replacement Therapy for Treatment of Gaucher Disease Type 3</t>
  </si>
  <si>
    <t>AVROBIO</t>
  </si>
  <si>
    <t>NCT07080658</t>
  </si>
  <si>
    <t>[14C] Study to Investigate the Mass Balance and Biotransformation of WPV01 in Healthy Adult Chinese Male Participants</t>
  </si>
  <si>
    <t>NCT06145178</t>
  </si>
  <si>
    <t>A Study of Human Cytomegalovirus (HCMV) Vaccine SPYVLP01 With and Without Adjuvants</t>
  </si>
  <si>
    <t>SpyBiotech Limited</t>
  </si>
  <si>
    <t>NCT05912517</t>
  </si>
  <si>
    <t>A Study of Nipocalimab in Pregnancies at Risk for Severe Hemolytic Disease of the Fetus and Newborn (HDFN)</t>
  </si>
  <si>
    <t>NCT05989997</t>
  </si>
  <si>
    <t>Phase I Clinical Trial of 68Ga-NOTA-SNA002</t>
  </si>
  <si>
    <t>NCT05939648</t>
  </si>
  <si>
    <t>A Phase II Clinical Trial to Evaluate the Immunogenicity and Safety of SARS-CoV-2 Bivalent mRNA Vaccine (LVRNA021)</t>
  </si>
  <si>
    <t>NCT06054425</t>
  </si>
  <si>
    <t>A Study to Compare the Bioavailability of Intravenously Infused Risankizumab Manufactured by Two Different Processes in Healthy Adults</t>
  </si>
  <si>
    <t>NCT05982990</t>
  </si>
  <si>
    <t>Bioequivalence Study for Fluticasone Propionate 250 mcg/Salmeterol Xinafoate 50 mcg Inhalation Powder in Healthy Volunteers</t>
  </si>
  <si>
    <t>NCT04252768</t>
  </si>
  <si>
    <t>A Study in Hormone Receptor-positive Metastatic Breast Carcinoma Patients to Test a New Schedule of Efti (IMP321, Eftilagimod Alpha) as Adjunctive to a Weekly Treatment Regimen of Paclitaxel</t>
  </si>
  <si>
    <t>NCT05543174</t>
  </si>
  <si>
    <t>A Study of TAK-625 for the Treatment of Alagille Syndrome (ALGS)</t>
  </si>
  <si>
    <t>NCT06160414</t>
  </si>
  <si>
    <t>A Study to Investigate the Potential Drug Interactions Between ALXN2080 and Rosuvastatin and Metformin in Healthy Adult Participants</t>
  </si>
  <si>
    <t>NCT05831449</t>
  </si>
  <si>
    <t>CPL-01 in the Management of Postoperative Pain After Bunionectomy</t>
  </si>
  <si>
    <t>NCT06007417</t>
  </si>
  <si>
    <t>A Study to Investigate Efficacy and Safety of Weekly PEG-somatropin (GenSci004) in Treatment Naive Children With Growth Hormone Deficiency</t>
  </si>
  <si>
    <t>NCT05893576</t>
  </si>
  <si>
    <t>A Relative Bioavailability Study of HRS9531 in Healthy Subjects</t>
  </si>
  <si>
    <t>NCT05040776</t>
  </si>
  <si>
    <t>COVID-19 ThromboprophylaXIs Study of Novel FXIa Inhibitor Frunexian (EP-7041) in ICU Patients</t>
  </si>
  <si>
    <t>eXIthera Pharmaceuticals</t>
  </si>
  <si>
    <t>NCT05749848</t>
  </si>
  <si>
    <t>A Study of Carbon-14-Labelled [14C] LY3372689 in Healthy Male Participants</t>
  </si>
  <si>
    <t>NCT06643078</t>
  </si>
  <si>
    <t>A Study to Evaluate the Safety and Efficacy of HL231 Solution for Inhalation in Patients With COPD</t>
  </si>
  <si>
    <t>NCT05981040</t>
  </si>
  <si>
    <t>Efficacy, Safety, Tolerability, Pharmacokinetics, and Pharmacodynamics of ZYIL1 in Patients With Amyotrophic Lateral Sclerosis</t>
  </si>
  <si>
    <t>NCT05743010</t>
  </si>
  <si>
    <t>A Phase 1b Study to Evaluate APL-1401 in Patients With Moderately to Severely Active Ulcerative Colitis</t>
  </si>
  <si>
    <t>NCT05755113</t>
  </si>
  <si>
    <t>A Clinical Study to Investigate the Efficacy of Intratumoral Tigilanol Tiglate in Soft Tissue Sarcoma</t>
  </si>
  <si>
    <t>NCT06792435</t>
  </si>
  <si>
    <t>XNW27011 Study of Advanced Solid Tumor Subjects Who Failed Standard Therapies.</t>
  </si>
  <si>
    <t>NCT05341115</t>
  </si>
  <si>
    <t>A Study of Leuprolide Acetate Depot in Children With Central Precocious Puberty</t>
  </si>
  <si>
    <t>NCT05803018</t>
  </si>
  <si>
    <t>A Study of BL-B01D1 in Patients With Multiple Solid Tumors, Including Recurrent or Metastatic Gynecological Malignancies</t>
  </si>
  <si>
    <t>NCT06185543</t>
  </si>
  <si>
    <t>A Phase 2, Randomized, Prospective Double-Blind, Single-Center, Placebo-controlled Study to Evaluate Safety, Tolerability, Target Engagement, and Efficacy of PrimeC in Patients With Mild to Moderate Alzheimer's Disease.</t>
  </si>
  <si>
    <t>NCT05953740</t>
  </si>
  <si>
    <t>A Study of MK-5720 in Participants With Schizophrenia (MK-5720-001)</t>
  </si>
  <si>
    <t>NCT05884255</t>
  </si>
  <si>
    <t>An Open-label Phase 3 Study of Lutetium (177Lu) Oxodotreotide Injection in Subjects With Advanced Gastrointestinal Pancreatic Neuroendocrine Tumors.</t>
  </si>
  <si>
    <t>NCT05727176</t>
  </si>
  <si>
    <t>Study of Futibatinib in Patients With Advanced Cholangiocarcinoma With FGFR2 Fusion or Rearrangement</t>
  </si>
  <si>
    <t>NCT06012708</t>
  </si>
  <si>
    <t>Phase 1 Study to Evaluate the Safety, Tolerability, and Pharmacokinetics of KN510, KN713</t>
  </si>
  <si>
    <t>New Cancer Cure-Bio Co.,Ltd.</t>
  </si>
  <si>
    <t>NCT05935176</t>
  </si>
  <si>
    <t>Phase IV Clinical Study of Immunogenicity of ACYW135 Group Meningococcal Polysaccharide Conjugate Vaccine (CRM197 Vector)</t>
  </si>
  <si>
    <t>NCT05948813</t>
  </si>
  <si>
    <t>TY-9591 in the Patients With EGFR Mutations in Advanced NSCLC With Brain Metastases</t>
  </si>
  <si>
    <t>NCT05691959</t>
  </si>
  <si>
    <t>Pre-diltiazem, Calcium Versus Placebo for Atrial Fibrillation With Rapid Ventricular Response</t>
  </si>
  <si>
    <t>NCT05934110</t>
  </si>
  <si>
    <t>Study Exploring the Supportive Effect of Acarbose in Weight Management</t>
  </si>
  <si>
    <t>NCT06081959</t>
  </si>
  <si>
    <t>Study of SKB264 for Locally Advanced, Recurrent or Metastatic HR+/HER2- Breast Cancer</t>
  </si>
  <si>
    <t>NCT05818085</t>
  </si>
  <si>
    <t>Phase 2b/3 Study to Assess ABP-671 a Novel URAT1 Inhibitor in Participants With Gout</t>
  </si>
  <si>
    <t>NCT05942625</t>
  </si>
  <si>
    <t>A First in Human Study to Evaluate Safety, Tolerability, Pharmacology of HS-10390 in Healthy Subjects</t>
  </si>
  <si>
    <t>NCT05964413</t>
  </si>
  <si>
    <t>Phase III Trial to Investigate Efficacy and Safety of Vilobelimab in Ulcerative Pyoderma Gangrenosum</t>
  </si>
  <si>
    <t>NCT05785624</t>
  </si>
  <si>
    <t>A Study Evaluating the Efficacy and Safety of Vixarelimab in Participants With Idiopathic Pulmonary Fibrosis and in Participants With Systemic Sclerosis-Associated Interstitial Lung Disease</t>
  </si>
  <si>
    <t>NCT05715125</t>
  </si>
  <si>
    <t>VTX958 Versus Placebo for the Treatment of Active Psoriatic Arthritis (Tranquility-PsA)</t>
  </si>
  <si>
    <t>NCT06037590</t>
  </si>
  <si>
    <t>A Pilot Comparative Bioavailability Study of Levodopa Administered Via Levodopa Cyclops® Relative to INBRIJA®</t>
  </si>
  <si>
    <t>PureIMS B.V.</t>
  </si>
  <si>
    <t>NCT06091943</t>
  </si>
  <si>
    <t>Study to Evaluate the Bioavailability of Tislelizumab Via Subcutaneous Injection in First-Line Treatment of Participants With Advanced or Metastatic Non-Small Cell Lung Cancer</t>
  </si>
  <si>
    <t>NCT06184035</t>
  </si>
  <si>
    <t>A Dose Escalation and Expansion Study of [177Lu]Lu-SN201 in Participants With Advanced Cancer</t>
  </si>
  <si>
    <t>NCT05421325</t>
  </si>
  <si>
    <t>Efficacy of QBKPN Site-Specific Immunomodulator in Improving Innate Immune Function &amp; Reducing Respiratory Tract Infection in Older Adults</t>
  </si>
  <si>
    <t>Qu Biologics Inc.</t>
  </si>
  <si>
    <t>NCT06170840</t>
  </si>
  <si>
    <t>A Study of QY101 Ointment in Subjects With Plaque Psoriasis</t>
  </si>
  <si>
    <t>NCT06049810</t>
  </si>
  <si>
    <t>IBI112 in Moderate to Severe Plaque Psoriasis With Randomized Withdrawal and Re-treatment</t>
  </si>
  <si>
    <t>NCT07464340</t>
  </si>
  <si>
    <t>Rivastigmine Transdermal Patches Bioequivalence and Adhesion Assessment</t>
  </si>
  <si>
    <t>Zodiac Produtos Farmaceuticos S.A.</t>
  </si>
  <si>
    <t>NCT06054217</t>
  </si>
  <si>
    <t>Effect of an Exploratory Vehicle on Meibomian Gland Dysfunction in Patients With Demodex</t>
  </si>
  <si>
    <t>NCT05642468</t>
  </si>
  <si>
    <t>Safety and Tolerability of A3907 in Primary Sclerosing Cholangitis</t>
  </si>
  <si>
    <t>NCT05532020</t>
  </si>
  <si>
    <t>An Open-Label Study of Diazoxide Choline in Patients With Genetic Obesities</t>
  </si>
  <si>
    <t>NCT05881213</t>
  </si>
  <si>
    <t>Clinical Trial to Investigate the Pharmacokinetics and Safety After Oral Administration of CKD-378 and Co-administration of D745, D150, D029 in Healthy Adults</t>
  </si>
  <si>
    <t>NCT06091020</t>
  </si>
  <si>
    <t>A Clinical Trial to Investigate Efficacy and Safety of NT 201 Injections Compared With Placebo Injections in Participants Aged 18 Years and Older With Chronic Nerve Pain After Shingles or Nerve Injury</t>
  </si>
  <si>
    <t>Merz Therapeutics GmbH</t>
  </si>
  <si>
    <t>NCT06254482</t>
  </si>
  <si>
    <t>An Extension Study to Evaluate the Long-Term Safety and Efficacy of Votoplam in Participants With Huntington's Disease (HD)</t>
  </si>
  <si>
    <t>NCT05851261</t>
  </si>
  <si>
    <t>Study to Evaluate the Safety, Tolerance, Pharmacokinetics Characteristics of PA3670 Tablets in Chinese Healthy Subjects</t>
  </si>
  <si>
    <t>NCT06231550</t>
  </si>
  <si>
    <t>A Study of Axl Inhibitor FC084CSA in Patients With Advanced Malignant Solid Tumors</t>
  </si>
  <si>
    <t>FindCure Biosciences (ZhongShan) Co., Ltd.</t>
  </si>
  <si>
    <t>NCT05680480</t>
  </si>
  <si>
    <t>A Study of Telitacicept in Lupus Nephritis</t>
  </si>
  <si>
    <t>NCT05912296</t>
  </si>
  <si>
    <t>A Single and Multiple Ascending Doses Study to Evaluate the Safety, Tolerability and Pharmacokinetics of RBD7022</t>
  </si>
  <si>
    <t>NCT06151288</t>
  </si>
  <si>
    <t>Safety, Tolerability, and Immunogenicity Study of a 31-Valent Pneumococcal Conjugate Vaccine (VAX-31) in Adults</t>
  </si>
  <si>
    <t>NCT05918250</t>
  </si>
  <si>
    <t>mRNA-2736 for Participants With Relapsed or Refractory Multiple Myeloma (RRMM)</t>
  </si>
  <si>
    <t>NCT05797623</t>
  </si>
  <si>
    <t>Safety and Effectiveness of Trappa Ethanolamine Tablets Combined With Ciclosporin in the Treatment of Primary Treatment of Non-severe Aplastic Anemia</t>
  </si>
  <si>
    <t>NCT06057610</t>
  </si>
  <si>
    <t>A Phase III Study of SHR-A1811 Injection With or Without Pertuzumab in HER2-Positive Recurrent or Metastatic Breast Cancer</t>
  </si>
  <si>
    <t>NCT05737082</t>
  </si>
  <si>
    <t>A Study to Evaluate the Pharmacokinetics and Safety Between HCP2201 and Co-administration of Each Component in Healty Male Volunteers</t>
  </si>
  <si>
    <t>NCT05230459</t>
  </si>
  <si>
    <t>A Study to Evaluate the Safety of AB-1003 (Previously LION-101) in Subjects With Genetic Confirmation of LGMD2I/R9 (Part1)</t>
  </si>
  <si>
    <t>NCT05966090</t>
  </si>
  <si>
    <t>A Study on Safety and Immune Response of Investigational RSV OA Vaccine in Combination With Herpes Zoster Vaccine in Healthy Adults</t>
  </si>
  <si>
    <t>NCT05645627</t>
  </si>
  <si>
    <t>A Study to Evaluate IBI112 in the Treatment of Psoriasis With Moderate to Severe Plaque Psoriasis</t>
  </si>
  <si>
    <t>NCT06798727</t>
  </si>
  <si>
    <t>Evaluation Safety and Explore Efficacy Long-term Follow-up Study on Subjects Receiving SMUP-IA-01 or Active Control</t>
  </si>
  <si>
    <t>NCT05372783</t>
  </si>
  <si>
    <t>Study to Evaluate the Efficacy of IN STI-9199 in Treating Symptomatic COVID-19 in Outpatient Adults and Adolescents</t>
  </si>
  <si>
    <t>NCT06039579</t>
  </si>
  <si>
    <t>Proof of Concept Treatment Study of Orally Administered VH4004280 or VH4011499 in HIV-1 Infected Adults</t>
  </si>
  <si>
    <t>NCT05932446</t>
  </si>
  <si>
    <t>A Study to Compare Two Formulations of LY3819469 in Healthy Participants</t>
  </si>
  <si>
    <t>NCT05977322</t>
  </si>
  <si>
    <t>A Phase I Study of [177Lu]Lu-FF58 in Patients With Advanced Solid Tumors.</t>
  </si>
  <si>
    <t>NCT05956002</t>
  </si>
  <si>
    <t>A Study to Evaluate the Study Medication (Etrasimod) When Mixed With Food in Healthy Participants</t>
  </si>
  <si>
    <t>NCT06024239</t>
  </si>
  <si>
    <t>A Study to Evaluate the Pharmacokinetics, Safety, and Tolerability of ABBV-932 in Healthy Adult Participants, Participants With Generalized Anxiety Disorder (GAD) and Participants With Bipolar Disorder (BPD)</t>
  </si>
  <si>
    <t>NCT06029439</t>
  </si>
  <si>
    <t>Study to Assess the Safety and Effectiveness of NMRA-335140-501</t>
  </si>
  <si>
    <t>NCT05829629</t>
  </si>
  <si>
    <t>Phase 1 Dose-escalation Study of FluBHPVE6E7 in HPV16-infected Women</t>
  </si>
  <si>
    <t>NCT07447141</t>
  </si>
  <si>
    <t>DBM-1152A Inhalation Solution in Chinese Healthy Subjects</t>
  </si>
  <si>
    <t>Joincare Pharmaceutical Group Industry Co., Ltd</t>
  </si>
  <si>
    <t>NCT05671822</t>
  </si>
  <si>
    <t>Ph1b/2 Study of the Safety and Efficacy of SHR-A1811 Combinations in Advanced HER2 Expression Gastric Cancer</t>
  </si>
  <si>
    <t>NCT06707753</t>
  </si>
  <si>
    <t>Safety and Tolerability of AL-001 Ophthalmic Injection in Subjects with WAMD</t>
  </si>
  <si>
    <t>Beijing Anlong Biopharmaceutical Co., Ltd.</t>
  </si>
  <si>
    <t>NCT05592275</t>
  </si>
  <si>
    <t>A Study of LY3540378 in Participants With Worsening Chronic Heart Failure With Preserved Ejection Fraction (HFpEF)</t>
  </si>
  <si>
    <t>NCT05757856</t>
  </si>
  <si>
    <t>A Study to Investigate Safety and Tolerability of NDX-3315 and NDX-3324 in Healthy Participants and Patients With Eosinophilic Esophagitis</t>
  </si>
  <si>
    <t>NexEos Diagnostics, Inc.</t>
  </si>
  <si>
    <t>NCT06187402</t>
  </si>
  <si>
    <t>A Study of LM-24C5 For Advanced Solid Tumors</t>
  </si>
  <si>
    <t>NCT05814757</t>
  </si>
  <si>
    <t>OTX-DED for the Short-term Treatment of the Symptoms of Dry Eye Disease (DED)</t>
  </si>
  <si>
    <t>NCT05891119</t>
  </si>
  <si>
    <t>Study to Investigate the Effect of Rocatinlimab (AMG 451) on the Pharmacokinetics of Multiple Cytochrome P450 (CYP450) Substrates in Participants With Moderate to Severe Atopic Dermatitis</t>
  </si>
  <si>
    <t>NCT07254728</t>
  </si>
  <si>
    <t>A Study to Evaluate Vaxart's Oral Bivalent GI.1/GII.4 Norovirus Vaccine in Healthy Lactating Females and Their Nursing Infants</t>
  </si>
  <si>
    <t>NCT05747794</t>
  </si>
  <si>
    <t>Study in Metastatic Breast Cancer Patients Receiving Eftilagimod Alpha or Placebo in Combination with Paclitaxel Chemotherapy</t>
  </si>
  <si>
    <t>NCT06057922</t>
  </si>
  <si>
    <t>A Study YL201 in Patients With Selected Advanced Solid Tumors</t>
  </si>
  <si>
    <t>NCT05948475</t>
  </si>
  <si>
    <t>Study of Tinengotinib VS. Physician's Choice a Treatment of Subjects With FGFR-altered in Cholangiocarcinoma</t>
  </si>
  <si>
    <t>NCT05953012</t>
  </si>
  <si>
    <t>Study to Assess Safety and Tolerability of PMC-403 in Subjects With Neovascular Age-related Macular Degeneration</t>
  </si>
  <si>
    <t>NCT05126719</t>
  </si>
  <si>
    <t>A Study to Evaluate the Efficacy and Safety of MRG003 in Patients With Recurrent Metastatic Nasopharyngeal Carcinoma</t>
  </si>
  <si>
    <t>NCT06514807</t>
  </si>
  <si>
    <t>A Study to Evaluate the Efficacy and Safety of Ropeginterferon Alfa-2b in Essential Thrombocythaemia Patients</t>
  </si>
  <si>
    <t>NCT05978492</t>
  </si>
  <si>
    <t>A Study of TXN10128 in Subjects With Solid Tumors</t>
  </si>
  <si>
    <t>Txinno Bioscience Inc.</t>
  </si>
  <si>
    <t>NCT05632939</t>
  </si>
  <si>
    <t>ASKB589 in Combination With CAPOX and PD-1 Inhibitors in Patients With Advanced, and Unresectable G/GEJ Cancer.</t>
  </si>
  <si>
    <t>NCT05833139</t>
  </si>
  <si>
    <t>A Study in Healthy Men to Test How Itraconazole Influences the Amount of Zongertinib (BI 1810631) in the Blood</t>
  </si>
  <si>
    <t>NCT06057012</t>
  </si>
  <si>
    <t>A Study of BRII-296 in Adults With Severe Postpartum Depression (PPD)</t>
  </si>
  <si>
    <t>NCT05932212</t>
  </si>
  <si>
    <t>AK104 for Recurrent or Metastatic Vulvar Cancer</t>
  </si>
  <si>
    <t>NCT06049212</t>
  </si>
  <si>
    <t>Sacituzumab Tirumotecan (MK-2870) as Monotherapy and in Combination With Pembrolizumab in Participants With Advanced Solid Tumors (MK-2870-008)</t>
  </si>
  <si>
    <t>NCT05319730</t>
  </si>
  <si>
    <t>A Study to Evaluate Investigational Agents With or Without Pembrolizumab (MK-3475) in Participants With Advanced Esophageal Cancer Previously Exposed to Programmed Cell Death 1 Protein (PD-1)/ Programmed Cell Death Ligand 1 (PD-L1) Treatment (MK-3475-06B)</t>
  </si>
  <si>
    <t>NCT02153541</t>
  </si>
  <si>
    <t>Assessing the Efficacy of CREWS01 to Decrease Usage of Rescue Inhalers in Moderate to Severe Asthmatic Adults</t>
  </si>
  <si>
    <t>Global United Pharmaceutical Corporation</t>
  </si>
  <si>
    <t>NCT06071975</t>
  </si>
  <si>
    <t>Long Term Efficacy and Tolerability of AP707 in Patients With Chronic Pain Due to Diabetic Polyneuropathy</t>
  </si>
  <si>
    <t>NCT06047457</t>
  </si>
  <si>
    <t>A Study to Evaluate the Effectiveness and Safety of Dysport® for the Prevention of Episodic Migraine in Adults</t>
  </si>
  <si>
    <t>NCT05898672</t>
  </si>
  <si>
    <t>A Study to Learn About the Study Medicine Called Nirmatrelvir/Ritonavir in People Who Are Healthy Volunteers Co-administered the Medicine Rosuvastatin</t>
  </si>
  <si>
    <t>NCT05587712</t>
  </si>
  <si>
    <t>Study to Evaluate Sotatercept (MK-7962) in Children With Pulmonary Arterial Hypertension (PAH) (MK-7962-008)</t>
  </si>
  <si>
    <t>NCT06665230</t>
  </si>
  <si>
    <t>A Clinical Study of MK-6552 and Modafinil in Healthy Men (MK-6552-005)</t>
  </si>
  <si>
    <t>NCT05846867</t>
  </si>
  <si>
    <t>A Phase Ib/II Clinical Study on AK112 Combined or Not Combined With AK119 in pMMR/MSS Colorectal Cancer</t>
  </si>
  <si>
    <t>NCT05887492</t>
  </si>
  <si>
    <t>Study of TNG260 and an Anti-PD Antibody in STK11 Mutated Solid Tumors</t>
  </si>
  <si>
    <t>NCT06041919</t>
  </si>
  <si>
    <t>Evaluating the Early Bactericidal Activity, Safety and Tolerability of Nebulised RESP301 in Adults With Tuberculosis</t>
  </si>
  <si>
    <t>NCT05665595</t>
  </si>
  <si>
    <t>A Study of Adjuvant Pembrolizumab/Vibostolimab (MK-7684A) Versus Pembrolizumab for Resected High-Risk Melanoma in Participants With High-Risk Stage II-IV Melanoma (MK-7684A-010/KEYVIBE-010)</t>
  </si>
  <si>
    <t>NCT07508501</t>
  </si>
  <si>
    <t>Food-effect Study of Ammoxetine Hydrochloride Enteric-coated Tablets</t>
  </si>
  <si>
    <t>NCT05879367</t>
  </si>
  <si>
    <t>Evaluation of Eflornithine Plus Temozolomide in Patients With Newly Diagnosed Glioblastoma or Astrocytoma</t>
  </si>
  <si>
    <t>Orbus Therapeutics, Inc.</t>
  </si>
  <si>
    <t>NCT05696847</t>
  </si>
  <si>
    <t>A Study of Tirzepatide (LY3298176) in Pediatric Participants With Obesity</t>
  </si>
  <si>
    <t>NCT06194825</t>
  </si>
  <si>
    <t>EPIC-ATTR: A Study to Evaluate the Effect of Eplontersen on the Transthyretin Reduction and Long-term Safety in Chinese Subjects With Transthyretin Amyloid Cardiomyopathy</t>
  </si>
  <si>
    <t>NCT06064006</t>
  </si>
  <si>
    <t>A Research Study to See How a New Medicine (NNC0487-0111) Works in People With Overweight or Obesity When Injected Under the Skin</t>
  </si>
  <si>
    <t>NCT06039384</t>
  </si>
  <si>
    <t>A Study of INCB099280 in Combination With Adagrasib in Adults With Advanced Solid Tumors Harboring a KRASG12C Mutation</t>
  </si>
  <si>
    <t>NCT05823948</t>
  </si>
  <si>
    <t>A Study Using Flash Glucose Measurements for a New Once-weekly Insulin (Insulin Icodec) in People With Type 2 Diabetes Who Have Not Used Insulin Before (ONWARDS 9)</t>
  </si>
  <si>
    <t>NCT06337643</t>
  </si>
  <si>
    <t>A Study to Evaluate Tolerability, Safety and Immunogenicity of MVX01 Pneumococcal Vaccine</t>
  </si>
  <si>
    <t>Matrivax Research and Development Corporation</t>
  </si>
  <si>
    <t>NCT06148389</t>
  </si>
  <si>
    <t>The Safety and Tolerability of STSA-1301 Subcutaneous Injection in Healthy Subjects</t>
  </si>
  <si>
    <t>NCT06036784</t>
  </si>
  <si>
    <t>Safety, Tolerability, Pharmacokinetic and Pharmacodynamic Study of MBX 1416 in Healthy Subjects</t>
  </si>
  <si>
    <t>NCT05583552</t>
  </si>
  <si>
    <t>Study to Evaluate Imetelstat in Patients With High-Risk MDS or AML Failing HMA-based Therapy</t>
  </si>
  <si>
    <t>GCP-Service International West GmbH</t>
  </si>
  <si>
    <t>NCT05789576</t>
  </si>
  <si>
    <t>A Study to Investigate Efficacy and Safety of VTAMA® (Tapinarof) Cream, 1% in Plaque Psoriasis in the Head and Neck Region</t>
  </si>
  <si>
    <t>NCT05868876</t>
  </si>
  <si>
    <t>A Phase Ia/Ib Open Label，Clinical Study Evaluating the Safety, Tolerability and Preliminary Efficacy of AK127 in Combination With AK104 in Patients With Advanced Malignant Tumors</t>
  </si>
  <si>
    <t>NCT05668858</t>
  </si>
  <si>
    <t>A Study of SI-B001+SI-B003± Chemotherapy in Patients With Locally Advanced or Metastatic Head and Neck Squamous Cell Carcinoma</t>
  </si>
  <si>
    <t>NCT05983198</t>
  </si>
  <si>
    <t>Phase I/II Study of [225Ac]Ac-PSMA-R2 in PSMA-positive Prostate Cancer, With/Without Prior 177Lu-PSMA RLT</t>
  </si>
  <si>
    <t>NCT05680415</t>
  </si>
  <si>
    <t>Clinical Trial of Mica</t>
  </si>
  <si>
    <t>NCT05896384</t>
  </si>
  <si>
    <t>A Study in Women With Overweight or Obesity to Test Whether Different Doses of BI 456906 Influence the Amount of a Contraceptive in the Blood</t>
  </si>
  <si>
    <t>NCT05875948</t>
  </si>
  <si>
    <t>Study to Evaluate R2R01 Plus Terlipressin Versus Terlipressin Alone in Patients With Hepatorenal Syndrome</t>
  </si>
  <si>
    <t>River 2 Renal Corp.</t>
  </si>
  <si>
    <t>NCT06131840</t>
  </si>
  <si>
    <t>A Study of SGN-CEACAM5C in Adults With Advanced Solid Tumors</t>
  </si>
  <si>
    <t>NCT06081621</t>
  </si>
  <si>
    <t>A Clinical Study to Evaluate the Efficacy and Safety of REGEND001 Cell Therapy on Idiopathic Pulmonary Fibrosis (IPF)</t>
  </si>
  <si>
    <t>NCT04060316</t>
  </si>
  <si>
    <t>GLS-1200 Topical Nasal Spray to Prevent Sinusitis After Endoscopic Sinus Surgery</t>
  </si>
  <si>
    <t>NCT06025552</t>
  </si>
  <si>
    <t>Study of TU7710 in Warfarin Anti-coagulated Healthy Male Subjects</t>
  </si>
  <si>
    <t>NCT05985915</t>
  </si>
  <si>
    <t>A Randomized, Double-blind 2-arm, Followed by an Open-label 1-arm, NEPTUNUS Extension Study to Assess the Long-term Safety and Efficacy of Ianalumab in Patients With Sjogrens Syndrome.</t>
  </si>
  <si>
    <t>NCT05741021</t>
  </si>
  <si>
    <t>A Phase II Study of Rulonilimab Combined With Chemotherapy in the First-Line Treatment for Advanced or Metastatic Non-Small Cell Lung Cancer (NSCLC)</t>
  </si>
  <si>
    <t>NCT06038578</t>
  </si>
  <si>
    <t>A Study of TRK-950 When Used in Combination With Ramucirumab and Paclitaxel in Patients With Gastric Cancer</t>
  </si>
  <si>
    <t>NCT05755386</t>
  </si>
  <si>
    <t>Study of Efficacy and Safety of Iptacopan in Participants With IC-MPGN</t>
  </si>
  <si>
    <t>NCT05872269</t>
  </si>
  <si>
    <t>A Study to Evaluate the Safety and Effectiveness of Saroglitazar 4 mg in Patients With NAFLD With Comorbidities</t>
  </si>
  <si>
    <t>NCT05987605</t>
  </si>
  <si>
    <t>Phase I/II Clinical Study of 1A46 Drug Substance</t>
  </si>
  <si>
    <t>NCT05850494</t>
  </si>
  <si>
    <t>Study to Assess Bronchospasm Potentially Induced by Next-Generation Propellant vs HFA Propellant in an MDI in Participants With Well/Partially Controlled Asthma</t>
  </si>
  <si>
    <t>NCT05865002</t>
  </si>
  <si>
    <t>A Study Evaluating the Safety and Efficacy of AUR107 in Patients With Relapsed Advanced Malignancies (SHAKTI-1)</t>
  </si>
  <si>
    <t>NCT05908695</t>
  </si>
  <si>
    <t>An Efficacy and Safety Study of Sodium Oligomannate (GV-971) for the Treatment of Alzheimer's Disease</t>
  </si>
  <si>
    <t>NCT06276283</t>
  </si>
  <si>
    <t>DZD9008 In Combination With Bevacizumab in Locally Advanced or Metastatic NSCLC Patients With EGFR Mutation (WU-KONG29)</t>
  </si>
  <si>
    <t>NCT05674656</t>
  </si>
  <si>
    <t>Pharmacokinetics, Safety, Tolerability of Dolutegravir/Rilpivirine in Pediatrics</t>
  </si>
  <si>
    <t>NCT05682495</t>
  </si>
  <si>
    <t>A HR20031 BE Study on Healthy Subjects</t>
  </si>
  <si>
    <t>NCT05436639</t>
  </si>
  <si>
    <t>SPI-62 as a Treatment for Hypercortisolism Related to a Benign Adrenal Tumor</t>
  </si>
  <si>
    <t>NCT05607173</t>
  </si>
  <si>
    <t>A Pharmacokinetic and Tolerability Study of Fexinidazole in a Single Oral Dose in Adult Participants With Mild and Moderate Hepatic Impairment</t>
  </si>
  <si>
    <t>NCT05975645</t>
  </si>
  <si>
    <t>A Clinical Study of TQB2618 Injection Combined With Penpulimab Injection and Anlotinib Hydrochloride Capsules for First-line Treatment of Advanced Hepatocellular Carcinoma (HCC).</t>
  </si>
  <si>
    <t>NCT06160895</t>
  </si>
  <si>
    <t>A Clinical Trial of TQ-A3334 Tablet After Multiple Administration in Adult Subjects</t>
  </si>
  <si>
    <t>NCT06041061</t>
  </si>
  <si>
    <t>A Study to Evaluate the Efficacy, Safety, and Immunogenicity of SCT1000 in Healthy Women Aged 18-45 Years</t>
  </si>
  <si>
    <t>NCT05712694</t>
  </si>
  <si>
    <t>Study of ADI-PEG 20 or Placebo Plus Gem and Doc in Previously Treated Subjects With Leiomyosarcoma (ARGSARC)</t>
  </si>
  <si>
    <t>NCT06621043</t>
  </si>
  <si>
    <t>Assessing the Safety and Efficacy of Full-Spectrum Medicinal Cannabis Plant Extract 0.08% THC (NTI164) in the Treatment of Rett Syndrome (RTT)</t>
  </si>
  <si>
    <t>NCT06235229</t>
  </si>
  <si>
    <t>A Study of GC012F in Patients With Relapsed/Refractory Multiple Myeloma</t>
  </si>
  <si>
    <t>Gracell Biotechnologies (Shanghai) Co., Ltd.</t>
  </si>
  <si>
    <t>NCT05893537</t>
  </si>
  <si>
    <t>Study to Evaluate the Efficacy and Safety of Oral CT1812 in Participants With Geographic Atrophy (GA) Secondary to Dry Age-Related Macular Degeneration (AMD).</t>
  </si>
  <si>
    <t>NCT05690581</t>
  </si>
  <si>
    <t>Safety, Tolerability, Pharmacokinetic Characteristics, and Efficacy of CM369 in Advanced Solid Tumors &amp; Hematologic Malignancies</t>
  </si>
  <si>
    <t>NCT05652894</t>
  </si>
  <si>
    <t>A Study of HX008 Compared to Chemotherapy in the First-Line Treatment of Subjects With MSI-H/dMMR Metastatic Colorectal Cancer</t>
  </si>
  <si>
    <t>NCT05747430</t>
  </si>
  <si>
    <t>SteRilizing Eye SoLution to ImprovE Patient ComFort (RELIEF)</t>
  </si>
  <si>
    <t>NCT05813795</t>
  </si>
  <si>
    <t>A Phase 3 Study to Evaluate the Efficacy of XW003 in Adults With Overweight or Obesity</t>
  </si>
  <si>
    <t>NCT06032195</t>
  </si>
  <si>
    <t>Study of Organ Perfusion in Heart Transplantation in Children</t>
  </si>
  <si>
    <t>Dr. F. Köhler Chemie GmbH</t>
  </si>
  <si>
    <t>NCT05774639</t>
  </si>
  <si>
    <t>Study to Compare Efficacy Safety and Immunogenicity of ADL-018 With XOLAIR (Omalizumab) in Adults With Chronic Idiopathic Urticaria</t>
  </si>
  <si>
    <t>NCT05384119</t>
  </si>
  <si>
    <t>Phase 1b/2 Study of TTI-101 in Combination for Patients With Metastatic Hormone Receptor-Positive and HER2-Negative Breast Cancer</t>
  </si>
  <si>
    <t>NCT06014853</t>
  </si>
  <si>
    <t>A Study to Evaluate Safety, Tolerability, and Pharmacokinetics of SOL-804 in Healthy Male Subjects</t>
  </si>
  <si>
    <t>NCT05394519</t>
  </si>
  <si>
    <t>A Research Study to See How Well CagriSema Helps People With Type 2 Diabetes and Excess Body Weight Lose Weight</t>
  </si>
  <si>
    <t>NCT05539430</t>
  </si>
  <si>
    <t>Claudin 18.2-Targeted Chimeric Antigen Receptor T-cells in Subjects With Unresectable, Locally Advanced, or Metastatic Gastric, Gastroesophageal Junction (GEJ), Esophageal, or Pancreatic Adenocarcinoma</t>
  </si>
  <si>
    <t>NCT06063330</t>
  </si>
  <si>
    <t>Clinical Trial to Evaluate the Safety of RQ-01 in SARS-CoV-2 Positive Subjects</t>
  </si>
  <si>
    <t>Red Queen Therapeutics, Inc.</t>
  </si>
  <si>
    <t>NCT06105151</t>
  </si>
  <si>
    <t>Study of the Safety, Tolerability, Pharmacokinetics and Food Effects of VV119 Capsules in Chinese Healthy Volunteers</t>
  </si>
  <si>
    <t>NCT06005428</t>
  </si>
  <si>
    <t>Effectiveness of CRD-4730 in Participants With Catecholaminergic Polymorphic Ventricular Tachycardia (CPVT)</t>
  </si>
  <si>
    <t>NCT05122975</t>
  </si>
  <si>
    <t>Treatment of an Inherited Ventricular Arrhythmia</t>
  </si>
  <si>
    <t>NCT06108479</t>
  </si>
  <si>
    <t>Study of DF6215 in Patients With Advanced Solid Tumors</t>
  </si>
  <si>
    <t>NCT05350501</t>
  </si>
  <si>
    <t>EO2040 in Combination With Nivolumab, for Treatment of Patients With Minimal Residual Disease of Colorectal Cancer</t>
  </si>
  <si>
    <t>NCT06004180</t>
  </si>
  <si>
    <t>A Trial Investigating Lu AF28996 in Adult Japanese Participants With Parkinson's Disease (PD)</t>
  </si>
  <si>
    <t>NCT05650879</t>
  </si>
  <si>
    <t>ELVN-002 in HER2 Mutant Non-Small Cell Lung Cancer</t>
  </si>
  <si>
    <t>NCT06162286</t>
  </si>
  <si>
    <t>A Phase 3b Randomized, Double-blind, Multi-center Study to Compare the Safety and Efficacy of Omadacycline to Moxifloxacin for Treating Adult Subjects With CABP</t>
  </si>
  <si>
    <t>Zai Lab (Hong Kong), Ltd.</t>
  </si>
  <si>
    <t>NCT06120842</t>
  </si>
  <si>
    <t>Evaluation of the Bimatoprost Implant System Used in Combination With the SpyGlass Intraocular Lens Compared to Timolol Ophthalmic Solution</t>
  </si>
  <si>
    <t>SpyGlass Pharma, Inc.</t>
  </si>
  <si>
    <t>NCT06744686</t>
  </si>
  <si>
    <t>Phase 1 Study of HT-102 Administered Subcustaneously in Healthy Participants and Patients with Chronic Hepatitis B for Safety, Tolerability, Pharmacokinetics (PK), and Antiviral Activity (only in Participants with Chronic HBV Infection)</t>
  </si>
  <si>
    <t>NCT05938946</t>
  </si>
  <si>
    <t>Safety, Tolerability and Pharmacokinetics of L608 in Healthy Adults</t>
  </si>
  <si>
    <t>Pharmosa Biopharm Inc.</t>
  </si>
  <si>
    <t>NCT06074588</t>
  </si>
  <si>
    <t>Sacituzumab Tirumotecan (MK-2870) Versus Chemotherapy in Previously Treated Advanced or Metastatic Nonsquamous Non-small Cell Lung Cancer (NSCLC) With EGFR Mutations or Other Genomic Alterations (MK-2870-004)</t>
  </si>
  <si>
    <t>NCT05926583</t>
  </si>
  <si>
    <t>A Study of AAV5-hRKp.RPGR for the Treatment of Japanese Participants With X-linked Retinitis Pigmentosa</t>
  </si>
  <si>
    <t>NCT06201559</t>
  </si>
  <si>
    <t>Bioequivalence Study Between Two Albendazole 400 mg Tablets in Healthy Adult Participants Under Fed Conditions</t>
  </si>
  <si>
    <t>NCT06179446</t>
  </si>
  <si>
    <t>A Study to Learn How Safe, Tolerable and Capable of Producing an Immune Response is, a Modified RNA Vaccine Against Pandemic Influenza</t>
  </si>
  <si>
    <t>NCT06066203</t>
  </si>
  <si>
    <t>A Study of GNC-035 in Relapsed or Refractory Non-Hodgkin 's Lymphoma and Other Hematological Malignancies</t>
  </si>
  <si>
    <t>NCT05690386</t>
  </si>
  <si>
    <t>A Trial to Investigate Different Doses of Lonapegsomatropin Compared to Somatropin in Individuals With Turner Syndrome</t>
  </si>
  <si>
    <t>NCT05864846</t>
  </si>
  <si>
    <t>A Study to Investigate Behavioral and Other Co-Occurring Outcomes With Epidiolex as Add-On Therapy in Participants Aged 1 to 65 Years of Age With Tuberous Sclerosis Complex</t>
  </si>
  <si>
    <t>NCT05735483</t>
  </si>
  <si>
    <t>A Study to Assess the Long-Term Safety and Efficacy of Lebrikizumab (LY3650150) in Participants 6 Months to &lt;18 Years of Age With Moderate-to-Severe Atopic Dermatitis</t>
  </si>
  <si>
    <t>NCT05766813</t>
  </si>
  <si>
    <t>Lenrispodun as Adjunctive Therapy in the Treatment of Patients With Motor Fluctuations Due to Parkinson's Disease</t>
  </si>
  <si>
    <t>NCT05687682</t>
  </si>
  <si>
    <t>Safety of AM-928 Infusion in Advanced Solid Tumors</t>
  </si>
  <si>
    <t>AcadeMab Biomedical Inc.</t>
  </si>
  <si>
    <t>NCT05857124</t>
  </si>
  <si>
    <t>A Study Evaluating the Efficacy of the Vielight Neuro RX Gamma in the Treatment of Post COVID-19 Cognitive Impairment</t>
  </si>
  <si>
    <t>Vielight Inc.</t>
  </si>
  <si>
    <t>NCT05800860</t>
  </si>
  <si>
    <t>A Trial of GH001 in Patients With Treatment-resistant Depression</t>
  </si>
  <si>
    <t>NCT05872659</t>
  </si>
  <si>
    <t>Mesenchymal Stem Cells for Immune Non-responder Patients With HIV Infection</t>
  </si>
  <si>
    <t>Shandong Qilu Cell Therapy Engineering Technology Co., Ltd</t>
  </si>
  <si>
    <t>NCT05815680</t>
  </si>
  <si>
    <t>A Study to Evaluate the Drug-drug Interactions (DDIs) of IBI362 With Metformin, Warfarin, Atorvastatin, Digoxin in Overweight or Obese Subjects</t>
  </si>
  <si>
    <t>NCT06074705</t>
  </si>
  <si>
    <t>A Study of DS-1471a In Subjects With Advanced Solid Tumors</t>
  </si>
  <si>
    <t>NCT06062069</t>
  </si>
  <si>
    <t>A Study of CT-868 in Type 1 Diabetes Mellitus</t>
  </si>
  <si>
    <t>NCT05870579</t>
  </si>
  <si>
    <t>[177Lu]Lu-NeoB in Combination With Ribociclib and Fulvestrant in Participants With ER+, HER2- and GRPR+ Advanced Breast Cancer</t>
  </si>
  <si>
    <t>NCT06180096</t>
  </si>
  <si>
    <t>Bioequivalence Study of Riociguat 2.5 mg Film Coated Tablets and Adempas (Riociguat) 2.5 mg Film Coated Tablets</t>
  </si>
  <si>
    <t>NCT06315205</t>
  </si>
  <si>
    <t>Evaluation of the Pharmacokinetics, Safety, and Tolerability of IM Letrozole LEBE in Healthy Post-menopausal Women</t>
  </si>
  <si>
    <t>NCT05955105</t>
  </si>
  <si>
    <t>A Study of ILB2109 and Toripalimab in Patients With Advanced Solid Malignancies</t>
  </si>
  <si>
    <t>NCT05954988</t>
  </si>
  <si>
    <t>A Study to Evaluate LTI-03 in Newly Diagnosed Idiopathic Pulmonary Fibrosis (IPF) Patients</t>
  </si>
  <si>
    <t>NCT06126861</t>
  </si>
  <si>
    <t>The Mass Balance Study of LP-168 in Healthy Subjects</t>
  </si>
  <si>
    <t>NCT06149286</t>
  </si>
  <si>
    <t>A Trial to Find Out if Odronextamab Combined With Lenalidomide is Safe and Works Better Than Rituximab Combined With Lenalidomide in Adult Participants With Follicular Lymphoma and Marginal Zone Lymphoma</t>
  </si>
  <si>
    <t>NCT06204770</t>
  </si>
  <si>
    <t>Tolerance of Extensive Hydrolyzed Whey Protein Milk Among Infant With Mild to Moderate CMPA</t>
  </si>
  <si>
    <t>NCT05840224</t>
  </si>
  <si>
    <t>Study of GS-4528 in Adults With Solid Tumors</t>
  </si>
  <si>
    <t>NCT05979779</t>
  </si>
  <si>
    <t>Ph 2 Study of the Safety and Efficacy of Three HU6 Dose Levels and Placebo in Nonalcoholic Steatohepatitis</t>
  </si>
  <si>
    <t>NCT05849246</t>
  </si>
  <si>
    <t>The Study of Tusamitamab Ravtansine (IBI126) Combined With Sintilimab and Tusamitamab Ravtansine (IBI126) Combined With Sintilimab Plus Platinum-based Chemotherapy and Pemetrexed in Subjects With CEACAM5 Positive Expression Advanced/Metastatic Non-squamous Non-small-cell Lung Cancer (NSQ NSCLC)</t>
  </si>
  <si>
    <t>NCT05871905</t>
  </si>
  <si>
    <t>[14 C] Study on Mass Balance of TY-9591 in Healthy Chinese Subjects</t>
  </si>
  <si>
    <t>NCT05703204</t>
  </si>
  <si>
    <t>A Study of QLF32101 in Patients With Acute Myeloid Leukemia and Myelodysplastic Syndrome</t>
  </si>
  <si>
    <t>NCT05924152</t>
  </si>
  <si>
    <t>A PK Study to Assess the Drug-drug Interaction of a BCRP Inhibitor on Adagrasib</t>
  </si>
  <si>
    <t>NCT05817058</t>
  </si>
  <si>
    <t>First-in-Human Dose Escalation Study of AFM28 in Patients With Relapsed/Refractory Acute Myeloid Leukemia</t>
  </si>
  <si>
    <t>NCT04050358</t>
  </si>
  <si>
    <t>Effect of Basis™ and High Intensity Interval Training (HIIT) on Muscle Metabolism and Exercise Performance</t>
  </si>
  <si>
    <t>Elysium Health</t>
  </si>
  <si>
    <t>NCT05772455</t>
  </si>
  <si>
    <t>A Study of XZB-0004 in Patients With Solid Tumors</t>
  </si>
  <si>
    <t>NCT05775406</t>
  </si>
  <si>
    <t>Safety and Clinical Activity of KT-253 in Adult Patients with High Grade Myeloid Malignancies, Acute Lymphocytic Leukemia, Lymphoma, Solid Tumors</t>
  </si>
  <si>
    <t>NCT05985655</t>
  </si>
  <si>
    <t>Study to Assess GTAEXS617 in Participants With Advanced Solid Tumors</t>
  </si>
  <si>
    <t>Exscientia AI Ltd., a wholly owned subsidiary of Recursion Pharmaceuticals, Inc.</t>
  </si>
  <si>
    <t>NCT07102004</t>
  </si>
  <si>
    <t>Study of MHB088C for Patients With Advanced Solid Malignant Tumors</t>
  </si>
  <si>
    <t>NCT05456256</t>
  </si>
  <si>
    <t>A Study of LP-300 With Carboplatin and Pemetrexed in Never Smokers With Advanced Lung Adenocarcinoma</t>
  </si>
  <si>
    <t>Lantern Pharma Inc.</t>
  </si>
  <si>
    <t>NCT06697522</t>
  </si>
  <si>
    <t>Study of Atropine Sulfate Eye Drops(0.01%) in Treating Near-work-induced Transient Myopia in Children</t>
  </si>
  <si>
    <t>Ocumension Therapeutics (Suzhou) Co., Ltd</t>
  </si>
  <si>
    <t>NCT05984277</t>
  </si>
  <si>
    <t>A Global Study of Volrustomig (MEDI5752) Plus Chemotherapy Versus Pembrolizumab Plus Chemotherapy for Participants With Metastatic Non-small Cell Lung Cancer.</t>
  </si>
  <si>
    <t>NCT05780567</t>
  </si>
  <si>
    <t>Clinical Study on Adjuvant Therapy of TQB3616 Combined With Endocrine Therapy Compared With Placebo Combined With Endocrine Therapy in Patients With Breast Cancer</t>
  </si>
  <si>
    <t>NCT05934331</t>
  </si>
  <si>
    <t>A LM-302 Combination With Other Anti-Tumor Therapies Phase ll Study</t>
  </si>
  <si>
    <t>NCT05679492</t>
  </si>
  <si>
    <t>Study on the Safety and Efficacy of Meplazumab for Injection Patients COVID-19</t>
  </si>
  <si>
    <t>NCT06064929</t>
  </si>
  <si>
    <t>A Study to Learn More About the Safety and Effects of Felzartamab in Adults With Lupus Nephritis Aged 18 to 75 Years Old</t>
  </si>
  <si>
    <t>NCT06081465</t>
  </si>
  <si>
    <t>A Phase I Study of Single and Multiple Doses of VG290131 in Healthy Subjects</t>
  </si>
  <si>
    <t>Zhejiang Vimgreen Pharmaceuticals, Ltd.</t>
  </si>
  <si>
    <t>NCT06614153</t>
  </si>
  <si>
    <t>Pharmacokinetics,Pharmacodynamics,Efficacy and Safety of HRG2010 in Parkinson's Disease Patients With Motor Fluctuations</t>
  </si>
  <si>
    <t>NCT06081530</t>
  </si>
  <si>
    <t>A Study in Healthy Men to Test How Well Different Doses of BI 3802876 Are Tolerated</t>
  </si>
  <si>
    <t>NCT05938465</t>
  </si>
  <si>
    <t>Study of EXE-346 Live Biotherapeutic to Reduce High Bowel Movement Frequency in Subjects With an IPAA (PROF)</t>
  </si>
  <si>
    <t>Exegi Pharma, LLC</t>
  </si>
  <si>
    <t>NCT05705167</t>
  </si>
  <si>
    <t>Plitidepsin Versus Control in Immunocompromised Adult Participants With Symptomatic COVID-19 Requiring Hospital Care (NEREIDA)</t>
  </si>
  <si>
    <t>NCT06079671</t>
  </si>
  <si>
    <t>Study of Volrustomig in Women With High Risk Locally Advanced Cervical Cancer (eVOLVE-Cervical)</t>
  </si>
  <si>
    <t>NCT05718921</t>
  </si>
  <si>
    <t>A Safety, Tolerability and Pharmacokinetics Study of Topical Ointment YR001 in Adult Healthy Volunteers</t>
  </si>
  <si>
    <t>Hangzhou Yirui Pharmaceutical Technology Co., Ltd</t>
  </si>
  <si>
    <t>NCT05761301</t>
  </si>
  <si>
    <t>A Phase 1/2 Study to Evaluate ALN-KHK in Overweight to Obese Healthy Volunteers and Obese Patients With T2DM</t>
  </si>
  <si>
    <t>NCT05874401</t>
  </si>
  <si>
    <t>Trilaciclib vs Placebo in Patients With Extensive Stage Small Cell Lung Cancer (ES-SCLC) Receiving Topotecan</t>
  </si>
  <si>
    <t>NCT05272865</t>
  </si>
  <si>
    <t>Pharmacokinetic and Pharmacodynamic Evaluation of Formulations of Δ9-THC</t>
  </si>
  <si>
    <t>LaSanta S A S</t>
  </si>
  <si>
    <t>NCT06057571</t>
  </si>
  <si>
    <t>Study of TT-00420 (Tinengotinib) in Subjects With Cholangiocarcinoma Who Failed or Relapsed to Chemotherapy and FGFR Inhibitor</t>
  </si>
  <si>
    <t>NCT05858164</t>
  </si>
  <si>
    <t>A First-in-human Study to Learn How Safe the Study Treatment BAY2862789 is, to Find the Best Dose, How it Affects the Body, What Maximum Amount Can be Given, How it Moves Into, Through and Out of the Body, and How it Acts on Different Tumors in Participants With Advanced Solid Tumors</t>
  </si>
  <si>
    <t>NCT05795699</t>
  </si>
  <si>
    <t>A Study to Evaluate the Safety and Efficacy of K-321 Eye Drops After Descemetorhexis in Participants With Fuchs Endothelial Corneal Dystrophy (FECD)</t>
  </si>
  <si>
    <t>NCT05792917</t>
  </si>
  <si>
    <t>Bioequivalence Study of Tafolecimab Injections in Chinese Healthy Male Volunteers</t>
  </si>
  <si>
    <t>NCT05751850</t>
  </si>
  <si>
    <t>HR070803 in Combination With Oxaliplatin, 5-FU/LV Versus AG for First-line Treatment of Advanced Pancreatic Cancer</t>
  </si>
  <si>
    <t>NCT05625568</t>
  </si>
  <si>
    <t>Study of VYNT-0126 in the Treatment of Rett Syndrome in Adult Patients</t>
  </si>
  <si>
    <t>Vyant Bio</t>
  </si>
  <si>
    <t>NCT05565560</t>
  </si>
  <si>
    <t>A Study to Assess the Efficacy and Safety of Apremilast in Japanese Pediatric Participants With Moderate to Severe Plaque Psoriasis</t>
  </si>
  <si>
    <t>NCT05842408</t>
  </si>
  <si>
    <t>Clinical Trial of DA-5212 in Patients with Functional Dyspepsia</t>
  </si>
  <si>
    <t>NCT05831176</t>
  </si>
  <si>
    <t>A Study to Learn How Well Dupilumab Works in Adult and Adolescent Participants With Eosinophilic Gastritis With or Without Eosinophilic Duodenitis and the Side Effects it May Have</t>
  </si>
  <si>
    <t>NCT06157450</t>
  </si>
  <si>
    <t>Pharmacokinetics of ZSP1273 in Elder Participants</t>
  </si>
  <si>
    <t>NCT05826574</t>
  </si>
  <si>
    <t>A Study to Assess Pharmacokinetics (PK) of Brensocatib Alone and With Multiple Doses of Rifampin or Esomeprozole in Healthy Participants</t>
  </si>
  <si>
    <t>NCT06198413</t>
  </si>
  <si>
    <t>LX102 in Patients With Neovascular Age-Related Macular Degeneration (nAMD)</t>
  </si>
  <si>
    <t>NCT05440708</t>
  </si>
  <si>
    <t>A Study of TTI-101 as Monotherapy and in Combination in Participants With Locally Advanced or Metastatic, and Unresectable Hepatocellular Carcinoma</t>
  </si>
  <si>
    <t>NCT05695417</t>
  </si>
  <si>
    <t>Study to Evaluate the Safety, Tolerability, and Efficacy of OTX-TKI in Subjects With Moderately Severe to Severe Non-proliferative Diabetic Retinopathy</t>
  </si>
  <si>
    <t>NCT06037408</t>
  </si>
  <si>
    <t>The Effect of N115 on Coughing in IPF Patients</t>
  </si>
  <si>
    <t>NCT05731518</t>
  </si>
  <si>
    <t>SC0245 and Irinotecan in Treating Patients With Relapsed Extensive-Stage Small Cell Lung Cancer (ES-SCLC)</t>
  </si>
  <si>
    <t>NCT05788497</t>
  </si>
  <si>
    <t>Efficacy and Safety of Hemorrane Plus Versus Hemorrane and Versus Placebo in Patients With Uncomplicated Haemorrhoids</t>
  </si>
  <si>
    <t>NCT05909397</t>
  </si>
  <si>
    <t>Vepdegestrant (ARV-471/PF-07850327) + Palbociclib vs Letrozole + Palbociclib in ER(+)/HER2(-) Advanced Breast Cancer</t>
  </si>
  <si>
    <t>NCT05208840</t>
  </si>
  <si>
    <t>A Study To Determine The Effect Of Ocrelizumab On Leptomeningeal Inflammation In Multiple Sclerosis</t>
  </si>
  <si>
    <t>NCT04880889</t>
  </si>
  <si>
    <t>BL3000 Compared to Pantogar® in the Treatment of Telogen Effluvium in Women.</t>
  </si>
  <si>
    <t>NCT06063291</t>
  </si>
  <si>
    <t>Single Ascending Oral Dose Phase 1 Study of ID110521156 in Healthy Adult Subjects</t>
  </si>
  <si>
    <t>NCT05921890</t>
  </si>
  <si>
    <t>To Evaluate the Safety and Tolerability of Multiple Doses of GS3-007a Oral Solution in Healthy Subjects.</t>
  </si>
  <si>
    <t>NCT05765344</t>
  </si>
  <si>
    <t>Study of Bulevirtide in Participants Who Have Normal or Impaired Liver Function</t>
  </si>
  <si>
    <t>NCT05959109</t>
  </si>
  <si>
    <t>A Relative Bioavailability Study of Peresolimab (LY3462817) Formulations in Healthy Participants</t>
  </si>
  <si>
    <t>NCT06161116</t>
  </si>
  <si>
    <t>Efficacy And Safety Of MK-6194 In Adult Participants With Systemic Lupus Erythematosus (MK-6194-006)</t>
  </si>
  <si>
    <t>NCT06011798</t>
  </si>
  <si>
    <t>Assess the Efficacy and Safety of Repeat Intravitreal Injections of Foselutoclax (UBX1325) in Patients With DME (ASPIRE)</t>
  </si>
  <si>
    <t>NCT06005493</t>
  </si>
  <si>
    <t>Study of AZD5863 in Adult Participants With Advanced or Metastatic Solid Tumors</t>
  </si>
  <si>
    <t>NCT05183516</t>
  </si>
  <si>
    <t>Tdap and Biomarkers of Alzheimer's Disease</t>
  </si>
  <si>
    <t>NCT06028464</t>
  </si>
  <si>
    <t>A Study in Healthy Men to Test Whether Carbamazepine Influences the Amount of Zongertinib in the Blood</t>
  </si>
  <si>
    <t>NCT06324006</t>
  </si>
  <si>
    <t>A Phase 1 Trial of LIB-01 in Healthy Participants.</t>
  </si>
  <si>
    <t>Dicot AB</t>
  </si>
  <si>
    <t>NCT04711304</t>
  </si>
  <si>
    <t>Evaluation of Safety and Efficacy of Wharton's Jelly Compared to Hyaluronic Acid and Saline for Knee Osteoarthritis.</t>
  </si>
  <si>
    <t>BioIntegrate</t>
  </si>
  <si>
    <t>NCT06149494</t>
  </si>
  <si>
    <t>RCT of Vapendavir in Patients With COPD and Human Rhinovirus/Enterovirus Upper Respiratory Infection</t>
  </si>
  <si>
    <t>Altesa Biosciences, Inc.</t>
  </si>
  <si>
    <t>NCT05900219</t>
  </si>
  <si>
    <t>Efficacy and Safety of HL-085 Combined With Vemurafenib in BRAF V600E Patients With Non-small Cell Lung Cancer: a Phase II Clinical Study</t>
  </si>
  <si>
    <t>NCT05906628</t>
  </si>
  <si>
    <t>Topical Ruxolitinib Evaluation in Chronic Hand Eczema</t>
  </si>
  <si>
    <t>NCT05742594</t>
  </si>
  <si>
    <t>A Study of Four Different Oral Tablet Formulations of Lazertinib (JNJ-73841937) in Healthy Adult Participants</t>
  </si>
  <si>
    <t>NCT06109831</t>
  </si>
  <si>
    <t>Evaluate the Efficacy and Safety of SHR-1918 in Patients With Hyperlipidemic</t>
  </si>
  <si>
    <t>NCT06034002</t>
  </si>
  <si>
    <t>A Study to Evaluate INCA033989 Administered as a Monotherapy or in Combination With Ruxolitinib in Participants With Myeloproliferative Neoplasms</t>
  </si>
  <si>
    <t>NCT06181136</t>
  </si>
  <si>
    <t>Study of DNL126 in Pediatric Participants With Mucopolysaccharidosis Type IIIA (Sanfilippo Syndrome Type A)</t>
  </si>
  <si>
    <t>NCT06077864</t>
  </si>
  <si>
    <t>A Study to Test the Effect of Survodutide (BI 456906) on Cardiovascular Safety in People With Overweight or Obesity (SYNCHRONIZE™ - CVOT)</t>
  </si>
  <si>
    <t>NCT05731895</t>
  </si>
  <si>
    <t>A Study to Test How Iclepertin is Taken up in the Blood of People With and Without Liver Problems</t>
  </si>
  <si>
    <t>NCT05553639</t>
  </si>
  <si>
    <t>HB-302/HB-301 Therapy in Participants With Metastatic Castration-Resistant Prostate Cancer</t>
  </si>
  <si>
    <t>NCT05923892</t>
  </si>
  <si>
    <t>Phase II Clinical Trial of OPS-2071 in the Treatment of Irritable Bowel Syndrome of Diarrhea Type</t>
  </si>
  <si>
    <t>NCT05881811</t>
  </si>
  <si>
    <t>The Drug-drug Interaction of HSK16149 Capsule With Probenecid Tablets or Cimetidine Tablets in Healthy Subjects</t>
  </si>
  <si>
    <t>NCT05682144</t>
  </si>
  <si>
    <t>ISP-001: Sleeping Beauty Transposon-Engineered B Cells for MPS I</t>
  </si>
  <si>
    <t>Immusoft of CA, Inc.</t>
  </si>
  <si>
    <t>NCT06335134</t>
  </si>
  <si>
    <t>A Drug-Drug Interaction Study Between XW003 and Metformin, Warfarin, Rosuvastatin or Digoxin</t>
  </si>
  <si>
    <t>NCT06090539</t>
  </si>
  <si>
    <t>A Study to Assess BMS-986458 Alone and in Combination With Anti-lymphoma Agents in Relapsed/Refractory Non-Hodgkin Lymphomas</t>
  </si>
  <si>
    <t>NCT05705466</t>
  </si>
  <si>
    <t>Study of Navtemadlin Plus Pembrolizumab as Maintenance Therapy in Locally Advanced and Metastatic Non-Small Cell Lung Cancer</t>
  </si>
  <si>
    <t>NCT06600477</t>
  </si>
  <si>
    <t>A Study of Olanzapine After Intranasal and Intramuscular Administration</t>
  </si>
  <si>
    <t>NCT05856981</t>
  </si>
  <si>
    <t>Phase 1 Study Evaluating the Safety and PK of ADU-1805 in Advanced Solid Tumors</t>
  </si>
  <si>
    <t>Sairopa B.V.</t>
  </si>
  <si>
    <t>NCT05825781</t>
  </si>
  <si>
    <t>Study, Evaluating Pharmacokinetics, Immunogenicity and Safety Profiles of Pertuzumab Compared to Perjeta® in Healthy Man</t>
  </si>
  <si>
    <t>Mabscale, LLC</t>
  </si>
  <si>
    <t>NCT06028230</t>
  </si>
  <si>
    <t>A Phase 2 Study to Evaluate the Efficacy and Safety of SAR444656 Compared With Placebo in Adult Participants With Moderate to Severe Hidradenitis Suppurativa</t>
  </si>
  <si>
    <t>NCT06403436</t>
  </si>
  <si>
    <t>A Study Evaluating the Safety, Tolerability, Pharmacokinetics, and Efficacy of TT125-802 in Subjects With Advanced Solid Tumors</t>
  </si>
  <si>
    <t>TOLREMO therapeutics AG</t>
  </si>
  <si>
    <t>NCT06938711</t>
  </si>
  <si>
    <t>A Rollover Protocol of Elacestrant, in Combination With Onapristone, for Patients With ER+, PR+, HER2- Advanced or Metastatic Breast Cancer</t>
  </si>
  <si>
    <t>NCT05744401</t>
  </si>
  <si>
    <t>A Long-term Extension Study to Evaluate Safety, Tolerability, and Efficacy of AL002 in Alzheimer's Disease</t>
  </si>
  <si>
    <t>NCT05783557</t>
  </si>
  <si>
    <t>A Study of Clevidipine Butyrate Injectable Emulsion in the Treatment of Hypertensive Emergency and Sub-emergency</t>
  </si>
  <si>
    <t>NCT05624554</t>
  </si>
  <si>
    <t>A Study of Nemtabrutinib vs Chemoimmunotherapy for Participants With Previously Untreated Chronic Lymphocytic Leukemia/Small Lymphocytic Lymphoma (CLL/SLL) Without TP53 Aberrations (MK-1026-008, BELLWAVE-008)</t>
  </si>
  <si>
    <t>NCT06034860</t>
  </si>
  <si>
    <t>Study of MT-8421 as Monotherapy and in Combination With Nivolumab in Patients With Selected Advanced Solid Cancer Types</t>
  </si>
  <si>
    <t>NCT05779241</t>
  </si>
  <si>
    <t>Study to Evaluate the Pharmacokinetics (PK) and Safety/Tolerability of Long-Acting Oral LYN-005</t>
  </si>
  <si>
    <t>NCT05763160</t>
  </si>
  <si>
    <t>An Open-label Study That Will Test a Second Treatment Session of RZL-012.</t>
  </si>
  <si>
    <t>NCT06057103</t>
  </si>
  <si>
    <t>A Study to Evaluate Drug-drug Interaction of ZX-7101A Tablets and Oseltamivir Phosphate Capsules in Healthy Adult Subjects</t>
  </si>
  <si>
    <t>NCT05498597</t>
  </si>
  <si>
    <t>AMT-151 in Patients With Selected Advanced Solid Tumours</t>
  </si>
  <si>
    <t>NCT05763823</t>
  </si>
  <si>
    <t>A Study of Letermovir (MK-8228) to Evaluate Efficacy and Safety for Prevention of Cytomegalovirus Infection in Chinese Hematopoietic Stem Cell Transplant Recipients (MK-8228-045)</t>
  </si>
  <si>
    <t>NCT06010680</t>
  </si>
  <si>
    <t>A Study to Evaluate the Mass Balance of [14C]SHR2554 in Healthy Adult Volunteers</t>
  </si>
  <si>
    <t>NCT05808673</t>
  </si>
  <si>
    <t>Study of CMAB807X Pre- and Post-change in Manufacturing Site and Xgeva® in Healthy Volunteers</t>
  </si>
  <si>
    <t>NCT06010173</t>
  </si>
  <si>
    <t>Evaluation of Gadopiclenol for Magnetic Resonance Imaging (MRI) in Japanese Adults and Children</t>
  </si>
  <si>
    <t>NCT06005688</t>
  </si>
  <si>
    <t>A Study to Understand the Effects of Carbamazepine on How Vepdegestrant is Processed in Healthy Participants</t>
  </si>
  <si>
    <t>NCT05908773</t>
  </si>
  <si>
    <t>A Microdose Study of TTX-MC138-NODAGA-Cu64 in Subjects With Advanced Solid Tumors</t>
  </si>
  <si>
    <t>TransCode Therapeutics</t>
  </si>
  <si>
    <t>NCT05866354</t>
  </si>
  <si>
    <t>To Evaluate Pharmacokinetics of Tisotumab Vedotin in Chinese Subjects With Metastatic or Recurrent Solid Malignancies</t>
  </si>
  <si>
    <t>NCT05749861</t>
  </si>
  <si>
    <t>A Clinical Trial to Evaluate the Tolerability and Pharmacokinetics of CKD-348(5)</t>
  </si>
  <si>
    <t>NCT05811442</t>
  </si>
  <si>
    <t>Study of 50561 in Patients With Mild or Moderate Alzheimer's Disease</t>
  </si>
  <si>
    <t>Beijing Joekai Biotechnology LLC</t>
  </si>
  <si>
    <t>NCT05672966</t>
  </si>
  <si>
    <t>Phase I Clinical Trial of a Candidate HPV Vaccine</t>
  </si>
  <si>
    <t>NCT06115642</t>
  </si>
  <si>
    <t>A Phase I Study to Evaluate the Safety, Tolerability, and PK of HLX43 in Advanced/Metastatic Solid Tumors</t>
  </si>
  <si>
    <t>NCT05868382</t>
  </si>
  <si>
    <t>Study to Evaluate the Safety, Reactogenicity, and Immunogenicity of mRNA Vaccine Candidate Variations in Healthy Adults</t>
  </si>
  <si>
    <t>NCT06005441</t>
  </si>
  <si>
    <t>A Phase 2b Study to Evaluate the Efficacy and Safety of CBL-514 Injection for Reducing Subcutaneous Fat.</t>
  </si>
  <si>
    <t>NCT05948982</t>
  </si>
  <si>
    <t>Safety of Umbilical Cord Mesenchymal Stem Cells (UC-MSC) in Patients With Decompensated Hepatitis B Cirrhosis</t>
  </si>
  <si>
    <t>Asia Cell Therapeutics (Shanghai) Co., Ltd.</t>
  </si>
  <si>
    <t>NCT05875727</t>
  </si>
  <si>
    <t>A Study to Learn About the Safety and Immune Response of 20vPnC in Adults in India.</t>
  </si>
  <si>
    <t>NCT05994703</t>
  </si>
  <si>
    <t>Assisting Smokers to Switch to an e-Cigarette by Accelerating Learning of Adaptive Habits Using D-cycloserine</t>
  </si>
  <si>
    <t>NCT05643729</t>
  </si>
  <si>
    <t>Zofin to Treat Chronic Obstructive Pulmonary Disease (COPD)</t>
  </si>
  <si>
    <t>NCT05588323</t>
  </si>
  <si>
    <t>Safety and Pharmacokinetics Study of Naldemedine in Paediatric Participants Receiving Opioids</t>
  </si>
  <si>
    <t>NCT05908383</t>
  </si>
  <si>
    <t>Safety Study of GMDTC Injection in Healthy Participants</t>
  </si>
  <si>
    <t>Jianersheng (Zhuhai) Pharmaceutical Technology Co., Ltd.</t>
  </si>
  <si>
    <t>NCT05995405</t>
  </si>
  <si>
    <t>Safety and Tolerability of GTX-104 Compared with Oral Nimodipine in Patients with ASAH</t>
  </si>
  <si>
    <t>NCT05729594</t>
  </si>
  <si>
    <t>Systemic Pharmacokinetic Study of T4032 (Unpreserved Bimatoprost 0.01%) Eye Gel Versus Lumigan® 0.01% Eye Drops in 40 Healthy Volunteers</t>
  </si>
  <si>
    <t>NCT05879627</t>
  </si>
  <si>
    <t>To Evaluate the Safety, Tolerance and Pharmacokinetics of BAT8007 for Injection in Patients With Advanced Solid Tumors</t>
  </si>
  <si>
    <t>NCT06041269</t>
  </si>
  <si>
    <t>A Study of Efficacy and Safety of Rosnilimab in Subjects with Moderate to Severe Rheumatoid Arthritis (RENOIR)</t>
  </si>
  <si>
    <t>NCT06142383</t>
  </si>
  <si>
    <t>A Proof of Concept and Dose-finding Study of XXB750 in Patients With Heart Failure</t>
  </si>
  <si>
    <t>NCT05979727</t>
  </si>
  <si>
    <t>Dose-finding PKPD Trial for RE02 in Healthy Subjects</t>
  </si>
  <si>
    <t>NCT05630183</t>
  </si>
  <si>
    <t>A Study of Botensilimab in Participants With Metastatic Pancreatic Cancer</t>
  </si>
  <si>
    <t>NCT05844228</t>
  </si>
  <si>
    <t>A Study to Investigate the Effect of Renal Impairment on the Pharmacokinetics and Safety of VIR-2218</t>
  </si>
  <si>
    <t>NCT05924906</t>
  </si>
  <si>
    <t>A Dose Escalation and Expansion Study of NB002 in Participants With Advanced or Metastatic Solid Tumors</t>
  </si>
  <si>
    <t>Suzhou Neologics Bioscience Co., Ltd.</t>
  </si>
  <si>
    <t>NCT05908409</t>
  </si>
  <si>
    <t>A Phase 1/2 Study of IDP-121 in Patients With Relapsed/Refractory Hematologic Malignancies</t>
  </si>
  <si>
    <t>IDP Discovery Pharma S.L.</t>
  </si>
  <si>
    <t>NCT05565807</t>
  </si>
  <si>
    <t>Safety and Efficacy Study of An Anti-CD38 Antibody Drug Conjugate in Relapsed or Refractory Multiple Myeloma</t>
  </si>
  <si>
    <t>NCT06212752</t>
  </si>
  <si>
    <t>A Study of Subcutaneous (SC) Pembrolizumab Coformulated With Berahyaluronidase Alfa (MK-3475A) vs Intravenous Pembrolizumab in Adult Participants With Metastatic Non-small Cell Lung Cancer (NSCLC) (MK-3475A-D77)-Japan Extension</t>
  </si>
  <si>
    <t>NCT05723198</t>
  </si>
  <si>
    <t>A Study of Baricitinib (LY3009104) in Children From 6 Years to Less Than 18 Years of Age With Alopecia Areata</t>
  </si>
  <si>
    <t>NCT05878184</t>
  </si>
  <si>
    <t>Study Evaluating SC291 in Subjects With r/r B-cell Malignancies (ARDENT)</t>
  </si>
  <si>
    <t>Sana Biotechnology</t>
  </si>
  <si>
    <t>NCT05643495</t>
  </si>
  <si>
    <t>A Study to Evaluate Efficacy and Safety of VX-864 in Participants With the PiZZ Genotype</t>
  </si>
  <si>
    <t>NCT05576077</t>
  </si>
  <si>
    <t>A Study of TBio-4101 (TIL) and Pembrolizumab in Patients With Advanced Solid Tumors</t>
  </si>
  <si>
    <t>NCT05790304</t>
  </si>
  <si>
    <t>Study to Investigate Hepatic Impairment on PK, Safety, Tolerability of Camizestrant in Post-Menopausal Female Subjects</t>
  </si>
  <si>
    <t>NCT05774184</t>
  </si>
  <si>
    <t>A Study of CDX-0159 in Patients With Eosinophilic Esophagitis</t>
  </si>
  <si>
    <t>NCT05743764</t>
  </si>
  <si>
    <t>HU007 in Patients with Dry Eye Syndrome</t>
  </si>
  <si>
    <t>NCT05716087</t>
  </si>
  <si>
    <t>A Study of Rocbrutinib in Participants With Relapse or Refractory Mantle Cell Lymphoma</t>
  </si>
  <si>
    <t>NCT05719961</t>
  </si>
  <si>
    <t>Bioequivalence Study of INS062 and Pharmacokinetics and Pharmacokinetics Study of Single Injection of HR20014 in Healthy Subjects</t>
  </si>
  <si>
    <t>NCT05714969</t>
  </si>
  <si>
    <t>A Study of TAK-755 (rADAMTS13) With Little to No Plasma Exchange (PEX) Treatment in Adults With Immune-mediated Thrombotic Thrombocytopenic Purpura (iTTP)</t>
  </si>
  <si>
    <t>NCT05815901</t>
  </si>
  <si>
    <t>A Therapeutic Confirmatory Study of Epaminurad Versus Febuxostat in Gout Patients</t>
  </si>
  <si>
    <t>NCT06053853</t>
  </si>
  <si>
    <t>Post Marketing Surveillance of Diphtheria Antitoxin (DAT)</t>
  </si>
  <si>
    <t>NCT05857163</t>
  </si>
  <si>
    <t>Efficacy and Safety of Rifasutenizol (TNP 2198), Rabeprazole and Amoxicillin in Participants With H. Pylori Infection</t>
  </si>
  <si>
    <t>NCT05769855</t>
  </si>
  <si>
    <t>A Study of HR18034 for Postoperative Analgesia in Subjects Undergoing Hemorrhoidectomy</t>
  </si>
  <si>
    <t>NCT05886244</t>
  </si>
  <si>
    <t>Eculizumab in Adult Participants With Paroxysmal Nocturnal Hemoglobinuria (PNH) in China</t>
  </si>
  <si>
    <t>NCT05917938</t>
  </si>
  <si>
    <t>A Research Study Looking at How a Single Dose of the Study Medicine NNC0194-0499 Behaves in Participants With Reduced Liver Function Compared to Participants With Normal Liver Function</t>
  </si>
  <si>
    <t>NCT05749055</t>
  </si>
  <si>
    <t>ENCALM: A Study of ENX-102 as a Monotherapy Treatment in Patients With Generalized Anxiety Disorder</t>
  </si>
  <si>
    <t>NCT05696626</t>
  </si>
  <si>
    <t>Evaluation of Lasofoxifene Combined With Abemaciclib Compared With Fulvestrant Combined With Abemaciclib in Locally Advanced or Metastatic ER+/HER2- Breast Cancer With an ESR1 Mutation</t>
  </si>
  <si>
    <t>NCT06058078</t>
  </si>
  <si>
    <t>RY_SW01 Cell Injection Therapy in Active Lupus Nephritis</t>
  </si>
  <si>
    <t>NCT05473715</t>
  </si>
  <si>
    <t>A Study to Learn How Well Aflibercept Injected Into the Eye Works and How Safe it is When Given in Customized Treatment Intervals in Patients With an Eye Disease Called Neovascular Age-related Macular Degeneration After Start of Treatment</t>
  </si>
  <si>
    <t>NCT05389748</t>
  </si>
  <si>
    <t>NanO2 for Large Vessel Occlusion Stroke</t>
  </si>
  <si>
    <t>NuvOx LLC</t>
  </si>
  <si>
    <t>NCT05956626</t>
  </si>
  <si>
    <t>A Phase 2/3 Trial to Assess the Efficacy and Safety of OCU410ST for Stargardt Disease</t>
  </si>
  <si>
    <t>NCT05949385</t>
  </si>
  <si>
    <t>A Study to Assess the Effect of Itraconazole Capsules on the Pharmacokinetics of ZX-7101A Tablets in Healthy Adult Subjects in China</t>
  </si>
  <si>
    <t>NCT05743036</t>
  </si>
  <si>
    <t>ZN-c3 in Adult Participants With Metastatic Colorectal Cancer</t>
  </si>
  <si>
    <t>NCT05701800</t>
  </si>
  <si>
    <t>A Study to Evaluate the Safety, Reactogenicity, and Immunogenicity of mRNA-1468 in Healthy Adults ≥50 Years of Age</t>
  </si>
  <si>
    <t>NCT07030595</t>
  </si>
  <si>
    <t>AP301 Efficacy and Safety in Chinese Dialysis Patients With Hyperphosphatemia</t>
  </si>
  <si>
    <t>NCT05669430</t>
  </si>
  <si>
    <t>A Study of GV20-0251 Monotherapy and GV20-0251 in Combination With Pembrolizumab in Participants With Solid Tumor Malignancies</t>
  </si>
  <si>
    <t>GV20 Therapeutics</t>
  </si>
  <si>
    <t>NCT05740007</t>
  </si>
  <si>
    <t>A Phase 2 Study of IW-3300 for the Treatment of Bladder Pain in Subjects With Interstitial Cystitis/Bladder Pain Syndrome</t>
  </si>
  <si>
    <t>NCT05685238</t>
  </si>
  <si>
    <t>A Research Study Looking at Long-term Treatment With Mim8 in People With Haemophilia A</t>
  </si>
  <si>
    <t>NCT05349643</t>
  </si>
  <si>
    <t>A Study to Evaluate Safety and Efficacy of AMB-05X Injections in Subjects With TGCT</t>
  </si>
  <si>
    <t>NCT05837338</t>
  </si>
  <si>
    <t>Treatment of Post-Punch Biopsy Bleeding in Anticoagulated Patients Using Self-Administered BXP154</t>
  </si>
  <si>
    <t>Bio 54, LLC</t>
  </si>
  <si>
    <t>NCT05695378</t>
  </si>
  <si>
    <t>Trial to Evaluate the Efficacy and Safety of KM-819 Treatment to Slow the Progression of Multiple System Atrophy (MSA)</t>
  </si>
  <si>
    <t>Kainos Medicine Inc.</t>
  </si>
  <si>
    <t>NCT05682443</t>
  </si>
  <si>
    <t>ONC-392 Plus Lutetium Lu 177 Vipivotide Tetraxetan in Patients With mCRPC</t>
  </si>
  <si>
    <t>NCT05807035</t>
  </si>
  <si>
    <t>Autologous Tumour Vaccine Trial</t>
  </si>
  <si>
    <t>NCT05723549</t>
  </si>
  <si>
    <t>A Study to Evaluate the PK, Safety and Tolerability of HCP1803.</t>
  </si>
  <si>
    <t>NCT05735249</t>
  </si>
  <si>
    <t>A Study to Assess the Safety, Tolerability, and Pharmacokinetics of Oral ARN-75039 in Healthy Adult Subjects</t>
  </si>
  <si>
    <t>Arisan Therapeutics, Inc.</t>
  </si>
  <si>
    <t>NCT05832255</t>
  </si>
  <si>
    <t>An Investigation of Psilocybin on Behavioural and Cognitive Symptoms of Adults With Fragile X Syndrome</t>
  </si>
  <si>
    <t>Nova Mentis Life Science Corp</t>
  </si>
  <si>
    <t>NCT04803006</t>
  </si>
  <si>
    <t>A Study of TCD601 in the Induction of Tolerance in Renal Transplantation (PANORAMA)</t>
  </si>
  <si>
    <t>NCT05810116</t>
  </si>
  <si>
    <t>Effectiveness of PEA Compared to Placebo on Acute Menstrual Pain</t>
  </si>
  <si>
    <t>NCT05573555</t>
  </si>
  <si>
    <t>TACTIVE-U: A Study to Learn About the Study Medicine (Vepdegestrant) When Given With Other Medicines in People With Advanced or Metastatic Breast Cancer (Sub-Study B)</t>
  </si>
  <si>
    <t>NCT05886985</t>
  </si>
  <si>
    <t>Safety, Tolerability, and Efficacy of MatriPlax in Subjects With Acute Respiratory Distress Syndrome</t>
  </si>
  <si>
    <t>BioSpring Medical Co., Ltd</t>
  </si>
  <si>
    <t>NCT06050928</t>
  </si>
  <si>
    <t>Phase 1b, Open-Label Study to Evaluate the Safety, Tolerability, and Pharmacodynamics of EP262 in Subjects With Chronic Inducible Urticaria</t>
  </si>
  <si>
    <t>NCT05936567</t>
  </si>
  <si>
    <t>Study Evaluating the Efficacy and Safety of Povorcitinib in Adults With Chronic Spontaneous Urticaria</t>
  </si>
  <si>
    <t>NCT05788536</t>
  </si>
  <si>
    <t>A Study of DB-OTO, an Adeno-Associated Virus (AAV) Based Gene Therapy, in Children/Infants, Adolescents and Adults With Hearing Loss Due to Otoferlin Mutations</t>
  </si>
  <si>
    <t>NCT05960032</t>
  </si>
  <si>
    <t>A Study to Learn About the Study Medicine Called Zavegepant in Healthy Chinese Adult Participants</t>
  </si>
  <si>
    <t>NCT05685264</t>
  </si>
  <si>
    <t>A Study to Learn How the Study Medicine (Ponsegromab) is Changed and Eliminated From Healthy Chinese Adults</t>
  </si>
  <si>
    <t>NCT05856526</t>
  </si>
  <si>
    <t>A Study to Test Whether Spesolimab Helps People With a Skin Disease Called Netherton Syndrome</t>
  </si>
  <si>
    <t>NCT06039449</t>
  </si>
  <si>
    <t>A Study to Investigate the Prevention of COVID-19 WithVYD222 in Adults with Immune Compromise and in Participants Aged 12 Years or Older Who Are At Risk of Exposure to SARS-CoV-2</t>
  </si>
  <si>
    <t>NCT07278830</t>
  </si>
  <si>
    <t>A Phase II Study to Evaluate the Safety and Efficacy of SAL003 Combined With Atorvastatin in Hypercholesterolemia and Mixed Dyslipidemia</t>
  </si>
  <si>
    <t>NCT05771584</t>
  </si>
  <si>
    <t>Therapeutic Cancer Vaccine (AST-301, pNGVL3-hICD) in Gastric Cancer</t>
  </si>
  <si>
    <t>NCT05766748</t>
  </si>
  <si>
    <t>Study of Effect of Azeliragon in Patients Refractory to Prior Treatment of Metastatic Pancreatic Cancer</t>
  </si>
  <si>
    <t>Cantex Pharmaceuticals</t>
  </si>
  <si>
    <t>NCT05718258</t>
  </si>
  <si>
    <t>A Study in Adults to Investigate the Impact of Mild, Moderate, and Severe Hepatic Impairment on Pharmacokinetics of Venglustat Compared to Participants With Normal Hepatic Function</t>
  </si>
  <si>
    <t>NCT05916326</t>
  </si>
  <si>
    <t>Phase III Clinical Trial to Evaluate the Human Norovirus Bivalent (GⅠ.1/GⅡ.4)Vaccine，Recombinant (Hansenula Polymorpha)</t>
  </si>
  <si>
    <t>NCT05941247</t>
  </si>
  <si>
    <t>A Study to Evaluate the Effects of Single and Multiple Doses of Hemay005 Tablets in Health Caucasian Adult Volunteers</t>
  </si>
  <si>
    <t>NCT05438758</t>
  </si>
  <si>
    <t>Repeated Intranasal Esketamine Plus Almond Therapy in Participants With Treatment Resistant Depressive Disorder - 3 Month Extension Study</t>
  </si>
  <si>
    <t>NCT05781048</t>
  </si>
  <si>
    <t>A Phase I Clinical Study of the Safety， Tolerability，Pharmacokinetics, and Initial Efficacy of HRS-6209 Monotherapy in Patients With Advanced Solid Tumors</t>
  </si>
  <si>
    <t>NCT05323617</t>
  </si>
  <si>
    <t>Efficacy of Romiplostim in Treatment of SAA in Adults Previously Untreated With or Refractory to Immunosuppressive Therapy</t>
  </si>
  <si>
    <t>NCT05965167</t>
  </si>
  <si>
    <t>Assess Safety and Compare PK of New Oral hPTH(1-34) Tablet Formulations vs. EBP05 Tablets and Subcutaneous Forteo</t>
  </si>
  <si>
    <t>Entera Bio Ltd.</t>
  </si>
  <si>
    <t>NCT05541107</t>
  </si>
  <si>
    <t>Encochleated Oral Amphotericin for Cryptococcal Meningitis Trial 3</t>
  </si>
  <si>
    <t>NCT05785611</t>
  </si>
  <si>
    <t>A Study Evaluating the Effect of Filgotinib in Participants With Active Axial Spondyloarthritis</t>
  </si>
  <si>
    <t>NCT05817435</t>
  </si>
  <si>
    <t>A Phase 1 Bioequivalence Study of Efgartigimod PH20 SC Administered Via a Prefilled Syringe Versus a Vial+Syringe Presentation in Healthy Adults</t>
  </si>
  <si>
    <t>NCT03749317</t>
  </si>
  <si>
    <t>Trial to Evaluate the Efficacy and Safety of IVIEW-1201 in Acute Viral Conjunctivitis</t>
  </si>
  <si>
    <t>IVIEW Therapeutics Inc.</t>
  </si>
  <si>
    <t>NCT06108544</t>
  </si>
  <si>
    <t>A Study About How Well TAK-279 Works and Its Safety in Participants With Moderate-to-severe Plaque Psoriasis During 60 Weeks of Treatment With a Withdrawal and Retreatment Period</t>
  </si>
  <si>
    <t>NCT05877963</t>
  </si>
  <si>
    <t>Study to Evaluate Safety, Efficacy and Pharmacokinetics (PK) of a Modified Regimen of Ublituximab</t>
  </si>
  <si>
    <t>NCT05765604</t>
  </si>
  <si>
    <t>Phase I Clinical Trial of Recombinant COVID-19 Variant Vaccine (Sf9 Cell) (WSK-V102)</t>
  </si>
  <si>
    <t>NCT05715333</t>
  </si>
  <si>
    <t>Study of CM326 Injection in Healthy Subjects</t>
  </si>
  <si>
    <t>NCT05491447</t>
  </si>
  <si>
    <t>A Clinical Trial of BMX-010 in Adult Subjects With Atopic Dermatitis</t>
  </si>
  <si>
    <t>NCT06154252</t>
  </si>
  <si>
    <t>RESET-Myositis: An Open-Label Study to Evaluate the Safety and Efficacy of CABA-201 in Subjects With Active Idiopathic Inflammatory Myopathy or Juvenile Idiopathic Inflammatory Myopathy</t>
  </si>
  <si>
    <t>NCT06127043</t>
  </si>
  <si>
    <t>A Study of Efficacy and Safety of Rosnilimab in Subjects With Moderate to Severe Ulcerative Colitis (ROSETTA)</t>
  </si>
  <si>
    <t>NCT06135168</t>
  </si>
  <si>
    <t>A Clinical Trail to Compare Pharmacokinetics of Two PEG-rhGH Injections With Different Preparations</t>
  </si>
  <si>
    <t>NCT05668650</t>
  </si>
  <si>
    <t>Double-blind Study to Evaluate the PK, Efficacy, Safety and Immunogenicity of MB12 Versus Keytruda® in Stage IV NSCLC</t>
  </si>
  <si>
    <t>NCT06143774</t>
  </si>
  <si>
    <t>Study of TRX-920 for Patients With Advanced Solid Tumors</t>
  </si>
  <si>
    <t>NCT05755048</t>
  </si>
  <si>
    <t>FS-1502 Versus T-DM1 for HER2-Positive Unresectable Locally Advanced or Metastatic Breast Cancer</t>
  </si>
  <si>
    <t>NCT05739435</t>
  </si>
  <si>
    <t>Open-Label Extension Study to Evaluate the Long Term Safety and Efficacy of ESK-001 in Plaque Psoriasis</t>
  </si>
  <si>
    <t>NCT05872958</t>
  </si>
  <si>
    <t>Dose Exploration Intramuscular/Intravenous Prophylaxis Pharmacokinetic Exposure Response Study</t>
  </si>
  <si>
    <t>NCT05987358</t>
  </si>
  <si>
    <t>A Clinical Study of TQB3454 Tablets in the Treatment of Advanced Biliary Carcinoma.</t>
  </si>
  <si>
    <t>NCT05976243</t>
  </si>
  <si>
    <t>A Study to Investigate Efficacy, Safety, and Tolerability of Remibrutinib Compared With Placebo in Adults With CINDU Inadequately Controlled by H1-antihistamines</t>
  </si>
  <si>
    <t>NCT05755035</t>
  </si>
  <si>
    <t>A Study About How TAK-881 is Processed by the Body and Side Effects in People With Primary Immunodeficiency Diseases</t>
  </si>
  <si>
    <t>NCT05805501</t>
  </si>
  <si>
    <t>A Study of Immune Checkpoint Inhibitor Combinations With Axitinib in Participants With Untreated Locally Advanced Unresectable or Metastatic Renal Cell Carcinoma</t>
  </si>
  <si>
    <t>NCT05812781</t>
  </si>
  <si>
    <t>A Study to Evaluate VTX2735 in Patients With Cryopyrin-associated Periodic Syndrome</t>
  </si>
  <si>
    <t>Zomagen Biosciences Ltd.</t>
  </si>
  <si>
    <t>NCT05656521</t>
  </si>
  <si>
    <t>101-PGC-005 for the Treatment of COVID-19</t>
  </si>
  <si>
    <t>NCT06619314</t>
  </si>
  <si>
    <t>A Study to Evaluate the Effect of Food, Formulation, and a Proton Pump Inhibitor (PPI) on Calderasib (MK-1084) in Healthy Adult Participants (MK-1084-003)</t>
  </si>
  <si>
    <t>NCT06008106</t>
  </si>
  <si>
    <t>Comparing Tunlametinib Capsules and Combination Chemotherapy in Advanced NRAS-mutant Melanoma</t>
  </si>
  <si>
    <t>NCT05890638</t>
  </si>
  <si>
    <t>Comparison of Ipratropium / Levosalbutamol Fixed Dose Combination and Ipratropium and Levosalbutamol Free Dose Combination Nebuliser Solutions in Stable Chronic Obstructive Pulmonary Disease (COPD) Patients</t>
  </si>
  <si>
    <t>NCT06068478</t>
  </si>
  <si>
    <t>A Study to Evaluate Efficacy and Safety of Qingzhu Granules in the Treatment of Acute Gouty Arthritis</t>
  </si>
  <si>
    <t>NCT06111235</t>
  </si>
  <si>
    <t>A Study of Adjuvant Cretostimogene Grenadenorepvec for Treatment of Intermediate Risk NMIBC Following TURBT</t>
  </si>
  <si>
    <t>NCT05804864</t>
  </si>
  <si>
    <t>A Study of KM501 in Patients With Solid Tumors</t>
  </si>
  <si>
    <t>NCT05824663</t>
  </si>
  <si>
    <t>A Study Evaluating the Safety, Tolerance and Anti-tumor Activity of HBM1020 in Subjects With Advanced Solid Tumors</t>
  </si>
  <si>
    <t>NCT06145048</t>
  </si>
  <si>
    <t>Phase 2B Safety and Efficacy Study of VGT-309 in Subjects With Cancer in the Lung.</t>
  </si>
  <si>
    <t>NCT06223048</t>
  </si>
  <si>
    <t>A Study of AMDX-2011P in Participants With Primary Open Angle Glaucoma</t>
  </si>
  <si>
    <t>NCT05817643</t>
  </si>
  <si>
    <t>Food Effect Study of BMS-984923 in Healthy Older Adult Volunteers</t>
  </si>
  <si>
    <t>Allyx Therapeutics</t>
  </si>
  <si>
    <t>NCT05759793</t>
  </si>
  <si>
    <t>A Study of CAR-GPRC5D in Patients With Relapsed/Refractory Multiple Myeloma or Plasma Cell Leukemia</t>
  </si>
  <si>
    <t>NCT05909904</t>
  </si>
  <si>
    <t>A Study of Tislelizumab in Combination With Investigational Agents in Participants With Head and Neck Squamous Cell Carcinoma</t>
  </si>
  <si>
    <t>NCT05908084</t>
  </si>
  <si>
    <t>To Compare the Efficacy and Safety of the ATEV With AVF in Female Patients With End-Stage Renal Disease Requiring Hemodialysis</t>
  </si>
  <si>
    <t>Humacyte, Inc.</t>
  </si>
  <si>
    <t>NCT06037252</t>
  </si>
  <si>
    <t>A Study of Investigational Tirzepatide (LY3298176) Doses in Participants With Type 2 Diabetes and Obesity</t>
  </si>
  <si>
    <t>NCT06132958</t>
  </si>
  <si>
    <t>Sacituzumab Tirumotecan (MK-2870) in Post Platinum and Post Immunotherapy Endometrial Cancer (MK-2870-005)</t>
  </si>
  <si>
    <t>NCT05840211</t>
  </si>
  <si>
    <t>Study of Sacituzumab Govitecan Versus Treatment of Physician's Choice in Patients With Hormone Receptor-positive/Human Epidermal Growth Factor Receptor 2 Negative (HR+/HER2-) Metastatic Breast Cancer Who Have Received Endocrine Therapy</t>
  </si>
  <si>
    <t>NCT06028438</t>
  </si>
  <si>
    <t>A Study to Evaluate the Nipocalimab and Certolizumab Combination Therapy in Participants With Active Rheumatoid Arthritis</t>
  </si>
  <si>
    <t>NCT05710848</t>
  </si>
  <si>
    <t>A Study of STM-416 Administered to Patients Undergoing TURBT for Recurrent Bladder Cancer</t>
  </si>
  <si>
    <t>SURGE Therapeutics</t>
  </si>
  <si>
    <t>NCT05669755</t>
  </si>
  <si>
    <t>REDEFINE 3: A Research Study to See the Effects of CagriSema in People Living With Diseases in the Heart and Blood Vessels</t>
  </si>
  <si>
    <t>NCT05839626</t>
  </si>
  <si>
    <t>A Study to Investigate Safety and Efficacy With SAR445514 in Participants With Relapsed/Refractory Multiple Myeloma (RRMM) and Relapsed/Refractory Light-chain Amyloidosis (RRLCA)</t>
  </si>
  <si>
    <t>NCT06010758</t>
  </si>
  <si>
    <t>A Two-Week Study of an Anticavity Low pH Mouthwash</t>
  </si>
  <si>
    <t>NCT06134648</t>
  </si>
  <si>
    <t>Study of a Respiratory Syncytial Virus/Human Metapneumovirus Vaccine Candidate</t>
  </si>
  <si>
    <t>NCT05549258</t>
  </si>
  <si>
    <t>Study of Inebilizumab in Pediatric Subjects With Neuromyelitis Optica Spectrum Disorder</t>
  </si>
  <si>
    <t>NCT06113198</t>
  </si>
  <si>
    <t>A Study on the Immune Response and Safety of a Vaccine Against N. Meningitidis Serogroup B Infection in Healthy Infants From 2 Months of Age</t>
  </si>
  <si>
    <t>NCT05699993</t>
  </si>
  <si>
    <t>A Study of IBI351 in Healthy Subjects</t>
  </si>
  <si>
    <t>NCT06101316</t>
  </si>
  <si>
    <t>A Bridging Study to Evaluate the Safety, Tolerability, and Pharmacokinetics of CB06-036 in Healthy Subjects in China</t>
  </si>
  <si>
    <t>NCT05814536</t>
  </si>
  <si>
    <t>IDH1 Inhibitor AB-218 in Patients With Advanced IDH1 Mutant Cholangiocarcinoma and Other Solid Tumor</t>
  </si>
  <si>
    <t>AnHeart Therapeutics Inc.</t>
  </si>
  <si>
    <t>NCT05712421</t>
  </si>
  <si>
    <t>A Study Evaluation the Safety and Efficacy of Hormone Replacement Therapy With North Star Compared to Levothyroxine in Patients With Primary Hypothyroidism</t>
  </si>
  <si>
    <t>Neuvosyn Laboratories, LLC</t>
  </si>
  <si>
    <t>NCT05615974</t>
  </si>
  <si>
    <t>A Phase I/II Study of LM-101 Injection in Patients With Advanced Malignant Tumors</t>
  </si>
  <si>
    <t>NCT05921760</t>
  </si>
  <si>
    <t>Ivosidenib, Nivolumab, and Ipilimumab Combination in Previously Treated Subjects With Nonresectable or Metastatic IDH1 Mutant Cholangiocarcinoma</t>
  </si>
  <si>
    <t>NCT06119945</t>
  </si>
  <si>
    <t>Bioequivalence Study for the Safety and the Pharmacokinetics of DWJ1568 in Healthy Adult Volunteers</t>
  </si>
  <si>
    <t>NCT05758519</t>
  </si>
  <si>
    <t>A Study to Compare QLS1128 With Placebo in Symptomatic Participants With Mild to Moderate COVID-19</t>
  </si>
  <si>
    <t>NCT05941936</t>
  </si>
  <si>
    <t>A Clinical Study on LM103 for the Treatment of Advanced Solid Tumors</t>
  </si>
  <si>
    <t>NCT05650632</t>
  </si>
  <si>
    <t>A Study to Assess Adverse Events of Intravenously (IV) Infused Etentamig (ABBV-383) in Adult Participants With Relapsed or Refractory Multiple Myeloma</t>
  </si>
  <si>
    <t>NCT06100939</t>
  </si>
  <si>
    <t>NCT05963932</t>
  </si>
  <si>
    <t>A Study to Assess the Bioavailability and Effect of Food of BMS-986419 Immediate-release Tablet Formulation in Healthy Adult Participants</t>
  </si>
  <si>
    <t>NCT06124495</t>
  </si>
  <si>
    <t>Bioequivalence Study of Sitagliptin Hydrochloride / Metformin Hydrochloride Extended-release Film Coated Tablets 50 mg /500 mg (FDC) in Healthy Adult Male and Female Subjects Under Fasting Conditions.</t>
  </si>
  <si>
    <t>NCT06272630</t>
  </si>
  <si>
    <t>Study to Evaluate the Efficacy and Safety of DWJ1464 in Patients with Chronic Liver Disease</t>
  </si>
  <si>
    <t>NCT05882695</t>
  </si>
  <si>
    <t>Study of SPG302 in Healthy Volunteers and ALS Participants</t>
  </si>
  <si>
    <t>Spinogenix</t>
  </si>
  <si>
    <t>NCT06183736</t>
  </si>
  <si>
    <t>CVL237 Tablets in the Treatment of Advanced Solid Tumors With PTEN Deficiency</t>
  </si>
  <si>
    <t>Convalife (Shanghai) Co., Ltd.</t>
  </si>
  <si>
    <t>NCT05936268</t>
  </si>
  <si>
    <t>Safety and Efficacy of Genakumab for Injection in Patients With Gout Flare</t>
  </si>
  <si>
    <t>NCT05712278</t>
  </si>
  <si>
    <t>A Study to Investigate Use of Off-the-shelf Natural Killer (NK) Cells (SAR445419) in Relapsed/Refractory Acute Myeloid Leukemia</t>
  </si>
  <si>
    <t>NCT05913921</t>
  </si>
  <si>
    <t>Bioequivalence of Amphotericin B Liposome for Injection</t>
  </si>
  <si>
    <t>NCT05880043</t>
  </si>
  <si>
    <t>GIC-102, Intravenous Allogeneic NK Cells, in Subjects With Advanced Solid Cancers and R/R Hematologic Malignancies</t>
  </si>
  <si>
    <t>GI Cell, Inc.</t>
  </si>
  <si>
    <t>NCT04485949</t>
  </si>
  <si>
    <t>A Phase 2b Clinical Study With a Combination Immunotherapy in Newly Diagnosed Patients With Glioblastoma</t>
  </si>
  <si>
    <t>Imvax</t>
  </si>
  <si>
    <t>NCT05947474</t>
  </si>
  <si>
    <t>ORB-011 In Patients With Advanced Solid Tumors</t>
  </si>
  <si>
    <t>Orionis Biosciences Inc</t>
  </si>
  <si>
    <t>NCT06175117</t>
  </si>
  <si>
    <t>Clinical Study on the Treatment of Postpartum Anemia With Compound E Jiao Jiang(cEJJ）</t>
  </si>
  <si>
    <t>NCT05456490</t>
  </si>
  <si>
    <t>Phase 1, Dose Escalation Study to Evaluate of Safety, Pharmacokinetics and Pharmacodynamics of Liposomal Bupivacaine 13.3 Administered Via a Single Intrathecal Injection to Healthy Volunteers</t>
  </si>
  <si>
    <t>NCT05891158</t>
  </si>
  <si>
    <t>A Study About Fazirsiran in People With and Without Liver Problems</t>
  </si>
  <si>
    <t>NCT05981976</t>
  </si>
  <si>
    <t>A Study to Evaluate the Drug Levels of Abatacept Converted From Drug Substance by Two Different Processes in Healthy Participants</t>
  </si>
  <si>
    <t>NCT04971798</t>
  </si>
  <si>
    <t>Cell-free Stem Cell-derived Extract Formulation for Knee Osteoarthritis</t>
  </si>
  <si>
    <t>General Therapeutics</t>
  </si>
  <si>
    <t>NCT06238687</t>
  </si>
  <si>
    <t>A Study of STRO-002 in Chinese Adults With Epithelial Ovarian Cancer and Other Advanced Malignant Solid Tumors</t>
  </si>
  <si>
    <t>NCT06136884</t>
  </si>
  <si>
    <t>A First-In-Human, Phase 1 Study Evaluating Oral TACC3 PPI Inhibitor, AO-252, in Advanced Solid Tumors With or Without Brain Metastases</t>
  </si>
  <si>
    <t>A2A Pharmaceuticals Inc.</t>
  </si>
  <si>
    <t>NCT06211049</t>
  </si>
  <si>
    <t>Efficacy of Vitex Agnus-castus BNO 1095 (20 mg) in Women With Primary Dysmenorrhea</t>
  </si>
  <si>
    <t>Bionorica SE</t>
  </si>
  <si>
    <t>NCT05759949</t>
  </si>
  <si>
    <t>First-in-Human Study of RLY-5836 in Advanced Breast Cancer and Other Solid Tumors</t>
  </si>
  <si>
    <t>NCT05649748</t>
  </si>
  <si>
    <t>An Extension Study of Treprostinil Palmitil Inhalation Powder (TPIP) for Pulmonary Arterial Hypertension (PAH)</t>
  </si>
  <si>
    <t>NCT06111326</t>
  </si>
  <si>
    <t>BC3402 in Combination With Durvalumab in Patients With Advanced Hepatocellular Carcinoma</t>
  </si>
  <si>
    <t>NCT05834543</t>
  </si>
  <si>
    <t>Clinical Trial to Evaluate the Safety and Effectiveness of TQB2618 Injection Combined Therapy in Patients With Advanced Esophageal Squamous Cell Carcinoma</t>
  </si>
  <si>
    <t>NCT05715840</t>
  </si>
  <si>
    <t>Efficacy and Safety Study of First-line Treatment With SG001 Plus Chemotherapy ± Bevacizumab Versus Placebo Plus Chemotherapy ±Bevacizumab for Recurrent, or Metastatic Cervical Cancer With PD-L1 Positive (CPS≥1)</t>
  </si>
  <si>
    <t>NCT05573126</t>
  </si>
  <si>
    <t>Phase 1/2 Study to Evaluate EP0062 as Monotherapy and in Combination in Patients With Advanced or Metastatic AR+/HER-2-/ER+ Breast Cancer</t>
  </si>
  <si>
    <t>NCT06055985</t>
  </si>
  <si>
    <t>A Study to Evaluate the Efficacy, Safety, Tolerability, and Pharmacokinetics of UCB0022 in Study Participants With Advanced Parkinson's Disease</t>
  </si>
  <si>
    <t>NCT06491576</t>
  </si>
  <si>
    <t>A Clinical Trial of BGT-002 Tablets in Subjects With Nonalcoholic Steatohepatitis</t>
  </si>
  <si>
    <t>Burgeon Therapeutics Co., Ltd.</t>
  </si>
  <si>
    <t>NCT05946226</t>
  </si>
  <si>
    <t>A Phase I Trial to Evaluate the Safety of IMC002 in Advanced Digestive System Tumors</t>
  </si>
  <si>
    <t>NCT03806478</t>
  </si>
  <si>
    <t>Study of APH-1105 in Patients With Mild to Moderate Alzheimer's Disease</t>
  </si>
  <si>
    <t>Aphios</t>
  </si>
  <si>
    <t>NCT04603508</t>
  </si>
  <si>
    <t>Efficacy and Safety of Berlim 25/10 Association in the Treatment of Type II Diabetes Mellitus and Dyslipidemia</t>
  </si>
  <si>
    <t>NCT05905913</t>
  </si>
  <si>
    <t>FiH Study to Assess Safety and PK of SAD and MAD of ANT3310 Alone and in Combination With Meropenem in Healthy Subjects</t>
  </si>
  <si>
    <t>Antabio</t>
  </si>
  <si>
    <t>NCT05971589</t>
  </si>
  <si>
    <t>A Clinical Study on LM103 Injection for the Treatment of Advanced Solid Tumors</t>
  </si>
  <si>
    <t>NCT05890742</t>
  </si>
  <si>
    <t>A Clinical Trial Evaluating the Efficacy and Safety of IBI310 in Combination With Sintilimab, for Neoadjuvant Treatment of MSI-H/dMMR Resectable Colon Cancer</t>
  </si>
  <si>
    <t>NCT05233410</t>
  </si>
  <si>
    <t>Topical Ruxolitinib Evaluation in Chronic Hand Eczema Study 2</t>
  </si>
  <si>
    <t>NCT05990803</t>
  </si>
  <si>
    <t>A Study of BL-B01D1, SI-B003 and BL-B01D1+SI-B003 in Patients With Recurrent or Metastatic Cervical Cancer and Other Gynecological Malignancies</t>
  </si>
  <si>
    <t>NCT06057168</t>
  </si>
  <si>
    <t>Performance of Elucirem in DSC-MRI Perfusion of Brain Gliomas</t>
  </si>
  <si>
    <t>NCT06905327</t>
  </si>
  <si>
    <t>A Study to Evaluate the Safety of QCZ484 in Healthy and Mild Hypertensive Subjects</t>
  </si>
  <si>
    <t>NCT05663086</t>
  </si>
  <si>
    <t>Immunogenicity and Safety of COVID-19 Vaccine in Population Aged 18 Years and Above</t>
  </si>
  <si>
    <t>NCT05085990</t>
  </si>
  <si>
    <t>Safety and Toxicity Study of Intravesical Instillation of TARA-002 in Adults with High-grade Non-muscle Invasive Bladder Cancer (Phase 1b)</t>
  </si>
  <si>
    <t>NCT05631990</t>
  </si>
  <si>
    <t>A Study to Evaluate the Efficacy and Safety of AD-209</t>
  </si>
  <si>
    <t>NCT05664061</t>
  </si>
  <si>
    <t>Bioequivalence With Clinical Endpoint Study of Fluticasone Propionate 100 mcg and Salmeterol 50 mcg Inhalation Powder/Respirent Pharmaceuticals vs. ADVAIR DISKUS® 100/50 mcg Inhalation Powder/GSK in Patients With Asthma</t>
  </si>
  <si>
    <t>NCT05641896</t>
  </si>
  <si>
    <t>Study of [18F]FAPI-74 PET in Patients With Gastrointestinal Cancers</t>
  </si>
  <si>
    <t>NCT06002503</t>
  </si>
  <si>
    <t>Safety, Reactogenicity and Immunogenicity of a Venezuelan Equine Encephalitis DNA Vaccine Candidate Administered by Jet Injection</t>
  </si>
  <si>
    <t>PharmaJet, Inc.</t>
  </si>
  <si>
    <t>NCT06072560</t>
  </si>
  <si>
    <t>Efficacy and Tolerability of AP707 in Patients With Chronic Back Pain</t>
  </si>
  <si>
    <t>NCT05079360</t>
  </si>
  <si>
    <t>Efficacy Evaluation of Sabizabulin Monotherapy Versus Active Control for Treatment of ER+HER2- Metastatic Breast Cancer</t>
  </si>
  <si>
    <t>NCT06085482</t>
  </si>
  <si>
    <t>A Phase I Study of LY3502970 in Healthy Participants</t>
  </si>
  <si>
    <t>NCT05786573</t>
  </si>
  <si>
    <t>A Study of Obexelimab in Patients With Warm Autoimmune Hemolytic Anemia (SApHiAre)</t>
  </si>
  <si>
    <t>NCT05561374</t>
  </si>
  <si>
    <t>Study of Safety and Pharmacokinetic Properties of Oral OKN-007 in Patients with Recurrent High-Grade Glioma</t>
  </si>
  <si>
    <t>NCT05569759</t>
  </si>
  <si>
    <t>A Study of Zetomipzomib (KZR-616) in Patients With Autoimmune Hepatitis (PORTOLA)</t>
  </si>
  <si>
    <t>NCT06045221</t>
  </si>
  <si>
    <t>A Study of Orforglipron (LY3502970) Compared With Semaglutide in Participants With Type 2 Diabetes Inadequately Controlled With Metformin</t>
  </si>
  <si>
    <t>NCT05978284</t>
  </si>
  <si>
    <t>Study of ZG006 in Participants With Small Cell Lung Cancer or Neuroendocrine Carcinoma</t>
  </si>
  <si>
    <t>NCT05793684</t>
  </si>
  <si>
    <t>AD816 Crossover Study</t>
  </si>
  <si>
    <t>NCT06084936</t>
  </si>
  <si>
    <t>A Study to Evaluate Glofitamab as a Single Agent vs. Investigator's Choice in Participants With Relapsed/Refractory Mantle Cell Lymphoma</t>
  </si>
  <si>
    <t>NCT05957471</t>
  </si>
  <si>
    <t>Study of BC3195 Monotherapy in Patients With Advanced Solid Tumors</t>
  </si>
  <si>
    <t>NCT06410092</t>
  </si>
  <si>
    <t>Study in Patients With Advanced Solid Malignancies to Evaluate the Safety of FTL001</t>
  </si>
  <si>
    <t>Sound Biopharmaceuticals Ltd.</t>
  </si>
  <si>
    <t>NCT06747247</t>
  </si>
  <si>
    <t>A Clinical Study Evaluating the Safety, Tolerability, and Efficacy of MT1013 in Hemodialysis Subjects With Secondary Hyperparathyroidism</t>
  </si>
  <si>
    <t>NCT06063109</t>
  </si>
  <si>
    <t>A Clinical Trial to Evaluate the Safety and the Pharmacokinetic Interaction of Telmisartan and Dapagliflozin.</t>
  </si>
  <si>
    <t>THPharm Corp.</t>
  </si>
  <si>
    <t>NCT05830500</t>
  </si>
  <si>
    <t>Study of Anlotinib in Patients With Advanced Medullary Thyroid Carcinoma</t>
  </si>
  <si>
    <t>NCT05794906</t>
  </si>
  <si>
    <t>A Study to Compare Darolutamide Given With Androgen Deprivation Therapy (ADT) and Placebo Given With ADT in Men With Hormone Sensitive Prostate Cancer and Raise of Prostate Specific Antigen (PSA) Levels After Local Therapies</t>
  </si>
  <si>
    <t>NCT06029595</t>
  </si>
  <si>
    <t>Efficacy and Safety of Tanimilast in Asthmatics uNcontrolled on ICS-containinG backgrOund Maintenance Therapy</t>
  </si>
  <si>
    <t>NCT05354700</t>
  </si>
  <si>
    <t>A Clinical Study to Evaluate the Efficacy and Safety of HLX07 Combination Therapy in Patients With Extensive Small Cell Lung Cancer</t>
  </si>
  <si>
    <t>NCT06783192</t>
  </si>
  <si>
    <t>A Drug-Drug Interaction Study of MK 8527 With a Combined Oral Contraceptive (LNG/EE)</t>
  </si>
  <si>
    <t>NCT05906836</t>
  </si>
  <si>
    <t>A Drug Drug Interaction (DDI) Study of Selpercatinib (LY3527723) and Rosuvastatin in Healthy Participants</t>
  </si>
  <si>
    <t>NCT05769582</t>
  </si>
  <si>
    <t>Safety, Tolerability and Efficacy of AntiBKV as Treatment of BKV Infection in Kidney Transplant Recipients</t>
  </si>
  <si>
    <t>NCT05933824</t>
  </si>
  <si>
    <t>Study to Evaluate the Safety, Tolerability, Pharmacokinetics and Immunogenicity of LP-98 Injection in Healthy Subjects</t>
  </si>
  <si>
    <t>NCT05775042</t>
  </si>
  <si>
    <t>Clinical Study of CM338 in the Treatment of Immunoglobulin A Nephropathy</t>
  </si>
  <si>
    <t>NCT06180070</t>
  </si>
  <si>
    <t>Bioequivalence Study to Compare Ibuprofen/ Paracetamol Tablets (200mg Ibuprofen/ 500mg Paracetamol) Versus Nuromol® Tablets (200mg Ibuprofen/ 500mg Paracetamol)</t>
  </si>
  <si>
    <t>NCT05797805</t>
  </si>
  <si>
    <t>A Study of Tegavivint (BC2059) in Patients With Advanced Hepatocellular Carcinoma</t>
  </si>
  <si>
    <t>Iterion Therapeutics</t>
  </si>
  <si>
    <t>NCT05997342</t>
  </si>
  <si>
    <t>A Clinical Study of TQB3912 Tablets in Patients With Advanced Malignant Tumor</t>
  </si>
  <si>
    <t>NCT06077773</t>
  </si>
  <si>
    <t>Phase 2, Multicenter, Randomized, Double-Blind, Placebo-Controlled Study to Evaluate the Effects of EP262 in Subjects With Chronic Spontaneous Urticaria</t>
  </si>
  <si>
    <t>NCT05973773</t>
  </si>
  <si>
    <t>REZILIENT3 (REsearching ZIpaLertinib In Egfr Non-small Cell Lung Cancer Tumors)</t>
  </si>
  <si>
    <t>NCT05923866</t>
  </si>
  <si>
    <t>A Phase 2 Study of ONO-2808 in Patients With Multiple System Atrophy</t>
  </si>
  <si>
    <t>NCT05823246</t>
  </si>
  <si>
    <t>Safety and Efficacy Study of QLF31907 in Advanced Melanoma and Urothelial Carcinoma</t>
  </si>
  <si>
    <t>NCT06072170</t>
  </si>
  <si>
    <t>Single Ascending Doses of Kratom in Healthy Nondependent Adults With Opioid Experience</t>
  </si>
  <si>
    <t>Altasciences Company Inc.</t>
  </si>
  <si>
    <t>NCT05785741</t>
  </si>
  <si>
    <t>A Study of DB-1310 in Advanced/Metastatic Solid Tumors</t>
  </si>
  <si>
    <t>NCT05561127</t>
  </si>
  <si>
    <t>Paclitaxel Coated Balloon for the Treatment of Chronic bEnigN sTricture- Bowel</t>
  </si>
  <si>
    <t>GIE Medical</t>
  </si>
  <si>
    <t>NCT05810961</t>
  </si>
  <si>
    <t>A Study to Assess Effectiveness and Safety of Efgartigimod in Chinese Patients with Primary Membranous Nephropathy (ZL-1103-014)</t>
  </si>
  <si>
    <t>NCT05955586</t>
  </si>
  <si>
    <t>A Study to Assess the Intrapulmonary Pharmacokinetics (PK) of SPR719 by Comparing the Plasma, Epithelial Lining Fluid, and Alveolar Macrophage Concentrations Following the Oral Administration of Multiple Doses of SPR720 in Healthy Volunteers.</t>
  </si>
  <si>
    <t>NCT05656573</t>
  </si>
  <si>
    <t>CART-PSMA Cells for Advanced Prostate Cancer</t>
  </si>
  <si>
    <t>Nova Therapeutics LLC</t>
  </si>
  <si>
    <t>NCT05855083</t>
  </si>
  <si>
    <t>Efficacy and Safety Study of Narsoplimab in Pediatric Patients With High-Risk Hematopoietic Stem Cell Transplant TMA</t>
  </si>
  <si>
    <t>NCT05824923</t>
  </si>
  <si>
    <t>A Trial to Evaluate the Safety and Efficacy of Pulmonary Artery Denervation for the Treatment of Pulmonary Hypertension Associated With Left Heart Failure</t>
  </si>
  <si>
    <t>Pulnovo Medical (Wuxi) Co., Ltd.</t>
  </si>
  <si>
    <t>NCT06147570</t>
  </si>
  <si>
    <t>A Study of HS-10365 in Patients With Advanced or Metastatic RET Fusion-Positive Non-Small Cell Lung Cancer</t>
  </si>
  <si>
    <t>NCT05819866</t>
  </si>
  <si>
    <t>A Clinical Study to Assess the Efficacy and Safety of Leriglitazone in Adult Male Subjects With Cerebral Adrenoleukodystrophy</t>
  </si>
  <si>
    <t>Minoryx Therapeutics, S.L.</t>
  </si>
  <si>
    <t>NCT05750823</t>
  </si>
  <si>
    <t>A Study to Assess the Safety and Efficacy of Ruxolitinib Cream in Participants With Genital Vitiligo</t>
  </si>
  <si>
    <t>NCT06081686</t>
  </si>
  <si>
    <t>Study of [177Lu] Lu-XT033 Injection in Patients With Metastatic Prostate Cancer</t>
  </si>
  <si>
    <t>NCT05838625</t>
  </si>
  <si>
    <t>Study of Two Digital Therapeutics for the Treatment of Experiential Negative Symptoms of Schizophrenia</t>
  </si>
  <si>
    <t>NCT05830097</t>
  </si>
  <si>
    <t>A Study of Bi-Ligand-Drug Conjugate CBP-1019 in Patients With Advanced Solid Tumors</t>
  </si>
  <si>
    <t>Coherent Biopharma (Hefei) Co., Ltd.</t>
  </si>
  <si>
    <t>NCT05906862</t>
  </si>
  <si>
    <t>AMT-253 in Patients With Selected Advanced Solid Tumours</t>
  </si>
  <si>
    <t>Multitude Therapeutics (Australia) Pty Ltd</t>
  </si>
  <si>
    <t>NCT05790096</t>
  </si>
  <si>
    <t>Effectiveness and Safety Study of Filgrastine® in Patientes With Breast Cancer Treated With Myelotoxic Chemotherapy</t>
  </si>
  <si>
    <t>NCT05532943</t>
  </si>
  <si>
    <t>Evaluate the Safety and Efficacy of Allogeneic Umbilical Cord Mesenchymal Stem Cells in Patients With Multiple Sclerosis</t>
  </si>
  <si>
    <t>NCT05938296</t>
  </si>
  <si>
    <t>oHSV2-PD-L1/CD3-BsAb Administered Via Intratumoral Injection</t>
  </si>
  <si>
    <t>NCT05580588</t>
  </si>
  <si>
    <t>Open-Label Study of the CDK4/6 Inhibitor SPH4336 in Subjects With Locally Advanced or Metastatic Liposarcomas</t>
  </si>
  <si>
    <t>NCT05503797</t>
  </si>
  <si>
    <t>A Study to Assess the Efficacy and Safety of FORE8394 in Participants With Cancer Harboring BRAF Alterations</t>
  </si>
  <si>
    <t>Fore Biotherapeutics</t>
  </si>
  <si>
    <t>NCT05824143</t>
  </si>
  <si>
    <t>Open-label Trial to Evaluate the Effect Carbamazepine on Darigabat Pharmacokinetics in Healthy Adult Participants</t>
  </si>
  <si>
    <t>NCT05875974</t>
  </si>
  <si>
    <t>A Study to Investigate the Effect of XYWAV on Sleepiness, Polysomnography, and Functional Outcomes in Participants With Idiopathic Hypersomnia or Narcolepsy</t>
  </si>
  <si>
    <t>NCT05826990</t>
  </si>
  <si>
    <t>A Study to Investigate PK, Safety, Tolerability of Cefepime-enmetazobactam in Pediatric Participants With cUTI</t>
  </si>
  <si>
    <t>Allecra</t>
  </si>
  <si>
    <t>NCT07169240</t>
  </si>
  <si>
    <t>Evaluation of Safety, Tolerability, Pharmacokinetics and Pharmacodynamics of BT-114143 Injection in Healthy Subjects</t>
  </si>
  <si>
    <t>ScinnoHub Pharmaceutical Co., Ltd.</t>
  </si>
  <si>
    <t>NCT05907668</t>
  </si>
  <si>
    <t>A Proof-of-Concept Study to Assess Batoclimab in Participants With Graves' Disease</t>
  </si>
  <si>
    <t>NCT05861674</t>
  </si>
  <si>
    <t>A Study to Assess Efficacy and Safety of HH-003 Injection in Subjects With Chronic Hepatitis Delta Virus Infection</t>
  </si>
  <si>
    <t>NCT05938920</t>
  </si>
  <si>
    <t>Study Evaluating INS018_055 Administered Orally to Subjects With Idiopathic Pulmonary Fibrosis (IPF)</t>
  </si>
  <si>
    <t>NCT05967520</t>
  </si>
  <si>
    <t>JMKX000189 for Moderate to Severe Active Systemic Lupus Erythematosus</t>
  </si>
  <si>
    <t>NCT05610813</t>
  </si>
  <si>
    <t>Comparison of VER-01 to Opioids in Patients With Chronic Non-specific Low Back Pain</t>
  </si>
  <si>
    <t>NCT05600582</t>
  </si>
  <si>
    <t>A Study of CodaLytic, an Intratumoral Oncolytic Virus, in Patients With Breast Cancer</t>
  </si>
  <si>
    <t>NCT05928585</t>
  </si>
  <si>
    <t>A Study of Safety and Drug Levels of HIB210 in Healthy Volunteers</t>
  </si>
  <si>
    <t>NCT05758415</t>
  </si>
  <si>
    <t>Study of Efficacy and Safety of Secukinumab in Participants With Moderate-severe Rotator Cuff Tendinopathy</t>
  </si>
  <si>
    <t>NCT05758818</t>
  </si>
  <si>
    <t>A Study of Milademetan Administration on Cardiac Repolarization in Healthy Subjects</t>
  </si>
  <si>
    <t>NCT05971576</t>
  </si>
  <si>
    <t>A Clinical Study on TILs for the Treatment of Advanced Solid Tumors</t>
  </si>
  <si>
    <t>NCT05552976</t>
  </si>
  <si>
    <t>A Study to Evaluate Mezigdomide in Combination With Carfilzomib and Dexamethasone (MeziKD) Versus Carfilzomib and Dexamethasone (Kd) in Participants With Relapsed or Refractory Multiple Myeloma (SUCCESSOR-2)</t>
  </si>
  <si>
    <t>NCT05827874</t>
  </si>
  <si>
    <t>A Study on the Effect of Nipocalimab on Vaccine Responses in Healthy Participants</t>
  </si>
  <si>
    <t>NCT05682560</t>
  </si>
  <si>
    <t>Human Umbilical Cord Blood (RegeneCyte) Infusion in Patients with Post-COVID Syndrome</t>
  </si>
  <si>
    <t>NCT05619926</t>
  </si>
  <si>
    <t>Safety and Efficacy of STSP-0601 in Adult Patients With Hemophilia A or B Without Inhibitor</t>
  </si>
  <si>
    <t>NCT05707325</t>
  </si>
  <si>
    <t>Safety, Tolerability and Preliminary Efficacy of Engineered Red Blood Cell in Patients With Advanced Malignancies</t>
  </si>
  <si>
    <t>Westlake Therapeutics</t>
  </si>
  <si>
    <t>NCT06243640</t>
  </si>
  <si>
    <t>Phase 3 Clinical Trial of Buagafuran Capsules in the Treatment of GAD</t>
  </si>
  <si>
    <t>Beijing Union Pharmaceutical Factory Ltd</t>
  </si>
  <si>
    <t>NCT05755191</t>
  </si>
  <si>
    <t>A Study to Assess NEU-411 in Healthy Participants</t>
  </si>
  <si>
    <t>Neuron23 Inc.</t>
  </si>
  <si>
    <t>NCT05498389</t>
  </si>
  <si>
    <t>EMB-01 in Combination With Osimertinib in Patients With EGFR Mutant Lung Cancer</t>
  </si>
  <si>
    <t>NCT05889182</t>
  </si>
  <si>
    <t>A Study to Assess Change in Disease Activity and Adverse Events of Oral Upadacitinib in Adult and Adolescent Participants With Moderate to Severe Hidradenitis Suppurativa Who Have Failed Anti-TNF Therapy</t>
  </si>
  <si>
    <t>NCT06012240</t>
  </si>
  <si>
    <t>A Study to Evaluate the Safety and Effectiveness of Upadacitinib Tablets in Adult and Adolescent Participants With Severe Alopecia Areata</t>
  </si>
  <si>
    <t>NCT05707897</t>
  </si>
  <si>
    <t>A Food Effect Study of TS-142 in Healthy Subjects</t>
  </si>
  <si>
    <t>NCT05775289</t>
  </si>
  <si>
    <t>A Study of Tobemstomig Plus Platinum-Based Chemotherapy vs Pembrolizumab Plus Platinum-Based Chemotherapy in Participants With Previously Untreated Non-Small Cell Lung Cancer</t>
  </si>
  <si>
    <t>NCT05438420</t>
  </si>
  <si>
    <t>Oral Axl/Mer/CSF1R Selective Tyrosine Kinase Inhibitor Q702 in Combination With Pembrolizumab in Patients With Selected Advanced Solid Tumors</t>
  </si>
  <si>
    <t>NCT05737940</t>
  </si>
  <si>
    <t>A Study of AZD3427 in Participants With Heart Failure and Pulmonary Hypertension Group 2</t>
  </si>
  <si>
    <t>NCT06141876</t>
  </si>
  <si>
    <t>Evaluation of Psilocybin-Assisted Psychotherapy in Treating Severe Depression in Patients With PTSD</t>
  </si>
  <si>
    <t>Apex Labs Ltd.</t>
  </si>
  <si>
    <t>NCT06046391</t>
  </si>
  <si>
    <t>Efficacy and Safety of LP-003 in Moderate-to-severe Seasonal Allergic Rhinitis Adult</t>
  </si>
  <si>
    <t>NCT05597020</t>
  </si>
  <si>
    <t>A Study to Find Out if Daridorexant is Safe and Efficacious in Patients With Insomnia and Comorbid Nocturia</t>
  </si>
  <si>
    <t>NCT05636618</t>
  </si>
  <si>
    <t>Targeted Alpha-Particle Therapy for Advanced Somatostatin Receptor Type 2 (SSTR2) Positive Tumors</t>
  </si>
  <si>
    <t>NCT05817890</t>
  </si>
  <si>
    <t>Absorption, Metabolism, and Excretion of CYC065 in Healthy Male Subjects</t>
  </si>
  <si>
    <t>NCT05930925</t>
  </si>
  <si>
    <t>A Study to Understand How the Study Medicine Called ARV-471 is Processed in Healthy Adults</t>
  </si>
  <si>
    <t>NCT05555589</t>
  </si>
  <si>
    <t>Assessment of the Safety and Efficacy of 0.1% RGN-259 Ophthalmic Solution for the Treatment of NK: SEER-2</t>
  </si>
  <si>
    <t>ReGenTree, LLC</t>
  </si>
  <si>
    <t>NCT05693090</t>
  </si>
  <si>
    <t>Tipifarnib and Osimertinib in EGFR-mutated Non-Small Cell Lung Cancer</t>
  </si>
  <si>
    <t>NCT05641324</t>
  </si>
  <si>
    <t>A Study of ANV419 Alone or in Combination With Approved Treatments in Patients With Multiple Myeloma (OMNIA-2)</t>
  </si>
  <si>
    <t>NCT05768139</t>
  </si>
  <si>
    <t>First-in-Human Study of Tersolisib (STX-478) as Monotherapy and in Combination With Other Antineoplastic Agents in Participants With Advanced Solid Tumors</t>
  </si>
  <si>
    <t>NCT05650528</t>
  </si>
  <si>
    <t>QG101-23-0 Capsules SAD and MAD Study in Healthy Subjects</t>
  </si>
  <si>
    <t>NCT06207175</t>
  </si>
  <si>
    <t>A Study to Evaluate the Immunogenicity and Safety of Nonavalent Human Papillomavirus (HPV) Vaccine</t>
  </si>
  <si>
    <t>NCT06204419</t>
  </si>
  <si>
    <t>A Phase I Study of XH-S002 in Healthy Volunteers</t>
  </si>
  <si>
    <t>S-INFINITY Pharmaceuticals Co., Ltd</t>
  </si>
  <si>
    <t>NCT05465902</t>
  </si>
  <si>
    <t>Safety and Immunogenicity of Recombinant COVID-19 Variant Vaccine (Sf9 Cell) as a Booster</t>
  </si>
  <si>
    <t>NCT05607030</t>
  </si>
  <si>
    <t>A Second Trial of the Abbreviated Protocol Two-Stage Exchange</t>
  </si>
  <si>
    <t>NCT06019728</t>
  </si>
  <si>
    <t>A Prospective Study to Investigate Safety and Tolerability of Shorter Infusion of Fabrazyme</t>
  </si>
  <si>
    <t>NCT05753865</t>
  </si>
  <si>
    <t>A Study to Evaluate the Efficacy and Safety in Patients With Advanced Breast Cancer Treated With SYHX2011 Compared to Paclitaxel for Injection (Albumin-bound)</t>
  </si>
  <si>
    <t>NCT05862337</t>
  </si>
  <si>
    <t>Anlotinib Hydrochloride Capsules Combined With Penpulimab Injection for the Treatment of Hepatocellular Carcinoma at High Risk of Recurrence.</t>
  </si>
  <si>
    <t>NCT06012695</t>
  </si>
  <si>
    <t>NBM-BMX Administered Orally to Patients With Solid Tumors or Newly Diagnosed Glioblastoma</t>
  </si>
  <si>
    <t>Novelwise Pharmaceutical Corporation</t>
  </si>
  <si>
    <t>NCT05800444</t>
  </si>
  <si>
    <t>A Study to Learn How Safe the Study Treatment BAY3283142 is, How it Affects the Body, How it Moves Into, Through and Out of the Body When Single and Multiple Amounts Are Taken as Tablets in Japanese Healthy Male Participants</t>
  </si>
  <si>
    <t>NCT06169995</t>
  </si>
  <si>
    <t>A Study of Remimazolam Tosilate for Sedation in the Upper Gastrointestinal Endoscopy</t>
  </si>
  <si>
    <t>NCT05878067</t>
  </si>
  <si>
    <t>A Study to Assess Symptom Relief and Product Tolerability of ABBV-444 Drops in Adult Participants</t>
  </si>
  <si>
    <t>NCT05688475</t>
  </si>
  <si>
    <t>A Rollover Study of CC-122</t>
  </si>
  <si>
    <t>NCT05777967</t>
  </si>
  <si>
    <t>Efficacy and Safety of FF-31501 in Meniscus Tear Patients</t>
  </si>
  <si>
    <t>FUJIFILM Toyama Chemical Co., Ltd.</t>
  </si>
  <si>
    <t>NCT05628311</t>
  </si>
  <si>
    <t>A Study of IBI362 in Poorly Controlled Type 2 Diabetes Patients Only Through Diet and Exercise</t>
  </si>
  <si>
    <t>NCT06029972</t>
  </si>
  <si>
    <t>Study of Tilpisertib Fosmecarbil in Participants With Moderately to Severely Active Ulcerative Colitis</t>
  </si>
  <si>
    <t>NCT05519475</t>
  </si>
  <si>
    <t>A Precision Medicine Approach Using Gene Silencing to Treat a Chronic Liver Disease Called Metabolic Dysfunction-Associated Steatohepatitis (MASH) in Adult Participants at Increased Genetic Risk for This Condition</t>
  </si>
  <si>
    <t>NCT05677867</t>
  </si>
  <si>
    <t>A Study to Compare Two Different Forms of PF-07081532 in Adults Who Are Overweight or Obese</t>
  </si>
  <si>
    <t>NCT06625827</t>
  </si>
  <si>
    <t>A Study of the Effect of Nemtabrutinib (MK-1026) on the Plasma Levels of Digoxin in Healthy Participants (MK-1026-012)</t>
  </si>
  <si>
    <t>NCT06521931</t>
  </si>
  <si>
    <t>A Study of PN20 for the Prevention of Chemotherapy-induced Thrombocytopenia in Lymphoma or Solid Tumor Patients</t>
  </si>
  <si>
    <t>NCT06141577</t>
  </si>
  <si>
    <t>A Study to Compare Pharmacokinetics, Pharmacodynamics and Safety of UI059 and UIC202201 in Healthy Subjects</t>
  </si>
  <si>
    <t>NCT06007677</t>
  </si>
  <si>
    <t>A Long-term Study of STAR-0215 in Participants With Hereditary Angioedema</t>
  </si>
  <si>
    <t>NCT05799157</t>
  </si>
  <si>
    <t>Safety and Efficacy of VDMN-21 Patch in Subjects With Common Warts</t>
  </si>
  <si>
    <t>Veradermics, Inc.</t>
  </si>
  <si>
    <t>NCT05703841</t>
  </si>
  <si>
    <t>A Study of JNJ-77242113 Following Oral Administration in Healthy Chinese Adult Participants</t>
  </si>
  <si>
    <t>NCT05732194</t>
  </si>
  <si>
    <t>Multiple Ascending Dose Study to Evaluate the Safety, Tolerability, and Pharmacokinetics of ITI 333 in Healthy Volunteers</t>
  </si>
  <si>
    <t>NCT05773053</t>
  </si>
  <si>
    <t>A Study of NT 201 Doses in the Treatment of Platysma Prominence</t>
  </si>
  <si>
    <t>Merz Aesthetics GmbH</t>
  </si>
  <si>
    <t>NCT05817461</t>
  </si>
  <si>
    <t>An ADME Study of [14C]AZD0780 in Healthy Male Subjects</t>
  </si>
  <si>
    <t>NCT05712356</t>
  </si>
  <si>
    <t>A Study of LSTA1 When Added to Standard of Care Versus Standard of Care Alone in Patients With Advanced Solid Tumors</t>
  </si>
  <si>
    <t>NCT06101329</t>
  </si>
  <si>
    <t>Study of Lenacapavir and Emtricitabine/Tenofovir Disoproxil Fumarate (F/TDF) in Prevention of HIV in Cisgender Women in the United States (HPTN 102)</t>
  </si>
  <si>
    <t>NCT06072131</t>
  </si>
  <si>
    <t>To Evaluate Efficacy of Belinostat or Pralatrexate in Combination Against CHOP Alone in PTCL</t>
  </si>
  <si>
    <t>NCT05928637</t>
  </si>
  <si>
    <t>A Clinical Trial to Compare and Evaluate the Safety and Pharmacokinetics of D745, D759, and D150</t>
  </si>
  <si>
    <t>NCT05535946</t>
  </si>
  <si>
    <t>ABTECT - Maintenance</t>
  </si>
  <si>
    <t>NCT05646862</t>
  </si>
  <si>
    <t>A Study Evaluating the Efficacy and Safety of Inavolisib Plus Fulvestrant Compared With Alpelisib Plus Fulvestrant in Participants With HR-Positive, HER2-Negative, PIK3CA Mutated, Locally Advanced or Metastatic Breast Cancer Post CDK4/6i and Endocrine Combination Therapy</t>
  </si>
  <si>
    <t>NCT06114641</t>
  </si>
  <si>
    <t>Effectiveness &amp; Safety of Ovine Enoxaparin Sodium to Originator Enoxaparin in Non-ST-Segment Elevation ACS Patients</t>
  </si>
  <si>
    <t>NCT05872295</t>
  </si>
  <si>
    <t>IKS014 in Advanced Solid Tumors That Express HER2</t>
  </si>
  <si>
    <t>Iksuda Therapeutics Ltd.</t>
  </si>
  <si>
    <t>NCT05680129</t>
  </si>
  <si>
    <t>A Phase 3 Study to Evaluate the Efficacy of XW003 Compared With Dulaglutide in Participants With T2DM</t>
  </si>
  <si>
    <t>NCT05852769</t>
  </si>
  <si>
    <t>A Study to Evaluate the Drug-drug Interaction Potential of BMS-986196 in Healthy Participants</t>
  </si>
  <si>
    <t>NCT05725005</t>
  </si>
  <si>
    <t>PET Study of Repeated ASN51 in Healthy Volunteers</t>
  </si>
  <si>
    <t>NCT06041529</t>
  </si>
  <si>
    <t>Study to Evaluate the Efficacy and Safety of TEL/AML/CTD in Elderly Patients With Essential Hypertension</t>
  </si>
  <si>
    <t>NCT05559931</t>
  </si>
  <si>
    <t>Single and Repeat Doses of DMT in Healthy Subjects</t>
  </si>
  <si>
    <t>NCT05769595</t>
  </si>
  <si>
    <t>Single Dose Study of MK-2060 to Evaluate the Safety, Tolerability, Pharmacokinetics and Pharmacodynamics in Older Japanese Participants on Dialysis (MK-2060-012)</t>
  </si>
  <si>
    <t>NCT05872347</t>
  </si>
  <si>
    <t>Efficacy and Safety of SPH4336 in Combination With Endocrine Therapy in Breast Cancer Patients With Brain Metastases.</t>
  </si>
  <si>
    <t>NCT06074757</t>
  </si>
  <si>
    <t>Open Label, Sequential Dosing , Single Ascending Dose and Multiple Dose Safety Tolerability and Pharmacokinetic Study</t>
  </si>
  <si>
    <t>NCT06011200</t>
  </si>
  <si>
    <t>A Clinical Trial of ACYW135 Group Meningococcal Polysaccharide Conjugate Vaccine (CRM197 Vector) in a 4 to 6 Year-old Population</t>
  </si>
  <si>
    <t>NCT05529134</t>
  </si>
  <si>
    <t>Study of PTW-002 in Patients With Dominant or Recessive Dystrophic Epidermolysis Bullosa Due to Mutation(s) in Exon 73 of the COL7A1 Gene</t>
  </si>
  <si>
    <t>NCT06205407</t>
  </si>
  <si>
    <t>A Study to Learn How the Body Processes Spironolactone and Hydrochlorothiazide Film Coated Tablets Manufactured at Two Sites: Viatris and Neolpharma</t>
  </si>
  <si>
    <t>NCT06143371</t>
  </si>
  <si>
    <t>A Study to Investigate the Safety and Tolerability of CAN10 Antibody in Healthy Subjects and in Subjects With Plaque Psoriasis.</t>
  </si>
  <si>
    <t>NCT05156632</t>
  </si>
  <si>
    <t>Efficacy,Immunogenicity and Safety of COVID-19 Vaccine , Inactivated Booster Dose in Adults Aged 18 Years and Above</t>
  </si>
  <si>
    <t>NCT05848011</t>
  </si>
  <si>
    <t>A Study of Lorigerlimab With Docetaxel or Docetaxel Alone in Participants With Metastatic Castration-Resistant Prostate Cancer</t>
  </si>
  <si>
    <t>NCT06054698</t>
  </si>
  <si>
    <t>Efficacy and Safety of HRS9531 Injections in Overweight or Obese Subjects</t>
  </si>
  <si>
    <t>NCT06091865</t>
  </si>
  <si>
    <t>A Study to Compare How Well Odronextamab Combined With Chemotherapy Works and How Safe it is Against Rituximab Combined With Chemotherapy, in Adult Patients With Previously Untreated Diffuse Large B-cell Lymphoma</t>
  </si>
  <si>
    <t>NCT05635734</t>
  </si>
  <si>
    <t>Azeliragon and Chemoradiotherapy in Newly Diagnosed Glioblastoma</t>
  </si>
  <si>
    <t>NCT05698199</t>
  </si>
  <si>
    <t>Study to Evaluate the Safety, Tolerability, Immunogenicity and Preliminary Efficacy of ITI-1001 In Patients With Newly Diagnosed Glioblastoma (GBM)</t>
  </si>
  <si>
    <t>NCT06991634</t>
  </si>
  <si>
    <t>A Study to Evaluate the Pharmacokinetics and Safety of Azvudine Tablets in Healthy Adult Subjects and Healthy Elderly Subjects</t>
  </si>
  <si>
    <t>NCT05666687</t>
  </si>
  <si>
    <t>An Open-label, Adaptive Design, Positron Emission Tomography Study in Healthy Male Participants to Characterize Receptor Occupancy by MIJ821 in the Brain</t>
  </si>
  <si>
    <t>NCT05836506</t>
  </si>
  <si>
    <t>A Study to Assess the Relative Bioavailability of Immediate Release Formulations of ABBV-903 in Healthy Adult Participants</t>
  </si>
  <si>
    <t>NCT06033547</t>
  </si>
  <si>
    <t>A Study to Investigate the Pharmacokinetics, Safety, and Tolerability of Two Different Formulations of Long-acting Cabotegravir in Healthy Adult Participants</t>
  </si>
  <si>
    <t>NCT06132204</t>
  </si>
  <si>
    <t>Pharmacokinetic and Safety Studies of HRS-7535 in Subjects With Moderate Renal Insufficiency and Healthy Subjects</t>
  </si>
  <si>
    <t>NCT06814106</t>
  </si>
  <si>
    <t>A Single- and Multiple-Dose Study of Enlicitide Chloride (MK-0616) in Healthy Chinese Adult Participants (MK 0616-010)</t>
  </si>
  <si>
    <t>NCT06126952</t>
  </si>
  <si>
    <t>Azelastine Allergen Chamber - Onset of Action Study</t>
  </si>
  <si>
    <t>NCT05512052</t>
  </si>
  <si>
    <t>Preventing Preterm Birth With a Negative Pressure Cervical Cup: a Feasibility Study</t>
  </si>
  <si>
    <t>Galena Innovations, LLC</t>
  </si>
  <si>
    <t>NCT06016738</t>
  </si>
  <si>
    <t>OP-1250 (Palazestrant) vs. Standard of Care for the Treatment of ER+/HER2- Advanced Breast Cancer</t>
  </si>
  <si>
    <t>NCT06003426</t>
  </si>
  <si>
    <t>A Study to Evaluate the Efficacy, Safety, and Tolerability of BMS-986278 in Participants With Idiopathic Pulmonary Fibrosis</t>
  </si>
  <si>
    <t>NCT05884398</t>
  </si>
  <si>
    <t>A Study of an Intermittent ADT Approach With Apalutamide Monotherapy in Participants With mCSPC</t>
  </si>
  <si>
    <t>NCT05857878</t>
  </si>
  <si>
    <t>A Study to Test How Well Different Doses of BI 1815368 Are Tolerated by Healthy Men</t>
  </si>
  <si>
    <t>NCT06229665</t>
  </si>
  <si>
    <t>Study of Photobiomodulation to Treat Dry Age-Related Macular Degeneration (LIGHTSITEIIIB)</t>
  </si>
  <si>
    <t>LumiThera, Inc.</t>
  </si>
  <si>
    <t>NCT06012721</t>
  </si>
  <si>
    <t>Effect of Food on the Pharmacokinetics of ORIC-114</t>
  </si>
  <si>
    <t>NCT06105255</t>
  </si>
  <si>
    <t>A Study to Evaluate the Effects of D-1553 on PK of Midazolam, Caffeine, Rosuvastatin, Furosemide, Digoxin, and Itraconazole or Omeprazole on PK of D-1553</t>
  </si>
  <si>
    <t>NCT05682599</t>
  </si>
  <si>
    <t>Evaluate Azvudine in Preventing SARS-Cov-2 Infection in Household Contacts of Covid-19 in China</t>
  </si>
  <si>
    <t>NCT05590598</t>
  </si>
  <si>
    <t>Efficacy and Safety of Azelastine +Mometasone , Nasal Spray, 140 mcg + 50 mcg, (Sandoz d.d., Slovenia) and Momat Rino Advance, Nasal Spray, 140 mcg + 50 mcg, (Glenmark, India) Administered as a Monotherapy to Patients With Seasonal Allergic Rhinitis.</t>
  </si>
  <si>
    <t>NCT05128409</t>
  </si>
  <si>
    <t>Phase I of XKH001Injection in Healthy Adults</t>
  </si>
  <si>
    <t>Beijing Kanova Biopharmaceutical Co., LTD</t>
  </si>
  <si>
    <t>NCT04843787</t>
  </si>
  <si>
    <t>SLV213 Treatment in Ambulatory COVID-19 Patients</t>
  </si>
  <si>
    <t>Kenneth Krantz, MD, PhD</t>
  </si>
  <si>
    <t>NCT06122649</t>
  </si>
  <si>
    <t>A Study to Investigate Efficacy and Safety of Apremilast 30 mg Twice Daily (BID) in Chinese Participants With Moderate to Severe Plaque-type Psoriasis (PsO)</t>
  </si>
  <si>
    <t>NCT06137755</t>
  </si>
  <si>
    <t>Safety and Immunogenicity of CVI-VZV-001 for Prevention of Herpes Zoster in Healthy Adults Age 50 Years and Above</t>
  </si>
  <si>
    <t>NCT05751226</t>
  </si>
  <si>
    <t>A Study in People With Overweight or Obesity to Test How Well Different Doses of BI 1820237 Are Tolerated When Given Alone or in Combination With Either Semaglutide or BI 456906</t>
  </si>
  <si>
    <t>NCT06175143</t>
  </si>
  <si>
    <t>A Study to Evaluate the Safety and Efficacy of GR2002 Injection in Patients With Atopic Dermatitis.</t>
  </si>
  <si>
    <t>NCT05660850</t>
  </si>
  <si>
    <t>A Study To Evaluate The Efficacy, Safety, Pharmacokinetics, And Pharmacodynamic Effects Of GDC-6599 In Patients With Chronic Cough</t>
  </si>
  <si>
    <t>NCT05727800</t>
  </si>
  <si>
    <t>A Phase 1, First-in-human Study of VX-668</t>
  </si>
  <si>
    <t>NCT05724199</t>
  </si>
  <si>
    <t>A Study Assessing Rocatinlimab in Combination With Topical Corticosteroid and/or Topical Calcineurin Inhibitors in Adult Participants With Moderate-to-severe Atopic Dermatitis (AD)</t>
  </si>
  <si>
    <t>NCT06121063</t>
  </si>
  <si>
    <t>CCT-102 or Expectant Management in Delayed Pregnancy Loss</t>
  </si>
  <si>
    <t>Conceptra Biosciences, LLC</t>
  </si>
  <si>
    <t>NCT05983939</t>
  </si>
  <si>
    <t>Study Evaluating Safety and Tolerability of Escalating Single and Multiple Doses of PIPE-791 and Food Effect in Healthy Volunteers</t>
  </si>
  <si>
    <t>NCT05882812</t>
  </si>
  <si>
    <t>Sustained Acoustic Medicine (SAM) for Symptomatic Treatment of Knee Pain Related to Osteoarthritis</t>
  </si>
  <si>
    <t>NCT05528328</t>
  </si>
  <si>
    <t>Post-surgical Scars After the Use of CACIPLIQ20</t>
  </si>
  <si>
    <t>Organ, Tissue, Regeneration, Repair and Replacement</t>
  </si>
  <si>
    <t>NCT04929236</t>
  </si>
  <si>
    <t>Study to Evaluate Safety and Efficacy of Different PANZYGA Dose Regimens in Pediatric Chronic Inflammatory Demyelinating Polyradiculoneuropathy (CIDP) Patients</t>
  </si>
  <si>
    <t>NCT06586671</t>
  </si>
  <si>
    <t>A Study to Compare Forms of Nemtabrutinib (MK-1026) in Healthy Adult Participants (MK-1026-007)</t>
  </si>
  <si>
    <t>NCT05699239</t>
  </si>
  <si>
    <t>A Phase 2 Dose-finding Study of TS-172 in Hyperphosphatemia Patients on Hemodialysis</t>
  </si>
  <si>
    <t>NCT05999292</t>
  </si>
  <si>
    <t>Phase 1 Study of 68Ga-R8760</t>
  </si>
  <si>
    <t>Radionetics Oncology</t>
  </si>
  <si>
    <t>NCT06106334</t>
  </si>
  <si>
    <t>Effect of Administration of Itraconazole on the Pharmacokinetics of S-309309 in Healthy Participants</t>
  </si>
  <si>
    <t>NCT05800964</t>
  </si>
  <si>
    <t>Study to Explore the Safety, Tolerability, and Pharmacokinetics of AMG 305 in Subjects With Advanced Solid Tumors</t>
  </si>
  <si>
    <t>NCT05776121</t>
  </si>
  <si>
    <t>Study of ZB001 in Chinese Patients With Thyroid Eye Disease</t>
  </si>
  <si>
    <t>NCT05695521</t>
  </si>
  <si>
    <t>Regulatory T Cells for Amyotrophic Lateral Sclerosis</t>
  </si>
  <si>
    <t>NCT05824975</t>
  </si>
  <si>
    <t>A Study to Evaluate the Safety and Therapeutic Activity of GI-102 As a Single Agent and in Combination with Conventional Anti-cancer Drugs, Pembrolizumab or Trastuzumab Deruxtecan(T-DXd) in Patients with Advanced Solid Tumors (KEYNOTE-G08)</t>
  </si>
  <si>
    <t>NCT05741528</t>
  </si>
  <si>
    <t>An Extension Study to a Clinical Study That Will Continue to Evaluate the Effectiveness and Safety of SEP-363856 in People With Schizophrenia That Switch to SEP-363856 From Their From Their Current Antipsychotic Medication</t>
  </si>
  <si>
    <t>NCT06137092</t>
  </si>
  <si>
    <t>rFVIII-Fc (Produced by AryoGen Pharmed Co.) Pharmacokinetic Study</t>
  </si>
  <si>
    <t>NCT05891171</t>
  </si>
  <si>
    <t>Study of AB598 Monotherapy and Combination Therapy in Participants With Advanced Cancers</t>
  </si>
  <si>
    <t>NCT05874622</t>
  </si>
  <si>
    <t>A Phase I Clinical Study of VC005 Tablets in Subjects With Rheumatoid Arthritis.</t>
  </si>
  <si>
    <t>NCT05394831</t>
  </si>
  <si>
    <t>A Phase 1/2 Study to Evaluate the Safety, Tolerability and PK of JIN-A02 in Patients With EGFR Mutant Advanced NSCLC</t>
  </si>
  <si>
    <t>NCT05633992</t>
  </si>
  <si>
    <t>Safety and Immunogenicity of V116 in Vaccine-naïve Japanese Older Adults (V116-009, STRIDE-9)</t>
  </si>
  <si>
    <t>NCT05876312</t>
  </si>
  <si>
    <t>Safety, Tolerability, PK and PD of ADX-038 in Healthy Participants and Paroxysmal Nocturnal Hemoglobinuria (PNH) Patients</t>
  </si>
  <si>
    <t>NCT06162728</t>
  </si>
  <si>
    <t>Dose Escalation Trial Of Safety, Pharmacokinetic/Pharmacodynamic And Preliminary Clinical Activity of Briquilimab In Adult Patients With Chronic Spontaneous Urticaria (CSU)</t>
  </si>
  <si>
    <t>NCT05931367</t>
  </si>
  <si>
    <t>A Study of Retatrutide (LY3437943) Once Weekly in Participants Who Have Obesity or Overweight and Osteoarthritis of the Knee</t>
  </si>
  <si>
    <t>NCT05594992</t>
  </si>
  <si>
    <t>An Extension Study of JR-141 to Evaluate the Long-term Safety and Efficacy in MPS II (Hunter Syndrome) Subjects</t>
  </si>
  <si>
    <t>NCT05808881</t>
  </si>
  <si>
    <t>Clinical Outcomes From Nalmefene</t>
  </si>
  <si>
    <t>NCT05972967</t>
  </si>
  <si>
    <t>Safety and Efficacy of OMS906 in Paroxysmal Nocturnal Hemoglobinuria Patients With a Sub-optimal Response to Ravulizumab</t>
  </si>
  <si>
    <t>NCT05594667</t>
  </si>
  <si>
    <t>Effect of SSRIs on Response to Psilocybin Therapy</t>
  </si>
  <si>
    <t>Cybin Therapeutics Inc.</t>
  </si>
  <si>
    <t>NCT05733611</t>
  </si>
  <si>
    <t>RP2/RP3 in Combination With Atezolizumab and Bevacizumab for the Treatment of Patients With CRC</t>
  </si>
  <si>
    <t>NCT04998747</t>
  </si>
  <si>
    <t>A Study of Subcutaneous (SC) AMG 701 in Participants With Relapsed or Refractory Multiple Myeloma (RRMM)</t>
  </si>
  <si>
    <t>NCT05703607</t>
  </si>
  <si>
    <t>A Study to Learn About a Modified RNA Vaccine Against Shingles in Healthy Adults</t>
  </si>
  <si>
    <t>NCT05762107</t>
  </si>
  <si>
    <t>A Study of the Effect of ZT-01 on Night-time Hypoglycemia in Type 1 Diabetes</t>
  </si>
  <si>
    <t>NCT05605899</t>
  </si>
  <si>
    <t>Study to Compare Axicabtagene Ciloleucel With Standard of Care Therapy as First-line Treatment in Participants With High-risk Large B-cell Lymphoma</t>
  </si>
  <si>
    <t>NCT05662332</t>
  </si>
  <si>
    <t>A Study of Insulin Efsitora Alfa (LY3209590) Compared to Glargine in Adult Participants With Type 2 Diabetes Who Are Starting Basal Insulin for the First Time (QWINT-1)</t>
  </si>
  <si>
    <t>NCT06110663</t>
  </si>
  <si>
    <t>A Study of HS-10241 Combined With Almonertinib Versus Platinum-based Chemotherapy in Treatment of Advanced NSCLC With MET Amplification After Failure of EGFR-TKI Therapy</t>
  </si>
  <si>
    <t>NCT05987033</t>
  </si>
  <si>
    <t>Proof-of-concept Study With NVDX3 for Treatment of Distal Radius Fractures.</t>
  </si>
  <si>
    <t>NCT04242147</t>
  </si>
  <si>
    <t>A Study to Investigate the Safety, Pharmacokinetics, Pharmacodynamics, and Preliminary Efficacy of KD033 (SAR445710) in Subjects With Metastatic or Locally Advanced Solid Tumors</t>
  </si>
  <si>
    <t>NCT05633355</t>
  </si>
  <si>
    <t>A Study to Assess the Safety, Tolerability, and Efficacy of Rocatinlimab in Adolescent Participants With Moderate-to-severe Atopic Dermatitis (AD)</t>
  </si>
  <si>
    <t>NCT05280314</t>
  </si>
  <si>
    <t>Phase II Trial of Neoadjuvant and Adjuvant IO102-IO103 and Pembrolizumab KEYTRUDA® in Patients With Resectable Tumors</t>
  </si>
  <si>
    <t>NCT06092606</t>
  </si>
  <si>
    <t>A Multicenter Clinical Trial on DH001 Tablets in the Prevention of Doxorubicin-induced Cardiotoxicity in Cancer Patients</t>
  </si>
  <si>
    <t>Monyan Pharmaceutical (Shanghai) Co., Ltd.</t>
  </si>
  <si>
    <t>NCT04782258</t>
  </si>
  <si>
    <t>A Study to See Iftolvaptan is Safe in Infants and Children Who at Enrollment Are 28 Days to Less Than 18 Years Old withAutosomal Recessive Polycystic Kidney Disease (ARPKD)</t>
  </si>
  <si>
    <t>NCT05838833</t>
  </si>
  <si>
    <t>Ointment to Prevent Scar After Thyroidectomy</t>
  </si>
  <si>
    <t>NCT05829148</t>
  </si>
  <si>
    <t>The Effect of Dexmedetomidine, Melatonin and Pregabalin</t>
  </si>
  <si>
    <t>NCT06055777</t>
  </si>
  <si>
    <t>Study of the Safety, Tolerability, and PK of SZEY-2108 Administered Intravenously to HVs in SAD and MAD Cohorts</t>
  </si>
  <si>
    <t>Suzhou Erye Pharmaceutical Co., Ltd.</t>
  </si>
  <si>
    <t>NCT03637387</t>
  </si>
  <si>
    <t>802NP302 Efficacy and Safety Study of BIIB074 in Participants With Trigeminal Neuralgia</t>
  </si>
  <si>
    <t>NCT05705349</t>
  </si>
  <si>
    <t>DOR/ISL in HIV-1 Antiretroviral Treatment-naïve Participants (MK-8591A-053)</t>
  </si>
  <si>
    <t>NCT05965414</t>
  </si>
  <si>
    <t>Safety and Pharmacokinetics of Single Ascending Doses and Multiple Ascending Doses of CS6253 in Healthy Volunteers</t>
  </si>
  <si>
    <t>Artery Therapeutics, Inc.</t>
  </si>
  <si>
    <t>NCT05720052</t>
  </si>
  <si>
    <t>A Study of MS-553 in Patients With Relapsed or Refractory B-cell Lymphoma</t>
  </si>
  <si>
    <t>MingSight Pharmaceuticals, Inc</t>
  </si>
  <si>
    <t>NCT02587572</t>
  </si>
  <si>
    <t>Safety and Efficacy Trial Using Allogeneic Human Mesenchymal Stem Cells: The SIRONA Trial</t>
  </si>
  <si>
    <t>NCT05690945</t>
  </si>
  <si>
    <t>A Study of QL1706 in Combination With Chemotherapy in PD-L1-Negative Non-small Cell Lung Cancer</t>
  </si>
  <si>
    <t>NCT06101095</t>
  </si>
  <si>
    <t>A Study Assessing Esophageal Function and Remodeling With Dupilumab Compared With Placebo for 24 Weeks Followed by 104 Weeks Open Label in Adult Participants With EoE (REMOdeling With Dupilumab in Eosinophilic Esophagitis Long-term Trial)</t>
  </si>
  <si>
    <t>NCT05681819</t>
  </si>
  <si>
    <t>A Study of SHR-1707 With Mild Cognitive Impairment Due to Alzheimer's Disease or Mild Alzheimer's Disease</t>
  </si>
  <si>
    <t>NCT05788588</t>
  </si>
  <si>
    <t>A Phase Ⅲ Study of HR19006 Injection in Postsurgical Parenteral Nutrition</t>
  </si>
  <si>
    <t>NCT05866627</t>
  </si>
  <si>
    <t>A Study to Assess the Effect of Famotidine on the Drug Levels of Afimetoran in Healthy Participants</t>
  </si>
  <si>
    <t>NCT05914805</t>
  </si>
  <si>
    <t>A Study to Evaluate the Efficacy and Safety of Clascoterone Solution in Treatment of Male Pattern Hair Loss (SCALP2)</t>
  </si>
  <si>
    <t>Cassiopea SpA</t>
  </si>
  <si>
    <t>NCT05473156</t>
  </si>
  <si>
    <t>A Study to Investigate the Safety, Pharmacokinetics, and Clinical Activity of AP203 in Patients with Locally Advanced or Metastatic Solid Tumors, and Expansion to Selected Malignancies</t>
  </si>
  <si>
    <t>AP Biosciences Inc.</t>
  </si>
  <si>
    <t>NCT05783622</t>
  </si>
  <si>
    <t>Study of JANX008 in Subjects With Advanced or Metastatic Solid Tumor Malignancies</t>
  </si>
  <si>
    <t>NCT05940402</t>
  </si>
  <si>
    <t>A Study to Evaluate Pharmacokinetic and Safety Trial of Emraclidine in Participants With Renal Impairment Compared With Participants With Normal Renal Function</t>
  </si>
  <si>
    <t>NCT05802173</t>
  </si>
  <si>
    <t>Study of TDM-105795 Following Topical Administration in Male Subjects With Androgenetic Alopecia</t>
  </si>
  <si>
    <t>NCT05888103</t>
  </si>
  <si>
    <t>Efficacy and Safety of Inclisiran as Monotherapy in Chinese Adults With Low or Moderate ASCVD Risk and Elevated Low-density Lipoprotein Cholesterol.</t>
  </si>
  <si>
    <t>NCT05764161</t>
  </si>
  <si>
    <t>A Study to Evaluate the Efficacy and Safety of Ruxolitinib Cream in Participants With Prurigo Nodularis (PN)</t>
  </si>
  <si>
    <t>NCT05599802</t>
  </si>
  <si>
    <t>Clinical Study of SARS-CoV-2 Variant mRNA Vaccine in Healthy Participants</t>
  </si>
  <si>
    <t>NCT05925127</t>
  </si>
  <si>
    <t>Phase 2/3 Heterologous Boosting Study With Different Dose Levels of Monovalent SARS-CoV-2 rS Vaccines</t>
  </si>
  <si>
    <t>NCT06208683</t>
  </si>
  <si>
    <t>The Immunogenicity and Safety of the Booster Doses of a Live-attenuated Mumps Vaccine in Junior High School Students</t>
  </si>
  <si>
    <t>NCT05702983</t>
  </si>
  <si>
    <t>The Safety and Tolerability of STSA-1002 Following Subcutaneous Injection in Healthy Subjects</t>
  </si>
  <si>
    <t>NCT05883956</t>
  </si>
  <si>
    <t>A Study Comparing Treatment Preference Between Oral Decitabine/Cedazuridine and Azacitidine in Myelodysplastic Syndrome, Low-Blast Acute Myeloid Leukemia, or Chronic Myelomonocytic Leukemia</t>
  </si>
  <si>
    <t>Otsuka Australia Pharmaceutical Pty Ltd</t>
  </si>
  <si>
    <t>NCT06093945</t>
  </si>
  <si>
    <t>Effect of Omeprazole on Pharmacokinetics of SHR2554 in Healthy Subjects</t>
  </si>
  <si>
    <t>NCT06153342</t>
  </si>
  <si>
    <t>A Study of TL-925 for the Treatment of Allergic Conjunctivitis</t>
  </si>
  <si>
    <t>NCT05524051</t>
  </si>
  <si>
    <t>A Multi-center Study to Evaluate the Safety, Tolerability and Efficacy of TIN816 in Patients at Risk for Acute Kidney Injury Following Cardiac Surgery.</t>
  </si>
  <si>
    <t>NCT07052006</t>
  </si>
  <si>
    <t>A Phase 2a Study of HT-6184 in Subjects With IPSS-R Very Low, Low or Intermediate Risk MDS and Anemia</t>
  </si>
  <si>
    <t>NCT06132243</t>
  </si>
  <si>
    <t>Comparative Study on Pharmacokinetics of Two Formulations of Jaktinib in Healthy Adults Under Fasting Conditions</t>
  </si>
  <si>
    <t>NCT05787418</t>
  </si>
  <si>
    <t>HH-120 Nasal Spray for Post-exposure Prevention of SARS-CoV-2</t>
  </si>
  <si>
    <t>NCT05905497</t>
  </si>
  <si>
    <t>The Study of Bemnifosbuvir in Healthy Japanese Subjects</t>
  </si>
  <si>
    <t>NCT06202378</t>
  </si>
  <si>
    <t>Safety and Efficacy of SHPL-49 Injection in Participants With Acute Ischemic Stroke</t>
  </si>
  <si>
    <t>NCT05944978</t>
  </si>
  <si>
    <t>A Study of GNC-035 in Relapsed or Refractory Chronic Lymphocytic Leukemia and Other Hematological Malignancies</t>
  </si>
  <si>
    <t>NCT05905458</t>
  </si>
  <si>
    <t>A Phase II Clinical Study of the Efficacy and Safety of HRS9950 Tablets in Chronic Hepatitis B Patients Who Are Virologically Suppressed on Nucleoside or Nucleotide Analogues (NAs)</t>
  </si>
  <si>
    <t>NCT06319235</t>
  </si>
  <si>
    <t>Clinical Trial to Demonstrate the Safety and Efficacy of DUOFAG®</t>
  </si>
  <si>
    <t>MB PHARMA s.r.o.</t>
  </si>
  <si>
    <t>NCT05741476</t>
  </si>
  <si>
    <t>Safety and Efficacy Study of Viaskin Peanut in Peanut-allergic Children 4-7 Years of Age</t>
  </si>
  <si>
    <t>NCT05700591</t>
  </si>
  <si>
    <t>rhPro-UK in Acute Ischaemic Stroke Within 4.5 Hours of Stroke Onset Trial 2(PROST-2)</t>
  </si>
  <si>
    <t>NCT06097390</t>
  </si>
  <si>
    <t>A Research Study Looking at New Protein-based Tablets in Healthy Men - Oral Formulation III</t>
  </si>
  <si>
    <t>NCT06026748</t>
  </si>
  <si>
    <t>A Phase I Study of XJ103 in Chinese Healthy Subjects</t>
  </si>
  <si>
    <t>Starmab biologics（Shanghai）Co,.ltd</t>
  </si>
  <si>
    <t>NCT05877547</t>
  </si>
  <si>
    <t>A Clinical Study of Efinopegdutide in Participants With Precirrhotic Nonalcoholic Steatohepatitis (NASH) (MK-6024-013)</t>
  </si>
  <si>
    <t>NCT06087458</t>
  </si>
  <si>
    <t>NCT05556616</t>
  </si>
  <si>
    <t>A Study of Modakafusp Alfa in Adult Participants With Multiple Myeloma</t>
  </si>
  <si>
    <t>NCT05997576</t>
  </si>
  <si>
    <t>A Study of TG103 Injection in Non-diabetic Overweight or Obesity</t>
  </si>
  <si>
    <t>NCT06644326</t>
  </si>
  <si>
    <t>A PK Study of IkT-148009 in Older and Elderly Healthy Subjects</t>
  </si>
  <si>
    <t>NCT05905055</t>
  </si>
  <si>
    <t>P3 Study to Assess Efficacy and Safety of Cefepime/Nacubactam and Aztreonam/Nacubactam Versus Best Available Therapy for Adults With Infection Due to Carbapenem Resistant Enterobacterales</t>
  </si>
  <si>
    <t>Meiji Seika Pharma Co., Ltd.</t>
  </si>
  <si>
    <t>NCT06145217</t>
  </si>
  <si>
    <t>An Drug-drug Interaction Study to Evaluate the Effects of Omeprazole 40mg on the Pharmacokinetics of SPRYCEL®</t>
  </si>
  <si>
    <t>NCT05769608</t>
  </si>
  <si>
    <t>A Pivotal Study to Evaluate the Efficacy of Lorundrostat in Subjects With Uncontrolled Hypertension on a Standardized Antihypertensive Medication Regimen</t>
  </si>
  <si>
    <t>NCT05740917</t>
  </si>
  <si>
    <t>To Evaluate the Phase I Clinical Study of XZB-0004 in Patients With AML and MDS</t>
  </si>
  <si>
    <t>NCT04234048</t>
  </si>
  <si>
    <t>Phase 1 Trial of ST-001 nanoFenretinide in Relapsed/Refractory T-cell Non-Hodgkin Lymphoma</t>
  </si>
  <si>
    <t>SciTech Development, Inc.</t>
  </si>
  <si>
    <t>NCT05509608</t>
  </si>
  <si>
    <t>Evaluating a New Sensor That Measures the Health of the Retina in Normally-sighted Subjects</t>
  </si>
  <si>
    <t>RetMap, Inc</t>
  </si>
  <si>
    <t>NCT05184517</t>
  </si>
  <si>
    <t>A Feasibility Study to Evaluate the Tolerability of Oph1 Compared to Restasis in Healthy Volunteers</t>
  </si>
  <si>
    <t>OphRx Ltd.</t>
  </si>
  <si>
    <t>NCT05934526</t>
  </si>
  <si>
    <t>Efficacy and Safety of Seralutinib in Adult Subjects With PAH (PROSERA)</t>
  </si>
  <si>
    <t>GB002, Inc.</t>
  </si>
  <si>
    <t>NCT05698043</t>
  </si>
  <si>
    <t>A Clinical Trial to Evaluate the Tolerability and Pharmacokinetics of CKD-386(5) 80/20/10mg</t>
  </si>
  <si>
    <t>NCT05683340</t>
  </si>
  <si>
    <t>A Confirmatory Trial of ETC-1002 in Patients With Hyper-LDL Cholesterolemia</t>
  </si>
  <si>
    <t>NCT05708950</t>
  </si>
  <si>
    <t>A Clinical Trial of KVA12123 [TBS-2025] Treatment Alone and in Combination With Pembrolizumab In Advanced Solid Tumors (VISTA-101)</t>
  </si>
  <si>
    <t>Kineta Inc.</t>
  </si>
  <si>
    <t>NCT05630755</t>
  </si>
  <si>
    <t>A Switch to Doravirine/Islatravir (DOR/ISL) in Participants With Human Immunodeficiency Virus Type 1 (HIV-1) Who Are Virologically Suppressed on Bictegravir/Emtricitabine/Tenofovir Alafenamide (BIC/FTC/TAF) (MK-8591A-052)</t>
  </si>
  <si>
    <t>NCT06119685</t>
  </si>
  <si>
    <t>IDP-023 as a Single Agent and in Combination With Antibody Therapies in Patients With Advanced Hematologic Cancers</t>
  </si>
  <si>
    <t>Indapta Therapeutics, INC.</t>
  </si>
  <si>
    <t>NCT05856513</t>
  </si>
  <si>
    <t>Pharmacokinetics of ZSP1273 in Participants With Hepatic Impairment</t>
  </si>
  <si>
    <t>NCT05118360</t>
  </si>
  <si>
    <t>Study to Evaluate the Safety, Tolerability, and Efficacy of ASC41 in Adults With NASH</t>
  </si>
  <si>
    <t>NCT05788926</t>
  </si>
  <si>
    <t>A Clinical Trial of TG6050 in Patients With Metastatic Non-Small Cell Lung Cancer (Delivir)</t>
  </si>
  <si>
    <t>NCT05363826</t>
  </si>
  <si>
    <t>Intracavitary Photodynamic Therapy as an Adjuvant to Resection of Glioblastoma or Gliosarcoma Using IV Photobac®</t>
  </si>
  <si>
    <t>Photolitec LLC</t>
  </si>
  <si>
    <t>NCT05934513</t>
  </si>
  <si>
    <t>A Study of GFH009 Monotherapy in Patients with Relapsed or Refractory Peripheral T-cell Lymphoma (PTCL)</t>
  </si>
  <si>
    <t>NCT05923424</t>
  </si>
  <si>
    <t>A Trial to Learn if Different Doses of REGN17092 Are Safe in Healthy Adults</t>
  </si>
  <si>
    <t>NCT05859724</t>
  </si>
  <si>
    <t>Evaluation of NM26-2198 in Healthy Subjects and in Patients With Moderate-to-severe Atopic Dermatitis (AD)</t>
  </si>
  <si>
    <t>Yellow Jersey Therapeutics AG</t>
  </si>
  <si>
    <t>NCT05759923</t>
  </si>
  <si>
    <t>First-in-human Phase I Study to Evaluate Safety, Tolerability and Antineoplastic Activity of OATD-02 in Patients with Selected Advanced And/or Metastatic Solid Tumours</t>
  </si>
  <si>
    <t>Molecure S.A.</t>
  </si>
  <si>
    <t>NCT06143423</t>
  </si>
  <si>
    <t>A Clinical Trial of AP026 (TQA2226) for Injection in Adult Subjects.</t>
  </si>
  <si>
    <t>NCT06180083</t>
  </si>
  <si>
    <t>Bioequivalence Study of Azelastine Hydrochloride/ Fluticasone Propionate 137 Microgram/50 Microgram Nasal Spray and Dymista Nasal Spray</t>
  </si>
  <si>
    <t>NCT05979831</t>
  </si>
  <si>
    <t>A Study to Explore Safety, Pharmacokinetics, and Early Clinical Signal of Efficacy of DS-2325a in Patients With Netherton Syndrome</t>
  </si>
  <si>
    <t>NCT06118827</t>
  </si>
  <si>
    <t>A Study of HS-10518 in Healthy Female Participants</t>
  </si>
  <si>
    <t>NCT05896670</t>
  </si>
  <si>
    <t>Safety and Efficacy of Licaminlimab Ophthalmic Solution for the Treatment of Dry Eye Disease</t>
  </si>
  <si>
    <t>NCT05723770</t>
  </si>
  <si>
    <t>Effects of NOV03 on the Tear Film</t>
  </si>
  <si>
    <t>NCT05997056</t>
  </si>
  <si>
    <t>Trial of Nab-sirolimus in Patients With Well-differentiated Neuroendocrine Tumors (NETs) of the Gastrointestinal Tract, Lung, or Pancreas Who Have Not Received Prior Treatment With mTOR Inhibitors</t>
  </si>
  <si>
    <t>NCT06104553</t>
  </si>
  <si>
    <t>A Trial of SHR-A1912 Combined With Other Therapies in B-cell Non-Hodgkin 's Lymphoma</t>
  </si>
  <si>
    <t>NCT05922345</t>
  </si>
  <si>
    <t>Evaluation of the Efficacy and Safety of AL2846 Capsule Combined With TQB2450 Injection Compared to Docetaxel Injection in Advanced Non-small Cell Lung Cancer Patients Who Have Failed With Immunotherapy.</t>
  </si>
  <si>
    <t>NCT06102512</t>
  </si>
  <si>
    <t>A Study of [14C]-LOXO-783 in Healthy Adult Participants</t>
  </si>
  <si>
    <t>NCT05851157</t>
  </si>
  <si>
    <t>A Study to Evaluate the Effect of Food on the Pharmacokinetics of VX-548</t>
  </si>
  <si>
    <t>NCT05949801</t>
  </si>
  <si>
    <t>Evaluation of the Effect of Injectable Neucardin on Cardiac Function and Reversal Ventricular Remodeling in Patients With Chronic Systolic Heart Failure</t>
  </si>
  <si>
    <t>NCT06193239</t>
  </si>
  <si>
    <t>Diagnostic Accuracy Study for OWL-EVO1 as a Lung Cancer EVOC® Probe (Evolution Phase 2)</t>
  </si>
  <si>
    <t>NCT05795153</t>
  </si>
  <si>
    <t>A Multicenter, Open-label Phase 3 Study: Ambulatory Blood Pressure Monitoring in Adult Patients With Chronic Spontaneous Urticaria Inadequately Controlled by H1-antihistamines Treated With Remibrutinib up to 12 Weeks.</t>
  </si>
  <si>
    <t>NCT04824872</t>
  </si>
  <si>
    <t>Efficacy and Safety of Dasiglucagon for Treatment of Post-bariatric Hypoglycemia in Roux-en-Y Gastric Bypass (RYGB) Operated Adults</t>
  </si>
  <si>
    <t>NCT06022757</t>
  </si>
  <si>
    <t>Study of XNW5004 Tablet in Combination With KEYTRUDA® (Pembrolizumab) in Subjects With Advanced Solid Tumors Who Failed Standard Treatments (KEYNOTE F19)</t>
  </si>
  <si>
    <t>NCT05937581</t>
  </si>
  <si>
    <t>First-In-Human Study To Evaluate The Safety, Tolerability, Pharmacokinetics, And Pharmacodynamics Of Escalating Single And Multiple Doses Of CSL040 In Healthy Subjects</t>
  </si>
  <si>
    <t>NCT05842512</t>
  </si>
  <si>
    <t>Study of ADI-PEG 20 Versus Placebo in Subjects With NASH</t>
  </si>
  <si>
    <t>NCT05681481</t>
  </si>
  <si>
    <t>A Phase 3 Study to Evaluate the Long-term Safety, Tolerability and Efficacy of Efgartigimod PH20 SC in Adult Participants With Bullous Pemphigoid</t>
  </si>
  <si>
    <t>NCT06210919</t>
  </si>
  <si>
    <t>Safety and Tolerability of Autologous Adipose-derived Mesenchymal Stem Cells Therapy in Adults With Atrophic Scars</t>
  </si>
  <si>
    <t>CellinCells</t>
  </si>
  <si>
    <t>NCT07136285</t>
  </si>
  <si>
    <t>Olvi-Vec Combined With Platinum Plus Etoposide Therapy in Patients With Late Phase SCLC</t>
  </si>
  <si>
    <t>Newsoara HYK Biopharmaceutical (Shanghai) Co., Ltd.</t>
  </si>
  <si>
    <t>NCT06017999</t>
  </si>
  <si>
    <t>XG005 for Pain Control in Subjects Undergoing Bunionectomy</t>
  </si>
  <si>
    <t>NCT07253584</t>
  </si>
  <si>
    <t>A Multicenter, Randomized, Double-blind, Placebo-controlled Phase III Clinical Study to Evaluate the Safety and Efficacy of SAL003 in Combination With Statin Therapy in Patients With Hypercholesterolemia and Mixed Dyslipidemia</t>
  </si>
  <si>
    <t>NCT06497049</t>
  </si>
  <si>
    <t>Open Randomized Study of Comparative Pharmacokinetics and Biosimilarity of GP40221 (GEROPHARM LLC, Russia) and Ozempic®.</t>
  </si>
  <si>
    <t>NCT05564858</t>
  </si>
  <si>
    <t>A Study of FDA022-BB05 in Subjects With Advanced Solid Malignant Tumors</t>
  </si>
  <si>
    <t>NCT05838755</t>
  </si>
  <si>
    <t>A Study to Evaluate Efficacy and Safety of GSK3858279 in Diabetic Peripheral Neuropathic Pain</t>
  </si>
  <si>
    <t>NCT05766306</t>
  </si>
  <si>
    <t>The Efficacy of a Probiotic Blend on Stress in Moderately Stressed Teens</t>
  </si>
  <si>
    <t>NCT05653349</t>
  </si>
  <si>
    <t>Study of Ianalumab Versus Placebo in Addition to First-line Corticosteroids in Primary Immune Thrombocytopenia (ITP)</t>
  </si>
  <si>
    <t>NCT05744063</t>
  </si>
  <si>
    <t>A Post-authorization Study to Describe the Safety and Efficacy of Emapalumab for the Treatment of pHLH in Treatment Experienced Chinese Patients</t>
  </si>
  <si>
    <t>NCT05844293</t>
  </si>
  <si>
    <t>Single Ascending Dose of FXI-GalNAc-siRNA in Healthy Subjects</t>
  </si>
  <si>
    <t>NCT05755438</t>
  </si>
  <si>
    <t>A Study to Evaluate the Safety and Efficacy of Ruxolitinib Cream in Participants With Prurigo Nodularis (PN)</t>
  </si>
  <si>
    <t>NCT06087289</t>
  </si>
  <si>
    <t>A Study to Evaluate the Safety of KAND567, in Combination With Carboplatin Therapy, in Women With Recurrent Epithelial Ovarian, Fallopian Tube, or Primary Peritoneal Cancer</t>
  </si>
  <si>
    <t>NCT06126640</t>
  </si>
  <si>
    <t>A Phase III, Active-Controlled Study of SHR-A1811 Versus Trastuzumab Emtansine (T-DM1) in HER2-Positive Primary Breast Cancer Participants With Residual Invasive Disease Following Neoadjuvant Therapy</t>
  </si>
  <si>
    <t>NCT06086613</t>
  </si>
  <si>
    <t>A First-in-Human Study Evaluating AGA2115 in Adult Healthy Volunteers</t>
  </si>
  <si>
    <t>Angitia Incorporated Limited</t>
  </si>
  <si>
    <t>NCT05895825</t>
  </si>
  <si>
    <t>A Study of EOC237 in Patients With Advanced Solid Tumor</t>
  </si>
  <si>
    <t>Shanghai Yiteng Jingang Bio-pharmaceutical Technology Co., Ltd</t>
  </si>
  <si>
    <t>NCT06041776</t>
  </si>
  <si>
    <t>Adjuvant Befotertinib in Stage IB-IIIB Non-small Cell Lung Cancer With Positive EGFR Sensitive Mutations</t>
  </si>
  <si>
    <t>NCT05791318</t>
  </si>
  <si>
    <t>A Study to Investigate the Safety, Tolerability, and Pharmacokinetics of the Monoclonal Antibody VYD222 in Healthy Adult Participants</t>
  </si>
  <si>
    <t>NCT06304805</t>
  </si>
  <si>
    <t>TGRX-326 Pharmacokinetic Food Effect Bioavailability Study</t>
  </si>
  <si>
    <t>NCT06177041</t>
  </si>
  <si>
    <t>M108 Plus CAPOX Versus Placebo Plus CAPOX as First-line Treatment for Claudin (CLDN) 18.2-Positive, HER2-Negative, PD-L1 CPS&lt;5, Locally Advanced Unresectable or Metastatic Gastric or Gastroesophageal Junction (GEJ) Adenocarcinoma.</t>
  </si>
  <si>
    <t>NCT06139991</t>
  </si>
  <si>
    <t>Study to Assess the Pharmacokinetic Bioequivalence of Budesonide and Albuterol With an Alternate Propellant Compared to Current Propellant.</t>
  </si>
  <si>
    <t>NCT05917782</t>
  </si>
  <si>
    <t>A Study to Evaluate the Pharmacokinetics Similarity of CBP-201 in Healthy Adult Chinese Subjects</t>
  </si>
  <si>
    <t>NCT05741346</t>
  </si>
  <si>
    <t>Long-term Safety of BCX9930 in Participants With Paroxysmal Nocturnal Hemoglobinuria</t>
  </si>
  <si>
    <t>NCT06164327</t>
  </si>
  <si>
    <t>Study of BEBT-908 Combined With Drugs in the Treatment of Relapsed/Refractory Diffuse Large B-Cell Lymphoma</t>
  </si>
  <si>
    <t>NCT06095388</t>
  </si>
  <si>
    <t>Phase I/II Study of JR-441 in Patients With Mucopolysaccharidosis Type IIIA</t>
  </si>
  <si>
    <t>NCT06062420</t>
  </si>
  <si>
    <t>A Platform Study of Novel Immunotherapy Combinations as First-Line Treatment in Participants With PD-L1 Positive Recurrent/Metastatic Squamous Cell Carcinoma of the Head and Neck- GALAXIES H&amp;N-202</t>
  </si>
  <si>
    <t>NCT05667623</t>
  </si>
  <si>
    <t>To Demonstrate the Superiority of IMP (1% OPA-15406 Ointment) to the Vehicle in Adult Patients With AD</t>
  </si>
  <si>
    <t>NCT05835479</t>
  </si>
  <si>
    <t>Rezafungin for Treatment of Pneumocystis Pneumonia in HIV Adults</t>
  </si>
  <si>
    <t>NCT05610891</t>
  </si>
  <si>
    <t>Novel Targeted Radiotherapy in Pediatric Patients With Inoperable Relapsed or Refractory HGG</t>
  </si>
  <si>
    <t>Cellectar Biosciences, Inc.</t>
  </si>
  <si>
    <t>NCT05797168</t>
  </si>
  <si>
    <t>Phase I/IIa Study of AZD5335 as Monotherapy and Combination Therapy in Participants With Solid Tumors</t>
  </si>
  <si>
    <t>NCT06025110</t>
  </si>
  <si>
    <t>A Study of TCD601 (Siplizumab) in New Onset Type 1 Diabetes Patients</t>
  </si>
  <si>
    <t>NCT05482893</t>
  </si>
  <si>
    <t>Spevatamig (PT886) as Monotherapy or in Combination With Chemo and/or ICI, for the Treatment of Patients With Advanced Gastric, Gastroesophageal Junction, Pancreatic Ductal or Biliary Tract Carcinomas (the TWINPEAK Study)</t>
  </si>
  <si>
    <t>NCT05494593</t>
  </si>
  <si>
    <t>A Study of ELAPRASE in Treatment-naïve Participants With Hunter Syndrome (Mucopolysaccharidosis [MPS] II)</t>
  </si>
  <si>
    <t>NCT05622058</t>
  </si>
  <si>
    <t>A Study of ALRN-6924 for Protection of Chemotherapy-Induced Side Effects in Patients With TP53-Mutant Breast Cancer</t>
  </si>
  <si>
    <t>Aileron Therapeutics, Inc.</t>
  </si>
  <si>
    <t>NCT06189963</t>
  </si>
  <si>
    <t>Clinical Study of SNK01 in Participants With Moderate Alzheimer's Disease</t>
  </si>
  <si>
    <t>NCT05815498</t>
  </si>
  <si>
    <t>A Study of mRNA-1283 Injection Compared With mRNA-1273 Injection in Participants ≥12 Years of Age to Prevent COVID-19</t>
  </si>
  <si>
    <t>NCT06124963</t>
  </si>
  <si>
    <t>A Study of WX390 Combined With Toripalimab in Patients With Advanced Gastric-type Endocervical Adenocarcinoma With STK11 Mutations</t>
  </si>
  <si>
    <t>NCT06073821</t>
  </si>
  <si>
    <t>Study of Sonrotoclax (BGB-11417) Plus Zanubrutinib (BGB-3111) Compared With Venetoclax Plus Obinutuzumab in Participants With Chronic Lymphocytic Leukemia (CLL)</t>
  </si>
  <si>
    <t>NCT05593614</t>
  </si>
  <si>
    <t>Efficacy and Safety of ATX01 in Adult Patients With CIPN (Chemotherapy-induced Peripheral Neuropathy)</t>
  </si>
  <si>
    <t>AlgoTherapeutix</t>
  </si>
  <si>
    <t>NCT06019533</t>
  </si>
  <si>
    <t>A Trial of Efficacy, Safety and Tolerability of LVDS (Levonorgestrel Vaginal Delivery System) During 13 Cycles</t>
  </si>
  <si>
    <t>Chemo Research</t>
  </si>
  <si>
    <t>NCT05795621</t>
  </si>
  <si>
    <t>A Study of IBI311 in Subjects With Active Thyroid Eye Disease</t>
  </si>
  <si>
    <t>NCT05990452</t>
  </si>
  <si>
    <t>Phase I/II FIH Study of 9MW2921 in Patients With Advanced Solid Tumors</t>
  </si>
  <si>
    <t>NCT05607693</t>
  </si>
  <si>
    <t>A SHR3680 QT/QTc Study on Castration-Resistant Prostate Cancer Subjects</t>
  </si>
  <si>
    <t>NCT06927349</t>
  </si>
  <si>
    <t>A Trial to Evaluate Safety, Tolerability, Pharmacokinetics and Preliminary Efficacy of BA1301 in Advanced Solid Tumors.</t>
  </si>
  <si>
    <t>NCT05802264</t>
  </si>
  <si>
    <t>Study to Assess Amphotericin B Cystetic for Inhalation (ABCI) Doses in Healthy Volunteers &amp; People with Cystic Fibrosis</t>
  </si>
  <si>
    <t>Cystetic Medicines, Inc.</t>
  </si>
  <si>
    <t>NCT05513950</t>
  </si>
  <si>
    <t>A Study to Investigate the Safety, Tolerability, and Pharmacokinetics of Monoclonal Antibody (mAb) in Patients With IPF (SAD).</t>
  </si>
  <si>
    <t>NCT05788159</t>
  </si>
  <si>
    <t>An Open Label, Balanced, Randomized, Two-Treatment, Two-Period, Two-Sequence, Two-way Crossover, Oralcomparative Pharmacokinetic（PK）Study of Lacosamide Extended-Release Tablets , Adult, Human Subjects Under Fasting Conditions.</t>
  </si>
  <si>
    <t>NCT05794659</t>
  </si>
  <si>
    <t>Adjuvant Therapeutic Cancer Vaccine (AST-201, pUMVC3-hIGFBP-2) in Patients With Advanced Ovarian Cancer</t>
  </si>
  <si>
    <t>NCT05945810</t>
  </si>
  <si>
    <t>Evaluation of TLL-018 Extended and Immediate Release Formulation for Bioequivalence Testing in Healthy Chinese Subjects</t>
  </si>
  <si>
    <t>NCT05806918</t>
  </si>
  <si>
    <t>Non-inferiority Study of ZK-A03 in Treatment of Herpes Zoster Before and After the Alteration of the Active Ingredient Manufacturer</t>
  </si>
  <si>
    <t>NCT06194318</t>
  </si>
  <si>
    <t>First-in-human Safety and Immunogenicity Study of SCB-1019 and SCB-1019T in Healthy Adults</t>
  </si>
  <si>
    <t>NCT05996874</t>
  </si>
  <si>
    <t>A Research Study Comparing the Effect of Different Dosing Conditions on Blood Levels of Semaglutide in a New Tablet Composition in Healthy Participants</t>
  </si>
  <si>
    <t>NCT05454410</t>
  </si>
  <si>
    <t>Study of Efficacy, Safety, Tolerability and Pharmacokinetics of MIJ821 in Participants With Treatment- Resistant Depression (TRD)</t>
  </si>
  <si>
    <t>NCT05763082</t>
  </si>
  <si>
    <t>Bioequivalence Study of Two Treatments for the Treatment of Plaque Psoriasis</t>
  </si>
  <si>
    <t>NCT05933447</t>
  </si>
  <si>
    <t>Thorough QT Study to Evaluate the Effect of Rodatristat Ethyl, Rodatristat and Its Major Metabolites on the Heart</t>
  </si>
  <si>
    <t>NCT06075277</t>
  </si>
  <si>
    <t>A Study in Healthy Men to Test How Zongertinib is Taken up in the Body When Taken With or Without Food</t>
  </si>
  <si>
    <t>NCT05938075</t>
  </si>
  <si>
    <t>Study of VXCO-100, a SARS-CoV Candidate Vaccine, in Adults in the Republic of South Africa</t>
  </si>
  <si>
    <t>NCT05968612</t>
  </si>
  <si>
    <t>Bioequivalence and Food Effect Bioavailability Study of Lumacaftor Film-Coated Tablets</t>
  </si>
  <si>
    <t>Qanatpharma Canada LTD</t>
  </si>
  <si>
    <t>NCT05833711</t>
  </si>
  <si>
    <t>Study Evaluating Efficacy and Safety of Froniglutide (PF1801) in Patients With Idiopathic Inflammatory Myopathy</t>
  </si>
  <si>
    <t>Immunoforge Co. Ltd.</t>
  </si>
  <si>
    <t>NCT06072001</t>
  </si>
  <si>
    <t>Long Term Efficacy and Tolerability of AP707 in Patients With Chronic Pain Due to Central Neuropathy of Any Genesis</t>
  </si>
  <si>
    <t>NCT05795465</t>
  </si>
  <si>
    <t>A Study of GEn-1124 in Subjects With Acute Respiratory Distress Syndrome (ARDS)</t>
  </si>
  <si>
    <t>NCT05339139</t>
  </si>
  <si>
    <t>SAfety of Regional Citrate Anticoagulation (SARCA Study)</t>
  </si>
  <si>
    <t>Fresenius Medical Care North America</t>
  </si>
  <si>
    <t>NCT05940428</t>
  </si>
  <si>
    <t>A Study of ASKG712 in Patients With Diabetic Macular Edema</t>
  </si>
  <si>
    <t>Visara, Inc.</t>
  </si>
  <si>
    <t>NCT06139367</t>
  </si>
  <si>
    <t>A Clinical Trial of TQB3454 Tablets in Healthy Adult Subjects</t>
  </si>
  <si>
    <t>NCT05748600</t>
  </si>
  <si>
    <t>A Study to Assess the Effect of Dexpramipexole in Adolescents and Adults With Eosinophilic Asthma</t>
  </si>
  <si>
    <t>Areteia Therapeutics</t>
  </si>
  <si>
    <t>NCT05864365</t>
  </si>
  <si>
    <t>A Biomarker Study of ATH434 in Participants With MSA</t>
  </si>
  <si>
    <t>NCT06204107</t>
  </si>
  <si>
    <t>A Clinical Trial to Evaluate the Food Effect on Pharmacokinetic Profiles and Safety of CKD-379</t>
  </si>
  <si>
    <t>NCT05925920</t>
  </si>
  <si>
    <t>Study of Subcutaneously Administered ENT-03 for the Treatment of Obesity and Diabetes</t>
  </si>
  <si>
    <t>Metabolics Pharma</t>
  </si>
  <si>
    <t>NCT05953480</t>
  </si>
  <si>
    <t>A Phase 2b, Randomized, Double-blind Study of Redasemtide (S-005151) in Adult Participants With Acute Ischemic Stroke</t>
  </si>
  <si>
    <t>NCT05098080</t>
  </si>
  <si>
    <t>Hutrukin to Analyze Safety and PK in Healthy Volunteers</t>
  </si>
  <si>
    <t>NCT05816382</t>
  </si>
  <si>
    <t>A Study of TAK-861 for the Treatment of Selected Central Hypersomnia Conditions</t>
  </si>
  <si>
    <t>NCT05789082</t>
  </si>
  <si>
    <t>A Study Evaluating the Safety, Activity, and Pharmacokinetics of Divarasib as a Single Agent or in Combination With Other Anti-Cancer Therapies in Participants With Previously Untreated Advanced or Metastatic Non-Small Cell Lung Cancer With a KRAS G12C Mutation</t>
  </si>
  <si>
    <t>NCT05615220</t>
  </si>
  <si>
    <t>Ecopipam Tablets to Study Tourette's Disorder in Children, Adolescents and Adults</t>
  </si>
  <si>
    <t>NCT04404023</t>
  </si>
  <si>
    <t>Evaluate the Safety, Tolerability, Pharmacokinetics, Pharmacodynamics and Immunogenicity of UB-221 in Healthy Volunteers</t>
  </si>
  <si>
    <t>NCT05972174</t>
  </si>
  <si>
    <t>A Study of mRNA-1018 Pandemic Influenza Candidate Vaccines in Healthy Adults</t>
  </si>
  <si>
    <t>NCT05215925</t>
  </si>
  <si>
    <t>A Study to Evaluate the Efficacy and Safety of HLX07 in nsqNSCLC Patients With High EGFR Expression</t>
  </si>
  <si>
    <t>NCT05868915</t>
  </si>
  <si>
    <t>HV-101 for Patients With Advanced Solid Tumors</t>
  </si>
  <si>
    <t>Hervor Therapeutics</t>
  </si>
  <si>
    <t>NCT05723835</t>
  </si>
  <si>
    <t>A Research Study Looking at How Safe Somapacitan is and How Well it Works in Children Who Need Help to Grow - REAL 9</t>
  </si>
  <si>
    <t>NCT06199791</t>
  </si>
  <si>
    <t>Single-dose, Two-way Crossover Bioequivalence of Lamotrigine in Healthy Male Volunteers Under Fasting Conditions</t>
  </si>
  <si>
    <t>NCT05403450</t>
  </si>
  <si>
    <t>A Study of Tolinapant in Combination With Oral Decitabine/Cedazuridine and Oral Decitabine/Cedazuridine Alone in Participants With Relapsed/Refractory Peripheral T-cell Lymphoma (R/R PTCL)</t>
  </si>
  <si>
    <t>NCT06197217</t>
  </si>
  <si>
    <t>Phase III Clinical Study Evaluating the Efficacy and Safety of WPV01 in Patients With Mild/Moderate COVID-19</t>
  </si>
  <si>
    <t>NCT05675202</t>
  </si>
  <si>
    <t>Material Balance Study of TQ-B3525</t>
  </si>
  <si>
    <t>NCT04716231</t>
  </si>
  <si>
    <t>Atacicept in Subjects With IgA Nephropathy</t>
  </si>
  <si>
    <t>NCT05470985</t>
  </si>
  <si>
    <t>A Study to Evaluate the Efficacy, Safety, and Drug Levels of Oral Ozanimod in Pediatric Participants With Moderately to Severely Active Crohn's Disease With an Inadequate Response to Conventional Therapy</t>
  </si>
  <si>
    <t>NCT06084104</t>
  </si>
  <si>
    <t>DZD9008 PK Study in Hepatic Impairment Subjects</t>
  </si>
  <si>
    <t>NCT06206278</t>
  </si>
  <si>
    <t>Evaluation of Infigratinib in Patients With Locally Advanced or Metastatic Gastric Cancer or GEJ Adenocarcinoma</t>
  </si>
  <si>
    <t>NCT06054815</t>
  </si>
  <si>
    <t>Study to Evaluate the Efficacy and Safety of DA-1241 in Subjects With Presumed NASH</t>
  </si>
  <si>
    <t>NCT06050915</t>
  </si>
  <si>
    <t>A Study of DISC-3405 in Healthy Volunteers</t>
  </si>
  <si>
    <t>NCT05798026</t>
  </si>
  <si>
    <t>A Phase 1 Study to Evaluate the Safety, Tolerability and Preliminary Efficacy of EU103 in Advanced or Metastatic Solid Tumors That Have Failed Standard Therapy</t>
  </si>
  <si>
    <t>NCT06034015</t>
  </si>
  <si>
    <t>A Study to Evaluate the Safety, Tolerability and Pharmacokinetics of Single and Multiple Ascending Doses of APL-1501 Extended Release (ER) Capsules Compared to APL-1202 Immediate Release (IR) Tablets in Healthy Volunteers</t>
  </si>
  <si>
    <t>NCT06095115</t>
  </si>
  <si>
    <t>A Study of JNJ-77242113 in Adolescent and Adult Participants With Moderate to Severe Plaque Psoriasis</t>
  </si>
  <si>
    <t>NCT06896890</t>
  </si>
  <si>
    <t>Cisplatin (CIS) Administered As Dry Powder for Inhalation (DPI) in Patients with Stage IV Non-Small Cell Lung Cancer</t>
  </si>
  <si>
    <t>Inhatarget Therapeutics</t>
  </si>
  <si>
    <t>NCT06035497</t>
  </si>
  <si>
    <t>A Study to Assess the Safety, Tolerability, Efficacy, and Drug Levels of BMS-986369 (Golcadomide) in Participants With Relapsed or Refractory T-cell Lymphomas in Japan (GOLSEEK-3)</t>
  </si>
  <si>
    <t>NCT05707390</t>
  </si>
  <si>
    <t>A Study of Mezigdomide in Healthy Participants and Participants With Hepatic Impairment</t>
  </si>
  <si>
    <t>NCT05592990</t>
  </si>
  <si>
    <t>A Study to Investigate the Safety, Tolerability and Preliminary Efficacy of NGI226 Microparticles in Patients With Achilles Tendinopathy</t>
  </si>
  <si>
    <t>NCT05846646</t>
  </si>
  <si>
    <t>Study of PULSAR-ICI +/- IMSA101 in Patients With Oligometastatic NSCLC and RCC</t>
  </si>
  <si>
    <t>NCT05361954</t>
  </si>
  <si>
    <t>Study to Assess the Safety and Preliminary Efficacy of STI-1386 Oncolytic Virus in Relapsed or Refractory Solid Tumors</t>
  </si>
  <si>
    <t>NCT05836805</t>
  </si>
  <si>
    <t>A Study of the Absorption, Metabolism and Excretion of [14C]XZP-3621 in Human</t>
  </si>
  <si>
    <t>NCT05462873</t>
  </si>
  <si>
    <t>A Study to Investigate the Safety and Tolerability of Intravenous QEQ278 in Patients With Advanced Solid Tumors</t>
  </si>
  <si>
    <t>NCT06017869</t>
  </si>
  <si>
    <t>Evaluate the Safety and Therapeutic Effects of a Single Intravenous Infusion (IV) of Autologous CD34+ Cells Enriched With Allogenic Placenta-derived Mitochondria in Patients With a Diagnosis of Pearson Syndrome (PS)</t>
  </si>
  <si>
    <t>NCT05732454</t>
  </si>
  <si>
    <t>A Study to Learn About the Study Medicine Etrasimod in Adults With Moderate to Severe Atopic Dermatitis (AD) Who Have Already Tried Treatments Taken by Mouth or by Injection</t>
  </si>
  <si>
    <t>NCT05965505</t>
  </si>
  <si>
    <t>Study of AXT-1003 in Adult Subjects With Relapsed/Refractory Non-Hodgkin Lymphomas</t>
  </si>
  <si>
    <t>Axter Therapeutics (Beijing) Co., Ltd</t>
  </si>
  <si>
    <t>NCT06075264</t>
  </si>
  <si>
    <t>Phase II Study of Artesunate Ointment for the Treatment of Vulvar High Grade Squamous Intraepithelial Lesions (Vulvar HSIL, VIN2/3)</t>
  </si>
  <si>
    <t>NCT05966493</t>
  </si>
  <si>
    <t>A Study to Evaluate the Safety and Efficacy of NEXAGON® (Lufepirsen Ophthalmic Gel) in Subjects With PCED</t>
  </si>
  <si>
    <t>NCT05763004</t>
  </si>
  <si>
    <t>A Clinical Study to Evaluate the Safety, Tolerability and Efficacy of IOS-1002 Administered Alone and in Combination With Pembrolizumab, a PD-1 Monoclonal Antibody in Advanced Solid Tumors</t>
  </si>
  <si>
    <t>ImmunOs Therapeutics AG</t>
  </si>
  <si>
    <t>NCT05775848</t>
  </si>
  <si>
    <t>Study to Evaluate the Efficacy and Safety of BBP-418 (Ribitol) in Patients With Limb Girdle Muscular Dystrophy 2I (LGMD2I)</t>
  </si>
  <si>
    <t>NCT06167265</t>
  </si>
  <si>
    <t>BE Study of Once Daily PMR Compared to Twice Daily Cilostazol Tablets in Healthy Volunteers</t>
  </si>
  <si>
    <t>NCT05922436</t>
  </si>
  <si>
    <t>a Study Evaluating the Safety and Efficacy of Clevidipine for Patients Who With Hypertensive Emergency and Sub-emergency</t>
  </si>
  <si>
    <t>NCT05547438</t>
  </si>
  <si>
    <t>Single Ascending Dose Safety and Tolerability of NTS-104 Healthy Adults</t>
  </si>
  <si>
    <t>NeuroTrauma Sciences, LLC</t>
  </si>
  <si>
    <t>NCT05642312</t>
  </si>
  <si>
    <t>A Study to Investigate Vamikibart in Participants With Uveitic Macular Edema</t>
  </si>
  <si>
    <t>NCT05406219</t>
  </si>
  <si>
    <t>A Study to Learn How the Study Treatment BAY2395840 Moves Into, Through and Out of the Body, How Safe it is, and How it Affects the Body in Participants With Moderate Reduced Kidney Function and in Healthy Male and Female Participants With Normal Kidney Function</t>
  </si>
  <si>
    <t>NCT05917509</t>
  </si>
  <si>
    <t>A Study to Evaluate the Efficacy, Safety, Participant Choice and Preference of an Oral Once-daily Regimen or a Long-acting Injectable Regimen Every Two Months for Treatment of Human Immunodeficiency Virus (HIV-1) in Adults Who Have Not Previously Taken Antiretroviral Therapy</t>
  </si>
  <si>
    <t>NCT05964257</t>
  </si>
  <si>
    <t>To Evaluate the Efficacy and Safety of LIZTOX in Subjects with Benign Masseteric Hypertrophy</t>
  </si>
  <si>
    <t>Huons Biopharma</t>
  </si>
  <si>
    <t>NCT05947344</t>
  </si>
  <si>
    <t>A Study to Evaluate the STI-8591 in Subjects With Advanced Acute Myeloid Leukemia (AML)</t>
  </si>
  <si>
    <t>NCT06131216</t>
  </si>
  <si>
    <t>Phase I Study of SHR-2022 Injection in the Treatment of Patients With Advanced Malignant Tumors</t>
  </si>
  <si>
    <t>NCT05749549</t>
  </si>
  <si>
    <t>Phase I/IIa Study of BR1733 in Subjects With Advanced Cancers</t>
  </si>
  <si>
    <t>Shanghai Blueray Biopharma Co., Ltd.</t>
  </si>
  <si>
    <t>NCT05899738</t>
  </si>
  <si>
    <t>A Study to Compare the Relative Bioavailability of Two Iberdomide (CC-220) Formulations and to Assess The Effect Of Food on the Drug Levels of Iberdomide in Healthy Adult Participants</t>
  </si>
  <si>
    <t>NCT05427487</t>
  </si>
  <si>
    <t>Study of Intratumoral IVX037 in Patients With Advanced or Metastatic Solid Tumours</t>
  </si>
  <si>
    <t>ImmVirx Pty Ltd</t>
  </si>
  <si>
    <t>NCT05779163</t>
  </si>
  <si>
    <t>A Phase I/II Clinical Trial of LBL-033 in the Treatment of Advanced Malignant Tumors</t>
  </si>
  <si>
    <t>NCT05480293</t>
  </si>
  <si>
    <t>This Study Will Compare the Efficacy and Safety of SCT510A Administered by Intravitreal Injection (IVT) With Ranibizumab in Patients With wAMD</t>
  </si>
  <si>
    <t>NCT05735184</t>
  </si>
  <si>
    <t>A Study to Investigate the Safety and Tolerability of Ziftomenib in Combination With Venetoclax/Azacitidine, Venetoclax, 7+3, or 7+3+Quizartinib in Patients With AML</t>
  </si>
  <si>
    <t>NCT06153758</t>
  </si>
  <si>
    <t>Study to Learn How Different Forms of The Study Medicine Called Danuglipron Are Taken up Into the Blood In Healthy Adults</t>
  </si>
  <si>
    <t>NCT05918978</t>
  </si>
  <si>
    <t>Open Label Extension of Efgartigimod in Adults With Post-COVID-19 POTS</t>
  </si>
  <si>
    <t>NCT05737706</t>
  </si>
  <si>
    <t>Study of MRTX1133 in Patients With Advanced Solid Tumors Harboring a KRAS G12D Mutation</t>
  </si>
  <si>
    <t>NCT05527184</t>
  </si>
  <si>
    <t>First in Human Study of IMGN151 in Recurrent Gynaecological Cancers</t>
  </si>
  <si>
    <t>NCT06217952</t>
  </si>
  <si>
    <t>Safety, Tolerability, and Pharmacokinetics of SPL84 in Healthy Volunteers</t>
  </si>
  <si>
    <t>SpliSense Ltd.</t>
  </si>
  <si>
    <t>NCT05915026</t>
  </si>
  <si>
    <t>A Study to Learn How Gadoquatrane Moves Into, Through, and Out of the Body and How Safe it is in Children (From Birth to &lt;18 Years), Who Will Undergo a Contrast Enhanced MRI (Quanti Pediatric)</t>
  </si>
  <si>
    <t>NCT06024915</t>
  </si>
  <si>
    <t>A Study to Evaluate Drug-Drug Interaction of TQ05105 Tablets</t>
  </si>
  <si>
    <t>NCT05776017</t>
  </si>
  <si>
    <t>MSP3-CRM-Vac4All/ Alhydrogel® Vaccine</t>
  </si>
  <si>
    <t>NCT05812417</t>
  </si>
  <si>
    <t>A Study to Evaluate the Effects of Renal Function on Pharmacokinetics and Safety of DA-8010</t>
  </si>
  <si>
    <t>NCT06041217</t>
  </si>
  <si>
    <t>A Research Study to See How Well Semaglutide Helps People Who Have a Body Weight Above the Healthy Weight Range</t>
  </si>
  <si>
    <t>NCT06003465</t>
  </si>
  <si>
    <t>A Research Study Looking at Similarity Between LY3437943 Versions for Different Injection Devices</t>
  </si>
  <si>
    <t>NCT05940558</t>
  </si>
  <si>
    <t>Safety and Efficacy of MBF-118 in Patients with Crohn Disease</t>
  </si>
  <si>
    <t>NCT05349760</t>
  </si>
  <si>
    <t>A Phase 2 Study to Evaluate Safety and Efficacy of AMB-05X in Subjects With Idiopathic Pulmonary Fibrosis</t>
  </si>
  <si>
    <t>NCT05781750</t>
  </si>
  <si>
    <t>A Study of Zetomipzomib (KZR-616) in Patients With Active Lupus Nephritis (PALIZADE)</t>
  </si>
  <si>
    <t>NCT05673590</t>
  </si>
  <si>
    <t>Utidelone Versus Docetaxel in Patients With Locally Advanced or Metastatic Non-Small Cell Lung Cancer</t>
  </si>
  <si>
    <t>NCT04841096</t>
  </si>
  <si>
    <t>Oral Combination of Glimepiride/Vildagliptin/Metformin in Patients With T2D and Dual Treatment Failure</t>
  </si>
  <si>
    <t>NCT06058390</t>
  </si>
  <si>
    <t>A Study to Evaluate the Relative Bioavailability of Subcutaneous Bepirovirsen When Delivered From a Vial or Prefilled Syringe Fitted With a Safety Syringe Device in Healthy Adult Participants</t>
  </si>
  <si>
    <t>NCT05970497</t>
  </si>
  <si>
    <t>A Study Assessing KB707 for the Treatment of Locally Advanced or Metastatic Solid Tumors</t>
  </si>
  <si>
    <t>NCT05734196</t>
  </si>
  <si>
    <t>The ENERGY Study: Evaluation of Safety and Tolerability of INZ-701 in Infants With ENPP1 Deficiency or ABCC6 Deficiency</t>
  </si>
  <si>
    <t>NCT05523596</t>
  </si>
  <si>
    <t>A Phase 1 Study of the Safety and Tolerability of ICM20 in Adults</t>
  </si>
  <si>
    <t>IC-MedTech Corporation</t>
  </si>
  <si>
    <t>NCT05945888</t>
  </si>
  <si>
    <t>A Study in Healthy Men to Test How Different Doses of BI 3000202 Are Tolerated and How Food Influences the Amount of BI 3000202 in the Blood</t>
  </si>
  <si>
    <t>NCT06150924</t>
  </si>
  <si>
    <t>Efficacy and Safety of Lorundrostat in Addition to Sodium-Glucose Cotransporter-2 Inhibitors (SGLT2i) in Subjects With Hypertension and Chronic Kidney Disease (CKD) With Albuminuria</t>
  </si>
  <si>
    <t>NCT06356259</t>
  </si>
  <si>
    <t>A Study to Evaluate the Safety, Tolerability, and Pharmacokinetics Following Intravenous Administration of IRX-010 in Healthy Participants</t>
  </si>
  <si>
    <t>ImmunoRx Pharma Inc.</t>
  </si>
  <si>
    <t>NCT06141980</t>
  </si>
  <si>
    <t>Study to Evaluate the Long Term Safety and Efficacy of DWP16001 in Patients With Type 2 Diabetes Mellitus</t>
  </si>
  <si>
    <t>NCT05633862</t>
  </si>
  <si>
    <t>A Study in Healthy Chinese People to Test How Different Doses of BI 1015550 Are Taken up in the Body</t>
  </si>
  <si>
    <t>NCT06055361</t>
  </si>
  <si>
    <t>A Study to Investigate the Safety, Tolerability, and Efficacy of BxC-I17e Single and Multiple Dose SC Injection in Patients With Moderate to Severe Atopic Dermatitis</t>
  </si>
  <si>
    <t>Brexogen Inc.</t>
  </si>
  <si>
    <t>NCT06074562</t>
  </si>
  <si>
    <t>A Study of LY3556050 in Adult Participants With Diabetic Peripheral Neuropathic Pain</t>
  </si>
  <si>
    <t>NCT06719115</t>
  </si>
  <si>
    <t>A Clinical Trial to Investigate the Safety and Efficacy of D-Mannose on Symptoms of Urinary Tract Infection in Women</t>
  </si>
  <si>
    <t>KEB Nutraceuticals USA, Inc.</t>
  </si>
  <si>
    <t>NCT05085574</t>
  </si>
  <si>
    <t>Leidos-Enabled Adaptive Protocol for Clinical Trials (LEAP-CT) in Hospitalized Patients With COVID-19 (Addendum 1)</t>
  </si>
  <si>
    <t>NCT05987423</t>
  </si>
  <si>
    <t>Study to Evaluate the Efficacy, Safety, Pharmacokinetics, and Pharmacodynamics of Satralizumab in Participants With Thyroid Eye Disease</t>
  </si>
  <si>
    <t>NCT05716425</t>
  </si>
  <si>
    <t>Study to Assess the Efficacy and Safety of STI-1558 in Adult Subjects With Mild or Moderate (COVID-19)</t>
  </si>
  <si>
    <t>NCT06112808</t>
  </si>
  <si>
    <t>A Clinical Study of the Pharmacokinetics and Safety of BCD-263 and Opdivo® as Monotherapy in Subjects With Advanced Melanoma of the Skin</t>
  </si>
  <si>
    <t>NCT05621317</t>
  </si>
  <si>
    <t>A Safety and Efficacy Study of PVX108 in Children and Adolescents With Peanut Allergy</t>
  </si>
  <si>
    <t>Aravax Pty Ltd</t>
  </si>
  <si>
    <t>NCT06132035</t>
  </si>
  <si>
    <t>Study to Evaluate the Safety of CG-P5 Peptide Eye Drops in Patients Diagnosed With Age-related Wet Macular Degeneration</t>
  </si>
  <si>
    <t>NCT05265325</t>
  </si>
  <si>
    <t>A Study of AND017 to Treat Anemia in Chronic Kidney Disease Patients on Dialysis</t>
  </si>
  <si>
    <t>NCT06067490</t>
  </si>
  <si>
    <t>A Phase I Study of RC1416 Injection</t>
  </si>
  <si>
    <t>Nanjing RegeneCore Biotech Co., Ltd.</t>
  </si>
  <si>
    <t>NCT05669482</t>
  </si>
  <si>
    <t>Study of Avutometinib (VS-6766) +Defactinib With Gemcitabine and Nab-paclitaxel in Patients With Pancreatic Cancer</t>
  </si>
  <si>
    <t>NCT05813717</t>
  </si>
  <si>
    <t>A Study to Evaluate the Safety, Tolerability, Drug Levels, and Drug Effects of BMS-986325 in Healthy Japanese Participants</t>
  </si>
  <si>
    <t>NCT06015568</t>
  </si>
  <si>
    <t>Study of MCLA-129 Combined With Befotertinib in the Treatment of Advanced Non-small Cell Lung Cancer With EGFR Sensitive Mutation</t>
  </si>
  <si>
    <t>NCT05875168</t>
  </si>
  <si>
    <t>First-in-Human Study of DS-3939a in Participants With Advanced Solid Tumors</t>
  </si>
  <si>
    <t>NCT05879991</t>
  </si>
  <si>
    <t>A Study in Healthy Men to Test How Zongertinib (BI 1810631) is Taken up and Processed by the Body</t>
  </si>
  <si>
    <t>NCT06248697</t>
  </si>
  <si>
    <t>Exploratory Study of MSLN-CAR T Cells Secreting PD1/CTLA-4 Nanoantibody for the Treatment of Advanced Solid Tumors</t>
  </si>
  <si>
    <t>NCT06180889</t>
  </si>
  <si>
    <t>Factor XI inhibiTion for the Prevention of Venous Thromboembolism in Patients Undergoing Total Knee Arthroplasty</t>
  </si>
  <si>
    <t>NCT06111274</t>
  </si>
  <si>
    <t>A Phase 2 Study of ABSK021 in Patients With Advanced Pancreatic Cancer</t>
  </si>
  <si>
    <t>NCT05984550</t>
  </si>
  <si>
    <t>The Exploratory Study on the Nicotinamide Mononucleotide (Vital NAD ) to Promote the Rejuvenation of the Peripheral Blood Immune Cells of Adults.</t>
  </si>
  <si>
    <t>NCT06171282</t>
  </si>
  <si>
    <t>A Clinical Study on Oncolytic Virus Injection (R130) for the Treatment of Advanced Bone and Soft Tissue Tumors</t>
  </si>
  <si>
    <t>NCT06449859</t>
  </si>
  <si>
    <t>A Clinical Trial of TQC2938 Injection in Healthy Adult Subjects</t>
  </si>
  <si>
    <t>NCT05878938</t>
  </si>
  <si>
    <t>A Research Study Looking at How Safe it is to Switch From Emicizumab to Mim8 in People With Haemophilia A (FRONTIER 5)</t>
  </si>
  <si>
    <t>NCT05948943</t>
  </si>
  <si>
    <t>Alpelisib in Pediatric and Adult Patients With Lymphatic Malformations Associated With a PIK3CA Mutation.</t>
  </si>
  <si>
    <t>NCT05970640</t>
  </si>
  <si>
    <t>A Study to Test How Well Different Doses of BI 3006337 Are Tolerated by People With Overweight or Obesity and With Fatty Liver Disease</t>
  </si>
  <si>
    <t>NCT06462716</t>
  </si>
  <si>
    <t>A Phase l Study of By101298, an Oral DNA-PK Inhibitor, in Patients With Advanced Solid Tumors</t>
  </si>
  <si>
    <t>Chengdu Baiyu Pharmaceutical Co., Ltd.</t>
  </si>
  <si>
    <t>NCT07333638</t>
  </si>
  <si>
    <t>Phase II Clinical Study on the Efficacy and Safety of Naltrexone Implant in Patients With Alcohol Use Disorder</t>
  </si>
  <si>
    <t>Shenzhen Sciencare Medical Industries Co., Ltd.</t>
  </si>
  <si>
    <t>NCT06167915</t>
  </si>
  <si>
    <t>Safety and Immunogenicity of Recombinant COVID-19 Trivalent Protein Vaccine （CHO Cell）LYB002V14 in Booster Vaccination</t>
  </si>
  <si>
    <t>NCT05923515</t>
  </si>
  <si>
    <t>A Phase I Study of JMKX000197 Injection in the Treatment of Malignant Pleural Effusion</t>
  </si>
  <si>
    <t>NCT05743335</t>
  </si>
  <si>
    <t>A Phase 1 Study to Assess the Safety and Immunogenicity of JCXH-221, an MRNA-based Broadly Protective COVID-19 Vaccine</t>
  </si>
  <si>
    <t>NCT05928468</t>
  </si>
  <si>
    <t>The Safety and Immunogenicity Following a Heterologous Booster Dose of Recombinant SARS-CoV-2 Vaccine LYB002</t>
  </si>
  <si>
    <t>NCT05983432</t>
  </si>
  <si>
    <t>Evaluate BL-B01D1 in Patients With Metastatic or Unresectable Non-Small Cell Lung Cancer (NSCLC) and Other Solid Tumors</t>
  </si>
  <si>
    <t>SystImmune Inc.</t>
  </si>
  <si>
    <t>NCT06345014</t>
  </si>
  <si>
    <t>The Efficacy and Safety of OM-89 in Patients With Recurrent Chronic Prostatitis/Chronic Pelvic Pain Syndrome</t>
  </si>
  <si>
    <t>NCT06182358</t>
  </si>
  <si>
    <t>Impact of XDEMVY® on Demodex Blepharitis in Soft Contact Lens Wearers</t>
  </si>
  <si>
    <t>NCT05787535</t>
  </si>
  <si>
    <t>HRYZ-T101 TCR-T Cell for HPV-18 Positive Advanced Solid Tumor</t>
  </si>
  <si>
    <t>NCT05999708</t>
  </si>
  <si>
    <t>A First Time in Human Study to Evaluate the Safety and Tolerability of GSK4381406 in Healthy Participants</t>
  </si>
  <si>
    <t>NCT05917964</t>
  </si>
  <si>
    <t>A Food Effect Study of LP-168 Tablets in Healthy Subjects</t>
  </si>
  <si>
    <t>NCT05704738</t>
  </si>
  <si>
    <t>A Study to Evaluate Rocatinlimab (AMG 451) in Adolescent Participants With Moderate-to-severe Atopic Dermatitis (AD)</t>
  </si>
  <si>
    <t>NCT05542693</t>
  </si>
  <si>
    <t>Safety and Immunogenicity of the RNA MCTI CIMATEC HDT Vaccine</t>
  </si>
  <si>
    <t>NCT05813314</t>
  </si>
  <si>
    <t>Bioequivalence Study to Compare Two Injection Devices for BMN 111 in Healthy Participants</t>
  </si>
  <si>
    <t>NCT06221826</t>
  </si>
  <si>
    <t>MEXIDOL® in the Rehabilitation Treatment of Patients With Acute Cerebral Failure</t>
  </si>
  <si>
    <t>NCT06137482</t>
  </si>
  <si>
    <t>A Study to See How Safe and Tolerable Different Doses of REGN13335 Are When Administered Intravenously (IV) or Subcutaneously (SC) to Healthy Adult Participants</t>
  </si>
  <si>
    <t>NCT05957380</t>
  </si>
  <si>
    <t>Clinical Study to Evaluate the Efficacy and Safety of DA-2803 in Chronic Hepatitis B Patients</t>
  </si>
  <si>
    <t>NCT06099873</t>
  </si>
  <si>
    <t>Study to Assess the Safety and Efficacy of ZX-7101A in Adolescents With Influenza</t>
  </si>
  <si>
    <t>NCT05724797</t>
  </si>
  <si>
    <t>Single Ascending Dose Study of NRS 033 in Healthy Volunteers</t>
  </si>
  <si>
    <t>Nirsum Labs</t>
  </si>
  <si>
    <t>NCT06070610</t>
  </si>
  <si>
    <t>A Study in Healthy Men to Test Whether BI 1015550 Influences the Amount of Nintedanib and Pirfenidone in the Blood</t>
  </si>
  <si>
    <t>NCT06090474</t>
  </si>
  <si>
    <t>Multiple Dose Study to Evaluate Drug-drug Interactions, Safety and Tolerability of NDC-002 in Healthy Volunteers</t>
  </si>
  <si>
    <t>Dr. Noah Biotech Inc.</t>
  </si>
  <si>
    <t>NCT05981846</t>
  </si>
  <si>
    <t>A Phase II Trial to Evaluate the Safety and Immunogenicity of BIMERVAX® When Coadministered With Seasonal Influenza Vaccine (SIIV) in Adults Older Than 65 Years of Age Fully Vaccinated Against COVID-19</t>
  </si>
  <si>
    <t>NCT05946603</t>
  </si>
  <si>
    <t>IS-002 Phase 2 Prostate Cancer Study</t>
  </si>
  <si>
    <t>NCT05884242</t>
  </si>
  <si>
    <t>A Study of Adalimumab on Inflammatory Mediators Following a Systemic Endotoxin Challenge</t>
  </si>
  <si>
    <t>NCT06170242</t>
  </si>
  <si>
    <t>A Controlled Phase 2a Study to Evaluate the Efficacy of EDP-323 Against Respiratory Syncytial Virus Infection in a Virus Challenge Model</t>
  </si>
  <si>
    <t>NCT06159673</t>
  </si>
  <si>
    <t>ACP-204 in Adults With Alzheimer's Disease Psychosis</t>
  </si>
  <si>
    <t>NCT06260527</t>
  </si>
  <si>
    <t>Safety and Pharmacokinetic Study of ARTS-011 in Chinese Healthy Volunteers</t>
  </si>
  <si>
    <t>Allorion Therapeutics Inc</t>
  </si>
  <si>
    <t>NCT05696613</t>
  </si>
  <si>
    <t>A Study of SNP-ACTH (1-39) Gel in Patients With Primary Membranous Nephropathy</t>
  </si>
  <si>
    <t>Cerium Pharmaceuticals, Inc.</t>
  </si>
  <si>
    <t>NCT06178679</t>
  </si>
  <si>
    <t>Safety and Efficacy of ST-100 (Vezocolmitide) Ophthalmic Solution 60 μg/ml Ophthalmic Solution in Subjects Diagnosed With Dry Eye Disease (DED)</t>
  </si>
  <si>
    <t>NCT04314375</t>
  </si>
  <si>
    <t>Study to Evaluate the Safety, Efficacy, and Pharmacokinetics of Budesonide Extended-release Tablets in Pediatric Subjects Aged 5 to 17 Years With Active, Mild to Moderate Ulcerative Colitis</t>
  </si>
  <si>
    <t>NCT05948865</t>
  </si>
  <si>
    <t>A Phase 1 Study of CPO301 in Adult Patients With Advanced or Metastatic Solid Tumors</t>
  </si>
  <si>
    <t>NCT05857332</t>
  </si>
  <si>
    <t>SG1906 for CLDN18.2-Positive Solid Tumors</t>
  </si>
  <si>
    <t>NCT05787587</t>
  </si>
  <si>
    <t>A Study of PARG Inhibitor IDE161 in Participants With Advanced Solid Tumors</t>
  </si>
  <si>
    <t>NCT06435182</t>
  </si>
  <si>
    <t>Study of OT202 in Treating Moderate to Severe Dry Eye</t>
  </si>
  <si>
    <t>NCT05642780</t>
  </si>
  <si>
    <t>SKB264 in Combination With Pembrolizumab in Subjects With Selected Solid Tumors</t>
  </si>
  <si>
    <t>NCT06081166</t>
  </si>
  <si>
    <t>A Drug-drug Interaction Study Evaluating the PK Effects of Obicetrapib on Atorvastatin and Rosuvastatin</t>
  </si>
  <si>
    <t>NCT06046729</t>
  </si>
  <si>
    <t>A Study of Eltrekibart (LY3041658) in Adult Participants With Moderate to Severe Hidradenitis Suppurativa</t>
  </si>
  <si>
    <t>NCT05626712</t>
  </si>
  <si>
    <t>Safety and Efficacy of CELZ-201 in Patients With Recent Onset Type 1 Diabetes</t>
  </si>
  <si>
    <t>Creative Medical Technology Holdings Inc</t>
  </si>
  <si>
    <t>NCT05855967</t>
  </si>
  <si>
    <t>A Study of Ixekizumab (LY2439821) in Participants Aged ≥18 Years With Moderate-to-Severe Plaque or Active Psoriatic Arthritis in India</t>
  </si>
  <si>
    <t>NCT05839509</t>
  </si>
  <si>
    <t>Phase 2 Clinical Trial of GH001 in Bipolar II Disorder</t>
  </si>
  <si>
    <t>NCT05907980</t>
  </si>
  <si>
    <t>A Phase I Study of ROSE12 Alone and in Combination With Other Anti-tumor Agents in Patients With Solid Tumors</t>
  </si>
  <si>
    <t>NCT05735080</t>
  </si>
  <si>
    <t>Open-Label Study to Evaluate the Safety, Tolerability, PK, and Efficacy of INX-315 in Patients With Advanced Cancer</t>
  </si>
  <si>
    <t>Incyclix Bio</t>
  </si>
  <si>
    <t>NCT05683561</t>
  </si>
  <si>
    <t>A Phase III Clinical Trial to Evaluate the Efficacy and Safety of SCTV01E in Healthy People</t>
  </si>
  <si>
    <t>NCT05774873</t>
  </si>
  <si>
    <t>The Primary Objective of This Study to Evaluate the Safety and Tolerability of IBI334 and Determine the Maximum Tolerated Dose (MTD) and the Recommended Phase 2 Dose (RP2D)and Anti Tumor Activity of IBI334.</t>
  </si>
  <si>
    <t>NCT06000657</t>
  </si>
  <si>
    <t>Efficacy and Safety of Switching to Vemliver From Entecavir in Chronic Hepatitis B Patients Previously Treated With Entecavir</t>
  </si>
  <si>
    <t>NCT05919264</t>
  </si>
  <si>
    <t>FOG-001 in Locally Advanced or Metastatic Solid Tumors</t>
  </si>
  <si>
    <t>Parabilis Medicines, Inc.</t>
  </si>
  <si>
    <t>NCT06800157</t>
  </si>
  <si>
    <t>Study of LW402 Tablets in Moderate to Severe Rheumatoid Arthritis</t>
  </si>
  <si>
    <t>NCT05747664</t>
  </si>
  <si>
    <t>To Compare the Safety and PK/PD Characteristics of Subjects With Between Hepatic Impairment and Normal Hepatic Function</t>
  </si>
  <si>
    <t>NCT05935787</t>
  </si>
  <si>
    <t>Cytoflavin in the Complex Rehabilitation of Stroke Patients</t>
  </si>
  <si>
    <t>NCT05691712</t>
  </si>
  <si>
    <t>A Study of Tirzepatide (LY3298176) in Chinese Participants With Type 2 Diabetes</t>
  </si>
  <si>
    <t>NCT05740475</t>
  </si>
  <si>
    <t>A Study to Evaluate the Safety, Tolerability and Pharmacokinetic Properties of 9MW3811 in Healthy Subjects</t>
  </si>
  <si>
    <t>NCT05942612</t>
  </si>
  <si>
    <t>A Phase I Study of SHR -2001 in Healthy Subjects</t>
  </si>
  <si>
    <t>NCT03613181</t>
  </si>
  <si>
    <t>ANG1005 in Leptomeningeal Disease From Breast Cancer</t>
  </si>
  <si>
    <t>Angiochem Inc</t>
  </si>
  <si>
    <t>NCT06415292</t>
  </si>
  <si>
    <t>A Study to Evaluate the Impact of Clascoterone 1% Cream on Skin Barrier Properties in Acne Prone Patients</t>
  </si>
  <si>
    <t>NCT05630209</t>
  </si>
  <si>
    <t>Blood Brain Barrier (BBB) Disruption Using Exablate Focused Ultrasound With Doxorubicin for Treatment of Pediatric Diffuse Intrinsic Pontine Gliomas (DIPG)</t>
  </si>
  <si>
    <t>NCT05518578</t>
  </si>
  <si>
    <t>Safety and Tolerability Study of SPN-817 in Adult Patients With Treatment Resistant Epilepsy</t>
  </si>
  <si>
    <t>NCT05720208</t>
  </si>
  <si>
    <t>Spinal Cord Innovation in Pediatrics (SCiP) to Treat SensoriMotor Function in Children Cerebral Palsy: Protocol for a Randomized Controlled Trial</t>
  </si>
  <si>
    <t>NCT05946876</t>
  </si>
  <si>
    <t>A Phase 1 Study of XH-S003 in Healthy Volunteers</t>
  </si>
  <si>
    <t>NCT05904691</t>
  </si>
  <si>
    <t>Safety and Tolerability of OCU-10-C-110 for Injection in Subjects With Neovascular Age-related Macular Degeneration</t>
  </si>
  <si>
    <t>Ocugenix Corporation</t>
  </si>
  <si>
    <t>NCT05934955</t>
  </si>
  <si>
    <t>A Study in Healthy Men to Test How Well Different Doses of BI 1839100 Are Tolerated (1490-0003)</t>
  </si>
  <si>
    <t>NCT05900050</t>
  </si>
  <si>
    <t>Efficacy, Safety and Tolerability of VS-01 in Adult Patients With Acute-on-Chronic Liver Failure and Ascites (UNVEIL-IT)®</t>
  </si>
  <si>
    <t>NCT06215820</t>
  </si>
  <si>
    <t>Study of MR-107A-02 for the Treatment of Acute Postoperative Pain Following Bunionectomy</t>
  </si>
  <si>
    <t>NCT05936658</t>
  </si>
  <si>
    <t>[18F]Florastamin PET/CT Imaging Examination in Patients With Suspected Recurrent or Metastatic Prostate Cancer</t>
  </si>
  <si>
    <t>NCT05818943</t>
  </si>
  <si>
    <t>Honeycomb: Evaluation of Radiprodil in Children with GRIN-related Disorder</t>
  </si>
  <si>
    <t>GRIN Therapeutics, Inc.</t>
  </si>
  <si>
    <t>NCT06065735</t>
  </si>
  <si>
    <t>Concentration-QT Study of Paroxetine in Healthy Adults</t>
  </si>
  <si>
    <t>NCT05630768</t>
  </si>
  <si>
    <t>Efficacy and Safety of Actonel® After Denosumab Discontinuation in Postmenopausal Osteoporosis Women</t>
  </si>
  <si>
    <t>NCT05826535</t>
  </si>
  <si>
    <t>Study of Rondecabtagene Autoleucel in Aggressive Large B-Cell Lymphoma</t>
  </si>
  <si>
    <t>NCT05899608</t>
  </si>
  <si>
    <t>Clinical Study of Ivonescimab for First-line Treatment of Metastatic NSCLC Patients</t>
  </si>
  <si>
    <t>NCT05914116</t>
  </si>
  <si>
    <t>A Phase 1/2a Study of DB-1311/BNT324 in Advanced/Metastatic Solid Tumors</t>
  </si>
  <si>
    <t>NCT05672576</t>
  </si>
  <si>
    <t>A Research Study to Evaluate the Efficacy and Safety of Cenerimod in Subjects Suffering From Systemic Lupus Erythematosus</t>
  </si>
  <si>
    <t>NCT05866640</t>
  </si>
  <si>
    <t>Feasibility Trial of the F2 Filter and Delivery System for Embolic Protection During TAVR</t>
  </si>
  <si>
    <t>EnCompass Technologies, Inc.</t>
  </si>
  <si>
    <t>NCT05727878</t>
  </si>
  <si>
    <t>Trial to Evaluate Safety and Efficacy of KPI-012 Ophthalmic Solution in Participants With PCED</t>
  </si>
  <si>
    <t>Combangio, Inc</t>
  </si>
  <si>
    <t>NCT06212089</t>
  </si>
  <si>
    <t>Phase II Clinical Study of TR-012001 in Japanese Patients With Parkinson's Disease</t>
  </si>
  <si>
    <t>SNLD, Ltd.</t>
  </si>
  <si>
    <t>NCT05611931</t>
  </si>
  <si>
    <t>Selinexor in Maintenance Therapy After Systemic Therapy for Participants With p53 Wild-Type, Advanced or Recurrent Endometrial Carcinoma</t>
  </si>
  <si>
    <t>NCT06058039</t>
  </si>
  <si>
    <t>Study to Assess the Effects of Oral NMRA-335140 in Participants With Major Depressive Disorder</t>
  </si>
  <si>
    <t>NCT06126575</t>
  </si>
  <si>
    <t>A PK Study Testing Single Oral Dose of Elacestrant in Subjects With Normal or Severely Impaired Hepatic Function</t>
  </si>
  <si>
    <t>NCT05705271</t>
  </si>
  <si>
    <t>A Study to Learn How Safe the Study Drug Finerenone is and How Well it Works in Indian People With Long-term Decrease in the Kidneys' Ability to Work Properly (Chronic Kidney Disease) Together With Type 2 Diabetes Mellitus</t>
  </si>
  <si>
    <t>NCT05919693</t>
  </si>
  <si>
    <t>A 2-part Study Consisting of Multiple Ascending Dose (MAD) Safety Study, and a Dose-finding Masked Study to Assess the Safety and Efficacy of Intravitreal (IVT) EYE103 in Patients With Diabetic Macular Edema (DME) or Neovascular Age-related Macular Degeneration (NVAMD)</t>
  </si>
  <si>
    <t>EyeBiotech Ltd.</t>
  </si>
  <si>
    <t>NCT05584709</t>
  </si>
  <si>
    <t>Study to Access Anti-CD38 Anibody Drug in Patients With Advanced Solid Tumors</t>
  </si>
  <si>
    <t>NCT05721573</t>
  </si>
  <si>
    <t>A Study to Evaluate the Efficacy and Safety of ABC008 for Inclusion Body Myositis</t>
  </si>
  <si>
    <t>NCT06166056</t>
  </si>
  <si>
    <t>A Study to Investigate the Safety, Tolerability, and Pharmacokinetics of Inhaled CHF6333 After Single Doses in Healthy Volunteers and After Single and Repeated Doses in Subjects With Bronchiectasis</t>
  </si>
  <si>
    <t>NCT05219864</t>
  </si>
  <si>
    <t>Topical Ruxolitinib Evaluation in Chronic Hand Eczema Study 1</t>
  </si>
  <si>
    <t>NCT05793307</t>
  </si>
  <si>
    <t>Evaluation of the Safety and Efficacy of Infantile-onset Pompe Disease Gene Therapy Drug</t>
  </si>
  <si>
    <t>GeneCradle Inc</t>
  </si>
  <si>
    <t>NCT05761444</t>
  </si>
  <si>
    <t>Effectiveness and Safety Study of Early add-on of Ezetimibe With Atorvastatin in Very High-risk Patients</t>
  </si>
  <si>
    <t>NCT05809934</t>
  </si>
  <si>
    <t>A Study to Evaluate AZD2693 in Participants Who Are Carriers of the PNPLA3 148M Risk Allele With Non-cirrhotic Non-alcoholic Steatohepatitis With Fibrosis</t>
  </si>
  <si>
    <t>NCT06000891</t>
  </si>
  <si>
    <t>A Trial Assessing Safety, Tolerability, Pharmacokinetics and Pharmacodynamics of ZP7570</t>
  </si>
  <si>
    <t>NCT05798897</t>
  </si>
  <si>
    <t>Safety and Preliminary Efficacy of MT-601 in Patients With Relapsed/Refractory Lymphoma</t>
  </si>
  <si>
    <t>NCT06141460</t>
  </si>
  <si>
    <t>Safety and Efficacy of RRG001 Gene Therapy in Subjects With Neovascular Age-related Macular Degeneration (nAMD)</t>
  </si>
  <si>
    <t>Shanghai Refreshgene Technology Co., Ltd.</t>
  </si>
  <si>
    <t>NCT07036861</t>
  </si>
  <si>
    <t>A Comparative Bioavailability Study of Reformulated Ibuprofen 2% and 4% Oral Suspensions (Berlin Chemie AG) and Versus Ibuprofen (Nurofen®) 200 mg/5 ml Oral Suspension</t>
  </si>
  <si>
    <t>NCT05996380</t>
  </si>
  <si>
    <t>A Phase 1 Trial to Assess the Safety, Tolerability, Pharmacokinetics and Pharmacodynamics of SHR-3167 Single Injection in Healthy Subjects and Patients With Type 2 Diabetes</t>
  </si>
  <si>
    <t>NCT05981703</t>
  </si>
  <si>
    <t>A Study Investigating BGB-26808 Alone or in Combination With Tislelizumab in Participants With Advanced Solid Tumors</t>
  </si>
  <si>
    <t>NCT05683886</t>
  </si>
  <si>
    <t>A Study of KC1036 in Patients with Advanced Thymic Tumors</t>
  </si>
  <si>
    <t>NCT06077786</t>
  </si>
  <si>
    <t>A Trial Investigating the Pain-relieving Properties of Lu AG06474 in Healthy Adult Participants</t>
  </si>
  <si>
    <t>NCT06118086</t>
  </si>
  <si>
    <t>Study of REM-422 in Patients With Recurrent, Metastatic, or Unresectable Adenoid Cystic Carcinoma</t>
  </si>
  <si>
    <t>Remix Therapeutics</t>
  </si>
  <si>
    <t>NCT07432997</t>
  </si>
  <si>
    <t>Pharmacological Enhancement of Glymphatic Function in Humans</t>
  </si>
  <si>
    <t>Applied Cognition</t>
  </si>
  <si>
    <t>NCT05952986</t>
  </si>
  <si>
    <t>A Study to Evaluate the Safety and Bridging PK Profile of FB825 for Single Subcutaneous Administration in Healthy Adults</t>
  </si>
  <si>
    <t>NCT05395624</t>
  </si>
  <si>
    <t>Safety, PK and Biodistribution of 18F-OP-801 in Patients With ALS, AD, MS, PD and Healthy Volunteers</t>
  </si>
  <si>
    <t>NCT06050980</t>
  </si>
  <si>
    <t>Phase I Study of HSK40118 in NSCLC Patients With EGFR Mutation</t>
  </si>
  <si>
    <t>NCT05785819</t>
  </si>
  <si>
    <t>A Phase 2 Study of VLX-1005 Versus Placebo in Suspected Heparin Induced Thrombocytopenia</t>
  </si>
  <si>
    <t>NCT06118411</t>
  </si>
  <si>
    <t>A Study To Assess Adverse Events and Effectiveness of Upadacitinib Oral Tablets in Adult and Adolescent Participants With Vitiligo</t>
  </si>
  <si>
    <t>NCT05428592</t>
  </si>
  <si>
    <t>Clinical Trial of SARS-CoV-2 mRNA Vaccine(LVRNA009) as Heterologous Booster in Islamabad</t>
  </si>
  <si>
    <t>NCT05942365</t>
  </si>
  <si>
    <t>A Drug Interaction Study Assess the Effects of ZSP1273 Tablets on the Pharmacokinetics of Warfarin and Midazolam</t>
  </si>
  <si>
    <t>NCT05933200</t>
  </si>
  <si>
    <t>A Study to Determine the Effect of Triheptanoin Compared With Even-Chain MCT on MCEs in Pediatric Patients With LC-FAOD</t>
  </si>
  <si>
    <t>NCT06298071</t>
  </si>
  <si>
    <t>A Phase Ib Clinical Trial of Peguricase for Injection With Methotrexate in Patients With Uncontrolled Gout.</t>
  </si>
  <si>
    <t>NCT05894928</t>
  </si>
  <si>
    <t>A Study to Evaluate the Effect of Cholestyramine on LOXO-783 in Healthy Participants</t>
  </si>
  <si>
    <t>NCT06641557</t>
  </si>
  <si>
    <t>A Phase I Dosing Study of IkT-148009.</t>
  </si>
  <si>
    <t>NCT05930028</t>
  </si>
  <si>
    <t>A Study to Evaluate the Efficacy and Safety of BR1017A and BR1017B Combination Therapy in Essential Hypertension Patients With Primary Hypercholesterolemia</t>
  </si>
  <si>
    <t>NCT05814107</t>
  </si>
  <si>
    <t>Phase 1 Study of CT-996 in Overweight/Obese Participants and Patients With Type 2 Diabetes Mellitus</t>
  </si>
  <si>
    <t>Carmot Australia First Pty Ltd</t>
  </si>
  <si>
    <t>NCT05464381</t>
  </si>
  <si>
    <t>Allogeneic ABCB5-positive Dermal Mesenchymal Stromal Cells for Treatment of Epidermolysis Bullosa (Phase III, Cross-over)</t>
  </si>
  <si>
    <t>NCT06121830</t>
  </si>
  <si>
    <t>Study to Evaluate the Efficacy and Safety of DWP14012 in Patients With Non-Erosive Gastroesophageal Reflux Disease (NERD)</t>
  </si>
  <si>
    <t>NCT07511972</t>
  </si>
  <si>
    <t>Study of NGM707 in Combination With Pembrolizumab in Advanced or Metastatic Solid Tumor Malignancies</t>
  </si>
  <si>
    <t>NCT05605964</t>
  </si>
  <si>
    <t>Randomized Study to Evaluate MACE in Patients With Prostate Cancer Treated With Relugolix or Leuprolide Acetate</t>
  </si>
  <si>
    <t>NCT06050226</t>
  </si>
  <si>
    <t>A Study of MY008211A in Adult Patients With Paroxysmal Nocturnal Hemoglobinuria (PNH)</t>
  </si>
  <si>
    <t>NCT05739643</t>
  </si>
  <si>
    <t>Gene Transfer Clinical Trial for Infantile and Late Infantile Krabbe Disease Treated Previously With HSCT</t>
  </si>
  <si>
    <t>NCT05590585</t>
  </si>
  <si>
    <t>Dupilumab in Adolescent and Adult Skin of Color Participants: Open-label Moderate-to-severe Eczema Trial</t>
  </si>
  <si>
    <t>NCT05607498</t>
  </si>
  <si>
    <t>First in Human Study of EMB-07 in Locally Advanced/Metastatic Solid Tumors or Relapse/Refractory Lymphoma</t>
  </si>
  <si>
    <t>EpimAb Biotherapeutics (Suzhou)Co., Ltd.</t>
  </si>
  <si>
    <t>NCT05639114</t>
  </si>
  <si>
    <t>Phase 3 Study to Evaluate Two Regimens of Ianalumab on Top of Standard-of-care Therapy in Patients With Systemic Lupus Erythematosus (SIRIUS-SLE 1)</t>
  </si>
  <si>
    <t>NCT06128733</t>
  </si>
  <si>
    <t>Study of an Investigational Pentavalent Meningococcal ABCYW Vaccine in Adults and Adolescents</t>
  </si>
  <si>
    <t>NCT05288855</t>
  </si>
  <si>
    <t>Voclosporin in Adolescent and Pediatric Subjects With Lupus Nephritis</t>
  </si>
  <si>
    <t>NCT05696392</t>
  </si>
  <si>
    <t>The Purpose of This Study is to Evaluate the Effects of Ruxolitinib Cream on Adults With Atopic Dermatitis Experiencing Sleep Disturbance.</t>
  </si>
  <si>
    <t>NCT05856747</t>
  </si>
  <si>
    <t>A Study to Compare Two Bioanalytical Assays for Tebipenem</t>
  </si>
  <si>
    <t>NCT06041035</t>
  </si>
  <si>
    <t>A Study of QLS31905 Combination Chemotherapy as First-Line Treatment in Patients With Advanced Solid Tumors</t>
  </si>
  <si>
    <t>NCT05752526</t>
  </si>
  <si>
    <t>A Study of Diclofenac Gel in Women With Primary Dysmenorrhea</t>
  </si>
  <si>
    <t>NCT05921435</t>
  </si>
  <si>
    <t>Clinical Trial to Compare and Evaluate the Safety and Pharmacokinetic After Oral Administration of CKD-341 and D958 in Healthy Adults</t>
  </si>
  <si>
    <t>NCT06299033</t>
  </si>
  <si>
    <t>A Safety and Tolerability Study of Human Forebrain Neural Progenitor Cells Injection (hNPC01) in Subjects With Chronic Ischemic Stroke</t>
  </si>
  <si>
    <t>Hopstem Biotechnology Inc.</t>
  </si>
  <si>
    <t>NCT05625347</t>
  </si>
  <si>
    <t>Study to Compare the Pharmacokinetics and Pharmacodynamics of ASA Powder for Oral Inhalation With Non-enteric-coated Chewable Aspirin in Adult Subjects With Obstructive or Restrictive Pulmonary Function</t>
  </si>
  <si>
    <t>NCT06532058</t>
  </si>
  <si>
    <t>Phase IIa Study to Assess Safety and Efficacy in the Relapsed/Refractory Acute Myeloid Leukemia</t>
  </si>
  <si>
    <t>NCT06205706</t>
  </si>
  <si>
    <t>BI-1910 as a Single Agent and in Combination With Pembrolizumab for the Treatment of Advanced Solid Tumors</t>
  </si>
  <si>
    <t>NCT06001684</t>
  </si>
  <si>
    <t>Phase 1 Study of IBR854 in Locally Advanced Or Metastatic Solid Tumors</t>
  </si>
  <si>
    <t>Imbioray (Hangzhou) Biomedicine Co., Ltd.</t>
  </si>
  <si>
    <t>NCT05200104</t>
  </si>
  <si>
    <t>Study to Assess PXL065 in Subjects With Adrenomyeloneuropathy (AMN) Form of X-linked Adrenoleukodystrophy (X-ALD or ALD)</t>
  </si>
  <si>
    <t>NCT06061471</t>
  </si>
  <si>
    <t>To Evaluate the Efficacy and Safety of AK111 Injection in the Treatment of Moderate to Severe Plaque Psoriasis</t>
  </si>
  <si>
    <t>NCT05854784</t>
  </si>
  <si>
    <t>Study to Evaluate the Safety and Efficacy of Afamelanotide in Patients With Variegate Porphyria (VP)</t>
  </si>
  <si>
    <t>NCT05618028</t>
  </si>
  <si>
    <t>Study to Evaluate Adverse Events and Change in Disease Activity in Adult Participants With B-Cell Malignancies Receiving Oral ABBV-525 Tablets</t>
  </si>
  <si>
    <t>NCT06084884</t>
  </si>
  <si>
    <t>A Phase I/II Study to Evaluate AZD5851 in GPC3+ Advanced/Recurrent Hepatocellular Carcinoma</t>
  </si>
  <si>
    <t>NCT06129864</t>
  </si>
  <si>
    <t>A Global Study of Volrustomig (MEDI5752) for Participants With Unresected Locally Advanced Head and Neck Squamous Cell Carcinoma Following Definitive Concurrent Chemoradiotherapy</t>
  </si>
  <si>
    <t>NCT06092034</t>
  </si>
  <si>
    <t>A Gene Therapy Study of RP-A501 in Male Patients With Danon Disease</t>
  </si>
  <si>
    <t>NCT06212804</t>
  </si>
  <si>
    <t>A Study to Investigate the Safety, Pharmacokinetics, and Pharmacodynamics of VIS954 in Healthy Adult Participants</t>
  </si>
  <si>
    <t>NCT05805904</t>
  </si>
  <si>
    <t>A Study to Evaluate the Drug Levels, Safety, and Tolerability of BMS-986278 in Healthy Chinese Participants</t>
  </si>
  <si>
    <t>NCT05785728</t>
  </si>
  <si>
    <t>A Study of DB-1202 Monotherapy in Advanced Solid Tumors</t>
  </si>
  <si>
    <t>NCT06045000</t>
  </si>
  <si>
    <t>Mass Balance and Pharmacokinetics (PK) of [14C]-DC-806 in Healthy Male Participants</t>
  </si>
  <si>
    <t>NCT05938036</t>
  </si>
  <si>
    <t>Study of Safety and Efficacy of ALT-100mAb in Participants With Moderate/Severe ARDS</t>
  </si>
  <si>
    <t>NCT05586971</t>
  </si>
  <si>
    <t>Tigulixostat, Phase 3 Study, Allopurinol Controlled in Gout Patients</t>
  </si>
  <si>
    <t>NCT06042049</t>
  </si>
  <si>
    <t>A Study to Assess Safety, Pharmacokinetics Anti-Drug Antibody and Anti-RSV Antibody After 2 Doses of Nirsevimab</t>
  </si>
  <si>
    <t>NCT06297434</t>
  </si>
  <si>
    <t>Phase 2a Study to Evaluate Safety and Explore Efficacy of J2H-1702 for NASH</t>
  </si>
  <si>
    <t>NCT06151964</t>
  </si>
  <si>
    <t>A Trial to Learn How Safe AZD9550 Monotherapy and Combined With AZD6234 is in People With or Without Type 2 Diabetes Who Are Living With Obesity and Overweight</t>
  </si>
  <si>
    <t>NCT06134804</t>
  </si>
  <si>
    <t>A Study of 9-valent Extraintestinal Pathogenic Escherichia Coli Vaccine (ExPEC9V) and High-dose Quadrivalent Influenza Vaccine, With and Without Co-administration, in Adults Aged 65 Years or Older</t>
  </si>
  <si>
    <t>NCT05631938</t>
  </si>
  <si>
    <t>Study to Evaluate the Effect of Renal Impairment and Dialysis Treatment on the Pharmacokinetics of a Single 3 mg Cytisinicline Dose</t>
  </si>
  <si>
    <t>NCT05791071</t>
  </si>
  <si>
    <t>Virtual Reality Intervention for Skill Acquisition Support in Autism Spectrum Disorder (ASD)</t>
  </si>
  <si>
    <t>Floreo, Inc.</t>
  </si>
  <si>
    <t>NCT05631093</t>
  </si>
  <si>
    <t>A Switch to Doravirine/Islatravir (DOR/ISL) in Participants With Human Immunodeficiency Virus Type 1 (HIV-1) Who Are Virologically Suppressed on Antiretroviral Therapy (ART) (MK-8591A-051)</t>
  </si>
  <si>
    <t>NCT06087406</t>
  </si>
  <si>
    <t>A Phase 1b Study of Imvotamab in Moderate to Severe Rheumatoid Arthritis</t>
  </si>
  <si>
    <t>NCT06045507</t>
  </si>
  <si>
    <t>Safety and Pharmacokinetic Study of Oral MK-8527 QM in Participants at Low-Risk for HIV-1 Infection (MK-8527-007)</t>
  </si>
  <si>
    <t>NCT06218771</t>
  </si>
  <si>
    <t>A Study of TQB3454 Tablets in Patients With Blood Tumors</t>
  </si>
  <si>
    <t>NCT06280144</t>
  </si>
  <si>
    <t>Post-marketing Study of Lyophilized Nasal Spray Live Attenuated Influenza Vaccine</t>
  </si>
  <si>
    <t>NCT05744921</t>
  </si>
  <si>
    <t>A Study in Adult Patients With Paroxysmal Nocturnal Hemoglobinuria (PNH) to Evaluate How Safe Long-term Treatment With Pozelimab + Cemdisiran Combination Therapy is and How Well it Works</t>
  </si>
  <si>
    <t>NCT05765006</t>
  </si>
  <si>
    <t>CD19-CART(Relma-cel) for Moderate to Severe Active Systemic Lupus Erythematosus</t>
  </si>
  <si>
    <t>NCT05876754</t>
  </si>
  <si>
    <t>An Early Access Study of Ivosidenib in Patients With a Pretreated Locally Advanced or Metastatic Cholangiocarcinoma</t>
  </si>
  <si>
    <t>Servier Affaires Médicales</t>
  </si>
  <si>
    <t>NCT05979051</t>
  </si>
  <si>
    <t>A Study to Evaluate the Efficacy and Safety of SHR-1703 in Subjects With Eosinophilic Granulomatosis With Polyangiitis （EGPA）</t>
  </si>
  <si>
    <t>NCT05826353</t>
  </si>
  <si>
    <t>A Study to Investigate the Safety and Efficacy of K-321 Eye Drops After Simultaneous Cataract Surgery and Descemetorhexis in Participants With Fuchs Endothelial Corneal Dystrophy (FECD)</t>
  </si>
  <si>
    <t>NCT05689853</t>
  </si>
  <si>
    <t>Study of AK119 Combined With AK112 in Patients With Advanced Solid Tumors</t>
  </si>
  <si>
    <t>NCT06982651</t>
  </si>
  <si>
    <t>A Study on the Safety, Pharmacokinetics, and Food Effects of MI078 Capsules</t>
  </si>
  <si>
    <t>Nanjing Minova Pharmaceutical Co., Ltd.</t>
  </si>
  <si>
    <t>NCT06122194</t>
  </si>
  <si>
    <t>A Study to Learn PF-07817883 Blood Levels After Administration of Tablets of Study Drug to Healthy Adult Volunteers</t>
  </si>
  <si>
    <t>NCT06334783</t>
  </si>
  <si>
    <t>TIL for Patients With Advanced Solid Tumor</t>
  </si>
  <si>
    <t>NCT04854096</t>
  </si>
  <si>
    <t>Study to Assess Efficacy and Safety of NS-018 Compared to BAT in Patients With Myelofibrosis</t>
  </si>
  <si>
    <t>NCT06041256</t>
  </si>
  <si>
    <t>A Phase 1/2 Study of AURN001 in Subjects With Corneal Edema Secondary to Corneal Endothelial Dysfunction (ABA-1)</t>
  </si>
  <si>
    <t>NCT06040086</t>
  </si>
  <si>
    <t>NCT06107205</t>
  </si>
  <si>
    <t>Bioequivalence of TTYP01 Tablets in Healthy Adult Subjects</t>
  </si>
  <si>
    <t>NCT05312970</t>
  </si>
  <si>
    <t>Varithena Versus Endothermal Ablation of the Great Saphenous Vein (VERITAS)</t>
  </si>
  <si>
    <t>NCT06152237</t>
  </si>
  <si>
    <t>Safety and Efficacy of TSHA-102 in Pediatric Females With Rett Syndrome (REVEAL Pediatric Study)</t>
  </si>
  <si>
    <t>Taysha Gene Therapies, Inc.</t>
  </si>
  <si>
    <t>NCT05836324</t>
  </si>
  <si>
    <t>A Study to Evaluate the Safety of INCA33890 in Participants With Advanced or Metastatic Solid Tumors</t>
  </si>
  <si>
    <t>NCT04609020</t>
  </si>
  <si>
    <t>Study to Evaluate Subject Satisfaction With Facial Appearance and Impact of Combined Facial Treatment</t>
  </si>
  <si>
    <t>NCT05737485</t>
  </si>
  <si>
    <t>Study Evaluating the Safety and Tolerability of RCT1100 in Healthy and PCD Subjects</t>
  </si>
  <si>
    <t>ReCode Therapeutics</t>
  </si>
  <si>
    <t>NCT05948085</t>
  </si>
  <si>
    <t>A Study to Compare Zavegepant Concentration Using Samples Collected From the Vein Versus Patient-Centric Microsampling</t>
  </si>
  <si>
    <t>NCT06053424</t>
  </si>
  <si>
    <t>Positron Emission Tomography (PET) Study of Changes in [11C]AZ14132516 Uptake Following Administration of AZD7798 to Healthy Participants and Patients With Crohn's Disease</t>
  </si>
  <si>
    <t>NCT05763459</t>
  </si>
  <si>
    <t>A Phase 1 Study of ABBV-CLS-7262, Rosuvastatin, and Digoxin in Healthy Subjects</t>
  </si>
  <si>
    <t>NCT05775159</t>
  </si>
  <si>
    <t>Study of Novel Immunomodulators as Monotherapy and in Combination With Anticancer Agents in Participants With Advanced Hepatobiliary Cancer</t>
  </si>
  <si>
    <t>NCT06212297</t>
  </si>
  <si>
    <t>Fellow-eye Study (FE) of LX101 in Subjects With Inherited Retinal Dystrophy</t>
  </si>
  <si>
    <t>NCT05951959</t>
  </si>
  <si>
    <t>A Study of Acalabrutinib Plus Venetoclax and Rituximab in Participants With Treatment Naïve Mantle Cell Lymphoma</t>
  </si>
  <si>
    <t>NCT05641259</t>
  </si>
  <si>
    <t>A Study to Assess Safety and Preliminary Efficacy of LP-108 Combined With Azacitidine In Subjects With AML, MDS, CMML</t>
  </si>
  <si>
    <t>NCT06350279</t>
  </si>
  <si>
    <t>A Phase I Study to Assess the Safety,Tolerability, PK, PD, and Food Effect of HSK39297 in Healthy Subjects</t>
  </si>
  <si>
    <t>NCT05856448</t>
  </si>
  <si>
    <t>A Study Evaluating the Effects of GLPG3667 Administered as Oral Treatment in Adult Participants With Active Systemic Lupus Erythematosus</t>
  </si>
  <si>
    <t>NCT05795517</t>
  </si>
  <si>
    <t>Study of HSK31679 in Subjects With Hypercholesterolemia With Nonalcoholic Fatty Liver Disease（NAFLD）</t>
  </si>
  <si>
    <t>NCT06052813</t>
  </si>
  <si>
    <t>A Study of BN104 in the Treatment of Acute Leukemia</t>
  </si>
  <si>
    <t>Institut de Recherches Internationales Servier (I.R.I.S.)</t>
  </si>
  <si>
    <t>NCT06497491</t>
  </si>
  <si>
    <t>An Efficacy and Safety Study of GNR-086 (Canakinumab Biosimilar) and Ilaris® in Patients With Adult-onset Still&amp;#39;s Disease</t>
  </si>
  <si>
    <t>NCT05652543</t>
  </si>
  <si>
    <t>A PhaseⅡ Study to Evaluate the Safety &amp; Immunogenicity of SARS-CoV-2 Alpha/Beta/Delta/Omicron Variants COVID-19 Vaccine</t>
  </si>
  <si>
    <t>NCT05408091</t>
  </si>
  <si>
    <t>Study to Evaluate Safety and Activity of TRL345 in Healthy Volunteers</t>
  </si>
  <si>
    <t>NCT05694013</t>
  </si>
  <si>
    <t>Clinical Impact and Utility of Digital Health Solutions in Participants Receiving Systemic Treatment in Clinical Practice</t>
  </si>
  <si>
    <t>NCT06010862</t>
  </si>
  <si>
    <t>Clinical Study of CEA-targeted CAR-T Therapy for CEA-positive Advanced/Metastatic Malignant Solid Tumors</t>
  </si>
  <si>
    <t>NCT06087835</t>
  </si>
  <si>
    <t>Study to Investigate Efficacy, Safety, and Tolerability of Zibotentan/Dapagliflozin Compared to Dapagliflozin in Participants With Chronic Kidney Disease and High Proteinuria (ZENITH High Proteinuria)</t>
  </si>
  <si>
    <t>NCT05686408</t>
  </si>
  <si>
    <t>Study to Evaluate TNX-601 ER Monotherapy Versus Placebo in Patients With Major Depressive Disorder (MDD)</t>
  </si>
  <si>
    <t>NCT05667740</t>
  </si>
  <si>
    <t>Safety, Tolerability and Immunogenicity of an Inactivated Whole-cell Pneumococcal Vaccine Gamma-PN3.</t>
  </si>
  <si>
    <t>GPN Vaccines</t>
  </si>
  <si>
    <t>NCT05747924</t>
  </si>
  <si>
    <t>Phase 1/2 Study of AOC 1020 in Participants With Facioscapulohumeral Muscular Dystrophy (FSHD)</t>
  </si>
  <si>
    <t>NCT05804162</t>
  </si>
  <si>
    <t>A Research Study Looking at How Cagrilintide Works on the Heart Rhythm in Healthy Participants</t>
  </si>
  <si>
    <t>NCT05869903</t>
  </si>
  <si>
    <t>A Study of Orforglipron (LY3502970) in Adult Participants With Obesity or Overweight With Weight-Related Comorbidities</t>
  </si>
  <si>
    <t>NCT05470140</t>
  </si>
  <si>
    <t>A Phase 1 Study of WU-NK-101 in Patients With Relapsed or Refractory (R/R) Acute Myeloid Leukemia (AML)</t>
  </si>
  <si>
    <t>NCT05930210</t>
  </si>
  <si>
    <t>A Study to Evaluate ENERGI-F703 GEL in Diabetic Foot Ulcer</t>
  </si>
  <si>
    <t>NCT06217796</t>
  </si>
  <si>
    <t>Safety and Efficacy of Fixed Combination Phenylephrine-Tropicamide for Pupil Dilation</t>
  </si>
  <si>
    <t>NCT05507580</t>
  </si>
  <si>
    <t>A Study to Assess Treat-to-Target and Dosing Flexibility of Oral Upadacitinib Tablets in Adult Participants With Moderate to Severe Atopic Dermatitis</t>
  </si>
  <si>
    <t>NCT06097962</t>
  </si>
  <si>
    <t>Safety and Efficacy of NK510 to Treat NSCLC</t>
  </si>
  <si>
    <t>NCT06161246</t>
  </si>
  <si>
    <t>A Controlled Study on Pain Management With Injection of Botulinum Toxin for Glabellar Line Correction</t>
  </si>
  <si>
    <t>NCT06697535</t>
  </si>
  <si>
    <t>A Study to Evaluate the Efficacy and Safety of JYP0061 in Patients With Acute Neuromyelitis Spectrum Disease (NMOSD)</t>
  </si>
  <si>
    <t>NCT05774340</t>
  </si>
  <si>
    <t>A Study of CM326 in Subjects With Moderate to Severe Asthma</t>
  </si>
  <si>
    <t>NCT06144788</t>
  </si>
  <si>
    <t>Evaluation of Efficacy and Safety When Administered JP-2266 in Type 2 Diabetes Patients</t>
  </si>
  <si>
    <t>NCT06939946</t>
  </si>
  <si>
    <t>Intraoperative Parathyroid Gland (PTG) Identification Using a Hand-Held Imager (HHI)</t>
  </si>
  <si>
    <t>OPTOSURGICAL, LLC</t>
  </si>
  <si>
    <t>NCT05701540</t>
  </si>
  <si>
    <t>A Study to Evaluate the Efficacy and Safety of Tegoprazan in GERD Patients With Nighttime Heartburn</t>
  </si>
  <si>
    <t>NCT04680962</t>
  </si>
  <si>
    <t>MabionCD20® Compared to MabThera® and Rituxan® in Patients With Rheumatoid Arthritis</t>
  </si>
  <si>
    <t>Mabion SA</t>
  </si>
  <si>
    <t>NCT05995782</t>
  </si>
  <si>
    <t>A Phase 1, SAD and MAD Study to Evaluate the Safety and Tolerability of FB418</t>
  </si>
  <si>
    <t>1ST Biotherapeutics, Inc.</t>
  </si>
  <si>
    <t>NCT06031727</t>
  </si>
  <si>
    <t>CRISPR/cas13-medIated RNA TarGeting THerapy for the Treatment of Neovascular Age-related Macular Degeneration Investigator-initiated Trial (SIGHT-I)</t>
  </si>
  <si>
    <t>NCT05370885</t>
  </si>
  <si>
    <t>VE202 in Patients With Mild-to-Moderate Ulcerative Colitis</t>
  </si>
  <si>
    <t>NCT05921591</t>
  </si>
  <si>
    <t>Safety, Tolerability, and Pharmacokinetics of IRL201104 in Healthy Volunteers</t>
  </si>
  <si>
    <t>NCT06079879</t>
  </si>
  <si>
    <t>A Study of Bomedemstat (IMG-7289/MK-3543) Compared to Best Available Therapy (BAT) in Participants With Essential Thrombocythemia and an Inadequate Response or Intolerance of Hydroxyurea (MK-3543-006)</t>
  </si>
  <si>
    <t>NCT05558696</t>
  </si>
  <si>
    <t>A Study of Bomedemstat (IMG-7289/MK-3543) in Participants With Polycythemia Vera (IMG-7289-CTP-203/MK-3543-004)</t>
  </si>
  <si>
    <t>NCT05624749</t>
  </si>
  <si>
    <t>Phase 3 Study to Evaluate Ianalumab on Top of Standard-of-care Therapy in Patients With Systemic Lupus Erythematosus (SIRIUS-SLE 2)</t>
  </si>
  <si>
    <t>NCT05893043</t>
  </si>
  <si>
    <t>A Study of Multiple Ascending Doses of GSBR-1290 in Japanese and Non-Japanese Healthy Participants</t>
  </si>
  <si>
    <t>Gasherbrum Bio, Inc., a wholly owned subsidiary of Structure Therapeutics</t>
  </si>
  <si>
    <t>NCT05718843</t>
  </si>
  <si>
    <t>A Study to Test How Iclepertin is Taken up in the Blood of People With and Without Kidney Problems</t>
  </si>
  <si>
    <t>NCT05822752</t>
  </si>
  <si>
    <t>Study to Evaluate Adverse Events, and Change in Disease Activity, When Intravenously (IV) Infused With Livmoniplimab in Combination With IV Infused Budigalimab in Adult Participants With Hepatocellular Carcinoma (HCC)</t>
  </si>
  <si>
    <t>NCT05646706</t>
  </si>
  <si>
    <t>A Research Study to See How Semaglutide Helps People With Excess Weight, Lose Weight (STEP UP)</t>
  </si>
  <si>
    <t>NCT05731908</t>
  </si>
  <si>
    <t>A Study to Test How BI 690517 is Taken up in the Body of People With and Without Liver Problems</t>
  </si>
  <si>
    <t>NCT06076291</t>
  </si>
  <si>
    <t>An Open-label Study of SG1827 in Subjects With Advanced Solid Tumors</t>
  </si>
  <si>
    <t>NCT06474416</t>
  </si>
  <si>
    <t>A Study of the Safety, Tolerability and Prelinminary Efficacy of BD111 in Herpes Simplex Virus Type I Stromal Keratitis</t>
  </si>
  <si>
    <t>NCT06118333</t>
  </si>
  <si>
    <t>A Study Comparing BL-B01D1 With Physician's Choice of Chemotherapy in Patients With Recurrent or Metastatic Nasopharyngeal Carcinoma(PANKU-NPC01)</t>
  </si>
  <si>
    <t>NCT05836948</t>
  </si>
  <si>
    <t>The Clinical Study of SHR-9839 for Injection in Patients With Advanced Solid Tumors</t>
  </si>
  <si>
    <t>NCT05451017</t>
  </si>
  <si>
    <t>The Effect of Food on the Oral Bioavailability of AEF0117 in Healthy Volunteers</t>
  </si>
  <si>
    <t>NCT05827926</t>
  </si>
  <si>
    <t>A Study of mRNA-based Influenza and SARS-CoV-2 (COVID-19) Multi-component Vaccines in Healthy Adults</t>
  </si>
  <si>
    <t>NCT05992155</t>
  </si>
  <si>
    <t>A Study of TAK-279 in Adults With or Without Kidney Problems</t>
  </si>
  <si>
    <t>NCT05537025</t>
  </si>
  <si>
    <t>Study of ARO-MMP7 Inhalation Solution in Healthy Subjects and Patients With Idiopathic Pulmonary Fibrosis</t>
  </si>
  <si>
    <t>NCT06014658</t>
  </si>
  <si>
    <t>Safety, PK, and Preliminary Efficacy of MBRC-101 in Advanced Refractory Solid Tumors</t>
  </si>
  <si>
    <t>MBrace Therapeutics</t>
  </si>
  <si>
    <t>NCT05629208</t>
  </si>
  <si>
    <t>NCT05718817</t>
  </si>
  <si>
    <t>An Open-label Study of XEN1101 in Epilepsy</t>
  </si>
  <si>
    <t>NCT06975774</t>
  </si>
  <si>
    <t>Phase II Clinical Clical of the Pure Protein Derivatives of BCG</t>
  </si>
  <si>
    <t>NCT05632861</t>
  </si>
  <si>
    <t>HuHuangLianzonggan Capsule in Subjects With Nonalcoholic Steatohepatitis: a Phase 2 tRial(HHL-HEPAR)</t>
  </si>
  <si>
    <t>NCT05804669</t>
  </si>
  <si>
    <t>A Study to Evaluate the Safety and PK of CRN04894 for the Treatment of Cushing's Syndrome</t>
  </si>
  <si>
    <t>NCT06022354</t>
  </si>
  <si>
    <t>To Evaluate the Safety, Tolerability, Pharmacokinetics and Pharmacodynamics of SIM0278 in Chinese Healthy Subjects</t>
  </si>
  <si>
    <t>NCT06100653</t>
  </si>
  <si>
    <t>BCG for Therapeutic Use Phase I Clinical Trial</t>
  </si>
  <si>
    <t>NCT06840769</t>
  </si>
  <si>
    <t>A Clinical Trial to Assess Safety and Pharmacokinetics of Fosnetupitant 235 mg and Metabolites in Healthy Volunteers</t>
  </si>
  <si>
    <t>NCT06021951</t>
  </si>
  <si>
    <t>Milk-Only Lactation Study to Evaluate the Concentration of Bempedoic Acid and Bempedoic Acid/Ezetimibe Fixed Combination Drug Product (FCDP) in the Breast Milk of Healthy Lactating Women</t>
  </si>
  <si>
    <t>NCT06094283</t>
  </si>
  <si>
    <t>First in Human Study Evaluating Single Ascending Oral Doses of YCT-529 in Healthy Males</t>
  </si>
  <si>
    <t>YourChoice Therapeutics, Inc.</t>
  </si>
  <si>
    <t>NCT06772805</t>
  </si>
  <si>
    <t>A Study to Evaluate the Effect of Food on Nemtabrutinib (MK-1026) in Healthy Participants (MK-1026-016)</t>
  </si>
  <si>
    <t>NCT05201066</t>
  </si>
  <si>
    <t>Roll-over Study for Patients Who Have Completed a Prior Novartis-sponsored Sabatolimab (MBG453) Study and Are Judged by the Investigator to Benefit From Continued Treatment With Sabatolimab.</t>
  </si>
  <si>
    <t>NCT05848453</t>
  </si>
  <si>
    <t>Safety, Tolerability, and Pharmacokinetics of BAP5191 in Healthy Adults Following Topical Application of Repeat Doses</t>
  </si>
  <si>
    <t>Bacoba AG</t>
  </si>
  <si>
    <t>NCT05844423</t>
  </si>
  <si>
    <t>Safety, Tolerability, and Immunogenicity of a 24-Valent Pneumococcal Conjugate Vaccine (VAX-24) in Healthy Infants</t>
  </si>
  <si>
    <t>NCT05272059</t>
  </si>
  <si>
    <t>Multiple Ascending Dose Study of MHS552 in Adults With Type 1 Diabetes Mellitus</t>
  </si>
  <si>
    <t>NCT05747261</t>
  </si>
  <si>
    <t>Study of the Safety and Efficacy of an Adeno-Associated Viral Vector Carrying the SMN Gene After a Single Intravenous Administration of Escalating Doses in Children With Spinal Muscular Atrophy (BLUEBELL)</t>
  </si>
  <si>
    <t>NCT05790941</t>
  </si>
  <si>
    <t>Proof of Concept Study of Latanoprost/Minoxidil (ANR-001.1) Topical Formulation</t>
  </si>
  <si>
    <t>Aneira Pharma, Inc.</t>
  </si>
  <si>
    <t>NCT05675605</t>
  </si>
  <si>
    <t>A Study of TY-1091 in Patients With Advanced Solid Tumors</t>
  </si>
  <si>
    <t>NCT05823870</t>
  </si>
  <si>
    <t>This Study is to Compare and Evaluate the Safety and Pharmacokinetic Characteristics (PK) After Administration of DW6014 and Each Component(Empagliflozin and Metformin) in Healthy Adult Volunteers in Fast Condition.</t>
  </si>
  <si>
    <t>NCT05653869</t>
  </si>
  <si>
    <t>A Study of APS03118 in Advanced Solid Tumors Harboring RET Mutations or Fusions</t>
  </si>
  <si>
    <t>Applied Pharmaceutical Science, Inc.</t>
  </si>
  <si>
    <t>NCT06073119</t>
  </si>
  <si>
    <t>A Study to Evaluate Efficacy and Safety of SAR441566 in Adults With Plaque Psoriasis</t>
  </si>
  <si>
    <t>NCT06178614</t>
  </si>
  <si>
    <t>A Study of JNJ-87890387 for Advanced Solid Tumors</t>
  </si>
  <si>
    <t>NCT05722964</t>
  </si>
  <si>
    <t>Study on Intravenous Injection of SHR-1906 in the Treatment of Idiopathic Pulmonary Fibrosis</t>
  </si>
  <si>
    <t>NCT05709093</t>
  </si>
  <si>
    <t>A Phase 3 Clinical Study to Evaluate Lemzoparlimab for Injection in Combination With Azacitidine (AZA) Versus AZA Monotherapy in Treatment-naïve Patients With Higher-risk Myelodysplastic Syndrome (MDS)</t>
  </si>
  <si>
    <t>NCT05540665</t>
  </si>
  <si>
    <t>Study of Daxdilimab (HZN-7734) in Participants With Active Proliferative Lupus Nephritis (LN)</t>
  </si>
  <si>
    <t>NCT05910528</t>
  </si>
  <si>
    <t>Afimkibart (RO7790121) for the Treatment of Moderate to Severe Active Crohn's Disease</t>
  </si>
  <si>
    <t>NCT05646836</t>
  </si>
  <si>
    <t>A Study to Evaluate the Safety, Pharmacokinetics, and Activity of XmAb24306 in Combination With Cevostamab in Participants With Relapsed/Refractory Multiple Myeloma</t>
  </si>
  <si>
    <t>NCT06314867</t>
  </si>
  <si>
    <t>Clinical Study on Lot-to-lot Consistency and Immune Persistence of Three Commercial Batches of PPSV23</t>
  </si>
  <si>
    <t>NCT06723964</t>
  </si>
  <si>
    <t>A Study of AP505 Injection in Patients With Advanced Malignant Solid Tumors</t>
  </si>
  <si>
    <t>NCT05687071</t>
  </si>
  <si>
    <t>A Long-term Trial of ETC-1002 in Patients With Hyper-LDL Cholesterolemia</t>
  </si>
  <si>
    <t>NCT05613036</t>
  </si>
  <si>
    <t>A Study in People With Advanced Cancer to Test How BI 907828 is Processed in the Body</t>
  </si>
  <si>
    <t>NCT05725057</t>
  </si>
  <si>
    <t>Proof of Concept Study of AX-158 in Patients With Mild to Moderate Plaque Psoriasis</t>
  </si>
  <si>
    <t>NCT05947812</t>
  </si>
  <si>
    <t>A Clinical Evaluation of the Safety and Efficacy of Randomized Placebo Versus the 8-aminoquinoline Tafenoquine for Early Symptom Resolution in Patients With Mild to Moderate COVID 19 Disease and Low Risk of Disease Progression</t>
  </si>
  <si>
    <t>60P Australia Pty Ltd</t>
  </si>
  <si>
    <t>NCT05888207</t>
  </si>
  <si>
    <t>A Study to Assess the Effects of Fluvoxamine on Savolitinib Exposure in Healthy Male Subjects</t>
  </si>
  <si>
    <t>NCT06205134</t>
  </si>
  <si>
    <t>Comparative Bioavailability of Intranasal Epinephrine</t>
  </si>
  <si>
    <t>NCT05739292</t>
  </si>
  <si>
    <t>Safety and Immunogenicity of Pentavalent Meningococcal Conjugate Vaccine (EuNmCV-5) in Healthy Adults Aged 19 to 55 Years Old</t>
  </si>
  <si>
    <t>NCT05938699</t>
  </si>
  <si>
    <t>Aqueous Humor Dynamics of NCX 470 Ophthalmic Solution</t>
  </si>
  <si>
    <t>NCT05665530</t>
  </si>
  <si>
    <t>A Study of PRT2527 as Monotherapy and in Combination With Zanubrutinib or Venetoclax in Participants With R/R Hematologic Malignancies</t>
  </si>
  <si>
    <t>NCT05609630</t>
  </si>
  <si>
    <t>Study of Oral Upadacitinib and Subcutaneous/Intravenous Tocilizumab to Evaluate Change in Disease Activity, Adverse Events and How Drug Moves Through the Body of Pediatric and Adolescent Participants With Active Systemic Juvenile Idiopathic Arthritis.</t>
  </si>
  <si>
    <t>NCT06182267</t>
  </si>
  <si>
    <t>Maximal Use Study to Determine the Pharmacokinetics of L-arginine After Exaggerated Oral Use of COL101</t>
  </si>
  <si>
    <t>NCT05934292</t>
  </si>
  <si>
    <t>Enlicitide Decanoate (MK-0616 Oral PCSK9 Inhibitor) Renal Impairment Study (MK-0616-020)</t>
  </si>
  <si>
    <t>NCT05822544</t>
  </si>
  <si>
    <t>Phase 1/1b Study of TLC-6740 in Healthy Subjects and Subjects With Obesity, With or Without Diabetes</t>
  </si>
  <si>
    <t>NCT06017609</t>
  </si>
  <si>
    <t>Evaluate Efficacy, Safety and Tolerability of JTT-861 in Subjects With Heart Failure With Reduced Ejection Fraction</t>
  </si>
  <si>
    <t>NCT05672199</t>
  </si>
  <si>
    <t>Long-term Safety and Efficacy of Efavaleukin Alfa in Participants With Moderately to Severely Active Ulcerative Colitis</t>
  </si>
  <si>
    <t>NCT06084598</t>
  </si>
  <si>
    <t>A Study to Evaluate the Safety, Tolerability and Drug Levels of BMS-986446 in Healthy Participants and Healthy Participants of Japanese Ethnicity</t>
  </si>
  <si>
    <t>NCT06100900</t>
  </si>
  <si>
    <t>Dose Escalation of BCX10013 in Participants with Paroxysmal Nocturnal Hemoglobinuria (PNH)</t>
  </si>
  <si>
    <t>NCT05685719</t>
  </si>
  <si>
    <t>A Study to Evaluate the Relative Bioavailability of STI-1558 and the Effect of Itraconazole and Rifampin on the Pharmacokinetics of STI-1558</t>
  </si>
  <si>
    <t>NCT06077877</t>
  </si>
  <si>
    <t>A Study to Investigate the Safety, Tolerability, Pharmacokinetics (PK), and Preliminary Anticancer Activity of GSK4524101 Alone or With Niraparib in Participants With Solid Tumors</t>
  </si>
  <si>
    <t>NCT05841277</t>
  </si>
  <si>
    <t>A Study of LY3819469 in Participants With Impaired and Normal Renal Function</t>
  </si>
  <si>
    <t>NCT06093542</t>
  </si>
  <si>
    <t>A Study to Investigate the Safety, Tolerability, and Pharmacokinetics of AZD7503 in Japanese Healthy Participants.</t>
  </si>
  <si>
    <t>NCT06052566</t>
  </si>
  <si>
    <t>A Study of Efinopegdutide in Participants With Hepatic Impairment (MK-6024-014)</t>
  </si>
  <si>
    <t>NCT06922305</t>
  </si>
  <si>
    <t>Relative Bioavailability Study of HR19042 in Healthy Subjects</t>
  </si>
  <si>
    <t>NCT06112379</t>
  </si>
  <si>
    <t>A Phase III Randomised Study to Evaluate Dato-DXd and Durvalumab for Neoadjuvant/Adjuvant Treatment of Triple-Negative or Hormone Receptor-low/HER2-negative Breast Cancer</t>
  </si>
  <si>
    <t>NCT06423261</t>
  </si>
  <si>
    <t>Safety, Tolerability, Pharmacokinetics and Immunogenicity Study of GB002 Recombinant Peptide Inhalation Solution in Healthy Subjects</t>
  </si>
  <si>
    <t>NCT06091254</t>
  </si>
  <si>
    <t>A Trial to Learn if Odronextamab is Safe and Well-Tolerated and How Well it Works Compared to Rituximab Combined With Different Types of Chemotherapy for Adult Participants With Previously Untreated Follicular Lymphoma</t>
  </si>
  <si>
    <t>NCT05986851</t>
  </si>
  <si>
    <t>Azeliragon in MGMT Unmethylated Glioblastoma</t>
  </si>
  <si>
    <t>NCT04226170</t>
  </si>
  <si>
    <t>Study of Pyridostigmine With Ondansetron in Subjects With Anti-AchR Positive Myasthenia Gravis</t>
  </si>
  <si>
    <t>DAS-MG, Inc</t>
  </si>
  <si>
    <t>NCT05661851</t>
  </si>
  <si>
    <t>Clinical Evaluation of a Multidose Preservative-free Lubricating Eye Drops Contained in Novelia® Eye Dropper in Non-Contact Lens Wearing Patients</t>
  </si>
  <si>
    <t>NCT07546929</t>
  </si>
  <si>
    <t>HP-211 Safety and Proof of Concept Dose Ranging Study in Patients With Type 2 Diabetes</t>
  </si>
  <si>
    <t>Housey Healthcare ULC</t>
  </si>
  <si>
    <t>NCT05702229</t>
  </si>
  <si>
    <t>Novel Combinations in Participants With Locally Advanced Unresectable or Metastatic Gastric or Gastroesophageal Junction Adenocarcinoma</t>
  </si>
  <si>
    <t>NCT06216041</t>
  </si>
  <si>
    <t>To Evaluate the Safety, Tolerability, Pharmacokinetics and Food Effects of IMM-H014 in Healthy Subjects</t>
  </si>
  <si>
    <t>NCT06564116</t>
  </si>
  <si>
    <t>Safety and Immunogenicity Study of Thiomersal-free Hepatitis E Vaccine in People Ages 16 Years and Above</t>
  </si>
  <si>
    <t>NCT06272747</t>
  </si>
  <si>
    <t>Study of XH-S003 in Healthy Volunteers</t>
  </si>
  <si>
    <t>NCT05845138</t>
  </si>
  <si>
    <t>A Study of SHR-A1811 Combined With Capecitabine in Treatment of Unresectable or Metastatic Breast Cancer With Low HER2 Expression.</t>
  </si>
  <si>
    <t>NCT05673785</t>
  </si>
  <si>
    <t>A Study of Brentuximab Vedotin in Combination With Cyclophosphamide, Doxorubicin (Hydroxydaunorubicin), Prednisone (CHP) in Chinese Participants With CD30-Positive (CD30+) Peripheral T-Cell Lymphomas (PTCL)</t>
  </si>
  <si>
    <t>NCT05501574</t>
  </si>
  <si>
    <t>An Open Label Trial Evaluating the Safety, Tolerability, Efficacy and Pharmacokinetic Profile of Tacrolimus Inhalation Powder in Adult Lung Transplant Recipients</t>
  </si>
  <si>
    <t>NCT05865574</t>
  </si>
  <si>
    <t>A Comparative Pharmacokinetic Study to Evaluate Different Manufacturing Batches of BAT1706 Injection</t>
  </si>
  <si>
    <t>NCT05847218</t>
  </si>
  <si>
    <t>Phase 1 Clinical Trial of RHN-001 in Healthy Adult Volunteers</t>
  </si>
  <si>
    <t>RH Nanopharmaceuticals</t>
  </si>
  <si>
    <t>NCT05545813</t>
  </si>
  <si>
    <t>Impact of Probiotic Supplementation on Cognition and Related Health Outcomes Among Video Gamers</t>
  </si>
  <si>
    <t>NCT06237413</t>
  </si>
  <si>
    <t>A Study of ZG2001 in Participants With KRAS Mutated Advanced Solid Tumours</t>
  </si>
  <si>
    <t>NCT05745363</t>
  </si>
  <si>
    <t>Clinical Study of AL2846 Capsule in the Treatment of Differentiated Thyroid Cancer</t>
  </si>
  <si>
    <t>NCT05887843</t>
  </si>
  <si>
    <t>Study to Compare the Pharmacokinetics of Fixed-Dose Combination of Mometasone + Azelastine Nasal Spray to Mometasone and Azelastine Nasal Sprays in Adolescents and Young Adults With Seasonal Allergic Rhinitis</t>
  </si>
  <si>
    <t>NCT06045091</t>
  </si>
  <si>
    <t>To Evaluate the Safety and Efficacy of Human BCMA Targeted CAR-NK Cells Injection for Subjects With R/R MM or PCL</t>
  </si>
  <si>
    <t>NCT06828874</t>
  </si>
  <si>
    <t>A Study of Levornidazole Disodium Phosphate for Injection vs. Ornidazole in Treatment of Postoperative Intra-Abdominal Infections Caused by Anaerobic Bacteria</t>
  </si>
  <si>
    <t>Yangtze River Pharmaceutical Group Jiangsu Zilong Pharmaceutical Co. Ltd</t>
  </si>
  <si>
    <t>NCT05666804</t>
  </si>
  <si>
    <t>Study Assessing the Efficacy and Safety of a Personalized Monotherapy Regimen of Brolucizumab in Patients With Symptomatic Macular Polypoidal Choroidal Vasculopathy</t>
  </si>
  <si>
    <t>NCT05636852</t>
  </si>
  <si>
    <t>Altropane Dose for Imaging Patients With Suspected Parkinson's Disease</t>
  </si>
  <si>
    <t>NCT05759208</t>
  </si>
  <si>
    <t>The Study Evaluating the Efficacy and Safety of OK-101 in Subjects With Dry Eye Disease</t>
  </si>
  <si>
    <t>Okyo Pharma Ltd</t>
  </si>
  <si>
    <t>NCT06141590</t>
  </si>
  <si>
    <t>A Clinical Study to Evaluate the Safety and the Pharmacokinetics of UI068 in Healthy Adult Volunteers Under Fed Conditions</t>
  </si>
  <si>
    <t>NCT05818306</t>
  </si>
  <si>
    <t>A Phase Ia Safety and Tolerability Study of BL-001</t>
  </si>
  <si>
    <t>Bloom Science</t>
  </si>
  <si>
    <t>NCT05652868</t>
  </si>
  <si>
    <t>Clinical Study of Antibody-Drug Conjugate MYTX-011 in Subjects With Non-Small Cell Lung Cancer</t>
  </si>
  <si>
    <t>Mythic Therapeutics</t>
  </si>
  <si>
    <t>NCT05947097</t>
  </si>
  <si>
    <t>A Study to Evaluate the Pharmacokinetics of HSK21542 in Subjects With Renal Impairment</t>
  </si>
  <si>
    <t>NCT05896215</t>
  </si>
  <si>
    <t>OM202JP Clinical Study of KNP2002</t>
  </si>
  <si>
    <t>KinoPharma Inc.</t>
  </si>
  <si>
    <t>NCT05731115</t>
  </si>
  <si>
    <t>Lot-to-lot Consistency of 23-valent Pneumococcal Polysaccharide Vaccine</t>
  </si>
  <si>
    <t>NCT05733390</t>
  </si>
  <si>
    <t>A Study of JZP541 in Adults With Irritability Associated With Autism Spectrum Disorder</t>
  </si>
  <si>
    <t>NCT05754424</t>
  </si>
  <si>
    <t>AT278, NovoRapid® and Humulin® R (U500) in Glucose Clamp Study</t>
  </si>
  <si>
    <t>NCT05781490</t>
  </si>
  <si>
    <t>A Healthy Volunteer Trial Investigating MR-enterography Image Quality of Lumentin® 44</t>
  </si>
  <si>
    <t>NCT06067425</t>
  </si>
  <si>
    <t>Safety, Tolerability, Pharmacokinetics, Pharmacodynamics, and Efficacy of SAR442501 in Pediatric Participants With Achondroplasia</t>
  </si>
  <si>
    <t>NCT06088017</t>
  </si>
  <si>
    <t>A Clinical Trial to Compare and Evaluate the Safety and Pharmacokinetics of CKD-391(2)</t>
  </si>
  <si>
    <t>NCT05636176</t>
  </si>
  <si>
    <t>A Research Study to Look at How Ziltivekimab Works Compared to Placebo in People With Heart Failure and Inflammation</t>
  </si>
  <si>
    <t>NCT06122779</t>
  </si>
  <si>
    <t>Study to Evaluate Safety, Tolerability and Drug Levels of BMS-986435/MYK-224 in Participants With Heart Failure With Preserved Ejection Fraction (HFpEF)</t>
  </si>
  <si>
    <t>NCT05684523</t>
  </si>
  <si>
    <t>Feasibility Study on the Use of Redormin®500 on Day-time Cognition</t>
  </si>
  <si>
    <t>Max Zeller Soehne AG</t>
  </si>
  <si>
    <t>NCT06347718</t>
  </si>
  <si>
    <t>CAR-T Cells in Systemic B Cell Mediated Autoimmune Disease</t>
  </si>
  <si>
    <t>NCT05702424</t>
  </si>
  <si>
    <t>Evaluation of IGM-7354 in Adults With Relapsed and/or Refractory Cancer</t>
  </si>
  <si>
    <t>NCT05843162</t>
  </si>
  <si>
    <t>A Clinical Trial to Evaluate the Blood Pressure Control of Telmisartan or Losartan in Essential Hypertensive Patients With Metabolic Syndrome</t>
  </si>
  <si>
    <t>NCT06549686</t>
  </si>
  <si>
    <t>A Phase III Study of CLS2901C in Patients With Osteoarthritis of the Knee</t>
  </si>
  <si>
    <t>NCT05844527</t>
  </si>
  <si>
    <t>Safety and Efficacy of MRG-001 in Wound Healing in Abdominoplasty Patients</t>
  </si>
  <si>
    <t>NCT05806359</t>
  </si>
  <si>
    <t>A Study to Evaluate the Safety, Tolerability, and Drug Levels of Danicamtiv in Healthy Japanese and Caucasian Participants</t>
  </si>
  <si>
    <t>NCT06094179</t>
  </si>
  <si>
    <t>Evaluate the Safety, Tolerability of BAT6026</t>
  </si>
  <si>
    <t>NCT05784779</t>
  </si>
  <si>
    <t>Phase Ib/II Study to Evaluate the Efficacy and Safety of GH509 Versus Placebo in Patients With NASH/NAFLD</t>
  </si>
  <si>
    <t>1Globe Biomedical Co., Ltd.</t>
  </si>
  <si>
    <t>NCT05870488</t>
  </si>
  <si>
    <t>iFuse TORQ for the Treatment of Sacroiliac Joint Dysfunction</t>
  </si>
  <si>
    <t>SI-BONE, Inc.</t>
  </si>
  <si>
    <t>NCT05659927</t>
  </si>
  <si>
    <t>Single Dose Clinical Trial of MG-ZG122 in Chinese Healthy Adult Subjects</t>
  </si>
  <si>
    <t>NCT05702268</t>
  </si>
  <si>
    <t>Pharmacodynamic Blood Characteristics of ICP-332 in Patients With Moderate to Severe Atopic Dermatitis</t>
  </si>
  <si>
    <t>NCT06007690</t>
  </si>
  <si>
    <t>A Phase 3 Randomized, Masked, Controlled Trial to Evaluate Efficacy and Safety of Belzupacap Sarotalocan (AU-011) Treatment Compared to Sham Control in Subjects With Primary Indeterminate Lesions or Small Choroidal Melanoma</t>
  </si>
  <si>
    <t>NCT06275620</t>
  </si>
  <si>
    <t>A Study Comparing Two Doses of AGTC-501 in Male Participants With X-linked Retinitis Pigmentosa Caused by RPGR Mutations (DAWN)</t>
  </si>
  <si>
    <t>NCT05729386</t>
  </si>
  <si>
    <t>A Study to Evaluate the Safety, PK of GC2129A in Healthy Volunteers Under Fed Conditions</t>
  </si>
  <si>
    <t>NCT05609968</t>
  </si>
  <si>
    <t>Study of Pembrolizumab (MK-3475) Monotherapy Versus Sacituzumab Govitecan in Combination With Pembrolizumab for Participants With Metastatic Non-small Cell Lung Cancer (NSCLC) With Programmed Cell Death Ligand 1 (PD-L1) Tumor Proportion Score (TPS) ≥50% (MK-3475-D46)</t>
  </si>
  <si>
    <t>NCT06302374</t>
  </si>
  <si>
    <t>Safety, Tolerability, Pharmacokinetics, Pharmacodynamics and Immunogenicity of GR2001 in Chinese Healthy Adults</t>
  </si>
  <si>
    <t>NCT05927779</t>
  </si>
  <si>
    <t>Study of TFX06 in Women With Advanced Breast Cancer.</t>
  </si>
  <si>
    <t>NCT05771480</t>
  </si>
  <si>
    <t>Durvalumab With Chemotherapy as First Line Treatment in Patients With Advanced Biliary Tract Cancers (aBTCs)</t>
  </si>
  <si>
    <t>NCT05967351</t>
  </si>
  <si>
    <t>A Long-term Follow-up Study of Participants Who Received Delandistrogene Moxeparvovec (SRP-9001) in a Previous Clinical Study</t>
  </si>
  <si>
    <t>NCT05920941</t>
  </si>
  <si>
    <t>Mass Balance Study of [14C]JAB-21822</t>
  </si>
  <si>
    <t>NCT05734066</t>
  </si>
  <si>
    <t>Study of Lurbinectedin Monotherapy in Pediatric and Young Adult Participants With Relapsed/Refractory Ewing Sarcoma</t>
  </si>
  <si>
    <t>NCT05546866</t>
  </si>
  <si>
    <t>Study to Assess the Efficacy and Safety of Adjuvant Osimertinib in NSCLC With Uncommon EGFRm</t>
  </si>
  <si>
    <t>NCT05598151</t>
  </si>
  <si>
    <t>Dose Escalation and Expansion Study of HM97662 in Advanced or Metastatic Solid Tumors</t>
  </si>
  <si>
    <t>NCT05212922</t>
  </si>
  <si>
    <t>A Study to Evaluate YH001 in Combination With Toripalimab in Subjects With Advanced NSCLC and HCC</t>
  </si>
  <si>
    <t>NCT05494788</t>
  </si>
  <si>
    <t>Impact of CardiolRxTM on Recurrent Pericarditis (MAvERIC-Pilot)</t>
  </si>
  <si>
    <t>NCT05632783</t>
  </si>
  <si>
    <t>TreatMent Of Knee osTeoarthritis wIth chONdroitin Sulfate - the OA MOTION Study</t>
  </si>
  <si>
    <t>NCT05599295</t>
  </si>
  <si>
    <t>Study to Evaluate the Safety of Intravenous Oritavancin for the Treatment of Children With Skin Infections</t>
  </si>
  <si>
    <t>Melinta Therapeutics, LLC</t>
  </si>
  <si>
    <t>NCT05814354</t>
  </si>
  <si>
    <t>SHR-A1811 Versus Investigator's Chemotherapy in Recurrent/Metastatic Breast Cancer Clinical Trial</t>
  </si>
  <si>
    <t>NCT05966701</t>
  </si>
  <si>
    <t>The MAD Study of SSGJ-613 in Healthy Subjects</t>
  </si>
  <si>
    <t>NCT07103369</t>
  </si>
  <si>
    <t>A Phase I Clinical Study to Evaluate SM17 in Chinese Healthy Subjects and Patients With Moderate to Severe Atopic Dermatitis</t>
  </si>
  <si>
    <t>NCT05751642</t>
  </si>
  <si>
    <t>Safety and Tolerability, Pharmacokinetic, and Pharmacodynamic Study of ALXN1920 in Healthy Participants</t>
  </si>
  <si>
    <t>NCT06279741</t>
  </si>
  <si>
    <t>Safety and Efficacy of MSC-EVs in the Prevention of BPD in Extremely Preterm Infants</t>
  </si>
  <si>
    <t>EXO Biologics S.A.</t>
  </si>
  <si>
    <t>NCT06067256</t>
  </si>
  <si>
    <t>A Multicentre, Prospective, Open-label, Non-comparative Study</t>
  </si>
  <si>
    <t>NCT06086522</t>
  </si>
  <si>
    <t>Trial to Evaluate Safety, PD &amp; PK of IV Study Drug, QN-302, in Pts w/ Advanced or Metastatic Solid Tumors</t>
  </si>
  <si>
    <t>Qualigen Theraputics, Inc.</t>
  </si>
  <si>
    <t>NCT06199505</t>
  </si>
  <si>
    <t>A Trial Comparing Efficacy and Safety of GZR101 and IDegAsp in Insulin Naïve or Insulin Treated Subjects with T2DM</t>
  </si>
  <si>
    <t>NCT06291194</t>
  </si>
  <si>
    <t>Efficacy and Safety of AJU-S56 5% in Dry Eye Syndrome Patients</t>
  </si>
  <si>
    <t>NCT05763875</t>
  </si>
  <si>
    <t>Efficacy and Safety of Inclisiran as Monotherapy in Patients With Primary Hypercholesterolemia Not Receiving Lipid-lowering Therapy.</t>
  </si>
  <si>
    <t>NCT05929651</t>
  </si>
  <si>
    <t>Study of Immunogenicity and Safety of MenQuadfi® as a Booster Vaccine in Toddlers 12 to 23 Months, Regardless of the Quadrivalent Meningococcal Conjugate Vaccine Used for Priming in Infancy</t>
  </si>
  <si>
    <t>NCT05381181</t>
  </si>
  <si>
    <t>Safety and Efficacy Evaluation of Next-generation CD19-UCART</t>
  </si>
  <si>
    <t>NCT05764239</t>
  </si>
  <si>
    <t>Efficacy and Safety of SYNB1934 in Patients With PKU (SYNPHENY-3)</t>
  </si>
  <si>
    <t>NCT06042192</t>
  </si>
  <si>
    <t>Open Label Trial to Evaluate the Adhesion of TK-254RX in Healthy Volunteers.</t>
  </si>
  <si>
    <t>NCT05526001</t>
  </si>
  <si>
    <t>Efficacy and Safety of ELIXCYTE Intra-articular Injection in Subject With Knee Osteoarthritis</t>
  </si>
  <si>
    <t>UnicoCell Biomed CO. LTD</t>
  </si>
  <si>
    <t>NCT06035900</t>
  </si>
  <si>
    <t>Evaluation of Safety, Rate and Extent of Absorption of Psilocin Mucate</t>
  </si>
  <si>
    <t>Lobe Sciences Ltd.</t>
  </si>
  <si>
    <t>NCT05319353</t>
  </si>
  <si>
    <t>A Study to Evaluate the Safety and Tolerability, Pharmacokinetics, and Antiviral Activity of Maribavir for the Treatment of Cytomegalovirus (CMV) Infection in Children and Adolescents Who Have Received a Hematopoietic Stem Cell Transplant (HSCT) or a Solid Organ Transplant (SOT)</t>
  </si>
  <si>
    <t>NCT05692154</t>
  </si>
  <si>
    <t>A Placebo-controlled Study of 2-day Pre-treatment With Fexofenadine in Seasonal Allergic Rhinitis</t>
  </si>
  <si>
    <t>Opella Healthcare Group SAS, a Sanofi Company</t>
  </si>
  <si>
    <t>NCT05965856</t>
  </si>
  <si>
    <t>A Study of SI-B003 and BL-B01D1+SI-B003 in Patients With Locally Advanced or Metastatic Urothelial Carcinoma and Other Solid Tumors</t>
  </si>
  <si>
    <t>NCT05671445</t>
  </si>
  <si>
    <t>The Study of CM326 in Adult Subjects With Atopic Dermatitis</t>
  </si>
  <si>
    <t>NCT06115057</t>
  </si>
  <si>
    <t>Fiber Tolerance Study</t>
  </si>
  <si>
    <t>Nutricia Research</t>
  </si>
  <si>
    <t>NCT05719701</t>
  </si>
  <si>
    <t>Evaluate the Safety, Tolerability, and Efficacy of ICP-490 in Patients With Relapsed and/or Refractory Multiple Myeloma</t>
  </si>
  <si>
    <t>NCT06816030</t>
  </si>
  <si>
    <t>A Clinical Study of MK-4482 in Chinese Healthy Male Participants (MK-4482-009)</t>
  </si>
  <si>
    <t>NCT05698329</t>
  </si>
  <si>
    <t>Effect of AIV007 by Periocular Administration in Subjects with Macular Edema Secondary to Neovascular Age-related Macular Degeneration (nAMD) and Diabetic Macular Edema (DME)</t>
  </si>
  <si>
    <t>NCT05911295</t>
  </si>
  <si>
    <t>Disitamab Vedotin With Pembrolizumab vs Chemotherapy in Previously Untreated Urothelial Cancer Expressing HER2</t>
  </si>
  <si>
    <t>NCT05936281</t>
  </si>
  <si>
    <t>A Study of the Efficacy of Genakumab in Prevention of Acute Flares in Gout Patients Initiating Urate-lowering TherapyUrate-lowering (GenSci048-202)</t>
  </si>
  <si>
    <t>NCT05811247</t>
  </si>
  <si>
    <t>Parallel Arm Trial of AD109 and Placebo With Patients With OSA (LunAIRo)</t>
  </si>
  <si>
    <t>NCT06049017</t>
  </si>
  <si>
    <t>A Study of JNJ-77242113 in Participants With Moderately to Severely Active Ulcerative Colitis</t>
  </si>
  <si>
    <t>NCT05360368</t>
  </si>
  <si>
    <t>HLX07(Anti-EGFR mAb) in Patients With Advanced or Metastatic Solid Tumors</t>
  </si>
  <si>
    <t>NCT06147921</t>
  </si>
  <si>
    <t>Phase 1, SAD/MAD of Verasone™ Administered by Sinonasal Irrigation in Healthy Participants</t>
  </si>
  <si>
    <t>Diceros Therapeutics</t>
  </si>
  <si>
    <t>NCT05141149</t>
  </si>
  <si>
    <t>First in Human Phase1/2a Clinical Trial of Anti-PAUF Monoclonal Antibody PBP1510 in Patients With Pancreatic Cancer</t>
  </si>
  <si>
    <t>NCT05667974</t>
  </si>
  <si>
    <t>A Study to Evaluate a PIKA Rabies Vaccine（Vero Cell）for Human Use,Freeze-dried</t>
  </si>
  <si>
    <t>NCT05644587</t>
  </si>
  <si>
    <t>Novel Induction to Buprenorphine/Naloxone</t>
  </si>
  <si>
    <t>Bicycle Health</t>
  </si>
  <si>
    <t>NCT05827614</t>
  </si>
  <si>
    <t>Study of the CHK1 Inhibitor BBI-355, an ecDNA-directed Therapy (ecDTx), and the RNR Inhibitor BBI-825, in Subjects With Tumors With Oncogene Amplifications</t>
  </si>
  <si>
    <t>Boundless Bio, Inc.</t>
  </si>
  <si>
    <t>NCT05905133</t>
  </si>
  <si>
    <t>A Study to Evaluate the Safety and Efficacy of CBP-201 in Chinese Adult Subjects With Moderate to Severe AD</t>
  </si>
  <si>
    <t>NCT06031415</t>
  </si>
  <si>
    <t>Study of GS-0272 in Participants With Rheumatoid Arthritis</t>
  </si>
  <si>
    <t>NCT06066125</t>
  </si>
  <si>
    <t>A Study to Evaluate the Efficacy and Safety of AK111 in Subjects With Moderate to Severe Plaque Psoriasis</t>
  </si>
  <si>
    <t>NCT06340048</t>
  </si>
  <si>
    <t>Epicardial Injection of hiPSC-CMs to Treat Severe Chronic Ischemic Heart Failure</t>
  </si>
  <si>
    <t>NCT05840835</t>
  </si>
  <si>
    <t>Study of IMX-110 in Combination With Tislelizumab in Patients With Advanced Solid Tumors</t>
  </si>
  <si>
    <t>Immix Biopharma, Inc.</t>
  </si>
  <si>
    <t>NCT06088264</t>
  </si>
  <si>
    <t>A Study to Evaluate the Drug Levels, Metabolism, and Removal of BMS-986322 in Healthy Adult Male Participants</t>
  </si>
  <si>
    <t>NCT06098898</t>
  </si>
  <si>
    <t>Safety and Efficacy of NK510 to Treat Gastric Cancer</t>
  </si>
  <si>
    <t>NCT05704049</t>
  </si>
  <si>
    <t>A Study to Investigate Subcutaneous Isatuximab in Combination With Carfilzomib and Dexamethasone in Adult Participants With Relapsed and/or Refractory Multiple Myeloma</t>
  </si>
  <si>
    <t>NCT05669014</t>
  </si>
  <si>
    <t>A Phase 2 Proof of Concept Study to Evaluate the Efficacy and Safety of Daxdilimab in Participants With Dermatomyositis (DM) or Anti-synthetase Inflammatory Myositis (ASIM)</t>
  </si>
  <si>
    <t>NCT06398925</t>
  </si>
  <si>
    <t>Single Ascending Oral Dose Study to Investigate the Effects of OCT461201 in Healthy Volunteers</t>
  </si>
  <si>
    <t>Oxford Cannabinoid Technologies Holdings PLC</t>
  </si>
  <si>
    <t>NCT05894239</t>
  </si>
  <si>
    <t>A Study to Evaluate the Efficacy and Safety of Inavolisib in Combination With Phesgo Versus Placebo in Combination With Phesgo in Participants With PIK3CA-Mutated HER2-Positive Locally Advanced or Metastatic Breast Cancer</t>
  </si>
  <si>
    <t>NCT05869240</t>
  </si>
  <si>
    <t>BPB-101 in Subjects With Metastatic or Locally Advanced Solid Tumors</t>
  </si>
  <si>
    <t>NCT05481489</t>
  </si>
  <si>
    <t>Safety and Tolerability Evaluation of PRO-230 Ophthalmic Solution</t>
  </si>
  <si>
    <t>NCT05772520</t>
  </si>
  <si>
    <t>The Efficacy and Safety of TLL018 in Moderate-to-severe Plaque Psoriasis</t>
  </si>
  <si>
    <t>NCT05784246</t>
  </si>
  <si>
    <t>A Study of Mirikizumab (LY3074828) in Pediatric Participants With Moderately to Severely or Active Ulcerative Colitis</t>
  </si>
  <si>
    <t>NCT06133478</t>
  </si>
  <si>
    <t>Study of the Safety, Tolerability, and Pharmacokinetics of NUV001 Administered Orally to Healthy Adult Participants</t>
  </si>
  <si>
    <t>Nuvamid SA</t>
  </si>
  <si>
    <t>NCT06004050</t>
  </si>
  <si>
    <t>A Trial to Evaluate Efficacy, Safety, and Pharmacokinetics of Delgocitinib Cream in Chinese Adults and Adolescents With Moderate to Severe Chronic Hand Eczema</t>
  </si>
  <si>
    <t>NCT06488950</t>
  </si>
  <si>
    <t>A Study of TIL in Advanced Solid Tumors (DFGD)</t>
  </si>
  <si>
    <t>NCT06077760</t>
  </si>
  <si>
    <t>A Study of Intismeran Autogene (V940) Plus Pembrolizumab (MK-3475) Versus Placebo Plus Pembrolizumab in Participants With Non-small Cell Lung Cancer (V940-002)</t>
  </si>
  <si>
    <t>NCT05457946</t>
  </si>
  <si>
    <t>Study to Evaluate the Immunogenicity and Safety of LBVD(Hexavalent Vaccine), Given to Healthy Infants at Primary Series</t>
  </si>
  <si>
    <t>NCT06027346</t>
  </si>
  <si>
    <t>A Study of Bio-008 in Subjects With Advanced or Metastatic Solid Tumours</t>
  </si>
  <si>
    <t>NCT05959096</t>
  </si>
  <si>
    <t>A Study of LY3437943 in Healthy Participants With a High Body Mass Index</t>
  </si>
  <si>
    <t>NCT05768035</t>
  </si>
  <si>
    <t>Safety and Efficacy of SMART101 in Adult Patients With Hematological Malignancies After Haploidentical HSCT With Post-transplant Cyclophosphamide</t>
  </si>
  <si>
    <t>NCT05718518</t>
  </si>
  <si>
    <t>Study to Evaluate Safety, Tolerability, PK and the Food Effect on PK of ASC11/RTV Tablets in Healthy Subjects</t>
  </si>
  <si>
    <t>NCT05365659</t>
  </si>
  <si>
    <t>IKS03 in Patients With Advanced B Cell Non-Hodgkin Lymphomas</t>
  </si>
  <si>
    <t>NCT05302817</t>
  </si>
  <si>
    <t>Functional Lung Avoidance Radiation Therapy Using Hyperpolarized Xenon-129 MRI</t>
  </si>
  <si>
    <t>NCT06144918</t>
  </si>
  <si>
    <t>Ph2 Placebo-Controlled Study for Safety &amp; Ocular Efficacy of SBI-100 Ophthalmic Emulsion in Pts w/ Elevated Eye Pressure</t>
  </si>
  <si>
    <t>Skye Bioscience, Inc.</t>
  </si>
  <si>
    <t>NCT06181760</t>
  </si>
  <si>
    <t>A Study to Evaluate the Safety of Fenretinide in Healthy Volunteers</t>
  </si>
  <si>
    <t>Island Pharmaceuticals</t>
  </si>
  <si>
    <t>NCT05730036</t>
  </si>
  <si>
    <t>A Trial to Learn How Well Linvoseltamab Works Compared to the Combination of Elotuzumab, Pomalidomide and Dexamethasone for Adult Participants With Relapsed/Refractory Multiple Myeloma</t>
  </si>
  <si>
    <t>NCT05916365</t>
  </si>
  <si>
    <t>Long-term Safety and Efficacy of Lebrikizumab in Adult and Adolescent Participant With Moderate-to-Severe Atopic Dermatitis</t>
  </si>
  <si>
    <t>NCT05933265</t>
  </si>
  <si>
    <t>Study of LP-184 in Patients With Advanced Solid Tumors</t>
  </si>
  <si>
    <t>NCT05974267</t>
  </si>
  <si>
    <t>Efficacy, Safety, and PK of M5717 in Combination With Pyronaridine as Chemoprevention in Adults and Adolescents With Asymptomatic Plasmodium Falciparum Infection (CAPTURE-2)</t>
  </si>
  <si>
    <t>NCT06567457</t>
  </si>
  <si>
    <t>Immunogenicity and Safety Study of Monovalent Omicron XBB.1.5 Vaccine as a Booster in Adults</t>
  </si>
  <si>
    <t>NCT06075537</t>
  </si>
  <si>
    <t>An Extension Study of the Long-Term Safety, Tolerability, and Efficacy of Tividenofusp Alfa (DNL310) in Participants With Mucopolysaccharidosis Type II (MPS II) From Study DNLI-E-0002 or Study DNLI-E-0007</t>
  </si>
  <si>
    <t>NCT05748171</t>
  </si>
  <si>
    <t>A Study to Learn More About the Study Medicine Called Inotuzumab Ozogamicin (InO) in Children (1 to &lt;18 Years) With First Relapse ALL</t>
  </si>
  <si>
    <t>NCT05864144</t>
  </si>
  <si>
    <t>A Study of SNS-101 (Anti VISTA) Monotherapy and in Combination With Cemiplimab in Patients With Advanced Solid Tumors</t>
  </si>
  <si>
    <t>NCT06527781</t>
  </si>
  <si>
    <t>A Study of PD5K3 in Healthy Adult Volunteers</t>
  </si>
  <si>
    <t>NCT05833906</t>
  </si>
  <si>
    <t>Safety, Tolerability, and Pharmacokinetic Evaluations of CKR-051 After Transdermal Administration in Healthy Male Subjects</t>
  </si>
  <si>
    <t>CK Regeon Inc.</t>
  </si>
  <si>
    <t>NCT05840952</t>
  </si>
  <si>
    <t>A First-in-Human Multi-Part Phase 1 Study in Healthy Volunteers to Evaluate the Safety, Tolerability, Pharmacokinetics, and Drug-Drug Interaction Potential of Single and Multiple Doses of ALG-097558</t>
  </si>
  <si>
    <t>NCT05883748</t>
  </si>
  <si>
    <t>HELIOS: Open-Label, Long-Term Extension Study to Investigate the Safety, Tolerability, and Efficacy of DISC-1459 (Bitopertin) in Participants With EPP or XLP</t>
  </si>
  <si>
    <t>NCT06720025</t>
  </si>
  <si>
    <t>Study of SAL-0951 Compared to Recombinant Human Erythropoietin in Anemic Patients Receiving Maintenance Hemodialysis</t>
  </si>
  <si>
    <t>NCT06006104</t>
  </si>
  <si>
    <t>Phase 1/2 Clinical Study of HRS-4357 in Patients With Advanced Prostate Cancer</t>
  </si>
  <si>
    <t>NCT06038916</t>
  </si>
  <si>
    <t>To Evaluate The Safety and Initial Efficacy of STSA-1002 Injection in Patients With Acute Respiratory Distress Syndrome</t>
  </si>
  <si>
    <t>NCT05776004</t>
  </si>
  <si>
    <t>Blinded Efficacy and Safety Study of CAL02 IV Plus SOC in Subjects With Severe Community-Acquired Bacterial Pneumonia</t>
  </si>
  <si>
    <t>Eagle Pharmaceuticals, Inc.</t>
  </si>
  <si>
    <t>NCT05317078</t>
  </si>
  <si>
    <t>A Phase 1 Safety, Tolerability, and Pharmacokinetics Study of AMG 794 With Claudin 6-positive Non-small Cell Lung Cancer, Epithelial Ovarian Cancer, and Other Malignant Solid Tumor Indications</t>
  </si>
  <si>
    <t>NCT05904743</t>
  </si>
  <si>
    <t>INHALE-3: Afrezza® Combined With Insulin Degludec Versus Usual Care in Adults With Type 1 Diabetes</t>
  </si>
  <si>
    <t>NCT05785715</t>
  </si>
  <si>
    <t>Study to Evaluate the Clinical Activity and Safety of Oral NX-13 in Moderate to Severe Ulcerative Colitis</t>
  </si>
  <si>
    <t>NCT05635708</t>
  </si>
  <si>
    <t>A Study of Tislelizumab in Combination With Investigational Agents in Participants With Non-Small Cell Lung Cancer</t>
  </si>
  <si>
    <t>NCT05810038</t>
  </si>
  <si>
    <t>A Study to Learn About the Safety and Effects of Rimegepant to Prevent Migraine in Chinese Subjects.</t>
  </si>
  <si>
    <t>NCT06147063</t>
  </si>
  <si>
    <t>A Randomized Trial Evaluating a mRNA-VLP Vaccine's Immunogenicity and Safety for COVID-19</t>
  </si>
  <si>
    <t>NCT05609045</t>
  </si>
  <si>
    <t>A Phase 1, Randomised, Double-blinded, Placebo-controlled, Dose-escalation Study to Evaluate the Safety and Immunogenicity of RH109 as Booster</t>
  </si>
  <si>
    <t>Wuhan Rhegen Biotechnology Co., Ltd.</t>
  </si>
  <si>
    <t>NCT05714839</t>
  </si>
  <si>
    <t>A Study to Investigate the Safety and Efficacy of Belantamab for the Treatment of Multiple Myeloma When Used as Monotherapy and in Combination Treatments</t>
  </si>
  <si>
    <t>NCT05844449</t>
  </si>
  <si>
    <t>Evaluation of Long-Term Safety and Efficacy of Vanzacaftor/Tezacaftor/Deutivacaftor in Cystic Fibrosis Participants 1 Year of Age and Older</t>
  </si>
  <si>
    <t>NCT06149104</t>
  </si>
  <si>
    <t>A Safety Study of Sacubitril/Valsartan in Japanese Pediatric Patients With Heart Failure Due to Systemic Left Ventricle Systolic Dysfunction Who Have Completed CLCZ696B2319E1 Study</t>
  </si>
  <si>
    <t>NCT05630833</t>
  </si>
  <si>
    <t>A Study to Investigate the Efficacy and Safety With Gepotidacin in Japanese Female Participants With Uncomplicated Urinary Tract Infection (Acute Cystitis)</t>
  </si>
  <si>
    <t>NCT05662852</t>
  </si>
  <si>
    <t>Safety and Immunogenicity Study of Tdap Vaccinations for Plasma Donors</t>
  </si>
  <si>
    <t>ABO Holdings, Inc.</t>
  </si>
  <si>
    <t>NCT06111014</t>
  </si>
  <si>
    <t>Continuation Study for Latozinemab</t>
  </si>
  <si>
    <t>NCT04386252</t>
  </si>
  <si>
    <t>Phase I-II Trial of Dendritic Cell Vaccine to Prevent COVID-19 in Adults</t>
  </si>
  <si>
    <t>NCT05739916</t>
  </si>
  <si>
    <t>Phamacokinetics and Safety Profiles of DA-1229_01 5/1000mg in Healthy Subjects at Fed State</t>
  </si>
  <si>
    <t>NCT06058416</t>
  </si>
  <si>
    <t>Immunogenicity and Safety of Hepatitis A Among People Aged 18-50 Years Old</t>
  </si>
  <si>
    <t>NCT05772104</t>
  </si>
  <si>
    <t>Clinical Trial of Shugan Jieyu Capsule in Generalized Anxiety Disorder</t>
  </si>
  <si>
    <t>Sichuan Jishengtang Pharmaceutical Co., Ltd.</t>
  </si>
  <si>
    <t>NCT05804383</t>
  </si>
  <si>
    <t>A Multiple Ascending Dose Study in Healthy Volunteers and Patients With Alzheimer's Disease</t>
  </si>
  <si>
    <t>NCT05647551</t>
  </si>
  <si>
    <t>A Study to Evaluate Satisfaction in Adult Participants With the Aesthetics of the Periorbital Area After JUVÉDERM® Fillers and BOTOX®/VISTABEL® Injections</t>
  </si>
  <si>
    <t>NCT04876651</t>
  </si>
  <si>
    <t>The Present Study Aims to Compare Patients Who Receive the Investigational Product (177Lu-DOTA-rosopatamab) Plus Standard of Care, in Comparison to Standard of Care Only</t>
  </si>
  <si>
    <t>NCT06670898</t>
  </si>
  <si>
    <t>A Study of Absorption, Metabolism, Excretion of [14C]-NS-580 in Healthy Male Subjects</t>
  </si>
  <si>
    <t>NCT05777993</t>
  </si>
  <si>
    <t>A Study to Provide Continued Access to Mitapivat for Participants Who Previously Completed an Agios-Sponsored Mitapivat Study</t>
  </si>
  <si>
    <t>NCT05826249</t>
  </si>
  <si>
    <t>Safety and Pharmacokinetics of SIM0417 Combined With Ritonavir in Healthy Elderly Subjects</t>
  </si>
  <si>
    <t>NCT05847348</t>
  </si>
  <si>
    <t>68Ga-PSMA-11 Efficacy in Detecting BCR Prostate Cancer in Chinese Patients</t>
  </si>
  <si>
    <t>NCT06049329</t>
  </si>
  <si>
    <t>A Research Study of How a New Medicine Called Amycretin, Given as Tablets, Works in Japanese Men With Obesity</t>
  </si>
  <si>
    <t>NCT05862272</t>
  </si>
  <si>
    <t>A Phase 3B Study to Evaluate Bone Mineral Density With Long-Term Use of Relugolix Combination Tablet in Women With Uterine Fibroids or Endometriosis</t>
  </si>
  <si>
    <t>NCT07214922</t>
  </si>
  <si>
    <t>Relative Bioavailability of Evobrutinib Tablet Batches</t>
  </si>
  <si>
    <t>NCT05809531</t>
  </si>
  <si>
    <t>An Open-Label, Nonrandomized, Multicenter Extension Study to Evaluate the Long-term Safety and Efficacy of Pegcetacoplan in Participants With C3 Glomerulopathy or Immune-Complex Membranoproliferative Glomerulonephritis</t>
  </si>
  <si>
    <t>NCT05860465</t>
  </si>
  <si>
    <t>Safety and Efficacy of SPH4336 in Combination With Endocrine Therapy in the Treatment of Locally Advanced or Metastatic Breast Cancer</t>
  </si>
  <si>
    <t>NCT05173831</t>
  </si>
  <si>
    <t>Study of Feasibility and Safety of MDMA-Assisted Group Therapy for the Treatment of PTSD in Veterans</t>
  </si>
  <si>
    <t>NCT05727072</t>
  </si>
  <si>
    <t>A Study of LY3848575 in Healthy Participants</t>
  </si>
  <si>
    <t>NCT05766501</t>
  </si>
  <si>
    <t>A Study of Doravirine/Islatravir (DOR/ISL, MK-8591A) for the Treatment of Human Immunodeficiency Virus 1 (HIV-1) Infection in Participants Who Previously Received DOR/ISL (MK-8591A-054)</t>
  </si>
  <si>
    <t>NCT06011577</t>
  </si>
  <si>
    <t>Randomized, Double-Blind, Placebo-Controlled Trial of REL-1017 as Adjunctive Treatment for MDD</t>
  </si>
  <si>
    <t>NCT06103877</t>
  </si>
  <si>
    <t>A Placebo-controlled Safety and Tolerability Study of Intravenous (IV) and Subcutaneous (SC) AZD1163 in Healthy Volunteers</t>
  </si>
  <si>
    <t>NCT05673512</t>
  </si>
  <si>
    <t>To Evaluate IAH0968 in Combination With CAPEOX in HER2-positive Metastatic Colorectal Cancer</t>
  </si>
  <si>
    <t>NCT05845645</t>
  </si>
  <si>
    <t>A Study to Test Bioavailability of of 2 New Formulations of UCB0599 in Healthy Participants in Part A and to Test Safety, Tolerability, and Pharmacokinetic (PK) of UCB0599 in Healthy Japanese and Chinese Participants in Part B</t>
  </si>
  <si>
    <t>NCT05905653</t>
  </si>
  <si>
    <t>Pharmacokinetic Study of STN1012600 Ophthalmic Solution in Healthy Adult Males Volunteers</t>
  </si>
  <si>
    <t>NCT05915702</t>
  </si>
  <si>
    <t>A Study to Compare How Well Gadoquatrane Works and Its Safety With an Already Available Contrast Agent for MRI in People With Known or Suspected Brain or Spinal Cord-related Problems</t>
  </si>
  <si>
    <t>NCT05877053</t>
  </si>
  <si>
    <t>A Single and Multiple Ascending Dose Study of CK-4021586 in Healthy Adult Participants</t>
  </si>
  <si>
    <t>NCT06025695</t>
  </si>
  <si>
    <t>Immunogenicity, Reactogenicity and Safety of GlaxoSmithKline (GSK) Biologicals' Rotarix Porcine Circovirus (PCV)-Free Liquid Compared to Rotarix Liquid Given in 2-doses in Healthy Chinese Infants Starting at Age 6-16 Weeks</t>
  </si>
  <si>
    <t>NCT06048302</t>
  </si>
  <si>
    <t>PK and Safety in Participants Taking Obicetrapib With Moderate Hepatic Impairment Relative to Normal Hepatic Function</t>
  </si>
  <si>
    <t>NCT06203002</t>
  </si>
  <si>
    <t>A Dose-ranging Study in Patients With Diabetic Peripheral Neuropathic Pain (DPNP)</t>
  </si>
  <si>
    <t>NCT05841472</t>
  </si>
  <si>
    <t>Anti-PD-1 Antibody Therapies of Camrelizumab in Combination With Pemetrexed and Carboplatin as First-line Treatment in Patients With Advanced or Metastatic Non-Squamous Non-Small Cell Lung Cancer</t>
  </si>
  <si>
    <t>CrystalGenomics, Inc.</t>
  </si>
  <si>
    <t>NCT06629402</t>
  </si>
  <si>
    <t>Assessment of PF614 Effects on Experimental Pain in the Cold Pressure Test (PF614-201)</t>
  </si>
  <si>
    <t>NCT05685173</t>
  </si>
  <si>
    <t>A Trial to Study if REGN5837 in Combination With Odronextamab is Safe for Adult Participants With Aggressive B-cell Non-Hodgkin Lymphomas</t>
  </si>
  <si>
    <t>NCT05991583</t>
  </si>
  <si>
    <t>A Clinical Trial to Evaluate Effect of IBB0979 in Patients With Advanced Malignant Tumors</t>
  </si>
  <si>
    <t>NCT05686642</t>
  </si>
  <si>
    <t>Efficacy and Safety of LT3001 on Treating the Acute Ischemic Stroke</t>
  </si>
  <si>
    <t>NCT06111183</t>
  </si>
  <si>
    <t>Evaluation of AUP12602-C as New Topical Treatment for DFUs (DIAMEND STUDY)</t>
  </si>
  <si>
    <t>NCT05903183</t>
  </si>
  <si>
    <t>A Study to Evaluate the Safety and Immunogenicity of IVX-A12 in Participants of 60 to 85 Years of Age</t>
  </si>
  <si>
    <t>NCT05757531</t>
  </si>
  <si>
    <t>A Study of Carbon-14-Labelled [14C] LY3437943 in Healthy Male Participants</t>
  </si>
  <si>
    <t>NCT05900154</t>
  </si>
  <si>
    <t>A Study to Learn About the Safety and Immune Activity of RSVpreF in Children 2 to &lt;18 Years of Age</t>
  </si>
  <si>
    <t>NCT05471856</t>
  </si>
  <si>
    <t>A Study to Test How Different Doses of BI 1703880 in Combination With Ezabenlimab Are Tolerated in People With Different Types of Advanced Cancer (Solid Tumours)</t>
  </si>
  <si>
    <t>NCT05488405</t>
  </si>
  <si>
    <t>Mesalazine Oral Suspension in Active Eosinophilic Esophagitis</t>
  </si>
  <si>
    <t>NCT04602754</t>
  </si>
  <si>
    <t>Efficacy and Safety of Berlim 25/20 Association in the Treatment of Type II Diabetes Mellitus and Dyslipidemia.</t>
  </si>
  <si>
    <t>NCT06761651</t>
  </si>
  <si>
    <t>A Study of TAVO412 in Patients with Cancer (TAVO412)</t>
  </si>
  <si>
    <t>NCT05769777</t>
  </si>
  <si>
    <t>Open Label, Long-term Study Evaluating Safety and Efficacy of Subcutaneous Amlitelimab in Participants Aged 12 Years and Older With Moderate to Severe Atopic Dermatitis</t>
  </si>
  <si>
    <t>NCT05897216</t>
  </si>
  <si>
    <t>Evaluate the Pharmacokinetics and Safety Between the Treatment of CKD-383 and Treatment of CKD-501, D745, D150, and D029</t>
  </si>
  <si>
    <t>NCT05561114</t>
  </si>
  <si>
    <t>Paclitaxel Coated Balloon for the Treatment of Chronic bEnigN sTricture- Esophagus</t>
  </si>
  <si>
    <t>NCT05813587</t>
  </si>
  <si>
    <t>To Evaluate the Safety and Efficacy of Meplazumab in Treatment of Post-COVID-19</t>
  </si>
  <si>
    <t>NCT06492863</t>
  </si>
  <si>
    <t>Gene Therapy(FT-003) for Wet AMD</t>
  </si>
  <si>
    <t>NCT06095206</t>
  </si>
  <si>
    <t>The Pharmacokinetic and Bioavailability of GenSci094 Before and After a Change in Manufacturing Site</t>
  </si>
  <si>
    <t>NCT06353347</t>
  </si>
  <si>
    <t>Efficacy and Safety of Berberine Ursodeoxycholate (HTD1801) in Patients With Type 2 Diabetes Inadequately Controlled With Metformin</t>
  </si>
  <si>
    <t>NCT05950152</t>
  </si>
  <si>
    <t>Efficacy, Safety and Tolerability Study of Meloxicam Injection in Subjects After Abdominal Surgery</t>
  </si>
  <si>
    <t>Beijing Tide Pharmaceutical Co., Ltd</t>
  </si>
  <si>
    <t>NCT05289947</t>
  </si>
  <si>
    <t>MLC1501 Study Assessing Efficacy in Post STrOke Subjects With mOtor Deficits</t>
  </si>
  <si>
    <t>NCT05702073</t>
  </si>
  <si>
    <t>To Compare the Efficacy and Safety of INS068 and Insulin Glargine in Subjects With Type 2 Diabetes Mellitus Treated With Basal Insulin.</t>
  </si>
  <si>
    <t>NCT05658003</t>
  </si>
  <si>
    <t>A Study Evaluating [177Lu]Lu-PSMA-617 vs. a Change of Androgen Receptor-directed Therapy in Taxane Treatment Naive Chinese Male Patients With Progressive Metastatic Castrate Resistant Prostate Cancer</t>
  </si>
  <si>
    <t>NCT05654454</t>
  </si>
  <si>
    <t>A Safety and Efficacy Study of Bevacizumab, Paclitaxel, Carboplatin Compared to Avastin® in Non-Small Cell Lung Cancer</t>
  </si>
  <si>
    <t>NCT04930354</t>
  </si>
  <si>
    <t>ECP-1014 Treatment for Patients With Solid Tumor Cancers</t>
  </si>
  <si>
    <t>Euclises Pharmaceuticals, Inc.</t>
  </si>
  <si>
    <t>NCT05757102</t>
  </si>
  <si>
    <t>A Study to Compare the Efficacy, Safety and Tolerability of FF/UMEC/VI With FF/VI in 12-17-year-olds With Asthma</t>
  </si>
  <si>
    <t>NCT05794672</t>
  </si>
  <si>
    <t>A Study to Investigate the Safety, Tolerability and Pharmacokinetics of Elarekibep in Healthy Japanese Subjects</t>
  </si>
  <si>
    <t>NCT05727839</t>
  </si>
  <si>
    <t>NCT06173531</t>
  </si>
  <si>
    <t>Study of Carbetocin Nasal Spray for the Treatment of Hyperphagia in Prader-Willi Syndrome</t>
  </si>
  <si>
    <t>NCT05689645</t>
  </si>
  <si>
    <t>F573 for Injection for the Treatment of Liver Injury/Failure</t>
  </si>
  <si>
    <t>NCT05858853</t>
  </si>
  <si>
    <t>Phase II/III of Recombinant Human Serum Albumin</t>
  </si>
  <si>
    <t>NCT05861895</t>
  </si>
  <si>
    <t>HF158K1 in Patients With HER-2 Expressing Advanced Solid Tumors</t>
  </si>
  <si>
    <t>NCT05918822</t>
  </si>
  <si>
    <t>A Study of Maribavir Pediatric Formulation in Healthy Adult Participants</t>
  </si>
  <si>
    <t>NCT05673109</t>
  </si>
  <si>
    <t>NCT07498634</t>
  </si>
  <si>
    <t>Recombinant Anti-human IL-17A/F Humanized Monoclonal Antibody Injection in the Treatment of Moderate-to-Severe Active AS</t>
  </si>
  <si>
    <t>Zhejiang Kanova Biopharmaceutical Co., LTD</t>
  </si>
  <si>
    <t>NCT07050511</t>
  </si>
  <si>
    <t>Study to Investigate the Safety, Tolerability, and Pharmacokinetics of GB-0669 in Healthy Adult Participants</t>
  </si>
  <si>
    <t>Generate Biomedicines</t>
  </si>
  <si>
    <t>NCT05726851</t>
  </si>
  <si>
    <t>A Study to Assess the Safety, Tolerability, Pharmacokinetics, Immunogenicity, and Pharmacodynamics of E2025 in Healthy Participants</t>
  </si>
  <si>
    <t>NCT06132256</t>
  </si>
  <si>
    <t>MAXPIRe: Study to Evaluate Axatilimab in Participants With Idiopathic Pulmonary Fibrosis (IPF)</t>
  </si>
  <si>
    <t>NCT06164951</t>
  </si>
  <si>
    <t>A Study to Evaluate the Efficacy and Safety of Infigratinib in Children and Adolescents With Achondroplasia</t>
  </si>
  <si>
    <t>NCT06098651</t>
  </si>
  <si>
    <t>A Study of DCR-STAT3 in Adults With Solid Tumors</t>
  </si>
  <si>
    <t>NCT04478149</t>
  </si>
  <si>
    <t>A Comprehensive Fall Prevention System for Memory Care: Final Feasibility and Randomized Controlled Study</t>
  </si>
  <si>
    <t>SafelyYou</t>
  </si>
  <si>
    <t>NCT05936138</t>
  </si>
  <si>
    <t>A Phase 1, Parallel, Single-Dose, Open-Label, Single-Period Study of LY3502970 in Participants With Normal Renal Function and Participants With Renal Impairment.</t>
  </si>
  <si>
    <t>NCT04647435</t>
  </si>
  <si>
    <t>Efficacy and Safety of APSCTC for the Treatment of Postsurgical Pain Due to Third Molar Extraction</t>
  </si>
  <si>
    <t>NCT06063317</t>
  </si>
  <si>
    <t>A Study of onCARlytics (CF33-CD19) in Combination With Blinatumomab in Adults With Advanced or Metastatic Solid Tumors (OASIS)</t>
  </si>
  <si>
    <t>NCT05729074</t>
  </si>
  <si>
    <t>A Study to Evaluate the Safety, Tolerability and Pharmacokinetic Properties of IN-A002 Ointment in Healthy Adult Male Volunteers and Mild to Moderate Atopic Dermatitis Patients</t>
  </si>
  <si>
    <t>NCT06968585</t>
  </si>
  <si>
    <t>A Study of A166 Versus Trastuzumab Emtansine (T-DM1) in Patients With HER2-Positive Unresectable or Metastatic Breast Cancer Previously Treated With Trastuzumab and Taxane Therapy</t>
  </si>
  <si>
    <t>NCT05906537</t>
  </si>
  <si>
    <t>SKB410 for Injection in Solid Tumors</t>
  </si>
  <si>
    <t>NCT05770895</t>
  </si>
  <si>
    <t>Study of HBV Therapeutic Vaccines GS-2829 and GS-6779 in Healthy Participants and Participants With Chronic Hepatitis B</t>
  </si>
  <si>
    <t>NCT06116786</t>
  </si>
  <si>
    <t>A Study of JNJ-86974680 in Participants With Advanced Non-small Cell Lung Cancer</t>
  </si>
  <si>
    <t>NCT05915546</t>
  </si>
  <si>
    <t>The Effect of Food on the Pharmacokinetics (PK) of Emraclidine in Healthy Adult Participants</t>
  </si>
  <si>
    <t>NCT05732103</t>
  </si>
  <si>
    <t>A Study of CTX-712 in Relapsed/Refractory Acute Myeloid Leukemia and Higher Risk Myelodysplastic Syndromes</t>
  </si>
  <si>
    <t>Chordia Therapeutics, Inc.</t>
  </si>
  <si>
    <t>NCT05734105</t>
  </si>
  <si>
    <t>A Study of Ripretinib vs Sunitinib in Patients With Advanced GIST With Specific KIT Exon Mutations Who Were Previously Treated With Imatinib</t>
  </si>
  <si>
    <t>NCT05693142</t>
  </si>
  <si>
    <t>AFFINITY DUCHENNE: RGX-202 Gene Therapy in Participants With Duchenne Muscular Dystrophy (DMD)</t>
  </si>
  <si>
    <t>NCT04808531</t>
  </si>
  <si>
    <t>NanaBis™ an Oro-buccal Administered delta9-Tetrahydrocannabinol (d9-THC) &amp; Cannabidiol (CBD) Medicine for the Management of Bone Pain From Metastatic Cancers</t>
  </si>
  <si>
    <t>Medlab Clinical</t>
  </si>
  <si>
    <t>NCT05882045</t>
  </si>
  <si>
    <t>A Study of Retatrutide (LY3437943) in Participants With Obesity and Cardiovascular Disease</t>
  </si>
  <si>
    <t>NCT06106945</t>
  </si>
  <si>
    <t>AZD0305 as Monotherapy or in Combination With Anticancer Agents in Participants With Multiple Myeloma</t>
  </si>
  <si>
    <t>NCT05905328</t>
  </si>
  <si>
    <t>Study of CTO1681 for the Prevention and Treatment of CRS in DLBCL Patients Receiving CAR T-Cell Therapy</t>
  </si>
  <si>
    <t>CytoAgents, Inc.</t>
  </si>
  <si>
    <t>NCT05148000</t>
  </si>
  <si>
    <t>Assess Aesthetic Improvement With QM1114-DP in Subjects With Moderate to Severe Lateral Canthal Lines and Glabellar Lines</t>
  </si>
  <si>
    <t>NCT06006598</t>
  </si>
  <si>
    <t>A Study to Test How Well Different Doses of BI 1584862 Are Tolerated by Healthy Men</t>
  </si>
  <si>
    <t>NCT05814406</t>
  </si>
  <si>
    <t>To Evaluate the Efficacy and Safety of JW0201 Added on in Patients With T2DM</t>
  </si>
  <si>
    <t>NCT05201404</t>
  </si>
  <si>
    <t>Namodenoson in the Treatment of Advanced Hepatocellular Carcinoma in Patients With Child-Pugh Class B7 Cirrhosis</t>
  </si>
  <si>
    <t>NCT05965934</t>
  </si>
  <si>
    <t>Management of Volume Overload HF Patients by Individual DSR Treatment adJustment-a clinicAl inVestigation of InfusatE2.0</t>
  </si>
  <si>
    <t>Sequana Medical N.V.</t>
  </si>
  <si>
    <t>NCT06034899</t>
  </si>
  <si>
    <t>A Study to Evaluate the Effect of Food on the Drug Levels of BMS-986196 in Healthy Adult Participants</t>
  </si>
  <si>
    <t>NCT05902598</t>
  </si>
  <si>
    <t>A Phase 3 Study of ARO-APOC3 / VSA001 / SAR449124 (Plozasiran) in Chinese Adults With Familial Chylomicronemia Syndrome</t>
  </si>
  <si>
    <t>NCT05995704</t>
  </si>
  <si>
    <t>Evaluation of Apraglutide on Gastric Emptying</t>
  </si>
  <si>
    <t>NCT05694533</t>
  </si>
  <si>
    <t>Study of Potential CYP3A4 Induction by INDV-2000 in Healthy Adults</t>
  </si>
  <si>
    <t>NCT05983445</t>
  </si>
  <si>
    <t>Safety &amp; Efffficacy of Genakumab in Patients With Frequent Flares</t>
  </si>
  <si>
    <t>NCT05894707</t>
  </si>
  <si>
    <t>Evaluate the Safety and Tolerability of SCT650C in Healthy Volunteers</t>
  </si>
  <si>
    <t>NCT06218407</t>
  </si>
  <si>
    <t>Development and Evaluation of Computerized Chemosensory Based Orbitofrontal Networks Training for Treatment of Pain</t>
  </si>
  <si>
    <t>NCT05421611</t>
  </si>
  <si>
    <t>A Study of SII Yellow Fever Vaccine to Compare Safety and Immunogenicity With STAMARIL</t>
  </si>
  <si>
    <t>NCT06108219</t>
  </si>
  <si>
    <t>A Phase 2b, Study Evaluating Miricorilant in Adult Patients With Nonalcoholic Steatohepatitis/Metabolic Dysfunction-Associated Steatohepatitis (MONARCH)</t>
  </si>
  <si>
    <t>NCT05593328</t>
  </si>
  <si>
    <t>Study of Onvansertib in Combination With FOLFIRI and Bevacizumab Versus FOLFIRI and Bevacizumab for Second Line Treatment of Metastatic Colorectal Cancer in Participants With a Kirsten Rat Sarcoma Virus Gene (KRAS) or Neuroblastoma-RAS (NRAS) Mutation</t>
  </si>
  <si>
    <t>NCT05520567</t>
  </si>
  <si>
    <t>A Study of Gilteritinib, Venetoclax and Azacitidine as a Combined Treatment for People Newly Diagnosed With Acute Myeloid Leukemia</t>
  </si>
  <si>
    <t>NCT05780034</t>
  </si>
  <si>
    <t>A Study of AC676 for the Treatment of Relapsed/Refractory B-Cell Malignancies</t>
  </si>
  <si>
    <t>NCT05843799</t>
  </si>
  <si>
    <t>A Study to Evaluate the Safety and Tolerability of ILB-202</t>
  </si>
  <si>
    <t>ILIAS Biologics Inc.</t>
  </si>
  <si>
    <t>NCT06954493</t>
  </si>
  <si>
    <t>Pharmacokinetic Study in Healthy Lactating Women Exposed to Ibrexafungerp</t>
  </si>
  <si>
    <t>NCT06007183</t>
  </si>
  <si>
    <t>Long-term Follow-up Study to Evaluate Safety and Immunogenicity of PXVX0317 Single or Booster Vaccination</t>
  </si>
  <si>
    <t>NCT05804656</t>
  </si>
  <si>
    <t>Efficacy and Safety of CKDB-501A in Subjects With Moderate-to-severe Glabellar Lines in Phase 3 Trial</t>
  </si>
  <si>
    <t>NCT05811351</t>
  </si>
  <si>
    <t>A Study to Evaluate Intravitreal JNJ-81201887 (AAVCAGsCD59) Compared to Sham Procedure for the Treatment of Geographic Atrophy (GA) Secondary to Age-related Macular Degeneration (AMD)</t>
  </si>
  <si>
    <t>NCT05887466</t>
  </si>
  <si>
    <t>Study to Evaluate the Safety and Efficacy of ESC-derived Dopamine Progenitor Cell Therapy in PD Patients</t>
  </si>
  <si>
    <t>NCT05924594</t>
  </si>
  <si>
    <t>Phase 3 Efficacy and Safety Laboratory Classroom Study in Pediatrics (6-12) With ADHD Using CTx-1301</t>
  </si>
  <si>
    <t>NCT05741294</t>
  </si>
  <si>
    <t>A Study of Tirbanibulin on the Wellbeing of Participants With Actinic Keratoses</t>
  </si>
  <si>
    <t>NCT06168929</t>
  </si>
  <si>
    <t>Bioequivalence Study of 2 Sizes of SHR4640 Tablets Orally in Healthy Subjects</t>
  </si>
  <si>
    <t>NCT06058156</t>
  </si>
  <si>
    <t>Phase 2 Study of SAR444656 in Adult Participants With Moderate to Severe Atopic Dermatitis</t>
  </si>
  <si>
    <t>NCT06009094</t>
  </si>
  <si>
    <t>Safety, Tolerance and Pharmacokinetics Clinical Study of VC005 in Healthy Subjects and Patients with Mild to Moderate Atopic Dermatitis</t>
  </si>
  <si>
    <t>NCT05680298</t>
  </si>
  <si>
    <t>Dupilumab-pediatric Skin Barrier Function and Lipidomics Study in Patients With Atopic Dermatitis in China</t>
  </si>
  <si>
    <t>NCT05228821</t>
  </si>
  <si>
    <t>Voxelotor Brain Oxygenation and Neurocognitive Study</t>
  </si>
  <si>
    <t>NCT05731804</t>
  </si>
  <si>
    <t>Hepatic Impairment and Renal Impairment Study of SIM0417 Combined With Ritonavir</t>
  </si>
  <si>
    <t>NCT05753033</t>
  </si>
  <si>
    <t>The Pharmacokinetics (PK), Safety, Tolerability of SR750 in Healthy Volunteers</t>
  </si>
  <si>
    <t>NCT05784155</t>
  </si>
  <si>
    <t>To Evaluate the PK, PD, Safety and Drug Tolerance of JW0302 in Healthy Volunteers</t>
  </si>
  <si>
    <t>NCT05552755</t>
  </si>
  <si>
    <t>Evaluate REC-4881 in Participants With Familial Adenomatous Polyposis (FAP)</t>
  </si>
  <si>
    <t>NCT05986877</t>
  </si>
  <si>
    <t>A Study of STSA-1201 in Healthy Subjects</t>
  </si>
  <si>
    <t>NCT06649877</t>
  </si>
  <si>
    <t>MK-6194 Site of Injection Study in Healthy Adult Participants (MK-6194-013)</t>
  </si>
  <si>
    <t>NCT05979428</t>
  </si>
  <si>
    <t>A Study to Look at How Safe a New Medicine (NNC0491-6075) is in Healthy People and in Participants With High Levels of Fat in the Blood</t>
  </si>
  <si>
    <t>NCT05821595</t>
  </si>
  <si>
    <t>JYB1907 in Subjects With Advanced Solid Tumors</t>
  </si>
  <si>
    <t>NCT05828472</t>
  </si>
  <si>
    <t>A Study of Multiple Ascending Doses MY008211A in Healthy Adults</t>
  </si>
  <si>
    <t>NCT05830045</t>
  </si>
  <si>
    <t>A Phase I Study of QLP2117 in Subjects With Advanced Solid Tumors</t>
  </si>
  <si>
    <t>NCT06157177</t>
  </si>
  <si>
    <t>Efficacy of M640 in Acute Lumbosacral Musculoskeletal Conditions.</t>
  </si>
  <si>
    <t>Primus Pharmaceuticals</t>
  </si>
  <si>
    <t>NCT06131437</t>
  </si>
  <si>
    <t>A Research Study to See How Well CagriSema Compared to Tirzepatide Helps People With Obesity Lose Weight</t>
  </si>
  <si>
    <t>NCT05612581</t>
  </si>
  <si>
    <t>A Platform Study to Evaluate Investigational Therapies in Chronic Hepatitis B Infection</t>
  </si>
  <si>
    <t>NCT05948592</t>
  </si>
  <si>
    <t>Bacteriophage Therapy TP-102 in Patients With Diabetic Foot Infection</t>
  </si>
  <si>
    <t>NCT06020144</t>
  </si>
  <si>
    <t>A Phase 3 Study Comparing TLL-018 to Tofacitinib in RA Subjects With Inadequate Response or Intolerance to bDMARDs</t>
  </si>
  <si>
    <t>NCT05651932</t>
  </si>
  <si>
    <t>A Study of an MMSET Inhibitor in Patients With Relapsed and Refractory Multiple Myeloma</t>
  </si>
  <si>
    <t>K36 Therapeutics, Inc.</t>
  </si>
  <si>
    <t>NCT05716919</t>
  </si>
  <si>
    <t>Multiple Ascending Dose Study of CG200745 'Ivaltinostat' Oral Capsule</t>
  </si>
  <si>
    <t>Machaon Biotherapeutics, Inc.</t>
  </si>
  <si>
    <t>NCT05757492</t>
  </si>
  <si>
    <t>Study to Evaluate Safety and PK of CHS-006 in Combination With Toripalimab in Patients With Advanced Solid Tumors</t>
  </si>
  <si>
    <t>NCT05923411</t>
  </si>
  <si>
    <t>A Study for Multiple Tablet Forms of The Study Medicine (PF-07220060) in Healthy Adults</t>
  </si>
  <si>
    <t>NCT05972044</t>
  </si>
  <si>
    <t>A Study to Assess the Efficacy and Safety of Solriamfetol in Subjects With ADHD (FOCUS)</t>
  </si>
  <si>
    <t>NCT06009393</t>
  </si>
  <si>
    <t>Evaluate the Efficacy and Safety of SHR-1918 in Patients With Homozygous Familial Hypercholesterolemia</t>
  </si>
  <si>
    <t>NCT05441930</t>
  </si>
  <si>
    <t>A Study of Levofloxacin Ocular Implant in Patients Undergoing Routine Bilateral Cataract Surgery</t>
  </si>
  <si>
    <t>NCT05620836</t>
  </si>
  <si>
    <t>A Study to Evaluate the Efficacy and Safety of Povorcitinib (INCB054707) in Participants With Moderate to Severe Hidradenitis Suppurativa (HS)</t>
  </si>
  <si>
    <t>NCT05940116</t>
  </si>
  <si>
    <t>A Phase I Clinical Study of HS-20117 in Participants With Advanced Solid Tumors</t>
  </si>
  <si>
    <t>NCT06161571</t>
  </si>
  <si>
    <t>A Study Evaluating Efruxifermin in Subjects With Non-invasively Diagnosed Nonalcoholic Steatohepatitis (NASH)/Metabolic Dysfunction-Associated Steatohepatitis (MASH) and Nonalcoholic Fatty Liver Disease (NAFLD)/Metabolic Dysfunction-Associated Steatotic Liver Disease (MASLD)</t>
  </si>
  <si>
    <t>NCT05994963</t>
  </si>
  <si>
    <t>A Study to Compare Different Preparations of Sisunatovir in Healthy Adult Participants.</t>
  </si>
  <si>
    <t>NCT05894421</t>
  </si>
  <si>
    <t>TQB2223 Injection in Combination With Penpulimab in Patients With Advanced Cancers</t>
  </si>
  <si>
    <t>NCT07055321</t>
  </si>
  <si>
    <t>A Phase 1, First-in-human Study to Evaluate the Safety, Tolerability, Pharmacokinetics and Pharmacodynamics of Single Ascending Doses of ETH47 in Healthy Participants</t>
  </si>
  <si>
    <t>Ethris GmbH</t>
  </si>
  <si>
    <t>NCT05684965</t>
  </si>
  <si>
    <t>XTX301 in Patients With Advanced Solid Tumors</t>
  </si>
  <si>
    <t>NCT05723432</t>
  </si>
  <si>
    <t>KD6001 in Combination With Anti-PD-1 Antibody in Patients With Advanced Melanoma</t>
  </si>
  <si>
    <t>NCT06060665</t>
  </si>
  <si>
    <t>Intended to Determine the Effects of Seladelpar on Normalization of Alkaline Phosphatase Levels in Subjects With Primary Biliary Cholangitis (PBC)</t>
  </si>
  <si>
    <t>NCT05548634</t>
  </si>
  <si>
    <t>A Study of TAVO412 in Patients with Cancer</t>
  </si>
  <si>
    <t>NCT05933187</t>
  </si>
  <si>
    <t>A Study Evaluating the Pharmacokinetics and Relative Bioavailability of Emraclidine Immediate-Release Tablets in Healthy Adult Participants</t>
  </si>
  <si>
    <t>NCT05987371</t>
  </si>
  <si>
    <t>A Clinical Trial of TQC3721 Suspension for Inhalation in Patients With Moderate to Severe Chronic Obstructive Pulmonary Disease.</t>
  </si>
  <si>
    <t>NCT05908032</t>
  </si>
  <si>
    <t>Study of CM310 in Subjects With Allergic Rhinitis</t>
  </si>
  <si>
    <t>NCT06047444</t>
  </si>
  <si>
    <t>A Study to Evaluate the Effectiveness and Safety of Dysport® for the Prevention of Chronic Migraine in Adults</t>
  </si>
  <si>
    <t>NCT06035744</t>
  </si>
  <si>
    <t>CLN-617 Alone and in Combination With Pembrolizumab in Patients With Advanced Solid Tumors</t>
  </si>
  <si>
    <t>NCT06136650</t>
  </si>
  <si>
    <t>A Study of Opevesostat (MK-5684) Versus Alternative Next-generation Hormonal Agent (NHA) in Metastatic Castration-resistant Prostate Cancer (mCRPC) Post One NHA (MK-5684-004)</t>
  </si>
  <si>
    <t>NCT06186804</t>
  </si>
  <si>
    <t>A Phase II Study Evaluating the Efficacy and Safety of ABSK021 (Pimicotinib)) in the Treatment of cGvHD Chronic Graft Versus Host Disease (cGvHD)</t>
  </si>
  <si>
    <t>NCT06028347</t>
  </si>
  <si>
    <t>Safety, Reactogenicity, and Immunogenicity Study of a Self-Amplifying MRNA Influenza Vaccine in Healthy Adults</t>
  </si>
  <si>
    <t>NCT05827068</t>
  </si>
  <si>
    <t>A Study of mRNA-1011.1, mRNA-1011.2, and mRNA-1012.1 Candidate Seasonal Influenza Vaccines in Healthy Adults</t>
  </si>
  <si>
    <t>NCT06593626</t>
  </si>
  <si>
    <t>A Phase I Clinical Study on the Safety and Pharmacokinetics of [18F]Florbetazine Injection</t>
  </si>
  <si>
    <t>NCT05701306</t>
  </si>
  <si>
    <t>APG-115 Alone or in Combination With APG-2575 in Children With Recurrent or Refractory Neuroblastoma or Solid Tumors</t>
  </si>
  <si>
    <t>NCT05960955</t>
  </si>
  <si>
    <t>Cadonilimab Combination With Chemotherapy With or Without AK117 in Resectable Gastric or Gastroesophageal Junction Adenocarcinoma</t>
  </si>
  <si>
    <t>NCT04674735</t>
  </si>
  <si>
    <t>Safety of APSLXR in Patients Presenting Vertigo of Vestibular Origin or Meniere's Disease</t>
  </si>
  <si>
    <t>NCT05920876</t>
  </si>
  <si>
    <t>A Study of QLS32015 in Patients With Recurrent or Refractory Multiple Myeloma</t>
  </si>
  <si>
    <t>NCT05564338</t>
  </si>
  <si>
    <t>Efficacy and Safety of Sitravatinib Plus Tislelizumab or Placebo Plus Tislelizumab Versus Placebo as Adjuvant Treatment in Participants With Hepatocellular Carcinoma</t>
  </si>
  <si>
    <t>NCT05994599</t>
  </si>
  <si>
    <t>Comparative Bioavailability Study of Ethinyl Estradiol/Etonogestrel Vaginal Ring</t>
  </si>
  <si>
    <t>Evestra Inc.</t>
  </si>
  <si>
    <t>NCT05859698</t>
  </si>
  <si>
    <t>Study of the Effectiveness of Valbenazine on Patient- and Clinician-Reported Outcomes in Participants With Tardive Dyskinesia</t>
  </si>
  <si>
    <t>NCT05907304</t>
  </si>
  <si>
    <t>A Study to Assess Naporafenib (ERAS-254) Administered With Trametinib in Patients With RAS Q61X Mutations</t>
  </si>
  <si>
    <t>NCT05870748</t>
  </si>
  <si>
    <t>REFRaME-O1: A Study to Investigate the Efficacy and Safety of Luveltamab Tazevibulin Versus Investigator's Choice (IC) Chemotherapy in Women With Ovarian Cancer (Including Fallopian Tube or Primary Peritoneal Cancers) Expressing FOLR1</t>
  </si>
  <si>
    <t>NCT05788848</t>
  </si>
  <si>
    <t>Virtual Reality Cognitive Therapy for Alzheimer's Disease</t>
  </si>
  <si>
    <t>Claritytek, Inc.</t>
  </si>
  <si>
    <t>NCT05729555</t>
  </si>
  <si>
    <t>Comparative Pharmacokinetic (PK) Study of Ibuprofen and Diphenhydramine Hydrochloride MR Tablets in Healthy Adults Under Fasting Condition</t>
  </si>
  <si>
    <t>NCT05763121</t>
  </si>
  <si>
    <t>A Study to Assess the Effect of Dexpramipexole in Adolescents and Adults With Severe Eosinophilic Asthma.</t>
  </si>
  <si>
    <t>NCT05918406</t>
  </si>
  <si>
    <t>Phase 4 Study Evaluating the Safety of the Nasal Guide With Tyrvaya</t>
  </si>
  <si>
    <t>NCT05953584</t>
  </si>
  <si>
    <t>A Phase 2 Open-label Study to Evaluate the Activity of Etavopivat on Transcranial Doppler Velocities in Pediatric Patients With Sickle Cell Disease Who Are at Increased Risk for Primary Stroke</t>
  </si>
  <si>
    <t>NCT06149247</t>
  </si>
  <si>
    <t>HyBryte (Synthetic Hypericin) Versus Valchlor (Mechlorethamine) in the Treatment of CTCL</t>
  </si>
  <si>
    <t>NCT05783921</t>
  </si>
  <si>
    <t>A Clinical Trial of TQB2618 Injection Combined With Penpulimab Injection and Chemotherapy Versus Penpulimab Injection Combined With Chemotherapy in First-line Treatment of Relapsed/Metastatic Head and Neck Squamous Cell Carcinoma</t>
  </si>
  <si>
    <t>NCT06041438</t>
  </si>
  <si>
    <t>A Study in Healthy Men to Test Whether Itraconazole Influences the Amount of BI 1584862 in the Blood</t>
  </si>
  <si>
    <t>NCT06266143</t>
  </si>
  <si>
    <t>A Trial of Y101D in Combination With Gemcitabine and Albumin Paclitaxel in Patients With Advanced Pancreatic Cancer</t>
  </si>
  <si>
    <t>NCT06099990</t>
  </si>
  <si>
    <t>Dalpiciclib Isethionate Tablets Combined With Abiraterone Acetate Tablets (I) and Prednisone Tablets (AA-P) Versus Placebo Combined With AA-P in Treatment of High-volume, Metastatic, Hormone-sensitive Prostate Cancer (mHSPC)</t>
  </si>
  <si>
    <t>NCT05791097</t>
  </si>
  <si>
    <t>Study of Efficacy and Safety of Ociperlimab in Combination With Tislelizumab and Platinum-based Doublet Chemotherapy as First-line Treatment for Participants With Locally Advanced or Metastatic NSCLC.</t>
  </si>
  <si>
    <t>NCT06254820</t>
  </si>
  <si>
    <t>Dose, Safety, and Pathogenicity of a New Influenza B Strain</t>
  </si>
  <si>
    <t>NCT06049940</t>
  </si>
  <si>
    <t>Safety and Immunogenicity of Tetanus Vaccine, Adsorbed in 18~44 Years Old Population</t>
  </si>
  <si>
    <t>NCT06569355</t>
  </si>
  <si>
    <t>A Study to Evaluate the Efficacy and Safety of VCT220 in Obesity Chinese Population</t>
  </si>
  <si>
    <t>Vincentage Pharma Co., Ltd</t>
  </si>
  <si>
    <t>NCT05800015</t>
  </si>
  <si>
    <t>A Trial to Learn How the Combination of Fianlimab With Cemiplimab and Chemotherapy Works Compared With Cemiplimab and Chemotherapy for Treating Adult Patients With Advanced Non-small Cell Lung Cancer</t>
  </si>
  <si>
    <t>NCT05797610</t>
  </si>
  <si>
    <t>A Study to Evaluate the Efficacy and Safety of Sefaxersen (RO7434656) in Participants With Primary Immunoglobulin A (IgA) Nephropathy at High Risk of Progression</t>
  </si>
  <si>
    <t>NCT05989048</t>
  </si>
  <si>
    <t>A Study to Learn About Zavegepant as the Acute Treatment of Migraine in Asian Adults</t>
  </si>
  <si>
    <t>NCT06055543</t>
  </si>
  <si>
    <t>Impact of a New Plant-based High-energy Oral Nutritional Supplement on Nutritional Outcomes in Malnourished Patients</t>
  </si>
  <si>
    <t>Danone Specialized Nutrition</t>
  </si>
  <si>
    <t>NCT06532643</t>
  </si>
  <si>
    <t>Safety and Efficacy of Anti-CD20/CD30 CAR-T Cells in Subjects with Relapsed/Refractory Lymphoma</t>
  </si>
  <si>
    <t>NCT05878717</t>
  </si>
  <si>
    <t>A Study of the Efficacy and Safety of Belimumab in Adults With Systemic Sclerosis Associated Interstitial Lung Disease</t>
  </si>
  <si>
    <t>NCT05684289</t>
  </si>
  <si>
    <t>A Study Investigating the Safety, Tolerability, Drug Levels and Drug Effect of BMS-986278 in Healthy Adult Participants (Part 1) and Japanese Participants (Part 2)</t>
  </si>
  <si>
    <t>NCT06041568</t>
  </si>
  <si>
    <t>A Study of Imvotamab in Severe Systemic Lupus Erythematosus</t>
  </si>
  <si>
    <t>NCT06212960</t>
  </si>
  <si>
    <t>Evaluate the Safety and Explore the Efficacy of DWP712 With Moderate to Severe Glabellar Lines</t>
  </si>
  <si>
    <t>NCT06141486</t>
  </si>
  <si>
    <t>Efficacy and Safety Study of Frexalimab (SAR441344) in Adults With Nonrelapsing Secondary Progressive Multiple Sclerosis</t>
  </si>
  <si>
    <t>NCT05829356</t>
  </si>
  <si>
    <t>Substudy 01 - Safety and Immunogenicity of One Monovalent Modified mRNA Vaccine Encoding Influenza Hemagglutinin With LNP, in Adult Participants Aged 18 to 49 Years and 60 Years and Above</t>
  </si>
  <si>
    <t>NCT05873374</t>
  </si>
  <si>
    <t>Evaluation of Safety, Tolerability, Reactogenicity, Immunogenicity of Baiya SARS-CoV-2 Vax 2 as a Booster for COVID-19</t>
  </si>
  <si>
    <t>NCT06062680</t>
  </si>
  <si>
    <t>Study of the Food Effects of Herombopag Olamine Tablets in Healthy Subjects</t>
  </si>
  <si>
    <t>NCT05982080</t>
  </si>
  <si>
    <t>A Study to Investigate FP002 in Subjects With Advanced Malignancies</t>
  </si>
  <si>
    <t>Guangdong Fapon Biopharma Inc.</t>
  </si>
  <si>
    <t>NCT06480968</t>
  </si>
  <si>
    <t>CTH120 First-in-Human Study: Single and Multiple Ascending Doses and Potential Food Interaction</t>
  </si>
  <si>
    <t>Connecta Therapeutics, S.L.</t>
  </si>
  <si>
    <t>NCT06152861</t>
  </si>
  <si>
    <t>Travoprost Ophthalmic Topical Cream for Open-angle Glaucoma or Ocular Hypertension</t>
  </si>
  <si>
    <t>NCT05831670</t>
  </si>
  <si>
    <t>An Early Phase 2 Clinical Study of KSP-0243</t>
  </si>
  <si>
    <t>NCT05644561</t>
  </si>
  <si>
    <t>Evaluation of PK, PD, Efficacy, Safety, and Immunogenicity of IV Ravulizumab in Pediatric Participants With Generalized Myasthenia Gravis</t>
  </si>
  <si>
    <t>NCT06975618</t>
  </si>
  <si>
    <t>Study to Evaluate the Safety, Tolerability, Pharmacokinetics and Preliminary Efficacy of CYH33 in Patients With PIK3CA-related Overgrowth Spectrum (PROS) and PIK3CA-related Vascular Malformations (PRVM)</t>
  </si>
  <si>
    <t>NCT06048770</t>
  </si>
  <si>
    <t>A Study of RBI-4000 in Healthy Participants</t>
  </si>
  <si>
    <t>Replicate Bioscience</t>
  </si>
  <si>
    <t>NCT05541822</t>
  </si>
  <si>
    <t>To Evaluate the Efficacy, Safety, Tolerability and Pharmacokinetic Profile of ABN401 in Patients With Advanced Solid Tumors Harboring c-MET Dysregulation</t>
  </si>
  <si>
    <t>NCT05676931</t>
  </si>
  <si>
    <t>Study With Various Immunotherapy Treatments in Participants With Lung Cancer</t>
  </si>
  <si>
    <t>NCT05607953</t>
  </si>
  <si>
    <t>Pressure Enabled Intrapancreatic Delivery of SD-101 With Checkpoint Blockade for Locally Advanced Pancreatic Adenocarcinoma</t>
  </si>
  <si>
    <t>NCT05766527</t>
  </si>
  <si>
    <t>A Study of KM602 in Patients With Advanced Solid Tumors</t>
  </si>
  <si>
    <t>NCT05752461</t>
  </si>
  <si>
    <t>SHR-2004 for the Prevention of Venous Thromboembolism in Patients Undergoing Total Knee Arthroplasty</t>
  </si>
  <si>
    <t>NCT05803941</t>
  </si>
  <si>
    <t>Long-Term Safety of Lutetium (177Lu) Vipivotide Tetraxetan in Participants With Prostate Cancer</t>
  </si>
  <si>
    <t>NCT06066580</t>
  </si>
  <si>
    <t>Open-Label Extension of EDG-5506 in Participants With Becker Muscular Dystrophy</t>
  </si>
  <si>
    <t>NCT05859776</t>
  </si>
  <si>
    <t>Safety and Bioactivity of AXT107 in Subjects With Neovascular Age-Related Macular Degeneration (nAMD)</t>
  </si>
  <si>
    <t>NCT05729568</t>
  </si>
  <si>
    <t>A Study of Teropavimab and Zinlirvimab in Combination With Capsid Inhibitor Lenacapavir in Virologically Suppressed Adults With HIV-1 Infection</t>
  </si>
  <si>
    <t>NCT06390059</t>
  </si>
  <si>
    <t>EF-39 PANOVA-4: Study of Tumor Treating Fields Concomitant With Atezolizumab, Gemcitabine and Nab-Paclitaxel as First-LineTreatment for Metastatic Pancreatic Ductal Adenocarcinoma</t>
  </si>
  <si>
    <t>NovoCure Ltd.</t>
  </si>
  <si>
    <t>NCT05864391</t>
  </si>
  <si>
    <t>A Study to Investigate Safety, Tolerability, and Pharmacokinetics of AZD7503 in Participants With Suspected NASH.</t>
  </si>
  <si>
    <t>NCT05586074</t>
  </si>
  <si>
    <t>HEC73543 Versus Salvage Chemotherapy in R/R FLT3-ITD AML</t>
  </si>
  <si>
    <t>NCT05579327</t>
  </si>
  <si>
    <t>Withdrawal of Tiratricol Treatment in Males With Monocarboxylate Transporter 8 Deficiency (MCT8 Deficiency)</t>
  </si>
  <si>
    <t>NCT05646758</t>
  </si>
  <si>
    <t>A Clinical Trial of TQB2934 for Injection in Multiple Myeloma Subjects</t>
  </si>
  <si>
    <t>NCT05526755</t>
  </si>
  <si>
    <t>A Study of 5 Years of Adjuvant Osimertinib in Completely Resected Epidermal Growth Factor Receptor Mutation (EGFRm) Non-small Cell Lung Carcinoma (NSCLC)</t>
  </si>
  <si>
    <t>NCT06359860</t>
  </si>
  <si>
    <t>A Study of ST-1898 for Unresectable or Metastatic Melanoma</t>
  </si>
  <si>
    <t>NCT05208060</t>
  </si>
  <si>
    <t>Study to Evaluate the Ability of Sublingual MV130 to Induce the Expression of Trained Immunity in Peripheral Blood Cells</t>
  </si>
  <si>
    <t>NCT05882357</t>
  </si>
  <si>
    <t>Evaluation of Elexacaftor/Tezacaftor/Ivacaftor (ELX/TEZ/IVA) in Cystic Fibrosis (CF) Participants 12 to Less Than 24 Months of Age</t>
  </si>
  <si>
    <t>NCT06008119</t>
  </si>
  <si>
    <t>Efficacy and Safety of Tunlametinib Plus Vemurafenib in Patients With BRAF V600E-mutant Metastatic Colorectal Cancer</t>
  </si>
  <si>
    <t>NCT05698459</t>
  </si>
  <si>
    <t>OH2 Oncolytic Viral Therapy Via Transcatheter Intraarterial Infusion in Patients with Advanced Liver Cancer</t>
  </si>
  <si>
    <t>NCT05725070</t>
  </si>
  <si>
    <t>Phase 0/1 Study of 212Pb-NG001 in mCRPC</t>
  </si>
  <si>
    <t>ARTBIO Inc.</t>
  </si>
  <si>
    <t>NCT05681273</t>
  </si>
  <si>
    <t>Drug-Drug Interaction Study of Chiglitazar in Healthy Subjects.</t>
  </si>
  <si>
    <t>NCT05975073</t>
  </si>
  <si>
    <t>A Phase 1/2 Study of Anvumetostat in Combination With IDE397 in Participants With Advanced Methylthioadenosine Phosphorylase (MTAP)-Null Solid Tumors</t>
  </si>
  <si>
    <t>NCT05931224</t>
  </si>
  <si>
    <t>Clinical Trial to Evaluate the Efficacy and Safety of D064 and D702 Combination Therapy</t>
  </si>
  <si>
    <t>NCT05769959</t>
  </si>
  <si>
    <t>Study of RO7515629 in Participants With HLA-G Positive Solid Tumors</t>
  </si>
  <si>
    <t>NCT05869773</t>
  </si>
  <si>
    <t>A Switch Study From High-Sodium Oxybate to Xywav to Evaluate Changes in Blood Pressure in Participants With Narcolepsy</t>
  </si>
  <si>
    <t>NCT06082869</t>
  </si>
  <si>
    <t>Evaluation and Comparison of a Novel Dentrifice Formulation on Plaque Removal</t>
  </si>
  <si>
    <t>Protegera, Inc.</t>
  </si>
  <si>
    <t>NCT05952856</t>
  </si>
  <si>
    <t>A Study of Enlicitide Decanoate (MK-0616 Oral PCSK9 Inhibitor) in Adults With Hypercholesterolemia (MK-0616-013) CORALreef Lipids</t>
  </si>
  <si>
    <t>NCT05835986</t>
  </si>
  <si>
    <t>A First-in-Human Study to Investigate the Safety, Tolerability, Pharmacokinetics and Pharmacodynamics of RO7507062 in Participants With Systemic Lupus Erythematosus</t>
  </si>
  <si>
    <t>NCT06015841</t>
  </si>
  <si>
    <t>A Study to Evaluate the Effects of ACI-7104.056 in Patients With Early Stages of Parkinson's Disease</t>
  </si>
  <si>
    <t>NCT06092983</t>
  </si>
  <si>
    <t>A Multiple-Dose Escalation Study to Evaluate the Safety, Tolerability and Pharmacokinetic of HS-10383</t>
  </si>
  <si>
    <t>NCT06234397</t>
  </si>
  <si>
    <t>Dose Escalation and Expansion Study of BH3120 Alone or With Pembrolizuamb in Advanced or Metastatic Solid Tumors</t>
  </si>
  <si>
    <t>NCT05651269</t>
  </si>
  <si>
    <t>Milciclib in Combination With Gemcitabine in Advanced NSCLC</t>
  </si>
  <si>
    <t>NCT05767905</t>
  </si>
  <si>
    <t>A Study to Understand the Effect of Tablet Formulation and Food on PF-06821497 in Healthy Adult Participants.</t>
  </si>
  <si>
    <t>NCT05286762</t>
  </si>
  <si>
    <t>Phase 3 Efficacy and Safety Fixed-Dose Study in Pediatrics (6-17) With ADHD Using CTx-1301</t>
  </si>
  <si>
    <t>NCT05983146</t>
  </si>
  <si>
    <t>Phase I Study of HRS-7053 Injection in the Treatment of Patients With Advanced Malignancies</t>
  </si>
  <si>
    <t>NCT05626803</t>
  </si>
  <si>
    <t>A Study to Determine the Safety and Immunogenicity of Bivalent GI.1 and GII.4 Vaccines in Healthy Volunteers</t>
  </si>
  <si>
    <t>NCT05870670</t>
  </si>
  <si>
    <t>A Research Study of a New Medicine NNC0519-0130 in Japanese and Non-Japanese Men</t>
  </si>
  <si>
    <t>NCT06132828</t>
  </si>
  <si>
    <t>Evaluate the Safety, Tolerability, Pharmacokinetics of DR30206 in Patients With Advanced or Metastatic Solid Tumors</t>
  </si>
  <si>
    <t>NCT05681000</t>
  </si>
  <si>
    <t>Tolerability of Utidelone Capsule in Patients With Advanced Solid Tumors</t>
  </si>
  <si>
    <t>Biostar Pharma, Inc.</t>
  </si>
  <si>
    <t>NCT05961111</t>
  </si>
  <si>
    <t>A Clinical Study on Oncolytic Virus Injection (R130 OV) for the Treatment of Advanced Solid Tumors</t>
  </si>
  <si>
    <t>NCT05336409</t>
  </si>
  <si>
    <t>A Study of CNTY-101 in Participants With CD19-Positive B-Cell Malignancies</t>
  </si>
  <si>
    <t>Century Therapeutics, Inc.</t>
  </si>
  <si>
    <t>NCT05454709</t>
  </si>
  <si>
    <t>A Stable Glucagon Analog Administered by a Bihormonal Closed Loop System</t>
  </si>
  <si>
    <t>Inreda Diabetic B.V.</t>
  </si>
  <si>
    <t>NCT04100187</t>
  </si>
  <si>
    <t>Immunotherapy With CD19 CAR T-cells for B-Cell Leukemia</t>
  </si>
  <si>
    <t>NCT06010693</t>
  </si>
  <si>
    <t>A Study of Daridorexant in Chinese Patients With Insomnia Disorder</t>
  </si>
  <si>
    <t>NCT05890001</t>
  </si>
  <si>
    <t>A Study to Evaluate the Long-Term Safety of BLI5100 in Patients With Gastroesophageal Reflux Disease</t>
  </si>
  <si>
    <t>NCT06906198</t>
  </si>
  <si>
    <t>Pharmacokinetics of VVN461 Ophthalmic Solution</t>
  </si>
  <si>
    <t>NCT06067828</t>
  </si>
  <si>
    <t>A Study to Evaluate the Effect of Budesonide, Glycopyrronium, Formoterol Fumarate (BGF) Metered Dose Inhaler (MDI), Budesonide and Formoterol Fumarate (BFF) MDI and Placebo MDI on Exercise Parameters in Participants With Chronic Obstructive Pulmonary Disease (COPD).</t>
  </si>
  <si>
    <t>NCT04666701</t>
  </si>
  <si>
    <t>Efficacy and Safety of Escócia Association in the Treatment of Acute Pain</t>
  </si>
  <si>
    <t>NCT05978401</t>
  </si>
  <si>
    <t>Safety, Tolerability, and Efficacy of GLS-012 and GLS-010 in Patients With Advanced Non-Small Cell Lung Cancer</t>
  </si>
  <si>
    <t>NCT06021457</t>
  </si>
  <si>
    <t>Effect of RBT-1 on Reducing the Risk of Post-Operative Complications in Subjects Undergoing Cardiac Surgery</t>
  </si>
  <si>
    <t>NCT05996471</t>
  </si>
  <si>
    <t>A Study to Investigate the Virologic Efficacy and Safety of VH3810109 + Cabotegravir Compared to Standard of Care (SOC) in Male and Female Adults Living With Human Immunodeficiency Virus (HIV)</t>
  </si>
  <si>
    <t>NCT06224907</t>
  </si>
  <si>
    <t>Phase 3 Study for Efficacy and Safety Outcomes Data in Japanese Patients With Severe Hemophilia A</t>
  </si>
  <si>
    <t>NCT05857930</t>
  </si>
  <si>
    <t>A Study to Assess the Efficacy and Safety of Daily OM-85 in Young Children With Recurrent Wheezing</t>
  </si>
  <si>
    <t>NCT06547957</t>
  </si>
  <si>
    <t>A First-in-Human Study of EOS301984 as Monotherapy or Combination Therapy in Adult Participants With Advanced Solid Tumors</t>
  </si>
  <si>
    <t>NCT05857267</t>
  </si>
  <si>
    <t>Dorzolamide+Timolol Multidose Preservative-free vs Dorzolamida+Timolol BAK Preserved Efficacy and Safety</t>
  </si>
  <si>
    <t>NCT05687279</t>
  </si>
  <si>
    <t>Study on a Live-attenuated Respiratory Syncytial Virus Vaccine for Assessment of Safety, Transmissibility, and Genetic Stability of the Vaccine Virus Among Close Contacts in Infants and Toddlers 6 to &lt; 24 Months of Age in Puerto Rico (USA)</t>
  </si>
  <si>
    <t>NCT06258746</t>
  </si>
  <si>
    <t>Pharmacokinetics, Mass Balance, and Metabolism of [14C]HSK31679 in Healthy Adult Male Volunteers.</t>
  </si>
  <si>
    <t>Xizang Haisco Pharmaceutical Co., Ltd</t>
  </si>
  <si>
    <t>NCT05738486</t>
  </si>
  <si>
    <t>A Study of Different Donanemab (LY3002813) Dosing Regimens in Adults With Early Alzheimer's Disease (TRAILBLAZER-ALZ 6)</t>
  </si>
  <si>
    <t>NCT06069570</t>
  </si>
  <si>
    <t>Safety Study for a Gamma Delta T Cell Product Used With Low Dose Radiotherapy in Patients With Locally Advanced or Metastatic NSCLC or Solid Tumors With Bone Metastases</t>
  </si>
  <si>
    <t>Kiromic BioPharma Inc.</t>
  </si>
  <si>
    <t>NCT04675450</t>
  </si>
  <si>
    <t>NBP in Women With Metastatic Breast Cancer to Prevent Nab-paclitaxel Induced Toxic Neuropathy</t>
  </si>
  <si>
    <t>NCT05879718</t>
  </si>
  <si>
    <t>A Study to Learn About the Study Medicine (PF-06823859) in Adults With Active CLE or SLE With Skin Symptoms.</t>
  </si>
  <si>
    <t>NCT06109779</t>
  </si>
  <si>
    <t>Rilvegostomig + Chemotherapy as Adjuvant Therapy for Biliary Tract Cancer After Resection (ARTEMIDE-Biliary01)</t>
  </si>
  <si>
    <t>NCT05176210</t>
  </si>
  <si>
    <t>Safety, Pharmacokinetics, and Food Effect of PS1 in Subjects</t>
  </si>
  <si>
    <t>Pharmasaga Co. Ltd.</t>
  </si>
  <si>
    <t>NCT05788913</t>
  </si>
  <si>
    <t>Evaluation of the Pharmacodynamics of a Heparin With Its Biological Comparator, Subcutaneous Administration</t>
  </si>
  <si>
    <t>NCT05737160</t>
  </si>
  <si>
    <t>Study of Telitacicept in Generalized Myasthenia Gravis</t>
  </si>
  <si>
    <t>NCT06270082</t>
  </si>
  <si>
    <t>Study of IK-595 in RAS- or RAF-altered Advanced Tumors</t>
  </si>
  <si>
    <t>NCT05984927</t>
  </si>
  <si>
    <t>NG101 AAV Gene Therapy in Subjects With Wet Age-Related Macular Degeneration</t>
  </si>
  <si>
    <t>Elisigen, Inc.</t>
  </si>
  <si>
    <t>NCT05733624</t>
  </si>
  <si>
    <t>Clinical Trial to Evaluate the Safety and Efficacy of SCAI-001 Compared to Restasis</t>
  </si>
  <si>
    <t>SCAI Therapeutics</t>
  </si>
  <si>
    <t>NCT05726227</t>
  </si>
  <si>
    <t>A Research Study on How Well Semaglutide Helps Children and Teenagers With Excess Body Weight Lose Weight</t>
  </si>
  <si>
    <t>NCT05783570</t>
  </si>
  <si>
    <t>To Evaluate the Safety, Tolerability and Preliminary Efficacy of EU307</t>
  </si>
  <si>
    <t>NCT05972473</t>
  </si>
  <si>
    <t>A Study to Evaluate the Efficacy and Safety of IBI302 in Subjects With nAMD</t>
  </si>
  <si>
    <t>NCT07482046</t>
  </si>
  <si>
    <t>Effectiveness of Topical Menthol as A Cooling Method During Exercise in A Recreational Runner Population</t>
  </si>
  <si>
    <t>Taisho Pharmaceutical Indonesia</t>
  </si>
  <si>
    <t>NCT06499688</t>
  </si>
  <si>
    <t>A Phase III Study to Evaluate the Efficacy and Safety of Recombinant Botulinum Toxin Type A for Injection in the Treatment of Moderate to Severe Glabellar Lines</t>
  </si>
  <si>
    <t>NCT05733546</t>
  </si>
  <si>
    <t>A Phase II, Multicentre, Randomised, Double-blind, Controlled Study to Investigate the Safety, Tolerability, Pharmacokinetics, and Efficacy of COMP360 in Participants With Recurrent Major Depressive Disorder</t>
  </si>
  <si>
    <t>NCT05816070</t>
  </si>
  <si>
    <t>Trial to Evaluate the Efficacy and Safety of IVIEW-1201 in Acute Bacterial Conjunctivitis</t>
  </si>
  <si>
    <t>NCT05699070</t>
  </si>
  <si>
    <t>Drug-drug Interactions Between DWC202211 and DWC202212 in Healthy Subjects</t>
  </si>
  <si>
    <t>NCT06097273</t>
  </si>
  <si>
    <t>A Study of mRNA-1083 (SARS-CoV-2 and Influenza) Vaccine in Healthy Adult Participants, ≥50 Years of Age</t>
  </si>
  <si>
    <t>NCT06022029</t>
  </si>
  <si>
    <t>A Dose Escalation and Dose Expansion Study of Intratumoral ONM-501 Alone and in Combination With Cemiplimab in Patients With Advanced Solid Tumors and Lymphomas.</t>
  </si>
  <si>
    <t>NCT03813095</t>
  </si>
  <si>
    <t>Exploratory Dose Ranging Study Assessing APH-1501 for the Treatment of Opioid Addiction</t>
  </si>
  <si>
    <t>NCT05268237</t>
  </si>
  <si>
    <t>Safety, Tolerability and Preliminary Efficacy of Sublingual Liraglutide in Patients With Type 2 Diabetes Mellitus</t>
  </si>
  <si>
    <t>Biolingus</t>
  </si>
  <si>
    <t>NCT05984992</t>
  </si>
  <si>
    <t>The First-in-human Study of SRN-001 in Healthy Participants</t>
  </si>
  <si>
    <t>siRNAgen Therapeutics Inc.</t>
  </si>
  <si>
    <t>NCT05471492</t>
  </si>
  <si>
    <t>Study to Evaluate the Efficacy and Safety of PF-06480605 in Adult Participants With Moderate to Severe Crohn's Disease</t>
  </si>
  <si>
    <t>NCT06920836</t>
  </si>
  <si>
    <t>QR052107B Tablets in Patients With Subacute Cough of Phase Ⅱ Study</t>
  </si>
  <si>
    <t>NCT05538312</t>
  </si>
  <si>
    <t>A Study to Understand the Effect of Itraconazole on the Levels of a Study Medicine Called ARV-471 in Healthy Adults</t>
  </si>
  <si>
    <t>NCT05817812</t>
  </si>
  <si>
    <t>A Study Evaluating Physical Activity and Joint Health in Severe Haemophilia A Patients ≥12 Years Treated Once Weekly With Efanesoctocog Alfa</t>
  </si>
  <si>
    <t>NCT06281964</t>
  </si>
  <si>
    <t>Efficacy and Safety Evaluation of PLB1004 in Patients With Non-squamous NSCLC Harboring EGFR Exon 20 Insertion.</t>
  </si>
  <si>
    <t>NCT05745064</t>
  </si>
  <si>
    <t>A Study of TL-925 as a Treatment for Dry Eye Disease</t>
  </si>
  <si>
    <t>NCT06097702</t>
  </si>
  <si>
    <t>A Study to Evaluate the Safety and Pharmacokinetics of BX-001N in Healthy Participants</t>
  </si>
  <si>
    <t>Bilix Co.,Ltd.</t>
  </si>
  <si>
    <t>NCT05650567</t>
  </si>
  <si>
    <t>Study of M5049 in DM and PM Participants (NEPTUNIA)</t>
  </si>
  <si>
    <t>NCT06117371</t>
  </si>
  <si>
    <t>Study of BEBT-607 Tablets in The Treatment of Advanced or Metastatic Solid Tumors With KRAS G12C Mutation</t>
  </si>
  <si>
    <t>NCT06108492</t>
  </si>
  <si>
    <t>A Phase I Clinical Study of SHR-2005 Intravesical Instillation in the Treatment of Intermediate and High-risk Non-muscle Invasive Bladder Cancer (NMIBC)</t>
  </si>
  <si>
    <t>NCT06067581</t>
  </si>
  <si>
    <t>the Safety and Efficacy of SENL103 Autologous T Cell Injection</t>
  </si>
  <si>
    <t>NCT05858736</t>
  </si>
  <si>
    <t>Safety, PK and Efficacy of AI-061 in Advanced Solid Tumors</t>
  </si>
  <si>
    <t>NCT05906953</t>
  </si>
  <si>
    <t>Safety and Efficacy Trial of HG004 for Leber Congenital Amaurosis Related to Rpe65 Gene Mutations (STAR)</t>
  </si>
  <si>
    <t>NCT05819775</t>
  </si>
  <si>
    <t>CSL312_3003 Safety and Pharmacokinetic Study in Subjects 2 to 11 Years of Age With Hereditary Angioedema</t>
  </si>
  <si>
    <t>NCT05822245</t>
  </si>
  <si>
    <t>A Study of PER-001 in Participants With Open-Angle Glaucoma</t>
  </si>
  <si>
    <t>Perfuse Therapeutics, Inc.</t>
  </si>
  <si>
    <t>NCT06120712</t>
  </si>
  <si>
    <t>A Study of GC101 TIL in Advanced Melanoma (BZ)</t>
  </si>
  <si>
    <t>NCT05756907</t>
  </si>
  <si>
    <t>Combination of SON-1010 (IL12-FHAB) and Atezolizumab in Patients With Platinum-resistant Ovarian Cancer</t>
  </si>
  <si>
    <t>NCT05761431</t>
  </si>
  <si>
    <t>A Single-dose Study of Octreotide Injection in Healthy Adult Subjects</t>
  </si>
  <si>
    <t>NCT06032000</t>
  </si>
  <si>
    <t>Evaluation of Safety and Immunogenicity of a SARS-CoV-2(Severe Acute Respiratory Syndrome Coronavirus 2) Booster Vaccine (LEM-mR203)</t>
  </si>
  <si>
    <t>Lemonex</t>
  </si>
  <si>
    <t>NCT06440746</t>
  </si>
  <si>
    <t>Efficacy and Safety of Olokizumab in Patients With Progressive Fibrosing Interstitial Lung Diseases</t>
  </si>
  <si>
    <t>NCT05698303</t>
  </si>
  <si>
    <t>A Study of Fully Human BCMA Chimeric Antigen Receptor Autologous T Cell Injection (CT103A) in the Treatment of Patients With Relapsed/Refractory Multiple Myeloma</t>
  </si>
  <si>
    <t>NCT06063473</t>
  </si>
  <si>
    <t>A Study Comparing Trifarotene Cream 0.005% to AKLIEF® Cream in the Treatment of Acne Vulgaris</t>
  </si>
  <si>
    <t>NCT05571969</t>
  </si>
  <si>
    <t>Study of PARPi 2X-121 as Monotherapy and in Combination With Dovitinib in Patients With Advanced Solid Tumors</t>
  </si>
  <si>
    <t>NCT05838742</t>
  </si>
  <si>
    <t>A Dose-Finding Study to Evaluate the Efficacy and Safety of GSK3858279 in Adults With Knee Osteoarthritis (OA) Pain</t>
  </si>
  <si>
    <t>NCT06548854</t>
  </si>
  <si>
    <t>A Multicenter, Randomized, Double-blind, Placebo-controlled Phase II Dose Exploration Clinical Trial Evaluating the Efficacy, Safety, and Pharmacokinetic Characteristics of STC314 Injection Administered Intravenously in Sepsis Patients</t>
  </si>
  <si>
    <t>NCT05924880</t>
  </si>
  <si>
    <t>A Phase 3b, Open-label, Multi-center Study on Durvalumab in Combination With Gemcitabine-based Chemotherapy as 1L Treatment for the Chinese Patients With Unresectable Biliary Tract Cancers (BTC)</t>
  </si>
  <si>
    <t>NCT06067841</t>
  </si>
  <si>
    <t>A Study to Assess BMS-986460 in Participants With Metastatic Castration-resistant Prostate Cancer</t>
  </si>
  <si>
    <t>NCT06047431</t>
  </si>
  <si>
    <t>A Study of QL1706H in Patients With Advanced Solid Tumors</t>
  </si>
  <si>
    <t>NCT06018129</t>
  </si>
  <si>
    <t>A First-in-human Trial of GEN3017 in Hodgkin Lymphoma and Non-Hodgkin Lymphoma</t>
  </si>
  <si>
    <t>NCT05838170</t>
  </si>
  <si>
    <t>Study of TP-04 in Participants With Papulopustular Rosacea</t>
  </si>
  <si>
    <t>NCT05932888</t>
  </si>
  <si>
    <t>Safety, Tolerability, and Pharmacokinetic Study of QLM3003 in Healthy Adult Subjects</t>
  </si>
  <si>
    <t>NCT05899673</t>
  </si>
  <si>
    <t>An Extension Study to Learn About the Long-Term Safety of Fazirsiran and if Fazirsiran Can Help People With Alpha-1 Antitrypsin Liver Disease</t>
  </si>
  <si>
    <t>NCT03904069</t>
  </si>
  <si>
    <t>Study Evaluating the Safety, Tolerability, and Efficacy of FLT3 CAR-T AMG 553 in FLT3-positive Relapsed/Refractory AML</t>
  </si>
  <si>
    <t>NCT06118866</t>
  </si>
  <si>
    <t>A Study to Assess the Efficacy and Safety of HMI-115 in Male Subjects With Androgenetic Alopecia</t>
  </si>
  <si>
    <t>NCT06162169</t>
  </si>
  <si>
    <t>A Clinical Trial to Evaluate JAB-21822 Drug-drug Interactions in Healthy Subjects</t>
  </si>
  <si>
    <t>NCT06079541</t>
  </si>
  <si>
    <t>Phase 1 Clinical Study of JMKX003142 Tablets</t>
  </si>
  <si>
    <t>NCT06132503</t>
  </si>
  <si>
    <t>Safety, Pharmacokinetics, and Clinical Activity of LP-284 in Adult Patients With Relapsed or Refractory Lymphomas and Solid Tumors</t>
  </si>
  <si>
    <t>NCT06093841</t>
  </si>
  <si>
    <t>Relmacabtagene Autoleucel As Second-Line Therapy in Adult Patients with Aggressive B-cell NHL</t>
  </si>
  <si>
    <t>NCT05876351</t>
  </si>
  <si>
    <t>Eculizumab in Pediatric and Adult Participants With Atypical Hemolytic Uremic Syndrome (aHUS) in China</t>
  </si>
  <si>
    <t>NCT06744868</t>
  </si>
  <si>
    <t>A Single- and Multiple-Ascending Dose Study to Investigate the Safety, Tolerability, Pharmacokinetics, and Pharmacodynamics of THDBH120 Injection in Healthy Subjects</t>
  </si>
  <si>
    <t>NCT05661591</t>
  </si>
  <si>
    <t>Effect of Fluconazole on Pharmacokinetics of SHR2554 in Healthy Subjects</t>
  </si>
  <si>
    <t>NCT05842213</t>
  </si>
  <si>
    <t>Comparative, Multicenter Study in Subjects with Rheumatoid Arthritis, ALVOFLEX</t>
  </si>
  <si>
    <t>NCT07418918</t>
  </si>
  <si>
    <t>Live Double Combined Lactobacillus Capsule for Vaginal Use(IIb)</t>
  </si>
  <si>
    <t>NCT05919082</t>
  </si>
  <si>
    <t>A Study to Investigate Efficacy and Safety With LEO 90100 Compared With Daivobet® Ointment in Adult Chinese Subjects With Stable Plaque Psoriasis</t>
  </si>
  <si>
    <t>NCT04213274</t>
  </si>
  <si>
    <t>Study of the Efficacy and Safety of RPH-104 in Adult Subjects With Schnitzler Syndrome</t>
  </si>
  <si>
    <t>NCT05684718</t>
  </si>
  <si>
    <t>To Evaluate the Effect of Multiple Doses of Itraconazole on the Pharmacokinetics of BV100</t>
  </si>
  <si>
    <t>NCT05633160</t>
  </si>
  <si>
    <t>64Cu-SAR-BBN and 67CU SAR-BBN for Identification and Treatment of Gastrin Releasing Peptide Receptor (GRPR)-Expressing Metastatic Castrate Resistant Prostate Cancer in Patients Who Are Ineligible for Therapy With 177Lu-PSMA-617 (COMBAT)</t>
  </si>
  <si>
    <t>NCT06263959</t>
  </si>
  <si>
    <t>A Randomized, Double-blind, Placebo-controlled Phase IIa Clinical Study to Evaluate the Safety and Efficacy of GST-HG131 Tablets in Patients With Chronic Hepatitis B</t>
  </si>
  <si>
    <t>NCT05853458</t>
  </si>
  <si>
    <t>Evaluation of HU-resistance in Adult Patients With Polycythemia Vera Who Meet PV-AIM Predictors</t>
  </si>
  <si>
    <t>NCT05819658</t>
  </si>
  <si>
    <t>GV1001 Subcutaneous(SC) for the Treatment of Progressive Supranuclear Palsy (PSP)</t>
  </si>
  <si>
    <t>NCT06003049</t>
  </si>
  <si>
    <t>A Study to Evaluate Safety and Efficacy of BOTOX in Adults With Moderate COPD</t>
  </si>
  <si>
    <t>RMW Testing</t>
  </si>
  <si>
    <t>NCT05707949</t>
  </si>
  <si>
    <t>Long-term Extension Study to Assess Adverse Events of Oral Atogepant Tablets in Pediatric Participants (6 to 17 Years of Age) With Migraine</t>
  </si>
  <si>
    <t>NCT05182749</t>
  </si>
  <si>
    <t>Safety and Efficacy of the Bacteriophage Preparation, ShigActive™, in a Human Experimental Model of Shigellosis</t>
  </si>
  <si>
    <t>Intralytix, Inc.</t>
  </si>
  <si>
    <t>NCT06553248</t>
  </si>
  <si>
    <t>A Trial Investigating the Safety, Tolerability, Pharmacokinetics and Pharmacodynamics of GZR4 in Subjects With Type 2 Diabetes</t>
  </si>
  <si>
    <t>NCT05969626</t>
  </si>
  <si>
    <t>Clinical Trial of Freeze-dried Human Rabies Vaccine (Without Serum Vero Cells)</t>
  </si>
  <si>
    <t>Ningbo Rongan Biological Pharmaceutical Co., Ltd.</t>
  </si>
  <si>
    <t>NCT05707403</t>
  </si>
  <si>
    <t>A Study in Healthy Men to Test How BI 1015550 is Taken up and Handled by the Body</t>
  </si>
  <si>
    <t>NCT05818683</t>
  </si>
  <si>
    <t>A Study of Pasritamig (JNJ-78278343) in Combination With Other Agents for Metastatic Prostate Cancer</t>
  </si>
  <si>
    <t>NCT05511870</t>
  </si>
  <si>
    <t>A Study of Etripamil in Healthy Subjects</t>
  </si>
  <si>
    <t>NCT05673369</t>
  </si>
  <si>
    <t>Clinical Study to Evaluate Pharmacokinetic Profiles and Safety of CKD-387 Under Fasting Condition</t>
  </si>
  <si>
    <t>NCT06008405</t>
  </si>
  <si>
    <t>Clinical Trial Evaluating the Safety of the TQB2928 Injection Combination Therapy</t>
  </si>
  <si>
    <t>NCT02928094</t>
  </si>
  <si>
    <t>Ad5FGF-4 In Patients With Refractory Angina Due to Myocardial Ischemia</t>
  </si>
  <si>
    <t>Angionetics Inc.</t>
  </si>
  <si>
    <t>NCT06147986</t>
  </si>
  <si>
    <t>Evaluate the Efficacy and Safety of Allogeneic Umbilical Cord Mesenchymal Stem Cells As an Add-On Treatment for Acute ST-elevation Myocardial Infarction (STEMI) Patients</t>
  </si>
  <si>
    <t>NCT06092684</t>
  </si>
  <si>
    <t>The Efficacy and Safety of Esketamine in Elective Laparoscopic Surgery</t>
  </si>
  <si>
    <t>Chengdu Brilliant Pharmaceutical Co., Ltd.</t>
  </si>
  <si>
    <t>NCT06135155</t>
  </si>
  <si>
    <t>A Clinical Trial to Compare Pharmacokinetics of Two Different PEG-rhGH Preparations</t>
  </si>
  <si>
    <t>NCT06011733</t>
  </si>
  <si>
    <t>A Study to Evaluate the Efficacy and Safety of Bimekizumab in Chinese Adult Study Participants With Moderate to Severe Plaque Psoriasis</t>
  </si>
  <si>
    <t>NCT05588648</t>
  </si>
  <si>
    <t>Study to Assess Safety and Efficacy of Vactosertib in Adolescents and Adults With Recurrent, Refractory or Progressive Osteosarcoma</t>
  </si>
  <si>
    <t>NCT06139055</t>
  </si>
  <si>
    <t>A Study of Multiple-ascending Doses of GSBR-1290 in Healthy Overweight/Obese Participants</t>
  </si>
  <si>
    <t>NCT05824858</t>
  </si>
  <si>
    <t>A Study of the Effect of Food on LY3537982 in Healthy Participants</t>
  </si>
  <si>
    <t>NCT06160752</t>
  </si>
  <si>
    <t>Safety and Anti-Tumor Activity of TYRA-200 in Advanced Cholangiocarcinoma With Activating FGFR2 Gene Alterations</t>
  </si>
  <si>
    <t>NCT05815758</t>
  </si>
  <si>
    <t>Evaluation of the Safety and Pharmacokinetics of Brimonidine Tartrate 0.025%/Ketotifen Fumarate 0.035% Combination Ophthalmic Solution</t>
  </si>
  <si>
    <t>NCT06241755</t>
  </si>
  <si>
    <t>Clinical Trial for Evaluating the Efficacy and Safety of BCG for Therapeutic Use in the Prevention of Postoperative Recurrence of Medium/High-risk Non-muscle Invasive Bladder Cancer (NMIBC)</t>
  </si>
  <si>
    <t>NCT06109649</t>
  </si>
  <si>
    <t>A Study to Compare the Efficacy and Safety of SCENESSE and Narrow-Band Ultraviolet (NB-UVB) Light Versus NB-UVB Light Alone in Patients With Vitiligo</t>
  </si>
  <si>
    <t>NCT05980949</t>
  </si>
  <si>
    <t>Open-Label Extension Study to Assess the Long-Term Safety and Tolerability of KarXT in Subjects With Psychosis Associated With Alzheimer's Disease (ADEPT-3)</t>
  </si>
  <si>
    <t>NCT05848947</t>
  </si>
  <si>
    <t>SIR-Spheres Study to Calculate the Radiation-Absorbed Dose of 99mTc-MAA</t>
  </si>
  <si>
    <t>Sirtex Medical</t>
  </si>
  <si>
    <t>NCT06055348</t>
  </si>
  <si>
    <t>SC0191 Plus Chemotherapy in Advanced Ovarian Canceradvanced Ovarian Cancer</t>
  </si>
  <si>
    <t>NCT05706324</t>
  </si>
  <si>
    <t>Phase Ⅰ Clinical Trial of a Candidate COVID-19 Vaccine</t>
  </si>
  <si>
    <t>NCT05881382</t>
  </si>
  <si>
    <t>Dutogliptin in Co-administration With Filgrastim in Early Recovery Post-myocardial Infarction</t>
  </si>
  <si>
    <t>Recardio, Inc.</t>
  </si>
  <si>
    <t>NCT06169982</t>
  </si>
  <si>
    <t>A Multiple Dose Study of LY3209590 in Participants With Type 2 Diabetes</t>
  </si>
  <si>
    <t>NCT05953688</t>
  </si>
  <si>
    <t>POC Study to Evaluate the Efficacy and Safety of ESK-001 in Patients With Active Intermediate, Posterior, or Pan NIU</t>
  </si>
  <si>
    <t>NCT06126562</t>
  </si>
  <si>
    <t>A Pharmacokinetic Study of Lanifibranor in Healthy Adult Chinese Subjects</t>
  </si>
  <si>
    <t>NCT05929079</t>
  </si>
  <si>
    <t>A Study of Retatrutide (LY3437943) in Participants With Type 2 Diabetes Mellitus Who Have Obesity or Overweight</t>
  </si>
  <si>
    <t>NCT06043388</t>
  </si>
  <si>
    <t>Omicron BA.4/5-Delta COVID-19 Vaccine Phase I Clinical Trial</t>
  </si>
  <si>
    <t>NCT06126380</t>
  </si>
  <si>
    <t>Long-Term Safety and Efficacy of Tegoprubart in Kidney Transplant Recipients</t>
  </si>
  <si>
    <t>NCT05902988</t>
  </si>
  <si>
    <t>A Phase I/II Study of VLS-1488 in Subjects With Advanced Cancer</t>
  </si>
  <si>
    <t>NCT05583344</t>
  </si>
  <si>
    <t>Phase 2b Study of GSK4532990 in Adults With NASH</t>
  </si>
  <si>
    <t>NCT05687032</t>
  </si>
  <si>
    <t>A Study of Inotuzumab Ozogamicin in Chinese Patients With Relapsed or Refractory Acute Lymphoblastic Leukemia</t>
  </si>
  <si>
    <t>NCT05689099</t>
  </si>
  <si>
    <t>A Research Trial Looking at the Comparability of 2 Different Concentrations of Semaglutide for the 0.5 Milligram (mg) Dose</t>
  </si>
  <si>
    <t>NCT05940909</t>
  </si>
  <si>
    <t>Bioequivalence Study of Perindopril /Amlodipine/Indapamide 8 mg (10 mg)/2.5 mg/10 mg Tablets in Healthy Volunteers Under Fasting Conditions</t>
  </si>
  <si>
    <t>NCT05602363</t>
  </si>
  <si>
    <t>AS-1763 in Patients With Previously Treated CLL/SLL or Non-Hodgkin Lymphoma</t>
  </si>
  <si>
    <t>Carna Biosciences, Inc.</t>
  </si>
  <si>
    <t>NCT05938387</t>
  </si>
  <si>
    <t>Safety and Tolerability of CVGBM in Adults With Newly Diagnosed MGMT-Unmethylated Glioblastoma or Astrocytoma</t>
  </si>
  <si>
    <t>NCT06703463</t>
  </si>
  <si>
    <t>A Drug-Drug Interaction Study of Diltiazem and MK-1167 in Healthy Adult Participants (MK-1167-006)</t>
  </si>
  <si>
    <t>NCT05799287</t>
  </si>
  <si>
    <t>A Study of Telitacicept for IgA Nephropathy (TELIGAN)</t>
  </si>
  <si>
    <t>NCT05720494</t>
  </si>
  <si>
    <t>A Multiple Ascending Dose Study to Investigate the Safety, Tolerability, and Pharmacokinetics of JZP441 in Healthy Participants</t>
  </si>
  <si>
    <t>NCT05303519</t>
  </si>
  <si>
    <t>SIGMA (Safusidenib in IDH1 Mutant Glioma Maintenance)</t>
  </si>
  <si>
    <t>NCT05875428</t>
  </si>
  <si>
    <t>Mitoxantrone Hydrochloride Liposome Injection in Patients With Relapsed/Refractory Diffuse Large B-Cell Lymphoma (DLBCL)</t>
  </si>
  <si>
    <t>NCT05984199</t>
  </si>
  <si>
    <t>Donor-Derived Anti-CD33 CAR T Cell Therapy (VCAR33) in Patients With Relapsed or Refractory AML After Allogeneic Hematopoietic Cell Transplant</t>
  </si>
  <si>
    <t>NCT05692934</t>
  </si>
  <si>
    <t>A HR20031 FE Study on Healthy Subjects</t>
  </si>
  <si>
    <t>NCT06136364</t>
  </si>
  <si>
    <t>CD7 CAR-T in Adults With Relapsed or Refractory T-LBL/ALL Clinical Study</t>
  </si>
  <si>
    <t>NCT06128564</t>
  </si>
  <si>
    <t>A Gene Delivery Study to Evaluate the Safety and Expression of Delandistrogene Moxeparvovec in Participants Under the Age of Four With Duchenne Muscular Dystrophy (DMD)</t>
  </si>
  <si>
    <t>NCT05770609</t>
  </si>
  <si>
    <t>A Study of SPH3127 in the Treatment of Mild to Moderate Ulcerative Colitis</t>
  </si>
  <si>
    <t>NCT05227651</t>
  </si>
  <si>
    <t>AK104 in Neoadjuvant Treatment of Cervical Cancer</t>
  </si>
  <si>
    <t>NCT05639530</t>
  </si>
  <si>
    <t>A Dose Escalation Study of IBI333 in Subjects With Neovascular Age-related Macular Degeneration</t>
  </si>
  <si>
    <t>NCT05742607</t>
  </si>
  <si>
    <t>IPH5201 and Durvalumab in Patients With Resectable Non-Small Cell Lung Cancer (MATISSE)</t>
  </si>
  <si>
    <t>NCT05995353</t>
  </si>
  <si>
    <t>A Study to Assess Adverse Events, Change in Disease Activity, and How Intravenous and Subcutaneous Risankizumab Moves Through the Body of Pediatric Participants With Moderately to Severely Active Crohn's Disease</t>
  </si>
  <si>
    <t>NCT05980481</t>
  </si>
  <si>
    <t>A Study of RC48-ADC Combination Therapies as First-line Treatment in Advanced Metastatic Gastric Cancer</t>
  </si>
  <si>
    <t>NCT06538272</t>
  </si>
  <si>
    <t>Study to Investigate the Chemotherapy-Induced Peripheral Neuropathy (CIPN) Onset-Suppressing Effect and Safety of ONO-2910 in Patients With Breast Cancer Receiving Weekly Paclitaxel</t>
  </si>
  <si>
    <t>NCT06190509</t>
  </si>
  <si>
    <t>Assessing the Safety, Immune Response, and Early Efficacy of a Candida Vaccine in Women With Recurrent Vulvovaginal Candidiasis: A Randomized Controlled Study</t>
  </si>
  <si>
    <t>NCT05878522</t>
  </si>
  <si>
    <t>A Study to Investigate the Effects of Sisunatovir on QTc Interval in Healthy Adult Participants.</t>
  </si>
  <si>
    <t>NCT06010953</t>
  </si>
  <si>
    <t>SS109 and NovoSeven ® PK / PD Profile, and Preliminary Efficacy and Safety of SS109 on Demand Treatment</t>
  </si>
  <si>
    <t>NCT05256472</t>
  </si>
  <si>
    <t>A Study of AK104 Monotherapy or AK104 Plus Axitinib in Advanced/Metastatic Renal Cell Carcinoma</t>
  </si>
  <si>
    <t>NCT05812677</t>
  </si>
  <si>
    <t>A Clinical Study on Oncolytic Virus Injection (R130) for the Treatment of Relapsed/Refractory Cervical and Endometrial Cancer</t>
  </si>
  <si>
    <t>NCT05712681</t>
  </si>
  <si>
    <t>Clinical Trial to Evaluate Food-Effects on Pharmacokinetics and Pharmacodynamics of Oral Single Dose of JP-1366 Tablet in Healthy Volunteers</t>
  </si>
  <si>
    <t>NCT05745701</t>
  </si>
  <si>
    <t>A Drug-Drug Interaction Study to Examine the Impact of Itraconazole and Cyclosporine on PF-07081532 Pharmacokinetics in Overweight or Obese Adults</t>
  </si>
  <si>
    <t>NCT06427031</t>
  </si>
  <si>
    <t>Comparing Efficacy and Safety of TJO-083 in Dry Eye Diseases Patients</t>
  </si>
  <si>
    <t>NCT05748639</t>
  </si>
  <si>
    <t>Integrated Digital Intervention for Alcohol Use Disorder</t>
  </si>
  <si>
    <t>Quit Genius</t>
  </si>
  <si>
    <t>NCT05794139</t>
  </si>
  <si>
    <t>Safety and Efficacy of NMD670 in Ambulatory Adult Patients With Type 3 Spinal Muscular Atrophy</t>
  </si>
  <si>
    <t>NMD Pharma A/S</t>
  </si>
  <si>
    <t>NCT05647512</t>
  </si>
  <si>
    <t>Study of LM-305 in Patients With Relapsed or Refractory Multiple Myeloma (RRMM) and Other Plasma Cell Diseases</t>
  </si>
  <si>
    <t>NCT05667818</t>
  </si>
  <si>
    <t>An Comparative Pharmacokinetic Study of Amlodipine Besylate Controlled-release Tablets,China in Normal, Healthy, Adult, Human Subjects Under Fasting Conditions</t>
  </si>
  <si>
    <t>NCT05630976</t>
  </si>
  <si>
    <t>Cresemba® in Treating Chinese Patients With IFD Caused by Aspergillus Species or Other Filamentous Fungi</t>
  </si>
  <si>
    <t>NCT05994625</t>
  </si>
  <si>
    <t>Economic Evaluation of Stream™ Platform</t>
  </si>
  <si>
    <t>NCT05764915</t>
  </si>
  <si>
    <t>A Phase I Study of RGT-264 in Subjects With Advanced Solid Tumors</t>
  </si>
  <si>
    <t>NCT05696717</t>
  </si>
  <si>
    <t>Phase 3 Efficacy and Durability of Ampreloxetine for the Treatment of Symptomatic nOH in Participants With Multiple System Atrophy</t>
  </si>
  <si>
    <t>NCT05690425</t>
  </si>
  <si>
    <t>A Phase I Study of BC3402 as a Single Agent in Patients With MDS and CMML</t>
  </si>
  <si>
    <t>NCT05370508</t>
  </si>
  <si>
    <t>A Study of Sonodynamic Therapy Using SONALA-001 and Exablate 4000 Type 2.0 in Subjects With Recurrent GBM</t>
  </si>
  <si>
    <t>NCT05926440</t>
  </si>
  <si>
    <t>Immunogenicity and Safety Study of SCB-2023 Vaccine as a Booster in Adults</t>
  </si>
  <si>
    <t>NCT05960708</t>
  </si>
  <si>
    <t>A Single Dose, Phase 1 Study of YH35324 in Patients with Various Allergic Diseases</t>
  </si>
  <si>
    <t>NCT06185335</t>
  </si>
  <si>
    <t>A Trial of the Safety and Efficacy of Single-Dose Administration of ANB-010 in Subjects With Hemophilia A</t>
  </si>
  <si>
    <t>NCT05551117</t>
  </si>
  <si>
    <t>A Study of Vobramitamab Duocarmazine in Participants With Metastatic Castration Resistant Prostate Cancer and Other Solid Tumors</t>
  </si>
  <si>
    <t>NCT06308874</t>
  </si>
  <si>
    <t>Investigate Safety, Tolerability, PK/PD of J2H-1702 in Healthy Females</t>
  </si>
  <si>
    <t>NCT06014190</t>
  </si>
  <si>
    <t>HS-20089 in Patients With Ovarian Cancer and Endometrial Cancer</t>
  </si>
  <si>
    <t>NCT05925608</t>
  </si>
  <si>
    <t>Clinical Trial of Human Allogenic Culture-expanded Bone Marrow-derived Mesenchymal Stem Cells</t>
  </si>
  <si>
    <t>BioCardia, Inc.</t>
  </si>
  <si>
    <t>NCT05824169</t>
  </si>
  <si>
    <t>Evaluation of Safety and Efficacy of Gene Therapy Drug in the Treatment of Spinal Muscular Atrophy (SMA) Type 1 Patients</t>
  </si>
  <si>
    <t>NCT05033522</t>
  </si>
  <si>
    <t>Immunotherapy for Advanced Liver Cancer</t>
  </si>
  <si>
    <t>NCT06431477</t>
  </si>
  <si>
    <t>Efficacy and Safety of Telmisartan Compared With Losartan</t>
  </si>
  <si>
    <t>NCT06097728</t>
  </si>
  <si>
    <t>MEDI5752 in Combination With Carboplatin Plus Pemetrexed in Unresectable Pleural Mesothelioma</t>
  </si>
  <si>
    <t>NCT05782907</t>
  </si>
  <si>
    <t>Study to Assess Adverse Events, Change in Disease Activity, and How Oral Upadacitinib Moves Through the Body of Pediatric Participants With Moderately to Severely Active Ulcerative Colitis.</t>
  </si>
  <si>
    <t>NCT06101134</t>
  </si>
  <si>
    <t>A Study to Evaluate Whether Participants With Melanoma Prefer Subcutaneous vs Intravenous Administration of Nivolumab and Nivolumab + Relatlimab Fixed-dose Combinations</t>
  </si>
  <si>
    <t>NCT05672121</t>
  </si>
  <si>
    <t>Safety and Tolerability of KH631 Gene Therapy in Subjects With Neovascular Age-related Macular Degeneration (nAMD)</t>
  </si>
  <si>
    <t>NCT06015308</t>
  </si>
  <si>
    <t>A Study to Investigate Vaccine Responses in Subcutaneous Amlitelimab Treated Atopic Dermatitis Participants Aged 18 Years and Older Compared With Placebo</t>
  </si>
  <si>
    <t>NCT05848440</t>
  </si>
  <si>
    <t>A Study to Assess the Safety, Tolerability, and Pharmacokinetics of AZD9550 Following Single Ascending Dose Administration to Healthy Participants</t>
  </si>
  <si>
    <t>NCT05923008</t>
  </si>
  <si>
    <t>A Clinical Study of IBI130 for Subjects With Unresectable, Locally Advanced or Metastatic Solid Tumors</t>
  </si>
  <si>
    <t>NCT06043817</t>
  </si>
  <si>
    <t>First-In-Human Study of STX-721/PFL-721 in Participants With Locally Advanced or Metastatic Non-Small Cell Lung Cancer Harboring EGFR or HER2 Exon 20 Insertion Mutations</t>
  </si>
  <si>
    <t>NCT06124807</t>
  </si>
  <si>
    <t>A Study of LY3305677 Compared With Placebo in Adult Participants With Obesity or Overweight</t>
  </si>
  <si>
    <t>NCT06113744</t>
  </si>
  <si>
    <t>A Phase 1 Study to Evaluate the Safety and Immunogenicity of COVID-19 Vaccine</t>
  </si>
  <si>
    <t>NCT06010589</t>
  </si>
  <si>
    <t>Bioequivalence Study for the Safety and the Pharmacokinetics of DWJ1558 in Healthy Adult Volunteers</t>
  </si>
  <si>
    <t>NCT05767346</t>
  </si>
  <si>
    <t>Phase 3 Trial to Evaluate the Efficacy and Safety of Aficamten Compared to Metoprolol Succinate in Adults With Symptomatic oHCM</t>
  </si>
  <si>
    <t>NCT06058546</t>
  </si>
  <si>
    <t>Efficacy and Safety of Jiuweihuaban Pill for Treating Plaque Psoriasis</t>
  </si>
  <si>
    <t>NCT06125327</t>
  </si>
  <si>
    <t>SC1011 Twice Daily vs Placebo in Patients Diagnosed With Idiopathic Pulmonary Fibrosis (IPF)</t>
  </si>
  <si>
    <t>NCT05736835</t>
  </si>
  <si>
    <t>A Phase 2 Trial of the Immunogenicity and Safety of CVXGA Intranasal COVID Vaccine in Healthy Adults</t>
  </si>
  <si>
    <t>NCT05968508</t>
  </si>
  <si>
    <t>A Randomized, Double-blind, Single-dose, Two-arm Parallel Study to Compare the Pharmacokinetics and Safety of BAT1806 Prefilled Subcutaneous Injection With RoActemra® in Healthy Chinese Male Subjects</t>
  </si>
  <si>
    <t>NCT06137118</t>
  </si>
  <si>
    <t>AZD0486 as Monotherapy in B-cell Acute Lymphoblastic Leukaemia</t>
  </si>
  <si>
    <t>NCT05951946</t>
  </si>
  <si>
    <t>A Study to Evaluate Drug-drug Interactions and Safety Between "BR3006-1", "BR3006-2", and "BR3006-3" in Healthy Volunteers</t>
  </si>
  <si>
    <t>NCT05913089</t>
  </si>
  <si>
    <t>A Clinical Study of TQB2450 Injection Combined With Chemotherapy or Anlotinib Hydrochloride Capsule in the Treatment of Non Small Cell Lung Cancer</t>
  </si>
  <si>
    <t>NCT07116889</t>
  </si>
  <si>
    <t>A Study to Investigate GB-0895 in Adults With Mild to Moderate Asthma or COPD</t>
  </si>
  <si>
    <t>NCT07648940</t>
  </si>
  <si>
    <t>Bioequivalence Study of Liposomal Doxorubicin 20 mg/10 mL (Doxopeg® vs Caelyx®) in Advanced Cancer Patients</t>
  </si>
  <si>
    <t>NCT05850689</t>
  </si>
  <si>
    <t>Study of Lumateperone as Adjunctive Therapy in the Treatment of Patients With Major Depressive Disorder</t>
  </si>
  <si>
    <t>NCT05855018</t>
  </si>
  <si>
    <t>A Study of Atropine Sulfate in Healthy Chinese Volunteers</t>
  </si>
  <si>
    <t>Zhaoke (Hong Kong) Ophthalmology Pharmaceutical Limited</t>
  </si>
  <si>
    <t>NCT05779579</t>
  </si>
  <si>
    <t>Study of HS-10517 in Chinese Adult Participants</t>
  </si>
  <si>
    <t>NCT05547542</t>
  </si>
  <si>
    <t>Positron Emission Tomography (PET) Trial to Evaluate Target Occupancy of CVL-354 at Kappa and Mu Opioid Receptors in Brain Following Oral Dosing</t>
  </si>
  <si>
    <t>NCT05948774</t>
  </si>
  <si>
    <t>A SAD/MAD Study to Evaluate the Safety, Tolerability, PK of MT200605 in Healthy Subjects</t>
  </si>
  <si>
    <t>NCT06019559</t>
  </si>
  <si>
    <t>A Study to Evaluate the Safety, Tolerability, and Weight Loss Efficacy of K-757 Alone and in Combination With K-833</t>
  </si>
  <si>
    <t>NCT05751759</t>
  </si>
  <si>
    <t>Pharmacokinetics of Mitiperstat in Participants With Hepatic Impairment</t>
  </si>
  <si>
    <t>NCT06036927</t>
  </si>
  <si>
    <t>A Clinical Study of TQC2731 Injection in the Treatment of Chronic Rhinosinusitis With Nasal Polyps</t>
  </si>
  <si>
    <t>NCT06560827</t>
  </si>
  <si>
    <t>CT011 Autologous CAR-T Cells in Patients With Hepatocellular Carcinoma at Risk of Recurrence After Surgical Resection</t>
  </si>
  <si>
    <t>NCT05338580</t>
  </si>
  <si>
    <t>Clinical Trial of TJ271 Injection Combined With Pembrolizumab in the Treatment of Advanced Solid Tumors</t>
  </si>
  <si>
    <t>NCT03348670</t>
  </si>
  <si>
    <t>Pharmacogenomics IND Commercial SNP Clinical Study - Abiraterone and Single Nucleotide Polymorphisms</t>
  </si>
  <si>
    <t>NCT06333210</t>
  </si>
  <si>
    <t>Study of the Efficacy, Safety, Pharmacokinetics and Pharmacodynamics of BCD-180 in Patients With Axial Spondyloarthritis (LEVENTA)</t>
  </si>
  <si>
    <t>NCT06274489</t>
  </si>
  <si>
    <t>A Study to Evaluate Setanaxib in Patients With Alport Syndrome</t>
  </si>
  <si>
    <t>NCT05997290</t>
  </si>
  <si>
    <t>A Study to Learn About New COVD-19 RNA Vaccine Candidates for New Variants in Healthy Individuals</t>
  </si>
  <si>
    <t>NCT05682352</t>
  </si>
  <si>
    <t>Investigating the Safety of LEO 158968 in Healthy Volunteers</t>
  </si>
  <si>
    <t>NCT07473752</t>
  </si>
  <si>
    <t>A Phase 1, Randomized, Double-Blind, Placebo-Controlled, Single Ascending Dose Escalation Study to Evaluate the Safety, Tolerability, Pharmacokinetics, and Pharmacodynamics of TNX-1500 in Healthy Subjects</t>
  </si>
  <si>
    <t>NCT04923347</t>
  </si>
  <si>
    <t>A Study to Evaluate the Safety and Efficacy of Fluticasone Furoate (FF)/Umeclidinium(UMEC)/Vilanterol (VI) in Participants With Chronic Obstructive Pulmonary Disease (COPD)</t>
  </si>
  <si>
    <t>NCT05773820</t>
  </si>
  <si>
    <t>A Study Explore WJB001 Capsules in Patients With Advanced Solid Tumors</t>
  </si>
  <si>
    <t>Wigen Biomedicine Technology (Shanghai) Co., Ltd.</t>
  </si>
  <si>
    <t>NCT05873062</t>
  </si>
  <si>
    <t>Safety, Blood Levels and Effects of AUT00201 in Patients With MEAK</t>
  </si>
  <si>
    <t>Autifony Therapeutics Limited</t>
  </si>
  <si>
    <t>NCT05887908</t>
  </si>
  <si>
    <t>Efficacy and Safety of Cefepime/Nacubactam or Aztreonam/Nacubactam Compared to Imipenem/Cilastatin in Subjects With Complicated Urinary Tract Infections or Acute Uncomplicated Pyelonephritis</t>
  </si>
  <si>
    <t>NCT05863325</t>
  </si>
  <si>
    <t>A Study to Compare the Efficacy and Safety of HB1801 to Taxotere in Advanced Non-Small Cell Lung Cancer (NSCLC)</t>
  </si>
  <si>
    <t>NCT05852340</t>
  </si>
  <si>
    <t>A Study to Assess Two Forms of The Study Medicine (Ritlecitinib) in Healthy Adult Participants</t>
  </si>
  <si>
    <t>NCT06015282</t>
  </si>
  <si>
    <t>The Celljuvant Study: A Phase 3 Immunogenicity and Safety Study of aQIVc Vaccine in Adults Aged 50 Years and Older</t>
  </si>
  <si>
    <t>NCT05685615</t>
  </si>
  <si>
    <t>PK of BV100 in Patients VABP Suspected or Confirmed to Be Due to CRAB</t>
  </si>
  <si>
    <t>NCT05699408</t>
  </si>
  <si>
    <t>To Compare the Efficacy and Safety of INS068 and Insulin Glargine in Subjects With Type 2 Diabetes Mellitus Not Adequately Controlled With Oral Antidiabetic Drugs</t>
  </si>
  <si>
    <t>NCT05673889</t>
  </si>
  <si>
    <t>A Study to Understand the Effect of a Study Medicine Called ARV-471 on Dabigatran Etexilate in Healthy Adults</t>
  </si>
  <si>
    <t>NCT06042478</t>
  </si>
  <si>
    <t>Phase 3b Study to Assess the Efficacy, Safety, and Tolerability of Remibrutinib in Comparison to Placebo, With Omalizumab as Active Control, in Adult CSU Patients, Followed by an Open-label 52-week Optional Extension.</t>
  </si>
  <si>
    <t>NCT05890118</t>
  </si>
  <si>
    <t>Study Evaluating PK of Ustekinumab Administered Orally Via RaniPill™ Capsule</t>
  </si>
  <si>
    <t>NCT06072573</t>
  </si>
  <si>
    <t>Efficacy and Tolerability of AP707 in Patients With Chronic Pain Due to Diabetic Polyneuropathy</t>
  </si>
  <si>
    <t>NCT06085183</t>
  </si>
  <si>
    <t>Indigotindisulfonate Sodium as an Aid in Determination of Ureteral Patency in Patient's With Renal Impairment</t>
  </si>
  <si>
    <t>NCT05697003</t>
  </si>
  <si>
    <t>Bioequivalence Study for Fluticasone Propionate 100 mcg/Salmeterol Xinafoate 50 mcg Inhalation Powder in Healthy Volunteers</t>
  </si>
  <si>
    <t>NCT05760261</t>
  </si>
  <si>
    <t>Drug Interaction Assessment of GSK3882347 in Healthy Participants Aged 18 to 65 Years</t>
  </si>
  <si>
    <t>NCT05941442</t>
  </si>
  <si>
    <t>A Study to Evaluate Efficacy, Safety, and Tolerability of Darigabat in Participants With Panic Disorder</t>
  </si>
  <si>
    <t>NCT06025773</t>
  </si>
  <si>
    <t>A Study to Compare PK/PD Characteristics and Safety Profiles Between AD-212-A and AD-2121</t>
  </si>
  <si>
    <t>NCT06026410</t>
  </si>
  <si>
    <t>KO-2806 Monotherapy and Combination Therapies in Advanced Solid Tumors</t>
  </si>
  <si>
    <t>NCT06144424</t>
  </si>
  <si>
    <t>Phase 2a, Randomized, Double-Blind, Placebo-Controlled Study to Evaluate the Safety, Tolerability, and Pharmacodynamics of EP262 in Subjects With Atopic Dermatitis</t>
  </si>
  <si>
    <t>NCT05824559</t>
  </si>
  <si>
    <t>ME-344 and Bevacizumab in Previously Treated Metastatic Colorectal Cancer</t>
  </si>
  <si>
    <t>NCT06196762</t>
  </si>
  <si>
    <t>Phase I of XKH002 Injection in Patients</t>
  </si>
  <si>
    <t>NCT05810103</t>
  </si>
  <si>
    <t>A Study of DP303c in Patients With HER2-positive Advanced Solid Tumors</t>
  </si>
  <si>
    <t>NCT06010303</t>
  </si>
  <si>
    <t>A Study to Evaluate LBL-007 in Combination With Tislelizumab Plus Chemotherapy in Participants With Unresectable Locally Advanced or Metastatic Esophageal Squamous Cell Carcinoma</t>
  </si>
  <si>
    <t>NCT05951296</t>
  </si>
  <si>
    <t>A Study to Investigate Leramistat in Patients With IPF</t>
  </si>
  <si>
    <t>NCT06016062</t>
  </si>
  <si>
    <t>A Study of RC148 As a Single Agent and Combination Therapy in Patients with Locally Advanced Unresectable or Metastatic Malignant Solid Tumors</t>
  </si>
  <si>
    <t>NCT05742802</t>
  </si>
  <si>
    <t>Long-term Efficacy and Safety of Tozorakimab in Participants With Chronic Obstructive Pulmonary Disease With a History of Exacerbations (PROSPERO).</t>
  </si>
  <si>
    <t>NCT06148272</t>
  </si>
  <si>
    <t>A Study of LY3971297 in Healthy Participants</t>
  </si>
  <si>
    <t>NCT05712889</t>
  </si>
  <si>
    <t>Phase 1 Dose Escalation Study for VIP236 in Patients With Advanced Cancer</t>
  </si>
  <si>
    <t>NCT05735496</t>
  </si>
  <si>
    <t>Clinical Trial of the TQB2102 Injection in Patients With Advanced Cancers</t>
  </si>
  <si>
    <t>NCT05669261</t>
  </si>
  <si>
    <t>Treatment of Long COVID Symptoms Utilizing Autologous Stem Cells Following COVID-19 Infection</t>
  </si>
  <si>
    <t>NCT05512390</t>
  </si>
  <si>
    <t>A Study to Assess the Adverse Events, Change in Disease Activity, and How Intravenously Infused ABBV-319 Moves Through the Bodies of Adult Participants With Relapsed or Refractory (R/R) Diffuse Large B-cell Lymphoma (DLBCL), Follicular Lymphoma (FL), or Chronic Lymphocytic Leukemia (CLL)</t>
  </si>
  <si>
    <t>NCT05239910</t>
  </si>
  <si>
    <t>Study to Evaluate the Efficacy and Safety of Tenalisib, Given With CHOP Therapy for Front Line Treatment in Patients With PTCL</t>
  </si>
  <si>
    <t>NCT05717920</t>
  </si>
  <si>
    <t>A Clinical Trial in Subjects With Atopic Dermatitis (Part 1)</t>
  </si>
  <si>
    <t>NCT06083623</t>
  </si>
  <si>
    <t>A Trial to Evaluate the Efficacy and Safety of TNM001 for the Prevention of Lower Respiratory Tract Infection Caused by Respiratory Syncytial Virus in Infants</t>
  </si>
  <si>
    <t>NCT06157827</t>
  </si>
  <si>
    <t>A Clinical Trial of LBL-024 Combined With Etoposide and Platinum in Patients With Advanced Neuroendocrine Carcinoma</t>
  </si>
  <si>
    <t>NCT06173518</t>
  </si>
  <si>
    <t>A Study of CD19 Targeted CAR T Cell Therapy in Pediatric Patients With Relapsed or Refractory B Cell Acute Lymphoblastic Leukemia (B ALL) and Aggressive Mature B-cell Non-Hodgkin Lymphoma (B NHL)</t>
  </si>
  <si>
    <t>NCT05784688</t>
  </si>
  <si>
    <t>Study of TU2218 in Combination With KEYTRUDA®(Pembrolizumab) in Patients With Advanced Solid Tumors</t>
  </si>
  <si>
    <t>NCT05873803</t>
  </si>
  <si>
    <t>The Study of GR1802 in Patients with Chronic Rhinosinusitis with Nasal Polyps</t>
  </si>
  <si>
    <t>NCT05754411</t>
  </si>
  <si>
    <t>[14C] Study on Mass Balance and Biotransformation of STI-1558 in Healthy Chinese Adult Male Subjects</t>
  </si>
  <si>
    <t>NCT05942911</t>
  </si>
  <si>
    <t>Safety and Effect on Pain and Function According to RAPID-3 of IHL-675A in Patients With Rheumatoid Arthritis</t>
  </si>
  <si>
    <t>NCT05082493</t>
  </si>
  <si>
    <t>A Multicenter, Study of the Safety and Pharmacokinetics of Intravenously Infused Berubicin in Pediatric Patients With Progressive, Refractory, or Recurrent High Grade Gliomas</t>
  </si>
  <si>
    <t>NCT05794516</t>
  </si>
  <si>
    <t>A Safety and Pharmacokinetics Study of ZB004 in Healthy Participants</t>
  </si>
  <si>
    <t>NCT05070104</t>
  </si>
  <si>
    <t>CPI-613 (Devimistat) in Combination With Modified FOLFIRINOX Plus Bevacizumab in Patients With Metastatic Colorectal Cancer</t>
  </si>
  <si>
    <t>NCT06115967</t>
  </si>
  <si>
    <t>A Study to Assess the Safety, Tolerability, Pharmacokinetics, Pharmacodynamics of Subcutaneous AZD6912 in Healthy Participants</t>
  </si>
  <si>
    <t>NCT05755906</t>
  </si>
  <si>
    <t>A 12-week Study to Assess the Efficacy and Safety of Budesonide and Formoterol Fumarate Metered Dose Inhaler Relative to Budesonide Metered Dose Inhaler in Participants With Inadequately Controlled Asthma (LITHOS)</t>
  </si>
  <si>
    <t>NCT05762471</t>
  </si>
  <si>
    <t>Phase 1b/2a Study of GSBR-1290 in Adult Overweight or Obese Healthy Subjects and Subjects With Type 2 Diabetes Mellitus</t>
  </si>
  <si>
    <t>NCT05626114</t>
  </si>
  <si>
    <t>A Study to Optimize Subretinal Surgical Delivery and to Evaluate Safety and Activity of Opregen in Participants With Geographic Atrophy Secondary to Age-Related Macular Degeneration (GAlette); Adaptive Optics (AO) Retinal Imaging Substudy in Association With Study GR44251</t>
  </si>
  <si>
    <t>NCT06104306</t>
  </si>
  <si>
    <t>Study of B/F/TAF in Participants Switching From CAB + RPV to B/F/TAF for HIV-1 Infection (EMPOWER)</t>
  </si>
  <si>
    <t>NCT05954247</t>
  </si>
  <si>
    <t>Bioequivalence Study for the Safety and the Pharmacokinetics of DWJ1543 in Healthy Adult Volunteers</t>
  </si>
  <si>
    <t>NCT05975047</t>
  </si>
  <si>
    <t>A Study of LIV001 in Healthy Subjects and Those with Mild-to-Moderate Active Ulcerative Colitis (UC)</t>
  </si>
  <si>
    <t>Liveome Inc.</t>
  </si>
  <si>
    <t>NCT05720026</t>
  </si>
  <si>
    <t>Study to Evaluate the Efficacy and Safety of SYSA1901 vs. Perjeta® of HER2-Positive Breast Cancer</t>
  </si>
  <si>
    <t>NCT05825209</t>
  </si>
  <si>
    <t>Effectiveness of Food-grown Magnesium on Sleep Quality/Quantity</t>
  </si>
  <si>
    <t>NCT05252598</t>
  </si>
  <si>
    <t>Mood and Cognitive Effects of Psilocybin in Healthy Participants</t>
  </si>
  <si>
    <t>Optimi Health Corporation</t>
  </si>
  <si>
    <t>NCT05816252</t>
  </si>
  <si>
    <t>A Study of SKB264 (MK-2870; Sac-TMT) for the Treatment of Participants With Advanced or Metastatic Non-small Cell Lung Cancer (SKB264-II-04) (MK-2870-003)</t>
  </si>
  <si>
    <t>NCT06558058</t>
  </si>
  <si>
    <t>Bioequivalence Study of Rivaroxaban 10 mg Film-coated Tablets</t>
  </si>
  <si>
    <t>NCT05869955</t>
  </si>
  <si>
    <t>A Study of CC-97540, CD-19-Targeted Nex-T CAR T Cells, in Participants With Severe, Refractory Autoimmune Diseases (Breakfree-1)</t>
  </si>
  <si>
    <t>Juno Therapeutics, Inc., a Bristol-Myers Squibb Company</t>
  </si>
  <si>
    <t>NCT05924321</t>
  </si>
  <si>
    <t>A Study to Evaluate the Effect of Carbetocin on the QT/QTc Interval in Healthy Subjects</t>
  </si>
  <si>
    <t>NCT06151535</t>
  </si>
  <si>
    <t>A Study to Evaluate the Safety and Effectiveness of ELAPR002f Injectable Gel for the Improvement of Skin Quality in Adult Participants</t>
  </si>
  <si>
    <t>NCT06175338</t>
  </si>
  <si>
    <t>Study, Evaluating Pharmacokinetics, Pharmacodynamics, Immunogenicity and Safety Profiles of Rituximab Compared to MabThera® in Patients With Rheumatoid Arthritis</t>
  </si>
  <si>
    <t>NCT06063343</t>
  </si>
  <si>
    <t>Evaluation of Safety, Tolerability, Pharmacokinetics, Food Effect and Interaction With Midazolam in Healthy Volunteers After Oral Single and Multiple Ascending Dosing of KAND145</t>
  </si>
  <si>
    <t>NCT06044493</t>
  </si>
  <si>
    <t>MYREPTIC-N® or MY-REPT® in Stable Patients After Kidney Transplant Recipients</t>
  </si>
  <si>
    <t>NCT04404049</t>
  </si>
  <si>
    <t>The HIV Functional Cure Potential of UB-421 in ART Stabilized HIV-1 Patients</t>
  </si>
  <si>
    <t>NCT06061549</t>
  </si>
  <si>
    <t>Modulation of SERCA2a of Intra-myocytic Calcium Trafficking in Heart Failure With Preserved Ejection Fraction</t>
  </si>
  <si>
    <t>NCT03338764</t>
  </si>
  <si>
    <t>An Investigational Study to Assess Efficacy and Pattern of Use of SM-1 in Subjects With a History of Transient Insomnia</t>
  </si>
  <si>
    <t>NCT05625399</t>
  </si>
  <si>
    <t>A Study of Subcutaneous Nivolumab + Relatlimab Fixed-dose Combination (FDC) in Previously Untreated Metastatic or Unresectable Melanoma</t>
  </si>
  <si>
    <t>NCT05293912</t>
  </si>
  <si>
    <t>SG2501 Safety Study in Subjects with Relapsed or Refractory Hematological Malignancies and Lymphoma.</t>
  </si>
  <si>
    <t>NCT05917912</t>
  </si>
  <si>
    <t>EASE (Efficacy of ATX01 Study in Erythromelalgia)</t>
  </si>
  <si>
    <t>NCT06061081</t>
  </si>
  <si>
    <t>A Study to Investigate the Antiviral Effect, Safety, Tolerability and Pharmacokinetics of VH3739937 in in Treatment-Naive Adults Living With HIV-1</t>
  </si>
  <si>
    <t>NCT05692492</t>
  </si>
  <si>
    <t>A Randomized, Double-blind, Placebo-controlled Study of ZSP1601 in Adult Subjects With Nonalcoholic Steatohepatitis (NASH)</t>
  </si>
  <si>
    <t>NCT05716100</t>
  </si>
  <si>
    <t>A Randomized Study of XEN1101 Versus Placebo in Focal-Onset Seizures (X-TOLE3)</t>
  </si>
  <si>
    <t>NCT05465798</t>
  </si>
  <si>
    <t>Beta-glucans for Hospitalised Patients With COVID-19</t>
  </si>
  <si>
    <t>Wohlstand Pharmaceutical</t>
  </si>
  <si>
    <t>NCT05718895</t>
  </si>
  <si>
    <t>A Study of ATG-022 in Patients With Advanced/Metastatic Solid Tumors</t>
  </si>
  <si>
    <t>NCT06152757</t>
  </si>
  <si>
    <t>BGT007H Cells for the Treatment of Recurrent/Refractory Gastrointestinal Tumors</t>
  </si>
  <si>
    <t>NCT05739981</t>
  </si>
  <si>
    <t>Phase II IMNN-001 (Also Known as GEN-1) on SLL With BEV and NACT, Newly Diagnosed Advanced Ovarian, Fallopian Tube or Primary Peritoneal Cancer</t>
  </si>
  <si>
    <t>Imunon</t>
  </si>
  <si>
    <t>NCT05565092</t>
  </si>
  <si>
    <t>Safety, Efficacy, Pharmacokinetic, and Pharmacodynamic Study of ALXN1820 in Adult Participants With Sickle Cell Disease</t>
  </si>
  <si>
    <t>NCT05702034</t>
  </si>
  <si>
    <t>A Study of Milvexian in Participants After an Acute Ischemic Stroke or High-Risk Transient Ischemic Attack- LIBREXIA-STROKE</t>
  </si>
  <si>
    <t>NCT06025409</t>
  </si>
  <si>
    <t>Evaluate the Efficacy and Safety of DWJ108J</t>
  </si>
  <si>
    <t>NCT07681375</t>
  </si>
  <si>
    <t>Evaluation of Basal Insulin Initialization and Titration in People With Type 2 Diabetes Wearing a Dexcom G6 Sensor</t>
  </si>
  <si>
    <t>DexCom, Inc.</t>
  </si>
  <si>
    <t>NCT05715528</t>
  </si>
  <si>
    <t>Study of Obeldesivir in Nonhospitalized Participants With COVID-19</t>
  </si>
  <si>
    <t>NCT06051357</t>
  </si>
  <si>
    <t>Proof of Concept Study to Assess the Efficacy, Safety of HRS-5965 in Patients With Paroxysmal Nocturnal Hemoglobinuria</t>
  </si>
  <si>
    <t>NCT05687864</t>
  </si>
  <si>
    <t>Study of Polyglycan Superparamagnetic Ferric Oxide Injection on Cardiovascular Magnetic Resonance Imaging</t>
  </si>
  <si>
    <t>NCT05848128</t>
  </si>
  <si>
    <t>Efficacy and Safety Evaluation of Tavilermide Ophthalmic Solution for the Treatment of Dry Eye</t>
  </si>
  <si>
    <t>Mimetogen Pharmaceuticals USA, Inc.</t>
  </si>
  <si>
    <t>NCT06275945</t>
  </si>
  <si>
    <t>Feasibility Study of A VoRo UrologIc ScaffolD (ARID)</t>
  </si>
  <si>
    <t>Levee Medical, Inc.</t>
  </si>
  <si>
    <t>NCT05846230</t>
  </si>
  <si>
    <t>Clairleafᵀᴹ: A Study to Test Long-term Treatment With BI 1291583 in People With Bronchiectasis Who Took Part in a Previous Study With This Medicine</t>
  </si>
  <si>
    <t>NCT06196736</t>
  </si>
  <si>
    <t>A Study to Evaluate 9MW2821 Versus Chemotherapy in Subjects With Previously Treated Locally Advanced or Metastatic Urothelial Cancer</t>
  </si>
  <si>
    <t>NCT05835011</t>
  </si>
  <si>
    <t>A Study of Oral Decitabine/Cedazuridine in Combination With Magrolimab in Participants With Intermediate- to Very High-Risk Myelodysplastic Syndromes (MDS)</t>
  </si>
  <si>
    <t>NCT06973681</t>
  </si>
  <si>
    <t>A Study of BGM0504 Evaluating Weight Loss in Overweight or Obese Chinese Subjects</t>
  </si>
  <si>
    <t>NCT05345509</t>
  </si>
  <si>
    <t>A Clinical Trial to Access Pharmacokinetic Profiles and Safety of IVL3003.</t>
  </si>
  <si>
    <t>NCT05934799</t>
  </si>
  <si>
    <t>Bioequivalence Study of Two Formulations of Clopidogrel Film-coated Tablets 75 mg in Healthy Male Subjects Under Fasting Conditions</t>
  </si>
  <si>
    <t>NCT05547464</t>
  </si>
  <si>
    <t>Safety and Immune Responses After Vaccination With Two Investigational RNA-based Vaccines Against Tuberculosis in BCG Vaccinated Volunteers</t>
  </si>
  <si>
    <t>NCT05744687</t>
  </si>
  <si>
    <t>Phase II/III Study of SPH4336 Combined With Letrozole vs Placebo Combined With Letrozole in First-line Treatment of Breast Cancer</t>
  </si>
  <si>
    <t>NCT05710198</t>
  </si>
  <si>
    <t>Efficacy of Citicoline Eye Drops 2% on Visual Field Preservation in Patients With Open Angle Glaucoma</t>
  </si>
  <si>
    <t>Omikron Italia S.r.l.</t>
  </si>
  <si>
    <t>NCT05834738</t>
  </si>
  <si>
    <t>Randomized, Double-blind, Placebo-controlled, Crossover Study of Atrasentan in Subjects With IgA Nephropathy</t>
  </si>
  <si>
    <t>NCT06315400</t>
  </si>
  <si>
    <t>Efficacy and Safety of Ingavirin®, Capsules, 60 mg, in Children With Influenza and Other Acute Respiratory Viral Infections</t>
  </si>
  <si>
    <t>NCT05622864</t>
  </si>
  <si>
    <t>Study on Single and Multiple Atomization Inhalation of HRS-9821 Suspension for Inhalation in Healthy Subjects and COPD Patients</t>
  </si>
  <si>
    <t>NCT05641493</t>
  </si>
  <si>
    <t>A Phase Ib/II Clinical Trial to Evaluate the Safety and Efficacy of HLX208+HLX10 in NSCLC With BRAF V600E Mutation</t>
  </si>
  <si>
    <t>NCT05859464</t>
  </si>
  <si>
    <t>A Phase 1 Study of ZL-1218 in Subjects With Advanced Solid Tumors</t>
  </si>
  <si>
    <t>NCT05168748</t>
  </si>
  <si>
    <t>CD19- and CD22-directed CAR-T Cell Therapy in Patients With Acute Lymphoblastic Leukemia</t>
  </si>
  <si>
    <t>NCT05627063</t>
  </si>
  <si>
    <t>A Study to Assess Safety, Tolerability, and Pharmacokinetics of ABSK121-NX in Patients With Advanced Solid Tumors</t>
  </si>
  <si>
    <t>NCT06091436</t>
  </si>
  <si>
    <t>To Investigate Efficacy and Safety of a Single Injection of GenSci094 for Ovarian Stimulation Using Daily Recombinant FSH as Reference</t>
  </si>
  <si>
    <t>NCT06256549</t>
  </si>
  <si>
    <t>A Study of GZR18 Injection in Chinese Patients With Type 2 Diabetes Mellitus</t>
  </si>
  <si>
    <t>NCT05755932</t>
  </si>
  <si>
    <t>Study to Assess Effect of Next-Generation Propellant MDI on Mucociliary Clearance Vs. HFA Propellant MDI in Healthy Participants</t>
  </si>
  <si>
    <t>NCT05689164</t>
  </si>
  <si>
    <t>A Study to Understand the Long-term Safety and Effects of an Experimental Gene Therapy for Duchenne Muscular Dystrophy.</t>
  </si>
  <si>
    <t>NCT05961956</t>
  </si>
  <si>
    <t>Study With NVDX3 for Treatment of Low Grade Degenerative Lumbar Spondylolisthesis</t>
  </si>
  <si>
    <t>NCT05890729</t>
  </si>
  <si>
    <t>A Study of XTMAB-16 in Patients With Pulmonary Sarcoidosis</t>
  </si>
  <si>
    <t>NCT04948554</t>
  </si>
  <si>
    <t>A Study of MK-2225 / ACE-1334 in Participants With Systemic Sclerosis With and Without Interstitial Lung Disease (MK-2225-002)</t>
  </si>
  <si>
    <t>NCT06336603</t>
  </si>
  <si>
    <t>A Study Assessing the Efficacy of Combined Use of Clascoterone 1% Cream and Adapalene 0.3% for the Treatment of Acne</t>
  </si>
  <si>
    <t>NCT05748483</t>
  </si>
  <si>
    <t>Comparative Study of Oral Atogepant Versus Oral Topiramate to Assess Adverse Events in Adult Participants With Migraine</t>
  </si>
  <si>
    <t>NCT05531656</t>
  </si>
  <si>
    <t>A Study to Evaluate the Safety and Efficacy of CT1812 in Early Alzheimer's Disease</t>
  </si>
  <si>
    <t>NCT06111586</t>
  </si>
  <si>
    <t>Frexalimab in Preservation of Endogenous Insulin Secretion Compared to Placebo in Adults, Adolescents and Children on Top of Insulin Therapy (FABULINUS)</t>
  </si>
  <si>
    <t>NCT05986266</t>
  </si>
  <si>
    <t>Evaluating Efficacy of Intravenous Carbetocin Versus Intramyometrial Injection of Adrenaline in Reducing Blood Loss</t>
  </si>
  <si>
    <t>NCT05954312</t>
  </si>
  <si>
    <t>A First-in-Human (FIH) Study to Evaluate the Safety and Tolerability of VVD-130037 in Participants With Advanced Solid Tumors</t>
  </si>
  <si>
    <t>Vividion Therapeutics, Inc.</t>
  </si>
  <si>
    <t>NCT05961592</t>
  </si>
  <si>
    <t>R-2487 in Patients With Rheumatoid Arthritis</t>
  </si>
  <si>
    <t>NCT05966272</t>
  </si>
  <si>
    <t>Efficacy and Safety of HRS9531 Injection in Type 2 Diabetes Subjects</t>
  </si>
  <si>
    <t>NCT05839301</t>
  </si>
  <si>
    <t>A Trial to Evaluate the Lot-to-lot Consistency of Live Attenuated Varicella Vaccine in Healthy People 1-12 Years of Age</t>
  </si>
  <si>
    <t>NCT05061277</t>
  </si>
  <si>
    <t>Study to Evaluate the Pharmacokinetics, Safety and Tolerability of Recifercept in Healthy Chinese Participants</t>
  </si>
  <si>
    <t>NCT06018428</t>
  </si>
  <si>
    <t>A Phase 2a Proof-of-Concept Trial of Bempikibart (ADX-914) for the Treatment of Severe Alopecia Areata (SIGNAL-AA)</t>
  </si>
  <si>
    <t>NCT06007781</t>
  </si>
  <si>
    <t>Safety and Immunogenicity of HIL-214 in Healthy Japanese Infants</t>
  </si>
  <si>
    <t>NCT05718219</t>
  </si>
  <si>
    <t>Safety, Tolerability, Pharmacokinetics and Preliminary Antitumor Activity of SIM0348 in Advanced Solid Tumors</t>
  </si>
  <si>
    <t>NCT05987072</t>
  </si>
  <si>
    <t>A Study to Learn How the Study Medicine Called Sisunatovir is Tolerated and Acts in the Bodies of Chinese Healthy Adults.</t>
  </si>
  <si>
    <t>NCT06094426</t>
  </si>
  <si>
    <t>Autologous Tumor Infiltrating Lymphocyte Injection for the Treatment of Advanced Solid Tumors</t>
  </si>
  <si>
    <t>NCT05078385</t>
  </si>
  <si>
    <t>Safety of Extracellular Vesicles for Burn Wounds</t>
  </si>
  <si>
    <t>Aegle Therapeutics</t>
  </si>
  <si>
    <t>NCT06140290</t>
  </si>
  <si>
    <t>A Sub Study to Evaluate the Study Medication (Etrasimod) Using Wearable Sensors in Healthy Participants</t>
  </si>
  <si>
    <t>NCT05741710</t>
  </si>
  <si>
    <t>A Study to Assess the Use of Methylone in the Treatment of PTSD</t>
  </si>
  <si>
    <t>Transcend Therapeutics</t>
  </si>
  <si>
    <t>NCT05932641</t>
  </si>
  <si>
    <t>Study of AZD3152 Intramuscular Injection or Intravenous Infusion in Healthy Japanese Adult Participants</t>
  </si>
  <si>
    <t>NCT06139341</t>
  </si>
  <si>
    <t>A Study in Healthy Japanese Men to Test How Well Different Doses of BI 765845 Are Tolerated</t>
  </si>
  <si>
    <t>NCT05693129</t>
  </si>
  <si>
    <t>Pediatric Patients Aged 1 to 6 Years With APDS</t>
  </si>
  <si>
    <t>NCT05728489</t>
  </si>
  <si>
    <t>A Study to Test How Well Different Doses of BI 765250 Are Tolerated by People With a Skin Disease Called Plaque Psoriasis</t>
  </si>
  <si>
    <t>NCT05952596</t>
  </si>
  <si>
    <t>A Study to Evaluate Safety and Immunogenicity of APV006 in Healthy Adults</t>
  </si>
  <si>
    <t>NCT05608291</t>
  </si>
  <si>
    <t>A Trial to See if the Combination of Fianlimab With Cemiplimab Works Better Than Pembrolizumab for Preventing or Delaying Melanoma From Coming Back After it Has Been Removed With Surgery</t>
  </si>
  <si>
    <t>NCT06047197</t>
  </si>
  <si>
    <t>Phase I Clinical Trial of RC19D2 Cell Injection in the Treatment of Diffuse Large B-cell Lymphoma</t>
  </si>
  <si>
    <t>Beijing Yongtai Ruike Biotechnology Company Ltd</t>
  </si>
  <si>
    <t>NCT05727397</t>
  </si>
  <si>
    <t>Efficacy and Safety of RC28-E Versus Aflibercept</t>
  </si>
  <si>
    <t>NCT06037031</t>
  </si>
  <si>
    <t>A Study to Learn How the Body Processes the Study Medicine Called PF-07923568 in People With Loss of Kidney Function</t>
  </si>
  <si>
    <t>NCT05907395</t>
  </si>
  <si>
    <t>A Study to Learn About the Study Medicine (PF-07293893) at Different Dose Levels in Healthy Adults</t>
  </si>
  <si>
    <t>NCT06437639</t>
  </si>
  <si>
    <t>MEXIDOL® Sequential Therapy of Patients With Primary Open-angle Glaucoma (POAG)</t>
  </si>
  <si>
    <t>NCT05891483</t>
  </si>
  <si>
    <t>Efficacy and Safety of SHR-1905 Injection in Patients With Chronic Rhinosinusitis With Nasal Polyps</t>
  </si>
  <si>
    <t>NCT05674929</t>
  </si>
  <si>
    <t>An Open-Label, Single Dose Study in Patients With Alcohol Use Disorder</t>
  </si>
  <si>
    <t>NCT05706753</t>
  </si>
  <si>
    <t>A Study of Milvexian in Healthy Adult Females</t>
  </si>
  <si>
    <t>NCT05610657</t>
  </si>
  <si>
    <t>A Pharmacokinetic Study of Mitapivat in Participants With Moderate Hepatic Impairment Compared to Matched Healthy Control Participants With Normal Hepatic Function</t>
  </si>
  <si>
    <t>NCT05836779</t>
  </si>
  <si>
    <t>A Study to Evaluate the Efficacy and Safety of CBL-514 in Participants With EFP; Cellulite (Stage 2)</t>
  </si>
  <si>
    <t>NCT05737069</t>
  </si>
  <si>
    <t>A Bioequivalence Study of Two Ibuprofen Arginine Granules 400 mg Formulations Under Fasting and Fed Conditions in Chinese Healthy Adult Subjects</t>
  </si>
  <si>
    <t>NCT06056323</t>
  </si>
  <si>
    <t>A Study of HB0045 Injection in Patients With Advanced Solid Tumors</t>
  </si>
  <si>
    <t>NCT05686759</t>
  </si>
  <si>
    <t>A Study to Investigate the Safety and Efficacy of Undiluted Intravenous Infusion of I.V.-Hepabig Inj.</t>
  </si>
  <si>
    <t>NCT05945537</t>
  </si>
  <si>
    <t>A Study of INI-822 in Healthy Volunteers and Participants with Non-alcoholic Steatohepatitis (NASH) or Presumed NASH</t>
  </si>
  <si>
    <t>Inipharm Australia Pty Ltd</t>
  </si>
  <si>
    <t>NCT06137469</t>
  </si>
  <si>
    <t>Assessment of Gastric Emptying by SHR20004 in Healthy Subjects</t>
  </si>
  <si>
    <t>NCT06143553</t>
  </si>
  <si>
    <t>Efficacy and Safety of Paclitaxel Polymeric Micelles for Injection in the Treatment of Metastatic Breast Cancer</t>
  </si>
  <si>
    <t>Shanghai Yizhong Pharmaceutical Co., Ltd.</t>
  </si>
  <si>
    <t>NCT06902103</t>
  </si>
  <si>
    <t>Pharmacokinetic Study of Single and Multiple Intravenous Administration of Nalbuphine Hydrochloride Injection in Healthy Chinese Volunteers</t>
  </si>
  <si>
    <t>NCT05799183</t>
  </si>
  <si>
    <t>A SHR-1210 BE Study on Healthy Subjects</t>
  </si>
  <si>
    <t>NCT05802342</t>
  </si>
  <si>
    <t>A Multicenter, Randomized, Double-blind Phase II Trial to Evaluate GM1 Prevention of Peripheral Neuropathy in Patients With Breast Cancer</t>
  </si>
  <si>
    <t>NCT07439848</t>
  </si>
  <si>
    <t>Mesenchymal Stem Cells (MSCs) and Conditioned Medium Mesenchymal Stem Cells as Adjuvant Therapy for Sepsis</t>
  </si>
  <si>
    <t>NCT07186387</t>
  </si>
  <si>
    <t>Study of LW402 in Moderate-to-Severe Atopic Dermatitis</t>
  </si>
  <si>
    <t>NCT05642949</t>
  </si>
  <si>
    <t>Study of MHB036C in Participants With Advanced or Metastatic Solid Tumors</t>
  </si>
  <si>
    <t>NCT05879978</t>
  </si>
  <si>
    <t>A Study to Test How Well Different Doses of Obrixtamig (BI 764532) in Combination With Ezabenlimab Are Tolerated by People With Small Cell Lung Cancer and Other Neuroendocrine Tumours That Are Positive for DLL3</t>
  </si>
  <si>
    <t>NCT05867563</t>
  </si>
  <si>
    <t>Clinical Trial Evaluating the Safety of the TQB2103 for Injection</t>
  </si>
  <si>
    <t>NCT06002555</t>
  </si>
  <si>
    <t>Relative Bioavailability of a New Presentation of Apraglutide Versus the Reference Formulation</t>
  </si>
  <si>
    <t>NCT05925114</t>
  </si>
  <si>
    <t>Safety and Efficacy Study of S-309309 in Obese Adults</t>
  </si>
  <si>
    <t>NCT05804708</t>
  </si>
  <si>
    <t>Phase 2 Clinical Trial of GH001 in Postpartum Depression</t>
  </si>
  <si>
    <t>NCT05819398</t>
  </si>
  <si>
    <t>Lunsayil 1: A Study to Test Whether Spesolimab Helps People With a Skin Disease Called Hidradenitis Suppurativa</t>
  </si>
  <si>
    <t>NCT05146284</t>
  </si>
  <si>
    <t>Study to Assess PXL770 in Subjects With Adrenomyeloneuropathy (AMN) Form of X-linked Adrenoleukodystrophy (X-ALD or ALD)</t>
  </si>
  <si>
    <t>NCT07394452</t>
  </si>
  <si>
    <t>Single Ascending Dose Study(SAD),Multiple Ascending Dose Study(MAD) , High-fat Diet Study (FE) of TJ0113 Capsules in Healthy Subjects</t>
  </si>
  <si>
    <t>Hangzhou PhecdaMed Co., Ltd.</t>
  </si>
  <si>
    <t>NCT05767047</t>
  </si>
  <si>
    <t>A Study of Apremilast in Children With Oral Ulcers Associated With Behçet's Disease or Juvenile Psoriatic Arthritis</t>
  </si>
  <si>
    <t>NCT05968326</t>
  </si>
  <si>
    <t>A Study of the Efficacy and Safety of Adjuvant Autogene Cevumeran Plus Atezolizumab and mFOLFIRINOX Versus mFOLFIRINOX Alone in Participants With Resected PDAC</t>
  </si>
  <si>
    <t>NCT05970978</t>
  </si>
  <si>
    <t>A Study of IBI112 in Chinese Patients With Psoriasis Who Were Previously Treated With Biologics</t>
  </si>
  <si>
    <t>NCT05885763</t>
  </si>
  <si>
    <t>Pharmacokinetics of Intravenous Difelikefalin in Chinese Adult Subjects on Haemodialysis</t>
  </si>
  <si>
    <t>NCT06150014</t>
  </si>
  <si>
    <t>A Clinical Study of TQA3605 Tablets Monotherapy or in Combination With Nucleoside (Acid) Analogues in Treatment Naive and Treated Patients With Chronic Hepatitis B</t>
  </si>
  <si>
    <t>NCT06124547</t>
  </si>
  <si>
    <t>Bioequivalence Study of Sitagliptin Hydrochloride / Metformin Hydrochloride Extended-release Film Coated Tablets 50 mg /500 mg (FDC) in Healthy Adult Male and Female Subjects Under Fed Conditions.</t>
  </si>
  <si>
    <t>NCT05157958</t>
  </si>
  <si>
    <t>Study to Evaluate Safety and Efficacy of ALLO-ASC-SHEET in Subjects With Dystrophic Epidermolysis Bullosa</t>
  </si>
  <si>
    <t>NCT06143787</t>
  </si>
  <si>
    <t>Effect of TXA Oral Sol 5% in Patients Treated With DOACs or VKA and Undergoing a Single or Multiple Tooth Extraction</t>
  </si>
  <si>
    <t>Hyloris Developments</t>
  </si>
  <si>
    <t>NCT05972733</t>
  </si>
  <si>
    <t>Serologic Assay Validation and Proficiency Testing of HIL-214 in Adults</t>
  </si>
  <si>
    <t>NCT05972278</t>
  </si>
  <si>
    <t>Investigating the Effect of Obicetrapib on Lipoprotein Metabolism</t>
  </si>
  <si>
    <t>NCT06025578</t>
  </si>
  <si>
    <t>A Study to Evaluate the Efficacy, Safety, and Tolerability of BMS-986278 in Participants With Progressive Pulmonary Fibrosis</t>
  </si>
  <si>
    <t>NCT05920408</t>
  </si>
  <si>
    <t>Study to Assess EXS21546 in Combination in Patients With Advanced Solid Tumours</t>
  </si>
  <si>
    <t>NCT06155487</t>
  </si>
  <si>
    <t>A Study to Investigate the Safety, Tolerability, Pharmacokinetics and Pharmacodynamics After Oral Administration of AJH-2947 in Healthy Korean and/or Caucasian Adult Male Subjects</t>
  </si>
  <si>
    <t>JMackem Co., Ltd</t>
  </si>
  <si>
    <t>NCT05615363</t>
  </si>
  <si>
    <t>A Dose-ranging Trial of OPC-131461 in Cardiac Edema (Congestive Heart Failure [CHF])</t>
  </si>
  <si>
    <t>NCT05730621</t>
  </si>
  <si>
    <t>A Study to Compare the Effects of Sarpogrelate Sustained Release /Aspirin Combination Therapy Versus Aspirin on Blood Viscosity in the Patients With Peripheral Arterial Disease and Coronary Artery Disease</t>
  </si>
  <si>
    <t>NCT05606614</t>
  </si>
  <si>
    <t>A Phase 1/2/3 Study of TSHA-102 Gene Therapy in Females With Rett Syndrome (REVEAL Pivotal Study)</t>
  </si>
  <si>
    <t>NCT06096974</t>
  </si>
  <si>
    <t>Pan-RAS Inhibitor YL-17231 in Patients With Advanced Solid Tumors Harboring Mutations in KRAS, HRAS, or NRAS</t>
  </si>
  <si>
    <t>NCT05734482</t>
  </si>
  <si>
    <t>Pharmacokinetic, Safety and Immunogenicity Study of CMAB015 and Cosentyx in Healthy Volunteers</t>
  </si>
  <si>
    <t>NCT06104449</t>
  </si>
  <si>
    <t>A Study of Opevesostat (MK-568)4 in Japanese Participants With Metastatic Castration-resistant Prostate Cancer (mCRPC) (MK-5684-005)</t>
  </si>
  <si>
    <t>NCT04505358</t>
  </si>
  <si>
    <t>Evaluate PU-AD in Subjects With Amyotrophic Lateral Sclerosis</t>
  </si>
  <si>
    <t>NCT06011291</t>
  </si>
  <si>
    <t>A Study of SYH2051 Monotherapy in Advanced Solid Tumors or in Combination With Radiotherapy in Locally Advanced Head and Neck Cancer</t>
  </si>
  <si>
    <t>NCT05828589</t>
  </si>
  <si>
    <t>A Study of BGB-21447, a Bcl-2 Inhibitor, in Mature B-Cell Malignancies</t>
  </si>
  <si>
    <t>NCT06137768</t>
  </si>
  <si>
    <t>A Trial of HRS-5965 Tablets in Primary IgA Nephropathy</t>
  </si>
  <si>
    <t>NCT05996848</t>
  </si>
  <si>
    <t>A Research Study to See How Well CagriSema Helps People in China With Excess Body Weight Lose Weight</t>
  </si>
  <si>
    <t>NCT05819710</t>
  </si>
  <si>
    <t>A Study to Investigate the Next-day Residual Effects of TS-142 in Healthy Elderly Subjects</t>
  </si>
  <si>
    <t>NCT06107413</t>
  </si>
  <si>
    <t>Study to Assess Adverse Events and Change in Disease Activity in Previously Treated Adult Participants Receiving Intravenous (IV) ABBV-400 With Unresectable Metastatic Colorectal Cancer in Combination With IV Fluorouracil, Folinic Acid, and Bevacizumab</t>
  </si>
  <si>
    <t>NCT05910450</t>
  </si>
  <si>
    <t>A Study to Evaluate the Efficacy and Safety of Clascoterone Solution in Treatment of Male Pattern Hair Loss</t>
  </si>
  <si>
    <t>NCT05892718</t>
  </si>
  <si>
    <t>A Safety and Efficacy Study of HCB101, Fc-fusion Protein Targeting SIRPα-CD47 Pathway, in Solid or Hematological Tumors</t>
  </si>
  <si>
    <t>FBD Biologics Limited</t>
  </si>
  <si>
    <t>NCT05364580</t>
  </si>
  <si>
    <t>The Efficacy and Safety Study of Protoxin Versus Botox® in Subjects With Moderate to Severe Glabellar Lines</t>
  </si>
  <si>
    <t>NCT06018558</t>
  </si>
  <si>
    <t>Study to Assess the Safety and Efficacy of OCU410 for Geographic Atrophy</t>
  </si>
  <si>
    <t>NCT05687526</t>
  </si>
  <si>
    <t>A Study of Telitacicept in Subjects With Childhood-onset Systemic Lupus Erythematosus</t>
  </si>
  <si>
    <t>NCT06087640</t>
  </si>
  <si>
    <t>A Clinical Study to Evaluate the Efficacy, Safety and Immunogenicity of an Adjuvanted Influenza Vaccine Compared to a Non-adjuvanted Influenza Vaccine in Adults ≥65 Years of Age</t>
  </si>
  <si>
    <t>NCT05933525</t>
  </si>
  <si>
    <t>Clinical Study to Assess the Efficacy of Once-daily IMM-124E (Travelan®) in a Controlled Human Infection Model.</t>
  </si>
  <si>
    <t>Immuron Ltd.</t>
  </si>
  <si>
    <t>NCT06112340</t>
  </si>
  <si>
    <t>Extension Study of Two Doses of Linsitinib in Subjects With Active, Moderate to Severe Thyroid Eye Disease (TED)</t>
  </si>
  <si>
    <t>NCT06371326</t>
  </si>
  <si>
    <t>A Study of ZT002 Injection in Participants With Overweight or Obesity</t>
  </si>
  <si>
    <t>Beijing QL Biopharmaceutical Co.,Ltd</t>
  </si>
  <si>
    <t>NCT05829616</t>
  </si>
  <si>
    <t>A Phase I Study of QLS12004 in Patients With Advanced Solid Tumors</t>
  </si>
  <si>
    <t>NCT05682638</t>
  </si>
  <si>
    <t>A Global Multi-center Clinical Study of SARS-CoV-2 mRNA Vaccine for the Prevention of COVID-19</t>
  </si>
  <si>
    <t>NCT07304843</t>
  </si>
  <si>
    <t>A Two-part Study to Investigate the Effects in Adults of Two Doses of Golexanolone in Patients With Primary Biliary Cholangitis (PBC) With Fatigue and Cognitive Dysfunction</t>
  </si>
  <si>
    <t>Umecrine Cognition AB</t>
  </si>
  <si>
    <t>NCT05970016</t>
  </si>
  <si>
    <t>A Phase I/II Clinical Study in Patients with Advanced Solid Tumor.</t>
  </si>
  <si>
    <t>NCT05722418</t>
  </si>
  <si>
    <t>CRISPR-Edited Allogeneic Anti-BCMA CAR-T Cell Therapy in Patients With Relapsed/Refractory Multiple Myeloma</t>
  </si>
  <si>
    <t>NCT04883918</t>
  </si>
  <si>
    <t>ASC930 in Patients With Steroid-Refractory Acute Graft Versus Host Disease (SR-aGVHD)</t>
  </si>
  <si>
    <t>NCT06858618</t>
  </si>
  <si>
    <t>FCN-338 in Combination With Azacitidine or Chemotherapy in Myeloid Neoplasms</t>
  </si>
  <si>
    <t>NCT04586660</t>
  </si>
  <si>
    <t>Study of XGEVA® (Denosumab) in Chinese Adults and Skeletally Mature Adolescents With Giant Cell Tumor of the Bone</t>
  </si>
  <si>
    <t>NCT06110923</t>
  </si>
  <si>
    <t>A Clinical Trial to Compare and Evaluate Evaluate the Pharmacokinetics and Safety of CKD-846</t>
  </si>
  <si>
    <t>NCT04233190</t>
  </si>
  <si>
    <t>A Multicenter, Randomized, Parallel, Two-period, Non-inferiority Study of EurofarmavsAlenia in Asthma and COPD Treatment</t>
  </si>
  <si>
    <t>NCT05815160</t>
  </si>
  <si>
    <t>Debio 0123 in Combination With Carboplatin and Etoposide in Adult Participants With Small Cell Lung Cancer That Recurred or Progressed After Previous Standard Platinum-Based Therapy</t>
  </si>
  <si>
    <t>NCT05912049</t>
  </si>
  <si>
    <t>A Study to Evaluate the Safety, Tolerability, Pharmacokinetic Properties and Immunogenicity of 9MW3811 in Healthy Subjects</t>
  </si>
  <si>
    <t>NCT05737576</t>
  </si>
  <si>
    <t>The Pharmacokinetics and Pharmacodynamics Between HR011408 and NovoRapid® in Healthy Subject</t>
  </si>
  <si>
    <t>NCT05850520</t>
  </si>
  <si>
    <t>A Study to Learn How Well a Higher Amount of Aflibercept Given as an Injection Into the Eye Works and How Safe it is in People With Reduced Vision Due to Swelling in the Macula, Central Part of the Retina Caused by a Blocked Vein in the Retina (Macula Edema Secondary to Retinal Vein Occlusion)</t>
  </si>
  <si>
    <t>NCT05842785</t>
  </si>
  <si>
    <t>TSN222 in Subjects With Advanced Solid Tumors or Lymphomas</t>
  </si>
  <si>
    <t>NCT06242535</t>
  </si>
  <si>
    <t>Pilot Study of GLY-LOW Supplementation in Postmenopausal Women With Obesity</t>
  </si>
  <si>
    <t>Hoskinson Health and Wellness Clinic</t>
  </si>
  <si>
    <t>NCT05867147</t>
  </si>
  <si>
    <t>An Electrocardiogram Study to Evaluate the Effect of Vanzacaftor on the QT/QTc Interval in Healthy Participants</t>
  </si>
  <si>
    <t>NCT06028425</t>
  </si>
  <si>
    <t>A Study to Evaluate the Effect of Food on LOXO-783 in Healthy Participants</t>
  </si>
  <si>
    <t>NCT06616389</t>
  </si>
  <si>
    <t>Study of ODX (OsteoDex) in Multiple Myeloma</t>
  </si>
  <si>
    <t>DexTech Medical AB</t>
  </si>
  <si>
    <t>NCT06001918</t>
  </si>
  <si>
    <t>Nectero EAST System Clinical Study</t>
  </si>
  <si>
    <t>Nectero Medical, Inc.</t>
  </si>
  <si>
    <t>NCT06379542</t>
  </si>
  <si>
    <t>Efficacy and Safety of XC8, Film-coated Tablets, in Children With Acute Respiratory Viral Infections</t>
  </si>
  <si>
    <t>NCT05728541</t>
  </si>
  <si>
    <t>Dose Escalation and Expansion Study of SYH2043 in Patients With Advanced Malignant Tumors</t>
  </si>
  <si>
    <t>NCT06305637</t>
  </si>
  <si>
    <t>A Study Comparing Ketoconazole Shampoo, 2% and Ketoconazole 2% Shampoo (RS) in the Treatment of Tinea Versicolor.</t>
  </si>
  <si>
    <t>NCT05966688</t>
  </si>
  <si>
    <t>A Study to Evaluate the Effect of Co-administration on the Pharmacokinetics of SPR720, Azithromycin, and Ethambutol in Healthy Participants</t>
  </si>
  <si>
    <t>NCT06167486</t>
  </si>
  <si>
    <t>SG2918 For Advanced Malignant Tumors</t>
  </si>
  <si>
    <t>NCT06160531</t>
  </si>
  <si>
    <t>Influenza Viral Challenge Study of CC-42344 in Healthy Participants</t>
  </si>
  <si>
    <t>NCT05952869</t>
  </si>
  <si>
    <t>A Study of Enlicitide Decanoate (MK-0616 Oral PCSK9 Inhibitor) in Adults With Heterozygous Familial Hypercholesterolemia (MK-0616-017/CORALreef HeFH)</t>
  </si>
  <si>
    <t>NCT05638802</t>
  </si>
  <si>
    <t>A Study of DS-7011a in Patients With Systemic Lupus Erythematosus</t>
  </si>
  <si>
    <t>NCT06113445</t>
  </si>
  <si>
    <t>A Study to Evaluate Efficacy and Safety of Povorcitinib in Participants With Nonsegmental Vitiligo (STOP-V1)</t>
  </si>
  <si>
    <t>NCT06475872</t>
  </si>
  <si>
    <t>Study to Evaluate the Bioequivalence of "Crecheck Tablet 2.5 mg (Rosuvastatin Calcium)" and "Crestor Tablet 5 mg (Rosuvastatin Calcium)" in Healthy Adult Subjects</t>
  </si>
  <si>
    <t>NCT06043297</t>
  </si>
  <si>
    <t>Bioequivalence Study of Two Products of Apixaban 5mg Tablets in Healthy, Adult, Human Subjects</t>
  </si>
  <si>
    <t>NCT05867420</t>
  </si>
  <si>
    <t>A Study of ASKG915 in Patients With Selected Advanced Solid Tumors.</t>
  </si>
  <si>
    <t>NCT07382531</t>
  </si>
  <si>
    <t>OH2 Injection in Combination With BS006 Injection for Advanced Solid Tumors</t>
  </si>
  <si>
    <t>NCT06005402</t>
  </si>
  <si>
    <t>Safety, Tolerability, and Pharmacokinetics of CSX-1004</t>
  </si>
  <si>
    <t>Cessation Therapeutics, Inc.</t>
  </si>
  <si>
    <t>NCT06085053</t>
  </si>
  <si>
    <t>A Clinical Trial of TQA3038 Injection in Healthy Adult Subjects</t>
  </si>
  <si>
    <t>NCT05900141</t>
  </si>
  <si>
    <t>An Open Label Extension (OLE) Study to Evaluate Long-term Safety and Tolerability of Pelacarsen (TQJ230)</t>
  </si>
  <si>
    <t>NCT06065722</t>
  </si>
  <si>
    <t>Prevention of Breakthrough CINV in Patients Receiving Moderately or Highly Emetogenic Chemotherapy</t>
  </si>
  <si>
    <t>Simon Williamson Clinic</t>
  </si>
  <si>
    <t>NCT06165822</t>
  </si>
  <si>
    <t>A Study to Evaluate Drug-Drug Interaction of TQB3909 Tablets</t>
  </si>
  <si>
    <t>NCT06128694</t>
  </si>
  <si>
    <t>Effect of NUTRICAN to Improve Nutritional Status in Cancer Patients</t>
  </si>
  <si>
    <t>Kalbe International Pte. Ltd</t>
  </si>
  <si>
    <t>NCT05485753</t>
  </si>
  <si>
    <t>A Study of GNC-038, a Tetra-specific Antibody, in Patients With Central Nervous System Lymphoma (PCNSL) and Relapsed or Refractory Secondary Central Nervous System Lymphoma (SCNSL)</t>
  </si>
  <si>
    <t>NCT05667142</t>
  </si>
  <si>
    <t>A Study to Evaluate XEN1101 as Adjunctive Therapy in Primary Generalized Tonic-Clonic Seizures</t>
  </si>
  <si>
    <t>NCT06247605</t>
  </si>
  <si>
    <t>A Phase IIII Study of AL8326 in Small Cell Lung Cancer</t>
  </si>
  <si>
    <t>NCT06219941</t>
  </si>
  <si>
    <t>AZD0901 in Participants With Advanced Solid Tumours Expressing Claudin18.2</t>
  </si>
  <si>
    <t>NCT05568680</t>
  </si>
  <si>
    <t>SynKIR-110 for Mesothelin Expressing Ovarian Cancer, Cholangiocarcinoma or Mesothelioma</t>
  </si>
  <si>
    <t>Verismo Therapeutics</t>
  </si>
  <si>
    <t>NCT05834296</t>
  </si>
  <si>
    <t>Study in Subjects With Mild-to-Moderate Alzheimer's Dementia</t>
  </si>
  <si>
    <t>NCT06186583</t>
  </si>
  <si>
    <t>A Mass Balance Study of [14C]ABSK021</t>
  </si>
  <si>
    <t>NCT06008756</t>
  </si>
  <si>
    <t>Enlicitide Decanoate (MK-0616 Oral PCSK9 Inhibitor) Cardiovascular Outcomes Study (MK-0616-015) CORALreef Outcomes</t>
  </si>
  <si>
    <t>NCT05948059</t>
  </si>
  <si>
    <t>Safety and Tolerance of Increased Doses of SHR-2106 Injection in Healthy Subjects</t>
  </si>
  <si>
    <t>NCT05884554</t>
  </si>
  <si>
    <t>A Study to Learn About How Loss of Liver Function Affects the Blood Levels of the Study Medicine Called PF-07817883.</t>
  </si>
  <si>
    <t>NCT05056779</t>
  </si>
  <si>
    <t>Efficacy and Safety of Nemolizumab in Subjects With Moderate-to-Severe Atopic Dermatitis With Inadequate Response to or for Whom Cyclosporine A is Not Medically Advisable</t>
  </si>
  <si>
    <t>NCT06006169</t>
  </si>
  <si>
    <t>A Study of BL-B01D1, SI-B003 and BL-B01D1+SI-B003 in Patients With Recurrent or Metastatic Head and Neck Squamous Cell Carcinoma and Other Solid Tumors</t>
  </si>
  <si>
    <t>NCT06102083</t>
  </si>
  <si>
    <t>A Clinical Trial on the Treatment of Idiopathic Pulmonary Fibrosis</t>
  </si>
  <si>
    <t>NCT05896683</t>
  </si>
  <si>
    <t>A Study of Lazertinib (JNJ-73841937) Tablet in Healthy Adult Participants</t>
  </si>
  <si>
    <t>NCT05972954</t>
  </si>
  <si>
    <t>OMT-28 in Patients With Primary Mitochondrial Disease (PMD) (PMD-OPTION)</t>
  </si>
  <si>
    <t>Omeicos Therapeutics GmbH</t>
  </si>
  <si>
    <t>NCT06084988</t>
  </si>
  <si>
    <t>A Study to Evaluate the Safety of Human Allogeneic Bone-Marrow-Derived Mesenchymal Stromal Cell Product StromaForte for the Treatment of Knee Osteoarthritis</t>
  </si>
  <si>
    <t>Cellcolabs Clinical SPV Limited</t>
  </si>
  <si>
    <t>NCT05126966</t>
  </si>
  <si>
    <t>A Study Of The Effectiveness And Safety Of A 36-Week Refill Regimen For The Port Delivery System With Ranibizumab Vs Aflibercept Treat &amp; Extend In Subjects With Neovascular Age-Related Macular Degeneration</t>
  </si>
  <si>
    <t>NCT06038279</t>
  </si>
  <si>
    <t>Trial of INI-2004 in Healthy Volunteers and Participants With Allergic Rhinitis.</t>
  </si>
  <si>
    <t>Inimmune Corporation</t>
  </si>
  <si>
    <t>NCT05899829</t>
  </si>
  <si>
    <t>Evaluation of the Effect of Rifampin and Rabeprazole on the Pharmacokinetics of Camlipixant</t>
  </si>
  <si>
    <t>NCT05758922</t>
  </si>
  <si>
    <t>Phase 2 Study Evaluating the Safety, Tolerability, Pharmacokinetics and Pharmacodynamics of Oral AZ-3102 in Patients With GM2 Gangliosidosis or Niemann-Pick Type C Disease</t>
  </si>
  <si>
    <t>Azafaros B.V.</t>
  </si>
  <si>
    <t>NCT05779995</t>
  </si>
  <si>
    <t>A Study To Evaluate the Safety of XW001 Inhalation in Children With RSV</t>
  </si>
  <si>
    <t>NCT05863130</t>
  </si>
  <si>
    <t>A Study in Healthy Men to Test How BI 764198 is Processed in the Body</t>
  </si>
  <si>
    <t>NCT05784441</t>
  </si>
  <si>
    <t>A Study of JNJ-90009530 in Relapsed or Refractory B-Cell Non-Hodgkin Lymphoma (r/r B-NHL)</t>
  </si>
  <si>
    <t>NCT05486728</t>
  </si>
  <si>
    <t>Phase II Study of SHJ002 Sterile Ophthalmic Solution Compared With Vehicle in Participants With Dry Eye Disease</t>
  </si>
  <si>
    <t>Dreamhawk Vision Biotech, Inc.</t>
  </si>
  <si>
    <t>NCT05853354</t>
  </si>
  <si>
    <t>Comparative Efficacy, Safety, PK, and Immunogenicity Study</t>
  </si>
  <si>
    <t>NCT05614531</t>
  </si>
  <si>
    <t>Clinical Trial to Assess the Safety and Efficacy of EXG001-307 in Patients with Spinal Muscular Atrophy Type 1</t>
  </si>
  <si>
    <t>NCT06075810</t>
  </si>
  <si>
    <t>A Study of Oral MBQ-167 in Participants With Advanced Breast Cancer</t>
  </si>
  <si>
    <t>MBQ Pharma</t>
  </si>
  <si>
    <t>NCT05878860</t>
  </si>
  <si>
    <t>ATSN-201 Gene Therapy in RS1-Associated X-linked Retinoschisis</t>
  </si>
  <si>
    <t>Atsena Therapeutics Inc.</t>
  </si>
  <si>
    <t>NCT06019013</t>
  </si>
  <si>
    <t>A Study of QLF3108 in Participants With Advanced Solid Tumor</t>
  </si>
  <si>
    <t>NCT04482413</t>
  </si>
  <si>
    <t>Study to Evaluate the Safety and Efficacy of AstroStem in Treatment of Alzheimer's Disease</t>
  </si>
  <si>
    <t>NCT06008379</t>
  </si>
  <si>
    <t>A Study of 7MW3711 in Subjects With Advanced Solid Tumors</t>
  </si>
  <si>
    <t>NCT05662241</t>
  </si>
  <si>
    <t>A Phase 3 Study of Obexelimab in Patients With IgG4-Related Disease</t>
  </si>
  <si>
    <t>NCT06156280</t>
  </si>
  <si>
    <t>A Clinical Study of TQH2929 in Healthy Adult Subjects</t>
  </si>
  <si>
    <t>NCT06071988</t>
  </si>
  <si>
    <t>Long Term Efficacy and Tolerability of AP707 in Patients With Chronic Pain Due to Traumatic or Post-operative Peripheral Neuropathy</t>
  </si>
  <si>
    <t>NCT05919823</t>
  </si>
  <si>
    <t>A Study to Assess the Efficacy and Safety of KarXT in Acutely Psychotic Hospitalized Chinese Adult Subjects With DSM-5 Schizophrenia</t>
  </si>
  <si>
    <t>NCT06360796</t>
  </si>
  <si>
    <t>Study of Pharmacokinetics and Metabolism on [(14)C]ADC189</t>
  </si>
  <si>
    <t>NCT05747573</t>
  </si>
  <si>
    <t>A Study to Compare Pharmacokinetics of GB1211</t>
  </si>
  <si>
    <t>NCT05925803</t>
  </si>
  <si>
    <t>Determine Effectiveness of Anifrolumab In SYstemic Sclerosis (DAISY)</t>
  </si>
  <si>
    <t>NCT05903924</t>
  </si>
  <si>
    <t>Motion Serifos: A Study to Investigate the Efficacy of Tradipitant in Participants Affected by Motion Sickness</t>
  </si>
  <si>
    <t>NCT05814627</t>
  </si>
  <si>
    <t>Study to Assess Change in Disease Activity and Adverse Events of Oral Upadacitinib Compared to Subcutaneous Adalimumab in Adult Participants With Moderate to Severe Rheumatoid Arthritis</t>
  </si>
  <si>
    <t>NCT06022861</t>
  </si>
  <si>
    <t>A Study to Compare the Efficacy and Safety of LY01015 and Opdivo® Combined Respectively With Chemotherapy in Advanced or Metastatic Esophageal Squamous Cell Carcinoma</t>
  </si>
  <si>
    <t>NCT05746559</t>
  </si>
  <si>
    <t>ARTEMIS: Ravulizumab to Protect Patients With CKD From CSA-AKI and MAKE</t>
  </si>
  <si>
    <t>NCT05821959</t>
  </si>
  <si>
    <t>Gene Therapy Trial for Otoferlin Gene-mediated Hearing Loss</t>
  </si>
  <si>
    <t>Akouos, Inc.</t>
  </si>
  <si>
    <t>NCT06314880</t>
  </si>
  <si>
    <t>Safety, Tolerability, and Immunogenicity of Recombinant Meningococcal Group B Vaccine (E.Coli)</t>
  </si>
  <si>
    <t>NCT06065540</t>
  </si>
  <si>
    <t>A Research Study to See How Well CagriSema Compared to Semaglutide, Cagrilintide and Placebo Lowers Blood Sugar and Body Weight in People With Type 2 Diabetes Treated With Metformin With or Without an SGLT2 Inhibitor</t>
  </si>
  <si>
    <t>NCT05711797</t>
  </si>
  <si>
    <t>Pharmacokinetic Characteristics of Subjects with Hepatic Insufficiency and Healthy Subjects</t>
  </si>
  <si>
    <t>NCT05725018</t>
  </si>
  <si>
    <t>A Phase 3b Study for the Treatment of Dystrophic Epidermolysis Bullosa (DEB) in New and Previously EB-101 Treated Patients</t>
  </si>
  <si>
    <t>NCT06902090</t>
  </si>
  <si>
    <t>Safety, Tolerability and Pharmacokinetics of Meloxicam Nanocrystal Injection in Healthy Subjects</t>
  </si>
  <si>
    <t>NCT06094556</t>
  </si>
  <si>
    <t>An Open Phase I Clinical Trial of SHR-1826 for Injection in Patients With Advanced Solid Tumors</t>
  </si>
  <si>
    <t>NCT05849922</t>
  </si>
  <si>
    <t>A Study to Test the Efficacy and Safety of SAR442970 in Adults With Hidradenitis Suppurativa</t>
  </si>
  <si>
    <t>NCT06415305</t>
  </si>
  <si>
    <t>A Study Evaluating the Efficacy and Safety of Clascoterone Cream 1% in Skin of Color Patients With Acne</t>
  </si>
  <si>
    <t>NCT05889273</t>
  </si>
  <si>
    <t>ML-004 Open-Label Extension Study in Adults and Adolescents With Autism Spectrum Disorders (ASD)</t>
  </si>
  <si>
    <t>NCT05650242</t>
  </si>
  <si>
    <t>A Trial to Evaluate Safety, Tolerability, Pharmacokinetics and Preliminary Efficacy of BA1106 in Advanced Solid Tumors</t>
  </si>
  <si>
    <t>NCT06076486</t>
  </si>
  <si>
    <t>A Clinical Trial to Evaluate Efficacy and Safety of Elagolix Tablets in Women With Moderate or Severe Endometriosis-associated Pain</t>
  </si>
  <si>
    <t>NCT05878769</t>
  </si>
  <si>
    <t>A Study to Evaluate the Long-Term Safety of Astegolimab in Participants With Chronic Obstructive Pulmonary Disease (COPD)</t>
  </si>
  <si>
    <t>NCT05997641</t>
  </si>
  <si>
    <t>Evaluating the Safety, Tolerability, and Pharmacokinetics of DF-003 in Healthy Subjects</t>
  </si>
  <si>
    <t>Shanghai Yao Yuan Biotechnology Ltd. (also known as Drug Farm)</t>
  </si>
  <si>
    <t>NCT05787613</t>
  </si>
  <si>
    <t>A Clinical Study to Evaluate the Efficacy and Safety of HLX26 (Anti-LAG-3 Monoclonal Antibody Injection) Combined With Serplulimab and Chemotherapy in Previously Untreated Advanced NSCLC Patients</t>
  </si>
  <si>
    <t>NCT05937386</t>
  </si>
  <si>
    <t>Drug-Drug Interaction Study With AGMB-129 and Midazolam in Healthy Participants</t>
  </si>
  <si>
    <t>NCT06616727</t>
  </si>
  <si>
    <t>The Safety and Efficacy of SNC-109 CAR-T Cells Therapy the rGBM</t>
  </si>
  <si>
    <t>NCT05998941</t>
  </si>
  <si>
    <t>A Trial of TQB2868 Plus Platinum-based Chemotherapy With or Without Bevacizumab in the First-line Treatment of Persistent, Recurrent, or Metastatic Cervical Cancer</t>
  </si>
  <si>
    <t>NCT04808505</t>
  </si>
  <si>
    <t>A Study to Evaluate the Safety, Efficacy, PK, PD and Immunogenicity of Cipaglucosidase Alfa/Miglustat in IOPD Subjects Aged 0 to &lt;18</t>
  </si>
  <si>
    <t>NCT06167694</t>
  </si>
  <si>
    <t>Clinical Study of HRS-8080 in Combination With Dalpiciclib Isethionate Tablets in Patients With Unresectable or Metastatic Breast Cancer</t>
  </si>
  <si>
    <t>NCT05721729</t>
  </si>
  <si>
    <t>Effect of Mizagliflozin Repeat Dosing on Adverse Events and Postprandial Glucose Excursions</t>
  </si>
  <si>
    <t>NCT06184269</t>
  </si>
  <si>
    <t>A Study to Evaluate the Pharmacokinetics and the Safety After Administration of "BR1017-1" and Co-administration of "BR1017-1A" and "BR1017-1B"</t>
  </si>
  <si>
    <t>NCT06014502</t>
  </si>
  <si>
    <t>Study to Evaluate IMGS-001 Treatment in Patients With Relapsed or Refractory Advanced Solid Tumors</t>
  </si>
  <si>
    <t>ImmunoGenesis</t>
  </si>
  <si>
    <t>NCT06115902</t>
  </si>
  <si>
    <t>A Study of TQB2102 for Injection in Patients With Recurrent/Metastatic Breast Cancer</t>
  </si>
  <si>
    <t>NCT06021054</t>
  </si>
  <si>
    <t>An Efficacy, Safety, and Tolerability Study of Veligrotug (VRDN-001), in Participants With Chronic Thyroid Eye Disease (TED) (THRIVE-2)</t>
  </si>
  <si>
    <t>NCT05954169</t>
  </si>
  <si>
    <t>Pharmacokinetic/Pharmacokinetic and Safety Studies of SHR4640 in Subjects With Moderate Renal Insufficiency and Healthy Subjects</t>
  </si>
  <si>
    <t>NCT05959694</t>
  </si>
  <si>
    <t>A Clinical Trial on the Safety and Efficacy of TQB3909 Tablets in Patients With Recurrent or Refractory Chronic Lymphocytic Leukemia (CLL) /Small Lymphocytic Lymphoma (SLL) .</t>
  </si>
  <si>
    <t>NCT06106841</t>
  </si>
  <si>
    <t>TQB3909 Tablets in Subjects With Relapsed or Refractory Mantle Cell Lymphoma (MCL)</t>
  </si>
  <si>
    <t>NCT05678673</t>
  </si>
  <si>
    <t>Study of XL092 + Nivolumab vs Sunitinib in Subjects With Advanced or Metastatic Non-Clear Cell Renal Cell Carcinoma</t>
  </si>
  <si>
    <t>NCT05745883</t>
  </si>
  <si>
    <t>Study of DISC-0974 to Assess the Safety, Tolerability, PK and PD of DISC-0974 in Participants With CKD and Anemia</t>
  </si>
  <si>
    <t>NCT05728658</t>
  </si>
  <si>
    <t>The Study of ICP-248 in Patients With Mature B-cell Malignancies</t>
  </si>
  <si>
    <t>NCT05954143</t>
  </si>
  <si>
    <t>Trial of BDC-1001 +/- Pertuzumab in Subjects With HER2-Positive Metastatic Breast Cancer</t>
  </si>
  <si>
    <t>NCT05982314</t>
  </si>
  <si>
    <t>Extension Safety and Immunogenicity Study of GPNV-001</t>
  </si>
  <si>
    <t>NCT05978063</t>
  </si>
  <si>
    <t>Study to Evaluate the Efficacy and Safety of Oral Difelikefalin for Moderate to Severe Pruritus in Subjects With Notalgia Paresthetica</t>
  </si>
  <si>
    <t>NCT06084806</t>
  </si>
  <si>
    <t>Test-retest Evaluation of [18F]F-AraG PET</t>
  </si>
  <si>
    <t>NCT06006247</t>
  </si>
  <si>
    <t>Early Parkinson's Disease Monotherapy With CVN424</t>
  </si>
  <si>
    <t>NCT06658626</t>
  </si>
  <si>
    <t>A Study to Evaluate the Metabolism, Excretion, and Mass Balance of [¹⁴C]Enlicitide Chloride ([¹⁴C]MK-0616) in Healthy Participants (MK-0616-016)</t>
  </si>
  <si>
    <t>NCT05981963</t>
  </si>
  <si>
    <t>A Study to Evaluate the Drug Levels, Physical and Chemical Changes, and Removal of BMS-986196 in Healthy Male Participants</t>
  </si>
  <si>
    <t>NCT06110338</t>
  </si>
  <si>
    <t>Safety and Tolerance Study of IBI355 in Health Volunteers</t>
  </si>
  <si>
    <t>NCT06093698</t>
  </si>
  <si>
    <t>An Exploratory Study of A-337 in the Management of Malignant Solid Dose Escalation and Expansion Phases</t>
  </si>
  <si>
    <t>ITabMed Co., Ltd.</t>
  </si>
  <si>
    <t>NCT05076552</t>
  </si>
  <si>
    <t>A Study to Assess the Safety, Pharmacokinetics, and Antitumor Activity of Oral TACH101 in Participants With Advanced or Metastatic Cancer</t>
  </si>
  <si>
    <t>Tachyon Therapeutics, Inc.</t>
  </si>
  <si>
    <t>NCT05835752</t>
  </si>
  <si>
    <t>The Safety, Tolerability and Pharmacokinetic Study of RAY1225</t>
  </si>
  <si>
    <t>NCT06075849</t>
  </si>
  <si>
    <t>Phase I Study to Evaluate Safety and Anti-tumor Activity of PB101, an Anti-angiogenic Immunomodulating Agent</t>
  </si>
  <si>
    <t>Panolos Bioscience</t>
  </si>
  <si>
    <t>NCT05994378</t>
  </si>
  <si>
    <t>To Compare the Efficacy and Safety of Oral SHR 7280 Tablets With Ganirelix Acetate Injection in Infertile Female Subjects</t>
  </si>
  <si>
    <t>NCT06122714</t>
  </si>
  <si>
    <t>A Study to Assess the Safety, Tolerability, Pharmacokinetics, and Pharmacodynamics of AZD4144 Following Single and Multiple Ascending Doses Via Oral Administration to Healthy Participants</t>
  </si>
  <si>
    <t>NCT05765851</t>
  </si>
  <si>
    <t>A Study of DS-1103a Combination Therapy in Participants With Advanced Solid Tumors</t>
  </si>
  <si>
    <t>NCT05459129</t>
  </si>
  <si>
    <t>A Study Evaluating Efficacy and Safety of Multiple Treatment Combinations in Patients With Locally Advanced Squamous Cell Carcinoma of the Head and Neck (Morpheus-Head and Neck Cancer)</t>
  </si>
  <si>
    <t>NCT05686551</t>
  </si>
  <si>
    <t>GENERATION HD2. A Study to Evaluate the Safety, Biomarkers, and Efficacy of Tominersen Compared With Placebo in Participants With Prodromal and Early Manifest Huntington's Disease</t>
  </si>
  <si>
    <t>NCT05901883</t>
  </si>
  <si>
    <t>First-in-human, Single Ascending Dose Study of CEL383 in Healthy Adult Subjects</t>
  </si>
  <si>
    <t>Celsius Therapeutics, Inc.</t>
  </si>
  <si>
    <t>NCT05895266</t>
  </si>
  <si>
    <t>A Study to Assess Drug-Drug Interaction Between ABBV-903 and Midazolam in Adult Healthy Volunteers</t>
  </si>
  <si>
    <t>NCT05867121</t>
  </si>
  <si>
    <t>A Study to Evaluate Safety, Pharmacokinetics, &amp; Activity of RO7496353 in Combination With a Checkpoint Inhibitor With or Without Standard-of-care Chemotherapy in Participants With Locally Advanced or Metastatic Solid Tumors; Urothelial Carcinoma Substudy in Association With RO7496353 Study GO44010</t>
  </si>
  <si>
    <t>NCT05864014</t>
  </si>
  <si>
    <t>Hetrombopag for the Treatment of Chemotherapy-Induced Thrombocytopenia in Adults With Solid Tumors.</t>
  </si>
  <si>
    <t>NCT05652855</t>
  </si>
  <si>
    <t>Study of MHB088C in Participants With Advanced or Metastatic Solid Tumors</t>
  </si>
  <si>
    <t>NCT05924815</t>
  </si>
  <si>
    <t>Study to Evaluate the Effect of Aficamten Administration on QT/QTc Interval</t>
  </si>
  <si>
    <t>NCT04919109</t>
  </si>
  <si>
    <t>Safety and Immunogenicity of CodaVax-RSV in Seropositive and Seronegative Children</t>
  </si>
  <si>
    <t>NCT05876832</t>
  </si>
  <si>
    <t>A Study of XY0206 Versus Salvage Chemotherapy In Patients With Relapsed or Refractory AML With FLT3-ITD-Mutation (ALIVE)</t>
  </si>
  <si>
    <t>NCT06005532</t>
  </si>
  <si>
    <t>Study Evaluation of the Efficacy, Safety and Immunogenicity of Adalimumab in Comparison With Humira®</t>
  </si>
  <si>
    <t>NCT05694598</t>
  </si>
  <si>
    <t>Safety and Tolerability of VGR-R01 for Patients With Bietti Crystalline Dystrophy</t>
  </si>
  <si>
    <t>NCT04525014</t>
  </si>
  <si>
    <t>RRx-001 Given With Irinotecan and Temozolomide for Pediatric Patients With Recurrent or Progressive Malignant Solid and Central Nervous System Tumors</t>
  </si>
  <si>
    <t>NCT04905914</t>
  </si>
  <si>
    <t>Study Of ATRN-119 In Patients With Advanced Solid Tumors</t>
  </si>
  <si>
    <t>NCT06533878</t>
  </si>
  <si>
    <t>Evaluate Tolerability and Safety of HY209 in Healthy Volunteers</t>
  </si>
  <si>
    <t>Kukjeon Pharmaceutical Co.,Ltd.</t>
  </si>
  <si>
    <t>NCT06087978</t>
  </si>
  <si>
    <t>Study of RPT193 in Healthy Adult Male Subjects</t>
  </si>
  <si>
    <t>NCT05732831</t>
  </si>
  <si>
    <t>Safety and Tolerability of TNG462 in Patients With MTAP-deleted Solid Tumors</t>
  </si>
  <si>
    <t>NCT06164431</t>
  </si>
  <si>
    <t>Bioavailability Study in Healthy Participants, 200mg Tablets ZSP1273 Versus 200mg Granules ZSP1273</t>
  </si>
  <si>
    <t>NCT05969977</t>
  </si>
  <si>
    <t>A First-in-Human Phase 1 Study of Plasmalogen Precursor PPI-1011 in Healthy Adult Volunteers to Assess Safety, Tolerability, and Pharmacokinetics</t>
  </si>
  <si>
    <t>MED-LIFE DISCOVERIES LP</t>
  </si>
  <si>
    <t>NCT05532163</t>
  </si>
  <si>
    <t>A Study to Investigate the Radiological Onset of Action After Treatment Initiation With Subcutaneous (SC) Natalizumab in Participants With Relapsing-Remitting Multiple Sclerosis (RRMS)</t>
  </si>
  <si>
    <t>NCT06843993</t>
  </si>
  <si>
    <t>Single-Ascending Dose Study of MK-2060 in Healthy Chinese Male Adult Participants (MK-2060-009)</t>
  </si>
  <si>
    <t>NCT04666714</t>
  </si>
  <si>
    <t>Efficacy and Safety of Praga Formulation in the Treatment of Neuropathic Pain</t>
  </si>
  <si>
    <t>NCT05760300</t>
  </si>
  <si>
    <t>A Multiple-Dose Study of Bulevirtide in Participants With Normal and Impaired Renal Function</t>
  </si>
  <si>
    <t>NCT05973006</t>
  </si>
  <si>
    <t>Phase 3 Adolescent Study for SARS-CoV-2 rS Variant Vaccines</t>
  </si>
  <si>
    <t>NCT06003777</t>
  </si>
  <si>
    <t>A Study to Learn How Different Amounts of the Study Medicine Called PF-06954522 Are Tolerated and Act in the Body in Healthy Adults</t>
  </si>
  <si>
    <t>NCT05744128</t>
  </si>
  <si>
    <t>CD8 Minibody Repeatability Study</t>
  </si>
  <si>
    <t>NCT05761028</t>
  </si>
  <si>
    <t>NCT05689047</t>
  </si>
  <si>
    <t>Phase IIa Proof of Concept Study of M5717-Pyronaridine in Adults and Adolescents With Acute Uncomplicated Plasmodium Falciparum Malaria (CAPTURE 1)</t>
  </si>
  <si>
    <t>NCT05719311</t>
  </si>
  <si>
    <t>Study to Assess an Enteric Microgranule Formulation of Adrulipase in Patients With Cystic Fibrosis</t>
  </si>
  <si>
    <t>NCT05472506</t>
  </si>
  <si>
    <t>Oral AHR Antagonist in Combination With Nivolumab in Patients With PD-1 Resistant Metastatic or Recurrent Head and Neck Cancer</t>
  </si>
  <si>
    <t>NCT06189404</t>
  </si>
  <si>
    <t>Effect of Tigulixostat on the Pharmacokinetics of Theophylline</t>
  </si>
  <si>
    <t>NCT05915247</t>
  </si>
  <si>
    <t>Single Ascending Doses of HER-096 in Healthy Subjects</t>
  </si>
  <si>
    <t>Herantis Pharma Plc.</t>
  </si>
  <si>
    <t>NCT04969315</t>
  </si>
  <si>
    <t>TT-10 (PORT-6) and TT-4 (PORT-7) as Single Agents and in Combination in Subjects With Advanced Selected Solid Tumors</t>
  </si>
  <si>
    <t>Portage Biotech</t>
  </si>
  <si>
    <t>NCT06019936</t>
  </si>
  <si>
    <t>A Randomized,Double-blind, Placebo Controlled, Multicenter Study to Evaluate the Safety and Efficacy of MT2004 Capsule in DILI Subjects</t>
  </si>
  <si>
    <t>Xi'An Aolitai Pharmaceutical Technology Co Ltd</t>
  </si>
  <si>
    <t>NCT06036836</t>
  </si>
  <si>
    <t>Study of Favezelimab Coformulated With Pembrolizumab (MK-4280A) in Participants With Selected Solid Tumors (MK-4280A-010)</t>
  </si>
  <si>
    <t>NCT05634499</t>
  </si>
  <si>
    <t>A Study of Giredestrant in Participants With Grade 1 Endometrial Cancer</t>
  </si>
  <si>
    <t>NCT05848258</t>
  </si>
  <si>
    <t>An Adaptive Phase 2a/2b Study of LY3871801 in Adult Participants With Rheumatoid Arthritis</t>
  </si>
  <si>
    <t>NCT05957536</t>
  </si>
  <si>
    <t>A Study of D3L-001 as Monotherapy in Subjects With HER2-Positive Advanced Solid Tumors</t>
  </si>
  <si>
    <t>NCT06073093</t>
  </si>
  <si>
    <t>A Study to Evaluate SAR441566 Efficacy and Safety in Adults With Rheumatoid Arthritis</t>
  </si>
  <si>
    <t>NCT05949593</t>
  </si>
  <si>
    <t>Phase 3, Randomized, Placebo-Controlled Study of Tinlarebant to Explore Safety and Efficacy in Geographic Atrophy</t>
  </si>
  <si>
    <t>NCT05818514</t>
  </si>
  <si>
    <t>A PET Study to Determine Biodistribution and Binding Characteristics of [11C]AZ14132516 in Healthy Participants</t>
  </si>
  <si>
    <t>NCT05901714</t>
  </si>
  <si>
    <t>A Study to Assess the Effect of Phenytoin on the Drug Levels of Afimetoran and the Effect of Afimetoran on the Drug Levels of Midazolam</t>
  </si>
  <si>
    <t>NCT05996744</t>
  </si>
  <si>
    <t>Study of Obeldesivir in Children and Adolescents With COVID-19</t>
  </si>
  <si>
    <t>NCT05741034</t>
  </si>
  <si>
    <t>A Study to Assess Adverse Events and Effectiveness of Injected JUVÉDERM® VOLITE™ Gel Filler for Change in Neck Lines in Adult Chinese Participants</t>
  </si>
  <si>
    <t>NCT05949684</t>
  </si>
  <si>
    <t>ELEMENT-MDS: A Study to Compare the Efficacy and Safety of Luspatercept in Participants With Myelodysplastic Syndrome (MDS) and Anemia Not Receiving Blood Transfusions</t>
  </si>
  <si>
    <t>NCT05742984</t>
  </si>
  <si>
    <t>Investigate Linaprazan Glurate/Linaprazan in Healthy Subjects</t>
  </si>
  <si>
    <t>NCT05321498</t>
  </si>
  <si>
    <t>Study to Assess the Efficacy of XPro1595 in Patients With Mild Cognitive Impairment With Biomarkers of Inflammation</t>
  </si>
  <si>
    <t>NCT05687916</t>
  </si>
  <si>
    <t>A Study of TAK-861 in Participants With Narcolepsy Type 2</t>
  </si>
  <si>
    <t>NCT05658484</t>
  </si>
  <si>
    <t>A Study of Dimethyl Fumarate (DMF) in Relapsing Forms of Multiple Sclerosis (RMS) Participants in China</t>
  </si>
  <si>
    <t>NCT06103825</t>
  </si>
  <si>
    <t>A Twelve-week, Double-blind, Placebo-controlled, Randomized, Parallel-group, Multicenter Study to Evaluate the Efficacy and Safety of Solriamfetol in the Treatment of Excessive Daytime Sleepiness (EDS) in Patients with Obstructive Sleep Apnea (OSA)</t>
  </si>
  <si>
    <t>Ignis Therapeutics (Suzhou) Limited</t>
  </si>
  <si>
    <t>NCT05601752</t>
  </si>
  <si>
    <t>ADP-A2M4CD8 Monotherapy and in Combination With Nivolumab in HLA-A2+ Subjects With MAGE-A4 Positive Ovarian Cancer (SURPASS-3)</t>
  </si>
  <si>
    <t>NCT05813847</t>
  </si>
  <si>
    <t>Herniorrhaphy for Postoperative Pain</t>
  </si>
  <si>
    <t>NCT05626855</t>
  </si>
  <si>
    <t>Long-Term Safety &amp; Efficacy of Apitegromab in Patients With SMA Who Completed Previous Trials of Apitegromab</t>
  </si>
  <si>
    <t>NCT06125808</t>
  </si>
  <si>
    <t>Efficacy and Safety Study of HRO350 in Patients with Mild-to-moderate Psoriasis (the 'HeROPA' Study).</t>
  </si>
  <si>
    <t>Arctic Bioscience</t>
  </si>
  <si>
    <t>NCT05841940</t>
  </si>
  <si>
    <t>Mass Balance Study of [14C]HLX208 in China Healthy Subjects</t>
  </si>
  <si>
    <t>NCT05667506</t>
  </si>
  <si>
    <t>A Study of CNCT19 Treatment in Children and Adolescent r/r ALL Patients(Pediatric)</t>
  </si>
  <si>
    <t>NCT06015243</t>
  </si>
  <si>
    <t>The Study of Long-term Outcomes of GR1802 in Patients With Chronic Rhinosinusitis With Nasal Polyps</t>
  </si>
  <si>
    <t>NCT05731843</t>
  </si>
  <si>
    <t>Drug-drug Interaction Study of Ruzasvir and Bemnifosbuvir</t>
  </si>
  <si>
    <t>NCT05916391</t>
  </si>
  <si>
    <t>Gene Therapy for Diabetic Macular Edema</t>
  </si>
  <si>
    <t>NCT05148598</t>
  </si>
  <si>
    <t>ADRCs in The Treatment of Hand Dysfunction Due to Scleroderma</t>
  </si>
  <si>
    <t>Paracrine, INC.</t>
  </si>
  <si>
    <t>NCT06013163</t>
  </si>
  <si>
    <t>A Phase 1 Study to Evaluate EMP22 PD and EMP16 PK Versus Xenical® in Healthy Volunteers</t>
  </si>
  <si>
    <t>NCT06648304</t>
  </si>
  <si>
    <t>Evaluate the Efficacy and Safety of TTYP01 Tablets in the Treatment of Acute Ischemic Stroke</t>
  </si>
  <si>
    <t>NCT05712538</t>
  </si>
  <si>
    <t>Safety, Tolerability, and Pharmacokinetics of ARCT-032 in Healthy Adult Subjects and Adults With Cystic Fibrosis.</t>
  </si>
  <si>
    <t>NCT05840016</t>
  </si>
  <si>
    <t>AK112 in Combination With Chemotherapy in Advanced Squamous Non-Small Cell Lung Cancer</t>
  </si>
  <si>
    <t>NCT06253533</t>
  </si>
  <si>
    <t>ICVAX as a HIV Therapeutic DNA Vaccine</t>
  </si>
  <si>
    <t>Immuno Cure Holding (HK) Limited</t>
  </si>
  <si>
    <t>NCT06135415</t>
  </si>
  <si>
    <t>A Study to Evaluate the Efficacy and Safety of Tirbanibulin Ointment in Adult Participants With Actinic Keratosis</t>
  </si>
  <si>
    <t>NCT05830240</t>
  </si>
  <si>
    <t>A Clinical Study on Oncolytic Virus Injection (R130 OV) for the Treatment of Relapsed/Refractory Head and Neck Cancer</t>
  </si>
  <si>
    <t>NCT05681845</t>
  </si>
  <si>
    <t>A Study to Compare the Blood Levels of Mim8 in Healthy Men When Administered With the DV3407-C1 Pen Injector or a Syringe and Cartridge</t>
  </si>
  <si>
    <t>NCT05911984</t>
  </si>
  <si>
    <t>A Study to Evaluate the Safety, Tolerability, Pharmacokinetic Properties and Preliminary Efficacy of 9MW3811 in Patients With Advanced Solid Tumors</t>
  </si>
  <si>
    <t>NCT06065748</t>
  </si>
  <si>
    <t>A Study to Evaluate Efficacy and Safety of Giredestrant Compared With Fulvestrant (Plus a CDK4/6 Inhibitor), in Participants With ER-Positive, HER2-Negative Advanced Breast Cancer Resistant to Adjuvant Endocrine Therapy (pionERA Breast Cancer)</t>
  </si>
  <si>
    <t>NCT06843460</t>
  </si>
  <si>
    <t>A Clinical Study of MK-7962 in Healthy Chinese Participants (MK-7962-021)</t>
  </si>
  <si>
    <t>NCT06006702</t>
  </si>
  <si>
    <t>A Relative Bioavailability and Food Effect Study of TYRA-300-B01 Capsule and Tablet Formulations in Healthy Adult Participants</t>
  </si>
  <si>
    <t>NCT06082037</t>
  </si>
  <si>
    <t>A Study to Test How Effective Belumosudil Tablets Are for Treating Adult Participants With Chronic Lung Allograft Dysfunction</t>
  </si>
  <si>
    <t>NCT06009237</t>
  </si>
  <si>
    <t>A Study to Assess Pharmacokinetics, Safety, and Tolerability of ABBV-903 in Healthy Japanese and Han Chinese Participants</t>
  </si>
  <si>
    <t>NCT05702177</t>
  </si>
  <si>
    <t>A Study of the Effect of Daridorexant on Nighttime Body Posture, the Noise Level Required to Wake up, and the Ability to Remember Words Previously Presented</t>
  </si>
  <si>
    <t>NCT06143007</t>
  </si>
  <si>
    <t>A Phase 1 Study of BB3008 in Participants With Advanced Solid Tumors</t>
  </si>
  <si>
    <t>NCT05828511</t>
  </si>
  <si>
    <t>A Window of Opportunity Trial to Learn if Linvoseltamab is Safe and Well Tolerated, and How Well it Works in Adult Participants With Recently Diagnosed Multiple Myeloma Who Have Not Already Received Treatment</t>
  </si>
  <si>
    <t>NCT06263517</t>
  </si>
  <si>
    <t>Clinical Trial to Assess Efficacy, Tolerability of Rising Doses of Clodronate in Painful Knee Osteoarthritis Patients</t>
  </si>
  <si>
    <t>SPA Società Prodotti Antibiotici S.p.A.</t>
  </si>
  <si>
    <t>NCT05588440</t>
  </si>
  <si>
    <t>A Clinical Study of ONCT-808 in Subjects With Relapsed or Refractory B-Cell Malignancies</t>
  </si>
  <si>
    <t>Oncternal Therapeutics, Inc</t>
  </si>
  <si>
    <t>NCT05470868</t>
  </si>
  <si>
    <t>Safety and Tolerability of PRO-185</t>
  </si>
  <si>
    <t>NCT05824455</t>
  </si>
  <si>
    <t>A Clinical Study of IMP4297 Capsule (JS109) Combined With Irinotecan in the Treatment of Advanced Malignant Solid Tumors</t>
  </si>
  <si>
    <t>Shanghai Jun Pai Ying Shi Therapeutics Co., Ltd.</t>
  </si>
  <si>
    <t>NCT05964543</t>
  </si>
  <si>
    <t>The Safety and Efficacy of Q-1802 Combined With XELOX in Gastrointestinal Tumors</t>
  </si>
  <si>
    <t>NCT05853835</t>
  </si>
  <si>
    <t>First-in-Human Trial in Healthy Adult Volunteers to Evaluate Safety, Tolerability and PK of LAPIX Study Drug; LPX-TI641</t>
  </si>
  <si>
    <t>LAPIX Therapeutics Inc.</t>
  </si>
  <si>
    <t>NCT05618808</t>
  </si>
  <si>
    <t>A Trial to Learn How Well REGN9933 Works for Preventing Blood Clots After Knee Replacement Surgery in Adult Participants</t>
  </si>
  <si>
    <t>NCT04636268</t>
  </si>
  <si>
    <t>FIB Grifols Congenital Deficiency for On-demand Treatment and Surgical Prophylaxis</t>
  </si>
  <si>
    <t>NCT05924750</t>
  </si>
  <si>
    <t>A Study of BL-M11D1 in Patients With Relapsed/Refractory Acute Myeloid Leukemia</t>
  </si>
  <si>
    <t>NCT05807490</t>
  </si>
  <si>
    <t>A Study to Learn How Different Amounts of the Study Medicine Called PF-07328948 Are Tolerated and Act in the Body in Healthy Adults</t>
  </si>
  <si>
    <t>NCT05760781</t>
  </si>
  <si>
    <t>To Evaluate the Safety and Efficacy of STSG-0002 Injection in Patients With Chronic Hepatitis B</t>
  </si>
  <si>
    <t>NCT05700734</t>
  </si>
  <si>
    <t>MK-8510 Monotherapy for the Treatment of Anti-retroviral naïve Human Immunodeficiency Virus Type 1 (HIV-1) Infected Participants (MK-8510-002)</t>
  </si>
  <si>
    <t>NCT05968430</t>
  </si>
  <si>
    <t>Open-Label Extension (OLE) Study to Assess Safety, Efficacy, and Tolerability of Lorundrostat in Subjects With Hypertension</t>
  </si>
  <si>
    <t>NCT05856630</t>
  </si>
  <si>
    <t>Pharmacokinetics Pharmacodynamics and Safety of LY01022 in Patients With Prostate Cancer Compared With Zoladex® 10.8mg</t>
  </si>
  <si>
    <t>NCT06102005</t>
  </si>
  <si>
    <t>Dose Ranging Study of Lunsekimig Compared With Placebo-control in Adult Participants With Moderate-to-severe Asthma</t>
  </si>
  <si>
    <t>NCT05768919</t>
  </si>
  <si>
    <t>Study of Liposomal Curcumin in Combination With RT and TMZ in Patients With Newly Diagnosed High-Grade Gliomas</t>
  </si>
  <si>
    <t>SignPath Pharma, Inc.</t>
  </si>
  <si>
    <t>NCT05852431</t>
  </si>
  <si>
    <t>To Evaluate the Efficacy and Safety of Pegozafermin in Subjects With Severe Hypertriglyceridemia</t>
  </si>
  <si>
    <t>NCT05835895</t>
  </si>
  <si>
    <t>Safety and Pharmacodynamics of GNSC-001 Intra-articular Injection for Knee Osteoarthritis</t>
  </si>
  <si>
    <t>Genascence Corporation</t>
  </si>
  <si>
    <t>NCT06150157</t>
  </si>
  <si>
    <t>A Study of JNJ-88549968 for the Treatment of Calreticulin (CALR)-Mutated Myeloproliferative Neoplasms</t>
  </si>
  <si>
    <t>NCT06268301</t>
  </si>
  <si>
    <t>A Study to Determine the Effect Food Has on TAK-721 (Budesonide Oral Suspension) in the Body of Healthy Adults</t>
  </si>
  <si>
    <t>NCT05636228</t>
  </si>
  <si>
    <t>Study of INV-102 Ophthalmic Solution in Adults With Acute Infectious Keratoconjunctivitis</t>
  </si>
  <si>
    <t>NCT06078800</t>
  </si>
  <si>
    <t>A Study of YL-17231 in Patients With Advanced Solid Tumors</t>
  </si>
  <si>
    <t>NCT05784402</t>
  </si>
  <si>
    <t>A Research Study to Compare How Much Semaglutide is Found in the Blood With Different Tablets of Oral Semaglutide in Healthy Participants</t>
  </si>
  <si>
    <t>NCT05728619</t>
  </si>
  <si>
    <t>HTMC0435 and Temozolomide in Treating Patients With Small Cell Lung Cancer</t>
  </si>
  <si>
    <t>Shanghai Yidian Pharmaceutical Technology Development Co., Ltd.</t>
  </si>
  <si>
    <t>NCT05862012</t>
  </si>
  <si>
    <t>Study of ISB 2001 in Relapsed/Refractory Multiple Myeloma (TRIgnite-1)</t>
  </si>
  <si>
    <t>NCT05728671</t>
  </si>
  <si>
    <t>Bioavailability Study to Compare Liquid vs Two Solid Formulations of IP2015</t>
  </si>
  <si>
    <t>NCT06204809</t>
  </si>
  <si>
    <t>Safety, Tolerability, PK, and PD Study of PGN-EDODM1 in Participants With Myotonic Dystrophy Type 1</t>
  </si>
  <si>
    <t>PepGen Inc</t>
  </si>
  <si>
    <t>NCT05742763</t>
  </si>
  <si>
    <t>Platelet-Rich Plasma and the Effects of NSAIDs on Pain and Functional Scores in Knee Osteoarthritis</t>
  </si>
  <si>
    <t>QC Kinetix LLC</t>
  </si>
  <si>
    <t>NCT05529992</t>
  </si>
  <si>
    <t>A Study of Velaglucerase Alfa (VPRIV) in Chinese Children, Teenagers, and Adults With Type 1 Gaucher Disease</t>
  </si>
  <si>
    <t>NCT05863442</t>
  </si>
  <si>
    <t>Comparative PK, Safety, Tolerability, Immunogenicity, and PD Profile Study of TUR03 and Soliris in Healthy Participants</t>
  </si>
  <si>
    <t>Turgut Ardika PTY LTD</t>
  </si>
  <si>
    <t>NCT05853341</t>
  </si>
  <si>
    <t>Rivastigmine Bioequivalence Trial With Multiple Application of Transdermal Patches (13.3mg/24h)</t>
  </si>
  <si>
    <t>NCT06000956</t>
  </si>
  <si>
    <t>A Study of Comparing Overall Improvement of Patients With Spondyloarthritis Treated With Jitongning Tablets and Placebo</t>
  </si>
  <si>
    <t>NCT05801029</t>
  </si>
  <si>
    <t>A Study to Investigate Safety and Efficacy of Osimertinib and Amivantamab in Participants With Non-small Cell Lung Cancer With Common Epidermal Growth Factor Receptor Mutations</t>
  </si>
  <si>
    <t>NCT05340257</t>
  </si>
  <si>
    <t>A Pharmacokinetics and Safety Study of Augmentin ES-600 in Children With CAP and ABRS</t>
  </si>
  <si>
    <t>NCT05736107</t>
  </si>
  <si>
    <t>A Study to Evaluate the Efficacy, Safety and Tolerability of CBL-514 Injection for Reducing Abdominal Subcutaneous Fat</t>
  </si>
  <si>
    <t>NCT05917470</t>
  </si>
  <si>
    <t>A Clinical Study of ONCT-534 in Subjects With Metastatic Castration-resistant Prostate Cancer.</t>
  </si>
  <si>
    <t>NCT05644600</t>
  </si>
  <si>
    <t>A Study to Assess the Effect of AZD5055 on the Pharmacokinetics (PK) of Nintedanib in Healthy Participants.</t>
  </si>
  <si>
    <t>NCT05800392</t>
  </si>
  <si>
    <t>Efficacy and Safety of DEC103 in Pain Control Associated to Intrauterine Device (IUD) Insertion</t>
  </si>
  <si>
    <t>NCT06071936</t>
  </si>
  <si>
    <t>Efficacy and Tolerability of AP707 in Patients With Chronic Pain Due to Traumatic or Post-operative Peripheral Neuropathy</t>
  </si>
  <si>
    <t>NCT05883241</t>
  </si>
  <si>
    <t>Sustained Acoustic Medicine (SAM) for Symptomatic Treatment of Pain Related to Bone Fracture</t>
  </si>
  <si>
    <t>NCT05718037</t>
  </si>
  <si>
    <t>Phase I Clinical Trial of a Candidate Herpes Zoster Vaccine</t>
  </si>
  <si>
    <t>NCT06124001</t>
  </si>
  <si>
    <t>Clinical Study of VG161 Combined With Camrelizumab in Patients With Advanced Primary Hepatocellular Carcinoma</t>
  </si>
  <si>
    <t>NCT06111521</t>
  </si>
  <si>
    <t>A Drug-Drug Interaction Study of LY3537982 on Midazolam, Digoxin, and Rosuvastatin in Healthy Participants</t>
  </si>
  <si>
    <t>NCT05883644</t>
  </si>
  <si>
    <t>Durvalumab and Tremelimumab as First Line Treatment in Participants With Advanced Hepatocellular Carcinoma (HCC)</t>
  </si>
  <si>
    <t>NCT06123663</t>
  </si>
  <si>
    <t>A Study to Evaluate the Safety and Immunogenicity of a Single Dose of Adsorbed Tetanus Vaccine in a Population Aged 18 Years and Over</t>
  </si>
  <si>
    <t>NCT05760248</t>
  </si>
  <si>
    <t>Safety and Efficacy Study of 10XB-101 in Adults With Bilateral Flank Adiposity</t>
  </si>
  <si>
    <t>NCT06062355</t>
  </si>
  <si>
    <t>Phase I Clinical Study of HRS-9815 for PET/CT Imaging in Patients With Prostate Cancer</t>
  </si>
  <si>
    <t>NCT05919017</t>
  </si>
  <si>
    <t>Exploring the PK of Different Doses of Naltrexone in Patients With AUD</t>
  </si>
  <si>
    <t>NCT05387798</t>
  </si>
  <si>
    <t>A Phase 3 Extension Study of RAD011 (Cannabidiol Oral Solution) in Patients With Prader-Willi Syndrome</t>
  </si>
  <si>
    <t>NCT05852938</t>
  </si>
  <si>
    <t>A Study of Zigakibart in Adults With IgA Nephropathy</t>
  </si>
  <si>
    <t>NCT05664243</t>
  </si>
  <si>
    <t>A Phase 1b / 2 Drug Resistant Immunotherapy With Activated, Gene Modified Allogeneic or Autologous γδ T Cells (DeltEx) in Combination With Maintenance Temozolomide in Subjects With Recurrent or Newly Diagnosed Glioblastoma</t>
  </si>
  <si>
    <t>In8bio Inc.</t>
  </si>
  <si>
    <t>NCT06399315</t>
  </si>
  <si>
    <t>Study of Single and Multiple Ascending Doses of ZE46-0134 in Healthy Volunteers</t>
  </si>
  <si>
    <t>Lomond Therapeutics Holdings, Inc.</t>
  </si>
  <si>
    <t>NCT06367452</t>
  </si>
  <si>
    <t>Exploratory Pilot Study to Evaluate the Pharmacokinetic Profile of Magaldrate</t>
  </si>
  <si>
    <t>Tecnoquimicas</t>
  </si>
  <si>
    <t>NCT05864885</t>
  </si>
  <si>
    <t>Phase I Study of Safety and Pharmacokinetics of Topical Solution in Subjects With Androgenetic Alopecia</t>
  </si>
  <si>
    <t>NCT07292025</t>
  </si>
  <si>
    <t>Phase 1 Trial of JTM201 in Subjects With Post-stroke Upper Limb Spasticity</t>
  </si>
  <si>
    <t>Jetema Co., Ltd.</t>
  </si>
  <si>
    <t>NCT05730725</t>
  </si>
  <si>
    <t>A Study to Evaluate Effectiveness and Safety of BMS-986322 in Participants With Moderate-to-Severe Psoriasis</t>
  </si>
  <si>
    <t>NCT05536804</t>
  </si>
  <si>
    <t>A Study of Tirzepatide (LY3298176) in Participants With Overweight or Obesity and Chronic Kidney Disease With or Without Type 2 Diabetes</t>
  </si>
  <si>
    <t>NCT06148649</t>
  </si>
  <si>
    <t>Phase 2 Study of HEC88473 Injection in Subjects With Type 2 Diabetes Mellitus</t>
  </si>
  <si>
    <t>NCT06087055</t>
  </si>
  <si>
    <t>Drug-Drug Interaction Study of Itraconazole With GST-HG171/Ritonavir in Healthy Participants</t>
  </si>
  <si>
    <t>NCT05621655</t>
  </si>
  <si>
    <t>Safety and Immunogenicity Study of Recombinant Trivalent Rotavirus Subunit Vaccine in Healthy Infants and Toddlers</t>
  </si>
  <si>
    <t>NCT05905068</t>
  </si>
  <si>
    <t>Adult Subjects With Elevated Low-Density Lipoprotein-Cholesterol to Evaluate the Safety, Tolerability, Pharmacokinetics, and Pharmacodynamic Effects</t>
  </si>
  <si>
    <t>Ikaria Bioscience Pty Ltd</t>
  </si>
  <si>
    <t>NCT06092931</t>
  </si>
  <si>
    <t>A Drug-Drug Interaction Study Evaluating the Perpetrator Potential of DC-806 on Cocktails of CYP450 Enzyme and Transporter Substrates in Healthy Participants</t>
  </si>
  <si>
    <t>NCT06083753</t>
  </si>
  <si>
    <t>Study to Evaluate the Safety and Efficacy of PIPE-307 in Subjects With Relapsing-Remitting Multiple Sclerosis</t>
  </si>
  <si>
    <t>NCT05795595</t>
  </si>
  <si>
    <t>A Safety and Efficacy Study Evaluating CTX131 in Adult Subjects With Relapsed or Refractory Solid Tumors</t>
  </si>
  <si>
    <t>NCT05803642</t>
  </si>
  <si>
    <t>A Study of Olanzapine in Patients With Acute Agitation</t>
  </si>
  <si>
    <t>NCT06090266</t>
  </si>
  <si>
    <t>A Study of OR502, a Monoclonal Antibody Targeting LILRB2, Alone and in Combination With Anticancer Agents</t>
  </si>
  <si>
    <t>NCT06193902</t>
  </si>
  <si>
    <t>LEU01101: Safety and Preliminary Efficacy of LEU011 in Solid Tumours.</t>
  </si>
  <si>
    <t>Leucid Bio</t>
  </si>
  <si>
    <t>NCT05372419</t>
  </si>
  <si>
    <t>A Study of (LY3650150) Lebrikizumab to Assess the Safety and Efficacy of Adult and Adolescent Participants With Moderate-to-Severe Atopic Dermatitis and Skin of Color</t>
  </si>
  <si>
    <t>NCT06064890</t>
  </si>
  <si>
    <t>A Study to Evaluate the Safety and Effect of AVB-101, a Gene Therapy Product, in Subjects With a Genetic Sub-type of Frontotemporal Dementia (FTD-GRN)</t>
  </si>
  <si>
    <t>AviadoBio Ltd</t>
  </si>
  <si>
    <t>NCT06142552</t>
  </si>
  <si>
    <t>Phase 3 Clinical Project of Pegylated Recombinant Human Coagulation Factor VIII-Fc Fusion Protein</t>
  </si>
  <si>
    <t>NCT05722015</t>
  </si>
  <si>
    <t>A Study of Subcutaneous (SC) Pembrolizumab Coformulated With Berahyaluronidase Alfa (MK-3475A) vs Intravenous Pembrolizumab in Adult Participants With Metastatic Non-small Cell Lung Cancer (NSCLC) (MK-3475A-D77)</t>
  </si>
  <si>
    <t>NCT06565689</t>
  </si>
  <si>
    <t>A Study to Evaluate the Safety, Tolerability, Pharmacokinetics, and Preliminary Efficacy of YK012</t>
  </si>
  <si>
    <t>Excyte Biopharma Ltd</t>
  </si>
  <si>
    <t>NCT05657613</t>
  </si>
  <si>
    <t>Drug-Drug Interaction Study of Pacritinib and CYP450,Transporter Substrates, and CYP450 3A4 in Healthy Male Subjects</t>
  </si>
  <si>
    <t>NCT05938179</t>
  </si>
  <si>
    <t>A Study of HS-10353 in Adult Participants With Major Depressive Disorder</t>
  </si>
  <si>
    <t>NCT06014086</t>
  </si>
  <si>
    <t>Intratumoral PH-762 for Cutaneous Carcinoma</t>
  </si>
  <si>
    <t>Phio Pharmaceuticals Inc.</t>
  </si>
  <si>
    <t>NCT05789342</t>
  </si>
  <si>
    <t>A Study to Evaluate the Drug-drug Interactions (DDIs) of GP681 With Rosuvastatin, Digoxin, Itraconazole, Oseltamivir in Chinese Healthy Volunteers</t>
  </si>
  <si>
    <t>NCT05517603</t>
  </si>
  <si>
    <t>A Study to Evaluate Safety, Tolerability, Pharmacokinetics, and Pharmacodynamics Of AJ201 In Patients</t>
  </si>
  <si>
    <t>NCT05720130</t>
  </si>
  <si>
    <t>Phase Ib/IIa Dose Escalation and Expansion Study of [²¹²Pb]Pb-ADVC001 in Metastatic Prostate Cancer (TheraPb - Phase I/II Study).</t>
  </si>
  <si>
    <t>AdvanCell Pty Limited</t>
  </si>
  <si>
    <t>NCT05442567</t>
  </si>
  <si>
    <t>A Study of Vedolizumab in Children With Ulcerative Colitis (UC) or Crohn's Disease (CD)</t>
  </si>
  <si>
    <t>NCT05515367</t>
  </si>
  <si>
    <t>A Post Marketing Surveillance to Evaluate the Safety of Desidustat for the Treatment of Anemia in Subjects With Chronic Kidney Disease (CKD).(Real World Evidence Study)</t>
  </si>
  <si>
    <t>NCT06024967</t>
  </si>
  <si>
    <t>A Study to Investigate the Safety and Efficacy of Once-weekly PEG-somatropin (GenSci004) in Children With Growth Hormone Deficiency</t>
  </si>
  <si>
    <t>NCT05814367</t>
  </si>
  <si>
    <t>Clinical Investigation of Visual Acuity in Contact Lens Wearers After Instillation of Investigational Lubricating Eye Drops</t>
  </si>
  <si>
    <t>NCT05710692</t>
  </si>
  <si>
    <t>Study to Evaluate the Safety, PK, PD, and Efficacy of PRX-102 in Japanese Patients With Fabry Disease</t>
  </si>
  <si>
    <t>NCT06134232</t>
  </si>
  <si>
    <t>Metastatic Castrate-Resistant Prostate Cancer Subjects Treated With PROVENGE® + One Infusion of Sipuleucel-T</t>
  </si>
  <si>
    <t>Dendreon</t>
  </si>
  <si>
    <t>NCT05905484</t>
  </si>
  <si>
    <t>Study of Bemnifosbuvir on Cardiac Repolarization in Healthy Subjects</t>
  </si>
  <si>
    <t>NCT05856084</t>
  </si>
  <si>
    <t>Immunogenicity and Safety of Recombinant Herpes Zoster Vaccine (CHO Cells) in Healthy Subjects Aged 30 Years and Above</t>
  </si>
  <si>
    <t>NCT06126406</t>
  </si>
  <si>
    <t>Clinical Study of CEA Targeting Chimeric Antigen Receptor T Lymphocytes（CAR-T） for CEA Positive Advanced Malignant Solid Tumors</t>
  </si>
  <si>
    <t>NCT06087276</t>
  </si>
  <si>
    <t>Essential 3 - Decentralized, Phase 3 Study Evaluating the Safety and Efficacy of Ulixacaltamide in Essential Tremor (ET)</t>
  </si>
  <si>
    <t>NCT05922878</t>
  </si>
  <si>
    <t>Study of ALTO-300 in MDD</t>
  </si>
  <si>
    <t>NCT06015217</t>
  </si>
  <si>
    <t>A Clinical Study to Assess the Efficacy and Safety of a Healing Ointment on Diaper Rash</t>
  </si>
  <si>
    <t>NCT06049108</t>
  </si>
  <si>
    <t>A Study of Carbon-14-Labelled [14C] LY3871801 in Healthy Male Participants</t>
  </si>
  <si>
    <t>NCT06222125</t>
  </si>
  <si>
    <t>A Study of HB0025 Injection in Patients With Advanced Renal Cancer</t>
  </si>
  <si>
    <t>NCT06118008</t>
  </si>
  <si>
    <t>A Study of HS-20094 in T2DM Participants</t>
  </si>
  <si>
    <t>NCT05679895</t>
  </si>
  <si>
    <t>Safety and Efficacy of OC-1 Therapy in Patients With R/R T-ALL/LL</t>
  </si>
  <si>
    <t>OneChain Immunotherapeutics</t>
  </si>
  <si>
    <t>NCT06264674</t>
  </si>
  <si>
    <t>Comparison Between CHF5993 pMDI 200/6/12.5 µg HFA-152a VS CHF5993 pMDI 200/6/12.5 µg HFA-134a in Subjects With Asthma (TRECOS).</t>
  </si>
  <si>
    <t>NCT06107374</t>
  </si>
  <si>
    <t>Imaging Advanced NSCLC Patients Undergoing PD-1/PD-L1 Directed Therapy Using [18F]-FARAG</t>
  </si>
  <si>
    <t>NCT05847920</t>
  </si>
  <si>
    <t>Efficacy and Safety of SHR-2010 Injection in the Treatment of Primary IgA Nephropathy</t>
  </si>
  <si>
    <t>NCT07033182</t>
  </si>
  <si>
    <t>Pharmacokinetics and Safety Study of Levornidazole Disodium Phosphate for Injection in Subjects With Renal Impairment and Normal Renal Impairment</t>
  </si>
  <si>
    <t>NCT06302062</t>
  </si>
  <si>
    <t>Phase I Clinical Study of Tumor-associated Lymph Node T Cell Therapy for Advanced Solid Tumors</t>
  </si>
  <si>
    <t>Guangzhou FineImmune Biotechnology Co., LTD.</t>
  </si>
  <si>
    <t>NCT05742919</t>
  </si>
  <si>
    <t>A Research Study Looking at How a Single Dose of the Medicine NNC0194-0499 Behaves in Chinese Men</t>
  </si>
  <si>
    <t>NCT06139328</t>
  </si>
  <si>
    <t>IRI-EXPLORE: A Study to Test Whether BI 765845 Helps People Who Have Had a Heart Attack</t>
  </si>
  <si>
    <t>NCT05965219</t>
  </si>
  <si>
    <t>A Trial to Evaluate the Effects of Itraconazole and Carbamazepine on the Pharmacokinetics of Emraclidine and of Emraclidine on the Pharmacokinetics of Metformin in Healthy Adult Participants</t>
  </si>
  <si>
    <t>NCT05715619</t>
  </si>
  <si>
    <t>Safety and Efficacy of Oral Administration of the Phage Cocktail, VRELysin™, In Healthy and VRE-Colonized Subjects</t>
  </si>
  <si>
    <t>NCT06012812</t>
  </si>
  <si>
    <t>A Study to Extend Efficacy and Safety of SHR-1819 Injection in Adult Patients With Moderate to Severe Atopic Dermatitis</t>
  </si>
  <si>
    <t>NCT05653219</t>
  </si>
  <si>
    <t>A Study of Efficacy and Safety of Ianalumab Versus Placebo in Addition to Eltrombopag in Primary Immune Thrombocytopenia Patients Who Failed Steroids</t>
  </si>
  <si>
    <t>NCT06024265</t>
  </si>
  <si>
    <t>The Safety and Tolerability Study With ER2001 Intravenous Injection in Adults With Early Manifest Huntington's Disease</t>
  </si>
  <si>
    <t>ExoRNA Bioscience</t>
  </si>
  <si>
    <t>NCT05732428</t>
  </si>
  <si>
    <t>A Study to Learn About the Study Medicine Called Vepdegestrant (ARV-471, PF-07850327) in People With ER+/HER2- Advanced Breast Cancer in China</t>
  </si>
  <si>
    <t>NCT05987449</t>
  </si>
  <si>
    <t>A Study to Evaluate the Safety, Tolerability, Pharmacokinetics, Pharmacodynamics, and Efficacy of NXT007 in Persons With Severe or Moderate Hemophilia A</t>
  </si>
  <si>
    <t>NCT05891249</t>
  </si>
  <si>
    <t>A Study to Evaluate the Safety and Effectiveness of Luspatercept for the Treatment of Transfusion-dependent (TD) Anemia Associated With Myelodysplastic Syndromes (MDS) &amp; Beta-thalassemia (β-Thal) in India</t>
  </si>
  <si>
    <t>NCT05721235</t>
  </si>
  <si>
    <t>A Safety/Tolerability and PK Study With Azstarys® in Children With ADHD</t>
  </si>
  <si>
    <t>NCT05776108</t>
  </si>
  <si>
    <t>A Study to Assess the Food Effect and the Relative Bioavailability of the Cabotegravir (CAB) Pediatric Dispersible Tablet (DT) Formulation</t>
  </si>
  <si>
    <t>NCT05886920</t>
  </si>
  <si>
    <t>A Phase 1/2 Study of D3S-002 as Monotherapy or Combination Therapy in Adult Subjects With Advanced Solid Tumors With MAPK Pathway Mutations</t>
  </si>
  <si>
    <t>NCT07052682</t>
  </si>
  <si>
    <t>A Study to Evaluate How Ontamalimab Works and Assess Its Safety and Tolerability in People With Nonalcoholic Steatohepatitis With Fibrosis Stages 1 to 4</t>
  </si>
  <si>
    <t>NCT05907382</t>
  </si>
  <si>
    <t>Safety, Tolerability of JMKX003002 in Phase 1 Study in Healthy Subjects</t>
  </si>
  <si>
    <t>NCT05969223</t>
  </si>
  <si>
    <t>Study to Assess the Safety and Efficacy of Subcutaneously Injected Risankizumab in Adult Participants With Genital or Scalp Psoriasis</t>
  </si>
  <si>
    <t>NCT05645276</t>
  </si>
  <si>
    <t>A Study of AK129 in Patients With Advanced Malignant Tumors</t>
  </si>
  <si>
    <t>NCT07295418</t>
  </si>
  <si>
    <t>A Study of SAL003 in Participants With Hypercholesterolemia and Mixed Dyslipidemia</t>
  </si>
  <si>
    <t>NCT06082960</t>
  </si>
  <si>
    <t>Study of GS-9911 With or Without Antibody Treatment for Adults With Solid Tumors</t>
  </si>
  <si>
    <t>NCT06204679</t>
  </si>
  <si>
    <t>Pharmacokinetics of Fixed-Dose Combination Tablet of Bemnifosbuvir and Ruzasvir</t>
  </si>
  <si>
    <t>NCT05930808</t>
  </si>
  <si>
    <t>Concor® Bioequivalence Study in Chinese Participants (Darmstadt-Nantong)</t>
  </si>
  <si>
    <t>NCT06475508</t>
  </si>
  <si>
    <t>Comparison of Complarate® (Tocilizumab Biosimilar) and Actemra® in Patients With Rheumatoid Arthritis</t>
  </si>
  <si>
    <t>NCT05960240</t>
  </si>
  <si>
    <t>Safety, Tolerability, PK &amp; PD of AB-101 Following Oral Administration in Healthy and CHB Subjects.</t>
  </si>
  <si>
    <t>NCT05613868</t>
  </si>
  <si>
    <t>TPN-101 in Aicardi-Goutières Syndrome (AGS)</t>
  </si>
  <si>
    <t>NCT06157918</t>
  </si>
  <si>
    <t>Relative Bioavailability and Food Effect of SYHA1813 Oral Solution in Healthy Participants</t>
  </si>
  <si>
    <t>NCT04714060</t>
  </si>
  <si>
    <t>UB-621, a New Type of Anti-herpes Simplex Virus (HSV) Monoclonal Antibody for the Use in the Treatment of Adult Recurrent HSV-2 Infections of the Genitals</t>
  </si>
  <si>
    <t>NCT06048120</t>
  </si>
  <si>
    <t>A Study to Learn How Safe the Study Treatment BAY2701250 is, How it Affects the Body and How it Moves Into, Through and Out of the Body in Healthy Male Participants When a Single Amount is Given as an Injection Into the Vein (Intravenous Infusion) or Under the Skin (Subcutaneous Injection)</t>
  </si>
  <si>
    <t>NCT06071949</t>
  </si>
  <si>
    <t>Efficacy and Tolerability of AP707 in Patients With Chronic Pain Due to Central Neuropathy of Any Genesis</t>
  </si>
  <si>
    <t>NCT06066060</t>
  </si>
  <si>
    <t>A DDI Study of JMKX000623 and Metformin Hydrochloride</t>
  </si>
  <si>
    <t>NCT05902520</t>
  </si>
  <si>
    <t>Adoptive Cell Therapy Using Cancer Specific CD8+ Tumor Infiltrating Lymphocytes in Adult Patients With Solid Tumors</t>
  </si>
  <si>
    <t>AgonOx, Inc.</t>
  </si>
  <si>
    <t>NCT05813925</t>
  </si>
  <si>
    <t>A Research Study to See How Well CagriSema Helps People in East Asia With Excess Body Weight Lose Weight</t>
  </si>
  <si>
    <t>NCT05941897</t>
  </si>
  <si>
    <t>A Study to Investigate Efficacy and Safety of Ceralasertib Plus Durvalumab in Participants Aged ≥ 18 Years With Advanced or Metastatic Non-small Cell Lung Cancer Whose Disease Progressed on or After Prior Anti-PD-(L)1 Therapy and Platinum-based Chemotherapy</t>
  </si>
  <si>
    <t>NCT05827978</t>
  </si>
  <si>
    <t>Study of mRNA-1010 Seasonal Influenza Vaccine in Adults</t>
  </si>
  <si>
    <t>NCT05670743</t>
  </si>
  <si>
    <t>Pharmacokinetics of Advantage Arrest in Healthy Children 13-Months to 13-Years of Age</t>
  </si>
  <si>
    <t>NCT05646797</t>
  </si>
  <si>
    <t>A Study of ASP2074 in Adults With Solid Tumors</t>
  </si>
  <si>
    <t>NCT05898620</t>
  </si>
  <si>
    <t>A Novel, Regulated Gene Therapy (NGN-401) Study for Females With Rett Syndrome</t>
  </si>
  <si>
    <t>NCT06454682</t>
  </si>
  <si>
    <t>An IIT Clinical Study to Evaluate the Safety and Efficacy of a Single Intrathecal Injection of RJK002 in Patients With ALS</t>
  </si>
  <si>
    <t>RJK Biopharma Ltd</t>
  </si>
  <si>
    <t>NCT05817240</t>
  </si>
  <si>
    <t>A Drug-Drug Interaction Study of ENV-101 (Taladegib) on Nintedanib Pharmacokinetics in Healthy Subjects</t>
  </si>
  <si>
    <t>NCT05607550</t>
  </si>
  <si>
    <t>Study to Compare Furmonertinib to Platinum-Based Chemotherapy for Patients With Locally Advanced or Metastatic Non-Small Cell Lung Cancer (NSCLC) With Epidermal Growth Factor Receptor (EGFR) Exon 20 Insertion Mutations (FURVENT)</t>
  </si>
  <si>
    <t>NCT05877924</t>
  </si>
  <si>
    <t>A Study of NBL-020 Injection in Subjects With Advanced Malignant Tumors.</t>
  </si>
  <si>
    <t>NCT06046820</t>
  </si>
  <si>
    <t>The ENERGY 3 Study: Evaluation of Efficacy and Safety of INZ-701 in Children With ENPP1 Deficiency</t>
  </si>
  <si>
    <t>NCT06106022</t>
  </si>
  <si>
    <t>A Study to Evaluate Vonoprazan in Children Who Have Symptomatic Gastroesophageal Reflux Disease</t>
  </si>
  <si>
    <t>NCT05867251</t>
  </si>
  <si>
    <t>Study of AVZO-021 in Patients With Advanced Solid Tumors</t>
  </si>
  <si>
    <t>Avenzo Therapeutics, Inc.</t>
  </si>
  <si>
    <t>NCT05909553</t>
  </si>
  <si>
    <t>Study to Assess Adverse Events and Compare How Crushed, Ground, and Intact Oral Tablets Venetoclax Moves Through the Body of Healthy Female Adult Volunteers</t>
  </si>
  <si>
    <t>NCT05889572</t>
  </si>
  <si>
    <t>Safety and Gut Microbiota Analysis of an Oral Microbiotherapy in Patients With Amyotrophic Lateral Sclerosis</t>
  </si>
  <si>
    <t>NCT05863104</t>
  </si>
  <si>
    <t>Assessment of Safety, Tolerability, Systemic Exposure and Efficacy of GPB Cream in Adolescents With Severe Primary Hyperhidrosis</t>
  </si>
  <si>
    <t>NCT05935085</t>
  </si>
  <si>
    <t>This Study Will Evaluate the Safety, Tolerability, and Efficacy of ANB032 in Subjects with Moderate to Severe Atopic Dermatitis (AD).</t>
  </si>
  <si>
    <t>NCT05612035</t>
  </si>
  <si>
    <t>Frespaciguat (MK-5475) INSIGNIA-PH-COPD: A Study of the Efficacy and Safety of Frespaciguat (an Inhaled sGC Stimulator) in Adults With PH-COPD</t>
  </si>
  <si>
    <t>NCT05844150</t>
  </si>
  <si>
    <t>A Study of PM8002 (Anti-PD-L1/VEGF) in Combination With Chemotherapy in Patients With ES-SCLC</t>
  </si>
  <si>
    <t>NCT05593250</t>
  </si>
  <si>
    <t>A Trial of SHR-1905 in Subjects With Severe Uncontrolled Asthma</t>
  </si>
  <si>
    <t>NCT06108050</t>
  </si>
  <si>
    <t>JZP898 Intravenous Infusion as Monotherapy and Combination With Pembrolizumab in Adults With Advanced/Metastatic Solid Tumors</t>
  </si>
  <si>
    <t>NCT05952206</t>
  </si>
  <si>
    <t>Ischemic and Bleeding Outcomes After Angiolite Stent Implantation and an Abbreviated Dual Antiplatelet Therapy</t>
  </si>
  <si>
    <t>iVascular S.L.U.</t>
  </si>
  <si>
    <t>NCT05796206</t>
  </si>
  <si>
    <t>A Phase 2 Clinical Study of MIL62 in Systemic Lupus Erythematosus</t>
  </si>
  <si>
    <t>NCT05856058</t>
  </si>
  <si>
    <t>To Assess SHR0302 Oral Solutions and Tablets in Healthy Subjects Clinical Studies of Relative Bioavailability</t>
  </si>
  <si>
    <t>NCT05904717</t>
  </si>
  <si>
    <t>Effect of PXS-4728A on Microglia Activation in Participants With Isolated Rapid Eye Movement Sleep Behaviour Disorder</t>
  </si>
  <si>
    <t>NCT05727215</t>
  </si>
  <si>
    <t>Heterologous Booster Study of COVID-19 Protein Subunit Recombinant Vaccine in Children 12-17 Years of Age</t>
  </si>
  <si>
    <t>NCT05822908</t>
  </si>
  <si>
    <t>A Safety and Pharmacokinetics Trial of VO659 in SCA1, SCA3 and HD</t>
  </si>
  <si>
    <t>Vico Therapeutics B. V.</t>
  </si>
  <si>
    <t>NCT05583617</t>
  </si>
  <si>
    <t>A Study Evaluating the Safety and Efficacy of Multiple Treatments in Participants With Multiple Myeloma</t>
  </si>
  <si>
    <t>NCT05734040</t>
  </si>
  <si>
    <t>Immunogenicity and Safety of the Concomitant Administration of OVX836 Influenza Vaccine, Quadrivalent Inactivated Influenza Vaccines and Placebo in Healthy Subjects.</t>
  </si>
  <si>
    <t>NCT05656040</t>
  </si>
  <si>
    <t>A Study of MK-2060 in Participants With Chronic and/or End-Stage Kidney Disease (MK-2060-011)</t>
  </si>
  <si>
    <t>NCT06089733</t>
  </si>
  <si>
    <t>A Clinical Trial to Evaluate the Effect of Itraconazole and Rifampicin on ABSK021</t>
  </si>
  <si>
    <t>NCT05984147</t>
  </si>
  <si>
    <t>A Study Evaluating the Safety and Efficacy of AUR108 in Patients With Relapsed Advanced Lymphomas (ASHA-1)</t>
  </si>
  <si>
    <t>NCT05947617</t>
  </si>
  <si>
    <t>Safety, Efficacy, and Dosing of VIX001 in Patients With Neurological Symptoms of Post Acute COVID-19 Syndrome (PACS).</t>
  </si>
  <si>
    <t>Neobiosis, LLC</t>
  </si>
  <si>
    <t>NCT05808374</t>
  </si>
  <si>
    <t>Clinical Study to Evaluate the Safety, Tolerance and Pharmacokinetic Characteristics of Single Administration of HRS-5635 Injection in Chinese Healthy Subjects and the Safety, Tolerance, Pharmacokinetics and Antiviral Effect of Multiple Administration in Patients With Chronic Hepatitis B</t>
  </si>
  <si>
    <t>NCT06002490</t>
  </si>
  <si>
    <t>A Study to Evaluate P1101 in Japanese PV Patients</t>
  </si>
  <si>
    <t>NCT05840510</t>
  </si>
  <si>
    <t>Adagrasib in Combination With Nab-Sirolimus in Patients With Advanced Solid Tumors and Non-Small Cell Lung Cancer With a KRAS G12C Mutation (KRYSTAL -19)</t>
  </si>
  <si>
    <t>NCT05883449</t>
  </si>
  <si>
    <t>Phase 2 Study of AFM13 in Combination With AB-101 in Subjects With R/R HL and CD30+ PTCL</t>
  </si>
  <si>
    <t>NCT05724576</t>
  </si>
  <si>
    <t>Intracoronary Administration of OmniMSC-AMI for Acute ST-segment Elevation Myocardial Infarction Patients</t>
  </si>
  <si>
    <t>NCT05721989</t>
  </si>
  <si>
    <t>A Research Study Looking Into Blood Levels of Three Different Formulations of the Study Medicine Ziltivekimab</t>
  </si>
  <si>
    <t>NCT05934890</t>
  </si>
  <si>
    <t>A Phase 3 Study to Evaluate the Immunogenicity and Safety of Walvax's PCV13-TT as Compared to Pfizer's PCV13</t>
  </si>
  <si>
    <t>NCT04170426</t>
  </si>
  <si>
    <t>Autologous Adipose-derived Stem Cells (AdMSCs) for Rheumatoid Arthritis</t>
  </si>
  <si>
    <t>Celltex Therapeutics Corporation</t>
  </si>
  <si>
    <t>NCT05572515</t>
  </si>
  <si>
    <t>A Study Comparing Teclistamab Monotherapy Versus Pomalidomide, Bortezomib, Dexamethasone (PVd) or Carfilzomib, Dexamethasone (Kd) in Participants With Relapsed or Refractory Multiple Myeloma</t>
  </si>
  <si>
    <t>NCT05952089</t>
  </si>
  <si>
    <t>A Study to Assess the Effect of Danicamtiv on the Drug Levels of Midazolam in Participants With Stable Heart Failure</t>
  </si>
  <si>
    <t>NCT05896020</t>
  </si>
  <si>
    <t>A Study of SHR-A1811 in Subjects With Gynaecologic Oncology</t>
  </si>
  <si>
    <t>NCT06133270</t>
  </si>
  <si>
    <t>A First Human Dose Study Investigating Safety and Concentration of Study Medicine in the Blood Following Once Daily Oral Dosing of NNC0560-0004 in Healthy Adults.</t>
  </si>
  <si>
    <t>NCT05743075</t>
  </si>
  <si>
    <t>A Study to Evaluate the Efficacy and Safety of Ensifentrine for 24 Weeks in Patients With Moderate to Severe Chronic Obstructive Pulmonary Disease</t>
  </si>
  <si>
    <t>NCT05669001</t>
  </si>
  <si>
    <t>A Study of TCD601 in de Novo Renal Transplant Recipients</t>
  </si>
  <si>
    <t>NCT05791201</t>
  </si>
  <si>
    <t>A Safety, Tolerability, and Efficacy Study of VX-264 in Participants With Type 1 Diabetes</t>
  </si>
  <si>
    <t>NCT05883462</t>
  </si>
  <si>
    <t>Paclitaxel-Coated Nasal Balloon for the Treatment of Recurrent Chronic Rhinosinusitis With or Without Nasal Polyps (FIH)</t>
  </si>
  <si>
    <t>NCT06136988</t>
  </si>
  <si>
    <t>A Study of Docetaxel for Injection (Albumin-bound) and SG001 in Combination With Cisplatin and Simultaneous Radiotherapy for Locally Advanced Unresectable Esophageal Squamous Carcinoma.</t>
  </si>
  <si>
    <t>NCT05904379</t>
  </si>
  <si>
    <t>AK112 and AK104 With or Without Chemotherapy in Advanced Non-small Cell Lung Cancer</t>
  </si>
  <si>
    <t>NCT07185282</t>
  </si>
  <si>
    <t>A Phase 3 Study of MH004 Ointment in Patients With Mild to Moderate Atopic Dermatitis</t>
  </si>
  <si>
    <t>NCT06015503</t>
  </si>
  <si>
    <t>A Phase Ⅱ Study Assessing the Safety and Efficacy of PLB1004 in EGFR ex20ins Mutation Patients With Advanced and Metastatic Non-small Cell Lung Cancer(NSCLC)</t>
  </si>
  <si>
    <t>NCT06956495</t>
  </si>
  <si>
    <t>Efficacy and Tolerability of Tasipimidine in Sleepless Patients</t>
  </si>
  <si>
    <t>NCT05868057</t>
  </si>
  <si>
    <t>A Clinical Study Evaluating the Relative Bioavailability of SHR7280 Dry Suspension and Tablets</t>
  </si>
  <si>
    <t>NCT05989542</t>
  </si>
  <si>
    <t>A Confirmatory Clinical Study in NSCLC Patients With MET Exon 14 Mutation (KUNPENG-2)</t>
  </si>
  <si>
    <t>NCT05757141</t>
  </si>
  <si>
    <t>An Open-Label Exploratory Study of Fosigotifator in Participants With Vanishing White Matter Disease</t>
  </si>
  <si>
    <t>NCT05856331</t>
  </si>
  <si>
    <t>Study of SAR447537 (INBRX-101) Compared to Plasma-derived A1PI Therapy in Adults With AATD Emphysema</t>
  </si>
  <si>
    <t>NCT05943977</t>
  </si>
  <si>
    <t>A Bioequivalence and Efficacy Study of MB-102 (Relmapirazin) in Chinese Participants</t>
  </si>
  <si>
    <t>NCT06159101</t>
  </si>
  <si>
    <t>A Study to Compare the PK , Safety, Tolerability, and Immunogenicity of HLX13 With YERVOY in Male Subjects</t>
  </si>
  <si>
    <t>NCT05752175</t>
  </si>
  <si>
    <t>Study of WPV01 Compared With Placebo in Patients With Mild/Moderate COVID-19 Infection</t>
  </si>
  <si>
    <t>NCT06052293</t>
  </si>
  <si>
    <t>Phase 1 Study to Assess Safety and Efficacy of ANG003</t>
  </si>
  <si>
    <t>Anagram Therapeutics, Inc.</t>
  </si>
  <si>
    <t>NCT05955183</t>
  </si>
  <si>
    <t>Study to Assess the Safety, Tolerability and Pharmacokinetics of AZD5055 in Japanese and Chinese Healthy Volunteers..</t>
  </si>
  <si>
    <t>NCT05548556</t>
  </si>
  <si>
    <t>A Study to Evaluate RO7204239 in Participants With Facioscapulohumeral Muscular Dystrophy</t>
  </si>
  <si>
    <t>NCT06081829</t>
  </si>
  <si>
    <t>A Phase 2 Study of Ivosidenib in Previously Treated Japanese Subjects With Nonresectable or Metastatic Cholangiocarcinoma With an IDH1 Mutation</t>
  </si>
  <si>
    <t>NCT05735275</t>
  </si>
  <si>
    <t>A Phase 1 Study of SHR-A2102 in Subjects With Advanced Solid Tumors.</t>
  </si>
  <si>
    <t>NCT07442630</t>
  </si>
  <si>
    <t>Long-term Comparison of Pitavastatin/Ezetimibe and Pitavastatin in Patients With Hypercholesterolemia and Elevated Triglycerides</t>
  </si>
  <si>
    <t>NCT05858047</t>
  </si>
  <si>
    <t>An Investigational Study to Evaluate Experimental Medication SYHX1901 Tablets With Moderate to Severe Plaque Psoriasis</t>
  </si>
  <si>
    <t>NCT05896527</t>
  </si>
  <si>
    <t>A Study to Evaluate the Efficacy and Safety of DC-806 in Participants With Moderate to Severe Plaque Psoriasis</t>
  </si>
  <si>
    <t>NCT06281470</t>
  </si>
  <si>
    <t>The Safety and Tolerability of WS016 in Healthy Chinese Volunteers</t>
  </si>
  <si>
    <t>Waterstone Pharmaceutical (Wuhan) Co., LTD.</t>
  </si>
  <si>
    <t>NCT05757869</t>
  </si>
  <si>
    <t>A Study of Milvexian Versus Apixaban in Participants With Atrial Fibrillation</t>
  </si>
  <si>
    <t>NCT05800873</t>
  </si>
  <si>
    <t>Evaluate The Efficacy, Safety, Pharmacokinetics And Pharmacodynamics Of EVER001</t>
  </si>
  <si>
    <t>Everest Medicines (China) Co.,Ltd.</t>
  </si>
  <si>
    <t>NCT06066528</t>
  </si>
  <si>
    <t>A Study to Test Whether Survodutide (BI 456906) Helps People Living With Overweight or Obesity Who Also Have Diabetes to Lose Weight</t>
  </si>
  <si>
    <t>NCT06435507</t>
  </si>
  <si>
    <t>Phase I Clinical Trial to Evaluate the Safety, Tolerability, and Pharmacokinetics of Single Doses of IM-250 in Healthy Volunteers</t>
  </si>
  <si>
    <t>Innovative Molecules GmbH</t>
  </si>
  <si>
    <t>NCT06144671</t>
  </si>
  <si>
    <t>GT201 Injection For The Treatment Of Advanced Solid Tumors</t>
  </si>
  <si>
    <t>NCT06635434</t>
  </si>
  <si>
    <t>An English/Spanish Mobile Augmented Reality Pain Assessment App for Hispanic/Latino Pediatric Cancer Patients</t>
  </si>
  <si>
    <t>NCT05927012</t>
  </si>
  <si>
    <t>A Study to Evaluate the Safety and Preliminary Efficacy of a Response-guided Dose Titration of KER-047 in the Treatment of Functional IDA (Iron Deficiency Anemia).</t>
  </si>
  <si>
    <t>NCT05669599</t>
  </si>
  <si>
    <t>Dose-ranging Study to Evaluate the Efficacy, Safety, and Tolerability of AMG 133 in Adult Subjects With Overweight or Obesity, With or Without Type 2 Diabetes Mellitus</t>
  </si>
  <si>
    <t>NCT06164834</t>
  </si>
  <si>
    <t>Effect of Tegoprazan on Pharmacodynamics of Clopidogrel in Healthy Subjects</t>
  </si>
  <si>
    <t>NCT07054632</t>
  </si>
  <si>
    <t>Efficacy and Safety of LX101 for Inherited Retinal Dystrophy Associated With RPE65 Mutations</t>
  </si>
  <si>
    <t>NCT05756972</t>
  </si>
  <si>
    <t>A Study of PM8002 (Anti-PD-L1/VEGF) in Combination With Chemotherapy in Patients With NSCLC</t>
  </si>
  <si>
    <t>NCT05359692</t>
  </si>
  <si>
    <t>INCAGN01876 in Combination With Immunotherapy in Participants With Recurrent or Metastatic Head and Neck Squamous Cell Carcinoma</t>
  </si>
  <si>
    <t>NCT05901987</t>
  </si>
  <si>
    <t>Evaluation of Safety and Efficacy of Gene Therapy Drug in the Treatment of Spinal Muscular Atrophy (SMA) Type 2 Patients</t>
  </si>
  <si>
    <t>NCT05851092</t>
  </si>
  <si>
    <t>Phase I Clinical Study of HRS-2189 in the Treatment of Patients With Advanced Malignant Tumors</t>
  </si>
  <si>
    <t>NCT05450744</t>
  </si>
  <si>
    <t>131I-TLX-101 for Treatment of Newly Diagnosed Glioblastoma (IPAX-2)</t>
  </si>
  <si>
    <t>NCT06091267</t>
  </si>
  <si>
    <t>PK/Efficacy Bridging Study of ASTX727 in Chinese Subjects With Myelodysplastic Syndromes</t>
  </si>
  <si>
    <t>NCT04719793</t>
  </si>
  <si>
    <t>Umbilical Cord Derived Wharton's Jelly for Knee Osteoarthritis</t>
  </si>
  <si>
    <t>NCT05937867</t>
  </si>
  <si>
    <t>A Phase II Study of HS-10353 in Participants With Postpartum Depression</t>
  </si>
  <si>
    <t>NCT06113471</t>
  </si>
  <si>
    <t>A Study to Evaluate Efficacy and Safety of Povorcitinib in Participants With Nonsegmental Vitiligo (STOP-V2)</t>
  </si>
  <si>
    <t>NCT06541899</t>
  </si>
  <si>
    <t>Safety and Efficacy of Cryolipolysis Clinical Protocols</t>
  </si>
  <si>
    <t>Indústria Brasileira Equipamentos Médicos - IBRAMED</t>
  </si>
  <si>
    <t>NCT05716295</t>
  </si>
  <si>
    <t>A Dose Escalation/Expansion Study of MDK-703 in Patients With Advanced or Metastatic Solid Tumors</t>
  </si>
  <si>
    <t>NCT05746611</t>
  </si>
  <si>
    <t>Phase IV Clinical Study of Recombinant Mycobacterium Tuberculosis Fusion Protein</t>
  </si>
  <si>
    <t>NCT05508334</t>
  </si>
  <si>
    <t>A Study to Assess the Safety and Tolerability of RC88 for Patients With Advanced Solid Tumours</t>
  </si>
  <si>
    <t>NCT05955027</t>
  </si>
  <si>
    <t>A Study to Evaluate the Effect of a Single Oral Dose of ZX-7101A on the QTc Interval in Healthy Subjects</t>
  </si>
  <si>
    <t>NCT05665751</t>
  </si>
  <si>
    <t>A Study Evaluating Daily Oral Doses of TLC-3595 in Participants With Insulin Resistance</t>
  </si>
  <si>
    <t>NCT05603195</t>
  </si>
  <si>
    <t>A Trial to Learn if Single Ascending Intravenous (IV) Doses of REGN7508 Are Safe and Well Tolerated, and How it Works in the Body of Healthy Adult Participants</t>
  </si>
  <si>
    <t>NCT05978739</t>
  </si>
  <si>
    <t>Evaluating Different Doses of Orelabrutinib in MCL</t>
  </si>
  <si>
    <t>NCT05737771</t>
  </si>
  <si>
    <t>To Compare the Pharmacokinetic Characteristics of the Fixed-dose Combination Compared to the Loose Combination</t>
  </si>
  <si>
    <t>NCT05999799</t>
  </si>
  <si>
    <t>A Dose Finding Study to Investigate the Safety and Effectiveness of GSK1070806 in Adult Participants With Moderate to Severe Atopic Dermatitis</t>
  </si>
  <si>
    <t>NCT05896163</t>
  </si>
  <si>
    <t>A Study to Learn About the Effects of Two Study Medicines (Maplirpacept [PF-07901801] And Glofitamab) When Given Together In People With Relapsed Or Refractory Diffuse Large B Cell Lymphoma.</t>
  </si>
  <si>
    <t>NCT05950516</t>
  </si>
  <si>
    <t>Efficacy and Safety of Semaglutide Ingection in Subjects With Type 2 Diabetes</t>
  </si>
  <si>
    <t>NCT05400330</t>
  </si>
  <si>
    <t>Long-Term Follow-up of Gene Therapy for APOE4 Homozygote Alzheimer's Disease</t>
  </si>
  <si>
    <t>NCT06200844</t>
  </si>
  <si>
    <t>The Efficacy of Oral Rotavirus Vaccine 116E (ROTAVAC 5D) in Chilean Infants</t>
  </si>
  <si>
    <t>NCT05794581</t>
  </si>
  <si>
    <t>A Study to Assess the Effects of CT-868 Treatment on Glucose Homeostasis in Participants with Type 1 Diabetes</t>
  </si>
  <si>
    <t>NCT06253130</t>
  </si>
  <si>
    <t>A First-in-human Study of PARP1 Selective Inhibitor, IMP1734, in Participants With Advanced Solid Tumors</t>
  </si>
  <si>
    <t>NCT05929807</t>
  </si>
  <si>
    <t>A Clinical Trial to Investigate Long-term Safety, Tolerability, and Efficacy of Weekly Subcutaneous Doses With TransCon CNP in Children and Adolescents With Achondroplasia</t>
  </si>
  <si>
    <t>NCT06434792</t>
  </si>
  <si>
    <t>Study to Evaluate Efficacy and Safety of Bronpass Tab. in Patients With Chronic Obstructive Pulmonary Disease</t>
  </si>
  <si>
    <t>NCT05853367</t>
  </si>
  <si>
    <t>Study of MK-0472 in Participants With Advanced/Metastatic Solid Tumors (MK-0472-001)</t>
  </si>
  <si>
    <t>NCT06169085</t>
  </si>
  <si>
    <t>Pharmacokinetics of Leritrelvir(Ray1216) in Elder Participants</t>
  </si>
  <si>
    <t>NCT06008015</t>
  </si>
  <si>
    <t>A Study to Evaluate the Pharmacokinetics and the Safety After Administration of "BR1015" and Co-administration of "BR1015-1" and "BR1015-2" Under Fed Conditions in Healthy Volunteers</t>
  </si>
  <si>
    <t>NCT05901285</t>
  </si>
  <si>
    <t>Phase 1 Study of Intratumoral Administration of VAX014 With Expansion in Combination With a Checkpoint Inhibitor in Subjects With Advanced Solid Tumors</t>
  </si>
  <si>
    <t>Vaxiion Therapeutics</t>
  </si>
  <si>
    <t>NCT05681715</t>
  </si>
  <si>
    <t>A Phase 3, Open-label, Crossover Study to Evaluate Self-administration of Rozanolixizumab by Study Participants With Generalized Myasthenia Gravis (gMG)</t>
  </si>
  <si>
    <t>NCT06373406</t>
  </si>
  <si>
    <t>A Study of MHB036C for Advanced Solid Tumor</t>
  </si>
  <si>
    <t>NCT05246384</t>
  </si>
  <si>
    <t>Study to Evaluate the Safety, Pharmacokinetics and Clinical Activity of RP7214 in Combination With Azacitidine in Patients With Myelodysplastic Syndrome, Chronic Myelomonocytic Leukemia and Acute Myeloid Leukemia</t>
  </si>
  <si>
    <t>NCT05898984</t>
  </si>
  <si>
    <t>Clinical Study to Evaluate the Safety, Tolerability and the Concentration of the BDP (Beclomethasone Dipropionate), Active Metabolite of BDP, FF( Formoterol Fumarate) and GB (Glycopyrronium Bromide), After Inhalation of CHF 5993 at Two Different Doses and QVAR®</t>
  </si>
  <si>
    <t>NCT06011304</t>
  </si>
  <si>
    <t>Study of 18F-Florastamin PET/CT Imaging in Patients With at Least Intermediate Risk Prostate Cancer</t>
  </si>
  <si>
    <t>NCT05842733</t>
  </si>
  <si>
    <t>A Novel, Potent and Non-addictive Analgesic of Combinations for Knee Replacement Moderate to Severe Pain Management</t>
  </si>
  <si>
    <t>NCT05705440</t>
  </si>
  <si>
    <t>A Follow-up Study to Describe the Safety of Study Participants Who Received RSVPreF3 Maternal Vaccination (Any Dose) or Controls From Previous RSV MAT Studies During Any Pregnancy Conceived Post Vaccination/Control</t>
  </si>
  <si>
    <t>NCT06191991</t>
  </si>
  <si>
    <t>A Phase 1 Study to Evaluate the Drug-Drug Interaction Potential Between ALG-055009 and Statin Therapy(Ies)</t>
  </si>
  <si>
    <t>NCT06126510</t>
  </si>
  <si>
    <t>Clinical Study of VG161 in the Treatment of Advanced Bone and Soft Tissue Sarcoma</t>
  </si>
  <si>
    <t>NCT06202079</t>
  </si>
  <si>
    <t>A Trial Comparing the Efficacy and Safety of GZR4 Injection Versus Insulin Degludec in Subjects with Type 2 Diabetes Mellitus</t>
  </si>
  <si>
    <t>NCT06036121</t>
  </si>
  <si>
    <t>A Study of ADRX-0706 in Select Advanced Solid Tumors</t>
  </si>
  <si>
    <t>Adcentrx Therapeutics</t>
  </si>
  <si>
    <t>NCT07030504</t>
  </si>
  <si>
    <t>To Evaluate the Safety, Tolerability and Pharmacokinetic of SAL0133 Tablets in Chinese Adult Healthy Subjects</t>
  </si>
  <si>
    <t>NCT05906732</t>
  </si>
  <si>
    <t>Study of LQT-1213 on QTc-induced Prolongation in Healthy Adult Subjects (Part1) and on Congenital Long QT in Patients Diagnosed With Type 2 or 3 Long QT Syndrome (Part 2).</t>
  </si>
  <si>
    <t>NCT06154304</t>
  </si>
  <si>
    <t>BE Study of Albuterol Sulfate Inhalation Aerosol 90 mcg Per Actuation in Patients With Stable Mild Asthma</t>
  </si>
  <si>
    <t>NCT05095389</t>
  </si>
  <si>
    <t>Adipose Derived Regenerative Cells In the Treatment of Diabetic Foot Ulcers</t>
  </si>
  <si>
    <t>NCT06088290</t>
  </si>
  <si>
    <t>Study of Lurbinectedin in Combination With Doxorubicin Versus Doxorubicin Alone as First-line Treatment in Participants With Metastatic Leiomyosarcoma (SaLuDo)</t>
  </si>
  <si>
    <t>NCT05647343</t>
  </si>
  <si>
    <t>Study to Assess the Safety and Pharmacokinetics of ATL-001 (Ciclopirox Olamine) in Healthy Volunteers</t>
  </si>
  <si>
    <t>Atlas Molecular Pharma</t>
  </si>
  <si>
    <t>NCT06056050</t>
  </si>
  <si>
    <t>A Clinical Trial of Adsorbed Cell-free DPT Vaccine (5-component) (for People Aged 6 Years and Above)</t>
  </si>
  <si>
    <t>NCT05933278</t>
  </si>
  <si>
    <t>Homologous Booster Study of COVID-19 Protein Subunit Recombinant Vaccine</t>
  </si>
  <si>
    <t>NCT05861778</t>
  </si>
  <si>
    <t>Evaluation of 89Zr-TLX250 PET/CT in Chinese Patients With Indeterminate Renal Masses or Suspected Recurrent Renal Clear Cell Carcinoma</t>
  </si>
  <si>
    <t>NCT05509985</t>
  </si>
  <si>
    <t>A Phase 1 Study of ASKG315 in Patients With Advanced Solid Tumors</t>
  </si>
  <si>
    <t>NCT05661578</t>
  </si>
  <si>
    <t>A Study to Evaluate the Safety and Pharmacokinetics of the Intravenous Fixed-Dose Combination (IV FDC) of Tiragolumab and Atezolizumab in Participants With Locally Advanced, Recurrent or Metastatic Solid Tumors</t>
  </si>
  <si>
    <t>NCT05802225</t>
  </si>
  <si>
    <t>Clinical Study of the Efficacy and Safety of BCD-178 and Perjeta® as Neoadjuvant Therapy of HER2-Positive Breast Cancer</t>
  </si>
  <si>
    <t>NCT05332678</t>
  </si>
  <si>
    <t>SLS-005 (Trehalose Injection) in the Treatment of Alzheimer's Disease</t>
  </si>
  <si>
    <t>NCT05759728</t>
  </si>
  <si>
    <t>A Study of CNA3103 (LGR5-targeted, Autologous CAR-T Cells) Administered to Subjects With Metastatic Colorectal Cancer</t>
  </si>
  <si>
    <t>Carina Biotech Limited</t>
  </si>
  <si>
    <t>NCT05720364</t>
  </si>
  <si>
    <t>Study to Evaluate the Food Effect of TP-05 in Healthy Participants</t>
  </si>
  <si>
    <t>NCT06115993</t>
  </si>
  <si>
    <t>A Study to Evaluate the Safety and Efficacy of AHB-137 in Healthy Participants and HBeAg-negative Chronic Hepatitis B (CHB) Patients</t>
  </si>
  <si>
    <t>Ausper Biopharma Co., Ltd.</t>
  </si>
  <si>
    <t>NCT05792163</t>
  </si>
  <si>
    <t>A First Time in Human Study of SNP318 as a Treatment for Neurodegenerative Diseases Including Alzheimer's Disease</t>
  </si>
  <si>
    <t>SciNeuro</t>
  </si>
  <si>
    <t>NCT05991427</t>
  </si>
  <si>
    <t>A Study to Evaluate the Safety and Immunogenicity of ChAdOx1-VZV in Healthy Adults Aged 50-65 Years</t>
  </si>
  <si>
    <t>NCT05950334</t>
  </si>
  <si>
    <t>FT522 With Rituximab in Relapsed/Refractory B-Cell Lymphoma (FT522-101)</t>
  </si>
  <si>
    <t>NCT05691699</t>
  </si>
  <si>
    <t>A Study to Assess Adverse Events and How Single and Multiple Ascending Doses of ABBV-903 Move Through the Body in Healthy Adults</t>
  </si>
  <si>
    <t>NCT05870865</t>
  </si>
  <si>
    <t>A Study to Evaluate the Anti-pruritic Effectiveness of ASN008 in Adults With Mild to Moderate Atopic Dermatitis</t>
  </si>
  <si>
    <t>Formation Bio, Inc.</t>
  </si>
  <si>
    <t>NCT05904236</t>
  </si>
  <si>
    <t>Safety and Tolerability of Intravenous Administration of ICVB-1042</t>
  </si>
  <si>
    <t>IconOVir Bio</t>
  </si>
  <si>
    <t>NCT05564806</t>
  </si>
  <si>
    <t>Study of YH004 (4-1BB Agonist Antibody) in Advanced Solid Tumors And Relapsed Or Refractory Non-Hodgkin Lymphoma</t>
  </si>
  <si>
    <t>NCT06558045</t>
  </si>
  <si>
    <t>Bioequivalence Study of Rivaroxaban 20 mg Film-coated Tablets</t>
  </si>
  <si>
    <t>NCT05961098</t>
  </si>
  <si>
    <t>A Study of RBD1016 in CHB Participants</t>
  </si>
  <si>
    <t>NCT05714345</t>
  </si>
  <si>
    <t>Evaluation of Lymphodepletion With ALLO-647 in Adults With R/R Large B Cell Lymphoma Receiving ALLO-501A Allogeneic CAR T Cell Therapy</t>
  </si>
  <si>
    <t>NCT05989672</t>
  </si>
  <si>
    <t>A Study on the Reactogenicity, Safety and Immune Response of a Targeted Immunotherapy Against HSV in Healthy Japanese Participants Aged 18-40 Years</t>
  </si>
  <si>
    <t>NCT05952219</t>
  </si>
  <si>
    <t>Study to Evaluate the Safety and Pharmacokinetics of CKD-379</t>
  </si>
  <si>
    <t>NCT06396065</t>
  </si>
  <si>
    <t>Phase III Study of AK112 for NSCLC Patients</t>
  </si>
  <si>
    <t>NCT05570006</t>
  </si>
  <si>
    <t>Study of ABBV-668 Oral Capsules to Assess Adverse Events and Change in Disease Activity in Adult Participants With Moderate to Severe Ulcerative Colitis</t>
  </si>
  <si>
    <t>NCT05844644</t>
  </si>
  <si>
    <t>The Effects of the GOLO for Life® Plan With Release Supplement on Glycemic Control and Weight in Overweight and Obese Adults With Prediabetes or Type 2 Diabetes</t>
  </si>
  <si>
    <t>Golo</t>
  </si>
  <si>
    <t>NCT05543187</t>
  </si>
  <si>
    <t>A Study of TAK-625 for the Treatment of Progressive Familial Intrahepatic Cholestasis (PFIC)</t>
  </si>
  <si>
    <t>NCT05721287</t>
  </si>
  <si>
    <t>A Phase 1, Randomized, Placebo-Controlled Safety and Tolerability Study Of Intravenous SBS-1000 in Healthy Adults</t>
  </si>
  <si>
    <t>Sparian Biosciences, Inc</t>
  </si>
  <si>
    <t>NCT06113328</t>
  </si>
  <si>
    <t>A Clinical Study of MK-6194 for the Treatment of Vitiligo (MK-6194-007)</t>
  </si>
  <si>
    <t>NCT05616793</t>
  </si>
  <si>
    <t>Safety and Tolerability Subretinal OPGx-001 for LCA5-Associated Inherited Retinal Degeneration (LCA5-IRD) and Non-interventional Arm With Untreated Patients</t>
  </si>
  <si>
    <t>Opus Genetics, Inc</t>
  </si>
  <si>
    <t>NCT05323812</t>
  </si>
  <si>
    <t>ASURE: Alzheimer Study Using oRal Edaravone</t>
  </si>
  <si>
    <t>Treeway B.V.</t>
  </si>
  <si>
    <t>NCT05629234</t>
  </si>
  <si>
    <t>Roll Over StudY for Patients Who Have Completed a Previous Oncology Study With Osimertinib (TAGRISSO) (ROSY-T)</t>
  </si>
  <si>
    <t>NCT05882734</t>
  </si>
  <si>
    <t>Tuvusertib (M1774) in Combination With Cemiplimab in Participants With Non-Squamous NSCLC (DDRiver NSCLC 322)</t>
  </si>
  <si>
    <t>NCT06067230</t>
  </si>
  <si>
    <t>A Study to Investigate the Immunogenicity and Safety of mRNA-1345 Vaccine Targeting Respiratory Syncytial Virus (RSV) in High-risk Adults</t>
  </si>
  <si>
    <t>NCT05757570</t>
  </si>
  <si>
    <t>An Open-label Study of Povetacicept in Participants With Autoimmune Cytopenias</t>
  </si>
  <si>
    <t>NCT06277167</t>
  </si>
  <si>
    <t>A Phase I Study in Healthy Participants</t>
  </si>
  <si>
    <t>Kexing Biopharm Co., Ltd.</t>
  </si>
  <si>
    <t>NCT05901311</t>
  </si>
  <si>
    <t>A Study of [14C]-LY3537982 in Healthy Participants</t>
  </si>
  <si>
    <t>NCT05808634</t>
  </si>
  <si>
    <t>Phase 1 Study Evaluating BA3182 in Patients With Advanced Adenocarcinoma.</t>
  </si>
  <si>
    <t>NCT06118021</t>
  </si>
  <si>
    <t>A Study of HS-20094 Evaluating Weight Loss in Obese and Overweight Chinese Subjects</t>
  </si>
  <si>
    <t>NCT05674721</t>
  </si>
  <si>
    <t>A Bioequivalence Study of Advil PM Liqui-Gels Minis (Ibuprofen/Diphenhydramine Hydrochloride 200 mg/25 mg) Compared to the Current Marketed Advil PM Liqui-Gels (Ibuprofen/Diphenhydramine Hydrochloride 200 mg/25 mg) in Healthy Adult Subjects Under Fasted Conditions</t>
  </si>
  <si>
    <t>NCT06054555</t>
  </si>
  <si>
    <t>A Study to Evaluate ABP 206 Compared With OPDIVO® (Nivolumab) in Subjects With Unresectable or Metastatic Melanoma</t>
  </si>
  <si>
    <t>NCT06153355</t>
  </si>
  <si>
    <t>A First-In-Human Study of LY3839840 in Healthy Participants</t>
  </si>
  <si>
    <t>NCT05822843</t>
  </si>
  <si>
    <t>A Phase 1 Study of ESG206 in Adult Subjects With B-cell Lymphoid Malignancies</t>
  </si>
  <si>
    <t>NCT06037148</t>
  </si>
  <si>
    <t>Study to Evaluate Safety, Tolerability and Explorative Efficacy of DM-101PX in Birch Pollen Allergic Participants</t>
  </si>
  <si>
    <t>NCT04947033</t>
  </si>
  <si>
    <t>A Study Evaluating TJ210001 in the Treatment of Subjects With Advanced Solid Tumors</t>
  </si>
  <si>
    <t>NCT05795816</t>
  </si>
  <si>
    <t>Effectiveness of Testofen Compared to Placebo on Long COVID Symptoms</t>
  </si>
  <si>
    <t>NCT05987332</t>
  </si>
  <si>
    <t>IDE196 (Darovasertib) in Combination With Crizotinib as First-line Therapy in Metastatic Uveal Melanoma</t>
  </si>
  <si>
    <t>NCT05821933</t>
  </si>
  <si>
    <t>RC108 Combine With Furmonertinib With/Without Toripalimab in Patients With EGFR-mutated NSCLC</t>
  </si>
  <si>
    <t>NCT05955391</t>
  </si>
  <si>
    <t>TGRX-326 Chinese Phase II for Advanced Non-small Cell Lung Cancer (NSCLC)</t>
  </si>
  <si>
    <t>NCT05860374</t>
  </si>
  <si>
    <t>A Clinical Study on Oncolytic Virus Injection (R130) for the Treatment of Advanced Solid Tumors</t>
  </si>
  <si>
    <t>NCT05985590</t>
  </si>
  <si>
    <t>A Study to Investigate the Effects of BMS-986278 on Drospirenone and Ethinyl Estradiol Drug Levels in Healthy Female Participants</t>
  </si>
  <si>
    <t>NCT06081920</t>
  </si>
  <si>
    <t>A Study of IBI363 in Subjects With Advanced Melanoma</t>
  </si>
  <si>
    <t>NCT06040541</t>
  </si>
  <si>
    <t>Study of RMC-9805 in Participants With KRAS G12D-Mutant Solid Tumors</t>
  </si>
  <si>
    <t>NCT05719805</t>
  </si>
  <si>
    <t>A Study to Evaluate the Effects of Mavacamten in Healthy Participants</t>
  </si>
  <si>
    <t>NCT06124794</t>
  </si>
  <si>
    <t>The Efficacy and Safety of Protoxin in Subjects With Moderate to Severe Glabellar Lines</t>
  </si>
  <si>
    <t>NCT05798117</t>
  </si>
  <si>
    <t>An Open-label, Study to Assess Safety, Efficacy and Cellular Kinetics of YTB323 in Severe, Refractory Systemic Lupus Erythematosus</t>
  </si>
  <si>
    <t>NCT06227585</t>
  </si>
  <si>
    <t>Feasibility and Efficacy Study for Bevonescein-Assisted Nerve Visualization in Head &amp; Neck Surgery</t>
  </si>
  <si>
    <t>NCT06136624</t>
  </si>
  <si>
    <t>Study of Opevesostat (MK-5684) Versus Alternative NHA in mCRPC (MK-5684-003)</t>
  </si>
  <si>
    <t>NCT05886374</t>
  </si>
  <si>
    <t>A Study of HMPL-415S1 in Patients With Advanced Malignant Solid Tumors</t>
  </si>
  <si>
    <t>NCT05845398</t>
  </si>
  <si>
    <t>Phase 1b Study of DCR-AUD in Healthy Volunteers</t>
  </si>
  <si>
    <t>NCT05515406</t>
  </si>
  <si>
    <t>A Study to Investigate the Safety, Tolerability, PK, PD, and Efficacy of ONO-7018 in Patients With R/R NHL or CLL</t>
  </si>
  <si>
    <t>NCT06355349</t>
  </si>
  <si>
    <t>To Evaluate the Safety and PK Characteristics in Healthy Volunteers</t>
  </si>
  <si>
    <t>NCT05567185</t>
  </si>
  <si>
    <t>A Study of Erdafitinib Intravesical Delivery System in Japanese Participants With Bladder Cancer</t>
  </si>
  <si>
    <t>NCT05580770</t>
  </si>
  <si>
    <t>Mirdametinib + BGB-3245 in Advanced Solid Tumors</t>
  </si>
  <si>
    <t>NCT05627323</t>
  </si>
  <si>
    <t>CAR T Cells in Patients With MMP2+ Recurrent or Progressive Glioblastoma</t>
  </si>
  <si>
    <t>Chimeric Therapeutics</t>
  </si>
  <si>
    <t>NCT06164873</t>
  </si>
  <si>
    <t>A Study of IBI362 9 mg in Chinese Adults With Obesity</t>
  </si>
  <si>
    <t>NCT06013241</t>
  </si>
  <si>
    <t>A Study of the Efficacy and Safety of Brensocatib in Participants With Chronic Rhinosinusitis Without Nasal Polyps (CRSsNP)</t>
  </si>
  <si>
    <t>NCT06112756</t>
  </si>
  <si>
    <t>A Study to Learn About How Elinzanetant Works and How Safe it is in Women Having Sleep Disturbances Associated With Menopause</t>
  </si>
  <si>
    <t>NCT05605522</t>
  </si>
  <si>
    <t>A Study of [225Ac]-FPI-2059 in Adult Participants With Solid Tumours</t>
  </si>
  <si>
    <t>3B Pharmaceuticals GmbH</t>
  </si>
  <si>
    <t>NCT05891366</t>
  </si>
  <si>
    <t>Single Ascending Dose Study of WAL0921 in Healthy Subjects</t>
  </si>
  <si>
    <t>Walden Biosciences</t>
  </si>
  <si>
    <t>NCT06040918</t>
  </si>
  <si>
    <t>Single Center Study Of N-803 Stimulation On Expansion, Enrichment, Proliferation Of Natural Killer Cells Collected By Apheresis</t>
  </si>
  <si>
    <t>NCT06025396</t>
  </si>
  <si>
    <t>Multiple Ascending Dose Study of TMP-301 in Healthy Subjects</t>
  </si>
  <si>
    <t>Tempero Bio, Inc.</t>
  </si>
  <si>
    <t>NCT06032546</t>
  </si>
  <si>
    <t>A Study to Assess Change in Disease Activity, Adverse Events, and How the Drug Moves Through the Body in Adult Participants Living With Human Immunodeficiency Virus (HIV) Receiving Intravenous (IV) Infusion or Subcutaneous (SC) Injection of Budigalimab and/or ABBV-382</t>
  </si>
  <si>
    <t>NCT05911464</t>
  </si>
  <si>
    <t>A Phase I Study of HS-10386 in Participants With Advanced Solid Tumors</t>
  </si>
  <si>
    <t>NCT05875493</t>
  </si>
  <si>
    <t>A Food Effect Study of JAB-21822 in Healthy Subjects</t>
  </si>
  <si>
    <t>NCT06007638</t>
  </si>
  <si>
    <t>A Single and Multiple Ascending Dose Study of LY3876602 in Healthy Participants</t>
  </si>
  <si>
    <t>NCT05466643</t>
  </si>
  <si>
    <t>A Study to Investigate the Effect of DWP16001 as add-on Therapy to Drug A in Patients With Type 2 Diabetes Mellitus</t>
  </si>
  <si>
    <t>NCT05990725</t>
  </si>
  <si>
    <t>Effectiveness and Safety of Lebrikizumab Treatment in Adults and Adolescents With Moderate-to-Severe Atopic Dermatitis</t>
  </si>
  <si>
    <t>NCT05980416</t>
  </si>
  <si>
    <t>Study of EO-3021 in Adult Patients With Solid Tumors Likely to Express CLDN18.2</t>
  </si>
  <si>
    <t>NCT05599815</t>
  </si>
  <si>
    <t>Part 1 - A Clinical Trial in Patients With Frequently Relapsing and Steroid-Dependent Nephrotic Syndrome</t>
  </si>
  <si>
    <t>NCT06359847</t>
  </si>
  <si>
    <t>Study of ST-1898 in Locally Advanced or Metastatic Radioiodine-Refractory Differentiated Thyroid Cancer</t>
  </si>
  <si>
    <t>NCT05660967</t>
  </si>
  <si>
    <t>Subcutaneous Epcoritamab With or Without Lenalidomide as First Line Therapy for Diffuse Large B-Cell Lymphoma</t>
  </si>
  <si>
    <t>NCT05994534</t>
  </si>
  <si>
    <t>PK and PD Study of NPI-001 and Cysteamine Bitartrate</t>
  </si>
  <si>
    <t>NCT06165809</t>
  </si>
  <si>
    <t>A Clinical Trial of TQB3015 Tablets in Patients With Advanced Malignant Cancer</t>
  </si>
  <si>
    <t>NCT05966480</t>
  </si>
  <si>
    <t>Phase 2 Placebo-Controlled Study to Assess the Safety and Efficacy of ESK-001 in Active Systemic Lupus Erythematosus</t>
  </si>
  <si>
    <t>NCT05917288</t>
  </si>
  <si>
    <t>A Study of Belimumab in Chinese Pediatric Participants With Systemic Lupus Erythematosus</t>
  </si>
  <si>
    <t>NCT06092268</t>
  </si>
  <si>
    <t>A Phase IB/II Clinical Study of SHR-A2009 for Injection in Combination With Other Antitumor Therapies in Patients With Advanced Solid Tumors</t>
  </si>
  <si>
    <t>NCT06778850</t>
  </si>
  <si>
    <t>A Phase I/IIa Clinical Study to Assess the Single and Multiple Ascending Doses of MDR-001 Tablets in Healthy Participants and Obese/ Overweight Participants</t>
  </si>
  <si>
    <t>MindRank AI Ltd</t>
  </si>
  <si>
    <t>NCT05592418</t>
  </si>
  <si>
    <t>Study to Evaluate the Efficacy and Safety of Ampligen in Patients With Post-COVID Conditions</t>
  </si>
  <si>
    <t>AIM ImmunoTech Inc.</t>
  </si>
  <si>
    <t>NCT06081062</t>
  </si>
  <si>
    <t>Evaluate the Safety and Efficacy of Fabagal® (Agalsidase Beta) in Patients With Fabry Disease</t>
  </si>
  <si>
    <t>NCT06029127</t>
  </si>
  <si>
    <t>A Study of Gimistotug (BGB-A445) in Combination With Other Investigational Agents in Participants With Non-Small Cell Lung Cancer</t>
  </si>
  <si>
    <t>NCT06086886</t>
  </si>
  <si>
    <t>A Study to Evaluate the Safety, Tolerability and Drug Levels of BMS-986454 in Healthy Participants</t>
  </si>
  <si>
    <t>NCT05937750</t>
  </si>
  <si>
    <t>A Long-term Follow-up Trial of Patients Previously Treated With Imlifidase Prior to Kidney Transplantation and a Non-comparative Transplanted Patient Group</t>
  </si>
  <si>
    <t>NCT06052462</t>
  </si>
  <si>
    <t>A Study of Carbon-14-Labelled [14C] LY3556050 in Healthy Male Participants</t>
  </si>
  <si>
    <t>NCT06178991</t>
  </si>
  <si>
    <t>A Study to Evaluate the Safety, Tolerability, and Immunogenicity of a Combined Modified RNA Vaccine Candidate Against COVID-19 and Influenza.</t>
  </si>
  <si>
    <t>NCT05913232</t>
  </si>
  <si>
    <t>Study of Safety and Efficacy of H-1337 in Subjects With Primary Open Angle Glaucoma or Ocular Hypertension</t>
  </si>
  <si>
    <t>D. Western Therapeutics Institute, Inc.</t>
  </si>
  <si>
    <t>NCT05921006</t>
  </si>
  <si>
    <t>Ascending Single-Dose and Multiple-Dose Study to Evaluate RJ4287 in Healthy Subjects</t>
  </si>
  <si>
    <t>Nanjing Ruijie Pharma Co., Ltd.</t>
  </si>
  <si>
    <t>NCT06362460</t>
  </si>
  <si>
    <t>Mass Balance Study of [14C]RAY1216 in Healthy Adult Male Subjects in China</t>
  </si>
  <si>
    <t>NCT05813288</t>
  </si>
  <si>
    <t>A Study to Assess the Effect of Dexpramipexole in Adolescents and Adults With Severe Eosinophilic Asthma (EXHALE-3)</t>
  </si>
  <si>
    <t>NCT06154291</t>
  </si>
  <si>
    <t>FIH XON7 in Advanced/Metastatic Solid Tumors</t>
  </si>
  <si>
    <t>NCT06249997</t>
  </si>
  <si>
    <t>An Open-Label Study to Assess the Safety &amp; Efficacy of Leniolisib in Japanese Patients With APDS</t>
  </si>
  <si>
    <t>NCT05688124</t>
  </si>
  <si>
    <t>NCT05866861</t>
  </si>
  <si>
    <t>A Study in Participants With Mild-to-moderate Systemic Lupus Erythematosus</t>
  </si>
  <si>
    <t>NCT05891496</t>
  </si>
  <si>
    <t>A Research Study Looking at the Effect of Semaglutide on the Immune System and Other Biological Processes in People With Alzheimer's Disease</t>
  </si>
  <si>
    <t>NCT05504837</t>
  </si>
  <si>
    <t>A Study Assessing KB407 for the Treatment of Cystic Fibrosis</t>
  </si>
  <si>
    <t>NCT05860296</t>
  </si>
  <si>
    <t>Testing Experimental Anti-cancer Drug SLC-391 With an Approved Immunotherapy Drug, Pembrolizumab, for Advanced Lung Cancers</t>
  </si>
  <si>
    <t>NCT05518188</t>
  </si>
  <si>
    <t>Melpida: Recombinant Adeno-associated Virus (Serotype 9) Encoding a Codon Optimized Human AP4M1 Transgene (hAP4M1opt)</t>
  </si>
  <si>
    <t>Elpida Therapeutics SPC</t>
  </si>
  <si>
    <t>NCT05760703</t>
  </si>
  <si>
    <t>Evaluate the Safety and Efficacy of STSG-0002 Injection in Patients With Chronic Hepatitis B</t>
  </si>
  <si>
    <t>NCT06079983</t>
  </si>
  <si>
    <t>JSKN003 Versus Treatment Of Physician'S Choice For HER2-low, Unresectable and/or Metastatic Breast Cancer Subjects</t>
  </si>
  <si>
    <t>NCT05678205</t>
  </si>
  <si>
    <t>A Clinical Trial of the Safety and Anti-Tumor Activity of AB-201 in Subjects With Advanced HER2+ Solid Tumors</t>
  </si>
  <si>
    <t>NCT04884256</t>
  </si>
  <si>
    <t>Safety and Efficacy Study of CBT-004 in Patients With Vascularized Pinguecula</t>
  </si>
  <si>
    <t>NCT05462522</t>
  </si>
  <si>
    <t>A Study to Evaluate the Safety, Tolerability, and Pharmacokinetics of RO7303509 in Participants With Systemic Sclerosis</t>
  </si>
  <si>
    <t>NCT05639751</t>
  </si>
  <si>
    <t>PRT3789 Monotherapy and in Combo w/Docetaxel in Participants w/Advanced or Metastatic Solid Tumors w/SMARCA4 Mutation</t>
  </si>
  <si>
    <t>NCT06023095</t>
  </si>
  <si>
    <t>A Study of LY3502970 in Chinese Participants With Obesity or Are Overweight With Weight-related Comorbidities</t>
  </si>
  <si>
    <t>NCT05773846</t>
  </si>
  <si>
    <t>A Study to Evaluate Analgesic Efficacy and Safety of PRF-110 for Post-surgical Pain</t>
  </si>
  <si>
    <t>PainReform LTD</t>
  </si>
  <si>
    <t>NCT05687903</t>
  </si>
  <si>
    <t>A Study of TAK-861 in Participants With Narcolepsy Type 1</t>
  </si>
  <si>
    <t>NCT05673694</t>
  </si>
  <si>
    <t>To Evaluate a Phase Ia/Ib Clinical Study of EG017 in Patients With Advanced Breast Cancer.</t>
  </si>
  <si>
    <t>NCT05649722</t>
  </si>
  <si>
    <t>An Extension Study of Treprostinil Palmitil Inhalation Powder (TPIP) for Pulmonary Hypertension Associated With Interstitial Lung Disease (PH-ILD)</t>
  </si>
  <si>
    <t>NCT05987488</t>
  </si>
  <si>
    <t>ShigETEC Vaccine Study in Bangladesh</t>
  </si>
  <si>
    <t>NCT06300905</t>
  </si>
  <si>
    <t>Clinical Study on Malodor</t>
  </si>
  <si>
    <t>NCT05881837</t>
  </si>
  <si>
    <t>Efficacy and Safety of HRS9531 Injection in Obese Subjects Without Diabetes</t>
  </si>
  <si>
    <t>NCT05818137</t>
  </si>
  <si>
    <t>A Study of Sotatercept in Japanese Pulmonary Arterial Hypertension (PAH) Participants (MK-7962-020)</t>
  </si>
  <si>
    <t>NCT05946941</t>
  </si>
  <si>
    <t>A Study to Evaluate the Efficacy and Safety of Deucravacitinib in Adults With Active Sjögren's Syndrome</t>
  </si>
  <si>
    <t>NCT05383170</t>
  </si>
  <si>
    <t>A Study to Evaluate the Safety and Efficacy of CyPep-1 in Combination With Pembrolizumab for the Treatment of Advanced or Metastatic Cancers</t>
  </si>
  <si>
    <t>NCT05896254</t>
  </si>
  <si>
    <t>Study of MAR001 in Adults With Metabolic Dysfunction</t>
  </si>
  <si>
    <t>Marea Therapeutics</t>
  </si>
  <si>
    <t>NCT05965583</t>
  </si>
  <si>
    <t>A Study in Healthy Men to Test How Itraconazole Influences the Amount of BI 1815368 in the Blood</t>
  </si>
  <si>
    <t>NCT06057454</t>
  </si>
  <si>
    <t>R-5280 in Newly Diagnosed Patients With Type 1 Diabetes</t>
  </si>
  <si>
    <t>NCT06086912</t>
  </si>
  <si>
    <t>A Clinical Study to Compare the Bioavailability of HR17031 in Healthy Subjects at Different Sites</t>
  </si>
  <si>
    <t>NCT05969236</t>
  </si>
  <si>
    <t>A Study of MDI-1228_mesylate Ophthalmic Solution in Healthy Adults</t>
  </si>
  <si>
    <t>Shanghai Medinno Pharmaceutical Technology Co., Ltd.</t>
  </si>
  <si>
    <t>NCT06295432</t>
  </si>
  <si>
    <t>A Phase II Clinical Trial of DZD9008 in Combination With AZD4205 in Standard Treatment Failed NSCLC Patients With EGFR Mutations (WU-KONG21)</t>
  </si>
  <si>
    <t>NCT06378684</t>
  </si>
  <si>
    <t>To Evaluate the Safety and Pharmacokinetic Interactions in Healthy Volunteers</t>
  </si>
  <si>
    <t>NCT05727904</t>
  </si>
  <si>
    <t>Study to Investigate Lifileucel Regimen Plus Pembrolizumab Compared With Pembrolizumab Alone in Participants With Untreated Advanced Melanoma.</t>
  </si>
  <si>
    <t>NCT05703984</t>
  </si>
  <si>
    <t>A Study to Evaluate the Safety, PK of GC2129A in Healthy Volunteers Under Fasting Conditions</t>
  </si>
  <si>
    <t>NCT05895565</t>
  </si>
  <si>
    <t>A Multiple Ascending Doses (MAD) Study of PMG1015 in Idiopathic Pulmonary Fibrosis Subjects</t>
  </si>
  <si>
    <t>NCT06047171</t>
  </si>
  <si>
    <t>Rescue of Nephrons With ALE.F02 (RENAL-F02)</t>
  </si>
  <si>
    <t>NCT05636267</t>
  </si>
  <si>
    <t>Study of AK119 and AK112 With or Without Chemotherapy for NSCLC Patients</t>
  </si>
  <si>
    <t>NCT06243614</t>
  </si>
  <si>
    <t>Phase Ⅲ Clinical Trial of Buagafuran Capsules in the Treatment of GAD</t>
  </si>
  <si>
    <t>NCT05737121</t>
  </si>
  <si>
    <t>Safety and Efficacy Study of VNX001 Compared to Its Individual Components (Lidocaine and Heparin) or Placebo in Subjects With IC/BPS</t>
  </si>
  <si>
    <t>Vaneltix Pharma, Inc.</t>
  </si>
  <si>
    <t>NCT06075667</t>
  </si>
  <si>
    <t>A Study of Tirzepatide (LY3298176) Once Weekly in Adolescent Participants Who Have Obesity or Overweight With Weight-Related Comorbidities</t>
  </si>
  <si>
    <t>NCT05697809</t>
  </si>
  <si>
    <t>Suprachoroidal Sustained-Release OXU-001 Compared to Intravitreal Ozurdex® in the Treatment of Diabetic Macular Edema</t>
  </si>
  <si>
    <t>NCT05781906</t>
  </si>
  <si>
    <t>Human Mass Balance of [14C]HMPL-523 in Healthy Adult Male Chinese Subjects</t>
  </si>
  <si>
    <t>NCT06095973</t>
  </si>
  <si>
    <t>Dose-Escalation, Single Dose Study to Evaluate the Safety, Tolerability, Pharmacokinetics and Pharmacodynamics of GB-6002 Local Infiltration in Healthy Male Adults</t>
  </si>
  <si>
    <t>NCT06173505</t>
  </si>
  <si>
    <t>Study of Vudalimab or Pembrolizumab in Combination With Chemotherapy as First-line Treatment in Patients With Advanced NSCLC</t>
  </si>
  <si>
    <t>NCT05627856</t>
  </si>
  <si>
    <t>A Study of GNC-038 Injection in Patients With Relapsed or Refractory NK/ T-cell Lymphoma, AITL, and Other NHL</t>
  </si>
  <si>
    <t>NCT05844631</t>
  </si>
  <si>
    <t>The Effects of the GOLO for Life® Plan and Release Supplement on Weight Management in Overweight and Obese Adults</t>
  </si>
  <si>
    <t>NCT05890794</t>
  </si>
  <si>
    <t>Pilot Trial of Single Dose Ilofotase Alfa in Hypophosphatasia</t>
  </si>
  <si>
    <t>NCT05571839</t>
  </si>
  <si>
    <t>A Study of PF-08046049/SGN-BB228 in Advanced Melanoma and Other Solid Tumors</t>
  </si>
  <si>
    <t>NCT06042894</t>
  </si>
  <si>
    <t>A Study of SI-B003 or BL-B01D1+SI-B003 in Patients With Unresectable Locally Advanced or Recurrent Metastatic HER2 Negative Breast Cancer</t>
  </si>
  <si>
    <t>NCT05614245</t>
  </si>
  <si>
    <t>Safety, Tolerability, and Immunogenicity of Trivalent Coronavirus Vaccine Candidate VBI-2901e With E6020 Adjuvant</t>
  </si>
  <si>
    <t>NCT05955872</t>
  </si>
  <si>
    <t>A Study Evaluating the Relative Bioavailability and Food Effect of a Tablet Formulation of VX-147</t>
  </si>
  <si>
    <t>NCT06361277</t>
  </si>
  <si>
    <t>To Evaluate the Pharmacokinetic Characteristics and Safety in Healthy Volunteers</t>
  </si>
  <si>
    <t>NCT06004856</t>
  </si>
  <si>
    <t>Evaluate the Efficacy and Safety of Orelabrutinib in Adult Patients With Chronic Primary Immune Thrombocytopenia</t>
  </si>
  <si>
    <t>NCT05735366</t>
  </si>
  <si>
    <t>A Phase 1 Study of SAIL66 in Patients With CLDN6-positive Locally Advanced or Metastatic Solid Tumors</t>
  </si>
  <si>
    <t>NCT05838729</t>
  </si>
  <si>
    <t>Study of RiMO-301 and Radiotherapy With PD-1 Inhibitor for the Treatment of Head-Neck Cancer</t>
  </si>
  <si>
    <t>NCT06166472</t>
  </si>
  <si>
    <t>A Study to Evaluate the Safety, Tolerance, Pharmacokinetics, and Preliminary Antineoplastic Activity of AK132 in Advanced Malignant Solid Tumor</t>
  </si>
  <si>
    <t>NCT06010329</t>
  </si>
  <si>
    <t>A Study to Evaluate the Efficacy and Safety of Sutetinib Maleate Capsule in Locally Advanced or Metastatic NSCLC</t>
  </si>
  <si>
    <t>NCT05803772</t>
  </si>
  <si>
    <t>A Study to Evaluate Efficacy and Safety of Distal Jejunal-release Dextrose Beads Formulation in Subjects With a Pathological Oral Glucose Tolerance Test</t>
  </si>
  <si>
    <t>NCT06013839</t>
  </si>
  <si>
    <t>TXA127 in Non-Ambulant Patients With DMD Cardiomyopathy</t>
  </si>
  <si>
    <t>NCT06074783</t>
  </si>
  <si>
    <t>A Study of Human Allogeneic Bone-marrow Derived Mesenchymal Stromal Cell Product (StromaForte) in Patients With Musculoskeletal Injuries and/or Degeneration</t>
  </si>
  <si>
    <t>NCT06129409</t>
  </si>
  <si>
    <t>Effects of NT-0796 in Obese Participants at Risk of Cardiovascular Disease</t>
  </si>
  <si>
    <t>NodThera Limited</t>
  </si>
  <si>
    <t>NCT06031844</t>
  </si>
  <si>
    <t>A Study to Investigate the Efficacy, Safety, and Tolerability of DFV890 for Inflammatory Marker Reduction in Adult Participants With Coronary Heart Disease and Elevated hsCRP</t>
  </si>
  <si>
    <t>NCT06277128</t>
  </si>
  <si>
    <t>A Study to Evaluate the Safety and Efficacy of WS016 in Patients With Hyperkalemia.</t>
  </si>
  <si>
    <t>NCT05063565</t>
  </si>
  <si>
    <t>TheraSphere With Durvalumab and Tremelimumab for HCC</t>
  </si>
  <si>
    <t>NCT05800665</t>
  </si>
  <si>
    <t>A Study Evaluating the Safety, Pharmacokinetics, and Activity of RO7656594 In Participants With Advanced or Metastatic Prostate Cancer</t>
  </si>
  <si>
    <t>NCT06097299</t>
  </si>
  <si>
    <t>A Study of mRNA-1345, an mRNA Vaccine Targeting Respiratory Syncytial Virus, in Children 2 to &lt;18 Years of Age at High Risk of Respiratory Syncytial Virus</t>
  </si>
  <si>
    <t>NCT05881707</t>
  </si>
  <si>
    <t>A Clinical Trial to Compare the Pharmacokinetic and Safety of CKD-828 20/1.25mg</t>
  </si>
  <si>
    <t>NCT05913336</t>
  </si>
  <si>
    <t>A Study of Remimazolam Tosilate for Prolonged Sedation in the ICU</t>
  </si>
  <si>
    <t>NCT05806099</t>
  </si>
  <si>
    <t>A Safety, Tolerability, Pharmacokinetics, Pharmacodynamics and Efficacy Study of MBS303 in B-Cell NHL</t>
  </si>
  <si>
    <t>NCT06488664</t>
  </si>
  <si>
    <t>An Efficacy and Safety Study of GNR-068 (Ustekinumab Biosimilar) and Stelara® in the Treatment of Patients With Moderate to Severe Plaque Psoriasis</t>
  </si>
  <si>
    <t>NCT06049095</t>
  </si>
  <si>
    <t>A Phase 1 Single and Multiple Ascending Dose Study of LTG-001 Administered Orally in Healthy Participants</t>
  </si>
  <si>
    <t>Latigo Biotherapeutics</t>
  </si>
  <si>
    <t>NCT06072612</t>
  </si>
  <si>
    <t>Study of the Bria-IMT Regimen and CPI vs Physicians' Choice in Advanced Metastatic Breast Cancer.</t>
  </si>
  <si>
    <t>BriaCell Therapeutics Corporation</t>
  </si>
  <si>
    <t>NCT05939167</t>
  </si>
  <si>
    <t>Mesenchymal Stem Cells Treatment for AIDS Patients at Late Stage</t>
  </si>
  <si>
    <t>Cell Energy Life Sciences Group Co. LTD</t>
  </si>
  <si>
    <t>NCT05143307</t>
  </si>
  <si>
    <t>Long-Term Follow-Up Study of HIV-1 Infected Adults Who Received EBT-101</t>
  </si>
  <si>
    <t>NCT05701644</t>
  </si>
  <si>
    <t>Study To Evaluate the Safety, Tolerability, and Pharmacokinetics After Subcutaneous Administration of C1K in Healthy Subjects</t>
  </si>
  <si>
    <t>NCT06072794</t>
  </si>
  <si>
    <t>A Proof of Concept Study to Evaluate Exosomes From Human Mesenchymal Stem Cells in Women With Premature Ovarian Insufficiency (POI)</t>
  </si>
  <si>
    <t>NCT05995340</t>
  </si>
  <si>
    <t>ELAPR002f Injectable Gel in the Treatment of Atrophic Acne Scars</t>
  </si>
  <si>
    <t>NCT05907291</t>
  </si>
  <si>
    <t>Evaluate the Safety, Efficacy, and Pharmacokinetics of CRN04894 in Participants With Congenital Adrenal Hyperplasia (TouCAHn)</t>
  </si>
  <si>
    <t>NCT05671510</t>
  </si>
  <si>
    <t>ONC-392 Versus Docetaxel in Metastatic NSCLC That Progressed on PD-1/PD-L1 Inhibitors</t>
  </si>
  <si>
    <t>NCT05766969</t>
  </si>
  <si>
    <t>Diabetic Neuropathic Pain Relief, 6 Weeks Dosage Sublingual Water-soluble CBD/PEA</t>
  </si>
  <si>
    <t>Pure Green Pharmaceuticals Inc.</t>
  </si>
  <si>
    <t>NCT06799637</t>
  </si>
  <si>
    <t>Study of XNW28012 in Subjects With Advanced Solid Tumors Who Failed Standard Treatments</t>
  </si>
  <si>
    <t>NCT05831995</t>
  </si>
  <si>
    <t>Safety and Effectiveness of ABM-168 in Adults with Advanced Solid Tumors.</t>
  </si>
  <si>
    <t>NCT06048536</t>
  </si>
  <si>
    <t>Dose-finding Study of MR-130A-01 Contraceptive Transdermal Patch</t>
  </si>
  <si>
    <t>NCT06336629</t>
  </si>
  <si>
    <t>A Study Assessing the Efficacy and Safety of Combined Use of Clascoterone 1% Cream and Duac Gel (Benzoyl Peroxide/Clindamycin) for the Treatment of Acne</t>
  </si>
  <si>
    <t>NCT05797831</t>
  </si>
  <si>
    <t>Study of Navtemadlin as Maintenance Therapy in TP53WT Advanced or Recurrent Endometrial Cancer</t>
  </si>
  <si>
    <t>NCT05884801</t>
  </si>
  <si>
    <t>Phase I Study of QLS1103 in Subjects With Advanced Solid Tumors</t>
  </si>
  <si>
    <t>NCT05888831</t>
  </si>
  <si>
    <t>A Study of BMS-986449 With and Without Nivolumab in Participants With Advanced Solid Tumors</t>
  </si>
  <si>
    <t>NCT05543928</t>
  </si>
  <si>
    <t>Phase 3 Safety and Efficacy Study of CTAP101 Extended-release Capsules in Children With Secondary Hyperparathyroidism</t>
  </si>
  <si>
    <t>NCT06008028</t>
  </si>
  <si>
    <t>A Study to Evaluate the Pharmacokinetics and the Safety After Administration of "BR1015" and Co-administration of "BR1015-1" and "BR1015-2" Under Fasting Conditions in Healthy Volunteers</t>
  </si>
  <si>
    <t>NCT05329792</t>
  </si>
  <si>
    <t>L19IL2/L19TNF in Skin Cancer Patients</t>
  </si>
  <si>
    <t>NCT06305351</t>
  </si>
  <si>
    <t>A Study to Evaluate the Safety, Tolerability, Pharmacokinetics, and Pharmacodynamics of K-757 and K-833 in Overweight/Obese Patients With Type 2 Diabetes</t>
  </si>
  <si>
    <t>NCT06593145</t>
  </si>
  <si>
    <t>CAR T Cells in the Treatment of Refractory and Relapsed CD19+ B Cell Neoplasms</t>
  </si>
  <si>
    <t>FamiCordTx</t>
  </si>
  <si>
    <t>NCT05775575</t>
  </si>
  <si>
    <t>A Clinical Trial of TQB3909 Tablets in Patients With Breast Cancer</t>
  </si>
  <si>
    <t>NCT05739383</t>
  </si>
  <si>
    <t>A Study of Inclisiran to Prevent Cardiovascular Events in High-risk Primary Prevention Patients.</t>
  </si>
  <si>
    <t>NCT06010875</t>
  </si>
  <si>
    <t>A Clinical Research About CD70-targeted CAR-T in the Treatment of CD70-positive Advanced/Metastatic Solid Tumors</t>
  </si>
  <si>
    <t>NCT05139719</t>
  </si>
  <si>
    <t>A Study to Explore the Therapeutic Effect of HEC585 on Delaying Forced Vital Capacity (FVC) Decline and Tolerance in Progressive Fibrosing Interstitial Lung Disease (PF-ILD) Patients</t>
  </si>
  <si>
    <t>NCT06188520</t>
  </si>
  <si>
    <t>A First-in-human Dose Escalation and Expansion Study to Evaluate the Safety, and Tolerability of AZD8421 Alone or in Combination in Participants With Selected Advanced or Metastatic Solid Tumors</t>
  </si>
  <si>
    <t>NCT06181786</t>
  </si>
  <si>
    <t>Study of NAV-240 in Healthy Volunteers</t>
  </si>
  <si>
    <t>Navigator Medicines, Inc.</t>
  </si>
  <si>
    <t>NCT05789069</t>
  </si>
  <si>
    <t>A Study of HFB200603 as a Single Agent and in Combination With Tislelizumab in Adult Patients With Advanced Solid Tumors</t>
  </si>
  <si>
    <t>NCT05823883</t>
  </si>
  <si>
    <t>This Study is to Compare and Evaluate the Safety and Pharmacokinetic Characteristics (PK) After Administration of DW6014 and Each Component in Healthy Adult Volunteers in Fed Condition.</t>
  </si>
  <si>
    <t>NCT05985694</t>
  </si>
  <si>
    <t>AD17002 Treating Poorly Controlled, Moderate to Severe Eosinophilic Asthma</t>
  </si>
  <si>
    <t>NCT06045624</t>
  </si>
  <si>
    <t>A First in Human Single and Multiple Ascending Dose and Open Label Food Effect Study of OR-101 in Healthy Subjects</t>
  </si>
  <si>
    <t>Ornovi, Inc.</t>
  </si>
  <si>
    <t>NCT06685796</t>
  </si>
  <si>
    <t>A Study of BEBT-209 in Combination With Chemotherapy for the Treatment of Advanced Triple-Negative Breast Cancer</t>
  </si>
  <si>
    <t>NCT05184088</t>
  </si>
  <si>
    <t>Efficacy of [18F]Florbetaben PET for Diagnosis of Cardiac AL Amyloidosis</t>
  </si>
  <si>
    <t>Lantheus Germany GmbH</t>
  </si>
  <si>
    <t>NCT06101342</t>
  </si>
  <si>
    <t>Study of Lenacapavir and Emtricitabine/Tenofovir Disoproxil Fumarate (F/TDF) for Prevention of HIV in People Who Inject Drugs (HPTN 103)</t>
  </si>
  <si>
    <t>NCT06169059</t>
  </si>
  <si>
    <t>To Evaluate the Safety and Pharmacokinetic Characteristics After Multiple Administration of JC-013 and JLP-2004</t>
  </si>
  <si>
    <t>NCT05787496</t>
  </si>
  <si>
    <t>A Safety, Tolerability and Efficacy Study of NC525 in Subjects With Advanced Myeloid Neoplasms</t>
  </si>
  <si>
    <t>NCT06185673</t>
  </si>
  <si>
    <t>A Study to Evaluate the Safety and Clinical Activity of Intramuscular Doses of BB-301 Administered to Subjects With Oculopharyngeal Muscular Dystrophy With Dysphagia</t>
  </si>
  <si>
    <t>Benitec Biopharma, Inc.</t>
  </si>
  <si>
    <t>NCT05583188</t>
  </si>
  <si>
    <t>Neoadjuvant Aliya™ PEF Soft Tissue Ablation With Systemic Therapy in Early-Stage Resectable NSCLC</t>
  </si>
  <si>
    <t>Galvanize Therapeutics, Inc.</t>
  </si>
  <si>
    <t>NCT05965570</t>
  </si>
  <si>
    <t>A Study to Investigate Effect of Clarithromycin, a Strong CYP3A4 Inhibitor, on Brensocatib Pharmacokinetics in Healthy Participants</t>
  </si>
  <si>
    <t>NCT05861427</t>
  </si>
  <si>
    <t>Study of Oral Atogepant Tablets to Assess Change in Disease Activity in Adult Japanese Participants With Episodic Migraine</t>
  </si>
  <si>
    <t>NCT05772169</t>
  </si>
  <si>
    <t>Study to Determine the Prevalence of Hypercortisolism in Patients With Type 2 Diabetes and Treatment With Korlym® (Mifepristone) (CATALYST)</t>
  </si>
  <si>
    <t>NCT05700669</t>
  </si>
  <si>
    <t>Study to Assess Safety and Efficacy of AsiDNA in Combination with Olaparib in Participants with Recurrent Solid Tumors</t>
  </si>
  <si>
    <t>Valerio Therapeutics</t>
  </si>
  <si>
    <t>NCT05770882</t>
  </si>
  <si>
    <t>Chidamide + Regorafenib in Hepatocellular Carcinoma (HCC)</t>
  </si>
  <si>
    <t>Great Novel Therapeutics Biotech &amp; Medicals Corporation</t>
  </si>
  <si>
    <t>NCT05696080</t>
  </si>
  <si>
    <t>Safety and Immunogenicity of V116 in Adults With Increased Risk for Pneumococcal Disease (V116-008)</t>
  </si>
  <si>
    <t>NCT05991661</t>
  </si>
  <si>
    <t>XKH001 Injection in Healthy Subjects</t>
  </si>
  <si>
    <t>NCT05654870</t>
  </si>
  <si>
    <t>Study to Evaluate the Efficacy, Safety, and Tolerability of Valbenazine as an Adjunctive Treatment for Schizophrenia</t>
  </si>
  <si>
    <t>NCT05862623</t>
  </si>
  <si>
    <t>Single and Multiple Ascending Dose Study of AER-01</t>
  </si>
  <si>
    <t>Aer Therapeutics</t>
  </si>
  <si>
    <t>NCT06365580</t>
  </si>
  <si>
    <t>Dose Escalation Study of Kylo-0603 in Healthy Subjects</t>
  </si>
  <si>
    <t>Kylonova (Xiamen) Biopharma co., LTD.</t>
  </si>
  <si>
    <t>NCT05827146</t>
  </si>
  <si>
    <t>Study of Hepalatide in Chronic Hepatitis D(CHD) Patients</t>
  </si>
  <si>
    <t>NCT05717686</t>
  </si>
  <si>
    <t>A Study Evaluating AHB-137 in Healthy Participants and Participants with Chronic Hepatitis B</t>
  </si>
  <si>
    <t>AusperBio Therapeutics Inc.</t>
  </si>
  <si>
    <t>NCT05875701</t>
  </si>
  <si>
    <t>Phase 3 Study of Novavax Vaccine(s) as Booster Dose After mRNA Vaccines</t>
  </si>
  <si>
    <t>NCT06084507</t>
  </si>
  <si>
    <t>Food Effects of GST-HG171 Tablets Combined With Ritonavir in Healthy Chinese Participants</t>
  </si>
  <si>
    <t>NCT06012136</t>
  </si>
  <si>
    <t>A Study to Evaluate the Safety, Tolerability, and Pharmacokinetics of a Single Suspension Injection of Investigational Capsid Inhibitors Compared to Placebo in Healthy Adults</t>
  </si>
  <si>
    <t>NCT05693909</t>
  </si>
  <si>
    <t>A Trial Testing SP-420 in Subjects With Transfusion-dependent β-thalassemia or Low-risk Myelodysplastic Syndromes</t>
  </si>
  <si>
    <t>NCT06145607</t>
  </si>
  <si>
    <t>A Phase 1 Study Assessing the Effect of Food on the Pharmacokinetics of ABBV- CLS-7262</t>
  </si>
  <si>
    <t>NCT05996445</t>
  </si>
  <si>
    <t>A Study of XmAb®662 as Monotherapy or in Combination With Pembrolizumab in Advanced Solid Tumors</t>
  </si>
  <si>
    <t>NCT06094777</t>
  </si>
  <si>
    <t>A Study of HY-0102 in Patients With Advanced Solid Tumors</t>
  </si>
  <si>
    <t>NCT05886075</t>
  </si>
  <si>
    <t>A Clinical Study on Oncolytic Virus Injection (R130) for the Treatment of Relapsed/Refractory Advanced Solid Tumors</t>
  </si>
  <si>
    <t>NCT05438407</t>
  </si>
  <si>
    <t>Pediatric Patients Aged 4 to 11 Years With APDS</t>
  </si>
  <si>
    <t>NCT05930704</t>
  </si>
  <si>
    <t>Study to Evaluate the Safety, Tolerability, Pharmacokinetics, and Pharmacodynamics of SHR-2017 Injection in Postmenopausal Women</t>
  </si>
  <si>
    <t>NCT06010004</t>
  </si>
  <si>
    <t>A Long-term Safety Study of Orforglipron (LY3502970) in Participants With Type 2 Diabetes</t>
  </si>
  <si>
    <t>NCT06305104</t>
  </si>
  <si>
    <t>Clinical Trial to Explore the Skin Test Dosage of EEC in People Aged 18 to 65 Years Old and the Safety and Preliminary Efficacy in People Aged 3 to 75 Years Old.</t>
  </si>
  <si>
    <t>NCT05677347</t>
  </si>
  <si>
    <t>Phase 1, Single and Repeat Dose Study to Assess Safety, Tolerability, and Pharmacokinetics (PK) of GSK3923868 in Participants With Chronic Obstructive Pulmonary Disease (COPD)</t>
  </si>
  <si>
    <t>NCT05984784</t>
  </si>
  <si>
    <t>A Study to Evaluate the Safety, Pharmacokinetics, and Efficacy of IMG-007 in Adults With Atopic Dermatitis (AD)</t>
  </si>
  <si>
    <t>NCT05716763</t>
  </si>
  <si>
    <t>Bioequivalence of IMP 08P1902F0 Relative to Contramal® (100 mg/mL Oral Solution)</t>
  </si>
  <si>
    <t>NCT06214130</t>
  </si>
  <si>
    <t>Bioavailability of Orfiril Long 500 mg Prolonged-Release Minitablets and Ergenyl Chrono 500 mg Prolonged-Release Tablets</t>
  </si>
  <si>
    <t>NCT06020664</t>
  </si>
  <si>
    <t>NOX1416 in Treatment of Chronic Non-Healing Diabetic Foot Ulcers (NTCDU)</t>
  </si>
  <si>
    <t>NOxy Health Products, LLC</t>
  </si>
  <si>
    <t>NCT06137287</t>
  </si>
  <si>
    <t>A Study to Assess Adverse Events and Change of Masseter Muscle Prominence Using BOTOX Injections in Adult Participants</t>
  </si>
  <si>
    <t>NCT05765487</t>
  </si>
  <si>
    <t>Using Thermography to Assess the Affects of Sildenafil Cream, 3.6%</t>
  </si>
  <si>
    <t>NCT05845814</t>
  </si>
  <si>
    <t>A Study of Efficacy and Safety of Pembrolizumab Plus Enfortumab Vedotin (EV) +/- Investigational Agents in First-Line Metastatic Urothelial Carcinoma (mUC) (MK-3475-04B/KEYMAKER-U04)</t>
  </si>
  <si>
    <t>NCT06075706</t>
  </si>
  <si>
    <t>Trial of Efficacy and Safety of MC0518 Versus Best Available Therapy in Participants With Steroid-Refractory Acute Graft Versus Host Disease</t>
  </si>
  <si>
    <t>NCT06060977</t>
  </si>
  <si>
    <t>A Study to Evaluate the Safety, Pharmacokinetics and Efficacy of IMG-007 in Adult Alopecia Areata Participants</t>
  </si>
  <si>
    <t>NCT05656092</t>
  </si>
  <si>
    <t>A Study to Evaluate the Effiacy and Safety of HIP0612 in Patients With Gastric Ulcer</t>
  </si>
  <si>
    <t>NCT06057402</t>
  </si>
  <si>
    <t>Elranatamab Post Trial Access Study for Participants With Multiple Myeloma (MM)</t>
  </si>
  <si>
    <t>NCT05661344</t>
  </si>
  <si>
    <t>A Study to Test How BI 1015550 is Taken up in the Blood of People With and Without Liver Problems</t>
  </si>
  <si>
    <t>NCT05804045</t>
  </si>
  <si>
    <t>Study of Pimicotinib (ABSK021) for Tenosynovial Giant Cell Tumor (MANEUVER)</t>
  </si>
  <si>
    <t>NCT05909995</t>
  </si>
  <si>
    <t>Interventional Study of INCB 99280 With Ipilimumab in Participants With Select Solid Tumors</t>
  </si>
  <si>
    <t>NCT06064812</t>
  </si>
  <si>
    <t>A Phase I/II Study of FWD1802 in Patients With ER+/HER2- Advanced BC.</t>
  </si>
  <si>
    <t>NCT04406727</t>
  </si>
  <si>
    <t>UB-421 in Combination With Optimized Background Regimen in Patients With Multi-drug Resistant HIV-1 Infection</t>
  </si>
  <si>
    <t>NCT06406205</t>
  </si>
  <si>
    <t>A Study of QLG1074 Combined With Background Therapy in Subjects With Active Lupus Nephritis</t>
  </si>
  <si>
    <t>NCT06130722</t>
  </si>
  <si>
    <t>First-in-Human, Phase I, Open-label, Multicenter, Dose Escalation Clinical Study</t>
  </si>
  <si>
    <t>Suzhou Forlong Biotechnology Co., Ltd</t>
  </si>
  <si>
    <t>NCT05727644</t>
  </si>
  <si>
    <t>A Research Study Looking Into Blood and Urine Levels of the Medicine NNC0194-0499 in the Body and How Well it is Tolerated in Participants With Reduced Kidney Function and Normal Kidney Function</t>
  </si>
  <si>
    <t>NCT06052267</t>
  </si>
  <si>
    <t>A Study to Test if a Fixed-Dose Combination of Fluticasone Propionate/Albuterol Sulfate is Effective in Preventing Asthma Exacerbations</t>
  </si>
  <si>
    <t>NCT05918211</t>
  </si>
  <si>
    <t>Fontan Udenafil Exercise Longitudinal Assessment Trial - 2</t>
  </si>
  <si>
    <t>Mezzion Pharma Co. Ltd</t>
  </si>
  <si>
    <t>NCT06139393</t>
  </si>
  <si>
    <t>Clinical Study of HR091506 Tablets in Treatment of Gout With Hyperuricemia in Adults</t>
  </si>
  <si>
    <t>NCT05648357</t>
  </si>
  <si>
    <t>A Study to Assess the Safety and Immune Response of Quadrivalent Seasonal Influenza Vaccine (Fluarix Tetra) in Participants Aged 65 Years and Older in India</t>
  </si>
  <si>
    <t>NCT05767892</t>
  </si>
  <si>
    <t>YK-029A as First-Line Treatment Versus Platinum-Based Chemotherapy for Non-Small Cell Lung Cancer (NSCLC) With EGFR Exon 20 Insertion Mutations</t>
  </si>
  <si>
    <t>Suzhou Puhe Pharmaceutical Technology Co., LTD</t>
  </si>
  <si>
    <t>NCT05908734</t>
  </si>
  <si>
    <t>A Study of Combination Therapy With Amivantamab and Cetrelimab in Participants With Metastatic Non-small Cell Lung Cancer</t>
  </si>
  <si>
    <t>NCT05907057</t>
  </si>
  <si>
    <t>An Open-label Phase 3b Study of Ivosidenib in Combination With Azacitidine in Adult Patients Newly Diagnosed With IDH1m Acute Myeloid Leukemia (AML) Ineligible for Intensive Induction Chemotherapy.</t>
  </si>
  <si>
    <t>NCT05751928</t>
  </si>
  <si>
    <t>A Study of Neoadjuvant Therapy With BCD-217 (Nurulimab + Prolgolimab) in Patients With Resectable Stage III Skin Melanoma</t>
  </si>
  <si>
    <t>NCT05712265</t>
  </si>
  <si>
    <t>Study to Evaluate the Effects of a Cytochrome P450 2C19 Inhibitor on the Pharmacokinetics of Miricorilant</t>
  </si>
  <si>
    <t>NCT05822713</t>
  </si>
  <si>
    <t>A Comparison of the Efficacy of Amisulpride and Placebo in the Prevention of PONV in Patients at Moderate-to-high Risk of PONV.</t>
  </si>
  <si>
    <t>NCT05989724</t>
  </si>
  <si>
    <t>A First-in-Human Study of SON-DP in Participants With Relapsed/Refractory Intolerant to Standard of Care Therapies for Advanced/Metastatic Solid Tumors</t>
  </si>
  <si>
    <t>Qurgen Inc.</t>
  </si>
  <si>
    <t>NCT05969041</t>
  </si>
  <si>
    <t>Study of MT-302 in Adults With Advanced or Metastatic Epithelial Tumors</t>
  </si>
  <si>
    <t>NCT05871541</t>
  </si>
  <si>
    <t>A First-in-Human Study to Evaluate JCXH-105, an SrRNA-based Herpes Zoster Vaccine</t>
  </si>
  <si>
    <t>NCT05770180</t>
  </si>
  <si>
    <t>Phase II Clinical Trial of Recombinant COVID-19 Variant Vaccine (Sf9 Cell)</t>
  </si>
  <si>
    <t>NCT06048588</t>
  </si>
  <si>
    <t>YN001 in Healthy Subjects and Patients With Coronary Atherosclerosis</t>
  </si>
  <si>
    <t>NCT05983770</t>
  </si>
  <si>
    <t>Safety and Efficacy of Tegoprubart in Patients Undergoing Kidney Transplantation</t>
  </si>
  <si>
    <t>NCT05738382</t>
  </si>
  <si>
    <t>Efficacy and Safety of BG2109 During Controlled Ovarian Hyperstimulation in Female Subjects Undergoing ART Procedures</t>
  </si>
  <si>
    <t>NCT05944224</t>
  </si>
  <si>
    <t>A Study to Efficacy and Safety of SPH4336 Monotherapy or in Combination With Cadonilimab in Patients With Advanced Solid Tumors.</t>
  </si>
  <si>
    <t>NCT05491603</t>
  </si>
  <si>
    <t>A Trial to Evaluate the Safety and Efficacy of DBI-001 Gel, DBI-002 Gel, and Aqueous Gel in Subjects With Onychomycosis</t>
  </si>
  <si>
    <t>NCT05715320</t>
  </si>
  <si>
    <t>Study of CM310 Injection in Subjects With Moderate-to-Severe Atopic Dermatitis</t>
  </si>
  <si>
    <t>NCT05936359</t>
  </si>
  <si>
    <t>NCT05738291</t>
  </si>
  <si>
    <t>A Study in Healthy Men to Test How Well Multiple Doses of BI 1839100 Are Tolerated and How BI 1839100 Influences the Amount of Other Medicines in the Blood</t>
  </si>
  <si>
    <t>NCT05858710</t>
  </si>
  <si>
    <t>Study of DPPG2-TSL-DOX Combined With Hyperthermia in Soft Tissue Sarcoma</t>
  </si>
  <si>
    <t>Thermosome GmbH</t>
  </si>
  <si>
    <t>NCT05678959</t>
  </si>
  <si>
    <t>Long-term Extension Study of Ligelizumab in Food Allergy</t>
  </si>
  <si>
    <t>NCT05874180</t>
  </si>
  <si>
    <t>A Pharmacokinetic Study of DW6013 (FDC of Linagliptin and Metformin) in Healthy Adult Volunteers in Fed Condition</t>
  </si>
  <si>
    <t>NCT06092788</t>
  </si>
  <si>
    <t>Safety, Pharmacokinetics (PK) and Relative Bioavailability of NTP42:KVA4 as a Solid Oral Dose</t>
  </si>
  <si>
    <t>NCT05736731</t>
  </si>
  <si>
    <t>A Study to Evaluate the Safety and Efficacy of A2B530, a Logic-gated CAR T, in Participants With Solid Tumors That Express CEA and Have Lost HLA-A*02 Expression</t>
  </si>
  <si>
    <t>A2 Biotherapeutics Inc.</t>
  </si>
  <si>
    <t>NCT05867030</t>
  </si>
  <si>
    <t>Parsaclisib in Patients With Relapsed or Refractory Follicular Lymphoma</t>
  </si>
  <si>
    <t>NCT05926765</t>
  </si>
  <si>
    <t>A Study of AAV2-hAQP1 Gene Therapy in Participants With Radiation-Induced Late Xerostomia</t>
  </si>
  <si>
    <t>NCT05868707</t>
  </si>
  <si>
    <t>OH2 Injection in Melanoma</t>
  </si>
  <si>
    <t>NCT05935033</t>
  </si>
  <si>
    <t>A Study to Evaluate the Effect of Hepatic Impairment on the Pharmacokinetics of Emraclidine</t>
  </si>
  <si>
    <t>NCT05927649</t>
  </si>
  <si>
    <t>A TQTc Study for Omaveloxolone</t>
  </si>
  <si>
    <t>NCT06361355</t>
  </si>
  <si>
    <t>Study of CMAB807 Post-change in Manufacturing Site and Prolia in Healthy Volunteers</t>
  </si>
  <si>
    <t>NCT06380699</t>
  </si>
  <si>
    <t>Study to Assess PK, Safety and Tolerability in Healthy Subjects</t>
  </si>
  <si>
    <t>NCT05914909</t>
  </si>
  <si>
    <t>Safety, Tolerability, PK and PD Study of AD-214 Administered to Healthy Volunteers and Patients With Interstitial Lung Disease or Chronic Kidney Disease</t>
  </si>
  <si>
    <t>NCT05632393</t>
  </si>
  <si>
    <t>A Study to Measure Daridorexant in Breast Milk of Healthy Lactating Women</t>
  </si>
  <si>
    <t>NCT06497036</t>
  </si>
  <si>
    <t>Study of Efficacy, Safety and Immunogenicity of GP40141 (GEROPHARM, Russia) in Patients With Immune Thrombocytopenia</t>
  </si>
  <si>
    <t>NCT06226064</t>
  </si>
  <si>
    <t>A Study to Evaluate the Safety, Tolerability, Pharmacokinetics, and Pharmacodynamics of VES001 in Healthy Participants</t>
  </si>
  <si>
    <t>Vesper Biotechnologies ApS</t>
  </si>
  <si>
    <t>NCT06180109</t>
  </si>
  <si>
    <t>Bioequivalence Study of Empagliflozin 25 mg Film Coated Tablets of Humanis, Turkey and Jardiance (Empagliflozin) 25 mg Film-coated Tablets of Boehringer Ingelheim International GmbH, Germany in Normal, Healthy, Adult, Human Subjects Under Fasting Condition</t>
  </si>
  <si>
    <t>NCT05539963</t>
  </si>
  <si>
    <t>A Feasibility Trial to Investigate the Safety and Between-group Effect Size of STIMULAN VG and Standard of Care (SoC) in Participants With Diabetic Foot Osteomyelitis</t>
  </si>
  <si>
    <t>Biocomposites Ltd</t>
  </si>
  <si>
    <t>NCT06757452</t>
  </si>
  <si>
    <t>The Effect of Supplementation with Curcuminoids for the Improvement of Musculoskeletal Conditions in Sedentary Adults</t>
  </si>
  <si>
    <t>Lissette Ariza Corredor</t>
  </si>
  <si>
    <t>NCT06136455</t>
  </si>
  <si>
    <t>A Study to Investigate Salivary Flow and Potential of Hydrogen (pH) Following Use of Essential-Oil Containing Mouthwashes</t>
  </si>
  <si>
    <t>NCT05788484</t>
  </si>
  <si>
    <t>A Study of CDX-585 in Patients With Advanced Malignancies</t>
  </si>
  <si>
    <t>NCT06030258</t>
  </si>
  <si>
    <t>IN10018 Combination Therapy in Treatment-naïve ES-SCLC</t>
  </si>
  <si>
    <t>NCT05814393</t>
  </si>
  <si>
    <t>To Evaluate the Efficacy and Safety of JW0201 Added on in Patients With Type 2 Diabetes Mellitus</t>
  </si>
  <si>
    <t>NCT06175949</t>
  </si>
  <si>
    <t>A Randomized, Double-Blind, Dose-Escalation, Placebo-Controlled Phase I Clinical Trial Investigating the Safety, Tolerability, Pharmacokinetics, and Pharmacodynamics of Single and Multiple Oral Doses of HRS-7085 Tablets in Healthy Subjects, With Assessment of Food Effects</t>
  </si>
  <si>
    <t>NCT05801237</t>
  </si>
  <si>
    <t>PE0116 and PE0105 Injection in Treatment of Patients With Advanced Solid Tumor</t>
  </si>
  <si>
    <t>NCT06133166</t>
  </si>
  <si>
    <t>A Study for the Treatment of Dry Eye in Postmenopausal Women</t>
  </si>
  <si>
    <t>NCT06044077</t>
  </si>
  <si>
    <t>A Clinical Trial to Evaluate the Immunogenicity and Safety of the 23-valent Pneumococcal Polysaccharide Vaccine in Healthy People</t>
  </si>
  <si>
    <t>Aimei Vacin BioPharm (Zhejiang) Co., Ltd.</t>
  </si>
  <si>
    <t>NCT04522375</t>
  </si>
  <si>
    <t>A Dose Escalation Study of FP-045 in Patients With Fanconi Anemia</t>
  </si>
  <si>
    <t>NCT05818956</t>
  </si>
  <si>
    <t>A Study of TAK-227 in Healthy Adults</t>
  </si>
  <si>
    <t>NCT06070051</t>
  </si>
  <si>
    <t>Dose-Escalation Prime/Boost Therapeutic Vaccination Study Of 2 Chimp Adenoviral Vectors in Adults With Chronic HBV On Nucleos(t)Ide Therapy</t>
  </si>
  <si>
    <t>Virion Therapeutics</t>
  </si>
  <si>
    <t>NCT05506462</t>
  </si>
  <si>
    <t>An EEG Study of Intravenous Ketamine for Major Depression Disorder</t>
  </si>
  <si>
    <t>Ehave Inc.</t>
  </si>
  <si>
    <t>NCT06911554</t>
  </si>
  <si>
    <t>A Study of Recombinant Human Albumin Injection to Treat Hypoalbuminemia in Cirrhotic Patients With Ascites</t>
  </si>
  <si>
    <t>Tonghua Anrate Biopharmaceutical Co., Ltd.</t>
  </si>
  <si>
    <t>NCT06026254</t>
  </si>
  <si>
    <t>A Rollover Study for Subjects Who Completed Participation in IMSA101-101 Trial</t>
  </si>
  <si>
    <t>NCT06238388</t>
  </si>
  <si>
    <t>Metabolism and Excretory of HSK21542 in Maintenance Hemodialysis Patients</t>
  </si>
  <si>
    <t>NCT05983627</t>
  </si>
  <si>
    <t>Safety and Tolerance of Umbilical Cord Mesenchymal Stem Cells in Patients With Acute Respiratory Distress Syndrome</t>
  </si>
  <si>
    <t>NCT05889156</t>
  </si>
  <si>
    <t>Study of the Efficacy and Safety of NST-1024 Versus Placebo in Subjects With Hypertriglyceridemia</t>
  </si>
  <si>
    <t>NCT05974046</t>
  </si>
  <si>
    <t>Single Dose Study of [14C]-IDV184001AN ([14C]-IDV184001) in Healthy Adult Male Participants</t>
  </si>
  <si>
    <t>NCT05938270</t>
  </si>
  <si>
    <t>A Study to Investigate the Biological Effects of Saruparib (AZD5305), Darolutamide, and in Combination in Men With Newly Diagnosed Prostate Cancer.</t>
  </si>
  <si>
    <t>NCT05960851</t>
  </si>
  <si>
    <t>A Study of LY3871801 in Healthy Asian and Non-Asian Participants</t>
  </si>
  <si>
    <t>NCT07319351</t>
  </si>
  <si>
    <t>Safety and Preliminary Efficacy of TISA-818 Injection in Patients With Acute Respiratory Distress Syndrome</t>
  </si>
  <si>
    <t>NCT05990127</t>
  </si>
  <si>
    <t>A Study of AK104/Tislelizumab With Chemotherapy as First-line Treatment in PD-L1 TPS &lt; 1% Non-small Cell Lung Cancer</t>
  </si>
  <si>
    <t>NCT06172894</t>
  </si>
  <si>
    <t>PBMC-based Leukocyte Immunotherapy</t>
  </si>
  <si>
    <t>invIOs GmbH</t>
  </si>
  <si>
    <t>NCT05708573</t>
  </si>
  <si>
    <t>Potential Drug Interaction Between ALXN2040 and Rosuvastatin</t>
  </si>
  <si>
    <t>NCT05919069</t>
  </si>
  <si>
    <t>A Phase I Study to Investigate the Effect of Hepatic Impairment on the PK, Safety, and Tolerability of AZD2693</t>
  </si>
  <si>
    <t>NCT05722522</t>
  </si>
  <si>
    <t>NCT06558032</t>
  </si>
  <si>
    <t>Bioequivalence Study of Tamsulosin 0.4 mg Sustained Release Film-coated Tablets</t>
  </si>
  <si>
    <t>NCT05762458</t>
  </si>
  <si>
    <t>The Study of Ammoxetine Hydrochloride Enteric-coated Tablets in Subjects With Depression</t>
  </si>
  <si>
    <t>NCT05882058</t>
  </si>
  <si>
    <t>DAREON™-5: A Study to Test Whether Different Doses of BI 764532 Help People With Small Cell Lung Cancer or Other Neuroendocrine Cancers</t>
  </si>
  <si>
    <t>NCT05805826</t>
  </si>
  <si>
    <t>To Understand the Safety and Effects of a C. Difficile Vaccine With New Adds-Ons That Will Be Given to Healthy Adults</t>
  </si>
  <si>
    <t>NCT06106009</t>
  </si>
  <si>
    <t>A Study to Learn How Different Amounts of the Study Medicine Called PF-07976016 Are Tolerated and Act in The Body in Healthy Adults</t>
  </si>
  <si>
    <t>NCT05958199</t>
  </si>
  <si>
    <t>A Study of NPX267 for Subjects With Solid Tumors Known to Express HHLA2/B7-H7</t>
  </si>
  <si>
    <t>NextPoint Therapeutics, Inc.</t>
  </si>
  <si>
    <t>NCT06159114</t>
  </si>
  <si>
    <t>Efficacy and Safety of Ningmitai Capsule Alone or Combined With Celecoxib in the Treatment of CP/CPPS</t>
  </si>
  <si>
    <t>NCT06030414</t>
  </si>
  <si>
    <t>A Study to Determine the Tolerability of Intranasal LMN-301</t>
  </si>
  <si>
    <t>NCT06658652</t>
  </si>
  <si>
    <t>The Effect of Food and Water Volume in Healthy Adult Participants Administered Enlicitide Decanoate (MK-0616) (MK-0616-022)</t>
  </si>
  <si>
    <t>NCT05537038</t>
  </si>
  <si>
    <t>Safety and Immune Responses After Vaccination With Two Investigational RNA-based Vaccines Against Tuberculosis in Healthy Volunteers</t>
  </si>
  <si>
    <t>NCT06015048</t>
  </si>
  <si>
    <t>A Trial of SHR-A1811 Combined With Other Antitumor Therapies in Advanced Solid Tumors.</t>
  </si>
  <si>
    <t>NCT06068855</t>
  </si>
  <si>
    <t>A Study to Assess the Effectiveness of BOTOX (Botulinum Toxin Type A) Injections for the Change of Masseter Muscle Prominence in Adult Participants</t>
  </si>
  <si>
    <t>NCT05653284</t>
  </si>
  <si>
    <t>A Study of AK130 in Patients With Advanced Malignant Tumors</t>
  </si>
  <si>
    <t>NCT06194188</t>
  </si>
  <si>
    <t>A Phase 2 Clinical Study of CU-20401</t>
  </si>
  <si>
    <t>NCT04620291</t>
  </si>
  <si>
    <t>Study for Evaluation of the Safety, Pharmacokinetics, and Antiviral Activity of UB-421 Subcutaneous Formulation in HIV Infected Adults</t>
  </si>
  <si>
    <t>NCT06171113</t>
  </si>
  <si>
    <t>A Study to Investigate the Safety of GSK4024484 in Healthy Adult Participants</t>
  </si>
  <si>
    <t>NCT06143046</t>
  </si>
  <si>
    <t>A Study of mRNA-1345 Vaccine Targeting Respiratory Syncytial Virus in Pregnant Women and in Infants Born to Vaccinated Mothers</t>
  </si>
  <si>
    <t>NCT05792410</t>
  </si>
  <si>
    <t>A Phase Ⅰb/Ⅱ Clinical Study of SHR-A1811 Combined With Other Therapies in Patients With HER2 Low Advanced or Metastatic Breast Cancer.</t>
  </si>
  <si>
    <t>NCT06176196</t>
  </si>
  <si>
    <t>Evaluation of Efficacy and Safety of VX-548 for Painful Lumbosacral Radiculopathy (PLSR)</t>
  </si>
  <si>
    <t>NCT06094296</t>
  </si>
  <si>
    <t>A Study of BMS-986315 and Nivolumab in Combination With Chemotherapy in Participants With First-line Stage IV or Recurrent Non-small Cell Lung Cancer (NSCLC)</t>
  </si>
  <si>
    <t>NCT06044350</t>
  </si>
  <si>
    <t>A Clinical Trial of BAT4406F Injection in Patients With Neuromyelitis Optica Spectrum Disorders</t>
  </si>
  <si>
    <t>NCT05703282</t>
  </si>
  <si>
    <t>A Study to Assess the Safety and Pharmacokinetics of AD-104-A</t>
  </si>
  <si>
    <t>NCT05722262</t>
  </si>
  <si>
    <t>Study to Demonstrate the Bioequivalence of Single Oral Administration of K-001 Relative to Single Oral Coadministration of Separate Tablets of K-877-ER and CSG452</t>
  </si>
  <si>
    <t>NCT06042920</t>
  </si>
  <si>
    <t>A Study to Evaluate Effectiveness and Safety of Deucravacitinib in Participants With Non-Pustular Palmoplantar and Genital Psoriasis</t>
  </si>
  <si>
    <t>NCT06496568</t>
  </si>
  <si>
    <t>A Study Evaluating Single-agent Inavolisib, Inavolisib Plus Atezolizumab in PIK3CA-Mutated Cancers</t>
  </si>
  <si>
    <t>NCT05204368</t>
  </si>
  <si>
    <t>Evaluation of the Efficacy and Safety of Intravenous Imipenem/Cilastatin/XNW4107 in Comparison With Meropenem in Hospitalized Adults With cUTI Including AP (EudraCT no. 2022-000061-40)</t>
  </si>
  <si>
    <t>NCT06423872</t>
  </si>
  <si>
    <t>A SAD Study of ZT002 Injection in Healthy Participants</t>
  </si>
  <si>
    <t>NCT06547528</t>
  </si>
  <si>
    <t>A Phase I Study to Investigate the Tolerability and Safety of ONO-4685 Given as Monotherapy in T Cell Lymphoma and CLL/SLL</t>
  </si>
  <si>
    <t>NCT05915728</t>
  </si>
  <si>
    <t>A Study to Compare How Well Gadoquatrane Works and Its Safety With an Already Available Contrast Agent for MRI in People With Any Known or Suspected Problems of the Body (Except Brain or Spinal Cord-related Problems)</t>
  </si>
  <si>
    <t>NCT05791565</t>
  </si>
  <si>
    <t>Green (Sustainable) VENTOLIN - Pharmacokinetics (PK) Study in Healthy Participants</t>
  </si>
  <si>
    <t>NCT05642507</t>
  </si>
  <si>
    <t>Phase Ib/IIa Trial With AC01 in Patients With HFrEF</t>
  </si>
  <si>
    <t>AnaCardio AB</t>
  </si>
  <si>
    <t>NCT06168799</t>
  </si>
  <si>
    <t>Ilofotase Alfa for Prevention of Renal Damage After Cardiac Surgery</t>
  </si>
  <si>
    <t>NCT05718167</t>
  </si>
  <si>
    <t>TQB2450 Injection Combined With Chemotherapy Followed by Sequential Combination With Anlotinib Hydrochloride Capsule for First-line Treatment of Advanced Squamous Non-small Cell Lung Cancer.</t>
  </si>
  <si>
    <t>NCT04448106</t>
  </si>
  <si>
    <t>Autologous Adipose Tissue-Derived Mesenchymal Stem Cells (AdMSCs) for Osteoarthritis</t>
  </si>
  <si>
    <t>NCT06045806</t>
  </si>
  <si>
    <t>A Study to Compare the Efficacy and Safety of Idecabtagene Vicleucel With Lenalidomide Maintenance Therapy Versus Lenalidomide Maintenance Therapy Alone in Adult Participants With Newly Diagnosed Multiple Myeloma Who Have Suboptimal Response After Autologous Stem Cell Transplantation</t>
  </si>
  <si>
    <t>NCT06148948</t>
  </si>
  <si>
    <t>A Study in Healthy Men to Test How Well Different Doses of BI 1584862 Are Tolerated</t>
  </si>
  <si>
    <t>NCT05894343</t>
  </si>
  <si>
    <t>Long-term Follow-up of Glutamic Acid Decarboxylase (GAD) Gene Transfer in Parkinson's Disease</t>
  </si>
  <si>
    <t>NCT06186492</t>
  </si>
  <si>
    <t>A Phase 1 Research Study to Evaluate Safety, Tolerability, and Pharmacokinetics of WVE-006 in Healthy Participants With Wild-type AAT Expression (RestorAATion-1)</t>
  </si>
  <si>
    <t>NCT05522387</t>
  </si>
  <si>
    <t>An Open-Label Extension of XPro1595 in Patients With Alzheimer's Disease</t>
  </si>
  <si>
    <t>NCT05712187</t>
  </si>
  <si>
    <t>Phase 2b Study of ALTO-100 in MDD</t>
  </si>
  <si>
    <t>NCT06056921</t>
  </si>
  <si>
    <t>Safety and Efficacy of CD19 Targeted CAR-T Therapy for Refractory Autoimmune Disease</t>
  </si>
  <si>
    <t>NCT05769049</t>
  </si>
  <si>
    <t>The Safety and Immunogenicity Study of the Recombinant Zoster Vaccine (CHO Cell)</t>
  </si>
  <si>
    <t>NCT05935748</t>
  </si>
  <si>
    <t>Ph2 Study NKT2152 With Palbociclib &amp; Sasanlimab in Subjects With Advanced Clear Cell Renal Cell Carcinoma (ccRcc)</t>
  </si>
  <si>
    <t>NCT05648955</t>
  </si>
  <si>
    <t>Effect of an Oral Nutritional Supplement on Muscle Mass During Anticancer Treatment</t>
  </si>
  <si>
    <t>NCT05807971</t>
  </si>
  <si>
    <t>Assessment of Safety, Tolerability, Pharmacokinetics, and Pharmacodynamics of ATH-063 in Healthy Subjects</t>
  </si>
  <si>
    <t>Athos Therapeutics Inc</t>
  </si>
  <si>
    <t>NCT05887999</t>
  </si>
  <si>
    <t>A Study of LY3532226 in Participants With Type 1 Diabetes Mellitus</t>
  </si>
  <si>
    <t>NCT05447663</t>
  </si>
  <si>
    <t>A Study of Siremadlin Alone and in Combination With Donor Lymphocyte Infusion in Acute Myeloid Leukemia Post-allogeneic Stem Cell Transplant</t>
  </si>
  <si>
    <t>NCT05794204</t>
  </si>
  <si>
    <t>RMP-A03 Ocular Suspension in Patients With Pterygium</t>
  </si>
  <si>
    <t>Suzhou Raymon Pharmaceuticals Company, Ltd.</t>
  </si>
  <si>
    <t>NCT06088784</t>
  </si>
  <si>
    <t>A Study Assessing the Safety of Oral ATH-399A in Healthy Adult Participants</t>
  </si>
  <si>
    <t>NCT05959447</t>
  </si>
  <si>
    <t>Evaluation of the Potential Drug-drug Interactions Between Gemfibrozil or Dabigatran Etexilate and Camlipixant</t>
  </si>
  <si>
    <t>NCT05466799</t>
  </si>
  <si>
    <t>FOLFIRINOX Versus OncoSil™ in Addition to FOLFIRINOX in Patients With Locally Advanced Pancreatic Adenocarcinoma</t>
  </si>
  <si>
    <t>OncoSil Medical Limited</t>
  </si>
  <si>
    <t>NCT06035406</t>
  </si>
  <si>
    <t>A Trial of SP2086 With Hepatic Insufficiency</t>
  </si>
  <si>
    <t>NCT05706506</t>
  </si>
  <si>
    <t>A Study of Tirzepatide (LY3298176) in Adults With Type 2 Diabetes Switching From a GLP-1 RA (SURPASS-SWITCH-2)</t>
  </si>
  <si>
    <t>NCT05661955</t>
  </si>
  <si>
    <t>A Study to Investigate the Antitumor Activity, Safety, Tolerability, and Pharmacokinetics of BGB-A445 in Combination With Tislelizumab in Participants With Select Advanced Solid Tumors.</t>
  </si>
  <si>
    <t>NCT05592626</t>
  </si>
  <si>
    <t>A Study of a Selective T Cell Receptor (TCR) Targeting, Bifunctional Antibody-fusion Molecule STAR0602 in Participants With Advanced Solid Tumors</t>
  </si>
  <si>
    <t>Marengo Therapeutics, Inc.</t>
  </si>
  <si>
    <t>NCT06825312</t>
  </si>
  <si>
    <t>Immunogenicity, Safety, and Antibody Persistence of Different Immunization Strategies Against Japanese Encephalitis</t>
  </si>
  <si>
    <t>Liaoning Chengda Biotechnology CO., LTD</t>
  </si>
  <si>
    <t>NCT05875467</t>
  </si>
  <si>
    <t>Evaluation of Prototype for Simulation for Environmental Exposure Education (SE3)</t>
  </si>
  <si>
    <t>dfusion Inc</t>
  </si>
  <si>
    <t>NCT05723692</t>
  </si>
  <si>
    <t>A First-In-Human SAD and MAD Study to Evaluate the Safety, Tolerability, PK and PD of SC Administered ALTB-268 in Healthy Volunteers</t>
  </si>
  <si>
    <t>NCT05631964</t>
  </si>
  <si>
    <t>Phase I Clinical Study of BL-M07D1 in Locally Advanced or Metastatic Digestive Tract Tumors and Other Solid Tumors</t>
  </si>
  <si>
    <t>NCT05803421</t>
  </si>
  <si>
    <t>A Study of Daily Oral Orforglipron (LY3502970) Compared With Insulin Glargine in Participants With Type 2 Diabetes and Obesity or Overweight at Increased Cardiovascular Risk</t>
  </si>
  <si>
    <t>NCT03202147</t>
  </si>
  <si>
    <t>Safety and Efficacy of ALZT-OP1a as Adjuvant Treatment in Subjects With Post-Ischemic Stroke Cognitive Impairment (PSCI)</t>
  </si>
  <si>
    <t>NCT06137729</t>
  </si>
  <si>
    <t>A Study to Learn How the Study Medicine PF-07899895 Are Tolerated and Act in the Body of Healthy Adults</t>
  </si>
  <si>
    <t>NCT06177457</t>
  </si>
  <si>
    <t>A Study to Understand the Effect of Multiple Ascending Doses of PF-07293893 in Healthy Adult Participants</t>
  </si>
  <si>
    <t>NCT05769257</t>
  </si>
  <si>
    <t>A Safety and Feasibility Study of IS-001 Injection in Patients Undergoing Robotic Colorectal Surgery</t>
  </si>
  <si>
    <t>NCT05922709</t>
  </si>
  <si>
    <t>A Clinical Trial of CS12192 in Healthy Subjects</t>
  </si>
  <si>
    <t>NCT05983575</t>
  </si>
  <si>
    <t>A Pivotal Study of LIPUS-Brain in Patients With Early Alzheimer's Disease</t>
  </si>
  <si>
    <t>Sound Wave Innovation CO., LTD.</t>
  </si>
  <si>
    <t>NCT05751512</t>
  </si>
  <si>
    <t>A Study to Evaluate MRG003 vs Cetuximab/Methotrexate in in the Treatment of Patients With RM-SCCHN</t>
  </si>
  <si>
    <t>NCT06058000</t>
  </si>
  <si>
    <t>A Phase 2 Study of QLM3003 Ointment in Participants With Mild or Moderate Atopic Dermatitis</t>
  </si>
  <si>
    <t>NCT05927571</t>
  </si>
  <si>
    <t>A Study Evaluating the Safety, Pharmacokinetics, and Activity of the Combination of Cevostamab and Elranatamab in Participants With Relapsed or Refractory Multiple Myeloma (R/R MM)</t>
  </si>
  <si>
    <t>NCT05995964</t>
  </si>
  <si>
    <t>A Study To Learn About Two Study Medicines (PF-07275315 And PF-07264660) In People Who Have Moderate To Severe Atopic Dermatitis</t>
  </si>
  <si>
    <t>NCT05703009</t>
  </si>
  <si>
    <t>Effects of Sacrosidase and Placebo in Subjects With Fructan Intolerance</t>
  </si>
  <si>
    <t>NCT06054932</t>
  </si>
  <si>
    <t>Safety, Tolerability, and Immunogenicity of LK101 Alone in Participants With Incurable Solid Tumors</t>
  </si>
  <si>
    <t>Beijing Likang Life Science and Tech Co., Ltd.</t>
  </si>
  <si>
    <t>NCT06205082</t>
  </si>
  <si>
    <t>A Phase I Clinical Trial to Evaluate LIT-00814 Tablets in Patients With Advanced Solid Tumor</t>
  </si>
  <si>
    <t>LittDD Medicines Ltd</t>
  </si>
  <si>
    <t>NCT05667662</t>
  </si>
  <si>
    <t>Study to Evaluate Itraconazole Administered as Inhaled Dry Powder in Adults With Asthma and ABPA</t>
  </si>
  <si>
    <t>NCT05609942</t>
  </si>
  <si>
    <t>Study of Elenestinib (BLU-263) in Advanced Systemic Mastocytosis (AdvSM) and and Other KIT Altered Hematologic Malignancies</t>
  </si>
  <si>
    <t>NCT06116591</t>
  </si>
  <si>
    <t>A Phase 2 Study to Learn About a Monovalent Pneumococcal Conjugate Candidate in Healthy Toddlers</t>
  </si>
  <si>
    <t>NCT05940896</t>
  </si>
  <si>
    <t>RC48-ADC Combined With Radiotherapy in the Treatment of Locally Advanced Solid Tumors With HER2 Expression</t>
  </si>
  <si>
    <t>NCT05971940</t>
  </si>
  <si>
    <t>A Study of Orforglipron (LY3502970) in Adult Participants With Type 2 Diabetes and Inadequate Glycemic Control With Diet and Exercise Alone</t>
  </si>
  <si>
    <t>NCT06117020</t>
  </si>
  <si>
    <t>Single and Multiple Ascending Dose Study of MTR-601 in Healthy Individuals</t>
  </si>
  <si>
    <t>Motric Bio</t>
  </si>
  <si>
    <t>NCT05761223</t>
  </si>
  <si>
    <t>A Phase I/II, Open-label Study to Investigate the Safety, Tolerability, PK, and Preliminary Efficacy of FB849</t>
  </si>
  <si>
    <t>NCT06055023</t>
  </si>
  <si>
    <t>Phase I Clinical Study of ZL-82 Tablets</t>
  </si>
  <si>
    <t>NCT05713318</t>
  </si>
  <si>
    <t>A Study To Assess The Efficacy and Safety of HH-120 Nasal Spray for the Treatment of Mild COVID-19</t>
  </si>
  <si>
    <t>NCT04760288</t>
  </si>
  <si>
    <t>A Study of Pralsetinib Versus Standard of Care (SOC) for Treatment of RET-Mutated Medullary Thyroid Cancer (MTC).</t>
  </si>
  <si>
    <t>NCT05871970</t>
  </si>
  <si>
    <t>Safety and Efficacy Study of Intracystic TARA-002 for the Treatment of Lymphatic Malformations in Participants 6 Months to Less Than 18 Years of Age</t>
  </si>
  <si>
    <t>NCT05686070</t>
  </si>
  <si>
    <t>A Study to Test Asundexian for Preventing a Stroke Caused by a Clot in Participants After an Acute Ischemic Stroke or After a High-risk Transient Ischemic Attack, a So-called Mini Stroke</t>
  </si>
  <si>
    <t>NCT06110676</t>
  </si>
  <si>
    <t>A Study to Evaluate the Efficacy and Safety of LZM012</t>
  </si>
  <si>
    <t>NCT06752174</t>
  </si>
  <si>
    <t>A Study to Evaluate Safety and Immunogenicity of Sequential Vaccination of Sabin Inactivated Poliomyelitis Vaccine (Vero Cell) and Live Attenuated Poliomyelitis Vaccine in Healthy 2-month-old Infants</t>
  </si>
  <si>
    <t>NCT05945823</t>
  </si>
  <si>
    <t>Phase 2 Futibatinib in Combination With PD-1 Antibody Based Standard of Care in Solid Tumors</t>
  </si>
  <si>
    <t>NCT05845840</t>
  </si>
  <si>
    <t>A Study of BRII-297 in Healthy Adult Subjects</t>
  </si>
  <si>
    <t>NCT06049290</t>
  </si>
  <si>
    <t>A Phase I/II Clinical Trial of LBL-034 in Patients With Relapsed Refractory Multiple Myeloma</t>
  </si>
  <si>
    <t>NCT05759897</t>
  </si>
  <si>
    <t>A 16 Week Study of HRS-7535 in Adults With Type 2 Diabetes Mellitus</t>
  </si>
  <si>
    <t>NCT05790382</t>
  </si>
  <si>
    <t>Single and Multiple Ascending Dose Study to Assess Safety, Tolerability and Pharmacokinetics of NM-101</t>
  </si>
  <si>
    <t>Neuramedy Co. Ltd.</t>
  </si>
  <si>
    <t>NCT05712460</t>
  </si>
  <si>
    <t>A Study to Assess the Safety, Effects and Palatability of Sisunatovir in Healthy Adult Participants</t>
  </si>
  <si>
    <t>NCT05683496</t>
  </si>
  <si>
    <t>Efficacy and Safety of Lonigutamab in Subjects With Thyroid Eye Disease (TED)</t>
  </si>
  <si>
    <t>NCT05962762</t>
  </si>
  <si>
    <t>Safety and Tolerance of Umbilical Cord Mesenchymal Stem Cells (UC-MSC) in Patients With Ankylosing Spondylitis</t>
  </si>
  <si>
    <t>NCT05851456</t>
  </si>
  <si>
    <t>A Clinical Study on Oncolytic Virus Injection (R130) for the Treatment of Relapsed/Refractory Bone and Soft Tissue Tumors</t>
  </si>
  <si>
    <t>NCT05754853</t>
  </si>
  <si>
    <t>A Study of MRG002 Versus Investigator's Choice of Chemotherapy in the Treatment of Patients With HER2-positive Unresectable Advanced or Metastatic Urothelial Cancer</t>
  </si>
  <si>
    <t>NCT05630001</t>
  </si>
  <si>
    <t>Single Arm, Open Label Trial With Iptacopan Treatment for 24 Weeks, in Patients on Stable Regimen of Anti-C5 Who Switch to Iptacopan.</t>
  </si>
  <si>
    <t>NCT05712941</t>
  </si>
  <si>
    <t>Comparison of Letrozole With Lerociclib Versus Letrozole With Placebo Control in Patients With Advanced/Metastatic or Recurrent, Grade 1 or Grade 2 Endometrial Cancer</t>
  </si>
  <si>
    <t>NCT05877222</t>
  </si>
  <si>
    <t>A Phase 1 Trial to Investigate the Biological Equivalence of 5 × 10 mg Tablets and 2 × 25 mg Tablets of Daridorexant in Healthy Male and Female Japanese Participants</t>
  </si>
  <si>
    <t>NCT07116512</t>
  </si>
  <si>
    <t>A Study to Compare How Much of the Study Treatment Finerenone Gets Into the Blood When the Same Amount is Taken in One and in Two Tablets of Different Strengths in Healthy Male Participants</t>
  </si>
  <si>
    <t>NCT06130566</t>
  </si>
  <si>
    <t>A Study to Evaluate the Efficacy and Safety of Subcutaneous Amlitelimab Monotherapy Compared With Placebo in Participants Aged 12 Years and Older With Moderate-to-severe Atopic Dermatitis</t>
  </si>
  <si>
    <t>NCT05933577</t>
  </si>
  <si>
    <t>A Clinical Study of Intismeran Autogene (V940) Plus Pembrolizumab in People With High-Risk Melanoma (V940-001)</t>
  </si>
  <si>
    <t>NCT05895812</t>
  </si>
  <si>
    <t>A Study in Subjects With Renal Impairment Compared to Subjects With Normal Renal Function</t>
  </si>
  <si>
    <t>NCT06026501</t>
  </si>
  <si>
    <t>A Phase Ib/II Clinical Trial of PE0116 and PE0105 Injection in Treatment of Patients With Advanced Solid Tumor</t>
  </si>
  <si>
    <t>NCT06084481</t>
  </si>
  <si>
    <t>Study to Assess Adverse Events and Change in Disease Activity in Adult Participants With Select Advanced Solid Tumor Indications Receiving Intravenous (IV) ABBV-400</t>
  </si>
  <si>
    <t>NCT05822830</t>
  </si>
  <si>
    <t>A Study of Tirzepatide (LY3298176) in Participants With Obesity or Overweight With Weight Related Comorbidities</t>
  </si>
  <si>
    <t>NCT06072157</t>
  </si>
  <si>
    <t>Study to Assess the Safety, Tolerability, Pharmacokinetics and Immunogenicity of AK006 in Healthy Subjects and Subjects With Chronic Spontaneous Urticaria</t>
  </si>
  <si>
    <t>NCT05628870</t>
  </si>
  <si>
    <t>A Trial of HRS-1358 Tablets in Metastatic or Local Advanced Breast Cancer</t>
  </si>
  <si>
    <t>NCT06027437</t>
  </si>
  <si>
    <t>A Study to Assess the Relative Biological Availability and the Effect of Food on the Drug Levels of Danicamtiv in Healthy Adult Participants</t>
  </si>
  <si>
    <t>NCT07070375</t>
  </si>
  <si>
    <t>Pharmacokinetics and Safety of HRS-8427 in Healthy Volunteers and in Patients With Impaired Renal Function</t>
  </si>
  <si>
    <t>NCT06087653</t>
  </si>
  <si>
    <t>Safety, Efficacy, and Pharmacokinetics of Continuous Subcutaneous Lenalidomide in Multiple Myeloma (MM)</t>
  </si>
  <si>
    <t>Starton Therapeutics, Inc</t>
  </si>
  <si>
    <t>NCT05943795</t>
  </si>
  <si>
    <t>A Clinical Study of SI-B001 Combined With Docetaxel in the Treatment of Non-small Cell Lung Adenocarcinoma and Lung Squamous Cell Carcinoma</t>
  </si>
  <si>
    <t>NCT05882877</t>
  </si>
  <si>
    <t>A Study to Assess Long-term Safety, Tolerability, and Efficacy of Rocatinlimab in Adult and Adolescent Participants With Moderate-to-severe Atopic Dermatitis (AD)</t>
  </si>
  <si>
    <t>NCT07290088</t>
  </si>
  <si>
    <t>Phase II/III Trial of PRL3-Zumab in Advanced Solid Tumor Patients</t>
  </si>
  <si>
    <t>NCT05617677</t>
  </si>
  <si>
    <t>A Study to Assess Effectiveness and Safety of Deucravacitinib Compared With Placebo in Participants With Active Systemic Lupus Erythematosus (SLE)</t>
  </si>
  <si>
    <t>NCT05918861</t>
  </si>
  <si>
    <t>Effect of Dalcetrapib on CV Risk in a Genetically Defined Population With a Recent ACS</t>
  </si>
  <si>
    <t>NCT05622942</t>
  </si>
  <si>
    <t>Clinical Trial of Recombinant Pneumococcal Protein Vaccine</t>
  </si>
  <si>
    <t>NCT06103773</t>
  </si>
  <si>
    <t>A Study of Single and Multiple Oral Doses of TollB-001</t>
  </si>
  <si>
    <t>Toll Biotech Co. Ltd. (Beijing)</t>
  </si>
  <si>
    <t>NCT05678283</t>
  </si>
  <si>
    <t>A Study of Absorption, Metabolism, and Elimination CC-90010 in Participants With Advanced Solid Tumors</t>
  </si>
  <si>
    <t>NCT05934253</t>
  </si>
  <si>
    <t>The Effects of Low Viscosity Chloroprocaine Ophthalmic Gel 3% on the Bactericidal Action of Povidone-Iodine</t>
  </si>
  <si>
    <t>NCT05411679</t>
  </si>
  <si>
    <t>EP0057 in Combination With Olaparib in Relapsed Advanced Gastric Cancer and Small Cell Lung Cancer</t>
  </si>
  <si>
    <t>NCT05658562</t>
  </si>
  <si>
    <t>A Study of MT-2111 in Patients With Relapsed/Refractory DLBCL</t>
  </si>
  <si>
    <t>NCT06674941</t>
  </si>
  <si>
    <t>A Trial to Investigate Teprotumumab (High-concentration Formulation) Subcutaneous Administration in Healthy Adult Non-Japanese and Japanese Participants</t>
  </si>
  <si>
    <t>NCT05704985</t>
  </si>
  <si>
    <t>Evaluating Safety and Biomarkers Using DK210 (EGFR) for Locally Advanced or Metastatic EGFR+ Tumors</t>
  </si>
  <si>
    <t>DEKA Biosciences</t>
  </si>
  <si>
    <t>NCT05997615</t>
  </si>
  <si>
    <t>Safety, Pharmacokinetics, and Preliminary Efficacy of VIR-5500 (AMX-500) in Prostate Cancer</t>
  </si>
  <si>
    <t>NCT06118385</t>
  </si>
  <si>
    <t>Study Investigating the Safety, Tolerability, PK and Food Effect of BEN8744.</t>
  </si>
  <si>
    <t>NCT05556343</t>
  </si>
  <si>
    <t>A Study to Evaluate the Efficacy, Safety, and Tolerability of MYK-224 in Participants With Symptomatic Obstructive Hypertrophic Cardiomyopathy</t>
  </si>
  <si>
    <t>NCT05885737</t>
  </si>
  <si>
    <t>Phase 3 Study of Difelikefalin in Haemodialysis Chinese Adult Subjects With Moderate-to-Severe Pruritus</t>
  </si>
  <si>
    <t>NCT05836012</t>
  </si>
  <si>
    <t>Safety and Immunogenicity of HIL-214 With Routine Pediatric Vaccines</t>
  </si>
  <si>
    <t>NCT06615869</t>
  </si>
  <si>
    <t>A Study to Evaluate Molnupiravir Tablet Formulation Compared to the Molnupiravir Capsule Formulation in Healthy Adult Participants (MK-4482-011)</t>
  </si>
  <si>
    <t>NCT06245551</t>
  </si>
  <si>
    <t>A Study to Investigate the Effects of PT027 (Budesonide/Albuterol Sulfate) Metered-dose Inhaler Compared With Placebo on Exercise-Induced Bronchoconstriction in Adult Patients With Asthma</t>
  </si>
  <si>
    <t>NCT05673629</t>
  </si>
  <si>
    <t>Utidelone in Combination With AC Versus Docetaxel in Combination With AC for Neoadjuvant Chemotherapy in Patients With HER2-negative Breast Cancer</t>
  </si>
  <si>
    <t>NCT07190742</t>
  </si>
  <si>
    <t>A Multicenter, Randomized, Double-Blind, Placebo-Controlled Phase II Clinical Trial to Evaluate the Efficacy and Safety of TVAX-008 Injection in Treated Patients With Chronic Hepatitis B</t>
  </si>
  <si>
    <t>Grand Theravac Life Sciences (Nanjing) Co., Ltd.</t>
  </si>
  <si>
    <t>NCT05845970</t>
  </si>
  <si>
    <t>An Investigation Into the Efficacy of a Botanical Supplement to Provide Period Relief</t>
  </si>
  <si>
    <t>Focus Consumer Healthcare</t>
  </si>
  <si>
    <t>NCT05632354</t>
  </si>
  <si>
    <t>GBT021601-022: A Study of GBT021601 in Participants With Sickle Cell Disease (SCD)</t>
  </si>
  <si>
    <t>NCT04424394</t>
  </si>
  <si>
    <t>DualStim Therapy With or Without Umbilical Cord Derived Wharton's Jelly for Erectile Dysfunction</t>
  </si>
  <si>
    <t>NCT05862090</t>
  </si>
  <si>
    <t>A Study to Evaluate the Drug-drug Interaction and Safety of RLD2301 and RLD2007 in Healthy Volunteers</t>
  </si>
  <si>
    <t>NCT05963997</t>
  </si>
  <si>
    <t>A Study of Samuraciclib and Elacestrant in Participants With Metastatic or Locally Advanced HR+/HER2-negative Breast Cancer</t>
  </si>
  <si>
    <t>NCT05978713</t>
  </si>
  <si>
    <t>A Study of Tirzepatide (LY3298176) in Healthy Lactating Females</t>
  </si>
  <si>
    <t>NCT06036108</t>
  </si>
  <si>
    <t>Food Effect Study of Brexpiprazole Once-weekly (QW) Formulation in Patients With Schizophrenia</t>
  </si>
  <si>
    <t>NCT06141889</t>
  </si>
  <si>
    <t>Pharmacokinetics Study of Azelaprag (BGE-105) in Older Adult Healthy Volunteers</t>
  </si>
  <si>
    <t>NCT05642325</t>
  </si>
  <si>
    <t>Vamikibart in Participants With Uveitic Macular Edema</t>
  </si>
  <si>
    <t>NCT06378697</t>
  </si>
  <si>
    <t>A Phase III Study to Evaluate the Efficacy and Safety of AK111 in Subjects With Active Ankylosing Spondylitis</t>
  </si>
  <si>
    <t>NCT06045689</t>
  </si>
  <si>
    <t>A Study to Assess Luspatercept in Lower-risk Myelodysplastic Syndrome Participants</t>
  </si>
  <si>
    <t>NCT06047535</t>
  </si>
  <si>
    <t>Naxitamab and Granulocyte-Macrophage Colony Stimulating Factor (GM-CSF) Combined With Isotretinoin for Maintenance Treatment of Patients With High-Risk Neuroblastoma in First Complete Response.</t>
  </si>
  <si>
    <t>NCT05962645</t>
  </si>
  <si>
    <t>Phase 1 Study Into Pharmacokinetics and Food Effect of Vapendavir in Healthy Participants and Participants With COPD</t>
  </si>
  <si>
    <t>NCT05932511</t>
  </si>
  <si>
    <t>Topical Ascorbic Acid for Treatment of Squamous Cell Skin Cancer</t>
  </si>
  <si>
    <t>Center for Biomedical Research, Inc.</t>
  </si>
  <si>
    <t>NCT06589921</t>
  </si>
  <si>
    <t>Comparative Pharmacokinetic Study of Pirfenidone Modified-Release Tablets and Pirfenidone Tablets in Healthy Subjects Under Fed Conditions</t>
  </si>
  <si>
    <t>NCT05768854</t>
  </si>
  <si>
    <t>Setrusumab vs Bisphosphonates in Pediatric Subjects With Osteogenesis Imperfecta</t>
  </si>
  <si>
    <t>NCT06046066</t>
  </si>
  <si>
    <t>A Phase 1 Study of NM6603 in Advanced Solid Tumors</t>
  </si>
  <si>
    <t>NucMito Pharmaceuticals Co. Ltd.</t>
  </si>
  <si>
    <t>NCT06165237</t>
  </si>
  <si>
    <t>A Study to Evaluate the Drug-drug Interaction and Safety Between "BR6001-1" and "BR6001-2"</t>
  </si>
  <si>
    <t>NCT06216054</t>
  </si>
  <si>
    <t>Safety, Tolerability and Pharmacokinetic of Multiple-ascending Doses of LPM3770164 in Healthy Subjects</t>
  </si>
  <si>
    <t>NCT05979922</t>
  </si>
  <si>
    <t>Mindfulness-based Cognitive Coping for ADRD Caregivers</t>
  </si>
  <si>
    <t>NCT06031441</t>
  </si>
  <si>
    <t>A Study to Evaluate the Safety, Pharmacokinetics, and Activity of RO7566802 as a Single Agent and in Combination With Atezolizumab in Participants With Locally Advanced or Metastatic Solid Tumors</t>
  </si>
  <si>
    <t>NCT06389942</t>
  </si>
  <si>
    <t>Single Ascending Dose Study of 9MW3011 in Chinese Healthy Subject</t>
  </si>
  <si>
    <t>NCT05797922</t>
  </si>
  <si>
    <t>To Evaluate the Effect of Food on the Safety and PK Characteristics of DWP16001 in Healthy Adult Volunteers</t>
  </si>
  <si>
    <t>NCT05092386</t>
  </si>
  <si>
    <t>Safety and Immunogenicity Study of a 13-valent Pneumococcal Polysaccharide Conjugate Vaccine</t>
  </si>
  <si>
    <t>NCT05879822</t>
  </si>
  <si>
    <t>A Study to Evaluate INCB099280 in Participants With Select Solid Tumors Who Are Immune Checkpoint Inhibitor Naive</t>
  </si>
  <si>
    <t>NCT06113731</t>
  </si>
  <si>
    <t>A PhaseⅡ Study to Evaluate the Safety and Immunogenicity of COVID-19 Vaccine</t>
  </si>
  <si>
    <t>NCT05924841</t>
  </si>
  <si>
    <t>A Study of BL-B01D1, SI-B003 and BL-B01D1+SI-B003 in Patients With Extensive Stage Small Cell Lung Cancer</t>
  </si>
  <si>
    <t>NCT06170788</t>
  </si>
  <si>
    <t>Sacituzumab Tirumotecan (MK-2870) in Combination With Pembrolizumab Versus Pembrolizumab Alone in Metastatic Non-small Cell Lung Cancer (NSCLC) With Programmed Cell Death Ligand 1 (PD-L1) Tumor Proportion Score (TPS) ≥ 50% (MK-2870-007)</t>
  </si>
  <si>
    <t>NCT05859373</t>
  </si>
  <si>
    <t>To Evaluate the Efficacy and Safety of TQB3728 Tablets in Sequential Maintenance of TQB2450 Injection Therapy in Patients After Sequential or Concurrent Chemoradiation for Locally Advanced Non-small Cell Lung Cancer.</t>
  </si>
  <si>
    <t>NCT06054464</t>
  </si>
  <si>
    <t>A Study to Investigate the Effects of Acid Reducing Agents on Pharmacokinetics of PC14586 in Healthy Participants</t>
  </si>
  <si>
    <t>NCT05641298</t>
  </si>
  <si>
    <t>Study to Determine the Efficacy&amp;Safety of ARV-1801(ACG-701) for the Treatment of Cystic Fibrosis Pulmonary Exacerbations</t>
  </si>
  <si>
    <t>Aceragen</t>
  </si>
  <si>
    <t>NCT06399042</t>
  </si>
  <si>
    <t>Pivotal Study to Evaluate Efficacy and Safety of SP5M002 Inj. as Compared to Synovian Inj. in Patients With Mild to Moderate Knee Osteoarthritis</t>
  </si>
  <si>
    <t>NCT05562466</t>
  </si>
  <si>
    <t>A Study to Evaluate the Efficacy and Safety of QMF149 (Indacaterol Acetate/Mometasone Furoate) Versus Budesonide in Children From 6 to Less Than 12 Years of Age With Asthma</t>
  </si>
  <si>
    <t>NCT05590377</t>
  </si>
  <si>
    <t>A Study of Modakafusp Alfa Together With Daratumumab Adults With Relapsed or Refractory Multiple Myeloma</t>
  </si>
  <si>
    <t>NCT05943379</t>
  </si>
  <si>
    <t>RC48-ADC in Combination With Gemcitabine in High Risk NMIBC Subjects</t>
  </si>
  <si>
    <t>NCT05684146</t>
  </si>
  <si>
    <t>Protect the Head to Head Study</t>
  </si>
  <si>
    <t>Emboline</t>
  </si>
  <si>
    <t>NCT05921903</t>
  </si>
  <si>
    <t>A Study on the Immune Response and Safety of an RSV Vaccine When Given to Adults 18 Years of Age and Above Who Received Lung or Kidney Transplant and Are at an Increased Risk of Respiratory Syncytial Virus Lower Respiratory Tract Disease and Compared to Healthy Adults 50 Years of Age and Above</t>
  </si>
  <si>
    <t>NCT05431179</t>
  </si>
  <si>
    <t>A Study of Zilovertamab and Ibrutinib in Patients With Relapsed or Refractory Mantle Cell Lymphoma</t>
  </si>
  <si>
    <t>NCT05548127</t>
  </si>
  <si>
    <t>TACTIVE-U: A Study to Learn About the Study Medicine (Vepdegestrant) When Given With Other Medicines in People With Advanced or Metastatic Breast Cancer (Sub-Study A)</t>
  </si>
  <si>
    <t>NCT05605470</t>
  </si>
  <si>
    <t>Immunogenicity and Safety of ChulaCov19 BNA159 and ChulaCov19 BNA159.2 Vaccines as a Booster Dose in Adults</t>
  </si>
  <si>
    <t>Technovalia, Pty Ltd</t>
  </si>
  <si>
    <t>NCT06673654</t>
  </si>
  <si>
    <t>A Study, Comparing Ruxolitinib Topical Cream 1.5% (Taro Pharmaceuticals U.S.A, Inc.) to OPZELURA (Ruxolitinib) Cream for the Treatment of Mild-to-Moderate Atopic Dermatitis.</t>
  </si>
  <si>
    <t>NCT06087770</t>
  </si>
  <si>
    <t>Clinical Study of SM3321 With Solid Tumors</t>
  </si>
  <si>
    <t>Beijing StarMab Biomed Technology Ltd</t>
  </si>
  <si>
    <t>NCT05848739</t>
  </si>
  <si>
    <t>A Phase 1-2 of ST316 With Selected Advanced Unresectable and Metastatic Solid Tumors</t>
  </si>
  <si>
    <t>NCT06276361</t>
  </si>
  <si>
    <t>Pharmacokinetics, Safety and Tolerability of Different Formulations and Dose Strengths of Quarterly Risperidone (QUAR) in Patients With Schizophrenia</t>
  </si>
  <si>
    <t>NCT05774756</t>
  </si>
  <si>
    <t>A Trial of Setmelanotide in Acquired Hypothalamic Obesity</t>
  </si>
  <si>
    <t>NCT05814666</t>
  </si>
  <si>
    <t>Activity and Safety of Danvatirsen and Pembrolizumab in HNSCC</t>
  </si>
  <si>
    <t>Flamingo Therapeutics NV</t>
  </si>
  <si>
    <t>NCT06139302</t>
  </si>
  <si>
    <t>A Study to Test How Different Doses of Nerandomilast (BI 1015550) Are Taken up in the Body of Healthy Japanese Men</t>
  </si>
  <si>
    <t>NCT06041841</t>
  </si>
  <si>
    <t>A Phase 2 Study to Assess Efficacy and Safety of LB54640 in Patients With Genetic Obesity</t>
  </si>
  <si>
    <t>NCT06008054</t>
  </si>
  <si>
    <t>A Study of SI-B003, BL-B01D1+SI-B003 and BL-B01D1+PD-1 Monoclonal Antibody in Patients With Locally Advanced or Metastatic Esophageal Cancer, Gastric Cancer, Colorectal Cancer and Other Gastrointestinal Tumors</t>
  </si>
  <si>
    <t>NCT06021522</t>
  </si>
  <si>
    <t>A Study to Evaluate Long-term Safety of Ecopipam Tablets in Children, Adolescents and Adults With Tourette's Disorder</t>
  </si>
  <si>
    <t>NCT05704556</t>
  </si>
  <si>
    <t>Evaluation of the Pharmacokinetics and Safety of VX-548 in Participants With Renal Impairment</t>
  </si>
  <si>
    <t>NCT06063057</t>
  </si>
  <si>
    <t>Inactivated Bivalent Enterovirus Vaccine (Vero Cell) Phase I/II Clinical Trial</t>
  </si>
  <si>
    <t>NCT05836220</t>
  </si>
  <si>
    <t>Parathyroid Hormone (PTH) Attenuation Trial in Hemodialysis-2</t>
  </si>
  <si>
    <t>NCT06126666</t>
  </si>
  <si>
    <t>A Study With ABL103 in Subjects With Advanced or Metastatic Solid Tumors</t>
  </si>
  <si>
    <t>NCT06079164</t>
  </si>
  <si>
    <t>Study of KITE-197 in Participants With Relapsed or Refractory Large B-cell Lymphoma</t>
  </si>
  <si>
    <t>NCT05644093</t>
  </si>
  <si>
    <t>IM and IV SPL026 Drug Product in Healthy Participants</t>
  </si>
  <si>
    <t>NCT06003751</t>
  </si>
  <si>
    <t>A Study of PER-001 in Participants With Diabetic Retinopathy</t>
  </si>
  <si>
    <t>NCT06060457</t>
  </si>
  <si>
    <t>A Study to Evaluate the Safety and Immune Response of mRNA-1345, a Vaccine Targeting Respiratory Syncytial Virus (RSV), When Co-administered With a Fluzone HD, in Adults ≥65 Years of Age</t>
  </si>
  <si>
    <t>NCT05662319</t>
  </si>
  <si>
    <t>A Study to Test a Medicine (Fitusiran) Injected Under the Skin for Preventing Bleeding Episodes in Male Adolescent or Adult Participants With Severe Hemophilia</t>
  </si>
  <si>
    <t>NCT05879107</t>
  </si>
  <si>
    <t>Study to Assess the Immune Response, the Safety and the Reactogenicity of Respiratory Syncytial Virus (RSV) Prefusion Protein 3 Older Adult (OA) (RSVPreF3 OA) Investigational Vaccine When co Administered With PCV20 in Older Adults</t>
  </si>
  <si>
    <t>NCT06001177</t>
  </si>
  <si>
    <t>A Study of Efficacy, Safety, and Tolerability of KAN-101 in People With Celiac Disease</t>
  </si>
  <si>
    <t>NCT06344065</t>
  </si>
  <si>
    <t>Immunogenicity and Safety of Diphtheria, Tetanus, Pertussis (DTaP) Vaccine in 3-month-old Infants</t>
  </si>
  <si>
    <t>NCT05918692</t>
  </si>
  <si>
    <t>A Phase 1 Study of BMF-500 in Adults With Acute Leukemia</t>
  </si>
  <si>
    <t>NCT07548411</t>
  </si>
  <si>
    <t>To Evaluate the Safety and Efficacy of GS1191-0445 Injection in the Treatment of Severe Hemophilia A</t>
  </si>
  <si>
    <t>Gritgen Therapeutics Co., Ltd.</t>
  </si>
  <si>
    <t>NCT05850234</t>
  </si>
  <si>
    <t>AZD0120 in Relapsed/Refractory Multiple Myeloma (DURGA-1)</t>
  </si>
  <si>
    <t>NCT06834399</t>
  </si>
  <si>
    <t>TATE and KN046 in MCRC</t>
  </si>
  <si>
    <t>NCT05907954</t>
  </si>
  <si>
    <t>(Neo)Adjuvant IDE196 (Darovasertib) in Patients With Localized Ocular Melanoma</t>
  </si>
  <si>
    <t>NCT05813275</t>
  </si>
  <si>
    <t>Parallel-Arm Study to Compare AD109 to Placebo With Patients With OSA (SynAIRgy Study)</t>
  </si>
  <si>
    <t>NCT06063681</t>
  </si>
  <si>
    <t>A Study of SR-8541A (ENPPI Inhibitor) in Advanced/Metastatic Solid Tumors</t>
  </si>
  <si>
    <t>Stingray Therapeutics</t>
  </si>
  <si>
    <t>NCT06061536</t>
  </si>
  <si>
    <t>Assess the Effectiveness and Safety of Lipovirtide Combined With Nucleoside Drugs in HIV-infected Patients.</t>
  </si>
  <si>
    <t>NCT06132919</t>
  </si>
  <si>
    <t>Efficacy and Safety of MC2-25 Cream &amp; Vehicle in Women With Vulvar Lichen Sclerosus (VLS)</t>
  </si>
  <si>
    <t>NCT06202261</t>
  </si>
  <si>
    <t>A Study of TQB2930 for Injection Monotherapy or Combination Therapy in Patients With Recurrent/Metastatic Breast Cancer</t>
  </si>
  <si>
    <t>NCT05837897</t>
  </si>
  <si>
    <t>A Study of Vedolizumab in Adult Participants With Moderate to Severe Crohn's Disease</t>
  </si>
  <si>
    <t>NCT05499013</t>
  </si>
  <si>
    <t>Study to Assess SLN124 in Patients With Polycythemia Vera</t>
  </si>
  <si>
    <t>NCT06066515</t>
  </si>
  <si>
    <t>A Study to Test Whether Survodutide (BI 456906) Helps People Living With Overweight or Obesity Who do Not Have Diabetes to Lose Weight</t>
  </si>
  <si>
    <t>NCT06016920</t>
  </si>
  <si>
    <t>Safety and Efficacy of VB10.16 and Pembrolizumab in Patients with Head-Neck Squamous Cell Carcinoma</t>
  </si>
  <si>
    <t>NCT05911360</t>
  </si>
  <si>
    <t>A Study to Evaluate Efficacy, Safety and Tolerability in Antiretroviral Therapy (ART)-Experienced Participants of at Least 50 Years of Age Living With Human Immunodeficiency Virus (HIV) With Virologic Suppression Who Switch to DTG/3TC FDC From BIC/FTC/TAF</t>
  </si>
  <si>
    <t>NCT05909527</t>
  </si>
  <si>
    <t>A Clinical Study of CAR-T Treating Relapsed or Refractory T Cell Lymphoblastic Acute Leukemia/ Lymphoma</t>
  </si>
  <si>
    <t>Guangzhou Bio-gene Technology Co., Ltd</t>
  </si>
  <si>
    <t>NCT05622708</t>
  </si>
  <si>
    <t>A Study of Secukinumab to Evaluate Maintenance of Response in Participants With Non-radiographic Axial Spondyloarthritis Who Achieved Remission</t>
  </si>
  <si>
    <t>NCT06079190</t>
  </si>
  <si>
    <t>Efficacy and Safety of GSK4527226 [AL101] in Participants With Early Alzheimer's Disease</t>
  </si>
  <si>
    <t>NCT06122662</t>
  </si>
  <si>
    <t>AMX0035 and Progressive Supranuclear Palsy</t>
  </si>
  <si>
    <t>NCT05789524</t>
  </si>
  <si>
    <t>The Efficacy and Safety of SerpinPC in Participants with Severe Hemophilia a or Moderately Severe to Severe Hemophilia B</t>
  </si>
  <si>
    <t>NCT05830123</t>
  </si>
  <si>
    <t>ARTEMIS-002: HS-20093 in Patients With Relapsed or Refractory Osteosarcoma and Other Sarcomas</t>
  </si>
  <si>
    <t>NCT06174688</t>
  </si>
  <si>
    <t>A Study to Assess the Adverse Events and Effectiveness of BOTOX Injections for the Treatment of Moderate to Severe Forehead Lines in Chinese Adult Participants</t>
  </si>
  <si>
    <t>NCT05773586</t>
  </si>
  <si>
    <t>A Study to Evaluate the Safety, Pharmacokinetics and Preliminary Efficacy of APG-5918.</t>
  </si>
  <si>
    <t>NCT06285370</t>
  </si>
  <si>
    <t>A Study to Evaluate the Efficacy and Safety of KW-0761 in Chinese Subjects With Mycosis Fungoides or Sézary Syndrome Previously Treated With Systemic Therapy</t>
  </si>
  <si>
    <t>Kyowa Kirin China Pharmaceutical Co., Ltd.</t>
  </si>
  <si>
    <t>NCT05142527</t>
  </si>
  <si>
    <t>Study to Evaluate the Safety and Efficacy of a Monoclonal Antibody Cocktail for the Prevention of COVID-19</t>
  </si>
  <si>
    <t>NCT05613088</t>
  </si>
  <si>
    <t>A Study of MORAb-202 Versus Investigator's Choice Chemotherapy in Female Participants With Platinum-resistant High-grade Serous (HGS) Ovarian, Primary Peritoneal, or Fallopian Tube Cancer</t>
  </si>
  <si>
    <t>NCT06015269</t>
  </si>
  <si>
    <t>Exploratory Study on Baize DC Injection in Preventing Recurrence and Metastasis After Radical Tumor Surgery</t>
  </si>
  <si>
    <t>NCT05789056</t>
  </si>
  <si>
    <t>Open Label, Safety and Efficacy Study of QRX003 Lotion in Subjects With Netherton Syndrome</t>
  </si>
  <si>
    <t>NCT06786273</t>
  </si>
  <si>
    <t>Time Course of Endometrium's Gene Expression Profiles Using Endometrial Tissue and Blood Samples</t>
  </si>
  <si>
    <t>Inti Labs</t>
  </si>
  <si>
    <t>NCT05649345</t>
  </si>
  <si>
    <t>TR64 in Patients With Advanced Solid Tumors</t>
  </si>
  <si>
    <t>NCT05833035</t>
  </si>
  <si>
    <t>A Study in Healthy Men to Test How BI 1291583 is Processed in the Body</t>
  </si>
  <si>
    <t>NCT06669390</t>
  </si>
  <si>
    <t>A Mouthwash Medicine for the Reduction or Prevention of Mouth Ulceration Caused by Radiotherapy for Head and Neck Cancer</t>
  </si>
  <si>
    <t>VasoDynamics Ltd</t>
  </si>
  <si>
    <t>NCT06151197</t>
  </si>
  <si>
    <t>Study to Assess EN3835 in the Treatment of Plantar Fibromatosis (Also Known as Ledderhose Disease)</t>
  </si>
  <si>
    <t>NCT05916560</t>
  </si>
  <si>
    <t>A Study of LY3437943 in Participants With Impaired and Normal Liver Function</t>
  </si>
  <si>
    <t>NCT05874713</t>
  </si>
  <si>
    <t>Study to Evaluate Safety and Immunogenicity of Different Priming and Booster Regimens With Adjuvanted H5N8 and/or H5N6 Influenza Vaccine in Adults</t>
  </si>
  <si>
    <t>NCT05879523</t>
  </si>
  <si>
    <t>A Trial of HRS-1893 in Healthy Volunteers and Patients With Obstructive Hypertrophic Cardiomyopathy</t>
  </si>
  <si>
    <t>NCT06004388</t>
  </si>
  <si>
    <t>Study of Two Digital Therapeutics for the Prevention of Episodic Migraine Receiving CGRP Therapy (ReMMiD-C)</t>
  </si>
  <si>
    <t>NCT05568888</t>
  </si>
  <si>
    <t>Evaluation of BE1116 in Patients With Traumatic Injury and Acute Major Bleeding to Improve Survival ( TAP Study )</t>
  </si>
  <si>
    <t>NCT06137742</t>
  </si>
  <si>
    <t>A Study to Learn About the Study Medicine Called PF-07868489 in Healthy Adult People and in People With Pulmonary Arterial Hypertension</t>
  </si>
  <si>
    <t>NCT05897541</t>
  </si>
  <si>
    <t>Phase 3 Study of S-217622 in Prevention of Symptomatic SARS-CoV-2 Infection</t>
  </si>
  <si>
    <t>NCT05729373</t>
  </si>
  <si>
    <t>A Clinical Study That Will Measure How Well SEP-363856 Works and How Safe it is in Adults With Generalized Anxiety Disorder</t>
  </si>
  <si>
    <t>NCT05904054</t>
  </si>
  <si>
    <t>Immunogenicity and Safety Study of SARS-CoV-2 DNA Vaccine (ICCOV)</t>
  </si>
  <si>
    <t>Immuno Cure 3 Limited</t>
  </si>
  <si>
    <t>NCT05994131</t>
  </si>
  <si>
    <t>IN10018 Combination Therapy in Advanced EGFR Mutation-positive NSCLC</t>
  </si>
  <si>
    <t>NCT05556824</t>
  </si>
  <si>
    <t>Multi-Center Study of Panosyl-Isomaltooligosaccharides Adjunctive to PPI Therapy to Treat GERD</t>
  </si>
  <si>
    <t>Microbiome Health Sciences</t>
  </si>
  <si>
    <t>NCT06234956</t>
  </si>
  <si>
    <t>Open-label, Multi-centre, Non-Inferiority Study of Safety and Immunogenicity of BIMERVAX for the Prevention of COVID-19 in Adolescents From 12 Years to Less Than 18 Years of Age.</t>
  </si>
  <si>
    <t>NCT06095089</t>
  </si>
  <si>
    <t>A Study of JNJ-87189401 Combined With JNJ-78278343 for Advanced Prostate Cancer</t>
  </si>
  <si>
    <t>NCT05967689</t>
  </si>
  <si>
    <t>A Study of Zipalertinib in Patients With Advanced Non-Small Cell Lung Cancer With Epidermal Growth Factor Receptor (EGFR) Exon 20 Insertions or Other Uncommon Mutation.</t>
  </si>
  <si>
    <t>NCT05738850</t>
  </si>
  <si>
    <t>Study to Assess Adverse Events and How ABBV-932 Oral Capsules Moves Through the Body of Healthy Adult Participants</t>
  </si>
  <si>
    <t>NCT05902962</t>
  </si>
  <si>
    <t>SAD of IVT VP-001 in PRPF31 Mutation-Associated Retinal Dystrophy Subjects</t>
  </si>
  <si>
    <t>PYC Therapeutics</t>
  </si>
  <si>
    <t>NCT06772818</t>
  </si>
  <si>
    <t>A Study to Evaluate the Effect of Food on Nemtabrutinib (MK-1026) in Healthy Participants (MK-1026-017)</t>
  </si>
  <si>
    <t>NCT06058013</t>
  </si>
  <si>
    <t>Study to Assess the Effects of Oral NMRA-335140 Versus Placebo in Participants With Major Depressive Disorder</t>
  </si>
  <si>
    <t>NCT05252520</t>
  </si>
  <si>
    <t>A Study of JNJ-77474462 (Bermekimab) in Healthy Chinese Participants</t>
  </si>
  <si>
    <t>NCT05835180</t>
  </si>
  <si>
    <t>A Phase I Pharmacokinetic Study of TVB-2640 (Denifanstat) in Subjects With Mild, Moderate, or Severe Hepatic Impairment Compared to Subjects With Normal Hepatic Function</t>
  </si>
  <si>
    <t>NCT06047379</t>
  </si>
  <si>
    <t>Safety and Efficacy of NEO212 in Patients With Astrocytoma IDH-mutant, Glioblastoma IDH-wildtype or Brain Metastasis</t>
  </si>
  <si>
    <t>NCT06149403</t>
  </si>
  <si>
    <t>A Study to Investigate the Efficacy and Safety of OTL-203 in Subjects With MPS-IH Compared With Standard of Care With Allogeneic HSCT</t>
  </si>
  <si>
    <t>NCT05894135</t>
  </si>
  <si>
    <t>Efficacy and Safety of BG2109 in Chinese Subjects With Endometriosis</t>
  </si>
  <si>
    <t>NCT05704725</t>
  </si>
  <si>
    <t>A Study to Evaluate ABP 938 and Aflibercept (Eylea®) in Participants With Chorioretinal Vascular Disease (CVD)</t>
  </si>
  <si>
    <t>NCT05975060</t>
  </si>
  <si>
    <t>A Study to Evaluate the Safety and Immunogenicity of an (Omicron Subvariant) COVID-19 Vaccine Booster Dose in Previously Vaccinated Participants and Unvaccinated Participants.</t>
  </si>
  <si>
    <t>NCT05580562</t>
  </si>
  <si>
    <t>ONC201 in H3 K27M-mutant Diffuse Glioma Following Radiotherapy (the ACTION Study)</t>
  </si>
  <si>
    <t>NCT05862324</t>
  </si>
  <si>
    <t>TAC T-cells for the Treatment of Claudin 18.2 Positive Solid Tumors (TACTIC-3)</t>
  </si>
  <si>
    <t>NCT06227117</t>
  </si>
  <si>
    <t>Neoadjuvant Study of DV in Combination Toripalimab or Sequence Chemotherapy in HR-negative, HER2 Low-expressing Breast Cancer</t>
  </si>
  <si>
    <t>NCT05720117</t>
  </si>
  <si>
    <t>A Study of PYX-201 in Advanced Solid Tumors</t>
  </si>
  <si>
    <t>NCT05469360</t>
  </si>
  <si>
    <t>Study of Safety, Tolerability, Pharmacodynamics and Pharmacokinetics of NIO752 in Early Alzheimer's Disease Participants</t>
  </si>
  <si>
    <t>NCT06040424</t>
  </si>
  <si>
    <t>Comparison of Ipratropium / Levosalbutamol Fixed Dose Combination and Ipratropium and Levosalbutamol Free Dose Combination in pMDI Form in Stable Chronic Obstructive Pulmonary Disease (COPD) Patients</t>
  </si>
  <si>
    <t>NCT07326735</t>
  </si>
  <si>
    <t>MIRAGE Study: Clinical Outcomes of the Mamba Sirolimus-Eluting PTCA Balloon</t>
  </si>
  <si>
    <t>NCT06209385</t>
  </si>
  <si>
    <t>A Phase 1 Study of YZJ-5053 Tablets in Participants With Advanced Solid Tumors</t>
  </si>
  <si>
    <t>NCT05794425</t>
  </si>
  <si>
    <t>Clinical Study of UCB Combined With UC-MSCs in the Treatment of Bone Marrow Failure Disorders</t>
  </si>
  <si>
    <t>Shandong Qilu Stem Cells Engineering Co., Ltd.</t>
  </si>
  <si>
    <t>NCT05733780</t>
  </si>
  <si>
    <t>To Evaluate the Safety, Efficacy,and Pharmacokinetics of Orally Administered Prolectin-M</t>
  </si>
  <si>
    <t>NCT05899179</t>
  </si>
  <si>
    <t>Clinical Study of Recombinant Mycobacterium Tuberculosis Fusion Protein for 65-year-olds and Above</t>
  </si>
  <si>
    <t>NCT05308225</t>
  </si>
  <si>
    <t>Study to Assess Anti-CD38 Antibody Drug Conjugate in Relapsed or Refractory Multiple Myeloma</t>
  </si>
  <si>
    <t>NCT05785390</t>
  </si>
  <si>
    <t>Study of the Safety, Tolerability and Efficacy of NP-101 in Treating High Risk Participants Who Are Covid-19 Positive.</t>
  </si>
  <si>
    <t>NCT05798923</t>
  </si>
  <si>
    <t>LAM-001 for the Treatment of Pulmonary Hypertension Associated With Interstitial Lung Disease (PH-ILD)</t>
  </si>
  <si>
    <t>NCT06223880</t>
  </si>
  <si>
    <t>A Study to Evaluate the Efficacy of AXS-05 Compared to Bupropion in Preventing the Relapse of Depressive Symptoms</t>
  </si>
  <si>
    <t>NCT06093230</t>
  </si>
  <si>
    <t>A Study in Subjects With Liver Function Injury and Subjects With Normal Liver Function</t>
  </si>
  <si>
    <t>NCT05901636</t>
  </si>
  <si>
    <t>A Clinical Study to Evaluate an Experimental Universal Influenza Vaccine, INFLUENZA G1 mHA, in Healthy Adults</t>
  </si>
  <si>
    <t>NCT06315387</t>
  </si>
  <si>
    <t>Safety, Tolerability and Pharmacokinetics of 4-MUST, Tablets, 128 mg (Valenta Pharm JSC) During Single and Multiple Oral Administration in Healthy Volunteers</t>
  </si>
  <si>
    <t>NCT05870319</t>
  </si>
  <si>
    <t>A Phase III Study of SKB264 for EGFR Mutant NSCLC Patients</t>
  </si>
  <si>
    <t>NCT06032936</t>
  </si>
  <si>
    <t>BBP-398 in Combination With Osimertinib in Locally Advanced or Metastatic NSCLC Patients With EGFR Mutations</t>
  </si>
  <si>
    <t>NCT06227832</t>
  </si>
  <si>
    <t>A Study to Determine the Effect of KP-001 on Metformin and Midazolam Pharmacokinetics and the Effect of Clarithromycin on KP-001 Pharmacokinetics in Healthy Adult Participants</t>
  </si>
  <si>
    <t>Kaken Pharmaceutical</t>
  </si>
  <si>
    <t>NCT05899816</t>
  </si>
  <si>
    <t>A Study Assessing Rocatinlimab on Vaccine Antibody Response in Moderate-to-severe Atopic Dermatitis (AD) (ROCKET - VOYAGER)</t>
  </si>
  <si>
    <t>NCT05827016</t>
  </si>
  <si>
    <t>A Study to Compare Iberdomide Maintenance Versus Lenalidomide Maintenance Therapy Following Autologous Stem Cell Transplant in Participants With Newly Diagnosed Multiple Myeloma</t>
  </si>
  <si>
    <t>NCT06173999</t>
  </si>
  <si>
    <t>A Study of SHR2554 With Chemotherapy in Treatment-naïve Patients With Peripheral T-cell Lymphoma</t>
  </si>
  <si>
    <t>NCT05633745</t>
  </si>
  <si>
    <t>A Study to Assess NEU-723 in Healthy Participants</t>
  </si>
  <si>
    <t>NCT06182072</t>
  </si>
  <si>
    <t>ProAgio in Pancreatic Ductal Adenocarcinoma (PDAC)</t>
  </si>
  <si>
    <t>NCT06106581</t>
  </si>
  <si>
    <t>A Phase 2 Clinical Trial of VLA1553 in Healthy Children Aged 1 to 11 Years</t>
  </si>
  <si>
    <t>NCT05838092</t>
  </si>
  <si>
    <t>Allogeneic ABCB5-positive Dermal Mesenchymal Stromal Cells for Treatment of Epidermolysis Bullosa (Phase III)</t>
  </si>
  <si>
    <t>NCT06048393</t>
  </si>
  <si>
    <t>SA55 Novel Coronavirus Broad-spectrum Neutralizing Antibody Nasal Spray in Health People</t>
  </si>
  <si>
    <t>NCT05566795</t>
  </si>
  <si>
    <t>DAY101 vs. Standard of Care Chemotherapy in Pediatric Participants With Low-Grade Glioma Requiring First-Line Systemic Therapy (LOGGIC/FIREFLY-2)</t>
  </si>
  <si>
    <t>NCT05961839</t>
  </si>
  <si>
    <t>Study of SGR-2921 in Relapsed/Refractory Acute Myeloid Leukemia or Myelodysplastic Syndrome</t>
  </si>
  <si>
    <t>NCT06049030</t>
  </si>
  <si>
    <t>A Study of HS-10516 in Patients With Advanced Clear Cell Renal Cell Carcinoma</t>
  </si>
  <si>
    <t>NCT06343636</t>
  </si>
  <si>
    <t>A Phase 1 Study of VG-3927 in Healthy Adults and Patients With Alzheimer's Disease</t>
  </si>
  <si>
    <t>NCT05596409</t>
  </si>
  <si>
    <t>ELACESTRANT in Women and Men With CDK4/6 Inhibitor-Naive Estrogen Receptor Positive, HER-2 Negative Metastatic Breast Cancer Study</t>
  </si>
  <si>
    <t>NCT06698016</t>
  </si>
  <si>
    <t>A Study of the Effect of Efavirenz on the Plasma Levels of Nemtabrutinib (MK-1026-014)</t>
  </si>
  <si>
    <t>NCT06270706</t>
  </si>
  <si>
    <t>A Phase 1 Study of PLN-101095 in Adults With Advanced or Metastatic Solid Tumors</t>
  </si>
  <si>
    <t>NCT06008652</t>
  </si>
  <si>
    <t>A Study to Evaluate Safety, Tolerability, Pharmacokinetics and Pharmacodynamics of DR-0201 in Healthy Adult Volunteers</t>
  </si>
  <si>
    <t>NCT05739877</t>
  </si>
  <si>
    <t>Phamacokinetics and Safety Profiles of DA-1229_01 2.5/500mg in Healthy Subjects at Fed State</t>
  </si>
  <si>
    <t>NCT06055075</t>
  </si>
  <si>
    <t>A Study Evaluating Safety, Tolerability, and Clinical Activity of Forimtamig-Based Treatment Combinations in Participants With Relapsed or Refractory Multiple Myeloma</t>
  </si>
  <si>
    <t>NCT04428801</t>
  </si>
  <si>
    <t>Autologous Adipose-derived Stem Cells (AdMSCs) for COVID-19</t>
  </si>
  <si>
    <t>NCT06058793</t>
  </si>
  <si>
    <t>Brightline-4: A Study to Test How Well Brigimadlin is Tolerated by People With a Type of Cancer Called Dedifferentiated Liposarcoma</t>
  </si>
  <si>
    <t>NCT05760937</t>
  </si>
  <si>
    <t>A Study to Evaluate the Safety, Tolerability and Drug Levels of BMS-986447 in Healthy Participants</t>
  </si>
  <si>
    <t>NCT05892757</t>
  </si>
  <si>
    <t>Study to Assess Adverse Events and Compare How Oral Ubrogepant and Oral Atogepant Moves Through the Body of Healthy Female Adult Volunteers</t>
  </si>
  <si>
    <t>NCT05949619</t>
  </si>
  <si>
    <t>A Study of BL-M02D1 in Patients With Locally Advanced or Metastatic Non-small Cell Lung Cancer or Other Solid Tumors</t>
  </si>
  <si>
    <t>NCT06249581</t>
  </si>
  <si>
    <t>Pharmacokinetics of AUX-001 40mg Once-daily in Healthy Subjects Under Fasting and Fed Conditions</t>
  </si>
  <si>
    <t>Auxilius Pharma sp.z.o.o.</t>
  </si>
  <si>
    <t>NCT06937411</t>
  </si>
  <si>
    <t>A Phase I Study to Evaluate the Safety, Tolerability, and Pharmacokinetics of DC-853 in Healthy Participants</t>
  </si>
  <si>
    <t>NCT05780645</t>
  </si>
  <si>
    <t>A Study to Investigate the Pharmacokinetic Profile of ALXN2050 Modified Release Prototype Formulations and Immediate Release Reference Tablet in Healthy Adult Participants</t>
  </si>
  <si>
    <t>NCT05677451</t>
  </si>
  <si>
    <t>24 Weeks Double-blind Randomized Placebo-controlled Trial to Evaluate Efficacy, PK, Safety of LOU064 in Adolescents (12 - &lt;18) With CSU and Inadequate Response to H1-antihistamine Followed by Optional 3 Years Open-label Extension and an Optional 3 Years Safety Long-term Treatment-free Follow-up</t>
  </si>
  <si>
    <t>NCT06069895</t>
  </si>
  <si>
    <t>Investigation of Safety, Tolerability and Pharmacokinetics of Multiple Doses of NNC0113-6856 in Healthy Participants, Including a Subset of Healthy Japanese Participants</t>
  </si>
  <si>
    <t>NCT05821777</t>
  </si>
  <si>
    <t>A Study to Evaluate Safety, Tolerability and Preliminary Activity of LB101 in Participants With Advanced Solid Tumors</t>
  </si>
  <si>
    <t>Centessa Pharmaceuticals (UK) Limited</t>
  </si>
  <si>
    <t>NCT06007729</t>
  </si>
  <si>
    <t>ARTEMIS-006: HS-20093 in Patients With Head and Neck Squamous Cell Carcinoma and Other Solid Tumors</t>
  </si>
  <si>
    <t>NCT05968482</t>
  </si>
  <si>
    <t>Bioavailability and Safety Study Comparing Two Dose Levels of AMZ001 and One Dose Level of Diclofenac Sodium 1% Gel in Healthy Participants</t>
  </si>
  <si>
    <t>NCT06625840</t>
  </si>
  <si>
    <t>A Study of MK-1167 in Healthy Elderly Participants (MK-1167-004)</t>
  </si>
  <si>
    <t>NCT05432960</t>
  </si>
  <si>
    <t>Efficacy and Safety Clinical Study of RPH-104 in Adult Onset Still's Disease (AOSD)</t>
  </si>
  <si>
    <t>NCT06321562</t>
  </si>
  <si>
    <t>Safety and Tolerability of a Timolol Releasing Intraocular Implant in Subjects With Primary Open-angle Glaucoma</t>
  </si>
  <si>
    <t>EyeD Pharma</t>
  </si>
  <si>
    <t>NCT05914688</t>
  </si>
  <si>
    <t>A Study to Compare Two Formulations of LY3209590 in Healthy Participants</t>
  </si>
  <si>
    <t>NCT05981768</t>
  </si>
  <si>
    <t>Study to Evaluate Effect of Food on Bioavailability of Single 3 mg Tablet and Pharmacokinetics (PK) of Multiple 3 mg Doses in Healthy Adult Smokers</t>
  </si>
  <si>
    <t>NCT07070297</t>
  </si>
  <si>
    <t>A Single-Arm Phase Ic Clinical Study of XKH001 Injection in Patients With Allergic Asthma After Multiple Doses</t>
  </si>
  <si>
    <t>NCT06629376</t>
  </si>
  <si>
    <t>Safety, Tolerability, and Pharmacokinetic Characteristics of SSS11 in Patients With Gout and Hyperuricemia</t>
  </si>
  <si>
    <t>NCT05691660</t>
  </si>
  <si>
    <t>A Study of TAS3731 in Healthy Adults</t>
  </si>
  <si>
    <t>NCT05872620</t>
  </si>
  <si>
    <t>A Study of Orforglipron in Adult Participants With Obesity or Overweight and Type 2 Diabetes</t>
  </si>
  <si>
    <t>NCT05653180</t>
  </si>
  <si>
    <t>IBI310 in Combination With Sintilimab in Patients With Advanced Biliary Tract Cancer</t>
  </si>
  <si>
    <t>NCT05626179</t>
  </si>
  <si>
    <t>A Study of [14C]IBI351 in Healthy Subjects</t>
  </si>
  <si>
    <t>NCT05617313</t>
  </si>
  <si>
    <t>Study of GT103 in Combination With Pembrolizumab in Refractory, Metastatic Non-Small Cell Lung Cancer</t>
  </si>
  <si>
    <t>Jeffrey Clarke</t>
  </si>
  <si>
    <t>NCT06065059</t>
  </si>
  <si>
    <t>Study to Evaluate TNG348 Alone and With a PARP Inhibitor in Patients With BRCA 1/2 Mutant or HRD+ Solid Tumors</t>
  </si>
  <si>
    <t>NCT05932459</t>
  </si>
  <si>
    <t>A Study to Evaluate the Bioavailability, Food Effect and Pharmacokinetics of Deuremidevir Hydrobromide for Suspension</t>
  </si>
  <si>
    <t>NCT07347223</t>
  </si>
  <si>
    <t>Safety, Tolerability, and Pharmacokinetics of DD-S052P in Healthy Volunteers</t>
  </si>
  <si>
    <t>HLB Science</t>
  </si>
  <si>
    <t>NCT05624723</t>
  </si>
  <si>
    <t>Study to Evaluate the Pharmacokinetics, Safety, and Pharmacodynamics of INCB054707 in Participants With Normal and Impaired Renal Function and Participants on Hemodialysis</t>
  </si>
  <si>
    <t>NCT05951725</t>
  </si>
  <si>
    <t>A Clinical Trial of Diphtheria, Tetanus and Acellular Pertussis (Three Components) Combined Vaccine, Adsorbed(DTcP)</t>
  </si>
  <si>
    <t>NCT05810597</t>
  </si>
  <si>
    <t>A Research Study Looking at Similarity Between Tirzepatide Versions for Different Injection Devices</t>
  </si>
  <si>
    <t>NCT05975840</t>
  </si>
  <si>
    <t>Safety and Immunogenicity of Different Formulations of Monovalent Influenza A/Astrakhan/3212/2020 Like (H5N8) Virus Vaccine With AS03 Adjuvant System in Medically Stable Adults</t>
  </si>
  <si>
    <t>NCT06450223</t>
  </si>
  <si>
    <t>Bioequivalence Study of Perampanel Tablets 12 mg</t>
  </si>
  <si>
    <t>NCT06178159</t>
  </si>
  <si>
    <t>DV in Combination With Pertuzumab With or Without Toripalimab Neoadjuvant Therapy With HER2-positive Breast Cancer</t>
  </si>
  <si>
    <t>NCT06079476</t>
  </si>
  <si>
    <t>A Study of Romosozumab (EVENITY®) in Postmenopausal Women in India With Osteoporosis at a High Risk of Fracture.</t>
  </si>
  <si>
    <t>NCT05683717</t>
  </si>
  <si>
    <t>A Phase 1 Study to Evaluate the Safety and Tolerability of TT-01488 in Patients With B-Cell Malignancies</t>
  </si>
  <si>
    <t>NCT05818124</t>
  </si>
  <si>
    <t>Efficacy and Safety of Molnupiravir in Healthy Participants Inoculated With Experimental Influenza Virus (MK-4482-019)</t>
  </si>
  <si>
    <t>NCT05906576</t>
  </si>
  <si>
    <t>Post-marketing Registry Study of Infliximab for Injection in Chinese Pediatric Crohn's Disease Patients</t>
  </si>
  <si>
    <t>NCT05886491</t>
  </si>
  <si>
    <t>A Study of GDX012 in Adults With Relapsed or Refractory Acute Myeloid Leukemia</t>
  </si>
  <si>
    <t>NCT05768360</t>
  </si>
  <si>
    <t>A Study to Assess the Effects of Savolitinib on the Pharmacokinetics of Digoxin, Rosuvastatin, Metformin, and Furosemide in Healthy Male Subjects</t>
  </si>
  <si>
    <t>NCT06000410</t>
  </si>
  <si>
    <t>A Study to Evaluate the Efficacy of Amniotic Suspension Allograft in Patients With Osteoarthritis of the Knee</t>
  </si>
  <si>
    <t>NCT05831189</t>
  </si>
  <si>
    <t>A Multi-center, Single-arm Trial Exploring the Safety and Clinical Effectiveness of RBX2660 Administered by Colonoscopy to Adults With Recurrent Clostridioides Difficile Infection</t>
  </si>
  <si>
    <t>NCT06169891</t>
  </si>
  <si>
    <t>A Study of Recombinant Anti-IL-1β Humanized Monoclonal Antibody Injection in Chinese Participants With Acute Gout</t>
  </si>
  <si>
    <t>NCT06345885</t>
  </si>
  <si>
    <t>Immunogenicity and Safety of One Dose of HPV Vaccine</t>
  </si>
  <si>
    <t>NCT06247085</t>
  </si>
  <si>
    <t>A Study to Investigate Efficacy and Safety of Pegtibatinase Compared With Placebo in Participants ≥12 to ≤65 Years of Age With Classical Homocystinuria (HCU) Due to Cystathionine Beta Synthase Deficiency Receiving Standard of Care Treatment</t>
  </si>
  <si>
    <t>NCT05636215</t>
  </si>
  <si>
    <t>A First-in-human Study of IBI354 in Subjects with Locally Advanced Unresectable or Metastatic Solid Tumors</t>
  </si>
  <si>
    <t>NCT06093308</t>
  </si>
  <si>
    <t>A Study in Elderly Chinese Subjects With Underlying Diseases</t>
  </si>
  <si>
    <t>NCT05605535</t>
  </si>
  <si>
    <t>Oregovomab Plus Chemotherapy in Neo-adjuvant Setting in Newly Diagnosed Patients With Advanced Epithelial Ovarian Cancer</t>
  </si>
  <si>
    <t>NCT05968274</t>
  </si>
  <si>
    <t>The Effect of Rebox Current in Pain Management</t>
  </si>
  <si>
    <t>Rebox Therapy s.r.o.</t>
  </si>
  <si>
    <t>NCT06097260</t>
  </si>
  <si>
    <t>Randomized, Double-blind Study of Efficacy and Safety of Bexotegrast (PLN-74809) for Idiopathic Pulmonary Fibrosis</t>
  </si>
  <si>
    <t>NCT05514717</t>
  </si>
  <si>
    <t>A Study of XMT-2056 in Advanced/Recurrent Solid Tumors That Express HER2</t>
  </si>
  <si>
    <t>NCT06089278</t>
  </si>
  <si>
    <t>A Clinical Study of TQH2722 Injection in the Treatment of Chronic Sinusitis With or Without Nasal Polyps.</t>
  </si>
  <si>
    <t>NCT05682326</t>
  </si>
  <si>
    <t>Anemia Studies in CKD: Erythropoiesis Via a Novel PHI Daprodustat - Pediatric (ASCEND-P)</t>
  </si>
  <si>
    <t>NCT05926960</t>
  </si>
  <si>
    <t>A Study Comparing 3 Study Medicines (Encorafenib, Binimetinib, Pembrolizumab) to 2 Study Medicines (Ipilimumab and Nivolumab) in Patients With Advanced Melanoma</t>
  </si>
  <si>
    <t>NCT06088199</t>
  </si>
  <si>
    <t>A Study of Apremilast in Pediatric Participants in Children With Mild to Moderate Plaque Psoriasis</t>
  </si>
  <si>
    <t>NCT05935332</t>
  </si>
  <si>
    <t>Phase 2 Study to Evaluate RPT193 in Adults With Moderate to Severe T2-high Asthma</t>
  </si>
  <si>
    <t>NCT06069544</t>
  </si>
  <si>
    <t>A Clinical Trial to Evaluate the Safety, Efficacy and Immune Responses After Vaccination With an Investigational RNA-based Vaccine Against Malaria</t>
  </si>
  <si>
    <t>NCT05980598</t>
  </si>
  <si>
    <t>TransCon (TC) TLR7/8 Agonist, TC IL-2 β/γ, Pembrolizumab Prior to Surgery for Advanced Head and Neck Squamous Cell Carcinoma</t>
  </si>
  <si>
    <t>NCT05685004</t>
  </si>
  <si>
    <t>Study of Neoantigen-specific Adoptive T Cell Therapy for Newly Diagnosed MGMT Negative Glioblastoma Multiforme (GBM)</t>
  </si>
  <si>
    <t>TVAX Biomedical</t>
  </si>
  <si>
    <t>NCT05661916</t>
  </si>
  <si>
    <t>A Study to Evaluate the Safety, Tolerability, Pharmacokinetics and Pharmacodynamics of ALN-TTRSC04 in Healthy Subjects</t>
  </si>
  <si>
    <t>NCT06099652</t>
  </si>
  <si>
    <t>Evaluation of 611 in Chinese Adults With Moderate to Severe Chronic Obstructive Pulmonary Disease</t>
  </si>
  <si>
    <t>NCT06289998</t>
  </si>
  <si>
    <t>Study of Tamibarotene in Patients With ADPKD</t>
  </si>
  <si>
    <t>Rege Nephro Co., Ltd.</t>
  </si>
  <si>
    <t>NCT05614258</t>
  </si>
  <si>
    <t>Study of ADG206 in Subjects With Advanced/Metastatic Solid Tumors</t>
  </si>
  <si>
    <t>NCT06725758</t>
  </si>
  <si>
    <t>A Phase 1/2, First-in-Human Study On ODM-212 In Subjects With Selected Advanced Solid Tumours</t>
  </si>
  <si>
    <t>NCT05873426</t>
  </si>
  <si>
    <t>Mass Balance Study of [14C]ZSP1273 in Healthy Adult Male Subjects in China</t>
  </si>
  <si>
    <t>NCT05304130</t>
  </si>
  <si>
    <t>A Study in Healthy Japanese Participants to Evaluate the Safety and Pharmacokinetics of Otilimab</t>
  </si>
  <si>
    <t>NCT05771428</t>
  </si>
  <si>
    <t>Study to Assess Adverse Events, Change in Disease Activity and How Oral ABBV-552 Capsules Moves Through the Body of Participants Aged 50 to 90 Years With Mild Alzheimer's Disease</t>
  </si>
  <si>
    <t>NCT06123884</t>
  </si>
  <si>
    <t>BAT1308 Combined with Platinum-Based Chemotherapy± Bevacizumab for PDL1-Positive (CPS ≥1) Cervical Cancer</t>
  </si>
  <si>
    <t>NCT05259709</t>
  </si>
  <si>
    <t>A Study of ImmunoPet Imaging Using 89Zr-DFO-REGN5054 in Adult Participants With Solid Cancers Treated With Cemiplimab</t>
  </si>
  <si>
    <t>NCT05923099</t>
  </si>
  <si>
    <t>A Trial to Evaluate the Efficacy and Safety of Different Doses of LEO 138559 in Adults With Moderate-to-severe Atopic Dermatitis</t>
  </si>
  <si>
    <t>NCT05659732</t>
  </si>
  <si>
    <t>A Study of PEP07 (Checkpoint Kinase 1 Inhibitor) in Patients With Advanced Cancer</t>
  </si>
  <si>
    <t>PharmaEngine</t>
  </si>
  <si>
    <t>NCT05821387</t>
  </si>
  <si>
    <t>Evaluating the Safety, Tolerability, Pharmacokinetics, and Effect of Food of Lucid-21-302 in Healthy Volunteers</t>
  </si>
  <si>
    <t>NCT06118684</t>
  </si>
  <si>
    <t>Clinical Trial to Assess Effect of Verapamil on Systemic Exposure of EP395 and Effect of EP395 on Systemic Exposure of Midazolam and Digoxin</t>
  </si>
  <si>
    <t>NCT05793892</t>
  </si>
  <si>
    <t>Efficacy and Safety of Lidocaine and Tetracaine Cream for Facial Laser Aesthetics in Chinese Adults</t>
  </si>
  <si>
    <t>NCT05878093</t>
  </si>
  <si>
    <t>Dupilumab in Chinese Adult Participants With CRSwNP</t>
  </si>
  <si>
    <t>NCT06029816</t>
  </si>
  <si>
    <t>Neratinib Tablets in the Treatment of Advanced NSCLC With Rare EGFR Mutations</t>
  </si>
  <si>
    <t>NCT06014736</t>
  </si>
  <si>
    <t>A Phase I Study of XJ101 in Chinese Healthy Subjects</t>
  </si>
  <si>
    <t>NCT05717621</t>
  </si>
  <si>
    <t>Clinical Trial With Local Decitabine Treatment of HPV-Induced VIN Grade 2/3 (DelVIN)</t>
  </si>
  <si>
    <t>ViMREX GmbH</t>
  </si>
  <si>
    <t>NCT05717764</t>
  </si>
  <si>
    <t>Clinical Study of Mitoxantrone Hydrochloride Liposome Injection Combined With Capecitabine Versus Capecitabine Monotherapy in Patients With Recurrent Metastatic Nasopharyngeal Carcinoma Who Failed Platinum-containing Treatment</t>
  </si>
  <si>
    <t>NCT06193421</t>
  </si>
  <si>
    <t>High-Dose Ambroxol in GBA1-Related Parkinson</t>
  </si>
  <si>
    <t>Agyany Pharma LTD</t>
  </si>
  <si>
    <t>NCT05564104</t>
  </si>
  <si>
    <t>A Research Study Looking at How a Single Dose of the Medicine Cagrilintide Works in Participants With Reduced Liver Function and in Healthy Participants With Normal Liver Function and How Cagrilintide is Absorbed and Used by the Body</t>
  </si>
  <si>
    <t>NCT05879614</t>
  </si>
  <si>
    <t>An Open-Label Study of Oral NNZ-2591 in Prader-Willi Syndrome (PWS-001)</t>
  </si>
  <si>
    <t>NCT05995275</t>
  </si>
  <si>
    <t>A Study to Investigate The Safety, Tolerability, And Immune Response of a Range of Doses of mRNA-1769 Compared With Placebo in Healthy Participants From ≥18 Years of Age to &lt;50 Years of Age</t>
  </si>
  <si>
    <t>NCT03862430</t>
  </si>
  <si>
    <t>A Study of NanO2™ Combined With Radiation and Temozolomide in Patients With Newly Diagnosed GBM</t>
  </si>
  <si>
    <t>NCT06173011</t>
  </si>
  <si>
    <t>A Study Comparing Pharmacokinetic and Safety of QL2107 and Keytruda® (Marketed in China and the United States) in Healthy Adults</t>
  </si>
  <si>
    <t>NCT05989711</t>
  </si>
  <si>
    <t>IMPACT TRIAL: Efficacy and Safety of Pemvidutide in Subjects With Nonalcoholic Steatohepatitis (NASH)</t>
  </si>
  <si>
    <t>NCT05767398</t>
  </si>
  <si>
    <t>Bioequivalence of a Zanubrutinib Tablet Compared to Capsules in Healthy Adult Participants</t>
  </si>
  <si>
    <t>NCT05831644</t>
  </si>
  <si>
    <t>A Trial to Evaluate the Effect of C21 on Endothelial Dysfunction in Subjects With Type 2 Diabetes</t>
  </si>
  <si>
    <t>NCT06051409</t>
  </si>
  <si>
    <t>A Study of Olverembatinib in Patients With Newly Diagnosed Ph+ ALL (POLARIS-1)</t>
  </si>
  <si>
    <t>NCT05788900</t>
  </si>
  <si>
    <t>Evaluation of the Pharmacodynamics of a Heparin With Its Biological Comparator, Intravenous Administration</t>
  </si>
  <si>
    <t>NCT05796765</t>
  </si>
  <si>
    <t>Phase 2B Micronized DHACM vs. Saline in the Treatment of Knee Osteoarthritis</t>
  </si>
  <si>
    <t>MiMedx Group, Inc.</t>
  </si>
  <si>
    <t>NCT06450236</t>
  </si>
  <si>
    <t>Bioequivalence Study of Perampanel Tablets 10 mg</t>
  </si>
  <si>
    <t>NCT05834595</t>
  </si>
  <si>
    <t>A Clinical Trial to Compare the Pharmacokinetic and Safety of CKD-828</t>
  </si>
  <si>
    <t>NCT06429566</t>
  </si>
  <si>
    <t>Safety and Efficacy Study of GB001 Recombinant Peptide Spray in Subjects With Mild Recurrent Aphthous Ulcers</t>
  </si>
  <si>
    <t>NCT05856266</t>
  </si>
  <si>
    <t>An 18-month Low-interventional Study to Assess Joint Health in Haemophilia A and B Patients on Prophylaxis With Efmoroctocog Alfa or Eftrenonacog Alfa</t>
  </si>
  <si>
    <t>NCT06523101</t>
  </si>
  <si>
    <t>A Study of PJ009 in Healthy Adult Volunteers</t>
  </si>
  <si>
    <t>NCT06353828</t>
  </si>
  <si>
    <t>Phase 2a Study to Evaluate IcBD-01 Enema in Active Ulcerative Colitis Patients</t>
  </si>
  <si>
    <t>CannaMore Biotechs</t>
  </si>
  <si>
    <t>NCT05809895</t>
  </si>
  <si>
    <t>Phase II Study Evaluating the Efficacy and Safety of Ociperlimab in Combination With Tislelizumab and Chemotherapy as First-line Treatment for Participants With Advanced Triple Negative Breast Cancer</t>
  </si>
  <si>
    <t>NCT05870553</t>
  </si>
  <si>
    <t>A Phase 3 Trial in Bowel Preparation for Colonoscopy</t>
  </si>
  <si>
    <t>NCT06122181</t>
  </si>
  <si>
    <t>Study of HS-10384 in Participants of Chinese Postmenopausal Women</t>
  </si>
  <si>
    <t>NCT06948292</t>
  </si>
  <si>
    <t>Role of QRX-3 in Chronic Kidney Disease Patients in Outpatients Clinics</t>
  </si>
  <si>
    <t>Ebima Clifford Okundaye</t>
  </si>
  <si>
    <t>NCT05637541</t>
  </si>
  <si>
    <t>Evaluation of The Safety, Efficacy and Pharmacokinetic Characteristics of GST-HG141 Tablets</t>
  </si>
  <si>
    <t>NCT06007066</t>
  </si>
  <si>
    <t>HSK16149 for Perioperative Analgesia in Orthopedic Surgery</t>
  </si>
  <si>
    <t>NCT05769153</t>
  </si>
  <si>
    <t>Study of AR-14034 in Participants With Neovascular Age-Related Macular Degeneration (nAMD)</t>
  </si>
  <si>
    <t>Alcon Research</t>
  </si>
  <si>
    <t>NCT05784129</t>
  </si>
  <si>
    <t>A Study of Guselkumab for the Treatment of Participants With Crohn's Disease After Surgical Resection</t>
  </si>
  <si>
    <t>NCT07014631</t>
  </si>
  <si>
    <t>Phase II Dose-Finding of Oral SSS17 for Anemia in Non-Dialysis CKD</t>
  </si>
  <si>
    <t>NCT06073301</t>
  </si>
  <si>
    <t>AFS Compared to AHC in Treatment of Necrotizing Fasciitis NF</t>
  </si>
  <si>
    <t>Kerecis Ltd.</t>
  </si>
  <si>
    <t>NCT04680065</t>
  </si>
  <si>
    <t>GDNF Gene Therapy for Multiple System Atrophy</t>
  </si>
  <si>
    <t>NCT05774951</t>
  </si>
  <si>
    <t>A Study of Camizestrant in ER+/HER2- Early Breast Cancer After at Least 2 Years of Standard Adjuvant Endocrine Therapy</t>
  </si>
  <si>
    <t>NCT05567601</t>
  </si>
  <si>
    <t>Doxil/Caelyx BE Study</t>
  </si>
  <si>
    <t>NCT05857566</t>
  </si>
  <si>
    <t>Effect of RDX-002 on Postprandial Triglycerides in Subjects Treated With Olanzapine</t>
  </si>
  <si>
    <t>Response Pharmaceuticals</t>
  </si>
  <si>
    <t>NCT06034275</t>
  </si>
  <si>
    <t>Study of VIP943 in Subjects With Advanced CD123+ Hematologic Malignancies</t>
  </si>
  <si>
    <t>NCT06106828</t>
  </si>
  <si>
    <t>A Study to Evaluate the Efficacy, Safety, Pharmacokinetics, and Pharmacodynamics of Satralizumab in Participants With Thyroid Eye Disease</t>
  </si>
  <si>
    <t>NCT05758428</t>
  </si>
  <si>
    <t>A Study to Evaluate the Pharmacokinetics, Safety and Tolerability of Nebulized Ensifentrine in Healthy Chinese Subjects</t>
  </si>
  <si>
    <t>NCT06019065</t>
  </si>
  <si>
    <t>A SAD, MAD and Food Effect Study to Evaluate the Safety, Tolerability, PK, and PD of AJA001 in Healthy Subjects</t>
  </si>
  <si>
    <t>AJNA Australia Pty Ltd</t>
  </si>
  <si>
    <t>NCT05877300</t>
  </si>
  <si>
    <t>Safety and Feasibility Study of the CELLSPAN Esophageal Implant (CEI) in Patients Requiring Short Segment Esophageal Replacement</t>
  </si>
  <si>
    <t>Harvard Apparatus Regenerative Technology, Inc.</t>
  </si>
  <si>
    <t>NCT05914545</t>
  </si>
  <si>
    <t>A Study of FZ-AD004 in Patients With Advanced Solid Tumors</t>
  </si>
  <si>
    <t>NCT05850364</t>
  </si>
  <si>
    <t>A Multi-center, Open-labelled, Randomized, Controlled, Extended Phase Ⅲ Clinical Trial of sIPV Vaccine</t>
  </si>
  <si>
    <t>NCT06416709</t>
  </si>
  <si>
    <t>Stem Cell Treatment for Lung Injury Caused by Major Infectious Diseases</t>
  </si>
  <si>
    <t>NCT05929066</t>
  </si>
  <si>
    <t>A Study of Retatrutide (LY3437943) in Participants Who Have Obesity or Overweight</t>
  </si>
  <si>
    <t>NCT05768529</t>
  </si>
  <si>
    <t>Clinical Study of U16 in Patients With Relapsed or Refractory Non-Hodgkin's Lymphoma</t>
  </si>
  <si>
    <t>NCT05839600</t>
  </si>
  <si>
    <t>A Study to Find a Suitable Dose of BI 1821736 and Test Whether it Helps People With Advanced Cancer</t>
  </si>
  <si>
    <t>NCT05668936</t>
  </si>
  <si>
    <t>A Thorough QTC Study to Assess the Effect of Cotadutide on Cardiac Repolarization in Healthy Participants</t>
  </si>
  <si>
    <t>NCT05456828</t>
  </si>
  <si>
    <t>A Study of ASKG712 in Patients With Neovascular Age-Related Macular Degeneration</t>
  </si>
  <si>
    <t>NCT05905172</t>
  </si>
  <si>
    <t>Hydronidone Capsules in Long-term Treatment in Patients With Chronic Viral Hepatitis B Liver Fibrosis</t>
  </si>
  <si>
    <t>NCT06263881</t>
  </si>
  <si>
    <t>Clinical Trial of the Efficacy and Safety of Raphamin in Combined Treatment of Community-acquired Pneumonia</t>
  </si>
  <si>
    <t>NCT06333964</t>
  </si>
  <si>
    <t>A Study to Evaluate the Efficacy and Safety of AST-001 in ASD Children</t>
  </si>
  <si>
    <t>Astrogen, Inc.</t>
  </si>
  <si>
    <t>NCT06084663</t>
  </si>
  <si>
    <t>Bioequivalence Study of Two Products of Apremilast 30 mg Tablets in Healthy, Adult, Human Subjects</t>
  </si>
  <si>
    <t>NCT06175221</t>
  </si>
  <si>
    <t>Autologous TLPO Vaccine Basket</t>
  </si>
  <si>
    <t>Elios Therapeutics, LLC</t>
  </si>
  <si>
    <t>NCT06678113</t>
  </si>
  <si>
    <t>Study to Assess the Safety and Efficacy of Intravenous BSG005 in Patients With Invasive Fungal Infection</t>
  </si>
  <si>
    <t>NCT06446388</t>
  </si>
  <si>
    <t>Study of QLS31905 and/or QL1706 Combination With Chemotherapy in the Advanced Malignant Solid Tumors</t>
  </si>
  <si>
    <t>NCT06464991</t>
  </si>
  <si>
    <t>A Phase III Study of Eque-cel in Subjects With Len-refractory RRMM (FUMANBA-03)</t>
  </si>
  <si>
    <t>NCT06704724</t>
  </si>
  <si>
    <t>A Study to Learn About the Study Medicine PF-07985045 When Given Alone or With Other Anti-cancer Therapies in People With Advanced Solid Tumors That Have a Change in a Gene.</t>
  </si>
  <si>
    <t>NCT06554574</t>
  </si>
  <si>
    <t>A Phase 1 Single and Multiple Ascending Dose Study of LTG-305 Administered Orally in Healthy Participants</t>
  </si>
  <si>
    <t>NCT06215261</t>
  </si>
  <si>
    <t>An Evaluation of the Safety and Efficacy of Methylone for the Treatment of PTSD</t>
  </si>
  <si>
    <t>NCT06366789</t>
  </si>
  <si>
    <t>Dose Escalation and Expansion Study to Evaluate the Safety, PK, PD and Efficacy of ZE46-0134 in Adults With FLT3 Mutated or Spliceosome Mutated Relapsed or Refractory Acute Myeloid Leukemia</t>
  </si>
  <si>
    <t>NCT06125691</t>
  </si>
  <si>
    <t>Safety and Immunogenicity First-in-human Dose-ranging Study of Self-Amplifying RNA Seasonal Influenza Vaccine in Adults</t>
  </si>
  <si>
    <t>NCT06679413</t>
  </si>
  <si>
    <t>A Study to Assess Drug-drug Interaction of ZX008 in Healthy Male and Female Study Participants</t>
  </si>
  <si>
    <t>UCB BIOSCIENCES, Inc.</t>
  </si>
  <si>
    <t>NCT06049082</t>
  </si>
  <si>
    <t>A Study of KB408 for the Treatment of Alpha-1 Antitrypsin Deficiency</t>
  </si>
  <si>
    <t>NCT06559150</t>
  </si>
  <si>
    <t>A Phase II Study of Ensifentrine in Non-Cystic Fibrosis Bronchiectasis</t>
  </si>
  <si>
    <t>NCT06524635</t>
  </si>
  <si>
    <t>A Study to Assess Molecular Changes in Adult Participants With Moderate to Severe Hidradenitis Suppurativa or With Moderate to Severe Atopic Dermatitis Receiving Subcutaneous Injections of Lutikizumab</t>
  </si>
  <si>
    <t>NCT07435324</t>
  </si>
  <si>
    <t>A Comparative Study of Efficacy and Safety of RPH-002 and Erbitux® in Unresectable Metastatic or Recurrent Head and Neck Squamous Cell Carcinoma</t>
  </si>
  <si>
    <t>NCT06487559</t>
  </si>
  <si>
    <t>A Study to Assess the Adverse Events and How Intravenously Infused Livmoniplimab in Combination With Budigalimab Moves Through the Bodies of Adult Chinese Participants With Locally Advanced or Metastatic Hepatocellular Carcinoma (HCC)</t>
  </si>
  <si>
    <t>NCT06118788</t>
  </si>
  <si>
    <t>Phase I Clinical Study: BG1805 Injection in the Treatment of Relapsed or Refractory Acute Myeloid Leukemia</t>
  </si>
  <si>
    <t>NCT06217861</t>
  </si>
  <si>
    <t>A Study to Evaluate the Tolerability, Safety and Efficacy of VGM-R02b</t>
  </si>
  <si>
    <t>NCT06558279</t>
  </si>
  <si>
    <t>A Study to Assess Efficacy and Safety of Efgartigimod PH20 SC in Adults With Ocular Myasthenia Gravis</t>
  </si>
  <si>
    <t>NCT06742762</t>
  </si>
  <si>
    <t>A Phase I Study to Investigate the Effect of Renal Impairment on the Pharmacokinetics, Safety, and Tolerability of AZD5004</t>
  </si>
  <si>
    <t>NCT06574568</t>
  </si>
  <si>
    <t>A Study of YKST02 in Participants With Relapsed or Refractory Multiple Myeloma</t>
  </si>
  <si>
    <t>NCT06312020</t>
  </si>
  <si>
    <t>A Phase 2 Study to Investigate Efficacy and Safety of HZN-1116 in Participants With Sjogren's Syndrome</t>
  </si>
  <si>
    <t>NCT06264440</t>
  </si>
  <si>
    <t>A Study to Assess the Potential for Gastric-pH Dependent Drug-Drug Interactions of BIIB122 With a Proton Pump Inhibitor in Healthy Participants</t>
  </si>
  <si>
    <t>NCT06143891</t>
  </si>
  <si>
    <t>A Study to Test an Oral Medicine, Belumosudil, in Combination With Corticosteroids in Participants at Least 12 Years of Age With Newly Diagnosed Chronic Graft Versus Host Disease.</t>
  </si>
  <si>
    <t>NCT06555796</t>
  </si>
  <si>
    <t>Evaluation of Xaluritamig in High-Risk, Biochemically Recurrent, Non-metastatic Castrate-sensitive Prostate Cancer</t>
  </si>
  <si>
    <t>NCT06309966</t>
  </si>
  <si>
    <t>Study to Determine if BHV-7000 is Effective and Safe in Adults With Refractory Focal Onset Epilepsy</t>
  </si>
  <si>
    <t>Biohaven Therapeutics Ltd.</t>
  </si>
  <si>
    <t>NCT06130553</t>
  </si>
  <si>
    <t>A Study of AZD3470, a PRMT5 Inhibitor, Given as Monotherapy and in Combination in Patients With MTAP Deficient Advanced/Metastatic Solid Tumors</t>
  </si>
  <si>
    <t>NCT06600412</t>
  </si>
  <si>
    <t>The Evaluation of the Drug R3R01 for the Excretion of Protein in the Urine in Patients With Diabetic Kidney Disease.</t>
  </si>
  <si>
    <t>NCT06736912</t>
  </si>
  <si>
    <t>This Study Aims to Evaluate the Safety, Tolerability, Pharmacokinetic and Pharmacodynamic Properties and Food Effect of IN-114199 in Healthy Participants</t>
  </si>
  <si>
    <t>NCT06560112</t>
  </si>
  <si>
    <t>An Exploratory, Multi-cohort Phase II Study of Combination Therapy With AK104 and AK112 for Recurrent Ovarian Cancer</t>
  </si>
  <si>
    <t>NCT06627231</t>
  </si>
  <si>
    <t>Mass Balance Clinical Trial With TEV-56286</t>
  </si>
  <si>
    <t>NCT05750628</t>
  </si>
  <si>
    <t>Platform Study to Evaluate the Efficacy and Safety of Anti-malarial Agents in Patients With Uncomplicated Plasmodium Falciparum Malaria</t>
  </si>
  <si>
    <t>NCT06157892</t>
  </si>
  <si>
    <t>A Study of Disitamab Vedotin With Other Anticancer Drugs in Solid Tumors</t>
  </si>
  <si>
    <t>NCT06553027</t>
  </si>
  <si>
    <t>To Evaluate the Efficacy of CVN424 in Parkinson's Disease Participants With Motor Complications</t>
  </si>
  <si>
    <t>NCT06425861</t>
  </si>
  <si>
    <t>A First in Human Trial Evaluating THB335 in Healthy Participants</t>
  </si>
  <si>
    <t>NCT06976177</t>
  </si>
  <si>
    <t>Study of MT1013 Injection for the Treatment of Secondary Hyperparathyroidism (SHPT) Patients With Chronic Kidney Disease Undergoing Maintenance Dialysis</t>
  </si>
  <si>
    <t>NCT06655662</t>
  </si>
  <si>
    <t>Evaluating Safety and Efficacy of Lentiviral-transduced CD34+ HSCs in Β-thalassaemia Patients.</t>
  </si>
  <si>
    <t>NCT06134362</t>
  </si>
  <si>
    <t>Long-term Follow-up of Long-acting Cabotegravir (CAB LA) for PrEP (Pre-exposure Prophylaxis) in Participants at Risk of Acquiring HIV (Human Immunodeficiency Virus)</t>
  </si>
  <si>
    <t>NCT06236841</t>
  </si>
  <si>
    <t>A Phase I Study of XH-S004 in Healthy Volunteers</t>
  </si>
  <si>
    <t>NCT06561594</t>
  </si>
  <si>
    <t>To Evaluate Recombinant Human Follicle Stimulating Hormone-CTP Fusion Protein Injection or Placebo Combined With Chorionic Gonadotropin for Injection</t>
  </si>
  <si>
    <t>NCT06121375</t>
  </si>
  <si>
    <t>Study to Assess Efficacy, Safety, Tolerability, Pharmacokinetics (PK), and Pharmacodynamics (PD) of Obeticholic Acid (OCA) Compared to Placebo in Pediatric Participants With Biliary Atresia, Post-hepatoportoenterostomy</t>
  </si>
  <si>
    <t>NCT07444281</t>
  </si>
  <si>
    <t>An Phase I Trial of a CAR T-cell Infusion C-CAR031 in Participants With GPC3+ Advanced/Metastatic Squamous Cell Lung Cancer</t>
  </si>
  <si>
    <t>NCT06141200</t>
  </si>
  <si>
    <t>NW Roselle in Grade 1 Essential Hypertension: Phase III Clinical Trial</t>
  </si>
  <si>
    <t>Natural Wellness Egypt</t>
  </si>
  <si>
    <t>NCT06173037</t>
  </si>
  <si>
    <t>RC88 in Platinum-Resistant Recurrent Epithelial Ovarian Cancer, Fallopian Tube Cancer, and Primary Peritoneal Cancer</t>
  </si>
  <si>
    <t>NCT06415045</t>
  </si>
  <si>
    <t>A Study in Healthy People to Test How BI 1015550 is Taken up in the Body When Given With or Without Food</t>
  </si>
  <si>
    <t>NCT06378177</t>
  </si>
  <si>
    <t>A Study of LVGN6051 Combination Therapy in Patient With Head and Neck Squamous Cell Carcinoma (HNSCC)</t>
  </si>
  <si>
    <t>NCT06331728</t>
  </si>
  <si>
    <t>Study to Evaluate the Safety, Tolerability, Pharmacokinetics and Pharmacodynamics of IGNX001</t>
  </si>
  <si>
    <t>IgGenix Australia Pty Ltd</t>
  </si>
  <si>
    <t>NCT06370871</t>
  </si>
  <si>
    <t>Brightline-3: A Study to Find Out Whether Brigimadlin in Combination With Ezabenlimab Helps People With Advanced Soft Tissue Sarcoma</t>
  </si>
  <si>
    <t>NCT05571059</t>
  </si>
  <si>
    <t>Oral Ifetroban in Patients With Idiopathic Pulmonary Fibrosis (IPF)</t>
  </si>
  <si>
    <t>NCT06294561</t>
  </si>
  <si>
    <t>TGRX-326 Pharmacokinetic Drug Interaction</t>
  </si>
  <si>
    <t>NCT06530966</t>
  </si>
  <si>
    <t>Phase I Study of ICP-332 in Healthy Subjects</t>
  </si>
  <si>
    <t>NCT06255951</t>
  </si>
  <si>
    <t>Studies Evaluating the Effects of Itraconazole or Rifampicin on the Pharmacokinetics of TY-9591 Tablets in Healthy Subjects</t>
  </si>
  <si>
    <t>NCT07024641</t>
  </si>
  <si>
    <t>A Study to Assess the Safety, Tolerability, and Pharmacokinetics of GIGA-2339 in Participants With Chronic Hepatitis B Virus Infection</t>
  </si>
  <si>
    <t>NCT06625931</t>
  </si>
  <si>
    <t>Clinical Trial to Evaluate the Safety and Efficacy of NTCB01-1 in Patients Who Require Parenteral Nutrition</t>
  </si>
  <si>
    <t>NCT06637631</t>
  </si>
  <si>
    <t>A Study to Investigate Efficacy and Safety of SAR441566 in Patients With Crohn's Disease.</t>
  </si>
  <si>
    <t>NCT06607939</t>
  </si>
  <si>
    <t>ORB-021 In Patients With Advanced Solid Tumors</t>
  </si>
  <si>
    <t>NCT06635057</t>
  </si>
  <si>
    <t>A Study of Tirzepatide (LY3298176) in Participants With Type 2 Diabetes During Ramadan</t>
  </si>
  <si>
    <t>NCT06456346</t>
  </si>
  <si>
    <t>Bomedemstat vs Hydroxyurea for Essential Thrombocythemia (MK-3543-007)</t>
  </si>
  <si>
    <t>NCT06544642</t>
  </si>
  <si>
    <t>A Study to Evaluate the Effects of ASP5502 in Healthy Adults and Adults With Primary Sjögren's Syndrome</t>
  </si>
  <si>
    <t>NCT06318169</t>
  </si>
  <si>
    <t>A Study Evaluating the Efficacy and Safety of Pegozafermin in Participants With MASH and Fibrosis (ENLIGHTEN-Fibrosis)</t>
  </si>
  <si>
    <t>NCT06128954</t>
  </si>
  <si>
    <t>Study Comparing Once Daily Dose of 900mg of TETA 4HCL Against Cuprior® (450mg Trientine Base, Twice Daily).</t>
  </si>
  <si>
    <t>Orphalan</t>
  </si>
  <si>
    <t>NCT06670170</t>
  </si>
  <si>
    <t>A Study to Learn How Different Forms of the Study Medicine Called PF-07976016 Are Taken Up Into the Blood in Healthy Adults</t>
  </si>
  <si>
    <t>NCT06672094</t>
  </si>
  <si>
    <t>A Study to Investigate the Safety and Efficacy of NeuroQ on Cognitive Function in Health Adults with Self-Reported Memory Problems</t>
  </si>
  <si>
    <t>LifeSeasons Inc.</t>
  </si>
  <si>
    <t>NCT06586112</t>
  </si>
  <si>
    <t>A Study to Evaluate the Efficacy and Safety of ESK-001 in Patients With Moderate to Severe Plaque Psoriasis</t>
  </si>
  <si>
    <t>NCT06226883</t>
  </si>
  <si>
    <t>A Phase 2 Study to Evaluate MORF-057 in Adults With Moderately to Severely Active Crohn's Disease</t>
  </si>
  <si>
    <t>NCT07038941</t>
  </si>
  <si>
    <t>Phase I Clinical Trial of CG2001 in Chinese Adult Male Participants With Androgenetic Alopecia</t>
  </si>
  <si>
    <t>Beijing Dayspring Pharmaceutical Technology Co., Ltd</t>
  </si>
  <si>
    <t>NCT06549595</t>
  </si>
  <si>
    <t>A Study of Surovatamig (AZD0486) Plus Rituximab in Previously Untreated Follicular Lymphoma Patients</t>
  </si>
  <si>
    <t>NCT06442241</t>
  </si>
  <si>
    <t>A Safety and Immunogenicity Trial of a Respiratory Syncytial Virus Vaccine, LYB005 in Healthy Adults</t>
  </si>
  <si>
    <t>NCT06461286</t>
  </si>
  <si>
    <t>SAD of IVT PYC-001 in OPA1 Mutation-Associated Autosomal Dominant Optic Atrophy (Sundew)</t>
  </si>
  <si>
    <t>NCT07093086</t>
  </si>
  <si>
    <t>Clinical Study of Multi-targeted CAR-T Therapy in Patients With Relapsed/Refractory B-Cell Lymphoma</t>
  </si>
  <si>
    <t>NCT06630286</t>
  </si>
  <si>
    <t>Study to Compare an Oral Weekly Islatravir/Lenacapavir Regimen With Bictegravir/Emtricitabine/Tenofovir Alafenamide in Virologically Suppressed People With HIV-1</t>
  </si>
  <si>
    <t>NCT06199037</t>
  </si>
  <si>
    <t>Safety and Pharmacodynamics of SHR-1707 in Alzheimer's Disease Patients</t>
  </si>
  <si>
    <t>NCT06392230</t>
  </si>
  <si>
    <t>A Study to Learn How the Medicine Called [14C] PF-06821497 is Taken up Into and Removed From the Body.</t>
  </si>
  <si>
    <t>NCT06714591</t>
  </si>
  <si>
    <t>Evaluate the Safety, Tolerability, Pharmacokinetic Profile, Efficacy of Bl-M11D1</t>
  </si>
  <si>
    <t>NCT06395103</t>
  </si>
  <si>
    <t>Substudy 01A: Zilovertamab Vedotin in Pediatric and Young Adult Participants With Hematologic Malignancies or Solid Tumors (MK-9999-01A/LIGHTBEAM-U01)</t>
  </si>
  <si>
    <t>NCT06690827</t>
  </si>
  <si>
    <t>Clinical Trial of CD123-targeted CAR-NK Therapy for Relapse/refractory AML or BPDCN</t>
  </si>
  <si>
    <t>NCT06732154</t>
  </si>
  <si>
    <t>A Phase I Clinical Study of a Single Subcutaneous Injection of HRS-5632 in Healthy Subjects</t>
  </si>
  <si>
    <t>NCT06491446</t>
  </si>
  <si>
    <t>Evaluating Clearance of High-Risk HPV and Safety After Administration of ABI-2280 Vaginal Inserts</t>
  </si>
  <si>
    <t>NCT06394973</t>
  </si>
  <si>
    <t>Efficacy and Safety Assessment of T4090 Ophthalmic Solution Versus Rhopressa® Ophthalmic Solution in Patients With Open-angle Glaucoma or Ocular Hypertension</t>
  </si>
  <si>
    <t>NCT06493279</t>
  </si>
  <si>
    <t>Evaluate the Safety and Efficacy of Intrathecal Injection of RJK002 in Patients With Amyotrophic Lateral Sclerosis</t>
  </si>
  <si>
    <t>NCT06663605</t>
  </si>
  <si>
    <t>Phase 1 Study Evaluating PALI-2108 in Healthy Volunteers and Ulcerative Colitis Patients.</t>
  </si>
  <si>
    <t>NCT06701305</t>
  </si>
  <si>
    <t>A Study of Efinopegdutide in Healthy Obese Participants (MK-6024-015)</t>
  </si>
  <si>
    <t>NCT06392386</t>
  </si>
  <si>
    <t>A Study of Efgartigimod PH20 SC in Children Between 2 and Less Than 18 Years of Age With Generalized Myasthenia Gravis</t>
  </si>
  <si>
    <t>NCT06570369</t>
  </si>
  <si>
    <t>A Study to Explore the Effect of SP-624 on Brain Network Analytics in Healthy Adults and Adults With Major Depression</t>
  </si>
  <si>
    <t>NCT06684379</t>
  </si>
  <si>
    <t>Study on Safety and Efficacy of Two Doses of PRS CK STORM in the Modulation of the Cytokine Storm in Patients With Acute Respiratory Infection Caused by SARS-Cov-2, Influenza A, Influenza B and Respiratory Syncytial Virus (RSV)</t>
  </si>
  <si>
    <t>PEACHES BIOTECH</t>
  </si>
  <si>
    <t>NCT06494527</t>
  </si>
  <si>
    <t>A Phase 1 Study to Evaluate the Safety/Tolerability, PK/PD of RG002C0106 Injection in Healthy Adults</t>
  </si>
  <si>
    <t>Rigerna Therapeutics Co., Ltd.; Rigerna Therapeutics (Beijing) Co., Ltd.</t>
  </si>
  <si>
    <t>NCT06706427</t>
  </si>
  <si>
    <t>Safety and Efficacy Study of NGGT001 in Bietti Crystalline Corneoretinal Dystrophy Subjects</t>
  </si>
  <si>
    <t>NGGT (Suzhou) Biotechnology Co., Ltd.</t>
  </si>
  <si>
    <t>NCT07364669</t>
  </si>
  <si>
    <t>Pharmacokinetic and Pharmacodynamic Effects of Insulex® R in Comparison to Humulin® R in Healthy Subjects</t>
  </si>
  <si>
    <t>Laboratorios Pisa S.A. de C.V.</t>
  </si>
  <si>
    <t>NCT06897111</t>
  </si>
  <si>
    <t>Implantation of Cartilage Mini-grafts Made From Donor Cells to Treat Chondral Lesions of the Knee</t>
  </si>
  <si>
    <t>NCT06375772</t>
  </si>
  <si>
    <t>A Controlled Human Rhinovirus Infection Study of 2-Deoxy-D-Glucose in Healthy Adults</t>
  </si>
  <si>
    <t>NCT06752681</t>
  </si>
  <si>
    <t>To Evaluate the Safety, Tolerability, Pharmacokinetics and Antitumor Activity of DAY301 in Participants With Locally Advanced or Metastatic Solid Tumors</t>
  </si>
  <si>
    <t>NCT06562192</t>
  </si>
  <si>
    <t>Phase I Study of [177Lu]Lu-NNS309 in Patients With Pancreatic, Lung, Breast and Colorectal Cancers</t>
  </si>
  <si>
    <t>NCT06139536</t>
  </si>
  <si>
    <t>Assessment of Safety, Tolerability and Pharmacokinetics With BAT4706 and BAT1308 in Advanced Solid Tumors Patients</t>
  </si>
  <si>
    <t>NCT06270511</t>
  </si>
  <si>
    <t>A Study to Investigate Different Formulations of S-337395 in Healthy Adult Participants</t>
  </si>
  <si>
    <t>NCT06246071</t>
  </si>
  <si>
    <t>A Study of TYK-00540 in Adult Patients With Solid Tumors</t>
  </si>
  <si>
    <t>NCT06669754</t>
  </si>
  <si>
    <t>Study of Oral Deucrictibant Extended-Release Tablet for Prophylaxis Against Angioedema Attacks in Adolescents and Adults With HAE</t>
  </si>
  <si>
    <t>NCT06611930</t>
  </si>
  <si>
    <t>CK-0045 Proof-of-concept Study in Participants With Overweight / Obesity and Type 2 Diabetes</t>
  </si>
  <si>
    <t>NCT06564142</t>
  </si>
  <si>
    <t>Evaluation of Efficacy of Povetacicept in Adults With Immunoglobulin A Nephropathy (IgAN)</t>
  </si>
  <si>
    <t>NCT06615570</t>
  </si>
  <si>
    <t>A Phase 1 Dose Escalation Study of VX-973 in Healthy Participants</t>
  </si>
  <si>
    <t>NCT06536023</t>
  </si>
  <si>
    <t>This is a Study to Evaluate the Pharmacokinetics and Safety of IBI362 in Chinese Adolescents With Obesity</t>
  </si>
  <si>
    <t>NCT06752746</t>
  </si>
  <si>
    <t>A Study of Safety, Tolerability, Pharmacokinetics, Pharmacodynamics, and Immunogenicity of 9MW3011 in Patients With Polycythemia Vera</t>
  </si>
  <si>
    <t>NCT06781567</t>
  </si>
  <si>
    <t>Clinical Trial of HG146 Administered to Participants with Adenoid Cystic Carcinoma</t>
  </si>
  <si>
    <t>NCT06164730</t>
  </si>
  <si>
    <t>A Study of VERVE-102 in Patients With Familial Hypercholesterolemia or Premature Coronary Artery Disease</t>
  </si>
  <si>
    <t>NCT06116565</t>
  </si>
  <si>
    <t>A Study of CM310 in Subjects With Moderate-to-Severe Atopic Dermatitis</t>
  </si>
  <si>
    <t>NCT05861999</t>
  </si>
  <si>
    <t>A Study Evaluating the Effectiveness and Safety of Risdiplam Administered in Pediatric Patients With Spinal Muscular Atrophy Who Experienced a Plateau or Decline in Function After Gene Therapy</t>
  </si>
  <si>
    <t>NCT06716853</t>
  </si>
  <si>
    <t>A Clinical Gene Therapy Study With Hematopoietic Stem Cells for the Treatment, With Single Dose of Temferon, of Patients Suffering From Metastatic Renal Cell Carcinoma</t>
  </si>
  <si>
    <t>Genenta Science</t>
  </si>
  <si>
    <t>NCT06399757</t>
  </si>
  <si>
    <t>A Study to Investigate APL-5125 in Adults With Advanced Solid Tumors</t>
  </si>
  <si>
    <t>NCT07123428</t>
  </si>
  <si>
    <t>Single and Multiple Ascending Doses and Food Effect Study of TRD205 in Healthy Volunteers</t>
  </si>
  <si>
    <t>NCT06695572</t>
  </si>
  <si>
    <t>Clinical Study to Evaluate the Food Effect of CKD-383 0.5/10/1000mg in Healthy Volunteers</t>
  </si>
  <si>
    <t>NCT06649292</t>
  </si>
  <si>
    <t>SHR-A1904 Compared With Investigator's Choice of Therapy in Claudin18.2 Positive Patitens With Second-line Advanced or Metastatic Gastric or Gastroesophageal Junction Adenocarcinoma</t>
  </si>
  <si>
    <t>NCT07342257</t>
  </si>
  <si>
    <t>SYN023 With Rabies Vaccine in Healthy Pediatric Subjects</t>
  </si>
  <si>
    <t>NCT04807257</t>
  </si>
  <si>
    <t>Auger Molecular Therapy (AMT) for Malignant Cutaneous Lesions Treatment</t>
  </si>
  <si>
    <t>NanoRay Biotech Co., Ltd.</t>
  </si>
  <si>
    <t>NCT06392009</t>
  </si>
  <si>
    <t>Astroscape: A Study of Radiprodil on Safety, Tolerability, Pharmacokinetics, and Effect on Seizures and Behavioral Symptoms in Patients With TSC or FCD Type II</t>
  </si>
  <si>
    <t>NCT06246552</t>
  </si>
  <si>
    <t>Clinical Trial to Evaluate the Safety and Efficacy of JTM201 to Treat Moderate or Severe Glabellar Lines</t>
  </si>
  <si>
    <t>Jetema USA Inc.</t>
  </si>
  <si>
    <t>NCT06625307</t>
  </si>
  <si>
    <t>A Research Study on the Effects of NNC0537-1482 in Healthy Individuals When Injected Under the Skin</t>
  </si>
  <si>
    <t>NCT06704932</t>
  </si>
  <si>
    <t>A First-in-human Study to Investigate Safety and Tolerability of SAR446959 in Participants With Osteoarthritis of the Knee</t>
  </si>
  <si>
    <t>NCT06514612</t>
  </si>
  <si>
    <t>LIDRISE Study: A Phase 3 Study on the Efficacy and Safety of STN1013800 (Oxymetazoline HCl 0.1% Eye Drops, Single Dose) in the Treatment of Acquired Blepharoptosis.</t>
  </si>
  <si>
    <t>Santen SAS</t>
  </si>
  <si>
    <t>NCT06393634</t>
  </si>
  <si>
    <t>Comparing Direct and Indirect Detection Methods of Multiple Routes of Testosterone Administration</t>
  </si>
  <si>
    <t>NCT06645509</t>
  </si>
  <si>
    <t>Severe Primary Hand Hyperhidrosis Treatment With Topical Administration of Victorhy</t>
  </si>
  <si>
    <t>Dryox Health</t>
  </si>
  <si>
    <t>NCT06116136</t>
  </si>
  <si>
    <t>A Study to Evaluate the Safety and the Activity of S095029 as Part of Combination Therapy in Advanced Gastroesophageal Junction/Gastric Cancers.</t>
  </si>
  <si>
    <t>NCT06256328</t>
  </si>
  <si>
    <t>A Study to Investigate the Efficacy and Safety of ONO-4578 in Combination With Nivolumab and Chemotherapy in Chemotherapy-naïve Participants With HER2-negative Unresectable Advanced or Recurrent Gastric Cancer (Including Esophagogastric Junction Cancer)</t>
  </si>
  <si>
    <t>NCT06555640</t>
  </si>
  <si>
    <t>A Phase II Study to Evaluate the Efficacy and Safety of of DR10624 in Subjects With Severe Hypertriglyceridemia</t>
  </si>
  <si>
    <t>NCT06753890</t>
  </si>
  <si>
    <t>Efficacy and Safety of Changkang Granules in the Treatment of Irritable Bowel Syndrome With Predominant Diarrhea (Liver qi Affecting the Spleen Pattern)</t>
  </si>
  <si>
    <t>NCT06321250</t>
  </si>
  <si>
    <t>A Study of JMKX003948 Tablets in Patients With Renal Cell Carcinoma</t>
  </si>
  <si>
    <t>NCT06343779</t>
  </si>
  <si>
    <t>Study of Oral Deucrictibant Soft Capsule for On-Demand Treatment of Angioedema Attacks in Adolescents and Adults With Hereditary Angioedema</t>
  </si>
  <si>
    <t>NCT06166888</t>
  </si>
  <si>
    <t>A Study of AK131 in Patients With Advanced Solid Tumors</t>
  </si>
  <si>
    <t>NCT06334991</t>
  </si>
  <si>
    <t>Study for Participants With Relapsed/Refractory Non-Hodgkin Lymphoma</t>
  </si>
  <si>
    <t>NCT06564818</t>
  </si>
  <si>
    <t>"A Study of a Deuterated Psilocin Analog (CYB003) in Humans With Major Depressive Disorder"</t>
  </si>
  <si>
    <t>NCT06255782</t>
  </si>
  <si>
    <t>An Open-label Study to Investigate ECUR-506 in Male Babies Less Than 9 Months of Age With Neonatal Onset OTC Deficiency</t>
  </si>
  <si>
    <t>iECURE, Inc.</t>
  </si>
  <si>
    <t>NCT06411379</t>
  </si>
  <si>
    <t>Study to Evaluate the Efficacy and Safety of Subcutaneous Sonelokimab Compared With Placebo in Adult Participants With Moderate to Severe Hidradenitis Suppurativa</t>
  </si>
  <si>
    <t>NCT06372925</t>
  </si>
  <si>
    <t>Intravascular Imaging Study of the Effect of Inclisiran on Plaque in Patients With Acute Myocardial Infarction</t>
  </si>
  <si>
    <t>NCT06299410</t>
  </si>
  <si>
    <t>PET Study to Evaluate Brain Receptor Occupancy, Safety and Pharmacokinetics of ITI-1284 in Healthy Subjects</t>
  </si>
  <si>
    <t>NCT06082323</t>
  </si>
  <si>
    <t>A Single and Multiple Ascending Dose Trial of LT-002-158 Tablets in Healthy Adult Volunteers</t>
  </si>
  <si>
    <t>Leadingtac Pharmaceutical (Shaoxing) Co., Ltd.</t>
  </si>
  <si>
    <t>NCT06088979</t>
  </si>
  <si>
    <t>A Study to Investigate Efficacy and Safety of TOUR006 in Participants 18 to 80 Years of Age With Thyroid Eye Disease</t>
  </si>
  <si>
    <t>Tourmaline Bio, Inc., a Novartis Company</t>
  </si>
  <si>
    <t>NCT06405425</t>
  </si>
  <si>
    <t>A Study of BL-B01D1 + PD-1 in Patients With Locally Advanced or Metastatic Urothelial Carcinoma</t>
  </si>
  <si>
    <t>NCT07299825</t>
  </si>
  <si>
    <t>A Study of A166 in Patients With HER2-Positive Unresectable or Metastatic Breast Cancer</t>
  </si>
  <si>
    <t>NCT06685068</t>
  </si>
  <si>
    <t>A Phase 1/2 Study of GEN1286 in Patients With Advanced Solid Tumors</t>
  </si>
  <si>
    <t>NCT05924776</t>
  </si>
  <si>
    <t>Plasmodium Immunotherapy for Advanced Ovarian Cancer</t>
  </si>
  <si>
    <t>CAS Lamvac (Guangzhou) Biomedical Technology Co., Ltd.</t>
  </si>
  <si>
    <t>NCT06208124</t>
  </si>
  <si>
    <t>A Study of IMM-6-415 in RAS/RAF Mutant Solid Tumors</t>
  </si>
  <si>
    <t>NCT06492525</t>
  </si>
  <si>
    <t>A Study To Evaluate The Effect Of Rifampicin Or Ltraconazole On Pharmacokinetics Of Ensartinib In Healthy Volunteers</t>
  </si>
  <si>
    <t>NCT03250923</t>
  </si>
  <si>
    <t>CelAgace™ OraRinse Solution for Treatment of Candidiasis</t>
  </si>
  <si>
    <t>CelaCare Technologies, Inc.</t>
  </si>
  <si>
    <t>NCT06672718</t>
  </si>
  <si>
    <t>A Study of SPY002-091 in Healthy Volunteers</t>
  </si>
  <si>
    <t>Spyre Therapeutics, Inc.</t>
  </si>
  <si>
    <t>NCT06268860</t>
  </si>
  <si>
    <t>A Study to Assess Bioavailability of Rocatinlimab (AMG 451) Vial and Prefilled Syringe in Healthy Participants</t>
  </si>
  <si>
    <t>NCT06557772</t>
  </si>
  <si>
    <t>A Phase 2a/b Study of the Efficacy and Safety of Subcutaneous Amlitelimab in Adults With Nonresponsive Celiac Disease</t>
  </si>
  <si>
    <t>NCT06685757</t>
  </si>
  <si>
    <t>A Study to Learn More About the Effects and Safety of Felzartamab Infusions in Adults With Kidney Transplants Who Have Antibody-Mediated Rejection (AMR)</t>
  </si>
  <si>
    <t>NCT06608134</t>
  </si>
  <si>
    <t>Safety and Feasibility of Umbilical Cord Wharton's Jelly Allograft Injections for Knee Osteoarthritis</t>
  </si>
  <si>
    <t>R3 Medical Research</t>
  </si>
  <si>
    <t>NCT06671132</t>
  </si>
  <si>
    <t>Development and Evaluation of Computerized Chemosensory-Based Orbitofrontal Networks Training for Treatment of Pain (CBOT-P)</t>
  </si>
  <si>
    <t>NCT06724900</t>
  </si>
  <si>
    <t>A Study Assessing KB304 for the Treatment of Wrinkles in Women</t>
  </si>
  <si>
    <t>NCT06559007</t>
  </si>
  <si>
    <t>Phase 1 Study to Evaluate PK, Safety, and Tolerability of HRS-5041 in Healthy Caucasian Male Participants</t>
  </si>
  <si>
    <t>NCT06100744</t>
  </si>
  <si>
    <t>A Study to Assess Adverse Events, Change in Disease Activity, and How the Drug Moves Through the Body in Children With Juvenile Psoriatic Arthritis (jPsA) Receiving Subcutaneously Injected Risankizumab or Adalimumab</t>
  </si>
  <si>
    <t>NCT05419492</t>
  </si>
  <si>
    <t>A Clinical Study to Evaluate the Safety and Efficacy of ETX101 in Infants and Children With SCN1A-Positive Dravet Syndrome</t>
  </si>
  <si>
    <t>Encoded Therapeutics</t>
  </si>
  <si>
    <t>NCT06261957</t>
  </si>
  <si>
    <t>A Study to Assess and Compare Safety and Tolerability of 3 Months Treatment With Salbutamol Administered Via MDI Containing Propellant HFA-152a or HFA-134a in Participants ≥ 18 Years of Age With Asthma</t>
  </si>
  <si>
    <t>NCT06248567</t>
  </si>
  <si>
    <t>Pharmacokinetics of ZSP1273 in Participants With Severe Kidney Disease</t>
  </si>
  <si>
    <t>NCT06253871</t>
  </si>
  <si>
    <t>A Phase 1/1b Study of IAM1363 in HER2 Cancers</t>
  </si>
  <si>
    <t>Iambic Therapeutics, Inc</t>
  </si>
  <si>
    <t>NCT06129539</t>
  </si>
  <si>
    <t>A Study to Assess the Efficacy, Safety, and Pharmacokinetics of Debio 4326 in Pediatric Participants With Central Precocious Puberty (LIBELULA™ Clinical Trial)</t>
  </si>
  <si>
    <t>NCT06146257</t>
  </si>
  <si>
    <t>A Study of GLB-001 in Patients With Relapsed or Refractory Acute Myeloid Leukemia or Relapsed or Refractory Higher Risk Myelodysplastic Syndromes</t>
  </si>
  <si>
    <t>GluBio Therapeutics Inc.</t>
  </si>
  <si>
    <t>NCT05367401</t>
  </si>
  <si>
    <t>A Study of Sabatolimab and Magrolimab-based Treatment in AML or Higher Risk MDS Participants</t>
  </si>
  <si>
    <t>NCT06615700</t>
  </si>
  <si>
    <t>Phase 1 to Study Safety, Tolerability, Pharmacokinetics, and Pharmacodynamics of NA-931 in Obese Participants and Patients With Type 2 Diabetes Mellitus</t>
  </si>
  <si>
    <t>NCT06464692</t>
  </si>
  <si>
    <t>Study to Assess Adverse Events and How Intravenously (IV) Infused Telisotuzumab Adizutecan (ABBV-400) Moves Through the Body of Adult Participants With Unresectable Locally Advanced/Metastatic Colorectal Cancer</t>
  </si>
  <si>
    <t>NCT06398444</t>
  </si>
  <si>
    <t>A Clinical Study of Lutetium[177Lu] Oxodotreotide Injection in Patients With Advanced Neuroendocrine Neoplasms</t>
  </si>
  <si>
    <t>NCT06452277</t>
  </si>
  <si>
    <t>A Study to Learn More About How Well Sevabertinib Works and How Safe it is Compared With Standard Treatment, in Participants Who Have Advanced Non-small Cell Lung Cancer (NSCLC) With Mutations of the Human Epidermal Growth Factor Receptor 2 (HER2)</t>
  </si>
  <si>
    <t>NCT06380881</t>
  </si>
  <si>
    <t>PK/PD Study of SHR-2017 Injection in Patients With Bone Metastases</t>
  </si>
  <si>
    <t>NCT06177912</t>
  </si>
  <si>
    <t>A Clinical Study of the V116 Vaccine for Children and Teenagers (V116-013)</t>
  </si>
  <si>
    <t>NCT06193200</t>
  </si>
  <si>
    <t>Evaluate the Neurological Effects of EryDex on Subjects With A-T</t>
  </si>
  <si>
    <t>Quince Therapeutics S.p.A.</t>
  </si>
  <si>
    <t>NCT06660667</t>
  </si>
  <si>
    <t>A Safety and Efficacy Study of One-time SAR402663 in Adults With Neovascular Age-related Macular Degeneration</t>
  </si>
  <si>
    <t>NCT06328777</t>
  </si>
  <si>
    <t>RESET-SSc: An Open-Label Study to Evaluate the Safety and Efficacy of CABA-201, a CD19-CAR T Cell Therapy, in Subjects With Systemic Sclerosis</t>
  </si>
  <si>
    <t>NCT06633757</t>
  </si>
  <si>
    <t>Study of Inhaled RCT1100 in Adults With PCD Caused by Pathogenic Mutations in the DNAI1 Gene to Measure Mucociliary Clearance</t>
  </si>
  <si>
    <t>NCT05737628</t>
  </si>
  <si>
    <t>First-in-human Dose Escalation and Expansion Study With the SIRPα-directed Monoclonal Antibody BYON4228</t>
  </si>
  <si>
    <t>NCT06557902</t>
  </si>
  <si>
    <t>Safety, Tolerability and Pharmacokinetics of Lumateperone in Pediatric Patients With Autism Spectrum Disorder</t>
  </si>
  <si>
    <t>NCT06565208</t>
  </si>
  <si>
    <t>First in Human SAD/MAD Safety and PK Study With Adult DMD Safety and PK Cohort</t>
  </si>
  <si>
    <t>Satellos Bioscience, Inc.</t>
  </si>
  <si>
    <t>NCT06670274</t>
  </si>
  <si>
    <t>A Dose Escalating Study of HC002 in Healthy Adult Volunteers</t>
  </si>
  <si>
    <t>Holoclara Aus Pty Ltd</t>
  </si>
  <si>
    <t>NCT06411860</t>
  </si>
  <si>
    <t>A Study to Assess the Effect of Olpasiran on QT/QTc Intervals in Healthy Participants</t>
  </si>
  <si>
    <t>NCT06144697</t>
  </si>
  <si>
    <t>A Study to Evaluate the Safety, Tolerability, Drug Levels, Food, Formulation, and pH Effects on Relative Absorption of BMS-986465 and Its Active Derivative BMS-986464 in Healthy Participants</t>
  </si>
  <si>
    <t>NCT06163391</t>
  </si>
  <si>
    <t>A Study to Assess Safety and Efficacy of SOT201 in Patients With Advanced/Metastatic Cancer</t>
  </si>
  <si>
    <t>NCT06012435</t>
  </si>
  <si>
    <t>A Study of SGN-B6A Versus Docetaxel in Previously Treated Non-small Cell Lung Cancer</t>
  </si>
  <si>
    <t>NCT06421935</t>
  </si>
  <si>
    <t>M9466 Alone or in Combination in Advanced Solid Tumors (DDriver 501)</t>
  </si>
  <si>
    <t>NCT06511076</t>
  </si>
  <si>
    <t>A Study to Evaluate Zilucoplan Injected Subcutaneously Either by a Prefilled Syringe or an Auto-injector in Healthy Adult Participants</t>
  </si>
  <si>
    <t>NCT06317350</t>
  </si>
  <si>
    <t>Clinical Study to Evaluate the Efficacy and Safety of GNS-212-E in Bowel Preparation for Colonoscopy</t>
  </si>
  <si>
    <t>Gunkang Pharmaceuticals, Inc</t>
  </si>
  <si>
    <t>NCT06203210</t>
  </si>
  <si>
    <t>A Study of Ifinatamab Deruxtecan Versus Treatment of Physician's Choice in Subjects With Relapsed Small Cell Lung Cancer</t>
  </si>
  <si>
    <t>NCT06578676</t>
  </si>
  <si>
    <t>To Evaluate the Safety and Pharmacokinetic Interaction Between HODO-22251 and HODO-22252 in Healthy Adults</t>
  </si>
  <si>
    <t>NCT06961617</t>
  </si>
  <si>
    <t>Autologous HBV-TCR T Cell Therapy (LioCyx-M) for the Treatment of Hepatocellular Carcinoma</t>
  </si>
  <si>
    <t>NCT06625489</t>
  </si>
  <si>
    <t>A Study to Evaluate the Safety, Tolerability and Blood Levels of GSK3915393 Administered to Healthy Participants of Chinese, Japanese and European Ancestry and to Assess Effects of GSK3915393 on Nintedanib</t>
  </si>
  <si>
    <t>NCT06119217</t>
  </si>
  <si>
    <t>Phase 2 Study of TTX-030 and Chemotherapy With or Without Budigalimab for 1L mPDAC Patients</t>
  </si>
  <si>
    <t>NCT06255340</t>
  </si>
  <si>
    <t>A Study in Healthy Men to Test How Different Doses of BI 3031185 Are Tolerated and How Food Influences the Amount of BI 3031185 in the Blood</t>
  </si>
  <si>
    <t>NCT06369467</t>
  </si>
  <si>
    <t>Short-Term Linvoseltamab Treatment on Top of Chronic Dupilumab Treatment for Adults With Severe Immunoglobulin E (IgE)-Mediated Food Allergy</t>
  </si>
  <si>
    <t>NCT06224192</t>
  </si>
  <si>
    <t>A Study With Self-administered Rocatinlimab in Adolescent and Adult Participants With Moderate-to-severe Atopic Dermatitis</t>
  </si>
  <si>
    <t>NCT06413511</t>
  </si>
  <si>
    <t>A Study to Investigate the Safety and Pharmacological Effect of a Single Intravenous Infusion of Belantamab in Male and Female Participants Aged 18 to 75 With Autoimmune Disease</t>
  </si>
  <si>
    <t>NCT06918587</t>
  </si>
  <si>
    <t>A Comparative Evaluation of Pharmacokinetics and Immunogenicity.</t>
  </si>
  <si>
    <t>NCT06724263</t>
  </si>
  <si>
    <t>A Multicenter, Open-label Phase IIa Clinical Study to Evaluate the Efficacy and Safety of B1962 Injection in the Treatment of Advanced Malignant Solid Tumors</t>
  </si>
  <si>
    <t>NCT06549816</t>
  </si>
  <si>
    <t>A Study of SGN-B6A in Chinese Participants With Advanced Solid Tumors</t>
  </si>
  <si>
    <t>NCT06378658</t>
  </si>
  <si>
    <t>A Study to Learn About How Food and Esomeprazole Affect the Level of BAY2927088 in the Blood When Taken Together in Healthy Participants</t>
  </si>
  <si>
    <t>NCT06651567</t>
  </si>
  <si>
    <t>A Study to Assess the Efficacy and Safety of ITI-1284 in the Treatment of Agitation Associated With Alzheimer's Dementia</t>
  </si>
  <si>
    <t>NCT06572111</t>
  </si>
  <si>
    <t>A Study in Healthy Men to Test How BI 1839100 is Taken up and Handled by the Body</t>
  </si>
  <si>
    <t>NCT06417814</t>
  </si>
  <si>
    <t>A Study to Investigate the Efficacy and Safety of Dato-DXd With or Without Osimertinib Compared With Platinum Based Doublet Chemotherapy in Participants With EGFR-Mutated Locally Advanced or Metastatic Non-Small Cell Lung Cancer</t>
  </si>
  <si>
    <t>NCT05223816</t>
  </si>
  <si>
    <t>An Open-Label, Multiple-Center, Phase IIa/IIb Clinical Trial to Evaluate the Efficacy, Safety and Tolerability of VG161 as Monotherapy and in Combination With Nivolumab for Treatment of Patients With Hepatocellular Carcinoma or Intrahepatic Cholangiocarcinoma</t>
  </si>
  <si>
    <t>NCT06342349</t>
  </si>
  <si>
    <t>A Clinical Trial of Quadrivalent Influenza Virus Split Vaccine (MDCK Cells) for Individuals Aged 6 Months and Above.</t>
  </si>
  <si>
    <t>NCT07155499</t>
  </si>
  <si>
    <t>A Clinical Trial for Evaluation of Efficacy, Safety and Immunogenicity of GNR-127 (Recombinant ABP Antigen Protein Which Carries a Birch Pollen Allergen [BET V 1] and an Apple Allergen [MAL D 1]) in Patients With Birch Pollen Allergic Rhinitis.</t>
  </si>
  <si>
    <t>NCT07415863</t>
  </si>
  <si>
    <t>Phase 1/II Clinical Study of SYS6043 in the Treatment of Advanced/Metastatic Solid Tumors</t>
  </si>
  <si>
    <t>CSPC Megalith Biopharmaceutical Co.,Ltd.</t>
  </si>
  <si>
    <t>NCT06258304</t>
  </si>
  <si>
    <t>A Dose Escalation and Expansion Study of GIGA-564 in Participants With Locally Advanced or Metastatic Solid Tumor Malignancies</t>
  </si>
  <si>
    <t>NCT06740526</t>
  </si>
  <si>
    <t>Trial of the Impact of Sibeprenlimab on Immunoglobulin A Nephropathy Kidney Tissue</t>
  </si>
  <si>
    <t>NCT06488716</t>
  </si>
  <si>
    <t>A Study to Evaluate the Safety, Pharmacokinetics, and Activity of RO7759065 as a Single Agent and in Combination With Atezolizumab in Patients With Locally Advanced or Metastatic Solid Tumors</t>
  </si>
  <si>
    <t>NCT06489652</t>
  </si>
  <si>
    <t>89Zr-Oxine-RY_SW01 Cell Injection for the Treatment of Systemic Sclerosis</t>
  </si>
  <si>
    <t>NCT06720038</t>
  </si>
  <si>
    <t>A Clinical Study to Evaluate the Safety, Tolerability, and Immunogenicity of VAX-31 in Healthy Infants</t>
  </si>
  <si>
    <t>NCT06120504</t>
  </si>
  <si>
    <t>A Safety Study of PF-08046045/SGN-35T in Adults With Advanced Cancers</t>
  </si>
  <si>
    <t>NCT06269484</t>
  </si>
  <si>
    <t>A Phase IIb Study to Evaluate the Safety of Zibotentan/Dapagliflozin in Participants With Cirrhosis-ZEAL-UNLOCK</t>
  </si>
  <si>
    <t>NCT06341647</t>
  </si>
  <si>
    <t>Phase 1 Clinical Trial to Evaluate the Safety and Anti-Tumor Activity of AB-201</t>
  </si>
  <si>
    <t>NCT06237049</t>
  </si>
  <si>
    <t>A Study to Learn About a Combined COVID-19 and Influenza Shot in Healthy Adults</t>
  </si>
  <si>
    <t>NCT06674538</t>
  </si>
  <si>
    <t>Clinical Trial to Treat Stage IV Cancer Patients</t>
  </si>
  <si>
    <t>Moonshot Antibodies</t>
  </si>
  <si>
    <t>NCT06310616</t>
  </si>
  <si>
    <t>A Study to Investigate the Potential Drug-Drug Interaction Between VH4524184 and Oral Contraceptive (Loestrin) in Healthy Adult Female Participants</t>
  </si>
  <si>
    <t>NCT06562296</t>
  </si>
  <si>
    <t>Study Evaluating Several CAMPs in Nonhealing Diabetic Foot and Venous Leg Ulcers</t>
  </si>
  <si>
    <t>Cellution Biologics</t>
  </si>
  <si>
    <t>NCT06475846</t>
  </si>
  <si>
    <t>A Trial of HRS5580 in Prevention of Postoperative Nausea and Vomiting of Adults</t>
  </si>
  <si>
    <t>NCT06005597</t>
  </si>
  <si>
    <t>Study of Obicetrapib &amp; Ezetimibe Fixed Dose Combination on Top of Maximum Tolerated Lipid-Modifying Therapies</t>
  </si>
  <si>
    <t>NCT06731959</t>
  </si>
  <si>
    <t>A Study to Investigate Using Inhaled Fexlamose to Treat Adult Participants Who Have Moderate to Severe COPD</t>
  </si>
  <si>
    <t>NCT06428396</t>
  </si>
  <si>
    <t>Study of Belzutifan (MK-6482) Plus Fulvestrant for ER+/HER2- Metastatic Breast Cancer (MK-6482-029/LITESPARK-029)</t>
  </si>
  <si>
    <t>NCT06504368</t>
  </si>
  <si>
    <t>Safety, Tolerability, and Pharmacokinetics of DCR-PDL1 in Adults With Solid Tumors</t>
  </si>
  <si>
    <t>NCT06258213</t>
  </si>
  <si>
    <t>A Study to Evaluate the Safety, Tolerability, and Pharmacokinetics of Oral ABP-745 Administration in Healthy Volunteers</t>
  </si>
  <si>
    <t>NCT06256510</t>
  </si>
  <si>
    <t>A Study to Learn If the Study Medicine Called Vepdegestrant Changes How the Body Processes the Other Study Medicine Called Midazolam</t>
  </si>
  <si>
    <t>NCT06444113</t>
  </si>
  <si>
    <t>Concentration of Ofatumumab in the Breast Milk of Lactating Women With Relapsing Forms of Multiple Sclerosis</t>
  </si>
  <si>
    <t>NCT06413680</t>
  </si>
  <si>
    <t>A First-In Human (FIH) Study to Find Out How Well REGN10597 Medicine Given Alone or in Combination With Cemiplimab Works in Adult Participants Who Have Cancer With Tumors That Have Spread in Their Body</t>
  </si>
  <si>
    <t>NCT06205381</t>
  </si>
  <si>
    <t>Assessment of the Safety, Tolerability and Pharmacokinetics of AV078 in Healthy Volunteers</t>
  </si>
  <si>
    <t>Aeovian Pharmaceuticals, Inc.</t>
  </si>
  <si>
    <t>NCT06878170</t>
  </si>
  <si>
    <t>A First in Human Study to Evaluate the Safety and Immunogenicity of RBM-001 in Healthy Adult Volunteers</t>
  </si>
  <si>
    <t>Rock BioMedical, Inc.</t>
  </si>
  <si>
    <t>NCT06335173</t>
  </si>
  <si>
    <t>A Study to Evaluate Efficacy and Safety of Intravenous Sabirnetug in Participants With Early Alzheimer's Disease (ALTITUDE-AD)</t>
  </si>
  <si>
    <t>NCT06639087</t>
  </si>
  <si>
    <t>A Phase Ib Study of AZD5462 on Top of Dapagliflozin in Participants With Heart Failure and Moderate Renal Impairment</t>
  </si>
  <si>
    <t>NCT06370598</t>
  </si>
  <si>
    <t>Phase 1/2a to Assess the Safety and Tolerability of TP-122A for the Treatment of Ventilator-Associated Pneumonia</t>
  </si>
  <si>
    <t>NCT06480565</t>
  </si>
  <si>
    <t>A Phase 1/2 Trial of ADI-270 in ccRCC</t>
  </si>
  <si>
    <t>NCT06277154</t>
  </si>
  <si>
    <t>MASCT-I Combined With Doxorubicin and Ifosfamide for First-line Treatment of Advanced Soft Tissue Sarcoma</t>
  </si>
  <si>
    <t>NCT06462729</t>
  </si>
  <si>
    <t>LDGraft in Single Level Anterior Lumbar Interbody Fusion (ALIF)</t>
  </si>
  <si>
    <t>Locate Bio Pty Ltd</t>
  </si>
  <si>
    <t>NCT06668064</t>
  </si>
  <si>
    <t>A 2-year Study of EYP-1901 in Subjects With Wet Age Related Macular Degeneration (wAMD) (LUGANO) Primary Efficacy Will be Determined at Week 56</t>
  </si>
  <si>
    <t>NCT06456593</t>
  </si>
  <si>
    <t>Efficacy and Safety of Obefazimod in Subjects With Moderately to Severely Active Crohn's Disease</t>
  </si>
  <si>
    <t>NCT06318884</t>
  </si>
  <si>
    <t>A First-in-human Study of SCTB35 in Patients With Relapse/Refractory B-cell Non-Hodgkin Lymphoma</t>
  </si>
  <si>
    <t>NCT06991348</t>
  </si>
  <si>
    <t>Clinical Trial for the Comparative Evaluation of Acid Suppression and Symptom Management of Gastroesophageal Reflux Disease With the Administration of Tegoprazan or Pantoprazole</t>
  </si>
  <si>
    <t>Carnot Laboratories</t>
  </si>
  <si>
    <t>NCT06245915</t>
  </si>
  <si>
    <t>AB-2100, an Integrated Circuit T Cell Therapy in Patients With Recurrent Clear-cell Renal Cell Carcinoma (ccRCC)</t>
  </si>
  <si>
    <t>NCT06597058</t>
  </si>
  <si>
    <t>Phase 2 Estimation Study of Fixed Dose Drugs Combination Type of Polypill</t>
  </si>
  <si>
    <t>Noah Pharmaceuticals, Inc.</t>
  </si>
  <si>
    <t>NCT06248008</t>
  </si>
  <si>
    <t>A Study to Evaluate Safety of ASC40 Tablets in Patients With Moderate to Severe Acne Vulgaris</t>
  </si>
  <si>
    <t>NCT06592326</t>
  </si>
  <si>
    <t>9MW2821 in Combination With Toripalimab vs Standard Chemotherapy in Locally Advanced or Metastatic Urothelial Cancer</t>
  </si>
  <si>
    <t>NCT06293326</t>
  </si>
  <si>
    <t>A First-in-Human Study to Learn How Well a Bi-Layer Calcium Carbonate Antacid Tablet Works Compared to a Standard, Non-Layered Calcium Carbonate Tablet in Healthy Male Participants</t>
  </si>
  <si>
    <t>NCT06112678</t>
  </si>
  <si>
    <t>A Clinical Trial to Evaluate the Tolerability and Pharmacokinetics of CKD-348(6)</t>
  </si>
  <si>
    <t>NCT06701526</t>
  </si>
  <si>
    <t>A Trial of Eptinezumab in Participants With Migraine and Insufficient Response to Anti-CGRP Medications</t>
  </si>
  <si>
    <t>NCT06314373</t>
  </si>
  <si>
    <t>A Study for HSK39775 in Participants With Solid Tumors</t>
  </si>
  <si>
    <t>NCT06543966</t>
  </si>
  <si>
    <t>Efficacy and Safety Study of Aprepitant Injection for Prevention of Post-operative Nausea and Vomiting</t>
  </si>
  <si>
    <t>NCT03938922</t>
  </si>
  <si>
    <t>A Study to Evaluate ENT-01 for the Treatment of Parkinson's Disease Dementia</t>
  </si>
  <si>
    <t>NCT06305754</t>
  </si>
  <si>
    <t>Sacituzumab Tirumotecan (MK-2870) Versus Pemetrexed and Carboplatin Combination Therapy in Participants With Epidermal Growth Factor (EGFR)-Mutated, Advanced Nonsquamous Non-small Cell Lung Cancer (NSCLC) Who Have Progressed on Prior EGFR Tyrosine Kinase Inhibitors (MK-2870-009)</t>
  </si>
  <si>
    <t>NCT06453356</t>
  </si>
  <si>
    <t>A Study to Learn How the Study Medicine Called Zavegepant is Taken Up Into Blood and Breast Milk of Healthy Breast-Feeding Women</t>
  </si>
  <si>
    <t>NCT05202353</t>
  </si>
  <si>
    <t>A Study in People With Obesity to Test the Effects of BI 456906 Compared With Semaglutide on Glucagon Receptor Activity in the Liver</t>
  </si>
  <si>
    <t>NCT06247956</t>
  </si>
  <si>
    <t>Study of SHR-8068 Combined With Adebrelimab and Platinum-containing Chemotherapy in the Treatment of Advanced Gastric and Esophageal Cancer</t>
  </si>
  <si>
    <t>NCT06326502</t>
  </si>
  <si>
    <t>A Safety and Efficacy Study of Multiple Tyrosine Kinase Inhibitor Drug (ETN101) in Advanced Hepatocellular Carcinoma</t>
  </si>
  <si>
    <t>Etnova Therapeutics Corp.</t>
  </si>
  <si>
    <t>NCT06285253</t>
  </si>
  <si>
    <t>miroliverELAP® for the Treatment of Acute Liver Failure: A Phase 1 Trial</t>
  </si>
  <si>
    <t>Miromatrix Medical Inc.</t>
  </si>
  <si>
    <t>NCT05100641</t>
  </si>
  <si>
    <t>AV-GBM-1 vs Control as Adjunctive Therapy Following Surgery and RT/TMZ in Newly Diagnosed GBM</t>
  </si>
  <si>
    <t>NCT06569056</t>
  </si>
  <si>
    <t>A Trial of HRS-8427 in the Treatment of Adults With Complicated Urinary Tract Infection, Including Acute Pyelonephritis</t>
  </si>
  <si>
    <t>NCT06663137</t>
  </si>
  <si>
    <t>Open Label Study to Evaluate the Safety and Efficacy of NDV01 KIT in High Grade NMIBC</t>
  </si>
  <si>
    <t>NCT06542445</t>
  </si>
  <si>
    <t>The Safety and Efficacy of Terpene-enriched Cannabidiol (CBD) Oil in ADHD</t>
  </si>
  <si>
    <t>Bazelet Nehushtan LtD.</t>
  </si>
  <si>
    <t>NCT06691256</t>
  </si>
  <si>
    <t>Preventing Medication Mismanagement in People Living with Dementia Through Automated Medication Dispensing with Facial Recognition and Video Observation</t>
  </si>
  <si>
    <t>HiDO Technologies</t>
  </si>
  <si>
    <t>NCT06602531</t>
  </si>
  <si>
    <t>Safety and Immunogenicity Study of Self-Amplifying RNA Pandemic Influenza Vaccine in Adults</t>
  </si>
  <si>
    <t>NCT06219902</t>
  </si>
  <si>
    <t>A Study to Learn if Elinzanetant Affects the Ability to Drive and Brain Function in Healthy Women</t>
  </si>
  <si>
    <t>NCT06165250</t>
  </si>
  <si>
    <t>A Study to Evaluate the Efficacy and Safety of Co-administrated BR1018B and BR1018C</t>
  </si>
  <si>
    <t>NCT06302491</t>
  </si>
  <si>
    <t>A Study of Safety and Efficiency of AND017 in Patients With β-thalassemia</t>
  </si>
  <si>
    <t>NCT06552520</t>
  </si>
  <si>
    <t>To Evaluate the Phase III Clinical Trial of TQH2722 Injection in the Treatment of Moderate to Severe Atopic Dermatitis</t>
  </si>
  <si>
    <t>Shanghai Chia Tai Tianqing Pharmaceutical Technology Development Co., Ltd.</t>
  </si>
  <si>
    <t>NCT06056310</t>
  </si>
  <si>
    <t>Phase 1b Safety Study of Xevinapant, Weekly Cisplatin, and RT in Participants With Unresected LA SCCHN (HyperlynX)</t>
  </si>
  <si>
    <t>NCT06548620</t>
  </si>
  <si>
    <t>A Study of RD06-04 in Patients With Active Autoimmune Diseases</t>
  </si>
  <si>
    <t>Nanjing Bioheng Biotech Co., Ltd.</t>
  </si>
  <si>
    <t>NCT06515990</t>
  </si>
  <si>
    <t>A Study of DM005 in Patients With Advanced Solid Tumors</t>
  </si>
  <si>
    <t>Doma Biopharmaceutical（Suzhou）Co., Ltd.</t>
  </si>
  <si>
    <t>NCT06423235</t>
  </si>
  <si>
    <t>Efficacy and Safety of Prunella Oral Liquid in the Treatment of Thyroid Nodules</t>
  </si>
  <si>
    <t>NCT06577025</t>
  </si>
  <si>
    <t>A Study of Different Sequences of Cilta-cel, Talquetamab in Combination With Daratumumab and Teclistamab in Combination With Daratumumab Following Induction With Daratumumab, Bortezomib, Lenalidomide and Dexamethasone in Participants With Standard-risk Newly Diagnosed Multiple Myeloma</t>
  </si>
  <si>
    <t>NCT06579105</t>
  </si>
  <si>
    <t>Efficacy, Safety, and Tolerability of Once Daily Oral Administration of AZD5004 Versus Placebo for 26 Weeks in Adults With Type 2 Diabetes Mellitus.</t>
  </si>
  <si>
    <t>NCT06241456</t>
  </si>
  <si>
    <t>FT825/ONO-8250, an Off-the-Shelf, HER2 CAR-T, With or Without Monoclonal Antibodies in Advanced Solid Tumors</t>
  </si>
  <si>
    <t>NCT06406400</t>
  </si>
  <si>
    <t>Drug-Drug Interaction and Safety of AZD4041 Study (Part 1) and Efficacy, Safety, Pharmacokinetics and Pharmacodynamics of AZD4041 Study in Opioid Use Disorder (Part 2).</t>
  </si>
  <si>
    <t>NCT06050122</t>
  </si>
  <si>
    <t>Efficacy and Safety of Patidegib Gel 2% for Preventing Basal Cell Carcinomas on the Face of Adults With Gorlin Syndrome</t>
  </si>
  <si>
    <t>NCT06430905</t>
  </si>
  <si>
    <t>Safety, Reactogenicity and Immunogenicity of HB-502 and HB-501 Versus Placebo in People With HIV on Suppressive ART</t>
  </si>
  <si>
    <t>NCT06078202</t>
  </si>
  <si>
    <t>A Study to Assess the Relative Bioavailability of Three Immediate-Release Tablet Formulations of ABBV-903 in Healthy Adult Volunteers</t>
  </si>
  <si>
    <t>NCT06871761</t>
  </si>
  <si>
    <t>A Trial Comparing HR17031 With Insulin Glargine in Patients With Type 2 Diabetes</t>
  </si>
  <si>
    <t>NCT06233942</t>
  </si>
  <si>
    <t>Phase 1a/1b First-in-Human Study of BG-C9074 Alone and in Combination With Other Anticancer Therapies in Patients With Advanced Solid Tumors</t>
  </si>
  <si>
    <t>NCT07011186</t>
  </si>
  <si>
    <t>A Clinical Trial of TQB3909 Tablets in Combination With Azacitidine for the Treatment of Myeloid Malignancies</t>
  </si>
  <si>
    <t>NCT06316973</t>
  </si>
  <si>
    <t>A Clinical Study to Evaluate the Safety of CS-1103 in Healthy Participants</t>
  </si>
  <si>
    <t>Clear Scientific, Inc.</t>
  </si>
  <si>
    <t>NCT06547554</t>
  </si>
  <si>
    <t>A DDI Study to Investigate PK and Safety of Cefiderocol in Combination With Xeruborbactam in Healthy Adult Participants</t>
  </si>
  <si>
    <t>NCT06641037</t>
  </si>
  <si>
    <t>A Study of LY3866288 in Healthy Participants</t>
  </si>
  <si>
    <t>NCT06407973</t>
  </si>
  <si>
    <t>A Clinical Trial Comparing the OMNI Surgical System to Standard Medical Treatment in Patients With Primary Open Angle Glaucoma</t>
  </si>
  <si>
    <t>Sight Sciences, Inc.</t>
  </si>
  <si>
    <t>NCT06352541</t>
  </si>
  <si>
    <t>Study Evaluating PRO-232 an Ophthalmic Solution Compared to Placebo.</t>
  </si>
  <si>
    <t>NCT06596694</t>
  </si>
  <si>
    <t>Study of Patritumab Deruxtecan in Participants With Gastrointestinal Cancers (MK-1022-011) (HERTHENA-PanTumor02)</t>
  </si>
  <si>
    <t>NCT06267183</t>
  </si>
  <si>
    <t>A Clinical Study to Evaluate Safety, Tolerability and Pharmacokinetics of SV001 in Chinese Healthy Adult Volunteers.</t>
  </si>
  <si>
    <t>Shanghai Synvida Biotechnology Co.,Ltd.</t>
  </si>
  <si>
    <t>NCT06593522</t>
  </si>
  <si>
    <t>A Phase 2 Study of Anvumetostat in Participants With MTAP-deleted Advanced NSCLC (MTAPESTRY 201)</t>
  </si>
  <si>
    <t>NCT06623422</t>
  </si>
  <si>
    <t>A Study of Pembrolizumab (MK-3475) With or Without Intismeran Autogene (V940) in Participants With Non-small Cell Lung Cancer (V940-009/INTerpath-009)</t>
  </si>
  <si>
    <t>NCT06730009</t>
  </si>
  <si>
    <t>Phase I/II Study: Allogeneic NK-cell Therapy With Chemotherapy for Post-Surgery PDA or Cholangiocarcinoma Patients</t>
  </si>
  <si>
    <t>NCT06641609</t>
  </si>
  <si>
    <t>A Phase I Study of CFT8919 in Patients With Advanced NSCLC</t>
  </si>
  <si>
    <t>NCT06624228</t>
  </si>
  <si>
    <t>A Study to Evaluate the Efficacy and Safety of Bimekizumab in Adult Study Participants With Active Psoriatic Arthritis</t>
  </si>
  <si>
    <t>NCT06613009</t>
  </si>
  <si>
    <t>Study of IBI3009 in Participants with Unresectable, Metastatic or Extensive-Stage Small Cell Lung Cancer</t>
  </si>
  <si>
    <t>NCT06727136</t>
  </si>
  <si>
    <t>A Study to Characterize Single and Repeat Dose Pharmacokinetics of Tebipenem-Pivoxil-Hydrobromide (TBP-PI-HBr) and Its Major Metabolite (SPR1349) in Healthy Participants</t>
  </si>
  <si>
    <t>NCT06625411</t>
  </si>
  <si>
    <t>An Efficacy, Safety, and Tolerability Study of VRDN-003 in Participants With Active Thyroid Eye Disease (TED)</t>
  </si>
  <si>
    <t>NCT06128044</t>
  </si>
  <si>
    <t>CRISPR-Edited Allogeneic Anti-CLL-1 CAR-T Cell Therapy in Patients With Relapsed/Refractory Acute Myeloid Leukemia</t>
  </si>
  <si>
    <t>NCT06250400</t>
  </si>
  <si>
    <t>Efficacy and Safety of Histamine Human Immunoglobulin in the Treatment of Chronic Spontaneous Urticaria (CSU)</t>
  </si>
  <si>
    <t>NCT06192108</t>
  </si>
  <si>
    <t>A Study of Orforglipron (LY3502970) Compared With Dapagliflozin in Adult Participants With Type 2 Diabetes and Inadequate Glycemic Control With Metformin</t>
  </si>
  <si>
    <t>NCT06268574</t>
  </si>
  <si>
    <t>Safety and Efficacy of RVU120 for Treatment of Relapsed/Refractory AML</t>
  </si>
  <si>
    <t>NCT06843018</t>
  </si>
  <si>
    <t>Study to Evaluate the Efficacy and Safety of Different Doses of Graminidin With Anesthetic, a Metered Dose Topical Spray, in the Treatment of Acute Infectious and Inflammatory Pharyngeal Diseases Compared With Drug Septolete Total, Lozenges</t>
  </si>
  <si>
    <t>NCT06450197</t>
  </si>
  <si>
    <t>Phase IIa Study Evaluating AZD7798 in Crohn's Disease</t>
  </si>
  <si>
    <t>NCT06196879</t>
  </si>
  <si>
    <t>A Study to Investigate the Efficacy and Safety of Verekitug (UPB-101) in Adult Participants With Severe Asthma (VALIANT)</t>
  </si>
  <si>
    <t>NCT06382662</t>
  </si>
  <si>
    <t>Assess the Effect of Metaxalone 640 mg (M640) Compared to Tizanidine 8 mg on Truck Driving Ability and Cognition</t>
  </si>
  <si>
    <t>NCT06659562</t>
  </si>
  <si>
    <t>Clinical Study of HER-096 in Healthy Volunteer Subjects and Patients With Parkinson's Disease</t>
  </si>
  <si>
    <t>NCT06278389</t>
  </si>
  <si>
    <t>Single Ascending Dose, Food Effects and Drug-Drug Interactions of ACC017 Tablets in Healthy Adult Participants</t>
  </si>
  <si>
    <t>Jiangsu Aidea Pharmaceutical Group Co., Ltd.</t>
  </si>
  <si>
    <t>NCT06588491</t>
  </si>
  <si>
    <t>KYSA-8: A Study of Anti-CD19 Chimeric Antigen Receptor T-Cell (CD19 CAR T) Therapy, in Subjects With Treatment Refractory Stiff Person Syndrome</t>
  </si>
  <si>
    <t>NCT03097796</t>
  </si>
  <si>
    <t>A Multiple Ascending Dose Study of PUL-042 in Stem Cell Transplant Recipients</t>
  </si>
  <si>
    <t>NCT06432738</t>
  </si>
  <si>
    <t>ZL-82 Double-blind Clinical Trial</t>
  </si>
  <si>
    <t>NCT06561048</t>
  </si>
  <si>
    <t>Soquelitinib vs Standard of Care in Participants With Relapsed/Refractory Peripheral T-cell Lymphoma Not Otherwise Specified, Follicular Helper T-cell Lymphomas, or Systemic Anaplastic Large-cell Lymphoma</t>
  </si>
  <si>
    <t>NCT06496048</t>
  </si>
  <si>
    <t>Lurbinectedin or in Combination with Irinotecan Versus Topotecan in Patients with Relapsed SCLC</t>
  </si>
  <si>
    <t>NCT06715540</t>
  </si>
  <si>
    <t>Safety, Pharmacodynamics, Pharmacokinetics, and Immunogenicity of Ascending Doses BCD-261 in Healthy Subjects</t>
  </si>
  <si>
    <t>NCT06315491</t>
  </si>
  <si>
    <t>A Study of CBX 12 in Subjects With Platinum Resistant or Refractory Ovarian Cancer</t>
  </si>
  <si>
    <t>NCT06215118</t>
  </si>
  <si>
    <t>A Study to Learn About the Effects of the Combination of Elranatamab (PF-06863135) and Iberdomide in Patients With Relapsed or Refractory Multiple Myeloma (MagnetisMM-30)</t>
  </si>
  <si>
    <t>NCT06125197</t>
  </si>
  <si>
    <t>Oncolytic Adenovirus TILT-123 With Pembrolizumab as Treatment for Refractory Non-Small Cell Lung Cancer</t>
  </si>
  <si>
    <t>NCT06228924</t>
  </si>
  <si>
    <t>Open-label, Dose Escalation Study of Safety and Preliminary Efficacy of TN-401 in Adults With PKP2 Mutation-associated ARVC</t>
  </si>
  <si>
    <t>NCT06577259</t>
  </si>
  <si>
    <t>Study to Assess Relative Bioavailability of BMS-986435 Formulations in Healthy Adult Participants</t>
  </si>
  <si>
    <t>NCT06616532</t>
  </si>
  <si>
    <t>PM8002 in Combination With Paclitaxel Compared With Chemotherapy as Second-line Treatment in Small Cell Lung Cancer</t>
  </si>
  <si>
    <t>NCT06245291</t>
  </si>
  <si>
    <t>Study of Imdusiran (AB-729) in Combination With Intermittent Dosing of Durvalumab in Subjects With Chronic HBV Infection</t>
  </si>
  <si>
    <t>NCT06604624</t>
  </si>
  <si>
    <t>Semaglutide in Treatment of Obesity</t>
  </si>
  <si>
    <t>NCT06496217</t>
  </si>
  <si>
    <t>Safety and Pharmacokinetics Study of MBX 2109 in Adult Subjects With Normal and Impaired Renal Function</t>
  </si>
  <si>
    <t>NCT06612840</t>
  </si>
  <si>
    <t>A Study of GNC-077 in Patients With Locally Advanced or Metastatic Non-small-cell Lung Cancer and Other Solid Tumors</t>
  </si>
  <si>
    <t>NCT06205797</t>
  </si>
  <si>
    <t>To Evaluate HU-045 in the Treatment of Glabellar Lines(Phase III)</t>
  </si>
  <si>
    <t>NCT06126497</t>
  </si>
  <si>
    <t>Study Evaluating Safety and Efficacy of Ropanicant in MDD Patients</t>
  </si>
  <si>
    <t>NCT06054113</t>
  </si>
  <si>
    <t>Study of Blinatumomab Administration in Chinese Pediatric Participants With Relapsed/Refractory B Precursor Acute Lymphoblastic Leukemia (R/R B-ALL)</t>
  </si>
  <si>
    <t>NCT06628596</t>
  </si>
  <si>
    <t>Acute Effects of Paraxanthine on Energy and Focus</t>
  </si>
  <si>
    <t>Iovate Health Sciences International Inc</t>
  </si>
  <si>
    <t>NCT06481488</t>
  </si>
  <si>
    <t>A Study of E2086 in Healthy Adult Participants</t>
  </si>
  <si>
    <t>NCT06226363</t>
  </si>
  <si>
    <t>Phase I Study of LNF1901 in Advanced Malignant Tumors</t>
  </si>
  <si>
    <t>NCT06504043</t>
  </si>
  <si>
    <t>A Study on Evaluating the Safety of HST101 in Healthy Chinese Participants</t>
  </si>
  <si>
    <t>Hasten Biopharmaceutical Co., Ltd.</t>
  </si>
  <si>
    <t>NCT06133010</t>
  </si>
  <si>
    <t>A Study of mRNA-1647 Cytomegalovirus Vaccine in Liver Transplant Candidates and Recipients</t>
  </si>
  <si>
    <t>NCT06713499</t>
  </si>
  <si>
    <t>A Phase Ib/II Study to Investigate the Safety of SHR-1819 in Children and Adolescents With Moderate-to-severe Atopic Dermatitis</t>
  </si>
  <si>
    <t>NCT06190093</t>
  </si>
  <si>
    <t>A 3-month Study to Assess the Safety and Effectiveness of ONS-5010 in Subjects With Neovascular Age-related Macular Degeneration (AMD)</t>
  </si>
  <si>
    <t>NCT06572397</t>
  </si>
  <si>
    <t>Open-Label Study of Safety of H1337 in Healthy Volunteers</t>
  </si>
  <si>
    <t>NCT06342310</t>
  </si>
  <si>
    <t>RE104 Safety and Efficacy Study in Postpartum Depression</t>
  </si>
  <si>
    <t>Reunion Neuroscience Inc</t>
  </si>
  <si>
    <t>NCT06228560</t>
  </si>
  <si>
    <t>Efficacy and Safety of LP-003 in Patients With CSU Who Remain Symptomatic Despite Antihistamine (H1) Treatment</t>
  </si>
  <si>
    <t>NCT06655155</t>
  </si>
  <si>
    <t>A Study to Assess the Efficacy and Safety of Efgartigimod PH20 SC in Adults With Systemic Sclerosis</t>
  </si>
  <si>
    <t>NCT06401785</t>
  </si>
  <si>
    <t>To Evaluate the Efficacy of Oral Molecular Hydrogen Supplement in Patients With Chronic Diseases</t>
  </si>
  <si>
    <t>NCT06431490</t>
  </si>
  <si>
    <t>A Study of TQB2102 for Injection in the Treatment of HER2-positive Biliary Tract Cancer</t>
  </si>
  <si>
    <t>NCT06439082</t>
  </si>
  <si>
    <t>A Study to Investigate the Efficacy and Safety of Crizanlizumab (5 mg/kg) Compared With Placebo in Adolescent and Adult Sickle Cell Disease Patients Who Experience Frequent Vaso-Occlusive Crises (SPARKLE)</t>
  </si>
  <si>
    <t>NCT06440980</t>
  </si>
  <si>
    <t>A Study to Compare Tablets and Capsules of Orforglipron (LY3502970) in Healthy Participants Who Are Obese or Overweight</t>
  </si>
  <si>
    <t>NCT06049680</t>
  </si>
  <si>
    <t>Safety Study of SMOFlipid to Evaluate the Risk of Developing EFAD and/or PNAC in Pediatric and Adult Patients</t>
  </si>
  <si>
    <t>NCT06342947</t>
  </si>
  <si>
    <t>ALG-055009 in Non-cirrhotic Adults With MASH (HERALD)</t>
  </si>
  <si>
    <t>NCT06256055</t>
  </si>
  <si>
    <t>Phase 1 Study of UCMYM802 Injection in Mesothelin-positive Advanced Malignant Solid Tumors</t>
  </si>
  <si>
    <t>UTC Therapeutics Inc.</t>
  </si>
  <si>
    <t>NCT06417697</t>
  </si>
  <si>
    <t>A Phase 1b Study to Evaluate the Safety of XEN-101</t>
  </si>
  <si>
    <t>NCT06574503</t>
  </si>
  <si>
    <t>Study to Assess the Efficacy and Safety of GP681 Versus Placebo for Postexposure Prophylaxis Against Influenza</t>
  </si>
  <si>
    <t>NCT06693570</t>
  </si>
  <si>
    <t>Evaluating Intact Fish Skin Graft and Standard of Care Versus Standard of Care Alone in Nonhealing Venous Leg Ulcers</t>
  </si>
  <si>
    <t>NCT06590246</t>
  </si>
  <si>
    <t>A Study to Evaluate C-CAR031 in Glypican-3 (GPC3)+ Advanced/Recurrent Hepatocellular Carcinoma (HCC)</t>
  </si>
  <si>
    <t>NCT06619587</t>
  </si>
  <si>
    <t>A Study to Evaluate Safety, Pharmacokinetics, and Activity of GDC-7035 as a Single Agent and in Combination in Patients With Advanced Solid Tumors</t>
  </si>
  <si>
    <t>NCT06354998</t>
  </si>
  <si>
    <t>A Study of an Investigational mRNA-1273.815 COVID-19 Vaccine in Previously Vaccinated Adults</t>
  </si>
  <si>
    <t>NCT06180278</t>
  </si>
  <si>
    <t>Long-term, Open-label, Safety Study of Inebilizumab in Neuromyelitis Optica Spectrum Disorder (NMOSD)</t>
  </si>
  <si>
    <t>NCT06174298</t>
  </si>
  <si>
    <t>The Role of Granulocyte Colony Stimulating Factor in Embryo Transfer Outcomes</t>
  </si>
  <si>
    <t>Newlife Fertility Centre</t>
  </si>
  <si>
    <t>NCT06371417</t>
  </si>
  <si>
    <t>Phase 1b Trial of RAY121 in Immunological Diseases (RAINBOW Trial)</t>
  </si>
  <si>
    <t>NCT06130540</t>
  </si>
  <si>
    <t>Study to Evaluate the Pharmacokinetics, Safety and Tolerability of Intravenous Secukinumab in Patients With GCA or PMR</t>
  </si>
  <si>
    <t>NCT05835310</t>
  </si>
  <si>
    <t>An Efficacy and Safety Study of Intravenous Anifrolumab to Treat Systemic Lupus Erythematosus in Pediatric Participants</t>
  </si>
  <si>
    <t>NCT06886659</t>
  </si>
  <si>
    <t>A Study to Compare PK, Immunogenicity and Safety of Trastuzumab of Incepta Pharmaceuticals Ltd With Trastuzumab (Roche)</t>
  </si>
  <si>
    <t>NCT06502379</t>
  </si>
  <si>
    <t>A Single and Multiple Ascending Dose Study to Investigate the Safety, Tolerability, and Pharmacokinetics of AZD8965 in Healthy Participants (Including Japanese and Chinese Participants) and an Open-label Cohort to Assess the Effect of Food on the Pharmacokinetics of AZD8965 in Healthy Participants</t>
  </si>
  <si>
    <t>NCT06237335</t>
  </si>
  <si>
    <t>A Phase 2 Study Evaluating Safety and Tolerability of RCT2100 (CFTR mRNA) in Healthy Participants and in Participants With CF</t>
  </si>
  <si>
    <t>NCT06204250</t>
  </si>
  <si>
    <t>A Study to Assess Safety and Tolerability of GS1-144 in Healthy Volunteers</t>
  </si>
  <si>
    <t>NCT05962788</t>
  </si>
  <si>
    <t>Long-Term Voclosporin Treatment in Adolescent and Pediatric Subjects With Lupus Nephritis</t>
  </si>
  <si>
    <t>NCT06706869</t>
  </si>
  <si>
    <t>A Study to Learn if the Study Medicine Called Itraconazole and if Food Changes How the Body Processes the Other Study Medicine Called PF 07258669 in Older Adults or Healthy Adults</t>
  </si>
  <si>
    <t>NCT06233097</t>
  </si>
  <si>
    <t>Esomeprazole Magnesium Dihydrate 40 mg Tablets Relative to Nexium 40 mg Tablets Under Fasting Condition</t>
  </si>
  <si>
    <t>Bio-innova Co., Ltd</t>
  </si>
  <si>
    <t>NCT06507813</t>
  </si>
  <si>
    <t>Safety and Efficacy of ADC189 in Children 2-11 Years Old With Influenza</t>
  </si>
  <si>
    <t>NCT06864182</t>
  </si>
  <si>
    <t>Relative Bioavailability Study of CX2101A for the Treatment of COVID-19</t>
  </si>
  <si>
    <t>NCT06361888</t>
  </si>
  <si>
    <t>A Phase II/III Trial to Evaluate the Efficacy and Safety of Surufatinib Combined With Camrelizumab, Nab-paclitaxel, and Gemcitabine in Metastatic Pancreatic Cancer</t>
  </si>
  <si>
    <t>NCT06589986</t>
  </si>
  <si>
    <t>A Study to Assess the Efficacy and Safety of Afimkibart (Also Known as RO7790121) for Induction and Maintenance Therapy in Participants With Moderately to Severely Active Ulcerative Colitis</t>
  </si>
  <si>
    <t>NCT06609161</t>
  </si>
  <si>
    <t>A Study to Compare Oral Formulations of Tedizolid Phosphate in Healthy Adults (MK-1986-044)</t>
  </si>
  <si>
    <t>NCT06222879</t>
  </si>
  <si>
    <t>Study of HRS-8080 or SHR-A2009 Combined With Anti-tumor Therapy in Patients With Unresectable or Metastatic Breast Cancer</t>
  </si>
  <si>
    <t>NCT06233240</t>
  </si>
  <si>
    <t>Sitagliptin and Metformin Hydrochloride Tablets 50 mg/1000 mg Relative to Originator</t>
  </si>
  <si>
    <t>NCT06317285</t>
  </si>
  <si>
    <t>A Study to Evaluate the Efficacy and Safety of GSK3915393 in Participants With Idiopathic Pulmonary Fibrosis (IPF)</t>
  </si>
  <si>
    <t>NCT06239714</t>
  </si>
  <si>
    <t>A Study to Evaluate SGB-3403 in Healthy Volunteers and Subjects With Elevated Low-Density Lipoprotein Cholesterol (LDL-C)</t>
  </si>
  <si>
    <t>Suzhou Sanegene Bio Inc.</t>
  </si>
  <si>
    <t>NCT06218914</t>
  </si>
  <si>
    <t>Phase 1 Study to Investigate TCRTs KRAS Mutation in Unresectable, Advanced, and/or Metastatic Solid Tumors</t>
  </si>
  <si>
    <t>NCT06398652</t>
  </si>
  <si>
    <t>Comparative Study of CMAB015 and Secukinumab for Patients With Moderate to Severe Plaque Psoriasis</t>
  </si>
  <si>
    <t>NCT06631417</t>
  </si>
  <si>
    <t>A Study in Healthy People to Test How 2 Different Doses of BI 1291583 Are Taken up in the Body When Given in 3 Different Formulations</t>
  </si>
  <si>
    <t>NCT06747832</t>
  </si>
  <si>
    <t>INK Cells As Maintenance Therapy After Chemoradiotherapy for Small Cell Lung Cancer</t>
  </si>
  <si>
    <t>Guangzhou Ruixin Biotechnological Co., LTD</t>
  </si>
  <si>
    <t>NCT05990738</t>
  </si>
  <si>
    <t>DAREON™-9: A Study to Test How Well Different Doses of BI 764532 Are Tolerated by People With Small Cell Lung Cancer When Taken Together With a Single Agent Chemotherapy</t>
  </si>
  <si>
    <t>NCT06525220</t>
  </si>
  <si>
    <t>A Phase 3 Study to Evaluate Petosemtamab Plus Pembrolizumab vs Pembrolizumab in First-line Treatment of Head and Neck Cancer (LiGeR - HN1)</t>
  </si>
  <si>
    <t>NCT06426680</t>
  </si>
  <si>
    <t>A Study of the ILB-3101 in Patients with Advanced Solid Tumors</t>
  </si>
  <si>
    <t>NCT06500442</t>
  </si>
  <si>
    <t>A Study to Assess NEU-111 in Healthy Participants</t>
  </si>
  <si>
    <t>NCT06468683</t>
  </si>
  <si>
    <t>F01 in the Treatment of Moderate-to-severe Refractory Systemic Lupus Erythematosus</t>
  </si>
  <si>
    <t>NCT06465563</t>
  </si>
  <si>
    <t>SHR-8068 in Combination With Adebrelimab, Bevacizumab, and Platinum-Based Chemotherapy as First-line Treatment in Patients With Advanced Biliary Tract Cancer</t>
  </si>
  <si>
    <t>NCT06257693</t>
  </si>
  <si>
    <t>Enzalutamide Implants (Enolen) in Patients With Prostate Cancer</t>
  </si>
  <si>
    <t>NCT06481306</t>
  </si>
  <si>
    <t>A Study to Evaluate BMS-986470 in Healthy Volunteers and Participants With Sickle Cell Disease</t>
  </si>
  <si>
    <t>NCT06342804</t>
  </si>
  <si>
    <t>Food Effect on the Bioavailability of 4-MUST, Tablets, 128 mg</t>
  </si>
  <si>
    <t>NCT06324604</t>
  </si>
  <si>
    <t>Safety, Pharmacokinetics, and Pharmacodynamics of MTX-101 in Healthy Adults and Patients</t>
  </si>
  <si>
    <t>Mozart Therapeutics Australia Pty Ltd</t>
  </si>
  <si>
    <t>NCT06879158</t>
  </si>
  <si>
    <t>A Study to Evaluate the Pharmacokinetics and Safety of BR3409 and Co-administration of BR3409-1 and BR3409-2 in Healthy Volunteers Under Fasting Conditions</t>
  </si>
  <si>
    <t>NCT06238778</t>
  </si>
  <si>
    <t>Phase 2b Trial Comparing HDV-Insulin Lispro to Insulin Lispro in Adults With Type 1 Diabetes Receiving Insulin Degludec</t>
  </si>
  <si>
    <t>Diasome Pharmaceuticlas, Inc.</t>
  </si>
  <si>
    <t>NCT04026984</t>
  </si>
  <si>
    <t>Evaluate Safety and Efficacy of Rifamycin SV MMX in the Treatment of Traveler's Diarrhea in Children Age 6 to 11 Years</t>
  </si>
  <si>
    <t>NCT06554184</t>
  </si>
  <si>
    <t>HR20013 for Nausea and Vomiting Associated With Moderate Emetic Risk Anticancer Agents</t>
  </si>
  <si>
    <t>NCT06284798</t>
  </si>
  <si>
    <t>A Research Study of a New Medicine (NNC0650-0013) in Healthy Men</t>
  </si>
  <si>
    <t>NCT06425926</t>
  </si>
  <si>
    <t>Safety and Tolerability Study of GIM-531 in Advanced Solid Tumors</t>
  </si>
  <si>
    <t>NCT06589726</t>
  </si>
  <si>
    <t>A TQT Study to Investigate the Effect of Enpatoran on Cardiac Repolarization in Healthy Participants</t>
  </si>
  <si>
    <t>NCT06335849</t>
  </si>
  <si>
    <t>A Safety and Immunogenicity Trial of the Recombinant Zoster Vaccine （CHO Cell）, LYB004 in Adults Aged 50 to 70 Years</t>
  </si>
  <si>
    <t>NCT06705725</t>
  </si>
  <si>
    <t>Phase I Clinical Study of CBG002 CAR-T Cell in Treatment of Relapsed/refractory Multiple Myeloma</t>
  </si>
  <si>
    <t>NCT06450990</t>
  </si>
  <si>
    <t>Efficacy, Safety, and Dose-response of a Live Biotherapeutic Product in Women With Acute Vaginal Infection</t>
  </si>
  <si>
    <t>NEXBIOME THERAPEUTICS</t>
  </si>
  <si>
    <t>NCT06580938</t>
  </si>
  <si>
    <t>A Study to Learn About PF-07921585 Alone or With Other Anti-cancer Medicines in People With Cancer</t>
  </si>
  <si>
    <t>NCT06465108</t>
  </si>
  <si>
    <t>Safety, Pharmacokinetics and Efficacy of MBX 2109 in Patients With Hypoparathyroidism</t>
  </si>
  <si>
    <t>NCT06206408</t>
  </si>
  <si>
    <t>A Study to Confirm if Fezolinetant Helps Reduce Hot Flashes in Japanese Women Going Through Menopause</t>
  </si>
  <si>
    <t>NCT06595797</t>
  </si>
  <si>
    <t>A Multicenter, Randomized, Double-blind, Placebo-parallel-controlled Phase II Clinical Study Evaluating the Efficacy and Safety of HRS9531 Injection in Obese Subjects With Polycystic Ovary Syndrome</t>
  </si>
  <si>
    <t>NCT07343310</t>
  </si>
  <si>
    <t>A First-in-Patient Clinical Trial of KINE-101 in Patients With Corticosteroid-Refractory CIDP</t>
  </si>
  <si>
    <t>NCT06360133</t>
  </si>
  <si>
    <t>Study of 5% VVN001 Ophthalmic Solution in Dry Eye Disease</t>
  </si>
  <si>
    <t>NCT06412458</t>
  </si>
  <si>
    <t>IM83 Clinical Study of CAR-T Cell Therapy in Patients With Relapsed or Refractory Osteosarcoma</t>
  </si>
  <si>
    <t>NCT06383897</t>
  </si>
  <si>
    <t>Phase 1 Study in Healthy Participants and Participants With Kidney Dysfunction</t>
  </si>
  <si>
    <t>NCT06875193</t>
  </si>
  <si>
    <t>DM Treatment to Evaluate the Efficacy and Safety of Dapagliflozin or Pioglitazone in Patients with Type 2 Diabetes</t>
  </si>
  <si>
    <t>NCT06554548</t>
  </si>
  <si>
    <t>A Study Evaluating Food Effect on Pharmacokinetics of HS-10518</t>
  </si>
  <si>
    <t>NCT06679985</t>
  </si>
  <si>
    <t>A Trial of Casdozokitug in Combination With Toripalimab Plus Bevacizumab in Participants With Unresectable and/or Locally Advanced or Metastatic Hepatocellular Carcinoma</t>
  </si>
  <si>
    <t>NCT06492915</t>
  </si>
  <si>
    <t>Chiauranib in Patients With Locally Advanced or Metastatic Pancreatic Ductal Adenocarcinoma</t>
  </si>
  <si>
    <t>NCT04954989</t>
  </si>
  <si>
    <t>Biosimilarity Study of Intravenous Recombinant Human Erythropoietin in Healthy Volunteers</t>
  </si>
  <si>
    <t>NCT06302140</t>
  </si>
  <si>
    <t>A Mass Balance Study of [14C]-Nanatinostat and Relative Bioavailability Study of Nanatinostat in Patients With Advanced Cancers</t>
  </si>
  <si>
    <t>NCT06453902</t>
  </si>
  <si>
    <t>TGRX-678 Chinese Phase II in Chronic Myelogenous Leukemia (CML) Patients</t>
  </si>
  <si>
    <t>NCT06213831</t>
  </si>
  <si>
    <t>A Study to Evaluate the Safety and Tolerability of Maximal Use Ruxolitinib Cream</t>
  </si>
  <si>
    <t>NCT06727812</t>
  </si>
  <si>
    <t>Multicenter Phase I Study of HRS-6208 in Patients With Solid Tumors</t>
  </si>
  <si>
    <t>NCT06446128</t>
  </si>
  <si>
    <t>A Dose Escalating Study of CD19/CD22/BCMA CAR-T Therapy in Relapsed or Refractory B Cell Non-Hodgkin Lymphoma(NHL)</t>
  </si>
  <si>
    <t>NCT06612151</t>
  </si>
  <si>
    <t>A Phase III Study of YL201 in Relapsed Small Cell Lung Cancer</t>
  </si>
  <si>
    <t>NCT06271837</t>
  </si>
  <si>
    <t>A Study of T-DXd as Monotherapy or in Combination With Anti-cancer Agents in Patients With Selected HER2-expressing Tumors</t>
  </si>
  <si>
    <t>NCT06736275</t>
  </si>
  <si>
    <t>A Phase I Study on Evaluating the Safety, Tolerability, Pharmacokinetic Characteristics and Preliminary Efficacy of SXRN Plasmid DNA Technique in Patients With Advanced Solid Tumors</t>
  </si>
  <si>
    <t>Jiangsu Nutai Biologics Co., Ltd</t>
  </si>
  <si>
    <t>NCT06693765</t>
  </si>
  <si>
    <t>A Study to Investigate the Pharmacokinetics, Safety, and Tolerability of AZD4144 in Participants With Severe Renal Impairment, End-stage Kidney Disease, and in Healthy Participants</t>
  </si>
  <si>
    <t>NCT06516094</t>
  </si>
  <si>
    <t>Efficacy and Safety in the Combination of Celecoxib / Pregabalin / Vitamin B for Low Back Chronic Pain</t>
  </si>
  <si>
    <t>NCT06597201</t>
  </si>
  <si>
    <t>Evaluate the Efficacy and Safety of Amino Acid (15) Peritoneal Dialysis Solution in Peritoneal Dialysis Patients with Malnutrition.</t>
  </si>
  <si>
    <t>Chengdu Qingshan Likang Pharmaceutical Co., Ltd</t>
  </si>
  <si>
    <t>NCT06315283</t>
  </si>
  <si>
    <t>An Open-Label Trial to Assess the Comparative Bioavailability of TV-44749 to Oral Olanzapine in Participants With Schizophrenia</t>
  </si>
  <si>
    <t>NCT06153095</t>
  </si>
  <si>
    <t>A Study of IMPT-514 in Active Refractory Lupus Nephritis (LN) and Systemic Lupus Erythematosus (SLE)</t>
  </si>
  <si>
    <t>NCT06064877</t>
  </si>
  <si>
    <t>A Study of Ficlatuzumab in Combination With Cetuximab in Participants With Recurrent or Metastatic (R/M) HPV Negative Head and Neck Squamous Cell Carcinoma</t>
  </si>
  <si>
    <t>NCT06389877</t>
  </si>
  <si>
    <t>A Study to Evaluate the Safety and Efficacy of BEAM-302 in Adult Patients With Alpha-1 Antitrypsin Deficiency (AATD)</t>
  </si>
  <si>
    <t>NCT06465329</t>
  </si>
  <si>
    <t>A Study of Cemiplimab Plus Chemotherapy Versus Cemiplimab Plus Chemotherapy Plus Other Cancer Treatments for Adult Patients With Operable Non-Small Cell Lung Cancer (NSCLC)</t>
  </si>
  <si>
    <t>NCT06602219</t>
  </si>
  <si>
    <t>A Study of LY4100511 (DC-853) in Adult Participants With Moderate-to-Severe Plaque Psoriasis</t>
  </si>
  <si>
    <t>NCT06219356</t>
  </si>
  <si>
    <t>A Study of GLB-002 in Patients With Relapsed or Refractory Non-Hodgkin Lymphomas</t>
  </si>
  <si>
    <t>Hangzhou GluBio Pharmaceutical Co., Ltd.</t>
  </si>
  <si>
    <t>NCT05860569</t>
  </si>
  <si>
    <t>Safety Evaluation of Gene Therapy Drug in the Treatment of Primary Hypertriglyceridemic Patients With Recurrent Pancreatitis</t>
  </si>
  <si>
    <t>NCT06435845</t>
  </si>
  <si>
    <t>Phase 2 Study on the Pharmacokinetics and Safety of RLYB212 in Pregnant Women at Higher Risk for HPA-1a Alloimmunization</t>
  </si>
  <si>
    <t>Rallybio</t>
  </si>
  <si>
    <t>NCT06680375</t>
  </si>
  <si>
    <t>A Study of an Investigational Flu Seasonal/SARS-CoV-2 Combination Vaccine in Adults</t>
  </si>
  <si>
    <t>NCT06707883</t>
  </si>
  <si>
    <t>A Clinical Study of TQC2731 Injection in Patients With Moderate to Severe Chronic Obstructive Pulmonary Disease</t>
  </si>
  <si>
    <t>NCT06643637</t>
  </si>
  <si>
    <t>A Study to Evaluate the Safety, Tolerability, and Pharmacokinetics of Multiple Doses of MLS101 in Healthy Participants</t>
  </si>
  <si>
    <t>MycoMedica Life Sciences PBC</t>
  </si>
  <si>
    <t>NCT06174766</t>
  </si>
  <si>
    <t>A Study to Evaluate Efficacy and Safety of HGP2102 in Essential Hypertension Patients</t>
  </si>
  <si>
    <t>NCT05955326</t>
  </si>
  <si>
    <t>Study to Assess the Safety and Efficacy of Sovateltide in Patients With Acute Cerebral Ischemic Stroke</t>
  </si>
  <si>
    <t>NCT06525935</t>
  </si>
  <si>
    <t>A Study of Enicepatide (CT-388) in Participants With Obesity or Overweight With at Least One Weight-Related Comorbidity</t>
  </si>
  <si>
    <t>NCT06525168</t>
  </si>
  <si>
    <t>Safety, Tolerability and Pharmacokinetic Characteristics Evaluation on DA414</t>
  </si>
  <si>
    <t>Chendu DIAO Nine Hong Pharmaceutical Factory</t>
  </si>
  <si>
    <t>NCT06531538</t>
  </si>
  <si>
    <t>A Study to Learn About How a New Pneumococcal Vaccine Works in Children</t>
  </si>
  <si>
    <t>NCT06122389</t>
  </si>
  <si>
    <t>SHR2554 Clinical Study of Chidamide in the Treatment of T-cell Lymphoma</t>
  </si>
  <si>
    <t>NCT06308159</t>
  </si>
  <si>
    <t>An Open-label Study of a Gene Therapy Product (Vebeglogene Autotemcel) in Transfusion Dependent Beta-Thalassemia</t>
  </si>
  <si>
    <t>Lantu Biopharma</t>
  </si>
  <si>
    <t>NCT06116890</t>
  </si>
  <si>
    <t>Study to Assess the Efficacy &amp; Safety of KHK4951 in Patients With Neovascular Age-Related Macular Degeneration</t>
  </si>
  <si>
    <t>NCT06230224</t>
  </si>
  <si>
    <t>A Trial to Learn How Effective and Safe Odronextamab is Compared to Standard of Care for Adult Participants With Previously Treated Aggressive B-cell Non-Hodgkin Lymphoma</t>
  </si>
  <si>
    <t>NCT06402123</t>
  </si>
  <si>
    <t>A Phase 2b Study of Zagociguat in Patients With MELAS</t>
  </si>
  <si>
    <t>NCT06657859</t>
  </si>
  <si>
    <t>Open-Label Extension Study to Assess GLM101 in PMM2-CDG Patients</t>
  </si>
  <si>
    <t>NCT06321068</t>
  </si>
  <si>
    <t>BAT1308 in Combination With Platinum-containing Chemotherapy is Used for the First-line Treatment of Advanced or Recurrent dMMR Endometrial Cancer</t>
  </si>
  <si>
    <t>NCT06465420</t>
  </si>
  <si>
    <t>A Study to Evaluate Safety and Immunogenicity of Haemophilus Influenzae Serotype A Vaccine</t>
  </si>
  <si>
    <t>InventVacc Biologicals Inc.</t>
  </si>
  <si>
    <t>NCT06229210</t>
  </si>
  <si>
    <t>Safety and Tolerability Trial of Lumateperone in Pediatric Patients With Schizophrenia, Bipolar Disorder or Autism Spectrum Disorder</t>
  </si>
  <si>
    <t>NCT06625060</t>
  </si>
  <si>
    <t>A Study to Evaluate IPN10200 Safety and Efficacy in the Prevention of Episodic or Chronic Migraine in Adults</t>
  </si>
  <si>
    <t>NCT06388070</t>
  </si>
  <si>
    <t>To Evaluate the Efficacy and Safety of HUC3-053 in Patients With Dry Eye Syndrome</t>
  </si>
  <si>
    <t>NCT06567041</t>
  </si>
  <si>
    <t>A Research Study of How Safe a New Medicine Called NNC0519 0130 is and to Test Its Effect in People Living With Excess Body Weight With or Without Type 2 Diabetes</t>
  </si>
  <si>
    <t>NCT06297941</t>
  </si>
  <si>
    <t>Study of REM-422 in Patients With AML or Higher Risk MDS</t>
  </si>
  <si>
    <t>NCT06708637</t>
  </si>
  <si>
    <t>Ocular Safety and Usability Study for FYB203 PFS</t>
  </si>
  <si>
    <t>Formycon AG</t>
  </si>
  <si>
    <t>NCT06659640</t>
  </si>
  <si>
    <t>A Study to Evaluate ALN-6400 in Healthy Volunteers and Patients With Hereditary Hemorrhagic Telangiectasia (HHT)</t>
  </si>
  <si>
    <t>NCT06547840</t>
  </si>
  <si>
    <t>A Study of MOv18 IgE in Patients With Solid Tumours That Express Folate Receptor Alpha</t>
  </si>
  <si>
    <t>Epsilogen Ltd</t>
  </si>
  <si>
    <t>NCT06557850</t>
  </si>
  <si>
    <t>A Trial Investigating Lu AG22515 in Adult Participants With Moderate-to-Severe Thyroid Eye Disease</t>
  </si>
  <si>
    <t>NCT06616974</t>
  </si>
  <si>
    <t>A Study of TX000045 in Patients With Pulmonary Hypertension Secondary to Heart Failure With Preserved Ejection Fraction (the APEX Study)</t>
  </si>
  <si>
    <t>Tectonic Therapeutic</t>
  </si>
  <si>
    <t>NCT06594159</t>
  </si>
  <si>
    <t>A Study of LY4065967 in Healthy Japanese Participants</t>
  </si>
  <si>
    <t>NCT06431373</t>
  </si>
  <si>
    <t>A Study of Brepocitinib in Adults With Active, Non-Infectious, Non-Anterior Uveitis</t>
  </si>
  <si>
    <t>NCT05157269</t>
  </si>
  <si>
    <t>Trial to Evaluate Nitazoxanide for Treatment of Mild COVID-19 in Subjects Not at High Risk of Severe Illness</t>
  </si>
  <si>
    <t>NCT06429241</t>
  </si>
  <si>
    <t>Evaluate the Distribution and Dynamic Behavior of TH-SC01 Cells in Vivo in Patients With Perianal Fistula</t>
  </si>
  <si>
    <t>NCT06475729</t>
  </si>
  <si>
    <t>A Bioequivalence Study of Citrate Free Mirikizumab (LY3074828) in Healthy Participants</t>
  </si>
  <si>
    <t>NCT06609239</t>
  </si>
  <si>
    <t>Long-term Safety and Efficacy Evaluation of Lunsekimig (SAR443765) in Adult Participants With Asthma</t>
  </si>
  <si>
    <t>NCT06176794</t>
  </si>
  <si>
    <t>Immediate Release Torsemide Versus Extended Release Torsemide After Salty Meal</t>
  </si>
  <si>
    <t>NCT06558656</t>
  </si>
  <si>
    <t>Effect of Food of NTQ5082 in Healthy Subjects</t>
  </si>
  <si>
    <t>NCT06686654</t>
  </si>
  <si>
    <t>Study of a Human Metapneumovirus/Respiratory Syncytial Virus mRNA Vaccine Candidate Encapsulated in a Lipid Nanoparticle-based Formulation in Adults Aged 60 Years and Older</t>
  </si>
  <si>
    <t>NCT06649942</t>
  </si>
  <si>
    <t>A Study to Evaluate the Effects of KP-001 on the QT/QTc Intervals in Healthy Adults</t>
  </si>
  <si>
    <t>NCT06629779</t>
  </si>
  <si>
    <t>A Study to Learn How PF-06821497 (Mevrometostat) Works in Men With Metastatic Castration-resistant Prostate Cancer.</t>
  </si>
  <si>
    <t>NCT06585488</t>
  </si>
  <si>
    <t>A First-in-human Study of BGB-53038, a Pan-KRAS Inhibitor, Alone or in Combinations in Participants With Advanced or Metastatic Solid Tumors With KRAS Mutations or Amplification</t>
  </si>
  <si>
    <t>NCT06293742</t>
  </si>
  <si>
    <t>ECC5004 DDI Study With Atorvastatin, Rosuvastatin, Digoxin and Midazolam in Healthy Participants</t>
  </si>
  <si>
    <t>NCT06280703</t>
  </si>
  <si>
    <t>A Study of LY3938577 in Healthy Participants and Participants With Type 1 Diabetes Mellitus (T1DM)</t>
  </si>
  <si>
    <t>NCT06699680</t>
  </si>
  <si>
    <t>Phase 1 Study of PRX019 in Healthy Adult Volunteers</t>
  </si>
  <si>
    <t>NCT05986786</t>
  </si>
  <si>
    <t>Clinical Study to Evaluate the Handling and Safety of AVT06 PFS in Subjects With Chorioretinal Vascular Disease</t>
  </si>
  <si>
    <t>NCT06863662</t>
  </si>
  <si>
    <t>Efficacy and Safety of Etoricoxib/Tizanidine Versus Etoricoxib for Acute Low Back Pain Associated to Muscle Spasm</t>
  </si>
  <si>
    <t>NCT06033586</t>
  </si>
  <si>
    <t>Study to Evaluate the Long-term Safety of Rusfertide (PTG-300) in Subjects With Polycythemia Vera</t>
  </si>
  <si>
    <t>NCT06347458</t>
  </si>
  <si>
    <t>BG1805 Injection in the Treatment of Relapsed or Refractory Acute Myeloid Leukemia in Children</t>
  </si>
  <si>
    <t>NCT06106308</t>
  </si>
  <si>
    <t>Study of Onvansertib in Combination With FOLFIRI and Bevacizumab or FOLFOX and Bevacizumab Versus FOLFIRI and Bevacizumab or FOLFOX and Bevacizumab for First-Line Treatment of Metastatic Colorectal Cancer in Adult Participants With a KRAS or NRAS Mutation</t>
  </si>
  <si>
    <t>NCT06400589</t>
  </si>
  <si>
    <t>A Study to Evaluate the Efficacy and Safety of Tanfanercept (HL036) in Dry Eye Disease</t>
  </si>
  <si>
    <t>NCT06632990</t>
  </si>
  <si>
    <t>A Study Evaluating the Potential of BMS-984923 to Alter the Systemic Exposure of Three Orally Administered Probe Substrates</t>
  </si>
  <si>
    <t>NCT06441682</t>
  </si>
  <si>
    <t>A Safety and Efficacy Study of ARGX-119 in Adult Patients With Amyotrophic Lateral Sclerosis (ALS)</t>
  </si>
  <si>
    <t>NCT06345482</t>
  </si>
  <si>
    <t>A Study of MHB039A for Advanced Solid Tumor</t>
  </si>
  <si>
    <t>NCT06435676</t>
  </si>
  <si>
    <t>A Study of Single and Multiple Doses HRS9531 Tablets in Healthy Subjects</t>
  </si>
  <si>
    <t>NCT06381050</t>
  </si>
  <si>
    <t>The Clinical Study of SHR-7631 for Injection in Patients With Advanced Solid Tumors</t>
  </si>
  <si>
    <t>NCT06510374</t>
  </si>
  <si>
    <t>Trial of Nadofaragene Firadenovec vs. Observation in Participants With Intermediate Risk Non-Muscle Invasive Bladder Cancer</t>
  </si>
  <si>
    <t>NCT05546359</t>
  </si>
  <si>
    <t>Study of Intravenous Amisulpride for Prophylaxis of Post-operative Nausea and Vomiting (PONV) in Pediatric Patients</t>
  </si>
  <si>
    <t>NCT06589778</t>
  </si>
  <si>
    <t>A Study of SHR-A2102 in Combination With Adebrelimab and SHR-8068 in Subjects With Locally Advanced or Metastatic Non-Small Cell Lung Cancer</t>
  </si>
  <si>
    <t>NCT06233162</t>
  </si>
  <si>
    <t>Febuxostat 80 mg Tablets Relative to Feburic® 80 mg Tablets</t>
  </si>
  <si>
    <t>NCT06775379</t>
  </si>
  <si>
    <t>A Randomized Study of Azetukalner Versus Placebo in Major Depressive Disorder</t>
  </si>
  <si>
    <t>NCT06307925</t>
  </si>
  <si>
    <t>A Phase I Study to Evaluate the Safety, Pharmacokinetics and Antitumor Activity of HC010 in Patients With Advanced Solid Tumors</t>
  </si>
  <si>
    <t>HC Biopharma Inc.</t>
  </si>
  <si>
    <t>NCT06266988</t>
  </si>
  <si>
    <t>A Bioequivalence Study of Sacubitril/Valsartan Film-coated Tablets Under Fasting Conditions</t>
  </si>
  <si>
    <t>Viatris Inc.</t>
  </si>
  <si>
    <t>NCT06486558</t>
  </si>
  <si>
    <t>Relative Bioavailability Study of HU6</t>
  </si>
  <si>
    <t>NCT06742840</t>
  </si>
  <si>
    <t>A Multiple Ascending Dose Trial of HRS-2129 in Healthy Subjects</t>
  </si>
  <si>
    <t>NCT06191315</t>
  </si>
  <si>
    <t>Efficacy and Safety of Subcutaneous Dupilumab in Participants With Asthma/Asthmatic Wheeze Aged 2 to &lt;6 Years (LIBERTY ASTHMA TREKIDS)</t>
  </si>
  <si>
    <t>NCT06350097</t>
  </si>
  <si>
    <t>Phase III, Open-label Study of First-line Osimertinib With or Without Datopotamab Deruxtecan for EGFRm Locally Advanced or Metastatic Non-small Cell Lung Cancer</t>
  </si>
  <si>
    <t>NCT06589713</t>
  </si>
  <si>
    <t>Effect of Renal Impairment on Enpatoran Pharmacokinetics</t>
  </si>
  <si>
    <t>NCT06374485</t>
  </si>
  <si>
    <t>Study of AU409 Capsule in Advanced Hepatocellular Carcinoma Patients Who Failed Standard Treatment</t>
  </si>
  <si>
    <t>NCT06578143</t>
  </si>
  <si>
    <t>Effects of Synbiotics on Obesity</t>
  </si>
  <si>
    <t>Leeuwenhoek Laboratories Co. Ltd.</t>
  </si>
  <si>
    <t>NCT06475274</t>
  </si>
  <si>
    <t>A Phase 2b Dose Finding Study of RMC-035 in Participants Undergoing Open-chest Cardiac Surgery</t>
  </si>
  <si>
    <t>NCT06326060</t>
  </si>
  <si>
    <t>A Research Study Comparing How Well Different Doses of the Medicine NN0519-0130 Help People With Excess Body Weight Lose Weight</t>
  </si>
  <si>
    <t>NCT06618196</t>
  </si>
  <si>
    <t>Study to Evaluate the Immunogenicity of LR20062 Compared to Control When Administered Intramuscularly in Healthy Infants At 2, 4, 6 Months of Age</t>
  </si>
  <si>
    <t>NCT06597175</t>
  </si>
  <si>
    <t>Evaluating Investigational Medical Device for Breast Tumor Diagnosis Using Diffusion Optical Spectroscopy</t>
  </si>
  <si>
    <t>Olive Healthcare</t>
  </si>
  <si>
    <t>NCT06213844</t>
  </si>
  <si>
    <t>A First-in-human, Single-ascending-dose Study of IBI3002 in Healthy Participants and Mild to Moderate Asthmatics</t>
  </si>
  <si>
    <t>NCT06608641</t>
  </si>
  <si>
    <t>Efficacy and Safety of Endoxifen in Bipolar I Disorder Patients</t>
  </si>
  <si>
    <t>NCT06300307</t>
  </si>
  <si>
    <t>Study of ATX-01 in Participants With DM1</t>
  </si>
  <si>
    <t>ARTHEx Biotech S.L.</t>
  </si>
  <si>
    <t>NCT06016972</t>
  </si>
  <si>
    <t>Qlaris Phase 2 Study of QLS-111 in POAG And/or OHT Patients</t>
  </si>
  <si>
    <t>NCT06664801</t>
  </si>
  <si>
    <t>A Clinical Study of Sotatercept (MK-7962) in People With Pulmonary Arterial Hypertension (PAH) (MK-7962-024)</t>
  </si>
  <si>
    <t>NCT06539481</t>
  </si>
  <si>
    <t>Open Label Trial Studying the Safety and Effectiveness of ILUVIEN® (190μg) in Children and Adolescents, Who Have Recurrent Non-infectious Uveitis Affecting the Posterior Segment of the Eye.</t>
  </si>
  <si>
    <t>NCT06564311</t>
  </si>
  <si>
    <t>A Study of Obexelimab in Patients With Relapsing Multiple Sclerosis (MoonStone)</t>
  </si>
  <si>
    <t>NCT06421636</t>
  </si>
  <si>
    <t>A Study to Test the Safety, Tolerability, and Efficacy of an Antibody, REGN7999, Injected Under the Skin for the Treatment of Iron Overload in Adult Participants With Non-Transfusion Dependent β-thalassemia, Using MRI Scans to Measure Iron Levels in the Body</t>
  </si>
  <si>
    <t>NCT06297408</t>
  </si>
  <si>
    <t>Relma-cel for Moderate to Severe Active Systemic Lupus Erythematosus</t>
  </si>
  <si>
    <t>NCT06270225</t>
  </si>
  <si>
    <t>A Study of SSGJ-613 in Gout Subjects Initiating Urate-Lowering Treatment.</t>
  </si>
  <si>
    <t>NCT06206824</t>
  </si>
  <si>
    <t>Leucettinib-21 First-in-Human Phase 1 in Healthy Volunteers and Subjects With Down Syndrome and Alzheimer's Disease</t>
  </si>
  <si>
    <t>Perha Pharmaceuticals</t>
  </si>
  <si>
    <t>NCT06979323</t>
  </si>
  <si>
    <t>Depemokimab Asthma Imaging and Bronchoscopy Sub-Study</t>
  </si>
  <si>
    <t>NCT06546995</t>
  </si>
  <si>
    <t>Study to Evaluate the Effects of NMRA-323511 Among Healthy Elderly and Adults With Agitation Associated With Dementia Due to Alzheimer's Disease</t>
  </si>
  <si>
    <t>NCT06336707</t>
  </si>
  <si>
    <t>HS-20089 Combination Treatment in Subjects With Advanced Solid Tumors</t>
  </si>
  <si>
    <t>NCT06264141</t>
  </si>
  <si>
    <t>Evaluation of Nitric Oxide Nasal Spray (NONS) for Treatment of Recurrent Acute Rhinosinusitis</t>
  </si>
  <si>
    <t>NCT06616766</t>
  </si>
  <si>
    <t>A Phase 1/2, Open-label, Multicenter, FIH Study to Evaluate Safety, Tolerability, PK and Anti-tumor Activity of YH42946</t>
  </si>
  <si>
    <t>NCT06581419</t>
  </si>
  <si>
    <t>NCT06506266</t>
  </si>
  <si>
    <t>Study of the Effect of HFA-152a and HFA-134a Propellants on Mucociliary Clearance in Healthy Participants</t>
  </si>
  <si>
    <t>NCT06235437</t>
  </si>
  <si>
    <t>Evaluate the Safety, Tolerability, Pharmacokinetics, and Preliminary Efficacy of ASD141</t>
  </si>
  <si>
    <t>Ascendo Biotechnology Co., Ltd.</t>
  </si>
  <si>
    <t>NCT06514157</t>
  </si>
  <si>
    <t>Phase I PK Study of Budesonide/Albuterol Delivered From PT027 in Healthy Chinese Participants.</t>
  </si>
  <si>
    <t>NCT06270030</t>
  </si>
  <si>
    <t>Safety, Tolerability and Pharmacokinetics of LNZ101 and LNZ100 Ophthalmic Solutions in Healthy Adult Chinese With Presbyopia</t>
  </si>
  <si>
    <t>NCT06324812</t>
  </si>
  <si>
    <t>Evaluation of 611 in Chinese Children and Adolescents With Moderate to Severe Atopic Dermatitis</t>
  </si>
  <si>
    <t>NCT06433219</t>
  </si>
  <si>
    <t>Tuvusertib Combined With Niraparib or Lartesertib in Participants With Epithelial Ovarian Cancer (DDRiver EOC 302)</t>
  </si>
  <si>
    <t>NCT06470828</t>
  </si>
  <si>
    <t>A Study of TAK-861 for the Treatment of Narcolepsy Type 1</t>
  </si>
  <si>
    <t>NCT06226714</t>
  </si>
  <si>
    <t>A Clinical Trial of ACYW135 Group Meningococcal Polysaccharide Conjugate Vaccine (CRM197 Vector) in 18-59 Year Olds</t>
  </si>
  <si>
    <t>NCT06386328</t>
  </si>
  <si>
    <t>A Clinical Trial to Evaluate the Food Effect of CKD-378</t>
  </si>
  <si>
    <t>NCT06731699</t>
  </si>
  <si>
    <t>A Phase 1 Study of FD-001 in Recurrent /Refractory (R/R)AML/NHL/MM/MDS</t>
  </si>
  <si>
    <t>Chengdu FenDi Pharmaceutical Co., Ltd.</t>
  </si>
  <si>
    <t>NCT06672263</t>
  </si>
  <si>
    <t>A Clinical Trial to Evaluate the Safety and Tolerability of TQB3911 Tablets in Patients With BCR::ABL Fusion Gene Positive Leukemia</t>
  </si>
  <si>
    <t>NCT06008093</t>
  </si>
  <si>
    <t>A Study to Investigate the Efficacy of Durvalumab Plus Tremelimumab in Combination With Chemotherapy Compared With Pembrolizumab in Combination With Chemotherapy in Metastatic NSCLC Patients With Non-squamous Histology Who Have Mutations and/or Co-mutations in STK11, KEAP1, or KRAS</t>
  </si>
  <si>
    <t>NCT05970263</t>
  </si>
  <si>
    <t>IKANOS: Breztri Maintenance Versus Any Non-Triple Inhaled Therapy After Hospitalization for a COPD Exacerbation in the US</t>
  </si>
  <si>
    <t>NCT06597721</t>
  </si>
  <si>
    <t>ADCE-T02, a Tissue Factor Targeted Antibody-Drug Conjugate, in Patients With Selected Advanced Solid Tumours</t>
  </si>
  <si>
    <t>Adcendo ApS</t>
  </si>
  <si>
    <t>NCT06096116</t>
  </si>
  <si>
    <t>Phase 3 Study on the Efficacy and Safety of Human Plasma Derived Antithrombin (Atenativ) in Heparin-Resistant Patients Scheduled to Undergo Cardiac Surgery Necessitating Cardiopulmonary Bypass</t>
  </si>
  <si>
    <t>NCT06332092</t>
  </si>
  <si>
    <t>FID-007 and Cetuximab in Treating Patients With Advanced Head and Neck Squamous Cell Carcinoma</t>
  </si>
  <si>
    <t>Fulgent Pharma LLC.</t>
  </si>
  <si>
    <t>NCT06631092</t>
  </si>
  <si>
    <t>Personalised Neoantigen-targeting Cancer Vaccine NECVAX-NEO1 in Neoadjuvant Triple-negative Breast Cancer</t>
  </si>
  <si>
    <t>NEC Bio B.V</t>
  </si>
  <si>
    <t>NCT06505928</t>
  </si>
  <si>
    <t>A Clinical Trial of Hepalatide for Injection in Patients With Chronic Hepatitis D</t>
  </si>
  <si>
    <t>NCT06357221</t>
  </si>
  <si>
    <t>A Study to Assess Efficacy and Tolerability of Topical Skincare Products on Psoriasis Patients</t>
  </si>
  <si>
    <t>NCT06450184</t>
  </si>
  <si>
    <t>Bioequivalence Study of Pimavanserin 34 mg Capsule</t>
  </si>
  <si>
    <t>NCT06705192</t>
  </si>
  <si>
    <t>Study in Asymptomatic GRN-FTD Patients to Investigate the Safety, Tolerability, Pharmacokinetics, and Pharmacodynamics of VES001</t>
  </si>
  <si>
    <t>Mads Kjolby</t>
  </si>
  <si>
    <t>NCT06488911</t>
  </si>
  <si>
    <t>To Evaluate Safety and Tolerability of the Fixed- Dose Combination of Obeticholic Acid and Bezafibrate</t>
  </si>
  <si>
    <t>NCT06616571</t>
  </si>
  <si>
    <t>Compare the Efficacy and Safety of QL0605 Injections at Different Timepoints</t>
  </si>
  <si>
    <t>NCT06161844</t>
  </si>
  <si>
    <t>Efficacy and Safety of Semaglutide Injection (HD1916) in Patients With Type 2 Diabetes Mellitus</t>
  </si>
  <si>
    <t>NCT06605703</t>
  </si>
  <si>
    <t>A Randomized Controlled Trial Comparing the Effectiveness of Different Treatment Options for Weight Management After Discontinuation of Semaglutide and Tirzepatide (GLP1 Transition Trial)</t>
  </si>
  <si>
    <t>WW International Inc</t>
  </si>
  <si>
    <t>NCT06496971</t>
  </si>
  <si>
    <t>A Prospective Pivotal Study to Evaluate the Efficacy and Safety of Avastin® Bevacizumab (BEV) With or Without Microbubble-mediated Focused Ultrasound (FUS-MB) Using NaviFUS System in Recurrent Glioblastoma Multiforme Patients</t>
  </si>
  <si>
    <t>NaviFUS Corporation</t>
  </si>
  <si>
    <t>NCT07138352</t>
  </si>
  <si>
    <t>Bioavailability Study of XS003 (Nilotinib)</t>
  </si>
  <si>
    <t>NCT06425055</t>
  </si>
  <si>
    <t>Vonafexor ALPort Syndrome Efficacy &amp; Safety TRIAl-1 (ALPESTRIA-1)</t>
  </si>
  <si>
    <t>NCT06666855</t>
  </si>
  <si>
    <t>A Phase III Study in Subjects With Primary Open Angle Glaucoma or Ocular Hypertension in China</t>
  </si>
  <si>
    <t>NCT06449209</t>
  </si>
  <si>
    <t>Safety, Preliminary Effectiveness of BNT327, an Investigational Therapy for Patients With Small-cell Lung Cancer in Combination With Chemotherapy</t>
  </si>
  <si>
    <t>NCT06633016</t>
  </si>
  <si>
    <t>Study of ABX-002 for the Adjunctive Treatment of Major Depressive Disorder (AMPLIFY)</t>
  </si>
  <si>
    <t>NCT06489015</t>
  </si>
  <si>
    <t>Recombinant Human Serum Albumin in the Treatment of AD (Alzheimer Disease) Exploratory Clinical Trials</t>
  </si>
  <si>
    <t>NCT06544499</t>
  </si>
  <si>
    <t>A Study to Assess the Efficacy and Safety of Efgartigimod IV in Adult Participants With Primary Immune Thrombocytopenia</t>
  </si>
  <si>
    <t>NCT04073433</t>
  </si>
  <si>
    <t>Psychological Effects of Methylenedioxymethamphetamine (MDMA) When Administered to Healthy Volunteers (MT-2)</t>
  </si>
  <si>
    <t>NCT06185985</t>
  </si>
  <si>
    <t>Open-label Safety and Efficacy of SPN-812 (Viloxazine Extended-release Capsule) in Adults With ADHD and Mood Symptoms</t>
  </si>
  <si>
    <t>NCT06544798</t>
  </si>
  <si>
    <t>Long-term Follow-up of Gene Therapy for Radiation-Induced Xerostomia</t>
  </si>
  <si>
    <t>NCT06661148</t>
  </si>
  <si>
    <t>Study of EPI-003 in Select Nucleos(t)Ide Analogue-Treated, Chronic Hepatitis B Patients</t>
  </si>
  <si>
    <t>Epigenic Therapeutics, Inc</t>
  </si>
  <si>
    <t>NCT06258499</t>
  </si>
  <si>
    <t>Bone Healing Accelerant (BHA) Versus Autologous Bone Grafting (ABG) for Hindfoot or Ankle Arthrodesis</t>
  </si>
  <si>
    <t>Carmell Therapeutics Corporation</t>
  </si>
  <si>
    <t>NCT06384248</t>
  </si>
  <si>
    <t>Phase II Clinical Study of LTC004 in Patients With Advanced Sarcoma</t>
  </si>
  <si>
    <t>NCT06460844</t>
  </si>
  <si>
    <t>Study to Evaluate Safety of RTx-015 Injection in Retinitis Pigmentosa or Choroideremia Patients (ENVISION)</t>
  </si>
  <si>
    <t>Ray Therapeutics, Inc.</t>
  </si>
  <si>
    <t>NCT06371534</t>
  </si>
  <si>
    <t>A Study Comparing Pharmacokinetic and Safety of QL2109 and DARZALEX FASPRO® in Healthy Adults</t>
  </si>
  <si>
    <t>NCT06700538</t>
  </si>
  <si>
    <t>A First-In-Human Study of ARO-INHBE in Adults With Obesity With and Without Type 2 Diabetes Mellitus</t>
  </si>
  <si>
    <t>NCT06106672</t>
  </si>
  <si>
    <t>Evaluate the Safety, Tolerability, Pharmacodynamics and Efficacy of CNP-106 in Subjects With Myasthenia Gravis</t>
  </si>
  <si>
    <t>NCT06438757</t>
  </si>
  <si>
    <t>Trial of JYB1904 in Patients With Allergic Asthma</t>
  </si>
  <si>
    <t>NCT06328712</t>
  </si>
  <si>
    <t>Evaluate the Safety and Efficacy of EN001 in Patients With Charcot-Marie-Tooth Disease Type 1A(CMT1A) (Phase 1b: Open-label, Dose-escalation, Single-center; Phase 2a: Randomized, Double-blind, Placebo-controlled, Multicenter)</t>
  </si>
  <si>
    <t>NCT06687369</t>
  </si>
  <si>
    <t>A Study to Compare Pharmacokinetics, Efficacy, Safety, and Immunogenicity of MB12 (Proposed Pembrolizumab Biosimilar) to Keytruda® in Non-small Cell Lung Cancer (BENITO Study)</t>
  </si>
  <si>
    <t>NCT06322394</t>
  </si>
  <si>
    <t>BXOS110 Injection in the Treatment of Acute Ischaemic Stroke</t>
  </si>
  <si>
    <t>Biocells (Beijing) Biotech Co.,Ltd</t>
  </si>
  <si>
    <t>NCT06461039</t>
  </si>
  <si>
    <t>A Research Study Looking at How the Compound NNC0487-0111 Works With Birth Control Pills and Affects Emptying of the Stomach in Women Not Able to Become Pregnant</t>
  </si>
  <si>
    <t>NCT06612775</t>
  </si>
  <si>
    <t>A Study to Evaluate the Safety, Tolerability, and Efficacy of CB03-154 in Adult Patients With Focal Epilepsy</t>
  </si>
  <si>
    <t>NCT06286475</t>
  </si>
  <si>
    <t>A Study of VRG50635 in Healthy Volunteers</t>
  </si>
  <si>
    <t>Verge Genomics</t>
  </si>
  <si>
    <t>NCT05910827</t>
  </si>
  <si>
    <t>A Phase Ib/II Study of an Anti-HER3 Antibody, HMBD-001, With Cetuximab +/- Docetaxel in Advanced Squamous Cell Cancers</t>
  </si>
  <si>
    <t>NCT06500429</t>
  </si>
  <si>
    <t>A Study to Evaluate the Safety and Efficacy of NG101 in Adult Participants Receiving a Glucagon-like Peptide-1 (GLP-1) Agonist</t>
  </si>
  <si>
    <t>NCT06372145</t>
  </si>
  <si>
    <t>A Study to Investigate Long-term Safety and Tolerability of Tolebrutinib in Participants With Multiple Sclerosis.</t>
  </si>
  <si>
    <t>NCT06133972</t>
  </si>
  <si>
    <t>Phase 3 Extension Study to Evaluate Long-term Safety of Ianalumab in Participants With Systemic Lupus Erythematosus (SIRIUS-SLE Extension).</t>
  </si>
  <si>
    <t>NCT06409494</t>
  </si>
  <si>
    <t>Clinical Trial to Evaluate EuHZV in Healthy Adults Aged 50 to 69 Years</t>
  </si>
  <si>
    <t>NCT06282575</t>
  </si>
  <si>
    <t>Efficacy and Safety of Zanidatamab With Standard-of-care Therapy Against Standard-of-care Therapy for Advanced HER2-positive Biliary Tract Cancer</t>
  </si>
  <si>
    <t>NCT06859281</t>
  </si>
  <si>
    <t>Safety, Tolerability, and Pharmacokinetic Profile of Grammidin, a Metered Dose Topical Spray in Healthy Volunteers</t>
  </si>
  <si>
    <t>NCT06636877</t>
  </si>
  <si>
    <t>A Study to Evaluate the Pharmacokinetics and the Safety After Administration of "BR1019" and Co-administration of "BR1019-3" and "BR1019-2" in Healthy Volunteers</t>
  </si>
  <si>
    <t>NCT06593054</t>
  </si>
  <si>
    <t>To Learn How Different Forms of Study Medicine Are Taken up Into the Blood and the Effect of Food on Study Medicine in Healthy Adults</t>
  </si>
  <si>
    <t>NCT06089122</t>
  </si>
  <si>
    <t>Efficacy, Safety, and Pharmacokinetics of Shu Yang IVIG</t>
  </si>
  <si>
    <t>NCT06544265</t>
  </si>
  <si>
    <t>SynKIR-310 for Relapsed/Refractory B-NHL</t>
  </si>
  <si>
    <t>NCT06692647</t>
  </si>
  <si>
    <t>A Clinical Study of MK-4318 and Diltiazem in Healthy People (MK-4318-003)</t>
  </si>
  <si>
    <t>NCT06193408</t>
  </si>
  <si>
    <t>Assessment of a Novel Fixed-dose Combination (FDC) Drug VR-AD-1005 for the Treatment of Acute Watery Diarrhea in Cholera</t>
  </si>
  <si>
    <t>Hunazine Biotech S.L.</t>
  </si>
  <si>
    <t>NCT06397313</t>
  </si>
  <si>
    <t>RVU120 in Patients With Intermediate or High-risk, Primary or Secondary Myelofibrosis</t>
  </si>
  <si>
    <t>NCT06756490</t>
  </si>
  <si>
    <t>A Phase I Study of HY-2003 in the Subjects With Excessive Submental Fat Accumulation</t>
  </si>
  <si>
    <t>NCT06423352</t>
  </si>
  <si>
    <t>A Study to Evaluate Zilebesiran in Japanese Patients With Mild to Moderate Hypertension</t>
  </si>
  <si>
    <t>NCT06384235</t>
  </si>
  <si>
    <t>Phase II Clinical Study of LTC004 in Patients With mCRC</t>
  </si>
  <si>
    <t>NCT06537817</t>
  </si>
  <si>
    <t>Study to Evaluate HT-4253 in Healthy Subjects</t>
  </si>
  <si>
    <t>NCT06299982</t>
  </si>
  <si>
    <t>An Phase III Study of Recombinant Anti-IL-17A Humanized Monoclonal Antibody in Chinese Participants With PsO</t>
  </si>
  <si>
    <t>NCT06687174</t>
  </si>
  <si>
    <t>Study to Evaluate the Efficacy and Safety of MY008211A in Subjects with Primary Immunoglobulin a Nephropathy (IgAN)</t>
  </si>
  <si>
    <t>NCT06419660</t>
  </si>
  <si>
    <t>A Study in Healthy Men to Test Whether Esomeprazole Influences the Amount of BI 3000202 in the Blood</t>
  </si>
  <si>
    <t>NCT06562361</t>
  </si>
  <si>
    <t>A Microdose Trial Investigating Binding of [68Ga]Ga-DOTA-CYS-ATH001 in Healthy Subjects and Different Patient Groups.</t>
  </si>
  <si>
    <t>Antaros Medical</t>
  </si>
  <si>
    <t>NCT06634797</t>
  </si>
  <si>
    <t>A Study to Investigate Cardiac Troponin Levels After mRNA-1273.712 Vaccine in Participants 12 Through 30 Years of Age</t>
  </si>
  <si>
    <t>NCT06340360</t>
  </si>
  <si>
    <t>A Phase 2b Study to Evaluate Rezpegaldesleukin (Rezpeg) in the Treatment of Severe to Very Severe Alopecia Areata in Adult Patients (Rezolve AA)</t>
  </si>
  <si>
    <t>NCT06715891</t>
  </si>
  <si>
    <t>Clinical Trial of the Efficacy and Safety of Raphamin in the Treatment of ARVI in Children Aged 3-12 Years</t>
  </si>
  <si>
    <t>NCT06634927</t>
  </si>
  <si>
    <t>Pharmacokinetic Similarity, Safety, and Immunogenicity of Semaglutide Injection and Ozempic ® Injection in Healthy Subjects.</t>
  </si>
  <si>
    <t>NCT06662786</t>
  </si>
  <si>
    <t>A Study of Amivantamab and mFOLFOX6 or FOLFIRI Versus Cetuximab and mFOLFOX6 or FOLFIRI as First-line Treatment in Participants With KRAS/NRAS and BRAF Wild-type Unresectable or Metastatic Left-sided Colorectal Cancer</t>
  </si>
  <si>
    <t>NCT06363370</t>
  </si>
  <si>
    <t>Human Interferon α1b Inhalation Solution Against Respiratory Syncytial Virus in Children With Lower Respiratory Tract Infections</t>
  </si>
  <si>
    <t>NCT06514027</t>
  </si>
  <si>
    <t>Study of BEBT-109 in Subjects With Non-Small Cell Lung Cancer Carrying EGFR Exon 20 Insertion Mutations</t>
  </si>
  <si>
    <t>NCT06831370</t>
  </si>
  <si>
    <t>A Study of Brentuximab Vedotin With Doxorubicin, Vinblastine and Dacarbazine in Adults With Hodgkin Lymphoma in India</t>
  </si>
  <si>
    <t>NCT06660173</t>
  </si>
  <si>
    <t>A Study of Maridebart Cafraglutide in Adult Participants With Type 2 Diabetes Mellitus (T2DM)</t>
  </si>
  <si>
    <t>NCT06461897</t>
  </si>
  <si>
    <t>A Study to Assess Adverse Events and Change in Disease Activity Comparing Oral Upadacitinib to Subcutaneous Dupilumab in Children From 2 to Less Than 12 Years of Age With Moderate to Severe Atopic Dermatitis</t>
  </si>
  <si>
    <t>NCT06389682</t>
  </si>
  <si>
    <t>Pharmacokinetics, Biodistribution, Radiation Dose and Safety Study of 68Ga-NYM005 in Patients</t>
  </si>
  <si>
    <t>Norroy Bioscience Co., LTD</t>
  </si>
  <si>
    <t>NCT06568094</t>
  </si>
  <si>
    <t>A Study of HRS-5041 Tablets Combined With Antitumor Therapy in Subjects With Advanced Prostate Cancer</t>
  </si>
  <si>
    <t>NCT06723782</t>
  </si>
  <si>
    <t>Surgical Release of Hand Tendons with Wrapping of the Released Tendon Using an Amniotic Membrane</t>
  </si>
  <si>
    <t>NCT06313086</t>
  </si>
  <si>
    <t>DP303c Versus Trastuzumab Emtansine in in Patients With HER2-positive Advanced Breast Cancer</t>
  </si>
  <si>
    <t>NCT06519370</t>
  </si>
  <si>
    <t>FDA018-ADC vs Investigator's Choice Chemotherapy to Treat Locally Advanced, Recurrent or Metastatic Triple-negative Breast Cancer</t>
  </si>
  <si>
    <t>NCT05861986</t>
  </si>
  <si>
    <t>A Study Evaluating the Effectiveness and Safety of Risdiplam Administered as an Early Intervention in Pediatric Participants With Spinal Muscular Atrophy After Gene Therapy</t>
  </si>
  <si>
    <t>NCT06612970</t>
  </si>
  <si>
    <t>A Study to Evaluate Single-dose of HB0056 in Healthy Adult Participants</t>
  </si>
  <si>
    <t>NCT06859073</t>
  </si>
  <si>
    <t>A Research Study to Evaluate the Safety of NNC4004-0002 When Given to Participants With Asymptomatic Hyperuricemia</t>
  </si>
  <si>
    <t>NCT06726369</t>
  </si>
  <si>
    <t>A Phase 1 Study to Evaluate the Safety, Pharmacokinetics, and Preliminary Efficacy of MK-6204 (SKB535) for Injection in Participants With Advanced Solid Tumors</t>
  </si>
  <si>
    <t>NCT06566261</t>
  </si>
  <si>
    <t>ABA-101 in Participants With Progressive Multiple Sclerosis</t>
  </si>
  <si>
    <t>Abata Therapeutics</t>
  </si>
  <si>
    <t>NCT06636656</t>
  </si>
  <si>
    <t>A Study to Test Whether BI 3032950 Helps People With Ulcerative Colitis</t>
  </si>
  <si>
    <t>NCT06232902</t>
  </si>
  <si>
    <t>A Study to Compare the Pharmacokinetics and Safety of QL1101 and EU-Avastin® in Healthy Volunteers</t>
  </si>
  <si>
    <t>NCT06173869</t>
  </si>
  <si>
    <t>A Randomised Trial Comparing the Ovarian Response of a Starting Dose of Either 10 μg or 15 μg Follitropin Delta (FE 999049) to a Starting Dose of Either 150 IU or 225 IU Follitropin Alfa (GONAL-F) in Conventional Regimens in China</t>
  </si>
  <si>
    <t>NCT06372483</t>
  </si>
  <si>
    <t>Single Dose Trial of VMX-C001 in Healthy Subjects with and Without FXa Direct Oral Anticoagulant</t>
  </si>
  <si>
    <t>NCT06619483</t>
  </si>
  <si>
    <t>A Study to Learn How Safe BAY3018250 is, How it Moves Into, Through and Out of the Body, and How it Affects the Body in Healthy Chinese Participants</t>
  </si>
  <si>
    <t>NCT06598462</t>
  </si>
  <si>
    <t>A Study to Investigate the Efficacy and Safety of NSI-8226 in Adults With Eosinophilic Esophagitis</t>
  </si>
  <si>
    <t>Uniquity One (UNI)</t>
  </si>
  <si>
    <t>NCT06501573</t>
  </si>
  <si>
    <t>A Study of SGB-9768 in Adult Healthy Volunteers</t>
  </si>
  <si>
    <t>NCT06650605</t>
  </si>
  <si>
    <t>Phase 1 Open-label Study of 123I-ATT001 in Subjects With Relapsed Glioblastoma</t>
  </si>
  <si>
    <t>Theragnostics Ltd</t>
  </si>
  <si>
    <t>NCT06506994</t>
  </si>
  <si>
    <t>A Study of HRS-9057 in Patients With Heart Failure and Volume Overload</t>
  </si>
  <si>
    <t>NCT06241573</t>
  </si>
  <si>
    <t>A Study to Test Long-term Treatment With Spesolimab in People With a Skin Condition Disease Called Hidradenitis Suppurativa (HS) Who Took Part in a Previous Study With Spesolimab</t>
  </si>
  <si>
    <t>NCT06387394</t>
  </si>
  <si>
    <t>A Study to Assess BOTOX Injections in Adult Participants for the Change of Masseter Muscle Prominence</t>
  </si>
  <si>
    <t>NCT06628310</t>
  </si>
  <si>
    <t>A Study to Evaluate the Adverse Events, Efficacy, and Optimal Dose of Intravenous (IV) ABBV-400 in Combination With IV Fluorouracil, Leucovorin, and Budigalimab in Adult Participants With Locally Advanced Unresectable or Metastatic Gastric, Gastroesophageal Junction, or Esophageal Adenocarcinoma</t>
  </si>
  <si>
    <t>NCT06888362</t>
  </si>
  <si>
    <t>Trial to Investigate GZ21T in Healthy Volunteers</t>
  </si>
  <si>
    <t>Genzada Pharmaceuticals USA, Inc.</t>
  </si>
  <si>
    <t>NCT06441227</t>
  </si>
  <si>
    <t>Safety and Tolerance of Increased Doses of HRS-5346 Tablets in Healthy Subjects</t>
  </si>
  <si>
    <t>NCT06571461</t>
  </si>
  <si>
    <t>Liposomal Irinotecan in Combination With Oxaliplatin and S-1 Versus Gemcitabine Combined With Capecitabine as Postoperative Adjuvant Therapy for Pancreatic Cancer</t>
  </si>
  <si>
    <t>NCT06564441</t>
  </si>
  <si>
    <t>A Study to Test Whether BI 456906 (Survodutide) Influences the Amount of Bupropion, Caffeine and Midazolam in the Blood in People With Overweight or Obesity</t>
  </si>
  <si>
    <t>NCT06671405</t>
  </si>
  <si>
    <t>An Open-label Study in Healthy Participants to Evaluate AZD0780 as an Object or Precipitant of CYP3A4-mediated Drug-drug Interactions</t>
  </si>
  <si>
    <t>NCT06533280</t>
  </si>
  <si>
    <t>VH3739937 Phase 1 Multiple Ascending Dose (MAD) Study in Healthy Volunteers Including Relative Bioavailability (RBA), Optional Food Effect (FE), and Drug-drug Interaction (DDI)</t>
  </si>
  <si>
    <t>NCT06671379</t>
  </si>
  <si>
    <t>A Study of SHR-A2009 Versus Platinum-based Chemotherapy in EGFR-mutated, Advanced or Metastatic NSCLC</t>
  </si>
  <si>
    <t>NCT06662383</t>
  </si>
  <si>
    <t>A Study of Retatrutide (LY3437943) Compared to Tirzepatide (LY3298176) in Adults Who Have Obesity</t>
  </si>
  <si>
    <t>NCT06627647</t>
  </si>
  <si>
    <t>A Global Phase III Study of Rilvegostomig or Pembrolizumab Plus Chemotherapy for First-Line Treatment of Locally Advanced or Metastatic Non-Squamous NSCLC</t>
  </si>
  <si>
    <t>NCT06441812</t>
  </si>
  <si>
    <t>A Study to Evaluate the Long-term Safety, Pharmacodynamics and Efficacy of SHR-1703 in Eosinophilic Asthma Patients</t>
  </si>
  <si>
    <t>NCT06717100</t>
  </si>
  <si>
    <t>Study to Determine Potential for Drug-drug Interactions When Co-administering Deupirfenidone (LYT-100) and Nintedanib</t>
  </si>
  <si>
    <t>NCT06636071</t>
  </si>
  <si>
    <t>Setrusumab in Pediatric Japanese Subjects With Osteogenesis Imperfecta</t>
  </si>
  <si>
    <t>NCT06448364</t>
  </si>
  <si>
    <t>A Study in Advanced/Metastatic Solid Tumors With the Study Medicine (PF-07329640) When Given Alone or In Combination</t>
  </si>
  <si>
    <t>NCT06664619</t>
  </si>
  <si>
    <t>A Randomized, Double-Blind, Placebo-Controlled Trial on Efficacy and Safety of Fluticasone Propionate/Albuterol Sulfate Combination in Participants 12 Years and Older With Asthma</t>
  </si>
  <si>
    <t>NCT06309992</t>
  </si>
  <si>
    <t>A Study to Test Whether Survodutide Helps People Living With Obesity or Overweight and With a Confirmed or Presumed Liver Disease Called Non-alcoholic Steatohepatitis (NASH) to Reduce Liver Fat and to Lose Weight (SYNCHRONIZE-MASLD)</t>
  </si>
  <si>
    <t>NCT06275893</t>
  </si>
  <si>
    <t>IC14 (Atibuclimab) in Arrhythmogenic Cardiomyopathy</t>
  </si>
  <si>
    <t>NCT06411912</t>
  </si>
  <si>
    <t>A Study of NIDO-361 in Patients With SBMA</t>
  </si>
  <si>
    <t>Nido Biosciences, Inc.</t>
  </si>
  <si>
    <t>NCT06493045</t>
  </si>
  <si>
    <t>First-In-Human (FIH) Trial Evaluating the Safety and Tolerability of Single and Multiple Ascending Oral Doses of IRL757 in Healthy Volunteers</t>
  </si>
  <si>
    <t>NCT06464939</t>
  </si>
  <si>
    <t>Phase 2 Study of KH001 in Long-term Relief From Dentin Hypersensitivity</t>
  </si>
  <si>
    <t>NCT06083207</t>
  </si>
  <si>
    <t>A Study of IBI3003 in Subjects With Relapsed or Refractory Multiple Myeloma</t>
  </si>
  <si>
    <t>NCT07101965</t>
  </si>
  <si>
    <t>Phase I Clinical Study of the Safety, Tolerability, Pharmacokinetics, and Pharmacodynamics of RSS0343 Tablets in Healthy Subjects After Single and Multiple Oral Administration and the Effect of Food on the Pharmacokinetics of RSS0343</t>
  </si>
  <si>
    <t>NCT06276101</t>
  </si>
  <si>
    <t>NWRD08 DNA Plasmid for HPV-16 and/or HPV-18 Related Cervical HSIL</t>
  </si>
  <si>
    <t>NCT06849973</t>
  </si>
  <si>
    <t>To Study the Efficacy &amp; Safety of Oral NA-921 (Bionetide) in Girls and Women with Rett Syndrome</t>
  </si>
  <si>
    <t>NCT06396026</t>
  </si>
  <si>
    <t>A Study of Efficacy and Safety of TLL-018 in CSU Participants</t>
  </si>
  <si>
    <t>NCT06646289</t>
  </si>
  <si>
    <t>A Follow-on Study for Second-Eye Treatment for Participants Previously Treated With Gene Therapy for X-Linked Retinitis Pigmentosa (XLRP)</t>
  </si>
  <si>
    <t>NCT06722417</t>
  </si>
  <si>
    <t>A Single Dose Study to Assess Adverse Events and How Oral Icalcaprant Moves Through the Body in Healthy Adult Japanese and Han Chinese Participants</t>
  </si>
  <si>
    <t>NCT06109818</t>
  </si>
  <si>
    <t>Efficacy, Safety, Pharmacokinetics and Pharmacodynamics of ICP-488 in Patients with Moderate to Severe Plaque Psoriasis</t>
  </si>
  <si>
    <t>NCT06357910</t>
  </si>
  <si>
    <t>A Study to Evaluate the Pharmacokinetics and Safety Between HCP2303 and Co-administration of Each Component in Healthy Volunteers Under Fed Conditions</t>
  </si>
  <si>
    <t>NCT06229548</t>
  </si>
  <si>
    <t>A Single Ascending Dose Study to Evaluate the Safety, Tolerability, Pharmacokinetics and Pharmacodynamics of SYH2053</t>
  </si>
  <si>
    <t>NCT06171750</t>
  </si>
  <si>
    <t>Phase I Study of Tolododekin Alfa (ANK-101) in Advanced Solid Tumors</t>
  </si>
  <si>
    <t>Ankyra Therapeutics, Inc</t>
  </si>
  <si>
    <t>NCT06297590</t>
  </si>
  <si>
    <t>A First-In-Human Study of LY3954068 in Participants With Early Symptomatic Alzheimer's Disease</t>
  </si>
  <si>
    <t>NCT07601516</t>
  </si>
  <si>
    <t>Real World Effectiveness and Safety of Deutetrabenazine in Adult Chinese Patients With Huntington's Disease (HD) Chorea in China</t>
  </si>
  <si>
    <t>NCT06120140</t>
  </si>
  <si>
    <t>Enhanced Dermatological Care to Reduce Rash and Paronychia in Epidermal Growth Factor Receptor (EGRF)-Mutated Non-Small Cell Lung Cancer (NSCLC) Treated First-line With Amivantamab Plus Lazertinib</t>
  </si>
  <si>
    <t>NCT06397768</t>
  </si>
  <si>
    <t>Co-administration Study of an Investigational Live-Attenuated Respiratory Syncytial Virus Vaccine in Infants and Toddlers</t>
  </si>
  <si>
    <t>NCT05983068</t>
  </si>
  <si>
    <t>A Study of Long-term Effect of Dupilumab on Skin Barrier Function in Pediatric Participants With Atopic Dermatitis</t>
  </si>
  <si>
    <t>NCT06194448</t>
  </si>
  <si>
    <t>To Evaluate the Efficacy/Safety of Osimertinib Prior to CRT and Maintenance of it With Stage III, Unresectable NSCLC With EGFR Mutations</t>
  </si>
  <si>
    <t>NCT06171074</t>
  </si>
  <si>
    <t>Study of CM310 in Subjects With Seasonal Allergic Rhinitis</t>
  </si>
  <si>
    <t>NCT06343948</t>
  </si>
  <si>
    <t>A Study Comparing BL-B01D1 With Chemotherapy of Physician's Choice in Patients With Unresectable Locally Advanced, Recurrent, or Metastatic HR+HER2- Breast Cancer(PANKU-Breast01)</t>
  </si>
  <si>
    <t>NCT06423885</t>
  </si>
  <si>
    <t>A Study of BL-M07D1 Combination Therapy in Patients With Unresectable Locally Advanced or Metastatic HER2-positive Gastric or Gastroesophageal Junction Adenocarcinoma</t>
  </si>
  <si>
    <t>NCT06433791</t>
  </si>
  <si>
    <t>Evaluation of Ascorbate-Meglumine Therapeutic for SRS</t>
  </si>
  <si>
    <t>LadeRx LLC</t>
  </si>
  <si>
    <t>NCT07134478</t>
  </si>
  <si>
    <t>Clinical Study to Evaluate the Effect of Rifampicin on the Pharmacokinetics of HSK31858 in Healthy Subjects</t>
  </si>
  <si>
    <t>NCT06112743</t>
  </si>
  <si>
    <t>A Study to Evaluate Mavacamten Impact on Myocardial Structure in Participants With Symptomatic Obstructive Hypertrophic Cardiomyopathy</t>
  </si>
  <si>
    <t>NCT06628908</t>
  </si>
  <si>
    <t>Evaluation of Efficacy and Safety of Suzetrigine for Pain Associated With Diabetic Peripheral Neuropathy</t>
  </si>
  <si>
    <t>NCT06674525</t>
  </si>
  <si>
    <t>Evaluation of 626 in Healthy Adult Subjects</t>
  </si>
  <si>
    <t>NCT06476509</t>
  </si>
  <si>
    <t>A Study to Assess Serotonin Transporter Occupancy of Healthy Adults Using 11C-DASB PET</t>
  </si>
  <si>
    <t>NCT06100887</t>
  </si>
  <si>
    <t>Phase 2 Study of EDG-5506 in Children and Adolescents With Duchenne Muscular Dystrophy Previously Treated With Gene Therapy</t>
  </si>
  <si>
    <t>NCT06693336</t>
  </si>
  <si>
    <t>An Adjuvant Study to Evaluate SMS001 (Paclitaxel) in Non-Small Cell Lung Cancer</t>
  </si>
  <si>
    <t>ToLymph Inc.</t>
  </si>
  <si>
    <t>NCT06279234</t>
  </si>
  <si>
    <t>A Study to Learn How Different Amounts of PF-06954522 Are Tolerated and Act in Adults With Type 2 Diabetes Mellitus</t>
  </si>
  <si>
    <t>NCT06163898</t>
  </si>
  <si>
    <t>A Study to Evaluate Alnuctamab in Combination With Mezigdomide in Participants With Relapsed and/or Refractory Multiple Myeloma</t>
  </si>
  <si>
    <t>NCT06366464</t>
  </si>
  <si>
    <t>A Study of Pitolisant in Patients With Prader-Willi Syndrome</t>
  </si>
  <si>
    <t>NCT06723106</t>
  </si>
  <si>
    <t>Phase 1b Long-term Extension Trial of RAY121 in Immunological Diseases (RAINBOW-LTE Trial)</t>
  </si>
  <si>
    <t>NCT06652971</t>
  </si>
  <si>
    <t>A Clinical Trial to Evaluate the Food Effect of CKD-379</t>
  </si>
  <si>
    <t>NCT06189209</t>
  </si>
  <si>
    <t>Efficacy and Safety of Tenalisib in Patients With Metastatic Triple Negative Breast Cancer (TNBC)</t>
  </si>
  <si>
    <t>NCT06671236</t>
  </si>
  <si>
    <t>Clinical Study of Regulatory T Cells (Tregs) in the Treatment of Neurodegenerative Diseases</t>
  </si>
  <si>
    <t>Novabio Therapeutics</t>
  </si>
  <si>
    <t>NCT05906992</t>
  </si>
  <si>
    <t>A Study to Compare Efficacy, Pharmacokinetics, Pharmacodynamics and Safety of CT-P53 and Ocrevus in Patients With Relapsing-remitting Multiple Sclerosis</t>
  </si>
  <si>
    <t>NCT06577337</t>
  </si>
  <si>
    <t>Phase 1 Single Ascending Doses (SAD) of M5542 in Healthy Participants</t>
  </si>
  <si>
    <t>NCT06198751</t>
  </si>
  <si>
    <t>A Study of Neoadjuvant Treatment With TQB2102 for Injection for Human Epidermal Growth Factor Receptor 2 (HER2) Positive Breast Cancer</t>
  </si>
  <si>
    <t>NCT06274437</t>
  </si>
  <si>
    <t>A Study of BND-35 in Participants With Advanced Solid Tumors</t>
  </si>
  <si>
    <t>Biond Biologics</t>
  </si>
  <si>
    <t>NCT06663319</t>
  </si>
  <si>
    <t>A Study of JNJ-89402638 for Metastatic Colorectal and Gastric Cancers</t>
  </si>
  <si>
    <t>NCT06630494</t>
  </si>
  <si>
    <t>Phase I Study to Evaluate rhTPO in Healthy Caucasian Volunteers</t>
  </si>
  <si>
    <t>3SBIO AU PTY LTD</t>
  </si>
  <si>
    <t>NCT06779851</t>
  </si>
  <si>
    <t>A Study to Evaluate Safety and Tolerability of BPT567 in Patients With Advanced Solid Tumors</t>
  </si>
  <si>
    <t>Bright Peak Therapeutics Inc</t>
  </si>
  <si>
    <t>NCT07684937</t>
  </si>
  <si>
    <t>HL-300 Ointment in Healthy Volunteers</t>
  </si>
  <si>
    <t>NCT06290102</t>
  </si>
  <si>
    <t>Pharmacokinetic Profile and Safety of Fluticasone Propionate and Albuterol Sulfate in Combination When Compared to Fluticasone Propionate Multidose Dry Powder Inhaler (Fp MDPI) in Children Aged 4 to 11 Years Old</t>
  </si>
  <si>
    <t>NCT06699628</t>
  </si>
  <si>
    <t>Phase I Trial Evaluating the Pharmacokinetics of Single Ascending Oral Doses of IRL757 in Healthy Elderly Volunteers</t>
  </si>
  <si>
    <t>NCT06411002</t>
  </si>
  <si>
    <t>Phase 2a Study of DaxibotulinumtoxinA-lanm for Injection in Dynamic Forehead Lines and Glabellar Lines</t>
  </si>
  <si>
    <t>Revance Therapeutics, Inc.</t>
  </si>
  <si>
    <t>NCT06116045</t>
  </si>
  <si>
    <t>Evaluation of the Efficacy, Safety and Tolerability of BZ371A in Women with Sexual Arousal Disorder</t>
  </si>
  <si>
    <t>NCT06248801</t>
  </si>
  <si>
    <t>Vildagliptin and Metformin Tablets 50/1000 mg Relative to GALVUS MET (50mg/1000 mg) Tablets</t>
  </si>
  <si>
    <t>NCT06516965</t>
  </si>
  <si>
    <t>A Study to Evaluate the Efficacy and Safety Study of Povorcitinib in Participants With Prurigo Nodularis (STOP-PN2)</t>
  </si>
  <si>
    <t>NCT06383767</t>
  </si>
  <si>
    <t>A Phase III Study of ESG401 for Locally Advanced or Metastatic HR+/HER2- Breast Cancer</t>
  </si>
  <si>
    <t>NCT06534983</t>
  </si>
  <si>
    <t>A Study to Evaluate the Efficacy and Safety of Autogene Cevumeran With Nivolumab Versus Nivolumab Alone in Participants With High-risk Muscle-invasive Urothelial Carcinoma (MIUC)</t>
  </si>
  <si>
    <t>NCT06520345</t>
  </si>
  <si>
    <t>The Study of 177Lu-TLX591 Plus SOC Versus SOC Alone in Patients With mCRPC (ProstACT Global)</t>
  </si>
  <si>
    <t>NCT06340581</t>
  </si>
  <si>
    <t>A Study to Assess the Lung Exposure Bioequivalence of Budesonide, Glycopyrronium, &amp; Formoterol (BGF) Metered Dose Inhaler (MDI) With a Next-generation Propellant (NGP) With a Spacer, BGF MDI Hydrofluoroalkane (HFA) With a Spacer, as Well as BGF MDI NGP Without a Spacer</t>
  </si>
  <si>
    <t>NCT06643819</t>
  </si>
  <si>
    <t>Phase 3 Trial to Evaluate the Efficacy and Safety of CKD-202A</t>
  </si>
  <si>
    <t>NCT06126653</t>
  </si>
  <si>
    <t>A Study to Evaluate ARD-501 in Patients With Autism Spectrum Disorder</t>
  </si>
  <si>
    <t>NCT06450275</t>
  </si>
  <si>
    <t>Bioequivalence Study to Compare Dolutegravir 50mg Film-coated Tablets</t>
  </si>
  <si>
    <t>NCT06351592</t>
  </si>
  <si>
    <t>First in Human (FIH) Study of ALN-SOD in Adult Participants With Amyotrophic Lateral Sclerosis Associated With Mutation in the SOD1 Gene (SOD1-ALS)</t>
  </si>
  <si>
    <t>NCT06602193</t>
  </si>
  <si>
    <t>Safety and Pharmacodynamic Effects of BIIB122 in Participants With LRRK2-Associated Parkinson's Disease (LRRK2-PD)</t>
  </si>
  <si>
    <t>NCT06525506</t>
  </si>
  <si>
    <t>A Study of IBI311 in Subjects With Inactive or Active Thyroid Eye Disease</t>
  </si>
  <si>
    <t>NCT06550011</t>
  </si>
  <si>
    <t>Clinical Study to Evaluate the Safety, Tolerability, and Preliminary Efficacy of Intravitreal (IVT) Injection of ABI-110 (AAV2.N54-VEGF Trap) in Subjects With Neovascular (Wet) Age-Related Macular Degeneration (wAMD), Including Symptomatic Macular Polypoidal Choroidal Vasculopathy (PCV)</t>
  </si>
  <si>
    <t>Avirmax Biopharma Inc</t>
  </si>
  <si>
    <t>NCT06097832</t>
  </si>
  <si>
    <t>Study of NXC-201 CAR-T in Patients With Light Chain (AL) Amyloidosis</t>
  </si>
  <si>
    <t>Nexcella Inc.</t>
  </si>
  <si>
    <t>NCT06132893</t>
  </si>
  <si>
    <t>A Study to Determine if BHV-7000 is Effective and Safe in Adults With Refractory Focal Onset Epilepsy</t>
  </si>
  <si>
    <t>NCT06253221</t>
  </si>
  <si>
    <t>A Study to Evaluate Mavacamten in Adolescents With Symptomatic Obstructive Hypertrophic Cardiomyopathy</t>
  </si>
  <si>
    <t>NCT06357533</t>
  </si>
  <si>
    <t>Phase III, Open-label, Study of First-line Dato-DXd in Combination With Rilvegostomig for Advanced Non-squamous NSCLC With High PD-L1 Expression (TC ≥ 50%) and Without Actionable Genomic Alterations</t>
  </si>
  <si>
    <t>NCT06514963</t>
  </si>
  <si>
    <t>A Trial of HRS-9813 in Healthy Volunteers</t>
  </si>
  <si>
    <t>NCT06549114</t>
  </si>
  <si>
    <t>Leniolisib for Immune Dysregulation in PIDs</t>
  </si>
  <si>
    <t>NCT06839664</t>
  </si>
  <si>
    <t>A Study of HS-20094 in Chinese Adults With Overweight or Obesity</t>
  </si>
  <si>
    <t>NCT06555263</t>
  </si>
  <si>
    <t>Study to Investigate Luveltamab Tazevibulin in Adults With Advanced or Metastatic Non-small Cell Lung Cancer</t>
  </si>
  <si>
    <t>NCT06581432</t>
  </si>
  <si>
    <t>Beamion PANTUMOR-1: A Study to Test Whether Zongertinib Helps People With Advanced Cancers With HER2 Alterations</t>
  </si>
  <si>
    <t>NCT06193434</t>
  </si>
  <si>
    <t>A First In Human (FIH) Study of IBI356 in Healthy Participants and in Atopic Dermatitis Patients</t>
  </si>
  <si>
    <t>NCT06084416</t>
  </si>
  <si>
    <t>A Study of Sovilnesib in Subjects With Ovarian Cancer</t>
  </si>
  <si>
    <t>NCT06494644</t>
  </si>
  <si>
    <t>A Study to Assess the Pharmacokinetics of AZD6793 When Administered Alone and in Combination With Itraconazole in Healthy Participants.</t>
  </si>
  <si>
    <t>NCT06610487</t>
  </si>
  <si>
    <t>A Study of FT1 in Healthy Adult Volunteers</t>
  </si>
  <si>
    <t>NCT06625671</t>
  </si>
  <si>
    <t>A Phase 1/2a Study of DB-2304 in Healthy Adults and SLE/CLE Participants</t>
  </si>
  <si>
    <t>NCT06316336</t>
  </si>
  <si>
    <t>Multiple Dose, Bioequivalence Study of Generic Alfuzosin Hydrochloride 10 mg Prolonged-release Tablets Under Fed Conditions</t>
  </si>
  <si>
    <t>Pharma Nueva</t>
  </si>
  <si>
    <t>NCT06256432</t>
  </si>
  <si>
    <t>Endothelin Receptor Antagonism With Ambrisentan to Treat Hepatorenal Syndrome</t>
  </si>
  <si>
    <t>NCT06797336</t>
  </si>
  <si>
    <t>A Study of PT0253 in Participants With KRAS G12D Mutated Advanced Solid Tumors</t>
  </si>
  <si>
    <t>PAQ Therapeutics, Inc.</t>
  </si>
  <si>
    <t>NCT06683703</t>
  </si>
  <si>
    <t>Utidelone Injection Combined with Bevacizumab Injection for Non-small Cell Lung Cancer Patients with Brain Metastases</t>
  </si>
  <si>
    <t>NCT06299761</t>
  </si>
  <si>
    <t>Study of the RNR Inhibitor BBI-825 in Subjects With Tumors With Resistance Gene Amplifications</t>
  </si>
  <si>
    <t>NCT06045754</t>
  </si>
  <si>
    <t>A Study of Vedolizumab Intravenous (IV) and Adalimumab or Vedolizumab and Ustekinumab in Adults With Crohn's Disease</t>
  </si>
  <si>
    <t>NCT06417554</t>
  </si>
  <si>
    <t>A Trial of SHR-A2102 With or Without Antitumor Therapy in Advanced Solid Tumors</t>
  </si>
  <si>
    <t>NCT06268873</t>
  </si>
  <si>
    <t>A Phase III Study to Investigate the Efficacy and Safety of Baxdrostat in Combination With Dapagliflozin on CKD Progression in Participants With CKD and High Blood Pressure.</t>
  </si>
  <si>
    <t>NCT06016270</t>
  </si>
  <si>
    <t>A Study of hSTC810 in Combination With Paclitaxel in Relapsed or Refractory Extensive Stage Small Cell Lung Cancer</t>
  </si>
  <si>
    <t>NCT06319456</t>
  </si>
  <si>
    <t>A Global Study of Lisaftoclax (APG-2575) Combined With Acalabrutinib Versus Immunochemotherapy for Newly Diagnosed CLL/SLL.</t>
  </si>
  <si>
    <t>NCT06650566</t>
  </si>
  <si>
    <t>Study of LM-299 in Subjects Advanced Malignant Tumors</t>
  </si>
  <si>
    <t>NCT06239194</t>
  </si>
  <si>
    <t>Dose Escalation and Dose Expansion Study of MDX2001 in Patients With Advanced Solid Tumors</t>
  </si>
  <si>
    <t>ModeX Therapeutics, An OPKO Health Company</t>
  </si>
  <si>
    <t>NCT06400485</t>
  </si>
  <si>
    <t>AMT-676 in Patients With Advanced Solid Tumors</t>
  </si>
  <si>
    <t>NCT06161025</t>
  </si>
  <si>
    <t>A Study of Raludotatug Deruxtecan (R-DXd) in Subjects With Platinum-resistant, High-grade Ovarian, Primary Peritoneal, or Fallopian Tube Cancer</t>
  </si>
  <si>
    <t>NCT06457425</t>
  </si>
  <si>
    <t>A Phase II Clinical Trial of Flonoltinib Maleate Tablet in Intermediate-High Risk Myelofibrosis</t>
  </si>
  <si>
    <t>NCT06331624</t>
  </si>
  <si>
    <t>Biomarker Modulation and the Inhibition of NKT1 Cells by Oral GRI-0621 in Patients With IPF</t>
  </si>
  <si>
    <t>GRI Bio Operations, Inc.</t>
  </si>
  <si>
    <t>NCT06565897</t>
  </si>
  <si>
    <t>Clinical Investigation to Assess the Efficacy of Manual Toothbrushes in the Reduction of Plaque and Gingivitis.</t>
  </si>
  <si>
    <t>NCT06691113</t>
  </si>
  <si>
    <t>A Proof-of-Concept Study to Assess the Efficacy, Safety and Tolerability of Itepekimab (Anti--IL-33 mAb) in Participants With Chronic Rhinosinusitis Without Nasal Polyps</t>
  </si>
  <si>
    <t>NCT06063850</t>
  </si>
  <si>
    <t>AMT-260 Gene Therapy Study in Adults With Unilateral Refractory Mesial Temporal Lobe Epilepsy</t>
  </si>
  <si>
    <t>NCT05814523</t>
  </si>
  <si>
    <t>To Evaluate the Efficacy, Safety, and Tolerability of Intravenous Ganaxolone Added to Standard of Care in Refractory Status Epilepticus (RSE)</t>
  </si>
  <si>
    <t>NCT06320080</t>
  </si>
  <si>
    <t>Clinical Study of TQB2223 Injection Combined With AK105 Injection in the Treatment of Advanced Hepatocellular Carcinoma.</t>
  </si>
  <si>
    <t>NCT06433661</t>
  </si>
  <si>
    <t>A Research Study of the Effect of Food on Etavopivat in Healthy Participants</t>
  </si>
  <si>
    <t>NCT06165341</t>
  </si>
  <si>
    <t>Study to Learn About the Safety of Fazirsiran and if it Can Help People With Alpha-1 Antitrypsin Liver Disease With Mild Liver Scarring (Fibrosis)</t>
  </si>
  <si>
    <t>NCT06556966</t>
  </si>
  <si>
    <t>A Study Assessing the Safety and Tolerability of LY03020 in Chinese Healthy Subjects</t>
  </si>
  <si>
    <t>NCT06673069</t>
  </si>
  <si>
    <t>Hero: A Study to Evaluate the Safety, Tolerability, and Pharmacokinetics (PK) and Pharmacodynamics (PD) of ION269 in Participants With Down Syndrome (DS) at Risk for Alzheimer's Disease (AD)</t>
  </si>
  <si>
    <t>NCT06411288</t>
  </si>
  <si>
    <t>Global Study of Del-desiran for the Treatment of DM1</t>
  </si>
  <si>
    <t>NCT06425003</t>
  </si>
  <si>
    <t>Study of [14C] ABBV-CLS-7262 in Healthy Male Volunteers Following Single Oral Dose Administration</t>
  </si>
  <si>
    <t>NCT06678542</t>
  </si>
  <si>
    <t>Study to Assess Relative Bioavailability of GP681 Formulations in Healthy Chinese Male Subjects</t>
  </si>
  <si>
    <t>NCT06568042</t>
  </si>
  <si>
    <t>Effects of LY3848575 Versus Placebo in Participants With Painful Distal Sensory Polyneuropathy</t>
  </si>
  <si>
    <t>NCT06484686</t>
  </si>
  <si>
    <t>An Immunity Persistence Study of Booster Dose of Live Attenuated Varicella Vaccine</t>
  </si>
  <si>
    <t>NCT05935215</t>
  </si>
  <si>
    <t>Efficacy and Safety of Switching From Anti-C5 Antibody Treatment to Iptacopan Treatment in Study Participants With Atypical Hemolytic Uremic Syndrome (aHUS)</t>
  </si>
  <si>
    <t>NCT07098117</t>
  </si>
  <si>
    <t>A Randomized, Double-blind, Placebo-controlled Phase I Clinical Trial to Evaluate the Safety and Pharmacokinetic Profile of Single and Multiple Dose Escalation Topical Dermal Administration of SHR0302 Alkali Gel in Healthy Subjects</t>
  </si>
  <si>
    <t>NCT06285240</t>
  </si>
  <si>
    <t>Efficacy and Safety of MK-1167 in Participants With Alzheimer's Disease Dementia Taking Stable Donepezil Treatment (MK-1167-007)</t>
  </si>
  <si>
    <t>NCT06558708</t>
  </si>
  <si>
    <t>A Trial Comparing Efficacy, Tolerability, and Safety of GZR101 Injection Once Daily (OD) and GZR33-70 Injection OD</t>
  </si>
  <si>
    <t>NCT06605599</t>
  </si>
  <si>
    <t>Study of Oral ABBV-932 to Assess Adverse Events and Change in Disease Activity in Adult Participants With Bipolar I or II Disorder</t>
  </si>
  <si>
    <t>NCT06689163</t>
  </si>
  <si>
    <t>A Study for the Treatment of Metastatic Prostate Cancer With HRS-1167 Tablets Combined With Abiraterone Acetate Tablets and Prednisone</t>
  </si>
  <si>
    <t>NCT06640933</t>
  </si>
  <si>
    <t>A Study to Find Out How Different Forms of BIIB091 is Processed in The Body With and Without Food in Healthy Participants</t>
  </si>
  <si>
    <t>NCT06111547</t>
  </si>
  <si>
    <t>A Study of TAK-279 in Healthy Chinese Adults</t>
  </si>
  <si>
    <t>NCT06525649</t>
  </si>
  <si>
    <t>A Double Blind, Randomized, Cross-over Study Examining the Suppression of the Photoparoxysmal EEG Response With NPT 2042</t>
  </si>
  <si>
    <t>NCT06632938</t>
  </si>
  <si>
    <t>A Study to Evaluate Adverse Events and How the Drug Moves Through the Body From Subcutaneous (SC) and Intravenous (IV) Doses of ABBV-382 in Healthy Adult Chinese Volunteers</t>
  </si>
  <si>
    <t>NCT05458674</t>
  </si>
  <si>
    <t>Tucatinib+Trastuzumab+Eribulin in HER2+ MBC</t>
  </si>
  <si>
    <t>NCT06492850</t>
  </si>
  <si>
    <t>Gene Therapy for RPGR Gene Mutation-associated X-linked Retinitis Pigmentosa</t>
  </si>
  <si>
    <t>NCT06493760</t>
  </si>
  <si>
    <t>A Phase 2 Study of SSGJ-707 in Metastatic Colorectal Cancer Patients</t>
  </si>
  <si>
    <t>NCT06678620</t>
  </si>
  <si>
    <t>Phase II Clinical Trial of 24-valent Pneumococcal Polysaccharide Conjugate Vaccine</t>
  </si>
  <si>
    <t>NCT06494397</t>
  </si>
  <si>
    <t>Pharmacokinetic Study of VHX-896 and Iloperidone Tablets Under Steady-State Conditions</t>
  </si>
  <si>
    <t>NCT06351020</t>
  </si>
  <si>
    <t>LM-302 for the Treatment of Subjects With Claudin18.2-Positive Gastric and Gastroesophageal Junction Adenocarcinoma.</t>
  </si>
  <si>
    <t>NCT07439419</t>
  </si>
  <si>
    <t>DBM-1152A Inhalation Solution in Healthy Volunteers</t>
  </si>
  <si>
    <t>NCT06265012</t>
  </si>
  <si>
    <t>Study to Evaluate the Recombinant VSV (rVSV)-Marburg Virus Vaccine Candidate (PHV01) in Healthy Adult Subjects</t>
  </si>
  <si>
    <t>NCT06564844</t>
  </si>
  <si>
    <t>A Phase III, Randomised Study of Adjuvant Dato-DXd in Combination With Rilvegostomig or Rilvegostomig Monotherapy Versus Standard of Care, Following Complete Tumour Resection, in Participants With Stage I Adenocarcinoma NSCLC Who Are ctDNA-positive or Have High-risk Pathological Features</t>
  </si>
  <si>
    <t>NCT06183216</t>
  </si>
  <si>
    <t>A Phase 1b Clinical Trial of 13-valent Pneumococcal Polysaccharide Conjugate Vaccine</t>
  </si>
  <si>
    <t>NCT05676749</t>
  </si>
  <si>
    <t>C-TIL051 in Non-Small Cell Lung Cancer</t>
  </si>
  <si>
    <t>AbelZeta Inc.</t>
  </si>
  <si>
    <t>NCT06747338</t>
  </si>
  <si>
    <t>A Phase III Study of KN026 in Combination With HB1801 ± Carboplatin as Neoadjuvant Treatment for Early or Locally Advanced HER2-Positive Breast Cancer</t>
  </si>
  <si>
    <t>NCT06388707</t>
  </si>
  <si>
    <t>A Safety, Tolerability, and Preliminary Efficacy of Low-intensity Focused Ultrasound Neuromodulation in Patients With Drug-resistant Epilepsy</t>
  </si>
  <si>
    <t>NCT06343311</t>
  </si>
  <si>
    <t>T-Cell Therapy (EB103) in Adults With Relapsed/Refractory B-Cell Non-Hodgkin's Lymphoma (NHL)</t>
  </si>
  <si>
    <t>Estrella Biopharma, Inc.</t>
  </si>
  <si>
    <t>NCT06412471</t>
  </si>
  <si>
    <t>A Phase II Study of SSGJ-707 Combination Therapy in Advanced NSCLC Patients</t>
  </si>
  <si>
    <t>NCT06690398</t>
  </si>
  <si>
    <t>Multicenter Study of Lumateperone for the Treatment of Irritability Associated With Autism Spectrum Disorder in Pediatric Patients</t>
  </si>
  <si>
    <t>NCT06490263</t>
  </si>
  <si>
    <t>the Safety, Tolerability and Pharmacokinetics of Mulberry Twig Alkaloids in Human</t>
  </si>
  <si>
    <t>Beijing Wehand-Bio Pharmaceutical Co., Ltd</t>
  </si>
  <si>
    <t>NCT05962606</t>
  </si>
  <si>
    <t>Safety and Efficacy of AON-D21 in Severe Community-Acquired Pneumonia.</t>
  </si>
  <si>
    <t>NCT07386938</t>
  </si>
  <si>
    <t>A Study of the Efficacy, Safety and Pharmacokinetics of RPH-051 and Perjeta® in Combination With Trastuzumab and Docetaxel as the 1st Line Therapy in Patients With HER2-positive Breast Cancer</t>
  </si>
  <si>
    <t>NCT06511947</t>
  </si>
  <si>
    <t>Pharmacokinetics of GH001 Delivered Via a Proprietary Aerosol Delivery Device in Healthy Subjects</t>
  </si>
  <si>
    <t>NCT06568458</t>
  </si>
  <si>
    <t>A Study to Assess the Extent of Drug Interaction Between BMS-986278 and Nintedanib, the Relative Bioavailability of BMS-986278 in Tablet and the Effect That Food Has on BMS-986278 in Tablet Formulations in Healthy Participants</t>
  </si>
  <si>
    <t>NCT06700148</t>
  </si>
  <si>
    <t>A Clinical Trial of ACYW135 Group Meningococcal Polysaccharide Conjugate Vaccine (CRM197 Vector) in 7 to 17 Year Olds</t>
  </si>
  <si>
    <t>NCT06561685</t>
  </si>
  <si>
    <t>A Study of LY4050784 in Participants With Advanced or Metastatic Solid Tumors</t>
  </si>
  <si>
    <t>NCT06506643</t>
  </si>
  <si>
    <t>Safety and Efficacy of KLS-1 Monotherapy in Malignant Neoplasms</t>
  </si>
  <si>
    <t>Vector Vitale LLC</t>
  </si>
  <si>
    <t>NCT06599528</t>
  </si>
  <si>
    <t>A Comparing Study Between SJ04 and Ovidrel® in Healthy Subjects</t>
  </si>
  <si>
    <t>Suzhou Centergene Pharmaceuticals Co.,Ltd.</t>
  </si>
  <si>
    <t>NCT07197034</t>
  </si>
  <si>
    <t>The Hunger Elimination or Reduction Objective (HERO ) Open -Label Extension (OLE) Trial</t>
  </si>
  <si>
    <t>NCT06598306</t>
  </si>
  <si>
    <t>Subcutaneous Tarlatamab in Participants With Extensive Stage Small Cell Lung Cancer (DeLLphi-308)</t>
  </si>
  <si>
    <t>NCT06334133</t>
  </si>
  <si>
    <t>Cadisegliatin as Adjunctive Therapy to Insulin in Participants With Type 1 Diabetes</t>
  </si>
  <si>
    <t>vTv Therapeutics</t>
  </si>
  <si>
    <t>NCT05977647</t>
  </si>
  <si>
    <t>Medical Stone Expulsive Therapy for Acutely Obstructed Ureteric Calculi</t>
  </si>
  <si>
    <t>NCT06758557</t>
  </si>
  <si>
    <t>A Study to Evaluate the Safety and Efficacy of HB0025 Injection in Patients With Advanced Solid Tumor</t>
  </si>
  <si>
    <t>NCT06534411</t>
  </si>
  <si>
    <t>A Research Study to See How Much CagriSema Lowers Blood Sugar and Body Weight Compared to Tirzepatide in People With Type 2 Diabetes Treated With Metformin, SGLT2 Inhibitor or Both</t>
  </si>
  <si>
    <t>NCT06597344</t>
  </si>
  <si>
    <t>A Study in Adolescent and Adult Female Participants to Evaluate Clinical Symptom Improvement and the Safety of Gepotidacin During Treatment of Uncomplicated Urinary Tract Infections (Acute Cystitis)</t>
  </si>
  <si>
    <t>NCT06040099</t>
  </si>
  <si>
    <t>A US Study to Evaluate Transarterial Radioembolization (TARE) in Combination With Durvalumab and Bevacizumab Therapy in People With Unresectable Hepatocellular Carcinoma Amenable to TARE</t>
  </si>
  <si>
    <t>NCT06493084</t>
  </si>
  <si>
    <t>Evaluate LAE102 in Healthy and Overweight/Obese Subjects</t>
  </si>
  <si>
    <t>NCT06378138</t>
  </si>
  <si>
    <t>ICP-248 in Combination With Orelabrutinib in Treatment-naïve Chronic Lymphocytic Leukemia/Small Lymphocytic Lymphoma (APEX-03)</t>
  </si>
  <si>
    <t>NCT06015516</t>
  </si>
  <si>
    <t>Bioavailability Clinical Trial of Oral Minoxidil 1 mg</t>
  </si>
  <si>
    <t>Industrial Farmacéutica Cantabria, S.A.</t>
  </si>
  <si>
    <t>NCT06669247</t>
  </si>
  <si>
    <t>A Study to Assess the Safety and Anti-Tumor Activity of REGN7945 in Combination With Linvoseltamab in Adult Participants With Relapsed/Refractory Multiple Myeloma</t>
  </si>
  <si>
    <t>NCT06496607</t>
  </si>
  <si>
    <t>A Study to Evaluate Solriktug in Adult Participants With Asthma</t>
  </si>
  <si>
    <t>NCT06239467</t>
  </si>
  <si>
    <t>First-in-Human Study of OKI-219 in Advanced Solid Tumors and Advanced Breast Cancer</t>
  </si>
  <si>
    <t>NCT06356311</t>
  </si>
  <si>
    <t>A Study to Evaluate Sacituzumab Tirumotecan (MK-2870) in Advanced/Metastatic Gastroesophageal Adenocarcinoma (MK-2870-015)</t>
  </si>
  <si>
    <t>NCT06735144</t>
  </si>
  <si>
    <t>Phase I/II Clinical Study of FH-006 for Injection in Patients With Malignant Solid Tumors</t>
  </si>
  <si>
    <t>NCT05949632</t>
  </si>
  <si>
    <t>A Study of INCB099280 in Combination With Axitinib in Adults With Advanced Solid Tumors</t>
  </si>
  <si>
    <t>NCT06322628</t>
  </si>
  <si>
    <t>A Phase 2 Clinical Trial to Evaluate the Efficacy and Safety of VSA006 in Chinese NASH Patients</t>
  </si>
  <si>
    <t>NCT06525311</t>
  </si>
  <si>
    <t>A Study to Evaluate the Pharmacokinetics and Safety of K-808 (Pemafibrate) in Subjects With Primary Biliary Cholangitis With Compensated Cirrhosis and Without Cirrhosis.</t>
  </si>
  <si>
    <t>NCT06719011</t>
  </si>
  <si>
    <t>A Study on How NNC0174-1213 Works in People With Overweight or Obesity.</t>
  </si>
  <si>
    <t>NCT06440252</t>
  </si>
  <si>
    <t>Effectiveness of a Grape Seed Extract on Circulatory Measures in Healthy Adults</t>
  </si>
  <si>
    <t>NCT06322342</t>
  </si>
  <si>
    <t>Phase 2 Ascending Dose Safety and Efficacy Study of RVP-001, a Manganese-based MRI Contrast Agent</t>
  </si>
  <si>
    <t>NCT06471205</t>
  </si>
  <si>
    <t>A Study of BL-B01D1+PD-1 Monoclonal Antibody in Patients With Unresectable Locally Advanced or Recurrent Metastatic Triple-negative Breast Cancer</t>
  </si>
  <si>
    <t>NCT07667322</t>
  </si>
  <si>
    <t>A Study to Investigate the Safety, Tolerability, Pharmacokinetics, Immunogenicity, and Pharmacodynamics of a New Subcutaneous Formulation of Ocrelizumab in Participants With Multiple Sclerosis</t>
  </si>
  <si>
    <t>NCT06369831</t>
  </si>
  <si>
    <t>HER2 Targeted Molecular Imaging in mBC and Other Metastatic Solid Carcinomas Using 68Ga-ABS011</t>
  </si>
  <si>
    <t>Abscint NV/SA</t>
  </si>
  <si>
    <t>NCT06520553</t>
  </si>
  <si>
    <t>A Study in Healthy Men to Test How BI 1569912 is Processed in the Body</t>
  </si>
  <si>
    <t>NCT06233201</t>
  </si>
  <si>
    <t>Sitagliptin and Metformin Hydrochloride Tablets 50 mg/500 mg Relative to Originator</t>
  </si>
  <si>
    <t>NCT06456567</t>
  </si>
  <si>
    <t>A Study of Telitacicept for the Treatment of Moderately to Severely Active Systemic Lupus Erythematosus (REMESLE-2)</t>
  </si>
  <si>
    <t>NCT06564753</t>
  </si>
  <si>
    <t>Phase 2 Trials of NA-931 to Study Subjects Who Are Obese With at Least One Weight-related Comorbid Condition</t>
  </si>
  <si>
    <t>NCT05399537</t>
  </si>
  <si>
    <t>Safety Evaluation of Prismocitrate 18 in Patients Receiving CRRT</t>
  </si>
  <si>
    <t>Vantive Health LLC</t>
  </si>
  <si>
    <t>NCT06944457</t>
  </si>
  <si>
    <t>Clinical Trial to Evaluate the Safety, Tolerability and Pharmacokinetics of MPD-1 in Patients With Advanced Solid Tumor</t>
  </si>
  <si>
    <t>Pharosgen Co.,Ltd</t>
  </si>
  <si>
    <t>NCT06321601</t>
  </si>
  <si>
    <t>Study to Evaluate Avacopan in Combination With a Rituximab or Cyclophosphamide-containing Regimen, in Children From 6 Years to &lt; 18 Years of Age With AAV.</t>
  </si>
  <si>
    <t>NCT06995001</t>
  </si>
  <si>
    <t>Phase I Study on the Safety, Tolerability, Pharmacokinetics and Pharmacodynamics of a Single Subcutaneous Injection of SHR-2173 in Healthy Subjects</t>
  </si>
  <si>
    <t>NCT06072781</t>
  </si>
  <si>
    <t>A Study of Avutometinib (VS-6766) + Defactinib (VS-6063) in Recurrent Low-Grade Serous Ovarian Cancer</t>
  </si>
  <si>
    <t>NCT06077500</t>
  </si>
  <si>
    <t>DAREONᵀᴹ-8: A Study to Test How Well Different Doses of BI 764532 in Addition to Standard of Care Are Tolerated by People With Advanced Small Cell Lung Cancer</t>
  </si>
  <si>
    <t>NCT06613373</t>
  </si>
  <si>
    <t>An Exploratory Clinical Study of CDK4/6i Dalpiciclib Combined With AI Neoadjuvant Therapy for Stage II-III HR+/HER2- Breast Cancer</t>
  </si>
  <si>
    <t>NCT05484154</t>
  </si>
  <si>
    <t>Efficacy and Safety Evaluation of 3K3A-APC in Ischemic Stroke</t>
  </si>
  <si>
    <t>ZZ Biotech, LLC</t>
  </si>
  <si>
    <t>NCT06567002</t>
  </si>
  <si>
    <t>A Study of MK-6552 and the Effect of Food in Healthy Participants (MK-6552-006)</t>
  </si>
  <si>
    <t>NCT06539195</t>
  </si>
  <si>
    <t>DZD8586 in Patients With Relapsed or Refractory Diffuse Large B-cell Lymphoma (TAI-SHAN9)</t>
  </si>
  <si>
    <t>NCT06704828</t>
  </si>
  <si>
    <t>A Phase II Study of SHR-4602 as Montherapy or in Combination With Other Anti-tumor Therapies in Advanced Solid Tumors</t>
  </si>
  <si>
    <t>NCT06041386</t>
  </si>
  <si>
    <t>REIMAGINE - Real World EvaluatIon of Mepolizumab in Severe Asthma achievinG on Treatment clinIcal remissioN, a prospEctive Study</t>
  </si>
  <si>
    <t>NCT06449651</t>
  </si>
  <si>
    <t>A Study of Nipocalimab in Reducing the Risk of Fetal and Neonatal Alloimmune Thrombocytopenia (FNAIT)</t>
  </si>
  <si>
    <t>NCT05970172</t>
  </si>
  <si>
    <t>A Study of Roxadustat to Treat Anemia in Children and Teenagers With Chronic Kidney Disease</t>
  </si>
  <si>
    <t>NCT06422936</t>
  </si>
  <si>
    <t>Clinical Trial to Evaluate BO-112 in Patients With Basal Cell Carcinoma (BCC)</t>
  </si>
  <si>
    <t>NCT06732895</t>
  </si>
  <si>
    <t>A Clinical Trial to Evaluate Efficacy and Safety of Navepegritide in Adolescents (12 - 18 Years of Age) With Achondroplasia.</t>
  </si>
  <si>
    <t>NCT06475001</t>
  </si>
  <si>
    <t>Dose-Response Characterization of VER-01 in the Treatment of Patients With Chronic Non-specific Low Back Pain</t>
  </si>
  <si>
    <t>NCT06577519</t>
  </si>
  <si>
    <t>Efficacy and Safety Study of Vicagrel in Patients With Acute Coronary Syndrome (ACS) Undergoing Percutaneous Coronary Intervention (PCI)</t>
  </si>
  <si>
    <t>NCT06662019</t>
  </si>
  <si>
    <t>Phase I Safety Study of Inhaled N-IP-00001 to Determine Tolerability and Safety in Healthy Volunteers.</t>
  </si>
  <si>
    <t>NeoTrials Pty Ltd</t>
  </si>
  <si>
    <t>NCT06194500</t>
  </si>
  <si>
    <t>A Study of Carbon-14-Labeled [14C]-LY3549492 in Healthy Participants</t>
  </si>
  <si>
    <t>NCT06389292</t>
  </si>
  <si>
    <t>A Pivotal Study of APG-2575 (Lisaftoclax) Combined With Azacitidine in the Treatment of Acute Myeloid Leukemia</t>
  </si>
  <si>
    <t>NCT06137144</t>
  </si>
  <si>
    <t>AZD3470 as Monotherapy or in Combination With Anticancer Agent(s) in Participants With Haematologic Malignancies.</t>
  </si>
  <si>
    <t>NCT06150664</t>
  </si>
  <si>
    <t>A Phase 1 of CTX-8371 in Patients With Advanced Malignancies</t>
  </si>
  <si>
    <t>NCT06760702</t>
  </si>
  <si>
    <t>A Study Evaluating the Efficacy, Safety, Pharmacokinetics and Pharmacodynamics of AUR 109 in Patients With Colorectal, Ovarian, and Renal Cancers</t>
  </si>
  <si>
    <t>NCT06376045</t>
  </si>
  <si>
    <t>A Phase 2, Dose Ranging Study Assessing Rocatinlimab in Moderate-to-severe Asthma</t>
  </si>
  <si>
    <t>NCT06441630</t>
  </si>
  <si>
    <t>A Study to Evaluate the Efficacy and Safety of Co-administration of AD-227A and AD-227B</t>
  </si>
  <si>
    <t>NCT06650007</t>
  </si>
  <si>
    <t>the Efficacy and Safety of HRS9531 Injection in Subjects With Type 2 Diabetes， Inadequately Controlled With Diet and Exercise Alone</t>
  </si>
  <si>
    <t>NCT06593600</t>
  </si>
  <si>
    <t>Study of Natriuretic Peptide Receptor 1 (NPR1) Antagonist in Adult Patients With Postural Orthostatic Tachycardia Syndrome (POTS)</t>
  </si>
  <si>
    <t>NCT06376136</t>
  </si>
  <si>
    <t>A Multicenter Open Clinical Study of Safety, Tolerability, Pharmacokinetic Profile, and Initial Clinical Efficacy of BAT 8010 for Injection Combined With BAT 1006 in the Treatment of Locally Advanced or Metastatic Tumors</t>
  </si>
  <si>
    <t>NCT06547164</t>
  </si>
  <si>
    <t>A Study to Investigate the Pharmacokinetics of Midazolam After Repeated Doses of Camizestrant (AZD9833) and to Investigate the Pharmacokinetics of Camizestrant When Administered Alone and in Combination With Carbamazepine in Healthy Post-Menopausal Female Participants</t>
  </si>
  <si>
    <t>NCT04469127</t>
  </si>
  <si>
    <t>A Phase I/II Multicenter, Open-Label Study of Lu-177-DOTAGA-IAC, for the Treatment of Angiogenic Breast Cancer Patients.</t>
  </si>
  <si>
    <t>Advanced Imaging Projects, LLC</t>
  </si>
  <si>
    <t>NCT06468956</t>
  </si>
  <si>
    <t>NCT06559722</t>
  </si>
  <si>
    <t>A Trial Investigating the Efficacy and Safety of Insulin Degludec/Liraglutide Injection in Subjects With Type 2 Diabetes</t>
  </si>
  <si>
    <t>NCT06562946</t>
  </si>
  <si>
    <t>The Study to Assess the Pharmacokinetics of Pimicotinib in Subjects With Mild and Moderate Hepatic Impairment Relative to Subjects With Normal Hepatic Function</t>
  </si>
  <si>
    <t>NCT06289894</t>
  </si>
  <si>
    <t>A Study of BRY805 in Participants With Advanced Solid Tumors</t>
  </si>
  <si>
    <t>NCT06186622</t>
  </si>
  <si>
    <t>A Drug-Drug Interaction Study of Orforglipron (LY3502970) in Healthy Overweight and Obese Participants</t>
  </si>
  <si>
    <t>NCT06963580</t>
  </si>
  <si>
    <t>Efficacy of MI078 Capsules in Treating Postpartum Depression</t>
  </si>
  <si>
    <t>NCT06383013</t>
  </si>
  <si>
    <t>BB-101 for the Treatment of Diabetic Lower Leg and Foot Ulcers</t>
  </si>
  <si>
    <t>Blue Blood Biotech Corp.</t>
  </si>
  <si>
    <t>NCT06313996</t>
  </si>
  <si>
    <t>A Study to Evaluate the Efficacy and Safety of Liso-cel Compared to Standard of Care in Adults With Relapsed or Refractory Follicular Lymphoma</t>
  </si>
  <si>
    <t>NCT06585696</t>
  </si>
  <si>
    <t>A Phase 3 Clinical Study to Evaluate the Efficacy and Safety of Botulinum Toxin Type A for Injection (CU-20101)</t>
  </si>
  <si>
    <t>NCT06618079</t>
  </si>
  <si>
    <t>Drug-Drug Interaction Study Between HUC2-565-A and HUC2-565-B</t>
  </si>
  <si>
    <t>NCT06723080</t>
  </si>
  <si>
    <t>Phase III Clinical Study of VC005 Tablets in Adult Patients With Moderate to Severe Atopic Dermatitis</t>
  </si>
  <si>
    <t>NCT06417775</t>
  </si>
  <si>
    <t>Study of Oral Ubrogepant to Assess Adverse Events and Change in Disease Activity in Adult Participants With Menstrual Migraine</t>
  </si>
  <si>
    <t>NCT06182969</t>
  </si>
  <si>
    <t>A Study of APG-2575 in Patients With Mild-to-moderate Systemic Lupus Erythematosus.</t>
  </si>
  <si>
    <t>NCT06588283</t>
  </si>
  <si>
    <t>Ixekizumab Concomitantly Administered With Tirzepatide in Adults With Moderate-to-Severe Plaque Psoriasis and Obesity or Overweight</t>
  </si>
  <si>
    <t>NCT06382129</t>
  </si>
  <si>
    <t>A Study Comparing BL-B01D1 With Docetaxel in Patients With Unresectable Locally Advanced or Metastatic EGFR Wild-type Non-small Cell Lung Cancer(PANKU-Lung02)</t>
  </si>
  <si>
    <t>NCT06644417</t>
  </si>
  <si>
    <t>Clinical Study of TQA3605 Tablets Combined With Nucleoside (Acid) Analogs (NAs) Drugs Compared With NAs Drugs in the Treatment of Chronic Hepatitis B Virus (HBV) Infection</t>
  </si>
  <si>
    <t>NCT06566989</t>
  </si>
  <si>
    <t>A Study of the Absorption, Distribution, Metabolism, and Elimination of Opevesostat (MK-5684) in Healthy Adult Male Participants (MK-5684-008)</t>
  </si>
  <si>
    <t>NCT06251310</t>
  </si>
  <si>
    <t>SW-682 in Advanced Solid Tumors</t>
  </si>
  <si>
    <t>SpringWorks Therapeutics, Inc., a healthcare company of Merck KGaA, Darmstadt, Germany</t>
  </si>
  <si>
    <t>NCT06654791</t>
  </si>
  <si>
    <t>Mass Balance Clinical Trial of SIM0270</t>
  </si>
  <si>
    <t>NCT06206174</t>
  </si>
  <si>
    <t>TGRX-814 Chinese Phase I/II in Patients With Hematological Malignancies</t>
  </si>
  <si>
    <t>NCT05534620</t>
  </si>
  <si>
    <t>Effect of Moderate Renal Impairment and Race/Ethnicity on Treosulfan Pharmacokinetics</t>
  </si>
  <si>
    <t>NCT06333860</t>
  </si>
  <si>
    <t>A Study to Learn How Safe and Effective Risankizumab is When Compared to Deucravacitinib to Treat Participants With Moderate Plaque Psoriasis and Who Need to Try Systemic Treatment (Works Throughout the Whole Body)</t>
  </si>
  <si>
    <t>NCT06311656</t>
  </si>
  <si>
    <t>A Study to Evaluate Safety, Tolerability of LY4100511 (DC-853) in Healthy Asian and Non-Asian Participants</t>
  </si>
  <si>
    <t>NCT06639256</t>
  </si>
  <si>
    <t>Phase 1/2 Clinical Study of HY07121 Powder for Solution for Infusion in Patients With Advanced Solid Tumors</t>
  </si>
  <si>
    <t>NCT06516302</t>
  </si>
  <si>
    <t>A Study of GR1802 in Participants With Chronic Sinusitis With Nasal Polyps</t>
  </si>
  <si>
    <t>NCT06383273</t>
  </si>
  <si>
    <t>A Study to Evaluate Efficacy and Safety of MELT-300 for Procedural Sedation in Subjects Undergoing Cataract Extraction With Lens Replacement (CELR)</t>
  </si>
  <si>
    <t>NCT06422377</t>
  </si>
  <si>
    <t>A Study Evaluating Soticlestat in Participants With Dravet Syndrome or Lennox-Gastaut Syndrome Who Have Been Exposed to Fenfluramine</t>
  </si>
  <si>
    <t>NCT06380660</t>
  </si>
  <si>
    <t>Study of ACE-86225106 to Treat Patients With Advanced Solid Tumors</t>
  </si>
  <si>
    <t>Acerand Therapeutics (Shanghai) Limited</t>
  </si>
  <si>
    <t>NCT05589896</t>
  </si>
  <si>
    <t>A First-in-Human Study of HLA-Partially to Fully Matched Allogenic Cryopreserved Deceased Donor Bone Marrow Transplantation for Patients With Hematologic Malignancies</t>
  </si>
  <si>
    <t>NCT04903951</t>
  </si>
  <si>
    <t>Impact of Early Ventilation in Stroke Outcomes in Patients With Sleep Apnea After First Ever Stroke</t>
  </si>
  <si>
    <t>Philips Portuguesa S.A.</t>
  </si>
  <si>
    <t>NCT06372223</t>
  </si>
  <si>
    <t>A Food Effect Study of SPH5030 Tablets.</t>
  </si>
  <si>
    <t>NCT06627179</t>
  </si>
  <si>
    <t>Study to Evaluate Ultevursen in Subjects With Retinitis Pigmentosa (RP) Due to Mutations in Exon 13 of the USH2A Gene</t>
  </si>
  <si>
    <t>NCT06465303</t>
  </si>
  <si>
    <t>A Study of RTP-026 to Assess Safety, Tolerability and Efficacy in Patients With ST-Elevation Myocardial Infarction (STEMI)</t>
  </si>
  <si>
    <t>ResoTher Pharma</t>
  </si>
  <si>
    <t>NCT06701903</t>
  </si>
  <si>
    <t>Study of ITI-1284 as Monotherapy Treatment in Patients With Generalized Anxiety Disorder</t>
  </si>
  <si>
    <t>NCT06459973</t>
  </si>
  <si>
    <t>A Clinical Study of YL205 in Patients With Advanced Solid Tumors</t>
  </si>
  <si>
    <t>NCT06004037</t>
  </si>
  <si>
    <t>Study to Evaluate the Efficacy of Delpazolid as Add-on Therapy in Refractory Mycobacterium Abscessus Complex</t>
  </si>
  <si>
    <t>NCT06472245</t>
  </si>
  <si>
    <t>Trial of Therapeutic Cancer Vaccine OSE2101 in Patients With Non-Small Cell Lung Cancer and Secondary Resistance to Immune Checkpoint Inhibitor</t>
  </si>
  <si>
    <t>NCT06558006</t>
  </si>
  <si>
    <t>Safety and Efficacy Predimenol for Headache</t>
  </si>
  <si>
    <t>NCT06727838</t>
  </si>
  <si>
    <t>Study on Drug Interaction of Metformin Tablets and HRS-7535 Tablets in Healthy Human</t>
  </si>
  <si>
    <t>NCT06755515</t>
  </si>
  <si>
    <t>A Phase Ⅱ/Ⅲ Study of Rulonilimab Plus Chemotherapy± Bevacizumab for the First-Line Treatment of Persistent, Recurrent or Metastatic Cervical Cancer</t>
  </si>
  <si>
    <t>NCT06691308</t>
  </si>
  <si>
    <t>WL276 CAR-T Cell Therapy for CD276 Positive Recurrent or Progressive Glioblastoma Patients</t>
  </si>
  <si>
    <t>NCT06024408</t>
  </si>
  <si>
    <t>A Trial to Learn if Receiving ALN-PNP siRNA is Safe and Well Tolerated, and How it Works in Adult Participants With Nonalcoholic Fatty Liver Disease (NAFLD) and a Genetic Risk Factor</t>
  </si>
  <si>
    <t>NCT06539208</t>
  </si>
  <si>
    <t>A Phase I/IIa，Open-label, Single Ascending Dose and Dose-expansion Clinical Study to Evaluate the Safety, Tolerability, Pharmacokinetics and Pharmacodynamics of YOLT-201 in Patients With Transthyretin Amyloidosis Polyneuropathy (ATTR-PN) or Transthyretin Amyloidosis Cardiomyopathy (ATTR-CM)</t>
  </si>
  <si>
    <t>YolTech Therapeutics Co., Ltd</t>
  </si>
  <si>
    <t>NCT06565650</t>
  </si>
  <si>
    <t>A Study to Evaluate Corneal Endothelial Cell Density (ECD) in Subjects With Dry Eye Disease (DED) Administering Miebo® (Perfluorohexyloctane Ophthalmic Solution) for 12 Months.</t>
  </si>
  <si>
    <t>NCT06585787</t>
  </si>
  <si>
    <t>A Study to Evaluate KarXT as a Treatment for Psychosis Associated With Alzheimer's Disease (ADEPT-4)</t>
  </si>
  <si>
    <t>NCT06223516</t>
  </si>
  <si>
    <t>Study of ABBV-383 Assessing Adverse Events and Clinical Activity With Subcutaneous (SC) Injection in Adult Participants With Relapsed or Refractory Multiple Myeloma</t>
  </si>
  <si>
    <t>NCT06663176</t>
  </si>
  <si>
    <t>Nebulised RESP30X Nitric Oxide Formulations in NCFB Patients With Pseudomonas Aeruginosa (Pa)</t>
  </si>
  <si>
    <t>NCT06367114</t>
  </si>
  <si>
    <t>Clinical Trial of ssCART-19 Cell Injection in the Treatment of Relapsed or Refractory Acute Lymphoblastic Leukemia (Including Central Nervous System Infiltration)</t>
  </si>
  <si>
    <t>NCT05980806</t>
  </si>
  <si>
    <t>A Study of Selinexor Monotherapy in Subjects With JAK Inhibitor-naïve Myelofibrosis and Moderate Thrombocytopenia</t>
  </si>
  <si>
    <t>NCT06413433</t>
  </si>
  <si>
    <t>Elucidating TAAR-1, Dopamine, and Norepinephrine in Binge Eating Disorder Using Solriamfetol</t>
  </si>
  <si>
    <t>NCT06637371</t>
  </si>
  <si>
    <t>A Phase 1, Randomized, Double-blind, Placebo-controlled Study Evaluating AMG 691 in Healthy Participants and Participants With Mild-to-Moderate Asthma</t>
  </si>
  <si>
    <t>NCT06438809</t>
  </si>
  <si>
    <t>Umbilical-Cord-Derived Mesenchymal Stem Cells Injection for Chronic Radiation Proctitis</t>
  </si>
  <si>
    <t>NCT06717698</t>
  </si>
  <si>
    <t>A Research Study Comparing How Well Different Doses of the Medicine NNC0519-0130 Can Reduce Kidney Damage in People Living With Chronic Kidney Disease</t>
  </si>
  <si>
    <t>NCT06239116</t>
  </si>
  <si>
    <t>A Study of RM-718 in Healthy Subjects and Patients With MC4R Pathway Impairment</t>
  </si>
  <si>
    <t>NCT06547333</t>
  </si>
  <si>
    <t>A Study of CM310 in Subjects With Moderate to Severe Chronic Obstructive Pulmonary Disease</t>
  </si>
  <si>
    <t>NCT06565026</t>
  </si>
  <si>
    <t>CS-206 in Patients With Sickle Cell Disease</t>
  </si>
  <si>
    <t>NCT06173284</t>
  </si>
  <si>
    <t>Evaluation of 611(Recombinant Humanized Anti-interleukin-4 Receptor Alpha IgG4 Monoclonal Antibody) in Chinese Adults With Moderate to Severe Atopic Dermatitis</t>
  </si>
  <si>
    <t>NCT07117474</t>
  </si>
  <si>
    <t>Safety, Tolerability, Pharmacokinetics, and Pharmacodynamics of a Single Subcutaneous Injection of HRS-9563 in Subjects With Mild Hypertension: a Randomized, Double-blind, Placebo-controlled Phase I Study.</t>
  </si>
  <si>
    <t>NCT05928390</t>
  </si>
  <si>
    <t>Pasireotide s.c. in Patients With Post-Bariatric Hypoglycaemia</t>
  </si>
  <si>
    <t>NCT05991349</t>
  </si>
  <si>
    <t>A Study of IBI129 in Subjects With Unresectable, Locally Advanced or Metastatic Solid Tumors</t>
  </si>
  <si>
    <t>NCT06413615</t>
  </si>
  <si>
    <t>A Study of FDA022-BB05 in Advanced/Metastatic Solid Tumors</t>
  </si>
  <si>
    <t>NCT06242691</t>
  </si>
  <si>
    <t>Safety and Efficacy of MK-1200 in Participants With Advanced Solid Tumors (MK-1200-002)</t>
  </si>
  <si>
    <t>NCT06346925</t>
  </si>
  <si>
    <t>Study of the Food Effects of Herombopag Olamine Tablets in Healthy Subjects.</t>
  </si>
  <si>
    <t>NCT06406790</t>
  </si>
  <si>
    <t>CraniSeal Post Approval Study</t>
  </si>
  <si>
    <t>Pramand LLC</t>
  </si>
  <si>
    <t>NCT06916273</t>
  </si>
  <si>
    <t>Safety, Tolerability, and Pharmacokinetics of PA9159 Inhalation Aerosol in Healthy Adult Subjects</t>
  </si>
  <si>
    <t>NCT06387069</t>
  </si>
  <si>
    <t>A Study to Evaluate HMPL-306 in Patients With IDH1or IDH2-mutated Acute Myeloid Leukemia</t>
  </si>
  <si>
    <t>NCT06333483</t>
  </si>
  <si>
    <t>Obe-cel in Adolescent [Applicable in UK Only] and Adult Severe, Refractory Systemic Lupus Erythematosus</t>
  </si>
  <si>
    <t>NCT06575959</t>
  </si>
  <si>
    <t>A Clinical Study of Enlicitide Decanoate in People With Liver Function Problems (MK-0616-030)</t>
  </si>
  <si>
    <t>NCT06323174</t>
  </si>
  <si>
    <t>A Research Study to See How Much CagriSema Lowers Blood Sugar and Body Weight Compared to Placebo in People With Type 2 Diabetes Treated With Diet and Exercise</t>
  </si>
  <si>
    <t>NCT06543459</t>
  </si>
  <si>
    <t>To Evaluate the Effect of Single Oral Dose of MY008211A Tablets on QTc Interval in Healthy Subjects</t>
  </si>
  <si>
    <t>NCT06182579</t>
  </si>
  <si>
    <t>Phase I Study of RiMO-401 With Radiation in Advanced Tumors</t>
  </si>
  <si>
    <t>NCT06257680</t>
  </si>
  <si>
    <t>A Phase I Study on ReT01 ACT for the Treatment of Advanced Solid Tumors</t>
  </si>
  <si>
    <t>Aeonvital Biomedicine</t>
  </si>
  <si>
    <t>NCT06730581</t>
  </si>
  <si>
    <t>Utidelone Capsule Monotherapy for Patients with Advanced Solid Tumors</t>
  </si>
  <si>
    <t>NCT06313528</t>
  </si>
  <si>
    <t>A Study to Measure Calorie Consumption and Usage in Participants With Obesity Using LY3437943</t>
  </si>
  <si>
    <t>NCT06240546</t>
  </si>
  <si>
    <t>First-in-Human Study of LPM6690176 in Patients With Advanced Solid Tumors.</t>
  </si>
  <si>
    <t>NCT06191042</t>
  </si>
  <si>
    <t>A Study to Evaluate the Safety and Tolerability, and the Efficacy of Si-544 in Adults With Psoriasis Vulgaris or Psoriatic Arthritis</t>
  </si>
  <si>
    <t>NCT06413537</t>
  </si>
  <si>
    <t>Study of SPG601 in Adult Men With Fragile X Syndrome</t>
  </si>
  <si>
    <t>NCT06564272</t>
  </si>
  <si>
    <t>A Study of KC1036 in Adolescents With Advanced Ewing Sarcoma</t>
  </si>
  <si>
    <t>NCT06490939</t>
  </si>
  <si>
    <t>Clinical Trial of Efepoetin Alfa in Healthy Subjects</t>
  </si>
  <si>
    <t>NCT06551181</t>
  </si>
  <si>
    <t>A Study on the Immune Response, Safety and the Occurrence of Respiratory Syncytial Virus (RSV)-Associated Respiratory Tract Illness After Administration of RSV OA Vaccine in Adults 60 Years and Older</t>
  </si>
  <si>
    <t>NCT07022977</t>
  </si>
  <si>
    <t>A Study of MET233 in Individuals With Obesity or Overweight</t>
  </si>
  <si>
    <t>NCT06445075</t>
  </si>
  <si>
    <t>Efficacy and Safety of Apitegromab for the Treatment of Adults Who Are Overweight or Obese</t>
  </si>
  <si>
    <t>NCT06467357</t>
  </si>
  <si>
    <t>Phase 3 Study of T-DXd and Rilvegostomig Versus SoC in Advanced HER2-expressing Biliary Tract Cancer</t>
  </si>
  <si>
    <t>NCT04743557</t>
  </si>
  <si>
    <t>Early Phase Human Drug Trial to Investigate DYN101 in Participants 2 to 17 Years With Centronuclear Myopathies</t>
  </si>
  <si>
    <t>NCT06659263</t>
  </si>
  <si>
    <t>RE104 Clinical Lactation Study</t>
  </si>
  <si>
    <t>NCT06607484</t>
  </si>
  <si>
    <t>Study Investigating the Safety, Tolerability and Blood Concentration of the Substance SR-878</t>
  </si>
  <si>
    <t>SciRhom GmbH</t>
  </si>
  <si>
    <t>NCT06652633</t>
  </si>
  <si>
    <t>Long-term Follow-up of Participants Treated With Galapagos Chimeric Antigen Receptor (CAR) T-cell Therapies</t>
  </si>
  <si>
    <t>NCT06393452</t>
  </si>
  <si>
    <t>Safety, Pharmacokinetics and Efficacy of PP405 in Adults With AGA</t>
  </si>
  <si>
    <t>Pelage Pharmaceuticals, Inc.</t>
  </si>
  <si>
    <t>NCT06105008</t>
  </si>
  <si>
    <t>Study of Disitamab Vedotin With Toripalimab Verus Disitamab Vedotin in Hormone Receptor Positive, HER2-low Locally Advanced or Metastatic Breast Cancer</t>
  </si>
  <si>
    <t>NCT06752850</t>
  </si>
  <si>
    <t>A Study to Investigate the Course of Synovial Hypertrophy in Patients With Haemophilia A on Efanesoctocog Alfa Prophylaxis</t>
  </si>
  <si>
    <t>NCT06949852</t>
  </si>
  <si>
    <t>Evaluation of Safety and Efficacy of Nalbuphine Versus Morphine for Postoperative Analgesia</t>
  </si>
  <si>
    <t>NCT06618118</t>
  </si>
  <si>
    <t>A Study to Assess Adverse Events of Fosigotifator (ABBV-CLS-7262) in Adults With Major Depressive Disorder</t>
  </si>
  <si>
    <t>NCT06504290</t>
  </si>
  <si>
    <t>Evaluating Safety, Tolerability and Pharmacokinetic of Multiple Ascending Doses of VV119</t>
  </si>
  <si>
    <t>NCT06563713</t>
  </si>
  <si>
    <t>A Study to Evaluate the Safety, Tolerability, Pharmacokinetics, and Immunogenicity of STSP-0902 in Healthy Subjects</t>
  </si>
  <si>
    <t>NCT06196580</t>
  </si>
  <si>
    <t>PK Effects of SHR4640 on Repaglinide and Midazolam, and the Impact of SHR4640 on QT Interval</t>
  </si>
  <si>
    <t>NCT06347016</t>
  </si>
  <si>
    <t>Study of Plozasiran in Adults With Severe Hypertriglyceridemia</t>
  </si>
  <si>
    <t>NCT06644404</t>
  </si>
  <si>
    <t>Phase 1 Study of Drug-Drug Interactions Between DWP16001, DWC202407, and DWC202408 in Healthy Adults</t>
  </si>
  <si>
    <t>NCT07670858</t>
  </si>
  <si>
    <t>Study of Intralesional FLD-103 in Subjects With Basal Cell Carcinoma (BCC)</t>
  </si>
  <si>
    <t>Feldan Therapeutics</t>
  </si>
  <si>
    <t>NCT06735755</t>
  </si>
  <si>
    <t>A Phase 1/2, Dose-Exploration Study to Evaluate the Safety and Efficacy of BEAM-301 in Patients With Glycogen Storage Disease Type Ia (GSDIa)</t>
  </si>
  <si>
    <t>NCT06556147</t>
  </si>
  <si>
    <t>A Study of RSV-HMPV Bivalent Vaccine VXB-241 in Older Adults</t>
  </si>
  <si>
    <t>NCT06408948</t>
  </si>
  <si>
    <t>A Study to Evaluate the Mass Balance of [14C]SHR7280 in Healthy Adult Volunteers</t>
  </si>
  <si>
    <t>NCT07291284</t>
  </si>
  <si>
    <t>Efficacy and Safety of LP-003 Injection in Patients With Moderate to Severe Seasonal Allergic Rhinitis</t>
  </si>
  <si>
    <t>NCT06777433</t>
  </si>
  <si>
    <t>Phase 2b Imaging Study of RAD101 in Participants With Suspected Recurrent Brain Metastases</t>
  </si>
  <si>
    <t>NCT06171178</t>
  </si>
  <si>
    <t>A Study of ASP1012 in Adults With Solid Tumors</t>
  </si>
  <si>
    <t>NCT06466785</t>
  </si>
  <si>
    <t>A Phase 3 Study of Efepoetin Alfa for Treatment of Anemia in Patients With Chronic Kidney Disease on Dialysis</t>
  </si>
  <si>
    <t>NCT06112704</t>
  </si>
  <si>
    <t>HS-20093 in Patients with Advanced Esophageal Carcinoma and Other Advanced Solid Tumors</t>
  </si>
  <si>
    <t>NCT06606106</t>
  </si>
  <si>
    <t>A Study of LY3537031 in Overweight, Obese, and Healthy Participants</t>
  </si>
  <si>
    <t>NCT06189638</t>
  </si>
  <si>
    <t>Phase II Study to Evaluate Efficacy and Safety of AMP Peptide PL-5 in Mild Infections of Diabetic Foot Ulcers</t>
  </si>
  <si>
    <t>Jiangsu ProteLight Pharmaceutical &amp; Biotechnology Co., Ltd.</t>
  </si>
  <si>
    <t>NCT06280378</t>
  </si>
  <si>
    <t>Β-Thalassemia Treatment with KL003 Cell Injection</t>
  </si>
  <si>
    <t>Kanglin Biotechnology (Hangzhou) Co., Ltd.</t>
  </si>
  <si>
    <t>NCT05643638</t>
  </si>
  <si>
    <t>A Study of CYP-001 in Combination With Corticosteroids in Adults With High-risk aGvHD</t>
  </si>
  <si>
    <t>NCT06539338</t>
  </si>
  <si>
    <t>A Study to Investigate Safety of INT2104 Infusions in Participants Aged 18 Years of Age and Older Who Have B-cell Cancers That Came Back After Previous Treatment</t>
  </si>
  <si>
    <t>NCT06644378</t>
  </si>
  <si>
    <t>A Study of [14C]-LY3866288 in Healthy Participants</t>
  </si>
  <si>
    <t>NCT06656091</t>
  </si>
  <si>
    <t>A Study of Simmitinib Versus Chemotherapy for Participants With Advanced Oesophageal Squamous Cell Carcinoma</t>
  </si>
  <si>
    <t>NCT06249152</t>
  </si>
  <si>
    <t>Qlaris Study of QLS-111 in Combination With a PGA for OAG and/or OHT Patients</t>
  </si>
  <si>
    <t>NCT06654440</t>
  </si>
  <si>
    <t>A Trial of SHR-A2102 for Treatment of Advanced Gynecological Malignancy</t>
  </si>
  <si>
    <t>NCT06171789</t>
  </si>
  <si>
    <t>PRO1107 in Patients With Advanced Solid Tumors</t>
  </si>
  <si>
    <t>NCT06351150</t>
  </si>
  <si>
    <t>Efficacy and Safety of Angiotensin II Injection Versus Placebo in Patients With Refractory Distributed Shock</t>
  </si>
  <si>
    <t>NCT06416410</t>
  </si>
  <si>
    <t>JAB-21822 Combined With JAB-3312 Compared SOC in the First Line for Treatment of Advanced Non-small Cell Lung Cancer With KRAS p.G12C Mutation</t>
  </si>
  <si>
    <t>NCT06617897</t>
  </si>
  <si>
    <t>Phase 3 Study of Fibrinogen Concentrate (CSL511) in Subjects With Pseudomyxoma Peritonei Undergoing Cytoreductive Surgery</t>
  </si>
  <si>
    <t>NCT06162221</t>
  </si>
  <si>
    <t>Study of RAS(ON) Inhibitors in Patients With Advanced RAS-mutated NSCLC</t>
  </si>
  <si>
    <t>NCT06905847</t>
  </si>
  <si>
    <t>Phase I Clinical Trial to Evaluate the Safety, Tolerability, Pharmacokinetic Characteristics, and Primary Efficacy of HSK39004 Suspension for Inhalation</t>
  </si>
  <si>
    <t>NCT06121843</t>
  </si>
  <si>
    <t>A Study to Evaluate the Safety, Effectiveness and Tolerable Dose of Arlocabtagene Autoleucel (BMS-986393) in Novel Combinations in Participants With Relapsed and/or Refractory Multiple Myeloma</t>
  </si>
  <si>
    <t>NCT06325748</t>
  </si>
  <si>
    <t>SENTI-202: Off-the-shelf Logic Gated CAR NK Cell Therapy in Adults With CD33 and/or FLT3 Blood Cancers Including AML/MDS</t>
  </si>
  <si>
    <t>Senti Biosciences</t>
  </si>
  <si>
    <t>NCT06131450</t>
  </si>
  <si>
    <t>A Study of BL-M07D1 in Patients With HER2-expressing Recurrent or Metastatic Gynecologic Malignancies</t>
  </si>
  <si>
    <t>NCT06297668</t>
  </si>
  <si>
    <t>A Study to Assess the Pharmacokinetics and Safety of Budesonide, Glycopyrronium, &amp; Formoterol (BGF) Metered Dose Inhaler (MDI) With a Next-Generation Propellant (NGP) With a Spacer, BGF MDI Hydrofluoroalkane (HFA) With a Spacer, as Well as BGF MDI NGP Without a Spacer</t>
  </si>
  <si>
    <t>NCT06537050</t>
  </si>
  <si>
    <t>A Randomized, Double-blind, Placebo-controlled Phase 1 Study to Evaluate the Safety, Tolerability and Pharmacokinetics of JX2105 in Healthy Chinese Subjects</t>
  </si>
  <si>
    <t>NCT06735391</t>
  </si>
  <si>
    <t>A Clinical Study of JMT101 in Combination With Osimertinib Versus Osimertinib Alone as First-Line Treatment for Patients With Locally Advanced or Metastatic Non-Squamous Non-Small Cell Lung Cancer (NSCLC) Harboring Epidermal Growth Factor Receptor (EGFR) Sensitive Mutations</t>
  </si>
  <si>
    <t>NCT06026891</t>
  </si>
  <si>
    <t>Study of MG-K10 Humanized Monoclonal Antibody Injection in Patients With Atopic Dermatitis</t>
  </si>
  <si>
    <t>NCT06206915</t>
  </si>
  <si>
    <t>Phase I Study of XZ120 in Malignant Tumors</t>
  </si>
  <si>
    <t>NCT06218940</t>
  </si>
  <si>
    <t>HY1272 in Patients With Locally Advanced or Metastatic Solid Tumors or Locally Advanced or Metastatic EGFRm+ NSCLC</t>
  </si>
  <si>
    <t>NCT06383468</t>
  </si>
  <si>
    <t>A Phase III Study to Evaluate the Efficacy and Safety of AK120 in Patients With Moderate to Severe Atopic Dermatitis</t>
  </si>
  <si>
    <t>NCT05417789</t>
  </si>
  <si>
    <t>Study of Emactuzumab for Tenosynovial Giant Cell Tumor (TGCT)</t>
  </si>
  <si>
    <t>SynOx Therapeutics Limited</t>
  </si>
  <si>
    <t>NCT06121297</t>
  </si>
  <si>
    <t>RESET-SLE: A Phase 1/2 Open-Label Study to Evaluate the Safety and Efficacy of CABA-201 in Subjects With Active Systemic Lupus Erythematosus</t>
  </si>
  <si>
    <t>NCT06717360</t>
  </si>
  <si>
    <t>A Phase 3 Clinical Trial to Evaluate the Efficacy and Safety of AG2304T and AG2304R</t>
  </si>
  <si>
    <t>NCT06290388</t>
  </si>
  <si>
    <t>Study of 23ME-01473 in Patients With Advanced Solid Malignancies</t>
  </si>
  <si>
    <t>NCT06566248</t>
  </si>
  <si>
    <t>A Clinical Trial to Evaluate the Efficacy and Safety of TQA3810 Tablets in Combination/Non Combination With Nucleoside (Acid) Analogues in Patients With Primary/Treated Chronic Hepatitis B</t>
  </si>
  <si>
    <t>NCT06442462</t>
  </si>
  <si>
    <t>Study of SPG302 in Adults With Schizophrenia</t>
  </si>
  <si>
    <t>NCT07002203</t>
  </si>
  <si>
    <t>Personalized Neoantigen Peptide Vaccines for Solid Tumors</t>
  </si>
  <si>
    <t>NCT06736327</t>
  </si>
  <si>
    <t>A Study on the Safety, Tolerability, Pharmacokinetics, and Antitumor Activity of SKB500 in Subjects With Advanced Solid Tumors</t>
  </si>
  <si>
    <t>NCT06327815</t>
  </si>
  <si>
    <t>Efficacy of FDC Regimen of Dapagliflozin/Metformin Compared to Co-administered Dual Therapy on Glycemic Control, Satisfaction and Adherence in Chinese Patients With T2DM</t>
  </si>
  <si>
    <t>NCT06787482</t>
  </si>
  <si>
    <t>Evaluating a New Peptide Therapy for Retinal Diseases: AMD, Diabetic Retinopathy, and Dystrophies</t>
  </si>
  <si>
    <t>Ace Cells Lab Limited</t>
  </si>
  <si>
    <t>NCT06657768</t>
  </si>
  <si>
    <t>A Study of LY4006895 in Healthy Participants With Early Symptomatic Alzheimer's Disease (AD)</t>
  </si>
  <si>
    <t>NCT06215950</t>
  </si>
  <si>
    <t>A Clinical Research About CD70-targeted CAR-T in the Treatment of CD70-positive Advanced/Metastatic Gynecologic Cancer</t>
  </si>
  <si>
    <t>NCT06251024</t>
  </si>
  <si>
    <t>Study of a Respiratory Syncytial Virus Candidate Formulation in Adults Aged 60 Years and Older</t>
  </si>
  <si>
    <t>NCT06251180</t>
  </si>
  <si>
    <t>Phase Ib Study of Rocbrutinib in Combination With R-CHOP in Patients With Newly Diagnosed B-cell Non-Hodgkin Lymphoma</t>
  </si>
  <si>
    <t>NCT06138743</t>
  </si>
  <si>
    <t>Study of ARO-DM1 in Subjects With Type 1 Myotonic Dystrophy</t>
  </si>
  <si>
    <t>NCT06634589</t>
  </si>
  <si>
    <t>A Study to Investigate Safety and Effectiveness of BGB-16673 in Combination With Other Agents in Participants With Relapsed or Refractory B-Cell Malignancies</t>
  </si>
  <si>
    <t>NCT06233474</t>
  </si>
  <si>
    <t>Study of Intra-articular Allocetra in Knee Osteoarthritis</t>
  </si>
  <si>
    <t>NCT06716190</t>
  </si>
  <si>
    <t>A Study to Test How Different Doses of BI 3731579 Are Tolerated by Healthy People</t>
  </si>
  <si>
    <t>NCT06401213</t>
  </si>
  <si>
    <t>A First-in-Human Safety Trial of MTX-463</t>
  </si>
  <si>
    <t>Mediar Therapeutics</t>
  </si>
  <si>
    <t>NCT06473948</t>
  </si>
  <si>
    <t>To Assess the Effects of Single Dose of JMKX001899 on QTc Interval in Healthy Subjects</t>
  </si>
  <si>
    <t>NCT06193889</t>
  </si>
  <si>
    <t>KYSA-6: A Study of Anti-CD19 Chimeric Antigen Receptor T-Cell Therapy, in Patients With Generalized Myasthenia Gravis</t>
  </si>
  <si>
    <t>NCT06149559</t>
  </si>
  <si>
    <t>A Study of Rozanolixizumab in Pediatric Study Participants With Moderate to Severe Generalized Myasthenia Gravis</t>
  </si>
  <si>
    <t>NCT06254274</t>
  </si>
  <si>
    <t>A Study of RAY1225 in Participants With Type 2 Diabetes</t>
  </si>
  <si>
    <t>NCT06313697</t>
  </si>
  <si>
    <t>A Study to Evaluate the Safety, Immunogenicity, and Pharmacokinetics of GR2102 in Healthy Adult</t>
  </si>
  <si>
    <t>NCT06701396</t>
  </si>
  <si>
    <t>Evaluating the Effects of Tasimelteon Vs. Placebo in Delayed Sleep-Wake Phase Disorder (DSWPD) and the CRY1Δ11 Variant</t>
  </si>
  <si>
    <t>NCT06267846</t>
  </si>
  <si>
    <t>A Study to Evaluate the Efficacy and Safety of NBI-1070770 in Adults With Major Depressive Disorder</t>
  </si>
  <si>
    <t>NCT06619990</t>
  </si>
  <si>
    <t>Study of XmAb942 in Healthy Participants and Participants With Ulcerative Colitis</t>
  </si>
  <si>
    <t>NCT06604442</t>
  </si>
  <si>
    <t>Intrapatient Comparison of Urinary Radioactivity Following Piflufolastat (18F) and Flotufolastat (18F) PET in Men With Low PSA Biochemical Recurrence of Prostate Cancer Following Radical Prostatectomy</t>
  </si>
  <si>
    <t>NCT06548542</t>
  </si>
  <si>
    <t>Study of Targeted Therapies for the Treatment of Adult Participants With Moderate to Severe Crohn's Disease</t>
  </si>
  <si>
    <t>NCT06254742</t>
  </si>
  <si>
    <t>A Trial of HHPG-19K Injection and Auto-HHPG-19K Injection in Prevention of Chemotherapy-related Moderate to Severe Neutropenia of Patients With Nonmyeloid Malignancies</t>
  </si>
  <si>
    <t>NCT06495918</t>
  </si>
  <si>
    <t>Study to Evaluate the Efficacy and Safety of Intravitreal OTX-TKI (Axitinib Implant) in Subjects With Neovascular Age- Related Macular Degeneration</t>
  </si>
  <si>
    <t>NCT06340490</t>
  </si>
  <si>
    <t>A Study of RJMty19 in Refractory Systemic Lupus Erythematosus (SLE)</t>
  </si>
  <si>
    <t>NCT06577090</t>
  </si>
  <si>
    <t>Study to Evaluate the Effect on Obesity of QW Nimacimab and QW Nimacimab Co-administered With Semaglutide vs Placebo</t>
  </si>
  <si>
    <t>NCT06176560</t>
  </si>
  <si>
    <t>Phase III Multicentre Trial of Oral Mesalazine in Patients With Mild to Moderate Ulcerative Colitis.</t>
  </si>
  <si>
    <t>NCT05919680</t>
  </si>
  <si>
    <t>A Study of NST-6179 in Subjects With Intestinal Failure-Associated Liver Disease (IFALD).</t>
  </si>
  <si>
    <t>NCT06336096</t>
  </si>
  <si>
    <t>A Study to Evaluate the Relative Bioavailability and Food Effect of a New Tablet Formulation and Strength of Suzetrigine</t>
  </si>
  <si>
    <t>NCT05902169</t>
  </si>
  <si>
    <t>Sonocloud-9 in Association With Carboplatin Versus Standard-of-Care Chemotherapies (CCNU or TMZ) in Recurrent GBM</t>
  </si>
  <si>
    <t>CarThera</t>
  </si>
  <si>
    <t>NCT06001788</t>
  </si>
  <si>
    <t>Safety and Tolerability of Ziftomenib Combinations in Patients With Relapsed/Refractory Acute Myeloid Leukemia</t>
  </si>
  <si>
    <t>NCT06462183</t>
  </si>
  <si>
    <t>Study of Safety and Efficacy of RGT-61159 in Adults With Relapsed/Refractory Adenoid Cystic Carcinoma (ACC) or Colorectal Carcinoma (CRC)</t>
  </si>
  <si>
    <t>Rgenta Therapeutics Inc</t>
  </si>
  <si>
    <t>NCT06589505</t>
  </si>
  <si>
    <t>Software as a Medical Device for the Treatment of Patients With PTSD</t>
  </si>
  <si>
    <t>Otsuka Medical Devices Co., Ltd. Japan</t>
  </si>
  <si>
    <t>NCT06523153</t>
  </si>
  <si>
    <t>A Study of the Investigational Monoclonal Antibody, VYD2311, in Healthy Participants</t>
  </si>
  <si>
    <t>NCT05516875</t>
  </si>
  <si>
    <t>Open-Label Extension Study of ASTORIA</t>
  </si>
  <si>
    <t>Contera Pharma A/S</t>
  </si>
  <si>
    <t>NCT05966194</t>
  </si>
  <si>
    <t>RRx-001 for Reducing Oral Mucositis in Patients Receiving Chemotherapy and Radiation for Head and Neck Cancer</t>
  </si>
  <si>
    <t>NCT06136819</t>
  </si>
  <si>
    <t>RT-310 Dose Escalation BPH Study</t>
  </si>
  <si>
    <t>Resurge Therapeutics Inc.</t>
  </si>
  <si>
    <t>NCT06594094</t>
  </si>
  <si>
    <t>An Open-label, Multidose Dose-escalation Study to Understand the Safety of CRISPR Gene-editing Therapy and Its Long-Lasting Effects in DMD Patients (MUSCLE)</t>
  </si>
  <si>
    <t>NCT05725902</t>
  </si>
  <si>
    <t>Study of the Effect of Etavopivat on Cerebral Hemodynamic Response in Children With Sickle Cell Disease</t>
  </si>
  <si>
    <t>NCT06510257</t>
  </si>
  <si>
    <t>Safety and Efficacy Reconyl for Cough With/Without Sore Throat</t>
  </si>
  <si>
    <t>NCT06345001</t>
  </si>
  <si>
    <t>A First-in-Human Study to Learn About How BAY3630942 is Distributed and Processed Inside the Body When Given After BAY3547922 and How Safe it is in People With Liver Cancer or Other Select Solid Cancers</t>
  </si>
  <si>
    <t>NCT06742853</t>
  </si>
  <si>
    <t>A Study to Investigate the Pharmacokinetics, Safety, Tolerability, and Efficacy of AZD0780 With Ezetimibe Combinations in Healthy Adults With Elevated LDL-C.</t>
  </si>
  <si>
    <t>NCT06285201</t>
  </si>
  <si>
    <t>Study of Felzartamab in Healthy Adult Subjects</t>
  </si>
  <si>
    <t>NCT06267001</t>
  </si>
  <si>
    <t>A Study of Tiragolumab Plus Atezolizumab Compared With Placebo Plus Atezolizumab in Participants With Completely Resected Non-small Cell Lung Cancer Who Have Received Adjuvant Platinum-based Chemotherapy</t>
  </si>
  <si>
    <t>NCT06112275</t>
  </si>
  <si>
    <t>A Clinical Study to Evaluate the Safety and Efficacy of ETX101, an AAV9-Delivered Gene Therapy in Children With SCN1A-positive Dravet Syndrome (Australia Only)</t>
  </si>
  <si>
    <t>NCT06207370</t>
  </si>
  <si>
    <t>Oral Tafenoquine Plus Standard of Care Versus Placebo Plus Standard of Care for Babesiosis</t>
  </si>
  <si>
    <t>NCT06336005</t>
  </si>
  <si>
    <t>A Study to See How Safe a New Medicine (NNC6022-0001) is in Healthy People</t>
  </si>
  <si>
    <t>NCT06380751</t>
  </si>
  <si>
    <t>Saruparib (AZD5305) Plus Camizestrant Compared With CDK4/6 Inhibitor Plus Endocrine Therapy or Plus Camizestrant in HR-Positive, HER2-Negative (IHC 0, 1+, 2+/ ISH Non-amplified), BRCA1, BRCA2, or PALB2m Advanced Breast Cancer</t>
  </si>
  <si>
    <t>NCT06527937</t>
  </si>
  <si>
    <t>Pharmacokinetics Study of DESF in Adults With Oral Allergy Syndrome</t>
  </si>
  <si>
    <t>Aquestive Therapeutics</t>
  </si>
  <si>
    <t>NCT06439056</t>
  </si>
  <si>
    <t>Phase 1 Study Assessing the Pharmacokinetics of NEX-22A in Subjects With T2D</t>
  </si>
  <si>
    <t>NCT06207877</t>
  </si>
  <si>
    <t>A Research Study to Look at How CagriSema Influences Food Intake, Appetite and Emptying of the Stomach in People With Excess Body Weight</t>
  </si>
  <si>
    <t>NCT06536101</t>
  </si>
  <si>
    <t>The Purpose of the Study is to Evaluate the Safety, Tolerability and Pharmacokinetics of Single-ascending and Multiple-ascending Doses of GIM-407</t>
  </si>
  <si>
    <t>NCT06380153</t>
  </si>
  <si>
    <t>To Evaluate the Pharmacokinetics of Hemay005 Tablets in Patients With Renal Impairment</t>
  </si>
  <si>
    <t>NCT06247345</t>
  </si>
  <si>
    <t>A Phase Ia/Ib, First-in-human (FIH) Study for Safety, Tolerability, Pharmacokinetics (PK), and Clinical Activity Evaluation of ADEL-Y01</t>
  </si>
  <si>
    <t>Alzheimer's Disease Expert Lab (ADEL), Inc.</t>
  </si>
  <si>
    <t>NCT06463665</t>
  </si>
  <si>
    <t>Efficacy &amp; Safety of Olvimulogene Nanivacirepvec &amp; Platinum-doublet + Physician's Choice of Immune Checkpoint Inhibitor Compared to Docetaxel in NSCL Cancer</t>
  </si>
  <si>
    <t>NCT06725992</t>
  </si>
  <si>
    <t>Study to Evaluate Pharmacokinetic and Pharmacodynamic Drug Interactions and Safety of IY-NS250 and IY-NT-SR</t>
  </si>
  <si>
    <t>NCT06682611</t>
  </si>
  <si>
    <t>Safety and Efficacy of SYHA1813 Single Agent or in Combination With Different Regimens in Unresectable Locally Advanced or Metastatic Solid Tumors.</t>
  </si>
  <si>
    <t>NCT06226571</t>
  </si>
  <si>
    <t>A Study of SNDX-5613 in Combination With Intensive Chemotherapy in Participants With Acute Myeloid Leukemias</t>
  </si>
  <si>
    <t>NCT06785012</t>
  </si>
  <si>
    <t>A Study to Explore the Efficacy of JNJ-89495120 in the Treatment of Major Depressive Disorder</t>
  </si>
  <si>
    <t>NCT06581575</t>
  </si>
  <si>
    <t>A Phase 2 Study to Evaluate JCXH-105, an srRNA-based Herpes Zoster Vaccine</t>
  </si>
  <si>
    <t>NCT06223256</t>
  </si>
  <si>
    <t>A Study of NBL-028 in Patients With Advanced Solid Tumors</t>
  </si>
  <si>
    <t>NCT06580301</t>
  </si>
  <si>
    <t>Study of YK012 in B-cell Acute Lymphoblastic Leukemia</t>
  </si>
  <si>
    <t>NCT06597656</t>
  </si>
  <si>
    <t>A Gene Transfer Therapy to Evaluate the Safety and Efficacy of Delandistrogene Moxeparvovec (SRP-9001) Following Therapeutic Plasma Exchange (Plasmapheresis) in Participants With Duchenne Muscular Dystrophy (DMD) and Pre-existing Antibodies to AAVrh74</t>
  </si>
  <si>
    <t>NCT06680531</t>
  </si>
  <si>
    <t>A Clinical Study to Evaluate the Drug Interaction Between YZJ-1139 Tablets and Escitalopram Oxalate Tablets</t>
  </si>
  <si>
    <t>NCT06344936</t>
  </si>
  <si>
    <t>Drug-drug Interaction Study of HRS-1780 Tablets in Healthy Subjects</t>
  </si>
  <si>
    <t>NCT06403501</t>
  </si>
  <si>
    <t>Efficacy and Safety of Clascoterone Cream 1% in Facial Acne Vulgaris</t>
  </si>
  <si>
    <t>Zhejiang Sunshine Mandi Pharmaceutical Co.,Ltd.</t>
  </si>
  <si>
    <t>NCT06768671</t>
  </si>
  <si>
    <t>An Open-label, Single-arm Study to Evaluate Pharmacokinetics and Safety of Subcutaneous Sonelokimab in Adolescents With Moderate to Severe Hidradenitis Suppurativa (VELA-TEEN)</t>
  </si>
  <si>
    <t>NCT06167707</t>
  </si>
  <si>
    <t>Pharmacokinetics and Pharmacodynamics of Subcutaneous vs Intravenous Furosemide in Healthy Volunteers</t>
  </si>
  <si>
    <t>NCT06699212</t>
  </si>
  <si>
    <t>A Study of ASP-1929 Photoimmunotherapy in Combination With Pembrolizumab in First-line Treatment of Locoregional Recurrent Squamous Cell Carcinoma of the Head and Neck With No Distant Metastases</t>
  </si>
  <si>
    <t>NCT06558071</t>
  </si>
  <si>
    <t>Supplementation of Galatonol 300 mg / Striatin 30 mg in Postpartum Lactating Mothers</t>
  </si>
  <si>
    <t>NCT06555744</t>
  </si>
  <si>
    <t>A Study of ZW191 in Participants With Solid Tumors</t>
  </si>
  <si>
    <t>Zymeworks BC Inc.</t>
  </si>
  <si>
    <t>NCT06270316</t>
  </si>
  <si>
    <t>Safety, PK/PD, and Exploratory Efficacy Study of AMT-191 in Classic Fabry Disease</t>
  </si>
  <si>
    <t>NCT06643884</t>
  </si>
  <si>
    <t>Suprachoroidal Administration in Subjects With Metastases to the Choroid</t>
  </si>
  <si>
    <t>NCT06305247</t>
  </si>
  <si>
    <t>A Study to Assess IPN01194 When Administered Alone in Adults With Advanced Solid Tumours</t>
  </si>
  <si>
    <t>NCT06511791</t>
  </si>
  <si>
    <t>An Exploratory Study to Investigate the Effect of FE 999302 When Given Together With Follitropin Delta at Different Time Intervals During Controlled Ovarian Stimulation.</t>
  </si>
  <si>
    <t>NCT06544655</t>
  </si>
  <si>
    <t>A Study of BMS-986484 Alone and Combination Therapy in Participants With Advanced Solid Tumors</t>
  </si>
  <si>
    <t>NCT06490484</t>
  </si>
  <si>
    <t>Efficacy and Safety of HSK16149 Capsule in Chinese Patients With Diabetic Peripheral Neuropathic Pain Who Had an Inadequate Response to Pregabalin</t>
  </si>
  <si>
    <t>NCT07492355</t>
  </si>
  <si>
    <t>TP-3654 Food Effect Study</t>
  </si>
  <si>
    <t>NCT06099184</t>
  </si>
  <si>
    <t>Study of EYP-1901 in Patients With Diabetic Macular Edema (DME)</t>
  </si>
  <si>
    <t>NCT06530849</t>
  </si>
  <si>
    <t>A Study of GC012F Injection in Subjects With Refractory Systemic Lupus Erythematosus</t>
  </si>
  <si>
    <t>NCT06438978</t>
  </si>
  <si>
    <t>Tuberculosis Vaccine in Healthy Indian Adults</t>
  </si>
  <si>
    <t>NCT06469385</t>
  </si>
  <si>
    <t>Topical ENS-002 for Atopic Dermatitis in Adults</t>
  </si>
  <si>
    <t>Concerto Biosciences</t>
  </si>
  <si>
    <t>NCT06366243</t>
  </si>
  <si>
    <t>A Trial to Evaluate the Effect of Esomeprazole on the Pharmacokinetics of Emraclidine in Healthy Adult Participants</t>
  </si>
  <si>
    <t>NCT06674915</t>
  </si>
  <si>
    <t>Investigation of Pharmacokinetics,Safety,and Pharmacodynamics of HRS-5965 in Subjects With Hepatic Impairment</t>
  </si>
  <si>
    <t>NCT06453668</t>
  </si>
  <si>
    <t>A Study of TCD601 (Siplizumab) in Newly Diagnosed Adult Amyotrophic Lateral Sclerosis (ALS) Patients</t>
  </si>
  <si>
    <t>NCT06568614</t>
  </si>
  <si>
    <t>An Investigational Study of BG-89894 Tablets in Participants With Advanced Solid Tumors</t>
  </si>
  <si>
    <t>NCT06105632</t>
  </si>
  <si>
    <t>A Study to Learn About the Study Medicine Called PF-07220060 in Combination With Fulvestrant in People With HR-positive, HER2-negative Advanced or Metastatic Breast Cancer Who Progressed After a Prior Line of Treatment</t>
  </si>
  <si>
    <t>NCT06331715</t>
  </si>
  <si>
    <t>Bioequivalence Study of Palbociclib 125 mg Capsules of Iclos vs. Ibrance (Palbociclib) Capsules 125 mg</t>
  </si>
  <si>
    <t>NCT06819215</t>
  </si>
  <si>
    <t>Phase I/II Clinical Study to Evaluate VB15010 Tablets in Patients With Advanced Solid Tumors</t>
  </si>
  <si>
    <t>NCT07123376</t>
  </si>
  <si>
    <t>Pharmacokinetics, Pharmacodynamics Profile and Tolerance of HRS-9231 in Healthy Subjects</t>
  </si>
  <si>
    <t>Shanghai Shengdi Pharmaceutical Co., Ltd</t>
  </si>
  <si>
    <t>NCT06691906</t>
  </si>
  <si>
    <t>A Clinical Study of Enlicitide Decanoate (MK-0616) in Healthy Adult Participants (MK-0616-025)</t>
  </si>
  <si>
    <t>NCT06694948</t>
  </si>
  <si>
    <t>A Study to Evaluate the Relative Bioavailability of Two Different Pimicotinib Capsules in Healthy Subjects</t>
  </si>
  <si>
    <t>NCT06272487</t>
  </si>
  <si>
    <t>Zilebesiran as Add-on Therapy in Patients With High Cardiovascular Risk and Hypertension Not Adequately Controlled by Standard of Care Antihypertensive Medications (KARDIA-3)</t>
  </si>
  <si>
    <t>NCT06762743</t>
  </si>
  <si>
    <t>Bioequivalence Study of Two Brivaracetam Oral Solutions in Healthy Adults Under Fasting and High-Fat Meal Conditions</t>
  </si>
  <si>
    <t>NCT06592625</t>
  </si>
  <si>
    <t>Neoadjuvant SHR-A1811 Plus Adebrelimab in HR Negative/Low &amp; HER2 Low Breast Cancer Patients</t>
  </si>
  <si>
    <t>NCT06577376</t>
  </si>
  <si>
    <t>A PhaseⅠ/Ⅱ Study of Simmitinib or Irinotecan Liposomes Combined With DP303c in Gastric Adenocarcinoma or Gastroesophageal Junction Adenocarcinoma</t>
  </si>
  <si>
    <t>NCT06662773</t>
  </si>
  <si>
    <t>Drug-Drug Interaction (DDI) Study for TQB3616</t>
  </si>
  <si>
    <t>NCT06125951</t>
  </si>
  <si>
    <t>Effect of 10 mg Xanamem on Dementia Due to Alzheimer's Disease</t>
  </si>
  <si>
    <t>NCT06619951</t>
  </si>
  <si>
    <t>A Clinical Trial to Evaluate the Effects of Itraconazole or Rifampicin on the Pharmacokinetics of VC004 Capsules in Healthy Adult Subjects</t>
  </si>
  <si>
    <t>NCT06545162</t>
  </si>
  <si>
    <t>Safety, Tolerability, and Pharmacokinetics of a Single or Multiple Ascending Doses of CPX101</t>
  </si>
  <si>
    <t>Guangzhou Chia Tai Innovative Pharmaceutical Co., Ltd.</t>
  </si>
  <si>
    <t>NCT07054970</t>
  </si>
  <si>
    <t>To Compare the Pharmacokinetics, Safety and Immunogenicity of CT-P55 and Cosentyx in Healthy Subjects</t>
  </si>
  <si>
    <t>NCT05743270</t>
  </si>
  <si>
    <t>Study of RP3 in Combination With Nivolumab and Other Therapy in Patients With Locoregionally Advanced or Recurrent SCCHN</t>
  </si>
  <si>
    <t>NCT07378579</t>
  </si>
  <si>
    <t>An Investigational Study to Evaluate the Cardiac Safety Assessment (TQTc Study) of ESK-001</t>
  </si>
  <si>
    <t>NCT06520202</t>
  </si>
  <si>
    <t>RHPRG4 FOR THE TREATMENT OF SJÖGREN'S RELATED DRY EYE DISEASE</t>
  </si>
  <si>
    <t>Lubris Bio Pty Ltd</t>
  </si>
  <si>
    <t>NCT06415903</t>
  </si>
  <si>
    <t>A Clinical Trial of TQB3117 Tablets in Patients With Advanced Malignant Cancer</t>
  </si>
  <si>
    <t>NCT06383702</t>
  </si>
  <si>
    <t>A Study to Evaluate Pregabalin in Painful Diabetic Peripheral Neuropathy</t>
  </si>
  <si>
    <t>NCT06618651</t>
  </si>
  <si>
    <t>A Study of SHR-3821 Injection in Subjects With Advanced Solid Tumors</t>
  </si>
  <si>
    <t>NCT06221241</t>
  </si>
  <si>
    <t>Evaluate the Efficacy and Safety of JMKX000623 in Participants With Diabetic Peripheral Neuropathic Pain</t>
  </si>
  <si>
    <t>NCT06111638</t>
  </si>
  <si>
    <t>Evaluation of the Safety and Efficacy of Hemophilia A Gene Therapy Drugs</t>
  </si>
  <si>
    <t>NCT04974138</t>
  </si>
  <si>
    <t>China Stroke Primary Prevention Trial 2 for Participants With H-type Hypertension and MTHFR 677 CC/CT Genotype (CSPPT2-CC/CT)</t>
  </si>
  <si>
    <t>Shenzhen Ausa Pharmed Co.,Ltd</t>
  </si>
  <si>
    <t>NCT06295731</t>
  </si>
  <si>
    <t>INBRX-106 in Combination With Pembrolizumab in First-line PD-L1 CPS≥20 HNSCC</t>
  </si>
  <si>
    <t>NCT06575595</t>
  </si>
  <si>
    <t>Pharmacokinetic (PK) Characterization of Subcutaneous Tulisokibart (MK-7240-010)</t>
  </si>
  <si>
    <t>NCT06294912</t>
  </si>
  <si>
    <t>A Study to Evaluate Antimalarial Activity and Safety of MK-7602 in Healthy Adults (MK-7602-003)</t>
  </si>
  <si>
    <t>NCT06194656</t>
  </si>
  <si>
    <t>Clinical Trial of SIBP-03 in Patients With Head and Neck Squamous Cell Carcinoma</t>
  </si>
  <si>
    <t>NCT06643156</t>
  </si>
  <si>
    <t>Study to Assess the Tolerability, Safety and Efficacy of GP681 Powder for Oral Suspension</t>
  </si>
  <si>
    <t>NCT06762457</t>
  </si>
  <si>
    <t>A First-in-Human Single and Multiple Ascending Dose Study of MT-501</t>
  </si>
  <si>
    <t>Mirador Therapeutics, Inc.</t>
  </si>
  <si>
    <t>NCT06718101</t>
  </si>
  <si>
    <t>A Study to Evaluate the Effectiveness and Safety of Treatments, Either Alone or in Combination, for the Treatment of Moderate to Severe Atopic Dermatitis</t>
  </si>
  <si>
    <t>NCT06577766</t>
  </si>
  <si>
    <t>A Research Study on How NNC0638-0355, a New Medicine, Works in People Living With Overweight or Obesity</t>
  </si>
  <si>
    <t>NCT05527301</t>
  </si>
  <si>
    <t>HEM1036 Phase 2 Study in Low Anterior Resection Syndrome</t>
  </si>
  <si>
    <t>HEM Pharma Inc.</t>
  </si>
  <si>
    <t>NCT06482112</t>
  </si>
  <si>
    <t>Alternate Dosing Study of MK-6024 in Adults With Metabolic Dysfunction-Associated Steatotic Liver Disease (MASLD) (MK-6024-016)</t>
  </si>
  <si>
    <t>NCT06672237</t>
  </si>
  <si>
    <t>A Phase 3 Study of NTLA-2001 in ATTRv-PN</t>
  </si>
  <si>
    <t>NCT06477237</t>
  </si>
  <si>
    <t>Study of Efficacy and Safety of HB0017 in Patients With Moderate to Severe Plaque Psoriasis</t>
  </si>
  <si>
    <t>NCT06648031</t>
  </si>
  <si>
    <t>Comparison of the Safety, Efficacy and Pharmacokinetics of DehydraTECH -CBD and DehydraTECH-GLP1 Agonists Alone or in Combination, in Overweight or Obese, Pre- and Type 2 Diabetic Participants</t>
  </si>
  <si>
    <t>Lexaria Bioscience Corp.</t>
  </si>
  <si>
    <t>NCT06344975</t>
  </si>
  <si>
    <t>A Study to Describe the Safety and Immunogenicity of a Respiratory Syncytial Virus Vaccine STR-V003 in Healthy Adults</t>
  </si>
  <si>
    <t>Starna Therapeutics</t>
  </si>
  <si>
    <t>NCT06254612</t>
  </si>
  <si>
    <t>A Study of the Efficacy and Safety of SP-624 in the Treatment of Adults With Major Depressive Disorder</t>
  </si>
  <si>
    <t>NCT06055439</t>
  </si>
  <si>
    <t>A Phase 1/2 Study to Evaluate CHM-2101, an Autologous Cadherin 17 Chimeric Antigen Receptor (CAR) T Cell Therapy</t>
  </si>
  <si>
    <t>NCT06549465</t>
  </si>
  <si>
    <t>Study Evaluating Dosimetry, Randomized Dose Optimization, Dose Escalation and Efficacy of Ac-225 Rosopatamab Tetraxetan in Participants With PSMA PET-Positive Castration-Resistant Prostate Cancer (CRPC)</t>
  </si>
  <si>
    <t>Convergent Therapeutics</t>
  </si>
  <si>
    <t>NCT06238622</t>
  </si>
  <si>
    <t>A Follow-up Study to Test Long-term Treatment With Nerandomilast in People With Pulmonary Fibrosis Who Took Part in a Previous Study With Nerandomilast</t>
  </si>
  <si>
    <t>NCT06888960</t>
  </si>
  <si>
    <t>Safety Study of CC312 in Autoimmune Disease Patients</t>
  </si>
  <si>
    <t>NCT06384820</t>
  </si>
  <si>
    <t>Study of Cemiplimab Alone or in Combination With Fianlimab and/or Other Experimental Agents in Adult Participants With Peri-operative Stage III/IV Cutaneous Squamous Cell Carcinoma (CSCC)</t>
  </si>
  <si>
    <t>NCT06325566</t>
  </si>
  <si>
    <t>Efficacy and Safety of Rexlemestrocel-L Combined With HA* in Participants With Moderate to Severe Chronic Low Back Pain</t>
  </si>
  <si>
    <t>Mesoblast, Ltd.</t>
  </si>
  <si>
    <t>NCT06831812</t>
  </si>
  <si>
    <t>Phase I Clinical Study of AV-1959R: Abeta-targeting Anti-Alzheimer's Vaccine</t>
  </si>
  <si>
    <t>Nuravax, Inc.</t>
  </si>
  <si>
    <t>NCT06637527</t>
  </si>
  <si>
    <t>The Study Assessing the Safety and Efficacy of OK-101 Treatment in Subjects With Neuropathic Corneal Pain</t>
  </si>
  <si>
    <t>NCT05854641</t>
  </si>
  <si>
    <t>Efficacy and Safety of Stempeucel® in Patients With Critical Limb Ischemia (CLI) Due to Peripheral Arterial Disease</t>
  </si>
  <si>
    <t>Cell Biopeutics Resources Sdn Bhd</t>
  </si>
  <si>
    <t>NCT06388941</t>
  </si>
  <si>
    <t>Iptacopan in Patients With ANCA Associated Vasculitis</t>
  </si>
  <si>
    <t>NCT06256588</t>
  </si>
  <si>
    <t>A Study of Dostarlimab vs Placebo After Chemoradiation in Adult Participants With Locally Advanced Unresected Head and Neck Squamous Cell Carcinoma</t>
  </si>
  <si>
    <t>NCT06927466</t>
  </si>
  <si>
    <t>A Clinical Study to Evaluate the Safety, Tolerability, and Preliminary Efficacy of B019 Injection in Subjects With Relapsed or Refractory B-cell Acute Lymphoblastic Leukemia.</t>
  </si>
  <si>
    <t>Shanghai Pharmaceutical Group Biological Therapy Technology Co., Ltd.</t>
  </si>
  <si>
    <t>NCT06220123</t>
  </si>
  <si>
    <t>A Study to Evaluate the Efficacy and Safety of SHR-2004 Injection in Preventing Postoperative Venous Thromboembolism in Patients Undergoing Ovarian Cancer Surgery</t>
  </si>
  <si>
    <t>NCT06600282</t>
  </si>
  <si>
    <t>Bioequivalence of Two Formulations of Parecoxib in Healthy Volunteers Under Fasting Conditions</t>
  </si>
  <si>
    <t>NCT05996003</t>
  </si>
  <si>
    <t>NS-089/NCNP-02-201 in Boys With Duchenne Muscular Dystrophy (DMD)</t>
  </si>
  <si>
    <t>NCT06454188</t>
  </si>
  <si>
    <t>A Study to Evaluate the Impact of Upadacitinib on Spondyloarthritis Outcomes in Patients With Active Psoriatic Arthritis</t>
  </si>
  <si>
    <t>CARE ARTHRITIS LTD.</t>
  </si>
  <si>
    <t>NCT06285227</t>
  </si>
  <si>
    <t>Study of CM313 in Healthy Subjects</t>
  </si>
  <si>
    <t>NCT06222294</t>
  </si>
  <si>
    <t>NCT07180420</t>
  </si>
  <si>
    <t>Proof of Concept (PoC) Evaluation of Naloxone Unique Intramuscular (IM) Injection</t>
  </si>
  <si>
    <t>STAT Therapeutics Inc</t>
  </si>
  <si>
    <t>NCT06533059</t>
  </si>
  <si>
    <t>A Study to Learn About Study Medicine ALTA2618 in Adults With AKT1 E17K-Mutant Solid Tumors</t>
  </si>
  <si>
    <t>Alterome Therapeutics, Inc.</t>
  </si>
  <si>
    <t>NCT06549959</t>
  </si>
  <si>
    <t>A Single Dose Study to Investigate the Pharmacokinetics (PK) of Telitacicept Pre-filled Injection and Freeze-dried Powder Injection in Chinese Healthy Subjects</t>
  </si>
  <si>
    <t>NCT06946160</t>
  </si>
  <si>
    <t>A Non-inferiority Clinical Trial to Compare Efficacy and Safety of Abobotulinumtoxin A (Espad Pharmed) Versus AbobotulinumtoxinA (Dysport®, Ipsen Co.) for Correction of Moderate to Severe Glabellar Lines</t>
  </si>
  <si>
    <t>Espad Pharmed</t>
  </si>
  <si>
    <t>NCT06608459</t>
  </si>
  <si>
    <t>PEX010-Assisted Therapy for Opioid Use Disorder (OUD): a Feasibility Study</t>
  </si>
  <si>
    <t>Filament Health Corp.</t>
  </si>
  <si>
    <t>NCT06305559</t>
  </si>
  <si>
    <t>A CCTA Imaging Trial to Evaluate the Effect of Obicetrapib/Ezetimibe on Coronary Plaque</t>
  </si>
  <si>
    <t>NCT06729073</t>
  </si>
  <si>
    <t>Comparison of Diclofenac Systemic Exposure From Two Different Products (AMZ001 and Diclofenac Diethylammonium 1.16% Gel) in Healthy Participants After Repeated Topical Administrations for 7 Days.</t>
  </si>
  <si>
    <t>NCT06295796</t>
  </si>
  <si>
    <t>A Study of MK-8527 in Participants With Moderate and Severe Renal Impairment (MK-8527-008)</t>
  </si>
  <si>
    <t>NCT06636682</t>
  </si>
  <si>
    <t>FK-PC101 as Adjuvant Therapy for Men With High-Risk Prostate Cancer</t>
  </si>
  <si>
    <t>Cellvax Therapeutics Inc</t>
  </si>
  <si>
    <t>NCT06939296</t>
  </si>
  <si>
    <t>A Research Study of VCT220 in Adult Chinese Participants With Obesity</t>
  </si>
  <si>
    <t>NCT06727396</t>
  </si>
  <si>
    <t>A Study to Investigate the Safety, Tolerability, PK, and PD of CKD-508 in Healthy Participants</t>
  </si>
  <si>
    <t>NCT06157242</t>
  </si>
  <si>
    <t>PK &amp; Safety Study of Xeruborbactam Oral Prodrug Combined With Ceftibuten in Participants With Renal Impairment</t>
  </si>
  <si>
    <t>NCT06221969</t>
  </si>
  <si>
    <t>A Research Study to See How Much CagriSema Lowers Blood Sugar and Body Weight Compared to Tirzepatide in People With Type 2 Diabetes Treated With Metformin With or Without an SGLT2 Inhibitor</t>
  </si>
  <si>
    <t>NCT06492005</t>
  </si>
  <si>
    <t>A Clinical Study of 9MW2821 (and PD-1 Inhibitor) in Locally Advanced or Metastatic Triple-Negative Breast Cancer</t>
  </si>
  <si>
    <t>NCT06215586</t>
  </si>
  <si>
    <t>Safety &amp; Effectiveness of Tovinontrine in Chronic Heart Failure With Preserved Ejection Fraction (Cycle-2-PEF)</t>
  </si>
  <si>
    <t>NCT06240741</t>
  </si>
  <si>
    <t>A Prospective, Open-label Study of [68Ga]Ga-DOTA-TATE in Patients With Neuroendocrine Neoplasms (NENs) and Healthy Volunteers in Japan</t>
  </si>
  <si>
    <t>NCT06700096</t>
  </si>
  <si>
    <t>An Open-Label, Comparative Study of the Efficacy, Safety and Pharmacodynamics of Single Dose of ANB-002 in Patients With Hemophilia B</t>
  </si>
  <si>
    <t>NCT06515470</t>
  </si>
  <si>
    <t>Safety, Tolerability, Pharmacokinetics, and Preliminary Efficacy of BTX-9341 in Advanced and/or Metastatic Breast Cancer</t>
  </si>
  <si>
    <t>NCT06599684</t>
  </si>
  <si>
    <t>Study of INV-102 Ophthalmic Solution in Adults With Diabetic Macular Edema Associated With Non-proliferative Diabetic Retinopathy</t>
  </si>
  <si>
    <t>NCT06309485</t>
  </si>
  <si>
    <t>Phase 2 Study of WGI-0301 for Advanced HCC</t>
  </si>
  <si>
    <t>NCT06670352</t>
  </si>
  <si>
    <t>Phase II Study of Efficacy and Safety of HSK39297 Tablet in Treatment of Patients With Primary IgAN</t>
  </si>
  <si>
    <t>NCT06372652</t>
  </si>
  <si>
    <t>A Phase 1 Study of TE-8214 Solution in Healthy Volunteers</t>
  </si>
  <si>
    <t>Immunwork, Inc.</t>
  </si>
  <si>
    <t>NCT06282458</t>
  </si>
  <si>
    <t>Dose-Finding Study Evaluating Effect on Body Composition of Enobosarm in Patients Taking a GLP-1 for Chronic Weight Mgmt</t>
  </si>
  <si>
    <t>NCT06465485</t>
  </si>
  <si>
    <t>STEP: Phase IIIb Study of Benralizumab to Step-down Maintenance Therapy in Patients With Severe Eosinophilic Asthma</t>
  </si>
  <si>
    <t>NCT06724614</t>
  </si>
  <si>
    <t>Efficacy and Safety of VDPHL01 in Males With AGA</t>
  </si>
  <si>
    <t>NCT06150716</t>
  </si>
  <si>
    <t>Orbit Study: A Study to Evaluate the Safety, Pharmacokinetics, and Pharmacodynamics of Intrathecally Administered ION356 in Participants With Pelizaeus Merzbacher Disease (PMD)</t>
  </si>
  <si>
    <t>NCT06324357</t>
  </si>
  <si>
    <t>Beamion BCGC-1: A Study to Find a Suitable Dose of Zongertinib Used Alone and in Combination With Other Treatments to Test Whether it Helps People With Different Types of HER2+ Cancer That Has Spread</t>
  </si>
  <si>
    <t>NCT06204237</t>
  </si>
  <si>
    <t>Safety, Tolerability, and Biodistribution of [89Zr]Zr-DFO-APAC in Subjects With PAOD/CLI and Healthy Volunteers (Acronyms: 89Zr = Zirconium-89, DFO = Desferrioxamine, APAC = AntiPlatelet AntiCoagulant, PET/CT = Positron Emission Tomography/Computed Tomography)</t>
  </si>
  <si>
    <t>Aplagon Oy</t>
  </si>
  <si>
    <t>NCT07442877</t>
  </si>
  <si>
    <t>A Phase 2 Clinical Trial Evaluating the Efficacy and Safety of HSK21542 in Patients for Postoperative Pain Treatment in Orthopedic Surgery</t>
  </si>
  <si>
    <t>NCT06704581</t>
  </si>
  <si>
    <t>A Study of BGM0504 Injection in Participants with Obesity or Overweight</t>
  </si>
  <si>
    <t>BrightGene New Bio-Medical Technology(Wuxi) Co.Ltd.</t>
  </si>
  <si>
    <t>NCT06647628</t>
  </si>
  <si>
    <t>A Clinical Study of MK-1708 in Healthy Elderly Participants (MK-1708-005)</t>
  </si>
  <si>
    <t>NCT06711900</t>
  </si>
  <si>
    <t>A Study of SKB264 in Combination With Pembrolizumab Versus Chemotherapy in Combination With Pembrolizumab as First-Line Treatment for PD-L1 Negative Patients With Locally Advanced or Metastatic Non-Squamous Non-Small Cell Lung Cancer</t>
  </si>
  <si>
    <t>NCT06951945</t>
  </si>
  <si>
    <t>Multiple Dose Study to Investigate the Safety, Tolerability, Pharmacokinetics, and Efficacy of THDBH120 in Chinese Patients With Obesity</t>
  </si>
  <si>
    <t>NCT06726564</t>
  </si>
  <si>
    <t>A Study of MT027 in Patients with Pleural Malignant Tumors</t>
  </si>
  <si>
    <t>Suzhou Maximum Bio-tech Co., Ltd.</t>
  </si>
  <si>
    <t>NCT06545500</t>
  </si>
  <si>
    <t>A Phase IIb Study of Glycopyrrolate Inhalation Solution Over 1 Week in Subjects With COPD</t>
  </si>
  <si>
    <t>NCT06155500</t>
  </si>
  <si>
    <t>Long-term Follow-up (LTFU) of Patients Treated With Genome-edited Autologous Hematopoietic Stem and Progenitor Cells (HSPC)</t>
  </si>
  <si>
    <t>NCT06550830</t>
  </si>
  <si>
    <t>Clinical Trial of PCV24 in Children Aged 2-17 Years</t>
  </si>
  <si>
    <t>NCT06619665</t>
  </si>
  <si>
    <t>A Study of MK-6552 in Sleep Deprived Healthy Participants (MK-6552-003)</t>
  </si>
  <si>
    <t>NCT06568692</t>
  </si>
  <si>
    <t>A Phase 2 Study of PCS6422 With Capecitabine in Patients With Advanced or Metastatic Breast Cancer</t>
  </si>
  <si>
    <t>NCT06548607</t>
  </si>
  <si>
    <t>Clinical Study on Targeted CD19 or CD19-BCMA CAR-T Therapy for Autoimmune Diseases</t>
  </si>
  <si>
    <t>NCT06478719</t>
  </si>
  <si>
    <t>To Evaluate Safety and Efficacy of FB-1603 in Hepatocellular Carcinoma Patient Receiving Transarterial Chemoembolization</t>
  </si>
  <si>
    <t>Febico Biomedical Corp.</t>
  </si>
  <si>
    <t>NCT07122414</t>
  </si>
  <si>
    <t>A Study of Intravesical FL115 Alone or in Combination With BCG in Non-Muscle Invasive Bladder Cancer</t>
  </si>
  <si>
    <t>NCT06379893</t>
  </si>
  <si>
    <t>A Real-World Evidence Study to Evaluate the Effects of Voltaren Use on Mobility and Quality of Life in Participants With Knee Osteoarthritis Pain</t>
  </si>
  <si>
    <t>NCT06741228</t>
  </si>
  <si>
    <t>A Phase 3 Trial of DT120 for Generalized Anxiety Disorder (Voyage)</t>
  </si>
  <si>
    <t>NCT06328764</t>
  </si>
  <si>
    <t>CS-101 in Patients With β-thalassemia</t>
  </si>
  <si>
    <t>NCT06933914</t>
  </si>
  <si>
    <t>Long-term Safety and Tolerability of MY008211A Tablets in Patients With Paroxysmal Nocturnal Hemoglobinuria</t>
  </si>
  <si>
    <t>NCT06474650</t>
  </si>
  <si>
    <t>Effect of Food on the Pharmacokinetics of LPM3770164 Sustained-release Tablets</t>
  </si>
  <si>
    <t>NCT06360640</t>
  </si>
  <si>
    <t>A First-in-human Trial to Evaluate Safety, Tolerability, and Pharmacokinetics of APC148 in Healthy Adults</t>
  </si>
  <si>
    <t>AdjuTec Pharma AS</t>
  </si>
  <si>
    <t>NCT06267274</t>
  </si>
  <si>
    <t>A Randomized, Double-blind, Parallel-group, Two-arm, Multiple Dose, Multicenter, Bioequivalence Study With Clinical Endpoint in the Treatment of Subjects With Chronic Open-angle Glaucoma or Ocular Hypertension in Both Eyes</t>
  </si>
  <si>
    <t>NCT07235020</t>
  </si>
  <si>
    <t>Platform Study to Evaluate the Efficacy and Safety of Anti-malarial Agents in Participants With Uncomplicated Plasmodium Falciparum Malaria</t>
  </si>
  <si>
    <t>NCT06534320</t>
  </si>
  <si>
    <t>Safety, Tolerability and Pharmacokinetic Characteristics Evaluation of DA-302168S Tablets</t>
  </si>
  <si>
    <t>Chendu DIAO Pharmaceutical Group CO., LTD.</t>
  </si>
  <si>
    <t>NCT06100276</t>
  </si>
  <si>
    <t>Safety, Tolerability, and Exploratory Efficacy Study of Intrathecally Administered Gene Therapy AMT-162 in Adult Participants With SOD1 Amyotrophic Lateral Sclerosis (SOD1-ALS)</t>
  </si>
  <si>
    <t>NCT06422689</t>
  </si>
  <si>
    <t>Combination Short-Acting BroNchodilator and Inhaled Corticosteroid Rescue Therapy on Health Outcomes in Routine Care</t>
  </si>
  <si>
    <t>NCT06655597</t>
  </si>
  <si>
    <t>Efficacy of a Dietary Supplement Powder Formula (Daily Ultimate Essentials) in an Adult Population.</t>
  </si>
  <si>
    <t>Prenetics Global</t>
  </si>
  <si>
    <t>NCT06690359</t>
  </si>
  <si>
    <t>IM19 CAR-T Cell Therapy for IgA Nephropathy Patients and Membranous Nephropathy Patients</t>
  </si>
  <si>
    <t>NCT06328725</t>
  </si>
  <si>
    <t>Evaluate the Efficacy and Safety of EN001 in Patients With Duchenne Muscular Dystrophy</t>
  </si>
  <si>
    <t>NCT06212999</t>
  </si>
  <si>
    <t>A Study to Evaluate the Long-Term Safety and Efficacy of Povorcitinib in Participants With Moderate to Severe Hidradenitis Suppurativa</t>
  </si>
  <si>
    <t>NCT06200207</t>
  </si>
  <si>
    <t>A Research Study Looking Into How Ziltivekimab Works Compared to Placebo in Participants With Heart Failure and Inflammation</t>
  </si>
  <si>
    <t>NCT06215144</t>
  </si>
  <si>
    <t>Study to Evaluate NRCT-101SR in Pediatric Subjects With ADHD</t>
  </si>
  <si>
    <t>NCT06255834</t>
  </si>
  <si>
    <t>Phase 1 Study for IPG11406 in Health Volunteer</t>
  </si>
  <si>
    <t>NCT06045793</t>
  </si>
  <si>
    <t>Comparing Efficacy &amp; Safety Of TNX-1300 To Placebo With UC For Treatment Of Acute Cocaine Intoxication In ED Subjects (CATALYST)</t>
  </si>
  <si>
    <t>NCT06528457</t>
  </si>
  <si>
    <t>Study to Examine the Effects of Oral Fenretinide</t>
  </si>
  <si>
    <t>NCT06370728</t>
  </si>
  <si>
    <t>A Drug-Drug Interaction (DDI) Study of Orforglipron With Carbamazepine in Healthy Participants</t>
  </si>
  <si>
    <t>NCT05948566</t>
  </si>
  <si>
    <t>Strategy for Improving Stroke Treatment Response</t>
  </si>
  <si>
    <t>NCT06391775</t>
  </si>
  <si>
    <t>Trial to Assess the Safety and Preliminary Efficacy of GEN1055 on Malignant Solid Tumors as Monotherapy and as Combination Therapy</t>
  </si>
  <si>
    <t>NCT06549530</t>
  </si>
  <si>
    <t>Open-label, Multicenter Immunogenicity and Safety Study of MVA-BN Vaccine in Children From 2 Years to Less Than 12 Years of Age Compared to Adults for the Prevention of Smallpox, Mpox, and Related Orthopoxvirus Infections</t>
  </si>
  <si>
    <t>NCT06467344</t>
  </si>
  <si>
    <t>Study to Evaluate ACDN-01 in ABCA4-related Stargardt Retinopathy (STELLAR)</t>
  </si>
  <si>
    <t>Ascidian Therapeutics, Inc</t>
  </si>
  <si>
    <t>NCT06271265</t>
  </si>
  <si>
    <t>Study to Evaluate the Pharmacokinetics and Safety of EXPAREL for Postoperative Analgesia in Subjects Undergoing Cardiac Surgery</t>
  </si>
  <si>
    <t>NCT06258265</t>
  </si>
  <si>
    <t>A Study of TAK-279 in Healthy Adults on the Effect on ECG Measurements</t>
  </si>
  <si>
    <t>NCT06846567</t>
  </si>
  <si>
    <t>Phase I Study of BM2216 ER vs. Melogabalin Besilate: Safety, PK, and Food Effect in Healthy Adults</t>
  </si>
  <si>
    <t>Zhejiang Anglikang Pharmaceutical Co., Ltd.</t>
  </si>
  <si>
    <t>NCT06553456</t>
  </si>
  <si>
    <t>Phase II/III Clinical Trial of Recombinant Human Serum Albumin in Cirrhotic Patients With Ascites</t>
  </si>
  <si>
    <t>NCT05840822</t>
  </si>
  <si>
    <t>Evaluating Efficacy and Safety of CBD TPM Capsules for Use in Insomnia</t>
  </si>
  <si>
    <t>Avecho Biotechnology</t>
  </si>
  <si>
    <t>NCT06826872</t>
  </si>
  <si>
    <t>Efficacy and Safety of SPC1001 in Patients With Essential Hypertension</t>
  </si>
  <si>
    <t>NCT06566092</t>
  </si>
  <si>
    <t>Study of Autologous Tumor-Infiltrating Lymphocytes in Pediatric, Adolescent, and Young Adult Participants</t>
  </si>
  <si>
    <t>NCT07518771</t>
  </si>
  <si>
    <t>PA-001 Ph.1 Study in Healthy and Elderly Subjects</t>
  </si>
  <si>
    <t>PeptiDream Inc.</t>
  </si>
  <si>
    <t>NCT06318845</t>
  </si>
  <si>
    <t>Phase 1 Study of DHP2302R1 and DHP2302R2 in Healthy Adult Volunteers</t>
  </si>
  <si>
    <t>NCT06572228</t>
  </si>
  <si>
    <t>Efficacy of Dupilumab Added to Medium Dose Inhaled Corticosteroid/Long-acting Beta-agonist (ICS/LABA) in Comparison to ICS Dose Escalation to High Dose ICS/LABA in Adolescent and Adult Patients With Uncontrolled Asthma</t>
  </si>
  <si>
    <t>NCT06615557</t>
  </si>
  <si>
    <t>Fasedienol Nasal Spray for the Acute Treatment of Anxiety in Adults With Social Anxiety Disorder (PALISADE-4)</t>
  </si>
  <si>
    <t>NCT06310967</t>
  </si>
  <si>
    <t>A Dose Escalation Study of IG3018 in Subjects With Hyperuricemia With or Without Chronic Kidney Disease</t>
  </si>
  <si>
    <t>Intelligem Therapeutics Australia Pty Ltd.</t>
  </si>
  <si>
    <t>NCT06495229</t>
  </si>
  <si>
    <t>Study of CM310 in Adolescent Subjects With Atopic Dermatis</t>
  </si>
  <si>
    <t>NCT06038331</t>
  </si>
  <si>
    <t>Use of a Treated, Devitalized and Sterile Umbilical Cord Amniotic Membrane in the Treatment of STT Osteoarthritis</t>
  </si>
  <si>
    <t>NCT06568302</t>
  </si>
  <si>
    <t>The Long-term Safety and Efficacy of SerpinPC in Subjects with Hemophilia Who Completed a Sponsored SerpinPC Clinical Trial</t>
  </si>
  <si>
    <t>NCT06698575</t>
  </si>
  <si>
    <t>A Study to Assess the Safety, Pharmacokinetics, and Tolerability of ABI-1179 in Healthy Subjects and in Subjects Seropositive for HSV-2 With Recurrent Genital Herpes</t>
  </si>
  <si>
    <t>NCT06659757</t>
  </si>
  <si>
    <t>A Study to Investigate the Safety and Tolerability of Single and Multiple Ascending Doses of KIT2014 in Healthy Subjects</t>
  </si>
  <si>
    <t>Kither Biotech Srl</t>
  </si>
  <si>
    <t>NCT06657105</t>
  </si>
  <si>
    <t>A Study to Investigate the Pharmacokinetics of Ethinyl Estradiol and Levonorgestrel When Given Alone and in Combination With Baxdrostat in Healthy Females of Non-childbearing Potential</t>
  </si>
  <si>
    <t>NCT06319820</t>
  </si>
  <si>
    <t>A Study to Evaluate TAR-210 Versus Single Agent Intravesical Cancer Treatment in Participants With Bladder Cancer</t>
  </si>
  <si>
    <t>NCT06532383</t>
  </si>
  <si>
    <t>A Study to Learn How Different Amounts of the Study Medicine Called PF-07940369 Are Tolerated and Act in the Body in Healthy Adults.</t>
  </si>
  <si>
    <t>NCT05923086</t>
  </si>
  <si>
    <t>Preventing Gastrointestinal Disturbance in Patients After Longitudinal Laparotomy.</t>
  </si>
  <si>
    <t>Orexa BV</t>
  </si>
  <si>
    <t>NCT06132360</t>
  </si>
  <si>
    <t>the Study to Evaluate the Safety, Tolerability, Pharmacokinetics, and Pharmacodynamic Effects in Adult Subjects With Elevated LDL-C</t>
  </si>
  <si>
    <t>Shanghai Rona Therapeutics Co., Ltd.</t>
  </si>
  <si>
    <t>NCT06505824</t>
  </si>
  <si>
    <t>A Study of BL-M14D1 in Patients With Locally Advanced or Metastatic Small Cell Lung Cancer, Neuroendocrine Tumors and Other Solid Tumors</t>
  </si>
  <si>
    <t>NCT06164288</t>
  </si>
  <si>
    <t>Safety and Efficacy Study of hAESCs Therapy for aGVHD</t>
  </si>
  <si>
    <t>NCT07549386</t>
  </si>
  <si>
    <t>Efficacy and Safety of Etoricoxib+Diacerein in Osteoarthritis.</t>
  </si>
  <si>
    <t>NCT05842954</t>
  </si>
  <si>
    <t>Efficacy, Safety and Tolerability of KLU156 in Adults and Children With Uncomplicated P. Falciparum Malaria</t>
  </si>
  <si>
    <t>NCT06662227</t>
  </si>
  <si>
    <t>Universal CAR-T Cells (REVO-UWD-19) for Refractory and Relapsed B-Cell Tumors</t>
  </si>
  <si>
    <t>Wondercel Biotech (ShenZhen)</t>
  </si>
  <si>
    <t>NCT06660394</t>
  </si>
  <si>
    <t>A Phase 3, Placebo-Controlled Study to Investigate LP352 in Children and Adults With Dravet Syndrome (DS)</t>
  </si>
  <si>
    <t>NCT06250946</t>
  </si>
  <si>
    <t>Efficacy and Safety of HRS-7535 Tablets in Obese Subjects .</t>
  </si>
  <si>
    <t>NCT06304883</t>
  </si>
  <si>
    <t>Long-term Extension of Phase 3 Study of ALZ- 801 in APOE4/4 Early AD Subjects</t>
  </si>
  <si>
    <t>NCT06363383</t>
  </si>
  <si>
    <t>A Phase 1 Study to Evaluate the Safety of an Oral Biologic in Healthy Participants</t>
  </si>
  <si>
    <t>Mage Biologics</t>
  </si>
  <si>
    <t>NCT06692166</t>
  </si>
  <si>
    <t>A Study to Evaluate 9MW2821 Versus Treatment of Physician's Choice for Subjects With Recurrent or Metastatic Cervical Cancer</t>
  </si>
  <si>
    <t>NCT06031259</t>
  </si>
  <si>
    <t>Extension Study of Idursulfase-IT Along With Elaprase in Children and Adults With Hunter Syndrome and Cognitive Impairment</t>
  </si>
  <si>
    <t>NCT06348303</t>
  </si>
  <si>
    <t>Study to Assess Drowsiness, Cognition, Fall Risk After Metaxalone 640 mg and Metaxalone 800 mg</t>
  </si>
  <si>
    <t>NCT06557603</t>
  </si>
  <si>
    <t>Bioequivalence Study of Ivermectin 1% Cream and Soolantra (Ivermectin) 10 mg/g Cream</t>
  </si>
  <si>
    <t>NCT06473961</t>
  </si>
  <si>
    <t>A Phase Ib Study of GC101 in NSCLC</t>
  </si>
  <si>
    <t>NCT06125522</t>
  </si>
  <si>
    <t>TACTIVE-U: A Study to Learn About the Study Medicine (Vepdegestrant) When Given With Other Medicines in People With Advanced or Metastatic Breast Cancer. (Sub-Study C)</t>
  </si>
  <si>
    <t>NCT06554873</t>
  </si>
  <si>
    <t>Adaptive Use of Nicotine Substitution to Maintain Smoking Reduction/Abstinence in Nicotine Responders</t>
  </si>
  <si>
    <t>NCT06702605</t>
  </si>
  <si>
    <t>To Evaluate XNW5004 Tablets in Patients with Relapsed or Refractory Peripheral T Cell Lymphoma</t>
  </si>
  <si>
    <t>NCT06842966</t>
  </si>
  <si>
    <t>Efficacy, Safety, and Tolerability of 4-MUST Tablets in Chronic Cholecystitis and Biliary Dyskinesia</t>
  </si>
  <si>
    <t>NCT06257537</t>
  </si>
  <si>
    <t>Sustained Acoustic Medicine for Symptomatic Treatment of Knee Pain Related to Osteoarthritis</t>
  </si>
  <si>
    <t>NCT06427941</t>
  </si>
  <si>
    <t>A Phase 1 Study of BGB-B2033, Alone or in Combination With Tislelizumab With or Without Bevacizumab, in Participants With Advanced or Metastatic Solid Tumors</t>
  </si>
  <si>
    <t>NCT06369454</t>
  </si>
  <si>
    <t>A Study to Learn About How Different Forms of the Study Medicine Called Ritlecitinib Pass the Intestines of Healthy Male Adults When Taken With or Without Food</t>
  </si>
  <si>
    <t>NCT06475742</t>
  </si>
  <si>
    <t>Long-term Safety and Tolerability of Cenerimod in Adults With Systemic Lupus Erythematosus</t>
  </si>
  <si>
    <t>NCT06596356</t>
  </si>
  <si>
    <t>A Mass Balance Study of TS-172 in Healthy Adult Subjects</t>
  </si>
  <si>
    <t>NCT05921929</t>
  </si>
  <si>
    <t>First-In-Human (FIH), Single Ascending Dose (SAD) Study of FluoroEthylNorMemantine (FENM)</t>
  </si>
  <si>
    <t>ReST Therapeutics</t>
  </si>
  <si>
    <t>NCT06972888</t>
  </si>
  <si>
    <t>A Phase II Clinical Study of AC-201 Tablets in Subjects With Plaque Psoriasis</t>
  </si>
  <si>
    <t>Accro Bioscience (Suzhou) Limited</t>
  </si>
  <si>
    <t>NCT06408870</t>
  </si>
  <si>
    <t>A Study in Healthy People to Compare How 2 Different Low Dose Formulations of BI 1015550 Are Taken up in the Body</t>
  </si>
  <si>
    <t>NCT05081102</t>
  </si>
  <si>
    <t>Fixed-dose Combination of Oxycodone [OXIcodona] + IbuproFEN in Pain Relief After Third Molar Extraction</t>
  </si>
  <si>
    <t>NCT06648824</t>
  </si>
  <si>
    <t>Study of How Mitapivat Affects Midazolam Blood Levels in Healthy Participants</t>
  </si>
  <si>
    <t>NCT06657222</t>
  </si>
  <si>
    <t>First in Human Study of TUB-030 in Patients With Advanced Solid Tumors</t>
  </si>
  <si>
    <t>Tubulis GmbH</t>
  </si>
  <si>
    <t>NCT06244303</t>
  </si>
  <si>
    <t>Clinical Research Study to Assess the Efficacy of Two Brushing Regimens in the Reduction of Established Dental Plaque and Gingivitis.</t>
  </si>
  <si>
    <t>NCT06698042</t>
  </si>
  <si>
    <t>A Clinical Study of Pembrolizumab (+) Berahyaluronidase Alfa (MK-3475A) to Treat Newly-diagnosed Metastatic Non-small Cell Lung Cancer (MK-3475A-F84)</t>
  </si>
  <si>
    <t>NCT06571383</t>
  </si>
  <si>
    <t>STEP TEENS Weight Maintenance: A Research Study on How Well Semaglutide Helps Teenagers With Excess Body Weight to Lose Weight and Maintain Weight Loss</t>
  </si>
  <si>
    <t>NCT06733922</t>
  </si>
  <si>
    <t>ELIOS - Investigational Biomarkers to Track Disease Modification in Active RRMS</t>
  </si>
  <si>
    <t>NCT06556173</t>
  </si>
  <si>
    <t>Phase 2a Study of VTX3232 in Parkinson's Disease</t>
  </si>
  <si>
    <t>NCT06473779</t>
  </si>
  <si>
    <t>Open-label Study to Assess Reduction of Background Asthma Medication While Sustaining Asthma Control and Clinical Remission With Tezepelumab in Patients 12-80yrs With Severe Asthma.</t>
  </si>
  <si>
    <t>NCT06478862</t>
  </si>
  <si>
    <t>Promitil Treatment of Patients With Solid Tumors Associated With Deleterious Mutations Who Have Progressed After Therapy</t>
  </si>
  <si>
    <t>NCT06698861</t>
  </si>
  <si>
    <t>A Phase I PK/PD Study of PEG-MetHuG-CSF (P2203) in Healthy Volunteers</t>
  </si>
  <si>
    <t>NCT05949294</t>
  </si>
  <si>
    <t>Study of AROSOD-1 in Adult Participants With Amyotrophic Lateral Sclerosis (ALS)</t>
  </si>
  <si>
    <t>NCT06633042</t>
  </si>
  <si>
    <t>The Safety and Efficacy of Universal CAR-T Cells Targeting BCMA in the Treatment of Refractory NMOSD</t>
  </si>
  <si>
    <t>NCT06642571</t>
  </si>
  <si>
    <t>A Research Study to Compare How Much of the Medicine NNC0519-0130 is in the Blood of People With Overweight or Obesity Who Receive 2 Preparations of the Medicine</t>
  </si>
  <si>
    <t>NCT06676319</t>
  </si>
  <si>
    <t>Study of Lunsekimig (SAR443765) Compared With Placebo in Adults With High-risk Asthma</t>
  </si>
  <si>
    <t>NCT05460507</t>
  </si>
  <si>
    <t>Safety &amp; Efficacy/Tolerability of Rhenium-186 NanoLiposomes (186RNL) for Patients Who Received a Prior 186RNL Treatment</t>
  </si>
  <si>
    <t>NCT06434467</t>
  </si>
  <si>
    <t>The Efficacy and Safety of Nelarabine Injection in Patients With T-lymphoblastic Leukemia and T-lymphoblastic Lymphoma</t>
  </si>
  <si>
    <t>NCT06418711</t>
  </si>
  <si>
    <t>ICoN-1 Phase 3 Study of the Efficacy and Safety of Treatment With MNKD-101, Clofazimine Inhalation Suspension</t>
  </si>
  <si>
    <t>NCT06670209</t>
  </si>
  <si>
    <t>A Phase I Clinical Study to Evaluate the Effect of GZR18 Injection on the Pharmacokinetics of Oral Metformin Hydrochloride Tablets in Overweight/Obese Subjects</t>
  </si>
  <si>
    <t>NCT06344533</t>
  </si>
  <si>
    <t>Study of JMKX003142 Injection in Chinese Healthy Subjects</t>
  </si>
  <si>
    <t>NCT06277765</t>
  </si>
  <si>
    <t>Study of CM310 Injection in Adolescent Subjects With Atopic Dermatis</t>
  </si>
  <si>
    <t>NCT06667765</t>
  </si>
  <si>
    <t>A Study of RPT1G After Single and Multiple Doses in Healthy Adult Participants</t>
  </si>
  <si>
    <t>Remedy Plan, Inc.</t>
  </si>
  <si>
    <t>NCT06734234</t>
  </si>
  <si>
    <t>A Study to Evaluate the Safety, Tolerability, and Effects on Blood and Urine Markers of Single Ascending Dose of GSK4771261 in Healthy Participants and Participants With Autosomal Dominant Polycystic Kidney Disease</t>
  </si>
  <si>
    <t>NCT06498284</t>
  </si>
  <si>
    <t>Evaluate HM-002-1005 in Subjects With Type 2 Diabetes Mellitus</t>
  </si>
  <si>
    <t>Hua Medicine Limited</t>
  </si>
  <si>
    <t>NCT06346067</t>
  </si>
  <si>
    <t>A Study to Assess Naporafenib (ERAS-254) Administered With Trametinib in Patients With NRAS-mutant Melanoma (SEACRAFT-2)</t>
  </si>
  <si>
    <t>NCT06650852</t>
  </si>
  <si>
    <t>A Study to Evaluate the Efficacy and Safety of Combination Therapy of BRII-179, BRII-835 and PEG-IFNα in Participants With Chronic Hepatitis B Virus (HBV) Infection (ENHANCE)</t>
  </si>
  <si>
    <t>NCT06290934</t>
  </si>
  <si>
    <t>Study of GS-1427 in Participants With Moderately to Severely Active Ulcerative Colitis</t>
  </si>
  <si>
    <t>NCT06331884</t>
  </si>
  <si>
    <t>Phase 1 Study to Evaluate Safety, Tolerability and Pharmacokinetics/-Dynamics of AK1967 (Procizumab)</t>
  </si>
  <si>
    <t>4TEEN4 Pharmaceuticals GmbH</t>
  </si>
  <si>
    <t>NCT05302037</t>
  </si>
  <si>
    <t>Allogeneic NKG2DL-targeting CAR γδ T Cells (CTM-N2D) in Advanced Cancers (ANGELICA)</t>
  </si>
  <si>
    <t>CytoMed Therapeutics Pte Ltd</t>
  </si>
  <si>
    <t>NCT05761795</t>
  </si>
  <si>
    <t>Efficacy of IVMED-85 on Pediatric Myopia</t>
  </si>
  <si>
    <t>iVeena Delivery Systems, Inc.</t>
  </si>
  <si>
    <t>NCT06553339</t>
  </si>
  <si>
    <t>A Study of HS-10516 in Patients With VHL Syndrome Associated Tumors</t>
  </si>
  <si>
    <t>NCT05776277</t>
  </si>
  <si>
    <t>Iltamiocel Compared to Placebo for Chronic Fecal Incontinence in Females With Obstetric Injury</t>
  </si>
  <si>
    <t>Cook MyoSite</t>
  </si>
  <si>
    <t>NCT06296212</t>
  </si>
  <si>
    <t>Study of Intravenous TAD® 600 Mg/4 ML Solution for Injection to Evaluate Efficacy and Safety in Preventing Myocardial Injury in Patients with Pneumonia.</t>
  </si>
  <si>
    <t>Biomedica Foscama S.p.A. Industria Chimico-Farmaceutica</t>
  </si>
  <si>
    <t>NCT06433999</t>
  </si>
  <si>
    <t>A 12-Week Open-Label Study to Investigate the Efficacy and Safety of Brepocitinib in Adults With Skin-Predominant Dermatomyositis</t>
  </si>
  <si>
    <t>NCT06520514</t>
  </si>
  <si>
    <t>A Study to Test How Well Healthy People Tolerate Spesolimab When Given in 2 Different Ways</t>
  </si>
  <si>
    <t>NCT07448506</t>
  </si>
  <si>
    <t>PHASE III, RANDOMIZED, ACTIVE-COMPARATOR CONTROLLED CLINICAL TRIAL TO EVALUATE THE EFFICACY AND SAFETY OF NIFEDIPINE 30MG EXTENDED-RELEASE IN ADULT PATIENTS DIAGNOSED WITH MILD OR MODERATE HYPERTENSION IN COLOMBIA.</t>
  </si>
  <si>
    <t>NCT06607172</t>
  </si>
  <si>
    <t>Clinical Efficacy of the Combined Effect of Oral Irrigator and Chemicals (0.075% CPC)</t>
  </si>
  <si>
    <t>NCT05582993</t>
  </si>
  <si>
    <t>A Study of Vonicog Alfa (rVWF) in Children With Severe Von Willebrand Disease (vWD)</t>
  </si>
  <si>
    <t>NCT06120816</t>
  </si>
  <si>
    <t>Nitric Oxide Releasing Mouthwash (NORM) for the Management of Oropharyngeal Candidiasis</t>
  </si>
  <si>
    <t>NCT06569472</t>
  </si>
  <si>
    <t>Clinical Trial of CD19-targeted CAR-T Therapy for Refractory Juvenile Dermatomyositis</t>
  </si>
  <si>
    <t>NCT06586866</t>
  </si>
  <si>
    <t>JK-1201I in Triple Negative Breast Cancer Patients with Brain Metastases</t>
  </si>
  <si>
    <t>NCT06211751</t>
  </si>
  <si>
    <t>A Clinical Trial of TQB3909 Tablets Combined With TQB3702 Tablets in Patients With Hematologic Malignancy</t>
  </si>
  <si>
    <t>NCT05286853</t>
  </si>
  <si>
    <t>A Study of Renal Autologous Cell Therapy (REACT) in Participants With Type 2 Diabetes and Chronic Kidney Disease</t>
  </si>
  <si>
    <t>NCT06227377</t>
  </si>
  <si>
    <t>QTX3034 in Patients With KRAS G12D Mutation</t>
  </si>
  <si>
    <t>Quanta Therapeutics</t>
  </si>
  <si>
    <t>NCT06514651</t>
  </si>
  <si>
    <t>MAQ-001 in Patients With Advanced Solid Tumors</t>
  </si>
  <si>
    <t>MabQuest SA</t>
  </si>
  <si>
    <t>NCT06672653</t>
  </si>
  <si>
    <t>Tolerance and Effectiveness of C14 on HPV Infection</t>
  </si>
  <si>
    <t>MGB Pharma</t>
  </si>
  <si>
    <t>NCT06883539</t>
  </si>
  <si>
    <t>A Phase I Study of LXP1788 Injection with Advanced Solid Tumors.</t>
  </si>
  <si>
    <t>LaunXP Biomedical Co., Ltd.</t>
  </si>
  <si>
    <t>NCT06196905</t>
  </si>
  <si>
    <t>An Exploratory Study of MT-2990 in Patients With AAV</t>
  </si>
  <si>
    <t>NCT06390722</t>
  </si>
  <si>
    <t>A Study to Assess the Effect of Upadacitinib in Atopic Dermatitis-induced Sleep Disturbance in Adults With Moderate to Severe Atopic Dermatitis</t>
  </si>
  <si>
    <t>NCT06586216</t>
  </si>
  <si>
    <t>A Study to Learn How Renal Impairment Affects the Pharmacokinetics of PF-07817883.</t>
  </si>
  <si>
    <t>NCT06400004</t>
  </si>
  <si>
    <t>Lumason® Infusion vs. Bolus Administrations</t>
  </si>
  <si>
    <t>Bracco Diagnostics, Inc</t>
  </si>
  <si>
    <t>NCT06509334</t>
  </si>
  <si>
    <t>Trial of JYB1904 in Chronic Spontaneous Urticaria.</t>
  </si>
  <si>
    <t>NCT06675955</t>
  </si>
  <si>
    <t>An Extension Study to Assess Impact of Multiple Sclerosis (MS) on Physical Function and Provide Continued Ocrelizumab Treatment</t>
  </si>
  <si>
    <t>NCT06470048</t>
  </si>
  <si>
    <t>A Clinical Study to Evaluate Ianalumab in Participants With Diffuse Cutaneous Systemic Sclerosis</t>
  </si>
  <si>
    <t>NCT06727058</t>
  </si>
  <si>
    <t>Study to Evaluate Safety and Immunogenicity of a Pandemic Flu H5 mRNA Vaccine in Healthy Adults Aged 18 Years and Older</t>
  </si>
  <si>
    <t>NCT06228326</t>
  </si>
  <si>
    <t>A Study Assessing KB707 for the Treatment of Advanced Solid Tumor Malignancies Affecting the Lungs</t>
  </si>
  <si>
    <t>NCT06623526</t>
  </si>
  <si>
    <t>Clinical Trial to Evaluate the PK Interactions of YHR2402 Monotherapy and YHR2402 and YHR2403 Co-Administration in Healthy Volunteers</t>
  </si>
  <si>
    <t>NCT06468826</t>
  </si>
  <si>
    <t>A Study of Avacopan in Participants With Normal Renal Function and Participants With End-Stage Renal Disease (ESRD)</t>
  </si>
  <si>
    <t>NCT05677126</t>
  </si>
  <si>
    <t>Tralement vs. Fixed-dose Trace Element Combination Product in Patients &gt;3 to 17 Years of Age Requiring Long-term PN</t>
  </si>
  <si>
    <t>NCT07251309</t>
  </si>
  <si>
    <t>A Two-Part, Phase 3 Study Evaluating the Efficacy and Safety of WS016 for the Treatment of Hyperkalemia</t>
  </si>
  <si>
    <t>NCT06468358</t>
  </si>
  <si>
    <t>A Study to Evaluate LB1410 in Combination With LB4330 in Patients With Advanced or Metastatic Solid Tumors</t>
  </si>
  <si>
    <t>NCT06309043</t>
  </si>
  <si>
    <t>A Randomized, Single Intravenous Dose, Parallel Phase I Clinical Study to Compare the Pharmacokinetic Characteristics, Safety, and Immunogenicity of HLX05 Vs. Erbitux® (Cetuximab) in Healthy Adult Male Chinese Subjects</t>
  </si>
  <si>
    <t>NCT06118255</t>
  </si>
  <si>
    <t>A Study to Evaluate Safety, Tolerability, and Pharmacokinetics of Fenfluramine (Hydrochloride) in Infants 1 Year to Less Than 2 Years of Age With Dravet Syndrome</t>
  </si>
  <si>
    <t>NCT06531512</t>
  </si>
  <si>
    <t>Evaluate the Efficacy and Safety of Xianglei Tangzu Gao for the Treatment of Wagner Grade II Diabetic Foot Ulcers</t>
  </si>
  <si>
    <t>NCT06380907</t>
  </si>
  <si>
    <t>A Phase 2 Study of ZL-1102 in Patients With Chronic Plaque Psoriasis</t>
  </si>
  <si>
    <t>NCT06361836</t>
  </si>
  <si>
    <t>Study of Single Doses of SBT777101 in Subjects With Hidradenitis Suppurativa</t>
  </si>
  <si>
    <t>NCT06531811</t>
  </si>
  <si>
    <t>A Study to Investigate the Relative Bioavailability of AZD8630 Following a Device and Formulation Transition in Healthy Participants.</t>
  </si>
  <si>
    <t>NCT06527144</t>
  </si>
  <si>
    <t>A Clinical Trial of TQC3721 Suspension for Inhalation in Patients With Moderate to Severe Chronic Obstructive Pulmonary Disease</t>
  </si>
  <si>
    <t>NCT05907330</t>
  </si>
  <si>
    <t>Phase 2 Study of CU104 in Moderate-Severe Ulcerative Colitis</t>
  </si>
  <si>
    <t>NCT06291207</t>
  </si>
  <si>
    <t>A Study to Evaluate the Efficacy and Safety of AD-224</t>
  </si>
  <si>
    <t>NCT06402136</t>
  </si>
  <si>
    <t>Evaluation Safety, Tolerability, and Pharmacokinetics of Single and Multiple Ascending Doses of 83-0060 in Healthy Volunteers</t>
  </si>
  <si>
    <t>NCT07699328</t>
  </si>
  <si>
    <t>A Study of VRN110755 in Patients With EGFR-Mutant Non-Small Cell Lung Cancer</t>
  </si>
  <si>
    <t>Voronoi, Inc</t>
  </si>
  <si>
    <t>NCT06614192</t>
  </si>
  <si>
    <t>A Study Assessing Adverse Events and Disease Activity of Intravenously (IV) Infused Telisotuzumab Adizutecan in Adult Participants With c-Met Protein Above Cutoff Level Above Refractory Metastatic Colorectal Cancer</t>
  </si>
  <si>
    <t>NCT06545136</t>
  </si>
  <si>
    <t>Long Term Follow-up Study of Type-1 Gaucher Subjects Post FLT201 Dose (GALILEO-2)</t>
  </si>
  <si>
    <t>NCT06481592</t>
  </si>
  <si>
    <t>A Study of Lifileucel (Tumor-infiltrating Lymphocytes) in Adults With Advanced Endometrial Cancer.</t>
  </si>
  <si>
    <t>NCT06401044</t>
  </si>
  <si>
    <t>A Study of AMG 732 in Healthy Participants and Participants With Thyroid Eye Disease</t>
  </si>
  <si>
    <t>NCT06659692</t>
  </si>
  <si>
    <t>Pharmacokinetics of FSH and hCG Following Multiple Dose of Gonadotropins-IBSA.</t>
  </si>
  <si>
    <t>NCT06353971</t>
  </si>
  <si>
    <t>A Dose Escalation Trial of Safety, Pharmacokinetic/Pharmacodynamic and Preliminary Clinical Activity of Briquilimab in Adult Patients With Chronic Inducible Urticaria (CIndU) Who Remain Symptomatic Despite Treatment With H1- Antihistamines</t>
  </si>
  <si>
    <t>NCT06561607</t>
  </si>
  <si>
    <t>A Clinical Trial to Evaluate the Efficacy and Safety of TQB2102 for Injection Versus Investigator-Selected Chemotherapy in HER2 Low-Expressing Recurrent/Metastatic Breast Cancer</t>
  </si>
  <si>
    <t>NCT06224855</t>
  </si>
  <si>
    <t>A Study of DXC006 in Patients With Advanced Solid Tumors and Hematologic Malignancies</t>
  </si>
  <si>
    <t>Hangzhou DAC Biotechnology Co., Ltd.</t>
  </si>
  <si>
    <t>NCT06483243</t>
  </si>
  <si>
    <t>Clinical Trial to Compare and Evaluate the Safety and Pharmacokinetic of CKD-501, D745, and D150 for Healthy Subjects in Fed State.</t>
  </si>
  <si>
    <t>NCT06625515</t>
  </si>
  <si>
    <t>First-in-Human Study of ATX-559, an Oral Inhibitor of DHX9, in Patients With Advanced or Metastatic Solid Tumors, and Molecularly Defined Cancers</t>
  </si>
  <si>
    <t>Accent Therapeutics</t>
  </si>
  <si>
    <t>NCT06303648</t>
  </si>
  <si>
    <t>A Single, Ascending Dose Evaluation of the Safety, Pharmacokinetics of Methylone in Healthy Subjects</t>
  </si>
  <si>
    <t>NCT06274515</t>
  </si>
  <si>
    <t>A Study to Investigate Mechanisms of Resistance to Breast Cancer Therapies</t>
  </si>
  <si>
    <t>NCT06462326</t>
  </si>
  <si>
    <t>A Study to Compare the Effect of Omadacycline Versus Moxifloxacin in Healthy Adult Volunteers</t>
  </si>
  <si>
    <t>NCT06143878</t>
  </si>
  <si>
    <t>A Study of JNJ-77242113 for the Treatment of Participants With Moderate to Severe Plaque Psoriasis</t>
  </si>
  <si>
    <t>NCT06403735</t>
  </si>
  <si>
    <t>A Phase I Clinical Study of QLC1101 in Patients With Advanced Solid Tumors</t>
  </si>
  <si>
    <t>NCT06332638</t>
  </si>
  <si>
    <t>PK, PD and Safety of Tegoprazan 12.5 mg After Oral Administration in Healthy Subjects</t>
  </si>
  <si>
    <t>NCT06369285</t>
  </si>
  <si>
    <t>A Study of Alisertib in Combination With Endocrine Therapy in Patients With HR-positive, HER2-negative Recurrent or Metastatic Breast Cancer</t>
  </si>
  <si>
    <t>NCT06725355</t>
  </si>
  <si>
    <t>To Compare the Pharmacokinetics and Safety After a Single Dose Administration of IN-G00002 and IN-R00002 in Healthy Adult Volunteers</t>
  </si>
  <si>
    <t>NCT06400511</t>
  </si>
  <si>
    <t>A Phase 3 Study to Evaluate the Efficacy and Safety of Pimecrolimus 0.3% Ophthalmic Ointment</t>
  </si>
  <si>
    <t>Famy Life Sciences, a Viatris Company</t>
  </si>
  <si>
    <t>NCT06461078</t>
  </si>
  <si>
    <t>Clinical Trial to Investigate the Effects of Food on the Pharmacokinetics and Safety of Orally Administered Radotinib</t>
  </si>
  <si>
    <t>NCT06462404</t>
  </si>
  <si>
    <t>A Study to Evaluate the Efficacy, Safety, and Tolerability of E2086 Compared to Placebo and Active Comparator in Adult Participants With Narcolepsy Type 1</t>
  </si>
  <si>
    <t>NCT06566547</t>
  </si>
  <si>
    <t>GR1803 Injection in Patients With Relapsed/Refractory Multiple Myeloma</t>
  </si>
  <si>
    <t>NCT06562907</t>
  </si>
  <si>
    <t>Study of GS-4571 in Healthy Participants, Nondiabetic Obese Participants, and Nonobese Participants With Type 2 Diabetes Mellitus (T2DM)</t>
  </si>
  <si>
    <t>NCT06574347</t>
  </si>
  <si>
    <t>Vebreltinib Plus PLB1004 as the First-line Therapy for Patients With EGFRm+/MET+ Locally Advanced or Metastatic NSCLC.</t>
  </si>
  <si>
    <t>NCT06462547</t>
  </si>
  <si>
    <t>ADAPT Study: Long-term Safety Study of INZ-701 in Patients With ENPP1 Deficiency and ABCC6 Deficiency</t>
  </si>
  <si>
    <t>NCT05456152</t>
  </si>
  <si>
    <t>Safety and Efficacy of Zolpidem in the Long-Term Treatment of Insomnia</t>
  </si>
  <si>
    <t>NCT06645938</t>
  </si>
  <si>
    <t>A Study to Learn How Different Tablets of the Study Medicine Vepdegestrant Are Taken up Into the Blood in Healthy Adults</t>
  </si>
  <si>
    <t>NCT06640049</t>
  </si>
  <si>
    <t>A Study of Dostarlimab in Participants With Untreated Locally Advanced Rectal Cancer in China</t>
  </si>
  <si>
    <t>NCT06492655</t>
  </si>
  <si>
    <t>To Evaluate the Food Effect on Pharmacokinetic Profiles and Safety in Healthy Volunteers</t>
  </si>
  <si>
    <t>NCT07212426</t>
  </si>
  <si>
    <t>Efficacy, Safety, and Pharmacokinetics of LP-005 Injection in PNH Patients.</t>
  </si>
  <si>
    <t>NCT06567743</t>
  </si>
  <si>
    <t>Phase 2 Study to Evaluate Safety and Efficacy of Cretostimogene Grenadenorepvec in High-Risk NMIBC</t>
  </si>
  <si>
    <t>NCT06271408</t>
  </si>
  <si>
    <t>Comparison of Bronchodilator Response From Three Different Aerosol Delivery Methods in Patients With COPD Using Hyperpolarized Xe 129 MRI Ventilation Imaging</t>
  </si>
  <si>
    <t>Polarean, Inc.</t>
  </si>
  <si>
    <t>NCT06575192</t>
  </si>
  <si>
    <t>Evaluation of the Safety and Effectiveness of ARTIA Reconstructive Tissue Matrix Breast Reconstruction (ADORA) in Adult Participants</t>
  </si>
  <si>
    <t>NCT06709807</t>
  </si>
  <si>
    <t>Clinical Study to Evaluate the Food Effect of CKD-378 in Healthy Volunteers</t>
  </si>
  <si>
    <t>NCT06502964</t>
  </si>
  <si>
    <t>Study of ALTO-101 in Patients With Schizophrenia</t>
  </si>
  <si>
    <t>NCT06319963</t>
  </si>
  <si>
    <t>A Study to Evaluate Lenti-HPV-07 Immunotherapy Against HPV+ Cervical or Oropharyngeal Cancer</t>
  </si>
  <si>
    <t>Theravectys S.A.</t>
  </si>
  <si>
    <t>NCT05046314</t>
  </si>
  <si>
    <t>A Clinical Study of TK216 in Patients With Relapsed or Refractory Ewing's Sarcoma</t>
  </si>
  <si>
    <t>NCT06548347</t>
  </si>
  <si>
    <t>A Phase II/III Study of Linperlisib Plus CHOP Versus CHOP in Patients With Newly Diagnosed Peripheral T Cell Lymphoma</t>
  </si>
  <si>
    <t>NCT06252298</t>
  </si>
  <si>
    <t>A Clinical Study of SCTC21C in Participants With CD38+ Hematologic Malignancies</t>
  </si>
  <si>
    <t>NCT05421858</t>
  </si>
  <si>
    <t>A Phase 3 Efficacy and Safety Study of Fosmanogepix for the Treatment of Adult Participants With Candidemia and/or Invasive Candidiasis.</t>
  </si>
  <si>
    <t>NCT06466135</t>
  </si>
  <si>
    <t>Study of WAL0921 in Patients With Glomerular Kidney Diseases</t>
  </si>
  <si>
    <t>NCT06723535</t>
  </si>
  <si>
    <t>A Study to Evaluate BMS-986278 in Participants With Normal Renal Function, Severe Renal Impairment, or End-Stage Renal Disease on Intermittent Hemodialysis</t>
  </si>
  <si>
    <t>NCT06422143</t>
  </si>
  <si>
    <t>Pembrolizumab With or Without Maintenance Sacituzumab Tirumotecan (Sac-TMT; MK-2870) in Metastatic Squamous Non-small Cell Lung Cancer (NSCLC) [MK-2870-023]</t>
  </si>
  <si>
    <t>NCT06540443</t>
  </si>
  <si>
    <t>Pilot Study of MPB-2043 Enhanced MRI for Nodal Staging in Head and Neck Squamous Cell Carcinomas</t>
  </si>
  <si>
    <t>NCT06577935</t>
  </si>
  <si>
    <t>A Trial Evaluating Efficacy of AGA2118 in PostMenopausal Women wIth Low Bone MasS (ARTEMIS)</t>
  </si>
  <si>
    <t>NCT06630117</t>
  </si>
  <si>
    <t>A Study of V330 in Healthy Younger (18 to 49 Years Inclusive) and Healthy Older (60 to 79 Years Inclusive) Participants (V330-001)</t>
  </si>
  <si>
    <t>NCT06649409</t>
  </si>
  <si>
    <t>Evaluation of Vamorolone Mineralocorticoid Receptor Antagonism in Healthy Subjects</t>
  </si>
  <si>
    <t>NCT06281678</t>
  </si>
  <si>
    <t>A Study of IBI363 in Subjects with Advanced Solid Malignancies</t>
  </si>
  <si>
    <t>NCT06272695</t>
  </si>
  <si>
    <t>Glucagon Rescue of Insulin-Induced Hypoglycemia in Adults With Type 1 Diabetes Treated With Volagidemab</t>
  </si>
  <si>
    <t>REMD Biotherapeutics, Inc.</t>
  </si>
  <si>
    <t>NCT05911828</t>
  </si>
  <si>
    <t>A Study to Determine Safety, Tolerability, and Pharmacokinetics of Different Orally Administered Regimens of the Combination ZY19489-Ferroquine in Adult Asymptomatic Plasmodium Falciparum Carriers</t>
  </si>
  <si>
    <t>NCT06535399</t>
  </si>
  <si>
    <t>Study to Assess Drug Levels and Safety of Golcadomide (BMS-986369) in Healthy Participants and Participants With Different Degrees of Hepatic Impairment</t>
  </si>
  <si>
    <t>NCT06216093</t>
  </si>
  <si>
    <t>Phase I, First-In Human Study to Evaluate Safety and Tolerability of EuRSV in Healthy Adults Aged Between 19 Years and 80 Years</t>
  </si>
  <si>
    <t>NCT06672393</t>
  </si>
  <si>
    <t>A Study to Confirm Efficacy and Safety of HS-10374 for Moderate to Severe Plaque Psoriasis</t>
  </si>
  <si>
    <t>NCT06260163</t>
  </si>
  <si>
    <t>A Study of Guselkumab in Pediatric Participants With Moderately to Severely Active Ulcerative Colitis</t>
  </si>
  <si>
    <t>NCT06313593</t>
  </si>
  <si>
    <t>A Study to Evaluate the Safety, Tolerability of INCB160058 in Participants With Myeloproliferative Neoplasms</t>
  </si>
  <si>
    <t>NCT06890715</t>
  </si>
  <si>
    <t>Comparative Pharmacokinetic Study of Ramelteon Modified-Release Tablets and Ramelteon Tablets in Healthy Subjects</t>
  </si>
  <si>
    <t>NCT06600321</t>
  </si>
  <si>
    <t>A Study to Evaluate ALN-BCAT in Patients With Hepatocellular Carcinoma</t>
  </si>
  <si>
    <t>NCT06782958</t>
  </si>
  <si>
    <t>Safety, Tolerability, and Pharmacokinetics of FHND1002 Granules in Healthy Adults</t>
  </si>
  <si>
    <t>NCT06968858</t>
  </si>
  <si>
    <t>Pilot Study of the α Prototype NIMBLE System: Feasibility, Safety, and Initial Performance in Non-Invasive Detection of Coronary In-Stent Restenosis</t>
  </si>
  <si>
    <t>Nimble Diagnostics S.L.</t>
  </si>
  <si>
    <t>NCT05562947</t>
  </si>
  <si>
    <t>A Study of the Efficacy, Safety, and Pharmacokinetics (PK) of the Port Delivery System With Ranibizumab (PDS) in Chinese Participants With Neovascular Age-related Macular Degeneration (nAMD)</t>
  </si>
  <si>
    <t>NCT06308926</t>
  </si>
  <si>
    <t>MRG-001 as an Immunoregulatory and Regenerative Therapy for ARDS Patients</t>
  </si>
  <si>
    <t>NCT06343714</t>
  </si>
  <si>
    <t>A Study of FB1003 in Healthy and Osteoarthritis Pain Subjects</t>
  </si>
  <si>
    <t>4B Technologies Limited</t>
  </si>
  <si>
    <t>NCT06349811</t>
  </si>
  <si>
    <t>A Study of BL-M05D1 in Patients With Locally Advanced or Metastatic Solid Tumors</t>
  </si>
  <si>
    <t>NCT06475599</t>
  </si>
  <si>
    <t>Anlotinib Hydrochloride Capsules Combined With TQB2450 in the Treatment of Endometrial Cancer</t>
  </si>
  <si>
    <t>NCT06300398</t>
  </si>
  <si>
    <t>IAMA-6 Oral Dose Study in Healthy Adults</t>
  </si>
  <si>
    <t>Iama Therapeutics S.r.l.</t>
  </si>
  <si>
    <t>NCT06541093</t>
  </si>
  <si>
    <t>Study to Evaluate the Safety and Immunogenicity of an HIV-1 Vaccine Regimen of Adjuvanted UVAX-1107 Followed by Adjuvanted UVAX-1107 or Adjuvanted UVAX-1197 in Healthy Subjects Aged 25-55 Years.</t>
  </si>
  <si>
    <t>Uvax Bio LLC</t>
  </si>
  <si>
    <t>NCT06260267</t>
  </si>
  <si>
    <t>A Phase 1b Proof-of-concept Trial Exploring the Effects of FE 999322 and FE 999324 in Adults With Mild to Moderate Ulcerative Colitis</t>
  </si>
  <si>
    <t>NCT06372496</t>
  </si>
  <si>
    <t>Pragmatic Open - Label Randomized Clinical Trial of FF/UMEC/VI vs Non-ellipta Usual Care ICS-LABA for Adult Participants With Uncontrolled Asthma</t>
  </si>
  <si>
    <t>NCT06248086</t>
  </si>
  <si>
    <t>A Study to Find a Suitable Dose of ASP2802 in People With CD20-positive B-cell Lymphomas</t>
  </si>
  <si>
    <t>NCT06715670</t>
  </si>
  <si>
    <t>A Study to Investigate the Blood Concentrations of 4 Different Oral Doses of Zibotentan in Healthy Non-Asian and Japanese Participants</t>
  </si>
  <si>
    <t>NCT06507436</t>
  </si>
  <si>
    <t>The Phase III Clinical Study of Herombopag for the Treatment of Thrombocytopenia in Chronic Liver Disease Patients Undergoing Elective Invasive Surgery</t>
  </si>
  <si>
    <t>NCT06384807</t>
  </si>
  <si>
    <t>A Phase 1/2 Study of BHV-1510 (Previously PBI-410) in Advanced Solid Tumors</t>
  </si>
  <si>
    <t>NCT06463132</t>
  </si>
  <si>
    <t>Phase 1b Clinical Trial to Evaluate PEP and EUFLEXXA for Knee Osteoarthritis (KOA)</t>
  </si>
  <si>
    <t>NCT06438172</t>
  </si>
  <si>
    <t>A Study to Evaluate Efficacy and Safety of HCP1803 Compared to RLD2001-1 in Patients with Essential Hypertension</t>
  </si>
  <si>
    <t>NCT06323928</t>
  </si>
  <si>
    <t>A Dose-finding Trial With Lu-AG09222 in Adults With Migraine Who Have Not Been Helped by Prior Preventive Treatments</t>
  </si>
  <si>
    <t>NCT06745271</t>
  </si>
  <si>
    <t>A Study to Determine How Tebapivat is Absorbed, Broken Down, and Removed From the Body and the Extent to Which Tebapivat is Made Available in the Body in Healthy Participants</t>
  </si>
  <si>
    <t>NCT07549581</t>
  </si>
  <si>
    <t>A Study of SEP-380135 in Adults With Schizophrenia or Major Depressive Episode</t>
  </si>
  <si>
    <t>NCT06597019</t>
  </si>
  <si>
    <t>Study to Evaluate Efficacy and Safety of Inclisiran in Children With Heterozygous Familial Hypercholesterolemia</t>
  </si>
  <si>
    <t>NCT06082167</t>
  </si>
  <si>
    <t>Study of Zanzalintinib (XL092) + Pembrolizumab vs Pembrolizumab in Subjects With PD-L1 Positive Recurrent or Metastatic Head and Neck Squamous Cell Carcinoma</t>
  </si>
  <si>
    <t>NCT06884111</t>
  </si>
  <si>
    <t>Safety and Preliminary Efficacy Study of EE001 in Health/Patients Adults with Mild, Moderate, or Severe (NYHA II-IV) Cardiac Insufficiency</t>
  </si>
  <si>
    <t>Anhui HygeianCells BioMedical Co., Ltd.</t>
  </si>
  <si>
    <t>NCT06578247</t>
  </si>
  <si>
    <t>Quizartinib or Placebo Plus Chemotherapy in Newly Diagnosed Patients With FLT3-ITD Negative AML</t>
  </si>
  <si>
    <t>NCT07014449</t>
  </si>
  <si>
    <t>Clinical Trial of WBC100 Capsule in Relapsed/Refractory Acute Myeloid Leukemia</t>
  </si>
  <si>
    <t>Hangzhou Weben Pharma Co., Ltd</t>
  </si>
  <si>
    <t>NCT06429176</t>
  </si>
  <si>
    <t>Safety, Tolerability, Pharmacokinetics, and Preliminary Efficacy of SPL84 in Patients With Cystic Fibrosis</t>
  </si>
  <si>
    <t>NCT06184568</t>
  </si>
  <si>
    <t>A Study Comparing IBI362 vs Semaglutide in Chinese Adults With Early Type 2 Diabetes and Obesity</t>
  </si>
  <si>
    <t>NCT06241950</t>
  </si>
  <si>
    <t>A Gene Transfer Therapy Study to Evaluate the Safety and Efficacy of Delandistrogene Moxeparvovec (SRP-9001) Following Imlifidase Infusion in Participants With Duchenne Muscular Dystrophy (DMD) Determined to Have Pre-existing Antibodies to Recombinant Adeno-Associated Virus Serotype (rAAVrh74)</t>
  </si>
  <si>
    <t>NCT06598943</t>
  </si>
  <si>
    <t>A Study of Eltrekibart and Mirikizumab in Adult Patients With Moderately to Severely Active Ulcerative Colitis</t>
  </si>
  <si>
    <t>NCT06072040</t>
  </si>
  <si>
    <t>Subcutaneous Implant Combination Product (AUR-201) in Patients With Unilateral Microtia</t>
  </si>
  <si>
    <t>NCT06612255</t>
  </si>
  <si>
    <t>A Study Comparing the Bioavailability of a Taste-masked Delafloxacin Powder for Oral Suspension With the Delafloxacin Tablet in Healthy Adults</t>
  </si>
  <si>
    <t>Melinta Therapeutics, Inc.</t>
  </si>
  <si>
    <t>NCT06559176</t>
  </si>
  <si>
    <t>A Study of the Safety and Efficacy of Prime Editing (PM359) in Participants With p47phox Autosomal Recessive Chronic Granulomatous Disease (CGD )</t>
  </si>
  <si>
    <t>Prime Medicine, Inc.</t>
  </si>
  <si>
    <t>NCT06465368</t>
  </si>
  <si>
    <t>A Study to Learn About the Study Medicine PF-07220060 Together With Letrozole Compared to Letrozole Alone in Women Post Menopause</t>
  </si>
  <si>
    <t>NCT06252649</t>
  </si>
  <si>
    <t>Study of Sotorasib, Panitumumab and FOLFIRI Versus FOLFIRI With or Without Bevacizumab-awwb in Treatment-naïve Participants With Metastatic Colorectal Cancer With KRAS p.G12C Mutation</t>
  </si>
  <si>
    <t>NCT06395610</t>
  </si>
  <si>
    <t>Effect of Erythromycin on the Absorption, Metabolism and Elimination of CHF6001 in Healthy Volunteers</t>
  </si>
  <si>
    <t>NCT06348355</t>
  </si>
  <si>
    <t>A Positron-emission Tomography Study to Determine Brain Exposure of [11C]Savolitinib in Healthy Volunteers</t>
  </si>
  <si>
    <t>NCT06635148</t>
  </si>
  <si>
    <t>A Long-term Extension Study of JNJ-81201887 (AAVCAGsCD59) Parent Studies in Participants With Geographic Atrophy (GA) Secondary to Age-related Macular Degeneration (AMD)</t>
  </si>
  <si>
    <t>NCT07691125</t>
  </si>
  <si>
    <t>Phase IV Study of rhGH Injection in Adult Short Bowel Syndrome</t>
  </si>
  <si>
    <t>NCT06631989</t>
  </si>
  <si>
    <t>A Study to Assess the Efficacy and Safety of WSD0922-FU in Patients With EGFRm+ Advanced Non-small Cell Lung Cancer</t>
  </si>
  <si>
    <t>Wayshine Biopharm, Inc.</t>
  </si>
  <si>
    <t>NCT06600789</t>
  </si>
  <si>
    <t>A Modular Phase 1/2 Study With CT7439 in Participants With Solid Malignancies</t>
  </si>
  <si>
    <t>NCT06659250</t>
  </si>
  <si>
    <t>A Study to Learn How Different Amounts and Forms of the Study Medicine Called PF-06414300 Act in Healthy Adults</t>
  </si>
  <si>
    <t>NCT05821855</t>
  </si>
  <si>
    <t>A Study to Evaluate Adverse Events and Change in Disease Activity With the XEN45 Glaucoma Treatment System Implantation In Adult Participants With Open-Angle Glaucoma in China</t>
  </si>
  <si>
    <t>NCT06596876</t>
  </si>
  <si>
    <t>A Study to Evaluate the Efficacy and Safety of HRG2010 in Parkinson's Disease With Motor Fluctuations</t>
  </si>
  <si>
    <t>NCT06212076</t>
  </si>
  <si>
    <t>Phase I/II Study of IPG1094 in Advanced Solid Tumors Patients</t>
  </si>
  <si>
    <t>NCT06307626</t>
  </si>
  <si>
    <t>A Study of Efgartigimod PH20 SC Given by Prefilled Syringe in Adults With Thyroid Eye Disease.</t>
  </si>
  <si>
    <t>NCT06425991</t>
  </si>
  <si>
    <t>A Study Comparing Pre- and Post-Change Teclistamab in Participants With Relapsed or Refractory Multiple Myeloma</t>
  </si>
  <si>
    <t>NCT06342713</t>
  </si>
  <si>
    <t>A Study to Evaluate the Safety, Tolerability, Pharmacokinetics, and Pharmacodynamics of Single- and Multiple-Ascending Doses and Food Effect of BGB-45035 in Healthy Participants and in Adults With Autoimmune Dermatological Diseases</t>
  </si>
  <si>
    <t>NCT06379217</t>
  </si>
  <si>
    <t>NEPC Study: An Exploratory Safety and Efficacy Study With PSMA, SSTR2 and GRPR Targeted Radioligand Therapy in Metastatic Neuroendocrine Prostate Cancer.</t>
  </si>
  <si>
    <t>NCT06390774</t>
  </si>
  <si>
    <t>A Study to Evaluate the Safety, Tolerability and Preliminary Efficacy of SSGJ-705 Monotherapy in Patients with Advanced Malignant Tumors</t>
  </si>
  <si>
    <t>NCT06025318</t>
  </si>
  <si>
    <t>An Evaluation of the Effect of Food on the PK of a Novel PanCytoVir™ Suspension (100mg/ml), in Healthy, Adult Volunteers</t>
  </si>
  <si>
    <t>NCT06741397</t>
  </si>
  <si>
    <t>A Study to Evaluate the Pharmacokinetics, Safety, and Tolerability of a New Formulation of Cabotegravir Long-Acting Administered Intramuscularly in a 4-month Dosing Interval (Q4M)</t>
  </si>
  <si>
    <t>NCT06079359</t>
  </si>
  <si>
    <t>Phase 3 Study of ALXN1850 in Treatment-Naïve Pediatric Participants With HPP</t>
  </si>
  <si>
    <t>NCT06543303</t>
  </si>
  <si>
    <t>Evaluation of BTV100 in Subjects With Dry Eye Disease</t>
  </si>
  <si>
    <t>BioTheraVision, Inc.</t>
  </si>
  <si>
    <t>NCT06346288</t>
  </si>
  <si>
    <t>A Study to Assess the Concentrations of Risankizumab in the Breast Milk of Adult Lactating Women With Inflammatory Bowel Disease</t>
  </si>
  <si>
    <t>NCT06233227</t>
  </si>
  <si>
    <t>Dutasteride Soft Capsule 0.5 mg Relative to Avodart 0.5 mg Soft Capsule</t>
  </si>
  <si>
    <t>NCT06297603</t>
  </si>
  <si>
    <t>Effect of Retatrutide Compared With Placebo in Participants With Type 2 Diabetes and Moderate or Severe Renal Impairment, With Inadequate Glycemic Control on Basal Insulin, With or Without Metformin and/or SGLT2 Inhibitor (TRANSCEND-T2D-3)</t>
  </si>
  <si>
    <t>NCT05952024</t>
  </si>
  <si>
    <t>Study of Acalabrutinib and Rituximab in Untreated Elderly and/or Frail Patients With DLBCL</t>
  </si>
  <si>
    <t>NCT06549296</t>
  </si>
  <si>
    <t>Clinical Study on Targeted CD19CAR-T Therapy for Autoimmune Diseases</t>
  </si>
  <si>
    <t>NCT05683990</t>
  </si>
  <si>
    <t>Study to Evaluate the Safety and Feasibility of Diamyd® in Individuals at Risk for Type 1 Diabetes</t>
  </si>
  <si>
    <t>NCT06603623</t>
  </si>
  <si>
    <t>Efficacy and Safety Trial of BHV-2100 for the Acute Treatment of Migraine</t>
  </si>
  <si>
    <t>NCT06061523</t>
  </si>
  <si>
    <t>A Clinical Trial to Evaluate Bioavailability and Effect of Food for Sotorasib in Healthy Participants</t>
  </si>
  <si>
    <t>NCT06422624</t>
  </si>
  <si>
    <t>A Study to Evaluate Safety, Tolerability and pK of Semaglutide ER Injectable Suspension in Healthy, Adult Human Subjects</t>
  </si>
  <si>
    <t>Bostal Drug Delivery Co., Ltd</t>
  </si>
  <si>
    <t>NCT06772142</t>
  </si>
  <si>
    <t>Early Feasibility of the Nervonik Peripheral Nerve Stimulation Device</t>
  </si>
  <si>
    <t>Nervonik</t>
  </si>
  <si>
    <t>NCT06475300</t>
  </si>
  <si>
    <t>A Study of BL-B01D1+PD-1 Monoclonal Antibody in Patients With Locally Advanced or Metastatic Non-small Cell Lung Cancer, Nasopharyngeal Carcinoma and Other Solid Tumors</t>
  </si>
  <si>
    <t>NCT06293898</t>
  </si>
  <si>
    <t>Open Label Study to Evaluate BL-M07D1 in HER2 Expressing Malignant Solid Tumors</t>
  </si>
  <si>
    <t>NCT06478693</t>
  </si>
  <si>
    <t>A Study of MT-303 in Adults With Advanced or Metastatic GPC3-Expressing Cancers, Including HCC</t>
  </si>
  <si>
    <t>NCT06375733</t>
  </si>
  <si>
    <t>A Study of GFH009 in Combination With Zanubrutinib in Subjects With Relapsed or Refractory DLBCL</t>
  </si>
  <si>
    <t>NCT06613152</t>
  </si>
  <si>
    <t>HS-IT201 Injection in the Treatment of Advanced Solid Tumors</t>
  </si>
  <si>
    <t>Qingdao Sino-Cell Biomedicine Co., Ltd.</t>
  </si>
  <si>
    <t>NCT06438263</t>
  </si>
  <si>
    <t>A Study to Evaluate Bioavailability of Rocatinlimab Autoinjector and Vial in Healthy Participants</t>
  </si>
  <si>
    <t>NCT06604949</t>
  </si>
  <si>
    <t>A Study of Single Dose of LP-003 in Healthy Adult Subjects</t>
  </si>
  <si>
    <t>NCT06690138</t>
  </si>
  <si>
    <t>A Study to Determine the Effect of Itraconazole on the Pharmacokinetics of Divarasib in Healthy Participants</t>
  </si>
  <si>
    <t>NCT06601504</t>
  </si>
  <si>
    <t>Study of HMPL-760 Plus R-GemOx Versus Placebo Plus R-GemOx in Relapsed/Refractory DLBCL</t>
  </si>
  <si>
    <t>NCT06308393</t>
  </si>
  <si>
    <t>Randomized, Double-blind, Placebo-controlled Study of RSS0393 Ointment in Healthy and Psoriatic Subjects</t>
  </si>
  <si>
    <t>NCT06560645</t>
  </si>
  <si>
    <t>A Study of PRT7732, an Oral SMARCA2 Degrader, in Patients With Advanced or Metastatic Solid Tumors With a SMARCA4 Mutation</t>
  </si>
  <si>
    <t>NCT06175065</t>
  </si>
  <si>
    <t>Safety, PK and PD Relationships of RLS-0071 in Patients With Acute Exacerbation of Chronic Obstructive Pulmonary Disease</t>
  </si>
  <si>
    <t>NCT06687967</t>
  </si>
  <si>
    <t>A Study to Investigate Improvement in Pruritus of Lichen Simplex Chronicus With Dupilumab Injections Compared With Placebo in Male and Female Participants Aged at Least 18 Years (STYLE 1)</t>
  </si>
  <si>
    <t>NCT06534892</t>
  </si>
  <si>
    <t>An Extension and Crossover Vaccination Study on the Immune Response and Safety of a Vaccine Against Respiratory Syncytial Virus Given to Adults 60 Years of Age and Above Who Participated in RSV OA=ADJ-006 Study</t>
  </si>
  <si>
    <t>NCT05906524</t>
  </si>
  <si>
    <t>KD6001 in Combination With Anti-PD-1 Antibody±Bevacizumab in Patients With Advanced HCC and Other Solid Tumors</t>
  </si>
  <si>
    <t>NCT06662123</t>
  </si>
  <si>
    <t>Pharmacokinetic and Safety Study of Subcutaneous and Intravenous Anifrolumab Delivered in Healthy Adult Participants</t>
  </si>
  <si>
    <t>NCT06532396</t>
  </si>
  <si>
    <t>A Study Evaluating Multiple Ascending Doses of QRL-101 in Healthy Participants</t>
  </si>
  <si>
    <t>NCT06233591</t>
  </si>
  <si>
    <t>Evaluating LP-10 in Subjects With OLP</t>
  </si>
  <si>
    <t>NCT06273254</t>
  </si>
  <si>
    <t>NCT06311682</t>
  </si>
  <si>
    <t>A Trial to Evaluate the Efficacy and Safety of Tralokinumab in Combination With Topical Corticosteroids in Children and Infants With Moderate-to-severe Atopic Dermatitis</t>
  </si>
  <si>
    <t>NCT06432296</t>
  </si>
  <si>
    <t>Treatment of Malignant Ascites Caused by Advanced Epithelial Solid Tumors With M701 Bispecific Antibody</t>
  </si>
  <si>
    <t>NCT06570941</t>
  </si>
  <si>
    <t>Benefits of a Cannabidiolic Acid Topical Cream for the Treatment of Restless Leg Syndrome</t>
  </si>
  <si>
    <t>Synthonics Inc</t>
  </si>
  <si>
    <t>NCT06310746</t>
  </si>
  <si>
    <t>A Randomized, Double-Blind, Placebo-Controlled, Single-Dose Escalation Phase I Clinical Study to Assess the Safety, Pharmacokinetics, and Immunogenicity of HLX6018 in Healthy Subjects</t>
  </si>
  <si>
    <t>NCT06275841</t>
  </si>
  <si>
    <t>A Study to Learn If the Study Medicine Esomeprazole Changes How the Body Processes the Other Study Medicine Vepdegestrant</t>
  </si>
  <si>
    <t>NCT06290141</t>
  </si>
  <si>
    <t>A Study to Test the Efficacy and Safety of Riliprubart Against the Usual Treatment of Intravenous Immunoglobulin (IVIg) in People With Chronic Inflammatory Demyelinating Polyneuropathy (CIDP)</t>
  </si>
  <si>
    <t>NCT06612879</t>
  </si>
  <si>
    <t>A Study to Find Out How BIIB141 (Omaveloxolone) Moves From the Blood Into the Breastmilk of Healthy Women Who Are Breastfeeding or Pumping Milk</t>
  </si>
  <si>
    <t>NCT06694805</t>
  </si>
  <si>
    <t>A Study to Evaluate the Effectiveness of Long-acting (LA) Cabotegravir (CAB) + Rilpivirine (RPV) LA When Given to Participants With Detectable HIV-1</t>
  </si>
  <si>
    <t>NCT06229366</t>
  </si>
  <si>
    <t>[Ac-225]-PSMA-62 Trial in Oligometastatic Hormone Sensitive and Metastatic Castration Resistant Prostate Cancer</t>
  </si>
  <si>
    <t>NCT06537310</t>
  </si>
  <si>
    <t>A Dose-escalation Study of RO7567132 as Single Agent and in Combination With Atezolizumab in Participants With Advanced Solid Tumors</t>
  </si>
  <si>
    <t>NCT05975983</t>
  </si>
  <si>
    <t>Study Evaluating INS018_055 Administered Orally to Subjects With Idiopathic Pulmonary Fibrosis</t>
  </si>
  <si>
    <t>NCT06430866</t>
  </si>
  <si>
    <t>Pharmacokinetic Similarity Between ABP 234 and Keytruda® (Pembrolizumab)</t>
  </si>
  <si>
    <t>NCT06305962</t>
  </si>
  <si>
    <t>177Lu-anti-PD-L1 sdAb in Metastatic Solid Tumors</t>
  </si>
  <si>
    <t>NCT07553988</t>
  </si>
  <si>
    <t>A Comparative Dose-finding Study of RS-113 in Patients With Metastatic Castration-resistant Prostate Cancer</t>
  </si>
  <si>
    <t>NCT06179069</t>
  </si>
  <si>
    <t>A Study of ZL-1310 in Subjects With Small Cell Lung Cancer</t>
  </si>
  <si>
    <t>NCT06798454</t>
  </si>
  <si>
    <t>Single Ascending Dose Study to Evaluate Safety Tolerability, Pharmacokinetics, and Pharmacodynamics of PVT201 in Healthy Subjects and Patients (PBC/PSC)</t>
  </si>
  <si>
    <t>Parvus Therapeutics, Inc.</t>
  </si>
  <si>
    <t>NCT06279286</t>
  </si>
  <si>
    <t>Phase Ⅰb/Ⅱ Study of HS-10506 in Chinese Participants With Insomnia Disorder</t>
  </si>
  <si>
    <t>NCT06890286</t>
  </si>
  <si>
    <t>A Study to Evaluate the Pharmacokinetics and Safety Between Single Oral Administration of BR3006 and Co-administration of BR3006A, BR3006B and BR3006C in Healthy Adult Volunteers Under Fasting Conditions</t>
  </si>
  <si>
    <t>NCT06518876</t>
  </si>
  <si>
    <t>A Study of KQ-2003 CAR-T Cell Therapy for Patients With Relapsed or Refractory POEMS Syndrome</t>
  </si>
  <si>
    <t>NCT06308523</t>
  </si>
  <si>
    <t>A Study to Evaluate the Safety, Tolerability, PK and PD of AP303 in Healthy Chinese Participants</t>
  </si>
  <si>
    <t>NCT06569823</t>
  </si>
  <si>
    <t>Safety and Immunogenicity of an Investigational Herpes Zoster Vaccine (Z-1018) Compared to Shingrix® in Healthy Adults 50 Years of Age and Over</t>
  </si>
  <si>
    <t>NCT06280391</t>
  </si>
  <si>
    <t>A Proof-of-Concept Study to Assess the Efficacy, Safety and Tolerability of Itepekimab (Anti-IL-33 mAb) in Participants With Non-cystic Fibrosis Bronchiectasis</t>
  </si>
  <si>
    <t>NCT06521255</t>
  </si>
  <si>
    <t>Evaluate the Safety and Efficacy of Tafasitamab and Lenalidomide in Combination With Gemcitabine and Oxaliplatin Versus Rituximab in Combination With Gemcitabine and Oxaliplatin in Patients With Relapsed/Refractory Diffuse Large B-Cell Lymphoma</t>
  </si>
  <si>
    <t>NCT06082843</t>
  </si>
  <si>
    <t>A Study to Test Whether Avenciguat Helps People With Liver Cirrhosis and High Blood Pressure in the Portal Vein (Main Vessel Going to the Liver) Who Had Bleeding in the Esophagus or Fluid Accumulation in the Belly</t>
  </si>
  <si>
    <t>NCT06644768</t>
  </si>
  <si>
    <t>A Study of Valemetostat Tosylate Plus Pembrolizumab Versus Pembrolizumab Alone in First-Line NSCLC Without Actionable Genomic Alterations</t>
  </si>
  <si>
    <t>NCT06708624</t>
  </si>
  <si>
    <t>Ocular Safety and Usability Study for FYB201 PFS</t>
  </si>
  <si>
    <t>NCT06566079</t>
  </si>
  <si>
    <t>Study of ISM6331 in Participants With Advanced/Metastatic Malignant Mesothelioma or Other Solid Tumors</t>
  </si>
  <si>
    <t>NCT06366568</t>
  </si>
  <si>
    <t>Efficacy of a Eugenol-based Product to Improve the Quality of Toothbrushing and Relieving Gum Discomfort Areas</t>
  </si>
  <si>
    <t>NCT06566820</t>
  </si>
  <si>
    <t>Continuation Protocol for Obstructive Sleep Apnea (OSA)</t>
  </si>
  <si>
    <t>NCT06055959</t>
  </si>
  <si>
    <t>A Study to Evaluate Subcutaneous Zilucoplan in Pediatric Participants With Generalized Myasthenia Gravis</t>
  </si>
  <si>
    <t>NCT06261359</t>
  </si>
  <si>
    <t>A Study of CEND-1 With Chemotherapy as First-Line Therapy in Patients With Pancreatic Ductal Adenocarcinoma</t>
  </si>
  <si>
    <t>NCT06132113</t>
  </si>
  <si>
    <t>DAREON™-7: A Study to Test How Well Different Doses of BI 764532 in Addition to Chemotherapy Are Tolerated by People With Advanced Neuroendocrine Cancers</t>
  </si>
  <si>
    <t>NCT06641908</t>
  </si>
  <si>
    <t>Anti-GD2 ADC M3554 in Advanced Solid Tumors</t>
  </si>
  <si>
    <t>NCT06619613</t>
  </si>
  <si>
    <t>A Study of CM383 in Patients With Alzheimer's Disease Related Mild Cognitive Impairment and Mild Alzheimer's Disease</t>
  </si>
  <si>
    <t>NCT06510413</t>
  </si>
  <si>
    <t>An Bioequivalence Study of Loxoprofen Sodium Patches in Healthy Volunteers</t>
  </si>
  <si>
    <t>NCT06140524</t>
  </si>
  <si>
    <t>A Proof-of-Concept Study to Learn Whether Linvoseltamab Can Eliminate Abnormal Plasma Cells That May Lead to Multiple Myeloma in Adult Patients With High-Risk Monoclonal Gammopathy of Undetermined Significance or Non-High-Risk Smoldering Multiple Myeloma</t>
  </si>
  <si>
    <t>NCT07442149</t>
  </si>
  <si>
    <t>An Investigational Study to Evaluate the Safety and Tolerability of Single and Multiple Ascending Doses of A-005</t>
  </si>
  <si>
    <t>NCT07092618</t>
  </si>
  <si>
    <t>Effectiveness of Alternative Therapies in Maintaining Weight Loss Achieved by GLP-1 Medications Post-Cessation</t>
  </si>
  <si>
    <t>NCT06713135</t>
  </si>
  <si>
    <t>A Study on Safety and Effectiveness of Long-term Treatment With Vamorolone in Boys With Duchenne Muscular Dystrophy</t>
  </si>
  <si>
    <t>NCT06412926</t>
  </si>
  <si>
    <t>A Study to Learn About How Much Emodepside Gets Absorbed in the Blood and How Food Affects Its Absorption When Given as a New Type of Tablet to Healthy Participants</t>
  </si>
  <si>
    <t>NCT06451640</t>
  </si>
  <si>
    <t>A Extension Clinical Study of TQC2731 Injection in the Treatment of Chronic Sinusitis With Nasal Polyps</t>
  </si>
  <si>
    <t>NCT06310291</t>
  </si>
  <si>
    <t>VTP-1000 in Adults With Celiac Disease</t>
  </si>
  <si>
    <t>NCT06699108</t>
  </si>
  <si>
    <t>Study to Evaluate the Efficacy and Safety of VGR-R01 Gene Therapy in Patients With Bietti Crystalline Dystrophy</t>
  </si>
  <si>
    <t>NCT06672276</t>
  </si>
  <si>
    <t>To Evaluate the Pharmacokinetics and Safety of TQD3606 for Injection in Subjects With Renal Insufficiency</t>
  </si>
  <si>
    <t>NCT06420089</t>
  </si>
  <si>
    <t>CD5-deleted Chimeric Antigen Receptor Cells (Senza5 CART5) for T Cell Non-Hodgkin Lymphoma (NHL)</t>
  </si>
  <si>
    <t>Vittoria Biotherapeutics</t>
  </si>
  <si>
    <t>NCT05622591</t>
  </si>
  <si>
    <t>ELU001 in Pediatric Subjects Who Have Relapsed and/or Refractory CBFA2T3-GLIS2-positive AML</t>
  </si>
  <si>
    <t>NCT06673108</t>
  </si>
  <si>
    <t>Vaginal Photobiomodulation for Chronic Pelvic Pain</t>
  </si>
  <si>
    <t>SoLa Pelvic Therapy</t>
  </si>
  <si>
    <t>NCT06373991</t>
  </si>
  <si>
    <t>A Study to Evaluate the Safety and Efficacy of ATHENA CAR-T in Subjects With Systemic Lupus Erythematosus</t>
  </si>
  <si>
    <t>EdiGene Inc.</t>
  </si>
  <si>
    <t>NCT06549790</t>
  </si>
  <si>
    <t>Study of NMS-03597812 in Adult Patients With Relapsed/Refractory Acute Myeloid Leukemia</t>
  </si>
  <si>
    <t>NCT06446310</t>
  </si>
  <si>
    <t>Phase 3 Study of QLG2198 in Haemodialysis Chinese Adult Subjects With Moderate-to-Severe Pruritus</t>
  </si>
  <si>
    <t>NCT06526182</t>
  </si>
  <si>
    <t>A Study of Lebrikizumab Treatment in Adults and Adolescents With Moderate-to-Severe Atopic Dermatitis</t>
  </si>
  <si>
    <t>NCT06392074</t>
  </si>
  <si>
    <t>A Study Investigating the Safety, Absorption, and Elimination of MB04, a New Compound That May Potentially be Used in the Treatment of Autoimmune Disorders</t>
  </si>
  <si>
    <t>NCT06104124</t>
  </si>
  <si>
    <t>A Study to Evaluate the Efficacy and Safety of Dazodalibep in Participants With Sjögren's Syndrome (SS) With Moderate-to-severe Systemic Disease Activity</t>
  </si>
  <si>
    <t>NCT06584071</t>
  </si>
  <si>
    <t>A Study to Evaluate of PM8002 Combined With PM1009 in Patients With First-line HCC</t>
  </si>
  <si>
    <t>NCT06241781</t>
  </si>
  <si>
    <t>Autologous Tumor Infiltrating Lymphocytes (GT101 Injection) in Patients With Recurrent or Metastatic Cervical Cancer</t>
  </si>
  <si>
    <t>NCT06295692</t>
  </si>
  <si>
    <t>A Study of JNJ-77242113 for the Treatment of Participants With Generalized Pustular Psoriasis or Erythrodermic Psoriasis</t>
  </si>
  <si>
    <t>NCT06291857</t>
  </si>
  <si>
    <t>A Study to Evaluate the Safety and Immunogenicity of COVID-19 Vaccine and Influenza Combination Vaccine</t>
  </si>
  <si>
    <t>NCT06274801</t>
  </si>
  <si>
    <t>Open-label Extension Study of Seralutinib in Adult Subjects With PAH (PROSERA-EXT)</t>
  </si>
  <si>
    <t>NCT06568471</t>
  </si>
  <si>
    <t>A Study on Efficacy and Safety of HST101 in Chinese Patients with Hypercholesterolemia</t>
  </si>
  <si>
    <t>NCT06233045</t>
  </si>
  <si>
    <t>Dapagliflozin Tablet 10 mg Relative to Forxiga® Tablets 10 mg</t>
  </si>
  <si>
    <t>NCT06193811</t>
  </si>
  <si>
    <t>A Study in Healthy People to Compare Two Different Tablets of BI 685509 and to Test How Food and Esomeprazole Influence the Amount of BI 685509 in the Blood</t>
  </si>
  <si>
    <t>NCT06662539</t>
  </si>
  <si>
    <t>Once-weekly Petrelintide Versus Placebo for Obesity or Overweight With Co-morbidities</t>
  </si>
  <si>
    <t>NCT06487572</t>
  </si>
  <si>
    <t>A Study to Assess Pharmacokinetic Exposures Following Intravenous and Subcutaneous Administration of Risankizumab in Healthy Participants</t>
  </si>
  <si>
    <t>NCT06236295</t>
  </si>
  <si>
    <t>Investigating the Safety and Efficacy of SHR6508 Injection in the Treatment of Secondary Hyperparathyroidism in Hemodialysis Patients : A Multicenter, Long-term Clinical Trial</t>
  </si>
  <si>
    <t>NCT06266767</t>
  </si>
  <si>
    <t>Programmed Intermittent Epidural Bolus (PIEB) Techniques for Labour Analgesia</t>
  </si>
  <si>
    <t>NCT06210607</t>
  </si>
  <si>
    <t>A Trial of HS-10511 in Healthy Subjects</t>
  </si>
  <si>
    <t>NCT06079736</t>
  </si>
  <si>
    <t>A Study Of PGN-EDO51 In Participants With Duchenne Muscular Dystrophy Amenable To Exon 51-Skipping Treatment</t>
  </si>
  <si>
    <t>NCT06221072</t>
  </si>
  <si>
    <t>A Study to Assess the Prevention of Bone-related Events in Patients With Bone Metastases From Malignant Solid Tumors Treated With JMT103 Compared to Zoledronic Acid</t>
  </si>
  <si>
    <t>NCT06371157</t>
  </si>
  <si>
    <t>A Study of AK104+Lenvatinib in Combination With Transarterial Chemoembolization (TACE) Versus TACE in Participants With Incurable/Non-metastatic Hepatocellular Carcinoma</t>
  </si>
  <si>
    <t>NCT06109272</t>
  </si>
  <si>
    <t>A Study to Assess the Dose, Adverse Events, and Change in Disease Activity of Livmoniplimab as an Intravenous (IV) Solution in Combination With Budigalimab as an IV Solution in Adult Participants With Hepatocellular Carcinoma (HCC)</t>
  </si>
  <si>
    <t>NCT07137819</t>
  </si>
  <si>
    <t>Phase 3 - Evaluation of Veregen® 10% Ointment as New Herbal Topical Treatment for Actinic Keratosis</t>
  </si>
  <si>
    <t>Aresus Pharma GmbH</t>
  </si>
  <si>
    <t>NCT07260305</t>
  </si>
  <si>
    <t>A Phase I Study to Investigate the Safety and Tolerability of KGX101 Monotherapy and Combination Therapy With Envafolimab in Advanced or Metastatic Solid Tumor Patients</t>
  </si>
  <si>
    <t>NCT06248619</t>
  </si>
  <si>
    <t>A Trial to Investigate Teprotumumab Subcutaneous Administration Compared With Placebo in Male and Female Adult Participants With Moderate-to-severe Active Thyroid Eye Disease</t>
  </si>
  <si>
    <t>NCT06325930</t>
  </si>
  <si>
    <t>A Study to Investigate the Absorption, Metabolism, and Excretion of [14C]-HU6</t>
  </si>
  <si>
    <t>NCT06561386</t>
  </si>
  <si>
    <t>A Study to Compare the Efficacy of Nivolumab and Relatlimab Plus Chemotherapy vs Pembrolizumab Plus Chemotherapy for Stage IV/Recurrent Non-squamous Non-small Cell Lung Cancer With PD-L1 Expression ≥ 1%</t>
  </si>
  <si>
    <t>NCT06445062</t>
  </si>
  <si>
    <t>Study of RAS(ON) Inhibitors in Patients With Gastrointestinal Solid Tumors</t>
  </si>
  <si>
    <t>NCT06582602</t>
  </si>
  <si>
    <t>A Study of MK-2060 in Healthy Participants (MK-2060-016)</t>
  </si>
  <si>
    <t>NCT06555601</t>
  </si>
  <si>
    <t>A First-in-human Study to Evaluate the Safety, Tolerability, and Pharmacokinetics of UCB3101 in Healthy Participants</t>
  </si>
  <si>
    <t>NCT06265688</t>
  </si>
  <si>
    <t>First In Human Study of CX-2051 in Advanced Solid Tumors</t>
  </si>
  <si>
    <t>NCT06450886</t>
  </si>
  <si>
    <t>Long-term Extension Study of Ulviprubart (ABC008) in Subjects With Inclusion Body Myositis</t>
  </si>
  <si>
    <t>NCT06363994</t>
  </si>
  <si>
    <t>A Global Phase 3 Study of Orelabrutinib+BR Vs.BR in Pts with TN MCL</t>
  </si>
  <si>
    <t>NCT06438783</t>
  </si>
  <si>
    <t>TQB2928 Injection Combined Anlotinib Hydrochloride Capsule in Recurrent/Metastatic Osteosarcoma and Other Solid Tumors</t>
  </si>
  <si>
    <t>NCT06587451</t>
  </si>
  <si>
    <t>Integrated Pharmacokinetics (PK)/Efficacy, Safety, and Immunogenicity Study to Demonstrate Similarity of JPB898, a Proposed Biosimilar to Nivolumab, to Opdivo® in Combination With Yervoy®</t>
  </si>
  <si>
    <t>NCT06226545</t>
  </si>
  <si>
    <t>A Study to Evaluate the Efficacy and Safety of LASN01 in Patients With Thyroid Eye Disease</t>
  </si>
  <si>
    <t>Lassen Therapeutics Inc.</t>
  </si>
  <si>
    <t>NCT06400472</t>
  </si>
  <si>
    <t>A Study of LY4170156 in Participants With Selected Advanced Solid Tumors</t>
  </si>
  <si>
    <t>NCT06471673</t>
  </si>
  <si>
    <t>A Study of BRIA-OTS Cellular Immunotherapy in Metastatic Recurrent Breast Cancer</t>
  </si>
  <si>
    <t>NCT06167681</t>
  </si>
  <si>
    <t>The Safety, Tolerability and Efficacy of NouvNeu001 for Parkinson's Disease</t>
  </si>
  <si>
    <t>iRegene Therapeutics Co., Ltd.</t>
  </si>
  <si>
    <t>NCT06737081</t>
  </si>
  <si>
    <t>SAL-0951 in the Treatment of Chemotherapy-induced Anemia in Patients With Non-myeloid Malignancies</t>
  </si>
  <si>
    <t>NCT06536400</t>
  </si>
  <si>
    <t>Phase I Study of HSK42360 in Solid Tumors With BRAF V600 Mutation</t>
  </si>
  <si>
    <t>NCT06209736</t>
  </si>
  <si>
    <t>Safety and Efficacy Study of OMS906 in Patients With C3G and ICGN</t>
  </si>
  <si>
    <t>NCT06073132</t>
  </si>
  <si>
    <t>An International, Multicenter, Randomized, Double-Blind, Parallel Group, Vehicle-Controlled, Phase 2/3 Study With Open-Label Extension Evaluating the Efficacy and Safety of Diacerein 1% Ointment for the Treatment of Generalized Epidermolysis Bullosa Simplex (EBS)</t>
  </si>
  <si>
    <t>NCT06621563</t>
  </si>
  <si>
    <t>Phase Ib Trial of HS-20117 in Combination With Other Drugs in Advanced Solid Tumors</t>
  </si>
  <si>
    <t>NCT05214911</t>
  </si>
  <si>
    <t>Fixed Dose Combination of Desloratadine / Prednisolone in the Treatment of Moderate Severe Allergic Rhinitis in Children</t>
  </si>
  <si>
    <t>NCT06201416</t>
  </si>
  <si>
    <t>Study of Single Doses of SBT777101 in Subjects With Rheumatoid Arthritis</t>
  </si>
  <si>
    <t>NCT06337084</t>
  </si>
  <si>
    <t>Diagnostic Efficacy and Dosimetry of MNPR-101-DFO*-89Zr in Patients With Solid Tumors</t>
  </si>
  <si>
    <t>NCT06031584</t>
  </si>
  <si>
    <t>A Study of BL-M07D1 in Patients With a Variety of Solid Tumors Including Locally Advanced or Metastatic HER2-positive/Low-expressing Urinary and Gastrointestinal Tumors</t>
  </si>
  <si>
    <t>NCT06775730</t>
  </si>
  <si>
    <t>A Drug-Drug Interaction Study of S-217622 With Combined Oral Contraceptives in Healthy Adult Female Participants</t>
  </si>
  <si>
    <t>NCT06948032</t>
  </si>
  <si>
    <t>Study of BLU-808 in Healthy Adult Participants</t>
  </si>
  <si>
    <t>NCT06547216</t>
  </si>
  <si>
    <t>Phase 2 Open-label Extension Study of AOC 1020 in Participants With Facioscapulohumeral Muscular Dystrophy (FSHD)</t>
  </si>
  <si>
    <t>NCT06174987</t>
  </si>
  <si>
    <t>A Study to Provide Continued Access to and Assess Long-Term Safety of the Study Drug(s)</t>
  </si>
  <si>
    <t>NCT06517914</t>
  </si>
  <si>
    <t>A First-in-Human, Single- and Multiple-Ascending Dose Study of YH35995 in Healthy Adult Male Participants</t>
  </si>
  <si>
    <t>NCT06394492</t>
  </si>
  <si>
    <t>SHR-A1921 for Injection in Patients With Platinum-Resistant Recurrent Epithelial Ovarian Cancer</t>
  </si>
  <si>
    <t>NCT05940844</t>
  </si>
  <si>
    <t>Study of OB-002 in Patients With Refractory Metastatic Cancer</t>
  </si>
  <si>
    <t>Orion Biotechnology Polska Sp. z o.o.</t>
  </si>
  <si>
    <t>NCT06280716</t>
  </si>
  <si>
    <t>A Study of Lebrikizumab (LY3650150) With/Without Topical Corticosteroid Treatment in Participants With Moderate-to-Severe Atopic Dermatitis</t>
  </si>
  <si>
    <t>NCT06478706</t>
  </si>
  <si>
    <t>A Two-Part Study to Evaluate the Efficacy, Safety, Tolerability and Pharmacokinetics of Repeat Doses of Inhaled ETD001 in People With Cystic Fibrosis</t>
  </si>
  <si>
    <t>NCT06352892</t>
  </si>
  <si>
    <t>A Study to Evaluate AMG 133 in Chinese Participants With Obesity or Overweight</t>
  </si>
  <si>
    <t>NCT06570655</t>
  </si>
  <si>
    <t>The Study of Pharmacokinetics and Pharmacodynamics of Huperzine a Injection in Healthy Chinese Subjects</t>
  </si>
  <si>
    <t>NCT07051538</t>
  </si>
  <si>
    <t>A Phase I Clinical Trial of Single Subcutaneous Injection or Intravenous Infusion of SHR-1139 Injection in Healthy Chinese Subjects and Multiple Subcutaneous Injections in Patients With Moderate-to-severe Plaque Psoriasis</t>
  </si>
  <si>
    <t>NCT06509958</t>
  </si>
  <si>
    <t>Phase Ⅱ Study of Adductor Canal Block With HR18034 for Postsurgical Pain Management in TKA</t>
  </si>
  <si>
    <t>NCT06508658</t>
  </si>
  <si>
    <t>A Study of Subcutaneously Injected Epcoritamab Plus Oral Lenalidomide Tablets Compared to Intravenously (IV) Infused Rituximab Plus IV Infused Gemcitabine and IV Infused Oxaliplatin in Adult Participants With Relapsed or Refractory Diffuse Large B-Cell Lymphoma</t>
  </si>
  <si>
    <t>NCT04137978</t>
  </si>
  <si>
    <t>Study Evaluating Patients With Cystinuria</t>
  </si>
  <si>
    <t>NCT05845008</t>
  </si>
  <si>
    <t>A Multiple-Dose Safety Study of Fixed Combination of Acetaminophen/Naproxen Sodium in Adolescents With Orthodontic Pain</t>
  </si>
  <si>
    <t>NCT06672549</t>
  </si>
  <si>
    <t>A Platform Trial for Pediatric Participants With Obesity or Overweight (LY900040)</t>
  </si>
  <si>
    <t>NCT06736509</t>
  </si>
  <si>
    <t>An Open-Label Study to Assess the Long-term Safety of AXS-05 in Subjects With Dementia of the Alzheimer's Type, ADVANCE-2 and ACCORD-2 Extension Study</t>
  </si>
  <si>
    <t>NCT06656026</t>
  </si>
  <si>
    <t>Pharmacokinetics，Safety and Efficacy of ZSP1273 in Children 2-17 Years Old With Influenza A</t>
  </si>
  <si>
    <t>NCT06277609</t>
  </si>
  <si>
    <t>A Trial Investigating Lu AF28996 in Healthy Adult Participants</t>
  </si>
  <si>
    <t>NCT06584032</t>
  </si>
  <si>
    <t>Study of Fruquintinib Plus Sintilimab for Treatment of Advanced Endometrial Cancer</t>
  </si>
  <si>
    <t>NCT06213363</t>
  </si>
  <si>
    <t>A Phase Ib/II Clinical Study in Patients With Refractory Chronic Cough</t>
  </si>
  <si>
    <t>NCT05115838</t>
  </si>
  <si>
    <t>Radiopaque Matrix MK-8591 Implant in Participants at Low-Risk for Human Immunodeficiency Virus Type 1 (HIV-1) Infection (MK-8591-043)</t>
  </si>
  <si>
    <t>NCT05919238</t>
  </si>
  <si>
    <t>Padeliporfin VTP Treatment for Unresectable Pancreatic Adenocarcinoma</t>
  </si>
  <si>
    <t>Impact Biotech Ltd</t>
  </si>
  <si>
    <t>NCT06158958</t>
  </si>
  <si>
    <t>A Study to Assess the Safety, Pharmacokinetics, and Efficacy of Intravenous (IV) ABBV-303, as Monotherapy and in Combination With IV Infused Budigalimab (ABBV-181), in Adults With Advanced Solid Tumors</t>
  </si>
  <si>
    <t>NCT06932471</t>
  </si>
  <si>
    <t>Study of Safety and Efficacy of MY008211A in Patients With Residual Anemia Despite Anti-C5 Antibody Treatment</t>
  </si>
  <si>
    <t>NCT06663332</t>
  </si>
  <si>
    <t>A Long-term Extension (LTE) Study of Guselkumab in Pediatric Participants</t>
  </si>
  <si>
    <t>NCT07437404</t>
  </si>
  <si>
    <t>Efficacy and Safety Evaluation Study of SCT800 in Previously Untreated Hemophilia A Patients.</t>
  </si>
  <si>
    <t>NCT06425549</t>
  </si>
  <si>
    <t>A Study to Evaluate the Efficacy and Safety of Bimekizumab Compared to Ustekinumab in Children and Adolescents From 6 Years to Less Than 18 Years of Age With Moderate to Severe Plaque Psoriasis</t>
  </si>
  <si>
    <t>NCT06745804</t>
  </si>
  <si>
    <t>Study of 68Ga-R10602</t>
  </si>
  <si>
    <t>NCT06178055</t>
  </si>
  <si>
    <t>A Study of the Efficacy and Safety of KUS121 in Participants With Acute Non-Arteritic Central Retinal Artery Occlusion (CRAO)</t>
  </si>
  <si>
    <t>Kyoto Drug Discovery and Development Co., Ltd.</t>
  </si>
  <si>
    <t>NCT06384976</t>
  </si>
  <si>
    <t>KYSA-7: A Study of Anti-CD19 CAR T-Cell Therapy, in Subjects With Refractory Primary and Secondary Progressive Multiple Sclerosis</t>
  </si>
  <si>
    <t>NCT06326047</t>
  </si>
  <si>
    <t>A Research Study Comparing How Well Different Doses of the Medicine NN0519-0130 Lower Blood Sugar in People With Type 2 Diabetes</t>
  </si>
  <si>
    <t>NCT06340958</t>
  </si>
  <si>
    <t>A Study of CLE-100 (Oral Esketamine) as an Adjunctive Treatment to Standard Antidepressants for Major Depressive Disorder</t>
  </si>
  <si>
    <t>Clexio Biosciences Ltd.</t>
  </si>
  <si>
    <t>NCT06367426</t>
  </si>
  <si>
    <t>A Phase I Study of DDN-A-0101 in Healthy Volunteers and Elder People</t>
  </si>
  <si>
    <t>Pharmacobio</t>
  </si>
  <si>
    <t>NCT06622226</t>
  </si>
  <si>
    <t>A Study of ONO-7018 in Patients With Relapsed or Refractory Non-Hodgkin Lymphoma</t>
  </si>
  <si>
    <t>NCT06315738</t>
  </si>
  <si>
    <t>Study to Assess the Safety, Tolerability, and Preliminary Efficacy of ST266 in Infants With Necrotizing Enterocolitis (NEC)</t>
  </si>
  <si>
    <t>NCT07206043</t>
  </si>
  <si>
    <t>Pharmacokinetics, Safety and Immunogenicity of RPH-104 at a New Dosage and Different Doses Via Single Subcutaneous and Intravenous Administration in Healthy Volunteers</t>
  </si>
  <si>
    <t>NCT07640425</t>
  </si>
  <si>
    <t>Safety and Efficacy Study of Collagenase CNT201 Injection for Treatment of Dupuytren's Contracture</t>
  </si>
  <si>
    <t>CONNEXT</t>
  </si>
  <si>
    <t>NCT07204236</t>
  </si>
  <si>
    <t>Study to Evaluate Immunogenicity and Safety of TVAX-008 Injection in Non/Treated Chronic Hepatitis B Patients With HBsAg≤20IU/ml or HBsAg Negative Without Serological Conversion</t>
  </si>
  <si>
    <t>NCT06460064</t>
  </si>
  <si>
    <t>First-in-human Study to Assess the Safety, Tolerability and Immunogenicity of the Adjuvanted Universal Influenza Vaccine fH1/DSP-0546LP</t>
  </si>
  <si>
    <t>NCT06852092</t>
  </si>
  <si>
    <t>Study on Mass Balance of [14C]HSK39297 in Healthy Chinese Adult Male Subjects</t>
  </si>
  <si>
    <t>NCT06360419</t>
  </si>
  <si>
    <t>Progressing TAAR-1, Dopamine, and Norepinephrine in Depression Using Solriamfetol</t>
  </si>
  <si>
    <t>NCT06239298</t>
  </si>
  <si>
    <t>A Study of ZG005 Combined With Donafenib in Patients With Advanced Solid Tumor</t>
  </si>
  <si>
    <t>NCT06491563</t>
  </si>
  <si>
    <t>Study to Investigate the Efficacy and Safety of Regimens Containing BRII-179, BRII-835, and PEG-IFNα Treating Chronic Hepatitis B Virus (HBV) Infection (ENRICH)</t>
  </si>
  <si>
    <t>NCT06690775</t>
  </si>
  <si>
    <t>CATALINA-2: A Clinical Study of TORL-1-23 in Platinum-resistant Ovarian Cancer.</t>
  </si>
  <si>
    <t>NCT06326411</t>
  </si>
  <si>
    <t>A Study to Investigate the Safety and Efficacy of NST-628 Oral Tablets in Subjects With Solid Tumors</t>
  </si>
  <si>
    <t>Nested Therapeutics, Inc</t>
  </si>
  <si>
    <t>NCT06712771</t>
  </si>
  <si>
    <t>A Phase 3 Clinical Trial to Evaluate the Efficacy and Safety of VSA003 in Chinese HoFH Patients</t>
  </si>
  <si>
    <t>NCT06704334</t>
  </si>
  <si>
    <t>The Study of Ginkgo Leaf Dropping Pills and Huperzine a Injection Combined with Median Nerve Electrical Stimulation in the Treatment of Cognitive Impairment After Brain Injury</t>
  </si>
  <si>
    <t>NCT06507839</t>
  </si>
  <si>
    <t>Study to Assess the Safety, Tolerability, Pharmacokinetic of Thrv-1268</t>
  </si>
  <si>
    <t>NCT06370039</t>
  </si>
  <si>
    <t>Study of INV-102 Ophthalmic Solution in Adults With Moderate to Severe Dry Eye Disease</t>
  </si>
  <si>
    <t>NCT06386419</t>
  </si>
  <si>
    <t>A Clinical Study to Evaluate the Safety and Effectiveness of Inclisiran Sodium in Indian Patients With Primary Hypercholesterolemia or Mixed Dyslipidemia</t>
  </si>
  <si>
    <t>NCT06436781</t>
  </si>
  <si>
    <t>Effect of Maolactin™ FMR on Exercise Recovery, Inflammation, and Muscle Comfort in an Otherwise Healthy Population</t>
  </si>
  <si>
    <t>NCT06206265</t>
  </si>
  <si>
    <t>Assessment of Psilocybin (TRP-8802) in Concert With Psychotherapy in Patients With Irritable Bowel Syndrome (IBS)</t>
  </si>
  <si>
    <t>NCT06391736</t>
  </si>
  <si>
    <t>Evaluation of the Safety and Efficacy of Late-onset Pompe Disease Gene Therapy Drug</t>
  </si>
  <si>
    <t>NCT06114511</t>
  </si>
  <si>
    <t>A Study of BL-M07D1 in Patients With HER2-mutated, Locally Advanced or Metastatic Non-small-cell Lung Cancer</t>
  </si>
  <si>
    <t>NCT05975021</t>
  </si>
  <si>
    <t>A Safety and Efficacy Trial of Istaroxime for Cardiogenic Shock Stage C</t>
  </si>
  <si>
    <t>NCT07183306</t>
  </si>
  <si>
    <t>A Clinical Study of HT-101 and/or HT-102 in Patients With Chronic Hepatitis B Virus Infection</t>
  </si>
  <si>
    <t>NCT06289933</t>
  </si>
  <si>
    <t>A Study to Compare the Pharmacokinetics and the Safety Between a Fixed-dose Combination Administration of "BR3005" and Co-administration of "BR3005-1" and "BR3005-2" Under Fed Conditions in Healthy Adult Volunteers</t>
  </si>
  <si>
    <t>NCT06490328</t>
  </si>
  <si>
    <t>Efficacy and Safety of DKF-MA102 in Patients With Prostate Cancer</t>
  </si>
  <si>
    <t>NCT06346834</t>
  </si>
  <si>
    <t>Sequential Vaccination of Poliomyelitis Vaccine (Vero Cells), Inactivated, Sabin Strains From Different Manufacturers</t>
  </si>
  <si>
    <t>NCT06213506</t>
  </si>
  <si>
    <t>A Study on the Safety, Reactogenicity, and Immune Response to the GVGH iNTS-GMMA Vaccine Against Invasive Nontyphoidal Salmonella in Adults, Children, and Infants</t>
  </si>
  <si>
    <t>NCT06645808</t>
  </si>
  <si>
    <t>PET-imaging of Two Vartumabs in Patients With Solid Tumors</t>
  </si>
  <si>
    <t>Var2 Pharmaceuticals</t>
  </si>
  <si>
    <t>NCT06267963</t>
  </si>
  <si>
    <t>A Study to Understand What the Body Does to the Study Medicine Called PF-07220060 When Taken by Healthy Adults</t>
  </si>
  <si>
    <t>NCT06433947</t>
  </si>
  <si>
    <t>Study to Assess Safety and Tolerability of OPN-6602 in Subjects With Relapsed and/or Refractory Multiple Myeloma</t>
  </si>
  <si>
    <t>NCT06538558</t>
  </si>
  <si>
    <t>Study to Assess the Use of Tezampanel for Opioid Withdrawal Syndrome in Treatment-Seeking Patients With Opioid Use Disorder</t>
  </si>
  <si>
    <t>Proniras Corporation</t>
  </si>
  <si>
    <t>NCT06401538</t>
  </si>
  <si>
    <t>BMB-101 in Absence Epilepsy and DEE</t>
  </si>
  <si>
    <t>NCT06589765</t>
  </si>
  <si>
    <t>A Study of HRS-7535 Compared With Dapagliflozin in Adult Participants With Type 2 Diabetes and Inadequately Controlled With Metformin</t>
  </si>
  <si>
    <t>NCT06575933</t>
  </si>
  <si>
    <t>A Study of Calderasib (MK-1084) With Midazolam and Digoxin in Healthy Participants (MK-1084-009)</t>
  </si>
  <si>
    <t>NCT06231381</t>
  </si>
  <si>
    <t>Efficacy and Safety of HB0034 in Patients with Generalized Pustular Psoriasis (GPP)</t>
  </si>
  <si>
    <t>NCT06722430</t>
  </si>
  <si>
    <t>A Study to Assess Change in How Oral Icalcaprant With Itraconazole Moves Through the Body in Healthy Adult Participants</t>
  </si>
  <si>
    <t>NCT06530251</t>
  </si>
  <si>
    <t>A Study of AK112 in Patients With Advanced Hepatocellular Carcinoma (HCC)</t>
  </si>
  <si>
    <t>NCT06284902</t>
  </si>
  <si>
    <t>Bioavailability Study of Fexofenadine HCl New Formulation Tablet</t>
  </si>
  <si>
    <t>NCT06365853</t>
  </si>
  <si>
    <t>A Study of Ocular Toxicity Evaluation and Mitigation During Treatment With Mirvetuximab Soravtansine in Participants With Recurrent Ovarian Cancer With High Folate Receptor-Alpha Expression</t>
  </si>
  <si>
    <t>NCT07344519</t>
  </si>
  <si>
    <t>The Safety and Tolerability Study With ER2001 Intravenous Injection Repetitive Treatment in Adults With Early Manifest Huntington's Disease.</t>
  </si>
  <si>
    <t>NCT06359600</t>
  </si>
  <si>
    <t>A Study of HS-10501 Tablets in Healthy Subjects</t>
  </si>
  <si>
    <t>NCT04958772</t>
  </si>
  <si>
    <t>Biosimilarity Study of Subcutaneous Filgrastim in Healthy Volunteers</t>
  </si>
  <si>
    <t>NCT06554054</t>
  </si>
  <si>
    <t>A Study of GZR18 Tablet in Chinese Healthy Subjects</t>
  </si>
  <si>
    <t>NCT06198556</t>
  </si>
  <si>
    <t>Effect of Rifampicin on the Pharmacokinetics of HRS-1167 in Healthy Subjects</t>
  </si>
  <si>
    <t>NCT06475131</t>
  </si>
  <si>
    <t>A Study of BL-B16D1 in Patients With Locally Advanced or Metastatic Solid Tumors</t>
  </si>
  <si>
    <t>NCT06277245</t>
  </si>
  <si>
    <t>A Phase 3 Study of LNK01001 Capsule in Subjects With Moderate to Severe Atopic Dermatitis.</t>
  </si>
  <si>
    <t>NCT06114745</t>
  </si>
  <si>
    <t>A Trial of SHR-1707 Infusion in Patients With Mild Cognitive Impairment Due to Alzheimer's Disease and Mild Alzheimer's Disease</t>
  </si>
  <si>
    <t>NCT06422039</t>
  </si>
  <si>
    <t>Bioavailability and Food Effects of HRS-7535 Tablets With Different Formulating Processes in Healthy Subjects</t>
  </si>
  <si>
    <t>NCT07253441</t>
  </si>
  <si>
    <t>A Trial to Characterize Differences in Blood Levels of Different Lots of Centanafadine QD XR and to Understand the Effect of Food on Blood Levels</t>
  </si>
  <si>
    <t>NCT05880056</t>
  </si>
  <si>
    <t>Study of Bisoprolol (Nerkardou - Nerhadou International) 5 and 10 mg Oral Dissolvable Film (ODF) Treatment in Egyptian Patients With Essential Hypertension</t>
  </si>
  <si>
    <t>NCT05801146</t>
  </si>
  <si>
    <t>Evaluate the Safety and Efficacy of HG102 as Compared to Botox® in Subject With Moderate to Severe Glabellar Lines</t>
  </si>
  <si>
    <t>NCT06428903</t>
  </si>
  <si>
    <t>Comparative Bioavailability Study of Tablet and Granule Formulations of ADC189 and the Study of Ultra-high Dose</t>
  </si>
  <si>
    <t>NCT06733441</t>
  </si>
  <si>
    <t>A Study of TLN-254 in Participants With Relapsed or Refractory T-cell Lymphoma</t>
  </si>
  <si>
    <t>Treeline Biosciences, Inc.</t>
  </si>
  <si>
    <t>NCT06226766</t>
  </si>
  <si>
    <t>JSKN033 in Patients With Advanced or Metastatic Solid Malignant Tumors</t>
  </si>
  <si>
    <t>NCT06567769</t>
  </si>
  <si>
    <t>Phase 1 Study of GC1130A in Patients With Sanfilippo Syndrome Type A (MPS IIIA)</t>
  </si>
  <si>
    <t>NCT06235905</t>
  </si>
  <si>
    <t>Open-Label of SPN-820 in Adults With Major Depressive Disorder</t>
  </si>
  <si>
    <t>NCT06689527</t>
  </si>
  <si>
    <t>Evaluation of Vamorolone CYP3A4 Induction on Midazolam (a Sensitive CYP 3A4 Substrate) Pharmacokinetics</t>
  </si>
  <si>
    <t>NCT06653322</t>
  </si>
  <si>
    <t>A Multi-centered，Randomized，Double-blind，Placebo-controlled Study to Evaluate the Efficacy and Safety of SHR-1703 in Eosinophilic Asthma</t>
  </si>
  <si>
    <t>NCT06220773</t>
  </si>
  <si>
    <t>A Study to Evaluate the Efficacy and Safety of BR1019A and BR1019B Combination Therapy</t>
  </si>
  <si>
    <t>NCT06372678</t>
  </si>
  <si>
    <t>Study of CM326 in Participants With Chronic Rhinosinusitis With Nasal Polyposis</t>
  </si>
  <si>
    <t>NCT06444178</t>
  </si>
  <si>
    <t>Assessment of Gastrointestinal Blood Loss After Receiving Aspirin or Aspirin Plus Rivaroxaban, or Aspirin Plus REGN9933, or Aspirin Plus REGN7508 in Healthy Adult Participants</t>
  </si>
  <si>
    <t>NCT06679140</t>
  </si>
  <si>
    <t>A Study to Learn About a Study Medicine Called Ibuzatrelvir in Adult and Adolescent Patients With COVID-19 Who Are Not Hospitalized But Are at Risk For Severe Disease</t>
  </si>
  <si>
    <t>NCT06706817</t>
  </si>
  <si>
    <t>A Study to Investigate Changes in Symptoms in Adult Participants With Chronic Rhinosinusitis With Nasal Polyposis Initiating Treatment With Tezepelumab</t>
  </si>
  <si>
    <t>NCT06368440</t>
  </si>
  <si>
    <t>A Study to Investigate the Safety and Pharmacokinetics of AZD6793 in Healthy Japanese and Chinese Participants</t>
  </si>
  <si>
    <t>NCT06647550</t>
  </si>
  <si>
    <t>To Assess the Efficacy and Safety of HD-6277 in Adult Patients With Inadequate Control of Type 2 Diabetes Mellitus by Diet and Exercise</t>
  </si>
  <si>
    <t>NCT06433908</t>
  </si>
  <si>
    <t>A Study to Compare the Pharmacokinetics (PK) of Salbutamol Administered Via Metered Dose Inhalers (MDI) Containing Propellants HFA-152A (Test) or HFA-134A (Reference) in Healthy Participants Aged 18 to 55 Inclusive</t>
  </si>
  <si>
    <t>NCT06633718</t>
  </si>
  <si>
    <t>Study to Assess the Efficacy and Safety of Meropenem and Pralurbactam in CIAI</t>
  </si>
  <si>
    <t>NCT06312189</t>
  </si>
  <si>
    <t>Long-term Study to Evaluate Safety and Tolerability of Valbenazine in Participants With Chorea Associated With Huntington Disease in Canada</t>
  </si>
  <si>
    <t>NCT07193576</t>
  </si>
  <si>
    <t>A Pharmacokinetic Study of the Food Effect on Flonoltinib Maleate Tablets</t>
  </si>
  <si>
    <t>NCT06582017</t>
  </si>
  <si>
    <t>Safety, PK and Efficacy of QXL138AM in Patients With Solid Tumors and Multiple Myeloma</t>
  </si>
  <si>
    <t>Nammi Therapeutics Inc</t>
  </si>
  <si>
    <t>NCT06996704</t>
  </si>
  <si>
    <t>A Clinical Study of AK0610</t>
  </si>
  <si>
    <t>NCT06516926</t>
  </si>
  <si>
    <t>SHR-4602 for Injection in Subjects With HER2-expressing or -Mutated Unresectable or Metastatic Solid Tumors</t>
  </si>
  <si>
    <t>NCT06431243</t>
  </si>
  <si>
    <t>A Clinical Study of Purinostat Mesylate for Injection in Patients With Advanced Solid Tumors</t>
  </si>
  <si>
    <t>NCT06500026</t>
  </si>
  <si>
    <t>A Study Comparing BL-B01D1 With Topotecan in Patients With Recurrent Small Cell Lung Cancer(PANKU-Lung03)</t>
  </si>
  <si>
    <t>NCT06589440</t>
  </si>
  <si>
    <t>Phase 2 Study of SR-8541A in Combination With Botensilimab and Balstilimab in Subjects With Refractory Metastatic Microsatellite Stable Colorectal Cancer (MSS-CRC)</t>
  </si>
  <si>
    <t>NCT06524063</t>
  </si>
  <si>
    <t>Targeted Survivin DC Cell Injection for the Treatment of GBM</t>
  </si>
  <si>
    <t>Beijing Tricision Biotherapeutics Inc</t>
  </si>
  <si>
    <t>NCT06544733</t>
  </si>
  <si>
    <t>Study of Oral Weekly Lepetegravir (Formerly GS-1720) and Lenacapavir Pacfosacil (Formerly GS-4182) Versus Biktarvy in People With HIV-1 Who Are Virologically Suppressed</t>
  </si>
  <si>
    <t>NCT06345755</t>
  </si>
  <si>
    <t>A Phase 1 Study to Evaluate Safety, Tolerability, and Pharmacokinetics of VX-407 in Healthy Participants</t>
  </si>
  <si>
    <t>NCT06862726</t>
  </si>
  <si>
    <t>Apixaban Versus Rivaroxaban in Non Valvular Atrial Fibrillation</t>
  </si>
  <si>
    <t>Les Laboratoires des Médicaments Stériles</t>
  </si>
  <si>
    <t>NCT06787989</t>
  </si>
  <si>
    <t>BCMA-CD19 CCAR T Cell Treatment of Refractory Immune Thrombocytopenia Associated with Autoimmune Diseases</t>
  </si>
  <si>
    <t>NCT06756126</t>
  </si>
  <si>
    <t>A Clinical Study of AK120 in Adolescents With Moderate-to-severe Atopic Dermatitis (AD)</t>
  </si>
  <si>
    <t>NCT06739291</t>
  </si>
  <si>
    <t>A Study of SIGX1094R in Patients With Advanced Solid Tumors</t>
  </si>
  <si>
    <t>Signet Therapeutics</t>
  </si>
  <si>
    <t>NCT06297226</t>
  </si>
  <si>
    <t>Study of Arlocabtagene Autoleucel (BMS-986393) a GPRC5D-directed CAR T Cell Therapy in Adult Participants With Relapsed or Refractory Multiple Myeloma</t>
  </si>
  <si>
    <t>NCT06454708</t>
  </si>
  <si>
    <t>Pharmacokinetics, Safety and Tolerability of Clascoterone Cream 1% in Healthy Chinese Adult Subjects</t>
  </si>
  <si>
    <t>NCT06351917</t>
  </si>
  <si>
    <t>Effect of Topical PlexoZome® Levagen® Spray on Relief of Post Exercise Knee Joint Pain</t>
  </si>
  <si>
    <t>NCT06445517</t>
  </si>
  <si>
    <t>Study Evaluating ISM8207 in Participants With Advanced Solid Tumors and Relapsed/Refractory B-Cell Lymphoma</t>
  </si>
  <si>
    <t>NCT06254950</t>
  </si>
  <si>
    <t>A Study on the Safety of TAK-279 and Whether it Can Reduce Inflammation in the Bowel of Participants With Moderately to Severely Active Ulcerative Colitis</t>
  </si>
  <si>
    <t>NCT06260774</t>
  </si>
  <si>
    <t>Study of TTX-MC138 in Subjects With Advanced Solid Tumors</t>
  </si>
  <si>
    <t>NCT06437223</t>
  </si>
  <si>
    <t>Study of Xiflam™ Treatment in Patients Post COVID-19 Infection Suffering From What is Known as Long COVID (LC)</t>
  </si>
  <si>
    <t>Inflammx Therapeutics Inc</t>
  </si>
  <si>
    <t>NCT06654089</t>
  </si>
  <si>
    <t>A Study Evaluating Quality of Life Parameters Following Use of Emergen-C</t>
  </si>
  <si>
    <t>NCT06751017</t>
  </si>
  <si>
    <t>A Drug-drug Interaction Study of S-892216 Coadministered With Carbamazepime to Healthy Adult Participants</t>
  </si>
  <si>
    <t>NCT06454240</t>
  </si>
  <si>
    <t>A Proof-of-concept Study of Lunsekimig Compared With Placebo in Adults With Chronic Rhinosinusitis With Nasal Polyps</t>
  </si>
  <si>
    <t>NCT06719310</t>
  </si>
  <si>
    <t>Phase Ib/IIa Clinical Study of ACC017 Tablets</t>
  </si>
  <si>
    <t>NCT06199531</t>
  </si>
  <si>
    <t>Safety and Efficacy of GS-100 Gene Therapy in Patients With NGLY1 Deficiency</t>
  </si>
  <si>
    <t>Grace Science, LLC</t>
  </si>
  <si>
    <t>NCT05983523</t>
  </si>
  <si>
    <t>A Study of PEP07 (Checkpoint Kinase 1 Inhibitor) in Patients with Advanced or Metastatic Solid Tumors</t>
  </si>
  <si>
    <t>NCT06486662</t>
  </si>
  <si>
    <t>A Clinical Study Investigating OM-85-IN Safety and Tolerability in Healthy Volunteers and Mild Allergic Asthma Patients</t>
  </si>
  <si>
    <t>NCT06622070</t>
  </si>
  <si>
    <t>A Study of SPY002-072 in Healthy Volunteers</t>
  </si>
  <si>
    <t>NCT07359222</t>
  </si>
  <si>
    <t>Vis Pre Surgery Medical Food Validation Study</t>
  </si>
  <si>
    <t>TM Nutrition LLC</t>
  </si>
  <si>
    <t>NCT06486441</t>
  </si>
  <si>
    <t>Study of Sacituzumab Govitecan Versus Treatment of Physician's Choice in Participants With Endometrial Cancer After Platinum-Based Chemotherapy and Immunotherapy (ASCENT-GYN-01/GOG-3104/ENGOT-en26)</t>
  </si>
  <si>
    <t>NCT05914194</t>
  </si>
  <si>
    <t>A Eight-Week Study of NLS-2 (Mazindol Extended Release) in Participants With Narcolepsy Type 1</t>
  </si>
  <si>
    <t>NCT06634394</t>
  </si>
  <si>
    <t>APVO436 Phase 1b/2 Study in Patients With Newly Diagnosed AML</t>
  </si>
  <si>
    <t>NCT06671873</t>
  </si>
  <si>
    <t>Study on Mass Balance of [14C]HMPL-306（Isocitrate Dehydrogenase Inhibitor） in Healthy Chinese Adult Male Subjects</t>
  </si>
  <si>
    <t>NCT06309394</t>
  </si>
  <si>
    <t>A Study Assessing the Mass Balance, Pharmacokinetics, and Metabolite Profiles of a Single Oral Dose of [14C]INCB099280 in Healthy Male Participants</t>
  </si>
  <si>
    <t>NCT06531395</t>
  </si>
  <si>
    <t>A Study to Evaluate the Efficacy and Safety of Abiprubart in Participants With Sjögren's Disease</t>
  </si>
  <si>
    <t>NCT06392477</t>
  </si>
  <si>
    <t>A Study to Evaluate the Safety and Activity of SAR448501/DR-0201 in Patients With Relapsed/ Refractory B-Cell Non-Hodgkin Lymphoma</t>
  </si>
  <si>
    <t>NCT06534437</t>
  </si>
  <si>
    <t>MEN1703 (SEL24) to Treat Relapsed or Refractory Aggressive B-cell Non-Hodgkin Lymphoma (JASPIS-01)</t>
  </si>
  <si>
    <t>NCT06546553</t>
  </si>
  <si>
    <t>A Study to Learn About How Different Amounts of the Study Medicine PF-07826390 Act in the Body of People With Cancer When Taken Alone or With Other Anti-cancer Medicines.</t>
  </si>
  <si>
    <t>NCT06093672</t>
  </si>
  <si>
    <t>Study on Efficacy and Safety of Givinostat Versus Hydroxyurea in Patients With Polycythemia Vera</t>
  </si>
  <si>
    <t>NCT06613139</t>
  </si>
  <si>
    <t>Bioequivalence Study Between YHP2305 and YHR2404 in Healthy Volunteers</t>
  </si>
  <si>
    <t>NCT06312137</t>
  </si>
  <si>
    <t>A Study to Assess Efficacy and Safety of Pembrolizumab With or Without Sacituzumab Tirumotecan (MK- 2870) in Adult Participants With Resectable Non Small Cell Lung Cancer (NSCLC) Not Achieving Pathological Complete Response (pCR) (MK-2870-019)</t>
  </si>
  <si>
    <t>NCT06044675</t>
  </si>
  <si>
    <t>MDMA-Assisted CBCT for PTSD vs CBCT RCT</t>
  </si>
  <si>
    <t>NCT06471257</t>
  </si>
  <si>
    <t>A Study to Investigate Efficacy and Safety of PT027 Compared With PT007 in Symptomatic Chinese Adults With Asthma</t>
  </si>
  <si>
    <t>NCT06813781</t>
  </si>
  <si>
    <t>Study to Investigate the Effect of Hepatic Impairment on the Pharmacokinetics, Safety, and Tolerability of AZD5004</t>
  </si>
  <si>
    <t>NCT06137157</t>
  </si>
  <si>
    <t>Evaluation of Topical ATR12-351 in Adults With Netherton Syndrome</t>
  </si>
  <si>
    <t>Azitra Inc.</t>
  </si>
  <si>
    <t>NCT06331312</t>
  </si>
  <si>
    <t>Open-label, Long-term Safety Study of Secukinumab in Polymyalgia Rheumatica (PMR)</t>
  </si>
  <si>
    <t>NCT04971551</t>
  </si>
  <si>
    <t>A Study of Jaktinib for the Treatment of Steroid-Refractory Acute Graft-Versus-Host Disease.</t>
  </si>
  <si>
    <t>NCT06609187</t>
  </si>
  <si>
    <t>A Study of GNC-077 in Patients With Locally Advanced or Metastatic Breast Cancer and Other Solid Tumors</t>
  </si>
  <si>
    <t>NCT06820749</t>
  </si>
  <si>
    <t>A Study to Evaluate the Efficacy and Safety of HSK31858 Tablets in Patients with Airway Mucus Hypersecretion</t>
  </si>
  <si>
    <t>NCT05644626</t>
  </si>
  <si>
    <t>Safety, Pharmacokinetics and Antitumor Activity of BGB-B167 Alone and in Combination With Tislelizumab in Participants With Solid Tumors in Chinese Participants</t>
  </si>
  <si>
    <t>NCT06188208</t>
  </si>
  <si>
    <t>A First-in-Human (FIH) Study to Evaluate the Safety and Tolerability of VVD-130850 in Participants With Advanced Solid and Hematologic Tumors</t>
  </si>
  <si>
    <t>NCT06573008</t>
  </si>
  <si>
    <t>Study of GP681 Tablets Compared With Placebo in Patients With Influenza at High Risk of Influenza Complications</t>
  </si>
  <si>
    <t>NCT07644832</t>
  </si>
  <si>
    <t>An Open-label, Multicenter Phase I/II Clinical Trial to Evaluate the Safety, Tolerability, Efficacy, and Pharmacokinetic/Pharmacodynamic (PK/PD) Characteristics of SR604 Injection in Patients With Hemophilia A/B and Congenital Factor VII Deficiency</t>
  </si>
  <si>
    <t>Shanghai RAAS Blood Products Co., Ltd.</t>
  </si>
  <si>
    <t>NCT06512116</t>
  </si>
  <si>
    <t>A Clinical Trial of SIBP-A17 Injection in the Treatment of Advanced Solid Tumor Patients.</t>
  </si>
  <si>
    <t>NCT06703021</t>
  </si>
  <si>
    <t>A Dose-Range Study of Aleniglipron (GSBR-1290) in Participants Living With Obesity or Overweight With at Least One Weight-related Comorbidity</t>
  </si>
  <si>
    <t>NCT07568652</t>
  </si>
  <si>
    <t>Clinical Trial to Evaluate the Pharmacokinetics and Safety Between the Single Administration of HL1113 and the Concomitant Administration of HL1113R1 and HL1113R2 for Healthy Subjects in Fasting State</t>
  </si>
  <si>
    <t>NCT05911048</t>
  </si>
  <si>
    <t>A Clinical Trial of Recombinant COVID-19 Bivalent (XBB+Prototype) Protein Vaccine (Sf9 Cell) in Booster Vaccination</t>
  </si>
  <si>
    <t>NCT06391593</t>
  </si>
  <si>
    <t>PD, PK, and Safety of ALTO-203 in Patients With MDD</t>
  </si>
  <si>
    <t>NCT06541704</t>
  </si>
  <si>
    <t>A Study Investigating Subcutaneously Administered Pozelimab in Combination With Cemdisiran or Cemdisiran Alone in Adult Participants With Geographic Atrophy</t>
  </si>
  <si>
    <t>NCT06451848</t>
  </si>
  <si>
    <t>A Bioequivalence Study of Two Different Dosage Form of Genakumab</t>
  </si>
  <si>
    <t>NCT06492226</t>
  </si>
  <si>
    <t>Study to Demonstrate Pharmacokinetic and Pharmacodynamic Similarity Between NKF-INS(A), US-NovoLog®, and EU-NovoRapid®</t>
  </si>
  <si>
    <t>NCT06671093</t>
  </si>
  <si>
    <t>Phase 1b, Open-label Study of Tune-401 to Assess Safety, PK and PD in Adults With Chronic Hepatitis B</t>
  </si>
  <si>
    <t>Tune Therapeutics, Inc.</t>
  </si>
  <si>
    <t>NCT06699576</t>
  </si>
  <si>
    <t>ARTEMIS-103: Phase 1b Study of HS-20093 Combinations in Patients with Bone and Soft Tissue Sarcoma.</t>
  </si>
  <si>
    <t>NCT05897424</t>
  </si>
  <si>
    <t>Long-term, Open-label Study of SAR447537 (INBRX-101) in Adults With Alpha-1 Antitrypsin Deficiency Emphysema</t>
  </si>
  <si>
    <t>NCT06034262</t>
  </si>
  <si>
    <t>Use of a Treated, Devitalized and Sterile Umbilical Cord Amniotic Membrane in the Treatment of PIP Joint Osteoarthritis</t>
  </si>
  <si>
    <t>NCT06374888</t>
  </si>
  <si>
    <t>Nilatinib Maleate Tablets Combined With Capecitabine in the Treatment of HER2-positive Advanced Esophageal/Esophagogastric Junction/Gastric Adenocarcinoma With Brain Metastases</t>
  </si>
  <si>
    <t>NCT06101173</t>
  </si>
  <si>
    <t>A Study to Evaluate the Safety and Immunogenicity of Recombinant Trivalent Poliomyelitis Vaccine (Sf-RVN Cell) in Healthy Adults</t>
  </si>
  <si>
    <t>NCT06564389</t>
  </si>
  <si>
    <t>FIH Study to Evaluate the Tolerability of PF-07832837 in Healthy Adults and Patients</t>
  </si>
  <si>
    <t>NCT04173650</t>
  </si>
  <si>
    <t>MSC EVs in Dystrophic Epidermolysis Bullosa</t>
  </si>
  <si>
    <t>NCT06668805</t>
  </si>
  <si>
    <t>A Study of Vosoritide in Children With Noonan Syndrome With Inadequate Growth During or After Human Growth Hormone Treatment</t>
  </si>
  <si>
    <t>NCT06650761</t>
  </si>
  <si>
    <t>A Phase I Study of CDX-622</t>
  </si>
  <si>
    <t>NCT06312566</t>
  </si>
  <si>
    <t>A Study to Assess the Bioequivalence Between Brivaracetam Tablet and Dry Syrup in Healthy Japanese Male Study Participants</t>
  </si>
  <si>
    <t>NCT06265727</t>
  </si>
  <si>
    <t>A Phase 1/2 Study to Investigate CRB-701 in Solid Tumors</t>
  </si>
  <si>
    <t>Corbus Pharmaceuticals Inc.</t>
  </si>
  <si>
    <t>NCT06121882</t>
  </si>
  <si>
    <t>Microfragmented Adipose Tissue Compared to Saline Injection for the Treatment of Knee Osteoarthritis</t>
  </si>
  <si>
    <t>NCT06971523</t>
  </si>
  <si>
    <t>A Phase I/II Clinical Study of CTS3497 in Patients With MTAP Deficient Malignacies</t>
  </si>
  <si>
    <t>NCT06215846</t>
  </si>
  <si>
    <t>A Clinical Study Evaluating the Safety and Efficacy of BioTTT001 in Patients With Malignant Solid Tumors</t>
  </si>
  <si>
    <t>Beijing Bio-Targeting Therapeutics Technology Co., Ltd</t>
  </si>
  <si>
    <t>NCT06360874</t>
  </si>
  <si>
    <t>A Study to Evaluate Safety, Tolerability and Pharmacokinetic of ND-003 Tablets in Healthy Adults</t>
  </si>
  <si>
    <t>Shenzhen NewDEL Biotech, Co., Ltd</t>
  </si>
  <si>
    <t>NCT06656390</t>
  </si>
  <si>
    <t>A Study to Evaluate the Safety, Tolerability, Pharmacokinetics (PK), and Antitumor Activity of ALK201 in Participants With Advanced Solid Tumors</t>
  </si>
  <si>
    <t>Shanghai Allink Biotherapeutics Co., Ltd.</t>
  </si>
  <si>
    <t>NCT06723691</t>
  </si>
  <si>
    <t>Influence of HRS9531 on Gastric Emptying and Pharmacokinetics of Metformin, Atorvastatin, Warfarin, and Digoxin in Healthy Subjects</t>
  </si>
  <si>
    <t>NCT06102174</t>
  </si>
  <si>
    <t>A Study to Learn About the Amount of the Study Medicine (Sisunatovir) in Blood and Its Safety in Infants and Children With Pneumonia Caused by RSV</t>
  </si>
  <si>
    <t>NCT06399718</t>
  </si>
  <si>
    <t>A Study to Assess BOTOX Injections for the Change of Masseter Muscle Prominence in Adult Participants</t>
  </si>
  <si>
    <t>NCT06362252</t>
  </si>
  <si>
    <t>A Study of I-DXd in Combination With Atezolizumab With or Without Carboplatin as First-Line Induction or Maintenance in Subjects With Extensive Stage-Small Cell Lung Cancer (IDeate-Lung03)</t>
  </si>
  <si>
    <t>NCT05698238</t>
  </si>
  <si>
    <t>Clinical Study to Evaluate Safety and Dosing of CA9hu-1 in Patients With Advanced Solid Tumours</t>
  </si>
  <si>
    <t>Mabpro, a.s.</t>
  </si>
  <si>
    <t>NCT06409663</t>
  </si>
  <si>
    <t>A Strain Change Study for SARS-CoV-2 rS Vaccines</t>
  </si>
  <si>
    <t>NCT06206421</t>
  </si>
  <si>
    <t>A Study to Assess Long-term Safety of Fezolinetant Given to Japanese Women Going Through Menopause</t>
  </si>
  <si>
    <t>NCT06097663</t>
  </si>
  <si>
    <t>A Study to Investigate the Efficacy, Safety, and Tolerability of DFV890 and MAS825 for Inflammatory Marker Reduction in Adult Participants With Coronary Heart Disease and Clonal Hematopoiesis of Indeterminate Potential (CHIP)</t>
  </si>
  <si>
    <t>NCT06671587</t>
  </si>
  <si>
    <t>iGlarLixi CGM Study in Chinese T2D Individuals After OADs</t>
  </si>
  <si>
    <t>NCT06431399</t>
  </si>
  <si>
    <t>To Evaluate the Safety, Pharmacokinetic Characteristics and the Effect of Food After Administration of JLP-2004</t>
  </si>
  <si>
    <t>NCT06680232</t>
  </si>
  <si>
    <t>Phase 1 Study to Evaluate Safety and Antiviral Activity of PBGENE-HBV in Adult Patients With Chronic Hepatitis B</t>
  </si>
  <si>
    <t>NCT06460506</t>
  </si>
  <si>
    <t>Evaluation of Long-term Safety and Efficacy of ELX/TEZ/IVA in Cystic Fibrosis Participants 12 Months of Age and Older</t>
  </si>
  <si>
    <t>NCT06669091</t>
  </si>
  <si>
    <t>Food-effect Study of Ecopipam Pharmacokinetics</t>
  </si>
  <si>
    <t>NCT06545097</t>
  </si>
  <si>
    <t>A Study of Cebranopadol for the Treatment of Acute Pain After Abdominoplasty</t>
  </si>
  <si>
    <t>NCT06323213</t>
  </si>
  <si>
    <t>Efficacy and Safety Study of 610 in Patients With Severe Asthma</t>
  </si>
  <si>
    <t>NCT06768489</t>
  </si>
  <si>
    <t>A Study of JNJ-79635322 in Combination With Daratumumab With or Without Lenalidomide or in Combination With Pomalidomide for Multiple Myeloma</t>
  </si>
  <si>
    <t>NCT06655324</t>
  </si>
  <si>
    <t>A Study to Evaluate Safety, Tolerability, and Immunogenicity of V350A and V350B in Healthy Participants (V350-001).</t>
  </si>
  <si>
    <t>NCT06462924</t>
  </si>
  <si>
    <t>Feasibility of Gadolinium Contrast Reduced Brain MRI: the Potential of Deep Learning</t>
  </si>
  <si>
    <t>DeepMeds</t>
  </si>
  <si>
    <t>NCT06208150</t>
  </si>
  <si>
    <t>A Study Comparing Talquetamab Plus Pomalidomide, Talquetamab Plus Teclistamab, and Elotuzumab, Pomalidomide, and Dexamethasone or Pomalidomide, Bortezomib, and Dexamethasone in Participants With Relapsed or Refractory Myeloma Who Have Received an Anti-CD38 Antibody and Lenalidomide</t>
  </si>
  <si>
    <t>NCT06244082</t>
  </si>
  <si>
    <t>Ph2 Open-label Study of AOC 1044 in Duchenne Muscular Dystrophy Participants With Mutations Amenable to Exon44 Skipping</t>
  </si>
  <si>
    <t>NCT06516952</t>
  </si>
  <si>
    <t>A Study to Evaluate the Efficacy and Safety Study of Povorcitinib in Participants With Prurigo Nodularis (STOP-PN1)</t>
  </si>
  <si>
    <t>NCT06583031</t>
  </si>
  <si>
    <t>Study to Evaluate the Safety and Immune Response of an Investigational Vaccine for the Prevention of RSV (Respiratory Syncytial Virus) and (hMPV) Human Metapneumovirus Infection in Participants Aged 60 to 75 Years</t>
  </si>
  <si>
    <t>NCT04480645</t>
  </si>
  <si>
    <t>CivaDerm(TM) Surface Therapy Pilot Study</t>
  </si>
  <si>
    <t>NCT06215911</t>
  </si>
  <si>
    <t>A Study to Assess Safety &amp; Effectiveness of Tovinontrine in Chronic Heart Failure With Reduced Ejection Fraction (Cycle-1-REF)</t>
  </si>
  <si>
    <t>NCT06649344</t>
  </si>
  <si>
    <t>A Study of HRS9531 Versus Semaglutide Once Weekly as Add-on Therapy to Metformin Monotherapy or in Combination With SGLT2 Inhibitors in Participants With Type 2 Diabetes</t>
  </si>
  <si>
    <t>NCT06244992</t>
  </si>
  <si>
    <t>PTT-936 Alone or in Combination in Patients With Locally Advanced or Metastatic Solid Tumors</t>
  </si>
  <si>
    <t>Pyrotech Therapeutics, Inc.</t>
  </si>
  <si>
    <t>NCT06273813</t>
  </si>
  <si>
    <t>Treatment of Topical Ketorolac Gel in Acute Gouty Flare</t>
  </si>
  <si>
    <t>Novilla Pharmaceuticals</t>
  </si>
  <si>
    <t>NCT06126718</t>
  </si>
  <si>
    <t>Phase I Randomized, Open-label, Parallel-controlled, Pharmacokinetic and Safety Study of BR201 Injection Versus Cosentyx in Healthy Male Subjects</t>
  </si>
  <si>
    <t>NCT06879782</t>
  </si>
  <si>
    <t>Phase III Clinical Study of Lifitegrast Ophthalmic Solution for the Treatment of Dry Eye Disease</t>
  </si>
  <si>
    <t>Lunan Better Pharmaceutical Co., LTD.</t>
  </si>
  <si>
    <t>NCT06144723</t>
  </si>
  <si>
    <t>Study of HS-20105 for Injection in Patients With Advanced Solid Tumors.</t>
  </si>
  <si>
    <t>NCT05542173</t>
  </si>
  <si>
    <t>Efficacy and Safety of BALI Association in the Treatment of Aphthous Ulcerations</t>
  </si>
  <si>
    <t>NCT06567015</t>
  </si>
  <si>
    <t>Study of FIH of STX-241 in Locally Advanced or Metastatic NSCLC Resistant to EGFR TKIs</t>
  </si>
  <si>
    <t>NCT06643117</t>
  </si>
  <si>
    <t>Similar Efficacy, Safety, and Immunogenicity of FYB206 in Comparison to Keytruda as add-on to Chemotherapy in Patients With Non-squamous Non-small Cell Lung Cancer (NSCLC)</t>
  </si>
  <si>
    <t>NCT06444815</t>
  </si>
  <si>
    <t>A Study of VET3-TGI in Patients With Solid Tumors</t>
  </si>
  <si>
    <t>KaliVir Immunotherapeutics</t>
  </si>
  <si>
    <t>NCT06494774</t>
  </si>
  <si>
    <t>A Study to Test How Different Doses of BI 1815368 Are Tolerated and How BI 1815368 is Taken up in the Body of Healthy Japanese Men</t>
  </si>
  <si>
    <t>NCT06419582</t>
  </si>
  <si>
    <t>BHV-7000 Acute Treatment of Bipolar Mania</t>
  </si>
  <si>
    <t>NCT06780410</t>
  </si>
  <si>
    <t>A Clinical Study to Evaluate the Efficacy, Tolerability, and Safety of Bempedoic Acid</t>
  </si>
  <si>
    <t>Gan &amp; Lee Pharmaceuticals.</t>
  </si>
  <si>
    <t>NCT06188702</t>
  </si>
  <si>
    <t>S095035 as a Single Agent and in Combination in Adult Participants With Advanced or Metastatic Solid Tumors With Deletion of MTAP</t>
  </si>
  <si>
    <t>NCT06425302</t>
  </si>
  <si>
    <t>A Study to Evaluate the Efficacy and Safety of Golcadomide in Combination With Rituximab in Participants With Newly Diagnosed Advanced Stage Follicular Lymphoma</t>
  </si>
  <si>
    <t>NCT06443502</t>
  </si>
  <si>
    <t>A Study to Learn About the Safety of Vedolizumab and How Well it Works in Children and Teenagers With Active Chronic Pouchitis</t>
  </si>
  <si>
    <t>NCT06531824</t>
  </si>
  <si>
    <t>EASi-KIDNEY™ (The Studies of Heart &amp; Kidney Protection With BI 690517 in Combination With Empagliflozin)</t>
  </si>
  <si>
    <t>NCT06462118</t>
  </si>
  <si>
    <t>A Study to Evaluate the Effect of Injection Site on PK of Astegolimab in Healthy Subjects</t>
  </si>
  <si>
    <t>NCT06070597</t>
  </si>
  <si>
    <t>A Study in Healthy People to Test Whether Iclepertin Has an Effect on Cardiac Safety</t>
  </si>
  <si>
    <t>NCT06179160</t>
  </si>
  <si>
    <t>A Study to Evaluate INCB161734 in Participants With Advanced or Metastatic Solid Tumors With KRAS G12D Mutation</t>
  </si>
  <si>
    <t>NCT06545955</t>
  </si>
  <si>
    <t>A Trial to Evaluate Intravesical Nadofaragene Firadenovec Alone or in Combination With Chemotherapy or Immunotherapy in Participants With High-grade BCG Unresponsive Non-muscle Invasive Bladder Cancer</t>
  </si>
  <si>
    <t>NCT06497985</t>
  </si>
  <si>
    <t>A Study of Tucidinostat in Combination With Sintilimab and Bevacizumab in MSS/pMMR Colorectal Cancer Patients</t>
  </si>
  <si>
    <t>NCT06176352</t>
  </si>
  <si>
    <t>A Study to Evaluate the Efficacy and Safety of Faricimab in Patients With Choroidal Neovascularization Secondary to Pathologic Myopia</t>
  </si>
  <si>
    <t>NCT06671548</t>
  </si>
  <si>
    <t>Efficacy &amp; Safety Study of Relugolix in Women With Heavy Menstrual Bleeding Associated With Uterine Fibroids</t>
  </si>
  <si>
    <t>NCT06693843</t>
  </si>
  <si>
    <t>A Phase 2b, Dose-range Finding Study of the Efficacy and Safety of Multiple Doses of Aleniglipron (GSBR-1290) in Participants Living With Obesity or Overweight With at Least One Weight-related Comorbidity</t>
  </si>
  <si>
    <t>NCT06210815</t>
  </si>
  <si>
    <t>A Study of HLX42 in Advanced/Metastatic Solid Tumors</t>
  </si>
  <si>
    <t>NCT06074510</t>
  </si>
  <si>
    <t>PYLARIFY® PET/CT or PET/MRI in Men With Favorable Intermediate Risk (FIR) Prostate Cancer</t>
  </si>
  <si>
    <t>Lantheus Medical Imaging</t>
  </si>
  <si>
    <t>NCT06389513</t>
  </si>
  <si>
    <t>Clinical Study of the Safety of Menhycia® in 3-Month-Old Infants</t>
  </si>
  <si>
    <t>NCT06226090</t>
  </si>
  <si>
    <t>A Study of TG103 Injection in the Management of Non-diabetic Overweight or Obesity</t>
  </si>
  <si>
    <t>NCT06316297</t>
  </si>
  <si>
    <t>Study to Evaluate Safety, Efficacy and Immunogenicity of Acne mRNA Vaccine in Adults With Moderate to Severe Acne</t>
  </si>
  <si>
    <t>NCT06170190</t>
  </si>
  <si>
    <t>A Multicentre,Study of IBI133 in Subjects WithUnresectable, Locally Advanced or Metastatic SolidTumours</t>
  </si>
  <si>
    <t>NCT06447415</t>
  </si>
  <si>
    <t>Safety, Tolerability, and Preliminary Efficacy of HRS-7450 Injection in the Treatment of Acute Ischemic Stroke: a Multi-center, Randomized, Double-blind, Double-dummy, Placebo-controlled Clinical Trial</t>
  </si>
  <si>
    <t>NCT06482905</t>
  </si>
  <si>
    <t>Safety and Efficacy Study of TX103 CAR-T Cell Therapy for Recurrent or Progressive Grade 4 Glioma.</t>
  </si>
  <si>
    <t>Tcelltech Inc.</t>
  </si>
  <si>
    <t>NCT05905341</t>
  </si>
  <si>
    <t>Study of PF-07224826, as a Single Agent or in Combination With Endocrine Therapy in Participants With Breast Cancer and Other Advanced Solid Tumors.</t>
  </si>
  <si>
    <t>NCT06684041</t>
  </si>
  <si>
    <t>A Safety, Tolerability, Pharmacokinetic/Pharmacodynamic Study, and QT Interval Study of HRS-5965 Capsules in Healthy Subjects</t>
  </si>
  <si>
    <t>NCT06681766</t>
  </si>
  <si>
    <t>A Study to Assess Nomlabofusp in Adolescents and Children With Friedreich's Ataxia</t>
  </si>
  <si>
    <t>NCT06678373</t>
  </si>
  <si>
    <t>Monitoring JE Antibody Levels in Healthy Populations and Immunization Strategy in Low-Prevalence Areas</t>
  </si>
  <si>
    <t>NCT07092605</t>
  </si>
  <si>
    <t>Effectiveness of Microdosed GLP-1 in Improving Health, Quality of Life, and Longevity Measures</t>
  </si>
  <si>
    <t>NCT06348563</t>
  </si>
  <si>
    <t>AGED Diagnostics Liver Disease Assessment</t>
  </si>
  <si>
    <t>Active Genomes Expressed Diagnostics, Corp</t>
  </si>
  <si>
    <t>NCT06724016</t>
  </si>
  <si>
    <t>Dose Escalation and Expansion Study of HM16390 Alone or With Pembrolizumab in Advanced or Metastatic Solid Tumors</t>
  </si>
  <si>
    <t>NCT06452706</t>
  </si>
  <si>
    <t>The Clinical Trial of TQB2102 for Injection Against Human Epidermal Growth Factor Receptor 2 Negative Breast Cancer</t>
  </si>
  <si>
    <t>NCT06289452</t>
  </si>
  <si>
    <t>Safety and Efficacy Study of IVB102 Injection in Subjects With X-linked Retinoschisis</t>
  </si>
  <si>
    <t>InnoVec Biotherapeutics Inc.</t>
  </si>
  <si>
    <t>NCT06710158</t>
  </si>
  <si>
    <t>Study of SC-102 in Patients With Advanced Solid Tumors</t>
  </si>
  <si>
    <t>Tianjin ConjuStar Biologics Co., Ltd.</t>
  </si>
  <si>
    <t>NCT06205628</t>
  </si>
  <si>
    <t>Safety, Tolerability, PK and PD of ADX-850 in Participants With Hypertension</t>
  </si>
  <si>
    <t>NCT06383052</t>
  </si>
  <si>
    <t>A Phase 1/2 Study of 177Lu-NYM032 Injection in mCRPC</t>
  </si>
  <si>
    <t>NCT06607016</t>
  </si>
  <si>
    <t>A Clinical Trial With KJ103 in Anti-GBM Disease</t>
  </si>
  <si>
    <t>NCT06617416</t>
  </si>
  <si>
    <t>A Study of AK104 in Subjects With Unresectable Locally Advanced NSCLC</t>
  </si>
  <si>
    <t>NCT06661733</t>
  </si>
  <si>
    <t>A Study to Investigate the Pharmacokinetics, Safety and Tolerability of AZD5462 in Participants With Renal Impairment</t>
  </si>
  <si>
    <t>NCT07008547</t>
  </si>
  <si>
    <t>To Evaluate the Efficacy and Safety of Netakimab in Chinese Patients With Moderate to Severe Plaque Psoriasis</t>
  </si>
  <si>
    <t>NCT06332430</t>
  </si>
  <si>
    <t>Intratumoral CAN2109 in Subjects With Solid Tumors</t>
  </si>
  <si>
    <t>NCT06534021</t>
  </si>
  <si>
    <t>IASO-782 in Autoimmune Hematological Diseases</t>
  </si>
  <si>
    <t>Shanghai IASO Biotechnology Co., Ltd</t>
  </si>
  <si>
    <t>NCT06025344</t>
  </si>
  <si>
    <t>A Relative Bioavailability Study With a Novel PanCytoVir™ Oral Suspension (100 mg/ml)</t>
  </si>
  <si>
    <t>NCT06992687</t>
  </si>
  <si>
    <t>A Study to Evaluate the Safety and Efficacy of HB0052 in Patients With Advanced Solid Tumors</t>
  </si>
  <si>
    <t>NCT06621316</t>
  </si>
  <si>
    <t>A Study of Safety and Tolerability of Multiple Doses of HRS-7535 in Obese Subjects</t>
  </si>
  <si>
    <t>NCT06242652</t>
  </si>
  <si>
    <t>A Study to Evaluate 608 in Patients with Ankylosing Spondylitis (AS)</t>
  </si>
  <si>
    <t>NCT06492135</t>
  </si>
  <si>
    <t>A Study in Chinese People With Overweight or Obesity to Test How Different Doses of Survodutide Are Taken up in the Body</t>
  </si>
  <si>
    <t>NCT06309147</t>
  </si>
  <si>
    <t>A Study to Assess the Safety of BMS-984923 Compared to Placebo, in People With Parkinson's</t>
  </si>
  <si>
    <t>NCT06393738</t>
  </si>
  <si>
    <t>A Study of ARV-393 in Relapsed/Refractory Non-Hodgkin Lymphoma.</t>
  </si>
  <si>
    <t>NCT06385678</t>
  </si>
  <si>
    <t>A Study of HRS-4642 in Patients With Advanced Solid Tumors Harboring KRAS G12D Mutation</t>
  </si>
  <si>
    <t>NCT06370585</t>
  </si>
  <si>
    <t>Clinical Study to Evaluate the Safety and Tolerability of PRO-229 Ophthalmic Solution Compared to Lagricel® Ofteno PF</t>
  </si>
  <si>
    <t>NCT06750432</t>
  </si>
  <si>
    <t>PMN310 in Patients With Early Alzheimer's Disease (PRECISE-AD)</t>
  </si>
  <si>
    <t>NCT06613698</t>
  </si>
  <si>
    <t>A Study to Investigate the Safety and Efficacy of GSK4532990 Compared With Placebo in Adult Participants Aged 18 to 70 Years With Alcohol-related Liver Disease</t>
  </si>
  <si>
    <t>NCT06644755</t>
  </si>
  <si>
    <t>First-in-Human Trial of DS-2243a in Participants With Advanced Solid Tumors</t>
  </si>
  <si>
    <t>NCT05956587</t>
  </si>
  <si>
    <t>A Study of SI-B003 and BL-B01D1+SI-B003 in Patients With Locally Advanced or Metastatic Non-small Cell Lung Cancer, Nasopharyngeal Carcinoma and Other Solid Tumors</t>
  </si>
  <si>
    <t>NCT06164743</t>
  </si>
  <si>
    <t>Phase 2: VVN461 Ophthalmic Solution for Post -Operative Ocular Inflammation After Cataract Surgery</t>
  </si>
  <si>
    <t>NCT06553768</t>
  </si>
  <si>
    <t>Evaluation of Maralixibat in Pruritus Associated With General Cholestatic Liver Disease (EXPAND)</t>
  </si>
  <si>
    <t>NCT06389136</t>
  </si>
  <si>
    <t>A Study of Upadacitinib in Adult Participants With Moderate-to-Severe Atopic Dermatitis and Inadequate Response to Dupilumab</t>
  </si>
  <si>
    <t>NCT06637020</t>
  </si>
  <si>
    <t>Phase Ib Clinical Study of HDM1005 Injection</t>
  </si>
  <si>
    <t>NCT06662188</t>
  </si>
  <si>
    <t>JAG201 Gene Therapy Study in Children &amp; Adults With SHANK3 Haploinsufficiency</t>
  </si>
  <si>
    <t>Jaguar Gene Therapy, LLC</t>
  </si>
  <si>
    <t>NCT06644040</t>
  </si>
  <si>
    <t>A Study of TeriQ Patch in Healthy Adult Female Participants</t>
  </si>
  <si>
    <t>QuadMedicine</t>
  </si>
  <si>
    <t>NCT06543550</t>
  </si>
  <si>
    <t>Comparison Between the Effects of Implantable Gestrinone and Oral Dienogest in the Treatment of Endometriosis</t>
  </si>
  <si>
    <t>Bio Meds Pharmaceutica Ltda</t>
  </si>
  <si>
    <t>NCT06447662</t>
  </si>
  <si>
    <t>A Study to Learn About the Study Medicine PF-07934040 When Given Alone or With Other Anti-cancer Therapies in People With Advanced Solid Tumors That Have a Genetic Mutation.</t>
  </si>
  <si>
    <t>NCT06457503</t>
  </si>
  <si>
    <t>A Study of Toripalimab in Combination With Cisplatin and Gemcitabine in Participants With Recurrent Metastatic Nasopharyngeal Cancer</t>
  </si>
  <si>
    <t>NCT06504446</t>
  </si>
  <si>
    <t>Study to Assess the Efficacy, Safety, and Tolerability of NOC-110 in Adults With Refractory or Unexplained Chronic Cough</t>
  </si>
  <si>
    <t>NCT06425159</t>
  </si>
  <si>
    <t>A Study to Determine if BHV-7000 is Effective and Safe in Adults With Idiopathic Generalized Epilepsy With Generalized Tonic-clonic Seizures</t>
  </si>
  <si>
    <t>NCT06196203</t>
  </si>
  <si>
    <t>A Study of AK117 in Combination With Azacitidine in Patients With Myelodysplastic Syndromes</t>
  </si>
  <si>
    <t>NCT06602024</t>
  </si>
  <si>
    <t>A Study of mRNA-1010 Compared With a Licensed Influenza Vaccine in Adults ≥50 Years of Age</t>
  </si>
  <si>
    <t>NCT06300580</t>
  </si>
  <si>
    <t>Study of Oral ABBV-932 Capsules to Evaluate Dopamine D2 and D3 Receptor Occupancy in Brain in Adult Healthy Volunteers</t>
  </si>
  <si>
    <t>NCT06928779</t>
  </si>
  <si>
    <t>Effects of Hepatic Impairment on the Pharmacokinetics of Dazucorilant</t>
  </si>
  <si>
    <t>NCT06577597</t>
  </si>
  <si>
    <t>Safety, Tolerability and Blood Sampling of GSK3923868 Administered Via Dry Powder Inhaler to Healthy Participants of Chinese, Japanese and European Ancestry</t>
  </si>
  <si>
    <t>NCT06099418</t>
  </si>
  <si>
    <t>Efficacy and Safety of VB10.16 Alone or in Combination With Atezolizumab in Patients With Advanced Cervical Cancer.</t>
  </si>
  <si>
    <t>NCT06149520</t>
  </si>
  <si>
    <t>A Study to Learn More About How Well BAY3018250 Works and How Safe it is for People With Proximal Deep Vein Thrombosis</t>
  </si>
  <si>
    <t>NCT06308679</t>
  </si>
  <si>
    <t>A Bioequivalence Study of Two Formulations of 10-mg Empagliflozin Tablets in Healthy Thai Volunteers Under Fasting Conditions</t>
  </si>
  <si>
    <t>NCT06617325</t>
  </si>
  <si>
    <t>NCT06474468</t>
  </si>
  <si>
    <t>A Trial of SHR-A2102 With Adebrelimab With or Without Other Antitumor Therapy in Advanced or Metastatic Esophageal Cancer</t>
  </si>
  <si>
    <t>NCT06159062</t>
  </si>
  <si>
    <t>A Clinical Study of 162 in Subjects With Chronic Hepatitis B Virus Infection</t>
  </si>
  <si>
    <t>NCT06705140</t>
  </si>
  <si>
    <t>A Study on the Immunogenicity and Safety of 3 Different Dose Concentrations of a Respiratory Syncytial Virus Vaccine in Infants and Toddlers</t>
  </si>
  <si>
    <t>NCT05907096</t>
  </si>
  <si>
    <t>ARGX-117 in Deceased Donor Kidney Transplant Recipients at Risk for Delayed Graft Function</t>
  </si>
  <si>
    <t>NCT06408285</t>
  </si>
  <si>
    <t>A Study of TQC3927 Powder for Inhalation in Healthy Adult Subjects</t>
  </si>
  <si>
    <t>NCT06530810</t>
  </si>
  <si>
    <t>Study of HS-10382 Combination in Patients With Chronic Myeloid Leukemia (CML)</t>
  </si>
  <si>
    <t>NCT06591520</t>
  </si>
  <si>
    <t>AK112 Combined With Chemotherapy Versus Durvalumab Combined With Chemotherapy in Advanced Biliary Tract Cancer</t>
  </si>
  <si>
    <t>NCT06021860</t>
  </si>
  <si>
    <t>A Phase IV, Two-part, Open-label Study Assessing the Pharmacokinetics, Safety and Pharmacodynamics of Spironolactone Oral Suspension in Pediatric Patients</t>
  </si>
  <si>
    <t>CMP Development, LLC</t>
  </si>
  <si>
    <t>NCT06080789</t>
  </si>
  <si>
    <t>A Study to Evaluate the Safety and Efficacy of a Single Dose of RABI-767 in Participants With Acute Pancreatitis</t>
  </si>
  <si>
    <t>Panafina, Inc.</t>
  </si>
  <si>
    <t>NCT07093697</t>
  </si>
  <si>
    <t>A Study to Evaluate the Efficacy and Safety of DW5121 Compared to DW51211 and DW51212</t>
  </si>
  <si>
    <t>NCT06349980</t>
  </si>
  <si>
    <t>A Study to Explore the Reasonable Dosage and Evaluate the Efficacy, Safety and Tolerability of HLX10 and HLX04 with or Without HLX53 in Untreated, Locally Advanced or Metastatic Hepatocellular Carcinoma Patients.</t>
  </si>
  <si>
    <t>NCT06379958</t>
  </si>
  <si>
    <t>Drug-Drug Interaction (DDI) Study of Leramistat in Healthy Adult Subjects</t>
  </si>
  <si>
    <t>NCT06569758</t>
  </si>
  <si>
    <t>A Study of GenSci098 in Subjects With Active Thyroid Eye Disease</t>
  </si>
  <si>
    <t>NCT06193148</t>
  </si>
  <si>
    <t>A Study to Evaluate the Effect of Jaktinib on QT/QTc Interval in Healthy Participants</t>
  </si>
  <si>
    <t>NCT06243458</t>
  </si>
  <si>
    <t>RVU120 for Treatment of Anemia in Patients With Lower-risk Myelodysplastic Neoplasms</t>
  </si>
  <si>
    <t>NCT06243835</t>
  </si>
  <si>
    <t>A Study to Test the Effects of Kindolor at Different Doses in Healthy Adults</t>
  </si>
  <si>
    <t>Lohocla Research Corporation</t>
  </si>
  <si>
    <t>NCT06560489</t>
  </si>
  <si>
    <t>Pharmacokinetics and Efficacy of Multiple Dosing of LP-98 for Injection in HIV-infected Patients</t>
  </si>
  <si>
    <t>NCT05466747</t>
  </si>
  <si>
    <t>A Study of RYMPHYSIA for Alpha1-Proteinase Inhibitor (A1PI) Therapy in Adults With A1PI Deficiency and Chronic Obstructive Pulmonary Disease (COPD)-Emphysema</t>
  </si>
  <si>
    <t>NCT06315426</t>
  </si>
  <si>
    <t>A Study of IL4Rα Monoclonal Antibody in Patients With Seasonal Allergic Rhinitis(SAR).</t>
  </si>
  <si>
    <t>NCT06462235</t>
  </si>
  <si>
    <t>A Study to Learn About the Study Medicine Aztreonam-Avibactam (ATM-AVI) in Infants and Newborns Admitted in Hospitals With Bacterial Infection (CHERISH)</t>
  </si>
  <si>
    <t>NCT06571448</t>
  </si>
  <si>
    <t>Efficacy, Safety, and Tolerability of SR750 in Patients With Trigeminal Neuralgia</t>
  </si>
  <si>
    <t>NCT05736406</t>
  </si>
  <si>
    <t>A Dose-escalation Clinical Study of Intraoperative Photodynamic Therapy of Glioblastoma</t>
  </si>
  <si>
    <t>Hemerion Therapeutics</t>
  </si>
  <si>
    <t>NCT06527404</t>
  </si>
  <si>
    <t>A Phase 3, Placebo-controlled, Double-blind Study Assessing Rocatinlimab in Prurigo Nodularis</t>
  </si>
  <si>
    <t>NCT04406948</t>
  </si>
  <si>
    <t>Study of Safety and Efficacy of MGCND00EP1 as an Add on Treatment in Children and Adolescents With Resistant Epilepsies</t>
  </si>
  <si>
    <t>NCT05070650</t>
  </si>
  <si>
    <t>Efficacy and Safety of the Combination of Acetylcysteine, Paracetamol and Phenylephrine for the Treatment of Common Cold</t>
  </si>
  <si>
    <t>NCT06492291</t>
  </si>
  <si>
    <t>Open-label Extension Study of Enlicitide Decanoate (MK-0616/Enlicitide Oral PCSK9 Inhibitor) in Adults With Hypercholesterolemia (MK-0616-019) CORALreef Extension</t>
  </si>
  <si>
    <t>NCT06467084</t>
  </si>
  <si>
    <t>Open-Label Safety, PK, and Efficacy Trial of Sebetralstat (KVD900) in Pediatric Patients (Ages 2-11) With HAE Type I or II</t>
  </si>
  <si>
    <t>NCT06481085</t>
  </si>
  <si>
    <t>To Evaluate Efficacy and Safety of HDM1002 Tablets in Adults With Type 2 Diabetes Mellitus</t>
  </si>
  <si>
    <t>NCT06586515</t>
  </si>
  <si>
    <t>MOONRAY-01, A Study of LY3962673 in Participants With KRAS G12D-Mutant Solid Tumors</t>
  </si>
  <si>
    <t>NCT06422884</t>
  </si>
  <si>
    <t>A Phase 2 Trial of ENV-101 in Patients With Lung Fibrosis (WHISTLE-PF Trial)</t>
  </si>
  <si>
    <t>NCT06231771</t>
  </si>
  <si>
    <t>Safety and Efficacy of Stem Cells for Diabetic Foot Ulcer</t>
  </si>
  <si>
    <t>Supergenics Life Science Sdn. Bhd.</t>
  </si>
  <si>
    <t>NCT06191263</t>
  </si>
  <si>
    <t>Safety and Efficacy of RVU120 Combined With Venetoclax for Treatment of Relapsed/Refractory AML</t>
  </si>
  <si>
    <t>NCT06202521</t>
  </si>
  <si>
    <t>CX-4945 in Viral Community Acquired Pneumonia</t>
  </si>
  <si>
    <t>NCT06252285</t>
  </si>
  <si>
    <t>Efficacy, Immunogenicity, and Safety Study of a Respiratory Syncytial Virus Vaccine in Infants and Toddlers</t>
  </si>
  <si>
    <t>NCT06293820</t>
  </si>
  <si>
    <t>A Study Of TL-925 For The Treatment of AC</t>
  </si>
  <si>
    <t>NCT06655896</t>
  </si>
  <si>
    <t>Phase 2 Study Evaluating Rapcabtagene Autoleucel in Participants With Diffuse Cutaneous Systemic Sclerosis</t>
  </si>
  <si>
    <t>NCT06276556</t>
  </si>
  <si>
    <t>Extension Study of ABP-671 in Participants With Gout</t>
  </si>
  <si>
    <t>NCT06653023</t>
  </si>
  <si>
    <t>Universal CAR-T Cells (REVO-UWD-03) for Advanced Hepatocellular Carcinoma and Lung Cancer</t>
  </si>
  <si>
    <t>NCT06415279</t>
  </si>
  <si>
    <t>A Study to Evaluate the Reduction in Sebum (Skin Oil) Induced by Clascoterone Cream 1% in Acne Patients</t>
  </si>
  <si>
    <t>NCT06492122</t>
  </si>
  <si>
    <t>Study With [225Ac]Ac-FL-020 in mCRPC Participants</t>
  </si>
  <si>
    <t>Full-Life Technologies UK Limited</t>
  </si>
  <si>
    <t>NCT06625710</t>
  </si>
  <si>
    <t>Evaluation of the Safety, Tolerability and PK Characteristics of GV1001 in Healthy Subjects</t>
  </si>
  <si>
    <t>NCT06252220</t>
  </si>
  <si>
    <t>First in Human Study in Subjects With Obesity, But Otherwise Healthy</t>
  </si>
  <si>
    <t>NCT06098079</t>
  </si>
  <si>
    <t>Effect of Naltrexone Hydrochloride ER and Bupropion Hydrochloride ER Combination (Contrave®/Mysimba®) on Major Adverse Cardiovascular Events (MACE)</t>
  </si>
  <si>
    <t>Currax Pharmaceuticals</t>
  </si>
  <si>
    <t>NCT06192927</t>
  </si>
  <si>
    <t>Efficacy and Safety of TenoMiR in Lateral Epicondylitis</t>
  </si>
  <si>
    <t>NCT06198686</t>
  </si>
  <si>
    <t>An Evaluation of The Absolute Bioavailability of TH104</t>
  </si>
  <si>
    <t>Tharimmune Inc</t>
  </si>
  <si>
    <t>NCT06246513</t>
  </si>
  <si>
    <t>A Trial to Learn More About an Experimental Gene Therapy Called Bidridistrogene Xeboparvovec (SRP-9003) as a Possible Treatment for Limb Girdle Muscular Dystrophy 2E/R4</t>
  </si>
  <si>
    <t>NCT06825624</t>
  </si>
  <si>
    <t>ARTEMIS-102: HS-20093 Combinations in Patients with Advanced Metastatic Colorectal Cancer</t>
  </si>
  <si>
    <t>NCT06562088</t>
  </si>
  <si>
    <t>A Drug-Drug Interaction (DDI) Study of HDM1002 With Rifampicin and Itraconazole in Healthy Subjects</t>
  </si>
  <si>
    <t>NCT06686524</t>
  </si>
  <si>
    <t>Clinical Study of CD19 Targeted Universal Chimeric Antigen Receptor T Lymphocytes (UCAR-T) for the Treatment of Refractory Juvenile Dermatomyositis (RJDM)</t>
  </si>
  <si>
    <t>NCT04935762</t>
  </si>
  <si>
    <t>A Study of CST-103 Co-administered With CST-107 in Subjects With Parkinson's Disease Having Freezing of Gait (CLIN-012)</t>
  </si>
  <si>
    <t>NCT06690242</t>
  </si>
  <si>
    <t>MT1013 Injection for the Treatment of Secondary Hyperparathyroidism in Patients With Chronic Kidney Disease</t>
  </si>
  <si>
    <t>NCT06445023</t>
  </si>
  <si>
    <t>A Phase 3 Study of Barzolvolimab in Participants With Chronic Spontaneous Urticaria</t>
  </si>
  <si>
    <t>NCT06236880</t>
  </si>
  <si>
    <t>A Phase 2a Study to Evaluate the Safety and Tolerability of GM-2505 in Patients With MDD</t>
  </si>
  <si>
    <t>Gilgamesh Pharmaceuticals</t>
  </si>
  <si>
    <t>NCT06857890</t>
  </si>
  <si>
    <t>Safety, Tolerability, and Pharmacokinetic Profile of Grammidin With Anesthetic, a Metered Dose Topical Spray in Healthy Volunteers</t>
  </si>
  <si>
    <t>NCT06400303</t>
  </si>
  <si>
    <t>KYSA-5: A Study of Anti-CD19 Chimeric Antigen Receptor T-Cell (CD19 CAR T) Therapy, in Subjects With Systemic Sclerosis</t>
  </si>
  <si>
    <t>NCT06668792</t>
  </si>
  <si>
    <t>An Open-Label Clinical Study of the Efficacy and Safety of BCD-248 in Patients With Relapsed/Refractory Multiple Myeloma</t>
  </si>
  <si>
    <t>NCT06215170</t>
  </si>
  <si>
    <t>SafeMedWaste At-Home, Environmentally-Friendly Opioid Disposal Kit for Orthopedic Post-Operative Surgical Patients to Reduce Opioids Available for Diversion</t>
  </si>
  <si>
    <t>SafeMedWaste, Inc.</t>
  </si>
  <si>
    <t>NCT06370819</t>
  </si>
  <si>
    <t>A Research Study Looking Into Blood Levels of the Medicine NNC0519-0130 in the Body in Participants With Normal or Reduced Kidney Function</t>
  </si>
  <si>
    <t>NCT06625398</t>
  </si>
  <si>
    <t>An Efficacy, Safety, and Tolerability Study of VRDN-003 in Participants With Chronic Thyroid Eye Disease (TED)</t>
  </si>
  <si>
    <t>NCT06525077</t>
  </si>
  <si>
    <t>Safety and Efficacy of FT218 in Idiopathic Hypersomnia (REVITALYZ)</t>
  </si>
  <si>
    <t>NCT06575400</t>
  </si>
  <si>
    <t>A Study to Test How Well Different Doses of BI 3804379 Are Tolerated by Healthy People and Patients With Metabolic Dysfunction-associated Steatohepatitis (MASH)</t>
  </si>
  <si>
    <t>NCT06645665</t>
  </si>
  <si>
    <t>A Study to Describe the Safety and Immunogenicity of a Respiratory Syncytial Virus Vaccine IN006 in Healthy Adult Aged 18 Years and Above</t>
  </si>
  <si>
    <t>Shenzhen Shenxin Biotechnology Co., Ltd</t>
  </si>
  <si>
    <t>NCT06395519</t>
  </si>
  <si>
    <t>A Study of PARG Inhibitor ETX-19477 in Patients With Advanced Solid Malignancies</t>
  </si>
  <si>
    <t>858 Therapeutics, Inc.</t>
  </si>
  <si>
    <t>NCT07381530</t>
  </si>
  <si>
    <t>Study of Cardioplegia in Cardiac Surgery Due to Congenital Heart Malformation in Children</t>
  </si>
  <si>
    <t>NCT06259409</t>
  </si>
  <si>
    <t>Regenn® Therapy System Safety Study</t>
  </si>
  <si>
    <t>Progenerative Medical, Inc</t>
  </si>
  <si>
    <t>NCT07169214</t>
  </si>
  <si>
    <t>Evaluation of Safety, Efficacy, and Pharmacokinetics of BT-114143 Injection in Patients With Abnormal Uterine Bleeding</t>
  </si>
  <si>
    <t>NCT06542614</t>
  </si>
  <si>
    <t>Treatment of Moderate to Severe Plaque Psoriasis</t>
  </si>
  <si>
    <t>NCT06285916</t>
  </si>
  <si>
    <t>A Study to Assess the Efficacy, Safety, and Tolerability of Oral NORA520 in Adults With Severe Postpartum Depression</t>
  </si>
  <si>
    <t>DuKang Pharmaceuticals, Inc.</t>
  </si>
  <si>
    <t>NCT06263270</t>
  </si>
  <si>
    <t>Evaluation of CYT-108, A Recombinant Protease Inhibitor, for Treatment of Mild To Moderate Primary Osteoarthritis Of The Knee</t>
  </si>
  <si>
    <t>Cytonics Corporation</t>
  </si>
  <si>
    <t>NCT06561841</t>
  </si>
  <si>
    <t>A Study to Evaluate the Efficacy and Safety of HSK39297 in Patients With Paroxysmal Nocturnal Hemoglobinuria（PNH）</t>
  </si>
  <si>
    <t>NCT05933057</t>
  </si>
  <si>
    <t>Efficacy, Safety and Tolerability of Givinostat in Non-ambulant Patients With Duchenne Muscular Dystrophy</t>
  </si>
  <si>
    <t>NCT07002398</t>
  </si>
  <si>
    <t>Safety and Preliminary Efficacy of VG801 in Patients With ABCA4 Mutation-associated Retinal Dystrophy (Stargardt Disease)</t>
  </si>
  <si>
    <t>NCT07310563</t>
  </si>
  <si>
    <t>A Trial to Evaluate Interactions Between Antiemetic Medication and AMG 133 in Participants Living With Overweight or Obesity</t>
  </si>
  <si>
    <t>NCT06299163</t>
  </si>
  <si>
    <t>NM32-2668 in Adult Patients With Selected Advanced Solid Tumors</t>
  </si>
  <si>
    <t>NCT06471712</t>
  </si>
  <si>
    <t>Clinical Study of 18F-LNC1007 Injection PET/CT</t>
  </si>
  <si>
    <t>NCT06354114</t>
  </si>
  <si>
    <t>A Study to Evaluate the Efficacy and Safety in Subjects With Advanced Breast Cancer Treated With SYHX2011</t>
  </si>
  <si>
    <t>NCT06536036</t>
  </si>
  <si>
    <t>Evaluate the Effects of Food on the Pharmacokinetics of SIM0270</t>
  </si>
  <si>
    <t>NCT06558344</t>
  </si>
  <si>
    <t>A Study to Test Different Doses of BI 1569912 in People With Depression</t>
  </si>
  <si>
    <t>NCT06524375</t>
  </si>
  <si>
    <t>A Study to Evaluate the Effect of Venetoclax on Participants Receiving a Covalent Bruton's Tyrosine Kinase Inhibitor (cBTKi) for First-line Chronic Lymphocytic Leukemia (1L CLL) to Achieve Deep Durable Remissions to Allow Off-treatment Period</t>
  </si>
  <si>
    <t>NCT06424340</t>
  </si>
  <si>
    <t>MB-dNPM1-TCR.1 in Relapsed/Refractory AML</t>
  </si>
  <si>
    <t>NCT06104917</t>
  </si>
  <si>
    <t>Effect of Maolactin on Gastrointestinal Tract (GIT) Health</t>
  </si>
  <si>
    <t>NCT06387082</t>
  </si>
  <si>
    <t>A Clinical Study of HMPL-506 in Patients With Hematological Malignancies</t>
  </si>
  <si>
    <t>NCT06610890</t>
  </si>
  <si>
    <t>Pharmacokinetic Interactions Between Hemay005 Tablets and Midazolam Maleate Tablets</t>
  </si>
  <si>
    <t>NCT06249048</t>
  </si>
  <si>
    <t>Phase 1/2 Study of Intratumoral Injection of STX-001 in Advanced Solid Tumors as Monotherapy or in Combination With Pembrolizumab</t>
  </si>
  <si>
    <t>Strand Therapeutics Inc.</t>
  </si>
  <si>
    <t>NCT06050291</t>
  </si>
  <si>
    <t>Investigating the Effect of Food on the Bioavailability of a Fixed Dose Combination of Obicetrapib and Ezetimibe</t>
  </si>
  <si>
    <t>NCT06569108</t>
  </si>
  <si>
    <t>Efficacy and Safety of KN057 Prophylaxis in Patients With Haemophilia A or B Without Inhibitors</t>
  </si>
  <si>
    <t>NCT06441643</t>
  </si>
  <si>
    <t>Next Generation Rocklatan</t>
  </si>
  <si>
    <t>NCT07028697</t>
  </si>
  <si>
    <t>A Study to Evaluate the Efficacy and Safety of Daridorexant in Participants With Insomnia Disorder</t>
  </si>
  <si>
    <t>Nxera Pharma Korea Co., Ltd.</t>
  </si>
  <si>
    <t>NCT06447506</t>
  </si>
  <si>
    <t>Long-Term Study (AtDvance) to Evaluate GSK1070806 in Atopic Dermatitis.</t>
  </si>
  <si>
    <t>NCT06215755</t>
  </si>
  <si>
    <t>A Study of VRG50635 in Participants With Amyotrophic Lateral Sclerosis (ALS)</t>
  </si>
  <si>
    <t>NCT06393517</t>
  </si>
  <si>
    <t>A Study to Learn How Different Forms of the Study Medicine Called PF-06954522 Are Taken up Into the Blood in Healthy Adults</t>
  </si>
  <si>
    <t>NCT06491550</t>
  </si>
  <si>
    <t>A Study to Assess the Safety, Tolerability, Pharmacokinetics, and Pharmacodynamics of AZD4144 as Well as the Impact of AZD4144 on the Pharmacokinetics of Rosuvastatin and Furosemide in Healthy Participants</t>
  </si>
  <si>
    <t>NCT06452160</t>
  </si>
  <si>
    <t>A Study of BGC515 Capsules in Subjects With Advanced Solid Tumors</t>
  </si>
  <si>
    <t>BridGene Biosciences Inc.</t>
  </si>
  <si>
    <t>NCT06329687</t>
  </si>
  <si>
    <t>A Study Evaluating the Safety of the Nasal Pump</t>
  </si>
  <si>
    <t>NCT07065032</t>
  </si>
  <si>
    <t>A Study of ZT002 Injection in Adult Chinese Subjects With Type 2 Diabetes Mellitus (T2DM)</t>
  </si>
  <si>
    <t>NCT06319794</t>
  </si>
  <si>
    <t>Study on the Safety and Efficacy of Bimiralisib Gel in Participants Suffering From Actinic Keratosis</t>
  </si>
  <si>
    <t>TORQUR</t>
  </si>
  <si>
    <t>NCT06284954</t>
  </si>
  <si>
    <t>A Study to Evaluate Safety and Efficacy of Empasiprubart in Adults With Dermatomyositis</t>
  </si>
  <si>
    <t>NCT06984588</t>
  </si>
  <si>
    <t>A Study to Compare Uliledlimab Combined With Toripalimab, Toripalimab Monotherapy, and Pembrolizumab Monotherapy in Patients With Previously Untreated Locally Advanced Unresectable or Metastatic PD-L1- and CD73- Selected Non-Small Cell Lung Cancer</t>
  </si>
  <si>
    <t>NCT06527677</t>
  </si>
  <si>
    <t>Assessment of the Pharmacokinetics and Safety of ANT3310 Combined With Meropenem in Renally Impaired Subjects</t>
  </si>
  <si>
    <t>NCT06072430</t>
  </si>
  <si>
    <t>A Phase III, Open Label, Randomized, Controlled Study of VBI-S in the Treatment of Hypovolemia in Patients With Septic Shock (VBI-S-02)</t>
  </si>
  <si>
    <t>NCT06425900</t>
  </si>
  <si>
    <t>A Study to Assess Sebaceous Gland Changes and Constituents of Sebum (Skin Oil) Induced by Clascoterone 1% Cream in Acne Patients</t>
  </si>
  <si>
    <t>NCT06344728</t>
  </si>
  <si>
    <t>A Study to Assess the Relative Bioavailability of Brensocatib Pediatric Oral Solution to Oral Tablets in Healthy Participants</t>
  </si>
  <si>
    <t>NCT06411730</t>
  </si>
  <si>
    <t>A Study to Evaluate the Safety, Tolerability, and Drug Levels of Orally Administered BMS-986368 in Healthy Participants, Healthy Elderly Participants, and Healthy Participants of Japanese Ethnicity</t>
  </si>
  <si>
    <t>NCT06712836</t>
  </si>
  <si>
    <t>A Phase 2b Study to Examine the Safety and Efficacy of Once-Weekly MET097 in Adults With Obesity or Overweight</t>
  </si>
  <si>
    <t>NCT06452771</t>
  </si>
  <si>
    <t>A First In Human (FIH) Study to Learn if Different Doses of ALN-ANG3 Are Safe and Well Tolerated in Healthy Adults</t>
  </si>
  <si>
    <t>NCT06679946</t>
  </si>
  <si>
    <t>A Study to Evaluate Vutrisiran in Patients With Transthyretin Amyloidosis With Cardiomyopathy</t>
  </si>
  <si>
    <t>NCT06436742</t>
  </si>
  <si>
    <t>A Phase 1b Study to Investigate Safety and Tolerability of ARGX-119 in Adult Participants With DOK7-Congenital Myasthenic Syndromes (CMS)</t>
  </si>
  <si>
    <t>NCT06258720</t>
  </si>
  <si>
    <t>A Trial Investigating Lu AF82422 in Healthy Chinese and Caucasian Adults</t>
  </si>
  <si>
    <t>NCT06603220</t>
  </si>
  <si>
    <t>A Study Evaluating the Safety, Tolerability, and Efficacy of EVO756 in Adults With Chronic Inducible Urticaria</t>
  </si>
  <si>
    <t>NCT06774859</t>
  </si>
  <si>
    <t>Study to Assess the Safety, Pharmacokinetics, and Efficacy of Baloxavir Marboxil in Chinese Pediatric Participants 1 to &lt;12 Years of Age With Influenza Symptoms</t>
  </si>
  <si>
    <t>NCT06211179</t>
  </si>
  <si>
    <t>A Study to Assess the Relative Bioavailability of 5 mg Mavacamten Opened Capsule Administered Via Nasogastric Tube Compared to Intact Oral 5 mg Mavacamten in Healthy Participants</t>
  </si>
  <si>
    <t>NCT05833724</t>
  </si>
  <si>
    <t>Chidamide in Patients With Relapsed or Refractory Peripheral T-cell Lymphoma (R/R PTCL)</t>
  </si>
  <si>
    <t>NCT06399003</t>
  </si>
  <si>
    <t>Comparison Study of SIBP's MMR Vaccine Versus GSK MMR Vaccine in Children Aged 9-11 Months</t>
  </si>
  <si>
    <t>NCT06133803</t>
  </si>
  <si>
    <t>Lovenox With Aspirin in Thawed Blastocyst Transfer</t>
  </si>
  <si>
    <t>Fertility Center of Las Vegas</t>
  </si>
  <si>
    <t>NCT06566586</t>
  </si>
  <si>
    <t>A Clinical Study to Evaluate the Efficacy and Safety of TQB3702 Tablets Combined With Immunochemotherapy for the Treatment of B-cell Lymphoma</t>
  </si>
  <si>
    <t>NCT06582264</t>
  </si>
  <si>
    <t>A Phase 1b Trial to Evaluate the Safety of MB310 in Patients With Active, Mild-to-Moderate Ulcerative Colitis</t>
  </si>
  <si>
    <t>Microbiotica Ltd</t>
  </si>
  <si>
    <t>NCT06645301</t>
  </si>
  <si>
    <t>BGT007 Treatment for Recurrent/refractory Gastrointestinal Malignancies</t>
  </si>
  <si>
    <t>NCT05976828</t>
  </si>
  <si>
    <t>IBRX-042 In Participants With HPV-Associated Tumors</t>
  </si>
  <si>
    <t>NCT06625177</t>
  </si>
  <si>
    <t>A Trial to Test the Safety and Efficacy of TEV-53408 in Treating Vitiligo</t>
  </si>
  <si>
    <t>NCT05355207</t>
  </si>
  <si>
    <t>Study to Evaluate Safety and Activity of TRL1068 in Chronic Rhinosinusitis</t>
  </si>
  <si>
    <t>NCT06232707</t>
  </si>
  <si>
    <t>A Study to Evaluate Efficacy and Safety of Alnuctamab Compared to Standard of Care Regimens in Participants With Relapsed or Refractory Multiple Myeloma (RRMM)</t>
  </si>
  <si>
    <t>NCT06388200</t>
  </si>
  <si>
    <t>A Phase 3 Study Of OCU400 Gene Therapy for the Treatment Of Retinitis Pigmentosa</t>
  </si>
  <si>
    <t>NCT06929039</t>
  </si>
  <si>
    <t>Open Label , Randomized, Three Arm Parallel Group Single Dose Comparative Pharmacokinetic , Safety and Immunogenicity Study in Healthy Subjects</t>
  </si>
  <si>
    <t>NCT06555081</t>
  </si>
  <si>
    <t>A Study to Evaluate the Bioequivalence of Ruxolitinib Extended Release (XR) Tablets With Ruxolitinib Immediate Release (IR) Tablets Administered Orally in Healthy Participants</t>
  </si>
  <si>
    <t>NCT06388616</t>
  </si>
  <si>
    <t>Study to Investigate the Effect of Hepatic Impairment on the Pharmacokinetics, Safety, and Tolerability of Balcinrenone</t>
  </si>
  <si>
    <t>NCT06412185</t>
  </si>
  <si>
    <t>Single Dose Escalation Study of CM383 in Healthy Volunteers</t>
  </si>
  <si>
    <t>NCT06696443</t>
  </si>
  <si>
    <t>Evaluation of the Long-term Safety and Effectiveness of Suzetrigine (SUZ) in Participants With Painful Diabetic Peripheral Neuropathy (DPN)</t>
  </si>
  <si>
    <t>NCT06685809</t>
  </si>
  <si>
    <t>A Phase 1 Study of FZ008-145 in Healthy Subjects.</t>
  </si>
  <si>
    <t>Guangzhou Fermion Technology Co., LTD</t>
  </si>
  <si>
    <t>NCT06712407</t>
  </si>
  <si>
    <t>Efficacy and Safety of Extended TARPEYO® Treatment Beyond 9 Months in Adult Patients With Primary IgA Nephropathy</t>
  </si>
  <si>
    <t>NCT06668987</t>
  </si>
  <si>
    <t>A Study of the Boron Neutron Capture Therapy (BNCT) Using B10 L-BPA in Recurrent Meningioma</t>
  </si>
  <si>
    <t>Heron Neutron Medical Corp.</t>
  </si>
  <si>
    <t>NCT06572449</t>
  </si>
  <si>
    <t>Study to Assess Safety and Effectiveness of Slowly Increasing Dose and Food Effect of KarXT in Participants With Schizophrenia</t>
  </si>
  <si>
    <t>NCT06788509</t>
  </si>
  <si>
    <t>A Rollover Study for Continued Study Treatment and Ongoing Safety Monitoring</t>
  </si>
  <si>
    <t>NCT06528314</t>
  </si>
  <si>
    <t>A Study Evaluating Efruxifermin in Subjects With Compensated Cirrhosis Due to NASH/MASH</t>
  </si>
  <si>
    <t>NCT05926349</t>
  </si>
  <si>
    <t>A Study of Andexanet Alfa in Patients Requiring Urgent Surgery or Procedure</t>
  </si>
  <si>
    <t>NCT06245408</t>
  </si>
  <si>
    <t>A Safety and Efficacy Study of Dazodalibep in Participants With Sjögren's Syndrome (SS) With Moderate-to-Severe Symptom State</t>
  </si>
  <si>
    <t>NCT06544707</t>
  </si>
  <si>
    <t>A Study Designed to Evaluate Tear Production</t>
  </si>
  <si>
    <t>NCT06703398</t>
  </si>
  <si>
    <t>A Study of GC101 TIL in Advanced Melanoma</t>
  </si>
  <si>
    <t>NCT06506916</t>
  </si>
  <si>
    <t>A Study to Evaluate the Effect of Bimekizumab on Gene Expression Biomarkers in Study Participants With Moderate to Severe Plaque Psoriasis</t>
  </si>
  <si>
    <t>NCT06383871</t>
  </si>
  <si>
    <t>A Phase I Clinical Study of HRS-7058 in Patients With Advanced Malignant Tumour</t>
  </si>
  <si>
    <t>NCT06577558</t>
  </si>
  <si>
    <t>Efficacy and Safety of SR1375 in Adult Patients With CAP</t>
  </si>
  <si>
    <t>NCT06866158</t>
  </si>
  <si>
    <t>Autologous Dendritic Cell as Adjunct Therapy for Diabetic Kidney Disease</t>
  </si>
  <si>
    <t>PT. JES Kasih Nusantara Sejahterah</t>
  </si>
  <si>
    <t>NCT06522035</t>
  </si>
  <si>
    <t>Evaluation of Allocetra by Intra-articular Injection for the Treatment of Psoriatic Arthritis</t>
  </si>
  <si>
    <t>NCT06428825</t>
  </si>
  <si>
    <t>A Study to Learn About the Safety of BAY3283142 in People With Mild to Moderate High Blood Pressure</t>
  </si>
  <si>
    <t>NCT06442449</t>
  </si>
  <si>
    <t>Booster Dose of sIPV Co-administered With MMR and HepA-I.</t>
  </si>
  <si>
    <t>NCT06167317</t>
  </si>
  <si>
    <t>Study of GS-0201 Alone and in Combination in Participants With Advanced Solid Tumors</t>
  </si>
  <si>
    <t>NCT06704763</t>
  </si>
  <si>
    <t>A Drug-Drug Interaction Study of Orforglipron (LY3502970) With Quinidine in Healthy Participants</t>
  </si>
  <si>
    <t>NCT06254014</t>
  </si>
  <si>
    <t>A Phase 3 Study to Evaluate the Efficacy of JY09 Compared With Placebo in T2DM Patients</t>
  </si>
  <si>
    <t>NCT06290349</t>
  </si>
  <si>
    <t>Efficacy and Safety of DA5221-T When Added to Ongoing DA5221-B1 and DA5221-B2 Combination Therapy in Patients With Type 2 Diabetes Who Have Inadequate Glycemic Control</t>
  </si>
  <si>
    <t>NCT06382155</t>
  </si>
  <si>
    <t>A Phase 2 Study of Vosoritide in Children With Idiopathic Short Stature</t>
  </si>
  <si>
    <t>NCT06621017</t>
  </si>
  <si>
    <t>Effect of GLP-1 Analogue ROSE-010 on Appetite in Overweight and Obese Subjects</t>
  </si>
  <si>
    <t>Rose Pharma Inc</t>
  </si>
  <si>
    <t>NCT06540833</t>
  </si>
  <si>
    <t>A Study to Assess the Efficacy and Safety of ITI-1284 in the Treatment of Psychosis Associated With Alzheimer's Disease</t>
  </si>
  <si>
    <t>NCT06671938</t>
  </si>
  <si>
    <t>Safety, Tolerability, and Pharmacokinetics of Exidavnemab in Patients With Parkinson's Disease and Patients With Multiple System Atrophy</t>
  </si>
  <si>
    <t>BioArctic AB</t>
  </si>
  <si>
    <t>NCT06309355</t>
  </si>
  <si>
    <t>Topical YR001 Ointment in Adult With Mild to Moderate Atopic Dermatitis</t>
  </si>
  <si>
    <t>NCT06531707</t>
  </si>
  <si>
    <t>Efficacy and Safety in the Combination of Ibuprofen / Loratadine Versus Ibuprofen Versus Loratadine</t>
  </si>
  <si>
    <t>NCT06285799</t>
  </si>
  <si>
    <t>Safety and Effectiveness of Iron Hydroxide Adipate Tartrate (IHAT) in Iron Deficient Premenopausal Women</t>
  </si>
  <si>
    <t>Nemysis Ltd</t>
  </si>
  <si>
    <t>NCT06635447</t>
  </si>
  <si>
    <t>Capivasertib+Fulvestrant asTreatment for Locally Advanced(Inoperable) or Metastatic HR+/HER2- Breast Cancer in Chinese Patients</t>
  </si>
  <si>
    <t>NCT06408311</t>
  </si>
  <si>
    <t>Safety of ENC-201-CED ENCRT</t>
  </si>
  <si>
    <t>Encellin</t>
  </si>
  <si>
    <t>NCT06606847</t>
  </si>
  <si>
    <t>A Study to Investigate the Effects of Durvalumab With Oleclumab Following Chemoradiation in Participants With Locally Advanced Unresectable Non-Small Cell Lung Cancer (LADOGA)</t>
  </si>
  <si>
    <t>NCT06195930</t>
  </si>
  <si>
    <t>A Study to Learn How Safe Starting Vericiguat at a Dose of 5 Milligrams is in Participants With Chronic Heart Failure With Reduced Ejection Fraction</t>
  </si>
  <si>
    <t>NCT06675032</t>
  </si>
  <si>
    <t>Phase I Clinical Trial of PCV24 in Children Aged 2 Months (Minimum 6 Weeks) to 17 Years</t>
  </si>
  <si>
    <t>NCT06415214</t>
  </si>
  <si>
    <t>Efficacy and Safety of HRS-7535 Tablets in Adults With Diabetic Kidney Disease in Type 2 Diabetes</t>
  </si>
  <si>
    <t>NCT06492616</t>
  </si>
  <si>
    <t>A Study of Elacestrant Versus Standard Endocrine Therapy in Women and Men With ER+,HER2-, Early Breast Cancer With High Risk of Recurrence</t>
  </si>
  <si>
    <t>NCT06795204</t>
  </si>
  <si>
    <t>Effects of HSK3486 on Cardiac Repolarization in Health Subjects (TQT)</t>
  </si>
  <si>
    <t>NCT06222671</t>
  </si>
  <si>
    <t>A Study to Evaluate 608 in Patients With Non- Radiographic Axial Spondyloarthritis (Nr-axSpA)</t>
  </si>
  <si>
    <t>NCT06598800</t>
  </si>
  <si>
    <t>Study of BG-T187 Alone and in Combination With Other Therapeutic Agents in Participants With Advanced Solid Tumors</t>
  </si>
  <si>
    <t>NCT06407934</t>
  </si>
  <si>
    <t>A Study to Evaluate the Treatment Response and Safety of Two Dose Regimens of Subcutaneous Amlitelimab Compared With Treatment Withdrawal in Participants Aged 12 Years and Older With Moderate-to-severe Atopic Dermatitis</t>
  </si>
  <si>
    <t>NCT06505265</t>
  </si>
  <si>
    <t>A Study to Evaluate Skin and Plasma Pharmacokinetic of Multiple Doses of Povorcitinib After Oral Administration in Healthy Participants</t>
  </si>
  <si>
    <t>NCT06720714</t>
  </si>
  <si>
    <t>A Study to Assess the Concentration of Rozanolixizumab in the Breast Milk of Healthy Lactating Women</t>
  </si>
  <si>
    <t>NCT06716606</t>
  </si>
  <si>
    <t>A Study to Investigate the Long-term Safety and Efficacy of Belimumab in Adults With Interstitial Lung Disease (ILD) Associated With Systemic Sclerosis (SSc) and Other Connective Tissue Diseases (CTD) (BLISSconneCTD-OLE)</t>
  </si>
  <si>
    <t>NCT06332170</t>
  </si>
  <si>
    <t>ARTEMIS-101: A Study of HS-20093 Combinations in Patients With Advanced Solid Tumors</t>
  </si>
  <si>
    <t>NCT06199973</t>
  </si>
  <si>
    <t>Injection of SHR-A1811 Versus Physician Choiced Treatment in Patients With Advanced Colorectal Cancer Who Had Failed to Respond to Oxaliplatin, 5-fu, and Irinotecan</t>
  </si>
  <si>
    <t>NCT06245941</t>
  </si>
  <si>
    <t>A Clinical Trial of TQ05105 Tablets Combined With TQB3909 Tablets in the Treatment of Myelofibrosis (MF)</t>
  </si>
  <si>
    <t>NCT06526923</t>
  </si>
  <si>
    <t>A Phase 1/2 Trial of SP-101 for the Treatment of Cystic Fibrosis (CF)</t>
  </si>
  <si>
    <t>Spirovant Sciences, Inc.</t>
  </si>
  <si>
    <t>NCT06213259</t>
  </si>
  <si>
    <t>A Study of KD6005 in Healthy Participants and Participants With Rheumatoid Arthritis (RA)</t>
  </si>
  <si>
    <t>NCT06481579</t>
  </si>
  <si>
    <t>A Study of IVX-A12 in Adults Participants</t>
  </si>
  <si>
    <t>NCT06140303</t>
  </si>
  <si>
    <t>SkinTE® for the Treatment of Wagner 1 Diabetic Foot Ulcers (COVER DFUS II)</t>
  </si>
  <si>
    <t>NCT06514742</t>
  </si>
  <si>
    <t>A Study of Aticaprant 10 mg as Adjunctive Therapy in Adult Participants With Major Depressive Disorder (MDD) With Moderate-to-severe Anhedonia and Inadequate Response to Current Antidepressant Therapy and Long-term Extension Treatment With Aticaprant</t>
  </si>
  <si>
    <t>NCT06987942</t>
  </si>
  <si>
    <t>Simultaneous Administration Study of Varicella Attenuated Live Vaccine and Trivalent Inactivated Influenza Vaccine (Split Virion)</t>
  </si>
  <si>
    <t>NCT06315322</t>
  </si>
  <si>
    <t>A Study to Test the Long-term Safety and Tolerability of Brivaracetam in Study Participants With Childhood Absence Epilepsy or Juvenile Absence Epilepsy</t>
  </si>
  <si>
    <t>NCT05888922</t>
  </si>
  <si>
    <t>Evaluation of Efficacy and Safety of Oral Minoxidil 1 mg in Female Androgenetic Alopecia</t>
  </si>
  <si>
    <t>NCT06616883</t>
  </si>
  <si>
    <t>Pharmacokinetics and Safety Profiles After Administration of DA-5221_01 and Co-administration of 5221_01-R1 and DA-5221_01-R2 in Healthy Adult Volunteers</t>
  </si>
  <si>
    <t>NCT06423703</t>
  </si>
  <si>
    <t>A Study of Cebranopadol for the Treatment of Acute Pain After Bunionectomy</t>
  </si>
  <si>
    <t>NCT06257966</t>
  </si>
  <si>
    <t>A Phase 3 Study to Evaluate the Efficacy of JY09 Compared With Dulaglutide in Combination Therapy Diabetes Mellitus Type 2 Patients With Metformin</t>
  </si>
  <si>
    <t>NCT05469802</t>
  </si>
  <si>
    <t>A Study of Purified Inactivated Zika Virus Vaccine (PIZV) in Healthy Adults</t>
  </si>
  <si>
    <t>NCT06309953</t>
  </si>
  <si>
    <t>A Study to Evaluate Early Treatment Outcomes With Miebo™ in Subjects With Dry Eye Disease</t>
  </si>
  <si>
    <t>NCT06670196</t>
  </si>
  <si>
    <t>A Study of SKB264 in Combination With Osimertinib Versus Osimertinib in Patients With Epidermal Growth Factor Receptor (EGFR) Mutations, Locally Advanced or Metastatic Non-Squamous Non-Small Cell Lung Cancer</t>
  </si>
  <si>
    <t>NCT06014762</t>
  </si>
  <si>
    <t>P-CD19CD20-ALLO1 Allogeneic CAR-T Cells in the Treatment of Subjects With B Cell Malignancies</t>
  </si>
  <si>
    <t>NCT06758661</t>
  </si>
  <si>
    <t>Clinical Study to Evaluate Drug-drug Interaction and Safety After Co-administration of D352 and D794 in Healthy Adult Volunteers</t>
  </si>
  <si>
    <t>NCT05620940</t>
  </si>
  <si>
    <t>A Clinical Trial to Assess Pharmacokinetic Profiles, Safety and Tolerability of IVL3004 and IVL4002 in Healthy Male Subjects.</t>
  </si>
  <si>
    <t>NCT06673238</t>
  </si>
  <si>
    <t>A Study to Assess How the Drug Moves Through the Body, Adverse Events, and Tolerability of Oral ABBV-722 Capsules of Single and Multiple Ascending Doses in Adult Participants and Single Doses in Adult Asian Participants</t>
  </si>
  <si>
    <t>NCT06542874</t>
  </si>
  <si>
    <t>A Research Study Comparing How Well Different Doses of the Medicine NNC0487-0111 Lower Blood Sugar in People With Type 2 Diabetes</t>
  </si>
  <si>
    <t>NCT06159790</t>
  </si>
  <si>
    <t>A Study to Compare Efficacy, Safety, and Immunogenicity of GME751 and EU-authorized Keytruda in Adult Participants With Untreated Metastatic Non-squamous Non-small Cell Lung Cancer (NSCLC)</t>
  </si>
  <si>
    <t>NCT06686576</t>
  </si>
  <si>
    <t>A Study of Neoadjuvant QL1706 in Participants With Untreated dMMR/MSI-H Resectable Colon Cancer</t>
  </si>
  <si>
    <t>NCT06621615</t>
  </si>
  <si>
    <t>Clinical Study of CVL006 Injection in Advanced Solid Tumors</t>
  </si>
  <si>
    <t>NCT06516068</t>
  </si>
  <si>
    <t>A Trial of HRS-1893 in Patients With Obstructive Hypertrophic Cardiomyopathy</t>
  </si>
  <si>
    <t>NCT06611423</t>
  </si>
  <si>
    <t>AZD3427 Effects on Renal Perfusion in Heart Failure Patients With Reduced Ejection Fraction and Renal Impairment</t>
  </si>
  <si>
    <t>NCT06592768</t>
  </si>
  <si>
    <t>A Double-blind, Placebo-controlled, Parallel-group Study to Evaluate the Safety and Efficacy of Briquilimab in Participants With Allergic Asthma</t>
  </si>
  <si>
    <t>NCT06496490</t>
  </si>
  <si>
    <t>A Clinical Trial of TQB2102 for Injection in Non-small Cell Lung Cancer With HER2 Gene Abnormality</t>
  </si>
  <si>
    <t>NCT06285097</t>
  </si>
  <si>
    <t>A Study of PF-07820435 as a Single Agent and in Combination in Participants With Advanced Solid Tumors</t>
  </si>
  <si>
    <t>NCT06471543</t>
  </si>
  <si>
    <t>Study of RN0361in Adult Healthy Subjects and Adult Hypertriglyceridemic Subjects</t>
  </si>
  <si>
    <t>NCT06344091</t>
  </si>
  <si>
    <t>A Study of Bupivacaine Liposome Injection in Local Analgesia of Pediatric Patients</t>
  </si>
  <si>
    <t>NCT06592482</t>
  </si>
  <si>
    <t>A Phase I Study to Investigate the Effect of Renal Impairment on the Pharmacokinetics, Safety, and Tolerability of AZD0780</t>
  </si>
  <si>
    <t>NCT07515079</t>
  </si>
  <si>
    <t>Efficacy Evaluation Study of BAT5906 and Lucentis® in Patients With Diabetic Macular Edema</t>
  </si>
  <si>
    <t>NCT07246252</t>
  </si>
  <si>
    <t>Compare the PK, Safety, and Immunogenicity of Process-Changed CMAB007 and Xolair in Healthy Adult Male Subjects</t>
  </si>
  <si>
    <t>NCT06307652</t>
  </si>
  <si>
    <t>Study to Evaluate the Effect of Balcinrenone/Dapagliflozin in Patients With Heart Failure and Impaired Kidney Function</t>
  </si>
  <si>
    <t>NCT06752668</t>
  </si>
  <si>
    <t>A Study of ORX750 in Participants With Narcolepsy and Idiopathic Hypersomnia</t>
  </si>
  <si>
    <t>NCT06241118</t>
  </si>
  <si>
    <t>A Study to Evaluate the Efficacy and Safety of Subcutaneous Amlitelimab on Background Topical Corticosteroids Therapy in Participants Aged 12 Years and Older With Moderate-to-severe AD Who Have Had an Inadequate Response to Prior Biologic Therapy or an Oral JAK Inhibitor</t>
  </si>
  <si>
    <t>NCT06268613</t>
  </si>
  <si>
    <t>A Study to Compare the Pharmacokinetics, Efficacy, Safety, and Immunogenicity of Pembrolizumab (SB27, EU Sourced Keytruda, and US Sourced Keytruda) in Subjects With Stage II-IIIA NSCLC Following Complete Resection and Adjuvant Platinum-based Chemotherapy</t>
  </si>
  <si>
    <t>NCT06392659</t>
  </si>
  <si>
    <t>A Phase 1, Open-label Study Evaluating the Pharmacokinetics and Drug-drug Interaction of VX-993 in Healthy Adults</t>
  </si>
  <si>
    <t>NCT06559527</t>
  </si>
  <si>
    <t>A Research Study Looking Into Blood Levels of the Medicine NNC0487-0111 in the Body and How Well it is Tolerated in Participants With Reduced Kidney Function and Normal Kidney Function</t>
  </si>
  <si>
    <t>NCT06284590</t>
  </si>
  <si>
    <t>Study of the Efficacy of Intratumoral L19IL2 or L19TNF or L19IL2/L19TNF, in Combination with Pembrolizumab, in Unresectable Melanoma Patients</t>
  </si>
  <si>
    <t>NCT06450262</t>
  </si>
  <si>
    <t>Bioequivalence Study to Compare Empagliflozin/ Metformin HCl 12.5mg/1000mg Film-coated Tablets</t>
  </si>
  <si>
    <t>NCT06695117</t>
  </si>
  <si>
    <t>Study of a Combination Vaccine Comprised of Different Recombinant Spike Antigen Levels of a Matrix-M Adjuvanted Recombinant COVID-19 Vaccine and High-Dose Inactivated Influenza Vaccine in Adult Participants 50 Years of Age and Older</t>
  </si>
  <si>
    <t>NCT06319313</t>
  </si>
  <si>
    <t>Efficacy and Safety of JMT101 Combined Wth Docetaxel / HB1801 in Patients With Squamous Cell Non-Small Cell Lung Cancer</t>
  </si>
  <si>
    <t>NCT06504862</t>
  </si>
  <si>
    <t>A Study in Healthy Men to Test Whether Zongertinib Influences the Amount of 4 Other Medicines (Dabigatran, Rosuvastatin, Metformin, and Furosemide) in the Blood</t>
  </si>
  <si>
    <t>NCT04850118</t>
  </si>
  <si>
    <t>A Clinical Trial Evaluating the Safety and Efficacy of a Single Subretinal Injection of AGTC-501 in Participants With XLRP</t>
  </si>
  <si>
    <t>NCT06239480</t>
  </si>
  <si>
    <t>SELVA: A Phase 3 Study Evaluating QTORIN 3.9% Rapamycin Anhydrous Gel in the Treatment of Microcystic Lymphatic Malformations</t>
  </si>
  <si>
    <t>NCT05490680</t>
  </si>
  <si>
    <t>A New Sildenafil Oral Film in Patients With Erectile Dysfunction</t>
  </si>
  <si>
    <t>NCT06648655</t>
  </si>
  <si>
    <t>A Study to Investigate the Safety and Efficacy of TMP-301 Compared to Placebo in Adult Patients With Alcohol Use Disorder</t>
  </si>
  <si>
    <t>NCT06443489</t>
  </si>
  <si>
    <t>A Trial of SHR-4849 in Advanced Solid Tumors</t>
  </si>
  <si>
    <t>NCT06819774</t>
  </si>
  <si>
    <t>Phase III Clinical Study of Cetirizine Hydrochloride Injection in Treatment of Acute Urticaria</t>
  </si>
  <si>
    <t>NCT06488313</t>
  </si>
  <si>
    <t>A Study to Evaluate the Pharmacodynamics and Safety of ARCT-810 in Participants With OTCD</t>
  </si>
  <si>
    <t>NCT06562790</t>
  </si>
  <si>
    <t>Study of Gamma PN3 in the Elderly</t>
  </si>
  <si>
    <t>NCT06538662</t>
  </si>
  <si>
    <t>An Investigation of FID 123320 for the Reduction of Ocular Redness in Pediatric and Adult Populations</t>
  </si>
  <si>
    <t>NCT06736262</t>
  </si>
  <si>
    <t>A Phase 2, Open-Label, Extension Study to Evaluate Long Term Safety and Clinical Activity of Briquilimab in Participants From Jasper-Sponsored Chronic Urticaria Trials</t>
  </si>
  <si>
    <t>NCT06668103</t>
  </si>
  <si>
    <t>A Phase 2 Clinical Study of Combination Therapy With ABSK043 and Firmonertinib</t>
  </si>
  <si>
    <t>NCT06783114</t>
  </si>
  <si>
    <t>A Clinical Study on Recombinant Botulinum Toxin Type A (YY001) for Injection in The Treatment of Upper Limb Spasticity in Adults</t>
  </si>
  <si>
    <t>NCT07646106</t>
  </si>
  <si>
    <t>THE-0504 in Patients With Solid Tumors</t>
  </si>
  <si>
    <t>Thena Biotech S.r.l.</t>
  </si>
  <si>
    <t>NCT06308978</t>
  </si>
  <si>
    <t>A Phase 1 Study of FT819 in B-cell Mediated Autoimmune Disease</t>
  </si>
  <si>
    <t>NCT06519968</t>
  </si>
  <si>
    <t>A Study to Investigate the Safety, Tolerability, and Pharmacokinetics of Inhaled AZD4604 in Healthy Japanese and Chinese Participants.</t>
  </si>
  <si>
    <t>NCT06300320</t>
  </si>
  <si>
    <t>A Clinical Trial of TQ05105 Tablets in the Treatment of Chronic Graft-versus-host Disease</t>
  </si>
  <si>
    <t>NCT06088888</t>
  </si>
  <si>
    <t>TGRX-678 US Phase I for Subjects with Refractory or Advanced Chronic Myelogenous Leukemia</t>
  </si>
  <si>
    <t>NCT06329661</t>
  </si>
  <si>
    <t>A Clinical Trial to Evaluate the Corneal Endothelial Health of DED Subjects Treated With Cyclosporine</t>
  </si>
  <si>
    <t>NCT06685978</t>
  </si>
  <si>
    <t>Efficacy and Safety of Xiangjurupining Capsule for Hyperplasia of Mammary Glands</t>
  </si>
  <si>
    <t>NCT05996835</t>
  </si>
  <si>
    <t>Phase 2b Study to Investigate the Safety and Efficacy of TIN816 in Sepsis-associated Acute Kidney Injury (CLEAR-AKI)</t>
  </si>
  <si>
    <t>NCT06515418</t>
  </si>
  <si>
    <t>Efficacy and Safety of Oral Azelaprag Plus Once Weekly Tirzepatide Compared with Tirzepatide Alone in Participants with Obesity Aged 55 Years and Over</t>
  </si>
  <si>
    <t>NCT06430385</t>
  </si>
  <si>
    <t>ATTUNE: A Study to Evaluate the Safety, Tolerability, Pharmacokinetics, and Pharmacodynamics of Intrathecally-Administered ION440 in Participants With Methyl CpG Binding Protein 2 (MECP2) Duplication Syndrome (MDS)</t>
  </si>
  <si>
    <t>NCT06278350</t>
  </si>
  <si>
    <t>Evaluate the Efficacy and Safety of D-2570 in Participants With Moderate-to-Severe Plaque Psoriasis</t>
  </si>
  <si>
    <t>NCT05967416</t>
  </si>
  <si>
    <t>Study of SIRPant-M in Participants With Relapsed or Refractory Non-Hodgkin's Lymphoma</t>
  </si>
  <si>
    <t>SIRPant Immunotherapeutics, Inc.</t>
  </si>
  <si>
    <t>NCT06140485</t>
  </si>
  <si>
    <t>A Trial to Investigate the Efficacy and Safety of NW Low-Glu® in Patients With Type II Diabetes Mellitus</t>
  </si>
  <si>
    <t>NCT06536491</t>
  </si>
  <si>
    <t>EC-104 Intravitreal Implant for the Treatment of Diabetic Macular Edema</t>
  </si>
  <si>
    <t>Eclipse Life Sciences, Inc.</t>
  </si>
  <si>
    <t>NCT06664125</t>
  </si>
  <si>
    <t>Evaluate the Efficacy and Safety of JMKX003002 in End-Stage Renal Disease Patients on Hemodialysis with Hyperphosphatemia</t>
  </si>
  <si>
    <t>NCT07095049</t>
  </si>
  <si>
    <t>Safety, Tolerability, and Systemic Exposure of Apo-Si- K170A-C76 in Healthy Volunteers</t>
  </si>
  <si>
    <t>Interna Therapeutics Ltd.</t>
  </si>
  <si>
    <t>NCT06176508</t>
  </si>
  <si>
    <t>Efficacy and Safety of HS-10374 Compared to Placebo in Adults With Active Psoriatic Arthritis</t>
  </si>
  <si>
    <t>NCT06390410</t>
  </si>
  <si>
    <t>A Pharmacokinetic Study of Simufilam in Subjects With Impaired Hepatic Function</t>
  </si>
  <si>
    <t>NCT06416852</t>
  </si>
  <si>
    <t>Clinical Study of 18F-Alfatide Injection PET/CT</t>
  </si>
  <si>
    <t>NCT06474455</t>
  </si>
  <si>
    <t>A Phase IB/II Clinical Study of SHR-9839 for Injection Combined With Other Anti-tumor Therapies in Patients With Advanced Solid Tumors</t>
  </si>
  <si>
    <t>NCT06171048</t>
  </si>
  <si>
    <t>Study Evaluating the Pharmacokinetics of CM310 in Healthy Subjects</t>
  </si>
  <si>
    <t>NCT06232408</t>
  </si>
  <si>
    <t>LIONS (PLK4 Inhibitor in Advanced Solid Tumors)</t>
  </si>
  <si>
    <t>NCT06631079</t>
  </si>
  <si>
    <t>Personalised Neoantigen-targeting Cancer Vaccine NECVAX-NEO1 in Anti-PD-1/PD-L1 Therapy in Patients With Solid Tumors</t>
  </si>
  <si>
    <t>NCT06450366</t>
  </si>
  <si>
    <t>A Study to Evaluate the Efficacy and Safety of Enlicitide (MK-0616, Oral PCSK9 Inhibitor) Compared With Ezetimibe or Bempedoic Acid or Ezetimibe and Bempedoic Acid in Adults With Hypercholesterolemia (MK-0616-018/CORALreef AddOn)</t>
  </si>
  <si>
    <t>NCT06095505</t>
  </si>
  <si>
    <t>A Study of Alisertib in Patients With Extensive Stage Small Cell Lung Cancer</t>
  </si>
  <si>
    <t>NCT06396429</t>
  </si>
  <si>
    <t>To Compare the Efficacy and Safety of HRS9531 and Placebo in Subjects With Overweight or Obese</t>
  </si>
  <si>
    <t>NCT06448273</t>
  </si>
  <si>
    <t>A Study to Evaluate the Safety, Pharmacokinetics, and Pharmacokinetic of TQB3702 Tablets in Healthy Adult Subjects</t>
  </si>
  <si>
    <t>NCT06500702</t>
  </si>
  <si>
    <t>A Study to Evaluate the Efficacy and Safety of Frexalimab, Brivekimig, or Rilzabrutinib in Participants Aged 16 to 75 Years With Primary Focal Segmental Glomerulosclerosis or Minimal Change Disease</t>
  </si>
  <si>
    <t>NCT06780254</t>
  </si>
  <si>
    <t>A Study to Evaluate the Pharmacokinetics (PK), Safety and Tolerability of Single- and Multiple-Ascending Doses of MH-001 in Healthy Volunteers</t>
  </si>
  <si>
    <t>Vespina Lifesciences Inc.</t>
  </si>
  <si>
    <t>NCT06373731</t>
  </si>
  <si>
    <t>ReNEW:Phase 3 Study of Efficacy, Safety &amp; Pharmacokinetics of Subcutaneous Injections of Elamipretide in Subjects With Dry Age-Related Macular Degeneration (Dry AMD)</t>
  </si>
  <si>
    <t>NCT06223841</t>
  </si>
  <si>
    <t>NCT06564194</t>
  </si>
  <si>
    <t>A Phase 1 Study to Evaluate JCXH-108, an mRNA-based Vaccine Against RSV</t>
  </si>
  <si>
    <t>NCT06397872</t>
  </si>
  <si>
    <t>A Study to Evaluate the Pharmacokinetics, Safety, and Tolerability of Multiple Oral Doses (6 Days) of 100 mg Resmetirom in Subjects With Severe Renal Impairment and in Matched Healthy Control Subjects With Normal Renal Function</t>
  </si>
  <si>
    <t>NCT03605654</t>
  </si>
  <si>
    <t>Cellular Immunotherapy in Recipients of Human Leukocyte Antigen (HLA)-Mismatched, Living Donor Kidney Transplants</t>
  </si>
  <si>
    <t>Medeor Therapeutics, Inc.</t>
  </si>
  <si>
    <t>NCT06385145</t>
  </si>
  <si>
    <t>A Bioavailability Study of Two Different PEG-rhGH Preparations.</t>
  </si>
  <si>
    <t>NCT06158854</t>
  </si>
  <si>
    <t>A Study to Assess Change in Disease Activity and Adverse Events (AE)s in Adult Participants With Immunoglobulin Light Chain (AL) Amyloidosis Receiving Etentamig (ABBV-383) as an Intravenous (IV) Infusion</t>
  </si>
  <si>
    <t>NCT06214156</t>
  </si>
  <si>
    <t>A Clinical Study of T3011 in Subjects With Advanced Melanoma</t>
  </si>
  <si>
    <t>NCT06682572</t>
  </si>
  <si>
    <t>A Study of Avutometinib + Defactinib in Recurrent Low-Grade Serous Ovarian Cancer in Japanese Patients</t>
  </si>
  <si>
    <t>NCT04918667</t>
  </si>
  <si>
    <t>Effect of Gamma-cyclodextrin on the Bioavailability of Berberine</t>
  </si>
  <si>
    <t>NCT06637865</t>
  </si>
  <si>
    <t>A First-in-human Study of the Safety of an Immunosuppressive Antibody (IMP761) in Healthy Volunteers</t>
  </si>
  <si>
    <t>NCT07640867</t>
  </si>
  <si>
    <t>RCI001 Eye Drops 0.25% in Healthy Adult Male Participants</t>
  </si>
  <si>
    <t>Rudacure</t>
  </si>
  <si>
    <t>NCT06343792</t>
  </si>
  <si>
    <t>Safety, PK, PD, Dosing, and Efficacy of RLS-0071for the Treatment of Hospitalized Patients With Steroid-Refractory Acute Graft-versus-Host Disease</t>
  </si>
  <si>
    <t>NCT06732232</t>
  </si>
  <si>
    <t>A Dose Escalating Study of CD19/CD22/BCMA CAR-T Therapy in Relapsed/ Refractory Multiple Myeloma</t>
  </si>
  <si>
    <t>NCT06481098</t>
  </si>
  <si>
    <t>A Phase 1 Study to Assess HM15275 in Healthy and Obese Subjects.</t>
  </si>
  <si>
    <t>NCT06460493</t>
  </si>
  <si>
    <t>Effect of Ensifentrine Treatment on CAT Score</t>
  </si>
  <si>
    <t>NCT06362265</t>
  </si>
  <si>
    <t>A Study to Evaluate Pharmacokinetics of LY3209590 in Pediatric Participants With Type 2 Diabetes Mellitus</t>
  </si>
  <si>
    <t>NCT06242600</t>
  </si>
  <si>
    <t>Evaluation of Safety and Performance of the CytaCoat Lubricious Infection Prevention (LIP) Foley Catheter</t>
  </si>
  <si>
    <t>CytaCoat AB</t>
  </si>
  <si>
    <t>NCT06079398</t>
  </si>
  <si>
    <t>A Clinical Trial to Evaluate Efficacy and Safety of TransCon CNP Compared With Placebo in Infants (0 to &lt;2 Years of Age) With Achondroplasia</t>
  </si>
  <si>
    <t>NCT06435936</t>
  </si>
  <si>
    <t>A Study to Assess the Safety of SAB-176 to Prevent the Flu, Given IM in Healthy Adults Compared With Placebo</t>
  </si>
  <si>
    <t>NCT06385964</t>
  </si>
  <si>
    <t>A Study to Evaluate the Safety, Tolerability, Pharmacokinetics, and Pharmacodynamics of SHR-4597 Inhalation in Healthy Subjects and Asthmatic Patients</t>
  </si>
  <si>
    <t>NCT06730828</t>
  </si>
  <si>
    <t>Amiodarone-Infused CardiaMend Patches for the Prevention of New-Onset POAF in Cardiac Surgery Subjects</t>
  </si>
  <si>
    <t>Helios Cardio Inc.</t>
  </si>
  <si>
    <t>NCT06125028</t>
  </si>
  <si>
    <t>[68Ga]Ga-PentixaFor-PET Imaging for Staging of Marginal Zone Lymphoma</t>
  </si>
  <si>
    <t>NCT06576765</t>
  </si>
  <si>
    <t>Study to Investigate the Effect of Hepatic Impairment on the Pharmacokinetics, Safety, and Tolerability of AZD0780</t>
  </si>
  <si>
    <t>NCT06614907</t>
  </si>
  <si>
    <t>A PhaseⅠ Comparative Study to Evaluate the Pharmacokinetics of QL2108 to Dupixent®</t>
  </si>
  <si>
    <t>NCT06549309</t>
  </si>
  <si>
    <t>Trial of JMKX003801 in Healthy Participants</t>
  </si>
  <si>
    <t>NCT06227975</t>
  </si>
  <si>
    <t>A Study to Evaluate the Absorption, Metabolism, and Excretion of Orally Administered [14C]-BMS-986368 in Healthy Male Participants</t>
  </si>
  <si>
    <t>NCT06679998</t>
  </si>
  <si>
    <t>A Phase I Clinical Trial Evaluating the Safety, Tolerability and Pharmacokinetics of AAPB for Injection</t>
  </si>
  <si>
    <t>NCT06551064</t>
  </si>
  <si>
    <t>Assessment of PK Similarity of FYB206 in Comparison With Keytruda in Resected Stage II or III Melanoma Patients</t>
  </si>
  <si>
    <t>NCT06734832</t>
  </si>
  <si>
    <t>Efficacy, Safety, and Immunogenicity of the Bivalent Inactivated Enterovirus Vaccine (Vero Cell)</t>
  </si>
  <si>
    <t>NCT04147871</t>
  </si>
  <si>
    <t>Study Evaluating Patients With Cystinuria and Efficacy and Safety Exploratory Study in the Youngest Children</t>
  </si>
  <si>
    <t>NCT06233071</t>
  </si>
  <si>
    <t>Drospirenone (3 mg) + Ethinyl Estradiol (0.02 mg) Tablets Relative to Yaz®</t>
  </si>
  <si>
    <t>NCT06742281</t>
  </si>
  <si>
    <t>A Phase 2b, Randomized, Double-blind, Active-controlled Study of Single Dose CVXGA Intranasal COVID-19 Vaccine in Adults</t>
  </si>
  <si>
    <t>NCT06400719</t>
  </si>
  <si>
    <t>Pilot Study of AVT16 in Healthy Adult Subjects</t>
  </si>
  <si>
    <t>NCT06409130</t>
  </si>
  <si>
    <t>Effects of NNC0194-0499, Cagrilintide, and Semaglutide Alone or in Combinations on Liver Damage and Alcohol Use in People With Alcohol-related Liver Disease</t>
  </si>
  <si>
    <t>NCT06540144</t>
  </si>
  <si>
    <t>An Extension Study Evaluating 6-week Treatment Cycles of Rozanolixizumab in Pediatric Study Participants With Generalized Myasthenia Gravis</t>
  </si>
  <si>
    <t>NCT06430801</t>
  </si>
  <si>
    <t>A Study to Evaluate the Efficacy and Safety of Tulisokibart (MK-7240) in Participants With Moderate to Severe Crohn's Disease (MK-7240-008)</t>
  </si>
  <si>
    <t>NCT06214481</t>
  </si>
  <si>
    <t>A Study to Evaluate Rocatinlimab (AMG 451) in Healthy Chinese Participants</t>
  </si>
  <si>
    <t>NCT06762873</t>
  </si>
  <si>
    <t>Assessment of OSA in Latin American and Response to Neuromod Therapy</t>
  </si>
  <si>
    <t>Lunair Medical</t>
  </si>
  <si>
    <t>NCT06267729</t>
  </si>
  <si>
    <t>Study of AZD0754 in Participants With Metastatic Prostate Cancer</t>
  </si>
  <si>
    <t>NCT06235151</t>
  </si>
  <si>
    <t>Copper Cu 64 PSMA I&amp;T PET Imaging in Men With Newly Diagnosed Prostate Cancer</t>
  </si>
  <si>
    <t>NCT06221059</t>
  </si>
  <si>
    <t>Efficacy and Safety of HRS-1780 Tablets and Henagliflozin Proline Tablets in Patients With Chronic Kidney Disease</t>
  </si>
  <si>
    <t>NCT07655427</t>
  </si>
  <si>
    <t>A Phase 1 Study to Evaluate the Safety, Tolerability, Pharmacokinetics, and Pharmacodynamics of SRSD107 in Healthy Chinese Subjects</t>
  </si>
  <si>
    <t>Sirius Therapeutics Co., Ltd.</t>
  </si>
  <si>
    <t>NCT06151561</t>
  </si>
  <si>
    <t>Study of AGN-151586 in Japanese Participants With Moderate to Severe Glabellar Lines</t>
  </si>
  <si>
    <t>NCT06433531</t>
  </si>
  <si>
    <t>A Clinical Study of TQH2929 Injection in Treatment With Generalized Pustular Psoriasis (GPP)</t>
  </si>
  <si>
    <t>NCT06417229</t>
  </si>
  <si>
    <t>Study to Evaluate Safety, Drug Levels, Food and Relative Bioavailability of BMS-986365 in Healthy Adult Male Participants</t>
  </si>
  <si>
    <t>NCT06388902</t>
  </si>
  <si>
    <t>A Phase I Study of BR115 for Injection Alone in Subjects With Advanced Solid Malignancies</t>
  </si>
  <si>
    <t>NCT06598787</t>
  </si>
  <si>
    <t>A Study of BL-B01D1 in Patients With Recurrent Glioblastoma</t>
  </si>
  <si>
    <t>NCT06368921</t>
  </si>
  <si>
    <t>A Study of Recombinant Oncolytic Virus M1(VRT106) in Patients With Solid Tumors</t>
  </si>
  <si>
    <t>Guangzhou Virotech Pharmaceutical Co., Ltd.</t>
  </si>
  <si>
    <t>NCT06460298</t>
  </si>
  <si>
    <t>ProAgio in Combination With Gemcitabine in Patients With Metastatic Triple Negative Breast Cancer</t>
  </si>
  <si>
    <t>NCT06819293</t>
  </si>
  <si>
    <t>IB-T101 Injection for Treatment of Patients With Advanced Clear Cell Renal Cell Carcinoma</t>
  </si>
  <si>
    <t>NCT06441318</t>
  </si>
  <si>
    <t>A Study to Evaluate the Effect of Povorcitinib on the QT/QTc Interval in Healthy Participants</t>
  </si>
  <si>
    <t>NCT06765993</t>
  </si>
  <si>
    <t>Efficacy and Safety of Isosorbide Oral Solution in Patients With Meniere's Disease</t>
  </si>
  <si>
    <t>NCT06500793</t>
  </si>
  <si>
    <t>Single Dose Study, Pharmacokinetics of Oxycodone and PF614 Co-Administered With Nafamostat (PF614-MPAR-102)</t>
  </si>
  <si>
    <t>NCT06455449</t>
  </si>
  <si>
    <t>A Study to Investigate the Efficacy and Safety of Anifrolumab Administered as Subcutaneous Injection and Added to Standard of Care Compared With Placebo Added to Standard of Care in Adult Participants With Idiopathic Inflammatory Myopathies (Polymyositis and Dermatomyositis)</t>
  </si>
  <si>
    <t>NCT06322706</t>
  </si>
  <si>
    <t>A Clinical Trial to Evaluate a High-Fat Meal and Omeprazole Enteric-coated Tablets on ASBK021</t>
  </si>
  <si>
    <t>NCT06569784</t>
  </si>
  <si>
    <t>Mass Balance Study of [14C]HSK31858 in Healthy Adult Male Chinese Subjects.</t>
  </si>
  <si>
    <t>NCT06602258</t>
  </si>
  <si>
    <t>A Study of E2814 With Concurrent Lecanemab Treatment in Participants With Early Alzheimer's Disease</t>
  </si>
  <si>
    <t>NCT06063590</t>
  </si>
  <si>
    <t>A Study to Evaluate Allogenic Bone-Marrow Mesenchymal Stromal Cell Product StromaForte in Aging Frailty Patients</t>
  </si>
  <si>
    <t>NCT06575478</t>
  </si>
  <si>
    <t>Evaluation of Fuling Yunhua Granules and Dihuang Baoyuan Granules in Drug Naive Type 2 Diabetes Patients</t>
  </si>
  <si>
    <t>Beijing Supreme Life Pharmaceutical Technology Co., Ltd.</t>
  </si>
  <si>
    <t>NCT06594874</t>
  </si>
  <si>
    <t>A Phase Ib Study of HS-10370 in Addition to Other Anti-cancer Therapies in Participants with KRAS G12C Mutation Advanced Solid Tumors</t>
  </si>
  <si>
    <t>NCT07377591</t>
  </si>
  <si>
    <t>A Study of HDM2006 in Patients With Advanced Solid Tumor</t>
  </si>
  <si>
    <t>NCT06151210</t>
  </si>
  <si>
    <t>Clinical Trial to Evaluate the Efficacy and Safety of DA-5219 in Patients With Acute or Chronic Gastritis</t>
  </si>
  <si>
    <t>NCT06292013</t>
  </si>
  <si>
    <t>A Study to Investigate the Effect of Lepodisiran on the Reduction of Major Adverse Cardiovascular Events in Adults With Elevated Lipoprotein(a) - ACCLAIM-Lp(a)</t>
  </si>
  <si>
    <t>NCT06086626</t>
  </si>
  <si>
    <t>A Study to Assess the Safety, Tolerability, and Pharmacokinetics of Cefiderocol in Hospitalized Neonates and Infants</t>
  </si>
  <si>
    <t>NCT06382168</t>
  </si>
  <si>
    <t>DFP-10917 in Combination With Venetoclax in Relapsed or Refractory Acute Myeloid Leukemia</t>
  </si>
  <si>
    <t>Delta-Fly Pharma, Inc.</t>
  </si>
  <si>
    <t>NCT06276491</t>
  </si>
  <si>
    <t>Phase 1, Safety and Tolerability Study of XmAb541 in Advanced Solid Tumors</t>
  </si>
  <si>
    <t>NCT06239324</t>
  </si>
  <si>
    <t>Evaluation of Latanoprost Combined With Fractional Erbium- YAG Laser</t>
  </si>
  <si>
    <t>NCT06683508</t>
  </si>
  <si>
    <t>A Study to Investigate Weight Management With LY3549492 Compared With Placebo in Adult Participants With Obesity or Overweight</t>
  </si>
  <si>
    <t>NCT06490991</t>
  </si>
  <si>
    <t>Comparison of HRS-5965 Capsules and Tablets in Healthy Subjects</t>
  </si>
  <si>
    <t>NCT06206720</t>
  </si>
  <si>
    <t>A Study of Deuremidevir Hydrobromide for Suspension in Chinese Infants Hospitalized With RSV</t>
  </si>
  <si>
    <t>NCT06155396</t>
  </si>
  <si>
    <t>A Study of RC48-ADC Combination With Zimberelimab Injection Therapies at Least First-line Platinum-containing Standard Therapy Failed With Recurrent or Metastatic Cervical Cancer</t>
  </si>
  <si>
    <t>NCT07110883</t>
  </si>
  <si>
    <t>A Clinical Study of SYS6023 in Patients With Advanced Solid Tumors</t>
  </si>
  <si>
    <t>NCT06721091</t>
  </si>
  <si>
    <t>Safety, Tolerability, and Dose Response of VNA-318 in Healthy Males</t>
  </si>
  <si>
    <t>VANDRIA</t>
  </si>
  <si>
    <t>NCT06462469</t>
  </si>
  <si>
    <t>Study of Efficacy and Safety of Ruxolitinib in Patients With Grade II to IV Steroid-refractory Acute Graft vs. Host Disease</t>
  </si>
  <si>
    <t>NCT06357520</t>
  </si>
  <si>
    <t>A Study to Investigate the Pharmacokinetics of Baxdrostat When Given Alone and in Combination With Itraconazole in Healthy Participants</t>
  </si>
  <si>
    <t>NCT06662097</t>
  </si>
  <si>
    <t>A Study of Bevonescein in Patients Undergoing Abdominopelvic Surgery</t>
  </si>
  <si>
    <t>NCT06690996</t>
  </si>
  <si>
    <t>A Study of LY4005130 in Healthy Participants</t>
  </si>
  <si>
    <t>NCT06400459</t>
  </si>
  <si>
    <t>IVW-1001 Phase 1/2 in Subjects With Dry Eye Disease</t>
  </si>
  <si>
    <t>NCT06668961</t>
  </si>
  <si>
    <t>A Study of SI-B001+SI-B003 Combined With Platinum-based Chemotherapy as First-line Treatment in Patients With Recurrent or Metastatic Head and Neck Squamous Cell Carcinoma</t>
  </si>
  <si>
    <t>NCT06566768</t>
  </si>
  <si>
    <t>Study to Evaluate Drug Levels of Various Solid Gastro-retentive Formulations of Deucravacitinib (BMS-986165) in Healthy Participants</t>
  </si>
  <si>
    <t>NCT06385080</t>
  </si>
  <si>
    <t>A Study of Amivantamab Alone or in Addition to Other Treatment Agents in Participants With Head and Neck Cancer</t>
  </si>
  <si>
    <t>NCT06079346</t>
  </si>
  <si>
    <t>A Study of OT-101 With mFOLFIRINOX in Patients With Advanced and Unresectable or Metastatic Pancreatic Cancer</t>
  </si>
  <si>
    <t>NCT06717269</t>
  </si>
  <si>
    <t>Relative Bioavailability of NX-5948 Tablets vs Capsules and the Effect of Covariates on the PK of NX-5948 Tablets</t>
  </si>
  <si>
    <t>NCT05886088</t>
  </si>
  <si>
    <t>Efficacy and Safety of LID104 in the Treatment of Type II Diabetes Mellitus</t>
  </si>
  <si>
    <t>NCT06742086</t>
  </si>
  <si>
    <t>A Study to Evaluate the Bioavailability and Food Effects of Oral Venetoclax New Tablet Formulation 2.0 in Healthy Adult Female Participants</t>
  </si>
  <si>
    <t>NCT06049342</t>
  </si>
  <si>
    <t>A Trial to Evaluate the Safety, Tolerability, and Efficacy of NCR100 Injection in the Treatment of Subjects With KOA</t>
  </si>
  <si>
    <t>NCT06056297</t>
  </si>
  <si>
    <t>A Study of Mavorixafor in Participants With Congenital and Acquired Primary Autoimmune and Idiopathic Chronic Neutropenic Disorders Who Are Experiencing Recurrent and/or Serious Infections</t>
  </si>
  <si>
    <t>NCT06449027</t>
  </si>
  <si>
    <t>Safety, Efficacy and Pharmacokinetic Behavior of Leuprolide Injectable Emulsion for Premenopausal Breast Cancer Subjects.</t>
  </si>
  <si>
    <t>NCT06350123</t>
  </si>
  <si>
    <t>Efficacy, Safety and Tolerability of Balcinrenone/Dapagliflozin Compared to Dapagliflozin in Adults With Chronic Kidney Disease</t>
  </si>
  <si>
    <t>NCT06503731</t>
  </si>
  <si>
    <t>A Study to Evaluate the Safety and Tolerability of Efgartigimod PH20 SC Given by Prefilled Syringe in Kidney Transplant Recipients With Antibody-Mediated Rejection (AMR)</t>
  </si>
  <si>
    <t>NCT06225973</t>
  </si>
  <si>
    <t>A Study of TL-925 Ophthalmic Emulsion as a Treatment for Dry Eye Disease</t>
  </si>
  <si>
    <t>NCT06216301</t>
  </si>
  <si>
    <t>LUNAR-2: TTFields With Pembrolizumab + Platinum-based Chemotherapy for Metastatic NSCLC</t>
  </si>
  <si>
    <t>NCT06283719</t>
  </si>
  <si>
    <t>Dose Escalation Study of ZG006 in Participants With Advanced Small Cell Lung Cancer or Neuroendocrine Carcinoma, Followed by Dose Expansion Study in Participants With Advanced Small Cell Lung Cancer</t>
  </si>
  <si>
    <t>NCT06138639</t>
  </si>
  <si>
    <t>A Study of SGT-003 Gene Therapy in Duchenne Muscular Dystrophy (INSPIRE DUCHENNE)</t>
  </si>
  <si>
    <t>Solid Biosciences Inc.</t>
  </si>
  <si>
    <t>NCT06273839</t>
  </si>
  <si>
    <t>A Study to Learn How Different Forms of Study Medicine Tafamidis Are Taken Up Into The Blood in Healthy Adults</t>
  </si>
  <si>
    <t>NCT06675175</t>
  </si>
  <si>
    <t>A Phase 1b Study to Assess the Safety, Tolerability, and Pharmacodynamics of AZD4144 in Participants With Established Atherosclerotic Cardiovascular and Chronic Kidney Disease.</t>
  </si>
  <si>
    <t>NCT06934941</t>
  </si>
  <si>
    <t>Phase 1 Single Ascending Dose Study</t>
  </si>
  <si>
    <t>NCT06250205</t>
  </si>
  <si>
    <t>Evaluate the Pharmacokinetics of a Combined Oral Contraceptive (COC) With and Without Obicetrapib</t>
  </si>
  <si>
    <t>NCT06490445</t>
  </si>
  <si>
    <t>A Study of Medical Cannabis Aerosol Via the Fixed-dose Syqe Inhaler as an Add-on Treatment of Diabetic Peripheral Neuropathic Pain (DPNP)</t>
  </si>
  <si>
    <t>Syqe Medical</t>
  </si>
  <si>
    <t>NCT06190561</t>
  </si>
  <si>
    <t>A Study to Learn How Different Products of the Study Medicine Called PF-07940367 Are Taken up Into the Blood in Healthy Adults</t>
  </si>
  <si>
    <t>NCT06545942</t>
  </si>
  <si>
    <t>Study of Orally Administered MOMA-313 in Participants With Advanced or Metastatic Solid Tumors</t>
  </si>
  <si>
    <t>MOMA Therapeutics</t>
  </si>
  <si>
    <t>NCT06555783</t>
  </si>
  <si>
    <t>A Study to Evaluate the Safety and Effectiveness of ALKS 2680 in Subjects With Narcolepsy Type 2</t>
  </si>
  <si>
    <t>NCT06701331</t>
  </si>
  <si>
    <t>Safety and Efficacy of Upadacitinib in Combination With Topical Corticosteroids in Children From 2 to Less Than 12 Years of Age in Japan With Moderate to Severe Atopic Dermatitis</t>
  </si>
  <si>
    <t>NCT06479356</t>
  </si>
  <si>
    <t>CD19-targeted CAR T Cells for Relapsed or Refractory (R/R) Large B-cell Lymphoma</t>
  </si>
  <si>
    <t>NCT06598956</t>
  </si>
  <si>
    <t>To Evaluate the Pharmacokinetics and Safety of TQ05105 Tablet in Renal Impairment Subjects</t>
  </si>
  <si>
    <t>NCT06307431</t>
  </si>
  <si>
    <t>A Study of Adjuvant Intismeran Autogene (V940) and Pembrolizumab in Renal Cell Carcinoma (V940-004).</t>
  </si>
  <si>
    <t>NCT06409195</t>
  </si>
  <si>
    <t>A Trial to Study the Safety and Efficacy of SM-020 Gel 1.0% in Subjects With Seborrheic Keratoses and Non-Melanoma Skin Cancers</t>
  </si>
  <si>
    <t>NCT06686745</t>
  </si>
  <si>
    <t>Study of SIM0508 Alone and in Combination in Patients With Advanced Solid Tumors</t>
  </si>
  <si>
    <t>NCT06245642</t>
  </si>
  <si>
    <t>Compound Ciwujia Granules Treat Chronic Fatigue Syndrome</t>
  </si>
  <si>
    <t>Heilongjiang Quanle Pharmaceutical Co., Ltd.</t>
  </si>
  <si>
    <t>NCT06437522</t>
  </si>
  <si>
    <t>A Study of BL-B01D1+PD-1 Monoclonal Antibody in Patients With Recurrent or Metastatic Head and Neck Squamous Cell Carcinoma and Other Solid Tumors</t>
  </si>
  <si>
    <t>NCT06384261</t>
  </si>
  <si>
    <t>A Study Comparing Venetoclax and Azacitidine Plus Cusatuzumab to Venetoclax and Azacitidine in Newly Diagnosed AML Ineligible for Intensive Therapy</t>
  </si>
  <si>
    <t>NCT06646042</t>
  </si>
  <si>
    <t>A Study to Learn If the Study Medicine Called Carbamazepine Changes How the Body Processes the Other Study Medicine Ibuzatrelvir in Healthy Adults</t>
  </si>
  <si>
    <t>NCT06750094</t>
  </si>
  <si>
    <t>A Study of Amivantamab and FOLFIRI Versus Cetuximab/Bevacizumab and FOLFIRI in Participants With KRAS/NRAS and BRAF Wild-type Colorectal Cancer Who Have Previously Received Chemotherapy</t>
  </si>
  <si>
    <t>NCT06467201</t>
  </si>
  <si>
    <t>SAD Study to Evaluate Safety, Tolerability, and Pharmacokinetic Profile of AMN1126 in Healthy Post-Menopausal Females</t>
  </si>
  <si>
    <t>NCT05509777</t>
  </si>
  <si>
    <t>A Study of Mirikizumab (LY3074828) in Pediatric Participants With Crohn's Disease</t>
  </si>
  <si>
    <t>NCT06172257</t>
  </si>
  <si>
    <t>A Pivotal Safety and Efficacy Study of OCS-01 Eye Drops in Participants With Diabetic Macular Edema (DIAMOND 2)</t>
  </si>
  <si>
    <t>NCT06612281</t>
  </si>
  <si>
    <t>Evaluation of Gixam's Performance in a FIT Negative Population</t>
  </si>
  <si>
    <t>Jubaan Ltd.</t>
  </si>
  <si>
    <t>NCT06526819</t>
  </si>
  <si>
    <t>SMP-3124LP in Adults With Advanced Solid Tumors</t>
  </si>
  <si>
    <t>NCT06673667</t>
  </si>
  <si>
    <t>First-in-human Study of Orally Administered KT-621 in Healthy Adult Participants</t>
  </si>
  <si>
    <t>NCT06716307</t>
  </si>
  <si>
    <t>A Research Study to Compare Blood Levels of Cagrilintide and Semaglutide After Single Doses of Different Versions of Injectable CagriSema in Adults With Overweight or Obesity</t>
  </si>
  <si>
    <t>NCT06388083</t>
  </si>
  <si>
    <t>A Phase 2/3 Study to Evaluate the Efficacy and Safety of Tinlarebant in Subjects With Stargardt Disease</t>
  </si>
  <si>
    <t>NCT06344351</t>
  </si>
  <si>
    <t>A Clinical Trial of TQB3006 Tablets in Patients With Advanced Malignant Cancer</t>
  </si>
  <si>
    <t>NCT06257875</t>
  </si>
  <si>
    <t>A Study to Assess Adverse Events and Change in Disease Activity From Intravenous (IV) and Subcutaneous (SC) Lutikizumab in Adult Participants With Active Ulcerative Colitis</t>
  </si>
  <si>
    <t>NCT06310551</t>
  </si>
  <si>
    <t>First Time in Human Study of Long Acting VH4524184 Formulations</t>
  </si>
  <si>
    <t>NCT06538857</t>
  </si>
  <si>
    <t>CEB-01 in Locally Resectable Pancreatic Cancer</t>
  </si>
  <si>
    <t>NCT06325657</t>
  </si>
  <si>
    <t>A Study to Learn About the Vaccine RSVpreF In Pregnant Participants With HIV and Their Infants</t>
  </si>
  <si>
    <t>NCT06361537</t>
  </si>
  <si>
    <t>Study of IV Human Plasma-derived C1 Esterase Inhibitor Concentrate in Patients With Congenital C1-INH Deficiency for Treatment and Pre-procedure Preventing of Acute Hereditary Angioedema Attacks</t>
  </si>
  <si>
    <t>NCT06532656</t>
  </si>
  <si>
    <t>Study of Bictegravir/Lenacapavir in Children and Adolescents With HIV-1</t>
  </si>
  <si>
    <t>NCT06465914</t>
  </si>
  <si>
    <t>A Phase III Study to Evaluate the Efficacy, Immunogenicity and Safety of the 9-valent HPV Vaccine in Chinese Males</t>
  </si>
  <si>
    <t>NCT06649214</t>
  </si>
  <si>
    <t>A Study of Olanzapine-Samidorphan Tablets in Adults With Schizophrenia</t>
  </si>
  <si>
    <t>NCT06687733</t>
  </si>
  <si>
    <t>Safety and Efficacy Study of NGGT002 in cPKU Adult Subjects</t>
  </si>
  <si>
    <t>NCT06328738</t>
  </si>
  <si>
    <t>ELVN-002 With Trastuzumab +/- Chemotherapy in HER2+ Solid Tumors, Colorectal and Breast Cancer</t>
  </si>
  <si>
    <t>NCT06172348</t>
  </si>
  <si>
    <t>A Study to Learn About Three Forms of The Study Medicine (Ritlecitinib) in Healthy Adults</t>
  </si>
  <si>
    <t>NCT06491043</t>
  </si>
  <si>
    <t>Treatment of Chronic Obstructive Pulmonary Disease by Infusion of Allogenic Mesenchymal Stem Cells</t>
  </si>
  <si>
    <t>Meribank Biotech Co., Ltd.</t>
  </si>
  <si>
    <t>NCT06285643</t>
  </si>
  <si>
    <t>A Study of AAV2-GDNF in Adults With Moderate Parkinson's Disease (REGENERATE-PD)</t>
  </si>
  <si>
    <t>NCT05986721</t>
  </si>
  <si>
    <t>Clinical Trial of AGB101 for Mild Cognitive Impairment</t>
  </si>
  <si>
    <t>AgeneBio</t>
  </si>
  <si>
    <t>NCT06433921</t>
  </si>
  <si>
    <t>A Study to Compare the Relative Potency of Salbutamol Administered Via Metered Dose Inhalers (MDI) Containing Propellants HFA-152a to HFA-134a in Mild Asthmatics Aged 18 to 65 Inclusive</t>
  </si>
  <si>
    <t>NCT06703658</t>
  </si>
  <si>
    <t>A Study to Investigate Multiple Ascending Doses of AZD5004 in Healthy Japanese Participants and Participants With Type 2 Diabetes Mellitus</t>
  </si>
  <si>
    <t>NCT06724835</t>
  </si>
  <si>
    <t>Treating Nectin-4-positive Advanced Breast Cancer with XKDCT293 (Nectin-4-CAR-T)</t>
  </si>
  <si>
    <t>Shenzhen Celconta Life Science Co., Ltd.</t>
  </si>
  <si>
    <t>NCT06236308</t>
  </si>
  <si>
    <t>TTAX03 for the Treatment of Lumbosacral Facet Joint Pain</t>
  </si>
  <si>
    <t>NCT06361108</t>
  </si>
  <si>
    <t>MAD Study to Assess the Safety, Tolerability, PKs and Efficacy of YJ001 for Spray Use in Patients With DPNP</t>
  </si>
  <si>
    <t>Zhejiang Hanmai Pharmaceutical Technology Co., Ltd.</t>
  </si>
  <si>
    <t>NCT06136598</t>
  </si>
  <si>
    <t>A Study of Opevesostat (MK-5684) in China Participants With Metastatic Castration-Resistant Prostate Cancer (mCRPC) (MK-5684-001)</t>
  </si>
  <si>
    <t>NCT06375187</t>
  </si>
  <si>
    <t>A Study of GC203 TIL in Advanced Malignant Solid Tumors</t>
  </si>
  <si>
    <t>NCT06640517</t>
  </si>
  <si>
    <t>Study of the Efficacy, Safety, Pharmacokinetics, and Immunogenicity of Netakimab in Children With Moderate to Severe Plaque Psoriasis</t>
  </si>
  <si>
    <t>NCT06443463</t>
  </si>
  <si>
    <t>Long-term Safety and Tolerability of BHV-7000</t>
  </si>
  <si>
    <t>NCT06298058</t>
  </si>
  <si>
    <t>A Clinical Trial of SIBP-A13 Injection in the Treatment of Advanced Malignant Solid Tumor Patients.</t>
  </si>
  <si>
    <t>NCT06541678</t>
  </si>
  <si>
    <t>A Study to Learn if the Study Medicines Called Itraconazole and Cyclosporine Change How the Body Processes the Other Study Medicine Called Danuglipron in Healthy Adults.</t>
  </si>
  <si>
    <t>NCT06702098</t>
  </si>
  <si>
    <t>Induced Pluripotent Stem Cells Derived Natural Killer Cells Therapy for Refractory and Relaps Acute Myelogenous Leukemia</t>
  </si>
  <si>
    <t>NCT06642909</t>
  </si>
  <si>
    <t>A Phase II Study of Zuberitamab Injection in Patients With Primary Membranous Nephropathy</t>
  </si>
  <si>
    <t>NCT06153238</t>
  </si>
  <si>
    <t>A PK Study to Compare GME751 (Proposed Pembrolizumab Biosimilar) and US-licensed and EU-authorized Keytruda® in Participants With Stage II and III Melanoma</t>
  </si>
  <si>
    <t>NCT06710925</t>
  </si>
  <si>
    <t>A Sudy to Evaluate the Efficacy and Safety of TNM001 in High-risk Infants</t>
  </si>
  <si>
    <t>NCT06669117</t>
  </si>
  <si>
    <t>FIH Trial of VERT-002 in Patients With Locally Advanced or Metastatic Solid Tumors With MET Alterations</t>
  </si>
  <si>
    <t>NCT05979155</t>
  </si>
  <si>
    <t>A Study of NWY001 in Subjects With Advanced Solid Tumors</t>
  </si>
  <si>
    <t>NCT06363630</t>
  </si>
  <si>
    <t>A Study to Evaluate the Effect of Cytochrome P450 (CYP) 3A Inhibitor (Itraconazole) and Inducer (Rifampin) on the Drug Levels of Golcadomide (BMS-986369) in Healthy Participants</t>
  </si>
  <si>
    <t>NCT05726682</t>
  </si>
  <si>
    <t>A Study to Investigate Use of Off-the-shelf Natural Killer (NK) Cells (SAR445419) in Allogeneic Hematopoietic Stem Cell Transplantation (HSCT)</t>
  </si>
  <si>
    <t>NCT06434103</t>
  </si>
  <si>
    <t>Clinical Study of SHR-A1921 Combined With Adebrelimab and SHR-8068 With or Without Carboplatin in the Treatment of Advanced NSCLC</t>
  </si>
  <si>
    <t>NCT06635135</t>
  </si>
  <si>
    <t>A Study of Aticaprant Plus an Antidepressant to Prevent Return of Depression Symptoms in Participants With Major Depressive Disorder Who Experience a Loss of Interest and Pleasure</t>
  </si>
  <si>
    <t>NCT03803397</t>
  </si>
  <si>
    <t>Arm 1: Lysate Pulsed Dendritic Cells (PV-001-DC) in Patients With Melanoma</t>
  </si>
  <si>
    <t>PrimeVax Immuno-Oncology Inc.</t>
  </si>
  <si>
    <t>NCT06128213</t>
  </si>
  <si>
    <t>NRX-101 for Complicated Urinary Tract Infection (UTI) Including Pyelonephritis</t>
  </si>
  <si>
    <t>NCT06282159</t>
  </si>
  <si>
    <t>A Phase 2 Study to Evaluate DNTH103 in Adults With Generalized Myasthenia Gravis (MAGIC)</t>
  </si>
  <si>
    <t>Dianthus Therapeutics</t>
  </si>
  <si>
    <t>NCT06424717</t>
  </si>
  <si>
    <t>Study of Avelumab and Tuvusertib in Participants With Advanced Urothelial Cancer That Has Progressed on Prior Anti-PD-(L)1 Therapy (JAVELIN DDRiver Bladder)</t>
  </si>
  <si>
    <t>NCT06693518</t>
  </si>
  <si>
    <t>A Study to Learn About if the Study Medicine Called Ibuzatrelvir Changes How the Body Process the Other Medicine Dabigatran Etexilate in Healthy Adults</t>
  </si>
  <si>
    <t>NCT06667960</t>
  </si>
  <si>
    <t>Study of JK06 in Patients With Unresectable Locally Advanced or Metastatic Cancer</t>
  </si>
  <si>
    <t>NCT06364696</t>
  </si>
  <si>
    <t>A Study to Find a Suitable Dose of ASP4396 in Adults With Solid Tumors</t>
  </si>
  <si>
    <t>NCT06488924</t>
  </si>
  <si>
    <t>An Open-label Phase I/II Study of JR-446 in Mucopolysaccharidosis Type IIIB</t>
  </si>
  <si>
    <t>NCT06687759</t>
  </si>
  <si>
    <t>A Study of Calderasib (MK-1084) Human Absorption, Distribution, Metabolism, and Excretion in Healthy Adult Participants (MK-1084-006)</t>
  </si>
  <si>
    <t>NCT06224127</t>
  </si>
  <si>
    <t>Treating Stress and Anxiety in Individuals With Alcohol Use Disorder (AUD)</t>
  </si>
  <si>
    <t>Soovu Labs Inc.</t>
  </si>
  <si>
    <t>NCT06937697</t>
  </si>
  <si>
    <t>Clinical of Hypersensitivity Reduction Efficacy on Two Toothpastes</t>
  </si>
  <si>
    <t>NCT06188624</t>
  </si>
  <si>
    <t>Clinical Trial of TQB2922 for Injection in Patients With Advanced Cancers</t>
  </si>
  <si>
    <t>NCT06585059</t>
  </si>
  <si>
    <t>Clinical Trial of TQB2928 in Combination With a Third-Generation Epidermal Growth Factor Receptor (EGFR) Tyrosine Kinase Inhibitor (TKI) in Patients With Advanced Non-Small Cell Lung Cancers</t>
  </si>
  <si>
    <t>NCT06362759</t>
  </si>
  <si>
    <t>A Study to Evaluate TOUR006 in Patients With Chronic Kidney Disease and Elevated Hs-CRP</t>
  </si>
  <si>
    <t>NCT06655220</t>
  </si>
  <si>
    <t>A Study in Healthy Men to Test Whether BI 1815368 Influences the Amount of Metformin in the Body</t>
  </si>
  <si>
    <t>NCT05828745</t>
  </si>
  <si>
    <t>A Study to Evaluate the Safety, Tolerability, Pharmacokinetics, and Pharmacodynamics of CB06-036 in Subjects With Chronic Hepatitis B</t>
  </si>
  <si>
    <t>NCT06679101</t>
  </si>
  <si>
    <t>A Study of Belantamab Mafodotin Administered in Combination With Lenalidomide and Dexamethasone (BRd) Versus Daratumumab, Lenalidomide, and Dexamethasone (DRd) in Participants With Newly Diagnosed Multiple Myeloma (NDMM) Who Are Ineligible for Autologous Stem Cell Transplantation (TI-NDMM)</t>
  </si>
  <si>
    <t>NCT06435312</t>
  </si>
  <si>
    <t>An Open-label Extension Study to Evaluate Subcutaneous Zilucoplan in Pediatric Participants With Generalized Myasthenia Gravis</t>
  </si>
  <si>
    <t>NCT06263231</t>
  </si>
  <si>
    <t>A Study to Investigate Efficacy &amp; Safety of Intratumoral INT230-6 Compared to US Standard of Care in Adults With Soft Tissue Sarcomas (INVINCIBLE-3)</t>
  </si>
  <si>
    <t>Intensity Therapeutics, Inc.</t>
  </si>
  <si>
    <t>NCT06428019</t>
  </si>
  <si>
    <t>A Study to Evaluate the Risk of Tumor Lysis Syndrome (TLS) in Adult Participants Receiving Oral Venetoclax in Combination With Intravenously Infused Obinutuzumab or Oral Acalabrutinib for Previously Untreated Chronic Lymphocytic Leukemia (CLL)</t>
  </si>
  <si>
    <t>NCT07634744</t>
  </si>
  <si>
    <t>A Phase IIa Study in Primary IgA Nephropathy Patients</t>
  </si>
  <si>
    <t>NCT06554795</t>
  </si>
  <si>
    <t>First-in-human Study of DB-1419 for Advanced/Metastatic Solid Tumors</t>
  </si>
  <si>
    <t>NCT06471530</t>
  </si>
  <si>
    <t>A Study to Investigate the Safety and Tolerability of TE-8105 in Overweight/Obese Participants Without Diabetes</t>
  </si>
  <si>
    <t>NCT06525636</t>
  </si>
  <si>
    <t>A First-in-human Study of KK8123 in Adults With X-linked Hypophosphatemia</t>
  </si>
  <si>
    <t>NCT06469944</t>
  </si>
  <si>
    <t>Substudy 06C: A Study of Investigational Agents With Pembrolizumab (MK-3475) and Chemotherapy in Participants With First-Line Locally Advanced Unresectable/Metastatic Gastroesophageal Adenocarcinoma (MK-3475-06C/KEYMAKER-U06)</t>
  </si>
  <si>
    <t>NCT06277934</t>
  </si>
  <si>
    <t>A Study of RGT001-075 in Participants With Obesity or Overweight With Weight-Related Comorbidities</t>
  </si>
  <si>
    <t>NCT06614751</t>
  </si>
  <si>
    <t>A PARG Inhibitor DAT-2645 Monotherapy in Patients with Advanced/Metastatic Solid Tumors Harboring BRCA1/2 Loss of Function Alterations And/or Other Defects in the DDR Pathway</t>
  </si>
  <si>
    <t>Danatlas Pharmaceuticals Co., Ltd</t>
  </si>
  <si>
    <t>NCT06505395</t>
  </si>
  <si>
    <t>A Trial to Assess Efficacy, Safety, Pharmacokinetics of Octreotide Subcutaneous Injection in Patients With Gastroentero-pancreatic Neuroendocrine Tumor (GEP-NET)</t>
  </si>
  <si>
    <t>NCT06574828</t>
  </si>
  <si>
    <t>A Study to Find Out How Multiple Doses of BIIB091 Affect the Electrical Activity of the Heart in Healthy Participants</t>
  </si>
  <si>
    <t>NCT06576271</t>
  </si>
  <si>
    <t>A Study of GSK4527363 in Healthy Participants, Systemic Lupus Erythematosus (SLE) Participants, Healthy Chinese, and Japanese Participants and CTD-ILD Participants</t>
  </si>
  <si>
    <t>NCT06485401</t>
  </si>
  <si>
    <t>To Compare the Safety and PK/ PD Characteristics of ADC189 Between Hepatic Impairment and Normal Hepatic Function Subjects</t>
  </si>
  <si>
    <t>NCT06469164</t>
  </si>
  <si>
    <t>A First-in-human Safety Trial of BNT331 Administered as Single Ascending Doses in Healthy Women and as Multiple Ascending Doses in Women Diagnosed With Bacterial Vaginosis</t>
  </si>
  <si>
    <t>NCT06341712</t>
  </si>
  <si>
    <t>Effects of Maintenance Cabozantinib+BSC Versus BSC in Children and AYA With Osteosarcoma</t>
  </si>
  <si>
    <t>NCT06577987</t>
  </si>
  <si>
    <t>Safety/Efficacy Study of CID-078 in Patients With Advanced Solid Tumor Malignancies</t>
  </si>
  <si>
    <t>Circle Pharma</t>
  </si>
  <si>
    <t>NCT05157243</t>
  </si>
  <si>
    <t>Trial to Evaluate Nitazoxanide for Treatment of Mild or Moderate COVID-19 in Subjects at High Risk of Severe Illness</t>
  </si>
  <si>
    <t>NCT06225843</t>
  </si>
  <si>
    <t>Sotevtamab (AB-16B5) Combined With FOLFOX as Neoadjuvant Treatment Prior to Resection of Colorectal Cancer Liver Metastasis</t>
  </si>
  <si>
    <t>NCT06199908</t>
  </si>
  <si>
    <t>AMT-562 in Patients With Selected Advanced Solid Tumors</t>
  </si>
  <si>
    <t>NCT06609525</t>
  </si>
  <si>
    <t>Comparing Efficacy and Safety of CTO0303 in Pediatric Subjects</t>
  </si>
  <si>
    <t>NCT06264921</t>
  </si>
  <si>
    <t>A Study With NKT3447 for Adults With Advanced/Metastatic Solid Tumors</t>
  </si>
  <si>
    <t>NCT06221748</t>
  </si>
  <si>
    <t>DV Combined With Cadonilimab in Subjects With HER2-expressing Gastric Cancer and Gastroesophageal Junction Adenocarcinoma After Progression on First-line Therapy</t>
  </si>
  <si>
    <t>NCT06052748</t>
  </si>
  <si>
    <t>A Study to Evaluate the Efficacy and Safety of AD-223</t>
  </si>
  <si>
    <t>NCT06585163</t>
  </si>
  <si>
    <t>Study to Investigate the Safety, Tolerability and Pharmacokinetics of QEV-817 Oral Suspension</t>
  </si>
  <si>
    <t>Quivive Pharma, Inc.</t>
  </si>
  <si>
    <t>NCT06877247</t>
  </si>
  <si>
    <t>A Mass Balance Study of [14C] SHR6508 in Chinese Hemodialysis Subjects With Secondary Hyperparathyroidism</t>
  </si>
  <si>
    <t>NCT06417398</t>
  </si>
  <si>
    <t>Preliminary Clinical Study of UTAA09 Injection in the Treatment of Relapsed/Refractory Autoimmune Diseases</t>
  </si>
  <si>
    <t>NCT06233149</t>
  </si>
  <si>
    <t>Esomeprazole Magnesium Dihydrate 40 mg Tablets Relative to Nexium 40 mg Tablets Under Fed Condition</t>
  </si>
  <si>
    <t>NCT06431763</t>
  </si>
  <si>
    <t>A Study to Investigate LDL-cholesterol Lowering With Inclisiran Compared to Bempedoic Acid in Patients With Atherosclerotic Cardiovascular Disease.</t>
  </si>
  <si>
    <t>NCT06710847</t>
  </si>
  <si>
    <t>A Study to Investigate the Safety, Pharmacokinetics, and Preliminary Effectiveness of GSK4418959 Alone or in Combination With Other Anti-cancer Agents in Participants With Solid Tumors</t>
  </si>
  <si>
    <t>NCT06441084</t>
  </si>
  <si>
    <t>A Trial to Evaluate the Safety and Efficacy of NCR300 in Preventing Recurrence of Acute Myeloid Leukemia（AML) After Transplantation</t>
  </si>
  <si>
    <t>NCT06257758</t>
  </si>
  <si>
    <t>A Phase 1/2 Study of VIO-01 in Participants With Recurrent Solid Tumors</t>
  </si>
  <si>
    <t>NCT06367153</t>
  </si>
  <si>
    <t>A Study in Healthy Men and Women to Test Whether BI 1569912 Influences the Amount of Repaglinide, Midazolam and Bupropion in the Blood</t>
  </si>
  <si>
    <t>NCT06342336</t>
  </si>
  <si>
    <t>HS-IT101 Injection in the Treatment of Advanced Solid Tumors</t>
  </si>
  <si>
    <t>NCT06577298</t>
  </si>
  <si>
    <t>A Study to Evaluate the Safety and Immunogenicity of VLP-Polio in Infants and Toddlers</t>
  </si>
  <si>
    <t>NCT06595004</t>
  </si>
  <si>
    <t>A Study to Evaluate the Efficacy and Safety of HCP1004 in Chronic Low-Back Pain Patients</t>
  </si>
  <si>
    <t>NCT06452316</t>
  </si>
  <si>
    <t>Study to Evaluate the Safety and Efficacy of CSB-001 Ophthalmic Solution 0.1% in Subjects With Limbal Stem Cell Deficiency</t>
  </si>
  <si>
    <t>NCT06517758</t>
  </si>
  <si>
    <t>A Phase III Study to Investigate Efficacy, Safety and Tolerability of Iptacopan Compared With Placebo in Participants Aged 18 to 85 Years With gMG.</t>
  </si>
  <si>
    <t>NCT06359626</t>
  </si>
  <si>
    <t>Bioequivalence Study Between YHP2205 and YHR2401 in Healthy Volunteers</t>
  </si>
  <si>
    <t>NCT06299826</t>
  </si>
  <si>
    <t>A Phase IIb Study of AZD5462 in Patients With Chronic Heart Failure</t>
  </si>
  <si>
    <t>NCT06588504</t>
  </si>
  <si>
    <t>Research Study in Japan to Compare Dasiglucagon With Glucagon in Treating Very Low Levels of Blood Sugar in Asian Adults With Type 1 Diabetes and Testing of Dasiglucagon for the Same Condition in Japanese Adolescents</t>
  </si>
  <si>
    <t>NCT06680947</t>
  </si>
  <si>
    <t>A Phase IIb Study of 610 in Participants With Severe Eosinophilic Asthma</t>
  </si>
  <si>
    <t>NCT06578949</t>
  </si>
  <si>
    <t>Efficacy, Safety, Pharmacokinetics, Pharmacodynamics, and Immunogenicity of Ravulizumab in Chinese Adults Participants With Paroxysmal Nocturnal Hemoglobinuria (PNH)</t>
  </si>
  <si>
    <t>NCT06588738</t>
  </si>
  <si>
    <t>A Study in Patients With Moderate to Severe Plaque Psoriasis to Evaluate the Efficacy and Safety of ESK-001</t>
  </si>
  <si>
    <t>NCT06608238</t>
  </si>
  <si>
    <t>Phase 2 Study Evaluating the Safety and Efficacy of Microneedle-mediated Delivery of Doxorubicin (D-MNA) in Patients With Nodular Basal Cell Carcinoma.</t>
  </si>
  <si>
    <t>NCT06365216</t>
  </si>
  <si>
    <t>ALS Phase II Study of NX210c</t>
  </si>
  <si>
    <t>NCT06727604</t>
  </si>
  <si>
    <t>A Study to Assess the Efficacy, Safety, and Tolerability of IMVT-1402 as Treatment for Adult Participants With Graves' Disease</t>
  </si>
  <si>
    <t>NCT06510504</t>
  </si>
  <si>
    <t>Efficacy of BNC210 in Acute, As-needed Treatment of Anxiety in Social Anxiety Disorder - 1</t>
  </si>
  <si>
    <t>NCT07417670</t>
  </si>
  <si>
    <t>Satisfaction With Orodispersible vs Conventional Memantine in Moderate to Severe Alzheimer's Disease</t>
  </si>
  <si>
    <t>NCT06655870</t>
  </si>
  <si>
    <t>A Study to Investigate Safety and Tolerability of mRNA-0184 Administered Subcutaneously in Healthy Participants</t>
  </si>
  <si>
    <t>NCT06268886</t>
  </si>
  <si>
    <t>Study to Evaluate the Efficacy, Safety, and Tolerability of an Anti-MTBR Tau Monoclonal Antibody (BMS-986446) in Participants With Early Alzheimer's Disease</t>
  </si>
  <si>
    <t>NCT06137183</t>
  </si>
  <si>
    <t>A Study to Evaluate the Efficacy, Safety, and Pharmacokinetics of Vixarelimab in Participants With Moderate to Severe Ulcerative Colitis (UC)</t>
  </si>
  <si>
    <t>NCT06385054</t>
  </si>
  <si>
    <t>Effect of Probiotics on Infantile Colic Symptoms</t>
  </si>
  <si>
    <t>NCT05127122</t>
  </si>
  <si>
    <t>Bone Marrow Mesenchymal Stem Cell Derived Extracellular Vesicles Infusion Treatment for ARDS</t>
  </si>
  <si>
    <t>NCT06439602</t>
  </si>
  <si>
    <t>Phase 3 Evaluation of Efficacy and Safety of AR882 in Gout Patients (AR882-302)</t>
  </si>
  <si>
    <t>NCT06512051</t>
  </si>
  <si>
    <t>A Trial of SHR-A2102 With Adebrelimab With or Without Other Antitumor Therapy in Advanced or Metastatic Non-small Cell Lung Cancer</t>
  </si>
  <si>
    <t>NCT04027894</t>
  </si>
  <si>
    <t>Study to Evaluate Safety and Efficacy of Rifamycin SV MMX in Treating Traveler's Diarrhea in Children Age 12 to 17 Years</t>
  </si>
  <si>
    <t>NCT06358651</t>
  </si>
  <si>
    <t>Fasedienol Nasal Spray for the Acute Treatment of Anxiety in Adults With Social Anxiety Disorder (PALISADE-3)</t>
  </si>
  <si>
    <t>NCT06522945</t>
  </si>
  <si>
    <t>To Evaluate the Pharmacokinetics and Safety of TQD3524 for Injection in Renal Impairment Subjects</t>
  </si>
  <si>
    <t>NCT06453265</t>
  </si>
  <si>
    <t>A Study to Assess the Abuse Potential of Intranasal Cebranopadol</t>
  </si>
  <si>
    <t>NCT06183671</t>
  </si>
  <si>
    <t>JX09 SAD/MAD in Healthy Participants</t>
  </si>
  <si>
    <t>Ji Xing Pharmaceuticals Australia Pty Ltd</t>
  </si>
  <si>
    <t>NCT06625957</t>
  </si>
  <si>
    <t>Clinical Trial to Evaluate the Safety and Efficacy of NTCB02-1 in Patients Who Require Parenteral Nutrition</t>
  </si>
  <si>
    <t>NCT06956001</t>
  </si>
  <si>
    <t>Firmonertinib Versus Platinum Based Chemotherapy as First-line Treatment for NSCLC With EGFR PACC or EGFR l861q Mutation</t>
  </si>
  <si>
    <t>NCT06147856</t>
  </si>
  <si>
    <t>A Dose-finding Study to Evaluate mRNA-3210 in Participants With Phenylketonuria</t>
  </si>
  <si>
    <t>NCT06315751</t>
  </si>
  <si>
    <t>Efficacy and Safety of Gemlapodect (NOE-105) in Adults and Adolescents With Tourette Syndrome</t>
  </si>
  <si>
    <t>NCT06667453</t>
  </si>
  <si>
    <t>A Clinical Study of PGN-EDODM1 in People With Myotonic Dystrophy Type 1</t>
  </si>
  <si>
    <t>NCT06329401</t>
  </si>
  <si>
    <t>A Study Evaluating the Safety and Efficacy of Inhaled AP01 in Participants With Progressive Pulmonary Fibrosis</t>
  </si>
  <si>
    <t>Avalyn Pharma Inc.</t>
  </si>
  <si>
    <t>NCT06573281</t>
  </si>
  <si>
    <t>A Study on the Safety and Immune Response to an mRNA-based RSV Investigational Vaccine in Healthy Adults Aged 18-45 Years</t>
  </si>
  <si>
    <t>NCT06364501</t>
  </si>
  <si>
    <t>Phase 1 Trial of KH801</t>
  </si>
  <si>
    <t>Beijing Kanghong Biopharmaceutical Co., Ltd.</t>
  </si>
  <si>
    <t>NCT06693375</t>
  </si>
  <si>
    <t>To Evaluate Dose and Safety of NanoEcho Particle-1 Using NanoEcho Imaging Device Examinations of Rectal Lymph Nodes in Healthy Volunteers and Rectal Cancer Patients.</t>
  </si>
  <si>
    <t>NanoEcho AB</t>
  </si>
  <si>
    <t>NCT06246175</t>
  </si>
  <si>
    <t>A Study of HRS9531 in Participants With Impaired Kidney Function and Healthy Subjects</t>
  </si>
  <si>
    <t>NCT06440057</t>
  </si>
  <si>
    <t>Dose Escalation Study of ZG006 in Participants With Advanced Small Cell Lung Cancer or Neuroendocrine Carcinoma, Followed by Dose Expansion Study in Participants With Neuroendocrine Carcinoma.</t>
  </si>
  <si>
    <t>NCT05646381</t>
  </si>
  <si>
    <t>A Multicenter Trial Assessing the Impact of Lipoprotein(a) Lowering With Pelacarsen (TQJ230) on the Progression of Calcific Aortic Valve Stenosis</t>
  </si>
  <si>
    <t>NCT06836557</t>
  </si>
  <si>
    <t>Open Label Safety Study of Tradipitant in Idiopathic and Diabetic Gastroparesis</t>
  </si>
  <si>
    <t>NCT06206902</t>
  </si>
  <si>
    <t>F01 in the Treatment of Relapsed/Refractory Non-hodgkin's Lymphoma</t>
  </si>
  <si>
    <t>NCT06293053</t>
  </si>
  <si>
    <t>A Study to Investigate the Pharmacokinetics and Safety of Dupilumab in Participants ≥6 Months to &lt;18 Years of Age With Prurigo Nodularis</t>
  </si>
  <si>
    <t>NCT05209295</t>
  </si>
  <si>
    <t>A Study to Evaluate CC-486/Onureg in Participants With Moderate or Severe Hepatic Impairment Compared With Normal Hepatic Function in Participants With Myeloid Malignancies</t>
  </si>
  <si>
    <t>NCT06359002</t>
  </si>
  <si>
    <t>Safety, Pharmacokinetics, and Preliminary Efficacy of BYON4413 in Acute Myeloid Leukemia and Myelodysplastic Neoplasms.</t>
  </si>
  <si>
    <t>NCT06131372</t>
  </si>
  <si>
    <t>A Research Study to See if Kidney Damage in People With Chronic Kidney Disease and Type 2 Diabetes Living With Overweight or Obesity Can be Reduced by CagriSema Compared to Semaglutide, Cagrilintide and Placebo</t>
  </si>
  <si>
    <t>NCT06079372</t>
  </si>
  <si>
    <t>Phase 3 Study of ALXN1850 in Pediatric Participants With HPP Previously Treated With Asfotase Alfa</t>
  </si>
  <si>
    <t>NCT06306872</t>
  </si>
  <si>
    <t>A Clinical Trial to Evaluate the Relative Bioavailability of New and Old ABSK-011 Capsules</t>
  </si>
  <si>
    <t>NCT05751356</t>
  </si>
  <si>
    <t>TR128 in Patients With Advanced Solid Tumors</t>
  </si>
  <si>
    <t>NCT06568731</t>
  </si>
  <si>
    <t>A Study to Learn How Different Amounts of the Study Medicine Danuglipron Are Taken up Into the Blood in Otherwise Healthy Adults With Overweight or Obesity</t>
  </si>
  <si>
    <t>NCT06729970</t>
  </si>
  <si>
    <t>A Study to Evaluate the Effects of Lithium, Valproic Acid, and Lamotrigine on the Pharmacokinetics of KarXT and Effects of KarXT on the Pharmacokinetics of Lithium, Valproic Acid, and Lamotrigine in Healthy Participants</t>
  </si>
  <si>
    <t>NCT06619054</t>
  </si>
  <si>
    <t>A Study to Evaluate the Effect of Hepatic Impairment on the Pharmacokinetics of KP-001</t>
  </si>
  <si>
    <t>NCT06588686</t>
  </si>
  <si>
    <t>A Trial to Evaluate Efficacy and Safety of Buloxibutid in People With Idiopathic Pulmonary Fibrosis.</t>
  </si>
  <si>
    <t>NCT06307522</t>
  </si>
  <si>
    <t>MRG-001 in Patients With Alcoholic Hepatitis</t>
  </si>
  <si>
    <t>NCT06249529</t>
  </si>
  <si>
    <t>Airway Bypass - Safety and Feasibility Study</t>
  </si>
  <si>
    <t>Zoar Engelman</t>
  </si>
  <si>
    <t>NCT06453551</t>
  </si>
  <si>
    <t>A Phase I Study of TRN501 in Healthy Volunteers</t>
  </si>
  <si>
    <t>NCT06593457</t>
  </si>
  <si>
    <t>A Food-Effect, Drug-Drug Interaction, and Pharmacokinetics Study of NX-5948 in Healthy Adult Subjects</t>
  </si>
  <si>
    <t>NCT06083675</t>
  </si>
  <si>
    <t>Research Study to Compare Semaglutide Tablets With Empagliflozin or Metformin Tablets in People With Type 2 Diabetes</t>
  </si>
  <si>
    <t>NCT06493604</t>
  </si>
  <si>
    <t>A Trial to Assess the Safety and Efficacy of Subjects With Dry Eye Disease</t>
  </si>
  <si>
    <t>NCT06273852</t>
  </si>
  <si>
    <t>A Study of the Intratumoral Microdose Administration of PBA-0405 in Patients With Solid Tumors</t>
  </si>
  <si>
    <t>Pure Biologics S.A.</t>
  </si>
  <si>
    <t>NCT06061809</t>
  </si>
  <si>
    <t>N-803 and PD-L1 t-haNK Combined With Bevacizumab for Recurrent or Progressive Glioblastoma</t>
  </si>
  <si>
    <t>NCT06683352</t>
  </si>
  <si>
    <t>A Study to Learn About Flu and COVID-19 Vaccine Responses in Healthy People</t>
  </si>
  <si>
    <t>NCT06186414</t>
  </si>
  <si>
    <t>A Study to Investigate the Safety, Tolerability, Pharmacokinetics, and Preliminary Efficacy of SIM0237 Alone or in Combination with BCG in NMIBC</t>
  </si>
  <si>
    <t>NCT06277804</t>
  </si>
  <si>
    <t>A Phase I Study of LTC004 Combin With FC in Patients With Advanced/Metastatic Malignancies Tumor</t>
  </si>
  <si>
    <t>NCT06508021</t>
  </si>
  <si>
    <t>A Study of Andecaliximab in Participants With Fibrodysplasia Ossificans Progressiva (FOP)</t>
  </si>
  <si>
    <t>Ashibio Inc</t>
  </si>
  <si>
    <t>NCT06637254</t>
  </si>
  <si>
    <t>A Study to Evaluate the Efficacy and Safety of HSK31858 Tablets in Patients with Bronchial Asthma</t>
  </si>
  <si>
    <t>NCT06775405</t>
  </si>
  <si>
    <t>A Study to Confirm the Effectiveness and Safety of AK0529 in Treating RSV Infections in Hospitalized Infants</t>
  </si>
  <si>
    <t>NCT06311786</t>
  </si>
  <si>
    <t>A Study to Look at How a Single Oral Dose of Carbon-14-Labelled [14C] BIIB091 Moves Through and is Processed by the Body in Healthy Male Participants</t>
  </si>
  <si>
    <t>NCT06414954</t>
  </si>
  <si>
    <t>Safety and Efficacy of 3 Dose Levels of NMD670 in Adult Patients With Myasthenia Gravis</t>
  </si>
  <si>
    <t>NCT06363461</t>
  </si>
  <si>
    <t>Study of TDM-180935 in Atopic Dermatitis Patients</t>
  </si>
  <si>
    <t>NCT06908642</t>
  </si>
  <si>
    <t>Evaluation the Safety of hemay005 Tablets</t>
  </si>
  <si>
    <t>Anhui Hemay Pharmaceutical Co., Ltd</t>
  </si>
  <si>
    <t>NCT06349473</t>
  </si>
  <si>
    <t>A Study of Safety, Tolerability, Pharmacokinetics, and Pharmacodynamics of SR604 in Two Participants Groups (Part A: Healthy Participants, and Part B: Participants With Hemophilia A or Hemophilia B or Factor VII Deficiency)</t>
  </si>
  <si>
    <t>Equilibra Bioscience LLC</t>
  </si>
  <si>
    <t>NCT06744569</t>
  </si>
  <si>
    <t>A Phase I Clinical Trial to Evaluate CU-10101 Unguent</t>
  </si>
  <si>
    <t>NCT05545202</t>
  </si>
  <si>
    <t>A Randomized, Comparative, Double-blind Trial of Pentaisomaltose and Dimethyl Sulphoxide for Cryoprotection of Hematopoietic Stem Cells in Subjects With Multiple Myeloma or Malignant Lymphoma With a Need for Autologous Transplantation</t>
  </si>
  <si>
    <t>NCT06733402</t>
  </si>
  <si>
    <t>A Study Comparing Trifarotene Cream 0.005% to AKLIEF® CREAM (US REFERENCE LISTED DRUG), AKLIEF™ CREAM (CANADIAN REFERENCE PRODUCT) in the Treatment of Acne Vulgaris</t>
  </si>
  <si>
    <t>NCT06352437</t>
  </si>
  <si>
    <t>A Study to Test How Well Different Doses of BI 3034701 Are Tolerated by Healthy Men and People With Overweight or Obesity</t>
  </si>
  <si>
    <t>NCT06672172</t>
  </si>
  <si>
    <t>A Study of HRS-7535 Compared With Placebo in Adult Participants With Type 2 Diabetes and Inadequately Controlled With Diet and Exercise</t>
  </si>
  <si>
    <t>NCT06663839</t>
  </si>
  <si>
    <t>A Study of NILK-2301 in Patients with Locally Advanced or Metastatic Low Tumor Volume (LTV) Colorectal Cancer</t>
  </si>
  <si>
    <t>NCT06598631</t>
  </si>
  <si>
    <t>Efficacy and Safety of Volenrelaxin in Adults With Chronic Kidney Disease</t>
  </si>
  <si>
    <t>NCT06333951</t>
  </si>
  <si>
    <t>Anvumetostat Alone or in Combination With Other Therapies in Subjects With Advanced Thoracic Tumors With Homozygous MTAP-deletion (Master Protocol) (MTAPESTRY 104).</t>
  </si>
  <si>
    <t>NCT06594965</t>
  </si>
  <si>
    <t>A Study of HS-20106 to Treat Anemia Due to Very Low, Low, or Intermediate Risk Myelodysplastic Syndromes</t>
  </si>
  <si>
    <t>NCT06660992</t>
  </si>
  <si>
    <t>A Study to Assess the Efficacy and Safety of HSK31858 in Participants With Non-Cystic Fibrosis Bronchiectasis</t>
  </si>
  <si>
    <t>NCT06416800</t>
  </si>
  <si>
    <t>A Study to Assess the Effect of Povorcitinib on Digoxin, Rosuvastatin, and Metformin Pharmacokinetics and the Effect of Probenecid on Povorcitinib Pharmacokinetics When Administered Orally to Healthy Adult Participants</t>
  </si>
  <si>
    <t>NCT06592300</t>
  </si>
  <si>
    <t>Bioequivalence Study of Two Products of Tenofovir Alafenamide 25 mg Film Tablet in Healthy, Adult, Human Subjects</t>
  </si>
  <si>
    <t>NCT06432764</t>
  </si>
  <si>
    <t>Positron Emission Tomography Study of Changes in [11C]AZ14132516 Uptake Following Administration of AZD7798 to Patients With Crohn's Disease.</t>
  </si>
  <si>
    <t>NCT06618664</t>
  </si>
  <si>
    <t>A Clinical Study of SHR-8068 Combined With Adebrelimab and Bevacizumab Versus Sintilimab or Atezolizumab Combined With Bevacizumab for the Treatment of Advanced Hepatocellular Carcinoma</t>
  </si>
  <si>
    <t>NCT06513364</t>
  </si>
  <si>
    <t>Neoadjuvant Chemotherapy With WH002 in Women With HER2-negative Breast Cancer</t>
  </si>
  <si>
    <t>NCT06483334</t>
  </si>
  <si>
    <t>A Study of Efficacy and Safety of Sacituzumab Tirumotecan (MK-2870) Plus Enfortumab Vedotin (EV) With and Without Pembrolizumab in Advanced Urothelial Carcinoma (MK-3475-04C/KEYMAKER-U04)</t>
  </si>
  <si>
    <t>NCT06428409</t>
  </si>
  <si>
    <t>A Clinical Study of MK-2870 Alone or With Other Treatments to Treat Gastrointestinal Cancers (MK-9999-02A)</t>
  </si>
  <si>
    <t>NCT06753331</t>
  </si>
  <si>
    <t>A Multicenter Study to Evaluate Safety, Tolerability, and Clinical Responses of DSP-1083 Into Subjects With Parkinson's Disease</t>
  </si>
  <si>
    <t>NCT06449222</t>
  </si>
  <si>
    <t>Safety and Preliminary Effectiveness of BNT327, an Investigational Therapy for Breast Cancer, When Given in Combination With Chemotherapy</t>
  </si>
  <si>
    <t>NCT05617651</t>
  </si>
  <si>
    <t>NCT06630247</t>
  </si>
  <si>
    <t>A Dose-escalation, Dose-finding, and Expansion Study of XL495 in Participants With Locally Advanced or Metastatic Solid Tumors</t>
  </si>
  <si>
    <t>NCT06702449</t>
  </si>
  <si>
    <t>A Study on the Safety and Immune Response of a Urinary Tract Infection (UTI) Vaccine in Adults 18-64 Years of Age and Clinical Efficacy in Females 18-64 Years of Age</t>
  </si>
  <si>
    <t>NCT06520540</t>
  </si>
  <si>
    <t>HDM1002 Tablets in Chinese Overweight and Obese Adult Subjects</t>
  </si>
  <si>
    <t>NCT06317064</t>
  </si>
  <si>
    <t>Diagnostic and Therapeutic Potential of Substance P/ NK1R Receptor in Primary Dysmenorrhea</t>
  </si>
  <si>
    <t>Lahore Medical Research Center, LLP</t>
  </si>
  <si>
    <t>NCT06770764</t>
  </si>
  <si>
    <t>Dose Escalation and Expansion Study Evaluating ODC-IL2 in Adult Patients With Advanced or Metastatic Solid Tumors</t>
  </si>
  <si>
    <t>Trutino Biosciences Inc.</t>
  </si>
  <si>
    <t>NCT06388564</t>
  </si>
  <si>
    <t>A Study to Evaluate the Safety and Efficacy of Axatilimab in Combination With Ruxolitinib in Participants With Newly Diagnosed Chronic Graft-Versus-Host Disease</t>
  </si>
  <si>
    <t>NCT06338995</t>
  </si>
  <si>
    <t>A Study of Lebrikizumab (LY3650150) in Participants With Chronic Rhinosinusitis and Nasal Polyps Treated With Intranasal Corticosteroids (CONTRAST-NP)</t>
  </si>
  <si>
    <t>NCT05686629</t>
  </si>
  <si>
    <t>An Efficacy and Safety Study of Jaktinib Hydrochloride Tablets in the Treatment of Severe Novel Coronavirus Pneumonia</t>
  </si>
  <si>
    <t>NCT06364072</t>
  </si>
  <si>
    <t>Safety, Tolerability, Analgesic Effect, and Feasibility of Intranasal CT001 in Pediatric Patients</t>
  </si>
  <si>
    <t>NCT06716645</t>
  </si>
  <si>
    <t>A Clinical Evidence Study Evaluating Quality of Life Parameters Following Treatment With Robitussin</t>
  </si>
  <si>
    <t>NCT06649045</t>
  </si>
  <si>
    <t>A Master Protocol for Orforglipron in Participants With Obstructive Sleep Apnea and Obesity or Overweight</t>
  </si>
  <si>
    <t>NCT06335979</t>
  </si>
  <si>
    <t>An Ascending Dose Study of PIT565 in Participants With Systemic Lupus Erythematosus (SLE).</t>
  </si>
  <si>
    <t>NCT06382142</t>
  </si>
  <si>
    <t>A Study Comparing BL-B01D1 With Chemotherapy of Physician's Choice in Patients With Unresectable Locally Advanced or Metastatic Triple-Negative Breast Cancer(PANKU-Breast02)</t>
  </si>
  <si>
    <t>NCT06233461</t>
  </si>
  <si>
    <t>A Study on the Safety of TAK-279 and Whether it Can Reduce Inflammation in the Bowel of Participants With Moderately to Severely Active Crohn's Disease</t>
  </si>
  <si>
    <t>NCT06331702</t>
  </si>
  <si>
    <t>Immunogenicity of Japanese Encephalitis Vaccine Co-administered With Measles-Mumps-Rubella Vaccine (MMR)</t>
  </si>
  <si>
    <t>NCT06547775</t>
  </si>
  <si>
    <t>A Study to Evaluate Features of KN069 in Participants With Obesity or Overweight</t>
  </si>
  <si>
    <t>NCT06305767</t>
  </si>
  <si>
    <t>A Clinical Study of Intismeran Autogene (V940) Treatment and Pembrolizumab in People With Bladder Cancer (V940-005/INTerpath-005)</t>
  </si>
  <si>
    <t>NCT06542536</t>
  </si>
  <si>
    <t>A Research Study Investigating Safety and Concentration in the Blood After One Dose Tablet of the New Medicine Monlunabant in Healthy Weight Japanese and Caucasian Men</t>
  </si>
  <si>
    <t>NCT06304636</t>
  </si>
  <si>
    <t>Descartes-15 for Patients With Relapsed/Refractory Multiple Myeloma</t>
  </si>
  <si>
    <t>NCT06237309</t>
  </si>
  <si>
    <t>REGN5381 in Adult Participants With Heart Failure With Reduced Ejection Fraction</t>
  </si>
  <si>
    <t>NCT06737536</t>
  </si>
  <si>
    <t>A First-in-human Research Study on How NNC0662-0419 Works in People Living With Overweight or Obesity</t>
  </si>
  <si>
    <t>NCT06932744</t>
  </si>
  <si>
    <t>Study of Safety and Efficacy of MY008211A in Paroxysmal Nocturnal Hemoglobinuria (PNH) Patients Who Are Naive to Complement Inhibitor Therapy</t>
  </si>
  <si>
    <t>NCT07613684</t>
  </si>
  <si>
    <t>Single and Multiple Ascending Dosing Administration of MF-300 in Healthy Participants</t>
  </si>
  <si>
    <t>NCT06428331</t>
  </si>
  <si>
    <t>A Study of SKB518 in Patients With Advanced Solid Tumors</t>
  </si>
  <si>
    <t>NCT06183931</t>
  </si>
  <si>
    <t>Study of ALXN2220 Versus Placebo in Adults With ATTR-CM</t>
  </si>
  <si>
    <t>NCT06257264</t>
  </si>
  <si>
    <t>A Study to Examine the Safety of Different Doses of BG-68501 Given to Participants With Advanced-Stage Tumors</t>
  </si>
  <si>
    <t>NCT06310304</t>
  </si>
  <si>
    <t>A Study to Evaluate the Relative Bioavailability of Ruxolitinib Extended Release (XR) Tablets Compared With Ruxolitinib Immediate Release (IR) Tablets Administered Orally in Healthy Participants.</t>
  </si>
  <si>
    <t>NCT07019194</t>
  </si>
  <si>
    <t>An Bioequivalence Study to Compare 10mg &amp; 20mg of Senaparib Capsules in Healthy Chinese Subjects Under Fasting Condition</t>
  </si>
  <si>
    <t>NCT06391931</t>
  </si>
  <si>
    <t>A Multicenter, Open, Controlled, Phase III Clinical Study to Evaluate the Efficacy and Safety of Cipepofol Injection for General Anesthesia in Pediatric Patients Undergoing Elective Surgery</t>
  </si>
  <si>
    <t>NCT06529445</t>
  </si>
  <si>
    <t>Food Effect and Relative Bioavailability Study of VC004 Capsules in Healthy Adult Subjects</t>
  </si>
  <si>
    <t>NCT06120075</t>
  </si>
  <si>
    <t>A Study of AB801 Monotherapy and Combination Therapy in Participants With Advanced Malignancies</t>
  </si>
  <si>
    <t>NCT06382311</t>
  </si>
  <si>
    <t>A Study to Find and Confirm the Dose and Assess Safety, Reactogenicity and Immune Response of a Vaccine Against Pandemic H5N1 Influenza Virus in Healthy Younger and Older Adults</t>
  </si>
  <si>
    <t>NCT06589609</t>
  </si>
  <si>
    <t>Phase 1 Clinical Trial of FluBHPVE6E7 Immunotherapy for HPV16-Associated Oropharyngeal Cancer</t>
  </si>
  <si>
    <t>NCT05868499</t>
  </si>
  <si>
    <t>Rollover Study From EXG-US-01</t>
  </si>
  <si>
    <t>NCT06879132</t>
  </si>
  <si>
    <t>A Study to Evaluate the Pharmacokinetics and Safety of BR3409 and Co-administration of BR3409-1 and BR3409-2 in Healthy Volunteers Under Fed Conditions</t>
  </si>
  <si>
    <t>NCT06491914</t>
  </si>
  <si>
    <t>A Phase 3b, Single-Arm Study of Aflibercept 8 mg Dosed Every 4 Weeks in Adult Participants With Neovascular Age-Related Macular Degeneration (nAMD) or Diabetic Macular Edema (DME)</t>
  </si>
  <si>
    <t>NCT06088654</t>
  </si>
  <si>
    <t>Phase1/2 Study of IPH6501 in Patients With Relapsed /Refractory B-Cell Non-Hodgkin Lymphoma</t>
  </si>
  <si>
    <t>NCT06918366</t>
  </si>
  <si>
    <t>A Study to Evaluate the Safety, Tolerability and Pharmacokinetics of Inhaled XQ-001 in Healthy Subjects</t>
  </si>
  <si>
    <t>Brilliant Inspiration Biotherapeutics</t>
  </si>
  <si>
    <t>NCT06336356</t>
  </si>
  <si>
    <t>A Study to Evaluate Cortisol Reserve in Response to Adrenocorticotropic Hormone (ACTH) Stimulation Test Following Baxdrostat Treatment Compared to Placebo in Participants With Uncontrolled Hypertension</t>
  </si>
  <si>
    <t>NCT06234605</t>
  </si>
  <si>
    <t>A Study of HC-7366 in Combination With Belzutifan (WELIREG™) in Patients With Renal Cell Carcinoma</t>
  </si>
  <si>
    <t>NCT06470763</t>
  </si>
  <si>
    <t>A Study Evaluating ANV600 Single Agent or in Combination With Pembrolizumab in Participants With Advanced Solid Tumors (EXPAND-1)</t>
  </si>
  <si>
    <t>NCT06389006</t>
  </si>
  <si>
    <t>To Evaluate the Efficacy and Safety of Disitamab Vedotin Combined With Toripalimab Sequential Chemotherapy as Neoadjuvant Treatment in Patients With HR-positive, HER2-low Breast Cancer</t>
  </si>
  <si>
    <t>NCT06645704</t>
  </si>
  <si>
    <t>An Open-Label Phase 1 Study in Healthy Male Subjects to Investigate the Absorption, Metabolism and Excretion of [14C]-EP262 Following Single-Dose Oral Administration</t>
  </si>
  <si>
    <t>NCT07235033</t>
  </si>
  <si>
    <t>Platform Study to Evaluate the Efficacy and Safety of Anti-malarial Agents in Participants With Uncomplicated Plasmodium Falciparum Malaria (Cohort B2)</t>
  </si>
  <si>
    <t>NCT04677777</t>
  </si>
  <si>
    <t>Safety Study of PP-007 in Subjects With Acute Ischemic Stroke</t>
  </si>
  <si>
    <t>Prolong Pharmaceuticals</t>
  </si>
  <si>
    <t>NCT06513312</t>
  </si>
  <si>
    <t>Study of Lenacapavir Taken Twice a Year for HIV Pre-Exposure Prophylaxis (PrEP)</t>
  </si>
  <si>
    <t>NCT06267092</t>
  </si>
  <si>
    <t>A Study of How CagriSema Works on Appetite in People With Excess Body Weight</t>
  </si>
  <si>
    <t>NCT06677957</t>
  </si>
  <si>
    <t>A Clinical Trial to Investigate the Clinical Drug-Drug Interaction of Divarasib With Probe Substrates of P-Glycoprotein and Breast Cancer Resistance Protein in Healthy Participants</t>
  </si>
  <si>
    <t>NCT06976372</t>
  </si>
  <si>
    <t>A Study to Evaluate AMG 133 Administered Subcutaneously in Participants With Overweight or Obesity</t>
  </si>
  <si>
    <t>NCT06162572</t>
  </si>
  <si>
    <t>Phase 1b/2 Platform Study of Select Immunotherapy Combinations in Participants With Advanced Non-small Cell Lung Cancer (NSCLC)</t>
  </si>
  <si>
    <t>NCT06603142</t>
  </si>
  <si>
    <t>Phase II/III Study of AR882 Capsules Compared to Febuxostat Tablets in Patients with Primary Gout and Hyperuricemia</t>
  </si>
  <si>
    <t>Guangzhou Ruianbo Pharmaceutical Technology Co., Ltd</t>
  </si>
  <si>
    <t>NCT06268145</t>
  </si>
  <si>
    <t>ECC5004 RBA FE Study in Healthy Participants</t>
  </si>
  <si>
    <t>NCT06686472</t>
  </si>
  <si>
    <t>Evaluation of TL-925 for the Treatment of Allergic Conjunctivitis</t>
  </si>
  <si>
    <t>NCT06128837</t>
  </si>
  <si>
    <t>Study of LY01610 in Patients With Recurrent Small Cell Lung Cancer</t>
  </si>
  <si>
    <t>NCT06970639</t>
  </si>
  <si>
    <t>A Study Evaluating Furmonertinib Plus Platinum-based Doublet Chemotherapy Versus Osimertinib in Patients With Epidermal Growth Factor Receptor (EGFR) Sensitizing Mutation-Positive Non-squamous Non-Small Cell Lung Cancer (NSCLC) and Brain Metastases</t>
  </si>
  <si>
    <t>NCT06266299</t>
  </si>
  <si>
    <t>A Study of KK2269 in Adult Participants With Solid Tumors</t>
  </si>
  <si>
    <t>NCT06299098</t>
  </si>
  <si>
    <t>A Study to Test if Trevogrumab or Trevogrumab With Garetosmab When Taken With Semaglutide is Safe and How Well They Work in Adult Patients With Obesity for Weight Loss, Fat Loss, and Lean Mass Preservation</t>
  </si>
  <si>
    <t>NCT06611033</t>
  </si>
  <si>
    <t>A Study of V118 Formulation C (V118C) in Healthy Participants (V118C-001)</t>
  </si>
  <si>
    <t>NCT03902067</t>
  </si>
  <si>
    <t>UC-MSC Transplantation for Left Ventricular Dysfunction After AMI</t>
  </si>
  <si>
    <t>NCT06509906</t>
  </si>
  <si>
    <t>M9466 in Combination With Topoisomerase 1 Inhibitors-based Regimens in Advanced Solid Tumors and Colorectal Cancer (DDRiver 511)</t>
  </si>
  <si>
    <t>NCT06194864</t>
  </si>
  <si>
    <t>Drug Interaction Study</t>
  </si>
  <si>
    <t>NCT06206564</t>
  </si>
  <si>
    <t>Artesunate Ointment for the Treatment of Anal HSIL in HIV-negative Participants</t>
  </si>
  <si>
    <t>NCT06548906</t>
  </si>
  <si>
    <t>A Study of GZR4 Injection at Different Injection Sites</t>
  </si>
  <si>
    <t>NCT05645887</t>
  </si>
  <si>
    <t>Human Albumin Treatment in Adult Septic Shock. A Study Evaluating Immune Response and Organ Failure.</t>
  </si>
  <si>
    <t>Albimmune SL</t>
  </si>
  <si>
    <t>NCT06216444</t>
  </si>
  <si>
    <t>A Study of Remimazolam Tosilate for Sedation in Non-intubated Diagnostic and Therapeutic Procedures</t>
  </si>
  <si>
    <t>NCT06466187</t>
  </si>
  <si>
    <t>A Study of SGN-MesoC2 in Advanced Solid Tumors</t>
  </si>
  <si>
    <t>NCT06312787</t>
  </si>
  <si>
    <t>A Study to Evaluate the Relative Bioavailability and Food Effect of a VX-118 Tablet Formulation</t>
  </si>
  <si>
    <t>NCT06577428</t>
  </si>
  <si>
    <t>A Study of RAY1225 at Different Injection Sites in Participants With Different Body Sizes</t>
  </si>
  <si>
    <t>NCT06326671</t>
  </si>
  <si>
    <t>A Trial to Assess the Bioequivalence of Generic Tiotropium Bromide Inhalation Powder and Reference Product in Healthy Adult Participants Under Fasting Conditions (Pilot)</t>
  </si>
  <si>
    <t>NCT07337044</t>
  </si>
  <si>
    <t>Evaluate the Safety, Tolerability, and Pharmacokinetics in Healthy Adult Subjects After Subcutaneous Injection of TISA-818-Inj</t>
  </si>
  <si>
    <t>NCT06185764</t>
  </si>
  <si>
    <t>A Phase 1/2 Study of VX-670 in Adult Participants With Myotonic Dystrophy 1 (DM1)</t>
  </si>
  <si>
    <t>NCT06459687</t>
  </si>
  <si>
    <t>Phase III Study of Socazolimab as First-Line Treatment in Persistent, Recurrent, or Metastatic Cervical Cancer</t>
  </si>
  <si>
    <t>NCT06428500</t>
  </si>
  <si>
    <t>QTX3046 in Patients With KRAS G12D Mutations</t>
  </si>
  <si>
    <t>NCT06386211</t>
  </si>
  <si>
    <t>Bioavailability Study of Magne-B6 New Formulation</t>
  </si>
  <si>
    <t>NCT06423911</t>
  </si>
  <si>
    <t>Study of Olverembatinib (HQP1351) in Patients With CP-CML</t>
  </si>
  <si>
    <t>NCT06515314</t>
  </si>
  <si>
    <t>HRYZ-T102 TCR-T Cell for AFP Positive Advanced HCC and Other Solid Tumors</t>
  </si>
  <si>
    <t>Shanghai Ruiliyuan Biotechnology Co., Ltd.</t>
  </si>
  <si>
    <t>NCT06240728</t>
  </si>
  <si>
    <t>A Study of NPX887 for Participants With Solid Tumors Known to Express B7-H7/HHLA2</t>
  </si>
  <si>
    <t>NCT05872867</t>
  </si>
  <si>
    <t>Study of WM-A1-3389 in Participants With Advanced or Metastatic Solid Tumors and Non-Small Cell Lung Cancer (MK-3475-E90/KEYNOTE-E90)</t>
  </si>
  <si>
    <t>NCT06828055</t>
  </si>
  <si>
    <t>VK2735 for Weight Management Phase 2 (Venture Oral Dosing)</t>
  </si>
  <si>
    <t>NCT06608355</t>
  </si>
  <si>
    <t>The Safety, Tolerability and Preliminary Efficacy of NouvNeu001 for Early-onset Parkinson's Disease</t>
  </si>
  <si>
    <t>NCT06617715</t>
  </si>
  <si>
    <t>Clinical Trial of 13-Valent Pneumococcal Conjugate Vaccine</t>
  </si>
  <si>
    <t>NCT06344026</t>
  </si>
  <si>
    <t>Phase 1/2a Study of ANPD001 in Parkinson Disease</t>
  </si>
  <si>
    <t>Aspen Neuroscience</t>
  </si>
  <si>
    <t>NCT06280768</t>
  </si>
  <si>
    <t>Study on the Safety and Tolerability, Pharmacokinetics and Pharmacodynamics of SHR-2004 Injection in Adult Patients With Atrial Fibrillation</t>
  </si>
  <si>
    <t>NCT06553547</t>
  </si>
  <si>
    <t>4-Week, Multi-center Dose-Ranging Study for the IBS-C in Pts. 6 to &lt;12 Yrs</t>
  </si>
  <si>
    <t>NCT06370715</t>
  </si>
  <si>
    <t>A Study of LY900014 in Adult Participants With Type 2 Diabetes Mellitus in India</t>
  </si>
  <si>
    <t>NCT06394232</t>
  </si>
  <si>
    <t>Safety &amp; Efficacy of Eyecyte-RPE™ in Patients With Geographic Atrophy Secondary to Dry Age-related Macular Degeneration.</t>
  </si>
  <si>
    <t>Eyestem Research Pvt. Ltd.</t>
  </si>
  <si>
    <t>NCT06334393</t>
  </si>
  <si>
    <t>Phase 1 Trial to Assess the Safety and Immunogenicity of an Inactivated, Adjuvanted Whole Zika Virus Vaccine Candidate (VLA1601) in Healthy Adults</t>
  </si>
  <si>
    <t>NCT06751121</t>
  </si>
  <si>
    <t>Study to Evaluate the Efficacy and Safety of DWP14012-based Triple Therapy in Eradication of Helicobacter Pylori</t>
  </si>
  <si>
    <t>NCT06651021</t>
  </si>
  <si>
    <t>A Phase I PK Study of Balcinrenone/Dapagliflozin in Healthy Chinese Participants</t>
  </si>
  <si>
    <t>NCT06680921</t>
  </si>
  <si>
    <t>A Study of SIM0270 Combined With Everolimus vs. Treatment of Physician's Choice in Patients With ER+/HER2- Advanced Breast Cancer (SIMRISE)</t>
  </si>
  <si>
    <t>NCT06916884</t>
  </si>
  <si>
    <t>Confirmatory Study on the Efficacy and Safety of the Fixed-dose Combination of Desloratadine/Betamethasone Versus Desloratadine</t>
  </si>
  <si>
    <t>NCT06157255</t>
  </si>
  <si>
    <t>An ADME Study of [14C]AZD4604 and the Absolute Bioavailability of AZD4604</t>
  </si>
  <si>
    <t>NCT06447025</t>
  </si>
  <si>
    <t>An Open-Label Study of CTI-1601 in Subjects With Friedreich's Ataxia</t>
  </si>
  <si>
    <t>NCT06593587</t>
  </si>
  <si>
    <t>A Study to Assess the Safety, Tolerability, and Immunogenicity of RSVpreF in Older Adults in Korea</t>
  </si>
  <si>
    <t>NCT06346184</t>
  </si>
  <si>
    <t>A Study to Evaluate the Pharmacokinetics and Safety Between HCP2303 and Co-administration of Each Component in Healthy Volunteers</t>
  </si>
  <si>
    <t>NCT06577116</t>
  </si>
  <si>
    <t>Open-Label Extension Study for Subjects With H1 Antihistamine Refractory Chronic Spontaneous Urticaria Completing Study AK006-001</t>
  </si>
  <si>
    <t>NCT06656416</t>
  </si>
  <si>
    <t>ALTO-100 in Bipolar Disorder With Depression (BD-D)</t>
  </si>
  <si>
    <t>NCT06472076</t>
  </si>
  <si>
    <t>A Study of Belrestotug Plus Dostarlimab Compared With Placebo Plus Pembrolizumab in Previously Untreated Participants With Programmed Death Ligand 1 (PD-L1) High Non-small-cell Lung Cancer (NSCLC)</t>
  </si>
  <si>
    <t>NCT06470438</t>
  </si>
  <si>
    <t>A Study of JNJ-88998377 for Relapsed/Refractory B-cell Non-Hodgkin's Lymphoma</t>
  </si>
  <si>
    <t>NCT06665555</t>
  </si>
  <si>
    <t>Plasma and Intrapulmonary Pharmacokinetics of Ceftibuten and Ledaborbactam in Healthy Male and Female Participants 18 to ≤55 Years of Age</t>
  </si>
  <si>
    <t>NCT06237426</t>
  </si>
  <si>
    <t>An Evaluation of the Long-term Efficacy and Safety of Methylone for the Treatment of PTSD</t>
  </si>
  <si>
    <t>NCT05795140</t>
  </si>
  <si>
    <t>Evaluate Long-term Safety, Tolerability and Efficacy of Iptacopan in Study Participants With aHUS</t>
  </si>
  <si>
    <t>NCT06457204</t>
  </si>
  <si>
    <t>A Study in Healthy People to Compare Two Different Sifrol® Tablets</t>
  </si>
  <si>
    <t>NCT06714825</t>
  </si>
  <si>
    <t>Study of HS235 for Assessing the Pharmacokinetics, Safety, and Pharmacodynamics in Overweight/Obese Healthy Subjects</t>
  </si>
  <si>
    <t>35Pharma Inc</t>
  </si>
  <si>
    <t>NCT06547125</t>
  </si>
  <si>
    <t>A Study to Assess Adverse Events and Effectiveness of Intradermally Injected JUVÉDERM® VOLITE™ Gel Filler in Adult Participants For the Improvement of Skin Quality</t>
  </si>
  <si>
    <t>NCT06214052</t>
  </si>
  <si>
    <t>VH4524184 Proof-of-Concept in Treatment-Naïve Adults Living With HIV-1</t>
  </si>
  <si>
    <t>NCT06577415</t>
  </si>
  <si>
    <t>A Study of RAY1225 in Participants With Impaired Liver Function</t>
  </si>
  <si>
    <t>NCT05999968</t>
  </si>
  <si>
    <t>Abemaciclib Plus Darolutamide in Prostate Cancer That Has Spread After Initial Treatment</t>
  </si>
  <si>
    <t>NCT06589817</t>
  </si>
  <si>
    <t>A Double-Blind, Randomized Comparative Study of Carliprazine and Aripiprazole in Patients with Acute Schizophrenia</t>
  </si>
  <si>
    <t>NCT06804590</t>
  </si>
  <si>
    <t>A Study on Efficacy, Safety and Immunogenicity of 9MW0311 in Postmenopausal Women With Osteoporosis</t>
  </si>
  <si>
    <t>NCT07573449</t>
  </si>
  <si>
    <t>How [14C]-JNT-517 is Absorbed, Broken Down, and Removed From the Body After a Single Oral Dose in Healthy Male Participants</t>
  </si>
  <si>
    <t>NCT06311578</t>
  </si>
  <si>
    <t>A Study of JNJ-87704916, as Monotherapy and in Combination for Advanced Solid Tumors</t>
  </si>
  <si>
    <t>NCT06150885</t>
  </si>
  <si>
    <t>A Safety and Efficacy Study of Allogeneic CAR Gamma-Delta T Cells in Subjects with Relapsed/Refractory Solid Tumors</t>
  </si>
  <si>
    <t>NCT06273540</t>
  </si>
  <si>
    <t>Phase1, STP7 Cocaine Drug-Drug Interaction Study</t>
  </si>
  <si>
    <t>NCT06670950</t>
  </si>
  <si>
    <t>A Phase 1 Single Dose and Multiple Ascending Dose Study to Assess the Relative Bioavailability, Food Effect, Safety, Tolerability and Pharmacokinetics of SYT-510 in Healthy Participants</t>
  </si>
  <si>
    <t>Synendos Therapeutics AG</t>
  </si>
  <si>
    <t>NCT06272058</t>
  </si>
  <si>
    <t>A Study to Test How Avenciguat (BI 685509) is Taken up in the Body of People With and Without Liver Problems</t>
  </si>
  <si>
    <t>NCT06332755</t>
  </si>
  <si>
    <t>Study to Evaluate LB-LR1109, Administered Alone for the Treatment of Solid Tumor and in Combination With Atezolizumab for the Treatment of NSCLC</t>
  </si>
  <si>
    <t>NCT06691984</t>
  </si>
  <si>
    <t>Phase 3 Study of Xaluritamig vs Cabazitaxel or Second Androgen Receptor-Directed Therapy in Participants With Progressive Metastatic Castration-Resistant Prostate Cancer (XALute)</t>
  </si>
  <si>
    <t>NCT06600425</t>
  </si>
  <si>
    <t>A Study to Assess the Safety, Tolerability, Ciliary Rescue, and Pharmacodynamics of RCT1100 in Adults With PCD</t>
  </si>
  <si>
    <t>NCT06312176</t>
  </si>
  <si>
    <t>A Study of Sacituzumab Tirumotecan (MK-2870) as a Single Agent and in Combination With Pembrolizumab (MK-3475) Versus Treatment of Physician's Choice in Participants With HR+/HER2- Unresectable Locally Advanced or Metastatic Breast Cancer (MK-2870-010)</t>
  </si>
  <si>
    <t>NCT06091748</t>
  </si>
  <si>
    <t>Gallium (68Ga) Edotreotide PET/CT for Imaging Patients With Gastrointestinal Pancreatic Neuroendocrine Tumors</t>
  </si>
  <si>
    <t>NCT06694389</t>
  </si>
  <si>
    <t>Study to Investigate the Immunogenicity, Reactogenicity, and Safety of mRNA-1083 Vaccine (SARS-CoV-2 [COVID-19] and Influenza) in Adults ≥50 Years of Age</t>
  </si>
  <si>
    <t>NCT06427668</t>
  </si>
  <si>
    <t>Study of SPG302 in Adult Participants With Mild-to-Moderate Alzheimer's Disease (AD)</t>
  </si>
  <si>
    <t>NCT05330182</t>
  </si>
  <si>
    <t>LMN-201 for Prevention of C. Difficile Infection Recurrence</t>
  </si>
  <si>
    <t>NCT06512584</t>
  </si>
  <si>
    <t>Efficacy and Safety of PJ009 in Patients With Short Bowel Syndrome Requiring Parenteral Nutrition</t>
  </si>
  <si>
    <t>NCT05999747</t>
  </si>
  <si>
    <t>A Study to Find Out if ASP5354 Can Clearly Help Show the Ureter During Surgery in People With or Without Kidney Disease</t>
  </si>
  <si>
    <t>NCT06685185</t>
  </si>
  <si>
    <t>A Research Study of a New Medicine NNC0363-1063 in Healthy Participants and Participants With Type 1 Diabetes</t>
  </si>
  <si>
    <t>NCT06555068</t>
  </si>
  <si>
    <t>A Trial of HRS-6209 in Combination With Fulvestrant, Letrozole, HRS-8080, or HRS-1358 in Breast Cancer Patients</t>
  </si>
  <si>
    <t>NCT06552182</t>
  </si>
  <si>
    <t>Phase 1 Study in Diabetes Mellitus(Fasting)</t>
  </si>
  <si>
    <t>NCT06046742</t>
  </si>
  <si>
    <t>A Study of Intravenous M1-c6v1 for Locally Advanced or Metastatic Solid Tumors</t>
  </si>
  <si>
    <t>NCT06772168</t>
  </si>
  <si>
    <t>Evaluate the Efficacy and Safety of CMG190303 in Patients With Type 2 Diabetes and Dyslipidemia</t>
  </si>
  <si>
    <t>CMG Pharmaceutical Co. Ltd</t>
  </si>
  <si>
    <t>NCT06372574</t>
  </si>
  <si>
    <t>A Study of RO7617991 in Patients With Locally Advanced or Metastatic MAGE-A4-Positive Solid Tumors</t>
  </si>
  <si>
    <t>NCT06622486</t>
  </si>
  <si>
    <t>First-in-human Trial of EGL-001 in Patients with Selected Advanced And/or Metastatic Solid Tumors</t>
  </si>
  <si>
    <t>Egle Therapeutics</t>
  </si>
  <si>
    <t>NCT06462586</t>
  </si>
  <si>
    <t>Study of Lumateperone in the Acute Treatment of Patients With Bipolar Mania</t>
  </si>
  <si>
    <t>NCT06412666</t>
  </si>
  <si>
    <t>A Study to Evaluate the Effect of Aficamten in Pediatric Patients With Symptomatic Obstructive Hypertrophic Cardiomyopathy (oHCM).</t>
  </si>
  <si>
    <t>NCT06327256</t>
  </si>
  <si>
    <t>A Study in Healthy People to Test How Well Different Doses of BI 3000202 Are Tolerated and How They Affect the Way the Body Handles Midazolam</t>
  </si>
  <si>
    <t>NCT06254261</t>
  </si>
  <si>
    <t>A Study of RAY1225 in Participants With Obesity</t>
  </si>
  <si>
    <t>NCT06414005</t>
  </si>
  <si>
    <t>A Phase 2b/3 Study of TPX-115 on Partial-thickness Rotator Cuff Tear</t>
  </si>
  <si>
    <t>NCT06423794</t>
  </si>
  <si>
    <t>BHV-7000 Open-Label Extension Bipolar Mania Study</t>
  </si>
  <si>
    <t>NCT06553924</t>
  </si>
  <si>
    <t>Macitentan and Tadalafil Film-coated Tablets 10 mg/40 mg and 'PrOpsynvi®' Macitentan and Tadalafil Film-coated Tablets 10 mg/40 mg</t>
  </si>
  <si>
    <t>NCT06093503</t>
  </si>
  <si>
    <t>Study of Intravenous Telisotuzumab Vedotin in Combination Osimertinib or Standard of Care Chemotherapy to Assess Change in Disease Activity in Adult Participants With Non-Small Cell Lung Cancer That Has a Mutation in the Epidermal Growth Factor Receptor Gene and That Overexpresses the c-Met Protein</t>
  </si>
  <si>
    <t>NCT06053242</t>
  </si>
  <si>
    <t>Safety, Tolerability, and Effectiveness of Intramuscular Injection of CELZ-201-DDT for the Treatment of Chronic Lower Back Pain</t>
  </si>
  <si>
    <t>NCT06410924</t>
  </si>
  <si>
    <t>A Study to Evaluate DD01 in Overweight/Obese Subjects With MASLD/MASH</t>
  </si>
  <si>
    <t>NCT06504394</t>
  </si>
  <si>
    <t>A Study to Evaluate the Safety and Efficacy of Pembrolizumab (MK-3475) Coformulated With Berahyaluronidase Alfa (MK-3475A) in Participants With Relapsed or Refractory Classical Hodgkin Lymphoma (rrcHL) or Relapsed or Refractory Primary Mediastinal Large B-cell Lymphoma (rrPMBCL)(MK-3475A-F65)</t>
  </si>
  <si>
    <t>NCT06745973</t>
  </si>
  <si>
    <t>An Exploratory Clinical Study Evaluating EPI-003 Injection for the Treatment of Chronic Hepatitis B</t>
  </si>
  <si>
    <t>NCT06758583</t>
  </si>
  <si>
    <t>A Trial Comparing Pharmacokinetics, Safety and Tolerability of Two Subcutaneous Concentrations of Dapiglutide</t>
  </si>
  <si>
    <t>NCT06492941</t>
  </si>
  <si>
    <t>A Study of Docetaxel for Injection (Albumin Bound) in Patients With Advanced Pancreatic Cancer</t>
  </si>
  <si>
    <t>NCT06291376</t>
  </si>
  <si>
    <t>Study of Ravulizumab in Immunoglobulin A Nephropathy (IgAN)</t>
  </si>
  <si>
    <t>NCT06284876</t>
  </si>
  <si>
    <t>Study to Evaluate the Efficacy and Safety of Ilaprazole 10 mg in Prevention NSAIDs Associated Peptic Ulcer</t>
  </si>
  <si>
    <t>NCT06522997</t>
  </si>
  <si>
    <t>A Study to Learn About How Well BAY3283142 Works and Its Safety in Participants With Chronic Kidney Disease</t>
  </si>
  <si>
    <t>NCT06410859</t>
  </si>
  <si>
    <t>Botulinum Toxin Type A for Injection (HengLi®) in the Treatment of Trigeminal Neuralgia</t>
  </si>
  <si>
    <t>LKGS_277</t>
  </si>
  <si>
    <t>NCT06360250</t>
  </si>
  <si>
    <t>Safety, Tolerability, Pharmacokinetics, Pharmacodynamics, and Immunogenicity of the Fully Human Anti-tetanus Toxin Monoclonal Antibody A82 / B86 Injection Combination Formulation</t>
  </si>
  <si>
    <t>NCT06447597</t>
  </si>
  <si>
    <t>A Clinical Study of B007 in the Treatment of Generalized Myasthenia Gravis.</t>
  </si>
  <si>
    <t>NCT06294262</t>
  </si>
  <si>
    <t>Safety, Tolerability, Immunogenicity and Immunological Mechanisms of TETRALITE, a Novel Seasonal Influenza Vaccine</t>
  </si>
  <si>
    <t>NCT07064525</t>
  </si>
  <si>
    <t>Evaluate the Efficacy and Safety of SPC1001 Low in Patients With Essential Hypertension</t>
  </si>
  <si>
    <t>NCT06540391</t>
  </si>
  <si>
    <t>A Phase 1b Trial to Evaluate Safety of MB097 in Combination With Pembrolizumab in Melanoma Patients</t>
  </si>
  <si>
    <t>NCT05474859</t>
  </si>
  <si>
    <t>Subjects With Advanced or Metastatic Solid Tumor Malignancies</t>
  </si>
  <si>
    <t>Xenthera, Inc.</t>
  </si>
  <si>
    <t>NCT07234162</t>
  </si>
  <si>
    <t>A Phase 3 Multinational Study of Golidocitinib Versus Investigator's Choice in r/r PTCL (JACKPOT19)</t>
  </si>
  <si>
    <t>NCT06706674</t>
  </si>
  <si>
    <t>Multicenter Study of Lumateperone for the Treatment of Irritability Associated With Autism Spectrum Disorder (ASD) in Pediatric Patients</t>
  </si>
  <si>
    <t>NCT04967690</t>
  </si>
  <si>
    <t>A Dose Escalation Study to Estimate MTD, DLTs and Pharmacokinetics After a Single Intracranial Dose of SI-053 as an add-on to the Current Standard of Care, in Adult Patients With Newly Diagnosed GBM</t>
  </si>
  <si>
    <t>Double Bond Pharmaceutical AB</t>
  </si>
  <si>
    <t>NCT06422923</t>
  </si>
  <si>
    <t>A Phase 1/2 Study of NRTX-1001 Neuronal Cell Therapy in Drug-Resistant Bilateral Mesial Temporal Lobe Epilepsy (MTLE)</t>
  </si>
  <si>
    <t>NCT06198426</t>
  </si>
  <si>
    <t>A Study of IBI3004 in Subjects With Unresectable, Locally Advanced or Metastatic Solid Tumors</t>
  </si>
  <si>
    <t>NCT06817577</t>
  </si>
  <si>
    <t>NG004 in Spinal Cord Injury Patients</t>
  </si>
  <si>
    <t>NovaGo Therapeutics AG</t>
  </si>
  <si>
    <t>NCT05827081</t>
  </si>
  <si>
    <t>Phase IIIb Study of Ribociclib + ET in Early Breast Cancer</t>
  </si>
  <si>
    <t>NCT06675565</t>
  </si>
  <si>
    <t>A Study to Evaluate ALN-AGT01 RVR in Adult Healthy Volunteers</t>
  </si>
  <si>
    <t>NCT06277492</t>
  </si>
  <si>
    <t>A First-In-Human Study of Single and Multiple Ascending Doses of Oral SUL-238 in Healthy Subjects</t>
  </si>
  <si>
    <t>NCT06402565</t>
  </si>
  <si>
    <t>NOX1416 in Treatment of Chronic Non-Healing Diabetic Foot Ulcers</t>
  </si>
  <si>
    <t>NCT06317311</t>
  </si>
  <si>
    <t>A Study of Dostarlimab in Combination With Carboplatin-paclitaxel in Japanese Participants With Primary Advanced or Recurrent Endometrial Cancer</t>
  </si>
  <si>
    <t>NCT06297486</t>
  </si>
  <si>
    <t>Study of a Gene Therapy Treatment for Hemophilia A</t>
  </si>
  <si>
    <t>NCT06624059</t>
  </si>
  <si>
    <t>A Study to See How Well and How Safely Different Treatments Work in a Group of Participants With Non-Small Cell Lung Cancer (NSCLC)</t>
  </si>
  <si>
    <t>NCT06597760</t>
  </si>
  <si>
    <t>A Clinical Study to Assess the Effect of Enlicitide on How the Body Processes Digoxin in Healthy Adult Participants (MK-0616-031)</t>
  </si>
  <si>
    <t>NCT06349759</t>
  </si>
  <si>
    <t>Safety and Efficacy of 0.75% Phentolamine Ophthalmic Solution in Subjects With Post-refractive Surgery Visual Disturbances</t>
  </si>
  <si>
    <t>NCT06535841</t>
  </si>
  <si>
    <t>A First-in-Human Safety Trial of MTX-474</t>
  </si>
  <si>
    <t>NCT06656897</t>
  </si>
  <si>
    <t>Preliminary Clinical Trial- FallScape-D</t>
  </si>
  <si>
    <t>Brookside Research &amp; Development Company</t>
  </si>
  <si>
    <t>NCT06627413</t>
  </si>
  <si>
    <t>Safety, Tolerability, and Pharmacokinetics of Lumateperone Long-Acting Injectable Formulations in Patients With Schizophrenia or Schizoaffective Disorder</t>
  </si>
  <si>
    <t>NCT06681441</t>
  </si>
  <si>
    <t>A 3-way Cross-over Study on the Effects of QRL-101 on Transcranial Magnetic Stimulation and Nerve Excitability in Healthy Participants</t>
  </si>
  <si>
    <t>NCT06932159</t>
  </si>
  <si>
    <t>Bioequivalence Study to Compare Empagliflozin + Linagliptin 25 mg/5 mg Film-coated Tablets Versus Glyxambi 25 mg/ 5 mg Film-coated Tablets</t>
  </si>
  <si>
    <t>NCT06283459</t>
  </si>
  <si>
    <t>Study to Evaluate the Safety &amp; Immunogenicity of IMNN-101 Administered in Healthy Adults Previously Vaccinated Against SARS-CoV-2</t>
  </si>
  <si>
    <t>NCT06327880</t>
  </si>
  <si>
    <t>A Study to Learn About the Study Medicine Called PF-07054894 in People of Japanese Origin</t>
  </si>
  <si>
    <t>NCT06223646</t>
  </si>
  <si>
    <t>A Study of KQ-2003 CAR-T Cell Therapy for Patients With Relapsed or Refractory Multiple Myeloma</t>
  </si>
  <si>
    <t>NCT06783569</t>
  </si>
  <si>
    <t>A First-in-Human Escalation and Expansion Study of Patients With Advanced Solid Tumors</t>
  </si>
  <si>
    <t>JiaRay Group</t>
  </si>
  <si>
    <t>NCT06278766</t>
  </si>
  <si>
    <t>A Study to Assess the Mass Balance of [14C] ABBV-552 in Healthy Male Participants Following Single Oral Dose Administration</t>
  </si>
  <si>
    <t>NCT06573294</t>
  </si>
  <si>
    <t>Trial to Assess the Safety and Antitumor Activity of GEN1057 in Malignant Solid Tumors</t>
  </si>
  <si>
    <t>NCT06448312</t>
  </si>
  <si>
    <t>A Study of SKB264 in Combination With Pembrolizumab Versus Pembrolizumab in Patients With Locally Advanced or Metastatic Non-Small Cell Lung Cancer</t>
  </si>
  <si>
    <t>NCT06533475</t>
  </si>
  <si>
    <t>A Study to Assess the Bioavailability of a New Tablet Formulation of Minzasolmin and the Effect of Food in Healthy Participants</t>
  </si>
  <si>
    <t>NCT06613763</t>
  </si>
  <si>
    <t>A Study of RAY1225 in Participants With Impaired Kidney Function</t>
  </si>
  <si>
    <t>NCT06512363</t>
  </si>
  <si>
    <t>A Study of Ramelteon in Chinese Patients With Chronic Insomnia</t>
  </si>
  <si>
    <t>NCT06524687</t>
  </si>
  <si>
    <t>A Study of Imvotamab in Active, Refractory Idiopathic Inflammatory Myopathies</t>
  </si>
  <si>
    <t>NCT06220864</t>
  </si>
  <si>
    <t>SNV1521 in Participants With Advanced Solid Tumors</t>
  </si>
  <si>
    <t>Synnovation Therapeutics, Inc.</t>
  </si>
  <si>
    <t>NCT06337032</t>
  </si>
  <si>
    <t>A Study to Provide Continued Access to Study Drug to Children and Adolescents Who Have Completed Clinical Studies Involving Gilead HIV Treatments</t>
  </si>
  <si>
    <t>NCT06694298</t>
  </si>
  <si>
    <t>A Study of SYS6020 Injection in Refractory Active Systemic Lupus Erythematosus</t>
  </si>
  <si>
    <t>NCT05849298</t>
  </si>
  <si>
    <t>A Phase II Study of AAA617 Alone and AAA617 in Combination With ARPI in Patients With PSMA PET Scan Positive CRPC</t>
  </si>
  <si>
    <t>NCT06131398</t>
  </si>
  <si>
    <t>A Study of AMG 355 Alone and in Combination With Pembrolizumab in Participants With Advanced Solid Tumors</t>
  </si>
  <si>
    <t>NCT06468098</t>
  </si>
  <si>
    <t>A Study of IBI363 in Subjects With Advanced Malignancies</t>
  </si>
  <si>
    <t>NCT06541457</t>
  </si>
  <si>
    <t>A Study on Safety, Tolerability, Pharmacokinetics and Pharmacodynamics of HRS-7249 Injection in Healthy Subjects</t>
  </si>
  <si>
    <t>NCT06295809</t>
  </si>
  <si>
    <t>A Study of (Neo)Adjuvant Intismeran Autogene (V940) and Pembrolizumab in Cutaneous Squamous Cell Carcinoma (V940-007)</t>
  </si>
  <si>
    <t>NCT06671834</t>
  </si>
  <si>
    <t>A Study to Learn About the Study Medicine Called PF-07905428 in Healthy Participants and Participants With Acne Vulgaris</t>
  </si>
  <si>
    <t>NCT06384157</t>
  </si>
  <si>
    <t>Proof of Concept and Dose-ranging Study of INDV-2000 in Individuals With Moderate to Severe Opioid Use Disorder</t>
  </si>
  <si>
    <t>NCT06333509</t>
  </si>
  <si>
    <t>Anti-GPRC5D CAR-T Cells (CT071) in Participants With RRMM or RRpPCL</t>
  </si>
  <si>
    <t>NCT06658964</t>
  </si>
  <si>
    <t>Study to Evaluate the Drug-drug Interaction of JMKX003142 in Healthy Subjects</t>
  </si>
  <si>
    <t>NCT06541730</t>
  </si>
  <si>
    <t>A Study Evulating DA-302168S Tablets in Overweight/Obese Subjects</t>
  </si>
  <si>
    <t>NCT06298409</t>
  </si>
  <si>
    <t>Evaluating the Effect Of Rifaximin on the Gut Microbiota and Metabolome in SIBO Using CapScan®</t>
  </si>
  <si>
    <t>Envivo Bio Inc</t>
  </si>
  <si>
    <t>NCT06010901</t>
  </si>
  <si>
    <t>A Clinical Study of TQB2618 Injection Monotherapy and Combination Regimen (With Penpulimab Injection ±Anlotinib Hydrochloride Capsules) in the Four or Later Lines of Treatment of Advanced Colorectal Cancer.</t>
  </si>
  <si>
    <t>NCT06576401</t>
  </si>
  <si>
    <t>A Study To Characterize Mass Balance Of [14C] HDM1002 in Chinese Healthy Subjects</t>
  </si>
  <si>
    <t>NCT06816719</t>
  </si>
  <si>
    <t>To Evaluate the Safety and PK Characteristics in Healthy Volunteers-JW24107</t>
  </si>
  <si>
    <t>NCT06146101</t>
  </si>
  <si>
    <t>RePOSA-Revealing the Efficacy of IHL-42X Use in Patients With OSA</t>
  </si>
  <si>
    <t>NCT06687980</t>
  </si>
  <si>
    <t>A Study to Investigate Improvement in Pruritus of Lichen Simplex Chronicus With Dupilumab Injections Compared With Placebo in Male and Female Participants Aged at Least 18 Years (STYLE 2)</t>
  </si>
  <si>
    <t>NCT06362746</t>
  </si>
  <si>
    <t>Non-immunogenic Recombinant Staphylokinase vs Placebo in Patients With Intermediate High-risk Pulmonary Embolism</t>
  </si>
  <si>
    <t>NCT06657560</t>
  </si>
  <si>
    <t>Pharmacokinetics, Dialysability and Safety of HRS-9231 in Healthy Volunteers and in Patients With Impaired Renal Function</t>
  </si>
  <si>
    <t>NCT06329570</t>
  </si>
  <si>
    <t>Safety and Efficacy of Bevacizumab in Combination With NaviFUS System for the Treatment of Recurrent Glioblastoma Multiforme (rGBM)</t>
  </si>
  <si>
    <t>NCT06241742</t>
  </si>
  <si>
    <t>Evaluating Ability of HT-6184 to Reduce Inflammation and Pain After Third Molar Extraction</t>
  </si>
  <si>
    <t>NCT06561542</t>
  </si>
  <si>
    <t>A Phase I Study of LX22001 for Injection in Healthy Subjects</t>
  </si>
  <si>
    <t>NCT06465186</t>
  </si>
  <si>
    <t>A Clinical Study of Efinopegdutide in People With Compensated Cirrhosis Due to Steatohepatitis (MK-6024-017)</t>
  </si>
  <si>
    <t>NCT06525597</t>
  </si>
  <si>
    <t>Study of Stapokibart Injection in Patients With Allergic Rhinitis</t>
  </si>
  <si>
    <t>NCT06327997</t>
  </si>
  <si>
    <t>An Exploratory Study by Fast CAR T Cells</t>
  </si>
  <si>
    <t>NCT06798896</t>
  </si>
  <si>
    <t>RENAISSANCE 2: SPN-817 Phase 2, Double-Blind, Placebo-Controlled Study in Adults With Focal Onset Seizures</t>
  </si>
  <si>
    <t>NCT06004661</t>
  </si>
  <si>
    <t>Study of Lutetium (177Lu) Vipivotide Tetraxetan in mCRPC Participants With Moderately and Severely Impaired and With Normal Renal Function</t>
  </si>
  <si>
    <t>NCT06273774</t>
  </si>
  <si>
    <t>A Study of Elpipodect (MK-8189) in Participants With Bipolar I Disorder (MK-8189-020)</t>
  </si>
  <si>
    <t>NCT07192588</t>
  </si>
  <si>
    <t>A Study of GR1014 Cutaneous Gel for the Prevention of Skin Reactions Caused by Radiation Therapy for Breast Cancer</t>
  </si>
  <si>
    <t>Graegis Pharmaceuticals Ltd</t>
  </si>
  <si>
    <t>NCT06127368</t>
  </si>
  <si>
    <t>Dose-Escalation Study to Assess the Safety, Tolerability, and Pharmacokinetics From Single Dose of Intramuscular (IM) and Subcutaneous (SC) Donepezil (GB-5001) Injections Versus Donepezil Oral Tablet (Aricept®) in Healthy Male Volunteers</t>
  </si>
  <si>
    <t>NCT06097780</t>
  </si>
  <si>
    <t>Efficacy and Safety of NestaCell® in Huntington's Disease</t>
  </si>
  <si>
    <t>NCT06738836</t>
  </si>
  <si>
    <t>A Study to Evaluate the Absorption, Metabolism, And Excretion Of Orally Administered [14C]-EDG-7500</t>
  </si>
  <si>
    <t>NCT06648772</t>
  </si>
  <si>
    <t>Efficacy and Safety of Roflumilast Cream 0.3% in Subjects With Plaque Psoriasis: a Phase 3 Study</t>
  </si>
  <si>
    <t>NCT06781957</t>
  </si>
  <si>
    <t>Pharmacokinetics of FSH and hCG After a Single Subcutaneous Injection of Gonadotropins-IBSA</t>
  </si>
  <si>
    <t>NCT06477536</t>
  </si>
  <si>
    <t>Long-Term Safety and Efficacy of HB0034 in Subjects With Generalized Pustular Psoriasis</t>
  </si>
  <si>
    <t>NCT06511739</t>
  </si>
  <si>
    <t>A Study to Evaluate the Efficacy and Safety of SYHX1901 Tablet in Non-segmental Vitiligo Patients</t>
  </si>
  <si>
    <t>NCT06495944</t>
  </si>
  <si>
    <t>Impact of Itraconazole on the Pharmacokinetics and Safety of Dazucorilant in Healthy, Adult Participants</t>
  </si>
  <si>
    <t>NCT06431971</t>
  </si>
  <si>
    <t>Estimates of the Short-term Efficacy of Talineuren (TLN) and Placebo in Patients With Parkinson Disease</t>
  </si>
  <si>
    <t>NCT06343402</t>
  </si>
  <si>
    <t>Open-label Study of BBO-8520 in Adult Subjects With KRASG12C Non-small Cell Lung Cancer</t>
  </si>
  <si>
    <t>TheRas, Inc., d/b/a BBOT (BridgeBio Oncology Therapeutics)</t>
  </si>
  <si>
    <t>NCT06840119</t>
  </si>
  <si>
    <t>Phase 1/2 Study of IMC-R117C in Selected Advanced Cancers</t>
  </si>
  <si>
    <t>NCT06068465</t>
  </si>
  <si>
    <t>A Study of the Safety and Efficacy of Pimavanserin in Patients With Parkinson's Disease Psychosis</t>
  </si>
  <si>
    <t>NCT06601192</t>
  </si>
  <si>
    <t>A Study to Investigate the Effects of Zelicapavir (EDP-938) on QTc Interval in Healthy Adults</t>
  </si>
  <si>
    <t>NCT06550128</t>
  </si>
  <si>
    <t>Study to Evaluate the Efficacy and Safety of AHB-137 Injection in Participants With Chronic Hepatitis B (CHB).</t>
  </si>
  <si>
    <t>NCT06597500</t>
  </si>
  <si>
    <t>A Study to Evaluate the Effect of Itraconazole on the Concentration of GSK3923868 in the Blood in Healthy Participants</t>
  </si>
  <si>
    <t>NCT06361875</t>
  </si>
  <si>
    <t>A Study to Investigate the Safety and Immunogenicity of the Quadrivalent Influenza mRNA Vaccines in Adults Aged 18 Years and Above</t>
  </si>
  <si>
    <t>NCT04347967</t>
  </si>
  <si>
    <t>Mesenchymal Stem Cells for The Treatment of Acute Respiratory Distress Syndrome (ARDS)</t>
  </si>
  <si>
    <t>NCT06674265</t>
  </si>
  <si>
    <t>Safety and Efficacy of Systemic Allogenic NK Cells in R/R Neuroblastoma</t>
  </si>
  <si>
    <t>Marzieh Ebrahimi</t>
  </si>
  <si>
    <t>NCT06725381</t>
  </si>
  <si>
    <t>A Phase 1 Study of SKB571 in Subjects With Advanced Solid Tumors</t>
  </si>
  <si>
    <t>NCT06095128</t>
  </si>
  <si>
    <t>A Study of Vedolizumab With Tofacitinib in Adults With Ulcerative Colitis (UC)</t>
  </si>
  <si>
    <t>NCT06541665</t>
  </si>
  <si>
    <t>Phase I Study Evaluating Tolerability, Safety, Pharmacokinetics, and Efficacy of Combined ONO-4059 and R-MPV Therapy for PCNSL</t>
  </si>
  <si>
    <t>NCT05951777</t>
  </si>
  <si>
    <t>Autologous Adipose-Derived Mesenchymal Stem Cells for Chronic Traumatic Brain Injury</t>
  </si>
  <si>
    <t>NCT06536465</t>
  </si>
  <si>
    <t>The Clostridioides Difficile Trial of REC-3964</t>
  </si>
  <si>
    <t>NCT06695910</t>
  </si>
  <si>
    <t>Modulation of the Brain Fog Scale by Eicosapentaenoic Acid Monoglycerides (MAG-EPA).</t>
  </si>
  <si>
    <t>Samuel Fortin</t>
  </si>
  <si>
    <t>NCT06501196</t>
  </si>
  <si>
    <t>A Study of BH-30236 in Relapsed/ Refractory Acute Myelogenous Leukemia and Higher Risk Myelodysplastic Syndrome</t>
  </si>
  <si>
    <t>BlossomHill Therapeutics</t>
  </si>
  <si>
    <t>NCT06635824</t>
  </si>
  <si>
    <t>Trial to Evaluate Acasunlimab and Pembrolizumab Combination Superiority Over Standard of Care Docetaxel in Non-Small Cell Lung Cancer (ABBIL1TY NSCLC-06)</t>
  </si>
  <si>
    <t>NCT05893888</t>
  </si>
  <si>
    <t>A Study Evaluating the Safety and Efficacy of PRV111, PRV211, and PRV131 in Subjects With Oral and Lung Cancers</t>
  </si>
  <si>
    <t>Privo Technologies</t>
  </si>
  <si>
    <t>NCT06540066</t>
  </si>
  <si>
    <t>A Study of BGB-B3227 Alone and in Combination With Tislelizumab in Participants With Advanced or Metastatic Solid Tumors</t>
  </si>
  <si>
    <t>NCT06444451</t>
  </si>
  <si>
    <t>A Study to Evaluate the Efficacy and Safety of Subcutaneous Amlitelimab Monotherapy Compared With Placebo in Adult Participants With Severe Alopecia Areata</t>
  </si>
  <si>
    <t>NCT05911061</t>
  </si>
  <si>
    <t>A Phase Ⅲ Clinical Trial of Recombinant COVID-19 Trivalent (XBB+BA.5+Delta) Protein Vaccine (Sf9 Cell) in Booster Vaccination</t>
  </si>
  <si>
    <t>NCT06449703</t>
  </si>
  <si>
    <t>A Trial to Investigate the Single Dose Pharmacokinetics of Insulin Degludec/Liraglutide in Healthy Chinese Subjects</t>
  </si>
  <si>
    <t>NCT06498479</t>
  </si>
  <si>
    <t>ARTEMIS-008：HS-20093 Compared With Topotecan in Subjects With Relapsed Small Cell Lung Cancer</t>
  </si>
  <si>
    <t>NCT06683651</t>
  </si>
  <si>
    <t>A Study in Chinese Patients With Acquired Blepharoptosis</t>
  </si>
  <si>
    <t>NCT06336291</t>
  </si>
  <si>
    <t>A Study With L19TNF in Combination With Lomustine in Patients With Glioblastoma at Progression or Recurrence</t>
  </si>
  <si>
    <t>NCT05670379</t>
  </si>
  <si>
    <t>Assessment of Safety, Tolerability and Drug Levels of Exenatide Implant</t>
  </si>
  <si>
    <t>Vivani Medical, Inc</t>
  </si>
  <si>
    <t>NCT07007910</t>
  </si>
  <si>
    <t>Phase I Study of HSK46575 in Patients With Metastatic Castration-Resistant Prostate Cancer</t>
  </si>
  <si>
    <t>NCT06336018</t>
  </si>
  <si>
    <t>A Research Study on Etavopivat in Participants With and Without Liver Disease</t>
  </si>
  <si>
    <t>NCT06701110</t>
  </si>
  <si>
    <t>Pharmacokinetic Study of Sudapyridine（WX-081）in Healthy Chinese Subjects</t>
  </si>
  <si>
    <t>NCT06632613</t>
  </si>
  <si>
    <t>Efficacy and Safety of ENN0403 in Patients At High Risk for Acute Kidney Injury Following Elective Cardiac Surgery</t>
  </si>
  <si>
    <t>NCT06571591</t>
  </si>
  <si>
    <t>Efficacy and Safety of Pioglitazone Combination Therapy in Type 2 Diabetes Patients on a Background of Empagliflozin With Metformin</t>
  </si>
  <si>
    <t>NCT06592274</t>
  </si>
  <si>
    <t>A Phase 2 Study of HB0017 in Psoriasis Patients</t>
  </si>
  <si>
    <t>NCT06387420</t>
  </si>
  <si>
    <t>A Study of AK117 in Combination With Azactidine Plus Venetoclax in Patients With Acute Myeloid Leukemia</t>
  </si>
  <si>
    <t>NCT06578455</t>
  </si>
  <si>
    <t>A Pharmacokinetic Study to Compare CBD-NE to Epidyolex in Healthy Adult Volunteers Under Both Fed and Fasted Conditions</t>
  </si>
  <si>
    <t>NCT06302348</t>
  </si>
  <si>
    <t>A Study of Sepiapterin in Participants With Phenylketonuria (PKU)</t>
  </si>
  <si>
    <t>NCT05947955</t>
  </si>
  <si>
    <t>Rhu-pGSN for Acute Respiratory Distress Syndrome (ARDS)</t>
  </si>
  <si>
    <t>NCT06335355</t>
  </si>
  <si>
    <t>A Phase II/III Study of Adebrelimab in Combination With SHR-8068 and Chemotherapy in Advanced or Metastatic NSCLC Patients</t>
  </si>
  <si>
    <t>NCT05116761</t>
  </si>
  <si>
    <t>ExoFlo™ Infusion for Post-Acute COVID-19 and Chronic Post-COVID-19 Syndrome</t>
  </si>
  <si>
    <t>NCT06665256</t>
  </si>
  <si>
    <t>Phase 2 Study of Rapcabtagene Autoleucel in Myositis</t>
  </si>
  <si>
    <t>NCT06235086</t>
  </si>
  <si>
    <t>A Study of TG103 Injection Combined With Metformin in Treatment of Type 2 Diabetes Mellitus</t>
  </si>
  <si>
    <t>NCT06546670</t>
  </si>
  <si>
    <t>A Phase I/II Study of ITU512 in Healthy Participants and Patients With Sickle Cell Disease</t>
  </si>
  <si>
    <t>NCT06633783</t>
  </si>
  <si>
    <t>A Phase III Study Comparing the Weight Loss Effects of Semaglutide Injection and Wegovy®</t>
  </si>
  <si>
    <t>NCT06761586</t>
  </si>
  <si>
    <t>A Study of AUR104 in Patients With Relapsed/Refractory Lymphoid Malignancies (VIJAY-1)</t>
  </si>
  <si>
    <t>NCT06630169</t>
  </si>
  <si>
    <t>Study of Cryopreserved AURN001 in Subjects With Corneal Edema Secondary to Corneal Endothelial Dysfunction</t>
  </si>
  <si>
    <t>NCT06645314</t>
  </si>
  <si>
    <t>Study on the Safety and Efficacy of BST06 Injection in the Treatment of Advanced Hepatocellular Carcinoma</t>
  </si>
  <si>
    <t>NCT06716216</t>
  </si>
  <si>
    <t>A Study of BGM0504 in Participants with Type 2 Diabetes</t>
  </si>
  <si>
    <t>NCT06510816</t>
  </si>
  <si>
    <t>A Study Investigating the Efficacy and Safety of Intravitreal (IVT) Injections of Vonaprument (Formerly ANX007) in Participants With Dry Age-Related Macular Degeneration (AMD) With Geographic Atrophy (GA)</t>
  </si>
  <si>
    <t>NCT06345404</t>
  </si>
  <si>
    <t>Safety, Tolerability, and Preliminary Efficacy of Soquelitinib in Participants With Moderate to Severe AD</t>
  </si>
  <si>
    <t>NCT06122584</t>
  </si>
  <si>
    <t>Diagnostic Performance of [18F]PSMA-1007 PET/CT Imaging in Patients With Newly-Diagnosed Prostate Cancer</t>
  </si>
  <si>
    <t>NCT06220838</t>
  </si>
  <si>
    <t>Study SC-101 in Subjects With Advanced Malignancies</t>
  </si>
  <si>
    <t>NCT07057726</t>
  </si>
  <si>
    <t>A Study to Evaluate the Safety, Tolerability, and Pharmacokinetics of SSS39 Injection in Healthy Chinese Subjects</t>
  </si>
  <si>
    <t>NCT06271252</t>
  </si>
  <si>
    <t>A Study to Evaluate the Safety, PK/PD of (OriCAR-017) in Subjects With RR/MM - RIGEL Study</t>
  </si>
  <si>
    <t>NCT06652958</t>
  </si>
  <si>
    <t>A Study to Assess the Safety and Pharmacokinetics of a Human Monoclonal Antibody (VH4527079) in Healthy Adults and Persons With HIV</t>
  </si>
  <si>
    <t>NCT06224348</t>
  </si>
  <si>
    <t>A Study to Evaluate the Efficacy and Safety of Subcutaneous Amlitelimab in Participants Aged 12 Years and Older With Moderate-to-severe Atopic Dermatitis on Background Topical Corticosteroids</t>
  </si>
  <si>
    <t>NCT06672055</t>
  </si>
  <si>
    <t>A Study to Evaluate VXA-CoV2-3.3 COVID-19 Vaccine Against Currently Approved/Authorized mRNA COVID-19 Injectable Booster Vaccine in Adults Previously Immunized Against COVID-19 Infection</t>
  </si>
  <si>
    <t>NCT06688058</t>
  </si>
  <si>
    <t>A Trial to Evaluate Tolerability and Immunogenicity of V540D in Healthy Adults (V540D-004)</t>
  </si>
  <si>
    <t>NCT06692348</t>
  </si>
  <si>
    <t>A Study of Orforglipron (LY3502970) to Compare a Single Capsule and Multiple Capsules in Healthy Participants</t>
  </si>
  <si>
    <t>NCT06525298</t>
  </si>
  <si>
    <t>EIS-12656 as Single Agent and in Combination in Patients With Specified Solid Tumors</t>
  </si>
  <si>
    <t>Eisbach Bio GmbH</t>
  </si>
  <si>
    <t>NCT06485752</t>
  </si>
  <si>
    <t>Phase 3 Lot Consistency Study of Trivalent Hemagglutinin Nanoparticle Influenza Vaccine</t>
  </si>
  <si>
    <t>NCT06310824</t>
  </si>
  <si>
    <t>Single Dose, Three-arm Study to Compare the Pharmacokinetic Similarity of MAB-22 Versus Prolia®</t>
  </si>
  <si>
    <t>NCT06625320</t>
  </si>
  <si>
    <t>Phase 3 Study of Daraxonrasib (RMC-6236) in Patients With Previously Treated Metastatic Pancreatic Ductal Adenocarcinoma (PDAC)</t>
  </si>
  <si>
    <t>NCT06515613</t>
  </si>
  <si>
    <t>A Phase 1 Study of CTIM-76 in Patients With Recurring Ovarian Cancer and Other Advanced Solid Tumors</t>
  </si>
  <si>
    <t>NCT06072482</t>
  </si>
  <si>
    <t>A Study to Evaluate Avacopan in Participants With ANCA-associated Vasculitis</t>
  </si>
  <si>
    <t>NCT05546723</t>
  </si>
  <si>
    <t>LMY-920 for Treatment of Relapsed or Refractory Myeloma</t>
  </si>
  <si>
    <t>NCT06503679</t>
  </si>
  <si>
    <t>A Drug-drug Interaction Study Evaluating the Perpetrator Potential of LY4100511 (DC-853) on Midazolam, Repaglinide, Digoxin, Rosuvastatin in Healthy Participants</t>
  </si>
  <si>
    <t>NCT06679582</t>
  </si>
  <si>
    <t>Luveltamab Tazevibulin (STRO-002) in Infants and Children &lt; 12 Years of Age With Relapsed/Refractory CBFA2T3::GLIS2 AML</t>
  </si>
  <si>
    <t>NCT07047196</t>
  </si>
  <si>
    <t>Evaluating the Efficacy and Safety of Intra-articular Injection of HS-20116 in Patients With Knee Osteoarthritis</t>
  </si>
  <si>
    <t>NCT06267560</t>
  </si>
  <si>
    <t>Lp(a) Lowering Study of Pelacarsen (TQJ230) in US Black/African American and Hispanic Participants With Elevated Lp(a) and Established ASCVD</t>
  </si>
  <si>
    <t>NCT05037279</t>
  </si>
  <si>
    <t>Evaluating Safety and Efficacy of Verity-BCG in BCG-naïve Patients With Intermediate and High-risk Non-muscle Invasive Bladder (NMIBC)</t>
  </si>
  <si>
    <t>Verity Pharmaceuticals Inc.</t>
  </si>
  <si>
    <t>NCT06588296</t>
  </si>
  <si>
    <t>Ixekizumab Concomitantly Administered With Tirzepatide in Adults With Psoriatic Arthritis and Obesity or Overweight</t>
  </si>
  <si>
    <t>NCT07515209</t>
  </si>
  <si>
    <t>A Clinical Study of HH-006 in Untreated Chronic Hepatitis B Virus Infected Patients</t>
  </si>
  <si>
    <t>NCT05879432</t>
  </si>
  <si>
    <t>LSALT Peptide for Prevention or Attenuation of Acute Kidney Injury (AKI) in Patients Undergoing On-Pump Cardiac Surgery</t>
  </si>
  <si>
    <t>NCT06248099</t>
  </si>
  <si>
    <t>Nebivolol Tablets 5 mg Relative to Nebilet Tablets 5 mg</t>
  </si>
  <si>
    <t>NCT06425198</t>
  </si>
  <si>
    <t>Study to Assess Drug Levels and Safety of BMS-986278 in Healthy Participants and Participants With Different Degrees of Hepatic Impairment</t>
  </si>
  <si>
    <t>NCT06488521</t>
  </si>
  <si>
    <t>A Safety and Pharmacokinetics Study of Complarate (Tocilizumab Biosimilar Solution) and Actemra® in Healthy Volunteers</t>
  </si>
  <si>
    <t>NCT06376253</t>
  </si>
  <si>
    <t>A Phase I Study of [177Lu]Lu-EVS459 in Patients With Ovarian and Lung Cancers</t>
  </si>
  <si>
    <t>NCT06688292</t>
  </si>
  <si>
    <t>The Safety and Effectiveness of Taneasy and Actein in COPD Patients</t>
  </si>
  <si>
    <t>Bun Yao Biotechnology Co., Ltd</t>
  </si>
  <si>
    <t>NCT06597799</t>
  </si>
  <si>
    <t>First-in-human Study of MRT-6160 in Healthy Subjects</t>
  </si>
  <si>
    <t>NCT06671509</t>
  </si>
  <si>
    <t>Pharmacokinetics and Safety Study of YZJ-1139 in Subjects With Mild, Moderate and Normal Hepatic Impairment</t>
  </si>
  <si>
    <t>NCT06424444</t>
  </si>
  <si>
    <t>A Clinical Trial to Assess the Safety and Efficacy of Subjects With Dry Eye Disease</t>
  </si>
  <si>
    <t>NCT05986864</t>
  </si>
  <si>
    <t>Phase I/II Study of SKG0106 Intravitreal Injection in Patients With Neovascular Age-related Macular Degeneration (nAMD)</t>
  </si>
  <si>
    <t>Skyline Therapeutics (US) Inc.</t>
  </si>
  <si>
    <t>NCT06547151</t>
  </si>
  <si>
    <t>Evaluating the Safety and Efficacy of AMOR-1 as a Treatment for Hypocalcemia Associated With Hypoparathyroidism in Adults</t>
  </si>
  <si>
    <t>NCT06729853</t>
  </si>
  <si>
    <t>PK and Safety Evaluation Study of SAP-001 in Adult Subjects With Normal and Impaired Renal Function</t>
  </si>
  <si>
    <t>NCT06089330</t>
  </si>
  <si>
    <t>A Study of JMT101 in Patients With Metastatic Colorectal Cancer</t>
  </si>
  <si>
    <t>NCT06643728</t>
  </si>
  <si>
    <t>A Study to Investigate Weight Management With Bimagrumab (LY3985863) and Tirzepatide (LY3298176), Alone or in Combination, in Adults With Obesity or Overweight</t>
  </si>
  <si>
    <t>NCT06331156</t>
  </si>
  <si>
    <t>A Study on the Immune Response and Safety of Inactivated Poliovirus Vaccine (IPV) When Co-administered With Human Rotavirus (HRV) Porcine Circovirus (PCV)-Free Vaccine in Healthy Chinese Infants</t>
  </si>
  <si>
    <t>NCT06602739</t>
  </si>
  <si>
    <t>A Study to Demonstrate the Effect of REGN5713-5715 on Reducing Ocular Allergy Signs and Symptoms in Adult Participants With Birch Pollen Allergy</t>
  </si>
  <si>
    <t>NCT06522828</t>
  </si>
  <si>
    <t>A Study to Evaluate SSGJ-707 in Advanced Gynecologic Cancer Patients</t>
  </si>
  <si>
    <t>NCT06290128</t>
  </si>
  <si>
    <t>A Study to Test the Effects and Safety of Riliprubart in People With Chronic Inflammatory Demyelinating Polyneuropathy (CIDP) for Which the Usual Treatments do Not Work</t>
  </si>
  <si>
    <t>NCT06787131</t>
  </si>
  <si>
    <t>Clinical Study Aiming to Evaluate the Safety, Tolerability, Pharmacokinetics and Pharmacodynamics of a Single Administration of ZE50-0134 at 5 Dose Levels in Healthy Volunteers</t>
  </si>
  <si>
    <t>NCT06260722</t>
  </si>
  <si>
    <t>Effect of Retatrutide Compared With Semaglutide in Adult Participants With Type 2 Diabetes and Inadequate Glycemic Control With Metformin With or Without SGLT2 Inhibitor (TRANSCEND-T2D-2)</t>
  </si>
  <si>
    <t>NCT03989895</t>
  </si>
  <si>
    <t>Intratumoral Injection of Dengue Virus-1 #45AZ5 (PV-001-DV) in Patients With Melanoma</t>
  </si>
  <si>
    <t>NCT06600581</t>
  </si>
  <si>
    <t>Safety and Efficacy of IMM01-STEM Against Placebo on Muscle Performance in Seniors With Obesity and Muscle Weakness</t>
  </si>
  <si>
    <t>NCT06385119</t>
  </si>
  <si>
    <t>A Study of the Effects of Food and Cobicistat on Plixorafenib Pharmacokinetics in Healthy Participants.</t>
  </si>
  <si>
    <t>NCT06782594</t>
  </si>
  <si>
    <t>A Phase Ⅱ Study of Mosapride Citrate Injection in the Treatment of Postoperative Gastrointestinal Dysfunction</t>
  </si>
  <si>
    <t>NCT06619561</t>
  </si>
  <si>
    <t>A Study to Evaluate Vimseltinib in Adults With Active Chronic Graft-Versus-Host Disease (cGVHD)</t>
  </si>
  <si>
    <t>NCT06590194</t>
  </si>
  <si>
    <t>PH009-1 in Patients With EGFR Mutation Locally Advanced or Metastatic Non-small Cell Lung Cancer (NSCLC)</t>
  </si>
  <si>
    <t>NCT06232239</t>
  </si>
  <si>
    <t>Empagliflozin 10 mg Tablets Relative to Jardiance 10 mg</t>
  </si>
  <si>
    <t>NCT06608329</t>
  </si>
  <si>
    <t>A Relative Bioavailability and Food Effect Study of HDM1002 in Healthy Subjects</t>
  </si>
  <si>
    <t>NCT06532253</t>
  </si>
  <si>
    <t>Long-term Safety Trial with NVDX3</t>
  </si>
  <si>
    <t>NCT06570772</t>
  </si>
  <si>
    <t>Study to Investigate Comparative Efficacy, Safety and Immunogenicity Between AVT16 and Entyvio</t>
  </si>
  <si>
    <t>NCT06345339</t>
  </si>
  <si>
    <t>A Study to Assess the Safety and Efficacy of Oral Armour Thyroid Compared to Synthetic T4 for the Treatment of Primary Hypothyroidism in Adult Participants</t>
  </si>
  <si>
    <t>NCT05279001</t>
  </si>
  <si>
    <t>A Safety and Tolerability Study of Jaktinib</t>
  </si>
  <si>
    <t>NCT06220201</t>
  </si>
  <si>
    <t>A Study to Evaluate the Safety, Tolerability, Efficacy, and Drug Levels of CC-97540 in Participants With Relapsing Forms of Multiple Sclerosis, Progressive Forms of Multiple Sclerosis or Refractory Myasthenia Gravis (MG) (Breakfree-2)</t>
  </si>
  <si>
    <t>NCT06005974</t>
  </si>
  <si>
    <t>A Study of REC-4881 in Participants With Cancers Which Have an AXIN1 or APC Mutation</t>
  </si>
  <si>
    <t>NCT06592417</t>
  </si>
  <si>
    <t>To Evaluate the Phase I Clinical Study of JSKN016 in Chinese Patients With Advanced Malignant Solid Tumors</t>
  </si>
  <si>
    <t>NCT06496178</t>
  </si>
  <si>
    <t>A Phase 3 Study to Evaluate Petosemtamab Compared With Investigator's Choice Monotherapy in Previously Treated Head and Neck Squamous Cell Carcinoma Patients (LiGeR-HN2)</t>
  </si>
  <si>
    <t>NCT06474208</t>
  </si>
  <si>
    <t>A Study to Learn About the Taste of Vericiguat Given in Liquid Form in Healthy Male Participants Aged 18 to 45 Years</t>
  </si>
  <si>
    <t>NCT06434935</t>
  </si>
  <si>
    <t>Initial Evaluation of Vascudyne Coronary Artery Bypass Conduit</t>
  </si>
  <si>
    <t>NCT06304740</t>
  </si>
  <si>
    <t>Safety and Pharmacokinetics of Subcutaneous Dose of IMG-007 in Healthy Participants</t>
  </si>
  <si>
    <t>NCT06873555</t>
  </si>
  <si>
    <t>A Study of DC05F01 in Chinese Patients with Recurrent/Refractory Ovarian Cancer and Other Advanced Solid Tumors</t>
  </si>
  <si>
    <t>NCT06163326</t>
  </si>
  <si>
    <t>A 52-Week Study to Learn About the Safety and Effects of Ritlecitinib in Participants With Nonsegmental Vitiligo</t>
  </si>
  <si>
    <t>NCT06754085</t>
  </si>
  <si>
    <t>Study of 18F-Florastamin PET/CT Imaging in Patients With Suspected Recurrence of Prostate Cancer</t>
  </si>
  <si>
    <t>NCT06562985</t>
  </si>
  <si>
    <t>A Study to Learn About How Safe BAY3018250 is and What Happens to it in Healthy Japanese Men and Adult Participants Aged 18 to 55 Years</t>
  </si>
  <si>
    <t>NCT06469008</t>
  </si>
  <si>
    <t>A Study of BL-B16D1 in Patients With Recurrent or Metastatic Head and Neck Squamous Cell Carcinoma and Other Solid Tumors</t>
  </si>
  <si>
    <t>NCT06740825</t>
  </si>
  <si>
    <t>Study to Assess the Effect of a CYP3A Weak Inducer Rufinamide on Quizartinib Pharmacokinetics in Healthy Subjects</t>
  </si>
  <si>
    <t>NCT06297174</t>
  </si>
  <si>
    <t>Bioequivalence Study of Generic Racecadotril 100 mg Capsules Under Fasting Conditions</t>
  </si>
  <si>
    <t>NCT06244485</t>
  </si>
  <si>
    <t>A Study of Valemetostat Tosylate in Combination With DXd ADCs in Subjects With Solid Tumors</t>
  </si>
  <si>
    <t>NCT06115135</t>
  </si>
  <si>
    <t>A Study of Venetoclax in Combination With Isatuximab and Dexamethasone for Relapsed/Refractory Multiple Myeloma</t>
  </si>
  <si>
    <t>NCT06669208</t>
  </si>
  <si>
    <t>Trial of an Inactivated Chikungunya Virus Vaccine</t>
  </si>
  <si>
    <t>NCT05955508</t>
  </si>
  <si>
    <t>A Proof-of-Concept Trial to Study the Safety and Activity of Linvoseltamab in Adult Participants With Smoldering Multiple Myeloma at High Risk of Developing Multiple Myeloma</t>
  </si>
  <si>
    <t>NCT06132217</t>
  </si>
  <si>
    <t>A Study of Simmitinib Plus SG001 in Advanced Solid Tumors</t>
  </si>
  <si>
    <t>NCT06393374</t>
  </si>
  <si>
    <t>Sacituzumab Tirumotecan (MK-2870) Plus Pembrolizumab Versus TPC in TNBC Who Did Not Achieve pCR (MK-2870-012)</t>
  </si>
  <si>
    <t>NCT06464055</t>
  </si>
  <si>
    <t>A Study of GQ1010 in Subjects With Advanced Solid Tumors</t>
  </si>
  <si>
    <t>NCT06291415</t>
  </si>
  <si>
    <t>The Safety, Tolerability, Pharmacokinetics, and Preliminary Efficacy of HMPL-523 in Adult Subjects With Immune Thrombocytopenia (ITP)</t>
  </si>
  <si>
    <t>NCT05695391</t>
  </si>
  <si>
    <t>A Phase 3 Study of the Safety and Efficacy of Coagulation Factor VIIa (Recombinant) for the Prevention of Excessive Bleeding in Patients With Congenital Hemophilia A or B With Inhibitors to Factor VIII or IX Undergoing Elective Major Surgical Procedures SCOPE HIM</t>
  </si>
  <si>
    <t>Laboratoire français de Fractionnement et de Biotechnologies</t>
  </si>
  <si>
    <t>NCT06745583</t>
  </si>
  <si>
    <t>A Phase 2 Study to Assess the Safety of EI-1071 and the Effects of EI-1071 on Neuroinflammation in Alzheimer's Disease Patients</t>
  </si>
  <si>
    <t>Elixiron Immunotherapeutics Inc.</t>
  </si>
  <si>
    <t>NCT06238401</t>
  </si>
  <si>
    <t>An Open-label, Multi-center, Dose-escalation and Cohort Expansion Phase I/IIa Clinical Study to Evaluate the Safety, Tolerability, Pharmacokinetic Profile and Efficacy of ACR246 in Patients With Advanced Solid Tumors</t>
  </si>
  <si>
    <t>NCT06780930</t>
  </si>
  <si>
    <t>Phase 3 Study of Vorasidenib (S095032/AG-881) in Asian Participants With Residual or Recurrent Grade 2 Glioma With an IDH1 orIDH2 Mutation</t>
  </si>
  <si>
    <t>NCT06746116</t>
  </si>
  <si>
    <t>A Study to Evaluate the Use of Durvalumab in Combination With Platinum-based Chemotherapy Followed by Durvalumab With Olaparib as First-line Treatment in Advanced or Recurrent Endometrial Cancer in Spain</t>
  </si>
  <si>
    <t>NCT06551740</t>
  </si>
  <si>
    <t>Phase 1 Study in Diabetes Mellitus(Fed)</t>
  </si>
  <si>
    <t>NCT06380348</t>
  </si>
  <si>
    <t>JMT101 in Combination With Osimertinib, Versus Cisplatin-pemetrexed in Participants With Locally Advanced or Metastatic Non-small Cell Lung Cancer (NSCLC) Characterized by Epithermal Growth Factor Receptor (EGFR) Exon 20ins Mutations</t>
  </si>
  <si>
    <t>NCT06724978</t>
  </si>
  <si>
    <t>A Study of S-740792 in Healthy Adult Study Participants</t>
  </si>
  <si>
    <t>NCT06209671</t>
  </si>
  <si>
    <t>INS19 CAR-T Cells for the Treatment of Relapsed or Refractory Acute B Lymphoblastic Leukemia</t>
  </si>
  <si>
    <t>NCT07253207</t>
  </si>
  <si>
    <t>Efficacy and Safety Study of Levomilnacipran Hydrochloride Extended-Release Capsules in Major Depressive Disorder</t>
  </si>
  <si>
    <t>NCT05954871</t>
  </si>
  <si>
    <t>Study to Evaluate the Safety, Pharmacokinetics, and Activity of GDC-1971 in Combination With Either Osimertinib in Participants With Unresectable, Locally Advanced, or Metastatic Non-Small Cell Lung Cancer, or With Cetuximab in Participants With Metastatic Colorectal Cancer</t>
  </si>
  <si>
    <t>NCT06270836</t>
  </si>
  <si>
    <t>A Study to Evaluate the Efficacy and Safety of Tarcocimab Tedromer Compared With Sham Treatment in Participants With Diabetic Retinopathy (DR)</t>
  </si>
  <si>
    <t>NCT06337071</t>
  </si>
  <si>
    <t>A Study of the ACYW135 Meningococcal Polysaccharide Conjugate Vaccine</t>
  </si>
  <si>
    <t>NCT06415344</t>
  </si>
  <si>
    <t>Long-term Extension of GTX-102 in Angelman Syndrome</t>
  </si>
  <si>
    <t>NCT06116617</t>
  </si>
  <si>
    <t>A Phase 1 Study to Evaluate the Safety, Tolerability, PK/PD of SRSD107 in Healthy Participants</t>
  </si>
  <si>
    <t>NCT07508462</t>
  </si>
  <si>
    <t>A Clinical Trial to Evaluate the Effect of Food on the Pharmacokinetics of Ammoxetine Hydrochloride Enteric-coated Tablets in Healthy Subjects</t>
  </si>
  <si>
    <t>NCT06339788</t>
  </si>
  <si>
    <t>Pharmacokinetics of HD-P023 and Co-administration of Teneligliptin and Empagliflozin High in Healthy Volunteers</t>
  </si>
  <si>
    <t>NCT06291961</t>
  </si>
  <si>
    <t>A Safety and Efficacy Study Evaluating CS-101 in Subjects With β-Thalassemia Major</t>
  </si>
  <si>
    <t>NCT07110740</t>
  </si>
  <si>
    <t>Bioequivalence Study Between UI009 and UIC202005 in Healthy Subjects</t>
  </si>
  <si>
    <t>NCT06439589</t>
  </si>
  <si>
    <t>Phase Ib/II Study of HRS2398 in Combination With Adebrelimab in Patients With Advanced Solid Tumors</t>
  </si>
  <si>
    <t>NCT06209580</t>
  </si>
  <si>
    <t>AMT-253 in Patients With Advanced Solid Tumours</t>
  </si>
  <si>
    <t>NCT06142461</t>
  </si>
  <si>
    <t>Safety and Immunogenicity of HPV Vaccine Administered Intradermally and Intramuscularly Via Needle-Free Injection System</t>
  </si>
  <si>
    <t>NCT06439342</t>
  </si>
  <si>
    <t>A Study of Maribavir in Chinese Adults With Cytomegalovirus (CMV) Infections</t>
  </si>
  <si>
    <t>NCT07131189</t>
  </si>
  <si>
    <t>A Study of FL115 Monotherapy in Unresectable or Metastatic Solid Tumors</t>
  </si>
  <si>
    <t>NCT06482346</t>
  </si>
  <si>
    <t>Clinical Pharmacology Study of MT-3534 in Healthy Adult Male Volunteers</t>
  </si>
  <si>
    <t>NCT06040346</t>
  </si>
  <si>
    <t>Open-Label Study to Assess Meplazumab in Adult Patients Diagnosed with Plasmodium Falciparum</t>
  </si>
  <si>
    <t>NCT06581627</t>
  </si>
  <si>
    <t>A Research Study Looking at a Single Dose of Etavopivat in Healthy Chinese Participants</t>
  </si>
  <si>
    <t>NCT06608927</t>
  </si>
  <si>
    <t>Study of Quemliclustat and Chemotherapy Versus Placebo and Chemotherapy in Patients With Metastatic Pancreatic Ductal Adenocarcinoma</t>
  </si>
  <si>
    <t>NCT06717074</t>
  </si>
  <si>
    <t>A Study to Evaluate Safety, Pharmacokinetics and Pharmacodynamics of RBD4059 in Participants With Stable Coronary Artery Disease</t>
  </si>
  <si>
    <t>Ribocure Pharmaceuticals AB</t>
  </si>
  <si>
    <t>NCT06427590</t>
  </si>
  <si>
    <t>A Study to Evaluate Safety, Tolerability, Pharmacokinetics and Pharmacodynamics of ASC47 in Healthy and Obese Subjects</t>
  </si>
  <si>
    <t>Ascletis Pharma (China) Co., Limited</t>
  </si>
  <si>
    <t>NCT06542497</t>
  </si>
  <si>
    <t>Evaluate Efficacy and Safety of POS to Improve Distance-corrected Near Visual in Participants With Presbyopia</t>
  </si>
  <si>
    <t>NCT06662760</t>
  </si>
  <si>
    <t>Clinical Trial of TQB3002 in Patients With Advanced Cancers</t>
  </si>
  <si>
    <t>NCT06678659</t>
  </si>
  <si>
    <t>A Study of REC-1245 in Participants With Unresectable, Locally Advanced, or Metastatic Cancer</t>
  </si>
  <si>
    <t>NCT06748079</t>
  </si>
  <si>
    <t>A Clinical Study of TQC3721 Inhalation Powder in Patients With Chronic Obstructive Pulmonary Disease</t>
  </si>
  <si>
    <t>NCT06055374</t>
  </si>
  <si>
    <t>A Study to Investigate the Safety, Tolerability, and Efficacy of BxC-I17e Repeated-dose SC Injection in Patients With Moderate to Severe Atopic Dermatitis</t>
  </si>
  <si>
    <t>NCT06772246</t>
  </si>
  <si>
    <t>A Study to Evaluate QTc Prolongation With Quizartinib in Healthy Subjects Under Rapid Acceleration of Heart Rate</t>
  </si>
  <si>
    <t>NCT06456580</t>
  </si>
  <si>
    <t>A Study of Telitacicept for the Treatment of Generalized Myasthenia Gravis (UPSTREAM MG)</t>
  </si>
  <si>
    <t>NCT06710379</t>
  </si>
  <si>
    <t>A Study of ADRX-0405 in Subjects With Select Advanced Solid Tumors</t>
  </si>
  <si>
    <t>NCT06529796</t>
  </si>
  <si>
    <t>Evaluation of the Pharmacokinetics and Safety of Inaxaplin in Participants With Mild or Moderate Hepatic Impairment</t>
  </si>
  <si>
    <t>NCT06950086</t>
  </si>
  <si>
    <t>Study of TYK-00540 Tablets in Patients With Advanced Solid Tumors</t>
  </si>
  <si>
    <t>NCT06483373</t>
  </si>
  <si>
    <t>A Clinical Study of SPH7854 Granules in Healthy Subjects.</t>
  </si>
  <si>
    <t>NCT06340854</t>
  </si>
  <si>
    <t>A Research Study to See How Switching From a Daily Basal Insulin to a New Weekly Insulin, Insulin Icodec, Helps in Reducing the Blood Sugar Compared to Daily Insulin Glargine in Adults With Type 2 Diabetes</t>
  </si>
  <si>
    <t>NCT06301854</t>
  </si>
  <si>
    <t>Long-term Safety of TPN171H Tablet in Erectile Dysfunction.</t>
  </si>
  <si>
    <t>NCT06447779</t>
  </si>
  <si>
    <t>Efficacy, Safety and Immunogenicity Study of Recombinant Zoster Vaccine(CHO Cell) in Adults Aged 40 Years and Older</t>
  </si>
  <si>
    <t>NCT06339086</t>
  </si>
  <si>
    <t>Efficacy and Safety of Semaglutide Injection in Subjects With Type 2 Diabetes</t>
  </si>
  <si>
    <t>NCT06726850</t>
  </si>
  <si>
    <t>Clinical Study to Evaluate the Efficacy and Safety of GS1-144 Tablets in the Treatment of Moderate to Severe Vasomotor Symptoms in Chinese Postmenopausal Women.</t>
  </si>
  <si>
    <t>NCT07285603</t>
  </si>
  <si>
    <t>A Study in Healthy Subjects to Assess the Safety and Tolerability of a 120-hour Continuous Infusion of M6229</t>
  </si>
  <si>
    <t>Matisse Pharmaceuticals</t>
  </si>
  <si>
    <t>NCT06345703</t>
  </si>
  <si>
    <t>First-into-human Study of NS-136 in Healthy Subjects</t>
  </si>
  <si>
    <t>NeuShen Therapeutics</t>
  </si>
  <si>
    <t>NCT06497127</t>
  </si>
  <si>
    <t>A Study in Patients With Mixed Dyslipidemia</t>
  </si>
  <si>
    <t>Shanghai Argo Biopharmaceutical Co., Ltd.</t>
  </si>
  <si>
    <t>NCT06619860</t>
  </si>
  <si>
    <t>Evaluation of Efficacy and Safety of VX-993 for Pain Associated With Diabetic Peripheral Neuropathy</t>
  </si>
  <si>
    <t>NCT07440524</t>
  </si>
  <si>
    <t>A Phase 2 Trial of JKN24011 in COPD</t>
  </si>
  <si>
    <t>NCT06326697</t>
  </si>
  <si>
    <t>Bioequivalence of Azacitidine 300 mg Film-Coated Tablets in Adult Patients With Acute Myeloid Leukaemia (AML)</t>
  </si>
  <si>
    <t>Hikma Pharmaceuticals LLC</t>
  </si>
  <si>
    <t>NCT06508762</t>
  </si>
  <si>
    <t>A Study to Evaluate the Relative Bioavailability and Food Effect of a New Tablet Formulation of VX-993</t>
  </si>
  <si>
    <t>NCT06373146</t>
  </si>
  <si>
    <t>A Study of Tirzepatide (LY3298176) Plus Mibavademab Compared With Tirzepatide Alone in Adult Participants With Obesity</t>
  </si>
  <si>
    <t>NCT06589635</t>
  </si>
  <si>
    <t>A Drug-Drug Interaction (DDI) Study of ADC189 With Itraconazole in Healthy, Adult Subjects</t>
  </si>
  <si>
    <t>NCT06504147</t>
  </si>
  <si>
    <t>A Study of Radspherin® in Patients With Primary Advanced Epithelial Cancer, With Peritoneal Metastasis That Are Homologous Recombination Proficient Scheduled to Undergo Neoadjuvant Chemotherapy and Interval Debulking Surgery</t>
  </si>
  <si>
    <t>NCT06405633</t>
  </si>
  <si>
    <t>A Phase 1b/2a, Open-label Single Ascending Doses and Multiple Ascending Doses Study in Participants With Pi*ZZ AATD</t>
  </si>
  <si>
    <t>NCT05561491</t>
  </si>
  <si>
    <t>A Study of ONCOS-102 in Combination With Other Novel Immune-therapies in Advanced Treatment-resistant Melanoma Patients</t>
  </si>
  <si>
    <t>Targovax Oy</t>
  </si>
  <si>
    <t>NCT06708260</t>
  </si>
  <si>
    <t>A Phase 2 Study to Evaluate the Efficacy and Safety of ENN0403 in Subjects with DME</t>
  </si>
  <si>
    <t>NCT06629389</t>
  </si>
  <si>
    <t>Clinical Trial with Cannabidiol (Kanbis®) for Parkinson Disease Symptoms</t>
  </si>
  <si>
    <t>NCT06616415</t>
  </si>
  <si>
    <t>A Clinical Study to Evaluate the Pharmacokinetics, Efficacy, and Safety of Belumosudil in Chinese Adolescents With cGVHD Who Have Had an Inadequate Response to Glucocorticoids or Other Systemic Therapies</t>
  </si>
  <si>
    <t>NCT07236476</t>
  </si>
  <si>
    <t>Identify Effective Doses of LY01021 in Controlled Ovarian Hyperstimulation (COH) for Female Subjects Undergoing Assisted Reproductive Technology (ART)</t>
  </si>
  <si>
    <t>NCT06548217</t>
  </si>
  <si>
    <t>A Phase I Study of ONO-4538HSC in Subjects With Advanced or Metastatic Solid Tumors</t>
  </si>
  <si>
    <t>NCT06353360</t>
  </si>
  <si>
    <t>TTField in Combination With Temozolomide and Tislelizumab in The Treatment of Newly Diagnosed Glioblastoma.</t>
  </si>
  <si>
    <t>NCT06265220</t>
  </si>
  <si>
    <t>AB-101 in Combination With B-Cell Depleting mAb in Patients Who Failed Treatment for Class III or IV Lupus Nephritis or Other Forms of Refractory Systemic Lupus Erythematosus</t>
  </si>
  <si>
    <t>NCT06314724</t>
  </si>
  <si>
    <t>Immunogenicity and Safety of Varicella Vaccine, Live in Healthy Children Aged 12~15 Months in the Philippines</t>
  </si>
  <si>
    <t>NCT06230523</t>
  </si>
  <si>
    <t>A Study of LY3841136 Compared With Placebo in Adult Participants With Obesity or Overweight</t>
  </si>
  <si>
    <t>NCT06638307</t>
  </si>
  <si>
    <t>A First-in-Human Study of MEN2312 in Adults With Advanced Breast Cancer</t>
  </si>
  <si>
    <t>NCT06411899</t>
  </si>
  <si>
    <t>A Study to Evaluate the Efficacy and Safety of Subcutaneous Sonelokimab Compared With Placebo in Adult Participants With Moderate to Severe Hidradenitis Suppurativa</t>
  </si>
  <si>
    <t>NCT06260514</t>
  </si>
  <si>
    <t>Study of APR-1051 in Patients With Advanced Solid Tumors</t>
  </si>
  <si>
    <t>NCT06348888</t>
  </si>
  <si>
    <t>A Study to Learn About How Itraconazole and Carbamazepine Affect the Level of BAY2927088 in the Blood When These Drugs Are Taken Together by Healthy Participants</t>
  </si>
  <si>
    <t>NCT06659341</t>
  </si>
  <si>
    <t>A Phase I Study of BAY3498264 Given Together With Sotorasib in Participants Who Have Advanced Solid Cancers With Specific Genetic Changes Called KRASG12C Mutation</t>
  </si>
  <si>
    <t>NCT06352424</t>
  </si>
  <si>
    <t>A Study in People With Overweight or Obesity to Test How BI 1820237, BI 456906, or a Combination of Both Affects Brain Activity</t>
  </si>
  <si>
    <t>NCT06331559</t>
  </si>
  <si>
    <t>Study of SIM0501 Alone and in Combination in Patients With Advanced Solid Tumors</t>
  </si>
  <si>
    <t>NCT06347003</t>
  </si>
  <si>
    <t>Study of Plozasiran (ARO-APOC3) in Adults With Severe Hypertriglyceridemia</t>
  </si>
  <si>
    <t>NCT06466473</t>
  </si>
  <si>
    <t>A Study to Learn How Different Forms of The Study Medicine Called Phenytoin Are Taken up Into the Blood in Healthy Adults</t>
  </si>
  <si>
    <t>NCT06556940</t>
  </si>
  <si>
    <t>G.I. Pharmacokinetics of LMN-401 in Individuals With Ileostomies</t>
  </si>
  <si>
    <t>NCT06379789</t>
  </si>
  <si>
    <t>A Study to Investigate the Safety and Effectiveness of a Coagulation Factor IX Gene Insertion Therapy (REGV131-LNP1265) in Pediatric, Adolescent and Adult Participants With Hemophilia B</t>
  </si>
  <si>
    <t>NCT06301074</t>
  </si>
  <si>
    <t>The Phase I Study of HS-10509 in Chinese Adult Subjects</t>
  </si>
  <si>
    <t>NCT06337110</t>
  </si>
  <si>
    <t>A Study Investigating the Movement of Lu AF28996 Into, Through, and Out of the Body of Healthy Men</t>
  </si>
  <si>
    <t>NCT06453213</t>
  </si>
  <si>
    <t>Open-label Study of Cenobamate Monotherapy in Adult Subjects With Newly Diagnosed or Recurrent Partial-Onset Epilepsy</t>
  </si>
  <si>
    <t>NCT07110480</t>
  </si>
  <si>
    <t>Combination of Equisetum Arvense and Palmitoylethanolamide (PEA) for the Management of Patients With Chronic Pain in a Before-after Study</t>
  </si>
  <si>
    <t>noiVita Srls</t>
  </si>
  <si>
    <t>NCT06100627</t>
  </si>
  <si>
    <t>A Pharmacodynamic Effect Study of AP301 in Healthy Volunteers</t>
  </si>
  <si>
    <t>NCT06716970</t>
  </si>
  <si>
    <t>QR12000 Compound Tablets in Patients with Moderate to Severe Essential Hypertension</t>
  </si>
  <si>
    <t>NCT06617546</t>
  </si>
  <si>
    <t>SAD and MAD Study of FTX-101 in Healthy Male Subjects</t>
  </si>
  <si>
    <t>Find Therapeutics</t>
  </si>
  <si>
    <t>NCT06674486</t>
  </si>
  <si>
    <t>Bioequivalence Study of Iron Sucrose Injection in Healthy Participants</t>
  </si>
  <si>
    <t>NCT06911866</t>
  </si>
  <si>
    <t>A Phase Ib Study of RC1416 Injection</t>
  </si>
  <si>
    <t>NCT06829329</t>
  </si>
  <si>
    <t>Study to Evaluate the Efficacy and Safety of AHB-137 in Treatment-naive Participants With Chronic Hepatitis B (CHB)</t>
  </si>
  <si>
    <t>NCT06539429</t>
  </si>
  <si>
    <t>Clinical Study to Evaluate Efficacy and Safety of ANT-301 in Patients With Knee Osteoarthritis in Grade III/IV by K/L</t>
  </si>
  <si>
    <t>NCT06273553</t>
  </si>
  <si>
    <t>A Study in Subjects With Human Papillomavirus 16 or 18 Associated Cervical Intraepithelial Neoplasia Grade 2 or 3</t>
  </si>
  <si>
    <t>RinuaGene Biotechnology Co., Ltd.</t>
  </si>
  <si>
    <t>NCT06693895</t>
  </si>
  <si>
    <t>A Study on the Safety of an Investigational Chickenpox Vaccine, When Given to Healthy Children, 12 to 15 Months of Age</t>
  </si>
  <si>
    <t>NCT06826339</t>
  </si>
  <si>
    <t>Evaluating Several Cellular, Acellular, and Matrix-like Products (CAMPs) and Standard of Care Versus Standard of Care Alone in the Management of Nonhealing Diabetic Foot and Venous Leg Ulcers.</t>
  </si>
  <si>
    <t>Tiger Biosciences, LLC.</t>
  </si>
  <si>
    <t>NCT06736574</t>
  </si>
  <si>
    <t>Study With Omecamtiv Mecarbil (CK-1827452) to Treat Chronic Heart Failure With Severely Reduced Ejection Fraction</t>
  </si>
  <si>
    <t>NCT06246110</t>
  </si>
  <si>
    <t>A Phase 2 Study of EIK1001 in Combo With Pembrolizumab and Chemotherapy in Patients With Stage 4 NSCLC</t>
  </si>
  <si>
    <t>NCT06775860</t>
  </si>
  <si>
    <t>ICP-332 in Subjects With Moderate to Severe Atopic Dermatitis</t>
  </si>
  <si>
    <t>NCT06687070</t>
  </si>
  <si>
    <t>APG-2449 Monotherapy or in Combination With PLD in Patients With Platinum-resistant Recurrent OC or Advanced ST</t>
  </si>
  <si>
    <t>NCT06365879</t>
  </si>
  <si>
    <t>To Compare Efficacy and Safety of CMAB007 and Xolair® in Patients With Chronic Spontaneous Urticaria</t>
  </si>
  <si>
    <t>NCT05963074</t>
  </si>
  <si>
    <t>A Study to Customize Ibrutinib Treatment Regimens for Participants With Previously Untreated Chronic Lymphocytic Leukemia</t>
  </si>
  <si>
    <t>NCT06728124</t>
  </si>
  <si>
    <t>A Phase III Clinical Study to Evaluate the Efficacy and Safety of GZR18 Injection in Adult Obese/Overweight Subjects</t>
  </si>
  <si>
    <t>NCT06435923</t>
  </si>
  <si>
    <t>A Trial to Assess the Absorption, Metabolism, Excretion, and Mass Balance of [14C]-Darigabat After a Single Oral Dose in Healthy Male Participants</t>
  </si>
  <si>
    <t>NCT07629310</t>
  </si>
  <si>
    <t>To Evaluate the Safety of JL18008</t>
  </si>
  <si>
    <t>NCT06710288</t>
  </si>
  <si>
    <t>A Phase 2, Open-label, Single-arm Study Of Autologous M-CENK Adoptive Cell Therapy And N-803 (IL-15 Superagonist) In Combination With Gemcitabine In Participants With Recurrent Platinum-Resistant High-Grade Ovarian Cancer</t>
  </si>
  <si>
    <t>NCT06104319</t>
  </si>
  <si>
    <t>Dose Exploration Study of GSK4532990 in. Participants With NASH or Suspected NASH</t>
  </si>
  <si>
    <t>NCT06253663</t>
  </si>
  <si>
    <t>Study of KTE-X19 in Adult Japanese Participants With Relapsed/Refractory Mantle Cell Lymphoma or Relapsed/Refractory B-precursor Acute Lymphoblastic Leukemia</t>
  </si>
  <si>
    <t>NCT06631430</t>
  </si>
  <si>
    <t>A Study to Test How Well Different Doses of BI 3810477 Are Tolerated by Healthy Men</t>
  </si>
  <si>
    <t>NCT03630081</t>
  </si>
  <si>
    <t>Study of Cefepime-tazobactam (FEP-TAZ) in Complicated Urinary Tract Infection (cUTI) or Acute Pyelonephritis (AP)</t>
  </si>
  <si>
    <t>NCT06640647</t>
  </si>
  <si>
    <t>Phase Ia Clinical Study of HDM1005 Injection</t>
  </si>
  <si>
    <t>NCT06591598</t>
  </si>
  <si>
    <t>A Study to Learn About the Blood Levels of Aflibercept When High-dose Aflibercept is Injected in Both Eyes of Participants With Diabetic Macular Edema or Neovascular Age-related Macular Degeneration</t>
  </si>
  <si>
    <t>NCT06920498</t>
  </si>
  <si>
    <t>A Study to Learn How Different Amounts of the Study Medicine Called PF-07941944 Are Tolerated in the Body of Healthy Adults.</t>
  </si>
  <si>
    <t>NCT06463587</t>
  </si>
  <si>
    <t>Efficacy and Safety of a New Formulation of Oral Cladribine Compared With Placebo in Participants With Generalized Myasthenia Gravis (MyClad)</t>
  </si>
  <si>
    <t>NCT06487416</t>
  </si>
  <si>
    <t>A Trial to Assess the Bioequivalence of Tiotropium Bromide Inhalation Powder in Healthy Adult Participants Under Fasting Conditions</t>
  </si>
  <si>
    <t>NCT07364838</t>
  </si>
  <si>
    <t>Study to Evaluate the Effect of Food on the Pharmacokinetics and Pharmacodynamics Characteristics in Healthy Adult Volunteers</t>
  </si>
  <si>
    <t>NCT06618235</t>
  </si>
  <si>
    <t>Trial of THEO-260 in Ovarian Cancer Patients</t>
  </si>
  <si>
    <t>Theolytics Limited</t>
  </si>
  <si>
    <t>NCT06308263</t>
  </si>
  <si>
    <t>Tuvusertib (M1774) Human Mass Balance and Absolute Bioavailability Study (DDRIVER Solid Tumors 303)</t>
  </si>
  <si>
    <t>NCT06522763</t>
  </si>
  <si>
    <t>Bioequivalence Study of Sulfadoxine/Pyrimethamine 500/25 mg Dispersible Tablet</t>
  </si>
  <si>
    <t>Swiss Pharma Nigeria Limited</t>
  </si>
  <si>
    <t>NCT06297616</t>
  </si>
  <si>
    <t>A Study of LY3841136 in Japanese Participants With Obesity or Overweight</t>
  </si>
  <si>
    <t>NCT06350006</t>
  </si>
  <si>
    <t>SHR-A1904 Combinations in CLDN18.2-Positive Advanced Solid Tumor</t>
  </si>
  <si>
    <t>NCT06385158</t>
  </si>
  <si>
    <t>A Phase I Clinical Study Evaluating the Safety, Tolerability, Pharmacokinetics and Pharmacodynamics of Single and Multiple Oral Dose Escalation of GS1-144 Tablets and the Effects of Food on the Pharmacokinetics of GS1-144 in a Chinese Population</t>
  </si>
  <si>
    <t>NCT06667700</t>
  </si>
  <si>
    <t>A Clinical Study of Molnupiravir to Prevent Severe Illness From Coronavirus Disease 2019 (COVID-19) in People Who Are High Risk (MK-4482-023)</t>
  </si>
  <si>
    <t>NCT06600607</t>
  </si>
  <si>
    <t>Pharmacodynamic Study of 300mg Pregabalin vs Placebo in Healthy Male Adults</t>
  </si>
  <si>
    <t>NCT06539507</t>
  </si>
  <si>
    <t>A Study of the Safety, Tolerability, Pharmacokinetics, and Immunogenicity of BCX17725</t>
  </si>
  <si>
    <t>NCT06104839</t>
  </si>
  <si>
    <t>Safety and Efficacy of Oral NXC-736 in Adult Participants With Moderate and Severe Alopecia Areata</t>
  </si>
  <si>
    <t>NCT06749457</t>
  </si>
  <si>
    <t>A Study to Evaluate AZD7760 Safety and Pharmacokinetics in Healthy Adults (Phase I) and Adults With End-stage Kidney Disease on Hemodialysis With a Central Venous Catheter (Phase IIa)</t>
  </si>
  <si>
    <t>NCT06304571</t>
  </si>
  <si>
    <t>A Study of HC006 in Subjects With Advanced Solid Tumors</t>
  </si>
  <si>
    <t>NCT04418414</t>
  </si>
  <si>
    <t>Hematopoietic Stem Cell Transplantation Gene Therapy for Treatment of Severe Hemophilia A</t>
  </si>
  <si>
    <t>Expression Therapeutics, LLC</t>
  </si>
  <si>
    <t>NCT06651281</t>
  </si>
  <si>
    <t>Extension Study of Long-term Safety and Efficacy of Tulisokibart in Participants With Crohn's Disease or Ulcerative Colitis (MK-7240-011)</t>
  </si>
  <si>
    <t>NCT05927428</t>
  </si>
  <si>
    <t>Assessment of the Initial Efficacy and Safety of BRM424 Ophthalmic Solutions in Patients With Neurotrophic Keratitis</t>
  </si>
  <si>
    <t>NCT06625593</t>
  </si>
  <si>
    <t>A First-in-Human (FIH) Study of BG-C137, an Anti-Fibroblast Growth Factor Receptor 2b (FGFR2b) Antibody Drug Conjugate, in Participants With Advanced Solid Tumors</t>
  </si>
  <si>
    <t>NCT06445400</t>
  </si>
  <si>
    <t>A Study of BL-M07D1, BL-M07D1+Pertuzumab and BL-M07D1+Pertuzumab+Docetaxel in Patients With Unresectable Locally Advanced or Metastatic HER2-positive Breast Cancer</t>
  </si>
  <si>
    <t>NCT05983471</t>
  </si>
  <si>
    <t>Efficacy and Safety of ME-015 (Suplatast Tosilate) in Cough Related to Idiopathic Pulmonary Fibrosis (COSMIC-IPF)</t>
  </si>
  <si>
    <t>Melius Pharma AB</t>
  </si>
  <si>
    <t>NCT06590857</t>
  </si>
  <si>
    <t>Trial of 225Ac-DOTATATE (RYZ101) in Subjects With ER+, HER2-negative Unresectable or Metastatic Breast Cancer Expressing SSTRs.</t>
  </si>
  <si>
    <t>NCT06079775</t>
  </si>
  <si>
    <t>P1, DDI &amp; MAD PK and Safety Study of Xeruborbactam Oral Prodrug in Combo With Ceftibuten in Healthy Participants</t>
  </si>
  <si>
    <t>NCT06299709</t>
  </si>
  <si>
    <t>A Study To Evaluate the Relative Bioavailability, Food Effect, and Dose Proportionality of a Granule Formulation of Vanzacaftor/Tezacaftor/Deutivacaftor(VNZ/TEZ/D-IVA)</t>
  </si>
  <si>
    <t>NCT06660563</t>
  </si>
  <si>
    <t>A Study of JNJ-80948543 in Combination With Other CD3 T-Cell Engagers in Participants With Relapsed/Refractory B-Cell Non-Hodgkin Lymphoma (R/R B-Cell NHL)</t>
  </si>
  <si>
    <t>NCT06411639</t>
  </si>
  <si>
    <t>Pharmacokinetics Study of Ianalumab in Chinese Participants With Autoimmune Diseases</t>
  </si>
  <si>
    <t>NCT06127407</t>
  </si>
  <si>
    <t>Ivosidenib in Participants With Locally Advanced or Metastatic Conventional Chondrosarcoma Untreated or Previously Treated With 1 Systemic Treatment Regimen</t>
  </si>
  <si>
    <t>NCT06497439</t>
  </si>
  <si>
    <t>Efficacy and Safety of Silfamin for Common Cold</t>
  </si>
  <si>
    <t>NCT06442436</t>
  </si>
  <si>
    <t>A Study of Nemtabrutinib in Participants With Moderate Hepatic Impairment (MK-1026-015)</t>
  </si>
  <si>
    <t>NCT06389487</t>
  </si>
  <si>
    <t>A Study on the Immune Response and Safety of Vaccine Against Respiratory Syncytial Virus (RSV) Given to Adults 18 to 49 Years of Age at Increased Risk for Respiratory Syncytial Virus Disease, Compared to Older Adults 60 Years of Age and Above</t>
  </si>
  <si>
    <t>NCT06562114</t>
  </si>
  <si>
    <t>A Phase 1 Safety and Tolerability Study of TML-6 in Healthy and Elderly Volunteers for Alzheimer's Disease Treatment</t>
  </si>
  <si>
    <t>Merry Life Biomedical Co., Ltd.</t>
  </si>
  <si>
    <t>NCT06513884</t>
  </si>
  <si>
    <t>A Study of HB-202/HB-201 With Pembrolizumab in Patients With HPV16+ Recurrent/Metastatic Oropharyngeal Cancer</t>
  </si>
  <si>
    <t>NCT06619847</t>
  </si>
  <si>
    <t>A Study Evaluating Efficacy and Safety of VX-993 for Acute Pain After a Bunionectomy</t>
  </si>
  <si>
    <t>NCT06369298</t>
  </si>
  <si>
    <t>Study of JK07 in Patients With Chronic Heart Failure</t>
  </si>
  <si>
    <t>NCT06606093</t>
  </si>
  <si>
    <t>Evaluate the Efficacy and Safety of DWP16001 in Type 2 Diabetic Nephropathy with Moderate Renal Impairment Patients</t>
  </si>
  <si>
    <t>NCT06402838</t>
  </si>
  <si>
    <t>A Study to Evaluate the Safety and Biomarker Effects of RO7269162 in Participants at Risk for or at the Prodromal Stage of Alzheimer's Disease (AD)</t>
  </si>
  <si>
    <t>NCT07130916</t>
  </si>
  <si>
    <t>A Study of Aumolertinib in European Participants With Non-Small Cell Lung Cancer</t>
  </si>
  <si>
    <t>NCT06565611</t>
  </si>
  <si>
    <t>A Phase 2 Study Evaluating the Co-Administration of Bremelanotide With Tirzepatide for the Treatment of Obesity</t>
  </si>
  <si>
    <t>NCT06299111</t>
  </si>
  <si>
    <t>A Trial to Learn How Well REGN9933 and REGN7508 Work for Preventing Blood Clots, and How Safe They Are, in Adults Who Have a Peripherally Inserted Central Catheter (PICC)</t>
  </si>
  <si>
    <t>NCT06053814</t>
  </si>
  <si>
    <t>NS-050/NCNP-03 in Boys With DMD (Meteor50)</t>
  </si>
  <si>
    <t>NCT06500052</t>
  </si>
  <si>
    <t>A Study of BL-M17D1 in Patients With Locally Advanced or Metastatic HER2 Positive/Lower Expression Gastrointestinal Cancer and Other Solid Tumors</t>
  </si>
  <si>
    <t>NCT06168383</t>
  </si>
  <si>
    <t>To Evaluate the Efficacy and Safety of HSK31679 in Chinese Patients With Non-Alcoholic Steatohepatitis (NASH) .</t>
  </si>
  <si>
    <t>NCT06682169</t>
  </si>
  <si>
    <t>Evaluation of Rovadicitinib Compared to the Protocol Selected by Researchers in Third Line and Subsequent Studies of Moderate to Severe Chronic Graft-versus-host Disease</t>
  </si>
  <si>
    <t>NCT06533605</t>
  </si>
  <si>
    <t>Phase I Clinical Study to Evaluate the Safety and Efficacy of SSGJ-706 Monotherapy for Patients With Advanced Solid Tumors</t>
  </si>
  <si>
    <t>NCT06181266</t>
  </si>
  <si>
    <t>A Phase 1/1b Study of ZH9 Treatment in Patients With Non-Muscle Invasive Bladder Cancer</t>
  </si>
  <si>
    <t>Prokarium Ltd</t>
  </si>
  <si>
    <t>NCT06206512</t>
  </si>
  <si>
    <t>Effect of Extended Release Torsemide in Patients With Congestive Heart Failure and Overactive Bladder</t>
  </si>
  <si>
    <t>NCT06742957</t>
  </si>
  <si>
    <t>Study Comparing Tapinarof Cream 1% To VTAMA ® (Tapinarof Cream 1%) In the Treatment of Plaque Psoriasis</t>
  </si>
  <si>
    <t>NCT06465472</t>
  </si>
  <si>
    <t>Evaluation of the Efficacy and Safety of Stiripentol in Patients 6 Years and Older With Primary Hyperoxaluria Type 1, 2 or 3</t>
  </si>
  <si>
    <t>NCT06039202</t>
  </si>
  <si>
    <t>Phase 2 Study of CA102N Combined With TAS-102 Compared to Bevacizumab Combined With TAS-102 in Subjects With Relapsed and/or Refractory Metastatic Colorectal Cancer</t>
  </si>
  <si>
    <t>Holy Stone Healthcare Co., Ltd</t>
  </si>
  <si>
    <t>NCT06469281</t>
  </si>
  <si>
    <t>A Study to Learn if 27T51, a Mucin-16 (MUC16) Protein Targeting Immune Cell Therapy, Administered Alone or in Combination is Safe and How Well it Works for Adult Participants With Recurrent or Treatment Resistant Ovarian Cancers</t>
  </si>
  <si>
    <t>NCT06328439</t>
  </si>
  <si>
    <t>A Study to Evaluate ANS014004 in Subjects With Locally Advanced or Metastatic Solid Tumors</t>
  </si>
  <si>
    <t>NCT05979857</t>
  </si>
  <si>
    <t>Study of SP-3164 in Relapsed or Refractory Non-Hodgkin's Lymphoma</t>
  </si>
  <si>
    <t>NCT06206837</t>
  </si>
  <si>
    <t>A Study to Learn About Vepdegestrant When Given With PF-07220060 to People With Advanced or Metastatic Breast Cancer.</t>
  </si>
  <si>
    <t>NCT06524739</t>
  </si>
  <si>
    <t>Double-blind, Randomized, Placebo-controlled Study Evaluating Efficacy and Safety of IgPro20 in Post-COVID-19 POTS</t>
  </si>
  <si>
    <t>NCT05853575</t>
  </si>
  <si>
    <t>Trial of Two Adagrasib Dosing Regimens in NSCLC With KRAS G12C Mutation (KRYSTAL 21)</t>
  </si>
  <si>
    <t>NCT06411145</t>
  </si>
  <si>
    <t>Open-label Trial to Evaluate Efficacy and Safety of rhNGF on Corneal Thickness Via AS-OCT in Neurotrophic Keratitis</t>
  </si>
  <si>
    <t>NCT06420765</t>
  </si>
  <si>
    <t>A Microneurography Study of NaV1.8 Inhibition in Healthy Adults</t>
  </si>
  <si>
    <t>NCT06624072</t>
  </si>
  <si>
    <t>A Study in Healthy People to Compare 2 Different Formulations of Nerandomilast Tablets When Taken With or Without Food</t>
  </si>
  <si>
    <t>NCT06327295</t>
  </si>
  <si>
    <t>A Study of ATB1651 in Adults With Mild to Moderate Onchomycosis</t>
  </si>
  <si>
    <t>NCT06249919</t>
  </si>
  <si>
    <t>A Phase 1b/2a, Study Evaluating the Safety, PK/PD and Efficacy of NS101 in Healthy Volunteers and SSNHL Patients</t>
  </si>
  <si>
    <t>NCT06414837</t>
  </si>
  <si>
    <t>Clinical Trial of HR091506 Tablets in Treatment of Gout With Hyperuricemia in Adults</t>
  </si>
  <si>
    <t>NCT06299839</t>
  </si>
  <si>
    <t>PAS-004 in Patients With Advanced Solid Tumors</t>
  </si>
  <si>
    <t>Pasithea Therapeutics Corp.</t>
  </si>
  <si>
    <t>NCT05104268</t>
  </si>
  <si>
    <t>Study of a New Medical Device for Oral Mucositis</t>
  </si>
  <si>
    <t>NCT06722950</t>
  </si>
  <si>
    <t>Phase II Clinical Study of AC591 in Preventing Oxaliplatin-Induced Peripheral Neuropathy</t>
  </si>
  <si>
    <t>NCT06582589</t>
  </si>
  <si>
    <t>HEALSea Nasal Spray for Prevention of Infections in Children</t>
  </si>
  <si>
    <t>Lallemand Pharma AG</t>
  </si>
  <si>
    <t>NCT06169397</t>
  </si>
  <si>
    <t>An Open-label Extension Study of XTMAB-16 in Patients With Pulmonary Sarcoidosis</t>
  </si>
  <si>
    <t>NCT06335303</t>
  </si>
  <si>
    <t>A Study to Test Whether BI 1819479 Improves Lung Function in People With Idiopathic Pulmonary Fibrosis (IPF)</t>
  </si>
  <si>
    <t>NCT06374394</t>
  </si>
  <si>
    <t>A Study on the Immune Response and Safety of a Vaccine Against Respiratory Syncytial Virus (RSV) When Given Alone and Together With a COVID-19 mRNA Vaccine in Adults Aged 50 Years and Above</t>
  </si>
  <si>
    <t>NCT06153251</t>
  </si>
  <si>
    <t>A Study to Assess BMS-986453 in Participants With Relapsed and/or Refractory Multiple Myeloma</t>
  </si>
  <si>
    <t>NCT06519110</t>
  </si>
  <si>
    <t>Neratinib Tablets Monotherapy for Advanced Solid Tumors With HER2 Mutations</t>
  </si>
  <si>
    <t>NCT06556368</t>
  </si>
  <si>
    <t>A Study to Evaluate the Efficacy and Safety of Tarcocimab Tedromer and Tabirafusp Tedromer Compared to Aflibercept in Participants With Neovascular (Wet) Age-related Macular Degeneration (wAMD) - DAYBREAK</t>
  </si>
  <si>
    <t>NCT06604546</t>
  </si>
  <si>
    <t>Hyaluronidase Assisted Subcutaneous Infusion</t>
  </si>
  <si>
    <t>NCT06470191</t>
  </si>
  <si>
    <t>A Clinical Study of B007 in the Treatment of Primary Membranous Nephropathy.</t>
  </si>
  <si>
    <t>NCT06434597</t>
  </si>
  <si>
    <t>A Clinical Study of SPH5030 Tablets in the Treatment of Her2-positive/Mutated Biliary Tract OR Colorectal Cancer Patients.</t>
  </si>
  <si>
    <t>NCT06713447</t>
  </si>
  <si>
    <t>NTI164 Human PK Study</t>
  </si>
  <si>
    <t>NCT06654726</t>
  </si>
  <si>
    <t>A Multi-center Evaluation of Aldafermin in a Randomized, Double-blind, Placebo-controlled Study in Subjects With Primary Sclerosing Cholangitis.</t>
  </si>
  <si>
    <t>NCT05932862</t>
  </si>
  <si>
    <t>A Phase 1 Study of XL309 (ISM3091) Alone and in Combination in Participants With Advanced Solid Tumors</t>
  </si>
  <si>
    <t>NCT06618105</t>
  </si>
  <si>
    <t>Bronchoprovocation Study to Demonstrate the Pharmacodynamic Bioequivalence of Albuterol Sulfate HFA Inhalation Aerosol (E.Q. 90 mcg of Albuterol Base/Inh) of Macleods Pharmaceuticals Ltd</t>
  </si>
  <si>
    <t>Macleods Pharmaceuticals Ltd</t>
  </si>
  <si>
    <t>NCT06359041</t>
  </si>
  <si>
    <t>RESET-MG: A Study to Evaluate the Safety and Efficacy of CABA-201 in Participants With Generalized Myasthenia Gravis</t>
  </si>
  <si>
    <t>NCT06217822</t>
  </si>
  <si>
    <t>First-in-human Study of 225Ac-PSMA-Trillium (BAY 3563254) in Participants With Advanced Metastatic Castration-resistant Prostate Cancer (mCRPC)</t>
  </si>
  <si>
    <t>NCT06625775</t>
  </si>
  <si>
    <t>Open-Label Study of BBO-10203 in Subjects With Advanced Solid Tumors</t>
  </si>
  <si>
    <t>NCT06358053</t>
  </si>
  <si>
    <t>CRTE7A2-01 TCR-T Cells for HPV-16 Positive Advanced Cancers</t>
  </si>
  <si>
    <t>NCT06741969</t>
  </si>
  <si>
    <t>Nipocalimab in Moderate to Severe Sjogren's Disease</t>
  </si>
  <si>
    <t>NCT06360354</t>
  </si>
  <si>
    <t>A Study Evaluating Anvumetostat in Combination With Other Therapies in Participants With Advanced Gastrointestinal, Biliary Tract, or Pancreatic Cancers With Homozygous Methylthioadenosine Phosphorylase (MTAP)-Deletion (MTAPESTRY 103)</t>
  </si>
  <si>
    <t>NCT06296966</t>
  </si>
  <si>
    <t>A Study to Evaluate the Safety and Efficacy of VSJ-110 Compared to Placebo in the Treatment of Dry Eye</t>
  </si>
  <si>
    <t>NCT06209177</t>
  </si>
  <si>
    <t>Study of ARO-CFB in Adult Healthy Volunteers</t>
  </si>
  <si>
    <t>NCT06712680</t>
  </si>
  <si>
    <t>A Phase I/II Study of HYP-6589 Monotherapy in Treating Advanced Solid Tumors and in Combination With Tyrosine Kinase Inhibitors in Treating Patients With Advanced NSCLC Positive for Driver Genes</t>
  </si>
  <si>
    <t>NCT05171894</t>
  </si>
  <si>
    <t>A Study to Evaluate Efficacy and Safety of Light Dose in Subjects With PWB Treated With Hemoporfin PDT</t>
  </si>
  <si>
    <t>NCT06558227</t>
  </si>
  <si>
    <t>Study of ZG005 Combined With Bevacizumab Versus Sintilimab Combined With Bevacizumab in Advanced Hepatocellular Carcinoma</t>
  </si>
  <si>
    <t>NCT06440005</t>
  </si>
  <si>
    <t>A Study to Evaluate Safety, Tolerability and Preliminary Activity of AGX101 in Participants With Advanced Solid Tumors</t>
  </si>
  <si>
    <t>Angiex, Inc.</t>
  </si>
  <si>
    <t>NCT06716151</t>
  </si>
  <si>
    <t>A Study to Evaluate HB0034 in Healthy Chinese Adult Participants</t>
  </si>
  <si>
    <t>NCT06417853</t>
  </si>
  <si>
    <t>Influenza A (H7N9) Vaccine Delivered Intradermally by High-density Microarray Patch (HD-MAP)</t>
  </si>
  <si>
    <t>Vaxxas Pty Ltd</t>
  </si>
  <si>
    <t>NCT06424470</t>
  </si>
  <si>
    <t>Study on the Treatment of Prurigo Nodularis With Stapokibart Injection</t>
  </si>
  <si>
    <t>NCT06319170</t>
  </si>
  <si>
    <t>Open-label Trial Characterizing the PK of 3 SC Olanzapine Extended-release Formulations in Participants With Schizophrenia/Schizoaffective Disorder</t>
  </si>
  <si>
    <t>NCT07403266</t>
  </si>
  <si>
    <t>Treatment With Full-spectrum Cannabis Extract of Refractory Epilepsy Associated With Tuberous Sclerosis Complex (TSC)</t>
  </si>
  <si>
    <t>Oils4Cure</t>
  </si>
  <si>
    <t>NCT06632262</t>
  </si>
  <si>
    <t>A Phase 2 Clinical Study of ABSK061 and ABSK043</t>
  </si>
  <si>
    <t>NCT06719570</t>
  </si>
  <si>
    <t>A Study of Doravirine and Islatravir as a Single Entity or Combination Therapy and the Effect of Food in Healthy Adult Participants (MK-8591A-055)</t>
  </si>
  <si>
    <t>NCT05013983</t>
  </si>
  <si>
    <t>Clinical Trial of Recombinant COVID-19 Vaccine (Sf9 Cells) in Children and Adolescents</t>
  </si>
  <si>
    <t>NCT06674694</t>
  </si>
  <si>
    <t>The Purpose of This Study is to Determine the Safety, Tolerability, and Pharmacokinetics of Brexpiprazole Long-acting Injection Following a Single Administration in Healthy Subjects/Patients With Schizophrenia.</t>
  </si>
  <si>
    <t>Sichuan Kelun Pharmaceutical Co.,Ltd.</t>
  </si>
  <si>
    <t>NCT06538116</t>
  </si>
  <si>
    <t>A Study of Mevidalen (LY3154207) in Participants With Alzheimer's Disease</t>
  </si>
  <si>
    <t>NCT06279533</t>
  </si>
  <si>
    <t>Safety and Pharmacokinetics Study of Multiple Ascending Doses and Food Effect of LV232 Capsules</t>
  </si>
  <si>
    <t>NCT06406348</t>
  </si>
  <si>
    <t>A Phase 1 Trial to Assess Safety, Tolerability and Pharmacokinetics of ALIA-1758 in Healthy Participants</t>
  </si>
  <si>
    <t>NCT06506955</t>
  </si>
  <si>
    <t>Futibatinib in Patients Previously Enrolled in an Antecedent Futibatinib as Monotherapy or Combination Therapy.</t>
  </si>
  <si>
    <t>NCT06256484</t>
  </si>
  <si>
    <t>A Study to Evaluate the Safety and Preliminary Efficacy of ATA3219 in Participants With Relapsed/Refractory B-cell Non-Hodgkin Lymphoma</t>
  </si>
  <si>
    <t>Atara Biotherapeutics</t>
  </si>
  <si>
    <t>NCT06717152</t>
  </si>
  <si>
    <t>Efficacy and Safety of SJP-0132 Eye Drops in Chinese Patients With Dry Eye Disease</t>
  </si>
  <si>
    <t>Senju Pharmaceutical Science &amp; Technology (Beijing) Co., Ltd.</t>
  </si>
  <si>
    <t>NCT06868849</t>
  </si>
  <si>
    <t>A Study of JMT203 in Patients With Cancer Cachexia</t>
  </si>
  <si>
    <t>NCT07020949</t>
  </si>
  <si>
    <t>Multiple Dose Study to Investigate the Safety, Tolerability, Pharmacokinetics, and Efficacy of THDBH120 in Chinese Patients With T2DM</t>
  </si>
  <si>
    <t>NCT06263478</t>
  </si>
  <si>
    <t>A Study to Evaluate the Efficacy, Safety, and Pharmacokinetics of Axatilimab Monotherapy in Japanese Participants With Recurrent or Refractory Active Chronic Graft-Versus-Host Disease</t>
  </si>
  <si>
    <t>NCT06271538</t>
  </si>
  <si>
    <t>Evaluation of Efficacy of Skål Pro Powder on Symptoms of Irritable Bowel Syndrome</t>
  </si>
  <si>
    <t>EP Plus Group Sdn Bhd</t>
  </si>
  <si>
    <t>NCT06677138</t>
  </si>
  <si>
    <t>PK Study of Gefurulimab SC in Healthy Chinese Adult Participants</t>
  </si>
  <si>
    <t>NCT06634849</t>
  </si>
  <si>
    <t>An Open Label Dose Finding Study of PTT-4256 in Patients With Solid Tumours (RAISIC-1).</t>
  </si>
  <si>
    <t>Pathios Therapeutics Pty Ltd</t>
  </si>
  <si>
    <t>NCT06639347</t>
  </si>
  <si>
    <t>A Trial of SHR-A2102 With Antitumor Therapy in Advanced Urothelial Carcinoma</t>
  </si>
  <si>
    <t>NCT06329791</t>
  </si>
  <si>
    <t>A Phase 3 Study to Evaluate AZR-MD-001 in Patients with Abnormal Meibomian Gland Function and Dry Eye Disease (DED)</t>
  </si>
  <si>
    <t>NCT07181187</t>
  </si>
  <si>
    <t>Phase II Clinical Trial of MH004 Ointment in Patients With Non-segmental Vitiligo</t>
  </si>
  <si>
    <t>NCT06296706</t>
  </si>
  <si>
    <t>A Clinical Study of Docetaxel for Injection (Albumin-bound) in Patients With Gastric Cancer</t>
  </si>
  <si>
    <t>NCT06440525</t>
  </si>
  <si>
    <t>A Study of RSLV-132 in Females With Sjögren's Disease</t>
  </si>
  <si>
    <t>NCT05989126</t>
  </si>
  <si>
    <t>Study to Evaluate an 8 mg Aflibercept (EYLEA®) Prefilled Syringe (PFS)</t>
  </si>
  <si>
    <t>NCT06483789</t>
  </si>
  <si>
    <t>Efficacy and Safety of HB-1 for Panic Disorder</t>
  </si>
  <si>
    <t>NCT05949125</t>
  </si>
  <si>
    <t>Phase 1 Study of Allo-RevCAR01-T-CD123 in Patients With Selected CD123 Positive Hematologic Malignancies</t>
  </si>
  <si>
    <t>NCT06593938</t>
  </si>
  <si>
    <t>A Study to Evaluate the Efficacy and Safety of Oral HRS-5965 in Adult Paroxysmal Nocturnal Hemoglobinuria (PNH) Patients Who Are Naive to Complement Inhibitor Therapy</t>
  </si>
  <si>
    <t>NCT06247735</t>
  </si>
  <si>
    <t>Study to Evaluate the Efficacy and Safety of K-808 (Pemafibrate) in Participants With Primary Biliary Cholangitis (PBC) With Inadequate Response to Ursodeoxycholic Acid (UDCA) and/or Obeticholic Acid (OCA) Treatment.</t>
  </si>
  <si>
    <t>NCT05983250</t>
  </si>
  <si>
    <t>LEVosimendan to Improve Exercise Limitation in Patients With PH-HFpEF</t>
  </si>
  <si>
    <t>Tenax Therapeutics, Inc.</t>
  </si>
  <si>
    <t>NCT06486974</t>
  </si>
  <si>
    <t>Efficacy of Manual Toothbrushes in Removing Tooth Stains</t>
  </si>
  <si>
    <t>NCT06495723</t>
  </si>
  <si>
    <t>Polyspecific Antibodies in Lymphoproliferative T-cell Disorders</t>
  </si>
  <si>
    <t>NCT06850480</t>
  </si>
  <si>
    <t>A Phase III Clinical Trial for Efficacy and Safety Evaluation of JP-1366 Tablets on Reflux Esophagitis</t>
  </si>
  <si>
    <t>NCT06692738</t>
  </si>
  <si>
    <t>A Global Phase III Study of Rilvegostomig or Pembrolizumab Plus Chemotherapy for First-Line Treatment of Locally Advanced or Metastatic Squamous Non-small Cell Lung Cancer (NSCLC)</t>
  </si>
  <si>
    <t>NCT06413498</t>
  </si>
  <si>
    <t>A Study Comparing Anitocabtagene Autoleucel to Standard of Care Therapy in Participants With Relapsed/ Refractory Multiple Myeloma</t>
  </si>
  <si>
    <t>NCT06564584</t>
  </si>
  <si>
    <t>Phase 2a Study of Safety, Tolerability, and Efficacy of TLC-2716 in Subjects With Hypertriglyceridemia and NAFLD</t>
  </si>
  <si>
    <t>NCT06241235</t>
  </si>
  <si>
    <t>Study of ZG005 in Combination With Paclitaxel＋Platinum-based ± Bevacizumab in Patients With Advanced Cervical Carcinoma</t>
  </si>
  <si>
    <t>NCT06598735</t>
  </si>
  <si>
    <t>A Clinical Study of the Safety, Tolerability, Pharmacokinetics, and Initial Efficacy of HRS-4508 Monotherapy in Patients With Advanced or Metastatic Solid Tumors</t>
  </si>
  <si>
    <t>NCT06420297</t>
  </si>
  <si>
    <t>OLE Study of Carbetocin Nasal Spray for the Treatment of Hyperphagia in Prader-Willi Syndrome</t>
  </si>
  <si>
    <t>NCT06196840</t>
  </si>
  <si>
    <t>Safety and Efficacy of LX102 Gene Therapy in Patients With Neovascular Age-related Macular Degeneration (nAMD) (VENUS)</t>
  </si>
  <si>
    <t>NCT07625618</t>
  </si>
  <si>
    <t>A Pharmacokinetic and Safety Study of MY008211A Tablets in Subjects With Impaired or Normal Hepatic Function</t>
  </si>
  <si>
    <t>NCT06547359</t>
  </si>
  <si>
    <t>A Study to Evaluate Drug-Drug Interactions of Obicetrapib Tablets and Ezetimibe Tablets in Healthy Adult Subjects</t>
  </si>
  <si>
    <t>NCT06205615</t>
  </si>
  <si>
    <t>Treatment of Post-Punch Biopsy Bleeding in Apixaban-Treated Patients Using Self-Administered BXP154B</t>
  </si>
  <si>
    <t>NCT06733935</t>
  </si>
  <si>
    <t>A Phase 1/2 Study of NKX019 in Subjects With Immune-Mediated Diseases (Ntrust-2)</t>
  </si>
  <si>
    <t>NCT06750276</t>
  </si>
  <si>
    <t>A Study to Evaluate the Safety, Tolerability, PK, and PD Effects of AZD2389 in Participants With Liver Fibrosis and Compensated Cirrhosis.</t>
  </si>
  <si>
    <t>NCT06539182</t>
  </si>
  <si>
    <t>DZD8586 in Patients With Relapsed or Refractory CLL/SLL (TAI-SHAN8)</t>
  </si>
  <si>
    <t>NCT06211023</t>
  </si>
  <si>
    <t>A Study of SHR-A1921 With or Without Carboplatin in Subjects With Ovarian Cancer</t>
  </si>
  <si>
    <t>NCT06677203</t>
  </si>
  <si>
    <t>Study of ASN51 in Adults With Early Alzheimer's Disease</t>
  </si>
  <si>
    <t>NCT06226727</t>
  </si>
  <si>
    <t>A Study to Evaluate the Pharmacokinetics and the Safety After Administration of "BR1019" and Co-administration of "BR1019-1" and "BR1019-2"</t>
  </si>
  <si>
    <t>NCT06329141</t>
  </si>
  <si>
    <t>A Study to Assess the Efficacy and Safety of Vutiglabridin in Early Parkinson's Disease Patients</t>
  </si>
  <si>
    <t>NCT06671054</t>
  </si>
  <si>
    <t>A Dose Response Study to Evaluate the Efficacy and Safety of Oral AP1189 Administered in Disease-Modifying Anti-Rheumatic Drug (DMARD) naïve Participants Participants With Early Rheumatoid Arthritis</t>
  </si>
  <si>
    <t>NCT06228053</t>
  </si>
  <si>
    <t>Study of SX-682 Plus Enzalutamide in Men With ARPI-Resistant Metastatic Castration Resistant Prostate Cancer</t>
  </si>
  <si>
    <t>NCT06429137</t>
  </si>
  <si>
    <t>A Study in Healthy Men to Test How Well Different Doses of BI 3731579 Are Tolerated</t>
  </si>
  <si>
    <t>NCT06413654</t>
  </si>
  <si>
    <t>A Clinical Study of B001 Injection in the Treatment of Neuromyelitis Optica Spectrum Disorders(NMOSD)</t>
  </si>
  <si>
    <t>NCT06586294</t>
  </si>
  <si>
    <t>A Study of Anti-PD-1 and LAG-3 Bispecific Antibody(AK129) Combined With Chemotherapy With or Without Cadonilimab in the First-line Treatment of Unresectable Locally Advanced or Metastatic G/ GEJ Adenocarcinoma</t>
  </si>
  <si>
    <t>NCT06547502</t>
  </si>
  <si>
    <t>Pharmacokinetics and Safety Profile of a Single Dose GZR4 in Subjects with Renal Impairment</t>
  </si>
  <si>
    <t>NCT06015737</t>
  </si>
  <si>
    <t>A Phase III Study to Investigate the Efficacy and Safety of Anifrolumab in Adults With Chronic and/or Subacute Cutaneous Lupus Erythematosus</t>
  </si>
  <si>
    <t>NCT06641089</t>
  </si>
  <si>
    <t>Evaluation of Sonelokimab in Patients With Active Psoriatic Arthritis and Anti-TNFα Inadequate Response</t>
  </si>
  <si>
    <t>NCT06523803</t>
  </si>
  <si>
    <t>A Study of ZW171 in Participants With Advanced or Metastatic Mesothelin-expressing Cancers</t>
  </si>
  <si>
    <t>NCT06076642</t>
  </si>
  <si>
    <t>A Study About the Long-Term Safety of TAK-881 in People With Primary Immunodeficiency Diseases</t>
  </si>
  <si>
    <t>NCT06436703</t>
  </si>
  <si>
    <t>A Study About Modified RNA Vaccines Against Influenza in Healthy Adults</t>
  </si>
  <si>
    <t>NCT06310005</t>
  </si>
  <si>
    <t>A Study in Healthy Japanese Men to Test How Well Different Doses of BI 3006337 Are Tolerated</t>
  </si>
  <si>
    <t>NCT06603246</t>
  </si>
  <si>
    <t>A Study to Test the Safety and Effects of Inhaled GDC-6988 in Participants With Muco-obstructive Disease</t>
  </si>
  <si>
    <t>NCT06534346</t>
  </si>
  <si>
    <t>The Food Effect on Pharmacokinetics of DA-302168S</t>
  </si>
  <si>
    <t>NCT06534723</t>
  </si>
  <si>
    <t>Phase 3 Clinical Trial of Wujia Yizhi Granules in the Treatment of Mild-to-moderate Alzheimer's Dementia (Syndrome of Deficiency of Spleen and Kidney)</t>
  </si>
  <si>
    <t>NCT05923073</t>
  </si>
  <si>
    <t>A Study of Guselkumab in Pediatric Participants With Moderately to Severely Active Crohn's Disease</t>
  </si>
  <si>
    <t>NCT06104683</t>
  </si>
  <si>
    <t>A Study of Pirtobrutinib (LY3527727 [LOXO-305]) Versus Placebo in Participants With Relapsing Multiple Sclerosis</t>
  </si>
  <si>
    <t>NCT06131554</t>
  </si>
  <si>
    <t>A Clinical Trial to Evaluate the Immunogenicity and Safety of Group ACYW135 Meningococcal Conjugate Vaccine (CRM197) in Adults Aged 18 to 55 Years</t>
  </si>
  <si>
    <t>NCT06292780</t>
  </si>
  <si>
    <t>A Trial to Learn if Linvoseltamab is Safe and Works in Adults With Relapsed or Refractory Systemic Light Chain Amyloidosis (AL Amyloidosis)</t>
  </si>
  <si>
    <t>NCT06170723</t>
  </si>
  <si>
    <t>A Study to Assess the Effects of Itraconazole, Food, and pH on the Drug Levels of BMS-986368 in Healthy Participants</t>
  </si>
  <si>
    <t>NCT06225596</t>
  </si>
  <si>
    <t>Study BT8009-230 in Participants With Locally Advanced or Metastatic Urothelial Cancer (Duravelo-2)</t>
  </si>
  <si>
    <t>NCT06238466</t>
  </si>
  <si>
    <t>A Study to Investigate Safety, Tolerability, Pharmacokinetics, and Pharmacodynamics of AZD1705 in Participants With Dyslipidemia</t>
  </si>
  <si>
    <t>NCT06480461</t>
  </si>
  <si>
    <t>A Trial to Evaluate Safety and Efficacy of a Product Named VGN-R09b in Patients With Parkinson's Disease</t>
  </si>
  <si>
    <t>NCT06356194</t>
  </si>
  <si>
    <t>Drug-drug Interaction Study of Biktarvy and Bemnifosbuvir/Ruzasvir</t>
  </si>
  <si>
    <t>NCT06656494</t>
  </si>
  <si>
    <t>ICP-248 in Combination With Azacitidine for the Treatment in Patients With Myeloid Malignancies</t>
  </si>
  <si>
    <t>NCT06342596</t>
  </si>
  <si>
    <t>A Study of Carbon-14-Labelled [14C] LY3473329 in Healthy Male Participants</t>
  </si>
  <si>
    <t>NCT06541405</t>
  </si>
  <si>
    <t>Safety and Efficacy of NK520 to Treat Pediatric Relapsed/Refractory Acute Myeloid Leukemia</t>
  </si>
  <si>
    <t>NCT06637423</t>
  </si>
  <si>
    <t>A Clinical Study of Sacituzumab Tirumotecan (MK-2870) in Patients With Bladder Cancer (MK-2870-027)</t>
  </si>
  <si>
    <t>NCT06954779</t>
  </si>
  <si>
    <t>Arginine Plaque Metabolism Pilot Clinical Study</t>
  </si>
  <si>
    <t>NCT06653296</t>
  </si>
  <si>
    <t>A Dose-Response Safety Study of ENX-102 in Patients With GAD</t>
  </si>
  <si>
    <t>NCT06347861</t>
  </si>
  <si>
    <t>A Study to Learn How Various Tablets of the Study Medicine Vepdegestrant Are Taken up Into the Blood of Healthy Adults</t>
  </si>
  <si>
    <t>NCT06545331</t>
  </si>
  <si>
    <t>Study of XB010 in Subjects With Solid Tumors</t>
  </si>
  <si>
    <t>NCT06433557</t>
  </si>
  <si>
    <t>A Phase 2 Clinical Trial to Evaluate Efficacy, Safety, and Tolerability of Navepegritide in Combination With Lonapegsomatropin in Children With Achondroplasia</t>
  </si>
  <si>
    <t>NCT06370351</t>
  </si>
  <si>
    <t>A Phase I/II Clinical Trial With SENS-501 in Children Suffering From Severe to Profound Hearing Loss Due to Otoferlin (OTOF) Mutations</t>
  </si>
  <si>
    <t>NCT06454630</t>
  </si>
  <si>
    <t>A Trial to Learn How Well REGN7508 Works for Preventing Blood Clots After a Knee Replacement in Adult Participants</t>
  </si>
  <si>
    <t>NCT06748001</t>
  </si>
  <si>
    <t>Avapritinib Rollover Study</t>
  </si>
  <si>
    <t>NCT06227156</t>
  </si>
  <si>
    <t>Disitamab Vedotin in the Treatment With HER2- Expression, Subjects With Locally Advanced or Metastatic Castration-resistant Prostate Cancer</t>
  </si>
  <si>
    <t>NCT06518122</t>
  </si>
  <si>
    <t>A Study to Evaluate the Drug-drug Interaction and Safety Between HCP1306, RLD2302 and RLD2102 in Healthy Volunteers</t>
  </si>
  <si>
    <t>NCT06682975</t>
  </si>
  <si>
    <t>A Research Study Looking at the Safety of Single and Multiple Doses of ZP9830 and How it Works in the Body of Healthy Participants</t>
  </si>
  <si>
    <t>NCT06158841</t>
  </si>
  <si>
    <t>Study Assessing Activity of Intravenous (IV) Etentamig Monotherapy Versus Standard Available Therapies in Adult Participants With Relapsed or Refractory Multiple Myeloma</t>
  </si>
  <si>
    <t>NCT06437951</t>
  </si>
  <si>
    <t>to Evaluate the Safety/Tolerability and Pharmacokinetics, and Pharmacodynamics of DWP14012 Injection</t>
  </si>
  <si>
    <t>NCT06462820</t>
  </si>
  <si>
    <t>SAINT for MDD in an Inpatient Setting Follow-on</t>
  </si>
  <si>
    <t>Magnus Medical</t>
  </si>
  <si>
    <t>NCT06169579</t>
  </si>
  <si>
    <t>An Open-label, Phase 1 Study to Determine the Maximum Tolerated Dose of ND-003 in Patients With Advanced Solid Cancers</t>
  </si>
  <si>
    <t>NCT06403761</t>
  </si>
  <si>
    <t>Investigating How CagriSema, Semaglutide and Cagrilintide Regulate Insulin Effects in the Body of People With Type 2 Diabetes</t>
  </si>
  <si>
    <t>NCT06459180</t>
  </si>
  <si>
    <t>A Study to Compare Sacituzumab Tirumotecan (MK-2870) Monotherapy Versus Treatment of Physician's Choice as Second-line Treatment for Participants With Recurrent or Metastatic Cervical Cancer (MK-2870-020/TroFuse-020/Gog-3101/ENGOT-cx20)</t>
  </si>
  <si>
    <t>NCT06190886</t>
  </si>
  <si>
    <t>A First-in-human (FIH), Phase I Study of PTX-912 in Patients with Locally Advanced/Metastatic Solid Tumors</t>
  </si>
  <si>
    <t>Proviva Therapeutics, Inc.</t>
  </si>
  <si>
    <t>NCT06242470</t>
  </si>
  <si>
    <t>A Study of MGC026 in Participants With Advanced Solid Tumors</t>
  </si>
  <si>
    <t>NCT06434961</t>
  </si>
  <si>
    <t>The Trial of SHR6508 in Secondary Hyperparathyroidism</t>
  </si>
  <si>
    <t>NCT06602479</t>
  </si>
  <si>
    <t>A Study to Investigate the Safety and Efficacy of MEDI0618 Compared to Placebo in Adult Participants With Episodic Migraine</t>
  </si>
  <si>
    <t>NCT05684380</t>
  </si>
  <si>
    <t>Efficacy and Safety of MAZ-101 in the Treatment of Persistent Allergic Rhinitis (PER)</t>
  </si>
  <si>
    <t>NCT06627088</t>
  </si>
  <si>
    <t>A Study of LY4100511 (DC-853) Mass Balance and Absolute Bioavailability of LY4100511 in Healthy Male Participants</t>
  </si>
  <si>
    <t>NCT06767813</t>
  </si>
  <si>
    <t>Clinical Study of TQB2868 Injection Combined With Anlotinib Capsule and Chemotherapy in the First-line Treatment of Metastatic Pancreatic Neoplasms</t>
  </si>
  <si>
    <t>NCT06497517</t>
  </si>
  <si>
    <t>A Study to Investigate the Effect of Food on Camlipixant Concentrations in Healthy Participants</t>
  </si>
  <si>
    <t>NCT06639997</t>
  </si>
  <si>
    <t>Safety and Tolerability of AZD5148 in Japanese Participants</t>
  </si>
  <si>
    <t>NCT06245213</t>
  </si>
  <si>
    <t>A Study of ANAVEX3-71 in Adults With Schizophrenia</t>
  </si>
  <si>
    <t>NCT06433505</t>
  </si>
  <si>
    <t>A Study to Evaluate the Drug Levels, Metabolism and Excretion, and Absolute Bioavailability of BMS-986365 in Healthy Male Participants</t>
  </si>
  <si>
    <t>NCT06189170</t>
  </si>
  <si>
    <t>Phase I Study to Evaluate KP405 in Healthy and Parkinson's Disease Patients</t>
  </si>
  <si>
    <t>Kariya Pharmaceuticals</t>
  </si>
  <si>
    <t>NCT06765005</t>
  </si>
  <si>
    <t>IB/IIa Study of MG-K10 in Adolescent Moderately Severe Patients</t>
  </si>
  <si>
    <t>NCT06360094</t>
  </si>
  <si>
    <t>A Study to Test Whether BI 1839100 Improves Cough in People With Idiopathic Pulmonary Fibrosis or Progressive Pulmonary Fibrosis</t>
  </si>
  <si>
    <t>NCT06465069</t>
  </si>
  <si>
    <t>A Study of LY4052031 in Participants With Advanced or Metastatic Urothelial Cancer or Other Solid Tumors</t>
  </si>
  <si>
    <t>NCT06466486</t>
  </si>
  <si>
    <t>An Exploratory Study to Investigate the Effect of FE 999302 When Given Together With Follitropin Delta During Controlled Ovarian Stimulation</t>
  </si>
  <si>
    <t>NCT06497556</t>
  </si>
  <si>
    <t>A Study Evaluating the Efficacy and Safety of Divarasib Versus Sotorasib or Adagrasib in Participants With Previously Treated KRAS G12C-positive Advanced or Metastatic Non-Small Cell Lung Cancer</t>
  </si>
  <si>
    <t>NCT06505551</t>
  </si>
  <si>
    <t>Phase 1/2 Study of Autologous SCG142 TCR T Cells in Patients With HPV16/52-positive Carcinoma</t>
  </si>
  <si>
    <t>NCT06606483</t>
  </si>
  <si>
    <t>A Study to Evaluate the Efficacy and Safety of MDR-001 in Subjects Who Are Obesity or Overweight</t>
  </si>
  <si>
    <t>NCT06719141</t>
  </si>
  <si>
    <t>A Study to Investigate LP352 in Children and Adults With Developmental and Epileptic Encephalopathies (DEE)</t>
  </si>
  <si>
    <t>NCT06247670</t>
  </si>
  <si>
    <t>Study of CMP-CPS-001 in Healthy Volunteers and Participants With Abnormal Heterozygous OTC Genotype</t>
  </si>
  <si>
    <t>CAMP4 Therapeutics Corporation</t>
  </si>
  <si>
    <t>NCT06375031</t>
  </si>
  <si>
    <t>Comparison of HR011408 and NovoRapid® in Subjects With Diabetics</t>
  </si>
  <si>
    <t>NCT06259903</t>
  </si>
  <si>
    <t>Subcutaneous Administration of MD-18 in Healthy Subjects</t>
  </si>
  <si>
    <t>Cohen Global, Ltd.</t>
  </si>
  <si>
    <t>NCT06683742</t>
  </si>
  <si>
    <t>A 2-year Study of EYP-1901 in Subjects With Wet Age Related Macular Degeneration (wAMD) (LUCIA) Primary Efficacy Will be Determined at Week 56</t>
  </si>
  <si>
    <t>NCT06451770</t>
  </si>
  <si>
    <t>Phase 1b Study of VERVE-201 in Patients With Refractory Hyperlipidemia</t>
  </si>
  <si>
    <t>NCT06243354</t>
  </si>
  <si>
    <t>Phase 1/2 Study of HYP-2090PTSA in Patients With Advanced Solid Tumors Harboring KRAS Mutation</t>
  </si>
  <si>
    <t>NCT06373094</t>
  </si>
  <si>
    <t>A Single Dose Escalation Study of HHT201 in Healthy Subjects</t>
  </si>
  <si>
    <t>NCT06622941</t>
  </si>
  <si>
    <t>Study to ONO-4538 in Patients With Rhabdoid Tumor</t>
  </si>
  <si>
    <t>NCT06451666</t>
  </si>
  <si>
    <t>Safety and Efficacy Study of Pilocarpine HCl Ophthalmic Solution in Participants With Presbyopia</t>
  </si>
  <si>
    <t>NCT06381141</t>
  </si>
  <si>
    <t>A Study of CLN-619 (Anti-MICA/MICB Antibody) in Patients With Relapsed and Refractory Multiple Myeloma</t>
  </si>
  <si>
    <t>NCT06617169</t>
  </si>
  <si>
    <t>Dose-Escalation of MNPR-101-PCTA-177Lu in Solid Tumors</t>
  </si>
  <si>
    <t>NCT06402331</t>
  </si>
  <si>
    <t>FPI-2265 (225Ac-PSMA-I&amp;T) for Patients With PSMA-Positive Metastatic Castration-Resistant Prostate Cancer (mCRPC)</t>
  </si>
  <si>
    <t>NCT06328673</t>
  </si>
  <si>
    <t>A Study of DM919 Alone and in Combination With Pembrolizumab in Advanced Solid Tumors</t>
  </si>
  <si>
    <t>D2M Biotherapeutics Inc.</t>
  </si>
  <si>
    <t>NCT06904248</t>
  </si>
  <si>
    <t>Efficacy and Safety of Intravenous Meloxicam in Subjects With Moderate-to-severe Pain Following Abdominal Surgery</t>
  </si>
  <si>
    <t>NCT06342778</t>
  </si>
  <si>
    <t>Pharmacokinetics and Bioequivalence of Doxylamine+Pyridoxine and Diclectin Under Fed Conditions in Healthy Volunteers</t>
  </si>
  <si>
    <t>NCT06246643</t>
  </si>
  <si>
    <t>A Study of Continued Treatment With Regorafenib in Participants With Solid Tumors Who Have Participated in Other Bayer Studies</t>
  </si>
  <si>
    <t>NCT06069778</t>
  </si>
  <si>
    <t>Safety, Tolerability, and Efficacy of mFOLFIRINOX ± BNT321 as Adjuvant Therapy Following Curative Resection in Patients With Pancreatic Adenocarcinoma</t>
  </si>
  <si>
    <t>NCT06308198</t>
  </si>
  <si>
    <t>A Study to Evaluate AGN-151586 Intramuscular Injections in Adult Participants for Treatment of Glabellar Lines</t>
  </si>
  <si>
    <t>NCT06595706</t>
  </si>
  <si>
    <t>Evaluating the Safety and Pharmacokinetics of Multiple Ascending Doses of Lucid-21-302 in Healthy Adult Participants</t>
  </si>
  <si>
    <t>Huge Biopharma Australia Pty Ltd</t>
  </si>
  <si>
    <t>NCT06452693</t>
  </si>
  <si>
    <t>A Clinical Study to Evaluate the Efficacy of TQA3038 Injection in Patients With Chronic Hepatitis B</t>
  </si>
  <si>
    <t>NCT06642558</t>
  </si>
  <si>
    <t>Safety and Immunogenicity of Recombinant RSV Vaccine (CHO Cell) in Healthy Subjects Aged 18 Years and Above</t>
  </si>
  <si>
    <t>NCT06003387</t>
  </si>
  <si>
    <t>Efficacy and Safety of CSL222 (Etranacogene Dezaparvovec) Gene Therapy in Adults With Hemophilia B With Pretreatment Adeno-associated Virus Serotype 5 (AAV5) Neutralizing Antibodies (Nabs)</t>
  </si>
  <si>
    <t>NCT06105021</t>
  </si>
  <si>
    <t>Phase I Study of Autologous CD8+ and CD4+ Engineered T Cell Receptor T Cells in Subjects With Advanced or Metastatic Solid Tumor</t>
  </si>
  <si>
    <t>Affini-T Therapeutics, Inc.</t>
  </si>
  <si>
    <t>NCT06727552</t>
  </si>
  <si>
    <t>A Study of Barzolvolimab in Patients With Atopic Dermatitis</t>
  </si>
  <si>
    <t>NCT06994052</t>
  </si>
  <si>
    <t>Study on Booster Immunization With Varicella Vaccine at Different Intervals</t>
  </si>
  <si>
    <t>NCT06675864</t>
  </si>
  <si>
    <t>Open-label, Multi-center, Phase I/II Study to Assess Safety, Disease Progression and Cellular Kinetics Following YTB323 Administration in Participants With Non-active Progressive Multiple Sclerosis (PMS)</t>
  </si>
  <si>
    <t>NCT06298032</t>
  </si>
  <si>
    <t>A Study Investigating the Safety, Tolerability, Immunogenicity and Pharmacokinetics of Olamkicept in Healthy Persons</t>
  </si>
  <si>
    <t>NCT06439563</t>
  </si>
  <si>
    <t>Study to Evaluate the Efficacy and Safety of JP-1366 in the Prevention of NSAIDs-Induced Peptic Ulcers</t>
  </si>
  <si>
    <t>NCT06585449</t>
  </si>
  <si>
    <t>A Study to Evaluate ALN-HTT02 in Adult Patients With Huntington's Disease</t>
  </si>
  <si>
    <t>NCT06428838</t>
  </si>
  <si>
    <t>Eptinezumab as an Adjunct to Standard of Care for Migraine in an Acute Emergency Context</t>
  </si>
  <si>
    <t>Dr George Medvedev</t>
  </si>
  <si>
    <t>NCT06302426</t>
  </si>
  <si>
    <t>Trial of INI-4001 in Patients With Advanced Solid Tumours</t>
  </si>
  <si>
    <t>NCT06492304</t>
  </si>
  <si>
    <t>A Safety and Efficacy Study Evaluating CTX131 in Adult Subjects With Relapsed/Refractory Hematologic Malignancies</t>
  </si>
  <si>
    <t>CRISPR Therapeutics</t>
  </si>
  <si>
    <t>NCT06298552</t>
  </si>
  <si>
    <t>A Phase 3 Study to Evaluate the Efficacy and Safety of Efgartigimod IV in Patients With Acetylcholine Receptor Binding Antibody Seronegative Generalized Myasthenia Gravis</t>
  </si>
  <si>
    <t>NCT06851949</t>
  </si>
  <si>
    <t>Vsling™ I: Clinical Evaluation of the Vsling™ Device for Ventricular Repair in Patients With Heart Failure</t>
  </si>
  <si>
    <t>Cardiac Success</t>
  </si>
  <si>
    <t>NCT06573814</t>
  </si>
  <si>
    <t>The Effects of Bio Gelee Royale Forte on Immune Health in Healthy Adults</t>
  </si>
  <si>
    <t>Medex d.o.o.</t>
  </si>
  <si>
    <t>NCT06602284</t>
  </si>
  <si>
    <t>A Full Face Study to Evaluate the Efficacy of Dermapen 4™ Microneedling Device in Addition with MG-CLR Serum for Acne Treatment Over 12 Weeks.</t>
  </si>
  <si>
    <t>Equipmed USA LLC</t>
  </si>
  <si>
    <t>NCT06233084</t>
  </si>
  <si>
    <t>Desogestrel Tablets (0.075 mg) Relative to Originator Desogestrel Tablets (0.075 mg)</t>
  </si>
  <si>
    <t>NCT06432647</t>
  </si>
  <si>
    <t>A SAD and MAD Study of the Safety, Tolerability, and Pharmacokinetics of ATH-1105</t>
  </si>
  <si>
    <t>NCT05901831</t>
  </si>
  <si>
    <t>A Study to Learn How Well the Study Treatment Finerenone Works and How Safe it is in People With Long-term Decrease in the Kidneys' Ability to Work Properly (Chronic Kidney Disease) Together With Type 1 Diabetes</t>
  </si>
  <si>
    <t>NCT06699329</t>
  </si>
  <si>
    <t>A Study of Enlicitide Decanoate (MK-0616) and Semaglutide in Healthy Adult Participants (MK-0616-023)</t>
  </si>
  <si>
    <t>NCT05953831</t>
  </si>
  <si>
    <t>Reverse Remodeling Effects of CDR132L in Patients With Heart Failure With Mildly Reduced or Preserved Ejection Fraction and Cardiac Hypertrophy</t>
  </si>
  <si>
    <t>NCT06266000</t>
  </si>
  <si>
    <t>Comparison of 2 Extracts of Saw Palmetto Versus Placebo on Lower Urinary Tract Symptoms (LUTS) and Urinary Frequency</t>
  </si>
  <si>
    <t>NCT06740799</t>
  </si>
  <si>
    <t>Assessment of Quizartinib Pharmacokinetic in Subjects With Severe Hepatic Impairment</t>
  </si>
  <si>
    <t>NCT05017298</t>
  </si>
  <si>
    <t>Clinical Study for Subjects With COVID-19 Using Allogeneic Adipose Tissue-Derived Mesenchymal Stem Cells</t>
  </si>
  <si>
    <t>NCT06348498</t>
  </si>
  <si>
    <t>Pharmacokinetic and Pharmacodynamic of Jia Shen Tablets in Chronic Heart Failure</t>
  </si>
  <si>
    <t>NCT05709314</t>
  </si>
  <si>
    <t>A Study of AMDX-2011P in Participants With CAA</t>
  </si>
  <si>
    <t>NCT05926258</t>
  </si>
  <si>
    <t>Efficacy and Safety of Chloroprocaine 3% Gel and Oxybuprocaine 0.4% Eye Drops Anesthesia in Pediatric Population</t>
  </si>
  <si>
    <t>NCT06527755</t>
  </si>
  <si>
    <t>A Study to Assess the PK, PD, Safety and Tolerability of Eplontersen in Healthy Chinese Volunteers</t>
  </si>
  <si>
    <t>NCT06493578</t>
  </si>
  <si>
    <t>A Study to Evaluate the Efficacy, Safety, and Pharmacokinetics of VYN201 Gel in Subjects With Non-segmental Vitiligo.</t>
  </si>
  <si>
    <t>NCT06168409</t>
  </si>
  <si>
    <t>A Study to Investigate the Effect of Baxdrostat on Ambulatory Blood Pressure in Participants With Resistant Hypertension</t>
  </si>
  <si>
    <t>NCT06763965</t>
  </si>
  <si>
    <t>Evaluating the Safety and Efficacy of BioTTT001 in Patients With Recurrent/Progressive High-grade Glioma.</t>
  </si>
  <si>
    <t>NCT06492564</t>
  </si>
  <si>
    <t>Dose, Safety and Pathogenicity of SARS-CoV-2 (COVID-19) Omicron Virus (BA.5)</t>
  </si>
  <si>
    <t>NCT06554847</t>
  </si>
  <si>
    <t>Evaluation of 611 in Combination With Topical Corticosteroid in Participants With Moderate to Severe Atopic Dermatitis</t>
  </si>
  <si>
    <t>NCT06588855</t>
  </si>
  <si>
    <t>A Study to Assess the Efficacy and Safety of Induction Therapy With Afimkibart (Also Known as RO7790121) in Participants With Moderately to Severely Active Ulcerative Colitis</t>
  </si>
  <si>
    <t>NCT06541444</t>
  </si>
  <si>
    <t>Safety and Efficacy of NK520 to Treat Relapsed/Refractory Acute Myeloid Leukemia</t>
  </si>
  <si>
    <t>NCT06821334</t>
  </si>
  <si>
    <t>A Single Dose Study of MK-6194 in Healthy Chinese Participants (MK-6194-014)</t>
  </si>
  <si>
    <t>NCT05854615</t>
  </si>
  <si>
    <t>Efficacy and Safety of Stempeucel® in Patients With Critical Limb Ischemia (CLI) Due to Buerger's Disease</t>
  </si>
  <si>
    <t>NCT07156136</t>
  </si>
  <si>
    <t>Study of IMC-P115C in Advanced PRAME-Positive Cancers</t>
  </si>
  <si>
    <t>NCT07076706</t>
  </si>
  <si>
    <t>Clinical Trial to Evaluate CG2001 in Chinese Adult Male Participants With Androgenetic Alopecia</t>
  </si>
  <si>
    <t>NCT06301971</t>
  </si>
  <si>
    <t>A Study to Assess Mass Balance, Pharmacokinetics, Metabolism, and Excretion of Emraclidine in Healthy Adult Male Participants</t>
  </si>
  <si>
    <t>NCT06255665</t>
  </si>
  <si>
    <t>A Study of JNJ-79032421 Targeting Mesothelin for Advanced Stage Solid Tumors</t>
  </si>
  <si>
    <t>NCT06372964</t>
  </si>
  <si>
    <t>Multicenter Study of Lumateperone for the Treatment of Bipolar Depression in Pediatric Patients</t>
  </si>
  <si>
    <t>NCT06236009</t>
  </si>
  <si>
    <t>A First-In-Human Study of TAK-004 in Healthy Adults</t>
  </si>
  <si>
    <t>NCT06197009</t>
  </si>
  <si>
    <t>Efficacy and Safety of SCT650C in Participants With Axial Spondyloarthritis</t>
  </si>
  <si>
    <t>NCT06812221</t>
  </si>
  <si>
    <t>Efficacy of Sublingual 5-MeO-DMT for Reducing Anxiety and Depression in MCI</t>
  </si>
  <si>
    <t>NCT06291285</t>
  </si>
  <si>
    <t>A Study to Test How Either a Capsule or a Tablet With NDec (Decitabine and Tetrahydrouridine) Works in the Body of Healthy People</t>
  </si>
  <si>
    <t>NCT06341335</t>
  </si>
  <si>
    <t>A Study of AK104/Placebo Plus AK109/Placebo And Paclitaxel in Gastric or Gastroesophageal Junction Adenocarcinoma</t>
  </si>
  <si>
    <t>NCT06417008</t>
  </si>
  <si>
    <t>A Study of HS-20117 Combined With Aumolertinib in Participants With Advanced Non-Squamous Non-Small Cell Lung Cancer</t>
  </si>
  <si>
    <t>NCT06496243</t>
  </si>
  <si>
    <t>Impact of Obicetrapib and Obicetrapib Plus Repatha on Lp(a) Levels</t>
  </si>
  <si>
    <t>NCT06491225</t>
  </si>
  <si>
    <t>Autologous Tumor-Infiltrating Lymphocyte (GTE-001 Injection ) for Treatment of Patients With Advanced Lung Adenocarcinoma</t>
  </si>
  <si>
    <t>NCT06901648</t>
  </si>
  <si>
    <t>A Study of HS-20094 in Patients With T2DM</t>
  </si>
  <si>
    <t>NCT06610526</t>
  </si>
  <si>
    <t>A Study of Dapagliflozin in Chinese Adult Patients With Chronic Kidney Disease</t>
  </si>
  <si>
    <t>NCT07421232</t>
  </si>
  <si>
    <t>A Study to Evaluate the Safety, Efficacy of SYH2053 in Chinese Participants With Non-familial Hypercholesterolemia and Mixed Hyperlipidemia</t>
  </si>
  <si>
    <t>NCT06615193</t>
  </si>
  <si>
    <t>A Study of HDM2005 in Patients With Relapsed/Refractory B-cell Lymphoma and Advanced Solid Tumor</t>
  </si>
  <si>
    <t>NCT06208306</t>
  </si>
  <si>
    <t>A Study to Investigate Long-term Safety and Tolerability of Itepekimab in Participants With COPD</t>
  </si>
  <si>
    <t>NCT06625814</t>
  </si>
  <si>
    <t>A Study of Levothyroxine and Enlicitide Decanoate (MK-0616) in Healthy Adult Participants (MK-0616-028)</t>
  </si>
  <si>
    <t>NCT07138378</t>
  </si>
  <si>
    <t>A Bioavailability Study of Nilotinib in Healthy, Adult, Human Subjects Under Fasted Conditions.</t>
  </si>
  <si>
    <t>NCT06578585</t>
  </si>
  <si>
    <t>A Trial Investigating Lu AG09222 With Ubrogepant in Participants With Migraine</t>
  </si>
  <si>
    <t>NCT06695689</t>
  </si>
  <si>
    <t>An Investigator-initiated Clinical Study of LM303 Injection for the Treatment of Advanced Solid Tumours</t>
  </si>
  <si>
    <t>NCT06632457</t>
  </si>
  <si>
    <t>LIVERAGE™ - Cirrhosis: A Study to Test Whether Survodutide Helps People With a Liver Disease Called NASH/MASH Who Have Cirrhosis</t>
  </si>
  <si>
    <t>NCT07245667</t>
  </si>
  <si>
    <t>Topical Tolnaftate Stick for Tinea Pedis: An Open-Label Interventional Study</t>
  </si>
  <si>
    <t>Propedix, Inc.</t>
  </si>
  <si>
    <t>NCT06334211</t>
  </si>
  <si>
    <t>Safety, Tolerability, and Pharmacokinetics, of Single and Multiple Ascending Doses of FP-020 in Healthy Adult Volunteers</t>
  </si>
  <si>
    <t>NCT06497504</t>
  </si>
  <si>
    <t>Study of Bepirovirsen in Participants Living With Human Immunodeficiency Virus and Chronic Hepatitis B Virus Infection (B-Focus)</t>
  </si>
  <si>
    <t>NCT06698926</t>
  </si>
  <si>
    <t>A Study to Assess the Safety, Tolerability, and Interactions of ABBV-CLS-616 Oral Tablets in Healthy Adult Participants</t>
  </si>
  <si>
    <t>NCT06394713</t>
  </si>
  <si>
    <t>A Study to Evaluate the Efficacy and Safety of QLF31907 Combination Therapy in Patients With Advanced Malignant Tumors</t>
  </si>
  <si>
    <t>NCT06153966</t>
  </si>
  <si>
    <t>PrProfile: A Study to Assess the Safety, Tolerability, Pharmacokinetics and Pharmacodynamics of ION717</t>
  </si>
  <si>
    <t>NCT06355856</t>
  </si>
  <si>
    <t>Efficacy/ Safety of DNN.22.17.036 in Male Patients With Pattern Hair Loss</t>
  </si>
  <si>
    <t>NCT06698939</t>
  </si>
  <si>
    <t>ORKA-001 in Healthy Volunteers</t>
  </si>
  <si>
    <t>Oruka Therapeutics, Inc.</t>
  </si>
  <si>
    <t>NCT06176040</t>
  </si>
  <si>
    <t>A Study of TAVO101 in Atopic Dermatitis Patients</t>
  </si>
  <si>
    <t>NCT06172478</t>
  </si>
  <si>
    <t>A Study of HER3-DXd in Subjects With Locally Advanced or Metastatic Solid Tumors</t>
  </si>
  <si>
    <t>NCT06411249</t>
  </si>
  <si>
    <t>A Study Describing the Efficacy and Safety of Belimumab Administered in Adult Participants With Early Systemic Lupus Erythematosus (SLE)</t>
  </si>
  <si>
    <t>NCT07298343</t>
  </si>
  <si>
    <t>Evaluating the Efficacy and Tolerability of ZED1227 in Subjects With Non-responsive Celiac Disease</t>
  </si>
  <si>
    <t>NCT06408935</t>
  </si>
  <si>
    <t>Transmural Healing and Disease-Modifying Effect of Guselkumab in Crohn's Disease Patients</t>
  </si>
  <si>
    <t>NCT06810050</t>
  </si>
  <si>
    <t>Phase 2b Safety and Efficacy Study of CGB-500 Topical Ointment With 0.5% and 1% Tofacitnib for Treatment of Atopic Dermatitis</t>
  </si>
  <si>
    <t>NCT06436183</t>
  </si>
  <si>
    <t>A Study of the Effects of Camoteskimab in Adults With Moderate to Severe Atopic Dermatitis</t>
  </si>
  <si>
    <t>NCT06599502</t>
  </si>
  <si>
    <t>A Phase I/IIa Study to Investigate the Safety, Tolerability, Pharmacokinetics, and Efficacy of AZD0022 as Monotherapy and in Combination With Anti-cancer Agents in Adult Participants With Tumours Harbouring a KRASG12D Mutation</t>
  </si>
  <si>
    <t>NCT06542237</t>
  </si>
  <si>
    <t>Open Label, Dose Escalation, Repeat Dose Study Evaluating YCT-529 in Healthy Males</t>
  </si>
  <si>
    <t>NCT06396039</t>
  </si>
  <si>
    <t>A Study to Assess the Effectiveness and Safety of Ozanimod in Chinese Adults With Relapsing Multiple Sclerosis</t>
  </si>
  <si>
    <t>NCT06577077</t>
  </si>
  <si>
    <t>Efficacy/ Safety of Product CM9241GRU in Patients With Perennial Allergic Rhinitis</t>
  </si>
  <si>
    <t>NCT06402201</t>
  </si>
  <si>
    <t>First in Human Study of CDR404 in HLA-A*02:01 Participants With MAGE-A4 Expressing Solid Tumors</t>
  </si>
  <si>
    <t>CDR-Life AG</t>
  </si>
  <si>
    <t>NCT06500507</t>
  </si>
  <si>
    <t>A Study of QLS4131 in Patients With Recurrent or Refractory Multiple Myeloma</t>
  </si>
  <si>
    <t>NCT06206811</t>
  </si>
  <si>
    <t>Phase 1 Study to Investigate OD-07656 in Healthy Adult Participants</t>
  </si>
  <si>
    <t>Odyssey Therapeutics</t>
  </si>
  <si>
    <t>NCT06398730</t>
  </si>
  <si>
    <t>A Phase 1, Dose-Escalation, Positron Emission Tomography Study to Assess the Safety, Pharmacokinetics, Dosimetry and Biodistribution of GEH200521 (18F) Injection Co-Administered With GEH200520 Injection in Healthy Volunteers</t>
  </si>
  <si>
    <t>NCT06517563</t>
  </si>
  <si>
    <t>Effects of VMX-C001 on the Anticoagulant Effect of Different Forms of Heparin</t>
  </si>
  <si>
    <t>NCT05592912</t>
  </si>
  <si>
    <t>Safety and Efficacy of HydroLenz for Vitrectomy-Induced Lens Opacities</t>
  </si>
  <si>
    <t>PromiSight, LLC</t>
  </si>
  <si>
    <t>NCT06697665</t>
  </si>
  <si>
    <t>An Exploratory Clinical Study to Evaluate the Safety, Tolerability, Immune Response and Preliminary Efficacy of LM103 Injection in Combination With PD-1 in Patients With Advanced Solid Tumours</t>
  </si>
  <si>
    <t>NCT06598007</t>
  </si>
  <si>
    <t>A Study to Determine the Effect of CT3001 in Patients With Advanced Solid Tumors</t>
  </si>
  <si>
    <t>Crossignal Therapeutics, Inc.</t>
  </si>
  <si>
    <t>NCT06244771</t>
  </si>
  <si>
    <t>A Study Evaluating FMC-376 in Participants With KRAS G12C Mutated Solid Tumors</t>
  </si>
  <si>
    <t>Frontier Medicines Corporation</t>
  </si>
  <si>
    <t>NCT06051695</t>
  </si>
  <si>
    <t>A Study to Evaluate the Safety and Efficacy of Mesothelin-Targeting Logic-gated CAR T, in Participants With Solid Tumors That Express MSLN and Have Lost HLA-A*02 Expression</t>
  </si>
  <si>
    <t>NCT06389695</t>
  </si>
  <si>
    <t>Pharmacokinetics, Biodistribution, Radiation Dose and Safety Study of 68Ga-NYM032 in Patients</t>
  </si>
  <si>
    <t>NCT07418957</t>
  </si>
  <si>
    <t>Efficacy and Safety of Vaginal Lactobacillus Dual Probiotic Capsules in Bacterial Vaginosis</t>
  </si>
  <si>
    <t>NCT06683612</t>
  </si>
  <si>
    <t>PET Study of PIPE-791 in Healthy Volunteers and Volunteers With PrMS and IPF</t>
  </si>
  <si>
    <t>NCT06702332</t>
  </si>
  <si>
    <t>Single Ascending Dose Study of MSD-001 in Healthy Participants</t>
  </si>
  <si>
    <t>Mindstate Design Labs</t>
  </si>
  <si>
    <t>NCT06319287</t>
  </si>
  <si>
    <t>Phase 2a Multi-Center Prospective, Randomized Trial to Evaluate the Safety &amp; Efficacy of Topical PEP-TISSEEL for Diabetic Foot Ulcers (DFU)</t>
  </si>
  <si>
    <t>NCT06617429</t>
  </si>
  <si>
    <t>Phase 3 Efficacy and Safety Study of GTX-102 in Pediatric Subjects With Angelman Syndrome (AS)</t>
  </si>
  <si>
    <t>NCT06101745</t>
  </si>
  <si>
    <t>Trial to Visualize the Ureters With Nizaracianine Triflutate in Adults Undergoing Abdominopelvic Surgery</t>
  </si>
  <si>
    <t>Curadel Surgical Innovations, Inc.</t>
  </si>
  <si>
    <t>NCT06179511</t>
  </si>
  <si>
    <t>Study of AZD9829 in CD123+ Hematological Malignancies</t>
  </si>
  <si>
    <t>NCT06279871</t>
  </si>
  <si>
    <t>Immunogenicity and Safety Study of Self-amplifying mRNA COVID-19 Vaccine Administered With Influenza Vaccines in Adults</t>
  </si>
  <si>
    <t>NCT06531499</t>
  </si>
  <si>
    <t>A Study of Radiation Dosimetry, Safety, and Tolerability of Extended Lutetium (177Lu) Vipivotide Tetraxetan Treatment in Chemo-naïve Adults With Metastatic Castration-resistant Prostate Cancer: RADIOpharmaceutical DOSimetry Evaluation (RADIODOSE) Study</t>
  </si>
  <si>
    <t>NCT06482437</t>
  </si>
  <si>
    <t>Safety and Efficacy of NMD670 in Adult Patients With Type 1 and Type 2 Charcot-Marie-Tooth Disease</t>
  </si>
  <si>
    <t>NCT06643481</t>
  </si>
  <si>
    <t>A Clinical Trial to Learn About the Effects of VHB937 in People With Amyotrophic Lateral Sclerosis (ALS)</t>
  </si>
  <si>
    <t>NCT06360211</t>
  </si>
  <si>
    <t>A Study to Learn About How BAY2927088 Affects the Level of Midazolam in the Blood When Both Drugs Are Taken Together in Healthy Participants</t>
  </si>
  <si>
    <t>NCT06436911</t>
  </si>
  <si>
    <t>To Evaluate Safety and Immunogenicity of a Prophylactic Plasmid DNA</t>
  </si>
  <si>
    <t>NCT06191744</t>
  </si>
  <si>
    <t>Study of Subcutaneous Epcoritamab in Combination With Intravenous Rituximab and Oral Lenalidomide (R2) to Assess Adverse Events and Change in Disease Activity in Adult Participants With Previously Untreated Follicular Lymphoma</t>
  </si>
  <si>
    <t>NCT06429722</t>
  </si>
  <si>
    <t>To Evaluate the Effects of NMRA-335140 on Symptoms of Major Depression in Participants With Bipolar II Disorder.</t>
  </si>
  <si>
    <t>NCT06300177</t>
  </si>
  <si>
    <t>D-1553 Tablet Versus Docetaxel Injection for KRAS G12C Mutation-positive Locally Advanced or Metastatic Non-small Cell Lung Cancer After Prior Standard Therapy Failure</t>
  </si>
  <si>
    <t>NCT06519981</t>
  </si>
  <si>
    <t>Phase 1 Study of HRS-9231 Safety and Pharmacokinetics in Healthy Caucasians</t>
  </si>
  <si>
    <t>NCT06695130</t>
  </si>
  <si>
    <t>Study of a Combination Vaccine Comprised of Different Recombinant Spike Antigen Levels of a Matrix-M Adjuvanted Recombinant COVID-19 Vaccine and Recombinant Influenza Vaccine in Adult Participants 50 Years of Age and Older</t>
  </si>
  <si>
    <t>NCT06501534</t>
  </si>
  <si>
    <t>A Dose Finding Study to Assess Efficacy and Safety of IBI128 in Chinese Gout Subjects</t>
  </si>
  <si>
    <t>NCT06395753</t>
  </si>
  <si>
    <t>A Dose Finding Study of Debio 4228 in Participants With Advanced Prostate Cancer</t>
  </si>
  <si>
    <t>NCT06858657</t>
  </si>
  <si>
    <t>A Phase I Study to Assess the Safety,Tolerability, PK, PD, and Food Effect of HSK44459 in Healthy Subjects</t>
  </si>
  <si>
    <t>NCT06583486</t>
  </si>
  <si>
    <t>A Study on the Efficacy and Safety of Repeated Treatments With Recombinant Botulinum Toxin Type A for Injection in the Treatment of Moderate to Severe Glabellar Lines</t>
  </si>
  <si>
    <t>NCT06533553</t>
  </si>
  <si>
    <t>A Study to Assess the Effects of Dexpramipexole in Participants With Eosinophilic COPD</t>
  </si>
  <si>
    <t>NCT06345729</t>
  </si>
  <si>
    <t>A Study of Calderasib (MK-1084) Plus Pembrolizumab (MK-3475) in Participants With KRAS G12C Mutant Non-small Cell Lung Cancer (NSCLC) With Programmed Cell Death Ligand 1 (PD-L1) Tumor Proportion Score (TPS) ≥50% (MK-1084-004/KANDLELIT-004)</t>
  </si>
  <si>
    <t>NCT06060067</t>
  </si>
  <si>
    <t>A Study of Dengue Vaccine in Healthy Children, Teenagers and Adults in India</t>
  </si>
  <si>
    <t>NCT06654700</t>
  </si>
  <si>
    <t>Phase III Clinical Trial of Lot-to-lot Consistency of Recombinant Herpes Zoster Vaccine (CHO Cell).</t>
  </si>
  <si>
    <t>NCT06559163</t>
  </si>
  <si>
    <t>A Study of Obexelimab in Patients With Systemic Lupus Erythematosus</t>
  </si>
  <si>
    <t>NCT07307638</t>
  </si>
  <si>
    <t>Dose-escalation and Food Effect Study of ZT006 in Healthy, Overweight and Obese Participants</t>
  </si>
  <si>
    <t>NCT06336148</t>
  </si>
  <si>
    <t>A Phase 1a/1b Study of ACTM-838 in Patients With Advanced Solid Tumors</t>
  </si>
  <si>
    <t>Actym Therapeutics, Inc.</t>
  </si>
  <si>
    <t>NCT06189508</t>
  </si>
  <si>
    <t>A Study to Evaluate Single Subcutaneous Doses of NXT007 Among Injection Sites Abdomen, Upper Arm, and Thigh in Healthy Male Participants</t>
  </si>
  <si>
    <t>NCT04781140</t>
  </si>
  <si>
    <t>Evaluation of SPN-812 (Viloxazine Extended-release Capsule) in Preschool-age Children With ADHD</t>
  </si>
  <si>
    <t>NCT06681389</t>
  </si>
  <si>
    <t>A Study of NP-201 Acetate Injection in Healthy Adult Volunteers and in Patients With Mild-To-Moderate Active Ulcerative Colitis</t>
  </si>
  <si>
    <t>NIBEC Co., Ltd.</t>
  </si>
  <si>
    <t>NCT07108309</t>
  </si>
  <si>
    <t>BCD-236 in Combination With Chemotherapy in Patients With Relapsed and/or Metastatic Triple Negative Breast Cancer</t>
  </si>
  <si>
    <t>NCT06024499</t>
  </si>
  <si>
    <t>Phase 2 Trial of HY209gel in Atopic Dermatitis Patients</t>
  </si>
  <si>
    <t>NCT06116916</t>
  </si>
  <si>
    <t>Study to Assess the Efficacy &amp; Safety of KHK4951 in Patients With Diabetic Macular Edema</t>
  </si>
  <si>
    <t>NCT06344104</t>
  </si>
  <si>
    <t>NCT06518538</t>
  </si>
  <si>
    <t>Evaluate Efficacy of Devimistat in Combination With mFFX in 2nd Line Patients With Metastatic Pancreatic Cancer</t>
  </si>
  <si>
    <t>NCT06718998</t>
  </si>
  <si>
    <t>A Research Study Comparing Different Ways of Increasing the Dose of NNC0519-0130 in Participants With Overweight or Obesity</t>
  </si>
  <si>
    <t>NCT06455826</t>
  </si>
  <si>
    <t>MAD of IVT VP-001 in PRPF31 Mutation-Associated Retinal Dystrophy Subjects (Wallaby)</t>
  </si>
  <si>
    <t>NCT06413706</t>
  </si>
  <si>
    <t>A Study Comparing Abemaciclib Plus Temozolomide to Temozolomide Monotherapy in Children and Young Adults With High-grade Glioma Following Radiotherapy</t>
  </si>
  <si>
    <t>NCT06344052</t>
  </si>
  <si>
    <t>To Assess the Safety and Efficacy of SP-002 with Vismodegib for the Treatment of Locally Advanced Basal Cell Carcinoma</t>
  </si>
  <si>
    <t>Stamford Pharmaceuticals, Inc.</t>
  </si>
  <si>
    <t>NCT06263348</t>
  </si>
  <si>
    <t>A Post-Marketing Safety Study of Dorzagliatin in Patients With Type 2 Diabetes</t>
  </si>
  <si>
    <t>NCT06388187</t>
  </si>
  <si>
    <t>A Research Study to See How Well Different Doses of CagriSema Help People With Excess Body Weight Lose Weight</t>
  </si>
  <si>
    <t>NCT06217393</t>
  </si>
  <si>
    <t>Trial of Itopride 150mg Once a Day Versus Itopride 50 mg Thrice a Day; in Patients With Functional Dyspepsia</t>
  </si>
  <si>
    <t>NCT06340347</t>
  </si>
  <si>
    <t>A Study to Learn How the Body Processes the Study Medicine Called Osivelotor (PF-07940367) in People With Loss of Liver Function</t>
  </si>
  <si>
    <t>NCT06484985</t>
  </si>
  <si>
    <t>Study of AXT-1003 in Subjects With Advanced Malignant Tumors.</t>
  </si>
  <si>
    <t>NCT06576843</t>
  </si>
  <si>
    <t>INDV-6001 Multiple-Dose Pharmacokinetic Study</t>
  </si>
  <si>
    <t>NCT06823232</t>
  </si>
  <si>
    <t>A Study on the Substance Balance of [14C]XY0206 in Healthy Adult Chinese Men</t>
  </si>
  <si>
    <t>NCT06537414</t>
  </si>
  <si>
    <t>A Study of Sequential Therapy With Daplusiran/Tomligisiran (DAP/TOM) Followed by Bepirovirsen in Participants Living With Chronic Hepatitis B (CHB)</t>
  </si>
  <si>
    <t>NCT06812104</t>
  </si>
  <si>
    <t>Phase I Clinical Trial of KK2845 in Patients With Relapsed or Refractory Acute Myeloid Leukemia and Other Hematologic Malignancies.</t>
  </si>
  <si>
    <t>NCT06549504</t>
  </si>
  <si>
    <t>Bioequivalence Study of AG2202</t>
  </si>
  <si>
    <t>NCT05745740</t>
  </si>
  <si>
    <t>A Study of RC48-ADC Combined With Pyrotinib For Treatment of Local Advanced or Metastasis NSCLC With HER2 Mutation</t>
  </si>
  <si>
    <t>NCT06480240</t>
  </si>
  <si>
    <t>A Phase 1/2 Study of OBI-992 in Subjects With Advanced Solid Tumors</t>
  </si>
  <si>
    <t>NCT06385795</t>
  </si>
  <si>
    <t>A Study of NOE-115 in Women With Vasomotor Symptoms Due to Menopause</t>
  </si>
  <si>
    <t>NCT06672939</t>
  </si>
  <si>
    <t>A Study of Orforglipron (LY3502970) in Adolescent Participants With Obesity, or Overweight With Related Comorbidities</t>
  </si>
  <si>
    <t>NCT06306339</t>
  </si>
  <si>
    <t>A Study to Assess the Efficacy and Safety of Burfiralimab (hzVSF-v13) and DMRD (Disease-modifying Antirheumatic Drug)</t>
  </si>
  <si>
    <t>NCT06586957</t>
  </si>
  <si>
    <t>A Study With NKT3964 for Adults With Advanced/Metastatic Solid Tumors</t>
  </si>
  <si>
    <t>NCT06767800</t>
  </si>
  <si>
    <t>A Clinical Trial Evaluating TQB2102 for Injection in Combination With Behmosubaisumab/Payamprolizumab With or Without Chemotherapy in Unresectable Locally Advanced, Recurrent, or Metastatic Human Epidermal Growth Factor Receptor 2 (HER2)-Positive Gastroesophageal Adenocarcinoma</t>
  </si>
  <si>
    <t>NCT06487845</t>
  </si>
  <si>
    <t>A Study to Learn How Safe BAY3283142 is When Taken as a Single Dose or as Multiple Doses in Healthy Chinese Participants</t>
  </si>
  <si>
    <t>NCT06525272</t>
  </si>
  <si>
    <t>A Study to Evaluate the Safety, Tolerability, and Preliminary Efficacy of OsrhCT in Patients With Pleurisy</t>
  </si>
  <si>
    <t>NCT06439277</t>
  </si>
  <si>
    <t>A Study of Tirzepatide in Adolescents With Obesity and Weight-Related Comorbidities (SURMOUNT-ADOLESCENTS-2)</t>
  </si>
  <si>
    <t>NCT06417281</t>
  </si>
  <si>
    <t>Photodynamic Diagnosis for Malignant Brain Glioma With 5-Aminolevulinic Acid（5-ALA）</t>
  </si>
  <si>
    <t>NCT06388642</t>
  </si>
  <si>
    <t>Pharmacokinetics of Afamelanotide in Erythropoietic Protoporphyria Patients</t>
  </si>
  <si>
    <t>NCT06532942</t>
  </si>
  <si>
    <t>A Study to Evaluate Safety, Tolerability and Pharmacokinetics of MKND-201 in Healthy Volunteers</t>
  </si>
  <si>
    <t>NCT06214741</t>
  </si>
  <si>
    <t>A Study to Test Whether Survodutide (BI 456906) Helps Chinese People Living With Overweight or Obesity to Lose Weight</t>
  </si>
  <si>
    <t>NCT06237257</t>
  </si>
  <si>
    <t>A Study of Chemoradiotherapy With SHR-1316 For Treatment of Locally Advanced Cervical Cancer</t>
  </si>
  <si>
    <t>NCT06686628</t>
  </si>
  <si>
    <t>An Open-label, DDI Study to Investigate the Effects of Amlitelimab on the PK of Selected Cytochrome P450 Substrates</t>
  </si>
  <si>
    <t>NCT06667908</t>
  </si>
  <si>
    <t>A Study of JNJ-90301900 in Combination With Chemoradiation Followed by Consolidation Immunotherapy for Non-Small Cell Lung Cancer (NSCLC)</t>
  </si>
  <si>
    <t>NCT05621616</t>
  </si>
  <si>
    <t>A Study to Learn How Effective and Safe the Drug 'Mirabegron' is and How Long it Stays in the Body of Children Aged 6 Months to Less Than 3 Years of Age With Neurogenic Detrusor Overactivity</t>
  </si>
  <si>
    <t>NCT06305910</t>
  </si>
  <si>
    <t>CD200AR-L and Allogeneic Tumor Lysate Vaccine Immunotherapy for Recurrent HGG and Newly Diagnosed DMG/DIPG in Children and Young Adults</t>
  </si>
  <si>
    <t>NCT06354660</t>
  </si>
  <si>
    <t>Effect of Retatrutide Compared With Placebo in Adult Participants With Type 2 Diabetes and Inadequate Glycemic Control With Diet and Exercise Alone (TRANSCEND-T2D-1)</t>
  </si>
  <si>
    <t>NCT06537596</t>
  </si>
  <si>
    <t>89Zr-olaratumab Dosimetry in Participants With Soft Tissue Sarcoma</t>
  </si>
  <si>
    <t>NCT06386146</t>
  </si>
  <si>
    <t>JAB-30355 in Patients With Advanced Solid Tumors Harboring TP53 Y220C Mutation</t>
  </si>
  <si>
    <t>NCT06498986</t>
  </si>
  <si>
    <t>A Study of BL-B01D1 in Combination With Osimertinib Mesylate Tablets in Patients With Locally Advanced or Metastatic Non-small Cell Lung Cancer</t>
  </si>
  <si>
    <t>NCT06173596</t>
  </si>
  <si>
    <t>A Study to Evaluate Potential Drug Interactions Between ALXN2080 and Itraconazole, Fluconazole &amp; Carbamazepine in Healthy Adults</t>
  </si>
  <si>
    <t>NCT06493461</t>
  </si>
  <si>
    <t>A Study of HS135 for the Treatment of Pulmonary Arterial Hypertension in Adults</t>
  </si>
  <si>
    <t>NCT06277219</t>
  </si>
  <si>
    <t>A First-in-Human, Phase 1/2 Study of LAT010 in Patients With Advanced Solid Tumors (LIGHTSPEED-1)</t>
  </si>
  <si>
    <t>Latticon Antibody Therapeutics, Inc</t>
  </si>
  <si>
    <t>NCT06647407</t>
  </si>
  <si>
    <t>Safety and Immunogenicity of an Investigational Pentavalent Meningococcal ABCYW Vaccine Against Meningococcal Disease in Children, Toddlers, and Infants</t>
  </si>
  <si>
    <t>NCT06176365</t>
  </si>
  <si>
    <t>A Study to Test Whether Survodutide Helps Japanese People Living With Obesity Disease</t>
  </si>
  <si>
    <t>NCT07075328</t>
  </si>
  <si>
    <t>A Phase I/II Study of OJP-001 in Patients With Adult T-cell Leukemia/Lymphoma</t>
  </si>
  <si>
    <t>NCT06262607</t>
  </si>
  <si>
    <t>A Study of CLE-400 (Topical Gel) for the Treatment of Chronic Pruritus in Adult Subjects With Notalgia Paresthetica</t>
  </si>
  <si>
    <t>NCT07588906</t>
  </si>
  <si>
    <t>To Compare the Pharmacodynamics, Pharmacokinetics, Safety, and Tolerability Between SHR-3167 Injection and Glargine Insulin in Healthy Subjects</t>
  </si>
  <si>
    <t>NCT06419608</t>
  </si>
  <si>
    <t>Efficacy and Safety Study of BHV-7000 Monotherapy in Major Depression</t>
  </si>
  <si>
    <t>NCT06829225</t>
  </si>
  <si>
    <t>Single Dose Study of Tulisokibart (MK-7240) in Healthy Chinese Participants (MK-7240-002)</t>
  </si>
  <si>
    <t>NCT06292208</t>
  </si>
  <si>
    <t>A Clinical Trial to Evaluate Effect of IBD0333 in Patients With Advanced Malignant Tumors</t>
  </si>
  <si>
    <t>NCT06390995</t>
  </si>
  <si>
    <t>A Study of TAK-853 in Adult Participants With Folate Receptor Alpha-Positive Advanced Ovarian Cancer And Other Solid Tumors</t>
  </si>
  <si>
    <t>NCT06318676</t>
  </si>
  <si>
    <t>A Study to Evaluate the Drug Levels of Mezigdomide in Adult Participants With Renal Impairment</t>
  </si>
  <si>
    <t>NCT06413953</t>
  </si>
  <si>
    <t>A Clinical Study of TQB3107 Tablets in Patients With Malignant Tumors</t>
  </si>
  <si>
    <t>NCT06152575</t>
  </si>
  <si>
    <t>MagnetisMM-32: A Study to Learn About the Study Medicine Called Elranatamab in People With Multiple Myeloma (MM) That Has Come Back After Taking Other Treatments (Including Prior Treatment With an Anti-CD38 Antibody and Lenalidomide)</t>
  </si>
  <si>
    <t>NCT06462612</t>
  </si>
  <si>
    <t>Study of Lumateperone in the Treatment of Patients With Bipolar Mania</t>
  </si>
  <si>
    <t>NCT06635772</t>
  </si>
  <si>
    <t>A Study of the Effect and Safety of HS-10390 in the Treatment of Patients with Primary IgA Nephropathy</t>
  </si>
  <si>
    <t>NCT07079618</t>
  </si>
  <si>
    <t>A Research Study to Evaluate the Safety and Tolerability of SGC001 in Healthy Subjects</t>
  </si>
  <si>
    <t>Beijing Sungen Biomedical Technology Co., Ltd</t>
  </si>
  <si>
    <t>NCT06654960</t>
  </si>
  <si>
    <t>Influence of HRS9531 on Pharmacokinetics of Metformin in Healthy Subjects</t>
  </si>
  <si>
    <t>NCT06368986</t>
  </si>
  <si>
    <t>A Study to Investigate the Effect of Food on the Bioavailability of a Capsid Inhibitor (CAI) in Male and Female Healthy Participants</t>
  </si>
  <si>
    <t>NCT06681870</t>
  </si>
  <si>
    <t>A Study of ASP1893 in Adults With Advanced CLDN6-positive Solid Tumors</t>
  </si>
  <si>
    <t>NCT06393881</t>
  </si>
  <si>
    <t>A Study to Compare and Evaluate the Safety, Pharmacokinetics and Pharmacodynamics of UI059 and UIC202201</t>
  </si>
  <si>
    <t>NCT06649630</t>
  </si>
  <si>
    <t>A Study Looking at How Different Doses of Study Medicine (Inno8) Works in the Body of Healthy Men</t>
  </si>
  <si>
    <t>NCT06148181</t>
  </si>
  <si>
    <t>A Study to Evaluate Adverse Events and How Single Ascending Doses of ABBV-141 Move Through the Body of Healthy Adult Western and Asian Participants</t>
  </si>
  <si>
    <t>NCT06288230</t>
  </si>
  <si>
    <t>An Open Label Study of Gene Therapy Product (Vesemnogene Lantuparvovec) in Spinal Muscular Atrophy</t>
  </si>
  <si>
    <t>NCT06377930</t>
  </si>
  <si>
    <t>Study Evaluating the Safety and Efficacy of RAP-219 in Adult Participants With Refractory Focal Epilepsy</t>
  </si>
  <si>
    <t>Rapport Therapeutics Inc.</t>
  </si>
  <si>
    <t>NCT06398808</t>
  </si>
  <si>
    <t>A Study to Evaluate the Efficacy and Safety of ZYIL1 Oral Capsules for the Treatment of Patients With Mild to Moderately Active Ulcerative Colitis Resistant or Intolerant to Oral Aminosalicylates</t>
  </si>
  <si>
    <t>NCT06550076</t>
  </si>
  <si>
    <t>A Study of TAK-279 in Participants With Moderate-to-Severe Plaque Psoriasis</t>
  </si>
  <si>
    <t>NCT06397508</t>
  </si>
  <si>
    <t>Relative Bioavailability and Effect of Food Study With AGMB-129 in Healthy Participants</t>
  </si>
  <si>
    <t>NCT06265025</t>
  </si>
  <si>
    <t>GM103 Intratumoral Injection in Patients With Locally Advanced, Unresectable, Refractory and/or Metastatic Solid Tumors</t>
  </si>
  <si>
    <t>GeneMedicine Co., Ltd.</t>
  </si>
  <si>
    <t>NCT06653153</t>
  </si>
  <si>
    <t>A Study of Remternetug (LY3372993) in Early Alzheimer's Disease (TRAILRUNNER-ALZ 3)</t>
  </si>
  <si>
    <t>NCT06728176</t>
  </si>
  <si>
    <t>Safety and PK of Multiple Doses of MT1988</t>
  </si>
  <si>
    <t>NCT06476808</t>
  </si>
  <si>
    <t>A Study to Evaluate the Safety, Tolerability, and Efficacy of Escalating Doses of BMS-986463 in Participants With Select Advanced Malignant Tumors.</t>
  </si>
  <si>
    <t>NCT07070674</t>
  </si>
  <si>
    <t>A Phase Ib Clinical Study of AC-003 Capsules in Subjects With aGVHD.</t>
  </si>
  <si>
    <t>NCT06508320</t>
  </si>
  <si>
    <t>A Clinical Study to Investigate the Safety and Immunogenicity in Relation to Product Attributes of mRNA-1083 (Severe Acute Respiratory Syndrome Coronavirus 2 [SARS-CoV-2] and Influenza Vaccine)</t>
  </si>
  <si>
    <t>NCT06179524</t>
  </si>
  <si>
    <t>CAR-T-19 Injection in the Treatment of CD19-positive Relapsed/Refractory B-ALL</t>
  </si>
  <si>
    <t>NCT06763159</t>
  </si>
  <si>
    <t>A Study of HS-20124 in Patients with Advanced Solid Tumors</t>
  </si>
  <si>
    <t>NCT06735079</t>
  </si>
  <si>
    <t>A Study to Evaluate the Efficacy and Safety of REL-1017 As Adjunctive Treatment of Major Depressive Disorder (MDD)</t>
  </si>
  <si>
    <t>MGGM LLC</t>
  </si>
  <si>
    <t>NCT06238817</t>
  </si>
  <si>
    <t>A Study to Evaluate the Efficacy, and Safety Study of Ruxolitinib Cream in Adults With Moderate Atopic Dermatitis</t>
  </si>
  <si>
    <t>NCT06384482</t>
  </si>
  <si>
    <t>SNC115 Injections in Patients With Recurrent/Refractory Small Cell Lung Cancer and Lung Large Cell Neuroendocrine Carcinoma</t>
  </si>
  <si>
    <t>NCT06232096</t>
  </si>
  <si>
    <t>A Study of MBS314 in Participants With Relapsed/Refractory Multiple Myeloma.</t>
  </si>
  <si>
    <t>NCT06232252</t>
  </si>
  <si>
    <t>A Study to Test How Well Multiple Doses of BI 765423 Are Tolerated by Healthy Men</t>
  </si>
  <si>
    <t>NCT06258148</t>
  </si>
  <si>
    <t>A Study of TG103 Injection Monotherapy in Treatment of Type 2 Diabetes Mellitus</t>
  </si>
  <si>
    <t>NCT06607185</t>
  </si>
  <si>
    <t>A Study of the Pan-KRAS Inhibitor LY4066434 in Participants With KRAS Mutant Solid Tumors</t>
  </si>
  <si>
    <t>NCT06238843</t>
  </si>
  <si>
    <t>A Multicenter, Phase 3 Study of IBI343 Monotherapy Versus Treatment of Investigator's Choice in Subjects With Previously Treated, Claudin (CLDN) 18.2-positive, HER2-negative, Gastric or Gastroesophageal Junction Adenocarcinoma (G-HOPE-001)</t>
  </si>
  <si>
    <t>NCT06543043</t>
  </si>
  <si>
    <t>A Study to Evaluate the Effects of Phenytoin and Itraconazole on Sonrotoclax (BGB-11417) in Healthy Volunteers</t>
  </si>
  <si>
    <t>NCT06205290</t>
  </si>
  <si>
    <t>A Study to Compare the Efficacy and Safety of Lisocabtagene Maraleucel vs Investigator's Choice Options in Adult Participants With Relapsed or Refractory Chronic Lymphocytic Leukemia or Small Lymphocytic Lymphoma, Whose Disease Has Failed Treatment With Both BTKi and BCL2i Therapies</t>
  </si>
  <si>
    <t>NCT06311760</t>
  </si>
  <si>
    <t>A Study to Assess the Safety, Tolerability, and Pharmacokinetics of a Single Ascending Dose of AZD0292 In Healthy Participants</t>
  </si>
  <si>
    <t>NCT06159725</t>
  </si>
  <si>
    <t>A Study To Evaluate The Safety Of CMTX-101 In People With Cystic Fibrosis</t>
  </si>
  <si>
    <t>NCT06717425</t>
  </si>
  <si>
    <t>A Study to Learn About the Study Medicine Called PF-07976016 in Adults With Obesity</t>
  </si>
  <si>
    <t>NCT06500676</t>
  </si>
  <si>
    <t>A Study of GFH375 in Patients With Advanced Solid Tumors With KRAS G12D Mutations</t>
  </si>
  <si>
    <t>NCT06647810</t>
  </si>
  <si>
    <t>A Study in Healthy People to Test How 2 Different Formulations of BI 690517 Are Taken up in the Body and How Probenecid Influences the Amount of BI 690517 in the Blood</t>
  </si>
  <si>
    <t>NCT06223958</t>
  </si>
  <si>
    <t>Study to Evaluate the Efficacy and Safety of Intravitreal OTX-TKI (Ocular Therapeutix) (Axitinib Implant) in Subjects With Neovascular Age-Related Macular Degeneration</t>
  </si>
  <si>
    <t>NCT06479135</t>
  </si>
  <si>
    <t>Study of Navtemadlin add-on to Ruxolitinib in JAK Inhibitor-Naïve Patients With Myelofibrosis Who Have a Suboptimal Response to Ruxolitinib</t>
  </si>
  <si>
    <t>NCT06605950</t>
  </si>
  <si>
    <t>A Study to Assess the Safety, Tolerability and Pharmacokinetics (PK) of Xanomeline With Trospium Chloride Versus KarXT in Healthy Adult and Elderly Participants of Japanese Ethnicity and to Assess the Effect of Omeprazole on the PK of Xanomeline With Trospium Chloride in Healthy Adult Participants</t>
  </si>
  <si>
    <t>NCT06633835</t>
  </si>
  <si>
    <t>Impact of Reactogenicity of the 2024-2025 COVID-19 Vaccines on Health Care Workers and First Responders in the United States</t>
  </si>
  <si>
    <t>NCT05964335</t>
  </si>
  <si>
    <t>Cough Reduction in IPF With Nalbuphine ER</t>
  </si>
  <si>
    <t>NCT06297525</t>
  </si>
  <si>
    <t>Study of STP938 (Dencatistat) in Advanced Solid Tumours</t>
  </si>
  <si>
    <t>NCT06186076</t>
  </si>
  <si>
    <t>A Study to Investigate Safety, Tolerability, PK and Anti-tumor Activity of TRX-221 in EGFRm NSCLC Patients</t>
  </si>
  <si>
    <t>Therapex Co., Ltd</t>
  </si>
  <si>
    <t>NCT06641076</t>
  </si>
  <si>
    <t>Evaluation of Sonelokimab in Patients With Active Psoriatic Arthritis Naive to Biologic Disease-Modifying Antirheumatic Drug</t>
  </si>
  <si>
    <t>NCT06453824</t>
  </si>
  <si>
    <t>SAD Evaluation of Safety, Tolerability, PK, and PD of MDI-2517 in Healthy Participants</t>
  </si>
  <si>
    <t>MDI Therapeutics, Inc.</t>
  </si>
  <si>
    <t>NCT06538480</t>
  </si>
  <si>
    <t>Zopa Retreatment and Vector Shedding in Adults With RRP</t>
  </si>
  <si>
    <t>NCT06716879</t>
  </si>
  <si>
    <t>A Study to Evaluate Safety, Tolerability, and Pharmacokinetics of a Single Dose of Donzakimig in Healthy Chinese and Japanese Participants</t>
  </si>
  <si>
    <t>NCT06686797</t>
  </si>
  <si>
    <t>A Study to Learn How Different Amounts of the Study Medicine Called PF-08049820 Are Tolerated and Act in the Body in Healthy Adults</t>
  </si>
  <si>
    <t>NCT06430060</t>
  </si>
  <si>
    <t>Investigation of Colgate Dual Zinc Toothpaste as Compared to Colgate Cavity Protection Toothpaste in Controlling Plaque and Gingivitis</t>
  </si>
  <si>
    <t>NCT06551324</t>
  </si>
  <si>
    <t>A Study to Learn About the Investigational Medicine Called PF-06821497 (Mevrometostat) in Men With mCRPC Who Were Previously Treated With Abiraterone Acetate for Prostate Cancer (MEVPRO-1).</t>
  </si>
  <si>
    <t>NCT06293651</t>
  </si>
  <si>
    <t>Clinical Trial to Investigate Safety, Tolerability, Pharmacokinetics, Pharmacodynamics, and Efficacy of DA-4505 as a Single Agent and in Combination With Pembrolizumab in Adult Patients With Locally Advanced or Metastatic Solid Tumors</t>
  </si>
  <si>
    <t>NCT06421831</t>
  </si>
  <si>
    <t>Evaluation of Safety and Efficacy of Gene Therapy Drug in the Treatment of Spinal Muscular Atrophy (SMA) Type 3 Patients</t>
  </si>
  <si>
    <t>NCT06427395</t>
  </si>
  <si>
    <t>Open-Label Extension Study of Saroglitazar Magnesium in Participants With Primary Biliary Cholangitis</t>
  </si>
  <si>
    <t>NCT06691360</t>
  </si>
  <si>
    <t>AK137 (Bispecific Antibody Targeting CD73 and LAG-3) in Patients With Advanced Malignant Tumors</t>
  </si>
  <si>
    <t>NCT06649708</t>
  </si>
  <si>
    <t>HX044,FIH Study in Patients with Advanced Solid Tumor Malignancies</t>
  </si>
  <si>
    <t>Hanx Biopharmaceuticals (Wuhan) Co., Ltd.</t>
  </si>
  <si>
    <t>NCT03696485</t>
  </si>
  <si>
    <t>Study to Assess the Safety and Efficacy of an IT Administration of SCM-010 in SPMS</t>
  </si>
  <si>
    <t>Stem Cell Medicine Ltd.</t>
  </si>
  <si>
    <t>NCT06400615</t>
  </si>
  <si>
    <t>Study That Tests AD109 in Patients Taking GLP-1 Drugs</t>
  </si>
  <si>
    <t>NCT06283589</t>
  </si>
  <si>
    <t>The SEAPORT 1 Study: Evaluation of the Safety and Tolerability of INZ-701 in Adults With End-Stage Kidney Disease Undergoing Hemodialysis</t>
  </si>
  <si>
    <t>NCT06587685</t>
  </si>
  <si>
    <t>A Study to Assess the Efficacy and Safety of PG-011 Gel in Adolescents and Adults With Atopic Dermatitis</t>
  </si>
  <si>
    <t>Prime Gene Therapeutics Co., Ltd.</t>
  </si>
  <si>
    <t>NCT06280235</t>
  </si>
  <si>
    <t>A Study to Test Different Doses of BI 1569912 in People With Depression Who Take Anti-depressive Medicine</t>
  </si>
  <si>
    <t>NCT06304818</t>
  </si>
  <si>
    <t>Aims to Explore the Safety, Tolerability, and Preliminary Efficacy of SCTB14 in Adult Patients With Advanced Malignant Solid Tumours.</t>
  </si>
  <si>
    <t>NCT06422117</t>
  </si>
  <si>
    <t>Efficacy and Safety of HSK16149 Capsule in the Treatment of Moderate and Severe Central Neuropathic Pain in China</t>
  </si>
  <si>
    <t>NCT06499350</t>
  </si>
  <si>
    <t>A Study of FC084CSA in Combination of Tislelizumab in Patients With Advanced Malignant Solid Tumors</t>
  </si>
  <si>
    <t>NCT06635850</t>
  </si>
  <si>
    <t>A Study of Mosliciguat in PH-ILD</t>
  </si>
  <si>
    <t>Pulmovant, Inc.</t>
  </si>
  <si>
    <t>NCT06532578</t>
  </si>
  <si>
    <t>Evaluate the Safety and Efficacy of CPX101 in Overweight and Obese Subjects Without Diabetes Mellitus</t>
  </si>
  <si>
    <t>NCT06666491</t>
  </si>
  <si>
    <t>An Interventional Study to Compare the Efficacy and Safety of Tafenoquine (TQ) and Primaquine (PQ) When Either Are Taken Together With Chloroquine (CQ) for the Treatment of P. Vivax Malaria in Indian Participants Aged 2 Years and Older</t>
  </si>
  <si>
    <t>NCT06399289</t>
  </si>
  <si>
    <t>Recombinant Fusion Protein Linking Coagulation Factor IX With Albumin (rIX-FP) in Chinese Subjects With Hemophilia B Previously Treated With FIX Therapy</t>
  </si>
  <si>
    <t>NCT06492174</t>
  </si>
  <si>
    <t>A Clinical Trial to Assess the Agent Paclitaxel Coated PTCA Balloon Catheter for the Treatment of Subjects With In-Stent Restenosis (ISR) - Long Lesion Cohort</t>
  </si>
  <si>
    <t>NCT06471218</t>
  </si>
  <si>
    <t>Efficacy and Safety of SHR-1918 in Patients With Hyperlipidemia</t>
  </si>
  <si>
    <t>NCT06604715</t>
  </si>
  <si>
    <t>A Study of JNJ-87562761 in Participants With Relapsed or Refractory Multiple Myeloma</t>
  </si>
  <si>
    <t>NCT06290050</t>
  </si>
  <si>
    <t>A Study of the Interaction of Other Drugs With TAK-279 in Healthy Adults</t>
  </si>
  <si>
    <t>NCT06653010</t>
  </si>
  <si>
    <t>Universal CAR-T Cells (REVO-UWD-01) for Metastatic Colorectal Cancer</t>
  </si>
  <si>
    <t>NCT06208410</t>
  </si>
  <si>
    <t>A Clinical Study of JS105 in Combination With Other Anti-tumor Therapies in Patients With Solid Tumors</t>
  </si>
  <si>
    <t>NCT06224660</t>
  </si>
  <si>
    <t>Modulation of SERCA2a of Intra-Myocytic Calcium Trafficking in Cardiomyopathy Secondary to Duchenne Muscular Dystrophy</t>
  </si>
  <si>
    <t>NCT06245122</t>
  </si>
  <si>
    <t>A Study of CS23546 in Subjects With Advanced Tumors</t>
  </si>
  <si>
    <t>NCT06600022</t>
  </si>
  <si>
    <t>Aims to Explore the Safety, Tolerability, and Preliminary Efficacy of SCTB41 in Adult Patients with Advanced Malignant Solid Tumours.</t>
  </si>
  <si>
    <t>NCT06614686</t>
  </si>
  <si>
    <t>U87 CAR-T in Patients With Advanced Head and Neck Tumors</t>
  </si>
  <si>
    <t>NCT06643754</t>
  </si>
  <si>
    <t>A Clinical Study of SHR-3276 for Injection in Patients With Advanced Malignant Tumors</t>
  </si>
  <si>
    <t>NCT06609512</t>
  </si>
  <si>
    <t>A Clinical Study of Enlicitide and the Effect of Food in Healthy Adult Participants (MK-0616-033)</t>
  </si>
  <si>
    <t>NCT06633419</t>
  </si>
  <si>
    <t>A Drug-Drug Interaction Study of Carbamazepine and Opevesostat (MK-5684) in Healthy Adult Male Participants (MK-5684-012)</t>
  </si>
  <si>
    <t>NCT06238479</t>
  </si>
  <si>
    <t>A Study of LY4101174 in Participants With Recurrent, Advanced or Metastatic Solid Tumors</t>
  </si>
  <si>
    <t>NCT06383403</t>
  </si>
  <si>
    <t>A Study of Elafibranor in Adults With Primary Biliary Cholangitis and Inadequate Response or Intolerance to Ursodeoxycholic Acid.</t>
  </si>
  <si>
    <t>NCT06303570</t>
  </si>
  <si>
    <t>A Study to Evaluate the Efficacy and Safety of CBL-514 Compared to Placebo in Participants With Dercum's Disease Lipomas</t>
  </si>
  <si>
    <t>NCT06715683</t>
  </si>
  <si>
    <t>A Study to Evaluate Comparative Bioavailability of BMS-986278 in Healthy Participants</t>
  </si>
  <si>
    <t>NCT06462794</t>
  </si>
  <si>
    <t>First In Human Study of CX-801 in Advanced Solid Tumors</t>
  </si>
  <si>
    <t>NCT06950645</t>
  </si>
  <si>
    <t>The Oral Hexavalent Reassortant Rotavirus Attenuated Live Vaccine (Vero Cells)</t>
  </si>
  <si>
    <t>NCT06194877</t>
  </si>
  <si>
    <t>A Study to Investigate BGB-3245 (Brimarafenib) With Panitumumab in Participants With Advanced or Metastatic RAS Mutant Colorectal and Pancreatic Ductal Cancers</t>
  </si>
  <si>
    <t>NCT06955598</t>
  </si>
  <si>
    <t>A Phase I Clinical Study to Evaluate the Safety, Tolerability, Pharmacokinetics, and Pharmacodynamics of Multiple Subcutaneous Injections of SHR-2173 in Patients With Systemic Lupus Erythematosus</t>
  </si>
  <si>
    <t>NCT06672445</t>
  </si>
  <si>
    <t>Study of ARO-ATXN2 Injection in Adults With Spinocerebellar Ataxia Type 2</t>
  </si>
  <si>
    <t>NCT06454357</t>
  </si>
  <si>
    <t>A Clinical Study of B007 in the Treatment of Pemphigus.</t>
  </si>
  <si>
    <t>NCT06389214</t>
  </si>
  <si>
    <t>A Clinical Trial to Assess the Efficacy and Safety of Subjects With Dry Eye Disease</t>
  </si>
  <si>
    <t>NCT06428955</t>
  </si>
  <si>
    <t>Evaluation of a Monofocal Intraocular Lens</t>
  </si>
  <si>
    <t>Carl Zeiss Meditec AG</t>
  </si>
  <si>
    <t>NCT06343935</t>
  </si>
  <si>
    <t>A National Multicenter, Real-world Study of Linperlisib in the Treatment of Lymphoma</t>
  </si>
  <si>
    <t>NCT06471829</t>
  </si>
  <si>
    <t>A Trial of Lu AG13909 in Adult Participants With Cushing's Disease</t>
  </si>
  <si>
    <t>NCT06585202</t>
  </si>
  <si>
    <t>Study of ATI-2138 in Adult Participants With Moderate to Severe Atopic Dermatitis</t>
  </si>
  <si>
    <t>NCT06679959</t>
  </si>
  <si>
    <t>A Study to Evaluate the Safety, Tolerability, Pharmacokinetics, and Efficacy of ASC30 Injection in Participants With Obesity</t>
  </si>
  <si>
    <t>NCT06211764</t>
  </si>
  <si>
    <t>A Study of TAR-200 Versus Intravesical Chemotherapy in Participants With Recurrent High-Risk Non-Muscle-Invasive Bladder Cancer (HR-NMIBC) After Bacillus Calmette-Guérin (BCG)</t>
  </si>
  <si>
    <t>NCT06569381</t>
  </si>
  <si>
    <t>Comparative Pharmacokinetic Study of Pirfenidone Modified-Release Tablets in Healthy Subjects Under Fasting and Fed Conditions</t>
  </si>
  <si>
    <t>NCT06222892</t>
  </si>
  <si>
    <t>A Study of Camlipixant in Male and Female Healthy Participants and Participants With Hepatic Impairment Aged 18-75 Years of Age</t>
  </si>
  <si>
    <t>NCT06332534</t>
  </si>
  <si>
    <t>Crohn's Disease: Efficacy, Safety, and Pharmacokinetics of Upadacitinib in Pediatric Subjects With Moderately to Severely Active Crohn's Disease</t>
  </si>
  <si>
    <t>NCT06584916</t>
  </si>
  <si>
    <t>A Study of Orforglipron for the Maintenance of Body Weight Reduction in Participants Who Have Obesity or Overweight With Weight-Related Comorbidities (ATTAIN-MAINTAIN)</t>
  </si>
  <si>
    <t>NCT06639295</t>
  </si>
  <si>
    <t>NCT06474377</t>
  </si>
  <si>
    <t>Clinical Trial of PCV24 in Adults</t>
  </si>
  <si>
    <t>NCT06290375</t>
  </si>
  <si>
    <t>A Study of HSK21542 in a Peritoneal Dialysis Pruritus Population.</t>
  </si>
  <si>
    <t>NCT06713564</t>
  </si>
  <si>
    <t>A Single Dose, Open-Label, Dose-escalation Study of the Safety and Imaging Characteristics of LS301-IT for Intraoperative Imaging of Lung Cancer</t>
  </si>
  <si>
    <t>NCT06695598</t>
  </si>
  <si>
    <t>Clinical Study to Evaluate the Food Effect of CKD-383 0.5/25/1000mg in Healthy Volunteers</t>
  </si>
  <si>
    <t>NCT05939414</t>
  </si>
  <si>
    <t>An Open-label Study Comparing Lutetium (177Lu) Vipivotide Tetraxetan Versus Observation in PSMA Positive OMPC.</t>
  </si>
  <si>
    <t>NCT06342700</t>
  </si>
  <si>
    <t>A Food Effect and Relative Bioavailability Study of Rilzabrutinib in Healthy Participants</t>
  </si>
  <si>
    <t>NCT06216392</t>
  </si>
  <si>
    <t>Phase III Study of GR1802 Injection in Patients With Atopic Dermatitis</t>
  </si>
  <si>
    <t>NCT06265428</t>
  </si>
  <si>
    <t>A Study to Compare DB-1303/BNT323 Versus T-DM1 in Breast Cancer</t>
  </si>
  <si>
    <t>NCT06385509</t>
  </si>
  <si>
    <t>A Phase 4 Study to Evaluate Adrenal Function in Hypogonadal Men Treated With JATENZO® for 12 Months</t>
  </si>
  <si>
    <t>NCT06640777</t>
  </si>
  <si>
    <t>Efficacy and Safety of LEAF-4L6715 for Acute Respiratory Distress Syndrome</t>
  </si>
  <si>
    <t>LEAF4Life, Inc.</t>
  </si>
  <si>
    <t>NCT06640530</t>
  </si>
  <si>
    <t>Clinical Study of the Efficacy and Safety of BCD-263 and Opdivo® as Monotherapy in Subjects With Advanced Melanoma of the Skin</t>
  </si>
  <si>
    <t>NCT06889064</t>
  </si>
  <si>
    <t>A Study to Evaluate the Pharmacokinetic, Pharmacodynamic Characteristics and the Safety After Administration by Doses of BR1400-1, BR1400-2, BR1400-3 in Healthy Adult Volunteers</t>
  </si>
  <si>
    <t>NCT06328400</t>
  </si>
  <si>
    <t>A Study to Evaluate the Safety, Tolerability, and Pharmacokinetics of Oral Deuremidevir Hydrobromide for Suspension</t>
  </si>
  <si>
    <t>NCT06188507</t>
  </si>
  <si>
    <t>A First Time in Human Study to Evaluate the Safety and Tolerability of GSK3996401 Following Dosing With GSK4347859 in Healthy Participants</t>
  </si>
  <si>
    <t>NCT06524414</t>
  </si>
  <si>
    <t>A Study to Learn About How a New Pneumococcal Vaccine Works in Infants</t>
  </si>
  <si>
    <t>NCT07020884</t>
  </si>
  <si>
    <t>A Study of ZT002 Injection With Subjects With Overweight or Obesity</t>
  </si>
  <si>
    <t>NCT06572384</t>
  </si>
  <si>
    <t>A Study of the Efficacy and Safety of Belimumab in Adults With Interstitial Lung Disease Associated With Connective Tissue Disease</t>
  </si>
  <si>
    <t>NCT06416787</t>
  </si>
  <si>
    <t>Safety and Tolerability of IBI355 in Healthy Volunteers</t>
  </si>
  <si>
    <t>NCT06813365</t>
  </si>
  <si>
    <t>Assessing an Oral EGFR Inhibitor, DZD6008 in Patients Who Have Advanced NSCLC With EGFR Mutations (TIAN-SHAN2)</t>
  </si>
  <si>
    <t>NCT06689436</t>
  </si>
  <si>
    <t>Pivotal BE Study of TAH3311 ODF vs ELIQUIS® Tablet Under Fasted Condition in Healthy Volunteers</t>
  </si>
  <si>
    <t>NCT06863636</t>
  </si>
  <si>
    <t>Efficacy and Safety of Celecoxib/Acetaminophen Versus Celecoxib for Diagnosed Osteoarthritis in Acute Exacerbation</t>
  </si>
  <si>
    <t>NCT06755944</t>
  </si>
  <si>
    <t>NCT06382116</t>
  </si>
  <si>
    <t>A Study Comparing BL-B01D1 With Platinum Based Chemotherapy in Patients With Locally Advanced or Metastatic Non-small Cell Lung Cancer(PANKU-Lung01)</t>
  </si>
  <si>
    <t>NCT06179407</t>
  </si>
  <si>
    <t>Study of MK-6552 in Participants With Narcolepsy Type 1 (MK-6552-004)</t>
  </si>
  <si>
    <t>NCT05954767</t>
  </si>
  <si>
    <t>IS-001 Injection in Patients Undergoing Robotic-Assisted Gynecological Surgery</t>
  </si>
  <si>
    <t>NCT06500884</t>
  </si>
  <si>
    <t>A Study to Evaluate Preventive Treatments for GPRC5D-related Oral Events</t>
  </si>
  <si>
    <t>NCT06393348</t>
  </si>
  <si>
    <t>Efficacy and Safety of HRS-7535 Tablets in T2DM Subjects Poorly Controlled With Metformin and SGLT2i.</t>
  </si>
  <si>
    <t>NCT06784648</t>
  </si>
  <si>
    <t>Different Doses of BI-1607 in Combination With Pembrolizumab and Ipilimumab, in Participants With Unresectable or Metastatic Melanoma</t>
  </si>
  <si>
    <t>NCT06596915</t>
  </si>
  <si>
    <t>Safety and Efficacy of BA1302 in Patients With Advanced Solid Tumors</t>
  </si>
  <si>
    <t>NCT06630806</t>
  </si>
  <si>
    <t>A Study to Investigate the Safety and Efficacy of SAR446523 Injected Subcutaneously in Adult Participants With Relapsed/Refractory Myeloma</t>
  </si>
  <si>
    <t>NCT06817343</t>
  </si>
  <si>
    <t>A Long-term Follow up Study of EXG102-031 in Patients With wAMD (Everest LTFU)</t>
  </si>
  <si>
    <t>NCT06134843</t>
  </si>
  <si>
    <t>Study to Assess the Safety and Efficacy of DERMASEAL for the Treatment of Split-Thickness Skin Graft Donor Site Wounds</t>
  </si>
  <si>
    <t>Hobart W. Harris</t>
  </si>
  <si>
    <t>NCT06432140</t>
  </si>
  <si>
    <t>A Trial to Evaluate Safety and Efficacy of a Product Named VGN-R09b in Severe AADC Deficiency</t>
  </si>
  <si>
    <t>NCT06351527</t>
  </si>
  <si>
    <t>Evaluate the Safety, Tolerability, Pharmacokinetics, and Preliminary Efficacy of ICP-248 as Monotherapy or in Combination With Anti-CD20 Monoclonal Antibody in Mature B-cell Malignancies</t>
  </si>
  <si>
    <t>NCT06772792</t>
  </si>
  <si>
    <t>A Study to Evaluate the Drug-Drug Interaction Between Enlicitide Decanoate (MK-0616) and Alendronate in Healthy Adult Participants (MK-0616-027)</t>
  </si>
  <si>
    <t>NCT06603571</t>
  </si>
  <si>
    <t>A Study to Investigate Weight Management With LY3841136 and Tirzepatide (LY3298176), Alone or in Combination, in Adult Participants With Obesity or Overweight With Type 2 Diabetes</t>
  </si>
  <si>
    <t>NCT06355232</t>
  </si>
  <si>
    <t>Covid-19 and Influenza Oral Vaccine Study</t>
  </si>
  <si>
    <t>NCT06154187</t>
  </si>
  <si>
    <t>Study to Evaluate the Efficacy and Safety of PBK_L2201 in Postmenopausal Women With Osteoporosis</t>
  </si>
  <si>
    <t>NCT06628206</t>
  </si>
  <si>
    <t>Safety and Pharmacokinetics of LPX-TI641 in Rheumatoid Arthritis and Psoriatic Arthritis</t>
  </si>
  <si>
    <t>NCT06211036</t>
  </si>
  <si>
    <t>Study Comparing Tarlatamab and Durvalumab Versus Durvalumab Alone in First-Line Extensive-Stage Small-Cell Lung Cancer (ES-SCLC) Following Platinum, Etoposide and Durvalumab</t>
  </si>
  <si>
    <t>NCT06305416</t>
  </si>
  <si>
    <t>A Efficacy and Safety Study of Ranibizumab 10mg/ml Injection (Incepta) in Patients With Diabetic Macular Edema</t>
  </si>
  <si>
    <t>NCT06287463</t>
  </si>
  <si>
    <t>Study of DCC-3084 in Participants With Advanced Malignancies Driven by the Mitogen-Activated Protein Kinase (MAPK) Pathway</t>
  </si>
  <si>
    <t>NCT06035393</t>
  </si>
  <si>
    <t>A Study to Assess the Efficacy and Safety of HRG2005 Inhalation in Patients With Moderate to Severe Chronic Obstructive Pulmonary Disease</t>
  </si>
  <si>
    <t>NCT06243198</t>
  </si>
  <si>
    <t>A Study to Investigate the Safety and Pharmacokinetics of Lebrikizumab in Healthy Chinese Participants</t>
  </si>
  <si>
    <t>NCT05028140</t>
  </si>
  <si>
    <t>Efficacy and Safety of Piemonte Association in the Treatment of Type II Diabetes Mellitus</t>
  </si>
  <si>
    <t>NCT06596668</t>
  </si>
  <si>
    <t>Drug-Drug Interaction Study of Bomedemstat and Carbamazepine in Healthy Adult Participants (MK-3543-020)</t>
  </si>
  <si>
    <t>NCT06385925</t>
  </si>
  <si>
    <t>A Study of TSN1611 Treating Patients With Advanced Solid Tumors Harboring KRAS G12D Mutation</t>
  </si>
  <si>
    <t>Tyligand Pharmaceuticals (Suzhou) Limited</t>
  </si>
  <si>
    <t>NCT06614725</t>
  </si>
  <si>
    <t>A Study in India on the Immune Response and Safety of a Respiratory Syncytial Virus (RSV) Older Adults (OA) Vaccine When Given to Older Adults 60 Years of Age and Above and Adults 50-59 Years of Age at Increased Risk (AIR) of Respiratory Syncytial Virus Lower Respiratory Tract Disease (RSV-LRTD)</t>
  </si>
  <si>
    <t>NCT06724640</t>
  </si>
  <si>
    <t>A Study to Assess the Safety, Tolerability, and Pharmacokinetics of VH4011499 Compared to Placebo in Adults Without HIV</t>
  </si>
  <si>
    <t>NCT06297655</t>
  </si>
  <si>
    <t>A Clinical Study of Recombinant Human Coagulation Factor VIII for Injection in Patients With Severe Hemophilia A</t>
  </si>
  <si>
    <t>NCT06614608</t>
  </si>
  <si>
    <t>The Safety and Pharmacokinetics of ASKC200 in Osteoarthritic Knee Pain</t>
  </si>
  <si>
    <t>NCT05374915</t>
  </si>
  <si>
    <t>Efficacy and Safety Study of REM-001 Photodynamic Therapy for Treatment of Cutaneous Metastatic Breast Cancer (CMBC)</t>
  </si>
  <si>
    <t>Kintara Therapeutics, Inc.</t>
  </si>
  <si>
    <t>NCT06257355</t>
  </si>
  <si>
    <t>Study to Evaluate the Safety and Efficacy of CSB-001 Ophthalmic Solution 0.1% in Subjects With Corneal Scars</t>
  </si>
  <si>
    <t>NCT06487455</t>
  </si>
  <si>
    <t>A Clinical Study of SPH7485 Tablets in the Treatment of Advanced Solid Tumors.</t>
  </si>
  <si>
    <t>NCT06430671</t>
  </si>
  <si>
    <t>Peptide-coupled Red Blood Cells for the Treatment of Multiple Sclerosis</t>
  </si>
  <si>
    <t>Cellerys AG</t>
  </si>
  <si>
    <t>NCT07550387</t>
  </si>
  <si>
    <t>A Study Assessing the Efficacy and Safety of HS-10380 in Hospitalized Adults With Acute Schizophrenia</t>
  </si>
  <si>
    <t>NCT06938204</t>
  </si>
  <si>
    <t>Single Ascending Dose, Multiple Ascending Dose, Food Effect Study</t>
  </si>
  <si>
    <t>NCT06299696</t>
  </si>
  <si>
    <t>A Study of Vanzacaftor/Tezacaftor/Deutivacaftor (VNZ/TEZ/D-IVA) in Healthy Adult Panelists</t>
  </si>
  <si>
    <t>NCT06806046</t>
  </si>
  <si>
    <t>Anti-CEACAM5 ADC Precemtabart Tocentecan (M9140) in Chinese Participants With Solid Tumors</t>
  </si>
  <si>
    <t>NCT06558799</t>
  </si>
  <si>
    <t>LUNAR-4: Effect of Tumor Treating Fields (TTFields) (150 kHz) Concurrent With Pembrolizumab for Treatment of Metastatic Non-small Cell Lung Cancer (NSCLC)</t>
  </si>
  <si>
    <t>NCT06332014</t>
  </si>
  <si>
    <t>Evaluation of Efficacy and Safety of Prolia in Subjects of Male Osteoporosis in Mainland China</t>
  </si>
  <si>
    <t>NCT06784193</t>
  </si>
  <si>
    <t>Phase 1 Study of OP-3136 in Advanced or Metastatic Solid Tumors</t>
  </si>
  <si>
    <t>NCT06413745</t>
  </si>
  <si>
    <t>Phase II Clinical Study of SHR-A1811 in Patients With HER2 Expression / Amplification of Locally Advanced Unresectable or Recurrent Metastatic Biliary Tract Cancer</t>
  </si>
  <si>
    <t>NCT06740019</t>
  </si>
  <si>
    <t>A Phase Ib Study of JMKX000197 Injection in the Treatment of Malignant Pleural Effusion</t>
  </si>
  <si>
    <t>NCT06685692</t>
  </si>
  <si>
    <t>A Clinical Trial Investigating the Safety and Efficacy of Subjects With Alcohol Associated Hepatitis (Part 1)</t>
  </si>
  <si>
    <t>NCT05731492</t>
  </si>
  <si>
    <t>A Study of Macitentan in Children Below 2 Years of Age</t>
  </si>
  <si>
    <t>NCT06194734</t>
  </si>
  <si>
    <t>A Study of KC1036 Versus Investigator's Choice of Chemotherapy in Patients With Advanced Esophageal Cancer</t>
  </si>
  <si>
    <t>NCT06162299</t>
  </si>
  <si>
    <t>A Phase I, the Study to Evaluate the Safety, Immunogenicity and Efficacy of YS-HBV-002</t>
  </si>
  <si>
    <t>NCT06565195</t>
  </si>
  <si>
    <t>A Clinical Trial of LY3962681 in Healthy Volunteers and in Patients With Parkinson's Disease</t>
  </si>
  <si>
    <t>NCT06485219</t>
  </si>
  <si>
    <t>A Phase IIa Clinical Study of Purinostat Mesylate for Injection in Patients With Peripheral T-Cell Lymphoma and Cutaneous T-Cell Lymphoma</t>
  </si>
  <si>
    <t>NCT06920771</t>
  </si>
  <si>
    <t>A Randomized, Double-Blind, Placebo-Controlled, Multi-Centre Study to Assess the Efficacy of PURETHAL Mites Mixture 50,000 AUeq/mL Subcutaneous Immunotherapy in Adult Subjects With Moderate to Severe Allergic Rhinitis/Rhinoconjunctivitis With or Without Asthma Induced by House Dust Mite (HDM)</t>
  </si>
  <si>
    <t>HAL Allergy</t>
  </si>
  <si>
    <t>NCT06378593</t>
  </si>
  <si>
    <t>A Study of 3HP-2827 in Treatment of Unresectable or Metastatic Solid Tumors With FGFR2 Alterations</t>
  </si>
  <si>
    <t>3H (Suzhou) Pharmaceuticals Co., Ltd.</t>
  </si>
  <si>
    <t>NCT06474806</t>
  </si>
  <si>
    <t>Safety and Diagnostic Performance of uPAR PET Imaging in Localised, Untreated Prostate Cancer</t>
  </si>
  <si>
    <t>Curasight</t>
  </si>
  <si>
    <t>NCT06062030</t>
  </si>
  <si>
    <t>Efficacy and Safety of DWJ1609 for Bowel Cleansing Before Colonoscopy;</t>
  </si>
  <si>
    <t>NCT06529419</t>
  </si>
  <si>
    <t>A Dose Range-Finding Study to Assess the Efficacy and Safety of Multiple Dose Levels of AZD8630 in Adults With Uncontrolled Asthma at Risk of Exacerbations</t>
  </si>
  <si>
    <t>NCT06719128</t>
  </si>
  <si>
    <t>A Study of Olomorasib (LY3537982) in Participants With Hepatic Impairment and Healthy Participants</t>
  </si>
  <si>
    <t>NCT06307665</t>
  </si>
  <si>
    <t>Evaluating the Efficacy and Safety of PT027 Compared With PT007 Administered As Needed in Participants 12 to &lt; 18 Years of Age With Asthma</t>
  </si>
  <si>
    <t>NCT06440967</t>
  </si>
  <si>
    <t>A Study to Confirm if Fezolinetant Helps Reduce Hot Flashes in Women With Breast Cancer Who Are Having Hormone Therapy</t>
  </si>
  <si>
    <t>NCT06564467</t>
  </si>
  <si>
    <t>A Single Ascending Dose Study to Evaluate the Safety, Tolerability, Pharmacokinetics and Pharmacodynamics of JMT202</t>
  </si>
  <si>
    <t>NCT06567392</t>
  </si>
  <si>
    <t>A Study to Evaluate the Mass Balance of [14C] HRS-5965 in Healthy Adult Male Volunteers</t>
  </si>
  <si>
    <t>NCT06193187</t>
  </si>
  <si>
    <t>Dr. Reddy's Laboratories (Thailand) Limited</t>
  </si>
  <si>
    <t>NCT06545916</t>
  </si>
  <si>
    <t>Study of Sunobinop on Alcohol Consumption in Alcohol Use Disorder</t>
  </si>
  <si>
    <t>Knoa Pharma LLC</t>
  </si>
  <si>
    <t>NCT06347133</t>
  </si>
  <si>
    <t>Phase 3 Study of Plozasiran in Adults With Hypertriglyceridemia</t>
  </si>
  <si>
    <t>NCT06346392</t>
  </si>
  <si>
    <t>AZD0901 Compared With Investigator's Choice of Therapy in Participants With Second- or Later-line Advanced or Metastatic Gastric or Gastroesophageal Junction Adenocarcinoma Expressing Claudin18.2</t>
  </si>
  <si>
    <t>NCT06595238</t>
  </si>
  <si>
    <t>A Study in Participants With Obesity or Overweight With at Least One Weight-related Comorbidity</t>
  </si>
  <si>
    <t>NCT06544616</t>
  </si>
  <si>
    <t>A Study of JNJ-64042056 in Participants With Preclinical Alzheimer's Disease</t>
  </si>
  <si>
    <t>NCT06448247</t>
  </si>
  <si>
    <t>A Study of SPY001-001 in Healthy Volunteers</t>
  </si>
  <si>
    <t>NCT07115238</t>
  </si>
  <si>
    <t>Analysis of 18F-XTR006 PET Imaging in Cognitively Normal Subjects, and Patients With MCI and AD</t>
  </si>
  <si>
    <t>NCT06149611</t>
  </si>
  <si>
    <t>Mass Balance Study of TQB3616</t>
  </si>
  <si>
    <t>NCT06427499</t>
  </si>
  <si>
    <t>The Clinical of Stannous Fluoride Toothpaste and a Newly Designed Toothbrush Compared to Colgate Cavity Protection Toothpaste and a Regular Toothbrush in Reducing Plaque and Gingivitis.</t>
  </si>
  <si>
    <t>NCT06289504</t>
  </si>
  <si>
    <t>A Study on How CagriSema Affects Levels of Atorvastatin and Warfarin in the Blood of Participants With Excess Body Weight</t>
  </si>
  <si>
    <t>NCT05486416</t>
  </si>
  <si>
    <t>Safety and Efficacy of HSK3486 Compared to Propofol for Induction of General Anesthesia in Adults With Elective Surgery</t>
  </si>
  <si>
    <t>NCT06383390</t>
  </si>
  <si>
    <t>The Effect of Retatrutide Once Weekly on Cardiovascular Outcomes and Kidney Outcomes in Adults Living With Obesity (TRIUMPH-Outcomes)</t>
  </si>
  <si>
    <t>NCT06435442</t>
  </si>
  <si>
    <t>PK,PD and DDI of Epaminurad and Naproxen in Healthy Volunteers</t>
  </si>
  <si>
    <t>NCT06535308</t>
  </si>
  <si>
    <t>BnH-015B Clinical Trial in Moderate Alzheimer's Disease</t>
  </si>
  <si>
    <t>BnH Research</t>
  </si>
  <si>
    <t>NCT06590740</t>
  </si>
  <si>
    <t>Establish FeNO Cut-off Value for Predicting Budesonide-formoterol Response in Chronic Cough Suggestive of CVA Patients.</t>
  </si>
  <si>
    <t>NCT06214143</t>
  </si>
  <si>
    <t>A Clinical Study of T3011 in Combination With PD-1/PD-L1 Inhibitors in Subjects With Advanced Solid Tumors</t>
  </si>
  <si>
    <t>NCT06126237</t>
  </si>
  <si>
    <t>A Study of CM313 in Subjects With Relapsed or Refractory Multiple Myeloma</t>
  </si>
  <si>
    <t>NCT05212662</t>
  </si>
  <si>
    <t>Study of Cysteamine-pantetheine Disulfide (TTI-0102) in Mild to Moderate COVID-19</t>
  </si>
  <si>
    <t>Thiogenesis Therapeutics, Inc.</t>
  </si>
  <si>
    <t>NCT06123494</t>
  </si>
  <si>
    <t>SHR-A1811 for Subjects With Her2-positive Gastric Cancer and Gastroesophageal Junction Adenocarcinoma After Progression on or After First-line Anti-HER2 Therapy-containing Regimen</t>
  </si>
  <si>
    <t>NCT06469879</t>
  </si>
  <si>
    <t>A Clinical Study of TQB2450 Combined With Anlotinib in Limited-Stage Small Cell Lung Cancer Patients</t>
  </si>
  <si>
    <t>NCT03606746</t>
  </si>
  <si>
    <t>Cellular Immunotherapy for Immune Tolerance in Past Recipients of HLA Zero-mismatch, Living Donor Kidney Transplants</t>
  </si>
  <si>
    <t>NCT06437509</t>
  </si>
  <si>
    <t>A Study of BL-B01D1+PD-1 Monoclonal Antibody in Patients With Extensive-stage Small Cell Lung Cancer</t>
  </si>
  <si>
    <t>NCT06487858</t>
  </si>
  <si>
    <t>A Study of BGB-R046 as Monotherapy and in Combination With Tislelizumab in Solid Tumors</t>
  </si>
  <si>
    <t>NCT06533358</t>
  </si>
  <si>
    <t>A Clinical Study of MT1002 in Subjects With Acute Coronary Syndrome Undergoing PCI</t>
  </si>
  <si>
    <t>NCT06609460</t>
  </si>
  <si>
    <t>Study of CD388 for the Prevention of Influenza in Subjects Not at Risk for Influenza Complications</t>
  </si>
  <si>
    <t>NCT04731259</t>
  </si>
  <si>
    <t>Study to Evaluate the Safety of ATR-04</t>
  </si>
  <si>
    <t>NCT06280196</t>
  </si>
  <si>
    <t>A Study to Evaluate PK, Efficacy, and Safety of BAT3306 Plus Chemo and Compare With Keytruda®(EU/US) in Participants With IV nqNSCLC</t>
  </si>
  <si>
    <t>NCT06303505</t>
  </si>
  <si>
    <t>FiH Study to Investigate Safety, PK and Efficacy of the NaPi2b ADC TUB-040 in Patients With PROC or r/r Adenocarcinoma NSCLC</t>
  </si>
  <si>
    <t>NCT06533540</t>
  </si>
  <si>
    <t>Safety Study of TPX-121 on Nasolabial Folds</t>
  </si>
  <si>
    <t>NCT06387342</t>
  </si>
  <si>
    <t>Namodenoson Treatment of Advanced Pancreatic Cancer</t>
  </si>
  <si>
    <t>NCT07168473</t>
  </si>
  <si>
    <t>Study to Evaluate the Efficacy and Safety of DW1807 in Perennial Allergic Rhinitis Patients With Asthma</t>
  </si>
  <si>
    <t>NCT06391827</t>
  </si>
  <si>
    <t>A Study to Evaluate Safety, Tolerability, and PK of DA-7503 in Healthy Adult and Elderly Participants</t>
  </si>
  <si>
    <t>NCT06828861</t>
  </si>
  <si>
    <t>ARD-101 for Treatment of PWS: The Hunger Elimination or Reduction Objective Trial</t>
  </si>
  <si>
    <t>NCT06551623</t>
  </si>
  <si>
    <t>Drug-Drug Interactions Between TNP-2198 and Midazolam, Clarithromycin</t>
  </si>
  <si>
    <t>NCT06331598</t>
  </si>
  <si>
    <t>A Study of Adjuvant Atezolizumab or Atezolizumab Plus Tiragolumab in Solid Tumors with Resectable Disease with Intermediate-High Risk of Recurrence and High Tumor Mutational Burden (TMB-H) or Microsatellite Instability (MSI-H)</t>
  </si>
  <si>
    <t>NCT06780306</t>
  </si>
  <si>
    <t>A Study in the Treatment of Mild to Moderate Dry Eye Disease Comparing Saline to TTAX03.</t>
  </si>
  <si>
    <t>NCT06524804</t>
  </si>
  <si>
    <t>A Phase Ib/II Study of BY101298 , an Oral DNA-PK Inhibitor, Combined with Radiotherapy in Patients with Malignant Solid Tumors</t>
  </si>
  <si>
    <t>NCT06454747</t>
  </si>
  <si>
    <t>Randomized Study Using SM-030 Gel for Adults With Melasma</t>
  </si>
  <si>
    <t>NCT06484855</t>
  </si>
  <si>
    <t>Safety and Tolerability of IBI355 in Patients With Primary Sjogren's Syndrome</t>
  </si>
  <si>
    <t>NCT06361485</t>
  </si>
  <si>
    <t>Safety and Feasibility of Umbilical Cord Wharton's Jelly Allograft Injections for Lumbar Pain</t>
  </si>
  <si>
    <t>R3 Stem Cell</t>
  </si>
  <si>
    <t>NCT06701721</t>
  </si>
  <si>
    <t>A Study Intravitreal THN391 in Diabetic Macular Oedema Secondary to Non-Proliferative Diabetic Retinopathy.</t>
  </si>
  <si>
    <t>Therini Bio Pty Ltd</t>
  </si>
  <si>
    <t>NCT06384547</t>
  </si>
  <si>
    <t>A Randomized, Controlled, Safety and Tolerability Study of VRDN-001 in Participants With Thyroid Eye Disease (TED)</t>
  </si>
  <si>
    <t>NCT06233058</t>
  </si>
  <si>
    <t>Drospirenone (3 mg) + Ethinyl Estradiol (0.03 mg) Tablets Relative to Yasmin®</t>
  </si>
  <si>
    <t>NCT06205121</t>
  </si>
  <si>
    <t>Efficacy and Safety Study of OATD-01 in Patients With Active Pulmonary Sarcoidosis</t>
  </si>
  <si>
    <t>NCT06394414</t>
  </si>
  <si>
    <t>A Phase 1 Study to Evaluate the Safety, Efficacy, and Pharmacokinetics of YL201 in Advanced Solid Tumors</t>
  </si>
  <si>
    <t>NCT06298955</t>
  </si>
  <si>
    <t>Long-Term Safety, Tolerability and Efficacy of OMS906 in Paroxysmal Nocturnal Hemoglobinuria</t>
  </si>
  <si>
    <t>NCT06236438</t>
  </si>
  <si>
    <t>Study to Evaluate Adverse Events, Optimal Dose, and Change in Disease Activity, With Livmoniplimab in Combination With Budigalimab Plus Chemotherapy Versus IV Infused Pembrolizumab Plus Chemotherapy in Adult Participants With Untreated Metastatic Non-Squamous Non-Small Cell Lung Cancer (NSCLC)</t>
  </si>
  <si>
    <t>NCT06466525</t>
  </si>
  <si>
    <t>A Two-Part Single and Multiple Ascending Dose Trial of the Safety, Tolerability, Pharmacokinetics, and Pharmacodynamics of LBT-3627 in Healthy Participants and in Participants With Parkinson's Disease.</t>
  </si>
  <si>
    <t>Longevity Biotech Australia Pty Ltd (subsidiary)</t>
  </si>
  <si>
    <t>NCT06601517</t>
  </si>
  <si>
    <t>A Drug-Drug Interaction (DDI) Study of HDM1002 With Repaglinide, Atorvastatin, Digoxin and Rosuvastatin in Healthy Subjects and Overweight Subjects.</t>
  </si>
  <si>
    <t>NCT06279793</t>
  </si>
  <si>
    <t>Intravenous Fish Oil Based Lipid Emulsion to Enhance Recovery in High-Risk Cardiac Surgery Patients</t>
  </si>
  <si>
    <t>NCT06419621</t>
  </si>
  <si>
    <t>PM8002 or Placebo Plus Nab-Paclitaxel as First-line Treatment in Inoperable Locally Advanced/Metastatic TNBC</t>
  </si>
  <si>
    <t>NCT06331026</t>
  </si>
  <si>
    <t>A Bioequivalence Study of Two Different PEG-rhGH Preparations.</t>
  </si>
  <si>
    <t>NCT06348576</t>
  </si>
  <si>
    <t>Phase III Study to Evaluate the Efficacy and Safety of AD-209</t>
  </si>
  <si>
    <t>NCT06422767</t>
  </si>
  <si>
    <t>Study to Evaluate the Effect of Bepirovirsen on Cardiac Conduction as Assessed by 12-lead Electrocardiogram in Healthy Volunteers</t>
  </si>
  <si>
    <t>NCT05963867</t>
  </si>
  <si>
    <t>A Study to Test How BI 764532 is Taken up by Tumours in People With Small-cell Lung Cancer or Neuroendocrine Cancer</t>
  </si>
  <si>
    <t>NCT06199349</t>
  </si>
  <si>
    <t>Safety Study of GMDTC Injection in Participants With Excessive Cadmium</t>
  </si>
  <si>
    <t>NCT06463340</t>
  </si>
  <si>
    <t>Study of SGR-3515 In Participants With Advanced Solid Tumors.</t>
  </si>
  <si>
    <t>NCT06391710</t>
  </si>
  <si>
    <t>HRS9531 Injection in Obese Subjects With Heart Failure With Preserved Ejection Fraction</t>
  </si>
  <si>
    <t>NCT07008703</t>
  </si>
  <si>
    <t>Phase I Study of sss40 Injection for Moderate-to-Severe Bone Metastatic Cancer Pain</t>
  </si>
  <si>
    <t>NCT06388889</t>
  </si>
  <si>
    <t>Phase III Long-Term Extension Study With Dexpramipexole</t>
  </si>
  <si>
    <t>NCT06058689</t>
  </si>
  <si>
    <t>A Pilot Bioequivalence Study of Pomalidomide</t>
  </si>
  <si>
    <t>NCT05052879</t>
  </si>
  <si>
    <t>Efficacy and Safety of Toronto Association in the Treatment of Erectile Dysfunction and Premature Ejaculation</t>
  </si>
  <si>
    <t>NCT06304961</t>
  </si>
  <si>
    <t>A Study to Investigate Relative Bioavailability of Two Different Dosage Forms for Tozorakimab Via Subcutaneous Administration in Healthy Volunteers</t>
  </si>
  <si>
    <t>NCT06500091</t>
  </si>
  <si>
    <t>TQB2916 Injection Combined With Chemotherapy or Penpulimab Injection in the Treatment of Solid Tumors</t>
  </si>
  <si>
    <t>NCT06772779</t>
  </si>
  <si>
    <t>A Study of Enlicitide Decanoate (MK-0616), Warfarin, and Lisinopril in Healthy Adult Participants (MK-0616-026)</t>
  </si>
  <si>
    <t>NCT07257627</t>
  </si>
  <si>
    <t>Comparative PK/PD of Single-Dose THDB0206 at Different Injection Sites</t>
  </si>
  <si>
    <t>NCT06048627</t>
  </si>
  <si>
    <t>Anti-gingivitis Mouthrinse</t>
  </si>
  <si>
    <t>NCT06629597</t>
  </si>
  <si>
    <t>A Phase III Study of YL201 in Recurrent or Metastatic Nasopharyngeal Carcinoma</t>
  </si>
  <si>
    <t>NCT06649110</t>
  </si>
  <si>
    <t>A Study to Learn About the Treatment LTP001 in Healthy Participants (Part A) and in Participants With PAH (Part B)</t>
  </si>
  <si>
    <t>NCT06362369</t>
  </si>
  <si>
    <t>A Study of Oral 7HP349 (Alintegimod) in Combination With Ipilimumab Followed by Nivolumab Monotherapy</t>
  </si>
  <si>
    <t>NCT05802329</t>
  </si>
  <si>
    <t>Phase I Study to Assess the Safety and Efficacy of OCU200 for Center-Involved Diabetic Macular Edema (DME)</t>
  </si>
  <si>
    <t>NCT06446037</t>
  </si>
  <si>
    <t>Assessment of Gesture Accuracy of a Prosthesis Control System</t>
  </si>
  <si>
    <t>Phantom Neuro Inc.</t>
  </si>
  <si>
    <t>NCT06741345</t>
  </si>
  <si>
    <t>Phase 1 BIO 300 Oral Suspension</t>
  </si>
  <si>
    <t>NCT06568237</t>
  </si>
  <si>
    <t>A Trial to Test if TEV-56286 is Effective for Treatment of Participants With Multiple System Atrophy</t>
  </si>
  <si>
    <t>NCT06289166</t>
  </si>
  <si>
    <t>Safety and Efficacy of STSP-0601 in Adult Patients with Hemophilia a or B with Inhibitor</t>
  </si>
  <si>
    <t>NCT06147037</t>
  </si>
  <si>
    <t>A Phase 1, Dose-escalation Study of [225Ac]-FPI-2068 in Adult Patients With Advanced Solid Tumours</t>
  </si>
  <si>
    <t>NCT06229145</t>
  </si>
  <si>
    <t>A Trial to Investigate the Non-inferiority of Pegloticase Administered Every 4 Weeks (Q4W) With MTX Compared With Every 2 Weeks (Q2W) With MTX in Participants With Uncontrolled Refractory Gout</t>
  </si>
  <si>
    <t>NCT06716203</t>
  </si>
  <si>
    <t>A Study of BGM0504 in Poorly Controlled Type 2 Diabetes Patients Only Through Diet and Exercise</t>
  </si>
  <si>
    <t>NCT06269705</t>
  </si>
  <si>
    <t>ZILRETTA in Subjects With Shoulder Osteoarthritis</t>
  </si>
  <si>
    <t>NCT06722729</t>
  </si>
  <si>
    <t>A Late Phase II Clinical Trial of KDT-3594 in Patients With Parkinson's Disease</t>
  </si>
  <si>
    <t>NCT06253546</t>
  </si>
  <si>
    <t>Safety, Tolerability, and Pharmacokinetic Study of TV-44749 in Chinese Patients With Schizophrenia</t>
  </si>
  <si>
    <t>NCT06410703</t>
  </si>
  <si>
    <t>CAN1012 Combined With PD-1 in Patients With Solid Tumors</t>
  </si>
  <si>
    <t>NCT06469853</t>
  </si>
  <si>
    <t>Study to Assess the Safety, Pharmacokinetics, and Pharmacodynamics of MBF-015 in Huntington's Disease Patients</t>
  </si>
  <si>
    <t>NCT06681337</t>
  </si>
  <si>
    <t>Universal CAR-T Cell Therapy for Refractory Lupus Nephritis</t>
  </si>
  <si>
    <t>NCT06835361</t>
  </si>
  <si>
    <t>Efficacy and Safety of Clotrimazole+Lactulose Vaginal Suppositories Vs. Clotrimazole Monotherapy in Adult Women with Candidal Vaginitis/Vulvovaginitis</t>
  </si>
  <si>
    <t>AVVA Pharmaceuticals Ltd.</t>
  </si>
  <si>
    <t>NCT05831202</t>
  </si>
  <si>
    <t>SEAL™IT: Saccular Endovascular Aneurysm Lattice System Interventional Pivotal Trial</t>
  </si>
  <si>
    <t>Galaxy Therapeutics INC</t>
  </si>
  <si>
    <t>NCT06469151</t>
  </si>
  <si>
    <t>A Study to Evaluate the Safety, Tolerability and Pharmacokinetics of AZD5148 in Healthy Adults</t>
  </si>
  <si>
    <t>NCT06422507</t>
  </si>
  <si>
    <t>A Study to Learn More About How Well 8 Milligram Aflibercept Works and How Safe it is in Chinese Participants With Diabetic Macular Edema</t>
  </si>
  <si>
    <t>NCT05979311</t>
  </si>
  <si>
    <t>A Study to Evaluate the Efficacy, Safety, and Tolerability of Using an Oral Once-daily 2 Drug Regimen Compared to an Oral Once-daily 3 Drug Regimen for the Treatment of Human Immunodeficiency Virus (HIV)-1 in Adults Who Have Not Previously Taken Antiretroviral Therapy</t>
  </si>
  <si>
    <t>NCT06239311</t>
  </si>
  <si>
    <t>Efficacy and Safety of Methotrexate Versus Placebo in Adults With Atopic Dermatitis.</t>
  </si>
  <si>
    <t>NCT06343298</t>
  </si>
  <si>
    <t>To Evaluate the Safety and Efficacy of MANP in Subjects With Difficult to Control/ Resistant Hypertension</t>
  </si>
  <si>
    <t>NCT06484816</t>
  </si>
  <si>
    <t>TGRX-1942 Chinese Phase I for Advanced Solid Tumor And/or Relapsed/Refractory Hematologic Malignancies</t>
  </si>
  <si>
    <t>NCT06311721</t>
  </si>
  <si>
    <t>A Study to Compare ABP 234 and Keytruda® (Pembrolizumab) in Participants With Advanced or Metastatic Non-squamous Non-Small Cell Lung Cancer</t>
  </si>
  <si>
    <t>NCT06308614</t>
  </si>
  <si>
    <t>Estetrol for the Treatment of Female Sexual Arousal Disorder in Postmenopausal Women</t>
  </si>
  <si>
    <t>NCT06462365</t>
  </si>
  <si>
    <t>Prevention of GvHD in Participants With Hematological Malignancies Undergoing Hematopoietic Stem Cell Transplant (HSCT)</t>
  </si>
  <si>
    <t>Tr1X, Inc.</t>
  </si>
  <si>
    <t>NCT06293716</t>
  </si>
  <si>
    <t>CVL237 Tablets for APDS/PASLI</t>
  </si>
  <si>
    <t>NCT06535607</t>
  </si>
  <si>
    <t>Study of Volrustomig as Monotherapy or in Combination With Anti- Cancer Agents in Participants With Advanced/Metastatic Solid Tumors</t>
  </si>
  <si>
    <t>NCT06611436</t>
  </si>
  <si>
    <t>BeCoMe-9: A Clinical Study of BE-101 for the Treatment of Adults With Moderately Severe or Severe Hemophilia B</t>
  </si>
  <si>
    <t>Be Biopharma</t>
  </si>
  <si>
    <t>NCT06427811</t>
  </si>
  <si>
    <t>Clinical Study of Asciminib in Previously Treated Indian Patients With Ph+ CML-CP Without T315I Mutation and in Patients With Ph+ CML-CP With T315I Mutation</t>
  </si>
  <si>
    <t>NCT03990493</t>
  </si>
  <si>
    <t>Intratumoral Injection of PV-001-DV Plus DC in Patients With Melanoma</t>
  </si>
  <si>
    <t>NCT06112314</t>
  </si>
  <si>
    <t>IMC-F106C Regimen Versus Nivolumab Regimens in Previously Untreated Advanced Melanoma (PRISM-MEL-301)</t>
  </si>
  <si>
    <t>NCT06391164</t>
  </si>
  <si>
    <t>Study to Evaluate the Efficacy and Safety of XC243 in Patients With Exacerbation of Chronic Cystitis</t>
  </si>
  <si>
    <t>NCT06603844</t>
  </si>
  <si>
    <t>First-in-human Study of CRB-601-01 to Treat Patients With Advanced Solid Tumor.</t>
  </si>
  <si>
    <t>NCT06526832</t>
  </si>
  <si>
    <t>A Phase 1 Study of BST02 in Treating Locally Advanced Liver Cancer</t>
  </si>
  <si>
    <t>NCT06581406</t>
  </si>
  <si>
    <t>A Randomized, Phase 2/3 Study to Investigate the Efficacy and Safety of RP2 in Combination With Nivolumab in Immune Checkpoint Inhibitor-Naïve Adult Patients With Metastatic Uveal Melanoma</t>
  </si>
  <si>
    <t>NCT06631170</t>
  </si>
  <si>
    <t>Efficacy and Safety of Roflumilast Cream in Subjects With Atopic Dermatitis</t>
  </si>
  <si>
    <t>NCT06662669</t>
  </si>
  <si>
    <t>YL-13027 and/or HY-0102 Combined With AG Regimen Chemotherapy for Metastatic Pancreatic Cancer</t>
  </si>
  <si>
    <t>NCT07584954</t>
  </si>
  <si>
    <t>Phase I, Open-labeled, Dose-escalation, Dose-expansion Study Evaluating the Safety, Tolerance, Pharmacokinetics, and Activity of IUAb190708 in Patients With Advanced or Recurrent Solid Tumors</t>
  </si>
  <si>
    <t>Jun Zhou</t>
  </si>
  <si>
    <t>NCT06190951</t>
  </si>
  <si>
    <t>A Trial to Learn if Fianlimab and Cemiplimab Are Safe and Work Better Than Anti-PD1 Alone in Adult Participants With Resectable Stage 3 or 4 Melanoma</t>
  </si>
  <si>
    <t>NCT06329895</t>
  </si>
  <si>
    <t>A Study to Learn About How BAY2927088 Affects the Level of Dabigatran or Rosuvastatin in the Blood When These Drugs Are Taken Together in Healthy Participants</t>
  </si>
  <si>
    <t>NCT06679270</t>
  </si>
  <si>
    <t>Open-label Extension Study to Evaluate Metreleptin in Patients With Partial Lipodystrophy</t>
  </si>
  <si>
    <t>NCT06131983</t>
  </si>
  <si>
    <t>Study of ARO-DUX4 in Adult and Adolescent Patients With Facioscapulohumeral Muscular Dystrophy Type 1</t>
  </si>
  <si>
    <t>NCT06224595</t>
  </si>
  <si>
    <t>A Phase 1 Study to Evaluate the Safety, Tolerability, Pharmacokinetic, Pharmacodynamic Profiles and Food Effect of CS32582 Capsules</t>
  </si>
  <si>
    <t>NCT06454175</t>
  </si>
  <si>
    <t>A Phase I Clinical Trial to Evaluate the Safety of 15-valent HPV Vaccine in Healthy Chinese People Aged 18-45 Years</t>
  </si>
  <si>
    <t>NCT06377072</t>
  </si>
  <si>
    <t>Efficacy and Safety of Shenqi Sherong Pill in Participants With Cervical Spondylotic Myelopathy</t>
  </si>
  <si>
    <t>NCT06578039</t>
  </si>
  <si>
    <t>Phase 1 Clinical Trial of CordSTEM-ST</t>
  </si>
  <si>
    <t>NCT06262139</t>
  </si>
  <si>
    <t>Evaluation of a Targeted Magnetic Resonance Imaging Contrast Agent in Prostate Cancer Patients</t>
  </si>
  <si>
    <t>Songqi Gao</t>
  </si>
  <si>
    <t>NCT06591845</t>
  </si>
  <si>
    <t>Thorough QT/QTc (TQT) Clinical Study to Evaluate the Effects of Ziresovir on Cardiac Repolarization in Healthy Subjects</t>
  </si>
  <si>
    <t>NCT06378437</t>
  </si>
  <si>
    <t>A Study of GLB-001 in Patients With Myeloid Malignancies</t>
  </si>
  <si>
    <t>NCT06431594</t>
  </si>
  <si>
    <t>A Study to Evaluate the Safety,Tolerability, Pharmacokinetics and Clinical Activity of Mocertatug Rezetecan for Injection in Participants With Advanced Solid Tumors (BEHOLD-1)</t>
  </si>
  <si>
    <t>NCT06262477</t>
  </si>
  <si>
    <t>A Study to Evaluate the Pharmacokinetics, Safety and Immunogenicity of BIIB800 Subcutaneously (SC) Compared to Actemra® in Healthy Male Participants</t>
  </si>
  <si>
    <t>NCT06397911</t>
  </si>
  <si>
    <t>Evaluate Efficacy and Safety of Repeat Subcutaneous Doses of FB825 in Adults With Moderate-to-Severe Atopic Dermatitis</t>
  </si>
  <si>
    <t>NCT06234098</t>
  </si>
  <si>
    <t>Study to Investigate the Safety, Tolerability, Pharmacokinetics, Pharmocodynamics and Preliminary Antitumor Activity of AT-1965 in Patients With Advanced, Refractory or Recurrent Solid Tumors</t>
  </si>
  <si>
    <t>Alyssum Therapeutics</t>
  </si>
  <si>
    <t>NCT06280209</t>
  </si>
  <si>
    <t>A Phase 1/2 Study to Assess the Safety, Tolerability, Pharmacokinetics, and Pharmacodynamics of BMN 351 in Participants With Duchenne Muscular Dystrophy</t>
  </si>
  <si>
    <t>NCT06413693</t>
  </si>
  <si>
    <t>A STUDY TO LEARN HOW THE STUDY MEDICINE CALLED PF-07293893 AFFECTS MUSCLE BIOMARKERS OF HEALTHY ADULTS</t>
  </si>
  <si>
    <t>NCT06334432</t>
  </si>
  <si>
    <t>Safety and Efficacy Study of NUV-1511 in Adult Patients With Advanced Solid Tumors</t>
  </si>
  <si>
    <t>NCT06671444</t>
  </si>
  <si>
    <t>Pharmacokinetics and Safety Study of YZJ-1139 in Subjects With Severe Renal Impairment and Normal Renal Impairment</t>
  </si>
  <si>
    <t>NCT06582277</t>
  </si>
  <si>
    <t>Safety and Immunogenicity of Two Dose Levels of OVX836 Influenza Vaccine as a Booster on Participants Previously Administered With OVX836</t>
  </si>
  <si>
    <t>NCT06813807</t>
  </si>
  <si>
    <t>A Comparative Study of the Pharmacokinetic Profiles of Timolol Maleate Ophthalmic Gel With Timolol Maleate Gel</t>
  </si>
  <si>
    <t>NCT06475937</t>
  </si>
  <si>
    <t>A Study of DM001 in Patients With Advanced Solid Tumors</t>
  </si>
  <si>
    <t>Xadcera Biopharmaceutical (Suzhou) Co., Ltd.</t>
  </si>
  <si>
    <t>NCT06375512</t>
  </si>
  <si>
    <t>A Study to Describe the Safety, Reactogenicity, and Immunogenicity of Herpes Zoster IN001 mRNA Vaccine (IN001) in Healthy Participants</t>
  </si>
  <si>
    <t>NCT06611371</t>
  </si>
  <si>
    <t>Phase I/II Study to a Assess the GBS-06 Vaccine Manufactured by Inventprise, Inc., in Healthy, Non-Pregnant, Adult Women of Childbearing Age.</t>
  </si>
  <si>
    <t>NCT05788107</t>
  </si>
  <si>
    <t>Evaluate the Safety, Tolerability, and Pharmacokinetic Characteristics of HLX51 in Patients With Solid Tumor or Lymphoma</t>
  </si>
  <si>
    <t>NCT06731829</t>
  </si>
  <si>
    <t>A Study for Adults Undergoing Magnetic Resonance Imaging (MRI) for Known or Highly Suspected Brain and/or Spinal Cord Conditions</t>
  </si>
  <si>
    <t>NCT06307795</t>
  </si>
  <si>
    <t>A Study to Investigate ANS014004 in Participants With Locally Advanced or Metastatic Solid Tumors</t>
  </si>
  <si>
    <t>NCT05688839</t>
  </si>
  <si>
    <t>A Study of Jaktinib Hydrochloride Tablets in the Treatment of Severe Novel Coronavirus Pneumonia</t>
  </si>
  <si>
    <t>NCT06596772</t>
  </si>
  <si>
    <t>A Study to Compare Efficacy, Pharmacokinetics, Safety and Immunogenicity of MB04 [proposed Etanercept Biosimilar] to Enbrel® [EU-sourced] in Rheumatoid Arthritis</t>
  </si>
  <si>
    <t>NCT06646783</t>
  </si>
  <si>
    <t>Phase IIT Trial of SNA014</t>
  </si>
  <si>
    <t>NCT06091930</t>
  </si>
  <si>
    <t>A Study to Test Different Doses of BI 765049 Alone and in Combination With Ezabenlimab in Asian People With Advanced Cancer (Solid Tumours) Positive for B7-H6</t>
  </si>
  <si>
    <t>NCT06075095</t>
  </si>
  <si>
    <t>A Study to Investigate the Effect on Lung Function of an Approved COPD Treatment (BGF, With HFA Propellant) Compared to BGF Formulated With a Next-Generation Propellant in Participants 40 to 80 Years of Age With COPD</t>
  </si>
  <si>
    <t>NCT06932107</t>
  </si>
  <si>
    <t>NCT06579092</t>
  </si>
  <si>
    <t>Effects of AZD5004 in Adults Who Are Living With Obesity or Overweight With at Least 1 Weight-related Comorbidity</t>
  </si>
  <si>
    <t>NCT06551142</t>
  </si>
  <si>
    <t>A Study of GSK5764227 in Participants With Advanced Solid Tumors (EMBOLD)</t>
  </si>
  <si>
    <t>NCT06516510</t>
  </si>
  <si>
    <t>A Dosimetry Study of Lutetium (177Lu) rhPSMA-10.1 and Lutetium (177Lu) Vipivotide Tetraxetan (Pluvicto®) in Patients With Non-curative Metastatic Prostate Cancer</t>
  </si>
  <si>
    <t>NCT06501586</t>
  </si>
  <si>
    <t>Study of SGB-3908 in Healthy Subjects and Mildly Hypertensive Subjects</t>
  </si>
  <si>
    <t>NCT06480383</t>
  </si>
  <si>
    <t>Study of ITI-1284 as an Adjunctive Treatment in Patients With Generalized Anxiety Disorder</t>
  </si>
  <si>
    <t>NCT06554639</t>
  </si>
  <si>
    <t>A Drug-Drug Interaction Study of Diltiazem and MK-5684 in Healthy Adult Male Participants (MK-5684-011)</t>
  </si>
  <si>
    <t>NCT06352411</t>
  </si>
  <si>
    <t>A Study to Test How BI 456906 is Taken up in the Blood of People With and Without Kidney Problems</t>
  </si>
  <si>
    <t>NCT06681181</t>
  </si>
  <si>
    <t>A First-time in Human (FTIH) Study to Evaluate Safety, Tolerability, Pharmacokinetics and Target Engagement of GSK4528287 in Healthy Participants</t>
  </si>
  <si>
    <t>NCT06489028</t>
  </si>
  <si>
    <t>Allogeneic ABCB5-positive Dermal Mesenchymal Stromal Cells for Treatment of Therapy-resistant CVU (Phase III)</t>
  </si>
  <si>
    <t>NCT06269107</t>
  </si>
  <si>
    <t>A Research Study to See How Well New Weekly Medicine IcoSema, Which is a Combination of Insulin Icodec and Semaglutide, Controls Blood Sugar Levels in People With Type 2 Diabetes (T2D), Compared to Daily Insulin Glargine (COMBINE 4)</t>
  </si>
  <si>
    <t>NCT06649773</t>
  </si>
  <si>
    <t>The Experiment of Noiiglutide Injection in Type 2 Diabetes Patients</t>
  </si>
  <si>
    <t>NCT06616194</t>
  </si>
  <si>
    <t>A Study to Learn About the Study Medicine Called Rimegepant in Adolescents With Frequent Migraine</t>
  </si>
  <si>
    <t>NCT06395012</t>
  </si>
  <si>
    <t>A First-In-Human Study of LY3985297 in Healthy Participants</t>
  </si>
  <si>
    <t>NCT06118281</t>
  </si>
  <si>
    <t>ARTEMIS - A Research Study to Look at How Ziltivekimab Works Compared to Placebo in People With a Heart Attack</t>
  </si>
  <si>
    <t>NCT06321302</t>
  </si>
  <si>
    <t>A Study to Test Whether BI 764524 Helps People With an Eye Condition Called Diabetic Retinopathy</t>
  </si>
  <si>
    <t>NCT06052423</t>
  </si>
  <si>
    <t>ARTEMIS-007: HS-20093 in Patients With Extensive Stage Small Cell Lung Cancer</t>
  </si>
  <si>
    <t>NCT06500273</t>
  </si>
  <si>
    <t>Consolidation of First-Line MRD+ Remission With Cema-cel in Patients With LBCL</t>
  </si>
  <si>
    <t>NCT06285422</t>
  </si>
  <si>
    <t>Study Evaluating SC262 in Subjects With r/r Non-Hodgkin's Lymphoma (VIVID)</t>
  </si>
  <si>
    <t>NCT06681324</t>
  </si>
  <si>
    <t>Study Evaluating AZD7798 for Treatment in Crohn's Disease Patients With an Ileostomy</t>
  </si>
  <si>
    <t>NCT06677996</t>
  </si>
  <si>
    <t>A Phase 1 Study to Examine the Effects of Itraconazole After Single Dose Administration of Varegacestat (AL102) to Healthy Participants</t>
  </si>
  <si>
    <t>NCT06585241</t>
  </si>
  <si>
    <t>A Study to Investigate the Immunogenicity and Safety of mRNA COVID-19 Variant-containing Vaccine Formulations</t>
  </si>
  <si>
    <t>NCT06649266</t>
  </si>
  <si>
    <t>Trial to Evaluate the Efficacy, Safety and Pharmacokinetics of RBD1016 in Participants With Chronic Hepatitis D</t>
  </si>
  <si>
    <t>NCT05756556</t>
  </si>
  <si>
    <t>T3011 in Combination With Cobimetinib in Patients With Advanced Melanoma</t>
  </si>
  <si>
    <t>NCT06234423</t>
  </si>
  <si>
    <t>A Study of CUSP06 in Patients With Platinum-Refractory/Resistant Ovarian Cancer and Other Advanced Solid Tumors</t>
  </si>
  <si>
    <t>OnCusp Therapeutics, Inc.</t>
  </si>
  <si>
    <t>NCT06607627</t>
  </si>
  <si>
    <t>PK, PD, Safety, and Efficacy Study of Gefurulimab in Pediatric Patients With AChR+ Generalized Myasthenia Gravis</t>
  </si>
  <si>
    <t>NCT06471361</t>
  </si>
  <si>
    <t>A Study to Evaluate the Safe and Effective Use of a Zilucoplan Auto-injector by Study Participants With Generalized Myasthenia Gravis</t>
  </si>
  <si>
    <t>NCT06235983</t>
  </si>
  <si>
    <t>A Study of LY3537982 in Chinese Participants With Advanced Solid Tumors</t>
  </si>
  <si>
    <t>NCT06640920</t>
  </si>
  <si>
    <t>A Study to Investigate Efficacy and Safety of NSI-8226 in Healthy Participants</t>
  </si>
  <si>
    <t>NCT06359379</t>
  </si>
  <si>
    <t>Ropidoxuridine as a Radiosensitizer in Newly Diagnosed IDH-Wildtype Glioblastoma With Unmethylated MGMT Promoter</t>
  </si>
  <si>
    <t>Shuttle Pharmaceuticals, Inc.</t>
  </si>
  <si>
    <t>NCT06393673</t>
  </si>
  <si>
    <t>A Study to Find the Best Dose of HS-10384 to Treat Vasomotor Symptoms in Postmenopausal Women</t>
  </si>
  <si>
    <t>NCT06161441</t>
  </si>
  <si>
    <t>A Trial to Learn if the Combination of Fianlimab, Cemiplimab, and Chemotherapy is Safe and Works Better Than the Combination of Cemiplimab and Chemotherapy in Adult Patients With Non-Small Cell Lung Cancer That Can be Treated With Surgery</t>
  </si>
  <si>
    <t>NCT06582524</t>
  </si>
  <si>
    <t>Pegzilarginase in Subjects &lt;24 Months Old With Arginase 1 Deficiency</t>
  </si>
  <si>
    <t>NCT06450470</t>
  </si>
  <si>
    <t>Use of a Freeze-dried Amniotic Membrane Post Crosslinking in Subjects With Progressive Keratoconus</t>
  </si>
  <si>
    <t>NCT06662396</t>
  </si>
  <si>
    <t>A Study of Diltiazem With a Single Dose of MK-6552 in Healthy Adult Participants (MK-6552-007)</t>
  </si>
  <si>
    <t>NCT06079281</t>
  </si>
  <si>
    <t>Phase 3 Study of ALXN1850 Versus Placebo in Adolescent and Adult Participants With HPP Who Have Not Previously Been Treated With Asfotase Alfa</t>
  </si>
  <si>
    <t>NCT06259981</t>
  </si>
  <si>
    <t>A 16-Week Study to Evaluate the Efficacy, Safety, and Tolerability of GLY-200 in Participants With Obesity</t>
  </si>
  <si>
    <t>NCT07101601</t>
  </si>
  <si>
    <t>Study of DM5167 in Patients With Advanced Solid Tumors</t>
  </si>
  <si>
    <t>DIGMBIO</t>
  </si>
  <si>
    <t>NCT06414798</t>
  </si>
  <si>
    <t>A Study to Assess the Safety, Tolerability, and Pharmacokinetics of ABBV-1088 Oral Dose in Healthy Adult Participants.</t>
  </si>
  <si>
    <t>NCT06234904</t>
  </si>
  <si>
    <t>Study of IBR733 Cell Injection in Acute Myeloid Leukemia</t>
  </si>
  <si>
    <t>NCT06619392</t>
  </si>
  <si>
    <t>A Single Dose Escalation Trial of HRS-2129 in Healthy Subjects</t>
  </si>
  <si>
    <t>NCT06419634</t>
  </si>
  <si>
    <t>Study of BMS-986497 (ORM-6151) as a Monotherapy, in Double and Triple Combination With Azacitidine and Venetoclax in Participants With Relapsed or Refractory Acute Myeloid Leukemia or Myelodysplastic Syndrome</t>
  </si>
  <si>
    <t>NCT06781632</t>
  </si>
  <si>
    <t>Phase I Study of Ropivacaine, Clonidine, and Betamethasone Combination for Sciatic Nerve Block in the Popliteal Region</t>
  </si>
  <si>
    <t>PHARMAFINA</t>
  </si>
  <si>
    <t>NCT06246916</t>
  </si>
  <si>
    <t>A Study With Combinations of Anti-LAG-3 and Anti-PD-1 Antibodies in Adult Participants With Advanced or Metastatic Melanoma (Harmony Head-to-Head)</t>
  </si>
  <si>
    <t>NCT06439381</t>
  </si>
  <si>
    <t>Long-term Safety and Efficacy of TQH2722 Injection in the Treatment of Chronic Sinusitis With or Without Nasal Polyps</t>
  </si>
  <si>
    <t>NCT06635798</t>
  </si>
  <si>
    <t>A Phase III Clinical Trail to Evaluate the Efficacy, Safety, Pharmacokinetics and Immunogenicity Characteristics of GR2001 Injection</t>
  </si>
  <si>
    <t>NCT06248814</t>
  </si>
  <si>
    <t>A Study to Evaluate the Safety, Tolerability, Drug Levels, and Drug Effects of BMS-986326 in Participants With Atopic Dermatitis</t>
  </si>
  <si>
    <t>NCT06473519</t>
  </si>
  <si>
    <t>A Study to Assess Safety, Tolerability and Immunogenicity of RSVpreF From Multidose Vials in Healthy Female Adults.</t>
  </si>
  <si>
    <t>NCT06222034</t>
  </si>
  <si>
    <t>Study to Measure Filgotinib in the Blood of Children and Teenagers With Arthritis Taking Filgotinib (SCALESIA)</t>
  </si>
  <si>
    <t>NCT06550895</t>
  </si>
  <si>
    <t>A Study of Ciltacabtagene Autoleucel and Talquetamab for the Treatment of Participants With High-Risk Multiple Myeloma</t>
  </si>
  <si>
    <t>NCT06750419</t>
  </si>
  <si>
    <t>89Zr-TLX250 for PET/CT Imaging of ccRCC - ZIRCON-CP Study</t>
  </si>
  <si>
    <t>NCT06663436</t>
  </si>
  <si>
    <t>A Study on the Immune Response and Safety of a Multicomponent Shigella Vaccine in Preventing Shigellosis in Infants</t>
  </si>
  <si>
    <t>NCT06591793</t>
  </si>
  <si>
    <t>Study of Subretinally Injected AAVB-081 in Patients With Usher Syndrome Type IB (USH1B) Retinitis Pigmentosa</t>
  </si>
  <si>
    <t>AAVantgarde Bio Srl</t>
  </si>
  <si>
    <t>NCT06782334</t>
  </si>
  <si>
    <t>AMT-116 in Patients with Solid Tumors</t>
  </si>
  <si>
    <t>NCT06644300</t>
  </si>
  <si>
    <t>Study of BM230 in Patients With Advanced Solid Tumors</t>
  </si>
  <si>
    <t>Suzhou Biomissile Pharmaceuticals Co., Ltd.</t>
  </si>
  <si>
    <t>NCT06554509</t>
  </si>
  <si>
    <t>Clinical Study of the Efficacy and Safety of SHR-1819 Injection in Adult Patients With Prurigo Nodularis</t>
  </si>
  <si>
    <t>NCT06560593</t>
  </si>
  <si>
    <t>A Phase 1 Clinical Trial of NTQ5082 in Healthy Volunteers</t>
  </si>
  <si>
    <t>NCT06554821</t>
  </si>
  <si>
    <t>A Study to Investigate the Effect of Oral Ticagrelor on the Pharmacokinetics of Oral Rosuvastatin When Given in Healthy Participants</t>
  </si>
  <si>
    <t>NCT06643130</t>
  </si>
  <si>
    <t>Evaluate the Efficacy and Safety of Co-administration of JW0104+C2402 in Patients With Hypertension and Dyslipidemia</t>
  </si>
  <si>
    <t>NCT06557265</t>
  </si>
  <si>
    <t>A Phase 1/2 Study of NKX019 in Subjects With Autoimmune Disease (Ntrust-1)</t>
  </si>
  <si>
    <t>NCT06632444</t>
  </si>
  <si>
    <t>LIVERAGE™: A Study to Test Whether Survodutide Helps People With a Liver Disease Called NASH/MASH Who Have Moderate or Advanced Liver Fibrosis</t>
  </si>
  <si>
    <t>NCT06700499</t>
  </si>
  <si>
    <t>A Study to Evaluate the Efficacy and Safety of AK120 in Subjects With Moderate to Severe Atopic Dermatitis</t>
  </si>
  <si>
    <t>NCT06359899</t>
  </si>
  <si>
    <t>A Study to Evaluate the Efficacy, Safety and Tolerability of Oral AK0901 in Children With ADHD</t>
  </si>
  <si>
    <t>NCT06244316</t>
  </si>
  <si>
    <t>A Safety and Efficacy Study of 2 Dosing Regimens of Recombinant Human Nerve Growth Factor (rhNGF) Eye Drop Solution Compared With Vehicle in Patients With Dry Eye Disease.</t>
  </si>
  <si>
    <t>NCT06275464</t>
  </si>
  <si>
    <t>BT-600 Single and Multiple Ascending Oral Doses in Healthy Adult Subjects</t>
  </si>
  <si>
    <t>Biora Therapeutics, Inc.</t>
  </si>
  <si>
    <t>NCT06028841</t>
  </si>
  <si>
    <t>A Clinical Phase 3 Trial of VLA1553 in Adult Participants with Human Immunodeficiency Virus (HIV)</t>
  </si>
  <si>
    <t>NCT06544694</t>
  </si>
  <si>
    <t>A Study to Investigate the Effect of 0.003% AR-15512 on Subjects With Dry Eye Disease</t>
  </si>
  <si>
    <t>NCT06078566</t>
  </si>
  <si>
    <t>Long-Term Follow-Up Study of Unilateral Microtia Patients Implanted With AUR-201</t>
  </si>
  <si>
    <t>NCT07491172</t>
  </si>
  <si>
    <t>A Safety and Tolerability Trial Evaluating CTX310 in Participants With Refractory Dyslipidemias</t>
  </si>
  <si>
    <t>NCT07256301</t>
  </si>
  <si>
    <t>A Phase Ib, Multicenter, Open-Label Study of Multiple-Dose EA5 in Adults With Paroxysmal Nocturnal Hemoglobinuria (PNH)</t>
  </si>
  <si>
    <t>NCT06352528</t>
  </si>
  <si>
    <t>A Study to Assess the Drug Levels of Repotrectinib in Healthy Participants and Participants With Moderate and Severe Hepatic Impairment</t>
  </si>
  <si>
    <t>NCT05865886</t>
  </si>
  <si>
    <t>A Study to Test How Well BI 1291583 is Tolerated by People With Cystic Fibrosis Bronchiectasis (Clairafly™)</t>
  </si>
  <si>
    <t>NCT06384131</t>
  </si>
  <si>
    <t>A Study to Assess the Safety, Pharmacokinetics, and Antiviral Activity of ABI-4334 in Subjects With Chronic Hepatitis B Virus Infection</t>
  </si>
  <si>
    <t>NCT06253195</t>
  </si>
  <si>
    <t>BGB-43395 Alone or as Part of Combination Therapies in Chinese Participants With HR+/HER2- Breast Cancer and Other Advanced Solid Tumors</t>
  </si>
  <si>
    <t>NCT06595121</t>
  </si>
  <si>
    <t>Bioequivalence of IMP 08P1707F0 Relative to Pulmicort® (1.0 Mg/2 Ml Suspension)</t>
  </si>
  <si>
    <t>NCT06190899</t>
  </si>
  <si>
    <t>Gedatolisib in Combination With Darolutamide in Metastatic Castration-Resistant Prostate Cancer</t>
  </si>
  <si>
    <t>NCT06505031</t>
  </si>
  <si>
    <t>A Study of TAK-861 in People With Narcolepsy Type 1</t>
  </si>
  <si>
    <t>NCT06585150</t>
  </si>
  <si>
    <t>Study of Obeldesivir to Treat Nonhospitalized Adults With Acute Respiratory Syncytial Virus (RSV) Infection</t>
  </si>
  <si>
    <t>NCT06666270</t>
  </si>
  <si>
    <t>Study of SYN818 for the Treatment of Advanced or Metastatic Solid Tumors</t>
  </si>
  <si>
    <t>Hangzhou SynRx Therapeutics Biomedical Technology Co., Ltd</t>
  </si>
  <si>
    <t>NCT06484673</t>
  </si>
  <si>
    <t>Bioequivalence Study to Compare Bosentan 32 mg Dispersible Tablets Versus Tracleer® 32 mg Tablets</t>
  </si>
  <si>
    <t>NCT03693105</t>
  </si>
  <si>
    <t>The Effects of SAINT® Neuromodulation System on Explicit and Implicit Suicidal Cognition</t>
  </si>
  <si>
    <t>NCT06117150</t>
  </si>
  <si>
    <t>Pilot Study of the Coronary Spur Stent for In-stent Restenosis (DEEPER CORONARY)</t>
  </si>
  <si>
    <t>ReFlow Medical, Inc.</t>
  </si>
  <si>
    <t>NCT06621654</t>
  </si>
  <si>
    <t>Clinical Trial of Lyophilized Haemophilus Influenzae Type b Conjugate Vaccine</t>
  </si>
  <si>
    <t>NCT06680440</t>
  </si>
  <si>
    <t>A Study to Evaluate the Safety, Tolerability, Pharmacokinetics and Efficacy of ASC30 Tablets and ASC30 Tablets A1 in Participants With Obesity</t>
  </si>
  <si>
    <t>NCT06525350</t>
  </si>
  <si>
    <t>A Study to Evaluate the Efficacy and Safety of the Combination of Glumetinib and Docetaxel（Albumin Bound）Verse Docetaxel for the Treatment of MET-overexpressed Non-small Cell Lung Cancer</t>
  </si>
  <si>
    <t>NCT05828303</t>
  </si>
  <si>
    <t>A Phase 1 Study to Evaluate the Potential Drug Interactions Between Repotrectinib and Metformin, Digoxin, and Rosuvastatin in Patients With Advanced Solid Tumors</t>
  </si>
  <si>
    <t>NCT06703840</t>
  </si>
  <si>
    <t>Phase 2a Trial to Investigate the Efficacy of LIB-01 in Treatment of Erectile Dysfunction</t>
  </si>
  <si>
    <t>NCT04381689</t>
  </si>
  <si>
    <t>Phase 3 Study to Evaluate the Immunogenicity and Safety of Inactived Split Influenza Vaccine in Healthy Infants</t>
  </si>
  <si>
    <t>NCT06622668</t>
  </si>
  <si>
    <t>NTLA-3001 in Adults with Alpha-1 Antitrypsin Deficiency-Associated Lung Disease</t>
  </si>
  <si>
    <t>NCT06366750</t>
  </si>
  <si>
    <t>A Study of Barzolvolimab in Patients With Prurigo Nodularis</t>
  </si>
  <si>
    <t>NCT06221813</t>
  </si>
  <si>
    <t>Study to Evaluate Safety and Immunogenicity of a Prime-Boost Regimen of rVSV-Nipah Virus Vaccine Candidate PHV02 in Healthy Adult Subjects</t>
  </si>
  <si>
    <t>NCT07119242</t>
  </si>
  <si>
    <t>Evaluate the Diagnostic Efficacy, Pharmacokinetics and Safety of 68Ga-DOTATATE Injection PET/CT in NETs</t>
  </si>
  <si>
    <t>NCT06378242</t>
  </si>
  <si>
    <t>To Evaluate the Safety, Efficacy, and Pharmacokinetics of Intravesical Instiliations of Disitamab Vedotin in Patients With High-risk Non-muscular Invasive Bladder Cancer (NMIBC) That Express HER2</t>
  </si>
  <si>
    <t>NCT06243770</t>
  </si>
  <si>
    <t>Study to Investigate Safety and Tolerability of mRNA-0184 Administered Under Different Infusion Conditions in Healthy Participants</t>
  </si>
  <si>
    <t>NCT06096779</t>
  </si>
  <si>
    <t>A Study Evaluating Atezolizumab, With or Without Bevacizumab, in Participants With Unresectable Hepatocellular Carcinoma and Child-pugh B7 and B8 Cirrhosis</t>
  </si>
  <si>
    <t>NCT06811246</t>
  </si>
  <si>
    <t>A Clinical Study of Islatravir and Its Interaction With Lamivudine (MK-8591-058)</t>
  </si>
  <si>
    <t>NCT07124819</t>
  </si>
  <si>
    <t>Dimolegin® (60 mg) Given Once Daily in Patients Undergoing Total Hip or Knee Replacement Compared to Enoxaparin</t>
  </si>
  <si>
    <t>Avexima Diol LLC</t>
  </si>
  <si>
    <t>NCT06527365</t>
  </si>
  <si>
    <t>Safety and Efficacy of VDPHL01 in Males and Females With AGA</t>
  </si>
  <si>
    <t>NCT07266207</t>
  </si>
  <si>
    <t>Phase I Study to Evaluate Safety, Tolerability, Pharmacokinetic, and Food Effects of ARD-885 Film-coated Tablets in Healthy Chinese Subjects and Patients With Rheumatoid Arthritis</t>
  </si>
  <si>
    <t>Artivila (Shenzhen) Innovation Center, Ltd</t>
  </si>
  <si>
    <t>NCT06300411</t>
  </si>
  <si>
    <t>SRG-514 Administered Intraoperatively to Patients Undergoing Breast-conserving Cancer Surgery</t>
  </si>
  <si>
    <t>NCT06722664</t>
  </si>
  <si>
    <t>Efficacy and Safety of OsrhCT and Dimethicone Emulsion Before Upper Endoscopy on Visualization of the Gastric Mucosa.</t>
  </si>
  <si>
    <t>NCT06702878</t>
  </si>
  <si>
    <t>Light-Activated Antimicrobial Therapy to Prevent Surgical Site Infections</t>
  </si>
  <si>
    <t>NCT06890299</t>
  </si>
  <si>
    <t>A Study to Evaluate the Pharmacokinetics and Safety Between Single Oral Administration of BR3006 and Co-administration of BR3006A, BR3006B and BR3006C in Healthy Adult Volunteers Under Fed Conditions</t>
  </si>
  <si>
    <t>NCT06607263</t>
  </si>
  <si>
    <t>Comparative Study of CPC+Zn Mouthwash, Dental Floss, and Essential Oils Mouthwash on Plaque and Gingivitis Reduction</t>
  </si>
  <si>
    <t>NCT06635226</t>
  </si>
  <si>
    <t>Safety, Tolerability, Pharmacokinetics and Pharmacodynamics of ID110521156 in Healthy Adult Subjects</t>
  </si>
  <si>
    <t>NCT05674526</t>
  </si>
  <si>
    <t>A Phase 1b Study of WU-NK-101 in Combination With Cetuximab</t>
  </si>
  <si>
    <t>NCT06423781</t>
  </si>
  <si>
    <t>Long-term Safety Study of BHV-7000 in Participants With Major Depressive Disorder (MDD)</t>
  </si>
  <si>
    <t>NCT07529600</t>
  </si>
  <si>
    <t>A Phase I Clinical Study of ART101 Injection in Healthy Adult Subjects</t>
  </si>
  <si>
    <t>Arnatar Therapeutics, Inc.</t>
  </si>
  <si>
    <t>NCT06692764</t>
  </si>
  <si>
    <t>A Study to Assess the Effect of AZD0780 on Ambulatory Blood Pressure</t>
  </si>
  <si>
    <t>NCT06216132</t>
  </si>
  <si>
    <t>Study of the BIOPIN 6 Naltrexone Implant in Healthy Adults</t>
  </si>
  <si>
    <t>Akyso Therapeutics, LLC</t>
  </si>
  <si>
    <t>NCT06372626</t>
  </si>
  <si>
    <t>Study of ZG005 in Combination With Etoposide and Cisplatin in Participants With Advanced Neuroendocrine Carcinoma.</t>
  </si>
  <si>
    <t>NCT04992247</t>
  </si>
  <si>
    <t>NCT06260748</t>
  </si>
  <si>
    <t>A Study of Chenodeoxycholic Acid (CDCA) in Newly Diagnosed Participants With Cerebrotendinous Xanthomatosis (CTX)</t>
  </si>
  <si>
    <t>NCT06006416</t>
  </si>
  <si>
    <t>Effect of Fenugreek Fibre on Gut Microbiome</t>
  </si>
  <si>
    <t>NCT06507306</t>
  </si>
  <si>
    <t>A Study to Investigate the Safety and Efficacy of KQB198 as Monotherapy and in Combination in Participants With Advanced Solid Malignancies</t>
  </si>
  <si>
    <t>Kumquat Biosciences Inc.</t>
  </si>
  <si>
    <t>NCT06524947</t>
  </si>
  <si>
    <t>Clinical Trial of Protective Efficacy of Quadrivalent Recombinant Norovirus Vaccine (Pichia Pastoris)</t>
  </si>
  <si>
    <t>NCT06416358</t>
  </si>
  <si>
    <t>A Study to Evaluate the Efficacy of ALMB-0168 in Solid Tumor Patients With Bone Metastatic Whose Prior Standard Treatment Have Failed</t>
  </si>
  <si>
    <t>NCT06001255</t>
  </si>
  <si>
    <t>ARTEMIS-003: HS-20093 in Patients With Metastatic Castrate-resistant Prostate Cancer (mCRPC) and Advanced Solid Tumors</t>
  </si>
  <si>
    <t>NCT06596473</t>
  </si>
  <si>
    <t>A Study of BG-C477 in Participants With Advanced Solid Tumors</t>
  </si>
  <si>
    <t>NCT06578273</t>
  </si>
  <si>
    <t>NeuroGlove PD Study Clinical</t>
  </si>
  <si>
    <t>NeuroGlove LLC</t>
  </si>
  <si>
    <t>NCT06521554</t>
  </si>
  <si>
    <t>A Study of NVL-330 in Patients With Advanced or Metastatic HER2-altered NSCLC (HEROEX-1)</t>
  </si>
  <si>
    <t>NCT06495931</t>
  </si>
  <si>
    <t>Study on Drug Interaction of HRS-1780 Tablets, Henagliflozin Tablets, Metformin Tablets and HRS-7535 Tablets in Healthy Human</t>
  </si>
  <si>
    <t>NCT05861453</t>
  </si>
  <si>
    <t>Pharmacokinetics, Pharmacodynamics and Safety of Epeleuton in Patients With Sickle Cell Disease</t>
  </si>
  <si>
    <t>NCT06309277</t>
  </si>
  <si>
    <t>A Clinical Study to Evaluate of Single and Multiple Oral Doses of GM-1020 in Patients With MDD</t>
  </si>
  <si>
    <t>NCT06649656</t>
  </si>
  <si>
    <t>A Multicenter, Open Label Phase I Clinical Trial Evaluating the Safety and Pharmacokinetics of TQB2252 Injection in Subjects With Advanced Malignant Tumors</t>
  </si>
  <si>
    <t>Chia Tai Tianqing Pharmaceutical (Guangzhou) Co., Ltd.</t>
  </si>
  <si>
    <t>NCT06520488</t>
  </si>
  <si>
    <t>A Study of HRS-4642 in Combination With Antineoplastic Agents in Advanced Solid Tumors</t>
  </si>
  <si>
    <t>NCT07119073</t>
  </si>
  <si>
    <t>In-clinic Crossover Study in Subjects With Two Treatments (Fed vs Fasted)</t>
  </si>
  <si>
    <t>NCT06120751</t>
  </si>
  <si>
    <t>A Clinical Trial to Evaluate the Safety and Immunogenicity of a Single Dose of Adsorbed Tetanus Vaccine in a Population Aged 18 Years and Over</t>
  </si>
  <si>
    <t>NCT06833931</t>
  </si>
  <si>
    <t>A Study of PGN-EDO51 or Placebo in People With Duchenne Muscular Dystrophy Amenable to Exon 51-Skipping Treatment</t>
  </si>
  <si>
    <t>NCT06430437</t>
  </si>
  <si>
    <t>A Study of SHR-A1811 in First-line Treatment of Patients With Advanced or Metastatic Non-small Cell Lung Cancer With HER2 Mutations</t>
  </si>
  <si>
    <t>NCT06361927</t>
  </si>
  <si>
    <t>A Phase II Study of SSGJ-707 Monotherapy in First-line PD-L1 Positive Advanced NSCLC Patients</t>
  </si>
  <si>
    <t>NCT06233266</t>
  </si>
  <si>
    <t>Ticagrelor Tablets 90 mg Relative to Originator Ticagrelor Tablets 90 mg</t>
  </si>
  <si>
    <t>NCT06597422</t>
  </si>
  <si>
    <t>A Study of STSP-0902 Ophthalmic Solution in Healthy Subjects</t>
  </si>
  <si>
    <t>NCT06380205</t>
  </si>
  <si>
    <t>A Study to Evaluate the Drug Interaction Between Povorcitinib and the Oral Contraceptive Levonorgestrel/Ethinyl Estradiol in Healthy Adult Females</t>
  </si>
  <si>
    <t>NCT06641388</t>
  </si>
  <si>
    <t>A Study Evaluating the Single Subcutaneous Injection of Ebronucimab in Chinese Healthy Male Subjects</t>
  </si>
  <si>
    <t>NCT06018337</t>
  </si>
  <si>
    <t>A Study of DB-1303/BNT323 vs Investigator's Choice Chemotherapy in HER2-Low, Hormone Receptor Positive Metastatic Breast Cancer (DYNASTY-Breast02)</t>
  </si>
  <si>
    <t>NCT05116462</t>
  </si>
  <si>
    <t>Neoadjuvant and Adjuvant Therapy Studies of Sindilizumab in Resectable Lung Cancer</t>
  </si>
  <si>
    <t>NCT05739942</t>
  </si>
  <si>
    <t>Dose Finding Study of [177Lu]Lu-NeoB in Newly Diagnosed Glioblastoma and in Recurrent Glioblastoma</t>
  </si>
  <si>
    <t>NCT06283966</t>
  </si>
  <si>
    <t>A Study Evaluating the Efficacy of Budesonide, Glycopyrronium and Formoterol Fumarate Metered Dosed Inhaler on Cardiopulmonary Outcomes in Chronic Obstructive Pulmonary Disease</t>
  </si>
  <si>
    <t>NCT06552429</t>
  </si>
  <si>
    <t>Peginterferon α-2b Injection for Hydroxyurea Resistant or Intolerant ET</t>
  </si>
  <si>
    <t>NCT06385327</t>
  </si>
  <si>
    <t>A Study to Assess the Safety, Pharmacokinetics, and Antiviral Activity of ABI-5366 in Healthy Participants and Participants Seropositive for HSV-2 With Recurrent Genital Herpes</t>
  </si>
  <si>
    <t>NCT06326606</t>
  </si>
  <si>
    <t>A Study to Evaluate the Safety, Tolerability, and Pharmacokinetics of MLS101 in Healthy Participants</t>
  </si>
  <si>
    <t>NCT06395948</t>
  </si>
  <si>
    <t>A Study Evaluating APG777 in Atopic Dermatitis</t>
  </si>
  <si>
    <t>Apogee Therapeutics, Inc.</t>
  </si>
  <si>
    <t>NCT06622148</t>
  </si>
  <si>
    <t>Bioequivalence Study of Iron Sucrose Injection in Healthy Subjects</t>
  </si>
  <si>
    <t>NCT06235099</t>
  </si>
  <si>
    <t>Copper Cu 64 PSMA I&amp;T PET Imaging in Men With Suspected Recurrence of Prostate Cancer</t>
  </si>
  <si>
    <t>NCT06630234</t>
  </si>
  <si>
    <t>A Master Protocol to Evaluate DCC-3009 in Gastrointestinal Stromal Tumor (GIST)</t>
  </si>
  <si>
    <t>NCT06415487</t>
  </si>
  <si>
    <t>ACE2016 in Adult Subjects With Locally Advanced or Metastatic Solid Tumors Expressing Epidermal Growth Factor Receptor (EGFR)</t>
  </si>
  <si>
    <t>NCT06402721</t>
  </si>
  <si>
    <t>A Study to Learn About How BAY 3283142 Moves Into, Through, and Out of the Body After a Single Dose in Participants With Reduced Liver Function Compared to Participants With Normal Liver Function</t>
  </si>
  <si>
    <t>NCT06697899</t>
  </si>
  <si>
    <t>TGRX-678 Phase I Oral Pharmacokinetic Study</t>
  </si>
  <si>
    <t>NCT06046443</t>
  </si>
  <si>
    <t>A Study to Assess Efficacy and Safety of LB54640 in Patients With Hypothalamic Obesity</t>
  </si>
  <si>
    <t>NCT06926933</t>
  </si>
  <si>
    <t>Efficacy and Safety of Leuprolide Acetate 45 mg in Subjects With Central Precocious Puberty</t>
  </si>
  <si>
    <t>NCT06435221</t>
  </si>
  <si>
    <t>Safety Study of Cytisinicline in Adult Combustible and/or E-cigarette Smokers</t>
  </si>
  <si>
    <t>NCT06431893</t>
  </si>
  <si>
    <t>A Long-term Extension Study to Assess the Long-term Safety and Efficacy of Pegtibatinase Treatment in Participants ≥5 to ≤65 Years of Age With Classical Homocystinuria (HCU) (ENSEMBLE)</t>
  </si>
  <si>
    <t>NCT06642584</t>
  </si>
  <si>
    <t>A Research Study Looking at New Protein-based Tablets in Healthy Men - Oral Formulation IV</t>
  </si>
  <si>
    <t>NCT06601335</t>
  </si>
  <si>
    <t>A Phase 3 Study of AK112 Plus AK117 Versus Pembrolizumab in Recurrent or Metastatic Head and Neck Squamous Cell Carcinoma (R/M HNSCC)</t>
  </si>
  <si>
    <t>NCT06737250</t>
  </si>
  <si>
    <t>NB02 (Poseltinib) Combined Rituximab and Lenalidomide in R/R PCNSL</t>
  </si>
  <si>
    <t>NOBO Medicine</t>
  </si>
  <si>
    <t>NCT06706310</t>
  </si>
  <si>
    <t>Evaluate TQ-A3334 Combined Nucleoside (Acid) Analogs in the First Treatment/Treatment of Chronic HBV Infection</t>
  </si>
  <si>
    <t>NCT06434610</t>
  </si>
  <si>
    <t>A Study of B013 in Combination With Paclitaxel in Patients With Platinum-resistant Recurrent Ovarian Cancer.</t>
  </si>
  <si>
    <t>NCT06465160</t>
  </si>
  <si>
    <t>A Study to Evaluate the MNV-201 in Patients With Low Risk MDS</t>
  </si>
  <si>
    <t>NCT06542250</t>
  </si>
  <si>
    <t>A Study to Evaluate Safety, PK, PD and Efficacy of AZD5492, a T Cell-engaging Antibody Targeting CD20 in Subjects With R/R B-Cell Malignancies.</t>
  </si>
  <si>
    <t>NCT06347159</t>
  </si>
  <si>
    <t>A Study of EDG-7500 in Adults With Hypertrophic Cardiomyopathy (CIRRUS-HCM)</t>
  </si>
  <si>
    <t>NCT06213818</t>
  </si>
  <si>
    <t>A Study to Evaluate the Safety, Tolerability, and Pharmacokinetics of INCB160058 When Administered Orally to Healthy Adult Participant</t>
  </si>
  <si>
    <t>NCT06581380</t>
  </si>
  <si>
    <t>JK-1201I Compared with Topotecan in Patients with Relapsed Extensive Stage Small Cell Lung Cancer</t>
  </si>
  <si>
    <t>NCT06213610</t>
  </si>
  <si>
    <t>Bioequivalence Study of Perindopril Tablets in Healthy Volunteers Under Fasting Conditions</t>
  </si>
  <si>
    <t>NCT06235450</t>
  </si>
  <si>
    <t>A Usability Study of iTEAR100 For Combined EyeLid Microblepharoexfoliation and Neurostimulation</t>
  </si>
  <si>
    <t>NCT06564324</t>
  </si>
  <si>
    <t>A Phase III Study Comparing Taletrectinib With Standard Therapy in ROS1 Positive Locally Advanced or Metastatic Non-small Cell Lung Cancer Patients</t>
  </si>
  <si>
    <t>NCT06338280</t>
  </si>
  <si>
    <t>Remotely Observed Methadone Evaluation II</t>
  </si>
  <si>
    <t>Sonara Health</t>
  </si>
  <si>
    <t>NCT06292650</t>
  </si>
  <si>
    <t>Safety and Efficacy Study of Novel Gene Therapy ZM-02 for Retinitis Pigmentosa Patients</t>
  </si>
  <si>
    <t>NCT06107894</t>
  </si>
  <si>
    <t>TIL Therapy for Patients With Advanced Solid Tumors</t>
  </si>
  <si>
    <t>NeogenTC</t>
  </si>
  <si>
    <t>NCT06301529</t>
  </si>
  <si>
    <t>The Efficacy and Tolerability of Canagliflozin in Healthy Individual</t>
  </si>
  <si>
    <t>NCT05925530</t>
  </si>
  <si>
    <t>Study to Assess Neoadjuvant Durvalumab (D) and Platinum-Based Chemotherapy (CT), Followed by Either Surgery and Adjuvant D or CRT and Consolidation D, in Resectable or Borderline Resectable Stage IIB-IIIB NSCLC (MDT-BRIDGE)</t>
  </si>
  <si>
    <t>NCT06667544</t>
  </si>
  <si>
    <t>A Study of RNK08954 in Subjects With Advanced Solid Tumors With KRAS ((Kirsten Rat Sarcoma) G12D Mutation</t>
  </si>
  <si>
    <t>NCT06232109</t>
  </si>
  <si>
    <t>Drug-Drug Interaction of ASN51 With Fluvoxamine, Itraconazole and Paroxetine in Healthy Subjects</t>
  </si>
  <si>
    <t>NCT06330064</t>
  </si>
  <si>
    <t>A Study To Evaluate The Efficacy And Safety Of Ifinatamab Deruxtecan (I-DXd) In Subjects With Recurrent Or Metastatic Solid Tumors (IDeate-PanTumor02)</t>
  </si>
  <si>
    <t>NCT06528093</t>
  </si>
  <si>
    <t>A Study to Find a Suitable Dose of BI 765883 and to Test Whether it Helps People With Advanced Pancreatic Cancer When Taken Alone or Together With Chemotherapy</t>
  </si>
  <si>
    <t>NCT06384352</t>
  </si>
  <si>
    <t>Safety,Tolerability, Pharmacokinetics, and Efficacy of YL211 in Patients With Advanced Solid Tumors</t>
  </si>
  <si>
    <t>NCT06881264</t>
  </si>
  <si>
    <t>A Study Comparing HR17031 With Insulin Glargine in Patients With Type 2 Diabetes</t>
  </si>
  <si>
    <t>NCT06608199</t>
  </si>
  <si>
    <t>A Phase 3 Study to Evaluate the Immunogenicity and Safety of Minhai's PCV13-DT/TT Vaccine As Compared to Pfizer's PCV13 Vaccine</t>
  </si>
  <si>
    <t>NCT05284214</t>
  </si>
  <si>
    <t>Sargramostim With Ipilimumab Containing Therapy in Patients With Solid Tumors</t>
  </si>
  <si>
    <t>NCT05959304</t>
  </si>
  <si>
    <t>Post Marketing Study to Evaluate the Safety and Effectiveness of Brolucizumab in Patients With Diabetic Macular Edema.</t>
  </si>
  <si>
    <t>NCT06613100</t>
  </si>
  <si>
    <t>Evaluation of Neoadjuvant Xaluritamig in Localized Prostate Cancer</t>
  </si>
  <si>
    <t>NCT06260007</t>
  </si>
  <si>
    <t>Efficacy and Safety Study of Products Based on Tribulus Terrestris, L. in Men With Oligospermia</t>
  </si>
  <si>
    <t>Herbarium Laboratorio Botanico Ltda</t>
  </si>
  <si>
    <t>NCT06194032</t>
  </si>
  <si>
    <t>A Study to Investigate the Effect on QTcF of Baxdrostat Compared With Placebo, Using Moxifloxacin as a Positive Control, in Healthy Participants</t>
  </si>
  <si>
    <t>NCT06480552</t>
  </si>
  <si>
    <t>An Open-label Dose Escalation/Expansion Trial to Evaluate the Safety and Anti-tumor Activity of TEV-56278 Alone or in Combination With Pembrolizumab in Participants With Advanced or Metastatic Solid Tumors</t>
  </si>
  <si>
    <t>NCT06277752</t>
  </si>
  <si>
    <t>A Study to Investigate the Pharmacokinetic/Pharmacodynamic Characteristics of IBI128(A New Xanthine Oxidase Inhibitor)</t>
  </si>
  <si>
    <t>NCT05973487</t>
  </si>
  <si>
    <t>A Basket Study of Customized Autologous TCR-T Cell Therapies in Patients With Locally Advanced (Unresectable) or Metastatic Solid Tumors</t>
  </si>
  <si>
    <t>NCT06586606</t>
  </si>
  <si>
    <t>A Study to Evaluate the Effects of Itraconazole on MK-1708 in Healthy Participants (MK-1708-003)</t>
  </si>
  <si>
    <t>NCT06237452</t>
  </si>
  <si>
    <t>VE303 for Prevention of Recurrent Clostridioides Difficile Infection</t>
  </si>
  <si>
    <t>NCT06757738</t>
  </si>
  <si>
    <t>A Clinical Study Aiming to Assess Pharmacokinetics, Pharmacodynamics and Preliminary Efficacy of TRX-100 in Healthy Volunteers</t>
  </si>
  <si>
    <t>NCT06477926</t>
  </si>
  <si>
    <t>A Study to Assess Relative Bioavailability and Food Effect of ABBV-668 Extended-Release Formulations in Adult Participants</t>
  </si>
  <si>
    <t>NCT06281158</t>
  </si>
  <si>
    <t>A Phase 1, Open-label Study of the Absorption, Metabolism, and Excretion of [14C]-DNL343 Following a Single Oral Dose in Healthy Male Participants</t>
  </si>
  <si>
    <t>NCT06555822</t>
  </si>
  <si>
    <t>A Study to Investigate Multiple Ascending Doses and Relative Bioavailability of AZD5004 in Healthy Participants</t>
  </si>
  <si>
    <t>NCT06444529</t>
  </si>
  <si>
    <t>A Double-Masked Comparison of FID 123320 Ophthalmic Solution to Vehicle for the Reduction of Ocular Redness</t>
  </si>
  <si>
    <t>NCT06391177</t>
  </si>
  <si>
    <t>A Study to Evaluate Vonoprazan Concentrations in Breast Milk of Healthy Lactating Women Receiving Vonoprazan 20 mg Once Daily or Vonoprazan 20 mg Twice Daily</t>
  </si>
  <si>
    <t>NCT07275775</t>
  </si>
  <si>
    <t>Single and Multiple Dose and Food Effect Study to Evaluate the Safety, Tolerability and Pharmacokinetics of D-2570 Tablets in Healthy Subjects</t>
  </si>
  <si>
    <t>NCT06354257</t>
  </si>
  <si>
    <t>A Study to Investigate the Pharmacokinetics of a Combined Oral Contraceptive When Given Alone and in Combination With GSK3036656 in Female Participants of Non-childbearing Potential Aged 18 to 65 Years of Age</t>
  </si>
  <si>
    <t>NCT06248112</t>
  </si>
  <si>
    <t>Sacubitril 97 mg and Valsartan 103 mg Film-coated Tablets Relative to Entresto 97 mg/103 mg Film-coated Tablets</t>
  </si>
  <si>
    <t>NCT06439771</t>
  </si>
  <si>
    <t>A Phase 2 Study to Evaluate the Efficacy, Safety and Pharmacokinetics of YL202 in Patients With BC</t>
  </si>
  <si>
    <t>NCT03160430</t>
  </si>
  <si>
    <t>A Two-Part Phase 2a Study of RVX000222 in Patients With End-Stage Renal Disease Treated With Hemodialysis</t>
  </si>
  <si>
    <t>NCT06727630</t>
  </si>
  <si>
    <t>A Phase Ib Study of PRJ1-3024 for Treatment of Advanced or Metastatic Melanoma</t>
  </si>
  <si>
    <t>NCT06386744</t>
  </si>
  <si>
    <t>Dusquetide for the Treatment of Behcet's Disease</t>
  </si>
  <si>
    <t>NCT06581198</t>
  </si>
  <si>
    <t>A Study of Rapcabtagene Autoleucel in Active, Refractory Systemic Lupus Erythematosus (SLE) or Lupus Nephritis (LN) Patients (AUTOGRAPH - SLE/LN)</t>
  </si>
  <si>
    <t>NCT06413121</t>
  </si>
  <si>
    <t>Clinical Study to Assess the Immunogenicity and Safety of Hexavalent Vaccine Containing Reduced Dose IPV</t>
  </si>
  <si>
    <t>NCT06476821</t>
  </si>
  <si>
    <t>A Study to Evaluate the Safety, Tolerability, Drug Levels, and Drug Effects of Single Doses of BMS-986435 (MYK-224) in Healthy Chinese Participants</t>
  </si>
  <si>
    <t>NCT06380452</t>
  </si>
  <si>
    <t>Therapy for Scabies With Two Differently Concentrated Permethrin Creams</t>
  </si>
  <si>
    <t>NCT06507553</t>
  </si>
  <si>
    <t>Study of Influenza Vaccines Containing an Additional H3 Antigen in Healthy Adult Participants 18 to 49 Years of Age and 60 Years of Age and Older</t>
  </si>
  <si>
    <t>NCT06480981</t>
  </si>
  <si>
    <t>Multiple Ascending Dose Noribogaine PK/PD in Healthy Volunteers</t>
  </si>
  <si>
    <t>DemeRx NB</t>
  </si>
  <si>
    <t>NCT06773767</t>
  </si>
  <si>
    <t>Bioavailability of Trazodone Hydrochloride (New Polymer) vs. Trazodone Hydrochloride Contramid® at Steady-state.</t>
  </si>
  <si>
    <t>NCT05848232</t>
  </si>
  <si>
    <t>Single-Arm Study Evaluating Use of the CORA Catheters for the Crossing of Coronary Chronic Total Occlusions</t>
  </si>
  <si>
    <t>NCT06177431</t>
  </si>
  <si>
    <t>An Open Label Extension Study of Monepantel in Individuals With Motor Neurone Disease</t>
  </si>
  <si>
    <t>NCT06523595</t>
  </si>
  <si>
    <t>Evaluation of the Pharmacokinetic Drug-drug Interactions Between VX-993 and Metformin in Healthy Adults</t>
  </si>
  <si>
    <t>NCT06254495</t>
  </si>
  <si>
    <t>A Safety Study of PF-08046044/SGN-35C in Adults With Advanced Cancers</t>
  </si>
  <si>
    <t>NCT06615375</t>
  </si>
  <si>
    <t>A Human Challenge Study to Assess Protection of a Shigella Tetravalent Bioconjugate Vaccine</t>
  </si>
  <si>
    <t>NCT06202612</t>
  </si>
  <si>
    <t>A SHR0302 BA Study on Healthy Subjects</t>
  </si>
  <si>
    <t>NCT06216028</t>
  </si>
  <si>
    <t>Bone Marrow Aspirate Concentrate (BMAC) Treatment for Knee Osteoarthritis</t>
  </si>
  <si>
    <t>CELL Technologies Inc.</t>
  </si>
  <si>
    <t>NCT06254807</t>
  </si>
  <si>
    <t>CAR-monocytes for the Treatment of HER2 Overexpressing Solid Tumors</t>
  </si>
  <si>
    <t>NCT06192264</t>
  </si>
  <si>
    <t>A Study to Evaluate the Safety and Efficacy of ASC40 (Denifanstat) Tablets in the Treatment of Patients With Moderate to Severe Acne Vulgaris</t>
  </si>
  <si>
    <t>NCT05956509</t>
  </si>
  <si>
    <t>Study of Intramuscular Injections of ABBV-950 to Assess Adverse Events and Change in Disease Activity in Adult Participants With Upper Limb Spasticity</t>
  </si>
  <si>
    <t>NCT06348199</t>
  </si>
  <si>
    <t>A Study to Compare the Efficacy, Safety, Pharmacokinetics, and Immunogenicity Between SB27 and Keytruda in Subjects With Metastatic Non-squamous Non-small Cell Lung Cancer</t>
  </si>
  <si>
    <t>NCT06350032</t>
  </si>
  <si>
    <t>Investigational Trial to Evaluate Safety and Tolerability of Treprostinil in Children Diagnosed With PAH</t>
  </si>
  <si>
    <t>NCT06641024</t>
  </si>
  <si>
    <t>Clinical Research of CD19 Targeted CAR-T Cell in Relapsed/ Refractory B-ALL</t>
  </si>
  <si>
    <t>NCT06574269</t>
  </si>
  <si>
    <t>A Study on TLC590 for Managing Postsurgical Pain</t>
  </si>
  <si>
    <t>TLC Biopharmaceuticals, Inc.</t>
  </si>
  <si>
    <t>NCT06376474</t>
  </si>
  <si>
    <t>To Evaluate the Pharmacokinetics of Hemay005 Tablets in Subjects With Liver Damage</t>
  </si>
  <si>
    <t>NCT06455059</t>
  </si>
  <si>
    <t>Interventional Study of Vosoritide for the Treatment of Children With Hypochondroplasia</t>
  </si>
  <si>
    <t>NCT06460961</t>
  </si>
  <si>
    <t>A Study of MK-6837 as a Monotherapy and Combination Therapy in Participants With Advanced/Metastatic Solid Tumors (MK-6837-001)</t>
  </si>
  <si>
    <t>NCT06653842</t>
  </si>
  <si>
    <t>A Phase 2, Baseline-Controlled Study Evaluating the Safety and Efficacy of PTX-022 (Sirolimus) Topical Gel 3.9% in the Treatment of Cutaneous Venous Malformations</t>
  </si>
  <si>
    <t>NCT06333808</t>
  </si>
  <si>
    <t>Study to Compare Bictegravir/Lenacapavir Versus Current Therapy in People With HIV-1 Who Are Successfully Treated With Biktarvy</t>
  </si>
  <si>
    <t>NCT06174779</t>
  </si>
  <si>
    <t>A Study to Evaluate Efficacy and Safety of HM11260C in Adult Obesity Patients Without Diabetes Mellitus</t>
  </si>
  <si>
    <t>NCT06391918</t>
  </si>
  <si>
    <t>Phase 1 Study of GEN2 in Patients With Advanced Solid Tumors</t>
  </si>
  <si>
    <t>GenVivo, Inc.</t>
  </si>
  <si>
    <t>NCT06610903</t>
  </si>
  <si>
    <t>Bioequivalence Test of Hemay005 Tablets</t>
  </si>
  <si>
    <t>NCT06348290</t>
  </si>
  <si>
    <t>Study to Evaluate the Drug-drug Interaction of JMKX001899 in Healthy Subjects</t>
  </si>
  <si>
    <t>NCT06482190</t>
  </si>
  <si>
    <t>A Study to Evaluate Safety, Tolerability and Pharmacokinetics of RSN0402 in Healthy Volunteers</t>
  </si>
  <si>
    <t>Shenzhen Resproly Biopharmaceutical Co., Ltd</t>
  </si>
  <si>
    <t>NCT06471868</t>
  </si>
  <si>
    <t>Study to Evaluate Pharmacokinetic and Pharmacodynamic Drug Interactions and Safety of IY-HCR21 and IY-MIC</t>
  </si>
  <si>
    <t>NCT06457997</t>
  </si>
  <si>
    <t>A Study of PHN-010 in Patients With Advanced Solid Tumors</t>
  </si>
  <si>
    <t>Pheon Therapeutics</t>
  </si>
  <si>
    <t>NCT06297642</t>
  </si>
  <si>
    <t>TQB2928 Injection Combined With Penpulimab in Treatment of Advanced Malignant Tumors.</t>
  </si>
  <si>
    <t>NCT06703268</t>
  </si>
  <si>
    <t>A Study on Switching From Daily DPP-4 Inhibitor to HSK7653 in Type 2 Diabetes Patients</t>
  </si>
  <si>
    <t>NCT06608368</t>
  </si>
  <si>
    <t>A Clinical Study Assessing the Effects of a Marketed Dentifrice on Tooth Sensitivity While Undergoing Tooth Bleaching</t>
  </si>
  <si>
    <t>NCT06358950</t>
  </si>
  <si>
    <t>A Study to Evaluate the Safety and Effectiveness of ALKS 2680 in Subjects With Narcolepsy Type 1 (ALKS 2680-201)</t>
  </si>
  <si>
    <t>NCT06188559</t>
  </si>
  <si>
    <t>A Study of BB-1701 in Previously Treated Participants With Human Epidermal Growth Factor Receptor 2 (HER2)-Positive or HER2-low Unresectable or Metastatic Breast Cancer</t>
  </si>
  <si>
    <t>NCT06641180</t>
  </si>
  <si>
    <t>Study to Evaluate Immunogenicity and Safety of a High-Dose Influenza Vaccine in Adults 50 Through 64 Years of Age</t>
  </si>
  <si>
    <t>NCT06674577</t>
  </si>
  <si>
    <t>A Rollover Study to Evaluate the Long-Term Safety and Efficacy of Atacicept</t>
  </si>
  <si>
    <t>NCT06353386</t>
  </si>
  <si>
    <t>Substudy 01A: Safety and Efficacy of Opevesostat (MK-5684)-Based Treatment Combinations or Opevesostat Alone in Participants With Metastatic Castration-resistant Prostate Cancer (mCRPC) (MK-5684-01A)</t>
  </si>
  <si>
    <t>NCT06548672</t>
  </si>
  <si>
    <t>A Study to Assess the Safety, Pharmacokinetics, and Antitumor Activity of BC3195 in Patients With Advanced or Metastatic Cancer</t>
  </si>
  <si>
    <t>NCT06592495</t>
  </si>
  <si>
    <t>Bioepuivalence Study for the Safety and the Pharmacokinetics of DWJ1589 and DWC202315</t>
  </si>
  <si>
    <t>NCT06399419</t>
  </si>
  <si>
    <t>CBM588 Capsules in Combination With Nivolumab and Ipilimumab for the Treatment of Advanced Stage Kidney Cancer</t>
  </si>
  <si>
    <t>Osel, Inc.</t>
  </si>
  <si>
    <t>NCT06700395</t>
  </si>
  <si>
    <t>A Clinical Study of TQB2029 for Injection in Subjects With Multiple Myeloma</t>
  </si>
  <si>
    <t>NCT04974151</t>
  </si>
  <si>
    <t>China Stroke Primary Prevention Trial 2 for Participants With Hypertension and MTHFR 677 TT Genotype</t>
  </si>
  <si>
    <t>NCT06427681</t>
  </si>
  <si>
    <t>An Relative Bioavailability Study of BH006 for Injection in Healthy Subjects</t>
  </si>
  <si>
    <t>NCT06366451</t>
  </si>
  <si>
    <t>PBI-MST-01 (NCT04541108) Substudy AZN-05: Intratumoral Microdosing of Rilvegostomig, Volrustomig, Sabestomig, and AZD9592 in HNSCC</t>
  </si>
  <si>
    <t>NCT05972551</t>
  </si>
  <si>
    <t>Study to Evaluate Efficacy and Safety of Romosozumab Compared With Bisphosphonates in Children and Adolescents With Osteogenesis Imperfecta</t>
  </si>
  <si>
    <t>NCT05606757</t>
  </si>
  <si>
    <t>A Study to Evaluate Adverse Events and Effectiveness of OnabotulinumtoxinA in Participants Undergoing Open Abdominal Ventral Hernia Repair for the Achievement of Primary Fascial Closure Without the Use of Component Separation Technique</t>
  </si>
  <si>
    <t>NCT06640257</t>
  </si>
  <si>
    <t>A Study of the Efficacy and Safety of SHR-1314 for Adult Active Psoriatic Arthritis</t>
  </si>
  <si>
    <t>NCT06637501</t>
  </si>
  <si>
    <t>A Study to Investigate Sonrotoclax Combined With Zanubrutinib Versus Zanubrutinib Alone in Participants With Previously Untreated Chronic Lymphocytic Leukemia</t>
  </si>
  <si>
    <t>NCT06691828</t>
  </si>
  <si>
    <t>Absolute Bioavailability, Absorption, Metabolism, Excretion, and Mass Balance Study of [14C] NX-5948</t>
  </si>
  <si>
    <t>NCT04670666</t>
  </si>
  <si>
    <t>Efficacy and Safety of Madalena Association in the Treatment of Type II Diabetes Mellitus</t>
  </si>
  <si>
    <t>NCT06512428</t>
  </si>
  <si>
    <t>A Study of Simmitinib Plus Irinotecan in Advanced Esophageal Squamous Cell Carcinoma</t>
  </si>
  <si>
    <t>NCT06321341</t>
  </si>
  <si>
    <t>Efficacy and Safety of Vespireit, Prolonged-release Tablets, in Patients With Autonomic Dysfunction Syndrome Accompanied by Functional Vertigo</t>
  </si>
  <si>
    <t>NCT06625541</t>
  </si>
  <si>
    <t>A Study to Evaluate the Safety, Tolerability, Pharmacokinetics, and Pharmacodynamics of AJ302-IM in Healthy Volunteers</t>
  </si>
  <si>
    <t>NCT06448754</t>
  </si>
  <si>
    <t>Volrustomig Priming Regimens Exploratory Phase II Platform Study</t>
  </si>
  <si>
    <t>NCT06768151</t>
  </si>
  <si>
    <t>A Clinical Trial of CEA Targeting CAR-T for CEA Positive Advanced Lung Cancer</t>
  </si>
  <si>
    <t>NCT06247657</t>
  </si>
  <si>
    <t>A Phase I Study to Assess the Safety and Tolerability of BL0006 for Patients With Advanced Solid Tumours</t>
  </si>
  <si>
    <t>NCT06501066</t>
  </si>
  <si>
    <t>Mesenchymal Stem Cells for Frailty Syndrome</t>
  </si>
  <si>
    <t>NCT06511973</t>
  </si>
  <si>
    <t>A Study to Learn About Whether BAYH006689 Causes Skin Irritation When Applied as a Topical Gel in Healthy Participants</t>
  </si>
  <si>
    <t>NCT06235541</t>
  </si>
  <si>
    <t>A First-in-human Study of GENA-104A16 in Patients With Advanced Solid Tumors</t>
  </si>
  <si>
    <t>NCT06401356</t>
  </si>
  <si>
    <t>An Extension Study for Patients Previously Enrolled in Studies With Pelabresib</t>
  </si>
  <si>
    <t>NCT06640972</t>
  </si>
  <si>
    <t>Effects of RDX-002 on Postprandial Triglycerides in Patients Discontinuing GLP-1 Agonists</t>
  </si>
  <si>
    <t>NCT06226805</t>
  </si>
  <si>
    <t>Study of BB-031 in Acute Ischemic Stroke Patients (RAISE)</t>
  </si>
  <si>
    <t>NCT06563102</t>
  </si>
  <si>
    <t>Study to Investigate Changes in Airway Inflammation, Symptoms, and Rescue Therapy Utilization With AIRSUPRA Compared to Albuterol as Needed in Adults With Mild Asthma</t>
  </si>
  <si>
    <t>NCT06706622</t>
  </si>
  <si>
    <t>A Trial of Amlenetug (Lu AF82422) in Participants With Multiple System Atrophy (MSA)</t>
  </si>
  <si>
    <t>NCT06483802</t>
  </si>
  <si>
    <t>A Study of ASP2016 in Adults Who Have Heart Disease Associated With Friedreich Ataxia</t>
  </si>
  <si>
    <t>NCT05390645</t>
  </si>
  <si>
    <t>A Study of MFA-370 in Patients with Metastatic Urothelial Cancer</t>
  </si>
  <si>
    <t>Ectin Research AB</t>
  </si>
  <si>
    <t>NCT05804370</t>
  </si>
  <si>
    <t>Gleolan for Visualization of Newly Diagnosed or Recurrent Ovarian Cancer (OVA-302)</t>
  </si>
  <si>
    <t>NCT06557356</t>
  </si>
  <si>
    <t>A Study of LY3532226 in Participants With Obesity</t>
  </si>
  <si>
    <t>NCT06388551</t>
  </si>
  <si>
    <t>A Phase 1, SAD Study to Evaluate the Safety and Tolerability of LY03017</t>
  </si>
  <si>
    <t>NCT06959615</t>
  </si>
  <si>
    <t>A Phase I/IIa Study of JAB-23E73 in Patients With Advanced Solid Tumors Harboring KRAS Gene Alteration</t>
  </si>
  <si>
    <t>NCT06627478</t>
  </si>
  <si>
    <t>Study to Demonstrate Pharmacokinetic and Pharmacodynamic Similarity Between NKF-INS Glargine (G), United States (US)-Lantus®, and European Union (EU)-Lantus®</t>
  </si>
  <si>
    <t>NCT06182085</t>
  </si>
  <si>
    <t>Study to Assess Safety and Efficacy of PRI-002 in Patients With MCI to Mild Dementia Due to Alzheimer's Disease (AD)</t>
  </si>
  <si>
    <t>PRInnovation GmbH</t>
  </si>
  <si>
    <t>NCT06145373</t>
  </si>
  <si>
    <t>A Study to Test a Medicine (Fitusiran) for Preventing Bleeds in People With Severe Hemophilia Who Previously Received Preventive Treatment With Emicizumab</t>
  </si>
  <si>
    <t>NCT06508983</t>
  </si>
  <si>
    <t>A Clinical Study Comparing SG301 Plus Pomalidomide and Dexamethasone to Placebo Plus Pomalidomide and Dexamethasone in Relapsed or Refractory Multiple Myeloma Patients</t>
  </si>
  <si>
    <t>NCT07187895</t>
  </si>
  <si>
    <t>Comparative Imaging of XTR004 PET and MIBI SPECT in Borderline Coronary Stenosis</t>
  </si>
  <si>
    <t>NCT06221475</t>
  </si>
  <si>
    <t>A Study to Learn How BAY2927088 is Taken up and Handled by the Body in Healthy Male Participants</t>
  </si>
  <si>
    <t>NCT06071442</t>
  </si>
  <si>
    <t>Potential Drug Interaction Study Between Vemircopan and Rosuvastatin, Metformin, Levonorgestrel/Ethinyl Estradiol-containing Oral Contraceptives, and Carbamazepine</t>
  </si>
  <si>
    <t>NCT06705569</t>
  </si>
  <si>
    <t>A Study to Compare Two Forms of Study Medicine Tafamidis in the Blood in Healthy Adults</t>
  </si>
  <si>
    <t>NCT06445972</t>
  </si>
  <si>
    <t>Substudy 06D: Combination Therapies in Second Line (2L) Gastroesophageal Adenocarcinoma (MK-3475-06D/Keymaker-U06)</t>
  </si>
  <si>
    <t>NCT06637072</t>
  </si>
  <si>
    <t>A Study to Assess Adults With CIDP Transitioning From IVIg to Efgartigimod PH20 SC</t>
  </si>
  <si>
    <t>NCT06169319</t>
  </si>
  <si>
    <t>A Study to Assess Collagenase Clostridium Histolyticum (CCH) in the Treatment of Plantar Fasciitis (PFA)</t>
  </si>
  <si>
    <t>NCT06484829</t>
  </si>
  <si>
    <t>Purinostat Mesylate Combined With Pomalidomide Capsules and Low-dose Dexamethasone in Patients With Relapsed or Refractory Multiple Myeloma</t>
  </si>
  <si>
    <t>NCT06004245</t>
  </si>
  <si>
    <t>A Study to Evaluate the Safety, Pharmacokinetics, and Anti-Tumor Activity of VVD-133214 as Monotherapy and in Combination in Participants With Advanced Solid Tumors</t>
  </si>
  <si>
    <t>NCT06128382</t>
  </si>
  <si>
    <t>First-in-human Study to Evaluate the Safety and Immunogenicity of Three Dose Levels of the OVX033 Coronavirus Vaccine Candidate in Healthy Volunteers</t>
  </si>
  <si>
    <t>NCT05916313</t>
  </si>
  <si>
    <t>A Study to Test How Well Different Doses of BI 764532 Are Tolerated by People With a Tumour in the Brain That is Positive for DLL3</t>
  </si>
  <si>
    <t>NCT06372717</t>
  </si>
  <si>
    <t>A Study to Investigate APL-4098 Alone and in Combination in Adults With AML or MDS</t>
  </si>
  <si>
    <t>NCT06465550</t>
  </si>
  <si>
    <t>A Phase 1 Study of Gene-modified Autologous Hematopoietic Stem Cell (BD211) Treating β-thalassemia Major</t>
  </si>
  <si>
    <t>NCT04985890</t>
  </si>
  <si>
    <t>A Proof of Concept Study to Evaluate the Effect of UB-421 in Combination With Chidamide on HIV Viral Reservoir</t>
  </si>
  <si>
    <t>NCT06685718</t>
  </si>
  <si>
    <t>A Study Investigating BG-60366 in Adults With Epidermal Growth Factor Receptor (EGFR)-Mutant Non-Small Cell Lung Cancer</t>
  </si>
  <si>
    <t>NCT06596135</t>
  </si>
  <si>
    <t>Open-Label Extension Study of Setmelanotide</t>
  </si>
  <si>
    <t>NCT06487897</t>
  </si>
  <si>
    <t>Phase III Presbyopia Correction Using the VIS Opti-K™ System</t>
  </si>
  <si>
    <t>VIS, Inc.</t>
  </si>
  <si>
    <t>NCT06315335</t>
  </si>
  <si>
    <t>A Study to Assess the Safety and Pharmacokinetics of a Single Dose of UCB9741 in Healthy Caucasian and Japanese Participants</t>
  </si>
  <si>
    <t>NCT06926491</t>
  </si>
  <si>
    <t>Evaluate the Efficacy and Safety of KK8398 in Patients With Achondroplasia（AOBA Study）</t>
  </si>
  <si>
    <t>NCT06281132</t>
  </si>
  <si>
    <t>Clinical Trial to Compare and Evaluate the Safety and Pharmacokinetic After Oral Administration of CKD-341 and D956 in Healthy Adults</t>
  </si>
  <si>
    <t>NCT06615505</t>
  </si>
  <si>
    <t>ASCEND: A Clinical Trial to Evaluate the Safety and Effectiveness of VIA Disc NP, a Supplement for Degenerated Intervertebral Discs</t>
  </si>
  <si>
    <t>NCT06169722</t>
  </si>
  <si>
    <t>TDI01 Suspension in the Treatment of Chronic Graft-versus-host Disease (cGVHD))</t>
  </si>
  <si>
    <t>NCT06173895</t>
  </si>
  <si>
    <t>A Relative Bioavailability Study of LY3454738 in Healthy Participants</t>
  </si>
  <si>
    <t>NCT06425341</t>
  </si>
  <si>
    <t>A Multicenter, Randomized, Open, Parallel-designed Study to Evaluate the Efficacy and Safety of HRS-5635 Injection Alone or in Combination With Other Agents in Patients Treated for Chronic Hepatitis B</t>
  </si>
  <si>
    <t>NCT06393127</t>
  </si>
  <si>
    <t>A Study in Healthy People to Compare How 2 Different High Dose Formulations of BI 1015550 Are Taken up in the Body</t>
  </si>
  <si>
    <t>NCT06567327</t>
  </si>
  <si>
    <t>A Study to Learn How the Study Medicine Danuglipron is Taken Up Into the Blood and If Danuglipron Changes How the Body Processes Other Study Medicines (Atorvastatin and Rosuvastatin) in Healthy Adults Who Are Overweight or Obese</t>
  </si>
  <si>
    <t>NCT06708286</t>
  </si>
  <si>
    <t>A Clinical Trials of Adsorbed Cell-free DPT Vaccine (Five-component)</t>
  </si>
  <si>
    <t>NCT06343805</t>
  </si>
  <si>
    <t>A Phase 1 Study of AJ1-11095 in Patients With Primary Myelofibrosis (PMF), Post-Polycythemia Vera Myelofibrosis (PPV-MF), or Post-Essential Thrombocythemia Myelofibrosis (PET-MF) Who Have Been Failed by a Type I JAK2 Inhibitor (JAK2i)</t>
  </si>
  <si>
    <t>Ajax Therapeutics, Inc.</t>
  </si>
  <si>
    <t>NCT06772766</t>
  </si>
  <si>
    <t>A Multiple Ascending Dose Study of 9MW3011 in Patients With Non-transfusion-dependent β-thalassemia</t>
  </si>
  <si>
    <t>NCT06264180</t>
  </si>
  <si>
    <t>VO and Nivolumab vs Physician's Choice in Advanced Melanoma That Progressed on Anti-PD-1 &amp; Anti-CTLA-4 Drugs [IGNYTE-3]</t>
  </si>
  <si>
    <t>NCT06345794</t>
  </si>
  <si>
    <t>A Study to Assess LY4100511 (DC-853) in Healthy Adult Participants</t>
  </si>
  <si>
    <t>NCT06721156</t>
  </si>
  <si>
    <t>A Study to Evaluate the Efficacy and Safety of MK-1167 in Participants With Alzheimer's Disease Dementia (MK-1167-008)</t>
  </si>
  <si>
    <t>NCT06594146</t>
  </si>
  <si>
    <t>Study of CM313 (SC) Injection in Subjects With Primary Immune Thrombocytopenia (ITP)</t>
  </si>
  <si>
    <t>NCT06575153</t>
  </si>
  <si>
    <t>Phase 1 Study of ART5803 in Healthy Participants</t>
  </si>
  <si>
    <t>Arialys Therapeutics</t>
  </si>
  <si>
    <t>NCT06220669</t>
  </si>
  <si>
    <t>A Study of LY3541860 in Adult Participants With Relapsing Multiple Sclerosis</t>
  </si>
  <si>
    <t>NCT06673641</t>
  </si>
  <si>
    <t>A Study Comparing Clindamycin Phosphate, Adapalene, and Benzoyl Peroxide Topical Gel 0.15%;3.1%;1.2% (Taro Pharmaceuticals U.S.A., Inc.) and CABTREO Topical Gel for the Treatment of Acne Vulgaris.</t>
  </si>
  <si>
    <t>NCT06387966</t>
  </si>
  <si>
    <t>A Phase I Clinical Study of Flonoltinib Maleate Tablets in Healthy Subjects</t>
  </si>
  <si>
    <t>NCT06435429</t>
  </si>
  <si>
    <t>A Study Comparing the Efficacy and Safety of Zanidatamab to Trastuzumab, Each in Combination With Physician's Choice Chemotherapy, for the Treatment of Participants With Metastatic HER2-positive Breast Cancer</t>
  </si>
  <si>
    <t>NCT06999902</t>
  </si>
  <si>
    <t>Double-blind, Randomized Trial of PRAX-628 in Adults With Focal Seizures to Evaluate Efficacy and Safety (POWER1)</t>
  </si>
  <si>
    <t>NCT06318273</t>
  </si>
  <si>
    <t>A Study to Assess Adverse Events, and How Intravenously (IV) Infused ABBV-969 Moves Through the Bodies of Adult Participants With Metastatic Castration-Resistant Prostate Cancer</t>
  </si>
  <si>
    <t>NCT06571045</t>
  </si>
  <si>
    <t>A Study to Evaluate the Efficacy and Safety of 2 Doses of EYE103 Compared With Ranibizumab (0.5 mg) in Participants With DME</t>
  </si>
  <si>
    <t>NCT06671470</t>
  </si>
  <si>
    <t>A Drug-drug Interaction Study of YZJ-1139 Tablets and Ticagrelor Tablets in Healthy Subjects</t>
  </si>
  <si>
    <t>NCT06619873</t>
  </si>
  <si>
    <t>A Clinical Study to Evaluate the Relative Bioavailability and Food Effect of HRS-8080 in Healthy Subjects</t>
  </si>
  <si>
    <t>NCT06415773</t>
  </si>
  <si>
    <t>Effects of Berberine Ursodeoxycholate (HTD1801) Versus Dapagliflozin in Patients With Type 2 Diabetes Inadequately Controlled With Metformin</t>
  </si>
  <si>
    <t>NCT06444165</t>
  </si>
  <si>
    <t>Lebrikizumab Pen Ease of Use in Participants With Atopic Dermatitis</t>
  </si>
  <si>
    <t>NCT06224400</t>
  </si>
  <si>
    <t>A First-in-Human SAD/MAD Study to Evaluate the Safety, Tolerability, and Pharmacokinetics of ENC1018 in Healthy Adult Subjects</t>
  </si>
  <si>
    <t>EnnovaBio Australia Pharmaceuticals Pty Ltd</t>
  </si>
  <si>
    <t>NCT06424288</t>
  </si>
  <si>
    <t>A Study to Test Whether Vicadrostat in Combination With Empagliflozin Helps People With Heart Failure</t>
  </si>
  <si>
    <t>NCT06517823</t>
  </si>
  <si>
    <t>Efficacy and Safety of Etoricoxib/Cyanocobalamin Versus Etoricoxib for Acute Low Back Pain</t>
  </si>
  <si>
    <t>NCT07612280</t>
  </si>
  <si>
    <t>Phase 1/ Phase 2 Study to Assess Safety and Efficacy of Orally Administered JBI-802 in Subjects With Myeloproliferative Neoplasms (MPN) and Myelodysplastic/Myeloproliferative Neoplasms (MDS/MPN) With Thrombocytosis</t>
  </si>
  <si>
    <t>NCT06432673</t>
  </si>
  <si>
    <t>The Attractive 2 Trial - Pharmacokinetics of ATR-258 Oral Capsule vs. Oral Solution Formulations in Healthy Volunteers</t>
  </si>
  <si>
    <t>NCT06592794</t>
  </si>
  <si>
    <t>A Study to Investigate the Safety and Efficacy of mRNA-1403 in Participants ≥18 Years of Age for the Prevention of Acute Gastroenteritis</t>
  </si>
  <si>
    <t>NCT05950841</t>
  </si>
  <si>
    <t>Safety and Effectiveness of IHAT in Iron Deficient Pre-menopausal Woman</t>
  </si>
  <si>
    <t>NCT06923956</t>
  </si>
  <si>
    <t>Single Dose Oral Bioequivalence Study of Bempedoic Acid 180 mg Film Coated Tablet and Nilemdo® (Bempedoic Acid) 180 mg Film-coated Tablets in Healthy Adult Human Subjects Under Fasting Conditions.</t>
  </si>
  <si>
    <t>NCT06719557</t>
  </si>
  <si>
    <t>A Study of the Effect of Itraconazole and Phenytoin on Calderasib (MK-1084) in Healthy Adults (MK-1084-008)</t>
  </si>
  <si>
    <t>NCT04186559</t>
  </si>
  <si>
    <t>Topical Pentoxifylline Gel on Behcet's Disease Genital Ulcers</t>
  </si>
  <si>
    <t>Silk Road Therapies, Inc.</t>
  </si>
  <si>
    <t>NCT07002281</t>
  </si>
  <si>
    <t>[14C] Mass Balance Clinical Trial of Azvudine in Healthy Male Subjects</t>
  </si>
  <si>
    <t>NCT06627556</t>
  </si>
  <si>
    <t>A Study of Single and Multiple Ascending Doses of H021 in Healthy Participants</t>
  </si>
  <si>
    <t>NCT06571266</t>
  </si>
  <si>
    <t>A Study to Assess the Relative Bioavailability of Two Formulations of Risankizumab Following Subcutaneous Administration With Prefilled Syringes in Healthy Adult Participants</t>
  </si>
  <si>
    <t>NCT06511570</t>
  </si>
  <si>
    <t>A Study Comparing the Safety, Tolerability, and Pharmacokinetics of Sabirnetug IV and Sabirnetug + rHuPH20 SC in Healthy Participants</t>
  </si>
  <si>
    <t>NCT06549946</t>
  </si>
  <si>
    <t>Ixovex-1 Single Agent and Combination Therapy</t>
  </si>
  <si>
    <t>Psivac Ltd</t>
  </si>
  <si>
    <t>NCT06435273</t>
  </si>
  <si>
    <t>Phase II Study to Evaluate the Effect of AZD4604 on Airway Inflammation and Biomarkers in Adults With Asthma</t>
  </si>
  <si>
    <t>NCT06736041</t>
  </si>
  <si>
    <t>Study of a 4-Dose Regimen of a 21-valent Pneumococcal Conjugate Vaccine in Healthy Infants From Approximately 2 Months of Age</t>
  </si>
  <si>
    <t>NCT06484777</t>
  </si>
  <si>
    <t>A Clinical Study of SHR-9539 in Patients With Multiple Myeloma</t>
  </si>
  <si>
    <t>NCT07093970</t>
  </si>
  <si>
    <t>A Study of MRG006A in the Treatment of Patients With Advanced Solid Tumors</t>
  </si>
  <si>
    <t>NCT06381986</t>
  </si>
  <si>
    <t>Efficacy and Safety of SHJ002 Ophthalmic Solution in the Treatment of Corneal Erosion in Sjogren's Patients</t>
  </si>
  <si>
    <t>NCT06263998</t>
  </si>
  <si>
    <t>Clinical Study for the Evaluation of Safety and Tolerability of NCP112 Eye Drops</t>
  </si>
  <si>
    <t>NCT06375993</t>
  </si>
  <si>
    <t>A Phase 1 Study of Prulacabtagene Leucel (Prula-cel, Formerly ADI-001) in Autoimmune Disease</t>
  </si>
  <si>
    <t>NCT06493864</t>
  </si>
  <si>
    <t>A Study of BL-B16D1 in Patients With Unresectable Locally Advanced or Metastatic Breast Cancer and Other Solid Tumors</t>
  </si>
  <si>
    <t>NCT06493409</t>
  </si>
  <si>
    <t>A Study to Assess the Effect of Voriconazole and Quinidine on the Pharmacokinetics of a Single Dose of Repotrectinib in Healthy Participants</t>
  </si>
  <si>
    <t>NCT06504732</t>
  </si>
  <si>
    <t>To Evaluate IAH0968 in Combination With CAPEOX in HER2-positive Gastric Cancer</t>
  </si>
  <si>
    <t>NCT06431607</t>
  </si>
  <si>
    <t>A Study to Find the Dose and Assess the Immune Response and Safety of a Vaccine Against Influenza in Healthy Younger and Older Adults</t>
  </si>
  <si>
    <t>NCT06476834</t>
  </si>
  <si>
    <t>A Study Evaluating Deucravacitinib Concentrations in the Breast Milk and Plasma of Healthy Lactating Female Participants</t>
  </si>
  <si>
    <t>NCT06623409</t>
  </si>
  <si>
    <t>Safety and Immunogenicity of V540B in Healthy Adults (V540B-002).</t>
  </si>
  <si>
    <t>NCT06158477</t>
  </si>
  <si>
    <t>A Clinical Trial Evaluating JYP0035 Capsule Monotherapy in Patients With Advanced Solid Tumors</t>
  </si>
  <si>
    <t>Chengdu JOYO pharma Co., Ltd.</t>
  </si>
  <si>
    <t>NCT06189157</t>
  </si>
  <si>
    <t>MB-CART19.1 in Refractory SLE</t>
  </si>
  <si>
    <t>NCT06672536</t>
  </si>
  <si>
    <t>Multicenter, Phase I/II Study to Evaluate the Safety, Tolerability, PK and Efficacy of SCT520FF in Patients With nAMD</t>
  </si>
  <si>
    <t>NCT06390111</t>
  </si>
  <si>
    <t>A Trial to Evaluate Efficacy of Reinduction With Nadofaragene Firadenovec in Subjects With CIS ± High-grade Ta/T1 and no Complete Response to First Nadofaragene Firadenovec Dose.</t>
  </si>
  <si>
    <t>NCT06463028</t>
  </si>
  <si>
    <t>Sapanisertib and Serabelisib (PIKTOR) With Paclitaxel and a Substudy With an Insulin-Suppressing Diet in Patients With Advanced/Recurrent Endometrial Cancer</t>
  </si>
  <si>
    <t>NCT06579300</t>
  </si>
  <si>
    <t>A Study to Assess Multiple Ascending Dose, Drug-Drug Interaction, and Asian Pharmacokinetic Study of ABBV-1088</t>
  </si>
  <si>
    <t>NCT05808764</t>
  </si>
  <si>
    <t>A Study to Investigate the Pharmacokinetics and Safety of Risdiplam in Infants With Spinal Muscular Atrophy</t>
  </si>
  <si>
    <t>NCT06537999</t>
  </si>
  <si>
    <t>A Clinical Study to Evaluate DNTH103 in Adults With Multifocal Motor Neuropathy</t>
  </si>
  <si>
    <t>NCT06897228</t>
  </si>
  <si>
    <t>PANK-003 Cell Injection Combined with Standard Adjuvant Chemotherapy After Surgery in Patients with Solid Tumors</t>
  </si>
  <si>
    <t>NCT06493799</t>
  </si>
  <si>
    <t>In Patients With Chronic Liver Diseases(Alcoholic Liver Disease and Non-Alcoholic Fatty Liver Disease), LAENNEC(Human Placenta Hydrolysate) is to Evaluate the Efficacy and Safety of Intravenous Drop</t>
  </si>
  <si>
    <t>NCT06667141</t>
  </si>
  <si>
    <t>Phase 1 Study of ACR-2316 in Specific Advanced Solid Tumors</t>
  </si>
  <si>
    <t>NCT06643377</t>
  </si>
  <si>
    <t>A Clinical Study of Enlicitide in Participants With Severe Renal Impairment (MK-0616-032)</t>
  </si>
  <si>
    <t>NCT06240481</t>
  </si>
  <si>
    <t>Clinical Research Study to Assess the Efficacy of Two Brushing Regimens</t>
  </si>
  <si>
    <t>NCT05703971</t>
  </si>
  <si>
    <t>Quaratusugene Ozeplasmid (Reqorsa) and Atezolizumab Maintenance Therapy in ES-SCLC Patients</t>
  </si>
  <si>
    <t>NCT06640361</t>
  </si>
  <si>
    <t>A Study of Olverembatinib in SDH-deficient GIST.</t>
  </si>
  <si>
    <t>NCT07293390</t>
  </si>
  <si>
    <t>A Clinical Trial of Mass Balance of [14C] TQ05105 in Healthy Chinese Subjects</t>
  </si>
  <si>
    <t>NCT06622824</t>
  </si>
  <si>
    <t>To Evaluate Efficacy and Safety of TopicalKX-826 Solution in Chinese Male Patients With Androgenetic Alopecia</t>
  </si>
  <si>
    <t>NCT06494761</t>
  </si>
  <si>
    <t>A Study in Healthy Men to Test Whether Zongertinib Affects How 3 Other Medicines (Midazolam, Omeprazole, and Repaglinide) Are Taken up and Processed by the Body</t>
  </si>
  <si>
    <t>NCT06714955</t>
  </si>
  <si>
    <t>Evaluate the Pharmacokinetics, Pharmacodynamics, Safety and Tolerability of BGM0504 Injection in Non-diabetic Overweight or Obese Adult Subjects</t>
  </si>
  <si>
    <t>NCT06780124</t>
  </si>
  <si>
    <t>Сlinical Study Aiming to Evaluate the Safety, Tolerability, Pharmacokinetics and Pharmacodynamics of Single and Multiple Ascending Doses of ZE63-0302 in Healthy Volunteers</t>
  </si>
  <si>
    <t>Eilean Therapeutics</t>
  </si>
  <si>
    <t>NCT06173570</t>
  </si>
  <si>
    <t>A Study to Assess the Efficacy, Safety and Tolerability of Different Doses of AZD0780 in Patients With Dyslipidemia</t>
  </si>
  <si>
    <t>NCT06625242</t>
  </si>
  <si>
    <t>A Study of Filgotinib in Korean Participants With Rheumatoid Arthritis</t>
  </si>
  <si>
    <t>NCT06362642</t>
  </si>
  <si>
    <t>A Study to Investigate the Effects of Itraconazole on the Pharmacokinetics of PC14586 in Healthy Participants</t>
  </si>
  <si>
    <t>NCT06588517</t>
  </si>
  <si>
    <t>Comparative Pharmacokinetic(PK) Study of Pirfenidone Modified-Release Tablets and Pirfenidone Tablets in Healthy Subjects Under Fed Conditions</t>
  </si>
  <si>
    <t>NCT06628362</t>
  </si>
  <si>
    <t>A Study of Enicepatide (CT-388) in Participants Who Are Overweight or Obese With Type 2 Diabetes Mellitus</t>
  </si>
  <si>
    <t>NCT06957379</t>
  </si>
  <si>
    <t>Sirolimus for Injection (Albumin-bound) in Combination With Endocrine Therapy for HR+/HER2- Advanced/Metastatic Breast Cancer Patients Who Have Failed Standard Therapy</t>
  </si>
  <si>
    <t>NCT06510062</t>
  </si>
  <si>
    <t>Comparative Evaluation of Sustained Acoustic Medicine Device on Circulation</t>
  </si>
  <si>
    <t>NCT06236061</t>
  </si>
  <si>
    <t>Study of Efficacy and Safety of LCZ696/Amlodipine in Grade 1 and 2 Hypertension Patients Uncontrolled by LCZ696 Monotherapy</t>
  </si>
  <si>
    <t>NCT06841861</t>
  </si>
  <si>
    <t>Spermatogonial Differentiation Via Testicular Organoid</t>
  </si>
  <si>
    <t>CellARTs Inc.</t>
  </si>
  <si>
    <t>NCT06006559</t>
  </si>
  <si>
    <t>A Study to Assess the Efficacy, Safety and Pharmacokinetics of EYU688 in Patients With Dengue Fever</t>
  </si>
  <si>
    <t>NCT06016088</t>
  </si>
  <si>
    <t>A Double-Blind, Active-Controlled, Multiple-Ascending Dose Study of Aerosolized RSP-1502 in Subjects With CF and Chronic PA Lung Infection</t>
  </si>
  <si>
    <t>Respirion Pharmaceuticals Pty Ltd</t>
  </si>
  <si>
    <t>NCT06228586</t>
  </si>
  <si>
    <t>Study on a MenACYW Conjugate Vaccine Administered as a Single Dose in Participants Aged 12 Months and Older in Vietnam</t>
  </si>
  <si>
    <t>NCT06503783</t>
  </si>
  <si>
    <t>A Study of BL-M17D1 in Patients With Locally Advanced or Metastatic HER2 Positive/Negative Breast Cancer and Other Solid Tumors</t>
  </si>
  <si>
    <t>NCT06226454</t>
  </si>
  <si>
    <t>A Phase 1 Study Evaluating the Safety, Pharmacokinetics, and Pharmacodynamics, of VX-993</t>
  </si>
  <si>
    <t>NCT06316531</t>
  </si>
  <si>
    <t>A Study Comparing BL-M07D1 With T-DM1 in Patients With Unresectable Locally Advanced or Metastatic HER2-positive Breast Cancer</t>
  </si>
  <si>
    <t>NCT06355531</t>
  </si>
  <si>
    <t>A Study to Assess the Efficacy, Safety, and Pharmacokinetics of FNP-223 to Slow Progression of Progressive Supranuclear Palsy (PSP)</t>
  </si>
  <si>
    <t>NCT06496620</t>
  </si>
  <si>
    <t>A Study to Evaluate Solrikitug in Participants With COPD (ZION)</t>
  </si>
  <si>
    <t>NCT06531941</t>
  </si>
  <si>
    <t>Extension Study to Evaluate the Long-Term Safety and Tolerability of MBX 2109 in Patients With Hypoparathyroidism</t>
  </si>
  <si>
    <t>NCT06230822</t>
  </si>
  <si>
    <t>Safety, Tolerability and Efficacy of VUM02 Injection in Treatment of Idiopathic Pulmonary Fibrosis (IPF)</t>
  </si>
  <si>
    <t>Wuhan Optics Valley Vcanbiopharma Co., Ltd.</t>
  </si>
  <si>
    <t>NCT06657703</t>
  </si>
  <si>
    <t>Safety, Tolerability, and Pharmacokinetics of Single Doses of HC022 in Healthy Subjects.</t>
  </si>
  <si>
    <t>NCT06645886</t>
  </si>
  <si>
    <t>A Study to Investigate the Safety and Efficacy of KQB198 as Monotherapy and in Combination in Participants With Advanced Hematologic Malignancies</t>
  </si>
  <si>
    <t>NCT06345066</t>
  </si>
  <si>
    <t>A Study of LY3841136 in Overweight and Obese Participants</t>
  </si>
  <si>
    <t>NCT06679556</t>
  </si>
  <si>
    <t>Phase 1 Pharmacokinetic Study of Minoxidil SL Tablets</t>
  </si>
  <si>
    <t>Samson Clinical Operations Pty Ltd</t>
  </si>
  <si>
    <t>NCT06230588</t>
  </si>
  <si>
    <t>A Clinical Trial of TQH3906 Capsules in Healthy Volunteers</t>
  </si>
  <si>
    <t>NCT06241846</t>
  </si>
  <si>
    <t>A Phase II Study to Evaluate the Safety, Efficacy, and Pharmacokinetics of YL201 in Patients With mCRPC</t>
  </si>
  <si>
    <t>NCT06206356</t>
  </si>
  <si>
    <t>Lumbar Injectrode Feasibility Evaluation</t>
  </si>
  <si>
    <t>Neuronoff, Inc</t>
  </si>
  <si>
    <t>NCT06323356</t>
  </si>
  <si>
    <t>A Study of TAK-279 in Adult Participants With Generalized Pustular Psoriasis or Erythrodermic Psoriasis</t>
  </si>
  <si>
    <t>NCT06714396</t>
  </si>
  <si>
    <t>A Study Exploring the PK/PD Relationship of QRL-101 in Adults With ALS</t>
  </si>
  <si>
    <t>NCT06278454</t>
  </si>
  <si>
    <t>Safety and Efficacy of NRT6008 in Patients With Unresectable Locally Advanced Pancreatic Cancer (LAPC) and Advanced Pancreatic Cancer With Lymph Node Metastases</t>
  </si>
  <si>
    <t>NCT06857617</t>
  </si>
  <si>
    <t>This Study Will Investigate the Safety, Tolerability, Pharmacokinetics, and Efficacy of MET097 in Adult Participants With Overweight or Obesity</t>
  </si>
  <si>
    <t>Metsera, a wholly owned subsidiary of Pfizer</t>
  </si>
  <si>
    <t>NCT06346340</t>
  </si>
  <si>
    <t>A Study to Evaluate the Effect of Miebo™ on Preoperative Biometry/Keratometry and Postoperative Refractive Accuracy</t>
  </si>
  <si>
    <t>NCT07050446</t>
  </si>
  <si>
    <t>Vizol S DIGI EYE Efficacy and Safety Study in Patients With Dry Eye</t>
  </si>
  <si>
    <t>NCT06253923</t>
  </si>
  <si>
    <t>Study to Assess the Safety of Amantadine Hydrochloride (HCl) Intravenous (IV) Solution (MR-301) in Patients With Severe Traumatic Brain Injury (TBI).</t>
  </si>
  <si>
    <t>SHINKEI Therapeutics, Inc</t>
  </si>
  <si>
    <t>NCT06323161</t>
  </si>
  <si>
    <t>A Research Study to See How Much CagriSema Lowers Blood Sugar and Body Weight Compared to Placebo in People With Type 2 Diabetes Treated With Once-daily Basal Insulin With or Without Metformin</t>
  </si>
  <si>
    <t>NCT06194578</t>
  </si>
  <si>
    <t>A Study of Sterile Saline Infusion in Healthy Volunteers</t>
  </si>
  <si>
    <t>NCT06484868</t>
  </si>
  <si>
    <t>Open-label Study to Evaluate Metreleptin in Patients With Partial Lipodystrophy</t>
  </si>
  <si>
    <t>NCT06481891</t>
  </si>
  <si>
    <t>A Study to Evaluate the Efficacy and Safety of Sotagliflozin in Symptomatic Obstructive and Non-obstructive Hypertrophic Cardiomyopathy</t>
  </si>
  <si>
    <t>NCT06071143</t>
  </si>
  <si>
    <t>Safety and Efficacy of KDSTEM Inj. in Patients With Chronic Kidney Disease</t>
  </si>
  <si>
    <t>EHL Bio Co., Ltd.</t>
  </si>
  <si>
    <t>NCT06225310</t>
  </si>
  <si>
    <t>A Trial of Selinexor, Ruxolitinib and Methylprednisolone</t>
  </si>
  <si>
    <t>NCT05679479</t>
  </si>
  <si>
    <t>Study on the Safety and Efficacy of Meplazumab for Injection in Severe Patients With COVID-19</t>
  </si>
  <si>
    <t>NCT06117774</t>
  </si>
  <si>
    <t>Study Evaluating Tarlatamab After Chemoradiotherapy in Limited-Stage Small-Cell Lung Cancer (LS-SCLC)</t>
  </si>
  <si>
    <t>NCT06304974</t>
  </si>
  <si>
    <t>A Study Comparing BL-B01D1 With Chemotherapy of Physician's Choice in Patients With Recurrent or Metastatic Esophageal Squamous Cell Carcinoma(PANKU-Esophagus01)</t>
  </si>
  <si>
    <t>NCT06433726</t>
  </si>
  <si>
    <t>A Phase l Study of By101921, an Oral PARP7 Inhibitor, in Patients With Advanced Solid Tumors</t>
  </si>
  <si>
    <t>NCT06709820</t>
  </si>
  <si>
    <t>A Study of LY4060874 in Healthy Participants</t>
  </si>
  <si>
    <t>NCT06352359</t>
  </si>
  <si>
    <t>Safety, Pharmacokinetics (PK), and Efficacy of ONC 841 in Advanced Solid Tumors</t>
  </si>
  <si>
    <t>NCT06726863</t>
  </si>
  <si>
    <t>Pharmacokinetics and Pharmacodynamics of Two Prolonged-release Formulations of Vamifeport in Healthy Adults</t>
  </si>
  <si>
    <t>NCT06308406</t>
  </si>
  <si>
    <t>A Phase Ib/II Clinical Study of HRS-1167 in Combination With Bevacizumab in Patients With Recurrent Ovarian Cancer</t>
  </si>
  <si>
    <t>NCT06394830</t>
  </si>
  <si>
    <t>Safety, Efficacy, and Frequency of Administration of VNX001 in the Treatment of Interstitial Cystitis / Bladder Pain Syndrome (IC/BPS)</t>
  </si>
  <si>
    <t>NCT06341114</t>
  </si>
  <si>
    <t>A Clinical Study Evaluating the Safety, Tolerability, Pharmacokinetic Characteristics, and Preliminary Efficacy of the Combination of BAT8008 With BAT1308 in Patients With Advanced Solid Tumors</t>
  </si>
  <si>
    <t>NCT06815965</t>
  </si>
  <si>
    <t>A Clinical Study of Neflamapimod in Patients With Dementia With Lewy Bodies</t>
  </si>
  <si>
    <t>NCT06548100</t>
  </si>
  <si>
    <t>A Study of the Safety of Mibavademab in Pediatric and Adult Participants Switching From Metreleptin to Mibavademab for the Treatment of Generalized Lipodystrophy (GLD)</t>
  </si>
  <si>
    <t>NCT06346509</t>
  </si>
  <si>
    <t>Randomized, Double-Blind, Placebo-Controlled, Single and Multiple Ascending Dose Study of PORT-77 Administered to Healthy Adult Participants</t>
  </si>
  <si>
    <t>Portal Therapeutics, Inc.</t>
  </si>
  <si>
    <t>NCT06288412</t>
  </si>
  <si>
    <t>A Study to Test How a New Long-acting Insulin Works in the Body of Patients With Type 2 Diabetes During Exercise and Prolonged Fasting</t>
  </si>
  <si>
    <t>NCT06687681</t>
  </si>
  <si>
    <t>Injection of Active Allogeneic Natural Killer Cells in Patients With Gliomas</t>
  </si>
  <si>
    <t>NCT06553209</t>
  </si>
  <si>
    <t>Study of CM512 in Healthy Subjects and Patients With Atopic Dermatitis</t>
  </si>
  <si>
    <t>NCT06484881</t>
  </si>
  <si>
    <t>Clinical Study of Probiotic Treatment for Androgenetic Alopecia</t>
  </si>
  <si>
    <t>NCT06526793</t>
  </si>
  <si>
    <t>Surovatamig (AZD0486) as Monotherapy in Participants With Relapsed/Refractory (R/R) B-cell NHL</t>
  </si>
  <si>
    <t>NCT06206733</t>
  </si>
  <si>
    <t>ASKB589 in Combination With CAPOX and PD-1 Inhibitor in Patients With Advanced or Metastatic GC/GEJ Adenocarcinoma</t>
  </si>
  <si>
    <t>NCT06247995</t>
  </si>
  <si>
    <t>A Phase I/II, Dose Finding and Optimization Study of [177Lu]Lu-NeoB in Combination With Capecitabine in Patients With GRPR+, ER+, HER2- Metastatic Breast Cancer After Progression on Previous Endocrine Therapy in Combination With a CDK4/6 Inhibitor.</t>
  </si>
  <si>
    <t>NCT06565871</t>
  </si>
  <si>
    <t>A Study of HRS9531 Injection in Obese Subjects With Obstructive Sleep Apnea</t>
  </si>
  <si>
    <t>NCT06842992</t>
  </si>
  <si>
    <t>A Phase II Study to Evaluate NH102 for Depression</t>
  </si>
  <si>
    <t>NCT06225804</t>
  </si>
  <si>
    <t>A Study to Assess Safety, Tolerability, and Pharmacokinetics of ABSK112 in Patients With Non-Small Cell Lung Cancer</t>
  </si>
  <si>
    <t>NCT05733598</t>
  </si>
  <si>
    <t>Study of RP2 in Combination With Second-line Therapy in Patients With Locally Advanced or Metastatic HCC</t>
  </si>
  <si>
    <t>NCT06405984</t>
  </si>
  <si>
    <t>Trans-Abdominal Fetal Pulse Oximetry - EFS-IDE</t>
  </si>
  <si>
    <t>Raydiant Oximetry, Inc.</t>
  </si>
  <si>
    <t>NCT06351631</t>
  </si>
  <si>
    <t>A Study to Evaluate Safety and Efficacy of Bomedemstat (MK-3543-017)</t>
  </si>
  <si>
    <t>NCT06212245</t>
  </si>
  <si>
    <t>A Clinical Research Study of Inebilizumab in Neuromyelitis Optica Spectrum Disorders</t>
  </si>
  <si>
    <t>NCT06438367</t>
  </si>
  <si>
    <t>TGRX-326 Pharmacokinetic Mass Balance</t>
  </si>
  <si>
    <t>NCT06456528</t>
  </si>
  <si>
    <t>QL0911 for the Treatment of Cancer Treatment-Induced Thrombocytopenia</t>
  </si>
  <si>
    <t>NCT06354556</t>
  </si>
  <si>
    <t>Effect of Verapamil Tablets on the Pharmacokinetic of HRS-1893 Tablets in Healthy Subjects</t>
  </si>
  <si>
    <t>NCT06046495</t>
  </si>
  <si>
    <t>A Study of the Oral EGFR Inhibitor PLB1004 in Non-Small Cell Lung Cancer</t>
  </si>
  <si>
    <t>NCT06283212</t>
  </si>
  <si>
    <t>A Clinical Study to Evaluate the Safety and Efficacy of ETX101, an AAV9-Delivered Gene Therapy in Children With SCN1A-positive Dravet Syndrome</t>
  </si>
  <si>
    <t>NCT06553937</t>
  </si>
  <si>
    <t>Bioequivalence Study of Macitentan and Tadalafil Film-coated Tablets 10 Mg/40 Mg and 'PrOpsynvi®' Macitentan and Tadalafil Film-coated Tablets 10 Mg/40 Mg</t>
  </si>
  <si>
    <t>NCT06415019</t>
  </si>
  <si>
    <t>A Study to Learn About Whether BAY H006689 Causes an Allergic Reaction When Applied as a Topical Gel in Healthy Participants</t>
  </si>
  <si>
    <t>NCT06218251</t>
  </si>
  <si>
    <t>A Study to Evaluate Participant Satisfaction and Natural Outcomes Following Administration of BOTOX Cosmetic Injections in Adult Participants for Treatment of Upper Facial Lines</t>
  </si>
  <si>
    <t>NCT06356129</t>
  </si>
  <si>
    <t>Study to Compare the Effectiveness and Safety of Golcadomide Plus R-CHOP vs Placebo Plus R-CHOP in Participants With Previously Untreated High-risk Large B-cell Lymphoma</t>
  </si>
  <si>
    <t>NCT06368167</t>
  </si>
  <si>
    <t>A Phase II Study of SHR2554 in Patients With Relapsed or Refractory Follicular Lymphoma</t>
  </si>
  <si>
    <t>NCT05764122</t>
  </si>
  <si>
    <t>A Study to Evaluate the Efficacy and Safety of BIIB131 for Participants With Ischemic Stroke Between 4.5 and 24 Hours After Last Known Well</t>
  </si>
  <si>
    <t>NCT06109181</t>
  </si>
  <si>
    <t>Gene Therapy for ACM Due to a PKP2 Pathogenic Variant</t>
  </si>
  <si>
    <t>NCT06195319</t>
  </si>
  <si>
    <t>Open-label Study of the Absorption, Metabolism, and Excretion of [14C]-Simufilam Following a Single Oral Dose in Healthy Male Subjects</t>
  </si>
  <si>
    <t>NCT06294236</t>
  </si>
  <si>
    <t>Study Evaluating SC291 in Subjects With Severe r/r B-cell Mediated Autoimmune Diseases (GLEAM)</t>
  </si>
  <si>
    <t>NCT06455202</t>
  </si>
  <si>
    <t>A Phase 3 Study of Barzolvolimab in Participants With Chronic Spontaneous Urticaria (CSU)</t>
  </si>
  <si>
    <t>NCT06247813</t>
  </si>
  <si>
    <t>Pilot Study: Impact of Biomarker-Guided Dietary Supplementation on Quality-of-Life Measures in Subjects With Chronic Pain</t>
  </si>
  <si>
    <t>Ethos Research &amp; Development</t>
  </si>
  <si>
    <t>NCT06151574</t>
  </si>
  <si>
    <t>Beamion LUNG-2: A Study to Test Whether Zongertinib (BI 1810631) Helps People With Advanced Non-small Cell Lung Cancer With HER2 Mutations Compared With Standard Treatment</t>
  </si>
  <si>
    <t>NCT06419374</t>
  </si>
  <si>
    <t>A Study to Evaluate the Efficacy and Safety of Pegozafermin in Participants With Compensated Cirrhosis Due to MASH</t>
  </si>
  <si>
    <t>NCT06191796</t>
  </si>
  <si>
    <t>Study of Zanzalintinib (XL092) + AB521 and Zanzalintinib + AB521 + Nivolumab in Participants With Advanced Clear Cell Renal Cell Carcinoma (ccRCC) or Other Advanced Solid Tumors (STELLAR-009)</t>
  </si>
  <si>
    <t>NCT06585462</t>
  </si>
  <si>
    <t>Single and Multiple Ascending Dose Study of AMG 513 in Participants With Obesity</t>
  </si>
  <si>
    <t>NCT06556810</t>
  </si>
  <si>
    <t>IC14 for Treatment of Acute Decompensated Heart Failure</t>
  </si>
  <si>
    <t>NCT06237296</t>
  </si>
  <si>
    <t>Study of the Safety and Immune Response of an Investigational mRNA Vaccine for the Prevention of Respiratory Syncytial Virus and/or Human Metapneumovirus in Participants Aged 18 to 49 Years and 60 Years and Older</t>
  </si>
  <si>
    <t>NCT06038474</t>
  </si>
  <si>
    <t>Descartes-08 for Patients With Systemic Lupus Erythematosus</t>
  </si>
  <si>
    <t>NCT06422520</t>
  </si>
  <si>
    <t>A First-in-Human Study of BGB-C354 Alone and in Combination With Tislelizumab in Participants With Advanced Solid Tumors</t>
  </si>
  <si>
    <t>NCT06241313</t>
  </si>
  <si>
    <t>Study of Oral Atogepant Tablets to Assess Safety and Efficacy in Adult Participants With Migraine</t>
  </si>
  <si>
    <t>NCT06526624</t>
  </si>
  <si>
    <t>A Study of HS-20093 vs Active Surveillance in Limited-Stage Small Cell Lung Cancer</t>
  </si>
  <si>
    <t>NCT06264310</t>
  </si>
  <si>
    <t>To Evaluate the Safety, Tolerability and Efficacy of R2R01 Combined With SOC as Compared to SOC Alone in Outpatients With Worsening Heart Failure (WHF)</t>
  </si>
  <si>
    <t>NCT06289920</t>
  </si>
  <si>
    <t>A Study to Compare the Pharmacokinetics and the Safety Between a Fixed-dose Combination Administration of "BR3005" and Co-administration of "BR3005-1" and "BR3005-2" Under Fasting Conditions in Healthy Adult Volunteers</t>
  </si>
  <si>
    <t>NCT06374797</t>
  </si>
  <si>
    <t>A Study of Auxora in Patients With AKI and Injurious Lung "Crosstalk"</t>
  </si>
  <si>
    <t>NCT06202989</t>
  </si>
  <si>
    <t>Multiprofen-CC™ to Reduce Pain After Total Knee Arthroplasty</t>
  </si>
  <si>
    <t>KAZM Pharmaceuticals Inc.</t>
  </si>
  <si>
    <t>NCT06402513</t>
  </si>
  <si>
    <t>A Study in Healthy Adult Participants to Assess the Pharmacokinetics, Immunogenicity, Safety, and Tolerability of a Ravagalimab Subcutaneous Formulation in a Pre-Filled Syringe</t>
  </si>
  <si>
    <t>NCT06307613</t>
  </si>
  <si>
    <t>A Study of Efgartigimod PH20 SC Given by Prefilled Syringe in Adults With Thyroid Eye Disease</t>
  </si>
  <si>
    <t>NCT06685835</t>
  </si>
  <si>
    <t>A Study of the Efficacy and Safety of Brensocatib in Adults With Moderate to Severe Hidradenitis Suppurativa (HS)</t>
  </si>
  <si>
    <t>NCT06284915</t>
  </si>
  <si>
    <t>Study on Immunogenicity and Safety of a Meningococcal ACYW Conjugate Vaccine in Healthy Infants and Toddlers</t>
  </si>
  <si>
    <t>NCT06602726</t>
  </si>
  <si>
    <t>A Study to Demonstrate How Well REGN1908-1909 Works in Reducing Ocular Allergy Signs and Symptoms in Adult Participants With Cat Allergy</t>
  </si>
  <si>
    <t>NCT06747585</t>
  </si>
  <si>
    <t>A Study to Investigate ALE.P02 as Monotherapy in Adult Patients With Selected CLDN1+ Solid Tumors</t>
  </si>
  <si>
    <t>NCT06339008</t>
  </si>
  <si>
    <t>A Study of Lebrikizumab in Adult Participants With Perennial Allergic Rhinitis (PREPARED-1)</t>
  </si>
  <si>
    <t>NCT06667076</t>
  </si>
  <si>
    <t>A Study of Amivantamab in Combination With Lazertinib, or Amivantamab in Combination With Platinum-Based Chemotherapy, for Common Epidermal Growth Factor Receptor (EGFR)-Mutated Locally Advanced or Metastatic Non-Small Cell Lung Cancer (NSCLC)</t>
  </si>
  <si>
    <t>NCT04706013</t>
  </si>
  <si>
    <t>Oral Pyridoxal 5'-Phosphate for the Treatment of Patients With PNPO Deficiency</t>
  </si>
  <si>
    <t>Medicure</t>
  </si>
  <si>
    <t>NCT07595159</t>
  </si>
  <si>
    <t>A Study of BW-20507 in Chinese Healthy Subjects and Subjects With Chronic Hepatitis B</t>
  </si>
  <si>
    <t>NCT06310876</t>
  </si>
  <si>
    <t>A Thorough QT Study of ABBV-CLS-7262 in Healthy Subjects</t>
  </si>
  <si>
    <t>NCT06774625</t>
  </si>
  <si>
    <t>This is a Study Evaluating the Efficacy and Safety of LTG-001 for Acute Pain After Surgical Removal of Impacted Third Molars</t>
  </si>
  <si>
    <t>NCT06613685</t>
  </si>
  <si>
    <t>Study of Oral Weekly GS-1720 and GS-4182 Compared With Biktarvy in People With HIV-1 Who Have Not Been Treated</t>
  </si>
  <si>
    <t>NCT06426485</t>
  </si>
  <si>
    <t>To Evaluate the Long-term Efficacy and Safety of Toludevenlafaxine Hydrochloride Sustained-release Tablets</t>
  </si>
  <si>
    <t>NCT06713317</t>
  </si>
  <si>
    <t>A Phase I Study to Evaluate the Safety and Drug Allergy of HLB3-002 in Healthy Volunteers</t>
  </si>
  <si>
    <t>Huonslab Co., Ltd.</t>
  </si>
  <si>
    <t>NCT06508489</t>
  </si>
  <si>
    <t>A Study to Investigate Natural Killer Cell Engager (SAR443579) With Different Agents in Participants With Hematological Malignancies</t>
  </si>
  <si>
    <t>NCT06742190</t>
  </si>
  <si>
    <t>A Study to Assess the Efficacy and Safety of Empasiprubart Versus IVIg in Adults With Multifocal Motor Neuropathy</t>
  </si>
  <si>
    <t>NCT06686368</t>
  </si>
  <si>
    <t>Comparative Efficacy Study to Demonstrate the Non-inferiority of I-DROP® MGD Versus 2 Competitor Eye Drops in Managing Evaporative Dry Eye</t>
  </si>
  <si>
    <t>I-MED Pharma</t>
  </si>
  <si>
    <t>NCT06451497</t>
  </si>
  <si>
    <t>This is a Phase 1 Trial of ZM008, an Anti-LLT1 Antibody, Used as Single Agent Followed by Combination Treatment With Toripalimab in Patients With Advanced Solid Tumors</t>
  </si>
  <si>
    <t>Zumutor Biologics Inc.</t>
  </si>
  <si>
    <t>NCT06619678</t>
  </si>
  <si>
    <t>A Study of MK-8507 and Islatravir (MK-8591) in Healthy Adult Participants (MK-8507-016)</t>
  </si>
  <si>
    <t>NCT06718738</t>
  </si>
  <si>
    <t>Clinical Study of IM96 CAR-T Cell Therapy in Patients With Advanced Colorectal Cancer</t>
  </si>
  <si>
    <t>NCT06834932</t>
  </si>
  <si>
    <t>A Study to Evaluate the Efficacy, Safety, and Pharmacokinetics of AZD0780 in Participants With Dyslipidaemia</t>
  </si>
  <si>
    <t>NCT06818838</t>
  </si>
  <si>
    <t>A Clinical Study Evaluating LY-M001 Injection in the Treatment of Adult Patients With Type I Gaucher Disease</t>
  </si>
  <si>
    <t>Lingyi Biotech Co., Ltd.</t>
  </si>
  <si>
    <t>NCT06107036</t>
  </si>
  <si>
    <t>A Study in Healthy People to Test Whether Different Doses of BI 1015550 Have Potential to Induce Heart Rhythm Abnormalities</t>
  </si>
  <si>
    <t>NCT06671821</t>
  </si>
  <si>
    <t>Long-term Efficacy and Safety of HRS-7535 Tablets in Obese Subjects</t>
  </si>
  <si>
    <t>NCT06998004</t>
  </si>
  <si>
    <t>A Trial to Evaluate the Safety and Immunogenicity of an Investigational Vaccine for the Prevention of Yellow Fever, and of an Investigational Vaccine for the Prevention of Rabies, in Healthy Adults</t>
  </si>
  <si>
    <t>AstriVax Therapeutics</t>
  </si>
  <si>
    <t>NCT07290855</t>
  </si>
  <si>
    <t>A Study to Evaluate the Safety and Efficacy of Icatibant in Patients With Bradykinin Induced Angioedema</t>
  </si>
  <si>
    <t>NCT06054893</t>
  </si>
  <si>
    <t>A Study to Find Out How BIIB141 (Omaveloxolone) is Processed in the Body and to Learn More About Its Safety in Participants With Friedreich's Ataxia Aged 2 to 15 Years Old</t>
  </si>
  <si>
    <t>NCT06286033</t>
  </si>
  <si>
    <t>Single and Multiple Ascending Dose Study and Food Effect Study for AG181</t>
  </si>
  <si>
    <t>NCT05833958</t>
  </si>
  <si>
    <t>Polypill Versus Metformin in New Onset Type 2 Diabetes</t>
  </si>
  <si>
    <t>NCT06747858</t>
  </si>
  <si>
    <t>Safety, Tolerability and Efficacy Study of ARCT-032 in People With Cystic Fibrosis</t>
  </si>
  <si>
    <t>NCT06559306</t>
  </si>
  <si>
    <t>Phase 3 Study of Adjunctive Treatment With Seltorexant in Adult and Elderly Participants With Major Depressive Disorder and Insomnia Symptoms</t>
  </si>
  <si>
    <t>NCT06532006</t>
  </si>
  <si>
    <t>A Phase Ⅲ Clinical Study of HLX22 in Combination With Trastuzumab and Chemotherapy for the Treatment of Gastroesophageal Junction and Gastric Cancer</t>
  </si>
  <si>
    <t>NCT06200467</t>
  </si>
  <si>
    <t>A Study to Test Whether Multiple Doses of BI 456906 Have an Effect on Cardiac Safety in People With Overweight or Obesity</t>
  </si>
  <si>
    <t>NCT06619509</t>
  </si>
  <si>
    <t>A Study to Test Long-term Treatment With Brigimadlin in People With Solid Tumours Who Took Part in a Previous Study With This Medicine</t>
  </si>
  <si>
    <t>NCT06260709</t>
  </si>
  <si>
    <t>A Research Study to Look at Long-term Treatment With a Medicine Called NNC6019-0001 for People Who Have Heart Failure Due to Transthyretin Amyloidosis</t>
  </si>
  <si>
    <t>NCT06331299</t>
  </si>
  <si>
    <t>A Phase 3 Study of UGN-103 for Treatment of Patients With Low-grade Intermediate-risk Non-muscle Invasive Bladder Cancer</t>
  </si>
  <si>
    <t>NCT06532032</t>
  </si>
  <si>
    <t>A Study of Combination Therapy With Amivantamab and Docetaxel in Participants With Metastatic Non-small Cell Lung Cancer</t>
  </si>
  <si>
    <t>NCT06194799</t>
  </si>
  <si>
    <t>ACP-204 in Adults With Alzheimer's Disease Psychosis Open Label Extension Study</t>
  </si>
  <si>
    <t>NCT06288893</t>
  </si>
  <si>
    <t>SHEN211 Tablets for the Treatment of Mild and Moderate Novel Corona Virus Infections (COVID-19)</t>
  </si>
  <si>
    <t>NCT06220604</t>
  </si>
  <si>
    <t>A Study of JNJ-77242113 for the Treatment of Participants With Moderate to Severe Plaque Psoriasis (ICONIC-ADVANCE 2)</t>
  </si>
  <si>
    <t>NCT06467409</t>
  </si>
  <si>
    <t>Phase II Clinical Trial to Evaluate the Efficacy and Safety of LPM3480392 Injection for Moderate to Severe Pain After Orthopedic Surgery</t>
  </si>
  <si>
    <t>NCT06630299</t>
  </si>
  <si>
    <t>Study to Compare an Oral Weekly Islatravir/Lenacapavir Regimen With Standard of Care in Virologically Suppressed People With HIV-1</t>
  </si>
  <si>
    <t>NCT06513104</t>
  </si>
  <si>
    <t>A Research Study Looking Into the Effect of NNC0519-0130 on Blood Levels of a Birth Control Pill and Emptying of the Stomach in Women After Menopause</t>
  </si>
  <si>
    <t>NCT06736587</t>
  </si>
  <si>
    <t>Phase 1 Clinical Trial to Evaluate Safety, Tolerability, Pharmacokinetics and Pharmacodynamics of DWP212525 in Healthy Volunteers</t>
  </si>
  <si>
    <t>NCT06359912</t>
  </si>
  <si>
    <t>Safety and Preliminary Efficacy of Allogeneic Endothelial Progenitor Cells (EPCs) in Patients With Critical Limb Ischemia</t>
  </si>
  <si>
    <t>NCT06182592</t>
  </si>
  <si>
    <t>A Bridging Study of Liposomal Cytarabine-Daunorubicin in Treating Olderly Patients With Treatment-naive High-Risk (Secondary) Acute Myeloid Leukemia</t>
  </si>
  <si>
    <t>NCT06255964</t>
  </si>
  <si>
    <t>A Study of IAP0971 in Combination With Bacillus Calmette Guerin in High Risk Non-muscular Invasive Bladder Cancer</t>
  </si>
  <si>
    <t>NCT06194201</t>
  </si>
  <si>
    <t>A Trial of Intravenous HRS9432 in the Treatment of Subjects With Candidemia and/or Invasive Candidiasis</t>
  </si>
  <si>
    <t>NCT06524830</t>
  </si>
  <si>
    <t>A Study to Assess the Efficacy, Safety and Tolerability of VLS-01 Buccal Film, Compared to Placebo in Patients With Treatment Resistant Depression (ELUMINA)</t>
  </si>
  <si>
    <t>NCT06363292</t>
  </si>
  <si>
    <t>Study to Evaluate the Safety and Tolerability of PRO-231 Versus VIGAMOXI® on the Ocular Surface of Healthy Subjects</t>
  </si>
  <si>
    <t>NCT06602232</t>
  </si>
  <si>
    <t>A Study of DR-01 in Subjects With Alopecia Areata and Vitiligo</t>
  </si>
  <si>
    <t>NCT06163430</t>
  </si>
  <si>
    <t>A Phase 1/2 Clinical Study to Evaluate the Safety, Tolerability, Pharmacokinetics, and Efficacy of TERN-701 in Participants With Chronic Myeloid Leukemia (CARDINAL)</t>
  </si>
  <si>
    <t>NCT06246565</t>
  </si>
  <si>
    <t>A Study of HS-10383 in Chinese Adult Subjects With Refractory or Unexplained Chronic Cough (RUCC)</t>
  </si>
  <si>
    <t>NCT06375044</t>
  </si>
  <si>
    <t>Study of SIM0500 Alone in Participants With Relapsed or Refractory Multiple Myeloma</t>
  </si>
  <si>
    <t>NCT06500299</t>
  </si>
  <si>
    <t>Evaluate the Safety and Efficacy of HDM1002 Tablets in Overweight and Obese Adults</t>
  </si>
  <si>
    <t>NCT06669351</t>
  </si>
  <si>
    <t>Study to Assess the Safety and Efficacy of ZX-7101A in Children Aged 5-11 Years With Influenza</t>
  </si>
  <si>
    <t>NCT06745557</t>
  </si>
  <si>
    <t>Phase III Study with an Autologous Dermo-epidermal Skin Substitute for the Treatment of Burns in Adults and Adolescents</t>
  </si>
  <si>
    <t>CUTISS AG</t>
  </si>
  <si>
    <t>NCT06458712</t>
  </si>
  <si>
    <t>Study to Assess Safety, Tolerability and Activity of DSB2455 in Participants With Advanced Malignancies</t>
  </si>
  <si>
    <t>Duke Street Bio Ltd</t>
  </si>
  <si>
    <t>NCT06531486</t>
  </si>
  <si>
    <t>A Study of XS-02 Capsules in Patients With Advanced Solid Tumors</t>
  </si>
  <si>
    <t>NovaOnco Therapeutics Co., Ltd.</t>
  </si>
  <si>
    <t>NCT06381466</t>
  </si>
  <si>
    <t>A Study to Investigate Safety, Tolerability, and Pharmacokinetics of Oral AZD0233 Compared With Placebo in Healthy Adult Participants.</t>
  </si>
  <si>
    <t>NCT06734351</t>
  </si>
  <si>
    <t>A Study to Evaluate Safety and Effectiveness of NOA VOLUME Injectable Gel in Adult Participants Compared to JUVÉDERM VOLUMA XC for Improvement of Mid-Face Volume</t>
  </si>
  <si>
    <t>NCT06507605</t>
  </si>
  <si>
    <t>Dose-Escalating Study of Pfs230D1 in Combination With R21 in Matrix-M in African Adults</t>
  </si>
  <si>
    <t>NCT06515002</t>
  </si>
  <si>
    <t>A Study to Test How Well BI 3720931 is Tolerated and Whether it Improves Lung Function in People With Cystic Fibrosis (Lenticlair™ 1)</t>
  </si>
  <si>
    <t>NCT06664502</t>
  </si>
  <si>
    <t>A 2-part Study Consisting of a Multiple Ascending Dose Safety Study in Participants With Macular Edema Following Branch Retinal Vein Occlusion and a Dose-finding Safety and Preliminary Efficacy Study in Participants With Either Diabetic Macular Edema or Neovascular Age-related Macular Degeneration</t>
  </si>
  <si>
    <t>NCT06502977</t>
  </si>
  <si>
    <t>Study Evaluating Tarlatamab in Chinese Participants With Advanced Small Cell Lung Cancer After Two or More Prior Lines of Treatment</t>
  </si>
  <si>
    <t>NCT02546102</t>
  </si>
  <si>
    <t>Phase 3 Randomized, Double-blind, Controlled Study of ICT-107 in Glioblastoma</t>
  </si>
  <si>
    <t>Precision Life Sciences Group</t>
  </si>
  <si>
    <t>NCT06360081</t>
  </si>
  <si>
    <t>A Study in Healthy People to See How Zongertinib is Taken up Into the Blood When Given as Tablets Made by Two Different Manufacturers</t>
  </si>
  <si>
    <t>NCT06604767</t>
  </si>
  <si>
    <t>Study of a Respiratory Syncytial Virus/Human Metapneumovirus/Parainfluenza Virus Type 3 Vaccine Candidate in Adults Aged 60 Years and Older</t>
  </si>
  <si>
    <t>NCT06394167</t>
  </si>
  <si>
    <t>A Phase 1 Dose Escalation Study of Intravenous VX-993 in Healthy Adults</t>
  </si>
  <si>
    <t>NCT06502366</t>
  </si>
  <si>
    <t>A Study to Investigate the Effect on Lung Function of BDA Formulated With a Next Generation Propellant Compared With an Approved Asthma Treatment (BDA With HFA Propellant) in Participants With Asthma</t>
  </si>
  <si>
    <t>NCT06605222</t>
  </si>
  <si>
    <t>A Trial of SHR-7787 Injection in Patients With Advanced Solid Tumors</t>
  </si>
  <si>
    <t>NCT06363851</t>
  </si>
  <si>
    <t>Single-ascending Dose Study of Kylo-11 in Healthy Subjects</t>
  </si>
  <si>
    <t>NCT06179875</t>
  </si>
  <si>
    <t>An Open-label Study (OLE) for Non-responders of VRDN-001-101 (NCT05176639) and VRDN-001-301 (NCT06021054)</t>
  </si>
  <si>
    <t>NCT06293365</t>
  </si>
  <si>
    <t>Two-period Crossover Study to Demonstrate the Comparability of Pharmacokinetics of Subcutaneous Ianalumab Between 2mL Auto-injector/2mL PFS with1mL Pre-filled Syringe in Adult Participants With Autoimmune Disease</t>
  </si>
  <si>
    <t>NCT06393712</t>
  </si>
  <si>
    <t>A Phase 2 Trial of ALN-APP in Patients With Cerebral Amyloid Angiopathy</t>
  </si>
  <si>
    <t>NCT06816667</t>
  </si>
  <si>
    <t>Safety, Tolerability, and Efficacy of Sublingual Microdoses of 5-MeO-DMT for Depression and Anxiety</t>
  </si>
  <si>
    <t>NCT06560632</t>
  </si>
  <si>
    <t>Phase 1 Trial of RP-3467 Alone and in Combination With Olaparib in Participants With Advanced Solid Tumors</t>
  </si>
  <si>
    <t>NCT06256445</t>
  </si>
  <si>
    <t>Evaluate the Efficacy and Safety of AYP-101 for the Reduction of Submental Fat in Chin Area</t>
  </si>
  <si>
    <t>NCT06238544</t>
  </si>
  <si>
    <t>Long-term Safety and Tolerability of HRS-5965 in Patients With Paroxysmal Nocturnal Hemoglobinuria</t>
  </si>
  <si>
    <t>NCT06264453</t>
  </si>
  <si>
    <t>A Study to Evaluate the Efficacy and Safety of KH001 in Patients with Dentin Hypersensitivity</t>
  </si>
  <si>
    <t>NCT06314828</t>
  </si>
  <si>
    <t>A Tolerability, Safety and Efficacy Study of RJMty19 in Subjects With Relapsed or Refractory B-NHL</t>
  </si>
  <si>
    <t>NCT06568367</t>
  </si>
  <si>
    <t>Studying Solriamfetol Modulation of TAAR-1, Dopamine, and Norepinephrine in Shift Work Disorder (SUSTAIN)</t>
  </si>
  <si>
    <t>NCT06403267</t>
  </si>
  <si>
    <t>NoNO-42 Trial in Acute Ischemic Stroke Patients Selected for Thrombolysis With or Without Endovascular Thrombectomy</t>
  </si>
  <si>
    <t>NCT06598072</t>
  </si>
  <si>
    <t>Comparative Study to Evaluate the Efficacy of an Alcohol-free Mouthwash Regimen With CPC+Zn, Flossing and Brushing, and an Alcohol-based Mouthwash Regimen With Essential Oils in Reducing Plaque and Gingivitis.</t>
  </si>
  <si>
    <t>NCT06487039</t>
  </si>
  <si>
    <t>Trial to Evaluate the Safety and Efficacy of EB-203 in Patients With Neovascular Age-related Macular Degeneration</t>
  </si>
  <si>
    <t>NCT06312475</t>
  </si>
  <si>
    <t>Efficacy and Safety of KN057 Prophylaxis in Patients With Haemophilia A or B With Inhibitors</t>
  </si>
  <si>
    <t>NCT05957081</t>
  </si>
  <si>
    <t>Study to Assess the Safety, Tolerability, and Blood Concentration of PMC-309</t>
  </si>
  <si>
    <t>NCT06458595</t>
  </si>
  <si>
    <t>Safety and Tolerability of KH658 Gene Therapy in Subjects With Neovascular Age-related Macular Degeneration (nAMD)</t>
  </si>
  <si>
    <t>NCT06532565</t>
  </si>
  <si>
    <t>Study of GS-2121 Given Alone or in Combination in Adults With Advanced Solid Tumors</t>
  </si>
  <si>
    <t>NCT06279364</t>
  </si>
  <si>
    <t>A Study of SKB264 Versus Investigator's Choice Chemotherapy in Patients With Unresectable Recurrent or Metastatic Triple-Negative Breast Cancer</t>
  </si>
  <si>
    <t>NCT06922253</t>
  </si>
  <si>
    <t>Bioequivalence Study to Compare Sacubitril and Valsartan Tablets (97mg/103mg) Versus Entresto® (Sacubitril and Valsartan) Tablets (97 mg/103 mg)</t>
  </si>
  <si>
    <t>NCT06664853</t>
  </si>
  <si>
    <t>Open-Label Extension of EryDex Study IEDAT-04-2022</t>
  </si>
  <si>
    <t>NCT06548139</t>
  </si>
  <si>
    <t>Rabies mAb CBB 1 Combination Vaccine in Healthy People With Antibody Neutralization Activity and Safety Phase Clinical Trials</t>
  </si>
  <si>
    <t>NCT06603077</t>
  </si>
  <si>
    <t>A Study to Evaluate the Efficacy and Safety of AVTX-009 in Patients With Moderate to Severe Hidradenitis Suppurativa</t>
  </si>
  <si>
    <t>NCT06424665</t>
  </si>
  <si>
    <t>A Study of FZ-AD005 in Patients With Advanced Solid Tumors</t>
  </si>
  <si>
    <t>NCT06515834</t>
  </si>
  <si>
    <t>Investigating the Safety, Tolerability, Immunogenicity and Pharmacokinetics of Olamkicept in Healthy Japanese Persons</t>
  </si>
  <si>
    <t>NCT06468228</t>
  </si>
  <si>
    <t>A Study to Assess Disease Activity and Safety of Lutikizumab in Adult and Adolescent Participants With Moderate to Severe Hidradenitis Suppurativa</t>
  </si>
  <si>
    <t>NCT06219499</t>
  </si>
  <si>
    <t>Safety, Tolerability, Immunogenicity and Pharmacokinetics of ONC-841</t>
  </si>
  <si>
    <t>NCT06478563</t>
  </si>
  <si>
    <t>A Research Study Looking at Different Oral Formulations and the Effect of Food Intake on How the Medicine NNC0487-0111 Behaves in the Body of Participants Living With Overweight or Obesity</t>
  </si>
  <si>
    <t>NCT06051721</t>
  </si>
  <si>
    <t>A Study of a N, N-dimethyltryptamine (DMT) Analog (CYB004) in Participants With Generalized Anxiety Disorder (GAD)</t>
  </si>
  <si>
    <t>NCT03997318</t>
  </si>
  <si>
    <t>Japanese Bridging Study of Autologous Muscle Derived Cells Compared to Placebo for Female Urinary Sphincter Repair(JPN1)</t>
  </si>
  <si>
    <t>NCT07188610</t>
  </si>
  <si>
    <t>PA3-17 Injection in Adult Patients With CD7-positive Relapsed/Refractory T-lymphoblastic Leukemia/Lymphoma</t>
  </si>
  <si>
    <t>NCT07327359</t>
  </si>
  <si>
    <t>A Study to Evaluate Safety and Efficacy of OLX72021 in Healthy Males With Androgenetic Alopecia</t>
  </si>
  <si>
    <t>NCT07079579</t>
  </si>
  <si>
    <t>Enarodustat Tablets at Different Initial Doses for Anemia in Non-dialysis CKD Patients</t>
  </si>
  <si>
    <t>NCT06842186</t>
  </si>
  <si>
    <t>A Phase 1/2a Study of WVE-007 in Adults Living With Overweight or Obesity</t>
  </si>
  <si>
    <t>NCT06832618</t>
  </si>
  <si>
    <t>A Study to Assess the Efficacy and Safety of Ruxolitinib Cream in Children and Adolescents (6 to &lt;18 Years Old) With Moderate Atopic Dermatitis</t>
  </si>
  <si>
    <t>NCT06846554</t>
  </si>
  <si>
    <t>A Trial of "APL-9796'' in Adults With Pulmonary Hypertension</t>
  </si>
  <si>
    <t>NCT06723405</t>
  </si>
  <si>
    <t>Efficacy Study of EVO301 in Moderate to Severe Atopic Dermatitis</t>
  </si>
  <si>
    <t>NCT06887959</t>
  </si>
  <si>
    <t>A Single-arm Study Evaluating the Effectiveness and Safety of Suzetrigine (SUZ) for Acute Pain After Selected Surgeries</t>
  </si>
  <si>
    <t>NCT06564883</t>
  </si>
  <si>
    <t>Hydration and Acceptability of the Genital and Skin Mucosa of a Vaginal Moisturizer in Menopausal Women</t>
  </si>
  <si>
    <t>NCT06738017</t>
  </si>
  <si>
    <t>Study of BMN 349 Single Dose in PiZZ and PiMZ/MASH Adult Participants</t>
  </si>
  <si>
    <t>NCT06233903</t>
  </si>
  <si>
    <t>18F-mFBG Expression in Neural Crest Tumors and Organs Innervated by the Sympathetic Nervous System</t>
  </si>
  <si>
    <t>NCT06897683</t>
  </si>
  <si>
    <t>A Study to Learn if the Study Medicine Called Carbamazepine Changes How the Body Processes PF-07220060</t>
  </si>
  <si>
    <t>NCT07088588</t>
  </si>
  <si>
    <t>Study of SYN608 for the Treatment of Advanced or Metastatic Solid Tumors</t>
  </si>
  <si>
    <t>NCT07083362</t>
  </si>
  <si>
    <t>Safety, Tolerability and Pharmacokinetic Study of HRS-8829</t>
  </si>
  <si>
    <t>NCT06989788</t>
  </si>
  <si>
    <t>A Study to Evaluate the Safety and Immunogenicity of an Investigational Vaccine for Chronic Hepatitis B Virus Infection, in Healthy Adults</t>
  </si>
  <si>
    <t>NCT07146191</t>
  </si>
  <si>
    <t>RE104 Radiolabeled Mass Balance (hAME) Study</t>
  </si>
  <si>
    <t>NCT06858696</t>
  </si>
  <si>
    <t>A Study to Investigate Pharmacokinetics (PK) and Safety of a Single Dose of Mavorixafor in Participants With Hepatic Impairment (HI) Compared to Matched Healthy Volunteers With Normal Hepatic Function</t>
  </si>
  <si>
    <t>NCT06992583</t>
  </si>
  <si>
    <t>Targeted Anti-CEA CAR-T Immunotherapy for Advanced Lung Cancer</t>
  </si>
  <si>
    <t>NCT07133802</t>
  </si>
  <si>
    <t>Clinical Trial to Evaluate the Protective Efficacy and Safety of a Nasal Spray Live Attenuated Influenza Vaccine (LAIV) in Adults Aged 18-59 Years Post-Vaccination</t>
  </si>
  <si>
    <t>NCT07245953</t>
  </si>
  <si>
    <t>A Clinical Study of HT-101 and HT-102 in Patients With Chronic Hepatitis B Virus Infection</t>
  </si>
  <si>
    <t>NCT06672900</t>
  </si>
  <si>
    <t>A Multi-part Study of ALG-000184 to Evaluate Safety, Tolerability, Pharmacokinetics and Drug-drug Interaction Potential After Single and Multiple Doses in Healthy Volunteers</t>
  </si>
  <si>
    <t>NCT07225712</t>
  </si>
  <si>
    <t>A Long-term Administration Trial of SEP-363856 in Patients With Schizophrenia</t>
  </si>
  <si>
    <t>NCT06068881</t>
  </si>
  <si>
    <t>A Study to Assess Efficacy and Safety of Oral Tazemetostat in Adult Participants With Relapsed/Refractory Follicular Lymphoma That Does Not Have an "EZH2 Gain-of-function" Genetic Mutation</t>
  </si>
  <si>
    <t>NCT06685965</t>
  </si>
  <si>
    <t>A Study to Evaluate Effects on Sleep and Safety of RE03 in PTSD Patients With Sleep Disturbances</t>
  </si>
  <si>
    <t>NCT07284667</t>
  </si>
  <si>
    <t>ACP-211 Monotherapy for Major Depressive Disorder With Inadequate Antidepressant Response</t>
  </si>
  <si>
    <t>NCT06891872</t>
  </si>
  <si>
    <t>Study of Live Attenuated Varicella Vaccine Co-administered with MMR Vaccine or DTaP Vaccine</t>
  </si>
  <si>
    <t>NCT07225946</t>
  </si>
  <si>
    <t>A Study of Pasritamig With Docetaxel Versus Docetaxel in Participants With Metastatic Castration-Resistant Prostate Cancer</t>
  </si>
  <si>
    <t>NCT07040046</t>
  </si>
  <si>
    <t>HS-10542 Study in Healthy Participants</t>
  </si>
  <si>
    <t>NCT06938269</t>
  </si>
  <si>
    <t>A Study to Evaluate MWN109 Tablets in Healthy Adult Participants</t>
  </si>
  <si>
    <t>Shanghai Minwei Biotechnology Co., Ltd</t>
  </si>
  <si>
    <t>NCT06855745</t>
  </si>
  <si>
    <t>Phase 2 Randomized Double-blind Study to Assess Topical Zabalafin Hydrogel Vs Vehicle in Mild to Moderate AD.</t>
  </si>
  <si>
    <t>Alphyn Biologics</t>
  </si>
  <si>
    <t>NCT07083739</t>
  </si>
  <si>
    <t>A Study on the Safety and Efficacy of TQB3473 Tablets in the Treatment of Persistent or Chronic Primary Immune Thrombocytopenia (ITP) in Adults</t>
  </si>
  <si>
    <t>NCT07024277</t>
  </si>
  <si>
    <t>Study of ZG006 in Participants With Neuroendocrine Prostate Cancer</t>
  </si>
  <si>
    <t>NCT06589830</t>
  </si>
  <si>
    <t>TL938 and Trastuzumab for Patients With HER2-positive Metastatic Colorectal Cancer</t>
  </si>
  <si>
    <t>Suzhou Teligene Ltd.</t>
  </si>
  <si>
    <t>NCT07256600</t>
  </si>
  <si>
    <t>PK and Safety Comparison of DWJ445 and DWC202506 in Healthy Volunteers</t>
  </si>
  <si>
    <t>NCT07005336</t>
  </si>
  <si>
    <t>A Study to Compare Uliledlimab Combined With Sintilimab and Chemotherapy Versus Sintilimab Combined With Chemotherapy in Patients With Previously Untreated Locally Advanced Unresectable or Metastatic Non-small Cell Lung Cancer</t>
  </si>
  <si>
    <t>NCT06865105</t>
  </si>
  <si>
    <t>Study of Targeted Therapies for the Treatment of Adult Participants With Active Psoriatic Arthritis</t>
  </si>
  <si>
    <t>NCT06889701</t>
  </si>
  <si>
    <t>A Phase 1/2 Study to Evaluate the Safety, PK and Efficacy of TNP-2092 Administered Via IA Injection in PJI Participants</t>
  </si>
  <si>
    <t>NCT07134465</t>
  </si>
  <si>
    <t>Clinical Study to Evaluate the Effect of Itraconazole on the Pharmacokinetics of HSK31858 in Healthy Subjects</t>
  </si>
  <si>
    <t>NCT06780267</t>
  </si>
  <si>
    <t>Clinical Study of HRS-2129 for Postoperative Analgesia in Orthopaedics</t>
  </si>
  <si>
    <t>NCT07229807</t>
  </si>
  <si>
    <t>Efficacy and Safety of ZSP1273 in Children 2-11 Years Old With Influenza A</t>
  </si>
  <si>
    <t>NCT06995729</t>
  </si>
  <si>
    <t>A Study to Learn About the Study Medicine Called Zavegepant (PF-07930207) in Children With a History of Migraine</t>
  </si>
  <si>
    <t>NCT06840080</t>
  </si>
  <si>
    <t>OEA and LipiSperse Metabolic Study</t>
  </si>
  <si>
    <t>NCT06868446</t>
  </si>
  <si>
    <t>Feasibility of a Digital Therapeutic for Adults With Posttraumatic Stress Disorder (PTSD)</t>
  </si>
  <si>
    <t>NCT07226986</t>
  </si>
  <si>
    <t>A Phase Ib/II Open-label Study of AMO959 With Lutetium (177Lu) Vipivotide Tetraxetan (AAA617) in Combination With ARPI in Adult Participants With PSMA-positive mCRPC</t>
  </si>
  <si>
    <t>NCT06935370</t>
  </si>
  <si>
    <t>A Study to Test Whether Vicadrostat (BI 690517) in Combination With Empagliflozin Helps People With Heart Failure and a Weak Pumping Function of the Left Side of the Heart</t>
  </si>
  <si>
    <t>NCT06892639</t>
  </si>
  <si>
    <t>Evaluation of D-Fi for the Treatment of Wounds Due to DEB</t>
  </si>
  <si>
    <t>NCT06857253</t>
  </si>
  <si>
    <t>A Study to Assess the Safety, Tolerability, Pharmacokinetics and Pharmacodynamics of HRS-1301 in Healthy Subjects</t>
  </si>
  <si>
    <t>NCT07062588</t>
  </si>
  <si>
    <t>Osteogenesis Imperfecta Trial of AGA2115 for ADUlts With COL1A1 and/or COL1A2 GeNetic Variations (IDUN)</t>
  </si>
  <si>
    <t>NCT07650227</t>
  </si>
  <si>
    <t>Clinical Trial of the Efficacy and Safety of Raphamin in the Treatment of Acute Bronchitis in Adult Patients</t>
  </si>
  <si>
    <t>NCT05062902</t>
  </si>
  <si>
    <t>A Novel Medical System for Quantitative Diagnosis and Personalized Precision Botulinum Neurotoxin Injection in Chronic Pelvic Pain Management</t>
  </si>
  <si>
    <t>HillMed Inc.</t>
  </si>
  <si>
    <t>NCT06941077</t>
  </si>
  <si>
    <t>A Study to Evaluate the Relative Bioavailability of New Formulations of INCB057643 Tablets Administered Orally in Healthy Participants</t>
  </si>
  <si>
    <t>NCT06800261</t>
  </si>
  <si>
    <t>Clinical Trial of PCV24 in Infants Aged 2-23 Months</t>
  </si>
  <si>
    <t>NCT07288554</t>
  </si>
  <si>
    <t>A Study of BBT002 in Healthy Volunteers (HVs) and in Patients With Chronic Obstructive Pulmonary Disease (COPD)</t>
  </si>
  <si>
    <t>Bambusa Therapeutics</t>
  </si>
  <si>
    <t>NCT07102251</t>
  </si>
  <si>
    <t>A Study to Evaluate the Safety, Tolerability, PK/PD of HEC-007 Injection in Healthy and Overweight/Obese Subjects</t>
  </si>
  <si>
    <t>NCT07195461</t>
  </si>
  <si>
    <t>Feasibility Study Evaluating the Safety and Effectiveness of Magnetic Bead Tracking System When Used With a Bionic External Prosthesis</t>
  </si>
  <si>
    <t>MuscleMetrix, LLC</t>
  </si>
  <si>
    <t>NCT07029139</t>
  </si>
  <si>
    <t>A Study to Learn More About the Effects and Safety of JMT601 in Adults With Primary Membranous Nephropathy</t>
  </si>
  <si>
    <t>NCT07052253</t>
  </si>
  <si>
    <t>A Phase II Clinical Study of AK104/AK112 in Combination With TT-00420 Tablet for Advanced HCC.</t>
  </si>
  <si>
    <t>NCT07156539</t>
  </si>
  <si>
    <t>A Phase 3 Study of HS-20094 in Patients With T2DM</t>
  </si>
  <si>
    <t>NCT06897475</t>
  </si>
  <si>
    <t>A Study of LY3457263 Compared With Placebo in Participants With Type 2 Diabetes on a Stable Dose of Semaglutide or Tirzepatide</t>
  </si>
  <si>
    <t>NCT07136805</t>
  </si>
  <si>
    <t>A Phase 3 Study of VVN461 Ophthalmic Solution for Noninfectious Anterior Uveitis</t>
  </si>
  <si>
    <t>NCT07145151</t>
  </si>
  <si>
    <t>A Study of UBT251 in Participants With Metabolic Dysfunction-Associated Steatohepatitis (MASH)</t>
  </si>
  <si>
    <t>The United Bio-Technology (Hengqin) Co., Ltd.</t>
  </si>
  <si>
    <t>NCT06962839</t>
  </si>
  <si>
    <t>A Study to Test Whether BI 1815368 Helps People With an Eye Condition Called Diabetic Macular Edema</t>
  </si>
  <si>
    <t>NCT07266337</t>
  </si>
  <si>
    <t>CD19/BCMA CAR-T for SLE</t>
  </si>
  <si>
    <t>Chengdu Ucello Biotechnology Co., Ltd.</t>
  </si>
  <si>
    <t>NCT07174310</t>
  </si>
  <si>
    <t>A Study to Evaluate the Efficacy and Safety of Intravenous (IV) Prasinezumab in Participants With Early-Stage Parkinson's Disease</t>
  </si>
  <si>
    <t>NCT06851559</t>
  </si>
  <si>
    <t>A Study in Adult Participants With EoE to Evaluate Vonoprazan 20 mg Compared to Placebo After 12 Weeks and to Evaluate Vonoprazan 20 mg Up to 24 Weeks</t>
  </si>
  <si>
    <t>NCT06794996</t>
  </si>
  <si>
    <t>Inaxaplin in Participants With Proteinuric APOL1 Mediated Kidney Disease With or Without Comorbidities</t>
  </si>
  <si>
    <t>NCT07136103</t>
  </si>
  <si>
    <t>A Study to Evaluate the Safety, Tolerability, Pharmacokinetics and Immunogenicity of ABBV-277 in Healthy Adult Participants</t>
  </si>
  <si>
    <t>NCT06991556</t>
  </si>
  <si>
    <t>An Open-label Study of JSB462 (Luxdegalutamide) in Combination With Abiraterone in Adult Male Patients With Metastatic Hormone-sensitive Prostate Cancer (mHSPC)</t>
  </si>
  <si>
    <t>NCT07132827</t>
  </si>
  <si>
    <t>Efficacy and Safety of SHR-1905 Injection in Subjects With Chronic Rhinosinusitis With Nasal Polyps</t>
  </si>
  <si>
    <t>NCT06982508</t>
  </si>
  <si>
    <t>Evaluation of Obicetrapib on Antioxidant Levels in Plasma and HDL Particles of Healthy Volunteers</t>
  </si>
  <si>
    <t>NCT06816017</t>
  </si>
  <si>
    <t>A Study to Evaluate Eciskafusp Alfa in Combination With Bacillus Calmette-guerin (BCG) in Participants With BCG-unresponsive High-risk Non-muscle Invasive Bladder Cancer (NMIBC)</t>
  </si>
  <si>
    <t>NCT06925659</t>
  </si>
  <si>
    <t>A Study of QLM2011 in Subjects With Advanced Solid Tumors</t>
  </si>
  <si>
    <t>NCT07235046</t>
  </si>
  <si>
    <t>A Study of DII235 in Adults With Elevated Lipoprotein(a)</t>
  </si>
  <si>
    <t>NCT07244380</t>
  </si>
  <si>
    <t>Phase II Trial of S101 Autologous Anti-CD7 CAR-T Cells in Patients With R/R T-LBL/ALL.</t>
  </si>
  <si>
    <t>NCT06701669</t>
  </si>
  <si>
    <t>JUST BREATHE, Breathing Life Into Innovative Therapies for ARDS- Cohort B: Paridiprubart</t>
  </si>
  <si>
    <t>PPD Development, LP</t>
  </si>
  <si>
    <t>NCT06915142</t>
  </si>
  <si>
    <t>A Phase II Clinical Study of HRS-7058 in Combination With Antitumor Drugs in Patients With Advanced Malignant Tumour</t>
  </si>
  <si>
    <t>NCT07116694</t>
  </si>
  <si>
    <t>Assessment of Acute Psychomotor Agitation Measures Associated With Schizophrenia and Bipolar Disorder</t>
  </si>
  <si>
    <t>NCT06878261</t>
  </si>
  <si>
    <t>A Study to Investigate the Efficacy and Safety of Tezepelumab in Adult Participants With Moderate to Very Severe COPD (D5241C00007)</t>
  </si>
  <si>
    <t>NCT06989983</t>
  </si>
  <si>
    <t>A Study Designed to Assess the Mass Balance Recovery, Absorption, Metabolism, Excretion of [14C]AZD5462 and the Absolute Bioavailability of AZD5462</t>
  </si>
  <si>
    <t>NCT07275853</t>
  </si>
  <si>
    <t>Personalized KXV01 Lentinvivo (TCR) Injection as the Therapy for Advanced Solid Tumors</t>
  </si>
  <si>
    <t>NCT07287644</t>
  </si>
  <si>
    <t>A Study Evaluating BFB759 in Moderate to Severe Hidradenitis Suppurativa</t>
  </si>
  <si>
    <t>Bluefin Biomedicine, Inc.</t>
  </si>
  <si>
    <t>NCT06508931</t>
  </si>
  <si>
    <t>Safety and Efficacy Study of Zamtocabtagene Autoleucel (MB-CART2019.1) in Pediatric Patients With R/R B-Cell Neoplasms</t>
  </si>
  <si>
    <t>NCT06790966</t>
  </si>
  <si>
    <t>Phase 3 Study of PDS0101 and Pembrolizumab in HPV16+ Recurrent/Metastatic Head and Neck Squamous Cell Carcinoma</t>
  </si>
  <si>
    <t>NCT07025551</t>
  </si>
  <si>
    <t>A Clinical Study of MK-8527 in Participants With Mild and Moderate Hepatic Impairment (MK-8527-015)</t>
  </si>
  <si>
    <t>NCT07100730</t>
  </si>
  <si>
    <t>Study of TLX101-Tx Plus Standard of Care (SoC) Versus SoC Alone for the Treatment of Patients With Recurrent Glioblastoma</t>
  </si>
  <si>
    <t>NCT07201467</t>
  </si>
  <si>
    <t>To Assess the Safety, Tolerability, Pharmacokinetics and Pharmacodynamics of KN060 in ESRD Dialysis Patients</t>
  </si>
  <si>
    <t>NCT07024212</t>
  </si>
  <si>
    <t>Phase II Study Evaluating the Efficacy and Safety of DR10624 Injection in MASLD and MetALD Subjects</t>
  </si>
  <si>
    <t>NCT06975319</t>
  </si>
  <si>
    <t>Phase I Study With V-212 Vaccinations in Healthy Adult Volunteers</t>
  </si>
  <si>
    <t>NCT06810544</t>
  </si>
  <si>
    <t>Safety and Tolerability of TNG456 Alone and in Combination With Abemaciclib in Patients With Solid Tumors With MTAP Loss</t>
  </si>
  <si>
    <t>NCT06754644</t>
  </si>
  <si>
    <t>A Study to Evaluate Efficacy, and Safety of QL2107 Plus Chemo and Compare With Keytruda in Participants With IV nqNSCLC</t>
  </si>
  <si>
    <t>NCT06816251</t>
  </si>
  <si>
    <t>A Phase II Clinical Study of HRS-1893 in Non-obstructive Hypertrophic Cardiomyopathy</t>
  </si>
  <si>
    <t>NCT07055451</t>
  </si>
  <si>
    <t>Study of Bictegravir/Emtricitabine/Tenofovir Alafenamide in Newborns Exposed to HIV</t>
  </si>
  <si>
    <t>NCT06880081</t>
  </si>
  <si>
    <t>Study of PN20 in Adult Patients With Primary Immune Thrombocytopenia (ITP)</t>
  </si>
  <si>
    <t>NCT07345130</t>
  </si>
  <si>
    <t>A Bioequivalence Study of Advil Tablet (Mini) (Ibuprofen 200 mg) Versus Advil Tablet (Ibuprofen 200 mg) in Healthy Adult Subjects Under Fasted Conditions and Bioavailability Assessment of Advil Tablet (Mini) Under Fed Conditions</t>
  </si>
  <si>
    <t>NCT07185269</t>
  </si>
  <si>
    <t>The Purpose of This Study is to Evaluate the Efficacy and Safety of 626 in the Treatment of SLE</t>
  </si>
  <si>
    <t>NCT06995677</t>
  </si>
  <si>
    <t>Efficacy and Safety of TYRA-300 in Participants With FGFR3 Altered Low Grade, Intermediate Risk Non-Muscle Invasive Bladder Cancer</t>
  </si>
  <si>
    <t>NCT07334119</t>
  </si>
  <si>
    <t>Safety, Pharmacokinetics, Pharmacodynamics and Preliminary Efficacy of MT-304 in Adults With Advanced HER2-Expressing Solid Tumors</t>
  </si>
  <si>
    <t>NCT06673056</t>
  </si>
  <si>
    <t>A Pivotal Study of N-Acetyl-L-Leucine on Ataxia-Telangiectasia (A-T)</t>
  </si>
  <si>
    <t>NCT06624644</t>
  </si>
  <si>
    <t>A Trial of LNS8801 With or Without Pembrolizumab in Patients With Refractory Melanoma</t>
  </si>
  <si>
    <t>Linnaeus Therapeutics, Inc.</t>
  </si>
  <si>
    <t>NCT07192107</t>
  </si>
  <si>
    <t>A Study of MHB042C in Patients With Advanced Solid Tumors</t>
  </si>
  <si>
    <t>NCT07240636</t>
  </si>
  <si>
    <t>Study of Food Effects of VV119 Capsules in Chinese Healthy Volunteers</t>
  </si>
  <si>
    <t>NCT07348302</t>
  </si>
  <si>
    <t>Efficacy and Safety of SLIT in Patients With Rhinitis/RC With/Without Mild-moderate Asthma, Due to Dpt and/or Df</t>
  </si>
  <si>
    <t>NCT07004075</t>
  </si>
  <si>
    <t>FCN-159 Monotherapy Versus Chemotherapy by Investigator's Choice in Pediatric Low-grade Glioma Patients With BRAF Alteration</t>
  </si>
  <si>
    <t>NCT06897930</t>
  </si>
  <si>
    <t>A Study to Investigate the Safety, Tolerability, and Efficacy of AZD0120 in Adults With Refractory SLE</t>
  </si>
  <si>
    <t>NCT06808802</t>
  </si>
  <si>
    <t>To Investigate the Effect of Retatrutide (LY3437943) on Metoprolol Pharmacokinetics in Healthy Participants</t>
  </si>
  <si>
    <t>NCT07232719</t>
  </si>
  <si>
    <t>A Study of Retatrutide (LY3437943) in Participants With Obesity or Overweight</t>
  </si>
  <si>
    <t>NCT07283198</t>
  </si>
  <si>
    <t>A Phase II Clinical Study to Evaluate the Safety, Efficacy, Pharmacokinetics/Pharmacodynamics of JSKN033 in Patients With Advanced Non-Small Cell Lung Cancer</t>
  </si>
  <si>
    <t>NCT07444814</t>
  </si>
  <si>
    <t>Study Evaluating the Safety and Efficacy of HWK-007, a PTK7-directed Antibody Drug Conjugate in Participants With Advanced Solid Tumors</t>
  </si>
  <si>
    <t>Whitehawk Therapeutics, Inc.</t>
  </si>
  <si>
    <t>NCT06005649</t>
  </si>
  <si>
    <t>Clinical Trial of HY004 Cell Injection in the Treatment of Relapsed or Refractory B-Cell Non-Hodgkin's Lymphoma</t>
  </si>
  <si>
    <t>NCT07087795</t>
  </si>
  <si>
    <t>A Study to See the Effect of NNC0194-0499 Alone or in Combination With Semaglutide on Blood Sugar Control in People Living With Type 1 Diabetes</t>
  </si>
  <si>
    <t>NCT06935357</t>
  </si>
  <si>
    <t>A Study to Learn About the Effects of Felzartamab Infusions on Adults With Immunoglobulin A Nephropathy (IgAN)</t>
  </si>
  <si>
    <t>NCT06723236</t>
  </si>
  <si>
    <t>A Study of MGC028 in Participants With Advanced Solid Tumors</t>
  </si>
  <si>
    <t>NCT07275736</t>
  </si>
  <si>
    <t>A Study of CNCT19 in the Treatment of Relapsed or Refractory Neurological Autoimmune Diseases</t>
  </si>
  <si>
    <t>NCT07128628</t>
  </si>
  <si>
    <t>A Study Evaluating the Safety and Efficacy of a Fixed-Dose Combination for Dry Eye Disease</t>
  </si>
  <si>
    <t>NCT07113925</t>
  </si>
  <si>
    <t>A Clinical Trial Evaluating TQB2101 in Subjects With Advanced Hematologic Malignancies</t>
  </si>
  <si>
    <t>NCT06942923</t>
  </si>
  <si>
    <t>A Study to Investigate the Safety, Tolerability and Pharmacodynamics of AZD4144 in Participants With Obesity</t>
  </si>
  <si>
    <t>NCT07018323</t>
  </si>
  <si>
    <t>NCT07124468</t>
  </si>
  <si>
    <t>Assess the Plasma, Epithelial Lining, and Alveolar Macrophage Concentrations of Intravenous Meropenem-Pralubactam (Meropenem/FL058) in China Healthy Adult Participants</t>
  </si>
  <si>
    <t>NCT06979596</t>
  </si>
  <si>
    <t>A Study of MK-5684 in People With Certain Solid Tumors (MK-5684-015/OMAHA-015)</t>
  </si>
  <si>
    <t>NCT06867562</t>
  </si>
  <si>
    <t>Paclitaxel Lipid Suspension for Patients with Platinum-Resistant /Refractory Ovarian Cancer</t>
  </si>
  <si>
    <t>NCT07087262</t>
  </si>
  <si>
    <t>A Phase I Study of SNH-119014 in Healthy Volunteers</t>
  </si>
  <si>
    <t>NCT07220889</t>
  </si>
  <si>
    <t>Single Ascending Dose and Multiple Ascending Dose Evaluation of Safety, Tolerability, Pharmacokinetics, and Pharmacodynamics of MDI-2517 in Healthy Participants</t>
  </si>
  <si>
    <t>NCT07266779</t>
  </si>
  <si>
    <t>Bioequivalence Study of Test Product (T) of Ertugliflozin/Metformin 7.5 mg/ 1000 mg Film Coated Tablets and Reference Product (R) of Segluromet 7.5 mg/ 1000 mg Film Coated Tablets in Healthy, Adult, Human Subjects Under Fed Condition.</t>
  </si>
  <si>
    <t>NCT06776679</t>
  </si>
  <si>
    <t>A Study of How [14C]-BGB-16673 is Absorbed, Broken Down, and Removed From the Body After a Single Oral Dose in Healthy Participants</t>
  </si>
  <si>
    <t>NCT06731868</t>
  </si>
  <si>
    <t>Safety and Efficacy of LPM3770164 Sustained-release Tablets in Patients With Tardive Dyskinesia</t>
  </si>
  <si>
    <t>NCT07305779</t>
  </si>
  <si>
    <t>A Trial to Test the Effects of Other Drugs on SEP-380135 in Healthy Men and Women</t>
  </si>
  <si>
    <t>NCT06904274</t>
  </si>
  <si>
    <t>Mirena for the Treatment of Nonatypical Endometrial Hyperplasia for 6 Months</t>
  </si>
  <si>
    <t>NCT04973618</t>
  </si>
  <si>
    <t>Study of APVO436 in Elderly or Unfit Patients With Newly Diagnosed AML</t>
  </si>
  <si>
    <t>NCT06813924</t>
  </si>
  <si>
    <t>A Research Study of the Effect of Etavopivat on Other Drugs in Healthy Participants</t>
  </si>
  <si>
    <t>NCT06961968</t>
  </si>
  <si>
    <t>Randomized Withdrawal Study in Patients With Schizophrenia</t>
  </si>
  <si>
    <t>NCT07185113</t>
  </si>
  <si>
    <t>A Study to Assess the Pharmacokinetics of GEn-1124 After Single Oral Dosing in Healthy Subjects</t>
  </si>
  <si>
    <t>NCT06672523</t>
  </si>
  <si>
    <t>A Study to Evaluate the Mass Balance, Metabolism, Elimination, and Drug Levels of [14C]-BMS-986504 (MRTX1719) in Participants With Advanced Solid Tumors With Homozygous Methylthioadenosine Phosphorylase Deletion</t>
  </si>
  <si>
    <t>NCT06833008</t>
  </si>
  <si>
    <t>A Study to Assess a New Medicine Called IPN01195 When Administered Alone in Adults With Advanced Solid Tumours</t>
  </si>
  <si>
    <t>NCT07276789</t>
  </si>
  <si>
    <t>Efficacy and Safety of a Single Dose of LS301-IT for Fluorescence Intraoperative Molecular Imaging (IMI) for Patients Undergoing Lung Cancer Resection for Non Small Cell Lung Cancer</t>
  </si>
  <si>
    <t>NCT06568939</t>
  </si>
  <si>
    <t>A Study to Assess Adverse Events and How Intravenously (IV) Infused Telisotuzumab Vedotin (ABBV-399) Moves Through the Body as a Monotherapy in Adult Participants With Previously Treated Non-Squamous Non-Small Cell Lung Cancer (NSCLC)</t>
  </si>
  <si>
    <t>NCT07282509</t>
  </si>
  <si>
    <t>Safety and Efficacy of Paclitaxel Liposome Arterial Infusion Combined With Systemic Therapy for Second-Line Treatment of Advanced Liver Cancer</t>
  </si>
  <si>
    <t>NCT06982534</t>
  </si>
  <si>
    <t>Clinical Study on the Treatment of Systemic Sclerosis With UTAA91 Injection.</t>
  </si>
  <si>
    <t>NCT07140900</t>
  </si>
  <si>
    <t>Study Evaluating the Safety, Tolerability, and Efficacy of Xaluritamig in Combination With Androgen Receptor Pathway Inhibitors in Participants With Metastatic Hormone-sensitive Prostate Cancer</t>
  </si>
  <si>
    <t>NCT06911112</t>
  </si>
  <si>
    <t>NBI-1065845-MDD3025: Study to Assess the Efficacy and Safety of NBI-1065845 as an Adjunctive Treatment in Participants With Major Depressive Disorder (MDD)</t>
  </si>
  <si>
    <t>NCT07413367</t>
  </si>
  <si>
    <t>A Phase 1, Open-Label, Parallel-Group, Single-Dose Study To Compare The Pharmakokinetics Of TNX-102 SL (Cyclobenzaprine Hydrochloride Sublingual Tablet) In Non-Elderly Versus Elderly Participants</t>
  </si>
  <si>
    <t>NCT07669519</t>
  </si>
  <si>
    <t>Evaluation of NuvastaticTM in Reducing Cancer-Related Fatigue in Stage IV Colon Cancer Patients Undergoing First-Line Chemotherapy</t>
  </si>
  <si>
    <t>NCT07170644</t>
  </si>
  <si>
    <t>A Study of Nirogacestat in Japanese Adults With Desmoid Tumors/Aggressive Fibromatosis (DT/AF)</t>
  </si>
  <si>
    <t>NCT07030257</t>
  </si>
  <si>
    <t>Study of CP-383 in Patients With Advanced or Metastatic Solid Tumors</t>
  </si>
  <si>
    <t>Tasca Therapeutics</t>
  </si>
  <si>
    <t>NCT07209111</t>
  </si>
  <si>
    <t>A Clinical Study of Calderasib (MK-1084) in People With Advanced Solid Tumors (MK-1084-014)</t>
  </si>
  <si>
    <t>NCT06843239</t>
  </si>
  <si>
    <t>Tibulizumab Systemic Sclerosis Understanding and Response Evaluation (TibuSURE)</t>
  </si>
  <si>
    <t>Zura Bio Inc</t>
  </si>
  <si>
    <t>NCT07247357</t>
  </si>
  <si>
    <t>A Study of LY4064809 in Healthy Adult Chinese Participants</t>
  </si>
  <si>
    <t>NCT07091357</t>
  </si>
  <si>
    <t>A Clinical Study on the Efficacy, Safety, Pharmacokinetics and Pharmacodynamics of SHR-1819 Injection in Patients With Seasonal Allergic Rhinitis</t>
  </si>
  <si>
    <t>NCT07107945</t>
  </si>
  <si>
    <t>A Study to Find Out How EMPAgliflozin is Tolerated and if it Helps Children and Adolescents With Chronic KIDNEY Disease (EMPA-KIDNEY® Kids)</t>
  </si>
  <si>
    <t>NCT06792019</t>
  </si>
  <si>
    <t>Study of CM313(SC) Injection in Subjects With Platelet Transfusion Refractoriness</t>
  </si>
  <si>
    <t>NCT07303465</t>
  </si>
  <si>
    <t>To Evaluate the Safety and Efficacy of RNK08954 in Patients With Metastatic Pancreatic Ductal Adenocarcinoma.</t>
  </si>
  <si>
    <t>NCT06789172</t>
  </si>
  <si>
    <t>A Phase 1, First-in-human Study of OKN4395 and Pembrolizumab in Patients With Solid Tumors</t>
  </si>
  <si>
    <t>Epkin</t>
  </si>
  <si>
    <t>NCT07090330</t>
  </si>
  <si>
    <t>ORKA-001 Versus Placebo in Patients With Moderate-to-Severe Plaque Psoriasis</t>
  </si>
  <si>
    <t>NCT06979336</t>
  </si>
  <si>
    <t>A Study to Evaluate the Efficacy, Safety, and Pharmacokinetics (PK) of RO7837195 in Participants With Moderately to Severely Active Ulcerative Colitis (UC)</t>
  </si>
  <si>
    <t>NCT06979375</t>
  </si>
  <si>
    <t>A Research Study Comparing CDR132L With Placebo on the Structure and Function of the Heart in People With Heart Failure With Reduced/Mildly Reduced Ejection Fraction and Left Ventricular Hypertrophy</t>
  </si>
  <si>
    <t>NCT06754930</t>
  </si>
  <si>
    <t>A Study of SHR-1826 for Injection in Combination With Other Antitumor Therapies in Subjects With NSCLC</t>
  </si>
  <si>
    <t>NCT06533657</t>
  </si>
  <si>
    <t>Unique Treatment of Oncology Pain in Advanced Cancer</t>
  </si>
  <si>
    <t>NCT06899230</t>
  </si>
  <si>
    <t>Safety, Tolerability, and Pharmacokinetics (PK) of Single and Multiple Ascending Oral Doses of iQ-007</t>
  </si>
  <si>
    <t>iQure Australia Pty Ltd</t>
  </si>
  <si>
    <t>NCT07141381</t>
  </si>
  <si>
    <t>A Study to Evaluate the Effect of Food and a Proton Pump Inhibitor on the Pharmacokinetics of VRN110755</t>
  </si>
  <si>
    <t>NCT07035457</t>
  </si>
  <si>
    <t>A Study in Healthy Men to Compare the Amount of Vicadrostat and Empagliflozin in the Blood When Taken Separately and Together</t>
  </si>
  <si>
    <t>NCT05067257</t>
  </si>
  <si>
    <t>Study to Assess Epidural Resiniferatoxin for the Treatment of Intractable Pain Associated With Advanced Cancer</t>
  </si>
  <si>
    <t>NCT06824181</t>
  </si>
  <si>
    <t>Study of Mixed Vaccination Schedules With a 21-valent Pneumococcal Conjugate Vaccine and a 20-valent Pneumococcal Conjugate Vaccine in Healthy Infants From Approximately 2 Months of Age</t>
  </si>
  <si>
    <t>NCT06969430</t>
  </si>
  <si>
    <t>A Study to Assess the Safety, Tolerability, and Antileukemic Activity of Debio 1562M in Participants With Acute Myeloid Leukemia (AML)</t>
  </si>
  <si>
    <t>NCT07242664</t>
  </si>
  <si>
    <t>Clamp Study to Estimate the Relative Potency of GZR33 Versus Insulin Degludec at Steady State</t>
  </si>
  <si>
    <t>NCT06997276</t>
  </si>
  <si>
    <t>Effect of Hepatic Impairment on the Pharmacokinetics of Mirdametinib</t>
  </si>
  <si>
    <t>NCT06898060</t>
  </si>
  <si>
    <t>To Evaluate the Efficacy and Safety of Abaloparatide Injection (QLG2128) in the Treatment of Postmenopausal Women With Osteoporosis and at High Risk of Fracture</t>
  </si>
  <si>
    <t>NCT06873789</t>
  </si>
  <si>
    <t>A Study to Evaluate INCB177054 in Participants With Select Advanced or Metastatic Solid Tumors</t>
  </si>
  <si>
    <t>NCT07154368</t>
  </si>
  <si>
    <t>JYP0322 Versus Platinum Based Doublet Chemotherapy in ROS1 Positive Patients Previously Treated With ROS1-TKIs.</t>
  </si>
  <si>
    <t>NCT07170150</t>
  </si>
  <si>
    <t>A Clinical Trial of Trontinemab in Participants With Early Symptomatic Alzheimer's Disease</t>
  </si>
  <si>
    <t>NCT06585410</t>
  </si>
  <si>
    <t>Study of Intralesional Cemiplimab in Adult Patients With Early Stage Cutaneous Squamous Cell Carcinoma</t>
  </si>
  <si>
    <t>NCT07252908</t>
  </si>
  <si>
    <t>A Phase II Clinical Trial on the Efficacy and Safety of TQC3721 Inhalation Powder</t>
  </si>
  <si>
    <t>NCT07304791</t>
  </si>
  <si>
    <t>This is a Phase 1, Randomized, Single-blind, Placebo-controlled Study to Assess the Safety, Pharmacokinetics (PK), and Pharmacodynamics (PD) of BEAM-103 in Healthy Subjects</t>
  </si>
  <si>
    <t>NCT06873724</t>
  </si>
  <si>
    <t>A Study of SPY003-207 in Healthy Volunteers</t>
  </si>
  <si>
    <t>NCT07086976</t>
  </si>
  <si>
    <t>A Study to Investigate the Efficacy, Safety, and Pharmacokinetics of Oral Rilzabrutinib Compared With Placebo in Participants 18 Years of Age and Older With Warm Autoimmune Hemolytic Anemia</t>
  </si>
  <si>
    <t>NCT06769425</t>
  </si>
  <si>
    <t>HS-10502 Combination Treatment in Patients With Advanced Solid Tumors</t>
  </si>
  <si>
    <t>NCT06514508</t>
  </si>
  <si>
    <t>Mobilization of Stem Cells With Motixafortide (BL-8040) in Combination With G-CSF in Multiple Myeloma Patients</t>
  </si>
  <si>
    <t>NCT06706076</t>
  </si>
  <si>
    <t>A Study of BH-30643 in Subjects With Locally Advanced or Metastatic NSCLC Harboring EGFR and/or HER2 Mutations</t>
  </si>
  <si>
    <t>NCT07160725</t>
  </si>
  <si>
    <t>A Phase 1/2a, First-in-human, Study of BMS-986517 in Participants With Advanced Solid Tumors</t>
  </si>
  <si>
    <t>NCT06752811</t>
  </si>
  <si>
    <t>Polymeric Micellar Paclitaxel for Metastatic Pancreatic Cancer</t>
  </si>
  <si>
    <t>NCT06814132</t>
  </si>
  <si>
    <t>A Study to Evaluate the Effect of MK-5684 in Male Participants With Severe Renal Impairment (RI) and With End-stage Renal Disease (ESRD) (MK-5684-010)</t>
  </si>
  <si>
    <t>NCT06942234</t>
  </si>
  <si>
    <t>Study of JSKN016 Combination Therapy in Inoperable Locally Advanced or Metastatic HER2-Negative Breast Cancer</t>
  </si>
  <si>
    <t>NCT06556563</t>
  </si>
  <si>
    <t>EF-41/KEYNOTE D58: Phase 3 Study of Optune Concomitant With Temozolomide Plus Pembrolizumab in Newly Diagnosed Glioblastoma</t>
  </si>
  <si>
    <t>NCT06962800</t>
  </si>
  <si>
    <t>A Study to Learn More About the Effects and Safety of Felzartamab Infusions in Adults With Primary Membranous Nephropathy (PMN)</t>
  </si>
  <si>
    <t>NCT06925607</t>
  </si>
  <si>
    <t>Evaluate the Distribution and Dynamic Behavior of Nuclide Labeled TH-SC01 Cells in Vivo in Patients With Radiation Proctitis</t>
  </si>
  <si>
    <t>NCT06708611</t>
  </si>
  <si>
    <t>A Crossover Study of Patients With HF to Compare Natriuretic Effects of IR Torsemide vs. ER Torsemide Over 12 Hrs</t>
  </si>
  <si>
    <t>NCT07052214</t>
  </si>
  <si>
    <t>PSMA PET Combined With MRI for the Detection of PCa</t>
  </si>
  <si>
    <t>NCT07255404</t>
  </si>
  <si>
    <t>A Clinical Trial Testing the Safety of BNT327 (an Investigational Drug) and How Well it Works When Combined With Chemotherapy for People Who Have Not Been Treated Yet for Pancreatic Cancer</t>
  </si>
  <si>
    <t>NCT06910384</t>
  </si>
  <si>
    <t>A Study of STRO4 in Patients Amyotrophic Lateral Sclerosis (ALS)</t>
  </si>
  <si>
    <t>New England Cell Therapeutics, Inc.</t>
  </si>
  <si>
    <t>NCT06513949</t>
  </si>
  <si>
    <t>Anti-CD14 Treatment With IC14 in Hospitalized ARDS Patients</t>
  </si>
  <si>
    <t>NCT07266792</t>
  </si>
  <si>
    <t>Bioequivalence Study to Compare Brexpiprazole 4 mg Film Coated Tablets Versus RXULTI 4 mg Film Coated Tablet (Brexpiprazole)</t>
  </si>
  <si>
    <t>NCT06821464</t>
  </si>
  <si>
    <t>A Trial of HRS-9813 in Healthy Subjects</t>
  </si>
  <si>
    <t>NCT07137104</t>
  </si>
  <si>
    <t>Safety and Preliminary Effectiveness Study of Mesenchymal Stem Cells, HeXell-2020, in Patients With Stable Coronary Artery Disease</t>
  </si>
  <si>
    <t>Hexun Biosciences Co., LTD.</t>
  </si>
  <si>
    <t>NCT06717347</t>
  </si>
  <si>
    <t>A Study to Evaluate Zilovertamab Vedotin (MK-2140) Combination With Rituximab Plus Cyclophosphamide, Doxorubicin, and Prednisone (R-CHP) Versus Rituximab Plus Cyclophosphamide, Doxorubicin, Vincristine, and Prednisone (R-CHOP) in Participants With Previously Untreated DLBCL (MK-2140-010)</t>
  </si>
  <si>
    <t>NCT06972264</t>
  </si>
  <si>
    <t>Safety and Efficacy of VDPHL01 in Males With AGA</t>
  </si>
  <si>
    <t>NCT04008121</t>
  </si>
  <si>
    <t>Feasibility and Safety of MB-102 in Ocular Angiography as Compared to Fluorescein Sodium</t>
  </si>
  <si>
    <t>NCT07109726</t>
  </si>
  <si>
    <t>A Phase 1/2 Trial of TER-2013 in Patients With Solid Tumors Harboring AKT/PI3K/PTEN Pathway Alterations</t>
  </si>
  <si>
    <t>Terremoto Biosciences Inc.</t>
  </si>
  <si>
    <t>NCT06070532</t>
  </si>
  <si>
    <t>A Study of Human Allogeneic Bone-marrow-derived Mesenchymal Stromal Cell Product (StromaForte) in Patients With Aging Frailty</t>
  </si>
  <si>
    <t>NCT07239947</t>
  </si>
  <si>
    <t>A Study of BBT001 in Healthy Volunteers (HVs) and in Adult Patients With Moderate to Severe Atopic Dermatitis (AD)</t>
  </si>
  <si>
    <t>NCT07065058</t>
  </si>
  <si>
    <t>A Drug Drug Interaction Study to Evaluate the Effect of VCT220 on the Pharmacokinetics of Repaglinide, Rosuvastatin, and Digoxin in Healthy, Overweight, and Obese Subjects</t>
  </si>
  <si>
    <t>NCT06867978</t>
  </si>
  <si>
    <t>Multi-center Study on CCeLL-In Vivo's Clinical Efficacy for Intraoperative Brain Tumor Diagnosis.</t>
  </si>
  <si>
    <t>VPIX Medical</t>
  </si>
  <si>
    <t>NCT06541847</t>
  </si>
  <si>
    <t>A Phase 2, Open-Label Study to Evaluate the Safety and Effects of HLX-1502 in Patients With Neurofibromatosis Type 1</t>
  </si>
  <si>
    <t>NCT06864143</t>
  </si>
  <si>
    <t>A Study to Investigate the Immunogenicity, Reactogenicity, and Safety of mRNA-1083 (Influenza and COVID-19) Vaccine in Adults ≥18 to &lt;65 Years of Age</t>
  </si>
  <si>
    <t>NCT07028749</t>
  </si>
  <si>
    <t>Study of MAR001 in Adults With Elevated Triglycerides and Remnant Cholesterol</t>
  </si>
  <si>
    <t>NCT06405087</t>
  </si>
  <si>
    <t>A Long-Term Extension Study of Vedolizumab in Children and Teenagers With Ulcerative Colitis (UC) or Crohn's Disease (CD)</t>
  </si>
  <si>
    <t>NCT07077252</t>
  </si>
  <si>
    <t>Phase I/II Study of SCTB39G in Advanced Solid Tumours</t>
  </si>
  <si>
    <t>NCT07081984</t>
  </si>
  <si>
    <t>Study of TI-0093 Injection With Recurrent/Metastatic HPV-16 Positive Solid Tumors</t>
  </si>
  <si>
    <t>Therorna</t>
  </si>
  <si>
    <t>NCT06900543</t>
  </si>
  <si>
    <t>Chinese HCC Efficacy Evaluation, Response and Safety Study of TareSphere</t>
  </si>
  <si>
    <t>NCT06736704</t>
  </si>
  <si>
    <t>SNV4818 in Participants With Advanced Solid Tumors</t>
  </si>
  <si>
    <t>Pikavation Therapeutics, Inc.</t>
  </si>
  <si>
    <t>NCT06575426</t>
  </si>
  <si>
    <t>A Study to Investigate Safety and Effectiveness of Porcine Pancreatic Cells (OPF-310) in Patients With Type 1 Diabetes Mellitus</t>
  </si>
  <si>
    <t>NCT07347808</t>
  </si>
  <si>
    <t>A Pharmacokinetic Study of VCT220 With Moderate Renal Impairment Patients</t>
  </si>
  <si>
    <t>NCT07382908</t>
  </si>
  <si>
    <t>Bioequivalence Study of BGM0504 Injection</t>
  </si>
  <si>
    <t>NCT06911489</t>
  </si>
  <si>
    <t>Safety Trial of 68Ga/177Lu-NRT6020 in FAP-Positive Advanced Solid Tumor Patients</t>
  </si>
  <si>
    <t>NCT07232420</t>
  </si>
  <si>
    <t>A Study of BL-M24D1 in Patients With Locally Advanced or Metastatic Non-Small Cell Lung Cancer and Other Solid Tumors</t>
  </si>
  <si>
    <t>NCT07047118</t>
  </si>
  <si>
    <t>A Study of JSB462 (Luxdegalutamide) Plus Lutetium (177Lu) Vipivotide Tetraxetan in Patients With Metastatic Castration Resistant Prostate Cancer (mCRPC)</t>
  </si>
  <si>
    <t>NCT06975410</t>
  </si>
  <si>
    <t>Clinical Trial of YH32364 in Patients With Locally Advanced or Metastatic EGFR Overexpressing Solid Tumors</t>
  </si>
  <si>
    <t>NCT06827613</t>
  </si>
  <si>
    <t>A Study of Invikafusp Alfa (STAR0602), a Selective T Cell Receptor (TCR)-Targeting, Bifunctional Antibody-fusion Molecule, in Combination With Sacituzumab Govitecan in Participants With Advanced Solid Tumors</t>
  </si>
  <si>
    <t>NCT07126262</t>
  </si>
  <si>
    <t>A Study of Vosoritide Versus Placebo in Children With Hypochondroplasia Aged 0 to &lt; 36 Months</t>
  </si>
  <si>
    <t>NCT06910813</t>
  </si>
  <si>
    <t>DFT383 in Pediatric Participants With Nephropathic Cystinosis</t>
  </si>
  <si>
    <t>NCT06985368</t>
  </si>
  <si>
    <t>A Clinical Trial of SIBP-A18 Injection in the Treatment of Advanced Malignant Solid Tumor Patients</t>
  </si>
  <si>
    <t>NCT07185997</t>
  </si>
  <si>
    <t>Study to Evaluate Efficacy and Safety of Firmonertinib Compared With Investigator's Choice of EGFR Inhibitor as First-Line Treatment in Participants Who Have Locally Advanced or Metastatic NSCLC With EGFR P-Loop and Alpha C-Helix Compressing (PACC) Uncommon Mutations</t>
  </si>
  <si>
    <t>NCT06786520</t>
  </si>
  <si>
    <t>A Study to Evaluate the Pharmacokinetics, Safety, and Tolerability of Cabotegravir Ultra Long-acting (CAB ULA) Following Switch From Cabotegravir Long-acting (CAB LA) in Healthy Adults</t>
  </si>
  <si>
    <t>NCT07064759</t>
  </si>
  <si>
    <t>Single Intravitreal (IVT) Injection of 4D-150 in Patients With Macular Neovascularization Secondary to Age-Related Macular Degeneration</t>
  </si>
  <si>
    <t>NCT06868277</t>
  </si>
  <si>
    <t>A Global Phase III Study of Rilvegostomig or Pembrolizumab Monotherapy for First-Line Treatment of PD-L1-high Metastatic Non-small Cell Lung Cancer</t>
  </si>
  <si>
    <t>NCT06885281</t>
  </si>
  <si>
    <t>A Study of ZL-1310 in Participants With Selected Solid Tumors</t>
  </si>
  <si>
    <t>NCT05504187</t>
  </si>
  <si>
    <t>Study to Evaluate Safety, Tolerability and Pharmacodynamics of KP104 in Participants With Thrombotic Microangiopathy Secondary to Systemic Lupus Erythematosus</t>
  </si>
  <si>
    <t>NCT07054593</t>
  </si>
  <si>
    <t>Effect of Proton Pump Inhibitors on Gut Microbiota Composition and Metabolites in Healthy Subjects Using CapScan</t>
  </si>
  <si>
    <t>NCT06808984</t>
  </si>
  <si>
    <t>Study to Evaluate the Efficacy, Safety, and Tolerability of BMS-986368, for the Treatment of Agitation in Participants With Alzheimer's Disease</t>
  </si>
  <si>
    <t>NCT07120503</t>
  </si>
  <si>
    <t>Study to Evaluate the Safety, Pharmacology and Efficacy of WIN378 in Adults With Moderate or Severe Asthma</t>
  </si>
  <si>
    <t>Windward Bio</t>
  </si>
  <si>
    <t>NCT07221227</t>
  </si>
  <si>
    <t>A Pivotal Clinical Study to Investigate Efimosfermin Alfa in Participants With Biopsy-confirmed F2- or F3-stage MASH</t>
  </si>
  <si>
    <t>NCT06797869</t>
  </si>
  <si>
    <t>A Research Study to Investigate the Effects of CagriSema Compared to Placebo in People With Type 2 Diabetes and Painful Diabetic Peripheral Neuropathy</t>
  </si>
  <si>
    <t>NCT07669467</t>
  </si>
  <si>
    <t>Nuvastatic® Phase III Trial for Fatigue in Triple-Negative Breast Cancer</t>
  </si>
  <si>
    <t>NCT07265466</t>
  </si>
  <si>
    <t>to Evaluate the Safety and the Pharmacokinetic and Pharmacodynamic Interactions Between JP-1366 and Clopidogrel, Aspirin, Atorvastatin and Apixaban</t>
  </si>
  <si>
    <t>NCT07239973</t>
  </si>
  <si>
    <t>A Study of BGM0504 Tablets in Healthy and Non-diabetic Overweight or Obese Chinese Subjects</t>
  </si>
  <si>
    <t>NCT07142278</t>
  </si>
  <si>
    <t>DUVAX: A Phase 1 Alzheimer's Vaccine Study Targeting Amyloid-Beta and Tau</t>
  </si>
  <si>
    <t>NCT07115004</t>
  </si>
  <si>
    <t>Study to Evaluate Subcutaneous (SC) VGA039 in Patients With Von Willebrand Disease (VWD)</t>
  </si>
  <si>
    <t>NCT06783647</t>
  </si>
  <si>
    <t>A Clinical Trial of LBL-024 Combination Drug in Patients With Advanced Solid Tumours[Substudy 01(NSCLC)]</t>
  </si>
  <si>
    <t>NCT07000955</t>
  </si>
  <si>
    <t>Tolerance and Pharmacokinetic/Pharmacokinetic Study of IBI362 15mg in Patients With Moderate to Severe Obesity</t>
  </si>
  <si>
    <t>NCT06841315</t>
  </si>
  <si>
    <t>A Varegacestat Hepatic Impairment Study</t>
  </si>
  <si>
    <t>NCT06742138</t>
  </si>
  <si>
    <t>To Evaluate the Efficacy and Safety of QL2109 and DARZALEX FASPRO® in Multiple Myeloma</t>
  </si>
  <si>
    <t>NCT07223216</t>
  </si>
  <si>
    <t>Study of BMF-650 in Otherwise Healthy Overweight or Obese Adult Participants</t>
  </si>
  <si>
    <t>NCT07199543</t>
  </si>
  <si>
    <t>Palatability Study of Five Formulations of Benzydamine HCl Lozenges</t>
  </si>
  <si>
    <t>NCT06719908</t>
  </si>
  <si>
    <t>A Phase I Study of the Interaction of Alcohol With Oral AFA-281 in Healthy Volunteers</t>
  </si>
  <si>
    <t>NCT06776952</t>
  </si>
  <si>
    <t>A Randomized, Double-blind, Multicenter Phase III Study of XNW5004 Tablets in Patients With Relapsed or Refractory Peripheral T-cell Lymphoma</t>
  </si>
  <si>
    <t>NCT06516055</t>
  </si>
  <si>
    <t>Study of S1B-408 in Women With Orgasmic Dysfunction</t>
  </si>
  <si>
    <t>S1 Biopharma, Inc.</t>
  </si>
  <si>
    <t>NCT07211685</t>
  </si>
  <si>
    <t>A Study to Learn About How Well BAY 3401016 Works in Adults With Alport Syndrome</t>
  </si>
  <si>
    <t>NCT06920043</t>
  </si>
  <si>
    <t>A Study of Efimosfermin Alfa in Participants With Biopsy-confirmed Cirrhosis (Compensated) Due to MASH</t>
  </si>
  <si>
    <t>NCT06514794</t>
  </si>
  <si>
    <t>A Phase 2 Study of WU-CART-007, an Anti-CD7 Allogeneic CAR-T Cell Therapy in T-Cell Acute Lymphoblastic Leukemia and Lymphoblastic Lymphoma (T-RRex)</t>
  </si>
  <si>
    <t>NCT07246031</t>
  </si>
  <si>
    <t>BPC2001 for the Prevention of Acute Graft-Versus-Host Disease Following Haploidentical Stem Cell Transplantation</t>
  </si>
  <si>
    <t>BioPhoenix Co., Ltd.</t>
  </si>
  <si>
    <t>NCT07238283</t>
  </si>
  <si>
    <t>Irinotecan Hydrochloride Liposome Injection (II)in Combination With Oxaliplatin, 5-FU/LV Versus AG for First-line Treatment of Metastatic Pancreatic Cancer</t>
  </si>
  <si>
    <t>NCT06794866</t>
  </si>
  <si>
    <t>A Study to Assess Adverse Events and Effectiveness of OnabotulinumtoxinA Intramuscular Injections for the Change of Moderate to Severe Forehead Lines in Adult Participants</t>
  </si>
  <si>
    <t>NCT06783829</t>
  </si>
  <si>
    <t>A Study of SHR-4394 Injection in Subjects With Prostate Cancer</t>
  </si>
  <si>
    <t>NCT07251153</t>
  </si>
  <si>
    <t>Pharmacokinetic Comparison of Vonafexor Acid and Its Lysine Salt and Evaluation of Potential Drug-Drug Interactions</t>
  </si>
  <si>
    <t>NCT06946641</t>
  </si>
  <si>
    <t>A Phase I Study of QLS12010 Capsules: Safety, Tolerability, PK, PD, and Food Effects in Healthy Adults and Moderate to Severe Atopic Dermatitis Patients</t>
  </si>
  <si>
    <t>Shanghai Qilu Pharmaceutical Research and Development Center LTD</t>
  </si>
  <si>
    <t>NCT07227402</t>
  </si>
  <si>
    <t>A Clinical Study of Belzutifan and Zanzalintinib in People With Recurrent Kidney Cancer Following Adjuvant Therapy (MK-6482-033)</t>
  </si>
  <si>
    <t>NCT07244341</t>
  </si>
  <si>
    <t>A Study of Valemetostat (DS-3201b) in Combination With Darolutamide in Metastatic Castration Resistant Prostate Cancer (mCRPC)</t>
  </si>
  <si>
    <t>NCT07429045</t>
  </si>
  <si>
    <t>A Trial to Assess the Effect of Kidney Impairment on How AMG 133 is Absorbed, Broken Down, and Eliminated by the Body</t>
  </si>
  <si>
    <t>NCT06891066</t>
  </si>
  <si>
    <t>A Study of Islatravir (ISL) and Ulonivirine (ULO) Once Weekly (QW) in Virologically Suppressed Adults With Human Immunodeficiency Virus Type 1 (HIV-1) (MK-8591B-060)</t>
  </si>
  <si>
    <t>NCT07118241</t>
  </si>
  <si>
    <t>A PHASE II PROSPECTIVE RANDOMIZED DOUBLE-MASKED CONTROLLED STUDY ASSESSING THE SAFETY &amp; EFFICACY OF RHPRG4 (450 µG/ML RECOMBINANT HUMAN PROTEOGLYCAN 4) COMPARED TO VEHICLE FOR THE TREATMENT OF SJÖGREN'S RELATED DRY EYE DISEASE</t>
  </si>
  <si>
    <t>NCT06877650</t>
  </si>
  <si>
    <t>First-in-Human Investigation of JMT108 Injection in Participants With Advanced Malignant Tumors</t>
  </si>
  <si>
    <t>NCT06916091</t>
  </si>
  <si>
    <t>A Study of Eloralintide (LY3841136) in Chinese Participants With Obesity or Overweight</t>
  </si>
  <si>
    <t>NCT07089823</t>
  </si>
  <si>
    <t>A Study of YP05002 in Healthy Participants</t>
  </si>
  <si>
    <t>Yaopharma Co., Ltd.</t>
  </si>
  <si>
    <t>NCT07102459</t>
  </si>
  <si>
    <t>An Efficacy and Safety Study of LTG-001 Following Abdominoplasty</t>
  </si>
  <si>
    <t>NCT06926218</t>
  </si>
  <si>
    <t>This Study is to Evaluate the Safety, Tolerability, and Pharmacokinetics (PK) of HSK47388 in Healthy Volunteers</t>
  </si>
  <si>
    <t>NCT07071610</t>
  </si>
  <si>
    <t>A Study to Evaluate the Efficacy and Safety of LNK01004 Ointment in Adults With Atopic Dermatitis</t>
  </si>
  <si>
    <t>NCT06807424</t>
  </si>
  <si>
    <t>A Study to Evaluate the Efficacy and Safety of Icotrokinra (JNJ-77242113) in Biologic-experienced and Biologic-naive Participants With Active Psoriatic Arthritis</t>
  </si>
  <si>
    <t>NCT06977568</t>
  </si>
  <si>
    <t>A Study to Evaluate an Intra-Articular Injection of ZILRETTA Versus Triamcinolone Acetonide, Immediate Release in Subjects With Osteoarthritis of the Hip</t>
  </si>
  <si>
    <t>NCT07300150</t>
  </si>
  <si>
    <t>A Study of PT0511 in Participants With KRAS Mutated or Amplified Advanced Solid Tumors</t>
  </si>
  <si>
    <t>NCT07059650</t>
  </si>
  <si>
    <t>DZD8586 Combination Therapy in Patients With Diffuse Large B-cell Lymphoma (TAI-SHAN12)</t>
  </si>
  <si>
    <t>NCT06964776</t>
  </si>
  <si>
    <t>A Study of LY4268989 (MORF-057) in Healthy Participants</t>
  </si>
  <si>
    <t>NCT07595237</t>
  </si>
  <si>
    <t>A IIT Study of 177Lu-DOTA-SNA040</t>
  </si>
  <si>
    <t>NCT06588153</t>
  </si>
  <si>
    <t>A Study for the Evaluation of Efficacy and Safety of Prolia® in Participants With Glucocorticoid-induced Osteoporosis in Mainland China</t>
  </si>
  <si>
    <t>NCT06895928</t>
  </si>
  <si>
    <t>A Trial of SHR-A2102 With Other Antitumor Therapies in Advanced Solid Tumors</t>
  </si>
  <si>
    <t>NCT07189169</t>
  </si>
  <si>
    <t>QA108 Phase III Study in Subjects With Intermediate AMD</t>
  </si>
  <si>
    <t>NCT07056556</t>
  </si>
  <si>
    <t>A Study of BL-M09D1 in Patients With Locally Advanced or Metastatic Non-Small Cell Lung Cancer and Other Solid Tumors</t>
  </si>
  <si>
    <t>NCT06792253</t>
  </si>
  <si>
    <t>Study Comparing BEBT-908 Combined With R to SOC for the Treatment of Relapsed/Refractory Diffuse Large B-Cell Lymphoma</t>
  </si>
  <si>
    <t>NCT06932094</t>
  </si>
  <si>
    <t>Phase 1 Clinical Study of QLS5132 Monotherapy in Advanced Solid Tumors</t>
  </si>
  <si>
    <t>NCT06926842</t>
  </si>
  <si>
    <t>Efficacy and Safety of Petrelintide in Participants With Overweight or Obesity and Type 2 Diabetes (ZUPREME 2)</t>
  </si>
  <si>
    <t>NCT06799741</t>
  </si>
  <si>
    <t>A Study to Evaluate the Safety and Efficacy of AV-1 Against Dengue Virus 3 (DENV-3) Infection</t>
  </si>
  <si>
    <t>NCT06687941</t>
  </si>
  <si>
    <t>A Study to Evaluate the Tolerability, Safety, and PK of AST-201 in Patients With GPC3-positive Advanced Solid Tumors</t>
  </si>
  <si>
    <t>Aptamer Sciences, Inc.</t>
  </si>
  <si>
    <t>NCT06895356</t>
  </si>
  <si>
    <t>A Study to Assess the Relative Bioavailability of Oral Tavapadon in Healthy Adult Participants</t>
  </si>
  <si>
    <t>NCT06982131</t>
  </si>
  <si>
    <t>A Study Investigating the Safety of RO7795081 and the Effect of RO7795081 on How the Body Processes Pitavastatin and Rosuvastatin in Otherwise Healthy Overweight or Obese Adult Participants</t>
  </si>
  <si>
    <t>NCT06952686</t>
  </si>
  <si>
    <t>A Study of SRP-9005 in Limb Girdle Muscular Dystrophy Type 2C/R5 Pediatric and Adult Participants</t>
  </si>
  <si>
    <t>NCT07196722</t>
  </si>
  <si>
    <t>A Study of Icotrokinra in Participants With Moderately to Severely Active Crohn's Disease</t>
  </si>
  <si>
    <t>NCT07285629</t>
  </si>
  <si>
    <t>Safety and Efficacy of Klotho and Follistatin Gene Therapy</t>
  </si>
  <si>
    <t>NCT07007637</t>
  </si>
  <si>
    <t>A Study to Evaluate the Long-term Safety, Tolerability, and Efficacy of Subcutaneous Sonelokimab in Participants With Moderate to Severe Hidradenitis Suppurativa</t>
  </si>
  <si>
    <t>NCT06940141</t>
  </si>
  <si>
    <t>Rademikibart Add-on Treatment of an Acute Asthma Exacerbation (Seabreeze STAT Asthma)</t>
  </si>
  <si>
    <t>NCT06732583</t>
  </si>
  <si>
    <t>A Study to Evaluate the Safety and Immunogenicity of Ad5-105K in Adults Aged 18 to 49 Years</t>
  </si>
  <si>
    <t>NCT06881251</t>
  </si>
  <si>
    <t>A Study of JNJ-95475939 in the Treatment of Participants With Moderate to Severe Atopic Dermatitis (AD)</t>
  </si>
  <si>
    <t>NCT07161037</t>
  </si>
  <si>
    <t>Phase 2a Study of VX-407 in Participants With ADPKD Who Have a Subset of PKD1 Gene Variants (AGLOW)</t>
  </si>
  <si>
    <t>NCT07448194</t>
  </si>
  <si>
    <t>A Phase Ia Clinical Trial of HW241045</t>
  </si>
  <si>
    <t>Hubei Bio-Pharmaceutical Industrial Technological Institute Inc.</t>
  </si>
  <si>
    <t>NCT07220954</t>
  </si>
  <si>
    <t>A Study to Assess the Relative Bioavailability of Different Subcutaneous Formulations ofAZD6234</t>
  </si>
  <si>
    <t>NCT06895031</t>
  </si>
  <si>
    <t>Study of JYP0015 in Patients With Advanced Solid Tumors Harboring Specific Mutations in RAS</t>
  </si>
  <si>
    <t>NCT07152002</t>
  </si>
  <si>
    <t>A Study of LY4064912 in Healthy Participants and With Overweight or Obesity</t>
  </si>
  <si>
    <t>NCT06636500</t>
  </si>
  <si>
    <t>A Phase 1 Study of CG001419 Administered Orally in Healthy Subjects</t>
  </si>
  <si>
    <t>Cullgen Australia Pty Ltd</t>
  </si>
  <si>
    <t>NCT07214571</t>
  </si>
  <si>
    <t>A Study of S-337395 in Symptomatic Nonhospitalized Adults With Respiratory Syncytial Virus (RSV) Who Are at High Risk of Progression to Severe Disease</t>
  </si>
  <si>
    <t>NCT06738719</t>
  </si>
  <si>
    <t>A Phase 3 Study to Evaluate Efficacy &amp; Safety of Subcutaneous CT-P13 in Patients With Moderate to Severe Active Rheumatoid Arthritis</t>
  </si>
  <si>
    <t>NCT07160634</t>
  </si>
  <si>
    <t>A Study of SGT-003 Gene Therapy in Ambulant Males With Duchenne Muscular Dystrophy (IMPACT DUCHENNE)</t>
  </si>
  <si>
    <t>NCT07153744</t>
  </si>
  <si>
    <t>Efficacy and Safety of Shexiang Baoxin Pill(MUSKARDIA) in the Treatment of Acute Myocardial Infarction</t>
  </si>
  <si>
    <t>NCT06894511</t>
  </si>
  <si>
    <t>An Open-label Study of Lutetium (177Lu) Vipivotide Tetraxetan (AAA617) in Combination With ARPI Versus AAA617 in PSMA Positive First-line mCRPC</t>
  </si>
  <si>
    <t>NCT07168434</t>
  </si>
  <si>
    <t>Saccharomyces Boulardii CNCM I-745 in Irritable Bowel Syndrome</t>
  </si>
  <si>
    <t>NCT06952699</t>
  </si>
  <si>
    <t>A Study of TAK-360 in Adults With Narcolepsy Without Cataplexy (NT2)</t>
  </si>
  <si>
    <t>NCT06785636</t>
  </si>
  <si>
    <t>A Phase 1b/2a Study of Pocenbrodib as Monotherapy and in Combination With Darolutamide in Participants With mCRPC</t>
  </si>
  <si>
    <t>Pathos AI, Inc.</t>
  </si>
  <si>
    <t>NCT07025811</t>
  </si>
  <si>
    <t>A Study to Explore Signs, Symptoms, and Biomarkers in Dry Eye Disease Participants Following Anti-inflammatory Treatment</t>
  </si>
  <si>
    <t>NCT07012109</t>
  </si>
  <si>
    <t>Study of BEBT-507 Injection in Subjects With Polycythemia Vera (PV)</t>
  </si>
  <si>
    <t>NCT06873035</t>
  </si>
  <si>
    <t>An Interventional Study of Infigratinib in Children With Hypochondroplasia</t>
  </si>
  <si>
    <t>NCT06878976</t>
  </si>
  <si>
    <t>Open-Label Safety Study of Solriamfetol in Subjects With Binge Eating Disorder</t>
  </si>
  <si>
    <t>NCT07103668</t>
  </si>
  <si>
    <t>A Phase III Randomized Study in CLDN18.2-positive Unresectable Locally Advanced Gastric Cancer Patients</t>
  </si>
  <si>
    <t>NCT06690710</t>
  </si>
  <si>
    <t>FiH Safety and Feasibility Study Assessing Intra-articular Administration of aeGF in Patients With Knee Osteoarthritis</t>
  </si>
  <si>
    <t>Scarcell Therapeutics S.A.S.</t>
  </si>
  <si>
    <t>NCT06977724</t>
  </si>
  <si>
    <t>A Study to Assess Adverse Events, How the Drug Moves Through the Body and Effectiveness of Intravenous Infusions of ABBV-319 in Adult Participants With Systemic Lupus Erythematosus (SLE) and Sjogren's Disease (SjD)</t>
  </si>
  <si>
    <t>NCT07038096</t>
  </si>
  <si>
    <t>ZG006 and ZG005 in Participants With Small Cell Lung Cancer or Neuroendocrine Carcinoma</t>
  </si>
  <si>
    <t>NCT07453446</t>
  </si>
  <si>
    <t>Clinical Study of U29 Injection (CD30-CART) in Patients With CD30-Positive Relapsed/Refractory Lymphoma</t>
  </si>
  <si>
    <t>NCT07169942</t>
  </si>
  <si>
    <t>Aleniglipron Phase 2 Body Composition Study</t>
  </si>
  <si>
    <t>NCT07176650</t>
  </si>
  <si>
    <t>Phase I Clinical Study To Evaluate Pharmacokinetic Profile, Safety, Efficacy and Immunogenicity Of Ipilimumab Biosimilar HLX13 Vs. YERVOY® (US-Sourced YERVOY®) As A First-Line Treatment For Patients With Unresectable Hepatocellular Carcinoma</t>
  </si>
  <si>
    <t>NCT06880874</t>
  </si>
  <si>
    <t>A Clinical Study to Evaluate Enlicitide (MK-0616) Formulations in Healthy Adult Participants (MK-0616-035)</t>
  </si>
  <si>
    <t>NCT07102316</t>
  </si>
  <si>
    <t>A Study to Assess the Relative Bioavailability After a Single Inhalation Administration of Treprostinil Palmitil Inhalation Powder (TPIP) Formulation 2 (F2) to TPIP Formulation 3 (F3) in Healthy Participants</t>
  </si>
  <si>
    <t>NCT06998043</t>
  </si>
  <si>
    <t>Study With Phage for CF Subjects With Pseudomonas Lung Infection</t>
  </si>
  <si>
    <t>BiomX Ltd</t>
  </si>
  <si>
    <t>NCT07017725</t>
  </si>
  <si>
    <t>A Dose-escalation Study Followed by a Dose Optimal Study to Evaluate the Safety and Efficacy of CID-103 in Adults With Chronic Immune Thrombocytopenia</t>
  </si>
  <si>
    <t>NCT07168720</t>
  </si>
  <si>
    <t>The Study is Being Conducted to Evaluate the Efficacy and Safety of Dexmedetomidine Hydrochloride Microneedles for Preoperative Sedation in Children</t>
  </si>
  <si>
    <t>Guangzhou Novaken Pharm Co., Ltd.</t>
  </si>
  <si>
    <t>NCT06917482</t>
  </si>
  <si>
    <t>A Study to Assess the Safety and Effects of the Investigational Drug BW-40202 in Healthy Volunteers</t>
  </si>
  <si>
    <t>NCT06948448</t>
  </si>
  <si>
    <t>A Study to Evaluate the Safety and Efficacy of Two Dose Levels of ONO-4578 With Opdivo®, in Combination With mFOLFOX6 and Bevacizumab Versus Standard of Care in Participants With Non-MSI-H/dMMR, PD-L1 Positive Advanced Colorectal Cancer</t>
  </si>
  <si>
    <t>NCT06799520</t>
  </si>
  <si>
    <t>A Phase 1 Trial to Evaluate the Safety, Tolerability, Pharmacodynamics, Pharmacokinetics, and Immunogenicity of VIS171 in Participants With Autoimmune Disease(s)</t>
  </si>
  <si>
    <t>NCT07163624</t>
  </si>
  <si>
    <t>UBT251 Injection Phase II (Type 2 Diabetes Mellitus) Study</t>
  </si>
  <si>
    <t>NCT06843447</t>
  </si>
  <si>
    <t>A Clinical Study of Raludotatug Deruxtecan in People With Ovarian Cancer (MK-5909-003)</t>
  </si>
  <si>
    <t>NCT07223840</t>
  </si>
  <si>
    <t>A Study of Brenipatide in Adults Who Quit Smoking Cigarettes and Want to Avoid Relapse</t>
  </si>
  <si>
    <t>NCT07670468</t>
  </si>
  <si>
    <t>Evaluation of the Safety and Efficacy of LB-DTK-MV in Patients Diagnosed With Antiviral-Resistant CMV, BKV, or EBV Infection or Associated Diseases Following Anticancer Therapy or Allogeneic Hematopoietic Stem Cell Transplantation.</t>
  </si>
  <si>
    <t>LucasBio</t>
  </si>
  <si>
    <t>NCT07237568</t>
  </si>
  <si>
    <t>A Study to Evaluate Efficacy and Safety of LNK01001 in Adults With Ankylosing Spondylitis</t>
  </si>
  <si>
    <t>NCT07305974</t>
  </si>
  <si>
    <t>A Phase IIa Clinical Study of RG002C0106 Injection in Subjects With Primary IgA Nephropathy</t>
  </si>
  <si>
    <t>NCT06963710</t>
  </si>
  <si>
    <t>A Study Evaluating the Efficacy and Safety of ALG-000184 Compared With Tenofovir Disoproxil Fumarate in Untreated HBeAg-Positive and HBeAg- Negative Adult Subjects With Chronic Hepatitis B (B-SUPREME)</t>
  </si>
  <si>
    <t>NCT06711523</t>
  </si>
  <si>
    <t>Study Evaluating PEG-G-CSF Injectionin Preventing Neutropenia After Chemotherapy</t>
  </si>
  <si>
    <t>NCT07082725</t>
  </si>
  <si>
    <t>A Study to Evaluate the Safety and Efficacy of Oral Nizubaglustat (AZ-3102) in Late-infantile and Juvenile Forms of Niemann-Pick Type C Disease (NPC)</t>
  </si>
  <si>
    <t>NCT07232290</t>
  </si>
  <si>
    <t>Phase IIa Study on Flonoltinib Maleate Tablets in the Treatment of Patients With Polycythemia Vera</t>
  </si>
  <si>
    <t>NCT06739213</t>
  </si>
  <si>
    <t>A Phase II Study of SYHA1813 for Recurrent or Progressive High-Grade Meningioma</t>
  </si>
  <si>
    <t>NCT06876363</t>
  </si>
  <si>
    <t>Study of EN-374 Gene Therapy in Participants With X-Linked Chronic Granulomatous Disease</t>
  </si>
  <si>
    <t>NCT07010432</t>
  </si>
  <si>
    <t>The Role of the Amylin Analogue Cagrilintide in Bone Metabolism</t>
  </si>
  <si>
    <t>NCT06901349</t>
  </si>
  <si>
    <t>A Study of Bimagrumab (LY3985863) and Tirzepatide (LY3298176), Alone or in Combination, in Participants With Obesity or Overweight With Type 2 Diabetes</t>
  </si>
  <si>
    <t>NCT06886126</t>
  </si>
  <si>
    <t>Phase II Clinical Study of HDM1005 Injection in Obese Adults Without Diabetes Mellitus</t>
  </si>
  <si>
    <t>NCT06859476</t>
  </si>
  <si>
    <t>Evaluation of Manzanilla® and Meticel Ofteno® 0.5% for Providing a Relief Sensation to the Eyes</t>
  </si>
  <si>
    <t>NCT06673017</t>
  </si>
  <si>
    <t>PTM-101 in Pancreatic Ductal Adenocarcinoma (PDAC)</t>
  </si>
  <si>
    <t>PanTher Therapeutics</t>
  </si>
  <si>
    <t>NCT06832540</t>
  </si>
  <si>
    <t>Mass Balance Study of [14C] TJ0113 in Healthy Chinese Subjects</t>
  </si>
  <si>
    <t>NCT03180450</t>
  </si>
  <si>
    <t>The Study of Heart Failure With Human Umbilical Cord Mesenchymal Stem Cells (19#iSCLife®-HF)</t>
  </si>
  <si>
    <t>NCT07231991</t>
  </si>
  <si>
    <t>A Study to Learn How the Body Processes the Study Medicine Called Vepdegestrant in People With Loss of Liver Function</t>
  </si>
  <si>
    <t>NCT07103174</t>
  </si>
  <si>
    <t>A Study of MG-K10 Humanized Monoclonal Antibody Injection in Subjects With Atopic Dermatitis</t>
  </si>
  <si>
    <t>NCT06786052</t>
  </si>
  <si>
    <t>EXploratory Study on Postprandial Energy Metabolism</t>
  </si>
  <si>
    <t>NCT07235748</t>
  </si>
  <si>
    <t>Drug-drug Interaction Study of Vorasidenib With Bupropion, Repaglinide, Flurbiprofen, Omeprazole, Midazolam, and Rosuvastatin in Healthy Adult Participants</t>
  </si>
  <si>
    <t>NCT06933043</t>
  </si>
  <si>
    <t>A Study on the Safety, Tolerability, Bioavailability and Mechanism of Action of Intravenous NAV-240 in Adults.</t>
  </si>
  <si>
    <t>NCT07135050</t>
  </si>
  <si>
    <t>Phase 1/2 Study of MZ-1866, an AAV-9 Gene Therapy Delivered by Intracerebroventricular Injection to Participants With Pitt Hopkins Syndrome</t>
  </si>
  <si>
    <t>Mahzi Therapeutics</t>
  </si>
  <si>
    <t>NCT07235150</t>
  </si>
  <si>
    <t>A Study to Learn How Different Amounts of the Study Medicine Called PF-07985631 Are Tolerated and Act in the Body in Healthy Adults</t>
  </si>
  <si>
    <t>NCT07071090</t>
  </si>
  <si>
    <t>A Study of DC50292A Tablet in Patients With MTAP-deleted Advanced or Metastatic Solid Tumors</t>
  </si>
  <si>
    <t>NCT06697197</t>
  </si>
  <si>
    <t>A Study of BMS-986482 Alone or as Combination Therapy in Participants With Advanced Solid Tumors</t>
  </si>
  <si>
    <t>NCT07055880</t>
  </si>
  <si>
    <t>Immunogenicity and Safety of Different Dosages of Rabies Vaccine (Serum-free Vero Cell)</t>
  </si>
  <si>
    <t>NCT07211542</t>
  </si>
  <si>
    <t>A Study to Investigate the Efficacy and Safety of SHR-1905 in Patients With Moderate-to-severe Atopic Dermatitis</t>
  </si>
  <si>
    <t>NCT06885021</t>
  </si>
  <si>
    <t>Evaluate the Safety and Efficacy of HDM1002 Tablets in Chinese Overweight and Obese Adults</t>
  </si>
  <si>
    <t>NCT07691268</t>
  </si>
  <si>
    <t>Study to Evaluate the Safety and the Pharmacokinetics of "UI111" and "UIC202006" Under Fed Conditions</t>
  </si>
  <si>
    <t>NCT06717750</t>
  </si>
  <si>
    <t>A Study of CSCJC3456 in Patients With Advanced Malignant Tumors</t>
  </si>
  <si>
    <t>NCT07233850</t>
  </si>
  <si>
    <t>A Phase II Clinical Study Evaluating SSGJ-706 in Combination Therapy for Advanced Gastrointestinal Cancers</t>
  </si>
  <si>
    <t>NCT07187713</t>
  </si>
  <si>
    <t>ACE Reno, Pico Cell Matrix and Its Effect on eGFR in Chronic Kidney Diseases</t>
  </si>
  <si>
    <t>NCT06846320</t>
  </si>
  <si>
    <t>Study to Assess Adverse Events and Change in Disease Activity When Oral ABBV-932 is Added to Antidepressant Therapies in Adult Participants With Generalized Anxiety Disorder</t>
  </si>
  <si>
    <t>NCT07315113</t>
  </si>
  <si>
    <t>Study of NXP900 With Osimertinib in Subjects With Advanced, EGFR-Mutated Non-Small Cell Lung Cancer</t>
  </si>
  <si>
    <t>NCT07160179</t>
  </si>
  <si>
    <t>Study to Assess the Adverse Events and How Intravitreal ABBV-6628 Moves Through the Body of Adult Participants With Geographic Atrophy Secondary to Age-Related Macular Degeneration</t>
  </si>
  <si>
    <t>NCT07189403</t>
  </si>
  <si>
    <t>A Study of DS9051b in Participants With Advanced or Metastatic Adrenocortical Carcinoma and Metastatic Castration-resistant Prostate Cancer</t>
  </si>
  <si>
    <t>NCT06970782</t>
  </si>
  <si>
    <t>Vebreltinib Plus PLB1004 Versus Platinum-based Doublet Chemotherapy in Patients With EGFRm, MET+, Locally Advanced or Metastatic NSCLC Following EGFR-TKI Failure</t>
  </si>
  <si>
    <t>NCT07218796</t>
  </si>
  <si>
    <t>Evaluation of the Safety and Efficacy of the Bimatoprost Implant System Used in Combination With the SpyGlass IOL Compared to Timolol Ophthalmic Solution (Rhone)</t>
  </si>
  <si>
    <t>NCT07475546</t>
  </si>
  <si>
    <t>Combination Gerotherapeutic Interventions for Healthspan Improvement</t>
  </si>
  <si>
    <t>NCT06859788</t>
  </si>
  <si>
    <t>SPI-1005 for the Treatment of Meniere's Disease (Open Label)</t>
  </si>
  <si>
    <t>NCT07269327</t>
  </si>
  <si>
    <t>An Ethno-bridging Study of Pergoveris in Healthy Premenopausal Participants of Japanese or Caucasian Origin</t>
  </si>
  <si>
    <t>NCT06459869</t>
  </si>
  <si>
    <t>NG-350A Plus Chemoradiotherapy for Locally Advanced Rectal Cancer</t>
  </si>
  <si>
    <t>NCT07080242</t>
  </si>
  <si>
    <t>Evaluating BL-M14D1 in Subjects With Locally Advanced or Metastatic Small Cell Lung Cancer and Neuroendocrine Tumors</t>
  </si>
  <si>
    <t>NCT06755242</t>
  </si>
  <si>
    <t>A Study of GNC-077 in Patients With Locally Advanced or Metastatic Gastrointestinal Tumors and Other Solid Tumors</t>
  </si>
  <si>
    <t>NCT07302035</t>
  </si>
  <si>
    <t>A First-in-Human Safety and Pharmacokinetic Trial of GenSci142 Administered as Single Ascending Doses in Healthy Chinese Women</t>
  </si>
  <si>
    <t>NCT07219550</t>
  </si>
  <si>
    <t>A Study of Calderasib (MK-1084) in Participants With Hepatic Impairment and Healthy Volunteers (MK-1084-017)</t>
  </si>
  <si>
    <t>NCT06973187</t>
  </si>
  <si>
    <t>A Study to Evaluate the Safety and Efficacy of BGB-16673 Compared to Pirtobrutinib in Adults With Relapsed/Refractory Chronic Lymphocytic Leukemia or Small Lymphocytic Lymphoma</t>
  </si>
  <si>
    <t>NCT07024784</t>
  </si>
  <si>
    <t>A Study to Assess Change in Disease Activity and Adverse Events in Adult Participants With Gynecologic Cancers Receiving Intravenous Infusion of IMGN151 as Monotherapy or in Combination With Other Therapies</t>
  </si>
  <si>
    <t>NCT07316088</t>
  </si>
  <si>
    <t>Determining the Potential for Efficacy of OTX-601 in Reducing PTSD Symptoms</t>
  </si>
  <si>
    <t>NCT06932003</t>
  </si>
  <si>
    <t>A Study to Explore the Safety, Tolerability, Efficacy, and Pharmacokinetics of LT-002-158 Tablets in Chinese Adult Patients With Hidradenitis Suppurativa</t>
  </si>
  <si>
    <t>NCT07114861</t>
  </si>
  <si>
    <t>The KN510713 Study in Combination With mFOLFIRINOX</t>
  </si>
  <si>
    <t>NCT07265570</t>
  </si>
  <si>
    <t>Study Evaluating ISM5411 Administered Orally to Subjects With Active Ulcerative Colitis (BETHESDA)</t>
  </si>
  <si>
    <t>NCT07124221</t>
  </si>
  <si>
    <t>A Phase III Clinical Study of Cabergoline Tablets Compared With Bromocriptine Mesylate Tablets</t>
  </si>
  <si>
    <t>NCT07181148</t>
  </si>
  <si>
    <t>A Study to Evaluate the Safety and Effectiveness of MSP01-T for Bowel Cleansing Before a Colonoscopy</t>
  </si>
  <si>
    <t>Mather's Pharm. Co., Ltd.</t>
  </si>
  <si>
    <t>NCT06866080</t>
  </si>
  <si>
    <t>A Study of LCAR-AIO in Subjects With Relapsed/Refractory Autoimmune Diseases</t>
  </si>
  <si>
    <t>Nanjing Legend Biotech Co.</t>
  </si>
  <si>
    <t>NCT06736288</t>
  </si>
  <si>
    <t>Post Authorization Efficacy and Safety Study (PAES) to Confirm and Collect More Clinical Data of Buccalin® Tablets In the Prophylaxis of Recurrent Lower Respiratory Tract Infections (RLRTIs).</t>
  </si>
  <si>
    <t>Laboratorio Farmaceutico SIT srl</t>
  </si>
  <si>
    <t>NCT06533579</t>
  </si>
  <si>
    <t>Gene Therapy for CD19-Positive Hematologic Malignancies (SENTRY-CD19)</t>
  </si>
  <si>
    <t>Vironexis Biotherapeutics Inc.</t>
  </si>
  <si>
    <t>NCT07232524</t>
  </si>
  <si>
    <t>A Study of BL-M24D1 in Patients With Locally Advanced or Metastatic Head and Neck Squamous Cell Carcinoma and Other Solid Tumors</t>
  </si>
  <si>
    <t>NCT06882096</t>
  </si>
  <si>
    <t>Tracing the Metabolic Flux of Orally Administered NAD+ Precursors</t>
  </si>
  <si>
    <t>NCT07362459</t>
  </si>
  <si>
    <t>A Study to Evaluate the Safety and Tolerability of SCTB14 as First-Line Therapy in Non-Small Cell Lung Cancer.</t>
  </si>
  <si>
    <t>NCT07168603</t>
  </si>
  <si>
    <t>EvaluatIon of Autologous Nucleus Pulposus Cells (aNPC) in Degenerative Disc Disease</t>
  </si>
  <si>
    <t>ASTEROGENE Biomedical Co. Ltd.</t>
  </si>
  <si>
    <t>NCT06936527</t>
  </si>
  <si>
    <t>XS-03 in Combination With FOLFOX or FOLFIRI and Bevacizumab for Treatment of Metastatic Colorectal Cancer Patients With RAS Mutation</t>
  </si>
  <si>
    <t>NCT06827327</t>
  </si>
  <si>
    <t>LC-Plasma for Preventing URTIs and Reducing Symptoms</t>
  </si>
  <si>
    <t>NCT07095127</t>
  </si>
  <si>
    <t>Safety, Tolerability, and Efficacy of NVG-2089 in Participants With Immune Thrombocytopenia</t>
  </si>
  <si>
    <t>Nuvig Therapeutics, Inc.</t>
  </si>
  <si>
    <t>NCT06911216</t>
  </si>
  <si>
    <t>A Pharmacokinetics (PK) Study in Healthy Adults</t>
  </si>
  <si>
    <t>NCT07244835</t>
  </si>
  <si>
    <t>A Study of DEG6498 in Participants With Solid Tumors</t>
  </si>
  <si>
    <t>Degron Therapeutics Co.</t>
  </si>
  <si>
    <t>NCT07264517</t>
  </si>
  <si>
    <t>Evaluating the Safety, Tolerability, and Efficacy of GRF312 5% in Participants With Dry Eye Disease (DED).</t>
  </si>
  <si>
    <t>NCT06830889</t>
  </si>
  <si>
    <t>A Study of BL-M07D1 Versus T-DM1 in the Adjuvant Treatment of HER2-positive Breast Cancer With Residual Invasive Cancer After Neoadjuvant Therapy</t>
  </si>
  <si>
    <t>NCT07346287</t>
  </si>
  <si>
    <t>ASSIST-VLA: Assessment of Symptom-Specific Improvement in Diagnosed Vaginal Atrophy Following Laser Therapy</t>
  </si>
  <si>
    <t>Stratpharma AG</t>
  </si>
  <si>
    <t>NCT05904626</t>
  </si>
  <si>
    <t>Assess the Safety of ELGN-2112 in Preterm Infants Born Under 26 Weeks GA and IUGR Infants Born 26-32 Weeks GA</t>
  </si>
  <si>
    <t>Elgan Pharma Ltd.</t>
  </si>
  <si>
    <t>NCT06651515</t>
  </si>
  <si>
    <t>A Study of the Safety and Efficacy of Pancreatic Endocrine Cell Clusters Implanted Into the Omentum of Type 1 Diabetes Patients With Severe Hypoglycemia</t>
  </si>
  <si>
    <t>Seraxis</t>
  </si>
  <si>
    <t>NCT07200193</t>
  </si>
  <si>
    <t>A Phase 1/2, Open-Label, Single and Multiple Ascending Dose Study of CRMA-1001 in Adults With Chronic Hepatitis B</t>
  </si>
  <si>
    <t>nChroma Bio</t>
  </si>
  <si>
    <t>NCT06877533</t>
  </si>
  <si>
    <t>A First-in-Human Open-label, Phase I/Ib Dose Escalation and Expansion Cohort Study of EOS006215 as Monotherapy and in Combination With Pembrolizumab or Other Anticancer Treatments in Participants With Advanced Solid Tumors</t>
  </si>
  <si>
    <t>NCT07174843</t>
  </si>
  <si>
    <t>An Exploratory Study of CD19/CD22/BCMA CAR-T Cells (BZE2204) in Subjects With Relapsed or Refractory Autoimmune Diseases</t>
  </si>
  <si>
    <t>NCT06759649</t>
  </si>
  <si>
    <t>A Clinical Trial to Assess COM503 in Participants With Advanced Solid Malignancies</t>
  </si>
  <si>
    <t>NCT07029438</t>
  </si>
  <si>
    <t>Comparative Efficacy of Floss and Essential Oil/CPC+Zn Mouthwashes in Reducing Dental Plaque and Gingivitis</t>
  </si>
  <si>
    <t>NCT06946225</t>
  </si>
  <si>
    <t>ACTengine® IMA203 Combined With mRNA-4203</t>
  </si>
  <si>
    <t>Immatics US, Inc.</t>
  </si>
  <si>
    <t>NCT07134998</t>
  </si>
  <si>
    <t>Phase I Study of HRS-6093 in Participants With Advanced Solid Tumors Harboring KRAS G12D Mutations</t>
  </si>
  <si>
    <t>NCT06895993</t>
  </si>
  <si>
    <t>Bioequivalence Study of Ferric Carboxymaltose Injection in Healthy Chinese Participants</t>
  </si>
  <si>
    <t>NCT07596693</t>
  </si>
  <si>
    <t>KXV01 Injection in Patients With Advanced Solid Tumor (Including Osteosarcoma and Sarcoma)</t>
  </si>
  <si>
    <t>NCT06982352</t>
  </si>
  <si>
    <t>Safety and Pharmacokinetics of LPX-TI641 in Atopic Dermatitis and Psoriasis</t>
  </si>
  <si>
    <t>NCT06592638</t>
  </si>
  <si>
    <t>A Phase 1 Dose Escalation Study of ZG006 in Patients With Small Cell Lung Cancer</t>
  </si>
  <si>
    <t>NCT07219485</t>
  </si>
  <si>
    <t>A Study of Pitolisant in Participants With Prader-Willi Syndrome</t>
  </si>
  <si>
    <t>NCT07129343</t>
  </si>
  <si>
    <t>A Study of Recombinant Von Willebrand Factor (rVWF) in Chinese Participants With Von Willebrand Disease (vWD)</t>
  </si>
  <si>
    <t>NCT07047521</t>
  </si>
  <si>
    <t>A Study on a New Tetravalent Dengue Vaccine (TDV) Formulation in Healthy Adults</t>
  </si>
  <si>
    <t>NCT07096843</t>
  </si>
  <si>
    <t>A Phase 2 Study of Budoprutug in Subjects With Primary Membranous Nephropathy</t>
  </si>
  <si>
    <t>Climb Bio, Inc.</t>
  </si>
  <si>
    <t>NCT07156773</t>
  </si>
  <si>
    <t>The Study is Being Conducted to Evaluate the Safety and Efficacy of XJN010 Nasal Spray in Patients With Parkinson's Disease Experiencing Off Episodes</t>
  </si>
  <si>
    <t>NCT07270783</t>
  </si>
  <si>
    <t>Healthy Volunteer Study</t>
  </si>
  <si>
    <t>NCT07208058</t>
  </si>
  <si>
    <t>A Phase III Clinical Study to Evaluate the Efficacy, Safety, and Tolerability of Plonmarlimab in Subjects With Relapsed/Refractory Rheumatic and Immunologic Disease-associated Haemophagocytic Lymphohistiocytosis (Also Known as Macrophage Activation Syndrome [MAS])</t>
  </si>
  <si>
    <t>NCT07171606</t>
  </si>
  <si>
    <t>A Phase II Study of SSGJ-706 Monotherapy and Combination Therapy in Advanced Non-Small Cell Lung Cancer（NSCLC） Patients</t>
  </si>
  <si>
    <t>NCT07412938</t>
  </si>
  <si>
    <t>JKN2306 in Healthy Subjects: Single Ascending Dose and Food Effect Study</t>
  </si>
  <si>
    <t>NCT06564038</t>
  </si>
  <si>
    <t>A Study of AZD0486 Monotherapy or in Combination With Other Anti-Cancer Agents for Mature B-Cell Malignancies</t>
  </si>
  <si>
    <t>NCT07053384</t>
  </si>
  <si>
    <t>A Study to Investigate the Use of VH3810109 With or Without Fostemsavir (FTR) to Reduce the Size and Activity of the Viral Reservoir in People Living With HIV</t>
  </si>
  <si>
    <t>NCT06777238</t>
  </si>
  <si>
    <t>A Phase III Clinical Study to Evaluate the Efficacy and Safety of GZR18 Injection in Subjects With Type 2 Diabetes Mellitus and Poor Blood Glucose Control by Diet and Exercise</t>
  </si>
  <si>
    <t>NCT07239440</t>
  </si>
  <si>
    <t>Clinical Trial to Evaluate the Efficacy and Safety of DA-2811 When Added to Ongoing BT-1 and BT-2 Combination Therapy in Patients With Type 2 Diabetes Who Have Inadequate Glycemic Control</t>
  </si>
  <si>
    <t>NCT06534060</t>
  </si>
  <si>
    <t>MB-105 in Patients With CD5 Positive T-cell Lymphoma</t>
  </si>
  <si>
    <t>March Biosciences Inc</t>
  </si>
  <si>
    <t>NCT06562543</t>
  </si>
  <si>
    <t>A Trial to Evaluate the Safety and Activity of Fruquintinib in Minority Populations With Advanced, Previously Treated Colorectal Cancer</t>
  </si>
  <si>
    <t>NCT07208591</t>
  </si>
  <si>
    <t>To Evaluate The Safety and Efficacy of STSA-1002 Injection in Patients With Acute Respiratory Distress Syndrome</t>
  </si>
  <si>
    <t>NCT07333352</t>
  </si>
  <si>
    <t>PCV24 Clinical Trial in Infants and Young Children Aged 2 Months (Minimum 6 Weeks) to 71 Months</t>
  </si>
  <si>
    <t>NCT07013747</t>
  </si>
  <si>
    <t>Study to Evaluate Safety, Efficacy and Immunogenicity of Acne mRNA Vaccine in Participants With Mild Acne</t>
  </si>
  <si>
    <t>NCT06841055</t>
  </si>
  <si>
    <t>Safety and Preliminary Efficacy of Pumitamig (BNT327), an Investigational Therapy for Patients With Non-small Cell Lung Cancer in Combination With Chemotherapy as First-line or Second-line Treatment</t>
  </si>
  <si>
    <t>NCT07420491</t>
  </si>
  <si>
    <t>The Efficacy and Safety of Reconyl in Acute Cough Treatment</t>
  </si>
  <si>
    <t>NCT06854640</t>
  </si>
  <si>
    <t>A Study to Learn About How Safe BAY 3389934 is, Its Suitable Dose, and How it Affects the Participants With Sepsis Induced Coagulopathy</t>
  </si>
  <si>
    <t>NCT06940804</t>
  </si>
  <si>
    <t>A Clinical Study Investigating the Therapeutic Effects and Safety of an Investigational Cell Therapy Given With and Without an Additional Investigational Product in Males With Testicular Cancer or a Form of Cancer That Developed From Sperm</t>
  </si>
  <si>
    <t>NCT07128550</t>
  </si>
  <si>
    <t>A Study to Evaluate Tobevibart+Elebsiran in Participants With Chronic HDV Infection Not Virologically Suppressed With Bulevirtide</t>
  </si>
  <si>
    <t>NCT07080216</t>
  </si>
  <si>
    <t>Study of ZG005 in Combination With Gecacitinib in Participants With Advanced Cervical Cancer</t>
  </si>
  <si>
    <t>NCT07211633</t>
  </si>
  <si>
    <t>A Study to Evaluate the Pharmacokinetics, Pharmacodynamics, Safety, Radiological and Clinical Effects of Subcutaneous Ublituximab in Participants With Relapsing Multiple Sclerosis (RMS)</t>
  </si>
  <si>
    <t>NCT07111468</t>
  </si>
  <si>
    <t>Clinical Trial to Evaluate the Efficacy and Safety of YHP2401 Compared to YHR2402 and YHR2403 for Acute Bronchitis</t>
  </si>
  <si>
    <t>NCT07143604</t>
  </si>
  <si>
    <t>A Study to Investigate the Effects of AZD0901 Monotherapy in Adult Participants With 2L+ Advanced or Metastatic Gastric or GEJ Adenocarcinoma Expressing CLDN18.2</t>
  </si>
  <si>
    <t>NCT07126249</t>
  </si>
  <si>
    <t>A Study to Evaluate the the Bioequivalence of Two Different Pimicotinib Capsules in Healthy Subjects</t>
  </si>
  <si>
    <t>NCT07097935</t>
  </si>
  <si>
    <t>Study of HS-10516 Combination Therapy in Patients With Advanced Renal Cell Carcinoma</t>
  </si>
  <si>
    <t>NCT07056517</t>
  </si>
  <si>
    <t>Pharmacokinetics and Safety of M107 Orally Disintegrating Tablet in Healthy Adults</t>
  </si>
  <si>
    <t>Aclipse Two Inc.</t>
  </si>
  <si>
    <t>NCT06894212</t>
  </si>
  <si>
    <t>A Trial of the Efficacy and Safety of SEP-363856 in Acutely Psychotic Participants With Schizophrenia</t>
  </si>
  <si>
    <t>NCT07201051</t>
  </si>
  <si>
    <t>A Study to Assess the Effectiveness and Safety of GSK3862995B in Adults With Bronchiectasis</t>
  </si>
  <si>
    <t>NCT06628622</t>
  </si>
  <si>
    <t>A Study to Test Whether BI 1356225 Improves Impulsive Behavior in People With Opioid Use Disorder Who Are Taking Buprenorphine</t>
  </si>
  <si>
    <t>NCT07023731</t>
  </si>
  <si>
    <t>A Study to Evaluate ARV-806 in Adults With Advanced Cancer That Has the KRAS G12D Mutation</t>
  </si>
  <si>
    <t>NCT06826430</t>
  </si>
  <si>
    <t>Inaticabtagene Autoleucel Injection in the Treatment of Refractory Systemic Lupus Erythematosus-related Immune Thrombocytopenia</t>
  </si>
  <si>
    <t>NCT07272330</t>
  </si>
  <si>
    <t>A Phase I Trial on the Relative Bioavailability and Food Effect of HRS-1893 Tablets in Healthy Subjects</t>
  </si>
  <si>
    <t>NCT07329972</t>
  </si>
  <si>
    <t>A Study to Evaluate the Effect of Food and Proton Pump Inhibitor on the Pharmacokinetics of ZN-A-1041 in Healthy Participants</t>
  </si>
  <si>
    <t>NCT07219953</t>
  </si>
  <si>
    <t>A Study of Brenipatide in Participants With Alcohol Use Disorder</t>
  </si>
  <si>
    <t>NCT07024173</t>
  </si>
  <si>
    <t>A Phase 3 Study of HRS-8080 Versus Treatment Chosen by Physicians in Locally Advanced and Metastatic Breast Cancer</t>
  </si>
  <si>
    <t>NCT07251166</t>
  </si>
  <si>
    <t>A Study to Evaluate the Safety, Tolerability, Pharmacokinetics and Preliminary Efficacy of GenSci140 in Participants With Advanced Solid Tumors</t>
  </si>
  <si>
    <t>NCT05263739</t>
  </si>
  <si>
    <t>A First-in-Human Phase I Study of ESG206 in Subjects With B-cell Lymphoid Malignancies</t>
  </si>
  <si>
    <t>NCT06954077</t>
  </si>
  <si>
    <t>A Study of BL-M09D1 in Patients With Locally Advanced or Metastatic Gastrointestinal Tumors and Other Solid Tumors</t>
  </si>
  <si>
    <t>NCT06863701</t>
  </si>
  <si>
    <t>Efficacy Anda Safety of Etoricoxib With Betamethasone for the Treatment of Acute Gout Arthritis</t>
  </si>
  <si>
    <t>NCT07055412</t>
  </si>
  <si>
    <t>Y-3 for Injection in Patients With Hepatic Insufficiency and Healthy Subjects</t>
  </si>
  <si>
    <t>Neurodawn Pharmaceutical Co., Ltd.</t>
  </si>
  <si>
    <t>NCT06834672</t>
  </si>
  <si>
    <t>Study of IBI354 Versus Investigator's Choice of Chemotherapy in Patients With Platinum-resistant Ovarian, Primary Peritoneal, or Fallopian Tube Cancer</t>
  </si>
  <si>
    <t>NCT07209475</t>
  </si>
  <si>
    <t>Effect of Amnio-Maxx on the Healing Rate of Chronic Diabetic Foot Ulcers.</t>
  </si>
  <si>
    <t>Royal Biologics</t>
  </si>
  <si>
    <t>NCT06922383</t>
  </si>
  <si>
    <t>A Clinical Study of Arfolitixorin in Patients With mCRC</t>
  </si>
  <si>
    <t>Isofol Medical AB</t>
  </si>
  <si>
    <t>NCT06741683</t>
  </si>
  <si>
    <t>A Study of Dengue Tetravalent Vaccine (TDV) in Healthy Participants in Japan</t>
  </si>
  <si>
    <t>NCT06775483</t>
  </si>
  <si>
    <t>Evaluation of JSKN016 in the Treatment of Advanced Non-small Cell Lung Cance： a Phase II Clinical Study</t>
  </si>
  <si>
    <t>NCT06661694</t>
  </si>
  <si>
    <t>A Study to Learn How Different Tablets of the Study Medicine Mevrometostat Are Taken up Into the Blood in Healthy Adults</t>
  </si>
  <si>
    <t>NCT07381829</t>
  </si>
  <si>
    <t>A Phase Ib Clinical Study on the Safety and Efficacy of HC010 Combined With Chemotherapy in Lung Cancer</t>
  </si>
  <si>
    <t>NCT07181343</t>
  </si>
  <si>
    <t>A Drug-Drug Interaction Study Between HS-10374 Tablets and Drospirenone and Ethinyl Estradiol Tablets(Yasmin®)</t>
  </si>
  <si>
    <t>NCT07100925</t>
  </si>
  <si>
    <t>A Study of Tolododekin Alfa (ANK-101) in Renal Allograft Recipients With High Risk Cutaneous Squamous Cell Carcinoma</t>
  </si>
  <si>
    <t>NCT07083960</t>
  </si>
  <si>
    <t>OM336 in Autoimmune Cytopenias</t>
  </si>
  <si>
    <t>Lakefront Biotherapeutics West LLC</t>
  </si>
  <si>
    <t>NCT06646055</t>
  </si>
  <si>
    <t>AK112 and Cadonilimab Combined With Chemotherapy for 1L Treatment of Metastatic Pancreatic Cancer</t>
  </si>
  <si>
    <t>NCT07174726</t>
  </si>
  <si>
    <t>A Phase 2 Open-label Study to Evaluate the Safety of Laruparetigene Zovaparvovec Administered Bilaterally in Male Participants With X-Linked Retinitis Pigmentosa</t>
  </si>
  <si>
    <t>NCT07098585</t>
  </si>
  <si>
    <t>To Compare and Evaluate the Oral Bioavailability of Lisdexamfetamine 70 mg Capsule With That of Elvanse® 70 mg Capsules, Hard Lisdexamfetamine Dimesylate in Healthy, Adult, Human Subjects Under Fasting Conditions.</t>
  </si>
  <si>
    <t>NCT07163182</t>
  </si>
  <si>
    <t>Evaluation of Safety, Side Effects and How the Drug CHF6467 Administered Via Intranasal Route is Absorbed, Modified and Removed in Healthy Subjects</t>
  </si>
  <si>
    <t>NCT07229820</t>
  </si>
  <si>
    <t>Efficacy and Safety of ZSP1273 in Children 12-17 Years Old With Influenza A</t>
  </si>
  <si>
    <t>NCT07098052</t>
  </si>
  <si>
    <t>A Study of HDM2020 in Patients With Advanced Solid Tumors</t>
  </si>
  <si>
    <t>NCT07616791</t>
  </si>
  <si>
    <t>A Phase I Study of INT-210 Capsules in Healthy Adult Subjects (INT-210-I101)</t>
  </si>
  <si>
    <t>Innatus Therapeutics (Shanghai) Co., Ltd.</t>
  </si>
  <si>
    <t>NCT07484074</t>
  </si>
  <si>
    <t>A Phase 1b Study to Assess the Safety, Tolerability, Pharmacokinetics, and Exploratory Efficacy of Intravitreal OLN324</t>
  </si>
  <si>
    <t>Ollin Biosciences, Inc.</t>
  </si>
  <si>
    <t>NCT06967259</t>
  </si>
  <si>
    <t>ENA-001 for Opioid Induced Respiratory Depression</t>
  </si>
  <si>
    <t>Enalare Therapeutics Inc.</t>
  </si>
  <si>
    <t>NCT07215923</t>
  </si>
  <si>
    <t>A First in Human Single Ascending Dose (SAD) Study of ATI-1013 in Healthy Smokers</t>
  </si>
  <si>
    <t>Antidote Therapeutics, Inc</t>
  </si>
  <si>
    <t>NCT06779097</t>
  </si>
  <si>
    <t>Phase IV Study: Vunakizumab Efficacy and Safety in Moderate-to-severe Plaque Psoriasis</t>
  </si>
  <si>
    <t>NCT07052097</t>
  </si>
  <si>
    <t>Clinical Trial of TQC2938 Injection in Patients With Seasonal Allergic Rhinitis</t>
  </si>
  <si>
    <t>NCT07285902</t>
  </si>
  <si>
    <t>A Study Comparing the Efficacy and Safety of HRS9531 Injection With Semaglutide Injection in Subjects With Obesity</t>
  </si>
  <si>
    <t>NCT07152639</t>
  </si>
  <si>
    <t>Clinical Trial to Evaluate the Efficacy and Safety of EEC for the Diagnosis of Mycobacterium Tuberculosis Infection in People Aged 3 Years and Above</t>
  </si>
  <si>
    <t>NCT06973577</t>
  </si>
  <si>
    <t>P3b Short-term Study of CTN in Patients With ADHD and Comorbid Anxiety</t>
  </si>
  <si>
    <t>NCT06618001</t>
  </si>
  <si>
    <t>A Study of JNJ-89853413 for Relapsed or Refractory Acute Myeloid Leukemia or Myelodysplastic Neoplasms</t>
  </si>
  <si>
    <t>NCT07042594</t>
  </si>
  <si>
    <t>Single Ascending Doses Phase I Study to Evaluate the Safety and Pharmacokinetics of RBD1119 in Healthy Participants</t>
  </si>
  <si>
    <t>NCT07032272</t>
  </si>
  <si>
    <t>A Study to Investigate the Pharmacokinetics and Safety of Remibrutinib in Participants With Severe Renal Impairment Compared to Matched Healthy Participants.</t>
  </si>
  <si>
    <t>NCT07207369</t>
  </si>
  <si>
    <t>A Study to Assess the Safety and Effectiveness of ELAPR002f Injectable Gel in Adult Participants With Atrophic Acne Scars</t>
  </si>
  <si>
    <t>NCT07388069</t>
  </si>
  <si>
    <t>Study of TN-001 Topical Eyedrops for Keratoconus</t>
  </si>
  <si>
    <t>TheiaNova Ltd.</t>
  </si>
  <si>
    <t>NCT06963840</t>
  </si>
  <si>
    <t>Effect of Theronomic Ova-All Care on Biomarkers of Ovarian Health in Adult Female With Polycystic Ovarian Syndrome</t>
  </si>
  <si>
    <t>Wellizen Australia</t>
  </si>
  <si>
    <t>NCT06943872</t>
  </si>
  <si>
    <t>A Study to Investigate Progression-Free Survival With Sonrotoclax Plus Obinutuzumab Or Sonrotoclax Plus Rituximab Compared With Venetoclax Plus Rituximab Treatment In Patients With Relapsed and/or Refractory Chronic Lymphocytic Leukemia/Small Lymphocytic Lymphoma (CELESTIAL-RRCLL)</t>
  </si>
  <si>
    <t>NCT06841731</t>
  </si>
  <si>
    <t>A Trial of HRS-8427 in the Treatment of Adults With Bacterial Pneumonia</t>
  </si>
  <si>
    <t>NCT06700083</t>
  </si>
  <si>
    <t>A Safety, Tolerability, Pharmacokinetic Study of SHR-6934 Injection in Healthy Subjects</t>
  </si>
  <si>
    <t>NCT07213583</t>
  </si>
  <si>
    <t>Study of Re-Treatment With ALXN2220 in Patients With ATTR-CM</t>
  </si>
  <si>
    <t>NCT06568627</t>
  </si>
  <si>
    <t>A Double Blind Study Performed to Evaluate the Efficacy and the Safety of EscharEx in Debridement of VLU (VALUE)</t>
  </si>
  <si>
    <t>NCT07169279</t>
  </si>
  <si>
    <t>Interventional Study of Infigratinib in Children &lt; 3 Years Old With Achondroplasia (ACH)</t>
  </si>
  <si>
    <t>NCT07323680</t>
  </si>
  <si>
    <t>Comparative Pharmacokinetic, Pharmacodynamic, and Safety Study of 1 Dose of Aspirin for Injection and Oral Aspirin Tablets in Healthy Adult Subjects</t>
  </si>
  <si>
    <t>NCT07225686</t>
  </si>
  <si>
    <t>Maridebart Cafraglutide Versus Placebo in Adult Participants With Obstructive Sleep Apnea on Positive Airway Pressure Therapy</t>
  </si>
  <si>
    <t>NCT06857279</t>
  </si>
  <si>
    <t>A Phase II Clinical Study to Evaluate HLX43 in Subjects With Recurrent or Metastatic Head and Neck Squamous Cell Carcinoma</t>
  </si>
  <si>
    <t>NCT07700615</t>
  </si>
  <si>
    <t>Mexidol® Efficacy and Safety in Treatment of VCIND in Older Adults</t>
  </si>
  <si>
    <t>NCT06793397</t>
  </si>
  <si>
    <t>A Study of a Deuterated Psilocin Analog (CYB003) in Humans With Major Depressive Disorder</t>
  </si>
  <si>
    <t>NCT07136558</t>
  </si>
  <si>
    <t>Evaluation of ICP-B794 in Patients With Advanced Solid Tumors</t>
  </si>
  <si>
    <t>NCT06816108</t>
  </si>
  <si>
    <t>A Study of ONO-7428 in Participants With Unresectable Advanced or Recurrent Solid Tumors</t>
  </si>
  <si>
    <t>NCT07230496</t>
  </si>
  <si>
    <t>A Study to Investigate Safety, Tolerability and Pharmacokinetics of LAE103 or LAE103 in Combination With LAE102 in Healthy Overweight/Obese Participants</t>
  </si>
  <si>
    <t>NCT06867497</t>
  </si>
  <si>
    <t>A Study to Compare and Evaluate the Pharmacokinetic Characteristics and the Safety Between Administration of BR2021 and BR2021-1</t>
  </si>
  <si>
    <t>NCT07123155</t>
  </si>
  <si>
    <t>Study of S-606001 as an Add-on to Enzyme Replacement Therapy (ERT) in Participants With Late-onset Pompe Disease (LOPD)</t>
  </si>
  <si>
    <t>NCT07160335</t>
  </si>
  <si>
    <t>A Phase I Clinical Study to Evaluate the PK Profile, Efficacy, Safety and Immunogenicity of HLX17 vs. Keytruda® in Multiple Resected Solid Tumors</t>
  </si>
  <si>
    <t>NCT07218523</t>
  </si>
  <si>
    <t>A Study to Investigate Bowel Cleansing With PLENVU® Compared to Sodium Picosulfate in Participants Aged 1 to &lt; 18 Years of Age in Preparation for Colonoscopy</t>
  </si>
  <si>
    <t>NCT07252440</t>
  </si>
  <si>
    <t>A Study to Evaluate the Efficacy and Safety of TTYP01 Tablets in Early Symptomatic Alzheimer's Disease</t>
  </si>
  <si>
    <t>NCT06789796</t>
  </si>
  <si>
    <t>a Study of QL1706 or QL1604 in Patients With Limited-stage Small Cell Lung Cancer After Chemoradiotherapy.</t>
  </si>
  <si>
    <t>NCT06315608</t>
  </si>
  <si>
    <t>MRG-001 in Patients With Amyotrophic Lateral Sclerosis</t>
  </si>
  <si>
    <t>NCT07003074</t>
  </si>
  <si>
    <t>A Clinical Study of TQB2102 Versus Docetaxel Plus Trastuzumab and Pertuzumab in the Treatment of HER2 Positive Recurrent or Metastatic Breast Cancer</t>
  </si>
  <si>
    <t>NCT06795191</t>
  </si>
  <si>
    <t>Efficacy, Safety, and Pharmacokinetics of FP-014, 22.5 mg in Patients With Advanced Prostate Cancer</t>
  </si>
  <si>
    <t>NCT06660290</t>
  </si>
  <si>
    <t>A Study to Evaluate 0.003% AR-15512 Safety and Drop Attributes</t>
  </si>
  <si>
    <t>NCT06747923</t>
  </si>
  <si>
    <t>SB17170 Phase 2 Trial in IPF Patients</t>
  </si>
  <si>
    <t>NCT07007988</t>
  </si>
  <si>
    <t>A Phase I Study of SIM0388 in Participants With Malignant Ascites.</t>
  </si>
  <si>
    <t>NCT06970223</t>
  </si>
  <si>
    <t>A Study to Investigate if Long Acting Cabotegravir (CAB) and Lenacapavir (LEN) Injections Are Tolerable and Acceptable When Administered to Healthy Adults Without HIV</t>
  </si>
  <si>
    <t>NCT06953869</t>
  </si>
  <si>
    <t>Evaluating the Effects of Tasimelteon vs. Placebo in Treating Pediatric Insomnia</t>
  </si>
  <si>
    <t>NCT06980805</t>
  </si>
  <si>
    <t>A Study to Assess the Safety, Tolerability, and Efficacy of IMVT-1402 in Participants With Cutaneous Lupus Erythematosus (CLE)</t>
  </si>
  <si>
    <t>NCT07197866</t>
  </si>
  <si>
    <t>An Extension Trial to Test if TEV-56286 is Effective in Relieving Multiple System Atrophy</t>
  </si>
  <si>
    <t>NCT06632912</t>
  </si>
  <si>
    <t>Phase IIIb Clinical Trial of Quadrivalent Recombinant Human Papillomavirus Vaccine (Hansenulapolymorpha) for Age/Immunization Schedule Bridging</t>
  </si>
  <si>
    <t>NCT05107934</t>
  </si>
  <si>
    <t>Efficacy and Safety of RPH-104 Treatment in Patients With Recurrent Pericarditis</t>
  </si>
  <si>
    <t>NCT06651229</t>
  </si>
  <si>
    <t>A Study of JNJ-90189892 for Relapsed or Refractory Acute Myeloid Leukemia or Myelodysplastic Neoplasms</t>
  </si>
  <si>
    <t>NCT06926075</t>
  </si>
  <si>
    <t>Early Phase Study of KESONOTIDE™in Participants With Solid Tumours</t>
  </si>
  <si>
    <t>Filamon LTD</t>
  </si>
  <si>
    <t>NCT06942936</t>
  </si>
  <si>
    <t>A Study to Investigate the Impact of Multiple Doses of Itraconazole on AZD5004 in Healthy Participants and Multiple Doses of AZD5004 on Combined Oral Ethinyl Oestradiol and Levonorgestrel in Healthy Female Participants</t>
  </si>
  <si>
    <t>NCT06616025</t>
  </si>
  <si>
    <t>This Study Will Evaluate the Effectiveness of NTX-001, a Surgical Nerve Repair Product When Used in People With Upper Extremity Nerve Lacerations.</t>
  </si>
  <si>
    <t>NCT06905197</t>
  </si>
  <si>
    <t>A Multinational Study Assessing an Oral EGFR Inhibitor, DZD6008 in Patients Who Have Advanced NSCLC With EGFR Mutations (TIAN-SHAN1)</t>
  </si>
  <si>
    <t>NCT06736223</t>
  </si>
  <si>
    <t>Pharmacokinetics, Safety and Tolerability of ITF2357 in Participants With Chronic Hepatic Impairment and With Normal Hepatic Function</t>
  </si>
  <si>
    <t>NCT06916169</t>
  </si>
  <si>
    <t>A Study to Evaluate the Safety and Pharmacokinetics of AG2304 Compared to Coadministration of AG23041 and AG23042</t>
  </si>
  <si>
    <t>NCT06671769</t>
  </si>
  <si>
    <t>Natural Heart Health Supplement Trial</t>
  </si>
  <si>
    <t>Efforia, Inc</t>
  </si>
  <si>
    <t>NCT07156201</t>
  </si>
  <si>
    <t>A Study to Investigate the Safety, Tolerability, and Pharmacokinetics of ABS-1230 Given Orally Compared With Placebo in Healthy Participants Aged 18 to 55 Years</t>
  </si>
  <si>
    <t>Actio Biosciences, Inc.</t>
  </si>
  <si>
    <t>NCT07284381</t>
  </si>
  <si>
    <t>A Clinical Study to Evaluate the Effect and Side Effect of a New Artificial Tear Formulation (ABBV-444) Compared to Refresh Optive Unit Dose in Adult Participants With Dry Eye Disease</t>
  </si>
  <si>
    <t>NCT06255028</t>
  </si>
  <si>
    <t>A Study of CNTY-101 in Participants With Refractory B Cell-mediated Autoimmune Diseases</t>
  </si>
  <si>
    <t>NCT06883305</t>
  </si>
  <si>
    <t>A Study to Investigate the Efficacy and Safety of Tezepelumab in Adult Participants With Moderate to Very Severe COPD (D5241C00006)</t>
  </si>
  <si>
    <t>NCT05118672</t>
  </si>
  <si>
    <t>Phase 3 Clinical Trial to Evaluate Paracetamol /Fexofenadine /Phenylephrine in Flu and Cold Treatment</t>
  </si>
  <si>
    <t>NCT07049107</t>
  </si>
  <si>
    <t>Pharmacokinetics Impact of HRS-8427 on Bupropion and Midazolam in Healthy Subjects</t>
  </si>
  <si>
    <t>NCT07261631</t>
  </si>
  <si>
    <t>Phase I Study of [177Lu]Lu-DFC413 in Patients With Solid Tumors</t>
  </si>
  <si>
    <t>NCT06901531</t>
  </si>
  <si>
    <t>A Study of Zolbetuximab Together With Pembrolizumab and Chemotherapy in Adults With Gastric Cancer</t>
  </si>
  <si>
    <t>NCT06814730</t>
  </si>
  <si>
    <t>A Study to Assess THN391 in Subjects With Alzheimer's Disease</t>
  </si>
  <si>
    <t>Therini Bio, Inc.</t>
  </si>
  <si>
    <t>NCT06910657</t>
  </si>
  <si>
    <t>IDOV-Immune for Advanced Solid Tumors</t>
  </si>
  <si>
    <t>ViroMissile, Inc.</t>
  </si>
  <si>
    <t>NCT07107230</t>
  </si>
  <si>
    <t>A Study of JNJ-95437446 in Participants With Advanced-Stage Solid Tumors</t>
  </si>
  <si>
    <t>NCT06824467</t>
  </si>
  <si>
    <t>A Study to Evaluate the Efficacy and Safety of Sacituzumab Tirumotecan (MK-2870) Maintenance Treatment Versus Standard of Care in Participants With Platinum-sensitive Recurrent Ovarian Cancer (MK-2870-022/TroFuse-022/ENGOT-ov84/GOG-3103)</t>
  </si>
  <si>
    <t>NCT06798675</t>
  </si>
  <si>
    <t>Phase 2a Study for PK/PD of nC-001</t>
  </si>
  <si>
    <t>nephCentric</t>
  </si>
  <si>
    <t>NCT07418736</t>
  </si>
  <si>
    <t>A Phase II Study of CM326 in Subjects With Moderate to Severe Chronic Obstructive Pulmonary Disease</t>
  </si>
  <si>
    <t>NCT07000136</t>
  </si>
  <si>
    <t>A Phase III Study to Assess the Effect of AZD0780 on LDL-C in Patients With HeFH</t>
  </si>
  <si>
    <t>NCT07232732</t>
  </si>
  <si>
    <t>A Study of LY3549492 in Healthy Participants and Participants With Overweight or Obesity</t>
  </si>
  <si>
    <t>NCT07253272</t>
  </si>
  <si>
    <t>A PET Study of ENX-104 in Healthy Volunteers</t>
  </si>
  <si>
    <t>NCT06804811</t>
  </si>
  <si>
    <t>A Study to Evaluate the Efficacy and Safety of Ruxolitinib Cream in Children (6 to &lt; 12 Years Old) With Nonsegmental Vitiligo</t>
  </si>
  <si>
    <t>NCT07163364</t>
  </si>
  <si>
    <t>A Study to Evaluate the Effects and Safety of Hydroxocobalamin in Participants With Combined Methylmalonic Academia (cblC Type)</t>
  </si>
  <si>
    <t>NCT07140809</t>
  </si>
  <si>
    <t>a Phase 1b/2a Study of JMT202 Injection in Participants With Hypertriglyceridemia</t>
  </si>
  <si>
    <t>NCT06806293</t>
  </si>
  <si>
    <t>Study of Oral Atogepant to Assess Adverse Events and Change in Disease Activity in Adult Participants With Menstrual Migraine</t>
  </si>
  <si>
    <t>NCT07104721</t>
  </si>
  <si>
    <t>A Clinical Study of YTS109 Cell for R/R Autoimmune Diseases</t>
  </si>
  <si>
    <t>China Immunotech (Beijing) Biotechnology Co., Ltd.</t>
  </si>
  <si>
    <t>NCT07259928</t>
  </si>
  <si>
    <t>Safety and Proof of Concept Study of ANXV (Annexin A5) in Patients With Diabetic Retinopathy or Retinal Vein Occlusion</t>
  </si>
  <si>
    <t>NCT07290036</t>
  </si>
  <si>
    <t>A Study to Learn if Bimekizumab Given in Different Ways is Safe and Moves Similarly Throughout the Body Over Time in Adults</t>
  </si>
  <si>
    <t>NCT06914609</t>
  </si>
  <si>
    <t>REVEAL: A Phase 3 Study of ION582 in Angelman Syndrome</t>
  </si>
  <si>
    <t>NCT06848699</t>
  </si>
  <si>
    <t>A Phase Ib/II Clinical Study to Evaluate HLX43 in Combination With Serplulimab in Patients With Advanced/Metastatic Solid Tumors</t>
  </si>
  <si>
    <t>NCT07122687</t>
  </si>
  <si>
    <t>IBI363 Combined With Chemotherapy or Pembrolizumab Combined With Chemotherapy as Neoadjuvant Therapy in Resectable Stage IB-III Non-Squamous Non-Small Cell Lung Cancer</t>
  </si>
  <si>
    <t>NCT06825416</t>
  </si>
  <si>
    <t>A Clinical Study of SHR-2004 Injection in Preventing Venous Thromboembolism in Patients Undergoing Total Knee Arthroplasty</t>
  </si>
  <si>
    <t>NCT07289763</t>
  </si>
  <si>
    <t>Phase II Randomized, Open-label, Multicenter Clinical Study Evaluating the Safety, Efficacy, Pharmacokinetics, and Pharmacodynamics of SHR-2173 Injection in Patients With Primary Membranous Nephropathy</t>
  </si>
  <si>
    <t>NCT06895499</t>
  </si>
  <si>
    <t>Efficacy, Safety, and Tolerability of HB0043 in Hidradenitis Suppurativa Patients.</t>
  </si>
  <si>
    <t>NCT07495007</t>
  </si>
  <si>
    <t>An Open-label, Randomized, Single-dose, Two-treatment, Four-period, Fully Replicate Crossover Bioequivalence Study in Healthy Female Adult Participants Under Fasting Conditions Comparing the Test Product, Prontogest Solution for IM Injection With the Reference Product, Progesterone Injection</t>
  </si>
  <si>
    <t>Zi Diligence Biocenter</t>
  </si>
  <si>
    <t>NCT06862219</t>
  </si>
  <si>
    <t>A Safety Study of Enfortumab Vedotin in Indian Adults With Urothelial Cancer</t>
  </si>
  <si>
    <t>NCT07121192</t>
  </si>
  <si>
    <t>A Study to Assess the Immune Response and Safety of a Vaccine Against Influenza in Adults 18 Years of Age and Older</t>
  </si>
  <si>
    <t>NCT06931028</t>
  </si>
  <si>
    <t>A Study of IBI362 in Chinese Subjects With Obstructive Sleep Apnea and BMI≥28 kg/m2</t>
  </si>
  <si>
    <t>NCT07363967</t>
  </si>
  <si>
    <t>A Phase I First-in-Human Open-Label Study to Evaluate the Safety, Tolerability, Pharmacokinetics, and Preliminary Anti-Tumor Activity of SWA1211 Tablets in Subjects With Advanced Solid Tumors</t>
  </si>
  <si>
    <t>Beijing StoneWise Technology Co., Ltd</t>
  </si>
  <si>
    <t>NCT07037771</t>
  </si>
  <si>
    <t>A Phase 3 Study of Zodasiran in Adolescent and Adult Subjects With Homozygous Familial Hypercholesterolemia (YOSEMITE)</t>
  </si>
  <si>
    <t>NCT07222709</t>
  </si>
  <si>
    <t>A Study to Assess the Adverse Events and How Oral ABBV-1042 Moves Through the Body of Healthy Adult Participants</t>
  </si>
  <si>
    <t>NCT07586514</t>
  </si>
  <si>
    <t>A Study to Assess Safety, Tolerability and Exposure of 4ET1103 in Healthy Human Volunteers</t>
  </si>
  <si>
    <t>4E Therapeutics</t>
  </si>
  <si>
    <t>NCT06935266</t>
  </si>
  <si>
    <t>A Study of TAK-881 With and Without Ramp-Up Dosing in Healthy Adults</t>
  </si>
  <si>
    <t>NCT07116031</t>
  </si>
  <si>
    <t>A Study of Belumosudil in Children With Chronic Graft Versus Host Disease (schoolROCK)</t>
  </si>
  <si>
    <t>NCT06829771</t>
  </si>
  <si>
    <t>Clinical Trial of TQB2825 Injection Combined Immunochemotherapy in Subjects With Diffuse Large B Cell Lymphoma</t>
  </si>
  <si>
    <t>NCT06724809</t>
  </si>
  <si>
    <t>Efficacy, Safety, PK, PD, and ADA of Eculizumab in Chinese Adults With NMOSD</t>
  </si>
  <si>
    <t>NCT06904235</t>
  </si>
  <si>
    <t>Study With IV NEPA (Fosnetupitant/Palonosetron) for the Prevention of Chemotherapy-induced Nausea and Vomiting in Paediatric Cancer Patients Undergoing Highly Emetogenic Chemotherapy (HEC)</t>
  </si>
  <si>
    <t>NCT07156916</t>
  </si>
  <si>
    <t>A Comparative Bioavailability Study of Tamsulosin 0.4 mg Prolonged-release Tablets Versus the Reference Drug Omnic Ocas®, Tamsulosin Hydrochloride 0.4 mg, Prolonged-release Film-coated Tablets, in Healthy Adult Male Subjects, Under Fasting Conditions</t>
  </si>
  <si>
    <t>NCT07348133</t>
  </si>
  <si>
    <t>Study of Food Effect on Pharmacokinetics of HMPL-523 Acetate Tablets</t>
  </si>
  <si>
    <t>NCT07145333</t>
  </si>
  <si>
    <t>Pharmacogenomics ANDA SNP Clinical Study - Topotecan and Single Nucleotide Polymorphisms</t>
  </si>
  <si>
    <t>NCT06822738</t>
  </si>
  <si>
    <t>A Study to Assess Adverse Events and Effectiveness of Gel Stent (XEN63) Implantation Using Ab Interno and Ab Externo Approaches in Adult Participants With Glaucoma</t>
  </si>
  <si>
    <t>NCT06908226</t>
  </si>
  <si>
    <t>A Study to Investigate LP352 in Children and Adults With Developmental and Epileptic Encephalopathy (DEE)</t>
  </si>
  <si>
    <t>NCT06679036</t>
  </si>
  <si>
    <t>A Trial of HRS-2189 in Combination With Fluvastatin±HRS-6209, or HRS-8080±HRS-6209, or HRS-6209+HRS-1358 in Breast Cancer Patients</t>
  </si>
  <si>
    <t>NCT06982963</t>
  </si>
  <si>
    <t>Randomized, Double Blind, Placebo-controlled Phase 2 Study in Adults With Celiac Disease</t>
  </si>
  <si>
    <t>NCT06868732</t>
  </si>
  <si>
    <t>Evaluation of JSKN016 Combination Therapy in Subjects With NSCLC</t>
  </si>
  <si>
    <t>NCT07122648</t>
  </si>
  <si>
    <t>Phase 2 Trial to Evaluate the Efficacy, Safety of Allogeneic Mitochondria (PN-101) in Patients With Refractory Polymyositis or Dermatomyositis</t>
  </si>
  <si>
    <t>NCT07076199</t>
  </si>
  <si>
    <t>A Research Study to See How a Weekly Insulin, Insulin Icodec, Helps in Reducing the Blood Sugar Compared to Daily Insulin Glargine, Both in Combination With Insulin Aspart, in Adults With Type 1 Diabetes</t>
  </si>
  <si>
    <t>NCT06846606</t>
  </si>
  <si>
    <t>Phase 1 Study of AUTX-703 in Relapsed/Refractory AML and MDS</t>
  </si>
  <si>
    <t>Auron Therapeutics, Inc.</t>
  </si>
  <si>
    <t>NCT06769633</t>
  </si>
  <si>
    <t>Pharmacokinetics and Safety of Givinostat in DMD Patients Ages From at Least 2 Years to Less Then 6 Years Old</t>
  </si>
  <si>
    <t>NCT07434271</t>
  </si>
  <si>
    <t>Study to Evaluate the Potential Effects of KH-001 on Intravaginal Ejaculatory Latency Time (IELT), Patient-Reported Outcomes, and Safety in Men With Lifelong Premature Ejaculation (LPE)</t>
  </si>
  <si>
    <t>Kadence Bio</t>
  </si>
  <si>
    <t>NCT06864026</t>
  </si>
  <si>
    <t>A Study to Investigate Effectiveness of Tirzepatide Following Initiation of Ixekizumab in Participants With Active Psoriatic Arthritis and Overweight or Obesity in Clinical Practice (TOGETHER AMPLIFY-PsA)</t>
  </si>
  <si>
    <t>NCT06784752</t>
  </si>
  <si>
    <t>Study to Evaluate the Efficacy and Safety of [177Lu]Lu-DOTA-TATE in Patients With Grade 1 and Grade 2 Advanced GEP-NET</t>
  </si>
  <si>
    <t>NCT07392255</t>
  </si>
  <si>
    <t>An Optimised GA Interventional Trial (Opti-GAIN) to Test if Treatment With CTx001 is Safe and Works for People With Geographic Atrophy (GA)</t>
  </si>
  <si>
    <t>Complement Therapeutics</t>
  </si>
  <si>
    <t>NCT07057349</t>
  </si>
  <si>
    <t>CSB-321 Ph 1 in Immunotherapy for the Treatment of Cancer</t>
  </si>
  <si>
    <t>NCT06961344</t>
  </si>
  <si>
    <t>An Open-label Extension Safety Study of MELAS Patients Who Completed TIS6463-203 (PRIZM)</t>
  </si>
  <si>
    <t>NCT07481058</t>
  </si>
  <si>
    <t>KC1036 in Combination With PD-1 Antibody and Platinum-based Chemotherapy for First-line Advanced Esophageal Cancer</t>
  </si>
  <si>
    <t>NCT07058688</t>
  </si>
  <si>
    <t>A Study of NTRX-07 in Participants With Alzheimer's Disease</t>
  </si>
  <si>
    <t>NCT06808477</t>
  </si>
  <si>
    <t>A Study of BBT001 in Healthy Volunteers (HVs) and in Adult Patients With Atopic Dermatitis (AD)</t>
  </si>
  <si>
    <t>NCT06980142</t>
  </si>
  <si>
    <t>A Study of CM512 in Subjects With Moderate-to-Severe Chronic Obstructive Pulmonary Disease</t>
  </si>
  <si>
    <t>NCT06745531</t>
  </si>
  <si>
    <t>A Phase 3 Study of TS-172 in Hyperphosphatemia Patients on Hemodialysis</t>
  </si>
  <si>
    <t>NCT07151937</t>
  </si>
  <si>
    <t>A Study of LAD191 in Adults With Hidradenitis Suppurativa</t>
  </si>
  <si>
    <t>NCT07443696</t>
  </si>
  <si>
    <t>PET Myocardial Fatty-acid Metabolic Imaging With XTR003 Injection and 18F-FDG to Assess Myocardial Viability in Ischemic Cardiomyopathy</t>
  </si>
  <si>
    <t>NCT07078994</t>
  </si>
  <si>
    <t>Clinical Study of the Efficacy, Safety, Pharmacokinetics, Pharmacodynamics, and Immunogenicity of BCD-261 in Subjects With Moderate to Severe Active Crohn's Disease</t>
  </si>
  <si>
    <t>NCT06475781</t>
  </si>
  <si>
    <t>Study to Evaluate Safety and Efficacy of Mirivadelgat in PH-ILD</t>
  </si>
  <si>
    <t>NCT07205822</t>
  </si>
  <si>
    <t>A Study of Dato-DXd in Inoperable or Metastatic Hormone Receptor-positive, HER2 IHC 0 Breast Cancer</t>
  </si>
  <si>
    <t>NCT07235137</t>
  </si>
  <si>
    <t>A Study to Learn How the Study Medicine Called Ibuzatrelvir is Taken up Into the Blood in Healthy Chinese Adults</t>
  </si>
  <si>
    <t>NCT07225556</t>
  </si>
  <si>
    <t>A Study of LY4167586 in Participants With Obesity or Overweight Who Are Otherwise Healthy</t>
  </si>
  <si>
    <t>NCT07066722</t>
  </si>
  <si>
    <t>A Study to Evaluate VH4524184 Tablet Absorption, Effects of Food, and Interactions With Other Drugs in Healthy Adults</t>
  </si>
  <si>
    <t>NCT07043751</t>
  </si>
  <si>
    <t>A Clinical Trial Evaluating Injection of TQB6411 in Subjects With Advanced Malignant Tumors</t>
  </si>
  <si>
    <t>NCT06602453</t>
  </si>
  <si>
    <t>A Study to Evaluate the Efficacy and Safety of GDC-8264 in Preventing Cardiac Surgery-Associated Acute Kidney Injury (AKI) and Major Adverse Kidney Events (MAKE)</t>
  </si>
  <si>
    <t>NCT07248839</t>
  </si>
  <si>
    <t>A Study to Assess the Drug Levels and Safety of BMS-986435 in Participants With Normal Hepatic Function and Participants With Different Degrees of Hepatic Impairment</t>
  </si>
  <si>
    <t>NCT07216781</t>
  </si>
  <si>
    <t>Safety and Efficacy of Injectable Klotho Plasmid Gene Therapy in Humans</t>
  </si>
  <si>
    <t>NCT07395128</t>
  </si>
  <si>
    <t>Lateral Plantar Artery Embolization For Plantar Fasciitis</t>
  </si>
  <si>
    <t>Joint &amp; Vascular Institute</t>
  </si>
  <si>
    <t>NCT07219589</t>
  </si>
  <si>
    <t>A Single and Multiple Ascending Dose Study of HM17321 in Healthy and Obese Participants</t>
  </si>
  <si>
    <t>NCT06702618</t>
  </si>
  <si>
    <t>Evaluation of TQB3616 Capsules in a Phase II Clinical Trial for Recurrent/Metastatic Breast Cancer</t>
  </si>
  <si>
    <t>NCT07024615</t>
  </si>
  <si>
    <t>A Study of ASP2138 Given Before Surgery, Then Chemotherapy After Surgery, in People With Pancreatic Ductal Cancer</t>
  </si>
  <si>
    <t>NCT06734208</t>
  </si>
  <si>
    <t>A Study to Evaluate the Pharmacokinetics of Divarasib in Healthy Participants and Participants With Impaired Hepatic Function</t>
  </si>
  <si>
    <t>NCT07266818</t>
  </si>
  <si>
    <t>A Clinical Trial of MK-1167 in Healthy Adults (MK-1167-010)</t>
  </si>
  <si>
    <t>NCT06712355</t>
  </si>
  <si>
    <t>Safety and Efficacy of BNT327, an Investigational Therapy in Combination With Chemotherapy for Patients With Untreated Small-cell Lung Cancer</t>
  </si>
  <si>
    <t>NCT07061925</t>
  </si>
  <si>
    <t>To Evaluate the Efficacy and Safety of ALC-2203 in Patients With Acute Bronchitis</t>
  </si>
  <si>
    <t>Korea Arlico Pharm. Co., Ltd</t>
  </si>
  <si>
    <t>NCT06976268</t>
  </si>
  <si>
    <t>A Study to Determine if BHV-8000 is Effective, Safe and Tolerable as a Treatment for Adults Living With Early Parkinson's Disease</t>
  </si>
  <si>
    <t>NCT06744647</t>
  </si>
  <si>
    <t>Phase 2 Study of ALXN2030 in Patients With Antibody-Mediated Rejection After Kidney Transplantation</t>
  </si>
  <si>
    <t>NCT07147049</t>
  </si>
  <si>
    <t>Evaluate the Safety and Efficacy of HL-1186 Tablet for Moderate to Severe Acute Pain After Surgery</t>
  </si>
  <si>
    <t>NCT07042113</t>
  </si>
  <si>
    <t>A Study of Two Different Formulations of 611 in Healthy Adult Subjects in China</t>
  </si>
  <si>
    <t>NCT06802185</t>
  </si>
  <si>
    <t>A Bioequivalence Study of Advil Dual Action Liquid Filled Capsules (125 mg/250 mg) Versus Advil Dual Action Caplets (125 mg/250 mg) and Bioavailability Assessment of Advil Dual Action Liquid Filled Capsules (125 mg/250 mg) and Advil Liqui-Gels (200 mg) in Healthy Adult Subjects</t>
  </si>
  <si>
    <t>NCT06874335</t>
  </si>
  <si>
    <t>A Phase 1 Study of BHV-1530 in Advanced Solid Tumors</t>
  </si>
  <si>
    <t>NCT06708897</t>
  </si>
  <si>
    <t>A Phase 1 Study of ZE50-0134 in Relapsed and Refractory Chronic Lymphocytic Leukemia, Small Lymphocytic Lymphoma, and Select Low-grad Lymphomas</t>
  </si>
  <si>
    <t>NCT07266285</t>
  </si>
  <si>
    <t>BTM-3566 in Advanced Solid Tumors</t>
  </si>
  <si>
    <t>Bantam Pharmaceuticals</t>
  </si>
  <si>
    <t>NCT07071558</t>
  </si>
  <si>
    <t>Study to Evaluate the Safety and Immunogenicity of Investigational Vaccines Using the RSV (Respiratory Syncytial Virus) Monovalent Antigen in Healthy Participants 18 to 49 Years of Age</t>
  </si>
  <si>
    <t>NCT06840535</t>
  </si>
  <si>
    <t>A Study to Evaluate the Safety and Dosimetry of 68Ga-OncoACP3 in Patients With Prostate Cancer</t>
  </si>
  <si>
    <t>NCT06922110</t>
  </si>
  <si>
    <t>An Open-Label Study of Azetukalner in Major Depressive Disorder</t>
  </si>
  <si>
    <t>NCT07209462</t>
  </si>
  <si>
    <t>Study of MRM-3379 in Male Participants With Fragile X Syndrome (BLOOM)</t>
  </si>
  <si>
    <t>NCT07318103</t>
  </si>
  <si>
    <t>Phase II Clinical Study of HRS-9057 Injection in Patients With Heart Failure-induced Fluid Retention</t>
  </si>
  <si>
    <t>NCT06841042</t>
  </si>
  <si>
    <t>A Study of SCTB35 in Patients with Systemic Lupus Erythematosus</t>
  </si>
  <si>
    <t>NCT06487624</t>
  </si>
  <si>
    <t>An Engineered Sirpα Fused to Anti-Pd-L1 And Tgf-β Fusion Protein (HCB301) in Subjects With Selected Advanced Tumors</t>
  </si>
  <si>
    <t>NCT07197827</t>
  </si>
  <si>
    <t>A Study of YL242 in Subjects With Advanced Solid Tumors</t>
  </si>
  <si>
    <t>NCT06743997</t>
  </si>
  <si>
    <t>A Study to Compare Eutropin Formulations in Healthy Volunteers for Bioavailability, Safety, and Tolerability</t>
  </si>
  <si>
    <t>NCT06742723</t>
  </si>
  <si>
    <t>A Phase III Renal Outcomes and Cardiovascular Mortality Study to Investigate the Efficacy and Safety of Baxdrostat in Combination With Dapagliflozin in Participants With Chronic Kidney Disease and High Blood Pressure</t>
  </si>
  <si>
    <t>NCT07219173</t>
  </si>
  <si>
    <t>A Study to Evaluate Brenipatide Compared With Placebo in Adult Participants With Uncontrolled Moderate to Severe Asthma</t>
  </si>
  <si>
    <t>NCT06977880</t>
  </si>
  <si>
    <t>A Phase 1, First-in-human Study of MORF-440 (LY4292009) in Healthy Participants</t>
  </si>
  <si>
    <t>NCT07284173</t>
  </si>
  <si>
    <t>A Study to Learn if a Medicine That Reduces Stomach Acid Affects the Blood Level of Study Medicine PF-08049820 in Healthy Chinese Adults.</t>
  </si>
  <si>
    <t>NCT07216105</t>
  </si>
  <si>
    <t>FT836 With or Without Chemotherapy and/or Monoclonal Antibodies, in Participants With Advanced Solid Tumors</t>
  </si>
  <si>
    <t>NCT07244003</t>
  </si>
  <si>
    <t>Efficacy and Safety of the Met+SGLT-2i+GLP-1RA in Patients With Type 2 Diabetes With Poor Glycemic Control</t>
  </si>
  <si>
    <t>NCT07108283</t>
  </si>
  <si>
    <t>A Study of Zasocitinib in Adults With Nonsegmental Vitiligo</t>
  </si>
  <si>
    <t>NCT07031973</t>
  </si>
  <si>
    <t>The Effect of Micronutrient Supplementation on Nutrition Status and Well-being</t>
  </si>
  <si>
    <t>InnoNext Sarl</t>
  </si>
  <si>
    <t>NCT07277660</t>
  </si>
  <si>
    <t>A Dose-ranging Study to Evaluate the Efficacy, Safety, Pharmacokinetics, and Pharmacodynamics of Galvokimig in Adult Study Participants With Atopic Dermatitis</t>
  </si>
  <si>
    <t>NCT07224373</t>
  </si>
  <si>
    <t>An Open-label Study of AZD0120 in Adults With Multiple Sclerosis</t>
  </si>
  <si>
    <t>NCT06855069</t>
  </si>
  <si>
    <t>HS-20089 for Injection in Patients With Platinum-Resistant Recurrent Epithelial Ovarian Cancer</t>
  </si>
  <si>
    <t>NCT06846541</t>
  </si>
  <si>
    <t>Long-term Safety and Efficacy of ESK-001 in Moderate to Severe Plaque Psoriasis</t>
  </si>
  <si>
    <t>NCT06921590</t>
  </si>
  <si>
    <t>A Study to Investigate Lithium Brain/Plasma Pharmacokinetics and Safety of an AL001 Oral Capsule Compared to a Marketed Immediate-release Lithium Carbonate Capsule in Healthy Adult Subjects</t>
  </si>
  <si>
    <t>NCT06712082</t>
  </si>
  <si>
    <t>A Study to Learn More About the Study Medicine PF-07264660 in Healthy Chinese Adult Participants</t>
  </si>
  <si>
    <t>NCT06237231</t>
  </si>
  <si>
    <t>Efficacy and Safety of DIT112 in the Treatment of Moderate to Severe Pain After Dental Surgery for the Extraction of Impacted Third Molars</t>
  </si>
  <si>
    <t>NCT07023627</t>
  </si>
  <si>
    <t>A Study of INCB123667 in Participants With Platinum-Resistant Ovarian Cancer With Cyclin E1 Overexpression</t>
  </si>
  <si>
    <t>NCT06623279</t>
  </si>
  <si>
    <t>Open-laBel Dose-escalation Study for CRISPR/cas13- Rna TargetInG THerapy for the Treatment of Neovascular Age-related Macular Degeneration in Phase I Trial</t>
  </si>
  <si>
    <t>NCT07220603</t>
  </si>
  <si>
    <t>An Open-Label Extension Study of PGN-EDODM1 in People With Myotonic Dystrophy Type 1 (FREEDOM-OLE)</t>
  </si>
  <si>
    <t>NCT01064466</t>
  </si>
  <si>
    <t>Pharmacogenomics ANDA SNP Clinical Study - Etoposide and Single Nucleotide Polymorphisms</t>
  </si>
  <si>
    <t>NCT06752122</t>
  </si>
  <si>
    <t>Safety, Tolerability, and Pharmacokinetics of RCS-21 in Healthy Volunteers.</t>
  </si>
  <si>
    <t>RNATICS GmbH</t>
  </si>
  <si>
    <t>NCT06874842</t>
  </si>
  <si>
    <t>Safety and Immunogenicity of the Recombinant Zoster Vaccine, LYB004 in Adults Aged 40 Years and Older</t>
  </si>
  <si>
    <t>NCT06567470</t>
  </si>
  <si>
    <t>A Study With CIT-013 in RA Patients</t>
  </si>
  <si>
    <t>Citryll BV</t>
  </si>
  <si>
    <t>NCT07073820</t>
  </si>
  <si>
    <t>A Study to Learn About the Study Medicine (Called PF-07868489) in People With Pulmonary Arterial Hypertension Who Have Previously Participated in a Clinical Study With PF-07868489</t>
  </si>
  <si>
    <t>NCT07097259</t>
  </si>
  <si>
    <t>A Study to Assess the Bioequivalence of Follitropin Alfa Solution in Pen and Follitropin Alfa Powder in Vial in Healthy Downregulated Male Participants</t>
  </si>
  <si>
    <t>NCT07289542</t>
  </si>
  <si>
    <t>Phase II Clinical Trial of Lyophilized Respiratory Syncytial Virus mRNA Vaccine in Adults Aged 50 Years or Above</t>
  </si>
  <si>
    <t>NCT06254469</t>
  </si>
  <si>
    <t>Visualizing Brain Proteinopathies Using [F-18]Flornaptitril-PET in the Prediction of Clinical Progression of Mild Cognitive Impairment With Either Suspected Chronic Traumatic Encephalopathy or Alzheimer's Disease</t>
  </si>
  <si>
    <t>CereMark Pharma, LLC</t>
  </si>
  <si>
    <t>NCT06742892</t>
  </si>
  <si>
    <t>A Phase II Clinical Study to Evaluate HLX43 in Patients With Locally Advanced or Metastatic HCC Failed or Intolerance to Standard Therapy</t>
  </si>
  <si>
    <t>NCT07156500</t>
  </si>
  <si>
    <t>A Phase 3 Study of HS-20094 in Patients With T2DM Inadequately Controlled With Diet and Exercise Alone</t>
  </si>
  <si>
    <t>NCT06994936</t>
  </si>
  <si>
    <t>An Open-label Study in Healthy Adults to Evaluate the Relative Bioequivalence of a Single-dose Administration of Sonelokimab Either by a Prefilled Syringe or an Autoinjector</t>
  </si>
  <si>
    <t>NCT06974734</t>
  </si>
  <si>
    <t>A Clinical Trial of PF-08046037 Alone or With Sasanlimab in Patients With Advanced or Metastatic Malignancies</t>
  </si>
  <si>
    <t>NCT06855277</t>
  </si>
  <si>
    <t>Study Comparing AAA817+ARPI Versus Standard of Care in Adult Participants With PSMA-positive mCRPC</t>
  </si>
  <si>
    <t>NCT07054567</t>
  </si>
  <si>
    <t>A Study of BL-B01D1 + Pembrolizumab ± Bevacizumab in Patients With Recurrent or Metastatic Cervical Cancer and Endometrial Cancer</t>
  </si>
  <si>
    <t>NCT07132112</t>
  </si>
  <si>
    <t>GT719 Injection for Moderate to Severe Refractory Autoimmune Disease</t>
  </si>
  <si>
    <t>NCT06956807</t>
  </si>
  <si>
    <t>Safety and Efficacy of Epicardial Implantation of Collagen Membranes With Allogeneic Adipose Derived Stem Cells</t>
  </si>
  <si>
    <t>Viscofan</t>
  </si>
  <si>
    <t>NCT07034781</t>
  </si>
  <si>
    <t>A Study to Evaluate the Safety and Pharmacokinetics of Dapagliflozin, Linagliptin, and Metformin in Healthy Adults</t>
  </si>
  <si>
    <t>NCT07181369</t>
  </si>
  <si>
    <t>A Phase 1 Study of GTX-B001 in Healthy Subjects and Patients With Chronic Inducible Urticaria</t>
  </si>
  <si>
    <t>Granular Therapeutics Limited</t>
  </si>
  <si>
    <t>NCT06926829</t>
  </si>
  <si>
    <t>A Long-term Trial of EB-1020 in Adult Patients With ADHD</t>
  </si>
  <si>
    <t>NCT07144345</t>
  </si>
  <si>
    <t>Study of Reformulated Levulan Kerastick Plus PDT for Actinic Keratosis on Face and Scalp</t>
  </si>
  <si>
    <t>NCT06902558</t>
  </si>
  <si>
    <t>ANCHOR Study: A Study to Assess the Safety and Efficacy of ABBV-CLS-628 in Adult Participants With Autosomal Dominant Polycystic Kidney Disease (ADPKD)</t>
  </si>
  <si>
    <t>NCT07054190</t>
  </si>
  <si>
    <t>A Study to Test Inavolisib Treatments in Participants With Early-Stage, PIK3CA-Mutated Breast Cancer</t>
  </si>
  <si>
    <t>NCT03994874</t>
  </si>
  <si>
    <t>Peritoneal Ultrafiltration in Cardio Renal Syndrome.</t>
  </si>
  <si>
    <t>NCT06791291</t>
  </si>
  <si>
    <t>Efficacy and Safety of Teplizumab in Japanese Participants With Stage 2 Type 1 Diabetes</t>
  </si>
  <si>
    <t>NCT07126990</t>
  </si>
  <si>
    <t>Clinical Study of a Novel Oncolytic Virus Ad-TD-nsIL12 in the Treatment of Primary High-grade Glioma</t>
  </si>
  <si>
    <t>Xiaorong Wu</t>
  </si>
  <si>
    <t>NCT07220811</t>
  </si>
  <si>
    <t>Phase 2b Study of RPT904 as Monotherapy in Participants With IgE-Mediated Food Allergy</t>
  </si>
  <si>
    <t>NCT07044050</t>
  </si>
  <si>
    <t>A First-in-human Study to Assess OT-C001 (Amplified/Activated Allogenic Natural Killer Cells) in Patients With Relapsed/Refractory Diffuse Large B Cell Lymphoma</t>
  </si>
  <si>
    <t>Emercell SAS</t>
  </si>
  <si>
    <t>NCT07057674</t>
  </si>
  <si>
    <t>A Study of HS-20094 in Overweight or Obese Participants</t>
  </si>
  <si>
    <t>NCT06747468</t>
  </si>
  <si>
    <t>Avexitide for Treatment of Post-Bariatric Hypoglycemia</t>
  </si>
  <si>
    <t>NCT07119450</t>
  </si>
  <si>
    <t>The Study of [14C] GZR18</t>
  </si>
  <si>
    <t>NCT07030868</t>
  </si>
  <si>
    <t>A Study of LY3549492 in Adults With Obesity or Overweight With Type 2 Diabetes</t>
  </si>
  <si>
    <t>NCT06819891</t>
  </si>
  <si>
    <t>A Study to Assess the Efficacy and Safety of Induction Therapy With Afimkibart (RO7790121) in Participants With Moderately to Severely Active Crohn's Disease</t>
  </si>
  <si>
    <t>NCT06818058</t>
  </si>
  <si>
    <t>TAR-0520 Gel in EGFR Inhibitor-induced Folliculitis</t>
  </si>
  <si>
    <t>Tarian Pharma</t>
  </si>
  <si>
    <t>NCT06915025</t>
  </si>
  <si>
    <t>Phase 3 Trial Evaluating the Safety &amp; Efficacy of IMNN-001 Administered in Combination w/ Standard NACT &amp; Adjuvant Chemotherapy in Newly Diagnosed Patients w/ Advanced EOC, Fallopian Tube or Primary Peritoneal Cancer</t>
  </si>
  <si>
    <t>NCT06976489</t>
  </si>
  <si>
    <t>The Food Effect on PK Characteristics and Safety Profiles of PA-111</t>
  </si>
  <si>
    <t>NCT07272889</t>
  </si>
  <si>
    <t>Drug-drug Interaction Study of Bemnifosbuvir/Ruzasvir (BEM/RZR) and Ethinyl Estradiol/Levonorgestrel (EE/LNG)</t>
  </si>
  <si>
    <t>NCT07641634</t>
  </si>
  <si>
    <t>A Phase 1/2 Study of PRO-203 in Healthy Volunteers and Participants With Systemic Sclerosis.</t>
  </si>
  <si>
    <t>Prolium Bioscience, Inc</t>
  </si>
  <si>
    <t>NCT06868264</t>
  </si>
  <si>
    <t>C-BEYOND: Efficacy and Safety of BEM/RZR vs. SOF/VEL in Subjects With Chronic HCV</t>
  </si>
  <si>
    <t>NCT07140614</t>
  </si>
  <si>
    <t>A First in Human Study to Assess the Safety, Tolerability, and Pharmacokinetics of EDK060 in Adults With CMT1A.</t>
  </si>
  <si>
    <t>NCT07255664</t>
  </si>
  <si>
    <t>A FIH, Phase I/IIa, Trial Assessing Feasibility of Administrations of TIL-based Immunotherapy in Patients With Metastatic CRC and PC</t>
  </si>
  <si>
    <t>CuraCell TX AB</t>
  </si>
  <si>
    <t>NCT07301333</t>
  </si>
  <si>
    <t>A Study of Single and Multiple Doses of HRS-6257 in Healthy Subjects</t>
  </si>
  <si>
    <t>NCT06657144</t>
  </si>
  <si>
    <t>A Study of CHS-114 (Tagmokitug) in Combination With Toripalimab and/or Other Treatments in Participants With Advanced Solid Tumors</t>
  </si>
  <si>
    <t>NCT07118709</t>
  </si>
  <si>
    <t>A Study of KC1086 in Patients With Advanced Solid Tumors</t>
  </si>
  <si>
    <t>NCT06907121</t>
  </si>
  <si>
    <t>Investigation of Growth Hormone and Platelet-Rich Plasma on Joint Health</t>
  </si>
  <si>
    <t>Integrant Pty Ltd</t>
  </si>
  <si>
    <t>NCT07223671</t>
  </si>
  <si>
    <t>Study to Evaluate the Effect of Repotrectinib on the Drug Levels of Transporter and CYP P450 Probe Substrates in Healthy Adult Participants</t>
  </si>
  <si>
    <t>NCT06828887</t>
  </si>
  <si>
    <t>Dose-Finding Clinical Trial to Evaluate the Efficacy and Safety of LV232 Capsules in the Treatment of MDD</t>
  </si>
  <si>
    <t>NCT06552416</t>
  </si>
  <si>
    <t>Safety of MT-401-OTS in Patients With Relapsed AML or MDS</t>
  </si>
  <si>
    <t>NCT07081633</t>
  </si>
  <si>
    <t>Durvalumab and Tremelimumab With Lenvatinib as First-line Treatment in Patients With Unresectable Hepatocellular Carcinoma</t>
  </si>
  <si>
    <t>NCT07177911</t>
  </si>
  <si>
    <t>Safety and Efficacy Study of CC312 for Moderate to Severe SLE</t>
  </si>
  <si>
    <t>NCT07395232</t>
  </si>
  <si>
    <t>An Efficacy and Safety Study of DFL24498 in the Treatment of AKC</t>
  </si>
  <si>
    <t>NCT06920004</t>
  </si>
  <si>
    <t>A Study to Assess Efficacy and Safety of Empasiprubart Versus IVIg in Adults With CIDP</t>
  </si>
  <si>
    <t>NCT07207811</t>
  </si>
  <si>
    <t>CLEOPATTRA: A Research Study to Look at the Effects of Treatment With a Medicine Called Coramitug (NNC6019-0001) in People With Heart Failure Due to Transthyretin Amyloid (ATTR) Amyloidosis</t>
  </si>
  <si>
    <t>NCT07011056</t>
  </si>
  <si>
    <t>A Phase III Clinical Study of Purinostat Mesylate for Injection in Patients With Diffuse Large B-cell Lymphoma</t>
  </si>
  <si>
    <t>NCT07357051</t>
  </si>
  <si>
    <t>Phase III Clinical Study Evaluating the Safety, Pharmacokinetics, and Efficacy of JKN2301 Dry Suspension in Pediatric Patients Aged 2 to Under 12 Years With Influenza</t>
  </si>
  <si>
    <t>NCT06652529</t>
  </si>
  <si>
    <t>Phase 1 Dose Escalation and Expansion to Evaluate AROG4-01 in Patients With Advanced Solid Tumors</t>
  </si>
  <si>
    <t>Aromics Therapeutics</t>
  </si>
  <si>
    <t>NCT06994845</t>
  </si>
  <si>
    <t>Study to Assess the Efficacy, Pharmacokinetics, Safety and Tolerability of Iptacopan in Pediatric Patients With Primary IgAN</t>
  </si>
  <si>
    <t>NCT07323173</t>
  </si>
  <si>
    <t>A Phase I Study to Assess LBL-047 in Healthy Adults and Patients With Systemic Lupus Erythematosus</t>
  </si>
  <si>
    <t>NCT06781983</t>
  </si>
  <si>
    <t>Safety and Tolerability of IPH4502 in Patients With Advanced Solid Tumors</t>
  </si>
  <si>
    <t>NCT07082829</t>
  </si>
  <si>
    <t>A Study of ORX142 in Healthy Adult Subjects, Including Subjects 18 to 80 Years of Age</t>
  </si>
  <si>
    <t>NCT03686657</t>
  </si>
  <si>
    <t>Evaluation of Superiority of Valsartan+Celecoxib+Metformin Over Metformin Alone in Type 2 Diabetes Patients</t>
  </si>
  <si>
    <t>ARKAY Therapeutics</t>
  </si>
  <si>
    <t>NCT07039045</t>
  </si>
  <si>
    <t>A Study of [14C]-LY4065967 in Healthy Participants</t>
  </si>
  <si>
    <t>NCT06962865</t>
  </si>
  <si>
    <t>A Phase Ⅱ Study of RC108 in Combination With Furmonertinib for the First-line Treatment of EGFR-Mutated Combined MET-Positive Unresectable Locally Advanced or Recurrent Metastatic NSCLC</t>
  </si>
  <si>
    <t>NCT06555328</t>
  </si>
  <si>
    <t>Evaluate Safety and Pharmacokinetics of INF904 in Subjects With Moderate to Severe Chronic Spontaneous Urticaria or Hidradenitis Suppurativa</t>
  </si>
  <si>
    <t>NCT06908577</t>
  </si>
  <si>
    <t>An Accessorised Prefilled Syringe to an Autoinjector Pharmacokinetic Bridging Study of Tozorakimab</t>
  </si>
  <si>
    <t>NCT07001839</t>
  </si>
  <si>
    <t>A Phase Ib Study of QLS4131 in Subjects With Systemic Lupus Erythematosus</t>
  </si>
  <si>
    <t>NCT06937177</t>
  </si>
  <si>
    <t>Safely Optimizing Body Weight With TCMCB07 in Patients With Newly Diagnosed Colorectal Cancer Undergoing Chemotherapy</t>
  </si>
  <si>
    <t>NCT07136012</t>
  </si>
  <si>
    <t>OCEAN(a)-PreEvent - Olpasiran Trials of Cardiovascular Events And LipoproteiN(a) Reduction to Prevent First Major Cardiovascular Events</t>
  </si>
  <si>
    <t>NCT06904105</t>
  </si>
  <si>
    <t>A Trial of HRS-7535 Tablets in Subjects With Overweight or Obesity</t>
  </si>
  <si>
    <t>NCT06845202</t>
  </si>
  <si>
    <t>A Study to Evaluate ALN-4324 in Overweight to Obese Healthy Volunteers and in Overweight to Obese Patients With T2DM</t>
  </si>
  <si>
    <t>NCT07254845</t>
  </si>
  <si>
    <t>A PROSPECTIVE, SINGLE-CENTERED, ASSESSOR-BLINDED STUDY TO EVALUATE THE CLINICAL EFFICACY OF THE PROPOSED CELL/TISSUE HISTOPATHOLOGY PROCESSOR CCELL (CONFOCAL FLUORESCENCE ENDOMICROSCOPY) FOR INTRAOPERATIVE DIAGNOSIS IN BRAIN TUMORS</t>
  </si>
  <si>
    <t>NCT07004972</t>
  </si>
  <si>
    <t>A Study of Mavacamten in Adults With Obstructive Hypertrophic Cardiomyopathy in India (ROVER)</t>
  </si>
  <si>
    <t>NCT07443202</t>
  </si>
  <si>
    <t>Study of Lotilaner Ophthalmic Gel in Patients With Ocular Rosacea (KORE)</t>
  </si>
  <si>
    <t>NCT06952530</t>
  </si>
  <si>
    <t>A Master Protocol Study of Orforglipron (LY3502970) in Participants With Hypertension and Obesity or Overweight (ATTAIN-Hypertension) GZL2</t>
  </si>
  <si>
    <t>NCT07009457</t>
  </si>
  <si>
    <t>A Clinical Study of SHR-1316 (SC) Combined With Carboplatin and Etoposide as First-line Treatment for Extensive Stage Small Cell Lung Cancer</t>
  </si>
  <si>
    <t>NCT07231419</t>
  </si>
  <si>
    <t>Evaluation of Efficacy and Safety of Suzetrigine (SUZ) for Pain Associated With Diabetic Peripheral Neuropathy</t>
  </si>
  <si>
    <t>NCT06782477</t>
  </si>
  <si>
    <t>A Study of STAR-0310 in Healthy Adult Participants</t>
  </si>
  <si>
    <t>NCT06878365</t>
  </si>
  <si>
    <t>A Study to Test How Well BI 3000202 is Tolerated by People With Type 1 Interferonopathies</t>
  </si>
  <si>
    <t>NCT06772428</t>
  </si>
  <si>
    <t>Nano-crystalline Megestrol Acetate for Adjuvant Treatment in High-risk Head and Neck Squamous Cell Carcinoma After Surgery.</t>
  </si>
  <si>
    <t>NCT07188012</t>
  </si>
  <si>
    <t>Safety and Dystrophin Expression of SPOT-03 in Duchenne Muscular Dystrophy (DMD) Patients</t>
  </si>
  <si>
    <t>Shanghai Siponuoyin Biotechnology Co Ltd</t>
  </si>
  <si>
    <t>NCT07044765</t>
  </si>
  <si>
    <t>A Study to Evaluate the Safety and Pharmacokinetics of Dapagliflozin, Linagliptin, and Metformin in Healthy Adults: Fed State Study</t>
  </si>
  <si>
    <t>NCT06906809</t>
  </si>
  <si>
    <t>Effect of Phenytoin or Itraconazole on How BGB-16673 is Absorbed and Removed From the Body in Healthy Participants</t>
  </si>
  <si>
    <t>NCT07292714</t>
  </si>
  <si>
    <t>A Study to Evaluate 9MW1911 in Patients With Chronic Obstructive Pulmonary Disease (COPD)</t>
  </si>
  <si>
    <t>NCT06955416</t>
  </si>
  <si>
    <t>REAMBERIN® 1.5% in Rehydration Therapy of Diabetic Ketoacidosis</t>
  </si>
  <si>
    <t>NCT06747936</t>
  </si>
  <si>
    <t>A Study to Evaluate the Efficacy and Safety of Co-administration of AD-2281 and AD-2282</t>
  </si>
  <si>
    <t>NCT06789432</t>
  </si>
  <si>
    <t>Efficacy and Safety of Atorvastatin and Ezetimibe (10/10mg) Fixed Dose Combination Versus Atorvastatin (20mg) Monotherapy in Bangladeshi Population</t>
  </si>
  <si>
    <t>NCT07210463</t>
  </si>
  <si>
    <t>A Study of NT 201 in Adults With Moderate to Severe Platysma Prominence in Europe (PLATINUM EU)</t>
  </si>
  <si>
    <t>NCT06867393</t>
  </si>
  <si>
    <t>Safety, Tolerability, and Pharmacokinetics of HL-003 in Healthy Subjects</t>
  </si>
  <si>
    <t>NCT06965621</t>
  </si>
  <si>
    <t>18F-mFBG Imaging for Myocardial Sympathetic Innervation</t>
  </si>
  <si>
    <t>NCT06939816</t>
  </si>
  <si>
    <t>Vonafexor in Patients With Impaired Renal Function and Suspected MASH (Metabolic Dysfunction-associated Steatohepatitis)</t>
  </si>
  <si>
    <t>NCT07161544</t>
  </si>
  <si>
    <t>A Study of AAVB-039 in Participants With Stargardt Disease (STGD1)</t>
  </si>
  <si>
    <t>NCT07075484</t>
  </si>
  <si>
    <t>A Study of YTS109 Cell in Subjects With Relapsed/Refractory Autoimmune Hemolytic Anemia</t>
  </si>
  <si>
    <t>NCT06881784</t>
  </si>
  <si>
    <t>Study of Daraxonrasib (RMC-6236) in Patients With RAS Mutated NSCLC (RASolve 301)</t>
  </si>
  <si>
    <t>NCT06820099</t>
  </si>
  <si>
    <t>Study on the Efficacy and Safety of HRS-7535 in Patients With Mild Decrease in Ejection Fraction/Preserved Ejection Fraction Heart Failure and Obesity</t>
  </si>
  <si>
    <t>NCT07217704</t>
  </si>
  <si>
    <t>Using 18F-FAPI PET to Detect Metastatic Disease in Patients That Have Gastric or Esophageal Cancer.</t>
  </si>
  <si>
    <t>NCT06999187</t>
  </si>
  <si>
    <t>A Study of DR-0202 in Patients With Locally Advanced or Metastatic, Relapsed or Refractory Carcinomas</t>
  </si>
  <si>
    <t>NCT06890884</t>
  </si>
  <si>
    <t>A Clinical Study of Zilovertamab Vedotin (MK-2140) Plus Rituximab Plus Cyclophosphamide, Doxorubicin, and Prednisone (R-CHP) Versus Polatuzumab Vedotin Plus R-CHP in People With Diffuse Large B-cell Lymphoma (DLBCL) (MK-2140-011/waveLINE-011)</t>
  </si>
  <si>
    <t>NCT06981299</t>
  </si>
  <si>
    <t>A Phase 1 Study of PROT-001.</t>
  </si>
  <si>
    <t>Protego Biopharma Pty Ltd</t>
  </si>
  <si>
    <t>NCT07221734</t>
  </si>
  <si>
    <t>Study to Compare Pharmacokinetics, Efficacy, Safety, and Immunogenicity of MB11 Versus EU-/US-Opdivo® in Subjects With Previously Untreated Advanced [Unresectable or Metastatic] Melanoma</t>
  </si>
  <si>
    <t>NCT07020221</t>
  </si>
  <si>
    <t>A Phase 1/2 Study of VS-7375 in Patients With KRAS G12D-Mutated Solid Tumors</t>
  </si>
  <si>
    <t>NCT07108036</t>
  </si>
  <si>
    <t>A Study to Assess Anktiva in Patients With Long Covid-19.</t>
  </si>
  <si>
    <t>NCT05521087</t>
  </si>
  <si>
    <t>A Study of JNJ-75276617 in Combination With Conventional Chemotherapy for Pediatric and Young Adult Participants With Relapsed/Refractory Acute Leukemias</t>
  </si>
  <si>
    <t>NCT06990204</t>
  </si>
  <si>
    <t>Bioequivalence Study of Azilsartan Medoxomil 80 mg Tablets (Gedeon Richter Plc., Hungary) and Edarbi® 80 mg Tablets (JSC Nizhpharm, Russia)</t>
  </si>
  <si>
    <t>NCT07007936</t>
  </si>
  <si>
    <t>Phase IIa Trial of Oral SSS17 for Post-Arthroplasty Anemia</t>
  </si>
  <si>
    <t>NCT06884098</t>
  </si>
  <si>
    <t>A Study to Compare PK Characteristics and Safety Profiles Between AD-228B and AD-2284</t>
  </si>
  <si>
    <t>NCT07124793</t>
  </si>
  <si>
    <t>A Study of IBI363 Combination Therapy in Participants With Advanced Solid Tumors</t>
  </si>
  <si>
    <t>NCT06531798</t>
  </si>
  <si>
    <t>Post-marketing Phase 4 Safety &amp; Tolerability Study of Breztri aerosphereTM in Indian Patients With Chronic Obstructive Pulmonary Disease</t>
  </si>
  <si>
    <t>NCT06749236</t>
  </si>
  <si>
    <t>A Study to Evaluate the Bioavailability of Two Specifications of Oral Deuremidevir Hydrobromide for Suspension</t>
  </si>
  <si>
    <t>NCT06772532</t>
  </si>
  <si>
    <t>A Study in Healthy People to Compare How 3 Different Formulations of Survodutide Are Taken up in the Body</t>
  </si>
  <si>
    <t>NCT07254871</t>
  </si>
  <si>
    <t>Study of DM-101PX in Adults With Birch Pollen Allergy</t>
  </si>
  <si>
    <t>NCT07305987</t>
  </si>
  <si>
    <t>PRO-232 in Patients Subjected to Cataract Surgery</t>
  </si>
  <si>
    <t>NCT04649411</t>
  </si>
  <si>
    <t>Study to Evaluate the Safety and Tolerability of KRX-0502 (Ferric Citrate) in Children With Iron Deficiency Anemia Associated With Non-Dialysis Dependent Chronic Kidney Disease</t>
  </si>
  <si>
    <t>NCT05969392</t>
  </si>
  <si>
    <t>Evaluation of Efficacy and Safety of Intradiscal Gelified Ethanol in Refractory Cervical Discogenic Pain</t>
  </si>
  <si>
    <t>Gelscom SAS</t>
  </si>
  <si>
    <t>NCT07185841</t>
  </si>
  <si>
    <t>Safety and Efficacy of Oral HX9428 Tablets in Subjects With Wet Age-related Macular Degeneration (wAMD)</t>
  </si>
  <si>
    <t>NCT06726161</t>
  </si>
  <si>
    <t>Study of the Theranostic Pair RYZ811 (Diagnostic) and RYZ801 (Therapeutic) to Identify and Treat Subjects With GPC3+ (Glypican-3) Unresectable HCC</t>
  </si>
  <si>
    <t>NCT06964061</t>
  </si>
  <si>
    <t>Evaluate Efficacy, Safety, Tolerability and Biodegradation of PA5346 Ocular Implant in Patients With Open-Angle Glaucoma or Ocular Hypertension</t>
  </si>
  <si>
    <t>NCT07162883</t>
  </si>
  <si>
    <t>Pharmacokinetic Study of QL2107 Versus Keytruda® for Adjuvant Therapy of Non-Small Cell Lung Cancer (NSCLC)</t>
  </si>
  <si>
    <t>NCT06700070</t>
  </si>
  <si>
    <t>A Phase 0 Multicenter Study of the Pharmacodynamic Effects of Intratumoral Microdose Administration of PBA-0111 in Patients With Solid Tumors</t>
  </si>
  <si>
    <t>NCT07306754</t>
  </si>
  <si>
    <t>A Phase 1 Study to Evaluate the Safety and Pharmacokinetics of ABBV-243 in Healthy Adults.</t>
  </si>
  <si>
    <t>NCT07300969</t>
  </si>
  <si>
    <t>A Study to Evaluate the Effectiveness of DT-101 in Patients With Depression</t>
  </si>
  <si>
    <t>Draig Therapeutics Ltd</t>
  </si>
  <si>
    <t>NCT06988670</t>
  </si>
  <si>
    <t>A Phase 2 Trial Investigating the Safety, Tolerability and Efficacy of EXT608 in Adults With Hypoparathyroidism</t>
  </si>
  <si>
    <t>NCT07108270</t>
  </si>
  <si>
    <t>A Study of Dostarlimab in Combination With Carboplatin-paclitaxel in Chinese Participants With Primary Advanced or Recurrent Endometrial Cancer (EC)</t>
  </si>
  <si>
    <t>NCT07034183</t>
  </si>
  <si>
    <t>A First-in-Human Study of PRD001</t>
  </si>
  <si>
    <t>PRD Therapeutics, Inc.</t>
  </si>
  <si>
    <t>NCT06990269</t>
  </si>
  <si>
    <t>Phase 2 Study of ADX-038 in Participants With Geographic Atrophy</t>
  </si>
  <si>
    <t>NCT06788756</t>
  </si>
  <si>
    <t>L-Annamycin for Injection in Combination With Cytarabine Injection as Second Line Therapy for Remission Induction in Adult Subjects With Refractory/Relapsed AML</t>
  </si>
  <si>
    <t>NCT06940154</t>
  </si>
  <si>
    <t>Rademikibart Add-on Treatment of an Acute COPD Exacerbation (Seabreeze STAT COPD)</t>
  </si>
  <si>
    <t>NCT07340476</t>
  </si>
  <si>
    <t>A Study to Evaluate the PK Similarity of AK112 in Healthy Chinese Male Subjects</t>
  </si>
  <si>
    <t>NCT07044479</t>
  </si>
  <si>
    <t>A Clinical Study of How Coffee and Tea Affect Enlicitide in Healthy Volunteers (MK-0616-040)</t>
  </si>
  <si>
    <t>NCT06377982</t>
  </si>
  <si>
    <t>Human Umbilical Cord Blood Infusion in Patients with Cerebral Palsy</t>
  </si>
  <si>
    <t>StemCyte Taiwan Co., Ltd.</t>
  </si>
  <si>
    <t>NCT07161180</t>
  </si>
  <si>
    <t>Evaluation of the Pharmacokinetics of "PBK_M2301" in Healthy Adults</t>
  </si>
  <si>
    <t>NCT06909474</t>
  </si>
  <si>
    <t>Clinical Trial of CD5-targeted CAR-NK Therapy for Relapse/Refractory T-Cell Hematologic Malignancies</t>
  </si>
  <si>
    <t>NCT06799559</t>
  </si>
  <si>
    <t>Study on the Efficacy and Safety of QLM1016 in Schizophrenia</t>
  </si>
  <si>
    <t>NCT07165886</t>
  </si>
  <si>
    <t>Sirolimus for Injection (Albumin Bound) Combined With Octreotide Long-acting Injection in Patients With Metastatic Gastroenteropancreatic Neuroendocrine Tumors</t>
  </si>
  <si>
    <t>NCT06869551</t>
  </si>
  <si>
    <t>A Study to Evaluate the Drug Levels, Efficacy, and Safety of Deucravacitinib (BMS-986165) in Pediatric Participants With Juvenile Psoriatic Arthritis</t>
  </si>
  <si>
    <t>NCT07173751</t>
  </si>
  <si>
    <t>ROSETTA Breast-01: The Effects and Safety of Pumitamig in Patients With Triple-Negative Breast Cancer</t>
  </si>
  <si>
    <t>NCT06666179</t>
  </si>
  <si>
    <t>Safety and Immunogenicity Study of SCB-1019T in Children</t>
  </si>
  <si>
    <t>NCT07144280</t>
  </si>
  <si>
    <t>A Study to Learn About the Study Medicine Called PF-08046054/SGN-PDL1V Versus Docetaxel in Adult Participants With Previously-Treated Programmed Cell Death Ligand 1 (PD-L1) Positive Non-Small-Cell Lung Cancer (NSCLC)</t>
  </si>
  <si>
    <t>NCT07138196</t>
  </si>
  <si>
    <t>A Study to Evaluate Adrixetinib (Q702) in Adults With Active Chronic Graft-Versus-Host Disease</t>
  </si>
  <si>
    <t>NCT07312188</t>
  </si>
  <si>
    <t>A Study of F182112 in the Treatment of Patients With Relapsed or Refractory Multiple Myeloma</t>
  </si>
  <si>
    <t>NCT07116746</t>
  </si>
  <si>
    <t>Evaluation of Efficacy and Safety of AR882 and XOI Co-administration in Uricase Treatment Failed Patients</t>
  </si>
  <si>
    <t>NCT07230626</t>
  </si>
  <si>
    <t>SYS6002 vs Chemotherapy in Recurrent or Metastatic Cervical Cancer</t>
  </si>
  <si>
    <t>NCT06819826</t>
  </si>
  <si>
    <t>A Study of SC0062 Capsule for the Treatment of IgA Nephropathy with Proteinuria</t>
  </si>
  <si>
    <t>NCT07344558</t>
  </si>
  <si>
    <t>A Study to Evaluate Safety, Tolerability and Pharmacokinetics of MNKD-201 in Patients With Idiopathic Pulmonary Fibrosis</t>
  </si>
  <si>
    <t>NCT07105215</t>
  </si>
  <si>
    <t>A I/II Phase Clinical Study to Evaluate the Safety and Efficacy of RC278 in the Treatment of Solid Tumors</t>
  </si>
  <si>
    <t>NCT06909825</t>
  </si>
  <si>
    <t>FPI-2265 (225Ac-PSMA-I&amp;T) and Olaparib for Patients With Metastatic Castration-Resistant Prostate Cancer (mCRPC)</t>
  </si>
  <si>
    <t>NCT06845878</t>
  </si>
  <si>
    <t>A Chatbot To Support Substance Use Recovery</t>
  </si>
  <si>
    <t>Dimagi Inc.</t>
  </si>
  <si>
    <t>NCT06801418</t>
  </si>
  <si>
    <t>Bioequivalence Study Between Adagrasib Reference Tablets and High Drug Load Tablets</t>
  </si>
  <si>
    <t>NCT06634420</t>
  </si>
  <si>
    <t>HAELO: A Phase 3 Study to Evaluate NTLA-2002 in Participants With Hereditary Angioedema (HAE)</t>
  </si>
  <si>
    <t>NCT06902350</t>
  </si>
  <si>
    <t>Safety, Pharmacokinetics and Preliminary Efficacy of CS231295 in Advanced Solid Tumors</t>
  </si>
  <si>
    <t>NCT07325097</t>
  </si>
  <si>
    <t>PVEK Corneal Implant For Treatment of Corneal Edema</t>
  </si>
  <si>
    <t>Precise Bio</t>
  </si>
  <si>
    <t>NCT07241390</t>
  </si>
  <si>
    <t>A Study of Orforglipron (LY3502970) on Cardiovascular Outcomes in Adults With Atherosclerotic Cardiovascular Disease and/or Chronic Kidney Disease (ATTAIN-Outcomes)</t>
  </si>
  <si>
    <t>NCT06803680</t>
  </si>
  <si>
    <t>A Study of BGB-B455 in Adults With Advanced or Metastatic Solid Tumors</t>
  </si>
  <si>
    <t>NCT07038382</t>
  </si>
  <si>
    <t>A Study to Evaluate the Efficacy, Safety, and Tolerability of Human Sialidase Fusion Protein (HLX79) in Combination With Rituximab Injection Versus Placebo in Patients With Active Glomerulonephritis</t>
  </si>
  <si>
    <t>NCT06825559</t>
  </si>
  <si>
    <t>Evaluate PK &amp; Safety of Saroglitazar in Subjects With Moderate Hepatic Impairment Due to Cholestatic Liver Disease</t>
  </si>
  <si>
    <t>NCT06665828</t>
  </si>
  <si>
    <t>Phase 1 Safety and Tolerability Study of REGN9533 in Healthy Adults</t>
  </si>
  <si>
    <t>NCT07159828</t>
  </si>
  <si>
    <t>A Study to Assess AXN-2510 Treatment in Adult Patients With Advanced Solid Tumors</t>
  </si>
  <si>
    <t>Axion Bio, Inc</t>
  </si>
  <si>
    <t>NCT06842199</t>
  </si>
  <si>
    <t>Efficacy, Safety, Pharmacokinetics of ICP-488 in Patients With Moderate to Severe Plaque Psoriasis</t>
  </si>
  <si>
    <t>NCT07213804</t>
  </si>
  <si>
    <t>A Three-Part Phase 3 Study of Sofetabart Mipitecan in Participants With Platinum-Resistant (Part A) and Platinum-Sensitive (Parts B and C) Ovarian Cancer</t>
  </si>
  <si>
    <t>NCT07017335</t>
  </si>
  <si>
    <t>Drug-Drug Interaction Between R1_PBK_M2301 and R2_PBK_M2301 in Healthy Adults</t>
  </si>
  <si>
    <t>NCT07219771</t>
  </si>
  <si>
    <t>A Study to Evaluate the Efficacy and Safey of PTP-001 (MOTYS™) in Knee Osteoarthritis Patients</t>
  </si>
  <si>
    <t>Doron Therapeutics Inc.</t>
  </si>
  <si>
    <t>NCT06885034</t>
  </si>
  <si>
    <t>A Study to Test the Safety and Effectiveness of GSK5764227, Alone or With Other Treatments, in Participants With Advanced Gastrointestinal Cancers That Cannot be Surgically Removed</t>
  </si>
  <si>
    <t>NCT06776432</t>
  </si>
  <si>
    <t>Safety and Efficacy Study of Sivopixant, Acetazolamide and SASS-001 in Sleep Apnea</t>
  </si>
  <si>
    <t>NCT07093398</t>
  </si>
  <si>
    <t>A Phase 1 Study to Assess Food Effect on the Pharmacokinetics of D3S-001 in Healthy Adult Participants</t>
  </si>
  <si>
    <t>NCT06996184</t>
  </si>
  <si>
    <t>Effect of Food on the Oral Bioavailability of a Prolonged-release Formulation of Vamifeport in Healthy Adults</t>
  </si>
  <si>
    <t>NCT07144852</t>
  </si>
  <si>
    <t>Study of Reformulated Levulan Kerastick Plus PDT for Actinic Keratosis on Upper Extremities</t>
  </si>
  <si>
    <t>NCT06642792</t>
  </si>
  <si>
    <t>A Study of AK129 With or Without AK117 in PD(L)1-refractory Classic Hodgkin Lymphoma</t>
  </si>
  <si>
    <t>NCT06851611</t>
  </si>
  <si>
    <t>The Safety and Antibody Response of the Nasal COV2 Vaccine Against the SARS-CoV-2 Virus</t>
  </si>
  <si>
    <t>Rokote Laboratories Finland Oy</t>
  </si>
  <si>
    <t>NCT06819514</t>
  </si>
  <si>
    <t>The Safety and Efficacy of Intravenous EXG110 in Patients With Fabry Disease</t>
  </si>
  <si>
    <t>NCT07026916</t>
  </si>
  <si>
    <t>A Phase II Study to Evaluate GFH375 in Patients With KRAS G12D Mutant Metastatic Pancreatic Cancer</t>
  </si>
  <si>
    <t>NCT07073638</t>
  </si>
  <si>
    <t>Phase 2 Trial to Evaluate the Safety and Tolerability and Early Bactericidal Activity of RESP30TB in Tuberculosis</t>
  </si>
  <si>
    <t>NCT07190885</t>
  </si>
  <si>
    <t>A Pharmacokinetic Study of YN001 in Healthy Participants</t>
  </si>
  <si>
    <t>NCT06533644</t>
  </si>
  <si>
    <t>A Study of SYNC-T Therapy SV-102 in Participants With Metastatic Castration-Resistant Prostate Cancer</t>
  </si>
  <si>
    <t>Syncromune, Inc.</t>
  </si>
  <si>
    <t>NCT07073833</t>
  </si>
  <si>
    <t>The Safety, Tolerability, and Efficacy of IBR900 Cell Injection in Relapsed/Refractory B-cell Non Hodgkin Lymphoma</t>
  </si>
  <si>
    <t>NCT06917872</t>
  </si>
  <si>
    <t>A Study in Healthy People to Test Whether Erythromycin Influences the Amount of BI 1291583 in the Blood</t>
  </si>
  <si>
    <t>NCT06289881</t>
  </si>
  <si>
    <t>Sildenafil 100 mg Tablets Relative to Viagra 100 mg Tablets</t>
  </si>
  <si>
    <t>NCT07332000</t>
  </si>
  <si>
    <t>A Biomarker Study in Men With Localized Prostate Cancer Treated With Aglatimagene Besadenovec</t>
  </si>
  <si>
    <t>NCT07090499</t>
  </si>
  <si>
    <t>A Study to Learn About the Study Medicine Called PF-08046876 in People With Advanced Solid Tumors</t>
  </si>
  <si>
    <t>NCT07543198</t>
  </si>
  <si>
    <t>Clinical Trial of PCV24 in Adults Aged ≥18 Years</t>
  </si>
  <si>
    <t>NCT07302516</t>
  </si>
  <si>
    <t>Compare the Efficacy and Safety of QL2302 Versus Tezspire® in Severe Asthma</t>
  </si>
  <si>
    <t>NCT06912633</t>
  </si>
  <si>
    <t>Safety of a Single, Intravitreal Injection of 6.0M jCell (Famzeretcel) in Retinitis Pigmentosa (RP)</t>
  </si>
  <si>
    <t>NCT06783621</t>
  </si>
  <si>
    <t>A Study to Evaluate Patient Satisfaction With the Overall Face and Neck Appearance After Combined Treatment of OnabotulinumtoxinA, JUVÉDERM® Products, KYBELLA, CoolSculpting Elite and SkinMedica Products</t>
  </si>
  <si>
    <t>NCT07191847</t>
  </si>
  <si>
    <t>Assessment of CataClear, Tear Film Stability, Tear Volume, and Dry Eye Symptoms Using Stem Cells Fortified Eye Drops</t>
  </si>
  <si>
    <t>NCT07089875</t>
  </si>
  <si>
    <t>A Study of Dotinurad Versus Allopurinol in Participants With Gout</t>
  </si>
  <si>
    <t>Crystalys Therapeutics</t>
  </si>
  <si>
    <t>NCT07217171</t>
  </si>
  <si>
    <t>A Study Evaluating the Safety, Efficacy, and Pharmacokinetics (PK) of EVOLVE104 in Participants With Advanced Urothelial and Squamous Cell Carcinomas</t>
  </si>
  <si>
    <t>EvolveImmune United, Inc</t>
  </si>
  <si>
    <t>NCT06935409</t>
  </si>
  <si>
    <t>Study of HS-20093 Versus Gemcitabine in Combination With Docetaxel in Treatment of Osteosarcoma After Previous Second-line Treatment Failure</t>
  </si>
  <si>
    <t>NCT07215312</t>
  </si>
  <si>
    <t>A Study of LY3938577 in Participants With Type 2 Diabetes Previously Treated With Basal Insulin</t>
  </si>
  <si>
    <t>NCT06966700</t>
  </si>
  <si>
    <t>A Clinical Study of Sacituzumab Tirumotecan (Sac-TMT, MK-2870) in People With Breast Cancer (MK-2870-032)</t>
  </si>
  <si>
    <t>NCT07205900</t>
  </si>
  <si>
    <t>Study to Evaluate HM15275 in Obese or Overweight Subjects Without Diabetes Mellitus</t>
  </si>
  <si>
    <t>NCT07074236</t>
  </si>
  <si>
    <t>Pharmacokinetics and Pharmacodynamics Study</t>
  </si>
  <si>
    <t>NCT07011771</t>
  </si>
  <si>
    <t>A Clinical Trial of CAP-003 Gene Therapy in Adult Patients With GBA1 Associated Parkinson's Disease</t>
  </si>
  <si>
    <t>Capsida Biotherapeutics, Inc.</t>
  </si>
  <si>
    <t>NCT06780332</t>
  </si>
  <si>
    <t>Rapid Drug Desensitization Study in Adults Experiencing Hypersensitivity Reactions to Palynziq</t>
  </si>
  <si>
    <t>NCT07148414</t>
  </si>
  <si>
    <t>A Study of SPY072 in Rheumatic Disease</t>
  </si>
  <si>
    <t>NCT07126665</t>
  </si>
  <si>
    <t>A Study of MHB088C Combined With MHB039A in Patients With Advanced Malignant Solid Tumors</t>
  </si>
  <si>
    <t>NCT07260500</t>
  </si>
  <si>
    <t>A Phase II Study of PEG-rhGH Injection for Short Children Born Small for Gestational Age: Efficacy, Safety, and Pharmacokinetics</t>
  </si>
  <si>
    <t>NCT06833307</t>
  </si>
  <si>
    <t>The Efficacy and Safety of SHR-1314 in the Treatment of Pediatric Patients of Age 6 to &lt;18 Years With Moderate to Severe Plaque Psoriasis</t>
  </si>
  <si>
    <t>NCT07255209</t>
  </si>
  <si>
    <t>A Study of IBI362 in Chinese Adolescents With Obesity or Overweight</t>
  </si>
  <si>
    <t>NCT07128914</t>
  </si>
  <si>
    <t>A Clinical Study of GO306 in Patients With Advanced Solid Tumors</t>
  </si>
  <si>
    <t>GeneSail Biotech (Shanghai) Co., Ltd.</t>
  </si>
  <si>
    <t>NCT06852573</t>
  </si>
  <si>
    <t>Clinical Study of ZM001 Injection in the Treatment of Refractory Systemic Lupus Erythematosus</t>
  </si>
  <si>
    <t>NCT06756269</t>
  </si>
  <si>
    <t>To Evaluate the Safety and Immunogenicity of 15-valent HPV Recombinant Vaccine in Chinese People Aged 9-45 Years</t>
  </si>
  <si>
    <t>NCT07218783</t>
  </si>
  <si>
    <t>Evaluation of the Safety and Efficacy of the Bimatoprost Implant System Used in Combination With the SpyGlass IOL Compared to Timolol Ophthalmic Solution (Rhine)</t>
  </si>
  <si>
    <t>NCT06461156</t>
  </si>
  <si>
    <t>A Study of HS-10504 in Patients With Advanced or Metastatic Non-Small-Cell Lung Cancer(NSCLC)</t>
  </si>
  <si>
    <t>NCT06739122</t>
  </si>
  <si>
    <t>A Study of Dulaglutide (LY2189265) 3.0 mg and 4.5 mg in Pediatric Participants With Type 2 Diabetes Mellitus (AWARD-PEDS PLUS)</t>
  </si>
  <si>
    <t>NCT07142837</t>
  </si>
  <si>
    <t>Study of ZG005 in Combination With Gecacitinib and Chemotherapy for Participants With Advanced Solid Tumors</t>
  </si>
  <si>
    <t>NCT06845839</t>
  </si>
  <si>
    <t>Study to Evaluate CAY001 in Healthy Volunteers</t>
  </si>
  <si>
    <t>Cayuga Biotech, Inc.</t>
  </si>
  <si>
    <t>NCT07036601</t>
  </si>
  <si>
    <t>Phase II Study of THDBH120 Injection in Overweight or Obese Subjects</t>
  </si>
  <si>
    <t>NCT06987500</t>
  </si>
  <si>
    <t>A Study of PARG Inhibitor XNW29016 in Patients With Advanced Solid Tumors Who Failed Standard Treatment</t>
  </si>
  <si>
    <t>NCT07295951</t>
  </si>
  <si>
    <t>A Study of 14C-Bleximenib (Radiolabeled) in Participants With Acute Leukemia</t>
  </si>
  <si>
    <t>NCT06854653</t>
  </si>
  <si>
    <t>A Phase 2 Study of PTX 100 in Patients With Relapsed/Refractory CTCL</t>
  </si>
  <si>
    <t>Prescient Therapeutics, Ltd.</t>
  </si>
  <si>
    <t>NCT06994507</t>
  </si>
  <si>
    <t>GM1 Prophylaxis for Nab-paclitaxel-associated Chemotherapy-induced Peripheral Neuropathy (CIPN) in Patients With Breast Cancer</t>
  </si>
  <si>
    <t>NCT06999551</t>
  </si>
  <si>
    <t>Comparison of the Efficacy and Safety of GLARGEN® Versus NPH Insulin in Diabetic Tunisian Patients.</t>
  </si>
  <si>
    <t>NCT07102095</t>
  </si>
  <si>
    <t>A Study Evaluating How Moderate Liver Impairment Affects the Absorption, Distribution, Metabolism, and Elimination of Sevabertinib After a Single Oral Dose</t>
  </si>
  <si>
    <t>NCT07025239</t>
  </si>
  <si>
    <t>QL1706 Injection Plus Bevacizumab and XELOX vs Placebo Plus Bevacizumab and XELOX as First-Line Treatment of Unresectable Metastatic Colorectal Cancer</t>
  </si>
  <si>
    <t>NCT07037875</t>
  </si>
  <si>
    <t>A Study Comparing the Effect and Safety of Linaprazan Glurate to Lansoprazole in Participants With Erosive Esophagitis (EE) Due to Gastroesophageal Reflux Disease (GERD)</t>
  </si>
  <si>
    <t>NCT07010419</t>
  </si>
  <si>
    <t>A Study to Assess the Efficacy and Safety of Firmonertinib Versus Placebo for Adjuvant Treatment in Participants With Stage IB - IIIB NSCLC With Uncommon Epidermal Growth Factor Receptor (EGFR) Mutations, Following Complete Surgical Resection With or Without Adjuvant Chemotherapy（FIRMOST）</t>
  </si>
  <si>
    <t>NCT06686030</t>
  </si>
  <si>
    <t>Combination Therapy of AK112 With Chemotherapy and/or Olaparib in Platinum-sensitive Ovarian Cancer</t>
  </si>
  <si>
    <t>NCT07109219</t>
  </si>
  <si>
    <t>Study of AZD4512 Monotherapy or in Combination With Anticancer Agents in Participants With Acute Lymphoblastic Leukemia</t>
  </si>
  <si>
    <t>NCT07080905</t>
  </si>
  <si>
    <t>Phase 3, Open-label, Single-dose Study of CSL222 in Adolescent Male Subjects (≥ 12 to &lt; 18 Years of Age) With Severe or Moderately Severe Hemophilia B</t>
  </si>
  <si>
    <t>NCT07227922</t>
  </si>
  <si>
    <t>Clofutriben Pharmacokinetics in Patients With Impaired Renal Function</t>
  </si>
  <si>
    <t>NCT07301229</t>
  </si>
  <si>
    <t>A Phase II Clinical Study to Evaluate HLX43 in Subjects With Advanced Pancreatic Cancer</t>
  </si>
  <si>
    <t>NCT07017036</t>
  </si>
  <si>
    <t>Efficacy, Safety and Pharmacokinetic of Virchow IVIG in PID Patients</t>
  </si>
  <si>
    <t>Virchow Group</t>
  </si>
  <si>
    <t>NCT07184931</t>
  </si>
  <si>
    <t>An Induction Study to Investigate the Efficacy and Safety of Duvakitug in Participants With Moderately to Severely Active Crohn's Disease</t>
  </si>
  <si>
    <t>NCT06977581</t>
  </si>
  <si>
    <t>A Study to Learn About the Study Medicine Called PF-07275315 in People With Moderate-To-Severe Asthma</t>
  </si>
  <si>
    <t>NCT07312630</t>
  </si>
  <si>
    <t>Clinical Study of LV009 Injection for the Treatment of Relapsed/Refractory CD19-Positive Hematologic and Lymphoid Malignancies</t>
  </si>
  <si>
    <t>NCT07224828</t>
  </si>
  <si>
    <t>The Efficacy of a Battery Toothbrush in the Reduction of Established Plaque and Gingivitis</t>
  </si>
  <si>
    <t>NCT07095465</t>
  </si>
  <si>
    <t>Phase 3, Open Label Extension Study of ACP-204 in Lewy Body Dementia Psychosis</t>
  </si>
  <si>
    <t>NCT06665100</t>
  </si>
  <si>
    <t>PUL-042 Treatment in Patients With Parainfluenza Virus (PIV), Human Metapneumovirus (hMPV) or Respiratory Syncytial Virus (RSV)</t>
  </si>
  <si>
    <t>NCT07208136</t>
  </si>
  <si>
    <t>A Study of JMKX005425 in Patients With MSI-H/dMMR Advanced Solid Tumors</t>
  </si>
  <si>
    <t>NCT07281937</t>
  </si>
  <si>
    <t>A Study of Weekly Oral Ecnoglutide (VRB-101) in Participants Who Have Obesity or Overweight With Weight-Related Comorbidities</t>
  </si>
  <si>
    <t>Verdiva Bio Dev Limited</t>
  </si>
  <si>
    <t>NCT06993428</t>
  </si>
  <si>
    <t>A Trial With EMP16 in Preparation for Late Phase Studies</t>
  </si>
  <si>
    <t>NCT07297199</t>
  </si>
  <si>
    <t>A Study to Learn How the Body Processes BIIB141 (Omaveloxolone) When Taken as a Capsule or as a Tablet Dissolved in Liquid, and to Learn About Its Safety in Healthy Adults Ages 18 to 55</t>
  </si>
  <si>
    <t>NCT06647745</t>
  </si>
  <si>
    <t>A Randomized, Double-blind, Multi-center, Active-controlled, Phase 3 Clinical Trial to Evaluate the Efficacy and Safety of Combination Therapy of THP-00101, THP-00102, and THP-00103 in Subjects With T2DM and Essential Hypertension</t>
  </si>
  <si>
    <t>NCT07133828</t>
  </si>
  <si>
    <t>A Study to Learn About the Safety of BIIB142 and How it is Processed in the Body of Healthy Adult Participants Aged 18 to 55 Years Old</t>
  </si>
  <si>
    <t>NCT07092865</t>
  </si>
  <si>
    <t>A Study Evaluating Persistence of the Immune Response of the Adjuvanted Respiratory Syncytial Virus (RSV) Vaccine and the Safety and Immune Response Following Revaccination in Adults 18 Years of Age and Above Who Received Lung or Kidney Transplant</t>
  </si>
  <si>
    <t>NCT06272409</t>
  </si>
  <si>
    <t>Efficacy and Safety of DEP114 in the Treatment of Moderate to Severe Persistent Allergic Rhinitis in Children.</t>
  </si>
  <si>
    <t>NCT06986070</t>
  </si>
  <si>
    <t>Investigation of Small Mobile Stem Cells (SMS Cells) in Participants With Chronic Obstructive Pulmonary Disease (COPD).</t>
  </si>
  <si>
    <t>SMSbiotech</t>
  </si>
  <si>
    <t>NCT06976931</t>
  </si>
  <si>
    <t>Study on the Safe Dosage and Therapeutic Effect of the Drug YY2201 Tablets on Patients With Advanced Cancer</t>
  </si>
  <si>
    <t>Jiangsu YaYao Biotechnology Co., Ltd.</t>
  </si>
  <si>
    <t>NCT07150845</t>
  </si>
  <si>
    <t>Phase 2b Study of EVO756 in Adults With Atopic Dermatitis</t>
  </si>
  <si>
    <t>NCT07697157</t>
  </si>
  <si>
    <t>The Study on Effects of CYP3A and P-glycoprotein Inhibitor Itraconazole and CYP Enzyme Inducer Rifampin of HMPL-453 Tartrate Tablets</t>
  </si>
  <si>
    <t>NCT06997367</t>
  </si>
  <si>
    <t>Safety and Immunogenicity of a Mycobacterium Tuberculosis Vaccine MTBVAC in Healthy Indian Adults and Adolescents (BBV169/2024)</t>
  </si>
  <si>
    <t>NCT07253259</t>
  </si>
  <si>
    <t>A Clinical Study Evaluating the Safety and Efficacy of GT729 Universal Cell Injection in the Treatment of Refractory or Relapsed Chronic Graft-versus-host Disease (cGVHD)</t>
  </si>
  <si>
    <t>NCT05670951</t>
  </si>
  <si>
    <t>Efficacy and Safety of ELGN-2112 on Intestinal Malabsorption in Preterm Infants</t>
  </si>
  <si>
    <t>NCT06931080</t>
  </si>
  <si>
    <t>Evaluation of the Efficacy and Safety of EB-1020 in Adult ADHD Patients</t>
  </si>
  <si>
    <t>NCT06395688</t>
  </si>
  <si>
    <t>Drug-Drug Interaction Between THC and AEF0117</t>
  </si>
  <si>
    <t>NCT07262645</t>
  </si>
  <si>
    <t>Near-infrared Light Therapy Device for Mild-Moderate Alzheimer's Disease (NirsCure-03A)</t>
  </si>
  <si>
    <t>Danyang Huichuang Medical Equipment Co., Ltd.</t>
  </si>
  <si>
    <t>NCT06740201</t>
  </si>
  <si>
    <t>A Study to Evaluate the Accuracy of aTCI Model of Cipepofol in Patients With General Anesthesia During Elective Surgery</t>
  </si>
  <si>
    <t>NCT07001319</t>
  </si>
  <si>
    <t>Study of GS-3242 in Participants With HIV-1; Substudy-05</t>
  </si>
  <si>
    <t>NCT06951217</t>
  </si>
  <si>
    <t>An Extension Study of Subjects Who Received an Avalyn Inhaled Antifibrotic Agent (SAIL)</t>
  </si>
  <si>
    <t>NCT06973720</t>
  </si>
  <si>
    <t>A Phase 2b Study to Evaluate the Efficacy and Safety of Once-Monthly MET097 in Adults With Obesity or Overweight</t>
  </si>
  <si>
    <t>NCT06855160</t>
  </si>
  <si>
    <t>A Study on the Immune Response and Safety of an Investigational Chickenpox Vaccine and a Marketed Measles, Mumps and Rubella Vaccine When Administered as Intramuscular Injection to Healthy Children 12 to 15 Months of Age</t>
  </si>
  <si>
    <t>NCT06847191</t>
  </si>
  <si>
    <t>NE3107 in Adults With Neurological Symptoms of Long COVID</t>
  </si>
  <si>
    <t>NCT06914869</t>
  </si>
  <si>
    <t>Drug-Drug Interaction Potential of Mavorixafor</t>
  </si>
  <si>
    <t>NCT07123129</t>
  </si>
  <si>
    <t>A Trial of SHR-7782 for Treatment of Advanced Malignant Tumors</t>
  </si>
  <si>
    <t>NCT07111520</t>
  </si>
  <si>
    <t>A Clinical Trial to Test if an Investigational Combination Therapy With BNT326 and BNT327 is Safe and Potentially Beneficial for People With Advanced Non-small Cell Lung Cancer (NSCLC)</t>
  </si>
  <si>
    <t>NCT06821503</t>
  </si>
  <si>
    <t>Clinical Study Evaluating the Safety, Tolerability, and Preliminary Efficacy of LM-108 ± Penpulimab+Chemotherapy in Advanced Solid Tumors - Cohort C</t>
  </si>
  <si>
    <t>NCT06892379</t>
  </si>
  <si>
    <t>A Study of HS-20110 in Participants With Advanced Solid Tumors</t>
  </si>
  <si>
    <t>NCT07179679</t>
  </si>
  <si>
    <t>A Clinical Study Assessing the Subcutaneous Formulation of TQB2934 for Injection in Subjects With Malignant Plasma Cell Tumors</t>
  </si>
  <si>
    <t>NCT06958679</t>
  </si>
  <si>
    <t>Evaluation of SYS6005 in Patients With Advanced Malignant Tumor</t>
  </si>
  <si>
    <t>NCT07064122</t>
  </si>
  <si>
    <t>A Study of AZD2962, an IRAK4 Inhibitor (IRAK4 [a Body Protein] Blocker), in Participants With Haematologic Neoplasms (Blood Cancers)</t>
  </si>
  <si>
    <t>NCT07065773</t>
  </si>
  <si>
    <t>Safety, Tolerability and Efficacy of Trichostatin A in Patients With Mild to Severe Onychomycosis</t>
  </si>
  <si>
    <t>NCT06832722</t>
  </si>
  <si>
    <t>Invobenitug Also Known as Procizumab (PCZ; AK1967) in Critical Cardiovascular Care</t>
  </si>
  <si>
    <t>NCT06789445</t>
  </si>
  <si>
    <t>A Study to Investigate the Safety of OpCT-001 in Adults Who Have Primary Photoreceptor Disease (CLARICO)</t>
  </si>
  <si>
    <t>NCT07072195</t>
  </si>
  <si>
    <t>A Study of AMC6156 in People With Sarcopenia</t>
  </si>
  <si>
    <t>Animuscure Inc.</t>
  </si>
  <si>
    <t>NCT07091370</t>
  </si>
  <si>
    <t>Inaticabtagene Autoleucel Injection in the Treatment of Autoimmune Hemolytic Anemia After Three or More Lines of Therapy</t>
  </si>
  <si>
    <t>NCT07275073</t>
  </si>
  <si>
    <t>JMT106 Injection in the Treatment of Advanced Solid Tumors</t>
  </si>
  <si>
    <t>NCT07223502</t>
  </si>
  <si>
    <t>A Study Comparing the Clinical Benefit of Finerenone Versus a Fixed Dose Combination (FDC) of Extended-Release Torsemide and Spironolactone in Patients With Hypertension and Chronic Kidney Disease</t>
  </si>
  <si>
    <t>NCT06945614</t>
  </si>
  <si>
    <t>Exploratory Clinical Study to Assess Safety and Efficacy of Xenon Gas Inhalation to Control Neuroinflammation</t>
  </si>
  <si>
    <t>General Biophysics LLC</t>
  </si>
  <si>
    <t>NCT06641414</t>
  </si>
  <si>
    <t>Lisaftoclax (APG-2575) Combined With Azacytidine (AZA) in the Treatment of Patients With Higher-risk Myelodysplastic Syndrome (GLORA-4).</t>
  </si>
  <si>
    <t>NCT06987058</t>
  </si>
  <si>
    <t>RVU120 Rollover Study</t>
  </si>
  <si>
    <t>NCT06865417</t>
  </si>
  <si>
    <t>A Study Evaluating the Effects of Filgotinib in Children and Teenagers With Ulcerative Colitis</t>
  </si>
  <si>
    <t>NCT07219940</t>
  </si>
  <si>
    <t>A Study to Investigate HLA-G Targeted Exosome (SOB100) in Healthy Subjects</t>
  </si>
  <si>
    <t>Shine-On Biomedical Co., Ltd.</t>
  </si>
  <si>
    <t>NCT07245368</t>
  </si>
  <si>
    <t>Study of PRA-216 in Healthy Participants and Participants With Mild-to-Moderate Asthma</t>
  </si>
  <si>
    <t>Prana Therapies Inc</t>
  </si>
  <si>
    <t>NCT06853171</t>
  </si>
  <si>
    <t>Safety, Tolerability, and Pharmacokinetics of KarXT and Dual-burst Release of Xanomeline With Immediate-release Trospium Chloride in Adolescents With Psychiatric Disorders</t>
  </si>
  <si>
    <t>NCT07016152</t>
  </si>
  <si>
    <t>An Open-label, Dose-finding, Phase I Study to Evaluate the Safety and Immunogenicity of a Bivalent Klebsiella Pneumoniae Vaccine (CHO-V08) in Healthy Adults</t>
  </si>
  <si>
    <t>NCT04435249</t>
  </si>
  <si>
    <t>ENgineered Tissue Repair of BronchopleUral FiSTula</t>
  </si>
  <si>
    <t>Videregen Limited</t>
  </si>
  <si>
    <t>NCT06352138</t>
  </si>
  <si>
    <t>Comparative Study of Two Recombinant Human Erythropoietin Products in Chronic Kidney Disease Patients</t>
  </si>
  <si>
    <t>NCT07069309</t>
  </si>
  <si>
    <t>A Study to Learn About COVID-19 RNA-Based Variant-Adapted Vaccine Candidate(s) Against SARS-CoV-2 in Participants Ages 12 Through 64 Years Considered at Higher Risk of Severe COVID-19, and Participants Ages ≥65 Years</t>
  </si>
  <si>
    <t>NCT07271693</t>
  </si>
  <si>
    <t>A Study to Determine the Safety, Tolerability, Pharmacokinetics, and Pharmacodynamics of RO7806881 in Healthy Participants</t>
  </si>
  <si>
    <t>NCT07181538</t>
  </si>
  <si>
    <t>Phase 1 Study of JLP-2302 and JP-1366: PK and Safety in Healthy Volunteers</t>
  </si>
  <si>
    <t>NCT07013643</t>
  </si>
  <si>
    <t>A Study to Investigate the Effect of AZD6234, AZD9550, and a Combination of AZD9550 and AZD6234 on Pharmacokinetics of Combined Oral Contraceptive Ethinyl Estradiol/Levonorgestrel in Healthy Female Participants Living With Overweight or Obesity</t>
  </si>
  <si>
    <t>NCT06669234</t>
  </si>
  <si>
    <t>Phase 1 Safety and Tolerability Study of ALN-F1202 in Healthy Adults</t>
  </si>
  <si>
    <t>NCT07673809</t>
  </si>
  <si>
    <t>A Study to Evaluate the Tolerability, Safety and Efficacy of GNR-097 Gene Therapy in Pediatric Patients With Duchenne Muscular Dystrophy</t>
  </si>
  <si>
    <t>NCT06863987</t>
  </si>
  <si>
    <t>A Phase III Clinical Study of Valsartan Oral Solution for the Treatment of Hypertension in Children and Adolescents</t>
  </si>
  <si>
    <t>NCT07221084</t>
  </si>
  <si>
    <t>A Study to Assess Pharmacokinetics, Safety, and Tolerability of Atumelnant in Healthy Japanese and Caucasian Participants</t>
  </si>
  <si>
    <t>NCT07222384</t>
  </si>
  <si>
    <t>A Study to Learn About BNT162b2 (LP.8.1)-Adapted Vaccine Against SARS-CoV-2 in Children 5 Through 11 Years of Age That Are Considered at Higher Risk of Severe COVID-19</t>
  </si>
  <si>
    <t>NCT06868485</t>
  </si>
  <si>
    <t>A Study to Assess the Efficacy of WSD0922-FU in Patients With C797S+ Advanced Non-small Cell Lung Cancer</t>
  </si>
  <si>
    <t>NCT07044908</t>
  </si>
  <si>
    <t>TQB2922 and TAS-102 Tablets for Injection With or Without Bevacizumab in Chemotherapy-failed RAS/BRAF Wild-type Advanced Colorectal Cancer</t>
  </si>
  <si>
    <t>NCT06812325</t>
  </si>
  <si>
    <t>A Safety and Tolerability Study of VRDN-003 in Participants With Thyroid Eye Disease (TED)</t>
  </si>
  <si>
    <t>NCT07198555</t>
  </si>
  <si>
    <t>A Clinical Study to Evaluate the Safety, Tolerability and Efficacy of BBM-A101 in the Treatment of Knee Osteoarthritis.</t>
  </si>
  <si>
    <t>Belief BioMed (Beijing) Co., Ltd</t>
  </si>
  <si>
    <t>NCT07093476</t>
  </si>
  <si>
    <t>Efficacy and Safety of Add-On Therapy With Empagliflozin in Patients With Type 2 Diabetes on a Background of Alogliptin and Metformin</t>
  </si>
  <si>
    <t>NCT07221240</t>
  </si>
  <si>
    <t>Study to Evaluate Safety, Tolerability, and Pharmacokinetics of Amisodin in Healthy Adult Subjects With Amyotrophic Lateral Sclerosis</t>
  </si>
  <si>
    <t>NCT07085091</t>
  </si>
  <si>
    <t>A First in Human Study of ALX2004 With Advanced or Metastatic Selected Solid Tumors</t>
  </si>
  <si>
    <t>NCT06822426</t>
  </si>
  <si>
    <t>Comparing The Safety And Efficacy Of DEFENCATH® In Reducing Central-Line Bloodstream Infections (CLABSIs) In Adults Receiving Total Parenteral Nutrition Through A Central Venous Catheter (CVC)</t>
  </si>
  <si>
    <t>CorMedix</t>
  </si>
  <si>
    <t>NCT07222917</t>
  </si>
  <si>
    <t>A Phase IIb Study to Evaluate the Effect of Dapagliflozin in Combination With Baxdrostat Compared With Baxdrostat on Albuminuria in Participants With Chronic Kidney Disease and High Blood Pressure.</t>
  </si>
  <si>
    <t>NCT07155174</t>
  </si>
  <si>
    <t>A Study to Evaluate the Optimal Dose, Adverse Events and Change in Disease Activity of Intravenous ABBV-706 in Combination With Atezolizumab Versus Standard of Care as First-Line Treatment in Adult Participants With Previously Untreated Extensive Stage Small Cell Lung Cancer</t>
  </si>
  <si>
    <t>NCT06884618</t>
  </si>
  <si>
    <t>A Study to Evaluate the Safety, Tolerability, Pharmacokinetics (PK) and Preliminary Clinical Activity of RO7673396 in Participants With Advanced Solid Tumors Harboring Rat Sarcoma Viral Oncogene Homolog (RAS) Mutation(s)</t>
  </si>
  <si>
    <t>NCT07219420</t>
  </si>
  <si>
    <t>A Study to Evaluate the Efficacy and Safety of Bimekizumab in Study Participants With Palmoplantar Pustulosis</t>
  </si>
  <si>
    <t>NCT06821061</t>
  </si>
  <si>
    <t>A Study to Learn About How the Flu and COVID-19 Vaccines Act in Healthy People</t>
  </si>
  <si>
    <t>NCT06937229</t>
  </si>
  <si>
    <t>A Study to Evaluate the Long-term Efficacy and Safety of KarXT + KarX-EC for Agitation in Alzheimer's Disease (ADAGIO-3)</t>
  </si>
  <si>
    <t>NCT07113262</t>
  </si>
  <si>
    <t>A Clinical Study to Evaluate the Efficacy and Safety of IBI311 in Subjects With Inactive Thyroid Eye Disease</t>
  </si>
  <si>
    <t>NCT07157254</t>
  </si>
  <si>
    <t>A Safety and Efficacy Study of GTX-102 in Subjects With Deletion- or Nondeletion-type Angelman Syndrome (AS)</t>
  </si>
  <si>
    <t>NCT07428525</t>
  </si>
  <si>
    <t>A Study to Evaluate AMG 133 in Participants With Varying Degrees of Hepatic Impairment or Normal Hepatic Function</t>
  </si>
  <si>
    <t>NCT05685225</t>
  </si>
  <si>
    <t>Single-Site Study of Naltrexone/Acetaminophen for the Acute Treatment of Migraine: A Phase 2 Randomized Trial</t>
  </si>
  <si>
    <t>Allodynic Therapeutics, Inc</t>
  </si>
  <si>
    <t>NCT07065617</t>
  </si>
  <si>
    <t>A Study to Test How BI 1819479 is Taken up and Processed by the Body</t>
  </si>
  <si>
    <t>NCT07291050</t>
  </si>
  <si>
    <t>A Clinical Study to Evaluate the Safety, Tolerability, Pharmacokinetics, and Preliminary Efficacy of TQB3217 Tablets in Subjects With Advanced Malignant Tumors</t>
  </si>
  <si>
    <t>NCT06754891</t>
  </si>
  <si>
    <t>Clinical Trial of TQH3906 Capsules for the Treatment of Adult Patients With Moderately to Severely Active Ulcerative Colitis or Crohn's Disease</t>
  </si>
  <si>
    <t>NCT07076459</t>
  </si>
  <si>
    <t>A Comparative Pharmacokinetic Study of Single-Dose Administration of HR091506 Tablets From Different Batches in Healthy Subjects</t>
  </si>
  <si>
    <t>NCT06615479</t>
  </si>
  <si>
    <t>A Study to Compare the Efficacy and Safety of BMS-986393 Versus Standard Regimens in Adult Participants With Relapsed or Refractory and Lenalidomide-exposed Multiple Myeloma (QUINTESSENTIAL-2)</t>
  </si>
  <si>
    <t>NCT07100080</t>
  </si>
  <si>
    <t>Study of Izalontamab Brengitecan (BMS-986507) Versus Platinum-Pemetrexed for EGFR-mutated Non-small Cell Lung Cancer After Failure of EGFR TKI Therapy (IZABRIGHT-Lung01)</t>
  </si>
  <si>
    <t>NCT07122401</t>
  </si>
  <si>
    <t>Study of MT1013 for the Treatment of Patients With Secondary Hyperparathyroidism</t>
  </si>
  <si>
    <t>NCT06946524</t>
  </si>
  <si>
    <t>A Study to Assess the Bioavailability of Risankizumab Following Subcutaneous Administration With Prefilled Pen Relative to a Prefilled Syringe in Healthy Adult Participants</t>
  </si>
  <si>
    <t>NCT07450482</t>
  </si>
  <si>
    <t>Safety and Efficacy of JKN2304 Inhalation Solution in Patients With Moderate to Severe COPD</t>
  </si>
  <si>
    <t>NCT07225959</t>
  </si>
  <si>
    <t>A Study to Evaluate the Safety, Pharmacokinetics, and Occurrence of Anti-Drug Antibodies Following Annual Doses of CD388</t>
  </si>
  <si>
    <t>NCT06812780</t>
  </si>
  <si>
    <t>A Study to Investigate the Effect of Hepatic Impairment on the Pharmacokinetics, Safety, and Tolerability of AZD2389</t>
  </si>
  <si>
    <t>NCT06931405</t>
  </si>
  <si>
    <t>Study of BLU-808 in Chronic Inducible Urticaria (CIndU) and Chronic Spontaneous Urticaria (CSU)</t>
  </si>
  <si>
    <t>NCT06865651</t>
  </si>
  <si>
    <t>Study of Remibrutinib (LOU064) Efficacy and Safety and Exploration of Its Mechanism of Action in Participants With Chronic Urticaria</t>
  </si>
  <si>
    <t>NCT07052929</t>
  </si>
  <si>
    <t>Study of ASP2957 in Male Participants With X-linked Myotubular Myopathy Who Need Ventilators</t>
  </si>
  <si>
    <t>NCT06799845</t>
  </si>
  <si>
    <t>NCT07070219</t>
  </si>
  <si>
    <t>A Study of CTD402 in T-ALL/LBL Patients</t>
  </si>
  <si>
    <t>Imviva Bio</t>
  </si>
  <si>
    <t>NCT06962267</t>
  </si>
  <si>
    <t>A Clinical Study on the First-line Treatment of Metastatic Pancreatic Cancer With TQB2916 Injection Combined With Gemcitabine Hydrochloride for Injection and Paclitaxel for Injection (Albumin-bound Type)</t>
  </si>
  <si>
    <t>NCT06671392</t>
  </si>
  <si>
    <t>A Phase III Study to Efficacy and Safety of DWC202405/DWC202313 and DWC202314 in Patients With Hypertension</t>
  </si>
  <si>
    <t>NCT06980649</t>
  </si>
  <si>
    <t>Study of BHV-1300 in Graves' Disease</t>
  </si>
  <si>
    <t>NCT07276997</t>
  </si>
  <si>
    <t>A Study to Assess Change in Disease Activity and Adverse Events of Oral Icalcaprant in Adult Participants With Major Depressive Disorder</t>
  </si>
  <si>
    <t>NCT06979518</t>
  </si>
  <si>
    <t>A Study to Evaluate the Safety, Tolerability, Pharmacokinetics, Pharmacodynamics, and Immunogenicity of GSK3862995B Administered as a Single Dose to Healthy Participants of Chinese, Japanese, and European Ancestry</t>
  </si>
  <si>
    <t>NCT07019090</t>
  </si>
  <si>
    <t>Long-term Safety and Efficacy Study of HSK44459 Tablets in Patients With Idiopathic Pulmonary Fibrosis (IPF)</t>
  </si>
  <si>
    <t>NCT06996782</t>
  </si>
  <si>
    <t>A Platform Study in Non-Small Cell Lung Cancer (NSCLC)</t>
  </si>
  <si>
    <t>NCT06963814</t>
  </si>
  <si>
    <t>Study of HC006 in Combination With a PD-1 Inhibitor in Patients With Advanced Solid Tumors</t>
  </si>
  <si>
    <t>NCT07175233</t>
  </si>
  <si>
    <t>A Phase 2 Study to Evaluate the Efficacy, Safety of SIM0278 in Subjects With Moderate to Severe Atopic Dermatitis</t>
  </si>
  <si>
    <t>NCT06937749</t>
  </si>
  <si>
    <t>A Study of IBI362 in Participants With Metabolic Dysfunction-Associated Steatohepatitis (MASH)</t>
  </si>
  <si>
    <t>NCT06750185</t>
  </si>
  <si>
    <t>Safety and Preliminary Effectiveness of BNT317, an Investigational Therapy for Advanced Solid Tumors</t>
  </si>
  <si>
    <t>NCT07000149</t>
  </si>
  <si>
    <t>A Study to Investigate the Efficacy and Safety of Volrustomig ± Casdatifan vs Nivolumab + Ipilimumab as 1L Treatment for Advanced ccRCC</t>
  </si>
  <si>
    <t>NCT07186452</t>
  </si>
  <si>
    <t>Evaluation of the Effect of Itraconazole on the Pharmacokinetics of HS-20093 in Patients With Advanced Solid Tumors</t>
  </si>
  <si>
    <t>NCT06841926</t>
  </si>
  <si>
    <t>Study to Evaluate the Pharmacokinetics and Relative Bioavailability of Metabolites in Healthy Chinese Adult Males</t>
  </si>
  <si>
    <t>NCT06825858</t>
  </si>
  <si>
    <t>A Phase I, Open-label, Multicenter, Dose-Escalating Study to Evaluate the Safety and Tolerability of KH658 Gene Therapy in Participants With Neovascular Age-related Macular Degeneration</t>
  </si>
  <si>
    <t>NCT06828848</t>
  </si>
  <si>
    <t>A Study to Assess How Vaborem® is Taking up in the Body and Tolerated in Paediatric Patients With Gram Negative Infections, Including But Not Restricted to Complicated Urinary Tract Infections</t>
  </si>
  <si>
    <t>NCT06899126</t>
  </si>
  <si>
    <t>Study of Trastuzumab Deruxtecan, Pembrolizumab, and Platinum-based Chemotherapy in First-line HER2 Overexpressing Non-small Cell Lung Cancer</t>
  </si>
  <si>
    <t>NCT07215078</t>
  </si>
  <si>
    <t>Study About Whether Atirmociclib/PF-07220060 Proportionally Increases Exposure as Dose Increases in Healthy Participants</t>
  </si>
  <si>
    <t>NCT07059221</t>
  </si>
  <si>
    <t>A Trial of SHR-A2102 With Adebrelimab With or Without Other Anti-tumor Therapies in Recurrent/MetastaticHead and Neck Squamous Cell Carcinoma Cancer</t>
  </si>
  <si>
    <t>NCT02442752</t>
  </si>
  <si>
    <t>Phase 1 Dexlansoprazole Delayed-Release Capsules for Acid-Related Disorders in Infants Aged 1 to 11 Months</t>
  </si>
  <si>
    <t>NCT07228078</t>
  </si>
  <si>
    <t>Open-Label Extension Protocol to SNK01-AD01 Study</t>
  </si>
  <si>
    <t>NCT06379685</t>
  </si>
  <si>
    <t>Study to Evaluate the Safety and Tolerability of PRO-190 Ophthalmic Solution Compared to Systane Ultra® on the Ocular Surface.</t>
  </si>
  <si>
    <t>NCT07081555</t>
  </si>
  <si>
    <t>A First-in-Human Phase 1 Safety and Biodistribution of [177Lu]Lu-ABY-271 in Subjects With HER2-positive Metastatic Breast Cancer</t>
  </si>
  <si>
    <t>Affibody</t>
  </si>
  <si>
    <t>NCT07650084</t>
  </si>
  <si>
    <t>A 24-Week Study of the Efficacy and Safety of BLU-5937 in Adults With Refractory Chronic Cough - China Extension</t>
  </si>
  <si>
    <t>NCT07026968</t>
  </si>
  <si>
    <t>A Study of Prusogliptin Tablets Combined With Dapagliflozin Tablets and Metformin Hydrochloride Extended Release Tablets in Type 2 Diabetes</t>
  </si>
  <si>
    <t>NCT06874010</t>
  </si>
  <si>
    <t>A Multiple Ascending Dose Study of DT-216P2 in Patients With Friedreich's Ataxia</t>
  </si>
  <si>
    <t>NCT07223593</t>
  </si>
  <si>
    <t>Efficacy and Safety of Orforglipron in Participants With Peripheral Artery Disease</t>
  </si>
  <si>
    <t>NCT07230652</t>
  </si>
  <si>
    <t>A Phase 1 MAD Study to Evaluate the Safety and Tolerability of LY03020</t>
  </si>
  <si>
    <t>NCT06884085</t>
  </si>
  <si>
    <t>A Study to Compare to PK Characteristics and Safety Profiles Between AD-227 and Co-administration of AD-227A and AD-227B</t>
  </si>
  <si>
    <t>NCT07229118</t>
  </si>
  <si>
    <t>A Study to Evaluate COR-1004 in Adult Volunteers.</t>
  </si>
  <si>
    <t>Corsera Health</t>
  </si>
  <si>
    <t>NCT07306949</t>
  </si>
  <si>
    <t>Real-Life Clinical Efficacy of Acoramidis in Participants With ATTR-CM and Association With Cardiac Biomarkers</t>
  </si>
  <si>
    <t>NCT06397274</t>
  </si>
  <si>
    <t>Stemchymal® for Polyglutamine Spinocerebellar Ataxia</t>
  </si>
  <si>
    <t>Steminent US, Inc.</t>
  </si>
  <si>
    <t>NCT06917690</t>
  </si>
  <si>
    <t>A Study to Learn About the Safety and Efficacy of the Drug Oleogel-S10 in Japanese Patients With Epidermolysis Bullosa</t>
  </si>
  <si>
    <t>NCT07160790</t>
  </si>
  <si>
    <t>Phase 3 Study of JP-1366: Efficacy and Safety of JP-1366 in Patients With Non-erosive Gastroesophageal Reflux Disease</t>
  </si>
  <si>
    <t>NCT04716452</t>
  </si>
  <si>
    <t>Study of C6 Ceramide NanoLiposome (CNL) in Patients With Relapsed/Refractory Acute Myeloid Leukemia</t>
  </si>
  <si>
    <t>Keystone Nano, Inc</t>
  </si>
  <si>
    <t>NCT07069725</t>
  </si>
  <si>
    <t>The Phase 1, Open-label, PET Trial Designed to Investigate the Effect of AZD2389 on FAP Occupancy in the Liver in Participants With Advanced Liver Fibrosis.</t>
  </si>
  <si>
    <t>NCT06732518</t>
  </si>
  <si>
    <t>Evaluation of the Anti-cavity Efficacy of Three Dentifrices Using an Intra-oral Enamel Demineralization - Remineralization In-Situ Model</t>
  </si>
  <si>
    <t>NCT07105098</t>
  </si>
  <si>
    <t>NBI-1117568-SCZ3030: Evaluation of NBI-1117568 in Inpatient Adults With Schizophrenia</t>
  </si>
  <si>
    <t>NCT07054684</t>
  </si>
  <si>
    <t>Study of BHV-1400 in IgA Nephropathy</t>
  </si>
  <si>
    <t>NCT06840925</t>
  </si>
  <si>
    <t>A Clinical Trial to Evaluate the Relative Bioavailability of PRAX-628</t>
  </si>
  <si>
    <t>NCT06941350</t>
  </si>
  <si>
    <t>A Trial to Evaluate the Safety and Efficacy of NCR102 in Subjects With aGVHD</t>
  </si>
  <si>
    <t>NCT07199218</t>
  </si>
  <si>
    <t>Placebo-Controlled Study of Terpenes-Enriched Cannabis Oil T1/C28 for Children With Autism</t>
  </si>
  <si>
    <t>NCT07100418</t>
  </si>
  <si>
    <t>A Clinical Study Evaluating the Efficacy and Safety of HRS-7249 in Treating Patients With Hyperlipidemia</t>
  </si>
  <si>
    <t>NCT07065240</t>
  </si>
  <si>
    <t>A Study to Evaluate the Efficacy and Safety of SPT-300 (GlyphAllo) in Participants With Major Depressive Disorder, With or Without Anxious Distress (BUOY-1 Study)</t>
  </si>
  <si>
    <t>Seaport Therapeutics</t>
  </si>
  <si>
    <t>NCT07300189</t>
  </si>
  <si>
    <t>A Study to Evaluate Single and Multiple Doses of TLC-1180 in Healthy Subjects</t>
  </si>
  <si>
    <t>NCT06882135</t>
  </si>
  <si>
    <t>HW071021 Monotherapy in Patients With Advanced Solid Tumors</t>
  </si>
  <si>
    <t>Wuhan Humanwell Innovative Drug Research and Development Center Limited Company</t>
  </si>
  <si>
    <t>NCT06765668</t>
  </si>
  <si>
    <t>A Study of CREXONT (Carbidopa and Levodopa) Extended-Release Capsules in Participants With Parkinson's Disease</t>
  </si>
  <si>
    <t>NCT06745518</t>
  </si>
  <si>
    <t>A Phase 2 Study of TS-172 in Hyperphosphatemia Patients on Hemodialysis With Phosphate Binders</t>
  </si>
  <si>
    <t>NCT07246590</t>
  </si>
  <si>
    <t>Cantharidin Application in Patients With Common Warts (Verruca Vulgaris) (COVE-2)</t>
  </si>
  <si>
    <t>NCT07241910</t>
  </si>
  <si>
    <t>A Single Ascending Dose Study to Evaluate the Safety, Tolerability, Pharmacokinetics and Pharmacodynamics of SYH2061</t>
  </si>
  <si>
    <t>NCT06892288</t>
  </si>
  <si>
    <t>A Study to Assess the Efficacy and Safety of Weekly Doses of GLM101 in Participants With PMM2-CDG</t>
  </si>
  <si>
    <t>NCT07133308</t>
  </si>
  <si>
    <t>Study to Evaluate the Efficacy and Safety of Deuruxolitinib in Adolescents With Severe Alopecia Areata</t>
  </si>
  <si>
    <t>NCT07072468</t>
  </si>
  <si>
    <t>Analgesic Efficacy and Safety of Topical VMD-3866 Gel in Management of Pain Induced by Chemotherapy (CIPN)</t>
  </si>
  <si>
    <t>VM Therapeutics LLC</t>
  </si>
  <si>
    <t>NCT07146750</t>
  </si>
  <si>
    <t>A Bioequivalence Study of Amlitelimab Delivered by 2 Different Devices in Healthy Adult Participants</t>
  </si>
  <si>
    <t>NCT07153159</t>
  </si>
  <si>
    <t>A Study to Learn How the Study Medicine Called Etrasimod is Taken up Into Blood and Breastmilk of Healthy Breastfeeding Women</t>
  </si>
  <si>
    <t>NCT06982846</t>
  </si>
  <si>
    <t>A Study to Investigate the Response of Participants With Type 2 Diabetes Mellitus on Once-Weekly Retatrutide to Hypoglycemia</t>
  </si>
  <si>
    <t>NCT07134088</t>
  </si>
  <si>
    <t>A Study of Subcutaneous Blinatumomab in Children With R/R and and MRD+ B-Cell Precursor Acute Lymphoblastic Leukemia</t>
  </si>
  <si>
    <t>NCT07214779</t>
  </si>
  <si>
    <t>Study to Evaluate INCB123667 Versus Investigator's Choice of Chemotherapy in Participants With Platinum-Resistant Ovarian Cancer With Cyclin E1 Overexpression</t>
  </si>
  <si>
    <t>NCT07287982</t>
  </si>
  <si>
    <t>A Study to Assess the Safety, Tolerability, Efficacy, Pharmacokinetics, and Immunogenicity of Intravenous Administration of ARGX-119 in Pediatric Participants Aged 5 to Less Than 18 Years With Spinal Muscular Atrophy</t>
  </si>
  <si>
    <t>NCT06732648</t>
  </si>
  <si>
    <t>The Efficacy and Safety of HRS8179 in Severe Cerebral Edema Following Large Hemispheric Infarction</t>
  </si>
  <si>
    <t>NCT06962826</t>
  </si>
  <si>
    <t>A Study in Healthy People to Test How Empagliflozin is Taken up in the Body When Taken as a Whole Tablet or Dissolved in Water and Mixed With Food</t>
  </si>
  <si>
    <t>NCT06365840</t>
  </si>
  <si>
    <t>A Study of IMC-001 In Patients With Metastatic Or Locally Advanced TMB-H Solid Tumor</t>
  </si>
  <si>
    <t>NCT07184450</t>
  </si>
  <si>
    <t>Clinical Study of BCMA/CD70-targeted CAR-T Therapy for Refractory Pediatric Rheumatic Diseases</t>
  </si>
  <si>
    <t>NCT06878560</t>
  </si>
  <si>
    <t>Study to Evaluate the Safety and Efficacy of the 10 GE Xenokidney in Patients With ESRD</t>
  </si>
  <si>
    <t>NCT07215468</t>
  </si>
  <si>
    <t>HIV-1 Virologic Suppression With TMB-365 and TMB-380 Antibodies Study</t>
  </si>
  <si>
    <t>NCT06943820</t>
  </si>
  <si>
    <t>AK129 Combination Therapy for Advanced Solid Tumors</t>
  </si>
  <si>
    <t>NCT07053423</t>
  </si>
  <si>
    <t>A Study to Investigate Airway Inflammation With Dupilumab Subcutaneously in Participants Aged ≥40 to ≤85 Years With Chronic Obstructive Pulmonary Disease.</t>
  </si>
  <si>
    <t>NCT07243340</t>
  </si>
  <si>
    <t>A Phase I/IIa Study of C5252 in Patients With Intracranial Tumor</t>
  </si>
  <si>
    <t>NCT06926660</t>
  </si>
  <si>
    <t>A Study to Test Whether Vicadrostat in Combination With Empagliflozin Helps People With Chronic Kidney Disease</t>
  </si>
  <si>
    <t>NCT07333118</t>
  </si>
  <si>
    <t>A Clinical Study to Evaluate the Safety and Efficacy of GT801 Injection in the Treatment of Moderate-to-Severe Refractory Autoimmune Diseases</t>
  </si>
  <si>
    <t>NCT06992713</t>
  </si>
  <si>
    <t>A Clinical Study Evaluating H1710 for Injection in Participants With Advanced Solid Tumors</t>
  </si>
  <si>
    <t>Shenzhen Hepalink Pharmaceutical Group Co., Ltd.</t>
  </si>
  <si>
    <t>NCT07236762</t>
  </si>
  <si>
    <t>An Exploratory Clinical Study of YTS109 Cell for R/R Autoimmune Diseases</t>
  </si>
  <si>
    <t>NCT06978920</t>
  </si>
  <si>
    <t>A Trial to Evaluate the Safety, Tolerability and Preliminary Efficacy of NCR201 in the Treatment of Subjects With Parkinson's Disease</t>
  </si>
  <si>
    <t>NCT07123727</t>
  </si>
  <si>
    <t>A Study to Examine Anktiva for the Treatment of COVID-19.</t>
  </si>
  <si>
    <t>NCT06826196</t>
  </si>
  <si>
    <t>A Clinical Study to Evaluate the Safety, Tolerability, Pharmacokinetics and Preliminary Efficacy of ALD-102 Solution in Subjects With Alopecia Areata</t>
  </si>
  <si>
    <t>Aldena Therapeutics</t>
  </si>
  <si>
    <t>NCT06941142</t>
  </si>
  <si>
    <t>A Study of Sirolimus (Albumin-Bound) in Combination With Palbociclib and Fulvestrant for the Treatment of Advanced Breast Cancer</t>
  </si>
  <si>
    <t>NCT06770491</t>
  </si>
  <si>
    <t>A Phase 1 Study of Y-3 in US Healthy Volunteers.</t>
  </si>
  <si>
    <t>NCT06736990</t>
  </si>
  <si>
    <t>A Phase 2 Study of CAL101 in Patients With Idiopathic Pulmonary Fibrosis</t>
  </si>
  <si>
    <t>Calluna Pharma AS</t>
  </si>
  <si>
    <t>NCT06567782</t>
  </si>
  <si>
    <t>A Study of Neoadjuvant Dostarlimab Plus Capecitabine Plus Oxaliplatin (CAPEOX) Vs CAPEOX With Previously Untreated T4N0 or Stage III Mismatch Repair Proficient (MMRp)/Microsatellite Stable (MSS) Colon Cancer</t>
  </si>
  <si>
    <t>NCT06848946</t>
  </si>
  <si>
    <t>Safety and Efficacy of iDose® TR With Cataract Surgery vs. Cataract Surgery Alone</t>
  </si>
  <si>
    <t>NCT07006727</t>
  </si>
  <si>
    <t>Phase I Study of [225Ac]Ac-ETN029 in Patients With Advanced DLL3-expressing Solid Tumors</t>
  </si>
  <si>
    <t>NCT07257042</t>
  </si>
  <si>
    <t>Oothpaste Containing 8% Arginine Compared to Colgate Cavity Protection Toothpaste in Reducing Dentinal Hypersensitivity</t>
  </si>
  <si>
    <t>NCT06837142</t>
  </si>
  <si>
    <t>A Drug-drug Interaction Study With TS-172 in Healthy Adult Male Subjects</t>
  </si>
  <si>
    <t>NCT06647069</t>
  </si>
  <si>
    <t>A Study to Evaluate the Safety and Activity of SAR448501/DR-0201 in Patients With Autoimmune Rheumatic Diseases</t>
  </si>
  <si>
    <t>NCT07226362</t>
  </si>
  <si>
    <t>A Study Evaluating the Safety, Tolerability and Pharmacokinetics of ASY202 in Healthy Adults</t>
  </si>
  <si>
    <t>Aspeya Switzerland SA</t>
  </si>
  <si>
    <t>NCT06925542</t>
  </si>
  <si>
    <t>A Safety and Efficacy Study Evaluating CTX112 in Adult Subjects With Refractory Autoimmune Disease</t>
  </si>
  <si>
    <t>NCT07260669</t>
  </si>
  <si>
    <t>A Phase 2 Trial to Investigate Efficacy and Safety of Vipoglanstat in Women With Endometriosis</t>
  </si>
  <si>
    <t>NCT06999590</t>
  </si>
  <si>
    <t>Evaluating Several Cellular, Acellular, and Matrix-like Products (CAMPs) and Standard of Care Versus Matched Standard of Care Controls in the Management of Nonhealing Pressure Ulcers</t>
  </si>
  <si>
    <t>NCT06900920</t>
  </si>
  <si>
    <t>A Study of TQB3473 Tablets Compared to Placebo in the Treatment of Adult Primary Immune Thrombocytopenia</t>
  </si>
  <si>
    <t>NCT06812988</t>
  </si>
  <si>
    <t>Treatment of Type 1 Diabetes With Anti-OX40L Bispecific With Anti-TNF Activity In a Single Nanobody® Molecule</t>
  </si>
  <si>
    <t>NCT07015437</t>
  </si>
  <si>
    <t>A Recovery and Lifespan Study Using INTERCEPT Red Blood Cells Prepared Using the INTERCEPT Blood System for RBCs With AS-1</t>
  </si>
  <si>
    <t>Cerus Corporation</t>
  </si>
  <si>
    <t>NCT07291037</t>
  </si>
  <si>
    <t>Phase III Study of Datopotamab Deruxtecan Versus Docetaxel in Previously Treated TROP2-positive Advanced or Metastatic Non-squamous NSCLC Without Actionable Genomic Alterations</t>
  </si>
  <si>
    <t>NCT06908772</t>
  </si>
  <si>
    <t>Glumetinib Combined With Osimertinib Treatment for Non-Small Cell Lung Cancer Patients</t>
  </si>
  <si>
    <t>NCT05766839</t>
  </si>
  <si>
    <t>Patiromer for Treatment of Hyperkalaemia in Children Under 12 Years of Age</t>
  </si>
  <si>
    <t>Vifor Pharma, Inc.</t>
  </si>
  <si>
    <t>NCT06778265</t>
  </si>
  <si>
    <t>An Exploratory Clinical Study of UX-DA001 in Subjects With Idiopathic Parkinson's Disease</t>
  </si>
  <si>
    <t>Shanghai UniXell Biotechnology Co., Ltd</t>
  </si>
  <si>
    <t>NCT07073677</t>
  </si>
  <si>
    <t>A Study to Evaluate the Efficacy and Safety of IN-115314 Ointment in Mild to Moderate Atopic Dermatitis Adult Patients</t>
  </si>
  <si>
    <t>NCT06825169</t>
  </si>
  <si>
    <t>A Trial to Evaluate the Safety, Tolerability and Preliminary Efficacy of NCR101 in the Treatment of Subjects With Interstitial Lung Disease</t>
  </si>
  <si>
    <t>NCT07264205</t>
  </si>
  <si>
    <t>RT-310 Safety and Feasibility BPH Study</t>
  </si>
  <si>
    <t>NCT07110766</t>
  </si>
  <si>
    <t>Phase Ib Clinical Study on the Efficacy and Safety of MDR-001 in Patients Who Are Obesity or Overweight</t>
  </si>
  <si>
    <t>NCT07216066</t>
  </si>
  <si>
    <t>First-in-Human Study of ALN-SNCA in Adult Participants With Early Parkinson's Disease (PD)</t>
  </si>
  <si>
    <t>NCT07196501</t>
  </si>
  <si>
    <t>A Study to Evaluate the Maintenance Effect of NBI-1065845 as an Adjunctive Treatment in Participants With Major Depressive Disorder (MDD)</t>
  </si>
  <si>
    <t>NCT06771219</t>
  </si>
  <si>
    <t>SLV-154 Treatment of Metastatic Solid Tumors</t>
  </si>
  <si>
    <t>Solve Therapeutics</t>
  </si>
  <si>
    <t>NCT06801002</t>
  </si>
  <si>
    <t>Trial to Evaluate the Safety &amp; Tolerability of JBZ-001 in Pts With Advanced Solid and Hematological Malignancies</t>
  </si>
  <si>
    <t>Jabez Bioscience, Inc</t>
  </si>
  <si>
    <t>NCT06859775</t>
  </si>
  <si>
    <t>SHR-A1811 Combination Regimen for the Treatment of Recurrent or Metastatic Cervical Cancer</t>
  </si>
  <si>
    <t>NCT06838273</t>
  </si>
  <si>
    <t>A Study of BL-B01D1 in Combination With Osimertinib Versus Osimertinib as First-Line Treatment in Patients With EGFR-Mutated Locally Advanced or Metastatic Non-Small Cell Lung Cancer(PANKU-Lung04)</t>
  </si>
  <si>
    <t>NCT07232875</t>
  </si>
  <si>
    <t>HRS 4642 Injection Combined With AG Versus Placebo Combined With AG Therapy in First-Line Advanced or Metastatic Pancreatic Cancer</t>
  </si>
  <si>
    <t>NCT07121101</t>
  </si>
  <si>
    <t>To Evaluate the Safety, Efficacy and Kinetic Characteristics of TRD205 Tablets for Postoperative Analgesia After Unilateral Hip Arthroplasty</t>
  </si>
  <si>
    <t>NCT06628128</t>
  </si>
  <si>
    <t>A Long-Term Study of JNT-517 in Participants With Phenylketonuria</t>
  </si>
  <si>
    <t>NCT07168356</t>
  </si>
  <si>
    <t>A Study to Evaluate Blood Levels of Bepirovirsen in Adult Participants With Severe or Moderate Kidney Disease</t>
  </si>
  <si>
    <t>NCT06885645</t>
  </si>
  <si>
    <t>First-In-Human Study in Participants With Advanced Solid Tumors</t>
  </si>
  <si>
    <t>NCT07065331</t>
  </si>
  <si>
    <t>A Study of Inhaled AZD8630 in Adolescents With Asthma</t>
  </si>
  <si>
    <t>NCT07132957</t>
  </si>
  <si>
    <t>A Study of AL8326 in Healthy Subjects</t>
  </si>
  <si>
    <t>NCT06697301</t>
  </si>
  <si>
    <t>Safety and Efficacy of EIK1001 in Combo With Pembro Versus Placebo and Pembro as First-Line Therapy in Patients With Advanced Melanoma.</t>
  </si>
  <si>
    <t>NCT04294875</t>
  </si>
  <si>
    <t>Phase I, FIH, MTD for MPT0B640, Multi-centre, Open-label, Subject With Locally Advanced or Metastatic Solid Malignancies</t>
  </si>
  <si>
    <t>NCT07265167</t>
  </si>
  <si>
    <t>Bioequivalence Study Between YHP2406 and YHR2501 in Healthy Subjects</t>
  </si>
  <si>
    <t>NCT07269301</t>
  </si>
  <si>
    <t>A Study to Learn How the Body Processes the Study Medicine PF-07328948 in People With and Without Reduced Liver Function</t>
  </si>
  <si>
    <t>NCT06866600</t>
  </si>
  <si>
    <t>IPSC-CMs Combined with LVAD or CABG for the Treatment of Heart Failure</t>
  </si>
  <si>
    <t>NCT07059130</t>
  </si>
  <si>
    <t>Evaluating the Efficacy and Safety of Mirikizumab in Adults Over 60 With Moderate to Severe Crohn's Disease and Ulcerative Colitis</t>
  </si>
  <si>
    <t>Rubix LS</t>
  </si>
  <si>
    <t>NCT06863467</t>
  </si>
  <si>
    <t>Evaluation of the Safety and Tolerability of Gemini in Subjects With Stage 3-4 Chronic Kidney Disease.</t>
  </si>
  <si>
    <t>Revelation Biosciences, Inc</t>
  </si>
  <si>
    <t>NCT06921941</t>
  </si>
  <si>
    <t>Drug-drug Interaction Study of Bemnifosbuvir/Ruzasvir (BEM/RZR) and Digoxin and Rosuvastatin</t>
  </si>
  <si>
    <t>NCT07155031</t>
  </si>
  <si>
    <t>Biotin-Acridine Red Cell Exchange Kinetics</t>
  </si>
  <si>
    <t>NCT07181837</t>
  </si>
  <si>
    <t>A Phase 1/2 Study of the Safety and Efficacy of MVX-220 in Angelman Syndrome</t>
  </si>
  <si>
    <t>MavriX Bio, LLC</t>
  </si>
  <si>
    <t>NCT07173595</t>
  </si>
  <si>
    <t>A Phase I Study of QLS2309 Injection in Patients With CD70+ Relapsed/Refractory Hematologic Malignancies</t>
  </si>
  <si>
    <t>NCT07006077</t>
  </si>
  <si>
    <t>Recombinant Human IL-21-expressing Oncolytic Vaccinia Virus Injection (hV01) in Advanced Pancreatic Cancer</t>
  </si>
  <si>
    <t>NCT07680257</t>
  </si>
  <si>
    <t>An Early Clinical Study to Evaluate the Safety and Efficacy of CLDN18.2 CAR T Cell Injection in Subjects With CLDN18.2-Positive Advanced Malignant Solid Tumors</t>
  </si>
  <si>
    <t>Celest Therapeutics (Shanghai) Co., Ltd.</t>
  </si>
  <si>
    <t>NCT07170319</t>
  </si>
  <si>
    <t>A Study of IBI3032 in Chinese Participants With Overweight or Obesity</t>
  </si>
  <si>
    <t>Innovent Biologics Technology Limited (Shanghai R&amp;D Center)</t>
  </si>
  <si>
    <t>NCT06792695</t>
  </si>
  <si>
    <t>A Study of Novel Study Interventions and Combinations in Participants With Colorectal Cancer</t>
  </si>
  <si>
    <t>NCT06719219</t>
  </si>
  <si>
    <t>A First in Human Trial to Assess the Safety and Immunogenicity of LTB-SA7 Vaccine Against Staphylococcus Aureus.</t>
  </si>
  <si>
    <t>NCT05809687</t>
  </si>
  <si>
    <t>Phase 3 Trial to Evaluate the Efficacy and Safety of DKP21102_B Added on to DKP21102_A Compared With DKP21102_A</t>
  </si>
  <si>
    <t>Dongkwang Pharm. Co., Ltd.</t>
  </si>
  <si>
    <t>NCT07210138</t>
  </si>
  <si>
    <t>Clinical Investigation of PerioGard (Test) Regimen</t>
  </si>
  <si>
    <t>NCT07139743</t>
  </si>
  <si>
    <t>Obe-cel in Refractory Progressive Forms of Multiple Sclerosis</t>
  </si>
  <si>
    <t>NCT06722235</t>
  </si>
  <si>
    <t>A Study of Mezagitamab in Adults With Chronic Primary Immune Thrombocytopenia</t>
  </si>
  <si>
    <t>NCT07136389</t>
  </si>
  <si>
    <t>Safety, Pharmacokinetics, Immunogenicity BCD-256-1 and Divozilimab in Subjects With Systemic Lupus Erythematosus</t>
  </si>
  <si>
    <t>NCT06897748</t>
  </si>
  <si>
    <t>A Study to Investigate Efficacy and Safety of Tozorakimab Injections Compared With Placebo in Adult Participants With Symptomatic Chronic Obstructive Pulmonary Disease (COPD) With a History of COPD Exacerbations and Elevated Eosinophils</t>
  </si>
  <si>
    <t>NCT06961643</t>
  </si>
  <si>
    <t>Investigation of Pharmacokinetics and Safety of HRS-7535 in Subjects With Hepatic Impairment and Normal Hepatic Function</t>
  </si>
  <si>
    <t>NCT07015398</t>
  </si>
  <si>
    <t>A Study of the Pharmacokinetic Interaction Between Pirfenidone, Nintedanib, and Nalbuphine Extended Release (NAL ER) in Healthy Participants</t>
  </si>
  <si>
    <t>NCT06454721</t>
  </si>
  <si>
    <t>A Study to Determine the Biodistribution, Safety, and Tolerability of a Microdose of Radiolabeled Diranersen (BIIB080) Co-administered With Diranersen in Healthy Adults</t>
  </si>
  <si>
    <t>NCT06984926</t>
  </si>
  <si>
    <t>A Study to Test How Well Multiple Doses of BI 3810477 Are Tolerated by Healthy Adults</t>
  </si>
  <si>
    <t>NCT06805825</t>
  </si>
  <si>
    <t>A Study of the c-Kit Specific Antibody-Drug Conjugate NN3201 for Advanced and/or Metastatic Solid Tumors Known to Express c-Kit</t>
  </si>
  <si>
    <t>Novelty Nobility, Inc.</t>
  </si>
  <si>
    <t>NCT06962332</t>
  </si>
  <si>
    <t>Pharmacokinetics (PK) and Safety of Zanzalintinib in Participants With Moderate Hepatic Impairment (HI)</t>
  </si>
  <si>
    <t>NCT06699121</t>
  </si>
  <si>
    <t>A Study to Assess the Safety and Efficacy of LB-P8 in Patients With PSC</t>
  </si>
  <si>
    <t>NCT07047716</t>
  </si>
  <si>
    <t>Study of Lenacapavir as a Once-Yearly Injection for HIV Pre-exposure Prophylaxis (PrEP)</t>
  </si>
  <si>
    <t>NCT07254585</t>
  </si>
  <si>
    <t>SYS6010 Combined With Enlonstobart In Recurrent Or Metastatic Head And Neck Squamous Cell Carcinoma</t>
  </si>
  <si>
    <t>NCT07283263</t>
  </si>
  <si>
    <t>A Study to Evaluate the Safety, Tolerability, and Drug Levels of BMS-986521 in Healthy Participants.</t>
  </si>
  <si>
    <t>NCT06934616</t>
  </si>
  <si>
    <t>A Phase I, First-in-Human Study of GB268 (PD-1/CTLA-4/VEGF Trispecific Antibody) in Advanced Solid Tumors</t>
  </si>
  <si>
    <t>NCT06806852</t>
  </si>
  <si>
    <t>A Study to Test Whether Treatment With BI 770371 in Combination With Pembrolizumab With or Without Cetuximab Helps People With Head and Neck Cancer Compared With Pembrolizumab Alone</t>
  </si>
  <si>
    <t>NCT06795048</t>
  </si>
  <si>
    <t>A Study to Determine the Efficacy, Safety, and Durability of Faricimab in Participants With Neovascular Age-Related Macular Degeneration</t>
  </si>
  <si>
    <t>NCT07266116</t>
  </si>
  <si>
    <t>Assessment of the Efficacy and Safety of Injectable TQB2934 (Subcutaneous Injection) in Systemic Light Chain Amyloidosis Patients</t>
  </si>
  <si>
    <t>NCT06717438</t>
  </si>
  <si>
    <t>Study of Zatolmilast (BPN14770) in Participants With PPP2R5D Neurodevelopmental Disorder (Jordan's Syndrome [JS])</t>
  </si>
  <si>
    <t>NCT06917508</t>
  </si>
  <si>
    <t>A Study to Evaluate the Drug-Drug Interaction of EDP-323 With Midazolam, Caffeine, and Rosuvastatin in Healthy Participants</t>
  </si>
  <si>
    <t>NCT06776783</t>
  </si>
  <si>
    <t>Safety and Efficacy of APC-0101 in Preterm Infants With Respiratory Distress Syndrome</t>
  </si>
  <si>
    <t>NCT06932705</t>
  </si>
  <si>
    <t>A Study to Compare to PK Characteristics and Safety Profiles Between PA-111 and PA-111A</t>
  </si>
  <si>
    <t>NCT07146022</t>
  </si>
  <si>
    <t>Safety and Efficacy of VDPHL01 in Females With Androgenetic Alopecia (AGA)</t>
  </si>
  <si>
    <t>NCT07138001</t>
  </si>
  <si>
    <t>Phase 2 Clinical Trial of KH617</t>
  </si>
  <si>
    <t>NCT07180862</t>
  </si>
  <si>
    <t>A Study Evaluating BAT3306 Compared With Keytruda® in NSCLC Cancer Participants</t>
  </si>
  <si>
    <t>NCT06837077</t>
  </si>
  <si>
    <t>Study of SHR-1209 Administered by Single-site or Multiple-site Subcutaneous Injections in Healthy Volunteers</t>
  </si>
  <si>
    <t>NCT07231861</t>
  </si>
  <si>
    <t>Bioequivalence Study of AJU-R713 and R713R in Healthy Adult Volunteers</t>
  </si>
  <si>
    <t>NCT07100873</t>
  </si>
  <si>
    <t>A Phase 1 Study of ADI-001 in Rheumatoid Arthritis</t>
  </si>
  <si>
    <t>NCT06961383</t>
  </si>
  <si>
    <t>Study of NG01 Cell Therapy in Secondary Progressive Multiple Sclerosis</t>
  </si>
  <si>
    <t>NeuroGenesis Ltd.</t>
  </si>
  <si>
    <t>NCT07300241</t>
  </si>
  <si>
    <t>Open-Label Phase 1/2 Study of NEO-811 in Subjects With Locally Advanced or Metastatic Non-Resectable Clear Cell Renal Cell Carcinoma</t>
  </si>
  <si>
    <t>Neomorph, Inc</t>
  </si>
  <si>
    <t>NCT07514156</t>
  </si>
  <si>
    <t>NCT06632951</t>
  </si>
  <si>
    <t>Study to Evaluate Adverse Events and Change in Disease Activity When Intravenously (IV) Infused Livmoniplimab is Used in Combination With IV Infused Budigalimab in Adult Participants With Urothelial Carcinoma (UC)</t>
  </si>
  <si>
    <t>NCT06780670</t>
  </si>
  <si>
    <t>Open-label Study Comparing AAA817 Versus Standard of Care in the Treatment of Previously Treated PSMA-positive mCRPC Adults Who Have Disease Progressed on or After [177Lu]Lu-PSMA Targeted Therapy</t>
  </si>
  <si>
    <t>NCT06830954</t>
  </si>
  <si>
    <t>Bioequivalence Study of Fluvastatin Sodium Extended Release Tablets in Healthy Participants</t>
  </si>
  <si>
    <t>NCT06848231</t>
  </si>
  <si>
    <t>A Phase 2 Study of YA-101 in Patients With Multiple System Atrophy</t>
  </si>
  <si>
    <t>Dasher Neuroscience Inc.</t>
  </si>
  <si>
    <t>NCT06771245</t>
  </si>
  <si>
    <t>A Phase III Clinical Trial Evaluating the Efficacy and Safety of Valsartan/Levamlodipine (SYH9056) Tablets In Hypertensive Patients</t>
  </si>
  <si>
    <t>NCT07128303</t>
  </si>
  <si>
    <t>Study of GS-5319 in Adults With Solid Tumors</t>
  </si>
  <si>
    <t>NCT07116473</t>
  </si>
  <si>
    <t>To Evaluate the Long-term Safety and Tolerability of Acoramidis in Participants With Newly Diagnosed ATTR-CM (ACT-EARLY OLE)</t>
  </si>
  <si>
    <t>NCT06787586</t>
  </si>
  <si>
    <t>Safety, Tolerability and PK of ATTO-1310 in Healthy Volunteers and Patients With Atopic Dermatitis and Patients With Chronic Pruritus</t>
  </si>
  <si>
    <t>Attovia Therapeutics Inc</t>
  </si>
  <si>
    <t>NCT06953583</t>
  </si>
  <si>
    <t>A Study to Learn More About the Effects and Long-Term Safety of Omaveloxolone (BIIB141) in Children and Teens With Friedreich's Ataxia</t>
  </si>
  <si>
    <t>NCT07012005</t>
  </si>
  <si>
    <t>Study of BPN14770 in Participants With Severe Renal Impairment and Healthy Controls</t>
  </si>
  <si>
    <t>NCT07106372</t>
  </si>
  <si>
    <t>A Study of Stapokibatrt in Children Subjects With Atopic Dermatitis</t>
  </si>
  <si>
    <t>NCT07473973</t>
  </si>
  <si>
    <t>ENERGY 2: Evaluation of the Efficacy and Safety of INZ-701 in Infants With ENPP1 Deficiency</t>
  </si>
  <si>
    <t>NCT06921837</t>
  </si>
  <si>
    <t>A First-in-Human Study Using BDC-4182 as a Single Agent in Advanced Gastric and Gastroesophageal Cancer</t>
  </si>
  <si>
    <t>NCT07038343</t>
  </si>
  <si>
    <t>AVENTINE-1: Study of AVZO-1418 as a Single Agent and in Combination Therapy in Patients With Locally Advanced or Metastatic Solid Tumors (AVZO-1418-1001)</t>
  </si>
  <si>
    <t>NCT07260812</t>
  </si>
  <si>
    <t>KSV01 Injection for the Treatment of Relapsed/Refractory Diffuse Large B-Cell Lymphoma</t>
  </si>
  <si>
    <t>NCT06823167</t>
  </si>
  <si>
    <t>A Phase 1 Study of IM-1021 in Participants With Advanced Cancer</t>
  </si>
  <si>
    <t>NCT06823856</t>
  </si>
  <si>
    <t>Pharmacokinetics and Bioequivalence Study of Empagliflozin+Metformin Hydrochloride 12.5 mg/1000 mg Film-coated Tablets (Gedeon Richter Plc., Hungary) Versus Synjardy 12.5 mg/1000 mg Film-coated Tablets (Boehringer Ingelheim International GmbH, Germany)</t>
  </si>
  <si>
    <t>NCT07005102</t>
  </si>
  <si>
    <t>A Study to Assess Adverse Events, Change in Disease Activity of Intravenous Telisotuzumab Adizutecan in Combination With Osimertinib as First-Line Treatment in Adult Participants With Locally Advanced Unresectable or Metastatic EGFR-Mutated Non-Squamous Non-Small Cell Lung Cancer</t>
  </si>
  <si>
    <t>NCT05659953</t>
  </si>
  <si>
    <t>LMT503 First-in-human SAD, MAD, and FE Study</t>
  </si>
  <si>
    <t>Lmito Therapeutics Inc.</t>
  </si>
  <si>
    <t>NCT07058077</t>
  </si>
  <si>
    <t>A Study of Enlicitide Decanoate (MK-0616, an Oral PCSK9 Inhibitor) in Children and Adolescents With Heterozygous Familial Hypercholesterolemia (MK-0616-029)</t>
  </si>
  <si>
    <t>NCT06971900</t>
  </si>
  <si>
    <t>GATEWAY: A Phase 2a Study of PORT-77 in Adults With Erythropoietic Protoporphyria</t>
  </si>
  <si>
    <t>NCT06817356</t>
  </si>
  <si>
    <t>A Study to Evaluate Mazdutide Compared With Placebo in Participants With Alcohol Use Disorder</t>
  </si>
  <si>
    <t>NCT07018453</t>
  </si>
  <si>
    <t>A Study Comparing SHR-3167 and Insulin Degludec in Type 2 Diabetic Subjects Treated With Basal Insulin With or Without Oral Antidiabetic Drugs</t>
  </si>
  <si>
    <t>NCT06928051</t>
  </si>
  <si>
    <t>A Study of S-892216 in Participants With COVID-19</t>
  </si>
  <si>
    <t>NCT06545929</t>
  </si>
  <si>
    <t>Study of Sunobinop on Craving in Alcohol Use Disorder</t>
  </si>
  <si>
    <t>NCT07178522</t>
  </si>
  <si>
    <t>A Study to Evaluate the Immunogenicity and Safety of an EV71 Vaccine (Envacgen®) in Children Aged 6 to &lt;10 Years Compared to Children Aged 2 to &lt;6 Years</t>
  </si>
  <si>
    <t>NCT07153172</t>
  </si>
  <si>
    <t>Safety Follow-up Study of Participants Dosed With INV-347 in Study INV-CL-108</t>
  </si>
  <si>
    <t>NCT07097831</t>
  </si>
  <si>
    <t>A Clinical Trial of HRS-1301 on the Pharmacokinetics of Rosuvastatin Calcium Tablets in Healthy Subjects</t>
  </si>
  <si>
    <t>NCT07282028</t>
  </si>
  <si>
    <t>A Prospective, Open-label, Pivotal Study to Assess Spectacle Hearing Aid Safety and Efficacy</t>
  </si>
  <si>
    <t>Nuance Hearing</t>
  </si>
  <si>
    <t>NCT06901505</t>
  </si>
  <si>
    <t>To Evaluate the Efficacy of Three Times Weekly (TIW) Vadadustat Compared to Standard of Care ESA in Patients With Anemia of CKD Receiving In-Center Hemodialysis</t>
  </si>
  <si>
    <t>NCT07123779</t>
  </si>
  <si>
    <t>Study of HS235 in Obese Patients With Pulmonary Hypertension and Heart Failure With Preserved Ejection Fraction (HFpEF)</t>
  </si>
  <si>
    <t>NCT07334886</t>
  </si>
  <si>
    <t>A Study of [14C]Ulonivirine ([14C]MK-8507) in Healthy Adults (MK-8507-006)</t>
  </si>
  <si>
    <t>NCT07074886</t>
  </si>
  <si>
    <t>A Study to Assess Bioequivalence of Two Subcutaneous (SC) Formulations of Ocrelizumab in Participants With Multiple Sclerosis (MS)</t>
  </si>
  <si>
    <t>NCT07288203</t>
  </si>
  <si>
    <t>A Study of Lifileucel (Tumor-infiltrating Lymphocytes) in Adults With Advanced Melanoma</t>
  </si>
  <si>
    <t>NCT07038824</t>
  </si>
  <si>
    <t>A Study in Participants With Duchenne Muscular Dystrophy Amenable to Exon 45 Skipping to Evaluate the Safety and Efficacy of ENTR-601-45</t>
  </si>
  <si>
    <t>Entrada Therapeutics, Inc.</t>
  </si>
  <si>
    <t>NCT06929624</t>
  </si>
  <si>
    <t>A Phase 3 Clinical Study of SHR-A1912 Combined With R-GemOx Versus R-GemOx in Diffuse Large B-cell Lymphoma</t>
  </si>
  <si>
    <t>NCT07121023</t>
  </si>
  <si>
    <t>To Evaluate the Safety, Efficacy and Kinetic Characteristics of TRD205 Tablets for Postoperative Analgesia After Unilateral Hallux Valgus Orthopedic Surgery</t>
  </si>
  <si>
    <t>NCT07265479</t>
  </si>
  <si>
    <t>A Study to Investigate Safety and Efficacy of Tapinarof Cream, 1% in Participants Ages 3 Months to &lt; 24 Months With Atopic Dermatitis</t>
  </si>
  <si>
    <t>NCT06721962</t>
  </si>
  <si>
    <t>Treatment of Moderate to Severe Refractory Crohn's Disease</t>
  </si>
  <si>
    <t>NCT07428096</t>
  </si>
  <si>
    <t>A Study of PALI-2108 in Healthy Volunteers, Patients With Ulcerative Colitis, and Patients With Fibrostenosing Crohn's Disease</t>
  </si>
  <si>
    <t>NCT07150962</t>
  </si>
  <si>
    <t>Relative Bioavailability of First vs Second-Generation Formulations of HRS9531 Tablets in Obese or Overweight Subjects</t>
  </si>
  <si>
    <t>NCT06502561</t>
  </si>
  <si>
    <t>Comparing The PK Of Aramchol Meglumine Granules To Aramchol Free Acid Tablets</t>
  </si>
  <si>
    <t>NCT06470373</t>
  </si>
  <si>
    <t>A Phase 3 Clinical Trial to Compare RBS-001 to Eylea® in Subjects With Neovascular Age-Related Macular Degeneration</t>
  </si>
  <si>
    <t>Rophibio, Inc.</t>
  </si>
  <si>
    <t>NCT06764160</t>
  </si>
  <si>
    <t>Efficacy, Safety, Pharmacokinetics, Pharmacodynamics, and Immunogenicity of Eculizumab in Chinese Adults With gMG</t>
  </si>
  <si>
    <t>NCT06581159</t>
  </si>
  <si>
    <t>Study of HS135 in Obese Patients With Pulmonary Hypertension and Heart Failure With Preserved Ejection Fraction</t>
  </si>
  <si>
    <t>NCT07235059</t>
  </si>
  <si>
    <t>Safety, Tolerability, Pharmacokinetics and Pharmacodynamics of OJR520 in Healthy Volunteers and Participants With Chronic Kidney Disease</t>
  </si>
  <si>
    <t>NCT06962280</t>
  </si>
  <si>
    <t>A Long-Term Study of Tirzepatide (LY3298176) in Adults With Type 1 Diabetes and Obesity or Overweight</t>
  </si>
  <si>
    <t>NCT07064486</t>
  </si>
  <si>
    <t>A Study of BGM0504 in Participants With Type 2 Diabetes in Indonesia</t>
  </si>
  <si>
    <t>NCT06750341</t>
  </si>
  <si>
    <t>Study of QLC7401 in the Treatment of Primary Hypercholesterolemia or Mixed Hyperlipidemia With Elevated LDL Cholesterol</t>
  </si>
  <si>
    <t>NCT06451913</t>
  </si>
  <si>
    <t>Effect of Saccharomyces Boulardii CNCM I-745 on Gut Microbiota in Patients Undergoing Antibiotic Therapy (in the Context of Erythema Migrans (Early Skin Form of Lyme Borreliosis))</t>
  </si>
  <si>
    <t>NCT06791824</t>
  </si>
  <si>
    <t>Study of CM313(SC) Injection in Subjects With Relapsed/Refractory Aplastic Anemia</t>
  </si>
  <si>
    <t>NCT06899061</t>
  </si>
  <si>
    <t>Modular Clinical Pharmacology Study to Evaluate the Drug-drug Interaction Potential and Relative Bioavailability of Saruparib</t>
  </si>
  <si>
    <t>NCT07220642</t>
  </si>
  <si>
    <t>Weight Loss in People Living With Overweight or Obesity Following Treatment With Cagrilintide</t>
  </si>
  <si>
    <t>NCT06963827</t>
  </si>
  <si>
    <t>A Study of Mezagitamab in Adults With Kidney Condition Called IgA Nephropathy</t>
  </si>
  <si>
    <t>NCT06961370</t>
  </si>
  <si>
    <t>A Study to Investigate Safety, Tolerability, Pharmacokinetics (PK), Pharmacodynamics (PD), and Immunogenicity of RO7669330 in Participants With Geographic Atrophy (GA) Secondary to Age-related Macular Degeneration (AMD)</t>
  </si>
  <si>
    <t>NCT07090954</t>
  </si>
  <si>
    <t>A Study of GR1803 Injection in Combination With Anti-CD38 Monoclonal Antibody for the Treatment of Participants With Multiple Myeloma</t>
  </si>
  <si>
    <t>NCT06952803</t>
  </si>
  <si>
    <t>A Study of Metastases Free Survival With Saruparib vs Placebo Added to a Standard RT/ADT in Men With High-risk Prostate Cancer With a BRCA Mutation</t>
  </si>
  <si>
    <t>NCT07241416</t>
  </si>
  <si>
    <t>A Phase III Clinical Study of Rezvilutamide in Patients With Metastatic Hormone-Sensitive Prostate Cancer</t>
  </si>
  <si>
    <t>NCT06714006</t>
  </si>
  <si>
    <t>Phase 1 Study to Evaluate the Safety and Tolerability of Intravenously Administered PYC-003</t>
  </si>
  <si>
    <t>NCT07546149</t>
  </si>
  <si>
    <t>A Multiple Ascending Dose Study of LW402 in Healthy Volunteers</t>
  </si>
  <si>
    <t>NCT06767748</t>
  </si>
  <si>
    <t>A Phase III Clinical Study to Assess the Efficacy and Safety of GZR4 in Subjects With Type 2 Diabetes Mellitus Treated With Basal Insulin</t>
  </si>
  <si>
    <t>NCT07147348</t>
  </si>
  <si>
    <t>A First-in-human, Dose Escalation and Indication Expansion Study of BNT3212 as Monotherapy or in Combination With BNT327 in Adults With Advanced Solid Tumors</t>
  </si>
  <si>
    <t>NCT07130604</t>
  </si>
  <si>
    <t>Evaluate the Efficacy and Safety of D-2570 in Subjects With Moderate to Severe Plaque Psoriasis</t>
  </si>
  <si>
    <t>NCT07172516</t>
  </si>
  <si>
    <t>A Randomized Study of Azetukalner Versus Placebo in Depressive Episodes Associated With Bipolar I or II Disorder (Bipolar Depression)</t>
  </si>
  <si>
    <t>NCT06883526</t>
  </si>
  <si>
    <t>Study of ZG005 in Combination With Gecacitinib in Patients With Relapsed or Refractory Lymphoma</t>
  </si>
  <si>
    <t>NCT07033026</t>
  </si>
  <si>
    <t>An Evaluation of NGM120 in a Randomized, Double-blind, Placebo-controlled Study in Participants With Colorectal Cancer Who Have Cancer Cachexia.</t>
  </si>
  <si>
    <t>NCT07669584</t>
  </si>
  <si>
    <t>PKB171 Against Placebo in Couples With Mild Male Factor Infertility</t>
  </si>
  <si>
    <t>Prokrea BCN, S.L.</t>
  </si>
  <si>
    <t>NCT07310095</t>
  </si>
  <si>
    <t>A Study to Evaluate the Efficacy of Guselkumab in Chinese Participants With Crohn's Disease (CD)</t>
  </si>
  <si>
    <t>Xian-Janssen Pharmaceutical Ltd.</t>
  </si>
  <si>
    <t>NCT06792734</t>
  </si>
  <si>
    <t>Phase 1 Trial of BTM-3566 in Relapsed/Refractory Mature B Cell Lymphomas</t>
  </si>
  <si>
    <t>NCT06818812</t>
  </si>
  <si>
    <t>A Study to Evaluate INCB186748 in Participants With Advanced or Metastatic Solid Tumors With KRAS G12D Mutation</t>
  </si>
  <si>
    <t>NCT06891365</t>
  </si>
  <si>
    <t>Multiple Dose Study for a New Medication to Potentially Treat Liver Diseases</t>
  </si>
  <si>
    <t>NCT07107802</t>
  </si>
  <si>
    <t>Phase 1 Single Ascending Dose Study With ATX101</t>
  </si>
  <si>
    <t>Aurobac Therapeutics SAS</t>
  </si>
  <si>
    <t>NCT06948981</t>
  </si>
  <si>
    <t>GT719 Injection for the Treatment of Recurrent/Refractory CD19 Positive Adult B-cell Malignancies</t>
  </si>
  <si>
    <t>NCT07069036</t>
  </si>
  <si>
    <t>A Study to Evaluate Single and Multiple Doses of SEP-631 in Healthy Adult Volunteers</t>
  </si>
  <si>
    <t>Septerna, Inc.</t>
  </si>
  <si>
    <t>NCT06995144</t>
  </si>
  <si>
    <t>Comparing Natriuretic Effects of ER Torsemide to IR Torsemide in Patients With Heart Failure</t>
  </si>
  <si>
    <t>NCT07494409</t>
  </si>
  <si>
    <t>A Study of AND017 to Evaluate Efficacy and Safety in Dialysis-Dependent Chronic Kidney Disease (DD-CKD) Patients With Anemia</t>
  </si>
  <si>
    <t>NCT07192263</t>
  </si>
  <si>
    <t>Study to Evaluate the Efficacy and Safety of IN-B00009 Injection in Adults With Obesity or Overweight Without Diabetes Mellitus</t>
  </si>
  <si>
    <t>NCT06963034</t>
  </si>
  <si>
    <t>NBI-1117568-SCZ3029: Evaluation of NBI-1117568 in Inpatient Adults With Schizophrenia</t>
  </si>
  <si>
    <t>NCT07285265</t>
  </si>
  <si>
    <t>Phase I Clinical Trial of Lyophilized Herpes Zoster mRNA Vaccine in Adults Aged 40 Years or Above</t>
  </si>
  <si>
    <t>NCT06842134</t>
  </si>
  <si>
    <t>A Study Comparing Organic Phosphate (Sodium Glycerophosphate Injection) to Numeta G16%E</t>
  </si>
  <si>
    <t>NCT07594964</t>
  </si>
  <si>
    <t>To Evaluate the Safety, Tolerability, and Preliminary Efficacy of XH001 Injection as Adjuvant Therapy in Patients With High-risk Recurrent Solid Tumors</t>
  </si>
  <si>
    <t>Shenzhen Xinhe Biomedical</t>
  </si>
  <si>
    <t>NCT06909136</t>
  </si>
  <si>
    <t>A Study to Evaluate Safety , Efficacy and Pharmacokinetics of WJ01024 Tablets Combined With Ruxolitinib in Patients With Myelofibrosis</t>
  </si>
  <si>
    <t>NCT06514534</t>
  </si>
  <si>
    <t>Open-label Study of Asciminib for CML-CP or CML-AP Patients With T315I Mutation Who Are Resistant, Intolerant or Ineligible to Ponatinib.</t>
  </si>
  <si>
    <t>NCT07202663</t>
  </si>
  <si>
    <t>Study of BB-025, Alone and After BB-031, in Healthy Volunteers</t>
  </si>
  <si>
    <t>NCT07614308</t>
  </si>
  <si>
    <t>A Phase Ⅰ b Clinical Study of ART101 Injection</t>
  </si>
  <si>
    <t>NCT06954818</t>
  </si>
  <si>
    <t>Safety and Immunogenicity of SYS6017 in Healthy Participants Aged 40 Years or More</t>
  </si>
  <si>
    <t>NCT06866613</t>
  </si>
  <si>
    <t>Phase III Trial to Evaluate the Efficacy and Safety in Patients With Ankle Sprains.</t>
  </si>
  <si>
    <t>NCT07182591</t>
  </si>
  <si>
    <t>A Study of DS5361b in Participants With Advanced Solid Tumors</t>
  </si>
  <si>
    <t>NCT06389110</t>
  </si>
  <si>
    <t>Study to Evaluate the Efficacy of Alleance® (Atropine Sulfate 0.01%) as a Treatment to Delay Myopia and Axial Ocular Elongation in Children.</t>
  </si>
  <si>
    <t>NCT07088068</t>
  </si>
  <si>
    <t>A Study to Investigate Efficacy and Safety of Teplizumab Compared With Placebo in Participants 1 to 25 Years of Age With Stage 3 Type 1 Diabetes</t>
  </si>
  <si>
    <t>NCT06976723</t>
  </si>
  <si>
    <t>Nerivio Efficacy by Time of Treatment Onset</t>
  </si>
  <si>
    <t>Theranica</t>
  </si>
  <si>
    <t>NCT07095868</t>
  </si>
  <si>
    <t>Evaluate the Safety, Tolerability, and Preliminary Efficacy of EVM14 Alone and in Combination in Patients With Selected Solid Tumors</t>
  </si>
  <si>
    <t>Everest Medicines (Beijing) Co., Ltd.</t>
  </si>
  <si>
    <t>NCT06930625</t>
  </si>
  <si>
    <t>A Study to Assess the Efficacy and Safety of Debio 4126 in Participants With Acromegaly Previously Treated With Somatostatin Analogs</t>
  </si>
  <si>
    <t>NCT06858813</t>
  </si>
  <si>
    <t>A Study to Assess Adverse Events and Change in Disease Activity of Intravenously (IV) Infused ABBV-324 in Adult Participants With Hepatocellular Cancer (HCC) or Squamous-Cell Non-Small Cell Lung Cancer (LUSC)</t>
  </si>
  <si>
    <t>NCT06978725</t>
  </si>
  <si>
    <t>A Phase 2 Study of the Safety and Efficacy of Brepocitinib in Adults With Cutaneous Sarcoidosis (BEACON)</t>
  </si>
  <si>
    <t>NCT06902818</t>
  </si>
  <si>
    <t>The Study Compare and Evaluate the Safety and PK Data of a Single Dose Administration of 'AD-115A' or 'AD-1151'</t>
  </si>
  <si>
    <t>NCT07217860</t>
  </si>
  <si>
    <t>An Open-label Study of Azetukalner in Bipolar I or II Depression (X-CEED-OLE)</t>
  </si>
  <si>
    <t>NCT06602271</t>
  </si>
  <si>
    <t>PF614 Analgesic Activity in Acute Postoperative Pain (PF614-301)</t>
  </si>
  <si>
    <t>NCT07256509</t>
  </si>
  <si>
    <t>A Study of SYS6010 Combined With Osimertinib Versus Osimertinib Alone as Neoadjuvant Therapy for Patients With EGFR Mutation-positive Resectable Non-squamous Non-small Cell Lung Cancer</t>
  </si>
  <si>
    <t>NCT07442006</t>
  </si>
  <si>
    <t>Glycemic Variability of Combination Therapies in T2DM</t>
  </si>
  <si>
    <t>NCT06708299</t>
  </si>
  <si>
    <t>CardiolRx in Recurrent Pericarditis (MAVERIC Phase-3)</t>
  </si>
  <si>
    <t>NCT07377175</t>
  </si>
  <si>
    <t>Study to Evaluate the Safety, Tolerability, and Pharmacokinetics of BSY001 After Single/Multiple Doses.</t>
  </si>
  <si>
    <t>NCT06986811</t>
  </si>
  <si>
    <t>CEB-01 in Paediatrics With Locally Resectable Abdominal Tumours</t>
  </si>
  <si>
    <t>NCT07223229</t>
  </si>
  <si>
    <t>Phase 2 Study to Evaluate EI-001 in Non-segmental Vitiligo Patients</t>
  </si>
  <si>
    <t>NCT07102628</t>
  </si>
  <si>
    <t>Evaluation of Efficacy and Safety of Early in Hospital Initiation of Inclisiran Treatment in Patients With Acute Coronary Syndromes</t>
  </si>
  <si>
    <t>NCT06852456</t>
  </si>
  <si>
    <t>QL1706 in Combination With Neoadjuvant Chemotherapy Versus Neoadjuvant Chemotherapy for Locally Advanced, Resectable Esophageal Squamous Cell Carcinoma</t>
  </si>
  <si>
    <t>NCT06973629</t>
  </si>
  <si>
    <t>Efficacy and Safety of MSC-NTF (NurOwn) in Participants With Early Symptomatic ALS and Moderate Disease Presentation in ALS (ENDURANCE STUDY)</t>
  </si>
  <si>
    <t>Brainstorm-Cell Therapeutics</t>
  </si>
  <si>
    <t>NCT07070739</t>
  </si>
  <si>
    <t>A Long-term Study of HSK44459 Tablets in Participants With Bechet's Disease</t>
  </si>
  <si>
    <t>NCT07226882</t>
  </si>
  <si>
    <t>A Study to Learn About Different Dosing Schedules of a Lyme Disease Vaccine in Healthy Adults</t>
  </si>
  <si>
    <t>NCT07173556</t>
  </si>
  <si>
    <t>A Phase Ib/II Study of QLC1401 Combined With CDK4/6 or mTOR Inhibitors in ER+/HER2- Advanced Breast Cancer</t>
  </si>
  <si>
    <t>NCT07063329</t>
  </si>
  <si>
    <t>Phase I/II Study of PLB1004 Combined With Platinum-based Doublet Chemotherapy in Patients With EGFR Mutation-positive</t>
  </si>
  <si>
    <t>Avistone Pharmaceutical（Ningbo）Co., LTD.</t>
  </si>
  <si>
    <t>NCT06783881</t>
  </si>
  <si>
    <t>Single-ascending Dose Study of Kylo-12 in Healthy Subjects</t>
  </si>
  <si>
    <t>NCT07196111</t>
  </si>
  <si>
    <t>BAFFR CAR-T Treatment for Relapsed/Refractory B-cell Tumors</t>
  </si>
  <si>
    <t>NCT06923228</t>
  </si>
  <si>
    <t>A Study to Assess Efficacy and Safety of CGB-500, 1% Tofacitinib Versus an Active Comparator for Atopic Dermatitis</t>
  </si>
  <si>
    <t>NCT06979531</t>
  </si>
  <si>
    <t>Efficacy and Safety of IMVT-1402 in Adult Participants With Primary Sjogren's Disease With Moderate to Severe Systemic Disease Activity</t>
  </si>
  <si>
    <t>NCT06823245</t>
  </si>
  <si>
    <t>Pharmacokinetic Study of HS-10241 Tablets in Subjects with Hepatic Impairment and Normal Hepatic Function</t>
  </si>
  <si>
    <t>NCT06967181</t>
  </si>
  <si>
    <t>A Phase 1 Trial of Intranasal Mumps Virus Vaccines in Healthy Adults</t>
  </si>
  <si>
    <t>NCT06866236</t>
  </si>
  <si>
    <t>Use of New Drug QRX-3 for Prevention and Treatment of Chronic Kidney Disease Progression</t>
  </si>
  <si>
    <t>NCT06972992</t>
  </si>
  <si>
    <t>A Study to Evaluate Safety, Tolerability, Pharmacokinetics and Pharmacodynamics of ASC47 in Combination With Semaglutide</t>
  </si>
  <si>
    <t>NCT07547228</t>
  </si>
  <si>
    <t>A Study of PRL3-zumab in Neovascular Age-related Macular Degeneration (nAMD)</t>
  </si>
  <si>
    <t>NCT06989567</t>
  </si>
  <si>
    <t>A Study of Intravenous L-Citrulline in Patients Aged 6-21 Years Old With Sickle Cell Disease Presenting to Emergency Departments in Acute Vaso-Occlusive Crisis</t>
  </si>
  <si>
    <t>NCT07179692</t>
  </si>
  <si>
    <t>CEA-Targeted CAR-T Therapy in CEA-Positive Advanced Solid Tumors</t>
  </si>
  <si>
    <t>NCT06810505</t>
  </si>
  <si>
    <t>A Study of Oral Atogepant Tablets to Assess Adverse Events and Change in Disease Activity To Prevent Migraine in Participants Aged 12 to 17 Years</t>
  </si>
  <si>
    <t>NCT07669454</t>
  </si>
  <si>
    <t>A Randomized, Double-blind, Placebo-controlled, Parallel-group, Comparative, Phase III Study to Evaluate the Efficacy and Safety of Nuvastatic® 300mg Capsule in Reducing Cancer-Tumor in Patients With Metastatic Colorectal Cancer Receiving Standard Chemotherapy.</t>
  </si>
  <si>
    <t>NCT06754605</t>
  </si>
  <si>
    <t>A Study to Evaluate the Safety, Tolerability, and Immunogenicity of a Recombinant Respiratory Syncytial Virus Vaccine</t>
  </si>
  <si>
    <t>NCT07127874</t>
  </si>
  <si>
    <t>A Study of PHN-012 in Patients With Advanced Solid Tumors</t>
  </si>
  <si>
    <t>NCT07308574</t>
  </si>
  <si>
    <t>Post-Marketing Clinical Study of Ravulizumab in Participants With Clinical aHUS</t>
  </si>
  <si>
    <t>NCT07218380</t>
  </si>
  <si>
    <t>A Study of Vepugratinib (LY3866288) in Participants With Cancer in the Urinary Tract</t>
  </si>
  <si>
    <t>NCT07245446</t>
  </si>
  <si>
    <t>A Study of Ivonescimab in First-Line ES-SCLC</t>
  </si>
  <si>
    <t>NCT06711991</t>
  </si>
  <si>
    <t>A Clinical Trial of TQC3927 Powder for Inhalation in Chronic Obstructive Pulmonary Disease</t>
  </si>
  <si>
    <t>NCT06961786</t>
  </si>
  <si>
    <t>TNFα and IL-2 Coding Oncolytic Adenovirus TILT-123 With Lymphocyte-depleting Chemotherapy and TILs in the Treatment of Melanoma</t>
  </si>
  <si>
    <t>NCT07184086</t>
  </si>
  <si>
    <t>A Study to See How Metabolism is Influenced by Weight Loss Due to Intervention With Cagrilintide and Semaglutide Compared to Diet</t>
  </si>
  <si>
    <t>NCT07177469</t>
  </si>
  <si>
    <t>UBT251 Injection Phase II Study (Overweight or Obesity)</t>
  </si>
  <si>
    <t>NCT06283979</t>
  </si>
  <si>
    <t>A Randomized Controlled Phase II Trial of STIMULAN VG vs Standard of Care (SoC) for the Treatment of Osteomyelitis Associated With Stage IV Pressure Ulcers.</t>
  </si>
  <si>
    <t>NCT06955988</t>
  </si>
  <si>
    <t>A Study to Evaluate the Safety, Tolerability, Pharmacokinetics, and Efficacy of AST2303 Tablets (ABK3376 Tablets) in Patients With Advanced or Metastatic Non-Small Cell Lung Cancer</t>
  </si>
  <si>
    <t>NCT06897527</t>
  </si>
  <si>
    <t>A Study to Evaluate the Safety of Dostarlimab in Adult Participants in India With Recurrent or Advanced Endometrial Cancer (EC)</t>
  </si>
  <si>
    <t>NCT07199270</t>
  </si>
  <si>
    <t>A Study to Evaluate the Safety, Immunogenicity, and Pharmacokinetics of GR2303 in Healthy Adult</t>
  </si>
  <si>
    <t>NCT07008118</t>
  </si>
  <si>
    <t>A Study to Evaluate INCA035784 in Participants With Myeloproliferative Neoplasms</t>
  </si>
  <si>
    <t>NCT06737380</t>
  </si>
  <si>
    <t>UC-MSC Cell Therapy Study for Systemic Lupus Erythematosus (SLE) Patients</t>
  </si>
  <si>
    <t>LiveKidney.Bio</t>
  </si>
  <si>
    <t>NCT07073170</t>
  </si>
  <si>
    <t>A Study of LY3549492 in Chinese Participants With Type 2 Diabetes Mellitus</t>
  </si>
  <si>
    <t>NCT07079956</t>
  </si>
  <si>
    <t>Study to Evaluate the TUBE Device Ability to Treat Unruptured, Wide-neck or Fusiform Aneurysms</t>
  </si>
  <si>
    <t>NVMedTech</t>
  </si>
  <si>
    <t>NCT06844474</t>
  </si>
  <si>
    <t>A Phase II Clinical Study of SHR-1826 for Injection in Patients With NSCLC</t>
  </si>
  <si>
    <t>NCT07363460</t>
  </si>
  <si>
    <t>Study to Assess Efficacy and Safety of HSK39297 Tablets in Patients With LN</t>
  </si>
  <si>
    <t>NCT07186946</t>
  </si>
  <si>
    <t>Phase 1, Single Ascending Dose Study to Evaluate the Safety, Tolerability, PK, PD, and Comparative Bioavailability of THRV-1268 in Obese Adult Participants</t>
  </si>
  <si>
    <t>NCT07283770</t>
  </si>
  <si>
    <t>Dose Escalation Study Evaluating the Safety and Pharmacokinetics of VX-581 in Healthy Participants</t>
  </si>
  <si>
    <t>NCT06850805</t>
  </si>
  <si>
    <t>Efficacy and Safety of 186 mcg of OPN-375 Nasal Spray Twice a Day (BID) in Adolescents With Chronic Rhinosinusitis Without Nasal Polyps</t>
  </si>
  <si>
    <t>NCT06916156</t>
  </si>
  <si>
    <t>Evaluation of the Concentration of ANT3310 and Meropenem in the Lung in Healthy Adult Participants</t>
  </si>
  <si>
    <t>NCT06824194</t>
  </si>
  <si>
    <t>Study of the Safety of a 21-valent Pneumococcal Conjugate Vaccine in Healthy Infants From Approximately 2 Months of Age</t>
  </si>
  <si>
    <t>NCT07270731</t>
  </si>
  <si>
    <t>A Research Study of a New Medicine, NNC9733-0001, in Healthy Participants and Participants With Type 2 Diabetes</t>
  </si>
  <si>
    <t>NCT07301502</t>
  </si>
  <si>
    <t>A Clinical Trial of AK152 in Healthy Volunteers and Patients With Alzheimer' s Disease</t>
  </si>
  <si>
    <t>NCT07048353</t>
  </si>
  <si>
    <t>CD30 CAR-T in the Treatment of CD30 Positive Lymphoma</t>
  </si>
  <si>
    <t>NCT07240896</t>
  </si>
  <si>
    <t>A Clinical Study on the Treatment of Wilson Disease With ATP7B mRNA/LNP (DSL101)</t>
  </si>
  <si>
    <t>DSciLab Co., Ltd.</t>
  </si>
  <si>
    <t>NCT06696261</t>
  </si>
  <si>
    <t>A Study of Lianxiaxiaopi Granules in the Treatment of Postprandial Distress Syndrome</t>
  </si>
  <si>
    <t>NCT07118254</t>
  </si>
  <si>
    <t>A PHASE II PROSPECTIVE RANDOMIZED DOUBLE-MASKED CROSSOVER STUDY ASSESSING THE SAFETY &amp; EFFICACY OF RHPRG4 (450 μG/ML RECOMBINANT HUMAN PROTEOGLYCAN 4) COMPARED TO VEHICLE FOR THE TREATMENT OF OCULAR GRAFT-VERSUS-HOST DISEASE (OGVHD)</t>
  </si>
  <si>
    <t>NCT06829459</t>
  </si>
  <si>
    <t>A Study to Evaluate the Efficacy and Safety of Glumetinib Combined With Osimertinib Mesylate Versus Platinum-based Doublet Chemotherapy in Non-Small Cell Lung Cancer Patients After Resistance to EGFR-TKIs</t>
  </si>
  <si>
    <t>NCT07227883</t>
  </si>
  <si>
    <t>Secretome Treatment for Facial Rejuvenation</t>
  </si>
  <si>
    <t>Acorn Biolabs Inc.</t>
  </si>
  <si>
    <t>NCT06810245</t>
  </si>
  <si>
    <t>Study of PIPE-791 for Subjects With Chronic Osteoarthritis Pain or Chronic Low Back Pain</t>
  </si>
  <si>
    <t>NCT07098403</t>
  </si>
  <si>
    <t>NCT06911203</t>
  </si>
  <si>
    <t>A Study of BGM0504 in Participants With Obesity</t>
  </si>
  <si>
    <t>NCT06884254</t>
  </si>
  <si>
    <t>Efficacy and Safety Study of EG1206A (EirGenix' Pertuzumab) Compared With EU-sourced Perjeta® (Pertuzumab) in Patients With HER2-positive Hormone Receptor Negative Early Breast Cancer.</t>
  </si>
  <si>
    <t>NCT06828354</t>
  </si>
  <si>
    <t>A Study of SHR-A1811 in Subjects With Ovarian Cancer</t>
  </si>
  <si>
    <t>NCT07177066</t>
  </si>
  <si>
    <t>A Study of EDG-15400 in Healthy Adults</t>
  </si>
  <si>
    <t>NCT07157956</t>
  </si>
  <si>
    <t>CVL006 Combination Therapy in Advanced Solid Tumors</t>
  </si>
  <si>
    <t>NCT07074327</t>
  </si>
  <si>
    <t>Effects of VX-407 on the Pharmacokinetics of Oral Contraceptives in Healthy Participants</t>
  </si>
  <si>
    <t>NCT06651970</t>
  </si>
  <si>
    <t>Acalabrutinib Monotherapy vs Investigator's Choice of Treatment in Patients With CL Leukaemia and Heart Failure</t>
  </si>
  <si>
    <t>NCT07153146</t>
  </si>
  <si>
    <t>Safety, Tolerability, Pharmacokinetics, and Pharmacodynamics of PN-881 in Healthy Subjects.</t>
  </si>
  <si>
    <t>NCT07225569</t>
  </si>
  <si>
    <t>A Study to Investigate Efficacy and Safety With SAR445399 in Adult Participants With Moderate to Severe Hidradenitis Suppurativa</t>
  </si>
  <si>
    <t>NCT06830798</t>
  </si>
  <si>
    <t>Double-blind, Randomized, Placebo-controlled, Multicenter Study to Evaluate the Efficacy and Safety of Ravulizumab Administered Intravenously in Adult Participants at High Risk of Delayed Graft Function After Kidney Transplantation</t>
  </si>
  <si>
    <t>NCT06809621</t>
  </si>
  <si>
    <t>A Study to Test How Insulin NNC0471-0119 H Works in the Body in Participants With Type 1 Diabetes When Given by an Insulin Pump</t>
  </si>
  <si>
    <t>NCT06884293</t>
  </si>
  <si>
    <t>A Study Comparing IBI362 vs Semaglutide in Chinese Overweight or Obese Adults With Metabolic Dysfunction-associated Fatty Liver Disease （MAFLD）</t>
  </si>
  <si>
    <t>NCT07161193</t>
  </si>
  <si>
    <t>Anti-CD19 Chimeric Antigen Receptor T Cells for Refractory Autoimmune Diseases</t>
  </si>
  <si>
    <t>NCT07049328</t>
  </si>
  <si>
    <t>HCW9302 (Interleukin-2 Fusion Protein) for Alopecia Areata</t>
  </si>
  <si>
    <t>HCW Biologics</t>
  </si>
  <si>
    <t>NCT06859099</t>
  </si>
  <si>
    <t>Long-term Safety and Efficacy Study of Riliprubart in Participants With CIDP</t>
  </si>
  <si>
    <t>NCT06990984</t>
  </si>
  <si>
    <t>A Dose-ranging Study of TTI-0102 in Adults and Children With Leigh Syndrome Spectrum (LSS)</t>
  </si>
  <si>
    <t>NCT06128447</t>
  </si>
  <si>
    <t>Phase 3, Multi-center, Prospective, Randomized, Double-blind, Placebo- Controlled Study to Evaluate the Effectiveness and Safety of ZP5-9676 for the Treatment of Soil Transmitted Helminthiasis (STH)</t>
  </si>
  <si>
    <t>Zero Point Five Therapeutics</t>
  </si>
  <si>
    <t>NCT06951698</t>
  </si>
  <si>
    <t>A Study to Evaluate the Efficacy and Safety of KarXT for the Treatment of Manic Episodes in Bipolar-I Disorder</t>
  </si>
  <si>
    <t>NCT06030193</t>
  </si>
  <si>
    <t>Study of an Investigational Product, QLS-111, Provided as an Eyedrop, for Treatment of Normal Tension Glaucoma (NTG)</t>
  </si>
  <si>
    <t>NCT06963177</t>
  </si>
  <si>
    <t>A Phase IIa Clinical Study to Assess the Efficacy and Safety of GenSci048 in Patients With Moderate to Severe Endometriosis-Associated Pain</t>
  </si>
  <si>
    <t>NCT06940700</t>
  </si>
  <si>
    <t>Clinical Study on the Efficacy and Safety of SHR-4597 Inhalant in Adult Patients With Asthma</t>
  </si>
  <si>
    <t>NCT07011732</t>
  </si>
  <si>
    <t>A Phase 3 Study to Evaluate the Safety and Efficacy of KarXT + KarX-EC for the Treatment of Agitation Associated With Alzheimer's Disease (ADAGIO-1)</t>
  </si>
  <si>
    <t>NCT06723652</t>
  </si>
  <si>
    <t>A Multicenter, Randomized, Double-blind, Placebo-controlled Phase III Clinical Study Evaluating the Efficacy and Safety of SHR-1918 in Patients With Homozygous Familial Hypercholesterolemia</t>
  </si>
  <si>
    <t>NCT07056439</t>
  </si>
  <si>
    <t>Phase I/II Clinical Study of HRS-1738 for the Diagnosis of Prostate Cancer Patients</t>
  </si>
  <si>
    <t>NCT07010406</t>
  </si>
  <si>
    <t>A Study to Evaluate the Relative Bioavailability of Povetacicept Formulations and Bioequivalence of Povetacicept Presentations</t>
  </si>
  <si>
    <t>NCT07221851</t>
  </si>
  <si>
    <t>Trial Investigating the Efficacy and Safety of Weekly Lonapegsomatropin Compared to Daily Somatropin in Children and Adolescents With Short Stature or Growth Failure Due to Growth Hormone Sufficient Disorders</t>
  </si>
  <si>
    <t>NCT07008456</t>
  </si>
  <si>
    <t>A Study to Investigate the Efficacy and Safety of Two Different Doses of Twice Daily Distal Jejunal-release Dextrose Beads Formulations Combined With a Gel Composition Compared to Placebos in Obese Subjects With Weight Related Comorbidities</t>
  </si>
  <si>
    <t>NCT06982729</t>
  </si>
  <si>
    <t>Study of YK012 in Primary Membranous Nephropathy</t>
  </si>
  <si>
    <t>NCT07175662</t>
  </si>
  <si>
    <t>Evaluation of NWRD08 for HPV-16 and/or HPV-18 Related Cervical HSIL</t>
  </si>
  <si>
    <t>Newish Biotech (Wuxi) Co., Ltd.</t>
  </si>
  <si>
    <t>NCT07521683</t>
  </si>
  <si>
    <t>A Phase II Clinical Study to Evaluate the Efficacy and Safety of NS-136 in the Treatment of Schizophrenia</t>
  </si>
  <si>
    <t>NCT07328022</t>
  </si>
  <si>
    <t>Efficacy and Safety of Etoricoxib/Betamethasone Combination in Acute Bursitis, Tendinitis and Synovitis</t>
  </si>
  <si>
    <t>NCT06910839</t>
  </si>
  <si>
    <t>Study to Learn About How the Study Medicines Called PF-07976016 and PF-06882961 Are Taken Up by the Body, and if Either of Them Change How the Body Processes the Other Medicine in Otherwise Healthy Adults With Overweight or Obesity</t>
  </si>
  <si>
    <t>NCT06862739</t>
  </si>
  <si>
    <t>Glycemic Control With Triple Pathway Approach Through Empagliflozin, Linagliptin and Metformin Combination</t>
  </si>
  <si>
    <t>Nabiqasim Industries (Pvt) Ltd</t>
  </si>
  <si>
    <t>NCT06870422</t>
  </si>
  <si>
    <t>To Assess the Effect of the Special Condition on the Pharmacokinetics and Tolerability of the Esflurbiprofen Topical System (EFTS) in Healthy Volunteers.</t>
  </si>
  <si>
    <t>NCT07230977</t>
  </si>
  <si>
    <t>GenSci139 in Patients With Advanced Solid Tumors</t>
  </si>
  <si>
    <t>NCT07081503</t>
  </si>
  <si>
    <t>Phase 1 Study of ADX-626 in Healthy Participants</t>
  </si>
  <si>
    <t>NCT07083505</t>
  </si>
  <si>
    <t>A Study Comparing the Efficacy and Safety of HB1801 With Taxotere® in Advanced Breast Cancer</t>
  </si>
  <si>
    <t>NCT06930794</t>
  </si>
  <si>
    <t>A Study of Vebreltinib and Platinum-Containing Double Agents in Subjects With MET-Positive</t>
  </si>
  <si>
    <t>NCT07185256</t>
  </si>
  <si>
    <t>Safety and Tolerability of Subretinally Injected OPGx-BEST1 in Patients With Best Vitelliform Macular Dystrophy (BVMD) or Autosomal-Recessive Bestrophinopathy (ARB)</t>
  </si>
  <si>
    <t>NCT06997029</t>
  </si>
  <si>
    <t>A Phase 1 Study of BMS-986500 as Monotherapy or Combination Therapy in Advanced Solid Tumors</t>
  </si>
  <si>
    <t>NCT07037277</t>
  </si>
  <si>
    <t>C-Forward: Efficacy and Safety of BEM/RZR vs SOF/VEL in Subjects With Chronic HCV</t>
  </si>
  <si>
    <t>NCT06693609</t>
  </si>
  <si>
    <t>Exploratory Safety and Efficacy of EMP-01 in Social Anxiety Disorder</t>
  </si>
  <si>
    <t>NCT07169409</t>
  </si>
  <si>
    <t>Right Tools, Right Time, Right Place: Telehealth for Opioid Use Disorder in Vulnerable Settings</t>
  </si>
  <si>
    <t>Boulder Care</t>
  </si>
  <si>
    <t>NCT07171099</t>
  </si>
  <si>
    <t>Efficacy and Safety of Rengalin in the Treatment of ARVI Cough in Children</t>
  </si>
  <si>
    <t>NCT07110363</t>
  </si>
  <si>
    <t>A Clinical Study of BT02 in Treating Patients With Advanced Lung Cancer</t>
  </si>
  <si>
    <t>Biotroy Therapeutics</t>
  </si>
  <si>
    <t>NCT07288138</t>
  </si>
  <si>
    <t>A Study of a Thyroid Hormone Receptor Beta Isoform (THRβ) Agonist and an Semicarbazide Sensitive Amine Oxidase (SSAO) Inhibitor, Alone and in Combination, in Adults With Presumed Metabolic Dysfunction-associated Steatohepatitis (MASH)</t>
  </si>
  <si>
    <t>NCT06824064</t>
  </si>
  <si>
    <t>Evaluation of RBS2418 in Patients With Advanced, Metastatic, and Progressive Colorectal Cancer</t>
  </si>
  <si>
    <t>NCT07400952</t>
  </si>
  <si>
    <t>Placebo-controlled Study to Evaluate the Safety and Efficacy of GLK-221 Ophthalmic Solution in Subjects With Keratoconus</t>
  </si>
  <si>
    <t>NCT07205315</t>
  </si>
  <si>
    <t>A Clinical Study Evaluating the Safety and Efficacy of GT801 Injection in Adult Patients With Relapsed/Refractory CD19-positive B-cell Hematologic Malignancies and Autoimmune Hemolytic Anemia</t>
  </si>
  <si>
    <t>NCT07049926</t>
  </si>
  <si>
    <t>Substudy 03C: A Study of Combination Therapies in Participants With Renal Cell Carcinoma With Recurrent Disease During or After Anti-PD-(L)1 Therapy (MK-3475-03C/KEYMAKER-U03)</t>
  </si>
  <si>
    <t>NCT07010926</t>
  </si>
  <si>
    <t>A Double-Blind, Randomized, Placebo-Controlled Phase II Clinical Trial to Evaluate the Safety and Efficacy of L2-01 in Subjects With Crohn's Disease</t>
  </si>
  <si>
    <t>L2 Bio, LLC</t>
  </si>
  <si>
    <t>NCT07068958</t>
  </si>
  <si>
    <t>A Study Evaluating the Efficacy and Safety of RCI001 Ophthalmic Solution Compared to Placebo in Subjects With Dry Eye</t>
  </si>
  <si>
    <t>NCT05361915</t>
  </si>
  <si>
    <t>Study to Assess Abivertinib in Combination With Abiraterone in Metastatic Castration Resistant Prostate Cancer</t>
  </si>
  <si>
    <t>NCT06880549</t>
  </si>
  <si>
    <t>A Study of mRNA-4106 or mRNA-4200 Administered Alone or in Combination With Anti-Cancer Agents in Participants With Solid Tumors</t>
  </si>
  <si>
    <t>NCT06680258</t>
  </si>
  <si>
    <t>A Study of TPST-1120 With Atezolizumab Plus Bevacizumab in Patients With Unresectable or Metastatic HCC Not Previously Treated With Systemic Therapy</t>
  </si>
  <si>
    <t>NCT07256743</t>
  </si>
  <si>
    <t>Efficacy of SALI-10 Oral Probiotics in Experimental Gingivitis</t>
  </si>
  <si>
    <t>Ostia Sciences</t>
  </si>
  <si>
    <t>NCT06868212</t>
  </si>
  <si>
    <t>A Study to Evaluate Efficacy of Remibrutinib Compared to Dupilumab at Early Timepoints in Adults With Chronic Spontaneous Urticaria Inadequately Controlled by Second Generation H1-antihistamines</t>
  </si>
  <si>
    <t>NCT07543744</t>
  </si>
  <si>
    <t>A Comparative Study of Pharmacokinetics, Safety, and Immunogenicity of RPH-030 and Vectibix® in Patients With Metastatic Colorectal Cancer With Wild-type RAS as First-line Therapy in Combination With FOLFIRI</t>
  </si>
  <si>
    <t>NCT06816992</t>
  </si>
  <si>
    <t>ORIC-114 in Combination With Subcutaneous Amivantamab in Patients With EGFR Exon20 Insertion Mutant NSCLC</t>
  </si>
  <si>
    <t>NCT06738901</t>
  </si>
  <si>
    <t>An Open-label Study Evaluating the Efficacy, Safety, Pharmacokinetics, and Immunogenicity of SKP-0141 for the Treatment and Prophylaxis in Severe Hemophilia a Patients</t>
  </si>
  <si>
    <t>NCT06838000</t>
  </si>
  <si>
    <t>Study of the Safety and Immunogenicity of Catch-up Vaccination With a 21-valent Pneumococcal Conjugate Vaccine (PCV21) in Healthy Infants, Toddlers, Children, and Adolescents</t>
  </si>
  <si>
    <t>NCT07239336</t>
  </si>
  <si>
    <t>Study of DONQ52 in Active Celiac Disease</t>
  </si>
  <si>
    <t>NCT07153471</t>
  </si>
  <si>
    <t>A Study of Orforglipron (LY3502970) in Participants With Obesity or Overweight and Osteoarthritis (OA) of the Knee</t>
  </si>
  <si>
    <t>NCT07300644</t>
  </si>
  <si>
    <t>Clinical Trial of PCV24 in Infants and Children Aged 2 Months to 5 Years</t>
  </si>
  <si>
    <t>NCT07001800</t>
  </si>
  <si>
    <t>Ataciguat for Slowing the Progression of Moderate Calcific Aortic Valve Stenosis: A Randomized, Placebo Controlled Study</t>
  </si>
  <si>
    <t>Kardigan, Inc.</t>
  </si>
  <si>
    <t>NCT06827236</t>
  </si>
  <si>
    <t>A Clinical Study to Find the Optimal Dose of an Investigational Treatment Called BNT323 When Used in Combination With Another Investigational Treatment, BNT327, and to Test if That Combination Treatment is Safe and Beneficial for Patients With Advanced Breast Cancer</t>
  </si>
  <si>
    <t>NCT06858111</t>
  </si>
  <si>
    <t>Fertilo In Vitro Research Study and Trial</t>
  </si>
  <si>
    <t>Gameto, Inc.</t>
  </si>
  <si>
    <t>NCT06898255</t>
  </si>
  <si>
    <t>A Phase I Study to Evaluate GFS202A in Advanced Solid Tumor Patients With Pre-cachexia or Cachexia</t>
  </si>
  <si>
    <t>NCT06689085</t>
  </si>
  <si>
    <t>52 Week Study + 24-Month Long-Term Extension of Safety, PK, &amp; Efficacy of XYOSTED® for Testosterone Replacement in Male Adolescents With Hypogonadism</t>
  </si>
  <si>
    <t>Halozyme Therapeutics</t>
  </si>
  <si>
    <t>NCT07368478</t>
  </si>
  <si>
    <t>A Study to Evaluate the Safety, Tolerability, Pharmacokinetics (PK), and Preliminary Efficacy of BC2027 in Patients With Advanced Solid Malignancies</t>
  </si>
  <si>
    <t>NCT07221578</t>
  </si>
  <si>
    <t>Study to Evaluate the Efficacy and Safety of VQW-765 for the On-Demand Treatment of Social Anxiety Disorder</t>
  </si>
  <si>
    <t>NCT06643143</t>
  </si>
  <si>
    <t>A Phase 2 Study of IkT-001Pro in Pulmonary Arterial Hypertension (PAH)</t>
  </si>
  <si>
    <t>NCT07092748</t>
  </si>
  <si>
    <t>A Phase Ia/ Ib Study of HS387 in Subjects With Advanced Solid Tumors</t>
  </si>
  <si>
    <t>NCT07134335</t>
  </si>
  <si>
    <t>UBT251 Injection Phase II Clinical Study (CKD)</t>
  </si>
  <si>
    <t>NCT06812078</t>
  </si>
  <si>
    <t>A Study of TAK-360 in Adults With Idiopathic Hypersomnia</t>
  </si>
  <si>
    <t>NCT07185815</t>
  </si>
  <si>
    <t>Pharmacokinetics, Safety, Tolerability and Efficacy of a Subcutaneous Long-Acting Injection of Cariprazine (Cariprazine Depot) in Subjects Eligible for Treatment With Oral Cariprazine</t>
  </si>
  <si>
    <t>Mapi Pharma Ltd.</t>
  </si>
  <si>
    <t>NCT07213778</t>
  </si>
  <si>
    <t>REGN7508 Versus Acetylsalicylic Acid (ASA) for Venous Thromboprophylaxis After Total Knee Arthroplasty in Adult Participants</t>
  </si>
  <si>
    <t>NCT06819878</t>
  </si>
  <si>
    <t>A Study to Assess the Efficacy and Safety of Induction and Maintenance Therapy With Afimkibart (RO7790121) in Participants With Moderately to Severely Active Crohn's Disease</t>
  </si>
  <si>
    <t>NCT06890338</t>
  </si>
  <si>
    <t>A Study to Assess Anti-Tumor Activity of Intravenously (IV) Infused Carboplatin With Mirvetuximab Soravtansine in Participants With Newly Diagnosed Folate Receptor Alpha (FRα)Expressing Advanced-Stage Serous Epithelial Ovarian, Fallopian Tube or Primary Peritoneal Cancer.</t>
  </si>
  <si>
    <t>NCT07168200</t>
  </si>
  <si>
    <t>A Phase III Clinical Study of Adebrelimab Combined With Concurrent Chemoradiotherapy Versus Placebo Combined With Concurrent Chemoradiotherapy for the Treatment of Locally Advanced Cervical Cancer</t>
  </si>
  <si>
    <t>NCT07047144</t>
  </si>
  <si>
    <t>A Study to Evaluate How Apitegromab Works in Subjects Who Are Less Than 2 Years Old and Have Spinal Muscular Atrophy</t>
  </si>
  <si>
    <t>NCT07055516</t>
  </si>
  <si>
    <t>Evaluate the Efficacy and Safety of NT-0796 in Participants With Obesity With or Without Type 2 Diabetes Mellitus</t>
  </si>
  <si>
    <t>NCT07246304</t>
  </si>
  <si>
    <t>TC-D101 Cell Therapy for Patients With DLL3-Positive SCLC</t>
  </si>
  <si>
    <t>NCT07037433</t>
  </si>
  <si>
    <t>Evaluating the Impact of Maridebart Cafraglutide on Cardiovascular Outcomes in Participants With Atherosclerotic Cardiovascular Disease and Overweight or Obesity</t>
  </si>
  <si>
    <t>NCT07258849</t>
  </si>
  <si>
    <t>A Study of LY4213663 in Healthy Participants and Participants With Rheumatoid Arthritis</t>
  </si>
  <si>
    <t>NCT05821478</t>
  </si>
  <si>
    <t>Efficacy of an Adapted Antibiotherapy in Hurley Stage 2 Hidradenitis Suppurativa Patients</t>
  </si>
  <si>
    <t>NCT06908304</t>
  </si>
  <si>
    <t>A Phase III Study With THIO + Cemiplimab vs Chemotherapy as 3rd Line Treatment in Advanced/Metastatic NSCLC</t>
  </si>
  <si>
    <t>NCT07039916</t>
  </si>
  <si>
    <t>Study to Assess the Efficacy and Safety of IMVT-1402 in Participants With Mild to Severe Generalized Myasthenia Gravis</t>
  </si>
  <si>
    <t>NCT07158112</t>
  </si>
  <si>
    <t>Assessing Gingivitis and Plaque From a Marketed Toothpaste</t>
  </si>
  <si>
    <t>NCT06929299</t>
  </si>
  <si>
    <t>A Phase Ib/II Clinical Trial of Multiple Doses of STSA-1301 Subcutaneous Injection in Healthy Subjects and Patients With Immune Thrombocytopenia (ITP)</t>
  </si>
  <si>
    <t>Jiangsu BioJeTay Biotechnology Co., Ltd.</t>
  </si>
  <si>
    <t>NCT07068932</t>
  </si>
  <si>
    <t>A Clinical Study of SHR-4506 Injection in Patients With Malignant Tumors</t>
  </si>
  <si>
    <t>NCT06786533</t>
  </si>
  <si>
    <t>Clinical Study of Anti-FLT3 CAR-T Cells for the Treatment of Relapsed/Refractory AML</t>
  </si>
  <si>
    <t>Hemogenyx Pharmaceuticals LLC</t>
  </si>
  <si>
    <t>NCT07639047</t>
  </si>
  <si>
    <t>An Initial Evaluation of AN8025 in Solid Tumors</t>
  </si>
  <si>
    <t>NCT06993155</t>
  </si>
  <si>
    <t>A Clinical Trial Evaluating the Efficacy and Safety of Leflutrozole on Testicular Function</t>
  </si>
  <si>
    <t>ReproNovo Aps</t>
  </si>
  <si>
    <t>NCT06709014</t>
  </si>
  <si>
    <t>A Double-blind Dual Study Assessing Safety and Efficacy of Buntanetap in Participants With Early AD</t>
  </si>
  <si>
    <t>NCT07228247</t>
  </si>
  <si>
    <t>A Phase Ⅰ/Ⅱa Study of HMPL-A251 in Participants With Advanced or Metastatic HER2-expressing Solid Tumors</t>
  </si>
  <si>
    <t>NCT07038447</t>
  </si>
  <si>
    <t>A Study of KITE-363 in Participants With Refractory Autoimmune Diseases</t>
  </si>
  <si>
    <t>NCT06985147</t>
  </si>
  <si>
    <t>A Phase 2, Open-Label Study of DISC-3405 in Participants With Polycythemia Vera (PV)</t>
  </si>
  <si>
    <t>NCT07040787</t>
  </si>
  <si>
    <t>Investigation of Drug-drug Interaction of HRS-5965 With Clopidogrel and Clarithromycin in Healthy Subjects</t>
  </si>
  <si>
    <t>NCT06618287</t>
  </si>
  <si>
    <t>A Study to Evaluate the Safety, Tolerability, Drug Levels, and Preliminary Efficacy of BMS-986507 Combinations in Adult Participants With Advanced Solid Tumors</t>
  </si>
  <si>
    <t>NCT07078955</t>
  </si>
  <si>
    <t>A Dose Regimen Study of BRM421 Ophthalmic Solution in Patients With Dry Eye Disease</t>
  </si>
  <si>
    <t>NCT07211425</t>
  </si>
  <si>
    <t>A Study in Healthy People to Test How Itraconazole Influences the Amount of BI 3031185 in the Blood</t>
  </si>
  <si>
    <t>NCT06944925</t>
  </si>
  <si>
    <t>A Study of BBT002 in Healthy Volunteers (HVs) and in Adult Patients With Chronic Obstructive Pulmonary Disease (COPD) or Chronic Rhiosininusitis With Nasal Polyps (CRSwNP)</t>
  </si>
  <si>
    <t>NCT07144176</t>
  </si>
  <si>
    <t>PK and Safety Comparison of DWJ1511 and DWC202501 in Healthy Volunteers</t>
  </si>
  <si>
    <t>NCT07006792</t>
  </si>
  <si>
    <t>A Study to See How Well Lebrikizumab Works in Adults and Adolescents With Moderate Atopic Dermatitis (Eczema) and High Itch Burden</t>
  </si>
  <si>
    <t>NCT06990867</t>
  </si>
  <si>
    <t>Optimizing Reperfusion to Improve Outcomes and Neurologic Function</t>
  </si>
  <si>
    <t>NCT06914908</t>
  </si>
  <si>
    <t>Long-term Safety and Efficacy Evaluation of Lunsekimig in Adult Participants With Chronic Rhinosinusitis With Nasal Polyps (CRSwNP) Who Completed a Previous Lunsekimig CRSwNP Clinical Study</t>
  </si>
  <si>
    <t>NCT07038876</t>
  </si>
  <si>
    <t>A Study to Assess the Efficacy and Safety of ML-007C-MA for the Treatment of Inpatient Adults With Schizophrenia</t>
  </si>
  <si>
    <t>NCT07029399</t>
  </si>
  <si>
    <t>A Study With NKT5097 for Adults With Advanced/Metastatic Solid Tumors</t>
  </si>
  <si>
    <t>NCT07107204</t>
  </si>
  <si>
    <t>A Clinical Study of BT02 in Patients With Relapsed or Refractory Hematologic Malignancies</t>
  </si>
  <si>
    <t>NCT07534878</t>
  </si>
  <si>
    <t>Health Benefits of Nutraceutical Supplementation in Older Adults.</t>
  </si>
  <si>
    <t>GPLIFE HEALTHCARE PRIVATE LIMITED</t>
  </si>
  <si>
    <t>NCT06959225</t>
  </si>
  <si>
    <t>Study to Evaluate the Efficacy and Safety of Ruxolitinib Cream in Participants With Hidradenitis Suppurativa (TRuE-HS1)</t>
  </si>
  <si>
    <t>NCT06328608</t>
  </si>
  <si>
    <t>A Study to Learn About the Safety and Effects of the Study Drug PRX-102 in Children and Adolescents With Fabry Disease</t>
  </si>
  <si>
    <t>NCT07265232</t>
  </si>
  <si>
    <t>Real World Clinical Effectiveness &amp; Safety of Vesemnogene Lantuparvovec for Spinal Muscular Atrophy (SMA) in Low-middle Income Countries (LMIC).</t>
  </si>
  <si>
    <t>NCT06580587</t>
  </si>
  <si>
    <t>A Study of MK-8527 in Healthy Lactating Female Participants (MK-8527-009)</t>
  </si>
  <si>
    <t>NCT07157787</t>
  </si>
  <si>
    <t>Study of ALXN1920 in Adult Participants With Primary Membranous Nephropathy (PMN)</t>
  </si>
  <si>
    <t>NCT06873516</t>
  </si>
  <si>
    <t>Phase 2b Study of EVO756 in Adults With Moderate to Severe Chronic Spontaneous Urticaria (CSU)</t>
  </si>
  <si>
    <t>NCT06806033</t>
  </si>
  <si>
    <t>A Study to Evaluate the Optimization of the Cytokine Release Syndrome Profile for Glofitamab in Combination With Gemcitabine Plus Oxaliplatin in Participants With Relapsed/Refractory Aggressive B-Cell Non-Hodgkin's Lymphoma</t>
  </si>
  <si>
    <t>NCT06769152</t>
  </si>
  <si>
    <t>A Phase II Clinical Study to Evaluate the Efficacy and Safety of HLX43 (Anti-PD-L1 ADC) in Patients With Advanced Gynecological Malignant Tumors</t>
  </si>
  <si>
    <t>NCT06943378</t>
  </si>
  <si>
    <t>Ph1, Randomized, Double-Blind and Controlled, Dose Escalation and Expansion Study to Assess the Safety and Pharmacokinetics of JST-010 in Healthy Adults</t>
  </si>
  <si>
    <t>Just-Evotec Biologics</t>
  </si>
  <si>
    <t>NCT06520878</t>
  </si>
  <si>
    <t>Impact of NANO-PSO on Cognition in Older Adults with Mild to Moderate Cognitive Impairment</t>
  </si>
  <si>
    <t>Distribuidora Biolife SA de CV</t>
  </si>
  <si>
    <t>NCT06907615</t>
  </si>
  <si>
    <t>A Phase II Clinical Study to Evaluate HLX43 in Subjects With Advanced Non-small Cell Lung Cancer (NSCLC)</t>
  </si>
  <si>
    <t>NCT07048808</t>
  </si>
  <si>
    <t>Investigational Trial to Evaluate XC001 Delivered Via an Cardiac Catheter in Subjects With Chronic Angina.</t>
  </si>
  <si>
    <t>NCT06730750</t>
  </si>
  <si>
    <t>A Study of BMS-986490 With or Without Bevacizumab in Advanced Solid Tumors</t>
  </si>
  <si>
    <t>NCT06818968</t>
  </si>
  <si>
    <t>A Study of the Effect of Multiple Doses of Diltiazem on the Plasma Levels of MK-6916 in Healthy Participants (MK-6916-005)</t>
  </si>
  <si>
    <t>NCT06615050</t>
  </si>
  <si>
    <t>A Study of Tacrolimus/Methotrexate/Ruxolitinib Versus Post-Transplant Cyclophosphamide/Tacrolimus/Mycophenolate Mofetil in Non-Myeloablative/Reduced Intensity Conditioning Allogeneic Peripheral Blood Stem Cell Transplantation (BMT CTN 2203)</t>
  </si>
  <si>
    <t>NCT07207291</t>
  </si>
  <si>
    <t>Phase I Study of Single/Multiple Ascending Doses of JKN2501 for Injection in Chinese Healthy Volunteers</t>
  </si>
  <si>
    <t>NCT06743126</t>
  </si>
  <si>
    <t>SUPRAME-ACTengine® IMA203 vs. Investigator's Choice of Treatment in Previously Treated, Unresectable or Metastatic Cutaneous Melanoma</t>
  </si>
  <si>
    <t>NCT06613217</t>
  </si>
  <si>
    <t>Study of Oral PCLX-001 in R/R Acute Myeloid Leukemia</t>
  </si>
  <si>
    <t>NCT06989840</t>
  </si>
  <si>
    <t>Phase 1 Study to Evaluate the Safety, Tolerability, PK, and PD of TVB-3567 in Healthy Participants With or Without Acne</t>
  </si>
  <si>
    <t>NCT06673368</t>
  </si>
  <si>
    <t>A Phase 2 Randomized Double-Blind, Parallel, Adaptive-Design, Clinical Trial to Evaluate the Safety and Efficacy of NRCT-101SR With NRCT-202XR Compared to NRCT-202XR Alone in Subjects With Attention-Deficit/Hyperactivity Disorder</t>
  </si>
  <si>
    <t>NCT06753955</t>
  </si>
  <si>
    <t>Phase 1 Study of ART5803 Safety and PK After IVIG in Healthy Participants</t>
  </si>
  <si>
    <t>NCT07228364</t>
  </si>
  <si>
    <t>Safety, Tolerability and Pharmacokinetics of AZD1613 in Adults With Autosomal Dominant Polycystic Kidney Disease</t>
  </si>
  <si>
    <t>NCT07070232</t>
  </si>
  <si>
    <t>A Clinical Study to Test if an Investigational Treatment Called BNT326 is Safe and Potentially Beneficial When Used Alone or in Combination With Other Investigational Treatments Such as BNT327, for People With Advanced Malignant Tumors</t>
  </si>
  <si>
    <t>NCT06944717</t>
  </si>
  <si>
    <t>A Trial of a Norovirus G1.1 and G2.4 Vaccine Administered Orally to Healthy Participants Aged ≥ 18 Years and ≤ 80 Years Old</t>
  </si>
  <si>
    <t>NCT05567406</t>
  </si>
  <si>
    <t>Safety and Efficacy of Oral Belumosudil in Black or African American, American Indian or Alaska Native, and Native Hawaiian or Other Pacific Islander Male and Female Participants Aged 12 Years and Above With Chronic Graft Versus Host Disease (cGVHD) After At Least 2 Prior Lines of Systemic Therapy</t>
  </si>
  <si>
    <t>NCT06708663</t>
  </si>
  <si>
    <t>HX009+ IN10018 With or Without Standard Chemotherapy for Advanced Solid Tumours</t>
  </si>
  <si>
    <t>NCT07230106</t>
  </si>
  <si>
    <t>A Study of SHR3680, HS-20093 and SHR2554 in Subjects With Prostate Cancer</t>
  </si>
  <si>
    <t>NCT06659549</t>
  </si>
  <si>
    <t>A Phase 2 Efficacy and Safety Study of GAL-101, 2% Ophthalmic Solution in Non-foveal Geographic Atrophy Secondary to Non-neovascular AMD</t>
  </si>
  <si>
    <t>Galimedix Therapeutics Inc</t>
  </si>
  <si>
    <t>NCT07036458</t>
  </si>
  <si>
    <t>To Evaluate the Mass Balance Recovery, Metabolite Profile and Metabolite Identification in Healthy Male Subjects</t>
  </si>
  <si>
    <t>NCT06693648</t>
  </si>
  <si>
    <t>A Study to Evaluate Efficacy and Safety of AMZ001 for the Treatment of Knee Osteoarthritis Symptoms</t>
  </si>
  <si>
    <t>NCT03149211</t>
  </si>
  <si>
    <t>To Investigate the Efficacy and Safety of UB-421 Monotherapy in HIV-1 Infected Adults</t>
  </si>
  <si>
    <t>NCT06864104</t>
  </si>
  <si>
    <t>A Study to Investigate Tonlamarsen for the Treatment of Adults With Uncontrolled Hypertension (KARDINAL)</t>
  </si>
  <si>
    <t>NCT06938347</t>
  </si>
  <si>
    <t>Comparing the Safety and Efficacy of ASI-02 to Agitated Saline for Suspected Right-to-left Shunt</t>
  </si>
  <si>
    <t>Agitated Solutions, Inc.</t>
  </si>
  <si>
    <t>NCT06975748</t>
  </si>
  <si>
    <t>A Phase II Study of STSP-0902 Ophthalmic Solution in Patients With Neurotrophic Keratitis</t>
  </si>
  <si>
    <t>NCT06607458</t>
  </si>
  <si>
    <t>Evaluation of the Safety and Efficacy of Treatment w/High Dose Melphalan Given Directly Into the Liver Followed by Treatment w/Approved Cancer Treatment or Approved Cancer Treatment Alone in Patients w/ Metastatic Colorectal Cancer w/Liver Dominant Disease</t>
  </si>
  <si>
    <t>NCT06848348</t>
  </si>
  <si>
    <t>Efficacy and Safety Study of Halneuron in the Treatment of Chemotherapy-Induced Neuropathic Pain</t>
  </si>
  <si>
    <t>Dogwood Therapeutics Inc.</t>
  </si>
  <si>
    <t>NCT07210047</t>
  </si>
  <si>
    <t>Study of HuL001 in Relapsed/Refractory Multiple Myeloma Patients</t>
  </si>
  <si>
    <t>NCT07206225</t>
  </si>
  <si>
    <t>A Study to Learn About the Study Medicine PF-08052667 in People With Bladder Cancer</t>
  </si>
  <si>
    <t>NCT07161414</t>
  </si>
  <si>
    <t>A Study to Investigate the Pharmacokinetics and Safety of Subcutaneous Rilvegostomig in Adult Participants With Advanced Solid Tumors Previously Treated With Standard of Care Therapy</t>
  </si>
  <si>
    <t>NCT06925919</t>
  </si>
  <si>
    <t>Study to Evaluate Safety, Tolerability and Pharmacokinetics of IDB-011</t>
  </si>
  <si>
    <t>IDBiologics, Inc.</t>
  </si>
  <si>
    <t>NCT06930664</t>
  </si>
  <si>
    <t>A Study of Sotatercept (MK-7962) in Healthy Females Administered as a Liquid Formulation in an Autoinjector Versus the Lyophilized Formulation (MK-7962-027)</t>
  </si>
  <si>
    <t>NCT07150663</t>
  </si>
  <si>
    <t>Nanocrystalline Megestrol Acetate in Concurrent Chemoradiotherapy for Locally Advanced Non-Small Cell Lung Cancer</t>
  </si>
  <si>
    <t>NCT06649006</t>
  </si>
  <si>
    <t>Study to Investigate Intravenous Blinatumomab in Japanese Adult Participants With Newly Diagnosed Philadelphia-negative B-precursor Acute Lymphoblastic Leukemia (B-ALL)</t>
  </si>
  <si>
    <t>NCT07054736</t>
  </si>
  <si>
    <t>Evaluate the Efficacy and Safety of XKH001 Injection in Patients With Moderate-to-Severe Atopic Dermatitis</t>
  </si>
  <si>
    <t>NCT06801509</t>
  </si>
  <si>
    <t>A Study to Evaluate the Safety, Tolerability, and Immunogenicity of a Recombinant Herpes Zoster Vaccine</t>
  </si>
  <si>
    <t>NCT07136779</t>
  </si>
  <si>
    <t>First-in-Human Trial of VBC101 in Participants With Advanced Solid Tumor Malignancies</t>
  </si>
  <si>
    <t>VelaVigo Bio Inc</t>
  </si>
  <si>
    <t>NCT07056309</t>
  </si>
  <si>
    <t>A Study of Remternetug (LY3372993) in Healthy Participants</t>
  </si>
  <si>
    <t>NCT06780098</t>
  </si>
  <si>
    <t>Substudy 01I: A Study of Investigational Agents in Participants With Previously Treated Stage IV Squamous Non-small Cell Lung Cancer (NSCLC) (MK-3475-01I/KEYMAKER-U01I)</t>
  </si>
  <si>
    <t>NCT06971614</t>
  </si>
  <si>
    <t>A Study of T3011 in Patients With BCG-Unresponsive NMIBC or BCG-Exposed, Chemotherapy-Unresponsive NMIBC</t>
  </si>
  <si>
    <t>NCT07219030</t>
  </si>
  <si>
    <t>A Study to Assess the Adverse Events and How Oral Emraclidine Moves Through the Body of Healthy Elderly Adult Participants</t>
  </si>
  <si>
    <t>NCT06927687</t>
  </si>
  <si>
    <t>Study of ZG005 in Patients With Advanced Solid Tumors</t>
  </si>
  <si>
    <t>NCT06791187</t>
  </si>
  <si>
    <t>A Study in Healthy People to Test Whether BI 1291583 Influences the Amount of Dabigatran in the Body</t>
  </si>
  <si>
    <t>NCT07005128</t>
  </si>
  <si>
    <t>A Study Comparing Tarlatamab, Durvalumab, Carboplatin, and Etoposide Versus Durvalumab, Carboplatin, and Etoposide in First-line Extensive Stage Small-Cell Lung Cancer (ES-SCLC)</t>
  </si>
  <si>
    <t>NCT06980428</t>
  </si>
  <si>
    <t>A Study to Investigate Safety, Tolerability, Pharmacokinetics, and Pharmacodynamics of AZD4954 in Healthy Adult Participants With or Without Elevated Lipoprotein (a) (Lp[a]) Levels, and Participants With Dyslipidemia</t>
  </si>
  <si>
    <t>NCT07165028</t>
  </si>
  <si>
    <t>A Master Protocol of Multiple Agents in Adults With Metabolic Dysfunction-Associated Steatotic Liver Disease (SYNERGY-Outcomes)</t>
  </si>
  <si>
    <t>NCT07295509</t>
  </si>
  <si>
    <t>A Study of Picankibart in Patients With Active Psoriatic Arthritis</t>
  </si>
  <si>
    <t>Innovent Biopharmaceutical Technology (Hangzhou) Co., LTD.</t>
  </si>
  <si>
    <t>NCT06989112</t>
  </si>
  <si>
    <t>DESTINY-Endometrial01: A Phase III Study of Trastuzumab Deruxtecan Plus Rilvegostomig or Pembrolizumab as First-Line Treatment of HER2-Expressing (IHC 3+/2+), Mismatch Repair Proficient (pMMR) Endometrial Cancer</t>
  </si>
  <si>
    <t>NCT06855264</t>
  </si>
  <si>
    <t>A Cardiac Liability Study of Varegacestat in Healthy Participants</t>
  </si>
  <si>
    <t>NCT07095075</t>
  </si>
  <si>
    <t>A Study of LUCAR-DKS1 in Subjects With Relapsed/Refractory Autoimmune Diseases</t>
  </si>
  <si>
    <t>NCT06996912</t>
  </si>
  <si>
    <t>A Study for HSK44459 in Participants With Atopic Dermatitis</t>
  </si>
  <si>
    <t>NCT06639828</t>
  </si>
  <si>
    <t>Phase 4 Paediatric Study to Evaluate Sonazoid Safety and Efficacy for Contrast-Enhanced Ultrasound Liver Imaging</t>
  </si>
  <si>
    <t>NCT06948799</t>
  </si>
  <si>
    <t>A Study to Evaluate the Safety and Tolerability of Single and Multiple Dose of STSP-0902 in Healthy Subjects</t>
  </si>
  <si>
    <t>NCT07267026</t>
  </si>
  <si>
    <t>A Study to Evaluate the Safety, Tolerability and PK of SK-09</t>
  </si>
  <si>
    <t>Consun Pharmaceutical Group</t>
  </si>
  <si>
    <t>NCT06787950</t>
  </si>
  <si>
    <t>Clinical Study of ASN-3186 in Patients with Advanced Solid Tumors</t>
  </si>
  <si>
    <t>NCT07077616</t>
  </si>
  <si>
    <t>Clinical Study for the Safety and Therapeutic Efficacy of the AI-QMMM Designed TamavaqTM Personalised Vaccine in Patients With Newly Diagnosed Glioma.</t>
  </si>
  <si>
    <t>Biogenea Pharmaceuticals Ltd.</t>
  </si>
  <si>
    <t>NCT06891443</t>
  </si>
  <si>
    <t>Study to Evaluate Sepofarsen in Subjects With Leber Congenital Amaurosis (LCA) Type 10 (HYPERION)</t>
  </si>
  <si>
    <t>NCT07104617</t>
  </si>
  <si>
    <t>Study of TY-302 Capsules Combined With Abiraterone in Patients With Metastatic Castration-resistant Prostate Cancer（mCRPC）</t>
  </si>
  <si>
    <t>NCT07250048</t>
  </si>
  <si>
    <t>A Study in Healthy Men to Find Out How Different Doses of BI 3009947 Are Tolerated and How Different Formulations or Food Influence How BI 3009947 is Taken up Into the Blood</t>
  </si>
  <si>
    <t>NCT06677255</t>
  </si>
  <si>
    <t>A Phase I/II Trial of VUM02 Injection for Steroid-refractory Acute Graft-versus-host Disease (SR-aGvHD) Treatment</t>
  </si>
  <si>
    <t>NCT07246889</t>
  </si>
  <si>
    <t>Study of AHB-137 in Participants With Chronic Hepatitis B (CHB) Treated With Nucleos(t)Ide Analogues (NAs)(AUSHINE)</t>
  </si>
  <si>
    <t>NCT06815991</t>
  </si>
  <si>
    <t>Phase 1a Single Ascending Dose Study of MIB-725 in Healthy Adults</t>
  </si>
  <si>
    <t>NCT07158918</t>
  </si>
  <si>
    <t>ABL103 in Combination With Pembrolizumab, With or Without Taxane in Advanced or Metastatic Solid Tumors</t>
  </si>
  <si>
    <t>NCT05900908</t>
  </si>
  <si>
    <t>Post-operative Adjuvant Therapy w/wo GammaTile + Systemic Therapy</t>
  </si>
  <si>
    <t>NCT06855498</t>
  </si>
  <si>
    <t>Rollover Study for Participants Previously Enrolled in Clinical Trials of Povorcitinib</t>
  </si>
  <si>
    <t>NCT06684847</t>
  </si>
  <si>
    <t>A Study of the Efficacy and Safety of Efgartigimod in Patients With Primary Sjögren's Syndrome</t>
  </si>
  <si>
    <t>NCT06995326</t>
  </si>
  <si>
    <t>A Study of SGB-3383 in Healthy Subjects</t>
  </si>
  <si>
    <t>NCT06845943</t>
  </si>
  <si>
    <t>A First-in-human Study of HCR-188 in Overweight or Obese Otherwise Healthy Volunteers Without Type 2 Diabetes</t>
  </si>
  <si>
    <t>Helicore Biopharma, Inc.</t>
  </si>
  <si>
    <t>NCT06773117</t>
  </si>
  <si>
    <t>Phase III Trial of Susu Zhike Granules in Children With Cold-cough Syndrome for Acute Cough Treatment</t>
  </si>
  <si>
    <t>NCT07189949</t>
  </si>
  <si>
    <t>A Study of HRS-2329 in Participants With Advanced Solid Tumors Harboring RAS Mutations or Amplifications</t>
  </si>
  <si>
    <t>NCT07090655</t>
  </si>
  <si>
    <t>A Phase 1 Study of Budoprutug (TNT119) Subcutaneous and Intravenous Injections in Normal Healthy Volunteers</t>
  </si>
  <si>
    <t>NCT06745908</t>
  </si>
  <si>
    <t>Clinical Trial of N-803 Plus Tislelizumab or Prior Failed Immune Checkpoint Inhibitor and Docetaxel Versus Docetaxel Monotherapy in Participants With Advanced or Metastatic Non-Small Cell Lung Cancer Who Have Acquired Resistance to Immune Checkpoint In</t>
  </si>
  <si>
    <t>NCT06950385</t>
  </si>
  <si>
    <t>Phase 3 Trial of eRapa in Patients With Familial Adenomatous Polyposis</t>
  </si>
  <si>
    <t>NCT07200596</t>
  </si>
  <si>
    <t>The Safety, Tolerability, Pharmacokinetics, and Pharmacodynamics Study of SHR-3045 in Healthy Subjects</t>
  </si>
  <si>
    <t>NCT06790862</t>
  </si>
  <si>
    <t>A Trial of SHR0302Base in Patients With Vitiligo</t>
  </si>
  <si>
    <t>NCT06786676</t>
  </si>
  <si>
    <t>A Phase 1 Clinical Trial to Investigate the Safety, Tolerability, and Pharmacokinetics of AS-S603 in Healthy Participants</t>
  </si>
  <si>
    <t>Amyloid Solution Inc</t>
  </si>
  <si>
    <t>NCT07254286</t>
  </si>
  <si>
    <t>Food Effect Study in Healthy Volunteers</t>
  </si>
  <si>
    <t>NCT06973291</t>
  </si>
  <si>
    <t>A Study Comparing Zasocitinib (TAK-279) With Deucravacitinib in Adults With Plaque Psoriasis</t>
  </si>
  <si>
    <t>NCT07024160</t>
  </si>
  <si>
    <t>Phase I Study of MT1011 Injection in Healthy Subjects</t>
  </si>
  <si>
    <t>NCT06876662</t>
  </si>
  <si>
    <t>A Study of (LY3527727) Pirtobrutinib in Participants With Previously Treated Chronic Lymphocytic Leukemia/Small Lymphocytic Lymphoma or Non-Hodgkin Lymphoma</t>
  </si>
  <si>
    <t>NCT07321574</t>
  </si>
  <si>
    <t>A Study Evaluating the Efficacy and Safety of ABP1011T Tablets in Patients With Advanced Solid Tumors</t>
  </si>
  <si>
    <t>Shanghai AB PharmaTech Ltd.</t>
  </si>
  <si>
    <t>NCT07181720</t>
  </si>
  <si>
    <t>CD70-Targeted CAR-T Therapy in CD70-Positive Advanced Solid Tumors</t>
  </si>
  <si>
    <t>NCT07229586</t>
  </si>
  <si>
    <t>A Study of SHR-7367 With Anti-tumor Agents in Patients With Solid Tumors</t>
  </si>
  <si>
    <t>NCT06861413</t>
  </si>
  <si>
    <t>A Phase 1 Study to Evaluate the Relative Bioavailability of a VX-828 Tablet Formulation</t>
  </si>
  <si>
    <t>NCT07007559</t>
  </si>
  <si>
    <t>ASPEN-09-03: A Study of Evorpacept in Combination With Trastuzumab and Chemotherapy in Metastatic HER2-Positive Breast Cancer</t>
  </si>
  <si>
    <t>NCT06907680</t>
  </si>
  <si>
    <t>M-Gard Particulate EW Efficacy Study on Seasonal Allergic Rhinitis</t>
  </si>
  <si>
    <t>NCT06917742</t>
  </si>
  <si>
    <t>A Study of Intravenous CPTX2309 in Healthy Participants and Participants With Moderate to Severe Rheumatoid Arthritis (RA) or Systemic Lupus Erythematosus (SLE)</t>
  </si>
  <si>
    <t>Capstan Therapeutics</t>
  </si>
  <si>
    <t>NCT07216742</t>
  </si>
  <si>
    <t>Human Menopausal Gonadotropin Research in Infertility Assessing Cumulative Live Birth With Frozen Embryo Transfer.</t>
  </si>
  <si>
    <t>Granata Bio Corporation</t>
  </si>
  <si>
    <t>NCT07142850</t>
  </si>
  <si>
    <t>A Phase I Study of the Safety, Tolerability, Pharmacokinetics, and Pharmacodynamics of Intravenous Bolus and Infusion HRS-9190 in Healthy Adults</t>
  </si>
  <si>
    <t>NCT07227818</t>
  </si>
  <si>
    <t>Efficacy of NBI-1117568 in Preventing Relapse in Adults With Schizophrenia</t>
  </si>
  <si>
    <t>NCT07099118</t>
  </si>
  <si>
    <t>A Safety, Tolerability, Pharmacokinetics/Pharmacodynamics Study of HEC169584 Capsules in Healthy Subjects</t>
  </si>
  <si>
    <t>NCT06956690</t>
  </si>
  <si>
    <t>A Phase 1/2 Clinical Trial to Assess the Safety, Tolerability, Pharmacokinetics and Preliminary Efficacy of HMBD-501 in Patients With HER3-Expressing Solid Tumors</t>
  </si>
  <si>
    <t>NCT06929260</t>
  </si>
  <si>
    <t>A Study to Evaluate the Effect of Ceralasertib on Drug X, Drug Y and Drug Z</t>
  </si>
  <si>
    <t>NCT07274059</t>
  </si>
  <si>
    <t>Allogeneic UCB-derived CAR-T for SLE</t>
  </si>
  <si>
    <t>NCT07228403</t>
  </si>
  <si>
    <t>Efficacy and Safety Evaluation of Glepaglutide in Treatment of Short Bowel Syndrome</t>
  </si>
  <si>
    <t>NCT07597668</t>
  </si>
  <si>
    <t>A Comparative Study of Pharmacokinetics, Pharmacodynamics, Safety, and Immunogenicity of RPH-035 and Ocrevus® in Patients With Relapsing-remitting or Secondary Progressive Multiple Sclerosis With Exacerbations</t>
  </si>
  <si>
    <t>NCT06692283</t>
  </si>
  <si>
    <t>A Phase 3 Study Evaluating the Safety and Efficacy of Denifanstat in Patients With MASLD and MASH</t>
  </si>
  <si>
    <t>NCT07193459</t>
  </si>
  <si>
    <t>Study to Evaluate HDM1002 Tablets in Adults With Type 2 Diabetes Mellitus</t>
  </si>
  <si>
    <t>NCT06872892</t>
  </si>
  <si>
    <t>The AIRTIVITY™ Study: A Study to Find Out Whether BI 1291583 Helps People With Bronchiectasis</t>
  </si>
  <si>
    <t>NCT07010263</t>
  </si>
  <si>
    <t>A Study of AK112 as Consolidation Treatment for Patients With Limited Stage Small-cell Lung Cancer Who Have Not Progressed Following Concurrent Chemoradiation Therapy</t>
  </si>
  <si>
    <t>NCT07192432</t>
  </si>
  <si>
    <t>Gene Therapy for HER-Positive Cancer (SENTRY-HER2)</t>
  </si>
  <si>
    <t>NCT07177352</t>
  </si>
  <si>
    <t>Screening Study to Determine Individuals With Potential Trial Eligibility for Alzheimer's Disease Studies</t>
  </si>
  <si>
    <t>NCT07001436</t>
  </si>
  <si>
    <t>A Pharmacokinetics and Safety Study of Azvudine Tablets in Subjects With Mild-To-Moderate GFR Decline in Renal Insufficiency and in Healthy Subjects</t>
  </si>
  <si>
    <t>NCT07182838</t>
  </si>
  <si>
    <t>Proof-of-Concept Clinical Pharmacology Trial for HIV Antigen Presentation Therapeutic Biologic Mix</t>
  </si>
  <si>
    <t>NCT07236411</t>
  </si>
  <si>
    <t>Absolute Bioavailability Study of Cizutamig in Healthy Adult Participants</t>
  </si>
  <si>
    <t>Candid Therapeutics</t>
  </si>
  <si>
    <t>NCT07140016</t>
  </si>
  <si>
    <t>A Study of Gilteritinib in Adults With Advanced ALK-positive Non-small Cell Lung Cancer (NSCLC)</t>
  </si>
  <si>
    <t>NCT07390838</t>
  </si>
  <si>
    <t>A Study of SH009 Injection in Patients With Advanced Solid Tumors.</t>
  </si>
  <si>
    <t>NCT07416955</t>
  </si>
  <si>
    <t>Pharmacokinetic, Immunogenicity, and Safety Evaluation of Pegfilgrastim TPI-120 in Healthy Adults</t>
  </si>
  <si>
    <t>NCT06974292</t>
  </si>
  <si>
    <t>The Mass Balance and Biotransformation Study of [14C] VC005 in Chinese Healthy Adult Male Volunteers</t>
  </si>
  <si>
    <t>NCT07016464</t>
  </si>
  <si>
    <t>A Study to Investigate Safety, Tolerability and Pharmacokinetics of REM0045392 Compared With Placebo in Healthy Participants.</t>
  </si>
  <si>
    <t>NCT07081932</t>
  </si>
  <si>
    <t>A Study in Healthy Men to Test How Bosentan Influences the Amount of Nerandomilast in the Blood</t>
  </si>
  <si>
    <t>NCT06747949</t>
  </si>
  <si>
    <t>A Long-term Extension Study of Dazodalibep in Participants With Sjögren's Syndrome (SS)</t>
  </si>
  <si>
    <t>NCT07202364</t>
  </si>
  <si>
    <t>A Study of YL202 in Patients With Advanced Solid Tumors</t>
  </si>
  <si>
    <t>NCT07304687</t>
  </si>
  <si>
    <t>Clinical Study to Evaluate the Pharmacokinetics and Safety of CKD-383 0.5/25/1000mg in Healthy Volunteers</t>
  </si>
  <si>
    <t>NCT06864884</t>
  </si>
  <si>
    <t>A Phase 1 Study of ARC-001 in Participants Undergoing Third Molar Extraction</t>
  </si>
  <si>
    <t>Arcato Laboratories, Inc.</t>
  </si>
  <si>
    <t>NCT06728553</t>
  </si>
  <si>
    <t>Safety and Efficacy Trial of MTX101 2mg for the Acute Treatment of Migraine in Adults</t>
  </si>
  <si>
    <t>Manistee Therapeutics</t>
  </si>
  <si>
    <t>NCT07282145</t>
  </si>
  <si>
    <t>Safety and Pharmacokinetics Study of BCD101 in Healthy Volunteers</t>
  </si>
  <si>
    <t>Bichedam Co., Ltd.</t>
  </si>
  <si>
    <t>NCT06967272</t>
  </si>
  <si>
    <t>PhaseⅡClinical Trial of Oral Hexavalent Reassortant Rotavirus Attenuated Live Vaccine (Vero Cells)</t>
  </si>
  <si>
    <t>NCT06964191</t>
  </si>
  <si>
    <t>Evaluate Efficacy and Safety of PA5108 Ocular Implants in Primary Open Angle Glaucoma or Ocular Hypertension</t>
  </si>
  <si>
    <t>NCT06863961</t>
  </si>
  <si>
    <t>A Study to Assess the Efficacy and Safety of Afimkibart (RO7790121) in Participants With Moderate to Severe Atopic Dermatitis</t>
  </si>
  <si>
    <t>NCT06624670</t>
  </si>
  <si>
    <t>A Study to Test Whether Spesolimab Helps People With a Skin Condition Called Pyoderma Gangrenosum</t>
  </si>
  <si>
    <t>NCT06927570</t>
  </si>
  <si>
    <t>A Study of HS-20122 in Patients With Advanced Solid Tumors</t>
  </si>
  <si>
    <t>NCT06860789</t>
  </si>
  <si>
    <t>AK135 in Patients With Chemotherapy-Induced Peripheral Neuropathy (CIPN)</t>
  </si>
  <si>
    <t>NCT07015242</t>
  </si>
  <si>
    <t>A Study of the Efficacy and Safety of Lisocabtagene Maraleucel (Liso-cel) as First-Line Therapy in Adults With Transplant-Ineligible Primary Central Nervous System Lymphoma</t>
  </si>
  <si>
    <t>NCT06861088</t>
  </si>
  <si>
    <t>The Effect of Kinisoquin™ on Thromboembolic Events in Patients With Metastatic or Locally Advanced Pancreatic Cancer</t>
  </si>
  <si>
    <t>Quercis Pharma AG</t>
  </si>
  <si>
    <t>NCT06716424</t>
  </si>
  <si>
    <t>A Study to Investigate Safety and Efficacy of iGlarLixi in Adult Patients With Type 2 Diabetes Mellitus</t>
  </si>
  <si>
    <t>NCT07242469</t>
  </si>
  <si>
    <t>A Clinical Trial of MK-1403 in Participants With Type 2 Diabetes Mellitus (MK-1403-006)</t>
  </si>
  <si>
    <t>NCT06837259</t>
  </si>
  <si>
    <t>A Study to Learn if Study Medicines Called Cyclosporine and Clarithromycin Affect How the Body Processes the Other Study Medicine Called PF-07328948 in Healthy Adults</t>
  </si>
  <si>
    <t>NCT07217886</t>
  </si>
  <si>
    <t>A Study of S-892216-PO in Participants With Renal Impairment and Matched Controls</t>
  </si>
  <si>
    <t>NCT06955741</t>
  </si>
  <si>
    <t>A Study to Assess Drug Levels, Tolerability and Absolute Biological Availability of Single-dose of BMS-986446 in Healthy Participants</t>
  </si>
  <si>
    <t>NCT07147946</t>
  </si>
  <si>
    <t>Evaluation of the Clinical Trial of Inhaled TQC3721 Suspension in Patients With Moderate-to-Severe Chronic Obstructive Pulmonary Disease</t>
  </si>
  <si>
    <t>NCT03305341</t>
  </si>
  <si>
    <t>Proof-of-Concept Clinical Pharmacology Trial for COVID-19 Antigen Presentation Therapeutic Biologic Mix</t>
  </si>
  <si>
    <t>NCT06739980</t>
  </si>
  <si>
    <t>The ENABLE Study: Safety and Efficacy Study of INZ-701 in Patients With ENPP1 Deficiency</t>
  </si>
  <si>
    <t>NCT07283796</t>
  </si>
  <si>
    <t>A Study to Assess PK, Safety and Efficacy of HSK47977 Tablets in Subjects With Relapsed or Refractory Non-Hodgkin's Lymphoma</t>
  </si>
  <si>
    <t>NCT06954766</t>
  </si>
  <si>
    <t>Initial Pilot Study to Evaluate the Safety and Temporary Symptom Improvement Efficacy of CKD-981</t>
  </si>
  <si>
    <t>NCT07205159</t>
  </si>
  <si>
    <t>A Study to Evaluate the Safety and Efficacy of FB102 in Patients With Severe to Very Severe Alopecia Areata.</t>
  </si>
  <si>
    <t>NCT07243379</t>
  </si>
  <si>
    <t>A Prospective Real-World Observational Study of Nanocrystalline Megestrol Acetate in Patients With Cancer Cachexia</t>
  </si>
  <si>
    <t>NCT06794541</t>
  </si>
  <si>
    <t>A Study to Evaluate the Safety and Tolerability of Eravacycline in Pediatric Patients Aged 8 to 17 With Complicated Intra-abdominal Infections (cIAI)</t>
  </si>
  <si>
    <t>Tetraphase Pharmaceuticals, Inc</t>
  </si>
  <si>
    <t>NCT06775041</t>
  </si>
  <si>
    <t>Study to Determine Optimal Dose and Evaluate Safety, Tolerability, and Pharmacokinetics of Progerinin in Patients With Hutchinson-Gilford Progeria Syndrome (HGPS)</t>
  </si>
  <si>
    <t>NCT06797674</t>
  </si>
  <si>
    <t>A Study of the Effect Efavirenz on the Plasma Levels of MK-7602 in Healthy Participants (MK-7602-005)</t>
  </si>
  <si>
    <t>NCT07030790</t>
  </si>
  <si>
    <t>A Phase I Clinical Study of a Single Dose of KLA480</t>
  </si>
  <si>
    <t>Sichuan Kelun Pharmaceutical Research Institute Co., Ltd.</t>
  </si>
  <si>
    <t>NCT05425576</t>
  </si>
  <si>
    <t>OT-101 in Combination With Pembrolizumab in Subjects With Malignant Pleural Mesothelioma Failing to Respond to Checkpoint Inhibition</t>
  </si>
  <si>
    <t>NCT07215260</t>
  </si>
  <si>
    <t>A Study in Healthy People to Test Whether BI 3000202 Affects How 2 Other Medicines (Rosuvastatin and Digoxin) Are Taken up in the Body</t>
  </si>
  <si>
    <t>NCT07612891</t>
  </si>
  <si>
    <t>A Study to Evaluate the Safety, Tolerability, Pharmacokinetics, and Preliminary Antitumor Activity of INV-6452 in Adult Patients With Hormone Receptor Positive, Human Epidermal Growth Factor Receptor 2 Negative (HR+/HER2-) Advanced/Metastatic Breast Cancer or Locally Advanced/Metastatic Solid Tumor</t>
  </si>
  <si>
    <t>NCT07186413</t>
  </si>
  <si>
    <t>A Study to Compare the Efficacy, Safety and Pharmacokinetics of Trifarotene 50 mcg/g Cream in Chinese Subjects With Acne Vulgaris</t>
  </si>
  <si>
    <t>NCT04052191</t>
  </si>
  <si>
    <t>MCRcI® Stem Cell Treatment for Diffuse Coronary Artery Disease</t>
  </si>
  <si>
    <t>NCT07083323</t>
  </si>
  <si>
    <t>A Phase I/II Study of HY05350 in Mesothelin(MSLN)-Positive Advanced Solid Tumors</t>
  </si>
  <si>
    <t>NCT06800196</t>
  </si>
  <si>
    <t>A Study of KNT-0916 in Treatment of Unresectable or Metastatic Solid Tumors with FGFR2 Alterations</t>
  </si>
  <si>
    <t>KinoTeck Therapeutics Co., Ltd</t>
  </si>
  <si>
    <t>NCT07021976</t>
  </si>
  <si>
    <t>A Phase III Trial of HRS-1893 in Patients With Obstructive Hypertrophic Cardiomyopathy</t>
  </si>
  <si>
    <t>NCT06843317</t>
  </si>
  <si>
    <t>Safety and Immunogenicity Study of Revaccination With SCB-1019T in Healthy Adults</t>
  </si>
  <si>
    <t>Clover Biopharmaceuticals USA, LLC</t>
  </si>
  <si>
    <t>NCT07108140</t>
  </si>
  <si>
    <t>Engineered T-cell Therapy for Patients With ALPP-Positive Advanced Solid Tumors</t>
  </si>
  <si>
    <t>NCT06963320</t>
  </si>
  <si>
    <t>Phase II Clinical Study of H001 Capsule in the Prevention of Venous Thromboembolism After Total Knee Arthroplasty</t>
  </si>
  <si>
    <t>NCT07036159</t>
  </si>
  <si>
    <t>A Study to Assess the Safety and Immunogenicity of a Vaccine Against Malaria in Healthy Children Aged 5-60 Months</t>
  </si>
  <si>
    <t>NCT06953089</t>
  </si>
  <si>
    <t>DB-1311 in Combination With BNT327 or DB-1305 in Advanced/Metastatic Solid Tumors</t>
  </si>
  <si>
    <t>NCT07073950</t>
  </si>
  <si>
    <t>A Study to Investigate the Effect of Budesonide/Glycopyrronium/Formoterol Fumarate Metered Dose Inhaler (BGF MDI) Compared With Placebo MDI on Heart and Lung Function in Participants With Chronic Obstructive Pulmonary Disease (COPD) and Hyperinflation</t>
  </si>
  <si>
    <t>NCT07232576</t>
  </si>
  <si>
    <t>A Phase 2 Study to Evaluate the Efficacy, Safety and Pharmacokinetics of SHR-1139 in Patients With Moderate-to-severe Active Ulcerative Colitis</t>
  </si>
  <si>
    <t>NCT07143318</t>
  </si>
  <si>
    <t>First-in-Human Single and Multiple Dose of KLA578-1 for Injection</t>
  </si>
  <si>
    <t>Hunan Kelun Pharmaceutical Co., Ltd.</t>
  </si>
  <si>
    <t>NCT07008976</t>
  </si>
  <si>
    <t>Clinical Trial of TQB2102 for Injection Versus Trastuzumab Emtansine for Injection in HER2-positive Advanced Breast Cancer</t>
  </si>
  <si>
    <t>NCT07037758</t>
  </si>
  <si>
    <t>A Study of Tarlatamab in Combination With AB248 in Participants With Extensive Stage Small Cell Lung Cancer (DeLLphi-311)</t>
  </si>
  <si>
    <t>NCT07036185</t>
  </si>
  <si>
    <t>A Clinical Trail of KJ015 in Patients With HER2-Expressing Solid Tumors</t>
  </si>
  <si>
    <t>NCT06582485</t>
  </si>
  <si>
    <t>A Trial to Assess Efficacy and Safety of ex Vivo Allograft Admin of iCM012 Solution 2 mg/ml to Improve Its Function in Recipients of DCD Kidneys</t>
  </si>
  <si>
    <t>NCT06947291</t>
  </si>
  <si>
    <t>Safety and Efficacy of Glumetinib Combined With Docetaxel for Injection (Albumin-bound) in Patients With Advanced Gastric Cancer/Gastroesophageal Junction Adenocarcinoma and Other Solid Tumors</t>
  </si>
  <si>
    <t>NCT07216482</t>
  </si>
  <si>
    <t>A Clinical Study of Enlicitide in Participants With High Cholesterol (MK-0616-037)</t>
  </si>
  <si>
    <t>NCT07307768</t>
  </si>
  <si>
    <t>Ketamine Biomarker Validation</t>
  </si>
  <si>
    <t>NCT07196774</t>
  </si>
  <si>
    <t>A Trial of SHR-A1811 Compared to Other Antitumor Therapies as Neoadjuvant Treatments in Early-stage or Locally Advanced HER2-positive Breast Cancer</t>
  </si>
  <si>
    <t>NCT06947226</t>
  </si>
  <si>
    <t>A Clinical Study of 9MW2821 Monotherapy or Combined With Other Anticancer Therapy in Advanced Solid Tumors</t>
  </si>
  <si>
    <t>NCT07024797</t>
  </si>
  <si>
    <t>Study to Assess the Adverse Events, Tolerability, and How Oral Doses of ABBV-932 Moves Through the Body in Healthy Adult Chinese Participants</t>
  </si>
  <si>
    <t>NCT07055724</t>
  </si>
  <si>
    <t>Study of Eque-cel CAR-T Therapy in Newly Diagnosed Severe AL Amyloidosis</t>
  </si>
  <si>
    <t>NCT07176390</t>
  </si>
  <si>
    <t>A Clinical Study of Tulisokibart (MK-7240) to Treat Rheumatoid Arthritis (RA) (MK-7240-014)</t>
  </si>
  <si>
    <t>NCT07219017</t>
  </si>
  <si>
    <t>A Study to Assess the Mass Balance of Oral ABBV-1354 in Healthy Adult Male Participants</t>
  </si>
  <si>
    <t>NCT07140913</t>
  </si>
  <si>
    <t>A Study to Evaluate the Efficacy and Safety of Adjunctive KarXT for the Treatment of Mania, With or Without Mixed Features, in Participants With Bipolar-I Disorder Taking Lithium, Valproate, or Lamotrigine</t>
  </si>
  <si>
    <t>NCT07159282</t>
  </si>
  <si>
    <t>A Multicenter, Prospective, Controlled Clinical Trial Evaluating the Efficacy of a Single Layer Placental-based Allograft and Standard of Care in the Management of Nonhealing Diabetic Foot Ulcers</t>
  </si>
  <si>
    <t>Applied Biologics, LLC</t>
  </si>
  <si>
    <t>NCT07103018</t>
  </si>
  <si>
    <t>A Clinical Study of KTX-2001 in Subjects With Metastatic Castration-Resistant Prostate Cancer (STRIKE-001)</t>
  </si>
  <si>
    <t>NCT06782490</t>
  </si>
  <si>
    <t>A Study to Evaluate the Efficacy, Safety and Tolerability of BMS-986368 in Participants With Multiple Sclerosis Spasticity</t>
  </si>
  <si>
    <t>NCT06933524</t>
  </si>
  <si>
    <t>Evaluation of Safety and Tolerability of ATB-320 in Participants With Progressive or Metastatic Solid Tumors</t>
  </si>
  <si>
    <t>NCT07284875</t>
  </si>
  <si>
    <t>Efficacy and Safety of KAI-9531 in Participants Living With Obesity or Overweight With Weight-Related Comorbidities Who Do Not Have Diabetes</t>
  </si>
  <si>
    <t>Kailera</t>
  </si>
  <si>
    <t>NCT06887192</t>
  </si>
  <si>
    <t>A Study to Assess the Efficacy and Safety of ML-007C-MA for the Treatment of Alzheimer's Disease Psychosis</t>
  </si>
  <si>
    <t>NCT06775236</t>
  </si>
  <si>
    <t>Clinical Trial of SYS6010±SYH2051 Versus Chemotherapy in Advanced Breast Cancer and Other Solid Tumors</t>
  </si>
  <si>
    <t>NCT06947109</t>
  </si>
  <si>
    <t>A Clinical Study of AK139 in Healthy Subjects</t>
  </si>
  <si>
    <t>NCT07105709</t>
  </si>
  <si>
    <t>Open-label Extension Study in Participants With Early Alzheimer's Disease</t>
  </si>
  <si>
    <t>NCT07229534</t>
  </si>
  <si>
    <t>Clinical Trial to Evaluate the Efficacy and Safety of DA-5218 in Patients With Type 2 Diabetes</t>
  </si>
  <si>
    <t>NCT06972732</t>
  </si>
  <si>
    <t>A Phase IV Clinical Trial to Compare the Efficacy and Safety of Metformin+Sodium-Glucose Cotransporter 2 Inhibitor(SGLT2-i)+Thiazolidinedione (TZD) in Patients With Type 2 Diabetes</t>
  </si>
  <si>
    <t>NCT07148557</t>
  </si>
  <si>
    <t>A Study of Single Dose of LP-003 in Adolescent Subjects</t>
  </si>
  <si>
    <t>NCT06858319</t>
  </si>
  <si>
    <t>Open-label Extension Study of Zigakibart in Adults With IgA Nephropathy.</t>
  </si>
  <si>
    <t>NCT07100171</t>
  </si>
  <si>
    <t>Evaluation of GM101 Injection in Patients With Parkinson's Disease</t>
  </si>
  <si>
    <t>Genemagic Biosciences Co., Ltd</t>
  </si>
  <si>
    <t>NCT07029711</t>
  </si>
  <si>
    <t>A Study to Learn About Medicine Called Ritlecitinib in Children Aged Between 6 to 12 Years With Severe Alopecia Areata</t>
  </si>
  <si>
    <t>NCT07104500</t>
  </si>
  <si>
    <t>VK2735 for Weight Management Phase 3</t>
  </si>
  <si>
    <t>NCT06963281</t>
  </si>
  <si>
    <t>Study of IBI3020 Treatment in Participants With Late-Stage Solid Tumors</t>
  </si>
  <si>
    <t>NCT06549400</t>
  </si>
  <si>
    <t>An Open-Label Extension Study to Evaluate the Long-Term Safety and Efficacy of Once Daily Mexiletine PR in Patients With Myotonic Dystrophy Type 1 and Type 2 Who Have Completed MEX-DM-302 Study.</t>
  </si>
  <si>
    <t>NCT07085767</t>
  </si>
  <si>
    <t>Palazestrant in Combination With Ribociclib for the First-line Treatment of ER+/HER2- Advanced Breast Cancer</t>
  </si>
  <si>
    <t>NCT07241936</t>
  </si>
  <si>
    <t>A Study of Sirolimus (Albumin-Bound) in Combination With Different ADCs Treatment of Advanced Solid Tumors</t>
  </si>
  <si>
    <t>NCT07161011</t>
  </si>
  <si>
    <t>Phase 2b Controlled Study of Dosing Techniques - Part B</t>
  </si>
  <si>
    <t>NCT06799000</t>
  </si>
  <si>
    <t>A Phase 3 Study to Assess Efficacy Safety and Tolerability of Remibrutinib in Adult and Adolescent Patients With Moderate to Severe Hidradenitis Suppurativa (RECHARGE 1)</t>
  </si>
  <si>
    <t>NCT07181681</t>
  </si>
  <si>
    <t>A First-in-Human Study of BG-C0902 Alone and in Combination With Other Therapeutic Agents in Patients With Advanced Solid Tumors</t>
  </si>
  <si>
    <t>NCT07076030</t>
  </si>
  <si>
    <t>Pharmacokinetics of Petrelintide Following Administration to Participants With Impaired Renal Function</t>
  </si>
  <si>
    <t>NCT06909214</t>
  </si>
  <si>
    <t>A Study to Evaluate the Clinical Outcomes of Efgartigimod PH20 SC in Adults With New-onset Generalized Myasthenia Gravis (gMG)</t>
  </si>
  <si>
    <t>NCT06825702</t>
  </si>
  <si>
    <t>Safety, Tolerability and Efficacy of Intravitreal KIO-104 in Patients With Macular Edema</t>
  </si>
  <si>
    <t>NCT06675929</t>
  </si>
  <si>
    <t>A Study to Test How Well BI 770371 is Tolerated by People With Cirrhosis Caused by a Liver Disease Called MASH</t>
  </si>
  <si>
    <t>NCT06780137</t>
  </si>
  <si>
    <t>A Study to Evaluate the Safety and Efficacy of Gocatamig (MK-6070) and Ifinatamab Deruxtecan (I-DXd) in Participants With Relapsed/Refractory Extensive-Stage Small Cell Lung Cancer (MK-6070-002)</t>
  </si>
  <si>
    <t>NCT06951828</t>
  </si>
  <si>
    <t>A Study to Compare the Auto-injector and Pre-filled Syringe of CT-P43 in Healthy Male Subjects</t>
  </si>
  <si>
    <t>NCT07181161</t>
  </si>
  <si>
    <t>Study of AZD0516 as Monotherapy and in Combination in Participants With Metastatic Prostate Cancer</t>
  </si>
  <si>
    <t>NCT07042802</t>
  </si>
  <si>
    <t>A Phase Ib/Ⅱ Clinical Trial of LBL-024 Combined With Paclitaxel in Patients With Platinum-resistant Ovarian Cancer</t>
  </si>
  <si>
    <t>NCT07085702</t>
  </si>
  <si>
    <t>A Study to Evaluate Safety, Reactogenicity, and Immunogenicity of the GSK 4-component Strep A Vaccine With Aluminum Hydroxide (Alum) or AS37 in Healthy Young Adults</t>
  </si>
  <si>
    <t>NCT07036172</t>
  </si>
  <si>
    <t>Efficacy and Safety of Semaglutide Injection Vs WEGOVY® in Chinese Obese Patients</t>
  </si>
  <si>
    <t>NCT06994195</t>
  </si>
  <si>
    <t>A Study Comparing BL-B01D1 With the Investigator's Choice of Chemotherapy in Patients With Platinum-resistant Recurrent Epithelial Ovarian Cancer(PANKU-GYN01)</t>
  </si>
  <si>
    <t>NCT06450639</t>
  </si>
  <si>
    <t>A Study to Assess the Efficacy and Safety of Satralizumab in Duchenne Muscular Dystrophy (DMD)</t>
  </si>
  <si>
    <t>NCT07041801</t>
  </si>
  <si>
    <t>Treatment of Systemic Lupus Erythematosus With Human Umbilical Cord Mesenchymal Stem Cells</t>
  </si>
  <si>
    <t>Shenzhen Beike Bio-Technology Co., Ltd.</t>
  </si>
  <si>
    <t>NCT07214870</t>
  </si>
  <si>
    <t>A Research Study of a Potential New Medicine (NNC4005-0001) for Liver Disease in Adult Participants With Increased Body Weight and Liver Fat</t>
  </si>
  <si>
    <t>NCT06948357</t>
  </si>
  <si>
    <t>Efficacy and Safety of BRIMOCHOL PF and CARBACHOL PF in Chinese Presbyopia Patients</t>
  </si>
  <si>
    <t>NCT07236801</t>
  </si>
  <si>
    <t>Exploratory Clinical Study on YTS109 Cell Therapy for Autoimmune Diseases</t>
  </si>
  <si>
    <t>NCT07293065</t>
  </si>
  <si>
    <t>A Phase III Clinical Trial to Evaluate Long-Term Protective Efficacy of Recombinant Zoster Vaccine (CHO Cell)</t>
  </si>
  <si>
    <t>NCT07185594</t>
  </si>
  <si>
    <t>A Phase Ⅱ/Ⅲ Study of HRS-2129 for Postsurgical Pain Management in Abdominal Surgery</t>
  </si>
  <si>
    <t>NCT06940739</t>
  </si>
  <si>
    <t>A Study to Investigate the Safety and Efficacy of IOV-3001 in Adults With Advanced Melanoma Who Will Receive Lifileucel</t>
  </si>
  <si>
    <t>NCT06938529</t>
  </si>
  <si>
    <t>A Pharmacokinetic Study of VCT220 in Particicants With Hepatic Injury and Normal Hepatic Function</t>
  </si>
  <si>
    <t>NCT07318805</t>
  </si>
  <si>
    <t>A Study to Learn About the Study Medicine Called PF-08032562 in People With Advanced or Metastatic Solid Tumors</t>
  </si>
  <si>
    <t>NCT06514001</t>
  </si>
  <si>
    <t>A Study of AMDX-2011P in Participants With Alzheimer's Disease</t>
  </si>
  <si>
    <t>NCT06948422</t>
  </si>
  <si>
    <t>A Master Protocol for Orforglipron (LY3502970) in Participants With Hypertension and Obesity or Overweight: (ATTAIN-Hypertension Screening)</t>
  </si>
  <si>
    <t>NCT06873945</t>
  </si>
  <si>
    <t>A Study of 2 Doses of Ritlecitinib in People 12 Years of Age and Older With Alopecia Areata</t>
  </si>
  <si>
    <t>NCT07221357</t>
  </si>
  <si>
    <t>A Study to Evaluate the Safety and Efficacy of Pumitamig in Combination With Chemotherapy Versus Bevacizumab in Combination With Chemotherapy in Participants With Previously Untreated, Unresectable, or Metastatic Colorectal Cancer</t>
  </si>
  <si>
    <t>NCT06925737</t>
  </si>
  <si>
    <t>A Clinical Study of Ifinatamab Deruxtecan (I-DXd) in People With Metastatic Prostate Cancer (MK-2400-001)</t>
  </si>
  <si>
    <t>NCT07152444</t>
  </si>
  <si>
    <t>A Phase I Trial of QLS1410 in Healthy Chinese Adults and Participants With Mild Essential Hypertension</t>
  </si>
  <si>
    <t>NCT07077434</t>
  </si>
  <si>
    <t>A Study to Assess Safety, Tolerability and Drug Levels of Navlimetostat (BMS-986504) in Participants With Advanced Solid Tumors</t>
  </si>
  <si>
    <t>NCT07188844</t>
  </si>
  <si>
    <t>An Open-Label Extension Study of Batoclimab in Adult Participants With Chronic Inflammatory Demyelinating Polyneuropathy (CIDP)</t>
  </si>
  <si>
    <t>NCT06038539</t>
  </si>
  <si>
    <t>Efficacy and Safety of the Proposed Biosimilar Pertuzumab (PERT-IJS) Versus EU-Perjeta® Along With Trastuzumab and Chemotherapy (Carboplatin and Docetaxel) as Neoadjuvant Treatment in Chemotherapy naïve Patients With Early Stage or Locally Advanced HR Negative and HER2 Positive Breast Cancer</t>
  </si>
  <si>
    <t>NCT07321028</t>
  </si>
  <si>
    <t>Evaluation of In-Vitro Cryo Therapeutic Protocols on Human Cell Samples (TWH-CRYO-001)</t>
  </si>
  <si>
    <t>Truway Health, Inc.</t>
  </si>
  <si>
    <t>NCT07114367</t>
  </si>
  <si>
    <t>NB02(POSELTINIB) Monotherapy in R/R Non-Hodgkin's Lymphoma</t>
  </si>
  <si>
    <t>NCT07160400</t>
  </si>
  <si>
    <t>A Study of IBI3032 in Chinese Healthy Participants and Participants With Overweight or Obesity</t>
  </si>
  <si>
    <t>NCT07171034</t>
  </si>
  <si>
    <t>A Phase I Study of KLA318-2 Nanocrystal Injection</t>
  </si>
  <si>
    <t>NCT07045428</t>
  </si>
  <si>
    <t>68Ga-GP-01 Injection in Solid Tumors Participants</t>
  </si>
  <si>
    <t>NCT06766500</t>
  </si>
  <si>
    <t>Pharmacokinetics and Bioequivalence Study of Empagliflozin+Metformin Hydrochloride 5 mg/850 mg Film-coated Tablets (Gedeon Richter Plc., Hungary) Versus Synjardy® 5 mg/850 mg Film-coated Tablets (Boehringer Ingelheim International GmbH, Germany)</t>
  </si>
  <si>
    <t>NCT06932393</t>
  </si>
  <si>
    <t>Exosomes for Hairloss Treatment</t>
  </si>
  <si>
    <t>NCT06938334</t>
  </si>
  <si>
    <t>A First-in-human Clinical Trial Using a Gene Therapy With Patient's Own Stem Cells to Treat Early Type 1 Diabetes</t>
  </si>
  <si>
    <t>Altheia Science</t>
  </si>
  <si>
    <t>NCT07117799</t>
  </si>
  <si>
    <t>A Study to Learn About How Different Forms of Study Medicine PF-07248144 Are Taken Up Into the Blood in Healthy Adults</t>
  </si>
  <si>
    <t>NCT06932328</t>
  </si>
  <si>
    <t>Qinqiao Yan Shu Granules for the Treatment of Acute Pharyngitis (Exterior Wind-Heat Syndrome) Phase II Clinical Trial</t>
  </si>
  <si>
    <t>Jianmin Pharmaceutical Group Co., LTD.</t>
  </si>
  <si>
    <t>NCT06617793</t>
  </si>
  <si>
    <t>An Open-label Study to Assess the Safety, Efficacy, and Cellular Kinetics of YTB323 in Relapsing Multiple Sclerosis</t>
  </si>
  <si>
    <t>NCT07128121</t>
  </si>
  <si>
    <t>A Phase 2 Study to Describe the Safety and Immunogenicity of Respiratory Syncytial Virus Vaccine IN006 in Healthy Participants Aged 60 Years and Older</t>
  </si>
  <si>
    <t>NCT06994806</t>
  </si>
  <si>
    <t>A Study to Investigate the Safety and Efficacy of KQB168 as Monotherapy and in Combination in Participants With Advanced Solid Malignancies</t>
  </si>
  <si>
    <t>NCT07166263</t>
  </si>
  <si>
    <t>Safety and Efficacy of NK510 to Treat Gastric Cancer and Colorectal Cancer</t>
  </si>
  <si>
    <t>NCT06975787</t>
  </si>
  <si>
    <t>Dose Escalation Study With Bispecific Antibodies in Adult Participants With Lupus Nephritis</t>
  </si>
  <si>
    <t>NCT07147400</t>
  </si>
  <si>
    <t>Pfs230D1 + R21 in Matrix-M1 in African School Children and Adults</t>
  </si>
  <si>
    <t>NCT07244406</t>
  </si>
  <si>
    <t>Assessment of Senl_B19 CAR-T Cells in Relapsed/Refractory CD19+ B-ALL</t>
  </si>
  <si>
    <t>NCT07141706</t>
  </si>
  <si>
    <t>A Study of DB-1317 in Selected Advanced/Metastatic Solid Tumors</t>
  </si>
  <si>
    <t>NCT07023614</t>
  </si>
  <si>
    <t>A Trial to Evaluate the Efficacy and Safety of Ninerafaxstat in Patients With Symptomatic Non-obstructive Hypertrophic Cardiomyopathy</t>
  </si>
  <si>
    <t>NCT06924385</t>
  </si>
  <si>
    <t>Safety, Tolerability, and PK/PD of Telpegfilgrastim Injection in Non-pregnant Females of Childbearing</t>
  </si>
  <si>
    <t>NCT06389526</t>
  </si>
  <si>
    <t>A Study of CHS-1000 in Participants With Advanced or Metastatic Solid Tumors</t>
  </si>
  <si>
    <t>NCT06982040</t>
  </si>
  <si>
    <t>Evaluate the Efficacy and Safety of NTQ5082 Capsules in Patients With Primary IgA Nephropathy</t>
  </si>
  <si>
    <t>NCT06637514</t>
  </si>
  <si>
    <t>A Phase 2 Study of JNT-517 in Adolescent Participants With Phenylketonuria</t>
  </si>
  <si>
    <t>NCT07266311</t>
  </si>
  <si>
    <t>CAR-T for Claudin18.2 Positive Solid Tumors</t>
  </si>
  <si>
    <t>NCT07310355</t>
  </si>
  <si>
    <t>68Ga-PSMA-0057 and 177Lu-PSMA-0057 in Patients With PSMA-Positive Metastatic Castration-Resistant Prostate Cancer</t>
  </si>
  <si>
    <t>Chengdu StarRay Therapeutics Co., Ltd</t>
  </si>
  <si>
    <t>NCT06842355</t>
  </si>
  <si>
    <t>A Study of TYRA-300 in Children With Achondroplasia: BEACH301</t>
  </si>
  <si>
    <t>NCT06867406</t>
  </si>
  <si>
    <t>A Trial to Evaluate KPC000154 Tablets in Healthy Subjects</t>
  </si>
  <si>
    <t>NCT07277933</t>
  </si>
  <si>
    <t>Efficacy and Safety of KHN702 Tablets in Moderate to Severe Post-operative Pain Subjects</t>
  </si>
  <si>
    <t>NCT06444763</t>
  </si>
  <si>
    <t>Effect of Maolactin™ FMR on Exercise Recovery, Inflammation and Muscle Comfort in an Otherwise Healthy Population</t>
  </si>
  <si>
    <t>NCT07446816</t>
  </si>
  <si>
    <t>A Clinical Study Evaluating the Preliminary Anti-tumor Efficacy and Safety of Hemay181</t>
  </si>
  <si>
    <t>NCT07016633</t>
  </si>
  <si>
    <t>To Evaluate the Tolerability, Pharmacokinetics, and Pharmacodynamics of IMM-H014 in Patients With MASH</t>
  </si>
  <si>
    <t>NCT07225504</t>
  </si>
  <si>
    <t>A Study to Evaluate the Efficacy and Safety of Remibrutinib in Secondary Progressive Multiple Sclerosis</t>
  </si>
  <si>
    <t>NCT07033455</t>
  </si>
  <si>
    <t>A Trial of HRS-1893 in Healthy Volunteers</t>
  </si>
  <si>
    <t>NCT07466940</t>
  </si>
  <si>
    <t>A Clinical Study to Evaluate SM17 in Healthy Participants</t>
  </si>
  <si>
    <t>NCT05903833</t>
  </si>
  <si>
    <t>Pembrolizumab Combination With Lenvatinib in Pts With Recurrent,Persistent,Metastatic or Locally Advanced Vulvar Cancer Not Amenable to Curative Surgery or Radiotherapy</t>
  </si>
  <si>
    <t>NCT06975878</t>
  </si>
  <si>
    <t>Study of a 21-valent Pneumococcal Conjugate Vaccine in Healthy Infants From Approximately 2 Months of Age</t>
  </si>
  <si>
    <t>NCT07104643</t>
  </si>
  <si>
    <t>Study of TYK-00540 Combined With Enzalutamide in Patients With Metastatic Castration-resistant Prostate Cancer（mCRPC）</t>
  </si>
  <si>
    <t>NCT06700343</t>
  </si>
  <si>
    <t>Comparison Between ABP 692 and Ocrevus® (Ocrelizumab)</t>
  </si>
  <si>
    <t>NCT06716138</t>
  </si>
  <si>
    <t>A Study to Investigate ANS03 in Participants With Locally Advanced or Metastatic Solid Tumors</t>
  </si>
  <si>
    <t>NCT07098338</t>
  </si>
  <si>
    <t>A Study of Novel Combinations in Non-Small Cell Lung Cancer (NSCLC)</t>
  </si>
  <si>
    <t>NCT07312643</t>
  </si>
  <si>
    <t>Study in Healthy Subjects to Investigate the Relative Bioavailability and Safety of Pasireotide After Single Subcutaneous Dose Administration Using a Reusable ServoPen With Cartridge as Compared to Administration Using a Syringe Drawn From an Ampule</t>
  </si>
  <si>
    <t>NCT07200908</t>
  </si>
  <si>
    <t>A Trial Evaluating Brelovitug (BJT-778) vs Bulevirtide for the Treatment of Chronic Hepatitis Delta Infection (AZURE-2)</t>
  </si>
  <si>
    <t>NCT07254325</t>
  </si>
  <si>
    <t>Pharmacokinetic, Safety and Immunogenicity Study of New Process CMAB015 and Cosentyx in Healthy Volunteers</t>
  </si>
  <si>
    <t>NCT07552389</t>
  </si>
  <si>
    <t>Clinical Trial to Evaluate the Efficacy and Safety of Monotherapy Group of HL1113R1 or HL1113R2 Versus HL1113 (Fixed Dose Combination) in Patients With Essential Hypertension and Type II Diabetes Mellitus</t>
  </si>
  <si>
    <t>NCT07286175</t>
  </si>
  <si>
    <t>A Study of Brenipatide in Adult Participants With Bipolar Disorder (RENEW-Bipolar-1)</t>
  </si>
  <si>
    <t>NCT06703177</t>
  </si>
  <si>
    <t>A Study of SHR-1826 for Injection in Combination With Other Antitumor Therapies in Subjects With Solid Tumors</t>
  </si>
  <si>
    <t>NCT07222267</t>
  </si>
  <si>
    <t>An Investigational Study of BG-75202 Alone and in Combination With Other Therapeutic Agents in Adults With Advanced Solid Tumors</t>
  </si>
  <si>
    <t>NCT06884865</t>
  </si>
  <si>
    <t>A Study to Assess Safety and Tolerability of PCRX-201 in Subjects With Painful Osteoarthritis of the Knee</t>
  </si>
  <si>
    <t>NCT07249892</t>
  </si>
  <si>
    <t>A Study of BPR-6023021 in Advanced Solid Tumors With Bone Metastases</t>
  </si>
  <si>
    <t>Chengdu Syncor Pharmaceutical Co., Ltd.</t>
  </si>
  <si>
    <t>NCT07105111</t>
  </si>
  <si>
    <t>A Study to Evaluate the Effectiveness of Valbenazine in Adult Participants With Tardive Dyskinesia (TD) Who Remain Symptomatic While Receiving or After Stopping a Vesicular Monoamine Transporter 2 (VMAT2) Inhibitor</t>
  </si>
  <si>
    <t>NCT06880744</t>
  </si>
  <si>
    <t>A Study to Assess the Change in Disease Activity in Adult Participants With Moderate to Severe Ulcerative Colitis Treated With Risankizumab Compared to Vedolizumab</t>
  </si>
  <si>
    <t>NCT06990698</t>
  </si>
  <si>
    <t>A Phase 1 Study to Investigate FP008 in Subjects With Advanced Solid Tumors</t>
  </si>
  <si>
    <t>Zhuhai Fapon Biopharma Co., Ltd.</t>
  </si>
  <si>
    <t>NCT07218887</t>
  </si>
  <si>
    <t>ALXN2350 in Adult Participants With BAG3-Associated Dilated Cardiomyopathy</t>
  </si>
  <si>
    <t>NCT06790121</t>
  </si>
  <si>
    <t>A Study to Investigate the Efficacy and Safety of Subcutaneous Lunsekimig (SAR443765) Compared With Placebo in Adult Participants With Moderate-to-severe Atopic Dermatitis</t>
  </si>
  <si>
    <t>NCT07025577</t>
  </si>
  <si>
    <t>A Study to Assess the Tolerability and Safety of Subcutaneously (SC) Administered Immunoglobulin G (IgG) With Varying Injection Conditions</t>
  </si>
  <si>
    <t>NCT07251712</t>
  </si>
  <si>
    <t>Single and Multiple Dose Pharmacokinetics (PK) of Aramchol From an Aramchol Meglumine Tablet</t>
  </si>
  <si>
    <t>NCT06975865</t>
  </si>
  <si>
    <t>The Efficacy and Safety of Rilzabrutinib in Participants Aged 10 to 65 Years With Sickle-cell Disease</t>
  </si>
  <si>
    <t>NCT06757634</t>
  </si>
  <si>
    <t>Phase 3 Study of Gedatolisib as First-Line Treatment for Patients With HR-Positive, HER2-Negative Advanced Breast Cancer (VIKTORIA-2)</t>
  </si>
  <si>
    <t>NCT06956599</t>
  </si>
  <si>
    <t>Hypersensitivity Reduction Efficacy: 5% Potassium Nitrate Toothpaste Compared to Colgate Cavity Protection Toothpaste</t>
  </si>
  <si>
    <t>NCT06990399</t>
  </si>
  <si>
    <t>A Phase 3 Study to Evaluate the Efficacy and Safety of Intravitreal KSI-101 in Participants With Macular Edema Secondary to Inflammation (MESI) - PEAK</t>
  </si>
  <si>
    <t>NCT06887972</t>
  </si>
  <si>
    <t>A Single-Arm Study Evaluating the Effectiveness and Safety of Suzetrigine (SUZ) for Acute Pain After Aesthetic or Reconstructive Surgeries</t>
  </si>
  <si>
    <t>NCT07021157</t>
  </si>
  <si>
    <t>A Study to Evaluate the Safety, Tolerability and PK of SK-08</t>
  </si>
  <si>
    <t>NCT07277712</t>
  </si>
  <si>
    <t>A Study to Evaluate the Pharmacokinetics and Food-effect of IN-M00002 Tablet in Healthy Adult Volunteers</t>
  </si>
  <si>
    <t>NCT06721871</t>
  </si>
  <si>
    <t>Ascending Doses of Crofelemer Powder for Oral Solution in Pediatric Microvillus Inclusion Disease (MVID)</t>
  </si>
  <si>
    <t>NCT07446881</t>
  </si>
  <si>
    <t>A Phase 1 Study, to Evaluate the Effect of ADV7103 on Gastric pH Under Fed and Fasting Conditions in Adult Healthy Participants.</t>
  </si>
  <si>
    <t>NCT06934967</t>
  </si>
  <si>
    <t>Study to Assess the Pharmacokinetics, Safety, and Tolerability of Iptacopan in Pediatric PNH Patients</t>
  </si>
  <si>
    <t>NCT07043400</t>
  </si>
  <si>
    <t>A Study to Investigate Tislelizumab Administered as Subcutaneous Injection Versus Intravenous Infusion Plus Chemotherapy in Patients With Unresectable or Metastatic Gastric or Gastroesophageal Junction Adenocarcinoma</t>
  </si>
  <si>
    <t>NCT06958536</t>
  </si>
  <si>
    <t>A Study to Investigate Efficacy and Safety of SAR442970 in Patients With Crohn's Disease</t>
  </si>
  <si>
    <t>NCT07217301</t>
  </si>
  <si>
    <t>A Study Comparing TAK-928 With Docetaxel in Adults With Non-Small Cell Lung Cancer</t>
  </si>
  <si>
    <t>NCT07616700</t>
  </si>
  <si>
    <t>A Study to Evaluate the Long-Term Safety and Efficacy of HSK39297 Tablets in Primary IgA Nephropathy</t>
  </si>
  <si>
    <t>NCT07016412</t>
  </si>
  <si>
    <t>A Phase IIb Ensifentrine-glycopyrrolate Fixed-dose Combination Dose Ranging Study in Subjects With COPD</t>
  </si>
  <si>
    <t>NCT06603987</t>
  </si>
  <si>
    <t>Using CICS-1 and SPM-011 and ［18F］FBPA Commissioned by CICS and Sumitomo Heavy Industries and STELLA PHARMA</t>
  </si>
  <si>
    <t>NCT07157007</t>
  </si>
  <si>
    <t>Early-stage Trial to Determine a Safe and Effective Dose for Ratutrelvir in Patients With Mild to Moderate COVID-19</t>
  </si>
  <si>
    <t>NCT06495307</t>
  </si>
  <si>
    <t>RHPRG4 FOR THE TREATMENT OF OCULAR GRAFT-VERSUS-HOST DISEASE (OGVHD)</t>
  </si>
  <si>
    <t>NCT07327034</t>
  </si>
  <si>
    <t>ABSK-011+BSC vs. Placebo+BSC in Previously Treated Advanced HCC With FGF19 Overexpression</t>
  </si>
  <si>
    <t>NCT06611163</t>
  </si>
  <si>
    <t>A Study to Evaluate the Efficacy and Safety of Subcutaneous Tildrakizumab in Subjects With Moderate to Severe Genital Psoriasis.</t>
  </si>
  <si>
    <t>NCT06778863</t>
  </si>
  <si>
    <t>A Study of CLSP-1025 in Adult Patients With Solid Tumors That Harbor the p53 R175H Mutation</t>
  </si>
  <si>
    <t>Clasp Therapeutics, Inc.</t>
  </si>
  <si>
    <t>NCT06646016</t>
  </si>
  <si>
    <t>EPIC- Extracorporeal Photopheresis (ECP) for Immune-related Colitis</t>
  </si>
  <si>
    <t>Therakos LLC</t>
  </si>
  <si>
    <t>NCT07169552</t>
  </si>
  <si>
    <t>HC010 in First-line PD-L1 Positive Advanced NSCLC Patients</t>
  </si>
  <si>
    <t>NCT06730347</t>
  </si>
  <si>
    <t>A Study of Lorigerlimab in Participants With Advanced Solid Tumors</t>
  </si>
  <si>
    <t>NCT07089706</t>
  </si>
  <si>
    <t>A Study to Evaluate the Immunogenicity and Safety of mRNA-1283 COVID-19 Variant-containing Formulations</t>
  </si>
  <si>
    <t>NCT06823284</t>
  </si>
  <si>
    <t>To Assess the Bioavailability of TK-254RX in Comparison with Oral Flurbiprofen Tablets and the Adhesion of TK-254RX in Healthy Subjects</t>
  </si>
  <si>
    <t>NCT07182552</t>
  </si>
  <si>
    <t>Phase I Clinical Study to Evaluate the Safety, Pharmacokinetics, Pharmacodynamics of NTB003 in Healthy Participants</t>
  </si>
  <si>
    <t>NCT06771115</t>
  </si>
  <si>
    <t>Phase 2a Placebo-Controlled Study of VTX3232 Alone or in Combination With Semaglutide in Obesity</t>
  </si>
  <si>
    <t>NCT07199309</t>
  </si>
  <si>
    <t>A Mechanistic Study of MAR001 in Adults With Elevated Triglycerides and Remnant Cholesterol</t>
  </si>
  <si>
    <t>NCT06929052</t>
  </si>
  <si>
    <t>A Comparative Pharmacokinetic Study of ADL-018 Autoinjector Compared to A Pre-filled Syringe in Healthy Subjects.</t>
  </si>
  <si>
    <t>NCT07178249</t>
  </si>
  <si>
    <t>Evaluating the Safety and Preliminary Efficacy of EXG202 Gene Therapy for Neovascular AMD</t>
  </si>
  <si>
    <t>NCT07274085</t>
  </si>
  <si>
    <t>A Phase 1 Study of HDM2017 in Advanced Solid Tumors</t>
  </si>
  <si>
    <t>NCT06934044</t>
  </si>
  <si>
    <t>A Study Evaluating the Pharmacokinetics, Safety, and Efficacy of Cevostamab in Chinese Participants With Relapsed or Refractory Multiple Myeloma</t>
  </si>
  <si>
    <t>NCT07172893</t>
  </si>
  <si>
    <t>A Non-Randomized Open Label Clinical Trial Evaluating DermaBind TL</t>
  </si>
  <si>
    <t>HealthTech Wound Care</t>
  </si>
  <si>
    <t>NCT06799533</t>
  </si>
  <si>
    <t>A Study to Learn About the Study Medicine Called PF-08046031 in Advanced Melanoma and Other Solid Tumors</t>
  </si>
  <si>
    <t>NCT07086521</t>
  </si>
  <si>
    <t>Safety and Preliminary Efficacy of ULSC in Facioscapulohumeral Muscular Dystrophy (FSHD)</t>
  </si>
  <si>
    <t>NCT07112872</t>
  </si>
  <si>
    <t>A Study to Compare Different Doses of RO7795081 With a Placebo or Semaglutide in People With Type 2 Diabetes</t>
  </si>
  <si>
    <t>NCT07037901</t>
  </si>
  <si>
    <t>A Study to Evaluate the Efficacy and Safety of IMG-007 in Adult Participants With Moderate-to-Severe Atopic Dermatitis</t>
  </si>
  <si>
    <t>NCT07150767</t>
  </si>
  <si>
    <t>A Clinical Study to Explore the Safety, Tolerability, and Efficacy of Recombinant Human nsIL12 Oncolytic Adenovirus Injection (BioTTT001) Combined With Neoadjuvant Treatment for Locally Advanced Breast Cancer</t>
  </si>
  <si>
    <t>NCT06487000</t>
  </si>
  <si>
    <t>Determine the Dose-dependent Efficacy and Safety of EC-18 in Patients With Moderate to Severe Atopic Dermatitis</t>
  </si>
  <si>
    <t>NCT07076095</t>
  </si>
  <si>
    <t>A Phase II/III Study of IBB0979 in Combination With Topotecan Versus Topotecan in Relapsed Small Cell Lung Cancer</t>
  </si>
  <si>
    <t>NCT07177339</t>
  </si>
  <si>
    <t>eValuating the Efficacy and Safety of InitiatinG depemokImab earLy therApy iN Chronic Obstructive Pulmonary Disorder (COPD) With Type 2 Inflammation</t>
  </si>
  <si>
    <t>NCT06826612</t>
  </si>
  <si>
    <t>A Randomized Study of SPK-10001 Gene Therapy in Participants With Huntington's Disease</t>
  </si>
  <si>
    <t>NCT06976203</t>
  </si>
  <si>
    <t>A Study to Evaluate the Efficacy and Safety of KarXT + KarX-EC for Cognitive Impairment in Alzheimer's Disease (MINDSET 2)</t>
  </si>
  <si>
    <t>NCT07119372</t>
  </si>
  <si>
    <t>Study of the Efficacy and Safety of BCD-131 and Mircera® in the Treatment of Anemia in Patients With Chronic Kidney Disease on Dialysis</t>
  </si>
  <si>
    <t>NCT07042945</t>
  </si>
  <si>
    <t>MK-4646 Multiple Dose Trial in Participants With Human Immunodeficiency Virus Type 1 (HIV-1) (MK-4646-003)</t>
  </si>
  <si>
    <t>NCT06904872</t>
  </si>
  <si>
    <t>Safety and Efficacy of Crofelemer in Adult Patients With Short Bowel Syndrome and Intestinal Failure (SBS-IF) Without Colon-in-continuity (CIC)</t>
  </si>
  <si>
    <t>Napo Therapeutics, S.p.A.</t>
  </si>
  <si>
    <t>NCT07166354</t>
  </si>
  <si>
    <t>Clinical Study of mTOR Inhibitor as a Treatment for Grey Hair (Canities)</t>
  </si>
  <si>
    <t>NCT07039929</t>
  </si>
  <si>
    <t>Study to Assess the Safety, Tolerability, and Pharmacokinetics of INCB000631 When Administered Orally to Healthy Adult Participants</t>
  </si>
  <si>
    <t>NCT04433572</t>
  </si>
  <si>
    <t>Temsirolimus Adventitial Delivery to Improve ANGioplasty and/or Atherectomy Revascularization Outcomes Below the Knee</t>
  </si>
  <si>
    <t>NCT06833073</t>
  </si>
  <si>
    <t>A Clinical Study of Intismeran Autogene (V940) and BCG in People With Bladder Cancer (V940-011/INTerpath-011)</t>
  </si>
  <si>
    <t>NCT06997588</t>
  </si>
  <si>
    <t>EPIK-P4: A Phase II Single-arm Study to Assess the Efficacy, Safety and Pharmacokinetics of Alpelisib (BYL719) in Pediatric and Adult Patients With PIK3CA-related Overgrowth Spectrum (PROS)</t>
  </si>
  <si>
    <t>NCT07020988</t>
  </si>
  <si>
    <t>A Study to Assess the Time to Onset of Action of Staccato Alprazolam Versus Midazolam and Diazepam in Healthy Participants</t>
  </si>
  <si>
    <t>NCT07022483</t>
  </si>
  <si>
    <t>Study of Trastuzumab Deruxtecan Versus Standard of Care Chemotherapy for HER2-Expressing (IHC 3+/2+) Endometrial Cancer</t>
  </si>
  <si>
    <t>NCT07068841</t>
  </si>
  <si>
    <t>Pharmacokinetic Effect of Y-3 on Repaglinide，Warfarin and Omeprazole in Healthy Participants</t>
  </si>
  <si>
    <t>NCT07059403</t>
  </si>
  <si>
    <t>A Study of SN2001 Dose, Safety &amp; Immunogenicity in Healthy Adults</t>
  </si>
  <si>
    <t>Chimivac INC</t>
  </si>
  <si>
    <t>NCT07334483</t>
  </si>
  <si>
    <t>A Study of Yttrium [90Y] Microsphere Injection in Combination With Targeted Immunotherapy in the Treatment of HCC</t>
  </si>
  <si>
    <t>NCT06797505</t>
  </si>
  <si>
    <t>A Bioequivalence Study of Two Different PEG-rhGH Preparations</t>
  </si>
  <si>
    <t>NCT06998056</t>
  </si>
  <si>
    <t>Safety Study of Roflumilast Cream 0.05% in Infants Aged 3 Months to Less Than 2 Years With Atopic Dermatitis</t>
  </si>
  <si>
    <t>NCT06723756</t>
  </si>
  <si>
    <t>A Study to Investigate the Exposure of Budesonide, Glycopyrronium, and Formoterol (BGF) Delivered by Hydrofluoroolefin (HFO) Propellant Metered Dose Inhaler (MDI) Compared to a Hydrofluoroalkane (HFA) Propellant MDI in Healthy Adults</t>
  </si>
  <si>
    <t>NCT06675188</t>
  </si>
  <si>
    <t>A Study to Learn More About the Study Medicine PF-07275315 in Healthy Chinese Adult Participants</t>
  </si>
  <si>
    <t>NCT06887127</t>
  </si>
  <si>
    <t>A Long-term Extension Clinical Study of TLL-018 in Patients With Rheumatoid Arthritis</t>
  </si>
  <si>
    <t>NCT07004322</t>
  </si>
  <si>
    <t>A Research Study of the New Medicine NNC0519-0130 in Male Chinese Participants Living With Excess Body Weight</t>
  </si>
  <si>
    <t>NCT07135986</t>
  </si>
  <si>
    <t>Immunogenicity and Safety Study of an Investigational Quadrivalent Meningococcal Conjugate Vaccine Administered in Healthy Children and Adolescents in China</t>
  </si>
  <si>
    <t>NCT06970106</t>
  </si>
  <si>
    <t>Safety of Single and Repeat Dose of PYC-001 Eye Injections in People With Autosomal Dominant Optic Atrophy (Myrtle)</t>
  </si>
  <si>
    <t>NCT06816043</t>
  </si>
  <si>
    <t>A Study of Emtricitabine/Tenofovir Disoproxil Fumarate (FTC/TDF) and MK-8527 in Healthy Participants</t>
  </si>
  <si>
    <t>NCT06282315</t>
  </si>
  <si>
    <t>Real World Evaluation of an Albendazole-Ivermectin Coformulation Safety and Effectiveness</t>
  </si>
  <si>
    <t>NCT06809608</t>
  </si>
  <si>
    <t>A Study Investigating the Effect of Different Approved Medications on How the Body Processes the Study Compound RO7795081</t>
  </si>
  <si>
    <t>NCT06698549</t>
  </si>
  <si>
    <t>A Study to Evaluate the Pharmacokinetics, Safety and Tolerability of ALG-097558 in Subjects With Renal Impairment and in Healthy Subjects With Normal Renal Function</t>
  </si>
  <si>
    <t>NCT07073547</t>
  </si>
  <si>
    <t>A Phase I, Open-label, Multicenter Study to Evaluate the Safety, Tolerability, Cellular Kinetics, Immunogenicity, Pharmacodynamics, and Preliminary Efficacy of AZD0120 in Participants With Multiple Myeloma (DURGA-2)</t>
  </si>
  <si>
    <t>NCT07060885</t>
  </si>
  <si>
    <t>A Research Study of House Dust Mite (HDM) SLIT-tablet for the Treatment of HDM Allergy in Chinese Participants Aged 12-65</t>
  </si>
  <si>
    <t>NCT07082543</t>
  </si>
  <si>
    <t>A Study to Evaluate the Safety and Efficacy of Oral Nizubaglustat (AZ-3102) in Late-infantile and Juvenile Forms of GM1 Gangliosidosis or GM2 Gangliosidosis</t>
  </si>
  <si>
    <t>NCT06970743</t>
  </si>
  <si>
    <t>A Study of BGB-16673 Compared to Investigator's Choice in Participants With Relapsed/Refractory Chronic Lymphocytic Leukemia or Small Lymphocytic Lymphoma Previously Exposed to Covalent Bruton Tyrosine Kinase (BTK) Inhibitors</t>
  </si>
  <si>
    <t>NCT07018050</t>
  </si>
  <si>
    <t>Phase II Study of QLS32015 Combination Therapy in the Treatment of Multiple Myeloma</t>
  </si>
  <si>
    <t>NCT06755450</t>
  </si>
  <si>
    <t>Study Evaluating Safety Pharmacokinetics and Pharmacodynamics of AUR112 in Patients With Relapsed Advanced Lymphoma</t>
  </si>
  <si>
    <t>NCT07308548</t>
  </si>
  <si>
    <t>A Trial to Evaluate the Efficacy, Safety, PK, and PD of HP515 in Non - Alcoholic Fatty Liver Disease ( NASH/MASH )</t>
  </si>
  <si>
    <t>NCT07190248</t>
  </si>
  <si>
    <t>A Clinical Study of Calderasib (MK-1084) and Other Treatments for Participants With Non-Small Cell Lung Cancer (MK-1084-007/KANDLELIT-007)</t>
  </si>
  <si>
    <t>NCT07103278</t>
  </si>
  <si>
    <t>A Clinical Trial to Evaluate the Safety and the Pharmacokinetics of AD-116 Compared to AD-1161 in Healthy Adult Male Volunteers</t>
  </si>
  <si>
    <t>NCT06910943</t>
  </si>
  <si>
    <t>Study of Choline Chloride for Injection in Adolescent and Adult Patients With Intestinal Failure Receiving Long Term Parenteral Support</t>
  </si>
  <si>
    <t>NCT07011043</t>
  </si>
  <si>
    <t>A Phase 1b Study of Budoprutug in Systemic Lupus Erythematosus (SLE)</t>
  </si>
  <si>
    <t>NCT06646276</t>
  </si>
  <si>
    <t>A Study to Compare the Efficacy and Safety of BMS-986489 (BMS-986012+ Nivolumab Fixed Dose Combination) in Combination With Carboplatin Plus Etoposide to That of Atezolizumab With Carboplatin Plus Etoposide as First-Line Therapy in Participants With Extensive-Stage Small Cell Lung Cancer (TIGOS).</t>
  </si>
  <si>
    <t>NCT07311850</t>
  </si>
  <si>
    <t>Efficacy and Safety of MET097 Once-Weekly in People With Overweight or Obesity</t>
  </si>
  <si>
    <t>NCT06936943</t>
  </si>
  <si>
    <t>ONO-4538 Study in Patients With Richter's Transformation</t>
  </si>
  <si>
    <t>NCT07067567</t>
  </si>
  <si>
    <t>A Study of AK146D1 for Injection in Advanced Solid Tumors</t>
  </si>
  <si>
    <t>NCT06747455</t>
  </si>
  <si>
    <t>BCG for Therapeutic Use Phase Ⅲ Clinical Trial</t>
  </si>
  <si>
    <t>NCT07089784</t>
  </si>
  <si>
    <t>Multiple Dose Study of MK-2828 in Participants With Type 2 Diabetes (MK-2828-003)</t>
  </si>
  <si>
    <t>NCT07238868</t>
  </si>
  <si>
    <t>An Open-label Study to Evaluate Safety, Tolerability, and Efficacy of CB03-154 in Subjects Diagnosed With Epilepsy</t>
  </si>
  <si>
    <t>NCT07483450</t>
  </si>
  <si>
    <t>A Study to Evaluate the Efficacy, Safety, Pharmacokinetics, and Pharmacodynamics of Ocrelizumab in Participants With Relapsing Multiple Sclerosis and Primary Progressive Multiple Sclerosis</t>
  </si>
  <si>
    <t>NCT06891833</t>
  </si>
  <si>
    <t>A Study of BL-M07D1 With or Without Pertuzumab Versus Taxane + Trastuzumab and Pertuzumab in Neoadjuvant Therapy for HER2-Positive Breast Cancer</t>
  </si>
  <si>
    <t>NCT07265947</t>
  </si>
  <si>
    <t>Phase 2A/B Efficacy and Safety of Dabogratinib in Participants With Low Grade Upper Tract Urothelial Carcinoma</t>
  </si>
  <si>
    <t>NCT06784349</t>
  </si>
  <si>
    <t>ALN-APOC3 in Adult Participants With Dyslipidemia</t>
  </si>
  <si>
    <t>NCT06688435</t>
  </si>
  <si>
    <t>A Study to Evaluate the Safety and Preliminary Efficacy of SYS6020 CAR T-cells in Patients With Refractory Generalized Myasthenia Gravis</t>
  </si>
  <si>
    <t>NCT07336940</t>
  </si>
  <si>
    <t>Study of ENV-294 in Healthy Adults and in Adults With Moderate-to-Severe Atopic Dermatitis</t>
  </si>
  <si>
    <t>Enveda Therapeutics</t>
  </si>
  <si>
    <t>NCT06960148</t>
  </si>
  <si>
    <t>Dentinal Hypersensitivity Reduction Efficacy Study</t>
  </si>
  <si>
    <t>NCT07176689</t>
  </si>
  <si>
    <t>Nirogacestat in Premenopausal Females With Desmoid Tumor/Aggressive Fibromatosis (DT/AF)</t>
  </si>
  <si>
    <t>NCT07279155</t>
  </si>
  <si>
    <t>A Study on the Bioequivalence of Bupivacaine Liposome Injection in Humans</t>
  </si>
  <si>
    <t>NCT07281326</t>
  </si>
  <si>
    <t>A Study of AK138D1 in Advanced Malignant Tumors</t>
  </si>
  <si>
    <t>NCT06658535</t>
  </si>
  <si>
    <t>A Dose Escalation Study of NanO2 in Patients With Mild Respiratory Distress</t>
  </si>
  <si>
    <t>NCT07398989</t>
  </si>
  <si>
    <t>A Clinical Study to Assess Efficacy and Tolerability of a Topical Skincare Product on Adults With Mature, Crepey Skin</t>
  </si>
  <si>
    <t>NCT07207408</t>
  </si>
  <si>
    <t>Immunogenicity, Safety, and Tolerability of rF1V-1018 Vaccine in Adults 18 to 55 Years of Age</t>
  </si>
  <si>
    <t>NCT07372118</t>
  </si>
  <si>
    <t>Bioequivalence Study to Compare Empagliflozin / Metformin 25 mg/ 1000 mg Extended-Release Tablet Versus Synjardy XR Tablets 25mg/1000mg in Fast Condition</t>
  </si>
  <si>
    <t>NCT07275918</t>
  </si>
  <si>
    <t>SA1211 Injection Phase 1 Study</t>
  </si>
  <si>
    <t>Suzhou Siran Biotechnology Co.,Ltd.</t>
  </si>
  <si>
    <t>NCT06703255</t>
  </si>
  <si>
    <t>A Phase 2 Study of HX301 in Patients with High-grade Giloma</t>
  </si>
  <si>
    <t>NCT06715943</t>
  </si>
  <si>
    <t>Efficacy and Safety of HRS-5965 in Patients With PNH Who Are Still Anemia After Anti-C5 Antibody Treatment</t>
  </si>
  <si>
    <t>NCT06824168</t>
  </si>
  <si>
    <t>Evaluation of Two Dose Levels of Quizartinib as Maintenance in FLT3-ITD (+) Acute Myeloid Leukemia Patients in Complete Remission</t>
  </si>
  <si>
    <t>NCT06961266</t>
  </si>
  <si>
    <t>A Study to Investigate Efficacy, Safety, Tolerability, and Pharmacokinetics of JZP441 Compared With Placebo in Participants With Narcolepsy Type 1</t>
  </si>
  <si>
    <t>NCT06932523</t>
  </si>
  <si>
    <t>A Study to Evaluate the Safety of Recombinant Herpes Zoster Vaccine for Healthy Individuals</t>
  </si>
  <si>
    <t>NCT07223047</t>
  </si>
  <si>
    <t>A Study to Evaluate the Safety, Tolerability, and Efficacy of BMS-986523 Alone and in Combination With Anti-Cancer Agents in Participants With Advanced Solid Malignancies</t>
  </si>
  <si>
    <t>NCT06799286</t>
  </si>
  <si>
    <t>A Study to Evaluate the Safety, Tolerability, Pharmacokinetics, and Preliminary Efficacy of BMS-986489 in Chinese Participants With Relapsed/Refractory Small Cell Lung Cancer</t>
  </si>
  <si>
    <t>NCT07101783</t>
  </si>
  <si>
    <t>A Research Study on How a Dose of NNC0662-0419 Works in Japanese, Chinese and Non-Asian Participants Living With Overweight or Obesity</t>
  </si>
  <si>
    <t>NCT06845241</t>
  </si>
  <si>
    <t>Evaluate the Safety, Tolerability, and Efficacy of ICP-490 in Patients with Relapsed or Refractory Non-Hodgkin Lymphoma</t>
  </si>
  <si>
    <t>NCT07078331</t>
  </si>
  <si>
    <t>Safety and Performance, and Dose, of OsteoAdapt DE in Localized Alveolar Ridge Augmentations</t>
  </si>
  <si>
    <t>Theradaptive, Inc</t>
  </si>
  <si>
    <t>NCT06835569</t>
  </si>
  <si>
    <t>A Study to Learn About Study Medicine ALTA3263 in Adults With Advanced Solid Tumors With KRAS Mutations</t>
  </si>
  <si>
    <t>NCT07218627</t>
  </si>
  <si>
    <t>A Research Study on the Effects of NNC0537-1482 in Participants With Heart Failure</t>
  </si>
  <si>
    <t>NCT06997627</t>
  </si>
  <si>
    <t>A Phase I/II Study to Evaluate the Safety and Immunogenicity of GC3111B in Healthy Adults</t>
  </si>
  <si>
    <t>NCT06857227</t>
  </si>
  <si>
    <t>A Study of GNC-038 Tetra-specific Antibody Injection in Patients With Rheumatoid Arthritis</t>
  </si>
  <si>
    <t>NCT06822946</t>
  </si>
  <si>
    <t>Zhibitai Capsules for the Treatment of Primary Hyperlipidemia</t>
  </si>
  <si>
    <t>Chengdu Diao Jiuhong Pharmaceutical Factory</t>
  </si>
  <si>
    <t>NCT07038369</t>
  </si>
  <si>
    <t>A Phase 1 Study of ATV-1601 in Patients With Advanced Cancer That Have AKT1 E17K Mutations</t>
  </si>
  <si>
    <t>Atavistik Bio, Inc</t>
  </si>
  <si>
    <t>NCT06983028</t>
  </si>
  <si>
    <t>Atacicept in Multiple Glomerular Diseases</t>
  </si>
  <si>
    <t>NCT07018700</t>
  </si>
  <si>
    <t>A Clinical Trial to Evaluate Efficacy and Safety of Xeomin® Injections for Preventing Episodic Migraine</t>
  </si>
  <si>
    <t>NCT06680037</t>
  </si>
  <si>
    <t>A Study to Assess the Safety and Clinical Activity of Azer-cel in Participants With B-cell Mediated Autoimmune Disorders</t>
  </si>
  <si>
    <t>NCT06821945</t>
  </si>
  <si>
    <t>A Clinical Trial to Evaluate the Safety and Efficacy of Olanzapine Titration Schedule in Patients With Schizophrenia</t>
  </si>
  <si>
    <t>NCT07013201</t>
  </si>
  <si>
    <t>A 16-week Trial to Investigate the Efficacy and Safety of Delgocitinib Cream 20 mg/g in Adult Participants With Mild to Severe Palmoplantar Pustulosis</t>
  </si>
  <si>
    <t>NCT06889012</t>
  </si>
  <si>
    <t>A Study to Evaluate the Pharmacokinetics and the Safety After Administration of BR1018 and Coadministration of BR1018A and BR1018B in Healthy Adult Volunteers</t>
  </si>
  <si>
    <t>NCT07148128</t>
  </si>
  <si>
    <t>Phase 1/2a Study to Assess the Safety, Tolerability, Pharmacokinetics, and Preliminary Efficacy of WEF-001 as Monotherapy in Advanced KRAS-Mutant Solid Tumours.</t>
  </si>
  <si>
    <t>Auricula Biosciences Inc.</t>
  </si>
  <si>
    <t>NCT07061639</t>
  </si>
  <si>
    <t>A Study of QLS5133 Monotherapy in Advanced Solid Tumors</t>
  </si>
  <si>
    <t>NCT07022119</t>
  </si>
  <si>
    <t>A Phase 1 Study Evaluating Safety, Tolerability, and Pharmacokinetics of VX-407 in Healthy Participants</t>
  </si>
  <si>
    <t>NCT06877702</t>
  </si>
  <si>
    <t>A Single-dose Study to Evaluate the Safety, Tolerability, Drug Levels, and Relative Biological Availability of Alternate Formulations of BMS-986460 in Healthy Adult Male Participants</t>
  </si>
  <si>
    <t>NCT06779253</t>
  </si>
  <si>
    <t>A Study to Investigate The Effect of Pimicotinib on The Pharmacokinetics of Metformin, Fexofenadine and Rosuvastatin In Healthy Subjects</t>
  </si>
  <si>
    <t>NCT06868628</t>
  </si>
  <si>
    <t>A Phase 2a Study of Foralumab Nasal in Patients With Multiple System Atrophy (MSA)</t>
  </si>
  <si>
    <t>NCT06806995</t>
  </si>
  <si>
    <t>A Single-center, Open-label, Study Evaluating Safety and Pharmacokinetics of Single Doses of Zidebactam-Cefepime and Metronidazole Alone or in Combination.</t>
  </si>
  <si>
    <t>NCT06971731</t>
  </si>
  <si>
    <t>A Study of JNT-517 in Participants With Phenylketonuria (PKU)</t>
  </si>
  <si>
    <t>NCT06711887</t>
  </si>
  <si>
    <t>Phase III Extension Study of Efficacy and Safety of Ianalumab With or Without Study Treatment Withdrawal in Participants With Lupus Nephritis (SIRIUS-LN Extension)</t>
  </si>
  <si>
    <t>NCT06678984</t>
  </si>
  <si>
    <t>Treated Umbilical Vein Allograft (UVT) Versus Autologous Fascial Pubovaginal Sling in the Treatment of Female Stress Urinary Incontinence</t>
  </si>
  <si>
    <t>NCT06970847</t>
  </si>
  <si>
    <t>64Cu-SAR-bisPSMA Positron Emission Tomography: A Phase 3 Study of Participants With Biochemical Recurrence of Prostate Cancer</t>
  </si>
  <si>
    <t>NCT06936735</t>
  </si>
  <si>
    <t>A Phase I Study of HS-20108 in Participants With Advanced Solid Tumors</t>
  </si>
  <si>
    <t>NCT07236606</t>
  </si>
  <si>
    <t>RGX-121-3102 Gene Therapy in Participants With MPS II (Hunter Syndrome)</t>
  </si>
  <si>
    <t>NCT06934252</t>
  </si>
  <si>
    <t>Phase 1a/1b Study of TRB-061 in Healthy Participants &amp; Patients With Atopic Dermatitis</t>
  </si>
  <si>
    <t>TRex Bio, Inc.</t>
  </si>
  <si>
    <t>NCT07061626</t>
  </si>
  <si>
    <t>Determine Maximum Tolerated Dose, Safety, and Tolerability of Rhenium (186Re) in Pediatric Recurrent, Refractory or Progressive Ependymoma and High-Grade Glioma</t>
  </si>
  <si>
    <t>NCT06795178</t>
  </si>
  <si>
    <t>Efficacy, Safety, and Pharmacokinetics of FP-014, 11.25 mg in Patients With Advanced Prostate Cancer</t>
  </si>
  <si>
    <t>NCT06298916</t>
  </si>
  <si>
    <t>64Cu-LNTH-1363S in Patients With Sarcoma or Gastrointestinal Tract Cancer</t>
  </si>
  <si>
    <t>NCT07112378</t>
  </si>
  <si>
    <t>A Study of Dupilumab in Small Children With an Allergic Condition of the Esophagus (Food Pipe): Eosinophilic Esophagitis</t>
  </si>
  <si>
    <t>NCT07095855</t>
  </si>
  <si>
    <t>A Phase III Study to Evaluate the Efficacy and Safety of ZM-H1505R in Patients With CHB</t>
  </si>
  <si>
    <t>NCT07321834</t>
  </si>
  <si>
    <t>A Study to Evaluate AI-09 In Participants With Glabellar Lines</t>
  </si>
  <si>
    <t>NCT07149415</t>
  </si>
  <si>
    <t>A Study to Learn if Taking BIIB141 (Omaveloxolone) Affects How Omeprazole is Processed in the Body and About BIIB141's Safety in Healthy Adults Aged 18 to 55</t>
  </si>
  <si>
    <t>NCT07221591</t>
  </si>
  <si>
    <t>A Study in Healthy People to Compare How 2 Different Formulations of Survodutide Are Taken up by the Body</t>
  </si>
  <si>
    <t>NCT06705088</t>
  </si>
  <si>
    <t>Safety, Tolerability, Pharmacokinetics And Pharmacodynamics of SUVN-I6107 In Healthy Participants</t>
  </si>
  <si>
    <t>NCT06743503</t>
  </si>
  <si>
    <t>UB-VV400 in Combination With Rapamycin in Relapsed or Refractory B-cell Malignancies</t>
  </si>
  <si>
    <t>NCT06304103</t>
  </si>
  <si>
    <t>A Study of Efficacy and Safety of AND017 in Patients With Myelodysplastic Syndrome</t>
  </si>
  <si>
    <t>NCT06854783</t>
  </si>
  <si>
    <t>Safety and Pharmacokinetics of Cannabidiol in Healthy Volunteers</t>
  </si>
  <si>
    <t>Tiamat Australia Pty Ltd</t>
  </si>
  <si>
    <t>NCT07400588</t>
  </si>
  <si>
    <t>Aleniglipron Phase 2 in Type 2 Diabetes Mellitus</t>
  </si>
  <si>
    <t>NCT06830642</t>
  </si>
  <si>
    <t>Study of the Oral Treatment MTR-601 in Cervical Dystonia</t>
  </si>
  <si>
    <t>NCT07064473</t>
  </si>
  <si>
    <t>EASi-PROTKT™ - A Study to Test Vicadrostat (BI 690517) Taken Together With Empagliflozin in People With Type 2 Diabetes, High Blood Pressure, and Cardiovascular Disease</t>
  </si>
  <si>
    <t>NCT06646354</t>
  </si>
  <si>
    <t>To Evaluate the Efficacy and Safety of Co-administrated HODO-2224-1 and HODO-2224-2 in Patients With Essential Hypertension and Primary Hypercholesterolemia</t>
  </si>
  <si>
    <t>NCT06732882</t>
  </si>
  <si>
    <t>Study to Evaluate the Pharmacokinetics and Pharmacodynamics of AZD4604 Given Via the Turbuhaler® Device in Adults With Mild Asthma.</t>
  </si>
  <si>
    <t>NCT06804824</t>
  </si>
  <si>
    <t>A First-in-Human (FIH) Study to Evaluate the Safety and Tolerability of VVD-159642 in Participants With Advanced Solid Tumors</t>
  </si>
  <si>
    <t>NCT06988423</t>
  </si>
  <si>
    <t>Evaluation of the Potential Impact of a High-fat Meal on the Pharmacokinetics of CRS3123 in Healthy Adult Participants</t>
  </si>
  <si>
    <t>NCT06745323</t>
  </si>
  <si>
    <t>A Phase 2, Open-label, Randomized, Multicenter Study of Tarlatamab Dosing Regimens in Subjects With SCLC</t>
  </si>
  <si>
    <t>NCT06707610</t>
  </si>
  <si>
    <t>A Study to Evaluate the Safety, Tolerability, Pharmacokinetics (PK), and Antitumor Activity of ALK202 in Participants with Advanced Solid Tumors</t>
  </si>
  <si>
    <t>NCT06807268</t>
  </si>
  <si>
    <t>A Study of the Medicine Called Abrocitinib in Children 6 to Less Than 12 Years of Age With Moderate-to-Severe Eczema</t>
  </si>
  <si>
    <t>NCT06772597</t>
  </si>
  <si>
    <t>A Study of Setmelanotide in Patients With Prader-Willi Syndrome</t>
  </si>
  <si>
    <t>NCT06820268</t>
  </si>
  <si>
    <t>A Study of XS-04 in Patients with Relapsed or Refractory Hematologic Malignancies</t>
  </si>
  <si>
    <t>NCT07106918</t>
  </si>
  <si>
    <t>A Clinical Trial of SIBP-A16 Injection in Healthy Adults</t>
  </si>
  <si>
    <t>NCT06788990</t>
  </si>
  <si>
    <t>FORTIFI-HN01: A Study of Ficerafusp Alfa (BCA101) or Placebo in Combination With Pembrolizumab in First-Line PD-L1-pos, R or M HNSCC</t>
  </si>
  <si>
    <t>NCT07613710</t>
  </si>
  <si>
    <t>A Trial to Test the Safety and Tolerability of Lu AH69593 in Adults That Are Healthy or Have Narcolepsy</t>
  </si>
  <si>
    <t>NCT06887010</t>
  </si>
  <si>
    <t>A Study to Assess How Food Affects the Movement of Oral ABBV-101 Through the Body of Healthy Adult Participants</t>
  </si>
  <si>
    <t>NCT07013097</t>
  </si>
  <si>
    <t>A Phase I Clinical Trial to Evaluate the Single Dose Ascending and Food Effects of PG-033 in Healthy Adults</t>
  </si>
  <si>
    <t>NCT06548360</t>
  </si>
  <si>
    <t>A Study to Evaluate the Safety and Efficacy of Ruxolitinib Cream in Pediatric Participants With Nonsegmental Vitiligo</t>
  </si>
  <si>
    <t>NCT07228390</t>
  </si>
  <si>
    <t>A 16-Week Study to Learn About the Study Medicine Called Ritlecitinib in Adults With Long Lasting Painful Red Skin Lumps, Known by the Medical Term, Hidradenitis Suppurativa, or HS.</t>
  </si>
  <si>
    <t>NCT06699849</t>
  </si>
  <si>
    <t>Safety, Efficacy, and Pharmacokinetics of CSL889 in Adults and Adolescents With Sickle Cell Disease During Vaso-Occlusive Crisis</t>
  </si>
  <si>
    <t>NCT07007793</t>
  </si>
  <si>
    <t>A Study to Assess Efficacy and Safety of Baxdrostat in Participants With Primary Aldosteronism</t>
  </si>
  <si>
    <t>NCT07154706</t>
  </si>
  <si>
    <t>Phase 3 Study of Taletrectinib vs Placebo as an Adjuvant Therapy in ROS1 Positive NSCLC (TRUST-IV)</t>
  </si>
  <si>
    <t>NCT07292233</t>
  </si>
  <si>
    <t>A Food Effect Study of LY03020 in Healthy Subjects</t>
  </si>
  <si>
    <t>NCT07024693</t>
  </si>
  <si>
    <t>DT-168 in Keratoplasty Patients With Fuchs Endothelial Corneal Dystrophy</t>
  </si>
  <si>
    <t>NCT06780449</t>
  </si>
  <si>
    <t>A Research Study to Look Into the Long-term Effect on Weight Loss of CagriSema in People With Obesity</t>
  </si>
  <si>
    <t>NCT07310784</t>
  </si>
  <si>
    <t>A Phase II Trial of LM103 in Advanced Melanoma</t>
  </si>
  <si>
    <t>NCT06859268</t>
  </si>
  <si>
    <t>A Study of Retatrutide (LY3437943) in the Maintenance of Weight Reduction in Individuals With Obesity</t>
  </si>
  <si>
    <t>NCT06594523</t>
  </si>
  <si>
    <t>A Phase 3 Study Evaluating the Safety and Efficacy of Denifanstat in Patients With MASH and F2/F3 Fibrosis</t>
  </si>
  <si>
    <t>NCT06714513</t>
  </si>
  <si>
    <t>ID93+GLA-SE Vaccine Against Tuberculosis in Older Adults Aged 55-74</t>
  </si>
  <si>
    <t>NCT06934538</t>
  </si>
  <si>
    <t>First-in-human Trial of STC-1010, an Immunotherapy, in Patients With Unresectable Locally Advanced or Metastatic Colorectal Cancer</t>
  </si>
  <si>
    <t>Brenus Pharma</t>
  </si>
  <si>
    <t>NCT07159126</t>
  </si>
  <si>
    <t>A Study of DS3610a in Participants With Advanced Solid Tumor</t>
  </si>
  <si>
    <t>NCT06867835</t>
  </si>
  <si>
    <t>Single Dose of Vyleesi in Lactating Female Subjects to Measure the Concentration of Bremelanotide in Breast Milk</t>
  </si>
  <si>
    <t>Cosette Pharmaceuticals, Inc.</t>
  </si>
  <si>
    <t>NCT06848075</t>
  </si>
  <si>
    <t>A Phase IIb, Randomized, Double-Blind, Placebo-Controlled Study of Elismetrep (K-304) in the Treatment of Migraine</t>
  </si>
  <si>
    <t>NCT07102901</t>
  </si>
  <si>
    <t>Safety and Efficacy of SHR2554 Combined With Other Antitumor Therapies in Gastric or Gastro-oesophageal Junction Adenocarcinoma</t>
  </si>
  <si>
    <t>NCT07009171</t>
  </si>
  <si>
    <t>Study to Evaluate the Efficacy and Safety of KDS2010 in Overweight or Obese Patients</t>
  </si>
  <si>
    <t>NeuroBiogen Co., Ltd</t>
  </si>
  <si>
    <t>NCT07329777</t>
  </si>
  <si>
    <t>Atropine in the Treatment of Myopia Study in Malaysia</t>
  </si>
  <si>
    <t>IDB VisionCare SDN BHD</t>
  </si>
  <si>
    <t>NCT07029581</t>
  </si>
  <si>
    <t>Phase 2, Efficacy and Safety Study of ACP-204 in Lewy Body Dementia Psychosis</t>
  </si>
  <si>
    <t>NCT06930872</t>
  </si>
  <si>
    <t>Drug Interaction Study of ZYN002 Transdermal Gel and Probe Substrates</t>
  </si>
  <si>
    <t>NCT06908928</t>
  </si>
  <si>
    <t>A Dose Randomization Study of Bulumtatug Fuvedotin in TNBC Patients Previously Treated With ADCs</t>
  </si>
  <si>
    <t>NCT06895967</t>
  </si>
  <si>
    <t>A Study of TAK-881 and HyQvia in Healthy Adults</t>
  </si>
  <si>
    <t>NCT07192692</t>
  </si>
  <si>
    <t>Food Effect Study of HSK47388 in Healthy Subjects</t>
  </si>
  <si>
    <t>NCT07190209</t>
  </si>
  <si>
    <t>Efficacy, Safety, and Tolerability Study of Lunsekimig Compared With Placebo in Adult Participants With Inadequately Controlled Chronic Obstructive Pulmonary Disease (COPD) Characterized by an Eosinophilic Phenotype</t>
  </si>
  <si>
    <t>NCT07233213</t>
  </si>
  <si>
    <t>An Open-label Study of Intravenous Immunoglobulin (5%) for the Treatment of Primary Immune Thrombocytopenia</t>
  </si>
  <si>
    <t>Grand Shuyang Life Sciences (Chengdu) Co., Ltd.</t>
  </si>
  <si>
    <t>NCT07059182</t>
  </si>
  <si>
    <t>Safety Study of a Single Dose of Pneumococcal Whole-Cell Vaccine in Healthy Adults</t>
  </si>
  <si>
    <t>NCT06774313</t>
  </si>
  <si>
    <t>A Study to Assess the Adverse Events and How Subcutaneous (SC) Injections and Intravenous (IV) Infusions of ABBV-142 Move Through the Body of Healthy Adult Participants</t>
  </si>
  <si>
    <t>NCT07071623</t>
  </si>
  <si>
    <t>A Study of MK-8527 to Prevent Human Immunodeficiency Virus Type 1 (HIV-1) (MK-8527-010)</t>
  </si>
  <si>
    <t>NCT06721013</t>
  </si>
  <si>
    <t>A Study of Pirtobrutinib in Participants With Immune Thrombocytopenia</t>
  </si>
  <si>
    <t>NCT07140523</t>
  </si>
  <si>
    <t>A Study to Compare the Efficacy and Safety of SRSD107 and Enoxaparin in Adult Subjects Undergoing TKA</t>
  </si>
  <si>
    <t>NCT06782659</t>
  </si>
  <si>
    <t>Study to Compare the Effects of Viagra® Vs Hezkue® in Healthy Fasted Male Participants.</t>
  </si>
  <si>
    <t>Aspargo Labs, Inc</t>
  </si>
  <si>
    <t>NCT06736379</t>
  </si>
  <si>
    <t>Intratumoral Delivery of Viral Replicon (saRNA) Particles Expressing IL-12 in Head and Neck Cancer</t>
  </si>
  <si>
    <t>VLP Therapeutics</t>
  </si>
  <si>
    <t>NCT06911320</t>
  </si>
  <si>
    <t>Study of Bemnifosbuvir/Ruzasvir as a Fixed-dose Combination in Subjects With Normal or Severely Impaired Renal or Hepatic Function</t>
  </si>
  <si>
    <t>NCT06906341</t>
  </si>
  <si>
    <t>Relacorilant in Combination With Different Treatment Regimens in Patients With Gynecological Cancers</t>
  </si>
  <si>
    <t>NCT07219615</t>
  </si>
  <si>
    <t>A Study to Learn About Ritlecitinib for the Potential Treatment of Chronic Spontaneous Urticaria in Adults.</t>
  </si>
  <si>
    <t>NCT07076550</t>
  </si>
  <si>
    <t>A Phase 1-1b Study to Evaluate the Safety, Efficacy and Dosimetry of Study Drug A9-3408 in Subjects With Metastatic Melanoma</t>
  </si>
  <si>
    <t>Alpha-9 Oncology USA Inc.</t>
  </si>
  <si>
    <t>NCT06499285</t>
  </si>
  <si>
    <t>A Study of Elritercept to Treat Anemia in Adults With Very Low, Low, or Intermediate Risk Myelodysplastic Syndromes (MDS) Who Need Regular Blood Transfusions</t>
  </si>
  <si>
    <t>NCT06340568</t>
  </si>
  <si>
    <t>A Clinical Study of the Anti-cancer Effects of an Investigational Therapy or Chemotherapy in Patients With Recurring Uterine Cancer</t>
  </si>
  <si>
    <t>NCT06961708</t>
  </si>
  <si>
    <t>A Study of Fosmanogepix in Healthy Adult Chinese Subjects</t>
  </si>
  <si>
    <t>NCT07213791</t>
  </si>
  <si>
    <t>A Study of LY4337713 in Participants With FAP-Positive Solid Tumors</t>
  </si>
  <si>
    <t>NCT06545617</t>
  </si>
  <si>
    <t>A Clinical Study to Observe How Well That BAT8006 Works on Patients With Platinum Resistance Ovarian Cancer</t>
  </si>
  <si>
    <t>NCT06790290</t>
  </si>
  <si>
    <t>Phase 2 Trial to Evaluate Safety and Immunogenicity of Inventprise's (IVT) 25-valent Pneumococcal Conjugate Vaccine (IVT PCV-25) in Healthy Infants</t>
  </si>
  <si>
    <t>NCT07652697</t>
  </si>
  <si>
    <t>ABX-002 Bioequivalence and Effect of Food Study in Healthy Adult Participants</t>
  </si>
  <si>
    <t>NCT06677060</t>
  </si>
  <si>
    <t>Phase III Study Investigating Heart Failure and Cardiovascular Death With Baxdrostat in Combination With Dapagliflozin</t>
  </si>
  <si>
    <t>NCT06731218</t>
  </si>
  <si>
    <t>Phase I Clinical Study to Evaluate the Safety and Efficacy of RGB-5088 in Patients With Type 1 Diabetes Mellitus</t>
  </si>
  <si>
    <t>Hangzhou Reprogenix Bioscience, Inc</t>
  </si>
  <si>
    <t>NCT05316220</t>
  </si>
  <si>
    <t>A Study to Assess Adverse Events and Change in Disease Condition of Mesalamine Capsules in Children Aged 5 to 17 Years With Ulcerative Colitis</t>
  </si>
  <si>
    <t>NCT07322991</t>
  </si>
  <si>
    <t>Study to Evaluate the Drug-drug Interaction Between IY001 and IY002 in Healthy Adult Male Subjects.</t>
  </si>
  <si>
    <t>NCT06805513</t>
  </si>
  <si>
    <t>Actual Use Trial of Tadalafil 5 mg</t>
  </si>
  <si>
    <t>NCT07157423</t>
  </si>
  <si>
    <t>A Research Study to See How Safe is Eptacog Alfa When Used to Stop Heavy Bleeding in Women After Giving Birth in India</t>
  </si>
  <si>
    <t>NCT06839131</t>
  </si>
  <si>
    <t>A Clinical Study of SPH9788 Tablets in Healthy Chinese Subjects.</t>
  </si>
  <si>
    <t>NCT06677229</t>
  </si>
  <si>
    <t>Phase 1b/2a Clinical Trial to Determine the Safety, Tolerability and Efficacy of TZ-161 in Spinal Cord Injury</t>
  </si>
  <si>
    <t>NCT07044349</t>
  </si>
  <si>
    <t>Phase II Clinical Study of Utidelone Capsule (UTD2) in Patients With Advanced Epithelial Ovarian, Fallopian Tube, or Primary Peritoneal Cancer</t>
  </si>
  <si>
    <t>NCT07169578</t>
  </si>
  <si>
    <t>A Study of Trontinemab in Participants With Early Symptomatic Alzheimer's Disease</t>
  </si>
  <si>
    <t>NCT07263152</t>
  </si>
  <si>
    <t>QTc Assessment in a Single-Dose Study of Hydronidone Capsules</t>
  </si>
  <si>
    <t>NCT07110415</t>
  </si>
  <si>
    <t>Efficacy and Safety Trials of Yangxinshi Tablets in the Treatment of Patients With Coronary Heart Disease Complicated by Cardiac Dysfunction</t>
  </si>
  <si>
    <t>SPH Qingdao Growful Pharmacetical Co.,Ltd</t>
  </si>
  <si>
    <t>NCT06793943</t>
  </si>
  <si>
    <t>A Study of Interaction of Zasocitinib (TAK-279) With Other Medicines in Healthy Adults</t>
  </si>
  <si>
    <t>NCT07066826</t>
  </si>
  <si>
    <t>Clinical Study to Evaluate the Efficacy and Safety of Huperzine A Controlled-Release Tablets in Patients With Mild-to-Moderate Dementia of the Alzheimer's Type</t>
  </si>
  <si>
    <t>NCT07158710</t>
  </si>
  <si>
    <t>Phase I Study of HSK42360 in Malignant Brain Tumors With BRAF V600 Mutation</t>
  </si>
  <si>
    <t>NCT06989918</t>
  </si>
  <si>
    <t>MHB018A Treatment in Patients With Active Thyroid Eye Disease</t>
  </si>
  <si>
    <t>NCT06613360</t>
  </si>
  <si>
    <t>A Study of CLN-978, a Subcutaneously Administered CD19-directed T Cell Engager, in Subjects With Systemic Lupus Erythematosus</t>
  </si>
  <si>
    <t>NCT07130097</t>
  </si>
  <si>
    <t>A Study to Compare Two Tablet Formulations of Study Medicine Atirmociclib in Healthy Participants</t>
  </si>
  <si>
    <t>NCT06964113</t>
  </si>
  <si>
    <t>A Study of Filgotinib 200 mg in Korean Participants With Moderately to Severely Active Ulcerative Colitis Under Routine Clinical Practice</t>
  </si>
  <si>
    <t>NCT06993610</t>
  </si>
  <si>
    <t>Tibulizumab Skin Healing and Inflammation Evaluation for Lasting Defense</t>
  </si>
  <si>
    <t>NCT07636018</t>
  </si>
  <si>
    <t>A Study to Learn if the Study Medicine Called Fluconazole Changes How the Other Body Processes the Study Medicine PF-07248144</t>
  </si>
  <si>
    <t>NCT06987513</t>
  </si>
  <si>
    <t>RECLAIM STUDY: A Phase 2 Evaluating the Efficacy and Safety of Pemvidutide in the Treatment of Alcohol Use Disorder (AUD) in Subjects With Obesity or Overweight</t>
  </si>
  <si>
    <t>NCT07023315</t>
  </si>
  <si>
    <t>A Phase III Clinical Study of Cadonilimab Plus SOX as Perioperative Treatment for Patients With Resectable G/GEJ Adenocarcinoma</t>
  </si>
  <si>
    <t>NCT07073183</t>
  </si>
  <si>
    <t>Safety and Tolerability of CVHNLC Plus Pembrolizumab in Patients With Squamous Non Small-Cell Lung Cancer (sqNSCLC)</t>
  </si>
  <si>
    <t>NCT06998173</t>
  </si>
  <si>
    <t>Phase 1 Study to Evaluate the Safety, Tolerability, Pharmacokinetics and Preliminary Efficacy of DAT-1604 in Advanced Solid Tumor</t>
  </si>
  <si>
    <t>NCT07284654</t>
  </si>
  <si>
    <t>Safety, Tolerability, and Immunogenicity of VAX-31 in Adults ≥50 Years With Immunobridging to Adults 18-49</t>
  </si>
  <si>
    <t>NCT07008469</t>
  </si>
  <si>
    <t>Global Open-Label Extension Study of Del-desiran for the Treatment of DM1</t>
  </si>
  <si>
    <t>NCT06737354</t>
  </si>
  <si>
    <t>Safety and Efficacy Study of IVB103 Injection in Subjects With Neovascular (Wet) Agerelated Macular Degeneration (nAMD).</t>
  </si>
  <si>
    <t>NCT06780085</t>
  </si>
  <si>
    <t>A Study of Investigational Agents in Participants With Previously Treated Stage IV Nonsquamous Non-small Cell Lung Cancer (NSCLC) (MK-3475-01H/KEYMAKER-U01)</t>
  </si>
  <si>
    <t>NCT06501443</t>
  </si>
  <si>
    <t>LATAM LOWERS LDL-C</t>
  </si>
  <si>
    <t>NCT06896916</t>
  </si>
  <si>
    <t>Study of Intravenously (IV) Infused Etentamig in Combination With an Oral Cereblon E3 Ligase Modulatory Drug (CELMoD) Agent Assessing Adverse Events and Change in Disease Activity in Adult Participants With Relapsed or Refractory Multiple Myeloma</t>
  </si>
  <si>
    <t>NCT06764316</t>
  </si>
  <si>
    <t>A First-in-human Study to Learn About the Safety of BAY 3547926 and How Well it Works in Participants With Advanced Liver Cancer</t>
  </si>
  <si>
    <t>NCT07204314</t>
  </si>
  <si>
    <t>A Study of Vortioxetine in Japanese Pediatric Patients With Major Depressive Disorder</t>
  </si>
  <si>
    <t>NCT07229612</t>
  </si>
  <si>
    <t>A Phase I/II Clinical Study of SHR-4298 Injection in Patients With Malignant Solid Tumors</t>
  </si>
  <si>
    <t>NCT07176728</t>
  </si>
  <si>
    <t>A Study to Assess the Safety and Effects of Different Doses of an Investigational Drug, BAY 3389934, in Healthy Japanese Volunteers.</t>
  </si>
  <si>
    <t>NCT06672016</t>
  </si>
  <si>
    <t>Study to Evaluate Contraceptive Efficacy and Safety of a Progestin Only Patch in Women of Childbearing Potential</t>
  </si>
  <si>
    <t>NCT06800404</t>
  </si>
  <si>
    <t>"HB-adMSCs for the Treatment of Patients With Multiple Sclerosis"</t>
  </si>
  <si>
    <t>NCT07071714</t>
  </si>
  <si>
    <t>A Phase II Study of SHR-8068 Injection in Combination With Anti-tumor Therapies in Colorectal Cancer</t>
  </si>
  <si>
    <t>NCT07285304</t>
  </si>
  <si>
    <t>A Long-term Study of TS-172 in Hyperphosphatemia Patients on Hemodialysis</t>
  </si>
  <si>
    <t>NCT07126704</t>
  </si>
  <si>
    <t>A Phase 1, SAD and MAD to Evaluate the Safety, Tolerability, Pharmacokinetics, and Pharmacodynamics of Oral FB-101 in Healthy Adult Male Subjects</t>
  </si>
  <si>
    <t>NCT07279233</t>
  </si>
  <si>
    <t>To Assess the Enzyme Inducing Effects of Carbamazepine on the PK of Mirdametinib in Healthy Participants</t>
  </si>
  <si>
    <t>NCT06974565</t>
  </si>
  <si>
    <t>A Study to Investigate the Pharmacokinetics of AZD2389 in Healthy Participants When Administered Alone and in Combination With Quinidine</t>
  </si>
  <si>
    <t>NCT07054034</t>
  </si>
  <si>
    <t>Study of MG-ZG122 Humanized Monoclonal Antibody in Asthma Subjects</t>
  </si>
  <si>
    <t>NCT07246564</t>
  </si>
  <si>
    <t>Phase 4 Study Evaluating Efficacy and Safety of Rozanolixizumab in Adult Chinese Participants With Generalized Myasthenia Gravis</t>
  </si>
  <si>
    <t>NCT07265284</t>
  </si>
  <si>
    <t>A Study to Evaluate Efficacy and Safety of IBI112 in Adolescent Participants With Moderate to Severe Plaque Psoriasis</t>
  </si>
  <si>
    <t>NCT06767514</t>
  </si>
  <si>
    <t>Clinical Study of Ivonescimab for First-line Treatment of Metastatic NSCLC Patients With High PD-L1</t>
  </si>
  <si>
    <t>NCT07198633</t>
  </si>
  <si>
    <t>A Clinical Study of QLC5508 and/or QLH12016 in Combination With Other Anti-tumor Therapies in Subjects With Advanced Prostate Cancer</t>
  </si>
  <si>
    <t>NCT07223632</t>
  </si>
  <si>
    <t>Treatment of Charcot-Marie-Tooth Disease, Axonal, Type 2S (CMT2S) in an Individual Patient</t>
  </si>
  <si>
    <t>NCT07669506</t>
  </si>
  <si>
    <t>A Study to Evaluate the Efficacy and Safety of Orally Administered Extract of Orthosiphon Stamineus (NuvastaticTM-C5OSEW5050ESA) in Patient With Breast Cancer Undergoing Chemotherapy</t>
  </si>
  <si>
    <t>NCT07002034</t>
  </si>
  <si>
    <t>RE104 Safety and Efficacy Study in Adjustment Disorder in Cancer and Other Medical Illnesses</t>
  </si>
  <si>
    <t>NCT07160738</t>
  </si>
  <si>
    <t>A Study to Learn About How the Study Medicines Called Itraconazole and Probenecid Change How the Body Processes PF-07220060</t>
  </si>
  <si>
    <t>NCT07203755</t>
  </si>
  <si>
    <t>Clinical Trial of the Adsorbed Acellular Pertussis (Tricomponent) DTaP-Haemophilus Influenzae Type b (Conjugate)-ACYW135 Group Meningococcal (Conjugate) Combined Vaccine</t>
  </si>
  <si>
    <t>NCT07238816</t>
  </si>
  <si>
    <t>A Research Study Looking at How Food Intake Affects Inno8 in the Body of Healthy People</t>
  </si>
  <si>
    <t>NCT07173478</t>
  </si>
  <si>
    <t>A Phase 3 Trial to Demonstrate the Superiority of 1% OPA-15406 Foam to the Vehicle in Adult Patients With Atopic Dermatitis</t>
  </si>
  <si>
    <t>NCT07568678</t>
  </si>
  <si>
    <t>A Phase 1, Multiple Ascending Dose Study to Evaluate HMS1005 in Participants With Type 2 Diabetes</t>
  </si>
  <si>
    <t>NCT07086443</t>
  </si>
  <si>
    <t>Randomized Evaluation of Nonhealing Diabetic Foot Ulcers With Exclusive Wound Therapy</t>
  </si>
  <si>
    <t>Sequence LifeScience, Inc.</t>
  </si>
  <si>
    <t>NCT07192614</t>
  </si>
  <si>
    <t>A Study to Learn How Safe AZD6621 is, How Well it Works, and How it Moves Throughout the Body Over Time, in Adult Male Participants With Metastatic Prostate Cancer</t>
  </si>
  <si>
    <t>NCT07220733</t>
  </si>
  <si>
    <t>Safety and Feasibility of a Self-Balancing Exoskeleton for Rehabilitation in the Thoracic Surgical Intensive Care Unit: a Pilot Trial</t>
  </si>
  <si>
    <t>Wandercraft</t>
  </si>
  <si>
    <t>NCT07081217</t>
  </si>
  <si>
    <t>Radiocaine Safety Study</t>
  </si>
  <si>
    <t>Lutroo Imaging LLC</t>
  </si>
  <si>
    <t>NCT06891040</t>
  </si>
  <si>
    <t>Phase II Clinical Study to Evaluate the Efficacy and Safety of VC005 in Adult Subjects With Mild to Moderate Atopic Dermatitis</t>
  </si>
  <si>
    <t>NCT07124936</t>
  </si>
  <si>
    <t>A Study of HDM2005 in Combination With Standard of Care in Patients With Diffuse Large B-Cell Lymphoma</t>
  </si>
  <si>
    <t>NCT06746064</t>
  </si>
  <si>
    <t>A Study to Investigate the Safety, Tolerability and Pharmacokinetics of Inhaled CHF10073 After Single and Multiple Doses in Healthy Volunteers and the Effect of Itraconazole on CHF10073 Exposure</t>
  </si>
  <si>
    <t>NCT07140393</t>
  </si>
  <si>
    <t>A Study of HRS-4508 in Combination With Other Anti-tumor Therapy for Solid Tumor</t>
  </si>
  <si>
    <t>NCT06890416</t>
  </si>
  <si>
    <t>A Study to Evaluate the Safety and Immunogenicity of RSVpreF Coadministered With Herpes Zoster Vaccine in Adults</t>
  </si>
  <si>
    <t>NCT07173933</t>
  </si>
  <si>
    <t>Phase I/II Clinical Study to Evaluate the Safety, Tolerability, and Efficacy of GC310 Injection in Patients With Wilson's Disease (WD)</t>
  </si>
  <si>
    <t>NCT07203547</t>
  </si>
  <si>
    <t>Phase 4 Study of Laybon Tab. in Knee Osteoarthritis</t>
  </si>
  <si>
    <t>NCT07193810</t>
  </si>
  <si>
    <t>A Study of CC312 for Relapsed/Refractory Autoimmune Diseases</t>
  </si>
  <si>
    <t>NCT06675513</t>
  </si>
  <si>
    <t>Autologous CAR-T Cells (WD-01) for Metastatic Colorectal Cancer</t>
  </si>
  <si>
    <t>NCT06804603</t>
  </si>
  <si>
    <t>A Study to Measure the Effects of Using Tradipitant on Nausea and Vomiting After GLP-1R Agonist Use</t>
  </si>
  <si>
    <t>NCT06959888</t>
  </si>
  <si>
    <t>A Phase 1 Study in Healthy Volunteers to Evaluate the Relative Bioavailability of ALG-055009 Formulations</t>
  </si>
  <si>
    <t>NCT07214727</t>
  </si>
  <si>
    <t>A Study to Evaluate ALN-5288 in Patients With Alzheimer's Disease</t>
  </si>
  <si>
    <t>NCT07258979</t>
  </si>
  <si>
    <t>A Study of YL201 in Combination With Toripalimab and With or Without Cisplatin in Nasopharyngeal Carcinoma.</t>
  </si>
  <si>
    <t>NCT07198035</t>
  </si>
  <si>
    <t>A Study to Learn if Multiple Doses of the Study Medicine Called Carbamazepine Changes How the Body Processes the Other Study Medicine PF-07248144</t>
  </si>
  <si>
    <t>NCT07175220</t>
  </si>
  <si>
    <t>Phase II Clinical Study of SHR2554 Tablets Combined With Other Anti-tumor Treatments in Non-small Cell Lung Cancer Subjects</t>
  </si>
  <si>
    <t>NCT07063342</t>
  </si>
  <si>
    <t>A Study to Evaluate Novel KarX and KarT Prototypes Versus the KarXT and KarX-EC Reference Following Single Doses, and to Explore the Effect of Food After Multiple Doses of Selected Prototypes in Healthy Adult Participants</t>
  </si>
  <si>
    <t>NCT06754761</t>
  </si>
  <si>
    <t>Human ADME Study of [14C]-Ceralasertib (AZD6738) and Absolute Bioavailability of Ceralasertib</t>
  </si>
  <si>
    <t>NCT07030959</t>
  </si>
  <si>
    <t>Study of AUBE00 in Patients With Solid Tumors</t>
  </si>
  <si>
    <t>NCT07216027</t>
  </si>
  <si>
    <t>A Study to Learn About Study Medicine Called PF-08049820 in People With Eczema</t>
  </si>
  <si>
    <t>NCT07021703</t>
  </si>
  <si>
    <t>A Clinical Trial of Rabies Vaccine（Human Diploid Cell）for Human Use,Freeze-dried</t>
  </si>
  <si>
    <t>NCT07259538</t>
  </si>
  <si>
    <t>A Phase I Study Evaluating the Safety, Tolerability, and Pharmacokinetics of VVN432 Nasal Spray</t>
  </si>
  <si>
    <t>NCT06850623</t>
  </si>
  <si>
    <t>Acoustic Cluster Therapy (ACT) With Chemotherapy for the Treatment of Locally Advanced Pancreatic Cancer</t>
  </si>
  <si>
    <t>EXACT Therapeutics AS</t>
  </si>
  <si>
    <t>NCT07165223</t>
  </si>
  <si>
    <t>A Phase IIIb Clinical Study to Assess the Efficacy and Safety of GZR4 in Subjects With Type 2 Diabetes Mellitus Treated With Basal Insulin</t>
  </si>
  <si>
    <t>NCT06913218</t>
  </si>
  <si>
    <t>A Study of mRNA Vaccines AK154 Monotherapy or in Combination With AK104/AK112,and Sequential mFOLFIRINOX in Surgically Resected PDAC</t>
  </si>
  <si>
    <t>NCT07288320</t>
  </si>
  <si>
    <t>An Assessment of Efficacy, Safety, and Pharmacokinetics of NBI-1117568 in Adults With Bipolar I Disorder With Current Mania</t>
  </si>
  <si>
    <t>NCT06848296</t>
  </si>
  <si>
    <t>Phase Ib Clinical Study to Evaluate the Safety and Tolerability of VSA012 Injection in Paroxysmal Nocturnal Hemoglobinuria</t>
  </si>
  <si>
    <t>Bisirna Therapeutics Pte. Ltd.</t>
  </si>
  <si>
    <t>NCT06962774</t>
  </si>
  <si>
    <t>An Investigational Study of ESK-001 in Participants With Normal Renal Function and Participants With Mild, Moderate, and Severe Impaired Renal Function</t>
  </si>
  <si>
    <t>NCT06921759</t>
  </si>
  <si>
    <t>A Study to Investigate the Efficacy and Safety of Lebrikizumab in Participants With Moderate-to-Severe Atopic Hand and Foot Dermatitis</t>
  </si>
  <si>
    <t>NCT07050459</t>
  </si>
  <si>
    <t>A Phase I Study of SIM0686 in Participants With Locally Advanced/Metastatic Solid Tumors</t>
  </si>
  <si>
    <t>NCT06994897</t>
  </si>
  <si>
    <t>A Study to Learn How Different Amounts of the Study Medicine Called PF-07985631 Are Tolerated and Act in the Body of Healthy Adults</t>
  </si>
  <si>
    <t>NCT07014176</t>
  </si>
  <si>
    <t>Nonhealing Diabetic Foot Ulcers Treated With Standard of Care (SOC) Alone or Standard of Care and Amnion-Intermediate-Chorion (AIC)</t>
  </si>
  <si>
    <t>NCT06678074</t>
  </si>
  <si>
    <t>Pilot Study of IC14 (Atibuclimab), an Anti-CD14 Monoclonal Antibody, to Treat STEMI</t>
  </si>
  <si>
    <t>NCT07015918</t>
  </si>
  <si>
    <t>A Study to Understand How the Study Medicine (PF-07976016) is Processed and Eliminated in Healthy Men</t>
  </si>
  <si>
    <t>NCT07007520</t>
  </si>
  <si>
    <t>A Study to Evaluate the Food Effect on the Pharmacokinetics of DA-5223 in Healthy Adult Subjects</t>
  </si>
  <si>
    <t>NCT07095478</t>
  </si>
  <si>
    <t>Safety and Efficacy of Oral Artesunate for Pre-cervical Cancer</t>
  </si>
  <si>
    <t>Metanoic Health Ltd.</t>
  </si>
  <si>
    <t>NCT06960213</t>
  </si>
  <si>
    <t>STOP-HAE: A Phase 3 Study of ADX-324 in HAE</t>
  </si>
  <si>
    <t>NCT07237659</t>
  </si>
  <si>
    <t>Phase 1a/b Tolerability of NTR-1011 in Healthy Adults and Adult Patients With SLE and RA</t>
  </si>
  <si>
    <t>NCT06931990</t>
  </si>
  <si>
    <t>A Study to Explore the Safety, Tolerability, Efficacy, and Pharmacokinetics of LT-002-158 Tablets in Chinese Adult Subjects With Atopic Dermatitis</t>
  </si>
  <si>
    <t>NCT07116824</t>
  </si>
  <si>
    <t>HB1801 Combined Treatment of HER2-positive Breast Cancer</t>
  </si>
  <si>
    <t>NCT07182149</t>
  </si>
  <si>
    <t>A Phase 1 Study of NRM-823 in Participants With Locally Advanced or Metastatic Refractory Solid Tumors</t>
  </si>
  <si>
    <t>Normunity AccelCo, Inc.</t>
  </si>
  <si>
    <t>NCT07135349</t>
  </si>
  <si>
    <t>A Phase II Clinical Study of BW-20507 in Combination With PEG-IFNα for the Treatment of Hepatitis B</t>
  </si>
  <si>
    <t>NCT06897358</t>
  </si>
  <si>
    <t>Leniolisib for Immune Dysregulation in CVID</t>
  </si>
  <si>
    <t>NCT06948435</t>
  </si>
  <si>
    <t>A Master Protocol Study of Orforglipron (LY3502970) in Participants With Hypertension and Obesity or Overweight (ATTAIN-Hypertension) GZL1</t>
  </si>
  <si>
    <t>NCT06820476</t>
  </si>
  <si>
    <t>A Research Study on How NNC0487-0111, a New Medicine, Works in Chinese Participants After 10 Days of Oral Dosing</t>
  </si>
  <si>
    <t>NCT06879717</t>
  </si>
  <si>
    <t>A Study of Roginolisib (IOA-244) in Combination With Dostarlimab With or Without Docetaxel in Metastatic Non Small-cell Lung Cancer (NSCLC) Patients</t>
  </si>
  <si>
    <t>NCT06717815</t>
  </si>
  <si>
    <t>Phase IIa Study for IPG11406 in Patients With Lupus Nephritis</t>
  </si>
  <si>
    <t>NCT07304726</t>
  </si>
  <si>
    <t>Clinical Study to Evaluate the Pharmacokinetics and Safety of CKD-383 0.25/12.5/1000mg in Healthy Volunteers</t>
  </si>
  <si>
    <t>NCT07118878</t>
  </si>
  <si>
    <t>A Multiple Ascending Dose Study With AGMB-129 in Healthy Participants</t>
  </si>
  <si>
    <t>NCT06767735</t>
  </si>
  <si>
    <t>A Phase III Clinical Study to Assess the Efficacy and Safety of GZR4 in Insulin-naive Subjects With Type 2 Diabetes Mellitus (T2DM)</t>
  </si>
  <si>
    <t>NCT06841185</t>
  </si>
  <si>
    <t>A Study to Compare the Efficacy, Safety, Immunogenicity, and Pharmacokinetic Profile of HLX13 with YERVOY As a First-Line Treatment for Patients with Unresectable Hepatocellular Carcinoma</t>
  </si>
  <si>
    <t>NCT06754943</t>
  </si>
  <si>
    <t>To Evaluate the Safety and PK Characteristics After Co-administration of JW0104 and C2402 and Administration of JW0105</t>
  </si>
  <si>
    <t>NCT07211152</t>
  </si>
  <si>
    <t>Influenza Vaccine (Split Virion), Inactivated, Quadrivalent in Pregnant Women</t>
  </si>
  <si>
    <t>NCT07214740</t>
  </si>
  <si>
    <t>Study to Evaluate a Pegcetacoplan (Syfovre®) Prefilled Syringe</t>
  </si>
  <si>
    <t>NCT06824987</t>
  </si>
  <si>
    <t>Dose-Ranging Safety, Tolerability, and Efficacy Study of AZD2373 in Participants With APOL1-Mediated Kidney Disease</t>
  </si>
  <si>
    <t>NCT07042516</t>
  </si>
  <si>
    <t>Safety and Efficacy of Asimadoline (TP0052) in Patients With Vasomotor Symptoms (VMS).</t>
  </si>
  <si>
    <t>Tioga Pharmaceuticals</t>
  </si>
  <si>
    <t>NCT07133633</t>
  </si>
  <si>
    <t>A Clinical Study of Tulisokibart (MK-7240) to Treat Radiographic Axial Spondyloarthritis (MK-7240-013)</t>
  </si>
  <si>
    <t>NCT06854042</t>
  </si>
  <si>
    <t>A Study of Oral E1018 in Healthy Adult Participants</t>
  </si>
  <si>
    <t>NCT06641466</t>
  </si>
  <si>
    <t>A Study to Learn About the Study Medicine Called Rimegepant in Women When Used for Intermittent Prevention of Menstrual Migraine</t>
  </si>
  <si>
    <t>NCT06868082</t>
  </si>
  <si>
    <t>A Study to Investigate Safety, Tolerability, and Pharmacokinetics of Solrikitug in Healthy Japanese and Non-Japanese Participants</t>
  </si>
  <si>
    <t>NCT07019779</t>
  </si>
  <si>
    <t>Study of CM518D1 in Patients With Advanced Solid Tumors</t>
  </si>
  <si>
    <t>NCT06931327</t>
  </si>
  <si>
    <t>To Evaluate the Safety and Pharmacokinetic Characteristics of AJU-C711 in Healthy Adults</t>
  </si>
  <si>
    <t>NCT07272590</t>
  </si>
  <si>
    <t>Study of QLC5513 in Combination With Epalolimab Tovolimab (QL1706) ± Platinum in Patients With Advanced or Metastatic Malignant Solid Tumors</t>
  </si>
  <si>
    <t>NCT06666413</t>
  </si>
  <si>
    <t>China Post-approval Commitment (PAC) Study of Avalglucosidase Alfa in Participants With IOPD</t>
  </si>
  <si>
    <t>NCT07117669</t>
  </si>
  <si>
    <t>Study of ENP-501 in Peanut-Allergic and Non-Allergic Participants</t>
  </si>
  <si>
    <t>N-Fold, LLC</t>
  </si>
  <si>
    <t>NCT07055386</t>
  </si>
  <si>
    <t>A Study to Compare the Efficacy and Safety of GZR102 Injection and GZR18 Injection in Type 2 Diabetes Mellitus</t>
  </si>
  <si>
    <t>NCT06772870</t>
  </si>
  <si>
    <t>A Single Ascending Dose Study of DT-216P2 in Normal Healthy Participants</t>
  </si>
  <si>
    <t>NCT07109297</t>
  </si>
  <si>
    <t>Study of Monoclonal Antibody Nirsevimab Against Respiratory Syncytial Virus (RSV) in Participants up to 24 Months of Age in India</t>
  </si>
  <si>
    <t>NCT07228559</t>
  </si>
  <si>
    <t>A Study of Avoralstat In Participants With Diabetic Macular Edema</t>
  </si>
  <si>
    <t>NCT05517980</t>
  </si>
  <si>
    <t>Efficacy, Safety, Pharmacokinetics, and Pharmacodynamics of KP104 to Treat Glomerulonephritis</t>
  </si>
  <si>
    <t>NCT06885775</t>
  </si>
  <si>
    <t>Purpose of This Study is the Demonstration of Safety and Efficacy of the Dermal Fillers DXP01 Temporary Improvement of Moderate to Severe Nasolabial Folds</t>
  </si>
  <si>
    <t>DEXLEVO</t>
  </si>
  <si>
    <t>NCT07131657</t>
  </si>
  <si>
    <t>Ropiclobet for Regional Anesthesia and Post-Operative Pain Control in Upper Extremity Surgery</t>
  </si>
  <si>
    <t>NCT07181499</t>
  </si>
  <si>
    <t>Sequential Chemotherapy With Befotertinib in Non-Small Cell Lung Cancer (NSCLC) Patients With Resistance to Third-Generation EGFR-TKI</t>
  </si>
  <si>
    <t>NCT07106762</t>
  </si>
  <si>
    <t>Phase 2/3 Trial of Izalontamab Brengitecan vs Platinum-based Chemotherapy for Metastatic Urothelial Cancer With Disease Progression on or After Immunotherapy</t>
  </si>
  <si>
    <t>NCT06841770</t>
  </si>
  <si>
    <t>A Study to Evaluate the Safety of a Delivery Device for Administering LCTOPC1 in Participants With Spinal Cord Injury</t>
  </si>
  <si>
    <t>Lineage Cell Therapeutics, Inc.</t>
  </si>
  <si>
    <t>NCT06605105</t>
  </si>
  <si>
    <t>Phase III Long-term Extension Trial to Assess Safety and Efficacy of CYB003 in MDD (EXTEND)</t>
  </si>
  <si>
    <t>NCT06528301</t>
  </si>
  <si>
    <t>A Phase 1 Study of UB-VV111 With and Without Rapamycin in Relapsed/Refractory CD19+ B-cell Malignancies</t>
  </si>
  <si>
    <t>Umoja Biopharma</t>
  </si>
  <si>
    <t>NCT07114406</t>
  </si>
  <si>
    <t>A Study to Evaluate Safety and Efficacy of PBK_M2502</t>
  </si>
  <si>
    <t>NCT07209332</t>
  </si>
  <si>
    <t>Open-Label Extension Study of WVE-N531 in Patients With Duchenne Muscular Dystrophy</t>
  </si>
  <si>
    <t>NCT06894693</t>
  </si>
  <si>
    <t>A Phase I Clinical Trial of RS001 in Patients with Relapsed/Refractory B-Cell Malignancies</t>
  </si>
  <si>
    <t>NCT06972212</t>
  </si>
  <si>
    <t>Pharmacodynamic Study of 100mg Suzegtrigine vs Placebo in Healthy Male Adults</t>
  </si>
  <si>
    <t>NCT06846281</t>
  </si>
  <si>
    <t>Efficacy and Safety of Remibrutinib After Switching From Ocrelizumab in Participants Living With Relapsing Multiple Sclerosis.</t>
  </si>
  <si>
    <t>NCT07003919</t>
  </si>
  <si>
    <t>Safety Study of Viaskin® Peanut Patch in Peanut-Allergic Children 1 Through 3 Years of Age (COMFORT Toddlers)</t>
  </si>
  <si>
    <t>NCT06929663</t>
  </si>
  <si>
    <t>A Study of AK146D1 for Injection in the Treatment of Advanced Solid Tumors</t>
  </si>
  <si>
    <t>NCT06835296</t>
  </si>
  <si>
    <t>A Study of Oral YUQ-A1007 in Healthy Volunteers</t>
  </si>
  <si>
    <t>Allianthera (Suzhou) Biopharmaceuticals Co., Ltd.</t>
  </si>
  <si>
    <t>NCT06834100</t>
  </si>
  <si>
    <t>Assessment of Immunogenicity, Reactogenicity and Safety of the Drug GNG-DE in Comparison With the Reference Drug</t>
  </si>
  <si>
    <t>NCT07229599</t>
  </si>
  <si>
    <t>A Study of MHB036C Combined With Anti-tumor Therapies in Patients With Advanced Lung Cancer</t>
  </si>
  <si>
    <t>NCT07338214</t>
  </si>
  <si>
    <t>Investigating the Pharmacokinetics of Petrelintide Using Different Drug Product Concentrations</t>
  </si>
  <si>
    <t>NCT06881836</t>
  </si>
  <si>
    <t>A Study of ONO-2020 in Participants With Mild to Moderate Alzheimer's Disease</t>
  </si>
  <si>
    <t>NCT06939036</t>
  </si>
  <si>
    <t>Study of 225Ac-SS0110 in Subjects With ES-SCLC or MCC (SANTANA-225 )</t>
  </si>
  <si>
    <t>Ariceum Therapeutics GmbH</t>
  </si>
  <si>
    <t>NCT07133399</t>
  </si>
  <si>
    <t>A Study in Healthy People to Test How 2 Different Formulations of a Combination Treatment (Vicadrostat and Empagliflozin) Are Taken up in the Body and How Food Influences the Amount of the Medicines in the Blood</t>
  </si>
  <si>
    <t>NCT07140055</t>
  </si>
  <si>
    <t>A Research Study to Evaluate BLX-7006 in Healthy Adults</t>
  </si>
  <si>
    <t>Biolexis Therapeutics</t>
  </si>
  <si>
    <t>NCT06849778</t>
  </si>
  <si>
    <t>An Open-label Pharmacokinetic Study of TS-172 in Patients on Hemodialysis</t>
  </si>
  <si>
    <t>NCT07228325</t>
  </si>
  <si>
    <t>Comparative PK/PD of FMXIN002 and EpiPen, in Healthy Adults With Allergic Rhinitis</t>
  </si>
  <si>
    <t>NCT07043725</t>
  </si>
  <si>
    <t>A Clinical Study of Neoadjuvant Treatment With TQB2102 for Injection for Human Epidermal Growth Factor Receptor 2 (HER2) Positive Breast Cancer</t>
  </si>
  <si>
    <t>NCT07060989</t>
  </si>
  <si>
    <t>A Study of Safety, Tolerability and Preliminary Efficacy of NTS071 in Subjects With Advanced Solid Tumors Harboring a TP53 Y220C Mutation</t>
  </si>
  <si>
    <t>Nutshell Therapeutics (Shanghai) Co., LTD.</t>
  </si>
  <si>
    <t>NCT06731478</t>
  </si>
  <si>
    <t>Study of TDXd, Chemotherapy, Pembrolizumab, and Trastuzumab in First-Line Metastatic HER2-Positive Gastric or Gastroesophageal Junction Cancer</t>
  </si>
  <si>
    <t>NCT07159243</t>
  </si>
  <si>
    <t>Evaluate the Efficacy and Safety of HL-1186 in Patients With Diabetic Peripheral Neuropathic Pain</t>
  </si>
  <si>
    <t>NCT06395090</t>
  </si>
  <si>
    <t>A Study of Pembrolizumab in Combination With Investigational Agents in Pediatric and Young Adult Participants With Hematologic Malignancies or Solid Tumors (MK-9999-01B/LIGHTBEAM-U01)</t>
  </si>
  <si>
    <t>NCT07071974</t>
  </si>
  <si>
    <t>A Study in Healthy People to Compare How 2 Different Formulations of Survodutide Are Taken up in the Body</t>
  </si>
  <si>
    <t>NCT07268040</t>
  </si>
  <si>
    <t>A Trial of SHR-7787 Injection Combined With Other Anti-tumor Drugs in Patients With Malignant Solid Tumors</t>
  </si>
  <si>
    <t>NCT07021547</t>
  </si>
  <si>
    <t>A Study of LY3867070 in Healthy Participants</t>
  </si>
  <si>
    <t>NCT05803785</t>
  </si>
  <si>
    <t>Safety of BBC1501 Intravitreal Injection in Patients With Neovascular Age-Related Macular Degeneration (nAMD)</t>
  </si>
  <si>
    <t>Benobio Co., Ltd.</t>
  </si>
  <si>
    <t>NCT07133191</t>
  </si>
  <si>
    <t>A Trial to Compare What the Body Does to Selatogrel and the Effect of Selatogrel in Japanese and Caucasian Healthy Participants</t>
  </si>
  <si>
    <t>NCT06941818</t>
  </si>
  <si>
    <t>HS-IT101 Injection in the Treatment of Advanced Melanoma</t>
  </si>
  <si>
    <t>NCT06869018</t>
  </si>
  <si>
    <t>A Study of LY3549492 in Japanese Participants With Type 2 Diabetes Mellitus (T2D) and Healthy Japanese Participants</t>
  </si>
  <si>
    <t>NCT06891417</t>
  </si>
  <si>
    <t>Phase 1/2 Study of Chlamydia Trachomatis mRNA Vaccine in Adults Aged 18 to 29 Years</t>
  </si>
  <si>
    <t>NCT06449001</t>
  </si>
  <si>
    <t>Study of Danicopan as Add-on Treatment to Ravulizumab or Eculizumab in Pediatric Participants With PNH Who Have Clinically Significant Extravascular Hemolysis</t>
  </si>
  <si>
    <t>NCT06961565</t>
  </si>
  <si>
    <t>PAS-004 in Adults Who Have Neurofibromatosis Type 1 With Plexiform Neurofibromas</t>
  </si>
  <si>
    <t>NCT07229144</t>
  </si>
  <si>
    <t>OM336 in Seropositive Autoimmune Diseases</t>
  </si>
  <si>
    <t>NCT07218744</t>
  </si>
  <si>
    <t>Study Assessing the Mass Balance, Pharmacokinetics, and Metabolite Profiles of a Single Oral Dose of [14C]-INCB123667 in Healthy Male Participants</t>
  </si>
  <si>
    <t>NCT06738277</t>
  </si>
  <si>
    <t>This is Comparative Study in Normal Healthy Subjects to Evaluate Pharmacokinetics, Safety, Tolerability of Bmab 1200 -Autoinjector (AI) After Single Subcutaneous Injection (45 mg) in Comparison With Bmab 1200 -Prefilled Syringe (PFS).</t>
  </si>
  <si>
    <t>NCT06942767</t>
  </si>
  <si>
    <t>Combination of QLS31905, QL2107 and Chemotherapy as First-line Therapy in CLDN18.2-positive Unresectable Locally Advanced or Metastatic Gastric or Gastroesophageal Junction (GEJ) Adenocarcinoma</t>
  </si>
  <si>
    <t>NCT06924970</t>
  </si>
  <si>
    <t>A Dose-Finding Study of Tebapivat to Assess Efficacy, and Safety in Participants With Sickle Cell Disease (SCD)</t>
  </si>
  <si>
    <t>NCT07391241</t>
  </si>
  <si>
    <t>A Phase 2 Study to Evaluate the Efficacy and Safety of Pudafensine in Vulvodynia (Provoked Vestibulodynia)</t>
  </si>
  <si>
    <t>NCT06709612</t>
  </si>
  <si>
    <t>Postsurgical Analgesia After Hernia Repair</t>
  </si>
  <si>
    <t>AmacaThera Inc.</t>
  </si>
  <si>
    <t>NCT07060807</t>
  </si>
  <si>
    <t>A Clinical Study of Patritumab Deruxtecan to Treat Breast Cancer (MK-1022-016)</t>
  </si>
  <si>
    <t>NCT06890598</t>
  </si>
  <si>
    <t>Study of Olomorasib (LY3537982) in Combination With Standard of Care in Participants With Resected or Unresectable KRAS G12C-mutant Non-Small Cell Lung Cancer</t>
  </si>
  <si>
    <t>NCT07156565</t>
  </si>
  <si>
    <t>Actinium Therapy for Late-stage Aggressive Sarcomas</t>
  </si>
  <si>
    <t>NCT06820307</t>
  </si>
  <si>
    <t>Evaluation of the Effect of Suzetrigine (SUZ) on the Pharmacokinetics of Oral Contraceptives in Healthy Female Participants</t>
  </si>
  <si>
    <t>NCT07044336</t>
  </si>
  <si>
    <t>Puxitatug Samrotecan (AZD8205) Monotherapy vs Chemotherapy in B7-H4-selected Endometrial Cancer (Bluestar-Endometrial01)</t>
  </si>
  <si>
    <t>NCT07280832</t>
  </si>
  <si>
    <t>Phase I/II Clinical Study of JMT108 Injection for the Treatment of Advanced Malignant Melanoma</t>
  </si>
  <si>
    <t>NCT07206498</t>
  </si>
  <si>
    <t>A Study to Evaluate Safety and Efficacy of WSD0922-FU Combo With Osimertinib for NSCLC</t>
  </si>
  <si>
    <t>NCT06833281</t>
  </si>
  <si>
    <t>Extension Study of Participants From SPG302-ALZ-101</t>
  </si>
  <si>
    <t>NCT07141030</t>
  </si>
  <si>
    <t>Study of Pharmacokinetics and Safety of GZR18 Injection in Subjects With Renal Impairment and Normal Renal Function</t>
  </si>
  <si>
    <t>NCT07215520</t>
  </si>
  <si>
    <t>Safety and Tolerability of a Newcastle Disease Virus-Based Mucosal COVID-19 Vaccine in Previously Vaccinated Adults</t>
  </si>
  <si>
    <t>CastleVax Inc.</t>
  </si>
  <si>
    <t>NCT06482359</t>
  </si>
  <si>
    <t>Lot Consistency Study of COVID-19 and Influenza Combination Vaccine</t>
  </si>
  <si>
    <t>NCT06703203</t>
  </si>
  <si>
    <t>Phase I/II Clinical Trial of 26-valent Pneumococcal Conjugate Vaccine</t>
  </si>
  <si>
    <t>NCT06767527</t>
  </si>
  <si>
    <t>AK112 or Placebo Plus Nab-Paclitaxel as First-line Treatment in Inoperable Locally Advanced/ Metastatic Triple-negative Breast Cancer</t>
  </si>
  <si>
    <t>NCT07133750</t>
  </si>
  <si>
    <t>PM8002 (BNT327) in Combination With Chemotherapy in Patients With Metastatic Colorectal Cancer</t>
  </si>
  <si>
    <t>NCT07037459</t>
  </si>
  <si>
    <t>Maridebart Cafraglutide in Heart Failure With Preserved or Mildly Reduced Ejection Fraction and Obesity</t>
  </si>
  <si>
    <t>NCT06750588</t>
  </si>
  <si>
    <t>Safety and Tolerability of NTR-101 in Patients With Acute Alcohol-Associated Hepatitis</t>
  </si>
  <si>
    <t>Nterica Bio inc</t>
  </si>
  <si>
    <t>NCT06767046</t>
  </si>
  <si>
    <t>KRAS-Specific Autologous TCR-T Cell Therapy for KRAS Mutation in Advanced Solid Tumors</t>
  </si>
  <si>
    <t>NCT07061288</t>
  </si>
  <si>
    <t>A Study to Evaluate the Safety, Tolerability, and PK of an Injectable Form of KarXT</t>
  </si>
  <si>
    <t>NCT06707103</t>
  </si>
  <si>
    <t>Tissue Repair Gel in Venous Leg Ulcers in AU/US</t>
  </si>
  <si>
    <t>TR Therapeutics</t>
  </si>
  <si>
    <t>NCT06823427</t>
  </si>
  <si>
    <t>9MW2821 + Toripalimab vs 9MW2821 for 1st Line Locally Advanced or Metastatic Urothelial Carcinoma</t>
  </si>
  <si>
    <t>NCT07408024</t>
  </si>
  <si>
    <t>Safety and Efficacy of TollB-001 Tablets in Moderate to Severe Rheumatoid Arthritis</t>
  </si>
  <si>
    <t>NCT06429761</t>
  </si>
  <si>
    <t>Phase 4 Study to Assess the Safety of Trastuzumab Deruxtecan, in Indian Patients</t>
  </si>
  <si>
    <t>NCT06979674</t>
  </si>
  <si>
    <t>Study of ESG406 in Adults With Solid Tumors</t>
  </si>
  <si>
    <t>NCT07129382</t>
  </si>
  <si>
    <t>A Study to Evaluate the Efficacy and Safety of CS32582 in Participants With Moderate to Severe Plaque Psoriasis</t>
  </si>
  <si>
    <t>NCT06732323</t>
  </si>
  <si>
    <t>A Phase III Study of ESG401 for Unresectable Recurrent or Metastatic Triple-Negative Breast Cancer</t>
  </si>
  <si>
    <t>NCT07172646</t>
  </si>
  <si>
    <t>A Study of SRSD216 in Patients With Elevated Lipoprotein (a)</t>
  </si>
  <si>
    <t>NCT06840886</t>
  </si>
  <si>
    <t>A Study of PHST001 in Advanced Solid Tumors</t>
  </si>
  <si>
    <t>Pheast Therapeutics</t>
  </si>
  <si>
    <t>NCT07076446</t>
  </si>
  <si>
    <t>An Open-label, Multicenter Study to Assess the Pharmacokinetics (PK), Safety, and Tolerability of Subcutaneous IgPro20 in Immunoglobulin (IG) Treatment-naïve Participants With Primary Immunodeficiency (PID)</t>
  </si>
  <si>
    <t>NCT07029971</t>
  </si>
  <si>
    <t>A First-in-Human Study of BB-TL1A-VIAL-HLE in Healthy Adults and People With Ulcerative Colitis</t>
  </si>
  <si>
    <t>Vial Australia Pty Ltd</t>
  </si>
  <si>
    <t>NCT06947967</t>
  </si>
  <si>
    <t>Tucidinostat in Combination With CHOP in Newly Diagnosed Peripheral T-Cell Lymphoma With Follicular Helper of T Cell Phenotype</t>
  </si>
  <si>
    <t>NCT07193901</t>
  </si>
  <si>
    <t>A Study to Evaluate the Efficacy, Safety, and Pharmacokinetic Characteristics of (R)-Ketamine Hydrochloride Nasal Spray in Patients With Depression and Acute Suicidal Ideation or Behavior</t>
  </si>
  <si>
    <t>Sichuan Purity Pharmaceutical Technology Co., Ltd.</t>
  </si>
  <si>
    <t>NCT06699771</t>
  </si>
  <si>
    <t>Phase 1 to Investigate the Safety, Tolerability, and Efficacy of GCC2005 in Patients With R/R NK and T-cell Malignancies</t>
  </si>
  <si>
    <t>NCT07231081</t>
  </si>
  <si>
    <t>Phase I Study of TX103 CAR-T Cells in Participants With Advanced Solid Tumors</t>
  </si>
  <si>
    <t>NCT07221565</t>
  </si>
  <si>
    <t>Electromagnetic Immunotherapy Mapping and Cytokine Forecasting Study (QSIT)</t>
  </si>
  <si>
    <t>NCT06739707</t>
  </si>
  <si>
    <t>Subcutaneously Administered MD-18 for the Treatment of Obesity and Diabetes</t>
  </si>
  <si>
    <t>NCT06867107</t>
  </si>
  <si>
    <t>An Open-label Long-term Follow-up Study of SAT-3247 for Participants With Duchenne Muscular Dystrophy Including Those Who Participated in SAT-3247-CL-101</t>
  </si>
  <si>
    <t>NCT07229157</t>
  </si>
  <si>
    <t>Effect of Maridebart Cafraglutide on the Heart's Electrical Activity</t>
  </si>
  <si>
    <t>NCT07304700</t>
  </si>
  <si>
    <t>Clinical Study to Evaluate the Pharmacokinetics and Safety of CKD-383 0.5/10/1000mg in Healthy Volunteers</t>
  </si>
  <si>
    <t>NCT07199257</t>
  </si>
  <si>
    <t>A Study of GR1802 Injection in Patients With Seasonal Allergic Rhinitis.</t>
  </si>
  <si>
    <t>NCT07203001</t>
  </si>
  <si>
    <t>A Phase II Trial to Evaluate the Clinical Efficacy, Safety and Tolerability of MAS825 in Pediatric and Adult Participants With Still's Disease</t>
  </si>
  <si>
    <t>NCT07205328</t>
  </si>
  <si>
    <t>A Clinical Trial of MT200605 for the Treatment of Acute Ischemic Stroke</t>
  </si>
  <si>
    <t>NCT07226765</t>
  </si>
  <si>
    <t>Maridebart Cafraglutide Versus Placebo in Adult Participants With Obstructive Sleep Apnea Not on Positive Airway Pressure (PAP) Therapy</t>
  </si>
  <si>
    <t>NCT06818643</t>
  </si>
  <si>
    <t>A Study to Evaluate the Safety and Efficacy of MK-3120 in Participants With Advanced Solid Tumors (MK-3120-002)</t>
  </si>
  <si>
    <t>NCT06680752</t>
  </si>
  <si>
    <t>Clinical Study of ARD103 CAR-T Therapy for Patients With R/R AML or MDS</t>
  </si>
  <si>
    <t>ARCE Therapeutics, Inc.</t>
  </si>
  <si>
    <t>NCT07254806</t>
  </si>
  <si>
    <t>A Study to Evaluate the Effectiveness of IDCT (Intradiscal Cell Therapy) in Subjects With One Level, Symptomatic Mild to Moderate Lumbar Degenerative Disc Disease</t>
  </si>
  <si>
    <t>DiscGenics, Inc.</t>
  </si>
  <si>
    <t>NCT06833749</t>
  </si>
  <si>
    <t>Efficacy and Safety of KBP-336 in Obese Individuals with Osteoarthritis</t>
  </si>
  <si>
    <t>KeyBioscience AG</t>
  </si>
  <si>
    <t>NCT06793748</t>
  </si>
  <si>
    <t>Study to Evaluate the Safety, Tolerability, and Efficacy of PEP-TISSEEL in Subjects With Chronic Radiation Ulcer</t>
  </si>
  <si>
    <t>NCT06741098</t>
  </si>
  <si>
    <t>A Study of NCR100 Injection for the Treatment of Knee Osteoarthritis（ KOA）</t>
  </si>
  <si>
    <t>NCT07028632</t>
  </si>
  <si>
    <t>The Safety, Feasibility and Efficacy of NouvNeu001 for Parkinson's Disease</t>
  </si>
  <si>
    <t>NCT07246863</t>
  </si>
  <si>
    <t>Trial Investigating Visugromab and Nivolumab With or Without Docetaxel in 2L Treatment of Participants With Metastatic NSCLC</t>
  </si>
  <si>
    <t>NCT06891287</t>
  </si>
  <si>
    <t>An Early Phase Study of RT-114 (RaniPill Containing PG-102, a GLP-1/2 Dual Agonist) in Healthy Volunteers.</t>
  </si>
  <si>
    <t>NCT07268638</t>
  </si>
  <si>
    <t>A Study of Praliciguat in Participants With Focal Segmental Glomerulosclerosis (FSGS)</t>
  </si>
  <si>
    <t>NCT07007806</t>
  </si>
  <si>
    <t>Drug-drug Interaction Study of Omeprazole and Bemnifosbuvir/Ruzasvir</t>
  </si>
  <si>
    <t>NCT07232758</t>
  </si>
  <si>
    <t>Safety, Tolerability and Pharmacokinetic Studies of HRS-2183 for Injection in Healthy Chinese Subjects After Single and Multiple Administration</t>
  </si>
  <si>
    <t>NCT07030907</t>
  </si>
  <si>
    <t>A Study to Evaluate the Safety and Efficacy of OPB-101 in Platinum-resistant Ovarian Cancer</t>
  </si>
  <si>
    <t>Outpace Bio, Inc.</t>
  </si>
  <si>
    <t>NCT07301736</t>
  </si>
  <si>
    <t>Therapeutic Equivalence of CHF5993 pMDI 100/6/12.5 µg HFA-152a in Subjects With Mild to Moderate Asthma</t>
  </si>
  <si>
    <t>NCT07311993</t>
  </si>
  <si>
    <t>Phase 1 Study of CLR 125 in Triple Negative Breast Cancer</t>
  </si>
  <si>
    <t>NCT07049458</t>
  </si>
  <si>
    <t>Study of CHO-A04 in Advanced Solid Tumors</t>
  </si>
  <si>
    <t>NCT07146126</t>
  </si>
  <si>
    <t>A Phase III Study to Assess the Efficacy and Safety of PG-011 Nasal Spray in Adults With Moderate to Severe Seasonal Allergic Rhinitis</t>
  </si>
  <si>
    <t>NCT06998407</t>
  </si>
  <si>
    <t>ORION-1: Study of AVZO-023 as a Single Agent and in Combination With AVZO-021, and/or Endocrine Therapy in Advanced Solid Tumors</t>
  </si>
  <si>
    <t>NCT06890832</t>
  </si>
  <si>
    <t>A Study to Investigate Efficacy and Safety of Different Dose Regimen of Oral Cabazitaxel Tablet in Adult Participants with Prostate Cancer</t>
  </si>
  <si>
    <t>NCT06704347</t>
  </si>
  <si>
    <t>Safety Study of XT-150 in Participants With ALS</t>
  </si>
  <si>
    <t>NCT07266558</t>
  </si>
  <si>
    <t>A Study to Evaluate the Efficacy and Safety of mRNA-1283 and mRNA-1273 in Participants 50 to 64 Years of Age Without High-Risk Conditions for Severe Coronavirus Disease 2019 (COVID-19)</t>
  </si>
  <si>
    <t>NCT07047365</t>
  </si>
  <si>
    <t>TQB2930 Injection for the Treatment of HER2-positive Advanced Breast Cancer</t>
  </si>
  <si>
    <t>NCT06916130</t>
  </si>
  <si>
    <t>A Study to Compare PK/PD Characteristics and Safety Profiles Between AD-120 and AD-120A</t>
  </si>
  <si>
    <t>NCT06883630</t>
  </si>
  <si>
    <t>A Phase Ib Study of RC148 as Monotherapy or Combination for Locally Advanced or Metastatic NSCLC</t>
  </si>
  <si>
    <t>NCT07152730</t>
  </si>
  <si>
    <t>A Study to Measure Pharmacokinetic (PK) Concentrations of Gonadotropin-Releasing Hormone Delivered by the OmniPod Pump</t>
  </si>
  <si>
    <t>NCT07324304</t>
  </si>
  <si>
    <t>NWRD06 DNA Plasmid for HCC After Curative Resection.</t>
  </si>
  <si>
    <t>NCT06493552</t>
  </si>
  <si>
    <t>Modular Trial of sEphB4-HSA in EphrinB2-High Solid Tumors</t>
  </si>
  <si>
    <t>NCT07018492</t>
  </si>
  <si>
    <t>Phase 1 Study of BPN14770 in Participants With Hepatic Impairment and Healthy Controls</t>
  </si>
  <si>
    <t>NCT06787144</t>
  </si>
  <si>
    <t>ELVN-001 for the Treatment of Chronic Myeloid Leukemia With and Without T315I Mutation in Japanese Participants</t>
  </si>
  <si>
    <t>NCT07073534</t>
  </si>
  <si>
    <t>Phase I/II Clinical Study of SHR-1501 Combined With Adbelizumab in Patients With Malignant Tumors</t>
  </si>
  <si>
    <t>NCT06836063</t>
  </si>
  <si>
    <t>Study to Evaluate Efficacy and Safety of Ropanicant in MDD Patients</t>
  </si>
  <si>
    <t>NCT07138014</t>
  </si>
  <si>
    <t>FHND1002 for ALS Treatment: Phase 2</t>
  </si>
  <si>
    <t>NCT06973304</t>
  </si>
  <si>
    <t>A Study of Teduglutide in Chinese Adults With Short Bowel Syndrome</t>
  </si>
  <si>
    <t>NCT07121244</t>
  </si>
  <si>
    <t>A Phase 1 Study of 68Ga-R11228 and 177Lu-R11228 in Breast Cancer</t>
  </si>
  <si>
    <t>NCT06570798</t>
  </si>
  <si>
    <t>A Phase 2 Master Protocol Assessing Inebilizumab and Blinatumomab in Autoimmune Diseases</t>
  </si>
  <si>
    <t>NCT06961747</t>
  </si>
  <si>
    <t>A Study to Assess Zilucoplan Concentration in Breast Milk of Healthy Lactating Women</t>
  </si>
  <si>
    <t>NCT06727565</t>
  </si>
  <si>
    <t>Study of Novel Treatment Combination Therapies in Participants With Head and Neck Squamous Cell Carcinoma Regardless of PD-L1 Expression Status; Substudy-01</t>
  </si>
  <si>
    <t>NCT06831344</t>
  </si>
  <si>
    <t>A Study to Evaluate Two Vonoprazan Orally Disintegrating Tablet Formulations Administered Without Water or Mixed With Water and Administered Via a Syringe Relative to the Vonoprazan Tablet in Healthy Participants</t>
  </si>
  <si>
    <t>NCT07051993</t>
  </si>
  <si>
    <t>A Study to Evaluate the Relative Bioavailability of Two Tablet Formulations Compared to Capsule Formulation and the Effect of Food and Proton Pump Inhibitor on ZN-A-1041 Tablet(s) in Healthy Participants</t>
  </si>
  <si>
    <t>NCT06943521</t>
  </si>
  <si>
    <t>A Study of MT-4561 in Patients With Various Advanced Solid Tumors</t>
  </si>
  <si>
    <t>NCT06901830</t>
  </si>
  <si>
    <t>A Study of YZJ-4729 Tartrate Injection for the Treatment of Pain After Orthopedic Surgery</t>
  </si>
  <si>
    <t>NCT06979544</t>
  </si>
  <si>
    <t>A Study to Assess the Safety and Efficacy of Oral LPCN 1154A in Women With Severe PPD</t>
  </si>
  <si>
    <t>NCT06932263</t>
  </si>
  <si>
    <t>Dose Range Finding Study to Assess Efficacy and Safety of Tozorakimab in Adults With Uncontrolled Asthma on Medium-to-High Dose Inhaled Corticosteroids</t>
  </si>
  <si>
    <t>NCT06978114</t>
  </si>
  <si>
    <t>A Study of BL-B01D1+PD-1/PD-L1 Monoclonal Antibody in Patients With Advanced Biliary Tract Cancer</t>
  </si>
  <si>
    <t>NCT07136142</t>
  </si>
  <si>
    <t>A Phase I/II Clinical Study of FH-006 for Injection in Patients With Malignant Solid Tumors</t>
  </si>
  <si>
    <t>NCT07644442</t>
  </si>
  <si>
    <t>Study on [14C]HMPL-453（FGFR Inhibitor） in Healthy Chinese Adult Male Subjects</t>
  </si>
  <si>
    <t>NCT06784973</t>
  </si>
  <si>
    <t>Study of Obeldesivir to Treat Children With Respiratory Syncytial Virus (RSV) Infection</t>
  </si>
  <si>
    <t>NCT06840483</t>
  </si>
  <si>
    <t>Study of Zelenectide Pevedotin in Participants With Advanced Breast Cancer</t>
  </si>
  <si>
    <t>NCT07231120</t>
  </si>
  <si>
    <t>A Phase I Clinical Study Evaluating the Safety, Tolerability, Pharmacokinetic Characteristics, and Preliminary Efficacy of SXRN Injection in Patients With Cancer Cachexia</t>
  </si>
  <si>
    <t>NCT06832982</t>
  </si>
  <si>
    <t>Evaluating the Safety, Tolerability, Pharmacokinetics, Pharmacokinetics, and Preliminary Efficacy of FS-8002</t>
  </si>
  <si>
    <t>Shanghai Pushi Medical Science Co. Ltd</t>
  </si>
  <si>
    <t>NCT06663046</t>
  </si>
  <si>
    <t>Universal CAR-T Cells (REVO-UWD-00B) for Refractory and Relapsed Multiple Myeloma</t>
  </si>
  <si>
    <t>NCT07122583</t>
  </si>
  <si>
    <t>A Study to Assess Non-Invasive Subcutaneous Fat Reduction in the Submental, Inner Thigh and Back/Bra Areas With the CoolSculpting Elite System</t>
  </si>
  <si>
    <t>NCT07140341</t>
  </si>
  <si>
    <t>A Clinical Study to Assess the Effectiveness of ENO Lime in Participants With Ajeerna Vyadhi (Acidity, Acid Indigestion, Indigestion, and Associated Nausea)</t>
  </si>
  <si>
    <t>NCT07220460</t>
  </si>
  <si>
    <t>Study to Assess the Adverse Events of Oral ABBV-932 in Adult Participants With Depressive Episodes Associated With Bipolar I or II Disorder</t>
  </si>
  <si>
    <t>NCT06859762</t>
  </si>
  <si>
    <t>A First-in-Human Study of YL217 in Patients With Advanced Solid Tumors</t>
  </si>
  <si>
    <t>NCT07087054</t>
  </si>
  <si>
    <t>Carcinoid Syndrome Efficacy Study Featuring an Oral Daily Paltusotine Regimen</t>
  </si>
  <si>
    <t>NCT06979362</t>
  </si>
  <si>
    <t>A Research Study Comparing Different Doses of CDR132L With Placebo on the Structure and Function of the Heart in People With Heart Failure With Preserved Ejection Fraction and Left Ventricular Hypertrophy</t>
  </si>
  <si>
    <t>NCT06783686</t>
  </si>
  <si>
    <t>Evaluation of NV701 (Pilocarpine 1.25%) Compared With Vuity (Pilocarpine 1.25%) on Pupil Size in Subjects With Presbyopia</t>
  </si>
  <si>
    <t>Novus Vision LLC</t>
  </si>
  <si>
    <t>NCT06886269</t>
  </si>
  <si>
    <t>A Study to Evaluate How the Body Processes 14C-VX-993 After a Single Oral Dose</t>
  </si>
  <si>
    <t>NCT07052903</t>
  </si>
  <si>
    <t>TRITON-CM: A Study to Evaluate Nucresiran in Patients With Transthyretin Amyloidosis With Cardiomyopathy</t>
  </si>
  <si>
    <t>NCT07023341</t>
  </si>
  <si>
    <t>A Study to Learn More About How Well Aficamten Works in Japanese Participants With Symptomatic Obstructive Hypertrophic Cardiomyopathy</t>
  </si>
  <si>
    <t>NCT06227910</t>
  </si>
  <si>
    <t>A Study of Vedolizumab With and Without Upadacitinib in Adults With Crohn's Disease</t>
  </si>
  <si>
    <t>NCT07086313</t>
  </si>
  <si>
    <t>A Trial to Evaluate the Efficacy and Safety of EB-1020 in Pediatric Patients With ADHD</t>
  </si>
  <si>
    <t>NCT07069062</t>
  </si>
  <si>
    <t>A Phase I/Ⅱ Human Study of HY0001a for Injection in Adult Participants With Advanced Solid Tumors</t>
  </si>
  <si>
    <t>NCT06707090</t>
  </si>
  <si>
    <t>Tissue Repair Gel in Venous Leg Ulcers (US)</t>
  </si>
  <si>
    <t>NCT06957080</t>
  </si>
  <si>
    <t>A Study of 2 Doses of EYE103 Compared With Ranibizumab (0.5 mg) in Participants With DME</t>
  </si>
  <si>
    <t>NCT07107178</t>
  </si>
  <si>
    <t>A Clinical Study of BT02 for the Treatment of Patients With Advanced Malignant Melanoma</t>
  </si>
  <si>
    <t>NCT07066397</t>
  </si>
  <si>
    <t>A Phase 1 Study of FIT-CD19-CAR-T Cells in R/R B-ALL</t>
  </si>
  <si>
    <t>TriArm Therapeutics (Taiwan) Limited</t>
  </si>
  <si>
    <t>NCT06644924</t>
  </si>
  <si>
    <t>A Study Evaluating the Effect of Inhaled PT007(AS MDI) Versus Placebo MDI and Ventolin Evohaler on Lung Function in Adult Participants With Asthma</t>
  </si>
  <si>
    <t>NCT07029568</t>
  </si>
  <si>
    <t>A Study to See How Safe a New Medicine (NNC0705-0001) is in Healthy People</t>
  </si>
  <si>
    <t>NCT07128797</t>
  </si>
  <si>
    <t>a Safety, Tolerability, and Pharmacokinetic Trial of Multiple Subcutaneous Injections of B1344 Injection in Patients With Nonalcoholic Fatty Liver Disease（NAFLD）</t>
  </si>
  <si>
    <t>NCT07170917</t>
  </si>
  <si>
    <t>Brivekimig for the Treatment of Moderate to Severe Hidradenitis Suppurativa</t>
  </si>
  <si>
    <t>NCT06826040</t>
  </si>
  <si>
    <t>SKB445 for Injection in Solid Tumors</t>
  </si>
  <si>
    <t>NCT06851858</t>
  </si>
  <si>
    <t>Efficacy, Safety and Tolerability of AZD6234 in Participants Living With Overweight or Obesity With Type 2 Diabetes Who Are on a Stable Dose of GLP-1 Receptor Agonist</t>
  </si>
  <si>
    <t>NCT06980948</t>
  </si>
  <si>
    <t>Safety and Tolerability Study of ST-503 for Refractory Pain Due to Peripheral Neuropathy (Small Fiber Predominant, SFN)</t>
  </si>
  <si>
    <t>NCT07180355</t>
  </si>
  <si>
    <t>A Study of SGT-212 Gene Therapy in Friedreich's Ataxia</t>
  </si>
  <si>
    <t>NCT07327697</t>
  </si>
  <si>
    <t>A Comparative Phase 1 Study to Evaluate the Pharmacokinetic and Safety of QL2302 vs. Tezspire® in Healthy Subjects</t>
  </si>
  <si>
    <t>NCT07247110</t>
  </si>
  <si>
    <t>A Clinical Study of MK-4716 in People With Certain Solid Tumors (MK-4716-001)</t>
  </si>
  <si>
    <t>NCT07034768</t>
  </si>
  <si>
    <t>A Study to Evaluate EDG-7500 in People With Renal Impairment</t>
  </si>
  <si>
    <t>NCT06976190</t>
  </si>
  <si>
    <t>A Study of MRG003 in Combination With Pucotenlimab Versus Chemotherapy in the Treatment of Patients With Recurrent or Metastatic Nasopharyngeal Carcinoma</t>
  </si>
  <si>
    <t>NCT07087327</t>
  </si>
  <si>
    <t>A Long-term Trial of EB-1020 in Pediatric Patients With ADHD</t>
  </si>
  <si>
    <t>NCT06917079</t>
  </si>
  <si>
    <t>BBO-11818 in Adult Subjects With KRAS Mutant Cancer</t>
  </si>
  <si>
    <t>NCT06489340</t>
  </si>
  <si>
    <t>P2a Open Label Study to Evaluate 2-HPβCD in Subjects With Diabetic Kidney Disease</t>
  </si>
  <si>
    <t>ZyVersa Therapeutics, Inc.</t>
  </si>
  <si>
    <t>NCT06843590</t>
  </si>
  <si>
    <t>A Study to Evaluate the Safety and Effectiveness of ALKS 2680 in Subjects With Idiopathic Hypersomnia</t>
  </si>
  <si>
    <t>NCT07285213</t>
  </si>
  <si>
    <t>Prevention of Recurrent C. Difficile Infection Study With AZD5148 Monoclonal Antibody</t>
  </si>
  <si>
    <t>NCT06834360</t>
  </si>
  <si>
    <t>A Phase 3 Study to Assess the Efficacy, Safety, and Tolerability of Itepekimab (Anti-IL-33 mAb) in Participants With Inadequately-controlled Chronic Rhinosinusitis With Nasal Polyps</t>
  </si>
  <si>
    <t>NCT06873659</t>
  </si>
  <si>
    <t>SON-DP in Participants With Relapsed/Refractory Intolerant to Standard of Care Therapies for Advanced/Metastatic Solid Tumors</t>
  </si>
  <si>
    <t>NCT07223203</t>
  </si>
  <si>
    <t>TRITON-PN: A Study to Evaluate the Efficacy and Safety of Nucresiran in Patients With Hereditary Transthyretin Amyloidosis With Polyneuropathy</t>
  </si>
  <si>
    <t>NCT06899815</t>
  </si>
  <si>
    <t>Preliminary Human Trials of F230 Tablets</t>
  </si>
  <si>
    <t>NCT06740474</t>
  </si>
  <si>
    <t>A Study to Assess the Safety, Tolerability and Pharmacokinetics of ABI-6250 in Healthy Participants</t>
  </si>
  <si>
    <t>NCT07094113</t>
  </si>
  <si>
    <t>AMG 410 Alone and in Combination With Other Agents in Participants With KRAS Altered Advanced or Metastatic Solid Tumors</t>
  </si>
  <si>
    <t>NCT07096882</t>
  </si>
  <si>
    <t>SDTM001 Injection as Adjuvant Therapy for NSCLC Patients After Radical Surgical Resection</t>
  </si>
  <si>
    <t>Cytocraft Biopharmaceutical Co., Ltd.</t>
  </si>
  <si>
    <t>NCT06812260</t>
  </si>
  <si>
    <t>A Single-arm, Open-label, Phase II Study to Evaluate Efficacy, Safety and Pharmacokinetics of HLX10 + Chemotherapy in Patients With ES-SCLC</t>
  </si>
  <si>
    <t>NCT07284927</t>
  </si>
  <si>
    <t>Clinical Study of LV009 Injection for the Treatment of Hematologic and Lymphoid Malignancies</t>
  </si>
  <si>
    <t>NCT06961006</t>
  </si>
  <si>
    <t>A Clinical Study of Intismeran Autogene (V940) and Pembrolizumab (MK-3475) in People With Melanoma (V940-012/INTerpath-012)</t>
  </si>
  <si>
    <t>NCT07110584</t>
  </si>
  <si>
    <t>Dose Escalation and Dose Expansion Study of MDX2004 in Participants With Advanced Tumors</t>
  </si>
  <si>
    <t>NCT07223658</t>
  </si>
  <si>
    <t>Study of ARO-DIMERPA in Adult Participants With Mixed Hyperlipidemia</t>
  </si>
  <si>
    <t>NCT07225296</t>
  </si>
  <si>
    <t>A Single and Multiple Ascending Dose Study to Evaluate the Safety, Tolerability, Pharmacokinetics and Pharmacodynamics of GNS-3545 in Healthy Participants</t>
  </si>
  <si>
    <t>Genosco Inc.</t>
  </si>
  <si>
    <t>NCT06682806</t>
  </si>
  <si>
    <t>A Study of PRT3789 in Combination With Pembrolizumab in Patients With Advanced or Metastatic Solid Tumors With a SMARCA4 Mutation</t>
  </si>
  <si>
    <t>NCT06962852</t>
  </si>
  <si>
    <t>A Long-term Study to Monitor the Health Status of People With Cystic Fibrosis Who Took Part in a Previous Study With BI 3720931 (Lenticlair™-ON)</t>
  </si>
  <si>
    <t>NCT07167758</t>
  </si>
  <si>
    <t>A Study Evaluating TRIV-509 in Atopic Dermatitis</t>
  </si>
  <si>
    <t>Triveni Bio</t>
  </si>
  <si>
    <t>NCT07226258</t>
  </si>
  <si>
    <t>Phase III Study to Assess the Safety and Efficacy of SL1002 for Osteoarthritis Knee Pain</t>
  </si>
  <si>
    <t>NCT06693908</t>
  </si>
  <si>
    <t>A Study to Evaluate the Activity, and Safety of Vixarelimab in Participants With Moderate to Severe Active Ulcerative Colitis</t>
  </si>
  <si>
    <t>NCT06900816</t>
  </si>
  <si>
    <t>A Comparison Study Between Adolescents With Asthma and Adults With Asthma on How They Absorb, Metabolise and Eliminate CHF 6001</t>
  </si>
  <si>
    <t>NCT06281847</t>
  </si>
  <si>
    <t>An Adaptive Open-label Multicentre Phase 1/2 Trial, to Determine the Recommended Phase 2 Dose of CCTx-001, and to Assess Safety, Tolerability, and Clinical Activity in Patients With Relapsed/Refractory Acute Myeloid Leukaemia</t>
  </si>
  <si>
    <t>Advesya SAS</t>
  </si>
  <si>
    <t>NCT07100938</t>
  </si>
  <si>
    <t>A Study Investigating the Efficacy and Safety of BGB-45035 Versus Placebo in Adults With Moderate to Severe Active Rheumatoid Arthritis</t>
  </si>
  <si>
    <t>NCT07179640</t>
  </si>
  <si>
    <t>A Study to Assess Safety, Tolerability, Pharmacokinetics and Pharmacodynamics of ALE1 in Healthy Adults and Adults With Hypophosphatasia in Order to Identify Suitable Doses of ALE1</t>
  </si>
  <si>
    <t>Alesta Therapeutics</t>
  </si>
  <si>
    <t>NCT07292038</t>
  </si>
  <si>
    <t>Safety and Pharmacokinetics of NM6603 in Chinese Patients With Advanced Solid Tumors</t>
  </si>
  <si>
    <t>NCT06782555</t>
  </si>
  <si>
    <t>A Study of Evofosfamide in Combination with Zalifrelimab and Balstilimab</t>
  </si>
  <si>
    <t>NCT07116915</t>
  </si>
  <si>
    <t>A Phase I Study of the Safety, Tolerability, Pharmacokinetics, and Pharmacodynamics for a Single Dose of HRS-9821 Powder for Inhalation and Inhalation Suspension Administered in Healthy Subjects and Multiple Doses in Patients With COPD.</t>
  </si>
  <si>
    <t>NCT06975514</t>
  </si>
  <si>
    <t>Safety and Efficacy Study of YZJ-1139 Tablets in Insomnia Disorder</t>
  </si>
  <si>
    <t>NCT06870240</t>
  </si>
  <si>
    <t>A Randomised, Double-blind, Placebo-controlled Phase 2a Pilot Study to Evaluate the Safety, Tolerability, Pharmacokinetics and Pharmacodynamics of ONP-002 in Adults With Mild Traumatic Brain Injury</t>
  </si>
  <si>
    <t>Oragenics, Inc.</t>
  </si>
  <si>
    <t>NCT06764485</t>
  </si>
  <si>
    <t>A Study to Compare the Efficacy and Safety of BMS-986365 Versus the Investigator's Choice of Therapy in Participants With Metastatic Castration-resistant Prostate Cancer</t>
  </si>
  <si>
    <t>NCT06918743</t>
  </si>
  <si>
    <t>To Evaluate the Efficacy and Safety of RSS0393 Ointment in Patients With Plaque Psoriasis Phase II Study</t>
  </si>
  <si>
    <t>NCT06665035</t>
  </si>
  <si>
    <t>A Study of 2 Doses of Tetravalent Dengue Vaccine (TDV) in Infants and Toddlers</t>
  </si>
  <si>
    <t>NCT07362940</t>
  </si>
  <si>
    <t>A Phase Ⅰ/Ⅱa Clinical Study of GEN-725 in Combination With Dositinib</t>
  </si>
  <si>
    <t>NCT07215390</t>
  </si>
  <si>
    <t>A Phase 2, Randomized, Placebo Controlled, Multicenter, Masked Study to Evaluate the Efficacy, Safety, Tolerability, and Pharmacodynamics of Multidose APL 3007 in Combination With Syfovre/Pegcetacoplan (APL-2) in Patients Diagnosed With Geographic Atrophy Secondary to Age Related Macular Degeneratio</t>
  </si>
  <si>
    <t>NCT06767540</t>
  </si>
  <si>
    <t>A Clinical Study of AK120 in Adolescents With Moderate-to-severe Atopic Dermatitis</t>
  </si>
  <si>
    <t>NCT06934590</t>
  </si>
  <si>
    <t>Evaluate Safety and Tolerability of RX001 in Patients With KRAS Mutant Advanced NSCLC</t>
  </si>
  <si>
    <t>GeneCraft Inc.</t>
  </si>
  <si>
    <t>NCT07032662</t>
  </si>
  <si>
    <t>Imeroprubart in Adult Participants With Chronic Inflammatory Demyelinating Polyneuropathy (CIDP)</t>
  </si>
  <si>
    <t>NCT06979973</t>
  </si>
  <si>
    <t>A Drug-drug Interaction Study to Investigate the Pharmacokinetic Interactions Between CKD-508, Midazolam, and Rosuvastatin in Healthy Adult Male Participants</t>
  </si>
  <si>
    <t>NCT06809595</t>
  </si>
  <si>
    <t>A Phase 3 Trial of MM120 for Generalized Anxiety Disorder (Panorama)</t>
  </si>
  <si>
    <t>NCT06719973</t>
  </si>
  <si>
    <t>Phase 1 Study of M9466 Combined With Carboplatin and Platinum-based Anticancer Therapy (DDRiver 521)</t>
  </si>
  <si>
    <t>NCT06766929</t>
  </si>
  <si>
    <t>A Phase I Clinical Study of VSA012 in Healthy Volunteers</t>
  </si>
  <si>
    <t>Bisirna Therapeutics (Suzhou) Co., Ltd.</t>
  </si>
  <si>
    <t>NCT06638502</t>
  </si>
  <si>
    <t>Safety of HRX215 in Patients After Minor and Major Liver Resection</t>
  </si>
  <si>
    <t>HepaRegeniX GmbH</t>
  </si>
  <si>
    <t>NCT07055594</t>
  </si>
  <si>
    <t>A Study to Investigate Safety and Preliminary Efficacy of SOA101 in Adult Subjects With Advanced Solid Tumors</t>
  </si>
  <si>
    <t>NCT07110194</t>
  </si>
  <si>
    <t>Phase I Clinical Trial of TQB2825 Subcutaneous Injection in CD20-positive Hematological Malignancies</t>
  </si>
  <si>
    <t>NCT07266766</t>
  </si>
  <si>
    <t>Bioequivalence Study to Compare Empagliflozin / Metformin 25 mg/ 1000 mg Extended-Release Tablet Versus Synjardy XR Tablets 25mg/1000mg</t>
  </si>
  <si>
    <t>NCT06892145</t>
  </si>
  <si>
    <t>Clinical Trial of CD19 Targeted CAR-T Cell in Refractory Adult SLE</t>
  </si>
  <si>
    <t>NCT06744062</t>
  </si>
  <si>
    <t>A Study to Evaluate the Pharmacokinetics and the Safety After Administration of BR1015 and Co-administration of BR1015-1 and BR1015-2 in Healthy Volunteers Fed Conditions</t>
  </si>
  <si>
    <t>NCT06552169</t>
  </si>
  <si>
    <t>REgulatory T Cell Therapy to Achieve Immunosuppression REduction</t>
  </si>
  <si>
    <t>Singulera Therapeutics Inc.</t>
  </si>
  <si>
    <t>NCT07192666</t>
  </si>
  <si>
    <t>Exosomes in Patients With Ocular Involvement of Sjögren's Syndrome</t>
  </si>
  <si>
    <t>Guangdong ProCapZoom Biosciences Co., Ltd.</t>
  </si>
  <si>
    <t>NCT06795022</t>
  </si>
  <si>
    <t>First in Human Study to Evaluate AZD9793 in Participants With Advanced or Metastatic Solid Tumours</t>
  </si>
  <si>
    <t>NCT07137637</t>
  </si>
  <si>
    <t>HPB-092 for the Treatment of Relapsed and Refractory Acute Myeloid Leukemia</t>
  </si>
  <si>
    <t>Hangzhou Polymed Biopharmaceuticals, Inc.</t>
  </si>
  <si>
    <t>NCT07187531</t>
  </si>
  <si>
    <t>SAFety and Efficacy of Human Anti-thymocyte ImmunoGlobUlin SAB-142 ARresting Progression of Type 1 Diabetes</t>
  </si>
  <si>
    <t>NCT07331402</t>
  </si>
  <si>
    <t>A Clinical Study Evaluating the Pharmacokinetics and Pharmacodynamics of HSK39004 Inhalation Suspension in COPD Patients</t>
  </si>
  <si>
    <t>NCT05482295</t>
  </si>
  <si>
    <t>Immunogenicity and Safety Following In-House Recombinant Hepatitis B Vaccine in Indonesian Population (Phase III)</t>
  </si>
  <si>
    <t>NCT07326995</t>
  </si>
  <si>
    <t>Safety and Efficacy of PA9159 Inhalation Aerosol for the Treatment of Adult Bronchial Asthma</t>
  </si>
  <si>
    <t>NCT06581328</t>
  </si>
  <si>
    <t>A Study of Vedolizumab in Adults With Ulcerative Colitis or Crohn's Disease in the Community Setting</t>
  </si>
  <si>
    <t>NCT06701136</t>
  </si>
  <si>
    <t>Drug-Drug Interaction and Food Effect of Sudapyridine(WX-081) With Itraconazole and Rifampin in Healthy Chinese Adults</t>
  </si>
  <si>
    <t>NCT06733298</t>
  </si>
  <si>
    <t>A Study Investigating [14C]-Labeled RO7269162 in Healthy Male Participants</t>
  </si>
  <si>
    <t>NCT06942793</t>
  </si>
  <si>
    <t>A Study to Evaluate the Efficacy and Safety of Treatment With CsA-PG Ophthalmic Gel in Dry Eye Patients</t>
  </si>
  <si>
    <t>NCT06774664</t>
  </si>
  <si>
    <t>A Clinical Study of SCTC21C in Participants With Plasma Cell-driven Autoimmune Diseases</t>
  </si>
  <si>
    <t>NCT07116499</t>
  </si>
  <si>
    <t>A Study of K-645 in the Treatment of Multiple Migraine Attacks</t>
  </si>
  <si>
    <t>NCT06668493</t>
  </si>
  <si>
    <t>Low-grade UTUC Treated With Nadofaragene Firadenovec Administered to Renal Pelvis</t>
  </si>
  <si>
    <t>NCT07146971</t>
  </si>
  <si>
    <t>Clinical Evaluation of Skin Microbiome an Over-The-Counter (OTC) Drug for Atopic Dermatitis</t>
  </si>
  <si>
    <t>Good Molecules, LLC</t>
  </si>
  <si>
    <t>NCT06829563</t>
  </si>
  <si>
    <t>Evaluate the Safety, Tolerability, Pharmacokinetics and Pharmacodynamics of RZ-629 in Healthy Subjects and T2D</t>
  </si>
  <si>
    <t>Rezubio Pharmaceuticals Co., Ltd.</t>
  </si>
  <si>
    <t>NCT06907511</t>
  </si>
  <si>
    <t>Study to Evaluate the Safety and the Immunogenicity of a Second Generation Structurally Designed mRNA Vaccine Candidate Against Pandemic Influenza H5 HA Strain in Healthy Adult Participants Aged 18 Years and Older</t>
  </si>
  <si>
    <t>NCT06928363</t>
  </si>
  <si>
    <t>A First-in-human Study of KY-0301 in Patients With Advanced Solid Tumors.</t>
  </si>
  <si>
    <t>NCT07042828</t>
  </si>
  <si>
    <t>To Compare and Evaluate the Oral Bioavailability of Bilastine 20 mg Orally Dispersible Tablet With That of Bilaxten (Bilastine) 20 mg Orally Dispersible Tablet in Healthy, Adult, Human Subjects Under Fasting Conditions</t>
  </si>
  <si>
    <t>NCT06937619</t>
  </si>
  <si>
    <t>A Study to Assess the Relative Bioavailability of Risankizumab Following Subcutaneous Administration With On-Body Injector in Healthy Adult Participants</t>
  </si>
  <si>
    <t>NCT07272434</t>
  </si>
  <si>
    <t>Phase III Clinical Trial of the Recombinant Respiratory Syncytial Virus Vaccine ( CHO Cell)</t>
  </si>
  <si>
    <t>NCT06679634</t>
  </si>
  <si>
    <t>Retinoblastoma Phase II Expanded Access Clinical Trial</t>
  </si>
  <si>
    <t>NCT04480619</t>
  </si>
  <si>
    <t>Safety and Efficacy of Ga68-IAC PET/CT for Diagnosis and Clinical Management in Metastatic Breast Cancer Patients</t>
  </si>
  <si>
    <t>NCT07011992</t>
  </si>
  <si>
    <t>A Study to Assess the Effects of BPN14770 on Rosuvastatin</t>
  </si>
  <si>
    <t>NCT06699836</t>
  </si>
  <si>
    <t>The Phase-2 CCR5-targeting Leronlimab With Oral Chemotherapy and VEGF-inhibitor Enriched Regimen Trial (CLOVER)</t>
  </si>
  <si>
    <t>NCT05490030</t>
  </si>
  <si>
    <t>Pharmacokinetics of TNO155 in Participants With Mild, Moderate, or Severe Hepatic Impairment Compared to Matched Healthy Participants</t>
  </si>
  <si>
    <t>NCT06920719</t>
  </si>
  <si>
    <t>Bioequivalence Study betweenYHP2406 and YHR2501 in Healthy Subjects</t>
  </si>
  <si>
    <t>NCT07171619</t>
  </si>
  <si>
    <t>Evaluate the Effects of Famotidine or Rabeprazole on the PK of Nirogacestat</t>
  </si>
  <si>
    <t>NCT06840392</t>
  </si>
  <si>
    <t>A Phase 3 Study to Assess Efficacy Safety and Tolerability of Remibrutinib in Adult and Adolescent Patients With Moderate to Severe Hidradenitis Suppurativa</t>
  </si>
  <si>
    <t>NCT07205432</t>
  </si>
  <si>
    <t>Phase I Study of XTL6001 Injection in Healthy and Obese Subjects</t>
  </si>
  <si>
    <t>Shanghai Xitaili Biomedicine Technology co., Ltd.</t>
  </si>
  <si>
    <t>NCT06758401</t>
  </si>
  <si>
    <t>This is a Study to Learn About How the Combination of the Study Medicines Sigvotatug Vedotin Plus Pembrolizumab Works in People With Non-small Cell Lung Cancer With High Levels of PD-L1.</t>
  </si>
  <si>
    <t>NCT07260877</t>
  </si>
  <si>
    <t>A Multicenter, Randomized, Double-Blind, Placebo-Controlled, Phase 2a Study With an Open-Label Extension Evaluating the Efficacy and Safety of VENT-03 in Adult Participants With Active Cutaneous Lupus Erythematosus With or Without Systemic Lupus Erythematosus</t>
  </si>
  <si>
    <t>Ventus Therapeutics U.S., Inc.</t>
  </si>
  <si>
    <t>NCT07290569</t>
  </si>
  <si>
    <t>Dose Ranging Study of ORKA-001 in Patients With Moderate-to-Severe Plaque Psoriasis</t>
  </si>
  <si>
    <t>NCT07024823</t>
  </si>
  <si>
    <t>A Study to Investigate Safety, Tolerability, Pharmacokinetics, and Pharmacodynamics of AZD4248 in Healthy Participants and Participants With Chronic Kidney Disease and Type 2 Diabetes and to Assess Home Measurements of Creatinine in a Non Interventional Cohort</t>
  </si>
  <si>
    <t>NCT07109986</t>
  </si>
  <si>
    <t>UB-VV410 in Subjects With Active Refractory Systemic Lupus Erythematosus or Lupus Nephritis</t>
  </si>
  <si>
    <t>NCT06813651</t>
  </si>
  <si>
    <t>Safety, Tolerability and Efficacy of Adjunctive TBO-309 in Reperfusion for Stroke With Tandem Occlusion</t>
  </si>
  <si>
    <t>ThromBio Pty. Ltd.</t>
  </si>
  <si>
    <t>NCT07010159</t>
  </si>
  <si>
    <t>Phase 2/3 Study of KPL-387 in Recurrent Pericarditis</t>
  </si>
  <si>
    <t>NCT06993870</t>
  </si>
  <si>
    <t>Phase I Study of HBT-708 for Patients With Advanced Solid Tumors</t>
  </si>
  <si>
    <t>NCT06933329</t>
  </si>
  <si>
    <t>Zelenectide Pevedotin in NECTIN4 Amplified Advanced or Metastatic Non-small Cell Lung Cancer</t>
  </si>
  <si>
    <t>NCT07027982</t>
  </si>
  <si>
    <t>A Study to Evaluate the Pharmacokinetics and Safety of Diluted vs. Undiluted Intravenous DA-5217 in Healthy Adult Subjects</t>
  </si>
  <si>
    <t>NCT06841679</t>
  </si>
  <si>
    <t>Utidelone Capsule Combined With Fluoropyrimidine- and Platinum-containing Therapy in First-line Treatment of Patients With Gastric or Gastroesophageal Junction Adenocarcinoma</t>
  </si>
  <si>
    <t>NCT06871046</t>
  </si>
  <si>
    <t>Phase III Trial to Assess the Safety and Efficacy of TK-254RX in Patients With Contusions</t>
  </si>
  <si>
    <t>NCT07313761</t>
  </si>
  <si>
    <t>A Trial to Compare the Extent to Which Maridebart Cafraglutide (AMG 133) is Made Available in the Body When Administered Using Two Subcutaneous Presentations</t>
  </si>
  <si>
    <t>NCT07086105</t>
  </si>
  <si>
    <t>A Study to Evaluate Adze1.C in Participants With Metastatic Melanoma</t>
  </si>
  <si>
    <t>Adze Biotechnology Australia Pty Ltd</t>
  </si>
  <si>
    <t>NCT06732466</t>
  </si>
  <si>
    <t>Evaluation of the Effect of a Toothpaste Containing 0.3% Chlorhexidine in Subjects With Established Dental Plaque and Gingivitis</t>
  </si>
  <si>
    <t>NCT06886139</t>
  </si>
  <si>
    <t>A Phase 2 Study of TRS005 in Patients With CD20-positive R/R DLBCL.</t>
  </si>
  <si>
    <t>NCT07357831</t>
  </si>
  <si>
    <t>A Phase III Trial To Evaluate The Efficacy And Safety Of MC2-01 Cream Compared To CAL/BDP Gel and Vehicle In Plaque Psoriasis Subjects</t>
  </si>
  <si>
    <t>NCT01899833</t>
  </si>
  <si>
    <t>Efficacy and Saftey Study of 99mTc-ECDG in the Evaluation of Coronary Artery Disease (CAD)</t>
  </si>
  <si>
    <t>Cell&gt;Point LLC</t>
  </si>
  <si>
    <t>NCT07274813</t>
  </si>
  <si>
    <t>A Phase I Study to Evaluate the Safety, Tolerability, and PK of HLX37 in Advanced/Metastatic Solid Tumors</t>
  </si>
  <si>
    <t>NCT07198087</t>
  </si>
  <si>
    <t>A Study to Investigate the Pharmacokinetics of Tirabrutinib in Participants With Mild, Moderate, and Severe Hepatic Impairment Compared to Healthy Participants</t>
  </si>
  <si>
    <t>NCT05618925</t>
  </si>
  <si>
    <t>Study for Subjects With Relapsed/Refractory Non- Hodgkin Lymphoma</t>
  </si>
  <si>
    <t>NCT07014826</t>
  </si>
  <si>
    <t>A Trial of HRS-5965 Capsule in Primary IgA Nephropathy</t>
  </si>
  <si>
    <t>NCT06898515</t>
  </si>
  <si>
    <t>Fluid Management of Acute Decompensated Heart Failure Subjects Treated With Reprieve System (FASTR-II) (IDE-G210258)</t>
  </si>
  <si>
    <t>Reprieve Cardiovascular, Inc</t>
  </si>
  <si>
    <t>NCT06756035</t>
  </si>
  <si>
    <t>CT-95 in Advanced Cancers Associated With Mesothelin Expression</t>
  </si>
  <si>
    <t>NCT06612268</t>
  </si>
  <si>
    <t>A Study to Evaluate How Well Etavopivat Works in People With Sickle Cell Disease</t>
  </si>
  <si>
    <t>NCT06837233</t>
  </si>
  <si>
    <t>A Study to Assess the Efficacy and Safety of PG-011 Nasal Spray in Adults With Moderate to Severe Seasonal Allergic Rhinitis</t>
  </si>
  <si>
    <t>NCT06473974</t>
  </si>
  <si>
    <t>Open-label, Single-arm, Proof of Concept Study in Subjects with Mild-to-moderate Facial Hyperpigmentation</t>
  </si>
  <si>
    <t>Kayuraeffect, LLP</t>
  </si>
  <si>
    <t>NCT06703606</t>
  </si>
  <si>
    <t>A Study to Learn About How Changing Therapy From Emicizumab to Marstacimab Affects People With the Severe Hemophilia A.</t>
  </si>
  <si>
    <t>NCT07094516</t>
  </si>
  <si>
    <t>A Clinical Trial to Learn About the Effects of VHB937 in People With Early Alzheimer's Disease</t>
  </si>
  <si>
    <t>NCT07175038</t>
  </si>
  <si>
    <t>A Study of ROC-101 in Patients With Pulmonary Arterial Hypertension (PAH) and Pulmonary Hypertension Associated With Interstitial Lung Disease (ILD-PH) (ROCSTAR STUDY)</t>
  </si>
  <si>
    <t>AllRock Bio, Inc.</t>
  </si>
  <si>
    <t>NCT06100289</t>
  </si>
  <si>
    <t>A Study of Vedolizumab in Children and Teenagers With Ulcerative Colitis or Crohn's Disease</t>
  </si>
  <si>
    <t>NCT07221513</t>
  </si>
  <si>
    <t>Study of JK07 in Patients With Heart Failure and WHO Group 2 Combined Post- and Pre-Capillary Pulmonary Hypertension</t>
  </si>
  <si>
    <t>NCT07275840</t>
  </si>
  <si>
    <t>A Study to Evaluate the Efficacy and Safety of IBI302inSubjects With nAMD</t>
  </si>
  <si>
    <t>NCT07070518</t>
  </si>
  <si>
    <t>Study of GV20-0251 in Participants With Solid Tumor Malignancies</t>
  </si>
  <si>
    <t>NCT07581210</t>
  </si>
  <si>
    <t>Efficacy and Safety of QD202 in Participants With Acute Ischemic Stroke Undergoing Thrombolysis Excluding Endovascular Thrombectomy</t>
  </si>
  <si>
    <t>Shanghai QuietD Biotechnology Co., Ltd.</t>
  </si>
  <si>
    <t>NCT07241520</t>
  </si>
  <si>
    <t>Phase III Clinical Trial of SHPL-49 Injection in the Treatment of Acute Ischemic Stroke</t>
  </si>
  <si>
    <t>NCT07276282</t>
  </si>
  <si>
    <t>Effects of Ziltivekimab on Coronary Atherosclerotic Burden in Patients With Acute Myocardial Infarction</t>
  </si>
  <si>
    <t>ECRI bv</t>
  </si>
  <si>
    <t>NCT06821750</t>
  </si>
  <si>
    <t>A Study to Learn How Different Amounts of the Study Medicine Called PF-07314470 Are Tolerated and Act in the Body in Healthy Adults</t>
  </si>
  <si>
    <t>NCT07371650</t>
  </si>
  <si>
    <t>This is an Early-stage Clinical Trial to Determine a Safe and Effective Dose for Tivoxavir Marboxil in Patients With Mild to Moderate Influenza</t>
  </si>
  <si>
    <t>NCT06062810</t>
  </si>
  <si>
    <t>Bioequivalence ANDA SNP Clinical Study - Raloxifene and Single Nucleotide Polymorphisms</t>
  </si>
  <si>
    <t>NCT05482282</t>
  </si>
  <si>
    <t>Immunogenicity and Safety of DTP-HB-Hib Using New Hepatitis B Bulk (Bio Farma)</t>
  </si>
  <si>
    <t>NCT07096791</t>
  </si>
  <si>
    <t>A Phase 2 Study to Evaluate Efficacy and Safety of KH607 Tablets in Woman With Postpartum Depression</t>
  </si>
  <si>
    <t>NCT07204418</t>
  </si>
  <si>
    <t>A Study to Evaluate the Effects of CYP2D6 Phenotypes on the Pharmacokinetics of Xanomeline Following KarXT Administration in Healthy Adult Participants</t>
  </si>
  <si>
    <t>NCT06821542</t>
  </si>
  <si>
    <t>A Study to Evaluate Axatilimab Versus Best Available Therapy in Participants With Chronic Graft Versus Host Disease After at Least 2 Prior Lines of Systemic Therapy</t>
  </si>
  <si>
    <t>NCT07195591</t>
  </si>
  <si>
    <t>Beginning Radiation Immediately With GammaTile at GBM Excision Versus Standard of Care</t>
  </si>
  <si>
    <t>NCT06884891</t>
  </si>
  <si>
    <t>A Phase Ⅲ Comparative Study of QL2108 to Dupixent®</t>
  </si>
  <si>
    <t>NCT07253246</t>
  </si>
  <si>
    <t>ENX-205 SAD/PET Study in Healthy Adults</t>
  </si>
  <si>
    <t>NCT07140783</t>
  </si>
  <si>
    <t>OPI-NXYDLD-303 Safety and Efficacy of Phentolamine Ophthalmic Solution in Keratorefractive Surgery Participants With Decreased Mesopic Visual Acuity</t>
  </si>
  <si>
    <t>NCT07305818</t>
  </si>
  <si>
    <t>NEXUS Study: A Study to Test Single and Multiple Doses of MER511 Given to Adults With Graves' Disease</t>
  </si>
  <si>
    <t>Merida Biosciences</t>
  </si>
  <si>
    <t>NCT06965413</t>
  </si>
  <si>
    <t>A Study to Assess Efficacy, Safety, Tolerability, Pharmacokinetics (PK) and Pharmacodynamics (PD) of RO7204239 in Combination With Tirzepatide in Participants With Obesity or Overweight With At Least One Weight-related Comorbidity</t>
  </si>
  <si>
    <t>NCT06877624</t>
  </si>
  <si>
    <t>A Study Evaluating the Pharmacokinetics of Three QRL-101 Formulations in Healthy Participants</t>
  </si>
  <si>
    <t>NCT07162441</t>
  </si>
  <si>
    <t>A Two-arm, Open-label, Single-sequence, Multiple-dose, Cross-over Study to Evaluate the Pharmacokinetic Interaction and the Safety of UIC202502 and UIC202505 in Healthy Adult Volunteers</t>
  </si>
  <si>
    <t>NCT06852768</t>
  </si>
  <si>
    <t>Study of d-MAPPS™ Ophthalmic Solution, Safety, Tolerability, and Efficacy in the Treatment of Chronic Ocular Graft-Versus-Host Disease (oGVHD)</t>
  </si>
  <si>
    <t>Regenerative Ocular Immunobiologics LLC</t>
  </si>
  <si>
    <t>NCT07011524</t>
  </si>
  <si>
    <t>Study of CM512 Injection in Subjects With Moderate-to-severe Asthma</t>
  </si>
  <si>
    <t>NCT07284979</t>
  </si>
  <si>
    <t>Efficacy and Safety of KAI-9531 Administered Once Weekly Compared With Semaglutide and Placebo in Participants Living With Obesity Who Do Not Have Diabetes</t>
  </si>
  <si>
    <t>NCT06999603</t>
  </si>
  <si>
    <t>Phase 2 Study of Inhaled SNG001 in Mechanically Ventilated Patients With Respiratory Viral Infection</t>
  </si>
  <si>
    <t>NCT06933069</t>
  </si>
  <si>
    <t>Safety and Tolerability of CMAB017 In Patients With Advanced Solid Tumors</t>
  </si>
  <si>
    <t>NCT06702462</t>
  </si>
  <si>
    <t>A Study to Assess the Potential for Airway Sensitivity Reactions With Propellants HFA-152a (Test) and HFA-134a (Reference) Administered Via Pressurized Inhalers in Adults With Mild Asthma</t>
  </si>
  <si>
    <t>NCT06808646</t>
  </si>
  <si>
    <t>A Study to Assess the Effect of Ceftobiprole on the PK of Pitavastatin and on Plasma Levels of Coproporphyrin</t>
  </si>
  <si>
    <t>NCT07308769</t>
  </si>
  <si>
    <t>Efficacy and Tolerability of Sucrosomial® Iron vs Ferric Maltol in Iron Deficient Women</t>
  </si>
  <si>
    <t>Pharmanutra S.p.a.</t>
  </si>
  <si>
    <t>NCT06948318</t>
  </si>
  <si>
    <t>A Follow-up Study of Mezagitamab in Adults With Chronic Primary Immune Thrombocytopenia</t>
  </si>
  <si>
    <t>NCT07013279</t>
  </si>
  <si>
    <t>Evaluate the Efficacy and Safety of DWP712 With Moderate to Severe Glabellar Lines</t>
  </si>
  <si>
    <t>NCT07032688</t>
  </si>
  <si>
    <t>A Clinical Study to Evaluate the Pharmacokinetic and Pharmacodynamics Properties of of SHR-3167 in Subjects With Type 2 Diabetes</t>
  </si>
  <si>
    <t>NCT07182383</t>
  </si>
  <si>
    <t>Evaluating Bioequivalence of a Fixed Dose Combination Versus Individual Tablets of Bempedoic Acid, Ezetimibe, and Rosuvastatin</t>
  </si>
  <si>
    <t>NCT07269210</t>
  </si>
  <si>
    <t>A Study of Solbinsiran (LY3561774) in Participants With Severe Hypertriglyceridemia</t>
  </si>
  <si>
    <t>NCT07182682</t>
  </si>
  <si>
    <t>A Phase 3 Study of Sunvozertinib Versus Placebo as Adjuvant Therapy in Patients With Early-Stage Non-Small Cell Lung Cancer Harboring EGFR Exon 20 Insertion Mutations or PACC Mutations After Radical Surgery</t>
  </si>
  <si>
    <t>NCT06697223</t>
  </si>
  <si>
    <t>A Study to Assess Recovery and Survival of Radiolabeled Apheresis Platelet Components Treated With the INTERCEPT Blood System for Platelets With LED Illuminator.</t>
  </si>
  <si>
    <t>NCT06894862</t>
  </si>
  <si>
    <t>A Study of the Safety, Tolerability, and Pharmacokinetics of NYR-BI03 in Healthy Participants</t>
  </si>
  <si>
    <t>Nyrada Pty Ltd</t>
  </si>
  <si>
    <t>NCT07084961</t>
  </si>
  <si>
    <t>A Pharmacodynamic Study of TS-172 in Healthy Adult Male Subjects</t>
  </si>
  <si>
    <t>NCT07016269</t>
  </si>
  <si>
    <t>A Study to Evaluate the Efficacy and Safety of CnU Cap. 500 mg in Patients With Biliary Dyspepsia</t>
  </si>
  <si>
    <t>Myungmoon Pharma. Co. Ltd.</t>
  </si>
  <si>
    <t>NCT06620029</t>
  </si>
  <si>
    <t>BMX-001 + Paclitaxel in Adult Patients With Advanced, Recurrent, Metastatic Ovarian or Endometrial Cancer</t>
  </si>
  <si>
    <t>NCT07123519</t>
  </si>
  <si>
    <t>A Clinical Study of YTS109 Cells for the Treatment of R/R Autoimmune Diseases</t>
  </si>
  <si>
    <t>NCT07271251</t>
  </si>
  <si>
    <t>A Research Study to See if Two Different Formulations of Oral Semaglutide Are Equally Safe and Effective in Reducing the Blood Sugar Level in Japanese People With Type 2 Diabetes</t>
  </si>
  <si>
    <t>NCT06669975</t>
  </si>
  <si>
    <t>A Study of AP402 in HER2-Positive Patients With Locally or Advanced Solid Tumors</t>
  </si>
  <si>
    <t>NCT07215637</t>
  </si>
  <si>
    <t>Phase Ia/Ib Study of CKD-512 Alone and in Combination With Pembrolizumab in Subjects With Advanced or Metastatic Solid Tumors</t>
  </si>
  <si>
    <t>NCT07027527</t>
  </si>
  <si>
    <t>An Active Comparator Safety Study Evaluating the Combination of APG777 + APG990 in Moderate-to-Severe Atopic Dermatitis</t>
  </si>
  <si>
    <t>NCT07214766</t>
  </si>
  <si>
    <t>A Study to Assess the Bioequivalence of Trastuzumab Via Different Subcutaneous Delivery Platforms in Healthy Male Participants</t>
  </si>
  <si>
    <t>NCT06944522</t>
  </si>
  <si>
    <t>A Study to Investigate the Efficacy and Safety of Bemdaneprocel in Adults Who Have Parkinson's Disease</t>
  </si>
  <si>
    <t>NCT07201545</t>
  </si>
  <si>
    <t>Evaluating Bioequivalence of a Fixed Dose Combination Versus Tablets of Bempedoic Acid / Ezetimibe and Rosuvastatin</t>
  </si>
  <si>
    <t>NCT07206056</t>
  </si>
  <si>
    <t>An Open-label Dose Escalation and Expansion, Followed by a Phase II Study of Tulmimetostat (DZR123) and JSB462 (Luxdegalutamide) in Patients With Progressive Metastatic Castrate Resistant Prostate Cancer (mCRPC) (TulmiSTAR-01)</t>
  </si>
  <si>
    <t>NCT07178795</t>
  </si>
  <si>
    <t>A Study of BL-M07D1 vs Pembrolizumab-platinum Chemotherapy in First-line Treatment of HER2-mutant Advanced or Metastatic Non-squamous NSCLC</t>
  </si>
  <si>
    <t>NCT06839339</t>
  </si>
  <si>
    <t>Efficacy and Safety of AL-001 Ophthalmic Injection in Subjects with WAMD</t>
  </si>
  <si>
    <t>NCT07314541</t>
  </si>
  <si>
    <t>A Phase Ia Study of KMY Tablets in Healthy Subjects</t>
  </si>
  <si>
    <t>Lei Yunshang Group</t>
  </si>
  <si>
    <t>NCT06800729</t>
  </si>
  <si>
    <t>A Phase 1 Study to Evaluate Safety, Tolerability and Pharmacokinetics of TIX100 in Healthy Subjects</t>
  </si>
  <si>
    <t>TIXiMED, Inc.</t>
  </si>
  <si>
    <t>NCT07298395</t>
  </si>
  <si>
    <t>Study of ENV-294 in Adults With Moderate-to-Severe Atopic Dermatitis</t>
  </si>
  <si>
    <t>NCT06828328</t>
  </si>
  <si>
    <t>A Study of GC203 TIL in PDCA (RJ)</t>
  </si>
  <si>
    <t>NCT06953466</t>
  </si>
  <si>
    <t>Clinical Study of QRX003 Lotion in Subjects With Netherton Syndrome</t>
  </si>
  <si>
    <t>NCT06970301</t>
  </si>
  <si>
    <t>A Study to Assess the Safety and Tolerability, and Pharmacokinetics of UCB0022 in Healthy Caucasian, Japanese, and Chinese Participants</t>
  </si>
  <si>
    <t>NCT06980207</t>
  </si>
  <si>
    <t>A Phase 1, MAD Study to Evaluate the Safety, Tolerability and Pharmacokinetics of LY03017</t>
  </si>
  <si>
    <t>NCT07027072</t>
  </si>
  <si>
    <t>Study to Evaluate the Efficacy and Safety of KDS2010 in Patients With Alzheimer's Disease With Mild Cognitive Impairment and Mild Dementia Due to Alzheimer's Disease</t>
  </si>
  <si>
    <t>NCT07045454</t>
  </si>
  <si>
    <t>A Study of MHB118C Injection in Patients With Advanced Solid Tumors</t>
  </si>
  <si>
    <t>NCT06952075</t>
  </si>
  <si>
    <t>GR1803 Injection in Patients With RRMM</t>
  </si>
  <si>
    <t>NCT06740630</t>
  </si>
  <si>
    <t>A Study on the Immune Response and Safety of an Investigational Chickenpox Vaccine When Given to Healthy Children 12 to 15 Months of Age</t>
  </si>
  <si>
    <t>NCT06748053</t>
  </si>
  <si>
    <t>A Dose Finding Study With an Anti-TSLP Antibody (GSK5784283) in Adults Aged 18 to 75 Years of Age With Uncontrolled Asthma</t>
  </si>
  <si>
    <t>NCT06933472</t>
  </si>
  <si>
    <t>A Study of a Novel Iron-based Phosphate Binder AP301 in Patients With Hyperphosphatemia in the U.S. and China</t>
  </si>
  <si>
    <t>NCT06481475</t>
  </si>
  <si>
    <t>A Study to Investigate the Safety and Efficacy of YY003 in Adults With Moderate to Severe Glabellar Lines</t>
  </si>
  <si>
    <t>NCT06824519</t>
  </si>
  <si>
    <t>Clinical Trials of Quadrivalent Influenza Vaccine</t>
  </si>
  <si>
    <t>NCT07033845</t>
  </si>
  <si>
    <t>Pharmacokinetic Study of Topical Phenylephrine</t>
  </si>
  <si>
    <t>NCT07253675</t>
  </si>
  <si>
    <t>Evaluate the Safety and Immunogenicity of the MVA-SIBP Vaccine in the Democratic Republic of the Congo</t>
  </si>
  <si>
    <t>NCT07444307</t>
  </si>
  <si>
    <t>A Clinical Study of Dual-Target, Universal CAR-T Cell Therapy for Refractory Systemic Lupus Erythematosus</t>
  </si>
  <si>
    <t>Hangzhou Qihan Biotech Co., Ltd.</t>
  </si>
  <si>
    <t>NCT07116616</t>
  </si>
  <si>
    <t>A Study of mRNA-2808 in Participants With Relapsed or Refractory Multiple Myeloma</t>
  </si>
  <si>
    <t>NCT07235384</t>
  </si>
  <si>
    <t>A Phase 1/1b Study to Evaluate Safety, Tolerability and Pharmacokinetics of ZL-1503 in Healthy Volunteers and Participants With Moderate to Severe Atopic Dermatitis</t>
  </si>
  <si>
    <t>NCT07215663</t>
  </si>
  <si>
    <t>Clinical Study of Cizutamig in Systemic Lupus Erythematosus</t>
  </si>
  <si>
    <t>NCT06715085</t>
  </si>
  <si>
    <t>PRGF-ENDORET® Infiltrations in the Treatment of Low Back Pain.</t>
  </si>
  <si>
    <t>Biotechnology Institute IMASD</t>
  </si>
  <si>
    <t>NCT06450106</t>
  </si>
  <si>
    <t>Study of STM-416p Administered to Patients Undergoing Radical Prostatectomy</t>
  </si>
  <si>
    <t>NCT06892548</t>
  </si>
  <si>
    <t>A Clinical Study to Investigate the Efficacy and Safety of an Investigational Combination Therapy With BNT324 and BNT327 in Patients With Advanced Lung Cancer</t>
  </si>
  <si>
    <t>NCT07070440</t>
  </si>
  <si>
    <t>DZD6008 Combination Therapy in Patients With Locally Advanced or Metastatic NSCLC With EGFR Mutation (TIAN-SHAN7)</t>
  </si>
  <si>
    <t>NCT06760455</t>
  </si>
  <si>
    <t>A Safety and Tolerability Study of BPR-30221616 Injection in Healthy Subjects</t>
  </si>
  <si>
    <t>NCT06934226</t>
  </si>
  <si>
    <t>A Study to Assess Efficacy and Safety of JNJ-77242113 Compared to Placebo and Ustekinumab in Participants With Moderate to Severe Plaque Psoriasis</t>
  </si>
  <si>
    <t>NCT07112443</t>
  </si>
  <si>
    <t>A Study to Assess How Effective and Safe NVD003 is for Treating Patients With Congenital Pseudarthrosis of the Tibia.</t>
  </si>
  <si>
    <t>NCT07204340</t>
  </si>
  <si>
    <t>TLN-372 in Advanced KRAS Mutant Solid Tumors</t>
  </si>
  <si>
    <t>NCT06910358</t>
  </si>
  <si>
    <t>Study of Bitopertin in Participants With EPP or XLP (APOLLO)</t>
  </si>
  <si>
    <t>NCT07311226</t>
  </si>
  <si>
    <t>A First-in-human, Single-ascending-dose Study of IBI3033 in Healthy Participants</t>
  </si>
  <si>
    <t>NCT07083193</t>
  </si>
  <si>
    <t>A Study of AC-101 Tablets in Participants With Moderate to Severe Active Ulcerative Colitis</t>
  </si>
  <si>
    <t>NCT05046106</t>
  </si>
  <si>
    <t>MLC1501 Study Assessing Efficacy in STROke Recovery</t>
  </si>
  <si>
    <t>NCT07299747</t>
  </si>
  <si>
    <t>Clinical Trial of VBC103 in Patients With Advanced Malignant Solid Tumors</t>
  </si>
  <si>
    <t>NCT06846528</t>
  </si>
  <si>
    <t>A Study to Investigate the Pharmacokinetics of AZD2389 When Administered Alone and in Combination With Itraconazole in Healthy Participants</t>
  </si>
  <si>
    <t>NCT07259590</t>
  </si>
  <si>
    <t>A Study of GFH375 Combined With Cetuximab or Chemotherapy in Participants With Solid Tumors Harboring KRAS G12D Mutation</t>
  </si>
  <si>
    <t>NCT07288879</t>
  </si>
  <si>
    <t>DALY II Japan/MB-CART2019.1 for DLBCL</t>
  </si>
  <si>
    <t>NCT06942182</t>
  </si>
  <si>
    <t>Safety and Efficacy of Isomyosamine in Reducing Inflammation and Treating Muscle Loss in Older Adults After Hip or Thigh Bone Fractures</t>
  </si>
  <si>
    <t>NCT07260708</t>
  </si>
  <si>
    <t>Clinical Trial of TQB2922 Injection (Subcutaneous Injection) in Patients With Advanced Cancers</t>
  </si>
  <si>
    <t>NCT07235189</t>
  </si>
  <si>
    <t>A Study Evaluating Bioequivalence of a Fixed Dose Combination Versus Individual Tablets of Bempedoic Acid, Ezetimibe, and Atorvastatin</t>
  </si>
  <si>
    <t>NCT06862791</t>
  </si>
  <si>
    <t>A Weight Loss Study Evaluating Subcutaneous Treatment With AZD9550 and AZD6234 in Combination Against Placebo or Each of the Drugs Alone</t>
  </si>
  <si>
    <t>NCT06918808</t>
  </si>
  <si>
    <t>DB-3Q bmMSC-EVs in Patients With Perianal Fistulizing Crohn's Disease</t>
  </si>
  <si>
    <t>NCT07231679</t>
  </si>
  <si>
    <t>A Study to Investigate IGT-303 in Healthy Volunteers and Participants With Chronic Kidney Disease</t>
  </si>
  <si>
    <t>Ingenia Therapeutics INC</t>
  </si>
  <si>
    <t>NCT06981078</t>
  </si>
  <si>
    <t>A Study to Assess the Efficacy and Safety of Verekitug in Participants With COPD</t>
  </si>
  <si>
    <t>NCT06839235</t>
  </si>
  <si>
    <t>Phase 1/2 Study of ABO-101 in Primary Hyperoxaluria Type 1 (redePHine)</t>
  </si>
  <si>
    <t>Arbor Biotechnologies</t>
  </si>
  <si>
    <t>NCT07038720</t>
  </si>
  <si>
    <t>A Study of UA026 Tablets in Healthy Adult Subjects and Adult Subjects With Moderate to Severe Plaque Psoriasis</t>
  </si>
  <si>
    <t>Usynova Pharmaceuticals Ltd.</t>
  </si>
  <si>
    <t>NCT07222059</t>
  </si>
  <si>
    <t>Phase 3 Single Arm, Open Study on vYF in Adults</t>
  </si>
  <si>
    <t>NCT07483827</t>
  </si>
  <si>
    <t>A Clinical Trial to Test the Safety, Tolerability, and How the Body Processes CPV-104 in Healthy People and Patients With C3-Glomerulopathy</t>
  </si>
  <si>
    <t>eleva GmbH</t>
  </si>
  <si>
    <t>NCT06953323</t>
  </si>
  <si>
    <t>A Phase I/II Study of WJB001 Combination Therapy on Safety and Efficacy for Advanced Solid Tumors</t>
  </si>
  <si>
    <t>NCT06945523</t>
  </si>
  <si>
    <t>Clinical Study on Chimeric Antigen Receptor T Lymphocyte (CAR-T) Targeting CEA for the Treatment of CEA - Positive Advanced Lung Cancer</t>
  </si>
  <si>
    <t>NCT07273474</t>
  </si>
  <si>
    <t>A Study in Healthy Men and Women to Test How BI 3000202 is Taken up and Processed by the Body</t>
  </si>
  <si>
    <t>NCT06799065</t>
  </si>
  <si>
    <t>First-in-Human Study of ATX-295, an Oral Inhibitor of KIF18A, in Patients With Advanced or Metastatic Solid Tumors, Including Ovarian Cancer</t>
  </si>
  <si>
    <t>NCT07216131</t>
  </si>
  <si>
    <t>A Study to Investigate the Effect of AZD0780 on Metformin Pharmacokinetics in Healthy Adult Volunteers Aged 18 to 55 Years</t>
  </si>
  <si>
    <t>NCT06854445</t>
  </si>
  <si>
    <t>Clinical Trial of TQB2825 Injection Combined With Chemotherapy in Subjects With Diffuse Large B-cell Lymphoma</t>
  </si>
  <si>
    <t>NCT06858839</t>
  </si>
  <si>
    <t>Evaluation of Maridebart Cafraglutide in Adult Participants Without Type 2 Diabetes Mellitus Who Have Obesity or Are Overweight</t>
  </si>
  <si>
    <t>NCT05569239</t>
  </si>
  <si>
    <t>Efficacy, Immunogenicity and Safety of OVX836 Influenza Vaccine 480μg</t>
  </si>
  <si>
    <t>NCT07261371</t>
  </si>
  <si>
    <t>A Study to Compare Blood Levels of Different Dosage Formulations of the Study Medicine That Is a CGRP Receptor Antagonist in Healthy Adults</t>
  </si>
  <si>
    <t>NCT06801834</t>
  </si>
  <si>
    <t>Study of Sacituzumab Govitecan Versus Standard of Care in Participants With Previously Treated Extensive Stage Small Cell Lung Cancer</t>
  </si>
  <si>
    <t>NCT06941792</t>
  </si>
  <si>
    <t>Inclisiran Effectiveness in China: a Pragmatic Randomized Trial</t>
  </si>
  <si>
    <t>NCT07065136</t>
  </si>
  <si>
    <t>Evaluation of 627 in Healthy Adult Subjects</t>
  </si>
  <si>
    <t>NCT06741644</t>
  </si>
  <si>
    <t>A Phase I/II Study of CS2009 in Participants With Advanced Solid Tumors</t>
  </si>
  <si>
    <t>NCT06993844</t>
  </si>
  <si>
    <t>Phase 1/2 Study of ETX-636 in Participants With Advanced Solid Tumors</t>
  </si>
  <si>
    <t>Ensem Therapeutics</t>
  </si>
  <si>
    <t>NCT06775912</t>
  </si>
  <si>
    <t>Clinical Study on Targeted CD19/BCMA CAR-T Therapy for Autoimmune Diseases</t>
  </si>
  <si>
    <t>NCT06938867</t>
  </si>
  <si>
    <t>Phase 1b/2a Randomized Double-blind Study to Investigate Safety Tolerability PK PD Preliminary Efficacy of Oral Administration of SNIPR001 in Patients With Hematologic Malignancy Scheduled for Allogeneic Hematopoietic Stem-Cell Transplant Receiving FQ Prophylaxis &amp; Harboring FQR Ecoli Pre-Transplant</t>
  </si>
  <si>
    <t>NCT07043634</t>
  </si>
  <si>
    <t>A Study to Evaluate the Effect of Food or no Food on the Bioavailability of an Extended Release (ER) Torsemide and Spironolactone Fixed Dose Combination (FDC) Tablet in Healthy Adult Subjects</t>
  </si>
  <si>
    <t>NCT06385522</t>
  </si>
  <si>
    <t>A Clinical Trial in Adults With Non-Hodgkin Lymphoma (NHL), With a Particular Emphasis on Cutaneous T Cell Lymphoma (CTCL), Testing the Safety and Activity of a Novel Drug to Inhibit a Protein Called Tumor Necrosis Factor Receptor 2 That Drives Both Lymphoma Growth and Escape of the Immune System</t>
  </si>
  <si>
    <t>Boston Immune Technologies and Therapeutics</t>
  </si>
  <si>
    <t>NCT07324707</t>
  </si>
  <si>
    <t>Study on the Safety and Efficacy of PA9159 Inhalation Aerosol for the Treatment of Adult Bronchial Asthma</t>
  </si>
  <si>
    <t>NCT06773312</t>
  </si>
  <si>
    <t>BC001 in Combination with Sintilimab and XELOX in the Treatment of HER-2 Negative Advanced or Metastatic Gastric Cancer or Gastroesophageal Junction Adenocarcinoma.</t>
  </si>
  <si>
    <t>Sichuan Luzhou Buchang Biopharmaceutical Co., Ltd.</t>
  </si>
  <si>
    <t>NCT06429930</t>
  </si>
  <si>
    <t>Safety, Tolerability and Pharmacokinetics Study of L608 in Healthy Adults</t>
  </si>
  <si>
    <t>NCT07695207</t>
  </si>
  <si>
    <t>Safety and Efficacy Evaluation of SMZ1 With Ranibizumab in Patients With Neovascular Age-related Macular Degeneration Without Polypoidal Choroidal Vasculopathy</t>
  </si>
  <si>
    <t>SANGMYUNG innovation</t>
  </si>
  <si>
    <t>NCT06860243</t>
  </si>
  <si>
    <t>A Study to Evaluate Opevesostat (MK-5684) in Male Participants With Moderate Hepatic Impairment (MK-5684-009)</t>
  </si>
  <si>
    <t>NCT07141004</t>
  </si>
  <si>
    <t>A Study of Guselkumab Administered Subcutaneously in Treatment of Indian Participants With Psoriatic Arthritis (PsA)</t>
  </si>
  <si>
    <t>NCT06890533</t>
  </si>
  <si>
    <t>A Study of YZJ-4729 Tartrate Injection for the Treatment of Pain After Abdominal Surgery</t>
  </si>
  <si>
    <t>NCT07039578</t>
  </si>
  <si>
    <t>Study Evaluating the Efficacy and Safety of CM336 Injection in the Treatment of Light-Chain Amyloidosis</t>
  </si>
  <si>
    <t>NCT06895343</t>
  </si>
  <si>
    <t>A Study to Evaluate the Safety, Tolerability, Pharmacokinetics, and Immunogenicity of Single Ascending Subcutaneous or Intravenous Doses of ABBV-701 in Healthy Adult Western and Asian Participants</t>
  </si>
  <si>
    <t>NCT07205887</t>
  </si>
  <si>
    <t>A Dose-masked Study of Intravitreal EYE103 in Participants With NVAMD or Macular Edema Following BRVO</t>
  </si>
  <si>
    <t>NCT06982521</t>
  </si>
  <si>
    <t>Phase 3 Study of RLY-2608 + Fulvestrant vs Capivasertib + Fulvestrant as Treatment for Locally Advanced or Metastatic PIK3CA-mutant HR+/HER2- Breast Cancer</t>
  </si>
  <si>
    <t>NCT06716814</t>
  </si>
  <si>
    <t>Study to Provide Continued Access to Treatment for Patients Completing a Previous Trial With Efanesoctocog Alfa</t>
  </si>
  <si>
    <t>NCT07219849</t>
  </si>
  <si>
    <t>A Study to Determine the Optimal Dose and Frequency of ALDP001 Nasal Spray in Adults With Seasonal Allergic Rhinitis Under Allergen Exposure</t>
  </si>
  <si>
    <t>Alixer Nexgen Therapeutics Limited</t>
  </si>
  <si>
    <t>NCT07085104</t>
  </si>
  <si>
    <t>A Study to Investigate the Safety and Preliminary Efficacy of ALLO-329, an Allogeneic CAR T-cell Therapy, in Adults With Autoimmune Disease</t>
  </si>
  <si>
    <t>NCT06134414</t>
  </si>
  <si>
    <t>Study of Safety and Efficacy of MY008211A in in Patients With Paroxysmal Nocturnal Hemoglobinuria (PNH)</t>
  </si>
  <si>
    <t>NCT06929806</t>
  </si>
  <si>
    <t>Multi-center Trial of Ferric Derisomaltose Versus no Intravenous Iron in Iron-deficient Subjects With Symptomatic Chronic Heart Failure</t>
  </si>
  <si>
    <t>NCT07087158</t>
  </si>
  <si>
    <t>A Study of IBR854 Combined With Pazopanib Versus Pazopanib in Advanced Renal Cell Carcinoma</t>
  </si>
  <si>
    <t>NCT06953063</t>
  </si>
  <si>
    <t>A Study to Evaluate the Efficacy and Safety of DA-302168S Tablets in Overweight/Obese Subjects</t>
  </si>
  <si>
    <t>NCT07096193</t>
  </si>
  <si>
    <t>Study of GS-4321 in Healthy Participants and Participants With Chronic Hepatitis Delta Virus</t>
  </si>
  <si>
    <t>NCT07082114</t>
  </si>
  <si>
    <t>A Phase 3 Study to Evaluate Efficacy and Safety of HDM1002 Tablets in Adults With Type 2 Diabetes Mellitus</t>
  </si>
  <si>
    <t>NCT06959706</t>
  </si>
  <si>
    <t>Study Evaluating the Safety, Tolerability, Pharmacokinetics, and Preliminary Efficacy of TGW101 in Participants With Advanced Solid Tumors</t>
  </si>
  <si>
    <t>Tagworks Pharmaceuticals BV</t>
  </si>
  <si>
    <t>NCT06998771</t>
  </si>
  <si>
    <t>JSKN003 Combined Treatment of HER2-positive Gastric Cancer</t>
  </si>
  <si>
    <t>NCT06688331</t>
  </si>
  <si>
    <t>Treatment of Presymptomatic (Stage 1) Type 1 Diabetes Pediatric Patients With Treg Cell Preparations and Anti-CD20 Antibody</t>
  </si>
  <si>
    <t>PolTREG S.A.</t>
  </si>
  <si>
    <t>NCT06806137</t>
  </si>
  <si>
    <t>A Study on the Immune Response and Safety of the Second Dose of an Investigational Chickenpox Vaccine When Given to Healthy Children 3 Months After a First Dose at 12 to 15 Months of Age</t>
  </si>
  <si>
    <t>NCT06912295</t>
  </si>
  <si>
    <t>Assess the Safety, Tolerability, and Pharmacokinetics of HL-1186 in Healthy Participants</t>
  </si>
  <si>
    <t>NCT07211958</t>
  </si>
  <si>
    <t>Study of Revumenib in Combination With Intensive Chemotherapy in Newly Diagnosed Acute Myeloid Leukemia (AML) With a NPM1 Mutation</t>
  </si>
  <si>
    <t>NCT06701656</t>
  </si>
  <si>
    <t>JUST BREATHE, Breathing Life Into Innovative Therapies for ARDS- Cohort C: Bevacizumab</t>
  </si>
  <si>
    <t>NCT06410131</t>
  </si>
  <si>
    <t>Study in Patients With Advanced Solid Tumors to Evaluate the Safety of FTL008.16</t>
  </si>
  <si>
    <t>NCT07009353</t>
  </si>
  <si>
    <t>A Study to Learn How the Study Medicine Called [14C]PF-07054894 is Processed by the Body</t>
  </si>
  <si>
    <t>NCT06841445</t>
  </si>
  <si>
    <t>Efficacy and Safety of HRS9531 Tablet in Obese Subjects</t>
  </si>
  <si>
    <t>NCT06397131</t>
  </si>
  <si>
    <t>A Study to Determine the Safety and Efficacy of NT-501 With MHFM</t>
  </si>
  <si>
    <t>NCT07377045</t>
  </si>
  <si>
    <t>Clinical Trial of OMTX705 in Combination With Gemcitabine/Nab-Paclitaxel and Tislelizumab in Patients With Advanced/Metastatic Pancreatic Adenocarcinoma</t>
  </si>
  <si>
    <t>NCT07227012</t>
  </si>
  <si>
    <t>Symbiotic-GI-13: A Study to Learn About Study Medicine Called PF-08634404 as a Single Treatment and Combination Treatment in Adult Participants With a Liver Cancer Called Hepatocellular Carcinoma, That is Too Advanced to be Removed by Surgery and May Have Spread to Other Parts of the Body.</t>
  </si>
  <si>
    <t>NCT06668181</t>
  </si>
  <si>
    <t>An Open-label Study to Evaluate the Pharmacokinetics and Safety of Bimekizumab in Pediatric Study Participants With Active Juvenile Idiopathic Arthritis Subtypes Enthesitis-related Arthritis (Including Juvenile-onset Ankylosing Spondylitis) and Juvenile Psoriatic Arthritis</t>
  </si>
  <si>
    <t>NCT07002905</t>
  </si>
  <si>
    <t>A Study to Evaluate the Efficacy, Safety, and Tolerability in Participants With Obesity or Overweight With Weight-Related Comorbidities</t>
  </si>
  <si>
    <t>NCT06971939</t>
  </si>
  <si>
    <t>Phase 4 Study: Long-term Safety and Efficacy of NT-501 in MacTel Type 2, Including Sham Procedure Participants</t>
  </si>
  <si>
    <t>NCT07114601</t>
  </si>
  <si>
    <t>A Study of LY4257496 in Participants With Cancer (OMNIRAY)</t>
  </si>
  <si>
    <t>NCT06878001</t>
  </si>
  <si>
    <t>CaroRite™ for Skin Health and Signs of Ageing</t>
  </si>
  <si>
    <t>NCT06807281</t>
  </si>
  <si>
    <t>A Long-term Study of the Medicine Called Abrocitinib in Children Aged 2 Years and Older With Moderate to Severe Eczema</t>
  </si>
  <si>
    <t>NCT07616375</t>
  </si>
  <si>
    <t>A Study to Assess the Safety of HSK31858 in Participants With Non-Cystic Fibrosis Bronchiectasis</t>
  </si>
  <si>
    <t>NCT06806657</t>
  </si>
  <si>
    <t>Safety Study in Subjects ≥ 12 Years of Age With Hereditary Angioedema Switching to Garadacimab</t>
  </si>
  <si>
    <t>NCT06945445</t>
  </si>
  <si>
    <t>Study of SLN12140 in Healthy Adult Participants</t>
  </si>
  <si>
    <t>Linno Pharmaceuticals, Inc.</t>
  </si>
  <si>
    <t>NCT06522737</t>
  </si>
  <si>
    <t>A Study of Duvelisib Versus Gemcitabine or Bendamustine in Participants With Relapsed/Refractory Nodal T Cell Lymphoma With T Follicular Helper (TFH) Phenotype</t>
  </si>
  <si>
    <t>NCT06660654</t>
  </si>
  <si>
    <t>A Study of Raludotatug Deruxtecan in Participants With Advanced/Metastatic Solid Tumors (REJOICE-PanTumor01)</t>
  </si>
  <si>
    <t>NCT07115745</t>
  </si>
  <si>
    <t>A Study of Healthy Donor CD19-targeted Allogeneic CAR T Cells in Participants With Severe, Refractory Autoimmune Diseases</t>
  </si>
  <si>
    <t>NCT05889845</t>
  </si>
  <si>
    <t>Candin for the Treatment of Common Warts</t>
  </si>
  <si>
    <t>Nielsen BioSciences, Inc.</t>
  </si>
  <si>
    <t>NCT06834295</t>
  </si>
  <si>
    <t>A Study to Evaluate Metabolism, Excretion, and Mass Balance of [14C]Vapendavir</t>
  </si>
  <si>
    <t>NCT06791772</t>
  </si>
  <si>
    <t>Study of CM313(SC) Injection in Systemic Lupus Erythematosus(SLE)</t>
  </si>
  <si>
    <t>NCT06987695</t>
  </si>
  <si>
    <t>Efficacy and Safety of Maridebart Cafraglutide in Adult Participants in Japan Who Have Obesity Disease</t>
  </si>
  <si>
    <t>NCT07250802</t>
  </si>
  <si>
    <t>A Long-Term Study of Zasocitinib in Children and Teenagers With Plaque Psoriasis</t>
  </si>
  <si>
    <t>NCT06943937</t>
  </si>
  <si>
    <t>A Clinical Study of YTS109 Cell in R/R Systemic Lupus Erythematosus</t>
  </si>
  <si>
    <t>NCT06980272</t>
  </si>
  <si>
    <t>SSGJ-707 in Advanced Non-Small Cell Lung Cancer</t>
  </si>
  <si>
    <t>NCT06837922</t>
  </si>
  <si>
    <t>Clinical Trial of MG-K10 in Stage III of Moderate to Severe Asthma</t>
  </si>
  <si>
    <t>NCT07134231</t>
  </si>
  <si>
    <t>Clinical Study to Evaluate the Anti-cavity Efficacy of Three Dentifrices: An In Situ Model</t>
  </si>
  <si>
    <t>NCT07109531</t>
  </si>
  <si>
    <t>ASKC202 Combined With Limertinib Versus Platinum-based Chemotherapy in Treatment of Locally Advanced or Metastatic NSCLC With MET Amplification/Overexpression After Failure of EGFR-TKI Therapy</t>
  </si>
  <si>
    <t>NCT06686394</t>
  </si>
  <si>
    <t>Study of Patritumab Deruxtecan With Other Anticancer Agents in Participants With HER2 Positive Breast Cancer That Has Spread and Cannot Be Surgically Removed (MK-1022-009)</t>
  </si>
  <si>
    <t>NCT06852222</t>
  </si>
  <si>
    <t>A Study of Bleximenib, Venetoclax and Azacitidine For Treatment of Participants With Newly Diagnosed Acute Myeloid Leukemia (AML)</t>
  </si>
  <si>
    <t>NCT06744205</t>
  </si>
  <si>
    <t>A Study on the Safety and Immunogenicity of Hexavalent Influenza mRNA Vaccine in Adult Participants 50 Years of Age and Older</t>
  </si>
  <si>
    <t>NCT07231029</t>
  </si>
  <si>
    <t>A Pharmacokinetic Study of TS-172 in Patients With Hepatic Impairment</t>
  </si>
  <si>
    <t>NCT06991257</t>
  </si>
  <si>
    <t>A Study to Learn About the Study Medicine Called PF-07328948 in Adults With Heart Failure (BRANCH-HF)</t>
  </si>
  <si>
    <t>NCT07252739</t>
  </si>
  <si>
    <t>KEYMAKER-U01 Substudy 01J: A Study of Pembrolizumab Plus MK-1084 in Participants With Non-Small Cell Lung Cancer (NSCLC) With Kirsten Rat Sarcoma Viral Oncogene Homolog (KRAS) G12C Mutations (MK-3475-01J/KEYMAKER-U01J)</t>
  </si>
  <si>
    <t>NCT06722157</t>
  </si>
  <si>
    <t>A Study to Test Whether BI 771716 Helps People With an Advanced Form of Age-related Macular Degeneration (AMD) Called Geographic Atrophy</t>
  </si>
  <si>
    <t>NCT05082584</t>
  </si>
  <si>
    <t>Study to Evaluate the Safety and Efficacy of Oral Vadadustat in Pediatric Participants With Anemia of Chronic Kidney Disease Naive to Erythropoiesis-Stimulating Agents</t>
  </si>
  <si>
    <t>NCT06774963</t>
  </si>
  <si>
    <t>A Phase 1 Study of LNCB74 in Advanced Solid Tumors</t>
  </si>
  <si>
    <t>NCT06878404</t>
  </si>
  <si>
    <t>A Study to Evaluate the Efficacy and Safety of JNJ-77242113 (Icotrokinra) in Biologic-naïve Participants With Active Psoriatic Arthritis</t>
  </si>
  <si>
    <t>NCT07058116</t>
  </si>
  <si>
    <t>Accelerator-based BNCT (Boron Neutron Capture Therapy) for Head and Neck Carcinoma.</t>
  </si>
  <si>
    <t>Neutron Therapeutics, LLC</t>
  </si>
  <si>
    <t>NCT07003984</t>
  </si>
  <si>
    <t>A Safety and Immunogenicity Study of CHIKV VLP Vaccine in Children.</t>
  </si>
  <si>
    <t>NCT07005154</t>
  </si>
  <si>
    <t>A Phase 2 Study to Evaluate the Effects of ASP5541 in Participants With Prostate Cancer</t>
  </si>
  <si>
    <t>NCT07293754</t>
  </si>
  <si>
    <t>An Early Phase Trial of RPTR-1-201 in Advanced Solid Tumors</t>
  </si>
  <si>
    <t>NCT07246161</t>
  </si>
  <si>
    <t>Vaginal Detection of Orally Delivered Probiotic Strains in Healthy Women</t>
  </si>
  <si>
    <t>NCT07178327</t>
  </si>
  <si>
    <t>Phase I Clinical Study to Assess Safety, Tolerability, Pharmacokinetics, and Pharmacodynamics of Single and Multiple Doses of LYN101</t>
  </si>
  <si>
    <t>Shanghai TTM-Bio Technology Co., Ltd</t>
  </si>
  <si>
    <t>NCT07132983</t>
  </si>
  <si>
    <t>A Phase II Study to Assess the Pharmacokinetics, Pharmacodynamics, and Safety of Single Inhaled Doses of Ensifentrine-glycopyrrolate Fixed Dose Combination, Ensifentrine, and Glycopyrrolate in Subjects With Chronic Obstructive Pulmonary Disease</t>
  </si>
  <si>
    <t>NCT06988553</t>
  </si>
  <si>
    <t>A Phase Ib Study of AZD5004 in Chinese Participants With Overweight/Obesity With or Without Type 2 Diabetes Mellitus</t>
  </si>
  <si>
    <t>NCT07179237</t>
  </si>
  <si>
    <t>Efficacy of Carminal in Helicobacter Pylori Gastritis</t>
  </si>
  <si>
    <t>NCT07022002</t>
  </si>
  <si>
    <t>SSGJ-705 Monotherapy and Combination Therapy in Advanced HER2-Expressing Solid Tumors</t>
  </si>
  <si>
    <t>NCT07589439</t>
  </si>
  <si>
    <t>Dose-Ranging Study of LQ036 Single-Domain Antibody Nebulization Solution in Poorly Controlled Asthma</t>
  </si>
  <si>
    <t>Shanghai Novamab Biopharmaceuticals Co., Ltd.</t>
  </si>
  <si>
    <t>NCT07281872</t>
  </si>
  <si>
    <t>Bioequivalence Study of WP205 in Healthy Participants</t>
  </si>
  <si>
    <t>NCT06975605</t>
  </si>
  <si>
    <t>Phase 1, Open-label, Drug-drug Interaction Study to Assess Effect Between Radiprodil and the Co-administered Drugs.</t>
  </si>
  <si>
    <t>NCT07322094</t>
  </si>
  <si>
    <t>CATALINA-4: A Study to Investigate the Safety and Efficacy of TORL-1-23 With Chemotherapy Given Before Initial Surgery in Women With Advanced Stage Ovarian Cancer</t>
  </si>
  <si>
    <t>NCT07136766</t>
  </si>
  <si>
    <t>An 18-week Study to Evaluate a Test Product With a Marketed Prescription Product</t>
  </si>
  <si>
    <t>NCT06941844</t>
  </si>
  <si>
    <t>A Phase 3 Trial of DT120 for Major Depressive Disorder (Emerge)</t>
  </si>
  <si>
    <t>NCT07242781</t>
  </si>
  <si>
    <t>A Study to Evaluate the Effect of Itraconazole and Rifampin on the Drug Levels of AR-LDD (BMS-986365) in Healthy Adult Male Participants</t>
  </si>
  <si>
    <t>NCT06885567</t>
  </si>
  <si>
    <t>A Phase 2 Study to Evaluate the Safety and Efficacy of BEY2153 in Patients with Early Alzheimer's Disease</t>
  </si>
  <si>
    <t>NCT06579144</t>
  </si>
  <si>
    <t>Pharmacokinetic Comparison of Efanesoctocog Alfa vs Other EHL-rFVIII Products in Participants With Severe Haemophilia A</t>
  </si>
  <si>
    <t>NCT07112144</t>
  </si>
  <si>
    <t>Adsorption of Cell-free Diphtheria and Tetanus (Three-component) Combined With Vaccine Phase III Clinical Trial</t>
  </si>
  <si>
    <t>NCT07310134</t>
  </si>
  <si>
    <t>Study to Evaluate Safety, Tolerability, Pharmacokinetics, Pharmacodynamics and Efficacy of ZX-8177 in Patients With Advanced Solid Tumors</t>
  </si>
  <si>
    <t>NCT06980909</t>
  </si>
  <si>
    <t>The Food Effect on Pharmacokinetics Study of QLC1101 in Healthy Subjects</t>
  </si>
  <si>
    <t>NCT07149831</t>
  </si>
  <si>
    <t>A Clinical Trial Evaluating the Safety and Tolerability, Biodistribution and Radiation Dosimetry, and Pharmacokinetics of Flotufolastat F-18 Injection in Healthy Chinese Adults</t>
  </si>
  <si>
    <t>NCT06745622</t>
  </si>
  <si>
    <t>Long-term Safety and Tolerability of HSK39297 in Patients With Paroxysmal Nocturnal Hemoglobinuria</t>
  </si>
  <si>
    <t>NCT07672756</t>
  </si>
  <si>
    <t>A Clinical Study on the Safety and Tolerability of PL54 Injection in Adult Patients With Phenylketonuria (PKU)</t>
  </si>
  <si>
    <t>NCT06970756</t>
  </si>
  <si>
    <t>A Phase I Clinical Study to Evaluate the Safety of PCV26 in Individuals ≥60</t>
  </si>
  <si>
    <t>NCT06737731</t>
  </si>
  <si>
    <t>A Phase I/II Clinical Study of SHR-1681 for Injection in Patients With Advanced Solid Tumors</t>
  </si>
  <si>
    <t>NCT06692322</t>
  </si>
  <si>
    <t>A Study to Test How Zongertinib is Taken up in the Blood of People With and Without Liver Problems</t>
  </si>
  <si>
    <t>NCT07036029</t>
  </si>
  <si>
    <t>NAL ER IPF Respiratory Function and Safety Study</t>
  </si>
  <si>
    <t>NCT06976229</t>
  </si>
  <si>
    <t>Safety and Early Efficacy of iPSC-Derived Motor Neuron Progenitor Cells (XS228) in Subacute Spinal Cord Injury: A Phase I Trial</t>
  </si>
  <si>
    <t>XellSmart Bio-Pharmaceutical (Suzhou) Co., Ltd.</t>
  </si>
  <si>
    <t>NCT06975722</t>
  </si>
  <si>
    <t>A Study to Investigate the Efficacy and Safety of SAR442970 in Adult Participants With Ulcerative Colitis</t>
  </si>
  <si>
    <t>NCT07085468</t>
  </si>
  <si>
    <t>A Study of LY3549492 in Healthy Weight Adult Participants</t>
  </si>
  <si>
    <t>NCT06531018</t>
  </si>
  <si>
    <t>Role of Eltrombopag as First Line Therapy in Primary Immune Thrombocytopenia.</t>
  </si>
  <si>
    <t>Renata PLC</t>
  </si>
  <si>
    <t>NCT06836609</t>
  </si>
  <si>
    <t>A Study to Evaluate ALN-CIDEB in Adult Participants With Metabolic Dysfunction-Associated Steatotic Liver Disease or With Metabolic Dysfunction-Associated Steatohepatitis (MASLD/MASH)</t>
  </si>
  <si>
    <t>NCT06858878</t>
  </si>
  <si>
    <t>Efficacy and Safety of Maridebart Cafraglutide in Adult Participants With Type 2 Diabetes Mellitus Who Have Obesity or Are Overweight</t>
  </si>
  <si>
    <t>NCT07201064</t>
  </si>
  <si>
    <t>A Study of SZ1003 Injection in Patients With Advanced Hepatocellular Carcinoma</t>
  </si>
  <si>
    <t>NCT06823609</t>
  </si>
  <si>
    <t>Phase I Clinical Study of QLS-1304 in the Treatment of Patients With Advanced Malignant Tumors</t>
  </si>
  <si>
    <t>NCT07310264</t>
  </si>
  <si>
    <t>Research Into the Safety of a New Agent (VT-5006) in People With and Without Parkinson's Disease</t>
  </si>
  <si>
    <t>NCT07239895</t>
  </si>
  <si>
    <t>Treatment of Pediatric Bronchiolitis Obliterans by Airway Basal Stem Cells</t>
  </si>
  <si>
    <t>NCT06960577</t>
  </si>
  <si>
    <t>Perioperative Durvalumab With Neoadjuvant ddMVAC or Gemcitabine/Cisplatin in Patients With Muscle-invasive Bladder Cancer (NIAGARA-2)</t>
  </si>
  <si>
    <t>NCT06779045</t>
  </si>
  <si>
    <t>A Study of AK-1286 in Patients With Advanced Solid Tumors</t>
  </si>
  <si>
    <t>NCT06859294</t>
  </si>
  <si>
    <t>A Study of LY3541860 in Adult Participants With Moderately to Severely Active Rheumatoid Arthritis</t>
  </si>
  <si>
    <t>NCT07079631</t>
  </si>
  <si>
    <t>A Clinical Study to Test if an Investigational Treatment Called BNT314 When Used in Combination With Another Investigational Treatment Pumitamig (BNT327) and Chemotherapy, is Beneficial and Safe for Patients With Advanced Colorectal Cancer</t>
  </si>
  <si>
    <t>NCT06979453</t>
  </si>
  <si>
    <t>A Study to Evaluate the Efficacy, Safety, and Drug Levels of Deucravacitinib (BMS-986165) in Adolescent Participants With Moderate to Severe Plaque Psoriasis</t>
  </si>
  <si>
    <t>NCT07053345</t>
  </si>
  <si>
    <t>A Study of Esketamine Nasal Spray in Korean Participants With Treatment-resistant Depression</t>
  </si>
  <si>
    <t>NCT06659445</t>
  </si>
  <si>
    <t>Study to Evaluate Efficacy and Safety of ONL1204 in Patients With GA Associated With AMD</t>
  </si>
  <si>
    <t>NCT07024394</t>
  </si>
  <si>
    <t>Follow-up Study to Evaluate the Safety and Efficacy of FCN-159 in Pediatric Participants With Neurofibromatosis Type 1</t>
  </si>
  <si>
    <t>NCT07046494</t>
  </si>
  <si>
    <t>Study Evaluating the Efficacy and Safety of RAP-219 in Adult Participants With Bipolar I Disorder</t>
  </si>
  <si>
    <t>NCT07292402</t>
  </si>
  <si>
    <t>JSKN022 in Subjects With Advanced Malignant Solid Tumors</t>
  </si>
  <si>
    <t>NCT06764862</t>
  </si>
  <si>
    <t>Evaluating the Efficacy and Safety of of HSK44459 in People With Idiopathic Pulmonary Fibrosis</t>
  </si>
  <si>
    <t>NCT07220759</t>
  </si>
  <si>
    <t>Weight Loss in People Living With Overweight or Obesity and Type 2 Diabetes Following Treatment With Cagrilintide</t>
  </si>
  <si>
    <t>NCT07190196</t>
  </si>
  <si>
    <t>A 52-week Study of Rilzabrutinib Efficacy and Safety Compared to Placebo in Adults Diagnosed With IgG4-related Disease</t>
  </si>
  <si>
    <t>NCT05633446</t>
  </si>
  <si>
    <t>Next Generation T-cell Vaccine Against Coronavirus Disease (COVID-19)</t>
  </si>
  <si>
    <t>NCT07423286</t>
  </si>
  <si>
    <t>A Study to Understand What the Body Does to the Study Medicine Called PF-07248144 When Taken by Healthy Adults</t>
  </si>
  <si>
    <t>NCT06760546</t>
  </si>
  <si>
    <t>A Trial of Setmelanotide in Patients With Congenital Hypothalamic Obesity (Sub-study of NCT05774756)</t>
  </si>
  <si>
    <t>NCT06730061</t>
  </si>
  <si>
    <t>A Study of Elafibranor in Adult Japanese Participants With Primary Biliary Cholangitis (PBC)</t>
  </si>
  <si>
    <t>NCT07209761</t>
  </si>
  <si>
    <t>A Study of Quabodepistat-containing Regimens for the Treatment of Drug-resistant Pulmonary Tuberculosis</t>
  </si>
  <si>
    <t>NCT06767683</t>
  </si>
  <si>
    <t>A Long-Term Study of ALKS 2680 in Subjects With Narcolepsy and Idiopathic Hypersomnia</t>
  </si>
  <si>
    <t>NCT07142954</t>
  </si>
  <si>
    <t>Epidemiology and Biomarker Study in Alzheimer's Disease</t>
  </si>
  <si>
    <t>NCT06789861</t>
  </si>
  <si>
    <t>A First in Human Study of TT5 in Single and Multiple Ascending Doses in Healthy Volunteers and Surgical Patients</t>
  </si>
  <si>
    <t>Tafalgie Therapeutics</t>
  </si>
  <si>
    <t>NCT07017777</t>
  </si>
  <si>
    <t>A Study to Evaluate the Immunogenicity and Safety of 13-valent Pneumococcal Conjugate Vaccine (PCV13i) in Healthy Infants Aged 2 Months (Minimum 6 Weeks)</t>
  </si>
  <si>
    <t>NCT06993792</t>
  </si>
  <si>
    <t>A Master Protocol for Orforglipron (LY3502970) in Participants With Obesity or Overweight With and Without Type 2 Diabetes</t>
  </si>
  <si>
    <t>NCT06806592</t>
  </si>
  <si>
    <t>A Study to Test Whether Nerandomilast Helps People With Lungfibrosis Related to Rheumatic Diseases</t>
  </si>
  <si>
    <t>NCT06356571</t>
  </si>
  <si>
    <t>A Study to Investigate Subcutaneous Isatuximab in Combination With Weekly Carfilzomib and Dexamethasone in Adult Participants With Relapsed and/or Refractory Multiple Myeloma</t>
  </si>
  <si>
    <t>NCT04792034</t>
  </si>
  <si>
    <t>Pharmacokinetics, Safety, and Tolerability Study of GOPRELTO® Nasal Solution and NUMBRINO™ Nasal Solution</t>
  </si>
  <si>
    <t>Noden Pharma</t>
  </si>
  <si>
    <t>NCT06927999</t>
  </si>
  <si>
    <t>An Outpatient Study of the Efficacy of ARS-2 in Patients With Chronic Spontaneous Urticaria</t>
  </si>
  <si>
    <t>NCT07091630</t>
  </si>
  <si>
    <t>A Study to Assess the Efficacy and Safety of Empasiprubart in Adults With CIDP</t>
  </si>
  <si>
    <t>NCT06847334</t>
  </si>
  <si>
    <t>A Study to Compare the Efficacy, Safety, Immunogenicity, and Pharmacokinetic Profile of HLX17 Vs. Keytruda® in the First-Line Treatment of Advanced Non-squamous Non-small Cell Lung Cancer</t>
  </si>
  <si>
    <t>NCT06747351</t>
  </si>
  <si>
    <t>A Study to Compare TAK-881 and HYQVIA in Adults With Chronic Inflammatory Demyelinating Polyradiculoneuropathy (CIDP)</t>
  </si>
  <si>
    <t>NCT06744439</t>
  </si>
  <si>
    <t>A Study to Evaluate the Pharmacokinetics and the Safety After Administration of BR1015 and Co-administration of BR1015-3 and BR1015-2 Under Fed Conditions</t>
  </si>
  <si>
    <t>NCT06814119</t>
  </si>
  <si>
    <t>A Clinical Study of Calderasib (MK-1084) in Participants With Renal Impairment (MK-1084-010)</t>
  </si>
  <si>
    <t>NCT06991114</t>
  </si>
  <si>
    <t>AlloNK®, an Allogeneic Non-genetically Modified, Cord Blood-derived NK Cell Therapy, in Combination With Rituximab, Studied in Relapsing Forms of B-cell Dependent Rheumatologic Diseases.</t>
  </si>
  <si>
    <t>NCT07158411</t>
  </si>
  <si>
    <t>Evaluate the Effect of Vimseltinib on Organic Cation Transporter 2 (OCT2)</t>
  </si>
  <si>
    <t>NCT07138209</t>
  </si>
  <si>
    <t>A Study Comparing QLS32015 Monotherapy Versus Pomalidomide, Dexamethasone (Pd) or Selinexor, Dexamethasone (Sd) in Participants With Relapsed or Refractory Multiple Myeloma</t>
  </si>
  <si>
    <t>NCT06984094</t>
  </si>
  <si>
    <t>Safety and Immunogenicity Study of SCB-1022 and SCB-1033 in Healthy Older Adults</t>
  </si>
  <si>
    <t>NCT07104383</t>
  </si>
  <si>
    <t>VK2735 for Weight Management Type 2 Diabetes Phase 3 (VANQUISH 2)</t>
  </si>
  <si>
    <t>NCT07250594</t>
  </si>
  <si>
    <t>A Multi-dose Study on the Safety and Efficacy of Self-administered Intranasal AD17002 Treatment for Eosinophilic Asthma</t>
  </si>
  <si>
    <t>NCT07166094</t>
  </si>
  <si>
    <t>Study to Assess the Efficacy and Safety of Rina-S Compared to Treatment of Investigator's Choice in Participants With Endometrial Cancer</t>
  </si>
  <si>
    <t>NCT07498751</t>
  </si>
  <si>
    <t>Phase I PK and Safety Study of Ondansetron Inhalation Powder</t>
  </si>
  <si>
    <t>Luxena Pharmaceuticals, Inc.</t>
  </si>
  <si>
    <t>NCT07174583</t>
  </si>
  <si>
    <t>A Study of IDE849 in Patients With DLL3 Expressing Tumors Including Small Cell Lung Cancer</t>
  </si>
  <si>
    <t>NCT06609005</t>
  </si>
  <si>
    <t>A Study to Evaluate the Safety, Pharmacokinetics, Pharmacodynamics, and Antitumor Activity of INV-9956 in Adult Patients With Advanced Metastatic Castration Resistant Prostate Cancer</t>
  </si>
  <si>
    <t>NCT07244705</t>
  </si>
  <si>
    <t>A Study of ABT-301 Plus Tislelizumab With Bevacizumab in pMMR/Non-MSI-H Locally Advanced or mCRC</t>
  </si>
  <si>
    <t>NCT06900751</t>
  </si>
  <si>
    <t>A Study to Assess NEU-627 in Healthy Participants</t>
  </si>
  <si>
    <t>NCT06533098</t>
  </si>
  <si>
    <t>A Study of Nipocalimab or Intravenous Immunoglobulin (IVIG) in Pregnancies At Risk of Fetal and Neonatal Alloimmune Thrombocytopenia (FNAIT)</t>
  </si>
  <si>
    <t>NCT07475663</t>
  </si>
  <si>
    <t>Counterpain PXM Versus Diclofenac Versus Piroxicam</t>
  </si>
  <si>
    <t>NCT07193147</t>
  </si>
  <si>
    <t>Pharmacokinetic and Safety Study of GZR4 Injection in Subjects With Hepatic Impairment</t>
  </si>
  <si>
    <t>NCT07139548</t>
  </si>
  <si>
    <t>A Study of RAY1225 Versus Semaglutide as Add-on Therapy to Oral Antidiabetic Drugs in Participants With Type 2 Diabetes</t>
  </si>
  <si>
    <t>NCT06751485</t>
  </si>
  <si>
    <t>JSKN003 in Platinum-Resistant, Relapsed Epithelial Ovarian Cancer</t>
  </si>
  <si>
    <t>NCT07217015</t>
  </si>
  <si>
    <t>A Study of KT-621 Administered Orally to Participants With Moderate to Severe Atopic Dermatitis</t>
  </si>
  <si>
    <t>NCT07080775</t>
  </si>
  <si>
    <t>The Safety and Tolerability of XS411CN Injection in Treatment of Primary Parkinson's Disease</t>
  </si>
  <si>
    <t>NCT06745336</t>
  </si>
  <si>
    <t>Clinical Study of CS-001 As a Treatment for Canities (Grey Hair)</t>
  </si>
  <si>
    <t>NCT06741657</t>
  </si>
  <si>
    <t>A Study to Find Out How Litifilimab is Processed in the Body in Healthy Participants When Given Under the Skin in 3 Different Ways</t>
  </si>
  <si>
    <t>NCT05161637</t>
  </si>
  <si>
    <t>Phase 2/3 Study of TLC590 for Postsurgical Pain Management</t>
  </si>
  <si>
    <t>NCT07035769</t>
  </si>
  <si>
    <t>A First-in-Human Study to Evaluate Safety, Tolerability, and Pharmacokinetics of Single and Multiple Oral Doses of Debio 1453P in Healthy Adults</t>
  </si>
  <si>
    <t>NCT07230353</t>
  </si>
  <si>
    <t>A Phase 1b Open-label Study to Evaluate Safety of Plamotamab in Participants With Rheumatoid Arthritis</t>
  </si>
  <si>
    <t>NCT06922539</t>
  </si>
  <si>
    <t>Phase 1 Trial of ST-001 nanoFenretinide in Relapsed/ Refractory Small Cell Lung Cancer</t>
  </si>
  <si>
    <t>NCT06916702</t>
  </si>
  <si>
    <t>A Study to Test How Well Different Doses of BI 3031185 Are Tolerated by Healthy Men and Women</t>
  </si>
  <si>
    <t>NCT07023081</t>
  </si>
  <si>
    <t>A Study to Understand the Safety of the 20vPnC Vaccine in Healthy Chinese Adults, Children, and Infant</t>
  </si>
  <si>
    <t>NCT06771063</t>
  </si>
  <si>
    <t>A Study of the Efficacy and Safety of WXSH0102 in Treating VCC Patients</t>
  </si>
  <si>
    <t>Cisen Pharmaceutical CO., LTD.</t>
  </si>
  <si>
    <t>NCT04071821</t>
  </si>
  <si>
    <t>Relative Bioavailability Study to Evaluate Cetirizine HCl Gummy 10 mg and Cetirizine HCl Oral Tablets 10 mg</t>
  </si>
  <si>
    <t>Seattle Gummy Company</t>
  </si>
  <si>
    <t>NCT07287033</t>
  </si>
  <si>
    <t>Study to Evaluate the Safety, Pharmacokinetic, and Pharmacodynamic Effects of MY006 in Healthy Volunteers and Patients With Peanut Allergy</t>
  </si>
  <si>
    <t>Mabylon AG</t>
  </si>
  <si>
    <t>NCT06780033</t>
  </si>
  <si>
    <t>A Study to Evaluate ART101 in Adult Participants With Hypertension</t>
  </si>
  <si>
    <t>NCT06632600</t>
  </si>
  <si>
    <t>A Study of Efficacy, Safety, Tolerability of LXE408 in Participants With Chronic Chagas Disease.</t>
  </si>
  <si>
    <t>NCT07102719</t>
  </si>
  <si>
    <t>Pharmacokinetics and Safety of HD-P023 and Co-administration of Teneligliptin and Empagliflozin High in Healthy Volunteers</t>
  </si>
  <si>
    <t>NCT07106892</t>
  </si>
  <si>
    <t>Phase II, Open-label, Multicenter Study to Evaluate the Efficacy and Safety of HLX43 (an Anti-PD-L1 ADC) in Subjects With Advanced Colorectal Cancer</t>
  </si>
  <si>
    <t>NCT07029932</t>
  </si>
  <si>
    <t>A Phase 1 Study of the Safety and Tolerability of Single and Multiple Ascending Doses of BWC0977 in Healthy Volunteers</t>
  </si>
  <si>
    <t>NCT06920693</t>
  </si>
  <si>
    <t>Study to Investigate the Safety, Tolerability, and Pharmacokinetics of GB-7624 in Healthy Adult Participants</t>
  </si>
  <si>
    <t>NCT06704152</t>
  </si>
  <si>
    <t>BSB-1001 in Patients Undergoing HLA-Matched Allogenic Hematopoietic Stem Cell Transplant for AML, ALL or MDS</t>
  </si>
  <si>
    <t>BlueSphere Bio, Inc</t>
  </si>
  <si>
    <t>NCT07190716</t>
  </si>
  <si>
    <t>A Study to Evaluate the Safety of GR2301 Injection in Healthy Volunteers.</t>
  </si>
  <si>
    <t>NCT06955104</t>
  </si>
  <si>
    <t>Clinical Trial to Evaluate the Efficacy and Safety of Co-administration of JW0108+C2407 in Patients With Dyslipidemia</t>
  </si>
  <si>
    <t>NCT06720987</t>
  </si>
  <si>
    <t>A Study to Investigate the Safety and Efficacy of KQB365 as Monotherapy and in Combination in Participants With Advanced Solid Malignancies</t>
  </si>
  <si>
    <t>NCT06902428</t>
  </si>
  <si>
    <t>Evaluating the Efficacy and Safety of of HSK44459 in Patients With Behçet's Disease</t>
  </si>
  <si>
    <t>NCT07324434</t>
  </si>
  <si>
    <t>A Study to Evaluate the Safety, Tolerability and Pharmacokinetics of Oral F-02-2-Na Tablets in Adult Subjects</t>
  </si>
  <si>
    <t>Guangdong Hengqin Novagains Biopharmaceutical Co., Ltd.</t>
  </si>
  <si>
    <t>NCT07099898</t>
  </si>
  <si>
    <t>A Study of GSK5764227 in Participants With Relapsed Small Cell Lung Cancer (SCLC)</t>
  </si>
  <si>
    <t>NCT07166757</t>
  </si>
  <si>
    <t>Clinical Study to Evaluate XS411 in Treatment of Early-onset Parkinson's Disease</t>
  </si>
  <si>
    <t>NCT07019064</t>
  </si>
  <si>
    <t>A Study to Learn How BIIB141 (Omaveloxolone) is Processed in the Body When Taken as Capsules Compared to Sprinkled on Yogurt in Healthy Adults Aged 18 to 55</t>
  </si>
  <si>
    <t>NCT07174063</t>
  </si>
  <si>
    <t>A Phase I Study of JSB462 (Luxdegalutamide) in Japanese Patients With Metastatic Prostate Cancer</t>
  </si>
  <si>
    <t>NCT07282093</t>
  </si>
  <si>
    <t>Pharmacokinetics of Olverembatinib in Participants With Hepatic Impairment</t>
  </si>
  <si>
    <t>NCT07252414</t>
  </si>
  <si>
    <t>GenSci143 in Participants With Advanced Solid Tumors</t>
  </si>
  <si>
    <t>NCT06844214</t>
  </si>
  <si>
    <t>A Study to Investigate the Safety, Tolerability, and Efficacy of SAR446268, an Adeno-associated Viral Vector-mediated Gene Therapy in Participants Aged 10 to 55 Years of Age With Non-congenital Myotonic Dystrophy Type 1</t>
  </si>
  <si>
    <t>NCT07353957</t>
  </si>
  <si>
    <t>Study to Investigate Petosemtamab in Adults With Metastatic Non-Small Cell Lung Cancer</t>
  </si>
  <si>
    <t>NCT07174336</t>
  </si>
  <si>
    <t>A Study of Tersolisib (LY4064809/STX-478) With Other Anti-Cancer Treatments in Participants With Advanced Breast Cancer With a Genetic Change (PIK3CA)</t>
  </si>
  <si>
    <t>NCT07117487</t>
  </si>
  <si>
    <t>A Study of mRNA-1345 Following a Primary Dose of a Licensed Protein Subunit Respiratory Syncytial Virus (RSV) Vaccine in Adult Participants ≥60 Years of Age</t>
  </si>
  <si>
    <t>NCT07317063</t>
  </si>
  <si>
    <t>A Trial to Investigate Safety and Pharmacokinetics of GRT6019, Including Food Effect, in Healthy Male Participants</t>
  </si>
  <si>
    <t>NCT06667687</t>
  </si>
  <si>
    <t>Study to Evaluate Adverse Events, Change in Disease Activity, and How Intravenously Infused ABBV-291 Moves Through the Body in Adult Participants With Non-Hodgkin's Lymphoma</t>
  </si>
  <si>
    <t>NCT07624357</t>
  </si>
  <si>
    <t>Bioequivalence Study of Vortioxetine in 20 mg Coated Tablets in Healthy Subjects Under Fasting Conditions</t>
  </si>
  <si>
    <t>ADIUM</t>
  </si>
  <si>
    <t>NCT07266428</t>
  </si>
  <si>
    <t>A Study of OTP-01, a Dual Paratopic PD-1/VEGFR2 Antibody, in Patients With Advanced Solid Tumors</t>
  </si>
  <si>
    <t>Ottimo Pharma Limited</t>
  </si>
  <si>
    <t>NCT07221344</t>
  </si>
  <si>
    <t>Study of ARO-MAPT-SC in Healthy Participants and Participants With Early Alzheimer's Disease</t>
  </si>
  <si>
    <t>NCT06648668</t>
  </si>
  <si>
    <t>A Study to Investigate the Interaction Between TMP-301 and Cocaine.</t>
  </si>
  <si>
    <t>NCT06855147</t>
  </si>
  <si>
    <t>Mass Balance Study of [14C]HRS9531 in Healthy Male Subjects</t>
  </si>
  <si>
    <t>NCT06985615</t>
  </si>
  <si>
    <t>A Study of HDM1002 in Subjects With And Without Varying Degrees Of Hepatic Impairement</t>
  </si>
  <si>
    <t>NCT07024589</t>
  </si>
  <si>
    <t>First-in-Human Trial of Oral AN2-502998</t>
  </si>
  <si>
    <t>NCT07115043</t>
  </si>
  <si>
    <t>A Study to Investigate Safety of AZD6750 in Adult Participants With Select Advanced or Metastatic Solid Tumors</t>
  </si>
  <si>
    <t>NCT06826989</t>
  </si>
  <si>
    <t>A Study of MK-8527 in Healthy Adult Participants (MK-8527-013)</t>
  </si>
  <si>
    <t>NCT07203404</t>
  </si>
  <si>
    <t>A Study of Anti-CD19/BCMA Universal CAR-T Cell Therapy RD06-05 in Patients With Autoimmune Diseases.</t>
  </si>
  <si>
    <t>NCT07223138</t>
  </si>
  <si>
    <t>A Study to Evaluate the Long-term Safety, Tolerability, and Efficacy of Subcutaneous Sonelokimab in Participants With Psoriatic Arthritis</t>
  </si>
  <si>
    <t>NCT07287163</t>
  </si>
  <si>
    <t>Clinical Trial of Vormatrigine in Adult Patients With Epilepsy</t>
  </si>
  <si>
    <t>NCT07054606</t>
  </si>
  <si>
    <t>A Study to Evaluate Concomitant Perfluorohexyloctane Use With Contact Lens Wear</t>
  </si>
  <si>
    <t>NCT06764615</t>
  </si>
  <si>
    <t>A Continuation Study of TAK-279 in Adults With Ulcerative Colitis (UC) and Crohn's Disease (CD)</t>
  </si>
  <si>
    <t>NCT07235085</t>
  </si>
  <si>
    <t>A Study to Evaluate the Efficacy and Safety of OTX-TKI (Axitinib Implant) in Participants With Non-Proliferative Diabetic Retinopathy</t>
  </si>
  <si>
    <t>NCT07371663</t>
  </si>
  <si>
    <t>An Phase Ib/II Clinical Trial of TCC1727 Combination Therapy in Advanced Solid Tumors</t>
  </si>
  <si>
    <t>NCT06754852</t>
  </si>
  <si>
    <t>A Study Assessing HMB-002 in Participants With Von Willebrand Disease</t>
  </si>
  <si>
    <t>NCT07231458</t>
  </si>
  <si>
    <t>A Study to Test a New Immunotherapy, ABX-001, Alone and in Combination With the Marketed Drug, Pembrolizumab, for the Treatment of Tumors Previously Treated With Other Therapies</t>
  </si>
  <si>
    <t>Abalos Therapeutics GmbH</t>
  </si>
  <si>
    <t>NCT06985355</t>
  </si>
  <si>
    <t>A Study of MHB046C Injection in Patients With Advanced Solid Tumors</t>
  </si>
  <si>
    <t>NCT06738485</t>
  </si>
  <si>
    <t>Recombinant Single-chain Factor VIII (rVIII-SingleChain) in Chinese Participants With Hemophilia A Previously Treated With FVIII Products</t>
  </si>
  <si>
    <t>NCT06810804</t>
  </si>
  <si>
    <t>A Phase IIa Study to Evaluate NBQ72S</t>
  </si>
  <si>
    <t>Nantong Bencao Quadriga Medical Technology Co. Ltd.</t>
  </si>
  <si>
    <t>NCT06921317</t>
  </si>
  <si>
    <t>GVB-2001 Gene Therapy Via Intracameral Injection for the Treatment of Primary Open Angle Glaucoma</t>
  </si>
  <si>
    <t>NCT07295717</t>
  </si>
  <si>
    <t>A Study to Evaluate ALN-4285 in Adult Healthy Volunteers</t>
  </si>
  <si>
    <t>NCT06945406</t>
  </si>
  <si>
    <t>A Study of LY4057996 in Healthy Participants and Participants With Type 1 and Type 2 Diabetes</t>
  </si>
  <si>
    <t>NCT06983158</t>
  </si>
  <si>
    <t>A Clinical Trial of CAP-002 Gene Therapy in Pediatric Patients With Syntaxin-Binding Protein 1 (STXBP1) Encephalopathy</t>
  </si>
  <si>
    <t>NCT06792955</t>
  </si>
  <si>
    <t>The Evaluation of Bioequivalence Between a Single-dose Pen and a Multi-dose Pen of HRS9531 Injection Solution</t>
  </si>
  <si>
    <t>NCT07044960</t>
  </si>
  <si>
    <t>A Phase 1 Study of KHN702 Tablets in Healthy Subjects</t>
  </si>
  <si>
    <t>NCT07117435</t>
  </si>
  <si>
    <t>Paclitaxel Cationic Liposome (Hepatic Arterial Infusion) in Combination With Systemic Therapy as First-Line Treatment in Colorectal Liver Metastases</t>
  </si>
  <si>
    <t>NCT06748625</t>
  </si>
  <si>
    <t>Efficacy of a Multidomain Intervention on Lifestyle Risk Factors for Dementia Prevention</t>
  </si>
  <si>
    <t>LuciLab</t>
  </si>
  <si>
    <t>NCT07093138</t>
  </si>
  <si>
    <t>Evaluation of Efficacy and Safety of Topical Cannabidiol (Canvert-M Produced by Alasht Pharmed co. Iran) in the Treatment of Migraine Attacks</t>
  </si>
  <si>
    <t>Alasht Pharmed</t>
  </si>
  <si>
    <t>NCT06797297</t>
  </si>
  <si>
    <t>A Study to Evaluate the Efficacy and Safety of IBI363 Monotherapy Compared to Pembrolizumab in Patients With Unresectable Locally Advanced or Metastatic Mucosal or Acral Melanoma Who Had Not Previously Received Systemic Therapy</t>
  </si>
  <si>
    <t>NCT07016490</t>
  </si>
  <si>
    <t>A Phase 1 Study of SSGJ-709 in Patients With Advanced Malignant Tumors</t>
  </si>
  <si>
    <t>NCT06943950</t>
  </si>
  <si>
    <t>A Phase III Study of SYHX1901 Tablets in the Treatment of Moderate to Severe Plaque Psoriasis</t>
  </si>
  <si>
    <t>NCT07242274</t>
  </si>
  <si>
    <t>Phase 3 Trial of JMKX001899 Versus Docetaxel in Previously Treated Advanced or Metastatic KRAS G12C-Mutant NSCLC</t>
  </si>
  <si>
    <t>NCT07039890</t>
  </si>
  <si>
    <t>To Compare and Evaluate the Oral Bioavailability of Empagliflozin + Linagliptin 10 mg/5 mg Filmcoated Tablets With That of Glyxambi 10 mg/ 5 mg Film-coated Tablets in Healthy, Adult, Human Subjects Under Fasting Conditions.</t>
  </si>
  <si>
    <t>NCT07284420</t>
  </si>
  <si>
    <t>ADAPT Forward 1 - ISA1 - a Study to Evaluate Empasiprubart IV as add-on Therapy to Efgartigimod IV in Participants With AChR-Ab Seropositive Generalized Myasthenia Gravis With a Partial Clinical Response to Efgartigimod</t>
  </si>
  <si>
    <t>NCT07100106</t>
  </si>
  <si>
    <t>A Study to Evaluate the Effect of GDC-4198 Alone and in Combination With Giredestrant Versus Abemaciclib and Giredestrant in Participants With Locally Advanced or Metastatic Estrogen Receptor-Positive (ER+), Human Epidermal Growth Factor Receptor-Negative (HER2-) Breast Cancer</t>
  </si>
  <si>
    <t>NCT06994650</t>
  </si>
  <si>
    <t>A Multicenter, Randomized, Double-blind, Placebo-controlled Phase III Clinical Study to Evaluate the Efficacy and Safety of HRS9531 Injection in Subjects With Obstructive Sleep Apnea (OSA) and Obesity Who Are on Positive Airway Pressure Ventilation (PAP) Therapy</t>
  </si>
  <si>
    <t>NCT07219368</t>
  </si>
  <si>
    <t>A First-in-Human Single and Multiple Ascending Dose Study of MT-201</t>
  </si>
  <si>
    <t>NCT07220408</t>
  </si>
  <si>
    <t>Evaluation of TL-925 for the Treatment of Seasonal Allergic Conjunctivitis</t>
  </si>
  <si>
    <t>NCT07023289</t>
  </si>
  <si>
    <t>A Study to Assess Adverse Events and Change in Disease Activity in Adult Participants Receiving Intravenously Infused Telisotuzumab Adizutecan Alone or With Standard of Care in Participants With Post Adjuvant Circulating Tumor DNA Positive Colorectal Cancer and No Radiographic Evidence of Disease</t>
  </si>
  <si>
    <t>NCT07557004</t>
  </si>
  <si>
    <t>A Study of SH3765 Tablets in Combination With Fulvestrant in Patients With HR+/HER2- Advanced Breast Cancer.</t>
  </si>
  <si>
    <t>NCT06846515</t>
  </si>
  <si>
    <t>Phase 3 Evaluation of Efficacy and Safety of AR882 in Gout Patients (AR882-301)</t>
  </si>
  <si>
    <t>NCT07016516</t>
  </si>
  <si>
    <t>A Study to Learn About PRT-064040 Nasal Spray in Healthy Adult Subjects</t>
  </si>
  <si>
    <t>NCT07205289</t>
  </si>
  <si>
    <t>Serum Collection Study for Assay Development</t>
  </si>
  <si>
    <t>NCT07196124</t>
  </si>
  <si>
    <t>BCMA/GPRC5D CAR-T Therapy for Multiple Myeloma</t>
  </si>
  <si>
    <t>NCT06418061</t>
  </si>
  <si>
    <t>Study of IBI3005 in Subjects With Unresectable, Locally Advanced or Metastatic Solid Tumors</t>
  </si>
  <si>
    <t>NCT06474442</t>
  </si>
  <si>
    <t>A Phase Ⅱa Study of the Safety, Tolerability and Efficacy of BD111 in Herpes Simplex Virus Type I Stromal Keratitis</t>
  </si>
  <si>
    <t>NCT07277270</t>
  </si>
  <si>
    <t>A Study of GSK5764227 in Combination With Standard of Care (SoC) or Other Agents in Participants With Advanced Solid Tumors</t>
  </si>
  <si>
    <t>NCT06713369</t>
  </si>
  <si>
    <t>AZD5305 hADME in Patients With Advanced Solid Malignancies</t>
  </si>
  <si>
    <t>NCT07331194</t>
  </si>
  <si>
    <t>Pharmacokinetics and Bioequivalence Study of HMPL-523 Acetate Tablets in Humans</t>
  </si>
  <si>
    <t>NCT07260851</t>
  </si>
  <si>
    <t>Bioequivalence Study for the Safety and the Pharmacokinetics of DWJ1622, DWC202313, and DWC202314 in Healthy Volunteers Under Fasting Conditions</t>
  </si>
  <si>
    <t>NCT07221474</t>
  </si>
  <si>
    <t>A Study of Intismeran Autogene (V940)/Placebo + Pembrolizumab and Chemotherapy in Metastatic Squamous Non-Small Cell Lung Cancer (V940-013)</t>
  </si>
  <si>
    <t>NCT06897579</t>
  </si>
  <si>
    <t>Carboplatin/Cisplatin + Etoposide + Benmelstobart Sequential Benmelstobart Combined With Anlotinib Versus Carboplatin/Cisplatin + Etoposide + Tislelizumab Sequential Tislelizumab in the Treatment of Extensive Stage Small Cell Lung Cancer</t>
  </si>
  <si>
    <t>NCT07082842</t>
  </si>
  <si>
    <t>Confirmatory Clinical Study of HEC585 Tablets in Patients With IPF</t>
  </si>
  <si>
    <t>NCT07650383</t>
  </si>
  <si>
    <t>A Study to Evaluate ENERGI-F705 Tablets in Healthy Volunteers</t>
  </si>
  <si>
    <t>NCT06846710</t>
  </si>
  <si>
    <t>Evaluate the Safety and Pharmacokinetics/Pharmacodynamics of HS-20118</t>
  </si>
  <si>
    <t>NCT07361562</t>
  </si>
  <si>
    <t>A Study of a Selective ERBB2 Inhibitor (CGT4255), in Patients With Advanced Solid Tumors</t>
  </si>
  <si>
    <t>NCT07595003</t>
  </si>
  <si>
    <t>Efficacy, Safety, and Tolerability of 4-MUST, 128 mg Tablets in Chronic Cholecystitis and Biliary Dyskinesia</t>
  </si>
  <si>
    <t>NCT05960929</t>
  </si>
  <si>
    <t>InfasurfAero™ Versus Sham Treatment in Preterm Newborns With RDS</t>
  </si>
  <si>
    <t>ONY</t>
  </si>
  <si>
    <t>NCT06858579</t>
  </si>
  <si>
    <t>A Study to Evaluate the Efficacy and Safety of DNTH103 in Adults With Chronic Inflammatory Demyelinating Polyneuropathy (CAPTIVATE)</t>
  </si>
  <si>
    <t>NCT06807762</t>
  </si>
  <si>
    <t>Safety and Pharmacokinetics of Extrato de Cannabis Sativa GreenCare</t>
  </si>
  <si>
    <t>GreenCare Pharma</t>
  </si>
  <si>
    <t>NCT06850870</t>
  </si>
  <si>
    <t>Door-Through-Door Companion Rideshare Technology for Individuals With Alzheimer's Disease and Related Dementias (AD/ADRD)</t>
  </si>
  <si>
    <t>Onward Health, Inc</t>
  </si>
  <si>
    <t>NCT07487727</t>
  </si>
  <si>
    <t>A Study of AND017 to Evaluate Efficacy and Safety in Patients With Anemia Due to Non-Dialysis-Dependent Chronic Kidney Disease (NDD-CKD)</t>
  </si>
  <si>
    <t>NCT06268054</t>
  </si>
  <si>
    <t>Efficacy and Safety of DEH113 in the Treatment of Menstrual Cramp Pain Associated With Primary Dysmenorrhea</t>
  </si>
  <si>
    <t>NCT06924320</t>
  </si>
  <si>
    <t>A Study of MET233 in Combination With MET097 in Individuals With Obesity or Overweight With or Without Diabetes</t>
  </si>
  <si>
    <t>NCT07035379</t>
  </si>
  <si>
    <t>A Phase I/II Study of TRS005 in Combination With Cyclophosphamide, Doxorubicin, and Prednisone（T-CHP） in Previously Untreated Patients With CD20-positive DLBCL</t>
  </si>
  <si>
    <t>NCT07287189</t>
  </si>
  <si>
    <t>Phase 2 Study of SAT-3247 in Pediatric Ambulatory Patients</t>
  </si>
  <si>
    <t>NCT07048197</t>
  </si>
  <si>
    <t>A Study to Assess Safety, Cellular Kinetics and Exploratory Efficacy of Rapcabtagene Autoleucel in Rheumatoid Arthritis and Sjogren's Disease</t>
  </si>
  <si>
    <t>NCT06918925</t>
  </si>
  <si>
    <t>First-In-Human Study to Evaluate Single and Multiple Ascending Doses of JUV-161 in Healthy Adult Volunteers</t>
  </si>
  <si>
    <t>Juvena Therapeutics</t>
  </si>
  <si>
    <t>NCT06830850</t>
  </si>
  <si>
    <t>A Trial of HRS-5041-103 to Evaluate the Safety, Tolerability, Pharmacokinetics and Efficacy of HRS-5041 in Subjects With Metastatic Castration-resistant Prostate Cancer</t>
  </si>
  <si>
    <t>NCT07047989</t>
  </si>
  <si>
    <t>NWRD09 for HPV-16 Related Cervical HSIL</t>
  </si>
  <si>
    <t>NCT07032597</t>
  </si>
  <si>
    <t>A Study to Assess Safety and Effectiveness of HArmonyCa Lidocaine Injectable Gel for Restoration and/or Creation of Mid-Face Volume in Adult Participants</t>
  </si>
  <si>
    <t>NCT06996080</t>
  </si>
  <si>
    <t>A Phase 3 Study to Evaluate the Efficacy and Safety of Intravitreal KSI-101 in Participants With Macular Edema Secondary to Inflammation (MESI) - PINNACLE</t>
  </si>
  <si>
    <t>NCT06934408</t>
  </si>
  <si>
    <t>A Phase I Study to Evaluate the Safety, Tolerability, Pharmacokinetics and Pharmacodynamics of HRS-5817 Injection</t>
  </si>
  <si>
    <t>NCT06702280</t>
  </si>
  <si>
    <t>Assessing the Safety of an IGY Supplement on the Gut Microbiome</t>
  </si>
  <si>
    <t>Nimble Science Ltd.</t>
  </si>
  <si>
    <t>NCT07149857</t>
  </si>
  <si>
    <t>A Study to Evaluate Efficacy and Safety of Ciltacabtagene Autoleucel</t>
  </si>
  <si>
    <t>NCT07083401</t>
  </si>
  <si>
    <t>A Study to Evaluate the Pharmacokinetics and Safety Between "BR3006" and Co-administration of "BR3006A", "BR3006B", and "BR3006C" in Healthy Adult Volunteers (Fed)</t>
  </si>
  <si>
    <t>NCT07011719</t>
  </si>
  <si>
    <t>Study of Casdatifan and Cabozantinib Versus Placebo and Cabozantinib in Patients With Advanced Clear Cell Renal Cell Carcinoma</t>
  </si>
  <si>
    <t>NCT07694011</t>
  </si>
  <si>
    <t>Bioequivalence Study Comparing Two Pomalidomide 4 mg Capsule Formulations in Healthy Male Subjects</t>
  </si>
  <si>
    <t>Knight Therapeutics (USA) Inc</t>
  </si>
  <si>
    <t>NCT06887803</t>
  </si>
  <si>
    <t>A Study of Roginolisib in Combination With Ruxolitinib in Patients With Myelofibrosis (MF) Who Are Unresponsive to JAK Inhibitors</t>
  </si>
  <si>
    <t>NCT06095986</t>
  </si>
  <si>
    <t>A Study Evaluating the Safety, Tolerability, and Efficacy of Aramchol Meglumine in Primary Sclerosing Cholangitis</t>
  </si>
  <si>
    <t>NCT07186842</t>
  </si>
  <si>
    <t>A Clinical Trial to Test if the Investigational Drug BNT329 is Safe and Potentially Beneficial for People With Advanced Solid Tumors Known to Express the Tumor Marker CA19-9</t>
  </si>
  <si>
    <t>NCT06585774</t>
  </si>
  <si>
    <t>A Study to Evaluate Axatilimab and Corticosteroids as Initial Treatment for Chronic Graft-Versus-Host Disease</t>
  </si>
  <si>
    <t>NCT05918783</t>
  </si>
  <si>
    <t>Padeliporfin VTP Using Robotic Assisted Bronchoscopy in Peripheral Lung Cancer</t>
  </si>
  <si>
    <t>NCT07121413</t>
  </si>
  <si>
    <t>A Clinical Study to Evaluate the Safety, Tolerability, Pharmacokinetics and Immunogenicity of SV001 in Patients With Idiopathic Pulmonary Fibrosis</t>
  </si>
  <si>
    <t>NCT06703073</t>
  </si>
  <si>
    <t>JUST BREATHE, Breathing Life Into Innovative Therapies for ARDS (Master Record)</t>
  </si>
  <si>
    <t>NCT06841354</t>
  </si>
  <si>
    <t>A Study of Sacituzumab Tirumotecan (Sac-TMT, MK-2870) as Monotherapy and in Combination With Pembrolizumab (MK-3475) in Participants With Triple-Negative Breast Cancer (MK-2870-011/TroFuse-011)</t>
  </si>
  <si>
    <t>NCT07123454</t>
  </si>
  <si>
    <t>A Phase I/II Study of AZD4512 Monotherapy or in Combination With Anticancer Agents in Participants With Relapsed/Refractory B-cell Non-Hodgkin Lymphoma</t>
  </si>
  <si>
    <t>NCT07233070</t>
  </si>
  <si>
    <t>HRS-7450 Injection Phase II Clinical Trial for Acute Ischemic Stroke.</t>
  </si>
  <si>
    <t>NCT06974110</t>
  </si>
  <si>
    <t>Study of Orally Administered MOMA-341 in Participants With Advanced or Metastatic Solid Tumors</t>
  </si>
  <si>
    <t>NCT06949761</t>
  </si>
  <si>
    <t>A Clinical Study to Evaluate the Safety, Tolerability, and Efficacy of QLC1101 in Combination With Other Therapies in the Treatment of Patients With Advanced Solid Tumors Harboring a KRAS G12D Mutation</t>
  </si>
  <si>
    <t>NCT07286656</t>
  </si>
  <si>
    <t>A Study of GensSci098 in Subjects With Graves' Disease</t>
  </si>
  <si>
    <t>NCT06732180</t>
  </si>
  <si>
    <t>Safety, Tolerability, Pharmacokinetics, and Pharmacodynamics of GT-02287 in Parkinson's Disease</t>
  </si>
  <si>
    <t>Gain Therapeutics, Inc.</t>
  </si>
  <si>
    <t>NCT06905873</t>
  </si>
  <si>
    <t>A Study to Evaluate the Safety and Efficacy of FB102 in Patients With Non-segmental Vitiligo</t>
  </si>
  <si>
    <t>NCT07143227</t>
  </si>
  <si>
    <t>A Study of XW003 Injection in Chinese Adolescents With Obesity</t>
  </si>
  <si>
    <t>NCT07190469</t>
  </si>
  <si>
    <t>PQ203 in Advanced Malignant Tumors Including Triple Negative Breast Cancer</t>
  </si>
  <si>
    <t>ProteinQure Inc.</t>
  </si>
  <si>
    <t>NCT07305805</t>
  </si>
  <si>
    <t>A Research Study of a New Medicine NNC0363-1063 in Participants With Type 1 Diabetes</t>
  </si>
  <si>
    <t>NCT06819488</t>
  </si>
  <si>
    <t>A Clinical Study of Mass Balance of [14C]HRS-7535</t>
  </si>
  <si>
    <t>NCT06744127</t>
  </si>
  <si>
    <t>A Study to Evaluate the Pharmacokinetics and the Safety After Administration of BR1015 and Co-administration of BR1015-1 and BR1015-2 Under Fasting Conditions</t>
  </si>
  <si>
    <t>NCT06962956</t>
  </si>
  <si>
    <t>Evaluating Gingivitis and Systemic Biomarkers</t>
  </si>
  <si>
    <t>NCT06795412</t>
  </si>
  <si>
    <t>Phase 1/2 Study of PYX-201 in Combination With Pembrolizumab in Advanced Solid Tumors</t>
  </si>
  <si>
    <t>NCT06687928</t>
  </si>
  <si>
    <t>To Compare the Pharmacokinetics, Safety, and Immunogenicity of Subcutaneous CT-P6 and Herceptin in Healthy Male Subjects (Trastuzumab)</t>
  </si>
  <si>
    <t>NCT07083765</t>
  </si>
  <si>
    <t>Renal Artery Denervation Assessment Without Antihypertensive Medication Regimen (RADAR)</t>
  </si>
  <si>
    <t>Ablative Solutions, Inc.</t>
  </si>
  <si>
    <t>NCT06792136</t>
  </si>
  <si>
    <t>A Study of ONO-1110 in Patients With Major Depressive Disorder</t>
  </si>
  <si>
    <t>NCT06924632</t>
  </si>
  <si>
    <t>Efficacy &amp; Safety of Minoxidil SL Tablets in Men With AGA</t>
  </si>
  <si>
    <t>NCT06938321</t>
  </si>
  <si>
    <t>A Study of AK130 in Combination With AK112 for the Treatment of Advanced Biliary Tract Cancer</t>
  </si>
  <si>
    <t>NCT07144111</t>
  </si>
  <si>
    <t>A Study to Evaluate the Effect of Moderate or Severe Hepatic Impairment on the Pharmacokinetics (PK) of Inavolisib</t>
  </si>
  <si>
    <t>NCT07155187</t>
  </si>
  <si>
    <t>A Study to Assess Adverse Events and Change in Disease Activity of Intravenous (IV) Telisotuzumab Adizutecan, Monotherapy or in Combination With Osimertinib, Compared to Standard of Care in Adult Participants With Locally Advanced or Metastatic EGFR-Mutated Non-Squamous Non-Small Cell Lung Cancer</t>
  </si>
  <si>
    <t>NCT07310901</t>
  </si>
  <si>
    <t>A 2-part, Phase 1b Clinical Study Designed to Evaluate the Safety, PK, and Efficacy of CRB-913 in Participants With Obesity</t>
  </si>
  <si>
    <t>NCT07290257</t>
  </si>
  <si>
    <t>Long-Term Low-Intervention SafEty and Clinical Outcomes Clinical Study of LivmArli® in Patients With Alagille Syndrome or Progressive Familial Intrahepatic Cholestasis in the European Union (LEAP-EU)</t>
  </si>
  <si>
    <t>NCT06873581</t>
  </si>
  <si>
    <t>Pivotal Study of Voro Urologic Scaffold</t>
  </si>
  <si>
    <t>NCT06160492</t>
  </si>
  <si>
    <t>Phase III Clinical Trial Evaluating the Resection Efficacy of 5-Aminolevulinic Acid Hydrochloride (5-ALA HCl) Fluorescence-Guided Microsurgery Versus Conventional White Light Microsurgery in Patients With Malignant Glioma (WHO Grade 3/4)</t>
  </si>
  <si>
    <t>NCT07146711</t>
  </si>
  <si>
    <t>A Comparative Bioavalability Study of Tamsulosin 0.4 mg Prolonged-release Tablets Versus the Reference Drug Omnic Ocas®, Tabsulosine 0.4 mg Tablets in Healthy Adult Male Subjects, at Steady State</t>
  </si>
  <si>
    <t>NCT07295028</t>
  </si>
  <si>
    <t>Study of an RSV-hMPV-PIV3 Trivalent Vaccine Candidate VXB-251 in Older Adults</t>
  </si>
  <si>
    <t>NCT07007065</t>
  </si>
  <si>
    <t>Study to Assess the Injection Burden, Adverse Events, Change in Disease Activity, and Long-Term Preservation of Visual Acuity of Surabgene Lomparvovec in Adult Participants With Neovascular Age-Related Macular Degeneration (nAMD)</t>
  </si>
  <si>
    <t>NCT06890611</t>
  </si>
  <si>
    <t>A Study of Bimagrumab Alone (LY3985863) and Bimagrumab With Tirzepatide (LY900042) in Healthy Participants</t>
  </si>
  <si>
    <t>NCT06952634</t>
  </si>
  <si>
    <t>An Investigational Study of ESK-001 in Participants With Normal Liver Function and Participants With Mild, Moderate, and Severe Liver Damage</t>
  </si>
  <si>
    <t>NCT07464912</t>
  </si>
  <si>
    <t>A Adaptive Design Clinical Trial to Evaluate the Efficacy and Safety of TDI01 Suspension in the Treatment of Idiopathic Pulmonary Fibrosis (IPF)</t>
  </si>
  <si>
    <t>NCT07248865</t>
  </si>
  <si>
    <t>A Phase 1 Study of CLYM116 in Normal Healthy Volunteers</t>
  </si>
  <si>
    <t>NCT06717867</t>
  </si>
  <si>
    <t>Long-Term PEA Safety Study</t>
  </si>
  <si>
    <t>NCT07221500</t>
  </si>
  <si>
    <t>A Study of NX-5948 in Adults With CLL/SLL Previously Treated With a Bruton's Tyrosine Kinase Inhibitor and a B-cell Lymphoma-2 Inhibitor (DAYBreak CLL-201)</t>
  </si>
  <si>
    <t>NCT06932536</t>
  </si>
  <si>
    <t>The Pharmacokinetics (PK), Safety, Tolerability of SR750 (Formulation F1) in Healthy Volunteers</t>
  </si>
  <si>
    <t>NCT06444867</t>
  </si>
  <si>
    <t>A Study to Evaluate Efficacy, Safety, Tolerability, Pharmacokinetics, and Pharmacodynamics of a Single Dose of LEO 158968</t>
  </si>
  <si>
    <t>NCT07113392</t>
  </si>
  <si>
    <t>A Study to Evaluate the Safety, Efficacy and Pharmacokinetics of Suraxavir Marboxil for Suspension</t>
  </si>
  <si>
    <t>Jiangxi Kvvit Pharmaceutical Co., Ltd.</t>
  </si>
  <si>
    <t>NCT07010471</t>
  </si>
  <si>
    <t>A Clinical Trial for Participants With DEE to Assess Efficacy, Safety, Tolerability, and PK of Relutrigine</t>
  </si>
  <si>
    <t>NCT05876585</t>
  </si>
  <si>
    <t>Clinical Trial to Investigate the Efficacy and Safety of Ondansetron (Danset - Adwia) Versus Placebo Plus the Standard of Care in the Treatment of Nausea and Vomiting in Adult Patients With Acute Gastroenteritis</t>
  </si>
  <si>
    <t>NCT07164313</t>
  </si>
  <si>
    <t>A Study of ZW251 in Participants With Advanced Solid Tumors</t>
  </si>
  <si>
    <t>NCT06687382</t>
  </si>
  <si>
    <t>Clinical Trial With MBK-01, Intestinal Microbiota Capsules, for the Treatment of Patients With Recurrent Diverticulitis</t>
  </si>
  <si>
    <t>NCT06589596</t>
  </si>
  <si>
    <t>An Investigational Study of BGB-58067 As a Single Agent and in Combination With Anticancer Agents in Participants With Advanced Solid Tumors</t>
  </si>
  <si>
    <t>NCT06700824</t>
  </si>
  <si>
    <t>A Trial to Assess the Efficacy and Safety of OTR4132-MD in Patients With Acute Ischemic Stroke</t>
  </si>
  <si>
    <t>NCT06972459</t>
  </si>
  <si>
    <t>A Study of Orforglipron (LY3502970) in Participants With Obesity or Overweight and at Least One Weight-Related Comorbidity</t>
  </si>
  <si>
    <t>NCT06899217</t>
  </si>
  <si>
    <t>A Study to Evaluate the Efficacy and Safety of CIN-102 (Deudomperidone) in Adult Subjects With Idiopathic Gastroparesis.</t>
  </si>
  <si>
    <t>NCT07036523</t>
  </si>
  <si>
    <t>A Study to Find Out Whether BI 765423 Has an Effect on Lung Function in People With Idiopathic Pulmonary Fibrosis (IPF) With or Without Standard Treatment</t>
  </si>
  <si>
    <t>NCT07176923</t>
  </si>
  <si>
    <t>CS-121 APOC3 Base Editing in FCS</t>
  </si>
  <si>
    <t>NCT07480603</t>
  </si>
  <si>
    <t>Pilot Study on a New Self Adjustable Glaucoma Drainage Device</t>
  </si>
  <si>
    <t>Rheon Medical SA</t>
  </si>
  <si>
    <t>NCT06742996</t>
  </si>
  <si>
    <t>A Study to Investigate the Efficacy and Safety of Sonrotoclax Plus Zanubrutinib Compared With Placebo Plus Zanubrutinib in Adults With Relapsed/Refractory Mantle Cell Lymphoma (CELESTIAL-RRMCL)</t>
  </si>
  <si>
    <t>NCT06775327</t>
  </si>
  <si>
    <t>Study to Assess Safety, Tolerability, Pharmacokinetics, Pharmacodynamics, &amp; Food Effect of Oral INCB000631 to Healthy Adult Participants</t>
  </si>
  <si>
    <t>NCT06995573</t>
  </si>
  <si>
    <t>A Study to Assess Safety and Tolerability and to Explore Efficacy of NSC001 in Mild to Moderate Alzheimer's Disease</t>
  </si>
  <si>
    <t>NSC-Therapeutics</t>
  </si>
  <si>
    <t>NCT06688123</t>
  </si>
  <si>
    <t>Efficacy and Safety of SHR-3167 and Insulin Glargine in Type 2 Diabetes Subjects</t>
  </si>
  <si>
    <t>NCT07105488</t>
  </si>
  <si>
    <t>A Study Evaluating BFB759 in Moderate to Severe Atopic Dermatitis</t>
  </si>
  <si>
    <t>NCT07039669</t>
  </si>
  <si>
    <t>Evaluation of 611 in Chinese Adults Patients With Moderate to Severe Chronic Obstructive Pulmonary Disease</t>
  </si>
  <si>
    <t>NCT07241923</t>
  </si>
  <si>
    <t>A Single Ascending Dose Study to Evaluate the Safety, Tolerability, Pharmacokinetics and Pharmacodynamics of SYH2070 Injection</t>
  </si>
  <si>
    <t>NCT07014488</t>
  </si>
  <si>
    <t>A Study to Evaluate the Effect of Rifampicin on the Pharmacokinetics of Oral HRS-5041 in Healthy Subjects</t>
  </si>
  <si>
    <t>NCT06880770</t>
  </si>
  <si>
    <t>Study of Plozasiran in Adults With Severe Hypertriglyceridemia at Risk of Acute Pancreatitis</t>
  </si>
  <si>
    <t>NCT06779071</t>
  </si>
  <si>
    <t>Pivotal Clinical Trial to Evaluate the Efficacy and Safety After NPNP-001 Application in Patients with Knee Osteoarthritis.</t>
  </si>
  <si>
    <t>PharmaResearch Co.,Ltd</t>
  </si>
  <si>
    <t>NCT07080034</t>
  </si>
  <si>
    <t>Study of the Efficacy, Safety, Pharmacokinetics, Pharmacodynamics, and Immunogenicity of BCD-261 in Subjects With Moderate to Severe Active Ulcerative Colitis</t>
  </si>
  <si>
    <t>NCT06733675</t>
  </si>
  <si>
    <t>Safety and PK of Ceftibuten-ledaborbactam Etzadroxil Fixed-dose Combination</t>
  </si>
  <si>
    <t>NCT07170800</t>
  </si>
  <si>
    <t>A Phase 2b Clinical Study of JDB0131 Benzenesulfonate Tablets</t>
  </si>
  <si>
    <t>NCT07221253</t>
  </si>
  <si>
    <t>A Study of Rilvegostomig or Durvalumab Plus Chemotherapy for First-Line Treatment of Biliary Tract Cancer (ARTEMIDE-Biliary02)</t>
  </si>
  <si>
    <t>NCT07125872</t>
  </si>
  <si>
    <t>Study of Relapsed/ Refractory B-cell Non- Hodgkin Lymphoma</t>
  </si>
  <si>
    <t>NCT06879145</t>
  </si>
  <si>
    <t>Clinical Study on the Treatment of MIBC Patients With SHR-A2102 Injection Combined With Adebrelimab (SHR-1316)</t>
  </si>
  <si>
    <t>NCT07181265</t>
  </si>
  <si>
    <t>Drug-Drug Interaction of JMKX003142 With Amiodarone and Febuxostat in Healthy Subjects</t>
  </si>
  <si>
    <t>NCT06778967</t>
  </si>
  <si>
    <t>A Phase III Clinical Study to Evaluate the Efficacy and Safety of GZR18 Injection in Adult Type 2 Diabetes Mellitus</t>
  </si>
  <si>
    <t>NCT06682000</t>
  </si>
  <si>
    <t>Efficacy and Safety of DWC202404 and DWC202314 in Patients With Hypertension</t>
  </si>
  <si>
    <t>NCT07123402</t>
  </si>
  <si>
    <t>To Evaluate the Efficacy and Safety of TRD205 Tablets in the Treatment of Chronic Postoperative Neuralgia</t>
  </si>
  <si>
    <t>NCT06960395</t>
  </si>
  <si>
    <t>Safety and Preliminary Efficacy of VIR-5525 and VIR-5525 + Pembrolizumab in Participants With Locally Advanced or Metastatic Solid Tumors</t>
  </si>
  <si>
    <t>NCT07174830</t>
  </si>
  <si>
    <t>Pharmacokinetic Study of Allisartan Isoproxil Tablets in Healthy Chinese Participants</t>
  </si>
  <si>
    <t>NCT07232407</t>
  </si>
  <si>
    <t>A Study of Lutetium [177Lu] BL-ARC001 in Patients With Locally Advanced or Metastatic Gastrointestinal Tumors and Other Solid Tumors</t>
  </si>
  <si>
    <t>NCT07608692</t>
  </si>
  <si>
    <t>Comparative Clinical Trial of Pharmacokinetics and Pharmacodynamics of Human Insulin Injection</t>
  </si>
  <si>
    <t>Zhuhai United Laboratories Co., Ltd.</t>
  </si>
  <si>
    <t>NCT06793995</t>
  </si>
  <si>
    <t>Effect of Food and Age on the Pharmacokinetics of LY03017</t>
  </si>
  <si>
    <t>NCT07369895</t>
  </si>
  <si>
    <t>Clinical Study of O&amp;D-001 Injection in the Treatment of Relapsed or Refractory Multiple Myeloma</t>
  </si>
  <si>
    <t>O&amp;D BioTech Group CO., Limited</t>
  </si>
  <si>
    <t>NCT07181239</t>
  </si>
  <si>
    <t>Study of CM336 in Relapsed or Refractory Multiple Myeloma Patients</t>
  </si>
  <si>
    <t>NCT06986239</t>
  </si>
  <si>
    <t>Safety and Immunogenicity of PCV-LITE, a Low-dose of Pneumococcal Conjugate Vaccine With LiteVax Adjuvant</t>
  </si>
  <si>
    <t>NCT07241039</t>
  </si>
  <si>
    <t>A Study to Assess the Adverse Events, Change in Disease Activity, and How Oral ABBV-711 Tablets Move Through the Body as a Monotherapy and in Combination With Intravenously Infused Budigalimab (ABBV-181), in Adults With Advanced Squamous Tumors</t>
  </si>
  <si>
    <t>NCT06766357</t>
  </si>
  <si>
    <t>A Study of the Efficacy and Safety of Cyclosporin Ophthalmic Gel in Subjects With Moderate to Severe Dry Eye Disease</t>
  </si>
  <si>
    <t>NCT06463782</t>
  </si>
  <si>
    <t>Clinical Study of 68Ga-LNC1007 Injection PET/CT</t>
  </si>
  <si>
    <t>NCT07040059</t>
  </si>
  <si>
    <t>A Phase 1b/2 Clinical Trial Evaluating the Efficacy, Safety, Pharmacokinetics, and Pharmacodynamics of AUR103 Calcium in Patients With HER2-positive Advanced Gastric/Gastroesophageal Junction Adenocarcinoma</t>
  </si>
  <si>
    <t>NCT06838546</t>
  </si>
  <si>
    <t>A Multicenter, Open Phase IIb Clinical Study to Evaluate the Efficacy and Safety of B1962 Injection in the Treatment of Advanced Colorectal Cancer</t>
  </si>
  <si>
    <t>NCT07058662</t>
  </si>
  <si>
    <t>A Clinical Study to Evaluate the Safety, Tolerability, and Efficacy of BBM-D101 in the Treatment of Duchenne Muscular Dystrophy.</t>
  </si>
  <si>
    <t>NCT07127770</t>
  </si>
  <si>
    <t>A Study to Understand How the Body Processes [14C]PF-07104091 in Healthy Participants</t>
  </si>
  <si>
    <t>NCT07295873</t>
  </si>
  <si>
    <t>Drug-Drug Interaction Study Between Hydronidone and Entecavir, Tenofovir Disoproxil Fumarate, Tenofovir Alafenamide, and Tenofovir Amibufenamide</t>
  </si>
  <si>
    <t>NCT06757010</t>
  </si>
  <si>
    <t>A Study of NE3107 in Early Parkinson's</t>
  </si>
  <si>
    <t>NCT06903741</t>
  </si>
  <si>
    <t>New Preservative-free Combination of Trehalose, Sodium Hyaluronate and N-acetyl-aspartyl-glutamate (NAAGA) in Dry Eye</t>
  </si>
  <si>
    <t>NCT06764303</t>
  </si>
  <si>
    <t>A Study of NTQ5082 Capsules in the Treatment of Paroxysmal Nocturnal Hemoglobinuria Patients</t>
  </si>
  <si>
    <t>NCT07142161</t>
  </si>
  <si>
    <t>A Study on the Safety, Preliminary Efficacy, and Cellular Kinetics of Allo-CD7 CAR-T Cells in T1DM</t>
  </si>
  <si>
    <t>NCT06216366</t>
  </si>
  <si>
    <t>Rhu-pGSN to Mitigate Proinflammatory Responses to Decompression in Healthy SCUBA Divers</t>
  </si>
  <si>
    <t>NCT07361003</t>
  </si>
  <si>
    <t>A Phase Ib/III Study of Suvemcitug Plus FTD/TPI in Participants With Refractory Metastatic Colorectal Cancer</t>
  </si>
  <si>
    <t>NCT06974929</t>
  </si>
  <si>
    <t>A Clinical Study of HRS-6209 Combined With Other Treatment Regimens in Patients With Breast Cancer</t>
  </si>
  <si>
    <t>NCT06892756</t>
  </si>
  <si>
    <t>Effect of Cyclosporine Drug Interaction on the Absorption, Metabolism and Elimination of CHF6001 in Healthy Volunteers. Drug-Drug Interaction 2 (DDI2) Study</t>
  </si>
  <si>
    <t>NCT06974851</t>
  </si>
  <si>
    <t>A Phase III Study Evaluating the Efficacy and Safety of HRS9531 Injection in Subjects With Obstructive Sleep Apnea (OSA) and Obesity</t>
  </si>
  <si>
    <t>NCT06850051</t>
  </si>
  <si>
    <t>A Study on the Safety and Immunogenicity of Influenza, Respiratory Syncytial Virus, Human Metapneumovirus and Parainfluenza Vaccines in Adults 18 to 49 Years of Age.</t>
  </si>
  <si>
    <t>NCT07024602</t>
  </si>
  <si>
    <t>A Study to Evaluate the Safety, Tolerability, Pharmacokinetics, Pharmacodynamics and Efficacy of ASC50 Tables in Healthy Participants and Participants With Plaque Psoriasis</t>
  </si>
  <si>
    <t>NCT06837961</t>
  </si>
  <si>
    <t>LC-Plasma on Immune Response and Reducing Symptoms of Upper Respiratory Infectious Diseases</t>
  </si>
  <si>
    <t>NCT06779461</t>
  </si>
  <si>
    <t>A Clinical Trial Assessing the Safety and Efficacy of Biodegradable Magnesium Embolic Microspheres for Primary Hepatocellular Carcinoma</t>
  </si>
  <si>
    <t>NCT07197554</t>
  </si>
  <si>
    <t>A Phase 1/1B Study of ST-01156, a Small Molecule RBM39 Degrader, in Patients With Advanced Solid Malignancies</t>
  </si>
  <si>
    <t>SEED Therapeutics, Inc.</t>
  </si>
  <si>
    <t>NCT07089186</t>
  </si>
  <si>
    <t>Study to Assess the Efficacy and Safety of Meropenem and Pralurbactam in Carbapenem-Resistant Enterobacteriaceae Infections</t>
  </si>
  <si>
    <t>NCT07069569</t>
  </si>
  <si>
    <t>A Multicenter Study of AHB-137 Injection Combined With Other Hepatitis B Drugs</t>
  </si>
  <si>
    <t>NCT05661682</t>
  </si>
  <si>
    <t>Tralement Versus a Fixed-dose Trace Element Combination Product to Evaluate Manganese Safety</t>
  </si>
  <si>
    <t>NCT06966479</t>
  </si>
  <si>
    <t>A Long-Term Safety and Efficacy Study of Verekitug (UPB-101) in Adult Participants With Severe Asthma (VALOUR)</t>
  </si>
  <si>
    <t>NCT07035990</t>
  </si>
  <si>
    <t>Safety, Tolerability, and Pharmacokinetics of Multiple Dose Combinations of SION-451 and Complementary Modulators SION-2222 and SION-109 in Healthy Participants.</t>
  </si>
  <si>
    <t>Sionna Therapeutics Inc.</t>
  </si>
  <si>
    <t>NCT06997497</t>
  </si>
  <si>
    <t>A Clinical Study of Calderasib (MK-1084) With Targeted Therapy and Chemotherapy in People With Colorectal Cancer (MK-1084-012/KANDLELIT-012)</t>
  </si>
  <si>
    <t>NCT07215559</t>
  </si>
  <si>
    <t>A Study of Macupatide (LY3532226) and Eloralintide (LY3841136), Alone or in Combination, in Adults With Obesity or Overweight and With Type 2 Diabetes</t>
  </si>
  <si>
    <t>NCT07140380</t>
  </si>
  <si>
    <t>Phase 2b Controlled Study</t>
  </si>
  <si>
    <t>NCT06752590</t>
  </si>
  <si>
    <t>A Clinical Study of ONO-1110 in Patients With Fibromyalgia</t>
  </si>
  <si>
    <t>NCT07124013</t>
  </si>
  <si>
    <t>A Study of Olomorasib (LY3537982) in Healthy Japanese Participants</t>
  </si>
  <si>
    <t>NCT06833190</t>
  </si>
  <si>
    <t>REGN5381 in Adult Participants With Uncontrolled Hypertension</t>
  </si>
  <si>
    <t>NCT06237491</t>
  </si>
  <si>
    <t>The Safety and Dosimetry Study of 177Lu-LNC1003 Injection</t>
  </si>
  <si>
    <t>NCT07044297</t>
  </si>
  <si>
    <t>A Clinical Study of MK-8527 to Prevent Human Immunodeficiency Virus Type 1 (HIV-1) (MK-8527-011)</t>
  </si>
  <si>
    <t>NCT06982547</t>
  </si>
  <si>
    <t>Clinical Study on the Treatment of Refractory Rheumatoid Arthritis With UTAA91 Injection</t>
  </si>
  <si>
    <t>NCT07260058</t>
  </si>
  <si>
    <t>Immune Cell Therapy for Advanced Solid Tumors</t>
  </si>
  <si>
    <t>Liaoning Medical Diagnosis and Treatment Technology Research and Development Co., Ltd.</t>
  </si>
  <si>
    <t>NCT06870058</t>
  </si>
  <si>
    <t>A Study of NH280105 in Healthy Adult Participants</t>
  </si>
  <si>
    <t>NCT07005752</t>
  </si>
  <si>
    <t>A Study to Evaluate the Efficacy and Safety of CnU Capsule 750 mg in Patients With Cholesterol Gallstones(GB Stones).</t>
  </si>
  <si>
    <t>NCT07344948</t>
  </si>
  <si>
    <t>Single and Multiple Ascending Doses of NTX-253 in Healthy Participants and Participants With Stable Schizophrenia</t>
  </si>
  <si>
    <t>Neurosterix</t>
  </si>
  <si>
    <t>NCT07239986</t>
  </si>
  <si>
    <t>A Phase 2 Study of BB102 in Patients With Hepatocellular Carcinoma</t>
  </si>
  <si>
    <t>NCT06908954</t>
  </si>
  <si>
    <t>A Study of the Blood Levels of Palovarotene in Participants With Abnormal Liver Function Compared to Healthy Adult Participants After Intake of a Single Dose</t>
  </si>
  <si>
    <t>NCT06951854</t>
  </si>
  <si>
    <t>Phase II Clinical Trial to Evaluate the Efficacy and Safety of NV01-A02 in Children With Autism Spectrum Disorder</t>
  </si>
  <si>
    <t>Neuroventi Inc.</t>
  </si>
  <si>
    <t>NCT07342803</t>
  </si>
  <si>
    <t>Efficacy, Safety, and Pharmacokinetics of LP-003 Injection in Allergic Asthma Patients</t>
  </si>
  <si>
    <t>NCT07311369</t>
  </si>
  <si>
    <t>Evaluate the Safety and Efficacy of HL-1186 Tablet for Postoperative Pain Management in Abdominal Surgery</t>
  </si>
  <si>
    <t>NCT06716905</t>
  </si>
  <si>
    <t>Safety, Tolerability, and Pharmacokinetics of ACT500 in Healthy Adult Participants</t>
  </si>
  <si>
    <t>NCT07021066</t>
  </si>
  <si>
    <t>Evaluate the Safety, Tolerability, Pharmacokinetics and Efficacy of BL-M05D1 in Subjects With Solid Tumors</t>
  </si>
  <si>
    <t>NCT06861452</t>
  </si>
  <si>
    <t>Phase I/IIa Study: RR001 Administered Following Chemotherapy Cycles for Patients With Locally Advanced Pancreatic Carcinoma</t>
  </si>
  <si>
    <t>EIR Biotherapies s.r.l.</t>
  </si>
  <si>
    <t>NCT06837155</t>
  </si>
  <si>
    <t>A QT/QTc Evaluation Study of TS-172 in Healthy Adult Subjects</t>
  </si>
  <si>
    <t>NCT07201558</t>
  </si>
  <si>
    <t>Study Evaluating Safety, Tolerability, PK/PD of Surovatamig in Adult RA or SLE Participants</t>
  </si>
  <si>
    <t>NCT06869252</t>
  </si>
  <si>
    <t>Autologous Adipose Cells Therapy</t>
  </si>
  <si>
    <t>CERM INC.</t>
  </si>
  <si>
    <t>NCT06957249</t>
  </si>
  <si>
    <t>Clinical Study to Evaluate the Tooth Whitening Efficacy</t>
  </si>
  <si>
    <t>NCT06786455</t>
  </si>
  <si>
    <t>Pharmacokinetics, Pharmacodynamics, Safety, and Preliminary Efficacy of Subcutaneous Injection of SHR-1905 in Adolescent Asthmatic Subjects - an Open-label, Single-dose Phase II Clinical Study</t>
  </si>
  <si>
    <t>NCT07218926</t>
  </si>
  <si>
    <t>A Study of IDRX-42 (GSK6042981) Versus (vs) Sunitinib in Participants With Gastrointestinal Stromal Tumors After Imatinib Therapy</t>
  </si>
  <si>
    <t>NCT07195604</t>
  </si>
  <si>
    <t>A Single Ascending Dose of HRS-2162 in Healthy Subjects</t>
  </si>
  <si>
    <t>NCT06751238</t>
  </si>
  <si>
    <t>Study to Evaluate the Pharmacokinetics (PK), Safety and Tolerability up to 6 Years of Intravenous (i.v.) Secukinumab in Pediatric Participants With Juvenile Psoriatic Arthritis (JPsA).</t>
  </si>
  <si>
    <t>NCT07204938</t>
  </si>
  <si>
    <t>A Long-Term Study of Navenibart in Participants With Hereditary Angioedema</t>
  </si>
  <si>
    <t>NCT07143448</t>
  </si>
  <si>
    <t>A Study of HS235 for Treatment of Pulmonary Arterial Hypertension (PAH) in Adults</t>
  </si>
  <si>
    <t>NCT07413549</t>
  </si>
  <si>
    <t>Clinical Study of Human Umbilical Cord Mesenchymal Stem Cells Injection in Patients With Decompensated Hepatitis B Cirrhosis</t>
  </si>
  <si>
    <t>Beijing Tuohua Weiye Biotechnology Co., Ltd.</t>
  </si>
  <si>
    <t>NCT07334249</t>
  </si>
  <si>
    <t>First-In-Human (FIH), Single Ascending Dose (SAD) Study and Multiple Ascending Dose (MAD) Study of SP-101 Injection</t>
  </si>
  <si>
    <t>Synphatec (Shanghai) Biopharmaceutical Technology Co., Ltd.</t>
  </si>
  <si>
    <t>NCT07229898</t>
  </si>
  <si>
    <t>A Phase Ⅰ Clinical Study of GEN-725 Tablets in Patients With Advanced Solid Tumors</t>
  </si>
  <si>
    <t>NCT06845852</t>
  </si>
  <si>
    <t>A Phase 1 Mass Balance Study of Varegacestat</t>
  </si>
  <si>
    <t>NCT06744920</t>
  </si>
  <si>
    <t>A Study to Investigate the Efficacy, Safety and Tolerability of Remibrutinib Versus Placebo in Adult Patients With Generalized Myasthenia Gravis</t>
  </si>
  <si>
    <t>NCT07308782</t>
  </si>
  <si>
    <t>A Phase Ⅱa Clinical Study of CL-197 Capsules</t>
  </si>
  <si>
    <t>NCT07172360</t>
  </si>
  <si>
    <t>Efficacy and Safety Phase III Clinical Study of VC005 Tablets in Subjects With Active Ankylosing Spondylitis.</t>
  </si>
  <si>
    <t>NCT06886360</t>
  </si>
  <si>
    <t>Study with Norucholic Acid Tablets in Patients with Primary Sclerosing Cholangitis (PSC)</t>
  </si>
  <si>
    <t>NCT07285460</t>
  </si>
  <si>
    <t>A Study to Investigate the Efficacy and Safety of Fitusiran Prophylaxis in Male Participants Aged 1 to Less Than 12 Years With Hemophilia A or B</t>
  </si>
  <si>
    <t>NCT07201688</t>
  </si>
  <si>
    <t>Phase III Clinical Trial of rhTNK-tPA in Treating Acute Ischemic Stroke With Extended Time Window.</t>
  </si>
  <si>
    <t>CSPC Mingfule Pharmaceutical (Guangzhou) Co., Ltd.</t>
  </si>
  <si>
    <t>NCT07177859</t>
  </si>
  <si>
    <t>A Phase III Study of NTQ5082 Capsules in the Treatment of Paroxysmal Nocturnal Hemoglobinuria Patients</t>
  </si>
  <si>
    <t>NCT06630559</t>
  </si>
  <si>
    <t>A Study to Compare Efficacy and Safety of CT-P55 and Cosentyx in Patients With Moderate to Severe Psoriasis</t>
  </si>
  <si>
    <t>NCT06789913</t>
  </si>
  <si>
    <t>A Phase 2 Study of Mutant-selective PI3Kα Inhibitor, RLY-2608, in Adults and Children With PIK3CA Related Overgrowth Spectrum and Malformations Driven by PIK3CA Mutation (The ReInspire Study)</t>
  </si>
  <si>
    <t>NCT07702162</t>
  </si>
  <si>
    <t>A Clinical Study of PA5 in Patients With Advanced Solid Tumors</t>
  </si>
  <si>
    <t>NCT07218146</t>
  </si>
  <si>
    <t>A Study of ZL-1310 Versus Investigator's Choice of Therapy in Participants With Relapsed Small Cell Lung Cancer (DLLEVATE)</t>
  </si>
  <si>
    <t>NCT07086079</t>
  </si>
  <si>
    <t>A Study of Doravirine/Islatravir in Healthy Lactating Females (MK-8591A-061)</t>
  </si>
  <si>
    <t>NCT06958211</t>
  </si>
  <si>
    <t>Study to Evaluate the Efficacy and Safety of Ruxolitinib Cream in Participants With Hidradenitis Suppurativa (TRuE-HS2)</t>
  </si>
  <si>
    <t>NCT07228832</t>
  </si>
  <si>
    <t>Phase III Study of Ivonescimab or Bevacizumab Combined With FOLFOX in Patients With Metastatic Colorectal Cancer</t>
  </si>
  <si>
    <t>NCT07181109</t>
  </si>
  <si>
    <t>Zilebesiran in Patients With Hypertension Not Adequately Controlled and With Either Established Cardiovascular Disease or High Risk for Cardiovascular Disease</t>
  </si>
  <si>
    <t>NCT07226999</t>
  </si>
  <si>
    <t>Symbiotic-Lung-04: A Study to Learn About the Study Medicine Called PF-08634404 in Combination With Chemotherapy in Adult Participants With Extensive-Stage Small Cell Lung Cancer</t>
  </si>
  <si>
    <t>NCT06742593</t>
  </si>
  <si>
    <t>Study of MT027 in Patients with Brain, Meninges, and Spinal Cord Metastatic Solid Tumors</t>
  </si>
  <si>
    <t>NCT06864793</t>
  </si>
  <si>
    <t>Study on the Pharmacokinetics and Safety of QL1012D and Gonal-F® in Healthy Female Volunteers</t>
  </si>
  <si>
    <t>NCT06828393</t>
  </si>
  <si>
    <t>A Phase 1 Study of S-1117</t>
  </si>
  <si>
    <t>Seismic Therapeutic AU Pty Ltd</t>
  </si>
  <si>
    <t>NCT06846398</t>
  </si>
  <si>
    <t>A Phase 2 in Adult Subjects With Hereditary Angioedema</t>
  </si>
  <si>
    <t>NCT06959563</t>
  </si>
  <si>
    <t>Early Phase Clinical Trial About Therapeutic Biological Product Mix for Treating HPV</t>
  </si>
  <si>
    <t>NCT07249463</t>
  </si>
  <si>
    <t>Study Testing the Efficacy, Safety, and Tolerability of EDI048 in Cryptosporidium Infection Model in Healthy Adults</t>
  </si>
  <si>
    <t>NCT07159763</t>
  </si>
  <si>
    <t>A Study to Evaluate the Safety and Efficacy of CD388 for Prevention of Influenza</t>
  </si>
  <si>
    <t>NCT07122063</t>
  </si>
  <si>
    <t>Clinical Study to Evaluate Safety, Tolerability, Pharmacokinetics, and Preliminary Efficacy of SYS6045 in Patients With HER2-Positive, Expressing, or Mutated Advanced Malignant Solid Tumors</t>
  </si>
  <si>
    <t>NCT07294898</t>
  </si>
  <si>
    <t>A Study to Investigate the Effect of a Low-fat Meal and Evening Dosing on KAI-7535 in Participants Living With Obesity or Overweight</t>
  </si>
  <si>
    <t>NCT07144098</t>
  </si>
  <si>
    <t>Study of Pharmacokinetics and Safety of GZR18 Injection in Subjects With Liver Insufficiency and Normal Liver Function</t>
  </si>
  <si>
    <t>NCT06937593</t>
  </si>
  <si>
    <t>A Study to Evaluate Safety, Pharmacokinetics (PK), and Pharmacodynamics (PD) of Multiple Doses of VIS954</t>
  </si>
  <si>
    <t>NCT07086664</t>
  </si>
  <si>
    <t>A Study to Learn About the Study Medicine Called PF-07258669 in Older Adults Including Those at Risk of Malnutrition</t>
  </si>
  <si>
    <t>NCT06775522</t>
  </si>
  <si>
    <t>Bioequivalence (BE) Study Between YHP2205 and YHR2401 in Healthy Volunteers</t>
  </si>
  <si>
    <t>NCT06830031</t>
  </si>
  <si>
    <t>Clinical Study of C402-CD19-CAR Treatment in Subjects With Relapsed or Refractory B-cell Lymphoma</t>
  </si>
  <si>
    <t>Shanghai Exuma Biotechnology Ltd.</t>
  </si>
  <si>
    <t>NCT07251595</t>
  </si>
  <si>
    <t>A Trial of SHR0302 Tablets and SHR0302 Base Gel in Patients With Non-segmental Vitiligo</t>
  </si>
  <si>
    <t>NCT07162181</t>
  </si>
  <si>
    <t>Long-Term Safety of Pirtobrutinib in Participants With Previously Treated Types of Blood Cancers</t>
  </si>
  <si>
    <t>NCT06704009</t>
  </si>
  <si>
    <t>NT-101 Topical Ophthalmic Solution in Patients With Wet AMD</t>
  </si>
  <si>
    <t>NexThera Co., Ltd.</t>
  </si>
  <si>
    <t>NCT06925971</t>
  </si>
  <si>
    <t>A Randomized Trial of the Rapamycin Target Eluting Stent for the Treatment of Symptomatic Cerebral Artery Atherosclerotic Disease（TARGET-DREAM）</t>
  </si>
  <si>
    <t>MicroPort NeuroTech Co., Ltd.</t>
  </si>
  <si>
    <t>NCT07213609</t>
  </si>
  <si>
    <t>A Study to Investigate the Safety and Preliminary Efficacy of GSK5460025 Alone or in Combination With Other Anti-cancer Agents in Participants With Solid Tumors</t>
  </si>
  <si>
    <t>NCT06973564</t>
  </si>
  <si>
    <t>JAB-23E73 in Adult Participants With Advanced Solid Tumors With KRAS Alteration</t>
  </si>
  <si>
    <t>NCT07288957</t>
  </si>
  <si>
    <t>A Early Study of ABSK131 in Patients With Advanced/Metastatic Solid Tumors</t>
  </si>
  <si>
    <t>NCT06953453</t>
  </si>
  <si>
    <t>A Study of Inhaled Fentanyl Aerosol in Chinese Patients With Malignant Tumors</t>
  </si>
  <si>
    <t>NCT07205081</t>
  </si>
  <si>
    <t>Safety, Tolerability and PK of ATTO-3712 in Healthy Volunteers and Patients With Atopic Dermatitis</t>
  </si>
  <si>
    <t>NCT07020819</t>
  </si>
  <si>
    <t>An Open Label Clinical Study to Evaluate Tanruprubart (Also Commonly Known as ANX005) in Participants With Guillain-Barré Syndrome (FORWARD Study)</t>
  </si>
  <si>
    <t>NCT05982522</t>
  </si>
  <si>
    <t>IN10018 Combination Therapy in Previously-treated Solid Tumors</t>
  </si>
  <si>
    <t>NCT06989645</t>
  </si>
  <si>
    <t>A Phase 1/2a Study to Evaluate Single Intraarticular Injections of 3 Dose Levels of SYN321 and Placebo in Patients With Symptomatic Knee Osteoarthritis</t>
  </si>
  <si>
    <t>Synartro AB</t>
  </si>
  <si>
    <t>NCT06857695</t>
  </si>
  <si>
    <t>A Study to Assess the Mass Balance and ADME of [14C]AZD5004 and the Absolute Bioavailability of AZD5004</t>
  </si>
  <si>
    <t>NCT06704022</t>
  </si>
  <si>
    <t>Assessing Gut Microbiome Changes Before and After an Oral Nutritional Supplement Intake Using the SIMBA Capsule in Diabetic Participants</t>
  </si>
  <si>
    <t>NCT07393022</t>
  </si>
  <si>
    <t>Bioequivalence Study of Levetiracetam 1500 mg Coated Granules in Healthy, Male Subjects</t>
  </si>
  <si>
    <t>NCT07220551</t>
  </si>
  <si>
    <t>A Phase 1 Relative Bioavailability Study of UCB0022 Tablets in Healthy Participants</t>
  </si>
  <si>
    <t>NCT07079228</t>
  </si>
  <si>
    <t>A Study to Compare QLS31905 and Chemotherapy With Placebo and Chemotherapy in Participants With Pancreatic Cancer</t>
  </si>
  <si>
    <t>NCT06504966</t>
  </si>
  <si>
    <t>Study to Compare the Efficacy, Pharmacokinetics, Pharmacodynamics, Safety, and Immunogenicity of MAB-22 Versus Prolia®</t>
  </si>
  <si>
    <t>NCT06621251</t>
  </si>
  <si>
    <t>Study to Evaluate the Efficacy and Safety of TRL1068 for the Treatment of Prosthetic Joint Infection</t>
  </si>
  <si>
    <t>NCT06756451</t>
  </si>
  <si>
    <t>This Study is a FIH Study Which is Required to Understand the PK Characteristics, MTD, RP2D and Safety Profile.</t>
  </si>
  <si>
    <t>NCT07241377</t>
  </si>
  <si>
    <t>A Study in Healthy Adults to Compare the Bioavailability of EPA + DHA From Two Microalgal Sources to One Fish Source and Placebo</t>
  </si>
  <si>
    <t>NCT06899802</t>
  </si>
  <si>
    <t>A Phase 2 Trial in Healthy Adult Participants of the Recombinant MVA-BN-WEV Vaccine</t>
  </si>
  <si>
    <t>NCT07095257</t>
  </si>
  <si>
    <t>Study to Assess the Safety and Efficacy of ZX-7101A for Oral Suspension in Chinese Pediatric Participants 2 to 11 Years of Age With Influenza</t>
  </si>
  <si>
    <t>NCT06777901</t>
  </si>
  <si>
    <t>Auryon Atherectomy System With Standard Balloon Angioplasty Versus Standard Balloon Angioplasty Alone</t>
  </si>
  <si>
    <t>NCT07673029</t>
  </si>
  <si>
    <t>A Trial Comparing GQ1005 and T-DM1 in Patients With HER2-Positive Unresectable or Metastatic Breast Cancer</t>
  </si>
  <si>
    <t>NCT07059312</t>
  </si>
  <si>
    <t>A Phase 1 Study of JADE101 in Healthy Participants</t>
  </si>
  <si>
    <t>Jade Biosciences, Inc.</t>
  </si>
  <si>
    <t>NCT07311148</t>
  </si>
  <si>
    <t>A Immunogenicity and Safety Trial of the Recombinant Zoster Vaccine （CHO Cell）, LYB004 in Adults Aged 40 Years and Older</t>
  </si>
  <si>
    <t>NCT07088926</t>
  </si>
  <si>
    <t>A Study to Evaluate the Efficacy, Safety, and PK of AZD0292 Administered IV in Participants 12 Years of Age and Older With Bronchiectasis and Chronic Pseudomonas Aeruginosa Colonization</t>
  </si>
  <si>
    <t>NCT07226778</t>
  </si>
  <si>
    <t>Comparing the Extent to Which Maridebart Cafraglutide (AMG 133) is Made Available in the Body When Administered Using Two Subcutaneous (SC) Presentations</t>
  </si>
  <si>
    <t>NCT06925750</t>
  </si>
  <si>
    <t>A Clinical Study of Sotatercept (MK-7962) in People With Pulmonary Arterial Hypertension (MK-7962-031/LIGHTRAY EXTENSION)</t>
  </si>
  <si>
    <t>NCT06854276</t>
  </si>
  <si>
    <t>Study of SSS06 for Chemotherapy-Induced Anemia in Non-Myeloid Malignancies</t>
  </si>
  <si>
    <t>NCT07211776</t>
  </si>
  <si>
    <t>A Study to Assess the Efficacy and Safety of ZL-1109 in Chinese Participants With Active Thyroid Eye Disease</t>
  </si>
  <si>
    <t>NCT07163325</t>
  </si>
  <si>
    <t>EP102 Safety and Efficacy in METTL3 Modulation in Advanced Solid Tumors</t>
  </si>
  <si>
    <t>Epics Therapeutics</t>
  </si>
  <si>
    <t>NCT06772415</t>
  </si>
  <si>
    <t>A Study to Investigate Safety, Tolerability, Pharmacokinetics and Preliminary Efficacy With GenSci122 in Participants With Advanced Solid Tumors</t>
  </si>
  <si>
    <t>NCT06986785</t>
  </si>
  <si>
    <t>A Study of BL-B01D1 Monotherapy, BL-B01D1 in Combination With Lenvatinib, BL-B01D1 in Combination With PD-1 Monoclonal Antibody, and BL-B01D1 in Combination With PD-1 Monoclonal Antibody and Bevacizumab in Patients With Advanced Hepatocellular Carcinoma</t>
  </si>
  <si>
    <t>NCT07297940</t>
  </si>
  <si>
    <t>Pharmacokinetics and Safety Profiles of DA-1229_01 in Healthy Subjects at Fasting State</t>
  </si>
  <si>
    <t>NCT06885840</t>
  </si>
  <si>
    <t>Study of MCLA-129 in the Treatment of Advanced Non-small Cell Lung Cancer with AGA and MET Amplification.</t>
  </si>
  <si>
    <t>NCT07217717</t>
  </si>
  <si>
    <t>Using 18F-FAPI PET to Detect Metastatic Disease in Patients That Have Pancreatic Ductal Adenocarcinoma (PDAC)</t>
  </si>
  <si>
    <t>NCT07010835</t>
  </si>
  <si>
    <t>Study of YK012 in Moderate to Severe Systemic Lupus Erythematosus</t>
  </si>
  <si>
    <t>NCT07259889</t>
  </si>
  <si>
    <t>Safety and Tolerability Evaluation of CEL001 Injection in Advanced Solid Tumors</t>
  </si>
  <si>
    <t>Guangzhou Xiling Biotechnology Co., Ltd.</t>
  </si>
  <si>
    <t>NCT07028268</t>
  </si>
  <si>
    <t>A Trial of SHR-2017 Injection in Patients With Bone Metastases From Solid Tumors</t>
  </si>
  <si>
    <t>NCT06588478</t>
  </si>
  <si>
    <t>A Study Evaluating the Efficacy and Safety of Pirtobrutinib in Participants With Relapsed or Refractory Chronic Lymphocytic Leukemia/Small Lymphocytic Lymphoma</t>
  </si>
  <si>
    <t>NCT07023835</t>
  </si>
  <si>
    <t>Usnoflast Neuromuscular Investigation for Treatment Efficacy in Amyotrophic Lateral Sclerosis</t>
  </si>
  <si>
    <t>NCT07156578</t>
  </si>
  <si>
    <t>A Long-Term Study of Bivamelagon in Participants With Hypothalamic Obesity (HO)</t>
  </si>
  <si>
    <t>NCT06795776</t>
  </si>
  <si>
    <t>Eschscholzia Study</t>
  </si>
  <si>
    <t>NCT06797518</t>
  </si>
  <si>
    <t>Study to Evaluate the Impact of Iptacopan on Top of SOC on Biopsy Changes in Kidneys of Adult Patients With IgAN</t>
  </si>
  <si>
    <t>NCT07156253</t>
  </si>
  <si>
    <t>Study of SYN818 With Olaparib for the Treatment of Locally Advanced or Metastatic Solid Tumors</t>
  </si>
  <si>
    <t>NCT07179653</t>
  </si>
  <si>
    <t>A Multicenter, Randomized, Double-Blind, Placebo-Controlled Phase II Clinical Trial to Evaluate the Efficacy and Safety of TVAX-008 Injection in Chronic Hepatitis B Patients</t>
  </si>
  <si>
    <t>NCT06819007</t>
  </si>
  <si>
    <t>Study of Trastuzumab Deruxtecan With Bevacizumab Versus Bevacizumab Monotherapy for First-line Maintenance in HER2-Expressing Ovarian Cancer (DESTINY-Ovarian01)</t>
  </si>
  <si>
    <t>NCT07213817</t>
  </si>
  <si>
    <t>A Study to Assess the Safety, Tolerability, Pharmacokinetic, Pharmacodynamic, Immunogenicity and Antitumour Activity of IPN60300 in Adults With Locally Advanced or Metastatic Solid Tumours</t>
  </si>
  <si>
    <t>NCT06990776</t>
  </si>
  <si>
    <t>A Clinical Trial to Evaluate the Efficacy and Safety of TQA3605 Tablets in Treatment-naive Chronic HBV-infected Subjects</t>
  </si>
  <si>
    <t>NCT06978647</t>
  </si>
  <si>
    <t>A Clinical Study of YTS109 Cell in R/R Autoimmune Diseases</t>
  </si>
  <si>
    <t>NCT06726148</t>
  </si>
  <si>
    <t>Study of ECI830 Single Agent or in Combination in Patients With Advanced HR+/HER2- Breast Cancer and in Patients With Other Advanced Solid Tumors</t>
  </si>
  <si>
    <t>NCT07285278</t>
  </si>
  <si>
    <t>Phase II Clinical Trial of Lyophilized Herpes Zoster mRNA Vaccine in Adults Aged 40 Years or Above</t>
  </si>
  <si>
    <t>NCT06901336</t>
  </si>
  <si>
    <t>A Study of LY4064809 [14C]-STX-478 in Healthy Male Participants</t>
  </si>
  <si>
    <t>Scorpion Therapeutics, a wholly owned subsidiary of Eli Lilly and Company</t>
  </si>
  <si>
    <t>NCT06846671</t>
  </si>
  <si>
    <t>A Study of BGB-16673 Compared to Investigator's Choice in Participants With Chronic Lymphocytic Leukemia or Small Lymphocytic Lymphoma Previously Exposed to Both Bruton Tyrosine Kinase (BTK) and B-cell Leukemia/Lymphoma 2 Protein (BCL2) Inhibitors</t>
  </si>
  <si>
    <t>NCT07072611</t>
  </si>
  <si>
    <t>Clinical Trial to Evaluate Safety, Tolerability, and Pharmacokinetics of SOF-SKN in Healthy Participants</t>
  </si>
  <si>
    <t>NCT06712823</t>
  </si>
  <si>
    <t>An Extension Study to Evaluate Safety and Efficacy of Atumelnant in Participants With Congenital Adrenal Hyperplasia</t>
  </si>
  <si>
    <t>NCT07090759</t>
  </si>
  <si>
    <t>To Evaluate the Efficacy, Safety and Population Pharmacokinetics of GST-HG141 in Patients With Chronic Hepatitis B (CHB) Who Have an Inadequate Response to Antiviral Drug Treatment</t>
  </si>
  <si>
    <t>NCT07139873</t>
  </si>
  <si>
    <t>A Study of DZD8586 Versus Investigator's Choice in r/r CLL/SLL (TAI-SHAN6)</t>
  </si>
  <si>
    <t>NCT07137910</t>
  </si>
  <si>
    <t>A Study to Evaluate the Efficacy and Safety of AHB-137 Injection in Participants With Chronic Hepatitis B (CHB)</t>
  </si>
  <si>
    <t>NCT07020117</t>
  </si>
  <si>
    <t>A Study of [225Ac]Ac-AKY-1189 in Patients With Solid Tumors</t>
  </si>
  <si>
    <t>Aktis Oncology, Inc.</t>
  </si>
  <si>
    <t>NCT06764940</t>
  </si>
  <si>
    <t>A Pivotal Phase II Clinical Trial of Utidelone Injection Plus Capecitabine in HER2-negative Breast Cancer Patients With Brain Metastases</t>
  </si>
  <si>
    <t>NCT07221188</t>
  </si>
  <si>
    <t>A Clinical Study to Investigate the Safety and Tolerability of Efimosfermin Alfa Injection in Participants With Known or Suspected F2- or F3-stage MASH</t>
  </si>
  <si>
    <t>NCT06958861</t>
  </si>
  <si>
    <t>A Clinical Study to Evaluate the Efficacy, Safety, Pharmacokinetics, and Pharmacodynamics of Inhaled H057 in the Treatment of Acute Exacerbations of Bronchiectasis</t>
  </si>
  <si>
    <t>NCT07215650</t>
  </si>
  <si>
    <t>Clinical Study of Cizutamig in Generalized Myasthenia Gravis (gMG)</t>
  </si>
  <si>
    <t>NCT06949020</t>
  </si>
  <si>
    <t>A Dose-finding Study of JMKX003142 in Treatment of Cardiac Edema</t>
  </si>
  <si>
    <t>NCT06737146</t>
  </si>
  <si>
    <t>Study of MT027 in Patients with Recurrent or Progressive High-grade Glioma</t>
  </si>
  <si>
    <t>NCT06414460</t>
  </si>
  <si>
    <t>Study of ISM3412 in Participants With Locally Advanced/Metastatic Solid Tumors</t>
  </si>
  <si>
    <t>NCT07222488</t>
  </si>
  <si>
    <t>A Clinical Study of MK-3120 in People With Bladder Cancer (MK-3120-003)</t>
  </si>
  <si>
    <t>NCT06822790</t>
  </si>
  <si>
    <t>Long-Term Safety and Efficacy of Plozasiran in Adults With Hypertriglyceridemia</t>
  </si>
  <si>
    <t>NCT06745297</t>
  </si>
  <si>
    <t>A Study in Healthy Men to Test How Well Different Doses of BI 3776528 Are Tolerated</t>
  </si>
  <si>
    <t>NCT07205718</t>
  </si>
  <si>
    <t>A Study of TAK-188 in Adults With Advanced or Spreading Solid Tumors</t>
  </si>
  <si>
    <t>NCT06982859</t>
  </si>
  <si>
    <t>A Study to Evaluate the Effect of Retatrutide on Insulin Secretion and Insulin Sensitivity in Adult Participants With Type 2 Diabetes Mellitus</t>
  </si>
  <si>
    <t>NCT07308041</t>
  </si>
  <si>
    <t>A Study to Investigate the Effect of Linaprazan Glurate on the Pharmacokinetics of Amoxicillin</t>
  </si>
  <si>
    <t>NCT06715124</t>
  </si>
  <si>
    <t>QTX3544 in Patients With Advanced Solid Tumors With KRAS G12V Mutations</t>
  </si>
  <si>
    <t>NCT07030517</t>
  </si>
  <si>
    <t>A Study to Assess Safety of Teclistamab in Indian Participants With Relapsed and Refractory Multiple Myeloma</t>
  </si>
  <si>
    <t>NCT06889350</t>
  </si>
  <si>
    <t>NCT06995820</t>
  </si>
  <si>
    <t>A Study to Investigate Safety, Tolerability, Pharmacokinetics, Pharmacodynamics and Immunogenicity of AZD1613 in Healthy Participants.</t>
  </si>
  <si>
    <t>NCT07232589</t>
  </si>
  <si>
    <t>A Study of the Effect of Diltiazem on the Plasma Levels of Nemtabrutinib (MK-1026-022)</t>
  </si>
  <si>
    <t>NCT06829823</t>
  </si>
  <si>
    <t>Clinical Trial of Ablation Therapy in Participants With Intermediate-Risk Non-Muscle Invasive Papillary Bladder Cancer</t>
  </si>
  <si>
    <t>NCT06993480</t>
  </si>
  <si>
    <t>A Study to Evaluate the Antiviral Activity and Immune Response of AHB-137 Injection in Participants With Chronic Hepatitis B (CHB)</t>
  </si>
  <si>
    <t>NCT07155668</t>
  </si>
  <si>
    <t>A Safety, Tolerability and Pharmacokinetics Study of VRDN-003 in Participants With Thyroid Eye Disease (TED)</t>
  </si>
  <si>
    <t>NCT06901297</t>
  </si>
  <si>
    <t>The Efficacy and Safety of Raphamin in the Treatment of Acute Rhinosinusitis in Adult Patients</t>
  </si>
  <si>
    <t>NCT07222878</t>
  </si>
  <si>
    <t>Study to Evaluate the Relative Bioavailability of a New Formulation of NPT 2042 Soft-Gelatin Capsules Compared to the Original Formulation of NPT 2042</t>
  </si>
  <si>
    <t>NCT06956235</t>
  </si>
  <si>
    <t>Study to Evaluate Tulisokibart for Hidradenitis Suppurativa (MK-7240-012)</t>
  </si>
  <si>
    <t>NCT07128615</t>
  </si>
  <si>
    <t>A Phase I/II Study on Safety AND Immunogenicity of AZD4117 and AZD5315 Vaccines (PANDA)</t>
  </si>
  <si>
    <t>NCT06828120</t>
  </si>
  <si>
    <t>A Randomized, Safety and Efficacy Study of Taneasy 600mg Granules and Fluimucil 600mg Granules in COPD Subjects</t>
  </si>
  <si>
    <t>NCT07149376</t>
  </si>
  <si>
    <t>To Assess the Efficacy of a Toothpaste Containing 8% Arginine as Compared to Colgate Cavity Protection Toothpaste in the Reduction of Dentinal Hypersensitivity.</t>
  </si>
  <si>
    <t>NCT06903117</t>
  </si>
  <si>
    <t>Anti-CEA CAR-T for Advanced CEA-Positive Lung Carcinoma</t>
  </si>
  <si>
    <t>NCT06858397</t>
  </si>
  <si>
    <t>A proof-of Concept Study to Assess Safety and Tolerability of HM15421/GC1134A in Patients With Fabry Disease</t>
  </si>
  <si>
    <t>NCT07251023</t>
  </si>
  <si>
    <t>Efficacy and Safety of DMB-I (INN: Latrepirdine) in Patients With Alzheimer Type Dementia</t>
  </si>
  <si>
    <t>NCT06989671</t>
  </si>
  <si>
    <t>SYS6002 Plus JMT101 and Enlonstobart Injection in Participants With HNSCC</t>
  </si>
  <si>
    <t>NCT07013487</t>
  </si>
  <si>
    <t>A Study to Evaluate V181 Dengue Vaccine in Healthy Participants 2 to 17 Years of Age (V181-005/MOBILIZE-1)</t>
  </si>
  <si>
    <t>NCT07099547</t>
  </si>
  <si>
    <t>Study of ZG005 in Combination With Platinum-Based Chemotherapy in Participants With Advanced Biliary Tract Carcinoma</t>
  </si>
  <si>
    <t>NCT06502990</t>
  </si>
  <si>
    <t>Open-label Study to Evaluate Metreleptin in Children Under 6 Years of Age With Generalised Lipodystrophy</t>
  </si>
  <si>
    <t>NCT06946797</t>
  </si>
  <si>
    <t>A Study to Evaluate Two Dosing Regimens of Subcutaneous Nivolumab in Combination With Intravenous Ipilimumab and Chemotherapy in Participants With Previously Untreated Metastatic or Recurrent Non-Small Cell Lung Cancer (NSCLC)</t>
  </si>
  <si>
    <t>NCT06782373</t>
  </si>
  <si>
    <t>A Study to Assess the Effectiveness and Safety of Pacritinib in Patients With VEXAS Syndrome (PAXIS)</t>
  </si>
  <si>
    <t>NCT07093073</t>
  </si>
  <si>
    <t>Clinical Study of U01（ssCART-19） in Patients With B-Cell Lymphoma</t>
  </si>
  <si>
    <t>NCT06988488</t>
  </si>
  <si>
    <t>A Study to Determine the Recommended Dose and Schedule, and Evaluate the Safety and Preliminary Efficacy of Mezigdomide in Combination With Elranatamab in Participants With Relapsed and/or Refractory Multiple Myeloma</t>
  </si>
  <si>
    <t>NCT06847542</t>
  </si>
  <si>
    <t>A Study of 36-Week Refill Exchanges of Port Delivery System (PDS) With Ranibizumab in nAMD</t>
  </si>
  <si>
    <t>NCT07075640</t>
  </si>
  <si>
    <t>A Study to Determine the Safety and Tolerability of AG-236 and How it is Absorbed, Broken Down, and Eliminated From the Body in Healthy Participants</t>
  </si>
  <si>
    <t>NCT06578624</t>
  </si>
  <si>
    <t>Safety and Preliminary Efficacy of SA53-OS in Patients With Locally Advanced or Metastatic Solid Tumors</t>
  </si>
  <si>
    <t>Lamassu Bio Inc</t>
  </si>
  <si>
    <t>NCT06471959</t>
  </si>
  <si>
    <t>Psychedelic-assisted Group Program for First Responders</t>
  </si>
  <si>
    <t>Empower Research Inc</t>
  </si>
  <si>
    <t>NCT06893796</t>
  </si>
  <si>
    <t>Safety, Tolerability, and PK/PD of Telpegfilgrastim in Premenopausal Non-pregnant Females</t>
  </si>
  <si>
    <t>NCT07104162</t>
  </si>
  <si>
    <t>A Study to Investigate Safety and Pharmacokinetics of Intravenous Cefiderocol/Xeruborbactam in Participants With Renal Impairment</t>
  </si>
  <si>
    <t>NCT07488546</t>
  </si>
  <si>
    <t>HCL001 Cell Injection for Decompensated Cirrhosis: A Phase I/II Trial</t>
  </si>
  <si>
    <t>Shanghai Huicun Medical Technology Co., Ltd.</t>
  </si>
  <si>
    <t>NCT07030127</t>
  </si>
  <si>
    <t>A Study of LY3985863 in Healthy Participants</t>
  </si>
  <si>
    <t>NCT06769659</t>
  </si>
  <si>
    <t>A Study Evaluating NPT 2042 Versus Placebo in Subjects Aged 16-75 Years With Genetic Generalized Epilepsy (GGE) and Absence Seizures</t>
  </si>
  <si>
    <t>NCT07154342</t>
  </si>
  <si>
    <t>A Study of IL4Rα Monoclonal Antibody in Patients With Seasonal Allergic Rhinitis</t>
  </si>
  <si>
    <t>NCT06926413</t>
  </si>
  <si>
    <t>A Study Evaluating the Effect of Aumolertinib on the Pharmacokinetics of Midazolam in Patients With NSCLC</t>
  </si>
  <si>
    <t>NCT07253324</t>
  </si>
  <si>
    <t>ENX-104 MAD Study for Participants With Major Depressive Disorder With Anhedonia (aMDD)</t>
  </si>
  <si>
    <t>NCT06909162</t>
  </si>
  <si>
    <t>A Study to Evaluate the Effect of Food on the Single-Dose Pharmacokinetics and a Drug-Drug Interaction Evaluation of Itraconazole and Carbamazepine on INCB123667 When Administered Orally to Healthy Adult Participants</t>
  </si>
  <si>
    <t>NCT07111546</t>
  </si>
  <si>
    <t>A Clinical Trial of LBL-024 Combination Drug in Patients With Advanced Solid Tumours[Substudy 02(BTC&amp;HCC)]</t>
  </si>
  <si>
    <t>NCT06247241</t>
  </si>
  <si>
    <t>A Phase 2a Study To Evaluate VMB-100 In Females With Stress Urinary Incontinence</t>
  </si>
  <si>
    <t>Versameb AG</t>
  </si>
  <si>
    <t>NCT06927310</t>
  </si>
  <si>
    <t>The Efficacy and Safety of Inpegsomatropin Injection in Children With Idiopathic Short Stature</t>
  </si>
  <si>
    <t>NCT07256782</t>
  </si>
  <si>
    <t>A Study of QLC5508 Combinations in Patients With Advanced Solid Tumors</t>
  </si>
  <si>
    <t>NCT07597759</t>
  </si>
  <si>
    <t>Phase IIT Trial of SNA009</t>
  </si>
  <si>
    <t>NCT06809179</t>
  </si>
  <si>
    <t>A Clinical Trial to Assess the Efficacy, Safety, and Tolerability of a Repeat Dose of Fasedienol Nasal Spray for the Acute Treatment of Anxiety in Adults With Social Anxiety Disorder</t>
  </si>
  <si>
    <t>NCT07102888</t>
  </si>
  <si>
    <t>A Clinical Study to Evaluate the Safety and Pharmacokinetics of Topical RSS0393 Ointment in Children and Adolescents With Plaque Psoriasis</t>
  </si>
  <si>
    <t>NCT06517797</t>
  </si>
  <si>
    <t>One-Year Study of S1B-509 vs Placebo for Weight Loss</t>
  </si>
  <si>
    <t>NCT06817382</t>
  </si>
  <si>
    <t>A Study to Investigate the Safety and Biodistribution of a Single Intrathecal (IT) Injection of INS1201 in Ambulatory Males With Duchenne Muscular Dystrophy (DMD)</t>
  </si>
  <si>
    <t>Insmed Gene Therapy LLC</t>
  </si>
  <si>
    <t>NCT06666283</t>
  </si>
  <si>
    <t>A Study to Evaluate the Safety, Tolerability, PK and PD of AP303 in DKD Patients</t>
  </si>
  <si>
    <t>NCT06851871</t>
  </si>
  <si>
    <t>A Study to Evaluate the Bioequivalence Between Immediate Release Tablets and Minitablets of Deucravacitinib (BMS-986165), and the Effect of Food and pH on the Drug Levels of the Minitablets in Healthy Adults</t>
  </si>
  <si>
    <t>NCT07469228</t>
  </si>
  <si>
    <t>A Study Comparing Tretinoin Gel Microsphere, 0.04% and RETIN-A MICRO ® Gel Microsphere, 0.04% in the Treatment of Acne Vulgaris</t>
  </si>
  <si>
    <t>NCT06815471</t>
  </si>
  <si>
    <t>CRF2 Agonist for the Treatment of Worsening Heart Failure</t>
  </si>
  <si>
    <t>Corteria Pharmaceuticals</t>
  </si>
  <si>
    <t>NCT07253116</t>
  </si>
  <si>
    <t>A Phase I/II Clinical Study of WJ22096 Tablets in Patients With Advanced Tumors</t>
  </si>
  <si>
    <t>Nanjing Jingao biomidical technology Co. Ltd.</t>
  </si>
  <si>
    <t>NCT06719544</t>
  </si>
  <si>
    <t>A Study of Lithium and Enlicitide in Healthy Adult Participants (MK-0616-034)</t>
  </si>
  <si>
    <t>NCT07176832</t>
  </si>
  <si>
    <t>Bioavailability of Stiripentol After Single Oral Dose of Capsule vs Suspension in Healthy Subjects (STILIQ)</t>
  </si>
  <si>
    <t>NCT06793371</t>
  </si>
  <si>
    <t>AMBER-HFpEF: Assessment of CK-4021586 in a Multi-Center, Blinded Evaluation of Safety and Tolerability Results in HFpEF</t>
  </si>
  <si>
    <t>NCT06714864</t>
  </si>
  <si>
    <t>Open-Label Study to Assess Safety and Time to Catheter-related Bloodstream Infections (CRBSI) in Subjects From Birth to &lt; 18 Years of Age</t>
  </si>
  <si>
    <t>NCT07185321</t>
  </si>
  <si>
    <t>A Phase 1 Study of Mosliciguat in Healthy, Adult Males</t>
  </si>
  <si>
    <t>NCT07094204</t>
  </si>
  <si>
    <t>A Study to Find a Suitable Dose of ASP5834 in Adults With Solid Tumors</t>
  </si>
  <si>
    <t>NCT06799416</t>
  </si>
  <si>
    <t>A Study to Assess the Safety of ARGX-109 in Healthy Volunteers</t>
  </si>
  <si>
    <t>NCT07351734</t>
  </si>
  <si>
    <t>A Phase IIa, Randomized, Double-Blind, Placebo-Controlled Trial of JKN2403 in COPD</t>
  </si>
  <si>
    <t>NCT06456463</t>
  </si>
  <si>
    <t>A Study of Tagraxofusp in Combination With Venetoclax and Azacitidine in Adults With Untreated CD123+ Acute Myeloid Leukemia Who Cannot Undergo Intensive Chemotherapy</t>
  </si>
  <si>
    <t>NCT07332533</t>
  </si>
  <si>
    <t>A Study of KN026-based Combination Therapy in HER2-positive Gastric Cancer</t>
  </si>
  <si>
    <t>NCT06949735</t>
  </si>
  <si>
    <t>Clinical Trial on Digestive Enzymes: Effects on Post-Meal Response to High-Macronutrient Meals</t>
  </si>
  <si>
    <t>Pancap Pharma Inc.</t>
  </si>
  <si>
    <t>NCT07317544</t>
  </si>
  <si>
    <t>Study of ABS-201 Evaluating Single and Multiple Ascending Doses in Healthy Adults With and Without Androgenetic Alopecia</t>
  </si>
  <si>
    <t>Absci Pty Ltd.</t>
  </si>
  <si>
    <t>NCT06916078</t>
  </si>
  <si>
    <t>A Study of Lepodisiran (LY3819469) in Participants With Normal, Mild, Moderate, or Severe Liver Function</t>
  </si>
  <si>
    <t>NCT07266298</t>
  </si>
  <si>
    <t>TCR-engineered T Cells (NW-101C) in Patients With Solid Malignant Tumors</t>
  </si>
  <si>
    <t>Neowise Biotechnology</t>
  </si>
  <si>
    <t>NCT07129252</t>
  </si>
  <si>
    <t>A Study to Investigate Safety and Effectiveness of CRN09682 in Participants With SST2-Expressing NENs and Other Solid Tumors</t>
  </si>
  <si>
    <t>NCT06710132</t>
  </si>
  <si>
    <t>Study of Anti-CEACAM5 ADC M9140 in Participants With Advanced Solid Tumors (PROCEADE PanTumor)</t>
  </si>
  <si>
    <t>NCT07175493</t>
  </si>
  <si>
    <t>A Study of CM336 in Patients With Relapsed or Refractory Autoimmune Cytopenia</t>
  </si>
  <si>
    <t>NCT06917404</t>
  </si>
  <si>
    <t>A Study to Investigate the Treatment Effect of Subcutaneous Injections of Pentosan Polysulfate Sodium Compared With Placebo in Adult Participants With Knee Osteoarthritis Pain.</t>
  </si>
  <si>
    <t>Paradigm Biopharmaceuticals Ltd.</t>
  </si>
  <si>
    <t>NCT07030478</t>
  </si>
  <si>
    <t>A Study to Evaluate the Safety and Tolerability of EP0089</t>
  </si>
  <si>
    <t>NCT06883695</t>
  </si>
  <si>
    <t>A Phase Ⅰ Clinical Trial to Evaluate the Safety, Tolerance, Pharmacokinetics and Pharmacodynamics of SHR-3045 in Healthy Subjects</t>
  </si>
  <si>
    <t>NCT07069712</t>
  </si>
  <si>
    <t>A Study of Novel Agents or Combinations as Perioperative Treatment in Participants With Locally Advanced Resectable Gastroesophageal Adenocarcinoma</t>
  </si>
  <si>
    <t>NCT07266831</t>
  </si>
  <si>
    <t>A Clinical Study of Islatravir and Ulonivirine for People With HIV-1 Who Have Not Been Treated Before (MK-8591B-062)</t>
  </si>
  <si>
    <t>NCT06670534</t>
  </si>
  <si>
    <t>A Dose-finding Study of JMKX003142 in Treatment of Renal Edema</t>
  </si>
  <si>
    <t>NCT07350577</t>
  </si>
  <si>
    <t>Evaluate the Safety, Tolerability, PK and PD of SAD of Intravenously Adminsterted ALTB-268 in Healthy Participants</t>
  </si>
  <si>
    <t>NCT07215767</t>
  </si>
  <si>
    <t>Clinical Study to Investigate the Antihypersensitivity Efficacy of a Novel Dentifrice</t>
  </si>
  <si>
    <t>NCT07032298</t>
  </si>
  <si>
    <t>A Phase I Study of SSGJ-612 in Patients With Advanced Solid Tumors</t>
  </si>
  <si>
    <t>NCT07275814</t>
  </si>
  <si>
    <t>A Study of a Gadolinium-Based Contrast Agent (GBCA) for Adults Undergoing Magnetic Resonance Imaging (MRI) for Known or Highly Suspected Central Nervous System (CNS) Lesions</t>
  </si>
  <si>
    <t>NCT06805565</t>
  </si>
  <si>
    <t>A Study of ONO-1110 in Patients With Social Anxiety Disorder</t>
  </si>
  <si>
    <t>NCT07169734</t>
  </si>
  <si>
    <t>A Study to Investigate ALE.P03 as Monotherapy in Adult Patients With Selected Advanced or Metastatic CLDN1+ Solid Tumors</t>
  </si>
  <si>
    <t>NCT05994157</t>
  </si>
  <si>
    <t>Phase 1, Open-label, Dose-escalation Trial With CD38-SADA:177 Lu-DOTA Drug Complex in Subjects With Relapsed or Refractory Non-Hodgkin Lymphoma</t>
  </si>
  <si>
    <t>NCT06620692</t>
  </si>
  <si>
    <t>A Study to Investigate the Efficacy and Safety Profile of GM-XANTHO [GM-XAN003] in Patients with Psoriasis</t>
  </si>
  <si>
    <t>NCT07184645</t>
  </si>
  <si>
    <t>A Phase 3 Trial of OPA-15406 Foam in Children and Infants With Atopic Dermatitis</t>
  </si>
  <si>
    <t>NCT07170995</t>
  </si>
  <si>
    <t>Phase III Study of SHR-8068 Combined With Adebrelimab and Chemotherapy Versus Tislelizumab Combined With Chemotherapy in the Treatment of Locally Advanced or Metastatic Non-small Cell Lung Cancer</t>
  </si>
  <si>
    <t>NCT07041099</t>
  </si>
  <si>
    <t>A Study of CLN-978, a Subcutaneously Administered CD19-directed T Cell Engager, in Subjects With Sjogren's Disease</t>
  </si>
  <si>
    <t>NCT06764875</t>
  </si>
  <si>
    <t>A Phase Ⅲ Study of Rilvegostomig in Combination With Fluoropyrimidine and Trastuzumab Deruxtecan as the First-line Treatment for HER2-positive Gastric Cancer</t>
  </si>
  <si>
    <t>NCT06797401</t>
  </si>
  <si>
    <t>Phase 2 Trial Evaluating the Efficacy and Safety of RBD5044 in Patients With Mixed Dyslipidemia</t>
  </si>
  <si>
    <t>NCT06860971</t>
  </si>
  <si>
    <t>A Study of AL2846 Capsule Versus Placebo in the Treatment of Advanced Radioiodine-Refractory Differentiated Thyroid Carcinoma</t>
  </si>
  <si>
    <t>NCT06835465</t>
  </si>
  <si>
    <t>A Study to Evaluate the Effect of Rifampin on the Pharmacokinetics of Divarasib in Healthy Participants</t>
  </si>
  <si>
    <t>NCT07057037</t>
  </si>
  <si>
    <t>Phase 3 Study of the Efficacy and Safety of MR Arthrography Using the NEMO-103 Injection in Patients With Known or Suspected Shoulder Joint Diseases</t>
  </si>
  <si>
    <t>Inventera Inc.</t>
  </si>
  <si>
    <t>NCT06834165</t>
  </si>
  <si>
    <t>Study Evaluating the Safety and Efficacy of Neffy or Intramuscular Adrenalin in Patients With Allergic Reactions After Oral Food Challenge or Allergen Immunotherapy</t>
  </si>
  <si>
    <t>NCT07166211</t>
  </si>
  <si>
    <t>Study of CM512 Injection in Subjects With Chronic Spontaneous Urticaria(CSU)</t>
  </si>
  <si>
    <t>NCT06853444</t>
  </si>
  <si>
    <t>A Phase 1/2 Study of ESG206 in Patients With Primary Immune Thrombocytopenia</t>
  </si>
  <si>
    <t>NCT07154264</t>
  </si>
  <si>
    <t>A Study of DZD8586 Combination in CLL/SLL (TAI-SHAN10)</t>
  </si>
  <si>
    <t>NCT07001787</t>
  </si>
  <si>
    <t>A Study to Assess the Safety, Tolerability, Pharmacokinetics, and Pharmacodynamics of HS-10510 in Healthy Subjects</t>
  </si>
  <si>
    <t>NCT07222748</t>
  </si>
  <si>
    <t>A Study of TLC590 for Postsurgical Pain Following Bunionectomy</t>
  </si>
  <si>
    <t>NCT06718621</t>
  </si>
  <si>
    <t>A Study of BL-M08D1 in Patients With Locally Advanced or Metastatic Solid Tumors</t>
  </si>
  <si>
    <t>NCT07575984</t>
  </si>
  <si>
    <t>Mexidol® Safety and Efficacy in Treatment of Hyperacute and Acute Ischemic Stroke</t>
  </si>
  <si>
    <t>NCT07225647</t>
  </si>
  <si>
    <t>A Study to Assess the Effect of Food on the Drug Levels of Admilparant</t>
  </si>
  <si>
    <t>NCT05630352</t>
  </si>
  <si>
    <t>A Study to Learn About Bivalent COVID-19 RNA Vaccine Candidate(s) in Healthy Infants and Children</t>
  </si>
  <si>
    <t>NCT06765109</t>
  </si>
  <si>
    <t>Neladalkib (NVL-655) for TKI-naive Patients With Advanced ALK-Positive NSCLC</t>
  </si>
  <si>
    <t>NCT06682793</t>
  </si>
  <si>
    <t>A Study to Evaluate the Safety and Efficacy of A2B395, an Allogeneic Logic-gated CAR T, in Participants With Solid Tumors That Express EGFR and Have Lost HLA-A*02 Expression</t>
  </si>
  <si>
    <t>NCT06887933</t>
  </si>
  <si>
    <t>A Trial to Evaluate the Safety of Niraparib Tablets in Adult Female Participants With Advanced or Relapsed Epithelial Ovarian Cancer</t>
  </si>
  <si>
    <t>NCT07274852</t>
  </si>
  <si>
    <t>A Study of Lutetium [177Lu]-BL-ARC001 in Patients With Locally Advanced or Metastatic Lung Cancer, Breast Cancer, Head and Neck Squamous Cell Carcinoma and Other Solid Tumors</t>
  </si>
  <si>
    <t>NCT07232004</t>
  </si>
  <si>
    <t>A Study to Evaluate How the Study Drug Moves Through the Body, Adverse Events, and How the Body Tolerates ABBV-547 Injections</t>
  </si>
  <si>
    <t>NCT07265349</t>
  </si>
  <si>
    <t>A Phase I/II Clinical Trial of Intramyocardial Injection of HucMSCs for the Treatment of Chronic Heart Failure</t>
  </si>
  <si>
    <t>NCT06397144</t>
  </si>
  <si>
    <t>A Study on 2 Different Combination Tablets of Nirmatrelvir Plus Ritonavir to Compare Them With Marketed Paxlovid in Healthy Participants</t>
  </si>
  <si>
    <t>NCT06752603</t>
  </si>
  <si>
    <t>A Clinical Study of ONO-1110 in Patients With Hunner Type Interstitial Cystitis</t>
  </si>
  <si>
    <t>NCT06939283</t>
  </si>
  <si>
    <t>A Phase 1b/2 Multisite Dose-finding and Expansion Study of WTX-330 in Adult Patients With Selected Advanced or Metastatic Solid Tumors or Lymphoma</t>
  </si>
  <si>
    <t>NCT06935383</t>
  </si>
  <si>
    <t>Randomised EValuation of Therapies for microvAscuLar Injury in STEACS</t>
  </si>
  <si>
    <t>CorFlow Therapeutics AG</t>
  </si>
  <si>
    <t>NCT07250269</t>
  </si>
  <si>
    <t>Study of GC012F, CAR-T Therapy Targeting CD19 and BCMA in Chinese Participants With Relapsed or Refractory AL Amyloidosis</t>
  </si>
  <si>
    <t>NCT07089602</t>
  </si>
  <si>
    <t>Trial Assessing the Efficacy of Human Placental Membrane Products and Standard of Care Versus Standard of Care Alone in the Management of Nonhealing Diabetic Foot Ulcers and Venous Leg Ulcers</t>
  </si>
  <si>
    <t>BioLab Holdings</t>
  </si>
  <si>
    <t>NCT07357870</t>
  </si>
  <si>
    <t>A Proof of Concept, Phase 1 Study of CGB-600 for the Topical Treatment of Non-Segmented Facial Vitiligo</t>
  </si>
  <si>
    <t>NCT07169994</t>
  </si>
  <si>
    <t>A Study of YL202 in Combination With Other Anti-tumor Therapies in Patients With Advanced Solid Tumors</t>
  </si>
  <si>
    <t>NCT07302256</t>
  </si>
  <si>
    <t>A Clinical Trial of Influenza Virus Split Vaccine for Individuals Aged 60 Years and Above</t>
  </si>
  <si>
    <t>NCT06864169</t>
  </si>
  <si>
    <t>A Study of Raludotatug Deruxtecan (R-DXd) in People With Gastrointestinal Cancers (MK-5909-005)</t>
  </si>
  <si>
    <t>NCT06979505</t>
  </si>
  <si>
    <t>GV101 in Healthy Obese Participants</t>
  </si>
  <si>
    <t>NCT06798012</t>
  </si>
  <si>
    <t>A Study of TAK-411 in Adults With Chronic Inflammatory Demyelinating Polyradiculoneuropathy (CIDP)</t>
  </si>
  <si>
    <t>NCT06626919</t>
  </si>
  <si>
    <t>A Phase 1 Study of Anitocabtagene Autoleucel for the Treatment of Subjects With Non-oncology Plasma Cell-related Diseases</t>
  </si>
  <si>
    <t>NCT07085507</t>
  </si>
  <si>
    <t>Safety, Tolerability, Pharmacokinetics, and Pharmacodynamics of VT7208 in Healthy Participants and MS Patients</t>
  </si>
  <si>
    <t>Vidya Therapeutics Inc</t>
  </si>
  <si>
    <t>NCT07001475</t>
  </si>
  <si>
    <t>A Study to Test How BI 3031185 is Tolerated by People With Borderline Personality Disorder or Attention-deficit/Hyperactivity Disorder</t>
  </si>
  <si>
    <t>NCT07029828</t>
  </si>
  <si>
    <t>A Long-Term Study to Learn About The Study Medicine Called Ritlecitinib in Children With Severe Alopecia Areata.</t>
  </si>
  <si>
    <t>NCT06958692</t>
  </si>
  <si>
    <t>A Trial of Dextromethorphan and Bupropion Sustained-Release Tablets in Patients With Major Depressive Disorder</t>
  </si>
  <si>
    <t>NCT06652737</t>
  </si>
  <si>
    <t>Age De-escalation Safety Trial of PfSPZ-LARC2 Vaccine in Burkina Faso</t>
  </si>
  <si>
    <t>NCT07121153</t>
  </si>
  <si>
    <t>A Research Study on How NNC0487-0111, a New Medicine, Works in Chinese Participants When Injected Under the Skin.</t>
  </si>
  <si>
    <t>NCT06863272</t>
  </si>
  <si>
    <t>A Clinical Study of Ifinatamab Deruxtecan Based Treatment Combinations or as Monotherapy to Treat Metastatic Castrate Resistant Prostate Cancer (mCRPC) (MK-2400-01A/IDeate-Prostate02)</t>
  </si>
  <si>
    <t>NCT07326553</t>
  </si>
  <si>
    <t>Efficacy of Placental Membrane Dressings in Accelerating Diabetic Foot Healing</t>
  </si>
  <si>
    <t>BioXTek</t>
  </si>
  <si>
    <t>NCT06844357</t>
  </si>
  <si>
    <t>A Phase II/III Trial Comparing Transarterial Tirapazamine Embolization (TATE) With cTACE for Intermediate-stage Liver Cancer.</t>
  </si>
  <si>
    <t>NCT06945419</t>
  </si>
  <si>
    <t>A Study of LY4086940 in Healthy Participants and Participants With Overweight or Obesity, With or Without Type 2 Diabetes</t>
  </si>
  <si>
    <t>NCT07168902</t>
  </si>
  <si>
    <t>Phase 2 Study of BL1107 Eye Drops vs. Timolol in Adults With Primary Open Angle Glaucoma or Ocular Hypertension</t>
  </si>
  <si>
    <t>NCT07029412</t>
  </si>
  <si>
    <t>Study to Evaluate Efficacy and Dose Response of Imapextide (STEADI)</t>
  </si>
  <si>
    <t>NCT06948019</t>
  </si>
  <si>
    <t>Safety and Efficacy of AAV9/AP4B1 (BFB-101) For Patients With AP4B1-related Hereditary Spastic Paraplegia Type 47 (SPG47)</t>
  </si>
  <si>
    <t>BlackfinBio Ltd</t>
  </si>
  <si>
    <t>NCT06845553</t>
  </si>
  <si>
    <t>A Study to Assess the Efficacy and Safety of Vutiglabridin in Knee Osteoarthritis Patients</t>
  </si>
  <si>
    <t>NCT07488975</t>
  </si>
  <si>
    <t>Developing Microbial Therapy for MASLD: From Mechanism to Clinical Validation</t>
  </si>
  <si>
    <t>NCT07556757</t>
  </si>
  <si>
    <t>A Safety and Efficacy Study of CD-19 t-haNK in Patients With B-cell Acute Lymphoblastic Leukemia</t>
  </si>
  <si>
    <t>NCT07036419</t>
  </si>
  <si>
    <t>A Trial of Remimazolam for Intraoperative Sedation in Pediatric and Adolescent Patients</t>
  </si>
  <si>
    <t>NCT07264595</t>
  </si>
  <si>
    <t>A Study (Phase 1b/2) of GS3-007a Oral Treatment in Children With Growth Hormone Deficiency (PGHD)</t>
  </si>
  <si>
    <t>NCT07233239</t>
  </si>
  <si>
    <t>A Study to Evaluate the Efficacy and Safety of Cannabidiol Oral Solution (CBD-OS [GWP42003-P, JZP926]) for the Treatment of Focal-Onset Seizures</t>
  </si>
  <si>
    <t>NCT06799247</t>
  </si>
  <si>
    <t>Investigating an mRNA CAR T-cell Therapy, Known as Descartes-08, as a Potential Approach to Treat Myasthenia Gravis</t>
  </si>
  <si>
    <t>NCT06987968</t>
  </si>
  <si>
    <t>A Study to See if an Investigational Medicine Called VS-01 Can Help and How Safe it is in the Treatment of Patients With Overt Hepatic Encephalopathy</t>
  </si>
  <si>
    <t>NCT07145918</t>
  </si>
  <si>
    <t>A Study to Assess Adverse Events, Change in Disease Activity, and How Oral Emraclidine Moves Through the Body in Adult Participants With Schizophrenia</t>
  </si>
  <si>
    <t>NCT07187089</t>
  </si>
  <si>
    <t>Study of Growth and Bone Mineral Density in Children With Atopic Dermatitis (AD) Treated With Dupilumab</t>
  </si>
  <si>
    <t>NCT07157774</t>
  </si>
  <si>
    <t>Assessing the Impact of Muvalaplin on Major Cardiovascular Events in Adults With Elevated Lipoprotein(a)</t>
  </si>
  <si>
    <t>NCT06463327</t>
  </si>
  <si>
    <t>ACHIEVE2 - Safety and Preliminary Efficacy of Intravenous TCB008 in Patients With Relapse or Refractory Acute Myeloid Leukemia (AML) or Myelodysplastic Syndrome (MDS)/AML</t>
  </si>
  <si>
    <t>NCT07251127</t>
  </si>
  <si>
    <t>Study of Metronidazole Delayed-Release Capsules in Comparison With Immediate-Release Tablets (Flagyl) for Safety and Pharmacokinetics</t>
  </si>
  <si>
    <t>Gateway Pharmaceutical LLC</t>
  </si>
  <si>
    <t>NCT07051629</t>
  </si>
  <si>
    <t>Dose Escalation Study to Assess the Safety, Tolerability, Pharmacokinetics And Pharmacodynamics of SIF001 in Healthy Subjects and in Epilepsy Patients</t>
  </si>
  <si>
    <t>Suninflam Inc</t>
  </si>
  <si>
    <t>NCT07279194</t>
  </si>
  <si>
    <t>Efficacy and Safety of HDM1005 in Chinese Obesity or Overweight Patients Without Diabetes</t>
  </si>
  <si>
    <t>NCT07334262</t>
  </si>
  <si>
    <t>A Study to Evaluate the Food Effect on RNK08954 in Healthy Participants, and the Mass Balance Study of [14C]RNK08954 in Healthy Adult Male Subjects</t>
  </si>
  <si>
    <t>NCT06161974</t>
  </si>
  <si>
    <t>Study of Olutasidenib and Temozolomide in HGG</t>
  </si>
  <si>
    <t>NCT06907290</t>
  </si>
  <si>
    <t>A Trial Evaluating BJT-778 vs Delayed Treatment for the Treatment of Chronic Hepatitis Delta Infection</t>
  </si>
  <si>
    <t>NCT06859333</t>
  </si>
  <si>
    <t>Study of the Safety, Tolerability, and Pharmacokinetic Profile of Ascending Doses of Ingavirin Forte, Capsules, Folliwing Single and Subsequent Multiple Oral Administration in Healthy Volunteers</t>
  </si>
  <si>
    <t>NCT06823258</t>
  </si>
  <si>
    <t>Pharmacokinetic Study of HS-10365 Capsule in Subjects with Hepatic Impairment and Normal Hepatic Function</t>
  </si>
  <si>
    <t>NCT07019922</t>
  </si>
  <si>
    <t>A Clinical Trial of Elsunersen in Pediatric SCN2A-DEE to Assess Efficacy and Safety</t>
  </si>
  <si>
    <t>NCT07356453</t>
  </si>
  <si>
    <t>A Study of PARG Inhibitor FORX-428 in Patients With Advanced Solid Tumors.</t>
  </si>
  <si>
    <t>FoRx Therapeutics AG</t>
  </si>
  <si>
    <t>NCT06966401</t>
  </si>
  <si>
    <t>Long-Term Study to Assess the Safety and Tolerability of NBI-1065845 as an Adjunctive Treatment in Participants With Major Depressive Disorder (MDD)</t>
  </si>
  <si>
    <t>NCT07047612</t>
  </si>
  <si>
    <t>ICP-332 in Subjects With Non-segmental Vitiligo</t>
  </si>
  <si>
    <t>NCT06533761</t>
  </si>
  <si>
    <t>Eganelisib as Monotherapy and in Combination With Cytarabine in Relapsed/Refractory AML</t>
  </si>
  <si>
    <t>Stelexis BioSciences</t>
  </si>
  <si>
    <t>NCT07016802</t>
  </si>
  <si>
    <t>A Clinical Study of GenSci134 in Healthy Adults and Adult Growth Hormone Deficiency(AGHD)</t>
  </si>
  <si>
    <t>NCT06966453</t>
  </si>
  <si>
    <t>A Study of Disitamab Vedotin in Adults With HER2 Expressing Advanced Breast Cancer</t>
  </si>
  <si>
    <t>NCT06830395</t>
  </si>
  <si>
    <t>Study of CM313 in Subject With IgA Nephropathy</t>
  </si>
  <si>
    <t>NCT07156175</t>
  </si>
  <si>
    <t>A Study to Investigate the Efficacy and Safety of SAR444336 in Adults With Microscopic Colitis in Clinical Remission</t>
  </si>
  <si>
    <t>NCT07078695</t>
  </si>
  <si>
    <t>A Trial of SHR-1139 in Healthy Volunteers</t>
  </si>
  <si>
    <t>NCT06933459</t>
  </si>
  <si>
    <t>To Evaluate the Safety and Pharmacokinetic Characteristics of AJU-C714 and C714R in Healthy Adults</t>
  </si>
  <si>
    <t>NCT07262346</t>
  </si>
  <si>
    <t>The Phase Ⅰd Clinical Trial of Hydronidone Capsules</t>
  </si>
  <si>
    <t>NCT06824103</t>
  </si>
  <si>
    <t>Study of Efficacy and Safety of Ruxolitinib in Chinese Participants With Corticosteroid-refractory Chronic Graft vs. Host Disease</t>
  </si>
  <si>
    <t>NCT07168161</t>
  </si>
  <si>
    <t>BDB-001 Phase III Trial in ANCA-Associated Vasculitis</t>
  </si>
  <si>
    <t>NCT06892522</t>
  </si>
  <si>
    <t>A Study to Assess Change in Disease Activity and Adverse Events (AE)s in Adult Participants With Multiple Myeloma Receiving Etentamig (ABBV-383) as an Intravenous (IV) Infusion Alone or in Combination With Oral, IV, Subcutaneous Daratumumab; Lenalidomide; Dexamethasone; Carfilzomib</t>
  </si>
  <si>
    <t>NCT07089888</t>
  </si>
  <si>
    <t>A Study of Dotinurad Versus Allopurinol in Tophaceous Gout</t>
  </si>
  <si>
    <t>NCT07142356</t>
  </si>
  <si>
    <t>A Study of Modified Release RTN-001 In Patients With Uncontrolled Hypertension</t>
  </si>
  <si>
    <t>Retension Pharmaceuticals. Inc.</t>
  </si>
  <si>
    <t>NCT06970951</t>
  </si>
  <si>
    <t>Early Clinical Study of UTAA91 Injection for the Treatment of Relapsed/Refractory Autoimmune Diseases</t>
  </si>
  <si>
    <t>NCT06929273</t>
  </si>
  <si>
    <t>A Study to Assess the Long-term Safety of KarXT for the Treatment of Manic Episodes in Bipolar-I Disorder (BALSAM-3)</t>
  </si>
  <si>
    <t>NCT07169331</t>
  </si>
  <si>
    <t>A Study to Evaluate the Efficacy and Safety of Zanubrutinib in Chinese Adults With Treatment-Naive Waldenström Macroglobulinemia</t>
  </si>
  <si>
    <t>NCT06927986</t>
  </si>
  <si>
    <t>Phase III Trial of SYS6010 Versus Platinum-based Chemotherapy for EGFR-mutated NSCLC（SYNSTAR01）</t>
  </si>
  <si>
    <t>NCT07280156</t>
  </si>
  <si>
    <t>A Study to Investigate the Clinical Effect and the Safety of PRX-115 Infused Intravenously at Different Dosing Regimens, With and Without Methotrexate, Versus Placebo in Adults Gout Patients (RELEASE)</t>
  </si>
  <si>
    <t>NCT07244393</t>
  </si>
  <si>
    <t>Lutetium (177Lu) DGUL Combined With Pembrolizumab in Metastatic Castration-Resistant Prostate Cancer</t>
  </si>
  <si>
    <t>NCT07231978</t>
  </si>
  <si>
    <t>A Study to Learn How Different Forms of the Study Medicine Called Prazosin Are Taken up Into the Blood in Healthy Adults</t>
  </si>
  <si>
    <t>NCT06769048</t>
  </si>
  <si>
    <t>A Study to Test Different Doses of BI 1584862 in People With a Distinct Form of Age-related Macular Degeneration (AMD) Called Geographic Atrophy</t>
  </si>
  <si>
    <t>NCT07318155</t>
  </si>
  <si>
    <t>A Study of SRSD107 in Participants With Chronic Coronary and/or Peripheral Arterial Disease</t>
  </si>
  <si>
    <t>NCT07546214</t>
  </si>
  <si>
    <t>A Study Comparing Tapinarof Cream 1% and Vtama® Cream 1% in the Treatment of Plaque Psoriasis.</t>
  </si>
  <si>
    <t>NCT06570291</t>
  </si>
  <si>
    <t>Allogenic Adipose-Derived Mesenchymal Stem Cells for the Treatment of Knee Osteoarthritis</t>
  </si>
  <si>
    <t>Wuxi Cellular Biopharmaceutical Group Ltd.</t>
  </si>
  <si>
    <t>NCT07220538</t>
  </si>
  <si>
    <t>A Study Testing How Well the Drug Extract of Ginkgo Biloba Leaves Tablets Works for People With Memory or Thinking Problems After a Stroke When Added to Standard Treatment</t>
  </si>
  <si>
    <t>Dr. Willmar Schwabe GmbH &amp; Co. KG</t>
  </si>
  <si>
    <t>NCT07062978</t>
  </si>
  <si>
    <t>A Comparative Study to Valuating the Efficacy and Safety of QL1206 and Prolia®</t>
  </si>
  <si>
    <t>NCT07265206</t>
  </si>
  <si>
    <t>A Study of HY001N in the Treatment of Relapsed or Refractory Neurological Autoimmune Diseases</t>
  </si>
  <si>
    <t>NCT06810726</t>
  </si>
  <si>
    <t>Evaluate Use of Tropocells(R) Autologous Platelet-rich Fibrin (PRF) for Wagner Grade 1 and Grade 2, Mild to Mod Neuroischemic Plantar Diabetic Foot Ulcer Wound Care.</t>
  </si>
  <si>
    <t>Estar Medical dba Medical Technologies, LTD</t>
  </si>
  <si>
    <t>NCT07218809</t>
  </si>
  <si>
    <t>AZD5335 vs. Mirvetuximab Soravtansine in FRα-high and AZD5335 vs. Chemotherapy in FRα-low Platinum-resistant Ovarian Cancer</t>
  </si>
  <si>
    <t>NCT07158398</t>
  </si>
  <si>
    <t>Evaluate the Effect of Vimseltinib on the Pharmacokinetics of a BCRP and OATP1B1 Substrate</t>
  </si>
  <si>
    <t>NCT07279493</t>
  </si>
  <si>
    <t>Efficacy and Safety of the KPCXM18 Injection in Patients With Acute Ischemic Stroke</t>
  </si>
  <si>
    <t>NCT06751433</t>
  </si>
  <si>
    <t>Evaluation of Clinical, Perceived and Instrumental Efficacy of a Scar Gel in Preventing Hypertrophic Scars</t>
  </si>
  <si>
    <t>NCT07283835</t>
  </si>
  <si>
    <t>NCT06714617</t>
  </si>
  <si>
    <t>Evaluate BL-M17D1 in Patients w/HER2-Expressing/Mutant Advanced or Metastatic Solid Tumors</t>
  </si>
  <si>
    <t>NCT06846385</t>
  </si>
  <si>
    <t>Phase II/III Seamless Clinical Study of MG-K10 Humanized Monoclonal Antibody Injection in Treatment of Seasonal Allergic Rhinitis</t>
  </si>
  <si>
    <t>NCT07114874</t>
  </si>
  <si>
    <t>NBI-1117568-SCZ3032: Long-Term Evaluation of NBI-1117568 in Adults With Schizophrenia</t>
  </si>
  <si>
    <t>NCT06898450</t>
  </si>
  <si>
    <t>A Study to Assess the Safety, Tolerability, and Efficacy of NDI-219216 in Patients With Advanced Solid Tumors.</t>
  </si>
  <si>
    <t>Nimbus Wadjet, Inc.</t>
  </si>
  <si>
    <t>NCT07267949</t>
  </si>
  <si>
    <t>Clinical Phase 2 Trial of AP31969 Versus Placebo for Rhythm Control of Atrial Fibrillation</t>
  </si>
  <si>
    <t>NCT07278349</t>
  </si>
  <si>
    <t>Bioequivalence Study to Compare Vonoprazan 20 mg Film Coated Tablets Versus Voquezna® 20 mg (Vonoprazan) Tablets</t>
  </si>
  <si>
    <t>NCT06903715</t>
  </si>
  <si>
    <t>A Clinical Study of Belzutifan (MK-6482) Alone or With Phenytoin in Healthy Participants (CA46602/MK-6482-035)</t>
  </si>
  <si>
    <t>NCT06760182</t>
  </si>
  <si>
    <t>Clinical Trial of TQH2722 Injection in Patients With Seasonal Allergic Rhinitis</t>
  </si>
  <si>
    <t>NCT05066217</t>
  </si>
  <si>
    <t>An Efficacy and Safety Study of Clemizole HCl in Patients With Lennox-Gastaut Syndrome</t>
  </si>
  <si>
    <t>NCT07174908</t>
  </si>
  <si>
    <t>A Phase 3 Study of IN10018 in Combination With D-1553 Versus Standard Therapy for First Line Non-squamous Non-small Cell Lung Cancer With KRAS G12C Mutation</t>
  </si>
  <si>
    <t>NCT06750289</t>
  </si>
  <si>
    <t>Randomised Clinical Trial to Investigate Efficacy and Safety of Benralizumab 30 mg SC as an add-on Therapy in Uncontrolled Eosinophilic Asthma Patients Treated With Medium-dose ICS-LABA Compared to Conventional Escalation to High-dose ICS-LABA Treatment</t>
  </si>
  <si>
    <t>NCT07202884</t>
  </si>
  <si>
    <t>A Study of Orforglipron in Female Participants With Stress Urinary Incontinence Who Have Obesity or Overweight</t>
  </si>
  <si>
    <t>NCT06993233</t>
  </si>
  <si>
    <t>A Study With CIT-013 in HS Patients</t>
  </si>
  <si>
    <t>NCT06665425</t>
  </si>
  <si>
    <t>PK,PD and DDI of Epaminurad and C2406 in Healthy Volunteers</t>
  </si>
  <si>
    <t>NCT07331389</t>
  </si>
  <si>
    <t>A Drug-Drug Interaction Study of HDM1002 and Metformin, Empagliflozin, Midazolam, Valsartan, and Warfarin</t>
  </si>
  <si>
    <t>NCT07137689</t>
  </si>
  <si>
    <t>A Study of LY3537982 in Participants With Kidney Problems Compared With Participants With Normal Kidney Function</t>
  </si>
  <si>
    <t>NCT06928389</t>
  </si>
  <si>
    <t>Ivonescimab in Combination With Docetaxel in Advanced Non-Small Cell Lung Cancer</t>
  </si>
  <si>
    <t>NCT07240116</t>
  </si>
  <si>
    <t>Study Evaluating the Bioavailability of Miricorilant With Optional Food Effect Assessment in Healthy Adult Subjects</t>
  </si>
  <si>
    <t>NCT06735248</t>
  </si>
  <si>
    <t>A Study to Investigate Multiple Sclerosis Relapse Prevention With mRNA-1195 Compared With Placebo in Participants Aged 18 to ≤55 Years</t>
  </si>
  <si>
    <t>NCT06824155</t>
  </si>
  <si>
    <t>HEAT Trial (HER2 Antibody Therapy With Lutetium-177)</t>
  </si>
  <si>
    <t>NCT06854952</t>
  </si>
  <si>
    <t>A Clinical Study to Evaluate the Efficacy, Safety, and Tolerability of TERN-601 in Adults With Overweight or Obesity</t>
  </si>
  <si>
    <t>NCT06968338</t>
  </si>
  <si>
    <t>A Study to Assess the Safety of ARGX-213 in Healthy Volunteers</t>
  </si>
  <si>
    <t>NCT07196748</t>
  </si>
  <si>
    <t>A Protocol of Icotrokinra Therapy in Adult and Adolescent Participants With Moderately to Severely Active Ulcerative Colitis</t>
  </si>
  <si>
    <t>NCT05387278</t>
  </si>
  <si>
    <t>Safety and Effectiveness of Placental Derived Exosomes and Umbilical Cord Mesenchymal Stem Cells in Moderate to Severe Acute Respiratory Distress Syndrome (ARDS) Associated With the Novel Corona Virus Infection (COVID-19)</t>
  </si>
  <si>
    <t>NCT07003425</t>
  </si>
  <si>
    <t>A Long-term Safety and Efficacy Study Evaluating APG777 in Atopic Dermatitis</t>
  </si>
  <si>
    <t>NCT06398418</t>
  </si>
  <si>
    <t>R-5780-01 In Combination With PD-1 Checkpoint Inhibitors (Checkpoint Protein on Immune Cells Called T Cells) in Patients With Solid Tumors</t>
  </si>
  <si>
    <t>NCT06849791</t>
  </si>
  <si>
    <t>A Study to Assess the Relative Bioavailability of Oral ABBV-932 in Healthy Adult Participants</t>
  </si>
  <si>
    <t>NCT06896760</t>
  </si>
  <si>
    <t>A Mass Balance Study of [14C]ABSK011</t>
  </si>
  <si>
    <t>NCT06738979</t>
  </si>
  <si>
    <t>A Clinical Study Comparing Semaglutide Injection and Wegovy® for Weight Management in Obese Subjects</t>
  </si>
  <si>
    <t>NCT06908876</t>
  </si>
  <si>
    <t>A Study to Evaluate the Efficacy and Safety of IBI302 inSubjects With Diabetic Macular Edema（DME）</t>
  </si>
  <si>
    <t>NCT07069335</t>
  </si>
  <si>
    <t>A Bioequivalence Study to Evaluate Pharmacokinetics and Safety of BR2022 and BR2022-1 in Patients With Deleterious or Suspected Deleterious Germline BRCA-Mutated Advanced Ovarian Cancer</t>
  </si>
  <si>
    <t>NCT07226817</t>
  </si>
  <si>
    <t>A Study to Assess the Relative Bioavailability of BMS-986435 and Food Effect on the BMS-986435 in Healthy Adult Participants</t>
  </si>
  <si>
    <t>NCT06797635</t>
  </si>
  <si>
    <t>Study of Patritumab Deruxtecan Plus Pembrolizumab With Other Anticancer Agents in Participants With High-Risk Early-Stage Triple-Negative or Hormone Receptor-Low Positive/HER-2 Negative Breast Cancer (MK-1022-010, HERTHENA-Breast-03)</t>
  </si>
  <si>
    <t>NCT07237425</t>
  </si>
  <si>
    <t>Intralesional Ronkyla Plus Injection for the Treatment of Superficial Lipoma</t>
  </si>
  <si>
    <t>Glonova Pharma Co., Ltd</t>
  </si>
  <si>
    <t>NCT06521567</t>
  </si>
  <si>
    <t>A Study of Cobolimab Plus Dostarlimab in Pediatric and Young Adult Participants With Cancer</t>
  </si>
  <si>
    <t>NCT07308184</t>
  </si>
  <si>
    <t>Bridge Study to Evaluate the Efficacy and Safety of IN-B00009 Injection in Patients With T2DM Inadequately Controlled by Diet and Exercise Alone</t>
  </si>
  <si>
    <t>NCT06666010</t>
  </si>
  <si>
    <t>PEX010-Assisted Therapy for Stimulant Use Disorder: A Safety, Feasibility and Efficacy Study</t>
  </si>
  <si>
    <t>NCT06694480</t>
  </si>
  <si>
    <t>Study of FID-022 in Participants With Advanced Solid Tumors</t>
  </si>
  <si>
    <t>NCT06517875</t>
  </si>
  <si>
    <t>Study of Momelotinib in Combination With Luspatercept in Participants With Transfusion Dependent Myelofibrosis</t>
  </si>
  <si>
    <t>NCT06859853</t>
  </si>
  <si>
    <t>A Study to Evaluate MWN109 Injection in Healthy Subjects</t>
  </si>
  <si>
    <t>NCT07071337</t>
  </si>
  <si>
    <t>A Study of SKB264 Versus Investigator's Choice of Chemotherapy in Subjects With Unresectable Locally Advanced, Relapsed, or Metastatic HR+/HER2- Breast Cancer Who Have Previously Failed Endocrine Therapy</t>
  </si>
  <si>
    <t>NCT06942572</t>
  </si>
  <si>
    <t>A Phase 1/2, First-in-Human Dose Escalation/Expansion Study to Evaluate the Safety, Tolerability and Preliminary Efficacy of a Subretinal Injection of SB-007 in Subjects With Stargardt Disease (STGD1)</t>
  </si>
  <si>
    <t>Splice Bio</t>
  </si>
  <si>
    <t>NCT06789302</t>
  </si>
  <si>
    <t>A Double-Blind, Randomized, Placebo-Controlled Phase IIa Clinical Trial to Evaluate the Safety and Efficacy of DT2-SCT in Subjects With Type 2 Diabetes Mellitus</t>
  </si>
  <si>
    <t>Global Institute of Stem Cell Therapy and Research</t>
  </si>
  <si>
    <t>NCT07029737</t>
  </si>
  <si>
    <t>A Study to Evaluate Acalabrutinib, in Combination With the R-CHOP Standard of Care, for Previously Untreated Mantle Cell Lymphoma in Spain</t>
  </si>
  <si>
    <t>NCT07218003</t>
  </si>
  <si>
    <t>A Phase 1/1b of RNDO-564 Single Agent or in Combination With Pembrolizumab in Bladder Cancer and Other Solid Tumors Associated With Nectin-4</t>
  </si>
  <si>
    <t>Rondo Therapeutics</t>
  </si>
  <si>
    <t>NCT06984627</t>
  </si>
  <si>
    <t>A Study to Investigate the Efficacy and Safety of Rilzabrutinib in Adult Participants With Graves' Disease</t>
  </si>
  <si>
    <t>NCT06712602</t>
  </si>
  <si>
    <t>PT150 Drug for Use in Alcohol Use Disorder</t>
  </si>
  <si>
    <t>NCT07239453</t>
  </si>
  <si>
    <t>Clinical Trial of Comparing DA-2902 and DA-2902-R in Healthy Adult Subjects</t>
  </si>
  <si>
    <t>NCT06774131</t>
  </si>
  <si>
    <t>A Phase 3 Single-arm Study of UGN-104 for the Treatment of Low-grade Upper Tract Urothelial Cancer</t>
  </si>
  <si>
    <t>NCT06859931</t>
  </si>
  <si>
    <t>Clinical Trial of TQB3702 Tablets in Subjects With Systemic Lupus Erythematosus (SLE)</t>
  </si>
  <si>
    <t>NCT07146386</t>
  </si>
  <si>
    <t>A Phase III Clinical Study of H077 Sustained-Release Tablets Compared With Silodosin Capsules in the Treatment of Benign Prostatic Hyperplasia</t>
  </si>
  <si>
    <t>NCT07190222</t>
  </si>
  <si>
    <t>Efficacy, Safety, and Tolerability Study of Lunsekimig Compared With Placebo in Adult Participants With Inadequately Controlled Chronic Obstructive Pulmonary Disease (COPD), Characterized by an Eosinophilic Phenotype</t>
  </si>
  <si>
    <t>NCT06746402</t>
  </si>
  <si>
    <t>A Study to Investigate the Safety, Tolerability, and Pharmacokinetics of BMS-986278 and the Effects of BMS-986278 on Cardiac Repolarization in Healthy Participants</t>
  </si>
  <si>
    <t>NCT06815627</t>
  </si>
  <si>
    <t>Safety and Efficacy Evaluation of NH002 as a Contrast Agent in Subjects Undergoing Cardiac Echocardiography</t>
  </si>
  <si>
    <t>Trust Bio-sonics, Inc.</t>
  </si>
  <si>
    <t>NCT07333183</t>
  </si>
  <si>
    <t>A Study of Mosliciguat in Combination With Inhaled Treprostinil in PH-ILD</t>
  </si>
  <si>
    <t>NCT07152405</t>
  </si>
  <si>
    <t>A Study of BL-M07D1 Versus Investigator's Choice of Chemotherapy in Patients With HER2-positive Locally Advanced or Metastatic Gastric or Gastro-esophageal Junction Adenocarcinoma</t>
  </si>
  <si>
    <t>NCT06441331</t>
  </si>
  <si>
    <t>Phase I Trial to Determine the Dose and Evaluate the PK and Safety of Lutetium Lu 177 Edotreotide Therapy in Pediatric Participants With SSTR-positive Tumors</t>
  </si>
  <si>
    <t>NCT07020923</t>
  </si>
  <si>
    <t>Monthly Dosing of Atacicept in IgAN</t>
  </si>
  <si>
    <t>NCT07412080</t>
  </si>
  <si>
    <t>EDP167 in Healthy Volunteers and Subjects With Mild Dyslipidemia</t>
  </si>
  <si>
    <t>Eddingpharm (Zhuhai) Co., Ltd.</t>
  </si>
  <si>
    <t>NCT06989359</t>
  </si>
  <si>
    <t>Phase 2 Study of ADX-038 in Complement-Mediated Kidney Disease</t>
  </si>
  <si>
    <t>NCT06867796</t>
  </si>
  <si>
    <t>A Safety and Pharmacokinetics Study of TL-001 in Healthy Adults</t>
  </si>
  <si>
    <t>TrueLab Biopharmaceutical Co., Ltd</t>
  </si>
  <si>
    <t>NCT06730386</t>
  </si>
  <si>
    <t>A Phase I Study of AK138D1 in the Treatment of Advanced Solid Tumors</t>
  </si>
  <si>
    <t>NCT07229729</t>
  </si>
  <si>
    <t>A Study of SHR-A2102 in Combination With Other Anti-tumor Therapies for Resectable Non-small Cell Lung Cancer</t>
  </si>
  <si>
    <t>NCT06935123</t>
  </si>
  <si>
    <t>Impact of Nutritional Supplementation on Sleep Quality</t>
  </si>
  <si>
    <t>Pharmavite LLC</t>
  </si>
  <si>
    <t>NCT07056842</t>
  </si>
  <si>
    <t>This is an Open-label, Non-randomized Study to Assess the Pharmacokinetics (PK) of VCT220 in Healthy Volunteers When Administered With Rifampin or Itraconazole</t>
  </si>
  <si>
    <t>NCT07046559</t>
  </si>
  <si>
    <t>A Single- and Multiple-Ascending Dose Study to Evaluate the Safety, Tolerability, and Pharmacokinetics of LY4066708 in Healthy Participants</t>
  </si>
  <si>
    <t>NCT06512883</t>
  </si>
  <si>
    <t>A Trial to Investigate Benralizumab in Children With Eosinophilic Diseases</t>
  </si>
  <si>
    <t>NCT07033494</t>
  </si>
  <si>
    <t>A Clinical Study of MK-2214 in People With Early Alzheimer's Disease (MK-2214-004)</t>
  </si>
  <si>
    <t>NCT06872580</t>
  </si>
  <si>
    <t>A Study of QLS1209 in theTreatment of Patients With Advanced Solid Tumors</t>
  </si>
  <si>
    <t>NCT07319559</t>
  </si>
  <si>
    <t>Clinical Trial to Evaluate the Safety, Pharmacokinetic Characteristics of DW5124 and DW5124-R, and the Effect of Food on DW5124 in Healthy Adult Volunteers</t>
  </si>
  <si>
    <t>NCT06771479</t>
  </si>
  <si>
    <t>A Study Evaluating the Safety and Immunogenicity of MVA Strain Monkeypox Attenuated Live Vaccine</t>
  </si>
  <si>
    <t>NCT07444762</t>
  </si>
  <si>
    <t>Clinical Trial to Evaluate the Efficacy and Safety of Combination Therapy of DW5421A/DW5421B Compared to Monotherapy of DW5421A</t>
  </si>
  <si>
    <t>NCT07115251</t>
  </si>
  <si>
    <t>Plans4Care: Personalized Dementia Care on Demand</t>
  </si>
  <si>
    <t>Plans4Care Inc</t>
  </si>
  <si>
    <t>NCT07086222</t>
  </si>
  <si>
    <t>Efficacy and Safety of NVX-CoV2705</t>
  </si>
  <si>
    <t>NCT06943677</t>
  </si>
  <si>
    <t>A Clinical Trial on the Safety, Tolerability, Pharmacokinetics and Preliminary Efficacy of TQB3019 Capsule in Subjects With Advanced Malignant Tumors</t>
  </si>
  <si>
    <t>NCT07084012</t>
  </si>
  <si>
    <t>A Phase IIa Clinical Trial to Evaluate the Efficacy and Safety of Intravenous Infusion of hUC-MSCs in Patients With AIS</t>
  </si>
  <si>
    <t>Shenzhen Wingor Biotechnology Co., Ltd.</t>
  </si>
  <si>
    <t>NCT07080619</t>
  </si>
  <si>
    <t>SC-101 in Subjects With Advanced NECTIN4-Amplified Cancers</t>
  </si>
  <si>
    <t>NCT06821529</t>
  </si>
  <si>
    <t>Stereotactic Intracerebral Injection of IPSC-DAPs in Patients with Parkinson's Disease</t>
  </si>
  <si>
    <t>iCamuno Biotherapeutics Ltd.</t>
  </si>
  <si>
    <t>NCT07220629</t>
  </si>
  <si>
    <t>Study to Explore the Safety and Efficacy of NT-0796 as an Adjunct to Semaglutide in Participants With Obesity (RESOLVE-2)</t>
  </si>
  <si>
    <t>NCT07100119</t>
  </si>
  <si>
    <t>A Study of LY4256984 in Participants With Sporadic Amyotrophic Lateral Sclerosis</t>
  </si>
  <si>
    <t>NCT06544330</t>
  </si>
  <si>
    <t>A Phase 1 Study of SYNCAR-001 + STK-009 Without Conditioning Chemotherapy (Lymphodepletion) in Subjects With Severe, Refractory Systemic Autoimmune Rheumatic Disease</t>
  </si>
  <si>
    <t>NCT07140081</t>
  </si>
  <si>
    <t>A Research Study to Evaluate BLX-0871 in Healthy Adults</t>
  </si>
  <si>
    <t>NCT07018245</t>
  </si>
  <si>
    <t>Clinical Trial of TJ0113 Capsules in the Treatment of Patients With Depressive Disorder</t>
  </si>
  <si>
    <t>NCT06994572</t>
  </si>
  <si>
    <t>Study of CT-01 as Monotherapy and Combination Therapy in Subjects With Intermediate or Advanced Hepatocellular Carcinoma</t>
  </si>
  <si>
    <t>Captor Therapeutics S.A.</t>
  </si>
  <si>
    <t>NCT06716619</t>
  </si>
  <si>
    <t>A Phase I Trial of Tumor-Associated Lymph Node T-Cell Injection With Advanced Malignant Solid Tumors</t>
  </si>
  <si>
    <t>NCT06857175</t>
  </si>
  <si>
    <t>A Study Comparing BL-B01D1 With Chemotherapy of Physician's Choice in Patients With Recurrent or Metastatic Urothelial Carcinoma(PANKU-Bladder01)</t>
  </si>
  <si>
    <t>NCT07335601</t>
  </si>
  <si>
    <t>Study to Evaluate Resmetirom in Post-Liver Transplant Patients With MASH</t>
  </si>
  <si>
    <t>NCT06921928</t>
  </si>
  <si>
    <t>Study for AZD4360 in Participants With Advanced Solid Tumours</t>
  </si>
  <si>
    <t>NCT06834282</t>
  </si>
  <si>
    <t>CER-1236 in Patients With Acute Myeloid Leukemia (AML), Myelodysplastic Syndrome (MDS), and Myelofibrosis (MF)</t>
  </si>
  <si>
    <t>CERo Therapeutics Holdings, Inc.</t>
  </si>
  <si>
    <t>NCT07213310</t>
  </si>
  <si>
    <t>Drug-Drug Interaction Study to Evaluate the Effect of DWC202511 or DWC202512 With DWP16001 in Healthy Adults</t>
  </si>
  <si>
    <t>NCT07216313</t>
  </si>
  <si>
    <t>A Drug-Drug Interaction Study of Denifanstat and Resmetirom in Healthy Adult Participants</t>
  </si>
  <si>
    <t>NCT07088913</t>
  </si>
  <si>
    <t>A Study to Investigate the Effect of Capivasertib on the Pharmacokinetics of Oral Rosuvastatin in Healthy Participants</t>
  </si>
  <si>
    <t>NCT07111013</t>
  </si>
  <si>
    <t>A Study to Assess the Long-Term Safety of Lifitegrast/Perfluorohexyloctane Fixed-Dose Combination in Subjects With Dry Eye Disease</t>
  </si>
  <si>
    <t>NCT06847724</t>
  </si>
  <si>
    <t>Comparative PK, PD, Efficacy, and Safety Assessment of the Proposed Ocrelizumab Biosimilar CYB704 and Ocrevus in Participants With Relapsing Multiple Sclerosis</t>
  </si>
  <si>
    <t>NCT07181694</t>
  </si>
  <si>
    <t>A Study of Pharmacokinetics, Safety, and Immunogenicity of BCD-057 100 mg/mL, BCD-057 50 mg/mL, and Humira 100 mg/mL in Healthy Subjects</t>
  </si>
  <si>
    <t>NCT07017179</t>
  </si>
  <si>
    <t>This is a Multi-centre, Multi-drug, Platform Study in Chinese Participants Living With Obesity / Overweight</t>
  </si>
  <si>
    <t>NCT06857370</t>
  </si>
  <si>
    <t>Inter-lot Consistency Clinical Trial of Adsorbed Cell-free DTP (Three-component) Combined Vaccine</t>
  </si>
  <si>
    <t>NCT07210996</t>
  </si>
  <si>
    <t>A Study to Evaluate the Relative Bioavailability of Pimicotinib Capsules Containing Free Base in Different Proportions in Healthy Subjects</t>
  </si>
  <si>
    <t>NCT07144462</t>
  </si>
  <si>
    <t>A Study to Evaluate the Safety, Tolerability, and Preliminary Efficacy of NEUK203-215 Injection in Adult Chinese Patients With Relapsed/Refractory Autoimmune Diseases</t>
  </si>
  <si>
    <t>Neukio Biotherapeutics (Shanghai) Co., Ltd.</t>
  </si>
  <si>
    <t>NCT06770569</t>
  </si>
  <si>
    <t>A Clinical Study to Evaluate the Safety, Tolerability, and Pharmacokinetics of HRS-3802 Monotherapy in Patients With Malignant Solid Tumors</t>
  </si>
  <si>
    <t>NCT06956196</t>
  </si>
  <si>
    <t>Study of Stapokibatrt in Children Subjects With Atopic Dermatitis</t>
  </si>
  <si>
    <t>NCT06944496</t>
  </si>
  <si>
    <t>A Study of Disitamab Vedotin Combined With Tislelizumab and Chemotherapy Versus Tislelizumab Combined With Chemotherapy in HER2-Low Advanced Gastric or Gastroesophageal Junction Adenocarcinoma</t>
  </si>
  <si>
    <t>NCT07024888</t>
  </si>
  <si>
    <t>A Study Evaluating the Food Effect on the Pharmacokinetics of SSS17 Capsules in Chinese Healthy Subjects</t>
  </si>
  <si>
    <t>NCT06932146</t>
  </si>
  <si>
    <t>A Phase 2a Study of LLX-424 in Patients With a History of Kidney Stones</t>
  </si>
  <si>
    <t>Lilac Therapeutics, Inc.</t>
  </si>
  <si>
    <t>NCT06925854</t>
  </si>
  <si>
    <t>A Study to Investigate How AZD4144 Affects the Pharmacokinetics of Rosuvastatin in Healthy Participants</t>
  </si>
  <si>
    <t>NCT06669403</t>
  </si>
  <si>
    <t>OPT101 in Patients With Community Acquired Pneumonia (CAP) With Sepsis</t>
  </si>
  <si>
    <t>NCT07230483</t>
  </si>
  <si>
    <t>A Long-term Safety and Efficacy Study Evaluating CM512 in Atopic Dermatitis.</t>
  </si>
  <si>
    <t>NCT07105722</t>
  </si>
  <si>
    <t>A Trial to Evaluate the Safety and Immune Response of an Investigational Pneumococcal Vaccine in Adults 50 To 64 Years of Age</t>
  </si>
  <si>
    <t>NCT06857942</t>
  </si>
  <si>
    <t>A Study to Investigate the Effectiveness of Tirzepatide (LY3298176) Following Initiation of Ixekizumab (LY2439821) in Participants With Moderate-to-Severe Plaque PsO and Obesity or Overweight in Clinical Practice (TOGETHER AMPLIFY-PsO)</t>
  </si>
  <si>
    <t>NCT06942741</t>
  </si>
  <si>
    <t>A Study to Evaluate the Effect of Formulation and Food on Calderasib (MK-1084) in Healthy Adult Participants (MK-1084-011)</t>
  </si>
  <si>
    <t>NCT07134205</t>
  </si>
  <si>
    <t>The Study of JMT101 Combined With Irinotecan as a ≥3rd-Line Treatment in Metastatic Colorectal Cancer</t>
  </si>
  <si>
    <t>NCT06747273</t>
  </si>
  <si>
    <t>Study to Evaluate the Safety, Tolerability, and Efficacy of SRP-9004 Administered by Systemic Infusion in Limb Girdle Muscular Dystrophy Type 2D/R3 Participants in the United States</t>
  </si>
  <si>
    <t>NCT07223723</t>
  </si>
  <si>
    <t>A Study to Learn More About the Long-Term Safety of Tofersen (Qalsody) in Chinese Participants With SOD-1 Amyotrophic Lateral Sclerosis (ALS)</t>
  </si>
  <si>
    <t>NCT06994286</t>
  </si>
  <si>
    <t>The Purpose of This Study is to Investigate the Safety, Tolerability and Pharmacokinetics of MT-7117 in Healthy Subjects.</t>
  </si>
  <si>
    <t>NCT06749054</t>
  </si>
  <si>
    <t>Evaluation of Long-Acting Lenacapavir for the Treatment of HIV-1 in Treatment-experienced Adolescents and Children</t>
  </si>
  <si>
    <t>NCT06656351</t>
  </si>
  <si>
    <t>B-FREE Chronic Babesiosis Study</t>
  </si>
  <si>
    <t>NCT07188805</t>
  </si>
  <si>
    <t>A Study to Learn More About How Well Finerenone Works, How Safe it is, and How it Moves Into, Through, and Out of the Body Compared to Placebo When Taken With Standard Treatment in Children With Heart Failure and Left Ventricular Systolic Dysfunction</t>
  </si>
  <si>
    <t>NCT07208773</t>
  </si>
  <si>
    <t>A Study of YL201 and Ivonescimab (AK112) in Advanced Solid Tumors</t>
  </si>
  <si>
    <t>NCT07210554</t>
  </si>
  <si>
    <t>Study of Stapokibart Injection in Subjects With Moderate to Severe Bullous Pemphigoid</t>
  </si>
  <si>
    <t>Chengdu Kangnuoxing Biopharma,Inc.</t>
  </si>
  <si>
    <t>NCT06846866</t>
  </si>
  <si>
    <t>A Study to Investigate the Safety, Tolerability, and Drug Levels of BMS-986419 (Part 1) and the Effects Multiple Doses of BMS-986419 on Cardiac Repolarization (Part 2) in Healthy Participants</t>
  </si>
  <si>
    <t>NCT06785454</t>
  </si>
  <si>
    <t>A Study to Assess the Efficacy and Safety of Lorundrostat in Participants With Obstructive Sleep Apnea and Hypertension</t>
  </si>
  <si>
    <t>NCT06745284</t>
  </si>
  <si>
    <t>A Study to Test Whether Survodutide Improves How the Body Uses Energy and Breaks Down Fat in People With Obesity</t>
  </si>
  <si>
    <t>NCT07282249</t>
  </si>
  <si>
    <t>Clinical Trial to Evaluate the Efficacy and Safety of TVAX-008 Injection in the Treatment of Chronic Hepatitis B</t>
  </si>
  <si>
    <t>NCT07133815</t>
  </si>
  <si>
    <t>Evaluate the Long-term Efficacy and Safety of SHR-1918 in Patients With Homozygous Familial Hypercholesterolemia</t>
  </si>
  <si>
    <t>NCT06690515</t>
  </si>
  <si>
    <t>Phase I/II, Open Label, Randomized, Safety and Immunogenicity Following DTwP-Hepatitis B-Hib-IPV Vaccine (Bio Farma) in Indonesian Infants</t>
  </si>
  <si>
    <t>NCT07089043</t>
  </si>
  <si>
    <t>A Study in Subjects With Neurogenic Orthostatic Hypotension</t>
  </si>
  <si>
    <t>NCT07054515</t>
  </si>
  <si>
    <t>A Study to Evaluate the Safety and Efficacy of Oral Nizubaglustat (AZ-3102) in Late-infantile and Juvenile Forms of Niemann-Pick Type C Disease, GM1 Gangliosidosis or GM2 Gangliosidosis</t>
  </si>
  <si>
    <t>NCT07138833</t>
  </si>
  <si>
    <t>A Phase IV Study of Dimethyl Fumarate Enteric-coated Capsules for Relapsing Multiple Sclerosis (RMS)</t>
  </si>
  <si>
    <t>NCT06992258</t>
  </si>
  <si>
    <t>A Randomized Phase 2 Trial of Fruquintinib and TAS-102 as Compared to Fruquintinib in Patients With Refractory Advanced/Metastatic Colorectal Cancer</t>
  </si>
  <si>
    <t>NCT06952504</t>
  </si>
  <si>
    <t>A Study to Compare Sacituzumab Tirumotecan (MK-2870) in Combination With Pembrolizumab (MK-3475) Versus Pembrolizumab Alone as Treatment in Participants With Mismatch Repair Proficient Endometrial Cancer (MK-2870-033/TroFuse-033/GOG-3119/ENGOT-en29)</t>
  </si>
  <si>
    <t>NCT06853184</t>
  </si>
  <si>
    <t>Study Evaluating the Efficacy and Safety of Artesunate</t>
  </si>
  <si>
    <t>Amivas Inc.</t>
  </si>
  <si>
    <t>NCT06792552</t>
  </si>
  <si>
    <t>A Phase I Study of SIM0505 in Participants With Advanced Solid Tumors</t>
  </si>
  <si>
    <t>NCT06969664</t>
  </si>
  <si>
    <t>A Trial of SHR7280 in Healthy Subjects</t>
  </si>
  <si>
    <t>NCT06786338</t>
  </si>
  <si>
    <t>A Study of SGB-9768 in Patients with Complement-mediated Kidney Diseases</t>
  </si>
  <si>
    <t>NCT06840548</t>
  </si>
  <si>
    <t>A Study to Evaluate the Safety and Dosimetry of 68Ga-OncoCAIX in Patients With CAIX-positive Cancer</t>
  </si>
  <si>
    <t>NCT07029555</t>
  </si>
  <si>
    <t>An Ascending Dose Study of PIT565 in Participants With Rheumatoid Arthritis</t>
  </si>
  <si>
    <t>NCT06952478</t>
  </si>
  <si>
    <t>A Study to Compare Pharmacokinetics, Efficacy and Safety of Subcutaneous CT-P44 and Darzalex Faspro in Combination With Lenalidomide and Dexamethasone in Patients With Refractory or Relapsed Multiple Myeloma</t>
  </si>
  <si>
    <t>NCT06738251</t>
  </si>
  <si>
    <t>A Phase III Study of SHR-A2102 Versus Investigator-selected Therapy in Advanced Urothelial Carcinoma</t>
  </si>
  <si>
    <t>NCT07158151</t>
  </si>
  <si>
    <t>A Phase II Trial of the Safety and Efficacy of RSS0309 Ointment in Adults With Atopic Dermatitis</t>
  </si>
  <si>
    <t>NCT07113522</t>
  </si>
  <si>
    <t>A Phase 2 Study to Evaluate Therapies for Inflammatory Bowel Disease</t>
  </si>
  <si>
    <t>NCT06906731</t>
  </si>
  <si>
    <t>A Study of SHR-9803 for Injection in Patients With Advanced Solid Tumors</t>
  </si>
  <si>
    <t>NCT07102511</t>
  </si>
  <si>
    <t>Randomized, Placebo-Controlled, Double-Blind, Phase 3b Study to Evaluate the Efficacy and Safety of Lerodalcibep in Children 6 to 17 Years, With Heterozygous FH</t>
  </si>
  <si>
    <t>NCT07232147</t>
  </si>
  <si>
    <t>Clinical Research on Stem Cell Therapy for Parkinson's Disease</t>
  </si>
  <si>
    <t>NCT06834347</t>
  </si>
  <si>
    <t>NCT07042126</t>
  </si>
  <si>
    <t>Evaluation of 611 in Chinese Adolescents With Moderate to Severe Atopic Dermatitis</t>
  </si>
  <si>
    <t>NCT07215585</t>
  </si>
  <si>
    <t>AZD0486 1L Therapy for Elderly or Unfit Participants With LBCL</t>
  </si>
  <si>
    <t>NCT06870487</t>
  </si>
  <si>
    <t>A Study to Learn About the Study Medicine Called PF-08046032 in People With Advanced Cancers</t>
  </si>
  <si>
    <t>NCT07177716</t>
  </si>
  <si>
    <t>Efficacy and Safety of LB1410 Plus Lenvatinib With or Without LB4330 in Advanced Recurrent/Metastatic Cervical Cancer</t>
  </si>
  <si>
    <t>NCT07179055</t>
  </si>
  <si>
    <t>An Eight-Week Study to Evaluate the Safety and Efficacy of VSJ-110 Compared to Placebo in the Treatment of Dry Eye</t>
  </si>
  <si>
    <t>NCT07079475</t>
  </si>
  <si>
    <t>Study of Oral EGFR Inhibitor DZD6008 Combined With Sunvozertinib in Patients Who Have Advanced NSCLC With EGFR Mutations (TIAN-SHAN8)</t>
  </si>
  <si>
    <t>NCT07278336</t>
  </si>
  <si>
    <t>A Study to Assess Adverse Events, Change in Disease Activity and How Intravenous (IV) ABBV901 Moves Through the Body Alone or in Combination With Bevacizumab in Adult Participants With Ovarian Cancer</t>
  </si>
  <si>
    <t>NCT07224399</t>
  </si>
  <si>
    <t>Evaluate the Pharmacokinetics, Pharmacodynamics, Safety and Tolerability of BGM1812 Injection Following Single and Multiple Subcutaneous Administration in Normal to Overweight or Obese But Otherwise Healthy Men and Women</t>
  </si>
  <si>
    <t>NCT06844799</t>
  </si>
  <si>
    <t>A Study of HS-20137 in Participants with Moderate-to-severe Plaque Psoriasis</t>
  </si>
  <si>
    <t>NCT06747416</t>
  </si>
  <si>
    <t>KN057 Multiple Dose Study in Patients with Hemophilia a or Hemophilia B with or Without Inhibitors</t>
  </si>
  <si>
    <t>NCT07038200</t>
  </si>
  <si>
    <t>A Study to Evaluate Del-brax (Also Referred to as AOC 1020) in Participants With FSHD</t>
  </si>
  <si>
    <t>NCT07106021</t>
  </si>
  <si>
    <t>A Study to Assess Safety and Efficacy of Surgical Implant of RNDP-001 in Patients With Idiopathic Parkinson's Disease</t>
  </si>
  <si>
    <t>Kenai Therapeutics</t>
  </si>
  <si>
    <t>NCT06874621</t>
  </si>
  <si>
    <t>VY7523-102: Randomized, Placebo-Controlled, Double-Blind, Multiple Ascending Dose Study in Participants With Early Alzheimer's Disease</t>
  </si>
  <si>
    <t>NCT06440239</t>
  </si>
  <si>
    <t>A Study to Evaluate the Safety, Tolerability and Efficacy in Patients With Burn(s)</t>
  </si>
  <si>
    <t>Primoris Therapeutics</t>
  </si>
  <si>
    <t>NCT06829199</t>
  </si>
  <si>
    <t>A Clinical Study of Boserolimab (MK-5890) With Pembrolizumab and Chemotherapy in People With Early Triple-Negative Breast Cancer (MK-5890-003)</t>
  </si>
  <si>
    <t>NCT07230132</t>
  </si>
  <si>
    <t>Efficacy and Safety of ZT006 in Overweight and Obese Participants</t>
  </si>
  <si>
    <t>NCT06939504</t>
  </si>
  <si>
    <t>A Trial of HRS-9813 Capsule and Tablet in Healthy Subjects</t>
  </si>
  <si>
    <t>NCT07439133</t>
  </si>
  <si>
    <t>Comparison of Diagnostic Accuracy Between XTR004 PET MPI and the Composite Index of Quantitative Coronary Angiography (QCA) and Fractional Flow Reserve (FFR)</t>
  </si>
  <si>
    <t>NCT07330934</t>
  </si>
  <si>
    <t>A Study to Evaluate Efficacy and Safety of IBI356 in Participants With Moderate to Severe Atopic Dermatitis</t>
  </si>
  <si>
    <t>NCT07258121</t>
  </si>
  <si>
    <t>Study of ZGGS34 in Participants With Advanced Solid Tumors</t>
  </si>
  <si>
    <t>NCT07008378</t>
  </si>
  <si>
    <t>A Study to Evaluate the Safety, Tolerability, Cellular Kinetics, and Pharmacodynamics of P-CD19CD20-ALLO1 in Participants With Multiple Sclerosis</t>
  </si>
  <si>
    <t>NCT06680128</t>
  </si>
  <si>
    <t>A Study to Assess the Safety, Reactogenicity, and Immunogenicity of SK Japanese Encephalitis Messenger Ribonucleic Acid (mRNA) Vaccines (GBP560) in Healthy Adults</t>
  </si>
  <si>
    <t>NCT07220564</t>
  </si>
  <si>
    <t>A Research Study Looking at How Different Doses of Study Medicine (Inno8) Work in the Body of People With Haemophilia A</t>
  </si>
  <si>
    <t>NCT07321093</t>
  </si>
  <si>
    <t>A Study of the Efficacy and Safety of BCD-281 in Patients With Relapsing-Remitting Multiple Sclerosis</t>
  </si>
  <si>
    <t>NCT06708416</t>
  </si>
  <si>
    <t>A Study of ONO-1110 in Patients With Postherpetic Neuralgia</t>
  </si>
  <si>
    <t>NCT07073014</t>
  </si>
  <si>
    <t>Long-Term Extension Study of Vosoritide to Treat Children With Hypochondroplasia</t>
  </si>
  <si>
    <t>NCT06777316</t>
  </si>
  <si>
    <t>A Study of an FGFR2/3 Inhibitor (CGT4859) in Patients With Cholangiocarcinoma and Other Advanced Solid Tumors</t>
  </si>
  <si>
    <t>NCT07100249</t>
  </si>
  <si>
    <t>A Study of HDM2012 in Patients With Advanced Solid Tumor</t>
  </si>
  <si>
    <t>NCT07220109</t>
  </si>
  <si>
    <t>A Study on the Immune Response and Safety of Vaccine Against Respiratory Syncytial Virus Given to Chinese Adults 18 to 59 Years of Age at Increased Risk of Respiratory Syncytial Virus Disease</t>
  </si>
  <si>
    <t>NCT06869187</t>
  </si>
  <si>
    <t>Study of ABX-002 for the Adjunctive Treatment of Depressive Episodes Associated With Bipolar Disorder in Adults</t>
  </si>
  <si>
    <t>NCT06891716</t>
  </si>
  <si>
    <t>[18F]ACI-19626 PET in TDP-43 Proteinopathies</t>
  </si>
  <si>
    <t>NCT06823947</t>
  </si>
  <si>
    <t>Study of KK3910 in Healthy Volunteers and Patients With Essential Hypertension</t>
  </si>
  <si>
    <t>NCT07205926</t>
  </si>
  <si>
    <t>First in Human Dose Escalation Study Evaluating the Safety and Immunogenicity of IVT's Shigella-04 Vaccine in Healthy Young Adults</t>
  </si>
  <si>
    <t>NCT07033585</t>
  </si>
  <si>
    <t>Generic Drugs (Dapagliflozin and Saxagliptin) Treat Type 2 Diabetes Patients With Controlled Cancers</t>
  </si>
  <si>
    <t>NCT06563804</t>
  </si>
  <si>
    <t>A Study to Evaluate S227928 as a Single Agent and in Combination With Venetoclax in Patients With R/R AML, MDS/AML, or CMML</t>
  </si>
  <si>
    <t>NCT07338604</t>
  </si>
  <si>
    <t>Clinical Study of UTAA07 Injection in the Treatment of Hematologic and Lymphatic Systemic Malignancies</t>
  </si>
  <si>
    <t>NCT07201584</t>
  </si>
  <si>
    <t>A Comparative Bioavailability Study of Two Torasemide 10 mg Tablets Formulations in Healthy Adult Participants Under Fasting Conditions:</t>
  </si>
  <si>
    <t>NCT07413978</t>
  </si>
  <si>
    <t>A Clinical Trial of Human Umbilical Cord Mesenchymal Stem Cell Injection for the Treatment of Severe Acute Respiratory Distress Syndrome</t>
  </si>
  <si>
    <t>Changchun Tuohua Pharmaceutical Co., Ltd.</t>
  </si>
  <si>
    <t>NCT07225816</t>
  </si>
  <si>
    <t>Examination of How the Duration of Fasting and Temporary Stopping of GLP-1 Medications Affect the Amount of Food Left in the Stomach in People Using Liraglutide (Injected), Semaglutide (Taken by Mouth) or Semaglutide (Injected)</t>
  </si>
  <si>
    <t>NCT07311538</t>
  </si>
  <si>
    <t>Phase IIa Study of BRY812 Monotherapy in Advanced Gynecological Malignancies</t>
  </si>
  <si>
    <t>NCT07119125</t>
  </si>
  <si>
    <t>A First-in-human, 3-part Study of MRT-8102 in Healthy Participants and Participants at Cardiovascular Risk With Elevated CRP</t>
  </si>
  <si>
    <t>NCT07183189</t>
  </si>
  <si>
    <t>A Study of SHR-A2009 Combined With Aumolertinib Versus Aumolertinib for First-line Treatment in EGFR-mutated, Advanced or Metastatic NSCLC</t>
  </si>
  <si>
    <t>NCT07024732</t>
  </si>
  <si>
    <t>A Safety and Tolerability Clinical Trial of PST-611 in Dry Age-related Macular Degeneration</t>
  </si>
  <si>
    <t>NCT07429032</t>
  </si>
  <si>
    <t>The Effect of AMG 133 on Gastric Emptying</t>
  </si>
  <si>
    <t>NCT06790693</t>
  </si>
  <si>
    <t>A Study Evaluating the Efficacy and Safety of Inavolisib Plus CDK4/6 Inhibitor and Letrozole vs Placebo + CDK4/6i and Letrozole in Participants With Endocrine-Sensitive PIK3CA-Mutated, Hormone Receptor-Positive, HER2-Negative Advanced Breast Cancer</t>
  </si>
  <si>
    <t>NCT07175506</t>
  </si>
  <si>
    <t>Study of CM559 in Healthy Subjects</t>
  </si>
  <si>
    <t>NCT07262333</t>
  </si>
  <si>
    <t>A Trial of Hydroxynidone Capsules in Single-dose Administration for Patients With Renal Insufficiency</t>
  </si>
  <si>
    <t>NCT07165015</t>
  </si>
  <si>
    <t>A Study of Pharmacokinetics and Safety of LY3537031 in Participants With Normal Renal Function and Participants With Renal Impairment</t>
  </si>
  <si>
    <t>NCT07044687</t>
  </si>
  <si>
    <t>Study to Assess Adverse Events and Change in Disease Activity of Oral Venetoclax in Combination With Subcutaneous (SC) or Intravenous (IV) Azacitidine in Newly Diagnosed Adult Participants With Acute Myeloid Leukemia (AML) Who Are Ineligible for Standard Induction Therapy in India</t>
  </si>
  <si>
    <t>NCT06628947</t>
  </si>
  <si>
    <t>A Phase II Study of Intravitreal KIO-301 in Patients With Late-stage Retinitis Pigmentosa</t>
  </si>
  <si>
    <t>NCT07206758</t>
  </si>
  <si>
    <t>Phase I Study of SHR-2173 Injection in Patients With Primary Immune Thrombocytopenia</t>
  </si>
  <si>
    <t>NCT06929325</t>
  </si>
  <si>
    <t>Sirolimus for Injection (Albumin-bound) Combined With Fulvestrant for HR+/HER2- Advanced/Metastatic Breast Cancer Patients Previously Treated With CDK4/6 Inhibitors</t>
  </si>
  <si>
    <t>NCT07060365</t>
  </si>
  <si>
    <t>A Master Protocol Study to Investigate Biomarker-guided Novel Anticancer Agent(s) as Monotherapy or Combination Therapy in Participants With Advanced/Recurrent Ovarian Cancer</t>
  </si>
  <si>
    <t>NCT07093268</t>
  </si>
  <si>
    <t>Safety of Intrathecal Riluzole in Patients With Amyotrophic Lateral Sclerosis</t>
  </si>
  <si>
    <t>Brain Trust Bio</t>
  </si>
  <si>
    <t>NCT07015268</t>
  </si>
  <si>
    <t>A Clinical Study of KLH-2109 in Patients With Endometriosis</t>
  </si>
  <si>
    <t>NCT07209813</t>
  </si>
  <si>
    <t>GKL-006 Combined With TACE in Treatment of Unresectable Hepatocellular Carcinoma</t>
  </si>
  <si>
    <t>Beijing Gene Key Life Technology Co., Ltd</t>
  </si>
  <si>
    <t>NCT07186595</t>
  </si>
  <si>
    <t>A Study to Evaluate the Safety and Effectiveness of JUVÉDERM Products in Adult Participants for the Change of Their Overall Facial Appearance</t>
  </si>
  <si>
    <t>NCT06983743</t>
  </si>
  <si>
    <t>A Study of ERAS-0015 in Patients With Advanced or Metastatic Solid Tumors</t>
  </si>
  <si>
    <t>NCT07189455</t>
  </si>
  <si>
    <t>Study Comparing ZG006 With Investigator-Selected Chemotherapy in Participants With Relapsed Small Cell Lung Cancer</t>
  </si>
  <si>
    <t>NCT07120425</t>
  </si>
  <si>
    <t>A Study of IBI3032 in Healthy Participants</t>
  </si>
  <si>
    <t>Fortvita Biologics (USA)Inc.</t>
  </si>
  <si>
    <t>NCT06775340</t>
  </si>
  <si>
    <t>Study of RSS0343 Tablets in Patients With Non-cystic Fibrosis Bronchiectasis</t>
  </si>
  <si>
    <t>NCT07082686</t>
  </si>
  <si>
    <t>A Study to Evaluate the Efficacy and Safety of ICP-248 in Subjects With Relapsed or Refractory Mantle Cell Lymphoma (APEX-06)</t>
  </si>
  <si>
    <t>NCT06432166</t>
  </si>
  <si>
    <t>2-Hydroxybenzylamine (2-HOBA) Study in Early Alzheimer's Patients</t>
  </si>
  <si>
    <t>MTI Biotech Inc</t>
  </si>
  <si>
    <t>NCT07172802</t>
  </si>
  <si>
    <t>A Study of GI-108, an Anti-CD73-IgG4 Fc-IL-2v Bispecific Fusion Protein, as Monotherapy in Patients With Advanced or Metastatic Solid Tumors</t>
  </si>
  <si>
    <t>NCT06714253</t>
  </si>
  <si>
    <t>Study of Circular RNA Treatment in Patients With Radiation Induced Xerostomia-1</t>
  </si>
  <si>
    <t>RiboX Therapeutics Ltd.</t>
  </si>
  <si>
    <t>NCT06908707</t>
  </si>
  <si>
    <t>A Study to Investigate Safety, Tolerability and Pharmacokinetics of LAE102 in Postmenopausal Women</t>
  </si>
  <si>
    <t>NCT07236099</t>
  </si>
  <si>
    <t>Study of the Efficacy and Safety of ICP-332 in Participants With Prurigo Nodularis</t>
  </si>
  <si>
    <t>NCT07291232</t>
  </si>
  <si>
    <t>A Study of ABBV-295 Subcutaneous Injections to Assess Adverse Events and Pharmacokinetics in Adult Participants With Obesity</t>
  </si>
  <si>
    <t>NCT06827457</t>
  </si>
  <si>
    <t>A Study of Safety, Tolerability, PK, and PD of Subcutaneous GenSci120 in Healthy Adults.</t>
  </si>
  <si>
    <t>NCT07245771</t>
  </si>
  <si>
    <t>Phase 1/2a Study to Evaluate the Safety, Tolerability, Pharmacokinetics, Pharmacodynamics and Effect on Body Weight of RN3161 as Monotherapy and in Combination With Tirzepatide in Adults With Overweight and Obesity</t>
  </si>
  <si>
    <t>NCT07222098</t>
  </si>
  <si>
    <t>A Clinical Study of Calderasib (MK-1084) With Rosuvastatin and Metformin in Healthy People (MK-1084-016)</t>
  </si>
  <si>
    <t>NCT07164170</t>
  </si>
  <si>
    <t>A Phase 2 Clinical Study of Combination Therapy With ABSK043 and Glecirasib</t>
  </si>
  <si>
    <t>NCT06764628</t>
  </si>
  <si>
    <t>A Study of SHR-4375 in Subjects With Solid Tumors</t>
  </si>
  <si>
    <t>NCT07024407</t>
  </si>
  <si>
    <t>A Study of Andecaliximab in People With Spinal Cord Injury at Risk for Bone Growth Outside of the Normal Skeleton.</t>
  </si>
  <si>
    <t>NCT07180511</t>
  </si>
  <si>
    <t>A Phase III Clinical Study of QY201 Tablet in Subjects With Moderate to Severe Atopic Dermatitis.</t>
  </si>
  <si>
    <t>NCT07261644</t>
  </si>
  <si>
    <t>A Study to Evaluate the Efficacy and Safety of 608 in Adult Subjects With Active Ankylosing Spondylitis(AS)</t>
  </si>
  <si>
    <t>NCT06786234</t>
  </si>
  <si>
    <t>A Phase 2 Study to Assess STP938 (Dencatistat) as a Monotherapy in Adults With High Risk Essential Thrombocythaemia - The VECTRA Trial</t>
  </si>
  <si>
    <t>NCT07393334</t>
  </si>
  <si>
    <t>Effects of NLS-133, a Potential Non-Hormonal "On-Demand" Male Contraceptive</t>
  </si>
  <si>
    <t>Next Life Sciences</t>
  </si>
  <si>
    <t>NCT06834009</t>
  </si>
  <si>
    <t>A Study of Suzetrigine (SUZ) Spray-dried Dispersion (SSD) in Healthy Adult Panelists</t>
  </si>
  <si>
    <t>NCT06798831</t>
  </si>
  <si>
    <t>Study Evaluating the Safety of a Recombinant Acellular Pertussis Vaccine in Adults</t>
  </si>
  <si>
    <t>NCT07329101</t>
  </si>
  <si>
    <t>Clinical Study to Evaluate the Safety, Pharmacokinetics and Efficacy of VC005 in Adolescent Subjects With Mild to Moderate Atopic Dermatitis</t>
  </si>
  <si>
    <t>NCT06864507</t>
  </si>
  <si>
    <t>A Study to Evaluate the Safety, Tolerability, Pharmacokinetics and Preliminary Efficacy of HS-10561 Capsule in Healthy Chinese Adults and Patients With Chronic Spontaneous Urticaria.</t>
  </si>
  <si>
    <t>NCT07252232</t>
  </si>
  <si>
    <t>Study of Daraxonrasib (RMC-6236) in Patients With Resected Pancreatic Ductal Adenocarcinoma (PDAC)</t>
  </si>
  <si>
    <t>NCT06940336</t>
  </si>
  <si>
    <t>To Evaluate the Efficacy and Safety of Tafamidis Meglumine Soft Capsules in the Treatment of Adult Patients With Transthyretin Amyloid Polyneuropathy</t>
  </si>
  <si>
    <t>NCT07300111</t>
  </si>
  <si>
    <t>A Study to Evaluate Efficacy and Safety of QLG1218(Daprodustat) in Chinese Hemodialysis (HD)-Dependent Subjects With Anemia Associated With Chronic Kidney Disease (CKD)</t>
  </si>
  <si>
    <t>NCT06797999</t>
  </si>
  <si>
    <t>First-in-Human Study of ADCE-D01 in Soft Tissue Sarcoma</t>
  </si>
  <si>
    <t>NCT06764771</t>
  </si>
  <si>
    <t>A Study of BMS-986488 as Monotherapy and Combination Therapy in Participants With Advanced Malignant Tumors</t>
  </si>
  <si>
    <t>NCT07071519</t>
  </si>
  <si>
    <t>A Study to Learn More About How Risankizumab Works in Young Participants With Ulcerative Colitis</t>
  </si>
  <si>
    <t>NCT06937957</t>
  </si>
  <si>
    <t>A Study of BR111 in Patients With Advanced Malignancies</t>
  </si>
  <si>
    <t>NCT06903065</t>
  </si>
  <si>
    <t>A Study to Assess the Safety, Pharmacokinetics, and Activity of RO7790121 in Participants With Advanced MASH Liver Fibrosis</t>
  </si>
  <si>
    <t>NCT06894771</t>
  </si>
  <si>
    <t>A Study of MK-4700 Alone or With Pembrolizumab in Participants With Advanced or Metastatic Solid Tumors (MK-4700-001)</t>
  </si>
  <si>
    <t>NCT06704269</t>
  </si>
  <si>
    <t>Study to Assess Safety, Efficacy, and Cellular Kinetics of YTB323 in Generalized Myasthenia Gravis</t>
  </si>
  <si>
    <t>NCT06930612</t>
  </si>
  <si>
    <t>A Study of CM512 in Patients With Chronic Rhinosinusitis With Nasal Polyposis （NEZHA-1）</t>
  </si>
  <si>
    <t>NCT07175428</t>
  </si>
  <si>
    <t>Safety in Adult Participants With Atrial Fibrillation Who Are Treated With Anticoagulation</t>
  </si>
  <si>
    <t>NCT06833983</t>
  </si>
  <si>
    <t>To Evaluate the Clinical Study of GS1191-0445 Injection in the Treatment of Hemophilia A</t>
  </si>
  <si>
    <t>NCT07149454</t>
  </si>
  <si>
    <t>Clinical Trial to Evaluate the Safety, Tolerability, Pharmacokinetics, and Pharmacodynamics of Recombinant Human Anti-Tetanus Toxin Monoclonal Antibody Injection</t>
  </si>
  <si>
    <t>NCT07287839</t>
  </si>
  <si>
    <t>Parcel-guided rTMS for Major Depressive Disorder</t>
  </si>
  <si>
    <t>NCT07028281</t>
  </si>
  <si>
    <t>A Trial of SHR-4849 Combined With Other Antitumor Drugs in Patients With Malignant Solid Tumors</t>
  </si>
  <si>
    <t>NCT07263919</t>
  </si>
  <si>
    <t>Perioperative Cadonilimab Combined With Neoadjuvant Chemotherapy in Resectable Esophageal Squamous Cell Carcinoma (ESCC)</t>
  </si>
  <si>
    <t>NCT06961721</t>
  </si>
  <si>
    <t>A Multicenter, Randomized, Double-Blind, Placebo-Controlled Phase IV Clinical Trial to Evaluate the Immunogenicity and Safety of a Live Attenuated Herpes Zoster Vaccine in Adults Aged 40 Years and Older</t>
  </si>
  <si>
    <t>NCT07229404</t>
  </si>
  <si>
    <t>A Study to Investigate Relative Bioavailability, Safety and Tolerability of Single- and Multiple-doses of Elinzanetant in Healthy Female Participants</t>
  </si>
  <si>
    <t>NCT06349408</t>
  </si>
  <si>
    <t>IBI3001 in Participants With Unresectable, Locally Advanced or Metastatic Solid Tumors</t>
  </si>
  <si>
    <t>NCT06880276</t>
  </si>
  <si>
    <t>Efficacy and Safety Study of QLM3003 Ointment in Participants With Mild or Moderate Atopic Dermatitis</t>
  </si>
  <si>
    <t>NCT07330440</t>
  </si>
  <si>
    <t>A Phase I Study to Evaluate the Safety, Tolerability, and Immunogenicity of an mRNA Vaccine Against Herpes Simplex Virus Type 2 (HSV-2) Post-Vaccination</t>
  </si>
  <si>
    <t>NCT07137598</t>
  </si>
  <si>
    <t>A Study to Assess the Efficacy and Safety of RO7790121 in Participants With Moderate to Severe Rheumatoid Arthritis Who Have Not Responded to or Who Cannot Tolerate Tumor Necrosis Factor (TNF) and/or Janus Kinase (JAK Inhibitors)</t>
  </si>
  <si>
    <t>NCT07129993</t>
  </si>
  <si>
    <t>Study of Datopotamab Deruxtecan Plus Carboplatin or Cisplatin Versus Gemcitabine Plus Carboplatin or Cisplatin in Participants With Locally Advanced or Metastatic Urothelial Carcinoma</t>
  </si>
  <si>
    <t>NCT07340216</t>
  </si>
  <si>
    <t>Maximal Usage Pharmacokinetics and Safety Study of ARQ-154 Foam 0.3% in Pediatric Participants With Scalp and Body Psoriasis</t>
  </si>
  <si>
    <t>NCT07232849</t>
  </si>
  <si>
    <t>A Trial of HRS-4508 Combined With Other Antitumor Therapies in Subjects With Locally Advanced or Metastatic Non-small Cell Lung Cancer</t>
  </si>
  <si>
    <t>NCT07025915</t>
  </si>
  <si>
    <t>A Phase 1 Mass Balance Study of [¹⁴C]SSS17 in Healthy Chinese Males</t>
  </si>
  <si>
    <t>NCT05913752</t>
  </si>
  <si>
    <t>A First in Human Study of CMND-100 in Healthy and Alcohol Use Disorder (AUD) Subjects</t>
  </si>
  <si>
    <t>Clearmind Medicine Inc.</t>
  </si>
  <si>
    <t>NCT07063238</t>
  </si>
  <si>
    <t>A Clinical Study of MK-8527 in Healthy Adult Participants (MK-8527-014)</t>
  </si>
  <si>
    <t>NCT07161258</t>
  </si>
  <si>
    <t>A Pharmacokinetics (PK), Pharmacodynamics (PD), Safety and Tolerability Study of Fenebrutinib in Children and Adolescents With Relapsing Multiple Sclerosis (RMS)</t>
  </si>
  <si>
    <t>NCT07103148</t>
  </si>
  <si>
    <t>A Phase III Control Study of the Safety and Immunogenicity of vYF in Pediatric Population</t>
  </si>
  <si>
    <t>NCT06987643</t>
  </si>
  <si>
    <t>A Clinical Study to Investigate the Effect of Oral Neflamapimod on Motor Recovery After Acute Ischaemic Stroke</t>
  </si>
  <si>
    <t>NCT06932315</t>
  </si>
  <si>
    <t>A Study to Evaluate the Safety, Tolerability and Dose-Response Relationship of HRS-9190 in Healthy Subjects</t>
  </si>
  <si>
    <t>NCT06791525</t>
  </si>
  <si>
    <t>Tirbanibulin for Pediatric Warts</t>
  </si>
  <si>
    <t>The Skin Center Dermatology Group</t>
  </si>
  <si>
    <t>NCT07186426</t>
  </si>
  <si>
    <t>A Clinical Trial Evaluating the Efficacy and Safety of HSK21542 in Patients for Postoperative Pain Treatment in Orthopedic Surgery</t>
  </si>
  <si>
    <t>NCT06907043</t>
  </si>
  <si>
    <t>A Study of PARP1 Selective Inhibitor, EIK1004 (IMP1707) in Participants With Advanced Solid Tumors.</t>
  </si>
  <si>
    <t>NCT07114315</t>
  </si>
  <si>
    <t>A Study of AK130 in Combination With AK112 for the Treatment of Advanced Pancreatic Cancer</t>
  </si>
  <si>
    <t>NCT07124117</t>
  </si>
  <si>
    <t>A Study Evaluating OBI-902 in Participants With Advanced Solid Tumors</t>
  </si>
  <si>
    <t>NCT06596291</t>
  </si>
  <si>
    <t>Dose Escalation Study of EG110A, Administered by Intradetrusor Injections to Adults With Neurogenic Detrusor Overactivity-related Incontinence Following Spinal Cord Injury Who Regularly Perform Clean Intermittent Catheterization</t>
  </si>
  <si>
    <t>EG 427</t>
  </si>
  <si>
    <t>NCT07122193</t>
  </si>
  <si>
    <t>A Study of NT 201 in Adults With Moderate to Severe Platysma Prominence in the United States</t>
  </si>
  <si>
    <t>NCT07168915</t>
  </si>
  <si>
    <t>A Study of V118E in Healthy Participants (V118E-003)</t>
  </si>
  <si>
    <t>NCT06962787</t>
  </si>
  <si>
    <t>A Study of BL-B01D1+TKI±Pembrolizumab in Patients With Locally Advanced or Metastatic Renal Cancer</t>
  </si>
  <si>
    <t>NCT07076121</t>
  </si>
  <si>
    <t>A Study Comparing Navlimetostat (BMS-986504) in Combination With Nab-paclitaxel and Gemcitabine Versus Placebo in Combination With Nab-paclitaxel and Gemcitabine in Participants With Untreated Metastatic Pancreatic Ductal Adenocarcinoma With Homozygous MTAP Deletion (MountainTAP-30)</t>
  </si>
  <si>
    <t>NCT06712316</t>
  </si>
  <si>
    <t>Safety, Efficacy, and Pharmacokinetics of BNT327 in Combination With Chemotherapy and Other Investigational Agents for Lung Cancer</t>
  </si>
  <si>
    <t>NCT06819735</t>
  </si>
  <si>
    <t>Study of DT-7012 as a Single Agent and in Combination With an Immune Checkpoint Inhibitor in Participants With Advanced Solid Tumors</t>
  </si>
  <si>
    <t>Domain Therapeutics Australia Pty Ltd</t>
  </si>
  <si>
    <t>NCT06754735</t>
  </si>
  <si>
    <t>Trial to Evaluate Cyclical Topical Wound Oxygen Therapy in the Treatment of Chronic Venous Leg Ulcers</t>
  </si>
  <si>
    <t>AOTI Ltd.</t>
  </si>
  <si>
    <t>NCT06929156</t>
  </si>
  <si>
    <t>A Study of BGM0504 in Healthy Participants and Participants With Impaired Renal Function</t>
  </si>
  <si>
    <t>NCT07192939</t>
  </si>
  <si>
    <t>Multicenter, Randomized, Double-blind, Placebo-controlled Phase II Trial to Evaluate the Efficacy and Safety of HRS-9813 in Subjects With Pulmonary Fibrosis</t>
  </si>
  <si>
    <t>NCT06867042</t>
  </si>
  <si>
    <t>Tacrolimus Lipid Suspension for Enema in Adult Subjects with Mild to Moderately Active Left-sided/Distal Ulcerative Colitis Who Had an Inadequate Response to the Treatment</t>
  </si>
  <si>
    <t>NCT05973630</t>
  </si>
  <si>
    <t>ATA-200 Gene Therapy Trial in Patients With LGMDR5</t>
  </si>
  <si>
    <t>NCT06986772</t>
  </si>
  <si>
    <t>TGRX-678 Pharmacokinetic Mass Balance</t>
  </si>
  <si>
    <t>NCT07185139</t>
  </si>
  <si>
    <t>MSCohi-O Lenses for Ocular Involvement in Sjögren's Syndrome</t>
  </si>
  <si>
    <t>NCT07007312</t>
  </si>
  <si>
    <t>Studies to Assess Ziftomenib in Combination With Ven+Aza or 7+3 in Patients With Untreated NPM1-m or KMT2A-r AML</t>
  </si>
  <si>
    <t>NCT07028528</t>
  </si>
  <si>
    <t>Levagen+ Efficacy Study on Diabetic Peripheral Neuropathy</t>
  </si>
  <si>
    <t>NCT06997484</t>
  </si>
  <si>
    <t>First-in-Human Single and Multiple Dose of HL-400</t>
  </si>
  <si>
    <t>Highlightll Pharmaceutical (USA) LLC</t>
  </si>
  <si>
    <t>NCT06922591</t>
  </si>
  <si>
    <t>Study to Evaluate the Safety, Tolerability &amp; Efficacy of TNG462 in Combination in PDAC &amp; NSCLC Patients</t>
  </si>
  <si>
    <t>NCT06944379</t>
  </si>
  <si>
    <t>ORKA-002-211 A Phase I Study to Evaluate ORKA-002 in Healthy Volunteers Following A Single Dose</t>
  </si>
  <si>
    <t>NCT06773962</t>
  </si>
  <si>
    <t>A Phase 2a Multicenter Clinical Trial of TB006 in Participants With Parkinson's Disease</t>
  </si>
  <si>
    <t>NCT07122986</t>
  </si>
  <si>
    <t>A Study to Learn About a Vaccine Against E Coli in Healthy Adults</t>
  </si>
  <si>
    <t>NCT07338786</t>
  </si>
  <si>
    <t>A Phase I Clinical Trial to Evaluate the Safety of Different Immunization Schedules of a Lyophilized Human Rabies Vaccine (Human Diploid Cell)</t>
  </si>
  <si>
    <t>NCT07152288</t>
  </si>
  <si>
    <t>Investigation of Pharmacokinetics,Safety,and Pharmacodynamics of HSK39297 in Subjects With Hepatic Impairment</t>
  </si>
  <si>
    <t>NCT06568861</t>
  </si>
  <si>
    <t>A Study to Evaluate the Pharmacokinetics, Safety and Tolerability of ALG-097558 in Subjects With Hepatic Impairment and in Healthy Subjects With Normal Hepatic Function</t>
  </si>
  <si>
    <t>NCT07309042</t>
  </si>
  <si>
    <t>Phase 1 Study of the Safety and Pharmacokinetics of YN001 With Rosuvastatin in Healthy Chinese Subjects</t>
  </si>
  <si>
    <t>NCT07345442</t>
  </si>
  <si>
    <t>Study on the Safety, Tolerability, and Pharmacokinetics of PA9159 Nasal Spray in Healthy Adult Subjects</t>
  </si>
  <si>
    <t>NCT06851442</t>
  </si>
  <si>
    <t>Clinical Trial of Evaluating TQB3912 Tablets Combined With Fulvestrant Injection±TQB3616 Capsules for Locally Advanced or Metastatic Hormone Receptor(HR)-Positive and Human Epidermal Growth Factor Receptor 2 (HER2)-Negative Breast Cancer</t>
  </si>
  <si>
    <t>NCT07076407</t>
  </si>
  <si>
    <t>A Randomized Study of Azetukalner Versus Placebo in Major Depressive Disorder (X-NOVA3)</t>
  </si>
  <si>
    <t>NCT06773507</t>
  </si>
  <si>
    <t>Phase I Study of BC008-1A Injection in Patients With Advanced Solid Tumors</t>
  </si>
  <si>
    <t>NCT06835400</t>
  </si>
  <si>
    <t>Oral Paclitaxel + Encequidar vs IV Paclitaxel in Treatment of HER2 Negative Metastatic Breast Cancer</t>
  </si>
  <si>
    <t>Health Hope Pharma</t>
  </si>
  <si>
    <t>NCT07219407</t>
  </si>
  <si>
    <t>A Long-term Study of the Safety and Effectiveness of RAP-219 in Adults With Focal Onset Seizures</t>
  </si>
  <si>
    <t>NCT07283367</t>
  </si>
  <si>
    <t>A Phase Ib/II Trial of HS-20110 Combination Therapies in Advanced Colorectal Cancer Patients.</t>
  </si>
  <si>
    <t>NCT07029698</t>
  </si>
  <si>
    <t>A Study to See if a Combination of Vitamins That is Injected Into a Muscle is as Good and Safe as a Vitamin That is Taken by Mouth</t>
  </si>
  <si>
    <t>Medice Arzneimittel Pütter GmbH &amp; Co KG</t>
  </si>
  <si>
    <t>NCT06947993</t>
  </si>
  <si>
    <t>Platform Study to Evaluate the Efficacy and Safety of Investigational Compound(s) in Patients With Moderate to Severe Atopic Dermatitis</t>
  </si>
  <si>
    <t>NCT07296484</t>
  </si>
  <si>
    <t>Trial Against INtractable Type 2 Diabetes (CAPTAIN-T2D)</t>
  </si>
  <si>
    <t>NCT06770933</t>
  </si>
  <si>
    <t>A Study to Evaluate the Efficacy and Safety of Orally Administered VX-01</t>
  </si>
  <si>
    <t>Vantage Biosciences Ltd</t>
  </si>
  <si>
    <t>NCT07170852</t>
  </si>
  <si>
    <t>Bioequivalence Study of Bempedoic Acid 180 mg Film Coated Tablet and Nilemdo® (Bempedoic Acid) 180 mg Film-coated Tablets</t>
  </si>
  <si>
    <t>NCT06968221</t>
  </si>
  <si>
    <t>Bovine Reinforcement in Stomach, Colorectal and Lung Operation</t>
  </si>
  <si>
    <t>Shanghai Cingularbio Co. Ltd</t>
  </si>
  <si>
    <t>NCT06911333</t>
  </si>
  <si>
    <t>AD1208 in Subjects With Any Progressive, Locally Advanced or Metastatic Solid Tumors</t>
  </si>
  <si>
    <t>Avelos Therapeutics Inc.</t>
  </si>
  <si>
    <t>NCT07396376</t>
  </si>
  <si>
    <t>Evaluation of ELU42 Topical Spray for the Treatment of Diabetic Foot Ulcers</t>
  </si>
  <si>
    <t>Eluciderm Inc</t>
  </si>
  <si>
    <t>NCT07225517</t>
  </si>
  <si>
    <t>A Study to Learn More About the Safety of BIIB145 and How it is Processed in the Body of Healthy Adult Participants</t>
  </si>
  <si>
    <t>NCT06994143</t>
  </si>
  <si>
    <t>A Study of CLN-978, a Subcutaneously Administered CD19-directed T Cell Engager, in Subjects With Rheumatoid Arthritis</t>
  </si>
  <si>
    <t>NCT07226635</t>
  </si>
  <si>
    <t>Pharmacokinetic Interaction Trial of Clofutriben With Midazolam and Prednisolone</t>
  </si>
  <si>
    <t>NCT07130617</t>
  </si>
  <si>
    <t>Evaluation of the Efficacy and Safety of Megestrol Acetate in Preventing Nausea and Vomiting Induced by Highly Emetogenic Chemotherapy</t>
  </si>
  <si>
    <t>NCT07268625</t>
  </si>
  <si>
    <t>Evaluating Bioequivalence of a Fixed Dose Combination Versus Individual Tablets of Bempedoic Acid / Ezetimibe, and Atorvastatin</t>
  </si>
  <si>
    <t>NCT07006025</t>
  </si>
  <si>
    <t>A Study of Oral Tetrahydrouridine-Decitabine in Relapsed or Refractory Myelodysplastic Syndromes (MDS)</t>
  </si>
  <si>
    <t>Treebough Therapies</t>
  </si>
  <si>
    <t>NCT06744426</t>
  </si>
  <si>
    <t>A Study to Evaluate the Pharmacokinetics and the Safety After Administration of BR1015 and Co-administration of BR1015-3 and BR1015-2 Under Fasting Conditions</t>
  </si>
  <si>
    <t>NCT06942143</t>
  </si>
  <si>
    <t>An Open-label, Phase I Clinical Trial of Super1 TCR-T in NY-ESO-1-positive Patients With Advanced Solid Tumors</t>
  </si>
  <si>
    <t>NCT06431776</t>
  </si>
  <si>
    <t>Inhaled Molgramostim in Pediatric Participants With Autoimmune Pulmonary Alveolar Proteinosis (aPAP).</t>
  </si>
  <si>
    <t>NCT06761677</t>
  </si>
  <si>
    <t>A Phase 1b/2 Study of Intravenous Brincidofovir in Patients With Relapsed or Refractory Lymphoma and Relapsed or Refractory Extranodal Natural Killer/T-cell Lymphoma</t>
  </si>
  <si>
    <t>NCT07008417</t>
  </si>
  <si>
    <t>A Study on Bioequivalence of Cabergoline Tablets in Human Body</t>
  </si>
  <si>
    <t>NCT06839872</t>
  </si>
  <si>
    <t>A Study to Investigate the Sequencing Strategy of Pirtobrutinib After Disease Progression on First-line Acalabrutinib Treatment for Adult Participants With Chronic Lymphocytic Leukemia or Small Lymphocytic Lymphoma</t>
  </si>
  <si>
    <t>NCT06968572</t>
  </si>
  <si>
    <t>Phase I Study of HSK41959 in Solid Tumors With MTAP Deletion</t>
  </si>
  <si>
    <t>NCT06832657</t>
  </si>
  <si>
    <t>Study of JMKX003948 Ophthalmic Suspension in Healthy Participants</t>
  </si>
  <si>
    <t>NCT07099989</t>
  </si>
  <si>
    <t>Pharmacokinetics of Zelquistinel in Fasted or Fed State</t>
  </si>
  <si>
    <t>NCT07007546</t>
  </si>
  <si>
    <t>A Study to Evaluate the Safety, Tolerability, and Pharmacokinetics of ABSK061 Mini-tablets in Healthy Adult Participants</t>
  </si>
  <si>
    <t>NCT07134127</t>
  </si>
  <si>
    <t>A Study of IBI3032 in Chinese Healthy Subjects</t>
  </si>
  <si>
    <t>NCT06895512</t>
  </si>
  <si>
    <t>A Study to Evaluate the Efficacy and Safety of HLX15-IV Versus DARZALEX® in Combination with Lenalidomide-Dexamethasone (Rd) in Transplant-ineligible Patients with Newly Diagnosed Multiple Myeloma</t>
  </si>
  <si>
    <t>NCT06405230</t>
  </si>
  <si>
    <t>Evaluation of Programmed Death Ligand 1 (PDL1) Response to Treatment in Extracellular Vesicles (EVs), Patient-derived Organoid (PDOs)s and Immune-marker Positron Emission Tomography (PET) Scanning in Non-small Cell Lung Cancer (NSCLC)</t>
  </si>
  <si>
    <t>NCT06770881</t>
  </si>
  <si>
    <t>JSKN033 in Chinese Subjects with Advanced Malignant Tumors</t>
  </si>
  <si>
    <t>NCT07190430</t>
  </si>
  <si>
    <t>A Study to Learn If the Study Medicine Called PF-08049820 Changes How the Body Processes the Other Study Medicines Called Oral Contraceptives, Midazolam, and Dabigatran in Healthy Adult Female Participants</t>
  </si>
  <si>
    <t>NCT06907628</t>
  </si>
  <si>
    <t>A Trial of SHR-3792 Injection in Patients With Advanced Solid Tumors</t>
  </si>
  <si>
    <t>NCT07327281</t>
  </si>
  <si>
    <t>A Clinical Trial Evaluating TQF3250 Capsules in Healthy Adult Subjects</t>
  </si>
  <si>
    <t>NCT07028801</t>
  </si>
  <si>
    <t>Clinical Trial of Freeze-dried Human Rabies Vaccine (Human Diploid Cells)</t>
  </si>
  <si>
    <t>NCT07362030</t>
  </si>
  <si>
    <t>Drug-durg Interaction of RAY1225 With Warfarin, Atorvastatin, Metformin and Digoxin</t>
  </si>
  <si>
    <t>NCT07072728</t>
  </si>
  <si>
    <t>Psilocybin-Assisted Psychotherapy in Cancer Patients With Adjustment Disorder</t>
  </si>
  <si>
    <t>Psyence Australia Pty Ltd</t>
  </si>
  <si>
    <t>NCT07566130</t>
  </si>
  <si>
    <t>A Study to Assess Adverse Events, Tolerability and How Single and Ascending Oral Doses of Nacresertib Move Through the Body In Healthy Adult Participants</t>
  </si>
  <si>
    <t>NCT07146347</t>
  </si>
  <si>
    <t>Comparison Study of Insulin GZR4 With Insulin Degludec</t>
  </si>
  <si>
    <t>NCT06040476</t>
  </si>
  <si>
    <t>Human Umbilical Cord Blood Infusion in Patients with Acute Ischemic Stroke (AIS)</t>
  </si>
  <si>
    <t>NCT07576608</t>
  </si>
  <si>
    <t>A Phase II Study of 9MW3811 in Patients With Pathological Scar</t>
  </si>
  <si>
    <t>NCT06694935</t>
  </si>
  <si>
    <t>A Phase 1b Study of QX1206 in T2DM Patients With NAFLD</t>
  </si>
  <si>
    <t>1Globe Health Institute</t>
  </si>
  <si>
    <t>NCT07083817</t>
  </si>
  <si>
    <t>Mass Balance Study of [14C]Xeruborbactam (QPX7728) in Healthy Adult Male Participants</t>
  </si>
  <si>
    <t>NCT07011797</t>
  </si>
  <si>
    <t>A Study to Evaluate the Efficacy and Safety of CX11 Tablets in Overweight/Obese Participants</t>
  </si>
  <si>
    <t>NCT06826313</t>
  </si>
  <si>
    <t>A Study of Intravenous VRT106 for Locally Advanced or Metastatic Solid Tumors</t>
  </si>
  <si>
    <t>NCT07093580</t>
  </si>
  <si>
    <t>Study of S-892216 Long-acting Injectable (LAI) in Healthy Adult Participants</t>
  </si>
  <si>
    <t>NCT07251608</t>
  </si>
  <si>
    <t>Randomized, Open-label, Safety Study of Subcutaneous and Intramuscular Injections of Niagen® Plus</t>
  </si>
  <si>
    <t>ChromaDex, Inc.</t>
  </si>
  <si>
    <t>NCT06832410</t>
  </si>
  <si>
    <t>An Efficacy, Safety, and Tolerability Study of VX-880 in Participants With Type 1 Diabetes With a Kidney Transplant</t>
  </si>
  <si>
    <t>NCT07244510</t>
  </si>
  <si>
    <t>Efficacy and Safety of SCT650C in Participants With Moderate to Severe Hidradenitis Suppurativa</t>
  </si>
  <si>
    <t>NCT06875310</t>
  </si>
  <si>
    <t>A Study of Adagrasib Plus Pembrolizumab Plus Chemotherapy vs. Placebo Plus Pembrolizumab Plus Chemotherapy in Participants With Previously Untreated Non-squamous Non-small Cell Lung Cancer With KRAS G12C Mutation (KRYSTAL-4)</t>
  </si>
  <si>
    <t>NCT07265258</t>
  </si>
  <si>
    <t>A Study of Teprotumumab N01 in Subjects With Active Thyroid Eye Disease</t>
  </si>
  <si>
    <t>NCT07266155</t>
  </si>
  <si>
    <t>Efficacy, Safety, and Pharmacokinetics of LP-005 Injection in Patients With Paroxysmal Nocturnal Hemoglobinuria (PNH)</t>
  </si>
  <si>
    <t>NCT06717126</t>
  </si>
  <si>
    <t>A Randomised Phase II Study of Roginolisib in Patients With Advanced/Metastatic Uveal Melanoma</t>
  </si>
  <si>
    <t>NCT06983925</t>
  </si>
  <si>
    <t>A Bioavailability Study of GS1-144 Tablets in Healthy Postmenopausal Women</t>
  </si>
  <si>
    <t>NCT07115485</t>
  </si>
  <si>
    <t>Phase II, Open-label, Multicenter Study to Evaluate the Efficacy and Safety of HLX43 (an Anti-PD-L1 ADC) in Subjects With Advanced Gastric or Gastroesophageal Junction Adenocarcinoma</t>
  </si>
  <si>
    <t>NCT07046923</t>
  </si>
  <si>
    <t>A Study of LY4175408 in Participants With Advanced Cancer</t>
  </si>
  <si>
    <t>NCT06807359</t>
  </si>
  <si>
    <t>Photodynamic Therapy of Primary Localized Prostate Cancer With the SpectraCure P18 System</t>
  </si>
  <si>
    <t>SpectraCure AB</t>
  </si>
  <si>
    <t>NCT06860750</t>
  </si>
  <si>
    <t>A Trial of SHR-1314 Injection in Adult Patients With Active Non-radiographic Axial Spondyloarthritis</t>
  </si>
  <si>
    <t>NCT07036250</t>
  </si>
  <si>
    <t>Clinical Study of U32 in Patients With Acute Myeloid Leukemia</t>
  </si>
  <si>
    <t>NCT06926920</t>
  </si>
  <si>
    <t>A Study of Sacituzumab Govitecan Given at an Alternative Dose and Schedule in Participants With Advanced Triple-Negative Breast Cancer</t>
  </si>
  <si>
    <t>NCT06834789</t>
  </si>
  <si>
    <t>A Study to Assess the Adverse Events of Intramuscular Injections of AGN-151586 and OnabotulinumtoxinA in Adult Participants for the Change of Glabellar Lines (GL)</t>
  </si>
  <si>
    <t>NCT07142291</t>
  </si>
  <si>
    <t>PHENOGENE-1A (Cromolyn) Treatment in Patients With Mild to Moderate ALS</t>
  </si>
  <si>
    <t>PhenoNet, Inc.</t>
  </si>
  <si>
    <t>NCT07096674</t>
  </si>
  <si>
    <t>A Long-term Extension Study of ORX750 in Participants With Narcolepsy and Idiopathic Hypersomnia</t>
  </si>
  <si>
    <t>NCT06840691</t>
  </si>
  <si>
    <t>A Bioequivalence Study of Two Different Processes of PEG-rhGH Preparations</t>
  </si>
  <si>
    <t>NCT06919991</t>
  </si>
  <si>
    <t>Drug-Drug Interaction Study of Casdatifan in Healthy Adult Participants (ARC-29)</t>
  </si>
  <si>
    <t>NCT07287397</t>
  </si>
  <si>
    <t>Study is to Assess the Safety and Tolerability of VTx-002 in Participants With ALS</t>
  </si>
  <si>
    <t>Vector Y Therapeutics</t>
  </si>
  <si>
    <t>NCT07015697</t>
  </si>
  <si>
    <t>A Study of Subcutaneous Trastuzumab Deruxtecan in Participants With Metastatic Solid Tumors</t>
  </si>
  <si>
    <t>NCT06291220</t>
  </si>
  <si>
    <t>A Study Assessing Adverse Event and How Oral ABBV-453 Moves Through the Body in Adult Participants With Relapsed or Refractory (R/R) Chronic Lymphocytic Leukemia (CLL)/Small Lymphocytic Lymphoma (SLL)</t>
  </si>
  <si>
    <t>NCT07275723</t>
  </si>
  <si>
    <t>A Study of a Gadolinium-Based Contrast Agent (GBCA) for Adults Undergoing Magnetic Resonance Imaging (MRI) for Known or Highly Suspected Body Parts (Non-Central Nervous System) Lesions</t>
  </si>
  <si>
    <t>NCT07155980</t>
  </si>
  <si>
    <t>A Clinical Trial to Study Single- and Multiple- Doses of GSM-779690T in Healthy Participants</t>
  </si>
  <si>
    <t>Acta Pharmaceuticals</t>
  </si>
  <si>
    <t>NCT07023302</t>
  </si>
  <si>
    <t>A Study to Evaluate the Safety and Effectiveness of Upadacitinib Tablets in Adult and Adolescent Participants in Japan With Alopecia Areata</t>
  </si>
  <si>
    <t>NCT07184502</t>
  </si>
  <si>
    <t>Study to Evaluate the Safety, Tolerability, and Pharmacokinetics of ZT003 Injection Following Single and Multiple Subcutaneous Administration in Healthy Volunteers/Overweight or Obese Volunteers</t>
  </si>
  <si>
    <t>NCT07146672</t>
  </si>
  <si>
    <t>Exploratory Study of Super DC Cell Injection in Preventing Recurrence After Radical Surgery for Tumors</t>
  </si>
  <si>
    <t>NCT07107490</t>
  </si>
  <si>
    <t>A PHASE I STUDY OF ALPS12 IN PATIENTS WITH EXTENSIVE STAGE SMALL CELL LUNG CANCER</t>
  </si>
  <si>
    <t>NCT05463679</t>
  </si>
  <si>
    <t>Investigate Efficacy, Safety, and Pharmacokinetics of Enzastaurin for the Prevention of Arterial Events in Patients With Vascular Ehlers-Danlos Syndrome.</t>
  </si>
  <si>
    <t>Aytu BioPharma, Inc.</t>
  </si>
  <si>
    <t>NCT07128888</t>
  </si>
  <si>
    <t>Study on Gastric Emptying Effect and Drug-Drug Interactions of GZR18 Injection</t>
  </si>
  <si>
    <t>NCT06797427</t>
  </si>
  <si>
    <t>A Study to Assess the Pharmacokinetics of Sorafenib in Mesoporous Magnesium Carbonate (DPH001) Compared to Nexavar® (sorafenib) in Healthy Volunteers</t>
  </si>
  <si>
    <t>Disruptive Pharma</t>
  </si>
  <si>
    <t>NCT06847321</t>
  </si>
  <si>
    <t>Study of LHP588 in Subjects With P. Gingivalis-Positive Alzheimer's Disease</t>
  </si>
  <si>
    <t>Lighthouse Pharmaceuticals, Inc.</t>
  </si>
  <si>
    <t>NCT07162116</t>
  </si>
  <si>
    <t>A Study to Evaluate the Effect of XY0206 on the QTc Interval in Chinese Healthy Participants</t>
  </si>
  <si>
    <t>NCT06672068</t>
  </si>
  <si>
    <t>A Study of TY-9591 With Chemotherapy as 1st Line Treatment in Patients With Mutated Epidermal Growth Factor Receptor NSCLC</t>
  </si>
  <si>
    <t>NCT06732804</t>
  </si>
  <si>
    <t>Study to Investigate Comparative Pharmacokinetics, Safety, Immunogenicity and Tolerability Between AVT80 and Entyvio</t>
  </si>
  <si>
    <t>NCT07081958</t>
  </si>
  <si>
    <t>A Study Evaluating the Effect of Daily Oral RO7795081 in Participants With Obesity or Overweight With at Least One Weight-Related Comorbidity</t>
  </si>
  <si>
    <t>NCT07093008</t>
  </si>
  <si>
    <t>Comparing the Availability of AQ280 in the Body After Single Oral Doses of a Capsule Formulation Versus a Tablet for Oral Suspension Formulation</t>
  </si>
  <si>
    <t>NCT07050368</t>
  </si>
  <si>
    <t>A Study Assessing Brain Activity, Safety, Tolerability, and Pharmacokinetics Following Multiple Doses of MLS101 (Psilocybin) in Healthy Volunteers</t>
  </si>
  <si>
    <t>NCT07036510</t>
  </si>
  <si>
    <t>Safety of TimoD Sustained-Release Implant in Participants With Glaucoma or Ocular Hypertension Undergoing Cataract Surgery</t>
  </si>
  <si>
    <t>NCT07011706</t>
  </si>
  <si>
    <t>ATI-045 Versus Placebo in Patients With Moderate-to-Severe Atopic Dermatitis</t>
  </si>
  <si>
    <t>NCT07118449</t>
  </si>
  <si>
    <t>Epicardial Delivery of XC001 Gene Therapy to Promote Angiogenesis in CAD Patients Undergoing Treatment With CABG</t>
  </si>
  <si>
    <t>NCT05720455</t>
  </si>
  <si>
    <t>Study to Assess Safety and Efficacy of Fexofenadine Hydrochloride (HCL) + Pseudoephedrine HCL Fixed Dose Combination in Indian Male and Female Participants With Allergic Rhinitis (AR) Who Are 12 Years and Above</t>
  </si>
  <si>
    <t>NCT06869785</t>
  </si>
  <si>
    <t>Pharmacokinetics, Pharmacodynamics, Safety and Tolerability of a New Maintenance Dosing Regimen of Ofatumumab</t>
  </si>
  <si>
    <t>NCT06940440</t>
  </si>
  <si>
    <t>IFx-Hu2.0 As An Adjunctive Therapy To Pembrolizumab In Advanced Or Metastatic Merkel Cell Carcinoma (MCC)</t>
  </si>
  <si>
    <t>NCT07194850</t>
  </si>
  <si>
    <t>A Study of Efgartigimod IV in Participants From 12 Years to Less Than 18 Years of Age With Chronic Immune Thrombocytopenia (ITP)</t>
  </si>
  <si>
    <t>NCT07172126</t>
  </si>
  <si>
    <t>Clinical Trial to Evaluate the Tolerance of TQB3201 Tablets</t>
  </si>
  <si>
    <t>NCT06485843</t>
  </si>
  <si>
    <t>An Study to Evaluate Safety and Tolerability of OA-SYS in Subjects With Moderate to Severe Osteoarthritis of the Knee Joint</t>
  </si>
  <si>
    <t>Ageless Biotech, Inc.</t>
  </si>
  <si>
    <t>NCT06560138</t>
  </si>
  <si>
    <t>A Trial of SHR-4602 Infusion in Patients With SHR-4602 in Subjects With HER2-expressing or HER2-mutated Locally Advanced or Metastatic Solid Tumors</t>
  </si>
  <si>
    <t>NCT07420985</t>
  </si>
  <si>
    <t>Study to Evaluate the Efficacy, Safety, and Tolerability of the Ingavirin Forte Capsules (Valenta Pharm JSC) at Different Doses in Subjects With Influenza and Other Acute Respiratory Viral Infections.</t>
  </si>
  <si>
    <t>NCT07118215</t>
  </si>
  <si>
    <t>A Study to Evaluate the Effects of KarXT on the Drug Levels of Midazolam, Fexofenadine, and Digoxin</t>
  </si>
  <si>
    <t>NCT06943755</t>
  </si>
  <si>
    <t>Zanzalintinib Versus Everolimus in Participants With Locally Advanced or Metastatic Neuroendocrine Tumors</t>
  </si>
  <si>
    <t>NCT06882785</t>
  </si>
  <si>
    <t>A Study to Evaluate the Efficacy and Safety of KarXT in Acutely Psychotic Japanese Adult Participants With Schizophrenia</t>
  </si>
  <si>
    <t>NCT06830343</t>
  </si>
  <si>
    <t>The Safety, Tolerability, and Pharmacokinetics of of SYH9017 in Chinese Participants With Overweight and Obesity</t>
  </si>
  <si>
    <t>NCT07294235</t>
  </si>
  <si>
    <t>A Study of BGM1812 Injection in Healthy and Non-diabetic Overweight or Obese Chinese Participants</t>
  </si>
  <si>
    <t>NCT07479576</t>
  </si>
  <si>
    <t>A Comparative Phase 1 Study to Evaluate the Pharmacokinetic and Safety of QL2106 vs Tremfye® in Healthy Subjects</t>
  </si>
  <si>
    <t>NCT07195825</t>
  </si>
  <si>
    <t>A Clinical Study to Evaluate the Safety, and Tolerability of BBM-P002 in the Treatment of Parkinson's Disease</t>
  </si>
  <si>
    <t>NCT07457060</t>
  </si>
  <si>
    <t>Phase IV Clinical Study of Sequential Vaccination of Sabin Strain and Wild Strain Inactivated Poliovirus Vaccine</t>
  </si>
  <si>
    <t>NCT07313813</t>
  </si>
  <si>
    <t>A Study to Evaluate the Effect of Fasting Duration and Dulaglutide (LY2189265) Withholding on Gastric Retention in Participants With Type 2 Diabetes Mellitus</t>
  </si>
  <si>
    <t>NCT07002060</t>
  </si>
  <si>
    <t>Phase 3 Randomized, Modified Double-blind, Active-controlled Safety Study on vYF in Adults</t>
  </si>
  <si>
    <t>NCT06489860</t>
  </si>
  <si>
    <t>SARS-CoV-2 Safety Study for the Treatment of COVID-19</t>
  </si>
  <si>
    <t>DHA Coffee Co., Ltd</t>
  </si>
  <si>
    <t>NCT07009860</t>
  </si>
  <si>
    <t>RESTORE TRIAL: A Phase 2 Study Evaluating the Efficacy and Safety of Pemvidutide in the Treatment of Alcohol-Associated Liver Disease (ALD)</t>
  </si>
  <si>
    <t>NCT06966024</t>
  </si>
  <si>
    <t>Study of DCC-2812 in Participants With Advanced Genitourinary Cancers</t>
  </si>
  <si>
    <t>NCT06751329</t>
  </si>
  <si>
    <t>A Study of DM002 in Patients With Advanced Solid Tumors</t>
  </si>
  <si>
    <t>NCT07143331</t>
  </si>
  <si>
    <t>A Phase 1 Study to Assess the Safety and Effects of Single and Multiple Doses of KS101 in Healthy Volunteers</t>
  </si>
  <si>
    <t>Klotho Sciences Australia Pty Ltd.</t>
  </si>
  <si>
    <t>NCT07063251</t>
  </si>
  <si>
    <t>An Clinical Study Evaluating the Safety, Tolerability, and efficAcy of HG005 in StaRgardT Disease</t>
  </si>
  <si>
    <t>NCT06157151</t>
  </si>
  <si>
    <t>PRGN-2009 in Combination With Pembrolizumab in Patients With Recurrent or Metastatic Cervical Cancer</t>
  </si>
  <si>
    <t>NCT07080931</t>
  </si>
  <si>
    <t>Efficacy and Safety of 5% Minoxidil Foam in Female Androgenetic Alopecia</t>
  </si>
  <si>
    <t>NCT06797375</t>
  </si>
  <si>
    <t>Safety, Tolerability, Pharmacokinetics and Pharmacodynamics Study of RLYB116 in Healthy Participants</t>
  </si>
  <si>
    <t>NCT07040930</t>
  </si>
  <si>
    <t>Assessment of the Safety, Tolerability, Pharmacokinetics, and Pharmacodynamics of Multiple Subcutaneous Injections of GenSci120 in Healthy Adult Participants in China.</t>
  </si>
  <si>
    <t>NCT06972446</t>
  </si>
  <si>
    <t>A Study to Evaluate Different Targeted Therapies for Patients With Rheumatoid Arthritis</t>
  </si>
  <si>
    <t>NCT07123662</t>
  </si>
  <si>
    <t>γδ T Cell Therapy for Relapse Prevention in High-Risk AML Post-Transplant</t>
  </si>
  <si>
    <t>NCT06842823</t>
  </si>
  <si>
    <t>A Study of Navenibart in Participants With Hereditary Angioedema</t>
  </si>
  <si>
    <t>NCT06990880</t>
  </si>
  <si>
    <t>A Study of GSK5458514 Administered Alone or In Combination With Other Anti-Cancer Agents in Participants With Prostate Cancer</t>
  </si>
  <si>
    <t>NCT06719479</t>
  </si>
  <si>
    <t>A Clinical Trial to Evaluate Effect of IAE0972 Combined with Chemotherapy for R/M HNSCC or NPC(Note: It is Currently Phase II.).</t>
  </si>
  <si>
    <t>NCT06981988</t>
  </si>
  <si>
    <t>A Study of Linperlisib (YY-20394) in Combination With Rituximab in Patients With Relapsed/Refractory Indolent NHL</t>
  </si>
  <si>
    <t>NCT06914895</t>
  </si>
  <si>
    <t>A Study of Tirzepatide (LY3298176) Compared With Placebo in Adults With Type 1 Diabetes and Obesity or Overweight</t>
  </si>
  <si>
    <t>NCT06523231</t>
  </si>
  <si>
    <t>Study to Expand Safety and Immunogenicity Data With Shigella Bioconjugate Vaccine (Shigella4V2) in 9-month-old Infants.</t>
  </si>
  <si>
    <t>NCT07300839</t>
  </si>
  <si>
    <t>A Study to Learn About a COVID-19 Vaccine in Healthy Adults 50 Through 64 Years of Age</t>
  </si>
  <si>
    <t>NCT07219121</t>
  </si>
  <si>
    <t>Sparsentan in Posttransplant Immunoglobulin A Nephropathy or Focal Segmental Glomerulosclerosis</t>
  </si>
  <si>
    <t>NCT07053904</t>
  </si>
  <si>
    <t>Phase I Open-Label Study of P1101 Followed by P1801 in Advanced Solid Tumors</t>
  </si>
  <si>
    <t>NCT06805305</t>
  </si>
  <si>
    <t>DOC1021 Dendritic Cell Immunotherapy for Treatment of Newly Diagnosed Adult Glioblastoma (GBM)</t>
  </si>
  <si>
    <t>NCT06972472</t>
  </si>
  <si>
    <t>A Study of Orforglipron (LY3502970) in Participants With Obesity or Overweight and Type 2 Diabetes</t>
  </si>
  <si>
    <t>NCT07139431</t>
  </si>
  <si>
    <t>A Study of [89Zr]-Oxine-NCR100 Injection for the Cellular Distribution</t>
  </si>
  <si>
    <t>NCT07267130</t>
  </si>
  <si>
    <t>A Clinical Study to Evaluate the Safety, Tolerability and Pharmacokinetic Profile of TQC3302 Inhalation Spray in Healthy Adult Subjects</t>
  </si>
  <si>
    <t>NCT06846684</t>
  </si>
  <si>
    <t>A Open-label, Drug-Drug Interaction With SB_MDZ in Healty Adult Subjects</t>
  </si>
  <si>
    <t>NCT07137585</t>
  </si>
  <si>
    <t>A Study to Evaluate the Effect of RO7204239 on Insulin Sensitivity and Muscle Composition in Participants With Type 2 Diabetes Mellitus (T2DM) and Overweight or Obesity</t>
  </si>
  <si>
    <t>NCT07265622</t>
  </si>
  <si>
    <t>First-in-human Study of 7MW4911 in Patients With Advanced Solid Tumors</t>
  </si>
  <si>
    <t>NCT06738966</t>
  </si>
  <si>
    <t>A Study of BL0175 Injection in Postmenopausal Female Adults With HR-positive, Locally Advanced or Metastatic Cancer</t>
  </si>
  <si>
    <t>NCT06949137</t>
  </si>
  <si>
    <t>Intravenous Infusion of Human Mesenchymal Stem Cells (HMM910 ) in Postmenopausal Women With Osteoporosis at High Risk of Fracture</t>
  </si>
  <si>
    <t>NCT07056777</t>
  </si>
  <si>
    <t>Evaluation of the Preliminary Efficacy and Safety of DR30206 in Combination With Standard Therapy in Patients With Gastrointestinal Cancer</t>
  </si>
  <si>
    <t>NCT06992609</t>
  </si>
  <si>
    <t>Durvalumab After Chemoradiotherapy in Limited Stage Small Cell Lung Cancer.</t>
  </si>
  <si>
    <t>NCT06990464</t>
  </si>
  <si>
    <t>A Clinical Trial of SIBP-A19 Injection in the Treatment of Advanced Malignant Solid Tumor Patients</t>
  </si>
  <si>
    <t>NCT07049575</t>
  </si>
  <si>
    <t>Study to Evaluate the Maximal Use of Ruxolitinib Cream in Adult and Adolescent Participants With Hidradenitis Suppurativa</t>
  </si>
  <si>
    <t>NCT06760637</t>
  </si>
  <si>
    <t>Study of PF-07220060 With Letrozole in Adults With HR-positive HER2-negative Breast Cancer Who Have Not Received Anticancer Treatment for Advanced/Metastatic Disease</t>
  </si>
  <si>
    <t>NCT06856577</t>
  </si>
  <si>
    <t>Efficacy and Safety Study of Ixoberogene Soroparvovec (Ixo-vec) in Participants With Neovascular Age-Related Macular Degeneration</t>
  </si>
  <si>
    <t>NCT07259330</t>
  </si>
  <si>
    <t>To Determine the Effect of CYP Induction Following Administration of Nirogacestat in Healthy Adult Male Participants</t>
  </si>
  <si>
    <t>NCT07141199</t>
  </si>
  <si>
    <t>A Study to Evaluate Adverse Events, How the Drug is Tolerated, and How the Drug Moves Through the Body of Intravenous Infusions of ABBV-8736 in Adult Healthy Volunteers</t>
  </si>
  <si>
    <t>NCT07184632</t>
  </si>
  <si>
    <t>A Research Study on How Well Different Doses of the Medicine NNC0662-0419 Help People Living With Overweight or Obesity</t>
  </si>
  <si>
    <t>NCT07645534</t>
  </si>
  <si>
    <t>Safety and Pharmacokinetics of Ingavirin Forte, Capsules, 90 mg + 20 mg (Valenta Pharm JSC, Russia) Compared With Ingavirin, Capsules, 90 mg, Under Fasting and Fed Conditions.</t>
  </si>
  <si>
    <t>NCT07030712</t>
  </si>
  <si>
    <t>A Clinical Study of MK-8294 in Participants With Advanced Solid Tumors (MK-8294-001)</t>
  </si>
  <si>
    <t>NCT06902519</t>
  </si>
  <si>
    <t>Study of GS-0151 in Participants With Rheumatoid Arthritis</t>
  </si>
  <si>
    <t>NCT07204964</t>
  </si>
  <si>
    <t>A Study to Evaluate the Immune Response and Safety of an Influenza Vaccine in Adults 18 Years of Age and Above</t>
  </si>
  <si>
    <t>NCT06821698</t>
  </si>
  <si>
    <t>To Determine the Effect of KP-001 on Rosuvastatin, Caffeine PK and the Effect of Fluvoxamine on KP-001 PK in Volunteers</t>
  </si>
  <si>
    <t>NCT06963021</t>
  </si>
  <si>
    <t>NBI-1065845-MDD3026: Study to Assess the Efficacy and Safety of NBI-1065845 as an Adjunctive Treatment in Participants With Major Depressive Disorder (MDD)</t>
  </si>
  <si>
    <t>NCT06787612</t>
  </si>
  <si>
    <t>Investigation of Ubamatamab Combination Therapy in Adult Participants With Platinum-Resistant Ovarian Cancer</t>
  </si>
  <si>
    <t>NCT07362264</t>
  </si>
  <si>
    <t>A Study of SH006 Injection Combination Therapy in Patients With Advanced Solid Tumors</t>
  </si>
  <si>
    <t>NCT07193563</t>
  </si>
  <si>
    <t>A Study to Evaluate the Efficacy and Safety of ENX-102 in Participants With Social Anxiety Disorder</t>
  </si>
  <si>
    <t>NCT07025681</t>
  </si>
  <si>
    <t>PK, PD, Safety and Immunogenicity Study of Erythropoietin of Incepta Pharmaceuticals Ltd With Eprex (Janssen-Cilag).</t>
  </si>
  <si>
    <t>NCT06937099</t>
  </si>
  <si>
    <t>Mirikizumab and Tirzepatide Administered in Adult Participants With Moderately to Severely Active Crohn's Disease and Obesity or Overweight</t>
  </si>
  <si>
    <t>NCT06973863</t>
  </si>
  <si>
    <t>A Study of PEP08 in Patients With MTAP-Del Advanced or Metastatic Solid Tumors</t>
  </si>
  <si>
    <t>NCT06746688</t>
  </si>
  <si>
    <t>A First-in-human, Clinical Trial Assessing the Safety of ES2B-C001-S01 With or Without [Adjuvant] in Patients With HER2-expressing Metastatic Breast Cancer.</t>
  </si>
  <si>
    <t>ExpreS2ion Biotechnologies</t>
  </si>
  <si>
    <t>NCT07044271</t>
  </si>
  <si>
    <t>A Study of Multiple Olomorasib (LY3537982) Capsules in Healthy Participants</t>
  </si>
  <si>
    <t>NCT07021963</t>
  </si>
  <si>
    <t>A Clinical Study to Evaluate the Long-term Safety of HRS-1893 in Hypertrophic Cardiomyopathy</t>
  </si>
  <si>
    <t>NCT07241104</t>
  </si>
  <si>
    <t>A Study of AZD4063 in PLN R14del Dilated Cardiomyopathy</t>
  </si>
  <si>
    <t>NCT06769984</t>
  </si>
  <si>
    <t>A Study of SCTT11 in Healthy Participants and Participants with Thyroid Eye Disease.</t>
  </si>
  <si>
    <t>NCT06570434</t>
  </si>
  <si>
    <t>Phase 1b/2a in SLE With Budoputug</t>
  </si>
  <si>
    <t>NCT06807463</t>
  </si>
  <si>
    <t>A Trial to Assess the Efficacy and Safety of TEV-53408 in Adults With Celiac Disease</t>
  </si>
  <si>
    <t>NCT06773481</t>
  </si>
  <si>
    <t>BC008-1A Injection for Recurrent CNS WHO G4 Glioma</t>
  </si>
  <si>
    <t>NCT07161700</t>
  </si>
  <si>
    <t>An Open-Label Extension Study to Evaluate the Safety and Tolerability of SPT-300 (GlyphAllo) in Participants With Major Depressive Disorder, With or Without Anxious Distress (BUOY-1 OLE Study)</t>
  </si>
  <si>
    <t>NCT07084909</t>
  </si>
  <si>
    <t>Piflufolastat F 18 PET/CT in Patients With Suspected, or at High Risk for Metastatic ccRCC</t>
  </si>
  <si>
    <t>NCT06953999</t>
  </si>
  <si>
    <t>A Phase III Study of Ivonescimab + Chemo With/Without AK117 in Metastatic Pancreatic Cancer</t>
  </si>
  <si>
    <t>NCT06820463</t>
  </si>
  <si>
    <t>A Study to Evaluate the Adverse Events, and Efficacy of Intravenous (IV) of Telisotuzumab Adizutecan in Combination With IV Oxaliplatin, Fluorouracil, Folinic Acid/Leucovorin, Bevacizumab, Panitumumab in Adult Participants With Metastatic Colorectal Cancer</t>
  </si>
  <si>
    <t>NCT06916806</t>
  </si>
  <si>
    <t>A Study to Investigate Safety, Tolerability, Pharmacokinetics, and Pharmacodynamics of AZD5492 in Adult Participants With Systemic Lupus Erythematosus or Idiopathic Inflammatory Myopathies or Rheumatoid Arthritis.</t>
  </si>
  <si>
    <t>NCT07116928</t>
  </si>
  <si>
    <t>Ganagliflozin on the Progression of Kidney Disease in Subjects With Type 2 Diabetes Mellitus and Chronic Kidney Disease</t>
  </si>
  <si>
    <t>NCT07251998</t>
  </si>
  <si>
    <t>Efficacy and Safety of ICP-332 Versus Placebo in Participants With Moderate to Severe Plaque Psoriasis</t>
  </si>
  <si>
    <t>NCT07226349</t>
  </si>
  <si>
    <t>A Study of BG-75098 Alone and in Combination With Other Agents in Adults With Advanced Solid Tumors</t>
  </si>
  <si>
    <t>NCT06796907</t>
  </si>
  <si>
    <t>A Study of Mocertatug Rezetecan in Combination With Anti-cancer Therapies for Advanced Solid Tumors (BEHOLD-2)</t>
  </si>
  <si>
    <t>NCT06836232</t>
  </si>
  <si>
    <t>An Open-Label Pilot Study of VTX2735 in Recurrent Pericarditis</t>
  </si>
  <si>
    <t>NCT07082738</t>
  </si>
  <si>
    <t>A Study to Investigate the Effect of AZD6793 in Participants With Moderate to Very Severe Chronic Obstructive Pulmonary Disease</t>
  </si>
  <si>
    <t>NCT06922448</t>
  </si>
  <si>
    <t>Study of BLU-808 in Allergic Rhinoconjunctivitis</t>
  </si>
  <si>
    <t>NCT07046715</t>
  </si>
  <si>
    <t>Clinical Trial Comparing Single-administration of DA-5222 and Co-administration of DA-5222-R1, DA-5222-R2 and DA-5222-R3 in Healthy Adult Subjects in Fed State</t>
  </si>
  <si>
    <t>NCT07108114</t>
  </si>
  <si>
    <t>SLV-324 Treatment of Metastatic Solid Tumors</t>
  </si>
  <si>
    <t>NCT06797349</t>
  </si>
  <si>
    <t>Glin4: Assessment of the Glycemic Responses to Nutritional Products</t>
  </si>
  <si>
    <t>NCT07052838</t>
  </si>
  <si>
    <t>Efficacy and Safety of HSK39297 in Anti-C5 Treated PNH Patients With Anemia</t>
  </si>
  <si>
    <t>NCT06615284</t>
  </si>
  <si>
    <t>A Study of Atorvo+™ in Healthy Adult Participants</t>
  </si>
  <si>
    <t>Indication Bioscience LLC</t>
  </si>
  <si>
    <t>NCT07639424</t>
  </si>
  <si>
    <t>Study to Evaluate a New Cartilage Regeneration Platform for Knee Cartilage Repair</t>
  </si>
  <si>
    <t>ROKIT Healthcare</t>
  </si>
  <si>
    <t>NCT07249788</t>
  </si>
  <si>
    <t>Resmiterom Efficacy &amp; Safety in Patients With MASH</t>
  </si>
  <si>
    <t>NCT07289503</t>
  </si>
  <si>
    <t>Phase I Clinical Trial of Lyophilized Respiratory Syncytial Virus mRNA Vaccine in Adults Aged 18 Years or Above</t>
  </si>
  <si>
    <t>NCT06995430</t>
  </si>
  <si>
    <t>A Phase 3 Study to Assess the Immune Response And Safety Of Rmenb+Omv Nz In Primed Healthy Participants (10 To 20 Years Old)</t>
  </si>
  <si>
    <t>NCT06579287</t>
  </si>
  <si>
    <t>A Study of SHJ002 Sterile Ophthalmic Solution for Myopia Control</t>
  </si>
  <si>
    <t>NCT07082816</t>
  </si>
  <si>
    <t>Reformulated PG324 Ophthalmic Solution for Intraocular Pressure Reduction</t>
  </si>
  <si>
    <t>NCT07025408</t>
  </si>
  <si>
    <t>Phase II Clinical Trial of KJ101in the Treatment of Deep II Degree Burns</t>
  </si>
  <si>
    <t>NCT06942910</t>
  </si>
  <si>
    <t>A Study to Investigate the Effects of Zibotentan/Dapagliflozin Combination Compared to Dapagliflozin Alone in Adult Participants With Chronic Kidney Disease and High Proteinuria</t>
  </si>
  <si>
    <t>NCT05954091</t>
  </si>
  <si>
    <t>OH2 Administered by Intratumoral Injection</t>
  </si>
  <si>
    <t>NCT07160608</t>
  </si>
  <si>
    <t>Safety and Efficacy of Tarperprumig in Adult Participants With Anti-Neutrophil Cytoplasmic Antibody (ANCA)-Associated Vasculitis</t>
  </si>
  <si>
    <t>NCT04220190</t>
  </si>
  <si>
    <t>RAPA-501 Therapy for ALS</t>
  </si>
  <si>
    <t>NCT07105176</t>
  </si>
  <si>
    <t>HS-IT101 Injection for Advanced NSCLC</t>
  </si>
  <si>
    <t>NCT04750252</t>
  </si>
  <si>
    <t>Safety and Tolerability of StroMel™ in Subjects with Moderate to Severe Osteoarthritis of the Knee Joint</t>
  </si>
  <si>
    <t>Akan Biosciences, LLC</t>
  </si>
  <si>
    <t>NCT07193511</t>
  </si>
  <si>
    <t>BEACON-1: Study of AVZO-103 as a Single Agent and in Combination Therapy in Patients With Locally Advanced or Metastatic Urothelial Cancer or Other Solid Tumors (AVZO-103-1001)</t>
  </si>
  <si>
    <t>NCT06761898</t>
  </si>
  <si>
    <t>A Study of Different Forms of BGB-43395 and Food Effect in Healthy Participants</t>
  </si>
  <si>
    <t>NCT06771921</t>
  </si>
  <si>
    <t>A First-in-Human Trial of Safety and Efficacy of GEN1078 in Participants With Solid Tumors</t>
  </si>
  <si>
    <t>NCT06911788</t>
  </si>
  <si>
    <t>A Study to Learn How a Tablet Compared With an IV Infusion of the Study Medicine Called Vepdegestrant is Taken up Into the Blood in Healthy Adults</t>
  </si>
  <si>
    <t>NCT06858865</t>
  </si>
  <si>
    <t>A Study to Evaluate the Safety and Pharmacokinetics of AD-228A Compared to Coadministration of AD-2281 and AD-2282</t>
  </si>
  <si>
    <t>NCT06842121</t>
  </si>
  <si>
    <t>A Bioequivalence Study Comparing Organic Phosphate (Sodium Glycerophosphate Injection) to Inorganic Phosphate (Sodium Phosphates Injection, USP)</t>
  </si>
  <si>
    <t>NCT06377228</t>
  </si>
  <si>
    <t>A Study of TAK-007 in Adults With Refractory Lupus Nephritis (LN) or Refractory Systemic Sclerosis (SSc)</t>
  </si>
  <si>
    <t>NCT05251636</t>
  </si>
  <si>
    <t>Adjunct Episcleral Brachytherapy for PCV</t>
  </si>
  <si>
    <t>Salutaris Medical Devices, Inc.</t>
  </si>
  <si>
    <t>NCT06855771</t>
  </si>
  <si>
    <t>A Study of Navlimetostat (BMS-986504) in Participants With Pre-treated Advanced or Metastatic Non-small Cell Lung Cancer (NSCLC) With Homozygous MTAP Deletion (MountainTAP-9)</t>
  </si>
  <si>
    <t>NCT06800963</t>
  </si>
  <si>
    <t>ResQ133A-NMIBC: Intravesical Recombinant Mycobacterium (rMBCG) in Participants With NMIBC Eligible to Receive Intravesical Tice BCG</t>
  </si>
  <si>
    <t>NCT07094087</t>
  </si>
  <si>
    <t>Efficacy and Safety of 4F-PCC (4-Factor Prothrombin Complex Concentrate) in Adult Patients Undergoing Complex Cardiovascular Surgery With Cardiopulmonary Bypass (CPB)</t>
  </si>
  <si>
    <t>NCT07204275</t>
  </si>
  <si>
    <t>Evaluation of Efficacy, Safety, and Tolerability of Povetacicept in Participants With Primary Membranous Nephropathy (pMN)</t>
  </si>
  <si>
    <t>NCT06951711</t>
  </si>
  <si>
    <t>A Study to Evaluate the Efficacy and Safety of KarXT for the Treatment of Manic Episodes in Bipolar-I Disorder (BALSAM-2)</t>
  </si>
  <si>
    <t>NCT07029945</t>
  </si>
  <si>
    <t>A Phase 1/2 Study of the Safety and Efficacy of BRX011 Oral Administration Once Daily in Subjects With Geographic Atrophy Secondary to Age-Related Macular Degeneration</t>
  </si>
  <si>
    <t>NCT06866795</t>
  </si>
  <si>
    <t>Phase 1 Clinical Study of GT-220F in Subjects With Metastatic Castration Resistant Prostate Cancer (mCRPC)</t>
  </si>
  <si>
    <t>Geode Therapeutics Inc.</t>
  </si>
  <si>
    <t>NCT07216430</t>
  </si>
  <si>
    <t>Safety and Efficacy of wSp Vaccine in Young Children</t>
  </si>
  <si>
    <t>NCT06830044</t>
  </si>
  <si>
    <t>Evaluation of Efficacy and Safety of Milsaperidone as Adjunctive Therapy in Patients With Major Depressive Disorder</t>
  </si>
  <si>
    <t>NCT07200986</t>
  </si>
  <si>
    <t>Study to Compare Pharmacokinetics and Safety of CT-P52 and US-licensed Taltz in Healthy Subjects</t>
  </si>
  <si>
    <t>NCT07387081</t>
  </si>
  <si>
    <t>Phase II Study of LM-24C5</t>
  </si>
  <si>
    <t>NCT06965881</t>
  </si>
  <si>
    <t>Study to Evaluate the Pharmacokinetics and Safety Effects Following Coadministration of Carbamazepine or Itraconazole With Radiprodil in Healthy Adults</t>
  </si>
  <si>
    <t>NCT07254481</t>
  </si>
  <si>
    <t>VB19055 Safety, Tolerability, Pharmacokinetic and Pharmacodynamic Study in a Healthy Chinese Population</t>
  </si>
  <si>
    <t>NCT06984328</t>
  </si>
  <si>
    <t>Study of the Effectiveness and Safety of Acasunlimab Alone and With Pembrolizumab to Treat Advanced Melanoma of the Skin That Has Returned After Treatment With an Approved Checkpoint Inhibitor Therapy (ABBIL1TY MELANOMA-07)</t>
  </si>
  <si>
    <t>NCT06281119</t>
  </si>
  <si>
    <t>Clinical Study to Evaluate SIIPL qHPV Vaccine (CERVAVAC®) in Women Living With HIV Aged 15-25 Years</t>
  </si>
  <si>
    <t>NCT06940830</t>
  </si>
  <si>
    <t>Long-term Study Evaluating Joint Health in People With Haemophilia A Receiving Real-world Prophylactic Treatment With Efanesoctocog Alfa</t>
  </si>
  <si>
    <t>NCT07196644</t>
  </si>
  <si>
    <t>A Study to Assess Adverse Events and Change in Disease Activity in Participants 12 Years of Age or Older With Locally Advanced or Metastatic Solid Tumors That Harbor MET Amplification Receiving Intravenously Infused Telisotuzumab Adizutecan</t>
  </si>
  <si>
    <t>NCT07267221</t>
  </si>
  <si>
    <t>Bioequivalence Study for the Safety and the Pharmacokinetics of DWC202313, DWC202314, and DWJ1622 in Healthy Volunteers Under Fed Condition.</t>
  </si>
  <si>
    <t>NCT07256392</t>
  </si>
  <si>
    <t>Long-term Efficacy and Safety Extension (LTE) Study of Barzolvolimab in Participants With Chronic Spontaneous Urticaria</t>
  </si>
  <si>
    <t>NCT07098663</t>
  </si>
  <si>
    <t>Food Effect, Efficacy and Safety of MKP10241 in Healthy and Obese Adult Participants, With and Without Diabetes</t>
  </si>
  <si>
    <t>NCT06863493</t>
  </si>
  <si>
    <t>Comparison of Otezla to SFA-002 to Placebo in Plaque Psoriasis Patients</t>
  </si>
  <si>
    <t>NCT07198321</t>
  </si>
  <si>
    <t>A Single-Arm, Open-Label, Multicenter Phase I/II Clinical Study of GFH276 in Patients With RAS-Mutant Advanced Solid Tumors</t>
  </si>
  <si>
    <t>NCT07027514</t>
  </si>
  <si>
    <t>A Study of Tolododekin Alfa (ANK-101) in Combination With an Anti-PD-1/PD-L1 Antibody in Participants With Advanced Non-Small Cell Lung Cancer</t>
  </si>
  <si>
    <t>NCT07323784</t>
  </si>
  <si>
    <t>A Study of NTX-1472 in Social Anxiety Disorder</t>
  </si>
  <si>
    <t>Newleos Therapeutics, Inc.</t>
  </si>
  <si>
    <t>NCT06144749</t>
  </si>
  <si>
    <t>A Safety, Efficacy, and Pharmacokinetic (PK) Study of HBI-002, an Oral Carbon Monoxide (CO) Therapeutic, in Subjects With Sickle Cell Disease (SCD)</t>
  </si>
  <si>
    <t>NCT06965465</t>
  </si>
  <si>
    <t>A Study to Learn How Different Amounts of the Study Medicine Called PF-07999415 Are Tolerated and Act in the Body in Healthy Adults</t>
  </si>
  <si>
    <t>NCT06963398</t>
  </si>
  <si>
    <t>A Study of HS-10529 in KRAS G12D Patients With Advanced Solid Tumors</t>
  </si>
  <si>
    <t>NCT07297693</t>
  </si>
  <si>
    <t>A Study to Evaluate the Pharmacokinetics and Safety Between HIP2503 and HCP1306 in Healthy Volunteers</t>
  </si>
  <si>
    <t>NCT07003321</t>
  </si>
  <si>
    <t>A Trial of HRS-4508 in Subjects With Locally Advanced or Metastatic Non-small Cell Lung Cancer</t>
  </si>
  <si>
    <t>NCT07035652</t>
  </si>
  <si>
    <t>The Phase Ib Clinical Trial of the XH-S004 Tablet in Patients With Chronic Obstructive Pulmonary Disease (COPD) to Evaluate Its Safety, Tolerability, Pharmacokinetic Characteristics and Pharmacodynamic Characteristics After Multiple Administrations</t>
  </si>
  <si>
    <t>NCT04662164</t>
  </si>
  <si>
    <t>A Study to Access the Efficacy in Type 2 Diabetes Mellitus on Stable Metformin</t>
  </si>
  <si>
    <t>NCT07098806</t>
  </si>
  <si>
    <t>Multiple Dose Intraventricular Administration of Rhenium-186 NanoLiposome for Leptomeningeal Metastases</t>
  </si>
  <si>
    <t>NCT06754384</t>
  </si>
  <si>
    <t>Tolerability, Safety, and Immunogenicity of Tetravalent Inactivated Enterovirus Vaccine (Vero Cell).</t>
  </si>
  <si>
    <t>NCT06857955</t>
  </si>
  <si>
    <t>A Study to Identify an Optimal Dose of QCZ484 in Mild to Moderate Hypertensive Patients</t>
  </si>
  <si>
    <t>NCT06950034</t>
  </si>
  <si>
    <t>A Phase 1 Study of STX-0712 in Patients With Advanced Hematological Malignancies (CMML and AML)</t>
  </si>
  <si>
    <t>Solu Therapeutics, Inc</t>
  </si>
  <si>
    <t>NCT06903338</t>
  </si>
  <si>
    <t>A Study to Evaluate Tobevibart + Elebsiran in Chronic HDV Infection</t>
  </si>
  <si>
    <t>NCT06168734</t>
  </si>
  <si>
    <t>Cefepime-taniborbactam vs Meropenem in Adults With VABP or Ventilated HABP</t>
  </si>
  <si>
    <t>NCT07170189</t>
  </si>
  <si>
    <t>Phase 1, Open-Label, Randomized, Study of the Safety and Pharmacokinetics of HU6</t>
  </si>
  <si>
    <t>NCT06517888</t>
  </si>
  <si>
    <t>Anti-VEGF Gene Therapy Trial for Vestibular Schwannoma</t>
  </si>
  <si>
    <t>NCT07052383</t>
  </si>
  <si>
    <t>Safety and Efficacy of DIT309 in Advanced Bone and Soft Tissue Sarcomas</t>
  </si>
  <si>
    <t>NCT07465705</t>
  </si>
  <si>
    <t>Clinical Trial on Bowel Preparation Comparing Mannitol 100g to Plenvu Both in a Same Day Regimen (CLEARWAY)</t>
  </si>
  <si>
    <t>NCT07075224</t>
  </si>
  <si>
    <t>Pharmacodynamics of a Fixed Dose Combination of 0.34% Tropicamide and 2.5% Phenylephrine Hydrochloride, Eye Drop, Solution</t>
  </si>
  <si>
    <t>NCT06850727</t>
  </si>
  <si>
    <t>Safety and Efficacy of OD-07656 and of Subsequent Vedolizumab Therapy in Moderately to Severely Active Ulcerative Colitis</t>
  </si>
  <si>
    <t>NCT07654140</t>
  </si>
  <si>
    <t>A Phase II Clinical Trial of Efficacy and Safety of SAL0140 at Different Doses in Patients With Uncontrolled Hypertension</t>
  </si>
  <si>
    <t>NCT06822517</t>
  </si>
  <si>
    <t>A Phase 1b Study of the NLRP3 Inhibitor VENT-02 in Patients With Mild to Moderate Parkinson's Disease</t>
  </si>
  <si>
    <t>NCT07284043</t>
  </si>
  <si>
    <t>A Mass Balance Study of [14C] MT1013 in Hemodialysis Subjects With Secondary Hyperparathyroidism</t>
  </si>
  <si>
    <t>NCT06778031</t>
  </si>
  <si>
    <t>A Clinical Study of SHR-A1811 in the Treatment of HER2-positive Locally Advanced or Metastatic Biliary Tract Cancer</t>
  </si>
  <si>
    <t>NCT07142642</t>
  </si>
  <si>
    <t>A Study to Evaluate Pharmacokinetics, Safety, and Tolerability of Teprotumumab (AMG 632) Administered Intravenously in Healthy Chinese Participants</t>
  </si>
  <si>
    <t>NCT06984718</t>
  </si>
  <si>
    <t>A Phase II Study of AK104 Combination With Lenvatinib Versus Lenvatinib for Second-line HCC</t>
  </si>
  <si>
    <t>NCT06754462</t>
  </si>
  <si>
    <t>A Study to Evaluate the Efficacy, Safety, and Tolerability of IMVT-1402 in Adult Participants With Active, Difficult to Treat Rheumatoid Arthritis</t>
  </si>
  <si>
    <t>NCT05195294</t>
  </si>
  <si>
    <t>Study of HBV-TCR T Cells (LioCyx-M) as Monotherapy or as Combination With Lenvatinib for HBV-related HCC</t>
  </si>
  <si>
    <t>NCT06888193</t>
  </si>
  <si>
    <t>A Study to Assess the Concentration of Bimekizumab in Mature Breast Milk From Mothers Receiving Treatment With Bimzelx® (Bimekizumab)</t>
  </si>
  <si>
    <t>NCT06635785</t>
  </si>
  <si>
    <t>Safety, Pharmacokinetics, and Efficacy of AI-081, a Bispecific Antibody for PD-1 And VEGF in Advanced Solid Tumors</t>
  </si>
  <si>
    <t>NCT06921785</t>
  </si>
  <si>
    <t>Phase III Study of Rilvegostomig in Combination With Bevacizumab With or Without Tremelimumab as First-line Treatment of Hepatocellular Carcinoma</t>
  </si>
  <si>
    <t>NCT06052254</t>
  </si>
  <si>
    <t>Dexmedetomidine Transdermal Systems (DMTS) Treatment for Agitation Associated With Dementia of the Alzheimer's Type</t>
  </si>
  <si>
    <t>NCT07235774</t>
  </si>
  <si>
    <t>A Drug-drug Interaction Study of Vorasidenib and a Combined Oral Contraceptive in Healthy Female Participants</t>
  </si>
  <si>
    <t>NCT07230418</t>
  </si>
  <si>
    <t>A Study to Evaluate the Safety, Tolerability, Pharmacokinetics, Pharmacodynamics, and Food Effect of Single and Multiple Doses of HRS-3095 Oral Administration in Healthy Subjects, as Well as the Effect of HRS-3095 on CYP3A4 Metabolic Enzymes</t>
  </si>
  <si>
    <t>NCT01394679</t>
  </si>
  <si>
    <t>A Phase 3 Study of 99mTC-EC-DG SPECT/CT Versus PET/CT in Lung Cancer</t>
  </si>
  <si>
    <t>NCT06865079</t>
  </si>
  <si>
    <t>53-Week Study Evaluating the Safety and Efficacy of Intra-articular Injections of TPX-100 With Mild to Severe Tibio-Femoral Osteoarthritis of the Knee</t>
  </si>
  <si>
    <t>OrthoTrophix, Inc</t>
  </si>
  <si>
    <t>NCT07184996</t>
  </si>
  <si>
    <t>An Induction Study to Investigate the Efficacy and Safety of Duvakitug in Participants With Moderately to Severely Active Ulcerative Colitis</t>
  </si>
  <si>
    <t>NCT07333742</t>
  </si>
  <si>
    <t>A Clinical Study to See How the Body Handles and How Safe a Combination Tablet of Gemigliptin, Dapagliflozin, and Metformin 50/10/1000mg is Compared to Taking Gemigliptin 50mg Separately With Dapagliflozin/Metformin 10/1000mg in Healthy Adults After a Meal</t>
  </si>
  <si>
    <t>NCT06979388</t>
  </si>
  <si>
    <t>A Study to Investigate the Effect of Food on Balcinrenone/Dapagliflozin Pharmacokinetics in Fed and Fasted State and Pharmacokinetics of Balcinrenone When Dosed With a P-gp Inhibitor in Healthy Participants.</t>
  </si>
  <si>
    <t>NCT07284186</t>
  </si>
  <si>
    <t>First-in-Human Study of PLX-61639 in Locally Advanced or Metastatic Solid Tumors</t>
  </si>
  <si>
    <t>Plexium, Inc.</t>
  </si>
  <si>
    <t>NCT07075185</t>
  </si>
  <si>
    <t>A Study to Evaluate a Novel Gene Therapy in Patients With Relapsed and Refractory Multiple Myeloma</t>
  </si>
  <si>
    <t>Kelonia Therapeutics, Inc.</t>
  </si>
  <si>
    <t>NCT07207707</t>
  </si>
  <si>
    <t>A Study to Investigate the Safety and Efficacy of KQB548 in Participants With Advanced Solid Malignancies</t>
  </si>
  <si>
    <t>NCT06976216</t>
  </si>
  <si>
    <t>A Study to Evaluate the Efficacy and Safety of KarXT + KarX-EC for Cognitive Impairment in Alzheimer's Disease</t>
  </si>
  <si>
    <t>NCT07172347</t>
  </si>
  <si>
    <t>Efficacy and Safety Phase II Study of VC005 Tablets in Subjects With Non-segmental Vitiligo</t>
  </si>
  <si>
    <t>NCT07225478</t>
  </si>
  <si>
    <t>Clinical Study to Evaluate the Tooth Whitening Efficacy of a New NextGen In-office Whitening System</t>
  </si>
  <si>
    <t>NCT06931626</t>
  </si>
  <si>
    <t>Study of NMS-03305293 in Adult Patient With Relapsed Small Cell Lung Cancer</t>
  </si>
  <si>
    <t>NCT06721143</t>
  </si>
  <si>
    <t>A Study to Investigate the Safety, Tolerability, and Preliminary Efficacy With AION-301 Administered by Intravenous Infusion Compared With Placebo Administered by Intravenous Infusion Investigational Intervention in Participants Aged 35 to 75 Years of Age With Chronic Kidney Disease (CKD)</t>
  </si>
  <si>
    <t>AION Healthspan, Inc.</t>
  </si>
  <si>
    <t>NCT06994676</t>
  </si>
  <si>
    <t>A Study of CBX-250 in Participants With Relapsed or Refractory Myeloid Leukemias</t>
  </si>
  <si>
    <t>Crossbow Therapeutics, Inc.</t>
  </si>
  <si>
    <t>NCT07185776</t>
  </si>
  <si>
    <t>A Study of HRS-5632 in Adult Participants With Elevated Lipoprotein(a) at High Risk for Cardiovascular Events</t>
  </si>
  <si>
    <t>NCT06855576</t>
  </si>
  <si>
    <t>Bioequivalence Study of Paracetamol With Oral Single Dose Administration in Healthy Adult Subjects Under Fasting Conditions</t>
  </si>
  <si>
    <t>NCT07003178</t>
  </si>
  <si>
    <t>A Study to Evaluate the Safety and Clinical Efficacy of STR-P004</t>
  </si>
  <si>
    <t>NCT06762548</t>
  </si>
  <si>
    <t>Clinical Study of DA-007 for the Treatment of Chemotherapy Induced Alopecia</t>
  </si>
  <si>
    <t>NCT06916143</t>
  </si>
  <si>
    <t>Comparing the Extent to Which Three Different Formulations of LY4100511 (DC-853) Are Made Available in the Body, Alone and in the Presence of a Drug That Reduces Stomach Acid</t>
  </si>
  <si>
    <t>NCT06757335</t>
  </si>
  <si>
    <t>A Phase I/II Trial to Evaluate Oral HP568 Tablets in Patients with ER+/HER2 Advanced Breast Cancer</t>
  </si>
  <si>
    <t>NCT06831825</t>
  </si>
  <si>
    <t>Study Assessing Left Ventricular Administration of a Genetic Medicine Directing Organ Regeneration in Heart Failure</t>
  </si>
  <si>
    <t>YAP Therapeutics, Inc.</t>
  </si>
  <si>
    <t>NCT07115368</t>
  </si>
  <si>
    <t>Study of GS-1219 in Participants With HIV-1</t>
  </si>
  <si>
    <t>NCT06911424</t>
  </si>
  <si>
    <t>Efficacy of Fusidic Acid 1% in the Treatment of Bacterial Conjunctivitis</t>
  </si>
  <si>
    <t>Baxis Pharmaceuticals, Inc.</t>
  </si>
  <si>
    <t>NCT06644573</t>
  </si>
  <si>
    <t>Evaluating the Efficacy and Safety of PROSOMNIA Sleep Therapy™ in Patients With Sleep Deprivation and Chronic Insomnia</t>
  </si>
  <si>
    <t>Nyree Penn</t>
  </si>
  <si>
    <t>NCT07229950</t>
  </si>
  <si>
    <t>A Phase 2 Clinical Study to Evaluate the Efficacy, Safety, and Pharmacokinetics of HRS-7085 Tablets in Patients With Inflammatory Bowel Disease</t>
  </si>
  <si>
    <t>NCT06713590</t>
  </si>
  <si>
    <t>A Study to Evaluate a Single-Dose Subcutaneous Axatilimab Compared With Intravenous Axatilimab in Healthy Participants</t>
  </si>
  <si>
    <t>NCT07222670</t>
  </si>
  <si>
    <t>A Study Assessing Safety, Tolerability, and Efficacy of INNA-051 in Preventing Respiratory Illness Due to Viral Infections in Healthy Adults 18 to 45 Years of Age</t>
  </si>
  <si>
    <t>NCT06671496</t>
  </si>
  <si>
    <t>A Study of Zasocitinib in Adults With Psoriatic Arthritis Who Have or Have Not Been Treated With Biologic Medicines</t>
  </si>
  <si>
    <t>NCT07018713</t>
  </si>
  <si>
    <t>A Clinical Trial to Evaluate Efficacy and Safety of Xeomin® Injections for Preventing Chronic Migraine</t>
  </si>
  <si>
    <t>NCT06978699</t>
  </si>
  <si>
    <t>A Phase II Study Evaluating the Efficacy and Safety of XH-S003 Capsules in Patients With Paroxysmal Nocturnal Hemoglobinuria (PNH)</t>
  </si>
  <si>
    <t>NCT07013474</t>
  </si>
  <si>
    <t>A Study to Learn About the Study Medicine Ibuzatrelvir in Adults With COVID-19 Who Are Severely Immunocompromised</t>
  </si>
  <si>
    <t>NCT05275374</t>
  </si>
  <si>
    <t>XP-102 and XP-102 in Combination With Trametinib in Advanced Solid Tumor Patients With a BRAF V600 Mutation</t>
  </si>
  <si>
    <t>NCT07007091</t>
  </si>
  <si>
    <t>A Study to Assess the Relative Bioavailability of Risankizumab Following Subcutaneous Administrations With a Pre-Filled Syringe or an On-Body Injector in Healthy Adult Participants</t>
  </si>
  <si>
    <t>NCT07446491</t>
  </si>
  <si>
    <t>A Study to Evaluate the Safety and Efficacy of PN20 in the Treatment of Thrombocytopenia in Patients With Chronic Liver Disease Undergoing an Elective Procedure</t>
  </si>
  <si>
    <t>NCT07199569</t>
  </si>
  <si>
    <t>Comparability Trial of the MVA-BN Vaccine Manufactured in Different Production Cells</t>
  </si>
  <si>
    <t>NCT06872866</t>
  </si>
  <si>
    <t>The Objective of This Phase 1 Study is to Evaluate the Food Effect of 100 mg Hezkue Turbo® (ASP-001.1, Sildenafil) Under Fed Versus 100 mg of Hezkue Turbo® (ASP-001.1, Sildenafil) Under Fasted Conditions in Healthy Adult Male Subjects</t>
  </si>
  <si>
    <t>NCT07258745</t>
  </si>
  <si>
    <t>Pharmacokinetic, Safety, Tolerability, and Immunogenicity Comparison of CKD-704 (Risankizumab Biosimilar), With EU-approved Skyrizi®, and US-licensed Skyrizi® in Healthy Adult Participants</t>
  </si>
  <si>
    <t>NCT07197645</t>
  </si>
  <si>
    <t>Samarium Optimized for Long-lasting Analgesia in Cancerous End-stage Bone Pain</t>
  </si>
  <si>
    <t>NCT06911242</t>
  </si>
  <si>
    <t>A Comparison of the Pharmacokinetic Properties of ARN-75039 Tablets With Excipients to Neat ARN-75039 in Hydroxypropyl Methylcellulose (HPMC) Capsules in Healthy Adult Participants Under Fed Conditions</t>
  </si>
  <si>
    <t>NCT06911827</t>
  </si>
  <si>
    <t>A Study of QLP2117 in Combination With QL2107 in Advanced Solid Tumor Patients</t>
  </si>
  <si>
    <t>NCT06955754</t>
  </si>
  <si>
    <t>A Study in Healthy People to Test How 3 Different Formulations of BI 764198 Are Taken up in the Body and How This is Influenced by Food</t>
  </si>
  <si>
    <t>NCT06903286</t>
  </si>
  <si>
    <t>Extension Study of Participants From SPG302-ALS-001</t>
  </si>
  <si>
    <t>NCT07145229</t>
  </si>
  <si>
    <t>Safety and Efficacy of ABP-745 in Participants With an Acute Gout Flare</t>
  </si>
  <si>
    <t>NCT06779188</t>
  </si>
  <si>
    <t>Examining the Effects of Theta Burst TMS on Brain Connectivity and Balance Ability in Older Adults With Balance Problems</t>
  </si>
  <si>
    <t>Weinberg Medical Physics LLC</t>
  </si>
  <si>
    <t>NCT07150988</t>
  </si>
  <si>
    <t>A Phase II Efficacy and Safety Study of HSK44459 in Subjects With Moderate to Severe Plaque Psoriasis</t>
  </si>
  <si>
    <t>NCT04069286</t>
  </si>
  <si>
    <t>EFFICACY OF ORAL AROEIRA (Schinus Terebinthifolia Raddi) COMPARED TO OMEPRAZOLE IN DYSPEPPSIA</t>
  </si>
  <si>
    <t>NCT06897202</t>
  </si>
  <si>
    <t>A Study to Evaluate the Efficacy and Safety of Once-Weekly MET097 in Adults With Obesity or Overweight and T2DM</t>
  </si>
  <si>
    <t>NCT06977737</t>
  </si>
  <si>
    <t>A Study of ATTR-01 in Participants With Select Epithelial Solid Tumours</t>
  </si>
  <si>
    <t>Accession Therapeutics Limited</t>
  </si>
  <si>
    <t>NCT07269756</t>
  </si>
  <si>
    <t>A Study to Evaluate the Drug Interactions of HRS-7535 With Acetaminophen, Digoxin, Rosuvastatin, and Omeprazole in Obese or Overweight Subjects</t>
  </si>
  <si>
    <t>NCT07371065</t>
  </si>
  <si>
    <t>To Evaluate the Safety, Tolerability, Pharmacokinetic Characteristics and Food Effects of LY03021 in Healthy Chinese Subjects</t>
  </si>
  <si>
    <t>NCT06009107</t>
  </si>
  <si>
    <t>A Study of HY004 Treatment in Adult Relapsed/Refractory B-precursor Acute Lymphoblastic Leukemia (r/r B-ALL)</t>
  </si>
  <si>
    <t>NCT06787664</t>
  </si>
  <si>
    <t>A Study of BL-B01D1 in Patients With Locally Advanced or Metastatic Chordoma</t>
  </si>
  <si>
    <t>NCT06919965</t>
  </si>
  <si>
    <t>A Study to Evaluate TAR-210 Versus Intravesical Chemotherapy Treatment in Participants With High Risk Non-Muscle-Invasive Bladder Cancer</t>
  </si>
  <si>
    <t>NCT06795165</t>
  </si>
  <si>
    <t>Study of the Safety and Efficacy of Moxidectin Tablets for the Reduction of Demodex Eyelash Infestation</t>
  </si>
  <si>
    <t>Eye Research Foundation, Inc.</t>
  </si>
  <si>
    <t>NCT06847464</t>
  </si>
  <si>
    <t>A Drug-Drug Interaction Study to Evaluate the Effects of Itraconazole, Carbamazepine, Quinidine and Fluconazole on the Pharmacokinetics and Safety of EDP-323.</t>
  </si>
  <si>
    <t>NCT07191899</t>
  </si>
  <si>
    <t>To Evaluate the Efficacy and Safety of KN060 in Essential Hypertension</t>
  </si>
  <si>
    <t>NCT07252921</t>
  </si>
  <si>
    <t>Safety and Efficacy of HRS-9190 Compared to Rocuronium for Tracheal Intubation in Adults</t>
  </si>
  <si>
    <t>NCT06578507</t>
  </si>
  <si>
    <t>Pharmacokinetics, Efficacy and Safety of Twice Daily Dosing Regimen of Hydroxycarbamide Dispersible Tablets in Children With Sickle Cell Disease</t>
  </si>
  <si>
    <t>NCT07108699</t>
  </si>
  <si>
    <t>Evaluation of the Safety and Efficacy of HSK39004 Dry Powder Inhaler in Chinese Patients With Chronic Obstructive Pulmonary Disease (COPD)</t>
  </si>
  <si>
    <t>NCT06852963</t>
  </si>
  <si>
    <t>A Repeat-Dose, Open-Label, Two Arm Safety and Efficacy Study of Two Doses of VP-001 Administered Intravitreally in Participants With Confirmed PRPF31 Mutation-Associated Retinal Dystrophy, Including Participants Previously Treated With VP001</t>
  </si>
  <si>
    <t>NCT07004192</t>
  </si>
  <si>
    <t>The Role of hCG in Thawed Embryo Transfer</t>
  </si>
  <si>
    <t>NCT06605963</t>
  </si>
  <si>
    <t>PPV-06 Vaccine in Inflammatory Knee Osteoarthritis</t>
  </si>
  <si>
    <t>NCT07603284</t>
  </si>
  <si>
    <t>Continuous Glucose Monitoring By DExcom iN PEople Followed for Type 2 DIabeTes on Insulin Therapy in the Kingdom of Saudi Arabia</t>
  </si>
  <si>
    <t>NCT06829784</t>
  </si>
  <si>
    <t>TQC2731 Clinical Trial for the Treatment of Severe Asthma With Injection</t>
  </si>
  <si>
    <t>NCT07241767</t>
  </si>
  <si>
    <t>A Phase II Clinical Study of FH-006 for Injection Combined With Other Anticancer Therapies in Subjects With Lung Cancer</t>
  </si>
  <si>
    <t>NCT07202871</t>
  </si>
  <si>
    <t>A Study of How the Body Absorbs LY3537031</t>
  </si>
  <si>
    <t>NCT07015671</t>
  </si>
  <si>
    <t>Bioavailability and Bioequivalence Study of ER Torsemide and Spironolactone FDC Tablet in Healthy Subjects</t>
  </si>
  <si>
    <t>NCT07109700</t>
  </si>
  <si>
    <t>A Study of HDM1005 in Participants With T2DM Not Controlled With Diet/Exercise or Metformin</t>
  </si>
  <si>
    <t>NCT06523400</t>
  </si>
  <si>
    <t>The Efficacy and Safety of Once Daily Mexiletine PR in Patients With Myotonic Dystrophy Type 1 and Type 2</t>
  </si>
  <si>
    <t>NCT06726265</t>
  </si>
  <si>
    <t>Study of Eftilagimod Alfa (Efti) in Combination With Pembrolizumab and Chemotherapy Versus Placebo in Combination With Pembrolizumab and Chemotherapy in Participants With Metastatic Non-Small Cell Lung Cancer (NSCLC) (TACTI-004)</t>
  </si>
  <si>
    <t>NCT06997900</t>
  </si>
  <si>
    <t>Menopur And Rekovelle Combination Study Version 2.0</t>
  </si>
  <si>
    <t>NCT06975293</t>
  </si>
  <si>
    <t>STC-15 as a Part of Combination Therapy With Toripalimab in Selected Advanced Cancers and as Monotherapy in Participants With Selected Sarcomas</t>
  </si>
  <si>
    <t>NCT07112222</t>
  </si>
  <si>
    <t>A Study of LM-350 in Subjects With Advanced Solid Tumours</t>
  </si>
  <si>
    <t>NCT06892431</t>
  </si>
  <si>
    <t>JMT101 Combined With Mitoxantrone Liposome for Nasopharyngeal Cancer</t>
  </si>
  <si>
    <t>NCT07038005</t>
  </si>
  <si>
    <t>A Phase I Study of SPGL008 in Subjects With Advanced Malignant Tumors</t>
  </si>
  <si>
    <t>NCT06642545</t>
  </si>
  <si>
    <t>Efficacy and Safety Study of Disitamab Vedotin + RC148 vs. Albumin-Paclitaxone ± Toripalimab in HR-/HER2-low Breast Cancer</t>
  </si>
  <si>
    <t>NCT07000357</t>
  </si>
  <si>
    <t>A Phase III Study of AZD0780 on Major Adverse CV Events in Patients With a History of ASCVD Events or at High Risk for a First Event</t>
  </si>
  <si>
    <t>NCT06737042</t>
  </si>
  <si>
    <t>Efficacy and Safety of GZR18 Every 2 Weeks Versus Tirzepatide and Placebo in Obese or Overweight Participants</t>
  </si>
  <si>
    <t>NCT07290283</t>
  </si>
  <si>
    <t>A Study to Investigate Safety, Tolerability, and Pharmacokinetics of AZD3974 in Healthy Participants</t>
  </si>
  <si>
    <t>NCT06915753</t>
  </si>
  <si>
    <t>Safety and Preliminary Anti-Tumor Activity of TYRA-430 in Advanced Hepatocellular Carcinoma and Other Solid Tumors With Activating FGF/FGFR Pathway Aberrations</t>
  </si>
  <si>
    <t>NCT07376629</t>
  </si>
  <si>
    <t>A Study of HB0025 Plus Nab-paclitaxel as First Line Therapy for TNBC</t>
  </si>
  <si>
    <t>NCT07165002</t>
  </si>
  <si>
    <t>A Study of the Pharmacokinetics and Safety of LY3537031 in Participants With Normal Liver Function and With Mild, Moderate, or Severe Liver Impairment</t>
  </si>
  <si>
    <t>NCT06634875</t>
  </si>
  <si>
    <t>Isunakinra Alone and in Combination With Pembrolizumab in Patients With Colorectal Cancer (MSS)</t>
  </si>
  <si>
    <t>NCT07318675</t>
  </si>
  <si>
    <t>A Phase Ib Study of HW211026 Ointment in Patients With Actinic Keratosis.</t>
  </si>
  <si>
    <t>NCT07169851</t>
  </si>
  <si>
    <t>A Study to Evaluate LY3537021 for the Treatment of Nausea and Vomiting Caused by Chemotherapy in Adults With Cancer</t>
  </si>
  <si>
    <t>NCT07086677</t>
  </si>
  <si>
    <t>A Study to Learn About How a New Pneumococcal Vaccine Works in Adults</t>
  </si>
  <si>
    <t>NCT07160257</t>
  </si>
  <si>
    <t>A Study to Evaluate the Effect of Maridebart Cafraglutide on Insulin Sensitivity and β-cell Function in Participants With Type 2 Diabetes Mellitus</t>
  </si>
  <si>
    <t>NCT06867705</t>
  </si>
  <si>
    <t>Randomized Controlled Trial of Remote Symptoms Monitoring With Resilience PRO Compared to Care As Usual Only</t>
  </si>
  <si>
    <t>Resilience</t>
  </si>
  <si>
    <t>NCT06939595</t>
  </si>
  <si>
    <t>A Study to Compare Effects and Safety of CT-P51 and Keytruda in Patients With Previously Untreated Metastatic Lung Cancer</t>
  </si>
  <si>
    <t>NCT07040436</t>
  </si>
  <si>
    <t>Assessment of Safety and Efficacy of OPM-101 Combined With Anti-PD-1 in Patients With Advanced Melanoma Showing Resistance to Anti-PD-1</t>
  </si>
  <si>
    <t>Oncodesign Precision Medicine</t>
  </si>
  <si>
    <t>NCT06873763</t>
  </si>
  <si>
    <t>Nelmastobart in Combination With Trifluridine/ Tipiracil and Bevacizumab in Metastatic/ Recurrent Colorectal Cancer</t>
  </si>
  <si>
    <t>NCT06830863</t>
  </si>
  <si>
    <t>A Study to Evaluate Topical ATR04-484 for EGFRi-Associated Dermal Toxicity</t>
  </si>
  <si>
    <t>NCT06911567</t>
  </si>
  <si>
    <t>A Study to Assess New Formulations of TEV-56286</t>
  </si>
  <si>
    <t>NCT06718634</t>
  </si>
  <si>
    <t>A Study of BL-M08D1 in Patients With Relapsed or Refractory Lymphoid Malignancies</t>
  </si>
  <si>
    <t>NCT06766864</t>
  </si>
  <si>
    <t>A Study of Subcutaneous DR-01 in Healthy Volunteers</t>
  </si>
  <si>
    <t>NCT06762600</t>
  </si>
  <si>
    <t>A Study to Evaluate the Safety, Tolerability, Pharmacokinetics and Pharmacodynamics of HRS-4729 Injection in Healthy Subjects</t>
  </si>
  <si>
    <t>NCT07059767</t>
  </si>
  <si>
    <t>Phase IIa Trial in Participants With Asthma to Evaluate Impact of Intranasal ETH47 on Development of Asthma-related Symptoms Following Rhinovirus Challenge</t>
  </si>
  <si>
    <t>NCT06904807</t>
  </si>
  <si>
    <t>A Phase I Study to Evaluate LIFE-001</t>
  </si>
  <si>
    <t>LifeMine Therapeutics</t>
  </si>
  <si>
    <t>NCT07258836</t>
  </si>
  <si>
    <t>A Study of [18F]LY4214835 in Healthy Volunteers and Participants With Cancer</t>
  </si>
  <si>
    <t>NCT07010107</t>
  </si>
  <si>
    <t>A Clinical Trial of Anaprazole for Treating Reflux Esophagitis.</t>
  </si>
  <si>
    <t>NCT07063407</t>
  </si>
  <si>
    <t>Phase 1 Study of HS-20093 Combinations in Patients With Extensive Stage Small Cell Lung Cancer</t>
  </si>
  <si>
    <t>NCT07128199</t>
  </si>
  <si>
    <t>A Study to Assess the Efficacy and Safety of Zipalertinib Versus Placebo for Adjuvant Treatment in Participants With Stage IB-IIIA NSCLC With Uncommon EGFR Mutations, Following Complete Tumor Resection</t>
  </si>
  <si>
    <t>NCT07015905</t>
  </si>
  <si>
    <t>REGN7508 Versus Apixaban and Enoxaparin for Thromboprophylaxis After Total Knee Arthroplasty in Adults</t>
  </si>
  <si>
    <t>NCT06973005</t>
  </si>
  <si>
    <t>A Study to Investigate How Multiple Oral Doses of AZD2389 Affect the Pharmacokinetics of Midazolam, Caffeine, and Bupropion in Healthy Participants</t>
  </si>
  <si>
    <t>NCT06731907</t>
  </si>
  <si>
    <t>A Study of Pembrolizumab With or Without Chemotherapy in Combination With Additional Treatments for Advanced Non-Small Cell Lung Cancer (NSCLC) (MK-3475-01G/KEYMAKER U01)</t>
  </si>
  <si>
    <t>NCT07230145</t>
  </si>
  <si>
    <t>A Trial of SHR-4658 in Healthy Volunteers or Volunteers With Elevated Blood Pressure</t>
  </si>
  <si>
    <t>NCT07213895</t>
  </si>
  <si>
    <t>Bioequivalence Study to Compare Empagliflozin/Linagliptin/Metformin HCL 25mg/5mg/1000mg Extended-Release Tablets Versus Trijardy® XR Extended Release Film Coated Tablets</t>
  </si>
  <si>
    <t>NCT06903377</t>
  </si>
  <si>
    <t>Study of ZG005 Combined With Gecacitinib in Patients With Advanced Non-Small Cell Lung Cancer</t>
  </si>
  <si>
    <t>NCT07297875</t>
  </si>
  <si>
    <t>A Study of ABSK061 to Assess Safety, Tolerability, Pharmacokinetics, and Efficacy in Children With Achondroplasia</t>
  </si>
  <si>
    <t>NCT07222800</t>
  </si>
  <si>
    <t>Symbiotic-GI-03: A Study to Learn About the Study Medicine Called PF-08634404 in Combination With Chemotherapy in Adult Participants With Metastatic Colorectal Cancer</t>
  </si>
  <si>
    <t>NCT05691244</t>
  </si>
  <si>
    <t>Assess the Safety and Efficacy of Sovateltide in Patients With Acute Cerebral Ischemic Stroke</t>
  </si>
  <si>
    <t>NCT06926998</t>
  </si>
  <si>
    <t>9MW2821 Combined With Other Antitumor Drugs in Patients With Advanced Gynecological Tumors</t>
  </si>
  <si>
    <t>NCT06703892</t>
  </si>
  <si>
    <t>A Study to Evaluate the Safety and Clinical Activity of GF- CART01 (CD20/19 CAR T Cell) in Subjects With Relapsed or Refractory B-Cell Hematological Malignancies</t>
  </si>
  <si>
    <t>GenomeFrontier Therapeutics TW Co., Ltd.</t>
  </si>
  <si>
    <t>NCT06910709</t>
  </si>
  <si>
    <t>Single and Multiple Ascending Dose Study of AMG 378 in Healthy Participants</t>
  </si>
  <si>
    <t>NCT07235202</t>
  </si>
  <si>
    <t>A Study of MR001 Combined With Chemotherapy in Patients With Locally Advanced or Metastatic Pancreatic Ductal Adenocarcinoma (PDAC) After First-line Therapy</t>
  </si>
  <si>
    <t>Shenzhen Majory Biotechnology Co., Ltd.</t>
  </si>
  <si>
    <t>NCT07033481</t>
  </si>
  <si>
    <t>Clinical Study of Neflamapimod in Patients With Primary Progressive Aphasia</t>
  </si>
  <si>
    <t>NCT06985875</t>
  </si>
  <si>
    <t>Clinical Trial for the Evaluation of Safety and Efficacy of Drop 0.4%</t>
  </si>
  <si>
    <t>Avizor SA</t>
  </si>
  <si>
    <t>NCT06824051</t>
  </si>
  <si>
    <t>A Study of Orforglipron (LY3502970) in Adult Participants With Obesity or Overweight</t>
  </si>
  <si>
    <t>NCT07303907</t>
  </si>
  <si>
    <t>A Phase 2A Trial of DT402 for Autism Spectrum Disorder</t>
  </si>
  <si>
    <t>NCT07141511</t>
  </si>
  <si>
    <t>A Study to Investigate the Relative Bioavailability and Food Effect of a Fixed-Dose Combination Tablet Containing Zanubrutinib and Sonrotoclax (BG-71332) in Healthy Adults</t>
  </si>
  <si>
    <t>NCT07151040</t>
  </si>
  <si>
    <t>Phase 1/2 Study to Evaluate TH9619 in the Treatment of Advanced Solid Tumors</t>
  </si>
  <si>
    <t>One-carbon Therapeutics AB</t>
  </si>
  <si>
    <t>NCT05060705</t>
  </si>
  <si>
    <t>"Efesovir" (FS-1) for COVID-19, Phase 2</t>
  </si>
  <si>
    <t>Scientific Center for Anti-infectious Drugs, Kazakhstan</t>
  </si>
  <si>
    <t>NCT07046975</t>
  </si>
  <si>
    <t>Bioavailability and Bioequivalence Study of Extended Release Torsemide and Spironolactone</t>
  </si>
  <si>
    <t>NCT06608901</t>
  </si>
  <si>
    <t>A Study of REGN7544 for the Treatment in Adult Patients With Sepsis-Induced Hypotension</t>
  </si>
  <si>
    <t>NCT07334912</t>
  </si>
  <si>
    <t>AEF0217 in Participants With Down Syndrome</t>
  </si>
  <si>
    <t>NCT06679881</t>
  </si>
  <si>
    <t>Long-Term, Open-label Study of Oral Deucrictibant Extended-Release Tablet for Prophylaxis Against Angioedema Attacks in Adolescents and Adults With HAE</t>
  </si>
  <si>
    <t>NCT07373457</t>
  </si>
  <si>
    <t>A Phase I Study of HW201877 in Healthy Subjects</t>
  </si>
  <si>
    <t>NCT06815575</t>
  </si>
  <si>
    <t>A Safety and Pharmacokinetics Study of RC220 Combined With Doxorubicin in Adult Participants With Solid Tumours.</t>
  </si>
  <si>
    <t>NCT06914128</t>
  </si>
  <si>
    <t>A Study of PRMT5 Inhibitor BAY 3713372 in Participants With MTAP-deleted Solid Tumors</t>
  </si>
  <si>
    <t>NCT06947928</t>
  </si>
  <si>
    <t>Placebo-Controlled Trial of IFx-Hu2.0 Followed By Pembrolizumab In Checkpoint Inhibitor Naïve Participants With Advanced Or Metastatic Merkel Cell Carcinoma</t>
  </si>
  <si>
    <t>NCT06175767</t>
  </si>
  <si>
    <t>A Study to Evaluate the Safety, Tolerability and Efficacy of MT101-5 in Subjects with Early Parkinson's Disease</t>
  </si>
  <si>
    <t>NCT02725554</t>
  </si>
  <si>
    <t>Study of Wireless Nerve Stimulation in the Treatment of Chronic Migraine</t>
  </si>
  <si>
    <t>Curonix LLC</t>
  </si>
  <si>
    <t>NCT06470451</t>
  </si>
  <si>
    <t>Confirmatory Study of Topical HyBryte™ vs. Placebo for the Treatment of CTCL</t>
  </si>
  <si>
    <t>NCT06772623</t>
  </si>
  <si>
    <t>Study to Evaluate Adverse Events and Efficacy of Intravenous (IV) Telisotuzumab Adizutecan in Combination With a PD-1 Immune Checkpoint Inhibitor in Adult Participants With Advanced or Metastatic Non-Squamous NSCLC With No Prior Treatment for Advanced Disease, and No Actionable Genomic Alterations</t>
  </si>
  <si>
    <t>NCT07229742</t>
  </si>
  <si>
    <t>A Phase II Clinical Study on the Efficacy and Safety of SHR-2173 Injection in the Treatment of Patients With Active Lupus Nephritis</t>
  </si>
  <si>
    <t>NCT06926283</t>
  </si>
  <si>
    <t>A Study of DXC008 in Patients With Prostate Cancer and Other Solid Tumors</t>
  </si>
  <si>
    <t>NCT07216079</t>
  </si>
  <si>
    <t>Rilzabrutinib for the Adult Participants With Chronic ITP Who Have Completed Phase 3 Study in Japan</t>
  </si>
  <si>
    <t>NCT06790394</t>
  </si>
  <si>
    <t>Test-retest Study With [18F]FBB in Cardiac Amyloidosis</t>
  </si>
  <si>
    <t>NCT06947980</t>
  </si>
  <si>
    <t>Study of CM512 in Patients With Moderate-to-Severe Atopic Dermatitis</t>
  </si>
  <si>
    <t>NCT06767761</t>
  </si>
  <si>
    <t>A Phase III Clinical Study to Assess the Efficacy and Safety of GZR4 in Type 2 Diabetes Mellitus Subjects (T2DM) Treated With Basal + Prandial Insulin</t>
  </si>
  <si>
    <t>NCT07376642</t>
  </si>
  <si>
    <t>A Phase I/IIa, Open-label, Single-center, Dose-escalation and Dose-expansion Study to Evaluate the Safety, Tolerability, and Preliminary Efficacy of IMV101 as a Single Agent in Subjects With Relapsed/Refractory B-cell Non-Hodgkin Lymphoma</t>
  </si>
  <si>
    <t>NCT07015983</t>
  </si>
  <si>
    <t>A Study of CC-97540 (BMS-986353 or Zola-cel), CD19-Targeted NEX-T CAR T Cells, in Participants With Active SLE Despite Immunosuppressants (Breakfree-SLE)</t>
  </si>
  <si>
    <t>NCT07281079</t>
  </si>
  <si>
    <t>A Study of NNZ-2591 in Pediatric Participants With Phelan-McDermid Syndrome</t>
  </si>
  <si>
    <t>NCT06804096</t>
  </si>
  <si>
    <t>Efficacy and Safety of Faropenem in Bangladeshi Adult Patients With Community-Acquired Bacterial Pneumonia (CABP)</t>
  </si>
  <si>
    <t>NCT07090161</t>
  </si>
  <si>
    <t>Evaluation of Efficacy and Safety of Iloperidone for the Treatment of Participants With Uncontrolled Hypertension</t>
  </si>
  <si>
    <t>NCT07023354</t>
  </si>
  <si>
    <t>A Study to Test How BI 1291583 is Taken up in the Blood of People With and Without Liver Problems</t>
  </si>
  <si>
    <t>NCT06682988</t>
  </si>
  <si>
    <t>A Study to Assess Adverse Events and Change in Disease Activity in Participants With Platinum-Resistant Advanced High-Grade Epithelial Ovarian, Primary Peritoneal, or Fallopian Tube Cancers With High Folate Receptor-Alpha Expression Treated With Intravenously (IV) Infused Mirvetuximab Soravtansine</t>
  </si>
  <si>
    <t>NCT07028827</t>
  </si>
  <si>
    <t>Atropine Eyedrops for Myopia Progression in Children and Adolescents (MODERATO STUDY)</t>
  </si>
  <si>
    <t>Ocus Innovation Ireland Limited</t>
  </si>
  <si>
    <t>NCT07079670</t>
  </si>
  <si>
    <t>Safety and Immunogenicity of NVX-CoV2705</t>
  </si>
  <si>
    <t>NCT06722820</t>
  </si>
  <si>
    <t>Study to Evaluate LPH-5 in Healthy Subjects</t>
  </si>
  <si>
    <t>Lophora</t>
  </si>
  <si>
    <t>NCT06817096</t>
  </si>
  <si>
    <t>Efficacy and Safety of Nitazoxanide 600 Mg in the Outpatient Treatment of COVID-19 and Influenza</t>
  </si>
  <si>
    <t>NCT07051486</t>
  </si>
  <si>
    <t>A Phase II Trial of SHR-A1811 in HER2-Expressing Recurrent/Metastatic Cervical Cancer</t>
  </si>
  <si>
    <t>NCT06786286</t>
  </si>
  <si>
    <t>A Mass Balance Study Following Subcutaneous Administration of [14C]-ITI-1284 to Healthy Male Subjects</t>
  </si>
  <si>
    <t>NCT06799546</t>
  </si>
  <si>
    <t>A Phase III Study to Evaluate the Efficacy and Safety of HSK39297 in Patients With Paroxysmal Nocturnal Hemoglobinuria Who Are Naive to Complement Inhibitor Therapy</t>
  </si>
  <si>
    <t>NCT06875934</t>
  </si>
  <si>
    <t>A Trial Comparing SHR-1139 Injection With Placebo in Patients With Moderate-to-severe Plaque Psoriasis</t>
  </si>
  <si>
    <t>NCT06948006</t>
  </si>
  <si>
    <t>A Study to Investigate the Relative Bioavailability of 2 Different Formulations of AZD4144, the Effect of Food and Omeprazole on the Pharmacokinetics of AZD4144 in Healthy Participants</t>
  </si>
  <si>
    <t>NCT07247084</t>
  </si>
  <si>
    <t>A Study of Tirzepatide (LY3298176) Compared With Standard of Care in Adult Participants With Obesity and Without Diabetes (SURMOUNT-REAL UK)</t>
  </si>
  <si>
    <t>NCT06873334</t>
  </si>
  <si>
    <t>Study of SKY-0515 for Safety, Efficacy, and Pharmacodynamics in Participants With Huntington's Disease</t>
  </si>
  <si>
    <t>Skyhawk Therapeutics, Inc.</t>
  </si>
  <si>
    <t>NCT07311564</t>
  </si>
  <si>
    <t>A Study of LAD603 in Adults With Alopecia Areata</t>
  </si>
  <si>
    <t>NCT07147257</t>
  </si>
  <si>
    <t>A Trial to Assess the Pharmacokinetic Similarity Between CHS-1420 40 mg/0.4 mL and HUMIRA® (Adalimumab) 40 mg/0.4 mL in Healthy Chinese Adult Participants Under Fasting Conditions</t>
  </si>
  <si>
    <t>Nanjing King-Friend Biochemical Pharmaceutical Co., Ltd.</t>
  </si>
  <si>
    <t>NCT07231211</t>
  </si>
  <si>
    <t>A Study of SHR-4610 Injection in Patients With Advanced Solid Tumors</t>
  </si>
  <si>
    <t>NCT07142707</t>
  </si>
  <si>
    <t>A Study to Evaluate the Safety, Tolerability, Pharmacokinetics, and Pharmacodynamics of MBX 4291 in Adult Participants With Obesity</t>
  </si>
  <si>
    <t>NCT07093814</t>
  </si>
  <si>
    <t>A Study of VRT106 for Injection in Patients With Recurrent/Progressive Glioblastoma</t>
  </si>
  <si>
    <t>NCT06697184</t>
  </si>
  <si>
    <t>A Study to Investigate the Safety of Novel Dose Ramp-up Schedule(s) When Initiating Sonrotoclax in Participants Treated for Blood Cancers.</t>
  </si>
  <si>
    <t>NCT07165652</t>
  </si>
  <si>
    <t>Study to Demonstrate Pharmacokinetic and Pharmacodynamic Similarity Between NKF-INS(L), US-Humalog®, and EU-Humalog®</t>
  </si>
  <si>
    <t>NCT07043036</t>
  </si>
  <si>
    <t>Randomized Controlled Trial Comparing Remote Patient Monitoring vs Standard Care in IBD Patients Initiating or Changing Advanced Therapy</t>
  </si>
  <si>
    <t>NCT07158099</t>
  </si>
  <si>
    <t>Bioequivalence Study of WP205 in Healthy Subjects</t>
  </si>
  <si>
    <t>NCT06893016</t>
  </si>
  <si>
    <t>Evaluation of RAY1225 in Adult Participants Who Have Obesity or Are Overweight</t>
  </si>
  <si>
    <t>NCT07021209</t>
  </si>
  <si>
    <t>GT719 Injection for Recurrent/Refractory Antibody-mediated Neurological Immune Diseases</t>
  </si>
  <si>
    <t>NCT06974487</t>
  </si>
  <si>
    <t>A Phase I Study to Evaluate the PK and PD Profiles of GZR102 Injection Versus GZR4 Injection and GZR18 Injection Given Separately in Chinese Adult Overweight Subjects</t>
  </si>
  <si>
    <t>NCT07211165</t>
  </si>
  <si>
    <t>Clinical Study on the Mass Balance of Clifutinib</t>
  </si>
  <si>
    <t>NCT06468033</t>
  </si>
  <si>
    <t>P1101 in Treating Patients With Early PMF or Overt PMF at Low or Intermediate-1 Risk</t>
  </si>
  <si>
    <t>NCT06893081</t>
  </si>
  <si>
    <t>A Study of Carbamazepine (CBZ) and MK-8527 in Healthy Adult Participants (MK-8527-012)</t>
  </si>
  <si>
    <t>NCT07102381</t>
  </si>
  <si>
    <t>A Phase 2 Neoadjuvant Study of Zanidatamab in Combination With Chemotherapy in Participants With HER2-positive Breast Cancer</t>
  </si>
  <si>
    <t>NCT07111832</t>
  </si>
  <si>
    <t>A Clinical Trial of SHR-A1811 in the Treatment of Triple-negative Breast Cancer</t>
  </si>
  <si>
    <t>NCT06644781</t>
  </si>
  <si>
    <t>A Study of Ifinatamab Deruxtecan in Subjects With Pretreated Advanced or Metastatic Esophageal Squamous Cell Carcinoma (ESCC) (IDeate-Esophageal01)</t>
  </si>
  <si>
    <t>NCT07109414</t>
  </si>
  <si>
    <t>Trial of NP-G2-044 (Prilukae) Combined With PLD for Treatment of Platinum-Resistant Ovarian Cancer (ULTIMUS-1)</t>
  </si>
  <si>
    <t>NCT06771622</t>
  </si>
  <si>
    <t>Safety and Efficacy of HCB101 in Combination With Multiple Agents in Patients With Advanced Solid Tumors</t>
  </si>
  <si>
    <t>NCT07255846</t>
  </si>
  <si>
    <t>A Trial of TER-1754 in Patients With Hereditary Hemorrhagic Telangiectasia</t>
  </si>
  <si>
    <t>NCT06967805</t>
  </si>
  <si>
    <t>WISPer: Evaluation of MTX-463 in Participants With Idiopathic Pulmonary Fibrosis (IPF)</t>
  </si>
  <si>
    <t>NCT06825494</t>
  </si>
  <si>
    <t>Clinical Studies for the Treatment of Advanced Solid Tumors</t>
  </si>
  <si>
    <t>NCT07011745</t>
  </si>
  <si>
    <t>A Phase 3 Study to Evaluate the Safety and Efficacy of KarXT + KarX-EC for the Treatment of Agitation Associated With Alzheimer's Disease (ADAGIO-2)</t>
  </si>
  <si>
    <t>NCT06929195</t>
  </si>
  <si>
    <t>Clinical Trial to Evaluate the Tolerance of TQB2210 Injection</t>
  </si>
  <si>
    <t>NCT07503028</t>
  </si>
  <si>
    <t>An Exploratory Clinical Study Evaluating Allogeneic iPSC-derived Pancreatic Islet Cells (CRG-002) for the Treatment of Diabetic Patients With Hypoglycemia Unawareness or Severe Hypoglycemic Events</t>
  </si>
  <si>
    <t>Celregen Therapeutics</t>
  </si>
  <si>
    <t>NCT07066098</t>
  </si>
  <si>
    <t>A Multicenter Study of IBI343 Monotherapy Versus Placebo in Subjects With Previously Treated, Claudin (CLDN) 18.2-positive, Pancreatic Cancer(G-HOPE-002)</t>
  </si>
  <si>
    <t>NCT06954428</t>
  </si>
  <si>
    <t>Clinical Trial of Intranasal Delivery of NT-301</t>
  </si>
  <si>
    <t>Nano PharmaSolutions Australia</t>
  </si>
  <si>
    <t>NCT07146945</t>
  </si>
  <si>
    <t>A Study Testing the Safety and Effects of Single Doses of S1-221 in Healthy Volunteers</t>
  </si>
  <si>
    <t>Delphian Therapeutics Australia Pty, Ltd</t>
  </si>
  <si>
    <t>NCT06801119</t>
  </si>
  <si>
    <t>Efficacy and Safety of HN2301 in Autoimmune Diseases（AIDs）</t>
  </si>
  <si>
    <t>Shenzhen MagicRNA Biotechnology Co., Ltd</t>
  </si>
  <si>
    <t>NCT06680830</t>
  </si>
  <si>
    <t>A Phase 2 Study and Open-Label Extension of NEU-411 in Companion Diagnostic-Positive Participants With Early Parkinson's Disease</t>
  </si>
  <si>
    <t>NCT07116967</t>
  </si>
  <si>
    <t>Long-Term Safety Study of Deucravacitinib Versus Ustekinumab in Participants With Psoriasis (PRAGMATYK)</t>
  </si>
  <si>
    <t>NCT04667013</t>
  </si>
  <si>
    <t>A Multiple Dose Study to Investigate Safety, Tolerability and Pharmacokinetics of TBN</t>
  </si>
  <si>
    <t>Guangzhou Magpie Pharmaceuticals Co., Ltd.</t>
  </si>
  <si>
    <t>NCT07118527</t>
  </si>
  <si>
    <t>A Phase III Study of SHR-A1811 in Combination With Chemotherapy and Adebrelimab in Previously Untreated Patients With Gastric or Gastroesophageal Junction Adenocarcinoma</t>
  </si>
  <si>
    <t>NCT06340750</t>
  </si>
  <si>
    <t>BAFF CAR-T Cells (LMY-920) for Systemic Lupus Erythematosus</t>
  </si>
  <si>
    <t>NCT06773091</t>
  </si>
  <si>
    <t>A Phase I Study of NK042 Cell Injection in Advanced Solid Tumors</t>
  </si>
  <si>
    <t>Shanghai NK Cell Technology Co., LTD</t>
  </si>
  <si>
    <t>NCT07346859</t>
  </si>
  <si>
    <t>Study of BP-SCIG 20% in Patients With Primary Immunodeficiency (PID)</t>
  </si>
  <si>
    <t>NCT06841640</t>
  </si>
  <si>
    <t>Phase 1/Phase 2a Study of AERO-007 Inhalation Solution, a Nebulized LABA/LAMA Combination for Maintenance Treatment of COPD</t>
  </si>
  <si>
    <t>AeroRx Therapeutics Inc.</t>
  </si>
  <si>
    <t>NCT06926868</t>
  </si>
  <si>
    <t>A Study of Izalontamab Brengitecan Versus Chemotherapy in Participants With Previously Untreated, Locally Advanced, Recurrent Inoperable, or Metastatic Triple-negative Breast Cancer Ineligible for Anti-PD(L)1 Drugs (IZABRIGHT-Breast01)</t>
  </si>
  <si>
    <t>NCT07083388</t>
  </si>
  <si>
    <t>A Study to Evaluate the Pharmacokinetics and Safety Between "BR3006" and Co-administration of "BR3006A", "BR3006B", and "BR3006C" in Healthy Adult Volunteers (Fasting)</t>
  </si>
  <si>
    <t>NCT07239323</t>
  </si>
  <si>
    <t>In VIVO CAR-T Therapy for Relapsed/Refractory Hematological Malignancies</t>
  </si>
  <si>
    <t>NCT07126886</t>
  </si>
  <si>
    <t>A Multicenter, Prospective, Clinical Trial Evaluating a Single Layer Amniotic Membrane and Standard of Care Versus Matched Controls in the Management of Nonhealing Pressure Ulcers</t>
  </si>
  <si>
    <t>NCT04762082</t>
  </si>
  <si>
    <t>A Single Dose Randomized Five-Way Crossover Pharmacokinetics (PK) Study of Tadalafil Semi-Chewable (Gummy) Formulations in Healthy Volunteers</t>
  </si>
  <si>
    <t>NCT06951503</t>
  </si>
  <si>
    <t>AK112 and Chemotherapy in First-line Metastatic Colorectal Cancer</t>
  </si>
  <si>
    <t>NCT07167550</t>
  </si>
  <si>
    <t>The Study of Efficacy and Safety of Dimephosphon® in Acute Ischemic Stroke</t>
  </si>
  <si>
    <t>Tatchempharmpreparaty, JSC</t>
  </si>
  <si>
    <t>NCT07049562</t>
  </si>
  <si>
    <t>Study on the Mass Balance of [14C]HRS-8427 for Injection in Healthy Chinese Subjects</t>
  </si>
  <si>
    <t>NCT06655246</t>
  </si>
  <si>
    <t>A Study of Ziftomenib in Combination With Imatinib in Patients With Advanced Gastrointestinal Stromal Tumors (GIST)</t>
  </si>
  <si>
    <t>NCT07223125</t>
  </si>
  <si>
    <t>A Study of JNJ-89862175 for Treatment of Advanced Solid Tumors</t>
  </si>
  <si>
    <t>NCT06916065</t>
  </si>
  <si>
    <t>A Study of Eloralintide (LY3841136) and Eloralintide With Tirzepatide in Participants With Overweight or Obesity</t>
  </si>
  <si>
    <t>NCT06429800</t>
  </si>
  <si>
    <t>A Study to Evaluate the Safety and Preliminary Efficacy of ATA3219 in Participants With Systemic Lupus Erythematosus</t>
  </si>
  <si>
    <t>NCT06756932</t>
  </si>
  <si>
    <t>BGB-21447 (Bcl-2 Inhibitor) Combinations for Adults With Hormone-Receptor Positive (HR+)/Human Epidermal Growth Factor Receptor 2 Negative (HER2-) Metastatic Breast Cancer</t>
  </si>
  <si>
    <t>NCT06916793</t>
  </si>
  <si>
    <t>A Phase 3 Study to Evaluate the Safety and Efficacy of CKD-843 in Male Patients With Androgenetic Alopecia</t>
  </si>
  <si>
    <t>NCT07259564</t>
  </si>
  <si>
    <t>A Study of GS3-007a for Oral Suspension in the Diagnosis of Adult Growth Hormone Deficiency (AGHD)</t>
  </si>
  <si>
    <t>NCT06920901</t>
  </si>
  <si>
    <t>A Study to Evaluate the Safety, Tolerability, Pharmacokinetics (PK), and Immunogenicity of APG777 in Adults With Asthma</t>
  </si>
  <si>
    <t>NCT07042100</t>
  </si>
  <si>
    <t>A Study to Test the Safety and Tolerability of SBO-154 in Patients With Advanced Solid Tumors.</t>
  </si>
  <si>
    <t>NCT07142811</t>
  </si>
  <si>
    <t>A Study to Evaluate Tobevibart+Elebsiran Versus Bulevirtide in Chronic HDV Infection</t>
  </si>
  <si>
    <t>NCT07019909</t>
  </si>
  <si>
    <t>A Study to Learn About How Safe and Effective is 20vPnC and 13vPnC Vaccines in Chinese Adults</t>
  </si>
  <si>
    <t>NCT07033234</t>
  </si>
  <si>
    <t>Evaluate the Safety and Pharmacokinetics/Pharmacodynamics and Food Effect of HS-20118</t>
  </si>
  <si>
    <t>NCT07035093</t>
  </si>
  <si>
    <t>A Study of Retatrutide (LY3437943) in Participants Who Have Obesity or Overweight and Chronic Low Back Pain</t>
  </si>
  <si>
    <t>NCT06847698</t>
  </si>
  <si>
    <t>Single Ascending Dose and Multiple Ascending Dose Study of AVR-48</t>
  </si>
  <si>
    <t>AyuVis Research, Inc.</t>
  </si>
  <si>
    <t>NCT06948747</t>
  </si>
  <si>
    <t>A Study to Investigate the Effect of AZD5004 on Rosuvastatin, Atorvastatin, Simvastatin, Repaglinide and the Effect of Erythromycin on AZD5004 in Healthy Participants</t>
  </si>
  <si>
    <t>NCT06876649</t>
  </si>
  <si>
    <t>A Master Protocol to Evaluate the Long-Term Safety of (LY3527727) Pirtobrutinib</t>
  </si>
  <si>
    <t>NCT07051252</t>
  </si>
  <si>
    <t>A Study of HBS-201 (Pitolisant Delayed-release)</t>
  </si>
  <si>
    <t>NCT06919354</t>
  </si>
  <si>
    <t>A Study of GNTI-122 in Adults Recently Diagnosed With T1D</t>
  </si>
  <si>
    <t>GentiBio, Inc</t>
  </si>
  <si>
    <t>NCT06990529</t>
  </si>
  <si>
    <t>Long-term Safety and Efficacy of Leniolisib in PIDs With Immune Dysregulation</t>
  </si>
  <si>
    <t>NCT07074977</t>
  </si>
  <si>
    <t>Proof of Concept Study to Assess the Pharmacokinetics/Pharmacodynamics of Nemolizumab in Adults With Chronic Pruritus of Unknown Origin (CPUO)</t>
  </si>
  <si>
    <t>NCT07214961</t>
  </si>
  <si>
    <t>Study of Alpha Radioligand Therapy AB001 in Patients With Metastatic Castration Resistant Prostate Cancer (mCRPC)</t>
  </si>
  <si>
    <t>NCT07240675</t>
  </si>
  <si>
    <t>Single-dose,First-in-human of KLA478</t>
  </si>
  <si>
    <t>NCT07220577</t>
  </si>
  <si>
    <t>Phase 2a Study to Assess the Efficacy,Safety and Tolerability of GIA632 in Adult Participants With Moderate to Severe Atopic Dermatitis</t>
  </si>
  <si>
    <t>NCT07050641</t>
  </si>
  <si>
    <t>Phase I/II Study of SCTB39-1 in Advanced Solid Tumours</t>
  </si>
  <si>
    <t>NCT07324642</t>
  </si>
  <si>
    <t>A Phase 1 MAD Study of KINE-101 in Healthy Volunteers</t>
  </si>
  <si>
    <t>NCT06928142</t>
  </si>
  <si>
    <t>A Trial to Evaluate the Efficacy and Safety of Sibeprenlimab Administered Subcutaneously in Participants With Sjögren's</t>
  </si>
  <si>
    <t>NCT07020156</t>
  </si>
  <si>
    <t>A First-in-Human Phase I Trial of OX118 in Healthy Volunteers</t>
  </si>
  <si>
    <t>Oxion Biologics AB</t>
  </si>
  <si>
    <t>NCT06873854</t>
  </si>
  <si>
    <t>A Study of LM-108 in Combination With Toripalimab in Subjects With Advanced Solid Tumours</t>
  </si>
  <si>
    <t>NCT07444294</t>
  </si>
  <si>
    <t>A Single- and Multiple-Ascending Dose Study of SRK-439 in Healthy Adults</t>
  </si>
  <si>
    <t>NCT06710756</t>
  </si>
  <si>
    <t>Lead-212 PSV359 Therapy for Patients With Solid Tumors</t>
  </si>
  <si>
    <t>NCT07272629</t>
  </si>
  <si>
    <t>A Study to Evaluate the Effect of Single Oral Dose of Balinatunfib on Cardiac Repolarization in Healthy Adult Participants.</t>
  </si>
  <si>
    <t>NCT07040137</t>
  </si>
  <si>
    <t>Confirmatory Study 3 of KPS-0373 in Patients With Spinocerebellar Degeneration</t>
  </si>
  <si>
    <t>NCT06628037</t>
  </si>
  <si>
    <t>SN514-066b Enzyme in Deep Partial Thickness Burns</t>
  </si>
  <si>
    <t>SERDA bv</t>
  </si>
  <si>
    <t>NCT07081646</t>
  </si>
  <si>
    <t>A Phase 1b/2 Study of CAR T Cell Therapy Targeting CD19 and BCMA in Participants With Relapsed or Refractory AL Amyloidosis.</t>
  </si>
  <si>
    <t>NCT06629103</t>
  </si>
  <si>
    <t>A Study in Healthy Subjects to Compare the Bioavailability of EPA + DHA</t>
  </si>
  <si>
    <t>NCT06888661</t>
  </si>
  <si>
    <t>Clinical Trial to Assess the Safety and Efficacy of EXG001-307 in Patients With Spinal Muscular Atrophy</t>
  </si>
  <si>
    <t>NCT06682780</t>
  </si>
  <si>
    <t>A Phase I/II Study of LM-2417 in Subjects With Advanced Solid Tumours</t>
  </si>
  <si>
    <t>NCT07091669</t>
  </si>
  <si>
    <t>A Comparative Bioavailability Study of Tamsulosin 0.4 mg Prolonged-release Tablets Versus the Reference Drug Omnic Ocas®, Tamsulosin 0.4 mg Tablets, in Healthy Adult Male Subjects, Under Fed Conditions</t>
  </si>
  <si>
    <t>NCT06981741</t>
  </si>
  <si>
    <t>Safety and Efficacy of hUC-MSC for the Treatment of Cartilage Damage in the Knee Joint</t>
  </si>
  <si>
    <t>BIONCaRT GmbH</t>
  </si>
  <si>
    <t>NCT06560762</t>
  </si>
  <si>
    <t>Study in Participants With Heart Failure With Preserved Ejection Fraction (HFpEF)</t>
  </si>
  <si>
    <t>Secretome Therapeutics</t>
  </si>
  <si>
    <t>NCT07369505</t>
  </si>
  <si>
    <t>Sapu003 in Advanced mTOR-sensitive Solid Tumors</t>
  </si>
  <si>
    <t>SAPU NANO (US) LLC</t>
  </si>
  <si>
    <t>NCT07051603</t>
  </si>
  <si>
    <t>SAL0140 Safety, Tolerability, Pharmacokinetic and Pharmacodynamic Study in a Healthy Chinese Population</t>
  </si>
  <si>
    <t>NCT07181473</t>
  </si>
  <si>
    <t>A Study to Evaluate the Safety, Pharmacokinetics and Efficacy of TJ101 in Patients With Advanced/Metastatic Solid Tumors</t>
  </si>
  <si>
    <t>Phrontline Biopharma</t>
  </si>
  <si>
    <t>NCT07109869</t>
  </si>
  <si>
    <t>Safety and Efficacy of Boric Acid Inserts for Treatment of Vulvovaginal Candidiasis</t>
  </si>
  <si>
    <t>pH-D Feminine Health LLC</t>
  </si>
  <si>
    <t>NCT07007962</t>
  </si>
  <si>
    <t>Study to Evaluate the Efficacy and Safety of Oral Rilzabrutinib in Adults With Immune Thrombocytopenia (ITP) Who Failed First-line Treatment</t>
  </si>
  <si>
    <t>NCT06920056</t>
  </si>
  <si>
    <t>A Study of BGM0504 in Overweight or Obese Participants</t>
  </si>
  <si>
    <t>NCT06908356</t>
  </si>
  <si>
    <t>An Open Label Trial to Evaluate the Efficacy and Safety of PRAX-628 in Adults With Focal Onset or Tonic-Clonic Seizures</t>
  </si>
  <si>
    <t>NCT07043283</t>
  </si>
  <si>
    <t>A Study Evaluating the Single Subcutaneous Injection of Ebronucimab in Healthy Male Chinese Subjects</t>
  </si>
  <si>
    <t>NCT06925594</t>
  </si>
  <si>
    <t>Phase 3 Study of Human TH-SC01 Cell Injection for Treating Perianal Fistulas in Patients With Crohn's Disease</t>
  </si>
  <si>
    <t>NCT06655883</t>
  </si>
  <si>
    <t>A Study of Suvorexant (MK-4305) for the Treatment of Insomnia Disorder in Participants With Opioid Use Disorder (MK-4305-098)</t>
  </si>
  <si>
    <t>NCT07148999</t>
  </si>
  <si>
    <t>An Advanced Decision Support Tool for Personalized Medicine for IVF Using Modeling and Optimization for Provera</t>
  </si>
  <si>
    <t>Urmila DIwekar</t>
  </si>
  <si>
    <t>NCT07011485</t>
  </si>
  <si>
    <t>A Safety and Efficacy Study of PDFE-2304 Topical Solution for the Treatment of Androgenic Alopecia.</t>
  </si>
  <si>
    <t>PDFE Pharma Innovations FZCO</t>
  </si>
  <si>
    <t>NCT06264414</t>
  </si>
  <si>
    <t>Efficacy and Safety of the DTT106 in the Treatment of Erectile Dysfunction Associated With Benign Prostatic Hyperplasia</t>
  </si>
  <si>
    <t>NCT06961214</t>
  </si>
  <si>
    <t>Depemokimab as an Extended treatmeNt Duration Biologic in Adults With Chronic Obstructive Pulmonary Disease (COPD) and Type 2 Inflammation (ENDURA-2)</t>
  </si>
  <si>
    <t>NCT07172321</t>
  </si>
  <si>
    <t>A Study to Learn How Different Forms of the Study Medicine Called PF 08049820 Are Taken up Into the Bloodstream in Healthy Adults</t>
  </si>
  <si>
    <t>NCT06799884</t>
  </si>
  <si>
    <t>A Drug-drug Interaction Trial in Healthy Female Participants to Investigate the Effect of Aprocitentan on Combined Hormonal Contraceptives</t>
  </si>
  <si>
    <t>NCT07276399</t>
  </si>
  <si>
    <t>A Study of Amivantamab in Addition to Standard of Care Agents (SOC) Compared With SOC Alone in Participants With Recurrent/Metastatic Head and Neck Cancer</t>
  </si>
  <si>
    <t>NCT07145255</t>
  </si>
  <si>
    <t>Phase 1/2 Dose Finding, Safety and PK Study in Advanced Refractory Solid Tumors</t>
  </si>
  <si>
    <t>NCT06395285</t>
  </si>
  <si>
    <t>Evaluating the Safety and Tolerability of Orally Administered DF-003 in ROSAH Syndrome Patients</t>
  </si>
  <si>
    <t>NCT06925321</t>
  </si>
  <si>
    <t>A Phase 3 Efficacy and Safety Study of Fosmanogepix for the Treatment of Adult Patients With Invasive Mold Infections.</t>
  </si>
  <si>
    <t>NCT07174115</t>
  </si>
  <si>
    <t>A Study to Evaluate the Efficacy and Safety of HTMC0658 Tablets in the Treatment of Chronic Rhinosinusitis Without Nasal Polyps</t>
  </si>
  <si>
    <t>NCT06795906</t>
  </si>
  <si>
    <t>A Safety, Pharmacokinetic, and Pharmacodynamic Study of Once Daily Inhaled AZD8630 in Adults With Asthma</t>
  </si>
  <si>
    <t>NCT06609226</t>
  </si>
  <si>
    <t>A Research Study Looking at Long-term Treatment With Etavopivat in People With Sickle Cell Disease or Thalassaemia</t>
  </si>
  <si>
    <t>NCT07090785</t>
  </si>
  <si>
    <t>A Study of LY4088044 in Healthy Participants</t>
  </si>
  <si>
    <t>NCT07118891</t>
  </si>
  <si>
    <t>Study Evaluating ABCL635 for Vasomotor Symptoms of Menopause</t>
  </si>
  <si>
    <t>AbCellera Biologics Inc.</t>
  </si>
  <si>
    <t>NCT06867718</t>
  </si>
  <si>
    <t>Study of Once-Daily Oral RGT001-075 Compared With Placebo in Adults With Obesity or Are Overweight With Weight-Related Health Conditions</t>
  </si>
  <si>
    <t>NCT06916897</t>
  </si>
  <si>
    <t>A Study to Evaluate Effect of Verapamil and Food of Sevasemten in Healthy Volunteers</t>
  </si>
  <si>
    <t>NCT06786624</t>
  </si>
  <si>
    <t>Study to Assess the Efficacy and Safety of NBI-1065845 as an Adjunctive Treatment in Participants With Major Depressive Disorder (MDD)</t>
  </si>
  <si>
    <t>NCT07087197</t>
  </si>
  <si>
    <t>A Study of SKB107 in Advanced Solid Tumors With Bone Metastases</t>
  </si>
  <si>
    <t>NCT06720896</t>
  </si>
  <si>
    <t>A Phase 2, Controlled, Double Blind, Randomized and Multicenter Study to Compare Efficacy and Safety of a Novel Topical Therapy (APT-001, Spinosad 1.8%) in Patients With Blepharitis.</t>
  </si>
  <si>
    <t>Aperta Biosciences, LLC</t>
  </si>
  <si>
    <t>NCT06954246</t>
  </si>
  <si>
    <t>A Study of MHB088C Injection Versus Treatment of Physician's Choice in Subjects With Relapsed Small Cell Lung Cancer</t>
  </si>
  <si>
    <t>NCT07098988</t>
  </si>
  <si>
    <t>Trial Investigating Visugromab in Combination With Immunochemotherapy in 1L Treatment of Participants With Metastatic NSCLC</t>
  </si>
  <si>
    <t>NCT06848088</t>
  </si>
  <si>
    <t>A Study to Learn About the Long-Term Health of Adult Participants From a Previous Study of a New Melanoma Treatment</t>
  </si>
  <si>
    <t>NCT06792968</t>
  </si>
  <si>
    <t>Pharmacokinetics and Bioequivalence Study of Empagliflozin+Metformin Hydrochloride 5 mg/1000 mg Film-coated Tablets (Gedeon Richter Plc., Hungary) Versus Synjardy 5 mg/1000 mg Film-coated Tablets (Boehringer Ingelheim International GmbH, Germany)</t>
  </si>
  <si>
    <t>NCT07025018</t>
  </si>
  <si>
    <t>Phase I Study of HMPL-306 for the Treatment of Gliomas With IDH1 and/or IDH2 Mutations</t>
  </si>
  <si>
    <t>NCT06845813</t>
  </si>
  <si>
    <t>Study to Investigate the Effect of Renal Impairment on the Pharmacokinetics, Safety, and Tolerability of AZD6234</t>
  </si>
  <si>
    <t>NCT07101120</t>
  </si>
  <si>
    <t>A Phase 2 Study to Evaluate Efficacy and Safety of KH607 Tablets in Adult Participents With Major Depressive Disorder</t>
  </si>
  <si>
    <t>NCT07110610</t>
  </si>
  <si>
    <t>Phase 1 Single and Multiple Ascending Dose of LTG-321 in Healthy Participants</t>
  </si>
  <si>
    <t>NCT06991179</t>
  </si>
  <si>
    <t>A Study of Food Effect and Esomeprazole on LY4064809 in Healthy Adult Participants</t>
  </si>
  <si>
    <t>NCT07196579</t>
  </si>
  <si>
    <t>Personalized KXV01 TCR Lentinvivo Injection as the Therapy for Advanced Solid Tumors</t>
  </si>
  <si>
    <t>NCT06396091</t>
  </si>
  <si>
    <t>A Study of Zolbetuximab With Chemotherapy in Adults With Pancreatic Cancer</t>
  </si>
  <si>
    <t>NCT06998524</t>
  </si>
  <si>
    <t>A Study to Assess the Efficacy and Safety of Emicizumab in Participants With Type 3 Von Willebrand Disease</t>
  </si>
  <si>
    <t>NCT06547489</t>
  </si>
  <si>
    <t>Zelquistinel or Placebo for the Reduction of Symptoms of Major Depressive Disorder</t>
  </si>
  <si>
    <t>NCT07364877</t>
  </si>
  <si>
    <t>A Phase 1 Clinical Trial to Evaluate the Safety and Pharmacokinetics of DW4421 and DW4421S in Healthy Adult Volunteers</t>
  </si>
  <si>
    <t>NCT06847867</t>
  </si>
  <si>
    <t>A Study of Momelotinib in Participants With Low-risk Myelodysplastic Syndrome</t>
  </si>
  <si>
    <t>NCT07027111</t>
  </si>
  <si>
    <t>Safety, Tolerability, and Efficacy of NVG-2089 in Participants With CIDP</t>
  </si>
  <si>
    <t>NCT07110571</t>
  </si>
  <si>
    <t>A Trial of Adebrelimab Plus (SHR-A1811/SHR-A1904 With Chemotherapy) or SHR-8068 as Treatment for Gastric/GEJ Cancer</t>
  </si>
  <si>
    <t>NCT06623136</t>
  </si>
  <si>
    <t>A Study of ES102 in Combination With Toripalimab in Subjects With Advanced Non-small Cell Lung Cancer</t>
  </si>
  <si>
    <t>NCT07243171</t>
  </si>
  <si>
    <t>A Phase Ib/IIa Study to Evaluate the Safety, Tolerability, Pharmacokinetics and Pharmacodynamics of Oral Ecnoglutide Tablets in Chinese Participants With Overweight or Obesity</t>
  </si>
  <si>
    <t>NCT06816264</t>
  </si>
  <si>
    <t>A Study of HRS-5346 in Adult Participants With Elevated Lipoprotein(a) at High Risk for Cardiovascular Events</t>
  </si>
  <si>
    <t>NCT06878833</t>
  </si>
  <si>
    <t>A Study to Evaluate the Safety and Tolerability of Long-Acting Oral Risperidone (LYN-005) in Participants With Schizophrenia or Schizoaffective Disorder</t>
  </si>
  <si>
    <t>NCT06624085</t>
  </si>
  <si>
    <t>A Study Evaluating the Safety and Efficacy of Glofitamab + Gemcitabine + Oxaliplatin in U.S. Patients With Relapsed or Refractory Diffuse Large B-Cell Lymphoma</t>
  </si>
  <si>
    <t>NCT07378436</t>
  </si>
  <si>
    <t>A Clinical Study of GK02 in Malignant Ascites</t>
  </si>
  <si>
    <t>Beijing Geekgene Technology Co., LTD</t>
  </si>
  <si>
    <t>NCT07234864</t>
  </si>
  <si>
    <t>Study to Assess Safety, Tolerability, PK, and PD of Multiple Doses of ZE63-0302 Administrated Orally in T2DM Patients.</t>
  </si>
  <si>
    <t>NCT07082764</t>
  </si>
  <si>
    <t>Safety and Efficacy Study of TAR-0520 Gel in Prevention of Taxane-induced Peripheral Neuropathy</t>
  </si>
  <si>
    <t>NCT06999733</t>
  </si>
  <si>
    <t>A Study Comparing KB801 Verse Placebo in Patients With Stage 2 or 3 Neurotrophic Keratitis</t>
  </si>
  <si>
    <t>NCT06935149</t>
  </si>
  <si>
    <t>Detecting Colorectal Cancer With Liver Metastatic Lesions Using Novel Precise Imaging Tools</t>
  </si>
  <si>
    <t>Primo Biotechnology Co., Ltd</t>
  </si>
  <si>
    <t>NCT07219511</t>
  </si>
  <si>
    <t>A Safety, Tolerability, and Biomarker Trial of VS-041 in Participants With Heart Failure With Preserved Ejection Fraction (HFpEF)</t>
  </si>
  <si>
    <t>Vasa Therapeutics</t>
  </si>
  <si>
    <t>NCT06757504</t>
  </si>
  <si>
    <t>Evaluate the Efficacy and Safety of TTYP01 Tablets in Adolescents and Children With ASD</t>
  </si>
  <si>
    <t>NCT06868199</t>
  </si>
  <si>
    <t>A Study of LM-168 as a Single Agent or in Combination With Toripalimab in Subjects With Advanced Solid Tumours</t>
  </si>
  <si>
    <t>NCT06947304</t>
  </si>
  <si>
    <t>Evaluation of Miricorilant on Liver Fat in Patients With MASLD</t>
  </si>
  <si>
    <t>NCT06945458</t>
  </si>
  <si>
    <t>Safety, PK, PD, and Clinical Activity of Orally Administered KT-621 in Adult Patients With Atopic Dermatitis (AD)</t>
  </si>
  <si>
    <t>NCT06793215</t>
  </si>
  <si>
    <t>A Study Evaluating the Efficacy and Safety of Divarasib and Pembrolizumab Versus Pembrolizumab and Pemetrexed and Carboplatin or Cisplatin in Participants With Previously Untreated, KRAS G12C-Mutated, Advanced or Metastatic Non-Squamous Non-Small Cell Lung Cancer</t>
  </si>
  <si>
    <t>NCT07225829</t>
  </si>
  <si>
    <t>A Trial to Investigate the Safety and Efficacy of Intra-articular 4P004 Injection in Subjects With Knee Synovitis and Osteoarthritis</t>
  </si>
  <si>
    <t>NCT06937931</t>
  </si>
  <si>
    <t>A Study of IPN10200 for the Treatment of Cervical Dystonia in Adults</t>
  </si>
  <si>
    <t>NCT07158437</t>
  </si>
  <si>
    <t>Phase 1 Study of SL-325 in Healthy Volunteers</t>
  </si>
  <si>
    <t>NCT06945107</t>
  </si>
  <si>
    <t>A Study of Switching to Picankibart in Chinese Patients With Plaque Psoriasis With an Inadequate Response to Interleukin-17 Monoclonal Antibody Therapy</t>
  </si>
  <si>
    <t>NCT07215234</t>
  </si>
  <si>
    <t>A Safety and Efficacy Study of a One-time Intravitreal Injection of SAR446597 in Participants With Geographic Atrophy Secondary to Age-related Macular Degeneration</t>
  </si>
  <si>
    <t>NCT06795399</t>
  </si>
  <si>
    <t>A Proof-of-concept Trial for OPC 131461 in Patients Hospitalized for Worsening Heart Failure</t>
  </si>
  <si>
    <t>NCT06658899</t>
  </si>
  <si>
    <t>A Phase 2 Study of CRD-4730 in CPVT</t>
  </si>
  <si>
    <t>NCT06888921</t>
  </si>
  <si>
    <t>A Clinical Trial to Evaluate the Safety and Efficacy of COM701 in Relapsed Platinum Sensitive Ovarian Cancer</t>
  </si>
  <si>
    <t>NCT07167914</t>
  </si>
  <si>
    <t>A Study to Assess Safety, Tolerability and Pharmacokinetics of Transdermal SFG-02 in Healthy Participants</t>
  </si>
  <si>
    <t>Juro Sciences Inc.</t>
  </si>
  <si>
    <t>NCT07384104</t>
  </si>
  <si>
    <t>Compare the Pharmacokinetics, Pharmacodynamics, Safety and Immunogenicity of SAL023 and Italy-Manufactured Evenity in Healthy Subjects</t>
  </si>
  <si>
    <t>NCT07198347</t>
  </si>
  <si>
    <t>Efficacy and Safety of AG2001 in Patients With Acute Bronchitis</t>
  </si>
  <si>
    <t>NCT07027345</t>
  </si>
  <si>
    <t>A Phase II, Placebo Controlled, Clinical Trial of Topical TolaSure Targeting Aggregated Mutant Keratin in Epidermolysis Bullosa Simplex</t>
  </si>
  <si>
    <t>NCT07010575</t>
  </si>
  <si>
    <t>Patient Preference Study: Standard of Care Versus Once-daily Trientine Tetrahydrochloride</t>
  </si>
  <si>
    <t>NCT06969001</t>
  </si>
  <si>
    <t>Clinical Study for the Evaluation of Safety and Tolerability of SCAI-005 Eye Drops</t>
  </si>
  <si>
    <t>NCT06760819</t>
  </si>
  <si>
    <t>A Study to Learn More About How Well Treatment With Sevabertinib (BAY 2927088) Tablets Works and How Safe it is in Participants Who Have a Solid Tumor With Mutations of the Human Epidermal Growth Factor Receptor 2 (HER2)</t>
  </si>
  <si>
    <t>NCT07011667</t>
  </si>
  <si>
    <t>A Research Study to Look at How Well CagriSema Helps People Living With Obesity Lose Weight and Maintain Weight Loss in the Long-term</t>
  </si>
  <si>
    <t>NCT07282600</t>
  </si>
  <si>
    <t>A Study of Eloralintide (LY3841136) in Participants With Obesity or Overweight, and Type 2 Diabetes</t>
  </si>
  <si>
    <t>NCT06892834</t>
  </si>
  <si>
    <t>Assessing Gingivitis of 3 Different Dentifrices Compared to a Negative Control.</t>
  </si>
  <si>
    <t>NCT06562894</t>
  </si>
  <si>
    <t>Study to Evaluate Safety and Efficacy of SYHX1901 Tablets in Severe Alopecia Areata Patients</t>
  </si>
  <si>
    <t>NCT07106229</t>
  </si>
  <si>
    <t>A Study to Investigate the Effectiveness, Safety, and Tolerability of MAG200 Solution for Intra-articular Injection Compared With Placebo in Participants Aged 35 to 75 Years of Age With Symptomatic Osteoarthritis of the Knee.</t>
  </si>
  <si>
    <t>Magellan Stem Cells</t>
  </si>
  <si>
    <t>NCT06779136</t>
  </si>
  <si>
    <t>Phase III Clinical Study of MG-K10 Humanized Mab Injection in Subjects With Prurigo Nodularis</t>
  </si>
  <si>
    <t>NCT06783309</t>
  </si>
  <si>
    <t>CNP-103 in Adolescent and Adult Subjects Ages 12-35 With Recently Diagnosed (Within 6 Months) Stage 3 Type 1 Diabetes (T1D)</t>
  </si>
  <si>
    <t>NCT07095309</t>
  </si>
  <si>
    <t>Safety and Effectiveness Study of Pre-operative Artesunate in Stage II/ III Colorectal Cancer</t>
  </si>
  <si>
    <t>NCT07165132</t>
  </si>
  <si>
    <t>Study of RYZ401 in Subjects With Solid Tumors Expressing SSTRs.</t>
  </si>
  <si>
    <t>NCT07499700</t>
  </si>
  <si>
    <t>A Clinical Study of BAT4406F Injection in Patients With Minimal Change Disease/Focal Segmental Glomerulosclerosis</t>
  </si>
  <si>
    <t>NCT07100964</t>
  </si>
  <si>
    <t>A Study in Healthy Men to Test Whether Carbamazepine Influences the Amount of Nerandomilast in the Blood</t>
  </si>
  <si>
    <t>NCT06822998</t>
  </si>
  <si>
    <t>HF50 in HER-2 Positive and Low-expression Advanced Solid Tumors</t>
  </si>
  <si>
    <t>NCT07295496</t>
  </si>
  <si>
    <t>A Study to Evaluate the Safety, Tolerability, and Pharmacokinetic of IBI3011</t>
  </si>
  <si>
    <t>NCT07218770</t>
  </si>
  <si>
    <t>A Study of REGN7041 for Active Noninfectious Uveitis in Adult Participants</t>
  </si>
  <si>
    <t>NCT06937203</t>
  </si>
  <si>
    <t>A First-In-Human Study of ARO-ALK7 in Adults With Obesity With and Without Type 2 Diabetes Mellitus</t>
  </si>
  <si>
    <t>NCT07096869</t>
  </si>
  <si>
    <t>Bioequivalence Study of Paclitaxel Protein-bound Particles for Injectable Suspension (Albumin-bound) in Breast Cancer Patients</t>
  </si>
  <si>
    <t>NCT06765980</t>
  </si>
  <si>
    <t>A Study to Evaluate KRIYA-825 (VV-14295) in Adults With Geographic Atrophy Secondary to Age-related Macular Degeneration</t>
  </si>
  <si>
    <t>Kriya Therapeutics, Inc.</t>
  </si>
  <si>
    <t>NCT06882746</t>
  </si>
  <si>
    <t>A Study to Test Different Doses of BI 765049 in People With Advanced Cancer of the Colon, Rectum, Stomach, or Pancreas</t>
  </si>
  <si>
    <t>NCT06782425</t>
  </si>
  <si>
    <t>Treating Claudin18.2-positive Advanced Solid Tumors with XKDCT225(Targeting Claudin18.2-CAR-T)</t>
  </si>
  <si>
    <t>NCT06981091</t>
  </si>
  <si>
    <t>A Multicenter, Randomized, Double-blind, Placebo-controlled Parallel-group Phase 2 Clinical Trial to Evaluate the Efficacy and Safety of XH-S004 Tablets in Patients With Non-cystic Fibrosis Bronchiectasis</t>
  </si>
  <si>
    <t>NCT06947408</t>
  </si>
  <si>
    <t>A Study to Evaluate the Safety and Tolerability of Multiple Dose of IBI3002 in Healthy and Asthmatic Participants</t>
  </si>
  <si>
    <t>NCT06862908</t>
  </si>
  <si>
    <t>A Study of IBI362 in Subjects With HFpEF or HFmrEF Combined With Obesity</t>
  </si>
  <si>
    <t>NCT07073417</t>
  </si>
  <si>
    <t>A Study to Compare XW003 Injection and Semaglutide Injection in Chinese Adults With Obesity (SLIMMER-UP-SWITCH)</t>
  </si>
  <si>
    <t>NCT06769113</t>
  </si>
  <si>
    <t>A Phase II Clinical Study to Evaluate HLX43 in Patients With Recurrent/Metastatic ESCC Failed or Intolerance to Standard Therapy</t>
  </si>
  <si>
    <t>NCT06891703</t>
  </si>
  <si>
    <t>[18F]ACI-15916 PET in α-synucleinopathies</t>
  </si>
  <si>
    <t>NCT07227168</t>
  </si>
  <si>
    <t>A Study of STRO-004 in Adults With Refractory/Recurrent Metastatic Cancer</t>
  </si>
  <si>
    <t>NCT06890923</t>
  </si>
  <si>
    <t>Nasal Foralumab in Patients With Non-Active Secondary Progressive Multiple Sclerosis</t>
  </si>
  <si>
    <t>NCT07670546</t>
  </si>
  <si>
    <t>Efficacy and Safety of Olokizumab in Patients With Polymyalgia Rheumatica (PROMISE)</t>
  </si>
  <si>
    <t>NCT06806982</t>
  </si>
  <si>
    <t>A Study of VRN101099 in Patients With HER2-Positive Solid Tumors</t>
  </si>
  <si>
    <t>NCT06953960</t>
  </si>
  <si>
    <t>A Study to Assess Adverse Events and Change in Disease Activity of Oral Surzetoclax Alone or in Combination With Subcutaneous and/or Oral Antimyeloma Agents in Adult Participants With Multiple Myeloma (MM)</t>
  </si>
  <si>
    <t>NCT07314723</t>
  </si>
  <si>
    <t>9MW2821 Combined With Toripalimab in Perioperative Patients With Urothelial Cancer</t>
  </si>
  <si>
    <t>NCT07060456</t>
  </si>
  <si>
    <t>Efficacy and Safety of HRS9531 in Participants With Type 2 Diabetes Treated With Basal Insulin</t>
  </si>
  <si>
    <t>NCT06563895</t>
  </si>
  <si>
    <t>Acoramidis Transthyretin Amyloidosis Prevention Trial in the Young (ACT-EARLY) Study in Asymptomatic Carriers of a Pathogenic TTR Variant</t>
  </si>
  <si>
    <t>NCT07169175</t>
  </si>
  <si>
    <t>A Phase Ⅰ/Ⅱa Study of SNUG01 in Adult Subjects With ALS</t>
  </si>
  <si>
    <t>SineuGene Therapeutics Co., Ltd.</t>
  </si>
  <si>
    <t>NCT07262567</t>
  </si>
  <si>
    <t>Phase III Study to Compare GFH375 and Chemotherapy in Patients With KRAS G12D-Mutant Metastatic Pancreatic Cancer</t>
  </si>
  <si>
    <t>NCT06817265</t>
  </si>
  <si>
    <t>Clinical Study on the Efficacy and Safety of TNTL in the Treatment of Non-proliferative Diabetic Retinopathy</t>
  </si>
  <si>
    <t>Beletalent (Zhuhai) Pharmaceutical Co., Ltd</t>
  </si>
  <si>
    <t>NCT07152873</t>
  </si>
  <si>
    <t>A Study to Compare to PK Characteristics and Safety Profiles Between AD-117 and AD-117A</t>
  </si>
  <si>
    <t>NCT06971094</t>
  </si>
  <si>
    <t>Safety and Efficacy Evaluation of GC101 Gene Therapy Via Intrathecal (IT) Injectionin the Treatment of Patients With Type 2 Spinal Muscular Atrophy (SMA) - Phase III</t>
  </si>
  <si>
    <t>NCT06927739</t>
  </si>
  <si>
    <t>Focused Orticumab Research for Treating Inflammation in Coronary Arteries</t>
  </si>
  <si>
    <t>NCT06690177</t>
  </si>
  <si>
    <t>Clinical Study to Evaluate the Safety and the Efficacy of EscharEx Drug Product (EX-03 Formulation) and Its Placebo Compared to Collagenase, Non-surgical Standard of Care, in Patients With Venous Leg Ulcers</t>
  </si>
  <si>
    <t>NCT07355075</t>
  </si>
  <si>
    <t>A Double-Blind, Randomized, Vehicle-Controlled Phase 2 Study to Assess the Efficacy and Safety of GX-03 in Adult Subjects With Moderate to Severe Atopic Dermatitis (Eczema)</t>
  </si>
  <si>
    <t>NCT06897839</t>
  </si>
  <si>
    <t>Efficacy and Safety of Zelpultide Alfa in Preterm Neonates at High Risk of Developing Bronchopulmonary Dysplasia (BPD)</t>
  </si>
  <si>
    <t>NCT07043907</t>
  </si>
  <si>
    <t>PANK-003 Cell Injection Combined With Standard Adjuvant Chemotherapy After Surgery in Patients With Stage IIIA NSCLC</t>
  </si>
  <si>
    <t>NCT07131254</t>
  </si>
  <si>
    <t>A Clinical Study Evaluating the Safety and Efficacy of GT719 Universal Cell Injection in Adult Participants With Relapsed/Refractory CD19-positive B-cell Malignant Hematological Tumors</t>
  </si>
  <si>
    <t>NCT06664775</t>
  </si>
  <si>
    <t>A Study to Compare the Efficacy and Safety of TachoSil and Surgicel Original as an Adjunct to Control Mild to Moderate Soft Tissue Bleeding During Surgery</t>
  </si>
  <si>
    <t>Corza Medical GmbH</t>
  </si>
  <si>
    <t>NCT06803654</t>
  </si>
  <si>
    <t>A Study Comparing the Efficacy and Safety of Brimonidine Tartrate Ophthalmic Solution 0.025% With Sodium Hyaluronate Relative to Lumify in Adult Subjects With Ocular Redness</t>
  </si>
  <si>
    <t>NCT06866405</t>
  </si>
  <si>
    <t>A Phase 3 Study of Revaccination in Subsequent Pregnancies With Bivalent RSV Vaccine and Duration of Protection of a Single Dose</t>
  </si>
  <si>
    <t>NCT07068295</t>
  </si>
  <si>
    <t>A Study to Test How Insulin NNC0471-0119 H Works in the Body in Participants With Type 2 Diabetes When Given by an Insulin Pump</t>
  </si>
  <si>
    <t>NCT07141329</t>
  </si>
  <si>
    <t>SPN-817 Open-Label Extension Study in Adults With Focal Onset Seizures</t>
  </si>
  <si>
    <t>NCT06965569</t>
  </si>
  <si>
    <t>Multiple Ascending Dose Phase 1 Study of ALA-3000</t>
  </si>
  <si>
    <t>Alar Pharmaceuticals Inc.</t>
  </si>
  <si>
    <t>NCT07317505</t>
  </si>
  <si>
    <t>A Phase 1 Study of JMT108 in Participants With Advanced Solid Tumors</t>
  </si>
  <si>
    <t>NCT06814145</t>
  </si>
  <si>
    <t>Extension Study of Sotatercept in People With Pulmonary Hypertension (MK-7962-023)</t>
  </si>
  <si>
    <t>NCT06884072</t>
  </si>
  <si>
    <t>A Study to Evaluate the Effect of a High-fat Meal on the Exposure of Pimicotinib Capsule in Healthy Subjects</t>
  </si>
  <si>
    <t>NCT07032077</t>
  </si>
  <si>
    <t>A Clinical Trial of HRS-7058 Combined Anti-tumor Drugs in Subjects With Solid Tumors</t>
  </si>
  <si>
    <t>NCT06907875</t>
  </si>
  <si>
    <t>A First-in-human Study of EPI-321 in Facioscapulohumeral Muscular Dystrophy</t>
  </si>
  <si>
    <t>Epicrispr Biotechnologies, Inc.</t>
  </si>
  <si>
    <t>NCT07191483</t>
  </si>
  <si>
    <t>A Study to Evaluate KYN-5356 in Adults With Cognitive Impairment Associated With Schizophrenia</t>
  </si>
  <si>
    <t>NCT07164443</t>
  </si>
  <si>
    <t>A Study of Pasritamig Versus Placebo in Late Line Metastatic Castration-resistant Prostate Cancer (mCRPC)</t>
  </si>
  <si>
    <t>NCT06980454</t>
  </si>
  <si>
    <t>Phase I PK Comparison of HLX05 vs. Erbitux® in Healthy Chinese Males: Safety, Immunogenicity, and Pharmacokinetics</t>
  </si>
  <si>
    <t>NCT07186101</t>
  </si>
  <si>
    <t>LY4268989 (MORF-057) Co-Administered With Mirikizumab in Adults With Moderately to Severely Active Ulcerative Colitis:</t>
  </si>
  <si>
    <t>NCT06837896</t>
  </si>
  <si>
    <t>Efficacy and Safety Study of QLG1080 in Patients With Hormone-sensitive Advanced Prostate Cancer</t>
  </si>
  <si>
    <t>NCT06996886</t>
  </si>
  <si>
    <t>A Study in Healthy Participants to Investigate Relative Bioavailability of AZD5004 in Three Solid Oral Formulations</t>
  </si>
  <si>
    <t>NCT06946927</t>
  </si>
  <si>
    <t>A Phase Ib Study of JMKX001899 in Combination With Other Therapies in Advanced NSCLC Harboring KRAS G12C Mutation</t>
  </si>
  <si>
    <t>NCT07127042</t>
  </si>
  <si>
    <t>Study on BT-114143 Reducing Perioperative Bleeding in Total Knee Arthroplasty（TKA）</t>
  </si>
  <si>
    <t>NCT06373653</t>
  </si>
  <si>
    <t>Study of Non-inferiority Between Manzanilla Sophia® and Meticel Ofteno® 0.5% for Providing a Soothing Sensation to the Eyes.</t>
  </si>
  <si>
    <t>NCT07209527</t>
  </si>
  <si>
    <t>Truway Diagnostic Tools in Primary Care</t>
  </si>
  <si>
    <t>NCT06731075</t>
  </si>
  <si>
    <t>A Phase 3 Study to Evaluate the Efficacy and Safety of ORMD-0801 in Subjects With Type 2 Diabetes Mellitus.</t>
  </si>
  <si>
    <t>NCT06937086</t>
  </si>
  <si>
    <t>Mirikizumab Administered at the Same Time as Tirzepatide in Adult Participants With Moderately to Severely Active Ulcerative Colitis and Obesity or Overweight: Phase 3b Study</t>
  </si>
  <si>
    <t>NCT06655194</t>
  </si>
  <si>
    <t>A Study to Learn if There is a Difference in the Blood Levels of Acetylsalicylic Acid When Taken as Different Chewable Tablets on an Empty Stomach by Healthy Participants</t>
  </si>
  <si>
    <t>NCT06830629</t>
  </si>
  <si>
    <t>A Phase 2 Study of MZE829 in Adults With APOL1 Kidney Disease</t>
  </si>
  <si>
    <t>NCT06922045</t>
  </si>
  <si>
    <t>Phase III Clinical Trial of STSP-0601 for Injection in Hemophilia Patients</t>
  </si>
  <si>
    <t>NCT07558668</t>
  </si>
  <si>
    <t>A 3-part Study of SYX-5219 in Healthy Volunteers and Participants With Atopic Dermatitis</t>
  </si>
  <si>
    <t>Sitryx Therapeutics Ltd</t>
  </si>
  <si>
    <t>NCT06710990</t>
  </si>
  <si>
    <t>Investigation of Drug-drug Interaction of Ritonavir and Itraconazole on the Pharmacokinetics of SHR-A1811 in Subjects With HER2-expressing Advanced Breast Cancer</t>
  </si>
  <si>
    <t>NCT07000123</t>
  </si>
  <si>
    <t>A Phase III Study to Assess the Effect of AZD0780 on LDL-C in Patients With Clinical ASCVD or at Risk for a First ASCVD Event</t>
  </si>
  <si>
    <t>NCT06736418</t>
  </si>
  <si>
    <t>Study of 225Ac-ABD147 to Establish Optimal Dose in Patients With SCLC and LCNEC of the Lung That Previously Received Platinum-based Chemotherapy</t>
  </si>
  <si>
    <t>Abdera Therapeutics Inc.</t>
  </si>
  <si>
    <t>NCT06643260</t>
  </si>
  <si>
    <t>A Phase 3 Study in Moderate-to-Severe Plaque Psoriasis With Piclidenoson to Study Safety and Efficacy</t>
  </si>
  <si>
    <t>NCT07075718</t>
  </si>
  <si>
    <t>Phase 2/Phase 3 Trial to Evaluate the Safety and Efficacy of the Second Generation Travoprost Intracameral Implant</t>
  </si>
  <si>
    <t>NCT06843408</t>
  </si>
  <si>
    <t>A Ph1b/2 Study of Axatilimab Monotherapy in Chinese Participants With Recurrent or Refractory cGVHD</t>
  </si>
  <si>
    <t>NCT07158840</t>
  </si>
  <si>
    <t>AK112 in Non-squamous Non-small Cell Lung Cancer (NSCLC)Patients With Actionable Genomic Alterations (AGA) Who Have Failed to Previous Tyrosine Kinase Inhibitor (TKI) Treatment</t>
  </si>
  <si>
    <t>NCT06921850</t>
  </si>
  <si>
    <t>A Study to Assess the Pharmacokinetics and Safety of Bimekizumab in Children and Adolescents With Moderate to Severe Hidradenitis Suppurativa</t>
  </si>
  <si>
    <t>NCT06020235</t>
  </si>
  <si>
    <t>Nu-3 Gel for Infected Diabetic Foot Ulcers</t>
  </si>
  <si>
    <t>NCT06872125</t>
  </si>
  <si>
    <t>A Double-blind Study Evaluating the Efficacy, Safety, and Tolerability of Zorevunersen in Patients With Dravet Syndrome</t>
  </si>
  <si>
    <t>NCT05582590</t>
  </si>
  <si>
    <t>Autologous T Cells Targeting HPV16 HPV18 &amp; Survivin in Patients With R/R HPV-related Oropharyngeal Cancers</t>
  </si>
  <si>
    <t>NCT07421011</t>
  </si>
  <si>
    <t>Pharmacokinetics, Bioequivalence, and Safety Study of Trimedat® 76,95 mg Orally Disintegrating Tablets and Trimedat® 100 mg Tablets in Healthy Volunteers.</t>
  </si>
  <si>
    <t>NCT06794554</t>
  </si>
  <si>
    <t>Rezafungin for Treatment of Chronic Pulmonary Aspergillosis (CPA) in Adults With Limited Treatment Options</t>
  </si>
  <si>
    <t>NCT04056741</t>
  </si>
  <si>
    <t>Administration of Surfactant Through an Instillation Device Infasurf® (Calfactant) in Neonates- A Pilot Study</t>
  </si>
  <si>
    <t>NCT07123103</t>
  </si>
  <si>
    <t>A Study of XB371 Administered in Participants With Locally Advanced or Metastatic Solid Tumors</t>
  </si>
  <si>
    <t>NCT07214896</t>
  </si>
  <si>
    <t>Deployment and Evaluation of Humanoid Robotics in Coalition-Aligned Clinical Care Settings</t>
  </si>
  <si>
    <t>NCT07219966</t>
  </si>
  <si>
    <t>A Study of Brenipatide in Participants With Moderate-to-Severe Alcohol Use Disorder</t>
  </si>
  <si>
    <t>NCT06765954</t>
  </si>
  <si>
    <t>Immunotherapy With N 803, ETBX-071, and M-CENK in Combination With Radiation for Participants With High-Risk Prostate Cancer.</t>
  </si>
  <si>
    <t>NCT06915246</t>
  </si>
  <si>
    <t>A Study of Carmustine With and Without Ethanol in Subjects With Lymphoma</t>
  </si>
  <si>
    <t>NCT06669169</t>
  </si>
  <si>
    <t>Efficacy and Safety of Jia Shen Tablets in Chronic Heart Failure</t>
  </si>
  <si>
    <t>NCT07110441</t>
  </si>
  <si>
    <t>Pharmacokinetic Study on G1090N (Nitazoxanide) Capsules in Healthy Volunteers</t>
  </si>
  <si>
    <t>NCT06989437</t>
  </si>
  <si>
    <t>A Study to Learn About the Medicine Ponsegromab in Adults With Cancer of the Pancreas Which Has Spread and Caused Significant Body Weight Loss and Fatigue</t>
  </si>
  <si>
    <t>NCT07207954</t>
  </si>
  <si>
    <t>Study of LFD-200 in Healthy Adults and Adults With Moderate to Severe Rheumatoid Arthritis</t>
  </si>
  <si>
    <t>Lifordi Immunotherapeutics, Inc.</t>
  </si>
  <si>
    <t>NCT06800313</t>
  </si>
  <si>
    <t>Study of HLD-0915 in Patients With Metastatic Prostate Cancer</t>
  </si>
  <si>
    <t>Halda Therapeutics OpCo, Inc.</t>
  </si>
  <si>
    <t>NCT06665165</t>
  </si>
  <si>
    <t>AMX0114 in Adult Participants With Amyotrophic Lateral Sclerosis</t>
  </si>
  <si>
    <t>NCT07024563</t>
  </si>
  <si>
    <t>Study of Ravulizumab in Pediatric Participants With Primary IgAN</t>
  </si>
  <si>
    <t>NCT07286682</t>
  </si>
  <si>
    <t>A Study to Investigate the Safety, Tolerability, and Pharmacokinetics of UCB5285 in Healthy Study Participants</t>
  </si>
  <si>
    <t>NCT06941870</t>
  </si>
  <si>
    <t>Efanesoctocog Alfa Prophylaxis in Patients With Hemophilia A With Synovial Hypertrophy</t>
  </si>
  <si>
    <t>NCT06970405</t>
  </si>
  <si>
    <t>Study of Safety and Effects of Garetosmab in Healthy Obese Men and Post-Menopausal Women</t>
  </si>
  <si>
    <t>NCT07229937</t>
  </si>
  <si>
    <t>A Phase II Study To Evaluate the Efficacy And Safety Of HRS-1301 In Participants With Dyslipidemia</t>
  </si>
  <si>
    <t>NCT07019675</t>
  </si>
  <si>
    <t>A Study of SKB518 in Patients With Lung Cancer</t>
  </si>
  <si>
    <t>NCT07204639</t>
  </si>
  <si>
    <t>Safety and Efficacy of CBP-0276 to Improve Severity and Quality of Life on Moderate to Severe Psoriasis in Subjects</t>
  </si>
  <si>
    <t>Clarent Biopharma, Inc.</t>
  </si>
  <si>
    <t>NCT06555419</t>
  </si>
  <si>
    <t>A Study to Find Out How Nusinersen is Processed in the Body When Given Through the ThecaFlex DRx™ System in Adult and Pediatric Participants With Spinal Muscular Atrophy (PIERRE-PK)</t>
  </si>
  <si>
    <t>NCT07243366</t>
  </si>
  <si>
    <t>Allogeneic CD19-CAR-NK Cells in Patients With Refractory Myasthenia Gravis</t>
  </si>
  <si>
    <t>NCT06695845</t>
  </si>
  <si>
    <t>A Phase 2 Study of Zanidatamab in Patients With HER2-expressing Tumors</t>
  </si>
  <si>
    <t>NCT06921395</t>
  </si>
  <si>
    <t>Phase IV Study to Evaluate the Efficacy and Safety of Fang Le Shu Compared to Guo Na Fen for Controlled Ovarian Stimulation in Infertile Women Undergoing in Vitro Fertilization-embryo Transfer (IVF-ET).</t>
  </si>
  <si>
    <t>NCT07023029</t>
  </si>
  <si>
    <t>A Study on the Effect of Etavopivat on Heart Rhythm in Healthy Participants</t>
  </si>
  <si>
    <t>NCT07210320</t>
  </si>
  <si>
    <t>PK/PD Study of IN-001 Sublingual Spray in Healthy Adults</t>
  </si>
  <si>
    <t>Insignis Therapeutics, Inc.</t>
  </si>
  <si>
    <t>NCT06803823</t>
  </si>
  <si>
    <t>A Study of ONO-2020 in Patients With Agitation Associated With Alzheimer's Disease Dementia</t>
  </si>
  <si>
    <t>NCT07314346</t>
  </si>
  <si>
    <t>Drug-drug Interaction Study of Bemnifosbuvir/Ruzasvir (BEM/RZR) and Buprenorphine/Naloxone or Methadone</t>
  </si>
  <si>
    <t>NCT07048262</t>
  </si>
  <si>
    <t>Dose Range Finding, Efficacy, and Safety Study of Nebulized CSL787 in Adults With Non-cystic Fibrosis Bronchiectasis (NCFB)</t>
  </si>
  <si>
    <t>NCT06840002</t>
  </si>
  <si>
    <t>A Clinical Study of SHR-A1811 Combined With Chemotherapy for Platinum Sensitive Recurrent Ovarian Cancer</t>
  </si>
  <si>
    <t>NCT06633562</t>
  </si>
  <si>
    <t>A Study to Test the Effects of Nezavist at Different Doses in Healthy Adults</t>
  </si>
  <si>
    <t>NCT07251062</t>
  </si>
  <si>
    <t>A Study of SYS6010, Enlonstobart, and Chemotherapy for First-Line Treatment of Esophageal Squamous Cell Carcinoma.</t>
  </si>
  <si>
    <t>NCT07301203</t>
  </si>
  <si>
    <t>Phase I Study of CPD704 Inhalation Suspension in Healthy Subjects</t>
  </si>
  <si>
    <t>NCT06999083</t>
  </si>
  <si>
    <t>A Study to Evaluate Single-dose of HB0043 in Healthy Adult Participants</t>
  </si>
  <si>
    <t>NCT07081256</t>
  </si>
  <si>
    <t>To Evaluate the Efficacy and Safety of QLM2010 for Prevention of Chemotherapy-induced Nausea and Vomiting After Highly Emetogenic Chemotherapy.</t>
  </si>
  <si>
    <t>NCT06904222</t>
  </si>
  <si>
    <t>Safety and Immunogenicity of the Recombinant Respiratory Syncytial Virus (RSV) Vaccine in Adults Aged 18 Years and Older</t>
  </si>
  <si>
    <t>NCT06827431</t>
  </si>
  <si>
    <t>The Research of Ammoxetine Hydrochloride Enteric-coated Tablets in Subjects With Depression</t>
  </si>
  <si>
    <t>NCT06590961</t>
  </si>
  <si>
    <t>UBX-303061 in Subjects With Relapsed/Refractory B-Cell Malignancies</t>
  </si>
  <si>
    <t>Ubix Therapeutics, Inc.</t>
  </si>
  <si>
    <t>NCT06888492</t>
  </si>
  <si>
    <t>To Evaluate the Safety and Preliminary Efficacy of Intravitreal EXG202 Injection in Patients with Wet (neovascular) Age-related Macular Degeneration (wAMD)</t>
  </si>
  <si>
    <t>NCT07282171</t>
  </si>
  <si>
    <t>A Study to Investigate the Safety, Pharmacodynamic and Pharmacokinetic Characteristics of CBP-4888 in Hospitalized Participants With Preterm Preeclampsia and Their Children up to 24 Months</t>
  </si>
  <si>
    <t>NCT06959095</t>
  </si>
  <si>
    <t>Depemokimab as an Extended treatmeNt Duration Biologic in Adults With Chronic Obstructive Pulmonary Disease (COPD) and Type 2 Inflammation (ENDURA -1)</t>
  </si>
  <si>
    <t>NCT06898957</t>
  </si>
  <si>
    <t>Study of Tarlatamab in Combination With YL201 With or Without Anti-programmed Death Ligand 1 (PD-L1) in Participants With Extensive Stage (ES) Small Cell Lung Cancer (SCLC)</t>
  </si>
  <si>
    <t>NCT06925581</t>
  </si>
  <si>
    <t>A Trial of HRS-6768 in Patients With Advanced Solid Tumors</t>
  </si>
  <si>
    <t>NCT07118319</t>
  </si>
  <si>
    <t>The Safety, Tolerability and Preliminary Efficacy of Derived Motor Neuron Progenitor Cells (XS228CN) in Subjects With Amyotrophic Lateral Sclerosis</t>
  </si>
  <si>
    <t>NCT07099430</t>
  </si>
  <si>
    <t>A Trial of LBL-024 Monotherapy, LBL-024 Combined With LBL-007 or Toripalimab in Patients With Advanced Melanoma</t>
  </si>
  <si>
    <t>NCT06658353</t>
  </si>
  <si>
    <t>Phase III Clinical Study of VC004 in Patients With Localized Advanced/ Metastatic Solid Tumors</t>
  </si>
  <si>
    <t>NCT06846437</t>
  </si>
  <si>
    <t>JSKN003 Versus Trastuzumab Emtansine (T-DM1) for HER2-Positive, Advanced Breast Cancer</t>
  </si>
  <si>
    <t>NCT06749795</t>
  </si>
  <si>
    <t>LIV001 in Patients with Mild-to-Moderate Active Ulcerative Colitis (UC)</t>
  </si>
  <si>
    <t>NCT07217067</t>
  </si>
  <si>
    <t>A Study to Investigate the Efficacy, Safety, Tolerability and Pharmacokinetics of PKN605 in Participants With Atrial Fibrillation</t>
  </si>
  <si>
    <t>NCT06644534</t>
  </si>
  <si>
    <t>A Study to Assess TTI-0102 vs Placebo in MELAS Patients</t>
  </si>
  <si>
    <t>NCT07028853</t>
  </si>
  <si>
    <t>This Study Will Explore Whether a Combination of the Investigational Drug Mevrometostat (PF-06821497) and Enzalutamide Will Work Better Than Taking Enzalutamide Alone in Participants With mCSPC Who Are ARPI naïve.</t>
  </si>
  <si>
    <t>NCT06971198</t>
  </si>
  <si>
    <t>Phase I Clinical Trial to Evaluate the Safety, Tolerability and Pharmacokinetic Characteristics of HSK39004 Dry Powder Inhalation</t>
  </si>
  <si>
    <t>NCT06978244</t>
  </si>
  <si>
    <t>A Study to Assess Safety, Tolerability, and Pharmacokinetics of Ascending Concentrations of Topical Ocular BL1332 in Healthy Volunteers</t>
  </si>
  <si>
    <t>NCT06780111</t>
  </si>
  <si>
    <t>Substudy 06E: Umbrella Study of Combination Therapies in Esophageal Cancer (MK-3475-06E/KEYMAKER-U06)</t>
  </si>
  <si>
    <t>NCT07318909</t>
  </si>
  <si>
    <t>To Evaluate the Safety and Efficacy of GS1168 Injection in Adult Phenylketonuria</t>
  </si>
  <si>
    <t>NCT07222254</t>
  </si>
  <si>
    <t>A Study to Assess the Safety, Tolerability, and Pharmacokinetics of a Single Ascending Dose of AZD0292 in Healthy Japanese Participants</t>
  </si>
  <si>
    <t>NCT07108894</t>
  </si>
  <si>
    <t>A First-in-Human Phase 1 Single-Ascending Dose Study of ABCL575 in Healthy Participants</t>
  </si>
  <si>
    <t>NCT06993181</t>
  </si>
  <si>
    <t>Clinical Trial of Comparing DA-5222 Single-administration and Co-administration of DA-5222-R1, DA-5222-R2 and DA-5222-R3 in Healthy Adult Subjects</t>
  </si>
  <si>
    <t>NCT07108153</t>
  </si>
  <si>
    <t>Proof-of-concept Study to Evaluate the Safety, Tolerability, Pharmacodynamics, and Pharmacokinetics of SION-719 When Added to Trikafta</t>
  </si>
  <si>
    <t>NCT06838195</t>
  </si>
  <si>
    <t>Clinical Trial of the S. Flexneri-S. Sonnei Bivalent Conjugate Vaccine</t>
  </si>
  <si>
    <t>NCT07067775</t>
  </si>
  <si>
    <t>Pharmacokinetic/Pharmacodynamic Study of Vicagrel Capsules and Clopidogrel Tablets in Healthy CYP2C19 Normal Metabolizers</t>
  </si>
  <si>
    <t>NCT07154901</t>
  </si>
  <si>
    <t>Investigation of the Effects of Renal Impairment on the Pharmacokinetics, Safety, and Tolerability of Opemalirsen (AZD2373)</t>
  </si>
  <si>
    <t>NCT07166601</t>
  </si>
  <si>
    <t>M0324 as Monotherapy and in Combination With Pembrolizumab or Chemotherapy in Participants With Selected Advanced Solid Tumors</t>
  </si>
  <si>
    <t>NCT06952660</t>
  </si>
  <si>
    <t>Ocular Assessments in Patients Treated With Tivdak® in Recurrent or Metastatic Cervical Cancer</t>
  </si>
  <si>
    <t>NCT07037420</t>
  </si>
  <si>
    <t>ALXN2420 Versus Placebo in Combination With Somatostatin Analogs in Participants With Acromegaly</t>
  </si>
  <si>
    <t>NCT07354269</t>
  </si>
  <si>
    <t>Phase IV Clinical Study of sIPV Administration in Adolescent and Adult Populations</t>
  </si>
  <si>
    <t>NCT07208461</t>
  </si>
  <si>
    <t>A Study to Evaluate the Immunogenicity and Safety of a Recombinant Respiratory Syncytial Virus Vaccine in Older Adults Aged 60 Years and Older</t>
  </si>
  <si>
    <t>NCT06672185</t>
  </si>
  <si>
    <t>ARC101 in Advanced Solid Tumors</t>
  </si>
  <si>
    <t>Third Arc Bio</t>
  </si>
  <si>
    <t>NCT07300085</t>
  </si>
  <si>
    <t>A Trial to Evaluate the Effect of CD388 on the Immunogenicity of Fluzone® HD Vaccine</t>
  </si>
  <si>
    <t>NCT06799013</t>
  </si>
  <si>
    <t>Safety and Immunogenicity of a Self-Amplifying RNA Vaccine Against Crimean-Congo Hemorrhagic Fever</t>
  </si>
  <si>
    <t>NCT06701682</t>
  </si>
  <si>
    <t>JUST BREATHE, Breathing Life Into Innovative Therapies for ARDS- Cohort A: Vilobelimab</t>
  </si>
  <si>
    <t>NCT07049159</t>
  </si>
  <si>
    <t>Safety, and Efficacy Study of ShigETEC, a Live, Attenuated, Oral Combination Vaccine to Prevent Shigella and ETEC Disease Delivered to Healthy Adults Ages 18 to 50 Years Old</t>
  </si>
  <si>
    <t>NCT07004296</t>
  </si>
  <si>
    <t>A Study of HDM2005 in Patients With Advanced Solid Tumor</t>
  </si>
  <si>
    <t>NCT07043946</t>
  </si>
  <si>
    <t>A Phase 1b/2a Study of Budoprutug in Subjects With Immune Thrombocytopenia (ITP)</t>
  </si>
  <si>
    <t>NCT07122076</t>
  </si>
  <si>
    <t>GT719 Injection for Moderate to Severe Refractory Autoimmune Diseases</t>
  </si>
  <si>
    <t>NCT06590324</t>
  </si>
  <si>
    <t>A Study of Apabetalone in Subjects With Long -COVID</t>
  </si>
  <si>
    <t>NCT06961188</t>
  </si>
  <si>
    <t>Clinical Study on Nanocrystalline Megestrol Acetate for Appetite Improvement and Weight Gain in Pre-Cachexia and Cachexia Stages Key Terminology Analysis</t>
  </si>
  <si>
    <t>NCT07371624</t>
  </si>
  <si>
    <t>A Study of the Safety, Tolerability and Preliminary Efficacy of B2065 in Patients With Acute Ischemic Stroke.</t>
  </si>
  <si>
    <t>NCT07046273</t>
  </si>
  <si>
    <t>Phase III Clinical Study on the Efficacy and Safety of Semaglutide and Ozempic® in Patients With Type 2 Diabetes</t>
  </si>
  <si>
    <t>NCT07115446</t>
  </si>
  <si>
    <t>Phase Ib Study of HS-20093+HRS-5041 in Patients With Advanced Prostate Cancer</t>
  </si>
  <si>
    <t>NCT07088822</t>
  </si>
  <si>
    <t>A Phase 1 Study Evaluating the Safety, Tolerability, and Immunogenicity of V4020 Vaccine in Healthy Volunteers</t>
  </si>
  <si>
    <t>Medigen, Inc.</t>
  </si>
  <si>
    <t>NCT06671483</t>
  </si>
  <si>
    <t>A Study of Zasocitinib in Adults With Psoriatic Arthritis Who Have Not Taken Biologic Medicines</t>
  </si>
  <si>
    <t>NCT07187960</t>
  </si>
  <si>
    <t>Evaluation of the Efficacy and Safety of TQB2825 Injection Compared to Immunotherapy in the Treatment of Recurrent/Refractory Follicular Lymphoma</t>
  </si>
  <si>
    <t>NCT06408259</t>
  </si>
  <si>
    <t>Study to Evaluate the Effectiveness and Safety of Ozanimod Compared to Fingolimod in Children and Adolescents With Relapsing Remitting Multiple Sclerosis</t>
  </si>
  <si>
    <t>NCT07158346</t>
  </si>
  <si>
    <t>Phase I Study to Evaluate the Pharmacokinetics and Safety After Co-administration of L03RD1 and L03RD2 or Administration of CT-L03 in Healthy Volunteers</t>
  </si>
  <si>
    <t>NCT07186283</t>
  </si>
  <si>
    <t>Pharmacokinetic Study of a Novel Cannabidiol (CBD) Formulation in Healthy Volunteers</t>
  </si>
  <si>
    <t>NW PharmaTech Ltd</t>
  </si>
  <si>
    <t>NCT07275242</t>
  </si>
  <si>
    <t>A Clinical Study of SHR-A1811(sc) Subcutaneous Injection in Patients With Solid Tumor</t>
  </si>
  <si>
    <t>NCT06764186</t>
  </si>
  <si>
    <t>A Phase IIIB Study to Evaluate the Use of Capivasertib in Combination With Fulvestrant in Patients With Advanced Breast Cancer Who Have Relapsed/Progressed on ET and CDK4/6 Inhibitor Reflecting Real World Clinical Practice in Spain</t>
  </si>
  <si>
    <t>NCT07246941</t>
  </si>
  <si>
    <t>A Study to Evaluate the Safety, Tolerability, Pharmacokinetics, and Pharmacodynamics of RG6496 in Huntington's Disease</t>
  </si>
  <si>
    <t>NCT06942156</t>
  </si>
  <si>
    <t>Optimize Immunosuppressive Therapy Using Everolimus and Low-dose Calcineurin Inhibitors in Heart Transplant Patients in Korea</t>
  </si>
  <si>
    <t>NCT06501924</t>
  </si>
  <si>
    <t>Clinical Study of DA-002 and DA-005 As a Treatment for Hair Loss</t>
  </si>
  <si>
    <t>NCT06879041</t>
  </si>
  <si>
    <t>A Phase I Study of [225Ac]-AZD2284 in Patients With Metastatic Castration-Resistant Prostate Cancer</t>
  </si>
  <si>
    <t>NCT06957756</t>
  </si>
  <si>
    <t>A Study to Test How BI 1584862 is Taken up in the Blood of People With and Without Liver Problems</t>
  </si>
  <si>
    <t>NCT06919796</t>
  </si>
  <si>
    <t>mRNA Covid-19 Vaccine Immune Response Comparisons Using Different Delivery Routes</t>
  </si>
  <si>
    <t>NCT07266805</t>
  </si>
  <si>
    <t>Study of Oral Deucrictibant XR Tablet for Prophylaxis and Deucrictibant IR Capsule for On-Demand Treatment of Angioedema Attacks in Adults With Acquired Angioedema Due to C1 Inhibitor Deficiency</t>
  </si>
  <si>
    <t>NCT06861829</t>
  </si>
  <si>
    <t>A Study in Healthy Men to Test Whether Food Influences the Amount of BI 3731579 in the Blood</t>
  </si>
  <si>
    <t>NCT06882031</t>
  </si>
  <si>
    <t>Evaluate the Pharmacokinetics of Oral Arsenic Trioxide Solution Under Fasting and Fed Conditions, to Compare Intravenous Arsenic Trioxide, in Acute Promyelocytic Leukemia</t>
  </si>
  <si>
    <t>SDK Therapeutics, Inc.</t>
  </si>
  <si>
    <t>NCT06832202</t>
  </si>
  <si>
    <t>A Phase II Study of HLX22 in Combination With Trastuzumab Deruxtecan in HER2-low, Hormone Receptor Positive Locally Advanced or Metastatic Breast Cancer Patients</t>
  </si>
  <si>
    <t>NCT07082803</t>
  </si>
  <si>
    <t>TLN-121 in Relapsed or Refractory Non-Hodgkin Lymphomas</t>
  </si>
  <si>
    <t>NCT07207070</t>
  </si>
  <si>
    <t>A Randomised, Open-label, Multicentre Phase III Clinical Study to Evaluate the Efficacy and Safety of JS105 Combined With Dalpiciclib and Fulvestrant Compared With Dalpiciclib and Fulvestrant in Patients With PIK3CA-mutated, HR-positive, HER2-negative Recurrent or Metastatic Breast Cancer.</t>
  </si>
  <si>
    <t>NCT07264270</t>
  </si>
  <si>
    <t>Study to Evaluate Safety of C-1101 Versus Sterile Saline in Adults With Chronic Painful Lumbosacral Radiculopathy</t>
  </si>
  <si>
    <t>Consano Bio</t>
  </si>
  <si>
    <t>NCT07082920</t>
  </si>
  <si>
    <t>A Study of JNJ-78278343 in Combination With JNJ-95298177 for Treatment of Prostate Cancer</t>
  </si>
  <si>
    <t>NCT07294846</t>
  </si>
  <si>
    <t>Drug Interaction Study on Linaprazan Glurate Capsules</t>
  </si>
  <si>
    <t>NCT06672978</t>
  </si>
  <si>
    <t>A Study to Evaluate the Safety, Tolerability, and Pharmacokinetics of Meropenem-Vaborbactam in Children With Complicated Urinary Tract Infection, Including Acute Pyelonephritis</t>
  </si>
  <si>
    <t>Rempex (a wholly owned subsidiary of Melinta Therapeutics, LLC)</t>
  </si>
  <si>
    <t>NCT06640413</t>
  </si>
  <si>
    <t>A Study to Evaluate the Safety and Preliminary Signs of Efficacy of [177Lu]Lu-OncoFAP-23 Alone or in Combination With L19-IL2 as a Treatment of Metastatic FAP-positive Solid Tumors</t>
  </si>
  <si>
    <t>NCT07052513</t>
  </si>
  <si>
    <t>Modified Autologous Leukocyte Cells for the Treatment of Acute Kidney Injury After Cardiac Surgery</t>
  </si>
  <si>
    <t>M2RLAB SL</t>
  </si>
  <si>
    <t>NCT07216443</t>
  </si>
  <si>
    <t>Trial of Orca-T Following Reduced Intensity or Nonmyeloablative Conditioning in Patients With Acute Myeloid Leukemia or Myelodysplastic Syndrome</t>
  </si>
  <si>
    <t>NCT07098091</t>
  </si>
  <si>
    <t>Evaluate the Safety, Tolerability, Pharmacokinetics, Pharmacodynamics of YD0293 in Healthy Subjects</t>
  </si>
  <si>
    <t>NCT06703710</t>
  </si>
  <si>
    <t>To Evaluate the Safety/Tolerability and Pharmacokinetic Characteristics in Healthy Volunteers</t>
  </si>
  <si>
    <t>NCT06677918</t>
  </si>
  <si>
    <t>Clinical Trial Investigating the Effects of EP395 Following an Inhaled Endotoxin Challenge in Healthy Adults</t>
  </si>
  <si>
    <t>NCT05541159</t>
  </si>
  <si>
    <t>Pharmacokinetics Study of TNO155 in Participants With Mild, Moderate, or Severe Renal Impairment Compared to Matched Healthy Participants</t>
  </si>
  <si>
    <t>NCT07288359</t>
  </si>
  <si>
    <t>Study of GVV858 as a Single Agent or in Combination With Endocrine Therapy in Patients With HR+/HER2- Breast Cancer and Other Advanced Solid Tumors</t>
  </si>
  <si>
    <t>NCT06698796</t>
  </si>
  <si>
    <t>A Study to Understand How the Study Medicine Dazukibart Works in People With Idiopathic Inflammatory Myopathies</t>
  </si>
  <si>
    <t>NCT07034690</t>
  </si>
  <si>
    <t>Study to Evaluate the Impact of a Targeted Lipid Optimization Program on LDL-C Control in At-risk Adult Patients With Dyslipidemia</t>
  </si>
  <si>
    <t>NCT07529535</t>
  </si>
  <si>
    <t>A First-in-Human Study of ALK-N001 for Injection in Patients With Advanced Solid Tumors</t>
  </si>
  <si>
    <t>NCT06852976</t>
  </si>
  <si>
    <t>A Phase 2a Proof of Concept Open-Label, Randomized, Controlled Study to Evaluate the Safety and Efficacy of MDI-1228-mesylate Gel Compared With Standard of Care Alone in Patients With Diabetic Foot Ulcers</t>
  </si>
  <si>
    <t>Zhuhai Rui-Inno Pharmaceutical Technology Co., Ltd.</t>
  </si>
  <si>
    <t>NCT06954597</t>
  </si>
  <si>
    <t>Safety and Tolerability of TOP-N53 Applied on Digital Ulcers in Patients With Systemic Sclerosis</t>
  </si>
  <si>
    <t>Topadur Pharma AG</t>
  </si>
  <si>
    <t>NCT07276724</t>
  </si>
  <si>
    <t>A Study to Investigate GB-0895 Adjunctive Therapy in Adults and Adolescents With Severe Uncontrolled Asthma (SOLAIRIA-1)</t>
  </si>
  <si>
    <t>NCT06938880</t>
  </si>
  <si>
    <t>Study of ZGGS18 in Combination With ZG005 in Patients With Advanced Solid Tumors</t>
  </si>
  <si>
    <t>NCT07142980</t>
  </si>
  <si>
    <t>A Phase I Study of HRS-7172 in Participants With Advanced Solid Tumors Harboring RAS Mutations or Amplifications</t>
  </si>
  <si>
    <t>NCT07016750</t>
  </si>
  <si>
    <t>A Study Comparing KB803 and Matched Placebo in Patients With Dystrophic Epidermolysis Bullosa</t>
  </si>
  <si>
    <t>NCT06557460</t>
  </si>
  <si>
    <t>A Phase IIb Randomized, Multicenter Trial of Subretinal CPCB-RPE1 in Advanced Dry AMD (Geographic Atrophy)</t>
  </si>
  <si>
    <t>Regenerative Patch Technologies, LLC</t>
  </si>
  <si>
    <t>NCT07300280</t>
  </si>
  <si>
    <t>A Clinical Trial of Enlicitide and Rosuvastatin in Healthy Adults (MK-0616-039)</t>
  </si>
  <si>
    <t>NCT06597006</t>
  </si>
  <si>
    <t>Study to Evaluate Safety, Tolerability and Efficacy of Inclisiran in Children With Homozygous Familial Hypercholesterolemia</t>
  </si>
  <si>
    <t>NCT07282665</t>
  </si>
  <si>
    <t>A Study to Learn About a Clostridioides Difficile Vaccine in People 65 Years of Age and Older</t>
  </si>
  <si>
    <t>NCT07263698</t>
  </si>
  <si>
    <t>Investigation of Clinical Efficacy of a New Mouthwash on Reducing Dental Plaque and Helping Prevent Gum Problems as Compared to a Control Mouthwash</t>
  </si>
  <si>
    <t>NCT06886919</t>
  </si>
  <si>
    <t>Clinical Study Evaluating the Safety and Efficacy of IC19 CAR-T Cell Therapy for Refractory Systemic Lupus Erythematosus</t>
  </si>
  <si>
    <t>NCT06619236</t>
  </si>
  <si>
    <t>Study to Assess the Efficacy of Rina-S Compared to Treatment of Investigator's Choice in Participants With Platinum Resistant Ovarian Cancer</t>
  </si>
  <si>
    <t>NCT07021898</t>
  </si>
  <si>
    <t>A Study of ERAS-4001 in Patients With Advanced or Metastatic Solid Tumors.</t>
  </si>
  <si>
    <t>NCT05824065</t>
  </si>
  <si>
    <t>Efficacy and Safety of OMA102 in the Treatment of Female Pattern Hair Loss</t>
  </si>
  <si>
    <t>NCT06947499</t>
  </si>
  <si>
    <t>A Phase II/III Study to Evaluate the Immunogenicity, Safety and Lot-to-lot Consistency of LBVD, a Fully Liquid Hexavalent Diphtheria-tetanus-whole Cell Pertussis-hepatitis B-poliovirus-Haemophilus Influenzae Type b Conjugate (DTwP-HepB-IPV-Hib) Vaccine, in Healthy Infants as Primary Series</t>
  </si>
  <si>
    <t>NCT05660863</t>
  </si>
  <si>
    <t>A Multiple Dose Study to Investigate Safety, Tolerability and Pharmacokinetics of MN-08 Tablets</t>
  </si>
  <si>
    <t>NCT06857214</t>
  </si>
  <si>
    <t>A Study of GNC-038 Tetra-specific Antibody Injection in Patients With Systemic Lupus Erythematosus</t>
  </si>
  <si>
    <t>NCT06952114</t>
  </si>
  <si>
    <t>A Study of Stem Cells Lenses in the coGVHD Subjects</t>
  </si>
  <si>
    <t>NCT06939777</t>
  </si>
  <si>
    <t>Safety, Tolerability, Pharmacokinetics and Pharmacodynamics of SNA02-48 Injection in Chinese Adult Participants</t>
  </si>
  <si>
    <t>NCT06974812</t>
  </si>
  <si>
    <t>IBI3014 in Participants With Unresectable Locally Advanced or Metastatic Solid Tumors</t>
  </si>
  <si>
    <t>NCT07189065</t>
  </si>
  <si>
    <t>A Study of Rocbrutinib in Participants With Relapse or Refractory Non-GCB Diffuse Large B-Cell Lymphoma</t>
  </si>
  <si>
    <t>NCT06809400</t>
  </si>
  <si>
    <t>A Study of LY4006896 in Healthy Participants and Participants With Parkinson's Disease</t>
  </si>
  <si>
    <t>NCT06204536</t>
  </si>
  <si>
    <t>Treatment Planning for ABA Employing Auxiliary Tools V2+ (TREAAT2+)</t>
  </si>
  <si>
    <t>Montera Health Texas LLC</t>
  </si>
  <si>
    <t>NCT07049081</t>
  </si>
  <si>
    <t>A Study of LUCAR-G79 in Subjects With Relapsed/Refractory Autoimmune Diseases</t>
  </si>
  <si>
    <t>NCT06877611</t>
  </si>
  <si>
    <t>A Phase 1 Study of S-4321</t>
  </si>
  <si>
    <t>NCT07265921</t>
  </si>
  <si>
    <t>A Phase I Study of SIM0609 in Adult Participants With Locally Advanced/Metastatic Solid Tumors</t>
  </si>
  <si>
    <t>NCT06980116</t>
  </si>
  <si>
    <t>Dose Determining Study of EXS73565 in Participants With Relapsed or Refractory B-Cell Malignancies</t>
  </si>
  <si>
    <t>NCT06993116</t>
  </si>
  <si>
    <t>A Phase I Study of SHR-4712 in Patients With Advanced Solid Tumors</t>
  </si>
  <si>
    <t>NCT07045701</t>
  </si>
  <si>
    <t>FMXIN002 in Patients at Risk of Anaphylaxis</t>
  </si>
  <si>
    <t>NCT07640893</t>
  </si>
  <si>
    <t>A Phase II Clinical Trial to Evaluate the Efficacy, Safety, and Pharmacokinetics of SR604 Injection in Patients With Von Willebrand Disease</t>
  </si>
  <si>
    <t>NCT06952998</t>
  </si>
  <si>
    <t>Efficacy of Plasma Rich in Growth Factors (PRGF) in the Treatment of Foot Ulcers in Diabetic Patients With Peripheral Arterial Disease</t>
  </si>
  <si>
    <t>NCT07062198</t>
  </si>
  <si>
    <t>Combined Metabolic Activator Supplementation in Subjects Diagnosed With Alzheimer's Disease</t>
  </si>
  <si>
    <t>NCT07062965</t>
  </si>
  <si>
    <t>A Study to Learn About the Study Medicine Called PF-07248144 in Combination With Fulvestrant in People With HR-positive, HER2-negative Advanced or Metastatic Breast Cancer Who Progressed After a Prior Line of Treatment.</t>
  </si>
  <si>
    <t>NCT06682234</t>
  </si>
  <si>
    <t>Study of Obeldesivir as Postexposure Prophylaxis for Filovirus Diseases Virus Disease</t>
  </si>
  <si>
    <t>NCT05640232</t>
  </si>
  <si>
    <t>Efficacy and Safety of CDE100 in the Treatment of Menstrual Cramp Pain Associated With Primary Dysmenorrhea</t>
  </si>
  <si>
    <t>NCT06926387</t>
  </si>
  <si>
    <t>Bioequivalence Study betweenYHP2407 and YHR2502 in Healthy Subjects</t>
  </si>
  <si>
    <t>NCT07322432</t>
  </si>
  <si>
    <t>The CONQUER Trial - Cessation Of Nicotine, QUitting With E-cigarette Reduction</t>
  </si>
  <si>
    <t>VapeAway</t>
  </si>
  <si>
    <t>NCT07144163</t>
  </si>
  <si>
    <t>A Study to Evaluate Atumelnant in Adults With Congenital Adrenal Hyperplasia</t>
  </si>
  <si>
    <t>NCT07205601</t>
  </si>
  <si>
    <t>Study of Intracerebroventricular Injections of Autologous Adipose-Derived Stem Cells (RB-ADSCs) in Participants With Mild-Moderate Alzheimer's Disease</t>
  </si>
  <si>
    <t>NCT06926621</t>
  </si>
  <si>
    <t>A Study of Long-term Safety and Efficacy of VX-670 in Participants With Myotonic Dystrophy Type I</t>
  </si>
  <si>
    <t>NCT07007533</t>
  </si>
  <si>
    <t>A Study to Compare and Evaluate the Safety, Tolerability and Pharmacokinetics Between DA-5223 and DA-5223-R in Healthy Adult Subjects</t>
  </si>
  <si>
    <t>NCT06932952</t>
  </si>
  <si>
    <t>A Dose Escalation and Expansion Trial With BYON4228 Alone and in Combination in Patients With Advanced or Metastatic Solid Tumors</t>
  </si>
  <si>
    <t>NCT06948539</t>
  </si>
  <si>
    <t>To Evaluate the Tolerability and Pharmacokinetics of TQB2101 for Injection in Patients With Advanced Malignant Tumors</t>
  </si>
  <si>
    <t>NCT06775834</t>
  </si>
  <si>
    <t>Safety and Pharmacokinetics Study of HRS-1893 Tablets in Healthy Subjects and Those With Impaired Kidney Function</t>
  </si>
  <si>
    <t>NCT06800651</t>
  </si>
  <si>
    <t>Trial of JMKX003142 in Participants With Rapidly Progressive Autosomal Dominant Polycystic Kidney Disease (ADPKD)</t>
  </si>
  <si>
    <t>NCT06842537</t>
  </si>
  <si>
    <t>Study of SYH2062 Injection in Healthy Chinese Volunteers</t>
  </si>
  <si>
    <t>NCT06748872</t>
  </si>
  <si>
    <t>EPITOME-1015-I: a Study to Investigate the Safety and Tolerability of MDG1015 in Patients with Epithelial Ovarian Cancer, Gastroesophageal Adenocarcinoma, Round Cell Liposarcoma And/or Synovial Sarcoma</t>
  </si>
  <si>
    <t>NCT07002177</t>
  </si>
  <si>
    <t>A Phase Ib/II Study to Evaluate Multiple Combination Therapies of FWD1802 in Patients With ER+/HER2- BC</t>
  </si>
  <si>
    <t>NCT06843044</t>
  </si>
  <si>
    <t>Efficacy and Safety of Ranquilon in Patients With Anxiety Disorders Due to Neurasthenia and Adjustment Disorders</t>
  </si>
  <si>
    <t>NCT06710431</t>
  </si>
  <si>
    <t>A Study of the Safety and Exploratory Efficacy of Oral AFA-281 in Patients with Alcohol Use Disorder</t>
  </si>
  <si>
    <t>NCT06181630</t>
  </si>
  <si>
    <t>A Lactation Study in Women Receiving Treatment With Ozanimod</t>
  </si>
  <si>
    <t>NCT07218900</t>
  </si>
  <si>
    <t>A Study to Investigate the Effect of AZD0780 Tablets in Combination With Rosuvastatin Tablets on Low Density Lipoprotein Cholesterol Levels (LDL-C) in Adult Participants With Dyslipidaemia</t>
  </si>
  <si>
    <t>NCT06925100</t>
  </si>
  <si>
    <t>A Study to Investigate the Effectiveness and Safety of Bempedoic Acid in Patients With Primary Hypercholesterolemia or Mixed Dyslipidemia in Taiwan</t>
  </si>
  <si>
    <t>NCT06332807</t>
  </si>
  <si>
    <t>AAV Gene Therapy Clinical Study in Adult Classic PKU (PHEdom)</t>
  </si>
  <si>
    <t>NGGT INC.</t>
  </si>
  <si>
    <t>NCT07276581</t>
  </si>
  <si>
    <t>A Study to Investigate Efficacy and Safety of AZD1163 in Participants With Rheumatoid Arthritis</t>
  </si>
  <si>
    <t>NCT06765902</t>
  </si>
  <si>
    <t>Immunotherapy Before and After Surgery</t>
  </si>
  <si>
    <t>NCT07151872</t>
  </si>
  <si>
    <t>Combination of QLS31905 and Chemotherapy ± QL2107 in Patients With CLDN18.2-positive Advanced Biliary Tract Cancer</t>
  </si>
  <si>
    <t>NCT06813339</t>
  </si>
  <si>
    <t>Placebo-controlled Study of Single and Multiple Ascending Doses of UDP-003 in Healthy Human Participants and Followed by an Open-label Patient Cohort</t>
  </si>
  <si>
    <t>Cyclarity Therapeutics, Inc.</t>
  </si>
  <si>
    <t>NCT07136181</t>
  </si>
  <si>
    <t>Evaluation of the Safety, Efficacy, and Pharmacokinetics of NBM-BMX in Patients With Metastatic Uveal Melanoma</t>
  </si>
  <si>
    <t>NCT07281495</t>
  </si>
  <si>
    <t>Taldefgrobep Alfa in Adults With Overweight and Obesity</t>
  </si>
  <si>
    <t>NCT06861101</t>
  </si>
  <si>
    <t>Phase II Study of JT002 in the Treatment of Seasonal Allergic Rhinitis in Adults</t>
  </si>
  <si>
    <t>NCT06801236</t>
  </si>
  <si>
    <t>Phase 1 Study of ACE-232 to Treat Patients With Metastatic Castration-Resistant Prostate Cancer</t>
  </si>
  <si>
    <t>Acerand Therapeutics (Hong Kong) Limited</t>
  </si>
  <si>
    <t>NCT07026279</t>
  </si>
  <si>
    <t>A Study of Narmafotinib Given in Combination With Modified FOLFIRINOX in Patients With Metastatic Pancreatic Cancer</t>
  </si>
  <si>
    <t>NCT06726096</t>
  </si>
  <si>
    <t>Phase III Trial of VDJ001 In Patients With Moderate-to-severe Active Rheumatoid Arthritis</t>
  </si>
  <si>
    <t>NCT07037862</t>
  </si>
  <si>
    <t>A Study in Participants With Duchenne Muscular Dystrophy Amenable to Exon 44 Skipping to Evaluate the Safety and Efficacy of ENTR-601-44</t>
  </si>
  <si>
    <t>NCT07301723</t>
  </si>
  <si>
    <t>A Trial to Evaluate the Absolute Bioavailability of Cenerimod in Healthy Male Participants</t>
  </si>
  <si>
    <t>NCT07121959</t>
  </si>
  <si>
    <t>A Study of Belzutifan (MK-6482) and Metformin in Healthy Adult Participants (MK-6482-039)</t>
  </si>
  <si>
    <t>NCT07166380</t>
  </si>
  <si>
    <t>RK-4 Intracalvariosseous Injection in Treatment of Acute Large Hemispheric Infarction</t>
  </si>
  <si>
    <t>NCT07058779</t>
  </si>
  <si>
    <t>Safety, Tolerability, PK and PD of SSS55 in Healthy Subjects</t>
  </si>
  <si>
    <t>NCT07229560</t>
  </si>
  <si>
    <t>A Trial of Itraconazole Effect on HRS-8080 Pharmacokinetics in Healthy Participants</t>
  </si>
  <si>
    <t>NCT06926582</t>
  </si>
  <si>
    <t>A Study to Evaluate Efficacy and Safety of HS-10374 for Mild-to-moderate Plaque Psoriasis</t>
  </si>
  <si>
    <t>NCT07246291</t>
  </si>
  <si>
    <t>Comparative Study of EnliTuo® Before and After Technology Change in Healthy Male Volunteers</t>
  </si>
  <si>
    <t>NCT07158268</t>
  </si>
  <si>
    <t>A Phase 2 Study of HSK47388 Tablets to Evaluate the Efficacy and Safety in Patients With Moderate-to-Severe Plaque Psoriasis</t>
  </si>
  <si>
    <t>NCT07146217</t>
  </si>
  <si>
    <t>Pharmacokinetic and Safety Study of Metronidazole Oral Suspension in Pediatric Patients With Anaerobic Bacterial Infection</t>
  </si>
  <si>
    <t>Saptalis Pharmaceuticals LLC</t>
  </si>
  <si>
    <t>NCT06995482</t>
  </si>
  <si>
    <t>Multiple Ascending Dose Study to Evaluate the Safety, Tolerability and Pharmacokinetics of KSHN001034 in Healthy Postmenopausal Female Volunteers</t>
  </si>
  <si>
    <t>NCT06952010</t>
  </si>
  <si>
    <t>A Study of XB628 Alone and in Combination With Zanzalintinib in Participants With Recurrent Advanced or Metastatic Solid Tumors</t>
  </si>
  <si>
    <t>NCT07139535</t>
  </si>
  <si>
    <t>A Study of RAY1225 in Participants With Type 2 Diabetes Not Controlled With Diet and Exercise Alone</t>
  </si>
  <si>
    <t>NCT07104110</t>
  </si>
  <si>
    <t>Study of QLH12016 in Combination With Novel Hormonal Agent in Subjects With Advanced Prostate Cancer</t>
  </si>
  <si>
    <t>NCT07229313</t>
  </si>
  <si>
    <t>A Study of KIVU-107 in Participants With Locally Advanced or Metastatic Solid Tumors</t>
  </si>
  <si>
    <t>Kivu Bioscience Inc.</t>
  </si>
  <si>
    <t>NCT07327840</t>
  </si>
  <si>
    <t>Phase 2 Study of Kylo-11 in ASCVD Patients With Elevated Lp(a)</t>
  </si>
  <si>
    <t>NCT06993168</t>
  </si>
  <si>
    <t>To Evaluate Effect of Food of DA-5222 in Healthy Adult Subjects</t>
  </si>
  <si>
    <t>NCT07213674</t>
  </si>
  <si>
    <t>A Study of Xaluritamig Plus Abiraterone Versus Investigator's Choice in Participants With Chemotherapy-naïve Metastatic Castration-resistant Prostate Cancer</t>
  </si>
  <si>
    <t>NCT06868290</t>
  </si>
  <si>
    <t>Phase 2 Study Evaluating Rapcabtagene Autoleucel in Participants With Severe Active GPA or MPA</t>
  </si>
  <si>
    <t>NCT06949124</t>
  </si>
  <si>
    <t>A Phase 1 Clinical Study to Evaluate the Effects of SHR7280 on the Pharmacokinetics of Midazolam, S-warfarin, Omeprazole, Digoxin, and Rosuvastatin in Healthy Subjects</t>
  </si>
  <si>
    <t>NCT07306585</t>
  </si>
  <si>
    <t>The Safety, Tolerability, Pharmacokinetics, Immunogenicity and Preliminary Efficacy of HC022 Injection in Subjects With SLE/CLE</t>
  </si>
  <si>
    <t>NCT06711640</t>
  </si>
  <si>
    <t>A Pharmacokinetic, Safety, and Tolerability Study of LUCEMYRA in the Treatment of Opioid Withdrawal Management in Adolescent Subjects</t>
  </si>
  <si>
    <t>NCT07018635</t>
  </si>
  <si>
    <t>A Study to Assess the Effect of Itraconazole, Rifampin, and Acid-Reducing Agents on INCB161734 Pharmacokinetics When Administered Orally in Healthy Participants</t>
  </si>
  <si>
    <t>NCT06927960</t>
  </si>
  <si>
    <t>Evaluation of the Safety, Tolerability and Pharmacokinetics of AH-001 Following Topical Single and Multiple Ascending Dose Administration</t>
  </si>
  <si>
    <t>AnHorn Medicines Co. Ltd.</t>
  </si>
  <si>
    <t>NCT06789289</t>
  </si>
  <si>
    <t>A Clinical Study to Evaluate the Efficacy and Safety of TQC2938 in Patients With Moderate to Severe Chronic Obstructive Pulmonary Disease</t>
  </si>
  <si>
    <t>NCT06999720</t>
  </si>
  <si>
    <t>Study of HX15001 in Adult Healthy Volunteers.</t>
  </si>
  <si>
    <t>Helixon Biotechnology (Suzhou) Co., Ltd</t>
  </si>
  <si>
    <t>NCT07005713</t>
  </si>
  <si>
    <t>A Study to Evaluate the Safety, Tolerability, Pharmacokinetics, and Pharmacodynamics of Multiple-Ascending Doses of BGB-16673 in Adults With Chronic Spontaneous Urticaria</t>
  </si>
  <si>
    <t>NCT06975150</t>
  </si>
  <si>
    <t>Efficacy and Safety of HK-660S in the Treatment of Primary Sclerosing Cholangitis</t>
  </si>
  <si>
    <t>NCT07399678</t>
  </si>
  <si>
    <t>Study of ALV-100 to Assess Safety, Tolerability, and PK/PD in Overweight/Obese Participants With or Without T2D</t>
  </si>
  <si>
    <t>Alveus Therapeutics, Inc.</t>
  </si>
  <si>
    <t>NCT07174297</t>
  </si>
  <si>
    <t>Acotiamide vs Itopride in Postprandial Distress Syndrome</t>
  </si>
  <si>
    <t>NCT06932198</t>
  </si>
  <si>
    <t>Bioequivalence Study to Compare Selexipag 400mcg Film Coated Tablets (400 mcg Selexipag) Versus Uptravi® 400mcg Film Coated Tablets (400 mcg Selexipag)</t>
  </si>
  <si>
    <t>NCT07199452</t>
  </si>
  <si>
    <t>A Study of Rifabutin and MK-4646 in Healthy Participants (MK-4646-004)</t>
  </si>
  <si>
    <t>NCT06678399</t>
  </si>
  <si>
    <t>Phase 1B/2 Clinical Trial Assessing the Safety, Tolerability and Preliminary Efficacy of the Intravenous Administration of Allogeneic Placental Mesenchymal Cells for the Preemptive Treatment of Patients At Risk for Acute Kidney Injury Following Cardiac Surgery</t>
  </si>
  <si>
    <t>Kelifarma</t>
  </si>
  <si>
    <t>NCT07431398</t>
  </si>
  <si>
    <t>Single-dose Pharmacokinetics of Pociredir in Participants With Sickle Cell Disease</t>
  </si>
  <si>
    <t>NCT07358806</t>
  </si>
  <si>
    <t>Study to Assess the Effect of OCT-598 in Patients With Advanced Solid Tumors</t>
  </si>
  <si>
    <t>NCT07142044</t>
  </si>
  <si>
    <t>Safety, Tolerability and Exploratory Efficacy of EC5026 in Parkinson's Disease (STEP Study)</t>
  </si>
  <si>
    <t>NCT07070349</t>
  </si>
  <si>
    <t>A Trial of HRS-6213 in Healthy Subjects and Patients With Solid Tumors</t>
  </si>
  <si>
    <t>NCT06724549</t>
  </si>
  <si>
    <t>The Effect of Food on the Pharmacokinetics of BN104 Tablets</t>
  </si>
  <si>
    <t>NCT07164833</t>
  </si>
  <si>
    <t>A Study to Evaluate the Efficacy and Safety of BX-001N in Preventing Cardiac Surgery-Associated Acute Kidney Injury (CSA-AKI) and Major Adverse Kidney Events (MAKE)</t>
  </si>
  <si>
    <t>NCT06752447</t>
  </si>
  <si>
    <t>A Phase I Study OfLNF2007 Monotherapy in Patients with Advanced Solid Tumors</t>
  </si>
  <si>
    <t>NCT07179575</t>
  </si>
  <si>
    <t>Study of LW231 in Participants With Chronic Hepatitis B</t>
  </si>
  <si>
    <t>NCT07339514</t>
  </si>
  <si>
    <t>A Phase I Clinical Study of ER2001 Injection for the Treatment of Early Manifest Huntington's Disease.</t>
  </si>
  <si>
    <t>NCT07400965</t>
  </si>
  <si>
    <t>Evaluation of the Safety and Efficacy of GLK-321 in Subjects With Demodex Blepharitis</t>
  </si>
  <si>
    <t>NCT06943833</t>
  </si>
  <si>
    <t>A Study of Volrustomig in Women With High Risk Locally Advanced Cervical Cancer (IVOLGA)</t>
  </si>
  <si>
    <t>NCT07161999</t>
  </si>
  <si>
    <t>Study of COYA 302 for the Treatment of ALS</t>
  </si>
  <si>
    <t>Coya Therapeutics</t>
  </si>
  <si>
    <t>NCT07052032</t>
  </si>
  <si>
    <t>An Open-label Study of CND261 in Seropositive Rheumatoid Arthritis</t>
  </si>
  <si>
    <t>NCT06905314</t>
  </si>
  <si>
    <t>A Single Ascending Dose of HRS-4029 in Healthy Subjects</t>
  </si>
  <si>
    <t>NCT07365904</t>
  </si>
  <si>
    <t>Investigating Ovulation Inhibition for Use as a Contraceptive</t>
  </si>
  <si>
    <t>NCT07160244</t>
  </si>
  <si>
    <t>BEATRIX: A Study to Learn About a Group B Streptococcus Vaccine in Healthy Pregnant Women and Their Babies</t>
  </si>
  <si>
    <t>NCT07005284</t>
  </si>
  <si>
    <t>A Study of LY3981314 in Healthy Participants</t>
  </si>
  <si>
    <t>NCT05484414</t>
  </si>
  <si>
    <t>Safety and Pharmacokinetics of SAD/MAD Oral Doses of SRP-3D (DA)</t>
  </si>
  <si>
    <t>South Rampart Pharma, LLC</t>
  </si>
  <si>
    <t>NCT07341152</t>
  </si>
  <si>
    <t>A Study Comparing LTG-001 SDD Formulation To LTG-001 Crystalline Immediate Release Tablets In Healthy Participants</t>
  </si>
  <si>
    <t>NCT06944444</t>
  </si>
  <si>
    <t>A Phase I Clinical Study of SSS59 Monotherapy in Patients With Advanced Malignant Tumors</t>
  </si>
  <si>
    <t>NCT06961201</t>
  </si>
  <si>
    <t>Nano-crystalline Megestrol Acetate Combined With Standard Treatment Versus Standard Treatment for First-line Extensive-stage Small Cell Lung Cancer in the Cachexia Phase</t>
  </si>
  <si>
    <t>NCT06970665</t>
  </si>
  <si>
    <t>A Study About the Safety of ASP3021 Eye Injections and if They Help People in Japan With Vision Loss From Age-related Macular Degeneration</t>
  </si>
  <si>
    <t>NCT07211607</t>
  </si>
  <si>
    <t>I.V. Selonabant in Healthy Adult Subjects</t>
  </si>
  <si>
    <t>NCT07066657</t>
  </si>
  <si>
    <t>A Study of MRG007 (ARR-217) in Patients With Advanced Solid Tumors</t>
  </si>
  <si>
    <t>NCT06783257</t>
  </si>
  <si>
    <t>Phase II Clinical Study of Vonorasan Fumarate Injection in the Treatment of Peptic Ulcer Bleeding</t>
  </si>
  <si>
    <t>NCT07073157</t>
  </si>
  <si>
    <t>Effect of HRS-8427 for Injection on the Pharmacokinetics of Furosemide and Metformin in Healthy Subjects。</t>
  </si>
  <si>
    <t>NCT07097701</t>
  </si>
  <si>
    <t>An Open-Label, Randomized, Cross-Over Study to Investigate the Efficacy and Safety of Mexiletine PR Compared to Mexiletine IR</t>
  </si>
  <si>
    <t>NCT06908434</t>
  </si>
  <si>
    <t>A Phase I First-in-Human Study of GenSci128 in Patients With Solid Tumors Harboring a TP53 Y220C Mutation</t>
  </si>
  <si>
    <t>NCT07140328</t>
  </si>
  <si>
    <t>Evaluation of the Safety and Efficacy of HSK39004 Dry Powder Inhaler and HSK39004 Inhalation Suspension in Chinese Patients With Chronic Obstructive Pulmonary Disease (COPD)</t>
  </si>
  <si>
    <t>NCT06103734</t>
  </si>
  <si>
    <t>A Study to Learn About Zavegepant as a Treatment for Multiple Migraine Attacks in Adult Participants</t>
  </si>
  <si>
    <t>NCT07071532</t>
  </si>
  <si>
    <t>A Study to Assess Adverse Events and How Oral ABBV-932 Moves Through the Body When Given With Oral Itraconazole in Healthy Adult Participants</t>
  </si>
  <si>
    <t>NCT07082192</t>
  </si>
  <si>
    <t>A Study to Evaluate the Efficacy and Safety of Different Doses of CB03-154 in Adult Patients With Amyotrophic Lateral Sclerosis (ALS)</t>
  </si>
  <si>
    <t>NCT07444164</t>
  </si>
  <si>
    <t>Comparative Bioavailability Study Between Ticagrelor and ASA Administered Individually or in Combination.</t>
  </si>
  <si>
    <t>NCT05082571</t>
  </si>
  <si>
    <t>Study to Evaluate the Safety and Efficacy of Oral Vadadustat in Pediatric Participants With Anemia of Chronic Kidney Disease</t>
  </si>
  <si>
    <t>NCT06957886</t>
  </si>
  <si>
    <t>A Study of BL-M07D1 Versus Investigator's Choice of Chemotherapy in Patients With HER2-low Recurrent/Metastatic Breast Cancer</t>
  </si>
  <si>
    <t>NCT06922357</t>
  </si>
  <si>
    <t>A Phase I/II of HRS-6719 in Patients With Advanced/Metastatic Solid Tumors</t>
  </si>
  <si>
    <t>NCT06864988</t>
  </si>
  <si>
    <t>4D-150 in Patients With Macular Neovascularization Secondary to Age-Related Macular Degeneration</t>
  </si>
  <si>
    <t>NCT07130383</t>
  </si>
  <si>
    <t>A Study of MHB036C Combined With MHB039A in Patients With Advanced Breast Cancer or Other Advanced Malignant Solid Tumors</t>
  </si>
  <si>
    <t>NCT07107256</t>
  </si>
  <si>
    <t>Clinical Trial of TQC2731 Injection in Patients With Chronic Sinusitis and Nasal Polyps</t>
  </si>
  <si>
    <t>NCT07187375</t>
  </si>
  <si>
    <t>Pharmacokinetics, Safety and Tolerability of Crinecerfont in Participants With Congenital Adrenal Hyperplasia Who Are Less Than 2 Years Old</t>
  </si>
  <si>
    <t>NCT07166081</t>
  </si>
  <si>
    <t>Evaluate the Pharmacokinetics, Pharmacodynamics, Safety and Tolerability of BGM0504 Tablets in Non-diabetic Overweight or Obese Adult Subjects</t>
  </si>
  <si>
    <t>NCT06875973</t>
  </si>
  <si>
    <t>Pelacarsen Roll-over Extension Program</t>
  </si>
  <si>
    <t>NCT07128654</t>
  </si>
  <si>
    <t>A Bioequivalence Study of CT-L02 Compared to Co-administration (CTL0201 and CTL0202) in Healthy Volunteers</t>
  </si>
  <si>
    <t>NCT06839066</t>
  </si>
  <si>
    <t>A Phase II Study to Evaluate HLX43 in Subjects With Recurrent/Metastatic Nasopharyngeal Carcinoma Failed or Intolerance to Second-line Therapy</t>
  </si>
  <si>
    <t>NCT07219602</t>
  </si>
  <si>
    <t>A Study to Evaluate the Effect of Obicetrapib/Ezetimibe 10 mg Fixed-Dose Combination or Obicetrapib 10 mg Daily on Top of Guideline-Recommended Lipid-Lowering Therapy in Participants With Type 2 Diabetes and/or Metabolic Syndrome</t>
  </si>
  <si>
    <t>NCT06812754</t>
  </si>
  <si>
    <t>A Study to Confirm if Fezolinetant Helps Reduce Hot Flashes in Chinese Women Going Through Menopause</t>
  </si>
  <si>
    <t>NCT07091929</t>
  </si>
  <si>
    <t>A Research Study to Evaluate the Safety and Preliminary Efficacy of SGC001 in Patients With Myocardial Infarction</t>
  </si>
  <si>
    <t>NCT07276672</t>
  </si>
  <si>
    <t>Efficacy of a Toothpaste Containing Hydrogen Peroxide as Compared to a Regular Fluoride Toothpaste Without Hydrogen Peroxide in the Immediate Removal of Tooth Stains After a Single Brushing.</t>
  </si>
  <si>
    <t>NCT07150975</t>
  </si>
  <si>
    <t>Phase III Clinical Study Comparing the Efficacy and Safety of GZR18 Injection and Semaglutide (Wegovy®) in Adult Obese or Overweight Subjects</t>
  </si>
  <si>
    <t>NCT06911502</t>
  </si>
  <si>
    <t>A Study to Compare the Efficacy and Safety of Golcadomide in Combination With Rituximab (Golca + R) vs Investigator's Choice in Participants With Relapsed/Refractory Follicular Lymphoma Who Have Received at Least 1 Prior Line of Systemic Therapy (GOLSEEK-4)</t>
  </si>
  <si>
    <t>NCT07343245</t>
  </si>
  <si>
    <t>A Phase 1 Clinical Trial to Evaluate the Safety and DDI of DW4421 and 3 NSAIDs</t>
  </si>
  <si>
    <t>NCT06788912</t>
  </si>
  <si>
    <t>Pembrolizumab (MK-3475) Plus Investigational Agents in Resectable Non-small Cell Lung Cancer (NSCLC) (MK-3475-01E/KEYMAKER-U01)</t>
  </si>
  <si>
    <t>NCT07390500</t>
  </si>
  <si>
    <t>Assessment of the Efficacy and Safety of a DYnaMic Peripheral DegradatiON Myopia Disorder Control in Myopic Children ״DYMOND Study״</t>
  </si>
  <si>
    <t>NovaSight</t>
  </si>
  <si>
    <t>NCT06890039</t>
  </si>
  <si>
    <t>A-TANGO Phase 2 Study</t>
  </si>
  <si>
    <t>Yaqrit Ltd</t>
  </si>
  <si>
    <t>NCT06677307</t>
  </si>
  <si>
    <t>A Phase 1/2a, Single- and Multiple-dose Escalation Study of KRRO-110</t>
  </si>
  <si>
    <t>Korro Bio, Inc.</t>
  </si>
  <si>
    <t>NCT07279636</t>
  </si>
  <si>
    <t>A Study to Evaluate Single Doses of Alpha-0261 in Healthy Adult Volunteers</t>
  </si>
  <si>
    <t>AlphaMol Science Ltd. (Shanghai)</t>
  </si>
  <si>
    <t>NCT06798207</t>
  </si>
  <si>
    <t>A Clinical Trial of TQB2102 for Injection in Gynecological Tumors With Recurrent/Metastatic Advanced</t>
  </si>
  <si>
    <t>NCT07314294</t>
  </si>
  <si>
    <t>Phase II Study of EMB-01 in Recurrent/Metastatic Colorectal Cancer Patients</t>
  </si>
  <si>
    <t>NCT07049939</t>
  </si>
  <si>
    <t>A Study of Bomedemstat (MK-3543) in Participants With Mild or Moderate Hepatic Impairment (MK-3543-023)</t>
  </si>
  <si>
    <t>NCT07112339</t>
  </si>
  <si>
    <t>A Research Study to See How Well Weekly Insulin Icodec Maintains Blood Sugar Levels Compared to Daily Basal Insulins in Adults With Type 2 Diabetes</t>
  </si>
  <si>
    <t>NCT07195175</t>
  </si>
  <si>
    <t>Study of MAR002 in Healthy Men</t>
  </si>
  <si>
    <t>NCT07035665</t>
  </si>
  <si>
    <t>A Clinical Study to Evaluate the Effect of Food on the Pharmacokinetic Profiles of HRS-5965 Capsules in Healthy Subjects</t>
  </si>
  <si>
    <t>NCT07035041</t>
  </si>
  <si>
    <t>A Phase 2 Study of D-2570 in Subjects With Moderately to Severely Active Ulcerative Colitis</t>
  </si>
  <si>
    <t>NCT07059000</t>
  </si>
  <si>
    <t>A Study Investigating Intravenous Human Normal Immunoglobulin 10% in Adults With Chronic Immune Thrombocytopenia (ITP)</t>
  </si>
  <si>
    <t>NCT07597772</t>
  </si>
  <si>
    <t>Preliminary Trial of SNA014 for Pancreatic Cancer</t>
  </si>
  <si>
    <t>NCT06970795</t>
  </si>
  <si>
    <t>A Study of SYS6040 for Injection in Patients With Advanced Solid Tumors</t>
  </si>
  <si>
    <t>NCT07301034</t>
  </si>
  <si>
    <t>A Research Study to Look at the Effect of Ziltivekimab on Plaque in the Blood Vessels of the Heart, Compared to Placebo, in People With a Heart Attack</t>
  </si>
  <si>
    <t>NCT07165951</t>
  </si>
  <si>
    <t>Clinical Trial Comparing TQB2868 Injection Combined With Anlotinib Hydrochloride Capsules With Placebo Combined With Chemotherapy as First-line Treatment for Metastatic Pancreatic Ductal Adenocarcinoma (mPDAC)</t>
  </si>
  <si>
    <t>NCT07044401</t>
  </si>
  <si>
    <t>A Single-dose Study to Investigate the Effect of Injection Site on KAI-9531 Relative Bioavailability in a Range of Body Mass Indices</t>
  </si>
  <si>
    <t>NCT06660719</t>
  </si>
  <si>
    <t>Efficacy and Safety of SP-8203 (Otaplimastat) in Patients With Acute Ischemic Stroke Receiving Thrombolytic Standard of Care</t>
  </si>
  <si>
    <t>NCT06867094</t>
  </si>
  <si>
    <t>A Study to Investigate Efficacy and Safety of SAR441566 in Patients With Ulcerative Colitis</t>
  </si>
  <si>
    <t>NCT07101939</t>
  </si>
  <si>
    <t>A Study of the Effect of (S)-Pindolol Benzoate (ACM-001.1) on Lean Body Mass (LBM) in Obese Patents During (PROACT 1), and Post-semaglutide Therapy (PROACT 2)</t>
  </si>
  <si>
    <t>NCT07104565</t>
  </si>
  <si>
    <t>Study to Assess the Safety and Tolerability of Tafasitamab in Adult Participants With Primary Autoimmune Blood Cell Disorders</t>
  </si>
  <si>
    <t>NCT07308236</t>
  </si>
  <si>
    <t>A Study to Determine the Metabolism and Excretion of [14C]E2086 in Healthy Male Participants</t>
  </si>
  <si>
    <t>NCT06941272</t>
  </si>
  <si>
    <t>A Study of Patritumab Deruxtecan in Pediatric Participants With Relapsed or Refractory Solid Tumors (MK-9999-01C/LIGHTBEAM-U01)</t>
  </si>
  <si>
    <t>NCT06813911</t>
  </si>
  <si>
    <t>Lp(a) Lowering Study of Pelacarsen (TQJ230) With Background Inclisiran in Participants With Elevated Lp(a) and Established ASCVD</t>
  </si>
  <si>
    <t>NCT07297329</t>
  </si>
  <si>
    <t>A Study to Evaluate the Safety and Efficacy of SCTC21C in Combination With Bortezomib, Lenalidomide and Dexamethasone in Patients With Newly Diagnosed Multiple Myeloma Not Eligible for Transplant</t>
  </si>
  <si>
    <t>NCT06963502</t>
  </si>
  <si>
    <t>A Phase Ib Study of HS-10370 in Addition to Other Anti-cancer Therapies in Patients With Advanced Solid Tumors</t>
  </si>
  <si>
    <t>NCT07059845</t>
  </si>
  <si>
    <t>A Study to Assess Adverse Events and Change in Disease Activity of Multiple Treatment Combinations With Intravenous Mirvetuximab Soravtansine in Adult Participants With Ovarian Cancer</t>
  </si>
  <si>
    <t>NCT07109609</t>
  </si>
  <si>
    <t>Topical Menthol For Tear Secretion</t>
  </si>
  <si>
    <t>Reinhold Vieth</t>
  </si>
  <si>
    <t>NCT07012395</t>
  </si>
  <si>
    <t>A Study of Long-acting Antibodies Alone and in Combinations for Moderate to Severe Ulcerative Colitis</t>
  </si>
  <si>
    <t>NCT06940401</t>
  </si>
  <si>
    <t>JS111 in Patients With Advanced NSCLC Harboring EGFR Mutations</t>
  </si>
  <si>
    <t>NCT07199777</t>
  </si>
  <si>
    <t>A Phase 2a Study to Evaluate the Safety, Tolerability, and Efficacy of SNP318 in DME Patients</t>
  </si>
  <si>
    <t>NCT04381130</t>
  </si>
  <si>
    <t>A Phase I/IIa Study of EF-009 in Patients with Pancreatic Cancer</t>
  </si>
  <si>
    <t>NCT07205198</t>
  </si>
  <si>
    <t>A Clinical Trial of SIBP-A10 Injection in the Treatment of Advanced Malignant Tumor Subjects.</t>
  </si>
  <si>
    <t>NCT07633873</t>
  </si>
  <si>
    <t>SYS6010 Combined With Enlonstobart Versus Immunotherapy+ Platinum-based Chemotherapy for Patients With PD-L1-Positive Locally Advanced or Metastatic NSCLC（SYNSTAR 04）</t>
  </si>
  <si>
    <t>NCT07660094</t>
  </si>
  <si>
    <t>Aglatimagene Besadenovec + Prodrug and Pembrolizumab vs Docetaxel for Stage IV Non-Squamous NSCLC Progressing on Pembrolizumab (AURORA)</t>
  </si>
  <si>
    <t>NCT07609875</t>
  </si>
  <si>
    <t>A Phase I Single and Multiple Dose Study to Evaluate the Safety, Pharmacokinetics, and Pharmacodynamics of HS-10522 in Healthy Chinese Participants and Chinese Participants With Mild Hypertension</t>
  </si>
  <si>
    <t>NCT07694557</t>
  </si>
  <si>
    <t>A Phase 1 Study to Evaluate the Safety, Reactogenicity and Immunogenicity of YKYY025 Injection</t>
  </si>
  <si>
    <t>Beijing Youcare Kechuang Pharmaceutical Technology Co., Ltd.</t>
  </si>
  <si>
    <t>NCT07172022</t>
  </si>
  <si>
    <t>A Study to Evaluate Crovalimab in People With Antiphospholipid Syndrome (APS)</t>
  </si>
  <si>
    <t>NCT07700953</t>
  </si>
  <si>
    <t>A Study to Evaluate the Effects of Low-Fat Meal, High-Fat Meal and Omeprazole Enteric-Coated Tablets on the Pharmacokinetics of ABSK-011 Capsules in Healthy Participants</t>
  </si>
  <si>
    <t>NCT07374419</t>
  </si>
  <si>
    <t>Atamparib in Patients With Advanced Solid Tumors</t>
  </si>
  <si>
    <t>Nerviano Medical Sciences (Shanghai) Ltd.</t>
  </si>
  <si>
    <t>NCT07345364</t>
  </si>
  <si>
    <t>A Phase I, Randomized, Double-Blind, Placebo-Controlled Study to Evaluate the Safety, Tolerability, and Pharmacokinetics of Single Ascending Doses of SIM0811 Injection in Healthy Chinese Adult Participants</t>
  </si>
  <si>
    <t>NCT07483437</t>
  </si>
  <si>
    <t>A Study of HS-20136-2 in Healthy Participants</t>
  </si>
  <si>
    <t>NCT07578571</t>
  </si>
  <si>
    <t>A Phase 1 Study of IM-1617 in Participants With Advanced Cancer</t>
  </si>
  <si>
    <t>NCT07269145</t>
  </si>
  <si>
    <t>A Phase I Clinical Study to Evaluate the Safety, Tolerability, Pharmacokinetics, and Preliminary Efficacy of TQB3122 Capsules in Subjects With Advanced Malignant Tumors</t>
  </si>
  <si>
    <t>NCT07733765</t>
  </si>
  <si>
    <t>A Study in Young People and Adults to Learn About the Medicine Ritlecitinib for Treatment of Patchy Hair Loss, Known by the Medical Term as Moderate Alopecia Areata</t>
  </si>
  <si>
    <t>NCT07288567</t>
  </si>
  <si>
    <t>A Study to Evaluate the Efficacy and Safety of KarXT for the Treatment of Schizophrenia in Adolescents (EMERGENT TEEN)</t>
  </si>
  <si>
    <t>NCT07405151</t>
  </si>
  <si>
    <t>A Clinical Trial of Ifinatamab Deruxtecan in People With Advanced Esophageal Cancer (MK-3475-06F)</t>
  </si>
  <si>
    <t>NCT07535307</t>
  </si>
  <si>
    <t>Investigating How NNC0487-0111 Regulates Insulin of Adults With Type 2 Diabetes</t>
  </si>
  <si>
    <t>NCT07439887</t>
  </si>
  <si>
    <t>Phase 1/2 Open-Label Dose-Escalation Study to Evaluate Safety of a Single Intravitreal Injection of RTx-021 in Patients With Stargardt Disease</t>
  </si>
  <si>
    <t>NCT07757152</t>
  </si>
  <si>
    <t>Phase I Clinical Study of ZL-65 Tablet in Healthy Adult Participants in China</t>
  </si>
  <si>
    <t>NCT07325292</t>
  </si>
  <si>
    <t>Non-inferiority Study of Frexalimab Subcutaneous Administration Compared to Intravenous Administration in Adult Participants With Multiple Sclerosis</t>
  </si>
  <si>
    <t>NCT07535099</t>
  </si>
  <si>
    <t>Study of the Safety, Tolerability, Pharmacokinetics, and Pharmacodynamics of ICP-538 in Healthy Subjects</t>
  </si>
  <si>
    <t>NCT07641140</t>
  </si>
  <si>
    <t>Phase I/II Clinical Study to Evaluate the Safety, Tolerability and Efficacy of LY-M003 Injection in Adult Patients With Wilson's Disease</t>
  </si>
  <si>
    <t>NCT07518147</t>
  </si>
  <si>
    <t>A Study Comparing BL-M05D1 With the Investigator's Choice of Treatment Regimen in Patients With Claudin (CLDN)18.2-Positive Advanced Gastric Cancer or Gastroesophageal Junction Adenocarcinoma (GC/GEJC) Who Have Received Prior First-Line Treatment</t>
  </si>
  <si>
    <t>NCT07526506</t>
  </si>
  <si>
    <t>Study of TRX-100 Evaluating the Safety, Pharmacokinetics, and Food Effect in Healthy Volunteers</t>
  </si>
  <si>
    <t>NCT07581184</t>
  </si>
  <si>
    <t>A Study of [225Ac]Ac-AKY-2519 in Patients With Metastatic Castration-Resistant Prostate Cancer</t>
  </si>
  <si>
    <t>NCT07358156</t>
  </si>
  <si>
    <t>A Study to Compare the Pharmacokinetics, Pharmacodynamic, Immunogenicity, and Safety of CKD-706 With US-Dupixent®, and EU-Dupixent® in Healthy Adult Participants.</t>
  </si>
  <si>
    <t>NCT07645222</t>
  </si>
  <si>
    <t>PHASE 1b STUDY OF HS-20122 COMBINED THERAPY IN NSCLC</t>
  </si>
  <si>
    <t>NCT07509151</t>
  </si>
  <si>
    <t>Surovatamig as Consolidation Therapy in Participants With Chronic Lymphocytic Leukaemia or Small Lymphocytic Lymphoma With Unmutated Immunoglobulin Heavy Chain Variable (IGHV)</t>
  </si>
  <si>
    <t>NCT07462819</t>
  </si>
  <si>
    <t>A Study to Evaluate the Safety and Tolerability of Intravenous Stemis™ in Elderly Subjects With Mild to Moderate Frailty Syndrome</t>
  </si>
  <si>
    <t>Ji Yan Biomedical Co., Ltd.</t>
  </si>
  <si>
    <t>NCT07348237</t>
  </si>
  <si>
    <t>A Clinical Trial of MK-2828 in People With Kidney Disease (MK-2828-006)</t>
  </si>
  <si>
    <t>NCT07480954</t>
  </si>
  <si>
    <t>Dual-Targeting CAR-NK Cells for Recurrent Ovarian Cancer (MSLN, FRα, MUC16)</t>
  </si>
  <si>
    <t>Beijing Biotech</t>
  </si>
  <si>
    <t>NCT07684157</t>
  </si>
  <si>
    <t>A Phase IIa Study of JAB-8263 in Patients With Active Rheumatoid Arthritis</t>
  </si>
  <si>
    <t>NCT07380386</t>
  </si>
  <si>
    <t>SKB105 for Injection in Advanced Solid Tumors</t>
  </si>
  <si>
    <t>NCT07277231</t>
  </si>
  <si>
    <t>A Study to Investigate Sonrotoclax (BGB-11417) Plus Zanubrutinib (BGB-3111) Compared With Venetoclax Plus Acalabrutinib in Adults With Previously Untreated Chronic Lymphocytic Leukemia</t>
  </si>
  <si>
    <t>NCT07629557</t>
  </si>
  <si>
    <t>Evaluate the Safety and Feasibility of Same-Day Bilateral Epithelium-On Corneal Cross-Linking for Keratoconus</t>
  </si>
  <si>
    <t>NCT07678957</t>
  </si>
  <si>
    <t>A Study Comparing BL-M07D1 With DS-8201 in Patients With HR-Positive, HER2-Low Expressing Recurrent/Metastatic Breast Cancer</t>
  </si>
  <si>
    <t>NCT07717346</t>
  </si>
  <si>
    <t>A Study to Investigate Safety and Efficacy of KB111 for the Treatment of Hailey-Hailey Disease</t>
  </si>
  <si>
    <t>NCT07285070</t>
  </si>
  <si>
    <t>Tacrolimus Ophthalmic Solution for the Treatment of Non-infectious Anterior Uveitis</t>
  </si>
  <si>
    <t>NCT07668466</t>
  </si>
  <si>
    <t>Intradiscal rhGDF-6 for the Treatment of Lumbar Disc Degeneration</t>
  </si>
  <si>
    <t>Cartago Biotech Pty Ltd</t>
  </si>
  <si>
    <t>NCT07387094</t>
  </si>
  <si>
    <t>A Study of XW003 in Obese Participants With Obstructive Sleep Apnea But Not Receive Positive Airway Pressure Therapy</t>
  </si>
  <si>
    <t>NCT07131722</t>
  </si>
  <si>
    <t>Study to Determine Optimal Dose, Evaluate the Efficacy and Safety of PRG-N-01 in Patients With Neurofibromatosis Type II</t>
  </si>
  <si>
    <t>NCT07612137</t>
  </si>
  <si>
    <t>Study of IBI3005 Combination Therapy in Participants With Unresectable, Locally Advanced or Metastatic Solid Tumors</t>
  </si>
  <si>
    <t>NCT07346495</t>
  </si>
  <si>
    <t>A Study of Remternetug (LY3372993) in Healthy Chinese Participants</t>
  </si>
  <si>
    <t>NCT07448623</t>
  </si>
  <si>
    <t>A Research Study to Look at the Distribution and Effects of Coramitug on Amyloid Deposits in Heart Tissue Using PET/CT Imaging in People With ATTR Amyloidosis.</t>
  </si>
  <si>
    <t>NCT07726368</t>
  </si>
  <si>
    <t>Study of ECC4703 With Sulfasalazine and Pitavastatin</t>
  </si>
  <si>
    <t>NCT07269782</t>
  </si>
  <si>
    <t>A Phase II Study to Evaluate the Efficacy and Safety of HLX43 + Serplulimab as Neoadjuvant Therapy in Subjects With NSCLC</t>
  </si>
  <si>
    <t>NCT07660796</t>
  </si>
  <si>
    <t>A Study to Evaluate Efficacy and Safety of HCP1803-4 in Patients With Essential Hypertension</t>
  </si>
  <si>
    <t>NCT07397468</t>
  </si>
  <si>
    <t>To studyJUV-161 Administered to Healthy Volunteers Undergoing Unilateral Lower Limb Immobilization (ULLI)</t>
  </si>
  <si>
    <t>NCT07603050</t>
  </si>
  <si>
    <t>A Phase I/II Clinical Study to Evaluate the Safety and Efficacy of VGN-R08b in Patients With Type III Gaucher's Disease</t>
  </si>
  <si>
    <t>NCT07313891</t>
  </si>
  <si>
    <t>A Study of Adjuvant NDV-01 (Sustained-release Gemcitabine-docetaxel) for the Treatment of Intermediate Risk NMIBC Following TURBT</t>
  </si>
  <si>
    <t>NCT07647224</t>
  </si>
  <si>
    <t>A Clinical Trial of Multiple Doses of GR2301 Injection in Healthy Adult Trial Participants in China.</t>
  </si>
  <si>
    <t>NCT07216235</t>
  </si>
  <si>
    <t>Long-Term Study to Evaluate the Safety and Efficacy in Participants With Primary Biliary Cholangitis of Saroglitazar Magnesium-V on Clinical Outcomes</t>
  </si>
  <si>
    <t>NCT07503210</t>
  </si>
  <si>
    <t>AMAZE 12: A Research Study Investigating How Well the Medicine NNC0487-0111 Helps People With Excess Body Weight Maintain Their Weight Loss</t>
  </si>
  <si>
    <t>NCT07623369</t>
  </si>
  <si>
    <t>A First-in-Human Study of HH160 in Patients With Advanced Solid Tumors</t>
  </si>
  <si>
    <t>NCT07658183</t>
  </si>
  <si>
    <t>A Clinical Trial Comparing the Efficacy and Safety of Different Doses of BL0175 Injection in Treating Postmenopausal Hormone Receptor-Positive, Human Epidermal Growth Factor Receptor 2-Negative Locally Advanced or Metastatic Breast Cancer</t>
  </si>
  <si>
    <t>NCT07393282</t>
  </si>
  <si>
    <t>A Study to Compare Linvoseltamab and Daratumumab Treatment in High-Risk Smoldering Multiple Myeloma (HR-SMM)</t>
  </si>
  <si>
    <t>NCT07684586</t>
  </si>
  <si>
    <t>A Study to Investigate the Difference In Blood Levels of Camlipixant Between Different Camlipixant Formulation Prototypes</t>
  </si>
  <si>
    <t>NCT07487545</t>
  </si>
  <si>
    <t>Safety, Tolerability, Pharmacokinetics, Pharmacodynamics and Immunogenicity of SSS67 in Healthy Adult Participants Via Single Intravenous Infusion</t>
  </si>
  <si>
    <t>NCT07474545</t>
  </si>
  <si>
    <t>A Study to Evaluate the Safety, Tolerability and Pharmacokinetics of KL0011034 Injection in Healthy Volunteers</t>
  </si>
  <si>
    <t>NCT07479745</t>
  </si>
  <si>
    <t>Study to Assess the Mass Balance Recovery, Metabolite Profile and Metabolite Identification of [14C]GRT6019</t>
  </si>
  <si>
    <t>NCT07321106</t>
  </si>
  <si>
    <t>A Study to Investigate the Safety, Tolerability, Pharmacokinetics, and Anti-tumor Activity of CBI-1214 T Cell Engager in Participants With Advanced or Metastatic MSS/MSI-L Colorectal Cancer</t>
  </si>
  <si>
    <t>Cartography Biosciences</t>
  </si>
  <si>
    <t>NCT07502495</t>
  </si>
  <si>
    <t>Phase 2 Trial of Icovamenib in Participants With Type 2 Diabetes Who Are Not Achieving Glycemic Targets</t>
  </si>
  <si>
    <t>NCT07433387</t>
  </si>
  <si>
    <t>Exploratory Study of LP-98 for Injection in ART-Naive HIV-Infected Individuals</t>
  </si>
  <si>
    <t>NCT07018206</t>
  </si>
  <si>
    <t>Impact Of Upadacitinib On The Frequency Of Acute Recurrent Anterior Uveitis In Patients With Axial Spondyloarthritis</t>
  </si>
  <si>
    <t>NCT07484204</t>
  </si>
  <si>
    <t>Evaluate Pharmacokinetics, Safety, and Tolerability of AX251 LAI in Patients With Schizophrenia</t>
  </si>
  <si>
    <t>Anxo Pharmaceutical Co., Ltd.</t>
  </si>
  <si>
    <t>NCT07646587</t>
  </si>
  <si>
    <t>A Study of WIN378 in Participants With Moderate to Severe COPD (Sirius)</t>
  </si>
  <si>
    <t>NCT07501832</t>
  </si>
  <si>
    <t>Evaluate the Efficacy and Safety of GZR18 Injection in Obese Subjects With Obstructive Sleep Apnea Receiving Positive Airway Pressure (PAP) Therapy</t>
  </si>
  <si>
    <t>NCT07330778</t>
  </si>
  <si>
    <t>A Study of CDX-622 in Participants With Mild to Moderate Asthma</t>
  </si>
  <si>
    <t>NCT07547436</t>
  </si>
  <si>
    <t>A Study to Access Activity and Safety With SAR445399 Compared With Placebo in Participants Aged 18 to 80 Years of Age With Non-Cystic Fibrosis Bronchiectasis</t>
  </si>
  <si>
    <t>NCT07624214</t>
  </si>
  <si>
    <t>Study of LT-010391 in Participants With KRAS G12D-Mutant Solid Tumors</t>
  </si>
  <si>
    <t>NCT07692204</t>
  </si>
  <si>
    <t>A Dose Optimization/Expansion Study of SAR445877 in Adult Chinese Participants With Advanced Gastric or Gastroesophageal Junction Cancer</t>
  </si>
  <si>
    <t>NCT07444684</t>
  </si>
  <si>
    <t>A Study to Evaluate SHR-1139 Injection in Patients With Pyoderma Gangrenosum</t>
  </si>
  <si>
    <t>NCT07553663</t>
  </si>
  <si>
    <t>Evaluating the Pharmacokinetics and Safety of Miricorilant</t>
  </si>
  <si>
    <t>NCT07414316</t>
  </si>
  <si>
    <t>A Single-Arm, Open-Label Clinical Study GK01 Cell Injection in Subjects With Advanced Solid Tumors.</t>
  </si>
  <si>
    <t>NCT07498426</t>
  </si>
  <si>
    <t>A Study to Evaluate the Efficacy of NIO752 in Participants With Progressive Supranuclear Palsy</t>
  </si>
  <si>
    <t>NCT07606950</t>
  </si>
  <si>
    <t>Phase III Study of HRS-5635 in Nucleos(t)Ide Analogue-suppressed HBeAg-negative Patients With Chronic Hepatitis B</t>
  </si>
  <si>
    <t>NCT07579949</t>
  </si>
  <si>
    <t>A Study of SNH-119014 in Adult Participants With Non-transfusion-dependent Thalassemia (NTDT)</t>
  </si>
  <si>
    <t>NCT07455578</t>
  </si>
  <si>
    <t>Study of S-4321 in Participants With an Autoimmune or Immune-mediated Disease</t>
  </si>
  <si>
    <t>NCT06648850</t>
  </si>
  <si>
    <t>Clinical Study of DA-001 as a Treatment for Hair Shedding Reduction and Hair Re-Growth</t>
  </si>
  <si>
    <t>NCT07024706</t>
  </si>
  <si>
    <t>Phase 2 Study of Disease Risk Mutation-Guided Finite Acalabrutinib+Venetoclax for Relapsed CLL Post-1L Finite cBTKi+BCL2i ± Obinutuzumab</t>
  </si>
  <si>
    <t>NCT07710248</t>
  </si>
  <si>
    <t>SG301-SC Injection Safety Study in Subjects With Primary ITP Patients</t>
  </si>
  <si>
    <t>NCT07565285</t>
  </si>
  <si>
    <t>The Efficacy and Safety of PRTX007-003 Combined With Pembrolizumab in Resectable Stage III Melanoma</t>
  </si>
  <si>
    <t>Primmune Therapeutics, Inc.</t>
  </si>
  <si>
    <t>NCT07230834</t>
  </si>
  <si>
    <t>Intravitreal (IVT) Pozelimab for Geographic Atrophy (GA) in Adult Participants</t>
  </si>
  <si>
    <t>NCT07625293</t>
  </si>
  <si>
    <t>DB-3Q for the Treatment of Medically Refractory Crohn's Disease</t>
  </si>
  <si>
    <t>NCT07220616</t>
  </si>
  <si>
    <t>A First-in-Human Trial of DS3790a in Participants With Hematological Malignancies</t>
  </si>
  <si>
    <t>NCT07395258</t>
  </si>
  <si>
    <t>A Study to Test Different Doses of BI 3923948 Alone and in Combination With an Anti-PD-1 Antibody in People With Different Types of Advanced Cancer (Solid Tumors)</t>
  </si>
  <si>
    <t>NCT07715149</t>
  </si>
  <si>
    <t>A Pharmacokinetic Study of D-2570 in Participants With Hepatic Impairment and Normal Hepatic Function</t>
  </si>
  <si>
    <t>NCT07734064</t>
  </si>
  <si>
    <t>A Study About the Safety of a Single ASP2020 Eye Injection and if it Helps People With Vision Loss From Stargardt-type Eye Conditions</t>
  </si>
  <si>
    <t>Astellas Institute for Regenerative Medicine</t>
  </si>
  <si>
    <t>NCT07731685</t>
  </si>
  <si>
    <t>A Phase Ib, Randomized, Double-Blind, Placebo-Controlled Study to Evaluate the Safety and Efficacy of VC004 Capsules for Pain in Bone Metastases</t>
  </si>
  <si>
    <t>NCT07286149</t>
  </si>
  <si>
    <t>A Clinical Study of MK-1084 With Other Treatments for Non-small Cell Lung Cancer (MK-3475-01F)</t>
  </si>
  <si>
    <t>NCT07210515</t>
  </si>
  <si>
    <t>Evaluation of IV AMBTX-01 (Neridronate) for Treatment of CRPS Type 1 (CRPS-RISE)</t>
  </si>
  <si>
    <t>Ambros Therapeutics, Inc.</t>
  </si>
  <si>
    <t>NCT07541534</t>
  </si>
  <si>
    <t>A Phase I Clinical Study of HLX316 in Participants With Advanced/Metastatic Solid Tumors</t>
  </si>
  <si>
    <t>NCT07701993</t>
  </si>
  <si>
    <t>A Pivotal Clinical Study to Investigate the Safety and Efficacy of Efimosfermin Compared With Placebo in Adult Participants With Compensated Cirrhosis Due to Metabolic Dysfunction-associated Steatohepatitis (MASH)</t>
  </si>
  <si>
    <t>NCT07584304</t>
  </si>
  <si>
    <t>Bioequivalence Study Between YHP2508C and YHR2603 in Healthy Subjects</t>
  </si>
  <si>
    <t>NCT07499115</t>
  </si>
  <si>
    <t>Efficacy of a Toothpaste in Reducing Plaque, Gingivitis, and Gingival Bleeding</t>
  </si>
  <si>
    <t>NCT07398417</t>
  </si>
  <si>
    <t>Fibromyalgia Response With Esreboxetine Evaluated Using a Randomized Withdrawal Research Design</t>
  </si>
  <si>
    <t>NCT07403968</t>
  </si>
  <si>
    <t>A Study of Zasocitinib (TAK-279) in Adults With Active Crohn's Disease</t>
  </si>
  <si>
    <t>NCT07525141</t>
  </si>
  <si>
    <t>A Study of JNJ-1761981 in Participants With Solid Tumors</t>
  </si>
  <si>
    <t>NCT07499362</t>
  </si>
  <si>
    <t>Study of Pimicotinib in Japanese Participants With Tenosynovial Giant Cell Tumor (TGCT) (J-MANEUVER)</t>
  </si>
  <si>
    <t>NCT07756996</t>
  </si>
  <si>
    <t>Evaluation of Bioequivalence and Food Effect of a New Strength Formulation of Ammoxetine Hydrochloride Enteric-coated Tablets in Healthy Participants.</t>
  </si>
  <si>
    <t>NCT07483970</t>
  </si>
  <si>
    <t>A Phase I/II Study of JL19001 Injection Alone or in Combination With BCG in Subjects With High Risk Non-Muscle Invasive Bladder Cancer.</t>
  </si>
  <si>
    <t>NCT07449741</t>
  </si>
  <si>
    <t>Phase I Study of HXN6005 in Adult Healthy Participants</t>
  </si>
  <si>
    <t>NCT07431827</t>
  </si>
  <si>
    <t>MK-3475A±Calderasib (MK-1084) in Completely Resected Stage IIA-IIIB (N2) KRAS G12Cm NSCLC (MK-1084-013)</t>
  </si>
  <si>
    <t>NCT07617194</t>
  </si>
  <si>
    <t>Study of AHB-171 in Chronic Hepatitis B Participants</t>
  </si>
  <si>
    <t>NCT05570422</t>
  </si>
  <si>
    <t>A Study to Evaluate the Safety, Tolerability, Preliminary Efficacy of KRC-01</t>
  </si>
  <si>
    <t>Kortuc, Inc.</t>
  </si>
  <si>
    <t>NCT07654829</t>
  </si>
  <si>
    <t>Safety and Effectiveness of Sebetralstat (KVD900) for Short-Term Prophylaxis Before Procedures in People With Hereditary Angioedema (KONTROL)</t>
  </si>
  <si>
    <t>NCT07660848</t>
  </si>
  <si>
    <t>A Study of HRS-4729 Injection and HRS9531 Injection in Participants With Metabolic Dysfunction-Associated Steatohepatitis</t>
  </si>
  <si>
    <t>NCT06241560</t>
  </si>
  <si>
    <t>A Study in People With Idiopathic Pulmonary Fibrosis to Test Whether Pirfenidone Influences the Amount of BI 1015550 in the Blood</t>
  </si>
  <si>
    <t>NCT07488923</t>
  </si>
  <si>
    <t>A First-in-human (FIH), Phase 1 Study of ML261, an Autologous Potency Enhanced Anti-DLL3 CAR T Cell Therapy, in Participants With R/R SCLC or Select NECs (SPECTRAL-1)</t>
  </si>
  <si>
    <t>Moonlight Bio, Inc</t>
  </si>
  <si>
    <t>NCT07577843</t>
  </si>
  <si>
    <t>A Study of JNJ-78934804 in Participants With Moderately to Severely Active Crohn's Disease</t>
  </si>
  <si>
    <t>NCT07712640</t>
  </si>
  <si>
    <t>A Study to Investigate the Relative Bioavailability of 2 Tablet Formulations and the Effect of Food on the Pharmacokinetics of BGB-58067 in Healthy Participants</t>
  </si>
  <si>
    <t>NCT07525791</t>
  </si>
  <si>
    <t>A Research Study Looking Into How NNC0662-0419 Works With Birth Control Pills and Emptying of the Stomach in Women Not Able to Become Pregnant With Excess Body Weight</t>
  </si>
  <si>
    <t>NCT07449390</t>
  </si>
  <si>
    <t>Drug-drug Interaction Trial of AP31969 and Carbamazepine or Itraconazole</t>
  </si>
  <si>
    <t>NCT07335497</t>
  </si>
  <si>
    <t>CR-001 in Adult Participants With Locally Advanced or Metastatic Solid Tumors</t>
  </si>
  <si>
    <t>Crescent Biopharma, Inc.</t>
  </si>
  <si>
    <t>NCT07646613</t>
  </si>
  <si>
    <t>Study Evaluating the Efficacy, Safety, and Tolerability of ASY202 (Dihydroergotamine Mesylate [DHE] Inhalation Powder Delivered Via a Multidose Dry Powder Inhaler) for the Acute Treatment of Migraine in Adult Patients</t>
  </si>
  <si>
    <t>Aspeya, Inc.</t>
  </si>
  <si>
    <t>NCT07527923</t>
  </si>
  <si>
    <t>First-in-Human Trial to Assess REGN20423 in Healthy Adult Participants and Adult Participants With Atopic Dermatitis</t>
  </si>
  <si>
    <t>NCT07527195</t>
  </si>
  <si>
    <t>Understanding the Effect of CagriSema, Cagrilintide, and Semaglutide on Muscle Health (Role of Amylin Signature in Muscle Health)</t>
  </si>
  <si>
    <t>NCT07548606</t>
  </si>
  <si>
    <t>A Drug-Drug Interaction Study of Itraconazole and Opevesostat (MK-5684) in Healthy Adult Male Participants (MK-5684-017)</t>
  </si>
  <si>
    <t>NCT07493512</t>
  </si>
  <si>
    <t>Trial of Xaluritamig in Adults With Metastatic Castration-resistant Prostate Cancer</t>
  </si>
  <si>
    <t>NCT07203898</t>
  </si>
  <si>
    <t>A Study of IPM514 in Patients With Esophageal Squamous Cell Carcinoma.</t>
  </si>
  <si>
    <t>Beijing Immupeutics Medicine Technology Limited</t>
  </si>
  <si>
    <t>NCT07498647</t>
  </si>
  <si>
    <t>Clinical Trial of BR2251 Tablets for Patients With Primary Gout and Hyperuricemia</t>
  </si>
  <si>
    <t>NCT07662148</t>
  </si>
  <si>
    <t>A Study to Learn More About the Safety of a Single Dose of BIIB144 and How it is Processed in the Body of Healthy Adult Participants Ages 18 to 55 Years Old as Compared to a Placebo</t>
  </si>
  <si>
    <t>NCT07416604</t>
  </si>
  <si>
    <t>A Clinical Study to Evaluate the Effects of NXT007 Compared to Emicizumab Prophylaxis in People With Hemophilia A</t>
  </si>
  <si>
    <t>NCT07192952</t>
  </si>
  <si>
    <t>A Study to Learn More About How Safe Finerenone is, When it is Taken for a Longer Time With Standard Treatment, in Children and Young Adults With Heart Failure and Left Ventricular Systolic Dysfunction</t>
  </si>
  <si>
    <t>NCT07560449</t>
  </si>
  <si>
    <t>QLS4131 Combination Therapy in Malignant Plasma Cell Neoplasms</t>
  </si>
  <si>
    <t>NCT07691606</t>
  </si>
  <si>
    <t>A Study of ARC-02 in B-cell NHL</t>
  </si>
  <si>
    <t>NCT07614958</t>
  </si>
  <si>
    <t>Phase 3 Clinical Study Evaluating Efficacy, Safety, and Tolerability of Obicetrapib Vs Bempedoic Acid to Treat Dyslipidemia in Adults With Primary Non-familial Hypercholesterolemia or Mixed Dyslipidemia at High to Very High Cardiovascular Risk, During a Treatment Period of Approximately 84 Days</t>
  </si>
  <si>
    <t>A. Menarini International Licensing S.A.</t>
  </si>
  <si>
    <t>NCT07441252</t>
  </si>
  <si>
    <t>A Trial to Evaluate Efficacy and Safety of Maridebart Cafraglutide in Adults Living With Elevated Liver Fat and Obesity or Overweight</t>
  </si>
  <si>
    <t>NCT07511816</t>
  </si>
  <si>
    <t>A Study of LY4515100 in Participants With Pain Following Third Molar Removal</t>
  </si>
  <si>
    <t>NCT07530198</t>
  </si>
  <si>
    <t>HIV Therapeutic DNA Vaccine (ICVAX) Phase I Clinical Trial in Hong Kong</t>
  </si>
  <si>
    <t>NCT07662798</t>
  </si>
  <si>
    <t>A Study of Food Effect on Tersolisib (LY4064809) in Healthy Participants</t>
  </si>
  <si>
    <t>NCT07342478</t>
  </si>
  <si>
    <t>ROCKET-CLL Global Phase 3 Study: Rocbrutinib vs Pirtobrutinib in cBTKi-Pretreated R/R CLL/SLL</t>
  </si>
  <si>
    <t>NCT07519564</t>
  </si>
  <si>
    <t>A Phase I Clinical Study to Evaluate the Efficacy and Safety of GB18 Injection in Patients With Tumor Cachexia</t>
  </si>
  <si>
    <t>NCT07195916</t>
  </si>
  <si>
    <t>A Study to Evaluate INCA036873 in Participants With Advanced Solid Tumors and Hematological Malignancies</t>
  </si>
  <si>
    <t>NCT07672236</t>
  </si>
  <si>
    <t>A Clinical Study to Compare BupiZenge With Lidocaine for Pain Due to Oral Mucositis in Patients With Head and Neck Cancer.</t>
  </si>
  <si>
    <t>OncoZenge AB</t>
  </si>
  <si>
    <t>NCT07541287</t>
  </si>
  <si>
    <t>A Study of JADE101 in Participants With Immunoglobulin A Nephropathy</t>
  </si>
  <si>
    <t>NCT07677358</t>
  </si>
  <si>
    <t>A Study to Learn How the Study Medicine Called Atirmociclib is Handled by the Body in People With Normal Liver Function and Different Levels of Liver Disease</t>
  </si>
  <si>
    <t>NCT07625384</t>
  </si>
  <si>
    <t>Study of the Efficacy and Safety of Goflikicept and Olokizumab as the Second-line Therapy in Patients With Still's Disease</t>
  </si>
  <si>
    <t>NCT07358585</t>
  </si>
  <si>
    <t>A Phase Ib/II Study to Evaluate HLX43 Combined With HLX07 or Serplulimab in Patients With Advanced or Metastatic Colorectal Cancer</t>
  </si>
  <si>
    <t>NCT07227285</t>
  </si>
  <si>
    <t>Long-term Follow-up Study of Patients Who Received EG110A, a Non-replicative Herpes Simplex Virus 1-derived Gene Therapy</t>
  </si>
  <si>
    <t>Cyllene Therapeutics</t>
  </si>
  <si>
    <t>NCT07479615</t>
  </si>
  <si>
    <t>A Study to Evaluate the Efficacy and Safety of MG-K10 in Participants Who Have Atopic Dermatitis</t>
  </si>
  <si>
    <t>NCT07367971</t>
  </si>
  <si>
    <t>Drug-Drug Interaction Study of ABP-671 in Gout Patients</t>
  </si>
  <si>
    <t>NCT07469085</t>
  </si>
  <si>
    <t>A Clinical Trial to Evaluate the Safety, Tolerability, Pharmacokinetics and Pharmacodynamics of SV003 in Healthy Participants.</t>
  </si>
  <si>
    <t>NCT07499232</t>
  </si>
  <si>
    <t>A Study of Guselkumab Versus Risankizumab in Participants With Moderately to Severely Active Crohn's Disease</t>
  </si>
  <si>
    <t>NCT07527858</t>
  </si>
  <si>
    <t>Study of Denikitug (GS-1811) Given Alone or With Nivolumab or With Chemotherapy in Adults With Advanced Colorectal Cancer</t>
  </si>
  <si>
    <t>NCT07558278</t>
  </si>
  <si>
    <t>LINQ® Procedure vs. Conventional Medical Management for Sacroiliac Dysfunction</t>
  </si>
  <si>
    <t>PainTEQ, LLC</t>
  </si>
  <si>
    <t>NCT07235293</t>
  </si>
  <si>
    <t>A Study to Test DSP107 in Combination With Atezolizumab in Comparison With Fruquintinib as a New Treatment for Colorectal Cancer.</t>
  </si>
  <si>
    <t>Kahr Bio Australia Pty Ltd</t>
  </si>
  <si>
    <t>NCT07483099</t>
  </si>
  <si>
    <t>A Study of LY4395089 and Mirikizumab (LY3074828) Given Together and Mirikizumab (Alone) in Adults With Crohn's Disease</t>
  </si>
  <si>
    <t>NCT07580898</t>
  </si>
  <si>
    <t>Safety of MOON101 for the Treatment of Peanut Allergy</t>
  </si>
  <si>
    <t>Moonlight Therapeutics, Inc.</t>
  </si>
  <si>
    <t>NCT07445906</t>
  </si>
  <si>
    <t>A Study of RG002C0106 Injection in Adult Participants With Normal Renal Function and Mild-to-Moderate Renal Impairment</t>
  </si>
  <si>
    <t>NCT07414784</t>
  </si>
  <si>
    <t>A Study of ABBV-295 Subcutaneous Injections to Assess Pharmacokinetics and Adverse Events in Healthy Adult Women Participants With Overweight or Obesity Taking Oral Contraceptives</t>
  </si>
  <si>
    <t>NCT07604285</t>
  </si>
  <si>
    <t>A Phase 1/2 Study of Safety and Tolerability of MT-125 With Chemoradiation in Patients With Newly Diagnosed MGMT Methylated Glioblastoma</t>
  </si>
  <si>
    <t>Myosin Therapeutics Inc.</t>
  </si>
  <si>
    <t>NCT06995625</t>
  </si>
  <si>
    <t>The STem Cell-derived Extracellular Vesicle Therapy In Acute Ischemic Stroke (STEVIA)</t>
  </si>
  <si>
    <t>S&amp;Ebio Co. Ltd.</t>
  </si>
  <si>
    <t>NCT07586618</t>
  </si>
  <si>
    <t>First-in-human Study of a New Treatment (4A10) for Patients With Relapsed or Hard-to-treat Acute Lymphoblastic Leukemia or Lymphoblastic Lymphoma, Focused on Safety and How the Drug Behaves in the Body and Early Signs of Effect.</t>
  </si>
  <si>
    <t>Allterum Therapeutics, Inc</t>
  </si>
  <si>
    <t>NCT07497074</t>
  </si>
  <si>
    <t>JSKN033 Combination Therapy in Subjects With Advanced Cervical Cancer</t>
  </si>
  <si>
    <t>NCT07636811</t>
  </si>
  <si>
    <t>A Study to Evaluate Mivelsiran in Adult Participants With Early-Stage Down Syndrome-Associated Alzheimer's Disease (DS-AD)</t>
  </si>
  <si>
    <t>NCT07270432</t>
  </si>
  <si>
    <t>Efficacy/ Safety of Product DNN.65.21.005 in Patients With Benign Prostatic Hyperplasia</t>
  </si>
  <si>
    <t>NCT07338266</t>
  </si>
  <si>
    <t>Study to Assess the Safety and Pharmacokinetics of AVD275 Injection in Patients With Osteoarthritis of the Knee</t>
  </si>
  <si>
    <t>Avidence Therapeutics</t>
  </si>
  <si>
    <t>NCT07570862</t>
  </si>
  <si>
    <t>A Phase 2, Open-Label, Single-Arm Trial of FT819 in Participants With Lupus Nephritis</t>
  </si>
  <si>
    <t>NCT07589205</t>
  </si>
  <si>
    <t>Study of IBI3028 in Participants With Locally Advanced, Unresectable, or Metastatic Solid Tumors</t>
  </si>
  <si>
    <t>NCT07401121</t>
  </si>
  <si>
    <t>Safety and Tolerability Study of CTx1000 In Participants With Amyotrophic Lateral Sclerosis</t>
  </si>
  <si>
    <t>Celosia Therapeutics Pty Ltd</t>
  </si>
  <si>
    <t>NCT07475806</t>
  </si>
  <si>
    <t>A Study to Find Out if Enfortumab Vedotin Given With Pembrolizumab Helps People With Muscle-invasive Bladder Cancer Keep Their Bladder</t>
  </si>
  <si>
    <t>NCT07555938</t>
  </si>
  <si>
    <t>Cevostamab in Combination With Pomalidomide and Dexamethasone Versus Standard of Care in Participants With Previously Treated Multiple Myeloma</t>
  </si>
  <si>
    <t>NCT07502638</t>
  </si>
  <si>
    <t>FXS6837 for the Treatment of IgAN Patients</t>
  </si>
  <si>
    <t>NCT07619443</t>
  </si>
  <si>
    <t>A Clinical Study of MK-7262 and Enlicitide in Healthy Participants (MK-7262-003)</t>
  </si>
  <si>
    <t>NCT07493135</t>
  </si>
  <si>
    <t>A Study of IMV102 in Patients With Relapsed/Refractory Multiple Myeloma</t>
  </si>
  <si>
    <t>NCT07464587</t>
  </si>
  <si>
    <t>Evaluation of the Inhaled TQC3721 Suspension in Patients With Moderate-to-Severe Chronic Obstructive Pulmonary Disease</t>
  </si>
  <si>
    <t>NCT07540221</t>
  </si>
  <si>
    <t>A Study to Evaluate the Pharmacokinetics and Safety of XEMBIFY Versus Gamunex-C in Participants With Chronic Inflammatory Demyelinating Polyradiculoneuropathy</t>
  </si>
  <si>
    <t>NCT07424547</t>
  </si>
  <si>
    <t>Phase I Study of SYS6043 in Patients With Advanced/Metastatic Solid Tumors</t>
  </si>
  <si>
    <t>NCT07495852</t>
  </si>
  <si>
    <t>Trial to Evaluate the Safety and Efficacy of the Second Generation Travoprost Intracameral Implant</t>
  </si>
  <si>
    <t>NCT07509684</t>
  </si>
  <si>
    <t>A Phase Ib/II Study Evaluating Injectable ALK-N001 in Patients With Advanced Solid Tumors</t>
  </si>
  <si>
    <t>NCT07589608</t>
  </si>
  <si>
    <t>A Study to Investigate Weight Management With Macupatide and Eloralintide, Alone or in Combination, in Adult Participants With Obesity or Overweight</t>
  </si>
  <si>
    <t>NCT07363694</t>
  </si>
  <si>
    <t>A Study to Learn About the Study Medicine Called PF-07275315 in People With Moderate to Severe Chronic Obstructive Pulmonary Disease</t>
  </si>
  <si>
    <t>NCT07363395</t>
  </si>
  <si>
    <t>Safety, Tolerability, and Pharmacokinetics of ASCT-83 in Healthy Adults</t>
  </si>
  <si>
    <t>Alcamena Stem Cell Therapeutics</t>
  </si>
  <si>
    <t>NCT07470983</t>
  </si>
  <si>
    <t>A Phase II Clinical Study on the Efficacy and Safety of HRS-1780 in Participants With Primary Aldosteronism</t>
  </si>
  <si>
    <t>NCT07284602</t>
  </si>
  <si>
    <t>Trial to Evaluate the Efficacy and Safety of LYT-100 (Deupirfenidone) Compared to Pirfenidone in Adults With Idiopathic Pulmonary Fibrosis (IPF)</t>
  </si>
  <si>
    <t>NCT07458269</t>
  </si>
  <si>
    <t>Efficacy and Safety of Ribupatide (KAI-9531) Administered Once Weekly in Participants Living With Obesity Who Do Not Have Diabetes</t>
  </si>
  <si>
    <t>NCT07289477</t>
  </si>
  <si>
    <t>A Phase I/III Clinical Study to Evaluate NouvNeu001 Injection for Multiple System Atrophy</t>
  </si>
  <si>
    <t>NCT07535970</t>
  </si>
  <si>
    <t>A Phase I Study to Evaluate the Effect of Itraconazole on the Pharmacokinetics of HS-10506 in Healthy Chinese Adult Participants</t>
  </si>
  <si>
    <t>NCT07551895</t>
  </si>
  <si>
    <t>Umbilical Cord Mesenchymal Stem Cells (UC-MSC) in the Treatment of Primary Ovarian Insufficiency</t>
  </si>
  <si>
    <t>Shenzhen Huishan Biotechnology Co., Ltd.</t>
  </si>
  <si>
    <t>NCT07422675</t>
  </si>
  <si>
    <t>SAD Study in Patients With Parkinson's Disease and Motor Fluctuations</t>
  </si>
  <si>
    <t>Serina Therapeutics</t>
  </si>
  <si>
    <t>NCT07623057</t>
  </si>
  <si>
    <t>A Study Testing the Safety and Effects of FB102 in Healthy Volunteers</t>
  </si>
  <si>
    <t>NCT07455383</t>
  </si>
  <si>
    <t>A Study to Evaluate the Efficacy and Safety of ALKS 2680 in Adults With Narcolepsy Type 1</t>
  </si>
  <si>
    <t>NCT07446153</t>
  </si>
  <si>
    <t>A Clinical Study of HRS-8364 in the Treatment of Advanced Solid Tumor Subjects</t>
  </si>
  <si>
    <t>NCT07613931</t>
  </si>
  <si>
    <t>Evaluate Advanced Pneumatic Compression Device With Revised Compression Programming for Lymphedema Treatment</t>
  </si>
  <si>
    <t>Tactile Medical</t>
  </si>
  <si>
    <t>NCT07536269</t>
  </si>
  <si>
    <t>Safety, Tolerability, Pharmacokinetics and Pharmacodynamics of Crinecerfont in Participants With Classic Congenital Adrenal Hyperplasia (CAH) Who Are Less Than 4 Years Old</t>
  </si>
  <si>
    <t>NCT07503015</t>
  </si>
  <si>
    <t>Phase 1 Study of HS-20152 in Healthy Participants</t>
  </si>
  <si>
    <t>NCT07124078</t>
  </si>
  <si>
    <t>A Study to Evaluate Axatilimab Versus Best Available Therapy in Pediatric Participants With Chronic Graft-Versus-Host Disease After at Least 2 Prior Lines of Systemic Therapy (AGAVE-256)</t>
  </si>
  <si>
    <t>NCT07710690</t>
  </si>
  <si>
    <t>A Clinical Trial Evaluating the Tolerability, Safety, and Preliminary Efficacy of NRG-103 Injection in Patients With Recurrent or Progressive High-grade Glioma</t>
  </si>
  <si>
    <t>Neuregen Therapeutics Co., Ltd.</t>
  </si>
  <si>
    <t>NCT05170048</t>
  </si>
  <si>
    <t>Study to Evaluate Safety and Efficacy of EG-301 in Patients With Nonfocal Geographic Atrophy Secondary to Dry-AMD</t>
  </si>
  <si>
    <t>NCT07552376</t>
  </si>
  <si>
    <t>This Study Aims to Evaluate the Efficacy and Safety of QLS1317 in Patients With MSI-H/dMMR Advanced Solid Tumors.</t>
  </si>
  <si>
    <t>NCT07534176</t>
  </si>
  <si>
    <t>To Evaluate the Impact of Smoking on PK After Single-dose Oral Administration of GS1-144 Tablets .</t>
  </si>
  <si>
    <t>NCT07614490</t>
  </si>
  <si>
    <t>Clinical Study to Collect and Analyze Dental Plaque and Oral Health Measures in a Population With High Plaque/Low Gingivitis and High Plaque/High Gingivitis</t>
  </si>
  <si>
    <t>NCT07250633</t>
  </si>
  <si>
    <t>Pharmacokinetic Study of Vorasidenib in Severe Hepatically Impaired and Matched-Control Participants</t>
  </si>
  <si>
    <t>NCT07702292</t>
  </si>
  <si>
    <t>[68Ga]BED003 PET Imaging of Fibroblast Activation Protein in Selected Oncology Indications</t>
  </si>
  <si>
    <t>NCT07464925</t>
  </si>
  <si>
    <t>A Phase 1 Safety and Dose Finding Study of GLIX1 in Adults With Recurrent or Progressive High-grade Glioma</t>
  </si>
  <si>
    <t>Tetragon Biosciences Ltd</t>
  </si>
  <si>
    <t>NCT07337525</t>
  </si>
  <si>
    <t>A First in Human Study of PLT012 in Participants With Solid Tumor Cancers</t>
  </si>
  <si>
    <t>Pilatus Biosciences Inc</t>
  </si>
  <si>
    <t>NCT07576868</t>
  </si>
  <si>
    <t>A Study of CP-COV03 Compared With Placebo in Participants With Dengue (Part 1) and Dengue-like Illness (Part 2)</t>
  </si>
  <si>
    <t>Hyundai Bioscience Co., Ltd.</t>
  </si>
  <si>
    <t>NCT07499908</t>
  </si>
  <si>
    <t>Phase 1 Trial to Evaluate 150 mg Subcutaneous CIT-013</t>
  </si>
  <si>
    <t>NCT07227350</t>
  </si>
  <si>
    <t>L19IL2 or L19TNF or L19IL2/TNF in Patients With Basal Cell Carcinoma (BCC)</t>
  </si>
  <si>
    <t>NCT07264335</t>
  </si>
  <si>
    <t>A Study on the Bioavailability of SHR-1819 Injection Administered Subcutaneously Using Different Injection Devices in Healthy Subjects</t>
  </si>
  <si>
    <t>NCT07535489</t>
  </si>
  <si>
    <t>Efficacy and Safety of IPG11406 in Moderately to Severely Active Ulcerative Colitis (Phase 2)</t>
  </si>
  <si>
    <t>NCT07434050</t>
  </si>
  <si>
    <t>A Study of XW003 in Obese Participants With Obstructive Sleep Apnea Receiving Positive Airway Pressure Therapy</t>
  </si>
  <si>
    <t>NCT07462468</t>
  </si>
  <si>
    <t>A Phase 1 Clinical Study to Evaluate the Safety and Efficacy of WSK-IM02 in Patients With Platinum-resistant Recurrent Ovarian Cancer.</t>
  </si>
  <si>
    <t>NCT07738679</t>
  </si>
  <si>
    <t>Clinical Trial Evaluating the Efficacy and Safety of TQB3454 Tablets in Participants With Advanced Solid Tumors</t>
  </si>
  <si>
    <t>NCT07447986</t>
  </si>
  <si>
    <t>To Evaluate the Efficacy and Safety of SG301 SC Injection in Systemic Lupus Erythematosus</t>
  </si>
  <si>
    <t>NCT07605962</t>
  </si>
  <si>
    <t>Phase 1/2 Study of UI-102 in Selected Advanced Cancers</t>
  </si>
  <si>
    <t>United Immunity, co., Ltd.</t>
  </si>
  <si>
    <t>NCT07487363</t>
  </si>
  <si>
    <t>TB-500 (Thymosin Beta 4 17-23 Fragment) for Cardiovascular Biomarkers in Stable ASCVD</t>
  </si>
  <si>
    <t>Hudson Biotech</t>
  </si>
  <si>
    <t>NCT07415031</t>
  </si>
  <si>
    <t>A Solid Tumor Study for Long Term Treatment of Cancer Patients Who Participated in Adagrasib Studies</t>
  </si>
  <si>
    <t>NCT07465653</t>
  </si>
  <si>
    <t>A Safety and Tolerability Study of HJB647 in Heart Failure Participants With Reduced Ejection Fraction</t>
  </si>
  <si>
    <t>NCT07650357</t>
  </si>
  <si>
    <t>A Study of CLSP 5282 in HLA-A*03:01 Positive Adult Patients With Solid Tumors (SENTINEL-101)</t>
  </si>
  <si>
    <t>NCT07681271</t>
  </si>
  <si>
    <t>A Phase 2 Study to Investigate the Efficacy, Safety and Tolerability of Remibrutinib (LOU064) in Adult Patients With Papulopustular Rosacea (PPR)</t>
  </si>
  <si>
    <t>NCT07403721</t>
  </si>
  <si>
    <t>AMG 436 as Monotherapy and Combination Therapy in Participants With MSI-H/dMMR Solid Tumors</t>
  </si>
  <si>
    <t>NCT07326709</t>
  </si>
  <si>
    <t>A Study to Investigate the Efficacy, Safety and Tolerability of Votoplam in Participants With Huntington's Disease</t>
  </si>
  <si>
    <t>NCT07423533</t>
  </si>
  <si>
    <t>Phase IIb Clinical Study to Assess the Efficacy and Safety of GenSci120 Injection in Patients With Moderately to Severely Active RA Who Have an Inadequate Response to at Least One DMARD</t>
  </si>
  <si>
    <t>NCT07580833</t>
  </si>
  <si>
    <t>A Study to Investigate the Effect of Food on the Bioavailability of Oral Paclitaxel Administered With Encequidar in Participants With Advanced Solid Tumors</t>
  </si>
  <si>
    <t>NCT07467733</t>
  </si>
  <si>
    <t>Evaluation of the Safety and Preliminary Efficacy of Neuroinduced Mesenchymal Stem Cells and Exosome Therapy in Patients With Spinocerebellar Palsy</t>
  </si>
  <si>
    <t>NCT07356349</t>
  </si>
  <si>
    <t>Study to Confirm the AuthenTicity of Point of Care Urine samplEs Using Oral fluoreScein Sodium in adulTs With substancE Use Disorder (ATTESTED)</t>
  </si>
  <si>
    <t>UpTru Inc.</t>
  </si>
  <si>
    <t>NCT07533786</t>
  </si>
  <si>
    <t>A Clinical Trial Evaluating the Efficacy and Safety of HSK55718 in Patients for Postoperative Pain Treatment in Abdominal Surgery</t>
  </si>
  <si>
    <t>NCT07712939</t>
  </si>
  <si>
    <t>A Phase 1, First-in-Human Study of CND319 in Healthy Participants and Patients With Rheumatic Diseases</t>
  </si>
  <si>
    <t>NCT07688772</t>
  </si>
  <si>
    <t>A Clinical Study Evaluating the Efficacy and Safety of SHR-1819 Injection in Patients With Seasonal Allergic Rhinitis</t>
  </si>
  <si>
    <t>NCT07391605</t>
  </si>
  <si>
    <t>Descartes-08 in Autoantibody Myositis</t>
  </si>
  <si>
    <t>NCT07350174</t>
  </si>
  <si>
    <t>Phase 2a Trial of Alpibectir Plus Ethionamide for Tuberculosis Meningitis</t>
  </si>
  <si>
    <t>NCT07560618</t>
  </si>
  <si>
    <t>Obtaining Descriptive Classifications of Pruritus and Assessing Change in Pruritus Over Time in Atopic Dermatitis Patients Using Topical Roflumilast Cream.</t>
  </si>
  <si>
    <t>Integrative Skin Science and Research</t>
  </si>
  <si>
    <t>NCT07391813</t>
  </si>
  <si>
    <t>SNB-101 for Treatment of Extensive Stage Small Cell Lung Cancer</t>
  </si>
  <si>
    <t>NCT07092813</t>
  </si>
  <si>
    <t>Pharmacokinetics of Sulopenem Etzadroxil Plus Probenecid in Adolescents</t>
  </si>
  <si>
    <t>NCT07647510</t>
  </si>
  <si>
    <t>A Phase 3 Study to Evaluate Claseprubart in Adults With Generalized Myasthenia Gravis (EMERGE)</t>
  </si>
  <si>
    <t>NCT07700160</t>
  </si>
  <si>
    <t>First-in-Human Trial of VBC108 in Participants With Advanced Malignant Solid Tumors</t>
  </si>
  <si>
    <t>NCT07556120</t>
  </si>
  <si>
    <t>Efficacy and Safety of HN2301 in Patients With Generalized Myasthenia Gravis (MG)</t>
  </si>
  <si>
    <t>NCT07224360</t>
  </si>
  <si>
    <t>Safety of Anumigilimab (CSL324) in Adults With Sickle Cell Disease (SCD)</t>
  </si>
  <si>
    <t>NCT07420816</t>
  </si>
  <si>
    <t>Efficacy and Safety of APSTZD in the Treatment of Insomnia Disorder</t>
  </si>
  <si>
    <t>NCT07223333</t>
  </si>
  <si>
    <t>A Study of PATAS Trifluoroacetate Using Single Ascending Doses in Healthy Volunteers</t>
  </si>
  <si>
    <t>AdipoPharma LLC</t>
  </si>
  <si>
    <t>NCT07551336</t>
  </si>
  <si>
    <t>Dual-Targeting CAR-NK Cells for Recurrent/Progressive Glioblastoma and High-Grade Glioma</t>
  </si>
  <si>
    <t>NCT07365332</t>
  </si>
  <si>
    <t>An Adaptive Program of IKT-001 in Pulmonary Arterial Hypertension (PAH)</t>
  </si>
  <si>
    <t>NCT07548632</t>
  </si>
  <si>
    <t>A Clinical Study Evaluating Licaminlimab for Dry Eye Disease</t>
  </si>
  <si>
    <t>NCT06807021</t>
  </si>
  <si>
    <t>Post-Operative Use of FS2 to Mitigate Scarring in Burn Patients</t>
  </si>
  <si>
    <t>Birch BioMed Inc</t>
  </si>
  <si>
    <t>NCT07403487</t>
  </si>
  <si>
    <t>Phase II Trial of RC1416 Injection in Asthma</t>
  </si>
  <si>
    <t>NCT07624071</t>
  </si>
  <si>
    <t>A Study to Evaluate ALN-6222 in Participants With Obesity</t>
  </si>
  <si>
    <t>NCT07643272</t>
  </si>
  <si>
    <t>A Study on the Effect of Food and Proton Pump Inhibitor on the Pharmacokinetics of HMPL-760 Capsules</t>
  </si>
  <si>
    <t>NCT07401381</t>
  </si>
  <si>
    <t>A Study to Compare the Steady-State Bioavailability of Injectable Letrozole SIE and Oral Letrozole in Post-Menopausal Women With Hormone Receptor Positive Early Breast Cancer</t>
  </si>
  <si>
    <t>NCT07412691</t>
  </si>
  <si>
    <t>A Study to Evaluate the Safety of BG-A3004 in Healthy Participants and Patients With Immune-Mediated Skin Diseases</t>
  </si>
  <si>
    <t>NCT07587008</t>
  </si>
  <si>
    <t>Study to Assess Adverse Events and How Oral Emraclidine Moves Through the Body of Adult Healthy Volunteers</t>
  </si>
  <si>
    <t>NCT05494697</t>
  </si>
  <si>
    <t>Ampligen Combined With SOC Versus SOC Alone Following First-Line Therapy in Subjects With LAPC</t>
  </si>
  <si>
    <t>NCT07491497</t>
  </si>
  <si>
    <t>A Phase 1/2 Study of TRI-611 in ALK-Positive NSCLC</t>
  </si>
  <si>
    <t>TRIANA Biomedicines, Inc.</t>
  </si>
  <si>
    <t>NCT07470125</t>
  </si>
  <si>
    <t>Bioequivalence (BE) Study Between YHP2511 and YHP2511A in Healthy Volunteers</t>
  </si>
  <si>
    <t>NCT07724340</t>
  </si>
  <si>
    <t>A Study to Assess the Efficacy, Safety and Tolerability of AT673 Co-administered With Semaglutide in Adult Participants With Type 2 Diabetes (T2D) and Overweight or Obesity</t>
  </si>
  <si>
    <t>Antag Therapeutics</t>
  </si>
  <si>
    <t>NCT07619820</t>
  </si>
  <si>
    <t>A Phase 1b Study to Evaluate the PK of CSL300 (Clazakizumab) in Chinese Subjects With End Stage Kidney Disease (ESKD)</t>
  </si>
  <si>
    <t>NCT07472517</t>
  </si>
  <si>
    <t>DAREON ® -Lung-1: A Study in People With Advanced Small Cell Lung Cancer to Compare Obrixtamig Plus Atezolizumab, Carboplatin, and Etoposide Treatment With Standard Chemotherapy</t>
  </si>
  <si>
    <t>NCT07555392</t>
  </si>
  <si>
    <t>A Seamless Phase II/III, Observer-blind, to Evaluate Immunogenicity and Safety of Chikungunya Virus Vaccine in Healthy Subjects 12-65Years of Age.</t>
  </si>
  <si>
    <t>NCT07311811</t>
  </si>
  <si>
    <t>A Study to Evaluate the Pharmacokinetics and Safety of IN-M00007 and IN-R00007 in Healthy Adult Volunteers</t>
  </si>
  <si>
    <t>NCT07669571</t>
  </si>
  <si>
    <t>A Phase I Study of NS-079 in Healthy Participants</t>
  </si>
  <si>
    <t>NCT07274137</t>
  </si>
  <si>
    <t>A Phase III Study to Evaluate the Efficacy and Safety of MDR-001 in Adult Participants With Overweight or Obesity (MOBILE）</t>
  </si>
  <si>
    <t>NCT07645924</t>
  </si>
  <si>
    <t>A Study to Evaluate the Efficacy and Safety of Elismetrep (K-304) in the Acute Treatment of Migraine</t>
  </si>
  <si>
    <t>NCT07717879</t>
  </si>
  <si>
    <t>A Study to Assess the Efficacy and Safety of Solriamfetol in Children With ADHD</t>
  </si>
  <si>
    <t>NCT07309562</t>
  </si>
  <si>
    <t>The Efficacy and Safety of Inpegsomatropin Injection in Children With Short Stature Born Small for Gestational Age</t>
  </si>
  <si>
    <t>NCT07666490</t>
  </si>
  <si>
    <t>BETRI-Prospective: Asthma Control in Single Inhaler ICS/LABA/LAMA (87/5/9 pMDI [BDP/FF/GB - 100/6/12.5 μg]) vs Single Inhaler ICS/LABA (200/6 pMDI [BDP/FF - 200/6 μg])</t>
  </si>
  <si>
    <t>NCT07340697</t>
  </si>
  <si>
    <t>Evaluate RLS-1496 Topical Cream for Actinic Keratosis</t>
  </si>
  <si>
    <t>Rubedo Life Sciences, Inc.</t>
  </si>
  <si>
    <t>NCT06715462</t>
  </si>
  <si>
    <t>Efficacy and Safety of the N0750 Compared to Monotherapies in the Treatment of Painful Diabetic Peripheral Neuropathy</t>
  </si>
  <si>
    <t>NCT07393659</t>
  </si>
  <si>
    <t>A Continued Access Study for Participants Transitioning From ViiV Healthcare-sponsored or ViiV Healthcare-collaborative Parent Studies for HIV Treatment</t>
  </si>
  <si>
    <t>NCT07412613</t>
  </si>
  <si>
    <t>Neoadjuvant/Adjuvant AK104 in Microsatellite Instability-high or Mismatch Repair-deficient, Resectable Colon Cancer</t>
  </si>
  <si>
    <t>NCT07675824</t>
  </si>
  <si>
    <t>REGN22530 for Adults With Primary Open Angle Glaucoma or Ocular Hypertension</t>
  </si>
  <si>
    <t>NCT07368959</t>
  </si>
  <si>
    <t>AURN001 Efficacy in Participants With Corneal Edema Secondary to Corneal Endothelial Dysfunction</t>
  </si>
  <si>
    <t>NCT07547813</t>
  </si>
  <si>
    <t>A Proof-of-Concept Study of LAD328 in Adults With Hidradenitis Suppurativa</t>
  </si>
  <si>
    <t>NCT07641023</t>
  </si>
  <si>
    <t>Dual-Target CAR-NK Cells Targeting MSLN, EGFR, or HER2 in Advanced NSCLC</t>
  </si>
  <si>
    <t>NCT07543224</t>
  </si>
  <si>
    <t>A Multicenter, Randomized, Double-Blind, Placebo-Controlled Phase III Clinical Study to Evaluate the Efficacy and Safety of RSS0393 Ointment in Adult Patients With Plaque Psoriasis.</t>
  </si>
  <si>
    <t>NCT07503873</t>
  </si>
  <si>
    <t>A Study to Evaluate Pharmacokinetics (PK) and Safety of Subcutaneous (SC) Ublituximab Administered at Various Injection Sites and Relative Bioavailability Via Autoinjector (AI) Versus Syringe Subcutaneously in Participants With Multiple Sclerosis (MS)</t>
  </si>
  <si>
    <t>NCT07608354</t>
  </si>
  <si>
    <t>A Study to Evaluate the Efficacy and Safety of Concomitant Use of Eplontersen and ALXN2220 Compared With Eplontersen and Placebo for Adults Participants With ATTR-CM</t>
  </si>
  <si>
    <t>NCT07528703</t>
  </si>
  <si>
    <t>A Clinical Study to Evaluate the Safety, Tolerability and Pharmacokinetic Characteristics of RC010 Inhalation Powder in Healthy Participants</t>
  </si>
  <si>
    <t>Nanjing Reju Therapeutics Co., Ltd</t>
  </si>
  <si>
    <t>NCT07171983</t>
  </si>
  <si>
    <t>A Study to Evaluate the Safety, Tolerability, and Drug Levels of BMS-986454 in Participants With Rheumatoid Arthritis</t>
  </si>
  <si>
    <t>NCT07615101</t>
  </si>
  <si>
    <t>Investigating the Safety and Diagnostic Performance of 68Ga-NYM032 Injection PET/CT in Men With Newly Diagnosed Prostate Cancer.</t>
  </si>
  <si>
    <t>NCT07354724</t>
  </si>
  <si>
    <t>A Study to Evaluate the Safety, Pharmacokinetics, and Pharmacodynamics of DNL952 in Adult Participants With Late-Onset Pompe Disease</t>
  </si>
  <si>
    <t>NCT07428369</t>
  </si>
  <si>
    <t>A Study of Linvo-VR vs DVRd in Transplant-Eligible Adult Participants With Newly Diagnosed Multiple Myeloma (NDMM)</t>
  </si>
  <si>
    <t>NCT07463183</t>
  </si>
  <si>
    <t>A Study to Evaluate Efficacy and Safety of MK-8690 in Participants With Moderately to Severely Active Ulcerative Colitis (MK-8690-002)</t>
  </si>
  <si>
    <t>NCT07522242</t>
  </si>
  <si>
    <t>Safety and Efficacy of T10430 Eye Drops in Controlling Paediatric Myopia Progression</t>
  </si>
  <si>
    <t>NCT07601269</t>
  </si>
  <si>
    <t>Replacement of the Native Mitral Valve Using the ReValve System</t>
  </si>
  <si>
    <t>ReValve Solutions Inc.</t>
  </si>
  <si>
    <t>NCT07296341</t>
  </si>
  <si>
    <t>HRS-4642 Combination With Other Antitumor Therapies in Patients With Solid Tumors</t>
  </si>
  <si>
    <t>NCT07508241</t>
  </si>
  <si>
    <t>A Study to Learn About the Effect of Study Medicine Called PF-08653944 on How Quickly the Stomach Empties Its Content in Healthy Adults With Overweight or Obesity</t>
  </si>
  <si>
    <t>NCT07316361</t>
  </si>
  <si>
    <t>GYNORYLAQ™-VLINIVAL™: Ψ-Guided Personalized Neoantigen Peptide Vaccine for High-Risk Endometrial Cancer</t>
  </si>
  <si>
    <t>NCT07214662</t>
  </si>
  <si>
    <t>A Study to Evaluate the Safety, Pharmacokinetics, and Activity of GDC-0587 as a Monotherapy and in Combination With Giredestrant in Participants With Locally Advanced or Metastatic Estrogen Receptor-Positive and Human Epidermal Growth Factor Receptor 2-Negative (ER+/HER2-) Breast Cancer</t>
  </si>
  <si>
    <t>NCT07644403</t>
  </si>
  <si>
    <t>Phase I/IIa Clinical Trial of IMC001 in Patients With Advanced Epithelial Solid Tumors.</t>
  </si>
  <si>
    <t>NCT07603479</t>
  </si>
  <si>
    <t>JL19001 Injection Alone or in Combination With Standard Therapy in Patients With Advanced Solid Tumors or Relapsed/Refractory B-Cell Non-Hodgkin Lymphoma</t>
  </si>
  <si>
    <t>NCT07428759</t>
  </si>
  <si>
    <t>Trial to Evaluate Safety and Immune Response of an Investigational Pneumococcal Vaccine in Adults Aged 50 To 64 Years</t>
  </si>
  <si>
    <t>NCT07567859</t>
  </si>
  <si>
    <t>A Study of HS-10587 in Patients With Advanced Solid Tumors</t>
  </si>
  <si>
    <t>NCT07282873</t>
  </si>
  <si>
    <t>Study of TYK-01054 Capsules in Patients With Advanced Solid Tumors</t>
  </si>
  <si>
    <t>NCT07459283</t>
  </si>
  <si>
    <t>The Safety, Dosimetry and Efficacy of 177Lu-INN805 in Patients With Malignant Solid Tumors</t>
  </si>
  <si>
    <t>NCT07284459</t>
  </si>
  <si>
    <t>Study to Evaluate the Efficacy, Safety, and Tolerability of PIPE 791 in Subjects With Idiopathic Pulmonary Fibrosis</t>
  </si>
  <si>
    <t>NCT07637162</t>
  </si>
  <si>
    <t>Open-Label Safety Study of AXS-14 in Subjects With Fibromyalgia</t>
  </si>
  <si>
    <t>NCT07382427</t>
  </si>
  <si>
    <t>A Phase 2 Study to Assess the Effectiveness of Topical Terbinafine in Participants With Mild to Moderate Onychomycosis of the Toenails</t>
  </si>
  <si>
    <t>Onyx Axiom</t>
  </si>
  <si>
    <t>NCT07450859</t>
  </si>
  <si>
    <t>A Study of Nuzefatide Pevedotin (BT5528) in Patients With Metastatic Pancreatic Ductal Adenocarcinoma (PDAC)</t>
  </si>
  <si>
    <t>NCT07112196</t>
  </si>
  <si>
    <t>Visugromab in Cachexia International Trial</t>
  </si>
  <si>
    <t>NCT07543796</t>
  </si>
  <si>
    <t>Efficacy and Safety of TRD205 Tablets for Postoperative Analgesia in Unilateral Total Hip Arthroplasty (Phase IIb)</t>
  </si>
  <si>
    <t>NCT07441317</t>
  </si>
  <si>
    <t>QLC7401 in the Treatment of Primary Hypercholesterolemia or Mixed Hyperlipidemia With Elevated Low Density Lipoprotein Cholesterol (LDL-C)</t>
  </si>
  <si>
    <t>NCT07168226</t>
  </si>
  <si>
    <t>Phase 2 Cachexia Clinical Trial to Evaluate the Efficacy and Safety of ASCA101</t>
  </si>
  <si>
    <t>NCT07403097</t>
  </si>
  <si>
    <t>Study of CD19 CAR-T Therapy for Refractory SLE</t>
  </si>
  <si>
    <t>NCT07679360</t>
  </si>
  <si>
    <t>A Study of Trastuzumab Rezetecan in Combination With Adebrelimab Versus Investigator's Choice of Therapy in Subjects With Residual Triple Negative Breast Cancer</t>
  </si>
  <si>
    <t>NCT07675811</t>
  </si>
  <si>
    <t>A Study to Evaluate the Efficacy and Safety of Fel d 1 Monoclonal Antibodies in Adult and Pediatric Participants With Allergic Conjunctivitis Due to Cat Allergy</t>
  </si>
  <si>
    <t>NCT07223944</t>
  </si>
  <si>
    <t>A Gaucher Disease Gene Therapy Trial With FLT201</t>
  </si>
  <si>
    <t>NCT07383506</t>
  </si>
  <si>
    <t>A Study of Mutant Selective-Inhibitor (CGT6297), in Patients With Advanced Solid Tumors</t>
  </si>
  <si>
    <t>NCT07722585</t>
  </si>
  <si>
    <t>A Study to Learn About How a New Nurandociguat Tablet is Absorbed and Processed in the Body Compared to an Old Tablet and How Food Affects the Way the New Tablet is Absorbed and Processed in the Body</t>
  </si>
  <si>
    <t>NCT07296809</t>
  </si>
  <si>
    <t>SKB500 Combinations in Patients With Small Cell Lung Cancer</t>
  </si>
  <si>
    <t>NCT07662109</t>
  </si>
  <si>
    <t>A Phase III Study to Investigate the Efficacy and Safety of the Combination of Elecoglipron and Dapagliflozin in Adults With Type 2 Diabetes Mellitus</t>
  </si>
  <si>
    <t>NCT07421414</t>
  </si>
  <si>
    <t>A Study to Evaluate the Pharmacokinetics and the Safety After Administration of BR1015-A and Co-administration of BR1015-3 and BR1015-2 Under Fed Conditions</t>
  </si>
  <si>
    <t>NCT07644052</t>
  </si>
  <si>
    <t>Efficacy of PP-01 in Mitigating Cannabis Withdrawal Symptoms in Adults With Cannabis Use Disorder</t>
  </si>
  <si>
    <t>NCT07643155</t>
  </si>
  <si>
    <t>A Study to Evaluate the Pharmacokinetics (PK) and Safety of a Single Dose of Treprostinil Palmitil Inhalation Powder (TPIP) in Participants With Normal Hepatic Function and Participants With Hepatic Impairment</t>
  </si>
  <si>
    <t>NCT07184619</t>
  </si>
  <si>
    <t>Evenamide, a Glutamate Release Modulator, as Add-On to Standard of Care in Subjects With Documented Treatment-Resistant Schizophrenia</t>
  </si>
  <si>
    <t>NCT07302269</t>
  </si>
  <si>
    <t>Study of the Safety, Tolerability, Pharmacokinetics of VV261 Tablets in Chinese Healthy Volunteers</t>
  </si>
  <si>
    <t>NCT07275788</t>
  </si>
  <si>
    <t>A Study of REGEND003 on Patients With Type 2 Diabetes Mellitus (T2DM) and Chronic Kidney Disease (CKD)</t>
  </si>
  <si>
    <t>NCT07617688</t>
  </si>
  <si>
    <t>Evaluation of the Pharmacokinetics, Biodistribution and Radiation Dosimetry of [18F]MODAG-009 Positron Emission Tomography (PET) Radiotracers in Adult Healthy Volunteers</t>
  </si>
  <si>
    <t>NCT07555483</t>
  </si>
  <si>
    <t>A Non-inferiority Pharmacokinetic and Safety/Tolerability Study of Two Different Doses of Weekly SC Alpha1-PI 15% Compared With Corresponding Standard IV Alpha1-PI in Participants With Alpha1-Antitrypsin Deficiency (AATD)</t>
  </si>
  <si>
    <t>NCT07551427</t>
  </si>
  <si>
    <t>A Clinical Trial to Evaluate the Efficacy, Safety, and Pharmacokinetics of TQ05105 Tablets in Subjects With Intermediate/High-risk Myelofibrosis</t>
  </si>
  <si>
    <t>NCT07568730</t>
  </si>
  <si>
    <t>A Multicenter, Randomized, Vehicle-Controlled, Double-Masked to Open-Label Study to Evaluate the Safety and Efficacy of Lacripep in Subjects With Neurotrophic Keratitis</t>
  </si>
  <si>
    <t>TearSolutions, Inc.</t>
  </si>
  <si>
    <t>NCT07601204</t>
  </si>
  <si>
    <t>Treatment of Recurrent/Metastatic Head and Neck Cancer</t>
  </si>
  <si>
    <t>NCT07656038</t>
  </si>
  <si>
    <t>Nelmastobart in Combination With Tas-102 and Bevacizumab in Recurrent/Metastatic Colorectal Cancer</t>
  </si>
  <si>
    <t>NCT07375758</t>
  </si>
  <si>
    <t>A Study of MIL116 in Healthy Participants and Patients With IgA Nephropathy.</t>
  </si>
  <si>
    <t>NCT07311330</t>
  </si>
  <si>
    <t>Phase IIa Clinical Trial of YN001 in Patients With Atherosclerotic Cardiovascular and Cerebrovascular Diseases and Erectile Dysfunction</t>
  </si>
  <si>
    <t>NCT07708493</t>
  </si>
  <si>
    <t>A Study to Test How BI 3034701 is Taken up and Processed by the Body in Healthy Men With Normal Weight or Overweight</t>
  </si>
  <si>
    <t>NCT07429006</t>
  </si>
  <si>
    <t>SAD and MAD Study of AKB-9090 in Healthy Adult Participants</t>
  </si>
  <si>
    <t>NCT07137338</t>
  </si>
  <si>
    <t>A Phase 1 AAV Gene Therapy Trial Evaluating Safety and Preliminary Efficacy of RP-A701 in Subjects With BAG3 Dilated Cardiomyopathy</t>
  </si>
  <si>
    <t>NCT07182058</t>
  </si>
  <si>
    <t>Virtual tES Device Treatment for Parkinson's Disease Motor Symptoms</t>
  </si>
  <si>
    <t>U: The Mind Company</t>
  </si>
  <si>
    <t>NCT07347678</t>
  </si>
  <si>
    <t>Phase 1a Study to Evaluate the Safety, Tolerability, Pharmacokinetics, and Pharmacodynamics of RN5681 in Healthy Volunteers</t>
  </si>
  <si>
    <t>NCT07313917</t>
  </si>
  <si>
    <t>A Study to Evaluate the Efficacy and Safety of LP-003 Injection in Patients With Chronic Rhinosinusitis With Nasal Polyps (CRSwNP)</t>
  </si>
  <si>
    <t>NCT07326592</t>
  </si>
  <si>
    <t>Phase 4, Double-blind Study Evaluating the Response on Computed Tomography (CT) Lung Density Decline Rates of Respreeza / Zemaira Weekly for 3 Years in Adults With alpha1 Antitrypsin Deficiency (AATD)</t>
  </si>
  <si>
    <t>NCT07422311</t>
  </si>
  <si>
    <t>To Evaluate the Efficacy, Safety, and Tolerability of Dronabinol Oral Solution for Agitation in Patients With Alzheimer's Disease</t>
  </si>
  <si>
    <t>Benuvia Therapeutics Inc.</t>
  </si>
  <si>
    <t>NCT07439263</t>
  </si>
  <si>
    <t>Single Ascending Dose Study of HB2198 in Healthy Participants</t>
  </si>
  <si>
    <t>Hinge Bio</t>
  </si>
  <si>
    <t>NCT07448038</t>
  </si>
  <si>
    <t>A Study to Evaluate the Efficacy, Safety, Pharmacodynamics (PD), and Pharmacokinetics (PK) of Selnoflast in Reducing Vascular Inflammation in Participants With Atherosclerosis at Risk for Major Adverse Cardiac Events</t>
  </si>
  <si>
    <t>NCT07494435</t>
  </si>
  <si>
    <t>Phase 2 Study of WGI-0301 Plus Nivolumab in Patients With HCC and RCC</t>
  </si>
  <si>
    <t>NCT07450976</t>
  </si>
  <si>
    <t>A Study of SHR-A1904 in Previous Systemic Treatment Failed Biliary Tract Cancer</t>
  </si>
  <si>
    <t>NCT07741240</t>
  </si>
  <si>
    <t>A Study of KH607 as Monotherpy in Adults Participants With Major Depressive Disorder</t>
  </si>
  <si>
    <t>NCT07612189</t>
  </si>
  <si>
    <t>A Study of NEOK002, an EGFR and MUC1 Targeting Bispecific ADC, in Participants With Select Solid Tumors</t>
  </si>
  <si>
    <t>NEOK Bio, Inc.</t>
  </si>
  <si>
    <t>NCT07339748</t>
  </si>
  <si>
    <t>A Clinical Study of ZL-85FA Tablets</t>
  </si>
  <si>
    <t>NCT07570017</t>
  </si>
  <si>
    <t>A Study of Rocbrutinib Combined With R-GemOx in Patients With Relapsed or Refractory Diffuse Large B-cell Lymphoma</t>
  </si>
  <si>
    <t>NCT07598890</t>
  </si>
  <si>
    <t>Phase I Clinical Trial of Adsorbed Tetanus Vaccine</t>
  </si>
  <si>
    <t>NCT07727538</t>
  </si>
  <si>
    <t>A Study of Olezarsen for the Treatment of Familial Chylomicronemia Syndrome (FCS) in Pediatric Participants</t>
  </si>
  <si>
    <t>NCT07385248</t>
  </si>
  <si>
    <t>A Clinical Trial to Assess the Pharmacokinetics and Safety of AD-229 Compared to AD-2291 in Healthy Adults</t>
  </si>
  <si>
    <t>NCT07457918</t>
  </si>
  <si>
    <t>Long-Term Follow-up Study of Cantharidin (YCANTH [VP-102/TO-208]) in Patients With Common Warts (Verruca Vulgaris)</t>
  </si>
  <si>
    <t>NCT07658638</t>
  </si>
  <si>
    <t>A Study to Investigate the Safety, Tolerability and Pharmacokinetics of TESP-0401 in Healthy Participants</t>
  </si>
  <si>
    <t>Tes Pharma S.r.l.</t>
  </si>
  <si>
    <t>NCT07578558</t>
  </si>
  <si>
    <t>NAI for Sepsis With Persistent Lymphopenia</t>
  </si>
  <si>
    <t>NCT07632690</t>
  </si>
  <si>
    <t>QLC5508 in Participants With Metastatic Prostate Cancer</t>
  </si>
  <si>
    <t>NCT07374510</t>
  </si>
  <si>
    <t>Phase Ia Clinical Trial of Group ACYW135X Meningococcal Conjugate Vaccine</t>
  </si>
  <si>
    <t>NCT07736404</t>
  </si>
  <si>
    <t>A Study of SYH2082 Injection in Healthy Participants</t>
  </si>
  <si>
    <t>NCT07594847</t>
  </si>
  <si>
    <t>A Study of HDM1002 Tablets on Cardiac Repolarization in Healthy Subjects</t>
  </si>
  <si>
    <t>NCT07620574</t>
  </si>
  <si>
    <t>Long-Term Extension Study for Participants Previously Enrolled in an Exelixis-Sponsored Study</t>
  </si>
  <si>
    <t>NCT07694440</t>
  </si>
  <si>
    <t>A Study of MZE782 in Adults With PKU</t>
  </si>
  <si>
    <t>NCT07361705</t>
  </si>
  <si>
    <t>Zorifertinib With Osimertinib for NSCLC With Meningeal Progression</t>
  </si>
  <si>
    <t>Alpha Biopharma (Jiangsu) Co., Ltd.</t>
  </si>
  <si>
    <t>NCT07412665</t>
  </si>
  <si>
    <t>A Clinical Study GK01 Cell Injection in Subjects With Advanced Solid Tumors.</t>
  </si>
  <si>
    <t>NCT06798519</t>
  </si>
  <si>
    <t>Relative Bioavailability Study of HNC364 Injectable Suspension</t>
  </si>
  <si>
    <t>NCT07704892</t>
  </si>
  <si>
    <t>A Study to Investigate Safety and Efficacy of Efimosfermin Compared With Placebo in Adult Participants With Compensated Cirrhosis Due to Metabolic Dysfunction-associated Steatohepatitis (MASH)</t>
  </si>
  <si>
    <t>NCT07476287</t>
  </si>
  <si>
    <t>Symbiotic-Lung-14: A Study to Learn About the Study Medicine Called PF08634404 in Combination With Chemotherapy in Adult Participants With Transformed Small Cell Lung Cancer</t>
  </si>
  <si>
    <t>NCT07572006</t>
  </si>
  <si>
    <t>A Study of JNJ-95804306 for Relapsed or Refractory Hematological Malignancies</t>
  </si>
  <si>
    <t>NCT07288177</t>
  </si>
  <si>
    <t>Study to Assess the Efficacy and Safety of Rina-S in Participants With Non-small Cell Lung Cancer</t>
  </si>
  <si>
    <t>NCT07490301</t>
  </si>
  <si>
    <t>A Study to Assess Intravenous (IV) Telisotuzumab Adizutecan in Combination With Fluorouracil, Folinic Acid, and Oxaliplatin (FOLFOX) Compared to Standard of Care in Adult Participants With First-Line Metastatic Pancreatic Ductal Adenocarcinoma</t>
  </si>
  <si>
    <t>NCT07328919</t>
  </si>
  <si>
    <t>Efficacy and Safety of TT-00420 (Tinengotinib) Tablets Versus Chemotherapy in Patients With Advanced Intrahepatic Cholangiocarcinoma Harboring FGFR2 Fusions/Rearrangements or Mutations</t>
  </si>
  <si>
    <t>NCT07300436</t>
  </si>
  <si>
    <t>A Study of TJ101 Injection Before and After CMC Change Following Subcutaneous Injection in Healthy Adult Male Subjects in China</t>
  </si>
  <si>
    <t>NCT07671911</t>
  </si>
  <si>
    <t>Idiopathic Pulmonary Fibrosis (IPF)-Related Chronic Cough Reduction With Nalbuphine Extended-Release (NAL ER) Tablets</t>
  </si>
  <si>
    <t>NCT07688187</t>
  </si>
  <si>
    <t>A Study of Theranostic Pair PD-32766D/T in Participants With Carbonic Anhydrase IX Positive Clear Cell Renal Cell Carcinoma</t>
  </si>
  <si>
    <t>NCT07514975</t>
  </si>
  <si>
    <t>First-In-Human Study of KHN922 for Injection</t>
  </si>
  <si>
    <t>NCT07717892</t>
  </si>
  <si>
    <t>A Study to Assess the Efficacy and Safety of Solriamfetol in Adolescents With ADHD</t>
  </si>
  <si>
    <t>NCT07296354</t>
  </si>
  <si>
    <t>Evaluation of an ATP-Containing Parenteral Vitamin B Complex in Patients With Symptomatic Diabetic Polyneuropathy</t>
  </si>
  <si>
    <t>Egyptian International Pharmaceutical Industries Co</t>
  </si>
  <si>
    <t>NCT07191912</t>
  </si>
  <si>
    <t>Confirmatory Study of Govorestat in CMT-SORD</t>
  </si>
  <si>
    <t>NCT07559929</t>
  </si>
  <si>
    <t>A Study of DXC006 With Immune Checkpoint Inhibitors or Platinum for Small Cell Lung Cancer.</t>
  </si>
  <si>
    <t>NCT07357519</t>
  </si>
  <si>
    <t>Lu-TARGO (177Lu-TARGeted Osteosarcoma Therapy)</t>
  </si>
  <si>
    <t>NCT07549919</t>
  </si>
  <si>
    <t>A Study to Evaluate the Effect of Food on the Bioavailability of AJ201, and Safety, Tolerability, and Pharmacokinetics of AJ201 in Japanese and White Healthy Male Participants</t>
  </si>
  <si>
    <t>NCT07649122</t>
  </si>
  <si>
    <t>This Study Evaluates the Diagnostic Performance and Safety of 68Ga-NYM032 PET/CT Imaging in Patients With Suspected Recurrence of Prostate Cancer.</t>
  </si>
  <si>
    <t>NCT07573631</t>
  </si>
  <si>
    <t>An Open-Label Extension Study to Evaluate the Long-term Safety and Efficacy of BMN 351 in Participants With Duchenne Muscular Dystrophy</t>
  </si>
  <si>
    <t>NCT07356037</t>
  </si>
  <si>
    <t>Nanocrystalline Megestrol Acetate for Cachectic Stage Locally Advanced Hepatocellular Carcinoma</t>
  </si>
  <si>
    <t>NCT07633301</t>
  </si>
  <si>
    <t>A Study of TAK-360 in Adults With Narcolepsy Type 1 (Narcolepsy With Cataplexy)</t>
  </si>
  <si>
    <t>NCT07342881</t>
  </si>
  <si>
    <t>Single Dose Study to Evaluate the Pharmacokinetics, Safety and Tolerability of Pevifoscorvir Sodium (ALG-000184) in Participants With Renal Impairment and in Healthy Participants With Normal Renal Function</t>
  </si>
  <si>
    <t>NCT07414836</t>
  </si>
  <si>
    <t>A First-in-Human Study of BG-C0979 in Adults With Advanced Solid Tumors</t>
  </si>
  <si>
    <t>NCT07668271</t>
  </si>
  <si>
    <t>Lot-to-Lot Consistency Clinical Trial of Recombinant Human Papillomavirus 9-valent (Types 6/11/16/18/31/33/45/52/58) Vaccine (Escherichia Coli)</t>
  </si>
  <si>
    <t>NCT07445971</t>
  </si>
  <si>
    <t>A Study Evaluating MDX2301 in Healthy Adults and Adults at Higher Risk for Severe COVID-19.</t>
  </si>
  <si>
    <t>NCT07628881</t>
  </si>
  <si>
    <t>A Study to Investigate the Relative Bioavailability and Food Effect of Tablet for Oral Suspension of Sonrotoclax in Healthy Adults</t>
  </si>
  <si>
    <t>NCT07442565</t>
  </si>
  <si>
    <t>SYS6010 Versus Docetaxel for Previously Treated EGFR Wild-type NSCLC: Phase Ⅲ</t>
  </si>
  <si>
    <t>NCT07584135</t>
  </si>
  <si>
    <t>JS107 in Combination With Toripalimab and Chemotherapy for the Treatment of CLDN18.2-positive Gastric or Gastroesophageal Junction Adenocarcinoma</t>
  </si>
  <si>
    <t>NingBo Junyan Hongshi Biosciences Co., Ltd</t>
  </si>
  <si>
    <t>NCT07694128</t>
  </si>
  <si>
    <t>Bioequivalence Study to Compare Selexipag 400 Microgram Film Coated Tablets Versus Uptravi® (Selexipag) 400 Microgram Film Coated Tablets</t>
  </si>
  <si>
    <t>NCT07358377</t>
  </si>
  <si>
    <t>A Trial of HRS-6209-205 to Evaluate the Safety, Tolerability, Pharmacokinetics and Efficacy of HRS-6209 in Combination Therapy in Subjects With HR-Positive/HER2-Negative Cancer</t>
  </si>
  <si>
    <t>NCT07703956</t>
  </si>
  <si>
    <t>Evaluating Safety and Efficacy of VV119 in Acute Schizophrenia Adults</t>
  </si>
  <si>
    <t>NCT07299422</t>
  </si>
  <si>
    <t>A Study of SHR-2173 in Participants With Systemic Lupus Erythematosus</t>
  </si>
  <si>
    <t>NCT07597629</t>
  </si>
  <si>
    <t>A Clinical Study of SYS6023 Combination Therapy for Advanced Breast Cancer</t>
  </si>
  <si>
    <t>NCT07398339</t>
  </si>
  <si>
    <t>Cosiporfin Sodium for Injection Photodynamic Therapy</t>
  </si>
  <si>
    <t>Shanghai Guangsheng Biopharmaceutical Co., Ltd</t>
  </si>
  <si>
    <t>NCT07597928</t>
  </si>
  <si>
    <t>A Study to Learn How Different Forms of the Study Medicine Called PF-08049820 Are Absorbed and Eliminated in Healthy Adults</t>
  </si>
  <si>
    <t>NCT07578337</t>
  </si>
  <si>
    <t>A Clinical Study Evaluating a New Treatment Strategy for Patients With Advanced Pancreatic Cancer Who Have Not Received Prior Treatment for Advanced Disease.</t>
  </si>
  <si>
    <t>NCT07061938</t>
  </si>
  <si>
    <t>Study to Assess Safety, Efficacy and Persistence of ACE1831, in Subjects With IgG4-Related Disease</t>
  </si>
  <si>
    <t>NCT07179380</t>
  </si>
  <si>
    <t>Efficacy and Safety Study of Treprostinil Palmitil Inhalation Powder (TPIP) in Participants With Pulmonary Hypertension Associated With Interstitial Lung Disease (PH-ILD)</t>
  </si>
  <si>
    <t>NCT07472361</t>
  </si>
  <si>
    <t>A Study of ENX-104 in Healthy Participants</t>
  </si>
  <si>
    <t>NCT07473570</t>
  </si>
  <si>
    <t>A Study（Phase I）of GS3-007a Dry Suspension in Healthy Chinese Adults</t>
  </si>
  <si>
    <t>NCT07339722</t>
  </si>
  <si>
    <t>A Study of LY4515100 in Healthy Participants</t>
  </si>
  <si>
    <t>NCT07417566</t>
  </si>
  <si>
    <t>A Study of DC6001 Tablet in Healthy Chinese Adult Subjects</t>
  </si>
  <si>
    <t>NCT07349394</t>
  </si>
  <si>
    <t>Effect of Vanzacaftor/Tezacaftor/Deutivacaftor (VNZ/TEZ/D-IVA) on the PK of Rosuvastatin in Healthy Participants</t>
  </si>
  <si>
    <t>NCT07571174</t>
  </si>
  <si>
    <t>A Substudy of LY4256984 in Participants With Sporadic Amyotrophic Lateral Sclerosis</t>
  </si>
  <si>
    <t>NCT07211659</t>
  </si>
  <si>
    <t>Trial of THEO-260 (Administered Via Intraperitoneal Route) in Ovarian Cancer Patients</t>
  </si>
  <si>
    <t>NCT07390383</t>
  </si>
  <si>
    <t>A Phase II Clinical Trial of LBL-024 Combination Drug in Patients With Advanced Solid Tumour[Substudy 04]</t>
  </si>
  <si>
    <t>NCT07429474</t>
  </si>
  <si>
    <t>Safety and Immunogenicity of PRO-169 in Patients With Diabetic Macular Edema</t>
  </si>
  <si>
    <t>NCT07395986</t>
  </si>
  <si>
    <t>A Multicenter, Randomized, Double-Masked, Placebo-Controlled Pilot Study to Evaluate the Efficacy and Safety of ZOC2017217 in Subjects With Age-Related Cataract</t>
  </si>
  <si>
    <t>Ocusun Ophthalmic Pharmaceutical (Guangzhou) Co., Ltd.</t>
  </si>
  <si>
    <t>NCT07553351</t>
  </si>
  <si>
    <t>GB06 Phase III Trial for Pediatric Growth Hormone Deficiency</t>
  </si>
  <si>
    <t>NCT07633288</t>
  </si>
  <si>
    <t>A Clinical Trial Evaluating the Safety and Efficacy of AP1189 Versus Placebo as an add-on to Standard of Care in Participants With Respiratory Insufficiency Expected to be Caused by Infection With Respiratory Viruses</t>
  </si>
  <si>
    <t>NCT07577856</t>
  </si>
  <si>
    <t>A Study of JNJ-78934804 in Participants With Moderately to Severely Active Ulcerative Colitis</t>
  </si>
  <si>
    <t>NCT07201922</t>
  </si>
  <si>
    <t>A Study to Test Whether Nerandomilast Can Help Slow Down Changes in the Lung in People With a Family History of Pulmonary Fibrosis</t>
  </si>
  <si>
    <t>NCT07483346</t>
  </si>
  <si>
    <t>IASO-782 in Systemic Lupus Erythematosus</t>
  </si>
  <si>
    <t>NCT07441642</t>
  </si>
  <si>
    <t>A Study to Investigate Efficacy and Safety of FWY003 Compared With Placebo in Participants With Geographic Atrophy Secondary to Age-related Macular Degeneration</t>
  </si>
  <si>
    <t>NCT07557953</t>
  </si>
  <si>
    <t>A Research Study Looking Into How Cagrilintide Influences Food Intake and Appetite in People With Overweight or Obesity</t>
  </si>
  <si>
    <t>NCT07405970</t>
  </si>
  <si>
    <t>A Phase 3 Clinical Study of MIL62 in Systemic Lupus Erythematosus</t>
  </si>
  <si>
    <t>NCT07500805</t>
  </si>
  <si>
    <t>UCL70805F in Patients With CD70-positive Advanced Renal Clear Cell Carcinoma</t>
  </si>
  <si>
    <t>NCT07744256</t>
  </si>
  <si>
    <t>Adaptive Phase 1/2 Study of Dual-Target CAR-NK Cells in Relapsed/Refractory Small Cell Lung Cancer (SCLC)</t>
  </si>
  <si>
    <t>NCT07362186</t>
  </si>
  <si>
    <t>LM-108 in Combination With Toripalimab Versus Paclitaxel Injection for the Treatment of Subjects With CCR8-Positive Gastric and Gastroesophageal Junction Adenocarcinoma</t>
  </si>
  <si>
    <t>NCT07682896</t>
  </si>
  <si>
    <t>Evaluation of YB-101 for Safety, Tolerability, Pharmacokinetics, and Efficacy in Graves' Disease</t>
  </si>
  <si>
    <t>Yarrow Bioscience, Inc.</t>
  </si>
  <si>
    <t>NCT07601386</t>
  </si>
  <si>
    <t>Safety and Efficacy of JMKX000189 for Chemotherapy-Induced Peripheral Neuropathy</t>
  </si>
  <si>
    <t>Shanghai Jeyou Pharmaceutical Co., Ltd.</t>
  </si>
  <si>
    <t>NCT07480941</t>
  </si>
  <si>
    <t>NCT07609667</t>
  </si>
  <si>
    <t>SKB315 in Combination Therapy in Patients With Advanced or Metastatic GC/ GEJ Adenocarcinoma</t>
  </si>
  <si>
    <t>NCT02943642</t>
  </si>
  <si>
    <t>Safety and Effectiveness of A-dmDT390-bisFv(UCHT1) Fusion Protein in Subjects With Mycosis Fungoides</t>
  </si>
  <si>
    <t>Virogen Biotechnology Inc.</t>
  </si>
  <si>
    <t>NCT07489573</t>
  </si>
  <si>
    <t>Study of Efficacy and Safety of Secukinumab in Chinese Adult Patients With Moderate to Severe Hidradenitis Suppurativa</t>
  </si>
  <si>
    <t>NCT07497880</t>
  </si>
  <si>
    <t>Efficacy and Safety of Oral KAI-7535 in Adult Participants Living With Obesity or Overweight With at Least 1 Weight-Related Comorbidity</t>
  </si>
  <si>
    <t>NCT07323654</t>
  </si>
  <si>
    <t>A Study of KT-621 Administered Orally to Adult Participants With Moderate to Severe Eosinophilic Asthma</t>
  </si>
  <si>
    <t>NCT07361354</t>
  </si>
  <si>
    <t>An Ethnobridging TriaL of AGA2118 in Healthy Japanese, Chinese, and Caucasian ParticipantS (ATLAS)</t>
  </si>
  <si>
    <t>NCT07673120</t>
  </si>
  <si>
    <t>A Study to Assess Safety, Tolerability, and How Single and Multiple Injections or Infusions of ABBV-313 Affects the Body of Adult Participants</t>
  </si>
  <si>
    <t>NCT07476183</t>
  </si>
  <si>
    <t>Assessing the Safety, Tolerability, and Efficacy of APR-2020 in Pediatric and Adolescent Subjects With RPS19 Deficient Diamond-Blackfan Anemia</t>
  </si>
  <si>
    <t>Apriligen, Inc.</t>
  </si>
  <si>
    <t>NCT07479862</t>
  </si>
  <si>
    <t>A Study of SA030 Injection in Overweight or Obese Participants</t>
  </si>
  <si>
    <t>NCT07218341</t>
  </si>
  <si>
    <t>A Study of Pirtobrutinib (LY3527727) in Participants With Chronic Lymphocytic Leukemia/Small Lymphocytic Lymphoma</t>
  </si>
  <si>
    <t>NCT07175441</t>
  </si>
  <si>
    <t>Evaluation of RBS2418 in Combination With Tremelimumab Plus Durvalumab in Participants With Advanced Unresectable Hepatocellular Carcinoma</t>
  </si>
  <si>
    <t>NCT07433179</t>
  </si>
  <si>
    <t>A Study to Evaluate Single and Multiple Doses of SEP-479 in Healthy Adult Participants</t>
  </si>
  <si>
    <t>NCT06692712</t>
  </si>
  <si>
    <t>Phase 3 Efficacy Study With Concurrent Control of IT MELPIDA in SPG50.Concurrent Controls.</t>
  </si>
  <si>
    <t>NCT07636707</t>
  </si>
  <si>
    <t>QLF4113 in Participants With Metastatic Prostate Cancer</t>
  </si>
  <si>
    <t>NCT07348653</t>
  </si>
  <si>
    <t>A Study of MG2512 Injection in Participants With Advanced Solid Tumors</t>
  </si>
  <si>
    <t>Shanghai Mabgen Biopharmaceutical Technology Co., Ltd.</t>
  </si>
  <si>
    <t>NCT06506175</t>
  </si>
  <si>
    <t>A Clinical Study to Evaluate the Effect of Different Dosing Conditions on the Pharmacokinetics of HRS9531 Tablets in Healthy Participants</t>
  </si>
  <si>
    <t>NCT07519577</t>
  </si>
  <si>
    <t>A Study of CM512 in Patients With Chronic Rhinosinusitis With Nasal Polyposis （NEZHA-2）</t>
  </si>
  <si>
    <t>NCT06968481</t>
  </si>
  <si>
    <t>Sublingual Oxytocin for the Prevention of Post-partum Hemorrhage</t>
  </si>
  <si>
    <t>NCT07449936</t>
  </si>
  <si>
    <t>COMO: A Phase 3 Randomized, Double-Masked Study Comparing the Efficacy of EYP-1901 Against Aflibercept in DME</t>
  </si>
  <si>
    <t>NCT07647744</t>
  </si>
  <si>
    <t>To Evaluate the Safety and Tolerability of Anti-Human CD70 T-Cell Injection in Subjects With Advanced/Metastatic Renal Cancer</t>
  </si>
  <si>
    <t>NCT07538583</t>
  </si>
  <si>
    <t>Phase 2/3 Clinical Study of QRX003 Lotion in Subjects With Netherton Syndrome</t>
  </si>
  <si>
    <t>NCT07561554</t>
  </si>
  <si>
    <t>Phase I Study of HSK42360-Na in Solid Tumors With BRAF V600 Mutation</t>
  </si>
  <si>
    <t>NCT07697456</t>
  </si>
  <si>
    <t>Study of Advanced Therapies for the Treatment of Adult Participants With Moderately to Severely Active Crohn's Disease or Ulcerative Colitis</t>
  </si>
  <si>
    <t>NCT07634367</t>
  </si>
  <si>
    <t>Long-Term Safety and Efficacy of HSK39004 Inhalation Suspension in COPD</t>
  </si>
  <si>
    <t>NCT07564505</t>
  </si>
  <si>
    <t>Post - Marketing Case Registration Study on the Safety and Efficacy of Adalimumab Solution for Injection in Chinese Pediatric Patients With Moderate - to - Severe Active Crohn's Disease</t>
  </si>
  <si>
    <t>NCT07293351</t>
  </si>
  <si>
    <t>A Study to Evaluate the Safety, Tolerability, and Efficacy of Pumitamig Alone or in Combination With Ipilimumab or Cabozantinib in Participants With Advanced Renal Cell Carcinoma (RCC) (ROSETTA RCC-208)</t>
  </si>
  <si>
    <t>NCT07525375</t>
  </si>
  <si>
    <t>A Phase II Study to Investigate Lung Function With 2 Different Doses of Inhaled Glycopyrronium Taken With BFF Compared to BFF in Participants of 4 to Less Than 12 Years of Age With Asthma</t>
  </si>
  <si>
    <t>NCT07518173</t>
  </si>
  <si>
    <t>A Study of BL-M07D1 Combined With Pertuzumab Versus Docetaxel Plus Trastuzumab and Pertuzumab in Patients With First-line HER2-positive Recurrent or Metastatic Breast Cancer</t>
  </si>
  <si>
    <t>NCT07421700</t>
  </si>
  <si>
    <t>Symbiotic-GU-06: A Study to Learn About PF-08634404 Alone or In Combination With Enfortumab Vedotin in Urothelial Cancer</t>
  </si>
  <si>
    <t>NCT07644650</t>
  </si>
  <si>
    <t>Phase 1 Study of MST-168 in Participants With Advanced Solid Malignant Tumors</t>
  </si>
  <si>
    <t>Mabsoft Therapeutics (Shanghai) Co., Ltd.</t>
  </si>
  <si>
    <t>NCT07679893</t>
  </si>
  <si>
    <t>Phase 2 Clinical Trial of MNKD-201 (Nintedanib Dry Powder Inhalation) in Patients With Idiopathic Pulmonary Fibrosis</t>
  </si>
  <si>
    <t>NCT07495514</t>
  </si>
  <si>
    <t>A Study to Evaluate the Effect of Food on the Pharmacokinetic Characteristics and Safety Profile of AD-117 in Healthy Adult Volunteers</t>
  </si>
  <si>
    <t>NCT07614984</t>
  </si>
  <si>
    <t>A Clinical Trial of MK-7262 and Enlicitide in Participants With High Lipoprotein(a) (MK-7262-004)</t>
  </si>
  <si>
    <t>NCT07706855</t>
  </si>
  <si>
    <t>Safety and Efficacy Study of GKL-006RTU in Moderate to Severe Acute Respiratory Distress Syndrome (ARDS)</t>
  </si>
  <si>
    <t>NCT07630714</t>
  </si>
  <si>
    <t>A Study to Investigate Pharmacokinetics, Pharmacodynamics, and Safety of Subcutaneous Anifrolumab in Pediatric Participants 5 to &lt; 18 Years of Age With Systemic Lupus Erythematosus</t>
  </si>
  <si>
    <t>NCT07341100</t>
  </si>
  <si>
    <t>Study to Evaluate the Preliminary Efficacy of SKB264 and the Effect of Clarithromycin on the PK of SKB264 in OC</t>
  </si>
  <si>
    <t>NCT06953934</t>
  </si>
  <si>
    <t>A Mass Balance Study of Oral [14C] ABBV-932 in Healthy Adult Male Participants</t>
  </si>
  <si>
    <t>NCT07601334</t>
  </si>
  <si>
    <t>Safety and Activity of HF50 in Patients With Advanced Solid Tumors</t>
  </si>
  <si>
    <t>NCT07374549</t>
  </si>
  <si>
    <t>SYS6002 vs PADCEV in Patients With Advanced Urothelial Carcinoma</t>
  </si>
  <si>
    <t>NCT07150026</t>
  </si>
  <si>
    <t>An Exploratory Evaluation of the Safety and Efficacy of Vorinostat in Pitt Hopkins Syndrome</t>
  </si>
  <si>
    <t>Unravel Biosciences, Inc.</t>
  </si>
  <si>
    <t>NCT07626515</t>
  </si>
  <si>
    <t>A Study to Evaluate Safety, Tolerability, and Pharmacokinetics of Enicepatide in Generally Healthy Adult Chinese Participants</t>
  </si>
  <si>
    <t>NCT07277582</t>
  </si>
  <si>
    <t>Evaluation of Efficacy and Safety of THRV-1268 in Long QT Syndrome Type 2 (LQTS 2)</t>
  </si>
  <si>
    <t>NCT07463846</t>
  </si>
  <si>
    <t>A Study to Evaluate ALN-2232 in Participants With Obesity</t>
  </si>
  <si>
    <t>NCT07697846</t>
  </si>
  <si>
    <t>A Study to Investigate the Effects of Zovaglutide (ZT002 Injection) on QTc Interval in Healthy Adults</t>
  </si>
  <si>
    <t>NCT07487597</t>
  </si>
  <si>
    <t>Functionally Enhanced ALPP-Targeted Engineered T Cells in Advanced Solid Tumors</t>
  </si>
  <si>
    <t>NCT07603713</t>
  </si>
  <si>
    <t>Efficacy and Safety of LP-005 Injection in Patients With Moderate-to-Severe Periodontitis</t>
  </si>
  <si>
    <t>Longbio Pharma (Suzhou) Co., Ltd.</t>
  </si>
  <si>
    <t>NCT07613723</t>
  </si>
  <si>
    <t>A Study to Test the Safety, Tolerability and Effect of ZI-MA4-1 for Patients With Locally Advanced or Metastatic Solid Malignancies</t>
  </si>
  <si>
    <t>Zelluna Immunotherapy AS</t>
  </si>
  <si>
    <t>NCT07229625</t>
  </si>
  <si>
    <t>A Phase III Study of SHR-8068 in Combination With Adebrelimab and Platinum-Containing Chemotherapy Versus Durvalumab in Combination With Platinum-Containing Chemotherapy as First-line Treatment for Advanced Biliary Tract Cancer (BTC)</t>
  </si>
  <si>
    <t>NCT07710768</t>
  </si>
  <si>
    <t>A Research Study on How UBT251 Affects Levels of Midazolam, Caffeine and Warfarin in the Blood of Participants With Excess Body Weight</t>
  </si>
  <si>
    <t>NCT07475715</t>
  </si>
  <si>
    <t>Efficacy and Safety of Sublingual Immunotherapy for Allergic Rhinitis Due to House Dust Mites</t>
  </si>
  <si>
    <t>Zhejiang Wolwo Bio-Pharmaceutical Co., Ltd.</t>
  </si>
  <si>
    <t>NCT07520006</t>
  </si>
  <si>
    <t>Study of NX-5948 in Combination With Other Agents in Adults With B-cell Malignancies</t>
  </si>
  <si>
    <t>NCT07406633</t>
  </si>
  <si>
    <t>KQB198 in Combination With Imatinib in Participants With Advanced/Metastatic GIST in 1st Line Setting (SynerGIST-1st Line)</t>
  </si>
  <si>
    <t>NCT06093425</t>
  </si>
  <si>
    <t>Combination of Osemitamab (TST001), Pembrolizumab and Chemotherapy as First-line Therapy in Advanced or Metastatic GC/GEJ Adenocarcinoma</t>
  </si>
  <si>
    <t>NCT07489716</t>
  </si>
  <si>
    <t>A Phase II Clinical Trial of SHR-1826 for Non-Small Cell Lung Cancer</t>
  </si>
  <si>
    <t>NCT07658534</t>
  </si>
  <si>
    <t>A Study of Ziresovir (AK0529) in High-risk Adult With Respiratory Syncytial Virus (RSV) Infection.</t>
  </si>
  <si>
    <t>NCT07660198</t>
  </si>
  <si>
    <t>Study to Learn About Safety, Tolerability, and Immune Response of a Catch-up Pneumococcal Vaccine in Children and Adolescents</t>
  </si>
  <si>
    <t>NCT07238647</t>
  </si>
  <si>
    <t>A Trial of HRS-5817 in Obese Participants</t>
  </si>
  <si>
    <t>NCT07652047</t>
  </si>
  <si>
    <t>A Study to Evaluate the Safety and Tolerability of Different Doses of CX11 Tablets</t>
  </si>
  <si>
    <t>NCT07335055</t>
  </si>
  <si>
    <t>A Study for HSK47388 in Participants With Ulcerative Colitis</t>
  </si>
  <si>
    <t>NCT07318792</t>
  </si>
  <si>
    <t>Using TropoCells(R) Autologous Platelet-Rich Fibrin (PRF) to Treat Chronic Non-Healing Wounds</t>
  </si>
  <si>
    <t>NCT07600021</t>
  </si>
  <si>
    <t>A Phase II Study to Evaluate the Efficacy and Safety of SYH2059 Tablets in Adult Patients With Idiopathic Pulmonary Fibrosis</t>
  </si>
  <si>
    <t>InnovStone Therapeutics Limited</t>
  </si>
  <si>
    <t>NCT07408908</t>
  </si>
  <si>
    <t>Safety, Tolerability, and Pharmacokinetic/Pharmacodynamic (PK/PD) Profile of ACT100 in Healthy Participants..</t>
  </si>
  <si>
    <t>NCT07526116</t>
  </si>
  <si>
    <t>A First in Human Study to Assess Safety, Tolerability and Pharmacokinetics of a Single Dose of REGN22044 in Healthy Adults</t>
  </si>
  <si>
    <t>NCT07519135</t>
  </si>
  <si>
    <t>A Study to Learn About the Medicine Called PF-08653944 in People With and Without Reduced Liver Function</t>
  </si>
  <si>
    <t>NCT07601425</t>
  </si>
  <si>
    <t>Harmony-HHT: ATV-1601 in Participants With Hereditary Hemorrhagic Telangiectasia (HHT)</t>
  </si>
  <si>
    <t>NCT07665268</t>
  </si>
  <si>
    <t>Study Title: A Multicenter, Prospective, Modified Platform Trial Evaluating Several Cellular, Acellular, and Matrix-like Products (CAMPs) and Standard of Care Versus Matched Standard of Care Controls in the Management of Nonhealing Pressure Ulcers.</t>
  </si>
  <si>
    <t>NCT07365462</t>
  </si>
  <si>
    <t>Efficacy, Safety, and Tolerability of NBI-1065890 Versus Placebo in Adults With Tardive Dyskinesia</t>
  </si>
  <si>
    <t>NCT07544654</t>
  </si>
  <si>
    <t>DAREON®-NEC-1: A Study in People With Advanced Extrapulmonary Neuroendocrine Cancer (epNEC) to Compare Obrixtamig Plus Carboplatin and Etoposide Treatment With Standard Chemotherapy</t>
  </si>
  <si>
    <t>NCT07652294</t>
  </si>
  <si>
    <t>Long-term Safety and Efficacy of Multiple Long-acting Antibodies Alone and in Combinations for IBD</t>
  </si>
  <si>
    <t>NCT07641881</t>
  </si>
  <si>
    <t>A Bioequivalence Study Between Two Casdatifan Tablet Strengths and Food Effect Study of Casdatifan in Healthy Adult Participants</t>
  </si>
  <si>
    <t>NCT07006688</t>
  </si>
  <si>
    <t>A Study of an IDH1m Inhibitor in Participants With IDH1-Mutated Malignancies and Hepatic or Renal Impairment</t>
  </si>
  <si>
    <t>NCT07253753</t>
  </si>
  <si>
    <t>A Study to Evaluate Safety and Dosimetry of [18F]4-FDF, a New PET Imaging Agent for Inflammation</t>
  </si>
  <si>
    <t>Yellowbird Diagnostics Inc</t>
  </si>
  <si>
    <t>NCT07144072</t>
  </si>
  <si>
    <t>Safety and Tolerability Study of Mesenchymal Stem Cells, HeXell-2020, in Elderly Subjects With Mild to Moderate Frailty Syndrome</t>
  </si>
  <si>
    <t>NCT07658339</t>
  </si>
  <si>
    <t>A Phase 3 Clinical Trial to Evaluate the Safety and Efficacy of HSK39004 Inhalation Suspension in Patients With COPD</t>
  </si>
  <si>
    <t>NCT07583212</t>
  </si>
  <si>
    <t>Phase I Study of HRS-1635 in B-cell Malignancies</t>
  </si>
  <si>
    <t>NCT07736937</t>
  </si>
  <si>
    <t>Study of TUB-040 Given With Standard Ovarian Cancer Drugs in Patients With Fast-growing Ovarian Cancer</t>
  </si>
  <si>
    <t>NCT07449572</t>
  </si>
  <si>
    <t>Clinical Study to Evaluate the Safety, Tolerability, and Pharmacokinetics of HT31-1 for Treating ARDS</t>
  </si>
  <si>
    <t>HTIC, Inc</t>
  </si>
  <si>
    <t>NCT07725939</t>
  </si>
  <si>
    <t>A Study of 24 to 52 Weeks Treatment to Evaluate The Efficacy And Safety of Galvokimig in Study Participants With Moderate-to-Severe Chronic Obstructive Pulmonary Disease (COPD) With Chronic Bronchitis</t>
  </si>
  <si>
    <t>NCT07608770</t>
  </si>
  <si>
    <t>A Study to Evaluate the Efficacy, Safety, and Tolerability of CBL-514 Injection for Reducing Abdominal Subcutaneous Fat</t>
  </si>
  <si>
    <t>NCT07412353</t>
  </si>
  <si>
    <t>A Single Ascending Dose Study to Evaluate the Safety, Tolerability and Pharmacokinetics of SYH2085</t>
  </si>
  <si>
    <t>NCT07486102</t>
  </si>
  <si>
    <t>A Study to Test How BI 3000202 is Taken up in the Blood of People With and Without Liver Problems</t>
  </si>
  <si>
    <t>NCT07535775</t>
  </si>
  <si>
    <t>Evaluate Safety, Pharmacodynamics, Pharmacokinetics, and Immunogenicity of BCD-261 After Single Subcutaneous Injection in Healthy Chinese Volunteers</t>
  </si>
  <si>
    <t>NCT07668557</t>
  </si>
  <si>
    <t>Anti-CD33-CLL1 CAR-T Cells (ICG415) for the Treatment of Relapsed/Refractory Acute Myeloid Leukemia</t>
  </si>
  <si>
    <t>NCT07387367</t>
  </si>
  <si>
    <t>A Phase 3 Trial to Compare IV BCV Versus IV CDV for Treatment of Adenovirus Infection After Allo-HCT</t>
  </si>
  <si>
    <t>NCT07692165</t>
  </si>
  <si>
    <t>A Phase Ib/IIa Study of INT-210 Capsules in Participants With Active Ulcerative Colitis</t>
  </si>
  <si>
    <t>NCT07665892</t>
  </si>
  <si>
    <t>Phase 1 Study Evaluating Safety and Pharmacokinetics of ASY202 in Adults With Asthma</t>
  </si>
  <si>
    <t>NCT07374471</t>
  </si>
  <si>
    <t>A Study of MB-001 in Moderately to Severely Active Ulcerative Colitis</t>
  </si>
  <si>
    <t>NCT07597200</t>
  </si>
  <si>
    <t>A Clinical Study of Cizutamig in Thyroid Eye Disease</t>
  </si>
  <si>
    <t>NCT07673107</t>
  </si>
  <si>
    <t>Study of AGN-151607-DP to Assess Adverse Events and Change in Disease Activity in Adult Participants With Upper Limb Essential Tremor</t>
  </si>
  <si>
    <t>NCT01451853</t>
  </si>
  <si>
    <t>SPI-1005 for Prevention and Treatment of Chemotherapy Induced Hearing Loss</t>
  </si>
  <si>
    <t>NCT07177872</t>
  </si>
  <si>
    <t>A Long-term Efficacy and Safety of NTQ5082 Capsules</t>
  </si>
  <si>
    <t>NCT07695701</t>
  </si>
  <si>
    <t>Cardiac Magnetic Resonance and Echocardiography Study With Acoramidis</t>
  </si>
  <si>
    <t>NCT07469800</t>
  </si>
  <si>
    <t>Efficacy and Safety of IBI362 in Hypertensive Patients With Overweight/Obesity</t>
  </si>
  <si>
    <t>NCT07431307</t>
  </si>
  <si>
    <t>Safety, Pharmacokinetics and Efficacy of BV100 Plus Low Dose Polymyxin B Plus Ceftazidime/Avibactam, or Plus Cefiderocol in Patients With Pulmonary and Extrapulmonary Infections Due to Carbapenem-resistant Acinetobacter Baumannii-calcoaceticus Complex</t>
  </si>
  <si>
    <t>NCT07669077</t>
  </si>
  <si>
    <t>A Study to Assess Nipocalimab Concentrations in Breast Milk of Healthy Lactating Women</t>
  </si>
  <si>
    <t>NCT07262619</t>
  </si>
  <si>
    <t>EIK1005-002: A Clinical Research Study Evaluating EIK1005, a Werner Helicase Inhibitor, as Monotherapy and in Combination With Pembrolizumab in Participants With Advanced Solid Tumors Including Microsatellite Instability High (MSI-H) Tumors</t>
  </si>
  <si>
    <t>NCT07690371</t>
  </si>
  <si>
    <t>A Phase 3 Study of Rezpegaldesleukin (NKTR-358) for Patients ≥ 12 Years of Age With Moderate-to-Severe Atopic Dermatitis</t>
  </si>
  <si>
    <t>NCT07399171</t>
  </si>
  <si>
    <t>Study to Evaluate the Effect of HT-4253 for the Prevention of Alzheimer's Disease in APOE4 Carriers</t>
  </si>
  <si>
    <t>NCT07637734</t>
  </si>
  <si>
    <t>Cantharidin Application in Patients With Common Warts (Verruca Vulgaris) (COVE-3)</t>
  </si>
  <si>
    <t>NCT07483567</t>
  </si>
  <si>
    <t>IBI343 in Combination With Sintilimab and SOX Regimen for Perioperative Treatment of Resectable, Locally Advanced Gastric or Gastroesophageal Junction Adenocarcinoma</t>
  </si>
  <si>
    <t>NCT07578012</t>
  </si>
  <si>
    <t>Prevention With Ismigen of RTIs in Kids</t>
  </si>
  <si>
    <t>NCT07422207</t>
  </si>
  <si>
    <t>A Study to Investigate the Safety, Tolerability, and Pharmacokinetics of ME3241 Administered Intravenously in Healthy Adult Participants</t>
  </si>
  <si>
    <t>NCT07222137</t>
  </si>
  <si>
    <t>A Study of Baricitinib (LY3009104) for the Delay of Stage 3 Type 1 Diabetes in At-Risk Children and Adults</t>
  </si>
  <si>
    <t>NCT07606365</t>
  </si>
  <si>
    <t>A Study in Adults With Geographic Atrophy</t>
  </si>
  <si>
    <t>Sitala Bio LTD</t>
  </si>
  <si>
    <t>NCT07410507</t>
  </si>
  <si>
    <t>A Study of Brenipatide in Adult Participants With Schizophrenia</t>
  </si>
  <si>
    <t>NCT07312799</t>
  </si>
  <si>
    <t>Evaluate the Pharmacokinetic Interaction and the Safety of AD-2321 and AD-2322</t>
  </si>
  <si>
    <t>NCT07188558</t>
  </si>
  <si>
    <t>A Study to Investigate Ronde-cel Versus Investigator's Choice CD19 CAR T-Cell Therapy</t>
  </si>
  <si>
    <t>NCT07364448</t>
  </si>
  <si>
    <t>A Study to Evaluate the Safety of Hydronidone Capsules in Patients With Liver Fibrosis</t>
  </si>
  <si>
    <t>NCT07623616</t>
  </si>
  <si>
    <t>A Phase 2 Clinical Study of Ziftomenib in Patients With Relapsed or Refractory NPM1-Mutated Acute Myeloid Leukemia</t>
  </si>
  <si>
    <t>NCT07600749</t>
  </si>
  <si>
    <t>Clinical Study of MK-4884 in Participants With Advanced or Metastatic Solid Tumors (MK-4884-001)</t>
  </si>
  <si>
    <t>NCT07295821</t>
  </si>
  <si>
    <t>Osimertinib Induction and Maintenance for Chemo-ineligible Stage III Unresectable EGFR+ NSCLC: Single-arm Study</t>
  </si>
  <si>
    <t>NCT07677514</t>
  </si>
  <si>
    <t>A Phase II Study of H021 Enteric-coated Tablets for Moderately to Severely Active Crohn's Disease</t>
  </si>
  <si>
    <t>NCT07660211</t>
  </si>
  <si>
    <t>Clinical Evaluation of 177Lu-PSMA-VG01 Injection in Patients With PSMA-Positive Metastatic Castration-Resistant Prostate Cancer （mCRPC）</t>
  </si>
  <si>
    <t>VitsGen Therapeutics Inc.</t>
  </si>
  <si>
    <t>NCT07464314</t>
  </si>
  <si>
    <t>A Study on the Safety and Immune Response of Investigational mRNA Seasonal Flu/COVID-19 Combination Vaccine in Adults</t>
  </si>
  <si>
    <t>NCT07454863</t>
  </si>
  <si>
    <t>A Mass Balance Study of DZD8586 in Healthy Male Participants (TAI-SHAN15)</t>
  </si>
  <si>
    <t>NCT07481604</t>
  </si>
  <si>
    <t>Safety and Immunogenicity of CVI-VZV-001 in Adults Aged 50 Years and Above</t>
  </si>
  <si>
    <t>Aribio Lab Co., Ltd.</t>
  </si>
  <si>
    <t>NCT07383116</t>
  </si>
  <si>
    <t>Phase III Clinical Study of HB0025 Combined With Chemotherapy Versus Tislelizumab Combined With Chemotherapy as First-Line Treatment for Advanced Nonsquamous Non-Small Cell Lung Cancer</t>
  </si>
  <si>
    <t>NCT07560033</t>
  </si>
  <si>
    <t>A Comparative Pharmacokinetic Study of CM326 in Healthy Subjects</t>
  </si>
  <si>
    <t>NCT07285434</t>
  </si>
  <si>
    <t>Clinical Study of the Therapeutic Effectiveness of In-silico-Designed, Machine Learning Inspired, and Quantum-molecularly Coupled Personalized Neoantigenic Vaccines Microlyvaq™ in Patients With Advanced Non-small Cell Lung Cancer</t>
  </si>
  <si>
    <t>NCT07335198</t>
  </si>
  <si>
    <t>A Study to Evaluate the Safety, Tolerability, Pharmacokinetics and Immunogenicity of Efimosfermin Alfa Administered as a Single Dose to Healthy Participants of Chinese, Japanese, and White/European Ancestry</t>
  </si>
  <si>
    <t>NCT06887738</t>
  </si>
  <si>
    <t>Study of NM8074 in Patients with Dermatomyositis (DM)</t>
  </si>
  <si>
    <t>NCT07600476</t>
  </si>
  <si>
    <t>A First-in-Human Study to Evaluate the Safety, Pharmacokinetics and Pharmacodynamics of KUP-101A in Patients With Selected Advanced Solid Tumors</t>
  </si>
  <si>
    <t>Kupando GmbH</t>
  </si>
  <si>
    <t>NCT07595913</t>
  </si>
  <si>
    <t>A Study of ZG006 for Injection Versus Investigator-Selected Chemotherapy in Participants With Advanced Neuroendocrine Carcinoma</t>
  </si>
  <si>
    <t>NCT07172919</t>
  </si>
  <si>
    <t>A Rollover Study Evaluating Sotorasib With or Without Panitumumab in Participants With KRAS p.G12C Mutation</t>
  </si>
  <si>
    <t>NCT07687966</t>
  </si>
  <si>
    <t>CBP-0276 to Reduce Opioid Use in Adults Undergoing Major Orthopedic Surgery</t>
  </si>
  <si>
    <t>NCT07358988</t>
  </si>
  <si>
    <t>KN5501 Cell Injection for Refractory SLE(CLEAR)</t>
  </si>
  <si>
    <t>Ruitherapeutics Co., LTD</t>
  </si>
  <si>
    <t>NCT07503561</t>
  </si>
  <si>
    <t>A Study to Understand How a New, Unlicensed Drug (AIC468) Works, Compared With a Placebo, Against BK Virus in Patients Who Have Had a Kidney Transplant.</t>
  </si>
  <si>
    <t>NCT07608666</t>
  </si>
  <si>
    <t>Study to Evaluate the Effect of Rabeprazole Sodium Enteric-coated Tablets on the Pharmacokinetics of TQ05105 Tablets</t>
  </si>
  <si>
    <t>NCT04056429</t>
  </si>
  <si>
    <t>Multiregion BHA in Open Tibia Fractures</t>
  </si>
  <si>
    <t>NCT07402213</t>
  </si>
  <si>
    <t>Trial of JYB1904 Injection in Adult Patients With Chronic Spontaneous Urticaria.</t>
  </si>
  <si>
    <t>NCT07710560</t>
  </si>
  <si>
    <t>A Study Evaluating the Drug-Drug Interaction Between KL0011034 Injection and Alfentanil Hydrochloride Injection</t>
  </si>
  <si>
    <t>NCT07725562</t>
  </si>
  <si>
    <t>Phase IIb Clinical Trial to Evaluate the Efficacy and Safety of VG081821AC Tablets in Patients With Early to Mid-stage Parkinson's Disease</t>
  </si>
  <si>
    <t>NCT07349069</t>
  </si>
  <si>
    <t>A Phase III Trial Comparing HRS-8080 With Standard Endocrine Therapy in Patients With Intermediate or High Risk Early Breast Cancer</t>
  </si>
  <si>
    <t>NCT07131202</t>
  </si>
  <si>
    <t>A Study of FL115 in Combination With a PD-1 Antibody in Advanced Solid Tumors</t>
  </si>
  <si>
    <t>NCT07646353</t>
  </si>
  <si>
    <t>First-in-Human Dose-escalation of GSK4425689A: Safety, Tolerability, and PK in Healthy Adults</t>
  </si>
  <si>
    <t>NCT07231445</t>
  </si>
  <si>
    <t>Study of ZG006 in Combination With PD-1/PD-L1 Immune Checkpoint Inhibitors as First-Line Standard Therapy in Participants With Extensive Stage Small-Cell Lung Cancer</t>
  </si>
  <si>
    <t>NCT07266402</t>
  </si>
  <si>
    <t>A Study to Investigate Efficacy, Safety and Tolerability of Barzolvolimab Versus Placebo in Adults With Cold Induced Urticaria and Symptomatic Dermographism Inadequately Controlled by H1-antihistamines (EMBARQ - ColdU and SD)</t>
  </si>
  <si>
    <t>NCT07449702</t>
  </si>
  <si>
    <t>An Open-Label Extension Study of ORKA-001 in Participants With Plaque Psoriasis</t>
  </si>
  <si>
    <t>NCT07535931</t>
  </si>
  <si>
    <t>Umbilical Cord Mesenchymal Stem Cells (UC-MSC) in the Treatment of Systemic Sclerosis</t>
  </si>
  <si>
    <t>NCT07649941</t>
  </si>
  <si>
    <t>A Study in Healthy Men to Test How Bosentan Influences the Amount of Zongertinib in the Blood</t>
  </si>
  <si>
    <t>NCT07533266</t>
  </si>
  <si>
    <t>Study to Evaluate the Efficacy and Safety of Fexuprazan in Prevention of NSAIDs Induced Peptic Ulcer</t>
  </si>
  <si>
    <t>NCT07263139</t>
  </si>
  <si>
    <t>Safety, Tolerability, and Exploratory Efficacy of AGP100 in Patients With Catecholaminergic Polymorphic Ventricular Tachycardia (CPVT)</t>
  </si>
  <si>
    <t>Agiana Pharmaceuticals</t>
  </si>
  <si>
    <t>NCT07542483</t>
  </si>
  <si>
    <t>A Study of Lebrikizumab in Adults With Nummular Eczema</t>
  </si>
  <si>
    <t>NCT07512583</t>
  </si>
  <si>
    <t>Clinical Studies of TQB2930 Injection for the Treatment of Advanced Solid Tumors</t>
  </si>
  <si>
    <t>NCT07447557</t>
  </si>
  <si>
    <t>Study of Intrathecal ELP-02 for Charcot-Marie-Tooth Disease Type 4J (CMT4J)</t>
  </si>
  <si>
    <t>NCT07604571</t>
  </si>
  <si>
    <t>Study of IEV407 as Single Agent or in Combination in Patients With Advanced HR+/HER2- Breast Cancer</t>
  </si>
  <si>
    <t>NCT07613307</t>
  </si>
  <si>
    <t>A Study of Orforglipron (LY3502970) in Participants With Type 2 Diabetes Who Observe Ramadan Fasting</t>
  </si>
  <si>
    <t>NCT07282587</t>
  </si>
  <si>
    <t>Study of ONC206 (JZP3507) in Advanced Pheochromocytoma and Paraganglioma</t>
  </si>
  <si>
    <t>NCT04883619</t>
  </si>
  <si>
    <t>A Study of Nipocalimab in Adult Participants With Active Lupus Nephritis</t>
  </si>
  <si>
    <t>NCT07487519</t>
  </si>
  <si>
    <t>Phase II Study of HLX43 Monotherapy or Combined With Immune Checkpoint Inhibitors in Patients With Locally Advanced, Recurrent, or Metastatic Triple-negative Breast Cancer.</t>
  </si>
  <si>
    <t>NCT07453836</t>
  </si>
  <si>
    <t>Research on YTS109 Cell in Patients With Recurrent/Refractory Autoimmune Hemolytic Anemia</t>
  </si>
  <si>
    <t>NCT07607587</t>
  </si>
  <si>
    <t>Evaluation of the Tolerability of Cagrilintide in Participants Not Tolerating GLP-1-RA Therapies Due to Gastrointestinal Adverse Events</t>
  </si>
  <si>
    <t>NCT07732400</t>
  </si>
  <si>
    <t>A Study of VV-14303 for the Treatment of Metabolic Dysfunction-associated Steatohepatitis (MASH)</t>
  </si>
  <si>
    <t>NCT07280299</t>
  </si>
  <si>
    <t>Efficacy, Safety, Tolerability, and Biomarker Effects of GT-02287 in Early Parkinson's Disease</t>
  </si>
  <si>
    <t>NCT07255872</t>
  </si>
  <si>
    <t>A Study of BL-M11D1 in Combination With Cytarabine + Daunorubicin or Venetoclax + Azacitidine in Patients With Acute Myeloid Leukemia</t>
  </si>
  <si>
    <t>NCT07222761</t>
  </si>
  <si>
    <t>A Study to Compare Linvoseltamab Monotherapy and Linvoseltamab + Carfilzomib Combination Therapy With Standard-of-Care Combination Regimens in Adult Participants With Relapsed/Refractory Multiple Myeloma (RRMM)</t>
  </si>
  <si>
    <t>NCT06721494</t>
  </si>
  <si>
    <t>A Single-Dose Study to Evaluate Safety and Efficacy of CS-1103 in Participants Receiving a Single Dose of Methamphetamine</t>
  </si>
  <si>
    <t>NCT07522151</t>
  </si>
  <si>
    <t>Clinical Study of Adebrelimab Therapy in the Perioperative Treatment of Gastric Cancer or Gastroesophageal Junction Cancer</t>
  </si>
  <si>
    <t>NCT07349537</t>
  </si>
  <si>
    <t>Study of RMC-5127 in Patients With Advanced KRAS G12V-Mutant Solid Tumors</t>
  </si>
  <si>
    <t>NCT07478822</t>
  </si>
  <si>
    <t>A Study on Recombinant Botulinum Toxin Type A (YY001) for Injection in Multiple Treatments of Adult Upper Limb Spasticity</t>
  </si>
  <si>
    <t>NCT07656688</t>
  </si>
  <si>
    <t>Dose-Finding Study of HUC1-394 in Participants With Dry Eye Disease</t>
  </si>
  <si>
    <t>NCT07481383</t>
  </si>
  <si>
    <t>A First-in-Human Study to Evaluate Implantable Iontophoresis Chemotherapy Delivery Device With Gemcitabine Once Weekly or Twice Weekly in Participants With Pancreatic Cancer</t>
  </si>
  <si>
    <t>Continuity Biosciences, LLC</t>
  </si>
  <si>
    <t>NCT07721961</t>
  </si>
  <si>
    <t>A Study of MI078 for Postpartum Depression</t>
  </si>
  <si>
    <t>NCT07565441</t>
  </si>
  <si>
    <t>Drug-Drug Interactions of JMKX003142 in Healthy Participants</t>
  </si>
  <si>
    <t>NCT07620366</t>
  </si>
  <si>
    <t>To Evaluate the Efficacy and Safety of QL2401 in Patients With Metabolic Dysfunction-associated Steatohepatitis and Liver Fibrosis (F2-F3)</t>
  </si>
  <si>
    <t>NCT07386743</t>
  </si>
  <si>
    <t>A Phase III Study of GS101 Injection to Dupixent®</t>
  </si>
  <si>
    <t>Jiangsu Genscend Biopharmaceutical Co., Ltd</t>
  </si>
  <si>
    <t>NCT05209984</t>
  </si>
  <si>
    <t>A Phase 3, Double-blind/Double-dummy, Safety/Efficacy/Superiority of Sibutramine/Topiramate XR in Adults With Overweight</t>
  </si>
  <si>
    <t>NCT07453784</t>
  </si>
  <si>
    <t>Study to Evaluate Pharmacokinetics, Relative Bioavailability, Palatability of Obefazimod Minitablet Formulation</t>
  </si>
  <si>
    <t>NCT07397325</t>
  </si>
  <si>
    <t>Clinical Study of DA-020 for the Treatment of Chemotherapy Induced Alopecia</t>
  </si>
  <si>
    <t>NCT07328217</t>
  </si>
  <si>
    <t>A Phase 1/2 Study of GW5282 in Participants With Advanced Solid Tumors</t>
  </si>
  <si>
    <t>NCT07633119</t>
  </si>
  <si>
    <t>A Phase Ⅲ Clinical Study of SNA02-48 Injection</t>
  </si>
  <si>
    <t>NCT07104032</t>
  </si>
  <si>
    <t>IGNITE: Study of Tirabrutinib vs Rituximab/Temozolomide for Relapsed/Refractory Primary Central Nervous System Lymphoma (PCNSL)</t>
  </si>
  <si>
    <t>NCT07395687</t>
  </si>
  <si>
    <t>A Research Study on How Well Different Doses of the Medicine UBT251 Help People Living With Overweight or Obesity</t>
  </si>
  <si>
    <t>NCT07740421</t>
  </si>
  <si>
    <t>A Prospective, Multicenter, Phase III Clinical Evaluation of the Safety and Efficacy of NH002 as a Contrast Agent Administrated Via Intravenous Bolus Injection and Infusion for Subjects Undergoing Cardiac Echocardiography</t>
  </si>
  <si>
    <t>NCT07424404</t>
  </si>
  <si>
    <t>A Study to Evaluate the Long-term Safety and Tolerability of KarXT and KarX-EC for the Treatment of Schizophrenia and Autism-Related Irritability in Adolescents, Respectively</t>
  </si>
  <si>
    <t>NCT07185009</t>
  </si>
  <si>
    <t>A Maintenance Study to Investigate the Efficacy and Safety of Duvakitug in Participants With Moderately to Severely Active Ulcerative Colitis</t>
  </si>
  <si>
    <t>NCT07668960</t>
  </si>
  <si>
    <t>Evaluation of the Safety, Tolerability, Immunogenicity and Preliminary Efficacy of BBM-C101 Injection in Patients With Cervical High-Grade Squamous Intraepithelial Lesion(HSIL)</t>
  </si>
  <si>
    <t>Shanghai Mianyi Biopharmaceutical Co., Ltd.</t>
  </si>
  <si>
    <t>NCT07448116</t>
  </si>
  <si>
    <t>Study of MCLA-129 in Combination With Ensartinib in Patients With Advanced Solid Tumors.</t>
  </si>
  <si>
    <t>NCT07394114</t>
  </si>
  <si>
    <t>A Study of HDM1005 in Participants With Type 2 Diabetes Not Controlled With Diet and Exercise Alone</t>
  </si>
  <si>
    <t>NCT07423000</t>
  </si>
  <si>
    <t>A Phase 1 Study of PVT401 in Healthy Subjects</t>
  </si>
  <si>
    <t>NCT07222332</t>
  </si>
  <si>
    <t>A Study of Baricitinib (LY3009104) to Preserve Beta Cell Function in Children and Adults Newly Diagnosed With Type 1 Diabetes (BARICADE-PRESERVE)</t>
  </si>
  <si>
    <t>NCT07311200</t>
  </si>
  <si>
    <t>A Study of D-2570 in Patients With Active Systemic Lupus Erythematosus (SLE)</t>
  </si>
  <si>
    <t>NCT07589530</t>
  </si>
  <si>
    <t>Phase 1/2 Study of EB-NK-301 (Allogeneic TROP2-CAR NK Cells) in Advanced TROP2-Expressing Solid Tumors</t>
  </si>
  <si>
    <t>NCT07336732</t>
  </si>
  <si>
    <t>Andamertinib With or Without Platinum-doublet Chemotherapy Versus Platinum-doublet Chemotherapy in Patients With NSCLC Harboring Atypical EGFR Mutations</t>
  </si>
  <si>
    <t>NCT07416695</t>
  </si>
  <si>
    <t>A Phase I Clinical Study to Evaluate the Safety, Tolerability, and Pharmacokinetics of HLX3901 in Patients With Advanced SCLC or NEC</t>
  </si>
  <si>
    <t>NCT07673601</t>
  </si>
  <si>
    <t>A Study to Assess the Absolute Bioavailability and How Adimanebart SC Moves Through the Body in Healthy Adult Participants</t>
  </si>
  <si>
    <t>NCT07378865</t>
  </si>
  <si>
    <t>Evaluation of the Excretion of Suzetrigine Into Breast Milk in Healthy Lactating Female Participants</t>
  </si>
  <si>
    <t>NCT07430059</t>
  </si>
  <si>
    <t>Safety, Tolerability and Pharmacokinetics of a Subcutaneous Semaglutide Implant</t>
  </si>
  <si>
    <t>NCT07457723</t>
  </si>
  <si>
    <t>Gut Microbiome and Metabolic Health Study</t>
  </si>
  <si>
    <t>NCT07462650</t>
  </si>
  <si>
    <t>Dual-Target CAR-NK Cells for Biomarker-Selected Advanced Colorectal Cancer</t>
  </si>
  <si>
    <t>NCT07542379</t>
  </si>
  <si>
    <t>The Safety, Dosimetry and Efficacy of 177Lu-FC516 in Patients With Prostate Cancer</t>
  </si>
  <si>
    <t>NCT07304518</t>
  </si>
  <si>
    <t>Phase II Trial of PRT-064040 Nasal Spray for the Treatment of Migraine in Adults</t>
  </si>
  <si>
    <t>NCT07570173</t>
  </si>
  <si>
    <t>A Clinical Trial of MK-1045 in People With B-cell Acute Lymphoblastic Leukemia (MK-1045-005)</t>
  </si>
  <si>
    <t>NCT07522073</t>
  </si>
  <si>
    <t>A Study to Evaluate Chemotherapy With or Without INCB161734 in Previously Untreated, KRAS G12D-Mutated Metastatic Pancreatic Ductal Adenocarcinoma</t>
  </si>
  <si>
    <t>NCT07269496</t>
  </si>
  <si>
    <t>Study to Compare Bioavailability and Pharmacokinetics of a Novel Furosemide Regimen Administered Subcutaneously Versus the Same Dose (80 mg) Administered Intravenously in Healthy Volunteers</t>
  </si>
  <si>
    <t>NCT05393466</t>
  </si>
  <si>
    <t>BPI-361175 Tablets in Patients With Advanced Non-Small Cell Lung Cancer (NSCLC)</t>
  </si>
  <si>
    <t>NCT07563829</t>
  </si>
  <si>
    <t>NPX372, a B7-H7:CD3 Bispecific Antibody, in Selected Solid Tumor Malignancies</t>
  </si>
  <si>
    <t>NCT03244072</t>
  </si>
  <si>
    <t>Safety and Efficacy of Intracameral Zimoxin for Prevention of Endophthalmitis After Cataract Surgery</t>
  </si>
  <si>
    <t>Jason Ahee, M.D.</t>
  </si>
  <si>
    <t>NCT07516561</t>
  </si>
  <si>
    <t>Efficacy and Safety of APSMNF in the Treatment of Male Androgenetic Alopecia</t>
  </si>
  <si>
    <t>NCT07122453</t>
  </si>
  <si>
    <t>Safety and PK of Intrathecal CNTX-3001 for Intractable Chronic Low Back Pain</t>
  </si>
  <si>
    <t>NCT07621237</t>
  </si>
  <si>
    <t>A Study to Evaluate TNX-102 SL Monotherapy Versus Placebo in Participants With Major Depressive Disorder (MDD)</t>
  </si>
  <si>
    <t>NCT07534592</t>
  </si>
  <si>
    <t>A Study to Investigate the Effect of Elecoglipron on Rosuvastatin and Atorvastatin in Healthy Participants</t>
  </si>
  <si>
    <t>NCT07329322</t>
  </si>
  <si>
    <t>Phase II Study of Sacituzumab Tirumotecan in Combination With Osimertinib or Sacituzumab Tirumotecan for Neoadjuvant Treatment in Patients With Resectable Epidermal Growth Factor Receptor (EGFR)-Mutated Non-Small Cell Lung Cancer</t>
  </si>
  <si>
    <t>NCT07496372</t>
  </si>
  <si>
    <t>A Pivotal Clinical Trial of Human Induced Pluripotent Stem Cell-derived Cardiomyocytes Injection (HiCM-188) for the Treatment of Advanced Heart Failure(NYHA III-IV)</t>
  </si>
  <si>
    <t>NCT07531095</t>
  </si>
  <si>
    <t>Study of Tarlatamab + ZL-1310 +/- Anti-programmed Death Ligand 1 (Anti-PD-L1) in Small Cell Lung Cancer (SCLC)</t>
  </si>
  <si>
    <t>NCT07422857</t>
  </si>
  <si>
    <t>Evaluate the Use of [18F]-APN-1607 PET in Subjects With AD-related Cognitive Impairment and Subjects With Normal Cognitive Function</t>
  </si>
  <si>
    <t>JYAMS PET Research &amp; Development Limited</t>
  </si>
  <si>
    <t>NCT03468556</t>
  </si>
  <si>
    <t>A Randomized, Double-Blind, Placebo Controlled Study to Assess the Efficacy and Safety of SNP-610 for the Treatment of Patients With Non-alcoholic Steatohepatitis</t>
  </si>
  <si>
    <t>NCT07691177</t>
  </si>
  <si>
    <t>Bioequivalence Study to Compare Imeglimin HCl 500 mg Film Coated Tablets Versus Twymeeg Tablets 500 mg</t>
  </si>
  <si>
    <t>NCT07429253</t>
  </si>
  <si>
    <t>Secretome vs. PRP Injections for Hair Density and Growth in Androgenetic Alopecia Patients</t>
  </si>
  <si>
    <t>NCT07575945</t>
  </si>
  <si>
    <t>A Study to Learn if a Medicine Called Itraconazole Changes How the Body Processes the Study Medicine PF-08642534 in Healthy Adults.</t>
  </si>
  <si>
    <t>NCT07298772</t>
  </si>
  <si>
    <t>A Study of SHR-4375 Injection in Combination With Other Antitumor Therapies in Patients With Solid Tumors</t>
  </si>
  <si>
    <t>NCT07419295</t>
  </si>
  <si>
    <t>A Clinical Trial of Sacituzumab Tirumotecan (Sac-TMT, MK-2870) to Treat Urothelial Cancer (MK-2870-031)</t>
  </si>
  <si>
    <t>NCT07638800</t>
  </si>
  <si>
    <t>Phase 1 Clinical Study of GenSci155 Injection in Healthy Adults</t>
  </si>
  <si>
    <t>NCT07344311</t>
  </si>
  <si>
    <t>A Phase I Trial of A-CAR032 in Participants With mCRPC</t>
  </si>
  <si>
    <t>NCT07462130</t>
  </si>
  <si>
    <t>An Efficacy and Safety Study of NTB003 in Participants With Thyroid Eye Disease (TED)</t>
  </si>
  <si>
    <t>NCT07520565</t>
  </si>
  <si>
    <t>A Multicentre, Randomised, Double-blind, Placebo-parallel Controlled Phase Ⅲ Clinical Trial Evaluating the Efficacy and Safety of BXOS110 Injection in the Treatment of Acute Ischaemic Stroke Within 3 Hours of Onset.</t>
  </si>
  <si>
    <t>NCT07253142</t>
  </si>
  <si>
    <t>A Phase II Clinical Study to Evaluate HLX43 in Combination With Serplulimab in Subjects With Advanced Lung Cancer</t>
  </si>
  <si>
    <t>NCT07462377</t>
  </si>
  <si>
    <t>A Phase 1 Study of EPI-326 in EGFR-mutant NSCLC and HNSCC</t>
  </si>
  <si>
    <t>EpiBiologics</t>
  </si>
  <si>
    <t>NCT07432022</t>
  </si>
  <si>
    <t>A Phase I/II Study to Evaluate the Safety, Tolerability, and Preliminary Efficacy of the EMB-07 Combination Therapy in Patients With Aggressive B-Cell Non-Hodgkin Lymphoma</t>
  </si>
  <si>
    <t>NCT07566195</t>
  </si>
  <si>
    <t>Long-term Safety and Tolerability of Tozorakimab in Patients With COPD and History of Exacerbations</t>
  </si>
  <si>
    <t>NCT07516639</t>
  </si>
  <si>
    <t>First-in-Human Study of ISH0613: Safety, Tolerability, Pharmacokinetics, and Pharmacodynamics</t>
  </si>
  <si>
    <t>NCT07338838</t>
  </si>
  <si>
    <t>To Evaluate the Tolerability and Pharmacokinetics of TQB3142 for Injection in Patients With Advanced Malignant Tumors</t>
  </si>
  <si>
    <t>NCT07713485</t>
  </si>
  <si>
    <t>Study of XmAb412 in Healthy Participants</t>
  </si>
  <si>
    <t>NCT07589543</t>
  </si>
  <si>
    <t>Dual-Target CAR-NK Cells in Recurrent or Refractory Epithelial Ovarian Cancer</t>
  </si>
  <si>
    <t>NCT07441174</t>
  </si>
  <si>
    <t>IN10018 in Combination With RNK08954 for the Treatment of KRASG12D Mutation-Positive Locally Advanced or Metastatic Solid Tumors</t>
  </si>
  <si>
    <t>NCT07545460</t>
  </si>
  <si>
    <t>A Study Comparing BL-M07D1 With Physician's Choice of Chemotherapy in Patients With HER2-Expressing Platinum-Resistant Recurrent Epithelial Ovarian Cancer, Fallopian Tube Cancer, and Primary Peritoneal Cancer</t>
  </si>
  <si>
    <t>NCT07363720</t>
  </si>
  <si>
    <t>A Trial of TAK-861 for the Treatment of Narcolepsy With Cataplexy</t>
  </si>
  <si>
    <t>NCT07387926</t>
  </si>
  <si>
    <t>Safety and Efficacy of Asciminib in Pediatrics and Young Adults With Relapse/Refractory (r/r) Philadelphia Positive (Ph+) or ABL-class Ph-like Acute Lymphoblastic Leukemia (ALL)</t>
  </si>
  <si>
    <t>NCT07440225</t>
  </si>
  <si>
    <t>A Clinical Trial of EYE201/MK-8748 in People With Macular Degeneration (MK-8748-002)</t>
  </si>
  <si>
    <t>NCT07694115</t>
  </si>
  <si>
    <t>Bioequivalence Study to Compare Empagliflozin/ Metformin 25 mg/ 1000 mg Extended-Release Tablet Versus Synjardy XR Tablets 25mg/1000mg</t>
  </si>
  <si>
    <t>NCT07498725</t>
  </si>
  <si>
    <t>A Study to Evaluate the Safety, Tolerability and Preliminary Efficacy of LRK-4189 Alone and in Combination in Patients With Solid Tumors</t>
  </si>
  <si>
    <t>LARKSPUR BIOSCIENCES, INC.</t>
  </si>
  <si>
    <t>NCT07487376</t>
  </si>
  <si>
    <t>A Study to Evaluate the Safety, Tolerability, Pharmacokinetics, and Pharmacodynamics of a Single Dose of IBIO-600 in Overweight or Obese Adults</t>
  </si>
  <si>
    <t>iBio, Inc.</t>
  </si>
  <si>
    <t>NCT07633197</t>
  </si>
  <si>
    <t>A Phase I Clinical Trial of Recombinant Herpes Zoster Vaccine (CHO Cell)</t>
  </si>
  <si>
    <t>NCT07235176</t>
  </si>
  <si>
    <t>Phase Ib/II Clinical Study of QLS1304 Combined With Endocrine Therapy in the Treatment of ER+/HER2- Breast Cancer Patients</t>
  </si>
  <si>
    <t>NCT07472491</t>
  </si>
  <si>
    <t>A Phase 2/3 Study on the Efficacy and Safety of Mangaciclanol for Contrast-Enhanced MRI of CNS or Body in Adult Patients</t>
  </si>
  <si>
    <t>NCT07600450</t>
  </si>
  <si>
    <t>A Study of GSK4771261 in Healthy Participants Aged 25 to 55 Years of Age Inclusive</t>
  </si>
  <si>
    <t>NCT07630961</t>
  </si>
  <si>
    <t>Phase I Study of JFI447 [68Ga]Ga-DFC413 and Comparison to FFG233 [68Ga]Ga-NNS309 in Patients With Solid Tumors</t>
  </si>
  <si>
    <t>NCT07257120</t>
  </si>
  <si>
    <t>KarXT Concentrations in the Breast Milk and Plasma of Lactating Females</t>
  </si>
  <si>
    <t>NCT07449923</t>
  </si>
  <si>
    <t>CAPRI: A Phase 3 Randomized, Double-Masked Study Comparing the Efficacy of EYP-1901 Against Aflibercept in DME</t>
  </si>
  <si>
    <t>NCT07410117</t>
  </si>
  <si>
    <t>REGN7508 in Adult Participants for Prevention of Cancer-Associated Thrombosis</t>
  </si>
  <si>
    <t>NCT07622225</t>
  </si>
  <si>
    <t>SYS6006 in Combination With Enlonstobart Injection Versus Enlonstobart Injection in Participants With Advanced Solid Tumors</t>
  </si>
  <si>
    <t>NCT07348055</t>
  </si>
  <si>
    <t>A Study of GR1803 in Systemic Lupus Erythematosus</t>
  </si>
  <si>
    <t>NCT07466160</t>
  </si>
  <si>
    <t>A Phase Ib/II Study of 7MW3711 Combined With JS207 in Advanced Solid Tumors</t>
  </si>
  <si>
    <t>NCT06905210</t>
  </si>
  <si>
    <t>Study of New Antiandrogenic Progestogen + Low-dose Estrogen for Moderate Acne Vulgaris</t>
  </si>
  <si>
    <t>NCT07625891</t>
  </si>
  <si>
    <t>Study of D-2570 in Subjects With Non-Segmental Vitiligo</t>
  </si>
  <si>
    <t>NCT07554495</t>
  </si>
  <si>
    <t>Safety, Tolerability, Pharmacokinetics, and Efficacy of Filgotinib for the Treatment of Polyarticular-course Juvenile Idiopathic Arthritis in Children and Adolescents</t>
  </si>
  <si>
    <t>NCT07187401</t>
  </si>
  <si>
    <t>A First-in-Human Safety and Efficacy Study of ALN-CFB, a Small Interfering RNA (siRNA) Targeting Complement Factor B, in Adult Participants With Paroxysmal Nocturnal Hemoglobinuria With Persistent Anemia on a C5 Inhibitor</t>
  </si>
  <si>
    <t>NCT07422142</t>
  </si>
  <si>
    <t>A Phase I Clinical Study to Evaluate the Safety, Tolerability, and Pharmacokinetic Profile of Gastrodin Injection in Healthy Chinese Subjects</t>
  </si>
  <si>
    <t>NCT07708272</t>
  </si>
  <si>
    <t>QT Interval/Corrected QT Interval （QT/QTc） Clinical Study to Evaluate the Cardiac Safety of TQ05105 Tablets in Healthy Participants</t>
  </si>
  <si>
    <t>NCT07377539</t>
  </si>
  <si>
    <t>A Study to Investigate the Safety, Tolerability, Pharmacokinetics, and Food Effect of JZP047 in Healthy Participants</t>
  </si>
  <si>
    <t>NCT07570979</t>
  </si>
  <si>
    <t>A Study to Investigate the Safety and Tolerability of Oral INR731 Single Agent or in Combination With Androgen Receptor Pathway Inhibitor (ARPI) in Patients With Metastatic Prostate Cancer</t>
  </si>
  <si>
    <t>NCT07419841</t>
  </si>
  <si>
    <t>A Phase 1 Study of the Safety and Tolerability of CTX-10726</t>
  </si>
  <si>
    <t>NCT07330531</t>
  </si>
  <si>
    <t>Drug-drug Interaction Study of Rifampin and Anaprazole Sodium</t>
  </si>
  <si>
    <t>NCT07602582</t>
  </si>
  <si>
    <t>A Study of Donanemab (LY3002813) in Participants Who Completed Study AACM (TRAILBLAZER-ALZ 3-EXT).</t>
  </si>
  <si>
    <t>NCT07617753</t>
  </si>
  <si>
    <t>Dual-Targeting CAR-NK Cells for Recurrent Ovarian Cancer (MSLN, FRα, MUC16) pt2</t>
  </si>
  <si>
    <t>NCT07654972</t>
  </si>
  <si>
    <t>A Study of LY4174794 in Participants With Obesity or Overweight Who Are Otherwise Healthy</t>
  </si>
  <si>
    <t>NCT07523711</t>
  </si>
  <si>
    <t>Effect of Maridebart Cafraglutide on How Oral Contraceptives Are Absorbed and Processed in the Body in Postmenopausal Female Participants Living With Overweight or Obesity</t>
  </si>
  <si>
    <t>NCT07422298</t>
  </si>
  <si>
    <t>A Study to Evaluate the Effect of BMS-986278 on Cardiac Repolarization in Healthy Participants</t>
  </si>
  <si>
    <t>NCT07359807</t>
  </si>
  <si>
    <t>A Study Comparing the MAGICTouch™ Sirolimus-coated Balloon With a Paclitaxel-coated Balloon for Treating Severe Narrowing or Blockage in the Femoropopliteal Arteries.</t>
  </si>
  <si>
    <t>Concept Medical Inc.</t>
  </si>
  <si>
    <t>NCT07579234</t>
  </si>
  <si>
    <t>A Multicenter, Randomized, Open-label, Parallel-group, Controlled, Superiority Phase III Clinical Study Comparing the Efficacy and Safety of F182112 Versus Standard of Care in Patients With Relapsed or Refractory Multiple Myeloma</t>
  </si>
  <si>
    <t>NCT07389499</t>
  </si>
  <si>
    <t>A Clinical Study Evaluating the Safety and Efficacy of GT719 Universal Cell Injection in the Treatment of Immune-mediated Kidney Diseases</t>
  </si>
  <si>
    <t>NCT07419828</t>
  </si>
  <si>
    <t>A Phase III Clinical Study on the Efficacy and Safety of HRS-1780 in the Treatment of Patients With Chronic Kidney Disease</t>
  </si>
  <si>
    <t>NCT07298044</t>
  </si>
  <si>
    <t>A Study to Learn More About the Change in the Blood Levels of Transthyretin When Participants With Transthyretin Amyloidosis With Cardiomyopathy Switch From Tafamidis to Acoramidis</t>
  </si>
  <si>
    <t>NCT07424144</t>
  </si>
  <si>
    <t>An Extension Study to Investigate the Long-term Safety and Tolerability of Itepekimab in Adult Participants With Inadequately Controlled Chronic Rhinosinusitis With Nasal Polyps</t>
  </si>
  <si>
    <t>NCT07348692</t>
  </si>
  <si>
    <t>Lot-to-lot Consistency Study of a 21-valent Pneumococcal Conjugate Vaccine in Healthy Infants From 2 Months of Age</t>
  </si>
  <si>
    <t>NCT07483671</t>
  </si>
  <si>
    <t>Efficacy and Safety Study of BPR-101 Capsules in Combination With Metronidazole in BV Patients</t>
  </si>
  <si>
    <t>NCT05241067</t>
  </si>
  <si>
    <t>Multicentric, Randomized Study to Assess Safety and Efficacy of Centhaquine in Patients With ARDS</t>
  </si>
  <si>
    <t>NCT07634198</t>
  </si>
  <si>
    <t>A Clinical Study of YK-1169 Versus Ceftazidime-Avibactam in Adults With Hospital-Acquired or Ventilator-Associated Bacterial Pneumonia</t>
  </si>
  <si>
    <t>NCT07631793</t>
  </si>
  <si>
    <t>Phase I Clinical Trial of YKYY031 for Injection in Patients With Advanced Solid Tumors</t>
  </si>
  <si>
    <t>NCT07558915</t>
  </si>
  <si>
    <t>A Study to Evaluate RO7851624 in Participants With Relapsed/Refractory Multiple Myeloma (RRMM)</t>
  </si>
  <si>
    <t>NCT07602777</t>
  </si>
  <si>
    <t>A Study Evaluating the Efficacy and Safety of Risvutatug Rezetecan in Participants With Advanced Sarcomas (EMBOLD Sarcoma-202)</t>
  </si>
  <si>
    <t>NCT07605052</t>
  </si>
  <si>
    <t>A Research Study to Compare Blood Levels of Two Different Versions of Cagrilintide in Adults With Excess Body Weight</t>
  </si>
  <si>
    <t>NCT07385547</t>
  </si>
  <si>
    <t>Study to Evaluate if Exposure to Drug is Impacted in Participants With Renal Insufficiency</t>
  </si>
  <si>
    <t>NCT07289464</t>
  </si>
  <si>
    <t>A Clinical Study of RSS0343 in Healthy Subjects</t>
  </si>
  <si>
    <t>NCT07648914</t>
  </si>
  <si>
    <t>A Study Comparing BL-B01D1 With Chemotherapy of Physician's Choice in Patients With Unresectable Locally Advanced, Recurrent, or Metastatic HR+/HER2- Breast Cancer After Failure of Prior Endocrine Therapy(PANKU-Breast03)</t>
  </si>
  <si>
    <t>NCT07481747</t>
  </si>
  <si>
    <t>Efficacy and Safety of Tirzepatide Once Weekly Versus Placebo in Participants Who Are Either Obese or Overweight With Weight-Related Comorbidities (SURMOUNT-1)</t>
  </si>
  <si>
    <t>NCT07439796</t>
  </si>
  <si>
    <t>A Study of ORN252 in Healthy Participants</t>
  </si>
  <si>
    <t>Orna Therapeutics, Inc.</t>
  </si>
  <si>
    <t>NCT07476586</t>
  </si>
  <si>
    <t>A Study to Evaluate the Safety, Tolerability, Pharmacokinetics of GenSci161 in Healthy Adult Participants</t>
  </si>
  <si>
    <t>NCT07480356</t>
  </si>
  <si>
    <t>Efficacy and Safety of Intravesical TARA-002 Compared With Investigator's Choice of Intravesical Chemotherapy in Participants With BCG-naïve High-grade Non-muscle Invasive Bladder Cancer</t>
  </si>
  <si>
    <t>NCT07724756</t>
  </si>
  <si>
    <t>Phase II Study of QLC2519 in Pediatric Solid Tumor Participants</t>
  </si>
  <si>
    <t>NCT07622186</t>
  </si>
  <si>
    <t>A Study of SKB571 Combination Therapy in Participants With Non-Small Cell Lung Cancer (NSCLC)</t>
  </si>
  <si>
    <t>NCT07724431</t>
  </si>
  <si>
    <t>A Phase 1, Double-blind, Randomized Study to Evaluate the Safety, Tolerability, Pharmacodynamics, and Pharmacokinetics of Single Dose and Multiple Doses of CG-0416 in Healthy Participants.</t>
  </si>
  <si>
    <t>HongKong Curegene Innovation Co., Limited</t>
  </si>
  <si>
    <t>NCT07492888</t>
  </si>
  <si>
    <t>Nogapendekin Alfa-Inbakicept and iNKT Cells for Critically Ill Adults With Severe Community-Acquired Pneumonia (With or Without Sepsis/ARDS)</t>
  </si>
  <si>
    <t>NCT07341373</t>
  </si>
  <si>
    <t>A Single Bolus, 12-hour Euglycemic Clamp Study of the Safety, Pharmacokinetics (PK) and Glucodynamics (GD) of Intraperitoneal (IP) Portal Insulin U-500</t>
  </si>
  <si>
    <t>Portal Diabetes, Inc.</t>
  </si>
  <si>
    <t>NCT07219654</t>
  </si>
  <si>
    <t>Efficacy and Safety Study of TPX-115 on Partial-thickness Rotator Cuff Tear</t>
  </si>
  <si>
    <t>NCT03038802</t>
  </si>
  <si>
    <t>A Randomised Controlled Phase 1 Study of Vaccine Therapy for Control or Cure of Chronic Hepatitis B Virus Infection</t>
  </si>
  <si>
    <t>NCT07694544</t>
  </si>
  <si>
    <t>Renal Impairment Study for Oral EC5026</t>
  </si>
  <si>
    <t>NCT07594236</t>
  </si>
  <si>
    <t>Phase 1 Study of C.001 in Retinal Degeneration</t>
  </si>
  <si>
    <t>Cellio Therapeutics Inc</t>
  </si>
  <si>
    <t>NCT07624864</t>
  </si>
  <si>
    <t>A Study to Evaluate the Safety, Tolerability, PK and Efficacy of Hemay5087 in Patients With Advanced Solid Tumors</t>
  </si>
  <si>
    <t>NCT07389044</t>
  </si>
  <si>
    <t>A Study on IB-001 Dose Response and Tolerability in Healthy Adults and Those With Chronic Hepatitis B</t>
  </si>
  <si>
    <t>IntegerBio</t>
  </si>
  <si>
    <t>NCT07534644</t>
  </si>
  <si>
    <t>A Phase I/Ⅱ Clinical Trial for Umbilical Cord Mesenchymal Stem Cells (UC-MSC) in the Treatment of Ankylosing Spondylitis</t>
  </si>
  <si>
    <t>NCT07500181</t>
  </si>
  <si>
    <t>A Phase I Study to Evaluate the Safety, Tolerability, and Pharmacokinetics of BAL2420 in Healthy Adult Subjects</t>
  </si>
  <si>
    <t>NCT07391644</t>
  </si>
  <si>
    <t>A Study of JSKN027 in Patients With Advanced Solid Tumors</t>
  </si>
  <si>
    <t>NCT07623642</t>
  </si>
  <si>
    <t>A Phase II Study of GV20-0251 in Combination With Anti-PD-1 Monoclonal Antibodies in Patients With Unresectable, Locally Advanced, or Metastatic Solid Tumors.</t>
  </si>
  <si>
    <t>NCT07213973</t>
  </si>
  <si>
    <t>Pharmacokinetics, Safety, and Efficacy of Povorcitinib in Adolescent Participants With Moderate to Severe Hidradenitis Suppurativa</t>
  </si>
  <si>
    <t>NCT07463053</t>
  </si>
  <si>
    <t>Mass Balance and Absolute Bioavailability Study of JMKX003142 In Healthy Volunteers</t>
  </si>
  <si>
    <t>NCT07644039</t>
  </si>
  <si>
    <t>Study of PM54 in Combination With Immunotherapy in Adult Participants With Advanced Malignancies</t>
  </si>
  <si>
    <t>NCT07433556</t>
  </si>
  <si>
    <t>Safety, Tolerability, Pharmacokinetic and Pharmacodynamic of IY-828026 in Healthy Volunteers</t>
  </si>
  <si>
    <t>NCT07344051</t>
  </si>
  <si>
    <t>A Phase II Study of QLS12010 Capsules in Adults With Moderate to Severe Atopic Dermatitis</t>
  </si>
  <si>
    <t>NCT07754279</t>
  </si>
  <si>
    <t>Clinical Trial of the Safety and Tolerability of MMH-522 in Healthy Volunteers</t>
  </si>
  <si>
    <t>NCT07416994</t>
  </si>
  <si>
    <t>Pivotal Study to Evaluate YL202 Versus Docetaxel in Patients With Locally Advanced or Metastatic EGFR Sensitive Mutation Non-Squamous Non-Small Cell Lung Cancer</t>
  </si>
  <si>
    <t>NCT07435194</t>
  </si>
  <si>
    <t>A Clinical Trial in Healthy Participants to Learn How Itraconazole Affects MK-2828 Levels and How MK-2828 Affects Midazolam Levels (MK-2828-007)</t>
  </si>
  <si>
    <t>NCT07487766</t>
  </si>
  <si>
    <t>The Safety and Efficacy of XytriX (Umbilical Cord-Derived Mesenchymal Stem Cells) in the Treatment of Knee Osteoarthritis</t>
  </si>
  <si>
    <t>TricelX Inc.</t>
  </si>
  <si>
    <t>NCT07496229</t>
  </si>
  <si>
    <t>Assessing Treatment of T-Cell Lymphoma With GW5282 in Combination With Golidocitinib (BEI-DOU3)</t>
  </si>
  <si>
    <t>NCT07335588</t>
  </si>
  <si>
    <t>A 52-Week Trial to Investigate the Efficacy and Safety of Delgocitinib Cream in Adult Participants With Lichen Sclerosus</t>
  </si>
  <si>
    <t>NCT07453069</t>
  </si>
  <si>
    <t>Effect of FB301 on Vaginal Bacterial Profile in Women With Asymptomatic Vaginal Dysbiosis Undergoing a Mock Frozen Embryo Transfer Cycle</t>
  </si>
  <si>
    <t>Freya Biosciences ApS</t>
  </si>
  <si>
    <t>NCT07359820</t>
  </si>
  <si>
    <t>A Study of Lirafugratinib in Non-CCA Solid Tumors With FGFR2 Fusion or Rearrangement</t>
  </si>
  <si>
    <t>NCT07695597</t>
  </si>
  <si>
    <t>A Study of SYH2070 Injection in Participants With Mixed Hyperlipidemia</t>
  </si>
  <si>
    <t>NCT07529405</t>
  </si>
  <si>
    <t>A Study of VG712 in Patients With Mycosis Fungoides</t>
  </si>
  <si>
    <t>NCT05382091</t>
  </si>
  <si>
    <t>Evaluation of the O'Neil Long Acting Naltrexone Implant in Opioid Dependent Persons</t>
  </si>
  <si>
    <t>NCT07392060</t>
  </si>
  <si>
    <t>A Phase III Clinical Study of WX390 Combined With Toripalimab Versus Investigator's Choice of Therapy in Patients With Recurrent or Metastatic Cervical Cancer Who Have Failed Prior Platinum-Based Treatment</t>
  </si>
  <si>
    <t>NCT07670416</t>
  </si>
  <si>
    <t>A Study to Evaluate the Effects of Enicepatide in Participants With Obesity or Overweight, With or Without Type 2 Diabetes</t>
  </si>
  <si>
    <t>NCT07389733</t>
  </si>
  <si>
    <t>A Study of HRS-6208 in Combination With HRS-8080, or Fulvestrant, or Letrozole, With or Without HRS-6209 in Patients With Advanced Unresectable or Metastatic Breast Cancer</t>
  </si>
  <si>
    <t>NCT07716098</t>
  </si>
  <si>
    <t>A Study of Esketamine Nasal Spray Versus Placebo Spray in Adult Participants With Treatment-resistant Depression</t>
  </si>
  <si>
    <t>NCT07459452</t>
  </si>
  <si>
    <t>Trial of JYB1904 Injection in Patients With Perennial Allergic Rhinitis</t>
  </si>
  <si>
    <t>NCT07473726</t>
  </si>
  <si>
    <t>A Phase I Clinical Study to Evaluate the Safety, Tolerability, and PK of HLX48 in Advanced/Metastatic Solid Tumors</t>
  </si>
  <si>
    <t>NCT07335211</t>
  </si>
  <si>
    <t>Efficacy and Safety of HUC3-637 in Patients With Primary Open Angle Glaucoma or Ocular Hypertension</t>
  </si>
  <si>
    <t>NCT07142343</t>
  </si>
  <si>
    <t>A Study to Test the Safety of Pozelimab in Pediatric Participants 1 to 5 Years of Age With a Rare Disease Called CHAPLE (Complement Hyperactivation, Angiopathic Thrombosis, Protein-losing Enteropathy) Disease</t>
  </si>
  <si>
    <t>NCT07415304</t>
  </si>
  <si>
    <t>A Phase 1 Study of ISM4808 in Healthy Adult Subjects</t>
  </si>
  <si>
    <t>NCT07384715</t>
  </si>
  <si>
    <t>First-in-human (FIH) Trial of GEN3018 in Relapsed or Refractory (R/R) Acute Myeloid Leukemia (AML) or Higher-risk Myelodysplastic Syndrome (HR-MDS)</t>
  </si>
  <si>
    <t>NCT07411755</t>
  </si>
  <si>
    <t>A Phase 1 Clinical Study Comparing GS101 and Dupixent® After Subcutaneous Injection</t>
  </si>
  <si>
    <t>NCT07642843</t>
  </si>
  <si>
    <t>CM336 for Active Sjogren's Syndrome Study</t>
  </si>
  <si>
    <t>NCT07321873</t>
  </si>
  <si>
    <t>A Study to Evaluate the Efficacy and Safety of JNJ-88545223 for the Treatment of Participants With Active Psoriatic Arthritis</t>
  </si>
  <si>
    <t>NCT07619729</t>
  </si>
  <si>
    <t>Evaluate the Efficacy of an Oral Health Behavioral Intervention in People With Diabetes</t>
  </si>
  <si>
    <t>NCT07349329</t>
  </si>
  <si>
    <t>A Study to Evaluate the Efficacy and Safty of 608 in Patients With Non- Radiographic Axial Spondyloarthritis (Nr-axSpA)</t>
  </si>
  <si>
    <t>NCT07511205</t>
  </si>
  <si>
    <t>A Study to Investigate Safety, Tolerability, Pharmacokinetics and Pharmacodynamics of AZD1043 in Healthy Adult Participants Living With Overweight and/or Obesity.</t>
  </si>
  <si>
    <t>NCT07493122</t>
  </si>
  <si>
    <t>Study of IMC-S118AI in Type 1 Diabetes</t>
  </si>
  <si>
    <t>NCT07384377</t>
  </si>
  <si>
    <t>JSKN003 Versus Physician Choiced Treatment in Patients With HER2-positive and Advanced Colorectal Cancer Who Had Failed to Respond to Oxaliplatin, 5-Fu, and Irinotecan</t>
  </si>
  <si>
    <t>NCT07495930</t>
  </si>
  <si>
    <t>Pharmacokinetic Characteristics, Safety, and Immunogenicity of HLX319 Compared With EU-Phesgo®</t>
  </si>
  <si>
    <t>NCT07489586</t>
  </si>
  <si>
    <t>A Clinical Study of QL1207H Injection Versus Aflibercept for Neovascular Age-related Macular Degeneration</t>
  </si>
  <si>
    <t>NCT07093255</t>
  </si>
  <si>
    <t>Safety, PK and PD of FLQ-101 in Premature Neonates</t>
  </si>
  <si>
    <t>FELIQS INC.</t>
  </si>
  <si>
    <t>NCT07426120</t>
  </si>
  <si>
    <t>Efficacy and Safety of a Botanical Total Coumarin (TC) Cream in Treating Patients With Psoriasis Vulgaris (PLANTCOAT-III)</t>
  </si>
  <si>
    <t>Psoriasis Research Institute of Guangzhou</t>
  </si>
  <si>
    <t>NCT07307274</t>
  </si>
  <si>
    <t>A Study of SYNT-101 to Test Safety, Tolerability and Pharmacodynamics of SYNT-101 in Healthy and Overweight Adults</t>
  </si>
  <si>
    <t>Syntis Bio</t>
  </si>
  <si>
    <t>NCT07566897</t>
  </si>
  <si>
    <t>A Phase I Study to Evaluate the Safety and Efficacy of L19IL2 in Combination With Ruxolitinib in Patients With Advanced Solid Tumors</t>
  </si>
  <si>
    <t>NCT07606274</t>
  </si>
  <si>
    <t>A Study With NVC-001 in Patients With LMNA-related Dilated Cardiomyopathy (SUNBEAM-LMNA)</t>
  </si>
  <si>
    <t>Nuevocor Pte. Ltd.</t>
  </si>
  <si>
    <t>NCT06881823</t>
  </si>
  <si>
    <t>Study to Assess [177Lu]Lu-PSMA-R2 (AAA602) and [225Ac]Ac-PSMA-R2 (AAA802) in Participants With PSMA-positive HRLPC</t>
  </si>
  <si>
    <t>NCT07400679</t>
  </si>
  <si>
    <t>A Study to Learn How the Study Medicine Called PF-08653944 is Taken up Into the Blood in Adults With Overweight or Obesity</t>
  </si>
  <si>
    <t>NCT07514858</t>
  </si>
  <si>
    <t>A Trial Investigating Lu AF28996 in Adults With Parkinson's Disease Who Have Motor Fluctuations</t>
  </si>
  <si>
    <t>NCT07223697</t>
  </si>
  <si>
    <t>A Long Term Extension Study to Evaluate the Safety and Efficacy of Afimkibart (RO7790121) in Participants With Atopic Dermatitis</t>
  </si>
  <si>
    <t>NCT07514338</t>
  </si>
  <si>
    <t>Open Label Extension to Assess Long Term Safety and Efficacy of KL1333 in Patients With Primary Mitochondrial Disease</t>
  </si>
  <si>
    <t>NCT07524140</t>
  </si>
  <si>
    <t>A First-in-Human Study of ZE94-0605 in Patients With Advanced Solid Tumors</t>
  </si>
  <si>
    <t>NCT07499674</t>
  </si>
  <si>
    <t>Evaluation of the Safety and Efficacy of Abenacianine (VGT-309) to Identify Cancer in Subjects Undergoing Surgery for Cancer in the Lung</t>
  </si>
  <si>
    <t>NCT07695389</t>
  </si>
  <si>
    <t>A Multicenter, Prospective, Randomized Controlled Clinical Trial Assessing the Efficacy of a Novel Cellular, Acellular, Matrix-like Product (CAMP) Plus Standard of Care Versus Standard of Care Alone in the Management of Post-Mohs Micrographic Surgery Defects.</t>
  </si>
  <si>
    <t>NCT07486115</t>
  </si>
  <si>
    <t>A Study to Test How Different Doses of BI 3814916 Are Tolerated by Healthy People</t>
  </si>
  <si>
    <t>NCT07611214</t>
  </si>
  <si>
    <t>PRESERVE: LUPKYNIS in Combination With Belimumab, Obinutuzumab or Anifrolumab in Patients With Lupus Nephritis</t>
  </si>
  <si>
    <t>NCT07489885</t>
  </si>
  <si>
    <t>A Study to Evaluate D-2570 in Participants With Moderate to Severe Plaque Psoriasis</t>
  </si>
  <si>
    <t>NCT07492680</t>
  </si>
  <si>
    <t>A Study of BMS-986504 Monotherapy and in Combination With Other Agents in Participants With Advanced and/or Metastatic Solid Tumors With Homozygous MTAP Deletion (MountainTAP-5)</t>
  </si>
  <si>
    <t>NCT07629960</t>
  </si>
  <si>
    <t>A First-in-Human Trial of BLU-924 (SAR449336) in Advanced Solid Tumors Harboring KRAS Mutations</t>
  </si>
  <si>
    <t>NCT07473323</t>
  </si>
  <si>
    <t>Evaluation of MTX-439 in Healthy Adults and Adults With Diabetic Kidney Disease</t>
  </si>
  <si>
    <t>NCT07676903</t>
  </si>
  <si>
    <t>A Clinical Study of SHR-4685 on Safety, Tolerability and Pharmacokinetics in Participants With Solid Tumors</t>
  </si>
  <si>
    <t>NCT07617727</t>
  </si>
  <si>
    <t>A Phase I Study of JSKN021 in Advanced Solid Tumors</t>
  </si>
  <si>
    <t>NCT07393321</t>
  </si>
  <si>
    <t>A Phase III Clinical Trial of NTQ1062 in Combination With Fulvestrant for the Treatment of Advanced or Metastatic HR+/HER2- Breast Cancer</t>
  </si>
  <si>
    <t>NCT07456891</t>
  </si>
  <si>
    <t>Remibrutinib Open Label Roll-over Post-trial Access Protocol</t>
  </si>
  <si>
    <t>NCT07586124</t>
  </si>
  <si>
    <t>Pucotenlimab Plus Becotatug Vedotin in Perioperative Treatment of Locally Advanced Resectable Head and Neck Squamous Cell Carcinoma</t>
  </si>
  <si>
    <t>NCT07334496</t>
  </si>
  <si>
    <t>A Study to Evaluate the Biosimilarity of GLR1044 Injection and Dupilumab Injection (Dupixent®) in Healthy Adult Male Subjects</t>
  </si>
  <si>
    <t>NCT07433062</t>
  </si>
  <si>
    <t>A Study to Evaluate the Effect of AZD6793 on the Pharmacokinetics and Pharmacodynamics of Metformin in Participants With Type 2 Diabetes Mellitus</t>
  </si>
  <si>
    <t>NCT07677059</t>
  </si>
  <si>
    <t>A Long-term Study of KT-621 Administered Orally to Participants With Asthma Previously Enrolled in a KT-621 Asthma Study</t>
  </si>
  <si>
    <t>NCT07346027</t>
  </si>
  <si>
    <t>Safety and Food Effect on Single-Dose Bioavailability of F-02-2-Na in Healthy Adult Subjects</t>
  </si>
  <si>
    <t>NCT07397338</t>
  </si>
  <si>
    <t>Study of RAS(ON) Inhibitors in Combination With Ivonescimab in Patients With Solid Tumors</t>
  </si>
  <si>
    <t>NCT07279935</t>
  </si>
  <si>
    <t>Osimertinib Combined With Chemotherapy in Patients Who Had Distant Recurrence After Adjuvant Osimertinib for EGFRm Resectable SIB-IIIA NSCLC.</t>
  </si>
  <si>
    <t>NCT07630649</t>
  </si>
  <si>
    <t>Ixoberogene Soroparvovec (Ixo-vec) Contralateral Dosing Study in Participants With Neovascular Age-related Macular Degeneration</t>
  </si>
  <si>
    <t>NCT07502443</t>
  </si>
  <si>
    <t>A Study to Evaluate the Efficacy and Safety of ALKS 2680 in Adults With Narcolepsy Type 2</t>
  </si>
  <si>
    <t>NCT07455084</t>
  </si>
  <si>
    <t>A Study to Detect the Radioactivity of 14C-SEP-380135 in Urine and Feces in Healthy Male Adults</t>
  </si>
  <si>
    <t>NCT07454187</t>
  </si>
  <si>
    <t>To Evaluate the Safety of SG2918 in Patients With Relapsed/Refractory Multiple Myeloma</t>
  </si>
  <si>
    <t>NCT07033689</t>
  </si>
  <si>
    <t>Feasibility Study of Suizenji, in Patients With Unresectable Pancreatic Ductal Adenocarcinoma (SUNRISE-II)</t>
  </si>
  <si>
    <t>SONIRE Therapeutics Inc.</t>
  </si>
  <si>
    <t>NCT07502508</t>
  </si>
  <si>
    <t>Phase 2 Trial of Icovamenib in Participants With Type 2 Diabetes Mellitus Who Are Not Achieving Glycemic Targets While Using GLP-1-Based Therapy</t>
  </si>
  <si>
    <t>NCT07528508</t>
  </si>
  <si>
    <t>A Clinical Trial in Healthy Participants to Study the Effect of a Single Dose of MK-8527 on Levels of Methadone (MK-8527-020)</t>
  </si>
  <si>
    <t>NCT07489755</t>
  </si>
  <si>
    <t>TGRX-678 Chinese Phase III in Chronic Myelogenous Leukemia (CML) Patients</t>
  </si>
  <si>
    <t>NCT07711158</t>
  </si>
  <si>
    <t>A Phase II Exploratory Study of SR604 Injection Evaluating the Safety and Efficacy in the Treatment of Congenital Coagulation Factor VII Deficiency</t>
  </si>
  <si>
    <t>NCT07443059</t>
  </si>
  <si>
    <t>A Study of Zovaglutide (ZT002 Injection) in Participants With Impaired Kidney Function and Healthy Participants</t>
  </si>
  <si>
    <t>NCT07648030</t>
  </si>
  <si>
    <t>A Study of Rusfertide in Japanese Adults With Polycythemia Vera</t>
  </si>
  <si>
    <t>NCT07662044</t>
  </si>
  <si>
    <t>A Phase III Study to Investigate the Efficacy and Safety of Elecoglipron Alone or in Combination With Dapagliflozin Compared With Placebo in Adults With Type 2 Diabetes Mellitus</t>
  </si>
  <si>
    <t>NCT07722299</t>
  </si>
  <si>
    <t>A Study to Assess the Safety, Tolerability, Pharmacokinetics, and Pharmacodynamics of SAL0167 in Healthy Participants</t>
  </si>
  <si>
    <t>NCT07359963</t>
  </si>
  <si>
    <t>Treatment of Idiopathic Pulmonary Fibrosis (IPF) by REGEND007 Cell Therapy</t>
  </si>
  <si>
    <t>NCT07469891</t>
  </si>
  <si>
    <t>A Phase 1 Study of PRT12396 in Participants With Select Myeloproliferative Neoplasms</t>
  </si>
  <si>
    <t>NCT06906471</t>
  </si>
  <si>
    <t>A Single-Arm, Blinded, Fluorescent PSMA Histopathology Trial of AS1986NS</t>
  </si>
  <si>
    <t>Antelope Surgical Solutions, Inc</t>
  </si>
  <si>
    <t>NCT07308652</t>
  </si>
  <si>
    <t>A Study in Healthy Men to Test How Itraconazole Influences the Amount of BI 764198 in the Blood</t>
  </si>
  <si>
    <t>NCT07734415</t>
  </si>
  <si>
    <t>Long-term Safety and Efficacy Evaluation of IMG-007 in Participants With Moderate-to-Severe Atopic Dermatitis</t>
  </si>
  <si>
    <t>NCT07533955</t>
  </si>
  <si>
    <t>A Phase 1 Study of JADE201 in Participants With Rheumatoid Arthritis</t>
  </si>
  <si>
    <t>NCT06895889</t>
  </si>
  <si>
    <t>EB-OC for the Treatment of Focal Chondral/Osteochondral Defects in the Knee</t>
  </si>
  <si>
    <t>NCT07435038</t>
  </si>
  <si>
    <t>Study of BPI-572270 in Patients With Advanced Solid Tumors Harboring Specific Mutations in RAS</t>
  </si>
  <si>
    <t>NCT07521748</t>
  </si>
  <si>
    <t>A Study to Evaluate the Safety, Tolerability, and Pharmacokinetic Profile of RC017 Ophthalmic Ointment Following Single and Multiple Doses in Healthy Adult Participants</t>
  </si>
  <si>
    <t>NCT07220915</t>
  </si>
  <si>
    <t>Supporting Weak Immune System During Autoimmune Therapy: Testing Panzyga to Prevent Infections</t>
  </si>
  <si>
    <t>NCT07529808</t>
  </si>
  <si>
    <t>Phase 1/2 Study of BHB810 in Advanced Gastric and GEJ Adenocarcinoma</t>
  </si>
  <si>
    <t>BigHat Biosciences, Inc.</t>
  </si>
  <si>
    <t>NCT07372625</t>
  </si>
  <si>
    <t>A Study to Investigate the Effects of Multiple Doses of Rezatapopt on the Pharmacokinetics of Metformin, Rosuvastatin, Repaglinide, and Midazolam in Patients With Advanced Solid Tumors Harboring a TP53 Y220C Mutation.</t>
  </si>
  <si>
    <t>NCT07382167</t>
  </si>
  <si>
    <t>A 26-Wk Study to Assess Safety &amp; Efficacy of Tenapanor for T/t of Chronic Idiopathic Constipation in Adults</t>
  </si>
  <si>
    <t>NCT07725809</t>
  </si>
  <si>
    <t>A Study to Learn How the Study Medicine Called PF-08653945 is Taken up Into the Blood in Adults With Overweight or Obesity</t>
  </si>
  <si>
    <t>NCT07556393</t>
  </si>
  <si>
    <t>Environmental Exposure Unit Trial in Subjects With Ragweed-induced Allergic Rhinitis</t>
  </si>
  <si>
    <t>NCT07286292</t>
  </si>
  <si>
    <t>Vorasidenib Study in Pediatric Participants With Grade 2 Astrocytoma or Oligodendroglioma With an IDH1 or IDH2 Mutation</t>
  </si>
  <si>
    <t>NCT07653100</t>
  </si>
  <si>
    <t>A Phase 3 Study in India to Describe the Safety and Immunogenicity of RSVpreF</t>
  </si>
  <si>
    <t>NCT07371793</t>
  </si>
  <si>
    <t>A Study to Evaluate BBI-001 in Healthy Volunteers and in Patients With Hereditary Hemochromatosis</t>
  </si>
  <si>
    <t>NCT07610564</t>
  </si>
  <si>
    <t>A Study to Assess the Effect of Empasiprubart on Nerve Morphology by Ultrasound in Adults With Multifocal Motor Neuropathy</t>
  </si>
  <si>
    <t>NCT06594393</t>
  </si>
  <si>
    <t>A Phase 2 Study of TCP-25 Gel in Patients With Epidermolysis Bullosa, STEP-study</t>
  </si>
  <si>
    <t>NCT07431216</t>
  </si>
  <si>
    <t>A Phase 1b/2a Study to Evaluate the Safety, Pharmacokinetics, and Objective Response of STAR-001 (LP-184) in Combination With Spironolactone in Supratentorial Glioblastoma at First Progression</t>
  </si>
  <si>
    <t>Starlight Therapeutics Inc.</t>
  </si>
  <si>
    <t>NCT07220252</t>
  </si>
  <si>
    <t>Study to Assess Effects of Ublituximab in Pediatric Participants With Relapsing Forms of Multiple Sclerosis</t>
  </si>
  <si>
    <t>NCT07403552</t>
  </si>
  <si>
    <t>Evaluate the Pharmacokinetics, Safety, and Tolerability of NSHO-101 in Healthy Participants</t>
  </si>
  <si>
    <t>Ensho Therapeutics, Inc.</t>
  </si>
  <si>
    <t>NCT07550816</t>
  </si>
  <si>
    <t>Drug-drug Interaction Study of ZT002 Injection in Overweight and Obese Participants</t>
  </si>
  <si>
    <t>NCT07157033</t>
  </si>
  <si>
    <t>A Phase 1 Study to Evaluate Safety and Efficacy of XER-001 (Amifostine for Nasoduodenal Delivery) in Combination With Sterotactic Body Radiotherapy for Treatment in Patients With Locally Advanced Pancreatic Cancer.</t>
  </si>
  <si>
    <t>Xerient Pharma</t>
  </si>
  <si>
    <t>NCT07320716</t>
  </si>
  <si>
    <t>Long-Term Immunogenicity of the altSonflex1-2-3 Shigella Vaccine in African Children</t>
  </si>
  <si>
    <t>NCT07471932</t>
  </si>
  <si>
    <t>A Study of LAD106 in Healthy Adult Participants</t>
  </si>
  <si>
    <t>NCT06963216</t>
  </si>
  <si>
    <t>A Study Investigating Coagadex in the Treatment AFXD Associated With AL Amyloidosis</t>
  </si>
  <si>
    <t>NCT07435571</t>
  </si>
  <si>
    <t>Use of a Treated, Devitalized and Sterile Umbilical Cord Amniotic Membrane in the Treatment of Trapeziometacarpal Osteoarthritis</t>
  </si>
  <si>
    <t>NCT07180771</t>
  </si>
  <si>
    <t>A Study of Bosmolisib (BR101801) in Participants With R/R PTCL.</t>
  </si>
  <si>
    <t>NCT07336771</t>
  </si>
  <si>
    <t>JSKN016 in Combination With D-0502 for Locally Advanced or Metastatic HR-Positive, HER2-Negative Breast Cancer</t>
  </si>
  <si>
    <t>NCT07626411</t>
  </si>
  <si>
    <t>Stroke and Systemic Embolism Prevention in Adult Participants With Atrial Fibrillation</t>
  </si>
  <si>
    <t>NCT07317934</t>
  </si>
  <si>
    <t>Efficacy and Safety of LX102 Gene Therapy in Patients With Neovascular Age-related Macular Degeneration (nAMD) (STELLAR)</t>
  </si>
  <si>
    <t>NCT07481955</t>
  </si>
  <si>
    <t>Chlorhexidine and/or Metronidazole Plus FB301 Pre-treatment Trial</t>
  </si>
  <si>
    <t>NCT07630974</t>
  </si>
  <si>
    <t>A Study of Ifinatamab Deruxtecan in Pediatric Participants With Relapsed or Refractory Solid Tumors (MK-9999-01D/LIGHTBEAM-U01)</t>
  </si>
  <si>
    <t>NCT07438444</t>
  </si>
  <si>
    <t>A Study of Tirzepatide (LY3298176) in Adult Participants in India With Either Type 2 Diabetes Mellitus or Obesity</t>
  </si>
  <si>
    <t>NCT07387068</t>
  </si>
  <si>
    <t>Trial to Evaluate the Safety and Preliminary Efficacy of GEN1079 in Participants With Advanced Solid Tumors</t>
  </si>
  <si>
    <t>NCT07520240</t>
  </si>
  <si>
    <t>ITX24-01 in Adult Male and Female Patients With Select Types of Severe Chronic Neck- and Lower Back Pain</t>
  </si>
  <si>
    <t>Interventional AnalgesiX Inc.</t>
  </si>
  <si>
    <t>NCT07490496</t>
  </si>
  <si>
    <t>Phase 3 Bunionectomy Study</t>
  </si>
  <si>
    <t>NCT07309380</t>
  </si>
  <si>
    <t>Phase III Clinical Trial of Hepalatide in Patients With Chronic Hepatitis D</t>
  </si>
  <si>
    <t>NCT07462143</t>
  </si>
  <si>
    <t>A Phase Ⅱ/Ⅲ Clinical Trial of RC148 Plus Chemotherapy as 1L Therapy for Unresectable or Metastatic Colorectal Cancer</t>
  </si>
  <si>
    <t>NCT07575308</t>
  </si>
  <si>
    <t>HMBeacon: A Phase 2 Study to Evaluate ALN-6400 in Adult and Adolescent Female Patients With VWD and HMB</t>
  </si>
  <si>
    <t>NCT07499050</t>
  </si>
  <si>
    <t>A Study of Multiple Doses of Orally Administered RO7795081 in Otherwise Healthy Chinese Adult Participants With Obesity or Overweight</t>
  </si>
  <si>
    <t>NCT07604974</t>
  </si>
  <si>
    <t>A Study to Assess the Safety, Tolerability and Efficacy of ION775</t>
  </si>
  <si>
    <t>NCT07418229</t>
  </si>
  <si>
    <t>Study to Evaluate the Safety of a Lyophilized RSV mRNA Vaccine</t>
  </si>
  <si>
    <t>NCT07590102</t>
  </si>
  <si>
    <t>A Study to Investigate the Effect of the CYP3A Inducer Phenytoin and the CYP3A Inhibitor Itraconazole on the Pharmacokinetics of BGB-58067 in Healthy Participants</t>
  </si>
  <si>
    <t>NCT07288216</t>
  </si>
  <si>
    <t>Transition to KPL-387 Monotherapy Dosing &amp; Administration Study</t>
  </si>
  <si>
    <t>NCT07417553</t>
  </si>
  <si>
    <t>A Study of Hydronidone Capsules in Patients With Chronic Hepatitis B Virus-Related Liver Fibrosis</t>
  </si>
  <si>
    <t>NCT07328581</t>
  </si>
  <si>
    <t>BCMA-CD19 cCAR T for the Treatment of Refractory Lupus</t>
  </si>
  <si>
    <t>NCT07509892</t>
  </si>
  <si>
    <t>A Clinical Trial on the Efficacy and Safety of TQH3906 in the Treatment of Systemic Lupus Erythematosus</t>
  </si>
  <si>
    <t>NCT07502287</t>
  </si>
  <si>
    <t>Dual-Target GD2/B7-H3 CAR-NK Cells for Pediatric Relapsed or Refractory Neuroblastoma</t>
  </si>
  <si>
    <t>NCT07482423</t>
  </si>
  <si>
    <t>XVIE to Treat Androgenetic Alopecia (AGA)</t>
  </si>
  <si>
    <t>Restore Biologics Holdings, Inc. dba Xtressé</t>
  </si>
  <si>
    <t>NCT07625280</t>
  </si>
  <si>
    <t>A Study Evaluating the Efficacy and Safety of Xywav Expanded Dosing vs Placebo in Participants With Narcolepsy or IH</t>
  </si>
  <si>
    <t>NCT07610798</t>
  </si>
  <si>
    <t>A Study to Evaluate the Safety, Tolerability, Pharmacokinetics, and Preliminary Antitumor Activity of INV-8989 in Patients With Advanced Solid Tumors Harboring KRAS G12D Mutations</t>
  </si>
  <si>
    <t>NCT07604116</t>
  </si>
  <si>
    <t>A Study to Evaluate Satety, Tolerability, Biodistribution, Radiation Dosimetry, and Pharmacokinetics of SST001 in Healthy Volunteers, Patients With PD and Patients With MSA</t>
  </si>
  <si>
    <t>Synusight Biotech (Shanghai) Co., Ltd.</t>
  </si>
  <si>
    <t>NCT07319871</t>
  </si>
  <si>
    <t>A Study of Pasritamig (JNJ-78278343) in Combination With JNJ-86974680 for Treatment of Prostate Cancer</t>
  </si>
  <si>
    <t>NCT07706764</t>
  </si>
  <si>
    <t>A Study to Test the Effects and Safety of Palopegteriparatide in Adolescents With Long-term Hypoparathyroidism</t>
  </si>
  <si>
    <t>NCT07244263</t>
  </si>
  <si>
    <t>A Study of Zasocitinib in Adults With Hidradenitis Suppurativa</t>
  </si>
  <si>
    <t>NCT07436728</t>
  </si>
  <si>
    <t>A Study of TAK-505 in Adults With Solid Tumors</t>
  </si>
  <si>
    <t>NCT07522099</t>
  </si>
  <si>
    <t>Chinese Adults With Kidney Disease</t>
  </si>
  <si>
    <t>NCT07623707</t>
  </si>
  <si>
    <t>A Study of FG-B901 Monotherapy or Combination With Chemotherapy in Advanced or Metastatic Solid Tumors</t>
  </si>
  <si>
    <t>NCT07640984</t>
  </si>
  <si>
    <t>A Phase I/II Trial of JR-446 in Mucopolysaccharidosis Type IIIB (MPS IIIB)</t>
  </si>
  <si>
    <t>NCT07358884</t>
  </si>
  <si>
    <t>First in Human Study of QLS5316 in Solid Tumors</t>
  </si>
  <si>
    <t>NCT07388602</t>
  </si>
  <si>
    <t>A Study to Evaluate the Safety and Efficacy of SCTC21C in Combination With Bortezomib, Cyclophosphamide, and Dexamethasone in Patients With Newly Diagnosed Systemic Light-Chain Amyloidosis (NDSLCA)</t>
  </si>
  <si>
    <t>NCT07533019</t>
  </si>
  <si>
    <t>A Study of LY4005130 in Adult Participants With Non-Segmental Vitiligo</t>
  </si>
  <si>
    <t>NCT07346144</t>
  </si>
  <si>
    <t>Study of an AAV Mediated Dual-Payload Gene Therapy in Patients With High Grade Glioma</t>
  </si>
  <si>
    <t>Trogenix ltd</t>
  </si>
  <si>
    <t>NCT07513571</t>
  </si>
  <si>
    <t>A Study to Assess the Effect of AZD0780 on the Pharmacokinetics of AZD4954 and Vice Versa in Healthy Adults</t>
  </si>
  <si>
    <t>NCT07430956</t>
  </si>
  <si>
    <t>Stroke and Systemic Embolism Prevention in Adult Participants With Atrial Fibrillation for Whom Oral Anticoagulation is Unsuitable</t>
  </si>
  <si>
    <t>NCT07400107</t>
  </si>
  <si>
    <t>AMAZE 8: A Research Study Investigating How Well the Medicine NNC0487-0111 Compared to Semaglutide Helps People With Excess Body Weight and Type 2 Diabetes Lose Weight</t>
  </si>
  <si>
    <t>NCT07455734</t>
  </si>
  <si>
    <t>Early-phase Trial to Assess the Safety and Preliminary Efficacy of BNT3214 in Adults With Advanced Solid Tumors</t>
  </si>
  <si>
    <t>NCT07676006</t>
  </si>
  <si>
    <t>A Clinical Study to Investigate the Safety and Efficacy of Off-the-Shelf iNKT Cell Injection Targeting CD33/CD70 in Adult Patients With Relapsed/Refractory Acute Myeloid Leukemia</t>
  </si>
  <si>
    <t>NCT07582328</t>
  </si>
  <si>
    <t>A Study to Learn More About How Well Oxymetazoline HCl 0.05% Nasal Gel Works and How Safe It Is in Healthy Adults</t>
  </si>
  <si>
    <t>NCT07662135</t>
  </si>
  <si>
    <t>A Phase III Study to Investigate the Efficacy and Safety of Elecoglipron Compared With Placebo in Adults With Type 2 Diabetes Mellitus and Impaired Renal Function on Background Dapagliflozin</t>
  </si>
  <si>
    <t>NCT07005180</t>
  </si>
  <si>
    <t>Low-dose Carbon Monoxide (HBI-002) Trial to Evaluate Safety, Tolerability, PK, and Biomarkers in Parkinson's Disease</t>
  </si>
  <si>
    <t>NCT07571109</t>
  </si>
  <si>
    <t>AMAZE 4: A Research Study Investigating How Well the Medicine NNC0487-0111 Helps People With Excess Body Weight and Obstructive Sleep Apnoea Treated With Positive Airway Pressure Lose Weight and Improve Sleep Apnoea</t>
  </si>
  <si>
    <t>NCT07500987</t>
  </si>
  <si>
    <t>Phase I Study of [111In]-FPI-2107 in EGFR Mutation-positive NSCLC</t>
  </si>
  <si>
    <t>NCT07371104</t>
  </si>
  <si>
    <t>Bioequivalence Study of DWZ2501 in Patients With Advanced BRCA-mutated High-grade Ovarian Cancer</t>
  </si>
  <si>
    <t>NCT07690189</t>
  </si>
  <si>
    <t>Study of NTB-928 in R/R OC</t>
  </si>
  <si>
    <t>TeneoSeven, Inc.</t>
  </si>
  <si>
    <t>NCT07374224</t>
  </si>
  <si>
    <t>A Study Evaluating the Effects of Itraconazole or Rifampin on the Pharmacokinetic Characteristics of Rocbrutinib Tablet</t>
  </si>
  <si>
    <t>NCT07570823</t>
  </si>
  <si>
    <t>A Study to Evaluate the Safety and Efficacy of SCTB35 in Combination With Gemcitabine and Oxaliplatin in Patients With Relapsed or Refractory Diffuse Large B-Cell Lymphoma</t>
  </si>
  <si>
    <t>NCT07357610</t>
  </si>
  <si>
    <t>An Open-Label Drug Interaction Clinical Study to Evaluate Itraconazole, Rifampin, Midazolam and SIM0270 in Chinese Healthy Adult Participants</t>
  </si>
  <si>
    <t>NCT07577479</t>
  </si>
  <si>
    <t>A Phase 1 Study of Single-Dose BW-50218 in Healthy Chinese Participants</t>
  </si>
  <si>
    <t>NCT07155226</t>
  </si>
  <si>
    <t>Study of AZD3632 Monotherapy or in Combination With Anticancer Agents in Participants With Advanced Haematologic Malignancies With KMT2Ar, NPM1m, or Other Genotypes Associated With HOX Overexpression</t>
  </si>
  <si>
    <t>NCT07489196</t>
  </si>
  <si>
    <t>A Phase 2 Safety and Efficacy Study Evaluating CS-101 in Participants With β-Thalassemia Major</t>
  </si>
  <si>
    <t>NCT07679113</t>
  </si>
  <si>
    <t>IPG1094 Phase I Study for China Healthy Participants</t>
  </si>
  <si>
    <t>NCT07077746</t>
  </si>
  <si>
    <t>HB-adMSCs for the Treatment of Crohn's Disease</t>
  </si>
  <si>
    <t>NCT07343960</t>
  </si>
  <si>
    <t>A Phase I Study to Investigate the Pharmacokinetics and Safety of Capivasertib in Participants With Moderate Hepatic Impairment</t>
  </si>
  <si>
    <t>NCT07684196</t>
  </si>
  <si>
    <t>A First-in-Human SAD/MAD Study to Evaluate Safety, Tolerability and PK of ENC0653 Ointment in Healthy Adult Subjects</t>
  </si>
  <si>
    <t>NCT07249905</t>
  </si>
  <si>
    <t>Dose Escalation and Dose Expansion Study of MDX2003 in Patients With Different Types of Lymphoma</t>
  </si>
  <si>
    <t>NCT07414173</t>
  </si>
  <si>
    <t>6-month Clinical Investigation Assessing the Efficacy of an Antimicrobial Mouthrinse in Reducing Established Plaque and Improving Gum Health</t>
  </si>
  <si>
    <t>NCT07275762</t>
  </si>
  <si>
    <t>Y-4 to Treat the Postherpetic Neuralgia</t>
  </si>
  <si>
    <t>NCT07288489</t>
  </si>
  <si>
    <t>Phase 3 Trial of VMX-C001 vs Usual Pharmacological Care in Patients Taking a FXa Direct Oral Anticoagulant Who Require Urgent Surgery With or Without Heparin.</t>
  </si>
  <si>
    <t>NCT07210723</t>
  </si>
  <si>
    <t>A Study of the Efficacy and Safety of Danicamtiv in Participants With Symptomatic Genetic and Familial Dilated Cardiomyopathy</t>
  </si>
  <si>
    <t>NCT07663903</t>
  </si>
  <si>
    <t>Study of Recombinant Human Coagulation Factor VIII-Fc Fusion Protein (FRSW107) On-Demand Treatment</t>
  </si>
  <si>
    <t>NCT07612176</t>
  </si>
  <si>
    <t>A Phase 1 Study of NEOK001, a B7-H3 and ROR1 Targeting Bispecific ADC in Participants With Select Solid Tumors</t>
  </si>
  <si>
    <t>NCT07227311</t>
  </si>
  <si>
    <t>A Study to Evaluate the Efficacy and Safety of Belantamab Mafodotin in Combination With Standard of Care in Participants With Relapsed-Refractory Multiple Myeloma (RRMM)</t>
  </si>
  <si>
    <t>NCT07229716</t>
  </si>
  <si>
    <t>Study on the Drug Interactions of HRS-9813, Pirfenidone and Nintedanib in Healthy Subjects</t>
  </si>
  <si>
    <t>NCT07314060</t>
  </si>
  <si>
    <t>A Clinical Trial of TQH2929 Injection in Patients With Acute Flare-up of Generalized Pustular Psoriasis</t>
  </si>
  <si>
    <t>NCT07609862</t>
  </si>
  <si>
    <t>A Study of Rocbrutinib in Combination With Lacutoclax in Patients With B-Cell Malignancies</t>
  </si>
  <si>
    <t>NCT07598708</t>
  </si>
  <si>
    <t>A Study to Investigate the Effects of Cleminorexton Compared With Placebo in the Treatment of Participants With Central Disorders of Hypersomnolence</t>
  </si>
  <si>
    <t>NCT07402070</t>
  </si>
  <si>
    <t>IBI363 as Neoadjuvant Therapy in Resectable Stage II-III Non-Small Cell Lung Cancer</t>
  </si>
  <si>
    <t>NCT07325591</t>
  </si>
  <si>
    <t>Efficacy and Safety of Tazbentetol in ALS Participants</t>
  </si>
  <si>
    <t>NCT07527910</t>
  </si>
  <si>
    <t>A Phase 2a Study of ALN-PNP With and Without a GLP1R Agonist in Adult Patients With Homozygous PNPLA3-Related MASLD</t>
  </si>
  <si>
    <t>NCT07732023</t>
  </si>
  <si>
    <t>A Randomized, Phase Ib, Double-Blind, Placebo-Controlled Study to Evaluate the Safety and Efficacy of SKB575 (HBM7575) in Participants With Asthma</t>
  </si>
  <si>
    <t>NCT07524946</t>
  </si>
  <si>
    <t>Study to Assess Safety, Pharmacokinetics, and Treatment Effect of Cabtreo</t>
  </si>
  <si>
    <t>NCT07234942</t>
  </si>
  <si>
    <t>A Study to Investigate the Safety, Tolerability, Pharmacokinetics, and Pharmacodynamics of RO7812653 in Participants With Early Symptomatic Alzheimer's Disease (eAD)</t>
  </si>
  <si>
    <t>NCT07660341</t>
  </si>
  <si>
    <t>SAD Study of CGB3002 in Healthy Participants</t>
  </si>
  <si>
    <t>ChainGen Biopharma Ltd</t>
  </si>
  <si>
    <t>NCT07349524</t>
  </si>
  <si>
    <t>A Study to Evaluate the Efficacy and Safety of RSS0343 Tablets in Patients With Chronic Obstructive Pulmonary Disease</t>
  </si>
  <si>
    <t>NCT07592585</t>
  </si>
  <si>
    <t>Phase III Clinical Study of VC005 in Adult and Adolescents With Mild to Moderate Atopic Dermatitis</t>
  </si>
  <si>
    <t>NCT07664150</t>
  </si>
  <si>
    <t>CW-301 FIH Study of CAN016</t>
  </si>
  <si>
    <t>NCT07448610</t>
  </si>
  <si>
    <t>ASsessing The REAl-world Safety &amp; Effectiveness of Spinal Muscular Atrophy Participants Treated With Intrathecal Onasemnogene Abeparvovec-brve (OAV101B) (ITVISMA®): A U.S. Pragmatic Multicenter Study (STREAM)</t>
  </si>
  <si>
    <t>NCT07495813</t>
  </si>
  <si>
    <t>A Study to See How RO7763505 Works and How Safe it is When Given to Healthy People and People With Stable Heart Disease</t>
  </si>
  <si>
    <t>NCT07729852</t>
  </si>
  <si>
    <t>Open-Label Access to ATH434 for Patients Who Completed Study ATH434-201 in France</t>
  </si>
  <si>
    <t>NCT07550465</t>
  </si>
  <si>
    <t>Study of QLS1410 in the Treatment of Primary Aldosteronism.</t>
  </si>
  <si>
    <t>NCT07327632</t>
  </si>
  <si>
    <t>This is a Multi-Center Study of IBI3026 in Participants With Locally Advanced, Unresectable or Metastatic Solid Tumors</t>
  </si>
  <si>
    <t>NCT07594106</t>
  </si>
  <si>
    <t>REGN15505 (PSMAx4-1BB) Alone or in Combination With Cemiplimab or REGN4336 (PSMAxCD3) in Adult Patients With Metastatic Castration-Resistant Prostate Cancer and Clear Cell Renal Cell Carcinoma</t>
  </si>
  <si>
    <t>NCT07705035</t>
  </si>
  <si>
    <t>DBC-664 in Adult Patients With Solid Tumors</t>
  </si>
  <si>
    <t>Duboce Biopharmaceuticals, Inc.</t>
  </si>
  <si>
    <t>NCT07421284</t>
  </si>
  <si>
    <t>A Study to Evaluate the Safety, Efficacy of SYH2053 in Chinese Participants With Non-familial Hypercholesterolemia and Mixed Hyperlipidemia on a Background of Lipid-lowering Therapy</t>
  </si>
  <si>
    <t>NCT07233655</t>
  </si>
  <si>
    <t>A Phase II Trial of SHR-3045 Injection in Patients With Rheumatoid Arthritis</t>
  </si>
  <si>
    <t>NCT07146906</t>
  </si>
  <si>
    <t>A Study to Assess the Effects of Zigakibart on IgA Nephropathy.</t>
  </si>
  <si>
    <t>NCT07649655</t>
  </si>
  <si>
    <t>EMB-01 in Combination With Chemotherapy for Unresectable or Metastatic Colorectal Cancer</t>
  </si>
  <si>
    <t>NCT07722871</t>
  </si>
  <si>
    <t>A Clinical Trial to Evaluate the Bioequivalence of AD-116A and AD-1161 Under Fed Conditions in Healthy Adult Male Volunteers</t>
  </si>
  <si>
    <t>NCT07736638</t>
  </si>
  <si>
    <t>A Study to Assess the Safety, Tolerability and How Single Ascending Doses of ABBV-859 Moves Through the Body of Healthy Adult Participants</t>
  </si>
  <si>
    <t>NCT07501559</t>
  </si>
  <si>
    <t>A Phase Ib/II Clinical Trial to Evaluate the Safety and Efficacy of JL15003 Injection in Patients With Recurrent Glioblastoma (rGBM)</t>
  </si>
  <si>
    <t>NCT07547995</t>
  </si>
  <si>
    <t>A Study of Efficacy and Safety of GenSci048 in Subjects With Active Uveitis.</t>
  </si>
  <si>
    <t>NCT07598396</t>
  </si>
  <si>
    <t>A Study to Evaluate Mosunetuzumab in Participants With Systemic Lupus Erythematosus With or Without Active Lupus Nephritis</t>
  </si>
  <si>
    <t>NCT07490262</t>
  </si>
  <si>
    <t>A Study to Evaluate the Efficacy and Safety of IBI310 and Sintilimab Combination Therapy in Patients With Hepatocellular Carcinoma as First-line Treatment.</t>
  </si>
  <si>
    <t>NCT07753902</t>
  </si>
  <si>
    <t>Bioequivalence Study of ADC118 Tablets in Healthy Chinese Volunteers Under Fasting Conditions</t>
  </si>
  <si>
    <t>NCT07440537</t>
  </si>
  <si>
    <t>Evaluate the Efficacy and Safety of ICP-488 in Subjects With Cutaneous Lupus Erythematosus (CLE) Double-blind Study</t>
  </si>
  <si>
    <t>NCT07521631</t>
  </si>
  <si>
    <t>Efficacy and Safety of HDM1005 Compared to Tirzepatide in Obese Adults Without Diabetes</t>
  </si>
  <si>
    <t>NCT07617337</t>
  </si>
  <si>
    <t>AQUA07 in Patients With ALK-Positive Non-Small Cell Lung Cancer</t>
  </si>
  <si>
    <t>NCT07427394</t>
  </si>
  <si>
    <t>Study to Evaluate the Safety and Tolerability of Camizestrant in Combination With Atirmociclib in Women With Advanced Breast Cancer</t>
  </si>
  <si>
    <t>NCT07305831</t>
  </si>
  <si>
    <t>A Clinical Trial to Evaluate the Effect of Ulonivirine (MK-8507) on Heart Rhythm in Healthy Adults (MK-8507-012)</t>
  </si>
  <si>
    <t>NCT05735431</t>
  </si>
  <si>
    <t>Non-Inferiority,Combination Formoterol/FluticasonexAlenia®Formoterol/Budesonide for Asthma in Brazil</t>
  </si>
  <si>
    <t>NCT07063745</t>
  </si>
  <si>
    <t>A Study to Compare the Combination of Navlimetostat (BMS-986504) With Pembrolizumab and Chemotherapy Versus Placebo Plus Pembrolizumab and Chemotherapy in First-line Metastatic Non-small Cell Lung Cancer Participants With Homozygous MTAP Deletion</t>
  </si>
  <si>
    <t>NCT07491445</t>
  </si>
  <si>
    <t>Study of Daraxonrasib and Daraxonrasib + GnP as First-line Treatment in Patients With Metastatic Pancreatic Adenocarcinoma</t>
  </si>
  <si>
    <t>NCT07523542</t>
  </si>
  <si>
    <t>SELECT-SLE: Biomarker-Guided CAR-T Target Selection for Refractory Lupus</t>
  </si>
  <si>
    <t>NCT07695142</t>
  </si>
  <si>
    <t>A Phase 1 Study to Evaluate the Safety, Tolerability, and Pharmacokinetics/Pharmacodynamics of HSK46256 in Patients With Advanced Solid Tumors</t>
  </si>
  <si>
    <t>NCT06651541</t>
  </si>
  <si>
    <t>Evaluation of the Efficacy in Increasing Sexual Arousal, Safety and Tolerability of BZ371A in Women With Sexual Arousal Disorder</t>
  </si>
  <si>
    <t>NCT07610005</t>
  </si>
  <si>
    <t>A Relative Bioavailability and Bioequivalence Study of Varegacestat in Healthy Participants</t>
  </si>
  <si>
    <t>NCT07640737</t>
  </si>
  <si>
    <t>AUR103 Calcium in Advanced Neuroendocrine Tumours (BHARAT-3 Study)</t>
  </si>
  <si>
    <t>NCT07368569</t>
  </si>
  <si>
    <t>A Study in Healthy People to Test Whether BI 764198 Influences the Amount of Metformin in the Body</t>
  </si>
  <si>
    <t>NCT07583953</t>
  </si>
  <si>
    <t>An Exploratory Study of Personalized Cancer Vaccine in Adjuvant Therapy of Solid Tumors</t>
  </si>
  <si>
    <t>NCT07395024</t>
  </si>
  <si>
    <t>A Study to Learn How Fluconazole, Carbamazepine and Itraconazole Affect How the Body Processes ASP3082 in Healthy Adults</t>
  </si>
  <si>
    <t>NCT07459660</t>
  </si>
  <si>
    <t>An Open-Label Study of ML-007C-MA in Adults With Alzheimer's Disease Psychosis</t>
  </si>
  <si>
    <t>NCT07669779</t>
  </si>
  <si>
    <t>A Phase II Study of AK146D1 in Combination With AK112 in Advanced Non-Small Cell Lung Cancer</t>
  </si>
  <si>
    <t>NCT07671924</t>
  </si>
  <si>
    <t>The Effect of Nalbuphine Extended-Release (NAL ER) on Cough in Participants With Refractory Chronic Cough (RCC)</t>
  </si>
  <si>
    <t>NCT07239596</t>
  </si>
  <si>
    <t>Phase Ib/II Clinical Study of SHR-8068 Combined Anti-tumor Drugs in the Treatment of Advanced Renal Cell Carcinom</t>
  </si>
  <si>
    <t>NCT07193927</t>
  </si>
  <si>
    <t>Investigation of the Efficacy of a Probiotic Mixture in Moderate Metabolic Dysfunction-Associated Steatotic Liver Disease (MASLD): A Mechanistic Trial</t>
  </si>
  <si>
    <t>AB Biotics, SA</t>
  </si>
  <si>
    <t>NCT07540442</t>
  </si>
  <si>
    <t>A Phase III Study of MG-K10 in Adolescents With Moderate-to-Severe Atopic Dermatitis</t>
  </si>
  <si>
    <t>NCT07736391</t>
  </si>
  <si>
    <t>A Study of SYH2069 Injection in Healthy Participants</t>
  </si>
  <si>
    <t>NCT07665879</t>
  </si>
  <si>
    <t>A Study of Eloralintide (LY3841136) in Participants With Overweight or Obesity</t>
  </si>
  <si>
    <t>NCT07643220</t>
  </si>
  <si>
    <t>Bioequivalence Study of AJU-G721 and G721R in Healthy Adult Volunteers Under Fasting Conditions</t>
  </si>
  <si>
    <t>NCT07340190</t>
  </si>
  <si>
    <t>A Drug-drug Interaction Study to Evaluate the Effects of Pelabresib on the Pharmacokinetics of Repaglinide, Midazolam, and Combined Oral Contraceptive in Patients With Advanced Malignancies</t>
  </si>
  <si>
    <t>NCT07281274</t>
  </si>
  <si>
    <t>ADO-5030 in Bronchoconstriction Challenge, Phase 1b</t>
  </si>
  <si>
    <t>Adovate</t>
  </si>
  <si>
    <t>NCT07510815</t>
  </si>
  <si>
    <t>Dual-Target MSLN/FAP CAR-NK Cells for Pleural and Peritoneal Mesothelioma</t>
  </si>
  <si>
    <t>NCT06979076</t>
  </si>
  <si>
    <t>A Phase Ib Study of the Selective PKC-β Inhibitor MS-553 in Patients With Refractory or Relapsed CLL/SLL</t>
  </si>
  <si>
    <t>NCT07615868</t>
  </si>
  <si>
    <t>A Trial to Compare What the Body Does to Selatogrel and the Effect of Selatogrel in Chinese Adults With Chronic Coronary Syndrome</t>
  </si>
  <si>
    <t>NCT07709897</t>
  </si>
  <si>
    <t>A Clinical Trial of HRS5580 for Injection Combined With Palonosetron Hydrochloride for the Prevention of Postoperative Nausea and Vomiting</t>
  </si>
  <si>
    <t>NCT07291635</t>
  </si>
  <si>
    <t>Phase 1/2 Study of a Plant-Based Seasonal Recombinant Trivalent VLP Influenza Vaccine</t>
  </si>
  <si>
    <t>Aramis Biotechnologies Inc.</t>
  </si>
  <si>
    <t>NCT07712913</t>
  </si>
  <si>
    <t>Extended-release Pregabalin for the Treatment of Neuropathic Pain in Patients With Diabetic Peripheral Neuropathy and Postherpetic Neuralgia</t>
  </si>
  <si>
    <t>NCT07595458</t>
  </si>
  <si>
    <t>Phase 1 Study on the Safety, Tolerability, and Pharmacokinetics of JST-018 in Healthy Adults</t>
  </si>
  <si>
    <t>NCT07665515</t>
  </si>
  <si>
    <t>Study of CryptiVax-1001 in Maintenance Setting for Advanced Serous Ovarian, Fallopian Tube, or Primary Peritoneal Cancer</t>
  </si>
  <si>
    <t>Epitopea Ltd</t>
  </si>
  <si>
    <t>NCT07285694</t>
  </si>
  <si>
    <t>AB-3028, a Programmable Circuit T Cell Therapy in Patients With Castration Resistant Prostate Cancer (CRPC)</t>
  </si>
  <si>
    <t>NCT07521345</t>
  </si>
  <si>
    <t>A Phase I Study to Evaluate the Safety, Tolerability, Pharmacokinetics, and the Food Effect of HSK55879 Tablets in Healthy Subjects.</t>
  </si>
  <si>
    <t>NCT07665970</t>
  </si>
  <si>
    <t>SCTB41 Plus SCTB39G With or Without Standard Therapy in Advanced Solid Tumors</t>
  </si>
  <si>
    <t>NCT07177937</t>
  </si>
  <si>
    <t>A Study of DXC014 in Patients With Advanced Solid Tumors.</t>
  </si>
  <si>
    <t>NCT07652723</t>
  </si>
  <si>
    <t>A Study to Learn About How Safe BAY3389934 is and How it Affects Blood Clotting When Given Alone or With Aspirin in Healthy Participants</t>
  </si>
  <si>
    <t>NCT07566156</t>
  </si>
  <si>
    <t>Enfortumab Vedotin in Combination With Pembrolizumab vs. Concurrent Chemoradiotherapy (cCRT) in People With Muscle Invasive Bladder Cancer (EV-309)</t>
  </si>
  <si>
    <t>NCT07728383</t>
  </si>
  <si>
    <t>A Proof-of-Concept Study to Evaluate Topical-Lingual Semaglutide in Adults With Obesity</t>
  </si>
  <si>
    <t>Gila Therapeutics, Inc.</t>
  </si>
  <si>
    <t>NCT07717905</t>
  </si>
  <si>
    <t>A Study to Evaluate the Safety, Tolerability, Pharmacokinetics, Immunogenicity, Pharmacodynamics and Clinical Activity of BBT001 Following Intravenous Administration in Participants With Chronic Spontaneous Urticaria (CSU)</t>
  </si>
  <si>
    <t>NCT07223294</t>
  </si>
  <si>
    <t>Study to Evaluate the Therapeutic Equivalence and Safety of Fluticasone Furoate and Vilanterol Inhalation Powder 100 mcg/25 mcg and BREO ELLIPTA 100 mcg/25 mcg in Participants With Asthma</t>
  </si>
  <si>
    <t>NCT07701083</t>
  </si>
  <si>
    <t>A Study of Eloralintide (LY3841136) in Healthy Participants</t>
  </si>
  <si>
    <t>NCT07333469</t>
  </si>
  <si>
    <t>A Clinical Study of HX111 in Patients With Advanced Solid Tumor and Lymphoma</t>
  </si>
  <si>
    <t>NCT07606976</t>
  </si>
  <si>
    <t>A Study of SSS68 Following a Single Subcutaneous Administration in Healthy Adult Participants</t>
  </si>
  <si>
    <t>NCT07315516</t>
  </si>
  <si>
    <t>Sleep and Stress Study</t>
  </si>
  <si>
    <t>NCT07596784</t>
  </si>
  <si>
    <t>Efficacy and Safety of Ravulizumab in Chinese Adults Participants With Generalized Myasthenia Gravis (gMG)</t>
  </si>
  <si>
    <t>NCT07411378</t>
  </si>
  <si>
    <t>Testing the Efficacy, Safety, and PK of 20E in Patients With Obesity Who Are Starting Treatment With the GLP-1 Agonist Semaglutide for Weight Loss.</t>
  </si>
  <si>
    <t>NCT07402915</t>
  </si>
  <si>
    <t>Drug-drug Interaction Study With AZD5335 and Itraconazole in Participants With Ovarian, Primary Peritoneal, or Fallopian Tube Cancer</t>
  </si>
  <si>
    <t>NCT07354074</t>
  </si>
  <si>
    <t>Study to Determine the Efficacy and Safety of Asciminib in Pediatric Patients With Ph+ CML-CP</t>
  </si>
  <si>
    <t>NCT07520292</t>
  </si>
  <si>
    <t>Study of NTX-2001 on Alcohol Consumption in Alcohol Use Disorder</t>
  </si>
  <si>
    <t>NCT07324616</t>
  </si>
  <si>
    <t>A Study to Evaluate EDG-7500 in Adults With Hepatic Impairment</t>
  </si>
  <si>
    <t>NCT07355868</t>
  </si>
  <si>
    <t>Treatment of Chronic Obstructive Pulmonary Disease (COPD) by REGEND007 Cell Therapy</t>
  </si>
  <si>
    <t>NCT07456059</t>
  </si>
  <si>
    <t>A Study to Evaluate EDG-7500 in Caucasian and Japanese Adults</t>
  </si>
  <si>
    <t>NCT07297797</t>
  </si>
  <si>
    <t>Phase II Clinical Study of HRS-9563 in Patients With Mild to Moderate Hypertension</t>
  </si>
  <si>
    <t>NCT07703878</t>
  </si>
  <si>
    <t>A Study to Evaluate the Safety and Antitumor Activity of GS-1206 in Adults With Solid Tumors</t>
  </si>
  <si>
    <t>NCT07257185</t>
  </si>
  <si>
    <t>MHB018A Treatment in Patients With Chronic Thyroid Eye Disease</t>
  </si>
  <si>
    <t>NCT07472725</t>
  </si>
  <si>
    <t>A Study Comparing Safety and Efficacy of SHR-3167 Fixed-Dose Titration and Individualized-Dose Titration in Adults With Type 2 Diabetes Inadequately Controlled With Oral Antihyperglycemic Agents</t>
  </si>
  <si>
    <t>NCT07285291</t>
  </si>
  <si>
    <t>A Phase 3 Study of TS-172 in Hyperphosphatemia Patients on Hemodialysis With Phosphate Binders</t>
  </si>
  <si>
    <t>NCT07336420</t>
  </si>
  <si>
    <t>Treatment Patterns Among US Veterans Using Remote Electrical Neuromodulation (REN) for Migraine Treatment</t>
  </si>
  <si>
    <t>NCT07227025</t>
  </si>
  <si>
    <t>A Study of Amivantamab and Olomorasib Combination Therapy in Participants With Metastatic Non-Small Cell Lung Cancer</t>
  </si>
  <si>
    <t>NCT07325526</t>
  </si>
  <si>
    <t>A Study to Test Whether BI 3802876 is Tolerated in People With Compensated Liver Cirrhosis Due to Metabolic Dysfunction- Associated Steatohepatitis (MASH)</t>
  </si>
  <si>
    <t>NCT07379047</t>
  </si>
  <si>
    <t>Efficacy and Safety of NB003 in Patients With Advanced Gastrointestinal Stromal Tumors (GIST)</t>
  </si>
  <si>
    <t>NCT07444268</t>
  </si>
  <si>
    <t>How [14C]-DSP-5336 is Absorbed, Broken Down, and Removed From the Body After a Single Oral Dose in Patients With Advanced Blood Cancers</t>
  </si>
  <si>
    <t>NCT07224763</t>
  </si>
  <si>
    <t>Study to Evaluate the Safety and Efficacy of the GGTA1 KO Thymokidney in Patients With ESRD</t>
  </si>
  <si>
    <t>NCT07443306</t>
  </si>
  <si>
    <t>A Clinical Trial of Flonoltinib Maleate Tablets in the Treatment of JAK Inhibitor Refractory/Relapsed/Intolerant Patients With Medium to High Risk Myelofibrosis</t>
  </si>
  <si>
    <t>NCT07658352</t>
  </si>
  <si>
    <t>A First-in-Human Study of HP-002 for Relapsed or Refractory B-Cell Non-Hodgkin Lymphoma</t>
  </si>
  <si>
    <t>Shanghai Helioson Pharmaceutical Co., Ltd.</t>
  </si>
  <si>
    <t>NCT07284849</t>
  </si>
  <si>
    <t>A Study to Evaluate the Efficacy and Safety of Standard-of-Care Chemotherapy and Bevacizumab With or Without INCA33890 in the First-Line Treatment of Metastatic Microsatellite Stable Colorectal Cancer</t>
  </si>
  <si>
    <t>NCT06579755</t>
  </si>
  <si>
    <t>A Study of Dengue Tetravalent Vaccine (TDV) in Adults (Age 45 to 60 and &gt;60 to 79 Years)</t>
  </si>
  <si>
    <t>NCT07532304</t>
  </si>
  <si>
    <t>A Clinical Trial of MK-4646 With Bictegravir/Emtricitabine/Tenofovir Alafenamide and Dolutegravir in Healthy Adult Participants (MK-4646)</t>
  </si>
  <si>
    <t>NCT07569926</t>
  </si>
  <si>
    <t>Impact of Fluciclovine (18F) PET (Positron Emission Tomography) on the Management of Prostate Cancer Following Negative or Equivocal PSMA (Prostate-Specific Membrane Antigen) PET Imaging at the Time of Biochemical Recurrence</t>
  </si>
  <si>
    <t>NCT07498478</t>
  </si>
  <si>
    <t>Efficacy and Safety of Tinengotinib Tablets Combined With Fulvestrant Injection in Patients With HR Positive and HER-2 Negative Recurrent or Metastatic Breast Cancer Who Have Failed Prior Treatment</t>
  </si>
  <si>
    <t>NCT07710885</t>
  </si>
  <si>
    <t>Futibatinib (TAS-120) in Patients With Advanced Biliary Tract Cancer</t>
  </si>
  <si>
    <t>NCT07455617</t>
  </si>
  <si>
    <t>Study of ABO2102 in KRAS-Mutated Solid Tumors</t>
  </si>
  <si>
    <t>NCT07560150</t>
  </si>
  <si>
    <t>Comparison of the Pharmacokinetics (PK) and Pharmacodynamics (PD) Biosimilarity of Proposed Biosimilar/Interchangeable Rapid-Acting Insulin Aspart (I004) and NovoLog® After Single-Dose Subcutaneous Administration to Healthy Volunteers</t>
  </si>
  <si>
    <t>NCT07535034</t>
  </si>
  <si>
    <t>A Phase 2 Trial of Dotinurad in Xanthine Oxidase Inhibitor (XOI) Intolerant/Uricase Failure Gout Participants</t>
  </si>
  <si>
    <t>NCT07549321</t>
  </si>
  <si>
    <t>A Safety and Efficacy Study of hu14 in High-Risk Neuroblastoma Patients</t>
  </si>
  <si>
    <t>Renaissance Pharma Ltd.</t>
  </si>
  <si>
    <t>NCT07615426</t>
  </si>
  <si>
    <t>A Study of the Feasibility, Safety and Tolerability of Aticaprant as Adjunctive Treatment in Participants With Schizophrenia</t>
  </si>
  <si>
    <t>NCT07448155</t>
  </si>
  <si>
    <t>A Study to Evaluate the Pharmacokinetics, Safety, and Tolerability of INCA033989 Following Subcutaneous or Intravenous Administration in Healthy Adult Participants</t>
  </si>
  <si>
    <t>NCT06666335</t>
  </si>
  <si>
    <t>A Study to Evaluate Efficacy and Safety of Anakinra in Chinese Patients With Colchicine-resistent FMF</t>
  </si>
  <si>
    <t>NCT07629778</t>
  </si>
  <si>
    <t>HL-300 Ointment in Patients With Mild-to-Moderate Atopic Dermatitis</t>
  </si>
  <si>
    <t>NCT07392125</t>
  </si>
  <si>
    <t>Phase 3 Trial Evaluating the Efficacy and Safety of Cytisinicline for Vaping Cessation in Adults Using Nicotine-Containing E Cigarettes</t>
  </si>
  <si>
    <t>NCT07486453</t>
  </si>
  <si>
    <t>Bioequivalence Study of Sacubitril Alisartan Amlodipine Tablets</t>
  </si>
  <si>
    <t>NCT07505030</t>
  </si>
  <si>
    <t>To Evaluate the Safety, Tolerability, Pharmacokinetics, Pharmacodynamics, and Immunogenicity of LYNC-101 for Injection in Healthy Adult Participants</t>
  </si>
  <si>
    <t>LyncBio Therapeutics Co., Ltd.</t>
  </si>
  <si>
    <t>NCT07285005</t>
  </si>
  <si>
    <t>A Study to Investigate Efficacy and Safety of KP-001 Compared With Placebo in Patients Aged ≥2 Years With Common VM, Common LM, or KTS/CLOVES Syndrome</t>
  </si>
  <si>
    <t>NCT07548853</t>
  </si>
  <si>
    <t>A Clinical Study of TS-172 in Hyperphosphatemia Patients on Peritoneal Dialysis</t>
  </si>
  <si>
    <t>NCT07303777</t>
  </si>
  <si>
    <t>Efficacy, Safety, and PopPK Profile of ABP-745 in Patients With Atherosclerosis</t>
  </si>
  <si>
    <t>NCT07384975</t>
  </si>
  <si>
    <t>A Study to Assess NAV-240 in Adult Participants With Hidradenitis Suppurativa</t>
  </si>
  <si>
    <t>NCT07475572</t>
  </si>
  <si>
    <t>A Randomized, Double-Blind, Pharmacokinetic Similarity Study to Compare AVT32-DRL_PB With Keytruda® in Participants With Fully Resected Melanoma</t>
  </si>
  <si>
    <t>NCT07493057</t>
  </si>
  <si>
    <t>Evaluate the Efficacy and Safety of GZR18 Injection in Obese Subjects With Obstructive Sleep Apnea Not Treated With Positive Airway Pressure (PAP) Therapy</t>
  </si>
  <si>
    <t>NCT07553065</t>
  </si>
  <si>
    <t>RELIEVE Study: NT 201 Intravesical Administration Using Vibe System (ViXe Combination Product) for the Treatment of Idiopathic Overactive Bladder</t>
  </si>
  <si>
    <t>Vensica Therapeutics Ltd.</t>
  </si>
  <si>
    <t>NCT07276802</t>
  </si>
  <si>
    <t>The TRIBECA Study (TRIessence/Byqlovi for Easier CAtaract Surgery)</t>
  </si>
  <si>
    <t>NCT07625553</t>
  </si>
  <si>
    <t>Study of the Relaxin Agonist R2R01 in Patients at High Risk for Cardiac Surgery Associated- Acute Kidney Injury</t>
  </si>
  <si>
    <t>NCT07271667</t>
  </si>
  <si>
    <t>A Study of Emavusertib + An Approved Bruton Tyrosine Kinase Inhibitor (BTKi) in Participants With Chronic Lymphocytic Leukemia (CLL) and Other B-cell Malignancies</t>
  </si>
  <si>
    <t>NCT07577817</t>
  </si>
  <si>
    <t>A Study to Investigate the Safety, Tolerability, Pharmacokinetics, and Pharmacodynamics of CTX001 in Healthy Adults.</t>
  </si>
  <si>
    <t>Cajal Therapeutics Inc.</t>
  </si>
  <si>
    <t>NCT07737717</t>
  </si>
  <si>
    <t>A Study to Investigate the Safety, Reactogenicity, and Immunogenicity of mRNA-1469 Vaccine to Prevent Ebola-Bundibugyo Virus Disease in Healthy Adult Participants</t>
  </si>
  <si>
    <t>NCT05637710</t>
  </si>
  <si>
    <t>Parallel, Double-dummy, Superiority Study Levocetirizine/Pseudoephedrine x Zina for Allergic Rhinitis in Brazil</t>
  </si>
  <si>
    <t>NCT07573176</t>
  </si>
  <si>
    <t>A Study of Seltorexant as Monotherapy in Adults and Elderly Participants With Major Depressive Disorder</t>
  </si>
  <si>
    <t>NCT07259317</t>
  </si>
  <si>
    <t>Relacorilant With Nab-Paclitaxel and Gemcitabine in Patients With Metastatic Pancreatic Adenocarcinoma</t>
  </si>
  <si>
    <t>NCT07640217</t>
  </si>
  <si>
    <t>A Phase II Clinical Study of SYH2068 Injection in Adults With Elevated Lipoprotein(a)</t>
  </si>
  <si>
    <t>NCT07627815</t>
  </si>
  <si>
    <t>Evaluating the Safety and Efficacy of PNMR as Treatment for Long COVID</t>
  </si>
  <si>
    <t>ParagonClinicals Inc.</t>
  </si>
  <si>
    <t>NCT07468708</t>
  </si>
  <si>
    <t>The Dosimetry, Safety and Diagnostic Efficacy of ⁶⁸Ga-FC516 in Healthy Subjects and Patients With Prostate Cancer</t>
  </si>
  <si>
    <t>NCT07694843</t>
  </si>
  <si>
    <t>A Phase I Clinical Trial to Evaluate the Pharmacokinetic and Safety of Ammoxetine Hydrochloride Enteric-Coated Tablets in Participants With Mild Hepatic Impairment, Moderate Hepatic Impairment, and Normal Liver Function</t>
  </si>
  <si>
    <t>NCT07671417</t>
  </si>
  <si>
    <t>Imaging Study in Metastatic Clear Cell RCC.</t>
  </si>
  <si>
    <t>NCT07250750</t>
  </si>
  <si>
    <t>A Phase 1b/2 Study of IM-101 in Adult Participants With Generalized Myasthenia Gravis and Ocular Myasthenia Gravis</t>
  </si>
  <si>
    <t>ImmunAbs Inc.</t>
  </si>
  <si>
    <t>NCT07709494</t>
  </si>
  <si>
    <t>A Phase 1a/1b Study to Investigate the Safety, Tolerability, Microbiological Response, and Pharmacokinetics of Inhaled Rev-56 in Adult Healthy Volunteers and Adult Non-cystic Fibrosis Bronchiectasis (NCFB) Patients With Chronic P. Aeruginosa</t>
  </si>
  <si>
    <t>Revagenix, Inc.</t>
  </si>
  <si>
    <t>NCT07361302</t>
  </si>
  <si>
    <t>A Study to Test if Tenecteplase Helps People to Recover From an Acute Stroke When Given More Than 4.5 Hours After the Person Was Last Seen Well</t>
  </si>
  <si>
    <t>NCT07450001</t>
  </si>
  <si>
    <t>A Study of GenSci134 in Children With Growth Hormone Deficiency (PGHD)</t>
  </si>
  <si>
    <t>NCT07366866</t>
  </si>
  <si>
    <t>A Study of Safety, Tolerability, PK, and PD of Subcutaneous GenSci136 in Healthy Adults.</t>
  </si>
  <si>
    <t>NCT07367529</t>
  </si>
  <si>
    <t>A Clinical Trial on the Efficacy and Safety of TQB6411 for Injection</t>
  </si>
  <si>
    <t>NCT07219212</t>
  </si>
  <si>
    <t>A Study of JNJ-90301900 in Combination With Chemoradiation Therapy in Participants With Locally Advanced Head and Neck Squamous Cell Carcinoma</t>
  </si>
  <si>
    <t>NCT05251181</t>
  </si>
  <si>
    <t>A Study to Assess Safety and Efficacy of Centhaquine as a Resuscitative Agent</t>
  </si>
  <si>
    <t>NCT07311694</t>
  </si>
  <si>
    <t>A Phase III Study Comparing HRS-4357 With Novel Androgen Receptor Pathway Inhibitors in Patients With Progressive, PSMA-Positive Metastatic Castration-Resistant Prostate Cancer</t>
  </si>
  <si>
    <t>NCT07629544</t>
  </si>
  <si>
    <t>A Study of DA-302168S in Participants With Overweight/Obesity</t>
  </si>
  <si>
    <t>NCT07370909</t>
  </si>
  <si>
    <t>Evaluation of the Efficacy and Safety of Oral LW402 Tablets for the Treatment of Patients With Moderate-to-Severe Atopic Dermatitis</t>
  </si>
  <si>
    <t>NCT07495202</t>
  </si>
  <si>
    <t>A Clinical Trial Evaluating the Monkeypox Recombinant Protein Vaccine</t>
  </si>
  <si>
    <t>NCT07299019</t>
  </si>
  <si>
    <t>A Study of Orelabrutinib in Patients With Secondary Progressive Multiple Sclerosis</t>
  </si>
  <si>
    <t>NCT07515339</t>
  </si>
  <si>
    <t>A Study to Learn More About How Safe Nurandociguat is and How it Affects the Way the Body Processes Rosuvastatin and Dabigatran in Healthy Adults</t>
  </si>
  <si>
    <t>NCT07221838</t>
  </si>
  <si>
    <t>A Study to Investigate OCS Tapering in Adult Participants With Generalized Myasthenia Gravis Treated With Ravulizumab</t>
  </si>
  <si>
    <t>NCT07425899</t>
  </si>
  <si>
    <t>A Phase 1 Study of the Safety and How the Body Processes ABBV-722 and Upadacitinib After Multiple Oral Doses in Healthy Adult Participants</t>
  </si>
  <si>
    <t>NCT07617493</t>
  </si>
  <si>
    <t>Evaluation of ICP-B208 in Patients With Advanced Solid Tumors</t>
  </si>
  <si>
    <t>NCT07513649</t>
  </si>
  <si>
    <t>A Study to Evaluate the Bioequivalence of DA-5230 Compared to DA-5230-R</t>
  </si>
  <si>
    <t>NCT07559019</t>
  </si>
  <si>
    <t>Safety and Preliminary Activity of BI115 in Advanced SCLC</t>
  </si>
  <si>
    <t>NCT07249632</t>
  </si>
  <si>
    <t>A Study of Telitacicept in Patients With Ocular Myasthenia Gravis (OMG)</t>
  </si>
  <si>
    <t>NCT07255898</t>
  </si>
  <si>
    <t>A Study of BL-M24D1 in Patients With Relapsed or Refractory Multiple Myeloma and Other Hematologic Malignancies</t>
  </si>
  <si>
    <t>NCT07354932</t>
  </si>
  <si>
    <t>A Study of SHR-2173 in Participants With Primary IgA Nephropathy</t>
  </si>
  <si>
    <t>NCT07366632</t>
  </si>
  <si>
    <t>A Study of Single Dose of BL0175 in Postmenopausal Women</t>
  </si>
  <si>
    <t>NCT07516132</t>
  </si>
  <si>
    <t>Study to Evaluate Long-Term Safety of Intravitreal OTX-TKI (Axitinib Implant) in Participants With Neovascular Age-Related Macular Degeneration Who Successfully Completed 2-Year OTX-TKI-2023-AMD-301 or OTX-TKI-2023-AMD-303 Study</t>
  </si>
  <si>
    <t>NCT07213830</t>
  </si>
  <si>
    <t>A Study to Assess the Safety, Tolerability, Pharmacokinetics, Pharmacodynamics, Immunogenicity and Anti-tumour Activity of IPN01203 in Adults With Locally Advanced or Metastatic Solid Tumours Exposed to Immune Checkpoint Inhibitor Therapies</t>
  </si>
  <si>
    <t>NCT07348640</t>
  </si>
  <si>
    <t>Evaluation of the Efficacy and Safety of Magnetic Resonance Angiography (MRA) Using Gadopiclenol Compared to Gadoterate Meglumine in the Assessment of Steno-occlusive Disease in Adult Patients With Suspected Vascular Disease</t>
  </si>
  <si>
    <t>NCT07370818</t>
  </si>
  <si>
    <t>To Evaluate the Efficacy and Safety of JPI-547 in Combination With Bevacizumab as Maintenance Therapy in Relapsed Ovarian Cancer</t>
  </si>
  <si>
    <t>NCT07373613</t>
  </si>
  <si>
    <t>A Study of BR1400-1, BR1400-2, BR1400-3, BR1400-4, and BR1400-5 in Patients With Essential Hypertension</t>
  </si>
  <si>
    <t>NCT07223190</t>
  </si>
  <si>
    <t>A Study Evaluating Subcutaneous Versus Intravenous Blinatumomab in Newly Diagnosed Adults With B-cell Precursor Acute Lymphoblastic Leukaemia</t>
  </si>
  <si>
    <t>NCT07456046</t>
  </si>
  <si>
    <t>A Phase 1 Study of D3S-003 as Monotherapy in Participants With Advanced Solid Tumors With a KRAS p.G12D Mutation.</t>
  </si>
  <si>
    <t>NCT07565103</t>
  </si>
  <si>
    <t>Safety and Efficacy of SUM-191 for Patients With Bacterial Conjunctivitis</t>
  </si>
  <si>
    <t>Senju USA, Inc.</t>
  </si>
  <si>
    <t>NCT07538154</t>
  </si>
  <si>
    <t>A Clinica Study of SCTC21C in Participants With Systemic Lupus Erythematosus</t>
  </si>
  <si>
    <t>NCT07600983</t>
  </si>
  <si>
    <t>Clinical Trial of the 24-valent Pneumococcal Polysaccharide Conjugate Vaccine (CRM197/Tetanus Toxoid)</t>
  </si>
  <si>
    <t>NCT07465224</t>
  </si>
  <si>
    <t>A Study to Evaluate ALN-4324 on Insulin Sensitivity in Adults With Type 2 Diabetes Mellitus</t>
  </si>
  <si>
    <t>NCT07221669</t>
  </si>
  <si>
    <t>A Study to Learn About Salanersen's (BIIB115) Effects on Movement and Its Safety When Given Before Symptoms Appear in Babies With Genetically Diagnosed Spinal Muscular Atrophy (SMA)</t>
  </si>
  <si>
    <t>NCT07269769</t>
  </si>
  <si>
    <t>A Clinical Trial Evaluating the Efficacy and Safety of Sanhuang Jingshiming Pills in the Treatment of nAMD</t>
  </si>
  <si>
    <t>NCT07640789</t>
  </si>
  <si>
    <t>A Study Comparing BL-B01D1 in Combination With Osimertinib Versus Osimertinib Alone in Patients With Locally Advanced, Unresectable EGFR-mutated Non-small Cell Lung Cancer(Stage III) Whose Disease Has Not Progressed Following Definitive Platinum-based Chemoradiation Therapy(PANKU-Lung08)</t>
  </si>
  <si>
    <t>NCT07376382</t>
  </si>
  <si>
    <t>A Phase Ⅲ Clinical Study of SYS6010 in Combination With Osimertinib in Patients With Locally Advanced or Metastatic NSCLC</t>
  </si>
  <si>
    <t>NCT07416539</t>
  </si>
  <si>
    <t>Effect of COV2 Vaccine Formulation on the Ability to Generate Antibodies Against Coronavirus That Causes COVID-19</t>
  </si>
  <si>
    <t>NCT07307794</t>
  </si>
  <si>
    <t>To Evaluate the Adhesion of TK-254RX on Healthy Participants</t>
  </si>
  <si>
    <t>NCT07457294</t>
  </si>
  <si>
    <t>1% Clascoterone Cream for the Treatment Acne Vulgaris</t>
  </si>
  <si>
    <t>NCT07580794</t>
  </si>
  <si>
    <t>First-in-human Study of HSK56630 in Healthy Subjects</t>
  </si>
  <si>
    <t>NCT07336056</t>
  </si>
  <si>
    <t>Nerivio Efficacy Under High-Frequency Use</t>
  </si>
  <si>
    <t>NCT07431853</t>
  </si>
  <si>
    <t>A Study to Learn About mRNA Vaccines Against Influenza in Adults</t>
  </si>
  <si>
    <t>NCT07190300</t>
  </si>
  <si>
    <t>TulmiSTAR-02: A Phase I/II Open-label Study of Tulmimetostat in Combination With Darolutamide vs. Darolutamide, and Tulmimetostat With Abiraterone in Patients With Metastatic Hormone-sensitive Prostate Cancer (mHSPC)</t>
  </si>
  <si>
    <t>NCT07258407</t>
  </si>
  <si>
    <t>A Clinical Trial Evaluating the Safety of TD001 In Patients With PSMA-Expressing Metastatic Prostate Cancer</t>
  </si>
  <si>
    <t>T.O.A.D. Oncology SA</t>
  </si>
  <si>
    <t>NCT07415551</t>
  </si>
  <si>
    <t>Phase 2 Study of Lesigercept in Adult Patients With Chronic Spontaneous Urticaria Who Are Inadequately Controlled by H1-Antihistamines</t>
  </si>
  <si>
    <t>NCT07662057</t>
  </si>
  <si>
    <t>A Study to Investigate the Safety, Tolerability, and PK of AB102 in Healthy Participants</t>
  </si>
  <si>
    <t>NCT07546981</t>
  </si>
  <si>
    <t>Efficacy and Safety of CHF 5993 100/6/12.5 μg HFA-152a pMDI in Patients With Asthma Uncontrolled on Medium Doses of Inhaled Corticosteroids in Combination With Long-acting ß2-agonists</t>
  </si>
  <si>
    <t>NCT07503405</t>
  </si>
  <si>
    <t>Phase 2a Study of the Efficacy and Safety of TRX-100 in a Human Influenza A Challenge Model</t>
  </si>
  <si>
    <t>NCT07643766</t>
  </si>
  <si>
    <t>A Phase 2b Dose-Ranging Study to Evaluate the Efficacy and Safety of ENV-294 in Adults With Moderate-to-Severe Atopic Dermatitis</t>
  </si>
  <si>
    <t>NCT07545772</t>
  </si>
  <si>
    <t>A Study of Brenipatide (LY3537031) in Participants With Irritable Bowel Syndrome-Constipation (IBS-C)</t>
  </si>
  <si>
    <t>NCT07746895</t>
  </si>
  <si>
    <t>Real-World Effectiveness and Safety of Pegcetacoplan in Patients With C3G or IC-MPG: A Multi-Country Study</t>
  </si>
  <si>
    <t>NCT07413939</t>
  </si>
  <si>
    <t>RO7771950 Versus Tucatinib in Combination With Trastuzumab and Capecitabine in People With Locally Advanced or Metastatic Breast Cancer That is Human Epidermal Growth Factor Receptor 2 (HER2)-Positive</t>
  </si>
  <si>
    <t>NCT07554859</t>
  </si>
  <si>
    <t>GFH375 Monotherapy and Combination Therapy as First-Line Treatment for Advanced KRAS G12D-Mutant Non-Small Cell Lung Cancer</t>
  </si>
  <si>
    <t>NCT07656454</t>
  </si>
  <si>
    <t>A Study Understanding How Much CDR132L Enters the Bloodstream After Injection Under the Skin Compared to Injection Into a Vein in Healthy Participants</t>
  </si>
  <si>
    <t>NCT07272642</t>
  </si>
  <si>
    <t>A Phase 1, Multicenter Imaging Study of LNTH-2403 in Participants With Locally Advanced or Metastatic Solid Tumors.</t>
  </si>
  <si>
    <t>NCT07493031</t>
  </si>
  <si>
    <t>A PhaseⅠ Study of HW252001 in Healthy Subjects</t>
  </si>
  <si>
    <t>NCT07727629</t>
  </si>
  <si>
    <t>Safety, PK, and PD Comparison of UI059 and UIC202201 in Healthy Volunteers</t>
  </si>
  <si>
    <t>NCT07693231</t>
  </si>
  <si>
    <t>A Study to Test How Well Different Doses of BI 3034701 Are Tolerated by Japanese Healthy People and Japanese People With Obesity or Overweight</t>
  </si>
  <si>
    <t>NCT07006805</t>
  </si>
  <si>
    <t>RESET-MS: A Study to Evaluate the Safety and Efficacy of CABA-201 in Participants With Multiple Sclerosis</t>
  </si>
  <si>
    <t>NCT07340827</t>
  </si>
  <si>
    <t>A Study to Compare the Efficacy and Safety of Follitropin Alfa/Lutropin Alfa Versus hMG in Japanese Participants With LH and FSH Deficiency Undergoing ART (HINATA)</t>
  </si>
  <si>
    <t>NCT07369154</t>
  </si>
  <si>
    <t>52-week Open Label Safety-Tolerability Study</t>
  </si>
  <si>
    <t>NCT07429240</t>
  </si>
  <si>
    <t>PBGENE-DMD Phase 1/2a Safety and Preliminary Efficacy Study in Duchenne Muscular Dystrophy (FUNCTION-DMD)</t>
  </si>
  <si>
    <t>NCT07565597</t>
  </si>
  <si>
    <t>A Pharmacokinetic Study of Gecacitinib Hydrochloride Tablets in Healthy Adult Participants.</t>
  </si>
  <si>
    <t>NCT07205796</t>
  </si>
  <si>
    <t>A Phase 2 Study to Describe the Safety, Reactogenicity, and Immunogenicity of Herpes Zoster IN001 mRNA Vaccine (IN001) in Healthy Participants</t>
  </si>
  <si>
    <t>NCT07490613</t>
  </si>
  <si>
    <t>A Phase I Study of SHR-3836 in Patients With Multiple Myeloma</t>
  </si>
  <si>
    <t>NCT07662720</t>
  </si>
  <si>
    <t>A Phase II Trial for MOR Antagonism With Axelopran to Enhance Immunotherapy in Head and Neck Cancer</t>
  </si>
  <si>
    <t>Glycyx Therapeutics</t>
  </si>
  <si>
    <t>NCT07543380</t>
  </si>
  <si>
    <t>A Study to Learn Safety and Immune Response to Study Vaccine -RSVpreF in Adults at High Risk of Severe RSV Disease.</t>
  </si>
  <si>
    <t>NCT07372703</t>
  </si>
  <si>
    <t>Study of the Safety, Tolerability, Pharmacokinetics of VV913 Capsules in Chinese Healthy Participants</t>
  </si>
  <si>
    <t>NCT07433569</t>
  </si>
  <si>
    <t>A Study to Investigate How Budesonide and Formoterol Move Through the Body (Pharmacokinetics) When Delivered With Different Devices in Participants Aged 4 to Less Than 12 Years Old With Asthma</t>
  </si>
  <si>
    <t>NCT07519109</t>
  </si>
  <si>
    <t>Study Evaluating the Safety, Efficacy and Pharmacokinetics of SYH9089 Injection in Patients Undergoing Abdominal Surgery.</t>
  </si>
  <si>
    <t>NCT07588009</t>
  </si>
  <si>
    <t>Phase IIIB Extension Clinical Trial of Efficacy and Safety of GST-HG141 (Nairevir) Combined With NAs in Chronic Hepatitis B</t>
  </si>
  <si>
    <t>NCT06723171</t>
  </si>
  <si>
    <t>Evaluation of Safety and Efficacy of IRX4204 in Mild to Moderate Plaque Psoriasis</t>
  </si>
  <si>
    <t>Io Therapeutics</t>
  </si>
  <si>
    <t>NCT07457164</t>
  </si>
  <si>
    <t>A Study Investigating the Pharmacokinetics, Pharmacodynamics, Efficacy and Safety of Teverelix DP, a Gonadotropin-releasing Hormone (GnRH) Antagonist, in Patients With Advanced Prostate Cancer</t>
  </si>
  <si>
    <t>NCT07531745</t>
  </si>
  <si>
    <t>ASCEND: Safety and Tolerability of ION337 for the Treatment of Dravet Syndrome</t>
  </si>
  <si>
    <t>NCT07621601</t>
  </si>
  <si>
    <t>A Study of HS-20093 in Patients With Pretreated Advanced or Metastatic Esophageal Squamous Cell Carcinoma (ESCC)</t>
  </si>
  <si>
    <t>NCT07738614</t>
  </si>
  <si>
    <t>A Study of Eloralintide (LY3841136) in Participants With Obesity or Overweight</t>
  </si>
  <si>
    <t>NCT07327398</t>
  </si>
  <si>
    <t>Phase Ⅱ Clinical Trial of Influenza Virus Split Vaccine for Individuals Aged 60 Years and Above</t>
  </si>
  <si>
    <t>NCT07619833</t>
  </si>
  <si>
    <t>To Evaluate the Efficacy and Safety of Initial Combination Therapy With DWP16001 and DWC202518 Compared to DWP16001 Monotherapy and DWC202518 Monotherapy in Patients With Type 2 Diabetes Mellitus</t>
  </si>
  <si>
    <t>NCT07374848</t>
  </si>
  <si>
    <t>Phase 1a/b Study of ZL-6201 Safety, PK, and Preliminary Efficacy in Sarcoma and Selected Tumors</t>
  </si>
  <si>
    <t>NCT07542704</t>
  </si>
  <si>
    <t>A Study to Investigate the Safety and Efficacy of KQB368 as Monotherapy in Participants With Advanced Solid Malignancies</t>
  </si>
  <si>
    <t>NCT07462455</t>
  </si>
  <si>
    <t>Safety, Tolerability, and Pharmacokinetic/Pharmacodynamic(PK/PD) Profile of ACT500 in Metabolic Dysfunction-Associated Steatotic Liver Disease(MASLD)</t>
  </si>
  <si>
    <t>NCT07184385</t>
  </si>
  <si>
    <t>A Study of Human Umbilical Cord Blood (REGENECYTE) Infusion in Patients With Post-COVID Condition</t>
  </si>
  <si>
    <t>NCT05361733</t>
  </si>
  <si>
    <t>A First in Human Study of the Safety, Tolerability, and the Physiologically Based Pharmacokinetics of XFB19 in Healthy Adult Volunteers.</t>
  </si>
  <si>
    <t>Xfibra, Inc.</t>
  </si>
  <si>
    <t>NCT07370155</t>
  </si>
  <si>
    <t>Study Evaluating Safety &amp; Tolerability of Migaldendranib in Healthy Volunteers</t>
  </si>
  <si>
    <t>NCT07415252</t>
  </si>
  <si>
    <t>SkyVaricella® (NBP608) Vaccine With Lower Potencies in Healthy Children Aged 12 Months to 12 Years</t>
  </si>
  <si>
    <t>NCT07559240</t>
  </si>
  <si>
    <t>A Pharmacokinetic Study of HDM1005 Injection in Participants With Impaired Renal Function and Healthy Participants</t>
  </si>
  <si>
    <t>NCT07435779</t>
  </si>
  <si>
    <t>Autologous CAR-T Cell Therapy for Refractory and Relapsing Ulcerative Colitis: A Single-Center Exploratory Study</t>
  </si>
  <si>
    <t>NCT07575191</t>
  </si>
  <si>
    <t>Safety and Performance of a Novel Infusion Catheter System for Peri/Intratumoral Gemcitabine Delivery in Patients With Pancreatic Cancer</t>
  </si>
  <si>
    <t>Smartwise Sweden AB</t>
  </si>
  <si>
    <t>NCT07617597</t>
  </si>
  <si>
    <t>Study to Evaluate the Efficacy and Safety of Deuruxolitinib in Japanese Adults With Severe Alopecia Areata</t>
  </si>
  <si>
    <t>Sun Pharma Japan Limited</t>
  </si>
  <si>
    <t>NCT07433413</t>
  </si>
  <si>
    <t>Evaluate the Efficacy and Safety of Naltrexone Hydrochloride Implant in Patients With Alcohol Use Disorder</t>
  </si>
  <si>
    <t>NCT07559396</t>
  </si>
  <si>
    <t>A Study to Assess the Safety and Pharmacokinetics of INCB123667 When Administered Orally to Adult Participants With Severe Renal Impairment or End Stage Renal Disease</t>
  </si>
  <si>
    <t>NCT07388680</t>
  </si>
  <si>
    <t>Pirfenidone Capsules in the Treatment of Radiation-induced Lung Injury With or Without Immune Pneumonia</t>
  </si>
  <si>
    <t>NCT07604324</t>
  </si>
  <si>
    <t>A First-in-human Study to Investigate Single Doses of DCY636 in Healthy Volunteers and Multiple Doses in Participants With Moderate to Severe Atopic Dermatitis</t>
  </si>
  <si>
    <t>NCT07661108</t>
  </si>
  <si>
    <t>A Clinical Study of MK-8527 in Healthy Participants (MK-8527-021)</t>
  </si>
  <si>
    <t>NCT07670897</t>
  </si>
  <si>
    <t>Bioequivalence Study of GZR4 Injection With Different Manufacturing Processes in Healthy Adult Participants</t>
  </si>
  <si>
    <t>NCT07622940</t>
  </si>
  <si>
    <t>Dual-Target CLDN18.2/HER2 CAR-NK Cells for Advanced Esophageal Adenocarcinoma</t>
  </si>
  <si>
    <t>NCT07609108</t>
  </si>
  <si>
    <t>Pridopidine Phase 3 Study in Huntington's Disease</t>
  </si>
  <si>
    <t>NCT07375524</t>
  </si>
  <si>
    <t>A Phase 2 Study on the Safety and Efficacy of the Anti-BAFF-R Monoclonal Antibody, ESG206, in Patients With Primary Sjogren Syndrome</t>
  </si>
  <si>
    <t>NCT07660835</t>
  </si>
  <si>
    <t>Pharmacokinetics, Safety and Efficacy of Nemolizumab in Participants Aged 6 to 23 Months With Moderate-to Severe Atopic Dermatitis</t>
  </si>
  <si>
    <t>NCT07455240</t>
  </si>
  <si>
    <t>A Study to Learn About How the Body Processes the Study Medicine Called PF-07328948 in Healthy Chinese Adults</t>
  </si>
  <si>
    <t>NCT07330310</t>
  </si>
  <si>
    <t>A Phase 3 Trial of JKN2401 Injection in COPD</t>
  </si>
  <si>
    <t>NCT07641517</t>
  </si>
  <si>
    <t>A Chronic Pain Master Protocol (CPMP): A Study of LY4065967 in Participants With Osteoarthritis Pain</t>
  </si>
  <si>
    <t>NCT07227597</t>
  </si>
  <si>
    <t>A Clinical Study of Gocatamig (MK-6070) and Infinatamab Deruxtecan (MK-2400) in People With Small Cell Lung Cancer (MK-6070-003)</t>
  </si>
  <si>
    <t>NCT07441876</t>
  </si>
  <si>
    <t>Study to Evaluate the Efficacy and Safety of BMN 333 Versus Vosoritide in Children With Achondroplasia</t>
  </si>
  <si>
    <t>NCT07488676</t>
  </si>
  <si>
    <t>A Study of ASP546C in Adults With Gastroesophageal Cancer, Pancreatic Cancer or Other Solid Tumors</t>
  </si>
  <si>
    <t>NCT07738991</t>
  </si>
  <si>
    <t>A Study to Investigate the Pharmacokinetics, Pharmacodynamics, and Safety of NKF-PEG, and US-Neulasta in Healthy Adult Male Volunteers</t>
  </si>
  <si>
    <t>NCT07226791</t>
  </si>
  <si>
    <t>Study of AGN-151607-DP to Assess Adverse Events and Change in Disease Activity in Adult Participants Undergoing Open Abdominal Ventral Hernia Repair</t>
  </si>
  <si>
    <t>NCT07417735</t>
  </si>
  <si>
    <t>SYS6010 Versus Chemotherapy in Locally Advanced or Metastatic/Recurrent Esophageal Squamous Cell Carcinoma</t>
  </si>
  <si>
    <t>NCT07700238</t>
  </si>
  <si>
    <t>A Study of Romiplostim Plus Predniso(lo)ne vs. Predniso(lo)ne Alone for the Treatment of Previously Untreated Primary Immune Thrombocytopenia (ITP)</t>
  </si>
  <si>
    <t>NCT07355738</t>
  </si>
  <si>
    <t>Bioequivalence Study of GZR18 Injection Before and After CMC Change</t>
  </si>
  <si>
    <t>NCT07697625</t>
  </si>
  <si>
    <t>A Clinical Trial of MK-4082 in Healthy Participants (MK-4082-005)</t>
  </si>
  <si>
    <t>NCT07629440</t>
  </si>
  <si>
    <t>A Study to Learn About How a New Pneumococcal Vaccine Works in Infants.</t>
  </si>
  <si>
    <t>NCT07377396</t>
  </si>
  <si>
    <t>A Study to Assess the Safety of ARGX-124 in Healthy Volunteers</t>
  </si>
  <si>
    <t>NCT07750873</t>
  </si>
  <si>
    <t>A Trial of CRD-4730 in HFrEF</t>
  </si>
  <si>
    <t>NCT07530289</t>
  </si>
  <si>
    <t>A Clinical Study of Ulonivirine (MK-8507) With Atorvastatin and Metformin in Healthy Adults (MK-8507-018)</t>
  </si>
  <si>
    <t>NCT07463196</t>
  </si>
  <si>
    <t>A Study Investigating the Safety, Absorption, Elimination, and the Effect on the Immune System of ACI-19764 in Healthy Participants</t>
  </si>
  <si>
    <t>NCT07414927</t>
  </si>
  <si>
    <t>A Clinical Study for the Efficacy and Safety of BL0020 Injection in Patients With Small Cell Lung Cancer Transformed From Non-Small Cell Lung Cancer Following EGFR TKI Therapy</t>
  </si>
  <si>
    <t>NCT07427797</t>
  </si>
  <si>
    <t>A Study to Assess the Effectiveness and Safety of IPN10200 in Adults With Moderate to Severe Wrinkle-like Lines Between the Eyebrows</t>
  </si>
  <si>
    <t>NCT07600788</t>
  </si>
  <si>
    <t>A Clinical Study Evaluating the Pharmacokinetic Characteristics and Safety of AHB-137 Injection in Participants With Mild to Moderate Liver Dysfunction and Those With Normal Liver Function.</t>
  </si>
  <si>
    <t>NCT07643870</t>
  </si>
  <si>
    <t>Human ADME Study of [14C]-AZD1390</t>
  </si>
  <si>
    <t>NCT06968845</t>
  </si>
  <si>
    <t>A Phase 2 Study of LTI-03 in Patients With Idiopathic Pulmonary Fibrosis</t>
  </si>
  <si>
    <t>NCT07303660</t>
  </si>
  <si>
    <t>A Phase 1b Study of Lonitoclax + Azacitidine in Acute Myeloid Leukemia Patients</t>
  </si>
  <si>
    <t>NCT07382661</t>
  </si>
  <si>
    <t>Drug-Drug Interaction Between DW4421 and Amoxicillin/Clarithromycin</t>
  </si>
  <si>
    <t>NCT05634954</t>
  </si>
  <si>
    <t>Study to Evaluate Safety and Dosimetry of [18F]GEH121224 in Patients With Locally Advanced or Metastatic Breast Cancer</t>
  </si>
  <si>
    <t>NCT07421297</t>
  </si>
  <si>
    <t>A Study to Evaluate the Safety, Efficacy of SYH2053 as Monotherapy in Chinese Participants With Non-familial Hypercholesterolemia or Mixed Hyperlipidemia</t>
  </si>
  <si>
    <t>NCT07355062</t>
  </si>
  <si>
    <t>A Study to Evaluate the Efficacy and Safety of Veverimer for the Treatment of Metabolic Acidosis</t>
  </si>
  <si>
    <t>NCT07368127</t>
  </si>
  <si>
    <t>A Study of TPD3310 in Patients With Advanced Malignant Tumors</t>
  </si>
  <si>
    <t>TAIBIDI PHARMACEUTICAL TECHNOLOGY(SHIJIAZHUANG) CO.,LTD.</t>
  </si>
  <si>
    <t>NCT07412470</t>
  </si>
  <si>
    <t>A Study to Investigate the Efficacy and Safety of Frexalimab Versus Tacrolimus in Adults Undergoing Kidney Transplantation</t>
  </si>
  <si>
    <t>NCT07589517</t>
  </si>
  <si>
    <t>Dual-Targeting CAR-NK Cells in Biomarker-Selected Advanced Colorectal Cancer</t>
  </si>
  <si>
    <t>NCT07411560</t>
  </si>
  <si>
    <t>A Study Looking at How Weekly Injections of Two Hormones - GIP and Amylin - Affect Stomach-related Side Effects in People Who Are Overweight or Obese</t>
  </si>
  <si>
    <t>NCT07365280</t>
  </si>
  <si>
    <t>Neoantigen-Pulsed Autologous Dendritic Cell Vaccine Combined With Temozolomide for Newly Diagnosed Glioblastoma</t>
  </si>
  <si>
    <t>ZSky Biotech Inc</t>
  </si>
  <si>
    <t>NCT07463573</t>
  </si>
  <si>
    <t>QLC5508 vs. Chemotherapy in Pretreated Advanced or Metastatic Esophageal Squamous Cell Carcinoma</t>
  </si>
  <si>
    <t>NCT07685041</t>
  </si>
  <si>
    <t>An Open-label, Fixed-sequence Phase I Clinical Trial to Evaluate the Effect of HS-10504 on the Pharmacokinetics of Midazolam in Patients With Non-small Cell Lung Cancer</t>
  </si>
  <si>
    <t>NCT07730554</t>
  </si>
  <si>
    <t>A Study to Assess the Safety and Efficacy of AGN-151586 Injections for the Treatment of Moderate to Severe Forehead Lines (FHL) in Adult Participants</t>
  </si>
  <si>
    <t>NCT07304154</t>
  </si>
  <si>
    <t>A Study Evaluating the Safety and Efficacy of KITE-363 in Relapsed/Refractory Autoimmune Neurologic Diseases</t>
  </si>
  <si>
    <t>NCT06959082</t>
  </si>
  <si>
    <t>Efficacy and Safety Evaluation of VS-101 in Combination With Chemoradiotherapy in Patients With Head and Neck Cancer</t>
  </si>
  <si>
    <t>VSPharmTech Co.,Ltd.</t>
  </si>
  <si>
    <t>NCT07656727</t>
  </si>
  <si>
    <t>A Phase 2 Study to Evaluate the Pharmacodynamics, Safety and Tolerability of BGE-102 in Participants With Obesity and Cardiovascular Risk Factors</t>
  </si>
  <si>
    <t>NCT07193589</t>
  </si>
  <si>
    <t>A Phase II Clinical Study Evaluating of ZL-82 Tablets in Atopic Dermatitis</t>
  </si>
  <si>
    <t>NCT07593690</t>
  </si>
  <si>
    <t>A Phase I Study of HW241045 in Healthy Subjects</t>
  </si>
  <si>
    <t>NCT07658560</t>
  </si>
  <si>
    <t>A Study to Evaluate Efficacy and Safety of BGM0504 Tablets in Overweight or Obese Participants Without Diabetes</t>
  </si>
  <si>
    <t>NCT07293260</t>
  </si>
  <si>
    <t>Olpasiran Trials of Cardiovascular Events and Lipoprotein(a) Reduction - Coronary Computed Tomography Angiography Trial</t>
  </si>
  <si>
    <t>NCT07465289</t>
  </si>
  <si>
    <t>A Study to Evaluate The Long-Term Safety And Efficacy of Rozanolixizumab in Adult Participants With Ocular Myasthenia Gravis</t>
  </si>
  <si>
    <t>NCT07514260</t>
  </si>
  <si>
    <t>A Study to Assess Adverse Events, Tolerability, and Pharmacokinetics of Subcutaneous Injections of ABBV-295 in Healthy Adult Japanese Participants With Overweight or Obesity.</t>
  </si>
  <si>
    <t>NCT07230288</t>
  </si>
  <si>
    <t>Study of ABBV-142 to Assess Adverse Events and Change in Disease Activity in Adult Participants With Idiopathic Pulmonary Fibrosis</t>
  </si>
  <si>
    <t>NCT07158242</t>
  </si>
  <si>
    <t>A Study to Evaluate the Pharmacokinetics, Safety and Efficacy of Afimkibart (RO7790121) in Children With Moderately to Severely Active Ulcerative Colitis</t>
  </si>
  <si>
    <t>NCT07628127</t>
  </si>
  <si>
    <t>A Trial of Oral VRB-103 Alone or in Combination With Oral Ecnoglutide (VRB-101) in Participants With Obesity or Overweight</t>
  </si>
  <si>
    <t>NCT07358546</t>
  </si>
  <si>
    <t>A Study of Efimosfermin Alfa in Adults With Hepatic Impairment</t>
  </si>
  <si>
    <t>NCT07174427</t>
  </si>
  <si>
    <t>Multi-center Study of TBI-1301 (INN: Mipetresgene Autoleucel; Mip-cel) in Patients With NY-ESO-1 Positive Synovial Sarcoma</t>
  </si>
  <si>
    <t>Takara Bio Inc.</t>
  </si>
  <si>
    <t>NCT07472023</t>
  </si>
  <si>
    <t>Regenerative Medicine and Stem Cell-Based Interventions for Inner Ear Trauma, Tinnitus, and Sensorineural Hearing Loss</t>
  </si>
  <si>
    <t>NCT07398859</t>
  </si>
  <si>
    <t>Clinical Study on TQH2722 Injection Combined With Background Therapy for Seasonal Allergic Rhinitis</t>
  </si>
  <si>
    <t>NCT07510100</t>
  </si>
  <si>
    <t>Eque-cel for the Treatment of Patients With Relapsed/Refractory Multiple Myeloma</t>
  </si>
  <si>
    <t>NCT07370207</t>
  </si>
  <si>
    <t>Phase 2 Study of AHB-137 in HBeAg Negative Chronic Hepatitis B (CHB) Participants in Asia Pacific Region</t>
  </si>
  <si>
    <t>NCT07421167</t>
  </si>
  <si>
    <t>A Study to Assess the Tolerability of Ianalumab (VAY736) With Investigator's Choice Thrombopoietin Receptor Agonist (IC TPO-RA) in Patients With Primary Immune Thrombocytopenia (ITP)</t>
  </si>
  <si>
    <t>NCT07376200</t>
  </si>
  <si>
    <t>Single-ascending Dose Study of HEC-151 Injection</t>
  </si>
  <si>
    <t>NCT07701967</t>
  </si>
  <si>
    <t>Efficacy and Safety of Depemokimab Monotherapy Without Concomitant Use of Intranasal Corticosteroids (INCS) in Japanese Participants With Chronic Rhinosinusitis With Nasal Polyps (CRSwNP)</t>
  </si>
  <si>
    <t>NCT07452692</t>
  </si>
  <si>
    <t>A Study to Assess the Skin Irritation and Sensitization of Selegiline TDS in Healthy Subjects</t>
  </si>
  <si>
    <t>Corium Innovations, Inc.</t>
  </si>
  <si>
    <t>NCT07715630</t>
  </si>
  <si>
    <t>In Vivo PICX CAR-T Therapy for R/R Multiple Myeloma</t>
  </si>
  <si>
    <t>NCT07654400</t>
  </si>
  <si>
    <t>A Study of BL-M14D1 in Combination With Atezolizumab in Patients With Extensive-stage Small Cell Lung Cancer</t>
  </si>
  <si>
    <t>NCT07587788</t>
  </si>
  <si>
    <t>RBD5044 in Chinese Participants With Hypertriglyceridemia</t>
  </si>
  <si>
    <t>Ribotek Biopharmaceuticals (Shandong) Co., Ltd</t>
  </si>
  <si>
    <t>NCT07387003</t>
  </si>
  <si>
    <t>Evaluate the Efficacy and Safety of GZR101-80 Injection in Patients With Type 2 Diabetes</t>
  </si>
  <si>
    <t>NCT07634770</t>
  </si>
  <si>
    <t>Bioavailability, Biopotency and Food Effect Study of SCD0503 Compared to Subcutaneous Regular Human Insulin</t>
  </si>
  <si>
    <t>NCT07510802</t>
  </si>
  <si>
    <t>Dual-Target CAR-NK Cells for Advanced Breast Cancer HER2+ TNBC</t>
  </si>
  <si>
    <t>NCT07610395</t>
  </si>
  <si>
    <t>Trial Comparing the Safety and Efficacy of Two Different Oral VPV Doses With Placebo as Treatment for RV in Participants With COPD</t>
  </si>
  <si>
    <t>NCT07432854</t>
  </si>
  <si>
    <t>A Clinical Study Evaluating the Efficacy and Safety of CMS-D001 Tablets in the Treatment of Adult Patients With Moderate to Severe Plaque-type Psoriasis</t>
  </si>
  <si>
    <t>Dermavon Holdings Limited</t>
  </si>
  <si>
    <t>NCT07613866</t>
  </si>
  <si>
    <t>A Clinical Trial of HRS-3095 in Patients With Chronic Spontaneous Urticaria</t>
  </si>
  <si>
    <t>NCT07429266</t>
  </si>
  <si>
    <t>INTREPID: A Study of Sapablursen Evaluating the Safety and Efficacy in Participants With Polycythemia Vera (PV)</t>
  </si>
  <si>
    <t>NCT07446439</t>
  </si>
  <si>
    <t>A Study to Evaluate Tradipitant on Treating Nausea and Vomiting Induced by GLP-1R Agonist Use</t>
  </si>
  <si>
    <t>NCT07225270</t>
  </si>
  <si>
    <t>Study to Assess the Efficacy and Safety of Rina-S Plus Standard of Care Compared to Standard of Care for Maintenance Treatment of Participants With Recurrent Platinum-sensitive Ovarian Cancer After Second-line (2L) Platinum-based Doublet Chemotherapy</t>
  </si>
  <si>
    <t>NCT07224477</t>
  </si>
  <si>
    <t>A Clinical Study of V540A in Healthy Female Participants (V540A-005)</t>
  </si>
  <si>
    <t>NCT07464145</t>
  </si>
  <si>
    <t>A Study of NDV-01 (Sustained-release Gemcitabine-docetaxel) in Participants With Non-muscle Invasive Bladder Cancer</t>
  </si>
  <si>
    <t>NCT07557602</t>
  </si>
  <si>
    <t>mRNA Vaccine Targeting Epstein-Barr Virus (EBV) in Healthy Young Adults</t>
  </si>
  <si>
    <t>NCT07497386</t>
  </si>
  <si>
    <t>A Trial of Trastuzumab Rezetecan in Unresectable Locally Recurrent/Metastatic Breast Cancer</t>
  </si>
  <si>
    <t>NCT07363577</t>
  </si>
  <si>
    <t>Study to Evaluate LB-102 for the Treatment of Adult Patients With Acute Schizophrenia</t>
  </si>
  <si>
    <t>NCT07347275</t>
  </si>
  <si>
    <t>A Novel Extracorporeal Liver Support Therapy In ALCF and to Evaluate the Efficacy of DIALIVE 2.0, a Liver Dialysis Device.</t>
  </si>
  <si>
    <t>NCT07332481</t>
  </si>
  <si>
    <t>A Study of Enpatoran in Participants With Cutaneous Manifestations of Lupus With or Without Systemic Disease</t>
  </si>
  <si>
    <t>NCT07632573</t>
  </si>
  <si>
    <t>A Phase I Study to Evaluate the Safety/Tolerability of BDHK-2009 Tablets in Healthy Adult</t>
  </si>
  <si>
    <t>Benethera (Shaoxing) Biotechnology Co., Ltd.</t>
  </si>
  <si>
    <t>NCT07222969</t>
  </si>
  <si>
    <t>A Clinical Study to Evaluate the Safety of VIB305 in Patients With Advanced Solid Tumors</t>
  </si>
  <si>
    <t>Vibrant Sciences Limited</t>
  </si>
  <si>
    <t>NCT06419205</t>
  </si>
  <si>
    <t>A Phase 2 Study to Evaluate the Safety, PD, PK, and Clinical Activity of ADX-097 in Participants With IgAN, LN or C3G</t>
  </si>
  <si>
    <t>NCT07383922</t>
  </si>
  <si>
    <t>A Study of FG-M108+Chemotherapy vs Placebo+Chemotherapy in Claudin18.2-positive Pancreatic Cancer</t>
  </si>
  <si>
    <t>NCT07354477</t>
  </si>
  <si>
    <t>Single-site Pilot Study Evaluating the Effect of QLS-111 Ophthalmic Solution on Posterior Perfusion and Vessel Dilation</t>
  </si>
  <si>
    <t>NCT07591519</t>
  </si>
  <si>
    <t>Clinical Trials of IBI3035 in Healthy Subjects</t>
  </si>
  <si>
    <t>NCT07342868</t>
  </si>
  <si>
    <t>Single-Dose Study to Evaluate the Pharmacokinetics, Safety, and Tolerability of Pevifoscorvir Sodium (ALG-000184) in Subjects With Moderate Hepatic Impairment and in Healthy Subjects With Normal Hepatic Function</t>
  </si>
  <si>
    <t>NCT07654374</t>
  </si>
  <si>
    <t>A Study of Aleniglipron in Adults With Obesity or Overweight and Type 2 Diabetes Mellitus (ACCOMPLISH-2)</t>
  </si>
  <si>
    <t>NCT07439510</t>
  </si>
  <si>
    <t>A Study to Investigate the Effects and Safety of SPG601 for the Treatment of Fragile X Syndrome in Male Participants</t>
  </si>
  <si>
    <t>NCT07291323</t>
  </si>
  <si>
    <t>Study of JANX011 in Healthy Adult Volunteers to Assess Safety and Tolerability.</t>
  </si>
  <si>
    <t>NCT07488897</t>
  </si>
  <si>
    <t>RIG 101 Trial in Healthy Adults and Adults With Asthma</t>
  </si>
  <si>
    <t>RIGImmune Inc.</t>
  </si>
  <si>
    <t>NCT07288580</t>
  </si>
  <si>
    <t>A Clinical Trial of EHT102 Injection in Pediatric Patients With Biallelic hOTOF Mutations</t>
  </si>
  <si>
    <t>Shanghai Euhearing Therapeutics Co., Ltd</t>
  </si>
  <si>
    <t>NCT07661329</t>
  </si>
  <si>
    <t>A Comparative, Randomized, Investigator-blind, Active-controlled, Parallel-group, Multicenter, Clinical Endpoint Study</t>
  </si>
  <si>
    <t>YS Life Science Co., Ltd.</t>
  </si>
  <si>
    <t>NCT07230405</t>
  </si>
  <si>
    <t>A Phase II Study of SKB571 in Patients With Lung Cancer</t>
  </si>
  <si>
    <t>NCT07489131</t>
  </si>
  <si>
    <t>Clinical Study to Compare Efficacy and Safety of AVT29 and Eylea HD in Participants With Diabetic Macular Edema</t>
  </si>
  <si>
    <t>NCT07754539</t>
  </si>
  <si>
    <t>A Study to Evaluate 20vPnC in Healthy Chinese Infants</t>
  </si>
  <si>
    <t>NCT07659782</t>
  </si>
  <si>
    <t>A Phase 2 Study of VS-7375 in Patients With KRAS G12D-Mutated Non-Small Cell Lung Cancer</t>
  </si>
  <si>
    <t>NCT07559474</t>
  </si>
  <si>
    <t>A Study to Assess the Safety and Pharmacokinetics of INCB123667 When Administered Orally to Adult Participants With Moderate or Severe Hepatic Impairment</t>
  </si>
  <si>
    <t>NCT07226843</t>
  </si>
  <si>
    <t>A Study of LY4584180 in Adult Participants With Previously Treated Blood Cancers</t>
  </si>
  <si>
    <t>NCT07257978</t>
  </si>
  <si>
    <t>Efficacy and Safety of NTI164 in Children and Young Adults With Rett Syndrome</t>
  </si>
  <si>
    <t>NCT07721012</t>
  </si>
  <si>
    <t>Huanghou Zhixie Diwan in the Treatment of Irritable Bowel Syndrome With Diarrhea (IBS-D)</t>
  </si>
  <si>
    <t>NCT07480681</t>
  </si>
  <si>
    <t>Phase I Clinical Study to Evaluate the Safety, Tolerability, Pharmacokinetics, and Preliminary Efficacy of HLX97 (a KAT6A/B Inhibitor) in Patients With Advanced/Metastatic Solid Tumor</t>
  </si>
  <si>
    <t>NCT07484230</t>
  </si>
  <si>
    <t>A Phase 3 Study to Assess the Efficacy, Safety, and Tolerability of Itepekimab (Anti-IL-33 mAb) in Adult Japanese Participants With Inadequately-controlled Chronic Rhinosinusitis With Nasal Polyps</t>
  </si>
  <si>
    <t>NCT07412730</t>
  </si>
  <si>
    <t>Glucose Tolerance Study</t>
  </si>
  <si>
    <t>NCT07488065</t>
  </si>
  <si>
    <t>A Study of SKB575 (HBM7575) Injection in Healthy Participants and Atopic Dermatitis Participants</t>
  </si>
  <si>
    <t>NCT07698600</t>
  </si>
  <si>
    <t>A Clinical Trial to Look at the Safety and Immune Responses of the RNA-based Vaccine BNT168 in Adults Living With or Without HIV</t>
  </si>
  <si>
    <t>NCT07540572</t>
  </si>
  <si>
    <t>A Study to Investigate the Safety, Pharmacokinetics, and Preliminary Efficacy of IDE574 Therapy in Adult Participants With Advanced Solid Tumors</t>
  </si>
  <si>
    <t>NCT07220772</t>
  </si>
  <si>
    <t>A Study Evaluating Mibavademab Treatment of Obesity Due to Leptin (LEP) Gene Mutations in Children, Adolescents and Adults</t>
  </si>
  <si>
    <t>NCT07326657</t>
  </si>
  <si>
    <t>Evaluating Whether Intact Fish Skin Graft Can Decrease the Need for Autograft in the Treatment of Deep Partial-Thickness Burns</t>
  </si>
  <si>
    <t>NCT07719491</t>
  </si>
  <si>
    <t>Study of GS-0415 and How It Works in People With HIV</t>
  </si>
  <si>
    <t>NCT07282574</t>
  </si>
  <si>
    <t>A Study to Evaluate the Safety, Pharmacokinetics, Pharmacodynamics, and Efficacy of RO7268489 as Add-on Therapy to Ocrelizumab, in Participants With Progressive Forms of Multiple Sclerosis (MS)</t>
  </si>
  <si>
    <t>NCT07502560</t>
  </si>
  <si>
    <t>A Study to Evaluate the Effect of Recombinant Zoster Vaccine on New Diagnosis of Dementia in an Older Adult Population Aged 76 Years or Older in Finland</t>
  </si>
  <si>
    <t>NCT07480824</t>
  </si>
  <si>
    <t>To Evaluate the Pharmacokinetics and Safety of TQ05105 Tablet in Hepatic Impairment Subjects</t>
  </si>
  <si>
    <t>NCT07475559</t>
  </si>
  <si>
    <t>JSKN016HC in Patients With Advanced or Metastatic Solid Malignant Tumors</t>
  </si>
  <si>
    <t>NCT06677710</t>
  </si>
  <si>
    <t>IDP-023 g-NK Cells Plus Ocrelizumab in Patients With Progressive Multiple Sclerosis</t>
  </si>
  <si>
    <t>NCT07422610</t>
  </si>
  <si>
    <t>Pharmacokinetics and Safety Study of Pelabresib in Patients With Advanced Malignancies and Hepatic Impairment</t>
  </si>
  <si>
    <t>NCT07564401</t>
  </si>
  <si>
    <t>A Study to Evaluate DJI136, a DLL3-targeted CAR-T Therapy</t>
  </si>
  <si>
    <t>NCT07731100</t>
  </si>
  <si>
    <t>A Study to Learn About How Food Affects the Uptake of Study Medicine Prifetrastat Into the Blood in Healthy Adults</t>
  </si>
  <si>
    <t>NCT07053800</t>
  </si>
  <si>
    <t>Obe-cel in Severe, Refractory Systemic Lupus Erythematosus (SLE) With Active Lupus Nephritis (LN)</t>
  </si>
  <si>
    <t>NCT07514780</t>
  </si>
  <si>
    <t>To Evaluate the Safety, Pharmacokinetic and Pharmacodynamics of JW0061 in Healthy Volunteers</t>
  </si>
  <si>
    <t>NCT07583446</t>
  </si>
  <si>
    <t>Randomized Evaluation of Istaroxime for Stabilization in Acute Heart Failure-Cardiogenic Shock</t>
  </si>
  <si>
    <t>Seismic Pharmaceuticals Operations LLC</t>
  </si>
  <si>
    <t>NCT07538973</t>
  </si>
  <si>
    <t>A Clinical Study to Evaluate the Pharmacokinetics and Safety of Anecatibin Fumarate Capsules in Subjects With Impaired Liver Function Versus Normal Liver Function</t>
  </si>
  <si>
    <t>NCT07597473</t>
  </si>
  <si>
    <t>Dymista in Chinese Adolescents</t>
  </si>
  <si>
    <t>NCT07266324</t>
  </si>
  <si>
    <t>A 2-Part Study to Assess Efficacy, Safety and Tolerability of BMB-101 for the Treatment of Patients With Prader-Willi Syndrome.</t>
  </si>
  <si>
    <t>NCT07462780</t>
  </si>
  <si>
    <t>A Phase I Clinical Trial to Evaluate CMS-D017 Following Single and Multiple Doses in Healthy Participants</t>
  </si>
  <si>
    <t>Shenzhen Kangzhe Biotechnology Co., Ltd.</t>
  </si>
  <si>
    <t>NCT07512596</t>
  </si>
  <si>
    <t>Study on the Safety and Efficacy of Polymyxin E2 Methanesulfonate for Injection in the Treatment of Hospital-Acquired Bacterial Pneumonia/Ventilator-Associated Bacterial Pneumonia Caused by Carbapenem-Resistant Gram-Negative Bacteria</t>
  </si>
  <si>
    <t>NCT07102342</t>
  </si>
  <si>
    <t>This Clinical Trial is Designed to Evaluate the Safety, Tolerability, Feasibility and Preliminary Efficacy of NouvNeu001 (Human Dopaminergic Progenitor Cells Injection) in Patients With Parkinson's Disease.</t>
  </si>
  <si>
    <t>NCT07701954</t>
  </si>
  <si>
    <t>Single Ascending and Multiple Ascending Dose Study of LCA-0061</t>
  </si>
  <si>
    <t>Lycia Therapeutics, Inc.</t>
  </si>
  <si>
    <t>NCT06700720</t>
  </si>
  <si>
    <t>YN001-004 in Patients With Coronary Atherosclerosis in Australia</t>
  </si>
  <si>
    <t>NCT07487103</t>
  </si>
  <si>
    <t>Efficacy and Safety of QLG1091 vs Rybelsus as add-on to Metformin in Subjects With Type 2 Diabetes</t>
  </si>
  <si>
    <t>NCT06400160</t>
  </si>
  <si>
    <t>Clinical Trial of TB511 in Advanced Solid Tumors</t>
  </si>
  <si>
    <t>Twinpig Biolab, Inc.</t>
  </si>
  <si>
    <t>NCT07688369</t>
  </si>
  <si>
    <t>Safety and Immunogenicity of a Recombinant Poliomyelitis Vaccine (rPV) in Comparison With IPOL Vaccine in Healthy Adults</t>
  </si>
  <si>
    <t>NCT07693868</t>
  </si>
  <si>
    <t>A Study to See How Safe a New Medicine (NNC6022-0004) is in Healthy People and People Living With Obesity</t>
  </si>
  <si>
    <t>NCT06015750</t>
  </si>
  <si>
    <t>Mitigate Immune-Mediated Loss of Therapeutic Response to Asfotase Alfa (STRENSIQ®) for Hypophosphatasia</t>
  </si>
  <si>
    <t>NCT07290062</t>
  </si>
  <si>
    <t>A Study to Investigate the Safety and Pharmacodynamics of a Single Intrathecal Injection (IT) of INS1202 in Participants With Amyotrophic Lateral Sclerosis (ALS)</t>
  </si>
  <si>
    <t>NCT07571161</t>
  </si>
  <si>
    <t>Donanemab (LY3002813) Trial in Chinese Participants With Cognitively Unimpaired (Preclinical) Alzheimer's Disease</t>
  </si>
  <si>
    <t>NCT07600554</t>
  </si>
  <si>
    <t>A Phase I Study to Evaluate the Safety and Dosimetry of Imaging With 68Ga-OncoACP3 in Prostate Cancer</t>
  </si>
  <si>
    <t>NCT07540494</t>
  </si>
  <si>
    <t>Pharmacokinetics and Safety of GH001 Delivered Via a GH001 Aerosol Delivery System in Healthy Subjects</t>
  </si>
  <si>
    <t>NCT07413094</t>
  </si>
  <si>
    <t>Efficacy and Safety of YD0743 Treatment for Sepsis-Associated ARDS</t>
  </si>
  <si>
    <t>NCT07685444</t>
  </si>
  <si>
    <t>A Clinical Study to Evaluate the Safety, Tolerability, and Efficacy of Intracerebral Injection of LY-N001 Injection for the Treatment of Moderate to Advanced Parkinson's Disease With GBA1 Mutations</t>
  </si>
  <si>
    <t>NCT07549412</t>
  </si>
  <si>
    <t>A Study of Precemtabart Tocentecan With or Without Bevacizumab Compared to Trifluridine/Tipiracil Plus Bevacizumab in Participants With Previously Treated Metastatic Colorectal Cancer (PROCEADE-CRC-03)</t>
  </si>
  <si>
    <t>NCT07636772</t>
  </si>
  <si>
    <t>A Phase II Study of AK146D1 Mono or Combined With AK112 in Advanced Urothelial Carcinoma</t>
  </si>
  <si>
    <t>NCT07592273</t>
  </si>
  <si>
    <t>Surabgene Lomparvovec Administered in the Suprachoroidal Space in Adult Participants With Diabetic Retinopathy Without Center-Involved Diabetic Macular Edema</t>
  </si>
  <si>
    <t>NCT07292441</t>
  </si>
  <si>
    <t>Extension Study of the Phase 3 Clinical Study of GZR18 Injection for Weight Loss</t>
  </si>
  <si>
    <t>NCT07588139</t>
  </si>
  <si>
    <t>A Study to Evaluate Dermal Open-Flow Microperfusion and Plasma Pharmacokinetic Study of Multiple Doses of Oral Povorcitinib or Topical Ruxolitinib Cream in Healthy Adult Participants</t>
  </si>
  <si>
    <t>NCT06357377</t>
  </si>
  <si>
    <t>A Study of the Safety, Dosing, and Delivery of NEO100 in Patients With Pediatric Brain Tumors</t>
  </si>
  <si>
    <t>NCT07741331</t>
  </si>
  <si>
    <t>Compare the Efficacy and Safety of KH607 Tablets Versus Vortioxetine Hydrobromide Tablets in Adult Patients With Major Depressive Disorder</t>
  </si>
  <si>
    <t>NCT07660731</t>
  </si>
  <si>
    <t>A Study to Learn How Different Amounts of the Study Medicine Called PF-08103402 Are Tolerated and Act in the Body in Healthy Adults or Adults With Mild To-moderate Asthma</t>
  </si>
  <si>
    <t>NCT07319845</t>
  </si>
  <si>
    <t>A Study of TAK-226 for Anemia in Japanese Patients With Lower-Risk Myelodysplastic Syndromes</t>
  </si>
  <si>
    <t>NCT07532265</t>
  </si>
  <si>
    <t>A Clinical Study to Evaluate the Efficacy and Safety of Frevecitinib (KN-002) in Patients With Severe Asthma</t>
  </si>
  <si>
    <t>NCT07557537</t>
  </si>
  <si>
    <t>A Phase 1 Study of KHN707 Tablets in Healthy Participants</t>
  </si>
  <si>
    <t>NCT07540338</t>
  </si>
  <si>
    <t>A Study to Investigate Lithium Brain/Plasma Pharmacokinetics and Safety of an AL001 Oral Capsule Compared to a Marketed Immediate-release Lithium Carbonate Capsule in Subjects With Bipolar I Disorder</t>
  </si>
  <si>
    <t>NCT07532148</t>
  </si>
  <si>
    <t>Study of CKD-215 and D215 in Adults With BRCA-mutated Advanced Ovarian, Fallopian Tube, or Primary Peritoneal Cancer</t>
  </si>
  <si>
    <t>NCT07566052</t>
  </si>
  <si>
    <t>A Study to Compare Setidegrasib (ASP3082) With Docetaxel, in People With Non-small Cell Lung Cancer With a KRAS G12D Mutation</t>
  </si>
  <si>
    <t>NCT07413133</t>
  </si>
  <si>
    <t>A Study to Assess How the Body Absorbs ABBV-8736 Subcutaneous Injections Relative to Intravenous Injections in Adult Healthy Volunteers</t>
  </si>
  <si>
    <t>NCT07387471</t>
  </si>
  <si>
    <t>Study to Assess Change in Disease Activity of Oral Venetoclax in Adult Participants With Recurring Relapsed or Refractory (R/R) Waldenström Macroglobulinemia (WM)/Lymphoplasmacytic Lymphoma (LPL)</t>
  </si>
  <si>
    <t>NCT07710664</t>
  </si>
  <si>
    <t>A Study of NWRD09 in Participants With Persistent HPV16 Infection in the Anal Region</t>
  </si>
  <si>
    <t>NCT07157514</t>
  </si>
  <si>
    <t>Radioimmunotherapy Conditioning With 131I- Apamistamab for Allogeneic Transplant in Relapse/Refractory AML</t>
  </si>
  <si>
    <t>NCT05491681</t>
  </si>
  <si>
    <t>AllogeneiC Expanded Human MSC Therapy in Patients Recovering From COVID-19 Acute Respiratory Distress Trial</t>
  </si>
  <si>
    <t>NCT07489209</t>
  </si>
  <si>
    <t>A Dose-exploration Study of EDP167 in HoFH</t>
  </si>
  <si>
    <t>NCT07442136</t>
  </si>
  <si>
    <t>Clinical Study to Assess the Efficacy of New Toothpaste Containing SnF as Compared to Colgate Cavity Protection Toothpaste on the Reduction of Enamel Erosion</t>
  </si>
  <si>
    <t>NCT07275606</t>
  </si>
  <si>
    <t>A Study to Investigate Cabotegravir for Neonates Exposed to HIV-1</t>
  </si>
  <si>
    <t>NCT07463521</t>
  </si>
  <si>
    <t>A Study to Evaluate the Efficacy and Safety of Rozanolixizumab in Adult Participants With Ocular Myasthenia Gravis</t>
  </si>
  <si>
    <t>NCT07299084</t>
  </si>
  <si>
    <t>A Study to Evaluate the Effect of Fasting Duration and Tirzepatide Withholding on the Amount of Food and Fluid in the Stomach in Participants With Type 2 Diabetes Mellitus and Participants With Overweight or Obesity Without Type 2 Diabetes Mellitus</t>
  </si>
  <si>
    <t>NCT07287098</t>
  </si>
  <si>
    <t>A Study of Imlunestrant (LY3484356) in Premenopausal Women With Estrogen Receptor-Positive (ER+) Human Epidermal Growth Factor Receptor 2 Negative (HER2-) Early Breast Cancer</t>
  </si>
  <si>
    <t>NCT04454684</t>
  </si>
  <si>
    <t>A Multi-Site Study of MDMA-Assisted Psychotherapy for Eating Disorders</t>
  </si>
  <si>
    <t>NCT07647133</t>
  </si>
  <si>
    <t>A Phase II Clinical Trial of Efficacy and Safety of SAL0140 at Different Doses in Patients With Chronic Kidney Disease</t>
  </si>
  <si>
    <t>NCT07219043</t>
  </si>
  <si>
    <t>A Study to Learn About the Effects of Felzartamab Infusions in Adults With Kidney Transplants Who Have Late Isolated Microvascular Inflammation</t>
  </si>
  <si>
    <t>NCT07532018</t>
  </si>
  <si>
    <t>DXP-106 in Solid Tumor Patients.</t>
  </si>
  <si>
    <t>Singlomics Biopharmaceuticals Zhuhai Co., Ltd.</t>
  </si>
  <si>
    <t>NCT07192120</t>
  </si>
  <si>
    <t>A Study of MHB048C in Patients With Advanced Solid Tumors</t>
  </si>
  <si>
    <t>NCT07519525</t>
  </si>
  <si>
    <t>A Study of [14C]-LY4064809 in Healthy Participants</t>
  </si>
  <si>
    <t>NCT07507513</t>
  </si>
  <si>
    <t>The Purpose of This Study is to Evaluate the Efficacy and Safety of 627 in the Treatment of UC</t>
  </si>
  <si>
    <t>NCT07657182</t>
  </si>
  <si>
    <t>A Prospective, Randomized, Assessor-Blinded, Multicenter Study Comparing Avance Nerve Graft and Autograft for Functional Recovery Following Mixed and Motor Peripheral Nerve Reconstruction</t>
  </si>
  <si>
    <t>Axogen Corporation</t>
  </si>
  <si>
    <t>NCT07245992</t>
  </si>
  <si>
    <t>A Study of F8IL10 Intra-articular Treatment in Rheumatoid Arthritis</t>
  </si>
  <si>
    <t>NCT07314333</t>
  </si>
  <si>
    <t>A Trial to Assess How Centanafadine Interacts With Stimulants in the Body</t>
  </si>
  <si>
    <t>NCT07081997</t>
  </si>
  <si>
    <t>A Phase 3 Randomized Clinical Trial to Investigate the Safety and Efficacy of Palopegteriparatide at Doses Greater Than 30 μg/Day in Adult Participants With Hypoparathyroidism</t>
  </si>
  <si>
    <t>NCT07564596</t>
  </si>
  <si>
    <t>A Phase 1b/2a Study of Budoprutug in Systemic Lupus Erythematosus (SLE)</t>
  </si>
  <si>
    <t>NCT07711262</t>
  </si>
  <si>
    <t>Rupatifen Fumarate Capsules in Patients With Seasonal Allergic Rhinitis</t>
  </si>
  <si>
    <t>Fujian Mindong Rejuvenation Pharmaceutical Co., Ltd.</t>
  </si>
  <si>
    <t>NCT07202546</t>
  </si>
  <si>
    <t>A Phase 2b Study Evaluating Oral VH4524184 Regimens in Treatment Naïve Persons With HIV-1 (INNOVATE Study)</t>
  </si>
  <si>
    <t>NCT07423117</t>
  </si>
  <si>
    <t>A Study of ITC-6146RO in Patients With Advanced or Metastatic Cancer Who Have Failed Standard Therapy</t>
  </si>
  <si>
    <t>IntoCell, Inc</t>
  </si>
  <si>
    <t>NCT07230860</t>
  </si>
  <si>
    <t>A Study of JNJ-95597528 in Participants With Moderate to Severe Atopic Dermatitis</t>
  </si>
  <si>
    <t>NCT07402551</t>
  </si>
  <si>
    <t>Phase II Study of RC1416 Injection in COPD</t>
  </si>
  <si>
    <t>NCT07494045</t>
  </si>
  <si>
    <t>Pharmacokinetics, Pharmacodynamics, Safety and Tolerability Evaluation of CTAP101 Extended-release Capsules in Pediatric Participants</t>
  </si>
  <si>
    <t>NCT07485595</t>
  </si>
  <si>
    <t>A Study of the Effectiveness and Safety of JS1-1-01 Tablet in Patients With Moderate to Severe Depression</t>
  </si>
  <si>
    <t>NCT07519395</t>
  </si>
  <si>
    <t>A Study to Investigate Abdominal Symptoms With Camlipixant Compared With Placebo in Adults With Irritable Bowel Syndrome - Diarrhea (IBS-D) and Irritable Bowel Syndrome - Mixed (IBS-M)</t>
  </si>
  <si>
    <t>NCT07324629</t>
  </si>
  <si>
    <t>Sacituzumab Tirumotecan in Participants With Locally Advanced or Metastatic Thymic Carcinoma</t>
  </si>
  <si>
    <t>NCT07471477</t>
  </si>
  <si>
    <t>Bacterial Reduction for a Manual Toothbrush With a 360-Degree Mouth Cleaner Design Versus a Standard Toothbrush</t>
  </si>
  <si>
    <t>NCT06593392</t>
  </si>
  <si>
    <t>Safety and Tolerability of Difelikefalin in Adolescents on Haemodialysis With Moderate-to-Severe Pruritus</t>
  </si>
  <si>
    <t>NCT07214311</t>
  </si>
  <si>
    <t>Evaluation of PLG0206 in Prevention of Recurrent Infection in Patients Undergoing Debridement, Antibiotics, and Implant Retention (DAIR) for Treatment of a Periprosthetic Joint Infection (PJI) Following Knee Arthroplasty</t>
  </si>
  <si>
    <t>NCT07459738</t>
  </si>
  <si>
    <t>A Phase II Study to Evaluate the Efficacy and Safety of HLX43 in Patients With Hormone Receptor Positive, HER2 Negative Locally Advanced or Metastatic Breast Cancer</t>
  </si>
  <si>
    <t>NCT07285785</t>
  </si>
  <si>
    <t>Rifaximin 200 mg Plus Oral Rehydration vs Oral Rehydration Alone in Children With Acute Diarrhea</t>
  </si>
  <si>
    <t>NCT07515872</t>
  </si>
  <si>
    <t>Long Duration High Frequency Ultrasound for the Treatment of Osteoarthritis</t>
  </si>
  <si>
    <t>NCT07545395</t>
  </si>
  <si>
    <t>Safety of KN057 Prophylaxis in Patients With Haemophilia A or B</t>
  </si>
  <si>
    <t>NCT07589400</t>
  </si>
  <si>
    <t>Safety, Tolerability, Pharmacokinetic and Pharmacodynamic Characteristics of ACT500 in Participants With Metabolic Dysfunction-Associated Steatotic Liver Disease Complicated With Chronic Hepatitis B</t>
  </si>
  <si>
    <t>NCT07421401</t>
  </si>
  <si>
    <t>A Study to Evaluate the Pharmacokinetics and the Safety After Administration of BR1015-A and Co-administration of BR1015-3 and BR1015-2 Under Fasting Conditions</t>
  </si>
  <si>
    <t>NCT07612306</t>
  </si>
  <si>
    <t>Material Balance Study of [14C] Flonoltinib Maleate</t>
  </si>
  <si>
    <t>NCT07286032</t>
  </si>
  <si>
    <t>A Study to Evaluate the Efficacy and Safety of Hetrombopag Olamine Tablets Vs Placebo in Patients With Chemotherapy-Induced Thrombocytopenia</t>
  </si>
  <si>
    <t>NCT07491458</t>
  </si>
  <si>
    <t>A Trial to Investigate Safety, Exposure, and Efficacy of HU6 Compared With Placebo in Adult Participants With Metabolic Dysfunction-associated Steatohepatitis (MASH)</t>
  </si>
  <si>
    <t>NCT07590193</t>
  </si>
  <si>
    <t>A Trial Evaluating AMG 127 in Healthy Participants and Participants With Type 2 Diabetes Mellitus</t>
  </si>
  <si>
    <t>NCT07358858</t>
  </si>
  <si>
    <t>A Food Effect Study of QLS1410 in Healthy Chinese Adults</t>
  </si>
  <si>
    <t>NCT07587385</t>
  </si>
  <si>
    <t>A Study of HS-10506 in Chinese Patients With Insomnia Disorder</t>
  </si>
  <si>
    <t>NCT07284433</t>
  </si>
  <si>
    <t>Study of Allo-QuadCAR01-T, an Allogeneic CAR-T Targeting CD19/CD20, in Patients With Relapsed or Refractory B-Cell Malignancies</t>
  </si>
  <si>
    <t>AvenCell Therapeutics, Inc.</t>
  </si>
  <si>
    <t>NCT07652658</t>
  </si>
  <si>
    <t>A Phase IIb Study to Evaluate AZD8965 in Participants With IPF.</t>
  </si>
  <si>
    <t>NCT07117214</t>
  </si>
  <si>
    <t>A Phase I Study of [68Ga]Ga-DWJ155 in Patients With Breast and Lung Cancers</t>
  </si>
  <si>
    <t>NCT07623915</t>
  </si>
  <si>
    <t>A Clinical Study to Evaluate the Efficacy and Safety of Bempedoic Acid</t>
  </si>
  <si>
    <t>NCT07600736</t>
  </si>
  <si>
    <t>A Study to Investigate the Safety, Tolerability, Pharmacokinetics, and Clinical Activity of ABS-1230 in Pediatric and Young Adult Participants With KCNT1-related Epilepsy</t>
  </si>
  <si>
    <t>NCT07192211</t>
  </si>
  <si>
    <t>Exploratory Study of ADR-002K for Heart Failure Patients With Ischemic Heart Disease Who Undergo CABG</t>
  </si>
  <si>
    <t>NCT07527221</t>
  </si>
  <si>
    <t>Safety and Tolerability of ZE74-0282 in Healthy Volunteers</t>
  </si>
  <si>
    <t>Eilean Therapeutics AU Pty Ltd</t>
  </si>
  <si>
    <t>NCT07323095</t>
  </si>
  <si>
    <t>Evaluate the Efficacy and Safety of ABP-671 in Subjects With Chronic Kidney Disease and Hyperuricaemia</t>
  </si>
  <si>
    <t>NCT07459114</t>
  </si>
  <si>
    <t>TGD001 Treatment in Thrombotic Microangiopathies</t>
  </si>
  <si>
    <t>TargED Biopharmaceuticals B.V.</t>
  </si>
  <si>
    <t>NCT07298447</t>
  </si>
  <si>
    <t>Donidalorsen Treatment in Children With Hereditary Angioedema</t>
  </si>
  <si>
    <t>NCT07591155</t>
  </si>
  <si>
    <t>A Study of BL-ARC002 in Patients With Locally Advanced or Metastatic Solid Tumors</t>
  </si>
  <si>
    <t>NCT07643233</t>
  </si>
  <si>
    <t>Bioequivalence Study of AJU-G721 and G721R in Healthy Adult Volunteers Under Fed Conditions</t>
  </si>
  <si>
    <t>NCT07133178</t>
  </si>
  <si>
    <t>A Trial to Evaluate the Safety and Immunogenicity of VLA1553 in Healthy Children</t>
  </si>
  <si>
    <t>NCT06842498</t>
  </si>
  <si>
    <t>A Study of FG-3246 in Participants With Metastatic Castration-Resistant Prostate Cancer (mCRPC)</t>
  </si>
  <si>
    <t>NCT07285655</t>
  </si>
  <si>
    <t>A Phase 3 Study to Evaluate the Safety and Efficacy L606 in Participants With PH-ILD</t>
  </si>
  <si>
    <t>NCT07049055</t>
  </si>
  <si>
    <t>A Clinical Trial to Evaluate EDV Nanocell Therapy With Gemcitabine and Nab-paclitaxel in Pancreatic Cancer</t>
  </si>
  <si>
    <t>Engeneic Pty Limited</t>
  </si>
  <si>
    <t>NCT07300033</t>
  </si>
  <si>
    <t>Bioequivalence Study of Liquid Metformin (100 and 250 mg/mL) vs IR Tablets</t>
  </si>
  <si>
    <t>NCT07607678</t>
  </si>
  <si>
    <t>A Study in People With Advanced Cancer to Test How Well Different Doses of BI 3819026 Are Tolerated When Taken Alone and Together With Ezabenlimab</t>
  </si>
  <si>
    <t>NCT07161843</t>
  </si>
  <si>
    <t>Use of QRX3 for Acute Tubular Necrosis Type of Renal Failure in Hospitalized Patients ( QRX-3 in ARF)</t>
  </si>
  <si>
    <t>NCT07681596</t>
  </si>
  <si>
    <t>A Modular, Phase I/II, Multicentre Study to Evaluate AZD4045, in Participants With Relapsed or Refractory Multiple Myeloma</t>
  </si>
  <si>
    <t>NCT07729462</t>
  </si>
  <si>
    <t>A Study to Learn About the Study Medicine Called Rimegepant in Adults When Used for the Prevention of Chronic Migraine</t>
  </si>
  <si>
    <t>NCT07501039</t>
  </si>
  <si>
    <t>A Phase 1 Study of BLKR201 in Healthy Adult Participants</t>
  </si>
  <si>
    <t>NCT07437586</t>
  </si>
  <si>
    <t>Topical GHK-Cu Gel for Acute Skin Wound Healing</t>
  </si>
  <si>
    <t>NCT07657780</t>
  </si>
  <si>
    <t>CS-121 APOC3 Base Editing in Severe Hypertriglyceridemia</t>
  </si>
  <si>
    <t>NCT07477366</t>
  </si>
  <si>
    <t>Study of CD19 t-haNK and NAI With Rituximab in Participants With Indolent Non-Hodgkin Lymphoma</t>
  </si>
  <si>
    <t>NCT07409922</t>
  </si>
  <si>
    <t>Study of Single and Multiple Ascending Doses of KR23343 in Healthy Adult Participants</t>
  </si>
  <si>
    <t>NCT07554222</t>
  </si>
  <si>
    <t>Study to Evaluate the Safety, Tolerability and How IBI3013 is Taken up and Processed by the Body in Healthy Volunteers After Single-dose Administration, and in Non-segmental Vitiligo Patients and Alopecia Areata Patients After Multiple-dose Administration</t>
  </si>
  <si>
    <t>NCT07519902</t>
  </si>
  <si>
    <t>An Efficacy and Safety Study of Cenegermin Ophthalmic Solution Compared With Vehicle in the Treatment of PCED</t>
  </si>
  <si>
    <t>NCT07439653</t>
  </si>
  <si>
    <t>A Study of TORL-5-700 in Relapsed/Refractory Non Hodgkin's Lymphoma</t>
  </si>
  <si>
    <t>NCT07534657</t>
  </si>
  <si>
    <t>A Study of JPH034 in Healthy Adult Participants</t>
  </si>
  <si>
    <t>J-Pharma Co., Ltd.</t>
  </si>
  <si>
    <t>NCT07548957</t>
  </si>
  <si>
    <t>A Study to Evaluate the Safety and Pharmacokinetics of UI087 Compared to Coadministration of UIC202506, UIC202507 and UIC202508 in Healthy Adult Volunteers Under Fasting Conditions</t>
  </si>
  <si>
    <t>NCT07482319</t>
  </si>
  <si>
    <t>A Clinical Study GK01 Injection in Subjects With Advanced Malignant Solid Tumors</t>
  </si>
  <si>
    <t>NCT07563699</t>
  </si>
  <si>
    <t>Safety, Tolerability and Efficacy of Semaglutide Depot in Subjects With Type-2 Diabetes Mellitus</t>
  </si>
  <si>
    <t>NCT07635563</t>
  </si>
  <si>
    <t>DReAMzz- Dronabinol and Acetazolamide Medication for Sleep Apnea (ZZ). Dose Confirmation Crossover Study for IHL-42X in Subjects With Obstructive Sleep Apnea.</t>
  </si>
  <si>
    <t>NCT06840275</t>
  </si>
  <si>
    <t>ASCs in Recently Diagnosed Non-ischemic Heart Failure</t>
  </si>
  <si>
    <t>NCT07308392</t>
  </si>
  <si>
    <t>Phase II Clinical Trial Evaluating the Efficacy and Safety of HRS-7249 and SHR-1918 in Patients With Severe Hypertriglyceridemia at High Risk of Acute Pancreatitis</t>
  </si>
  <si>
    <t>NCT07369492</t>
  </si>
  <si>
    <t>Safety and Efficacy Study of BAFF-R CAR-T Cells in Adult Subjects With CD19-Negative Relapsed or Refractory B-Cell Lymphoma</t>
  </si>
  <si>
    <t>NCT07556471</t>
  </si>
  <si>
    <t>Evaluation of the Efficacy and Safety of LW402 Tablets in Patients With Non-Segmental Vitiligo</t>
  </si>
  <si>
    <t>NCT07399899</t>
  </si>
  <si>
    <t>Dose-Finding Study of NBX-100 in Healthy Adult Participants</t>
  </si>
  <si>
    <t>Neurala Biosciences</t>
  </si>
  <si>
    <t>NCT07605728</t>
  </si>
  <si>
    <t>Probiotics for Abemaciclib-Induced Abdominal Discomfort.</t>
  </si>
  <si>
    <t>NCT07419334</t>
  </si>
  <si>
    <t>Study of ALK-001 on the Progression of Stargardt Disease</t>
  </si>
  <si>
    <t>Alkeus Pharmaceuticals, Inc.</t>
  </si>
  <si>
    <t>NCT07224672</t>
  </si>
  <si>
    <t>A Study to Evaluate the Efficacy and Safety of Belantamab Mafodotin in Combination With Cyclophosphamide, Bortezomib, and Dexamethasone in Adult Participants With Newly Diagnosed Amyloid Light Chain (AL) Amyloidosis</t>
  </si>
  <si>
    <t>NCT07726992</t>
  </si>
  <si>
    <t>A Study of SHR-1501 Combination With BCG Versus Placebo Combined With BCG in Subjects With Papillary-Only NMIBC</t>
  </si>
  <si>
    <t>NCT07659795</t>
  </si>
  <si>
    <t>A Phase 2 Study of VS-7375 in Patients With KRAS G12D-Mutated Colorectal Cancer</t>
  </si>
  <si>
    <t>NCT07596901</t>
  </si>
  <si>
    <t>Study of Aritinercept in Patients With Generalized Myasthenia Gravis</t>
  </si>
  <si>
    <t>NCT07269717</t>
  </si>
  <si>
    <t>A Phase II Clinical Trial of HRS-1893 in the Treatment of Heart Failure With Preserved Ejection Fraction</t>
  </si>
  <si>
    <t>NCT07576699</t>
  </si>
  <si>
    <t>CK0802 for Treatment of Steroid Refractory Graft vs. Host Disease (GVHD)</t>
  </si>
  <si>
    <t>NCT07556848</t>
  </si>
  <si>
    <t>A Study of 9MW2821 Versus Chemotherapy in Participants With Previously Treated Locally Advanced or Metastatic Triple-Negative Breast Cancer</t>
  </si>
  <si>
    <t>NCT07674940</t>
  </si>
  <si>
    <t>A Trial to Assess TEV-56286 at Different Doses in Healthy Participants</t>
  </si>
  <si>
    <t>NCT07336758</t>
  </si>
  <si>
    <t>A Study in Healthy Men to Test How BI 1584862 is Processed in the Body</t>
  </si>
  <si>
    <t>NCT07107126</t>
  </si>
  <si>
    <t>Safety and Proof-of-Concept Study of RPT1G in Adults With Acute Myeloid Leukemia and High-Risk Myelodysplastic Syndromes</t>
  </si>
  <si>
    <t>NCT07702578</t>
  </si>
  <si>
    <t>A Study of T-Cell Receptor Engineered Donor T Cells in Subjects Undergoing Allogeneic Peripheral Blood Stem Cell Transplantation</t>
  </si>
  <si>
    <t>NCT07616934</t>
  </si>
  <si>
    <t>A Clinical Study to Evaluate the Safety, Tolerability, and Immunogenicity of VAX-A1 in Healthy Young Adults</t>
  </si>
  <si>
    <t>NCT07708116</t>
  </si>
  <si>
    <t>First in Human Trial of CTX-187 in Healthy Volunteers and Chronically Infected Patients</t>
  </si>
  <si>
    <t>Centauri Therapeutics Limited</t>
  </si>
  <si>
    <t>NCT07586943</t>
  </si>
  <si>
    <t>SKB118 Injection in Advanced Solid Tumors</t>
  </si>
  <si>
    <t>NCT07584876</t>
  </si>
  <si>
    <t>A Phase 1 Clinical Study in Healthy Participants</t>
  </si>
  <si>
    <t>NCT07353931</t>
  </si>
  <si>
    <t>Efficacy and Safety of Eloralintide (LY3841136) in Participants With Osteoarthritis Knee Pain and Obesity or Overweight</t>
  </si>
  <si>
    <t>NCT07439094</t>
  </si>
  <si>
    <t>A First-in-Human Study of CKD-703 in Advanced Solid Tumors and Non-Small Cell Lung Cancer</t>
  </si>
  <si>
    <t>NCT07453602</t>
  </si>
  <si>
    <t>Ph 1a/1b Single Ascending Dose and Multiple Ascending Dose Study of ARQ-234</t>
  </si>
  <si>
    <t>NCT07462442</t>
  </si>
  <si>
    <t>Study of QLS5308 in Patients With Advanced Solid Tumors</t>
  </si>
  <si>
    <t>NCT07530666</t>
  </si>
  <si>
    <t>Study of the Safety and Efficacy of DS010 in Patients With Cancer Cachexia</t>
  </si>
  <si>
    <t>Dartsbio Pharmaceuticals Ltd.</t>
  </si>
  <si>
    <t>NCT07647783</t>
  </si>
  <si>
    <t>A Single and Multiple Ascending Dose Study to Evaluate Safety, Tolerability, Pharmacokinetics and Pharmacodynamics of SYH2072 Tablets</t>
  </si>
  <si>
    <t>NCT07702656</t>
  </si>
  <si>
    <t>A Phase II Clinical Trial Evaluating the Efficacy and Safety of SYS6026 Injection in Participants With HPV16 or 18-related High-grade Cervical Squamous Intraepithelial Lesions</t>
  </si>
  <si>
    <t>NCT07327294</t>
  </si>
  <si>
    <t>A Phase I/II Study to Evaluate XNW34017 in Patients With Advanced or Metastatic Solid Tumor</t>
  </si>
  <si>
    <t>NCT07372924</t>
  </si>
  <si>
    <t>A Trial of Tegileridine Fumarate Lnjection for Prolonged Mechanical Ventilation Abirritation in the Intensive Care Unit (ICU)</t>
  </si>
  <si>
    <t>NCT07409428</t>
  </si>
  <si>
    <t>A Phase III Study of HMPL-760 Plus R-GemOx VS Placebo Plus R-GemOx in Relapsed/Refractory DLBCL</t>
  </si>
  <si>
    <t>NCT07700667</t>
  </si>
  <si>
    <t>SKB500 Combinations in Patients With Esophageal Squamous Cell Carcinoma</t>
  </si>
  <si>
    <t>NCT07064564</t>
  </si>
  <si>
    <t>iSTEP-N 101b: Pharmacokinetics and Safety Study of Low- and High-Dose Naltrexone Implants vs Monthly Vivitrol in Healthy Volunteers</t>
  </si>
  <si>
    <t>NCT07553299</t>
  </si>
  <si>
    <t>A Study of Weekly Oral Dose of Ecnoglutide (VRB-101) for Weight Maintenance in Participants Who Have Obesity or Overweight With Weight-Related Comorbidities</t>
  </si>
  <si>
    <t>NCT07550504</t>
  </si>
  <si>
    <t>A Study to Evaluate the Usability of the SB11 PFS in Trial Participants With Wet AMD, Macular Oedema Secondary to RVO, or mCNV</t>
  </si>
  <si>
    <t>NCT07423299</t>
  </si>
  <si>
    <t>A First-in-Human Single and Multiple Ascending Dose Study of MT-251</t>
  </si>
  <si>
    <t>NCT07365995</t>
  </si>
  <si>
    <t>A Phase III Trial of BNT324 Versus Docetaxel in Metastatic Castration-resistant Prostate Cancer</t>
  </si>
  <si>
    <t>NCT07400653</t>
  </si>
  <si>
    <t>A Study to Learn About the Study Medicine (PF-08653944) in People With Obesity or Overweight and Type 2 Diabetes (T2D)</t>
  </si>
  <si>
    <t>NCT07510828</t>
  </si>
  <si>
    <t>PRISM-NK: Precision-Matched Allogeneic Single- or Dual-Target CAR-NK Cells for Advanced Solid Tumors</t>
  </si>
  <si>
    <t>NCT07707674</t>
  </si>
  <si>
    <t>Phase I Open-Label Randomized Multicenter Study of XNW28012 Monotherapy in Metastatic Pancreatic Cancer</t>
  </si>
  <si>
    <t>NCT07610278</t>
  </si>
  <si>
    <t>A Study to Evaluate the Pharmacodynamics of a Combination of QCZ484 and Inclisiran in Participants With Hypertension and Concomitant Hypercholesterolemia</t>
  </si>
  <si>
    <t>NCT04457076</t>
  </si>
  <si>
    <t>Evaluation of the Efficacy, Safety, and Tolerability of LevoCept</t>
  </si>
  <si>
    <t>Sebela Women's Health Inc.</t>
  </si>
  <si>
    <t>NCT07222189</t>
  </si>
  <si>
    <t>A Study to Investigate the Long-term Safety, Tolerability and Efficacy of Balinatunfib in Participants With Crohn's Disease or Ulcerative Colitis (SPECIFI-IBD-LTS)</t>
  </si>
  <si>
    <t>NCT07730580</t>
  </si>
  <si>
    <t>Study of XNW5004 Tablets in Advanced Prostate Cancer</t>
  </si>
  <si>
    <t>NCT07416123</t>
  </si>
  <si>
    <t>A Study of GEN1106 in Participants With Solid Tumors</t>
  </si>
  <si>
    <t>NCT07545603</t>
  </si>
  <si>
    <t>Clinical Study of XNW5004 Tablets in the Treatment of Relapsed and Refractory Follicular Lymphoma</t>
  </si>
  <si>
    <t>NCT07598383</t>
  </si>
  <si>
    <t>A Multicenter, Randomized, Double-blind, Vehicle Controlled Phase II Clinical Study to Evaluate the Efficacy and Safety of VC005 Gel in Adult Subjects With Mild to Moderate Atopic Dermatitis</t>
  </si>
  <si>
    <t>NCT07406724</t>
  </si>
  <si>
    <t>HS-IT101 Injection Versus Chemotherapy in the Treatment of Advanced Melanoma</t>
  </si>
  <si>
    <t>NCT07185880</t>
  </si>
  <si>
    <t>A Phase 1/2 Study of the Safety and Tolerability of MT-125 in GBM Patients</t>
  </si>
  <si>
    <t>NCT07470762</t>
  </si>
  <si>
    <t>Study of Safety and Efficacy of HS-10542 in Patients With Paroxysmal Nocturnal Hemoglobinuria</t>
  </si>
  <si>
    <t>NCT07258511</t>
  </si>
  <si>
    <t>A Study Comparing JNJ-79635322 and an Anti-B-cell Maturation Antigen (BCMA)xCD3 Bispecific Antibody in Participants With Relapsed or Refractory Multiple Myeloma</t>
  </si>
  <si>
    <t>NCT07374406</t>
  </si>
  <si>
    <t>To Evaluate the Safety and Pharmacokinetic Characteristics in Healthy Volunteers</t>
  </si>
  <si>
    <t>NCT07743008</t>
  </si>
  <si>
    <t>Phase 2 Trial of a Haemophilus Influenzae Serotype a (Hia) Glycoconjugate Vaccine</t>
  </si>
  <si>
    <t>NCT07566338</t>
  </si>
  <si>
    <t>A Study of LY4302814 in Healthy Participants</t>
  </si>
  <si>
    <t>NCT07545564</t>
  </si>
  <si>
    <t>A Study on Mucosal Specific IgA Immunokinetics After Administration of Nasal Spray Live Attenuated Influenza Vaccine</t>
  </si>
  <si>
    <t>NCT07671833</t>
  </si>
  <si>
    <t>A Study of LY03015 in Healthy Chinese and Caucasian Adult Subjects</t>
  </si>
  <si>
    <t>NCT07595276</t>
  </si>
  <si>
    <t>Comparing Efficacy and Safety of Enlituo® Versus Erbitux® Plus FOLFOX in Locally Advanced/Metastatic Colorectal Cancer With RAS/BRAF Wild-type and MSS/pMMR Status.</t>
  </si>
  <si>
    <t>NCT07618715</t>
  </si>
  <si>
    <t>Pharmacokinetics of Y-4 Tablets With Pregabalin Capsules and Riluzole Tablets in U.S. Healthy Participants</t>
  </si>
  <si>
    <t>NCT07646535</t>
  </si>
  <si>
    <t>A Phase II Clinical Trial of Efficacy and Safety of SAL0140 at Different Doses in Patients With Primary Aldosteronism</t>
  </si>
  <si>
    <t>NCT07675590</t>
  </si>
  <si>
    <t>A Study to Evaluate Safety, Tolerability and Pharmacokinetics of Orally Administered TIX100 in Healthy Subjects</t>
  </si>
  <si>
    <t>NCT07702890</t>
  </si>
  <si>
    <t>A Three-part First-in-human Trial to Assess Safety, Tolerability, Pharmacokinetics and Pharmacodynamics of GUB-UCN2 in Healthy Lean and Obese Participants and Participants With T2D</t>
  </si>
  <si>
    <t>Gubra A/S</t>
  </si>
  <si>
    <t>NCT07416474</t>
  </si>
  <si>
    <t>RC148 Plus Platinum-Based Chemotherapy vs Tislelizumab Plus Platinum-Based Chemotherapy for First-Line Squamous Non-Small Cell Lung Cancer (sqNSCLC)</t>
  </si>
  <si>
    <t>NCT07553182</t>
  </si>
  <si>
    <t>OLE Study With Filgotinib in JIA</t>
  </si>
  <si>
    <t>NCT07297979</t>
  </si>
  <si>
    <t>Evaluation of Xaluritamig in Adults, Adolescents and Children With Relapsed or Refractory Ewing Sarcoma (EWS)</t>
  </si>
  <si>
    <t>NCT07728396</t>
  </si>
  <si>
    <t>A Phase 1 Study to Evaluate the Safety and Immunogenicity of GC4006A in Healthy Adults</t>
  </si>
  <si>
    <t>NCT07552779</t>
  </si>
  <si>
    <t>A Study of How Ibuzatrelvir is Taken up Into the Blood of Healthy Adults After Taking Different Tablets of Ibuzatrelvir</t>
  </si>
  <si>
    <t>NCT05909488</t>
  </si>
  <si>
    <t>Role of UC-MSC and CM to Inhibit Vision Loss in Retinitis Pigmentosa Phase I/II</t>
  </si>
  <si>
    <t>NCT07406542</t>
  </si>
  <si>
    <t>A Phase III Study of SYS6010 Versus Chemotherapy in HER2-Negative, EGFR-Positive Recurrent or Metastatic Breast Cancer</t>
  </si>
  <si>
    <t>NCT07667842</t>
  </si>
  <si>
    <t>Study of D3L-002 in Subjects With Advanced Solid Tumors</t>
  </si>
  <si>
    <t>NCT07159841</t>
  </si>
  <si>
    <t>A Study in Pediatric Participants With Congenital Adrenal Hyperplasia (Balance-CAH)</t>
  </si>
  <si>
    <t>NCT07702279</t>
  </si>
  <si>
    <t>PSTB100 Study in Healthy Adult Subjects</t>
  </si>
  <si>
    <t>Prospect Therapeutics (Nanjing) Limited</t>
  </si>
  <si>
    <t>NCT07352423</t>
  </si>
  <si>
    <t>Safety, Tolerability, Pharmacokinetic, and Pharmacodynamic Study of ALXN2230 in Healthy Participants</t>
  </si>
  <si>
    <t>NCT07444086</t>
  </si>
  <si>
    <t>QLC7401 Monotherapy in Non-familial Hypercholesterolemia or Mixed Dyslipidemia</t>
  </si>
  <si>
    <t>NCT07117383</t>
  </si>
  <si>
    <t>Hezkue®, Hezkue Turbo®, and Commercial Sildenafil Products in Fed Healthy Male Subject</t>
  </si>
  <si>
    <t>NCT07505069</t>
  </si>
  <si>
    <t>Exploring the Clinical Value of RT01-89Zr PET Imaging in Solid Tumors</t>
  </si>
  <si>
    <t>Nanolattix Biotechnology Co., Ltd.</t>
  </si>
  <si>
    <t>NCT07334080</t>
  </si>
  <si>
    <t>ECC4703 Food Effect and Relative Bioavailability Study in Healthy Adult Participants</t>
  </si>
  <si>
    <t>NCT06226662</t>
  </si>
  <si>
    <t>Study of NM8074 in Patients with Anti-Neutrophil Cytoplasmic Antibody (ANCA)-Associated Vasculitis (AAV)</t>
  </si>
  <si>
    <t>NCT07415954</t>
  </si>
  <si>
    <t>A Research Study Comparing How Well Different Doses of the Medicine NNC0662-0419 Lower Blood Sugar in People With Type 2 Diabetes</t>
  </si>
  <si>
    <t>NCT07639905</t>
  </si>
  <si>
    <t>A Clinical Study Comparing the Bioavailability of HRS-2189 Tablets</t>
  </si>
  <si>
    <t>NCT07499544</t>
  </si>
  <si>
    <t>A Phase III Study to Evaluate the Efficacy and Safety of Libevitug in Participants With Chronic HDV Infection (D-clear Study)</t>
  </si>
  <si>
    <t>NCT07481734</t>
  </si>
  <si>
    <t>Tesamorelin for Reduction of Liver Fat in Adults With Fatty Liver Disease (Mock Study)</t>
  </si>
  <si>
    <t>NCT07668999</t>
  </si>
  <si>
    <t>A Phase 1b Study of ZYG24004 in Participants With Tinea Pedis Caused by Dermatophytes</t>
  </si>
  <si>
    <t>Sinomune Pharmaceutical Co., Ltd</t>
  </si>
  <si>
    <t>NCT07318714</t>
  </si>
  <si>
    <t>A Study of ASP2246 for People Who Have Movement Problems Caused by Brain Injury After a Stroke</t>
  </si>
  <si>
    <t>NCT07641036</t>
  </si>
  <si>
    <t>Dual-Target HER2/CEA CAR-NK Cells in Advanced Biliary Tract Cancer</t>
  </si>
  <si>
    <t>NCT07580716</t>
  </si>
  <si>
    <t>Intra-Articular Allocetra in Patients With Primary Knee Osteoarthritis</t>
  </si>
  <si>
    <t>NCT07459998</t>
  </si>
  <si>
    <t>SKB103 for Injection in Advanced Solid Tumors</t>
  </si>
  <si>
    <t>NCT07525206</t>
  </si>
  <si>
    <t>A Study to Access Intravenous (IV) Telisotuzumab Adizutecan in Combination With IV Bevacizumab Compared to Standard of Care IV Bevacizumabin Combination With Oral Trifluridine and Tipiracil in Adult Participants With Refractory Metastatic Colorectal Cancer</t>
  </si>
  <si>
    <t>NCT07404111</t>
  </si>
  <si>
    <t>A Study of VV-14305 for the Treatment of Thyroid Eye Disease</t>
  </si>
  <si>
    <t>NCT07486934</t>
  </si>
  <si>
    <t>Efficacy, Safety, and Tolerability of Zeleciment Basivarsen (DYNE-101) in Participants With Myotonic Dystrophy Type 1</t>
  </si>
  <si>
    <t>NCT07663032</t>
  </si>
  <si>
    <t>A Study to Evaluate the Safety, Reactogenicity, and Immune Response of the GSK Vaccines Institute for Global Health (GVGH) Quadrivalent Pan-Salmonella Vaccine With and Without Alum in Healthy Young Adults</t>
  </si>
  <si>
    <t>NCT07697560</t>
  </si>
  <si>
    <t>Safety, Tolerability, and PK of AH-008 Following Single Ascending Dose in Healthy Subjects</t>
  </si>
  <si>
    <t>NCT07634510</t>
  </si>
  <si>
    <t>Study to Evaluate the Safety, Tolerability, Pharmacokinetics, and Pharmacodynamics of MWX205</t>
  </si>
  <si>
    <t>NCT07150013</t>
  </si>
  <si>
    <t>Rett REVOLUTION Trial: An Exploratory Evaluation of the Safety and Efficacy of Vorinostat in Rett Syndrome</t>
  </si>
  <si>
    <t>NCT07277413</t>
  </si>
  <si>
    <t>A Study of IDE892 as Monotherapy and Combination in MTAP-deleted Advanced Solid Tumors</t>
  </si>
  <si>
    <t>NCT07321847</t>
  </si>
  <si>
    <t>Injection of IP-001 Into Thermally Ablated Hepatic Tumors in Patients With Colorectal Liver Metastases</t>
  </si>
  <si>
    <t>NCT07742215</t>
  </si>
  <si>
    <t>A Study of the Efficacy and Safety of BCD-248 in Combination With Daratumumab in Patients With Relapsed or Refractory Multiple Myeloma (AMMADINA)</t>
  </si>
  <si>
    <t>NCT07667296</t>
  </si>
  <si>
    <t>APG-157 in Locally Advanced Head and Neck Squamous Cell Carcinoma</t>
  </si>
  <si>
    <t>NCT07544056</t>
  </si>
  <si>
    <t>A Study of BEBT-209 Plus Chemotherapy in Patients With Locally Advanced or Metastatic Triple-Negative Breast Cancer</t>
  </si>
  <si>
    <t>NCT07621718</t>
  </si>
  <si>
    <t>Study of Zoldonrasib + Chemo of Investigator's Choice vs Placebo + Chemo of Investigator's Choice as First-line Treatment in Metastatic KRAS G12D-mutated Pancreatic Adenocarcinoma ( RASolute 305 )</t>
  </si>
  <si>
    <t>NCT07695090</t>
  </si>
  <si>
    <t>Lumacaftor Yields Reversal of Impaired Cerebral Blood Flow in Heart Failure Patients</t>
  </si>
  <si>
    <t>Qanatpharma AG</t>
  </si>
  <si>
    <t>NCT05936580</t>
  </si>
  <si>
    <t>Nuwiq Dosing and Outcomes In the ManagEment of Women/Girls With Haemophilia A Needing FVIII Treatment for Surgery</t>
  </si>
  <si>
    <t>NCT07556796</t>
  </si>
  <si>
    <t>Study of IBI3016 in People With Mild or Moderate Hypertension Patients</t>
  </si>
  <si>
    <t>NCT07665437</t>
  </si>
  <si>
    <t>An Extension Study to Assess Safety and Efficacy of Remibrutinib in Participants With Moderate to Severe HS</t>
  </si>
  <si>
    <t>NCT07412496</t>
  </si>
  <si>
    <t>A Study to Evaluate the Use of Topical Ocular BL1332 for the Management of Postoperative Ocular Pain Following Photorefractive Keratectomy</t>
  </si>
  <si>
    <t>NCT07391670</t>
  </si>
  <si>
    <t>A Phase I Dose Escalation and Dose Expansion Study to Investigate the Pharmacokinetics and Safety of Subcutaneous Durvalumab</t>
  </si>
  <si>
    <t>NCT07391566</t>
  </si>
  <si>
    <t>LPM6690176 in Combination With Chemotherapy and Bevacizumab in Metastatic Colorectal Cancer Patients With RAS Mutation</t>
  </si>
  <si>
    <t>NCT07355231</t>
  </si>
  <si>
    <t>Lung Functional Avoidance Radiotherapy Using Hyperpolarized Xenon MRI</t>
  </si>
  <si>
    <t>NCT07328451</t>
  </si>
  <si>
    <t>A Study to Evaluate the Safety, Tolerability, Pharmacokinetics, and Pharmacodynamics of DNL628 in Participants With Early Alzheimer's Disease</t>
  </si>
  <si>
    <t>NCT07516951</t>
  </si>
  <si>
    <t>A Study to Find an Efficacious and Safe Dose of CHF10067 (Zampilimab) in Participants With Idiopathic Pulmonary Fibrosis</t>
  </si>
  <si>
    <t>NCT07642024</t>
  </si>
  <si>
    <t>A Study of BL-B01D1 in Combination With Osimertinib as Perioperative Therapy in Patients With EGFR-mutated Resectable Non-small Cell Lung Cancer(PANKU-Lung09)</t>
  </si>
  <si>
    <t>NCT07608705</t>
  </si>
  <si>
    <t>A Study to Assess the Effect of HRS-1301 on the Pharmacokinetics of Midazolam and Atorvastatin in Healthy Participants</t>
  </si>
  <si>
    <t>NCT07590466</t>
  </si>
  <si>
    <t>A Study to Compare the Pharmacokinetics and Safety of the ATB-U101 and ATB-U1011+ATB-U1012 and ATB-1011+ATB-1012 in Healthy Caucasian Participants</t>
  </si>
  <si>
    <t>NCT07427680</t>
  </si>
  <si>
    <t>Study of TGM-312-SC01 in Healthy Participants and Adults With MASH</t>
  </si>
  <si>
    <t>Tangram Therapeutics Plc</t>
  </si>
  <si>
    <t>NCT07751042</t>
  </si>
  <si>
    <t>Phase 1/2 Study of Intravenous Injection of STX-003 in Advanced Solid Tumors as Monotherapy or in Combination With Pembrolizumab</t>
  </si>
  <si>
    <t>NCT07610473</t>
  </si>
  <si>
    <t>A Study to Evaluate the Effectiveness of DT-101 as an Adjunctive Treatment in Patients With Depression</t>
  </si>
  <si>
    <t>NCT07529951</t>
  </si>
  <si>
    <t>Study of ZE74-0282 for Patients With JAK2 V617F Positive Blood Cancers</t>
  </si>
  <si>
    <t>NCT07199465</t>
  </si>
  <si>
    <t>A Clinical Study of Letermovir (MK-8228) in Children and Adolescents Who Receive a Kidney Transplant (KT) (MK-8228-077)</t>
  </si>
  <si>
    <t>NCT07331467</t>
  </si>
  <si>
    <t>Study of Ultra-Fast CD19 CAR-T Therapy for Refractory SLE</t>
  </si>
  <si>
    <t>NCT07551349</t>
  </si>
  <si>
    <t>Dual-target CD70/CAIX CAR-NK Cells for Advanced Clear Cell Renal Cell Carcinoma</t>
  </si>
  <si>
    <t>NCT03606538</t>
  </si>
  <si>
    <t>MDMA in Subjects With Moderate Hepatic Impairment and Subjects With Normal Hepatic Function</t>
  </si>
  <si>
    <t>NCT07276958</t>
  </si>
  <si>
    <t>A Study of LY4298445 in Healthy Participants and Participants With Systemic Lupus Erythematosus (SLE) or Rheumatoid Arthritis (RA)</t>
  </si>
  <si>
    <t>NCT07189871</t>
  </si>
  <si>
    <t>177Lu-BetaBart in Patients With Relapsed/Refractory, Locally Advanced Inoperable, or Metastatic Solid Tumors</t>
  </si>
  <si>
    <t>NCT05739734</t>
  </si>
  <si>
    <t>Safety of CRIS100 on Treatment Spinal Cord Injury</t>
  </si>
  <si>
    <t>NCT07743164</t>
  </si>
  <si>
    <t>A Clinical Trial of Raludotatug Deruxtecan (R-DXd) With or Without Bevacizumab in Participants With Ovarian Cancer Who Have Progressed During Treatment With PARP-inhibitors Treatment on First Line Maintenance (MK-5909-008/ENGOT-ov107/GOG-3142 / REJOICE-Ovarian05)</t>
  </si>
  <si>
    <t>NCT07519499</t>
  </si>
  <si>
    <t>Phase II Clinical Study to Evaluate the Efficacy and Safety of XKH001 Injection</t>
  </si>
  <si>
    <t>NCT07450599</t>
  </si>
  <si>
    <t>A Study to Learn How Well a Combination of Darolutamide and Androgen Deprivation Therapy (ADT) Works as a Treatment Before Surgery for Men Who Have High-risk Localized Prostate Cancer.</t>
  </si>
  <si>
    <t>NCT07713732</t>
  </si>
  <si>
    <t>TLN-499 in Combination With Venetoclax in Patients With Relapsed/Refractory Solid Tumors</t>
  </si>
  <si>
    <t>NCT07399067</t>
  </si>
  <si>
    <t>A Proof-of-Concept Study of IBI3002 in Patients With Moderate to Severe Atopic Dermatitis</t>
  </si>
  <si>
    <t>NCT07456033</t>
  </si>
  <si>
    <t>A Study of Efficacy and Safety of Depemokimab Compared With Placebo in Adults and Adolescents With at Risk Type 2 Asthma</t>
  </si>
  <si>
    <t>NCT07673887</t>
  </si>
  <si>
    <t>A Study of ASP2138 Together With Chemotherapy and Pembrolizumab in Adults With Gastric Cancer</t>
  </si>
  <si>
    <t>NCT07415044</t>
  </si>
  <si>
    <t>LY4268989 in Adults With Moderately to Severely Active Ulcerative Colitis</t>
  </si>
  <si>
    <t>NCT07230340</t>
  </si>
  <si>
    <t>Nonhealing Venous Leg Ulcers Treated With a Standard of Care (SoC) Alone or Standard of Care and Dehydrated Human Placenta Tissue (dHPT) With Crossover</t>
  </si>
  <si>
    <t>NCT07603791</t>
  </si>
  <si>
    <t>Phase II Clinical Study to Evaluate the Safety, Tolerability, Pharmacokinetics and Antitumor Activity of ALK202 for Injection in Combination With Drugs in NSCLC Participants.</t>
  </si>
  <si>
    <t>NCT07668518</t>
  </si>
  <si>
    <t>A Study of the Safety, Tolerability, Pharmacokinetics and Efficacy of KIT2014 in Patients With Moderate to Severe COPD</t>
  </si>
  <si>
    <t>NCT07363590</t>
  </si>
  <si>
    <t>A Clinical Study of MK-1045 in People With Lupus or Rheumatoid Arthritis (MK-1045-004)</t>
  </si>
  <si>
    <t>NCT07615660</t>
  </si>
  <si>
    <t>Clinical Study of CVL006 Combination With 9MW2821</t>
  </si>
  <si>
    <t>NCT07422480</t>
  </si>
  <si>
    <t>A Study to Compare Elritercept With Epoetin Alfa to Treat Anemia in Adults With Very Low, Low, or Intermediate Risk Myelodysplastic Syndromes (MDS) Who Need Regular Blood Transfusions</t>
  </si>
  <si>
    <t>NCT07152379</t>
  </si>
  <si>
    <t>Challenge Transfusion of INTERCEPT Pathogen Reduced Red Blood Cells (RBCs) in Subjects With or Without Pre-existing Antibodies to INTERCEPT RBCs</t>
  </si>
  <si>
    <t>NCT07570082</t>
  </si>
  <si>
    <t>Drug-Drug Interaction Study of Atumelnant in Healthy Participants</t>
  </si>
  <si>
    <t>NCT07379580</t>
  </si>
  <si>
    <t>A Randomized Clinical Trial Investigating the Safety, Reactogenicity, and Immunogenicity After Immunization With an mRNA-based Mpox Vaccine Candidate in Africa</t>
  </si>
  <si>
    <t>NCT07231185</t>
  </si>
  <si>
    <t>Phase 2 Efficacy Study of Sildenafil Products in Adult Men With Erectile Dysfunction</t>
  </si>
  <si>
    <t>NCT07301255</t>
  </si>
  <si>
    <t>ENV-294 for Moderate-to-Severe Asthma: A 12-Week Study in Adults</t>
  </si>
  <si>
    <t>NCT07692685</t>
  </si>
  <si>
    <t>Pharmacokinetic Effect of Y-3 for Injection on Rosuvastatin Calcium Tablets in Healthy Participants</t>
  </si>
  <si>
    <t>NCT07529717</t>
  </si>
  <si>
    <t>First-in-Human Study to Evaluate AZD8359 STEAP2 TCE in Participants With Prostate Cancer</t>
  </si>
  <si>
    <t>NCT07355218</t>
  </si>
  <si>
    <t>A Study of Enpatoran in Participants With Cutaneous Manifestations of Lupus With or Without Systemic Disease (ELOWEN-2)</t>
  </si>
  <si>
    <t>NCT07194382</t>
  </si>
  <si>
    <t>AURA-IPF: A Randomized Phase 2 Study to Evaluate the Safety and Efficacy of AP02 (Nintedanib Solution) in IPF</t>
  </si>
  <si>
    <t>NCT07468396</t>
  </si>
  <si>
    <t>A Phase I Clinical Study of GLR2037 in Patients With Advanced Prostate Cancer</t>
  </si>
  <si>
    <t>NCT07342062</t>
  </si>
  <si>
    <t>Pharmacokinetics and Safety Profiles of DA-1229_01 in Healthy Subjects at Fed State</t>
  </si>
  <si>
    <t>NCT07611110</t>
  </si>
  <si>
    <t>AZD2265 Compared With Standard of Care in PSMA-positive Metastatic Castration-resistant Prostate Cancer (VECTRA-01)</t>
  </si>
  <si>
    <t>NCT07599813</t>
  </si>
  <si>
    <t>A Phase 2b Study of the Effects of Camoteskimab in Adults With Moderate-to-Severe Atopic Dermatitis</t>
  </si>
  <si>
    <t>NCT07668154</t>
  </si>
  <si>
    <t>A Phase II Study to Evaluate the Efficacy and Safety of SKB571 in Recurrent or Metastatic HNSCC Participants</t>
  </si>
  <si>
    <t>NCT07698756</t>
  </si>
  <si>
    <t>A Clinical Study of HRS-8797 in Healthy Participants</t>
  </si>
  <si>
    <t>NCT07336446</t>
  </si>
  <si>
    <t>A Trial to Learn How Safe AZD9750 is and How Well it Works in People With Metastatic Prostate Cancer When Given With or Without Other Anticancer Drugs</t>
  </si>
  <si>
    <t>NCT07614646</t>
  </si>
  <si>
    <t>Evaluate the Safety, Tolerability, and Preliminary Efficacy of EVM14 in Combination With Ivonescimab in Sq-NSCLC Patients</t>
  </si>
  <si>
    <t>NCT07570069</t>
  </si>
  <si>
    <t>Effects of Efavirenz on the Pharmacokinetics of Suzetrigine in Healthy Participants</t>
  </si>
  <si>
    <t>NCT07154745</t>
  </si>
  <si>
    <t>A Study to Evaluate How Pozelimab + Cemdisiran Combination Therapy Works in Adult Patients With Paroxysmal Nocturnal Hemoglobinuria (PNH) Whose Current Treatment is Not Working Efficiently</t>
  </si>
  <si>
    <t>NCT07357766</t>
  </si>
  <si>
    <t>A Research Study to Compare Different Versions of Injectable CagriSema and Placebo in People With Excess Body Weight</t>
  </si>
  <si>
    <t>NCT07492641</t>
  </si>
  <si>
    <t>BGB-43395 Plus Letrozole Versus CDK4/6i Plus Letrozole for Patients With Advanced or Metastatic HR+/HER2- Breast Cancer Who Have Not Received Prior Treatment for Advanced or Metastatic Disease</t>
  </si>
  <si>
    <t>NCT07364851</t>
  </si>
  <si>
    <t>A Phase 1 Clinical Trial to Evaluate the Safety and Pharmacokinetics of DW4421-T1 and DW4421S-T1 in Healthy Adult Volunteers</t>
  </si>
  <si>
    <t>NCT06862453</t>
  </si>
  <si>
    <t>Safety, Tolerability and Efficacy of PfSPZ-LARC2 Vaccine Against CHMI in Malaria-Naïve Adults</t>
  </si>
  <si>
    <t>NCT07629999</t>
  </si>
  <si>
    <t>Single and Multiple Dose Study to Evaluate Safety and Pharmacokinetics of BMS-986533 in Healthy Participants and Assessments of Food and pH Effects on Relative Bioavailability, and Drug-Drug Interaction Potential in Healthy Participants</t>
  </si>
  <si>
    <t>NCT07551167</t>
  </si>
  <si>
    <t>A Clinical Study of HRS-5765 in Healthy Participants</t>
  </si>
  <si>
    <t>NCT07502144</t>
  </si>
  <si>
    <t>A Phase I Study Comparing the Safety, Pharmacokinetics and Renal Effects of VRP-034 and Marketed Polymyxin B in Healthy Volunteers</t>
  </si>
  <si>
    <t>NCT07629336</t>
  </si>
  <si>
    <t>SAR447971 First-in-human Study</t>
  </si>
  <si>
    <t>NCT07388511</t>
  </si>
  <si>
    <t>A Study of Elenestinib in Healthy Adult Female Participants</t>
  </si>
  <si>
    <t>NCT07366086</t>
  </si>
  <si>
    <t>Pediatric Safety Follow-up Study of Prior Treatment With Romosozumab for Osteogenesis Imperfecta</t>
  </si>
  <si>
    <t>NCT07633470</t>
  </si>
  <si>
    <t>A Study of Zunveyl on Safety, Tolerability, Neuropsychiatric Symptoms, and Caregiver Distress in Alzheimer's Disease (RESOLVE)</t>
  </si>
  <si>
    <t>Alpha Cognition, Inc</t>
  </si>
  <si>
    <t>NCT07538570</t>
  </si>
  <si>
    <t>Evaluation of Pain Treatment After Total Knee Arthroplasty</t>
  </si>
  <si>
    <t>NCT07505771</t>
  </si>
  <si>
    <t>A Phase 1 Study of 177Lu-IM-3050 in Participants With Advanced Cancer</t>
  </si>
  <si>
    <t>NCT07286214</t>
  </si>
  <si>
    <t>Sarilumab Efficacy and Safety in Adults With Early Polymyalgia Rheumatica</t>
  </si>
  <si>
    <t>NCT07408869</t>
  </si>
  <si>
    <t>A Phase 1 Study of Cizutamig in IgE Mediated Diseases</t>
  </si>
  <si>
    <t>NCT06947941</t>
  </si>
  <si>
    <t>A Study to Evaluate Safety and Efficacy of KarXT + KarX-EC as a Treatment for Psychosis Associated With Alzheimer's Disease (ADEPT-5)</t>
  </si>
  <si>
    <t>NCT07388667</t>
  </si>
  <si>
    <t>A Clinical Study of MK-4082 in Healthy Overweight Participants (MK-4082-002)</t>
  </si>
  <si>
    <t>NCT07360132</t>
  </si>
  <si>
    <t>Phase III Clinical Study of HB0025 Combined With Chemotherapy Versus Pembrolizumab Combined With Chemotherapy for the First-Line Treatment of Advanced Squamous Non-Small Cell Lung Cancer</t>
  </si>
  <si>
    <t>NCT07020832</t>
  </si>
  <si>
    <t>Study to Evaluate the Efficacy and Safety of Pegcetacoplan in Adults at High Risk of Delayed Graft Function (DGF) Following Kidney Allograft Transplantation</t>
  </si>
  <si>
    <t>NCT07492771</t>
  </si>
  <si>
    <t>MP101 in Adults With Acute Pseudomonas Aeruginosa Pneumonia</t>
  </si>
  <si>
    <t>MicrobiotiX Co., Ltd</t>
  </si>
  <si>
    <t>NCT07489599</t>
  </si>
  <si>
    <t>A Study of QLH2405 in Healthy Participants and Participants With Mild Cognitive Impairment Due to Alzheimer's Disease and Mild Alzheimer's Disease</t>
  </si>
  <si>
    <t>NCT07545811</t>
  </si>
  <si>
    <t>Study of JANX014 in Subjects With Metastatic Castration-Resistant Prostate Cancer</t>
  </si>
  <si>
    <t>NCT07284758</t>
  </si>
  <si>
    <t>A Study to Evaluate the Efficacy of Cemsidomide + Dexamethasone in Participants With Relapsed/Refractory Multiple Myeloma</t>
  </si>
  <si>
    <t>NCT07232121</t>
  </si>
  <si>
    <t>A Study to Evaluate the Safety of Increasing Doses of DF5112 in Healthy Adults</t>
  </si>
  <si>
    <t>NCT07032649</t>
  </si>
  <si>
    <t>Evaluating Benzoyl Peroxide for Preventing Recurrence of HSV-1 Outbreaks With Rescue Crossover Option</t>
  </si>
  <si>
    <t>Greg Bew</t>
  </si>
  <si>
    <t>NCT07549698</t>
  </si>
  <si>
    <t>Safety and Preliminary Efficacy of CTX112 in Adult Participants With Relapsed/Refractory Hematologic Autoimmune Disease</t>
  </si>
  <si>
    <t>NCT07619898</t>
  </si>
  <si>
    <t>PHOENIX-ECP- Extracorporeal Photopheresis for Immune-related Colitis and/or Hepatitis in Advanced Melanoma With Inadequate Response to Steroid Exposure</t>
  </si>
  <si>
    <t>NCT07616206</t>
  </si>
  <si>
    <t>Cadisegliatin as Adjunctive Therapy to Insulin in Participants With Type 1 Diabetes Who Are Using Hybrid Closed Loop (HCL) Systems</t>
  </si>
  <si>
    <t>NCT07418749</t>
  </si>
  <si>
    <t>A Study of SHR-A2102 Versus Investigator's Choice of Chemotherapy in Patients With Platinum-based Chemotherapy and PD-(L)1 Inhibitor Treatment Failed Recurrent or Metastatic Cervical Cancer</t>
  </si>
  <si>
    <t>NCT07675785</t>
  </si>
  <si>
    <t>PfSPZ-LARC2 Vaccine in Women of Child-bearing Potential (WOCBP) in Mali</t>
  </si>
  <si>
    <t>NCT07429838</t>
  </si>
  <si>
    <t>EGEN-5784 Porcine Liver With the Metra® ELC Device</t>
  </si>
  <si>
    <t>eGenesis, INC</t>
  </si>
  <si>
    <t>NCT07343778</t>
  </si>
  <si>
    <t>A Clinical Trial Evaluating the Safety of Hydronidone Capsules in Patients With Hepatic Fibrosis and Liver Cirrhosis</t>
  </si>
  <si>
    <t>NCT07483489</t>
  </si>
  <si>
    <t>A Phase 2 Study of HW091077 in Participants With Refractory Chronic Cough Or Unexplained Chronic Cough (RCC/UCC).</t>
  </si>
  <si>
    <t>NCT07543276</t>
  </si>
  <si>
    <t>Pharmacokinetic (PK) Evaluation of Nalmefene Formulations</t>
  </si>
  <si>
    <t>NCT07634874</t>
  </si>
  <si>
    <t>A Study to Evaluate the Effect of Food on the Pharmacokinetic Characteristics and Safety Profile of KH607 in Healthy Chinese Participants</t>
  </si>
  <si>
    <t>NCT07590934</t>
  </si>
  <si>
    <t>Phase Ib/II Platform Study of Multiple Anti-Cancer Agents in Participants With Metastatic Prostate Cancer</t>
  </si>
  <si>
    <t>NCT07690826</t>
  </si>
  <si>
    <t>A Study to Evaluate the Efficacy and Safety of HRS-4729 Injection in Obesity</t>
  </si>
  <si>
    <t>NCT07575932</t>
  </si>
  <si>
    <t>A Study of PF-08653945 and PF-08653944 in Adults With Overweight or Obesity (SOLIS-1)</t>
  </si>
  <si>
    <t>NCT07567521</t>
  </si>
  <si>
    <t>A Study of TRC003 in the Treatment of Patients With Progressive PSMA-positive mCRPC</t>
  </si>
  <si>
    <t>C Ray Therapeutics</t>
  </si>
  <si>
    <t>NCT07668804</t>
  </si>
  <si>
    <t>A Study to Evaluate the Safety and Effect of TO-O-1007 Intravitreal Implant in Subjects With Geographic Atrophy</t>
  </si>
  <si>
    <t>NCT06964087</t>
  </si>
  <si>
    <t>Pharmacokinetic and Early Efficacy of OPT101 in Patients With Type 1 Diabetes Mellitus</t>
  </si>
  <si>
    <t>NCT07570147</t>
  </si>
  <si>
    <t>A Study to Evaluate the Pharmacokinetics, Safety, and Tolerability of Single Ascending Doses of ABBV-1451 Infusions and Injections in Healthy Adult Participants</t>
  </si>
  <si>
    <t>NCT07518043</t>
  </si>
  <si>
    <t>A Study of HLX18 vs. OPDIVO® in Multiple Resected Solid Tumors</t>
  </si>
  <si>
    <t>NCT07396155</t>
  </si>
  <si>
    <t>Safety and Efficacy of Allogeneic Umbilical Cord Mesenchymal Stem Cell Therapy in Diabetic Nephropathy Patients: A Clinical Trial</t>
  </si>
  <si>
    <t>NCT07598955</t>
  </si>
  <si>
    <t>Target-Selected CAR-NK Cells (CD30, CD5, or Mesothelin) for Relapsed/Refractory B2 Thymoma or Thymic Carcinoma</t>
  </si>
  <si>
    <t>NCT07208149</t>
  </si>
  <si>
    <t>A Study of MR001 in Patients With Locally Recurrent or Metastatic Advanced Triple-Negative Breast Cancer (TNBC)</t>
  </si>
  <si>
    <t>NCT07651878</t>
  </si>
  <si>
    <t>Phase I Trial of Vididencel in CML-CP Patients With MRD Under TKI Treatment</t>
  </si>
  <si>
    <t>Mendus</t>
  </si>
  <si>
    <t>NCT07683000</t>
  </si>
  <si>
    <t>Study of Lenacapavir, Teropavimab, and Zinlirvimab in Virologically Suppressed Adults With HIV-1 on Stable Oral Treatment Regimens</t>
  </si>
  <si>
    <t>NCT07269665</t>
  </si>
  <si>
    <t>First-in-Human, Dose Escalation Trial of AXV-101 in BBS1-Related Retinal Degeneration</t>
  </si>
  <si>
    <t>Axovia Therapeutics</t>
  </si>
  <si>
    <t>NCT07475000</t>
  </si>
  <si>
    <t>Second Dose of Varicella Vaccine in Healthy Children</t>
  </si>
  <si>
    <t>NCT07456839</t>
  </si>
  <si>
    <t>A Mutiple-dose Study of IBI3033 in Healthy Participants</t>
  </si>
  <si>
    <t>NCT07282457</t>
  </si>
  <si>
    <t>Prospective, Randomized, Sham-controlled, Dose-finding I/II Trial of Safety and Efficacy of Modified Optogenetic Gene Therapy (ZM-02 Injection)</t>
  </si>
  <si>
    <t>NCT07257939</t>
  </si>
  <si>
    <t>NTI164 in Autism Spectrum Disorder</t>
  </si>
  <si>
    <t>NCT07476157</t>
  </si>
  <si>
    <t>A Study to Evaluate the Safety and Pharmacokinetics of AD-118 and AD-1181 in Healthy Adult Subjects</t>
  </si>
  <si>
    <t>NCT07279428</t>
  </si>
  <si>
    <t>A Study of BL-M24D1 in Patients With Locally Advanced or Metastatic Gastrointestinal Tumors and Other Solid Tumors</t>
  </si>
  <si>
    <t>NCT07585266</t>
  </si>
  <si>
    <t>A Study to Investigate Velzatinib Compared With Imatinib in Adult Participants With Previously Untreated Metastatic and/or Unresectable Gastrointestinal Stromal Tumors (StrateGIST Frontline)</t>
  </si>
  <si>
    <t>NCT07524855</t>
  </si>
  <si>
    <t>A Study of HLD-0117 in Patients With Metastatic Breast Cancer</t>
  </si>
  <si>
    <t>NCT07575906</t>
  </si>
  <si>
    <t>A Study to Learn How a Single Dose of the Study Medicine Called PF-08057418 is Tolerated in the Body of Healthy Adults.</t>
  </si>
  <si>
    <t>NCT07093333</t>
  </si>
  <si>
    <t>A Study in Participants With Anti-NMDAR Encephalitis and Anti-NMDAR Autoantibody-Associated Psychiatric Disease</t>
  </si>
  <si>
    <t>Arialys Australia Pty Ltd</t>
  </si>
  <si>
    <t>NCT07587658</t>
  </si>
  <si>
    <t>This After Market Study is Seeing if Dupilumab Plus Usual Standard of Care (SOC) is Better Than Usual Care Alone for Adult Participants After a Severe Chronic Obstructive Pulmonary Disease (COPD) Flare-Up Requiring Hospitalization</t>
  </si>
  <si>
    <t>NCT07583771</t>
  </si>
  <si>
    <t>A Phase Ⅰ Study of CS08399 in Participants With MTAP-deleted Solid Tumors and Lymphoma</t>
  </si>
  <si>
    <t>NCT07467863</t>
  </si>
  <si>
    <t>Dual-Target CAR-NK Cells Directed Against MSLN, EGFR, or HER2 in Advanced NSCLC</t>
  </si>
  <si>
    <t>NCT07670884</t>
  </si>
  <si>
    <t>A Clinical Study to Evaluate the Efficacy and Safety of HRS9531 Tablets in Overweight or Obese Subjects</t>
  </si>
  <si>
    <t>NCT07404033</t>
  </si>
  <si>
    <t>ZYG24002 Lotion to Evaluate the Safety, Tolerability, Pharmacokinetics and Preliminary Efficacy in Adult Patients With Mild to Moderate Seborrheic Dermatitis</t>
  </si>
  <si>
    <t>NCT07408089</t>
  </si>
  <si>
    <t>Study of the Kinesin Oral Molecular Degrader BBI-940 in Subjects With Advanced or Metastatic Breast Cancer</t>
  </si>
  <si>
    <t>NCT07491289</t>
  </si>
  <si>
    <t>GS1-144 in Participants With Hepatic Impairment and Healthy Female</t>
  </si>
  <si>
    <t>NCT07669415</t>
  </si>
  <si>
    <t>A Study of LM-168 Combined With Other Anti-tumor Treatments in Participants With Advanced Solid Tumors</t>
  </si>
  <si>
    <t>NCT07349589</t>
  </si>
  <si>
    <t>Evaluate the Safety, Tolerability and Pharmacokinetics of DW5524 in Healthy Adult Volunteers</t>
  </si>
  <si>
    <t>NCT07466550</t>
  </si>
  <si>
    <t>A Study to Assess How Intravenous and Subcutaneous Administrations of Risankizumab Moves Through the Body of Healthy Adult Participants</t>
  </si>
  <si>
    <t>NCT07444476</t>
  </si>
  <si>
    <t>A Study to Learn About Salanersen's (BIIB115) Effects on Movement and Its Safety in Participants Aged 15 to 60 Years With Spinal Muscular Atrophy (SMA) Who Are Either New to SMA Treatment or Were Previously Treated With Risdiplam</t>
  </si>
  <si>
    <t>NCT07450378</t>
  </si>
  <si>
    <t>QLC7401 in Participants With Heterozygous Familial Hypercholesterolemia (HeFH)</t>
  </si>
  <si>
    <t>NCT07443826</t>
  </si>
  <si>
    <t>CALM-AF-AI: Counteracting Age-related Loss of Muscle With AAV-Follistatin Combined With Angiogenesis-Inducing VEGF Plasmid Gene Therapy</t>
  </si>
  <si>
    <t>Unlimited Biotechnology LLC</t>
  </si>
  <si>
    <t>NCT07685210</t>
  </si>
  <si>
    <t>GenSci144 Tablets Phase I Clinical Trial</t>
  </si>
  <si>
    <t>NCT07318818</t>
  </si>
  <si>
    <t>A Clinical Trial of P134 Cells in Recurrent Glioblastoma</t>
  </si>
  <si>
    <t>NCT07688213</t>
  </si>
  <si>
    <t>A Study to Investigate the Safety and Effectiveness of SAR448851 in Participants With Early Alzheimer's Disease</t>
  </si>
  <si>
    <t>NCT07622368</t>
  </si>
  <si>
    <t>A Study of IBI3031 in Participants With Thyroid Eye Disease</t>
  </si>
  <si>
    <t>NCT07356713</t>
  </si>
  <si>
    <t>A Study to Find a Suitable Dose of Exl-111 for Further Research</t>
  </si>
  <si>
    <t>Excellergy Inc.</t>
  </si>
  <si>
    <t>NCT07539090</t>
  </si>
  <si>
    <t>Evaluate the Effect of Vimseltinib on Pharmacokinetics of Combined Oral Contraceptive (Ethinyl Estradiol/Levonorgestrel)</t>
  </si>
  <si>
    <t>NCT07184944</t>
  </si>
  <si>
    <t>A Maintenance Study to Investigate the Efficacy and Safety of Duvakitug in Participants With Moderately to Severely Active Crohn's Disease</t>
  </si>
  <si>
    <t>NCT07399132</t>
  </si>
  <si>
    <t>A Study of APL-10456-Vaccine</t>
  </si>
  <si>
    <t>NCT07562087</t>
  </si>
  <si>
    <t>A Study to Evaluate Safety and Efficacy of TP-05 in Healthy Participants With Tick Exposure</t>
  </si>
  <si>
    <t>NCT06654193</t>
  </si>
  <si>
    <t>Allogeneic HB-adMSCs vs Placebo for the Treatment of Acute Kidney Injury</t>
  </si>
  <si>
    <t>NCT07543471</t>
  </si>
  <si>
    <t>A Phase I Multicentre Randomized Double-Blind Parallel-Controlled Study of HLX05-N vs. ERBITUX® in Metastatic Colorectal Cancer</t>
  </si>
  <si>
    <t>NCT07697339</t>
  </si>
  <si>
    <t>HDM2005 Combination Therapy in Relapsed/Refractory Mantle Cell Lymphoma</t>
  </si>
  <si>
    <t>NCT07528053</t>
  </si>
  <si>
    <t>A Phase 1 Clinical Study of BW-20805-2-1001 in Healthy Participants</t>
  </si>
  <si>
    <t>NCT07470177</t>
  </si>
  <si>
    <t>A Study to Investigate the Effects of JMKX003142 on QTc Interval in Healthy Adults</t>
  </si>
  <si>
    <t>NCT07431177</t>
  </si>
  <si>
    <t>A Phase IIb Dose-ranging Study to Assess the Efficacy and Safety of GIA632 in Participants With Non-segmental Vitiligo</t>
  </si>
  <si>
    <t>NCT07363837</t>
  </si>
  <si>
    <t>Phase Ib/IIa Clinical Trial of SIBP-A16 Injection in Premature Infants and Full-term Infants</t>
  </si>
  <si>
    <t>NCT07682337</t>
  </si>
  <si>
    <t>Study of Single and Multiple Oral Doses of SCB0020160 in Healthy Adult Male Subjects</t>
  </si>
  <si>
    <t>SCBIO Inc.</t>
  </si>
  <si>
    <t>NCT07413666</t>
  </si>
  <si>
    <t>A Study of ORX489 in Healthy Adult Participants, Aged 18 to 60 Years</t>
  </si>
  <si>
    <t>NCT07545356</t>
  </si>
  <si>
    <t>A Study of KIVU-305 in Participants With Locally Advanced or Metastatic Solid Tumors</t>
  </si>
  <si>
    <t>NCT07371429</t>
  </si>
  <si>
    <t>A Study in Pediatric Participants Aged ≥2 to &lt;12 Years With a Suspected or Confirmed Bacterial Infection or Receiving Prophylaxis Antibiotics</t>
  </si>
  <si>
    <t>NCT07412288</t>
  </si>
  <si>
    <t>First-in-human Study of Orally Administered KT-579 in Healthy Adult Participants</t>
  </si>
  <si>
    <t>NCT07580586</t>
  </si>
  <si>
    <t>A Single Centre, Open-label, 2-period Fixed-sequence, Phase I Clinical Study to Evaluate the Effect of BV100 on the Pharmacokinetics of Polymyxin B in Healthy Volunteers</t>
  </si>
  <si>
    <t>NCT07554924</t>
  </si>
  <si>
    <t>A Phase I/II Clinical Study to Evaluate SKG0201 Injection in Subjects With Spinal Muscular Atrophy Type I</t>
  </si>
  <si>
    <t>Lanyue Biotech (Hangzhou) Co., Ltd.</t>
  </si>
  <si>
    <t>NCT07226427</t>
  </si>
  <si>
    <t>A First-in-Human Study of MEN2501 in Participants With Platinum-Resistant Ovarian Cancer</t>
  </si>
  <si>
    <t>NCT07521241</t>
  </si>
  <si>
    <t>A Clinical Trial to Evaluate the Pharmacokinetics and Safety of AD-230 in Healthy Adults</t>
  </si>
  <si>
    <t>NCT07505888</t>
  </si>
  <si>
    <t>Phase Ⅲ Trial of Group ACYW135 Meningococcal Conjugate Vaccine in Children Aged 2-6 Years</t>
  </si>
  <si>
    <t>NCT07553442</t>
  </si>
  <si>
    <t>A Study to Evaluate ALN-AGT01 RVR in Adult Patients With Mild to Moderate Hypertension Pretreated With Zilebesiran</t>
  </si>
  <si>
    <t>NCT07542886</t>
  </si>
  <si>
    <t>A Study to Learn How Different Injector Pens Affect the Study Medicine Called Genotropin (Somatropin) Delivery and Taken up Into the Blood in Healthy Adults</t>
  </si>
  <si>
    <t>NCT07266441</t>
  </si>
  <si>
    <t>A Study of JNJ-79635322 in Participants With Relapsed or Refractory Multiple Myeloma</t>
  </si>
  <si>
    <t>NCT07492706</t>
  </si>
  <si>
    <t>Safety, Tolerability and Immunogenicity of a Maternal Respiratory Syncytial Virus (RSV) Vaccine (MKK900) in Healthy Adult Women</t>
  </si>
  <si>
    <t>NCT07622433</t>
  </si>
  <si>
    <t>A Phase I, Cross-over Study Comparing the Relative Bioavailability of Laroprovstat Plus Ezetimibe Fixed Combination Drug Products Versus Their Single Therapy Products in Healthy Adults</t>
  </si>
  <si>
    <t>NCT07601087</t>
  </si>
  <si>
    <t>A Clinical Study of HRS-7156 in Healthy Participants</t>
  </si>
  <si>
    <t>NCT07570316</t>
  </si>
  <si>
    <t>A Study to Assess Efficacy and Safety of Efgartigimod PH20 SC PFS in Adult Participants With Graves' Disease</t>
  </si>
  <si>
    <t>NCT07551804</t>
  </si>
  <si>
    <t>Safety, Pharmacokinetic (PK) Profile and Efficacy of Inpegsomatropin Injection in Adults With Growth Hormone Deficiency</t>
  </si>
  <si>
    <t>NCT07282847</t>
  </si>
  <si>
    <t>A Study to Evaluate Safety, Tolerability, and Efficacy of AB-1009 Gene Therapy (GAA Gene) in Adult Participants With Late-Onset Pompe Disease (PROGRESS-GT LOPD)</t>
  </si>
  <si>
    <t>NCT07628933</t>
  </si>
  <si>
    <t>A Phase I Trial of Umbilical Cord Mesenchymal Stromal Cells for Acute Ischemic Stroke</t>
  </si>
  <si>
    <t>BOE Technology Group Co., Ltd.</t>
  </si>
  <si>
    <t>NCT07361510</t>
  </si>
  <si>
    <t>A Study to Evaluate the Efficacy of Pumitamig Versus Pembrolizumab in Participants With Previously Untreated Advanced Non-Small Cell Lung Cancer and PD-L1 ≥ 50%. (ROSETTA Lung-202)</t>
  </si>
  <si>
    <t>NCT07437560</t>
  </si>
  <si>
    <t>Melanotan II (MT-II) as an Adjunct to NB-UVB Phototherapy for Repigmentation in Stable Nonsegmental Vitiligo</t>
  </si>
  <si>
    <t>NCT07181382</t>
  </si>
  <si>
    <t>Efficacy and Safety of Seralutinib in Adult Subjects With Pulmonary Hypertension Associated With Interstitial Lung Disease (PH-ILD)</t>
  </si>
  <si>
    <t>NCT07540910</t>
  </si>
  <si>
    <t>A Study to Investigate the Safety, Tolerability, Pharmacokinetics, and Pharmacodynamics of Single and Multiple Doses of EDP-978 in Healthy Adults</t>
  </si>
  <si>
    <t>NCT07047690</t>
  </si>
  <si>
    <t>A Study of Nemolizumab for the Treatment of Adults With Systemic Sclerosis</t>
  </si>
  <si>
    <t>NCT07421375</t>
  </si>
  <si>
    <t>A Study to Evaluate the Pharmacokinetics and the Safety After Administration of BR1015-A and Co-administration of BR1015-1 and BR1015-2 Under Fasting Conditions</t>
  </si>
  <si>
    <t>NCT07734649</t>
  </si>
  <si>
    <t>Phase 1/2 Study of Respiratory Syncytial Virus and Human Metapneumovirus (RSV+HMPV) Vaccine Candidate in Adults 60 Years of Age and Older</t>
  </si>
  <si>
    <t>NCT07584057</t>
  </si>
  <si>
    <t>An Phase I/IIa Clinical Study to Evaluate the Safety/Tolerability, Pharmacokinetics and Preliminary Efficacy of INB301 Injection in Patients With Cancer Cachexia</t>
  </si>
  <si>
    <t>Yunnan Baiyao Group Co., Ltd.</t>
  </si>
  <si>
    <t>NCT07349212</t>
  </si>
  <si>
    <t>UKK-0018 as an Immunotherapeutic for Treatment of Peanut Allergies</t>
  </si>
  <si>
    <t>Ukko Inc</t>
  </si>
  <si>
    <t>NCT07445919</t>
  </si>
  <si>
    <t>A Clinical Study to Evaluate SM17 for Atopic Dermatitis</t>
  </si>
  <si>
    <t>NCT07361367</t>
  </si>
  <si>
    <t>A Phase 1 Study of a Tablet Form of ABBV-722 Taken With and Without Food in Healthy Adult Participants</t>
  </si>
  <si>
    <t>NCT07420257</t>
  </si>
  <si>
    <t>A Randomized, Double-blind, Placebo-controlled Phase III Study to Evaluate the Efficacy and Safety of CM326 in Participants With Chronic Rhinosinusitis With Nasal Polyposis</t>
  </si>
  <si>
    <t>NCT07285148</t>
  </si>
  <si>
    <t>A Study to Evaluate ANS014004 in Combination With EGFR-TKI in Non-Small Cell Lung Cancer</t>
  </si>
  <si>
    <t>NCT06974084</t>
  </si>
  <si>
    <t>A Multi-Center, Individually-Randomized, Double-Blind, Placebo-Controlled, Parallel-Group, Superiority Trial to Evaluate the Efficacy of the Combination of Maraviroc and Atorvastatin for the Treatment of Subjects With Long COVID</t>
  </si>
  <si>
    <t>HealthBio, Inc.</t>
  </si>
  <si>
    <t>NCT07604766</t>
  </si>
  <si>
    <t>An Extension Study to Assess the Efficacy of Rina-S Compared to Treatment of Investigator's Choice in Participants With Platinum Resistant Ovarian Cancer in China</t>
  </si>
  <si>
    <t>NCT07328529</t>
  </si>
  <si>
    <t>Inhibition of Aggressive Behavior in Participants With Fragile X Syndrome</t>
  </si>
  <si>
    <t>Azevan Pharmaceuticals</t>
  </si>
  <si>
    <t>NCT07321951</t>
  </si>
  <si>
    <t>A Study of SHR-1819 in Patients With Moderate-to-severe Atopic Dermatitis</t>
  </si>
  <si>
    <t>NCT07312851</t>
  </si>
  <si>
    <t>A Study to Investigate Andexanet Dosing and the Interaction Between Andexanet and Subsequent Enoxaparin in Healthy Participants</t>
  </si>
  <si>
    <t>NCT07693751</t>
  </si>
  <si>
    <t>A Study Testing SOT109 for the First Time in Patients, to Assess How Safe SOT109 is, How Well it Works, and How the Body Handles it in Patients With Advanced Colorectal Cancer That Can Not be Removed by Surgery or is Metastatic</t>
  </si>
  <si>
    <t>NCT07435129</t>
  </si>
  <si>
    <t>Phase 2 Study Evaluating Apitegromab for the Treatment of FSHD</t>
  </si>
  <si>
    <t>NCT07516418</t>
  </si>
  <si>
    <t>Study of Different Formulations of Vaccines Encoding the RSV Monovalent Antigen or the Flu H5 Antigen in Participants 18 to 49 Years of Age</t>
  </si>
  <si>
    <t>NCT07444489</t>
  </si>
  <si>
    <t>A Study to Learn More About the Long-Term Safety and Effects of Felzartamab Infusions in Adults With Kidney Transplants Who Have Antibody-Mediated Rejection (AMR) or Microvascular Inflammation (MVI) (TRANSCEND/TRANSPIRE LTE)</t>
  </si>
  <si>
    <t>NCT07612657</t>
  </si>
  <si>
    <t>A Phase 3 Study of Extended-release Tacrolimus in Subjects With Pulmonary Arterial Hypertension and Functional Limitations</t>
  </si>
  <si>
    <t>NCT07545590</t>
  </si>
  <si>
    <t>A Study of Eltrekibart (LY3041658) in Healthy Participants</t>
  </si>
  <si>
    <t>NCT07315360</t>
  </si>
  <si>
    <t>A Study to Learn How the Body Processes the Study Medicine PF-07328948 in People With Reduced Kidney Function</t>
  </si>
  <si>
    <t>NCT07335913</t>
  </si>
  <si>
    <t>Phase 1 Study of SBS-147 in Healthy Adults</t>
  </si>
  <si>
    <t>NCT07340320</t>
  </si>
  <si>
    <t>A Study of CX11 Tablets in Patients With Type 2 Diabetes Mellitus</t>
  </si>
  <si>
    <t>NCT07357597</t>
  </si>
  <si>
    <t>An Open-label, Single-arm Study of Prophylaxis for Datopotamab Deruxtecan (Dato-DXd) -Related Stomatitis in Eligible Patients With Metastatic or Inoperable Locally Recurrent Breast Cancer or Locally Advanced or Metastatic Epidermal Growth Factor Receptor-Mutated Non-small Cell Lung Cancer.</t>
  </si>
  <si>
    <t>NCT07313774</t>
  </si>
  <si>
    <t>A Study Comparing the Effect and Safety of Linaprazan Glurate to Lansoprazole in Maintenance of Healing in Participants With Healed Erosive Esophagitis (EE) Due to Gastroesophageal Reflux Disease (GERD)</t>
  </si>
  <si>
    <t>NCT07282210</t>
  </si>
  <si>
    <t>Efficacy and Safety of SIL-8301 for Control of Hemolysis in a Uniform Sickle Cell Disease Endotype</t>
  </si>
  <si>
    <t>Biossil Inc.</t>
  </si>
  <si>
    <t>NCT07675226</t>
  </si>
  <si>
    <t>Bioequivalence Study of SKI-O-703 in Healthy Adults Under Fed Conditions</t>
  </si>
  <si>
    <t>NCT07444385</t>
  </si>
  <si>
    <t>A Study to Evaluate the Safety and Pharmacokinetics of AD-116 and AD-1161 in Healthy Adult Male Subjects</t>
  </si>
  <si>
    <t>NCT07424287</t>
  </si>
  <si>
    <t>A Study of Intravesical SHR-1501 Combination With BCG Versus Investigator-selected Chemotherapy in Subjects With BCG-unresponsive NMIBC</t>
  </si>
  <si>
    <t>NCT07390552</t>
  </si>
  <si>
    <t>A Study of PLH-2301 in Subjects With Sarcopenia</t>
  </si>
  <si>
    <t>Pluto Inc.</t>
  </si>
  <si>
    <t>NCT07487740</t>
  </si>
  <si>
    <t>A Food Effect Study to Evaluate the Relative Bioavailability of Nalbuphine Extended-Release Tablets (NAL ER) in Healthy Participants</t>
  </si>
  <si>
    <t>NCT07690397</t>
  </si>
  <si>
    <t>Dorzolamide/Brimonidine/Timolol Impact on Ocular Surface, Glaucoma Progression &amp; Chatbot Follow-up: GLAUCO-TECH</t>
  </si>
  <si>
    <t>NCT07640269</t>
  </si>
  <si>
    <t>Single Ascending Dose Study of ATH-097 in Healthy Participants</t>
  </si>
  <si>
    <t>Atheron Therapeutics, Ltd.</t>
  </si>
  <si>
    <t>NCT07706530</t>
  </si>
  <si>
    <t>Oral CBP-0276 or Placebo in Adults With Active Psoriatic Arthritis (PsA)</t>
  </si>
  <si>
    <t>NCT07396909</t>
  </si>
  <si>
    <t>A First-in-Human Single and Multiple Ascending Dose Study of MT-701</t>
  </si>
  <si>
    <t>NCT06915233</t>
  </si>
  <si>
    <t>A Study of MACI in Patients Aged 17 to 65 Years With Symptomatic Chondral or Osteochondral Defects of the Ankle</t>
  </si>
  <si>
    <t>Vericel Corporation</t>
  </si>
  <si>
    <t>NCT07432633</t>
  </si>
  <si>
    <t>[18F]FPyQCP PET Imaging of Fibroblast Activation Protein in Selected Oncology Indications</t>
  </si>
  <si>
    <t>NCT07392892</t>
  </si>
  <si>
    <t>Symbiotic-GI-16: A Study to Learn About the Study Medicine Called PF-08634404 in Combination With Chemotherapy in Gastroesophageal Cancer</t>
  </si>
  <si>
    <t>NCT07481630</t>
  </si>
  <si>
    <t>A Research Study Investigating How Well the Medicine NNC0487-0111 Helps People With Excess Body Weight and Knee Osteoarthritis Lose Weight and Reduce Pain</t>
  </si>
  <si>
    <t>NCT07746544</t>
  </si>
  <si>
    <t>Study of Secutrelvir in Participants With COVID-19</t>
  </si>
  <si>
    <t>NCT07660614</t>
  </si>
  <si>
    <t>A Study of LTX-002 in Adult Participants With Amyotrophic Lateral Sclerosis</t>
  </si>
  <si>
    <t>Leal Therapeutics, Inc</t>
  </si>
  <si>
    <t>NCT07408258</t>
  </si>
  <si>
    <t>Safety, Pharmacokinetics (PK), and Efficacy of ONC-783 in Advanced Solid Tumors</t>
  </si>
  <si>
    <t>NCT07407504</t>
  </si>
  <si>
    <t>GenSci145 as Monotherapy or in Combination Therapy, in Participants With PIK3CA-mutated, Locally Advanced or Metastatic Solid Tumors.</t>
  </si>
  <si>
    <t>NCT07365358</t>
  </si>
  <si>
    <t>Evaluate the Efficacy and Safety of Empagliflozin or Glimepiride Combination Therapy in Type 2 Diabetes Mellitus Patients</t>
  </si>
  <si>
    <t>NCT07607964</t>
  </si>
  <si>
    <t>A Study to Assess Adverse Events, How the Drug Moves Through the Body and Effectiveness of Intravenous Infusions and Subcutaneous Injections of ABBV-519 in Adult Participants With Systemic Lupus Erythematosus (SLE) or Rheumatoid Arthritis (RA)</t>
  </si>
  <si>
    <t>NCT07322887</t>
  </si>
  <si>
    <t>A Phase 2 Study to Assess the Effects of SUL-238 on High Energy Phosphates With ³¹P-MRS in Patients With Early, Untreated Parkinson's Disease</t>
  </si>
  <si>
    <t>NCT07290244</t>
  </si>
  <si>
    <t>Evaluating ER-100 for Safety in People With Glaucoma or Non-Arteritic Anterior Ischemic Optic Neuropathy (Optic Nerve Conditions)</t>
  </si>
  <si>
    <t>Life Biosciences Inc.</t>
  </si>
  <si>
    <t>NCT07308132</t>
  </si>
  <si>
    <t>A Study of JNJ-95566692 in Participants With Non-Hodgkin Lymphoid Malignancies</t>
  </si>
  <si>
    <t>NCT07673458</t>
  </si>
  <si>
    <t>An Early-stage Clinical Trial to Evaluate the Safety, Absorption, and Disposition of YR001 Ointment Following Topical Application on the Skin of Healthy Chinese Subjects</t>
  </si>
  <si>
    <t>NCT07537881</t>
  </si>
  <si>
    <t>A I/II Phase Clinical Study to Evaluate the Safety and Efficacy of RC288 in the Treatment of Solid Tumors</t>
  </si>
  <si>
    <t>NCT07428616</t>
  </si>
  <si>
    <t>A Study of Zanzalintinib in Participants With Recurrent or Progressive Meningioma</t>
  </si>
  <si>
    <t>NCT07407933</t>
  </si>
  <si>
    <t>A Study of YL201 in Combination With Other Anti-Cancer Therapies in Patients With Advanced Solid Tumors</t>
  </si>
  <si>
    <t>NCT07089121</t>
  </si>
  <si>
    <t>Descartes-08 for Children, Adolescents, and Young Adults With Autoimmune Disorders</t>
  </si>
  <si>
    <t>NCT07437547</t>
  </si>
  <si>
    <t>BPC 157 for Acute Hamstring Muscle Strain Repair</t>
  </si>
  <si>
    <t>NCT07368608</t>
  </si>
  <si>
    <t>A Study of BEBT-701 in Patients With Mild to Moderate Hypertension and Elevated Low-Density Lipoprotein Cholesterol（LDL-C）</t>
  </si>
  <si>
    <t>NCT07628049</t>
  </si>
  <si>
    <t>A Study of Investigational RSV/hMPV Combination and Investigational hMPV Vaccines in Younger and Older Adults</t>
  </si>
  <si>
    <t>NCT07096778</t>
  </si>
  <si>
    <t>Inobrodib, Pomalidomide and Dexamethasone in Relapsed or Refractory Multiple Myeloma</t>
  </si>
  <si>
    <t>CellCentric Ltd.</t>
  </si>
  <si>
    <t>NCT07421778</t>
  </si>
  <si>
    <t>A Multiple Ascending Dose Study Evaluating the Safety and Tolerability of a Novel Formulation of QRL-101 in Healthy Participants</t>
  </si>
  <si>
    <t>NCT07416526</t>
  </si>
  <si>
    <t>A Clinical Study to Evaluate the Effects of NXT007 Compared to Factor VIII Prophylaxis in Participants With Hemophilia A</t>
  </si>
  <si>
    <t>NCT06696755</t>
  </si>
  <si>
    <t>A Study to Assess Adverse Events and Change in Disease Activity of Oral Icalcaprant in Adult Participants With Bipolar I or II Disorder</t>
  </si>
  <si>
    <t>NCT07500090</t>
  </si>
  <si>
    <t>A Phase 3 Efficacy and Safety Study of HBS-301 in Participants With Idiopathic Hypersomnia (IH)</t>
  </si>
  <si>
    <t>NCT07621809</t>
  </si>
  <si>
    <t>Two Arm, Double-blind, Phase III Study Assessing Efficacy and Safety of Ianalumab Versus Placebo, in Participants With Sjögren's Disease With High Symptom Burden</t>
  </si>
  <si>
    <t>NCT07546487</t>
  </si>
  <si>
    <t>A Study of MG-K10 in Chronic Spontaneous Urticaria</t>
  </si>
  <si>
    <t>NCT07224425</t>
  </si>
  <si>
    <t>A Study of BI 3810944 in Patients With Advanced Cancer</t>
  </si>
  <si>
    <t>NCT07591090</t>
  </si>
  <si>
    <t>A Phase II Study of AK146D1 Combined With AK112 in Advanced Breast Cancer</t>
  </si>
  <si>
    <t>NCT07339735</t>
  </si>
  <si>
    <t>A Study of LY4064809 in Healthy Adult Participants</t>
  </si>
  <si>
    <t>NCT07704658</t>
  </si>
  <si>
    <t>Pralsetinib DDI Study in Patients With Advanced or Metastatic Solid Tumors</t>
  </si>
  <si>
    <t>NCT07595549</t>
  </si>
  <si>
    <t>A Study to Learn About the Study Medicine Called Berobenatide (PF-08653944) in People With Overweight or Obesity</t>
  </si>
  <si>
    <t>NCT07084584</t>
  </si>
  <si>
    <t>ENLIGHT-AML - An Open-label, Study of GB3226 in Patients With Relapsed/Refractory Acute Myeloid Leukemia</t>
  </si>
  <si>
    <t>NCT07434752</t>
  </si>
  <si>
    <t>A Study to See if an Energy Drink With Caffeine and Green Tea Increases Fat Burning When Exercising</t>
  </si>
  <si>
    <t>NCT07465835</t>
  </si>
  <si>
    <t>A Study of ELA026 in Participants With Relapsed/Refractory (R/R) T/NK Cell Malignancies (TCMs)</t>
  </si>
  <si>
    <t>NCT07542808</t>
  </si>
  <si>
    <t>An Open-Label, Double-Treatment Group Study to Evaluate the Efficacy and Safety of Human Allogeneic Bone-Marrow- Derived Mesenchymal Stromal Cell Product StromaForte Compared With Hyaluronic Acid for the Treatment of Knee Osteoarthritis</t>
  </si>
  <si>
    <t>NCT07499440</t>
  </si>
  <si>
    <t>Safety and Efficacy of HB-1 for Post-Traumatic Stress Disorder</t>
  </si>
  <si>
    <t>NCT07227298</t>
  </si>
  <si>
    <t>Symbiotic-Lung-20: A Study to Learn About the Study Medicine Called PF-08634404 in Combination With Different Anticancer Agents in Advanced Cancers</t>
  </si>
  <si>
    <t>NCT07224321</t>
  </si>
  <si>
    <t>INHALE-1st: Afrezza® For Youth With Newly-Diagnosed Type 1 Diabetes</t>
  </si>
  <si>
    <t>NCT07545226</t>
  </si>
  <si>
    <t>Comparing the Extent to Which Two Evolocumab Drug Products Are Made Available in the Body After a Single Subcutaneous Dose.</t>
  </si>
  <si>
    <t>NCT07653685</t>
  </si>
  <si>
    <t>A Clinical Study of TQB2930 Injection and Chemotherapy With or Without Bevacizumab in the Treatment of Advanced Colorectal Cancer</t>
  </si>
  <si>
    <t>NCT07227415</t>
  </si>
  <si>
    <t>Symbiotic-GU-08: A Study to Learn About the Medicine Called PF-08634404 Dosed Alone and in Combination With Other Anticancer Therapies in Adults With Locally Advanced or Metastatic Renal Cell Cancer</t>
  </si>
  <si>
    <t>NCT07280013</t>
  </si>
  <si>
    <t>A Study to Learn About the Effects of Cemsidomide in Combination With Elranatamab in Relapsed/Refractory Multiple Myeloma Subjects</t>
  </si>
  <si>
    <t>NCT07749703</t>
  </si>
  <si>
    <t>A Phase I Study of SIM0532 in Adult Participants With Advanced Solid Tumors</t>
  </si>
  <si>
    <t>NCT07594769</t>
  </si>
  <si>
    <t>A Study to Compare the Blood Levels of Two Dosage Formulations of the Study Medicine in Healthy Adults</t>
  </si>
  <si>
    <t>NCT07437105</t>
  </si>
  <si>
    <t>Dose Escalation Study Evaluating the Safety and Pharmacokinetics of VX-272 in Healthy Participants</t>
  </si>
  <si>
    <t>NCT07452224</t>
  </si>
  <si>
    <t>ILKN421H Plus Pembrolizumab in Advanced Non-Small Cell Lung Cancer</t>
  </si>
  <si>
    <t>iLeukon Therapeutics, Inc.</t>
  </si>
  <si>
    <t>NCT07364396</t>
  </si>
  <si>
    <t>Efficacy and Safety of CRC01 in Participants With Severe, Refractory Systemic Lupus Erythematosus</t>
  </si>
  <si>
    <t>NCT07696962</t>
  </si>
  <si>
    <t>Study of ChoironeX GalKO Porcine Thymokidney Xenotransplantation in End-Stage Renal Disease</t>
  </si>
  <si>
    <t>Xeno Holdings (US), LLC dba ChoironeX</t>
  </si>
  <si>
    <t>NCT07479641</t>
  </si>
  <si>
    <t>A Bioequivalence Study of Two Formulations of HRS-1893 Tablets in Healthy Participants</t>
  </si>
  <si>
    <t>NCT07674446</t>
  </si>
  <si>
    <t>Dimotec (Diosmin) 1000 mg Film Coated Tablet Fed Study</t>
  </si>
  <si>
    <t>Keri Pharma Hungary Kft</t>
  </si>
  <si>
    <t>NCT07652242</t>
  </si>
  <si>
    <t>Phase 1 Study of a Self-amplifying RNA Vaccine (ITI-5000) in Stage 2-3 Triple Negative Breast Cancer</t>
  </si>
  <si>
    <t>NCT07721402</t>
  </si>
  <si>
    <t>A Study to Learn About How Different Forms of Study Medicine Prifetrastat Are Taken Up Into the Blood in Healthy Adults</t>
  </si>
  <si>
    <t>NCT07521137</t>
  </si>
  <si>
    <t>Biweekly Long-term Occidiofungin Study for Suppression of Mycotic Recurrence</t>
  </si>
  <si>
    <t>Sano Chemicals Inc</t>
  </si>
  <si>
    <t>NCT07402369</t>
  </si>
  <si>
    <t>Phase II Study of CMS-D002 Capsule for Uterine Fibroids With Menorrhagia</t>
  </si>
  <si>
    <t>NCT06980480</t>
  </si>
  <si>
    <t>A Study of Gammagard Liquid (Immune Globulin Infusion, 10%) to Prevent Infections in Adults With Multiple Myeloma</t>
  </si>
  <si>
    <t>NCT07286370</t>
  </si>
  <si>
    <t>A Study to Evaluate Safety, Reactogenicity, and Immune Response of GVGH iNTS-TCV Vaccine Against Invasive Nontyphoidal Salmonella Disease and Typhoid Fever in Infants</t>
  </si>
  <si>
    <t>NCT07553494</t>
  </si>
  <si>
    <t>SLN12140 in Adult Participants With IgA Nephropathy in China</t>
  </si>
  <si>
    <t>NCT07470866</t>
  </si>
  <si>
    <t>A Study to Compare the Amount of Two Forms of Tafamidis in the Blood of Healthy Adults Under Fed Conditions</t>
  </si>
  <si>
    <t>NCT07586202</t>
  </si>
  <si>
    <t>A Study of Neoadjuvant Amivantamab With Either Lazertinib or Chemotherapy in Participants With Resectable EGFR-Mutated NSCLC</t>
  </si>
  <si>
    <t>NCT07609823</t>
  </si>
  <si>
    <t>A Study of Lacutoclax (LP-108) in Patients With Relapsed/Refractory CLL/SLL</t>
  </si>
  <si>
    <t>NCT07223892</t>
  </si>
  <si>
    <t>Efficacy of Carbonlife Amniotic Tissue Product in the Treatment of Chronic Wounds</t>
  </si>
  <si>
    <t>Bardia Anvar</t>
  </si>
  <si>
    <t>NCT07406334</t>
  </si>
  <si>
    <t>A Trial to Evaluate the Safety and Reactogenicity of an Investigational Pneumococcal Vaccine in Toddlers 12 to 15 Months of Age Receiving a Single Booster Dose</t>
  </si>
  <si>
    <t>NCT07409246</t>
  </si>
  <si>
    <t>A Study to Evaluate Adverse Events, Change in Disease Activity, Tolerability, and How Intravenous ABBV-438 Moves Through the Body in Adult Participants With Multiple Myeloma (MM)</t>
  </si>
  <si>
    <t>NCT07667803</t>
  </si>
  <si>
    <t>A Master Protocol to Investigate Efficacy and Safety of Elecoglipron in Participants With Obesity or Overweight With or Without T2DM</t>
  </si>
  <si>
    <t>NCT07705334</t>
  </si>
  <si>
    <t>A Study of SHY-ONC6, a Novel Proteasome Inhibitor, in Adults With Advanced or Metastatic Solid Tumors</t>
  </si>
  <si>
    <t>SHY Therapeutics</t>
  </si>
  <si>
    <t>NCT07286006</t>
  </si>
  <si>
    <t>A Long-Term Extension Study of IMVT-1402 in Adult Participants With Graves' Disease (GD)</t>
  </si>
  <si>
    <t>NCT07491900</t>
  </si>
  <si>
    <t>A Phase 1 Study of HB2198 in Participants With Moderately to Severely Active Systemic Lupus Erythematosus (SLE)</t>
  </si>
  <si>
    <t>NCT07755436</t>
  </si>
  <si>
    <t>Phase 1 Study to Assess Safety, Tolerability, Pharmacokinetics, Immunogenicity, and Antitumor Activity of ARR-002 in Advanced or Metastatic Ovarian or Endometrial Cancer.</t>
  </si>
  <si>
    <t>NCT07684898</t>
  </si>
  <si>
    <t>Study of Recombinant Human Coagulation Factor VIII-Fc Fusion Protein (FRSW107) as Prophylactic Treatment.</t>
  </si>
  <si>
    <t>NCT07445464</t>
  </si>
  <si>
    <t>An Open Label Pharmacokinetic Study of ASP-001 Formulations in Healthy Volunteers</t>
  </si>
  <si>
    <t>Aspartes Pharmaceuticals, Inc.</t>
  </si>
  <si>
    <t>NCT07637981</t>
  </si>
  <si>
    <t>First Clinical Study to Evaluate Safety, Tolerability &amp; PK of DX243 in Healthy Volunteers and Patients With Hearing Loss</t>
  </si>
  <si>
    <t>Dendrogenix</t>
  </si>
  <si>
    <t>NCT07594093</t>
  </si>
  <si>
    <t>Safety and Drug Concentrations of REGN20934 in Adults With Overweight or Obesity</t>
  </si>
  <si>
    <t>NCT07281404</t>
  </si>
  <si>
    <t>FIH Lead-in Study of YASO GEL Followed by a Phase 1 Randomized, Double-blind Study to Assess Safety and Pharmacokinetics of YASO GEL</t>
  </si>
  <si>
    <t>Yaso Therapeutics Corporation</t>
  </si>
  <si>
    <t>NCT07120984</t>
  </si>
  <si>
    <t>A Study to Evaluate the Safety and Efficacy of L19TNF With Alkylating Chemotherapy for Patients With Recurrent IDH-mutant Astrocytoma or Oligodendroglioma</t>
  </si>
  <si>
    <t>NCT07190833</t>
  </si>
  <si>
    <t>A Phase 1 Study of OTS-412 (Recombinant Oncolytic Vaccinia Virus) in Treatment-refractory Solid Tumor Patients (South Korea)</t>
  </si>
  <si>
    <t>NCT07723248</t>
  </si>
  <si>
    <t>A Study to Learn About the Investigational Drug Rinzimetostat (ORIC-944) in Patients With mCRPC Who Were Previously Treated With Abiraterone Acetate (Himalayas-1)</t>
  </si>
  <si>
    <t>NCT07532655</t>
  </si>
  <si>
    <t>A Single Ascending Dose Study of SYH2082 Injection in Healthy Participants</t>
  </si>
  <si>
    <t>NCT07408232</t>
  </si>
  <si>
    <t>A Phase 1/2 Study in Healthy Volunteers and Participants With Autosomal Dominant Retinitis Pigmentosa (RHO-adRP)</t>
  </si>
  <si>
    <t>Octant, Inc.</t>
  </si>
  <si>
    <t>NCT07564414</t>
  </si>
  <si>
    <t>A Research Study to Look at How Two Different Doses of CagriSema and One Dose of Semaglutide Help People Living With Obesity With or Without Type 2 Diabetes Lose Weight</t>
  </si>
  <si>
    <t>NCT07663838</t>
  </si>
  <si>
    <t>A Randomized, Multicenter, Open-label, Active-controlled Phase Ib Study to Evaluate the Safety, Tolerability, Pharmacokinetics, and Preliminary Efficacy of Multiple Intravaginal Doses of GenSci142 in Patients With Bacterial Vaginosis (BV)</t>
  </si>
  <si>
    <t>NCT07235163</t>
  </si>
  <si>
    <t>A Study to Learn How Different Amounts of the Study Medicine Called PF-08065010 Are Tolerated and Act in the Body of Healthy Adults</t>
  </si>
  <si>
    <t>NCT07618299</t>
  </si>
  <si>
    <t>Evaluation of the Excretion of Fosfomycin Into Breast Milk Following a Single Intravenous Dose of ZTI-01 (6 g) in Healthy Lactating Women</t>
  </si>
  <si>
    <t>Meitheal Pharmaceuticals, Inc.</t>
  </si>
  <si>
    <t>NCT07287917</t>
  </si>
  <si>
    <t>Study of AMXT 1501 and DFMO in Combination With Standard Therapies in Advanced Solid Tumors</t>
  </si>
  <si>
    <t>NCT07425210</t>
  </si>
  <si>
    <t>Long-Term Safety and Efficacy of HSK39004 Dry Powder Inhaler in COPD</t>
  </si>
  <si>
    <t>NCT07549750</t>
  </si>
  <si>
    <t>A Dose Escalation Phase 1 Study of HXN5003 in Healthy Participants</t>
  </si>
  <si>
    <t>NCT07693218</t>
  </si>
  <si>
    <t>A Study in Healthy Men to Test How BI 1815368 is Processed in the Body</t>
  </si>
  <si>
    <t>NCT07456696</t>
  </si>
  <si>
    <t>An Evaluation of the Safety and Efficacy of TSND-201 for the Treatment of PTSD (EMPOWER-1)</t>
  </si>
  <si>
    <t>NCT07708142</t>
  </si>
  <si>
    <t>Efficacy and Safety Evaluation of SMO1 in Patients With Retinal Vein Occlusive Macular Edema</t>
  </si>
  <si>
    <t>NCT07599761</t>
  </si>
  <si>
    <t>A Phase 1 Study to Assess the Effect of Itraconazole on ABBV-722 in Healthy Adult Participants</t>
  </si>
  <si>
    <t>NCT07441460</t>
  </si>
  <si>
    <t>A Phase III Study of KN026 in Combination With HB1801 as Adjuvant Therapy for Resectable HER2-Positive Breast Cancer</t>
  </si>
  <si>
    <t>NCT07712718</t>
  </si>
  <si>
    <t>A Study to Evaluate the Absorption, Distribution, Metabolism, and Excretion of [14C]-MRM-3379</t>
  </si>
  <si>
    <t>NCT07300462</t>
  </si>
  <si>
    <t>A Post-marketing Observational Study of Oral Cholera Vaccine</t>
  </si>
  <si>
    <t>Shanghai United Cell Biotechnology Co., Ltd</t>
  </si>
  <si>
    <t>NCT07511361</t>
  </si>
  <si>
    <t>Study of Efficacy and Safety of Tonlamarsen in Participants With a Recent Hospitalization and a Concurrent Episode of Acute Severe Hypertension</t>
  </si>
  <si>
    <t>NCT07226661</t>
  </si>
  <si>
    <t>Double-blind, Placebo-controlled Study in Adults With Major Depressive Disorder</t>
  </si>
  <si>
    <t>NCT07222020</t>
  </si>
  <si>
    <t>Phase 1 Study of Intravaginal KB15A</t>
  </si>
  <si>
    <t>ZabBio Inc.</t>
  </si>
  <si>
    <t>NCT07655518</t>
  </si>
  <si>
    <t>A Positron Emission Tomography Study to Assess the Occupancy of M4 Muscarinic Acetylcholine Receptors by BMS-986521 in Healthy Adult Participants</t>
  </si>
  <si>
    <t>NCT07219459</t>
  </si>
  <si>
    <t>Visugromab, Nivolumab and Lenvatinib Compared to Double Placebo and Lenvatinib in Unresectable or Metastatic Hepatocellular Carcinoma Post Anti-PD-(L)1 Failure</t>
  </si>
  <si>
    <t>NCT07354659</t>
  </si>
  <si>
    <t>Immunogenicity and Safety of SYS6017 in the Participants Aged 40 Years and Above</t>
  </si>
  <si>
    <t>NCT07722546</t>
  </si>
  <si>
    <t>A Study to Learn About The Effects of Felzartamab on Thyroid Function and Its Safety in Adults With Graves' Disease Ages 18 to 75 Years Old</t>
  </si>
  <si>
    <t>NCT07315750</t>
  </si>
  <si>
    <t>A Study of Disitamab Vedotin Combined With Trastuzumab and Tislelizumab Versus Chemotherapy Combined With Trastuzumab With or Without Pembrolizumab in HER2-high Expression Advanced Gastric or Gastroesophageal Junction Adenocarcinoma.</t>
  </si>
  <si>
    <t>NCT07289776</t>
  </si>
  <si>
    <t>A First-in-human Trial of GRT7041 in Healthy Participants</t>
  </si>
  <si>
    <t>NCT07396818</t>
  </si>
  <si>
    <t>Kamlanoflast In Amyotrophic Lateral Sclerosis</t>
  </si>
  <si>
    <t>Inflammasome Therapeutics</t>
  </si>
  <si>
    <t>NCT07529782</t>
  </si>
  <si>
    <t>Study to Assess Safety and Efficacy of HDP-101 in Chinese Patients With Relapsed or Refractory Multiple Myeloma</t>
  </si>
  <si>
    <t>NCT07655180</t>
  </si>
  <si>
    <t>Safety and Serum Virus Neutralizing Antibody Responses of VYD2311, a COVID-19 Vaccine, and Coadministered VYD2311 With a COVID-19 Vaccine</t>
  </si>
  <si>
    <t>NCT07457190</t>
  </si>
  <si>
    <t>Pharmacokinetic Study of Buagafuran Capsules in Participants With Hepatic Impairment and Normal Hepatic Function</t>
  </si>
  <si>
    <t>NCT07321860</t>
  </si>
  <si>
    <t>This Study Evaluates the Safety, Target Engagement, and Preliminary Efficacy of Galunisertib (TGF-βR1/ALK5 Inhibitor)Combined With Nerandomilast (PDE4 Inhibitor) in GREM2-positive ALS, a Biomarker-defined Subgroup Hypothesized to Reflect Heightened TGF-β/SMAD-driven Astrocytic and Fibrotic Signaling</t>
  </si>
  <si>
    <t>Gipfel Life Sciences GmbH</t>
  </si>
  <si>
    <t>NCT07643623</t>
  </si>
  <si>
    <t>Neoadjuvant and Adjuvant Therapy Studies of Sintilimab Combined With Chemotherapy With or Without Ipilimumab N01 in Resectable Gastric/Gastroesophageal Junction Adenocarcinoma</t>
  </si>
  <si>
    <t>NCT07504263</t>
  </si>
  <si>
    <t>Phase 1/2a Study of RP-001 in Participants With Advanced Malignancies</t>
  </si>
  <si>
    <t>Recurv Pharma Inc</t>
  </si>
  <si>
    <t>NCT07342114</t>
  </si>
  <si>
    <t>A Dose-Escalation Study of RO7875913 in Healthy Participants</t>
  </si>
  <si>
    <t>NCT07677384</t>
  </si>
  <si>
    <t>A Study to Evaluate the Safety of HS-10506 in Chinese Patients With Insomnia Disorder</t>
  </si>
  <si>
    <t>NCT07299955</t>
  </si>
  <si>
    <t>A Phase 1 Comparative Study to Evaluate Pharmacokinetics, Immunogenicity, Safety and Tolerability of Bmab3000 and Herceptin Hylecta® After a Single 600 mg SC Injection in Healthy Male Volunteers</t>
  </si>
  <si>
    <t>Biocon Biologics UK PLC</t>
  </si>
  <si>
    <t>NCT07605338</t>
  </si>
  <si>
    <t>To Assess the Efficacy of Two Brushing Regimens: in the Reduction of Established Dental Plaque and Gingivitis.</t>
  </si>
  <si>
    <t>NCT07709598</t>
  </si>
  <si>
    <t>Evaluate the Safety and Efficacy of HL-1186 Tablet for Postoperative Analgesia in Abdominal Surgery</t>
  </si>
  <si>
    <t>NCT07533006</t>
  </si>
  <si>
    <t>A Study of LY4005130 in Adult Participants With Severe Alopecia Areata (Hair Loss)</t>
  </si>
  <si>
    <t>NCT07701239</t>
  </si>
  <si>
    <t>A Study Comparing a Pre-filled Safety Syringe and an Autoinjector for SHR-1703 Injection in Healthy Participants</t>
  </si>
  <si>
    <t>NCT07468071</t>
  </si>
  <si>
    <t>Rollover Study for Participants Who Have Been Treated With and Are Continuing to Benefit From Opnurasib as a Single Agent or in Combination With Other Study Treatments</t>
  </si>
  <si>
    <t>NCT07617532</t>
  </si>
  <si>
    <t>Efficacy and Safety of DNN.31.19.026 for Ocular Hypertension or Primary Open-Angle Glaucoma</t>
  </si>
  <si>
    <t>NCT07385287</t>
  </si>
  <si>
    <t>Field Trial of PfSPZ-LARC2 Vaccine in Burkinabe Adults</t>
  </si>
  <si>
    <t>NCT07657416</t>
  </si>
  <si>
    <t>NK521 in the Treatment of Advanced Solid Tumors</t>
  </si>
  <si>
    <t>NCT07578584</t>
  </si>
  <si>
    <t>A Research Study Investigating the Effect of NNC0497-0040 in Healthy Participants, Participants With Overweight or Obesity, and Participants With Type 1 Diabetes With Overweight or Obesity</t>
  </si>
  <si>
    <t>NCT07302698</t>
  </si>
  <si>
    <t>PK and Onset of Hezkue Oral Sildenafil Suspension After Alcohol Consumption</t>
  </si>
  <si>
    <t>NCT07363265</t>
  </si>
  <si>
    <t>Efficacy and Safety of LP-005 Injection in Patients With Complement-Mediated Kidney Disease</t>
  </si>
  <si>
    <t>NCT07711184</t>
  </si>
  <si>
    <t>A Clinical Study of HRS-7525 Tablets in Patients With Advanced Prostate Cancer</t>
  </si>
  <si>
    <t>NCT07579936</t>
  </si>
  <si>
    <t>A Phase II Clinical Trial of the Safety and Efficacy of SAL056 at Different Doses and Dosing Regimens</t>
  </si>
  <si>
    <t>NCT07387549</t>
  </si>
  <si>
    <t>A Study to Assess How Well and Safely Elafibranor Works in Adult Participants With Primary Sclerosing Cholangitis</t>
  </si>
  <si>
    <t>NCT07459647</t>
  </si>
  <si>
    <t>A Long-Term Open-Label Study of ML-007C-MA in Adults With Schizophrenia</t>
  </si>
  <si>
    <t>NCT07322016</t>
  </si>
  <si>
    <t>A Study of HRS-1301 Tablets in Healthy Subjects and Those With Impaired Kidney Function</t>
  </si>
  <si>
    <t>NCT07225621</t>
  </si>
  <si>
    <t>Adjuvant Temozolomide ± 5-Aminolevulinic Acid + Low Intensity Diffuse Ultrasound Sonodynamic Therapy System for Newly Diagnosed Glioblastoma</t>
  </si>
  <si>
    <t>NCT07351058</t>
  </si>
  <si>
    <t>A Clinical Study to Evaluate the Effects of Enicepatide (RO7795068) in Participants With Obesity or Overweight and Type 2 Diabetes</t>
  </si>
  <si>
    <t>NCT07489651</t>
  </si>
  <si>
    <t>RE104 Safety and Efficacy Study in Generalized Anxiety Disorder</t>
  </si>
  <si>
    <t>NCT07554456</t>
  </si>
  <si>
    <t>A Study of BL-B01D1 in Combination With Tislelizumab ±5-Fluorouracil Versus Platinum-Based Chemotherapy Plus Tislelizumab as First-line Treatment in Patients With Unresectable, Locally Advanced Recurrent or Metastatic Esophageal Squamous Cell Carcinoma(PANKU-Esophagus02)</t>
  </si>
  <si>
    <t>NCT07421856</t>
  </si>
  <si>
    <t>Phase I/II Study of SENL103 for Relapsed or Refractory Multiple Myeloma: A Multicenter, Open-Label, Single-Arm Trial.</t>
  </si>
  <si>
    <t>NCT07478302</t>
  </si>
  <si>
    <t>A Study of SHR-2524 Plus Bevacizumab in the First-line Treatment of Advanced Hepatocellular Carcinoma</t>
  </si>
  <si>
    <t>NCT05987956</t>
  </si>
  <si>
    <t>Pharmacogenomics IND SNP Clinical Trial - Alectinib and Single Nucleotide Polymorphisms</t>
  </si>
  <si>
    <t>NCT07446322</t>
  </si>
  <si>
    <t>FOLFIRI and Bevacizumab With or Without Pelareorep for Second-Line Treatment of Metastatic RAS-Mutated, Microsatellite-Stable Colorectal Cancer</t>
  </si>
  <si>
    <t>NCT07562022</t>
  </si>
  <si>
    <t>A Study to Evaluate the Safety and Efficacy of SCTB35 in Combination With Lenalidomide in Patients With Relapsed or Refractory Follicular Lymphoma</t>
  </si>
  <si>
    <t>NCT07407803</t>
  </si>
  <si>
    <t>Evaluation of TQ-B3234 Capsules in Patients With Symptomatic, Non-Surgical Type 1 Neurofibromatosis-Associated Plexiform Neurofibromas</t>
  </si>
  <si>
    <t>NCT07473427</t>
  </si>
  <si>
    <t>Immunogenicity and Safety of Varicella Vaccine, Live in Healthy Vietnamese Children</t>
  </si>
  <si>
    <t>NCT07691203</t>
  </si>
  <si>
    <t>Bioequivalence Study to Compare Empagliflozin/Linagliptin/Metformin HCl 25 mg/5 mg/1000 mg Extended Release Tablet Versus Trijardy® XR 25 mg/5 mg/1000 mg Extended- Release Tablets</t>
  </si>
  <si>
    <t>NCT07252661</t>
  </si>
  <si>
    <t>Study of ACC-1898 in Adult Participants With Advanced Solid Tumors</t>
  </si>
  <si>
    <t>AccSalus Biosciences, Inc.</t>
  </si>
  <si>
    <t>NCT07322003</t>
  </si>
  <si>
    <t>Pridopidine Phase 3 Study to Evaluate Efficacy and Safety in ALS</t>
  </si>
  <si>
    <t>NCT07315061</t>
  </si>
  <si>
    <t>A Phase II Study to Evaluate the Efficacy and Safety of D-2570 in Subjects With Active Psoriatic Arthritis</t>
  </si>
  <si>
    <t>NCT07292688</t>
  </si>
  <si>
    <t>Study of CM383 in Healthy Subjects</t>
  </si>
  <si>
    <t>NCT07630727</t>
  </si>
  <si>
    <t>NCT06797986</t>
  </si>
  <si>
    <t>A Phase I/IIa Clinical Trial to Investigate BVAC-E6E7 in Subjects With HPV Positive HNSCC.</t>
  </si>
  <si>
    <t>NCT07708441</t>
  </si>
  <si>
    <t>A Trial of HRS-1780 in Participants With Uncontrolled Hypertension or Resistant Hypertension.</t>
  </si>
  <si>
    <t>NCT07503886</t>
  </si>
  <si>
    <t>An Exploratory Efficacy and Safety Study of DFL24498 Topical Ophthalmic Solution Compared With Vehicle in Participants With Dry Eye Disease</t>
  </si>
  <si>
    <t>NCT07413341</t>
  </si>
  <si>
    <t>A Clinical Study of TI-0032-III Injection in Patients With Relapsed and Refractory Autoimmune Diseases</t>
  </si>
  <si>
    <t>NCT07564466</t>
  </si>
  <si>
    <t>A Study of SKB571 in Participants With Gastrointestinal Tumors</t>
  </si>
  <si>
    <t>NCT07290777</t>
  </si>
  <si>
    <t>VEL-101 to Prevent Rejection After Kidney Transplantation</t>
  </si>
  <si>
    <t>NCT07221149</t>
  </si>
  <si>
    <t>A Study to Evaluate the Safety and Efficacy of Pumitamig in Combination With Chemotherapy Versus Nivolumab in Combination With Chemotherapy in Participants With Previously Untreated Advanced or Metastatic Gastric, Gastroesophageal Junction, or Esophageal Adenocarcinoma (ROSETTA Gastric-204)</t>
  </si>
  <si>
    <t>NCT07347249</t>
  </si>
  <si>
    <t>A Clinical Study to Assess Sutacimig in Participants With Congenital Factor VII Deficiency</t>
  </si>
  <si>
    <t>NCT07708753</t>
  </si>
  <si>
    <t>A Study of SYS6043 in Platinum-Resistant, Advanced Ovarian, Primary Peritoneal, or Fallopian Tube Cancers</t>
  </si>
  <si>
    <t>NCT07198139</t>
  </si>
  <si>
    <t>A Study to Evaluate the Efficacy, Safety and Pharmacokinetics of CDI-988 in Healthy Adults After Challenge With Snow Mountain Virus</t>
  </si>
  <si>
    <t>NCT07596381</t>
  </si>
  <si>
    <t>FAK Inhibitor in Patients With Advanced Solid Tumors</t>
  </si>
  <si>
    <t>NCT07508787</t>
  </si>
  <si>
    <t>A Study Comparing Siplizumab With Rabbit Anti-Thymocyte Globulin to Help the Body Accept a Kidney Transplant</t>
  </si>
  <si>
    <t>Nefro Avillion Clinical Development, LLC</t>
  </si>
  <si>
    <t>NCT07029516</t>
  </si>
  <si>
    <t>Study to Assess Efficacy, Safety and Tolerability of a Nail Patch in Patients With Nail Fragility, Mychosis, Psoriasis</t>
  </si>
  <si>
    <t>Wooshin Labottach Co., Ltd.</t>
  </si>
  <si>
    <t>NCT07650916</t>
  </si>
  <si>
    <t>A Study to Investigate Cabotegravir Ultra Long-Acting (CAB ULA) Plus Rilpivirine Ultra Long-Acting (RPV ULA) in Adults and Adolescents With HIV Who Are Virologically Suppressed</t>
  </si>
  <si>
    <t>NCT07698587</t>
  </si>
  <si>
    <t>A Phase Ib/II Study of BM230 in Combination With PD-1 Inhibitor for HER2-related Advanced Solid Tumors</t>
  </si>
  <si>
    <t>NCT07726147</t>
  </si>
  <si>
    <t>Phase 1, First in Human (FIH), Open-Label, Single-Arm, Ascending Dose Study to Assess the Safety, Tolerability and Preliminary Immunogenicity of ITI-9001 in Japanese Patients With Japanese Red Cedar (JRC) Pollinosis</t>
  </si>
  <si>
    <t>NCT07280858</t>
  </si>
  <si>
    <t>A Phase I/II, Dose-finding Study to Assess the Safety, Reactogenicity, and Immunogenicity of a Broadly Protective Sarbecovirus Vaccine (GBP511) in Healthy Adults.</t>
  </si>
  <si>
    <t>NCT07513181</t>
  </si>
  <si>
    <t>Proof of Concept Study Evaluating the Efficacy and Safety of ATH-063 Treatment in Patients With Relapsed/Refractory Moderately to Severely Active Ulcerative Colitis (UC)</t>
  </si>
  <si>
    <t>NCT07656792</t>
  </si>
  <si>
    <t>A Study in Japanese Healthy Men to Test How Well Different Doses of BI 3031185 Are Tolerated and a Study in Japanese Healthy Women to Test Whether BI 3031185 Influences the Amount of a Contraceptive in the Blood</t>
  </si>
  <si>
    <t>NCT07525544</t>
  </si>
  <si>
    <t>A Study to Investigate the Safety and PK of VH4770359 in Healthy Participants</t>
  </si>
  <si>
    <t>NCT07067463</t>
  </si>
  <si>
    <t>A Study of Orelabrutinib in Patients With Primary Progressive Multiple Sclerosis</t>
  </si>
  <si>
    <t>NCT07671001</t>
  </si>
  <si>
    <t>A Study of Depemokimab in Participants of 6 to 11 Years of Age</t>
  </si>
  <si>
    <t>NCT07712393</t>
  </si>
  <si>
    <t>A Comparative Study to Investigate the Difference in Blood Levels of Two Different Formulations of GSK5784283</t>
  </si>
  <si>
    <t>NCT07396584</t>
  </si>
  <si>
    <t>HMPL-A580 in Participants With Advanced or Metastatic Solid Tumor</t>
  </si>
  <si>
    <t>NCT07503444</t>
  </si>
  <si>
    <t>A Phase 3 Study of Fenfluramine Hydrochloride in Rett Syndrome</t>
  </si>
  <si>
    <t>NCT07497087</t>
  </si>
  <si>
    <t>A Study to Test Whether Nerandomilast Helps People With Systemic Sclerosis</t>
  </si>
  <si>
    <t>NCT06809114</t>
  </si>
  <si>
    <t>FIH Study to Evaluate Safety, Tolerability, PK, PD &amp; Preliminary Efficacy of AT03-65 With Advanced Solid Tumors</t>
  </si>
  <si>
    <t>Axcynsis Therapeutics Pte Ltd</t>
  </si>
  <si>
    <t>NCT07662395</t>
  </si>
  <si>
    <t>SCTB41 Combined With Chemotherapy in Advanced Squamous Non-Small Cell Lung Cancer</t>
  </si>
  <si>
    <t>NCT07569757</t>
  </si>
  <si>
    <t>Clinical Study of TQB2934 Injection in Relapsed/Refractory Multiple Myeloma</t>
  </si>
  <si>
    <t>NCT07294300</t>
  </si>
  <si>
    <t>A Phase I Trial of QLS2313 Injection in Relapsed/Refractory Hematological Malignancies</t>
  </si>
  <si>
    <t>NCT07521007</t>
  </si>
  <si>
    <t>A Phase 2b Clinical Trial of YN001 in Adults With Coronary Atherosclerosis</t>
  </si>
  <si>
    <t>NCT07513207</t>
  </si>
  <si>
    <t>A Study in Healthy People to Test How Vicadrostat Affects the Heart</t>
  </si>
  <si>
    <t>NCT07335419</t>
  </si>
  <si>
    <t>A Study to Learn if Itraconazole Changes How the Body Processes PF-07248144 (Study Medicine)</t>
  </si>
  <si>
    <t>NCT07396844</t>
  </si>
  <si>
    <t>The Food Effect on Pharmacokinetics of Fixed Dose Combination of Gemigliptin/Dapagliflozin/Metformin in Healthy Volunteers</t>
  </si>
  <si>
    <t>NCT07492875</t>
  </si>
  <si>
    <t>Study of Nogapendekin Alfa Inbakicept and iNKT Cells in Critically Ill Adults With Severe Community-Acquired Pneumonia</t>
  </si>
  <si>
    <t>NCT07405801</t>
  </si>
  <si>
    <t>A Phase II Study Evaluating the Efficacy and Safety of Inavolisib Plus Ribociclib Plus Fulvestrant Versus Placebo Plus Ribociclib Plus Fulvestrant in Participants With Advanced Breast Cancer</t>
  </si>
  <si>
    <t>NCT07691762</t>
  </si>
  <si>
    <t>A Study of TACE in Combination With SHR-8068, Adebrelimab, and Bevacizumab Versus TACE in Participants With Incurable Hepatocellular Carcinoma</t>
  </si>
  <si>
    <t>NCT05847179</t>
  </si>
  <si>
    <t>Phase 2, Open-Label Study to Evaluate the Safety and Tolerability of Progerinin in Werner Syndrome</t>
  </si>
  <si>
    <t>NCT07378527</t>
  </si>
  <si>
    <t>Study of the Efficacy and Safety of ICP-332 in Participants With Chronic Spontaneous Urticaria</t>
  </si>
  <si>
    <t>NCT07508761</t>
  </si>
  <si>
    <t>IPG7236 Combined With Toripalimab in Participants With Advanced Solid Tumors</t>
  </si>
  <si>
    <t>NCT07470853</t>
  </si>
  <si>
    <t>A Study of MUC16-Directed Antibody Drug Conjugate HWK-016 in Participants With Advanced Solid Tumors.</t>
  </si>
  <si>
    <t>NCT06708845</t>
  </si>
  <si>
    <t>US Zamto-cel Autoimmune Diseases</t>
  </si>
  <si>
    <t>NCT07401472</t>
  </si>
  <si>
    <t>Study of BW-50218 in Healthy Participants</t>
  </si>
  <si>
    <t>NCT07554339</t>
  </si>
  <si>
    <t>A Clinical Trial of Calderasib (MK-1084) and Durvalumab in People With Non-Small Cell Lung Cancer (MK-1084-015/KANDLELIT-015)</t>
  </si>
  <si>
    <t>NCT07438886</t>
  </si>
  <si>
    <t>Catequentinib Hydrochloride (AL3818) Drug-Drug Interaction Study in Healthy Volunteers</t>
  </si>
  <si>
    <t>NCT07449156</t>
  </si>
  <si>
    <t>A Study to Evaluate Efficacy and Safety of HB0043 in Aadult Patients With Moderate to Severe Acne Vulgaris.</t>
  </si>
  <si>
    <t>NCT07317700</t>
  </si>
  <si>
    <t>A Clinical Trial of Flonoltinib Maleate for Intermediate or High-Risk Myelofibrosis</t>
  </si>
  <si>
    <t>NCT07607483</t>
  </si>
  <si>
    <t>A Study of LY4065967 in Healthy Participants</t>
  </si>
  <si>
    <t>NCT07327229</t>
  </si>
  <si>
    <t>A Phase Ib/II Study of ATG-022 Plus Pembrolizumab With/Without Chemotherapy in Participants With Claudin (CLDN) 18.2-positive, HER2-negative, Unresectable or Metastatic Gastric or Gastroesophageal Junction AdenocarcinomaUnresectable or Metastatic Gastric or Gastroesophageal Junction Adenocarcinoma</t>
  </si>
  <si>
    <t>NCT07387302</t>
  </si>
  <si>
    <t>SLN12140 in Adult Participants With Paroxysmal Nocturnal Hemoglobinuria (PNH) in China</t>
  </si>
  <si>
    <t>NCT07474792</t>
  </si>
  <si>
    <t>Dose Ranging Study of ORKA-002 in Patients With Moderate-to-Severe Plaque Psoriasis</t>
  </si>
  <si>
    <t>NCT07378644</t>
  </si>
  <si>
    <t>Study to Evaluate the Pharmacodynamics, Safety and Efficacy of SKY-0515 in Participants With Huntington's Disease</t>
  </si>
  <si>
    <t>NCT07380334</t>
  </si>
  <si>
    <t>A Clinical Study on the Safety, Tolerability, Pharmacokinetics and Efficacy of SHR-1049 in Patients With Advanced Solid Tumors</t>
  </si>
  <si>
    <t>NCT07604064</t>
  </si>
  <si>
    <t>A Clinical Trial of Olutasidenib in Patients With Acute Myeloid Leukemia</t>
  </si>
  <si>
    <t>NCT07407543</t>
  </si>
  <si>
    <t>A Study to Evaluate the Safety, Tolerability, Pharmacokinetics and Pharmacodynamics of SRN001 in Healthy Korean and Caucasian Adult Males</t>
  </si>
  <si>
    <t>NCT07385313</t>
  </si>
  <si>
    <t>Combined OFM and Vacuum-assisted Therapy for Expedited Regeneration Over Structures</t>
  </si>
  <si>
    <t>Aroa Biosurgery Limited</t>
  </si>
  <si>
    <t>NCT07216560</t>
  </si>
  <si>
    <t>First-in-human Study of 7MW4911 in GI Cancer</t>
  </si>
  <si>
    <t>NCT07672574</t>
  </si>
  <si>
    <t>Human Mass Balance Study of [14C] Ontunisertib in Healthy Volunteers</t>
  </si>
  <si>
    <t>NCT06287918</t>
  </si>
  <si>
    <t>A First-in-human Study of 3HP-2827 in Patients With Unresectable or Metastatic Solid Tumors With FGFR2 Alterations</t>
  </si>
  <si>
    <t>NCT07500220</t>
  </si>
  <si>
    <t>Dual-Target GPC3/B7-H3 CAR-NK Cells for Advanced HCC</t>
  </si>
  <si>
    <t>NCT07321678</t>
  </si>
  <si>
    <t>A Study to Evaluate the Efficacy, Safety, and Tolerability of ASC30 Tablets in Participants With Type 2 Diabetes Mellitus</t>
  </si>
  <si>
    <t>NCT07365826</t>
  </si>
  <si>
    <t>A Clinical Study to Evaluate the Safety, Tolerability, and Immunogenicity of VAX-31 With Influenza Vaccine in Adults ≥ 50 Years of Age</t>
  </si>
  <si>
    <t>NCT07685808</t>
  </si>
  <si>
    <t>Study of Olatorepatide in Adult Participants Living With Overweight or Obesity Without Diabetes</t>
  </si>
  <si>
    <t>NCT07454720</t>
  </si>
  <si>
    <t>A Clinical Study of Adebrelimab in Combination With SHR-8068 and Chemoradiotherapy as Perioperative Therapy for Locally Advanced Rectal Cancer</t>
  </si>
  <si>
    <t>NCT07612488</t>
  </si>
  <si>
    <t>A Study of CS231295 in Patients With Advanced Solid Tumors</t>
  </si>
  <si>
    <t>ThalassaX Therapeutics United States Ltd</t>
  </si>
  <si>
    <t>NCT07421388</t>
  </si>
  <si>
    <t>A Study to Evaluate the Pharmacokinetics and the Safety After Administration of BR1015-A and Co-administration of BR1015-1 and BR1015-2 Under Fed Conditions</t>
  </si>
  <si>
    <t>NCT07528027</t>
  </si>
  <si>
    <t>Phase III Study of HRS-7535 for Hypertension With Overweight or Obesity</t>
  </si>
  <si>
    <t>NCT07512427</t>
  </si>
  <si>
    <t>Phase 1/2 Study of OPK-88006 in Healthy and Presumed MASH Participants</t>
  </si>
  <si>
    <t>NCT07480928</t>
  </si>
  <si>
    <t>Dual-Targeting CAR-NK Cells Targeting Mesothelin (MSLN) and MUC1 in Advanced Pancreatic Ductal Adenocarcinoma</t>
  </si>
  <si>
    <t>NCT07625644</t>
  </si>
  <si>
    <t>BL-M14D1 Plus Atezolizumab vs Standard of Care in First-Line Extensive-Stage Small Cell Lung Cancer (BrenDeLL-Lung01)</t>
  </si>
  <si>
    <t>NCT07436234</t>
  </si>
  <si>
    <t>A Study to Evaluate the Efficacy and Safety of AK139 in Participants With Seasonal Allergic Rhinitis</t>
  </si>
  <si>
    <t>NCT07605845</t>
  </si>
  <si>
    <t>Safety and Efficacy of GL-2045 in Patients With Immune Thrombocytopenia</t>
  </si>
  <si>
    <t>NCT07565792</t>
  </si>
  <si>
    <t>Study of Food Effects of VV913 Capsules in Chinese Healthy Volunteers</t>
  </si>
  <si>
    <t>NCT07545044</t>
  </si>
  <si>
    <t>A Study of JSKN003 Versus Trastuzumab in Combination With Pertuzumab and Docetaxel as First-Line Treatment for HER2-Positive Recurrent or Metastatic Breast Cancer</t>
  </si>
  <si>
    <t>NCT07540364</t>
  </si>
  <si>
    <t>A Phase 3 Study to Evaluate the Efficacy and Safety of Samelisant in Patients With Narcolepsy (AWAKE)</t>
  </si>
  <si>
    <t>NCT07165067</t>
  </si>
  <si>
    <t>A Study of AP601 in Patients With Locally Unresectable Advanced or Metastatic Solid Tumors</t>
  </si>
  <si>
    <t>NCT07419698</t>
  </si>
  <si>
    <t>Evaluate the Safety, Tolerability, PK, and PD of JMT206 Injection in Healthy Participants</t>
  </si>
  <si>
    <t>NCT07417306</t>
  </si>
  <si>
    <t>A Study of HDM1005 in Participants With T2DM Not Controlled With Metformin Alone or in Combination With a Sodium-Glucose Cotransporter 2 (SGLT2) Inhibitor</t>
  </si>
  <si>
    <t>NCT07521852</t>
  </si>
  <si>
    <t>A Phase IIa, Single-arm, Open-label Clinical Study to Evaluate the Efficacy, Safety and PK of CVM-1118 in Combination With Sintilimab and TACE in Participants With Incurable/Non-metastatic HCC</t>
  </si>
  <si>
    <t>NCT07371338</t>
  </si>
  <si>
    <t>Phase 1 Clinical Trial to Evaluate the Safety, Efficacy, and Pharmacokinetics of IPS101A in Parkinson's Disease Patients</t>
  </si>
  <si>
    <t>Innopeutics Corporation</t>
  </si>
  <si>
    <t>NCT07604558</t>
  </si>
  <si>
    <t>A Study to Assess the Adverse Events and How Bretisilocin Intramuscular Injection Moves Through the Body of Healthy Adult Participants</t>
  </si>
  <si>
    <t>NCT07550621</t>
  </si>
  <si>
    <t>Drug-Drug Interaction Study of MDR-001 With Rifampin and Itraconazole in Healthy Adult Participants</t>
  </si>
  <si>
    <t>NCT07352800</t>
  </si>
  <si>
    <t>Safety of Antithrombotic Heparin Proteoglycan Mimetic APAC in Peripheral Arterial Occlusive Disease and Chronic Limb-threatening Ischemia</t>
  </si>
  <si>
    <t>NCT07288398</t>
  </si>
  <si>
    <t>LEVEL-2: LEVosimendan to Improve Exercise Limitation in Patients With PH-HFpEF-2</t>
  </si>
  <si>
    <t>NCT07033598</t>
  </si>
  <si>
    <t>Pacritinib vs. Hydroxyurea in Advanced Proliferative Chronic Myelomonocytic Leukemia</t>
  </si>
  <si>
    <t>Theradex</t>
  </si>
  <si>
    <t>NCT07550634</t>
  </si>
  <si>
    <t>Pharmacokinetics and Safety of MDR-001 in Mild and Moderate Hepatic Impairment</t>
  </si>
  <si>
    <t>NCT07460284</t>
  </si>
  <si>
    <t>A Mass Balance Study Of 14C-RAY1225 Injection In Healthy Chinese Participants</t>
  </si>
  <si>
    <t>NCT07511647</t>
  </si>
  <si>
    <t>A Phase 3 Clinical Study of QL2106 Injection</t>
  </si>
  <si>
    <t>NCT07584434</t>
  </si>
  <si>
    <t>A Phase 1, First-in-human Study of VX-433</t>
  </si>
  <si>
    <t>NCT06891885</t>
  </si>
  <si>
    <t>A Study to Investigate the Safety of DSP-3077 After a Unilateral Eye Injection in Male and Female Participants 18 Years of Age or Older With Retinitis Pigmentosa</t>
  </si>
  <si>
    <t>NCT07546812</t>
  </si>
  <si>
    <t>Study of Denikitug (GS-1811) Given Alone or With Nivolumab or Chemotherapy in Adults With Metastatic Gastric, Gastroesophageal Junction (GEJ), and Esophageal Adenocarcinomas</t>
  </si>
  <si>
    <t>NCT07443228</t>
  </si>
  <si>
    <t>Recombinant Human Interleukin-7 (JL18008) for the Treatment of HIV-Infected Immunological Non-Responders</t>
  </si>
  <si>
    <t>NCT07583849</t>
  </si>
  <si>
    <t>A Multicenter, Randomized, Double-blind, Placebo-controlled, Parallel-group Phase III Study of HSK39004 Inhalation Powder for the Treatment of COPD</t>
  </si>
  <si>
    <t>NCT07412756</t>
  </si>
  <si>
    <t>A Study of Brenipatide in Adult Participants With Major Depressive Disorder</t>
  </si>
  <si>
    <t>NCT07662122</t>
  </si>
  <si>
    <t>A Study to Test Whether BI 3034701 Helps People to Lose Weight Who Live With Obesity or Overweight</t>
  </si>
  <si>
    <t>NCT07201129</t>
  </si>
  <si>
    <t>A Research Trial to Assess if Cenerimod is Efficacious and Safe to Treat Active Lupus Nephritis on Top of Regular Treatment</t>
  </si>
  <si>
    <t>NCT07590531</t>
  </si>
  <si>
    <t>AMT-116 in Combination With AK112 in Patients With Lung Cancer</t>
  </si>
  <si>
    <t>NCT07414953</t>
  </si>
  <si>
    <t>A Phase Ib Study of HS-10504 Combined Therapy in NSCLC</t>
  </si>
  <si>
    <t>NCT07619157</t>
  </si>
  <si>
    <t>A Study of ONO-3310 in Healthy Adult Male Subjects and Chronic Kidney Disease Patients With Type 2 Diabetes Mellitus</t>
  </si>
  <si>
    <t>NCT07617012</t>
  </si>
  <si>
    <t>The Safety, Tolerability, and Efficacy of Dopaminergic Neural Progenitor Cells (XS411CN Cell Injection) for the Treatment of Multiple System Atrophy Parkinsonian Variant (MSA-P).</t>
  </si>
  <si>
    <t>NCT06769698</t>
  </si>
  <si>
    <t>A Study to See if Giving Fianlimab and Cemiplimab Together is Better Than Cemiplimab Alone at Treating Recurrent or Metastatic Head and Neck Squamous Cell Carcinoma</t>
  </si>
  <si>
    <t>NCT07467447</t>
  </si>
  <si>
    <t>Effect of LY3437943 Versus Placebo in Participants Who Have Obesity or Are Overweight</t>
  </si>
  <si>
    <t>NCT07717840</t>
  </si>
  <si>
    <t>A Study to Characterize the Safety and Immunogenicity of AZD6489 in Participants 60 Years of Age and Older (ARIES)</t>
  </si>
  <si>
    <t>NCT07477860</t>
  </si>
  <si>
    <t>Achilles Tendinopathy Embolization</t>
  </si>
  <si>
    <t>NCT07432958</t>
  </si>
  <si>
    <t>A Study to Evaluate the Effectiveness of Two Doses of AP-472 as Adjunctive Therapy to Levodopa in Parkinson's Disease (PD) Participants With Motor Fluctuations</t>
  </si>
  <si>
    <t>Appello Pharmaceuticals, Inc.</t>
  </si>
  <si>
    <t>NCT07326540</t>
  </si>
  <si>
    <t>Efficacy and Safety of BV100 Plus Low Dose Polymyxin B Versus Colistin Plus High-dose Ampicillin/Sulbactam in Patients With Hospital-acquired or Ventilator-associated Bacterial Pneumonia Due to Carbapenem-resistant Acinetobacter Baumannii-calcoaceticus Complex</t>
  </si>
  <si>
    <t>NCT07623668</t>
  </si>
  <si>
    <t>Privosegtor Investigation in Optic Neuropathies Efficacy Evaluation Research</t>
  </si>
  <si>
    <t>NCT07639450</t>
  </si>
  <si>
    <t>N-3C01 Monotherapy and Combination With PD-(L)1 Inhibitors in Advanced Solid Tumors</t>
  </si>
  <si>
    <t>Hefei Xinzhu Biological Technology Co., Ltd.</t>
  </si>
  <si>
    <t>NCT07367516</t>
  </si>
  <si>
    <t>Clinical Trial Evaluating TQB6411 Injection in Participant s With Esophageal Cancer</t>
  </si>
  <si>
    <t>NCT07610148</t>
  </si>
  <si>
    <t>A Study to Estimate Effect of Formulation and Food on Relative Bioavailability of HRS-6209 in Healthy Participants</t>
  </si>
  <si>
    <t>NCT07479485</t>
  </si>
  <si>
    <t>MRG006A Combination Therapy for Advanced Hepatocellular Carcinoma (Phase I/II)</t>
  </si>
  <si>
    <t>NCT07296315</t>
  </si>
  <si>
    <t>Confirmatory Clinical Study in Active Ulcerative Colitis</t>
  </si>
  <si>
    <t>MRM Health NV</t>
  </si>
  <si>
    <t>NCT07607925</t>
  </si>
  <si>
    <t>A Study to Evaluate Safety and Clinical Activity of GSK5926371 in Adult Participants With Relapsed or Refractory B-NHL</t>
  </si>
  <si>
    <t>NCT07721597</t>
  </si>
  <si>
    <t>A Single and Multiple Ascending Dose Trial Assessing Safety, Tolerability, Pharmacokinetics and Pharmacodynamics of ZP6590 in Participants With Normal Weight, Overweight and Obesity</t>
  </si>
  <si>
    <t>NCT07661797</t>
  </si>
  <si>
    <t>Phase I Clinical Study of LNF2105 in Patients With Advanced Solid Tumors</t>
  </si>
  <si>
    <t>NCT07368998</t>
  </si>
  <si>
    <t>To Study the Effect of Inavolisib in Combination With Fulvestrant in Participants With Breast Cancer</t>
  </si>
  <si>
    <t>NCT07488884</t>
  </si>
  <si>
    <t>Open-Label, Phase 1 Clinical Trial of Neoadjuvant Nogapendekin Alfa Inbakicept, Sotevtamab, and Zabadinostat in Combination With Gemcitabine and Nab-Paclitaxel for Participants With Borderline Resectable or Locally Advanced Pancreatic Cancer</t>
  </si>
  <si>
    <t>NCT07582432</t>
  </si>
  <si>
    <t>A Clinical Trial to Evaluate Efficacy, Safety, and Pharmacokinetics of Gamunex in Participants With Chronic Lymphocytic Leukemia, Multiple Myeloma, or Non-Hodgkin Lymphoma</t>
  </si>
  <si>
    <t>Grifols Biologicals, LLC</t>
  </si>
  <si>
    <t>NCT07586306</t>
  </si>
  <si>
    <t>A Safety Study of Contralateral Eye Dosing of VGR-R01 in Participants With Bietti's Crystalline Dystrophy (BCD)</t>
  </si>
  <si>
    <t>NCT07478952</t>
  </si>
  <si>
    <t>A Study of an Epstein-Barr Virus (EBV) Candidate Vaccine, mRNA-1189 in Healthy Adults 18 to 30 Years of Age</t>
  </si>
  <si>
    <t>NCT07340138</t>
  </si>
  <si>
    <t>Study of Pelabresib add-on to Ruxolitinib in Japanese Adult Patients With Myelofibrosis</t>
  </si>
  <si>
    <t>NCT07525947</t>
  </si>
  <si>
    <t>A Single Dose, Phase 1 Study of JADE101 in Healthy Japanese and Chinese Participants</t>
  </si>
  <si>
    <t>NCT07570758</t>
  </si>
  <si>
    <t>A Phase 2A Clinical Trial to Assess the Safety and Tolerability of ERX1000 in Men and Women for the Treatment of Obesity.</t>
  </si>
  <si>
    <t>ERX Pharmaceuticals</t>
  </si>
  <si>
    <t>NCT07367958</t>
  </si>
  <si>
    <t>A Study to Compare the Auto-injector and Pre-filled Syringe of CT-P52 in Healthy Male Subjects</t>
  </si>
  <si>
    <t>NCT07323576</t>
  </si>
  <si>
    <t>A Study to Evaluate the Efficacy and Safety of Inavolisib When Administered in Combination With Bevacizumab and FOLFOX or FOLFIRI as First Line Therapy in Participants With Colorectal Cancer</t>
  </si>
  <si>
    <t>NCT07632274</t>
  </si>
  <si>
    <t>A Study to Evaluate Ibuprofen (IBU) 62.5 mg and Acetaminophen (APAP) 125 mg/5 ml in an Oral Liquid Suspension Fixed-Dose Combination Product in Children Aged 6 to 11 Years</t>
  </si>
  <si>
    <t>NCT07394309</t>
  </si>
  <si>
    <t>Study of Hydroxynidone Capsules in Patients With Hepatic Impairment and Matched Healthy Controls</t>
  </si>
  <si>
    <t>NCT07505004</t>
  </si>
  <si>
    <t>Randomized Clinical Trial Evaluating the Efficacy and Safety of Vormatrigine in Adults With Focal Seizures</t>
  </si>
  <si>
    <t>NCT07646678</t>
  </si>
  <si>
    <t>A Study of TAK-360 in People With Narcolepsy or Idiopathic Hypersomnia</t>
  </si>
  <si>
    <t>NCT07406035</t>
  </si>
  <si>
    <t>A Clinical Trial of TQH3906 Capsules in the Treatment of Active Psoriatic Arthritis</t>
  </si>
  <si>
    <t>NCT07294508</t>
  </si>
  <si>
    <t>A Study to Evaluate HLX22 in Combination With HLX87 in Patients With HER2-Positive Recurrent or Metastatic Breast Cancer</t>
  </si>
  <si>
    <t>NCT07616089</t>
  </si>
  <si>
    <t>Phase I Study of FXS0683 in the Treatment of Blood Tumors</t>
  </si>
  <si>
    <t>NCT07450547</t>
  </si>
  <si>
    <t>Phase 2 Study to Assess the Safety and Efficacy of ANG003</t>
  </si>
  <si>
    <t>NCT07369076</t>
  </si>
  <si>
    <t>A Clinical Trial to Evaluate NB-4746 in Participants With Amyotrophic Lateral Sclerosis.</t>
  </si>
  <si>
    <t>Nura Bio</t>
  </si>
  <si>
    <t>NCT07609940</t>
  </si>
  <si>
    <t>Adult Outpatient Linvoseltamab With Tocilizumab Prophylaxis to Mitigate the Risk of Cytokine Release Syndrome (CRS)</t>
  </si>
  <si>
    <t>NCT07409272</t>
  </si>
  <si>
    <t>A Study to Evaluate the Effectiveness and Safety of Setidegrasib, Given With Either mFOLFIRINOX or NALIRIFOX Chemotherapies, in People With Pancreatic Cancer</t>
  </si>
  <si>
    <t>NCT07627971</t>
  </si>
  <si>
    <t>Open-label Study of SKY-GJB2 in Pediatric Subjects With GJB2-mediated Hearing Loss</t>
  </si>
  <si>
    <t>Skylark Bio Inc.</t>
  </si>
  <si>
    <t>NCT07563738</t>
  </si>
  <si>
    <t>A 2-part Phase 1/2 Open-label Trial on ODM-212</t>
  </si>
  <si>
    <t>NCT07566585</t>
  </si>
  <si>
    <t>Dose Finding Study to Evaluate the Safety of BSB-2002 in Relapsed or Refractory Acute Myeloid Leukemia (AML) Patients With NPM1 Mutation</t>
  </si>
  <si>
    <t>NCT07148089</t>
  </si>
  <si>
    <t>A Study of SGT-501 Gene Therapy in Catecholaminergic Polymorphic Ventricular Tachycardia (CPVT)</t>
  </si>
  <si>
    <t>NCT07476118</t>
  </si>
  <si>
    <t>A Study of Brenipatide (LY3537031) in Healthy Participants With Overweight or Obesity</t>
  </si>
  <si>
    <t>NCT07318610</t>
  </si>
  <si>
    <t>Reducing Adverse Vascular Outcomes With Factor XI Inhibition in Adult Participants With Peripheral Artery Disease</t>
  </si>
  <si>
    <t>NCT07615413</t>
  </si>
  <si>
    <t>Phase 1 Study of HS-10541 as Monotherapy or in Combination With Other Anti-cancer Therapies in Patients With KRAS G12C Mutation Advanced Solid Tumors.</t>
  </si>
  <si>
    <t>NCT07567872</t>
  </si>
  <si>
    <t>A Phase I Study to Evaluate Safety, Tolerability, Pharmacokinetics, and Pharmacodynamics of HRS-9821 Powder for Inhalation Administered as a Single Dose in Healthy Participants and Multiple Doses in Patients With COPD</t>
  </si>
  <si>
    <t>NCT07426419</t>
  </si>
  <si>
    <t>An AAV Gene Therapy Trial of AFTX-201 in Adults With BAG3-Associated Dilated Cardiomyopathy (DCM)</t>
  </si>
  <si>
    <t>Affinia Therapeutics</t>
  </si>
  <si>
    <t>NCT07339267</t>
  </si>
  <si>
    <t>A Study to Evaluate the Safety and Drug Levels of ASP5541 in Chinese Participants With Prostate Cancer</t>
  </si>
  <si>
    <t>NCT07664592</t>
  </si>
  <si>
    <t>Comparative Efficacy of Different Dentin Occluding Toothpaste Technologies</t>
  </si>
  <si>
    <t>NCT07325136</t>
  </si>
  <si>
    <t>A Study to Assess the Safety and Tolerability of BMS-986525 Alone and in Combination Therapy in Participants With Relapsed/Refractory Small Cell Lung Cancer</t>
  </si>
  <si>
    <t>NCT07425522</t>
  </si>
  <si>
    <t>A Study to Evaluate the Safety, Tolerability, Pharmacodynamics, and Pharmacokinetics of RO7823653 in Participants With Diabetic Macular Edema (DME)</t>
  </si>
  <si>
    <t>NCT07673419</t>
  </si>
  <si>
    <t>A Clinical Study GK01 Cell Injection in Subjects With Advanced Lung Cancer</t>
  </si>
  <si>
    <t>NCT05564169</t>
  </si>
  <si>
    <t>Masitinib in Patients With Mild Alzheimer's Disease</t>
  </si>
  <si>
    <t>NCT07619183</t>
  </si>
  <si>
    <t>A Study to Evaluate the Multiple Dose Ascending of PG-033 in Healthy Adult Participants.</t>
  </si>
  <si>
    <t>NCT07675135</t>
  </si>
  <si>
    <t>A Phase 3 Efficacy and Safety Study of HBS-301 in Participants With Narcolepsy</t>
  </si>
  <si>
    <t>NCT05683574</t>
  </si>
  <si>
    <t>Fixed-dose Combination of Etoricoxib + Cyclobenzaprine for Pain Relief After Third Molar Extraction in Brazil</t>
  </si>
  <si>
    <t>NCT07559513</t>
  </si>
  <si>
    <t>A Study to Investigate the Safety, Pharmacokinetics (PK), and Efficacy of Garetosmab in Children and Adolescents With Fibrodysplasia Ossificans Progressiva (FOP)</t>
  </si>
  <si>
    <t>NCT07318558</t>
  </si>
  <si>
    <t>A Clinical Trial of Sac-TMT in People With Non-HRD Positive Advanced Ovarian Cancer (MK-2870-021)</t>
  </si>
  <si>
    <t>NCT07439250</t>
  </si>
  <si>
    <t>A Study of Olomorasib (LY3537982) in Healthy Participants</t>
  </si>
  <si>
    <t>NCT06428448</t>
  </si>
  <si>
    <t>Study to Evaluate the REMEDY SPECTRUM GV IM Spacer Nail in the Treatment of Ankle-Related Infections</t>
  </si>
  <si>
    <t>OsteoRemedies, LLC</t>
  </si>
  <si>
    <t>NCT07582315</t>
  </si>
  <si>
    <t>A Study Comparing BL-B01D1 With Treatment of Physician's Choice in Patients With Locally Advanced or Metastatic Biliary Tract Cancer After Failure of Platinum-based Chemotherapy(PANKU-BTC01)</t>
  </si>
  <si>
    <t>NCT07550374</t>
  </si>
  <si>
    <t>Phase I Clinical Study of NouvNeu001 Injection for the Treatment of Moderate-to-Advanced Parkinson's Disease in Patients Who Have Previously Undergone Deep Brain Stimulation or Deep Brain Nucleus Lesioning Surgery</t>
  </si>
  <si>
    <t>NCT07472647</t>
  </si>
  <si>
    <t>SYS6090 Combination Therapy in Advanced Lung Cancer</t>
  </si>
  <si>
    <t>NCT07302347</t>
  </si>
  <si>
    <t>A Study of Pembrolizumab in Japanese Pediatric Participants With Solid Tumors or Lymphomas and Japanese Adult Participants With Merkel Cell Carcinoma (MK-3475-G21/KEYNOTE-G21)</t>
  </si>
  <si>
    <t>NCT07596849</t>
  </si>
  <si>
    <t>A Study to Assess Efficacy and Safety of Efgartigimod PH20 SC PFS in Adult Participants With Graves' Disease.</t>
  </si>
  <si>
    <t>NCT07593391</t>
  </si>
  <si>
    <t>An Open-label Study of NNZ-2591 in Pediatric Participants With Phelan-McDermid Syndrome</t>
  </si>
  <si>
    <t>NCT07597018</t>
  </si>
  <si>
    <t>A Research Study to Compare Blood Levels of Cagrilintide After Multiple Doses of Different Versions of Cagrilintide in Adults With Overweight or Obesity</t>
  </si>
  <si>
    <t>NCT07544160</t>
  </si>
  <si>
    <t>BCMA-CD19 cCAR T for the Treatment of Refractory Inflammatory Bowel Disease (IBD)</t>
  </si>
  <si>
    <t>NCT07518589</t>
  </si>
  <si>
    <t>Phase 1 Study of Ascending Doses of CMS-D008 in Healthy and Overweight/Obese Adults</t>
  </si>
  <si>
    <t>NCT07015190</t>
  </si>
  <si>
    <t>Neoadjuvant Darovasertib in Primary Uveal Melanoma</t>
  </si>
  <si>
    <t>NCT07580924</t>
  </si>
  <si>
    <t>A Study of NHL907 in Healthy Adult Participants</t>
  </si>
  <si>
    <t>NeuHyll AUS Pty Ltd</t>
  </si>
  <si>
    <t>NCT07377643</t>
  </si>
  <si>
    <t>IBI354 With or Without Pertuzumab Versus Taxane, Trastuzumab and Pertuzumab in HER2-positive Metastatic Breast Cancer</t>
  </si>
  <si>
    <t>NCT07385235</t>
  </si>
  <si>
    <t>Compare and Evaluate the Safety and PK Data of a Single Dose Administration of 'AD-115A' or 'AD-1151'</t>
  </si>
  <si>
    <t>NCT07080008</t>
  </si>
  <si>
    <t>Evaluation of Lumitrace for Visualizing Ureters During Abdominopelvic Surgeries</t>
  </si>
  <si>
    <t>NCT07417917</t>
  </si>
  <si>
    <t>QLS12010 Capsules in Adults With Moderate to Severe Hidradenitis Suppurativa</t>
  </si>
  <si>
    <t>NCT07337174</t>
  </si>
  <si>
    <t>Study to Compare and Evaluate the Safety and Pharmacokinetics After Subcutaneous Injection of HUC2-676 or HUC2-676-R in Healthy Adult Subjects</t>
  </si>
  <si>
    <t>NCT07396168</t>
  </si>
  <si>
    <t>Nemolizumab to Treat Lichen Planopilaris, a Noncontrolled, Prospective, Pilot Study.</t>
  </si>
  <si>
    <t>NCT07154290</t>
  </si>
  <si>
    <t>A Study to Investigate Ubamatamab With and Without REGN7075 in Adult Participants With Advanced/Metastatic Non-Small Cell Lung Cancer (NSCLC)</t>
  </si>
  <si>
    <t>NCT07417189</t>
  </si>
  <si>
    <t>A Phase I/II Study of ABSK141 in Patients With Advanced Solid Tumors ( ABSK141-101 )</t>
  </si>
  <si>
    <t>NCT07320521</t>
  </si>
  <si>
    <t>A Study to Assess the Mass Balance of [14C]HRS-8080 in Healthy Chinese Postmenopausal Female Subjects.</t>
  </si>
  <si>
    <t>NCT07428538</t>
  </si>
  <si>
    <t>Study to Evaluate the Safety and Efficacy of Larsucosterol in Participants With Alcohol-associated Hepatitis (AH)</t>
  </si>
  <si>
    <t>NCT07646626</t>
  </si>
  <si>
    <t>SSGJ-705 Plus SSGJ-612 ± Chemotherapy in Advanced HER2-Expressing Solid Tumors</t>
  </si>
  <si>
    <t>NCT07024316</t>
  </si>
  <si>
    <t>A Study to Investigate the Improvement of Photosensitivity in Terms of Skin Lesions Associated With CEP Following Administration of Oral ATL-001 (Ciclopirox Oral Solution) in Participants Aged &gt;18 Years of Age With CEP</t>
  </si>
  <si>
    <t>NCT07620938</t>
  </si>
  <si>
    <t>Clinical Study of TJ0113 Capsule in the Treatment of Patients With Sarcopenia</t>
  </si>
  <si>
    <t>NCT07507838</t>
  </si>
  <si>
    <t>Safety and Pharmacokinetics Study of Multiple Ascending Doses of VV913 Capsules</t>
  </si>
  <si>
    <t>NCT07510958</t>
  </si>
  <si>
    <t>A Single- and Multiple- Ascending Dose Study to Evaluate the Safety, Tolerability and Pharmacokinetics of SYH2059 Powder for Inhalation</t>
  </si>
  <si>
    <t>NCT07369011</t>
  </si>
  <si>
    <t>A Study of Eloralintide (LY3841136) in Participants With Obstructive Sleep Apnea and Obesity or Overweight</t>
  </si>
  <si>
    <t>NCT07316608</t>
  </si>
  <si>
    <t>A Phase I Study Comparing the Relative Bioavailability of a Fixed-Dose Combination of Laroprovstat/Rosuvastatin vs Their Single Therapy Products in Healthy Adults</t>
  </si>
  <si>
    <t>NCT07378098</t>
  </si>
  <si>
    <t>to Evaluate the Efficacy and Safety of KLH-2109 in Patients With Uterine Fibroids and Menorrhagia</t>
  </si>
  <si>
    <t>NCT07554521</t>
  </si>
  <si>
    <t>A Study to Evaluate Efficacy and Safety of Tislelizumab Plus Chemotherapy for Locally Advanced Unresectable or Metastatic Gastric or Gastroesophageal Adenocarcinoma and Esophageal Squamous Cell Carcinoma in Racial and Ethnic Minority Patients in the United States</t>
  </si>
  <si>
    <t>NCT07500506</t>
  </si>
  <si>
    <t>A Study to Learn About the Safety, Tolerability, and Immunogenicity of a Fifth Dose of 6-Valent OspA-Based Lyme Disease Vaccine</t>
  </si>
  <si>
    <t>NCT07645235</t>
  </si>
  <si>
    <t>A Study to Evaluate Gepotidacin Exposure in Breast Milk of Healthy Lactating Women</t>
  </si>
  <si>
    <t>NCT07400744</t>
  </si>
  <si>
    <t>A Study to Compare the PK , Safety, and Immunogenicity of QL2109 With Daratumumab in Male Subjects</t>
  </si>
  <si>
    <t>NCT07623798</t>
  </si>
  <si>
    <t>A Study in Participants With Relapsed or Refractory Multiple Myeloma for IBI3003</t>
  </si>
  <si>
    <t>NCT07745114</t>
  </si>
  <si>
    <t>SAL0137 Phase I Study in in Healthy Participants With or Without Elevated Lp(a)</t>
  </si>
  <si>
    <t>NCT07483684</t>
  </si>
  <si>
    <t>A Clinical Study to Evaluate Injection TQB2102 for the Treatment of Patients With HER2 IHC3+ Advanced Colorectal Cancer Who Progressed After Treatment With Oxaliplatin, Irinotecan and Fluoropyrimidine-Based Drugs</t>
  </si>
  <si>
    <t>NCT07264816</t>
  </si>
  <si>
    <t>A Study of BL-M07D1 in Combination With Pembrolizumab in Patients With Unresectable Locally Advanced or Metastatic HER2-Overexpressing Non-Squamous NSCLC</t>
  </si>
  <si>
    <t>NCT07284784</t>
  </si>
  <si>
    <t>A Study of Buntanetap in Participants With PD</t>
  </si>
  <si>
    <t>NCT07404735</t>
  </si>
  <si>
    <t>NCT07544589</t>
  </si>
  <si>
    <t>A Phase 1 Study Evaluating DISP-10 in Participants With Advanced Gastrointestinal Cancers</t>
  </si>
  <si>
    <t>Dispatch Biotherapeutics</t>
  </si>
  <si>
    <t>NCT07345637</t>
  </si>
  <si>
    <t>Phase I Study of FXS887 in the Treatment of Solid Tumors</t>
  </si>
  <si>
    <t>NCT07508228</t>
  </si>
  <si>
    <t>A Study to Understand How a Study Medicine Called PF-07328948 is Absorbed and Processed in the Body of Healthy Male Adults</t>
  </si>
  <si>
    <t>NCT07523529</t>
  </si>
  <si>
    <t>Biomarker-Guided Dual-Target CAR-T Cells for Advanced Solid Tumors</t>
  </si>
  <si>
    <t>NCT07395739</t>
  </si>
  <si>
    <t>A Phase I Clinical Trial to Assess the Safety and Immunogenicity of DX-104</t>
  </si>
  <si>
    <t>Shanghai Yuguan Biotech Co., Ltd.（Delonix Bioworks)</t>
  </si>
  <si>
    <t>NCT07670377</t>
  </si>
  <si>
    <t>Drug-Interaction Assessment of GSK3772701 in Healthy Male and Female Participants Aged 18 to 55 Years</t>
  </si>
  <si>
    <t>NCT07444437</t>
  </si>
  <si>
    <t>A Phase II Trial of LM103 for Adjuvant Treatment in Patients With Non-small Cell Lung Cancer</t>
  </si>
  <si>
    <t>NCT07559175</t>
  </si>
  <si>
    <t>A Study to Evaluate Safety and Explore Efficacy of New Lipase NHS7108 in Adult Participants With Exocrine Pancreatic Insufficiency.</t>
  </si>
  <si>
    <t>Aimmune Nestlé Health Science US R&amp;D, LLC</t>
  </si>
  <si>
    <t>NCT07517198</t>
  </si>
  <si>
    <t>Dose Determining Study of EXS74539 (REC-4539) in Participants With Select Solid Tumors</t>
  </si>
  <si>
    <t>NCT07284472</t>
  </si>
  <si>
    <t>Safety and Efficacy of EXV-802 and EXV-801 in the Treatment of Agitation in Alzheimer's Disease Dementia</t>
  </si>
  <si>
    <t>Exciva GmbH</t>
  </si>
  <si>
    <t>NCT07298330</t>
  </si>
  <si>
    <t>A Trial Evaluating Brelovitug vs Delayed Treatment for the Treatment of Chronic Hepatitis Delta Infection (AZURE-4)</t>
  </si>
  <si>
    <t>NCT07229911</t>
  </si>
  <si>
    <t>A Study of TAK-781 in Healthy Volunteers and in Participants With Non-Cirrhotic Primary Sclerosing Cholangitis (PSC)</t>
  </si>
  <si>
    <t>NCT07606937</t>
  </si>
  <si>
    <t>A Study of Automated Axicabtagene Ciloleucel for R/R Large B-cell Lymphoma.</t>
  </si>
  <si>
    <t>Shenzhen Fosun Kairos Biotechnology Co., Ltd.</t>
  </si>
  <si>
    <t>NCT07670312</t>
  </si>
  <si>
    <t>Evaluation of XYA02 in Patients With Advanced Solid Tumors</t>
  </si>
  <si>
    <t>XYone Therapeutics, Inc</t>
  </si>
  <si>
    <t>NCT07734311</t>
  </si>
  <si>
    <t>A Study of Econoglutide Injection in Obese Participants With Knee Osteoarthritis (KOA)</t>
  </si>
  <si>
    <t>NCT07546500</t>
  </si>
  <si>
    <t>A Study of Azenosertib (ZN-c3) Versus Investigator's Choice Chemotherapy in Subjects With Platinum-Resistant High-Grade Serous Ovarian, Primary Peritoneal, or Fallopian Tube Cancers Positive for Cyclin E1 Protein Expression</t>
  </si>
  <si>
    <t>NCT07224581</t>
  </si>
  <si>
    <t>Beeline: A Phase 3 Study in GRIN-related Neurodevelopmental Disorder</t>
  </si>
  <si>
    <t>NCT07649200</t>
  </si>
  <si>
    <t>Study of SNH-118110 in Advanced Solid Tumors</t>
  </si>
  <si>
    <t>NCT07348211</t>
  </si>
  <si>
    <t>First in Human Study of SIM0610 in Solid Tumors</t>
  </si>
  <si>
    <t>NCT07478744</t>
  </si>
  <si>
    <t>A Phase 2a Efficacy, Safety, Tolerability, and PK Study of SYT-510 in Participants With Generalized Anxiety Disorder</t>
  </si>
  <si>
    <t>NCT07537075</t>
  </si>
  <si>
    <t>An Extension of SKY-0515 in Participants With Huntington's Disease</t>
  </si>
  <si>
    <t>NCT07719257</t>
  </si>
  <si>
    <t>Evaluation of the Safety, Tolerability and Pharmacokinetics of TUL108 for Injection in Healthy Participants (SAD/ MAD)</t>
  </si>
  <si>
    <t>NCT07610837</t>
  </si>
  <si>
    <t>Study of AZD2389 Safety, Tolerability, and Pharmacodynamics in Adults With Steatotic Liver Disease and Advanced Fibrosis</t>
  </si>
  <si>
    <t>NCT07671092</t>
  </si>
  <si>
    <t>Imaging Study in Metastatic UC, HR+ and HER2- Breast Cancer, TNBC, and NSCLC</t>
  </si>
  <si>
    <t>NCT07169695</t>
  </si>
  <si>
    <t>A Study to Compare the Effectiveness and Safety of T1695 Versus Ciclosporin in Participants With Moderate to Severe Vernal Keratoconjunctivitis</t>
  </si>
  <si>
    <t>NCT07262281</t>
  </si>
  <si>
    <t>Evaluation of the Safety, Tolerability and Pharmacokinetics of HY6725 in Healthy Adult Participants</t>
  </si>
  <si>
    <t>NCT07623486</t>
  </si>
  <si>
    <t>Trial of HSK44459 Cream for the Management Plaque Psoriasis</t>
  </si>
  <si>
    <t>NCT07556822</t>
  </si>
  <si>
    <t>Phase I Study of HRS-3005 in B-cell Malignancies</t>
  </si>
  <si>
    <t>NCT07618156</t>
  </si>
  <si>
    <t>Safety, Tolerability, Pharmacokinetics and Pharmacodynamics of KR25102 in Healthy Volunteers</t>
  </si>
  <si>
    <t>NCT07605429</t>
  </si>
  <si>
    <t>BEACON - Phase III Clinical Study of Rugonersen in Angelman Syndrome.</t>
  </si>
  <si>
    <t>OHB Pediatrics Ltd.</t>
  </si>
  <si>
    <t>NCT07365241</t>
  </si>
  <si>
    <t>A Study to Evaluate Adverse Events and Change in Disease Activity of Intravenous ABBV-706 Versus Standard of Care in Adult Participants With Relapsed/Refractory Small Cell Lung Cancer</t>
  </si>
  <si>
    <t>NCT07324837</t>
  </si>
  <si>
    <t>Single Bolus Non-immunogenic Staphylokinase in Patients With Acute Ischemic Stroke Within 4.5-24 Hours of Symptom Onset</t>
  </si>
  <si>
    <t>NCT07607054</t>
  </si>
  <si>
    <t>A First-in-human Phase I Study to Evaluate EMB-15 in Patients With Locally Advanced or Metastatic Solid Tumors.</t>
  </si>
  <si>
    <t>NCT07318883</t>
  </si>
  <si>
    <t>A Phase II/III Clinical Study to Evaluate HLX07 in Combination With Serplulimab and Chemotherapy Versus Placebo in Combination With Serplulimab or Pembrolizumab and Chemotherapy as First-Line Treatment in Advanced Squamous Non-Small Cell Lung Cancer</t>
  </si>
  <si>
    <t>NCT07661056</t>
  </si>
  <si>
    <t>Study to Determine if BHV-1300 is Effective and Safe in Adults With Graves' Disease</t>
  </si>
  <si>
    <t>NCT07459751</t>
  </si>
  <si>
    <t>A Global Phase II/III Clinical Study to Evaluate the Efficacy and Safety of HLX43 Monotherapy or HLX43 in Combination With HLX07 Versus Docetaxel in Advanced or Metastatic Squamous Non-Small Cell Lung Cancer</t>
  </si>
  <si>
    <t>NCT07510945</t>
  </si>
  <si>
    <t>HSK3486 (Cipepofol) Injectable Emulsion for Induction of General Anesthesia in Pediatric Subjects Undergoing Elective Surgery</t>
  </si>
  <si>
    <t>NCT07663318</t>
  </si>
  <si>
    <t>A Phase 1 Study to Evaluate the Relative Bioavailability of Octreotide Acetate Tablets(T25) Compared to MYCAPSSA® and The Food Effect on Pharmacokinetics Of Octreotide Acetate Tablets(T25)</t>
  </si>
  <si>
    <t>Triastek (Shanghai) Limited</t>
  </si>
  <si>
    <t>NCT07480213</t>
  </si>
  <si>
    <t>NCT07672223</t>
  </si>
  <si>
    <t>A Study of SYS6010 Plus Anti-PD-(L)-1 Monoclonal Antibody as Adjuvant Therapy in Non-small Cell Lung Cancer (NSCLC)</t>
  </si>
  <si>
    <t>NCT07662213</t>
  </si>
  <si>
    <t>A Study to Find Out if the Study Drug Elecoglipron Helps Adults With Type 2 Diabetes Mellitus by Comparing it With Semaglutide, a Medicine Already Used to Treat Type 2 Diabetes Mellitus</t>
  </si>
  <si>
    <t>NCT07404579</t>
  </si>
  <si>
    <t>Safety and Efficacy of HRS-9190 Compared to Rocuronium for Bolus Maintenance in Adults</t>
  </si>
  <si>
    <t>NCT07481708</t>
  </si>
  <si>
    <t>A Clinical Study of the Effect of Enlicitide (MK-0616) Formulations in Healthy Participants (MK-0616-041)</t>
  </si>
  <si>
    <t>NCT07623850</t>
  </si>
  <si>
    <t>A Phase I Study of JLM019 Injection</t>
  </si>
  <si>
    <t>NCT07347197</t>
  </si>
  <si>
    <t>Endocardial Delivery for Myocardial Regeneration Using Allogeneic iPSC-derived Cardiomyocyte Spheroids for HF With Systolic Dysfunction (EMERALD Study)</t>
  </si>
  <si>
    <t>NCT07486817</t>
  </si>
  <si>
    <t>Beamion 44: A Study to Test How Well Zongertinib is Tolerated by People With Advanced Non-small Cell Lung Cancer With HER2 Mutations When Given in Combination With Chemotherapy With or Without Pembrolizumab</t>
  </si>
  <si>
    <t>NCT07313150</t>
  </si>
  <si>
    <t>A Phase I Trial of Subcutaneous QLS7305 in Healthy Adults</t>
  </si>
  <si>
    <t>NCT07325279</t>
  </si>
  <si>
    <t>Nalmefene Implant in Healthy Subjects</t>
  </si>
  <si>
    <t>ReacX Pharmaceuticals, Inc.</t>
  </si>
  <si>
    <t>NCT07392190</t>
  </si>
  <si>
    <t>A Study of Eloralintide (LY3841136) in Participants With Persistent Obesity Who Are Treated With a Weekly Incretin</t>
  </si>
  <si>
    <t>NCT07479797</t>
  </si>
  <si>
    <t>Study Evaluating the Efficacy of KITE-753 Versus Axicabtagene Ciloleucel in Participants With Relapsed or Refractory Large B-Cell Lymphoma After First-Line Therapy</t>
  </si>
  <si>
    <t>NCT07482813</t>
  </si>
  <si>
    <t>An Open Label Extension Safety Study to Evaluate SD-101 in Epidermolysis Bullosa</t>
  </si>
  <si>
    <t>Paradigm Therapeutics</t>
  </si>
  <si>
    <t>NCT06951880</t>
  </si>
  <si>
    <t>A Study to Investigate the Safety and Pharmacokinetics of Single- and Multiple-ascending Doses of AZD4916 in Healthy Volunteers</t>
  </si>
  <si>
    <t>NCT07611513</t>
  </si>
  <si>
    <t>Protective Efficacy , Immunogenicity and Safety of the Tetravalent Inactivated Enterovirus Vaccine (Vero Cell).</t>
  </si>
  <si>
    <t>NCT07545759</t>
  </si>
  <si>
    <t>A Study of Brenipatide (LY3537031) in Participants With Irritable Bowel Syndrome-Diarrhea (IBS-D)</t>
  </si>
  <si>
    <t>NCT07449780</t>
  </si>
  <si>
    <t>A Study of AK104 (SC) in Combination With Oxaliplatin and Capecitabine (XELOX) Versus AK104 (IV) in Combination With XELOX in Participants With Unresectable Locally Advanced or Metastatic Gastric Adenocarcinoma or Gastroesophageal Junction Adenocarcinoma</t>
  </si>
  <si>
    <t>NCT07557927</t>
  </si>
  <si>
    <t>A Multicentre, Randomised, Double-blind, Positive-control Clinical Trial Evaluating Dihydroartemisinin Tablets for the Treatment of Discoid Lupus Erythematosus</t>
  </si>
  <si>
    <t>NCT07523282</t>
  </si>
  <si>
    <t>Safety and Preliminary Efficacy of HN2302 in Patients With Autoimmune Diseases</t>
  </si>
  <si>
    <t>NCT07339423</t>
  </si>
  <si>
    <t>AMAZE 1: A Research Study Investigating How Well the Medicine NNC0487-0111 Helps People With Excess Body Weight Lose Weight</t>
  </si>
  <si>
    <t>NCT07508020</t>
  </si>
  <si>
    <t>A Research Study Looking at How NNC0487-0111 Affects Food Intake, Appetite and Metabolism After Meals in People With Obesity</t>
  </si>
  <si>
    <t>NCT07361120</t>
  </si>
  <si>
    <t>Plan A Occlusion and Reversal System Feasibility Study</t>
  </si>
  <si>
    <t>NCT07462923</t>
  </si>
  <si>
    <t>HS-20093 in Patients With Advanced Gastric and Gastroesophageal Junction Adenocarcinoma</t>
  </si>
  <si>
    <t>NCT07665723</t>
  </si>
  <si>
    <t>An Early-Stage Study in Multiple Clinics of How Afimkibart May Affect the Body's Processing of Medicines That Rely on Cytochrome P450 Enzymes in Participants With Ulcerative Colitis</t>
  </si>
  <si>
    <t>NCT07461220</t>
  </si>
  <si>
    <t>Safety and Tolerability of IRL757 in Participants With Parkinson's Disease and Apathy</t>
  </si>
  <si>
    <t>NCT07584720</t>
  </si>
  <si>
    <t>Study of Midomafetamine in Healthy Adults</t>
  </si>
  <si>
    <t>NCT02779192</t>
  </si>
  <si>
    <t>A Phase 2b Study of SPI-1005 to Prevent Acute Noise Induced Hearing Loss</t>
  </si>
  <si>
    <t>NCT07495033</t>
  </si>
  <si>
    <t>Phase III Clinical Trial of Telitacicept Injection in the Treatment of Patients With Connective Tissue Disease-related Interstitial Lung Disease</t>
  </si>
  <si>
    <t>NCT06087536</t>
  </si>
  <si>
    <t>A Clinical Trial to Assess the Safety and PK of OMN6 in HABP or VABP Caused by Acinetobacter Baumannii Complex</t>
  </si>
  <si>
    <t>Omnix Medical Ltd</t>
  </si>
  <si>
    <t>NCT07627698</t>
  </si>
  <si>
    <t>Dual-Target CSPG4/GD2 CAR-NK Cells for Advanced Melanoma</t>
  </si>
  <si>
    <t>NCT07609914</t>
  </si>
  <si>
    <t>A Study to Learn About the Safety of Taking an Additional Dose of the Medicine Rimegepant in Adults With Migraine</t>
  </si>
  <si>
    <t>NCT07054099</t>
  </si>
  <si>
    <t>A Study to Evaluate Immunogenicity and Safety After the First and Second Doses of MG1111 (BARYCELA Inj.) in Healthy Children Aged 12 Months to 12 Years</t>
  </si>
  <si>
    <t>NCT07294365</t>
  </si>
  <si>
    <t>A Study of DZD8586 in Adults With Primary Immune Thrombocytopenia (ITP) (TAI-SHAN11)</t>
  </si>
  <si>
    <t>NCT07479667</t>
  </si>
  <si>
    <t>An Antibody-armored Dendritic Cell in Patients With Solid Tumors</t>
  </si>
  <si>
    <t>NCT07290400</t>
  </si>
  <si>
    <t>Effect of Moderate Alcohol on Absorption and Onset of Hezkue Sildenafil Suspension</t>
  </si>
  <si>
    <t>NCT07456371</t>
  </si>
  <si>
    <t>PIC1 Injection Therapy for Relapsed/Refractory B-NHL</t>
  </si>
  <si>
    <t>NCT07482592</t>
  </si>
  <si>
    <t>Clinical Trial of TQB3205 Capsule in Subjects With Advanced Malignant Tumors</t>
  </si>
  <si>
    <t>NCT07619287</t>
  </si>
  <si>
    <t>An Investigational Study of BG-75202 Alone and in Combination With Other Agents in Patients With Myeloid Malignancies</t>
  </si>
  <si>
    <t>NCT07648264</t>
  </si>
  <si>
    <t>Single-arm Study of IgPro20 in Adults With Secondary Immune Deficiencies Due to Hematologic Malignancies Treated With B-cell Targeting Chimeric Antigen Receptor T-cell and T-cell Redirecting Therapies</t>
  </si>
  <si>
    <t>NCT07585565</t>
  </si>
  <si>
    <t>A Study to Evaluate the Efficacy and Safety of Monosialotetrahexosylganglioside Sodium Injection in Parkinson's Disease Participants With Motor Fluctuations</t>
  </si>
  <si>
    <t>NCT07197944</t>
  </si>
  <si>
    <t>Efficacy And Safety Evaluation of Glepaglutide in Treatment of SBS</t>
  </si>
  <si>
    <t>NCT07562152</t>
  </si>
  <si>
    <t>Atebimetinib + GnP as a First Line Treatment in Patients With Metastatic Pancreatic Adenocarcinoma</t>
  </si>
  <si>
    <t>NCT07288112</t>
  </si>
  <si>
    <t>DOC1021 Dendritic Cell Immunotherapy for Refractory Melanoma</t>
  </si>
  <si>
    <t>NCT07101328</t>
  </si>
  <si>
    <t>A Study of LY4152199 in Participants With Previously Treated B-cell Malignancies (BAF_FRontier-1 )</t>
  </si>
  <si>
    <t>NCT07229638</t>
  </si>
  <si>
    <t>A IB/II Phase Clinical Study on the Safety, Tolerability, and Efficacy of SHR-9839(sc) in Combination Anti-tumor Therapy in Patients With Solid Tumors</t>
  </si>
  <si>
    <t>NCT07601243</t>
  </si>
  <si>
    <t>Study of GS-2426 in Participants With Advanced Solid Tumors</t>
  </si>
  <si>
    <t>NCT07619885</t>
  </si>
  <si>
    <t>The Pharmacokinetics and Pharmacodynamics Study of Evategrel CG-0255 Besylate）and Plavix® in Healthy Participants</t>
  </si>
  <si>
    <t>Shanghai CureGene Pharmaceutical Co., Ltd.</t>
  </si>
  <si>
    <t>NCT07391878</t>
  </si>
  <si>
    <t>Evaluate the Safety and Efficacy of TRG-200 KIT in Patients With Refractory Overactive Bladder.</t>
  </si>
  <si>
    <t>Trigone Pharma Ltd.</t>
  </si>
  <si>
    <t>NCT07634484</t>
  </si>
  <si>
    <t>A Post-Marketing Clinical Trial of Pemafibrate in Patients ｗith Hypercholesterolemia and Inadequate Response to Statins</t>
  </si>
  <si>
    <t>NCT07377838</t>
  </si>
  <si>
    <t>Study of ADSTEM Injection for Patients With Moderate to Severe Subacute and Chronic Atopic Dermatitis</t>
  </si>
  <si>
    <t>NCT07524348</t>
  </si>
  <si>
    <t>A Trial to Investigate the Safety of E303 in Participants With Advanced Refractory Solid Tumors</t>
  </si>
  <si>
    <t>NCT07356973</t>
  </si>
  <si>
    <t>Irinotecan-ChemoSeed in Surgically Resectable Glioblastoma</t>
  </si>
  <si>
    <t>CRISM Therapeutics LTD</t>
  </si>
  <si>
    <t>NCT07544251</t>
  </si>
  <si>
    <t>Comparing Sarecycline and Doxycycline Effects on the Skin and Gut Bacteria in Acne.</t>
  </si>
  <si>
    <t>NCT07573462</t>
  </si>
  <si>
    <t>A Study to Learn About the Safety of an Expanded Pneumococcal Vaccine in Healthy Infants</t>
  </si>
  <si>
    <t>NCT07557446</t>
  </si>
  <si>
    <t>A Dose REgimen-Finding Study of AGA2115 in Chinese Patients With Osteogenesis ImpeRfecta (EIR)</t>
  </si>
  <si>
    <t>Angitia Biopharmaceuticals Guangzhou Limited</t>
  </si>
  <si>
    <t>NCT06438471</t>
  </si>
  <si>
    <t>Novel Soluble Epoxide Hydrolase Inhibitor for Neuropathic Pain in Patients With Spinal Cord Injury</t>
  </si>
  <si>
    <t>NCT07348601</t>
  </si>
  <si>
    <t>A Study of CSTI-500 in Patients With Prader-Willi Syndrome</t>
  </si>
  <si>
    <t>NCT05094011</t>
  </si>
  <si>
    <t>Evaluating Safety, Tolerability, and Efficacy of Autologous MitoCell Transplantation in Subjects With Idiopathic Parkinson's Disease</t>
  </si>
  <si>
    <t>Taiwan Mitochondrion Applied Technology Co., Ltd.</t>
  </si>
  <si>
    <t>NCT07730567</t>
  </si>
  <si>
    <t>A Study to Evaluate the Pharmacokinetic Interaction and the Safety of AD-236A and AD-236B</t>
  </si>
  <si>
    <t>NCT07593092</t>
  </si>
  <si>
    <t>Phase 1, Safety and Tolerability Study of XmAb541 and XmAb808 in Advanced Solid Tumors</t>
  </si>
  <si>
    <t>NCT07280936</t>
  </si>
  <si>
    <t>A Study of SHR-2906 Injection in Healthy Subjects With a Single Dose and in Obese Patients With Multiple Doses</t>
  </si>
  <si>
    <t>NCT07457671</t>
  </si>
  <si>
    <t>TAR-0520 Gel in Hand and Foot Syndrome</t>
  </si>
  <si>
    <t>NCT07070999</t>
  </si>
  <si>
    <t>Study of Safety, Tolerability and Efficacy of GB221 in Infants With Spinal Muscular Atrophy Type 1</t>
  </si>
  <si>
    <t>NCT07405164</t>
  </si>
  <si>
    <t>Extension Study for Participants in Studies That Include Belzutifan (MK-6482-043/LITESPARK-043)</t>
  </si>
  <si>
    <t>NCT07509307</t>
  </si>
  <si>
    <t>AMAZE 6: A Research Study Investigating How Well the Medicine NNC0487-0111 Helps People With Excess Body Weight and Knee Osteoarthritis Lose Weight and Reduce Pain</t>
  </si>
  <si>
    <t>NCT07195695</t>
  </si>
  <si>
    <t>Beamion LUNG-3: Adjuvant Zongertinib vs Standard Treatment in People With Completely Resected Stage II-IIIB NSCLC Harboring Activating HER2 TKD Mutations</t>
  </si>
  <si>
    <t>NCT07474636</t>
  </si>
  <si>
    <t>Efficacy and Safety Study of HS-10542 for IgA Nephropathy</t>
  </si>
  <si>
    <t>NCT07539311</t>
  </si>
  <si>
    <t>Study to Assess the Efficacy and Safety of Rina-S in Participants With Advanced Gastrointestinal (GI) Cancers</t>
  </si>
  <si>
    <t>NCT07326488</t>
  </si>
  <si>
    <t>A Study of MHB009C in Patients With Advanced Solid Tumors</t>
  </si>
  <si>
    <t>NCT03567824</t>
  </si>
  <si>
    <t>MLD10 for the Treatment of Hypomagnesemic Patients With Type 2 Diabetes Mellitus</t>
  </si>
  <si>
    <t>Pharmalyte Solutions LLC</t>
  </si>
  <si>
    <t>NCT07160205</t>
  </si>
  <si>
    <t>Safety and Efficacy of ULSC on Disease Severity and Steroid Tapering in Participants With Dermatomyositis/ Polymyositis (DM/PM), Also Known as Idiopathic Inflammatory Myopathy (IIM)</t>
  </si>
  <si>
    <t>NCT07684820</t>
  </si>
  <si>
    <t>To Evaluate the Effect of EXPD-101/FXS7553 Compared With Placebo in Patients With COPD Over 52 Weeks of Treatment</t>
  </si>
  <si>
    <t>Expedition Therapeutics, Inc</t>
  </si>
  <si>
    <t>NCT07749586</t>
  </si>
  <si>
    <t>A Study to Evaluate ARV-6723 Alone and With Pembrolizumab in Participants With Advanced Solid Tumors</t>
  </si>
  <si>
    <t>NCT07438405</t>
  </si>
  <si>
    <t>An Open-label, Rollover Trial to Evaluate the Efficacy and Safety of AMG 732 in Participants With Thyroid Eye Disease</t>
  </si>
  <si>
    <t>NCT07486089</t>
  </si>
  <si>
    <t>Dual-Target CAR-NK Cells for Advanced Breast Cancer (HER2+ and TNBC)</t>
  </si>
  <si>
    <t>NCT05199688</t>
  </si>
  <si>
    <t>A Study To Evaluate Pharmacokinetics, Efficacy, Safety, Tolerability, And Pharmacodynamics Of Satralizumab In Pediatric Patients With Aquaporin-4 Antibody Positive Neuromyelitis Optica Spectrum Disorder (NMOSD)</t>
  </si>
  <si>
    <t>NCT07281703</t>
  </si>
  <si>
    <t>Evaluation of the Safety, Tolerability and Pharmacokinetics of HY8931 in Healthy Adult Participants</t>
  </si>
  <si>
    <t>NCT07396870</t>
  </si>
  <si>
    <t>A Phase 2 Study to Evaluate the Efficacy and Safety of LY03020 in Acutely Psychotic Participants With Schizophrenia</t>
  </si>
  <si>
    <t>NCT07426380</t>
  </si>
  <si>
    <t>A Study of Eloralintide (LY3841136) in Participants With Renal Impairment and in Participants With Normal Renal Function</t>
  </si>
  <si>
    <t>NCT07328087</t>
  </si>
  <si>
    <t>COLONYVAQ™, a Quantum-Classical Guided Personalized Neoantigen Vaccine for MSS Stage III Colorectal Cancer</t>
  </si>
  <si>
    <t>NCT07639021</t>
  </si>
  <si>
    <t>A Research Study Comparing Different Ways of Increasing the Dose of NNC0662-0419 in Participants With Obesity</t>
  </si>
  <si>
    <t>NCT07377721</t>
  </si>
  <si>
    <t>A Study of HRS-2129 in Patients With Diabetic Peripheral Neuropathic Pain</t>
  </si>
  <si>
    <t>NCT07525739</t>
  </si>
  <si>
    <t>Assessing Changes in the Gut Microbiome of Non-Gastrointestinal Disordered Subjects Before and After Oral Prebiotic Supplementation Using the SIMBA Capsule</t>
  </si>
  <si>
    <t>NCT07570992</t>
  </si>
  <si>
    <t>A Research Study to Evaluate the Safety of NNC1679-0001 When Given to Healthy Participants and Participants With T2DM</t>
  </si>
  <si>
    <t>NCT06966492</t>
  </si>
  <si>
    <t>Investigation of the Interplay Between Local Oral Inflammation, Microbiota and Systemic Immune Responses.</t>
  </si>
  <si>
    <t>NCT07645287</t>
  </si>
  <si>
    <t>A Study of GS-3242 in Combination With Lenacapavir Versus Biktarvy in Virologically Suppressed People With HIV-1</t>
  </si>
  <si>
    <t>NCT07399704</t>
  </si>
  <si>
    <t>A Study to Evaluate the Safety and Efficacy of Nizubaglustat (AZ-3102) in Patients With GM2 Gangliosidosis or Niemann-Pick Type C Disease</t>
  </si>
  <si>
    <t>NCT07678463</t>
  </si>
  <si>
    <t>A Single and Multiple Ascending Dose Escalation and Food Effect Study of QX-4533 in Healthy Participants</t>
  </si>
  <si>
    <t>QuantX Biosciences, Inc.</t>
  </si>
  <si>
    <t>NCT07516093</t>
  </si>
  <si>
    <t>Study of NX-5948 Versus Pirtobrutinib in R/R CLL/SLL</t>
  </si>
  <si>
    <t>NCT07493265</t>
  </si>
  <si>
    <t>A Study to Evaluate the Efficacy and Safety of E2086 in Adults With Narcolepsy</t>
  </si>
  <si>
    <t>NCT07644364</t>
  </si>
  <si>
    <t>HJB647 Phase 1b Study in Japanese Healthy Participants With Elevated Blood Pressure and Patients With Hypertension</t>
  </si>
  <si>
    <t>NCT07217587</t>
  </si>
  <si>
    <t>Comparative Efficacy of Nipocalimab and Efgartigimod in Participants With Generalized Myasthenia Gravis</t>
  </si>
  <si>
    <t>NCT07372287</t>
  </si>
  <si>
    <t>A Phase III Study of CM326 in Subjects With Moderate to Severe Asthma</t>
  </si>
  <si>
    <t>NCT07360314</t>
  </si>
  <si>
    <t>Anti-Ly6E Exatecan ADC M7437 in Advanced Solid Tumors</t>
  </si>
  <si>
    <t>NCT07654114</t>
  </si>
  <si>
    <t>Safety, Tolerability, and Preliminary Effectiveness of CTH120 in Fragile X Syndrome</t>
  </si>
  <si>
    <t>NCT07533539</t>
  </si>
  <si>
    <t>Phase I Study to Evaluate the Pharmacokinetics and Safety After Co-administration of L03RD1 and L03RD2 or Administration of L03TD1 in Healthy Volunteers</t>
  </si>
  <si>
    <t>NCT07518186</t>
  </si>
  <si>
    <t>A Study Comparing JNJ-79635322 and Teclistamab in Participants With Relapsed or Refractory Multiple Myeloma</t>
  </si>
  <si>
    <t>NCT07533175</t>
  </si>
  <si>
    <t>AMAZE 2: A Research Study Investigating How Well the Medicine NNC0487-0111 Helps People With Excess Body Weight and Type 2 Diabetes Lose Weight</t>
  </si>
  <si>
    <t>NCT07678775</t>
  </si>
  <si>
    <t>Open-Label Extension Study of BBP-418 (Ribitol) for LGMD2I/R9</t>
  </si>
  <si>
    <t>NCT07524257</t>
  </si>
  <si>
    <t>Phase 3 Study of Nogapendekin Alfa Inbakicept Plus Standard of Care vs Standard of Care in First-Line Advanced or Metastatic NSCLC</t>
  </si>
  <si>
    <t>NCT07446101</t>
  </si>
  <si>
    <t>A Study of Mirikizumab Solution (LY3074828) in Healthy Participants</t>
  </si>
  <si>
    <t>NCT07215273</t>
  </si>
  <si>
    <t>Phase 2 EL219 Versus Liposomal Amphotericin B or Voriconazole for Early Antifungal Therapy</t>
  </si>
  <si>
    <t>Elion Therapeutics, Inc.</t>
  </si>
  <si>
    <t>NCT07606105</t>
  </si>
  <si>
    <t>Bioequivalence Study of Ferric Carboxymaltose Injection in Healthy Chinese Participants Under Fasting Conditions</t>
  </si>
  <si>
    <t>NCT07310173</t>
  </si>
  <si>
    <t>Phase IIb Study of AST-3424 in Patients With AKR1C3-high Expressing Advanced Hepatocellular Carcinoma</t>
  </si>
  <si>
    <t>NCT07661641</t>
  </si>
  <si>
    <t>A Study of [177Lu]Lu-A9-0631 and [225Ac]Ac-A9-0642 With [68Ga]Ga-A9-6217 or [177Lu]Lu-A9-0631 Imaging in GRPR+ Solid Tumors</t>
  </si>
  <si>
    <t>NCT07467629</t>
  </si>
  <si>
    <t>QLS5212 for Participants With Advanced Solid Tumors</t>
  </si>
  <si>
    <t>NCT07629258</t>
  </si>
  <si>
    <t>A Phase I Trial of GW01-200 Tablets in Subjects With Advanced Tumors</t>
  </si>
  <si>
    <t>Groovy Medicine (Hangzhou) Ltd.</t>
  </si>
  <si>
    <t>NCT07636785</t>
  </si>
  <si>
    <t>A Phase 1 and 2 Study of VMD-102 in Hepatocellular Carcinoma and Other Solid Tumors</t>
  </si>
  <si>
    <t>VM Discovery, Inc.</t>
  </si>
  <si>
    <t>NCT07614191</t>
  </si>
  <si>
    <t>A Clinical Study to Evaluate the Safety and Efficacy of GT801 Injection in the Treatment of Moderate to Severe Refractory Autoimmune Diseases</t>
  </si>
  <si>
    <t>Vivacta Biotechnology (Shanghai) Co., Ltd.</t>
  </si>
  <si>
    <t>NCT07410455</t>
  </si>
  <si>
    <t>An Open-label, Phase 2 Pilot Study on the Efficacy and Safety of Piclidenoson in Patients With Lowe Syndrome</t>
  </si>
  <si>
    <t>NCT07285018</t>
  </si>
  <si>
    <t>A Chronic Pain Master Protocol (CPMP): A Study of LY4065967 in Participants With Diabetic Peripheral Neuropathic Pain</t>
  </si>
  <si>
    <t>NCT07371455</t>
  </si>
  <si>
    <t>A Study to Evaluate the Safety, Tolerability, Pharmacokinetics, and Pharmacodynamics of LWP779 in Healthy Participants</t>
  </si>
  <si>
    <t>Longwood Pharmaceuticals (Hangzhou) Co., Ltd.</t>
  </si>
  <si>
    <t>NCT07591285</t>
  </si>
  <si>
    <t>A Study of SYS6051 in Subjects With Advanced Solid Tumors</t>
  </si>
  <si>
    <t>NCT06297213</t>
  </si>
  <si>
    <t>R-2487 in Patients With Sjogren's Syndrome (SS)</t>
  </si>
  <si>
    <t>NCT07523555</t>
  </si>
  <si>
    <t>Adaptive Dual-Target CAR-T Cells for Relapsed or Refractory Hematologic Malignancies</t>
  </si>
  <si>
    <t>NCT07456826</t>
  </si>
  <si>
    <t>Study Evaluating the Efficacy and Safety of Chloroprocaine HCl Ophthalmic Gel 3% vs Proparacaine Ophthalmic Solution 0.5% Plus Subconjunctival Lidocaine in Patients Undergoing Intravitreal Injections</t>
  </si>
  <si>
    <t>NCT07664735</t>
  </si>
  <si>
    <t>A Phase 1 Study to Evaluate the Safety and Efficacy of OPB-201 in Recurrent Endometrial and Platinum-resistant Ovarian Cancer.</t>
  </si>
  <si>
    <t>NCT07648225</t>
  </si>
  <si>
    <t>UBT251 Injection Phase Ⅲ Study (Overweight or Obesity)</t>
  </si>
  <si>
    <t>NCT07673068</t>
  </si>
  <si>
    <t>Clinical Trial to Evaluate the Safety, Tolerability, and Pharmacokinetic Profile of TVAX-028 in the Treatment of Chronic Hepatitis B</t>
  </si>
  <si>
    <t>NCT07195682</t>
  </si>
  <si>
    <t>A First-in-Human Study of BMS-986506 in Participants With Advanced Clear Cell Renal Cell Carcinoma (ccRCC)</t>
  </si>
  <si>
    <t>NCT07332455</t>
  </si>
  <si>
    <t>First-Time-in-Human Study of GSK5471713 in Adults With mCRPC</t>
  </si>
  <si>
    <t>NCT07392450</t>
  </si>
  <si>
    <t>A Study of TAK-755 in Adults With Acute Ischemic Stroke</t>
  </si>
  <si>
    <t>NCT07646548</t>
  </si>
  <si>
    <t>Pharmacokinetics and Tolerability of Subcutaneous Dupilumab Coformulated With Berahyaluronidase Alfa and Dupilumab Without Berahyaluronidase Alfa in Healthy Participants</t>
  </si>
  <si>
    <t>NCT07446855</t>
  </si>
  <si>
    <t>Study of AZD4956 as Monotherapy and in Combination With Anti-Cancer Agents in Participants With Advanced/Metastatic Homologous Recombination Deficient Solid Tumours</t>
  </si>
  <si>
    <t>NCT07632976</t>
  </si>
  <si>
    <t>A Phase I, Dose Escalation, Open-label, Multicenter Study of EA5 Injection in Adults With APS and Recurrent Thrombosis</t>
  </si>
  <si>
    <t>NCT07592689</t>
  </si>
  <si>
    <t>A Phase 3 Trial of DT120 for Major Depressive Disorder (Ascend)</t>
  </si>
  <si>
    <t>NCT07554365</t>
  </si>
  <si>
    <t>A Trial to Assess Safety, Tolerability, and Pharmacokinetics of AN01 Inhalation Powder in Healthy Participants</t>
  </si>
  <si>
    <t>AirNexis Therapeutics, Inc.</t>
  </si>
  <si>
    <t>NCT07452822</t>
  </si>
  <si>
    <t>Safety and Efficacy Study of Human Umbilical Cord Mesenchymal Stem Cells in Preventing Arteriovenous Fistula Stenosis in Patients With End-Stage Diabetic Kidney Disease</t>
  </si>
  <si>
    <t>NCT07551505</t>
  </si>
  <si>
    <t>Safety, PK, and PD of BSA204 in Chinese Adults With Borderline Elevated Lipoprotein(a)</t>
  </si>
  <si>
    <t>NCT07553637</t>
  </si>
  <si>
    <t>ALTO-207 in Adults With Treatment-resistant Depression (TRD)</t>
  </si>
  <si>
    <t>NCT07684469</t>
  </si>
  <si>
    <t>Comparative Assessment of Inclisiran on Top of Standard of Care Versus Standard of Care Alone for LDL-C Evaluation in Acute Coronary Syndrome Patients in Saudi Arabia</t>
  </si>
  <si>
    <t>NCT07626437</t>
  </si>
  <si>
    <t>Fixed-dose Combination of 1000 mg Dipyrone Monohydrate + 60 mg Caffeine + 4 mg Chlorpheniramine Maleate in Improving Symptoms of the Common Cold and Flu in Adults</t>
  </si>
  <si>
    <t>NCT07589595</t>
  </si>
  <si>
    <t>A Study of Donanemab (LY3002813) in Participants With Early Cognitive Decline (TRAILBLAZER-ALZ 7)</t>
  </si>
  <si>
    <t>NCT07535112</t>
  </si>
  <si>
    <t>A Study to Learn More About How Safe BAY 3771249 is and How Well it Works in People With Advanced or Metastatic Colorectal Cancer That Has a KRAS G12D Mutation</t>
  </si>
  <si>
    <t>NCT07614477</t>
  </si>
  <si>
    <t>Evaluate the Efficacy, Safety, Pharmacokinetics, and Pharmacodynamics of EVER001 in Participants With Selected Proteinuric Glomerular Diseases</t>
  </si>
  <si>
    <t>NCT07484022</t>
  </si>
  <si>
    <t>Study of GB-4362 With Enfortumab Vedotin and Pembrolizumab for Advanced Urothelial Cancer</t>
  </si>
  <si>
    <t>NCT07349381</t>
  </si>
  <si>
    <t>A Food-Effect Study of CX11 in Healthy Participants</t>
  </si>
  <si>
    <t>NCT07505303</t>
  </si>
  <si>
    <t>MIST (Metabolic Intervention With Semaglutide and THR-β Therapy) Trial</t>
  </si>
  <si>
    <t>NCT07407283</t>
  </si>
  <si>
    <t>A Clinical Study of SHR-4394 in Combination With Anti-tumor Therapy in Prostate Cancer</t>
  </si>
  <si>
    <t>NCT07419373</t>
  </si>
  <si>
    <t>ARN-75039 Lassa Fever Treatment in West Africa</t>
  </si>
  <si>
    <t>NCT07300059</t>
  </si>
  <si>
    <t>Short-Term Glycemic Effects of Liquid Metformin vs Standard Tablets</t>
  </si>
  <si>
    <t>NCT07212088</t>
  </si>
  <si>
    <t>Stereotactic Intracerebral Injection of Allogenic IPSC-DAPs in Patients With Parkinson's Disease</t>
  </si>
  <si>
    <t>NCT07182227</t>
  </si>
  <si>
    <t>PS-002 for the Treatment of IgA Nephropathy in Adults</t>
  </si>
  <si>
    <t>Purespring Therapeutics Limited</t>
  </si>
  <si>
    <t>NCT07459166</t>
  </si>
  <si>
    <t>A Phase 2 Safety, Tolerability, PK, and Efficacy Study of CS-1103 Following Fentanyl Challenge With Naloxone Blockade</t>
  </si>
  <si>
    <t>NCT07457203</t>
  </si>
  <si>
    <t>Study on the Drug Interaction Between Buagafuran and Voriconazole</t>
  </si>
  <si>
    <t>NCT07490327</t>
  </si>
  <si>
    <t>Assessment of Dutasteride Topical Solution in Male Androgenetic Alopecia</t>
  </si>
  <si>
    <t>Moogene Medi Co., Ltd</t>
  </si>
  <si>
    <t>NCT07449754</t>
  </si>
  <si>
    <t>Belvarafenib in Combination With Cobimetinib in Patients With Locally Advanced or Metastatic NRAS-Mutant Melanoma</t>
  </si>
  <si>
    <t>NCT07617805</t>
  </si>
  <si>
    <t>EGFR/HER2 Dual-Target CAR-NK Cells for Recurrent or Metastatic HNSCC</t>
  </si>
  <si>
    <t>NCT07676162</t>
  </si>
  <si>
    <t>A Randomized, Open-Label, Controlled, Multicenter Phase III Clinical Study of SHR-A1811 in Combination With Chemotherapy and Bevacizumab Versus Standard Therapy as First-Line Treatment for Advanced Colorectal Cancer</t>
  </si>
  <si>
    <t>NCT07454642</t>
  </si>
  <si>
    <t>AVA6103 in Subjects With Locally Advanced or Metastatic Selected Solid Tumors</t>
  </si>
  <si>
    <t>NCT07520162</t>
  </si>
  <si>
    <t>A Study to Investigate NPS and Symptoms in Chinese Adult Participants With CRSwNP Initiating Treatment With Tezepelumab</t>
  </si>
  <si>
    <t>NCT07385703</t>
  </si>
  <si>
    <t>Clinical Study on the Efficacy and Safety of LM-302 Injection Combined With Tislelizumab and Tislelizumab Combined Chemotherapy for the Treatment of Gastric or Gastroesophageal Junction Adenocarcinoma.</t>
  </si>
  <si>
    <t>NCT07262268</t>
  </si>
  <si>
    <t>A Phase 1b Study of BHV-7000 in Participants With Inherited Erythromelalgia</t>
  </si>
  <si>
    <t>NCT07613450</t>
  </si>
  <si>
    <t>A Phase III Study of SYHA1813 for Recurrent or Progressive High-Grade Meningiomas</t>
  </si>
  <si>
    <t>NCT07723924</t>
  </si>
  <si>
    <t>This is a Randomized, Double-blind, Placebo-controlled, Multicenter, Parallel-group Study of the Efficacy and Safety of 2 Weight-based Treatment Groups of Plecanatide Versus Placebo in Children and Adolescent Participants 6 to Less Than 18 Years of Age With FC</t>
  </si>
  <si>
    <t>NCT07486960</t>
  </si>
  <si>
    <t>Study to Evaluate Tulisokibart in Adults With Psoriatic Arthritis (MK-7240-015)</t>
  </si>
  <si>
    <t>NCT07259213</t>
  </si>
  <si>
    <t>A Study of Terbium 161 (161Tb)-RAD402 in Participants With CRPC</t>
  </si>
  <si>
    <t>NCT07546760</t>
  </si>
  <si>
    <t>A Phase I Study to Investigate the Effect of Hepatic Impairment of AZD9550 and AZD6234</t>
  </si>
  <si>
    <t>NCT07465120</t>
  </si>
  <si>
    <t>A Multicenter, Randomized, Double-Blind, Placebo-Controlled, Phase Ⅱ Clinical Study to Evaluate the Efficacy and Safety of CMS-D001 in Adult Patients With Moderate to Severe Atopic Dermatitis</t>
  </si>
  <si>
    <t>NCT07617324</t>
  </si>
  <si>
    <t>Study of Stapokibart Injection in Adolescent Subjects With Seasonal Allergic Rhinitis (SAR)</t>
  </si>
  <si>
    <t>NCT07472790</t>
  </si>
  <si>
    <t>A Study on the Novel Oncolytic Virus Combined With PD-1 Inhibitor in the Treatment of Recurrent High-grade Glioma</t>
  </si>
  <si>
    <t>NCT07683013</t>
  </si>
  <si>
    <t>Safety, Tolerability, and Efficacy of CP-PCA07 in Combination With Enzalutamide in Patients With Castration-Resistant Prostate Cancer</t>
  </si>
  <si>
    <t>NCT07438782</t>
  </si>
  <si>
    <t>First Time in Human (FTIH) Study to Investigate the Safety and Preliminary Activity of GSK5533524 Alone or in Combination in Adult Participants With Advanced Solid Tumors</t>
  </si>
  <si>
    <t>NCT07623824</t>
  </si>
  <si>
    <t>A Phase III Clinical Trial to Evaluate the Efficacy and Safety of Octreotide Long-acting Injection in Patients With Acromegaly</t>
  </si>
  <si>
    <t>NCT07330674</t>
  </si>
  <si>
    <t>A Phase 1 Study of ABF-101 in Single- and Multiple-Ascending Doses</t>
  </si>
  <si>
    <t>Aptabio Therapeutics, Inc.</t>
  </si>
  <si>
    <t>NCT07543120</t>
  </si>
  <si>
    <t>An Open-label Extension Safety and Efficacy Study of QCZ484 in Hypertensive Patients.</t>
  </si>
  <si>
    <t>NCT05731050</t>
  </si>
  <si>
    <t>Study of NM8074 in Soliris-Treated Patients With Paroxysmal Nocturnal Hemoglobinuria (PNH)</t>
  </si>
  <si>
    <t>NCT07334860</t>
  </si>
  <si>
    <t>A Clinical Trial to Compare Forms of MK-1167 in Healthy People (MK-1167-011)</t>
  </si>
  <si>
    <t>NCT07684560</t>
  </si>
  <si>
    <t>Phase Ib, Randomized, Double-blind, Placebo-Controlled, Dose-Escalation Study of Alpha-0261 Tablets to Assess Safety and Tolerability in Patients With Chronic Spontaneous Urcaria (Part 1) and Food Effect in Healthy Adults (Part 2).</t>
  </si>
  <si>
    <t>NCT07623525</t>
  </si>
  <si>
    <t>DIAG723 in Adults With Hereditary Hemorrhagic Telangiectasia</t>
  </si>
  <si>
    <t>Diagonal Therapeutics, Inc.</t>
  </si>
  <si>
    <t>NCT07445815</t>
  </si>
  <si>
    <t>A Phase II Trial of a Recombinant Human Anti-Rabies Virus Monoclonal Antibody</t>
  </si>
  <si>
    <t>NCT07336823</t>
  </si>
  <si>
    <t>JY232(JY232) Injection in Relapsed/Refractory Multiple Myeloma</t>
  </si>
  <si>
    <t>Shenzhen Genocury Biotech Co., Ltd.</t>
  </si>
  <si>
    <t>NCT07346846</t>
  </si>
  <si>
    <t>A Study of BGM-2121 in Patients With Advanced Solid Tumors</t>
  </si>
  <si>
    <t>BioGate Precision Medicine Corp.</t>
  </si>
  <si>
    <t>NCT07667348</t>
  </si>
  <si>
    <t>Return to Activity After Surgery for Lumbar Disc Herniation</t>
  </si>
  <si>
    <t>Intrinsic Therapeutics</t>
  </si>
  <si>
    <t>NCT07566390</t>
  </si>
  <si>
    <t>A Research Study Investigating How a New Medicine NNC0113-5840 Works in People With Overweight or Obesity</t>
  </si>
  <si>
    <t>NCT07444424</t>
  </si>
  <si>
    <t>A Study to Investigate the Effect of AZD5004 on Mitiglinide and Pioglitazone in Healthy Participants</t>
  </si>
  <si>
    <t>NCT07708727</t>
  </si>
  <si>
    <t>Study of an Injectable Regimen of GS-3242 With Lenacapavir Compared to Biktarvy in People New to HIV-1 Treatment</t>
  </si>
  <si>
    <t>NCT07593924</t>
  </si>
  <si>
    <t>Clinical Trial of PCV13 in Infants Aged Approximately 2 Months (42 to 89 Days)</t>
  </si>
  <si>
    <t>NCT07306559</t>
  </si>
  <si>
    <t>A Study to Test How Well Different Doses of BI 3820768 Are Tolerated by People With Advanced Cancer (Solid Tumours)</t>
  </si>
  <si>
    <t>NCT07659379</t>
  </si>
  <si>
    <t>Gotistobart Long Term Extension (LTE) Study</t>
  </si>
  <si>
    <t>NCT07551362</t>
  </si>
  <si>
    <t>Dual-target CLDN18.2/HER2 CAR-NK Cells for Advanced Gastric/GEJ Cancer</t>
  </si>
  <si>
    <t>NCT07629596</t>
  </si>
  <si>
    <t>Evaluation of Safety, Pharmacokinetics and Pharmacodynamics of Arnovie101, an mRNA-LNP-Based In Vivo CAR-T Therapy, for the Treatment of B Cell-Mediated Autoimmune Diseases (SLE and AIHA)</t>
  </si>
  <si>
    <t>Circunited BioPharma (Shenzhen) Co., Ltd.</t>
  </si>
  <si>
    <t>NCT07360288</t>
  </si>
  <si>
    <t>Efficacy and Safety of TC011 in Relapsed or Refractory Follicular Lymphoma</t>
  </si>
  <si>
    <t>NCT07625774</t>
  </si>
  <si>
    <t>Renal Efficacy and Safety of the Novel Oral Small-Molecule GLP-1RA HRS-7535 Evaluated in Participants With Chronic Kidney Disease</t>
  </si>
  <si>
    <t>NCT07533123</t>
  </si>
  <si>
    <t>A Phase III Study of JSKN016 Versus Treatment of Physician's Choice in Patients With Triple-Negative Breast Cancer Who Have Failed Standard of Care</t>
  </si>
  <si>
    <t>NCT07511218</t>
  </si>
  <si>
    <t>A Phase I Clinical Study of AHB - 171 in Healthy Participants(HP) and Chronic Hepatitis B (CHB) Participants</t>
  </si>
  <si>
    <t>NCT07362888</t>
  </si>
  <si>
    <t>First-in-Human Study of ADCE-B05 in Patients With Advanced Solid Tumors</t>
  </si>
  <si>
    <t>NCT07399470</t>
  </si>
  <si>
    <t>A Clinical Study in Healthy Adults to See How the Body Processes and How Safe a Tablet That Combines Gemigliptin, Dapagliflozin, and Metformin is, Compared With Taking Zemiglo and Xigduo XR Together While Fasting.</t>
  </si>
  <si>
    <t>NCT07312773</t>
  </si>
  <si>
    <t>A Study to Evaluate the Pharmacokinetic Interaction and the Safety of AD-231A and AD-231B and AD-231C</t>
  </si>
  <si>
    <t>NCT07519070</t>
  </si>
  <si>
    <t>A Multicenter, Randomized, Double-Blind, Placebo-Controlled Phase III Study to Evaluate the Efficacy and Safety of HSK44459 Tablets in Patients With Idiopathic Pulmonary Fibrosis</t>
  </si>
  <si>
    <t>NCT07513441</t>
  </si>
  <si>
    <t>A Trial of Lu AF28996 in Participants With Parkinson's Disease (PD)</t>
  </si>
  <si>
    <t>NCT07618260</t>
  </si>
  <si>
    <t>SIM0613 in Participants With Advanced Solid Tumors</t>
  </si>
  <si>
    <t>NCT07354516</t>
  </si>
  <si>
    <t>Study of QLS-111-FDC in Open-Angle Glaucoma or Ocular Hypertension</t>
  </si>
  <si>
    <t>NCT07730450</t>
  </si>
  <si>
    <t>A Study to Learn About a COVID-19 Vaccine in Healthy Adults 18 Through 64 Years of Age</t>
  </si>
  <si>
    <t>NCT07489482</t>
  </si>
  <si>
    <t>A Clinical Study Comparing the Relative Bioavailability and Safety of SHR-3167 Injection</t>
  </si>
  <si>
    <t>NCT07690059</t>
  </si>
  <si>
    <t>A Study to Investigate the Efficacy and Safety of SC0032, a Magnesium Salt Oral Spray, in Adults With Refractory or Unexplained Chronic Cough</t>
  </si>
  <si>
    <t>Sensory Cloud, Inc.</t>
  </si>
  <si>
    <t>NCT07262476</t>
  </si>
  <si>
    <t>Open-Label Extension Study of MHB018A in Subjects With Thyroid Eye Disease</t>
  </si>
  <si>
    <t>NCT07306182</t>
  </si>
  <si>
    <t>A Research Study to Evaluate the Efficacy and Safety of SGC001 in Patients With Anterior Wall ST-Segment Elevation Myocardial Infarction</t>
  </si>
  <si>
    <t>NCT07288333</t>
  </si>
  <si>
    <t>Evaluation of NBI-1117570 in Inpatient Adults With Schizophrenia</t>
  </si>
  <si>
    <t>NCT07693738</t>
  </si>
  <si>
    <t>A Phase I Study of SSGJ-716 in Healthy Adults and Participants With Moderate-to-Severe Atopic Dermatitis</t>
  </si>
  <si>
    <t>NCT07436949</t>
  </si>
  <si>
    <t>A Study of BBT002 in Healthy Volunteers (HVs) and in Patients With Chronic Rhinosinusitis With Nasal Polyps (CRSwNP) With or Without Comorbid Asthma</t>
  </si>
  <si>
    <t>NCT07539285</t>
  </si>
  <si>
    <t>A Study of HDM2024 in Participants With Advanced Solid Tumors</t>
  </si>
  <si>
    <t>NCT07304089</t>
  </si>
  <si>
    <t>A Study to Evaluate the Efficacy, Safety, and Tolerability of VIM0423 in Individuals With Isolated Dystonia</t>
  </si>
  <si>
    <t>Vima Therapeutics</t>
  </si>
  <si>
    <t>NCT07477990</t>
  </si>
  <si>
    <t>Clinical Trial to Evaluate the Efficacy and Safety of the Aurora® Digital Medical Device in Adult Patients With Moderate to Severe Generalized Anxiety Disorder</t>
  </si>
  <si>
    <t>Psicofarma, S.A. De C.V.</t>
  </si>
  <si>
    <t>NCT07635186</t>
  </si>
  <si>
    <t>A Study to Evaluate AHB-137 Injection in Treatment-naïve Participants With Chronic Hepatitis B</t>
  </si>
  <si>
    <t>NCT07276373</t>
  </si>
  <si>
    <t>Two Part Study of Nenocorilant Combined With Nivolumab in Patients With Advanced Solid Malignancies</t>
  </si>
  <si>
    <t>NCT07589569</t>
  </si>
  <si>
    <t>An Open-label, Multicenter, Phase II Clinical Study to Evaluate HRS-7058 in Patients With Pancreatic Cancer</t>
  </si>
  <si>
    <t>NCT07704866</t>
  </si>
  <si>
    <t>A Phase I/II Study of FG-M108 Plus FG-B901 in Advanced CLDN18.2-Positive Solid Tumors</t>
  </si>
  <si>
    <t>NCT07222566</t>
  </si>
  <si>
    <t>Symbiotic-Lung-01 : A Study to Learn About the Study Medicine Called PF-08634404 in Combination With Chemotherapy in Adult Participants With Locally Advanced or Metastatic Non-Small Cell Lung Cancer</t>
  </si>
  <si>
    <t>NCT07694869</t>
  </si>
  <si>
    <t>A Phase I Clinical Trial to Evaluate the Pharmacokinetic Characteristics of Ammoxetine Hydrochloride Enteric-Coated Tablets in Participants With Moderate Renal Impairment and Normal Renal Function</t>
  </si>
  <si>
    <t>NCT07431866</t>
  </si>
  <si>
    <t>A Clinical Study of the Effect of MK-2828 on Rosuvastatin or Furosemide in Healthy People (MK-2828-005)</t>
  </si>
  <si>
    <t>NCT07336472</t>
  </si>
  <si>
    <t>NCT07513857</t>
  </si>
  <si>
    <t>Trial of JYB1904 Injection in Adolescent Participants</t>
  </si>
  <si>
    <t>NCT07519330</t>
  </si>
  <si>
    <t>Clinical Study to Evaluate the Efficacy and Safety of HH-006 in Patients With Chronic Hepatitis B Virus Infection</t>
  </si>
  <si>
    <t>NCT06875128</t>
  </si>
  <si>
    <t>Evaluation of the Safety and Efficacy of Treatment w/High Dose Melphalan Given Directly Into the Liver Followed by Treatment w/Approved Cancer Treatment or Approved Cancer Treatment Alone in Patients w/ Metastatic Breast Cancer w/Liver Dominant Disease</t>
  </si>
  <si>
    <t>NCT07505823</t>
  </si>
  <si>
    <t>Phase Ⅲ Trial of Group ACYW135 Meningococcal Conjugate Vaccine in Children Aged 6-11 Months</t>
  </si>
  <si>
    <t>NCT07596173</t>
  </si>
  <si>
    <t>A Study on the Immune Response and Safety of a Combined Vaccine Against Diphtheria, Tetanus and Acellular Pertussis (dTpa) in Healthy Japanese Adolescents Aged 11 Years to &lt;13 Years</t>
  </si>
  <si>
    <t>NCT07685769</t>
  </si>
  <si>
    <t>A Study to Find Out if the Medicine Called Rimegepant is Safe for Adults in India</t>
  </si>
  <si>
    <t>NCT07390123</t>
  </si>
  <si>
    <t>Phase Ⅲ Study of Efficacy and Safety of HSK39297 Tablet in Treatment of Patients With Primary IgAN</t>
  </si>
  <si>
    <t>NCT07483073</t>
  </si>
  <si>
    <t>A Master Protocol (IIBD): A Study of Multiple Drugs in Adults With Ulcerative Colitis or Crohn's Disease</t>
  </si>
  <si>
    <t>NCT07635095</t>
  </si>
  <si>
    <t>A Trial to Compare the Pharmacokinetics of Two Presentations of Navenibart in Healthy Participants</t>
  </si>
  <si>
    <t>NCT07178431</t>
  </si>
  <si>
    <t>MB-CART2019.1 in Refractory Multiple Sclerosis</t>
  </si>
  <si>
    <t>NCT07581002</t>
  </si>
  <si>
    <t>A Study to Assess Adverse Events and Change in Disease Activity When Intravenous (IV) Pivekimab Sunirine is Given in Combination With Oral Venetoclax and IV or Subcutaneous Azacitidine in Adult Participants With Acute Myeloid Leukemia (AML)</t>
  </si>
  <si>
    <t>NCT06346431</t>
  </si>
  <si>
    <t>Efficacy of Digital Problem Solving Application in Reduction of Anxiety, Depression and Substance Use Disorder Symptoms</t>
  </si>
  <si>
    <t>7 Generation Games</t>
  </si>
  <si>
    <t>NCT07719361</t>
  </si>
  <si>
    <t>A Study in Patients With Metastatic Castration-Resistant Prostate Cancer</t>
  </si>
  <si>
    <t>NCT01894308</t>
  </si>
  <si>
    <t>A Dose Ranging Study to Examine TDS-Testosterone 5%</t>
  </si>
  <si>
    <t>NCT07339176</t>
  </si>
  <si>
    <t>Intratumoral N17350 in Advanced Solid Tumors</t>
  </si>
  <si>
    <t>Onchilles Pharma Inc</t>
  </si>
  <si>
    <t>NCT07355296</t>
  </si>
  <si>
    <t>PODOMOUNT-Basket, a Study to Test Whether BI 764198 Helps Adults and Adolescents With Different Types of Kidney Disease</t>
  </si>
  <si>
    <t>NCT07409103</t>
  </si>
  <si>
    <t>A Study to Assess the Safety and Efficacy of Different Doses of ELV001 to Treat Active Rheumatoid Arthritis in Patients With an Inadequate Response to Methotrexate and Tumor Necrosis Factor Inhibition (START SYNERGY)</t>
  </si>
  <si>
    <t>Elevara Medicines Limited</t>
  </si>
  <si>
    <t>NCT07287150</t>
  </si>
  <si>
    <t>A Study to Test Inavolisib Treatment in Participants With Metastatic Castration-Resistant Prostate Cancer</t>
  </si>
  <si>
    <t>NCT07639879</t>
  </si>
  <si>
    <t>TR115 VS Investigator's Choice in Relapsed/Refractory Peripheral T/NK Cell Lymphoma</t>
  </si>
  <si>
    <t>NCT07445308</t>
  </si>
  <si>
    <t>The Study is to Evaluate the Safety and Tolerability of SPGL008 Alone or in Combination With BCG in the Patients With NMIBC, and to Determine the RP2D of SPGL008 Alone or in Combination With BCG.To Evaluate the Preliminary Efficacy of SPGL008 Alone or in Combination With BCG.</t>
  </si>
  <si>
    <t>NCT07522476</t>
  </si>
  <si>
    <t>A Clinical Study to Evaluate the Efficacy and Safety of VG2025 in Intrahepatic Cholangiocarcinoma</t>
  </si>
  <si>
    <t>Virogin Biotech Ltd.</t>
  </si>
  <si>
    <t>NCT06594068</t>
  </si>
  <si>
    <t>Prospective Registry Investigating Maternal, Infant, and Lactation Outcomes in Anifrolumab Users</t>
  </si>
  <si>
    <t>NCT07493850</t>
  </si>
  <si>
    <t>Study to Assess the Efficacy of EMC-CAP-2025A on Age-Related Skin Parameters in Healthy Individuals</t>
  </si>
  <si>
    <t>Circul'Egg</t>
  </si>
  <si>
    <t>NCT07704580</t>
  </si>
  <si>
    <t>Phase 1b/2 Study of IV Sarilumab in Adult With RA</t>
  </si>
  <si>
    <t>NCT06623240</t>
  </si>
  <si>
    <t>HB-adMSCs vs Placebo for the Treatment of Juvenile Idiopathic Arthritis</t>
  </si>
  <si>
    <t>NCT07601074</t>
  </si>
  <si>
    <t>A Study of the Preliminary Efficacy of DARE-HPV to Treat High-risk Persistent Human Papillomavirus (hrHPV)</t>
  </si>
  <si>
    <t>NCT07726342</t>
  </si>
  <si>
    <t>SMP-656 for HER2-Positive Advanced Breast Cancer</t>
  </si>
  <si>
    <t>NCT07555054</t>
  </si>
  <si>
    <t>A Study of the Effect and Safety of HS-10390 in the Treatment of Participants With Chronic Kidney Disease</t>
  </si>
  <si>
    <t>NCT07613294</t>
  </si>
  <si>
    <t>A Study to See if Lepodisiran Can Reduce Plaque in Coronary Arteries of Adults With Elevated Lp(a) Who Have Had Heart Events or Are at High Risk</t>
  </si>
  <si>
    <t>NCT07682961</t>
  </si>
  <si>
    <t>Study of Lenacapavir, Teropavimab, and Zinlirvimab Versus Cabotegravir and Rilpivirine in Virologically Suppressed Adults With HIV-1 on Oral Daily Antiretroviral Therapy</t>
  </si>
  <si>
    <t>NCT07392372</t>
  </si>
  <si>
    <t>A Clinical Trial Investigating the Safety and Biological Activity of the Antibody BNT351 in Adults Living Without and With HIV</t>
  </si>
  <si>
    <t>NCT07134712</t>
  </si>
  <si>
    <t>Safety and Efficacy of MiSaver (CB Cells) for Acute Myocardial Infarction, Phase II</t>
  </si>
  <si>
    <t>HONYA Medical Co Ltd</t>
  </si>
  <si>
    <t>NCT07280065</t>
  </si>
  <si>
    <t>REVEAL Study - Diagnostic Testing for PTSD Using the Senseye Diagnostic Tool</t>
  </si>
  <si>
    <t>Senseye, Inc.</t>
  </si>
  <si>
    <t>NCT07620392</t>
  </si>
  <si>
    <t>An Extension Study to Assess Long-Term Safety and Efficacy of Afimkibart in Participants With Rheumatoid Arthritis</t>
  </si>
  <si>
    <t>NCT06451757</t>
  </si>
  <si>
    <t>KHENERFIN Study: A Trial to Evaluate the Efficacy and Safety of Sonlicromanol in Primary Mitochondrial Diseases</t>
  </si>
  <si>
    <t>NCT07227207</t>
  </si>
  <si>
    <t>A Study of TSRA-196 in Adults With PiZZ Alpha-1 Antitrypsin Deficiency (AATD)</t>
  </si>
  <si>
    <t>Tessera Therapeutics, Inc.</t>
  </si>
  <si>
    <t>NCT07505836</t>
  </si>
  <si>
    <t>Phase Ⅲ Trial of Group ACYW135 Meningococcal Conjugate Vaccine in Children Aged 12-23 Months</t>
  </si>
  <si>
    <t>NCT07298434</t>
  </si>
  <si>
    <t>Study of VYD2311 for the Prevention of COVID-19</t>
  </si>
  <si>
    <t>NCT07606599</t>
  </si>
  <si>
    <t>A Study of BL-M07D1 Versus Physician's Choice of Chemotherapy in Patients With HER2-expressing Locally Advanced or Metastatic Biliary Tract Cancer After Platinum-containing Chemotherapy Failure</t>
  </si>
  <si>
    <t>NCT07500207</t>
  </si>
  <si>
    <t>A Phase III Clinical Trial on Immunogenicity and Safety of Lyophilized Rabies Vaccine for Human Use (Human Diploid Cell)</t>
  </si>
  <si>
    <t>NCT07174492</t>
  </si>
  <si>
    <t>Efficacy and Safety of Masitinib in Combination With SoC Versus Placebo in the Treatment of ALS Patients</t>
  </si>
  <si>
    <t>NCT07493044</t>
  </si>
  <si>
    <t>An Open-Label, Phase I Clinical Trial of Super CAR-T With GPC3-Positive Advanced Hepatocellular Carcinoma</t>
  </si>
  <si>
    <t>NCT07517263</t>
  </si>
  <si>
    <t>An Open Label Extension (OLE) Study (Following Completion of CTQJ230A12301) to Evaluate Long-term Safety and Tolerability of Pelacarsen (TQJ230)</t>
  </si>
  <si>
    <t>NCT07611357</t>
  </si>
  <si>
    <t>[18F]F-AraG PET Imaging in Alzheimer's Disease</t>
  </si>
  <si>
    <t>NCT07636928</t>
  </si>
  <si>
    <t>Mass Balance and Absolute Oral Bioavailability of [14C]VH4524184</t>
  </si>
  <si>
    <t>NCT07404865</t>
  </si>
  <si>
    <t>Phase 3 Study of Telitacicept in Active Primary Sjögren's Disease</t>
  </si>
  <si>
    <t>NCT07612267</t>
  </si>
  <si>
    <t>A Study to Measure Mirikizumab Levels in Breast Milk of Lactating Participants Receiving Mirikizumab Therapeutically for an Approved Indication</t>
  </si>
  <si>
    <t>NCT07578636</t>
  </si>
  <si>
    <t>A Study to Understand What the Body Does to the Study Medicine Called PF-07799544 When Taken by Healthy Adults</t>
  </si>
  <si>
    <t>NCT07476144</t>
  </si>
  <si>
    <t>Nordic Spirit Pouch Nicotine Pharmacokinetics Abuse Liability</t>
  </si>
  <si>
    <t>JT International SA</t>
  </si>
  <si>
    <t>NCT07563881</t>
  </si>
  <si>
    <t>Study Evaluating the Efficacy and Safety of RAP-219 in Adult Participants With Focal Seizures FOCUS-1</t>
  </si>
  <si>
    <t>NCT07346066</t>
  </si>
  <si>
    <t>IS-001 Injection in Patients Undergoing Robotic-Assisted Colorectal Surgery</t>
  </si>
  <si>
    <t>NCT07481981</t>
  </si>
  <si>
    <t>A Study to Evaluate the Efficacy and Safety of Once Daily Treprostinil Palmitil Inhalation Powder (TPIP) in Participants With Pulmonary Arterial Hypertension (PAH)</t>
  </si>
  <si>
    <t>NCT07526519</t>
  </si>
  <si>
    <t>A Safety and Pharmacokinetics Study of TL-003 in Healthy Adults and Open-label Assessments in Participants With Ulcerative Colitis</t>
  </si>
  <si>
    <t>NCT07514065</t>
  </si>
  <si>
    <t>TSL2109 Capsules in Advanced Solid Tumor Patients: Safety, Tolerability, PK and Preliminary Efficacy</t>
  </si>
  <si>
    <t>NCT07432295</t>
  </si>
  <si>
    <t>Givastomig Combined With Nivolumab and Chemotherapy in Adults With CLDN18.2 Positive Metastatic Gastric Cancer (GIVA-2)</t>
  </si>
  <si>
    <t>NCT07230730</t>
  </si>
  <si>
    <t>A Trial to Evaluate the Efficacy and Safety of SHR-1918 in Patients With Hyperlipidemia</t>
  </si>
  <si>
    <t>NCT07494175</t>
  </si>
  <si>
    <t>Study on the Mass Balance of [14C]HRS-9190 for Injection in Healthy Participants</t>
  </si>
  <si>
    <t>NCT07575399</t>
  </si>
  <si>
    <t>Efficacy, Safety and Tolerability of Switching From Glucagon-like Peptide-1 Receptor Agonists (GLP-1RA) to Maridebart Cafraglutide in Adults With Obesity or Overweight (MARITIME-SWITCH)</t>
  </si>
  <si>
    <t>NCT07634471</t>
  </si>
  <si>
    <t>A Clinical Trial of MK-1045 and Rituximab in People With Follicular Lymphoma (MK-1045-007)</t>
  </si>
  <si>
    <t>NCT07694375</t>
  </si>
  <si>
    <t>A Study of CA201A Eye Drops to Prevent Corneal Endothelial Cell Loss in Patients Undergoing Cataract Surgery</t>
  </si>
  <si>
    <t>Caravel Oculus Pty Ltd</t>
  </si>
  <si>
    <t>NCT07446309</t>
  </si>
  <si>
    <t>Safety and Efficacy of HRS-9190 Compared to Cisatracurium for Continuous Intravenous Infusion in Adults</t>
  </si>
  <si>
    <t>NCT07238075</t>
  </si>
  <si>
    <t>ADCX-020 for the Treatment of Patients With Locally Advanced or Metastatic Cancers</t>
  </si>
  <si>
    <t>Adcytherix SAS</t>
  </si>
  <si>
    <t>NCT07304128</t>
  </si>
  <si>
    <t>A Study of PLB-002 in Advanced Solid Tumors</t>
  </si>
  <si>
    <t>Primelink BioTherapeitics(ShenZhen) Limited</t>
  </si>
  <si>
    <t>NCT07688239</t>
  </si>
  <si>
    <t>The BANYAN Trial, an ALS MyMatch Trial Evaluating Safety, Biomarker Activity, and Microglial Activation of Nasal Foralumab</t>
  </si>
  <si>
    <t>NCT05497401</t>
  </si>
  <si>
    <t>A Controlled Study to Evaluate the Efficacy of Allogeneic MesenCure for the Treatment of Patients With ARDS</t>
  </si>
  <si>
    <t>NCT07431086</t>
  </si>
  <si>
    <t>Study of Olatorepatide in Adult Participants Living With Overweight or Obesity in the US</t>
  </si>
  <si>
    <t>NCT07287670</t>
  </si>
  <si>
    <t>EncompaSSc: Evaluation of MTX-474 in Participants With Diffuse Cutaneous Systemic Sclerosis (dcSSc)</t>
  </si>
  <si>
    <t>NCT07583641</t>
  </si>
  <si>
    <t>A Study to Learn About How Well the Medicine Efgartigimod Works to Treat Autoimmune Encephalitis In Children 12 Years or Older and Adults</t>
  </si>
  <si>
    <t>NCT07563894</t>
  </si>
  <si>
    <t>Relative Bioavailability and Impact of Rabeprazole for PF-07799933, Food-Effect for PF-07799933 and PF-07799544</t>
  </si>
  <si>
    <t>NCT07256756</t>
  </si>
  <si>
    <t>A Study of GC203 TIL in Advanced Solid Tumors (NF)</t>
  </si>
  <si>
    <t>NCT07567846</t>
  </si>
  <si>
    <t>A Study Evaluating the Safety, Pharmacokinetics, and Preliminary Activity of GDC-1261 in Participants With Advanced or Metastatic Prostate Cancer</t>
  </si>
  <si>
    <t>NCT07420283</t>
  </si>
  <si>
    <t>A Study of Brenipatide in Participants With Opioid Use Disorder</t>
  </si>
  <si>
    <t>NCT07492303</t>
  </si>
  <si>
    <t>A Phase I Clinical Trial of Absorbed Acellular Pertussis (Two-Component) Diphtheria-Tetanus Combined Vaccine (For Adults and Adolescents)</t>
  </si>
  <si>
    <t>NCT07286331</t>
  </si>
  <si>
    <t>A Study to Investigate Mocertatug Rezetecan Compared With Chemotherapy in Participants With Endometrial Cancer After Platinum-based Chemotherapy and Immunotherapy (BEHOLD-Endometrial01)</t>
  </si>
  <si>
    <t>NCT07749742</t>
  </si>
  <si>
    <t>A Study of MI226 Injection for Abdominal Fat Accumulation</t>
  </si>
  <si>
    <t>NCT07220083</t>
  </si>
  <si>
    <t>A Study to Find Out if BI 764198 Helps Adults and Adolescents With a Kidney Condition Called Focal Segmental Glomerulosclerosis (FSGS)</t>
  </si>
  <si>
    <t>NCT07585383</t>
  </si>
  <si>
    <t>A Phase I Clinical Trial to Evaluate the Safety, Tolerability and Pharmacokinetic Characteristics of KR23248 Capsules in Healthy Adult Subjects</t>
  </si>
  <si>
    <t>NCT07464327</t>
  </si>
  <si>
    <t>A Phase III Study of HS-20093 Injection Combined With Adebrelimab Versus Docetaxel in Previously Treated Patients With Advanced or Metastatic Non-Squamous Non-Small Cell Lung Cancer Without Actionable Genomic Alterations</t>
  </si>
  <si>
    <t>NCT07393542</t>
  </si>
  <si>
    <t>A Trial of SHR-A2102 With Adebrelimab in Locally Advanced or Metastatic Urothelial Carcinoma</t>
  </si>
  <si>
    <t>NCT07570966</t>
  </si>
  <si>
    <t>Study of ERW316 as a Single Agent or in Combination With Endocrine Therapy in Patients With HR+/HER2- Breast Cancer and Other Advanced Solid Tumors</t>
  </si>
  <si>
    <t>NCT07551570</t>
  </si>
  <si>
    <t>Pharmacokinetics of VC005 Tablets in Subjects With Renal Impairment and Normal Renal Function</t>
  </si>
  <si>
    <t>NCT07247266</t>
  </si>
  <si>
    <t>Study to Evaluate the Safety, Tolerability, Efficacy and Pharmacokinetics of JTE-162 in Subjects With Cryopyrin-Associated Periodic Syndrome (CAPS)</t>
  </si>
  <si>
    <t>NCT07531251</t>
  </si>
  <si>
    <t>Clinical Trial in Patients With Barth Syndrome- 4TAZPower</t>
  </si>
  <si>
    <t>NCT07652073</t>
  </si>
  <si>
    <t>A Study of DAT-2645 in Patients With BRCA1/2 Mutations or HRD-Positive Ovarian Cancer</t>
  </si>
  <si>
    <t>NCT07501702</t>
  </si>
  <si>
    <t>A Phase 2 Study to Evaluate Povetacicept in Adults With Generalized Myasthenia Gravis</t>
  </si>
  <si>
    <t>NCT07461454</t>
  </si>
  <si>
    <t>YL202 Versus Treatment of Physician's Choice in Patients With HR+/HER2- Breast Cancer</t>
  </si>
  <si>
    <t>NCT07567781</t>
  </si>
  <si>
    <t>A Phase 1 Study to Assess the Effect of ABBV-722 on Midazolam, Digoxin, Pitavastatin, Metformin, and Sitagliptin Drug Levels in Healthy Adults.</t>
  </si>
  <si>
    <t>NCT07677683</t>
  </si>
  <si>
    <t>STP705 Injection for Submental Fat Reduction</t>
  </si>
  <si>
    <t>NCT07664553</t>
  </si>
  <si>
    <t>A Phase III Study to Investigate the Efficacy and Safety of Elecoglipron Compared With Placebo in Adults With Type 2 Diabetes Mellitus on Background Insulin</t>
  </si>
  <si>
    <t>NCT07414290</t>
  </si>
  <si>
    <t>A Trial to Evaluate Safety and Efficacy of a Product Named VGN-R08b in Parkinson's Disease Patients With GBA1 Mutations</t>
  </si>
  <si>
    <t>NCT07345390</t>
  </si>
  <si>
    <t>Safety, Efficacy and Pharmacokinetic Characteristics of KR230109 Cream in Facial Acne Vulgaris</t>
  </si>
  <si>
    <t>NCT06366490</t>
  </si>
  <si>
    <t>Safety and Immunogenicity of Innocell Autologous Cellular Immunotherapy for Recurrent Epithelial Ovarian Cancer</t>
  </si>
  <si>
    <t>PhotonPharma, Inc.</t>
  </si>
  <si>
    <t>NCT07172867</t>
  </si>
  <si>
    <t>A Ph2 Study to Evaluate the Safety, Efficacy and Tolerability of HT-6184 and Semaglutide in Obese Participants With T2DM</t>
  </si>
  <si>
    <t>NCT07140939</t>
  </si>
  <si>
    <t>A Study to Evaluate the Efficacy and Safety of CBL-514 Injection for Reducing Subcutaneous Fat</t>
  </si>
  <si>
    <t>NCT07477639</t>
  </si>
  <si>
    <t>Treatment of Participants With Primary or Secondary Progressive Multiple Sclerosis</t>
  </si>
  <si>
    <t>NCT07482657</t>
  </si>
  <si>
    <t>A Phase 2 Study to Investigate the Efficacy and Safety of Zelicapavir in Participants Aged ≥28 Days to ≤36 Months of Age Infected With Respiratory Syncytial Virus</t>
  </si>
  <si>
    <t>NCT07364630</t>
  </si>
  <si>
    <t>A Multicenter, Prospective, Controlled Modified Multi-Platform Trial Assessing the Efficacy of Human Placental Membrane Products and Standard of Care in the Management of Nonhealing Diabetic Foot Ulcers and Venous Leg Ulcers.</t>
  </si>
  <si>
    <t>NCT07055295</t>
  </si>
  <si>
    <t>Immunogenicity and Safety of Rabies Vaccine (Serum-free Vero Cell) in a Pre-exposure Prophylaxis Regimen</t>
  </si>
  <si>
    <t>NCT07567001</t>
  </si>
  <si>
    <t>A Research Study to Look at How Well NNC0487-0111 Works Compared to Placebo in People With Heart Failure and Obesity</t>
  </si>
  <si>
    <t>NCT07652281</t>
  </si>
  <si>
    <t>A Clinical Study of SHR-5421 in Patients With Multiple Myeloma</t>
  </si>
  <si>
    <t>NCT07609472</t>
  </si>
  <si>
    <t>FG001 Near-Infrared Fluorescence Imaging During Tumor Resection in Newly Diagnosed High-Grade Glioma</t>
  </si>
  <si>
    <t>FluoGuide A/S</t>
  </si>
  <si>
    <t>NCT06286046</t>
  </si>
  <si>
    <t>A Study of Mitapivat in Participants With Sickle Cell Disease and Nephropathy</t>
  </si>
  <si>
    <t>NCT07590856</t>
  </si>
  <si>
    <t>A Preliminary Efficacy of SNA028 in Patients With Advanced Colorectal Cancer Positive for GPA33</t>
  </si>
  <si>
    <t>NCT07747103</t>
  </si>
  <si>
    <t>An Open-Label, Single-Arm Study to Investigate the Efficacy and Safety of North Star Desiccated Porcine Thyroid Extract Tablets.</t>
  </si>
  <si>
    <t>NCT07550842</t>
  </si>
  <si>
    <t>A Clinical Study for the Safety and Efficacy of BL0020 Injection in Combination With Toripalimab Injection in Patients With Recurrent Extensive-Stage Small Cell Lung Cancer</t>
  </si>
  <si>
    <t>NCT07532603</t>
  </si>
  <si>
    <t>A Phase 2/3 Study of Brepocitinib in Adults With Lichen Planopilaris</t>
  </si>
  <si>
    <t>NCT03176186</t>
  </si>
  <si>
    <t>Xenon for Neuroprotection During Post-Cardiac Arrest Syndrome in Comatose Survivors of an Out of Hospital Cardiac Arrest</t>
  </si>
  <si>
    <t>Invero Pharma, Inc.</t>
  </si>
  <si>
    <t>NCT07668388</t>
  </si>
  <si>
    <t>A Research Study Comparing How Well Different Doses of the Medicine UBT251 Lower Blood Sugar in People With Type 2 Diabetes</t>
  </si>
  <si>
    <t>NCT07569042</t>
  </si>
  <si>
    <t>A Rollover Study of NBM-BMX in Combination With Temozolomide in Patients With Newly Diagnosed Glioblastoma</t>
  </si>
  <si>
    <t>NCT07579741</t>
  </si>
  <si>
    <t>A Study to Evaluate JL18008 in Subject With HIV Immunological Non-Responders</t>
  </si>
  <si>
    <t>NCT07436221</t>
  </si>
  <si>
    <t>A Study to Evaluate the Efficacy and Safety of AK139 in Participants With Asthma</t>
  </si>
  <si>
    <t>NCT07582133</t>
  </si>
  <si>
    <t>A Trial to Evaluate the Long-term Safety and Tolerability of HRS-5965 in Patients With Primary IgA Nephropathy</t>
  </si>
  <si>
    <t>NCT07432698</t>
  </si>
  <si>
    <t>A Study to Evaluate the Safety, Tolerability and Pharmacokinetics of AK0406 Injection in Healthy Adult Participants</t>
  </si>
  <si>
    <t>NCT07678684</t>
  </si>
  <si>
    <t>A Study of HF1K16 Combined With Bevacizumab in Patients With Recurrent or Progressive Glioma</t>
  </si>
  <si>
    <t>NCT07453004</t>
  </si>
  <si>
    <t>A Study to Evaluate the Efficacy,Safety,Tolerability,Pharmacokinetics,and Immunogenicty of Plonmarlimab in Subjects With Acute Gouty Arthritis</t>
  </si>
  <si>
    <t>NCT07686484</t>
  </si>
  <si>
    <t>A Trial of HRS-3095 in Healthy Volunteers</t>
  </si>
  <si>
    <t>NCT07616128</t>
  </si>
  <si>
    <t>Study of EVO756 in Adults With Migraine</t>
  </si>
  <si>
    <t>NCT07647328</t>
  </si>
  <si>
    <t>A Phase IIIb Study to Evaluate Camizestrant Plus Ribociclib in ER-positive, HER2-negative Advanced Breast Cancer</t>
  </si>
  <si>
    <t>NCT07444567</t>
  </si>
  <si>
    <t>Roll-over Study for Participants Who Have Completed a Previous Clinical Study With Benralizumab (Fasenra) and Benefit From Continued Treatment</t>
  </si>
  <si>
    <t>NCT07284901</t>
  </si>
  <si>
    <t>Efficacy and Safety of Ribupatide Administered Once Weekly in Participants Living With Obesity or Overweight and Diabetes</t>
  </si>
  <si>
    <t>NCT07435012</t>
  </si>
  <si>
    <t>Androgenic Alopecia TH07 Clinical Trial</t>
  </si>
  <si>
    <t>Triple Hair Inc</t>
  </si>
  <si>
    <t>NCT07413913</t>
  </si>
  <si>
    <t>A Study in Healthy People or Otherwise Healthy With Overweight or Obesity to Compare 2 Formulations of Survodutide Given in Different Ways, Either as a Pre-filled Syringe or a Pen-like Injector</t>
  </si>
  <si>
    <t>NCT07398378</t>
  </si>
  <si>
    <t>Clinical Investigation of Oral Malodor for Max Fresh Toothpaste Containing Zinc Citrate Versus a Commercially Available Regular Fluoride Toothpaste</t>
  </si>
  <si>
    <t>NCT07473960</t>
  </si>
  <si>
    <t>IBI306 Monotherapy in Non-Familial Hypercholesterolemia and Mixed Hyperlipidemia</t>
  </si>
  <si>
    <t>NCT07709910</t>
  </si>
  <si>
    <t>A Trial of Ribupatide Injection in Participants With Obesity and Knee Osteoarthritis</t>
  </si>
  <si>
    <t>NCT07525960</t>
  </si>
  <si>
    <t>A Study in Adult Males With X-linked Congenital Nephrogenic Diabetes Insipidus to Test the Effects of NDI-5001 Given for Multiple Days and to Test How NDI-5001 is Tolerated and Taken up in the Body</t>
  </si>
  <si>
    <t>NCT07527650</t>
  </si>
  <si>
    <t>Study to Evaluate HM15275 in Subjects With Type 2 Diabetes Mellitus</t>
  </si>
  <si>
    <t>NCT07406360</t>
  </si>
  <si>
    <t>A Study on the Immune Response and Safety of an Investigational Combined Measles, Mumps, Rubella and Varicella Vaccine, When Administered as Intramuscular Injection to Healthy Children 15 Months to 6 Years of Age</t>
  </si>
  <si>
    <t>NCT07709520</t>
  </si>
  <si>
    <t>Study of GST-HG131&amp;141 Tablets Compared With Placebo in Patients With Chronic Hepatitis B</t>
  </si>
  <si>
    <t>NCT07600762</t>
  </si>
  <si>
    <t>A Study to Assess Adverse Events, Tolerability and How a Single Oral Dose of Nacresertib Moves Through the Body In Healthy Adult Japanese Participants</t>
  </si>
  <si>
    <t>NCT07368270</t>
  </si>
  <si>
    <t>Safety and Efficacy Study of Anti-PD1 Armored CD19 CAR-T Cells in Adult Subjects With Relapsed or Refractory Diffuse Large B-cell Lymphoma</t>
  </si>
  <si>
    <t>NCT07599670</t>
  </si>
  <si>
    <t>A Study to Assess the Safety and Effects of ABBV-1758 Following Subcutaneous or Intravenous Injections in Participants With Alzheimer's Disease</t>
  </si>
  <si>
    <t>NCT07216703</t>
  </si>
  <si>
    <t>A Clinical Study of Sacituzumab Tirumotecan (MK-2870) in Combination With Pembrolizumab (MK-3475) as First-line Maintenance Treatment of Cervical Cancer (MK-2870-036/TroFuse-036/GOG-3123/ENGOT-cx22)</t>
  </si>
  <si>
    <t>NCT07612813</t>
  </si>
  <si>
    <t>A Study to Evaluate the Safety and Pharmacokinetics of AZD7760 in Healthy Japanese Adults</t>
  </si>
  <si>
    <t>NCT07612020</t>
  </si>
  <si>
    <t>A Study to Assess the Absolute Bioavailability of Empasiprubart SC Administered With an Autoinjector and the Pharmacokinetic Noninferiority of Empasiprubart SC Versus Intravenous (IV) in Healthy Adult Participants</t>
  </si>
  <si>
    <t>NCT02129751</t>
  </si>
  <si>
    <t>Efficacy and Safety of Bupropion Hydrobromide in Adolescents and Children With Major Depressive Disorder</t>
  </si>
  <si>
    <t>NCT07351045</t>
  </si>
  <si>
    <t>A Clinical Study to Evaluate the Effects of Enicepatide (RO7795068) in Participants With Obesity or Overweight Without Type 2 Diabetes</t>
  </si>
  <si>
    <t>NCT07537231</t>
  </si>
  <si>
    <t>A Clinical Study to Evaluate the Absorption, Metabolism, and Excretion of Oral [14C]GS1-144 in Healthy Postmenopausal Female Participants</t>
  </si>
  <si>
    <t>NCT07589244</t>
  </si>
  <si>
    <t>A Study of VRT106, Combined With Camrelizumab, and Apatinib for Advanced HCC</t>
  </si>
  <si>
    <t>NCT07455006</t>
  </si>
  <si>
    <t>Safety and Efficacy Study of QL0911 to Treat Immune Thrombocytopenia (ITP) in Pediatric Patients</t>
  </si>
  <si>
    <t>NCT07295847</t>
  </si>
  <si>
    <t>A Study of AZD0120 in Autoimmune Diseases</t>
  </si>
  <si>
    <t>NCT07407348</t>
  </si>
  <si>
    <t>A Study in People With Overweight or Obesity to Compare How 2 Different Formulations of Survodutide Are Taken up by the Body</t>
  </si>
  <si>
    <t>NCT07362355</t>
  </si>
  <si>
    <t>The Efficacy and Safety of SHR4640 Tablet Combined With 40 mg Febuxostat Tablets in the Treatment of Primary Gout and Hyperuricemia</t>
  </si>
  <si>
    <t>NCT07501052</t>
  </si>
  <si>
    <t>Study of the SCD411 Prefilled Syringe for Treating Adults With Wet Age-Related Macular Degeneration, Retinal Vein Occlusion, Diabetic Macular Edema, or Diabetic Retinopathy</t>
  </si>
  <si>
    <t>NCT07641049</t>
  </si>
  <si>
    <t>Dual-target PSMA/PSCA CAR-NK Cells in Advanced Prostate Cancer</t>
  </si>
  <si>
    <t>NCT07678970</t>
  </si>
  <si>
    <t>A Study of SI-B036 in Patients With Locally Advanced or Metastatic Gastrointestinal Tumors and Other Solid Tumors</t>
  </si>
  <si>
    <t>NCT07618195</t>
  </si>
  <si>
    <t>Study of EPI-001 in Patients With Androgenetic Alopecia</t>
  </si>
  <si>
    <t>Epibiotech</t>
  </si>
  <si>
    <t>NCT07445295</t>
  </si>
  <si>
    <t>Chiauranib Plus PD-1 Inhibitor, Albumin-paclitaxel and Gemcitabine in Patients With Metastatic Pancreatic Ductal Adenocarcinoma</t>
  </si>
  <si>
    <t>NCT07610941</t>
  </si>
  <si>
    <t>Phase 1 Open Label Trial of MST-0312 Alone and in Combination in Subjects With Solid Malignancies</t>
  </si>
  <si>
    <t>Mestag Therapeutics Limited</t>
  </si>
  <si>
    <t>NCT07615894</t>
  </si>
  <si>
    <t>WSK-IM02 in Advanced Solid Tumors With Malignant Effusions (Phase I)</t>
  </si>
  <si>
    <t>NCT07618377</t>
  </si>
  <si>
    <t>Study of DCC-2618 in Patients With GIST After at Least 3 Prior Treatments</t>
  </si>
  <si>
    <t>NCT07471295</t>
  </si>
  <si>
    <t>Toric Performance And Constant Evaluation</t>
  </si>
  <si>
    <t>NCT07526792</t>
  </si>
  <si>
    <t>SYS6002 vs Chemotherapy in Patients With Locally Advanced or Metastatic Urothelial Carcinoma</t>
  </si>
  <si>
    <t>NCT07055893</t>
  </si>
  <si>
    <t>Immunogenicity and Safety of Rabies Vaccine (Serum-free Vero Cell) in a Simulated Post-exposure Prophylaxis Regimen</t>
  </si>
  <si>
    <t>NCT07370584</t>
  </si>
  <si>
    <t>A Safety Study of IVMED-85 Ophthalmic Solution in Healthy Adults</t>
  </si>
  <si>
    <t>NCT07519655</t>
  </si>
  <si>
    <t>Phase 1 Study of PF-08046033 in Advanced Solid Tumors</t>
  </si>
  <si>
    <t>NCT07446998</t>
  </si>
  <si>
    <t>Proof-of-Concept Study Evaluating Total Body Weight, Physical Function &amp; Safety of Enobosarm in Patients Treated With GLP-1 Receptor Agonist, for Weight Loss</t>
  </si>
  <si>
    <t>NCT07477743</t>
  </si>
  <si>
    <t>A Phase Ib Clinical Study on the Safety and Efficacy of HC010 Combinations in Advanced Solid Tumors</t>
  </si>
  <si>
    <t>NCT07357415</t>
  </si>
  <si>
    <t>A Study of Retatrutide (LY3437943) in Participants Without Type 2 Diabetes Who Have Obesity or Overweight</t>
  </si>
  <si>
    <t>NCT07717749</t>
  </si>
  <si>
    <t>A Study to Evaluate the Safety, Pharmacokinetics of AD-118 and AD-1181 in Healthy Adult Subjects</t>
  </si>
  <si>
    <t>NCT07596199</t>
  </si>
  <si>
    <t>A Study on the Immune Response and Safety of a Combined Vaccine Against Diphtheria, Tetanus and Acellular Pertussis (dTpa) in Japanese Healthy Pregnant Women</t>
  </si>
  <si>
    <t>NCT07262164</t>
  </si>
  <si>
    <t>A Clinical Study to Evaluate the Safety, Tolerability, Pharmacokinetics and Biologic Effect of VG2062 in Patients With Solid Tumors</t>
  </si>
  <si>
    <t>NCT07287995</t>
  </si>
  <si>
    <t>A Study of ASP2998 Given by Itself and Given With Standard Therapies in People With Solid Tumors</t>
  </si>
  <si>
    <t>NCT07481357</t>
  </si>
  <si>
    <t>A First-In-Human Phase I/IIa Study to Evaluate DA 3501 in Patients With Advanced Gastric or Gastro-esophageal Junction Adenocarcinoma and Pancreatic Ductal Adenocarcinoma</t>
  </si>
  <si>
    <t>NCT07431112</t>
  </si>
  <si>
    <t>A Study of AIR-001 in Adults With Alpha-1 Antitrypsin Deficiency (AATD)</t>
  </si>
  <si>
    <t>AIRNA Corporation</t>
  </si>
  <si>
    <t>NCT07366034</t>
  </si>
  <si>
    <t>A Study to Find Out How Nerandomilast is Tolerated, Handled by the Body, and if it Helps Children and Adolescents With Interstitial Lung Disease (FIBRONEER-chILD)</t>
  </si>
  <si>
    <t>NCT07571200</t>
  </si>
  <si>
    <t>A Master Protocol (OLMP): A Study of LY4256984 in Participants With Amyotrophic Lateral Sclerosis (ALS)</t>
  </si>
  <si>
    <t>NCT07465263</t>
  </si>
  <si>
    <t>A Study to Evaluate the SYH2053 Injection in Patients With Heterozygous Familial Hypercholesterolemia (HeFH)</t>
  </si>
  <si>
    <t>NCT07527572</t>
  </si>
  <si>
    <t>Study to Evaluate Efficacy and Safety of Gyntima® Balance in Preventing Recurrences of Bacterial Vaginosis</t>
  </si>
  <si>
    <t>Kaneka Americas Holding Inc.</t>
  </si>
  <si>
    <t>NCT07354711</t>
  </si>
  <si>
    <t>A First-in-human Study of 3H-10000 in Patients With Unresectable or Metastatic Solid Tumors</t>
  </si>
  <si>
    <t>3H Pharmaceuticals Co., Ltd.</t>
  </si>
  <si>
    <t>NCT07544420</t>
  </si>
  <si>
    <t>aKLmRNA-mediated Protein Replacement Therapy</t>
  </si>
  <si>
    <t>Klothea Bio Inc</t>
  </si>
  <si>
    <t>NCT07622524</t>
  </si>
  <si>
    <t>A Phase I Study of CS5007 in Participants With Advanced Solid Tumors</t>
  </si>
  <si>
    <t>NCT07300020</t>
  </si>
  <si>
    <t>PK and Relative Bioavailability of Novel Liquid Metformin vs Tablets</t>
  </si>
  <si>
    <t>NCT07401823</t>
  </si>
  <si>
    <t>Open-Label Extension Study to Pioneer Study 6058-SCD-101</t>
  </si>
  <si>
    <t>NCT07306624</t>
  </si>
  <si>
    <t>Nelmastobart in Combination With Docetaxel in Non Small Cell Lung Cancer</t>
  </si>
  <si>
    <t>NCT07318259</t>
  </si>
  <si>
    <t>Study of Ultra-Fast BCMA/CD70 CAR-T Therapy for Refractory SLE</t>
  </si>
  <si>
    <t>NCT07665996</t>
  </si>
  <si>
    <t>A Phase Ib/IIa Study Assessing the Rapid Onset Characteristics of TLL-018 for Moderate-to-Severe CSU With Inadequate Response to Second-Generation H1 Antihistamines</t>
  </si>
  <si>
    <t>NCT07662096</t>
  </si>
  <si>
    <t>A First-In-Human Study of ARO-033 in Adult Participants</t>
  </si>
  <si>
    <t>NCT07121946</t>
  </si>
  <si>
    <t>This is a Phase 1 Study to Evaluate the Safety of LTZ-301 in Patients With Non-Hodgkin Lymphoma</t>
  </si>
  <si>
    <t>LTZ Therapeutics, Inc.</t>
  </si>
  <si>
    <t>NCT07468851</t>
  </si>
  <si>
    <t>A Study of HS-10566 in Patients With High-risk Non-muscle-invasive Bladder Cancer Who Are Ineligible for or Refuse Radical Cystectomy</t>
  </si>
  <si>
    <t>NCT07469202</t>
  </si>
  <si>
    <t>CYTALUX Dose Extension Study</t>
  </si>
  <si>
    <t>NCT07364422</t>
  </si>
  <si>
    <t>To Evaluate the Safety and Tolerability of Study Drug as a Third-line and Beyond Therapy for Recurrent or Metastatic Gastric Cancer</t>
  </si>
  <si>
    <t>NCT07710729</t>
  </si>
  <si>
    <t>A Research Study Looking Into How UBT251 Works With Birth Control Tablets and Emptying of the Stomach in Women With Excess Body Weight Not Able to Become Pregnant</t>
  </si>
  <si>
    <t>NCT07485504</t>
  </si>
  <si>
    <t>Safety and Efficacy of DIT101 in Relapsed or Refractory Hematologic Malignancies</t>
  </si>
  <si>
    <t>NCT07241065</t>
  </si>
  <si>
    <t>A Study to Investigate the Effect of Capivasertib on the Pharmacokinetics of Oral Dextromethorphan (CYP2D6 Substrate) in Healthy Participants</t>
  </si>
  <si>
    <t>NCT07306832</t>
  </si>
  <si>
    <t>A Study to Assess Adverse Events and How Intravenous (IV) Pivekimab Sunirine Moves Through the Body in Pediatric Participants With Relapsed or Refractory Acute Myeloid Leukemia (AML)</t>
  </si>
  <si>
    <t>NCT07591298</t>
  </si>
  <si>
    <t>Phase II Clinical Trial to Evaluate the Efficacy and Safety of SYH2070 Injection in Participants With Homozygous Familial Hypercholesterolemia</t>
  </si>
  <si>
    <t>NCT07308106</t>
  </si>
  <si>
    <t>A Phase II Clinical Study of SKB571 as Monotherapy in Patients With Locally Advanced or Metastatic Non-Small Cell Lung Cancer With MET Abnormalities</t>
  </si>
  <si>
    <t>NCT07621471</t>
  </si>
  <si>
    <t>IL-15 Enhanced NK Cell Therapy for Solid Tumors</t>
  </si>
  <si>
    <t>Genovn Therapeutics (Suzhou) Co., Ltd.</t>
  </si>
  <si>
    <t>NCT07557121</t>
  </si>
  <si>
    <t>Safety and Efficacy of AIV007 Periocular Injection in Patients With Neovascular Age-Related Macular Degeneration</t>
  </si>
  <si>
    <t>NCT07562581</t>
  </si>
  <si>
    <t>A Phase 2 Study of Luvometinib Combined With Anlotinib in KRAS-mutated NSCLC</t>
  </si>
  <si>
    <t>NCT07365319</t>
  </si>
  <si>
    <t>A Safety and Efficacy Study of EIK1001 in Combination With Pembrolizumab and Chemotherapy in Participants With Stage 4 Non-Small Cell Lung Cancer.</t>
  </si>
  <si>
    <t>NCT07435428</t>
  </si>
  <si>
    <t>A Study to Assess the Effectiveness and Safety of IPN10200 Over Time in Adults With Moderate to Severe Wrinkle-like Lines Between the Eyebrows</t>
  </si>
  <si>
    <t>NCT07388498</t>
  </si>
  <si>
    <t>A Double-blind, Randomized Controlled Trial to Investigate the Efficacy, Safety, and Pharmacokinetics of Pegloticase Administration Via Subcutaneous and Intravenous Routes Both With Methotrexate in Participants With Uncontrolled Gout</t>
  </si>
  <si>
    <t>NCT07477704</t>
  </si>
  <si>
    <t>A Study to See How Safe and Effective Alirocumab is When Given Weekly to Adult Participants Who Have Hypercholesterolemia</t>
  </si>
  <si>
    <t>NCT07331155</t>
  </si>
  <si>
    <t>A Phase II Clinical Study of LBL-024 Combination Therapy in Patients With Advanced Solid Tumour[Substudy 03(ESCC)]</t>
  </si>
  <si>
    <t>NCT07361484</t>
  </si>
  <si>
    <t>Docetaxel Plus Plinabulin vs Docetaxel Plus Placebo in Advanced/Metastatic Non-Squamous NSCLC After PD-1/PD-L1 Therapy and Platinum Chemotherapy (DUBLIN-4)</t>
  </si>
  <si>
    <t>BeyondSpring Pharmaceuticals Inc.</t>
  </si>
  <si>
    <t>NCT06948214</t>
  </si>
  <si>
    <t>Phase 3 Study of LUM-201 in Children With Growth Hormone Deficiency</t>
  </si>
  <si>
    <t>NCT07641504</t>
  </si>
  <si>
    <t>A Chronic Pain Master Protocol (CPMP): A Study of LY4065967 in Participants With Chronic Low Back Pain</t>
  </si>
  <si>
    <t>NCT07633314</t>
  </si>
  <si>
    <t>A Clinical Trial Comparing TQC3927 Inhaled Powder With Glycopyrronium Bromide and Formoterol Inhaled Aerosol (Biovoping® Lingchang®) for the Treatment of Chronic Obstructive Pulmonary Disease</t>
  </si>
  <si>
    <t>NCT06448143</t>
  </si>
  <si>
    <t>Indigotindisulfonate Sodium Injection, USP as an Aid in the Determination of Ureteral Patency in Pediatric Patients</t>
  </si>
  <si>
    <t>NCT07281976</t>
  </si>
  <si>
    <t>A Trial of LBL-024 Monotherapy or Combination Drug in Patients With Triple Negative Breast Cancer</t>
  </si>
  <si>
    <t>NCT07606833</t>
  </si>
  <si>
    <t>The Clinical Trail to Evaluate the Efficacy and Safety of Anaprazole Sodium Enteric-coated Tablets Combined With Bismuth-containing Quadruple Therapy in Eradicating Helicobacter Pylori</t>
  </si>
  <si>
    <t>NCT07220785</t>
  </si>
  <si>
    <t>Efficacy and Safety of Mibavademab in Adult and Pediatric Patients With Generalized Lipodystrophy</t>
  </si>
  <si>
    <t>NCT07513376</t>
  </si>
  <si>
    <t>A Clinical Trial of Adjuvant Intismeran (V940) With or Without Pembrolizumab Coformulated With Berahyaluronidase Alfa (MK-3475A) in High-Risk Stage I Non-Small Cell Lung Cancer (V940-014)</t>
  </si>
  <si>
    <t>NCT07390747</t>
  </si>
  <si>
    <t>A Trial of SHR-2173 in Healthy Volunteers</t>
  </si>
  <si>
    <t>NCT07535606</t>
  </si>
  <si>
    <t>A Study to Evaluate ALN-4915 in Adult Healthy Volunteers</t>
  </si>
  <si>
    <t>NCT07557355</t>
  </si>
  <si>
    <t>A Study of SRSD384 in Overweight or Obese Participants</t>
  </si>
  <si>
    <t>NCT07430306</t>
  </si>
  <si>
    <t>A Study to Evaluate the Treatment Outcomes of Subcutaneous Anifrolumab in Immunosuppressant-naïve and Biologic-naïve Systemic Lupus Erythematosus</t>
  </si>
  <si>
    <t>NCT07656415</t>
  </si>
  <si>
    <t>A Study to Investigate the Effect of Mitapivat on Transfusion Burden in Subjects With Sickle Cell Disease (SCD)</t>
  </si>
  <si>
    <t>NCT07349615</t>
  </si>
  <si>
    <t>A Study of SHR-1918 In Participants With Hypertriglyceridemia</t>
  </si>
  <si>
    <t>NCT07482787</t>
  </si>
  <si>
    <t>Efficacy and Safety Study to Evaluate SD-101 in Epidermolysis Bullosa</t>
  </si>
  <si>
    <t>NCT07676084</t>
  </si>
  <si>
    <t>Randomized Single Center Study to Evaluate Tolerability, Symptoms, and Visual Functional Outcomes With the Use of OTC Lubricating Eye Drops in Subjects With Dry Eye Disease</t>
  </si>
  <si>
    <t>NCT07660055</t>
  </si>
  <si>
    <t>Study of [177Lu]Lu-DWJ155 and [68Ga]Ga-DWJ155 in Patients With Solid Tumors</t>
  </si>
  <si>
    <t>NCT05776927</t>
  </si>
  <si>
    <t>A Study to Evaluate the Efficacy and Safety of QVM149 (Indacaterol Acetate / Glycopyrronium Bromide / Mometasone Furoate) Versus Salmeterol Xinafoate/Fluticasone Propionate in Children From 12 Years to Less Than 18 Years of Age With Asthma.</t>
  </si>
  <si>
    <t>NCT07641179</t>
  </si>
  <si>
    <t>A Study to Evaluate MAR002 for Acromegaly</t>
  </si>
  <si>
    <t>NCT07232602</t>
  </si>
  <si>
    <t>KEYMAKER-U04 Substudy 04D: A Clinical Study of New Treatments Given With Enfortumab Vedotin and Pembrolizumab in People With Urothelial Cancer (MK-3475-04D/KEYMAKER-U04)</t>
  </si>
  <si>
    <t>NCT07039422</t>
  </si>
  <si>
    <t>Study of Ianalumab in Adults With Primary Immune Thrombocytopenia (ITP) and Warm-antibody Autoimmune Hemolytic Anemia (wAIHA) Who Have Previously Benefited From Ianalumab</t>
  </si>
  <si>
    <t>NCT07437079</t>
  </si>
  <si>
    <t>A Study to See How Safe a New Medicine (NNC6989-0001) is in Healthy People Living With Overweight or Obesity</t>
  </si>
  <si>
    <t>NCT07303296</t>
  </si>
  <si>
    <t>Efficacy and Safety Study of Bilateral IVT Injection of GS010 at Two Dose Levels in LHON Patients</t>
  </si>
  <si>
    <t>GenSight Biologics</t>
  </si>
  <si>
    <t>NCT07505745</t>
  </si>
  <si>
    <t>MOTS-c for Improving Insulin Sensitivity in Adults With Prediabetes and Overweight/Obesity</t>
  </si>
  <si>
    <t>NCT07453394</t>
  </si>
  <si>
    <t>QLS5132 Combination Therapy in Advanced Solid Tumors</t>
  </si>
  <si>
    <t>NCT07300046</t>
  </si>
  <si>
    <t>Tolerability Study of Liquid Metformin (100 and 250 mg/mL) vs IR Tablets</t>
  </si>
  <si>
    <t>NCT07570186</t>
  </si>
  <si>
    <t>Food and Ethnicity Effects on Pharmacokinetics and Safety of JPI-547 in Healthy Male Participants</t>
  </si>
  <si>
    <t>NCT07648472</t>
  </si>
  <si>
    <t>A Study of the Safety and Efficacy of the Intravenous and Intratumoral Injection of OVV-01 in Patients With Advanced Solid Tumours.</t>
  </si>
  <si>
    <t>Joint Biosciences Ltd.</t>
  </si>
  <si>
    <t>NCT07678827</t>
  </si>
  <si>
    <t>A Phase 3 Study of Viloxazine ER Capsules in Korean Children and Adolescents With ADHD</t>
  </si>
  <si>
    <t>NCT07731139</t>
  </si>
  <si>
    <t>A Study to Learn How Different Amounts of the Study Medicine Called PF-08642534 Are Tolerated and Act in the Body of People Who Have Obesity</t>
  </si>
  <si>
    <t>NCT07405177</t>
  </si>
  <si>
    <t>A Study of MK-7240 in Healthy Participants (MK-7240-009)</t>
  </si>
  <si>
    <t>NCT07424677</t>
  </si>
  <si>
    <t>Study of Saroglitazar Magnesium for PBC Patients With Incomplete Response or Intolerant to UDCA Therapy</t>
  </si>
  <si>
    <t>NCT07552012</t>
  </si>
  <si>
    <t>A Phase II Clinical Trial to Evaluate the Efficacy and Safety of FXS5626 in Patients With NIU</t>
  </si>
  <si>
    <t>NCT07661537</t>
  </si>
  <si>
    <t>A Clinical Study of SHR-3079 in B-cell Non-Hodgkin Lymphoma</t>
  </si>
  <si>
    <t>NCT07670702</t>
  </si>
  <si>
    <t>An Evaluation of the Long-Term Safety and Efficacy of TSND-201 for the Treatment of PTSD</t>
  </si>
  <si>
    <t>NCT07606612</t>
  </si>
  <si>
    <t>A Study of SI-B036 in Patients With Locally Advanced or Metastatic Solid Tumors</t>
  </si>
  <si>
    <t>NCT07729839</t>
  </si>
  <si>
    <t>Safety, Tolerability, and Pharmacokinetic Evaluation of ADB116 for Injection</t>
  </si>
  <si>
    <t>NCT07589257</t>
  </si>
  <si>
    <t>A Study of VRT106 in Combination With Radiotherapy in Adult Patients With Diffuse Midline Glioma / Diffuse Intrinsic Pontine Glioma</t>
  </si>
  <si>
    <t>NCT07557407</t>
  </si>
  <si>
    <t>A Mass Balance Study of [14C]HRS-1780 in Healthy Adult Male Subjects</t>
  </si>
  <si>
    <t>NCT07441707</t>
  </si>
  <si>
    <t>A Study to Assess a Medicine Called Tovorafenib in Japanese Children and Young Adults With Brain Tumours</t>
  </si>
  <si>
    <t>NCT07547553</t>
  </si>
  <si>
    <t>A Phase Ib/II Trial to Evaluate the Efficacy and Safety of HH-009 for the Treatment of FGF19-positive Advanced or Unresectable HCC</t>
  </si>
  <si>
    <t>NCT07699601</t>
  </si>
  <si>
    <t>Evaluate the Safety and Efficacy of HL-1186 Tablet for Postoperative Analgesia in Orthopedic Surgery</t>
  </si>
  <si>
    <t>NCT07548177</t>
  </si>
  <si>
    <t>Clinical Trials of Benmelstobart Injection Combined With Anlotinib Hydrochloride Capsules in the Treatment of Advanced or Unresectable Alveolar Soft Part Sarcoma</t>
  </si>
  <si>
    <t>NCT07560111</t>
  </si>
  <si>
    <t>A Phase II Study of GC101 in NSCLC</t>
  </si>
  <si>
    <t>NCT07691775</t>
  </si>
  <si>
    <t>A Study to Evaluate the Safety and Diagnostic Performance of F18 FBPA PET/CT Imaging in Solid Tumors</t>
  </si>
  <si>
    <t>NCT07581431</t>
  </si>
  <si>
    <t>A Phase 1, Evaluate the Safety, Tolerability, Pharmacokinetics, and Pharmacodynamics of ISM8969</t>
  </si>
  <si>
    <t>NCT07551739</t>
  </si>
  <si>
    <t>A Clinical Trial Evaluating the Efficacy and Safety of HSK55718 in Patients for Postoperative Pain Treatment in Orthopedic Surgery</t>
  </si>
  <si>
    <t>NCT06622057</t>
  </si>
  <si>
    <t>D07001 Softgel-Capsules and Capecitabine Combination Therapy in Patients With Advanced Biliary Tract Cancer</t>
  </si>
  <si>
    <t>NCT07545681</t>
  </si>
  <si>
    <t>A Phase 2A Study of a Novel Antimalarial Pyrrolidinamide in Adult Patients With Uncomplicated P. Falciparum Malaria</t>
  </si>
  <si>
    <t>NCT07413328</t>
  </si>
  <si>
    <t>HWS116 Monotherapy in Patients With Advanced Solid Tumors</t>
  </si>
  <si>
    <t>NCT07441200</t>
  </si>
  <si>
    <t>Clinical Trial of NS-863 in Participants With Pulmonary Arterial Hypertension (PAH)</t>
  </si>
  <si>
    <t>NCT07559136</t>
  </si>
  <si>
    <t>A Study to Evaluate the Safety, Tolerability, Pharmacokinetics and Pharmacodynamics of HRS9531 Injection in Adolescents With Obesity</t>
  </si>
  <si>
    <t>NCT07221877</t>
  </si>
  <si>
    <t>A Study to Evaluate the Effect of KarXT on Urological Safety</t>
  </si>
  <si>
    <t>NCT07492628</t>
  </si>
  <si>
    <t>Dual-Target Nectin-4/HER2 CAR-NK Cells in Advanced Urothelial Carcinoma</t>
  </si>
  <si>
    <t>NCT07484893</t>
  </si>
  <si>
    <t>A Study to Evaluate the Safety, PK, and Immunogenicity of Recombinant Human Hyaluronidase in Healthy Subjects</t>
  </si>
  <si>
    <t>NCT07339111</t>
  </si>
  <si>
    <t>Phase 3 Pivotal Trial Comparing CARTISTEM® and Surgical Comparator for Knee Cartilage Lesions and Osteoarthritis</t>
  </si>
  <si>
    <t>Medipost, Inc.</t>
  </si>
  <si>
    <t>NCT07608432</t>
  </si>
  <si>
    <t>Efficacy, Safety, and Tolerability of Zeleciment Rostudirsen (DYNE-251) Administered Intravenously Every 4 Weeks in Ambulatory Participants With Duchenne Muscular Dystrophy (FORZETTO)</t>
  </si>
  <si>
    <t>NCT07446400</t>
  </si>
  <si>
    <t>A Trial to Examine the Interaction of Repinatrabit With Ethinyl Estradiol/Norethindrone, Metformin,Carbamazepine, Rosuvastatin, and Methotrexate When Administered Together</t>
  </si>
  <si>
    <t>NCT07414745</t>
  </si>
  <si>
    <t>MDT-0123 Japan Study</t>
  </si>
  <si>
    <t>Medtronic Spinal and Biologics</t>
  </si>
  <si>
    <t>NCT07363057</t>
  </si>
  <si>
    <t>A Study to Evaluate the Effects of the Combination of GI-102 With GIB-7 on Biomarkers of Aging in Healthy Adults and Cancer Survivors</t>
  </si>
  <si>
    <t>NCT07327619</t>
  </si>
  <si>
    <t>A Study to Evaluate the Efficacy and Safety of Meropenem and Pralurbactam in HABP/VABP</t>
  </si>
  <si>
    <t>NCT07406984</t>
  </si>
  <si>
    <t>Clinical Study of IM96 CAR-T Cell Therapy in Patients With Advanced Adenocarcinoma of Gastric/Esophagogastric Junction</t>
  </si>
  <si>
    <t>NCT07627711</t>
  </si>
  <si>
    <t>Dual-Target CAR-NK Cells Targeting Mesothelin (MSLN) and MUC1 in Advanced Pancreatic Ductal Adenocarcinoma</t>
  </si>
  <si>
    <t>NCT07588100</t>
  </si>
  <si>
    <t>A Study to Investigate the Safety, Tolerability, and Pharmacokinetics of RO7663498 Following Intravitreal Administration in Participants With Diabetic Retinopathy</t>
  </si>
  <si>
    <t>NCT07540754</t>
  </si>
  <si>
    <t>A Study to Evaluate the Pharmacokinetics of HRS9531 Injection in Participants With Mild, Moderate, and Normal Hepatic Function</t>
  </si>
  <si>
    <t>NCT07467993</t>
  </si>
  <si>
    <t>Study to Assess the Safety, Tolerability, and Treatment Response of GXV813 in Hospitalized Adults With Schizophrenia</t>
  </si>
  <si>
    <t>NCT07430917</t>
  </si>
  <si>
    <t>Safety and Efficacy of J147 in Acute Ischemic Stroke</t>
  </si>
  <si>
    <t>Abrexa Pharmaceuticals, Inc.</t>
  </si>
  <si>
    <t>NCT07529925</t>
  </si>
  <si>
    <t>A Clinical Trail of Adalimumab in Treating Chinese Children With Severe Plaque Psoriasis</t>
  </si>
  <si>
    <t>NCT07642648</t>
  </si>
  <si>
    <t>A Novel Cold and Flu Herbal Blend for Reducing the Duration and Severity of the Common Cold</t>
  </si>
  <si>
    <t>NCT07503808</t>
  </si>
  <si>
    <t>A Study of IDE034 in Adult Participants With Locally Advanced/Metastatic Solid Tumors Types</t>
  </si>
  <si>
    <t>NCT07477691</t>
  </si>
  <si>
    <t>Immune Modulation During Palynziq® Treatment in Adults (IMPALA)</t>
  </si>
  <si>
    <t>NCT07309055</t>
  </si>
  <si>
    <t>A Study of SHR-1819 Injection in Adolescents With Severe Atopic Dermatitis</t>
  </si>
  <si>
    <t>NCT07471789</t>
  </si>
  <si>
    <t>Safety and Efficacy of GYA01 (CART84) in Relapsed/Refractory (R/R) Acute Myeloid Leukemia (AML) and Acute Lymphoblastic T Leukemia Patients (T-ALL).</t>
  </si>
  <si>
    <t>Gyala Therapeutics</t>
  </si>
  <si>
    <t>NCT07080385</t>
  </si>
  <si>
    <t>Pharmacokinetics, Efficacy, and Safety of Encaleret in Pediatric Participants With Autosomal Dominant Hypocalcemia Type 1 (ADH1)</t>
  </si>
  <si>
    <t>NCT07484217</t>
  </si>
  <si>
    <t>Clinical Assessment of Response in the Treatment of Depression With Daytime Sleepiness Using Solriamfetol</t>
  </si>
  <si>
    <t>NCT07621159</t>
  </si>
  <si>
    <t>A Phase Ib/II Study of HDM2017 in Combination With Standard of Care in Advanced Colorectal Cancer</t>
  </si>
  <si>
    <t>NCT07647237</t>
  </si>
  <si>
    <t>A Clinical Trial of Multiple Doses of GR2301 Injection Combined With Phototherapy in Trial Participants With Vitiligo</t>
  </si>
  <si>
    <t>NCT07620041</t>
  </si>
  <si>
    <t>QLC5508 in Advanced Solid Tumors:: C-QTc, Pharmacokinetics (PK) Comparisons and Drug-drug Interaction</t>
  </si>
  <si>
    <t>NCT06984341</t>
  </si>
  <si>
    <t>A Study to Evaluate the Safety, Tolerability, Cellular Kinetics, Pharmacodynamics, and Efficacy of P-CD19CD20-ALLO1 in Participants With Severe, Treatment-refractory Systemic Lupus Erythematosus (SLE)</t>
  </si>
  <si>
    <t>NCT07438496</t>
  </si>
  <si>
    <t>A Study of Nipocalimab in Adults With Moderate to Severe Systemic Lupus Erythematosus</t>
  </si>
  <si>
    <t>NCT07286266</t>
  </si>
  <si>
    <t>A Study to Investigate Mocertatug Rezetecan Compared With Standard of Care in Participants With Platinum-resistant Ovarian Cancer (BEHOLD-Ovarian01)</t>
  </si>
  <si>
    <t>NCT07609251</t>
  </si>
  <si>
    <t>A Clinical Study of SCTB41 Combined With Docetaxel in Patients With Previously Treated Locally Advanced or Metastatic Non-Small Cell Lung Cancer（Phase II Study Ongoing）</t>
  </si>
  <si>
    <t>NCT07363642</t>
  </si>
  <si>
    <t>Phase 3b Study in Patients With Severe Asthma Treated With Tezepelumab</t>
  </si>
  <si>
    <t>NCT07623356</t>
  </si>
  <si>
    <t>A Study of AK138D1 Alone or in Combination With Ivonescimab in Advanced Non-Small Cell Lung Cancer</t>
  </si>
  <si>
    <t>NCT07469774</t>
  </si>
  <si>
    <t>BC3195 in Combination With Pembrolizumab in Participants With Locally Advanced or Metastatic Solid Tumors</t>
  </si>
  <si>
    <t>NCT07505810</t>
  </si>
  <si>
    <t>Phase Ⅲ Trial of Group ACYW135 Meningococcal Conjugate Vaccine in Children Aged 3-5 Months</t>
  </si>
  <si>
    <t>NCT07377773</t>
  </si>
  <si>
    <t>QLS12010 in Participants With Moderate-to-severe Rheumatoid Arthritis</t>
  </si>
  <si>
    <t>NCT07553429</t>
  </si>
  <si>
    <t>A Study in People With Diabetic Macular Edema to Test How Well Different Doses of BI 3812465 Are Tolerated</t>
  </si>
  <si>
    <t>NCT07640451</t>
  </si>
  <si>
    <t>A Clinical Trial to Evaluate the Efficacy and Safety of HRS-9821 Inhalation Suspension in Patients With Moderate to Severe Chronic Obstructive Pulmonary Disease</t>
  </si>
  <si>
    <t>NCT07388927</t>
  </si>
  <si>
    <t>A Real-World Study on Effect of Hirudoid on Ecchymosis After Treatment of Crow's Feet With Botulinum Toxin Type A</t>
  </si>
  <si>
    <t>DKSH Management (Thailand) Limited</t>
  </si>
  <si>
    <t>NCT07215702</t>
  </si>
  <si>
    <t>A Study to Investigate the Efficacy, Safety, and Tolerability of AZD4144in Participants With Sepsis-associated Acute Kidney Injury.</t>
  </si>
  <si>
    <t>NCT07680686</t>
  </si>
  <si>
    <t>Study to Assess How Different Oral Formulations of Ubrogepant Move Through the Body in Healthy Adult Participants</t>
  </si>
  <si>
    <t>NCT07411742</t>
  </si>
  <si>
    <t>Mass Balance Study of [14C] D-2570</t>
  </si>
  <si>
    <t>NCT07546942</t>
  </si>
  <si>
    <t>Autism Spectrum Disorder (ASD) Neurodevelopmental Disorder With Issues Social Behavior, Communication Issues, GI Dysfunction. Study is Multimodal Interventions Targeting These Pathways With cSVF, Stored MSCs, FMT and Diet Modification. Role of Autoimmunity, Gut-brain Issues, &amp; Issues Examined.</t>
  </si>
  <si>
    <t>NCT07359066</t>
  </si>
  <si>
    <t>An Open-label, First-in-Human, Dose-Escalation and Dose-Expansion Phase I/II Study to Evaluate the Safety, Tolerability, Pharmacokinetics, and Preliminary Efficacy of SPR1020 in Patients With Advanced Solid Tumors</t>
  </si>
  <si>
    <t>Shanghai SciBrunch Therapeutics Co., Ltd.</t>
  </si>
  <si>
    <t>NCT07483554</t>
  </si>
  <si>
    <t>IBI343 in Combination Therapy for Advanced Malignant Solid Tumors</t>
  </si>
  <si>
    <t>NCT07489612</t>
  </si>
  <si>
    <t>QLS1410 in Participants With Uncontrolled Hypertension</t>
  </si>
  <si>
    <t>NCT07519772</t>
  </si>
  <si>
    <t>A Clinical Study of MK-1045 in People With Non-Hodgkin Lymphoma (MK-1045-008)</t>
  </si>
  <si>
    <t>NCT07176286</t>
  </si>
  <si>
    <t>18F-mFBG Cardiac Uptake With Lewy Body Dementia</t>
  </si>
  <si>
    <t>NCT06705686</t>
  </si>
  <si>
    <t>Novel ACK1 Inhibitor (R)-9b in Patients With Prostate Cancer</t>
  </si>
  <si>
    <t>TechnoGenesys, Inc.</t>
  </si>
  <si>
    <t>NCT07663331</t>
  </si>
  <si>
    <t>A Multicenter, Open-label Study on the Efficacy and Safety of Tebiovio® (Adalimumab) in Treating Chinese Children With Severe Plaque Psoriasis</t>
  </si>
  <si>
    <t>NCT07331545</t>
  </si>
  <si>
    <t>Safety, Tolerability, PK, PD, and Immunogenicity of QL2401 in Healthy Chinese Adults</t>
  </si>
  <si>
    <t>NCT07706777</t>
  </si>
  <si>
    <t>Clinical Study of HRS-2129 for Acute Gouty Arthritis</t>
  </si>
  <si>
    <t>NCT06422351</t>
  </si>
  <si>
    <t>Clinical Trial to Evaluate the Efficacy of Gene Therapy for Pyruvate Kinase Deficiency</t>
  </si>
  <si>
    <t>NCT07620951</t>
  </si>
  <si>
    <t>Material Balance of [14C]Zorifertinib in Healthy Adult Male Participants in China</t>
  </si>
  <si>
    <t>NCT07552077</t>
  </si>
  <si>
    <t>A Phase 2, Baseline-Controlled Study Evaluating the Safety and Efficacy of PTX-022 (Sirolimus) Topical Gel 3.9% in the Treatment of Angiokeratomas (LOTU)</t>
  </si>
  <si>
    <t>NCT07705737</t>
  </si>
  <si>
    <t>Rademikibart IV for Acute Asthma and COPD Exacerbation</t>
  </si>
  <si>
    <t>NCT07331272</t>
  </si>
  <si>
    <t>A Study of LUCAR-G79D in Subjects With Relapsed/Refractory Systemic Lupus Erythematosus (r/r SLE) and Idiopathic Inflammatory Myopathies (r/r IIM)</t>
  </si>
  <si>
    <t>NCT07594028</t>
  </si>
  <si>
    <t>Phase I/II Study of SCTB41 Plus SCTB39-1with or Without Standard Therapy in Advanced Solid Tumours</t>
  </si>
  <si>
    <t>NCT07516899</t>
  </si>
  <si>
    <t>Mass Balance Study of [14C] LPM3770164 in Healthy Participants</t>
  </si>
  <si>
    <t>NCT07665671</t>
  </si>
  <si>
    <t>Vitamin B12 Absorption Study</t>
  </si>
  <si>
    <t>NCT07720284</t>
  </si>
  <si>
    <t>An Open-label Study to Investigate the Efficacy and Safety of Dato-DXd + Rilvegostomig vs SoC in Adult Participants With High-risk MIUC</t>
  </si>
  <si>
    <t>NCT07300267</t>
  </si>
  <si>
    <t>A Clinical Study of Novel Pneumococcal Vaccine V118C in Children (V118C-002)</t>
  </si>
  <si>
    <t>NCT07544628</t>
  </si>
  <si>
    <t>A Phase 1 Study of Navlimetostat Tablet Formulations</t>
  </si>
  <si>
    <t>NCT07630233</t>
  </si>
  <si>
    <t>A Phase I Study of the Safety, Tolerability, Pharmacokinetics, and Pharmacodynamics of Single Subcutaneous UBT38006 Injection in Healthy Adult Males</t>
  </si>
  <si>
    <t>NCT07549984</t>
  </si>
  <si>
    <t>A Study of IBI3033 in Moderate-to-Severe Atopic Dermatitis</t>
  </si>
  <si>
    <t>NCT07017634</t>
  </si>
  <si>
    <t>Efficacy and Safety of Novosis Putty in Transforaminal Lumbar Interbody Fusion for Patients With Lumbar Degenerative Disc Disease</t>
  </si>
  <si>
    <t>CGBio Inc.</t>
  </si>
  <si>
    <t>NCT07329621</t>
  </si>
  <si>
    <t>A Brain Imaging Study to Assess the Binding of MSP-2020 to Serotonin 5-HT2A Receptors in Healthy Male Adults</t>
  </si>
  <si>
    <t>NCT07542314</t>
  </si>
  <si>
    <t>Study to Evaluate the Safety and Effectiveness of ELEVIDYS in Participants With Duchenne Muscular Dystrophy Treated in a Post-Marketing Setting</t>
  </si>
  <si>
    <t>NCT07565428</t>
  </si>
  <si>
    <t>Study to Evaluate Efficacy and Safety of Roluperidone in Adult Subjects With Negative Symptoms and Stable Positive Symptoms of Schizophrenia and to Evaluate the Relapse Rate of Roluperidone and Antipsychotic Medications</t>
  </si>
  <si>
    <t>NCT07309432</t>
  </si>
  <si>
    <t>Study of Bet v1 Antibodies Effect on Eye Allergy Symptoms in Adolescents and Adults With Birch Pollen Allergy</t>
  </si>
  <si>
    <t>NCT07364214</t>
  </si>
  <si>
    <t>Metabolism, Excretion, and Mass Balance Study of Quemliclustat in Healthy Adult Participants (ARC-24)</t>
  </si>
  <si>
    <t>NCT07650942</t>
  </si>
  <si>
    <t>Hemay005 for the Treatment of Chinese Moderately to Severely Active Ulcerative Colitis</t>
  </si>
  <si>
    <t>NCT04901741</t>
  </si>
  <si>
    <t>Olaptesed With Pembrolizumab and Nanoliposomal Irinotecan or Gemcitabine/Nab-Paclitaxel in MSS Pancreatic Cancer</t>
  </si>
  <si>
    <t>TME Pharma AG</t>
  </si>
  <si>
    <t>NCT07698210</t>
  </si>
  <si>
    <t>A Study of LY4178256 in Healthy Participants</t>
  </si>
  <si>
    <t>NCT07414394</t>
  </si>
  <si>
    <t>Tigulixostat (IBI128) vs Febuxostat in Gout</t>
  </si>
  <si>
    <t>NCT07474727</t>
  </si>
  <si>
    <t>A Phase II Study of AMT-676 Combination Therapies in Advanced Colorectal Cancer</t>
  </si>
  <si>
    <t>NCT07673627</t>
  </si>
  <si>
    <t>ADAPT Forward 2 - ISA2 - a Study to Evaluate the Safety, Tolerability and Efficacy of Empasiprubart IV Monotherapy in Participants With AChR-Ab Seropositive Generalized Myasthenia Gravis</t>
  </si>
  <si>
    <t>NCT07271186</t>
  </si>
  <si>
    <t>Study to Assess the Effects of Angiopoietin-like Protein 3 (ANGPTL3) Inhibition in Adult Participants With Diabetic Kidney Disease</t>
  </si>
  <si>
    <t>NCT07526194</t>
  </si>
  <si>
    <t>A Study in Healthy Men to Test How Well Different Doses of BI 3821001 Are Tolerated</t>
  </si>
  <si>
    <t>NCT07489066</t>
  </si>
  <si>
    <t>Symbiotic-Lung-10: A Study to Learn About PF-08634404 Alone or in Combination in Early-stage or Locally Advanced NSCLC</t>
  </si>
  <si>
    <t>NCT07362446</t>
  </si>
  <si>
    <t>Prevention of Reperfusion Injury Outcomes Through Effective Cardioprotection Targeting Myocardial Infarction</t>
  </si>
  <si>
    <t>NCT07252479</t>
  </si>
  <si>
    <t>Evaluation of RAS Inhibitor Treatment in Participants With Advanced or Metastatic Solid Tumors Harboring RAS Mutations</t>
  </si>
  <si>
    <t>NCT07426757</t>
  </si>
  <si>
    <t>An Open-Label Study to Evaluate PF-07994525 in Participants With Advanced Cancers</t>
  </si>
  <si>
    <t>NCT07663630</t>
  </si>
  <si>
    <t>A Study to Learn About the Study Medicine Called Ponsegromab in Adults With Lung Cancer-Associated Significant Weight Loss</t>
  </si>
  <si>
    <t>NCT07589634</t>
  </si>
  <si>
    <t>A Study Evaluating the Prophylactic Use of Tocilizumab to Prevent Cytokine Release Syndrome With Ramantamig Administration in Participants With Relapsed/Refractory Multiple Myeloma</t>
  </si>
  <si>
    <t>NCT07431281</t>
  </si>
  <si>
    <t>Sonesitatug Vedotin in Combination With Capecitabine With or Without Rilvegostomig in Participants With Advanced or Metastatic Gastric, Gastroesophageal Junction, or Esophageal Adenocarcinoma Expressing Claudin18.2</t>
  </si>
  <si>
    <t>NCT07684144</t>
  </si>
  <si>
    <t>Extension Trial to Evaluate the Long-term Efficacy, Safety, and Tolerability of Maridebart Cafraglutide (MARITIME-2-EXTENSION)</t>
  </si>
  <si>
    <t>NCT07551492</t>
  </si>
  <si>
    <t>A Phase III Study To Evaluate the Efficacy And Safety Of HRS9531 In Participants With Atherosclerotic Cardiovascular Disease</t>
  </si>
  <si>
    <t>NCT07480564</t>
  </si>
  <si>
    <t>Safety and Preliminary Efficacy of TSHA-102 Gene Therapy in Pediatric Females Aged &gt;2 to &lt;4 Years With Rett Syndrome</t>
  </si>
  <si>
    <t>NCT07523581</t>
  </si>
  <si>
    <t>EXACT Study: A Blinded Study in Patients With Alport Syndrome to Evaluate Exaluren Efficacy and Safety</t>
  </si>
  <si>
    <t>NCT07541430</t>
  </si>
  <si>
    <t>A Study in Adults With Desmoid Tumors</t>
  </si>
  <si>
    <t>NCT07687186</t>
  </si>
  <si>
    <t>Qishen Yiqi Dripping Pills in Treatment of Chronic Heart FailUre</t>
  </si>
  <si>
    <t>NCT07357727</t>
  </si>
  <si>
    <t>A Phase 3 Study of Pelabresib (DAK539) and Ruxolitinib in Myelofibrosis (MF)</t>
  </si>
  <si>
    <t>NCT07448922</t>
  </si>
  <si>
    <t>A Study of SKB518 as Monotherapy or Combination Therapy in Patients With Advanced Gynecological Malignant Tumors</t>
  </si>
  <si>
    <t>NCT07386002</t>
  </si>
  <si>
    <t>The GLIOMAX Study: MT027 Allogeneic CAR-T for Recurrent Glioma</t>
  </si>
  <si>
    <t>T-MAXIMUM Pharmaceutical Inc</t>
  </si>
  <si>
    <t>NCT07314242</t>
  </si>
  <si>
    <t>A Study to Investigate the Biomarkers of Hemay005 in Adult Participants With Moderate to Severe COPD</t>
  </si>
  <si>
    <t>NCT07722494</t>
  </si>
  <si>
    <t>IBI363 Combined With Bevacizumab for Advanced Colorectal Cancer</t>
  </si>
  <si>
    <t>NCT07136922</t>
  </si>
  <si>
    <t>First in Human Safety and Ease of Use Assessment of 400mg Progesterone Callavid in Women With Luteal Phase Insufficiency</t>
  </si>
  <si>
    <t>Calla Lily Clinical Care Ltd</t>
  </si>
  <si>
    <t>NCT07321886</t>
  </si>
  <si>
    <t>A Study of Eloralintide (LY3841136) in Participants With Obesity, or Overweight Without Type 2 Diabetes</t>
  </si>
  <si>
    <t>NCT07502222</t>
  </si>
  <si>
    <t>A Study to Evaluate the Efficacy and Safety of AK139 in Patients With Moderate-to-severe Atopic Dermatitis</t>
  </si>
  <si>
    <t>NCT07457229</t>
  </si>
  <si>
    <t>Radiprodil in Participants With Hepatic Impairment</t>
  </si>
  <si>
    <t>NCT07115329</t>
  </si>
  <si>
    <t>A Phase 2 Study of Zelquistinel or Placebo for the Reduction of Symptoms of Major Depressive Disorder</t>
  </si>
  <si>
    <t>NCT06904261</t>
  </si>
  <si>
    <t>A Study of Migalastat in Pediatric Subjects (2 to &lt;12 Yrs) With Fabry Disease and Amenable GLA Variants</t>
  </si>
  <si>
    <t>NCT07581951</t>
  </si>
  <si>
    <t>A Phase 3 Study Evaluating the Safety and Efficacy of HSK31679 in Patients With MASH</t>
  </si>
  <si>
    <t>NCT07328542</t>
  </si>
  <si>
    <t>Ambulatory Blood Pressure Monitoring (ABPM) Study in Hypogonadal Men</t>
  </si>
  <si>
    <t>Azurity Pharmaceuticals</t>
  </si>
  <si>
    <t>NCT07318597</t>
  </si>
  <si>
    <t>Study of REGN13335 in Adult Participants With Pulmonary Arterial Hypertension (PAH)</t>
  </si>
  <si>
    <t>NCT07656779</t>
  </si>
  <si>
    <t>Human Mass Balance Study of [¹⁴C]HRS-1893</t>
  </si>
  <si>
    <t>NCT07572396</t>
  </si>
  <si>
    <t>Phase II Study of Dysplasix™ Intravaginal Suppositories in Patients Patients With High-Risk HPV and Mild Cervical Cytologic Abnormalities</t>
  </si>
  <si>
    <t>Amplexd Therapeutics, Inc.</t>
  </si>
  <si>
    <t>NCT07571746</t>
  </si>
  <si>
    <t>A Study to Assess the Effect of Surovatamig in Adult Participants With Antibody-mediated Kidney Disease</t>
  </si>
  <si>
    <t>NCT07641296</t>
  </si>
  <si>
    <t>Evaluation of the Safety, Efficacy, Dose Response of the Bimatoprost Drug Ring System (BIM-DRS) in Pseudophakic Patients Diagnosed With Open Angle Glaucoma or Ocular Hypertension</t>
  </si>
  <si>
    <t>NCT07628062</t>
  </si>
  <si>
    <t>Phase 2 Study of NAI, HPV Vaccine, and Nab-Paclitaxel in HPV-Positive Oropharyngeal Cancer Followed by De-Intensified Radiation Compared With Standard Chemoradiation</t>
  </si>
  <si>
    <t>NCT07571824</t>
  </si>
  <si>
    <t>A Study to Assess the Bioavailability and Adhesion of Selegiline TDS in Healthy Subjects</t>
  </si>
  <si>
    <t>NCT07318688</t>
  </si>
  <si>
    <t>Evaluate the Efficacy and Safety of HMI-115 in Women With Moderate to Severe Endometriosis-associated Pain</t>
  </si>
  <si>
    <t>NCT07640542</t>
  </si>
  <si>
    <t>Test-retest Trial With [11C]MODAG-005 in PD or MSA and AMHC - Pilot Phase</t>
  </si>
  <si>
    <t>NCT07341737</t>
  </si>
  <si>
    <t>SL-28 for Advanced Solid Tumours</t>
  </si>
  <si>
    <t>Second Life Therapeutics</t>
  </si>
  <si>
    <t>NCT07717086</t>
  </si>
  <si>
    <t>Pharmacokinetic and Safety Study of HYR-PB21 vs Bupivacaine Hydrochloric Acid in Healthy Participants</t>
  </si>
  <si>
    <t>Fruithy Holdings Limited</t>
  </si>
  <si>
    <t>NCT07682272</t>
  </si>
  <si>
    <t>A Trial of SHR-8068 Combined With Adebrelimab and Apatinib in Perioperative Treatment of Resectable Hepatocellular Carcinoma</t>
  </si>
  <si>
    <t>NCT07455045</t>
  </si>
  <si>
    <t>A Phase I Study of FZ-AD005 in Patients With High-Grade Glioma (HGG)</t>
  </si>
  <si>
    <t>NCT03301805</t>
  </si>
  <si>
    <t>A Phase II, EvaluateBLEX 404 Combined With Gemcitabine Monotherapy With Pancreatic Cancer</t>
  </si>
  <si>
    <t>Rgene Corporation</t>
  </si>
  <si>
    <t>NCT07524322</t>
  </si>
  <si>
    <t>Study of RGT-490 in Patients With PIK3CA-Mutated Advanced Solid Tumors</t>
  </si>
  <si>
    <t>NCT07594977</t>
  </si>
  <si>
    <t>Food-Effect, Single and Multiple Dose Pharmacokinetics, Safety and Tolerability Study of 4-MUST, 128 mg, Tablets in Healthy Volunteers</t>
  </si>
  <si>
    <t>NCT07592572</t>
  </si>
  <si>
    <t>A Study of the Effects of Itraconazole on LY4395089 in Healthy Participants</t>
  </si>
  <si>
    <t>NCT07227454</t>
  </si>
  <si>
    <t>A Study to Evaluate the Efficacy and Safety of Esketamine for Reduction of Symptoms of Major Depressive Disorder</t>
  </si>
  <si>
    <t>NCT07447102</t>
  </si>
  <si>
    <t>Phase II Clinical Study of BC006 in Patients With Idiopathic Pulmonary Fibrosis</t>
  </si>
  <si>
    <t>NCT07247188</t>
  </si>
  <si>
    <t>Study of a Single Dose of a 21-valent Pneumococcal Conjugate Vaccine in Children and Adolescents With Sickle Cell Disease</t>
  </si>
  <si>
    <t>NCT07536061</t>
  </si>
  <si>
    <t>A First-in-human Study of the Effects of SRP-1005 in Participants With Huntington's Disease</t>
  </si>
  <si>
    <t>NCT07625670</t>
  </si>
  <si>
    <t>Clinical Study to Evaluate Remineralization Using an in Situ Model.</t>
  </si>
  <si>
    <t>NCT07400003</t>
  </si>
  <si>
    <t>Study to Evaluate the Safety and Immunogenicity of a Lyophilized Herpes Zoster Virus mRNA Vaccine</t>
  </si>
  <si>
    <t>NCT07580703</t>
  </si>
  <si>
    <t>A Phase I Study of [18F]Flortaucipir PET Imaging in Chinese Subjects: Safety, Pharmacokinetics, Biodistribution, Radiation Dosimetry, and Preliminary Diagnostic Efficacy</t>
  </si>
  <si>
    <t>Eli Radiopharma</t>
  </si>
  <si>
    <t>NCT07187973</t>
  </si>
  <si>
    <t>A Phase 1b, Open-Label Study of DISC-3405 in Participants With Sickle Cell Disease (SCD)</t>
  </si>
  <si>
    <t>NCT07287202</t>
  </si>
  <si>
    <t>Safety, Tolerability, and Pharmacokinetics of SVG103 (Paxalisib) in Focal Cortical Dysplasia Type II (FCD-II), Tuberous Sclerosis Complex (TSC) or Hemimegalencephaly (HME)</t>
  </si>
  <si>
    <t>NCT07222553</t>
  </si>
  <si>
    <t>Study to Evaluate the Pharmacokinetics, Pharmacodynamics, Safety, and Tolerability of Inebilizumab in Pediatric Participants With IgG4-RD</t>
  </si>
  <si>
    <t>NCT07450053</t>
  </si>
  <si>
    <t>A Study (Phase 1b/2) of GenSci134 in Children With Idiopathic Short Stature (ISS)</t>
  </si>
  <si>
    <t>NCT07631637</t>
  </si>
  <si>
    <t>Study to Evaluate ALN-CIDEB in Adults With Fibrotic Metabolic Dysfunction-Associated Steatohepatitis (MASH)</t>
  </si>
  <si>
    <t>NCT07494305</t>
  </si>
  <si>
    <t>Multicenter Study to Assess the Efficacy and Safety of LB-102 in the Treatment of Adult Patients With BP1MDE.</t>
  </si>
  <si>
    <t>NCT05126888</t>
  </si>
  <si>
    <t>SCI-110 in the Treatment of Tourette Syndrome</t>
  </si>
  <si>
    <t>Neurothera Labs Inc.</t>
  </si>
  <si>
    <t>NCT07473154</t>
  </si>
  <si>
    <t>Controlling Hyperactive Immunity With Long-lived Lymphocytes</t>
  </si>
  <si>
    <t>NCT07454837</t>
  </si>
  <si>
    <t>Study to Evaluate Switching to Brelovitug for the Treatment of CHD in Participants Receiving Bulevirtide</t>
  </si>
  <si>
    <t>NCT07533942</t>
  </si>
  <si>
    <t>A Study of JZP3507 (ONC206) in Recurrent Grade 2 or 3 Meningioma</t>
  </si>
  <si>
    <t>NCT07414602</t>
  </si>
  <si>
    <t>A Phase I Study of Single Subcutaneous Dose of SHR-1894 in Healthy Subjects</t>
  </si>
  <si>
    <t>NCT07715305</t>
  </si>
  <si>
    <t>A Clinical Trial to Evaluate the Bioequivalence of AD-116A Compared to AD-1161 in Healthy Adult Male Volunteers</t>
  </si>
  <si>
    <t>NCT07441694</t>
  </si>
  <si>
    <t>Study of INCA036978 in Participants With Myeloproliferative Neoplasms</t>
  </si>
  <si>
    <t>NCT07455851</t>
  </si>
  <si>
    <t>A Trial to Study if REGN17372 in Combination With Linvoseltamab is Tolerable for Adult Participants With Relapsed/Refractory Multiple Myeloma</t>
  </si>
  <si>
    <t>NCT06513546</t>
  </si>
  <si>
    <t>A Study to Evaluate the Safety, Efficacy, and Pharmacodynamics of PLL001 in ALS Patients</t>
  </si>
  <si>
    <t>PLL TX AUSTRALIA PTY LTD</t>
  </si>
  <si>
    <t>NCT07667569</t>
  </si>
  <si>
    <t>A Study to Learn How Safe ACT-777991 is and How Well it Works in Adults With Non-segmental Vitiligo</t>
  </si>
  <si>
    <t>NCT07571005</t>
  </si>
  <si>
    <t>AMAZE 3: A Research Study Investigating How Well the Medicine NNC0487-0111 Helps People With Excess Body Weight and Obstructive Sleep Apnoea Not Treated With Positive Airway Pressure Lose Weight and Improve Sleep Apnoea</t>
  </si>
  <si>
    <t>NCT07566247</t>
  </si>
  <si>
    <t>A Phase I Clinical Study of AK150 in Advanced Malignant Solid Tumor</t>
  </si>
  <si>
    <t>NCT07422285</t>
  </si>
  <si>
    <t>Comparing the Extent to Which Two Evolocumab Drug Products Are Made Available in the Body After a Single Subcutaneous Dose</t>
  </si>
  <si>
    <t>NCT07371468</t>
  </si>
  <si>
    <t>A Study of GSK5926371 in Participants With B-cell Driven Autoimmune Rheumatic Diseases (ARD)</t>
  </si>
  <si>
    <t>NCT07287748</t>
  </si>
  <si>
    <t>A Phase I Trial of Af-001 in Patients With Differentiated Thyroid Cancer</t>
  </si>
  <si>
    <t>Alpha Fusion Inc.</t>
  </si>
  <si>
    <t>NCT07482176</t>
  </si>
  <si>
    <t>Efficacy and Safety Study of Ixoberogene Soroparvovec (Ixo-vec) in Participants With Neovascular Age-related Macular Degeneration (AQUARIUS)</t>
  </si>
  <si>
    <t>NCT07286058</t>
  </si>
  <si>
    <t>Continuation Study of Zasocitinib in Adults With Psoriatic Arthritis</t>
  </si>
  <si>
    <t>NCT07327255</t>
  </si>
  <si>
    <t>Pharmacokinetic Study to Evaluate Safety and Tolerability of EG-101 in Healthy Female Volunteers as a Safety Lead-In for Dosing in Pregnant Women With Severe Pre-eclampsia</t>
  </si>
  <si>
    <t>NCT07332091</t>
  </si>
  <si>
    <t>Efficacy and Safety of Vamifeport in Adult Participants With Homeostatic Iron Regulator Gene (HFE)-Related Hereditary Hemochromatosis</t>
  </si>
  <si>
    <t>NCT07550946</t>
  </si>
  <si>
    <t>Study to Evaluate the Effect of Food and a Proton Pump Inhibitor on the Pharmacokinetics of VRN101099 in Healthy Adult Participants</t>
  </si>
  <si>
    <t>NCT07694765</t>
  </si>
  <si>
    <t>A Study of LM-364 as a Single Agent or in Combination With Anti-tumor Therapy in Patients With Advanced Solid Tumors</t>
  </si>
  <si>
    <t>NCT07465965</t>
  </si>
  <si>
    <t>A Clinical Study of Semaglutide Nasal Spray in Overweight or Obese Adults</t>
  </si>
  <si>
    <t>Shanghai World Leader Pharmaceutical Co., Ltd.</t>
  </si>
  <si>
    <t>NCT07404137</t>
  </si>
  <si>
    <t>A Study to Investigate the Concentrations of Zibotentan and Dapagliflozin in Blood When Given With and Without Food</t>
  </si>
  <si>
    <t>NCT07409181</t>
  </si>
  <si>
    <t>A Study to Test Whether Different Doses of BI 3000202 Help People With Systemic Lupus Erythematosus (SLE)</t>
  </si>
  <si>
    <t>NCT07561437</t>
  </si>
  <si>
    <t>NK521 in the Treatment of Malignant Ascites Associated With Advanced Solid Tumors</t>
  </si>
  <si>
    <t>NCT07586865</t>
  </si>
  <si>
    <t>Recombinant Human Thymosin Beta 4 for Injection(NL005) for Acute Myocardial Infarction</t>
  </si>
  <si>
    <t>NCT07590167</t>
  </si>
  <si>
    <t>A Study to Evaluate the Safety and Pharmacokinetics of AD-231 Compared to Coadministration of AD-231A, AD-231D and AD-231C</t>
  </si>
  <si>
    <t>NCT07673900</t>
  </si>
  <si>
    <t>Semaglutide Delivered Epi-Intradermally by Microarray Patch (VX-201) Versus Subcutaneous Administration in Healthy Overweight and Obese Participants</t>
  </si>
  <si>
    <t>NCT07467707</t>
  </si>
  <si>
    <t>An Efficacy, Safety, and Immunogenicity Study of CHIKV VLP Vaccine for the Prevention of Chikungunya Disease in Adolescents and Adults</t>
  </si>
  <si>
    <t>NCT07300007</t>
  </si>
  <si>
    <t>PK and Relative Bioavailability of Liquid Metformin vs Tablets in Healthy Adults</t>
  </si>
  <si>
    <t>NCT07230119</t>
  </si>
  <si>
    <t>A Study of Zovaglutide in Subjects With Overweight or Obesity (HORIZON-1)</t>
  </si>
  <si>
    <t>NCT07391657</t>
  </si>
  <si>
    <t>A Study Comparing AZD0120, a Dual-targeted CAR-T Against B-cell Maturation Antigen (BCMA) and CD19, Versus Standard Regimens in Participants With Relapsed Refractory Multiple Myeloma (DURGA-4)</t>
  </si>
  <si>
    <t>NCT07416110</t>
  </si>
  <si>
    <t>Phase IIIb Clinical Trial to Evaluate Lot-to-lot Consistency of Sinovac Rabies Vaccine</t>
  </si>
  <si>
    <t>NCT07345689</t>
  </si>
  <si>
    <t>A Study of the Pharmacokinetics and Safety of Anaprazole Sodium in Special Populations</t>
  </si>
  <si>
    <t>NCT07682818</t>
  </si>
  <si>
    <t>Pharmacokinetics of Petrelintide in Participants With Impaired Hepatic Function</t>
  </si>
  <si>
    <t>NCT07638891</t>
  </si>
  <si>
    <t>A Study of HDM2020 in Patients With Advanced Sq-NSCLC</t>
  </si>
  <si>
    <t>NCT07410143</t>
  </si>
  <si>
    <t>Investigation of Individualised Antisense Oligonucleotides (ASOs) in People With Unique Genetic Variants Causing Severely Debilitating, Life Threatening (SDLT) Central Nervous System (CNS) Conditions</t>
  </si>
  <si>
    <t>EveryONE Medicines Inc.</t>
  </si>
  <si>
    <t>NCT07587697</t>
  </si>
  <si>
    <t>A Study to Compare the Amount of Two Forms of Tafamidis in the Blood of Healthy Adults Under Fasting Conditions</t>
  </si>
  <si>
    <t>NCT07361497</t>
  </si>
  <si>
    <t>A Study to Evaluate Pumitamig Versus Durvalumab Following Concurrent Chemoradiation Therapy in Participants With Unresectable Stage III Non-small Cell Lung Cancer (NSCLC) (ROSETTA Lung-201)</t>
  </si>
  <si>
    <t>NCT06626854</t>
  </si>
  <si>
    <t>Treating Chronic Pain of Peripheral Nerve Origin With the Novel Noninvasive Hypersound Neuromodulation System</t>
  </si>
  <si>
    <t>Hypersound Medical Inc</t>
  </si>
  <si>
    <t>NCT07513454</t>
  </si>
  <si>
    <t>A Phase 2 Study of HW211026</t>
  </si>
  <si>
    <t>NCT07487896</t>
  </si>
  <si>
    <t>A Study of YL201 Versus Investigator's Choice of Chemotherapy in Participants With Locally Advanced or Metastatic Esophageal Squamous Cell Carcinoma After Failure of First-Line Therapy</t>
  </si>
  <si>
    <t>NCT06712654</t>
  </si>
  <si>
    <t>A Study to Evaluate Safety, Tolerability and Efficacy of AP306 at Fixed Doses in Dialysis Participants With Hyperphosphatemia</t>
  </si>
  <si>
    <t>R1 Therapeutics</t>
  </si>
  <si>
    <t>NCT07392866</t>
  </si>
  <si>
    <t>A Clinical Study of SH006 Injection in Combination Therapy Versus Regorafenib in the Treatment of Advanced Hepatocellular Carcinoma</t>
  </si>
  <si>
    <t>NCT07654361</t>
  </si>
  <si>
    <t>Efficacy and Safety of Aleniglipron in Participants With Obesity or Overweight With a Weight-Related Comorbidity (ACCOMPLISH-1)</t>
  </si>
  <si>
    <t>NCT01677689</t>
  </si>
  <si>
    <t>Study to Investigate the Efficacy and Safety of Apomivir®</t>
  </si>
  <si>
    <t>Far East Bio-Tec Co., Ltd</t>
  </si>
  <si>
    <t>NCT07265674</t>
  </si>
  <si>
    <t>A Study to Select a Dose Regimen (Part A) and to Investigate Overall Survival (Part B) With Nanvuranlat Compared With Physician's Best Choice in Participants Aged 18 Years or Older With Biliary Tract Cancer</t>
  </si>
  <si>
    <t>NCT07691190</t>
  </si>
  <si>
    <t>Bioequivalence Study to Compare Cariprazine 1.5 mg Hard Capsules (1.5 mg Cariprazine Hydrochloride) Versus Reagila® 1,5 mg Hartkapseln (Hard Capsules) (Cariprazine)</t>
  </si>
  <si>
    <t>NCT07486713</t>
  </si>
  <si>
    <t>Olutasidenib DDI Study in Patients With IDH1 Mutation Positive Malignancies</t>
  </si>
  <si>
    <t>NCT07504458</t>
  </si>
  <si>
    <t>Pivotal Open-label Phase 3 Clinical Study of QTX-2101 in Adult Patients With Acute Promyelocytic Leukemia</t>
  </si>
  <si>
    <t>Quetzal Therapeutics</t>
  </si>
  <si>
    <t>NCT07496450</t>
  </si>
  <si>
    <t>A Study of mRNA-1018-H5 Pandemic Influenza Vaccine in Healthy Adults</t>
  </si>
  <si>
    <t>NCT07502417</t>
  </si>
  <si>
    <t>A Phase 1 Study to Assess the Effect of ABBV-722 on Ethinyl Estradiol and Levonorgestrel Drug Levels in Healthy Adult Female Participants</t>
  </si>
  <si>
    <t>NCT07266090</t>
  </si>
  <si>
    <t>A Study to Evaluate the Safety,Tolerability,Pharmacokinetics and Pharmacodynamics of Cenerimod in Adult Chinese Participants With Moderate-to-severe Systemic Lupus Erythematosus (SLE)</t>
  </si>
  <si>
    <t>Viatris Pharmaceuticals Co., Ltd.</t>
  </si>
  <si>
    <t>NCT07548840</t>
  </si>
  <si>
    <t>A Clinical Study of TS-172 in Hyperphosphatemia Patients on Hemodialysis</t>
  </si>
  <si>
    <t>NCT07454291</t>
  </si>
  <si>
    <t>A Study to Evaluate Pharmacokinetics and Drug-drug Interactions of ENV-101 (Taladegib) in Healthy Participants</t>
  </si>
  <si>
    <t>NCT07655960</t>
  </si>
  <si>
    <t>To Evaluate the Safety and Pharmacokinetic Characteristics of AJU-C716 and C716R in Healthy Adults</t>
  </si>
  <si>
    <t>NCT07349017</t>
  </si>
  <si>
    <t>A Phase I Trial to Evaluate the Safety and Immunogenicity of Influenza Virus Split Vaccine (Adjuvant)</t>
  </si>
  <si>
    <t>NCT07733089</t>
  </si>
  <si>
    <t>A Trial to Understand How Safe and Well Tolerated ZP9830 is and How it Works in People With Plaque Psoriasis Over an 8-week Treatment Period</t>
  </si>
  <si>
    <t>NCT06875960</t>
  </si>
  <si>
    <t>A Study to Continue the Administration of Deucravacitinib in Participants With Systemic Lupus Erythematosus (SLE) or Discoid and/or Subacute Cutaneous Lupus Erythematosus (DLE/SCLE) Who Have Completed Study IM011074 or Study IM011132</t>
  </si>
  <si>
    <t>NCT07696091</t>
  </si>
  <si>
    <t>Study on Drug Interactions Affecting the Pharmacokinetics of RSS0343 Tablet</t>
  </si>
  <si>
    <t>NCT07442591</t>
  </si>
  <si>
    <t>A Study to Assess Effect of Dosing Intervals on Multiple-Dose Pharmacokinetics of WD-1603 Taken Before Meals in Healthy Participants</t>
  </si>
  <si>
    <t>NCT05646524</t>
  </si>
  <si>
    <t>Study of Efficacy and Safety of NM8074 in Adult PNH Patients Who Are Naive to Complement Inhibitor Therapy</t>
  </si>
  <si>
    <t>NCT07498218</t>
  </si>
  <si>
    <t>Phase 1 Study of VELGRAFT, a Living Cellular Construct, in the Management of Chronic Diabetic Foot Ulcers Which Have Attained Granulation Tissue</t>
  </si>
  <si>
    <t>Ayu, Inc.</t>
  </si>
  <si>
    <t>NCT07591168</t>
  </si>
  <si>
    <t>A Study of BL-M11D1 in Patients With Relapsed/Refractory Myelodysplastic Syndromes</t>
  </si>
  <si>
    <t>NCT07642050</t>
  </si>
  <si>
    <t>A Study to Determine if BHV-1400 is Effective and Safe in Adults With IgA Nephropathy</t>
  </si>
  <si>
    <t>NCT07615010</t>
  </si>
  <si>
    <t>A Clinical Trial to Evaluate agenT-797 Plus Standard of Care in Participants With Severe Pneumonia With Moderate to Severe Acute Hypoxemic Respiratory Failure</t>
  </si>
  <si>
    <t>NCT07357220</t>
  </si>
  <si>
    <t>A Study of AK112 in Combination With VG2025 in Colorectal Cancer With Liver Metastases</t>
  </si>
  <si>
    <t>NCT07436156</t>
  </si>
  <si>
    <t>SUMMIT RISE Study of Acute Ischemic Stroke Patients</t>
  </si>
  <si>
    <t>Route 92 Medical, Inc.</t>
  </si>
  <si>
    <t>NCT07285122</t>
  </si>
  <si>
    <t>Inhaled RB042 in Healthy Adult Volunteers and Healthy Adult Smokers</t>
  </si>
  <si>
    <t>Atisama Therapeutics</t>
  </si>
  <si>
    <t>NCT07263594</t>
  </si>
  <si>
    <t>A Study of DB-1324 in Advanced/Metastatic Gastrointestinal Tumors</t>
  </si>
  <si>
    <t>NCT07352969</t>
  </si>
  <si>
    <t>A Dose Finding Study of IBI3016 in Mild to Moderate Hypertensive Patients</t>
  </si>
  <si>
    <t>NCT07326566</t>
  </si>
  <si>
    <t>Study of Silevertinib With Temozolomide for the Treatment of Newly Diagnosed GBM With Unmethylated MGMT and EGFRvIII</t>
  </si>
  <si>
    <t>NCT07312903</t>
  </si>
  <si>
    <t>DPTX3186 in Wnt Pathway Activated Solid Tumors</t>
  </si>
  <si>
    <t>Dewpoint Therapeutics</t>
  </si>
  <si>
    <t>NCT07453888</t>
  </si>
  <si>
    <t>Efficacy and Safety of Intranasal Cenegermin in Adult Participants With Non-Arteritic Anterior Ischemic Optic Neuropathy (NAION)</t>
  </si>
  <si>
    <t>NCT07622342</t>
  </si>
  <si>
    <t>A Phase II Study of SHR-2173 Injection in Patients With Myasthenia Gravis</t>
  </si>
  <si>
    <t>NCT07644559</t>
  </si>
  <si>
    <t>A Phase 2 Study of VS-7375 in Patients With KRAS G12D-Mutated Pancreatic Cancer</t>
  </si>
  <si>
    <t>NCT07446049</t>
  </si>
  <si>
    <t>A Single-arm, Open-label, Multicenter, Phase Ib/II Clinical Trial of CVL237 Tablets in Combination With Serplulimab Injection for the Treatment of Advanced Solid Tumors With PTEN Loss or Low Expression</t>
  </si>
  <si>
    <t>NCT06375343</t>
  </si>
  <si>
    <t>Study to Evaluating PRO-240 Ophthalmic Solution Compared to Optive®</t>
  </si>
  <si>
    <t>NCT06774040</t>
  </si>
  <si>
    <t>Evaluation of Safety, Tolerability and Preliminary Efficacy of Etrinabdione in Patients With Peripheral Arterial Disease</t>
  </si>
  <si>
    <t>VivaCell Biotechnology España</t>
  </si>
  <si>
    <t>NCT07284797</t>
  </si>
  <si>
    <t>A Phase 1 Open-label Study to Evaluate Safety in Healthy Participants and Participants With Autoimmune Diseases</t>
  </si>
  <si>
    <t>NCT07364513</t>
  </si>
  <si>
    <t>Phase 1b Safety Study of IMSB301 in Type 1 Interferonopathies</t>
  </si>
  <si>
    <t>NCT07633691</t>
  </si>
  <si>
    <t>A Study to Exploratively Evaluate the Safety, Tolerability and Pharmacokinetics of DA-5223 Compared With DA-5223-R in Healthy Adult Subjects</t>
  </si>
  <si>
    <t>NCT07326813</t>
  </si>
  <si>
    <t>A Clinical Study to Evaluate the Efficacy and Safety of D-2570 in the Treatment of Moderate to Severe Plaque Psoriasis</t>
  </si>
  <si>
    <t>NCT07430397</t>
  </si>
  <si>
    <t>A Single Ascending Dose Study to Assess the Safety, Tolerability, Pharmacokinetics and Pharmacodynamics of CITY-FXI in Healthy Adults and Adults With FV Leiden or Prothrombin G20210A Mutation</t>
  </si>
  <si>
    <t>City Therapeutics</t>
  </si>
  <si>
    <t>NCT06781125</t>
  </si>
  <si>
    <t>One Trial of JCXH-211 Intratumoral Injection Combined With Anti-PD-1 Antibody in Patients With Malignant Solid Tumors</t>
  </si>
  <si>
    <t>NCT07324850</t>
  </si>
  <si>
    <t>A Study of SGB-7342 in Subjects With Obesity or Overweight</t>
  </si>
  <si>
    <t>NCT07587710</t>
  </si>
  <si>
    <t>A Research Study Looking Into Blood Levels of the Medicine NNC0487-0111 in the Body and How Well it is Tolerated in People With Reduced Liver Function and Normal Liver Function</t>
  </si>
  <si>
    <t>NCT07602842</t>
  </si>
  <si>
    <t>A Study of IDP-001 in Advanced or Metastatic Solid Tumors</t>
  </si>
  <si>
    <t>InduPro, Inc.</t>
  </si>
  <si>
    <t>NCT07558733</t>
  </si>
  <si>
    <t>Sapanisertib and Serabelisib (PIKTOR) in Various Combinations in Patients With HR+/HER2- Advanced/Metastatic Breast Cancer</t>
  </si>
  <si>
    <t>NCT07561294</t>
  </si>
  <si>
    <t>A Study to Evaluate the Safety, Reactogenicity, and Immunogenicity of mRNA-1982 to Prevent Lyme Disease in Healthy Participants (18 to 70 Years of Age)</t>
  </si>
  <si>
    <t>NCT07316153</t>
  </si>
  <si>
    <t>Deep Sleep in Older Adults</t>
  </si>
  <si>
    <t>Proactive Life Inc</t>
  </si>
  <si>
    <t>NCT07618845</t>
  </si>
  <si>
    <t>A Clinical Trial to Assess the Pharmacokinetics, Safety, and Food Effect of AD-230 in Healthy Adults</t>
  </si>
  <si>
    <t>NCT07550231</t>
  </si>
  <si>
    <t>Determining the Optimal Dose of AD-211 in Patients With Osteoarthritis of the Knee</t>
  </si>
  <si>
    <t>NCT07404553</t>
  </si>
  <si>
    <t>A Study Of SHR-1918 In Participants With Hypercholesterolemia With Inadequate Lipid Control on Statins Plus PCSK9 Inhibitors</t>
  </si>
  <si>
    <t>NCT07538466</t>
  </si>
  <si>
    <t>A Study to Evaluate the Safety and Pharmacokinetics of AD-123 Compared to Coadministration of AD-1231 and AD-1232</t>
  </si>
  <si>
    <t>NCT07729475</t>
  </si>
  <si>
    <t>A Phase II, Randomized, Double-Blind, Placebo-Controlled Study of Oral SAL0137 in Adults With Elevated Lp(a) and Increased Risk of Cardiovascular Events</t>
  </si>
  <si>
    <t>NCT07158775</t>
  </si>
  <si>
    <t>A Phase 1/2 Study to Evaluate the Safety and Efficacy of Intravitreal Administration of BS01 in Patients With Geographic Atrophy Secondary to Dry AMD</t>
  </si>
  <si>
    <t>NCT07314775</t>
  </si>
  <si>
    <t>Yangxin Dawayimixike Honey Paste for Carotid Atherosclerotic Plaque With Dyslipidemia: A Randomized Controlled Clinical Study</t>
  </si>
  <si>
    <t>Xinjiang Uygur Pharmaceutical Co., Ltd.</t>
  </si>
  <si>
    <t>NCT07653477</t>
  </si>
  <si>
    <t>Phase III Study of UBT251 Injection in Patients With Type 2 Diabetes With Inadequate Glycemic Control on Metformin ± Sulfonylurea/SGLT2 Inhibitor Therapy (UNIGUIDE-2)</t>
  </si>
  <si>
    <t>NCT07241546</t>
  </si>
  <si>
    <t>Study of Inhaled ARO-RAGE in Allergen-induced Mild Asthma</t>
  </si>
  <si>
    <t>NCT07391722</t>
  </si>
  <si>
    <t>DNV001 Injection in Patients With Hypercholesterolemia</t>
  </si>
  <si>
    <t>Hangzhou Dinovate Biotech Co., Ltd</t>
  </si>
  <si>
    <t>NCT07234773</t>
  </si>
  <si>
    <t>A First-in-human Study of KT501 Administered Subcutaneously to Patients With Rheumatoid Arthritis (RA).</t>
  </si>
  <si>
    <t>Kali Therapeutics, Inc.</t>
  </si>
  <si>
    <t>NCT07515014</t>
  </si>
  <si>
    <t>A Study of E6742 in Participants With Systemic Lupus Erythematosus</t>
  </si>
  <si>
    <t>NCT07479043</t>
  </si>
  <si>
    <t>To Evaluate the Safety and Potential Therapeutic Activity of JadiCell™, an Investigational Umbilical Cord-Derived Mesenchymal Stem Cell Therapy, in Patients Diagnosed With Acute Respiratory Distress Syndrome (ARDS).</t>
  </si>
  <si>
    <t>Breathe Biologics, Inc.</t>
  </si>
  <si>
    <t>NCT07641426</t>
  </si>
  <si>
    <t>A Two Part Dose-escalation Safety and Efficacy Study of CID-103 in Adults With Active and Chronic Active Renal Allograft Antibody Mediated Rejection (ABMR).</t>
  </si>
  <si>
    <t>NCT06549751</t>
  </si>
  <si>
    <t>MT-601 Administered To Patients With Locally Advanced Unresectable or Metastatic Pancreatic Cancer</t>
  </si>
  <si>
    <t>NCT07699757</t>
  </si>
  <si>
    <t>HSK41959 With Standard Therapy in Solid Tumors With MTAP Deletion</t>
  </si>
  <si>
    <t>NCT07423598</t>
  </si>
  <si>
    <t>A Study to Investigate Safety, Tolerability, Pharmacokinetics, and Pharmacodynamics With AZD0780 Following Repeated Dose Administration in Healthy Adults With Elevated LDL-C Levels</t>
  </si>
  <si>
    <t>NCT07626281</t>
  </si>
  <si>
    <t>Assessment of Safety, Tolerability, Pharmacokinetics and Pharmacodynamics of a New Formulation of Inclisiran Containing Polysorbate 80 Compared to the Currently Marketed Formulation</t>
  </si>
  <si>
    <t>NCT07297212</t>
  </si>
  <si>
    <t>A Clinical Trial Testing the Safety of the Investigational Drug Pumitamig (BNT327) and How Well it Works in Patients With Recurrent Glioblastoma</t>
  </si>
  <si>
    <t>NCT07598370</t>
  </si>
  <si>
    <t>A Study of LY3439539 in Participants With Alzheimer's Disease</t>
  </si>
  <si>
    <t>NCT07393373</t>
  </si>
  <si>
    <t>Open-Label, Long-Term, Extension Study of Infigratinib in Children With Hypochondroplasia</t>
  </si>
  <si>
    <t>NCT07396337</t>
  </si>
  <si>
    <t>Study to Assess the Efficacy and Safety of QHRD106 Injection in Acute Ischemic Stroke.</t>
  </si>
  <si>
    <t>NCT07623681</t>
  </si>
  <si>
    <t>Single-arm, Open-label, Dose-escalating Phase I Clinical Study of PA3-17 Injection in Children and Adolescents With Relapsed/Refractory T-lymphoblastic Leukemia/Lymphoma</t>
  </si>
  <si>
    <t>NCT07234032</t>
  </si>
  <si>
    <t>An Open-Label Extension Study of Treprostinil Palmitil Inhalation Powder (TPIP) in Participants With Pulmonary Hypertension Associated With Interstitial Lung Disease (PH-ILD)</t>
  </si>
  <si>
    <t>NCT07226895</t>
  </si>
  <si>
    <t>A Study Exploring Changes in a Variety of Biomarkers Following Dosing With MT1988 in Participants at Clinical High Risk for Psychosis</t>
  </si>
  <si>
    <t>NCT07699120</t>
  </si>
  <si>
    <t>Evaluation of BRC-002 Safety, Tolerability, Pharmacokinetics, and Food Effects in Healthy Participants</t>
  </si>
  <si>
    <t>Biopharmaceutical Research Company</t>
  </si>
  <si>
    <t>NCT07728487</t>
  </si>
  <si>
    <t>Study of AT-587 in Healthy Subjects</t>
  </si>
  <si>
    <t>NCT07713758</t>
  </si>
  <si>
    <t>A Trial to Examine if Repinatrabit is Processed Differently in Adults With Reduced Liver or Kidney Function Compared to Adults With Normal Liver and Kidney Function</t>
  </si>
  <si>
    <t>NCT07147959</t>
  </si>
  <si>
    <t>PET-Based Imaging of Radiolabeled CIT-013</t>
  </si>
  <si>
    <t>NCT07601620</t>
  </si>
  <si>
    <t>A Study to Evaluate the Pharmacokinetics, Efficacy, and Safety of HLX319 vs. EU-Phesgo® in the Neoadjuvant Therapy of HER2-Positive Early or Locally Advanced Breast Cancer</t>
  </si>
  <si>
    <t>NCT07538804</t>
  </si>
  <si>
    <t>A Study to Investigate ANS02 in Participants With EGFR Mutation-Positive Non-Small Cell Lung Cancer</t>
  </si>
  <si>
    <t>NCT07095452</t>
  </si>
  <si>
    <t>A Study to Assess A Change in Disease Activity and Adverse Events of Intravenous Etentamig and Daratumumab (Etentamig+D) Compared to Daratumumab, Lenalidomide, and Dexamethasone (DRd) in Adult Participants With Newly Diagnosed Multiple Myeloma Not Eligible for Transplant</t>
  </si>
  <si>
    <t>NCT07294534</t>
  </si>
  <si>
    <t>A Phase II/III Clinical Study to Evaluate the Efficacy and Safety of HLX87in Combination With HLX22 or Pertuzumab in the Neoadjuvant Therapy of HER2-Positive Bresat Cancer</t>
  </si>
  <si>
    <t>NCT07579884</t>
  </si>
  <si>
    <t>To Evaluate the Safety and Efficacy of RP902 Tablets</t>
  </si>
  <si>
    <t>NCT07668752</t>
  </si>
  <si>
    <t>A Study to Evaluate GFH375 Versus Docetaxel in Participants With Non-Small Cell Lung Cancer With KRAS G12D Mutation</t>
  </si>
  <si>
    <t>NCT07614152</t>
  </si>
  <si>
    <t>The Efficacy and Safety of Inpegsomatropin Injection in Children With Turner Syndrome (TS) and Short Stature</t>
  </si>
  <si>
    <t>NCT07236112</t>
  </si>
  <si>
    <t>Study of TRDC002 in the Diagnosis of Patients With PSMA-positive Prostate Cancer</t>
  </si>
  <si>
    <t>NCT07503587</t>
  </si>
  <si>
    <t>Evaluating the Efficacy and Safety of of HSK44459 in People With Progressive Pulmonary Fibrosis</t>
  </si>
  <si>
    <t>NCT07502534</t>
  </si>
  <si>
    <t>A Clinical Study Comparing the Bioequivalence of IBI3027 and DUPIXENT®(Dupilumab) in Healthy Chinese Volunteers</t>
  </si>
  <si>
    <t>NCT06733519</t>
  </si>
  <si>
    <t>TH104 for the Treatment of Pruritus in Primary Biliary Cholangitis</t>
  </si>
  <si>
    <t>NCT07345000</t>
  </si>
  <si>
    <t>A Study of Romiplostim N01 Plus IST vs. Placebo Plus IST for Treatment-Naive Severe Aplastic Anemia</t>
  </si>
  <si>
    <t>NCT07748533</t>
  </si>
  <si>
    <t>HY001N for Patients With Autoimmune Hemolytic Anemia After Failure ≥3 Lines of Therapy.</t>
  </si>
  <si>
    <t>NCT07558200</t>
  </si>
  <si>
    <t>Phase Ia/Ib Study of FXB0871 Monotherapy in Locally Advanced/Metastatic Solid Tumors</t>
  </si>
  <si>
    <t>NCT06529432</t>
  </si>
  <si>
    <t>A Study of Bupivacaine Liposome Injection in the Treatment of Pain After Thoracoscopic Surgery</t>
  </si>
  <si>
    <t>NCT07583316</t>
  </si>
  <si>
    <t>A Phase 1 First-in-Human Study of CRPA1A2, a MAGE-A1/HLA-A*02:01 Bispecific T-Cell Engager, in Patients With Solid Tumors</t>
  </si>
  <si>
    <t>NCT07601048</t>
  </si>
  <si>
    <t>A Trial of HRS-7058 in Advanced or Metastatic Non-Small Cell Lung Cancer Patients Who Have Failed Standard Treatment</t>
  </si>
  <si>
    <t>NCT07373067</t>
  </si>
  <si>
    <t>Repeat Intracerebroventricular Injections of RB-ADSC in Subjects Previously Treated in RBI Protocol RB-ADSC-02</t>
  </si>
  <si>
    <t>NCT07253285</t>
  </si>
  <si>
    <t>A Research Study on How Well Cagrilintide and CagriSema Work in Children and Adolescents With Excess Body Weight</t>
  </si>
  <si>
    <t>NCT07533708</t>
  </si>
  <si>
    <t>A Phase I Clinical Study of HLX3902 in Patients With mCRPC and Other Advanced Tumours</t>
  </si>
  <si>
    <t>NCT07517289</t>
  </si>
  <si>
    <t>Study to Determine the Comparative Pharmacodynamics of Enoxaparin Sodium Biosimilar With That From Clexane</t>
  </si>
  <si>
    <t>NCT07436689</t>
  </si>
  <si>
    <t>Long-Term Open-Label Extension Study of Oral Levosimendan</t>
  </si>
  <si>
    <t>NCT07685600</t>
  </si>
  <si>
    <t>Investigating the Effect of Itraconazole on the Pharmacokinetics of AZD4144 in Healthy Participants</t>
  </si>
  <si>
    <t>NCT07539415</t>
  </si>
  <si>
    <t>A Phase 1 Clinical Trial to Assess the Safety of DWRX5003 and Relative Bioavailability to DWC202502 and DWC202503 in Healthy Adult Volunteers</t>
  </si>
  <si>
    <t>NCT07433335</t>
  </si>
  <si>
    <t>A Study to Assess the Safety and Tolerability of SR-878 in Patients With Rheumatoid Arthritis</t>
  </si>
  <si>
    <t>NCT07684235</t>
  </si>
  <si>
    <t>Extension Trial to Evaluate the Long-term Efficacy, Safety, and Tolerability of Maridebart Cafraglutide (MARITIME-1-EXTENSION)</t>
  </si>
  <si>
    <t>NCT07505043</t>
  </si>
  <si>
    <t>First-in-Human Study of ISH0688: Safety, Tolerability, Pharmacokinetics, and Pharmacodynamics</t>
  </si>
  <si>
    <t>NCT07471217</t>
  </si>
  <si>
    <t>[¹⁴C] Hydronidone Mass Balance Study</t>
  </si>
  <si>
    <t>NCT07235917</t>
  </si>
  <si>
    <t>A Study to Investigate Mibavademab in Adult Women With Functional Hypothalamic Amenorrhea</t>
  </si>
  <si>
    <t>NCT06197568</t>
  </si>
  <si>
    <t>Proof of Concept Study of Vaginal AZU-101 in Vulvovaginal Atrophy in Postmenopausal Women</t>
  </si>
  <si>
    <t>Azure Biotech Inc.</t>
  </si>
  <si>
    <t>NCT07351968</t>
  </si>
  <si>
    <t>A Phase Ib Study to Evaluate the Efficacy and Safety of HRS-2129 in Patients With Knee Osteoarthritis</t>
  </si>
  <si>
    <t>NCT07347548</t>
  </si>
  <si>
    <t>A Trial to Investigate the Safety and Pharmacokinetics of GRT6019 in Healthy Male Participants</t>
  </si>
  <si>
    <t>NCT07291076</t>
  </si>
  <si>
    <t>A Study to Evaluate the Safety and Tolerability of Pumitamig Alone or In Combination With Ipilimumab in Participants With First-Line Advanced or Unresectable Hepatocellular Carcinoma (HCC) (ROSETTA HCC-206)</t>
  </si>
  <si>
    <t>NCT07584226</t>
  </si>
  <si>
    <t>A First-in-human Study of RLY-8161 in Advanced NRAS-Mutant Solid Tumors</t>
  </si>
  <si>
    <t>NCT07476326</t>
  </si>
  <si>
    <t>Pharmacokinetics, Safety, and Immunogenicity Comparison of Bmab1700 and Opdivo® as Adjuvant Monotherapy in Participants With Melanoma</t>
  </si>
  <si>
    <t>NCT07300943</t>
  </si>
  <si>
    <t>Study in Advanced Solid Tumor Patients</t>
  </si>
  <si>
    <t>Callio Therapeutics</t>
  </si>
  <si>
    <t>NCT07614776</t>
  </si>
  <si>
    <t>A Study to Evaluate Efficacy, Safety, and Immunogenicity With ABP 938 8 mg Versus EYLEA® HD (Aflibercept) in Participants With Neovascular Age-related Macular Degeneration</t>
  </si>
  <si>
    <t>NCT07342517</t>
  </si>
  <si>
    <t>A Study of NDV-01 as an Intravesical Administration to Patients With BCG-Unresponsive Non-Muscle Invasive Bladder Cancer (NMIBC), Refractory to First-line Therapy</t>
  </si>
  <si>
    <t>NCT07722962</t>
  </si>
  <si>
    <t>Additional Phase 3 Study of KP-100IT in Subjects With Acute Spinal Cord Injury</t>
  </si>
  <si>
    <t>NCT07703904</t>
  </si>
  <si>
    <t>To Evaluate the Safety, Tolerability, Pharmacokinetics and the Effect of Food on the Hemay5259 Sustained-release Tablets in Healthy Subjects.</t>
  </si>
  <si>
    <t>Hemay Pharmaceutical PTY. LTD.</t>
  </si>
  <si>
    <t>NCT07379333</t>
  </si>
  <si>
    <t>A Study to Evaluate Efficacy and Safety of HM11260C in Patients With Type 2 Diabetes Mellitus Inadequately Controlled With Metformin and Dapagliflozin</t>
  </si>
  <si>
    <t>NCT07631065</t>
  </si>
  <si>
    <t>Phase 4 Study of Sto M Tab. in Acute or Chronic Gastritis</t>
  </si>
  <si>
    <t>NCT07574385</t>
  </si>
  <si>
    <t>Sciatic Nerve Block With ALX006 in Subjects Undergoing Bunionectomy</t>
  </si>
  <si>
    <t>Rebel Medicine Inc</t>
  </si>
  <si>
    <t>NCT07677163</t>
  </si>
  <si>
    <t>A Clinical Trial of MK-1403 in Healthy Participants (MK-1403-007)</t>
  </si>
  <si>
    <t>NCT07377578</t>
  </si>
  <si>
    <t>A Study of Rocbrutinib Versus Investigator's Choice of BTK Inhibitors in Patients With Relapsed or Refractory Mantle Cell Lymphoma</t>
  </si>
  <si>
    <t>NCT07473128</t>
  </si>
  <si>
    <t>Effect of Trilaciclib in the Prevention of Myelosupression in Subjects With Limited-stage Small Cell Lung Cancer</t>
  </si>
  <si>
    <t>NCT07412236</t>
  </si>
  <si>
    <t>A Phase IIIc Clinical Study to Evaluate the Long-term Treatment of Hydronidone Capsules for Liver Fibrosis in Patients With Chronic Hepatitis B.</t>
  </si>
  <si>
    <t>NCT07593144</t>
  </si>
  <si>
    <t>A Single-Arm, Open-Label Phase Ia/Ib Clinical Trial Evaluating the Safety, Tolerability, Pharmacokinetic Profile, and Preliminary Efficacy of FS-207 in Patients With Advanced Solid Tumors With High Microsatellite Instability (MSI-H)</t>
  </si>
  <si>
    <t>Foresight Therapeutics (Hefei) Co., Ltd.</t>
  </si>
  <si>
    <t>NCT07551557</t>
  </si>
  <si>
    <t>Pharmacokinetics of VC005 Tablets in Subjects With Hepatic Impairment and Normal Hepatic Function</t>
  </si>
  <si>
    <t>NCT07502300</t>
  </si>
  <si>
    <t>A Study Comparing BL-B01D1 Combined With Tislelizumab Versus Platinum-containing Chemotherapy Combined With Tislelizumab as First-line Treatment in Patients With Extensive-stage Small Cell Lung Cancer(PANKU-Lung07)</t>
  </si>
  <si>
    <t>NCT07673744</t>
  </si>
  <si>
    <t>A Study to Evaluate the Efficacy and Safety of Maintenance Ublituximab Following Induction With Efgartigimod Administration in Participants With Myasthenia Gravis (MG)</t>
  </si>
  <si>
    <t>NCT07496567</t>
  </si>
  <si>
    <t>A Clinical Trial of EYE201/MK-8748 in People With Macular Degeneration (MK-8748-003)</t>
  </si>
  <si>
    <t>NCT07402330</t>
  </si>
  <si>
    <t>Pharmacokinetic Study of DA-020</t>
  </si>
  <si>
    <t>NCT07296445</t>
  </si>
  <si>
    <t>A Trial to Investigate Whether Oral Arsenic Trioxide Is Similar to Intravenous Arsenic Trioxide in Pharmacokinetics, Safety, and Efficacy (LATITUDE/SDKARS-301)</t>
  </si>
  <si>
    <t>NCT07551544</t>
  </si>
  <si>
    <t>ANKTIVA Plus BCG Versus BCG Monotherapy In Participants With BCG-Naïve/BCG-Exposed High-Grade Non-Muscle Invasive Papillary Bladder Cancer</t>
  </si>
  <si>
    <t>NCT07425392</t>
  </si>
  <si>
    <t>Safety, Tolerability, and Immunogenicity of VAX-31 in Adults ≥50 Years With Prior Pneumococcal Vaccination</t>
  </si>
  <si>
    <t>NCT07619001</t>
  </si>
  <si>
    <t>A Study to Evaluate the PK Similarity of AK104 in Healthy Chinese Male Participations</t>
  </si>
  <si>
    <t>NCT07721025</t>
  </si>
  <si>
    <t>Study of LX2006 Gene Therapy in Friedreich Ataxia Cardiomyopathy</t>
  </si>
  <si>
    <t>NCT07520318</t>
  </si>
  <si>
    <t>This is a 96-week, Multicenter Study in Patients With Neovascular AMD That Evaluates OCUL101 for Efficacy, Safety, Durability, and Pharmacokinetics, Comparing it With Another Treatment. The Study Will be Conducted in Two Parts, Part A and Part B.</t>
  </si>
  <si>
    <t>Shenzhen Oculgen Biomedical Technology Co., Ltd.</t>
  </si>
  <si>
    <t>NCT07502001</t>
  </si>
  <si>
    <t>Influence of HDM1005 on Gastric Emptying and Pharmacokinetics of Metformin, Atorvastatin, Warfarin, and Digoxin</t>
  </si>
  <si>
    <t>NCT07587021</t>
  </si>
  <si>
    <t>Study of YOLT-203 in Children and Adults With Primary Hyperoxaluria Type 1 (PH1)</t>
  </si>
  <si>
    <t>NCT07368972</t>
  </si>
  <si>
    <t>Study of DISC-0974-201 in Participants With IBD and Anemia</t>
  </si>
  <si>
    <t>NCT07489495</t>
  </si>
  <si>
    <t>A Clinical Study of Belzutifan (MK-6482) and Zanzalintinib in People With Renal Cell Carcinoma (RCC) (LITESPARK-034/LS-034/MK-6482-034)</t>
  </si>
  <si>
    <t>NCT07308834</t>
  </si>
  <si>
    <t>Evaluation of Intra-articular CX-011 to Treat Moderate to Severe Pain From Knee Osteoarthritis</t>
  </si>
  <si>
    <t>CarthroniX, Inc.</t>
  </si>
  <si>
    <t>NCT07241234</t>
  </si>
  <si>
    <t>A Study to Evaluate Safety, Tolerability, Pharmacokinetics, and Pharmacodynamics of AG-181 in Subjects With Phenylketonuria</t>
  </si>
  <si>
    <t>NCT07719920</t>
  </si>
  <si>
    <t>A Phase Ia/Ib Study of HW221043 in Participants With Advanced Solid Tumors</t>
  </si>
  <si>
    <t>NCT07531628</t>
  </si>
  <si>
    <t>A Study to Test How Verducatib is Taken up in the Body of Healthy Chinese Participants</t>
  </si>
  <si>
    <t>NCT07698886</t>
  </si>
  <si>
    <t>Treatment of Recurrent Genital Warts by Combination of CO2 Laser and Geniwa Gel</t>
  </si>
  <si>
    <t>KTH Biopharma</t>
  </si>
  <si>
    <t>NCT07354022</t>
  </si>
  <si>
    <t>A Study to Evluate Efficacy and Safety of HRS-8080 Combined With Dalpiciclib in Patients With Advanced or Metastatic Breast Cancer Resistant to Adjuvant Endocrine Therapy.</t>
  </si>
  <si>
    <t>NCT06605651</t>
  </si>
  <si>
    <t>Proof of Concept Study to Assess Safety and Efficacy of Phage Therapy in Hip or Knee Prosthetic Joint Infections Due to Staphylococcus Aureus Treated by DAIR.</t>
  </si>
  <si>
    <t>NCT07441395</t>
  </si>
  <si>
    <t>Study to Evaluate Soquelitinib in Participants With Moderate to Severe AD</t>
  </si>
  <si>
    <t>NCT07566572</t>
  </si>
  <si>
    <t>A Study of BGM0504 Tablets in Healthy Chinese Subjects</t>
  </si>
  <si>
    <t>NCT07360275</t>
  </si>
  <si>
    <t>A Study of VCT220 in Participants With Hypertension and Obesity or Overweight</t>
  </si>
  <si>
    <t>NCT07707375</t>
  </si>
  <si>
    <t>A Study of LY4268989 (MORF 057) in Healthy Participants</t>
  </si>
  <si>
    <t>NCT07676175</t>
  </si>
  <si>
    <t>A Study of BEBT-908 in Combination With Chemotherapy in Patients With Previously Untreated Peripheral T-Cell Lymphoma (PTCL)</t>
  </si>
  <si>
    <t>NCT07602127</t>
  </si>
  <si>
    <t>Safety and Efficacy Study of Novel Gene Therapy AGX-08 for Geographic Atrophy</t>
  </si>
  <si>
    <t>NCT07564154</t>
  </si>
  <si>
    <t>A First-in-human Study of KT502 in Adult Participants With Rheumatoid Arthritis (RA)</t>
  </si>
  <si>
    <t>NCT07397351</t>
  </si>
  <si>
    <t>Aroxxen® Inhalation for Cardioprotection After Elective PCI With Stent Implantation</t>
  </si>
  <si>
    <t>Research Institute of Geroprotective Technologies</t>
  </si>
  <si>
    <t>NCT07640295</t>
  </si>
  <si>
    <t>Study of JAB-23E73 in Combination With Chemotherapy in Participants With Metastatic PDAC Harboring KRAS Gene Alterations</t>
  </si>
  <si>
    <t>NCT07599410</t>
  </si>
  <si>
    <t>A Research Study to Investigate the Efficacy and Safety of HRS9531 Tablets in Participants With Type 2 Diabetes Mellitus</t>
  </si>
  <si>
    <t>NCT07635914</t>
  </si>
  <si>
    <t>A Study Evaluating Aprocitentan Tablets(SYH9108) for the Treatment of Resistant Hypertension</t>
  </si>
  <si>
    <t>NCT07594158</t>
  </si>
  <si>
    <t>A Study to Evaluate the Safety, Efficacy, and PK of ONO-2017 in Japanese Patients With POS 2 to 17 Year Olds</t>
  </si>
  <si>
    <t>NCT07282743</t>
  </si>
  <si>
    <t>Efficacy and Safety of GL0034 in Overweight or Obese Adults With Type II Diabetes Mellitus</t>
  </si>
  <si>
    <t>NCT07717918</t>
  </si>
  <si>
    <t>A Study of BL1332 on Capsaicin-Induced Ocular Pain in Healthy Trial Participants</t>
  </si>
  <si>
    <t>NCT07428499</t>
  </si>
  <si>
    <t>Phase 3 Extension Study of ADX-324 in Participants With Hereditary Angioedema (HAE)</t>
  </si>
  <si>
    <t>NCT07452198</t>
  </si>
  <si>
    <t>A Study of GR1803 Injection Versus Daratumumab, Pomalidomide, and Dexamethasone (DPd) in Participants With Relapsed or Refractory Multiple Myeloma</t>
  </si>
  <si>
    <t>NCT07450521</t>
  </si>
  <si>
    <t>Evaluation of MTX-463 Administered Subcutaneously in Healthy Adult Males</t>
  </si>
  <si>
    <t>NCT07618247</t>
  </si>
  <si>
    <t>Single Ascending Doses (SAD) and Multiple Ascending Doses(MAD) Study of IG001119 in Healthy Adult Participants</t>
  </si>
  <si>
    <t>Iongen Therapeutics Co., Ltd.</t>
  </si>
  <si>
    <t>NCT06590090</t>
  </si>
  <si>
    <t>Natrunix in Combination With Methotrexate for Rheumatoid Arthritis Treatment</t>
  </si>
  <si>
    <t>NCT04452097</t>
  </si>
  <si>
    <t>Use of hUC-MSC Product (BX-U001) for the Treatment of COVID-19 With ARDS</t>
  </si>
  <si>
    <t>Baylx Inc.</t>
  </si>
  <si>
    <t>NCT07477587</t>
  </si>
  <si>
    <t>A Study to Compare the PK Characteristics, Safety, Tolerability, and Immunogenicity of HLX15-SC With DARZALEX FASPRO® in Combination With Lenalidomide and Dexamethasone (Rd) in Transplant-ineligible Patients With Newly Diagnosed Multiple Myeloma</t>
  </si>
  <si>
    <t>NCT06935474</t>
  </si>
  <si>
    <t>C-CAR168 CAR T Cell Therapy for Refractory Autoimmune Disease</t>
  </si>
  <si>
    <t>NCT07564310</t>
  </si>
  <si>
    <t>INFORMing Patients With Oximetry Data to Improve MAD Engagement</t>
  </si>
  <si>
    <t>ResMed</t>
  </si>
  <si>
    <t>NCT07527078</t>
  </si>
  <si>
    <t>Evaluate the Efficacy and Safety of GZR33 Injection in Patients With Type 2 Diabetes</t>
  </si>
  <si>
    <t>NCT07441278</t>
  </si>
  <si>
    <t>A Clinical Trial of NS-863 in Participants With Pulmonary Hypertension Associated With Interstitial Lung Disease (PH-ILD)</t>
  </si>
  <si>
    <t>NCT07362017</t>
  </si>
  <si>
    <t>Open Label Study to Investigate the Safety and Efficacy of Ponesimod in Moderate-to-Severe Chronic Plaque Psoriasis</t>
  </si>
  <si>
    <t>NCT07560020</t>
  </si>
  <si>
    <t>A Trial to Compare Treatment With Surlorian (ARM210, S48168) to Placebo in Effects on Muscle Strength and Safety in Adults With Autosomal Dominant RYR1-related Myopathy</t>
  </si>
  <si>
    <t>NCT07723833</t>
  </si>
  <si>
    <t>A Study to Investigate the Relative Bioavailability and Safety of Different Oral Formulations of Elecoglipron in Healthy Participants</t>
  </si>
  <si>
    <t>NCT06930755</t>
  </si>
  <si>
    <t>Study of NMS-03305293 in Adult Patients With Relapsed Ovarian Cancer</t>
  </si>
  <si>
    <t>NCT07615985</t>
  </si>
  <si>
    <t>A Study to Test the Safety and Blood Levels of PMG1016 in Healthy Adults</t>
  </si>
  <si>
    <t>NCT07455825</t>
  </si>
  <si>
    <t>A Study to Investigate the Pharmacokinetics of Different Formulations and Safety of AZD5004 in Healthy Participants Aged 18 to 55 Years</t>
  </si>
  <si>
    <t>NCT07402876</t>
  </si>
  <si>
    <t>A Clinical Trial Evaluating Patients With Primary Vitreoretinal Lymphoma</t>
  </si>
  <si>
    <t>NCT07476963</t>
  </si>
  <si>
    <t>Evaluation of the Food Effecton the Pharmacokinetics of FWD1802 in Healthy Subjects</t>
  </si>
  <si>
    <t>NCT07682948</t>
  </si>
  <si>
    <t>A Randomized, Open-label, Two-arm, Two-period, Multiple-dose, Study to Evaluate Pharmacokinetic Drug-drug Interaction, Safety and Tolerability of UIC202601 and UIC202602 in Healthy Volunteers</t>
  </si>
  <si>
    <t>NCT07640555</t>
  </si>
  <si>
    <t>Evaluation of [¹⁸F]MODAG-009 PET Imaging in Synucleinopathies</t>
  </si>
  <si>
    <t>NCT07470879</t>
  </si>
  <si>
    <t>A Study of How the Medicine Called "Etrasimod" Works in Children With the Gut Disease Called Ulcerative Colitis</t>
  </si>
  <si>
    <t>NCT07560124</t>
  </si>
  <si>
    <t>A Study of AK138D1 Alone or in Combination With Ivonescimab in Advanced Breast Cancer</t>
  </si>
  <si>
    <t>NCT07197580</t>
  </si>
  <si>
    <t>Phase 3 Study to Assess Safety and Efficacy of 177Lu-TLX250 in Advanced Relapsed or Recurrent ccRCC</t>
  </si>
  <si>
    <t>NCT07518459</t>
  </si>
  <si>
    <t>A Study of Absorption, Distribution, Metabolism and Excretion (ADME) of [14C]AZD4144</t>
  </si>
  <si>
    <t>NCT07649954</t>
  </si>
  <si>
    <t>A Study to Evaluate How Multiple Doses of Itraconazole Interacts With Nacresertib in Healthy Adult Participants</t>
  </si>
  <si>
    <t>NCT07681479</t>
  </si>
  <si>
    <t>A Mass Balance Study of [14C]HRS-9057 for Injection in Healthy Participants</t>
  </si>
  <si>
    <t>NCT07680946</t>
  </si>
  <si>
    <t>Study to Evaluate the Safety and Efficacy of Ublituximab in Participants With Schizophrenia</t>
  </si>
  <si>
    <t>NCT07533851</t>
  </si>
  <si>
    <t>A Food Effect Study of VC005 Tablets in Healthy Adult Subjects.</t>
  </si>
  <si>
    <t>NCT07278479</t>
  </si>
  <si>
    <t>Study of [212Pb]Pb-DOTAM-MAM279 ([212Pb]Pb-MP0712) in Patients With Small Cell Lung Cancer and Other DLL3 Expressing Solid Tumors</t>
  </si>
  <si>
    <t>NCT07359846</t>
  </si>
  <si>
    <t>A Study to Investigate GB-0895 Adjunctive Therapy in Adults and Adolescents With Severe Uncontrolled Asthma (SOLAIRIA-2)</t>
  </si>
  <si>
    <t>NCT07401862</t>
  </si>
  <si>
    <t>A Study of Eloralintide (LY3841136) in Participants With Different Levels of Liver Damage and in Participants With Healthy Livers.</t>
  </si>
  <si>
    <t>NCT07398846</t>
  </si>
  <si>
    <t>Efficacy of a Stannous Fluoride Toothpaste, Cetylpyridinium Chloride Mouthwash, and Battery Toothbrush Regimen in Reducing Established Dental Plaque and Gingivitis.</t>
  </si>
  <si>
    <t>NCT07250646</t>
  </si>
  <si>
    <t>A Study of Rebecsinib for Patients With Relapsed/Refractory Secondary Acute Myeloid Leukemia or High Risk Myelofibrosis</t>
  </si>
  <si>
    <t>Aspera Biomedicines, Inc.</t>
  </si>
  <si>
    <t>NCT07417124</t>
  </si>
  <si>
    <t>Assess the Safety and Tolerability of SNS851 in Healthy Participants</t>
  </si>
  <si>
    <t>Year</t>
  </si>
  <si>
    <t>Total</t>
  </si>
  <si>
    <t>2020</t>
  </si>
  <si>
    <t>2021</t>
  </si>
  <si>
    <t>2022</t>
  </si>
  <si>
    <t>2023</t>
  </si>
  <si>
    <t>2024</t>
  </si>
  <si>
    <t>2025</t>
  </si>
  <si>
    <t>2026 through July</t>
  </si>
  <si>
    <t>2026 Annualized</t>
  </si>
  <si>
    <t>Rolling Metrics</t>
  </si>
  <si>
    <t>Value</t>
  </si>
  <si>
    <t>T12M (Aug 2025 – Jul 2026)</t>
  </si>
  <si>
    <t>T12M Prior (Aug 2024 – Jul 2025)</t>
  </si>
  <si>
    <t>T12M vs T12M Prior %</t>
  </si>
  <si>
    <t>YoY % trials/day (Jul 2026 vs Jul 2025)</t>
  </si>
  <si>
    <t>MoM % trials/day (Jul 2026 vs Jun 2026)</t>
  </si>
  <si>
    <t>MoM Prior % trials/day (Jun 2026 vs May 2026)</t>
  </si>
  <si>
    <t>Month</t>
  </si>
  <si>
    <t>Days</t>
  </si>
  <si>
    <t>Trials/Day</t>
  </si>
  <si>
    <t>YoY % enroll/day (Jul 2026 vs Jul 2025)</t>
  </si>
  <si>
    <t>MoM % enroll/day (Jul 2026 vs Jun 2026)</t>
  </si>
  <si>
    <t>MoM Prior % enroll/day (Jun 2026 vs May 2026)</t>
  </si>
  <si>
    <t>Enroll/Day</t>
  </si>
  <si>
    <t>Data pulled: 08/11/2026 | CDER current as of: N/A | CBER current as of: N/A | NOTE: Nov 2025 blood grouping reagents (8) counted as 1 (manual adjustment)</t>
  </si>
  <si>
    <t>FDA Center</t>
  </si>
  <si>
    <t>Approval Date</t>
  </si>
  <si>
    <t>Approval Type</t>
  </si>
  <si>
    <t>Drug Name</t>
  </si>
  <si>
    <t>Active Ingredient</t>
  </si>
  <si>
    <t>Month &amp; Year</t>
  </si>
  <si>
    <t>FDA-Approved Use</t>
  </si>
  <si>
    <t>Source</t>
  </si>
  <si>
    <t>CDER</t>
  </si>
  <si>
    <t>NDA</t>
  </si>
  <si>
    <t>Simtriyo</t>
  </si>
  <si>
    <t>centanafadine</t>
  </si>
  <si>
    <t>Jul 2026</t>
  </si>
  <si>
    <t>To treat attention-deficit hyperactivity disorder</t>
  </si>
  <si>
    <t>https://www.fda.gov/drugs/novel-drug-approvals-fda/novel-drug-approvals-2026</t>
  </si>
  <si>
    <t>BLA</t>
  </si>
  <si>
    <t>Lytenava</t>
  </si>
  <si>
    <t>bevacizumab-vikg</t>
  </si>
  <si>
    <t>To treat patients with neovascular (wet) age-related macular degeneration</t>
  </si>
  <si>
    <t>Jideytro</t>
  </si>
  <si>
    <t>zidesamtinib</t>
  </si>
  <si>
    <t>To treat adults with locally advanced or metastatic ROS1-positive non-small cell lung cancer after receiving a ROS1 kinase inhibitor</t>
  </si>
  <si>
    <t>Lipfendra</t>
  </si>
  <si>
    <t>enlicitide decanoate</t>
  </si>
  <si>
    <t>To reduce low-density lipoprotein cholesterol</t>
  </si>
  <si>
    <t>Revtorpyk</t>
  </si>
  <si>
    <t>gedatolisib</t>
  </si>
  <si>
    <t>In combination with fulvestran, to treat hormone receptor-positive, human epidermal growth factor receptor 2-negative, locally advanced or metastatic breast cancer without a PIK3CA mutation detected following progression on or after treatment with at least one line of endocrine therapy in the metastatic setting</t>
  </si>
  <si>
    <t>Trutakna</t>
  </si>
  <si>
    <t>atacicept-vymj</t>
  </si>
  <si>
    <t>To reduce proteinuria in adults with primary immunoglobulin A nephropathy at risk for disease progression</t>
  </si>
  <si>
    <t>CBER</t>
  </si>
  <si>
    <t>TREGZIallogeneic regulatory T cell immunotherapy with HSPC and T cells-vldq</t>
  </si>
  <si>
    <t>Jun 2026</t>
  </si>
  <si>
    <t>Indicated for use in matched donor hematopoietic stem cell transplantation with myeloablative preparative regimen,for hematopoietic and immunologic reconstitution and to improve chronic graft-versushost disease (cGVHD)-free survival, in the treatment of adults with hematologicalmalignancies.</t>
  </si>
  <si>
    <t>https://www.fda.gov/vaccines-blood-biologics/development-approval-process-cber/2026-biological-license-application-approvals</t>
  </si>
  <si>
    <t>Lumvoa</t>
  </si>
  <si>
    <t>veligrotug-vvze</t>
  </si>
  <si>
    <t>To treat thyroid eye disease</t>
  </si>
  <si>
    <t>Utebzi</t>
  </si>
  <si>
    <t>tebipenem pivoxil</t>
  </si>
  <si>
    <t>To treat complicated urinary tract infections, including pyelonephritis, caused by several susceptible microorganisms in adults who have limited or no alternative oral treatment options</t>
  </si>
  <si>
    <t>Ambelvist</t>
  </si>
  <si>
    <t>gadoquatrane</t>
  </si>
  <si>
    <t>To detect and visualize lesions with abnormal vascularity, in conjunction with MRI</t>
  </si>
  <si>
    <t>Zaynich</t>
  </si>
  <si>
    <t>cefepime and zidebactam</t>
  </si>
  <si>
    <t>May 2026</t>
  </si>
  <si>
    <t>To treat complicated urinary tract infections, including pyelonephritis, caused by designated susceptible microorganisms</t>
  </si>
  <si>
    <t>Cypsedo</t>
  </si>
  <si>
    <t>cipepofol</t>
  </si>
  <si>
    <t>To induce general anesthesia in adults undergoing surgery</t>
  </si>
  <si>
    <t>Xocova</t>
  </si>
  <si>
    <t>ensitrelvir</t>
  </si>
  <si>
    <t>To use as post-exposure prophylaxis of coronavirus disease 2019 (COVID-19) following contact with an individual who has COVID-19</t>
  </si>
  <si>
    <t>Decnupaz</t>
  </si>
  <si>
    <t>pivekimab sunirine-pvzy</t>
  </si>
  <si>
    <t>To treat adults with blastic plasmacytoid dendritic cell neoplasmDrug Trials Snapshot</t>
  </si>
  <si>
    <t>Hepcludex</t>
  </si>
  <si>
    <t>bulevirtide-gmod</t>
  </si>
  <si>
    <t>To treat chronic hepatitis delta virus infection in adults without cirrhosis or with compensated cirrhosis</t>
  </si>
  <si>
    <t>Baxfendy</t>
  </si>
  <si>
    <t>baxdrostat</t>
  </si>
  <si>
    <t>To treat hypertension in combination with other antihypertensive drugs</t>
  </si>
  <si>
    <t>Beqalzi</t>
  </si>
  <si>
    <t>sonrotoclax</t>
  </si>
  <si>
    <t>To treat adults with relapsed or refractory mantle cell lymphoma after at least two lines of systemic therapy, including a Bruton’s tyrosine kinase inhibitor</t>
  </si>
  <si>
    <t>Veppanu</t>
  </si>
  <si>
    <t>vepdegestrant</t>
  </si>
  <si>
    <t>To treat estrogen receptor-positive, human epidermal growth factor receptor 2-negative, ESR1-mutated advanced or metastatic breast cancer with disease progression following at least one line of endocrine therapy</t>
  </si>
  <si>
    <t>OTARMENIlunsotogene parvec-cwha</t>
  </si>
  <si>
    <t>Apr 2026</t>
  </si>
  <si>
    <t>Indicated for the treatment of pediatric and adult patients with severe-to-profound and profound sensorineural hearing loss (any frequency &gt;90 dB HL) associated with molecularly confirmed biallelic variants in the OTOF gene, preserved outer hair cell function, and no prior cochlear implant in the same ear.</t>
  </si>
  <si>
    <t>Idvynso</t>
  </si>
  <si>
    <t>doravirine and islatravir</t>
  </si>
  <si>
    <t>To treat HIV-1 infection (as a complete regimen) in adults to replace the current antiretroviral regimen in those who are virologically-suppressed on a stable antiretroviral regimen with no history of virologic treatment failure and no known substitutions associated with resistance to doravirine</t>
  </si>
  <si>
    <t>Foundayo</t>
  </si>
  <si>
    <t>orforglipron</t>
  </si>
  <si>
    <t>To reduce excess body weight and maintain weight reduction long term in adults with obesity or adults with overweight in the presence of at least one weight-related comorbid condition, in combination with a reduced-calorie diet and increased physical activity</t>
  </si>
  <si>
    <t>Awiqli</t>
  </si>
  <si>
    <t>insulin icodec-abae</t>
  </si>
  <si>
    <t>Mar 2026</t>
  </si>
  <si>
    <t>To improve glycemic control in adults with type 2 diabetes mellitus</t>
  </si>
  <si>
    <t>KRESLADImarnetegragene autotemcel</t>
  </si>
  <si>
    <t>Indicated for the treatment of pediatric patients with severe leukocyte adhesion deficiency-I (LAD-I) due to biallelic variants in ITGB2 without an available human leukocyte antigen (HLA)-matched sibling donor for allogeneic hematopoietic stem cell transplant.</t>
  </si>
  <si>
    <t>Lifyorli</t>
  </si>
  <si>
    <t>relacorilant</t>
  </si>
  <si>
    <t>To treat platinum-resistant epithelial ovarian, fallopian tube, or primary peritoneal cancer after one to three prior systemic treatment regimens, at least one of which included bevacizumab</t>
  </si>
  <si>
    <t>Avlayah</t>
  </si>
  <si>
    <t>tividenofusp alfa-eknm</t>
  </si>
  <si>
    <t>To treat certain individuals with Hunter syndrome (Mucopolysaccharidosis type II or MPS II)</t>
  </si>
  <si>
    <t>Lynavoy</t>
  </si>
  <si>
    <t>linerixibat</t>
  </si>
  <si>
    <t>To treat cholestatic pruritus associated with primary biliary cholangitis</t>
  </si>
  <si>
    <t>Icotyde</t>
  </si>
  <si>
    <t>icotrokinra</t>
  </si>
  <si>
    <t>To treat moderate-to-severe plaque psoriasis in patients 12 years and older who weigh at least 40 kg and who are candidates for systemic therapy or phototherapyDrug Trials Snapshot</t>
  </si>
  <si>
    <t>Procleix Plasmodium AssayProcleix Plasmodium Assay</t>
  </si>
  <si>
    <t>Intended for use in screening individual human donors, including donors of whole blood and blood components, and in screening living donors of organ and tissue samples when specimens are obtained while the donor’s heart is still beating. It is not intended for use on cord blood specimens. Whole blood donor samples are tested individually.</t>
  </si>
  <si>
    <t>Yuviwel</t>
  </si>
  <si>
    <t>navepegritide</t>
  </si>
  <si>
    <t>Feb 2026</t>
  </si>
  <si>
    <t>To increase linear growth in pediatric patients 2 years and older with achondroplasia with open epiphyses</t>
  </si>
  <si>
    <t>Loargys</t>
  </si>
  <si>
    <t>pegzilarginase-nbln</t>
  </si>
  <si>
    <t>To treat hyperarginemia in adults and pediatric patients two years and older with Arginase 1 Deficiency, in conjunction with dietary protein restriction</t>
  </si>
  <si>
    <t>Bysanti</t>
  </si>
  <si>
    <t>milsaperidone</t>
  </si>
  <si>
    <t>To treat schizophrenia and to treat manic or mixed episodes associated with bipolar I disorder</t>
  </si>
  <si>
    <t>Adquey</t>
  </si>
  <si>
    <t>difamilast</t>
  </si>
  <si>
    <t>To treat mild to moderate atopic dermatitis</t>
  </si>
  <si>
    <t>Zycubo</t>
  </si>
  <si>
    <t>copper histidinate</t>
  </si>
  <si>
    <t>Jan 2026</t>
  </si>
  <si>
    <t>To treat Menkes diseaseDrug Trials Snapshot</t>
  </si>
  <si>
    <t>Nereus</t>
  </si>
  <si>
    <t>tradipitant</t>
  </si>
  <si>
    <t>Dec 2025</t>
  </si>
  <si>
    <t>To treat vomiting associated with motion</t>
  </si>
  <si>
    <t>https://www.fda.gov/drugs/novel-drug-approvals-fda/novel-drug-approvals-2025</t>
  </si>
  <si>
    <t>Yartemlea</t>
  </si>
  <si>
    <t>narsoplimab-wuug</t>
  </si>
  <si>
    <t>To treat hematopoietic stem cell transplant-associated thrombotic microangiopathyDrug Trials Snapshot</t>
  </si>
  <si>
    <t>Myqorzo</t>
  </si>
  <si>
    <t>aficamten</t>
  </si>
  <si>
    <t>To treat symptomatic obstructive hypertrophic cardiomyopathyDrug Trials Snapshot</t>
  </si>
  <si>
    <t>FESILTYfibrinogen, human–chmt</t>
  </si>
  <si>
    <t>A human blood coagulation factor indicated for treatment of acute bleeding episodes in pediatric and adult patients with congenital fibrinogen deficiency, including hypo- or afibrinogenemia.</t>
  </si>
  <si>
    <t>https://www.fda.gov/vaccines-blood-biologics/development-approval-process-cber/2025-biological-license-application-approvals</t>
  </si>
  <si>
    <t>Exdensur</t>
  </si>
  <si>
    <t>depemokimab-ulaa</t>
  </si>
  <si>
    <t>To treat severe asthma characterized by an eosinophilic phenotype as an Komziftiadd-on maintenance therapyDrug Trials Snapshot</t>
  </si>
  <si>
    <t>Lerochol</t>
  </si>
  <si>
    <t>lerodalcibep-liga</t>
  </si>
  <si>
    <t>To reduce low-density lipoprotein cholesterol in adults with hypercholesterolemia, including heterozygous familial hypercholesterolemia, as an adjunct to diet and exerciseDrug Trials Snapshot</t>
  </si>
  <si>
    <t>Nuzolvence</t>
  </si>
  <si>
    <t>zoliflodacin</t>
  </si>
  <si>
    <t>To treat uncomplicated urogenital gonorrhea due to Neisseria gonorrhoeaeDrug Trials Snapshot</t>
  </si>
  <si>
    <t>Cardamyst</t>
  </si>
  <si>
    <t>etripamil</t>
  </si>
  <si>
    <t>To treat episodes of paroxysmal supraventricular tachycardiaDrug Trials Snapshot</t>
  </si>
  <si>
    <t>WASKYRAetuvetidigene autotemcel</t>
  </si>
  <si>
    <t>Indicated for the treatment of pediatric patients aged 6 months and older and adults with Wiskott-Aldrich Syndrome (WAS) who have a mutation in the WAS gene for whom hematopoietic stem cell transplantation (HSCT) is appropriate and no suitable human leukocyte antigen (HLA)-matched related stem cell donor is available.</t>
  </si>
  <si>
    <t>Avance Nerve Graftacellular nerve allograft-arwx</t>
  </si>
  <si>
    <t>Indicated for the treatment of adult and pediatric patients aged one month and older with:• Traditional Approval for sensory nerve discontinuity &lt;25mm and• Accelerated Approval for sensory nerve discontinuity &gt;25mm, as well as mixed and motor nerve discontinuity.</t>
  </si>
  <si>
    <t>Voyxact</t>
  </si>
  <si>
    <t>sibeprenlimab-szsi</t>
  </si>
  <si>
    <t>Nov 2025</t>
  </si>
  <si>
    <t>To reduce proteinuria in primary immunoglobulin A nephropathy in adults at risk for disease progressionDrug Trials Snapshot</t>
  </si>
  <si>
    <t>ITVISMAonasemnogene abeparvovec-brve</t>
  </si>
  <si>
    <t>Indicated for the treatment of spinal muscular atrophy (SMA) in adult and pediatric patients 2 years of age and older with confirmed mutation in survival motor neuron 1 (SMN1) gene.</t>
  </si>
  <si>
    <t>Blood Grouping Reagents (combined — 8 approvals counted as 1)</t>
  </si>
  <si>
    <t>Blood Grouping Reagent, Anti-k (Human/Murine Monoclonal) (IgG)</t>
  </si>
  <si>
    <t>Indicated for in vitro detection of the k (KEL2) antigen on human red blood cells by the Indirect Antiglobulin Test (IAT).</t>
  </si>
  <si>
    <t>Hyrnuo</t>
  </si>
  <si>
    <t>sevabertinib</t>
  </si>
  <si>
    <t>To treat locally advanced or metastatic non-squamous non-small cell lung cancer with tumors that have activating HER2 tyrosine kinase domain activating mutations in patients who received a systemic therapyDrug Trials Snapshot</t>
  </si>
  <si>
    <t>Redemplo</t>
  </si>
  <si>
    <t>plozasiran</t>
  </si>
  <si>
    <t>To reduce triglycerides in adults with familial chylomicronemia syndromeDrug Trials Snapshot</t>
  </si>
  <si>
    <t>Komzifti</t>
  </si>
  <si>
    <t>ziftomenib</t>
  </si>
  <si>
    <t>To treat adults with relapsed or refractory acute myeloid leukemia with a susceptible nucleophosmin 1 mutation who have no satisfactory alternative treatment optionsDrug Trials Snapshot</t>
  </si>
  <si>
    <t>Kygevvi</t>
  </si>
  <si>
    <t>doxecitine and doxribtimine</t>
  </si>
  <si>
    <t>To treat thymidine kinase 2 deficiency in patients who start to show symptoms when they are 12 years old or youngerDrug Trials Snapshot</t>
  </si>
  <si>
    <t>Lynkuet</t>
  </si>
  <si>
    <t>elinzanetant</t>
  </si>
  <si>
    <t>Oct 2025</t>
  </si>
  <si>
    <t>To treat moderate-to-severe vasomotor symptoms due to menopauseDrug Trials Snapshot</t>
  </si>
  <si>
    <t>Jascayd</t>
  </si>
  <si>
    <t>nerandomilast</t>
  </si>
  <si>
    <t>To treat idiopathic pulmonary fibrosis</t>
  </si>
  <si>
    <t>Rhapsido</t>
  </si>
  <si>
    <t>remibrutinib</t>
  </si>
  <si>
    <t>Sep 2025</t>
  </si>
  <si>
    <t>To treat chronic spontaneous urticaria in adults who remain symptomatic despite H1 antihistamine treatmentDrug Trials Snapshot</t>
  </si>
  <si>
    <t>QIVIGYimmune globulin intravenous, human-kthm 10% solution</t>
  </si>
  <si>
    <t>Indicated for the treatment of adults with primary humoral immunodeficiency.</t>
  </si>
  <si>
    <t>Inluriyo</t>
  </si>
  <si>
    <t>imlunestrant</t>
  </si>
  <si>
    <t>To treat estrogen receptor-positive, human epidermal growth factor receptor 2-negative, estrogen receptor-1-mutated advanced or metastatic breast cancer with disease progression following at least one line of endocrine therapyDrug Trials Snapshot</t>
  </si>
  <si>
    <t>Palsonify</t>
  </si>
  <si>
    <t>paltusotine</t>
  </si>
  <si>
    <t>To treat acromegaly in adults who had an inadequate response to surgery and/or for whom surgery is not an optionDrug Trials Snapshot</t>
  </si>
  <si>
    <t>Keytruda Qlex</t>
  </si>
  <si>
    <t>pembrolizumab and berahyaluronidase alfa-pmph</t>
  </si>
  <si>
    <t>To treat adult and pediatric (12 years and older) solid tumor indications approved for the intravenous formulation of pembrolizumab</t>
  </si>
  <si>
    <t>Forzinity</t>
  </si>
  <si>
    <t>elamipretide</t>
  </si>
  <si>
    <t>To improve muscle strength in patients with Barth syndrome weighing at least 30 kgDrug Trials Snapshot</t>
  </si>
  <si>
    <t>Wayrilz</t>
  </si>
  <si>
    <t>rilzabrutinib</t>
  </si>
  <si>
    <t>Aug 2025</t>
  </si>
  <si>
    <t>To treat persistent or chronic immune thrombocytopenia that has not sufficiently responded to immunoglobulins, anti-D therapy, or corticosteroidsDrug Trials Snapshot</t>
  </si>
  <si>
    <t>Dawnzera</t>
  </si>
  <si>
    <t>donidalorsen</t>
  </si>
  <si>
    <t>To prevent attacks of hereditary angioedemaDrug Trials Snapshot</t>
  </si>
  <si>
    <t>PAPZIMEOSzopapogene imadenovec-drba</t>
  </si>
  <si>
    <t>Indicated for the treatment of adults with recurrent respiratory papillomatosis.</t>
  </si>
  <si>
    <t>Brinsupri</t>
  </si>
  <si>
    <t>brensocatib</t>
  </si>
  <si>
    <t>To treat non-cystic fibrosis bronchiectasisDrug Trials Snapshot</t>
  </si>
  <si>
    <t>Hernexeos</t>
  </si>
  <si>
    <t>zongertinib</t>
  </si>
  <si>
    <t>To treat adults with unresectable or metastatic non-squamous non-small cell lung cancer whose tumors have HER2 tyrosine kinase domain activating mutations, as detected by an FDA-approved test, and who have received prior systemic therapyDrug Trials Snapshot</t>
  </si>
  <si>
    <t>Modeyso</t>
  </si>
  <si>
    <t>dordaviprone</t>
  </si>
  <si>
    <t>To treat diffuse midline glioma harboring an H3 K27M mutation with progressive disease following prior therapyDrug Trials Snapshot</t>
  </si>
  <si>
    <t>Vizz</t>
  </si>
  <si>
    <t>aceclidine</t>
  </si>
  <si>
    <t>Jul 2025</t>
  </si>
  <si>
    <t>To treat presbyopiaDrug Trials Snapshot</t>
  </si>
  <si>
    <t>Sephience</t>
  </si>
  <si>
    <t>sepiapterin</t>
  </si>
  <si>
    <t>To treat hyperphenylalaninemia in patients with sepiapterin-responsive phenylketonuria, in conjunction with a phenylalanine-restricted dietDrug Trials Snapshot</t>
  </si>
  <si>
    <t>Anzupgo</t>
  </si>
  <si>
    <t>delgocitinib</t>
  </si>
  <si>
    <t>To treat moderate-to-severe chronic hand eczema when topical corticosteroids are not advisable or produce an inadequate responseDrug Trials Snapshot</t>
  </si>
  <si>
    <t>Ekterly</t>
  </si>
  <si>
    <t>sebetralstat</t>
  </si>
  <si>
    <t>To treat acute attacks of hereditary angioedemaDrug Trials Snapshot</t>
  </si>
  <si>
    <t>Lynozyfic</t>
  </si>
  <si>
    <t>linvoseltamab-gcpt</t>
  </si>
  <si>
    <t>To treat relapsed or refractory multiple myeloma after at least four prior lines of therapy, including a proteasome inhibitor, an immunomodulatory agent, and an anti CD38 monoclonal antibodyDrug Trials Snapshot</t>
  </si>
  <si>
    <t>Zegfrovy</t>
  </si>
  <si>
    <t>sunvozertinib</t>
  </si>
  <si>
    <t>To treat locally advanced or metastatic non-small cell lung cancer with epidermal growth factor receptor exon 20 insertion mutations, as detected by an FDA-approved test, with disease progression on or after platinum-based chemotherapyDrug Trials Snapshot</t>
  </si>
  <si>
    <t>Andembry</t>
  </si>
  <si>
    <t>garadacimab-gxii</t>
  </si>
  <si>
    <t>Jun 2025</t>
  </si>
  <si>
    <t>Ibtrozi</t>
  </si>
  <si>
    <t>taletrectinib</t>
  </si>
  <si>
    <t>To treat locally advanced or metastatic ROS1-positive non-small cell lung cancerDrug Trials Snapshot</t>
  </si>
  <si>
    <t>Enflonsia</t>
  </si>
  <si>
    <t>clesrovimab-cfor</t>
  </si>
  <si>
    <t>To prevent respiratory syncytial virus (RSV) lower respiratory tract disease in neonates and infants who are born during or entering their first RSV seasonDrug Trials Snapshot</t>
  </si>
  <si>
    <t>MNEXSPIKECOVID-19 Vaccine, mRNA</t>
  </si>
  <si>
    <t>May 2025</t>
  </si>
  <si>
    <t>Indicated for active immunization to prevent coronavirus disease 2019 (COVID-19) caused by severe acute respiratory syndrome coronavirus 2 (SARS-CoV-2). MNEXSPIKE is approved for use in individuals who have been previously vaccinated with any COVID-19 vaccine and are 65 years of age and older, or 12 years through 64 years of age with at least one underlying condition that puts them at high risk for severe outcomes from COVID-19.</t>
  </si>
  <si>
    <t>Tryptyr</t>
  </si>
  <si>
    <t>acoltremon</t>
  </si>
  <si>
    <t>To treat the signs and symptoms of dry eye diseaseDrug Trials Snapshot</t>
  </si>
  <si>
    <t>NUVAXOVIDCOVID-19 Vaccine, Adjuvanted</t>
  </si>
  <si>
    <t>Indicated for active immunization to prevent coronavirus disease 2019 (COVID-19) caused by severe acute respiratory syndrome coronavirus 2 (SARS-CoV-2) in adults 65 years and older. Additionally, COVID-19 Vaccine, Adjuvanted is indicated for individuals 12 through 64 years who have at least one underlying condition that puts them at high risk for severe outcomes from COVID-19.</t>
  </si>
  <si>
    <t>Emrelis</t>
  </si>
  <si>
    <t>telisotuzumab vedotin-tllv</t>
  </si>
  <si>
    <t>To treat locally advanced or metastatic, non-squamous non-small cell lung cancer (NSCLC) with high c-Met protein overexpression after prior systemic therapyDrug Trials Snapshot</t>
  </si>
  <si>
    <t>Avmapki Fakzynja Co-Pack</t>
  </si>
  <si>
    <t>avutometinib and defactinib</t>
  </si>
  <si>
    <t>To treat KRAS-mutated recurrent low-grade serous ovarian cancer (LGSOC) after prior systemic therapyDrug Trials Snapshot</t>
  </si>
  <si>
    <t>Imaavy</t>
  </si>
  <si>
    <t>nipocalimab-aahu</t>
  </si>
  <si>
    <t>Apr 2025</t>
  </si>
  <si>
    <t>To treat generalized myasthenia gravisDrug Trials Snapshot</t>
  </si>
  <si>
    <t>ZEVASKYNprademagene zamikeracel</t>
  </si>
  <si>
    <t>Indicated for treatment of wounds in adult and pediatric patients with recessive dystrophic epidermolysis bullosa (RDEB).</t>
  </si>
  <si>
    <t>penpulimab-kcqx</t>
  </si>
  <si>
    <t>In combination with either cisplatin or carboplatin and gemcitabine, to treat adults with recurrent or metastatic non-keratinizing nasopharyngeal carcinoma (NPC), or as a single agent while on or after platinum-based chemotherapy and at least one other prior line of therapyDrug Trials Snapshot</t>
  </si>
  <si>
    <t>Vanrafia</t>
  </si>
  <si>
    <t>atrasentan</t>
  </si>
  <si>
    <t>To reduce proteinuria in adults with primary immunoglobulin A nephropathy at risk of rapid disease progressionDrug Trials Snapshot</t>
  </si>
  <si>
    <t>Qfitlia</t>
  </si>
  <si>
    <t>fitusiran</t>
  </si>
  <si>
    <t>Mar 2025</t>
  </si>
  <si>
    <t>To prevent or reduce the frequency of bleeding episodes in hemophilia A or BPress ReleaseDrug Trials Snapshot</t>
  </si>
  <si>
    <t>Blujepa</t>
  </si>
  <si>
    <t>gepotidacin</t>
  </si>
  <si>
    <t>To treat uncomplicated urinary tract infectionsDrug Trials Snapshot</t>
  </si>
  <si>
    <t>ENCELTOrevakinagene taroretcel-lwey</t>
  </si>
  <si>
    <t>Indicated for the treatment of adults with idiopathic macular telangiectasia type 2 (MacTel).</t>
  </si>
  <si>
    <t>Romvimza</t>
  </si>
  <si>
    <t>vimseltinib</t>
  </si>
  <si>
    <t>Feb 2025</t>
  </si>
  <si>
    <t>To treat symptomatic tenosynovial giant cell tumor for which surgical resection will potentially cause worsening functional limitation or severe morbidityDrug Trials Snapshot</t>
  </si>
  <si>
    <t>PENMENVYMeningococcal Groups A, B, C, W, and Y Vaccine</t>
  </si>
  <si>
    <t>Indicated for active immunization to prevent invasive disease caused by Neisseria meningitidis serogroups A, B, C, W, and Y in individuals 10 through 25 years of age.</t>
  </si>
  <si>
    <t>VIMKUNYAChikungunya Vaccine, Recombinant</t>
  </si>
  <si>
    <t>Indicated for the prevention of disease caused by chikungunya virus in individuals 12 years of age and older.</t>
  </si>
  <si>
    <t>Gomekli</t>
  </si>
  <si>
    <t>mirdametinib</t>
  </si>
  <si>
    <t>To treat neurofibromatosis type 1 who have symptomatic plexiform neurofibromas not amenable to complete resectionDrug Trials Snapshot</t>
  </si>
  <si>
    <t>Journavx</t>
  </si>
  <si>
    <t>suzetrigine</t>
  </si>
  <si>
    <t>Jan 2025</t>
  </si>
  <si>
    <t>To treat moderate to severe acute painPress ReleaseDrug Trials Snapshot</t>
  </si>
  <si>
    <t>Grafapex</t>
  </si>
  <si>
    <t>treosulfan</t>
  </si>
  <si>
    <t>For use in combination with fludarabine as a preparative regimen for allogeneic hematopoietic stem cell transplantation for acute myeloid leukemia and myelodysplastic syndromeDrug Trials Snapshot</t>
  </si>
  <si>
    <t>Datroway</t>
  </si>
  <si>
    <t>datopotamab deruxtecan-dlnk</t>
  </si>
  <si>
    <t>To treat unresectable or metastatic, HR-positive, HER2-negative breast cancer who have received prior endocrine-based therapy and chemotherapy for unresectable or metastatic diseaseDrug Trials Snapshot</t>
  </si>
  <si>
    <t>Automated C3d PlateAnti-Human Globulin (Murine Monoclonal)</t>
  </si>
  <si>
    <t>Indicated for use on Echo Lumena and Galileo Echo in automated direct antiglobulin tests (DAT) where detection of C3d is required.</t>
  </si>
  <si>
    <t>Alhemo</t>
  </si>
  <si>
    <t>concizumab-mtci</t>
  </si>
  <si>
    <t>Dec 2024</t>
  </si>
  <si>
    <t>FDA Compilation 1985-2024</t>
  </si>
  <si>
    <t>Alyftrek</t>
  </si>
  <si>
    <t>vanzacaftor, tezacaftor and deutivacaftor</t>
  </si>
  <si>
    <t>Tryngolza</t>
  </si>
  <si>
    <t>olezarsen</t>
  </si>
  <si>
    <t>SYMVESSacellular tissue engineered vessel-tyod</t>
  </si>
  <si>
    <t>Indicated for use in adults as a vascular conduit for extremity arterial injury when urgent revascularization is needed to avoid imminent limb loss, and autologous vein graft is not feasible.</t>
  </si>
  <si>
    <t>https://www.fda.gov/vaccines-blood-biologics/development-approval-process-cber/2024-biological-license-application-approvals</t>
  </si>
  <si>
    <t>RYONCILremestemcel-L-rknd</t>
  </si>
  <si>
    <t>Indicated for the treatment of steroid-refractory acute graft versus host disease (SR-aGvHD) in pediatric patients 2 months of age and older.</t>
  </si>
  <si>
    <t>Ensacove</t>
  </si>
  <si>
    <t>ensartinib</t>
  </si>
  <si>
    <t>Crenessity</t>
  </si>
  <si>
    <t>crinecerfont</t>
  </si>
  <si>
    <t>Unloxcyt</t>
  </si>
  <si>
    <t>cosibelimab-ipdl</t>
  </si>
  <si>
    <t>Bizengri</t>
  </si>
  <si>
    <t>zenocutuzumab-zbco</t>
  </si>
  <si>
    <t>Iomervu</t>
  </si>
  <si>
    <t>iomeprol</t>
  </si>
  <si>
    <t>Nov 2024</t>
  </si>
  <si>
    <t>Rapiblyk</t>
  </si>
  <si>
    <t>landiolol</t>
  </si>
  <si>
    <t>Attruby</t>
  </si>
  <si>
    <t>acoramidis</t>
  </si>
  <si>
    <t>Ziihera</t>
  </si>
  <si>
    <t>zanidatamab-hrii</t>
  </si>
  <si>
    <t>Revuforj</t>
  </si>
  <si>
    <t>revumenib</t>
  </si>
  <si>
    <t>Kebilidieladocagene exuparvovec-tneq</t>
  </si>
  <si>
    <t>For treatment of adult and pediatric patients with aromatic L-amino acid decarboxylase (AADC) deficiency.</t>
  </si>
  <si>
    <t>Aucatzylobecabtagene autoleucel</t>
  </si>
  <si>
    <t>Indicated for the treatment of adults with relapsed or refractory B-cell precursor acute lymphoblastic leukemia (ALL).</t>
  </si>
  <si>
    <t>Orlynvah</t>
  </si>
  <si>
    <t>sulopenem etzadroxil and probenecid</t>
  </si>
  <si>
    <t>Oct 2024</t>
  </si>
  <si>
    <t>Vyloy</t>
  </si>
  <si>
    <t>zolbetuximab-clzb</t>
  </si>
  <si>
    <t>Hympavzi</t>
  </si>
  <si>
    <t>marstacimab-hncq</t>
  </si>
  <si>
    <t>Itovebi</t>
  </si>
  <si>
    <t>inavolisib</t>
  </si>
  <si>
    <t>Flyrcado</t>
  </si>
  <si>
    <t>flurpiridaz F 18</t>
  </si>
  <si>
    <t>Sep 2024</t>
  </si>
  <si>
    <t>Cobenfy</t>
  </si>
  <si>
    <t>xanomeline and trospium chloride</t>
  </si>
  <si>
    <t>Aqneursa</t>
  </si>
  <si>
    <t>levacetylleucine</t>
  </si>
  <si>
    <t>Miplyffa</t>
  </si>
  <si>
    <t>arimoclomol</t>
  </si>
  <si>
    <t>Ebglyss</t>
  </si>
  <si>
    <t>lebrikizumab-lbkz</t>
  </si>
  <si>
    <t>Lazcluze</t>
  </si>
  <si>
    <t>lazertinib</t>
  </si>
  <si>
    <t>Aug 2024</t>
  </si>
  <si>
    <t>Niktimvo</t>
  </si>
  <si>
    <t>axatilimab-csfr</t>
  </si>
  <si>
    <t>Livdelzi</t>
  </si>
  <si>
    <t>seladelpar</t>
  </si>
  <si>
    <t>Nemluvio</t>
  </si>
  <si>
    <t>nemolizumab-ilto</t>
  </si>
  <si>
    <t>Yorvipath</t>
  </si>
  <si>
    <t>palopegteriparatide</t>
  </si>
  <si>
    <t>Voranigo</t>
  </si>
  <si>
    <t>vorasidenib</t>
  </si>
  <si>
    <t>TECELRAafamitresgene autoleucel</t>
  </si>
  <si>
    <t>Indicated for treatment of adults with unresectable or metastatic synovial sarcoma who have received prior chemotherapy, are HLA-A*02:01P, -A*02:02P, -A*02:03P, or -A*02:06P positive and whose tumor expresses the MAGE-A4 antigen as determined by FDA-approved or cleared companion diagnostic devices.</t>
  </si>
  <si>
    <t>Leqselvi</t>
  </si>
  <si>
    <t>deuruxolitinib</t>
  </si>
  <si>
    <t>Jul 2024</t>
  </si>
  <si>
    <t>Kisunla</t>
  </si>
  <si>
    <t>donanemab-azbt</t>
  </si>
  <si>
    <t>Ohtuvayre</t>
  </si>
  <si>
    <t>ensifentrine</t>
  </si>
  <si>
    <t>Jun 2024</t>
  </si>
  <si>
    <t>Piasky</t>
  </si>
  <si>
    <t>crovalimab-akkz</t>
  </si>
  <si>
    <t>Sofdra</t>
  </si>
  <si>
    <t>sofpironium</t>
  </si>
  <si>
    <t>CAPVAXIVEPneumococcal 21-valent Conjugate Vaccine</t>
  </si>
  <si>
    <t>Indicated for active immunization for the prevention of invasive disease caused by Streptococcus pneumoniae serotypes 3, 6A, 7F, 8, 9N, 10A, 11A, 12F, 15A, 15B, 15C, 16F, 17F, 19A, 20A, 22F, 23A, 23B, 24F, 31, 33F, and 35B in individuals 18 years of age and older.</t>
  </si>
  <si>
    <t>YIMMUGOimmune globulin intravenous, human-dira</t>
  </si>
  <si>
    <t>Indicated for the treatment of primary humoral immunodeficiency (PI) in patients 2 years of age or older.</t>
  </si>
  <si>
    <t>Iqirvo</t>
  </si>
  <si>
    <t>elafibranor</t>
  </si>
  <si>
    <t>Rytelo</t>
  </si>
  <si>
    <t>imetelstat</t>
  </si>
  <si>
    <t>MRESVIARespiratory Syncytial Virus Vaccine</t>
  </si>
  <si>
    <t>May 2024</t>
  </si>
  <si>
    <t>Indicated for active immunization for the prevention of lower respiratory tract disease (LRTD) caused by respiratory syncytial virus (RSV) in individuals 60 years of age and older.</t>
  </si>
  <si>
    <t>Imdelltra</t>
  </si>
  <si>
    <t>tarlatamab-dlle</t>
  </si>
  <si>
    <t>Xolremdi</t>
  </si>
  <si>
    <t>mavorixafor</t>
  </si>
  <si>
    <t>Apr 2024</t>
  </si>
  <si>
    <t>BEQVEZelaparvovec-dzkt</t>
  </si>
  <si>
    <t>Indicated for the treatment of adults with moderate to severe hemophilia B (congenital factor IX deficiency) who: currently use factor IX prophylaxis therapy, or have current or historical life-threatening hemorrhage, or have repeated, serious spontaneous bleeding episodes, and, do not have neutralizing antibodies to adeno-associated virus serotype Rh74var (AAVRh74var) capsid as detected by an FDA-approved test.</t>
  </si>
  <si>
    <t>Ojemda</t>
  </si>
  <si>
    <t>tovorafenib</t>
  </si>
  <si>
    <t>Anktiva</t>
  </si>
  <si>
    <t>nogapendekin alfa inbakicept-pmln</t>
  </si>
  <si>
    <t>Lumisight</t>
  </si>
  <si>
    <t>pegulicianine</t>
  </si>
  <si>
    <t>Zevtera</t>
  </si>
  <si>
    <t>ceftobiprole medocaril sodium</t>
  </si>
  <si>
    <t>Voydeya</t>
  </si>
  <si>
    <t>danicopan</t>
  </si>
  <si>
    <t>Mar 2024</t>
  </si>
  <si>
    <t>Vafseo</t>
  </si>
  <si>
    <t>vadadustat</t>
  </si>
  <si>
    <t>Winrevair</t>
  </si>
  <si>
    <t>sotatercept-csrk</t>
  </si>
  <si>
    <t>Duvyzat</t>
  </si>
  <si>
    <t>givinostat</t>
  </si>
  <si>
    <t>Tryvio</t>
  </si>
  <si>
    <t>aprocitentan</t>
  </si>
  <si>
    <t>cobas Malariacobas Malaria,Nucleic Acid Test foruse on the cobas6800/8800 Systems</t>
  </si>
  <si>
    <t>Is a qualitative in vitro nucleic acid screening test for the direct detection of Plasmodium (P. falciparum, P. malariae, P. vivax, P. ovale and P. knowlesi) DNA and RNA in whole blood samples from individual human donors, including donors of whole blood and blood components, as well as other living donors. It is also intended for use in testing whole blood samples to screen organ and tissue donors when samples are obtained while the donor’s heart is still beating.</t>
  </si>
  <si>
    <t>LENMELDYatidarsagene autotemcel</t>
  </si>
  <si>
    <t>Indicated for treatment of children with pre-symptomatic late infantile (PSLI), pre-symptomatic early juvenile (PSEJ) or early symptomatic early juvenile (ESEJ) metachromatic leukodystrophy (MLD).</t>
  </si>
  <si>
    <t>Rezdiffra</t>
  </si>
  <si>
    <t>resmetirom</t>
  </si>
  <si>
    <t>Tevimbra</t>
  </si>
  <si>
    <t>tislelizumab-jsgr</t>
  </si>
  <si>
    <t>Letybo</t>
  </si>
  <si>
    <t>letibotulinumtoxinA-wlbg</t>
  </si>
  <si>
    <t>Feb 2024</t>
  </si>
  <si>
    <t>Elecsys Anti-HCV IIElecsys Anti-HCV II</t>
  </si>
  <si>
    <t>An in vitro immunoassay for the qualitative detection of antibodies to hepatitis C virus (HCV) in human serum and plasma. It is intended to screen individual human donors, including volunteer donors of whole blood, blood components and source plasma. The assay is also intended to be used to screen organ, tissue and cell donors, when donor samples are obtained while the donor's heart is still beating. It is not intended for use on cord blood specimens.</t>
  </si>
  <si>
    <t>Elecsys Anti-HBc IIElecsys Anti-HBc II</t>
  </si>
  <si>
    <t>An in vitro immunoassay for the qualitative detection of antibodies to hepatitis B core antigen (anti-HBc) in human serum and plasma. It is intended to screen individual human donors, including volunteer donors of whole blood and blood components. The assay is also intended to be used to screen organ, tissue and cell donors, when donor samples are obtained while the donor’s heart is still beating. It is not intended for use on cord blood specimens.</t>
  </si>
  <si>
    <t>Exblifep</t>
  </si>
  <si>
    <t>cefepime and enmetazobactam</t>
  </si>
  <si>
    <t>Elecsys HBsAg II and Elecsys HBsAg II Auto ConfirmElecsys HBsAg II and Elecsys HBsAg II Auto Confirm</t>
  </si>
  <si>
    <t>An in vitro immunoassay intended for the qualitative detection of hepatitis B surface antigen (HBsAg) in human serum and plasma. It is intended to screen individual human donors, including volunteer donors of whole blood, blood components and source plasma. The assay is also intended to be used to screen organ, tissue and cell donors, when donor samples are obtained while the donor’s heart is still beating. It is not intended for use on cord blood specimens.</t>
  </si>
  <si>
    <t>AMTAGVILifileucel</t>
  </si>
  <si>
    <t>Indicated for treatment of adult patients with unresectable or metastatic melanoma previously treated with a PD-1 blocking antibody, and if BRAF V600 mutation positive, a BRAF inhibitor with or without a MEK inhibitor.</t>
  </si>
  <si>
    <t>Elecsys ChagasElecsys Chagas</t>
  </si>
  <si>
    <t>An in vitro immunoassay for the qualitative detection of antibodies to Trypanosoma cruzi (T. cruzi, the causative agent of the Chagas disease) in human serum and plasma. It’s intended to screen individual human donors, including volunteer donors of whole blood and blood components. The assay is also intended to be used to screen organ, tissue and cell donors, when donor samples are obtained while the donor’s heart is still beating. It is not intended for use on cord blood specimens.</t>
  </si>
  <si>
    <t>Source Plasma</t>
  </si>
  <si>
    <t>Jan 2024</t>
  </si>
  <si>
    <t>Indicated for further manufacturing of injectable products.</t>
  </si>
  <si>
    <t>CASGEVYExagamglogene autotemcel</t>
  </si>
  <si>
    <t>Indicated the treatment of patients aged 12 years and older with transfusion-dependent ß-thalassemia (TDT).</t>
  </si>
  <si>
    <t>Zelsuvmi</t>
  </si>
  <si>
    <t>berdazimer</t>
  </si>
  <si>
    <t>Wainua</t>
  </si>
  <si>
    <t>eplontersen</t>
  </si>
  <si>
    <t>Dec 2023</t>
  </si>
  <si>
    <t>Filsuvez</t>
  </si>
  <si>
    <t>birch triterpenes</t>
  </si>
  <si>
    <t>Alygloimmune globulin intravenous, human-stwk</t>
  </si>
  <si>
    <t>Indicated for treatment of primary humoral immunodeficiency (PI) in adults.</t>
  </si>
  <si>
    <t>https://www.fda.gov/vaccines-blood-biologics/development-approval-process-cber/2023-biological-license-application-approvals</t>
  </si>
  <si>
    <t>Casgevyexagamglogene autotemcel (exa-cel)</t>
  </si>
  <si>
    <t>Indicated for treatment of sickle cell disease (SCD) in patients 12 years of age or older with recurrent vaso-occlusive crises (VOCs).</t>
  </si>
  <si>
    <t>LYFGENIAlovotibeglogene autotemcel</t>
  </si>
  <si>
    <t>Indicated for the treatment of patients 12 years of age or older with sickle cell disease and a history of vaso-occlusive events (VOEs).</t>
  </si>
  <si>
    <t>Fabhalta</t>
  </si>
  <si>
    <t>iptacopan</t>
  </si>
  <si>
    <t>Ogsiveo</t>
  </si>
  <si>
    <t>nirogacestat</t>
  </si>
  <si>
    <t>Nov 2023</t>
  </si>
  <si>
    <t>Truqap</t>
  </si>
  <si>
    <t>capivasertib</t>
  </si>
  <si>
    <t>Ryzneuta</t>
  </si>
  <si>
    <t>efbemalenograstim alfa-vuxw</t>
  </si>
  <si>
    <t>Defencath</t>
  </si>
  <si>
    <t>taurolidine and heparin</t>
  </si>
  <si>
    <t>Augtyro</t>
  </si>
  <si>
    <t>repotrectinib</t>
  </si>
  <si>
    <t>IXCHIQChikungunya Vaccine, Live</t>
  </si>
  <si>
    <t>Indicated for active immunization for the prevention of disease caused by chikungunya virus in individuals 18 years of age and older who are at increased risk of exposure to chikungunya virus.</t>
  </si>
  <si>
    <t>ADZYNMAADAMTS13, recombinant-krhn</t>
  </si>
  <si>
    <t>Indicated for prophylactic or on demand enzyme replacement therapy (ERT) in adult and pediatric patients with congenital thrombotic thrombocytopenic purpura (cTTP).</t>
  </si>
  <si>
    <t>Fruzaqla</t>
  </si>
  <si>
    <t>fruquintinib</t>
  </si>
  <si>
    <t>Loqtorzi</t>
  </si>
  <si>
    <t>toripalimab-tpzi</t>
  </si>
  <si>
    <t>Oct 2023</t>
  </si>
  <si>
    <t>Agamree</t>
  </si>
  <si>
    <t>vamorolone</t>
  </si>
  <si>
    <t>Omvoh</t>
  </si>
  <si>
    <t>mirikizumab-mrkz</t>
  </si>
  <si>
    <t>PENBRAYAMeningococcal Groups A, B, C, W, and Y Vaccine</t>
  </si>
  <si>
    <t>Indicated for active immunization to prevent invasive disease caused by Neisseria meningitidis serogroups A, B, C, W, and Y. Meningococcal Groups A, B, C, W, and Y Vaccine is approved for use in individuals 10 through 25 years of age.</t>
  </si>
  <si>
    <t>Zilbrysq</t>
  </si>
  <si>
    <t>zilucoplan</t>
  </si>
  <si>
    <t>Bimzelx</t>
  </si>
  <si>
    <t>bimekizumab-bkzx</t>
  </si>
  <si>
    <t>Elecsys HTLV- I/IIElecsys HTLV-I/II</t>
  </si>
  <si>
    <t>Intended to screen individual human donors, including volunteer donors of whole blood and blood components. The assay is also intended to be used to screen organ, tissue and cell donors, when donor samples are obtained while the donor's heart is still beating. It is not intended for use on cord blood specimens.</t>
  </si>
  <si>
    <t>Velsipity</t>
  </si>
  <si>
    <t>etrasimod</t>
  </si>
  <si>
    <t>Rivfloza</t>
  </si>
  <si>
    <t>nedosiran</t>
  </si>
  <si>
    <t>Sep 2023</t>
  </si>
  <si>
    <t>Pombiliti</t>
  </si>
  <si>
    <t>cipaglucosidase alfa-atga</t>
  </si>
  <si>
    <t>Exxua</t>
  </si>
  <si>
    <t>gepirone</t>
  </si>
  <si>
    <t>Ojjaara</t>
  </si>
  <si>
    <t>momelotinib</t>
  </si>
  <si>
    <t>Indicated for further manufacturing of injectable and non-injectable products.</t>
  </si>
  <si>
    <t>Aphexda</t>
  </si>
  <si>
    <t>motixafortide</t>
  </si>
  <si>
    <t>ABRYSVORespiratory Syncytial Virus Vaccine</t>
  </si>
  <si>
    <t>Aug 2023</t>
  </si>
  <si>
    <t>Indicated for active immunization of pregnant individuals at 32 through 36 weeks gestational age for the prevention of lower respiratory tract disease (LRTD) and severe LRTD caused by respiratory syncytial virus (RSV) in infants from birth through 6 months of age.</t>
  </si>
  <si>
    <t>Veopoz</t>
  </si>
  <si>
    <t>pozelimab-bbfg</t>
  </si>
  <si>
    <t>Sohonos</t>
  </si>
  <si>
    <t>palovarotene</t>
  </si>
  <si>
    <t>Elrexfio</t>
  </si>
  <si>
    <t>elranatamab-bcmm</t>
  </si>
  <si>
    <t>Talvey</t>
  </si>
  <si>
    <t>talquetamab-tgvs</t>
  </si>
  <si>
    <t>Zurzuvae</t>
  </si>
  <si>
    <t>zuranolone</t>
  </si>
  <si>
    <t>Izervay</t>
  </si>
  <si>
    <t>avacincaptad pegol</t>
  </si>
  <si>
    <t>Xdemvy</t>
  </si>
  <si>
    <t>lotilaner</t>
  </si>
  <si>
    <t>Jul 2023</t>
  </si>
  <si>
    <t>BALFAXARprothrombin complex concentrate, human-lans</t>
  </si>
  <si>
    <t>Indicated for the urgent reversal of acquired coagulation factor deficiency induced by Vitamin K antagonist (VKA, e.g., warfarin) therapy in adult patients with need for an urgent surgery/invasive procedure.</t>
  </si>
  <si>
    <t>CYFENDUSAnthrax Vaccine Adsorbed, Adjuvanted</t>
  </si>
  <si>
    <t>Indicated for post-exposure prophylaxis of disease following suspected or confirmed exposure to Bacillus anthracis in persons 18 through 65 years of age when administered in conjunction with recommended antibacterial drugs.</t>
  </si>
  <si>
    <t>Vanflyta</t>
  </si>
  <si>
    <t>quizartinib</t>
  </si>
  <si>
    <t>Beyfortus</t>
  </si>
  <si>
    <t>nirsevimab-alip</t>
  </si>
  <si>
    <t>ROCTAVIANvaloctocogene roxaparvovec-rvox</t>
  </si>
  <si>
    <t>Jun 2023</t>
  </si>
  <si>
    <t>Valoctocogene roxaparvovec-rvox is an adeno-associated virus vector-based gene therapy indicated for the treatment of adults with severe hemophilia A (congenital factor VIII deficiency with factor VIII activity &lt;1 IU/dL) without pre-existing antibodies to adeno-associated virus serotype 5 detected by an FDA-approved test.</t>
  </si>
  <si>
    <t>LANTIDRAdonislecel-jujn</t>
  </si>
  <si>
    <t>Indicated for the treatment of adults with Type 1 diabetes who are unable to approach target HbA1c because of current repeated episodes of severe hypoglycemia despite intensive diabetes management and education.</t>
  </si>
  <si>
    <t>Ngenla</t>
  </si>
  <si>
    <t>somatrogon-ghla</t>
  </si>
  <si>
    <t>Rystiggo</t>
  </si>
  <si>
    <t>rozanolixizumab-noli</t>
  </si>
  <si>
    <t>Litfulo</t>
  </si>
  <si>
    <t>ritlecitinib</t>
  </si>
  <si>
    <t>ELEVIDYSdelandistrogene moxeparvovec-rokl</t>
  </si>
  <si>
    <t>Indicated for treatment of ambulatory pediatric patients aged 4 through 5 years with Duchenne muscular dystrophy (DMD) with a confirmed mutation in the DMD gene.</t>
  </si>
  <si>
    <t>Columvi</t>
  </si>
  <si>
    <t>glofitamab-gxbm</t>
  </si>
  <si>
    <t>Elecsys HIV DuoElecsys HIV Duo</t>
  </si>
  <si>
    <t>Elecsys HIV Duo is intended to screen individual human donors, including volunteer donors of whole blood, blood components and source plasma. The assay is also intended to be used to screen organ, tissue and cell donors, when donor samples are obtained while the donor's heart is still beating. It is not intended for use on cord blood specimens.</t>
  </si>
  <si>
    <t>May 2023</t>
  </si>
  <si>
    <t>Inpefa</t>
  </si>
  <si>
    <t>sotagliflozin</t>
  </si>
  <si>
    <t>Paxlovid</t>
  </si>
  <si>
    <t>nirmatrelvir; ritonavir (co-packaged)</t>
  </si>
  <si>
    <t>Posluma</t>
  </si>
  <si>
    <t>flotufolastat F 18</t>
  </si>
  <si>
    <t>Xacduro</t>
  </si>
  <si>
    <t>sulbactam; durlobactam (co-packaged)</t>
  </si>
  <si>
    <t>Epkinly</t>
  </si>
  <si>
    <t>epcoritamab-bysp</t>
  </si>
  <si>
    <t>VYJUVEKberemagene geperpavec-svdt</t>
  </si>
  <si>
    <t>Indicated for treatment of wounds in patients 6 months of age and older with dystrophic epidermolysis bullosa with mutation(s) in the collagen type VII alpha 1 chain (COL7A1) gene.</t>
  </si>
  <si>
    <t>Miebo</t>
  </si>
  <si>
    <t>perfluorohexyloctane</t>
  </si>
  <si>
    <t>Veozah</t>
  </si>
  <si>
    <t>fezolinetant</t>
  </si>
  <si>
    <t>Elfabrio</t>
  </si>
  <si>
    <t>pegunigalsidase alfa-iwxj</t>
  </si>
  <si>
    <t>AREXVYRespiratory Syncytial Virus Vaccine, Adjuvanted</t>
  </si>
  <si>
    <t>Indicated for active immunization for the prevention of lower respiratory tract disease caused by respiratory syncytial virus in individuals 60 years of age and older.</t>
  </si>
  <si>
    <t>VOWSTfecal microbiota spores, live-brpk</t>
  </si>
  <si>
    <t>Apr 2023</t>
  </si>
  <si>
    <t>To prevent the recurrence of Clostridioides difficile infection (CDI) in individuals 18 years of age and older following antibacterial treatment for recurrent CDI (rCDI).</t>
  </si>
  <si>
    <t>Qalsody</t>
  </si>
  <si>
    <t>tofersen</t>
  </si>
  <si>
    <t>OMISIRGEomidubicel-onlv</t>
  </si>
  <si>
    <t>Indicated for use in adults and pediatric patients 12 years and older with hematologic malignancies who are planned for umbilical cord blood transplantation following myeloablative conditioning to reduce the time to neutrophil recovery and the incidence of infection.</t>
  </si>
  <si>
    <t>Joenja</t>
  </si>
  <si>
    <t>leniolisib</t>
  </si>
  <si>
    <t>Mar 2023</t>
  </si>
  <si>
    <t>Rezzayo</t>
  </si>
  <si>
    <t>rezafungin</t>
  </si>
  <si>
    <t>Zynyz</t>
  </si>
  <si>
    <t>retifanlimab-dlwr</t>
  </si>
  <si>
    <t>Daybue</t>
  </si>
  <si>
    <t>trofinetide</t>
  </si>
  <si>
    <t>Zavzpret</t>
  </si>
  <si>
    <t>zavegepant</t>
  </si>
  <si>
    <t>Skyclarys</t>
  </si>
  <si>
    <t>omaveloxolone</t>
  </si>
  <si>
    <t>Feb 2023</t>
  </si>
  <si>
    <t>ALTUVIIIOantihemophilic factor (recombinant), Fc-VWF-XTEN fusion protein-ehtl</t>
  </si>
  <si>
    <t>Indicated for use in adults and children with Hemophilia A (congenital Factor VIII deficiency) for: (1) Routine prophylaxis to reduce the frequency of bleeding episodes; (2) On-demand treatment and control of bleeding episodes; and (3) Perioperative management of bleeding.</t>
  </si>
  <si>
    <t>Filspari</t>
  </si>
  <si>
    <t>sparsentan</t>
  </si>
  <si>
    <t>Lamzede</t>
  </si>
  <si>
    <t>velmanase alfa-tycv</t>
  </si>
  <si>
    <t>Jesduvroq</t>
  </si>
  <si>
    <t>daprodustat</t>
  </si>
  <si>
    <t>Orserdu</t>
  </si>
  <si>
    <t>elacestrant</t>
  </si>
  <si>
    <t>Jan 2023</t>
  </si>
  <si>
    <t>Jaypirca</t>
  </si>
  <si>
    <t>pirtobrutinib</t>
  </si>
  <si>
    <t>Indicated for further manufacturing of injectable products</t>
  </si>
  <si>
    <t>Brenzavvy</t>
  </si>
  <si>
    <t>bexagliflozin</t>
  </si>
  <si>
    <t>Indicated for further manufacturing of injectable and noninjectable products</t>
  </si>
  <si>
    <t>Leqembi</t>
  </si>
  <si>
    <t>lecanemab-irmb</t>
  </si>
  <si>
    <t>NexoBrid</t>
  </si>
  <si>
    <t>anacaulase-bcdb</t>
  </si>
  <si>
    <t>Dec 2022</t>
  </si>
  <si>
    <t>Briumvi</t>
  </si>
  <si>
    <t>ublituximab-xiiy</t>
  </si>
  <si>
    <t>Platelets</t>
  </si>
  <si>
    <t>To manufacture Apheresis Platelets, Platelet Additive Solution (PAS-C) Added, Leukocytes Reduced, Psoralen–Treated, collected on the --------(b)(4)----- ------ (b)(4)-------- and pathogen reduced using the ---(b)(4)--- -----(b)(4)---------------- ------ for Platelets.</t>
  </si>
  <si>
    <t>https://web.archive.org/web/20230306142729/https://www.fda.gov/vaccines-blood-biologics/development-approval-process-cber/2022-biological-license-application-approvals</t>
  </si>
  <si>
    <t>Xenoview</t>
  </si>
  <si>
    <t>xenon Xe 129 hyperpolarized</t>
  </si>
  <si>
    <t>Sunlenca</t>
  </si>
  <si>
    <t>lenacapavir</t>
  </si>
  <si>
    <t>Lunsumio</t>
  </si>
  <si>
    <t>mosunetuzumab-axgb</t>
  </si>
  <si>
    <t>ADSTILADRINnadofaragene firadenovec</t>
  </si>
  <si>
    <t>Indicated for the treatment of adult patients with high-risk Bacillus Calmette-Guérin (BCG)-unresponsive non-muscle invasive bladder cancer (NMIBC) with carcinoma in situ (CIS) with or without papillary tumors.</t>
  </si>
  <si>
    <t>Krazati</t>
  </si>
  <si>
    <t>adagrasib</t>
  </si>
  <si>
    <t>Rezlidhia</t>
  </si>
  <si>
    <t>olutasidenib</t>
  </si>
  <si>
    <t>REBYOTAfecal microbiota, live-jslm</t>
  </si>
  <si>
    <t>Nov 2022</t>
  </si>
  <si>
    <t>Indicated for the prevention of recurrence of Clostridioides difficile infection (CDI) in individuals 18 years of age and older, following antibiotic treatment for recurrent CDI.</t>
  </si>
  <si>
    <t>HEMGENIXetranacogene dezaparvovec-drlb</t>
  </si>
  <si>
    <t>Indicated for treatment of adults with Hemophilia B (congenital Factor IX deficiency) who: currently use Factor IX prophylaxis therapy, or have current or historical life-threatening hemorrhage, or have repeated, serious spontaneous bleeding episodes.</t>
  </si>
  <si>
    <t>Tzield</t>
  </si>
  <si>
    <t>teplizumab-mzwv</t>
  </si>
  <si>
    <t>Elahere</t>
  </si>
  <si>
    <t>mirvetuximab soravtansine-gynx</t>
  </si>
  <si>
    <t>Tecvayli</t>
  </si>
  <si>
    <t>teclistamab-cqyv</t>
  </si>
  <si>
    <t>Oct 2022</t>
  </si>
  <si>
    <t>Imjudo</t>
  </si>
  <si>
    <t>tremelimumab-actl</t>
  </si>
  <si>
    <t>Lytgobi</t>
  </si>
  <si>
    <t>futibatinib</t>
  </si>
  <si>
    <t>Sep 2022</t>
  </si>
  <si>
    <t>Relyvrio</t>
  </si>
  <si>
    <t>sodium phenylbutyrate and taurursodiol</t>
  </si>
  <si>
    <t>Omlonti</t>
  </si>
  <si>
    <t>omidenepag isopropyl</t>
  </si>
  <si>
    <t>Elucirem</t>
  </si>
  <si>
    <t>gadopiclenol</t>
  </si>
  <si>
    <t>SKYSONAelivaldogene autotemcel</t>
  </si>
  <si>
    <t>Indicated to slow the progression of neurologic dysfunction in boys 4-17 years of age with early, active cerebral adrenoleukodystrophy (CALD).</t>
  </si>
  <si>
    <t>Terlivaz</t>
  </si>
  <si>
    <t>terlipressin</t>
  </si>
  <si>
    <t>Rolvedon</t>
  </si>
  <si>
    <t>eflapegrastim-xnst</t>
  </si>
  <si>
    <t>Sotyktu</t>
  </si>
  <si>
    <t>deucravacitinib</t>
  </si>
  <si>
    <t>Daxxify</t>
  </si>
  <si>
    <t>daxibotulinumtoxinA-lanm</t>
  </si>
  <si>
    <t>Spevigo</t>
  </si>
  <si>
    <t>spesolimab-sbzo</t>
  </si>
  <si>
    <t>Xenpozyme</t>
  </si>
  <si>
    <t>olipudase alfa-rpcp</t>
  </si>
  <si>
    <t>Aug 2022</t>
  </si>
  <si>
    <t>ZYNTEGLObetibeglogene autotemcel</t>
  </si>
  <si>
    <t>Indicated for the treatment of adult and pediatric patients with ß-thalassemia who require regular red blood cell (RBC) transfusions.</t>
  </si>
  <si>
    <t>Alinity s Anti-HCV II Reagent KitHepatitis C Virus (E coli, Recombinant) NS3 Helicase Antigens and Synthetic Core Peptide</t>
  </si>
  <si>
    <t>Jul 2022</t>
  </si>
  <si>
    <t>Intended to screen individual human donors, including volunteer donors of whole blood and blood components, and other living donors for the presence of anti- HCV. The assay is also intended for use in testing serum and plasma specimens to screen organ donors when specimens are obtained while the donor's heart is still beating, and in testing serum and EDTA plasma specimens to screen cadaveric (nonheart- beating) donors. It is not intended for use on cord blood specimens.</t>
  </si>
  <si>
    <t>Amvuttra</t>
  </si>
  <si>
    <t>vutrisiran</t>
  </si>
  <si>
    <t>Jun 2022</t>
  </si>
  <si>
    <t>PRIORIXMeasles, Mumps and Rubella Vaccine Live</t>
  </si>
  <si>
    <t>Indicated for active immunization for the prevention of measles, mumps, and rubella in individuals 12 months of age and older.</t>
  </si>
  <si>
    <t>Vtama</t>
  </si>
  <si>
    <t>tapinarof</t>
  </si>
  <si>
    <t>May 2022</t>
  </si>
  <si>
    <t>Anti-Human Globulin Anti-C3d FFMU, Murine MonoclonalAnti-Human Globulin (Murine Monoclonal) (For Further Manufacturing Use)</t>
  </si>
  <si>
    <t>Indicated for further manufacturing use in the production of Anti-IgG, -C3d Anti-Human Globulin under a Shared Manufacturing Agreement with Diagnostic Grifols, S.A.</t>
  </si>
  <si>
    <t>DG Gel 8 Direct Coombs (Anti-IgG, -C3d)Anti-Human Globulin (Rabbit/Murine Monoclonal)</t>
  </si>
  <si>
    <t>Indicated for use with the DG Gel System to detect in vivo coating of human red blood cells with IgG and C3d (direct antiglobulin test).</t>
  </si>
  <si>
    <t>DG Gel 8 Direct Coombs (Anti-C3d)Anti-Human Globulin (Murine Monoclonal)</t>
  </si>
  <si>
    <t>Indicated for use with the DG Gel System to detect in vivo coating of human red blood cells with C3d (direct antiglobulin test).</t>
  </si>
  <si>
    <t>Mounjaro</t>
  </si>
  <si>
    <t>tirzepatide</t>
  </si>
  <si>
    <t>Voquezna Triple Pak</t>
  </si>
  <si>
    <t>vonoprazan; amoxicillin; clarithromycin (co-packaged)</t>
  </si>
  <si>
    <t>Camzyos</t>
  </si>
  <si>
    <t>mavacamten</t>
  </si>
  <si>
    <t>Apr 2022</t>
  </si>
  <si>
    <t>Vivjoa</t>
  </si>
  <si>
    <t>oteseconazole</t>
  </si>
  <si>
    <t>Pluvicto</t>
  </si>
  <si>
    <t>lutetium Lu 177 vipivotide tetraxetan</t>
  </si>
  <si>
    <t>Mar 2022</t>
  </si>
  <si>
    <t>Opdualag</t>
  </si>
  <si>
    <t>nivolumab and relatlimab-rmbw</t>
  </si>
  <si>
    <t>Ztalmy</t>
  </si>
  <si>
    <t>ganaxolone</t>
  </si>
  <si>
    <t>CARVYKTIciltacabtagene autoleucel</t>
  </si>
  <si>
    <t>Feb 2022</t>
  </si>
  <si>
    <t>Is indicated for the treatment of adult patients with relapsed or refractory multiple myeloma after four or more prior lines of therapy, including a proteasome inhibitor, an immunomodulatory agent, and an anti-CD38 monoclonal antibody.</t>
  </si>
  <si>
    <t>Vonjo</t>
  </si>
  <si>
    <t>pacritinib</t>
  </si>
  <si>
    <t>Pyrukynd</t>
  </si>
  <si>
    <t>mitapivat</t>
  </si>
  <si>
    <t>Enjaymo</t>
  </si>
  <si>
    <t>sutimlimab-jome</t>
  </si>
  <si>
    <t>SPIKEVAXCOVID-19 Vaccine, mRNA</t>
  </si>
  <si>
    <t>Jan 2022</t>
  </si>
  <si>
    <t>Active immunization to prevent coronavirus disease 2019 (COVID-19) caused by severe acute respiratory syndrome coronavirus 2 (SARS-CoV-2) in individuals 18 years of age and older</t>
  </si>
  <si>
    <t>Vabysmo</t>
  </si>
  <si>
    <t>faricimab-svoa</t>
  </si>
  <si>
    <t>Kimmtrak</t>
  </si>
  <si>
    <t>tebentafusp-tebn</t>
  </si>
  <si>
    <t>Cibinqo</t>
  </si>
  <si>
    <t>abrocitinib</t>
  </si>
  <si>
    <t>Quviviq</t>
  </si>
  <si>
    <t>daridorexant</t>
  </si>
  <si>
    <t>Adbry</t>
  </si>
  <si>
    <t>tralokinumab-ldrm</t>
  </si>
  <si>
    <t>Dec 2021</t>
  </si>
  <si>
    <t>Leqvio</t>
  </si>
  <si>
    <t>inclisiran</t>
  </si>
  <si>
    <t>Tezspire</t>
  </si>
  <si>
    <t>tezepelumab-ekko</t>
  </si>
  <si>
    <t>Vyvgart</t>
  </si>
  <si>
    <t>efgartigimod alfa-fcab</t>
  </si>
  <si>
    <t>PrehevbrioPrehebrioTrehebriHepatitis B Vaccine (Recombinant)</t>
  </si>
  <si>
    <t>Nov 2021</t>
  </si>
  <si>
    <t>Indicated for prevention of infection caused by all known subtypes of hepatitis B virus in adults 18 years and older.</t>
  </si>
  <si>
    <t>https://web.archive.org/web/20220401053830/https://www.fda.gov/vaccines-blood-biologics/development-approval-process-cber/2021-biological-license-application-approvals</t>
  </si>
  <si>
    <t>Cytalux</t>
  </si>
  <si>
    <t>pafolacianine</t>
  </si>
  <si>
    <t>Livtencity</t>
  </si>
  <si>
    <t>maribavir</t>
  </si>
  <si>
    <t>Voxzogo</t>
  </si>
  <si>
    <t>vosoritide</t>
  </si>
  <si>
    <t>Besremi</t>
  </si>
  <si>
    <t>ropeginterferon alfa-2b-njft</t>
  </si>
  <si>
    <t>Scemblix</t>
  </si>
  <si>
    <t>asciminib</t>
  </si>
  <si>
    <t>Oct 2021</t>
  </si>
  <si>
    <t>RETHYMICAllogeneic processed Thymus Tissue</t>
  </si>
  <si>
    <t>Indicated for immune reconstitution in pediatric patients with congenital athymia.</t>
  </si>
  <si>
    <t>Tavneos</t>
  </si>
  <si>
    <t>avacopan</t>
  </si>
  <si>
    <t>Livmarli</t>
  </si>
  <si>
    <t>maralixibat</t>
  </si>
  <si>
    <t>Sep 2021</t>
  </si>
  <si>
    <t>Qulipta</t>
  </si>
  <si>
    <t>atogepant</t>
  </si>
  <si>
    <t>For further manufacturing of injectable products under License No. 2260</t>
  </si>
  <si>
    <t>Tivdak</t>
  </si>
  <si>
    <t>tisotumab vedotin-tftv</t>
  </si>
  <si>
    <t>Exkivity</t>
  </si>
  <si>
    <t>mobocertinib</t>
  </si>
  <si>
    <t>Skytrofa</t>
  </si>
  <si>
    <t>lonapegsomatropin-tcgd</t>
  </si>
  <si>
    <t>Aug 2021</t>
  </si>
  <si>
    <t>COMIRNATYCOVID-19 Vaccine, mRNA</t>
  </si>
  <si>
    <t>Indicated for active immunization to prevent coronavirus disease 2019 (COVID-19) caused by severe acute respiratory syndrome coronavirus 2 (SARS-CoV-2) in individuals 16 years of age and older.</t>
  </si>
  <si>
    <t>Korsuva</t>
  </si>
  <si>
    <t>difelikefalin</t>
  </si>
  <si>
    <t>For further manufacturing of injectable products under License No. 2255</t>
  </si>
  <si>
    <t>TicoVacTick-Borne Encephalitis Vaccine</t>
  </si>
  <si>
    <t>Indicated for active immunization to prevent tick-borne encephalitis (TBE) in individuals 1 year of age and older.</t>
  </si>
  <si>
    <t>Welireg</t>
  </si>
  <si>
    <t>belzutifan</t>
  </si>
  <si>
    <t>Nexviazyme</t>
  </si>
  <si>
    <t>avalglucosidase alfa-ngpt</t>
  </si>
  <si>
    <t>Saphnelo</t>
  </si>
  <si>
    <t>anifrolumab-fnia</t>
  </si>
  <si>
    <t>Jul 2021</t>
  </si>
  <si>
    <t>Bylvay</t>
  </si>
  <si>
    <t>odevixibat</t>
  </si>
  <si>
    <t>Rezurock</t>
  </si>
  <si>
    <t>belumosudil</t>
  </si>
  <si>
    <t>[drug marketed without a proprietary name]</t>
  </si>
  <si>
    <t>fexinidazole</t>
  </si>
  <si>
    <t>VAXNEUVANCEPneumococcal 15-valent Conjugate Vaccine</t>
  </si>
  <si>
    <t>Indicated for active immunization for the prevention of invasive disease caused by Streptococcus pneumoniae serotypes 1, 3, 4, 5, 6A, 6B, 7F, 9V, 14, 18C, 19A, 19F, 22F, 23F and 33F in adults 18 years of age and older.</t>
  </si>
  <si>
    <t>Kerendia</t>
  </si>
  <si>
    <t>finerenone</t>
  </si>
  <si>
    <t>Rylaze</t>
  </si>
  <si>
    <t>asparaginase erwinia chrysanthemi (recombinant)-rywn</t>
  </si>
  <si>
    <t>Jun 2021</t>
  </si>
  <si>
    <t>To manufacture Source Plasma prepared by plasmapheresis using the ---(b)(4)-------------------------------------- Collection System, with the anticoagulant (b)(4) Sodium Citrate Solution, collected from normal, non-immunized donors, andImmunoTek’s previously approved Standard Operating Procedures and Physician Substitute Program.</t>
  </si>
  <si>
    <t>StrataGraftAllogeneic cultured keratinocytes and dermal fibroblasts in murine collagen-dsat</t>
  </si>
  <si>
    <t>Indicated for the treatment of adults with thermal burns containing intact dermal elements for which surgical intervention is clinically indicated (deep partial-thickness burns).</t>
  </si>
  <si>
    <t>PREVNAR 20Pneumococcal 20-valent Conjugate Vaccine</t>
  </si>
  <si>
    <t>Indicated for active immunization for the prevention of invasive disease caused by Streptococcus pneumoniae serotypes 1, 3, 4, 5, 6A, 6B, 7F, 8, 9V, 10A, 11A, 12F, 14, 15B, 18C, 19A, 19F, 22F, 23F, and 33F in adults 18 years of age and older and the prevention of pneumonia caused by Streptococcus pneumoniae serotypes 1, 3, 4, 5, 6A, 6B, 7F, 9V, 14, 18C, 19A, 19F, and 23F in adults 18 years of age and older.</t>
  </si>
  <si>
    <t>Aduhelm</t>
  </si>
  <si>
    <t>aducanumab-avwa</t>
  </si>
  <si>
    <t>RYPLAZIMplasminogen,human-tvmh</t>
  </si>
  <si>
    <t>Indicated for the treatment of patients with plasminogen deficiency type 1 (hypoplasminogenemi).</t>
  </si>
  <si>
    <t>Brexafemme</t>
  </si>
  <si>
    <t>ibrexafungerp</t>
  </si>
  <si>
    <t>Lumakras</t>
  </si>
  <si>
    <t>sotorasib</t>
  </si>
  <si>
    <t>May 2021</t>
  </si>
  <si>
    <t>Truseltiq</t>
  </si>
  <si>
    <t>infigratinib</t>
  </si>
  <si>
    <t>Lybalvi</t>
  </si>
  <si>
    <t>olanzapine and samidorphan</t>
  </si>
  <si>
    <t>Pylarify</t>
  </si>
  <si>
    <t>piflufolastat F 18</t>
  </si>
  <si>
    <t>Rybrevant</t>
  </si>
  <si>
    <t>amivantamab-vmjw</t>
  </si>
  <si>
    <t>Empaveli</t>
  </si>
  <si>
    <t>pegcetacoplan</t>
  </si>
  <si>
    <t>Zynlonta</t>
  </si>
  <si>
    <t>loncastuximab tesirine-lpyl</t>
  </si>
  <si>
    <t>Apr 2021</t>
  </si>
  <si>
    <t>Jemperli</t>
  </si>
  <si>
    <t>dostarlimab-gxly</t>
  </si>
  <si>
    <t>Nextstellis</t>
  </si>
  <si>
    <t>drospirenone and estetrol</t>
  </si>
  <si>
    <t>Qelbree</t>
  </si>
  <si>
    <t>viloxazine</t>
  </si>
  <si>
    <t>ABECMAidecabtagene vicleucel</t>
  </si>
  <si>
    <t>Mar 2021</t>
  </si>
  <si>
    <t>Indicated for the treatment of adult patients with relapsed or refractory multiple myeloma after four or more prior lines of therapy including an immunomodulatory agent, a proteasome inhibitor, and an anti-CD38 monoclonal antibody.</t>
  </si>
  <si>
    <t>Zegalogue</t>
  </si>
  <si>
    <t>dasiglucagon</t>
  </si>
  <si>
    <t>Ponvory</t>
  </si>
  <si>
    <t>ponesimod</t>
  </si>
  <si>
    <t>Fotivda</t>
  </si>
  <si>
    <t>tivozanib</t>
  </si>
  <si>
    <t>Azstarys</t>
  </si>
  <si>
    <t>serdexmethylphenidate and dexmethylphenidate</t>
  </si>
  <si>
    <t>Pepaxto</t>
  </si>
  <si>
    <t>melphalan flufenamide</t>
  </si>
  <si>
    <t>Feb 2021</t>
  </si>
  <si>
    <t>Nulibry</t>
  </si>
  <si>
    <t>fosdenopterin</t>
  </si>
  <si>
    <t>Amondys 45</t>
  </si>
  <si>
    <t>casimersen</t>
  </si>
  <si>
    <t>Cosela</t>
  </si>
  <si>
    <t>trilaciclib</t>
  </si>
  <si>
    <t>Evkeeza</t>
  </si>
  <si>
    <t>evinacumab-dgnb</t>
  </si>
  <si>
    <t>BREYANZIlisocabtagene maraleucel</t>
  </si>
  <si>
    <t>Indicated for the treatment of adult patients with relapsed or refractory large B-cell lymphoma after two or more lines of systemic therapy, including diffuse large B cell lymphoma (DLBCL) not otherwise specified (including DLBCL arising from indolent lymphoma), high-grade B-cell lymphoma, primary mediastinal large B-cell lymphoma, and follicular lymphoma grade 3B. Lisocabtagene maraleucel is not indicated for the treatment of patients with primary central nervous system (CNS) lymphoma.</t>
  </si>
  <si>
    <t>Ukoniq</t>
  </si>
  <si>
    <t>umbralisib</t>
  </si>
  <si>
    <t>Tepmetko</t>
  </si>
  <si>
    <t>tepotinib</t>
  </si>
  <si>
    <t>Lupkynis</t>
  </si>
  <si>
    <t>voclosporin</t>
  </si>
  <si>
    <t>Jan 2021</t>
  </si>
  <si>
    <t>Cabenuva</t>
  </si>
  <si>
    <t>cabotegravir; rilpivirine (co-packaged)</t>
  </si>
  <si>
    <t>Verquvo</t>
  </si>
  <si>
    <t>vericiguat</t>
  </si>
  <si>
    <t>Gemtesa</t>
  </si>
  <si>
    <t>vibegron</t>
  </si>
  <si>
    <t>Dec 2020</t>
  </si>
  <si>
    <t>Ebanga</t>
  </si>
  <si>
    <t>ansuvimab-zykl</t>
  </si>
  <si>
    <t>Orgovyx</t>
  </si>
  <si>
    <t>relugolix</t>
  </si>
  <si>
    <t>Margenza</t>
  </si>
  <si>
    <t>margetuximab-cmkb</t>
  </si>
  <si>
    <t>Klisyri</t>
  </si>
  <si>
    <t>tirbanibulin</t>
  </si>
  <si>
    <t>Orladeyo</t>
  </si>
  <si>
    <t>berotralstat</t>
  </si>
  <si>
    <t>gallium Ga 68 PSMA-11</t>
  </si>
  <si>
    <t>Imcivree</t>
  </si>
  <si>
    <t>setmelanotide</t>
  </si>
  <si>
    <t>Nov 2020</t>
  </si>
  <si>
    <t>Danyelza</t>
  </si>
  <si>
    <t>naxitamab-gqgk</t>
  </si>
  <si>
    <t>Oxlumo</t>
  </si>
  <si>
    <t>lumasiran</t>
  </si>
  <si>
    <t>Zokinvy</t>
  </si>
  <si>
    <t>lonafarnib</t>
  </si>
  <si>
    <t>Veklury</t>
  </si>
  <si>
    <t>remdesivir</t>
  </si>
  <si>
    <t>Oct 2020</t>
  </si>
  <si>
    <t>Inmazeb</t>
  </si>
  <si>
    <t>atoltivimab, maftivimab, and odesivimab-ebgn</t>
  </si>
  <si>
    <t>Gavreto</t>
  </si>
  <si>
    <t>pralsetinib</t>
  </si>
  <si>
    <t>Sep 2020</t>
  </si>
  <si>
    <t>Detectnet</t>
  </si>
  <si>
    <t>copper Cu 64 dotatate</t>
  </si>
  <si>
    <t>Sogroya</t>
  </si>
  <si>
    <t>somapacitan-beco</t>
  </si>
  <si>
    <t>Aug 2020</t>
  </si>
  <si>
    <t>Winlevi</t>
  </si>
  <si>
    <t>clascoterone</t>
  </si>
  <si>
    <t>Enspryng</t>
  </si>
  <si>
    <t>satralizumab-mwge</t>
  </si>
  <si>
    <t>Viltepso</t>
  </si>
  <si>
    <t>viltolarsen</t>
  </si>
  <si>
    <t>Olinvyk</t>
  </si>
  <si>
    <t>oliceridine</t>
  </si>
  <si>
    <t>Evrysdi</t>
  </si>
  <si>
    <t>risdiplam</t>
  </si>
  <si>
    <t>Lampit</t>
  </si>
  <si>
    <t>nifurtimox</t>
  </si>
  <si>
    <t>Blenrep</t>
  </si>
  <si>
    <t>belantamab mafodotin-blmf</t>
  </si>
  <si>
    <t>Monjuvi</t>
  </si>
  <si>
    <t>tafasitamab-cxix</t>
  </si>
  <si>
    <t>Jul 2020</t>
  </si>
  <si>
    <t>Xeglyze</t>
  </si>
  <si>
    <t>abametapir</t>
  </si>
  <si>
    <t>TECARTUSbrexucabtagene autoleucel</t>
  </si>
  <si>
    <t>TECARTUS is a CD19-directed genetically modified autologous T cell immunotherapy indicated for the treatment of adult patients with relapsed or refractory mantle cell lymphoma (MCL).</t>
  </si>
  <si>
    <t>https://web.archive.org/web/20210412225647/https://www.fda.gov/vaccines-blood-biologics/development-approval-process-cber/2020-biological-license-application-approvals</t>
  </si>
  <si>
    <t>Inqovi</t>
  </si>
  <si>
    <t>decitabine and cedazuridine</t>
  </si>
  <si>
    <t>Byfavo</t>
  </si>
  <si>
    <t>remimazolam</t>
  </si>
  <si>
    <t>Rukobia</t>
  </si>
  <si>
    <t>fostemsavir</t>
  </si>
  <si>
    <t>Dojolvi</t>
  </si>
  <si>
    <t>triheptanoin</t>
  </si>
  <si>
    <t>Jun 2020</t>
  </si>
  <si>
    <t>Blood Grouping Reagent, Anti-Lea(Murine Monoclonal)(For Further Manufacturing Use)(FFMU)</t>
  </si>
  <si>
    <t>Indicated for a standard raw material for the manufacture of finished Anti-Leablood typing diagnostic reagent for in vitro use. This FFMU reacts with the Leaantigen.</t>
  </si>
  <si>
    <t>Blood Grouping Reagent, Anti-Leb(Murine Monoclonal)(For Further Manufacturing Use) (FFMU)</t>
  </si>
  <si>
    <t>Indicated for a standard raw material for the manufacture of finished Anti-Lebblood typing diagnostic reagent for in vitro use. This FFMU reacts with the Lebantigen.</t>
  </si>
  <si>
    <t>Zepzelca</t>
  </si>
  <si>
    <t>lurbinectedin</t>
  </si>
  <si>
    <t>Uplizna</t>
  </si>
  <si>
    <t>inebilizumab-cdon</t>
  </si>
  <si>
    <t>Tauvid</t>
  </si>
  <si>
    <t>flortaucipir F 18</t>
  </si>
  <si>
    <t>May 2020</t>
  </si>
  <si>
    <t>artesunate</t>
  </si>
  <si>
    <t>Cerianna</t>
  </si>
  <si>
    <t>fluoroestradiol F 18</t>
  </si>
  <si>
    <t>Qinlock</t>
  </si>
  <si>
    <t>ripretinib</t>
  </si>
  <si>
    <t>Retevmo</t>
  </si>
  <si>
    <t>selpercatinib</t>
  </si>
  <si>
    <t>Tabrecta</t>
  </si>
  <si>
    <t>capmatinib</t>
  </si>
  <si>
    <t>Ongentys</t>
  </si>
  <si>
    <t>opicapone</t>
  </si>
  <si>
    <t>Apr 2020</t>
  </si>
  <si>
    <t>MenQuadfiMeningococcal (Groups A, C, Y, W) Conjugate Vaccine</t>
  </si>
  <si>
    <t>Indicated for active immunization for the prevention of invasive meningococcal disease caused by Neisseria meningitidis serogroups A, C, W, and Y. Approved for use in individuals 2 years of age and older.</t>
  </si>
  <si>
    <t>Trodelvy</t>
  </si>
  <si>
    <t>sacituzumab govitecan-hziy</t>
  </si>
  <si>
    <t>Pemazyre</t>
  </si>
  <si>
    <t>pemigatinib</t>
  </si>
  <si>
    <t>Tukysa</t>
  </si>
  <si>
    <t>tucatinib</t>
  </si>
  <si>
    <t>Koselugo</t>
  </si>
  <si>
    <t>selumetinib</t>
  </si>
  <si>
    <t>SEVENFACTCoagulation Factor VIIa (Recombinant)</t>
  </si>
  <si>
    <t>Indicated for treatment and control of bleeding episodes occurring in adults and adolescents (12 years of age and older) with hemophilia A or B with inhibitors.</t>
  </si>
  <si>
    <t>DG® Gel 8 ABO/Rh (2D)Blood Grouping Reagent, Anti-D (Monoclonal Blend)</t>
  </si>
  <si>
    <t>Mar 2020</t>
  </si>
  <si>
    <t>For the determination of ABO forward and reverse group, and RhD antigen on the surface of red blood cells of human blood samples.</t>
  </si>
  <si>
    <t>Zeposia</t>
  </si>
  <si>
    <t>ozanimod</t>
  </si>
  <si>
    <t>Isturisa</t>
  </si>
  <si>
    <t>osilodrostat</t>
  </si>
  <si>
    <t>Sarclisa</t>
  </si>
  <si>
    <t>isatuximab-irfc</t>
  </si>
  <si>
    <t>Nurtec ODT</t>
  </si>
  <si>
    <t>rimegepant</t>
  </si>
  <si>
    <t>Feb 2020</t>
  </si>
  <si>
    <t>Barhemsys</t>
  </si>
  <si>
    <t>amisulpride</t>
  </si>
  <si>
    <t>Vyepti</t>
  </si>
  <si>
    <t>eptinezumab-jjmr</t>
  </si>
  <si>
    <t>Nexletol</t>
  </si>
  <si>
    <t>bempedoic acid</t>
  </si>
  <si>
    <t>Pizensy</t>
  </si>
  <si>
    <t>lactitol</t>
  </si>
  <si>
    <t>AUDENZInfluenza A (H5N1) Monovalent Vaccine, Adjuvanted</t>
  </si>
  <si>
    <t>Jan 2020</t>
  </si>
  <si>
    <t>Indicated for active immunization for the prevention of disease caused by the influenza A virus H5N1 subtype contained in the vaccine.</t>
  </si>
  <si>
    <t>PALFORZIAPeanut (Arachis hypogaea) Allergen Powder</t>
  </si>
  <si>
    <t>Indicated for the mitigation of allergic reactions, including anaphylaxis, that may occur with accidental exposure to peanut.</t>
  </si>
  <si>
    <t>Tazverik</t>
  </si>
  <si>
    <t>tazemetostat</t>
  </si>
  <si>
    <t>Tepezza</t>
  </si>
  <si>
    <t>teprotumumab-trbw</t>
  </si>
  <si>
    <t>Ayvakit</t>
  </si>
  <si>
    <t>avapritinib</t>
  </si>
  <si>
    <t>Data pulled: 08/11/2026 | Biosimilar page current as of: N/A</t>
  </si>
  <si>
    <t>Approval Year</t>
  </si>
  <si>
    <t>Approval Month &amp; Year</t>
  </si>
  <si>
    <t>Biosimilar Name</t>
  </si>
  <si>
    <t>Reference Product</t>
  </si>
  <si>
    <t>Count</t>
  </si>
  <si>
    <t>July 2026</t>
  </si>
  <si>
    <t>Zimrixby (rituximab-cdxx)</t>
  </si>
  <si>
    <t>rituximab-cdxx</t>
  </si>
  <si>
    <t>Rituxan (rituximab)</t>
  </si>
  <si>
    <t>https://www.fda.gov/drugs/biosimilars/biosimilar-product-information</t>
  </si>
  <si>
    <t>Garzulys (insulin aspart-fsan)</t>
  </si>
  <si>
    <t>insulin aspart-fsan</t>
  </si>
  <si>
    <t>Novolog (insulin aspart)</t>
  </si>
  <si>
    <t>June 2026</t>
  </si>
  <si>
    <t>Ranluspec (ranibizumab-hkdz)</t>
  </si>
  <si>
    <t>ranibizumab-hkdz</t>
  </si>
  <si>
    <t>Lucentis (ranibizumab)</t>
  </si>
  <si>
    <t>Immgolis and Immgolis Intri (golimumab-sldi)</t>
  </si>
  <si>
    <t>golimumab-sldi</t>
  </si>
  <si>
    <t>Simponi and Simponi Aria (golimumab)</t>
  </si>
  <si>
    <t>Ennumo (pegfilgrastim-pccg)</t>
  </si>
  <si>
    <t>pegfilgrastim-pccg</t>
  </si>
  <si>
    <t>Neulasta (pegfilgrastim)</t>
  </si>
  <si>
    <t>April 2026</t>
  </si>
  <si>
    <t>Langlara (insulin glargine-aldy)</t>
  </si>
  <si>
    <t>insulin glargine-aldy</t>
  </si>
  <si>
    <t>Lantus (insulin glargine)</t>
  </si>
  <si>
    <t>March 2026</t>
  </si>
  <si>
    <t>Ponlimsi (denosumab-adet)</t>
  </si>
  <si>
    <t>denosumab-adet</t>
  </si>
  <si>
    <t>Prolia (denosumab)</t>
  </si>
  <si>
    <t>January 2026</t>
  </si>
  <si>
    <t>Filkri (filgrastim-laha)</t>
  </si>
  <si>
    <t>filgrastim-laha</t>
  </si>
  <si>
    <t>Neupogen (filgrastim)</t>
  </si>
  <si>
    <t>December 2025</t>
  </si>
  <si>
    <t>Boncresa and Oziltus (denosumab-mobz)</t>
  </si>
  <si>
    <t>denosumab-mobz</t>
  </si>
  <si>
    <t>Prolia and Xgeva (denosumab)</t>
  </si>
  <si>
    <t>Nufymco (ranibizumab-leyk)</t>
  </si>
  <si>
    <t>ranibizumab-leyk</t>
  </si>
  <si>
    <t>November 2025</t>
  </si>
  <si>
    <t>Armlupeg (pegfilgrastim-unne)</t>
  </si>
  <si>
    <t>pegfilgrastim-unne</t>
  </si>
  <si>
    <t>Poherdy (pertuzumab-dpzb)</t>
  </si>
  <si>
    <t>pertuzumab-dpzb</t>
  </si>
  <si>
    <t>Perjeta (pertuzumab)</t>
  </si>
  <si>
    <t>October 2025</t>
  </si>
  <si>
    <t>Osvyrti and Jubereq (denosumab-desu)</t>
  </si>
  <si>
    <t>denosumab-desu</t>
  </si>
  <si>
    <t>Eydenzelt (aflibercept-boav)</t>
  </si>
  <si>
    <t>aflibercept-boav</t>
  </si>
  <si>
    <t>Eylea (aflibercept)</t>
  </si>
  <si>
    <t>September 2025</t>
  </si>
  <si>
    <t>Enoby and Xtrenbo (denosumab-qbde)</t>
  </si>
  <si>
    <t>denosumab-qbde</t>
  </si>
  <si>
    <t>Aukelso and Bosaya (denosumab-kyqq)</t>
  </si>
  <si>
    <t>denosumab-kyqq</t>
  </si>
  <si>
    <t>August 2025</t>
  </si>
  <si>
    <t>Bildyos and Bilprevda (denosumab-nxxp)</t>
  </si>
  <si>
    <t>denosumab-nxxp</t>
  </si>
  <si>
    <t>July 2025</t>
  </si>
  <si>
    <t>Kirsty (insulin aspart-xjhz)</t>
  </si>
  <si>
    <t>insulin aspart-xjhz</t>
  </si>
  <si>
    <t>Starjemza (ustekinumab-hmny)</t>
  </si>
  <si>
    <t>ustekinumab-hmny</t>
  </si>
  <si>
    <t>Stelara (ustekinumab)</t>
  </si>
  <si>
    <t>April 2025</t>
  </si>
  <si>
    <t>Jobevne (bevacizumab-nwgd)</t>
  </si>
  <si>
    <t>bevacizumab-nwgd</t>
  </si>
  <si>
    <t>Avastin (bevacizumab)</t>
  </si>
  <si>
    <t>March 2025</t>
  </si>
  <si>
    <t>Bomyntra and Conexxence (denosumab-bnht)</t>
  </si>
  <si>
    <t>denosumab-bnht</t>
  </si>
  <si>
    <t>Omlyclo (omalizumab-igec)</t>
  </si>
  <si>
    <t>omalizumab-igec</t>
  </si>
  <si>
    <t>Xolair (omalizumab)</t>
  </si>
  <si>
    <t>February 2025</t>
  </si>
  <si>
    <t>Stoboclo and Osenvelt (denosumab-bmwo)</t>
  </si>
  <si>
    <t>denosumab-bmwo</t>
  </si>
  <si>
    <t>Merilog (insulin aspart-szjj)</t>
  </si>
  <si>
    <t>insulin aspart-szjj</t>
  </si>
  <si>
    <t>Ospomyv and Xbryk (denosumab-dssb)</t>
  </si>
  <si>
    <t>denosumab-dssb</t>
  </si>
  <si>
    <t>January 2025</t>
  </si>
  <si>
    <t>Avtozma (tocilizumab-anoh)</t>
  </si>
  <si>
    <t>tocilizumab-anoh</t>
  </si>
  <si>
    <t>Actemra (tocilizumab)</t>
  </si>
  <si>
    <t>December 2024</t>
  </si>
  <si>
    <t>Steqeyma (Ustekinumab-stba)</t>
  </si>
  <si>
    <t>Ustekinumab-stba</t>
  </si>
  <si>
    <t>November 2024</t>
  </si>
  <si>
    <t>Yesintek (ustekinumab-kfce)</t>
  </si>
  <si>
    <t>ustekinumab-kfce</t>
  </si>
  <si>
    <t>October 2024</t>
  </si>
  <si>
    <t>Imuldosa (ustekinumab-srlf)</t>
  </si>
  <si>
    <t>ustekinumab-srlf</t>
  </si>
  <si>
    <t>September 2024</t>
  </si>
  <si>
    <t>Otulfi (ustekinumab-aauz)</t>
  </si>
  <si>
    <t>ustekinumab-aauz</t>
  </si>
  <si>
    <t>August 2024</t>
  </si>
  <si>
    <t>Pavblu (aflibercept-ayyh)</t>
  </si>
  <si>
    <t>aflibercept-ayyh</t>
  </si>
  <si>
    <t>Enzeevu (aflibercept-abzv)</t>
  </si>
  <si>
    <t>aflibercept-abzv</t>
  </si>
  <si>
    <t>July 2024</t>
  </si>
  <si>
    <t>Epysqli (eculizumab-aagh)</t>
  </si>
  <si>
    <t>eculizumab-aagh</t>
  </si>
  <si>
    <t>Soliris (eculizumab)</t>
  </si>
  <si>
    <t>June 2024</t>
  </si>
  <si>
    <t>Ahzantive (aflibercept-mrbb)</t>
  </si>
  <si>
    <t>aflibercept-mrbb</t>
  </si>
  <si>
    <t>Nypozi (filgrastim-txid)</t>
  </si>
  <si>
    <t>filgrastim-txid</t>
  </si>
  <si>
    <t>Pyzchiva (ustekinumab-ttwe)</t>
  </si>
  <si>
    <t>ustekinumab-ttwe</t>
  </si>
  <si>
    <t>Bkemv (eculizumab-aeeb)</t>
  </si>
  <si>
    <t>eculizumab-aeeb</t>
  </si>
  <si>
    <t>Yesafili (aflibercept-jbvf)</t>
  </si>
  <si>
    <t>aflibercept-jbvf</t>
  </si>
  <si>
    <t>Opuviz (aflibercept-yszy)</t>
  </si>
  <si>
    <t>aflibercept-yszy</t>
  </si>
  <si>
    <t>April 2024</t>
  </si>
  <si>
    <t>Hercessi (trastuzumab-strf)</t>
  </si>
  <si>
    <t>trastuzumab-strf</t>
  </si>
  <si>
    <t>Herceptin (trastuzumab)</t>
  </si>
  <si>
    <t>Selarsdi (ustekinumab-aekn)</t>
  </si>
  <si>
    <t>ustekinumab-aekn</t>
  </si>
  <si>
    <t>March 2024</t>
  </si>
  <si>
    <t>Tyenne (tocilizumab-aazg)</t>
  </si>
  <si>
    <t>tocilizumab-aazg</t>
  </si>
  <si>
    <t>Jubbonti and Wyost (denosumab-bbdz)</t>
  </si>
  <si>
    <t>denosumab-bbdz</t>
  </si>
  <si>
    <t>February 2024</t>
  </si>
  <si>
    <t>Simlandi (adalimumab-ryvk)</t>
  </si>
  <si>
    <t>adalimumab-ryvk</t>
  </si>
  <si>
    <t>Humira (adalimumab)</t>
  </si>
  <si>
    <t>December 2023</t>
  </si>
  <si>
    <t>Avzivi (bevacizumab-tnjn)</t>
  </si>
  <si>
    <t>bevacizumab-tnjn</t>
  </si>
  <si>
    <t>October 2023</t>
  </si>
  <si>
    <t>Wezlana (ustekinumab-auub)</t>
  </si>
  <si>
    <t>ustekinumab-auub</t>
  </si>
  <si>
    <t>September 2023</t>
  </si>
  <si>
    <t>Tofidence (tocilizumab-bavi)</t>
  </si>
  <si>
    <t>tocilizumab-bavi</t>
  </si>
  <si>
    <t>August 2023</t>
  </si>
  <si>
    <t>Tyruko (natalizumab-sztn)</t>
  </si>
  <si>
    <t>natalizumab-sztn</t>
  </si>
  <si>
    <t>Tysabri (natalizumab)</t>
  </si>
  <si>
    <t>Yuflyma (adalimumab-aaty)</t>
  </si>
  <si>
    <t>adalimumab-aaty</t>
  </si>
  <si>
    <t>December 2022</t>
  </si>
  <si>
    <t>Idacio (adalimumab-aacf)</t>
  </si>
  <si>
    <t>adalimumab-aacf</t>
  </si>
  <si>
    <t>September 2022</t>
  </si>
  <si>
    <t>Vegzelma (bevacizumab-adcd)</t>
  </si>
  <si>
    <t>bevacizumab-adcd</t>
  </si>
  <si>
    <t>Stimufend (pegfilgrastim-fpgk)</t>
  </si>
  <si>
    <t>pegfilgrastim-fpgk</t>
  </si>
  <si>
    <t>Neulasta (pegfilgrastim)</t>
  </si>
  <si>
    <t>August 2022</t>
  </si>
  <si>
    <t>Cimerli (ranibizumab-eqrn)</t>
  </si>
  <si>
    <t>ranibizumab-eqrn</t>
  </si>
  <si>
    <t>Fylnetra (pegfilgrastim-pbbk)</t>
  </si>
  <si>
    <t>pegfilgrastim-pbbk</t>
  </si>
  <si>
    <t>April 2022</t>
  </si>
  <si>
    <t>Alymsys (bevacizumab-maly)</t>
  </si>
  <si>
    <t>bevacizumab-maly</t>
  </si>
  <si>
    <t>February 2022</t>
  </si>
  <si>
    <t>Releuko (filgrastim-ayow)</t>
  </si>
  <si>
    <t>filgrastim-ayow</t>
  </si>
  <si>
    <t>December 2021</t>
  </si>
  <si>
    <t>Yusimry (adalimumab-aqvh)</t>
  </si>
  <si>
    <t>adalimumab-aqvh</t>
  </si>
  <si>
    <t>Rezvoglar(insulin glargine-aglr)</t>
  </si>
  <si>
    <t>insulin glargine-aglr</t>
  </si>
  <si>
    <t>September 2021</t>
  </si>
  <si>
    <t>Byooviz(ranibizumab-nuna)</t>
  </si>
  <si>
    <t>ranibizumab-nuna</t>
  </si>
  <si>
    <t>July 2021</t>
  </si>
  <si>
    <t>Semglee(Insulin glargine-yfgn)</t>
  </si>
  <si>
    <t>Insulin glargine-yfgn</t>
  </si>
  <si>
    <t>Lantus (Insulin glargine)</t>
  </si>
  <si>
    <t>December 2020</t>
  </si>
  <si>
    <t>Riabni(rituximab-arrx)</t>
  </si>
  <si>
    <t>rituximab-arrx</t>
  </si>
  <si>
    <t>July 2020</t>
  </si>
  <si>
    <t>Hulio(adalimumab-fkjp)</t>
  </si>
  <si>
    <t>adalimumab-fkjp</t>
  </si>
  <si>
    <t>June 2020</t>
  </si>
  <si>
    <t>Nyvepria(pegfilgrastim-apgf)</t>
  </si>
  <si>
    <t>pegfilgrastim-apgf</t>
  </si>
  <si>
    <t>Data pulled: 08/11/2026</t>
  </si>
  <si>
    <t>A) Annual Novel Approval Summary (CDER)</t>
  </si>
  <si>
    <t>Chemical (NDA)</t>
  </si>
  <si>
    <t>Biologics (BLA)</t>
  </si>
  <si>
    <t>B) Monthly Novel Approval Summary</t>
  </si>
  <si>
    <t>BLA (CDER)</t>
  </si>
  <si>
    <t>BLA (CBER)*</t>
  </si>
  <si>
    <t>Approvals/Day</t>
  </si>
  <si>
    <t>Seq Growth %</t>
  </si>
  <si>
    <t>CDER #</t>
  </si>
  <si>
    <t>YoY CDER %</t>
  </si>
  <si>
    <t>N/A</t>
  </si>
  <si>
    <t>*CBER data current as of: N/A</t>
  </si>
  <si>
    <t>Note: November 2025 blood grouping reagent approvals (8) are counted as 1 (manual adjustment).</t>
  </si>
  <si>
    <t>C) Annual Biosimilar Approval Summary</t>
  </si>
  <si>
    <t>Approvals</t>
  </si>
  <si>
    <t>D) Monthly Biosimilar Approval Summary</t>
  </si>
  <si>
    <t>YoY Growth %</t>
  </si>
  <si>
    <t>E) Overall Novel Approval Summary (CDER)</t>
  </si>
  <si>
    <t>Metric</t>
  </si>
  <si>
    <t>2025 vs 2024 %</t>
  </si>
  <si>
    <t>Latest Mo Seq Growth (Jul 2026 vs Jun 2026)</t>
  </si>
  <si>
    <t>Prev Mo Seq Growth (Jun 2026 vs May 2026)</t>
  </si>
  <si>
    <t>F) Overall Biosimilar Approval Summary</t>
  </si>
  <si>
    <t>Record Date</t>
  </si>
  <si>
    <t>Agency</t>
  </si>
  <si>
    <t>Parent Agency</t>
  </si>
  <si>
    <t>Monthly Net Outlays ($)</t>
  </si>
  <si>
    <t>FYTD Net Outlays ($)</t>
  </si>
  <si>
    <t>Prior FYTD Outlays ($)</t>
  </si>
  <si>
    <t>Fiscal Year</t>
  </si>
  <si>
    <t>Calendar Year</t>
  </si>
  <si>
    <t>Calendar Month</t>
  </si>
  <si>
    <t>National Institutes of Health</t>
  </si>
  <si>
    <t>Department of Health and Human Services:</t>
  </si>
  <si>
    <t>NIH Monthly Treasury Outlays — Annual Summary</t>
  </si>
  <si>
    <t>NIH Outlays ($)</t>
  </si>
  <si>
    <t>Months Reported</t>
  </si>
  <si>
    <t>2019</t>
  </si>
  <si>
    <t>2026</t>
  </si>
  <si>
    <t>2026 Ann.</t>
  </si>
  <si>
    <t>Annualized</t>
  </si>
  <si>
    <t>NIH Outlays — Rolling Metrics</t>
  </si>
  <si>
    <t>Anchor: Jul 2026</t>
  </si>
  <si>
    <t>T12M Outlays ($)</t>
  </si>
  <si>
    <t>T12M Prior ($)</t>
  </si>
  <si>
    <t>T12M vs Prior %</t>
  </si>
  <si>
    <t>YoY % (per-day)</t>
  </si>
  <si>
    <t>MoM % (per-day)</t>
  </si>
  <si>
    <t>NIH Outlays — Monthly Detail</t>
  </si>
  <si>
    <t>Outlays/Day ($)</t>
  </si>
  <si>
    <t>Aug 24</t>
  </si>
  <si>
    <t>Sep 24</t>
  </si>
  <si>
    <t>Oct 24</t>
  </si>
  <si>
    <t>Nov 24</t>
  </si>
  <si>
    <t>Dec 24</t>
  </si>
  <si>
    <t>Jan 25</t>
  </si>
  <si>
    <t>Feb 25</t>
  </si>
  <si>
    <t>Mar 25</t>
  </si>
  <si>
    <t>Apr 25</t>
  </si>
  <si>
    <t>May 25</t>
  </si>
  <si>
    <t>Jun 25</t>
  </si>
  <si>
    <t>Jul 25</t>
  </si>
  <si>
    <t>Aug 25</t>
  </si>
  <si>
    <t>Sep 25</t>
  </si>
  <si>
    <t>Oct 25</t>
  </si>
  <si>
    <t>Nov 25</t>
  </si>
  <si>
    <t>Dec 25</t>
  </si>
  <si>
    <t>Jan 26</t>
  </si>
  <si>
    <t>Feb 26</t>
  </si>
  <si>
    <t>Mar 26</t>
  </si>
  <si>
    <t>Apr 26</t>
  </si>
  <si>
    <t>May 26</t>
  </si>
  <si>
    <t>Jun 26</t>
  </si>
  <si>
    <t>Jul 26</t>
  </si>
  <si>
    <t>Life Science Tools Monthly Tracker</t>
  </si>
  <si>
    <t>Date Range: Jan 01, 2020  to  Jul 31, 2026   |   Generated: August 11, 2026</t>
  </si>
  <si>
    <t>Module Status</t>
  </si>
  <si>
    <t>Module</t>
  </si>
  <si>
    <t>Details</t>
  </si>
  <si>
    <t>Clinical Trials</t>
  </si>
  <si>
    <t>28,726 trials fetched</t>
  </si>
  <si>
    <t>OK</t>
  </si>
  <si>
    <t>FDA Novel Approvals</t>
  </si>
  <si>
    <t>422 novel approvals</t>
  </si>
  <si>
    <t>FDA Biosimilars</t>
  </si>
  <si>
    <t>63 biosimilar entries</t>
  </si>
  <si>
    <t>NIH Outlays</t>
  </si>
  <si>
    <t>90 NIH monthly records</t>
  </si>
  <si>
    <t>Report Contents</t>
  </si>
  <si>
    <t>CT Charts</t>
  </si>
  <si>
    <t>FDA Charts</t>
  </si>
  <si>
    <t>MTS Charts</t>
  </si>
  <si>
    <t>Summary Statistics</t>
  </si>
  <si>
    <t>Summary Statistics - Enrollment</t>
  </si>
  <si>
    <t>FDA Approval Summary</t>
  </si>
  <si>
    <t>MTS Summary Statistics</t>
  </si>
  <si>
    <t>Trial Database</t>
  </si>
  <si>
    <t>Novel Approval Database</t>
  </si>
  <si>
    <t>Biosimilar Approval Database</t>
  </si>
  <si>
    <t>MTS Database</t>
  </si>
</sst>
</file>

<file path=xl/styles.xml><?xml version="1.0" encoding="utf-8"?>
<styleSheet xmlns="http://schemas.openxmlformats.org/spreadsheetml/2006/main">
  <numFmts count="8">
    <numFmt numFmtId="164" formatCode="#,##0"/>
    <numFmt numFmtId="165" formatCode="[Green]0.0%;[Red]-0.0%;0.0%"/>
    <numFmt numFmtId="166" formatCode="mmm yyyy"/>
    <numFmt numFmtId="167" formatCode="0.00"/>
    <numFmt numFmtId="168" formatCode="0.0%"/>
    <numFmt numFmtId="169" formatCode="$#,##0"/>
    <numFmt numFmtId="170" formatCode="yyyy-mm-dd"/>
    <numFmt numFmtId="171" formatCode="mm/dd/yyyy"/>
  </numFmts>
  <fonts count="20">
    <font>
      <sz val="11"/>
      <color theme="1"/>
      <name val="Calibri"/>
      <family val="2"/>
      <scheme val="minor"/>
    </font>
    <font>
      <b/>
      <sz val="22"/>
      <color rgb="FFFFFFFF"/>
      <name val="Arial"/>
      <family val="2"/>
    </font>
    <font>
      <sz val="11"/>
      <color rgb="FFFFFFFF"/>
      <name val="Arial"/>
      <family val="2"/>
    </font>
    <font>
      <b/>
      <sz val="13"/>
      <color rgb="FF1F3864"/>
      <name val="Arial"/>
      <family val="2"/>
    </font>
    <font>
      <b/>
      <sz val="10"/>
      <color rgb="FFFFFFFF"/>
      <name val="Arial"/>
      <family val="2"/>
    </font>
    <font>
      <sz val="9"/>
      <color theme="1"/>
      <name val="Arial"/>
      <family val="2"/>
    </font>
    <font>
      <b/>
      <sz val="10"/>
      <color rgb="FF006100"/>
      <name val="Arial"/>
      <family val="2"/>
    </font>
    <font>
      <b/>
      <sz val="10"/>
      <color rgb="FF1F3864"/>
      <name val="Arial"/>
      <family val="2"/>
    </font>
    <font>
      <u/>
      <sz val="10"/>
      <color rgb="FF0563C1"/>
      <name val="Arial"/>
      <family val="2"/>
    </font>
    <font>
      <b/>
      <sz val="14"/>
      <color rgb="FFFFFFFF"/>
      <name val="Arial"/>
      <family val="2"/>
    </font>
    <font>
      <b/>
      <sz val="9"/>
      <color theme="1"/>
      <name val="Arial"/>
      <family val="2"/>
    </font>
    <font>
      <b/>
      <i/>
      <sz val="9"/>
      <color theme="1"/>
      <name val="Arial"/>
      <family val="2"/>
    </font>
    <font>
      <i/>
      <sz val="9"/>
      <color theme="1"/>
      <name val="Arial"/>
      <family val="2"/>
    </font>
    <font>
      <i/>
      <sz val="9"/>
      <color rgb="FF666666"/>
      <name val="Arial"/>
      <family val="2"/>
    </font>
    <font>
      <b/>
      <sz val="11"/>
      <color theme="1"/>
      <name val="Arial"/>
      <family val="2"/>
    </font>
    <font>
      <sz val="9"/>
      <color rgb="FF006100"/>
      <name val="Arial"/>
      <family val="2"/>
    </font>
    <font>
      <i/>
      <sz val="8"/>
      <color rgb="FF666666"/>
      <name val="Arial"/>
      <family val="2"/>
    </font>
    <font>
      <b/>
      <sz val="11"/>
      <color rgb="FF1F3864"/>
      <name val="Arial"/>
      <family val="2"/>
    </font>
    <font>
      <b/>
      <sz val="9"/>
      <color rgb="FFFFFFFF"/>
      <name val="Arial"/>
      <family val="2"/>
    </font>
    <font>
      <sz val="9"/>
      <color rgb="FFC00000"/>
      <name val="Arial"/>
      <family val="2"/>
    </font>
  </fonts>
  <fills count="7">
    <fill>
      <patternFill patternType="none"/>
    </fill>
    <fill>
      <patternFill patternType="gray125"/>
    </fill>
    <fill>
      <patternFill patternType="solid">
        <fgColor rgb="FF1F3864"/>
        <bgColor indexed="64"/>
      </patternFill>
    </fill>
    <fill>
      <patternFill patternType="solid">
        <fgColor rgb="FFE2EFDA"/>
        <bgColor indexed="64"/>
      </patternFill>
    </fill>
    <fill>
      <patternFill patternType="solid">
        <fgColor rgb="FFFFC000"/>
        <bgColor indexed="64"/>
      </patternFill>
    </fill>
    <fill>
      <patternFill patternType="solid">
        <fgColor rgb="FFF2F2F2"/>
        <bgColor indexed="64"/>
      </patternFill>
    </fill>
    <fill>
      <patternFill patternType="solid">
        <fgColor rgb="FFD9E2F3"/>
        <bgColor indexed="64"/>
      </patternFill>
    </fill>
  </fills>
  <borders count="4">
    <border>
      <left/>
      <right/>
      <top/>
      <bottom/>
      <diagonal/>
    </border>
    <border>
      <left/>
      <right/>
      <top/>
      <bottom style="medium">
        <color rgb="FF1F3864"/>
      </bottom>
      <diagonal/>
    </border>
    <border>
      <left style="thin">
        <color auto="1"/>
      </left>
      <right style="thin">
        <color auto="1"/>
      </right>
      <top style="thin">
        <color auto="1"/>
      </top>
      <bottom style="thin">
        <color auto="1"/>
      </bottom>
      <diagonal/>
    </border>
    <border>
      <left/>
      <right/>
      <top/>
      <bottom style="medium">
        <color auto="1"/>
      </bottom>
      <diagonal/>
    </border>
  </borders>
  <cellStyleXfs count="1">
    <xf numFmtId="0" fontId="0" fillId="0" borderId="0"/>
  </cellStyleXfs>
  <cellXfs count="45">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2" borderId="0" xfId="0" applyFill="1"/>
    <xf numFmtId="0" fontId="3" fillId="0" borderId="1" xfId="0" applyFont="1" applyBorder="1"/>
    <xf numFmtId="0" fontId="4" fillId="2" borderId="2" xfId="0" applyFont="1" applyFill="1" applyBorder="1" applyAlignment="1">
      <alignment horizontal="center"/>
    </xf>
    <xf numFmtId="0" fontId="5" fillId="0" borderId="2" xfId="0" applyFont="1" applyBorder="1" applyAlignment="1">
      <alignment vertical="center"/>
    </xf>
    <xf numFmtId="0" fontId="6" fillId="3" borderId="2" xfId="0" applyFont="1" applyFill="1" applyBorder="1" applyAlignment="1">
      <alignment horizontal="center"/>
    </xf>
    <xf numFmtId="0" fontId="7" fillId="0" borderId="0" xfId="0" applyFont="1"/>
    <xf numFmtId="0" fontId="8" fillId="0" borderId="0" xfId="0" applyFont="1"/>
    <xf numFmtId="0" fontId="9" fillId="2" borderId="0" xfId="0" applyFont="1" applyFill="1" applyAlignment="1">
      <alignment horizontal="center" vertical="center"/>
    </xf>
    <xf numFmtId="0" fontId="4" fillId="2" borderId="2" xfId="0" applyFont="1" applyFill="1" applyBorder="1" applyAlignment="1">
      <alignment vertical="center" wrapText="1"/>
    </xf>
    <xf numFmtId="164" fontId="5" fillId="0" borderId="2" xfId="0" applyNumberFormat="1" applyFont="1" applyBorder="1" applyAlignment="1">
      <alignment horizontal="center"/>
    </xf>
    <xf numFmtId="164" fontId="10" fillId="0" borderId="2" xfId="0" applyNumberFormat="1" applyFont="1" applyBorder="1" applyAlignment="1">
      <alignment horizontal="center"/>
    </xf>
    <xf numFmtId="0" fontId="11" fillId="4" borderId="2" xfId="0" applyFont="1" applyFill="1" applyBorder="1"/>
    <xf numFmtId="164" fontId="12" fillId="4" borderId="2" xfId="0" applyNumberFormat="1" applyFont="1" applyFill="1" applyBorder="1" applyAlignment="1">
      <alignment horizontal="center"/>
    </xf>
    <xf numFmtId="164" fontId="11" fillId="4" borderId="2" xfId="0" applyNumberFormat="1" applyFont="1" applyFill="1" applyBorder="1" applyAlignment="1">
      <alignment horizontal="center"/>
    </xf>
    <xf numFmtId="0" fontId="4" fillId="2" borderId="2" xfId="0" applyFont="1" applyFill="1" applyBorder="1"/>
    <xf numFmtId="0" fontId="10" fillId="0" borderId="2" xfId="0" applyFont="1" applyBorder="1"/>
    <xf numFmtId="165" fontId="5" fillId="0" borderId="2" xfId="0" applyNumberFormat="1" applyFont="1" applyBorder="1" applyAlignment="1">
      <alignment horizontal="center"/>
    </xf>
    <xf numFmtId="166" fontId="5" fillId="0" borderId="2" xfId="0" applyNumberFormat="1" applyFont="1" applyBorder="1"/>
    <xf numFmtId="167" fontId="5" fillId="0" borderId="2" xfId="0" applyNumberFormat="1" applyFont="1" applyBorder="1" applyAlignment="1">
      <alignment horizontal="center"/>
    </xf>
    <xf numFmtId="0" fontId="13" fillId="0" borderId="0" xfId="0" applyFont="1"/>
    <xf numFmtId="0" fontId="14" fillId="0" borderId="1" xfId="0" applyFont="1" applyBorder="1"/>
    <xf numFmtId="0" fontId="4" fillId="2" borderId="2" xfId="0" applyFont="1" applyFill="1" applyBorder="1" applyAlignment="1">
      <alignment horizontal="center" vertical="center" wrapText="1"/>
    </xf>
    <xf numFmtId="166" fontId="5" fillId="0" borderId="2" xfId="0" applyNumberFormat="1" applyFont="1" applyBorder="1" applyAlignment="1">
      <alignment horizontal="center"/>
    </xf>
    <xf numFmtId="168" fontId="15" fillId="0" borderId="2" xfId="0" applyNumberFormat="1" applyFont="1" applyBorder="1" applyAlignment="1">
      <alignment horizontal="center"/>
    </xf>
    <xf numFmtId="0" fontId="16" fillId="0" borderId="0" xfId="0" applyFont="1"/>
    <xf numFmtId="0" fontId="17" fillId="0" borderId="3" xfId="0" applyFont="1" applyBorder="1"/>
    <xf numFmtId="0" fontId="18" fillId="2" borderId="2" xfId="0" applyFont="1" applyFill="1" applyBorder="1" applyAlignment="1">
      <alignment vertical="center" wrapText="1"/>
    </xf>
    <xf numFmtId="0" fontId="5" fillId="0" borderId="2" xfId="0" applyFont="1" applyBorder="1"/>
    <xf numFmtId="169" fontId="5" fillId="0" borderId="2" xfId="0" applyNumberFormat="1" applyFont="1" applyBorder="1"/>
    <xf numFmtId="164" fontId="5" fillId="0" borderId="2" xfId="0" applyNumberFormat="1" applyFont="1" applyBorder="1"/>
    <xf numFmtId="0" fontId="5" fillId="5" borderId="2" xfId="0" applyFont="1" applyFill="1" applyBorder="1"/>
    <xf numFmtId="169" fontId="5" fillId="5" borderId="2" xfId="0" applyNumberFormat="1" applyFont="1" applyFill="1" applyBorder="1"/>
    <xf numFmtId="164" fontId="5" fillId="5" borderId="2" xfId="0" applyNumberFormat="1" applyFont="1" applyFill="1" applyBorder="1"/>
    <xf numFmtId="169" fontId="11" fillId="4" borderId="2" xfId="0" applyNumberFormat="1" applyFont="1" applyFill="1" applyBorder="1"/>
    <xf numFmtId="168" fontId="19" fillId="0" borderId="2" xfId="0" applyNumberFormat="1" applyFont="1" applyBorder="1"/>
    <xf numFmtId="0" fontId="10" fillId="6" borderId="2" xfId="0" applyFont="1" applyFill="1" applyBorder="1"/>
    <xf numFmtId="169" fontId="10" fillId="6" borderId="2" xfId="0" applyNumberFormat="1" applyFont="1" applyFill="1" applyBorder="1"/>
    <xf numFmtId="164" fontId="10" fillId="6" borderId="2" xfId="0" applyNumberFormat="1" applyFont="1" applyFill="1" applyBorder="1"/>
    <xf numFmtId="170" fontId="5" fillId="0" borderId="2" xfId="0" applyNumberFormat="1" applyFont="1" applyBorder="1"/>
    <xf numFmtId="170" fontId="5" fillId="5" borderId="2" xfId="0" applyNumberFormat="1" applyFont="1" applyFill="1" applyBorder="1"/>
    <xf numFmtId="171" fontId="5" fillId="0" borderId="2" xfId="0" applyNumberFormat="1" applyFont="1" applyBorder="1"/>
    <xf numFmtId="171" fontId="5" fillId="5" borderId="2" xfId="0" applyNumberFormat="1"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latin typeface="Arial"/>
              </a:defRPr>
            </a:pPr>
            <a:r>
              <a:rPr lang="en-US" sz="1200" b="1" baseline="0">
                <a:latin typeface="Arial"/>
              </a:rPr>
              <a:t>Number of clinical trials by phase, to date: Yearly</a:t>
            </a:r>
          </a:p>
        </c:rich>
      </c:tx>
      <c:layout/>
    </c:title>
    <c:plotArea>
      <c:layout/>
      <c:barChart>
        <c:barDir val="col"/>
        <c:grouping val="stacked"/>
        <c:ser>
          <c:idx val="0"/>
          <c:order val="0"/>
          <c:tx>
            <c:v>Early Phase 1</c:v>
          </c:tx>
          <c:spPr>
            <a:solidFill>
              <a:srgbClr val="D9D9D9"/>
            </a:solidFill>
            <a:ln>
              <a:solidFill>
                <a:srgbClr val="D9D9D9"/>
              </a:solidFill>
            </a:ln>
          </c:spPr>
          <c:dPt>
            <c:idx val="0"/>
            <c:spPr>
              <a:solidFill>
                <a:srgbClr val="D9D9D9"/>
              </a:solidFill>
              <a:ln>
                <a:solidFill>
                  <a:srgbClr val="D9D9D9"/>
                </a:solidFill>
              </a:ln>
            </c:spPr>
          </c:dPt>
          <c:dPt>
            <c:idx val="1"/>
            <c:spPr>
              <a:solidFill>
                <a:srgbClr val="D9D9D9"/>
              </a:solidFill>
              <a:ln>
                <a:solidFill>
                  <a:srgbClr val="D9D9D9"/>
                </a:solidFill>
              </a:ln>
            </c:spPr>
          </c:dPt>
          <c:dPt>
            <c:idx val="2"/>
            <c:spPr>
              <a:solidFill>
                <a:srgbClr val="D9D9D9"/>
              </a:solidFill>
              <a:ln>
                <a:solidFill>
                  <a:srgbClr val="D9D9D9"/>
                </a:solidFill>
              </a:ln>
            </c:spPr>
          </c:dPt>
          <c:dPt>
            <c:idx val="3"/>
            <c:spPr>
              <a:solidFill>
                <a:srgbClr val="D9D9D9"/>
              </a:solidFill>
              <a:ln>
                <a:solidFill>
                  <a:srgbClr val="D9D9D9"/>
                </a:solidFill>
              </a:ln>
            </c:spPr>
          </c:dPt>
          <c:dPt>
            <c:idx val="4"/>
            <c:spPr>
              <a:solidFill>
                <a:srgbClr val="D9D9D9"/>
              </a:solidFill>
              <a:ln>
                <a:solidFill>
                  <a:srgbClr val="D9D9D9"/>
                </a:solidFill>
              </a:ln>
            </c:spPr>
          </c:dPt>
          <c:dPt>
            <c:idx val="5"/>
            <c:spPr>
              <a:solidFill>
                <a:srgbClr val="D9D9D9"/>
              </a:solidFill>
              <a:ln>
                <a:solidFill>
                  <a:srgbClr val="D9D9D9"/>
                </a:solidFill>
              </a:ln>
            </c:spPr>
          </c:dPt>
          <c:dPt>
            <c:idx val="6"/>
            <c:spPr>
              <a:solidFill>
                <a:srgbClr val="BDD7EE"/>
              </a:solidFill>
              <a:ln>
                <a:solidFill>
                  <a:srgbClr val="BDD7EE"/>
                </a:solidFill>
              </a:ln>
            </c:spPr>
          </c:dPt>
          <c:dPt>
            <c:idx val="7"/>
            <c:spPr>
              <a:solidFill>
                <a:srgbClr val="BDD7EE"/>
              </a:solidFill>
              <a:ln>
                <a:solidFill>
                  <a:srgbClr val="BDD7EE"/>
                </a:solidFill>
              </a:ln>
            </c:spPr>
          </c:dPt>
          <c:dLbls>
            <c:numFmt formatCode="#,##0" sourceLinked="0"/>
            <c:txPr>
              <a:bodyPr/>
              <a:lstStyle/>
              <a:p>
                <a:pPr>
                  <a:defRPr sz="700" baseline="0">
                    <a:solidFill>
                      <a:srgbClr val="1A1A1A"/>
                    </a:solidFill>
                    <a:latin typeface="Arial"/>
                  </a:defRPr>
                </a:pPr>
                <a:endParaRPr lang="en-US"/>
              </a:p>
            </c:txPr>
            <c:dLblPos val="ctr"/>
            <c:showVal val="1"/>
          </c:dLbls>
          <c:cat>
            <c:strRef>
              <c:f>'Summary Statistics'!$A$2:$A$9</c:f>
              <c:strCache>
                <c:ptCount val="8"/>
                <c:pt idx="0">
                  <c:v>2020</c:v>
                </c:pt>
                <c:pt idx="1">
                  <c:v>2021</c:v>
                </c:pt>
                <c:pt idx="2">
                  <c:v>2022</c:v>
                </c:pt>
                <c:pt idx="3">
                  <c:v>2023</c:v>
                </c:pt>
                <c:pt idx="4">
                  <c:v>2024</c:v>
                </c:pt>
                <c:pt idx="5">
                  <c:v>2025</c:v>
                </c:pt>
                <c:pt idx="6">
                  <c:v>2026 through July</c:v>
                </c:pt>
                <c:pt idx="7">
                  <c:v>2026 Annualized</c:v>
                </c:pt>
              </c:strCache>
            </c:strRef>
          </c:cat>
          <c:val>
            <c:numRef>
              <c:f>'Summary Statistics'!$B$2:$B$9</c:f>
              <c:numCache>
                <c:formatCode>General</c:formatCode>
                <c:ptCount val="8"/>
                <c:pt idx="0">
                  <c:v>0</c:v>
                </c:pt>
                <c:pt idx="1">
                  <c:v>0</c:v>
                </c:pt>
                <c:pt idx="2">
                  <c:v>0</c:v>
                </c:pt>
                <c:pt idx="3">
                  <c:v>0</c:v>
                </c:pt>
                <c:pt idx="4">
                  <c:v>0</c:v>
                </c:pt>
                <c:pt idx="5">
                  <c:v>0</c:v>
                </c:pt>
                <c:pt idx="6">
                  <c:v>0</c:v>
                </c:pt>
                <c:pt idx="7">
                  <c:v>0</c:v>
                </c:pt>
              </c:numCache>
            </c:numRef>
          </c:val>
        </c:ser>
        <c:ser>
          <c:idx val="1"/>
          <c:order val="1"/>
          <c:tx>
            <c:v>Phase 1</c:v>
          </c:tx>
          <c:spPr>
            <a:solidFill>
              <a:srgbClr val="B9B9B9"/>
            </a:solidFill>
            <a:ln>
              <a:solidFill>
                <a:srgbClr val="B9B9B9"/>
              </a:solidFill>
            </a:ln>
          </c:spPr>
          <c:dPt>
            <c:idx val="0"/>
            <c:spPr>
              <a:solidFill>
                <a:srgbClr val="B9B9B9"/>
              </a:solidFill>
              <a:ln>
                <a:solidFill>
                  <a:srgbClr val="B9B9B9"/>
                </a:solidFill>
              </a:ln>
            </c:spPr>
          </c:dPt>
          <c:dPt>
            <c:idx val="1"/>
            <c:spPr>
              <a:solidFill>
                <a:srgbClr val="B9B9B9"/>
              </a:solidFill>
              <a:ln>
                <a:solidFill>
                  <a:srgbClr val="B9B9B9"/>
                </a:solidFill>
              </a:ln>
            </c:spPr>
          </c:dPt>
          <c:dPt>
            <c:idx val="2"/>
            <c:spPr>
              <a:solidFill>
                <a:srgbClr val="B9B9B9"/>
              </a:solidFill>
              <a:ln>
                <a:solidFill>
                  <a:srgbClr val="B9B9B9"/>
                </a:solidFill>
              </a:ln>
            </c:spPr>
          </c:dPt>
          <c:dPt>
            <c:idx val="3"/>
            <c:spPr>
              <a:solidFill>
                <a:srgbClr val="B9B9B9"/>
              </a:solidFill>
              <a:ln>
                <a:solidFill>
                  <a:srgbClr val="B9B9B9"/>
                </a:solidFill>
              </a:ln>
            </c:spPr>
          </c:dPt>
          <c:dPt>
            <c:idx val="4"/>
            <c:spPr>
              <a:solidFill>
                <a:srgbClr val="B9B9B9"/>
              </a:solidFill>
              <a:ln>
                <a:solidFill>
                  <a:srgbClr val="B9B9B9"/>
                </a:solidFill>
              </a:ln>
            </c:spPr>
          </c:dPt>
          <c:dPt>
            <c:idx val="5"/>
            <c:spPr>
              <a:solidFill>
                <a:srgbClr val="B9B9B9"/>
              </a:solidFill>
              <a:ln>
                <a:solidFill>
                  <a:srgbClr val="B9B9B9"/>
                </a:solidFill>
              </a:ln>
            </c:spPr>
          </c:dPt>
          <c:dPt>
            <c:idx val="6"/>
            <c:spPr>
              <a:solidFill>
                <a:srgbClr val="A3BCD7"/>
              </a:solidFill>
              <a:ln>
                <a:solidFill>
                  <a:srgbClr val="A3BCD7"/>
                </a:solidFill>
              </a:ln>
            </c:spPr>
          </c:dPt>
          <c:dPt>
            <c:idx val="7"/>
            <c:spPr>
              <a:solidFill>
                <a:srgbClr val="A3BCD7"/>
              </a:solidFill>
              <a:ln>
                <a:solidFill>
                  <a:srgbClr val="A3BCD7"/>
                </a:solidFill>
              </a:ln>
            </c:spPr>
          </c:dPt>
          <c:dLbls>
            <c:numFmt formatCode="#,##0" sourceLinked="0"/>
            <c:txPr>
              <a:bodyPr/>
              <a:lstStyle/>
              <a:p>
                <a:pPr>
                  <a:defRPr sz="700" baseline="0">
                    <a:solidFill>
                      <a:srgbClr val="1A1A1A"/>
                    </a:solidFill>
                    <a:latin typeface="Arial"/>
                  </a:defRPr>
                </a:pPr>
                <a:endParaRPr lang="en-US"/>
              </a:p>
            </c:txPr>
            <c:dLblPos val="ctr"/>
            <c:showVal val="1"/>
          </c:dLbls>
          <c:cat>
            <c:strRef>
              <c:f>'Summary Statistics'!$A$2:$A$9</c:f>
              <c:strCache>
                <c:ptCount val="8"/>
                <c:pt idx="0">
                  <c:v>2020</c:v>
                </c:pt>
                <c:pt idx="1">
                  <c:v>2021</c:v>
                </c:pt>
                <c:pt idx="2">
                  <c:v>2022</c:v>
                </c:pt>
                <c:pt idx="3">
                  <c:v>2023</c:v>
                </c:pt>
                <c:pt idx="4">
                  <c:v>2024</c:v>
                </c:pt>
                <c:pt idx="5">
                  <c:v>2025</c:v>
                </c:pt>
                <c:pt idx="6">
                  <c:v>2026 through July</c:v>
                </c:pt>
                <c:pt idx="7">
                  <c:v>2026 Annualized</c:v>
                </c:pt>
              </c:strCache>
            </c:strRef>
          </c:cat>
          <c:val>
            <c:numRef>
              <c:f>'Summary Statistics'!$C$2:$C$9</c:f>
              <c:numCache>
                <c:formatCode>General</c:formatCode>
                <c:ptCount val="8"/>
                <c:pt idx="0">
                  <c:v>0</c:v>
                </c:pt>
                <c:pt idx="1">
                  <c:v>0</c:v>
                </c:pt>
                <c:pt idx="2">
                  <c:v>0</c:v>
                </c:pt>
                <c:pt idx="3">
                  <c:v>0</c:v>
                </c:pt>
                <c:pt idx="4">
                  <c:v>0</c:v>
                </c:pt>
                <c:pt idx="5">
                  <c:v>0</c:v>
                </c:pt>
                <c:pt idx="6">
                  <c:v>0</c:v>
                </c:pt>
                <c:pt idx="7">
                  <c:v>0</c:v>
                </c:pt>
              </c:numCache>
            </c:numRef>
          </c:val>
        </c:ser>
        <c:ser>
          <c:idx val="2"/>
          <c:order val="2"/>
          <c:tx>
            <c:v>Phase 1/2</c:v>
          </c:tx>
          <c:spPr>
            <a:solidFill>
              <a:srgbClr val="999999"/>
            </a:solidFill>
            <a:ln>
              <a:solidFill>
                <a:srgbClr val="999999"/>
              </a:solidFill>
            </a:ln>
          </c:spPr>
          <c:dPt>
            <c:idx val="0"/>
            <c:spPr>
              <a:solidFill>
                <a:srgbClr val="999999"/>
              </a:solidFill>
              <a:ln>
                <a:solidFill>
                  <a:srgbClr val="999999"/>
                </a:solidFill>
              </a:ln>
            </c:spPr>
          </c:dPt>
          <c:dPt>
            <c:idx val="1"/>
            <c:spPr>
              <a:solidFill>
                <a:srgbClr val="999999"/>
              </a:solidFill>
              <a:ln>
                <a:solidFill>
                  <a:srgbClr val="999999"/>
                </a:solidFill>
              </a:ln>
            </c:spPr>
          </c:dPt>
          <c:dPt>
            <c:idx val="2"/>
            <c:spPr>
              <a:solidFill>
                <a:srgbClr val="999999"/>
              </a:solidFill>
              <a:ln>
                <a:solidFill>
                  <a:srgbClr val="999999"/>
                </a:solidFill>
              </a:ln>
            </c:spPr>
          </c:dPt>
          <c:dPt>
            <c:idx val="3"/>
            <c:spPr>
              <a:solidFill>
                <a:srgbClr val="999999"/>
              </a:solidFill>
              <a:ln>
                <a:solidFill>
                  <a:srgbClr val="999999"/>
                </a:solidFill>
              </a:ln>
            </c:spPr>
          </c:dPt>
          <c:dPt>
            <c:idx val="4"/>
            <c:spPr>
              <a:solidFill>
                <a:srgbClr val="999999"/>
              </a:solidFill>
              <a:ln>
                <a:solidFill>
                  <a:srgbClr val="999999"/>
                </a:solidFill>
              </a:ln>
            </c:spPr>
          </c:dPt>
          <c:dPt>
            <c:idx val="5"/>
            <c:spPr>
              <a:solidFill>
                <a:srgbClr val="999999"/>
              </a:solidFill>
              <a:ln>
                <a:solidFill>
                  <a:srgbClr val="999999"/>
                </a:solidFill>
              </a:ln>
            </c:spPr>
          </c:dPt>
          <c:dPt>
            <c:idx val="6"/>
            <c:spPr>
              <a:solidFill>
                <a:srgbClr val="89A2C0"/>
              </a:solidFill>
              <a:ln>
                <a:solidFill>
                  <a:srgbClr val="89A2C0"/>
                </a:solidFill>
              </a:ln>
            </c:spPr>
          </c:dPt>
          <c:dPt>
            <c:idx val="7"/>
            <c:spPr>
              <a:solidFill>
                <a:srgbClr val="89A2C0"/>
              </a:solidFill>
              <a:ln>
                <a:solidFill>
                  <a:srgbClr val="89A2C0"/>
                </a:solidFill>
              </a:ln>
            </c:spPr>
          </c:dPt>
          <c:dLbls>
            <c:numFmt formatCode="#,##0" sourceLinked="0"/>
            <c:txPr>
              <a:bodyPr/>
              <a:lstStyle/>
              <a:p>
                <a:pPr>
                  <a:defRPr sz="700" baseline="0">
                    <a:solidFill>
                      <a:srgbClr val="1A1A1A"/>
                    </a:solidFill>
                    <a:latin typeface="Arial"/>
                  </a:defRPr>
                </a:pPr>
                <a:endParaRPr lang="en-US"/>
              </a:p>
            </c:txPr>
            <c:dLblPos val="ctr"/>
            <c:showVal val="1"/>
          </c:dLbls>
          <c:cat>
            <c:strRef>
              <c:f>'Summary Statistics'!$A$2:$A$9</c:f>
              <c:strCache>
                <c:ptCount val="8"/>
                <c:pt idx="0">
                  <c:v>2020</c:v>
                </c:pt>
                <c:pt idx="1">
                  <c:v>2021</c:v>
                </c:pt>
                <c:pt idx="2">
                  <c:v>2022</c:v>
                </c:pt>
                <c:pt idx="3">
                  <c:v>2023</c:v>
                </c:pt>
                <c:pt idx="4">
                  <c:v>2024</c:v>
                </c:pt>
                <c:pt idx="5">
                  <c:v>2025</c:v>
                </c:pt>
                <c:pt idx="6">
                  <c:v>2026 through July</c:v>
                </c:pt>
                <c:pt idx="7">
                  <c:v>2026 Annualized</c:v>
                </c:pt>
              </c:strCache>
            </c:strRef>
          </c:cat>
          <c:val>
            <c:numRef>
              <c:f>'Summary Statistics'!$D$2:$D$9</c:f>
              <c:numCache>
                <c:formatCode>General</c:formatCode>
                <c:ptCount val="8"/>
                <c:pt idx="0">
                  <c:v>0</c:v>
                </c:pt>
                <c:pt idx="1">
                  <c:v>0</c:v>
                </c:pt>
                <c:pt idx="2">
                  <c:v>0</c:v>
                </c:pt>
                <c:pt idx="3">
                  <c:v>0</c:v>
                </c:pt>
                <c:pt idx="4">
                  <c:v>0</c:v>
                </c:pt>
                <c:pt idx="5">
                  <c:v>0</c:v>
                </c:pt>
                <c:pt idx="6">
                  <c:v>0</c:v>
                </c:pt>
                <c:pt idx="7">
                  <c:v>0</c:v>
                </c:pt>
              </c:numCache>
            </c:numRef>
          </c:val>
        </c:ser>
        <c:ser>
          <c:idx val="3"/>
          <c:order val="3"/>
          <c:tx>
            <c:v>Phase 2</c:v>
          </c:tx>
          <c:spPr>
            <a:solidFill>
              <a:srgbClr val="7A7A7A"/>
            </a:solidFill>
            <a:ln>
              <a:solidFill>
                <a:srgbClr val="7A7A7A"/>
              </a:solidFill>
            </a:ln>
          </c:spPr>
          <c:dPt>
            <c:idx val="0"/>
            <c:spPr>
              <a:solidFill>
                <a:srgbClr val="7A7A7A"/>
              </a:solidFill>
              <a:ln>
                <a:solidFill>
                  <a:srgbClr val="7A7A7A"/>
                </a:solidFill>
              </a:ln>
            </c:spPr>
          </c:dPt>
          <c:dPt>
            <c:idx val="1"/>
            <c:spPr>
              <a:solidFill>
                <a:srgbClr val="7A7A7A"/>
              </a:solidFill>
              <a:ln>
                <a:solidFill>
                  <a:srgbClr val="7A7A7A"/>
                </a:solidFill>
              </a:ln>
            </c:spPr>
          </c:dPt>
          <c:dPt>
            <c:idx val="2"/>
            <c:spPr>
              <a:solidFill>
                <a:srgbClr val="7A7A7A"/>
              </a:solidFill>
              <a:ln>
                <a:solidFill>
                  <a:srgbClr val="7A7A7A"/>
                </a:solidFill>
              </a:ln>
            </c:spPr>
          </c:dPt>
          <c:dPt>
            <c:idx val="3"/>
            <c:spPr>
              <a:solidFill>
                <a:srgbClr val="7A7A7A"/>
              </a:solidFill>
              <a:ln>
                <a:solidFill>
                  <a:srgbClr val="7A7A7A"/>
                </a:solidFill>
              </a:ln>
            </c:spPr>
          </c:dPt>
          <c:dPt>
            <c:idx val="4"/>
            <c:spPr>
              <a:solidFill>
                <a:srgbClr val="7A7A7A"/>
              </a:solidFill>
              <a:ln>
                <a:solidFill>
                  <a:srgbClr val="7A7A7A"/>
                </a:solidFill>
              </a:ln>
            </c:spPr>
          </c:dPt>
          <c:dPt>
            <c:idx val="5"/>
            <c:spPr>
              <a:solidFill>
                <a:srgbClr val="7A7A7A"/>
              </a:solidFill>
              <a:ln>
                <a:solidFill>
                  <a:srgbClr val="7A7A7A"/>
                </a:solidFill>
              </a:ln>
            </c:spPr>
          </c:dPt>
          <c:dPt>
            <c:idx val="6"/>
            <c:spPr>
              <a:solidFill>
                <a:srgbClr val="6E87A9"/>
              </a:solidFill>
              <a:ln>
                <a:solidFill>
                  <a:srgbClr val="6E87A9"/>
                </a:solidFill>
              </a:ln>
            </c:spPr>
          </c:dPt>
          <c:dPt>
            <c:idx val="7"/>
            <c:spPr>
              <a:solidFill>
                <a:srgbClr val="6E87A9"/>
              </a:solidFill>
              <a:ln>
                <a:solidFill>
                  <a:srgbClr val="6E87A9"/>
                </a:solidFill>
              </a:ln>
            </c:spPr>
          </c:dPt>
          <c:dLbls>
            <c:numFmt formatCode="#,##0" sourceLinked="0"/>
            <c:txPr>
              <a:bodyPr/>
              <a:lstStyle/>
              <a:p>
                <a:pPr>
                  <a:defRPr sz="700" baseline="0">
                    <a:solidFill>
                      <a:srgbClr val="FFFFFF"/>
                    </a:solidFill>
                    <a:latin typeface="Arial"/>
                  </a:defRPr>
                </a:pPr>
                <a:endParaRPr lang="en-US"/>
              </a:p>
            </c:txPr>
            <c:dLblPos val="ctr"/>
            <c:showVal val="1"/>
          </c:dLbls>
          <c:cat>
            <c:strRef>
              <c:f>'Summary Statistics'!$A$2:$A$9</c:f>
              <c:strCache>
                <c:ptCount val="8"/>
                <c:pt idx="0">
                  <c:v>2020</c:v>
                </c:pt>
                <c:pt idx="1">
                  <c:v>2021</c:v>
                </c:pt>
                <c:pt idx="2">
                  <c:v>2022</c:v>
                </c:pt>
                <c:pt idx="3">
                  <c:v>2023</c:v>
                </c:pt>
                <c:pt idx="4">
                  <c:v>2024</c:v>
                </c:pt>
                <c:pt idx="5">
                  <c:v>2025</c:v>
                </c:pt>
                <c:pt idx="6">
                  <c:v>2026 through July</c:v>
                </c:pt>
                <c:pt idx="7">
                  <c:v>2026 Annualized</c:v>
                </c:pt>
              </c:strCache>
            </c:strRef>
          </c:cat>
          <c:val>
            <c:numRef>
              <c:f>'Summary Statistics'!$E$2:$E$9</c:f>
              <c:numCache>
                <c:formatCode>General</c:formatCode>
                <c:ptCount val="8"/>
                <c:pt idx="0">
                  <c:v>0</c:v>
                </c:pt>
                <c:pt idx="1">
                  <c:v>0</c:v>
                </c:pt>
                <c:pt idx="2">
                  <c:v>0</c:v>
                </c:pt>
                <c:pt idx="3">
                  <c:v>0</c:v>
                </c:pt>
                <c:pt idx="4">
                  <c:v>0</c:v>
                </c:pt>
                <c:pt idx="5">
                  <c:v>0</c:v>
                </c:pt>
                <c:pt idx="6">
                  <c:v>0</c:v>
                </c:pt>
                <c:pt idx="7">
                  <c:v>0</c:v>
                </c:pt>
              </c:numCache>
            </c:numRef>
          </c:val>
        </c:ser>
        <c:ser>
          <c:idx val="4"/>
          <c:order val="4"/>
          <c:tx>
            <c:v>Phase 2/3</c:v>
          </c:tx>
          <c:spPr>
            <a:solidFill>
              <a:srgbClr val="5A5A5A"/>
            </a:solidFill>
            <a:ln>
              <a:solidFill>
                <a:srgbClr val="5A5A5A"/>
              </a:solidFill>
            </a:ln>
          </c:spPr>
          <c:dPt>
            <c:idx val="0"/>
            <c:spPr>
              <a:solidFill>
                <a:srgbClr val="5A5A5A"/>
              </a:solidFill>
              <a:ln>
                <a:solidFill>
                  <a:srgbClr val="5A5A5A"/>
                </a:solidFill>
              </a:ln>
            </c:spPr>
          </c:dPt>
          <c:dPt>
            <c:idx val="1"/>
            <c:spPr>
              <a:solidFill>
                <a:srgbClr val="5A5A5A"/>
              </a:solidFill>
              <a:ln>
                <a:solidFill>
                  <a:srgbClr val="5A5A5A"/>
                </a:solidFill>
              </a:ln>
            </c:spPr>
          </c:dPt>
          <c:dPt>
            <c:idx val="2"/>
            <c:spPr>
              <a:solidFill>
                <a:srgbClr val="5A5A5A"/>
              </a:solidFill>
              <a:ln>
                <a:solidFill>
                  <a:srgbClr val="5A5A5A"/>
                </a:solidFill>
              </a:ln>
            </c:spPr>
          </c:dPt>
          <c:dPt>
            <c:idx val="3"/>
            <c:spPr>
              <a:solidFill>
                <a:srgbClr val="5A5A5A"/>
              </a:solidFill>
              <a:ln>
                <a:solidFill>
                  <a:srgbClr val="5A5A5A"/>
                </a:solidFill>
              </a:ln>
            </c:spPr>
          </c:dPt>
          <c:dPt>
            <c:idx val="4"/>
            <c:spPr>
              <a:solidFill>
                <a:srgbClr val="5A5A5A"/>
              </a:solidFill>
              <a:ln>
                <a:solidFill>
                  <a:srgbClr val="5A5A5A"/>
                </a:solidFill>
              </a:ln>
            </c:spPr>
          </c:dPt>
          <c:dPt>
            <c:idx val="5"/>
            <c:spPr>
              <a:solidFill>
                <a:srgbClr val="5A5A5A"/>
              </a:solidFill>
              <a:ln>
                <a:solidFill>
                  <a:srgbClr val="5A5A5A"/>
                </a:solidFill>
              </a:ln>
            </c:spPr>
          </c:dPt>
          <c:dPt>
            <c:idx val="6"/>
            <c:spPr>
              <a:solidFill>
                <a:srgbClr val="546D92"/>
              </a:solidFill>
              <a:ln>
                <a:solidFill>
                  <a:srgbClr val="546D92"/>
                </a:solidFill>
              </a:ln>
            </c:spPr>
          </c:dPt>
          <c:dPt>
            <c:idx val="7"/>
            <c:spPr>
              <a:solidFill>
                <a:srgbClr val="546D92"/>
              </a:solidFill>
              <a:ln>
                <a:solidFill>
                  <a:srgbClr val="546D92"/>
                </a:solidFill>
              </a:ln>
            </c:spPr>
          </c:dPt>
          <c:dLbls>
            <c:numFmt formatCode="#,##0" sourceLinked="0"/>
            <c:txPr>
              <a:bodyPr/>
              <a:lstStyle/>
              <a:p>
                <a:pPr>
                  <a:defRPr sz="700" baseline="0">
                    <a:solidFill>
                      <a:srgbClr val="FFFFFF"/>
                    </a:solidFill>
                    <a:latin typeface="Arial"/>
                  </a:defRPr>
                </a:pPr>
                <a:endParaRPr lang="en-US"/>
              </a:p>
            </c:txPr>
            <c:dLblPos val="ctr"/>
            <c:showVal val="1"/>
          </c:dLbls>
          <c:cat>
            <c:strRef>
              <c:f>'Summary Statistics'!$A$2:$A$9</c:f>
              <c:strCache>
                <c:ptCount val="8"/>
                <c:pt idx="0">
                  <c:v>2020</c:v>
                </c:pt>
                <c:pt idx="1">
                  <c:v>2021</c:v>
                </c:pt>
                <c:pt idx="2">
                  <c:v>2022</c:v>
                </c:pt>
                <c:pt idx="3">
                  <c:v>2023</c:v>
                </c:pt>
                <c:pt idx="4">
                  <c:v>2024</c:v>
                </c:pt>
                <c:pt idx="5">
                  <c:v>2025</c:v>
                </c:pt>
                <c:pt idx="6">
                  <c:v>2026 through July</c:v>
                </c:pt>
                <c:pt idx="7">
                  <c:v>2026 Annualized</c:v>
                </c:pt>
              </c:strCache>
            </c:strRef>
          </c:cat>
          <c:val>
            <c:numRef>
              <c:f>'Summary Statistics'!$F$2:$F$9</c:f>
              <c:numCache>
                <c:formatCode>General</c:formatCode>
                <c:ptCount val="8"/>
                <c:pt idx="0">
                  <c:v>0</c:v>
                </c:pt>
                <c:pt idx="1">
                  <c:v>0</c:v>
                </c:pt>
                <c:pt idx="2">
                  <c:v>0</c:v>
                </c:pt>
                <c:pt idx="3">
                  <c:v>0</c:v>
                </c:pt>
                <c:pt idx="4">
                  <c:v>0</c:v>
                </c:pt>
                <c:pt idx="5">
                  <c:v>0</c:v>
                </c:pt>
                <c:pt idx="6">
                  <c:v>0</c:v>
                </c:pt>
                <c:pt idx="7">
                  <c:v>0</c:v>
                </c:pt>
              </c:numCache>
            </c:numRef>
          </c:val>
        </c:ser>
        <c:ser>
          <c:idx val="5"/>
          <c:order val="5"/>
          <c:tx>
            <c:v>Phase 3</c:v>
          </c:tx>
          <c:spPr>
            <a:solidFill>
              <a:srgbClr val="3A3A3A"/>
            </a:solidFill>
            <a:ln>
              <a:solidFill>
                <a:srgbClr val="3A3A3A"/>
              </a:solidFill>
            </a:ln>
          </c:spPr>
          <c:dPt>
            <c:idx val="0"/>
            <c:spPr>
              <a:solidFill>
                <a:srgbClr val="3A3A3A"/>
              </a:solidFill>
              <a:ln>
                <a:solidFill>
                  <a:srgbClr val="3A3A3A"/>
                </a:solidFill>
              </a:ln>
            </c:spPr>
          </c:dPt>
          <c:dPt>
            <c:idx val="1"/>
            <c:spPr>
              <a:solidFill>
                <a:srgbClr val="3A3A3A"/>
              </a:solidFill>
              <a:ln>
                <a:solidFill>
                  <a:srgbClr val="3A3A3A"/>
                </a:solidFill>
              </a:ln>
            </c:spPr>
          </c:dPt>
          <c:dPt>
            <c:idx val="2"/>
            <c:spPr>
              <a:solidFill>
                <a:srgbClr val="3A3A3A"/>
              </a:solidFill>
              <a:ln>
                <a:solidFill>
                  <a:srgbClr val="3A3A3A"/>
                </a:solidFill>
              </a:ln>
            </c:spPr>
          </c:dPt>
          <c:dPt>
            <c:idx val="3"/>
            <c:spPr>
              <a:solidFill>
                <a:srgbClr val="3A3A3A"/>
              </a:solidFill>
              <a:ln>
                <a:solidFill>
                  <a:srgbClr val="3A3A3A"/>
                </a:solidFill>
              </a:ln>
            </c:spPr>
          </c:dPt>
          <c:dPt>
            <c:idx val="4"/>
            <c:spPr>
              <a:solidFill>
                <a:srgbClr val="3A3A3A"/>
              </a:solidFill>
              <a:ln>
                <a:solidFill>
                  <a:srgbClr val="3A3A3A"/>
                </a:solidFill>
              </a:ln>
            </c:spPr>
          </c:dPt>
          <c:dPt>
            <c:idx val="5"/>
            <c:spPr>
              <a:solidFill>
                <a:srgbClr val="3A3A3A"/>
              </a:solidFill>
              <a:ln>
                <a:solidFill>
                  <a:srgbClr val="3A3A3A"/>
                </a:solidFill>
              </a:ln>
            </c:spPr>
          </c:dPt>
          <c:dPt>
            <c:idx val="6"/>
            <c:spPr>
              <a:solidFill>
                <a:srgbClr val="3A527B"/>
              </a:solidFill>
              <a:ln>
                <a:solidFill>
                  <a:srgbClr val="3A527B"/>
                </a:solidFill>
              </a:ln>
            </c:spPr>
          </c:dPt>
          <c:dPt>
            <c:idx val="7"/>
            <c:spPr>
              <a:solidFill>
                <a:srgbClr val="3A527B"/>
              </a:solidFill>
              <a:ln>
                <a:solidFill>
                  <a:srgbClr val="3A527B"/>
                </a:solidFill>
              </a:ln>
            </c:spPr>
          </c:dPt>
          <c:dLbls>
            <c:numFmt formatCode="#,##0" sourceLinked="0"/>
            <c:txPr>
              <a:bodyPr/>
              <a:lstStyle/>
              <a:p>
                <a:pPr>
                  <a:defRPr sz="700" baseline="0">
                    <a:solidFill>
                      <a:srgbClr val="FFFFFF"/>
                    </a:solidFill>
                    <a:latin typeface="Arial"/>
                  </a:defRPr>
                </a:pPr>
                <a:endParaRPr lang="en-US"/>
              </a:p>
            </c:txPr>
            <c:dLblPos val="ctr"/>
            <c:showVal val="1"/>
          </c:dLbls>
          <c:cat>
            <c:strRef>
              <c:f>'Summary Statistics'!$A$2:$A$9</c:f>
              <c:strCache>
                <c:ptCount val="8"/>
                <c:pt idx="0">
                  <c:v>2020</c:v>
                </c:pt>
                <c:pt idx="1">
                  <c:v>2021</c:v>
                </c:pt>
                <c:pt idx="2">
                  <c:v>2022</c:v>
                </c:pt>
                <c:pt idx="3">
                  <c:v>2023</c:v>
                </c:pt>
                <c:pt idx="4">
                  <c:v>2024</c:v>
                </c:pt>
                <c:pt idx="5">
                  <c:v>2025</c:v>
                </c:pt>
                <c:pt idx="6">
                  <c:v>2026 through July</c:v>
                </c:pt>
                <c:pt idx="7">
                  <c:v>2026 Annualized</c:v>
                </c:pt>
              </c:strCache>
            </c:strRef>
          </c:cat>
          <c:val>
            <c:numRef>
              <c:f>'Summary Statistics'!$G$2:$G$9</c:f>
              <c:numCache>
                <c:formatCode>General</c:formatCode>
                <c:ptCount val="8"/>
                <c:pt idx="0">
                  <c:v>0</c:v>
                </c:pt>
                <c:pt idx="1">
                  <c:v>0</c:v>
                </c:pt>
                <c:pt idx="2">
                  <c:v>0</c:v>
                </c:pt>
                <c:pt idx="3">
                  <c:v>0</c:v>
                </c:pt>
                <c:pt idx="4">
                  <c:v>0</c:v>
                </c:pt>
                <c:pt idx="5">
                  <c:v>0</c:v>
                </c:pt>
                <c:pt idx="6">
                  <c:v>0</c:v>
                </c:pt>
                <c:pt idx="7">
                  <c:v>0</c:v>
                </c:pt>
              </c:numCache>
            </c:numRef>
          </c:val>
        </c:ser>
        <c:ser>
          <c:idx val="6"/>
          <c:order val="6"/>
          <c:tx>
            <c:v>Phase 4</c:v>
          </c:tx>
          <c:spPr>
            <a:solidFill>
              <a:srgbClr val="1A1A1A"/>
            </a:solidFill>
            <a:ln>
              <a:solidFill>
                <a:srgbClr val="1A1A1A"/>
              </a:solidFill>
            </a:ln>
          </c:spPr>
          <c:dPt>
            <c:idx val="0"/>
            <c:spPr>
              <a:solidFill>
                <a:srgbClr val="1A1A1A"/>
              </a:solidFill>
              <a:ln>
                <a:solidFill>
                  <a:srgbClr val="1A1A1A"/>
                </a:solidFill>
              </a:ln>
            </c:spPr>
          </c:dPt>
          <c:dPt>
            <c:idx val="1"/>
            <c:spPr>
              <a:solidFill>
                <a:srgbClr val="1A1A1A"/>
              </a:solidFill>
              <a:ln>
                <a:solidFill>
                  <a:srgbClr val="1A1A1A"/>
                </a:solidFill>
              </a:ln>
            </c:spPr>
          </c:dPt>
          <c:dPt>
            <c:idx val="2"/>
            <c:spPr>
              <a:solidFill>
                <a:srgbClr val="1A1A1A"/>
              </a:solidFill>
              <a:ln>
                <a:solidFill>
                  <a:srgbClr val="1A1A1A"/>
                </a:solidFill>
              </a:ln>
            </c:spPr>
          </c:dPt>
          <c:dPt>
            <c:idx val="3"/>
            <c:spPr>
              <a:solidFill>
                <a:srgbClr val="1A1A1A"/>
              </a:solidFill>
              <a:ln>
                <a:solidFill>
                  <a:srgbClr val="1A1A1A"/>
                </a:solidFill>
              </a:ln>
            </c:spPr>
          </c:dPt>
          <c:dPt>
            <c:idx val="4"/>
            <c:spPr>
              <a:solidFill>
                <a:srgbClr val="1A1A1A"/>
              </a:solidFill>
              <a:ln>
                <a:solidFill>
                  <a:srgbClr val="1A1A1A"/>
                </a:solidFill>
              </a:ln>
            </c:spPr>
          </c:dPt>
          <c:dPt>
            <c:idx val="5"/>
            <c:spPr>
              <a:solidFill>
                <a:srgbClr val="1A1A1A"/>
              </a:solidFill>
              <a:ln>
                <a:solidFill>
                  <a:srgbClr val="1A1A1A"/>
                </a:solidFill>
              </a:ln>
            </c:spPr>
          </c:dPt>
          <c:dPt>
            <c:idx val="6"/>
            <c:spPr>
              <a:solidFill>
                <a:srgbClr val="1F3864"/>
              </a:solidFill>
              <a:ln>
                <a:solidFill>
                  <a:srgbClr val="1F3864"/>
                </a:solidFill>
              </a:ln>
            </c:spPr>
          </c:dPt>
          <c:dPt>
            <c:idx val="7"/>
            <c:spPr>
              <a:solidFill>
                <a:srgbClr val="1F3864"/>
              </a:solidFill>
              <a:ln>
                <a:solidFill>
                  <a:srgbClr val="1F3864"/>
                </a:solidFill>
              </a:ln>
            </c:spPr>
          </c:dPt>
          <c:dLbls>
            <c:numFmt formatCode="#,##0" sourceLinked="0"/>
            <c:txPr>
              <a:bodyPr/>
              <a:lstStyle/>
              <a:p>
                <a:pPr>
                  <a:defRPr sz="700" baseline="0">
                    <a:solidFill>
                      <a:srgbClr val="FFFFFF"/>
                    </a:solidFill>
                    <a:latin typeface="Arial"/>
                  </a:defRPr>
                </a:pPr>
                <a:endParaRPr lang="en-US"/>
              </a:p>
            </c:txPr>
            <c:dLblPos val="ctr"/>
            <c:showVal val="1"/>
          </c:dLbls>
          <c:cat>
            <c:strRef>
              <c:f>'Summary Statistics'!$A$2:$A$9</c:f>
              <c:strCache>
                <c:ptCount val="8"/>
                <c:pt idx="0">
                  <c:v>2020</c:v>
                </c:pt>
                <c:pt idx="1">
                  <c:v>2021</c:v>
                </c:pt>
                <c:pt idx="2">
                  <c:v>2022</c:v>
                </c:pt>
                <c:pt idx="3">
                  <c:v>2023</c:v>
                </c:pt>
                <c:pt idx="4">
                  <c:v>2024</c:v>
                </c:pt>
                <c:pt idx="5">
                  <c:v>2025</c:v>
                </c:pt>
                <c:pt idx="6">
                  <c:v>2026 through July</c:v>
                </c:pt>
                <c:pt idx="7">
                  <c:v>2026 Annualized</c:v>
                </c:pt>
              </c:strCache>
            </c:strRef>
          </c:cat>
          <c:val>
            <c:numRef>
              <c:f>'Summary Statistics'!$H$2:$H$9</c:f>
              <c:numCache>
                <c:formatCode>General</c:formatCode>
                <c:ptCount val="8"/>
                <c:pt idx="0">
                  <c:v>0</c:v>
                </c:pt>
                <c:pt idx="1">
                  <c:v>0</c:v>
                </c:pt>
                <c:pt idx="2">
                  <c:v>0</c:v>
                </c:pt>
                <c:pt idx="3">
                  <c:v>0</c:v>
                </c:pt>
                <c:pt idx="4">
                  <c:v>0</c:v>
                </c:pt>
                <c:pt idx="5">
                  <c:v>0</c:v>
                </c:pt>
                <c:pt idx="6">
                  <c:v>0</c:v>
                </c:pt>
                <c:pt idx="7">
                  <c:v>0</c:v>
                </c:pt>
              </c:numCache>
            </c:numRef>
          </c:val>
        </c:ser>
        <c:gapWidth val="80"/>
        <c:overlap val="100"/>
        <c:axId val="50010001"/>
        <c:axId val="50010002"/>
      </c:barChart>
      <c:lineChart>
        <c:grouping val="standard"/>
        <c:ser>
          <c:idx val="7"/>
          <c:order val="7"/>
          <c:tx>
            <c:v>_Total</c:v>
          </c:tx>
          <c:spPr>
            <a:ln>
              <a:noFill/>
            </a:ln>
          </c:spPr>
          <c:marker>
            <c:symbol val="none"/>
          </c:marker>
          <c:dLbls>
            <c:numFmt formatCode="#,##0" sourceLinked="0"/>
            <c:txPr>
              <a:bodyPr/>
              <a:lstStyle/>
              <a:p>
                <a:pPr>
                  <a:defRPr sz="800" b="1" baseline="0">
                    <a:solidFill>
                      <a:srgbClr val="1F3864"/>
                    </a:solidFill>
                    <a:latin typeface="Arial"/>
                  </a:defRPr>
                </a:pPr>
                <a:endParaRPr lang="en-US"/>
              </a:p>
            </c:txPr>
            <c:dLblPos val="t"/>
            <c:showVal val="1"/>
          </c:dLbls>
          <c:cat>
            <c:strRef>
              <c:f>'Summary Statistics'!$A$2:$A$9</c:f>
              <c:strCache>
                <c:ptCount val="8"/>
                <c:pt idx="0">
                  <c:v>2020</c:v>
                </c:pt>
                <c:pt idx="1">
                  <c:v>2021</c:v>
                </c:pt>
                <c:pt idx="2">
                  <c:v>2022</c:v>
                </c:pt>
                <c:pt idx="3">
                  <c:v>2023</c:v>
                </c:pt>
                <c:pt idx="4">
                  <c:v>2024</c:v>
                </c:pt>
                <c:pt idx="5">
                  <c:v>2025</c:v>
                </c:pt>
                <c:pt idx="6">
                  <c:v>2026 through July</c:v>
                </c:pt>
                <c:pt idx="7">
                  <c:v>2026 Annualized</c:v>
                </c:pt>
              </c:strCache>
            </c:strRef>
          </c:cat>
          <c:val>
            <c:numRef>
              <c:f>'Summary Statistics'!$I$2:$I$9</c:f>
              <c:numCache>
                <c:formatCode>General</c:formatCode>
                <c:ptCount val="8"/>
                <c:pt idx="0">
                  <c:v>0</c:v>
                </c:pt>
                <c:pt idx="1">
                  <c:v>0</c:v>
                </c:pt>
                <c:pt idx="2">
                  <c:v>0</c:v>
                </c:pt>
                <c:pt idx="3">
                  <c:v>0</c:v>
                </c:pt>
                <c:pt idx="4">
                  <c:v>0</c:v>
                </c:pt>
                <c:pt idx="5">
                  <c:v>0</c:v>
                </c:pt>
                <c:pt idx="6">
                  <c:v>0</c:v>
                </c:pt>
                <c:pt idx="7">
                  <c:v>0</c:v>
                </c:pt>
              </c:numCache>
            </c:numRef>
          </c:val>
        </c:ser>
        <c:marker val="1"/>
        <c:axId val="50010001"/>
        <c:axId val="50010002"/>
      </c:lineChart>
      <c:catAx>
        <c:axId val="50010001"/>
        <c:scaling>
          <c:orientation val="minMax"/>
        </c:scaling>
        <c:axPos val="b"/>
        <c:tickLblPos val="low"/>
        <c:txPr>
          <a:bodyPr/>
          <a:lstStyle/>
          <a:p>
            <a:pPr>
              <a:defRPr sz="800" baseline="0">
                <a:latin typeface="Arial"/>
              </a:defRPr>
            </a:pPr>
            <a:endParaRPr lang="en-US"/>
          </a:p>
        </c:txPr>
        <c:crossAx val="50010002"/>
        <c:crosses val="autoZero"/>
        <c:auto val="1"/>
        <c:lblAlgn val="ctr"/>
        <c:lblOffset val="100"/>
      </c:catAx>
      <c:valAx>
        <c:axId val="50010002"/>
        <c:scaling>
          <c:orientation val="minMax"/>
        </c:scaling>
        <c:axPos val="l"/>
        <c:numFmt formatCode="#,##0" sourceLinked="0"/>
        <c:tickLblPos val="nextTo"/>
        <c:crossAx val="50010001"/>
        <c:crosses val="autoZero"/>
        <c:crossBetween val="between"/>
      </c:valAx>
      <c:spPr>
        <a:ln>
          <a:noFill/>
        </a:ln>
      </c:spPr>
    </c:plotArea>
    <c:legend>
      <c:legendPos val="b"/>
      <c:legendEntry>
        <c:idx val="7"/>
        <c:delete val="1"/>
      </c:legendEntry>
      <c:layout/>
      <c:txPr>
        <a:bodyPr/>
        <a:lstStyle/>
        <a:p>
          <a:pPr>
            <a:defRPr sz="800" baseline="0">
              <a:latin typeface="Arial"/>
            </a:defRPr>
          </a:pPr>
          <a:endParaRPr lang="en-US"/>
        </a:p>
      </c:txPr>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latin typeface="Arial"/>
              </a:defRPr>
            </a:pPr>
            <a:r>
              <a:rPr lang="en-US" sz="1200" b="1" baseline="0">
                <a:latin typeface="Arial"/>
              </a:rPr>
              <a:t>Number of clinical trials by phase, to date: Monthly</a:t>
            </a:r>
          </a:p>
        </c:rich>
      </c:tx>
      <c:layout/>
    </c:title>
    <c:plotArea>
      <c:layout/>
      <c:barChart>
        <c:barDir val="col"/>
        <c:grouping val="stacked"/>
        <c:ser>
          <c:idx val="0"/>
          <c:order val="0"/>
          <c:tx>
            <c:v>Early Phase 1</c:v>
          </c:tx>
          <c:spPr>
            <a:solidFill>
              <a:srgbClr val="D9D9D9"/>
            </a:solidFill>
            <a:ln>
              <a:solidFill>
                <a:srgbClr val="D9D9D9"/>
              </a:solidFill>
            </a:ln>
          </c:spPr>
          <c:dPt>
            <c:idx val="0"/>
            <c:spPr>
              <a:solidFill>
                <a:srgbClr val="D9D9D9"/>
              </a:solidFill>
              <a:ln>
                <a:solidFill>
                  <a:srgbClr val="D9D9D9"/>
                </a:solidFill>
              </a:ln>
            </c:spPr>
          </c:dPt>
          <c:dPt>
            <c:idx val="1"/>
            <c:spPr>
              <a:solidFill>
                <a:srgbClr val="D9D9D9"/>
              </a:solidFill>
              <a:ln>
                <a:solidFill>
                  <a:srgbClr val="D9D9D9"/>
                </a:solidFill>
              </a:ln>
            </c:spPr>
          </c:dPt>
          <c:dPt>
            <c:idx val="2"/>
            <c:spPr>
              <a:solidFill>
                <a:srgbClr val="D9D9D9"/>
              </a:solidFill>
              <a:ln>
                <a:solidFill>
                  <a:srgbClr val="D9D9D9"/>
                </a:solidFill>
              </a:ln>
            </c:spPr>
          </c:dPt>
          <c:dPt>
            <c:idx val="3"/>
            <c:spPr>
              <a:solidFill>
                <a:srgbClr val="D9D9D9"/>
              </a:solidFill>
              <a:ln>
                <a:solidFill>
                  <a:srgbClr val="D9D9D9"/>
                </a:solidFill>
              </a:ln>
            </c:spPr>
          </c:dPt>
          <c:dPt>
            <c:idx val="4"/>
            <c:spPr>
              <a:solidFill>
                <a:srgbClr val="D9D9D9"/>
              </a:solidFill>
              <a:ln>
                <a:solidFill>
                  <a:srgbClr val="D9D9D9"/>
                </a:solidFill>
              </a:ln>
            </c:spPr>
          </c:dPt>
          <c:dPt>
            <c:idx val="5"/>
            <c:spPr>
              <a:solidFill>
                <a:srgbClr val="D9D9D9"/>
              </a:solidFill>
              <a:ln>
                <a:solidFill>
                  <a:srgbClr val="D9D9D9"/>
                </a:solidFill>
              </a:ln>
            </c:spPr>
          </c:dPt>
          <c:dPt>
            <c:idx val="6"/>
            <c:spPr>
              <a:solidFill>
                <a:srgbClr val="D9D9D9"/>
              </a:solidFill>
              <a:ln>
                <a:solidFill>
                  <a:srgbClr val="D9D9D9"/>
                </a:solidFill>
              </a:ln>
            </c:spPr>
          </c:dPt>
          <c:dPt>
            <c:idx val="7"/>
            <c:spPr>
              <a:solidFill>
                <a:srgbClr val="D9D9D9"/>
              </a:solidFill>
              <a:ln>
                <a:solidFill>
                  <a:srgbClr val="D9D9D9"/>
                </a:solidFill>
              </a:ln>
            </c:spPr>
          </c:dPt>
          <c:dPt>
            <c:idx val="8"/>
            <c:spPr>
              <a:solidFill>
                <a:srgbClr val="D9D9D9"/>
              </a:solidFill>
              <a:ln>
                <a:solidFill>
                  <a:srgbClr val="D9D9D9"/>
                </a:solidFill>
              </a:ln>
            </c:spPr>
          </c:dPt>
          <c:dPt>
            <c:idx val="9"/>
            <c:spPr>
              <a:solidFill>
                <a:srgbClr val="D9D9D9"/>
              </a:solidFill>
              <a:ln>
                <a:solidFill>
                  <a:srgbClr val="D9D9D9"/>
                </a:solidFill>
              </a:ln>
            </c:spPr>
          </c:dPt>
          <c:dPt>
            <c:idx val="10"/>
            <c:spPr>
              <a:solidFill>
                <a:srgbClr val="D9D9D9"/>
              </a:solidFill>
              <a:ln>
                <a:solidFill>
                  <a:srgbClr val="D9D9D9"/>
                </a:solidFill>
              </a:ln>
            </c:spPr>
          </c:dPt>
          <c:dPt>
            <c:idx val="11"/>
            <c:spPr>
              <a:solidFill>
                <a:srgbClr val="D9D9D9"/>
              </a:solidFill>
              <a:ln>
                <a:solidFill>
                  <a:srgbClr val="D9D9D9"/>
                </a:solidFill>
              </a:ln>
            </c:spPr>
          </c:dPt>
          <c:dPt>
            <c:idx val="12"/>
            <c:spPr>
              <a:solidFill>
                <a:srgbClr val="D9D9D9"/>
              </a:solidFill>
              <a:ln>
                <a:solidFill>
                  <a:srgbClr val="D9D9D9"/>
                </a:solidFill>
              </a:ln>
            </c:spPr>
          </c:dPt>
          <c:dPt>
            <c:idx val="13"/>
            <c:spPr>
              <a:solidFill>
                <a:srgbClr val="D9D9D9"/>
              </a:solidFill>
              <a:ln>
                <a:solidFill>
                  <a:srgbClr val="D9D9D9"/>
                </a:solidFill>
              </a:ln>
            </c:spPr>
          </c:dPt>
          <c:dPt>
            <c:idx val="14"/>
            <c:spPr>
              <a:solidFill>
                <a:srgbClr val="D9D9D9"/>
              </a:solidFill>
              <a:ln>
                <a:solidFill>
                  <a:srgbClr val="D9D9D9"/>
                </a:solidFill>
              </a:ln>
            </c:spPr>
          </c:dPt>
          <c:dPt>
            <c:idx val="15"/>
            <c:spPr>
              <a:solidFill>
                <a:srgbClr val="D9D9D9"/>
              </a:solidFill>
              <a:ln>
                <a:solidFill>
                  <a:srgbClr val="D9D9D9"/>
                </a:solidFill>
              </a:ln>
            </c:spPr>
          </c:dPt>
          <c:dPt>
            <c:idx val="16"/>
            <c:spPr>
              <a:solidFill>
                <a:srgbClr val="D9D9D9"/>
              </a:solidFill>
              <a:ln>
                <a:solidFill>
                  <a:srgbClr val="D9D9D9"/>
                </a:solidFill>
              </a:ln>
            </c:spPr>
          </c:dPt>
          <c:dPt>
            <c:idx val="17"/>
            <c:spPr>
              <a:solidFill>
                <a:srgbClr val="D9D9D9"/>
              </a:solidFill>
              <a:ln>
                <a:solidFill>
                  <a:srgbClr val="D9D9D9"/>
                </a:solidFill>
              </a:ln>
            </c:spPr>
          </c:dPt>
          <c:dPt>
            <c:idx val="18"/>
            <c:spPr>
              <a:solidFill>
                <a:srgbClr val="D9D9D9"/>
              </a:solidFill>
              <a:ln>
                <a:solidFill>
                  <a:srgbClr val="D9D9D9"/>
                </a:solidFill>
              </a:ln>
            </c:spPr>
          </c:dPt>
          <c:dPt>
            <c:idx val="19"/>
            <c:spPr>
              <a:solidFill>
                <a:srgbClr val="D9D9D9"/>
              </a:solidFill>
              <a:ln>
                <a:solidFill>
                  <a:srgbClr val="D9D9D9"/>
                </a:solidFill>
              </a:ln>
            </c:spPr>
          </c:dPt>
          <c:dPt>
            <c:idx val="20"/>
            <c:spPr>
              <a:solidFill>
                <a:srgbClr val="D9D9D9"/>
              </a:solidFill>
              <a:ln>
                <a:solidFill>
                  <a:srgbClr val="D9D9D9"/>
                </a:solidFill>
              </a:ln>
            </c:spPr>
          </c:dPt>
          <c:dPt>
            <c:idx val="21"/>
            <c:spPr>
              <a:solidFill>
                <a:srgbClr val="D9D9D9"/>
              </a:solidFill>
              <a:ln>
                <a:solidFill>
                  <a:srgbClr val="D9D9D9"/>
                </a:solidFill>
              </a:ln>
            </c:spPr>
          </c:dPt>
          <c:dPt>
            <c:idx val="22"/>
            <c:spPr>
              <a:solidFill>
                <a:srgbClr val="D9D9D9"/>
              </a:solidFill>
              <a:ln>
                <a:solidFill>
                  <a:srgbClr val="D9D9D9"/>
                </a:solidFill>
              </a:ln>
            </c:spPr>
          </c:dPt>
          <c:dPt>
            <c:idx val="23"/>
            <c:spPr>
              <a:solidFill>
                <a:srgbClr val="BDD7EE"/>
              </a:solidFill>
              <a:ln>
                <a:solidFill>
                  <a:srgbClr val="BDD7EE"/>
                </a:solidFill>
              </a:ln>
            </c:spPr>
          </c:dPt>
          <c:dLbls>
            <c:numFmt formatCode="#,##0" sourceLinked="0"/>
            <c:txPr>
              <a:bodyPr/>
              <a:lstStyle/>
              <a:p>
                <a:pPr>
                  <a:defRPr sz="700" baseline="0">
                    <a:solidFill>
                      <a:srgbClr val="1A1A1A"/>
                    </a:solidFill>
                    <a:latin typeface="Arial"/>
                  </a:defRPr>
                </a:pPr>
                <a:endParaRPr lang="en-US"/>
              </a:p>
            </c:txPr>
            <c:dLblPos val="ctr"/>
            <c:showVal val="1"/>
          </c:dLbls>
          <c:cat>
            <c:numRef>
              <c:f>'Summary Statistics'!$A$77:$A$100</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'Summary Statistics'!$B$77:$B$100</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ser>
          <c:idx val="1"/>
          <c:order val="1"/>
          <c:tx>
            <c:v>Phase 1</c:v>
          </c:tx>
          <c:spPr>
            <a:solidFill>
              <a:srgbClr val="B9B9B9"/>
            </a:solidFill>
            <a:ln>
              <a:solidFill>
                <a:srgbClr val="B9B9B9"/>
              </a:solidFill>
            </a:ln>
          </c:spPr>
          <c:dPt>
            <c:idx val="0"/>
            <c:spPr>
              <a:solidFill>
                <a:srgbClr val="B9B9B9"/>
              </a:solidFill>
              <a:ln>
                <a:solidFill>
                  <a:srgbClr val="B9B9B9"/>
                </a:solidFill>
              </a:ln>
            </c:spPr>
          </c:dPt>
          <c:dPt>
            <c:idx val="1"/>
            <c:spPr>
              <a:solidFill>
                <a:srgbClr val="B9B9B9"/>
              </a:solidFill>
              <a:ln>
                <a:solidFill>
                  <a:srgbClr val="B9B9B9"/>
                </a:solidFill>
              </a:ln>
            </c:spPr>
          </c:dPt>
          <c:dPt>
            <c:idx val="2"/>
            <c:spPr>
              <a:solidFill>
                <a:srgbClr val="B9B9B9"/>
              </a:solidFill>
              <a:ln>
                <a:solidFill>
                  <a:srgbClr val="B9B9B9"/>
                </a:solidFill>
              </a:ln>
            </c:spPr>
          </c:dPt>
          <c:dPt>
            <c:idx val="3"/>
            <c:spPr>
              <a:solidFill>
                <a:srgbClr val="B9B9B9"/>
              </a:solidFill>
              <a:ln>
                <a:solidFill>
                  <a:srgbClr val="B9B9B9"/>
                </a:solidFill>
              </a:ln>
            </c:spPr>
          </c:dPt>
          <c:dPt>
            <c:idx val="4"/>
            <c:spPr>
              <a:solidFill>
                <a:srgbClr val="B9B9B9"/>
              </a:solidFill>
              <a:ln>
                <a:solidFill>
                  <a:srgbClr val="B9B9B9"/>
                </a:solidFill>
              </a:ln>
            </c:spPr>
          </c:dPt>
          <c:dPt>
            <c:idx val="5"/>
            <c:spPr>
              <a:solidFill>
                <a:srgbClr val="B9B9B9"/>
              </a:solidFill>
              <a:ln>
                <a:solidFill>
                  <a:srgbClr val="B9B9B9"/>
                </a:solidFill>
              </a:ln>
            </c:spPr>
          </c:dPt>
          <c:dPt>
            <c:idx val="6"/>
            <c:spPr>
              <a:solidFill>
                <a:srgbClr val="B9B9B9"/>
              </a:solidFill>
              <a:ln>
                <a:solidFill>
                  <a:srgbClr val="B9B9B9"/>
                </a:solidFill>
              </a:ln>
            </c:spPr>
          </c:dPt>
          <c:dPt>
            <c:idx val="7"/>
            <c:spPr>
              <a:solidFill>
                <a:srgbClr val="B9B9B9"/>
              </a:solidFill>
              <a:ln>
                <a:solidFill>
                  <a:srgbClr val="B9B9B9"/>
                </a:solidFill>
              </a:ln>
            </c:spPr>
          </c:dPt>
          <c:dPt>
            <c:idx val="8"/>
            <c:spPr>
              <a:solidFill>
                <a:srgbClr val="B9B9B9"/>
              </a:solidFill>
              <a:ln>
                <a:solidFill>
                  <a:srgbClr val="B9B9B9"/>
                </a:solidFill>
              </a:ln>
            </c:spPr>
          </c:dPt>
          <c:dPt>
            <c:idx val="9"/>
            <c:spPr>
              <a:solidFill>
                <a:srgbClr val="B9B9B9"/>
              </a:solidFill>
              <a:ln>
                <a:solidFill>
                  <a:srgbClr val="B9B9B9"/>
                </a:solidFill>
              </a:ln>
            </c:spPr>
          </c:dPt>
          <c:dPt>
            <c:idx val="10"/>
            <c:spPr>
              <a:solidFill>
                <a:srgbClr val="B9B9B9"/>
              </a:solidFill>
              <a:ln>
                <a:solidFill>
                  <a:srgbClr val="B9B9B9"/>
                </a:solidFill>
              </a:ln>
            </c:spPr>
          </c:dPt>
          <c:dPt>
            <c:idx val="11"/>
            <c:spPr>
              <a:solidFill>
                <a:srgbClr val="B9B9B9"/>
              </a:solidFill>
              <a:ln>
                <a:solidFill>
                  <a:srgbClr val="B9B9B9"/>
                </a:solidFill>
              </a:ln>
            </c:spPr>
          </c:dPt>
          <c:dPt>
            <c:idx val="12"/>
            <c:spPr>
              <a:solidFill>
                <a:srgbClr val="B9B9B9"/>
              </a:solidFill>
              <a:ln>
                <a:solidFill>
                  <a:srgbClr val="B9B9B9"/>
                </a:solidFill>
              </a:ln>
            </c:spPr>
          </c:dPt>
          <c:dPt>
            <c:idx val="13"/>
            <c:spPr>
              <a:solidFill>
                <a:srgbClr val="B9B9B9"/>
              </a:solidFill>
              <a:ln>
                <a:solidFill>
                  <a:srgbClr val="B9B9B9"/>
                </a:solidFill>
              </a:ln>
            </c:spPr>
          </c:dPt>
          <c:dPt>
            <c:idx val="14"/>
            <c:spPr>
              <a:solidFill>
                <a:srgbClr val="B9B9B9"/>
              </a:solidFill>
              <a:ln>
                <a:solidFill>
                  <a:srgbClr val="B9B9B9"/>
                </a:solidFill>
              </a:ln>
            </c:spPr>
          </c:dPt>
          <c:dPt>
            <c:idx val="15"/>
            <c:spPr>
              <a:solidFill>
                <a:srgbClr val="B9B9B9"/>
              </a:solidFill>
              <a:ln>
                <a:solidFill>
                  <a:srgbClr val="B9B9B9"/>
                </a:solidFill>
              </a:ln>
            </c:spPr>
          </c:dPt>
          <c:dPt>
            <c:idx val="16"/>
            <c:spPr>
              <a:solidFill>
                <a:srgbClr val="B9B9B9"/>
              </a:solidFill>
              <a:ln>
                <a:solidFill>
                  <a:srgbClr val="B9B9B9"/>
                </a:solidFill>
              </a:ln>
            </c:spPr>
          </c:dPt>
          <c:dPt>
            <c:idx val="17"/>
            <c:spPr>
              <a:solidFill>
                <a:srgbClr val="B9B9B9"/>
              </a:solidFill>
              <a:ln>
                <a:solidFill>
                  <a:srgbClr val="B9B9B9"/>
                </a:solidFill>
              </a:ln>
            </c:spPr>
          </c:dPt>
          <c:dPt>
            <c:idx val="18"/>
            <c:spPr>
              <a:solidFill>
                <a:srgbClr val="B9B9B9"/>
              </a:solidFill>
              <a:ln>
                <a:solidFill>
                  <a:srgbClr val="B9B9B9"/>
                </a:solidFill>
              </a:ln>
            </c:spPr>
          </c:dPt>
          <c:dPt>
            <c:idx val="19"/>
            <c:spPr>
              <a:solidFill>
                <a:srgbClr val="B9B9B9"/>
              </a:solidFill>
              <a:ln>
                <a:solidFill>
                  <a:srgbClr val="B9B9B9"/>
                </a:solidFill>
              </a:ln>
            </c:spPr>
          </c:dPt>
          <c:dPt>
            <c:idx val="20"/>
            <c:spPr>
              <a:solidFill>
                <a:srgbClr val="B9B9B9"/>
              </a:solidFill>
              <a:ln>
                <a:solidFill>
                  <a:srgbClr val="B9B9B9"/>
                </a:solidFill>
              </a:ln>
            </c:spPr>
          </c:dPt>
          <c:dPt>
            <c:idx val="21"/>
            <c:spPr>
              <a:solidFill>
                <a:srgbClr val="B9B9B9"/>
              </a:solidFill>
              <a:ln>
                <a:solidFill>
                  <a:srgbClr val="B9B9B9"/>
                </a:solidFill>
              </a:ln>
            </c:spPr>
          </c:dPt>
          <c:dPt>
            <c:idx val="22"/>
            <c:spPr>
              <a:solidFill>
                <a:srgbClr val="B9B9B9"/>
              </a:solidFill>
              <a:ln>
                <a:solidFill>
                  <a:srgbClr val="B9B9B9"/>
                </a:solidFill>
              </a:ln>
            </c:spPr>
          </c:dPt>
          <c:dPt>
            <c:idx val="23"/>
            <c:spPr>
              <a:solidFill>
                <a:srgbClr val="A3BCD7"/>
              </a:solidFill>
              <a:ln>
                <a:solidFill>
                  <a:srgbClr val="A3BCD7"/>
                </a:solidFill>
              </a:ln>
            </c:spPr>
          </c:dPt>
          <c:dLbls>
            <c:numFmt formatCode="#,##0" sourceLinked="0"/>
            <c:txPr>
              <a:bodyPr/>
              <a:lstStyle/>
              <a:p>
                <a:pPr>
                  <a:defRPr sz="700" baseline="0">
                    <a:solidFill>
                      <a:srgbClr val="1A1A1A"/>
                    </a:solidFill>
                    <a:latin typeface="Arial"/>
                  </a:defRPr>
                </a:pPr>
                <a:endParaRPr lang="en-US"/>
              </a:p>
            </c:txPr>
            <c:dLblPos val="ctr"/>
            <c:showVal val="1"/>
          </c:dLbls>
          <c:cat>
            <c:numRef>
              <c:f>'Summary Statistics'!$A$77:$A$100</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'Summary Statistics'!$C$77:$C$100</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ser>
          <c:idx val="2"/>
          <c:order val="2"/>
          <c:tx>
            <c:v>Phase 1/2</c:v>
          </c:tx>
          <c:spPr>
            <a:solidFill>
              <a:srgbClr val="999999"/>
            </a:solidFill>
            <a:ln>
              <a:solidFill>
                <a:srgbClr val="999999"/>
              </a:solidFill>
            </a:ln>
          </c:spPr>
          <c:dPt>
            <c:idx val="0"/>
            <c:spPr>
              <a:solidFill>
                <a:srgbClr val="999999"/>
              </a:solidFill>
              <a:ln>
                <a:solidFill>
                  <a:srgbClr val="999999"/>
                </a:solidFill>
              </a:ln>
            </c:spPr>
          </c:dPt>
          <c:dPt>
            <c:idx val="1"/>
            <c:spPr>
              <a:solidFill>
                <a:srgbClr val="999999"/>
              </a:solidFill>
              <a:ln>
                <a:solidFill>
                  <a:srgbClr val="999999"/>
                </a:solidFill>
              </a:ln>
            </c:spPr>
          </c:dPt>
          <c:dPt>
            <c:idx val="2"/>
            <c:spPr>
              <a:solidFill>
                <a:srgbClr val="999999"/>
              </a:solidFill>
              <a:ln>
                <a:solidFill>
                  <a:srgbClr val="999999"/>
                </a:solidFill>
              </a:ln>
            </c:spPr>
          </c:dPt>
          <c:dPt>
            <c:idx val="3"/>
            <c:spPr>
              <a:solidFill>
                <a:srgbClr val="999999"/>
              </a:solidFill>
              <a:ln>
                <a:solidFill>
                  <a:srgbClr val="999999"/>
                </a:solidFill>
              </a:ln>
            </c:spPr>
          </c:dPt>
          <c:dPt>
            <c:idx val="4"/>
            <c:spPr>
              <a:solidFill>
                <a:srgbClr val="999999"/>
              </a:solidFill>
              <a:ln>
                <a:solidFill>
                  <a:srgbClr val="999999"/>
                </a:solidFill>
              </a:ln>
            </c:spPr>
          </c:dPt>
          <c:dPt>
            <c:idx val="5"/>
            <c:spPr>
              <a:solidFill>
                <a:srgbClr val="999999"/>
              </a:solidFill>
              <a:ln>
                <a:solidFill>
                  <a:srgbClr val="999999"/>
                </a:solidFill>
              </a:ln>
            </c:spPr>
          </c:dPt>
          <c:dPt>
            <c:idx val="6"/>
            <c:spPr>
              <a:solidFill>
                <a:srgbClr val="999999"/>
              </a:solidFill>
              <a:ln>
                <a:solidFill>
                  <a:srgbClr val="999999"/>
                </a:solidFill>
              </a:ln>
            </c:spPr>
          </c:dPt>
          <c:dPt>
            <c:idx val="7"/>
            <c:spPr>
              <a:solidFill>
                <a:srgbClr val="999999"/>
              </a:solidFill>
              <a:ln>
                <a:solidFill>
                  <a:srgbClr val="999999"/>
                </a:solidFill>
              </a:ln>
            </c:spPr>
          </c:dPt>
          <c:dPt>
            <c:idx val="8"/>
            <c:spPr>
              <a:solidFill>
                <a:srgbClr val="999999"/>
              </a:solidFill>
              <a:ln>
                <a:solidFill>
                  <a:srgbClr val="999999"/>
                </a:solidFill>
              </a:ln>
            </c:spPr>
          </c:dPt>
          <c:dPt>
            <c:idx val="9"/>
            <c:spPr>
              <a:solidFill>
                <a:srgbClr val="999999"/>
              </a:solidFill>
              <a:ln>
                <a:solidFill>
                  <a:srgbClr val="999999"/>
                </a:solidFill>
              </a:ln>
            </c:spPr>
          </c:dPt>
          <c:dPt>
            <c:idx val="10"/>
            <c:spPr>
              <a:solidFill>
                <a:srgbClr val="999999"/>
              </a:solidFill>
              <a:ln>
                <a:solidFill>
                  <a:srgbClr val="999999"/>
                </a:solidFill>
              </a:ln>
            </c:spPr>
          </c:dPt>
          <c:dPt>
            <c:idx val="11"/>
            <c:spPr>
              <a:solidFill>
                <a:srgbClr val="999999"/>
              </a:solidFill>
              <a:ln>
                <a:solidFill>
                  <a:srgbClr val="999999"/>
                </a:solidFill>
              </a:ln>
            </c:spPr>
          </c:dPt>
          <c:dPt>
            <c:idx val="12"/>
            <c:spPr>
              <a:solidFill>
                <a:srgbClr val="999999"/>
              </a:solidFill>
              <a:ln>
                <a:solidFill>
                  <a:srgbClr val="999999"/>
                </a:solidFill>
              </a:ln>
            </c:spPr>
          </c:dPt>
          <c:dPt>
            <c:idx val="13"/>
            <c:spPr>
              <a:solidFill>
                <a:srgbClr val="999999"/>
              </a:solidFill>
              <a:ln>
                <a:solidFill>
                  <a:srgbClr val="999999"/>
                </a:solidFill>
              </a:ln>
            </c:spPr>
          </c:dPt>
          <c:dPt>
            <c:idx val="14"/>
            <c:spPr>
              <a:solidFill>
                <a:srgbClr val="999999"/>
              </a:solidFill>
              <a:ln>
                <a:solidFill>
                  <a:srgbClr val="999999"/>
                </a:solidFill>
              </a:ln>
            </c:spPr>
          </c:dPt>
          <c:dPt>
            <c:idx val="15"/>
            <c:spPr>
              <a:solidFill>
                <a:srgbClr val="999999"/>
              </a:solidFill>
              <a:ln>
                <a:solidFill>
                  <a:srgbClr val="999999"/>
                </a:solidFill>
              </a:ln>
            </c:spPr>
          </c:dPt>
          <c:dPt>
            <c:idx val="16"/>
            <c:spPr>
              <a:solidFill>
                <a:srgbClr val="999999"/>
              </a:solidFill>
              <a:ln>
                <a:solidFill>
                  <a:srgbClr val="999999"/>
                </a:solidFill>
              </a:ln>
            </c:spPr>
          </c:dPt>
          <c:dPt>
            <c:idx val="17"/>
            <c:spPr>
              <a:solidFill>
                <a:srgbClr val="999999"/>
              </a:solidFill>
              <a:ln>
                <a:solidFill>
                  <a:srgbClr val="999999"/>
                </a:solidFill>
              </a:ln>
            </c:spPr>
          </c:dPt>
          <c:dPt>
            <c:idx val="18"/>
            <c:spPr>
              <a:solidFill>
                <a:srgbClr val="999999"/>
              </a:solidFill>
              <a:ln>
                <a:solidFill>
                  <a:srgbClr val="999999"/>
                </a:solidFill>
              </a:ln>
            </c:spPr>
          </c:dPt>
          <c:dPt>
            <c:idx val="19"/>
            <c:spPr>
              <a:solidFill>
                <a:srgbClr val="999999"/>
              </a:solidFill>
              <a:ln>
                <a:solidFill>
                  <a:srgbClr val="999999"/>
                </a:solidFill>
              </a:ln>
            </c:spPr>
          </c:dPt>
          <c:dPt>
            <c:idx val="20"/>
            <c:spPr>
              <a:solidFill>
                <a:srgbClr val="999999"/>
              </a:solidFill>
              <a:ln>
                <a:solidFill>
                  <a:srgbClr val="999999"/>
                </a:solidFill>
              </a:ln>
            </c:spPr>
          </c:dPt>
          <c:dPt>
            <c:idx val="21"/>
            <c:spPr>
              <a:solidFill>
                <a:srgbClr val="999999"/>
              </a:solidFill>
              <a:ln>
                <a:solidFill>
                  <a:srgbClr val="999999"/>
                </a:solidFill>
              </a:ln>
            </c:spPr>
          </c:dPt>
          <c:dPt>
            <c:idx val="22"/>
            <c:spPr>
              <a:solidFill>
                <a:srgbClr val="999999"/>
              </a:solidFill>
              <a:ln>
                <a:solidFill>
                  <a:srgbClr val="999999"/>
                </a:solidFill>
              </a:ln>
            </c:spPr>
          </c:dPt>
          <c:dPt>
            <c:idx val="23"/>
            <c:spPr>
              <a:solidFill>
                <a:srgbClr val="89A2C0"/>
              </a:solidFill>
              <a:ln>
                <a:solidFill>
                  <a:srgbClr val="89A2C0"/>
                </a:solidFill>
              </a:ln>
            </c:spPr>
          </c:dPt>
          <c:dLbls>
            <c:numFmt formatCode="#,##0" sourceLinked="0"/>
            <c:txPr>
              <a:bodyPr/>
              <a:lstStyle/>
              <a:p>
                <a:pPr>
                  <a:defRPr sz="700" baseline="0">
                    <a:solidFill>
                      <a:srgbClr val="1A1A1A"/>
                    </a:solidFill>
                    <a:latin typeface="Arial"/>
                  </a:defRPr>
                </a:pPr>
                <a:endParaRPr lang="en-US"/>
              </a:p>
            </c:txPr>
            <c:dLblPos val="ctr"/>
            <c:showVal val="1"/>
          </c:dLbls>
          <c:cat>
            <c:numRef>
              <c:f>'Summary Statistics'!$A$77:$A$100</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'Summary Statistics'!$D$77:$D$100</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ser>
          <c:idx val="3"/>
          <c:order val="3"/>
          <c:tx>
            <c:v>Phase 2</c:v>
          </c:tx>
          <c:spPr>
            <a:solidFill>
              <a:srgbClr val="7A7A7A"/>
            </a:solidFill>
            <a:ln>
              <a:solidFill>
                <a:srgbClr val="7A7A7A"/>
              </a:solidFill>
            </a:ln>
          </c:spPr>
          <c:dPt>
            <c:idx val="0"/>
            <c:spPr>
              <a:solidFill>
                <a:srgbClr val="7A7A7A"/>
              </a:solidFill>
              <a:ln>
                <a:solidFill>
                  <a:srgbClr val="7A7A7A"/>
                </a:solidFill>
              </a:ln>
            </c:spPr>
          </c:dPt>
          <c:dPt>
            <c:idx val="1"/>
            <c:spPr>
              <a:solidFill>
                <a:srgbClr val="7A7A7A"/>
              </a:solidFill>
              <a:ln>
                <a:solidFill>
                  <a:srgbClr val="7A7A7A"/>
                </a:solidFill>
              </a:ln>
            </c:spPr>
          </c:dPt>
          <c:dPt>
            <c:idx val="2"/>
            <c:spPr>
              <a:solidFill>
                <a:srgbClr val="7A7A7A"/>
              </a:solidFill>
              <a:ln>
                <a:solidFill>
                  <a:srgbClr val="7A7A7A"/>
                </a:solidFill>
              </a:ln>
            </c:spPr>
          </c:dPt>
          <c:dPt>
            <c:idx val="3"/>
            <c:spPr>
              <a:solidFill>
                <a:srgbClr val="7A7A7A"/>
              </a:solidFill>
              <a:ln>
                <a:solidFill>
                  <a:srgbClr val="7A7A7A"/>
                </a:solidFill>
              </a:ln>
            </c:spPr>
          </c:dPt>
          <c:dPt>
            <c:idx val="4"/>
            <c:spPr>
              <a:solidFill>
                <a:srgbClr val="7A7A7A"/>
              </a:solidFill>
              <a:ln>
                <a:solidFill>
                  <a:srgbClr val="7A7A7A"/>
                </a:solidFill>
              </a:ln>
            </c:spPr>
          </c:dPt>
          <c:dPt>
            <c:idx val="5"/>
            <c:spPr>
              <a:solidFill>
                <a:srgbClr val="7A7A7A"/>
              </a:solidFill>
              <a:ln>
                <a:solidFill>
                  <a:srgbClr val="7A7A7A"/>
                </a:solidFill>
              </a:ln>
            </c:spPr>
          </c:dPt>
          <c:dPt>
            <c:idx val="6"/>
            <c:spPr>
              <a:solidFill>
                <a:srgbClr val="7A7A7A"/>
              </a:solidFill>
              <a:ln>
                <a:solidFill>
                  <a:srgbClr val="7A7A7A"/>
                </a:solidFill>
              </a:ln>
            </c:spPr>
          </c:dPt>
          <c:dPt>
            <c:idx val="7"/>
            <c:spPr>
              <a:solidFill>
                <a:srgbClr val="7A7A7A"/>
              </a:solidFill>
              <a:ln>
                <a:solidFill>
                  <a:srgbClr val="7A7A7A"/>
                </a:solidFill>
              </a:ln>
            </c:spPr>
          </c:dPt>
          <c:dPt>
            <c:idx val="8"/>
            <c:spPr>
              <a:solidFill>
                <a:srgbClr val="7A7A7A"/>
              </a:solidFill>
              <a:ln>
                <a:solidFill>
                  <a:srgbClr val="7A7A7A"/>
                </a:solidFill>
              </a:ln>
            </c:spPr>
          </c:dPt>
          <c:dPt>
            <c:idx val="9"/>
            <c:spPr>
              <a:solidFill>
                <a:srgbClr val="7A7A7A"/>
              </a:solidFill>
              <a:ln>
                <a:solidFill>
                  <a:srgbClr val="7A7A7A"/>
                </a:solidFill>
              </a:ln>
            </c:spPr>
          </c:dPt>
          <c:dPt>
            <c:idx val="10"/>
            <c:spPr>
              <a:solidFill>
                <a:srgbClr val="7A7A7A"/>
              </a:solidFill>
              <a:ln>
                <a:solidFill>
                  <a:srgbClr val="7A7A7A"/>
                </a:solidFill>
              </a:ln>
            </c:spPr>
          </c:dPt>
          <c:dPt>
            <c:idx val="11"/>
            <c:spPr>
              <a:solidFill>
                <a:srgbClr val="7A7A7A"/>
              </a:solidFill>
              <a:ln>
                <a:solidFill>
                  <a:srgbClr val="7A7A7A"/>
                </a:solidFill>
              </a:ln>
            </c:spPr>
          </c:dPt>
          <c:dPt>
            <c:idx val="12"/>
            <c:spPr>
              <a:solidFill>
                <a:srgbClr val="7A7A7A"/>
              </a:solidFill>
              <a:ln>
                <a:solidFill>
                  <a:srgbClr val="7A7A7A"/>
                </a:solidFill>
              </a:ln>
            </c:spPr>
          </c:dPt>
          <c:dPt>
            <c:idx val="13"/>
            <c:spPr>
              <a:solidFill>
                <a:srgbClr val="7A7A7A"/>
              </a:solidFill>
              <a:ln>
                <a:solidFill>
                  <a:srgbClr val="7A7A7A"/>
                </a:solidFill>
              </a:ln>
            </c:spPr>
          </c:dPt>
          <c:dPt>
            <c:idx val="14"/>
            <c:spPr>
              <a:solidFill>
                <a:srgbClr val="7A7A7A"/>
              </a:solidFill>
              <a:ln>
                <a:solidFill>
                  <a:srgbClr val="7A7A7A"/>
                </a:solidFill>
              </a:ln>
            </c:spPr>
          </c:dPt>
          <c:dPt>
            <c:idx val="15"/>
            <c:spPr>
              <a:solidFill>
                <a:srgbClr val="7A7A7A"/>
              </a:solidFill>
              <a:ln>
                <a:solidFill>
                  <a:srgbClr val="7A7A7A"/>
                </a:solidFill>
              </a:ln>
            </c:spPr>
          </c:dPt>
          <c:dPt>
            <c:idx val="16"/>
            <c:spPr>
              <a:solidFill>
                <a:srgbClr val="7A7A7A"/>
              </a:solidFill>
              <a:ln>
                <a:solidFill>
                  <a:srgbClr val="7A7A7A"/>
                </a:solidFill>
              </a:ln>
            </c:spPr>
          </c:dPt>
          <c:dPt>
            <c:idx val="17"/>
            <c:spPr>
              <a:solidFill>
                <a:srgbClr val="7A7A7A"/>
              </a:solidFill>
              <a:ln>
                <a:solidFill>
                  <a:srgbClr val="7A7A7A"/>
                </a:solidFill>
              </a:ln>
            </c:spPr>
          </c:dPt>
          <c:dPt>
            <c:idx val="18"/>
            <c:spPr>
              <a:solidFill>
                <a:srgbClr val="7A7A7A"/>
              </a:solidFill>
              <a:ln>
                <a:solidFill>
                  <a:srgbClr val="7A7A7A"/>
                </a:solidFill>
              </a:ln>
            </c:spPr>
          </c:dPt>
          <c:dPt>
            <c:idx val="19"/>
            <c:spPr>
              <a:solidFill>
                <a:srgbClr val="7A7A7A"/>
              </a:solidFill>
              <a:ln>
                <a:solidFill>
                  <a:srgbClr val="7A7A7A"/>
                </a:solidFill>
              </a:ln>
            </c:spPr>
          </c:dPt>
          <c:dPt>
            <c:idx val="20"/>
            <c:spPr>
              <a:solidFill>
                <a:srgbClr val="7A7A7A"/>
              </a:solidFill>
              <a:ln>
                <a:solidFill>
                  <a:srgbClr val="7A7A7A"/>
                </a:solidFill>
              </a:ln>
            </c:spPr>
          </c:dPt>
          <c:dPt>
            <c:idx val="21"/>
            <c:spPr>
              <a:solidFill>
                <a:srgbClr val="7A7A7A"/>
              </a:solidFill>
              <a:ln>
                <a:solidFill>
                  <a:srgbClr val="7A7A7A"/>
                </a:solidFill>
              </a:ln>
            </c:spPr>
          </c:dPt>
          <c:dPt>
            <c:idx val="22"/>
            <c:spPr>
              <a:solidFill>
                <a:srgbClr val="7A7A7A"/>
              </a:solidFill>
              <a:ln>
                <a:solidFill>
                  <a:srgbClr val="7A7A7A"/>
                </a:solidFill>
              </a:ln>
            </c:spPr>
          </c:dPt>
          <c:dPt>
            <c:idx val="23"/>
            <c:spPr>
              <a:solidFill>
                <a:srgbClr val="6E87A9"/>
              </a:solidFill>
              <a:ln>
                <a:solidFill>
                  <a:srgbClr val="6E87A9"/>
                </a:solidFill>
              </a:ln>
            </c:spPr>
          </c:dPt>
          <c:dLbls>
            <c:numFmt formatCode="#,##0" sourceLinked="0"/>
            <c:txPr>
              <a:bodyPr/>
              <a:lstStyle/>
              <a:p>
                <a:pPr>
                  <a:defRPr sz="700" baseline="0">
                    <a:solidFill>
                      <a:srgbClr val="FFFFFF"/>
                    </a:solidFill>
                    <a:latin typeface="Arial"/>
                  </a:defRPr>
                </a:pPr>
                <a:endParaRPr lang="en-US"/>
              </a:p>
            </c:txPr>
            <c:dLblPos val="ctr"/>
            <c:showVal val="1"/>
          </c:dLbls>
          <c:cat>
            <c:numRef>
              <c:f>'Summary Statistics'!$A$77:$A$100</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'Summary Statistics'!$E$77:$E$100</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ser>
          <c:idx val="4"/>
          <c:order val="4"/>
          <c:tx>
            <c:v>Phase 2/3</c:v>
          </c:tx>
          <c:spPr>
            <a:solidFill>
              <a:srgbClr val="5A5A5A"/>
            </a:solidFill>
            <a:ln>
              <a:solidFill>
                <a:srgbClr val="5A5A5A"/>
              </a:solidFill>
            </a:ln>
          </c:spPr>
          <c:dPt>
            <c:idx val="0"/>
            <c:spPr>
              <a:solidFill>
                <a:srgbClr val="5A5A5A"/>
              </a:solidFill>
              <a:ln>
                <a:solidFill>
                  <a:srgbClr val="5A5A5A"/>
                </a:solidFill>
              </a:ln>
            </c:spPr>
          </c:dPt>
          <c:dPt>
            <c:idx val="1"/>
            <c:spPr>
              <a:solidFill>
                <a:srgbClr val="5A5A5A"/>
              </a:solidFill>
              <a:ln>
                <a:solidFill>
                  <a:srgbClr val="5A5A5A"/>
                </a:solidFill>
              </a:ln>
            </c:spPr>
          </c:dPt>
          <c:dPt>
            <c:idx val="2"/>
            <c:spPr>
              <a:solidFill>
                <a:srgbClr val="5A5A5A"/>
              </a:solidFill>
              <a:ln>
                <a:solidFill>
                  <a:srgbClr val="5A5A5A"/>
                </a:solidFill>
              </a:ln>
            </c:spPr>
          </c:dPt>
          <c:dPt>
            <c:idx val="3"/>
            <c:spPr>
              <a:solidFill>
                <a:srgbClr val="5A5A5A"/>
              </a:solidFill>
              <a:ln>
                <a:solidFill>
                  <a:srgbClr val="5A5A5A"/>
                </a:solidFill>
              </a:ln>
            </c:spPr>
          </c:dPt>
          <c:dPt>
            <c:idx val="4"/>
            <c:spPr>
              <a:solidFill>
                <a:srgbClr val="5A5A5A"/>
              </a:solidFill>
              <a:ln>
                <a:solidFill>
                  <a:srgbClr val="5A5A5A"/>
                </a:solidFill>
              </a:ln>
            </c:spPr>
          </c:dPt>
          <c:dPt>
            <c:idx val="5"/>
            <c:spPr>
              <a:solidFill>
                <a:srgbClr val="5A5A5A"/>
              </a:solidFill>
              <a:ln>
                <a:solidFill>
                  <a:srgbClr val="5A5A5A"/>
                </a:solidFill>
              </a:ln>
            </c:spPr>
          </c:dPt>
          <c:dPt>
            <c:idx val="6"/>
            <c:spPr>
              <a:solidFill>
                <a:srgbClr val="5A5A5A"/>
              </a:solidFill>
              <a:ln>
                <a:solidFill>
                  <a:srgbClr val="5A5A5A"/>
                </a:solidFill>
              </a:ln>
            </c:spPr>
          </c:dPt>
          <c:dPt>
            <c:idx val="7"/>
            <c:spPr>
              <a:solidFill>
                <a:srgbClr val="5A5A5A"/>
              </a:solidFill>
              <a:ln>
                <a:solidFill>
                  <a:srgbClr val="5A5A5A"/>
                </a:solidFill>
              </a:ln>
            </c:spPr>
          </c:dPt>
          <c:dPt>
            <c:idx val="8"/>
            <c:spPr>
              <a:solidFill>
                <a:srgbClr val="5A5A5A"/>
              </a:solidFill>
              <a:ln>
                <a:solidFill>
                  <a:srgbClr val="5A5A5A"/>
                </a:solidFill>
              </a:ln>
            </c:spPr>
          </c:dPt>
          <c:dPt>
            <c:idx val="9"/>
            <c:spPr>
              <a:solidFill>
                <a:srgbClr val="5A5A5A"/>
              </a:solidFill>
              <a:ln>
                <a:solidFill>
                  <a:srgbClr val="5A5A5A"/>
                </a:solidFill>
              </a:ln>
            </c:spPr>
          </c:dPt>
          <c:dPt>
            <c:idx val="10"/>
            <c:spPr>
              <a:solidFill>
                <a:srgbClr val="5A5A5A"/>
              </a:solidFill>
              <a:ln>
                <a:solidFill>
                  <a:srgbClr val="5A5A5A"/>
                </a:solidFill>
              </a:ln>
            </c:spPr>
          </c:dPt>
          <c:dPt>
            <c:idx val="11"/>
            <c:spPr>
              <a:solidFill>
                <a:srgbClr val="5A5A5A"/>
              </a:solidFill>
              <a:ln>
                <a:solidFill>
                  <a:srgbClr val="5A5A5A"/>
                </a:solidFill>
              </a:ln>
            </c:spPr>
          </c:dPt>
          <c:dPt>
            <c:idx val="12"/>
            <c:spPr>
              <a:solidFill>
                <a:srgbClr val="5A5A5A"/>
              </a:solidFill>
              <a:ln>
                <a:solidFill>
                  <a:srgbClr val="5A5A5A"/>
                </a:solidFill>
              </a:ln>
            </c:spPr>
          </c:dPt>
          <c:dPt>
            <c:idx val="13"/>
            <c:spPr>
              <a:solidFill>
                <a:srgbClr val="5A5A5A"/>
              </a:solidFill>
              <a:ln>
                <a:solidFill>
                  <a:srgbClr val="5A5A5A"/>
                </a:solidFill>
              </a:ln>
            </c:spPr>
          </c:dPt>
          <c:dPt>
            <c:idx val="14"/>
            <c:spPr>
              <a:solidFill>
                <a:srgbClr val="5A5A5A"/>
              </a:solidFill>
              <a:ln>
                <a:solidFill>
                  <a:srgbClr val="5A5A5A"/>
                </a:solidFill>
              </a:ln>
            </c:spPr>
          </c:dPt>
          <c:dPt>
            <c:idx val="15"/>
            <c:spPr>
              <a:solidFill>
                <a:srgbClr val="5A5A5A"/>
              </a:solidFill>
              <a:ln>
                <a:solidFill>
                  <a:srgbClr val="5A5A5A"/>
                </a:solidFill>
              </a:ln>
            </c:spPr>
          </c:dPt>
          <c:dPt>
            <c:idx val="16"/>
            <c:spPr>
              <a:solidFill>
                <a:srgbClr val="5A5A5A"/>
              </a:solidFill>
              <a:ln>
                <a:solidFill>
                  <a:srgbClr val="5A5A5A"/>
                </a:solidFill>
              </a:ln>
            </c:spPr>
          </c:dPt>
          <c:dPt>
            <c:idx val="17"/>
            <c:spPr>
              <a:solidFill>
                <a:srgbClr val="5A5A5A"/>
              </a:solidFill>
              <a:ln>
                <a:solidFill>
                  <a:srgbClr val="5A5A5A"/>
                </a:solidFill>
              </a:ln>
            </c:spPr>
          </c:dPt>
          <c:dPt>
            <c:idx val="18"/>
            <c:spPr>
              <a:solidFill>
                <a:srgbClr val="5A5A5A"/>
              </a:solidFill>
              <a:ln>
                <a:solidFill>
                  <a:srgbClr val="5A5A5A"/>
                </a:solidFill>
              </a:ln>
            </c:spPr>
          </c:dPt>
          <c:dPt>
            <c:idx val="19"/>
            <c:spPr>
              <a:solidFill>
                <a:srgbClr val="5A5A5A"/>
              </a:solidFill>
              <a:ln>
                <a:solidFill>
                  <a:srgbClr val="5A5A5A"/>
                </a:solidFill>
              </a:ln>
            </c:spPr>
          </c:dPt>
          <c:dPt>
            <c:idx val="20"/>
            <c:spPr>
              <a:solidFill>
                <a:srgbClr val="5A5A5A"/>
              </a:solidFill>
              <a:ln>
                <a:solidFill>
                  <a:srgbClr val="5A5A5A"/>
                </a:solidFill>
              </a:ln>
            </c:spPr>
          </c:dPt>
          <c:dPt>
            <c:idx val="21"/>
            <c:spPr>
              <a:solidFill>
                <a:srgbClr val="5A5A5A"/>
              </a:solidFill>
              <a:ln>
                <a:solidFill>
                  <a:srgbClr val="5A5A5A"/>
                </a:solidFill>
              </a:ln>
            </c:spPr>
          </c:dPt>
          <c:dPt>
            <c:idx val="22"/>
            <c:spPr>
              <a:solidFill>
                <a:srgbClr val="5A5A5A"/>
              </a:solidFill>
              <a:ln>
                <a:solidFill>
                  <a:srgbClr val="5A5A5A"/>
                </a:solidFill>
              </a:ln>
            </c:spPr>
          </c:dPt>
          <c:dPt>
            <c:idx val="23"/>
            <c:spPr>
              <a:solidFill>
                <a:srgbClr val="546D92"/>
              </a:solidFill>
              <a:ln>
                <a:solidFill>
                  <a:srgbClr val="546D92"/>
                </a:solidFill>
              </a:ln>
            </c:spPr>
          </c:dPt>
          <c:dLbls>
            <c:numFmt formatCode="#,##0" sourceLinked="0"/>
            <c:txPr>
              <a:bodyPr/>
              <a:lstStyle/>
              <a:p>
                <a:pPr>
                  <a:defRPr sz="700" baseline="0">
                    <a:solidFill>
                      <a:srgbClr val="FFFFFF"/>
                    </a:solidFill>
                    <a:latin typeface="Arial"/>
                  </a:defRPr>
                </a:pPr>
                <a:endParaRPr lang="en-US"/>
              </a:p>
            </c:txPr>
            <c:dLblPos val="ctr"/>
            <c:showVal val="1"/>
          </c:dLbls>
          <c:cat>
            <c:numRef>
              <c:f>'Summary Statistics'!$A$77:$A$100</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'Summary Statistics'!$F$77:$F$100</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ser>
          <c:idx val="5"/>
          <c:order val="5"/>
          <c:tx>
            <c:v>Phase 3</c:v>
          </c:tx>
          <c:spPr>
            <a:solidFill>
              <a:srgbClr val="3A3A3A"/>
            </a:solidFill>
            <a:ln>
              <a:solidFill>
                <a:srgbClr val="3A3A3A"/>
              </a:solidFill>
            </a:ln>
          </c:spPr>
          <c:dPt>
            <c:idx val="0"/>
            <c:spPr>
              <a:solidFill>
                <a:srgbClr val="3A3A3A"/>
              </a:solidFill>
              <a:ln>
                <a:solidFill>
                  <a:srgbClr val="3A3A3A"/>
                </a:solidFill>
              </a:ln>
            </c:spPr>
          </c:dPt>
          <c:dPt>
            <c:idx val="1"/>
            <c:spPr>
              <a:solidFill>
                <a:srgbClr val="3A3A3A"/>
              </a:solidFill>
              <a:ln>
                <a:solidFill>
                  <a:srgbClr val="3A3A3A"/>
                </a:solidFill>
              </a:ln>
            </c:spPr>
          </c:dPt>
          <c:dPt>
            <c:idx val="2"/>
            <c:spPr>
              <a:solidFill>
                <a:srgbClr val="3A3A3A"/>
              </a:solidFill>
              <a:ln>
                <a:solidFill>
                  <a:srgbClr val="3A3A3A"/>
                </a:solidFill>
              </a:ln>
            </c:spPr>
          </c:dPt>
          <c:dPt>
            <c:idx val="3"/>
            <c:spPr>
              <a:solidFill>
                <a:srgbClr val="3A3A3A"/>
              </a:solidFill>
              <a:ln>
                <a:solidFill>
                  <a:srgbClr val="3A3A3A"/>
                </a:solidFill>
              </a:ln>
            </c:spPr>
          </c:dPt>
          <c:dPt>
            <c:idx val="4"/>
            <c:spPr>
              <a:solidFill>
                <a:srgbClr val="3A3A3A"/>
              </a:solidFill>
              <a:ln>
                <a:solidFill>
                  <a:srgbClr val="3A3A3A"/>
                </a:solidFill>
              </a:ln>
            </c:spPr>
          </c:dPt>
          <c:dPt>
            <c:idx val="5"/>
            <c:spPr>
              <a:solidFill>
                <a:srgbClr val="3A3A3A"/>
              </a:solidFill>
              <a:ln>
                <a:solidFill>
                  <a:srgbClr val="3A3A3A"/>
                </a:solidFill>
              </a:ln>
            </c:spPr>
          </c:dPt>
          <c:dPt>
            <c:idx val="6"/>
            <c:spPr>
              <a:solidFill>
                <a:srgbClr val="3A3A3A"/>
              </a:solidFill>
              <a:ln>
                <a:solidFill>
                  <a:srgbClr val="3A3A3A"/>
                </a:solidFill>
              </a:ln>
            </c:spPr>
          </c:dPt>
          <c:dPt>
            <c:idx val="7"/>
            <c:spPr>
              <a:solidFill>
                <a:srgbClr val="3A3A3A"/>
              </a:solidFill>
              <a:ln>
                <a:solidFill>
                  <a:srgbClr val="3A3A3A"/>
                </a:solidFill>
              </a:ln>
            </c:spPr>
          </c:dPt>
          <c:dPt>
            <c:idx val="8"/>
            <c:spPr>
              <a:solidFill>
                <a:srgbClr val="3A3A3A"/>
              </a:solidFill>
              <a:ln>
                <a:solidFill>
                  <a:srgbClr val="3A3A3A"/>
                </a:solidFill>
              </a:ln>
            </c:spPr>
          </c:dPt>
          <c:dPt>
            <c:idx val="9"/>
            <c:spPr>
              <a:solidFill>
                <a:srgbClr val="3A3A3A"/>
              </a:solidFill>
              <a:ln>
                <a:solidFill>
                  <a:srgbClr val="3A3A3A"/>
                </a:solidFill>
              </a:ln>
            </c:spPr>
          </c:dPt>
          <c:dPt>
            <c:idx val="10"/>
            <c:spPr>
              <a:solidFill>
                <a:srgbClr val="3A3A3A"/>
              </a:solidFill>
              <a:ln>
                <a:solidFill>
                  <a:srgbClr val="3A3A3A"/>
                </a:solidFill>
              </a:ln>
            </c:spPr>
          </c:dPt>
          <c:dPt>
            <c:idx val="11"/>
            <c:spPr>
              <a:solidFill>
                <a:srgbClr val="3A3A3A"/>
              </a:solidFill>
              <a:ln>
                <a:solidFill>
                  <a:srgbClr val="3A3A3A"/>
                </a:solidFill>
              </a:ln>
            </c:spPr>
          </c:dPt>
          <c:dPt>
            <c:idx val="12"/>
            <c:spPr>
              <a:solidFill>
                <a:srgbClr val="3A3A3A"/>
              </a:solidFill>
              <a:ln>
                <a:solidFill>
                  <a:srgbClr val="3A3A3A"/>
                </a:solidFill>
              </a:ln>
            </c:spPr>
          </c:dPt>
          <c:dPt>
            <c:idx val="13"/>
            <c:spPr>
              <a:solidFill>
                <a:srgbClr val="3A3A3A"/>
              </a:solidFill>
              <a:ln>
                <a:solidFill>
                  <a:srgbClr val="3A3A3A"/>
                </a:solidFill>
              </a:ln>
            </c:spPr>
          </c:dPt>
          <c:dPt>
            <c:idx val="14"/>
            <c:spPr>
              <a:solidFill>
                <a:srgbClr val="3A3A3A"/>
              </a:solidFill>
              <a:ln>
                <a:solidFill>
                  <a:srgbClr val="3A3A3A"/>
                </a:solidFill>
              </a:ln>
            </c:spPr>
          </c:dPt>
          <c:dPt>
            <c:idx val="15"/>
            <c:spPr>
              <a:solidFill>
                <a:srgbClr val="3A3A3A"/>
              </a:solidFill>
              <a:ln>
                <a:solidFill>
                  <a:srgbClr val="3A3A3A"/>
                </a:solidFill>
              </a:ln>
            </c:spPr>
          </c:dPt>
          <c:dPt>
            <c:idx val="16"/>
            <c:spPr>
              <a:solidFill>
                <a:srgbClr val="3A3A3A"/>
              </a:solidFill>
              <a:ln>
                <a:solidFill>
                  <a:srgbClr val="3A3A3A"/>
                </a:solidFill>
              </a:ln>
            </c:spPr>
          </c:dPt>
          <c:dPt>
            <c:idx val="17"/>
            <c:spPr>
              <a:solidFill>
                <a:srgbClr val="3A3A3A"/>
              </a:solidFill>
              <a:ln>
                <a:solidFill>
                  <a:srgbClr val="3A3A3A"/>
                </a:solidFill>
              </a:ln>
            </c:spPr>
          </c:dPt>
          <c:dPt>
            <c:idx val="18"/>
            <c:spPr>
              <a:solidFill>
                <a:srgbClr val="3A3A3A"/>
              </a:solidFill>
              <a:ln>
                <a:solidFill>
                  <a:srgbClr val="3A3A3A"/>
                </a:solidFill>
              </a:ln>
            </c:spPr>
          </c:dPt>
          <c:dPt>
            <c:idx val="19"/>
            <c:spPr>
              <a:solidFill>
                <a:srgbClr val="3A3A3A"/>
              </a:solidFill>
              <a:ln>
                <a:solidFill>
                  <a:srgbClr val="3A3A3A"/>
                </a:solidFill>
              </a:ln>
            </c:spPr>
          </c:dPt>
          <c:dPt>
            <c:idx val="20"/>
            <c:spPr>
              <a:solidFill>
                <a:srgbClr val="3A3A3A"/>
              </a:solidFill>
              <a:ln>
                <a:solidFill>
                  <a:srgbClr val="3A3A3A"/>
                </a:solidFill>
              </a:ln>
            </c:spPr>
          </c:dPt>
          <c:dPt>
            <c:idx val="21"/>
            <c:spPr>
              <a:solidFill>
                <a:srgbClr val="3A3A3A"/>
              </a:solidFill>
              <a:ln>
                <a:solidFill>
                  <a:srgbClr val="3A3A3A"/>
                </a:solidFill>
              </a:ln>
            </c:spPr>
          </c:dPt>
          <c:dPt>
            <c:idx val="22"/>
            <c:spPr>
              <a:solidFill>
                <a:srgbClr val="3A3A3A"/>
              </a:solidFill>
              <a:ln>
                <a:solidFill>
                  <a:srgbClr val="3A3A3A"/>
                </a:solidFill>
              </a:ln>
            </c:spPr>
          </c:dPt>
          <c:dPt>
            <c:idx val="23"/>
            <c:spPr>
              <a:solidFill>
                <a:srgbClr val="3A527B"/>
              </a:solidFill>
              <a:ln>
                <a:solidFill>
                  <a:srgbClr val="3A527B"/>
                </a:solidFill>
              </a:ln>
            </c:spPr>
          </c:dPt>
          <c:dLbls>
            <c:numFmt formatCode="#,##0" sourceLinked="0"/>
            <c:txPr>
              <a:bodyPr/>
              <a:lstStyle/>
              <a:p>
                <a:pPr>
                  <a:defRPr sz="700" baseline="0">
                    <a:solidFill>
                      <a:srgbClr val="FFFFFF"/>
                    </a:solidFill>
                    <a:latin typeface="Arial"/>
                  </a:defRPr>
                </a:pPr>
                <a:endParaRPr lang="en-US"/>
              </a:p>
            </c:txPr>
            <c:dLblPos val="ctr"/>
            <c:showVal val="1"/>
          </c:dLbls>
          <c:cat>
            <c:numRef>
              <c:f>'Summary Statistics'!$A$77:$A$100</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'Summary Statistics'!$G$77:$G$100</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ser>
          <c:idx val="6"/>
          <c:order val="6"/>
          <c:tx>
            <c:v>Phase 4</c:v>
          </c:tx>
          <c:spPr>
            <a:solidFill>
              <a:srgbClr val="1A1A1A"/>
            </a:solidFill>
            <a:ln>
              <a:solidFill>
                <a:srgbClr val="1A1A1A"/>
              </a:solidFill>
            </a:ln>
          </c:spPr>
          <c:dPt>
            <c:idx val="0"/>
            <c:spPr>
              <a:solidFill>
                <a:srgbClr val="1A1A1A"/>
              </a:solidFill>
              <a:ln>
                <a:solidFill>
                  <a:srgbClr val="1A1A1A"/>
                </a:solidFill>
              </a:ln>
            </c:spPr>
          </c:dPt>
          <c:dPt>
            <c:idx val="1"/>
            <c:spPr>
              <a:solidFill>
                <a:srgbClr val="1A1A1A"/>
              </a:solidFill>
              <a:ln>
                <a:solidFill>
                  <a:srgbClr val="1A1A1A"/>
                </a:solidFill>
              </a:ln>
            </c:spPr>
          </c:dPt>
          <c:dPt>
            <c:idx val="2"/>
            <c:spPr>
              <a:solidFill>
                <a:srgbClr val="1A1A1A"/>
              </a:solidFill>
              <a:ln>
                <a:solidFill>
                  <a:srgbClr val="1A1A1A"/>
                </a:solidFill>
              </a:ln>
            </c:spPr>
          </c:dPt>
          <c:dPt>
            <c:idx val="3"/>
            <c:spPr>
              <a:solidFill>
                <a:srgbClr val="1A1A1A"/>
              </a:solidFill>
              <a:ln>
                <a:solidFill>
                  <a:srgbClr val="1A1A1A"/>
                </a:solidFill>
              </a:ln>
            </c:spPr>
          </c:dPt>
          <c:dPt>
            <c:idx val="4"/>
            <c:spPr>
              <a:solidFill>
                <a:srgbClr val="1A1A1A"/>
              </a:solidFill>
              <a:ln>
                <a:solidFill>
                  <a:srgbClr val="1A1A1A"/>
                </a:solidFill>
              </a:ln>
            </c:spPr>
          </c:dPt>
          <c:dPt>
            <c:idx val="5"/>
            <c:spPr>
              <a:solidFill>
                <a:srgbClr val="1A1A1A"/>
              </a:solidFill>
              <a:ln>
                <a:solidFill>
                  <a:srgbClr val="1A1A1A"/>
                </a:solidFill>
              </a:ln>
            </c:spPr>
          </c:dPt>
          <c:dPt>
            <c:idx val="6"/>
            <c:spPr>
              <a:solidFill>
                <a:srgbClr val="1A1A1A"/>
              </a:solidFill>
              <a:ln>
                <a:solidFill>
                  <a:srgbClr val="1A1A1A"/>
                </a:solidFill>
              </a:ln>
            </c:spPr>
          </c:dPt>
          <c:dPt>
            <c:idx val="7"/>
            <c:spPr>
              <a:solidFill>
                <a:srgbClr val="1A1A1A"/>
              </a:solidFill>
              <a:ln>
                <a:solidFill>
                  <a:srgbClr val="1A1A1A"/>
                </a:solidFill>
              </a:ln>
            </c:spPr>
          </c:dPt>
          <c:dPt>
            <c:idx val="8"/>
            <c:spPr>
              <a:solidFill>
                <a:srgbClr val="1A1A1A"/>
              </a:solidFill>
              <a:ln>
                <a:solidFill>
                  <a:srgbClr val="1A1A1A"/>
                </a:solidFill>
              </a:ln>
            </c:spPr>
          </c:dPt>
          <c:dPt>
            <c:idx val="9"/>
            <c:spPr>
              <a:solidFill>
                <a:srgbClr val="1A1A1A"/>
              </a:solidFill>
              <a:ln>
                <a:solidFill>
                  <a:srgbClr val="1A1A1A"/>
                </a:solidFill>
              </a:ln>
            </c:spPr>
          </c:dPt>
          <c:dPt>
            <c:idx val="10"/>
            <c:spPr>
              <a:solidFill>
                <a:srgbClr val="1A1A1A"/>
              </a:solidFill>
              <a:ln>
                <a:solidFill>
                  <a:srgbClr val="1A1A1A"/>
                </a:solidFill>
              </a:ln>
            </c:spPr>
          </c:dPt>
          <c:dPt>
            <c:idx val="11"/>
            <c:spPr>
              <a:solidFill>
                <a:srgbClr val="1A1A1A"/>
              </a:solidFill>
              <a:ln>
                <a:solidFill>
                  <a:srgbClr val="1A1A1A"/>
                </a:solidFill>
              </a:ln>
            </c:spPr>
          </c:dPt>
          <c:dPt>
            <c:idx val="12"/>
            <c:spPr>
              <a:solidFill>
                <a:srgbClr val="1A1A1A"/>
              </a:solidFill>
              <a:ln>
                <a:solidFill>
                  <a:srgbClr val="1A1A1A"/>
                </a:solidFill>
              </a:ln>
            </c:spPr>
          </c:dPt>
          <c:dPt>
            <c:idx val="13"/>
            <c:spPr>
              <a:solidFill>
                <a:srgbClr val="1A1A1A"/>
              </a:solidFill>
              <a:ln>
                <a:solidFill>
                  <a:srgbClr val="1A1A1A"/>
                </a:solidFill>
              </a:ln>
            </c:spPr>
          </c:dPt>
          <c:dPt>
            <c:idx val="14"/>
            <c:spPr>
              <a:solidFill>
                <a:srgbClr val="1A1A1A"/>
              </a:solidFill>
              <a:ln>
                <a:solidFill>
                  <a:srgbClr val="1A1A1A"/>
                </a:solidFill>
              </a:ln>
            </c:spPr>
          </c:dPt>
          <c:dPt>
            <c:idx val="15"/>
            <c:spPr>
              <a:solidFill>
                <a:srgbClr val="1A1A1A"/>
              </a:solidFill>
              <a:ln>
                <a:solidFill>
                  <a:srgbClr val="1A1A1A"/>
                </a:solidFill>
              </a:ln>
            </c:spPr>
          </c:dPt>
          <c:dPt>
            <c:idx val="16"/>
            <c:spPr>
              <a:solidFill>
                <a:srgbClr val="1A1A1A"/>
              </a:solidFill>
              <a:ln>
                <a:solidFill>
                  <a:srgbClr val="1A1A1A"/>
                </a:solidFill>
              </a:ln>
            </c:spPr>
          </c:dPt>
          <c:dPt>
            <c:idx val="17"/>
            <c:spPr>
              <a:solidFill>
                <a:srgbClr val="1A1A1A"/>
              </a:solidFill>
              <a:ln>
                <a:solidFill>
                  <a:srgbClr val="1A1A1A"/>
                </a:solidFill>
              </a:ln>
            </c:spPr>
          </c:dPt>
          <c:dPt>
            <c:idx val="18"/>
            <c:spPr>
              <a:solidFill>
                <a:srgbClr val="1A1A1A"/>
              </a:solidFill>
              <a:ln>
                <a:solidFill>
                  <a:srgbClr val="1A1A1A"/>
                </a:solidFill>
              </a:ln>
            </c:spPr>
          </c:dPt>
          <c:dPt>
            <c:idx val="19"/>
            <c:spPr>
              <a:solidFill>
                <a:srgbClr val="1A1A1A"/>
              </a:solidFill>
              <a:ln>
                <a:solidFill>
                  <a:srgbClr val="1A1A1A"/>
                </a:solidFill>
              </a:ln>
            </c:spPr>
          </c:dPt>
          <c:dPt>
            <c:idx val="20"/>
            <c:spPr>
              <a:solidFill>
                <a:srgbClr val="1A1A1A"/>
              </a:solidFill>
              <a:ln>
                <a:solidFill>
                  <a:srgbClr val="1A1A1A"/>
                </a:solidFill>
              </a:ln>
            </c:spPr>
          </c:dPt>
          <c:dPt>
            <c:idx val="21"/>
            <c:spPr>
              <a:solidFill>
                <a:srgbClr val="1A1A1A"/>
              </a:solidFill>
              <a:ln>
                <a:solidFill>
                  <a:srgbClr val="1A1A1A"/>
                </a:solidFill>
              </a:ln>
            </c:spPr>
          </c:dPt>
          <c:dPt>
            <c:idx val="22"/>
            <c:spPr>
              <a:solidFill>
                <a:srgbClr val="1A1A1A"/>
              </a:solidFill>
              <a:ln>
                <a:solidFill>
                  <a:srgbClr val="1A1A1A"/>
                </a:solidFill>
              </a:ln>
            </c:spPr>
          </c:dPt>
          <c:dPt>
            <c:idx val="23"/>
            <c:spPr>
              <a:solidFill>
                <a:srgbClr val="1F3864"/>
              </a:solidFill>
              <a:ln>
                <a:solidFill>
                  <a:srgbClr val="1F3864"/>
                </a:solidFill>
              </a:ln>
            </c:spPr>
          </c:dPt>
          <c:dLbls>
            <c:numFmt formatCode="#,##0" sourceLinked="0"/>
            <c:txPr>
              <a:bodyPr/>
              <a:lstStyle/>
              <a:p>
                <a:pPr>
                  <a:defRPr sz="700" baseline="0">
                    <a:solidFill>
                      <a:srgbClr val="FFFFFF"/>
                    </a:solidFill>
                    <a:latin typeface="Arial"/>
                  </a:defRPr>
                </a:pPr>
                <a:endParaRPr lang="en-US"/>
              </a:p>
            </c:txPr>
            <c:dLblPos val="ctr"/>
            <c:showVal val="1"/>
          </c:dLbls>
          <c:cat>
            <c:numRef>
              <c:f>'Summary Statistics'!$A$77:$A$100</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'Summary Statistics'!$H$77:$H$100</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gapWidth val="80"/>
        <c:overlap val="100"/>
        <c:axId val="50020001"/>
        <c:axId val="50020002"/>
      </c:barChart>
      <c:lineChart>
        <c:grouping val="standard"/>
        <c:ser>
          <c:idx val="7"/>
          <c:order val="7"/>
          <c:tx>
            <c:v>_Total</c:v>
          </c:tx>
          <c:spPr>
            <a:ln>
              <a:noFill/>
            </a:ln>
          </c:spPr>
          <c:marker>
            <c:symbol val="none"/>
          </c:marker>
          <c:dLbls>
            <c:numFmt formatCode="#,##0" sourceLinked="0"/>
            <c:txPr>
              <a:bodyPr/>
              <a:lstStyle/>
              <a:p>
                <a:pPr>
                  <a:defRPr sz="800" b="1" baseline="0">
                    <a:solidFill>
                      <a:srgbClr val="1F3864"/>
                    </a:solidFill>
                    <a:latin typeface="Arial"/>
                  </a:defRPr>
                </a:pPr>
                <a:endParaRPr lang="en-US"/>
              </a:p>
            </c:txPr>
            <c:dLblPos val="t"/>
            <c:showVal val="1"/>
          </c:dLbls>
          <c:cat>
            <c:numRef>
              <c:f>'Summary Statistics'!$A$77:$A$100</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'Summary Statistics'!$I$77:$I$100</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marker val="1"/>
        <c:axId val="50020001"/>
        <c:axId val="50020002"/>
      </c:lineChart>
      <c:catAx>
        <c:axId val="50020001"/>
        <c:scaling>
          <c:orientation val="minMax"/>
        </c:scaling>
        <c:axPos val="b"/>
        <c:numFmt formatCode="mmm yy" sourceLinked="0"/>
        <c:tickLblPos val="low"/>
        <c:txPr>
          <a:bodyPr rot="-2700000" vert="horz"/>
          <a:lstStyle/>
          <a:p>
            <a:pPr>
              <a:defRPr sz="700" baseline="0">
                <a:latin typeface="Arial"/>
              </a:defRPr>
            </a:pPr>
            <a:endParaRPr lang="en-US"/>
          </a:p>
        </c:txPr>
        <c:crossAx val="50020002"/>
        <c:crosses val="autoZero"/>
        <c:auto val="1"/>
        <c:lblAlgn val="ctr"/>
        <c:lblOffset val="100"/>
      </c:catAx>
      <c:valAx>
        <c:axId val="50020002"/>
        <c:scaling>
          <c:orientation val="minMax"/>
        </c:scaling>
        <c:axPos val="l"/>
        <c:numFmt formatCode="#,##0" sourceLinked="0"/>
        <c:tickLblPos val="nextTo"/>
        <c:crossAx val="50020001"/>
        <c:crosses val="autoZero"/>
        <c:crossBetween val="between"/>
      </c:valAx>
      <c:spPr>
        <a:ln>
          <a:noFill/>
        </a:ln>
      </c:spPr>
    </c:plotArea>
    <c:legend>
      <c:legendPos val="b"/>
      <c:legendEntry>
        <c:idx val="7"/>
        <c:delete val="1"/>
      </c:legendEntry>
      <c:layout/>
      <c:txPr>
        <a:bodyPr/>
        <a:lstStyle/>
        <a:p>
          <a:pPr>
            <a:defRPr sz="800" baseline="0">
              <a:latin typeface="Arial"/>
            </a:defRPr>
          </a:pPr>
          <a:endParaRPr lang="en-US"/>
        </a:p>
      </c:txPr>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latin typeface="Arial"/>
              </a:defRPr>
            </a:pPr>
            <a:r>
              <a:rPr lang="en-US" sz="1200" b="1" baseline="0">
                <a:latin typeface="Arial"/>
              </a:rPr>
              <a:t>Number of enrollment by phase, to date: Yearly</a:t>
            </a:r>
          </a:p>
        </c:rich>
      </c:tx>
      <c:layout/>
    </c:title>
    <c:plotArea>
      <c:layout/>
      <c:barChart>
        <c:barDir val="col"/>
        <c:grouping val="stacked"/>
        <c:ser>
          <c:idx val="0"/>
          <c:order val="0"/>
          <c:tx>
            <c:v>Early Phase 1</c:v>
          </c:tx>
          <c:spPr>
            <a:solidFill>
              <a:srgbClr val="D9D9D9"/>
            </a:solidFill>
            <a:ln>
              <a:solidFill>
                <a:srgbClr val="D9D9D9"/>
              </a:solidFill>
            </a:ln>
          </c:spPr>
          <c:dPt>
            <c:idx val="0"/>
            <c:spPr>
              <a:solidFill>
                <a:srgbClr val="D9D9D9"/>
              </a:solidFill>
              <a:ln>
                <a:solidFill>
                  <a:srgbClr val="D9D9D9"/>
                </a:solidFill>
              </a:ln>
            </c:spPr>
          </c:dPt>
          <c:dPt>
            <c:idx val="1"/>
            <c:spPr>
              <a:solidFill>
                <a:srgbClr val="D9D9D9"/>
              </a:solidFill>
              <a:ln>
                <a:solidFill>
                  <a:srgbClr val="D9D9D9"/>
                </a:solidFill>
              </a:ln>
            </c:spPr>
          </c:dPt>
          <c:dPt>
            <c:idx val="2"/>
            <c:spPr>
              <a:solidFill>
                <a:srgbClr val="D9D9D9"/>
              </a:solidFill>
              <a:ln>
                <a:solidFill>
                  <a:srgbClr val="D9D9D9"/>
                </a:solidFill>
              </a:ln>
            </c:spPr>
          </c:dPt>
          <c:dPt>
            <c:idx val="3"/>
            <c:spPr>
              <a:solidFill>
                <a:srgbClr val="D9D9D9"/>
              </a:solidFill>
              <a:ln>
                <a:solidFill>
                  <a:srgbClr val="D9D9D9"/>
                </a:solidFill>
              </a:ln>
            </c:spPr>
          </c:dPt>
          <c:dPt>
            <c:idx val="4"/>
            <c:spPr>
              <a:solidFill>
                <a:srgbClr val="D9D9D9"/>
              </a:solidFill>
              <a:ln>
                <a:solidFill>
                  <a:srgbClr val="D9D9D9"/>
                </a:solidFill>
              </a:ln>
            </c:spPr>
          </c:dPt>
          <c:dPt>
            <c:idx val="5"/>
            <c:spPr>
              <a:solidFill>
                <a:srgbClr val="D9D9D9"/>
              </a:solidFill>
              <a:ln>
                <a:solidFill>
                  <a:srgbClr val="D9D9D9"/>
                </a:solidFill>
              </a:ln>
            </c:spPr>
          </c:dPt>
          <c:dPt>
            <c:idx val="6"/>
            <c:spPr>
              <a:solidFill>
                <a:srgbClr val="BDD7EE"/>
              </a:solidFill>
              <a:ln>
                <a:solidFill>
                  <a:srgbClr val="BDD7EE"/>
                </a:solidFill>
              </a:ln>
            </c:spPr>
          </c:dPt>
          <c:dPt>
            <c:idx val="7"/>
            <c:spPr>
              <a:solidFill>
                <a:srgbClr val="BDD7EE"/>
              </a:solidFill>
              <a:ln>
                <a:solidFill>
                  <a:srgbClr val="BDD7EE"/>
                </a:solidFill>
              </a:ln>
            </c:spPr>
          </c:dPt>
          <c:dLbls>
            <c:numFmt formatCode="#,##0" sourceLinked="0"/>
            <c:txPr>
              <a:bodyPr/>
              <a:lstStyle/>
              <a:p>
                <a:pPr>
                  <a:defRPr sz="700" baseline="0">
                    <a:solidFill>
                      <a:srgbClr val="1A1A1A"/>
                    </a:solidFill>
                    <a:latin typeface="Arial"/>
                  </a:defRPr>
                </a:pPr>
                <a:endParaRPr lang="en-US"/>
              </a:p>
            </c:txPr>
            <c:dLblPos val="ctr"/>
            <c:showVal val="1"/>
          </c:dLbls>
          <c:cat>
            <c:strRef>
              <c:f>'Summary Statistics - Enrollment'!$A$2:$A$9</c:f>
              <c:strCache>
                <c:ptCount val="8"/>
                <c:pt idx="0">
                  <c:v>2020</c:v>
                </c:pt>
                <c:pt idx="1">
                  <c:v>2021</c:v>
                </c:pt>
                <c:pt idx="2">
                  <c:v>2022</c:v>
                </c:pt>
                <c:pt idx="3">
                  <c:v>2023</c:v>
                </c:pt>
                <c:pt idx="4">
                  <c:v>2024</c:v>
                </c:pt>
                <c:pt idx="5">
                  <c:v>2025</c:v>
                </c:pt>
                <c:pt idx="6">
                  <c:v>2026 through July</c:v>
                </c:pt>
                <c:pt idx="7">
                  <c:v>2026 Annualized</c:v>
                </c:pt>
              </c:strCache>
            </c:strRef>
          </c:cat>
          <c:val>
            <c:numRef>
              <c:f>'Summary Statistics - Enrollment'!$B$2:$B$9</c:f>
              <c:numCache>
                <c:formatCode>General</c:formatCode>
                <c:ptCount val="8"/>
                <c:pt idx="0">
                  <c:v>0</c:v>
                </c:pt>
                <c:pt idx="1">
                  <c:v>0</c:v>
                </c:pt>
                <c:pt idx="2">
                  <c:v>0</c:v>
                </c:pt>
                <c:pt idx="3">
                  <c:v>0</c:v>
                </c:pt>
                <c:pt idx="4">
                  <c:v>0</c:v>
                </c:pt>
                <c:pt idx="5">
                  <c:v>0</c:v>
                </c:pt>
                <c:pt idx="6">
                  <c:v>0</c:v>
                </c:pt>
                <c:pt idx="7">
                  <c:v>0</c:v>
                </c:pt>
              </c:numCache>
            </c:numRef>
          </c:val>
        </c:ser>
        <c:ser>
          <c:idx val="1"/>
          <c:order val="1"/>
          <c:tx>
            <c:v>Phase 1</c:v>
          </c:tx>
          <c:spPr>
            <a:solidFill>
              <a:srgbClr val="B9B9B9"/>
            </a:solidFill>
            <a:ln>
              <a:solidFill>
                <a:srgbClr val="B9B9B9"/>
              </a:solidFill>
            </a:ln>
          </c:spPr>
          <c:dPt>
            <c:idx val="0"/>
            <c:spPr>
              <a:solidFill>
                <a:srgbClr val="B9B9B9"/>
              </a:solidFill>
              <a:ln>
                <a:solidFill>
                  <a:srgbClr val="B9B9B9"/>
                </a:solidFill>
              </a:ln>
            </c:spPr>
          </c:dPt>
          <c:dPt>
            <c:idx val="1"/>
            <c:spPr>
              <a:solidFill>
                <a:srgbClr val="B9B9B9"/>
              </a:solidFill>
              <a:ln>
                <a:solidFill>
                  <a:srgbClr val="B9B9B9"/>
                </a:solidFill>
              </a:ln>
            </c:spPr>
          </c:dPt>
          <c:dPt>
            <c:idx val="2"/>
            <c:spPr>
              <a:solidFill>
                <a:srgbClr val="B9B9B9"/>
              </a:solidFill>
              <a:ln>
                <a:solidFill>
                  <a:srgbClr val="B9B9B9"/>
                </a:solidFill>
              </a:ln>
            </c:spPr>
          </c:dPt>
          <c:dPt>
            <c:idx val="3"/>
            <c:spPr>
              <a:solidFill>
                <a:srgbClr val="B9B9B9"/>
              </a:solidFill>
              <a:ln>
                <a:solidFill>
                  <a:srgbClr val="B9B9B9"/>
                </a:solidFill>
              </a:ln>
            </c:spPr>
          </c:dPt>
          <c:dPt>
            <c:idx val="4"/>
            <c:spPr>
              <a:solidFill>
                <a:srgbClr val="B9B9B9"/>
              </a:solidFill>
              <a:ln>
                <a:solidFill>
                  <a:srgbClr val="B9B9B9"/>
                </a:solidFill>
              </a:ln>
            </c:spPr>
          </c:dPt>
          <c:dPt>
            <c:idx val="5"/>
            <c:spPr>
              <a:solidFill>
                <a:srgbClr val="B9B9B9"/>
              </a:solidFill>
              <a:ln>
                <a:solidFill>
                  <a:srgbClr val="B9B9B9"/>
                </a:solidFill>
              </a:ln>
            </c:spPr>
          </c:dPt>
          <c:dPt>
            <c:idx val="6"/>
            <c:spPr>
              <a:solidFill>
                <a:srgbClr val="A3BCD7"/>
              </a:solidFill>
              <a:ln>
                <a:solidFill>
                  <a:srgbClr val="A3BCD7"/>
                </a:solidFill>
              </a:ln>
            </c:spPr>
          </c:dPt>
          <c:dPt>
            <c:idx val="7"/>
            <c:spPr>
              <a:solidFill>
                <a:srgbClr val="A3BCD7"/>
              </a:solidFill>
              <a:ln>
                <a:solidFill>
                  <a:srgbClr val="A3BCD7"/>
                </a:solidFill>
              </a:ln>
            </c:spPr>
          </c:dPt>
          <c:dLbls>
            <c:numFmt formatCode="#,##0" sourceLinked="0"/>
            <c:txPr>
              <a:bodyPr/>
              <a:lstStyle/>
              <a:p>
                <a:pPr>
                  <a:defRPr sz="700" baseline="0">
                    <a:solidFill>
                      <a:srgbClr val="1A1A1A"/>
                    </a:solidFill>
                    <a:latin typeface="Arial"/>
                  </a:defRPr>
                </a:pPr>
                <a:endParaRPr lang="en-US"/>
              </a:p>
            </c:txPr>
            <c:dLblPos val="ctr"/>
            <c:showVal val="1"/>
          </c:dLbls>
          <c:cat>
            <c:strRef>
              <c:f>'Summary Statistics - Enrollment'!$A$2:$A$9</c:f>
              <c:strCache>
                <c:ptCount val="8"/>
                <c:pt idx="0">
                  <c:v>2020</c:v>
                </c:pt>
                <c:pt idx="1">
                  <c:v>2021</c:v>
                </c:pt>
                <c:pt idx="2">
                  <c:v>2022</c:v>
                </c:pt>
                <c:pt idx="3">
                  <c:v>2023</c:v>
                </c:pt>
                <c:pt idx="4">
                  <c:v>2024</c:v>
                </c:pt>
                <c:pt idx="5">
                  <c:v>2025</c:v>
                </c:pt>
                <c:pt idx="6">
                  <c:v>2026 through July</c:v>
                </c:pt>
                <c:pt idx="7">
                  <c:v>2026 Annualized</c:v>
                </c:pt>
              </c:strCache>
            </c:strRef>
          </c:cat>
          <c:val>
            <c:numRef>
              <c:f>'Summary Statistics - Enrollment'!$C$2:$C$9</c:f>
              <c:numCache>
                <c:formatCode>General</c:formatCode>
                <c:ptCount val="8"/>
                <c:pt idx="0">
                  <c:v>0</c:v>
                </c:pt>
                <c:pt idx="1">
                  <c:v>0</c:v>
                </c:pt>
                <c:pt idx="2">
                  <c:v>0</c:v>
                </c:pt>
                <c:pt idx="3">
                  <c:v>0</c:v>
                </c:pt>
                <c:pt idx="4">
                  <c:v>0</c:v>
                </c:pt>
                <c:pt idx="5">
                  <c:v>0</c:v>
                </c:pt>
                <c:pt idx="6">
                  <c:v>0</c:v>
                </c:pt>
                <c:pt idx="7">
                  <c:v>0</c:v>
                </c:pt>
              </c:numCache>
            </c:numRef>
          </c:val>
        </c:ser>
        <c:ser>
          <c:idx val="2"/>
          <c:order val="2"/>
          <c:tx>
            <c:v>Phase 1/2</c:v>
          </c:tx>
          <c:spPr>
            <a:solidFill>
              <a:srgbClr val="999999"/>
            </a:solidFill>
            <a:ln>
              <a:solidFill>
                <a:srgbClr val="999999"/>
              </a:solidFill>
            </a:ln>
          </c:spPr>
          <c:dPt>
            <c:idx val="0"/>
            <c:spPr>
              <a:solidFill>
                <a:srgbClr val="999999"/>
              </a:solidFill>
              <a:ln>
                <a:solidFill>
                  <a:srgbClr val="999999"/>
                </a:solidFill>
              </a:ln>
            </c:spPr>
          </c:dPt>
          <c:dPt>
            <c:idx val="1"/>
            <c:spPr>
              <a:solidFill>
                <a:srgbClr val="999999"/>
              </a:solidFill>
              <a:ln>
                <a:solidFill>
                  <a:srgbClr val="999999"/>
                </a:solidFill>
              </a:ln>
            </c:spPr>
          </c:dPt>
          <c:dPt>
            <c:idx val="2"/>
            <c:spPr>
              <a:solidFill>
                <a:srgbClr val="999999"/>
              </a:solidFill>
              <a:ln>
                <a:solidFill>
                  <a:srgbClr val="999999"/>
                </a:solidFill>
              </a:ln>
            </c:spPr>
          </c:dPt>
          <c:dPt>
            <c:idx val="3"/>
            <c:spPr>
              <a:solidFill>
                <a:srgbClr val="999999"/>
              </a:solidFill>
              <a:ln>
                <a:solidFill>
                  <a:srgbClr val="999999"/>
                </a:solidFill>
              </a:ln>
            </c:spPr>
          </c:dPt>
          <c:dPt>
            <c:idx val="4"/>
            <c:spPr>
              <a:solidFill>
                <a:srgbClr val="999999"/>
              </a:solidFill>
              <a:ln>
                <a:solidFill>
                  <a:srgbClr val="999999"/>
                </a:solidFill>
              </a:ln>
            </c:spPr>
          </c:dPt>
          <c:dPt>
            <c:idx val="5"/>
            <c:spPr>
              <a:solidFill>
                <a:srgbClr val="999999"/>
              </a:solidFill>
              <a:ln>
                <a:solidFill>
                  <a:srgbClr val="999999"/>
                </a:solidFill>
              </a:ln>
            </c:spPr>
          </c:dPt>
          <c:dPt>
            <c:idx val="6"/>
            <c:spPr>
              <a:solidFill>
                <a:srgbClr val="89A2C0"/>
              </a:solidFill>
              <a:ln>
                <a:solidFill>
                  <a:srgbClr val="89A2C0"/>
                </a:solidFill>
              </a:ln>
            </c:spPr>
          </c:dPt>
          <c:dPt>
            <c:idx val="7"/>
            <c:spPr>
              <a:solidFill>
                <a:srgbClr val="89A2C0"/>
              </a:solidFill>
              <a:ln>
                <a:solidFill>
                  <a:srgbClr val="89A2C0"/>
                </a:solidFill>
              </a:ln>
            </c:spPr>
          </c:dPt>
          <c:dLbls>
            <c:numFmt formatCode="#,##0" sourceLinked="0"/>
            <c:txPr>
              <a:bodyPr/>
              <a:lstStyle/>
              <a:p>
                <a:pPr>
                  <a:defRPr sz="700" baseline="0">
                    <a:solidFill>
                      <a:srgbClr val="1A1A1A"/>
                    </a:solidFill>
                    <a:latin typeface="Arial"/>
                  </a:defRPr>
                </a:pPr>
                <a:endParaRPr lang="en-US"/>
              </a:p>
            </c:txPr>
            <c:dLblPos val="ctr"/>
            <c:showVal val="1"/>
          </c:dLbls>
          <c:cat>
            <c:strRef>
              <c:f>'Summary Statistics - Enrollment'!$A$2:$A$9</c:f>
              <c:strCache>
                <c:ptCount val="8"/>
                <c:pt idx="0">
                  <c:v>2020</c:v>
                </c:pt>
                <c:pt idx="1">
                  <c:v>2021</c:v>
                </c:pt>
                <c:pt idx="2">
                  <c:v>2022</c:v>
                </c:pt>
                <c:pt idx="3">
                  <c:v>2023</c:v>
                </c:pt>
                <c:pt idx="4">
                  <c:v>2024</c:v>
                </c:pt>
                <c:pt idx="5">
                  <c:v>2025</c:v>
                </c:pt>
                <c:pt idx="6">
                  <c:v>2026 through July</c:v>
                </c:pt>
                <c:pt idx="7">
                  <c:v>2026 Annualized</c:v>
                </c:pt>
              </c:strCache>
            </c:strRef>
          </c:cat>
          <c:val>
            <c:numRef>
              <c:f>'Summary Statistics - Enrollment'!$D$2:$D$9</c:f>
              <c:numCache>
                <c:formatCode>General</c:formatCode>
                <c:ptCount val="8"/>
                <c:pt idx="0">
                  <c:v>0</c:v>
                </c:pt>
                <c:pt idx="1">
                  <c:v>0</c:v>
                </c:pt>
                <c:pt idx="2">
                  <c:v>0</c:v>
                </c:pt>
                <c:pt idx="3">
                  <c:v>0</c:v>
                </c:pt>
                <c:pt idx="4">
                  <c:v>0</c:v>
                </c:pt>
                <c:pt idx="5">
                  <c:v>0</c:v>
                </c:pt>
                <c:pt idx="6">
                  <c:v>0</c:v>
                </c:pt>
                <c:pt idx="7">
                  <c:v>0</c:v>
                </c:pt>
              </c:numCache>
            </c:numRef>
          </c:val>
        </c:ser>
        <c:ser>
          <c:idx val="3"/>
          <c:order val="3"/>
          <c:tx>
            <c:v>Phase 2</c:v>
          </c:tx>
          <c:spPr>
            <a:solidFill>
              <a:srgbClr val="7A7A7A"/>
            </a:solidFill>
            <a:ln>
              <a:solidFill>
                <a:srgbClr val="7A7A7A"/>
              </a:solidFill>
            </a:ln>
          </c:spPr>
          <c:dPt>
            <c:idx val="0"/>
            <c:spPr>
              <a:solidFill>
                <a:srgbClr val="7A7A7A"/>
              </a:solidFill>
              <a:ln>
                <a:solidFill>
                  <a:srgbClr val="7A7A7A"/>
                </a:solidFill>
              </a:ln>
            </c:spPr>
          </c:dPt>
          <c:dPt>
            <c:idx val="1"/>
            <c:spPr>
              <a:solidFill>
                <a:srgbClr val="7A7A7A"/>
              </a:solidFill>
              <a:ln>
                <a:solidFill>
                  <a:srgbClr val="7A7A7A"/>
                </a:solidFill>
              </a:ln>
            </c:spPr>
          </c:dPt>
          <c:dPt>
            <c:idx val="2"/>
            <c:spPr>
              <a:solidFill>
                <a:srgbClr val="7A7A7A"/>
              </a:solidFill>
              <a:ln>
                <a:solidFill>
                  <a:srgbClr val="7A7A7A"/>
                </a:solidFill>
              </a:ln>
            </c:spPr>
          </c:dPt>
          <c:dPt>
            <c:idx val="3"/>
            <c:spPr>
              <a:solidFill>
                <a:srgbClr val="7A7A7A"/>
              </a:solidFill>
              <a:ln>
                <a:solidFill>
                  <a:srgbClr val="7A7A7A"/>
                </a:solidFill>
              </a:ln>
            </c:spPr>
          </c:dPt>
          <c:dPt>
            <c:idx val="4"/>
            <c:spPr>
              <a:solidFill>
                <a:srgbClr val="7A7A7A"/>
              </a:solidFill>
              <a:ln>
                <a:solidFill>
                  <a:srgbClr val="7A7A7A"/>
                </a:solidFill>
              </a:ln>
            </c:spPr>
          </c:dPt>
          <c:dPt>
            <c:idx val="5"/>
            <c:spPr>
              <a:solidFill>
                <a:srgbClr val="7A7A7A"/>
              </a:solidFill>
              <a:ln>
                <a:solidFill>
                  <a:srgbClr val="7A7A7A"/>
                </a:solidFill>
              </a:ln>
            </c:spPr>
          </c:dPt>
          <c:dPt>
            <c:idx val="6"/>
            <c:spPr>
              <a:solidFill>
                <a:srgbClr val="6E87A9"/>
              </a:solidFill>
              <a:ln>
                <a:solidFill>
                  <a:srgbClr val="6E87A9"/>
                </a:solidFill>
              </a:ln>
            </c:spPr>
          </c:dPt>
          <c:dPt>
            <c:idx val="7"/>
            <c:spPr>
              <a:solidFill>
                <a:srgbClr val="6E87A9"/>
              </a:solidFill>
              <a:ln>
                <a:solidFill>
                  <a:srgbClr val="6E87A9"/>
                </a:solidFill>
              </a:ln>
            </c:spPr>
          </c:dPt>
          <c:dLbls>
            <c:numFmt formatCode="#,##0" sourceLinked="0"/>
            <c:txPr>
              <a:bodyPr/>
              <a:lstStyle/>
              <a:p>
                <a:pPr>
                  <a:defRPr sz="700" baseline="0">
                    <a:solidFill>
                      <a:srgbClr val="FFFFFF"/>
                    </a:solidFill>
                    <a:latin typeface="Arial"/>
                  </a:defRPr>
                </a:pPr>
                <a:endParaRPr lang="en-US"/>
              </a:p>
            </c:txPr>
            <c:dLblPos val="ctr"/>
            <c:showVal val="1"/>
          </c:dLbls>
          <c:cat>
            <c:strRef>
              <c:f>'Summary Statistics - Enrollment'!$A$2:$A$9</c:f>
              <c:strCache>
                <c:ptCount val="8"/>
                <c:pt idx="0">
                  <c:v>2020</c:v>
                </c:pt>
                <c:pt idx="1">
                  <c:v>2021</c:v>
                </c:pt>
                <c:pt idx="2">
                  <c:v>2022</c:v>
                </c:pt>
                <c:pt idx="3">
                  <c:v>2023</c:v>
                </c:pt>
                <c:pt idx="4">
                  <c:v>2024</c:v>
                </c:pt>
                <c:pt idx="5">
                  <c:v>2025</c:v>
                </c:pt>
                <c:pt idx="6">
                  <c:v>2026 through July</c:v>
                </c:pt>
                <c:pt idx="7">
                  <c:v>2026 Annualized</c:v>
                </c:pt>
              </c:strCache>
            </c:strRef>
          </c:cat>
          <c:val>
            <c:numRef>
              <c:f>'Summary Statistics - Enrollment'!$E$2:$E$9</c:f>
              <c:numCache>
                <c:formatCode>General</c:formatCode>
                <c:ptCount val="8"/>
                <c:pt idx="0">
                  <c:v>0</c:v>
                </c:pt>
                <c:pt idx="1">
                  <c:v>0</c:v>
                </c:pt>
                <c:pt idx="2">
                  <c:v>0</c:v>
                </c:pt>
                <c:pt idx="3">
                  <c:v>0</c:v>
                </c:pt>
                <c:pt idx="4">
                  <c:v>0</c:v>
                </c:pt>
                <c:pt idx="5">
                  <c:v>0</c:v>
                </c:pt>
                <c:pt idx="6">
                  <c:v>0</c:v>
                </c:pt>
                <c:pt idx="7">
                  <c:v>0</c:v>
                </c:pt>
              </c:numCache>
            </c:numRef>
          </c:val>
        </c:ser>
        <c:ser>
          <c:idx val="4"/>
          <c:order val="4"/>
          <c:tx>
            <c:v>Phase 2/3</c:v>
          </c:tx>
          <c:spPr>
            <a:solidFill>
              <a:srgbClr val="5A5A5A"/>
            </a:solidFill>
            <a:ln>
              <a:solidFill>
                <a:srgbClr val="5A5A5A"/>
              </a:solidFill>
            </a:ln>
          </c:spPr>
          <c:dPt>
            <c:idx val="0"/>
            <c:spPr>
              <a:solidFill>
                <a:srgbClr val="5A5A5A"/>
              </a:solidFill>
              <a:ln>
                <a:solidFill>
                  <a:srgbClr val="5A5A5A"/>
                </a:solidFill>
              </a:ln>
            </c:spPr>
          </c:dPt>
          <c:dPt>
            <c:idx val="1"/>
            <c:spPr>
              <a:solidFill>
                <a:srgbClr val="5A5A5A"/>
              </a:solidFill>
              <a:ln>
                <a:solidFill>
                  <a:srgbClr val="5A5A5A"/>
                </a:solidFill>
              </a:ln>
            </c:spPr>
          </c:dPt>
          <c:dPt>
            <c:idx val="2"/>
            <c:spPr>
              <a:solidFill>
                <a:srgbClr val="5A5A5A"/>
              </a:solidFill>
              <a:ln>
                <a:solidFill>
                  <a:srgbClr val="5A5A5A"/>
                </a:solidFill>
              </a:ln>
            </c:spPr>
          </c:dPt>
          <c:dPt>
            <c:idx val="3"/>
            <c:spPr>
              <a:solidFill>
                <a:srgbClr val="5A5A5A"/>
              </a:solidFill>
              <a:ln>
                <a:solidFill>
                  <a:srgbClr val="5A5A5A"/>
                </a:solidFill>
              </a:ln>
            </c:spPr>
          </c:dPt>
          <c:dPt>
            <c:idx val="4"/>
            <c:spPr>
              <a:solidFill>
                <a:srgbClr val="5A5A5A"/>
              </a:solidFill>
              <a:ln>
                <a:solidFill>
                  <a:srgbClr val="5A5A5A"/>
                </a:solidFill>
              </a:ln>
            </c:spPr>
          </c:dPt>
          <c:dPt>
            <c:idx val="5"/>
            <c:spPr>
              <a:solidFill>
                <a:srgbClr val="5A5A5A"/>
              </a:solidFill>
              <a:ln>
                <a:solidFill>
                  <a:srgbClr val="5A5A5A"/>
                </a:solidFill>
              </a:ln>
            </c:spPr>
          </c:dPt>
          <c:dPt>
            <c:idx val="6"/>
            <c:spPr>
              <a:solidFill>
                <a:srgbClr val="546D92"/>
              </a:solidFill>
              <a:ln>
                <a:solidFill>
                  <a:srgbClr val="546D92"/>
                </a:solidFill>
              </a:ln>
            </c:spPr>
          </c:dPt>
          <c:dPt>
            <c:idx val="7"/>
            <c:spPr>
              <a:solidFill>
                <a:srgbClr val="546D92"/>
              </a:solidFill>
              <a:ln>
                <a:solidFill>
                  <a:srgbClr val="546D92"/>
                </a:solidFill>
              </a:ln>
            </c:spPr>
          </c:dPt>
          <c:dLbls>
            <c:numFmt formatCode="#,##0" sourceLinked="0"/>
            <c:txPr>
              <a:bodyPr/>
              <a:lstStyle/>
              <a:p>
                <a:pPr>
                  <a:defRPr sz="700" baseline="0">
                    <a:solidFill>
                      <a:srgbClr val="FFFFFF"/>
                    </a:solidFill>
                    <a:latin typeface="Arial"/>
                  </a:defRPr>
                </a:pPr>
                <a:endParaRPr lang="en-US"/>
              </a:p>
            </c:txPr>
            <c:dLblPos val="ctr"/>
            <c:showVal val="1"/>
          </c:dLbls>
          <c:cat>
            <c:strRef>
              <c:f>'Summary Statistics - Enrollment'!$A$2:$A$9</c:f>
              <c:strCache>
                <c:ptCount val="8"/>
                <c:pt idx="0">
                  <c:v>2020</c:v>
                </c:pt>
                <c:pt idx="1">
                  <c:v>2021</c:v>
                </c:pt>
                <c:pt idx="2">
                  <c:v>2022</c:v>
                </c:pt>
                <c:pt idx="3">
                  <c:v>2023</c:v>
                </c:pt>
                <c:pt idx="4">
                  <c:v>2024</c:v>
                </c:pt>
                <c:pt idx="5">
                  <c:v>2025</c:v>
                </c:pt>
                <c:pt idx="6">
                  <c:v>2026 through July</c:v>
                </c:pt>
                <c:pt idx="7">
                  <c:v>2026 Annualized</c:v>
                </c:pt>
              </c:strCache>
            </c:strRef>
          </c:cat>
          <c:val>
            <c:numRef>
              <c:f>'Summary Statistics - Enrollment'!$F$2:$F$9</c:f>
              <c:numCache>
                <c:formatCode>General</c:formatCode>
                <c:ptCount val="8"/>
                <c:pt idx="0">
                  <c:v>0</c:v>
                </c:pt>
                <c:pt idx="1">
                  <c:v>0</c:v>
                </c:pt>
                <c:pt idx="2">
                  <c:v>0</c:v>
                </c:pt>
                <c:pt idx="3">
                  <c:v>0</c:v>
                </c:pt>
                <c:pt idx="4">
                  <c:v>0</c:v>
                </c:pt>
                <c:pt idx="5">
                  <c:v>0</c:v>
                </c:pt>
                <c:pt idx="6">
                  <c:v>0</c:v>
                </c:pt>
                <c:pt idx="7">
                  <c:v>0</c:v>
                </c:pt>
              </c:numCache>
            </c:numRef>
          </c:val>
        </c:ser>
        <c:ser>
          <c:idx val="5"/>
          <c:order val="5"/>
          <c:tx>
            <c:v>Phase 3</c:v>
          </c:tx>
          <c:spPr>
            <a:solidFill>
              <a:srgbClr val="3A3A3A"/>
            </a:solidFill>
            <a:ln>
              <a:solidFill>
                <a:srgbClr val="3A3A3A"/>
              </a:solidFill>
            </a:ln>
          </c:spPr>
          <c:dPt>
            <c:idx val="0"/>
            <c:spPr>
              <a:solidFill>
                <a:srgbClr val="3A3A3A"/>
              </a:solidFill>
              <a:ln>
                <a:solidFill>
                  <a:srgbClr val="3A3A3A"/>
                </a:solidFill>
              </a:ln>
            </c:spPr>
          </c:dPt>
          <c:dPt>
            <c:idx val="1"/>
            <c:spPr>
              <a:solidFill>
                <a:srgbClr val="3A3A3A"/>
              </a:solidFill>
              <a:ln>
                <a:solidFill>
                  <a:srgbClr val="3A3A3A"/>
                </a:solidFill>
              </a:ln>
            </c:spPr>
          </c:dPt>
          <c:dPt>
            <c:idx val="2"/>
            <c:spPr>
              <a:solidFill>
                <a:srgbClr val="3A3A3A"/>
              </a:solidFill>
              <a:ln>
                <a:solidFill>
                  <a:srgbClr val="3A3A3A"/>
                </a:solidFill>
              </a:ln>
            </c:spPr>
          </c:dPt>
          <c:dPt>
            <c:idx val="3"/>
            <c:spPr>
              <a:solidFill>
                <a:srgbClr val="3A3A3A"/>
              </a:solidFill>
              <a:ln>
                <a:solidFill>
                  <a:srgbClr val="3A3A3A"/>
                </a:solidFill>
              </a:ln>
            </c:spPr>
          </c:dPt>
          <c:dPt>
            <c:idx val="4"/>
            <c:spPr>
              <a:solidFill>
                <a:srgbClr val="3A3A3A"/>
              </a:solidFill>
              <a:ln>
                <a:solidFill>
                  <a:srgbClr val="3A3A3A"/>
                </a:solidFill>
              </a:ln>
            </c:spPr>
          </c:dPt>
          <c:dPt>
            <c:idx val="5"/>
            <c:spPr>
              <a:solidFill>
                <a:srgbClr val="3A3A3A"/>
              </a:solidFill>
              <a:ln>
                <a:solidFill>
                  <a:srgbClr val="3A3A3A"/>
                </a:solidFill>
              </a:ln>
            </c:spPr>
          </c:dPt>
          <c:dPt>
            <c:idx val="6"/>
            <c:spPr>
              <a:solidFill>
                <a:srgbClr val="3A527B"/>
              </a:solidFill>
              <a:ln>
                <a:solidFill>
                  <a:srgbClr val="3A527B"/>
                </a:solidFill>
              </a:ln>
            </c:spPr>
          </c:dPt>
          <c:dPt>
            <c:idx val="7"/>
            <c:spPr>
              <a:solidFill>
                <a:srgbClr val="3A527B"/>
              </a:solidFill>
              <a:ln>
                <a:solidFill>
                  <a:srgbClr val="3A527B"/>
                </a:solidFill>
              </a:ln>
            </c:spPr>
          </c:dPt>
          <c:dLbls>
            <c:numFmt formatCode="#,##0" sourceLinked="0"/>
            <c:txPr>
              <a:bodyPr/>
              <a:lstStyle/>
              <a:p>
                <a:pPr>
                  <a:defRPr sz="700" baseline="0">
                    <a:solidFill>
                      <a:srgbClr val="FFFFFF"/>
                    </a:solidFill>
                    <a:latin typeface="Arial"/>
                  </a:defRPr>
                </a:pPr>
                <a:endParaRPr lang="en-US"/>
              </a:p>
            </c:txPr>
            <c:dLblPos val="ctr"/>
            <c:showVal val="1"/>
          </c:dLbls>
          <c:cat>
            <c:strRef>
              <c:f>'Summary Statistics - Enrollment'!$A$2:$A$9</c:f>
              <c:strCache>
                <c:ptCount val="8"/>
                <c:pt idx="0">
                  <c:v>2020</c:v>
                </c:pt>
                <c:pt idx="1">
                  <c:v>2021</c:v>
                </c:pt>
                <c:pt idx="2">
                  <c:v>2022</c:v>
                </c:pt>
                <c:pt idx="3">
                  <c:v>2023</c:v>
                </c:pt>
                <c:pt idx="4">
                  <c:v>2024</c:v>
                </c:pt>
                <c:pt idx="5">
                  <c:v>2025</c:v>
                </c:pt>
                <c:pt idx="6">
                  <c:v>2026 through July</c:v>
                </c:pt>
                <c:pt idx="7">
                  <c:v>2026 Annualized</c:v>
                </c:pt>
              </c:strCache>
            </c:strRef>
          </c:cat>
          <c:val>
            <c:numRef>
              <c:f>'Summary Statistics - Enrollment'!$G$2:$G$9</c:f>
              <c:numCache>
                <c:formatCode>General</c:formatCode>
                <c:ptCount val="8"/>
                <c:pt idx="0">
                  <c:v>0</c:v>
                </c:pt>
                <c:pt idx="1">
                  <c:v>0</c:v>
                </c:pt>
                <c:pt idx="2">
                  <c:v>0</c:v>
                </c:pt>
                <c:pt idx="3">
                  <c:v>0</c:v>
                </c:pt>
                <c:pt idx="4">
                  <c:v>0</c:v>
                </c:pt>
                <c:pt idx="5">
                  <c:v>0</c:v>
                </c:pt>
                <c:pt idx="6">
                  <c:v>0</c:v>
                </c:pt>
                <c:pt idx="7">
                  <c:v>0</c:v>
                </c:pt>
              </c:numCache>
            </c:numRef>
          </c:val>
        </c:ser>
        <c:ser>
          <c:idx val="6"/>
          <c:order val="6"/>
          <c:tx>
            <c:v>Phase 4</c:v>
          </c:tx>
          <c:spPr>
            <a:solidFill>
              <a:srgbClr val="1A1A1A"/>
            </a:solidFill>
            <a:ln>
              <a:solidFill>
                <a:srgbClr val="1A1A1A"/>
              </a:solidFill>
            </a:ln>
          </c:spPr>
          <c:dPt>
            <c:idx val="0"/>
            <c:spPr>
              <a:solidFill>
                <a:srgbClr val="1A1A1A"/>
              </a:solidFill>
              <a:ln>
                <a:solidFill>
                  <a:srgbClr val="1A1A1A"/>
                </a:solidFill>
              </a:ln>
            </c:spPr>
          </c:dPt>
          <c:dPt>
            <c:idx val="1"/>
            <c:spPr>
              <a:solidFill>
                <a:srgbClr val="1A1A1A"/>
              </a:solidFill>
              <a:ln>
                <a:solidFill>
                  <a:srgbClr val="1A1A1A"/>
                </a:solidFill>
              </a:ln>
            </c:spPr>
          </c:dPt>
          <c:dPt>
            <c:idx val="2"/>
            <c:spPr>
              <a:solidFill>
                <a:srgbClr val="1A1A1A"/>
              </a:solidFill>
              <a:ln>
                <a:solidFill>
                  <a:srgbClr val="1A1A1A"/>
                </a:solidFill>
              </a:ln>
            </c:spPr>
          </c:dPt>
          <c:dPt>
            <c:idx val="3"/>
            <c:spPr>
              <a:solidFill>
                <a:srgbClr val="1A1A1A"/>
              </a:solidFill>
              <a:ln>
                <a:solidFill>
                  <a:srgbClr val="1A1A1A"/>
                </a:solidFill>
              </a:ln>
            </c:spPr>
          </c:dPt>
          <c:dPt>
            <c:idx val="4"/>
            <c:spPr>
              <a:solidFill>
                <a:srgbClr val="1A1A1A"/>
              </a:solidFill>
              <a:ln>
                <a:solidFill>
                  <a:srgbClr val="1A1A1A"/>
                </a:solidFill>
              </a:ln>
            </c:spPr>
          </c:dPt>
          <c:dPt>
            <c:idx val="5"/>
            <c:spPr>
              <a:solidFill>
                <a:srgbClr val="1A1A1A"/>
              </a:solidFill>
              <a:ln>
                <a:solidFill>
                  <a:srgbClr val="1A1A1A"/>
                </a:solidFill>
              </a:ln>
            </c:spPr>
          </c:dPt>
          <c:dPt>
            <c:idx val="6"/>
            <c:spPr>
              <a:solidFill>
                <a:srgbClr val="1F3864"/>
              </a:solidFill>
              <a:ln>
                <a:solidFill>
                  <a:srgbClr val="1F3864"/>
                </a:solidFill>
              </a:ln>
            </c:spPr>
          </c:dPt>
          <c:dPt>
            <c:idx val="7"/>
            <c:spPr>
              <a:solidFill>
                <a:srgbClr val="1F3864"/>
              </a:solidFill>
              <a:ln>
                <a:solidFill>
                  <a:srgbClr val="1F3864"/>
                </a:solidFill>
              </a:ln>
            </c:spPr>
          </c:dPt>
          <c:dLbls>
            <c:numFmt formatCode="#,##0" sourceLinked="0"/>
            <c:txPr>
              <a:bodyPr/>
              <a:lstStyle/>
              <a:p>
                <a:pPr>
                  <a:defRPr sz="700" baseline="0">
                    <a:solidFill>
                      <a:srgbClr val="FFFFFF"/>
                    </a:solidFill>
                    <a:latin typeface="Arial"/>
                  </a:defRPr>
                </a:pPr>
                <a:endParaRPr lang="en-US"/>
              </a:p>
            </c:txPr>
            <c:dLblPos val="ctr"/>
            <c:showVal val="1"/>
          </c:dLbls>
          <c:cat>
            <c:strRef>
              <c:f>'Summary Statistics - Enrollment'!$A$2:$A$9</c:f>
              <c:strCache>
                <c:ptCount val="8"/>
                <c:pt idx="0">
                  <c:v>2020</c:v>
                </c:pt>
                <c:pt idx="1">
                  <c:v>2021</c:v>
                </c:pt>
                <c:pt idx="2">
                  <c:v>2022</c:v>
                </c:pt>
                <c:pt idx="3">
                  <c:v>2023</c:v>
                </c:pt>
                <c:pt idx="4">
                  <c:v>2024</c:v>
                </c:pt>
                <c:pt idx="5">
                  <c:v>2025</c:v>
                </c:pt>
                <c:pt idx="6">
                  <c:v>2026 through July</c:v>
                </c:pt>
                <c:pt idx="7">
                  <c:v>2026 Annualized</c:v>
                </c:pt>
              </c:strCache>
            </c:strRef>
          </c:cat>
          <c:val>
            <c:numRef>
              <c:f>'Summary Statistics - Enrollment'!$H$2:$H$9</c:f>
              <c:numCache>
                <c:formatCode>General</c:formatCode>
                <c:ptCount val="8"/>
                <c:pt idx="0">
                  <c:v>0</c:v>
                </c:pt>
                <c:pt idx="1">
                  <c:v>0</c:v>
                </c:pt>
                <c:pt idx="2">
                  <c:v>0</c:v>
                </c:pt>
                <c:pt idx="3">
                  <c:v>0</c:v>
                </c:pt>
                <c:pt idx="4">
                  <c:v>0</c:v>
                </c:pt>
                <c:pt idx="5">
                  <c:v>0</c:v>
                </c:pt>
                <c:pt idx="6">
                  <c:v>0</c:v>
                </c:pt>
                <c:pt idx="7">
                  <c:v>0</c:v>
                </c:pt>
              </c:numCache>
            </c:numRef>
          </c:val>
        </c:ser>
        <c:gapWidth val="80"/>
        <c:overlap val="100"/>
        <c:axId val="50030001"/>
        <c:axId val="50030002"/>
      </c:barChart>
      <c:lineChart>
        <c:grouping val="standard"/>
        <c:ser>
          <c:idx val="7"/>
          <c:order val="7"/>
          <c:tx>
            <c:v>_Total</c:v>
          </c:tx>
          <c:spPr>
            <a:ln>
              <a:noFill/>
            </a:ln>
          </c:spPr>
          <c:marker>
            <c:symbol val="none"/>
          </c:marker>
          <c:dLbls>
            <c:numFmt formatCode="#,##0" sourceLinked="0"/>
            <c:txPr>
              <a:bodyPr/>
              <a:lstStyle/>
              <a:p>
                <a:pPr>
                  <a:defRPr sz="800" b="1" baseline="0">
                    <a:solidFill>
                      <a:srgbClr val="1F3864"/>
                    </a:solidFill>
                    <a:latin typeface="Arial"/>
                  </a:defRPr>
                </a:pPr>
                <a:endParaRPr lang="en-US"/>
              </a:p>
            </c:txPr>
            <c:dLblPos val="t"/>
            <c:showVal val="1"/>
          </c:dLbls>
          <c:cat>
            <c:strRef>
              <c:f>'Summary Statistics - Enrollment'!$A$2:$A$9</c:f>
              <c:strCache>
                <c:ptCount val="8"/>
                <c:pt idx="0">
                  <c:v>2020</c:v>
                </c:pt>
                <c:pt idx="1">
                  <c:v>2021</c:v>
                </c:pt>
                <c:pt idx="2">
                  <c:v>2022</c:v>
                </c:pt>
                <c:pt idx="3">
                  <c:v>2023</c:v>
                </c:pt>
                <c:pt idx="4">
                  <c:v>2024</c:v>
                </c:pt>
                <c:pt idx="5">
                  <c:v>2025</c:v>
                </c:pt>
                <c:pt idx="6">
                  <c:v>2026 through July</c:v>
                </c:pt>
                <c:pt idx="7">
                  <c:v>2026 Annualized</c:v>
                </c:pt>
              </c:strCache>
            </c:strRef>
          </c:cat>
          <c:val>
            <c:numRef>
              <c:f>'Summary Statistics - Enrollment'!$I$2:$I$9</c:f>
              <c:numCache>
                <c:formatCode>General</c:formatCode>
                <c:ptCount val="8"/>
                <c:pt idx="0">
                  <c:v>0</c:v>
                </c:pt>
                <c:pt idx="1">
                  <c:v>0</c:v>
                </c:pt>
                <c:pt idx="2">
                  <c:v>0</c:v>
                </c:pt>
                <c:pt idx="3">
                  <c:v>0</c:v>
                </c:pt>
                <c:pt idx="4">
                  <c:v>0</c:v>
                </c:pt>
                <c:pt idx="5">
                  <c:v>0</c:v>
                </c:pt>
                <c:pt idx="6">
                  <c:v>0</c:v>
                </c:pt>
                <c:pt idx="7">
                  <c:v>0</c:v>
                </c:pt>
              </c:numCache>
            </c:numRef>
          </c:val>
        </c:ser>
        <c:marker val="1"/>
        <c:axId val="50030001"/>
        <c:axId val="50030002"/>
      </c:lineChart>
      <c:catAx>
        <c:axId val="50030001"/>
        <c:scaling>
          <c:orientation val="minMax"/>
        </c:scaling>
        <c:axPos val="b"/>
        <c:tickLblPos val="low"/>
        <c:txPr>
          <a:bodyPr/>
          <a:lstStyle/>
          <a:p>
            <a:pPr>
              <a:defRPr sz="800" baseline="0">
                <a:latin typeface="Arial"/>
              </a:defRPr>
            </a:pPr>
            <a:endParaRPr lang="en-US"/>
          </a:p>
        </c:txPr>
        <c:crossAx val="50030002"/>
        <c:crosses val="autoZero"/>
        <c:auto val="1"/>
        <c:lblAlgn val="ctr"/>
        <c:lblOffset val="100"/>
      </c:catAx>
      <c:valAx>
        <c:axId val="50030002"/>
        <c:scaling>
          <c:orientation val="minMax"/>
        </c:scaling>
        <c:axPos val="l"/>
        <c:numFmt formatCode="#,##0" sourceLinked="0"/>
        <c:tickLblPos val="nextTo"/>
        <c:crossAx val="50030001"/>
        <c:crosses val="autoZero"/>
        <c:crossBetween val="between"/>
      </c:valAx>
      <c:spPr>
        <a:ln>
          <a:noFill/>
        </a:ln>
      </c:spPr>
    </c:plotArea>
    <c:legend>
      <c:legendPos val="b"/>
      <c:legendEntry>
        <c:idx val="7"/>
        <c:delete val="1"/>
      </c:legendEntry>
      <c:layout/>
      <c:txPr>
        <a:bodyPr/>
        <a:lstStyle/>
        <a:p>
          <a:pPr>
            <a:defRPr sz="800" baseline="0">
              <a:latin typeface="Arial"/>
            </a:defRPr>
          </a:pPr>
          <a:endParaRPr lang="en-US"/>
        </a:p>
      </c:txPr>
    </c:legend>
    <c:plotVisOnly val="1"/>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latin typeface="Arial"/>
              </a:defRPr>
            </a:pPr>
            <a:r>
              <a:rPr lang="en-US" sz="1200" b="1" baseline="0">
                <a:latin typeface="Arial"/>
              </a:rPr>
              <a:t>Number of enrollment by phase, to date: Monthly</a:t>
            </a:r>
          </a:p>
        </c:rich>
      </c:tx>
      <c:layout/>
    </c:title>
    <c:plotArea>
      <c:layout/>
      <c:barChart>
        <c:barDir val="col"/>
        <c:grouping val="stacked"/>
        <c:ser>
          <c:idx val="0"/>
          <c:order val="0"/>
          <c:tx>
            <c:v>Early Phase 1</c:v>
          </c:tx>
          <c:spPr>
            <a:solidFill>
              <a:srgbClr val="D9D9D9"/>
            </a:solidFill>
            <a:ln>
              <a:solidFill>
                <a:srgbClr val="D9D9D9"/>
              </a:solidFill>
            </a:ln>
          </c:spPr>
          <c:dPt>
            <c:idx val="0"/>
            <c:spPr>
              <a:solidFill>
                <a:srgbClr val="D9D9D9"/>
              </a:solidFill>
              <a:ln>
                <a:solidFill>
                  <a:srgbClr val="D9D9D9"/>
                </a:solidFill>
              </a:ln>
            </c:spPr>
          </c:dPt>
          <c:dPt>
            <c:idx val="1"/>
            <c:spPr>
              <a:solidFill>
                <a:srgbClr val="D9D9D9"/>
              </a:solidFill>
              <a:ln>
                <a:solidFill>
                  <a:srgbClr val="D9D9D9"/>
                </a:solidFill>
              </a:ln>
            </c:spPr>
          </c:dPt>
          <c:dPt>
            <c:idx val="2"/>
            <c:spPr>
              <a:solidFill>
                <a:srgbClr val="D9D9D9"/>
              </a:solidFill>
              <a:ln>
                <a:solidFill>
                  <a:srgbClr val="D9D9D9"/>
                </a:solidFill>
              </a:ln>
            </c:spPr>
          </c:dPt>
          <c:dPt>
            <c:idx val="3"/>
            <c:spPr>
              <a:solidFill>
                <a:srgbClr val="D9D9D9"/>
              </a:solidFill>
              <a:ln>
                <a:solidFill>
                  <a:srgbClr val="D9D9D9"/>
                </a:solidFill>
              </a:ln>
            </c:spPr>
          </c:dPt>
          <c:dPt>
            <c:idx val="4"/>
            <c:spPr>
              <a:solidFill>
                <a:srgbClr val="D9D9D9"/>
              </a:solidFill>
              <a:ln>
                <a:solidFill>
                  <a:srgbClr val="D9D9D9"/>
                </a:solidFill>
              </a:ln>
            </c:spPr>
          </c:dPt>
          <c:dPt>
            <c:idx val="5"/>
            <c:spPr>
              <a:solidFill>
                <a:srgbClr val="D9D9D9"/>
              </a:solidFill>
              <a:ln>
                <a:solidFill>
                  <a:srgbClr val="D9D9D9"/>
                </a:solidFill>
              </a:ln>
            </c:spPr>
          </c:dPt>
          <c:dPt>
            <c:idx val="6"/>
            <c:spPr>
              <a:solidFill>
                <a:srgbClr val="D9D9D9"/>
              </a:solidFill>
              <a:ln>
                <a:solidFill>
                  <a:srgbClr val="D9D9D9"/>
                </a:solidFill>
              </a:ln>
            </c:spPr>
          </c:dPt>
          <c:dPt>
            <c:idx val="7"/>
            <c:spPr>
              <a:solidFill>
                <a:srgbClr val="D9D9D9"/>
              </a:solidFill>
              <a:ln>
                <a:solidFill>
                  <a:srgbClr val="D9D9D9"/>
                </a:solidFill>
              </a:ln>
            </c:spPr>
          </c:dPt>
          <c:dPt>
            <c:idx val="8"/>
            <c:spPr>
              <a:solidFill>
                <a:srgbClr val="D9D9D9"/>
              </a:solidFill>
              <a:ln>
                <a:solidFill>
                  <a:srgbClr val="D9D9D9"/>
                </a:solidFill>
              </a:ln>
            </c:spPr>
          </c:dPt>
          <c:dPt>
            <c:idx val="9"/>
            <c:spPr>
              <a:solidFill>
                <a:srgbClr val="D9D9D9"/>
              </a:solidFill>
              <a:ln>
                <a:solidFill>
                  <a:srgbClr val="D9D9D9"/>
                </a:solidFill>
              </a:ln>
            </c:spPr>
          </c:dPt>
          <c:dPt>
            <c:idx val="10"/>
            <c:spPr>
              <a:solidFill>
                <a:srgbClr val="D9D9D9"/>
              </a:solidFill>
              <a:ln>
                <a:solidFill>
                  <a:srgbClr val="D9D9D9"/>
                </a:solidFill>
              </a:ln>
            </c:spPr>
          </c:dPt>
          <c:dPt>
            <c:idx val="11"/>
            <c:spPr>
              <a:solidFill>
                <a:srgbClr val="D9D9D9"/>
              </a:solidFill>
              <a:ln>
                <a:solidFill>
                  <a:srgbClr val="D9D9D9"/>
                </a:solidFill>
              </a:ln>
            </c:spPr>
          </c:dPt>
          <c:dPt>
            <c:idx val="12"/>
            <c:spPr>
              <a:solidFill>
                <a:srgbClr val="D9D9D9"/>
              </a:solidFill>
              <a:ln>
                <a:solidFill>
                  <a:srgbClr val="D9D9D9"/>
                </a:solidFill>
              </a:ln>
            </c:spPr>
          </c:dPt>
          <c:dPt>
            <c:idx val="13"/>
            <c:spPr>
              <a:solidFill>
                <a:srgbClr val="D9D9D9"/>
              </a:solidFill>
              <a:ln>
                <a:solidFill>
                  <a:srgbClr val="D9D9D9"/>
                </a:solidFill>
              </a:ln>
            </c:spPr>
          </c:dPt>
          <c:dPt>
            <c:idx val="14"/>
            <c:spPr>
              <a:solidFill>
                <a:srgbClr val="D9D9D9"/>
              </a:solidFill>
              <a:ln>
                <a:solidFill>
                  <a:srgbClr val="D9D9D9"/>
                </a:solidFill>
              </a:ln>
            </c:spPr>
          </c:dPt>
          <c:dPt>
            <c:idx val="15"/>
            <c:spPr>
              <a:solidFill>
                <a:srgbClr val="D9D9D9"/>
              </a:solidFill>
              <a:ln>
                <a:solidFill>
                  <a:srgbClr val="D9D9D9"/>
                </a:solidFill>
              </a:ln>
            </c:spPr>
          </c:dPt>
          <c:dPt>
            <c:idx val="16"/>
            <c:spPr>
              <a:solidFill>
                <a:srgbClr val="D9D9D9"/>
              </a:solidFill>
              <a:ln>
                <a:solidFill>
                  <a:srgbClr val="D9D9D9"/>
                </a:solidFill>
              </a:ln>
            </c:spPr>
          </c:dPt>
          <c:dPt>
            <c:idx val="17"/>
            <c:spPr>
              <a:solidFill>
                <a:srgbClr val="D9D9D9"/>
              </a:solidFill>
              <a:ln>
                <a:solidFill>
                  <a:srgbClr val="D9D9D9"/>
                </a:solidFill>
              </a:ln>
            </c:spPr>
          </c:dPt>
          <c:dPt>
            <c:idx val="18"/>
            <c:spPr>
              <a:solidFill>
                <a:srgbClr val="D9D9D9"/>
              </a:solidFill>
              <a:ln>
                <a:solidFill>
                  <a:srgbClr val="D9D9D9"/>
                </a:solidFill>
              </a:ln>
            </c:spPr>
          </c:dPt>
          <c:dPt>
            <c:idx val="19"/>
            <c:spPr>
              <a:solidFill>
                <a:srgbClr val="D9D9D9"/>
              </a:solidFill>
              <a:ln>
                <a:solidFill>
                  <a:srgbClr val="D9D9D9"/>
                </a:solidFill>
              </a:ln>
            </c:spPr>
          </c:dPt>
          <c:dPt>
            <c:idx val="20"/>
            <c:spPr>
              <a:solidFill>
                <a:srgbClr val="D9D9D9"/>
              </a:solidFill>
              <a:ln>
                <a:solidFill>
                  <a:srgbClr val="D9D9D9"/>
                </a:solidFill>
              </a:ln>
            </c:spPr>
          </c:dPt>
          <c:dPt>
            <c:idx val="21"/>
            <c:spPr>
              <a:solidFill>
                <a:srgbClr val="D9D9D9"/>
              </a:solidFill>
              <a:ln>
                <a:solidFill>
                  <a:srgbClr val="D9D9D9"/>
                </a:solidFill>
              </a:ln>
            </c:spPr>
          </c:dPt>
          <c:dPt>
            <c:idx val="22"/>
            <c:spPr>
              <a:solidFill>
                <a:srgbClr val="D9D9D9"/>
              </a:solidFill>
              <a:ln>
                <a:solidFill>
                  <a:srgbClr val="D9D9D9"/>
                </a:solidFill>
              </a:ln>
            </c:spPr>
          </c:dPt>
          <c:dPt>
            <c:idx val="23"/>
            <c:spPr>
              <a:solidFill>
                <a:srgbClr val="BDD7EE"/>
              </a:solidFill>
              <a:ln>
                <a:solidFill>
                  <a:srgbClr val="BDD7EE"/>
                </a:solidFill>
              </a:ln>
            </c:spPr>
          </c:dPt>
          <c:dLbls>
            <c:numFmt formatCode="#,##0" sourceLinked="0"/>
            <c:txPr>
              <a:bodyPr/>
              <a:lstStyle/>
              <a:p>
                <a:pPr>
                  <a:defRPr sz="700" baseline="0">
                    <a:solidFill>
                      <a:srgbClr val="1A1A1A"/>
                    </a:solidFill>
                    <a:latin typeface="Arial"/>
                  </a:defRPr>
                </a:pPr>
                <a:endParaRPr lang="en-US"/>
              </a:p>
            </c:txPr>
            <c:dLblPos val="ctr"/>
            <c:showVal val="1"/>
          </c:dLbls>
          <c:cat>
            <c:numRef>
              <c:f>'Summary Statistics - Enrollment'!$A$77:$A$100</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'Summary Statistics - Enrollment'!$B$77:$B$100</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ser>
          <c:idx val="1"/>
          <c:order val="1"/>
          <c:tx>
            <c:v>Phase 1</c:v>
          </c:tx>
          <c:spPr>
            <a:solidFill>
              <a:srgbClr val="B9B9B9"/>
            </a:solidFill>
            <a:ln>
              <a:solidFill>
                <a:srgbClr val="B9B9B9"/>
              </a:solidFill>
            </a:ln>
          </c:spPr>
          <c:dPt>
            <c:idx val="0"/>
            <c:spPr>
              <a:solidFill>
                <a:srgbClr val="B9B9B9"/>
              </a:solidFill>
              <a:ln>
                <a:solidFill>
                  <a:srgbClr val="B9B9B9"/>
                </a:solidFill>
              </a:ln>
            </c:spPr>
          </c:dPt>
          <c:dPt>
            <c:idx val="1"/>
            <c:spPr>
              <a:solidFill>
                <a:srgbClr val="B9B9B9"/>
              </a:solidFill>
              <a:ln>
                <a:solidFill>
                  <a:srgbClr val="B9B9B9"/>
                </a:solidFill>
              </a:ln>
            </c:spPr>
          </c:dPt>
          <c:dPt>
            <c:idx val="2"/>
            <c:spPr>
              <a:solidFill>
                <a:srgbClr val="B9B9B9"/>
              </a:solidFill>
              <a:ln>
                <a:solidFill>
                  <a:srgbClr val="B9B9B9"/>
                </a:solidFill>
              </a:ln>
            </c:spPr>
          </c:dPt>
          <c:dPt>
            <c:idx val="3"/>
            <c:spPr>
              <a:solidFill>
                <a:srgbClr val="B9B9B9"/>
              </a:solidFill>
              <a:ln>
                <a:solidFill>
                  <a:srgbClr val="B9B9B9"/>
                </a:solidFill>
              </a:ln>
            </c:spPr>
          </c:dPt>
          <c:dPt>
            <c:idx val="4"/>
            <c:spPr>
              <a:solidFill>
                <a:srgbClr val="B9B9B9"/>
              </a:solidFill>
              <a:ln>
                <a:solidFill>
                  <a:srgbClr val="B9B9B9"/>
                </a:solidFill>
              </a:ln>
            </c:spPr>
          </c:dPt>
          <c:dPt>
            <c:idx val="5"/>
            <c:spPr>
              <a:solidFill>
                <a:srgbClr val="B9B9B9"/>
              </a:solidFill>
              <a:ln>
                <a:solidFill>
                  <a:srgbClr val="B9B9B9"/>
                </a:solidFill>
              </a:ln>
            </c:spPr>
          </c:dPt>
          <c:dPt>
            <c:idx val="6"/>
            <c:spPr>
              <a:solidFill>
                <a:srgbClr val="B9B9B9"/>
              </a:solidFill>
              <a:ln>
                <a:solidFill>
                  <a:srgbClr val="B9B9B9"/>
                </a:solidFill>
              </a:ln>
            </c:spPr>
          </c:dPt>
          <c:dPt>
            <c:idx val="7"/>
            <c:spPr>
              <a:solidFill>
                <a:srgbClr val="B9B9B9"/>
              </a:solidFill>
              <a:ln>
                <a:solidFill>
                  <a:srgbClr val="B9B9B9"/>
                </a:solidFill>
              </a:ln>
            </c:spPr>
          </c:dPt>
          <c:dPt>
            <c:idx val="8"/>
            <c:spPr>
              <a:solidFill>
                <a:srgbClr val="B9B9B9"/>
              </a:solidFill>
              <a:ln>
                <a:solidFill>
                  <a:srgbClr val="B9B9B9"/>
                </a:solidFill>
              </a:ln>
            </c:spPr>
          </c:dPt>
          <c:dPt>
            <c:idx val="9"/>
            <c:spPr>
              <a:solidFill>
                <a:srgbClr val="B9B9B9"/>
              </a:solidFill>
              <a:ln>
                <a:solidFill>
                  <a:srgbClr val="B9B9B9"/>
                </a:solidFill>
              </a:ln>
            </c:spPr>
          </c:dPt>
          <c:dPt>
            <c:idx val="10"/>
            <c:spPr>
              <a:solidFill>
                <a:srgbClr val="B9B9B9"/>
              </a:solidFill>
              <a:ln>
                <a:solidFill>
                  <a:srgbClr val="B9B9B9"/>
                </a:solidFill>
              </a:ln>
            </c:spPr>
          </c:dPt>
          <c:dPt>
            <c:idx val="11"/>
            <c:spPr>
              <a:solidFill>
                <a:srgbClr val="B9B9B9"/>
              </a:solidFill>
              <a:ln>
                <a:solidFill>
                  <a:srgbClr val="B9B9B9"/>
                </a:solidFill>
              </a:ln>
            </c:spPr>
          </c:dPt>
          <c:dPt>
            <c:idx val="12"/>
            <c:spPr>
              <a:solidFill>
                <a:srgbClr val="B9B9B9"/>
              </a:solidFill>
              <a:ln>
                <a:solidFill>
                  <a:srgbClr val="B9B9B9"/>
                </a:solidFill>
              </a:ln>
            </c:spPr>
          </c:dPt>
          <c:dPt>
            <c:idx val="13"/>
            <c:spPr>
              <a:solidFill>
                <a:srgbClr val="B9B9B9"/>
              </a:solidFill>
              <a:ln>
                <a:solidFill>
                  <a:srgbClr val="B9B9B9"/>
                </a:solidFill>
              </a:ln>
            </c:spPr>
          </c:dPt>
          <c:dPt>
            <c:idx val="14"/>
            <c:spPr>
              <a:solidFill>
                <a:srgbClr val="B9B9B9"/>
              </a:solidFill>
              <a:ln>
                <a:solidFill>
                  <a:srgbClr val="B9B9B9"/>
                </a:solidFill>
              </a:ln>
            </c:spPr>
          </c:dPt>
          <c:dPt>
            <c:idx val="15"/>
            <c:spPr>
              <a:solidFill>
                <a:srgbClr val="B9B9B9"/>
              </a:solidFill>
              <a:ln>
                <a:solidFill>
                  <a:srgbClr val="B9B9B9"/>
                </a:solidFill>
              </a:ln>
            </c:spPr>
          </c:dPt>
          <c:dPt>
            <c:idx val="16"/>
            <c:spPr>
              <a:solidFill>
                <a:srgbClr val="B9B9B9"/>
              </a:solidFill>
              <a:ln>
                <a:solidFill>
                  <a:srgbClr val="B9B9B9"/>
                </a:solidFill>
              </a:ln>
            </c:spPr>
          </c:dPt>
          <c:dPt>
            <c:idx val="17"/>
            <c:spPr>
              <a:solidFill>
                <a:srgbClr val="B9B9B9"/>
              </a:solidFill>
              <a:ln>
                <a:solidFill>
                  <a:srgbClr val="B9B9B9"/>
                </a:solidFill>
              </a:ln>
            </c:spPr>
          </c:dPt>
          <c:dPt>
            <c:idx val="18"/>
            <c:spPr>
              <a:solidFill>
                <a:srgbClr val="B9B9B9"/>
              </a:solidFill>
              <a:ln>
                <a:solidFill>
                  <a:srgbClr val="B9B9B9"/>
                </a:solidFill>
              </a:ln>
            </c:spPr>
          </c:dPt>
          <c:dPt>
            <c:idx val="19"/>
            <c:spPr>
              <a:solidFill>
                <a:srgbClr val="B9B9B9"/>
              </a:solidFill>
              <a:ln>
                <a:solidFill>
                  <a:srgbClr val="B9B9B9"/>
                </a:solidFill>
              </a:ln>
            </c:spPr>
          </c:dPt>
          <c:dPt>
            <c:idx val="20"/>
            <c:spPr>
              <a:solidFill>
                <a:srgbClr val="B9B9B9"/>
              </a:solidFill>
              <a:ln>
                <a:solidFill>
                  <a:srgbClr val="B9B9B9"/>
                </a:solidFill>
              </a:ln>
            </c:spPr>
          </c:dPt>
          <c:dPt>
            <c:idx val="21"/>
            <c:spPr>
              <a:solidFill>
                <a:srgbClr val="B9B9B9"/>
              </a:solidFill>
              <a:ln>
                <a:solidFill>
                  <a:srgbClr val="B9B9B9"/>
                </a:solidFill>
              </a:ln>
            </c:spPr>
          </c:dPt>
          <c:dPt>
            <c:idx val="22"/>
            <c:spPr>
              <a:solidFill>
                <a:srgbClr val="B9B9B9"/>
              </a:solidFill>
              <a:ln>
                <a:solidFill>
                  <a:srgbClr val="B9B9B9"/>
                </a:solidFill>
              </a:ln>
            </c:spPr>
          </c:dPt>
          <c:dPt>
            <c:idx val="23"/>
            <c:spPr>
              <a:solidFill>
                <a:srgbClr val="A3BCD7"/>
              </a:solidFill>
              <a:ln>
                <a:solidFill>
                  <a:srgbClr val="A3BCD7"/>
                </a:solidFill>
              </a:ln>
            </c:spPr>
          </c:dPt>
          <c:dLbls>
            <c:numFmt formatCode="#,##0" sourceLinked="0"/>
            <c:txPr>
              <a:bodyPr/>
              <a:lstStyle/>
              <a:p>
                <a:pPr>
                  <a:defRPr sz="700" baseline="0">
                    <a:solidFill>
                      <a:srgbClr val="1A1A1A"/>
                    </a:solidFill>
                    <a:latin typeface="Arial"/>
                  </a:defRPr>
                </a:pPr>
                <a:endParaRPr lang="en-US"/>
              </a:p>
            </c:txPr>
            <c:dLblPos val="ctr"/>
            <c:showVal val="1"/>
          </c:dLbls>
          <c:cat>
            <c:numRef>
              <c:f>'Summary Statistics - Enrollment'!$A$77:$A$100</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'Summary Statistics - Enrollment'!$C$77:$C$100</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ser>
          <c:idx val="2"/>
          <c:order val="2"/>
          <c:tx>
            <c:v>Phase 1/2</c:v>
          </c:tx>
          <c:spPr>
            <a:solidFill>
              <a:srgbClr val="999999"/>
            </a:solidFill>
            <a:ln>
              <a:solidFill>
                <a:srgbClr val="999999"/>
              </a:solidFill>
            </a:ln>
          </c:spPr>
          <c:dPt>
            <c:idx val="0"/>
            <c:spPr>
              <a:solidFill>
                <a:srgbClr val="999999"/>
              </a:solidFill>
              <a:ln>
                <a:solidFill>
                  <a:srgbClr val="999999"/>
                </a:solidFill>
              </a:ln>
            </c:spPr>
          </c:dPt>
          <c:dPt>
            <c:idx val="1"/>
            <c:spPr>
              <a:solidFill>
                <a:srgbClr val="999999"/>
              </a:solidFill>
              <a:ln>
                <a:solidFill>
                  <a:srgbClr val="999999"/>
                </a:solidFill>
              </a:ln>
            </c:spPr>
          </c:dPt>
          <c:dPt>
            <c:idx val="2"/>
            <c:spPr>
              <a:solidFill>
                <a:srgbClr val="999999"/>
              </a:solidFill>
              <a:ln>
                <a:solidFill>
                  <a:srgbClr val="999999"/>
                </a:solidFill>
              </a:ln>
            </c:spPr>
          </c:dPt>
          <c:dPt>
            <c:idx val="3"/>
            <c:spPr>
              <a:solidFill>
                <a:srgbClr val="999999"/>
              </a:solidFill>
              <a:ln>
                <a:solidFill>
                  <a:srgbClr val="999999"/>
                </a:solidFill>
              </a:ln>
            </c:spPr>
          </c:dPt>
          <c:dPt>
            <c:idx val="4"/>
            <c:spPr>
              <a:solidFill>
                <a:srgbClr val="999999"/>
              </a:solidFill>
              <a:ln>
                <a:solidFill>
                  <a:srgbClr val="999999"/>
                </a:solidFill>
              </a:ln>
            </c:spPr>
          </c:dPt>
          <c:dPt>
            <c:idx val="5"/>
            <c:spPr>
              <a:solidFill>
                <a:srgbClr val="999999"/>
              </a:solidFill>
              <a:ln>
                <a:solidFill>
                  <a:srgbClr val="999999"/>
                </a:solidFill>
              </a:ln>
            </c:spPr>
          </c:dPt>
          <c:dPt>
            <c:idx val="6"/>
            <c:spPr>
              <a:solidFill>
                <a:srgbClr val="999999"/>
              </a:solidFill>
              <a:ln>
                <a:solidFill>
                  <a:srgbClr val="999999"/>
                </a:solidFill>
              </a:ln>
            </c:spPr>
          </c:dPt>
          <c:dPt>
            <c:idx val="7"/>
            <c:spPr>
              <a:solidFill>
                <a:srgbClr val="999999"/>
              </a:solidFill>
              <a:ln>
                <a:solidFill>
                  <a:srgbClr val="999999"/>
                </a:solidFill>
              </a:ln>
            </c:spPr>
          </c:dPt>
          <c:dPt>
            <c:idx val="8"/>
            <c:spPr>
              <a:solidFill>
                <a:srgbClr val="999999"/>
              </a:solidFill>
              <a:ln>
                <a:solidFill>
                  <a:srgbClr val="999999"/>
                </a:solidFill>
              </a:ln>
            </c:spPr>
          </c:dPt>
          <c:dPt>
            <c:idx val="9"/>
            <c:spPr>
              <a:solidFill>
                <a:srgbClr val="999999"/>
              </a:solidFill>
              <a:ln>
                <a:solidFill>
                  <a:srgbClr val="999999"/>
                </a:solidFill>
              </a:ln>
            </c:spPr>
          </c:dPt>
          <c:dPt>
            <c:idx val="10"/>
            <c:spPr>
              <a:solidFill>
                <a:srgbClr val="999999"/>
              </a:solidFill>
              <a:ln>
                <a:solidFill>
                  <a:srgbClr val="999999"/>
                </a:solidFill>
              </a:ln>
            </c:spPr>
          </c:dPt>
          <c:dPt>
            <c:idx val="11"/>
            <c:spPr>
              <a:solidFill>
                <a:srgbClr val="999999"/>
              </a:solidFill>
              <a:ln>
                <a:solidFill>
                  <a:srgbClr val="999999"/>
                </a:solidFill>
              </a:ln>
            </c:spPr>
          </c:dPt>
          <c:dPt>
            <c:idx val="12"/>
            <c:spPr>
              <a:solidFill>
                <a:srgbClr val="999999"/>
              </a:solidFill>
              <a:ln>
                <a:solidFill>
                  <a:srgbClr val="999999"/>
                </a:solidFill>
              </a:ln>
            </c:spPr>
          </c:dPt>
          <c:dPt>
            <c:idx val="13"/>
            <c:spPr>
              <a:solidFill>
                <a:srgbClr val="999999"/>
              </a:solidFill>
              <a:ln>
                <a:solidFill>
                  <a:srgbClr val="999999"/>
                </a:solidFill>
              </a:ln>
            </c:spPr>
          </c:dPt>
          <c:dPt>
            <c:idx val="14"/>
            <c:spPr>
              <a:solidFill>
                <a:srgbClr val="999999"/>
              </a:solidFill>
              <a:ln>
                <a:solidFill>
                  <a:srgbClr val="999999"/>
                </a:solidFill>
              </a:ln>
            </c:spPr>
          </c:dPt>
          <c:dPt>
            <c:idx val="15"/>
            <c:spPr>
              <a:solidFill>
                <a:srgbClr val="999999"/>
              </a:solidFill>
              <a:ln>
                <a:solidFill>
                  <a:srgbClr val="999999"/>
                </a:solidFill>
              </a:ln>
            </c:spPr>
          </c:dPt>
          <c:dPt>
            <c:idx val="16"/>
            <c:spPr>
              <a:solidFill>
                <a:srgbClr val="999999"/>
              </a:solidFill>
              <a:ln>
                <a:solidFill>
                  <a:srgbClr val="999999"/>
                </a:solidFill>
              </a:ln>
            </c:spPr>
          </c:dPt>
          <c:dPt>
            <c:idx val="17"/>
            <c:spPr>
              <a:solidFill>
                <a:srgbClr val="999999"/>
              </a:solidFill>
              <a:ln>
                <a:solidFill>
                  <a:srgbClr val="999999"/>
                </a:solidFill>
              </a:ln>
            </c:spPr>
          </c:dPt>
          <c:dPt>
            <c:idx val="18"/>
            <c:spPr>
              <a:solidFill>
                <a:srgbClr val="999999"/>
              </a:solidFill>
              <a:ln>
                <a:solidFill>
                  <a:srgbClr val="999999"/>
                </a:solidFill>
              </a:ln>
            </c:spPr>
          </c:dPt>
          <c:dPt>
            <c:idx val="19"/>
            <c:spPr>
              <a:solidFill>
                <a:srgbClr val="999999"/>
              </a:solidFill>
              <a:ln>
                <a:solidFill>
                  <a:srgbClr val="999999"/>
                </a:solidFill>
              </a:ln>
            </c:spPr>
          </c:dPt>
          <c:dPt>
            <c:idx val="20"/>
            <c:spPr>
              <a:solidFill>
                <a:srgbClr val="999999"/>
              </a:solidFill>
              <a:ln>
                <a:solidFill>
                  <a:srgbClr val="999999"/>
                </a:solidFill>
              </a:ln>
            </c:spPr>
          </c:dPt>
          <c:dPt>
            <c:idx val="21"/>
            <c:spPr>
              <a:solidFill>
                <a:srgbClr val="999999"/>
              </a:solidFill>
              <a:ln>
                <a:solidFill>
                  <a:srgbClr val="999999"/>
                </a:solidFill>
              </a:ln>
            </c:spPr>
          </c:dPt>
          <c:dPt>
            <c:idx val="22"/>
            <c:spPr>
              <a:solidFill>
                <a:srgbClr val="999999"/>
              </a:solidFill>
              <a:ln>
                <a:solidFill>
                  <a:srgbClr val="999999"/>
                </a:solidFill>
              </a:ln>
            </c:spPr>
          </c:dPt>
          <c:dPt>
            <c:idx val="23"/>
            <c:spPr>
              <a:solidFill>
                <a:srgbClr val="89A2C0"/>
              </a:solidFill>
              <a:ln>
                <a:solidFill>
                  <a:srgbClr val="89A2C0"/>
                </a:solidFill>
              </a:ln>
            </c:spPr>
          </c:dPt>
          <c:dLbls>
            <c:numFmt formatCode="#,##0" sourceLinked="0"/>
            <c:txPr>
              <a:bodyPr/>
              <a:lstStyle/>
              <a:p>
                <a:pPr>
                  <a:defRPr sz="700" baseline="0">
                    <a:solidFill>
                      <a:srgbClr val="1A1A1A"/>
                    </a:solidFill>
                    <a:latin typeface="Arial"/>
                  </a:defRPr>
                </a:pPr>
                <a:endParaRPr lang="en-US"/>
              </a:p>
            </c:txPr>
            <c:dLblPos val="ctr"/>
            <c:showVal val="1"/>
          </c:dLbls>
          <c:cat>
            <c:numRef>
              <c:f>'Summary Statistics - Enrollment'!$A$77:$A$100</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'Summary Statistics - Enrollment'!$D$77:$D$100</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ser>
          <c:idx val="3"/>
          <c:order val="3"/>
          <c:tx>
            <c:v>Phase 2</c:v>
          </c:tx>
          <c:spPr>
            <a:solidFill>
              <a:srgbClr val="7A7A7A"/>
            </a:solidFill>
            <a:ln>
              <a:solidFill>
                <a:srgbClr val="7A7A7A"/>
              </a:solidFill>
            </a:ln>
          </c:spPr>
          <c:dPt>
            <c:idx val="0"/>
            <c:spPr>
              <a:solidFill>
                <a:srgbClr val="7A7A7A"/>
              </a:solidFill>
              <a:ln>
                <a:solidFill>
                  <a:srgbClr val="7A7A7A"/>
                </a:solidFill>
              </a:ln>
            </c:spPr>
          </c:dPt>
          <c:dPt>
            <c:idx val="1"/>
            <c:spPr>
              <a:solidFill>
                <a:srgbClr val="7A7A7A"/>
              </a:solidFill>
              <a:ln>
                <a:solidFill>
                  <a:srgbClr val="7A7A7A"/>
                </a:solidFill>
              </a:ln>
            </c:spPr>
          </c:dPt>
          <c:dPt>
            <c:idx val="2"/>
            <c:spPr>
              <a:solidFill>
                <a:srgbClr val="7A7A7A"/>
              </a:solidFill>
              <a:ln>
                <a:solidFill>
                  <a:srgbClr val="7A7A7A"/>
                </a:solidFill>
              </a:ln>
            </c:spPr>
          </c:dPt>
          <c:dPt>
            <c:idx val="3"/>
            <c:spPr>
              <a:solidFill>
                <a:srgbClr val="7A7A7A"/>
              </a:solidFill>
              <a:ln>
                <a:solidFill>
                  <a:srgbClr val="7A7A7A"/>
                </a:solidFill>
              </a:ln>
            </c:spPr>
          </c:dPt>
          <c:dPt>
            <c:idx val="4"/>
            <c:spPr>
              <a:solidFill>
                <a:srgbClr val="7A7A7A"/>
              </a:solidFill>
              <a:ln>
                <a:solidFill>
                  <a:srgbClr val="7A7A7A"/>
                </a:solidFill>
              </a:ln>
            </c:spPr>
          </c:dPt>
          <c:dPt>
            <c:idx val="5"/>
            <c:spPr>
              <a:solidFill>
                <a:srgbClr val="7A7A7A"/>
              </a:solidFill>
              <a:ln>
                <a:solidFill>
                  <a:srgbClr val="7A7A7A"/>
                </a:solidFill>
              </a:ln>
            </c:spPr>
          </c:dPt>
          <c:dPt>
            <c:idx val="6"/>
            <c:spPr>
              <a:solidFill>
                <a:srgbClr val="7A7A7A"/>
              </a:solidFill>
              <a:ln>
                <a:solidFill>
                  <a:srgbClr val="7A7A7A"/>
                </a:solidFill>
              </a:ln>
            </c:spPr>
          </c:dPt>
          <c:dPt>
            <c:idx val="7"/>
            <c:spPr>
              <a:solidFill>
                <a:srgbClr val="7A7A7A"/>
              </a:solidFill>
              <a:ln>
                <a:solidFill>
                  <a:srgbClr val="7A7A7A"/>
                </a:solidFill>
              </a:ln>
            </c:spPr>
          </c:dPt>
          <c:dPt>
            <c:idx val="8"/>
            <c:spPr>
              <a:solidFill>
                <a:srgbClr val="7A7A7A"/>
              </a:solidFill>
              <a:ln>
                <a:solidFill>
                  <a:srgbClr val="7A7A7A"/>
                </a:solidFill>
              </a:ln>
            </c:spPr>
          </c:dPt>
          <c:dPt>
            <c:idx val="9"/>
            <c:spPr>
              <a:solidFill>
                <a:srgbClr val="7A7A7A"/>
              </a:solidFill>
              <a:ln>
                <a:solidFill>
                  <a:srgbClr val="7A7A7A"/>
                </a:solidFill>
              </a:ln>
            </c:spPr>
          </c:dPt>
          <c:dPt>
            <c:idx val="10"/>
            <c:spPr>
              <a:solidFill>
                <a:srgbClr val="7A7A7A"/>
              </a:solidFill>
              <a:ln>
                <a:solidFill>
                  <a:srgbClr val="7A7A7A"/>
                </a:solidFill>
              </a:ln>
            </c:spPr>
          </c:dPt>
          <c:dPt>
            <c:idx val="11"/>
            <c:spPr>
              <a:solidFill>
                <a:srgbClr val="7A7A7A"/>
              </a:solidFill>
              <a:ln>
                <a:solidFill>
                  <a:srgbClr val="7A7A7A"/>
                </a:solidFill>
              </a:ln>
            </c:spPr>
          </c:dPt>
          <c:dPt>
            <c:idx val="12"/>
            <c:spPr>
              <a:solidFill>
                <a:srgbClr val="7A7A7A"/>
              </a:solidFill>
              <a:ln>
                <a:solidFill>
                  <a:srgbClr val="7A7A7A"/>
                </a:solidFill>
              </a:ln>
            </c:spPr>
          </c:dPt>
          <c:dPt>
            <c:idx val="13"/>
            <c:spPr>
              <a:solidFill>
                <a:srgbClr val="7A7A7A"/>
              </a:solidFill>
              <a:ln>
                <a:solidFill>
                  <a:srgbClr val="7A7A7A"/>
                </a:solidFill>
              </a:ln>
            </c:spPr>
          </c:dPt>
          <c:dPt>
            <c:idx val="14"/>
            <c:spPr>
              <a:solidFill>
                <a:srgbClr val="7A7A7A"/>
              </a:solidFill>
              <a:ln>
                <a:solidFill>
                  <a:srgbClr val="7A7A7A"/>
                </a:solidFill>
              </a:ln>
            </c:spPr>
          </c:dPt>
          <c:dPt>
            <c:idx val="15"/>
            <c:spPr>
              <a:solidFill>
                <a:srgbClr val="7A7A7A"/>
              </a:solidFill>
              <a:ln>
                <a:solidFill>
                  <a:srgbClr val="7A7A7A"/>
                </a:solidFill>
              </a:ln>
            </c:spPr>
          </c:dPt>
          <c:dPt>
            <c:idx val="16"/>
            <c:spPr>
              <a:solidFill>
                <a:srgbClr val="7A7A7A"/>
              </a:solidFill>
              <a:ln>
                <a:solidFill>
                  <a:srgbClr val="7A7A7A"/>
                </a:solidFill>
              </a:ln>
            </c:spPr>
          </c:dPt>
          <c:dPt>
            <c:idx val="17"/>
            <c:spPr>
              <a:solidFill>
                <a:srgbClr val="7A7A7A"/>
              </a:solidFill>
              <a:ln>
                <a:solidFill>
                  <a:srgbClr val="7A7A7A"/>
                </a:solidFill>
              </a:ln>
            </c:spPr>
          </c:dPt>
          <c:dPt>
            <c:idx val="18"/>
            <c:spPr>
              <a:solidFill>
                <a:srgbClr val="7A7A7A"/>
              </a:solidFill>
              <a:ln>
                <a:solidFill>
                  <a:srgbClr val="7A7A7A"/>
                </a:solidFill>
              </a:ln>
            </c:spPr>
          </c:dPt>
          <c:dPt>
            <c:idx val="19"/>
            <c:spPr>
              <a:solidFill>
                <a:srgbClr val="7A7A7A"/>
              </a:solidFill>
              <a:ln>
                <a:solidFill>
                  <a:srgbClr val="7A7A7A"/>
                </a:solidFill>
              </a:ln>
            </c:spPr>
          </c:dPt>
          <c:dPt>
            <c:idx val="20"/>
            <c:spPr>
              <a:solidFill>
                <a:srgbClr val="7A7A7A"/>
              </a:solidFill>
              <a:ln>
                <a:solidFill>
                  <a:srgbClr val="7A7A7A"/>
                </a:solidFill>
              </a:ln>
            </c:spPr>
          </c:dPt>
          <c:dPt>
            <c:idx val="21"/>
            <c:spPr>
              <a:solidFill>
                <a:srgbClr val="7A7A7A"/>
              </a:solidFill>
              <a:ln>
                <a:solidFill>
                  <a:srgbClr val="7A7A7A"/>
                </a:solidFill>
              </a:ln>
            </c:spPr>
          </c:dPt>
          <c:dPt>
            <c:idx val="22"/>
            <c:spPr>
              <a:solidFill>
                <a:srgbClr val="7A7A7A"/>
              </a:solidFill>
              <a:ln>
                <a:solidFill>
                  <a:srgbClr val="7A7A7A"/>
                </a:solidFill>
              </a:ln>
            </c:spPr>
          </c:dPt>
          <c:dPt>
            <c:idx val="23"/>
            <c:spPr>
              <a:solidFill>
                <a:srgbClr val="6E87A9"/>
              </a:solidFill>
              <a:ln>
                <a:solidFill>
                  <a:srgbClr val="6E87A9"/>
                </a:solidFill>
              </a:ln>
            </c:spPr>
          </c:dPt>
          <c:dLbls>
            <c:numFmt formatCode="#,##0" sourceLinked="0"/>
            <c:txPr>
              <a:bodyPr/>
              <a:lstStyle/>
              <a:p>
                <a:pPr>
                  <a:defRPr sz="700" baseline="0">
                    <a:solidFill>
                      <a:srgbClr val="FFFFFF"/>
                    </a:solidFill>
                    <a:latin typeface="Arial"/>
                  </a:defRPr>
                </a:pPr>
                <a:endParaRPr lang="en-US"/>
              </a:p>
            </c:txPr>
            <c:dLblPos val="ctr"/>
            <c:showVal val="1"/>
          </c:dLbls>
          <c:cat>
            <c:numRef>
              <c:f>'Summary Statistics - Enrollment'!$A$77:$A$100</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'Summary Statistics - Enrollment'!$E$77:$E$100</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ser>
          <c:idx val="4"/>
          <c:order val="4"/>
          <c:tx>
            <c:v>Phase 2/3</c:v>
          </c:tx>
          <c:spPr>
            <a:solidFill>
              <a:srgbClr val="5A5A5A"/>
            </a:solidFill>
            <a:ln>
              <a:solidFill>
                <a:srgbClr val="5A5A5A"/>
              </a:solidFill>
            </a:ln>
          </c:spPr>
          <c:dPt>
            <c:idx val="0"/>
            <c:spPr>
              <a:solidFill>
                <a:srgbClr val="5A5A5A"/>
              </a:solidFill>
              <a:ln>
                <a:solidFill>
                  <a:srgbClr val="5A5A5A"/>
                </a:solidFill>
              </a:ln>
            </c:spPr>
          </c:dPt>
          <c:dPt>
            <c:idx val="1"/>
            <c:spPr>
              <a:solidFill>
                <a:srgbClr val="5A5A5A"/>
              </a:solidFill>
              <a:ln>
                <a:solidFill>
                  <a:srgbClr val="5A5A5A"/>
                </a:solidFill>
              </a:ln>
            </c:spPr>
          </c:dPt>
          <c:dPt>
            <c:idx val="2"/>
            <c:spPr>
              <a:solidFill>
                <a:srgbClr val="5A5A5A"/>
              </a:solidFill>
              <a:ln>
                <a:solidFill>
                  <a:srgbClr val="5A5A5A"/>
                </a:solidFill>
              </a:ln>
            </c:spPr>
          </c:dPt>
          <c:dPt>
            <c:idx val="3"/>
            <c:spPr>
              <a:solidFill>
                <a:srgbClr val="5A5A5A"/>
              </a:solidFill>
              <a:ln>
                <a:solidFill>
                  <a:srgbClr val="5A5A5A"/>
                </a:solidFill>
              </a:ln>
            </c:spPr>
          </c:dPt>
          <c:dPt>
            <c:idx val="4"/>
            <c:spPr>
              <a:solidFill>
                <a:srgbClr val="5A5A5A"/>
              </a:solidFill>
              <a:ln>
                <a:solidFill>
                  <a:srgbClr val="5A5A5A"/>
                </a:solidFill>
              </a:ln>
            </c:spPr>
          </c:dPt>
          <c:dPt>
            <c:idx val="5"/>
            <c:spPr>
              <a:solidFill>
                <a:srgbClr val="5A5A5A"/>
              </a:solidFill>
              <a:ln>
                <a:solidFill>
                  <a:srgbClr val="5A5A5A"/>
                </a:solidFill>
              </a:ln>
            </c:spPr>
          </c:dPt>
          <c:dPt>
            <c:idx val="6"/>
            <c:spPr>
              <a:solidFill>
                <a:srgbClr val="5A5A5A"/>
              </a:solidFill>
              <a:ln>
                <a:solidFill>
                  <a:srgbClr val="5A5A5A"/>
                </a:solidFill>
              </a:ln>
            </c:spPr>
          </c:dPt>
          <c:dPt>
            <c:idx val="7"/>
            <c:spPr>
              <a:solidFill>
                <a:srgbClr val="5A5A5A"/>
              </a:solidFill>
              <a:ln>
                <a:solidFill>
                  <a:srgbClr val="5A5A5A"/>
                </a:solidFill>
              </a:ln>
            </c:spPr>
          </c:dPt>
          <c:dPt>
            <c:idx val="8"/>
            <c:spPr>
              <a:solidFill>
                <a:srgbClr val="5A5A5A"/>
              </a:solidFill>
              <a:ln>
                <a:solidFill>
                  <a:srgbClr val="5A5A5A"/>
                </a:solidFill>
              </a:ln>
            </c:spPr>
          </c:dPt>
          <c:dPt>
            <c:idx val="9"/>
            <c:spPr>
              <a:solidFill>
                <a:srgbClr val="5A5A5A"/>
              </a:solidFill>
              <a:ln>
                <a:solidFill>
                  <a:srgbClr val="5A5A5A"/>
                </a:solidFill>
              </a:ln>
            </c:spPr>
          </c:dPt>
          <c:dPt>
            <c:idx val="10"/>
            <c:spPr>
              <a:solidFill>
                <a:srgbClr val="5A5A5A"/>
              </a:solidFill>
              <a:ln>
                <a:solidFill>
                  <a:srgbClr val="5A5A5A"/>
                </a:solidFill>
              </a:ln>
            </c:spPr>
          </c:dPt>
          <c:dPt>
            <c:idx val="11"/>
            <c:spPr>
              <a:solidFill>
                <a:srgbClr val="5A5A5A"/>
              </a:solidFill>
              <a:ln>
                <a:solidFill>
                  <a:srgbClr val="5A5A5A"/>
                </a:solidFill>
              </a:ln>
            </c:spPr>
          </c:dPt>
          <c:dPt>
            <c:idx val="12"/>
            <c:spPr>
              <a:solidFill>
                <a:srgbClr val="5A5A5A"/>
              </a:solidFill>
              <a:ln>
                <a:solidFill>
                  <a:srgbClr val="5A5A5A"/>
                </a:solidFill>
              </a:ln>
            </c:spPr>
          </c:dPt>
          <c:dPt>
            <c:idx val="13"/>
            <c:spPr>
              <a:solidFill>
                <a:srgbClr val="5A5A5A"/>
              </a:solidFill>
              <a:ln>
                <a:solidFill>
                  <a:srgbClr val="5A5A5A"/>
                </a:solidFill>
              </a:ln>
            </c:spPr>
          </c:dPt>
          <c:dPt>
            <c:idx val="14"/>
            <c:spPr>
              <a:solidFill>
                <a:srgbClr val="5A5A5A"/>
              </a:solidFill>
              <a:ln>
                <a:solidFill>
                  <a:srgbClr val="5A5A5A"/>
                </a:solidFill>
              </a:ln>
            </c:spPr>
          </c:dPt>
          <c:dPt>
            <c:idx val="15"/>
            <c:spPr>
              <a:solidFill>
                <a:srgbClr val="5A5A5A"/>
              </a:solidFill>
              <a:ln>
                <a:solidFill>
                  <a:srgbClr val="5A5A5A"/>
                </a:solidFill>
              </a:ln>
            </c:spPr>
          </c:dPt>
          <c:dPt>
            <c:idx val="16"/>
            <c:spPr>
              <a:solidFill>
                <a:srgbClr val="5A5A5A"/>
              </a:solidFill>
              <a:ln>
                <a:solidFill>
                  <a:srgbClr val="5A5A5A"/>
                </a:solidFill>
              </a:ln>
            </c:spPr>
          </c:dPt>
          <c:dPt>
            <c:idx val="17"/>
            <c:spPr>
              <a:solidFill>
                <a:srgbClr val="5A5A5A"/>
              </a:solidFill>
              <a:ln>
                <a:solidFill>
                  <a:srgbClr val="5A5A5A"/>
                </a:solidFill>
              </a:ln>
            </c:spPr>
          </c:dPt>
          <c:dPt>
            <c:idx val="18"/>
            <c:spPr>
              <a:solidFill>
                <a:srgbClr val="5A5A5A"/>
              </a:solidFill>
              <a:ln>
                <a:solidFill>
                  <a:srgbClr val="5A5A5A"/>
                </a:solidFill>
              </a:ln>
            </c:spPr>
          </c:dPt>
          <c:dPt>
            <c:idx val="19"/>
            <c:spPr>
              <a:solidFill>
                <a:srgbClr val="5A5A5A"/>
              </a:solidFill>
              <a:ln>
                <a:solidFill>
                  <a:srgbClr val="5A5A5A"/>
                </a:solidFill>
              </a:ln>
            </c:spPr>
          </c:dPt>
          <c:dPt>
            <c:idx val="20"/>
            <c:spPr>
              <a:solidFill>
                <a:srgbClr val="5A5A5A"/>
              </a:solidFill>
              <a:ln>
                <a:solidFill>
                  <a:srgbClr val="5A5A5A"/>
                </a:solidFill>
              </a:ln>
            </c:spPr>
          </c:dPt>
          <c:dPt>
            <c:idx val="21"/>
            <c:spPr>
              <a:solidFill>
                <a:srgbClr val="5A5A5A"/>
              </a:solidFill>
              <a:ln>
                <a:solidFill>
                  <a:srgbClr val="5A5A5A"/>
                </a:solidFill>
              </a:ln>
            </c:spPr>
          </c:dPt>
          <c:dPt>
            <c:idx val="22"/>
            <c:spPr>
              <a:solidFill>
                <a:srgbClr val="5A5A5A"/>
              </a:solidFill>
              <a:ln>
                <a:solidFill>
                  <a:srgbClr val="5A5A5A"/>
                </a:solidFill>
              </a:ln>
            </c:spPr>
          </c:dPt>
          <c:dPt>
            <c:idx val="23"/>
            <c:spPr>
              <a:solidFill>
                <a:srgbClr val="546D92"/>
              </a:solidFill>
              <a:ln>
                <a:solidFill>
                  <a:srgbClr val="546D92"/>
                </a:solidFill>
              </a:ln>
            </c:spPr>
          </c:dPt>
          <c:dLbls>
            <c:numFmt formatCode="#,##0" sourceLinked="0"/>
            <c:txPr>
              <a:bodyPr/>
              <a:lstStyle/>
              <a:p>
                <a:pPr>
                  <a:defRPr sz="700" baseline="0">
                    <a:solidFill>
                      <a:srgbClr val="FFFFFF"/>
                    </a:solidFill>
                    <a:latin typeface="Arial"/>
                  </a:defRPr>
                </a:pPr>
                <a:endParaRPr lang="en-US"/>
              </a:p>
            </c:txPr>
            <c:dLblPos val="ctr"/>
            <c:showVal val="1"/>
          </c:dLbls>
          <c:cat>
            <c:numRef>
              <c:f>'Summary Statistics - Enrollment'!$A$77:$A$100</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'Summary Statistics - Enrollment'!$F$77:$F$100</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ser>
          <c:idx val="5"/>
          <c:order val="5"/>
          <c:tx>
            <c:v>Phase 3</c:v>
          </c:tx>
          <c:spPr>
            <a:solidFill>
              <a:srgbClr val="3A3A3A"/>
            </a:solidFill>
            <a:ln>
              <a:solidFill>
                <a:srgbClr val="3A3A3A"/>
              </a:solidFill>
            </a:ln>
          </c:spPr>
          <c:dPt>
            <c:idx val="0"/>
            <c:spPr>
              <a:solidFill>
                <a:srgbClr val="3A3A3A"/>
              </a:solidFill>
              <a:ln>
                <a:solidFill>
                  <a:srgbClr val="3A3A3A"/>
                </a:solidFill>
              </a:ln>
            </c:spPr>
          </c:dPt>
          <c:dPt>
            <c:idx val="1"/>
            <c:spPr>
              <a:solidFill>
                <a:srgbClr val="3A3A3A"/>
              </a:solidFill>
              <a:ln>
                <a:solidFill>
                  <a:srgbClr val="3A3A3A"/>
                </a:solidFill>
              </a:ln>
            </c:spPr>
          </c:dPt>
          <c:dPt>
            <c:idx val="2"/>
            <c:spPr>
              <a:solidFill>
                <a:srgbClr val="3A3A3A"/>
              </a:solidFill>
              <a:ln>
                <a:solidFill>
                  <a:srgbClr val="3A3A3A"/>
                </a:solidFill>
              </a:ln>
            </c:spPr>
          </c:dPt>
          <c:dPt>
            <c:idx val="3"/>
            <c:spPr>
              <a:solidFill>
                <a:srgbClr val="3A3A3A"/>
              </a:solidFill>
              <a:ln>
                <a:solidFill>
                  <a:srgbClr val="3A3A3A"/>
                </a:solidFill>
              </a:ln>
            </c:spPr>
          </c:dPt>
          <c:dPt>
            <c:idx val="4"/>
            <c:spPr>
              <a:solidFill>
                <a:srgbClr val="3A3A3A"/>
              </a:solidFill>
              <a:ln>
                <a:solidFill>
                  <a:srgbClr val="3A3A3A"/>
                </a:solidFill>
              </a:ln>
            </c:spPr>
          </c:dPt>
          <c:dPt>
            <c:idx val="5"/>
            <c:spPr>
              <a:solidFill>
                <a:srgbClr val="3A3A3A"/>
              </a:solidFill>
              <a:ln>
                <a:solidFill>
                  <a:srgbClr val="3A3A3A"/>
                </a:solidFill>
              </a:ln>
            </c:spPr>
          </c:dPt>
          <c:dPt>
            <c:idx val="6"/>
            <c:spPr>
              <a:solidFill>
                <a:srgbClr val="3A3A3A"/>
              </a:solidFill>
              <a:ln>
                <a:solidFill>
                  <a:srgbClr val="3A3A3A"/>
                </a:solidFill>
              </a:ln>
            </c:spPr>
          </c:dPt>
          <c:dPt>
            <c:idx val="7"/>
            <c:spPr>
              <a:solidFill>
                <a:srgbClr val="3A3A3A"/>
              </a:solidFill>
              <a:ln>
                <a:solidFill>
                  <a:srgbClr val="3A3A3A"/>
                </a:solidFill>
              </a:ln>
            </c:spPr>
          </c:dPt>
          <c:dPt>
            <c:idx val="8"/>
            <c:spPr>
              <a:solidFill>
                <a:srgbClr val="3A3A3A"/>
              </a:solidFill>
              <a:ln>
                <a:solidFill>
                  <a:srgbClr val="3A3A3A"/>
                </a:solidFill>
              </a:ln>
            </c:spPr>
          </c:dPt>
          <c:dPt>
            <c:idx val="9"/>
            <c:spPr>
              <a:solidFill>
                <a:srgbClr val="3A3A3A"/>
              </a:solidFill>
              <a:ln>
                <a:solidFill>
                  <a:srgbClr val="3A3A3A"/>
                </a:solidFill>
              </a:ln>
            </c:spPr>
          </c:dPt>
          <c:dPt>
            <c:idx val="10"/>
            <c:spPr>
              <a:solidFill>
                <a:srgbClr val="3A3A3A"/>
              </a:solidFill>
              <a:ln>
                <a:solidFill>
                  <a:srgbClr val="3A3A3A"/>
                </a:solidFill>
              </a:ln>
            </c:spPr>
          </c:dPt>
          <c:dPt>
            <c:idx val="11"/>
            <c:spPr>
              <a:solidFill>
                <a:srgbClr val="3A3A3A"/>
              </a:solidFill>
              <a:ln>
                <a:solidFill>
                  <a:srgbClr val="3A3A3A"/>
                </a:solidFill>
              </a:ln>
            </c:spPr>
          </c:dPt>
          <c:dPt>
            <c:idx val="12"/>
            <c:spPr>
              <a:solidFill>
                <a:srgbClr val="3A3A3A"/>
              </a:solidFill>
              <a:ln>
                <a:solidFill>
                  <a:srgbClr val="3A3A3A"/>
                </a:solidFill>
              </a:ln>
            </c:spPr>
          </c:dPt>
          <c:dPt>
            <c:idx val="13"/>
            <c:spPr>
              <a:solidFill>
                <a:srgbClr val="3A3A3A"/>
              </a:solidFill>
              <a:ln>
                <a:solidFill>
                  <a:srgbClr val="3A3A3A"/>
                </a:solidFill>
              </a:ln>
            </c:spPr>
          </c:dPt>
          <c:dPt>
            <c:idx val="14"/>
            <c:spPr>
              <a:solidFill>
                <a:srgbClr val="3A3A3A"/>
              </a:solidFill>
              <a:ln>
                <a:solidFill>
                  <a:srgbClr val="3A3A3A"/>
                </a:solidFill>
              </a:ln>
            </c:spPr>
          </c:dPt>
          <c:dPt>
            <c:idx val="15"/>
            <c:spPr>
              <a:solidFill>
                <a:srgbClr val="3A3A3A"/>
              </a:solidFill>
              <a:ln>
                <a:solidFill>
                  <a:srgbClr val="3A3A3A"/>
                </a:solidFill>
              </a:ln>
            </c:spPr>
          </c:dPt>
          <c:dPt>
            <c:idx val="16"/>
            <c:spPr>
              <a:solidFill>
                <a:srgbClr val="3A3A3A"/>
              </a:solidFill>
              <a:ln>
                <a:solidFill>
                  <a:srgbClr val="3A3A3A"/>
                </a:solidFill>
              </a:ln>
            </c:spPr>
          </c:dPt>
          <c:dPt>
            <c:idx val="17"/>
            <c:spPr>
              <a:solidFill>
                <a:srgbClr val="3A3A3A"/>
              </a:solidFill>
              <a:ln>
                <a:solidFill>
                  <a:srgbClr val="3A3A3A"/>
                </a:solidFill>
              </a:ln>
            </c:spPr>
          </c:dPt>
          <c:dPt>
            <c:idx val="18"/>
            <c:spPr>
              <a:solidFill>
                <a:srgbClr val="3A3A3A"/>
              </a:solidFill>
              <a:ln>
                <a:solidFill>
                  <a:srgbClr val="3A3A3A"/>
                </a:solidFill>
              </a:ln>
            </c:spPr>
          </c:dPt>
          <c:dPt>
            <c:idx val="19"/>
            <c:spPr>
              <a:solidFill>
                <a:srgbClr val="3A3A3A"/>
              </a:solidFill>
              <a:ln>
                <a:solidFill>
                  <a:srgbClr val="3A3A3A"/>
                </a:solidFill>
              </a:ln>
            </c:spPr>
          </c:dPt>
          <c:dPt>
            <c:idx val="20"/>
            <c:spPr>
              <a:solidFill>
                <a:srgbClr val="3A3A3A"/>
              </a:solidFill>
              <a:ln>
                <a:solidFill>
                  <a:srgbClr val="3A3A3A"/>
                </a:solidFill>
              </a:ln>
            </c:spPr>
          </c:dPt>
          <c:dPt>
            <c:idx val="21"/>
            <c:spPr>
              <a:solidFill>
                <a:srgbClr val="3A3A3A"/>
              </a:solidFill>
              <a:ln>
                <a:solidFill>
                  <a:srgbClr val="3A3A3A"/>
                </a:solidFill>
              </a:ln>
            </c:spPr>
          </c:dPt>
          <c:dPt>
            <c:idx val="22"/>
            <c:spPr>
              <a:solidFill>
                <a:srgbClr val="3A3A3A"/>
              </a:solidFill>
              <a:ln>
                <a:solidFill>
                  <a:srgbClr val="3A3A3A"/>
                </a:solidFill>
              </a:ln>
            </c:spPr>
          </c:dPt>
          <c:dPt>
            <c:idx val="23"/>
            <c:spPr>
              <a:solidFill>
                <a:srgbClr val="3A527B"/>
              </a:solidFill>
              <a:ln>
                <a:solidFill>
                  <a:srgbClr val="3A527B"/>
                </a:solidFill>
              </a:ln>
            </c:spPr>
          </c:dPt>
          <c:dLbls>
            <c:numFmt formatCode="#,##0" sourceLinked="0"/>
            <c:txPr>
              <a:bodyPr/>
              <a:lstStyle/>
              <a:p>
                <a:pPr>
                  <a:defRPr sz="700" baseline="0">
                    <a:solidFill>
                      <a:srgbClr val="FFFFFF"/>
                    </a:solidFill>
                    <a:latin typeface="Arial"/>
                  </a:defRPr>
                </a:pPr>
                <a:endParaRPr lang="en-US"/>
              </a:p>
            </c:txPr>
            <c:dLblPos val="ctr"/>
            <c:showVal val="1"/>
          </c:dLbls>
          <c:cat>
            <c:numRef>
              <c:f>'Summary Statistics - Enrollment'!$A$77:$A$100</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'Summary Statistics - Enrollment'!$G$77:$G$100</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ser>
          <c:idx val="6"/>
          <c:order val="6"/>
          <c:tx>
            <c:v>Phase 4</c:v>
          </c:tx>
          <c:spPr>
            <a:solidFill>
              <a:srgbClr val="1A1A1A"/>
            </a:solidFill>
            <a:ln>
              <a:solidFill>
                <a:srgbClr val="1A1A1A"/>
              </a:solidFill>
            </a:ln>
          </c:spPr>
          <c:dPt>
            <c:idx val="0"/>
            <c:spPr>
              <a:solidFill>
                <a:srgbClr val="1A1A1A"/>
              </a:solidFill>
              <a:ln>
                <a:solidFill>
                  <a:srgbClr val="1A1A1A"/>
                </a:solidFill>
              </a:ln>
            </c:spPr>
          </c:dPt>
          <c:dPt>
            <c:idx val="1"/>
            <c:spPr>
              <a:solidFill>
                <a:srgbClr val="1A1A1A"/>
              </a:solidFill>
              <a:ln>
                <a:solidFill>
                  <a:srgbClr val="1A1A1A"/>
                </a:solidFill>
              </a:ln>
            </c:spPr>
          </c:dPt>
          <c:dPt>
            <c:idx val="2"/>
            <c:spPr>
              <a:solidFill>
                <a:srgbClr val="1A1A1A"/>
              </a:solidFill>
              <a:ln>
                <a:solidFill>
                  <a:srgbClr val="1A1A1A"/>
                </a:solidFill>
              </a:ln>
            </c:spPr>
          </c:dPt>
          <c:dPt>
            <c:idx val="3"/>
            <c:spPr>
              <a:solidFill>
                <a:srgbClr val="1A1A1A"/>
              </a:solidFill>
              <a:ln>
                <a:solidFill>
                  <a:srgbClr val="1A1A1A"/>
                </a:solidFill>
              </a:ln>
            </c:spPr>
          </c:dPt>
          <c:dPt>
            <c:idx val="4"/>
            <c:spPr>
              <a:solidFill>
                <a:srgbClr val="1A1A1A"/>
              </a:solidFill>
              <a:ln>
                <a:solidFill>
                  <a:srgbClr val="1A1A1A"/>
                </a:solidFill>
              </a:ln>
            </c:spPr>
          </c:dPt>
          <c:dPt>
            <c:idx val="5"/>
            <c:spPr>
              <a:solidFill>
                <a:srgbClr val="1A1A1A"/>
              </a:solidFill>
              <a:ln>
                <a:solidFill>
                  <a:srgbClr val="1A1A1A"/>
                </a:solidFill>
              </a:ln>
            </c:spPr>
          </c:dPt>
          <c:dPt>
            <c:idx val="6"/>
            <c:spPr>
              <a:solidFill>
                <a:srgbClr val="1A1A1A"/>
              </a:solidFill>
              <a:ln>
                <a:solidFill>
                  <a:srgbClr val="1A1A1A"/>
                </a:solidFill>
              </a:ln>
            </c:spPr>
          </c:dPt>
          <c:dPt>
            <c:idx val="7"/>
            <c:spPr>
              <a:solidFill>
                <a:srgbClr val="1A1A1A"/>
              </a:solidFill>
              <a:ln>
                <a:solidFill>
                  <a:srgbClr val="1A1A1A"/>
                </a:solidFill>
              </a:ln>
            </c:spPr>
          </c:dPt>
          <c:dPt>
            <c:idx val="8"/>
            <c:spPr>
              <a:solidFill>
                <a:srgbClr val="1A1A1A"/>
              </a:solidFill>
              <a:ln>
                <a:solidFill>
                  <a:srgbClr val="1A1A1A"/>
                </a:solidFill>
              </a:ln>
            </c:spPr>
          </c:dPt>
          <c:dPt>
            <c:idx val="9"/>
            <c:spPr>
              <a:solidFill>
                <a:srgbClr val="1A1A1A"/>
              </a:solidFill>
              <a:ln>
                <a:solidFill>
                  <a:srgbClr val="1A1A1A"/>
                </a:solidFill>
              </a:ln>
            </c:spPr>
          </c:dPt>
          <c:dPt>
            <c:idx val="10"/>
            <c:spPr>
              <a:solidFill>
                <a:srgbClr val="1A1A1A"/>
              </a:solidFill>
              <a:ln>
                <a:solidFill>
                  <a:srgbClr val="1A1A1A"/>
                </a:solidFill>
              </a:ln>
            </c:spPr>
          </c:dPt>
          <c:dPt>
            <c:idx val="11"/>
            <c:spPr>
              <a:solidFill>
                <a:srgbClr val="1A1A1A"/>
              </a:solidFill>
              <a:ln>
                <a:solidFill>
                  <a:srgbClr val="1A1A1A"/>
                </a:solidFill>
              </a:ln>
            </c:spPr>
          </c:dPt>
          <c:dPt>
            <c:idx val="12"/>
            <c:spPr>
              <a:solidFill>
                <a:srgbClr val="1A1A1A"/>
              </a:solidFill>
              <a:ln>
                <a:solidFill>
                  <a:srgbClr val="1A1A1A"/>
                </a:solidFill>
              </a:ln>
            </c:spPr>
          </c:dPt>
          <c:dPt>
            <c:idx val="13"/>
            <c:spPr>
              <a:solidFill>
                <a:srgbClr val="1A1A1A"/>
              </a:solidFill>
              <a:ln>
                <a:solidFill>
                  <a:srgbClr val="1A1A1A"/>
                </a:solidFill>
              </a:ln>
            </c:spPr>
          </c:dPt>
          <c:dPt>
            <c:idx val="14"/>
            <c:spPr>
              <a:solidFill>
                <a:srgbClr val="1A1A1A"/>
              </a:solidFill>
              <a:ln>
                <a:solidFill>
                  <a:srgbClr val="1A1A1A"/>
                </a:solidFill>
              </a:ln>
            </c:spPr>
          </c:dPt>
          <c:dPt>
            <c:idx val="15"/>
            <c:spPr>
              <a:solidFill>
                <a:srgbClr val="1A1A1A"/>
              </a:solidFill>
              <a:ln>
                <a:solidFill>
                  <a:srgbClr val="1A1A1A"/>
                </a:solidFill>
              </a:ln>
            </c:spPr>
          </c:dPt>
          <c:dPt>
            <c:idx val="16"/>
            <c:spPr>
              <a:solidFill>
                <a:srgbClr val="1A1A1A"/>
              </a:solidFill>
              <a:ln>
                <a:solidFill>
                  <a:srgbClr val="1A1A1A"/>
                </a:solidFill>
              </a:ln>
            </c:spPr>
          </c:dPt>
          <c:dPt>
            <c:idx val="17"/>
            <c:spPr>
              <a:solidFill>
                <a:srgbClr val="1A1A1A"/>
              </a:solidFill>
              <a:ln>
                <a:solidFill>
                  <a:srgbClr val="1A1A1A"/>
                </a:solidFill>
              </a:ln>
            </c:spPr>
          </c:dPt>
          <c:dPt>
            <c:idx val="18"/>
            <c:spPr>
              <a:solidFill>
                <a:srgbClr val="1A1A1A"/>
              </a:solidFill>
              <a:ln>
                <a:solidFill>
                  <a:srgbClr val="1A1A1A"/>
                </a:solidFill>
              </a:ln>
            </c:spPr>
          </c:dPt>
          <c:dPt>
            <c:idx val="19"/>
            <c:spPr>
              <a:solidFill>
                <a:srgbClr val="1A1A1A"/>
              </a:solidFill>
              <a:ln>
                <a:solidFill>
                  <a:srgbClr val="1A1A1A"/>
                </a:solidFill>
              </a:ln>
            </c:spPr>
          </c:dPt>
          <c:dPt>
            <c:idx val="20"/>
            <c:spPr>
              <a:solidFill>
                <a:srgbClr val="1A1A1A"/>
              </a:solidFill>
              <a:ln>
                <a:solidFill>
                  <a:srgbClr val="1A1A1A"/>
                </a:solidFill>
              </a:ln>
            </c:spPr>
          </c:dPt>
          <c:dPt>
            <c:idx val="21"/>
            <c:spPr>
              <a:solidFill>
                <a:srgbClr val="1A1A1A"/>
              </a:solidFill>
              <a:ln>
                <a:solidFill>
                  <a:srgbClr val="1A1A1A"/>
                </a:solidFill>
              </a:ln>
            </c:spPr>
          </c:dPt>
          <c:dPt>
            <c:idx val="22"/>
            <c:spPr>
              <a:solidFill>
                <a:srgbClr val="1A1A1A"/>
              </a:solidFill>
              <a:ln>
                <a:solidFill>
                  <a:srgbClr val="1A1A1A"/>
                </a:solidFill>
              </a:ln>
            </c:spPr>
          </c:dPt>
          <c:dPt>
            <c:idx val="23"/>
            <c:spPr>
              <a:solidFill>
                <a:srgbClr val="1F3864"/>
              </a:solidFill>
              <a:ln>
                <a:solidFill>
                  <a:srgbClr val="1F3864"/>
                </a:solidFill>
              </a:ln>
            </c:spPr>
          </c:dPt>
          <c:dLbls>
            <c:numFmt formatCode="#,##0" sourceLinked="0"/>
            <c:txPr>
              <a:bodyPr/>
              <a:lstStyle/>
              <a:p>
                <a:pPr>
                  <a:defRPr sz="700" baseline="0">
                    <a:solidFill>
                      <a:srgbClr val="FFFFFF"/>
                    </a:solidFill>
                    <a:latin typeface="Arial"/>
                  </a:defRPr>
                </a:pPr>
                <a:endParaRPr lang="en-US"/>
              </a:p>
            </c:txPr>
            <c:dLblPos val="ctr"/>
            <c:showVal val="1"/>
          </c:dLbls>
          <c:cat>
            <c:numRef>
              <c:f>'Summary Statistics - Enrollment'!$A$77:$A$100</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'Summary Statistics - Enrollment'!$H$77:$H$100</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gapWidth val="80"/>
        <c:overlap val="100"/>
        <c:axId val="50040001"/>
        <c:axId val="50040002"/>
      </c:barChart>
      <c:lineChart>
        <c:grouping val="standard"/>
        <c:ser>
          <c:idx val="7"/>
          <c:order val="7"/>
          <c:tx>
            <c:v>_Total</c:v>
          </c:tx>
          <c:spPr>
            <a:ln>
              <a:noFill/>
            </a:ln>
          </c:spPr>
          <c:marker>
            <c:symbol val="none"/>
          </c:marker>
          <c:dLbls>
            <c:numFmt formatCode="#,##0" sourceLinked="0"/>
            <c:txPr>
              <a:bodyPr/>
              <a:lstStyle/>
              <a:p>
                <a:pPr>
                  <a:defRPr sz="800" b="1" baseline="0">
                    <a:solidFill>
                      <a:srgbClr val="1F3864"/>
                    </a:solidFill>
                    <a:latin typeface="Arial"/>
                  </a:defRPr>
                </a:pPr>
                <a:endParaRPr lang="en-US"/>
              </a:p>
            </c:txPr>
            <c:dLblPos val="t"/>
            <c:showVal val="1"/>
          </c:dLbls>
          <c:cat>
            <c:numRef>
              <c:f>'Summary Statistics - Enrollment'!$A$77:$A$100</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'Summary Statistics - Enrollment'!$I$77:$I$100</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marker val="1"/>
        <c:axId val="50040001"/>
        <c:axId val="50040002"/>
      </c:lineChart>
      <c:catAx>
        <c:axId val="50040001"/>
        <c:scaling>
          <c:orientation val="minMax"/>
        </c:scaling>
        <c:axPos val="b"/>
        <c:numFmt formatCode="mmm yy" sourceLinked="0"/>
        <c:tickLblPos val="low"/>
        <c:txPr>
          <a:bodyPr rot="-2700000" vert="horz"/>
          <a:lstStyle/>
          <a:p>
            <a:pPr>
              <a:defRPr sz="700" baseline="0">
                <a:latin typeface="Arial"/>
              </a:defRPr>
            </a:pPr>
            <a:endParaRPr lang="en-US"/>
          </a:p>
        </c:txPr>
        <c:crossAx val="50040002"/>
        <c:crosses val="autoZero"/>
        <c:auto val="1"/>
        <c:lblAlgn val="ctr"/>
        <c:lblOffset val="100"/>
      </c:catAx>
      <c:valAx>
        <c:axId val="50040002"/>
        <c:scaling>
          <c:orientation val="minMax"/>
        </c:scaling>
        <c:axPos val="l"/>
        <c:numFmt formatCode="#,##0" sourceLinked="0"/>
        <c:tickLblPos val="nextTo"/>
        <c:crossAx val="50040001"/>
        <c:crosses val="autoZero"/>
        <c:crossBetween val="between"/>
      </c:valAx>
      <c:spPr>
        <a:ln>
          <a:noFill/>
        </a:ln>
      </c:spPr>
    </c:plotArea>
    <c:legend>
      <c:legendPos val="b"/>
      <c:legendEntry>
        <c:idx val="7"/>
        <c:delete val="1"/>
      </c:legendEntry>
      <c:layout/>
      <c:txPr>
        <a:bodyPr/>
        <a:lstStyle/>
        <a:p>
          <a:pPr>
            <a:defRPr sz="800" baseline="0">
              <a:latin typeface="Arial"/>
            </a:defRPr>
          </a:pPr>
          <a:endParaRPr lang="en-US"/>
        </a:p>
      </c:txPr>
    </c:legend>
    <c:plotVisOnly val="1"/>
  </c:chart>
  <c:spPr>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latin typeface="Arial"/>
              </a:defRPr>
            </a:pPr>
            <a:r>
              <a:rPr lang="en-US" sz="1200" b="1" baseline="0">
                <a:latin typeface="Arial"/>
              </a:rPr>
              <a:t>CDER new drug approvals, to date: Yearly</a:t>
            </a:r>
          </a:p>
        </c:rich>
      </c:tx>
      <c:layout/>
    </c:title>
    <c:plotArea>
      <c:layout/>
      <c:barChart>
        <c:barDir val="col"/>
        <c:grouping val="stacked"/>
        <c:ser>
          <c:idx val="0"/>
          <c:order val="0"/>
          <c:tx>
            <c:v>Chemical (NDA)</c:v>
          </c:tx>
          <c:spPr>
            <a:solidFill>
              <a:srgbClr val="999999"/>
            </a:solidFill>
            <a:ln>
              <a:solidFill>
                <a:srgbClr val="999999"/>
              </a:solidFill>
            </a:ln>
          </c:spPr>
          <c:dPt>
            <c:idx val="0"/>
            <c:spPr>
              <a:solidFill>
                <a:srgbClr val="999999"/>
              </a:solidFill>
              <a:ln>
                <a:solidFill>
                  <a:srgbClr val="999999"/>
                </a:solidFill>
              </a:ln>
            </c:spPr>
          </c:dPt>
          <c:dPt>
            <c:idx val="1"/>
            <c:spPr>
              <a:solidFill>
                <a:srgbClr val="999999"/>
              </a:solidFill>
              <a:ln>
                <a:solidFill>
                  <a:srgbClr val="999999"/>
                </a:solidFill>
              </a:ln>
            </c:spPr>
          </c:dPt>
          <c:dPt>
            <c:idx val="2"/>
            <c:spPr>
              <a:solidFill>
                <a:srgbClr val="999999"/>
              </a:solidFill>
              <a:ln>
                <a:solidFill>
                  <a:srgbClr val="999999"/>
                </a:solidFill>
              </a:ln>
            </c:spPr>
          </c:dPt>
          <c:dPt>
            <c:idx val="3"/>
            <c:spPr>
              <a:solidFill>
                <a:srgbClr val="999999"/>
              </a:solidFill>
              <a:ln>
                <a:solidFill>
                  <a:srgbClr val="999999"/>
                </a:solidFill>
              </a:ln>
            </c:spPr>
          </c:dPt>
          <c:dPt>
            <c:idx val="4"/>
            <c:spPr>
              <a:solidFill>
                <a:srgbClr val="999999"/>
              </a:solidFill>
              <a:ln>
                <a:solidFill>
                  <a:srgbClr val="999999"/>
                </a:solidFill>
              </a:ln>
            </c:spPr>
          </c:dPt>
          <c:dPt>
            <c:idx val="5"/>
            <c:spPr>
              <a:solidFill>
                <a:srgbClr val="999999"/>
              </a:solidFill>
              <a:ln>
                <a:solidFill>
                  <a:srgbClr val="999999"/>
                </a:solidFill>
              </a:ln>
            </c:spPr>
          </c:dPt>
          <c:dPt>
            <c:idx val="6"/>
            <c:spPr>
              <a:solidFill>
                <a:srgbClr val="BDD7EE"/>
              </a:solidFill>
              <a:ln>
                <a:solidFill>
                  <a:srgbClr val="BDD7EE"/>
                </a:solidFill>
              </a:ln>
            </c:spPr>
          </c:dPt>
          <c:dPt>
            <c:idx val="7"/>
            <c:spPr>
              <a:solidFill>
                <a:srgbClr val="BDD7EE"/>
              </a:solidFill>
              <a:ln>
                <a:solidFill>
                  <a:srgbClr val="BDD7EE"/>
                </a:solidFill>
              </a:ln>
            </c:spPr>
          </c:dPt>
          <c:dLbls>
            <c:numFmt formatCode="#,##0" sourceLinked="0"/>
            <c:txPr>
              <a:bodyPr/>
              <a:lstStyle/>
              <a:p>
                <a:pPr>
                  <a:defRPr sz="800" baseline="0">
                    <a:solidFill>
                      <a:srgbClr val="FFFFFF"/>
                    </a:solidFill>
                    <a:latin typeface="Arial"/>
                  </a:defRPr>
                </a:pPr>
                <a:endParaRPr lang="en-US"/>
              </a:p>
            </c:txPr>
            <c:dLblPos val="ctr"/>
            <c:showVal val="1"/>
          </c:dLbls>
          <c:cat>
            <c:strRef>
              <c:f>'FDA Approval Summary'!$A$5:$A$12</c:f>
              <c:strCache>
                <c:ptCount val="8"/>
                <c:pt idx="0">
                  <c:v>2020</c:v>
                </c:pt>
                <c:pt idx="1">
                  <c:v>2021</c:v>
                </c:pt>
                <c:pt idx="2">
                  <c:v>2022</c:v>
                </c:pt>
                <c:pt idx="3">
                  <c:v>2023</c:v>
                </c:pt>
                <c:pt idx="4">
                  <c:v>2024</c:v>
                </c:pt>
                <c:pt idx="5">
                  <c:v>2025</c:v>
                </c:pt>
                <c:pt idx="6">
                  <c:v>2026 through July</c:v>
                </c:pt>
                <c:pt idx="7">
                  <c:v>2026 Annualized</c:v>
                </c:pt>
              </c:strCache>
            </c:strRef>
          </c:cat>
          <c:val>
            <c:numRef>
              <c:f>'FDA Approval Summary'!$B$5:$B$12</c:f>
              <c:numCache>
                <c:formatCode>General</c:formatCode>
                <c:ptCount val="8"/>
                <c:pt idx="0">
                  <c:v>0</c:v>
                </c:pt>
                <c:pt idx="1">
                  <c:v>0</c:v>
                </c:pt>
                <c:pt idx="2">
                  <c:v>0</c:v>
                </c:pt>
                <c:pt idx="3">
                  <c:v>0</c:v>
                </c:pt>
                <c:pt idx="4">
                  <c:v>0</c:v>
                </c:pt>
                <c:pt idx="5">
                  <c:v>0</c:v>
                </c:pt>
                <c:pt idx="6">
                  <c:v>0</c:v>
                </c:pt>
                <c:pt idx="7">
                  <c:v>0</c:v>
                </c:pt>
              </c:numCache>
            </c:numRef>
          </c:val>
        </c:ser>
        <c:ser>
          <c:idx val="1"/>
          <c:order val="1"/>
          <c:tx>
            <c:v>Biologics (BLA)</c:v>
          </c:tx>
          <c:spPr>
            <a:solidFill>
              <a:srgbClr val="1A1A1A"/>
            </a:solidFill>
            <a:ln>
              <a:solidFill>
                <a:srgbClr val="1A1A1A"/>
              </a:solidFill>
            </a:ln>
          </c:spPr>
          <c:dPt>
            <c:idx val="0"/>
            <c:spPr>
              <a:solidFill>
                <a:srgbClr val="1A1A1A"/>
              </a:solidFill>
              <a:ln>
                <a:solidFill>
                  <a:srgbClr val="1A1A1A"/>
                </a:solidFill>
              </a:ln>
            </c:spPr>
          </c:dPt>
          <c:dPt>
            <c:idx val="1"/>
            <c:spPr>
              <a:solidFill>
                <a:srgbClr val="1A1A1A"/>
              </a:solidFill>
              <a:ln>
                <a:solidFill>
                  <a:srgbClr val="1A1A1A"/>
                </a:solidFill>
              </a:ln>
            </c:spPr>
          </c:dPt>
          <c:dPt>
            <c:idx val="2"/>
            <c:spPr>
              <a:solidFill>
                <a:srgbClr val="1A1A1A"/>
              </a:solidFill>
              <a:ln>
                <a:solidFill>
                  <a:srgbClr val="1A1A1A"/>
                </a:solidFill>
              </a:ln>
            </c:spPr>
          </c:dPt>
          <c:dPt>
            <c:idx val="3"/>
            <c:spPr>
              <a:solidFill>
                <a:srgbClr val="1A1A1A"/>
              </a:solidFill>
              <a:ln>
                <a:solidFill>
                  <a:srgbClr val="1A1A1A"/>
                </a:solidFill>
              </a:ln>
            </c:spPr>
          </c:dPt>
          <c:dPt>
            <c:idx val="4"/>
            <c:spPr>
              <a:solidFill>
                <a:srgbClr val="1A1A1A"/>
              </a:solidFill>
              <a:ln>
                <a:solidFill>
                  <a:srgbClr val="1A1A1A"/>
                </a:solidFill>
              </a:ln>
            </c:spPr>
          </c:dPt>
          <c:dPt>
            <c:idx val="5"/>
            <c:spPr>
              <a:solidFill>
                <a:srgbClr val="1A1A1A"/>
              </a:solidFill>
              <a:ln>
                <a:solidFill>
                  <a:srgbClr val="1A1A1A"/>
                </a:solidFill>
              </a:ln>
            </c:spPr>
          </c:dPt>
          <c:dPt>
            <c:idx val="6"/>
            <c:spPr>
              <a:solidFill>
                <a:srgbClr val="1F3864"/>
              </a:solidFill>
              <a:ln>
                <a:solidFill>
                  <a:srgbClr val="1F3864"/>
                </a:solidFill>
              </a:ln>
            </c:spPr>
          </c:dPt>
          <c:dPt>
            <c:idx val="7"/>
            <c:spPr>
              <a:solidFill>
                <a:srgbClr val="1F3864"/>
              </a:solidFill>
              <a:ln>
                <a:solidFill>
                  <a:srgbClr val="1F3864"/>
                </a:solidFill>
              </a:ln>
            </c:spPr>
          </c:dPt>
          <c:dLbls>
            <c:numFmt formatCode="#,##0" sourceLinked="0"/>
            <c:txPr>
              <a:bodyPr/>
              <a:lstStyle/>
              <a:p>
                <a:pPr>
                  <a:defRPr sz="800" baseline="0">
                    <a:solidFill>
                      <a:srgbClr val="FFFFFF"/>
                    </a:solidFill>
                    <a:latin typeface="Arial"/>
                  </a:defRPr>
                </a:pPr>
                <a:endParaRPr lang="en-US"/>
              </a:p>
            </c:txPr>
            <c:dLblPos val="ctr"/>
            <c:showVal val="1"/>
          </c:dLbls>
          <c:cat>
            <c:strRef>
              <c:f>'FDA Approval Summary'!$A$5:$A$12</c:f>
              <c:strCache>
                <c:ptCount val="8"/>
                <c:pt idx="0">
                  <c:v>2020</c:v>
                </c:pt>
                <c:pt idx="1">
                  <c:v>2021</c:v>
                </c:pt>
                <c:pt idx="2">
                  <c:v>2022</c:v>
                </c:pt>
                <c:pt idx="3">
                  <c:v>2023</c:v>
                </c:pt>
                <c:pt idx="4">
                  <c:v>2024</c:v>
                </c:pt>
                <c:pt idx="5">
                  <c:v>2025</c:v>
                </c:pt>
                <c:pt idx="6">
                  <c:v>2026 through July</c:v>
                </c:pt>
                <c:pt idx="7">
                  <c:v>2026 Annualized</c:v>
                </c:pt>
              </c:strCache>
            </c:strRef>
          </c:cat>
          <c:val>
            <c:numRef>
              <c:f>'FDA Approval Summary'!$C$5:$C$12</c:f>
              <c:numCache>
                <c:formatCode>General</c:formatCode>
                <c:ptCount val="8"/>
                <c:pt idx="0">
                  <c:v>0</c:v>
                </c:pt>
                <c:pt idx="1">
                  <c:v>0</c:v>
                </c:pt>
                <c:pt idx="2">
                  <c:v>0</c:v>
                </c:pt>
                <c:pt idx="3">
                  <c:v>0</c:v>
                </c:pt>
                <c:pt idx="4">
                  <c:v>0</c:v>
                </c:pt>
                <c:pt idx="5">
                  <c:v>0</c:v>
                </c:pt>
                <c:pt idx="6">
                  <c:v>0</c:v>
                </c:pt>
                <c:pt idx="7">
                  <c:v>0</c:v>
                </c:pt>
              </c:numCache>
            </c:numRef>
          </c:val>
        </c:ser>
        <c:gapWidth val="80"/>
        <c:overlap val="100"/>
        <c:axId val="50050001"/>
        <c:axId val="50050002"/>
      </c:barChart>
      <c:lineChart>
        <c:grouping val="standard"/>
        <c:ser>
          <c:idx val="2"/>
          <c:order val="2"/>
          <c:tx>
            <c:v>_Total</c:v>
          </c:tx>
          <c:spPr>
            <a:ln>
              <a:noFill/>
            </a:ln>
          </c:spPr>
          <c:marker>
            <c:symbol val="none"/>
          </c:marker>
          <c:dLbls>
            <c:numFmt formatCode="#,##0" sourceLinked="0"/>
            <c:txPr>
              <a:bodyPr/>
              <a:lstStyle/>
              <a:p>
                <a:pPr>
                  <a:defRPr sz="900" b="1" baseline="0">
                    <a:solidFill>
                      <a:srgbClr val="1F3864"/>
                    </a:solidFill>
                    <a:latin typeface="Arial"/>
                  </a:defRPr>
                </a:pPr>
                <a:endParaRPr lang="en-US"/>
              </a:p>
            </c:txPr>
            <c:dLblPos val="t"/>
            <c:showVal val="1"/>
          </c:dLbls>
          <c:cat>
            <c:strRef>
              <c:f>'FDA Approval Summary'!$A$5:$A$12</c:f>
              <c:strCache>
                <c:ptCount val="8"/>
                <c:pt idx="0">
                  <c:v>2020</c:v>
                </c:pt>
                <c:pt idx="1">
                  <c:v>2021</c:v>
                </c:pt>
                <c:pt idx="2">
                  <c:v>2022</c:v>
                </c:pt>
                <c:pt idx="3">
                  <c:v>2023</c:v>
                </c:pt>
                <c:pt idx="4">
                  <c:v>2024</c:v>
                </c:pt>
                <c:pt idx="5">
                  <c:v>2025</c:v>
                </c:pt>
                <c:pt idx="6">
                  <c:v>2026 through July</c:v>
                </c:pt>
                <c:pt idx="7">
                  <c:v>2026 Annualized</c:v>
                </c:pt>
              </c:strCache>
            </c:strRef>
          </c:cat>
          <c:val>
            <c:numRef>
              <c:f>'FDA Approval Summary'!$D$5:$D$12</c:f>
              <c:numCache>
                <c:formatCode>General</c:formatCode>
                <c:ptCount val="8"/>
                <c:pt idx="0">
                  <c:v>0</c:v>
                </c:pt>
                <c:pt idx="1">
                  <c:v>0</c:v>
                </c:pt>
                <c:pt idx="2">
                  <c:v>0</c:v>
                </c:pt>
                <c:pt idx="3">
                  <c:v>0</c:v>
                </c:pt>
                <c:pt idx="4">
                  <c:v>0</c:v>
                </c:pt>
                <c:pt idx="5">
                  <c:v>0</c:v>
                </c:pt>
                <c:pt idx="6">
                  <c:v>0</c:v>
                </c:pt>
                <c:pt idx="7">
                  <c:v>0</c:v>
                </c:pt>
              </c:numCache>
            </c:numRef>
          </c:val>
        </c:ser>
        <c:marker val="1"/>
        <c:axId val="50050001"/>
        <c:axId val="50050002"/>
      </c:lineChart>
      <c:catAx>
        <c:axId val="50050001"/>
        <c:scaling>
          <c:orientation val="minMax"/>
        </c:scaling>
        <c:axPos val="b"/>
        <c:tickLblPos val="low"/>
        <c:txPr>
          <a:bodyPr/>
          <a:lstStyle/>
          <a:p>
            <a:pPr>
              <a:defRPr sz="800" baseline="0">
                <a:latin typeface="Arial"/>
              </a:defRPr>
            </a:pPr>
            <a:endParaRPr lang="en-US"/>
          </a:p>
        </c:txPr>
        <c:crossAx val="50050002"/>
        <c:crosses val="autoZero"/>
        <c:auto val="1"/>
        <c:lblAlgn val="ctr"/>
        <c:lblOffset val="100"/>
      </c:catAx>
      <c:valAx>
        <c:axId val="50050002"/>
        <c:scaling>
          <c:orientation val="minMax"/>
        </c:scaling>
        <c:axPos val="l"/>
        <c:numFmt formatCode="#,##0" sourceLinked="0"/>
        <c:tickLblPos val="nextTo"/>
        <c:crossAx val="50050001"/>
        <c:crosses val="autoZero"/>
        <c:crossBetween val="between"/>
      </c:valAx>
      <c:spPr>
        <a:ln>
          <a:noFill/>
        </a:ln>
      </c:spPr>
    </c:plotArea>
    <c:legend>
      <c:legendPos val="b"/>
      <c:legendEntry>
        <c:idx val="2"/>
        <c:delete val="1"/>
      </c:legendEntry>
      <c:layout/>
      <c:txPr>
        <a:bodyPr/>
        <a:lstStyle/>
        <a:p>
          <a:pPr>
            <a:defRPr sz="800" baseline="0">
              <a:latin typeface="Arial"/>
            </a:defRPr>
          </a:pPr>
          <a:endParaRPr lang="en-US"/>
        </a:p>
      </c:txPr>
    </c:legend>
    <c:plotVisOnly val="1"/>
  </c:chart>
  <c:spPr>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latin typeface="Arial"/>
              </a:defRPr>
            </a:pPr>
            <a:r>
              <a:rPr lang="en-US" sz="1200" b="1" baseline="0">
                <a:latin typeface="Arial"/>
              </a:rPr>
              <a:t>FDA new drug approvals, to date: Monthly</a:t>
            </a:r>
          </a:p>
        </c:rich>
      </c:tx>
      <c:layout/>
    </c:title>
    <c:plotArea>
      <c:layout/>
      <c:barChart>
        <c:barDir val="col"/>
        <c:grouping val="stacked"/>
        <c:ser>
          <c:idx val="0"/>
          <c:order val="0"/>
          <c:tx>
            <c:v>NDA</c:v>
          </c:tx>
          <c:spPr>
            <a:solidFill>
              <a:srgbClr val="D9D9D9"/>
            </a:solidFill>
            <a:ln>
              <a:solidFill>
                <a:srgbClr val="D9D9D9"/>
              </a:solidFill>
            </a:ln>
          </c:spPr>
          <c:dPt>
            <c:idx val="0"/>
            <c:spPr>
              <a:solidFill>
                <a:srgbClr val="D9D9D9"/>
              </a:solidFill>
              <a:ln>
                <a:solidFill>
                  <a:srgbClr val="D9D9D9"/>
                </a:solidFill>
              </a:ln>
            </c:spPr>
          </c:dPt>
          <c:dPt>
            <c:idx val="1"/>
            <c:spPr>
              <a:solidFill>
                <a:srgbClr val="D9D9D9"/>
              </a:solidFill>
              <a:ln>
                <a:solidFill>
                  <a:srgbClr val="D9D9D9"/>
                </a:solidFill>
              </a:ln>
            </c:spPr>
          </c:dPt>
          <c:dPt>
            <c:idx val="2"/>
            <c:spPr>
              <a:solidFill>
                <a:srgbClr val="D9D9D9"/>
              </a:solidFill>
              <a:ln>
                <a:solidFill>
                  <a:srgbClr val="D9D9D9"/>
                </a:solidFill>
              </a:ln>
            </c:spPr>
          </c:dPt>
          <c:dPt>
            <c:idx val="3"/>
            <c:spPr>
              <a:solidFill>
                <a:srgbClr val="D9D9D9"/>
              </a:solidFill>
              <a:ln>
                <a:solidFill>
                  <a:srgbClr val="D9D9D9"/>
                </a:solidFill>
              </a:ln>
            </c:spPr>
          </c:dPt>
          <c:dPt>
            <c:idx val="4"/>
            <c:spPr>
              <a:solidFill>
                <a:srgbClr val="D9D9D9"/>
              </a:solidFill>
              <a:ln>
                <a:solidFill>
                  <a:srgbClr val="D9D9D9"/>
                </a:solidFill>
              </a:ln>
            </c:spPr>
          </c:dPt>
          <c:dPt>
            <c:idx val="5"/>
            <c:spPr>
              <a:solidFill>
                <a:srgbClr val="D9D9D9"/>
              </a:solidFill>
              <a:ln>
                <a:solidFill>
                  <a:srgbClr val="D9D9D9"/>
                </a:solidFill>
              </a:ln>
            </c:spPr>
          </c:dPt>
          <c:dPt>
            <c:idx val="6"/>
            <c:spPr>
              <a:solidFill>
                <a:srgbClr val="D9D9D9"/>
              </a:solidFill>
              <a:ln>
                <a:solidFill>
                  <a:srgbClr val="D9D9D9"/>
                </a:solidFill>
              </a:ln>
            </c:spPr>
          </c:dPt>
          <c:dPt>
            <c:idx val="7"/>
            <c:spPr>
              <a:solidFill>
                <a:srgbClr val="D9D9D9"/>
              </a:solidFill>
              <a:ln>
                <a:solidFill>
                  <a:srgbClr val="D9D9D9"/>
                </a:solidFill>
              </a:ln>
            </c:spPr>
          </c:dPt>
          <c:dPt>
            <c:idx val="8"/>
            <c:spPr>
              <a:solidFill>
                <a:srgbClr val="D9D9D9"/>
              </a:solidFill>
              <a:ln>
                <a:solidFill>
                  <a:srgbClr val="D9D9D9"/>
                </a:solidFill>
              </a:ln>
            </c:spPr>
          </c:dPt>
          <c:dPt>
            <c:idx val="9"/>
            <c:spPr>
              <a:solidFill>
                <a:srgbClr val="D9D9D9"/>
              </a:solidFill>
              <a:ln>
                <a:solidFill>
                  <a:srgbClr val="D9D9D9"/>
                </a:solidFill>
              </a:ln>
            </c:spPr>
          </c:dPt>
          <c:dPt>
            <c:idx val="10"/>
            <c:spPr>
              <a:solidFill>
                <a:srgbClr val="D9D9D9"/>
              </a:solidFill>
              <a:ln>
                <a:solidFill>
                  <a:srgbClr val="D9D9D9"/>
                </a:solidFill>
              </a:ln>
            </c:spPr>
          </c:dPt>
          <c:dPt>
            <c:idx val="11"/>
            <c:spPr>
              <a:solidFill>
                <a:srgbClr val="D9D9D9"/>
              </a:solidFill>
              <a:ln>
                <a:solidFill>
                  <a:srgbClr val="D9D9D9"/>
                </a:solidFill>
              </a:ln>
            </c:spPr>
          </c:dPt>
          <c:dPt>
            <c:idx val="12"/>
            <c:spPr>
              <a:solidFill>
                <a:srgbClr val="D9D9D9"/>
              </a:solidFill>
              <a:ln>
                <a:solidFill>
                  <a:srgbClr val="D9D9D9"/>
                </a:solidFill>
              </a:ln>
            </c:spPr>
          </c:dPt>
          <c:dPt>
            <c:idx val="13"/>
            <c:spPr>
              <a:solidFill>
                <a:srgbClr val="D9D9D9"/>
              </a:solidFill>
              <a:ln>
                <a:solidFill>
                  <a:srgbClr val="D9D9D9"/>
                </a:solidFill>
              </a:ln>
            </c:spPr>
          </c:dPt>
          <c:dPt>
            <c:idx val="14"/>
            <c:spPr>
              <a:solidFill>
                <a:srgbClr val="D9D9D9"/>
              </a:solidFill>
              <a:ln>
                <a:solidFill>
                  <a:srgbClr val="D9D9D9"/>
                </a:solidFill>
              </a:ln>
            </c:spPr>
          </c:dPt>
          <c:dPt>
            <c:idx val="15"/>
            <c:spPr>
              <a:solidFill>
                <a:srgbClr val="D9D9D9"/>
              </a:solidFill>
              <a:ln>
                <a:solidFill>
                  <a:srgbClr val="D9D9D9"/>
                </a:solidFill>
              </a:ln>
            </c:spPr>
          </c:dPt>
          <c:dPt>
            <c:idx val="16"/>
            <c:spPr>
              <a:solidFill>
                <a:srgbClr val="D9D9D9"/>
              </a:solidFill>
              <a:ln>
                <a:solidFill>
                  <a:srgbClr val="D9D9D9"/>
                </a:solidFill>
              </a:ln>
            </c:spPr>
          </c:dPt>
          <c:dPt>
            <c:idx val="17"/>
            <c:spPr>
              <a:solidFill>
                <a:srgbClr val="D9D9D9"/>
              </a:solidFill>
              <a:ln>
                <a:solidFill>
                  <a:srgbClr val="D9D9D9"/>
                </a:solidFill>
              </a:ln>
            </c:spPr>
          </c:dPt>
          <c:dPt>
            <c:idx val="18"/>
            <c:spPr>
              <a:solidFill>
                <a:srgbClr val="D9D9D9"/>
              </a:solidFill>
              <a:ln>
                <a:solidFill>
                  <a:srgbClr val="D9D9D9"/>
                </a:solidFill>
              </a:ln>
            </c:spPr>
          </c:dPt>
          <c:dPt>
            <c:idx val="19"/>
            <c:spPr>
              <a:solidFill>
                <a:srgbClr val="D9D9D9"/>
              </a:solidFill>
              <a:ln>
                <a:solidFill>
                  <a:srgbClr val="D9D9D9"/>
                </a:solidFill>
              </a:ln>
            </c:spPr>
          </c:dPt>
          <c:dPt>
            <c:idx val="20"/>
            <c:spPr>
              <a:solidFill>
                <a:srgbClr val="D9D9D9"/>
              </a:solidFill>
              <a:ln>
                <a:solidFill>
                  <a:srgbClr val="D9D9D9"/>
                </a:solidFill>
              </a:ln>
            </c:spPr>
          </c:dPt>
          <c:dPt>
            <c:idx val="21"/>
            <c:spPr>
              <a:solidFill>
                <a:srgbClr val="D9D9D9"/>
              </a:solidFill>
              <a:ln>
                <a:solidFill>
                  <a:srgbClr val="D9D9D9"/>
                </a:solidFill>
              </a:ln>
            </c:spPr>
          </c:dPt>
          <c:dPt>
            <c:idx val="22"/>
            <c:spPr>
              <a:solidFill>
                <a:srgbClr val="D9D9D9"/>
              </a:solidFill>
              <a:ln>
                <a:solidFill>
                  <a:srgbClr val="D9D9D9"/>
                </a:solidFill>
              </a:ln>
            </c:spPr>
          </c:dPt>
          <c:dPt>
            <c:idx val="23"/>
            <c:spPr>
              <a:solidFill>
                <a:srgbClr val="BDD7EE"/>
              </a:solidFill>
              <a:ln>
                <a:solidFill>
                  <a:srgbClr val="BDD7EE"/>
                </a:solidFill>
              </a:ln>
            </c:spPr>
          </c:dPt>
          <c:dLbls>
            <c:numFmt formatCode="#,##0" sourceLinked="0"/>
            <c:txPr>
              <a:bodyPr/>
              <a:lstStyle/>
              <a:p>
                <a:pPr>
                  <a:defRPr sz="800" baseline="0">
                    <a:solidFill>
                      <a:srgbClr val="1A1A1A"/>
                    </a:solidFill>
                    <a:latin typeface="Arial"/>
                  </a:defRPr>
                </a:pPr>
                <a:endParaRPr lang="en-US"/>
              </a:p>
            </c:txPr>
            <c:dLblPos val="ctr"/>
            <c:showVal val="1"/>
          </c:dLbls>
          <c:cat>
            <c:numRef>
              <c:f>'FDA Approval Summary'!$A$71:$A$94</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'FDA Approval Summary'!$B$71:$B$94</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ser>
          <c:idx val="1"/>
          <c:order val="1"/>
          <c:tx>
            <c:v>BLA (CDER)</c:v>
          </c:tx>
          <c:spPr>
            <a:solidFill>
              <a:srgbClr val="999999"/>
            </a:solidFill>
            <a:ln>
              <a:solidFill>
                <a:srgbClr val="999999"/>
              </a:solidFill>
            </a:ln>
          </c:spPr>
          <c:dPt>
            <c:idx val="0"/>
            <c:spPr>
              <a:solidFill>
                <a:srgbClr val="999999"/>
              </a:solidFill>
              <a:ln>
                <a:solidFill>
                  <a:srgbClr val="999999"/>
                </a:solidFill>
              </a:ln>
            </c:spPr>
          </c:dPt>
          <c:dPt>
            <c:idx val="1"/>
            <c:spPr>
              <a:solidFill>
                <a:srgbClr val="999999"/>
              </a:solidFill>
              <a:ln>
                <a:solidFill>
                  <a:srgbClr val="999999"/>
                </a:solidFill>
              </a:ln>
            </c:spPr>
          </c:dPt>
          <c:dPt>
            <c:idx val="2"/>
            <c:spPr>
              <a:solidFill>
                <a:srgbClr val="999999"/>
              </a:solidFill>
              <a:ln>
                <a:solidFill>
                  <a:srgbClr val="999999"/>
                </a:solidFill>
              </a:ln>
            </c:spPr>
          </c:dPt>
          <c:dPt>
            <c:idx val="3"/>
            <c:spPr>
              <a:solidFill>
                <a:srgbClr val="999999"/>
              </a:solidFill>
              <a:ln>
                <a:solidFill>
                  <a:srgbClr val="999999"/>
                </a:solidFill>
              </a:ln>
            </c:spPr>
          </c:dPt>
          <c:dPt>
            <c:idx val="4"/>
            <c:spPr>
              <a:solidFill>
                <a:srgbClr val="999999"/>
              </a:solidFill>
              <a:ln>
                <a:solidFill>
                  <a:srgbClr val="999999"/>
                </a:solidFill>
              </a:ln>
            </c:spPr>
          </c:dPt>
          <c:dPt>
            <c:idx val="5"/>
            <c:spPr>
              <a:solidFill>
                <a:srgbClr val="999999"/>
              </a:solidFill>
              <a:ln>
                <a:solidFill>
                  <a:srgbClr val="999999"/>
                </a:solidFill>
              </a:ln>
            </c:spPr>
          </c:dPt>
          <c:dPt>
            <c:idx val="6"/>
            <c:spPr>
              <a:solidFill>
                <a:srgbClr val="999999"/>
              </a:solidFill>
              <a:ln>
                <a:solidFill>
                  <a:srgbClr val="999999"/>
                </a:solidFill>
              </a:ln>
            </c:spPr>
          </c:dPt>
          <c:dPt>
            <c:idx val="7"/>
            <c:spPr>
              <a:solidFill>
                <a:srgbClr val="999999"/>
              </a:solidFill>
              <a:ln>
                <a:solidFill>
                  <a:srgbClr val="999999"/>
                </a:solidFill>
              </a:ln>
            </c:spPr>
          </c:dPt>
          <c:dPt>
            <c:idx val="8"/>
            <c:spPr>
              <a:solidFill>
                <a:srgbClr val="999999"/>
              </a:solidFill>
              <a:ln>
                <a:solidFill>
                  <a:srgbClr val="999999"/>
                </a:solidFill>
              </a:ln>
            </c:spPr>
          </c:dPt>
          <c:dPt>
            <c:idx val="9"/>
            <c:spPr>
              <a:solidFill>
                <a:srgbClr val="999999"/>
              </a:solidFill>
              <a:ln>
                <a:solidFill>
                  <a:srgbClr val="999999"/>
                </a:solidFill>
              </a:ln>
            </c:spPr>
          </c:dPt>
          <c:dPt>
            <c:idx val="10"/>
            <c:spPr>
              <a:solidFill>
                <a:srgbClr val="999999"/>
              </a:solidFill>
              <a:ln>
                <a:solidFill>
                  <a:srgbClr val="999999"/>
                </a:solidFill>
              </a:ln>
            </c:spPr>
          </c:dPt>
          <c:dPt>
            <c:idx val="11"/>
            <c:spPr>
              <a:solidFill>
                <a:srgbClr val="999999"/>
              </a:solidFill>
              <a:ln>
                <a:solidFill>
                  <a:srgbClr val="999999"/>
                </a:solidFill>
              </a:ln>
            </c:spPr>
          </c:dPt>
          <c:dPt>
            <c:idx val="12"/>
            <c:spPr>
              <a:solidFill>
                <a:srgbClr val="999999"/>
              </a:solidFill>
              <a:ln>
                <a:solidFill>
                  <a:srgbClr val="999999"/>
                </a:solidFill>
              </a:ln>
            </c:spPr>
          </c:dPt>
          <c:dPt>
            <c:idx val="13"/>
            <c:spPr>
              <a:solidFill>
                <a:srgbClr val="999999"/>
              </a:solidFill>
              <a:ln>
                <a:solidFill>
                  <a:srgbClr val="999999"/>
                </a:solidFill>
              </a:ln>
            </c:spPr>
          </c:dPt>
          <c:dPt>
            <c:idx val="14"/>
            <c:spPr>
              <a:solidFill>
                <a:srgbClr val="999999"/>
              </a:solidFill>
              <a:ln>
                <a:solidFill>
                  <a:srgbClr val="999999"/>
                </a:solidFill>
              </a:ln>
            </c:spPr>
          </c:dPt>
          <c:dPt>
            <c:idx val="15"/>
            <c:spPr>
              <a:solidFill>
                <a:srgbClr val="999999"/>
              </a:solidFill>
              <a:ln>
                <a:solidFill>
                  <a:srgbClr val="999999"/>
                </a:solidFill>
              </a:ln>
            </c:spPr>
          </c:dPt>
          <c:dPt>
            <c:idx val="16"/>
            <c:spPr>
              <a:solidFill>
                <a:srgbClr val="999999"/>
              </a:solidFill>
              <a:ln>
                <a:solidFill>
                  <a:srgbClr val="999999"/>
                </a:solidFill>
              </a:ln>
            </c:spPr>
          </c:dPt>
          <c:dPt>
            <c:idx val="17"/>
            <c:spPr>
              <a:solidFill>
                <a:srgbClr val="999999"/>
              </a:solidFill>
              <a:ln>
                <a:solidFill>
                  <a:srgbClr val="999999"/>
                </a:solidFill>
              </a:ln>
            </c:spPr>
          </c:dPt>
          <c:dPt>
            <c:idx val="18"/>
            <c:spPr>
              <a:solidFill>
                <a:srgbClr val="999999"/>
              </a:solidFill>
              <a:ln>
                <a:solidFill>
                  <a:srgbClr val="999999"/>
                </a:solidFill>
              </a:ln>
            </c:spPr>
          </c:dPt>
          <c:dPt>
            <c:idx val="19"/>
            <c:spPr>
              <a:solidFill>
                <a:srgbClr val="999999"/>
              </a:solidFill>
              <a:ln>
                <a:solidFill>
                  <a:srgbClr val="999999"/>
                </a:solidFill>
              </a:ln>
            </c:spPr>
          </c:dPt>
          <c:dPt>
            <c:idx val="20"/>
            <c:spPr>
              <a:solidFill>
                <a:srgbClr val="999999"/>
              </a:solidFill>
              <a:ln>
                <a:solidFill>
                  <a:srgbClr val="999999"/>
                </a:solidFill>
              </a:ln>
            </c:spPr>
          </c:dPt>
          <c:dPt>
            <c:idx val="21"/>
            <c:spPr>
              <a:solidFill>
                <a:srgbClr val="999999"/>
              </a:solidFill>
              <a:ln>
                <a:solidFill>
                  <a:srgbClr val="999999"/>
                </a:solidFill>
              </a:ln>
            </c:spPr>
          </c:dPt>
          <c:dPt>
            <c:idx val="22"/>
            <c:spPr>
              <a:solidFill>
                <a:srgbClr val="999999"/>
              </a:solidFill>
              <a:ln>
                <a:solidFill>
                  <a:srgbClr val="999999"/>
                </a:solidFill>
              </a:ln>
            </c:spPr>
          </c:dPt>
          <c:dPt>
            <c:idx val="23"/>
            <c:spPr>
              <a:solidFill>
                <a:srgbClr val="1F3864"/>
              </a:solidFill>
              <a:ln>
                <a:solidFill>
                  <a:srgbClr val="1F3864"/>
                </a:solidFill>
              </a:ln>
            </c:spPr>
          </c:dPt>
          <c:dLbls>
            <c:numFmt formatCode="#,##0" sourceLinked="0"/>
            <c:txPr>
              <a:bodyPr/>
              <a:lstStyle/>
              <a:p>
                <a:pPr>
                  <a:defRPr sz="800" baseline="0">
                    <a:solidFill>
                      <a:srgbClr val="FFFFFF"/>
                    </a:solidFill>
                    <a:latin typeface="Arial"/>
                  </a:defRPr>
                </a:pPr>
                <a:endParaRPr lang="en-US"/>
              </a:p>
            </c:txPr>
            <c:dLblPos val="ctr"/>
            <c:showVal val="1"/>
          </c:dLbls>
          <c:cat>
            <c:numRef>
              <c:f>'FDA Approval Summary'!$A$71:$A$94</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'FDA Approval Summary'!$C$71:$C$94</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ser>
          <c:idx val="2"/>
          <c:order val="2"/>
          <c:tx>
            <c:v>BLA (CBER)</c:v>
          </c:tx>
          <c:spPr>
            <a:solidFill>
              <a:srgbClr val="1A1A1A"/>
            </a:solidFill>
            <a:ln>
              <a:solidFill>
                <a:srgbClr val="1A1A1A"/>
              </a:solidFill>
            </a:ln>
          </c:spPr>
          <c:dPt>
            <c:idx val="0"/>
            <c:spPr>
              <a:solidFill>
                <a:srgbClr val="1A1A1A"/>
              </a:solidFill>
              <a:ln>
                <a:solidFill>
                  <a:srgbClr val="1A1A1A"/>
                </a:solidFill>
              </a:ln>
            </c:spPr>
          </c:dPt>
          <c:dPt>
            <c:idx val="1"/>
            <c:spPr>
              <a:solidFill>
                <a:srgbClr val="1A1A1A"/>
              </a:solidFill>
              <a:ln>
                <a:solidFill>
                  <a:srgbClr val="1A1A1A"/>
                </a:solidFill>
              </a:ln>
            </c:spPr>
          </c:dPt>
          <c:dPt>
            <c:idx val="2"/>
            <c:spPr>
              <a:solidFill>
                <a:srgbClr val="1A1A1A"/>
              </a:solidFill>
              <a:ln>
                <a:solidFill>
                  <a:srgbClr val="1A1A1A"/>
                </a:solidFill>
              </a:ln>
            </c:spPr>
          </c:dPt>
          <c:dPt>
            <c:idx val="3"/>
            <c:spPr>
              <a:solidFill>
                <a:srgbClr val="1A1A1A"/>
              </a:solidFill>
              <a:ln>
                <a:solidFill>
                  <a:srgbClr val="1A1A1A"/>
                </a:solidFill>
              </a:ln>
            </c:spPr>
          </c:dPt>
          <c:dPt>
            <c:idx val="4"/>
            <c:spPr>
              <a:solidFill>
                <a:srgbClr val="1A1A1A"/>
              </a:solidFill>
              <a:ln>
                <a:solidFill>
                  <a:srgbClr val="1A1A1A"/>
                </a:solidFill>
              </a:ln>
            </c:spPr>
          </c:dPt>
          <c:dPt>
            <c:idx val="5"/>
            <c:spPr>
              <a:solidFill>
                <a:srgbClr val="1A1A1A"/>
              </a:solidFill>
              <a:ln>
                <a:solidFill>
                  <a:srgbClr val="1A1A1A"/>
                </a:solidFill>
              </a:ln>
            </c:spPr>
          </c:dPt>
          <c:dPt>
            <c:idx val="6"/>
            <c:spPr>
              <a:solidFill>
                <a:srgbClr val="1A1A1A"/>
              </a:solidFill>
              <a:ln>
                <a:solidFill>
                  <a:srgbClr val="1A1A1A"/>
                </a:solidFill>
              </a:ln>
            </c:spPr>
          </c:dPt>
          <c:dPt>
            <c:idx val="7"/>
            <c:spPr>
              <a:solidFill>
                <a:srgbClr val="1A1A1A"/>
              </a:solidFill>
              <a:ln>
                <a:solidFill>
                  <a:srgbClr val="1A1A1A"/>
                </a:solidFill>
              </a:ln>
            </c:spPr>
          </c:dPt>
          <c:dPt>
            <c:idx val="8"/>
            <c:spPr>
              <a:solidFill>
                <a:srgbClr val="1A1A1A"/>
              </a:solidFill>
              <a:ln>
                <a:solidFill>
                  <a:srgbClr val="1A1A1A"/>
                </a:solidFill>
              </a:ln>
            </c:spPr>
          </c:dPt>
          <c:dPt>
            <c:idx val="9"/>
            <c:spPr>
              <a:solidFill>
                <a:srgbClr val="1A1A1A"/>
              </a:solidFill>
              <a:ln>
                <a:solidFill>
                  <a:srgbClr val="1A1A1A"/>
                </a:solidFill>
              </a:ln>
            </c:spPr>
          </c:dPt>
          <c:dPt>
            <c:idx val="10"/>
            <c:spPr>
              <a:solidFill>
                <a:srgbClr val="1A1A1A"/>
              </a:solidFill>
              <a:ln>
                <a:solidFill>
                  <a:srgbClr val="1A1A1A"/>
                </a:solidFill>
              </a:ln>
            </c:spPr>
          </c:dPt>
          <c:dPt>
            <c:idx val="11"/>
            <c:spPr>
              <a:solidFill>
                <a:srgbClr val="1A1A1A"/>
              </a:solidFill>
              <a:ln>
                <a:solidFill>
                  <a:srgbClr val="1A1A1A"/>
                </a:solidFill>
              </a:ln>
            </c:spPr>
          </c:dPt>
          <c:dPt>
            <c:idx val="12"/>
            <c:spPr>
              <a:solidFill>
                <a:srgbClr val="1A1A1A"/>
              </a:solidFill>
              <a:ln>
                <a:solidFill>
                  <a:srgbClr val="1A1A1A"/>
                </a:solidFill>
              </a:ln>
            </c:spPr>
          </c:dPt>
          <c:dPt>
            <c:idx val="13"/>
            <c:spPr>
              <a:solidFill>
                <a:srgbClr val="1A1A1A"/>
              </a:solidFill>
              <a:ln>
                <a:solidFill>
                  <a:srgbClr val="1A1A1A"/>
                </a:solidFill>
              </a:ln>
            </c:spPr>
          </c:dPt>
          <c:dPt>
            <c:idx val="14"/>
            <c:spPr>
              <a:solidFill>
                <a:srgbClr val="1A1A1A"/>
              </a:solidFill>
              <a:ln>
                <a:solidFill>
                  <a:srgbClr val="1A1A1A"/>
                </a:solidFill>
              </a:ln>
            </c:spPr>
          </c:dPt>
          <c:dPt>
            <c:idx val="15"/>
            <c:spPr>
              <a:solidFill>
                <a:srgbClr val="1A1A1A"/>
              </a:solidFill>
              <a:ln>
                <a:solidFill>
                  <a:srgbClr val="1A1A1A"/>
                </a:solidFill>
              </a:ln>
            </c:spPr>
          </c:dPt>
          <c:dPt>
            <c:idx val="16"/>
            <c:spPr>
              <a:solidFill>
                <a:srgbClr val="1A1A1A"/>
              </a:solidFill>
              <a:ln>
                <a:solidFill>
                  <a:srgbClr val="1A1A1A"/>
                </a:solidFill>
              </a:ln>
            </c:spPr>
          </c:dPt>
          <c:dPt>
            <c:idx val="17"/>
            <c:spPr>
              <a:solidFill>
                <a:srgbClr val="1A1A1A"/>
              </a:solidFill>
              <a:ln>
                <a:solidFill>
                  <a:srgbClr val="1A1A1A"/>
                </a:solidFill>
              </a:ln>
            </c:spPr>
          </c:dPt>
          <c:dPt>
            <c:idx val="18"/>
            <c:spPr>
              <a:solidFill>
                <a:srgbClr val="1A1A1A"/>
              </a:solidFill>
              <a:ln>
                <a:solidFill>
                  <a:srgbClr val="1A1A1A"/>
                </a:solidFill>
              </a:ln>
            </c:spPr>
          </c:dPt>
          <c:dPt>
            <c:idx val="19"/>
            <c:spPr>
              <a:solidFill>
                <a:srgbClr val="1A1A1A"/>
              </a:solidFill>
              <a:ln>
                <a:solidFill>
                  <a:srgbClr val="1A1A1A"/>
                </a:solidFill>
              </a:ln>
            </c:spPr>
          </c:dPt>
          <c:dPt>
            <c:idx val="20"/>
            <c:spPr>
              <a:solidFill>
                <a:srgbClr val="1A1A1A"/>
              </a:solidFill>
              <a:ln>
                <a:solidFill>
                  <a:srgbClr val="1A1A1A"/>
                </a:solidFill>
              </a:ln>
            </c:spPr>
          </c:dPt>
          <c:dPt>
            <c:idx val="21"/>
            <c:spPr>
              <a:solidFill>
                <a:srgbClr val="1A1A1A"/>
              </a:solidFill>
              <a:ln>
                <a:solidFill>
                  <a:srgbClr val="1A1A1A"/>
                </a:solidFill>
              </a:ln>
            </c:spPr>
          </c:dPt>
          <c:dPt>
            <c:idx val="22"/>
            <c:spPr>
              <a:solidFill>
                <a:srgbClr val="1A1A1A"/>
              </a:solidFill>
              <a:ln>
                <a:solidFill>
                  <a:srgbClr val="1A1A1A"/>
                </a:solidFill>
              </a:ln>
            </c:spPr>
          </c:dPt>
          <c:dPt>
            <c:idx val="23"/>
            <c:spPr>
              <a:solidFill>
                <a:srgbClr val="0D3B5E"/>
              </a:solidFill>
              <a:ln>
                <a:solidFill>
                  <a:srgbClr val="0D3B5E"/>
                </a:solidFill>
              </a:ln>
            </c:spPr>
          </c:dPt>
          <c:dLbls>
            <c:numFmt formatCode="#,##0" sourceLinked="0"/>
            <c:txPr>
              <a:bodyPr/>
              <a:lstStyle/>
              <a:p>
                <a:pPr>
                  <a:defRPr sz="800" baseline="0">
                    <a:solidFill>
                      <a:srgbClr val="FFFFFF"/>
                    </a:solidFill>
                    <a:latin typeface="Arial"/>
                  </a:defRPr>
                </a:pPr>
                <a:endParaRPr lang="en-US"/>
              </a:p>
            </c:txPr>
            <c:dLblPos val="ctr"/>
            <c:showVal val="1"/>
          </c:dLbls>
          <c:cat>
            <c:numRef>
              <c:f>'FDA Approval Summary'!$A$71:$A$94</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'FDA Approval Summary'!$D$71:$D$94</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gapWidth val="80"/>
        <c:overlap val="100"/>
        <c:axId val="50060001"/>
        <c:axId val="50060002"/>
      </c:barChart>
      <c:lineChart>
        <c:grouping val="standard"/>
        <c:ser>
          <c:idx val="3"/>
          <c:order val="3"/>
          <c:tx>
            <c:v>_Total</c:v>
          </c:tx>
          <c:spPr>
            <a:ln>
              <a:noFill/>
            </a:ln>
          </c:spPr>
          <c:marker>
            <c:symbol val="none"/>
          </c:marker>
          <c:dLbls>
            <c:numFmt formatCode="#,##0" sourceLinked="0"/>
            <c:txPr>
              <a:bodyPr/>
              <a:lstStyle/>
              <a:p>
                <a:pPr>
                  <a:defRPr sz="900" b="1" baseline="0">
                    <a:solidFill>
                      <a:srgbClr val="1F3864"/>
                    </a:solidFill>
                    <a:latin typeface="Arial"/>
                  </a:defRPr>
                </a:pPr>
                <a:endParaRPr lang="en-US"/>
              </a:p>
            </c:txPr>
            <c:dLblPos val="t"/>
            <c:showVal val="1"/>
          </c:dLbls>
          <c:cat>
            <c:numRef>
              <c:f>'FDA Approval Summary'!$A$71:$A$94</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'FDA Approval Summary'!$E$71:$E$94</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marker val="1"/>
        <c:axId val="50060001"/>
        <c:axId val="50060002"/>
      </c:lineChart>
      <c:catAx>
        <c:axId val="50060001"/>
        <c:scaling>
          <c:orientation val="minMax"/>
        </c:scaling>
        <c:axPos val="b"/>
        <c:numFmt formatCode="mmm yy" sourceLinked="0"/>
        <c:tickLblPos val="low"/>
        <c:txPr>
          <a:bodyPr rot="-2700000" vert="horz"/>
          <a:lstStyle/>
          <a:p>
            <a:pPr>
              <a:defRPr sz="700" baseline="0">
                <a:latin typeface="Arial"/>
              </a:defRPr>
            </a:pPr>
            <a:endParaRPr lang="en-US"/>
          </a:p>
        </c:txPr>
        <c:crossAx val="50060002"/>
        <c:crosses val="autoZero"/>
        <c:auto val="1"/>
        <c:lblAlgn val="ctr"/>
        <c:lblOffset val="100"/>
      </c:catAx>
      <c:valAx>
        <c:axId val="50060002"/>
        <c:scaling>
          <c:orientation val="minMax"/>
        </c:scaling>
        <c:axPos val="l"/>
        <c:numFmt formatCode="#,##0" sourceLinked="0"/>
        <c:tickLblPos val="nextTo"/>
        <c:crossAx val="50060001"/>
        <c:crosses val="autoZero"/>
        <c:crossBetween val="between"/>
      </c:valAx>
      <c:spPr>
        <a:ln>
          <a:noFill/>
        </a:ln>
      </c:spPr>
    </c:plotArea>
    <c:legend>
      <c:legendPos val="b"/>
      <c:legendEntry>
        <c:idx val="3"/>
        <c:delete val="1"/>
      </c:legendEntry>
      <c:layout/>
      <c:txPr>
        <a:bodyPr/>
        <a:lstStyle/>
        <a:p>
          <a:pPr>
            <a:defRPr sz="800" baseline="0">
              <a:latin typeface="Arial"/>
            </a:defRPr>
          </a:pPr>
          <a:endParaRPr lang="en-US"/>
        </a:p>
      </c:txPr>
    </c:legend>
    <c:plotVisOnly val="1"/>
  </c:chart>
  <c:spPr>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latin typeface="Arial"/>
              </a:defRPr>
            </a:pPr>
            <a:r>
              <a:rPr lang="en-US" sz="1200" b="1" baseline="0">
                <a:latin typeface="Arial"/>
              </a:rPr>
              <a:t>FDA biosimilar approvals, to date: Yearly</a:t>
            </a:r>
          </a:p>
        </c:rich>
      </c:tx>
      <c:layout/>
    </c:title>
    <c:plotArea>
      <c:layout/>
      <c:barChart>
        <c:barDir val="col"/>
        <c:grouping val="clustered"/>
        <c:ser>
          <c:idx val="0"/>
          <c:order val="0"/>
          <c:tx>
            <c:v>Approvals</c:v>
          </c:tx>
          <c:spPr>
            <a:solidFill>
              <a:srgbClr val="999999"/>
            </a:solidFill>
            <a:ln>
              <a:solidFill>
                <a:srgbClr val="999999"/>
              </a:solidFill>
            </a:ln>
          </c:spPr>
          <c:dPt>
            <c:idx val="0"/>
            <c:spPr>
              <a:solidFill>
                <a:srgbClr val="999999"/>
              </a:solidFill>
              <a:ln>
                <a:solidFill>
                  <a:srgbClr val="999999"/>
                </a:solidFill>
              </a:ln>
            </c:spPr>
          </c:dPt>
          <c:dPt>
            <c:idx val="1"/>
            <c:spPr>
              <a:solidFill>
                <a:srgbClr val="999999"/>
              </a:solidFill>
              <a:ln>
                <a:solidFill>
                  <a:srgbClr val="999999"/>
                </a:solidFill>
              </a:ln>
            </c:spPr>
          </c:dPt>
          <c:dPt>
            <c:idx val="2"/>
            <c:spPr>
              <a:solidFill>
                <a:srgbClr val="999999"/>
              </a:solidFill>
              <a:ln>
                <a:solidFill>
                  <a:srgbClr val="999999"/>
                </a:solidFill>
              </a:ln>
            </c:spPr>
          </c:dPt>
          <c:dPt>
            <c:idx val="3"/>
            <c:spPr>
              <a:solidFill>
                <a:srgbClr val="999999"/>
              </a:solidFill>
              <a:ln>
                <a:solidFill>
                  <a:srgbClr val="999999"/>
                </a:solidFill>
              </a:ln>
            </c:spPr>
          </c:dPt>
          <c:dPt>
            <c:idx val="4"/>
            <c:spPr>
              <a:solidFill>
                <a:srgbClr val="999999"/>
              </a:solidFill>
              <a:ln>
                <a:solidFill>
                  <a:srgbClr val="999999"/>
                </a:solidFill>
              </a:ln>
            </c:spPr>
          </c:dPt>
          <c:dPt>
            <c:idx val="5"/>
            <c:spPr>
              <a:solidFill>
                <a:srgbClr val="999999"/>
              </a:solidFill>
              <a:ln>
                <a:solidFill>
                  <a:srgbClr val="999999"/>
                </a:solidFill>
              </a:ln>
            </c:spPr>
          </c:dPt>
          <c:dPt>
            <c:idx val="6"/>
            <c:spPr>
              <a:solidFill>
                <a:srgbClr val="1E9BD7"/>
              </a:solidFill>
              <a:ln>
                <a:solidFill>
                  <a:srgbClr val="1E9BD7"/>
                </a:solidFill>
              </a:ln>
            </c:spPr>
          </c:dPt>
          <c:dPt>
            <c:idx val="7"/>
            <c:spPr>
              <a:solidFill>
                <a:srgbClr val="1E9BD7"/>
              </a:solidFill>
              <a:ln>
                <a:solidFill>
                  <a:srgbClr val="1E9BD7"/>
                </a:solidFill>
              </a:ln>
            </c:spPr>
          </c:dPt>
          <c:dLbls>
            <c:numFmt formatCode="#,##0" sourceLinked="0"/>
            <c:txPr>
              <a:bodyPr/>
              <a:lstStyle/>
              <a:p>
                <a:pPr>
                  <a:defRPr sz="900" b="1" baseline="0">
                    <a:solidFill>
                      <a:srgbClr val="1F3864"/>
                    </a:solidFill>
                    <a:latin typeface="Arial"/>
                  </a:defRPr>
                </a:pPr>
                <a:endParaRPr lang="en-US"/>
              </a:p>
            </c:txPr>
            <c:showVal val="1"/>
          </c:dLbls>
          <c:cat>
            <c:strRef>
              <c:f>'FDA Approval Summary'!$A$100:$A$107</c:f>
              <c:strCache>
                <c:ptCount val="8"/>
                <c:pt idx="0">
                  <c:v>2020</c:v>
                </c:pt>
                <c:pt idx="1">
                  <c:v>2021</c:v>
                </c:pt>
                <c:pt idx="2">
                  <c:v>2022</c:v>
                </c:pt>
                <c:pt idx="3">
                  <c:v>2023</c:v>
                </c:pt>
                <c:pt idx="4">
                  <c:v>2024</c:v>
                </c:pt>
                <c:pt idx="5">
                  <c:v>2025</c:v>
                </c:pt>
                <c:pt idx="6">
                  <c:v>2026 through July</c:v>
                </c:pt>
                <c:pt idx="7">
                  <c:v>2026 Annualized</c:v>
                </c:pt>
              </c:strCache>
            </c:strRef>
          </c:cat>
          <c:val>
            <c:numRef>
              <c:f>'FDA Approval Summary'!$B$100:$B$107</c:f>
              <c:numCache>
                <c:formatCode>General</c:formatCode>
                <c:ptCount val="8"/>
                <c:pt idx="0">
                  <c:v>0</c:v>
                </c:pt>
                <c:pt idx="1">
                  <c:v>0</c:v>
                </c:pt>
                <c:pt idx="2">
                  <c:v>0</c:v>
                </c:pt>
                <c:pt idx="3">
                  <c:v>0</c:v>
                </c:pt>
                <c:pt idx="4">
                  <c:v>0</c:v>
                </c:pt>
                <c:pt idx="5">
                  <c:v>0</c:v>
                </c:pt>
                <c:pt idx="6">
                  <c:v>0</c:v>
                </c:pt>
                <c:pt idx="7">
                  <c:v>0</c:v>
                </c:pt>
              </c:numCache>
            </c:numRef>
          </c:val>
        </c:ser>
        <c:gapWidth val="80"/>
        <c:axId val="50070001"/>
        <c:axId val="50070002"/>
      </c:barChart>
      <c:catAx>
        <c:axId val="50070001"/>
        <c:scaling>
          <c:orientation val="minMax"/>
        </c:scaling>
        <c:axPos val="b"/>
        <c:tickLblPos val="low"/>
        <c:txPr>
          <a:bodyPr/>
          <a:lstStyle/>
          <a:p>
            <a:pPr>
              <a:defRPr sz="800" baseline="0">
                <a:latin typeface="Arial"/>
              </a:defRPr>
            </a:pPr>
            <a:endParaRPr lang="en-US"/>
          </a:p>
        </c:txPr>
        <c:crossAx val="50070002"/>
        <c:crosses val="autoZero"/>
        <c:auto val="1"/>
        <c:lblAlgn val="ctr"/>
        <c:lblOffset val="100"/>
      </c:catAx>
      <c:valAx>
        <c:axId val="50070002"/>
        <c:scaling>
          <c:orientation val="minMax"/>
        </c:scaling>
        <c:axPos val="l"/>
        <c:numFmt formatCode="#,##0" sourceLinked="0"/>
        <c:tickLblPos val="nextTo"/>
        <c:crossAx val="50070001"/>
        <c:crosses val="autoZero"/>
        <c:crossBetween val="between"/>
      </c:valAx>
      <c:spPr>
        <a:ln>
          <a:noFill/>
        </a:ln>
      </c:spPr>
    </c:plotArea>
    <c:plotVisOnly val="1"/>
  </c:chart>
  <c:spPr>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latin typeface="Arial"/>
              </a:defRPr>
            </a:pPr>
            <a:r>
              <a:rPr lang="en-US" sz="1200" b="1" baseline="0">
                <a:latin typeface="Arial"/>
              </a:rPr>
              <a:t>FDA biosimilar approvals, to date: Monthly</a:t>
            </a:r>
          </a:p>
        </c:rich>
      </c:tx>
      <c:layout/>
    </c:title>
    <c:plotArea>
      <c:layout/>
      <c:barChart>
        <c:barDir val="col"/>
        <c:grouping val="clustered"/>
        <c:ser>
          <c:idx val="0"/>
          <c:order val="0"/>
          <c:tx>
            <c:v>Approvals</c:v>
          </c:tx>
          <c:spPr>
            <a:solidFill>
              <a:srgbClr val="999999"/>
            </a:solidFill>
            <a:ln>
              <a:solidFill>
                <a:srgbClr val="999999"/>
              </a:solidFill>
            </a:ln>
          </c:spPr>
          <c:dPt>
            <c:idx val="0"/>
            <c:spPr>
              <a:solidFill>
                <a:srgbClr val="999999"/>
              </a:solidFill>
              <a:ln>
                <a:solidFill>
                  <a:srgbClr val="999999"/>
                </a:solidFill>
              </a:ln>
            </c:spPr>
          </c:dPt>
          <c:dPt>
            <c:idx val="1"/>
            <c:spPr>
              <a:solidFill>
                <a:srgbClr val="999999"/>
              </a:solidFill>
              <a:ln>
                <a:solidFill>
                  <a:srgbClr val="999999"/>
                </a:solidFill>
              </a:ln>
            </c:spPr>
          </c:dPt>
          <c:dPt>
            <c:idx val="2"/>
            <c:spPr>
              <a:solidFill>
                <a:srgbClr val="999999"/>
              </a:solidFill>
              <a:ln>
                <a:solidFill>
                  <a:srgbClr val="999999"/>
                </a:solidFill>
              </a:ln>
            </c:spPr>
          </c:dPt>
          <c:dPt>
            <c:idx val="3"/>
            <c:spPr>
              <a:solidFill>
                <a:srgbClr val="999999"/>
              </a:solidFill>
              <a:ln>
                <a:solidFill>
                  <a:srgbClr val="999999"/>
                </a:solidFill>
              </a:ln>
            </c:spPr>
          </c:dPt>
          <c:dPt>
            <c:idx val="4"/>
            <c:spPr>
              <a:solidFill>
                <a:srgbClr val="999999"/>
              </a:solidFill>
              <a:ln>
                <a:solidFill>
                  <a:srgbClr val="999999"/>
                </a:solidFill>
              </a:ln>
            </c:spPr>
          </c:dPt>
          <c:dPt>
            <c:idx val="5"/>
            <c:spPr>
              <a:solidFill>
                <a:srgbClr val="999999"/>
              </a:solidFill>
              <a:ln>
                <a:solidFill>
                  <a:srgbClr val="999999"/>
                </a:solidFill>
              </a:ln>
            </c:spPr>
          </c:dPt>
          <c:dPt>
            <c:idx val="6"/>
            <c:spPr>
              <a:solidFill>
                <a:srgbClr val="999999"/>
              </a:solidFill>
              <a:ln>
                <a:solidFill>
                  <a:srgbClr val="999999"/>
                </a:solidFill>
              </a:ln>
            </c:spPr>
          </c:dPt>
          <c:dPt>
            <c:idx val="7"/>
            <c:spPr>
              <a:solidFill>
                <a:srgbClr val="999999"/>
              </a:solidFill>
              <a:ln>
                <a:solidFill>
                  <a:srgbClr val="999999"/>
                </a:solidFill>
              </a:ln>
            </c:spPr>
          </c:dPt>
          <c:dPt>
            <c:idx val="8"/>
            <c:spPr>
              <a:solidFill>
                <a:srgbClr val="999999"/>
              </a:solidFill>
              <a:ln>
                <a:solidFill>
                  <a:srgbClr val="999999"/>
                </a:solidFill>
              </a:ln>
            </c:spPr>
          </c:dPt>
          <c:dPt>
            <c:idx val="9"/>
            <c:spPr>
              <a:solidFill>
                <a:srgbClr val="999999"/>
              </a:solidFill>
              <a:ln>
                <a:solidFill>
                  <a:srgbClr val="999999"/>
                </a:solidFill>
              </a:ln>
            </c:spPr>
          </c:dPt>
          <c:dPt>
            <c:idx val="10"/>
            <c:spPr>
              <a:solidFill>
                <a:srgbClr val="999999"/>
              </a:solidFill>
              <a:ln>
                <a:solidFill>
                  <a:srgbClr val="999999"/>
                </a:solidFill>
              </a:ln>
            </c:spPr>
          </c:dPt>
          <c:dPt>
            <c:idx val="11"/>
            <c:spPr>
              <a:solidFill>
                <a:srgbClr val="999999"/>
              </a:solidFill>
              <a:ln>
                <a:solidFill>
                  <a:srgbClr val="999999"/>
                </a:solidFill>
              </a:ln>
            </c:spPr>
          </c:dPt>
          <c:dPt>
            <c:idx val="12"/>
            <c:spPr>
              <a:solidFill>
                <a:srgbClr val="999999"/>
              </a:solidFill>
              <a:ln>
                <a:solidFill>
                  <a:srgbClr val="999999"/>
                </a:solidFill>
              </a:ln>
            </c:spPr>
          </c:dPt>
          <c:dPt>
            <c:idx val="13"/>
            <c:spPr>
              <a:solidFill>
                <a:srgbClr val="999999"/>
              </a:solidFill>
              <a:ln>
                <a:solidFill>
                  <a:srgbClr val="999999"/>
                </a:solidFill>
              </a:ln>
            </c:spPr>
          </c:dPt>
          <c:dPt>
            <c:idx val="14"/>
            <c:spPr>
              <a:solidFill>
                <a:srgbClr val="999999"/>
              </a:solidFill>
              <a:ln>
                <a:solidFill>
                  <a:srgbClr val="999999"/>
                </a:solidFill>
              </a:ln>
            </c:spPr>
          </c:dPt>
          <c:dPt>
            <c:idx val="15"/>
            <c:spPr>
              <a:solidFill>
                <a:srgbClr val="999999"/>
              </a:solidFill>
              <a:ln>
                <a:solidFill>
                  <a:srgbClr val="999999"/>
                </a:solidFill>
              </a:ln>
            </c:spPr>
          </c:dPt>
          <c:dPt>
            <c:idx val="16"/>
            <c:spPr>
              <a:solidFill>
                <a:srgbClr val="999999"/>
              </a:solidFill>
              <a:ln>
                <a:solidFill>
                  <a:srgbClr val="999999"/>
                </a:solidFill>
              </a:ln>
            </c:spPr>
          </c:dPt>
          <c:dPt>
            <c:idx val="17"/>
            <c:spPr>
              <a:solidFill>
                <a:srgbClr val="999999"/>
              </a:solidFill>
              <a:ln>
                <a:solidFill>
                  <a:srgbClr val="999999"/>
                </a:solidFill>
              </a:ln>
            </c:spPr>
          </c:dPt>
          <c:dPt>
            <c:idx val="18"/>
            <c:spPr>
              <a:solidFill>
                <a:srgbClr val="999999"/>
              </a:solidFill>
              <a:ln>
                <a:solidFill>
                  <a:srgbClr val="999999"/>
                </a:solidFill>
              </a:ln>
            </c:spPr>
          </c:dPt>
          <c:dPt>
            <c:idx val="19"/>
            <c:spPr>
              <a:solidFill>
                <a:srgbClr val="999999"/>
              </a:solidFill>
              <a:ln>
                <a:solidFill>
                  <a:srgbClr val="999999"/>
                </a:solidFill>
              </a:ln>
            </c:spPr>
          </c:dPt>
          <c:dPt>
            <c:idx val="20"/>
            <c:spPr>
              <a:solidFill>
                <a:srgbClr val="999999"/>
              </a:solidFill>
              <a:ln>
                <a:solidFill>
                  <a:srgbClr val="999999"/>
                </a:solidFill>
              </a:ln>
            </c:spPr>
          </c:dPt>
          <c:dPt>
            <c:idx val="21"/>
            <c:spPr>
              <a:solidFill>
                <a:srgbClr val="999999"/>
              </a:solidFill>
              <a:ln>
                <a:solidFill>
                  <a:srgbClr val="999999"/>
                </a:solidFill>
              </a:ln>
            </c:spPr>
          </c:dPt>
          <c:dPt>
            <c:idx val="22"/>
            <c:spPr>
              <a:solidFill>
                <a:srgbClr val="999999"/>
              </a:solidFill>
              <a:ln>
                <a:solidFill>
                  <a:srgbClr val="999999"/>
                </a:solidFill>
              </a:ln>
            </c:spPr>
          </c:dPt>
          <c:dPt>
            <c:idx val="23"/>
            <c:spPr>
              <a:solidFill>
                <a:srgbClr val="1E9BD7"/>
              </a:solidFill>
              <a:ln>
                <a:solidFill>
                  <a:srgbClr val="1E9BD7"/>
                </a:solidFill>
              </a:ln>
            </c:spPr>
          </c:dPt>
          <c:dLbls>
            <c:numFmt formatCode="#,##0" sourceLinked="0"/>
            <c:txPr>
              <a:bodyPr/>
              <a:lstStyle/>
              <a:p>
                <a:pPr>
                  <a:defRPr sz="900" b="1" baseline="0">
                    <a:solidFill>
                      <a:srgbClr val="1F3864"/>
                    </a:solidFill>
                    <a:latin typeface="Arial"/>
                  </a:defRPr>
                </a:pPr>
                <a:endParaRPr lang="en-US"/>
              </a:p>
            </c:txPr>
            <c:showVal val="1"/>
          </c:dLbls>
          <c:cat>
            <c:numRef>
              <c:f>'FDA Approval Summary'!$A$166:$A$189</c:f>
              <c:numCache>
                <c:formatCode>General</c:formatCode>
                <c:ptCount val="24"/>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pt idx="23">
                  <c:v>46204</c:v>
                </c:pt>
              </c:numCache>
            </c:numRef>
          </c:cat>
          <c:val>
            <c:numRef>
              <c:f>'FDA Approval Summary'!$B$166:$B$189</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gapWidth val="80"/>
        <c:axId val="50080001"/>
        <c:axId val="50080002"/>
      </c:barChart>
      <c:catAx>
        <c:axId val="50080001"/>
        <c:scaling>
          <c:orientation val="minMax"/>
        </c:scaling>
        <c:axPos val="b"/>
        <c:numFmt formatCode="General" sourceLinked="1"/>
        <c:tickLblPos val="low"/>
        <c:txPr>
          <a:bodyPr/>
          <a:lstStyle/>
          <a:p>
            <a:pPr>
              <a:defRPr sz="800" baseline="0">
                <a:latin typeface="Arial"/>
              </a:defRPr>
            </a:pPr>
            <a:endParaRPr lang="en-US"/>
          </a:p>
        </c:txPr>
        <c:crossAx val="50080002"/>
        <c:crosses val="autoZero"/>
        <c:auto val="1"/>
        <c:lblAlgn val="ctr"/>
        <c:lblOffset val="100"/>
      </c:catAx>
      <c:valAx>
        <c:axId val="50080002"/>
        <c:scaling>
          <c:orientation val="minMax"/>
        </c:scaling>
        <c:axPos val="l"/>
        <c:numFmt formatCode="#,##0" sourceLinked="0"/>
        <c:tickLblPos val="nextTo"/>
        <c:crossAx val="50080001"/>
        <c:crosses val="autoZero"/>
        <c:crossBetween val="between"/>
      </c:valAx>
      <c:spPr>
        <a:ln>
          <a:noFill/>
        </a:ln>
      </c:spPr>
    </c:plotArea>
    <c:plotVisOnly val="1"/>
  </c:chart>
  <c:spPr>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F3864"/>
                </a:solidFill>
                <a:latin typeface="Arial"/>
              </a:defRPr>
            </a:pPr>
            <a:r>
              <a:rPr lang="en-US" sz="1200" b="1" baseline="0">
                <a:solidFill>
                  <a:srgbClr val="1F3864"/>
                </a:solidFill>
                <a:latin typeface="Arial"/>
              </a:rPr>
              <a:t>NIH Treasury Outlays ($B): Yearly</a:t>
            </a:r>
          </a:p>
        </c:rich>
      </c:tx>
      <c:layout/>
    </c:title>
    <c:plotArea>
      <c:layout/>
      <c:barChart>
        <c:barDir val="col"/>
        <c:grouping val="clustered"/>
        <c:ser>
          <c:idx val="0"/>
          <c:order val="0"/>
          <c:tx>
            <c:v>NIH Outlays</c:v>
          </c:tx>
          <c:spPr>
            <a:solidFill>
              <a:srgbClr val="8C8C8C"/>
            </a:solidFill>
          </c:spPr>
          <c:dPt>
            <c:idx val="0"/>
            <c:spPr>
              <a:solidFill>
                <a:srgbClr val="8C8C8C"/>
              </a:solidFill>
              <a:ln>
                <a:solidFill>
                  <a:srgbClr val="8C8C8C"/>
                </a:solidFill>
              </a:ln>
            </c:spPr>
          </c:dPt>
          <c:dPt>
            <c:idx val="1"/>
            <c:spPr>
              <a:solidFill>
                <a:srgbClr val="8C8C8C"/>
              </a:solidFill>
              <a:ln>
                <a:solidFill>
                  <a:srgbClr val="8C8C8C"/>
                </a:solidFill>
              </a:ln>
            </c:spPr>
          </c:dPt>
          <c:dPt>
            <c:idx val="2"/>
            <c:spPr>
              <a:solidFill>
                <a:srgbClr val="8C8C8C"/>
              </a:solidFill>
              <a:ln>
                <a:solidFill>
                  <a:srgbClr val="8C8C8C"/>
                </a:solidFill>
              </a:ln>
            </c:spPr>
          </c:dPt>
          <c:dPt>
            <c:idx val="3"/>
            <c:spPr>
              <a:solidFill>
                <a:srgbClr val="8C8C8C"/>
              </a:solidFill>
              <a:ln>
                <a:solidFill>
                  <a:srgbClr val="8C8C8C"/>
                </a:solidFill>
              </a:ln>
            </c:spPr>
          </c:dPt>
          <c:dPt>
            <c:idx val="4"/>
            <c:spPr>
              <a:solidFill>
                <a:srgbClr val="8C8C8C"/>
              </a:solidFill>
              <a:ln>
                <a:solidFill>
                  <a:srgbClr val="8C8C8C"/>
                </a:solidFill>
              </a:ln>
            </c:spPr>
          </c:dPt>
          <c:dPt>
            <c:idx val="5"/>
            <c:spPr>
              <a:solidFill>
                <a:srgbClr val="8C8C8C"/>
              </a:solidFill>
              <a:ln>
                <a:solidFill>
                  <a:srgbClr val="8C8C8C"/>
                </a:solidFill>
              </a:ln>
            </c:spPr>
          </c:dPt>
          <c:dPt>
            <c:idx val="6"/>
            <c:spPr>
              <a:solidFill>
                <a:srgbClr val="8C8C8C"/>
              </a:solidFill>
              <a:ln>
                <a:solidFill>
                  <a:srgbClr val="8C8C8C"/>
                </a:solidFill>
              </a:ln>
            </c:spPr>
          </c:dPt>
          <c:dPt>
            <c:idx val="7"/>
            <c:spPr>
              <a:solidFill>
                <a:srgbClr val="1E9BD7"/>
              </a:solidFill>
              <a:ln>
                <a:solidFill>
                  <a:srgbClr val="1E9BD7"/>
                </a:solidFill>
              </a:ln>
            </c:spPr>
          </c:dPt>
          <c:dPt>
            <c:idx val="8"/>
            <c:spPr>
              <a:solidFill>
                <a:srgbClr val="1E9BD7"/>
              </a:solidFill>
              <a:ln>
                <a:solidFill>
                  <a:srgbClr val="1E9BD7"/>
                </a:solidFill>
              </a:ln>
            </c:spPr>
          </c:dPt>
          <c:dLbls>
            <c:numFmt formatCode="$#,##0.0" sourceLinked="0"/>
            <c:txPr>
              <a:bodyPr/>
              <a:lstStyle/>
              <a:p>
                <a:pPr>
                  <a:defRPr sz="800" b="1" baseline="0">
                    <a:solidFill>
                      <a:srgbClr val="1F3864"/>
                    </a:solidFill>
                    <a:latin typeface="Arial"/>
                  </a:defRPr>
                </a:pPr>
                <a:endParaRPr lang="en-US"/>
              </a:p>
            </c:txPr>
            <c:showVal val="1"/>
          </c:dLbls>
          <c:cat>
            <c:strRef>
              <c:f>_MTS_ChartData!$A$1:$A$9</c:f>
              <c:strCache>
                <c:ptCount val="9"/>
                <c:pt idx="0">
                  <c:v>2019</c:v>
                </c:pt>
                <c:pt idx="1">
                  <c:v>2020</c:v>
                </c:pt>
                <c:pt idx="2">
                  <c:v>2021</c:v>
                </c:pt>
                <c:pt idx="3">
                  <c:v>2022</c:v>
                </c:pt>
                <c:pt idx="4">
                  <c:v>2023</c:v>
                </c:pt>
                <c:pt idx="5">
                  <c:v>2024</c:v>
                </c:pt>
                <c:pt idx="6">
                  <c:v>2025</c:v>
                </c:pt>
                <c:pt idx="7">
                  <c:v>2026</c:v>
                </c:pt>
                <c:pt idx="8">
                  <c:v>2026 Ann.</c:v>
                </c:pt>
              </c:strCache>
            </c:strRef>
          </c:cat>
          <c:val>
            <c:numRef>
              <c:f>_MTS_ChartData!$B$1:$B$9</c:f>
              <c:numCache>
                <c:formatCode>General</c:formatCode>
                <c:ptCount val="9"/>
                <c:pt idx="0">
                  <c:v>35.88210293823001</c:v>
                </c:pt>
                <c:pt idx="1">
                  <c:v>36.69282807797</c:v>
                </c:pt>
                <c:pt idx="2">
                  <c:v>39.35021462208</c:v>
                </c:pt>
                <c:pt idx="3">
                  <c:v>41.94218192016</c:v>
                </c:pt>
                <c:pt idx="4">
                  <c:v>46.47934122246</c:v>
                </c:pt>
                <c:pt idx="5">
                  <c:v>48.98022183427</c:v>
                </c:pt>
                <c:pt idx="6">
                  <c:v>46.74845785006</c:v>
                </c:pt>
                <c:pt idx="7">
                  <c:v>22.39181141651</c:v>
                </c:pt>
                <c:pt idx="8">
                  <c:v>38.4</c:v>
                </c:pt>
              </c:numCache>
            </c:numRef>
          </c:val>
        </c:ser>
        <c:gapWidth val="80"/>
        <c:axId val="50090001"/>
        <c:axId val="50090002"/>
      </c:barChart>
      <c:catAx>
        <c:axId val="50090001"/>
        <c:scaling>
          <c:orientation val="minMax"/>
        </c:scaling>
        <c:axPos val="b"/>
        <c:tickLblPos val="nextTo"/>
        <c:txPr>
          <a:bodyPr/>
          <a:lstStyle/>
          <a:p>
            <a:pPr>
              <a:defRPr sz="800" baseline="0">
                <a:latin typeface="Arial"/>
              </a:defRPr>
            </a:pPr>
            <a:endParaRPr lang="en-US"/>
          </a:p>
        </c:txPr>
        <c:crossAx val="50090002"/>
        <c:crosses val="autoZero"/>
        <c:auto val="1"/>
        <c:lblAlgn val="ctr"/>
        <c:lblOffset val="100"/>
      </c:catAx>
      <c:valAx>
        <c:axId val="50090002"/>
        <c:scaling>
          <c:orientation val="minMax"/>
        </c:scaling>
        <c:axPos val="l"/>
        <c:numFmt formatCode="$#,##0" sourceLinked="0"/>
        <c:tickLblPos val="nextTo"/>
        <c:crossAx val="50090001"/>
        <c:crosses val="autoZero"/>
        <c:crossBetween val="between"/>
      </c:valAx>
      <c:spPr>
        <a:ln>
          <a:noFill/>
        </a:ln>
      </c:spPr>
    </c:plotArea>
    <c:plotVisOnly val="1"/>
  </c:chart>
  <c:spPr>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F3864"/>
                </a:solidFill>
                <a:latin typeface="Arial"/>
              </a:defRPr>
            </a:pPr>
            <a:r>
              <a:rPr lang="en-US" sz="1200" b="1" baseline="0">
                <a:solidFill>
                  <a:srgbClr val="1F3864"/>
                </a:solidFill>
                <a:latin typeface="Arial"/>
              </a:rPr>
              <a:t>NIH Treasury Outlays ($B): Monthly</a:t>
            </a:r>
          </a:p>
        </c:rich>
      </c:tx>
      <c:layout/>
    </c:title>
    <c:plotArea>
      <c:layout/>
      <c:barChart>
        <c:barDir val="col"/>
        <c:grouping val="clustered"/>
        <c:ser>
          <c:idx val="0"/>
          <c:order val="0"/>
          <c:tx>
            <c:v>NIH Outlays</c:v>
          </c:tx>
          <c:spPr>
            <a:solidFill>
              <a:srgbClr val="8C8C8C"/>
            </a:solidFill>
          </c:spPr>
          <c:dPt>
            <c:idx val="0"/>
            <c:spPr>
              <a:solidFill>
                <a:srgbClr val="8C8C8C"/>
              </a:solidFill>
              <a:ln>
                <a:solidFill>
                  <a:srgbClr val="8C8C8C"/>
                </a:solidFill>
              </a:ln>
            </c:spPr>
          </c:dPt>
          <c:dPt>
            <c:idx val="1"/>
            <c:spPr>
              <a:solidFill>
                <a:srgbClr val="8C8C8C"/>
              </a:solidFill>
              <a:ln>
                <a:solidFill>
                  <a:srgbClr val="8C8C8C"/>
                </a:solidFill>
              </a:ln>
            </c:spPr>
          </c:dPt>
          <c:dPt>
            <c:idx val="2"/>
            <c:spPr>
              <a:solidFill>
                <a:srgbClr val="8C8C8C"/>
              </a:solidFill>
              <a:ln>
                <a:solidFill>
                  <a:srgbClr val="8C8C8C"/>
                </a:solidFill>
              </a:ln>
            </c:spPr>
          </c:dPt>
          <c:dPt>
            <c:idx val="3"/>
            <c:spPr>
              <a:solidFill>
                <a:srgbClr val="8C8C8C"/>
              </a:solidFill>
              <a:ln>
                <a:solidFill>
                  <a:srgbClr val="8C8C8C"/>
                </a:solidFill>
              </a:ln>
            </c:spPr>
          </c:dPt>
          <c:dPt>
            <c:idx val="4"/>
            <c:spPr>
              <a:solidFill>
                <a:srgbClr val="8C8C8C"/>
              </a:solidFill>
              <a:ln>
                <a:solidFill>
                  <a:srgbClr val="8C8C8C"/>
                </a:solidFill>
              </a:ln>
            </c:spPr>
          </c:dPt>
          <c:dPt>
            <c:idx val="5"/>
            <c:spPr>
              <a:solidFill>
                <a:srgbClr val="8C8C8C"/>
              </a:solidFill>
              <a:ln>
                <a:solidFill>
                  <a:srgbClr val="8C8C8C"/>
                </a:solidFill>
              </a:ln>
            </c:spPr>
          </c:dPt>
          <c:dPt>
            <c:idx val="6"/>
            <c:spPr>
              <a:solidFill>
                <a:srgbClr val="8C8C8C"/>
              </a:solidFill>
              <a:ln>
                <a:solidFill>
                  <a:srgbClr val="8C8C8C"/>
                </a:solidFill>
              </a:ln>
            </c:spPr>
          </c:dPt>
          <c:dPt>
            <c:idx val="7"/>
            <c:spPr>
              <a:solidFill>
                <a:srgbClr val="8C8C8C"/>
              </a:solidFill>
              <a:ln>
                <a:solidFill>
                  <a:srgbClr val="8C8C8C"/>
                </a:solidFill>
              </a:ln>
            </c:spPr>
          </c:dPt>
          <c:dPt>
            <c:idx val="8"/>
            <c:spPr>
              <a:solidFill>
                <a:srgbClr val="8C8C8C"/>
              </a:solidFill>
              <a:ln>
                <a:solidFill>
                  <a:srgbClr val="8C8C8C"/>
                </a:solidFill>
              </a:ln>
            </c:spPr>
          </c:dPt>
          <c:dPt>
            <c:idx val="9"/>
            <c:spPr>
              <a:solidFill>
                <a:srgbClr val="8C8C8C"/>
              </a:solidFill>
              <a:ln>
                <a:solidFill>
                  <a:srgbClr val="8C8C8C"/>
                </a:solidFill>
              </a:ln>
            </c:spPr>
          </c:dPt>
          <c:dPt>
            <c:idx val="10"/>
            <c:spPr>
              <a:solidFill>
                <a:srgbClr val="8C8C8C"/>
              </a:solidFill>
              <a:ln>
                <a:solidFill>
                  <a:srgbClr val="8C8C8C"/>
                </a:solidFill>
              </a:ln>
            </c:spPr>
          </c:dPt>
          <c:dPt>
            <c:idx val="11"/>
            <c:spPr>
              <a:solidFill>
                <a:srgbClr val="8C8C8C"/>
              </a:solidFill>
              <a:ln>
                <a:solidFill>
                  <a:srgbClr val="8C8C8C"/>
                </a:solidFill>
              </a:ln>
            </c:spPr>
          </c:dPt>
          <c:dPt>
            <c:idx val="12"/>
            <c:spPr>
              <a:solidFill>
                <a:srgbClr val="8C8C8C"/>
              </a:solidFill>
              <a:ln>
                <a:solidFill>
                  <a:srgbClr val="8C8C8C"/>
                </a:solidFill>
              </a:ln>
            </c:spPr>
          </c:dPt>
          <c:dPt>
            <c:idx val="13"/>
            <c:spPr>
              <a:solidFill>
                <a:srgbClr val="8C8C8C"/>
              </a:solidFill>
              <a:ln>
                <a:solidFill>
                  <a:srgbClr val="8C8C8C"/>
                </a:solidFill>
              </a:ln>
            </c:spPr>
          </c:dPt>
          <c:dPt>
            <c:idx val="14"/>
            <c:spPr>
              <a:solidFill>
                <a:srgbClr val="8C8C8C"/>
              </a:solidFill>
              <a:ln>
                <a:solidFill>
                  <a:srgbClr val="8C8C8C"/>
                </a:solidFill>
              </a:ln>
            </c:spPr>
          </c:dPt>
          <c:dPt>
            <c:idx val="15"/>
            <c:spPr>
              <a:solidFill>
                <a:srgbClr val="8C8C8C"/>
              </a:solidFill>
              <a:ln>
                <a:solidFill>
                  <a:srgbClr val="8C8C8C"/>
                </a:solidFill>
              </a:ln>
            </c:spPr>
          </c:dPt>
          <c:dPt>
            <c:idx val="16"/>
            <c:spPr>
              <a:solidFill>
                <a:srgbClr val="8C8C8C"/>
              </a:solidFill>
              <a:ln>
                <a:solidFill>
                  <a:srgbClr val="8C8C8C"/>
                </a:solidFill>
              </a:ln>
            </c:spPr>
          </c:dPt>
          <c:dPt>
            <c:idx val="17"/>
            <c:spPr>
              <a:solidFill>
                <a:srgbClr val="8C8C8C"/>
              </a:solidFill>
              <a:ln>
                <a:solidFill>
                  <a:srgbClr val="8C8C8C"/>
                </a:solidFill>
              </a:ln>
            </c:spPr>
          </c:dPt>
          <c:dPt>
            <c:idx val="18"/>
            <c:spPr>
              <a:solidFill>
                <a:srgbClr val="8C8C8C"/>
              </a:solidFill>
              <a:ln>
                <a:solidFill>
                  <a:srgbClr val="8C8C8C"/>
                </a:solidFill>
              </a:ln>
            </c:spPr>
          </c:dPt>
          <c:dPt>
            <c:idx val="19"/>
            <c:spPr>
              <a:solidFill>
                <a:srgbClr val="8C8C8C"/>
              </a:solidFill>
              <a:ln>
                <a:solidFill>
                  <a:srgbClr val="8C8C8C"/>
                </a:solidFill>
              </a:ln>
            </c:spPr>
          </c:dPt>
          <c:dPt>
            <c:idx val="20"/>
            <c:spPr>
              <a:solidFill>
                <a:srgbClr val="8C8C8C"/>
              </a:solidFill>
              <a:ln>
                <a:solidFill>
                  <a:srgbClr val="8C8C8C"/>
                </a:solidFill>
              </a:ln>
            </c:spPr>
          </c:dPt>
          <c:dPt>
            <c:idx val="21"/>
            <c:spPr>
              <a:solidFill>
                <a:srgbClr val="8C8C8C"/>
              </a:solidFill>
              <a:ln>
                <a:solidFill>
                  <a:srgbClr val="8C8C8C"/>
                </a:solidFill>
              </a:ln>
            </c:spPr>
          </c:dPt>
          <c:dPt>
            <c:idx val="22"/>
            <c:spPr>
              <a:solidFill>
                <a:srgbClr val="8C8C8C"/>
              </a:solidFill>
              <a:ln>
                <a:solidFill>
                  <a:srgbClr val="8C8C8C"/>
                </a:solidFill>
              </a:ln>
            </c:spPr>
          </c:dPt>
          <c:dPt>
            <c:idx val="23"/>
            <c:spPr>
              <a:solidFill>
                <a:srgbClr val="1E9BD7"/>
              </a:solidFill>
              <a:ln>
                <a:solidFill>
                  <a:srgbClr val="1E9BD7"/>
                </a:solidFill>
              </a:ln>
            </c:spPr>
          </c:dPt>
          <c:dLbls>
            <c:numFmt formatCode="$#,##0.0" sourceLinked="0"/>
            <c:txPr>
              <a:bodyPr/>
              <a:lstStyle/>
              <a:p>
                <a:pPr>
                  <a:defRPr sz="700" b="1" baseline="0">
                    <a:solidFill>
                      <a:srgbClr val="1F3864"/>
                    </a:solidFill>
                    <a:latin typeface="Arial"/>
                  </a:defRPr>
                </a:pPr>
                <a:endParaRPr lang="en-US"/>
              </a:p>
            </c:txPr>
            <c:showVal val="1"/>
          </c:dLbls>
          <c:cat>
            <c:strRef>
              <c:f>_MTS_ChartData!$D$1:$D$24</c:f>
              <c:strCache>
                <c:ptCount val="24"/>
                <c:pt idx="0">
                  <c:v>Aug 24</c:v>
                </c:pt>
                <c:pt idx="1">
                  <c:v>Sep 24</c:v>
                </c:pt>
                <c:pt idx="2">
                  <c:v>Oct 24</c:v>
                </c:pt>
                <c:pt idx="3">
                  <c:v>Nov 24</c:v>
                </c:pt>
                <c:pt idx="4">
                  <c:v>Dec 24</c:v>
                </c:pt>
                <c:pt idx="5">
                  <c:v>Jan 25</c:v>
                </c:pt>
                <c:pt idx="6">
                  <c:v>Feb 25</c:v>
                </c:pt>
                <c:pt idx="7">
                  <c:v>Mar 25</c:v>
                </c:pt>
                <c:pt idx="8">
                  <c:v>Apr 25</c:v>
                </c:pt>
                <c:pt idx="9">
                  <c:v>May 25</c:v>
                </c:pt>
                <c:pt idx="10">
                  <c:v>Jun 25</c:v>
                </c:pt>
                <c:pt idx="11">
                  <c:v>Jul 25</c:v>
                </c:pt>
                <c:pt idx="12">
                  <c:v>Aug 25</c:v>
                </c:pt>
                <c:pt idx="13">
                  <c:v>Sep 25</c:v>
                </c:pt>
                <c:pt idx="14">
                  <c:v>Oct 25</c:v>
                </c:pt>
                <c:pt idx="15">
                  <c:v>Nov 25</c:v>
                </c:pt>
                <c:pt idx="16">
                  <c:v>Dec 25</c:v>
                </c:pt>
                <c:pt idx="17">
                  <c:v>Jan 26</c:v>
                </c:pt>
                <c:pt idx="18">
                  <c:v>Feb 26</c:v>
                </c:pt>
                <c:pt idx="19">
                  <c:v>Mar 26</c:v>
                </c:pt>
                <c:pt idx="20">
                  <c:v>Apr 26</c:v>
                </c:pt>
                <c:pt idx="21">
                  <c:v>May 26</c:v>
                </c:pt>
                <c:pt idx="22">
                  <c:v>Jun 26</c:v>
                </c:pt>
                <c:pt idx="23">
                  <c:v>Jul 26</c:v>
                </c:pt>
              </c:strCache>
            </c:strRef>
          </c:cat>
          <c:val>
            <c:numRef>
              <c:f>_MTS_ChartData!$E$1:$E$24</c:f>
              <c:numCache>
                <c:formatCode>General</c:formatCode>
                <c:ptCount val="24"/>
                <c:pt idx="0">
                  <c:v>4.52371467728</c:v>
                </c:pt>
                <c:pt idx="1">
                  <c:v>4.257770542659999</c:v>
                </c:pt>
                <c:pt idx="2">
                  <c:v>4.28270961963</c:v>
                </c:pt>
                <c:pt idx="3">
                  <c:v>3.90626127227</c:v>
                </c:pt>
                <c:pt idx="4">
                  <c:v>3.95325129459</c:v>
                </c:pt>
                <c:pt idx="5">
                  <c:v>3.55434993453</c:v>
                </c:pt>
                <c:pt idx="6">
                  <c:v>3.73915716802</c:v>
                </c:pt>
                <c:pt idx="7">
                  <c:v>3.549549495</c:v>
                </c:pt>
                <c:pt idx="8">
                  <c:v>3.84953105117</c:v>
                </c:pt>
                <c:pt idx="9">
                  <c:v>2.76809880994</c:v>
                </c:pt>
                <c:pt idx="10">
                  <c:v>4.25180988972</c:v>
                </c:pt>
                <c:pt idx="11">
                  <c:v>4.51971666051</c:v>
                </c:pt>
                <c:pt idx="12">
                  <c:v>4.37151231463</c:v>
                </c:pt>
                <c:pt idx="13">
                  <c:v>4.595041398359999</c:v>
                </c:pt>
                <c:pt idx="14">
                  <c:v>3.31396838479</c:v>
                </c:pt>
                <c:pt idx="15">
                  <c:v>3.59814460805</c:v>
                </c:pt>
                <c:pt idx="16">
                  <c:v>4.63757813534</c:v>
                </c:pt>
                <c:pt idx="17">
                  <c:v>3.55940502602</c:v>
                </c:pt>
                <c:pt idx="18">
                  <c:v>3.41146742061</c:v>
                </c:pt>
                <c:pt idx="19">
                  <c:v>4.03913558725</c:v>
                </c:pt>
                <c:pt idx="20">
                  <c:v>3.68174121838</c:v>
                </c:pt>
                <c:pt idx="21">
                  <c:v>3.60443549497</c:v>
                </c:pt>
                <c:pt idx="22">
                  <c:v>4.095626669280001</c:v>
                </c:pt>
                <c:pt idx="23">
                  <c:v>0</c:v>
                </c:pt>
              </c:numCache>
            </c:numRef>
          </c:val>
        </c:ser>
        <c:gapWidth val="60"/>
        <c:axId val="50100001"/>
        <c:axId val="50100002"/>
      </c:barChart>
      <c:catAx>
        <c:axId val="50100001"/>
        <c:scaling>
          <c:orientation val="minMax"/>
        </c:scaling>
        <c:axPos val="b"/>
        <c:tickLblPos val="low"/>
        <c:txPr>
          <a:bodyPr/>
          <a:lstStyle/>
          <a:p>
            <a:pPr>
              <a:defRPr sz="700" baseline="0">
                <a:latin typeface="Arial"/>
              </a:defRPr>
            </a:pPr>
            <a:endParaRPr lang="en-US"/>
          </a:p>
        </c:txPr>
        <c:crossAx val="50100002"/>
        <c:crosses val="autoZero"/>
        <c:auto val="1"/>
        <c:lblAlgn val="ctr"/>
        <c:lblOffset val="100"/>
      </c:catAx>
      <c:valAx>
        <c:axId val="50100002"/>
        <c:scaling>
          <c:orientation val="minMax"/>
        </c:scaling>
        <c:axPos val="l"/>
        <c:numFmt formatCode="$#,##0.0" sourceLinked="0"/>
        <c:tickLblPos val="nextTo"/>
        <c:crossAx val="50100001"/>
        <c:crosses val="autoZero"/>
        <c:crossBetween val="between"/>
      </c:valAx>
      <c:spPr>
        <a:ln>
          <a:noFill/>
        </a:ln>
      </c:spPr>
    </c:plotArea>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0</xdr:colOff>
      <xdr:row>26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0</xdr:rowOff>
    </xdr:from>
    <xdr:to>
      <xdr:col>15</xdr:col>
      <xdr:colOff>0</xdr:colOff>
      <xdr:row>53</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54</xdr:row>
      <xdr:rowOff>0</xdr:rowOff>
    </xdr:from>
    <xdr:to>
      <xdr:col>15</xdr:col>
      <xdr:colOff>0</xdr:colOff>
      <xdr:row>80</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81</xdr:row>
      <xdr:rowOff>0</xdr:rowOff>
    </xdr:from>
    <xdr:to>
      <xdr:col>15</xdr:col>
      <xdr:colOff>0</xdr:colOff>
      <xdr:row>107</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0</xdr:colOff>
      <xdr:row>26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0</xdr:rowOff>
    </xdr:from>
    <xdr:to>
      <xdr:col>15</xdr:col>
      <xdr:colOff>0</xdr:colOff>
      <xdr:row>53</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54</xdr:row>
      <xdr:rowOff>0</xdr:rowOff>
    </xdr:from>
    <xdr:to>
      <xdr:col>15</xdr:col>
      <xdr:colOff>0</xdr:colOff>
      <xdr:row>80</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81</xdr:row>
      <xdr:rowOff>0</xdr:rowOff>
    </xdr:from>
    <xdr:to>
      <xdr:col>15</xdr:col>
      <xdr:colOff>0</xdr:colOff>
      <xdr:row>107</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152400</xdr:colOff>
      <xdr:row>21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0</xdr:rowOff>
    </xdr:from>
    <xdr:to>
      <xdr:col>11</xdr:col>
      <xdr:colOff>152400</xdr:colOff>
      <xdr:row>42</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fda.gov/drugs/novel-drug-approvals-fda/novel-drug-approvals-2026" TargetMode="External"/><Relationship Id="rId2" Type="http://schemas.openxmlformats.org/officeDocument/2006/relationships/hyperlink" Target="https://www.fda.gov/drugs/novel-drug-approvals-fda/novel-drug-approvals-2026" TargetMode="External"/><Relationship Id="rId3" Type="http://schemas.openxmlformats.org/officeDocument/2006/relationships/hyperlink" Target="https://www.fda.gov/drugs/novel-drug-approvals-fda/novel-drug-approvals-2026" TargetMode="External"/><Relationship Id="rId4" Type="http://schemas.openxmlformats.org/officeDocument/2006/relationships/hyperlink" Target="https://www.fda.gov/drugs/novel-drug-approvals-fda/novel-drug-approvals-2026" TargetMode="External"/><Relationship Id="rId5" Type="http://schemas.openxmlformats.org/officeDocument/2006/relationships/hyperlink" Target="https://www.fda.gov/drugs/novel-drug-approvals-fda/novel-drug-approvals-2026" TargetMode="External"/><Relationship Id="rId6" Type="http://schemas.openxmlformats.org/officeDocument/2006/relationships/hyperlink" Target="https://www.fda.gov/drugs/novel-drug-approvals-fda/novel-drug-approvals-2026" TargetMode="External"/><Relationship Id="rId7" Type="http://schemas.openxmlformats.org/officeDocument/2006/relationships/hyperlink" Target="https://www.fda.gov/vaccines-blood-biologics/development-approval-process-cber/2026-biological-license-application-approvals" TargetMode="External"/><Relationship Id="rId8" Type="http://schemas.openxmlformats.org/officeDocument/2006/relationships/hyperlink" Target="https://www.fda.gov/drugs/novel-drug-approvals-fda/novel-drug-approvals-2026" TargetMode="External"/><Relationship Id="rId9" Type="http://schemas.openxmlformats.org/officeDocument/2006/relationships/hyperlink" Target="https://www.fda.gov/drugs/novel-drug-approvals-fda/novel-drug-approvals-2026" TargetMode="External"/><Relationship Id="rId10" Type="http://schemas.openxmlformats.org/officeDocument/2006/relationships/hyperlink" Target="https://www.fda.gov/drugs/novel-drug-approvals-fda/novel-drug-approvals-2026" TargetMode="External"/><Relationship Id="rId11" Type="http://schemas.openxmlformats.org/officeDocument/2006/relationships/hyperlink" Target="https://www.fda.gov/drugs/novel-drug-approvals-fda/novel-drug-approvals-2026" TargetMode="External"/><Relationship Id="rId12" Type="http://schemas.openxmlformats.org/officeDocument/2006/relationships/hyperlink" Target="https://www.fda.gov/drugs/novel-drug-approvals-fda/novel-drug-approvals-2026" TargetMode="External"/><Relationship Id="rId13" Type="http://schemas.openxmlformats.org/officeDocument/2006/relationships/hyperlink" Target="https://www.fda.gov/drugs/novel-drug-approvals-fda/novel-drug-approvals-2026" TargetMode="External"/><Relationship Id="rId14" Type="http://schemas.openxmlformats.org/officeDocument/2006/relationships/hyperlink" Target="https://www.fda.gov/drugs/novel-drug-approvals-fda/novel-drug-approvals-2026" TargetMode="External"/><Relationship Id="rId15" Type="http://schemas.openxmlformats.org/officeDocument/2006/relationships/hyperlink" Target="https://www.fda.gov/drugs/novel-drug-approvals-fda/novel-drug-approvals-2026" TargetMode="External"/><Relationship Id="rId16" Type="http://schemas.openxmlformats.org/officeDocument/2006/relationships/hyperlink" Target="https://www.fda.gov/drugs/novel-drug-approvals-fda/novel-drug-approvals-2026" TargetMode="External"/><Relationship Id="rId17" Type="http://schemas.openxmlformats.org/officeDocument/2006/relationships/hyperlink" Target="https://www.fda.gov/drugs/novel-drug-approvals-fda/novel-drug-approvals-2026" TargetMode="External"/><Relationship Id="rId18" Type="http://schemas.openxmlformats.org/officeDocument/2006/relationships/hyperlink" Target="https://www.fda.gov/drugs/novel-drug-approvals-fda/novel-drug-approvals-2026" TargetMode="External"/><Relationship Id="rId19" Type="http://schemas.openxmlformats.org/officeDocument/2006/relationships/hyperlink" Target="https://www.fda.gov/vaccines-blood-biologics/development-approval-process-cber/2026-biological-license-application-approvals" TargetMode="External"/><Relationship Id="rId20" Type="http://schemas.openxmlformats.org/officeDocument/2006/relationships/hyperlink" Target="https://www.fda.gov/drugs/novel-drug-approvals-fda/novel-drug-approvals-2026" TargetMode="External"/><Relationship Id="rId21" Type="http://schemas.openxmlformats.org/officeDocument/2006/relationships/hyperlink" Target="https://www.fda.gov/drugs/novel-drug-approvals-fda/novel-drug-approvals-2026" TargetMode="External"/><Relationship Id="rId22" Type="http://schemas.openxmlformats.org/officeDocument/2006/relationships/hyperlink" Target="https://www.fda.gov/drugs/novel-drug-approvals-fda/novel-drug-approvals-2026" TargetMode="External"/><Relationship Id="rId23" Type="http://schemas.openxmlformats.org/officeDocument/2006/relationships/hyperlink" Target="https://www.fda.gov/vaccines-blood-biologics/development-approval-process-cber/2026-biological-license-application-approvals" TargetMode="External"/><Relationship Id="rId24" Type="http://schemas.openxmlformats.org/officeDocument/2006/relationships/hyperlink" Target="https://www.fda.gov/drugs/novel-drug-approvals-fda/novel-drug-approvals-2026" TargetMode="External"/><Relationship Id="rId25" Type="http://schemas.openxmlformats.org/officeDocument/2006/relationships/hyperlink" Target="https://www.fda.gov/drugs/novel-drug-approvals-fda/novel-drug-approvals-2026" TargetMode="External"/><Relationship Id="rId26" Type="http://schemas.openxmlformats.org/officeDocument/2006/relationships/hyperlink" Target="https://www.fda.gov/drugs/novel-drug-approvals-fda/novel-drug-approvals-2026" TargetMode="External"/><Relationship Id="rId27" Type="http://schemas.openxmlformats.org/officeDocument/2006/relationships/hyperlink" Target="https://www.fda.gov/drugs/novel-drug-approvals-fda/novel-drug-approvals-2026" TargetMode="External"/><Relationship Id="rId28" Type="http://schemas.openxmlformats.org/officeDocument/2006/relationships/hyperlink" Target="https://www.fda.gov/vaccines-blood-biologics/development-approval-process-cber/2026-biological-license-application-approvals" TargetMode="External"/><Relationship Id="rId29" Type="http://schemas.openxmlformats.org/officeDocument/2006/relationships/hyperlink" Target="https://www.fda.gov/drugs/novel-drug-approvals-fda/novel-drug-approvals-2026" TargetMode="External"/><Relationship Id="rId30" Type="http://schemas.openxmlformats.org/officeDocument/2006/relationships/hyperlink" Target="https://www.fda.gov/drugs/novel-drug-approvals-fda/novel-drug-approvals-2026" TargetMode="External"/><Relationship Id="rId31" Type="http://schemas.openxmlformats.org/officeDocument/2006/relationships/hyperlink" Target="https://www.fda.gov/drugs/novel-drug-approvals-fda/novel-drug-approvals-2026" TargetMode="External"/><Relationship Id="rId32" Type="http://schemas.openxmlformats.org/officeDocument/2006/relationships/hyperlink" Target="https://www.fda.gov/drugs/novel-drug-approvals-fda/novel-drug-approvals-2026" TargetMode="External"/><Relationship Id="rId33" Type="http://schemas.openxmlformats.org/officeDocument/2006/relationships/hyperlink" Target="https://www.fda.gov/drugs/novel-drug-approvals-fda/novel-drug-approvals-2026" TargetMode="External"/><Relationship Id="rId34" Type="http://schemas.openxmlformats.org/officeDocument/2006/relationships/hyperlink" Target="https://www.fda.gov/drugs/novel-drug-approvals-fda/novel-drug-approvals-2025" TargetMode="External"/><Relationship Id="rId35" Type="http://schemas.openxmlformats.org/officeDocument/2006/relationships/hyperlink" Target="https://www.fda.gov/drugs/novel-drug-approvals-fda/novel-drug-approvals-2025" TargetMode="External"/><Relationship Id="rId36" Type="http://schemas.openxmlformats.org/officeDocument/2006/relationships/hyperlink" Target="https://www.fda.gov/drugs/novel-drug-approvals-fda/novel-drug-approvals-2025" TargetMode="External"/><Relationship Id="rId37" Type="http://schemas.openxmlformats.org/officeDocument/2006/relationships/hyperlink" Target="https://www.fda.gov/vaccines-blood-biologics/development-approval-process-cber/2025-biological-license-application-approvals" TargetMode="External"/><Relationship Id="rId38" Type="http://schemas.openxmlformats.org/officeDocument/2006/relationships/hyperlink" Target="https://www.fda.gov/drugs/novel-drug-approvals-fda/novel-drug-approvals-2025" TargetMode="External"/><Relationship Id="rId39" Type="http://schemas.openxmlformats.org/officeDocument/2006/relationships/hyperlink" Target="https://www.fda.gov/drugs/novel-drug-approvals-fda/novel-drug-approvals-2025" TargetMode="External"/><Relationship Id="rId40" Type="http://schemas.openxmlformats.org/officeDocument/2006/relationships/hyperlink" Target="https://www.fda.gov/drugs/novel-drug-approvals-fda/novel-drug-approvals-2025" TargetMode="External"/><Relationship Id="rId41" Type="http://schemas.openxmlformats.org/officeDocument/2006/relationships/hyperlink" Target="https://www.fda.gov/drugs/novel-drug-approvals-fda/novel-drug-approvals-2025" TargetMode="External"/><Relationship Id="rId42" Type="http://schemas.openxmlformats.org/officeDocument/2006/relationships/hyperlink" Target="https://www.fda.gov/vaccines-blood-biologics/development-approval-process-cber/2025-biological-license-application-approvals" TargetMode="External"/><Relationship Id="rId43" Type="http://schemas.openxmlformats.org/officeDocument/2006/relationships/hyperlink" Target="https://www.fda.gov/vaccines-blood-biologics/development-approval-process-cber/2025-biological-license-application-approvals" TargetMode="External"/><Relationship Id="rId44" Type="http://schemas.openxmlformats.org/officeDocument/2006/relationships/hyperlink" Target="https://www.fda.gov/drugs/novel-drug-approvals-fda/novel-drug-approvals-2025" TargetMode="External"/><Relationship Id="rId45" Type="http://schemas.openxmlformats.org/officeDocument/2006/relationships/hyperlink" Target="https://www.fda.gov/vaccines-blood-biologics/development-approval-process-cber/2025-biological-license-application-approvals" TargetMode="External"/><Relationship Id="rId46" Type="http://schemas.openxmlformats.org/officeDocument/2006/relationships/hyperlink" Target="https://www.fda.gov/vaccines-blood-biologics/development-approval-process-cber/2025-biological-license-application-approvals" TargetMode="External"/><Relationship Id="rId47" Type="http://schemas.openxmlformats.org/officeDocument/2006/relationships/hyperlink" Target="https://www.fda.gov/drugs/novel-drug-approvals-fda/novel-drug-approvals-2025" TargetMode="External"/><Relationship Id="rId48" Type="http://schemas.openxmlformats.org/officeDocument/2006/relationships/hyperlink" Target="https://www.fda.gov/drugs/novel-drug-approvals-fda/novel-drug-approvals-2025" TargetMode="External"/><Relationship Id="rId49" Type="http://schemas.openxmlformats.org/officeDocument/2006/relationships/hyperlink" Target="https://www.fda.gov/drugs/novel-drug-approvals-fda/novel-drug-approvals-2025" TargetMode="External"/><Relationship Id="rId50" Type="http://schemas.openxmlformats.org/officeDocument/2006/relationships/hyperlink" Target="https://www.fda.gov/drugs/novel-drug-approvals-fda/novel-drug-approvals-2025" TargetMode="External"/><Relationship Id="rId51" Type="http://schemas.openxmlformats.org/officeDocument/2006/relationships/hyperlink" Target="https://www.fda.gov/drugs/novel-drug-approvals-fda/novel-drug-approvals-2025" TargetMode="External"/><Relationship Id="rId52" Type="http://schemas.openxmlformats.org/officeDocument/2006/relationships/hyperlink" Target="https://www.fda.gov/drugs/novel-drug-approvals-fda/novel-drug-approvals-2025" TargetMode="External"/><Relationship Id="rId53" Type="http://schemas.openxmlformats.org/officeDocument/2006/relationships/hyperlink" Target="https://www.fda.gov/drugs/novel-drug-approvals-fda/novel-drug-approvals-2025" TargetMode="External"/><Relationship Id="rId54" Type="http://schemas.openxmlformats.org/officeDocument/2006/relationships/hyperlink" Target="https://www.fda.gov/vaccines-blood-biologics/development-approval-process-cber/2025-biological-license-application-approvals" TargetMode="External"/><Relationship Id="rId55" Type="http://schemas.openxmlformats.org/officeDocument/2006/relationships/hyperlink" Target="https://www.fda.gov/drugs/novel-drug-approvals-fda/novel-drug-approvals-2025" TargetMode="External"/><Relationship Id="rId56" Type="http://schemas.openxmlformats.org/officeDocument/2006/relationships/hyperlink" Target="https://www.fda.gov/drugs/novel-drug-approvals-fda/novel-drug-approvals-2025" TargetMode="External"/><Relationship Id="rId57" Type="http://schemas.openxmlformats.org/officeDocument/2006/relationships/hyperlink" Target="https://www.fda.gov/drugs/novel-drug-approvals-fda/novel-drug-approvals-2025" TargetMode="External"/><Relationship Id="rId58" Type="http://schemas.openxmlformats.org/officeDocument/2006/relationships/hyperlink" Target="https://www.fda.gov/drugs/novel-drug-approvals-fda/novel-drug-approvals-2025" TargetMode="External"/><Relationship Id="rId59" Type="http://schemas.openxmlformats.org/officeDocument/2006/relationships/hyperlink" Target="https://www.fda.gov/drugs/novel-drug-approvals-fda/novel-drug-approvals-2025" TargetMode="External"/><Relationship Id="rId60" Type="http://schemas.openxmlformats.org/officeDocument/2006/relationships/hyperlink" Target="https://www.fda.gov/drugs/novel-drug-approvals-fda/novel-drug-approvals-2025" TargetMode="External"/><Relationship Id="rId61" Type="http://schemas.openxmlformats.org/officeDocument/2006/relationships/hyperlink" Target="https://www.fda.gov/vaccines-blood-biologics/development-approval-process-cber/2025-biological-license-application-approvals" TargetMode="External"/><Relationship Id="rId62" Type="http://schemas.openxmlformats.org/officeDocument/2006/relationships/hyperlink" Target="https://www.fda.gov/drugs/novel-drug-approvals-fda/novel-drug-approvals-2025" TargetMode="External"/><Relationship Id="rId63" Type="http://schemas.openxmlformats.org/officeDocument/2006/relationships/hyperlink" Target="https://www.fda.gov/drugs/novel-drug-approvals-fda/novel-drug-approvals-2025" TargetMode="External"/><Relationship Id="rId64" Type="http://schemas.openxmlformats.org/officeDocument/2006/relationships/hyperlink" Target="https://www.fda.gov/drugs/novel-drug-approvals-fda/novel-drug-approvals-2025" TargetMode="External"/><Relationship Id="rId65" Type="http://schemas.openxmlformats.org/officeDocument/2006/relationships/hyperlink" Target="https://www.fda.gov/drugs/novel-drug-approvals-fda/novel-drug-approvals-2025" TargetMode="External"/><Relationship Id="rId66" Type="http://schemas.openxmlformats.org/officeDocument/2006/relationships/hyperlink" Target="https://www.fda.gov/drugs/novel-drug-approvals-fda/novel-drug-approvals-2025" TargetMode="External"/><Relationship Id="rId67" Type="http://schemas.openxmlformats.org/officeDocument/2006/relationships/hyperlink" Target="https://www.fda.gov/drugs/novel-drug-approvals-fda/novel-drug-approvals-2025" TargetMode="External"/><Relationship Id="rId68" Type="http://schemas.openxmlformats.org/officeDocument/2006/relationships/hyperlink" Target="https://www.fda.gov/drugs/novel-drug-approvals-fda/novel-drug-approvals-2025" TargetMode="External"/><Relationship Id="rId69" Type="http://schemas.openxmlformats.org/officeDocument/2006/relationships/hyperlink" Target="https://www.fda.gov/drugs/novel-drug-approvals-fda/novel-drug-approvals-2025" TargetMode="External"/><Relationship Id="rId70" Type="http://schemas.openxmlformats.org/officeDocument/2006/relationships/hyperlink" Target="https://www.fda.gov/drugs/novel-drug-approvals-fda/novel-drug-approvals-2025" TargetMode="External"/><Relationship Id="rId71" Type="http://schemas.openxmlformats.org/officeDocument/2006/relationships/hyperlink" Target="https://www.fda.gov/drugs/novel-drug-approvals-fda/novel-drug-approvals-2025" TargetMode="External"/><Relationship Id="rId72" Type="http://schemas.openxmlformats.org/officeDocument/2006/relationships/hyperlink" Target="https://www.fda.gov/drugs/novel-drug-approvals-fda/novel-drug-approvals-2025" TargetMode="External"/><Relationship Id="rId73" Type="http://schemas.openxmlformats.org/officeDocument/2006/relationships/hyperlink" Target="https://www.fda.gov/drugs/novel-drug-approvals-fda/novel-drug-approvals-2025" TargetMode="External"/><Relationship Id="rId74" Type="http://schemas.openxmlformats.org/officeDocument/2006/relationships/hyperlink" Target="https://www.fda.gov/vaccines-blood-biologics/development-approval-process-cber/2025-biological-license-application-approvals" TargetMode="External"/><Relationship Id="rId75" Type="http://schemas.openxmlformats.org/officeDocument/2006/relationships/hyperlink" Target="https://www.fda.gov/drugs/novel-drug-approvals-fda/novel-drug-approvals-2025" TargetMode="External"/><Relationship Id="rId76" Type="http://schemas.openxmlformats.org/officeDocument/2006/relationships/hyperlink" Target="https://www.fda.gov/vaccines-blood-biologics/development-approval-process-cber/2025-biological-license-application-approvals" TargetMode="External"/><Relationship Id="rId77" Type="http://schemas.openxmlformats.org/officeDocument/2006/relationships/hyperlink" Target="https://www.fda.gov/drugs/novel-drug-approvals-fda/novel-drug-approvals-2025" TargetMode="External"/><Relationship Id="rId78" Type="http://schemas.openxmlformats.org/officeDocument/2006/relationships/hyperlink" Target="https://www.fda.gov/drugs/novel-drug-approvals-fda/novel-drug-approvals-2025" TargetMode="External"/><Relationship Id="rId79" Type="http://schemas.openxmlformats.org/officeDocument/2006/relationships/hyperlink" Target="https://www.fda.gov/drugs/novel-drug-approvals-fda/novel-drug-approvals-2025" TargetMode="External"/><Relationship Id="rId80" Type="http://schemas.openxmlformats.org/officeDocument/2006/relationships/hyperlink" Target="https://www.fda.gov/vaccines-blood-biologics/development-approval-process-cber/2025-biological-license-application-approvals" TargetMode="External"/><Relationship Id="rId81" Type="http://schemas.openxmlformats.org/officeDocument/2006/relationships/hyperlink" Target="https://www.fda.gov/drugs/novel-drug-approvals-fda/novel-drug-approvals-2025" TargetMode="External"/><Relationship Id="rId82" Type="http://schemas.openxmlformats.org/officeDocument/2006/relationships/hyperlink" Target="https://www.fda.gov/drugs/novel-drug-approvals-fda/novel-drug-approvals-2025" TargetMode="External"/><Relationship Id="rId83" Type="http://schemas.openxmlformats.org/officeDocument/2006/relationships/hyperlink" Target="https://www.fda.gov/drugs/novel-drug-approvals-fda/novel-drug-approvals-2025" TargetMode="External"/><Relationship Id="rId84" Type="http://schemas.openxmlformats.org/officeDocument/2006/relationships/hyperlink" Target="https://www.fda.gov/drugs/novel-drug-approvals-fda/novel-drug-approvals-2025" TargetMode="External"/><Relationship Id="rId85" Type="http://schemas.openxmlformats.org/officeDocument/2006/relationships/hyperlink" Target="https://www.fda.gov/vaccines-blood-biologics/development-approval-process-cber/2025-biological-license-application-approvals" TargetMode="External"/><Relationship Id="rId86" Type="http://schemas.openxmlformats.org/officeDocument/2006/relationships/hyperlink" Target="https://www.fda.gov/drugs/novel-drug-approvals-fda/novel-drug-approvals-2025" TargetMode="External"/><Relationship Id="rId87" Type="http://schemas.openxmlformats.org/officeDocument/2006/relationships/hyperlink" Target="https://www.fda.gov/vaccines-blood-biologics/development-approval-process-cber/2025-biological-license-application-approvals" TargetMode="External"/><Relationship Id="rId88" Type="http://schemas.openxmlformats.org/officeDocument/2006/relationships/hyperlink" Target="https://www.fda.gov/vaccines-blood-biologics/development-approval-process-cber/2025-biological-license-application-approvals" TargetMode="External"/><Relationship Id="rId89" Type="http://schemas.openxmlformats.org/officeDocument/2006/relationships/hyperlink" Target="https://www.fda.gov/drugs/novel-drug-approvals-fda/novel-drug-approvals-2025" TargetMode="External"/><Relationship Id="rId90" Type="http://schemas.openxmlformats.org/officeDocument/2006/relationships/hyperlink" Target="https://www.fda.gov/drugs/novel-drug-approvals-fda/novel-drug-approvals-2025" TargetMode="External"/><Relationship Id="rId91" Type="http://schemas.openxmlformats.org/officeDocument/2006/relationships/hyperlink" Target="https://www.fda.gov/drugs/novel-drug-approvals-fda/novel-drug-approvals-2025" TargetMode="External"/><Relationship Id="rId92" Type="http://schemas.openxmlformats.org/officeDocument/2006/relationships/hyperlink" Target="https://www.fda.gov/drugs/novel-drug-approvals-fda/novel-drug-approvals-2025" TargetMode="External"/><Relationship Id="rId93" Type="http://schemas.openxmlformats.org/officeDocument/2006/relationships/hyperlink" Target="https://www.fda.gov/vaccines-blood-biologics/development-approval-process-cber/2025-biological-license-application-approvals" TargetMode="External"/><Relationship Id="rId94" Type="http://schemas.openxmlformats.org/officeDocument/2006/relationships/hyperlink" Target="https://www.fda.gov/vaccines-blood-biologics/development-approval-process-cber/2024-biological-license-application-approvals" TargetMode="External"/><Relationship Id="rId95" Type="http://schemas.openxmlformats.org/officeDocument/2006/relationships/hyperlink" Target="https://www.fda.gov/vaccines-blood-biologics/development-approval-process-cber/2024-biological-license-application-approvals" TargetMode="External"/><Relationship Id="rId96" Type="http://schemas.openxmlformats.org/officeDocument/2006/relationships/hyperlink" Target="https://www.fda.gov/vaccines-blood-biologics/development-approval-process-cber/2024-biological-license-application-approvals" TargetMode="External"/><Relationship Id="rId97" Type="http://schemas.openxmlformats.org/officeDocument/2006/relationships/hyperlink" Target="https://www.fda.gov/vaccines-blood-biologics/development-approval-process-cber/2024-biological-license-application-approvals" TargetMode="External"/><Relationship Id="rId98" Type="http://schemas.openxmlformats.org/officeDocument/2006/relationships/hyperlink" Target="https://www.fda.gov/vaccines-blood-biologics/development-approval-process-cber/2024-biological-license-application-approvals" TargetMode="External"/><Relationship Id="rId99" Type="http://schemas.openxmlformats.org/officeDocument/2006/relationships/hyperlink" Target="https://www.fda.gov/vaccines-blood-biologics/development-approval-process-cber/2024-biological-license-application-approvals" TargetMode="External"/><Relationship Id="rId100" Type="http://schemas.openxmlformats.org/officeDocument/2006/relationships/hyperlink" Target="https://www.fda.gov/vaccines-blood-biologics/development-approval-process-cber/2024-biological-license-application-approvals" TargetMode="External"/><Relationship Id="rId101" Type="http://schemas.openxmlformats.org/officeDocument/2006/relationships/hyperlink" Target="https://www.fda.gov/vaccines-blood-biologics/development-approval-process-cber/2024-biological-license-application-approvals" TargetMode="External"/><Relationship Id="rId102" Type="http://schemas.openxmlformats.org/officeDocument/2006/relationships/hyperlink" Target="https://www.fda.gov/vaccines-blood-biologics/development-approval-process-cber/2024-biological-license-application-approvals" TargetMode="External"/><Relationship Id="rId103" Type="http://schemas.openxmlformats.org/officeDocument/2006/relationships/hyperlink" Target="https://www.fda.gov/vaccines-blood-biologics/development-approval-process-cber/2024-biological-license-application-approvals" TargetMode="External"/><Relationship Id="rId104" Type="http://schemas.openxmlformats.org/officeDocument/2006/relationships/hyperlink" Target="https://www.fda.gov/vaccines-blood-biologics/development-approval-process-cber/2024-biological-license-application-approvals" TargetMode="External"/><Relationship Id="rId105" Type="http://schemas.openxmlformats.org/officeDocument/2006/relationships/hyperlink" Target="https://www.fda.gov/vaccines-blood-biologics/development-approval-process-cber/2024-biological-license-application-approvals" TargetMode="External"/><Relationship Id="rId106" Type="http://schemas.openxmlformats.org/officeDocument/2006/relationships/hyperlink" Target="https://www.fda.gov/vaccines-blood-biologics/development-approval-process-cber/2024-biological-license-application-approvals" TargetMode="External"/><Relationship Id="rId107" Type="http://schemas.openxmlformats.org/officeDocument/2006/relationships/hyperlink" Target="https://www.fda.gov/vaccines-blood-biologics/development-approval-process-cber/2024-biological-license-application-approvals" TargetMode="External"/><Relationship Id="rId108" Type="http://schemas.openxmlformats.org/officeDocument/2006/relationships/hyperlink" Target="https://www.fda.gov/vaccines-blood-biologics/development-approval-process-cber/2024-biological-license-application-approvals" TargetMode="External"/><Relationship Id="rId109" Type="http://schemas.openxmlformats.org/officeDocument/2006/relationships/hyperlink" Target="https://www.fda.gov/vaccines-blood-biologics/development-approval-process-cber/2024-biological-license-application-approvals" TargetMode="External"/><Relationship Id="rId110" Type="http://schemas.openxmlformats.org/officeDocument/2006/relationships/hyperlink" Target="https://www.fda.gov/vaccines-blood-biologics/development-approval-process-cber/2024-biological-license-application-approvals" TargetMode="External"/><Relationship Id="rId111" Type="http://schemas.openxmlformats.org/officeDocument/2006/relationships/hyperlink" Target="https://www.fda.gov/vaccines-blood-biologics/development-approval-process-cber/2024-biological-license-application-approvals" TargetMode="External"/><Relationship Id="rId112" Type="http://schemas.openxmlformats.org/officeDocument/2006/relationships/hyperlink" Target="https://www.fda.gov/vaccines-blood-biologics/development-approval-process-cber/2023-biological-license-application-approvals" TargetMode="External"/><Relationship Id="rId113" Type="http://schemas.openxmlformats.org/officeDocument/2006/relationships/hyperlink" Target="https://www.fda.gov/vaccines-blood-biologics/development-approval-process-cber/2023-biological-license-application-approvals" TargetMode="External"/><Relationship Id="rId114" Type="http://schemas.openxmlformats.org/officeDocument/2006/relationships/hyperlink" Target="https://www.fda.gov/vaccines-blood-biologics/development-approval-process-cber/2023-biological-license-application-approvals" TargetMode="External"/><Relationship Id="rId115" Type="http://schemas.openxmlformats.org/officeDocument/2006/relationships/hyperlink" Target="https://www.fda.gov/vaccines-blood-biologics/development-approval-process-cber/2023-biological-license-application-approvals" TargetMode="External"/><Relationship Id="rId116" Type="http://schemas.openxmlformats.org/officeDocument/2006/relationships/hyperlink" Target="https://www.fda.gov/vaccines-blood-biologics/development-approval-process-cber/2023-biological-license-application-approvals" TargetMode="External"/><Relationship Id="rId117" Type="http://schemas.openxmlformats.org/officeDocument/2006/relationships/hyperlink" Target="https://www.fda.gov/vaccines-blood-biologics/development-approval-process-cber/2023-biological-license-application-approvals" TargetMode="External"/><Relationship Id="rId118" Type="http://schemas.openxmlformats.org/officeDocument/2006/relationships/hyperlink" Target="https://www.fda.gov/vaccines-blood-biologics/development-approval-process-cber/2023-biological-license-application-approvals" TargetMode="External"/><Relationship Id="rId119" Type="http://schemas.openxmlformats.org/officeDocument/2006/relationships/hyperlink" Target="https://www.fda.gov/vaccines-blood-biologics/development-approval-process-cber/2023-biological-license-application-approvals" TargetMode="External"/><Relationship Id="rId120" Type="http://schemas.openxmlformats.org/officeDocument/2006/relationships/hyperlink" Target="https://www.fda.gov/vaccines-blood-biologics/development-approval-process-cber/2023-biological-license-application-approvals" TargetMode="External"/><Relationship Id="rId121" Type="http://schemas.openxmlformats.org/officeDocument/2006/relationships/hyperlink" Target="https://www.fda.gov/vaccines-blood-biologics/development-approval-process-cber/2023-biological-license-application-approvals" TargetMode="External"/><Relationship Id="rId122" Type="http://schemas.openxmlformats.org/officeDocument/2006/relationships/hyperlink" Target="https://www.fda.gov/vaccines-blood-biologics/development-approval-process-cber/2023-biological-license-application-approvals" TargetMode="External"/><Relationship Id="rId123" Type="http://schemas.openxmlformats.org/officeDocument/2006/relationships/hyperlink" Target="https://www.fda.gov/vaccines-blood-biologics/development-approval-process-cber/2023-biological-license-application-approvals" TargetMode="External"/><Relationship Id="rId124" Type="http://schemas.openxmlformats.org/officeDocument/2006/relationships/hyperlink" Target="https://www.fda.gov/vaccines-blood-biologics/development-approval-process-cber/2023-biological-license-application-approvals" TargetMode="External"/><Relationship Id="rId125" Type="http://schemas.openxmlformats.org/officeDocument/2006/relationships/hyperlink" Target="https://www.fda.gov/vaccines-blood-biologics/development-approval-process-cber/2023-biological-license-application-approvals" TargetMode="External"/><Relationship Id="rId126" Type="http://schemas.openxmlformats.org/officeDocument/2006/relationships/hyperlink" Target="https://www.fda.gov/vaccines-blood-biologics/development-approval-process-cber/2023-biological-license-application-approvals" TargetMode="External"/><Relationship Id="rId127" Type="http://schemas.openxmlformats.org/officeDocument/2006/relationships/hyperlink" Target="https://www.fda.gov/vaccines-blood-biologics/development-approval-process-cber/2023-biological-license-application-approvals" TargetMode="External"/><Relationship Id="rId128" Type="http://schemas.openxmlformats.org/officeDocument/2006/relationships/hyperlink" Target="https://www.fda.gov/vaccines-blood-biologics/development-approval-process-cber/2023-biological-license-application-approvals" TargetMode="External"/><Relationship Id="rId129" Type="http://schemas.openxmlformats.org/officeDocument/2006/relationships/hyperlink" Target="https://www.fda.gov/vaccines-blood-biologics/development-approval-process-cber/2023-biological-license-application-approvals" TargetMode="External"/><Relationship Id="rId130" Type="http://schemas.openxmlformats.org/officeDocument/2006/relationships/hyperlink" Target="https://www.fda.gov/vaccines-blood-biologics/development-approval-process-cber/2023-biological-license-application-approvals" TargetMode="External"/><Relationship Id="rId131" Type="http://schemas.openxmlformats.org/officeDocument/2006/relationships/hyperlink" Target="https://www.fda.gov/vaccines-blood-biologics/development-approval-process-cber/2023-biological-license-application-approvals" TargetMode="External"/><Relationship Id="rId132" Type="http://schemas.openxmlformats.org/officeDocument/2006/relationships/hyperlink" Target="https://www.fda.gov/vaccines-blood-biologics/development-approval-process-cber/2023-biological-license-application-approvals" TargetMode="External"/><Relationship Id="rId133" Type="http://schemas.openxmlformats.org/officeDocument/2006/relationships/hyperlink" Target="https://www.fda.gov/vaccines-blood-biologics/development-approval-process-cber/2023-biological-license-application-approvals" TargetMode="External"/><Relationship Id="rId134" Type="http://schemas.openxmlformats.org/officeDocument/2006/relationships/hyperlink" Target="https://www.fda.gov/vaccines-blood-biologics/development-approval-process-cber/2023-biological-license-application-approvals" TargetMode="External"/><Relationship Id="rId135" Type="http://schemas.openxmlformats.org/officeDocument/2006/relationships/hyperlink" Target="https://www.fda.gov/vaccines-blood-biologics/development-approval-process-cber/2023-biological-license-application-approvals" TargetMode="External"/><Relationship Id="rId136" Type="http://schemas.openxmlformats.org/officeDocument/2006/relationships/hyperlink" Target="https://www.fda.gov/vaccines-blood-biologics/development-approval-process-cber/2023-biological-license-application-approvals" TargetMode="External"/><Relationship Id="rId137" Type="http://schemas.openxmlformats.org/officeDocument/2006/relationships/hyperlink" Target="https://web.archive.org/web/20230306142729/https://www.fda.gov/vaccines-blood-biologics/development-approval-process-cber/2022-biological-license-application-approvals" TargetMode="External"/><Relationship Id="rId138" Type="http://schemas.openxmlformats.org/officeDocument/2006/relationships/hyperlink" Target="https://web.archive.org/web/20230306142729/https://www.fda.gov/vaccines-blood-biologics/development-approval-process-cber/2022-biological-license-application-approvals" TargetMode="External"/><Relationship Id="rId139" Type="http://schemas.openxmlformats.org/officeDocument/2006/relationships/hyperlink" Target="https://web.archive.org/web/20230306142729/https://www.fda.gov/vaccines-blood-biologics/development-approval-process-cber/2022-biological-license-application-approvals" TargetMode="External"/><Relationship Id="rId140" Type="http://schemas.openxmlformats.org/officeDocument/2006/relationships/hyperlink" Target="https://web.archive.org/web/20230306142729/https://www.fda.gov/vaccines-blood-biologics/development-approval-process-cber/2022-biological-license-application-approvals" TargetMode="External"/><Relationship Id="rId141" Type="http://schemas.openxmlformats.org/officeDocument/2006/relationships/hyperlink" Target="https://web.archive.org/web/20230306142729/https://www.fda.gov/vaccines-blood-biologics/development-approval-process-cber/2022-biological-license-application-approvals" TargetMode="External"/><Relationship Id="rId142" Type="http://schemas.openxmlformats.org/officeDocument/2006/relationships/hyperlink" Target="https://web.archive.org/web/20230306142729/https://www.fda.gov/vaccines-blood-biologics/development-approval-process-cber/2022-biological-license-application-approvals" TargetMode="External"/><Relationship Id="rId143" Type="http://schemas.openxmlformats.org/officeDocument/2006/relationships/hyperlink" Target="https://web.archive.org/web/20230306142729/https://www.fda.gov/vaccines-blood-biologics/development-approval-process-cber/2022-biological-license-application-approvals" TargetMode="External"/><Relationship Id="rId144" Type="http://schemas.openxmlformats.org/officeDocument/2006/relationships/hyperlink" Target="https://web.archive.org/web/20230306142729/https://www.fda.gov/vaccines-blood-biologics/development-approval-process-cber/2022-biological-license-application-approvals" TargetMode="External"/><Relationship Id="rId145" Type="http://schemas.openxmlformats.org/officeDocument/2006/relationships/hyperlink" Target="https://web.archive.org/web/20230306142729/https://www.fda.gov/vaccines-blood-biologics/development-approval-process-cber/2022-biological-license-application-approvals" TargetMode="External"/><Relationship Id="rId146" Type="http://schemas.openxmlformats.org/officeDocument/2006/relationships/hyperlink" Target="https://web.archive.org/web/20230306142729/https://www.fda.gov/vaccines-blood-biologics/development-approval-process-cber/2022-biological-license-application-approvals" TargetMode="External"/><Relationship Id="rId147" Type="http://schemas.openxmlformats.org/officeDocument/2006/relationships/hyperlink" Target="https://web.archive.org/web/20230306142729/https://www.fda.gov/vaccines-blood-biologics/development-approval-process-cber/2022-biological-license-application-approvals" TargetMode="External"/><Relationship Id="rId148" Type="http://schemas.openxmlformats.org/officeDocument/2006/relationships/hyperlink" Target="https://web.archive.org/web/20230306142729/https://www.fda.gov/vaccines-blood-biologics/development-approval-process-cber/2022-biological-license-application-approvals" TargetMode="External"/><Relationship Id="rId149" Type="http://schemas.openxmlformats.org/officeDocument/2006/relationships/hyperlink" Target="https://web.archive.org/web/20230306142729/https://www.fda.gov/vaccines-blood-biologics/development-approval-process-cber/2022-biological-license-application-approvals" TargetMode="External"/><Relationship Id="rId150" Type="http://schemas.openxmlformats.org/officeDocument/2006/relationships/hyperlink" Target="https://web.archive.org/web/20220401053830/https://www.fda.gov/vaccines-blood-biologics/development-approval-process-cber/2021-biological-license-application-approvals" TargetMode="External"/><Relationship Id="rId151" Type="http://schemas.openxmlformats.org/officeDocument/2006/relationships/hyperlink" Target="https://web.archive.org/web/20220401053830/https://www.fda.gov/vaccines-blood-biologics/development-approval-process-cber/2021-biological-license-application-approvals" TargetMode="External"/><Relationship Id="rId152" Type="http://schemas.openxmlformats.org/officeDocument/2006/relationships/hyperlink" Target="https://web.archive.org/web/20220401053830/https://www.fda.gov/vaccines-blood-biologics/development-approval-process-cber/2021-biological-license-application-approvals" TargetMode="External"/><Relationship Id="rId153" Type="http://schemas.openxmlformats.org/officeDocument/2006/relationships/hyperlink" Target="https://web.archive.org/web/20220401053830/https://www.fda.gov/vaccines-blood-biologics/development-approval-process-cber/2021-biological-license-application-approvals" TargetMode="External"/><Relationship Id="rId154" Type="http://schemas.openxmlformats.org/officeDocument/2006/relationships/hyperlink" Target="https://web.archive.org/web/20220401053830/https://www.fda.gov/vaccines-blood-biologics/development-approval-process-cber/2021-biological-license-application-approvals" TargetMode="External"/><Relationship Id="rId155" Type="http://schemas.openxmlformats.org/officeDocument/2006/relationships/hyperlink" Target="https://web.archive.org/web/20220401053830/https://www.fda.gov/vaccines-blood-biologics/development-approval-process-cber/2021-biological-license-application-approvals" TargetMode="External"/><Relationship Id="rId156" Type="http://schemas.openxmlformats.org/officeDocument/2006/relationships/hyperlink" Target="https://web.archive.org/web/20220401053830/https://www.fda.gov/vaccines-blood-biologics/development-approval-process-cber/2021-biological-license-application-approvals" TargetMode="External"/><Relationship Id="rId157" Type="http://schemas.openxmlformats.org/officeDocument/2006/relationships/hyperlink" Target="https://web.archive.org/web/20220401053830/https://www.fda.gov/vaccines-blood-biologics/development-approval-process-cber/2021-biological-license-application-approvals" TargetMode="External"/><Relationship Id="rId158" Type="http://schemas.openxmlformats.org/officeDocument/2006/relationships/hyperlink" Target="https://web.archive.org/web/20220401053830/https://www.fda.gov/vaccines-blood-biologics/development-approval-process-cber/2021-biological-license-application-approvals" TargetMode="External"/><Relationship Id="rId159" Type="http://schemas.openxmlformats.org/officeDocument/2006/relationships/hyperlink" Target="https://web.archive.org/web/20220401053830/https://www.fda.gov/vaccines-blood-biologics/development-approval-process-cber/2021-biological-license-application-approvals" TargetMode="External"/><Relationship Id="rId160" Type="http://schemas.openxmlformats.org/officeDocument/2006/relationships/hyperlink" Target="https://web.archive.org/web/20220401053830/https://www.fda.gov/vaccines-blood-biologics/development-approval-process-cber/2021-biological-license-application-approvals" TargetMode="External"/><Relationship Id="rId161" Type="http://schemas.openxmlformats.org/officeDocument/2006/relationships/hyperlink" Target="https://web.archive.org/web/20220401053830/https://www.fda.gov/vaccines-blood-biologics/development-approval-process-cber/2021-biological-license-application-approvals" TargetMode="External"/><Relationship Id="rId162" Type="http://schemas.openxmlformats.org/officeDocument/2006/relationships/hyperlink" Target="https://web.archive.org/web/20220401053830/https://www.fda.gov/vaccines-blood-biologics/development-approval-process-cber/2021-biological-license-application-approvals" TargetMode="External"/><Relationship Id="rId163" Type="http://schemas.openxmlformats.org/officeDocument/2006/relationships/hyperlink" Target="https://web.archive.org/web/20210412225647/https://www.fda.gov/vaccines-blood-biologics/development-approval-process-cber/2020-biological-license-application-approvals" TargetMode="External"/><Relationship Id="rId164" Type="http://schemas.openxmlformats.org/officeDocument/2006/relationships/hyperlink" Target="https://web.archive.org/web/20210412225647/https://www.fda.gov/vaccines-blood-biologics/development-approval-process-cber/2020-biological-license-application-approvals" TargetMode="External"/><Relationship Id="rId165" Type="http://schemas.openxmlformats.org/officeDocument/2006/relationships/hyperlink" Target="https://web.archive.org/web/20210412225647/https://www.fda.gov/vaccines-blood-biologics/development-approval-process-cber/2020-biological-license-application-approvals" TargetMode="External"/><Relationship Id="rId166" Type="http://schemas.openxmlformats.org/officeDocument/2006/relationships/hyperlink" Target="https://web.archive.org/web/20210412225647/https://www.fda.gov/vaccines-blood-biologics/development-approval-process-cber/2020-biological-license-application-approvals" TargetMode="External"/><Relationship Id="rId167" Type="http://schemas.openxmlformats.org/officeDocument/2006/relationships/hyperlink" Target="https://web.archive.org/web/20210412225647/https://www.fda.gov/vaccines-blood-biologics/development-approval-process-cber/2020-biological-license-application-approvals" TargetMode="External"/><Relationship Id="rId168" Type="http://schemas.openxmlformats.org/officeDocument/2006/relationships/hyperlink" Target="https://web.archive.org/web/20210412225647/https://www.fda.gov/vaccines-blood-biologics/development-approval-process-cber/2020-biological-license-application-approvals" TargetMode="External"/><Relationship Id="rId169" Type="http://schemas.openxmlformats.org/officeDocument/2006/relationships/hyperlink" Target="https://web.archive.org/web/20210412225647/https://www.fda.gov/vaccines-blood-biologics/development-approval-process-cber/2020-biological-license-application-approvals" TargetMode="External"/><Relationship Id="rId170" Type="http://schemas.openxmlformats.org/officeDocument/2006/relationships/hyperlink" Target="https://web.archive.org/web/20210412225647/https://www.fda.gov/vaccines-blood-biologics/development-approval-process-cber/2020-biological-license-application-approval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fda.gov/drugs/biosimilars/biosimilar-product-information" TargetMode="External"/><Relationship Id="rId2" Type="http://schemas.openxmlformats.org/officeDocument/2006/relationships/hyperlink" Target="https://www.fda.gov/drugs/biosimilars/biosimilar-product-information" TargetMode="External"/><Relationship Id="rId3" Type="http://schemas.openxmlformats.org/officeDocument/2006/relationships/hyperlink" Target="https://www.fda.gov/drugs/biosimilars/biosimilar-product-information" TargetMode="External"/><Relationship Id="rId4" Type="http://schemas.openxmlformats.org/officeDocument/2006/relationships/hyperlink" Target="https://www.fda.gov/drugs/biosimilars/biosimilar-product-information" TargetMode="External"/><Relationship Id="rId5" Type="http://schemas.openxmlformats.org/officeDocument/2006/relationships/hyperlink" Target="https://www.fda.gov/drugs/biosimilars/biosimilar-product-information" TargetMode="External"/><Relationship Id="rId6" Type="http://schemas.openxmlformats.org/officeDocument/2006/relationships/hyperlink" Target="https://www.fda.gov/drugs/biosimilars/biosimilar-product-information" TargetMode="External"/><Relationship Id="rId7" Type="http://schemas.openxmlformats.org/officeDocument/2006/relationships/hyperlink" Target="https://www.fda.gov/drugs/biosimilars/biosimilar-product-information" TargetMode="External"/><Relationship Id="rId8" Type="http://schemas.openxmlformats.org/officeDocument/2006/relationships/hyperlink" Target="https://www.fda.gov/drugs/biosimilars/biosimilar-product-information" TargetMode="External"/><Relationship Id="rId9" Type="http://schemas.openxmlformats.org/officeDocument/2006/relationships/hyperlink" Target="https://www.fda.gov/drugs/biosimilars/biosimilar-product-information" TargetMode="External"/><Relationship Id="rId10" Type="http://schemas.openxmlformats.org/officeDocument/2006/relationships/hyperlink" Target="https://www.fda.gov/drugs/biosimilars/biosimilar-product-information" TargetMode="External"/><Relationship Id="rId11" Type="http://schemas.openxmlformats.org/officeDocument/2006/relationships/hyperlink" Target="https://www.fda.gov/drugs/biosimilars/biosimilar-product-information" TargetMode="External"/><Relationship Id="rId12" Type="http://schemas.openxmlformats.org/officeDocument/2006/relationships/hyperlink" Target="https://www.fda.gov/drugs/biosimilars/biosimilar-product-information" TargetMode="External"/><Relationship Id="rId13" Type="http://schemas.openxmlformats.org/officeDocument/2006/relationships/hyperlink" Target="https://www.fda.gov/drugs/biosimilars/biosimilar-product-information" TargetMode="External"/><Relationship Id="rId14" Type="http://schemas.openxmlformats.org/officeDocument/2006/relationships/hyperlink" Target="https://www.fda.gov/drugs/biosimilars/biosimilar-product-information" TargetMode="External"/><Relationship Id="rId15" Type="http://schemas.openxmlformats.org/officeDocument/2006/relationships/hyperlink" Target="https://www.fda.gov/drugs/biosimilars/biosimilar-product-information" TargetMode="External"/><Relationship Id="rId16" Type="http://schemas.openxmlformats.org/officeDocument/2006/relationships/hyperlink" Target="https://www.fda.gov/drugs/biosimilars/biosimilar-product-information" TargetMode="External"/><Relationship Id="rId17" Type="http://schemas.openxmlformats.org/officeDocument/2006/relationships/hyperlink" Target="https://www.fda.gov/drugs/biosimilars/biosimilar-product-information" TargetMode="External"/><Relationship Id="rId18" Type="http://schemas.openxmlformats.org/officeDocument/2006/relationships/hyperlink" Target="https://www.fda.gov/drugs/biosimilars/biosimilar-product-information" TargetMode="External"/><Relationship Id="rId19" Type="http://schemas.openxmlformats.org/officeDocument/2006/relationships/hyperlink" Target="https://www.fda.gov/drugs/biosimilars/biosimilar-product-information" TargetMode="External"/><Relationship Id="rId20" Type="http://schemas.openxmlformats.org/officeDocument/2006/relationships/hyperlink" Target="https://www.fda.gov/drugs/biosimilars/biosimilar-product-information" TargetMode="External"/><Relationship Id="rId21" Type="http://schemas.openxmlformats.org/officeDocument/2006/relationships/hyperlink" Target="https://www.fda.gov/drugs/biosimilars/biosimilar-product-information" TargetMode="External"/><Relationship Id="rId22" Type="http://schemas.openxmlformats.org/officeDocument/2006/relationships/hyperlink" Target="https://www.fda.gov/drugs/biosimilars/biosimilar-product-information" TargetMode="External"/><Relationship Id="rId23" Type="http://schemas.openxmlformats.org/officeDocument/2006/relationships/hyperlink" Target="https://www.fda.gov/drugs/biosimilars/biosimilar-product-information" TargetMode="External"/><Relationship Id="rId24" Type="http://schemas.openxmlformats.org/officeDocument/2006/relationships/hyperlink" Target="https://www.fda.gov/drugs/biosimilars/biosimilar-product-information" TargetMode="External"/><Relationship Id="rId25" Type="http://schemas.openxmlformats.org/officeDocument/2006/relationships/hyperlink" Target="https://www.fda.gov/drugs/biosimilars/biosimilar-product-information" TargetMode="External"/><Relationship Id="rId26" Type="http://schemas.openxmlformats.org/officeDocument/2006/relationships/hyperlink" Target="https://www.fda.gov/drugs/biosimilars/biosimilar-product-information" TargetMode="External"/><Relationship Id="rId27" Type="http://schemas.openxmlformats.org/officeDocument/2006/relationships/hyperlink" Target="https://www.fda.gov/drugs/biosimilars/biosimilar-product-information" TargetMode="External"/><Relationship Id="rId28" Type="http://schemas.openxmlformats.org/officeDocument/2006/relationships/hyperlink" Target="https://www.fda.gov/drugs/biosimilars/biosimilar-product-information" TargetMode="External"/><Relationship Id="rId29" Type="http://schemas.openxmlformats.org/officeDocument/2006/relationships/hyperlink" Target="https://www.fda.gov/drugs/biosimilars/biosimilar-product-information" TargetMode="External"/><Relationship Id="rId30" Type="http://schemas.openxmlformats.org/officeDocument/2006/relationships/hyperlink" Target="https://www.fda.gov/drugs/biosimilars/biosimilar-product-information" TargetMode="External"/><Relationship Id="rId31" Type="http://schemas.openxmlformats.org/officeDocument/2006/relationships/hyperlink" Target="https://www.fda.gov/drugs/biosimilars/biosimilar-product-information" TargetMode="External"/><Relationship Id="rId32" Type="http://schemas.openxmlformats.org/officeDocument/2006/relationships/hyperlink" Target="https://www.fda.gov/drugs/biosimilars/biosimilar-product-information" TargetMode="External"/><Relationship Id="rId33" Type="http://schemas.openxmlformats.org/officeDocument/2006/relationships/hyperlink" Target="https://www.fda.gov/drugs/biosimilars/biosimilar-product-information" TargetMode="External"/><Relationship Id="rId34" Type="http://schemas.openxmlformats.org/officeDocument/2006/relationships/hyperlink" Target="https://www.fda.gov/drugs/biosimilars/biosimilar-product-information" TargetMode="External"/><Relationship Id="rId35" Type="http://schemas.openxmlformats.org/officeDocument/2006/relationships/hyperlink" Target="https://www.fda.gov/drugs/biosimilars/biosimilar-product-information" TargetMode="External"/><Relationship Id="rId36" Type="http://schemas.openxmlformats.org/officeDocument/2006/relationships/hyperlink" Target="https://www.fda.gov/drugs/biosimilars/biosimilar-product-information" TargetMode="External"/><Relationship Id="rId37" Type="http://schemas.openxmlformats.org/officeDocument/2006/relationships/hyperlink" Target="https://www.fda.gov/drugs/biosimilars/biosimilar-product-information" TargetMode="External"/><Relationship Id="rId38" Type="http://schemas.openxmlformats.org/officeDocument/2006/relationships/hyperlink" Target="https://www.fda.gov/drugs/biosimilars/biosimilar-product-information" TargetMode="External"/><Relationship Id="rId39" Type="http://schemas.openxmlformats.org/officeDocument/2006/relationships/hyperlink" Target="https://www.fda.gov/drugs/biosimilars/biosimilar-product-information" TargetMode="External"/><Relationship Id="rId40" Type="http://schemas.openxmlformats.org/officeDocument/2006/relationships/hyperlink" Target="https://www.fda.gov/drugs/biosimilars/biosimilar-product-information" TargetMode="External"/><Relationship Id="rId41" Type="http://schemas.openxmlformats.org/officeDocument/2006/relationships/hyperlink" Target="https://www.fda.gov/drugs/biosimilars/biosimilar-product-information" TargetMode="External"/><Relationship Id="rId42" Type="http://schemas.openxmlformats.org/officeDocument/2006/relationships/hyperlink" Target="https://www.fda.gov/drugs/biosimilars/biosimilar-product-information" TargetMode="External"/><Relationship Id="rId43" Type="http://schemas.openxmlformats.org/officeDocument/2006/relationships/hyperlink" Target="https://www.fda.gov/drugs/biosimilars/biosimilar-product-information" TargetMode="External"/><Relationship Id="rId44" Type="http://schemas.openxmlformats.org/officeDocument/2006/relationships/hyperlink" Target="https://www.fda.gov/drugs/biosimilars/biosimilar-product-information" TargetMode="External"/><Relationship Id="rId45" Type="http://schemas.openxmlformats.org/officeDocument/2006/relationships/hyperlink" Target="https://www.fda.gov/drugs/biosimilars/biosimilar-product-information" TargetMode="External"/><Relationship Id="rId46" Type="http://schemas.openxmlformats.org/officeDocument/2006/relationships/hyperlink" Target="https://www.fda.gov/drugs/biosimilars/biosimilar-product-information" TargetMode="External"/><Relationship Id="rId47" Type="http://schemas.openxmlformats.org/officeDocument/2006/relationships/hyperlink" Target="https://www.fda.gov/drugs/biosimilars/biosimilar-product-information" TargetMode="External"/><Relationship Id="rId48" Type="http://schemas.openxmlformats.org/officeDocument/2006/relationships/hyperlink" Target="https://www.fda.gov/drugs/biosimilars/biosimilar-product-information" TargetMode="External"/><Relationship Id="rId49" Type="http://schemas.openxmlformats.org/officeDocument/2006/relationships/hyperlink" Target="https://www.fda.gov/drugs/biosimilars/biosimilar-product-information" TargetMode="External"/><Relationship Id="rId50" Type="http://schemas.openxmlformats.org/officeDocument/2006/relationships/hyperlink" Target="https://www.fda.gov/drugs/biosimilars/biosimilar-product-information" TargetMode="External"/><Relationship Id="rId51" Type="http://schemas.openxmlformats.org/officeDocument/2006/relationships/hyperlink" Target="https://www.fda.gov/drugs/biosimilars/biosimilar-product-information" TargetMode="External"/><Relationship Id="rId52" Type="http://schemas.openxmlformats.org/officeDocument/2006/relationships/hyperlink" Target="https://www.fda.gov/drugs/biosimilars/biosimilar-product-information" TargetMode="External"/><Relationship Id="rId53" Type="http://schemas.openxmlformats.org/officeDocument/2006/relationships/hyperlink" Target="https://www.fda.gov/drugs/biosimilars/biosimilar-product-information" TargetMode="External"/><Relationship Id="rId54" Type="http://schemas.openxmlformats.org/officeDocument/2006/relationships/hyperlink" Target="https://www.fda.gov/drugs/biosimilars/biosimilar-product-information" TargetMode="External"/><Relationship Id="rId55" Type="http://schemas.openxmlformats.org/officeDocument/2006/relationships/hyperlink" Target="https://www.fda.gov/drugs/biosimilars/biosimilar-product-information" TargetMode="External"/><Relationship Id="rId56" Type="http://schemas.openxmlformats.org/officeDocument/2006/relationships/hyperlink" Target="https://www.fda.gov/drugs/biosimilars/biosimilar-product-information" TargetMode="External"/><Relationship Id="rId57" Type="http://schemas.openxmlformats.org/officeDocument/2006/relationships/hyperlink" Target="https://www.fda.gov/drugs/biosimilars/biosimilar-product-information" TargetMode="External"/><Relationship Id="rId58" Type="http://schemas.openxmlformats.org/officeDocument/2006/relationships/hyperlink" Target="https://www.fda.gov/drugs/biosimilars/biosimilar-product-information" TargetMode="External"/><Relationship Id="rId59" Type="http://schemas.openxmlformats.org/officeDocument/2006/relationships/hyperlink" Target="https://www.fda.gov/drugs/biosimilars/biosimilar-product-information" TargetMode="External"/><Relationship Id="rId60" Type="http://schemas.openxmlformats.org/officeDocument/2006/relationships/hyperlink" Target="https://www.fda.gov/drugs/biosimilars/biosimilar-product-information" TargetMode="External"/><Relationship Id="rId61" Type="http://schemas.openxmlformats.org/officeDocument/2006/relationships/hyperlink" Target="https://www.fda.gov/drugs/biosimilars/biosimilar-product-information" TargetMode="External"/><Relationship Id="rId62" Type="http://schemas.openxmlformats.org/officeDocument/2006/relationships/hyperlink" Target="https://www.fda.gov/drugs/biosimilars/biosimilar-product-information" TargetMode="External"/><Relationship Id="rId63" Type="http://schemas.openxmlformats.org/officeDocument/2006/relationships/hyperlink" Target="https://www.fda.gov/drugs/biosimilars/biosimilar-product-information" TargetMode="External"/></Relationships>
</file>

<file path=xl/worksheets/sheet1.xml><?xml version="1.0" encoding="utf-8"?>
<worksheet xmlns="http://schemas.openxmlformats.org/spreadsheetml/2006/main" xmlns:r="http://schemas.openxmlformats.org/officeDocument/2006/relationships">
  <sheetPr>
    <tabColor rgb="FF1F3864"/>
  </sheetPr>
  <dimension ref="A1:D29"/>
  <sheetViews>
    <sheetView showGridLines="0" tabSelected="1" workbookViewId="0"/>
  </sheetViews>
  <sheetFormatPr defaultRowHeight="15"/>
  <cols>
    <col min="1" max="1" width="5.7109375" customWidth="1"/>
    <col min="2" max="2" width="35.7109375" customWidth="1"/>
    <col min="3" max="3" width="55.7109375" customWidth="1"/>
    <col min="4" max="4" width="25.7109375" customWidth="1"/>
  </cols>
  <sheetData>
    <row r="1" spans="1:4">
      <c r="A1" s="1" t="s">
        <v>64243</v>
      </c>
      <c r="B1" s="1"/>
      <c r="C1" s="1"/>
      <c r="D1" s="1"/>
    </row>
    <row r="2" spans="1:4">
      <c r="A2" s="1"/>
      <c r="B2" s="1"/>
      <c r="C2" s="1"/>
      <c r="D2" s="1"/>
    </row>
    <row r="3" spans="1:4">
      <c r="A3" s="1"/>
      <c r="B3" s="1"/>
      <c r="C3" s="1"/>
      <c r="D3" s="1"/>
    </row>
    <row r="4" spans="1:4">
      <c r="A4" s="2" t="s">
        <v>64244</v>
      </c>
      <c r="B4" s="2"/>
      <c r="C4" s="2"/>
      <c r="D4" s="2"/>
    </row>
    <row r="5" spans="1:4">
      <c r="A5" s="3"/>
      <c r="B5" s="3"/>
      <c r="C5" s="3"/>
      <c r="D5" s="3"/>
    </row>
    <row r="7" spans="1:4">
      <c r="B7" s="4" t="s">
        <v>64245</v>
      </c>
      <c r="C7" s="4"/>
      <c r="D7" s="4"/>
    </row>
    <row r="8" spans="1:4">
      <c r="B8" s="5" t="s">
        <v>64246</v>
      </c>
      <c r="C8" s="5" t="s">
        <v>64247</v>
      </c>
      <c r="D8" s="5" t="s">
        <v>9</v>
      </c>
    </row>
    <row r="9" spans="1:4">
      <c r="B9" s="6" t="s">
        <v>64248</v>
      </c>
      <c r="C9" s="6" t="s">
        <v>64249</v>
      </c>
      <c r="D9" s="7" t="s">
        <v>64250</v>
      </c>
    </row>
    <row r="10" spans="1:4">
      <c r="B10" s="6" t="s">
        <v>64251</v>
      </c>
      <c r="C10" s="6" t="s">
        <v>64252</v>
      </c>
      <c r="D10" s="7" t="s">
        <v>64250</v>
      </c>
    </row>
    <row r="11" spans="1:4">
      <c r="B11" s="6" t="s">
        <v>64253</v>
      </c>
      <c r="C11" s="6" t="s">
        <v>64254</v>
      </c>
      <c r="D11" s="7" t="s">
        <v>64250</v>
      </c>
    </row>
    <row r="12" spans="1:4">
      <c r="B12" s="6" t="s">
        <v>64255</v>
      </c>
      <c r="C12" s="6" t="s">
        <v>64256</v>
      </c>
      <c r="D12" s="7" t="s">
        <v>64250</v>
      </c>
    </row>
    <row r="15" spans="1:4">
      <c r="B15" s="4" t="s">
        <v>64257</v>
      </c>
      <c r="C15" s="4"/>
      <c r="D15" s="4"/>
    </row>
    <row r="16" spans="1:4">
      <c r="B16" s="8" t="s">
        <v>0</v>
      </c>
    </row>
    <row r="17" spans="2:3">
      <c r="C17" s="9" t="s">
        <v>64258</v>
      </c>
    </row>
    <row r="18" spans="2:3">
      <c r="C18" s="9" t="s">
        <v>64259</v>
      </c>
    </row>
    <row r="19" spans="2:3">
      <c r="C19" s="9" t="s">
        <v>64260</v>
      </c>
    </row>
    <row r="20" spans="2:3">
      <c r="B20" s="8" t="s">
        <v>1</v>
      </c>
    </row>
    <row r="21" spans="2:3">
      <c r="C21" s="9" t="s">
        <v>64261</v>
      </c>
    </row>
    <row r="22" spans="2:3">
      <c r="C22" s="9" t="s">
        <v>64262</v>
      </c>
    </row>
    <row r="23" spans="2:3">
      <c r="C23" s="9" t="s">
        <v>64263</v>
      </c>
    </row>
    <row r="24" spans="2:3">
      <c r="C24" s="9" t="s">
        <v>64264</v>
      </c>
    </row>
    <row r="25" spans="2:3">
      <c r="B25" s="8" t="s">
        <v>2</v>
      </c>
    </row>
    <row r="26" spans="2:3">
      <c r="C26" s="9" t="s">
        <v>64265</v>
      </c>
    </row>
    <row r="27" spans="2:3">
      <c r="C27" s="9" t="s">
        <v>64266</v>
      </c>
    </row>
    <row r="28" spans="2:3">
      <c r="C28" s="9" t="s">
        <v>64267</v>
      </c>
    </row>
    <row r="29" spans="2:3">
      <c r="C29" s="9" t="s">
        <v>64268</v>
      </c>
    </row>
  </sheetData>
  <mergeCells count="5">
    <mergeCell ref="A1:D3"/>
    <mergeCell ref="A4:D4"/>
    <mergeCell ref="A5:D5"/>
    <mergeCell ref="B7:D7"/>
    <mergeCell ref="B15:D15"/>
  </mergeCells>
  <hyperlinks>
    <hyperlink ref="C17" location="'CT Charts'!A1" display="CT Charts"/>
    <hyperlink ref="C18" location="'FDA Charts'!A1" display="FDA Charts"/>
    <hyperlink ref="C19" location="'MTS Charts'!A1" display="MTS Charts"/>
    <hyperlink ref="C21" location="'Summary Statistics'!A1" display="Summary Statistics"/>
    <hyperlink ref="C22" location="'Summary Statistics - Enrollment'!A1" display="Summary Statistics - Enrollment"/>
    <hyperlink ref="C23" location="'FDA Approval Summary'!A1" display="FDA Approval Summary"/>
    <hyperlink ref="C24" location="'MTS Summary Statistics'!A1" display="MTS Summary Statistics"/>
    <hyperlink ref="C26" location="'Trial Database'!A1" display="Trial Database"/>
    <hyperlink ref="C27" location="'Novel Approval Database'!A1" display="Novel Approval Database"/>
    <hyperlink ref="C28" location="'Biosimilar Approval Database'!A1" display="Biosimilar Approval Database"/>
    <hyperlink ref="C29" location="'MTS Database'!A1" display="MTS Database"/>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F3864"/>
  </sheetPr>
  <dimension ref="A1:E3"/>
  <sheetViews>
    <sheetView showGridLines="0" workbookViewId="0"/>
  </sheetViews>
  <sheetFormatPr defaultRowHeight="15"/>
  <cols>
    <col min="1" max="5" width="20.7109375" customWidth="1"/>
  </cols>
  <sheetData>
    <row r="1" spans="1:5">
      <c r="A1" s="10" t="s">
        <v>0</v>
      </c>
      <c r="B1" s="10"/>
      <c r="C1" s="10"/>
      <c r="D1" s="10"/>
      <c r="E1" s="10"/>
    </row>
    <row r="2" spans="1:5">
      <c r="A2" s="10"/>
      <c r="B2" s="10"/>
      <c r="C2" s="10"/>
      <c r="D2" s="10"/>
      <c r="E2" s="10"/>
    </row>
    <row r="3" spans="1:5">
      <c r="A3" s="10"/>
      <c r="B3" s="10"/>
      <c r="C3" s="10"/>
      <c r="D3" s="10"/>
      <c r="E3" s="10"/>
    </row>
  </sheetData>
  <mergeCells count="1">
    <mergeCell ref="A1:E3"/>
  </mergeCell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BDD7EE"/>
  </sheetPr>
  <dimension ref="A1"/>
  <sheetViews>
    <sheetView workbookViewId="0"/>
  </sheetViews>
  <sheetFormatPr defaultRowHeight="1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sheetPr>
    <tabColor rgb="FFBDD7EE"/>
  </sheetPr>
  <dimension ref="A1"/>
  <sheetViews>
    <sheetView workbookViewId="0"/>
  </sheetViews>
  <sheetFormatPr defaultRowHeight="1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24"/>
  <sheetViews>
    <sheetView workbookViewId="0"/>
  </sheetViews>
  <sheetFormatPr defaultRowHeight="15"/>
  <sheetData>
    <row r="1" spans="1:5">
      <c r="A1" t="s">
        <v>64206</v>
      </c>
      <c r="B1">
        <v>35.88210293823001</v>
      </c>
      <c r="D1" t="s">
        <v>64219</v>
      </c>
      <c r="E1">
        <v>4.52371467728</v>
      </c>
    </row>
    <row r="2" spans="1:5">
      <c r="A2" t="s">
        <v>62959</v>
      </c>
      <c r="B2">
        <v>36.69282807797</v>
      </c>
      <c r="D2" t="s">
        <v>64220</v>
      </c>
      <c r="E2">
        <v>4.257770542659999</v>
      </c>
    </row>
    <row r="3" spans="1:5">
      <c r="A3" t="s">
        <v>62960</v>
      </c>
      <c r="B3">
        <v>39.35021462208</v>
      </c>
      <c r="D3" t="s">
        <v>64221</v>
      </c>
      <c r="E3">
        <v>4.28270961963</v>
      </c>
    </row>
    <row r="4" spans="1:5">
      <c r="A4" t="s">
        <v>62961</v>
      </c>
      <c r="B4">
        <v>41.94218192016</v>
      </c>
      <c r="D4" t="s">
        <v>64222</v>
      </c>
      <c r="E4">
        <v>3.90626127227</v>
      </c>
    </row>
    <row r="5" spans="1:5">
      <c r="A5" t="s">
        <v>62962</v>
      </c>
      <c r="B5">
        <v>46.47934122246</v>
      </c>
      <c r="D5" t="s">
        <v>64223</v>
      </c>
      <c r="E5">
        <v>3.95325129459</v>
      </c>
    </row>
    <row r="6" spans="1:5">
      <c r="A6" t="s">
        <v>62963</v>
      </c>
      <c r="B6">
        <v>48.98022183427</v>
      </c>
      <c r="D6" t="s">
        <v>64224</v>
      </c>
      <c r="E6">
        <v>3.55434993453</v>
      </c>
    </row>
    <row r="7" spans="1:5">
      <c r="A7" t="s">
        <v>62964</v>
      </c>
      <c r="B7">
        <v>46.74845785006</v>
      </c>
      <c r="D7" t="s">
        <v>64225</v>
      </c>
      <c r="E7">
        <v>3.73915716802</v>
      </c>
    </row>
    <row r="8" spans="1:5">
      <c r="A8" t="s">
        <v>64207</v>
      </c>
      <c r="B8">
        <v>22.39181141651</v>
      </c>
      <c r="D8" t="s">
        <v>64226</v>
      </c>
      <c r="E8">
        <v>3.549549495</v>
      </c>
    </row>
    <row r="9" spans="1:5">
      <c r="A9" t="s">
        <v>64208</v>
      </c>
      <c r="B9">
        <v>38.4</v>
      </c>
      <c r="D9" t="s">
        <v>64227</v>
      </c>
      <c r="E9">
        <v>3.84953105117</v>
      </c>
    </row>
    <row r="10" spans="1:5">
      <c r="D10" t="s">
        <v>64228</v>
      </c>
      <c r="E10">
        <v>2.76809880994</v>
      </c>
    </row>
    <row r="11" spans="1:5">
      <c r="D11" t="s">
        <v>64229</v>
      </c>
      <c r="E11">
        <v>4.25180988972</v>
      </c>
    </row>
    <row r="12" spans="1:5">
      <c r="D12" t="s">
        <v>64230</v>
      </c>
      <c r="E12">
        <v>4.51971666051</v>
      </c>
    </row>
    <row r="13" spans="1:5">
      <c r="D13" t="s">
        <v>64231</v>
      </c>
      <c r="E13">
        <v>4.37151231463</v>
      </c>
    </row>
    <row r="14" spans="1:5">
      <c r="D14" t="s">
        <v>64232</v>
      </c>
      <c r="E14">
        <v>4.595041398359999</v>
      </c>
    </row>
    <row r="15" spans="1:5">
      <c r="D15" t="s">
        <v>64233</v>
      </c>
      <c r="E15">
        <v>3.31396838479</v>
      </c>
    </row>
    <row r="16" spans="1:5">
      <c r="D16" t="s">
        <v>64234</v>
      </c>
      <c r="E16">
        <v>3.59814460805</v>
      </c>
    </row>
    <row r="17" spans="4:5">
      <c r="D17" t="s">
        <v>64235</v>
      </c>
      <c r="E17">
        <v>4.63757813534</v>
      </c>
    </row>
    <row r="18" spans="4:5">
      <c r="D18" t="s">
        <v>64236</v>
      </c>
      <c r="E18">
        <v>3.55940502602</v>
      </c>
    </row>
    <row r="19" spans="4:5">
      <c r="D19" t="s">
        <v>64237</v>
      </c>
      <c r="E19">
        <v>3.41146742061</v>
      </c>
    </row>
    <row r="20" spans="4:5">
      <c r="D20" t="s">
        <v>64238</v>
      </c>
      <c r="E20">
        <v>4.03913558725</v>
      </c>
    </row>
    <row r="21" spans="4:5">
      <c r="D21" t="s">
        <v>64239</v>
      </c>
      <c r="E21">
        <v>3.68174121838</v>
      </c>
    </row>
    <row r="22" spans="4:5">
      <c r="D22" t="s">
        <v>64240</v>
      </c>
      <c r="E22">
        <v>3.60443549497</v>
      </c>
    </row>
    <row r="23" spans="4:5">
      <c r="D23" t="s">
        <v>64241</v>
      </c>
      <c r="E23">
        <v>4.095626669280001</v>
      </c>
    </row>
    <row r="24" spans="4:5">
      <c r="D24" t="s">
        <v>64242</v>
      </c>
      <c r="E24">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BDD7EE"/>
  </sheetPr>
  <dimension ref="A1"/>
  <sheetViews>
    <sheetView workbookViewId="0"/>
  </sheetViews>
  <sheetFormatPr defaultRowHeight="1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sheetPr>
    <tabColor rgb="FF1F3864"/>
  </sheetPr>
  <dimension ref="A1:E3"/>
  <sheetViews>
    <sheetView showGridLines="0" workbookViewId="0"/>
  </sheetViews>
  <sheetFormatPr defaultRowHeight="15"/>
  <cols>
    <col min="1" max="5" width="20.7109375" customWidth="1"/>
  </cols>
  <sheetData>
    <row r="1" spans="1:5">
      <c r="A1" s="10" t="s">
        <v>1</v>
      </c>
      <c r="B1" s="10"/>
      <c r="C1" s="10"/>
      <c r="D1" s="10"/>
      <c r="E1" s="10"/>
    </row>
    <row r="2" spans="1:5">
      <c r="A2" s="10"/>
      <c r="B2" s="10"/>
      <c r="C2" s="10"/>
      <c r="D2" s="10"/>
      <c r="E2" s="10"/>
    </row>
    <row r="3" spans="1:5">
      <c r="A3" s="10"/>
      <c r="B3" s="10"/>
      <c r="C3" s="10"/>
      <c r="D3" s="10"/>
      <c r="E3" s="10"/>
    </row>
  </sheetData>
  <mergeCells count="1">
    <mergeCell ref="A1:E3"/>
  </mergeCells>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BDD7EE"/>
  </sheetPr>
  <dimension ref="A1:K100"/>
  <sheetViews>
    <sheetView workbookViewId="0"/>
  </sheetViews>
  <sheetFormatPr defaultRowHeight="15"/>
  <cols>
    <col min="1" max="1" width="28.7109375" customWidth="1"/>
    <col min="2" max="9" width="14.7109375" customWidth="1"/>
    <col min="10" max="10" width="8.7109375" customWidth="1"/>
    <col min="11" max="11" width="12.7109375" customWidth="1"/>
  </cols>
  <sheetData>
    <row r="1" spans="1:9">
      <c r="A1" s="11" t="s">
        <v>62957</v>
      </c>
      <c r="B1" s="11" t="s">
        <v>330</v>
      </c>
      <c r="C1" s="11" t="s">
        <v>26</v>
      </c>
      <c r="D1" s="11" t="s">
        <v>67</v>
      </c>
      <c r="E1" s="11" t="s">
        <v>31</v>
      </c>
      <c r="F1" s="11" t="s">
        <v>45</v>
      </c>
      <c r="G1" s="11" t="s">
        <v>18</v>
      </c>
      <c r="H1" s="11" t="s">
        <v>212</v>
      </c>
      <c r="I1" s="11" t="s">
        <v>62958</v>
      </c>
    </row>
    <row r="2" spans="1:9">
      <c r="A2" s="12" t="s">
        <v>62959</v>
      </c>
      <c r="B2" s="12">
        <f>COUNTIFS('Trial Database'!$J$2:$J$28727,"&gt;="&amp;DATE(2020,1,1),'Trial Database'!$J$2:$J$28727,"&lt;"&amp;DATE(2021,1,1),'Trial Database'!$E$2:$E$28727,"Early Phase 1")</f>
        <v>0</v>
      </c>
      <c r="C2" s="12">
        <f>COUNTIFS('Trial Database'!$J$2:$J$28727,"&gt;="&amp;DATE(2020,1,1),'Trial Database'!$J$2:$J$28727,"&lt;"&amp;DATE(2021,1,1),'Trial Database'!$E$2:$E$28727,"Phase 1")</f>
        <v>0</v>
      </c>
      <c r="D2" s="12">
        <f>COUNTIFS('Trial Database'!$J$2:$J$28727,"&gt;="&amp;DATE(2020,1,1),'Trial Database'!$J$2:$J$28727,"&lt;"&amp;DATE(2021,1,1),'Trial Database'!$E$2:$E$28727,"Phase 1/2")</f>
        <v>0</v>
      </c>
      <c r="E2" s="12">
        <f>COUNTIFS('Trial Database'!$J$2:$J$28727,"&gt;="&amp;DATE(2020,1,1),'Trial Database'!$J$2:$J$28727,"&lt;"&amp;DATE(2021,1,1),'Trial Database'!$E$2:$E$28727,"Phase 2")</f>
        <v>0</v>
      </c>
      <c r="F2" s="12">
        <f>COUNTIFS('Trial Database'!$J$2:$J$28727,"&gt;="&amp;DATE(2020,1,1),'Trial Database'!$J$2:$J$28727,"&lt;"&amp;DATE(2021,1,1),'Trial Database'!$E$2:$E$28727,"Phase 2/3")</f>
        <v>0</v>
      </c>
      <c r="G2" s="12">
        <f>COUNTIFS('Trial Database'!$J$2:$J$28727,"&gt;="&amp;DATE(2020,1,1),'Trial Database'!$J$2:$J$28727,"&lt;"&amp;DATE(2021,1,1),'Trial Database'!$E$2:$E$28727,"Phase 3")</f>
        <v>0</v>
      </c>
      <c r="H2" s="12">
        <f>COUNTIFS('Trial Database'!$J$2:$J$28727,"&gt;="&amp;DATE(2020,1,1),'Trial Database'!$J$2:$J$28727,"&lt;"&amp;DATE(2021,1,1),'Trial Database'!$E$2:$E$28727,"Phase 4")</f>
        <v>0</v>
      </c>
      <c r="I2" s="13">
        <f>SUM(B2:H2)</f>
        <v>0</v>
      </c>
    </row>
    <row r="3" spans="1:9">
      <c r="A3" s="12" t="s">
        <v>62960</v>
      </c>
      <c r="B3" s="12">
        <f>COUNTIFS('Trial Database'!$J$2:$J$28727,"&gt;="&amp;DATE(2021,1,1),'Trial Database'!$J$2:$J$28727,"&lt;"&amp;DATE(2022,1,1),'Trial Database'!$E$2:$E$28727,"Early Phase 1")</f>
        <v>0</v>
      </c>
      <c r="C3" s="12">
        <f>COUNTIFS('Trial Database'!$J$2:$J$28727,"&gt;="&amp;DATE(2021,1,1),'Trial Database'!$J$2:$J$28727,"&lt;"&amp;DATE(2022,1,1),'Trial Database'!$E$2:$E$28727,"Phase 1")</f>
        <v>0</v>
      </c>
      <c r="D3" s="12">
        <f>COUNTIFS('Trial Database'!$J$2:$J$28727,"&gt;="&amp;DATE(2021,1,1),'Trial Database'!$J$2:$J$28727,"&lt;"&amp;DATE(2022,1,1),'Trial Database'!$E$2:$E$28727,"Phase 1/2")</f>
        <v>0</v>
      </c>
      <c r="E3" s="12">
        <f>COUNTIFS('Trial Database'!$J$2:$J$28727,"&gt;="&amp;DATE(2021,1,1),'Trial Database'!$J$2:$J$28727,"&lt;"&amp;DATE(2022,1,1),'Trial Database'!$E$2:$E$28727,"Phase 2")</f>
        <v>0</v>
      </c>
      <c r="F3" s="12">
        <f>COUNTIFS('Trial Database'!$J$2:$J$28727,"&gt;="&amp;DATE(2021,1,1),'Trial Database'!$J$2:$J$28727,"&lt;"&amp;DATE(2022,1,1),'Trial Database'!$E$2:$E$28727,"Phase 2/3")</f>
        <v>0</v>
      </c>
      <c r="G3" s="12">
        <f>COUNTIFS('Trial Database'!$J$2:$J$28727,"&gt;="&amp;DATE(2021,1,1),'Trial Database'!$J$2:$J$28727,"&lt;"&amp;DATE(2022,1,1),'Trial Database'!$E$2:$E$28727,"Phase 3")</f>
        <v>0</v>
      </c>
      <c r="H3" s="12">
        <f>COUNTIFS('Trial Database'!$J$2:$J$28727,"&gt;="&amp;DATE(2021,1,1),'Trial Database'!$J$2:$J$28727,"&lt;"&amp;DATE(2022,1,1),'Trial Database'!$E$2:$E$28727,"Phase 4")</f>
        <v>0</v>
      </c>
      <c r="I3" s="13">
        <f>SUM(B3:H3)</f>
        <v>0</v>
      </c>
    </row>
    <row r="4" spans="1:9">
      <c r="A4" s="12" t="s">
        <v>62961</v>
      </c>
      <c r="B4" s="12">
        <f>COUNTIFS('Trial Database'!$J$2:$J$28727,"&gt;="&amp;DATE(2022,1,1),'Trial Database'!$J$2:$J$28727,"&lt;"&amp;DATE(2023,1,1),'Trial Database'!$E$2:$E$28727,"Early Phase 1")</f>
        <v>0</v>
      </c>
      <c r="C4" s="12">
        <f>COUNTIFS('Trial Database'!$J$2:$J$28727,"&gt;="&amp;DATE(2022,1,1),'Trial Database'!$J$2:$J$28727,"&lt;"&amp;DATE(2023,1,1),'Trial Database'!$E$2:$E$28727,"Phase 1")</f>
        <v>0</v>
      </c>
      <c r="D4" s="12">
        <f>COUNTIFS('Trial Database'!$J$2:$J$28727,"&gt;="&amp;DATE(2022,1,1),'Trial Database'!$J$2:$J$28727,"&lt;"&amp;DATE(2023,1,1),'Trial Database'!$E$2:$E$28727,"Phase 1/2")</f>
        <v>0</v>
      </c>
      <c r="E4" s="12">
        <f>COUNTIFS('Trial Database'!$J$2:$J$28727,"&gt;="&amp;DATE(2022,1,1),'Trial Database'!$J$2:$J$28727,"&lt;"&amp;DATE(2023,1,1),'Trial Database'!$E$2:$E$28727,"Phase 2")</f>
        <v>0</v>
      </c>
      <c r="F4" s="12">
        <f>COUNTIFS('Trial Database'!$J$2:$J$28727,"&gt;="&amp;DATE(2022,1,1),'Trial Database'!$J$2:$J$28727,"&lt;"&amp;DATE(2023,1,1),'Trial Database'!$E$2:$E$28727,"Phase 2/3")</f>
        <v>0</v>
      </c>
      <c r="G4" s="12">
        <f>COUNTIFS('Trial Database'!$J$2:$J$28727,"&gt;="&amp;DATE(2022,1,1),'Trial Database'!$J$2:$J$28727,"&lt;"&amp;DATE(2023,1,1),'Trial Database'!$E$2:$E$28727,"Phase 3")</f>
        <v>0</v>
      </c>
      <c r="H4" s="12">
        <f>COUNTIFS('Trial Database'!$J$2:$J$28727,"&gt;="&amp;DATE(2022,1,1),'Trial Database'!$J$2:$J$28727,"&lt;"&amp;DATE(2023,1,1),'Trial Database'!$E$2:$E$28727,"Phase 4")</f>
        <v>0</v>
      </c>
      <c r="I4" s="13">
        <f>SUM(B4:H4)</f>
        <v>0</v>
      </c>
    </row>
    <row r="5" spans="1:9">
      <c r="A5" s="12" t="s">
        <v>62962</v>
      </c>
      <c r="B5" s="12">
        <f>COUNTIFS('Trial Database'!$J$2:$J$28727,"&gt;="&amp;DATE(2023,1,1),'Trial Database'!$J$2:$J$28727,"&lt;"&amp;DATE(2024,1,1),'Trial Database'!$E$2:$E$28727,"Early Phase 1")</f>
        <v>0</v>
      </c>
      <c r="C5" s="12">
        <f>COUNTIFS('Trial Database'!$J$2:$J$28727,"&gt;="&amp;DATE(2023,1,1),'Trial Database'!$J$2:$J$28727,"&lt;"&amp;DATE(2024,1,1),'Trial Database'!$E$2:$E$28727,"Phase 1")</f>
        <v>0</v>
      </c>
      <c r="D5" s="12">
        <f>COUNTIFS('Trial Database'!$J$2:$J$28727,"&gt;="&amp;DATE(2023,1,1),'Trial Database'!$J$2:$J$28727,"&lt;"&amp;DATE(2024,1,1),'Trial Database'!$E$2:$E$28727,"Phase 1/2")</f>
        <v>0</v>
      </c>
      <c r="E5" s="12">
        <f>COUNTIFS('Trial Database'!$J$2:$J$28727,"&gt;="&amp;DATE(2023,1,1),'Trial Database'!$J$2:$J$28727,"&lt;"&amp;DATE(2024,1,1),'Trial Database'!$E$2:$E$28727,"Phase 2")</f>
        <v>0</v>
      </c>
      <c r="F5" s="12">
        <f>COUNTIFS('Trial Database'!$J$2:$J$28727,"&gt;="&amp;DATE(2023,1,1),'Trial Database'!$J$2:$J$28727,"&lt;"&amp;DATE(2024,1,1),'Trial Database'!$E$2:$E$28727,"Phase 2/3")</f>
        <v>0</v>
      </c>
      <c r="G5" s="12">
        <f>COUNTIFS('Trial Database'!$J$2:$J$28727,"&gt;="&amp;DATE(2023,1,1),'Trial Database'!$J$2:$J$28727,"&lt;"&amp;DATE(2024,1,1),'Trial Database'!$E$2:$E$28727,"Phase 3")</f>
        <v>0</v>
      </c>
      <c r="H5" s="12">
        <f>COUNTIFS('Trial Database'!$J$2:$J$28727,"&gt;="&amp;DATE(2023,1,1),'Trial Database'!$J$2:$J$28727,"&lt;"&amp;DATE(2024,1,1),'Trial Database'!$E$2:$E$28727,"Phase 4")</f>
        <v>0</v>
      </c>
      <c r="I5" s="13">
        <f>SUM(B5:H5)</f>
        <v>0</v>
      </c>
    </row>
    <row r="6" spans="1:9">
      <c r="A6" s="12" t="s">
        <v>62963</v>
      </c>
      <c r="B6" s="12">
        <f>COUNTIFS('Trial Database'!$J$2:$J$28727,"&gt;="&amp;DATE(2024,1,1),'Trial Database'!$J$2:$J$28727,"&lt;"&amp;DATE(2025,1,1),'Trial Database'!$E$2:$E$28727,"Early Phase 1")</f>
        <v>0</v>
      </c>
      <c r="C6" s="12">
        <f>COUNTIFS('Trial Database'!$J$2:$J$28727,"&gt;="&amp;DATE(2024,1,1),'Trial Database'!$J$2:$J$28727,"&lt;"&amp;DATE(2025,1,1),'Trial Database'!$E$2:$E$28727,"Phase 1")</f>
        <v>0</v>
      </c>
      <c r="D6" s="12">
        <f>COUNTIFS('Trial Database'!$J$2:$J$28727,"&gt;="&amp;DATE(2024,1,1),'Trial Database'!$J$2:$J$28727,"&lt;"&amp;DATE(2025,1,1),'Trial Database'!$E$2:$E$28727,"Phase 1/2")</f>
        <v>0</v>
      </c>
      <c r="E6" s="12">
        <f>COUNTIFS('Trial Database'!$J$2:$J$28727,"&gt;="&amp;DATE(2024,1,1),'Trial Database'!$J$2:$J$28727,"&lt;"&amp;DATE(2025,1,1),'Trial Database'!$E$2:$E$28727,"Phase 2")</f>
        <v>0</v>
      </c>
      <c r="F6" s="12">
        <f>COUNTIFS('Trial Database'!$J$2:$J$28727,"&gt;="&amp;DATE(2024,1,1),'Trial Database'!$J$2:$J$28727,"&lt;"&amp;DATE(2025,1,1),'Trial Database'!$E$2:$E$28727,"Phase 2/3")</f>
        <v>0</v>
      </c>
      <c r="G6" s="12">
        <f>COUNTIFS('Trial Database'!$J$2:$J$28727,"&gt;="&amp;DATE(2024,1,1),'Trial Database'!$J$2:$J$28727,"&lt;"&amp;DATE(2025,1,1),'Trial Database'!$E$2:$E$28727,"Phase 3")</f>
        <v>0</v>
      </c>
      <c r="H6" s="12">
        <f>COUNTIFS('Trial Database'!$J$2:$J$28727,"&gt;="&amp;DATE(2024,1,1),'Trial Database'!$J$2:$J$28727,"&lt;"&amp;DATE(2025,1,1),'Trial Database'!$E$2:$E$28727,"Phase 4")</f>
        <v>0</v>
      </c>
      <c r="I6" s="13">
        <f>SUM(B6:H6)</f>
        <v>0</v>
      </c>
    </row>
    <row r="7" spans="1:9">
      <c r="A7" s="12" t="s">
        <v>62964</v>
      </c>
      <c r="B7" s="12">
        <f>COUNTIFS('Trial Database'!$J$2:$J$28727,"&gt;="&amp;DATE(2025,1,1),'Trial Database'!$J$2:$J$28727,"&lt;"&amp;DATE(2026,1,1),'Trial Database'!$E$2:$E$28727,"Early Phase 1")</f>
        <v>0</v>
      </c>
      <c r="C7" s="12">
        <f>COUNTIFS('Trial Database'!$J$2:$J$28727,"&gt;="&amp;DATE(2025,1,1),'Trial Database'!$J$2:$J$28727,"&lt;"&amp;DATE(2026,1,1),'Trial Database'!$E$2:$E$28727,"Phase 1")</f>
        <v>0</v>
      </c>
      <c r="D7" s="12">
        <f>COUNTIFS('Trial Database'!$J$2:$J$28727,"&gt;="&amp;DATE(2025,1,1),'Trial Database'!$J$2:$J$28727,"&lt;"&amp;DATE(2026,1,1),'Trial Database'!$E$2:$E$28727,"Phase 1/2")</f>
        <v>0</v>
      </c>
      <c r="E7" s="12">
        <f>COUNTIFS('Trial Database'!$J$2:$J$28727,"&gt;="&amp;DATE(2025,1,1),'Trial Database'!$J$2:$J$28727,"&lt;"&amp;DATE(2026,1,1),'Trial Database'!$E$2:$E$28727,"Phase 2")</f>
        <v>0</v>
      </c>
      <c r="F7" s="12">
        <f>COUNTIFS('Trial Database'!$J$2:$J$28727,"&gt;="&amp;DATE(2025,1,1),'Trial Database'!$J$2:$J$28727,"&lt;"&amp;DATE(2026,1,1),'Trial Database'!$E$2:$E$28727,"Phase 2/3")</f>
        <v>0</v>
      </c>
      <c r="G7" s="12">
        <f>COUNTIFS('Trial Database'!$J$2:$J$28727,"&gt;="&amp;DATE(2025,1,1),'Trial Database'!$J$2:$J$28727,"&lt;"&amp;DATE(2026,1,1),'Trial Database'!$E$2:$E$28727,"Phase 3")</f>
        <v>0</v>
      </c>
      <c r="H7" s="12">
        <f>COUNTIFS('Trial Database'!$J$2:$J$28727,"&gt;="&amp;DATE(2025,1,1),'Trial Database'!$J$2:$J$28727,"&lt;"&amp;DATE(2026,1,1),'Trial Database'!$E$2:$E$28727,"Phase 4")</f>
        <v>0</v>
      </c>
      <c r="I7" s="13">
        <f>SUM(B7:H7)</f>
        <v>0</v>
      </c>
    </row>
    <row r="8" spans="1:9">
      <c r="A8" s="12" t="s">
        <v>62965</v>
      </c>
      <c r="B8" s="12">
        <f>COUNTIFS('Trial Database'!$J$2:$J$28727,"&gt;="&amp;DATE(2026,1,1),'Trial Database'!$J$2:$J$28727,"&lt;"&amp;DATE(2027,1,1),'Trial Database'!$E$2:$E$28727,"Early Phase 1")</f>
        <v>0</v>
      </c>
      <c r="C8" s="12">
        <f>COUNTIFS('Trial Database'!$J$2:$J$28727,"&gt;="&amp;DATE(2026,1,1),'Trial Database'!$J$2:$J$28727,"&lt;"&amp;DATE(2027,1,1),'Trial Database'!$E$2:$E$28727,"Phase 1")</f>
        <v>0</v>
      </c>
      <c r="D8" s="12">
        <f>COUNTIFS('Trial Database'!$J$2:$J$28727,"&gt;="&amp;DATE(2026,1,1),'Trial Database'!$J$2:$J$28727,"&lt;"&amp;DATE(2027,1,1),'Trial Database'!$E$2:$E$28727,"Phase 1/2")</f>
        <v>0</v>
      </c>
      <c r="E8" s="12">
        <f>COUNTIFS('Trial Database'!$J$2:$J$28727,"&gt;="&amp;DATE(2026,1,1),'Trial Database'!$J$2:$J$28727,"&lt;"&amp;DATE(2027,1,1),'Trial Database'!$E$2:$E$28727,"Phase 2")</f>
        <v>0</v>
      </c>
      <c r="F8" s="12">
        <f>COUNTIFS('Trial Database'!$J$2:$J$28727,"&gt;="&amp;DATE(2026,1,1),'Trial Database'!$J$2:$J$28727,"&lt;"&amp;DATE(2027,1,1),'Trial Database'!$E$2:$E$28727,"Phase 2/3")</f>
        <v>0</v>
      </c>
      <c r="G8" s="12">
        <f>COUNTIFS('Trial Database'!$J$2:$J$28727,"&gt;="&amp;DATE(2026,1,1),'Trial Database'!$J$2:$J$28727,"&lt;"&amp;DATE(2027,1,1),'Trial Database'!$E$2:$E$28727,"Phase 3")</f>
        <v>0</v>
      </c>
      <c r="H8" s="12">
        <f>COUNTIFS('Trial Database'!$J$2:$J$28727,"&gt;="&amp;DATE(2026,1,1),'Trial Database'!$J$2:$J$28727,"&lt;"&amp;DATE(2027,1,1),'Trial Database'!$E$2:$E$28727,"Phase 4")</f>
        <v>0</v>
      </c>
      <c r="I8" s="13">
        <f>SUM(B8:H8)</f>
        <v>0</v>
      </c>
    </row>
    <row r="9" spans="1:9">
      <c r="A9" s="14" t="s">
        <v>62966</v>
      </c>
      <c r="B9" s="15">
        <f>ROUND(B8*12/MONTH(EOMONTH(TODAY(),-1)),0)</f>
        <v>0</v>
      </c>
      <c r="C9" s="15">
        <f>ROUND(C8*12/MONTH(EOMONTH(TODAY(),-1)),0)</f>
        <v>0</v>
      </c>
      <c r="D9" s="15">
        <f>ROUND(D8*12/MONTH(EOMONTH(TODAY(),-1)),0)</f>
        <v>0</v>
      </c>
      <c r="E9" s="15">
        <f>ROUND(E8*12/MONTH(EOMONTH(TODAY(),-1)),0)</f>
        <v>0</v>
      </c>
      <c r="F9" s="15">
        <f>ROUND(F8*12/MONTH(EOMONTH(TODAY(),-1)),0)</f>
        <v>0</v>
      </c>
      <c r="G9" s="15">
        <f>ROUND(G8*12/MONTH(EOMONTH(TODAY(),-1)),0)</f>
        <v>0</v>
      </c>
      <c r="H9" s="15">
        <f>ROUND(H8*12/MONTH(EOMONTH(TODAY(),-1)),0)</f>
        <v>0</v>
      </c>
      <c r="I9" s="16">
        <f>SUM(B9:H9)</f>
        <v>0</v>
      </c>
    </row>
    <row r="12" spans="1:9">
      <c r="A12" s="17" t="s">
        <v>62967</v>
      </c>
      <c r="B12" s="17" t="s">
        <v>62968</v>
      </c>
    </row>
    <row r="13" spans="1:9">
      <c r="A13" s="18" t="s">
        <v>62969</v>
      </c>
      <c r="B13" s="12">
        <f>COUNTIFS('Trial Database'!$J$2:$J$28727,"&gt;="&amp;DATE(2025,8,1),'Trial Database'!$J$2:$J$28727,"&lt;="&amp;DATE(2026,7,31))</f>
        <v>0</v>
      </c>
    </row>
    <row r="14" spans="1:9">
      <c r="A14" s="18" t="s">
        <v>62970</v>
      </c>
      <c r="B14" s="12">
        <f>COUNTIFS('Trial Database'!$J$2:$J$28727,"&gt;="&amp;DATE(2024,8,1),'Trial Database'!$J$2:$J$28727,"&lt;="&amp;DATE(2025,7,31))</f>
        <v>0</v>
      </c>
    </row>
    <row r="15" spans="1:9">
      <c r="A15" s="18" t="s">
        <v>62971</v>
      </c>
      <c r="B15" s="19">
        <f>IFERROR((B13-B14)/B14,"N/A")</f>
        <v>0</v>
      </c>
    </row>
    <row r="16" spans="1:9">
      <c r="A16" s="18" t="s">
        <v>62972</v>
      </c>
      <c r="B16" s="19">
        <f>IFERROR(((COUNTIFS('Trial Database'!$J$2:$J$28727,"&gt;="&amp;DATE(2026,7,1),'Trial Database'!$J$2:$J$28727,"&lt;="&amp;DATE(2026,7,31))/DAY(EOMONTH(DATE(2026,7,1),0)))-(COUNTIFS('Trial Database'!$J$2:$J$28727,"&gt;="&amp;DATE(2025,7,1),'Trial Database'!$J$2:$J$28727,"&lt;="&amp;DATE(2025,7,31))/DAY(EOMONTH(DATE(2025,7,1),0))))/(COUNTIFS('Trial Database'!$J$2:$J$28727,"&gt;="&amp;DATE(2025,7,1),'Trial Database'!$J$2:$J$28727,"&lt;="&amp;DATE(2025,7,31))/DAY(EOMONTH(DATE(2025,7,1),0))),"N/A")</f>
        <v>0</v>
      </c>
    </row>
    <row r="17" spans="1:11">
      <c r="A17" s="18" t="s">
        <v>62973</v>
      </c>
      <c r="B17" s="19">
        <f>IFERROR(((COUNTIFS('Trial Database'!$J$2:$J$28727,"&gt;="&amp;DATE(2026,7,1),'Trial Database'!$J$2:$J$28727,"&lt;="&amp;DATE(2026,7,31))/DAY(EOMONTH(DATE(2026,7,1),0)))-(COUNTIFS('Trial Database'!$J$2:$J$28727,"&gt;="&amp;DATE(2026,6,1),'Trial Database'!$J$2:$J$28727,"&lt;="&amp;DATE(2026,6,30))/DAY(EOMONTH(DATE(2026,6,1),0))))/(COUNTIFS('Trial Database'!$J$2:$J$28727,"&gt;="&amp;DATE(2026,6,1),'Trial Database'!$J$2:$J$28727,"&lt;="&amp;DATE(2026,6,30))/DAY(EOMONTH(DATE(2026,6,1),0))),"N/A")</f>
        <v>0</v>
      </c>
    </row>
    <row r="18" spans="1:11">
      <c r="A18" s="18" t="s">
        <v>62974</v>
      </c>
      <c r="B18" s="19">
        <f>IFERROR(((COUNTIFS('Trial Database'!$J$2:$J$28727,"&gt;="&amp;DATE(2026,6,1),'Trial Database'!$J$2:$J$28727,"&lt;="&amp;DATE(2026,6,30))/DAY(EOMONTH(DATE(2026,6,1),0)))-(COUNTIFS('Trial Database'!$J$2:$J$28727,"&gt;="&amp;DATE(2026,5,1),'Trial Database'!$J$2:$J$28727,"&lt;="&amp;DATE(2026,5,31))/DAY(EOMONTH(DATE(2026,5,1),0))))/(COUNTIFS('Trial Database'!$J$2:$J$28727,"&gt;="&amp;DATE(2026,5,1),'Trial Database'!$J$2:$J$28727,"&lt;="&amp;DATE(2026,5,31))/DAY(EOMONTH(DATE(2026,5,1),0))),"N/A")</f>
        <v>0</v>
      </c>
    </row>
    <row r="21" spans="1:11">
      <c r="A21" s="11" t="s">
        <v>62975</v>
      </c>
      <c r="B21" s="11" t="s">
        <v>330</v>
      </c>
      <c r="C21" s="11" t="s">
        <v>26</v>
      </c>
      <c r="D21" s="11" t="s">
        <v>67</v>
      </c>
      <c r="E21" s="11" t="s">
        <v>31</v>
      </c>
      <c r="F21" s="11" t="s">
        <v>45</v>
      </c>
      <c r="G21" s="11" t="s">
        <v>18</v>
      </c>
      <c r="H21" s="11" t="s">
        <v>212</v>
      </c>
      <c r="I21" s="11" t="s">
        <v>62958</v>
      </c>
      <c r="J21" s="11" t="s">
        <v>62976</v>
      </c>
      <c r="K21" s="11" t="s">
        <v>62977</v>
      </c>
    </row>
    <row r="22" spans="1:11">
      <c r="A22" s="20">
        <v>43831</v>
      </c>
      <c r="B22" s="12">
        <f>COUNTIFS('Trial Database'!$J$2:$J$28727,"&gt;="&amp;DATE(2020,1,1),'Trial Database'!$J$2:$J$28727,"&lt;"&amp;DATE(2020,2,1),'Trial Database'!$E$2:$E$28727,"Early Phase 1")</f>
        <v>0</v>
      </c>
      <c r="C22" s="12">
        <f>COUNTIFS('Trial Database'!$J$2:$J$28727,"&gt;="&amp;DATE(2020,1,1),'Trial Database'!$J$2:$J$28727,"&lt;"&amp;DATE(2020,2,1),'Trial Database'!$E$2:$E$28727,"Phase 1")</f>
        <v>0</v>
      </c>
      <c r="D22" s="12">
        <f>COUNTIFS('Trial Database'!$J$2:$J$28727,"&gt;="&amp;DATE(2020,1,1),'Trial Database'!$J$2:$J$28727,"&lt;"&amp;DATE(2020,2,1),'Trial Database'!$E$2:$E$28727,"Phase 1/2")</f>
        <v>0</v>
      </c>
      <c r="E22" s="12">
        <f>COUNTIFS('Trial Database'!$J$2:$J$28727,"&gt;="&amp;DATE(2020,1,1),'Trial Database'!$J$2:$J$28727,"&lt;"&amp;DATE(2020,2,1),'Trial Database'!$E$2:$E$28727,"Phase 2")</f>
        <v>0</v>
      </c>
      <c r="F22" s="12">
        <f>COUNTIFS('Trial Database'!$J$2:$J$28727,"&gt;="&amp;DATE(2020,1,1),'Trial Database'!$J$2:$J$28727,"&lt;"&amp;DATE(2020,2,1),'Trial Database'!$E$2:$E$28727,"Phase 2/3")</f>
        <v>0</v>
      </c>
      <c r="G22" s="12">
        <f>COUNTIFS('Trial Database'!$J$2:$J$28727,"&gt;="&amp;DATE(2020,1,1),'Trial Database'!$J$2:$J$28727,"&lt;"&amp;DATE(2020,2,1),'Trial Database'!$E$2:$E$28727,"Phase 3")</f>
        <v>0</v>
      </c>
      <c r="H22" s="12">
        <f>COUNTIFS('Trial Database'!$J$2:$J$28727,"&gt;="&amp;DATE(2020,1,1),'Trial Database'!$J$2:$J$28727,"&lt;"&amp;DATE(2020,2,1),'Trial Database'!$E$2:$E$28727,"Phase 4")</f>
        <v>0</v>
      </c>
      <c r="I22" s="13">
        <f>SUM(B22:H22)</f>
        <v>0</v>
      </c>
      <c r="J22" s="12">
        <f>DAY(EOMONTH(A22,0))</f>
        <v>0</v>
      </c>
      <c r="K22" s="21">
        <f>IF(J22=0,0,I22/J22)</f>
        <v>0</v>
      </c>
    </row>
    <row r="23" spans="1:11">
      <c r="A23" s="20">
        <v>43862</v>
      </c>
      <c r="B23" s="12">
        <f>COUNTIFS('Trial Database'!$J$2:$J$28727,"&gt;="&amp;DATE(2020,2,1),'Trial Database'!$J$2:$J$28727,"&lt;"&amp;DATE(2020,3,1),'Trial Database'!$E$2:$E$28727,"Early Phase 1")</f>
        <v>0</v>
      </c>
      <c r="C23" s="12">
        <f>COUNTIFS('Trial Database'!$J$2:$J$28727,"&gt;="&amp;DATE(2020,2,1),'Trial Database'!$J$2:$J$28727,"&lt;"&amp;DATE(2020,3,1),'Trial Database'!$E$2:$E$28727,"Phase 1")</f>
        <v>0</v>
      </c>
      <c r="D23" s="12">
        <f>COUNTIFS('Trial Database'!$J$2:$J$28727,"&gt;="&amp;DATE(2020,2,1),'Trial Database'!$J$2:$J$28727,"&lt;"&amp;DATE(2020,3,1),'Trial Database'!$E$2:$E$28727,"Phase 1/2")</f>
        <v>0</v>
      </c>
      <c r="E23" s="12">
        <f>COUNTIFS('Trial Database'!$J$2:$J$28727,"&gt;="&amp;DATE(2020,2,1),'Trial Database'!$J$2:$J$28727,"&lt;"&amp;DATE(2020,3,1),'Trial Database'!$E$2:$E$28727,"Phase 2")</f>
        <v>0</v>
      </c>
      <c r="F23" s="12">
        <f>COUNTIFS('Trial Database'!$J$2:$J$28727,"&gt;="&amp;DATE(2020,2,1),'Trial Database'!$J$2:$J$28727,"&lt;"&amp;DATE(2020,3,1),'Trial Database'!$E$2:$E$28727,"Phase 2/3")</f>
        <v>0</v>
      </c>
      <c r="G23" s="12">
        <f>COUNTIFS('Trial Database'!$J$2:$J$28727,"&gt;="&amp;DATE(2020,2,1),'Trial Database'!$J$2:$J$28727,"&lt;"&amp;DATE(2020,3,1),'Trial Database'!$E$2:$E$28727,"Phase 3")</f>
        <v>0</v>
      </c>
      <c r="H23" s="12">
        <f>COUNTIFS('Trial Database'!$J$2:$J$28727,"&gt;="&amp;DATE(2020,2,1),'Trial Database'!$J$2:$J$28727,"&lt;"&amp;DATE(2020,3,1),'Trial Database'!$E$2:$E$28727,"Phase 4")</f>
        <v>0</v>
      </c>
      <c r="I23" s="13">
        <f>SUM(B23:H23)</f>
        <v>0</v>
      </c>
      <c r="J23" s="12">
        <f>DAY(EOMONTH(A23,0))</f>
        <v>0</v>
      </c>
      <c r="K23" s="21">
        <f>IF(J23=0,0,I23/J23)</f>
        <v>0</v>
      </c>
    </row>
    <row r="24" spans="1:11">
      <c r="A24" s="20">
        <v>43891</v>
      </c>
      <c r="B24" s="12">
        <f>COUNTIFS('Trial Database'!$J$2:$J$28727,"&gt;="&amp;DATE(2020,3,1),'Trial Database'!$J$2:$J$28727,"&lt;"&amp;DATE(2020,4,1),'Trial Database'!$E$2:$E$28727,"Early Phase 1")</f>
        <v>0</v>
      </c>
      <c r="C24" s="12">
        <f>COUNTIFS('Trial Database'!$J$2:$J$28727,"&gt;="&amp;DATE(2020,3,1),'Trial Database'!$J$2:$J$28727,"&lt;"&amp;DATE(2020,4,1),'Trial Database'!$E$2:$E$28727,"Phase 1")</f>
        <v>0</v>
      </c>
      <c r="D24" s="12">
        <f>COUNTIFS('Trial Database'!$J$2:$J$28727,"&gt;="&amp;DATE(2020,3,1),'Trial Database'!$J$2:$J$28727,"&lt;"&amp;DATE(2020,4,1),'Trial Database'!$E$2:$E$28727,"Phase 1/2")</f>
        <v>0</v>
      </c>
      <c r="E24" s="12">
        <f>COUNTIFS('Trial Database'!$J$2:$J$28727,"&gt;="&amp;DATE(2020,3,1),'Trial Database'!$J$2:$J$28727,"&lt;"&amp;DATE(2020,4,1),'Trial Database'!$E$2:$E$28727,"Phase 2")</f>
        <v>0</v>
      </c>
      <c r="F24" s="12">
        <f>COUNTIFS('Trial Database'!$J$2:$J$28727,"&gt;="&amp;DATE(2020,3,1),'Trial Database'!$J$2:$J$28727,"&lt;"&amp;DATE(2020,4,1),'Trial Database'!$E$2:$E$28727,"Phase 2/3")</f>
        <v>0</v>
      </c>
      <c r="G24" s="12">
        <f>COUNTIFS('Trial Database'!$J$2:$J$28727,"&gt;="&amp;DATE(2020,3,1),'Trial Database'!$J$2:$J$28727,"&lt;"&amp;DATE(2020,4,1),'Trial Database'!$E$2:$E$28727,"Phase 3")</f>
        <v>0</v>
      </c>
      <c r="H24" s="12">
        <f>COUNTIFS('Trial Database'!$J$2:$J$28727,"&gt;="&amp;DATE(2020,3,1),'Trial Database'!$J$2:$J$28727,"&lt;"&amp;DATE(2020,4,1),'Trial Database'!$E$2:$E$28727,"Phase 4")</f>
        <v>0</v>
      </c>
      <c r="I24" s="13">
        <f>SUM(B24:H24)</f>
        <v>0</v>
      </c>
      <c r="J24" s="12">
        <f>DAY(EOMONTH(A24,0))</f>
        <v>0</v>
      </c>
      <c r="K24" s="21">
        <f>IF(J24=0,0,I24/J24)</f>
        <v>0</v>
      </c>
    </row>
    <row r="25" spans="1:11">
      <c r="A25" s="20">
        <v>43922</v>
      </c>
      <c r="B25" s="12">
        <f>COUNTIFS('Trial Database'!$J$2:$J$28727,"&gt;="&amp;DATE(2020,4,1),'Trial Database'!$J$2:$J$28727,"&lt;"&amp;DATE(2020,5,1),'Trial Database'!$E$2:$E$28727,"Early Phase 1")</f>
        <v>0</v>
      </c>
      <c r="C25" s="12">
        <f>COUNTIFS('Trial Database'!$J$2:$J$28727,"&gt;="&amp;DATE(2020,4,1),'Trial Database'!$J$2:$J$28727,"&lt;"&amp;DATE(2020,5,1),'Trial Database'!$E$2:$E$28727,"Phase 1")</f>
        <v>0</v>
      </c>
      <c r="D25" s="12">
        <f>COUNTIFS('Trial Database'!$J$2:$J$28727,"&gt;="&amp;DATE(2020,4,1),'Trial Database'!$J$2:$J$28727,"&lt;"&amp;DATE(2020,5,1),'Trial Database'!$E$2:$E$28727,"Phase 1/2")</f>
        <v>0</v>
      </c>
      <c r="E25" s="12">
        <f>COUNTIFS('Trial Database'!$J$2:$J$28727,"&gt;="&amp;DATE(2020,4,1),'Trial Database'!$J$2:$J$28727,"&lt;"&amp;DATE(2020,5,1),'Trial Database'!$E$2:$E$28727,"Phase 2")</f>
        <v>0</v>
      </c>
      <c r="F25" s="12">
        <f>COUNTIFS('Trial Database'!$J$2:$J$28727,"&gt;="&amp;DATE(2020,4,1),'Trial Database'!$J$2:$J$28727,"&lt;"&amp;DATE(2020,5,1),'Trial Database'!$E$2:$E$28727,"Phase 2/3")</f>
        <v>0</v>
      </c>
      <c r="G25" s="12">
        <f>COUNTIFS('Trial Database'!$J$2:$J$28727,"&gt;="&amp;DATE(2020,4,1),'Trial Database'!$J$2:$J$28727,"&lt;"&amp;DATE(2020,5,1),'Trial Database'!$E$2:$E$28727,"Phase 3")</f>
        <v>0</v>
      </c>
      <c r="H25" s="12">
        <f>COUNTIFS('Trial Database'!$J$2:$J$28727,"&gt;="&amp;DATE(2020,4,1),'Trial Database'!$J$2:$J$28727,"&lt;"&amp;DATE(2020,5,1),'Trial Database'!$E$2:$E$28727,"Phase 4")</f>
        <v>0</v>
      </c>
      <c r="I25" s="13">
        <f>SUM(B25:H25)</f>
        <v>0</v>
      </c>
      <c r="J25" s="12">
        <f>DAY(EOMONTH(A25,0))</f>
        <v>0</v>
      </c>
      <c r="K25" s="21">
        <f>IF(J25=0,0,I25/J25)</f>
        <v>0</v>
      </c>
    </row>
    <row r="26" spans="1:11">
      <c r="A26" s="20">
        <v>43952</v>
      </c>
      <c r="B26" s="12">
        <f>COUNTIFS('Trial Database'!$J$2:$J$28727,"&gt;="&amp;DATE(2020,5,1),'Trial Database'!$J$2:$J$28727,"&lt;"&amp;DATE(2020,6,1),'Trial Database'!$E$2:$E$28727,"Early Phase 1")</f>
        <v>0</v>
      </c>
      <c r="C26" s="12">
        <f>COUNTIFS('Trial Database'!$J$2:$J$28727,"&gt;="&amp;DATE(2020,5,1),'Trial Database'!$J$2:$J$28727,"&lt;"&amp;DATE(2020,6,1),'Trial Database'!$E$2:$E$28727,"Phase 1")</f>
        <v>0</v>
      </c>
      <c r="D26" s="12">
        <f>COUNTIFS('Trial Database'!$J$2:$J$28727,"&gt;="&amp;DATE(2020,5,1),'Trial Database'!$J$2:$J$28727,"&lt;"&amp;DATE(2020,6,1),'Trial Database'!$E$2:$E$28727,"Phase 1/2")</f>
        <v>0</v>
      </c>
      <c r="E26" s="12">
        <f>COUNTIFS('Trial Database'!$J$2:$J$28727,"&gt;="&amp;DATE(2020,5,1),'Trial Database'!$J$2:$J$28727,"&lt;"&amp;DATE(2020,6,1),'Trial Database'!$E$2:$E$28727,"Phase 2")</f>
        <v>0</v>
      </c>
      <c r="F26" s="12">
        <f>COUNTIFS('Trial Database'!$J$2:$J$28727,"&gt;="&amp;DATE(2020,5,1),'Trial Database'!$J$2:$J$28727,"&lt;"&amp;DATE(2020,6,1),'Trial Database'!$E$2:$E$28727,"Phase 2/3")</f>
        <v>0</v>
      </c>
      <c r="G26" s="12">
        <f>COUNTIFS('Trial Database'!$J$2:$J$28727,"&gt;="&amp;DATE(2020,5,1),'Trial Database'!$J$2:$J$28727,"&lt;"&amp;DATE(2020,6,1),'Trial Database'!$E$2:$E$28727,"Phase 3")</f>
        <v>0</v>
      </c>
      <c r="H26" s="12">
        <f>COUNTIFS('Trial Database'!$J$2:$J$28727,"&gt;="&amp;DATE(2020,5,1),'Trial Database'!$J$2:$J$28727,"&lt;"&amp;DATE(2020,6,1),'Trial Database'!$E$2:$E$28727,"Phase 4")</f>
        <v>0</v>
      </c>
      <c r="I26" s="13">
        <f>SUM(B26:H26)</f>
        <v>0</v>
      </c>
      <c r="J26" s="12">
        <f>DAY(EOMONTH(A26,0))</f>
        <v>0</v>
      </c>
      <c r="K26" s="21">
        <f>IF(J26=0,0,I26/J26)</f>
        <v>0</v>
      </c>
    </row>
    <row r="27" spans="1:11">
      <c r="A27" s="20">
        <v>43983</v>
      </c>
      <c r="B27" s="12">
        <f>COUNTIFS('Trial Database'!$J$2:$J$28727,"&gt;="&amp;DATE(2020,6,1),'Trial Database'!$J$2:$J$28727,"&lt;"&amp;DATE(2020,7,1),'Trial Database'!$E$2:$E$28727,"Early Phase 1")</f>
        <v>0</v>
      </c>
      <c r="C27" s="12">
        <f>COUNTIFS('Trial Database'!$J$2:$J$28727,"&gt;="&amp;DATE(2020,6,1),'Trial Database'!$J$2:$J$28727,"&lt;"&amp;DATE(2020,7,1),'Trial Database'!$E$2:$E$28727,"Phase 1")</f>
        <v>0</v>
      </c>
      <c r="D27" s="12">
        <f>COUNTIFS('Trial Database'!$J$2:$J$28727,"&gt;="&amp;DATE(2020,6,1),'Trial Database'!$J$2:$J$28727,"&lt;"&amp;DATE(2020,7,1),'Trial Database'!$E$2:$E$28727,"Phase 1/2")</f>
        <v>0</v>
      </c>
      <c r="E27" s="12">
        <f>COUNTIFS('Trial Database'!$J$2:$J$28727,"&gt;="&amp;DATE(2020,6,1),'Trial Database'!$J$2:$J$28727,"&lt;"&amp;DATE(2020,7,1),'Trial Database'!$E$2:$E$28727,"Phase 2")</f>
        <v>0</v>
      </c>
      <c r="F27" s="12">
        <f>COUNTIFS('Trial Database'!$J$2:$J$28727,"&gt;="&amp;DATE(2020,6,1),'Trial Database'!$J$2:$J$28727,"&lt;"&amp;DATE(2020,7,1),'Trial Database'!$E$2:$E$28727,"Phase 2/3")</f>
        <v>0</v>
      </c>
      <c r="G27" s="12">
        <f>COUNTIFS('Trial Database'!$J$2:$J$28727,"&gt;="&amp;DATE(2020,6,1),'Trial Database'!$J$2:$J$28727,"&lt;"&amp;DATE(2020,7,1),'Trial Database'!$E$2:$E$28727,"Phase 3")</f>
        <v>0</v>
      </c>
      <c r="H27" s="12">
        <f>COUNTIFS('Trial Database'!$J$2:$J$28727,"&gt;="&amp;DATE(2020,6,1),'Trial Database'!$J$2:$J$28727,"&lt;"&amp;DATE(2020,7,1),'Trial Database'!$E$2:$E$28727,"Phase 4")</f>
        <v>0</v>
      </c>
      <c r="I27" s="13">
        <f>SUM(B27:H27)</f>
        <v>0</v>
      </c>
      <c r="J27" s="12">
        <f>DAY(EOMONTH(A27,0))</f>
        <v>0</v>
      </c>
      <c r="K27" s="21">
        <f>IF(J27=0,0,I27/J27)</f>
        <v>0</v>
      </c>
    </row>
    <row r="28" spans="1:11">
      <c r="A28" s="20">
        <v>44013</v>
      </c>
      <c r="B28" s="12">
        <f>COUNTIFS('Trial Database'!$J$2:$J$28727,"&gt;="&amp;DATE(2020,7,1),'Trial Database'!$J$2:$J$28727,"&lt;"&amp;DATE(2020,8,1),'Trial Database'!$E$2:$E$28727,"Early Phase 1")</f>
        <v>0</v>
      </c>
      <c r="C28" s="12">
        <f>COUNTIFS('Trial Database'!$J$2:$J$28727,"&gt;="&amp;DATE(2020,7,1),'Trial Database'!$J$2:$J$28727,"&lt;"&amp;DATE(2020,8,1),'Trial Database'!$E$2:$E$28727,"Phase 1")</f>
        <v>0</v>
      </c>
      <c r="D28" s="12">
        <f>COUNTIFS('Trial Database'!$J$2:$J$28727,"&gt;="&amp;DATE(2020,7,1),'Trial Database'!$J$2:$J$28727,"&lt;"&amp;DATE(2020,8,1),'Trial Database'!$E$2:$E$28727,"Phase 1/2")</f>
        <v>0</v>
      </c>
      <c r="E28" s="12">
        <f>COUNTIFS('Trial Database'!$J$2:$J$28727,"&gt;="&amp;DATE(2020,7,1),'Trial Database'!$J$2:$J$28727,"&lt;"&amp;DATE(2020,8,1),'Trial Database'!$E$2:$E$28727,"Phase 2")</f>
        <v>0</v>
      </c>
      <c r="F28" s="12">
        <f>COUNTIFS('Trial Database'!$J$2:$J$28727,"&gt;="&amp;DATE(2020,7,1),'Trial Database'!$J$2:$J$28727,"&lt;"&amp;DATE(2020,8,1),'Trial Database'!$E$2:$E$28727,"Phase 2/3")</f>
        <v>0</v>
      </c>
      <c r="G28" s="12">
        <f>COUNTIFS('Trial Database'!$J$2:$J$28727,"&gt;="&amp;DATE(2020,7,1),'Trial Database'!$J$2:$J$28727,"&lt;"&amp;DATE(2020,8,1),'Trial Database'!$E$2:$E$28727,"Phase 3")</f>
        <v>0</v>
      </c>
      <c r="H28" s="12">
        <f>COUNTIFS('Trial Database'!$J$2:$J$28727,"&gt;="&amp;DATE(2020,7,1),'Trial Database'!$J$2:$J$28727,"&lt;"&amp;DATE(2020,8,1),'Trial Database'!$E$2:$E$28727,"Phase 4")</f>
        <v>0</v>
      </c>
      <c r="I28" s="13">
        <f>SUM(B28:H28)</f>
        <v>0</v>
      </c>
      <c r="J28" s="12">
        <f>DAY(EOMONTH(A28,0))</f>
        <v>0</v>
      </c>
      <c r="K28" s="21">
        <f>IF(J28=0,0,I28/J28)</f>
        <v>0</v>
      </c>
    </row>
    <row r="29" spans="1:11">
      <c r="A29" s="20">
        <v>44044</v>
      </c>
      <c r="B29" s="12">
        <f>COUNTIFS('Trial Database'!$J$2:$J$28727,"&gt;="&amp;DATE(2020,8,1),'Trial Database'!$J$2:$J$28727,"&lt;"&amp;DATE(2020,9,1),'Trial Database'!$E$2:$E$28727,"Early Phase 1")</f>
        <v>0</v>
      </c>
      <c r="C29" s="12">
        <f>COUNTIFS('Trial Database'!$J$2:$J$28727,"&gt;="&amp;DATE(2020,8,1),'Trial Database'!$J$2:$J$28727,"&lt;"&amp;DATE(2020,9,1),'Trial Database'!$E$2:$E$28727,"Phase 1")</f>
        <v>0</v>
      </c>
      <c r="D29" s="12">
        <f>COUNTIFS('Trial Database'!$J$2:$J$28727,"&gt;="&amp;DATE(2020,8,1),'Trial Database'!$J$2:$J$28727,"&lt;"&amp;DATE(2020,9,1),'Trial Database'!$E$2:$E$28727,"Phase 1/2")</f>
        <v>0</v>
      </c>
      <c r="E29" s="12">
        <f>COUNTIFS('Trial Database'!$J$2:$J$28727,"&gt;="&amp;DATE(2020,8,1),'Trial Database'!$J$2:$J$28727,"&lt;"&amp;DATE(2020,9,1),'Trial Database'!$E$2:$E$28727,"Phase 2")</f>
        <v>0</v>
      </c>
      <c r="F29" s="12">
        <f>COUNTIFS('Trial Database'!$J$2:$J$28727,"&gt;="&amp;DATE(2020,8,1),'Trial Database'!$J$2:$J$28727,"&lt;"&amp;DATE(2020,9,1),'Trial Database'!$E$2:$E$28727,"Phase 2/3")</f>
        <v>0</v>
      </c>
      <c r="G29" s="12">
        <f>COUNTIFS('Trial Database'!$J$2:$J$28727,"&gt;="&amp;DATE(2020,8,1),'Trial Database'!$J$2:$J$28727,"&lt;"&amp;DATE(2020,9,1),'Trial Database'!$E$2:$E$28727,"Phase 3")</f>
        <v>0</v>
      </c>
      <c r="H29" s="12">
        <f>COUNTIFS('Trial Database'!$J$2:$J$28727,"&gt;="&amp;DATE(2020,8,1),'Trial Database'!$J$2:$J$28727,"&lt;"&amp;DATE(2020,9,1),'Trial Database'!$E$2:$E$28727,"Phase 4")</f>
        <v>0</v>
      </c>
      <c r="I29" s="13">
        <f>SUM(B29:H29)</f>
        <v>0</v>
      </c>
      <c r="J29" s="12">
        <f>DAY(EOMONTH(A29,0))</f>
        <v>0</v>
      </c>
      <c r="K29" s="21">
        <f>IF(J29=0,0,I29/J29)</f>
        <v>0</v>
      </c>
    </row>
    <row r="30" spans="1:11">
      <c r="A30" s="20">
        <v>44075</v>
      </c>
      <c r="B30" s="12">
        <f>COUNTIFS('Trial Database'!$J$2:$J$28727,"&gt;="&amp;DATE(2020,9,1),'Trial Database'!$J$2:$J$28727,"&lt;"&amp;DATE(2020,10,1),'Trial Database'!$E$2:$E$28727,"Early Phase 1")</f>
        <v>0</v>
      </c>
      <c r="C30" s="12">
        <f>COUNTIFS('Trial Database'!$J$2:$J$28727,"&gt;="&amp;DATE(2020,9,1),'Trial Database'!$J$2:$J$28727,"&lt;"&amp;DATE(2020,10,1),'Trial Database'!$E$2:$E$28727,"Phase 1")</f>
        <v>0</v>
      </c>
      <c r="D30" s="12">
        <f>COUNTIFS('Trial Database'!$J$2:$J$28727,"&gt;="&amp;DATE(2020,9,1),'Trial Database'!$J$2:$J$28727,"&lt;"&amp;DATE(2020,10,1),'Trial Database'!$E$2:$E$28727,"Phase 1/2")</f>
        <v>0</v>
      </c>
      <c r="E30" s="12">
        <f>COUNTIFS('Trial Database'!$J$2:$J$28727,"&gt;="&amp;DATE(2020,9,1),'Trial Database'!$J$2:$J$28727,"&lt;"&amp;DATE(2020,10,1),'Trial Database'!$E$2:$E$28727,"Phase 2")</f>
        <v>0</v>
      </c>
      <c r="F30" s="12">
        <f>COUNTIFS('Trial Database'!$J$2:$J$28727,"&gt;="&amp;DATE(2020,9,1),'Trial Database'!$J$2:$J$28727,"&lt;"&amp;DATE(2020,10,1),'Trial Database'!$E$2:$E$28727,"Phase 2/3")</f>
        <v>0</v>
      </c>
      <c r="G30" s="12">
        <f>COUNTIFS('Trial Database'!$J$2:$J$28727,"&gt;="&amp;DATE(2020,9,1),'Trial Database'!$J$2:$J$28727,"&lt;"&amp;DATE(2020,10,1),'Trial Database'!$E$2:$E$28727,"Phase 3")</f>
        <v>0</v>
      </c>
      <c r="H30" s="12">
        <f>COUNTIFS('Trial Database'!$J$2:$J$28727,"&gt;="&amp;DATE(2020,9,1),'Trial Database'!$J$2:$J$28727,"&lt;"&amp;DATE(2020,10,1),'Trial Database'!$E$2:$E$28727,"Phase 4")</f>
        <v>0</v>
      </c>
      <c r="I30" s="13">
        <f>SUM(B30:H30)</f>
        <v>0</v>
      </c>
      <c r="J30" s="12">
        <f>DAY(EOMONTH(A30,0))</f>
        <v>0</v>
      </c>
      <c r="K30" s="21">
        <f>IF(J30=0,0,I30/J30)</f>
        <v>0</v>
      </c>
    </row>
    <row r="31" spans="1:11">
      <c r="A31" s="20">
        <v>44105</v>
      </c>
      <c r="B31" s="12">
        <f>COUNTIFS('Trial Database'!$J$2:$J$28727,"&gt;="&amp;DATE(2020,10,1),'Trial Database'!$J$2:$J$28727,"&lt;"&amp;DATE(2020,11,1),'Trial Database'!$E$2:$E$28727,"Early Phase 1")</f>
        <v>0</v>
      </c>
      <c r="C31" s="12">
        <f>COUNTIFS('Trial Database'!$J$2:$J$28727,"&gt;="&amp;DATE(2020,10,1),'Trial Database'!$J$2:$J$28727,"&lt;"&amp;DATE(2020,11,1),'Trial Database'!$E$2:$E$28727,"Phase 1")</f>
        <v>0</v>
      </c>
      <c r="D31" s="12">
        <f>COUNTIFS('Trial Database'!$J$2:$J$28727,"&gt;="&amp;DATE(2020,10,1),'Trial Database'!$J$2:$J$28727,"&lt;"&amp;DATE(2020,11,1),'Trial Database'!$E$2:$E$28727,"Phase 1/2")</f>
        <v>0</v>
      </c>
      <c r="E31" s="12">
        <f>COUNTIFS('Trial Database'!$J$2:$J$28727,"&gt;="&amp;DATE(2020,10,1),'Trial Database'!$J$2:$J$28727,"&lt;"&amp;DATE(2020,11,1),'Trial Database'!$E$2:$E$28727,"Phase 2")</f>
        <v>0</v>
      </c>
      <c r="F31" s="12">
        <f>COUNTIFS('Trial Database'!$J$2:$J$28727,"&gt;="&amp;DATE(2020,10,1),'Trial Database'!$J$2:$J$28727,"&lt;"&amp;DATE(2020,11,1),'Trial Database'!$E$2:$E$28727,"Phase 2/3")</f>
        <v>0</v>
      </c>
      <c r="G31" s="12">
        <f>COUNTIFS('Trial Database'!$J$2:$J$28727,"&gt;="&amp;DATE(2020,10,1),'Trial Database'!$J$2:$J$28727,"&lt;"&amp;DATE(2020,11,1),'Trial Database'!$E$2:$E$28727,"Phase 3")</f>
        <v>0</v>
      </c>
      <c r="H31" s="12">
        <f>COUNTIFS('Trial Database'!$J$2:$J$28727,"&gt;="&amp;DATE(2020,10,1),'Trial Database'!$J$2:$J$28727,"&lt;"&amp;DATE(2020,11,1),'Trial Database'!$E$2:$E$28727,"Phase 4")</f>
        <v>0</v>
      </c>
      <c r="I31" s="13">
        <f>SUM(B31:H31)</f>
        <v>0</v>
      </c>
      <c r="J31" s="12">
        <f>DAY(EOMONTH(A31,0))</f>
        <v>0</v>
      </c>
      <c r="K31" s="21">
        <f>IF(J31=0,0,I31/J31)</f>
        <v>0</v>
      </c>
    </row>
    <row r="32" spans="1:11">
      <c r="A32" s="20">
        <v>44136</v>
      </c>
      <c r="B32" s="12">
        <f>COUNTIFS('Trial Database'!$J$2:$J$28727,"&gt;="&amp;DATE(2020,11,1),'Trial Database'!$J$2:$J$28727,"&lt;"&amp;DATE(2020,12,1),'Trial Database'!$E$2:$E$28727,"Early Phase 1")</f>
        <v>0</v>
      </c>
      <c r="C32" s="12">
        <f>COUNTIFS('Trial Database'!$J$2:$J$28727,"&gt;="&amp;DATE(2020,11,1),'Trial Database'!$J$2:$J$28727,"&lt;"&amp;DATE(2020,12,1),'Trial Database'!$E$2:$E$28727,"Phase 1")</f>
        <v>0</v>
      </c>
      <c r="D32" s="12">
        <f>COUNTIFS('Trial Database'!$J$2:$J$28727,"&gt;="&amp;DATE(2020,11,1),'Trial Database'!$J$2:$J$28727,"&lt;"&amp;DATE(2020,12,1),'Trial Database'!$E$2:$E$28727,"Phase 1/2")</f>
        <v>0</v>
      </c>
      <c r="E32" s="12">
        <f>COUNTIFS('Trial Database'!$J$2:$J$28727,"&gt;="&amp;DATE(2020,11,1),'Trial Database'!$J$2:$J$28727,"&lt;"&amp;DATE(2020,12,1),'Trial Database'!$E$2:$E$28727,"Phase 2")</f>
        <v>0</v>
      </c>
      <c r="F32" s="12">
        <f>COUNTIFS('Trial Database'!$J$2:$J$28727,"&gt;="&amp;DATE(2020,11,1),'Trial Database'!$J$2:$J$28727,"&lt;"&amp;DATE(2020,12,1),'Trial Database'!$E$2:$E$28727,"Phase 2/3")</f>
        <v>0</v>
      </c>
      <c r="G32" s="12">
        <f>COUNTIFS('Trial Database'!$J$2:$J$28727,"&gt;="&amp;DATE(2020,11,1),'Trial Database'!$J$2:$J$28727,"&lt;"&amp;DATE(2020,12,1),'Trial Database'!$E$2:$E$28727,"Phase 3")</f>
        <v>0</v>
      </c>
      <c r="H32" s="12">
        <f>COUNTIFS('Trial Database'!$J$2:$J$28727,"&gt;="&amp;DATE(2020,11,1),'Trial Database'!$J$2:$J$28727,"&lt;"&amp;DATE(2020,12,1),'Trial Database'!$E$2:$E$28727,"Phase 4")</f>
        <v>0</v>
      </c>
      <c r="I32" s="13">
        <f>SUM(B32:H32)</f>
        <v>0</v>
      </c>
      <c r="J32" s="12">
        <f>DAY(EOMONTH(A32,0))</f>
        <v>0</v>
      </c>
      <c r="K32" s="21">
        <f>IF(J32=0,0,I32/J32)</f>
        <v>0</v>
      </c>
    </row>
    <row r="33" spans="1:11">
      <c r="A33" s="20">
        <v>44166</v>
      </c>
      <c r="B33" s="12">
        <f>COUNTIFS('Trial Database'!$J$2:$J$28727,"&gt;="&amp;DATE(2020,12,1),'Trial Database'!$J$2:$J$28727,"&lt;"&amp;DATE(2020,13,1),'Trial Database'!$E$2:$E$28727,"Early Phase 1")</f>
        <v>0</v>
      </c>
      <c r="C33" s="12">
        <f>COUNTIFS('Trial Database'!$J$2:$J$28727,"&gt;="&amp;DATE(2020,12,1),'Trial Database'!$J$2:$J$28727,"&lt;"&amp;DATE(2020,13,1),'Trial Database'!$E$2:$E$28727,"Phase 1")</f>
        <v>0</v>
      </c>
      <c r="D33" s="12">
        <f>COUNTIFS('Trial Database'!$J$2:$J$28727,"&gt;="&amp;DATE(2020,12,1),'Trial Database'!$J$2:$J$28727,"&lt;"&amp;DATE(2020,13,1),'Trial Database'!$E$2:$E$28727,"Phase 1/2")</f>
        <v>0</v>
      </c>
      <c r="E33" s="12">
        <f>COUNTIFS('Trial Database'!$J$2:$J$28727,"&gt;="&amp;DATE(2020,12,1),'Trial Database'!$J$2:$J$28727,"&lt;"&amp;DATE(2020,13,1),'Trial Database'!$E$2:$E$28727,"Phase 2")</f>
        <v>0</v>
      </c>
      <c r="F33" s="12">
        <f>COUNTIFS('Trial Database'!$J$2:$J$28727,"&gt;="&amp;DATE(2020,12,1),'Trial Database'!$J$2:$J$28727,"&lt;"&amp;DATE(2020,13,1),'Trial Database'!$E$2:$E$28727,"Phase 2/3")</f>
        <v>0</v>
      </c>
      <c r="G33" s="12">
        <f>COUNTIFS('Trial Database'!$J$2:$J$28727,"&gt;="&amp;DATE(2020,12,1),'Trial Database'!$J$2:$J$28727,"&lt;"&amp;DATE(2020,13,1),'Trial Database'!$E$2:$E$28727,"Phase 3")</f>
        <v>0</v>
      </c>
      <c r="H33" s="12">
        <f>COUNTIFS('Trial Database'!$J$2:$J$28727,"&gt;="&amp;DATE(2020,12,1),'Trial Database'!$J$2:$J$28727,"&lt;"&amp;DATE(2020,13,1),'Trial Database'!$E$2:$E$28727,"Phase 4")</f>
        <v>0</v>
      </c>
      <c r="I33" s="13">
        <f>SUM(B33:H33)</f>
        <v>0</v>
      </c>
      <c r="J33" s="12">
        <f>DAY(EOMONTH(A33,0))</f>
        <v>0</v>
      </c>
      <c r="K33" s="21">
        <f>IF(J33=0,0,I33/J33)</f>
        <v>0</v>
      </c>
    </row>
    <row r="34" spans="1:11">
      <c r="A34" s="20">
        <v>44197</v>
      </c>
      <c r="B34" s="12">
        <f>COUNTIFS('Trial Database'!$J$2:$J$28727,"&gt;="&amp;DATE(2021,1,1),'Trial Database'!$J$2:$J$28727,"&lt;"&amp;DATE(2021,2,1),'Trial Database'!$E$2:$E$28727,"Early Phase 1")</f>
        <v>0</v>
      </c>
      <c r="C34" s="12">
        <f>COUNTIFS('Trial Database'!$J$2:$J$28727,"&gt;="&amp;DATE(2021,1,1),'Trial Database'!$J$2:$J$28727,"&lt;"&amp;DATE(2021,2,1),'Trial Database'!$E$2:$E$28727,"Phase 1")</f>
        <v>0</v>
      </c>
      <c r="D34" s="12">
        <f>COUNTIFS('Trial Database'!$J$2:$J$28727,"&gt;="&amp;DATE(2021,1,1),'Trial Database'!$J$2:$J$28727,"&lt;"&amp;DATE(2021,2,1),'Trial Database'!$E$2:$E$28727,"Phase 1/2")</f>
        <v>0</v>
      </c>
      <c r="E34" s="12">
        <f>COUNTIFS('Trial Database'!$J$2:$J$28727,"&gt;="&amp;DATE(2021,1,1),'Trial Database'!$J$2:$J$28727,"&lt;"&amp;DATE(2021,2,1),'Trial Database'!$E$2:$E$28727,"Phase 2")</f>
        <v>0</v>
      </c>
      <c r="F34" s="12">
        <f>COUNTIFS('Trial Database'!$J$2:$J$28727,"&gt;="&amp;DATE(2021,1,1),'Trial Database'!$J$2:$J$28727,"&lt;"&amp;DATE(2021,2,1),'Trial Database'!$E$2:$E$28727,"Phase 2/3")</f>
        <v>0</v>
      </c>
      <c r="G34" s="12">
        <f>COUNTIFS('Trial Database'!$J$2:$J$28727,"&gt;="&amp;DATE(2021,1,1),'Trial Database'!$J$2:$J$28727,"&lt;"&amp;DATE(2021,2,1),'Trial Database'!$E$2:$E$28727,"Phase 3")</f>
        <v>0</v>
      </c>
      <c r="H34" s="12">
        <f>COUNTIFS('Trial Database'!$J$2:$J$28727,"&gt;="&amp;DATE(2021,1,1),'Trial Database'!$J$2:$J$28727,"&lt;"&amp;DATE(2021,2,1),'Trial Database'!$E$2:$E$28727,"Phase 4")</f>
        <v>0</v>
      </c>
      <c r="I34" s="13">
        <f>SUM(B34:H34)</f>
        <v>0</v>
      </c>
      <c r="J34" s="12">
        <f>DAY(EOMONTH(A34,0))</f>
        <v>0</v>
      </c>
      <c r="K34" s="21">
        <f>IF(J34=0,0,I34/J34)</f>
        <v>0</v>
      </c>
    </row>
    <row r="35" spans="1:11">
      <c r="A35" s="20">
        <v>44228</v>
      </c>
      <c r="B35" s="12">
        <f>COUNTIFS('Trial Database'!$J$2:$J$28727,"&gt;="&amp;DATE(2021,2,1),'Trial Database'!$J$2:$J$28727,"&lt;"&amp;DATE(2021,3,1),'Trial Database'!$E$2:$E$28727,"Early Phase 1")</f>
        <v>0</v>
      </c>
      <c r="C35" s="12">
        <f>COUNTIFS('Trial Database'!$J$2:$J$28727,"&gt;="&amp;DATE(2021,2,1),'Trial Database'!$J$2:$J$28727,"&lt;"&amp;DATE(2021,3,1),'Trial Database'!$E$2:$E$28727,"Phase 1")</f>
        <v>0</v>
      </c>
      <c r="D35" s="12">
        <f>COUNTIFS('Trial Database'!$J$2:$J$28727,"&gt;="&amp;DATE(2021,2,1),'Trial Database'!$J$2:$J$28727,"&lt;"&amp;DATE(2021,3,1),'Trial Database'!$E$2:$E$28727,"Phase 1/2")</f>
        <v>0</v>
      </c>
      <c r="E35" s="12">
        <f>COUNTIFS('Trial Database'!$J$2:$J$28727,"&gt;="&amp;DATE(2021,2,1),'Trial Database'!$J$2:$J$28727,"&lt;"&amp;DATE(2021,3,1),'Trial Database'!$E$2:$E$28727,"Phase 2")</f>
        <v>0</v>
      </c>
      <c r="F35" s="12">
        <f>COUNTIFS('Trial Database'!$J$2:$J$28727,"&gt;="&amp;DATE(2021,2,1),'Trial Database'!$J$2:$J$28727,"&lt;"&amp;DATE(2021,3,1),'Trial Database'!$E$2:$E$28727,"Phase 2/3")</f>
        <v>0</v>
      </c>
      <c r="G35" s="12">
        <f>COUNTIFS('Trial Database'!$J$2:$J$28727,"&gt;="&amp;DATE(2021,2,1),'Trial Database'!$J$2:$J$28727,"&lt;"&amp;DATE(2021,3,1),'Trial Database'!$E$2:$E$28727,"Phase 3")</f>
        <v>0</v>
      </c>
      <c r="H35" s="12">
        <f>COUNTIFS('Trial Database'!$J$2:$J$28727,"&gt;="&amp;DATE(2021,2,1),'Trial Database'!$J$2:$J$28727,"&lt;"&amp;DATE(2021,3,1),'Trial Database'!$E$2:$E$28727,"Phase 4")</f>
        <v>0</v>
      </c>
      <c r="I35" s="13">
        <f>SUM(B35:H35)</f>
        <v>0</v>
      </c>
      <c r="J35" s="12">
        <f>DAY(EOMONTH(A35,0))</f>
        <v>0</v>
      </c>
      <c r="K35" s="21">
        <f>IF(J35=0,0,I35/J35)</f>
        <v>0</v>
      </c>
    </row>
    <row r="36" spans="1:11">
      <c r="A36" s="20">
        <v>44256</v>
      </c>
      <c r="B36" s="12">
        <f>COUNTIFS('Trial Database'!$J$2:$J$28727,"&gt;="&amp;DATE(2021,3,1),'Trial Database'!$J$2:$J$28727,"&lt;"&amp;DATE(2021,4,1),'Trial Database'!$E$2:$E$28727,"Early Phase 1")</f>
        <v>0</v>
      </c>
      <c r="C36" s="12">
        <f>COUNTIFS('Trial Database'!$J$2:$J$28727,"&gt;="&amp;DATE(2021,3,1),'Trial Database'!$J$2:$J$28727,"&lt;"&amp;DATE(2021,4,1),'Trial Database'!$E$2:$E$28727,"Phase 1")</f>
        <v>0</v>
      </c>
      <c r="D36" s="12">
        <f>COUNTIFS('Trial Database'!$J$2:$J$28727,"&gt;="&amp;DATE(2021,3,1),'Trial Database'!$J$2:$J$28727,"&lt;"&amp;DATE(2021,4,1),'Trial Database'!$E$2:$E$28727,"Phase 1/2")</f>
        <v>0</v>
      </c>
      <c r="E36" s="12">
        <f>COUNTIFS('Trial Database'!$J$2:$J$28727,"&gt;="&amp;DATE(2021,3,1),'Trial Database'!$J$2:$J$28727,"&lt;"&amp;DATE(2021,4,1),'Trial Database'!$E$2:$E$28727,"Phase 2")</f>
        <v>0</v>
      </c>
      <c r="F36" s="12">
        <f>COUNTIFS('Trial Database'!$J$2:$J$28727,"&gt;="&amp;DATE(2021,3,1),'Trial Database'!$J$2:$J$28727,"&lt;"&amp;DATE(2021,4,1),'Trial Database'!$E$2:$E$28727,"Phase 2/3")</f>
        <v>0</v>
      </c>
      <c r="G36" s="12">
        <f>COUNTIFS('Trial Database'!$J$2:$J$28727,"&gt;="&amp;DATE(2021,3,1),'Trial Database'!$J$2:$J$28727,"&lt;"&amp;DATE(2021,4,1),'Trial Database'!$E$2:$E$28727,"Phase 3")</f>
        <v>0</v>
      </c>
      <c r="H36" s="12">
        <f>COUNTIFS('Trial Database'!$J$2:$J$28727,"&gt;="&amp;DATE(2021,3,1),'Trial Database'!$J$2:$J$28727,"&lt;"&amp;DATE(2021,4,1),'Trial Database'!$E$2:$E$28727,"Phase 4")</f>
        <v>0</v>
      </c>
      <c r="I36" s="13">
        <f>SUM(B36:H36)</f>
        <v>0</v>
      </c>
      <c r="J36" s="12">
        <f>DAY(EOMONTH(A36,0))</f>
        <v>0</v>
      </c>
      <c r="K36" s="21">
        <f>IF(J36=0,0,I36/J36)</f>
        <v>0</v>
      </c>
    </row>
    <row r="37" spans="1:11">
      <c r="A37" s="20">
        <v>44287</v>
      </c>
      <c r="B37" s="12">
        <f>COUNTIFS('Trial Database'!$J$2:$J$28727,"&gt;="&amp;DATE(2021,4,1),'Trial Database'!$J$2:$J$28727,"&lt;"&amp;DATE(2021,5,1),'Trial Database'!$E$2:$E$28727,"Early Phase 1")</f>
        <v>0</v>
      </c>
      <c r="C37" s="12">
        <f>COUNTIFS('Trial Database'!$J$2:$J$28727,"&gt;="&amp;DATE(2021,4,1),'Trial Database'!$J$2:$J$28727,"&lt;"&amp;DATE(2021,5,1),'Trial Database'!$E$2:$E$28727,"Phase 1")</f>
        <v>0</v>
      </c>
      <c r="D37" s="12">
        <f>COUNTIFS('Trial Database'!$J$2:$J$28727,"&gt;="&amp;DATE(2021,4,1),'Trial Database'!$J$2:$J$28727,"&lt;"&amp;DATE(2021,5,1),'Trial Database'!$E$2:$E$28727,"Phase 1/2")</f>
        <v>0</v>
      </c>
      <c r="E37" s="12">
        <f>COUNTIFS('Trial Database'!$J$2:$J$28727,"&gt;="&amp;DATE(2021,4,1),'Trial Database'!$J$2:$J$28727,"&lt;"&amp;DATE(2021,5,1),'Trial Database'!$E$2:$E$28727,"Phase 2")</f>
        <v>0</v>
      </c>
      <c r="F37" s="12">
        <f>COUNTIFS('Trial Database'!$J$2:$J$28727,"&gt;="&amp;DATE(2021,4,1),'Trial Database'!$J$2:$J$28727,"&lt;"&amp;DATE(2021,5,1),'Trial Database'!$E$2:$E$28727,"Phase 2/3")</f>
        <v>0</v>
      </c>
      <c r="G37" s="12">
        <f>COUNTIFS('Trial Database'!$J$2:$J$28727,"&gt;="&amp;DATE(2021,4,1),'Trial Database'!$J$2:$J$28727,"&lt;"&amp;DATE(2021,5,1),'Trial Database'!$E$2:$E$28727,"Phase 3")</f>
        <v>0</v>
      </c>
      <c r="H37" s="12">
        <f>COUNTIFS('Trial Database'!$J$2:$J$28727,"&gt;="&amp;DATE(2021,4,1),'Trial Database'!$J$2:$J$28727,"&lt;"&amp;DATE(2021,5,1),'Trial Database'!$E$2:$E$28727,"Phase 4")</f>
        <v>0</v>
      </c>
      <c r="I37" s="13">
        <f>SUM(B37:H37)</f>
        <v>0</v>
      </c>
      <c r="J37" s="12">
        <f>DAY(EOMONTH(A37,0))</f>
        <v>0</v>
      </c>
      <c r="K37" s="21">
        <f>IF(J37=0,0,I37/J37)</f>
        <v>0</v>
      </c>
    </row>
    <row r="38" spans="1:11">
      <c r="A38" s="20">
        <v>44317</v>
      </c>
      <c r="B38" s="12">
        <f>COUNTIFS('Trial Database'!$J$2:$J$28727,"&gt;="&amp;DATE(2021,5,1),'Trial Database'!$J$2:$J$28727,"&lt;"&amp;DATE(2021,6,1),'Trial Database'!$E$2:$E$28727,"Early Phase 1")</f>
        <v>0</v>
      </c>
      <c r="C38" s="12">
        <f>COUNTIFS('Trial Database'!$J$2:$J$28727,"&gt;="&amp;DATE(2021,5,1),'Trial Database'!$J$2:$J$28727,"&lt;"&amp;DATE(2021,6,1),'Trial Database'!$E$2:$E$28727,"Phase 1")</f>
        <v>0</v>
      </c>
      <c r="D38" s="12">
        <f>COUNTIFS('Trial Database'!$J$2:$J$28727,"&gt;="&amp;DATE(2021,5,1),'Trial Database'!$J$2:$J$28727,"&lt;"&amp;DATE(2021,6,1),'Trial Database'!$E$2:$E$28727,"Phase 1/2")</f>
        <v>0</v>
      </c>
      <c r="E38" s="12">
        <f>COUNTIFS('Trial Database'!$J$2:$J$28727,"&gt;="&amp;DATE(2021,5,1),'Trial Database'!$J$2:$J$28727,"&lt;"&amp;DATE(2021,6,1),'Trial Database'!$E$2:$E$28727,"Phase 2")</f>
        <v>0</v>
      </c>
      <c r="F38" s="12">
        <f>COUNTIFS('Trial Database'!$J$2:$J$28727,"&gt;="&amp;DATE(2021,5,1),'Trial Database'!$J$2:$J$28727,"&lt;"&amp;DATE(2021,6,1),'Trial Database'!$E$2:$E$28727,"Phase 2/3")</f>
        <v>0</v>
      </c>
      <c r="G38" s="12">
        <f>COUNTIFS('Trial Database'!$J$2:$J$28727,"&gt;="&amp;DATE(2021,5,1),'Trial Database'!$J$2:$J$28727,"&lt;"&amp;DATE(2021,6,1),'Trial Database'!$E$2:$E$28727,"Phase 3")</f>
        <v>0</v>
      </c>
      <c r="H38" s="12">
        <f>COUNTIFS('Trial Database'!$J$2:$J$28727,"&gt;="&amp;DATE(2021,5,1),'Trial Database'!$J$2:$J$28727,"&lt;"&amp;DATE(2021,6,1),'Trial Database'!$E$2:$E$28727,"Phase 4")</f>
        <v>0</v>
      </c>
      <c r="I38" s="13">
        <f>SUM(B38:H38)</f>
        <v>0</v>
      </c>
      <c r="J38" s="12">
        <f>DAY(EOMONTH(A38,0))</f>
        <v>0</v>
      </c>
      <c r="K38" s="21">
        <f>IF(J38=0,0,I38/J38)</f>
        <v>0</v>
      </c>
    </row>
    <row r="39" spans="1:11">
      <c r="A39" s="20">
        <v>44348</v>
      </c>
      <c r="B39" s="12">
        <f>COUNTIFS('Trial Database'!$J$2:$J$28727,"&gt;="&amp;DATE(2021,6,1),'Trial Database'!$J$2:$J$28727,"&lt;"&amp;DATE(2021,7,1),'Trial Database'!$E$2:$E$28727,"Early Phase 1")</f>
        <v>0</v>
      </c>
      <c r="C39" s="12">
        <f>COUNTIFS('Trial Database'!$J$2:$J$28727,"&gt;="&amp;DATE(2021,6,1),'Trial Database'!$J$2:$J$28727,"&lt;"&amp;DATE(2021,7,1),'Trial Database'!$E$2:$E$28727,"Phase 1")</f>
        <v>0</v>
      </c>
      <c r="D39" s="12">
        <f>COUNTIFS('Trial Database'!$J$2:$J$28727,"&gt;="&amp;DATE(2021,6,1),'Trial Database'!$J$2:$J$28727,"&lt;"&amp;DATE(2021,7,1),'Trial Database'!$E$2:$E$28727,"Phase 1/2")</f>
        <v>0</v>
      </c>
      <c r="E39" s="12">
        <f>COUNTIFS('Trial Database'!$J$2:$J$28727,"&gt;="&amp;DATE(2021,6,1),'Trial Database'!$J$2:$J$28727,"&lt;"&amp;DATE(2021,7,1),'Trial Database'!$E$2:$E$28727,"Phase 2")</f>
        <v>0</v>
      </c>
      <c r="F39" s="12">
        <f>COUNTIFS('Trial Database'!$J$2:$J$28727,"&gt;="&amp;DATE(2021,6,1),'Trial Database'!$J$2:$J$28727,"&lt;"&amp;DATE(2021,7,1),'Trial Database'!$E$2:$E$28727,"Phase 2/3")</f>
        <v>0</v>
      </c>
      <c r="G39" s="12">
        <f>COUNTIFS('Trial Database'!$J$2:$J$28727,"&gt;="&amp;DATE(2021,6,1),'Trial Database'!$J$2:$J$28727,"&lt;"&amp;DATE(2021,7,1),'Trial Database'!$E$2:$E$28727,"Phase 3")</f>
        <v>0</v>
      </c>
      <c r="H39" s="12">
        <f>COUNTIFS('Trial Database'!$J$2:$J$28727,"&gt;="&amp;DATE(2021,6,1),'Trial Database'!$J$2:$J$28727,"&lt;"&amp;DATE(2021,7,1),'Trial Database'!$E$2:$E$28727,"Phase 4")</f>
        <v>0</v>
      </c>
      <c r="I39" s="13">
        <f>SUM(B39:H39)</f>
        <v>0</v>
      </c>
      <c r="J39" s="12">
        <f>DAY(EOMONTH(A39,0))</f>
        <v>0</v>
      </c>
      <c r="K39" s="21">
        <f>IF(J39=0,0,I39/J39)</f>
        <v>0</v>
      </c>
    </row>
    <row r="40" spans="1:11">
      <c r="A40" s="20">
        <v>44378</v>
      </c>
      <c r="B40" s="12">
        <f>COUNTIFS('Trial Database'!$J$2:$J$28727,"&gt;="&amp;DATE(2021,7,1),'Trial Database'!$J$2:$J$28727,"&lt;"&amp;DATE(2021,8,1),'Trial Database'!$E$2:$E$28727,"Early Phase 1")</f>
        <v>0</v>
      </c>
      <c r="C40" s="12">
        <f>COUNTIFS('Trial Database'!$J$2:$J$28727,"&gt;="&amp;DATE(2021,7,1),'Trial Database'!$J$2:$J$28727,"&lt;"&amp;DATE(2021,8,1),'Trial Database'!$E$2:$E$28727,"Phase 1")</f>
        <v>0</v>
      </c>
      <c r="D40" s="12">
        <f>COUNTIFS('Trial Database'!$J$2:$J$28727,"&gt;="&amp;DATE(2021,7,1),'Trial Database'!$J$2:$J$28727,"&lt;"&amp;DATE(2021,8,1),'Trial Database'!$E$2:$E$28727,"Phase 1/2")</f>
        <v>0</v>
      </c>
      <c r="E40" s="12">
        <f>COUNTIFS('Trial Database'!$J$2:$J$28727,"&gt;="&amp;DATE(2021,7,1),'Trial Database'!$J$2:$J$28727,"&lt;"&amp;DATE(2021,8,1),'Trial Database'!$E$2:$E$28727,"Phase 2")</f>
        <v>0</v>
      </c>
      <c r="F40" s="12">
        <f>COUNTIFS('Trial Database'!$J$2:$J$28727,"&gt;="&amp;DATE(2021,7,1),'Trial Database'!$J$2:$J$28727,"&lt;"&amp;DATE(2021,8,1),'Trial Database'!$E$2:$E$28727,"Phase 2/3")</f>
        <v>0</v>
      </c>
      <c r="G40" s="12">
        <f>COUNTIFS('Trial Database'!$J$2:$J$28727,"&gt;="&amp;DATE(2021,7,1),'Trial Database'!$J$2:$J$28727,"&lt;"&amp;DATE(2021,8,1),'Trial Database'!$E$2:$E$28727,"Phase 3")</f>
        <v>0</v>
      </c>
      <c r="H40" s="12">
        <f>COUNTIFS('Trial Database'!$J$2:$J$28727,"&gt;="&amp;DATE(2021,7,1),'Trial Database'!$J$2:$J$28727,"&lt;"&amp;DATE(2021,8,1),'Trial Database'!$E$2:$E$28727,"Phase 4")</f>
        <v>0</v>
      </c>
      <c r="I40" s="13">
        <f>SUM(B40:H40)</f>
        <v>0</v>
      </c>
      <c r="J40" s="12">
        <f>DAY(EOMONTH(A40,0))</f>
        <v>0</v>
      </c>
      <c r="K40" s="21">
        <f>IF(J40=0,0,I40/J40)</f>
        <v>0</v>
      </c>
    </row>
    <row r="41" spans="1:11">
      <c r="A41" s="20">
        <v>44409</v>
      </c>
      <c r="B41" s="12">
        <f>COUNTIFS('Trial Database'!$J$2:$J$28727,"&gt;="&amp;DATE(2021,8,1),'Trial Database'!$J$2:$J$28727,"&lt;"&amp;DATE(2021,9,1),'Trial Database'!$E$2:$E$28727,"Early Phase 1")</f>
        <v>0</v>
      </c>
      <c r="C41" s="12">
        <f>COUNTIFS('Trial Database'!$J$2:$J$28727,"&gt;="&amp;DATE(2021,8,1),'Trial Database'!$J$2:$J$28727,"&lt;"&amp;DATE(2021,9,1),'Trial Database'!$E$2:$E$28727,"Phase 1")</f>
        <v>0</v>
      </c>
      <c r="D41" s="12">
        <f>COUNTIFS('Trial Database'!$J$2:$J$28727,"&gt;="&amp;DATE(2021,8,1),'Trial Database'!$J$2:$J$28727,"&lt;"&amp;DATE(2021,9,1),'Trial Database'!$E$2:$E$28727,"Phase 1/2")</f>
        <v>0</v>
      </c>
      <c r="E41" s="12">
        <f>COUNTIFS('Trial Database'!$J$2:$J$28727,"&gt;="&amp;DATE(2021,8,1),'Trial Database'!$J$2:$J$28727,"&lt;"&amp;DATE(2021,9,1),'Trial Database'!$E$2:$E$28727,"Phase 2")</f>
        <v>0</v>
      </c>
      <c r="F41" s="12">
        <f>COUNTIFS('Trial Database'!$J$2:$J$28727,"&gt;="&amp;DATE(2021,8,1),'Trial Database'!$J$2:$J$28727,"&lt;"&amp;DATE(2021,9,1),'Trial Database'!$E$2:$E$28727,"Phase 2/3")</f>
        <v>0</v>
      </c>
      <c r="G41" s="12">
        <f>COUNTIFS('Trial Database'!$J$2:$J$28727,"&gt;="&amp;DATE(2021,8,1),'Trial Database'!$J$2:$J$28727,"&lt;"&amp;DATE(2021,9,1),'Trial Database'!$E$2:$E$28727,"Phase 3")</f>
        <v>0</v>
      </c>
      <c r="H41" s="12">
        <f>COUNTIFS('Trial Database'!$J$2:$J$28727,"&gt;="&amp;DATE(2021,8,1),'Trial Database'!$J$2:$J$28727,"&lt;"&amp;DATE(2021,9,1),'Trial Database'!$E$2:$E$28727,"Phase 4")</f>
        <v>0</v>
      </c>
      <c r="I41" s="13">
        <f>SUM(B41:H41)</f>
        <v>0</v>
      </c>
      <c r="J41" s="12">
        <f>DAY(EOMONTH(A41,0))</f>
        <v>0</v>
      </c>
      <c r="K41" s="21">
        <f>IF(J41=0,0,I41/J41)</f>
        <v>0</v>
      </c>
    </row>
    <row r="42" spans="1:11">
      <c r="A42" s="20">
        <v>44440</v>
      </c>
      <c r="B42" s="12">
        <f>COUNTIFS('Trial Database'!$J$2:$J$28727,"&gt;="&amp;DATE(2021,9,1),'Trial Database'!$J$2:$J$28727,"&lt;"&amp;DATE(2021,10,1),'Trial Database'!$E$2:$E$28727,"Early Phase 1")</f>
        <v>0</v>
      </c>
      <c r="C42" s="12">
        <f>COUNTIFS('Trial Database'!$J$2:$J$28727,"&gt;="&amp;DATE(2021,9,1),'Trial Database'!$J$2:$J$28727,"&lt;"&amp;DATE(2021,10,1),'Trial Database'!$E$2:$E$28727,"Phase 1")</f>
        <v>0</v>
      </c>
      <c r="D42" s="12">
        <f>COUNTIFS('Trial Database'!$J$2:$J$28727,"&gt;="&amp;DATE(2021,9,1),'Trial Database'!$J$2:$J$28727,"&lt;"&amp;DATE(2021,10,1),'Trial Database'!$E$2:$E$28727,"Phase 1/2")</f>
        <v>0</v>
      </c>
      <c r="E42" s="12">
        <f>COUNTIFS('Trial Database'!$J$2:$J$28727,"&gt;="&amp;DATE(2021,9,1),'Trial Database'!$J$2:$J$28727,"&lt;"&amp;DATE(2021,10,1),'Trial Database'!$E$2:$E$28727,"Phase 2")</f>
        <v>0</v>
      </c>
      <c r="F42" s="12">
        <f>COUNTIFS('Trial Database'!$J$2:$J$28727,"&gt;="&amp;DATE(2021,9,1),'Trial Database'!$J$2:$J$28727,"&lt;"&amp;DATE(2021,10,1),'Trial Database'!$E$2:$E$28727,"Phase 2/3")</f>
        <v>0</v>
      </c>
      <c r="G42" s="12">
        <f>COUNTIFS('Trial Database'!$J$2:$J$28727,"&gt;="&amp;DATE(2021,9,1),'Trial Database'!$J$2:$J$28727,"&lt;"&amp;DATE(2021,10,1),'Trial Database'!$E$2:$E$28727,"Phase 3")</f>
        <v>0</v>
      </c>
      <c r="H42" s="12">
        <f>COUNTIFS('Trial Database'!$J$2:$J$28727,"&gt;="&amp;DATE(2021,9,1),'Trial Database'!$J$2:$J$28727,"&lt;"&amp;DATE(2021,10,1),'Trial Database'!$E$2:$E$28727,"Phase 4")</f>
        <v>0</v>
      </c>
      <c r="I42" s="13">
        <f>SUM(B42:H42)</f>
        <v>0</v>
      </c>
      <c r="J42" s="12">
        <f>DAY(EOMONTH(A42,0))</f>
        <v>0</v>
      </c>
      <c r="K42" s="21">
        <f>IF(J42=0,0,I42/J42)</f>
        <v>0</v>
      </c>
    </row>
    <row r="43" spans="1:11">
      <c r="A43" s="20">
        <v>44470</v>
      </c>
      <c r="B43" s="12">
        <f>COUNTIFS('Trial Database'!$J$2:$J$28727,"&gt;="&amp;DATE(2021,10,1),'Trial Database'!$J$2:$J$28727,"&lt;"&amp;DATE(2021,11,1),'Trial Database'!$E$2:$E$28727,"Early Phase 1")</f>
        <v>0</v>
      </c>
      <c r="C43" s="12">
        <f>COUNTIFS('Trial Database'!$J$2:$J$28727,"&gt;="&amp;DATE(2021,10,1),'Trial Database'!$J$2:$J$28727,"&lt;"&amp;DATE(2021,11,1),'Trial Database'!$E$2:$E$28727,"Phase 1")</f>
        <v>0</v>
      </c>
      <c r="D43" s="12">
        <f>COUNTIFS('Trial Database'!$J$2:$J$28727,"&gt;="&amp;DATE(2021,10,1),'Trial Database'!$J$2:$J$28727,"&lt;"&amp;DATE(2021,11,1),'Trial Database'!$E$2:$E$28727,"Phase 1/2")</f>
        <v>0</v>
      </c>
      <c r="E43" s="12">
        <f>COUNTIFS('Trial Database'!$J$2:$J$28727,"&gt;="&amp;DATE(2021,10,1),'Trial Database'!$J$2:$J$28727,"&lt;"&amp;DATE(2021,11,1),'Trial Database'!$E$2:$E$28727,"Phase 2")</f>
        <v>0</v>
      </c>
      <c r="F43" s="12">
        <f>COUNTIFS('Trial Database'!$J$2:$J$28727,"&gt;="&amp;DATE(2021,10,1),'Trial Database'!$J$2:$J$28727,"&lt;"&amp;DATE(2021,11,1),'Trial Database'!$E$2:$E$28727,"Phase 2/3")</f>
        <v>0</v>
      </c>
      <c r="G43" s="12">
        <f>COUNTIFS('Trial Database'!$J$2:$J$28727,"&gt;="&amp;DATE(2021,10,1),'Trial Database'!$J$2:$J$28727,"&lt;"&amp;DATE(2021,11,1),'Trial Database'!$E$2:$E$28727,"Phase 3")</f>
        <v>0</v>
      </c>
      <c r="H43" s="12">
        <f>COUNTIFS('Trial Database'!$J$2:$J$28727,"&gt;="&amp;DATE(2021,10,1),'Trial Database'!$J$2:$J$28727,"&lt;"&amp;DATE(2021,11,1),'Trial Database'!$E$2:$E$28727,"Phase 4")</f>
        <v>0</v>
      </c>
      <c r="I43" s="13">
        <f>SUM(B43:H43)</f>
        <v>0</v>
      </c>
      <c r="J43" s="12">
        <f>DAY(EOMONTH(A43,0))</f>
        <v>0</v>
      </c>
      <c r="K43" s="21">
        <f>IF(J43=0,0,I43/J43)</f>
        <v>0</v>
      </c>
    </row>
    <row r="44" spans="1:11">
      <c r="A44" s="20">
        <v>44501</v>
      </c>
      <c r="B44" s="12">
        <f>COUNTIFS('Trial Database'!$J$2:$J$28727,"&gt;="&amp;DATE(2021,11,1),'Trial Database'!$J$2:$J$28727,"&lt;"&amp;DATE(2021,12,1),'Trial Database'!$E$2:$E$28727,"Early Phase 1")</f>
        <v>0</v>
      </c>
      <c r="C44" s="12">
        <f>COUNTIFS('Trial Database'!$J$2:$J$28727,"&gt;="&amp;DATE(2021,11,1),'Trial Database'!$J$2:$J$28727,"&lt;"&amp;DATE(2021,12,1),'Trial Database'!$E$2:$E$28727,"Phase 1")</f>
        <v>0</v>
      </c>
      <c r="D44" s="12">
        <f>COUNTIFS('Trial Database'!$J$2:$J$28727,"&gt;="&amp;DATE(2021,11,1),'Trial Database'!$J$2:$J$28727,"&lt;"&amp;DATE(2021,12,1),'Trial Database'!$E$2:$E$28727,"Phase 1/2")</f>
        <v>0</v>
      </c>
      <c r="E44" s="12">
        <f>COUNTIFS('Trial Database'!$J$2:$J$28727,"&gt;="&amp;DATE(2021,11,1),'Trial Database'!$J$2:$J$28727,"&lt;"&amp;DATE(2021,12,1),'Trial Database'!$E$2:$E$28727,"Phase 2")</f>
        <v>0</v>
      </c>
      <c r="F44" s="12">
        <f>COUNTIFS('Trial Database'!$J$2:$J$28727,"&gt;="&amp;DATE(2021,11,1),'Trial Database'!$J$2:$J$28727,"&lt;"&amp;DATE(2021,12,1),'Trial Database'!$E$2:$E$28727,"Phase 2/3")</f>
        <v>0</v>
      </c>
      <c r="G44" s="12">
        <f>COUNTIFS('Trial Database'!$J$2:$J$28727,"&gt;="&amp;DATE(2021,11,1),'Trial Database'!$J$2:$J$28727,"&lt;"&amp;DATE(2021,12,1),'Trial Database'!$E$2:$E$28727,"Phase 3")</f>
        <v>0</v>
      </c>
      <c r="H44" s="12">
        <f>COUNTIFS('Trial Database'!$J$2:$J$28727,"&gt;="&amp;DATE(2021,11,1),'Trial Database'!$J$2:$J$28727,"&lt;"&amp;DATE(2021,12,1),'Trial Database'!$E$2:$E$28727,"Phase 4")</f>
        <v>0</v>
      </c>
      <c r="I44" s="13">
        <f>SUM(B44:H44)</f>
        <v>0</v>
      </c>
      <c r="J44" s="12">
        <f>DAY(EOMONTH(A44,0))</f>
        <v>0</v>
      </c>
      <c r="K44" s="21">
        <f>IF(J44=0,0,I44/J44)</f>
        <v>0</v>
      </c>
    </row>
    <row r="45" spans="1:11">
      <c r="A45" s="20">
        <v>44531</v>
      </c>
      <c r="B45" s="12">
        <f>COUNTIFS('Trial Database'!$J$2:$J$28727,"&gt;="&amp;DATE(2021,12,1),'Trial Database'!$J$2:$J$28727,"&lt;"&amp;DATE(2021,13,1),'Trial Database'!$E$2:$E$28727,"Early Phase 1")</f>
        <v>0</v>
      </c>
      <c r="C45" s="12">
        <f>COUNTIFS('Trial Database'!$J$2:$J$28727,"&gt;="&amp;DATE(2021,12,1),'Trial Database'!$J$2:$J$28727,"&lt;"&amp;DATE(2021,13,1),'Trial Database'!$E$2:$E$28727,"Phase 1")</f>
        <v>0</v>
      </c>
      <c r="D45" s="12">
        <f>COUNTIFS('Trial Database'!$J$2:$J$28727,"&gt;="&amp;DATE(2021,12,1),'Trial Database'!$J$2:$J$28727,"&lt;"&amp;DATE(2021,13,1),'Trial Database'!$E$2:$E$28727,"Phase 1/2")</f>
        <v>0</v>
      </c>
      <c r="E45" s="12">
        <f>COUNTIFS('Trial Database'!$J$2:$J$28727,"&gt;="&amp;DATE(2021,12,1),'Trial Database'!$J$2:$J$28727,"&lt;"&amp;DATE(2021,13,1),'Trial Database'!$E$2:$E$28727,"Phase 2")</f>
        <v>0</v>
      </c>
      <c r="F45" s="12">
        <f>COUNTIFS('Trial Database'!$J$2:$J$28727,"&gt;="&amp;DATE(2021,12,1),'Trial Database'!$J$2:$J$28727,"&lt;"&amp;DATE(2021,13,1),'Trial Database'!$E$2:$E$28727,"Phase 2/3")</f>
        <v>0</v>
      </c>
      <c r="G45" s="12">
        <f>COUNTIFS('Trial Database'!$J$2:$J$28727,"&gt;="&amp;DATE(2021,12,1),'Trial Database'!$J$2:$J$28727,"&lt;"&amp;DATE(2021,13,1),'Trial Database'!$E$2:$E$28727,"Phase 3")</f>
        <v>0</v>
      </c>
      <c r="H45" s="12">
        <f>COUNTIFS('Trial Database'!$J$2:$J$28727,"&gt;="&amp;DATE(2021,12,1),'Trial Database'!$J$2:$J$28727,"&lt;"&amp;DATE(2021,13,1),'Trial Database'!$E$2:$E$28727,"Phase 4")</f>
        <v>0</v>
      </c>
      <c r="I45" s="13">
        <f>SUM(B45:H45)</f>
        <v>0</v>
      </c>
      <c r="J45" s="12">
        <f>DAY(EOMONTH(A45,0))</f>
        <v>0</v>
      </c>
      <c r="K45" s="21">
        <f>IF(J45=0,0,I45/J45)</f>
        <v>0</v>
      </c>
    </row>
    <row r="46" spans="1:11">
      <c r="A46" s="20">
        <v>44562</v>
      </c>
      <c r="B46" s="12">
        <f>COUNTIFS('Trial Database'!$J$2:$J$28727,"&gt;="&amp;DATE(2022,1,1),'Trial Database'!$J$2:$J$28727,"&lt;"&amp;DATE(2022,2,1),'Trial Database'!$E$2:$E$28727,"Early Phase 1")</f>
        <v>0</v>
      </c>
      <c r="C46" s="12">
        <f>COUNTIFS('Trial Database'!$J$2:$J$28727,"&gt;="&amp;DATE(2022,1,1),'Trial Database'!$J$2:$J$28727,"&lt;"&amp;DATE(2022,2,1),'Trial Database'!$E$2:$E$28727,"Phase 1")</f>
        <v>0</v>
      </c>
      <c r="D46" s="12">
        <f>COUNTIFS('Trial Database'!$J$2:$J$28727,"&gt;="&amp;DATE(2022,1,1),'Trial Database'!$J$2:$J$28727,"&lt;"&amp;DATE(2022,2,1),'Trial Database'!$E$2:$E$28727,"Phase 1/2")</f>
        <v>0</v>
      </c>
      <c r="E46" s="12">
        <f>COUNTIFS('Trial Database'!$J$2:$J$28727,"&gt;="&amp;DATE(2022,1,1),'Trial Database'!$J$2:$J$28727,"&lt;"&amp;DATE(2022,2,1),'Trial Database'!$E$2:$E$28727,"Phase 2")</f>
        <v>0</v>
      </c>
      <c r="F46" s="12">
        <f>COUNTIFS('Trial Database'!$J$2:$J$28727,"&gt;="&amp;DATE(2022,1,1),'Trial Database'!$J$2:$J$28727,"&lt;"&amp;DATE(2022,2,1),'Trial Database'!$E$2:$E$28727,"Phase 2/3")</f>
        <v>0</v>
      </c>
      <c r="G46" s="12">
        <f>COUNTIFS('Trial Database'!$J$2:$J$28727,"&gt;="&amp;DATE(2022,1,1),'Trial Database'!$J$2:$J$28727,"&lt;"&amp;DATE(2022,2,1),'Trial Database'!$E$2:$E$28727,"Phase 3")</f>
        <v>0</v>
      </c>
      <c r="H46" s="12">
        <f>COUNTIFS('Trial Database'!$J$2:$J$28727,"&gt;="&amp;DATE(2022,1,1),'Trial Database'!$J$2:$J$28727,"&lt;"&amp;DATE(2022,2,1),'Trial Database'!$E$2:$E$28727,"Phase 4")</f>
        <v>0</v>
      </c>
      <c r="I46" s="13">
        <f>SUM(B46:H46)</f>
        <v>0</v>
      </c>
      <c r="J46" s="12">
        <f>DAY(EOMONTH(A46,0))</f>
        <v>0</v>
      </c>
      <c r="K46" s="21">
        <f>IF(J46=0,0,I46/J46)</f>
        <v>0</v>
      </c>
    </row>
    <row r="47" spans="1:11">
      <c r="A47" s="20">
        <v>44593</v>
      </c>
      <c r="B47" s="12">
        <f>COUNTIFS('Trial Database'!$J$2:$J$28727,"&gt;="&amp;DATE(2022,2,1),'Trial Database'!$J$2:$J$28727,"&lt;"&amp;DATE(2022,3,1),'Trial Database'!$E$2:$E$28727,"Early Phase 1")</f>
        <v>0</v>
      </c>
      <c r="C47" s="12">
        <f>COUNTIFS('Trial Database'!$J$2:$J$28727,"&gt;="&amp;DATE(2022,2,1),'Trial Database'!$J$2:$J$28727,"&lt;"&amp;DATE(2022,3,1),'Trial Database'!$E$2:$E$28727,"Phase 1")</f>
        <v>0</v>
      </c>
      <c r="D47" s="12">
        <f>COUNTIFS('Trial Database'!$J$2:$J$28727,"&gt;="&amp;DATE(2022,2,1),'Trial Database'!$J$2:$J$28727,"&lt;"&amp;DATE(2022,3,1),'Trial Database'!$E$2:$E$28727,"Phase 1/2")</f>
        <v>0</v>
      </c>
      <c r="E47" s="12">
        <f>COUNTIFS('Trial Database'!$J$2:$J$28727,"&gt;="&amp;DATE(2022,2,1),'Trial Database'!$J$2:$J$28727,"&lt;"&amp;DATE(2022,3,1),'Trial Database'!$E$2:$E$28727,"Phase 2")</f>
        <v>0</v>
      </c>
      <c r="F47" s="12">
        <f>COUNTIFS('Trial Database'!$J$2:$J$28727,"&gt;="&amp;DATE(2022,2,1),'Trial Database'!$J$2:$J$28727,"&lt;"&amp;DATE(2022,3,1),'Trial Database'!$E$2:$E$28727,"Phase 2/3")</f>
        <v>0</v>
      </c>
      <c r="G47" s="12">
        <f>COUNTIFS('Trial Database'!$J$2:$J$28727,"&gt;="&amp;DATE(2022,2,1),'Trial Database'!$J$2:$J$28727,"&lt;"&amp;DATE(2022,3,1),'Trial Database'!$E$2:$E$28727,"Phase 3")</f>
        <v>0</v>
      </c>
      <c r="H47" s="12">
        <f>COUNTIFS('Trial Database'!$J$2:$J$28727,"&gt;="&amp;DATE(2022,2,1),'Trial Database'!$J$2:$J$28727,"&lt;"&amp;DATE(2022,3,1),'Trial Database'!$E$2:$E$28727,"Phase 4")</f>
        <v>0</v>
      </c>
      <c r="I47" s="13">
        <f>SUM(B47:H47)</f>
        <v>0</v>
      </c>
      <c r="J47" s="12">
        <f>DAY(EOMONTH(A47,0))</f>
        <v>0</v>
      </c>
      <c r="K47" s="21">
        <f>IF(J47=0,0,I47/J47)</f>
        <v>0</v>
      </c>
    </row>
    <row r="48" spans="1:11">
      <c r="A48" s="20">
        <v>44621</v>
      </c>
      <c r="B48" s="12">
        <f>COUNTIFS('Trial Database'!$J$2:$J$28727,"&gt;="&amp;DATE(2022,3,1),'Trial Database'!$J$2:$J$28727,"&lt;"&amp;DATE(2022,4,1),'Trial Database'!$E$2:$E$28727,"Early Phase 1")</f>
        <v>0</v>
      </c>
      <c r="C48" s="12">
        <f>COUNTIFS('Trial Database'!$J$2:$J$28727,"&gt;="&amp;DATE(2022,3,1),'Trial Database'!$J$2:$J$28727,"&lt;"&amp;DATE(2022,4,1),'Trial Database'!$E$2:$E$28727,"Phase 1")</f>
        <v>0</v>
      </c>
      <c r="D48" s="12">
        <f>COUNTIFS('Trial Database'!$J$2:$J$28727,"&gt;="&amp;DATE(2022,3,1),'Trial Database'!$J$2:$J$28727,"&lt;"&amp;DATE(2022,4,1),'Trial Database'!$E$2:$E$28727,"Phase 1/2")</f>
        <v>0</v>
      </c>
      <c r="E48" s="12">
        <f>COUNTIFS('Trial Database'!$J$2:$J$28727,"&gt;="&amp;DATE(2022,3,1),'Trial Database'!$J$2:$J$28727,"&lt;"&amp;DATE(2022,4,1),'Trial Database'!$E$2:$E$28727,"Phase 2")</f>
        <v>0</v>
      </c>
      <c r="F48" s="12">
        <f>COUNTIFS('Trial Database'!$J$2:$J$28727,"&gt;="&amp;DATE(2022,3,1),'Trial Database'!$J$2:$J$28727,"&lt;"&amp;DATE(2022,4,1),'Trial Database'!$E$2:$E$28727,"Phase 2/3")</f>
        <v>0</v>
      </c>
      <c r="G48" s="12">
        <f>COUNTIFS('Trial Database'!$J$2:$J$28727,"&gt;="&amp;DATE(2022,3,1),'Trial Database'!$J$2:$J$28727,"&lt;"&amp;DATE(2022,4,1),'Trial Database'!$E$2:$E$28727,"Phase 3")</f>
        <v>0</v>
      </c>
      <c r="H48" s="12">
        <f>COUNTIFS('Trial Database'!$J$2:$J$28727,"&gt;="&amp;DATE(2022,3,1),'Trial Database'!$J$2:$J$28727,"&lt;"&amp;DATE(2022,4,1),'Trial Database'!$E$2:$E$28727,"Phase 4")</f>
        <v>0</v>
      </c>
      <c r="I48" s="13">
        <f>SUM(B48:H48)</f>
        <v>0</v>
      </c>
      <c r="J48" s="12">
        <f>DAY(EOMONTH(A48,0))</f>
        <v>0</v>
      </c>
      <c r="K48" s="21">
        <f>IF(J48=0,0,I48/J48)</f>
        <v>0</v>
      </c>
    </row>
    <row r="49" spans="1:11">
      <c r="A49" s="20">
        <v>44652</v>
      </c>
      <c r="B49" s="12">
        <f>COUNTIFS('Trial Database'!$J$2:$J$28727,"&gt;="&amp;DATE(2022,4,1),'Trial Database'!$J$2:$J$28727,"&lt;"&amp;DATE(2022,5,1),'Trial Database'!$E$2:$E$28727,"Early Phase 1")</f>
        <v>0</v>
      </c>
      <c r="C49" s="12">
        <f>COUNTIFS('Trial Database'!$J$2:$J$28727,"&gt;="&amp;DATE(2022,4,1),'Trial Database'!$J$2:$J$28727,"&lt;"&amp;DATE(2022,5,1),'Trial Database'!$E$2:$E$28727,"Phase 1")</f>
        <v>0</v>
      </c>
      <c r="D49" s="12">
        <f>COUNTIFS('Trial Database'!$J$2:$J$28727,"&gt;="&amp;DATE(2022,4,1),'Trial Database'!$J$2:$J$28727,"&lt;"&amp;DATE(2022,5,1),'Trial Database'!$E$2:$E$28727,"Phase 1/2")</f>
        <v>0</v>
      </c>
      <c r="E49" s="12">
        <f>COUNTIFS('Trial Database'!$J$2:$J$28727,"&gt;="&amp;DATE(2022,4,1),'Trial Database'!$J$2:$J$28727,"&lt;"&amp;DATE(2022,5,1),'Trial Database'!$E$2:$E$28727,"Phase 2")</f>
        <v>0</v>
      </c>
      <c r="F49" s="12">
        <f>COUNTIFS('Trial Database'!$J$2:$J$28727,"&gt;="&amp;DATE(2022,4,1),'Trial Database'!$J$2:$J$28727,"&lt;"&amp;DATE(2022,5,1),'Trial Database'!$E$2:$E$28727,"Phase 2/3")</f>
        <v>0</v>
      </c>
      <c r="G49" s="12">
        <f>COUNTIFS('Trial Database'!$J$2:$J$28727,"&gt;="&amp;DATE(2022,4,1),'Trial Database'!$J$2:$J$28727,"&lt;"&amp;DATE(2022,5,1),'Trial Database'!$E$2:$E$28727,"Phase 3")</f>
        <v>0</v>
      </c>
      <c r="H49" s="12">
        <f>COUNTIFS('Trial Database'!$J$2:$J$28727,"&gt;="&amp;DATE(2022,4,1),'Trial Database'!$J$2:$J$28727,"&lt;"&amp;DATE(2022,5,1),'Trial Database'!$E$2:$E$28727,"Phase 4")</f>
        <v>0</v>
      </c>
      <c r="I49" s="13">
        <f>SUM(B49:H49)</f>
        <v>0</v>
      </c>
      <c r="J49" s="12">
        <f>DAY(EOMONTH(A49,0))</f>
        <v>0</v>
      </c>
      <c r="K49" s="21">
        <f>IF(J49=0,0,I49/J49)</f>
        <v>0</v>
      </c>
    </row>
    <row r="50" spans="1:11">
      <c r="A50" s="20">
        <v>44682</v>
      </c>
      <c r="B50" s="12">
        <f>COUNTIFS('Trial Database'!$J$2:$J$28727,"&gt;="&amp;DATE(2022,5,1),'Trial Database'!$J$2:$J$28727,"&lt;"&amp;DATE(2022,6,1),'Trial Database'!$E$2:$E$28727,"Early Phase 1")</f>
        <v>0</v>
      </c>
      <c r="C50" s="12">
        <f>COUNTIFS('Trial Database'!$J$2:$J$28727,"&gt;="&amp;DATE(2022,5,1),'Trial Database'!$J$2:$J$28727,"&lt;"&amp;DATE(2022,6,1),'Trial Database'!$E$2:$E$28727,"Phase 1")</f>
        <v>0</v>
      </c>
      <c r="D50" s="12">
        <f>COUNTIFS('Trial Database'!$J$2:$J$28727,"&gt;="&amp;DATE(2022,5,1),'Trial Database'!$J$2:$J$28727,"&lt;"&amp;DATE(2022,6,1),'Trial Database'!$E$2:$E$28727,"Phase 1/2")</f>
        <v>0</v>
      </c>
      <c r="E50" s="12">
        <f>COUNTIFS('Trial Database'!$J$2:$J$28727,"&gt;="&amp;DATE(2022,5,1),'Trial Database'!$J$2:$J$28727,"&lt;"&amp;DATE(2022,6,1),'Trial Database'!$E$2:$E$28727,"Phase 2")</f>
        <v>0</v>
      </c>
      <c r="F50" s="12">
        <f>COUNTIFS('Trial Database'!$J$2:$J$28727,"&gt;="&amp;DATE(2022,5,1),'Trial Database'!$J$2:$J$28727,"&lt;"&amp;DATE(2022,6,1),'Trial Database'!$E$2:$E$28727,"Phase 2/3")</f>
        <v>0</v>
      </c>
      <c r="G50" s="12">
        <f>COUNTIFS('Trial Database'!$J$2:$J$28727,"&gt;="&amp;DATE(2022,5,1),'Trial Database'!$J$2:$J$28727,"&lt;"&amp;DATE(2022,6,1),'Trial Database'!$E$2:$E$28727,"Phase 3")</f>
        <v>0</v>
      </c>
      <c r="H50" s="12">
        <f>COUNTIFS('Trial Database'!$J$2:$J$28727,"&gt;="&amp;DATE(2022,5,1),'Trial Database'!$J$2:$J$28727,"&lt;"&amp;DATE(2022,6,1),'Trial Database'!$E$2:$E$28727,"Phase 4")</f>
        <v>0</v>
      </c>
      <c r="I50" s="13">
        <f>SUM(B50:H50)</f>
        <v>0</v>
      </c>
      <c r="J50" s="12">
        <f>DAY(EOMONTH(A50,0))</f>
        <v>0</v>
      </c>
      <c r="K50" s="21">
        <f>IF(J50=0,0,I50/J50)</f>
        <v>0</v>
      </c>
    </row>
    <row r="51" spans="1:11">
      <c r="A51" s="20">
        <v>44713</v>
      </c>
      <c r="B51" s="12">
        <f>COUNTIFS('Trial Database'!$J$2:$J$28727,"&gt;="&amp;DATE(2022,6,1),'Trial Database'!$J$2:$J$28727,"&lt;"&amp;DATE(2022,7,1),'Trial Database'!$E$2:$E$28727,"Early Phase 1")</f>
        <v>0</v>
      </c>
      <c r="C51" s="12">
        <f>COUNTIFS('Trial Database'!$J$2:$J$28727,"&gt;="&amp;DATE(2022,6,1),'Trial Database'!$J$2:$J$28727,"&lt;"&amp;DATE(2022,7,1),'Trial Database'!$E$2:$E$28727,"Phase 1")</f>
        <v>0</v>
      </c>
      <c r="D51" s="12">
        <f>COUNTIFS('Trial Database'!$J$2:$J$28727,"&gt;="&amp;DATE(2022,6,1),'Trial Database'!$J$2:$J$28727,"&lt;"&amp;DATE(2022,7,1),'Trial Database'!$E$2:$E$28727,"Phase 1/2")</f>
        <v>0</v>
      </c>
      <c r="E51" s="12">
        <f>COUNTIFS('Trial Database'!$J$2:$J$28727,"&gt;="&amp;DATE(2022,6,1),'Trial Database'!$J$2:$J$28727,"&lt;"&amp;DATE(2022,7,1),'Trial Database'!$E$2:$E$28727,"Phase 2")</f>
        <v>0</v>
      </c>
      <c r="F51" s="12">
        <f>COUNTIFS('Trial Database'!$J$2:$J$28727,"&gt;="&amp;DATE(2022,6,1),'Trial Database'!$J$2:$J$28727,"&lt;"&amp;DATE(2022,7,1),'Trial Database'!$E$2:$E$28727,"Phase 2/3")</f>
        <v>0</v>
      </c>
      <c r="G51" s="12">
        <f>COUNTIFS('Trial Database'!$J$2:$J$28727,"&gt;="&amp;DATE(2022,6,1),'Trial Database'!$J$2:$J$28727,"&lt;"&amp;DATE(2022,7,1),'Trial Database'!$E$2:$E$28727,"Phase 3")</f>
        <v>0</v>
      </c>
      <c r="H51" s="12">
        <f>COUNTIFS('Trial Database'!$J$2:$J$28727,"&gt;="&amp;DATE(2022,6,1),'Trial Database'!$J$2:$J$28727,"&lt;"&amp;DATE(2022,7,1),'Trial Database'!$E$2:$E$28727,"Phase 4")</f>
        <v>0</v>
      </c>
      <c r="I51" s="13">
        <f>SUM(B51:H51)</f>
        <v>0</v>
      </c>
      <c r="J51" s="12">
        <f>DAY(EOMONTH(A51,0))</f>
        <v>0</v>
      </c>
      <c r="K51" s="21">
        <f>IF(J51=0,0,I51/J51)</f>
        <v>0</v>
      </c>
    </row>
    <row r="52" spans="1:11">
      <c r="A52" s="20">
        <v>44743</v>
      </c>
      <c r="B52" s="12">
        <f>COUNTIFS('Trial Database'!$J$2:$J$28727,"&gt;="&amp;DATE(2022,7,1),'Trial Database'!$J$2:$J$28727,"&lt;"&amp;DATE(2022,8,1),'Trial Database'!$E$2:$E$28727,"Early Phase 1")</f>
        <v>0</v>
      </c>
      <c r="C52" s="12">
        <f>COUNTIFS('Trial Database'!$J$2:$J$28727,"&gt;="&amp;DATE(2022,7,1),'Trial Database'!$J$2:$J$28727,"&lt;"&amp;DATE(2022,8,1),'Trial Database'!$E$2:$E$28727,"Phase 1")</f>
        <v>0</v>
      </c>
      <c r="D52" s="12">
        <f>COUNTIFS('Trial Database'!$J$2:$J$28727,"&gt;="&amp;DATE(2022,7,1),'Trial Database'!$J$2:$J$28727,"&lt;"&amp;DATE(2022,8,1),'Trial Database'!$E$2:$E$28727,"Phase 1/2")</f>
        <v>0</v>
      </c>
      <c r="E52" s="12">
        <f>COUNTIFS('Trial Database'!$J$2:$J$28727,"&gt;="&amp;DATE(2022,7,1),'Trial Database'!$J$2:$J$28727,"&lt;"&amp;DATE(2022,8,1),'Trial Database'!$E$2:$E$28727,"Phase 2")</f>
        <v>0</v>
      </c>
      <c r="F52" s="12">
        <f>COUNTIFS('Trial Database'!$J$2:$J$28727,"&gt;="&amp;DATE(2022,7,1),'Trial Database'!$J$2:$J$28727,"&lt;"&amp;DATE(2022,8,1),'Trial Database'!$E$2:$E$28727,"Phase 2/3")</f>
        <v>0</v>
      </c>
      <c r="G52" s="12">
        <f>COUNTIFS('Trial Database'!$J$2:$J$28727,"&gt;="&amp;DATE(2022,7,1),'Trial Database'!$J$2:$J$28727,"&lt;"&amp;DATE(2022,8,1),'Trial Database'!$E$2:$E$28727,"Phase 3")</f>
        <v>0</v>
      </c>
      <c r="H52" s="12">
        <f>COUNTIFS('Trial Database'!$J$2:$J$28727,"&gt;="&amp;DATE(2022,7,1),'Trial Database'!$J$2:$J$28727,"&lt;"&amp;DATE(2022,8,1),'Trial Database'!$E$2:$E$28727,"Phase 4")</f>
        <v>0</v>
      </c>
      <c r="I52" s="13">
        <f>SUM(B52:H52)</f>
        <v>0</v>
      </c>
      <c r="J52" s="12">
        <f>DAY(EOMONTH(A52,0))</f>
        <v>0</v>
      </c>
      <c r="K52" s="21">
        <f>IF(J52=0,0,I52/J52)</f>
        <v>0</v>
      </c>
    </row>
    <row r="53" spans="1:11">
      <c r="A53" s="20">
        <v>44774</v>
      </c>
      <c r="B53" s="12">
        <f>COUNTIFS('Trial Database'!$J$2:$J$28727,"&gt;="&amp;DATE(2022,8,1),'Trial Database'!$J$2:$J$28727,"&lt;"&amp;DATE(2022,9,1),'Trial Database'!$E$2:$E$28727,"Early Phase 1")</f>
        <v>0</v>
      </c>
      <c r="C53" s="12">
        <f>COUNTIFS('Trial Database'!$J$2:$J$28727,"&gt;="&amp;DATE(2022,8,1),'Trial Database'!$J$2:$J$28727,"&lt;"&amp;DATE(2022,9,1),'Trial Database'!$E$2:$E$28727,"Phase 1")</f>
        <v>0</v>
      </c>
      <c r="D53" s="12">
        <f>COUNTIFS('Trial Database'!$J$2:$J$28727,"&gt;="&amp;DATE(2022,8,1),'Trial Database'!$J$2:$J$28727,"&lt;"&amp;DATE(2022,9,1),'Trial Database'!$E$2:$E$28727,"Phase 1/2")</f>
        <v>0</v>
      </c>
      <c r="E53" s="12">
        <f>COUNTIFS('Trial Database'!$J$2:$J$28727,"&gt;="&amp;DATE(2022,8,1),'Trial Database'!$J$2:$J$28727,"&lt;"&amp;DATE(2022,9,1),'Trial Database'!$E$2:$E$28727,"Phase 2")</f>
        <v>0</v>
      </c>
      <c r="F53" s="12">
        <f>COUNTIFS('Trial Database'!$J$2:$J$28727,"&gt;="&amp;DATE(2022,8,1),'Trial Database'!$J$2:$J$28727,"&lt;"&amp;DATE(2022,9,1),'Trial Database'!$E$2:$E$28727,"Phase 2/3")</f>
        <v>0</v>
      </c>
      <c r="G53" s="12">
        <f>COUNTIFS('Trial Database'!$J$2:$J$28727,"&gt;="&amp;DATE(2022,8,1),'Trial Database'!$J$2:$J$28727,"&lt;"&amp;DATE(2022,9,1),'Trial Database'!$E$2:$E$28727,"Phase 3")</f>
        <v>0</v>
      </c>
      <c r="H53" s="12">
        <f>COUNTIFS('Trial Database'!$J$2:$J$28727,"&gt;="&amp;DATE(2022,8,1),'Trial Database'!$J$2:$J$28727,"&lt;"&amp;DATE(2022,9,1),'Trial Database'!$E$2:$E$28727,"Phase 4")</f>
        <v>0</v>
      </c>
      <c r="I53" s="13">
        <f>SUM(B53:H53)</f>
        <v>0</v>
      </c>
      <c r="J53" s="12">
        <f>DAY(EOMONTH(A53,0))</f>
        <v>0</v>
      </c>
      <c r="K53" s="21">
        <f>IF(J53=0,0,I53/J53)</f>
        <v>0</v>
      </c>
    </row>
    <row r="54" spans="1:11">
      <c r="A54" s="20">
        <v>44805</v>
      </c>
      <c r="B54" s="12">
        <f>COUNTIFS('Trial Database'!$J$2:$J$28727,"&gt;="&amp;DATE(2022,9,1),'Trial Database'!$J$2:$J$28727,"&lt;"&amp;DATE(2022,10,1),'Trial Database'!$E$2:$E$28727,"Early Phase 1")</f>
        <v>0</v>
      </c>
      <c r="C54" s="12">
        <f>COUNTIFS('Trial Database'!$J$2:$J$28727,"&gt;="&amp;DATE(2022,9,1),'Trial Database'!$J$2:$J$28727,"&lt;"&amp;DATE(2022,10,1),'Trial Database'!$E$2:$E$28727,"Phase 1")</f>
        <v>0</v>
      </c>
      <c r="D54" s="12">
        <f>COUNTIFS('Trial Database'!$J$2:$J$28727,"&gt;="&amp;DATE(2022,9,1),'Trial Database'!$J$2:$J$28727,"&lt;"&amp;DATE(2022,10,1),'Trial Database'!$E$2:$E$28727,"Phase 1/2")</f>
        <v>0</v>
      </c>
      <c r="E54" s="12">
        <f>COUNTIFS('Trial Database'!$J$2:$J$28727,"&gt;="&amp;DATE(2022,9,1),'Trial Database'!$J$2:$J$28727,"&lt;"&amp;DATE(2022,10,1),'Trial Database'!$E$2:$E$28727,"Phase 2")</f>
        <v>0</v>
      </c>
      <c r="F54" s="12">
        <f>COUNTIFS('Trial Database'!$J$2:$J$28727,"&gt;="&amp;DATE(2022,9,1),'Trial Database'!$J$2:$J$28727,"&lt;"&amp;DATE(2022,10,1),'Trial Database'!$E$2:$E$28727,"Phase 2/3")</f>
        <v>0</v>
      </c>
      <c r="G54" s="12">
        <f>COUNTIFS('Trial Database'!$J$2:$J$28727,"&gt;="&amp;DATE(2022,9,1),'Trial Database'!$J$2:$J$28727,"&lt;"&amp;DATE(2022,10,1),'Trial Database'!$E$2:$E$28727,"Phase 3")</f>
        <v>0</v>
      </c>
      <c r="H54" s="12">
        <f>COUNTIFS('Trial Database'!$J$2:$J$28727,"&gt;="&amp;DATE(2022,9,1),'Trial Database'!$J$2:$J$28727,"&lt;"&amp;DATE(2022,10,1),'Trial Database'!$E$2:$E$28727,"Phase 4")</f>
        <v>0</v>
      </c>
      <c r="I54" s="13">
        <f>SUM(B54:H54)</f>
        <v>0</v>
      </c>
      <c r="J54" s="12">
        <f>DAY(EOMONTH(A54,0))</f>
        <v>0</v>
      </c>
      <c r="K54" s="21">
        <f>IF(J54=0,0,I54/J54)</f>
        <v>0</v>
      </c>
    </row>
    <row r="55" spans="1:11">
      <c r="A55" s="20">
        <v>44835</v>
      </c>
      <c r="B55" s="12">
        <f>COUNTIFS('Trial Database'!$J$2:$J$28727,"&gt;="&amp;DATE(2022,10,1),'Trial Database'!$J$2:$J$28727,"&lt;"&amp;DATE(2022,11,1),'Trial Database'!$E$2:$E$28727,"Early Phase 1")</f>
        <v>0</v>
      </c>
      <c r="C55" s="12">
        <f>COUNTIFS('Trial Database'!$J$2:$J$28727,"&gt;="&amp;DATE(2022,10,1),'Trial Database'!$J$2:$J$28727,"&lt;"&amp;DATE(2022,11,1),'Trial Database'!$E$2:$E$28727,"Phase 1")</f>
        <v>0</v>
      </c>
      <c r="D55" s="12">
        <f>COUNTIFS('Trial Database'!$J$2:$J$28727,"&gt;="&amp;DATE(2022,10,1),'Trial Database'!$J$2:$J$28727,"&lt;"&amp;DATE(2022,11,1),'Trial Database'!$E$2:$E$28727,"Phase 1/2")</f>
        <v>0</v>
      </c>
      <c r="E55" s="12">
        <f>COUNTIFS('Trial Database'!$J$2:$J$28727,"&gt;="&amp;DATE(2022,10,1),'Trial Database'!$J$2:$J$28727,"&lt;"&amp;DATE(2022,11,1),'Trial Database'!$E$2:$E$28727,"Phase 2")</f>
        <v>0</v>
      </c>
      <c r="F55" s="12">
        <f>COUNTIFS('Trial Database'!$J$2:$J$28727,"&gt;="&amp;DATE(2022,10,1),'Trial Database'!$J$2:$J$28727,"&lt;"&amp;DATE(2022,11,1),'Trial Database'!$E$2:$E$28727,"Phase 2/3")</f>
        <v>0</v>
      </c>
      <c r="G55" s="12">
        <f>COUNTIFS('Trial Database'!$J$2:$J$28727,"&gt;="&amp;DATE(2022,10,1),'Trial Database'!$J$2:$J$28727,"&lt;"&amp;DATE(2022,11,1),'Trial Database'!$E$2:$E$28727,"Phase 3")</f>
        <v>0</v>
      </c>
      <c r="H55" s="12">
        <f>COUNTIFS('Trial Database'!$J$2:$J$28727,"&gt;="&amp;DATE(2022,10,1),'Trial Database'!$J$2:$J$28727,"&lt;"&amp;DATE(2022,11,1),'Trial Database'!$E$2:$E$28727,"Phase 4")</f>
        <v>0</v>
      </c>
      <c r="I55" s="13">
        <f>SUM(B55:H55)</f>
        <v>0</v>
      </c>
      <c r="J55" s="12">
        <f>DAY(EOMONTH(A55,0))</f>
        <v>0</v>
      </c>
      <c r="K55" s="21">
        <f>IF(J55=0,0,I55/J55)</f>
        <v>0</v>
      </c>
    </row>
    <row r="56" spans="1:11">
      <c r="A56" s="20">
        <v>44866</v>
      </c>
      <c r="B56" s="12">
        <f>COUNTIFS('Trial Database'!$J$2:$J$28727,"&gt;="&amp;DATE(2022,11,1),'Trial Database'!$J$2:$J$28727,"&lt;"&amp;DATE(2022,12,1),'Trial Database'!$E$2:$E$28727,"Early Phase 1")</f>
        <v>0</v>
      </c>
      <c r="C56" s="12">
        <f>COUNTIFS('Trial Database'!$J$2:$J$28727,"&gt;="&amp;DATE(2022,11,1),'Trial Database'!$J$2:$J$28727,"&lt;"&amp;DATE(2022,12,1),'Trial Database'!$E$2:$E$28727,"Phase 1")</f>
        <v>0</v>
      </c>
      <c r="D56" s="12">
        <f>COUNTIFS('Trial Database'!$J$2:$J$28727,"&gt;="&amp;DATE(2022,11,1),'Trial Database'!$J$2:$J$28727,"&lt;"&amp;DATE(2022,12,1),'Trial Database'!$E$2:$E$28727,"Phase 1/2")</f>
        <v>0</v>
      </c>
      <c r="E56" s="12">
        <f>COUNTIFS('Trial Database'!$J$2:$J$28727,"&gt;="&amp;DATE(2022,11,1),'Trial Database'!$J$2:$J$28727,"&lt;"&amp;DATE(2022,12,1),'Trial Database'!$E$2:$E$28727,"Phase 2")</f>
        <v>0</v>
      </c>
      <c r="F56" s="12">
        <f>COUNTIFS('Trial Database'!$J$2:$J$28727,"&gt;="&amp;DATE(2022,11,1),'Trial Database'!$J$2:$J$28727,"&lt;"&amp;DATE(2022,12,1),'Trial Database'!$E$2:$E$28727,"Phase 2/3")</f>
        <v>0</v>
      </c>
      <c r="G56" s="12">
        <f>COUNTIFS('Trial Database'!$J$2:$J$28727,"&gt;="&amp;DATE(2022,11,1),'Trial Database'!$J$2:$J$28727,"&lt;"&amp;DATE(2022,12,1),'Trial Database'!$E$2:$E$28727,"Phase 3")</f>
        <v>0</v>
      </c>
      <c r="H56" s="12">
        <f>COUNTIFS('Trial Database'!$J$2:$J$28727,"&gt;="&amp;DATE(2022,11,1),'Trial Database'!$J$2:$J$28727,"&lt;"&amp;DATE(2022,12,1),'Trial Database'!$E$2:$E$28727,"Phase 4")</f>
        <v>0</v>
      </c>
      <c r="I56" s="13">
        <f>SUM(B56:H56)</f>
        <v>0</v>
      </c>
      <c r="J56" s="12">
        <f>DAY(EOMONTH(A56,0))</f>
        <v>0</v>
      </c>
      <c r="K56" s="21">
        <f>IF(J56=0,0,I56/J56)</f>
        <v>0</v>
      </c>
    </row>
    <row r="57" spans="1:11">
      <c r="A57" s="20">
        <v>44896</v>
      </c>
      <c r="B57" s="12">
        <f>COUNTIFS('Trial Database'!$J$2:$J$28727,"&gt;="&amp;DATE(2022,12,1),'Trial Database'!$J$2:$J$28727,"&lt;"&amp;DATE(2022,13,1),'Trial Database'!$E$2:$E$28727,"Early Phase 1")</f>
        <v>0</v>
      </c>
      <c r="C57" s="12">
        <f>COUNTIFS('Trial Database'!$J$2:$J$28727,"&gt;="&amp;DATE(2022,12,1),'Trial Database'!$J$2:$J$28727,"&lt;"&amp;DATE(2022,13,1),'Trial Database'!$E$2:$E$28727,"Phase 1")</f>
        <v>0</v>
      </c>
      <c r="D57" s="12">
        <f>COUNTIFS('Trial Database'!$J$2:$J$28727,"&gt;="&amp;DATE(2022,12,1),'Trial Database'!$J$2:$J$28727,"&lt;"&amp;DATE(2022,13,1),'Trial Database'!$E$2:$E$28727,"Phase 1/2")</f>
        <v>0</v>
      </c>
      <c r="E57" s="12">
        <f>COUNTIFS('Trial Database'!$J$2:$J$28727,"&gt;="&amp;DATE(2022,12,1),'Trial Database'!$J$2:$J$28727,"&lt;"&amp;DATE(2022,13,1),'Trial Database'!$E$2:$E$28727,"Phase 2")</f>
        <v>0</v>
      </c>
      <c r="F57" s="12">
        <f>COUNTIFS('Trial Database'!$J$2:$J$28727,"&gt;="&amp;DATE(2022,12,1),'Trial Database'!$J$2:$J$28727,"&lt;"&amp;DATE(2022,13,1),'Trial Database'!$E$2:$E$28727,"Phase 2/3")</f>
        <v>0</v>
      </c>
      <c r="G57" s="12">
        <f>COUNTIFS('Trial Database'!$J$2:$J$28727,"&gt;="&amp;DATE(2022,12,1),'Trial Database'!$J$2:$J$28727,"&lt;"&amp;DATE(2022,13,1),'Trial Database'!$E$2:$E$28727,"Phase 3")</f>
        <v>0</v>
      </c>
      <c r="H57" s="12">
        <f>COUNTIFS('Trial Database'!$J$2:$J$28727,"&gt;="&amp;DATE(2022,12,1),'Trial Database'!$J$2:$J$28727,"&lt;"&amp;DATE(2022,13,1),'Trial Database'!$E$2:$E$28727,"Phase 4")</f>
        <v>0</v>
      </c>
      <c r="I57" s="13">
        <f>SUM(B57:H57)</f>
        <v>0</v>
      </c>
      <c r="J57" s="12">
        <f>DAY(EOMONTH(A57,0))</f>
        <v>0</v>
      </c>
      <c r="K57" s="21">
        <f>IF(J57=0,0,I57/J57)</f>
        <v>0</v>
      </c>
    </row>
    <row r="58" spans="1:11">
      <c r="A58" s="20">
        <v>44927</v>
      </c>
      <c r="B58" s="12">
        <f>COUNTIFS('Trial Database'!$J$2:$J$28727,"&gt;="&amp;DATE(2023,1,1),'Trial Database'!$J$2:$J$28727,"&lt;"&amp;DATE(2023,2,1),'Trial Database'!$E$2:$E$28727,"Early Phase 1")</f>
        <v>0</v>
      </c>
      <c r="C58" s="12">
        <f>COUNTIFS('Trial Database'!$J$2:$J$28727,"&gt;="&amp;DATE(2023,1,1),'Trial Database'!$J$2:$J$28727,"&lt;"&amp;DATE(2023,2,1),'Trial Database'!$E$2:$E$28727,"Phase 1")</f>
        <v>0</v>
      </c>
      <c r="D58" s="12">
        <f>COUNTIFS('Trial Database'!$J$2:$J$28727,"&gt;="&amp;DATE(2023,1,1),'Trial Database'!$J$2:$J$28727,"&lt;"&amp;DATE(2023,2,1),'Trial Database'!$E$2:$E$28727,"Phase 1/2")</f>
        <v>0</v>
      </c>
      <c r="E58" s="12">
        <f>COUNTIFS('Trial Database'!$J$2:$J$28727,"&gt;="&amp;DATE(2023,1,1),'Trial Database'!$J$2:$J$28727,"&lt;"&amp;DATE(2023,2,1),'Trial Database'!$E$2:$E$28727,"Phase 2")</f>
        <v>0</v>
      </c>
      <c r="F58" s="12">
        <f>COUNTIFS('Trial Database'!$J$2:$J$28727,"&gt;="&amp;DATE(2023,1,1),'Trial Database'!$J$2:$J$28727,"&lt;"&amp;DATE(2023,2,1),'Trial Database'!$E$2:$E$28727,"Phase 2/3")</f>
        <v>0</v>
      </c>
      <c r="G58" s="12">
        <f>COUNTIFS('Trial Database'!$J$2:$J$28727,"&gt;="&amp;DATE(2023,1,1),'Trial Database'!$J$2:$J$28727,"&lt;"&amp;DATE(2023,2,1),'Trial Database'!$E$2:$E$28727,"Phase 3")</f>
        <v>0</v>
      </c>
      <c r="H58" s="12">
        <f>COUNTIFS('Trial Database'!$J$2:$J$28727,"&gt;="&amp;DATE(2023,1,1),'Trial Database'!$J$2:$J$28727,"&lt;"&amp;DATE(2023,2,1),'Trial Database'!$E$2:$E$28727,"Phase 4")</f>
        <v>0</v>
      </c>
      <c r="I58" s="13">
        <f>SUM(B58:H58)</f>
        <v>0</v>
      </c>
      <c r="J58" s="12">
        <f>DAY(EOMONTH(A58,0))</f>
        <v>0</v>
      </c>
      <c r="K58" s="21">
        <f>IF(J58=0,0,I58/J58)</f>
        <v>0</v>
      </c>
    </row>
    <row r="59" spans="1:11">
      <c r="A59" s="20">
        <v>44958</v>
      </c>
      <c r="B59" s="12">
        <f>COUNTIFS('Trial Database'!$J$2:$J$28727,"&gt;="&amp;DATE(2023,2,1),'Trial Database'!$J$2:$J$28727,"&lt;"&amp;DATE(2023,3,1),'Trial Database'!$E$2:$E$28727,"Early Phase 1")</f>
        <v>0</v>
      </c>
      <c r="C59" s="12">
        <f>COUNTIFS('Trial Database'!$J$2:$J$28727,"&gt;="&amp;DATE(2023,2,1),'Trial Database'!$J$2:$J$28727,"&lt;"&amp;DATE(2023,3,1),'Trial Database'!$E$2:$E$28727,"Phase 1")</f>
        <v>0</v>
      </c>
      <c r="D59" s="12">
        <f>COUNTIFS('Trial Database'!$J$2:$J$28727,"&gt;="&amp;DATE(2023,2,1),'Trial Database'!$J$2:$J$28727,"&lt;"&amp;DATE(2023,3,1),'Trial Database'!$E$2:$E$28727,"Phase 1/2")</f>
        <v>0</v>
      </c>
      <c r="E59" s="12">
        <f>COUNTIFS('Trial Database'!$J$2:$J$28727,"&gt;="&amp;DATE(2023,2,1),'Trial Database'!$J$2:$J$28727,"&lt;"&amp;DATE(2023,3,1),'Trial Database'!$E$2:$E$28727,"Phase 2")</f>
        <v>0</v>
      </c>
      <c r="F59" s="12">
        <f>COUNTIFS('Trial Database'!$J$2:$J$28727,"&gt;="&amp;DATE(2023,2,1),'Trial Database'!$J$2:$J$28727,"&lt;"&amp;DATE(2023,3,1),'Trial Database'!$E$2:$E$28727,"Phase 2/3")</f>
        <v>0</v>
      </c>
      <c r="G59" s="12">
        <f>COUNTIFS('Trial Database'!$J$2:$J$28727,"&gt;="&amp;DATE(2023,2,1),'Trial Database'!$J$2:$J$28727,"&lt;"&amp;DATE(2023,3,1),'Trial Database'!$E$2:$E$28727,"Phase 3")</f>
        <v>0</v>
      </c>
      <c r="H59" s="12">
        <f>COUNTIFS('Trial Database'!$J$2:$J$28727,"&gt;="&amp;DATE(2023,2,1),'Trial Database'!$J$2:$J$28727,"&lt;"&amp;DATE(2023,3,1),'Trial Database'!$E$2:$E$28727,"Phase 4")</f>
        <v>0</v>
      </c>
      <c r="I59" s="13">
        <f>SUM(B59:H59)</f>
        <v>0</v>
      </c>
      <c r="J59" s="12">
        <f>DAY(EOMONTH(A59,0))</f>
        <v>0</v>
      </c>
      <c r="K59" s="21">
        <f>IF(J59=0,0,I59/J59)</f>
        <v>0</v>
      </c>
    </row>
    <row r="60" spans="1:11">
      <c r="A60" s="20">
        <v>44986</v>
      </c>
      <c r="B60" s="12">
        <f>COUNTIFS('Trial Database'!$J$2:$J$28727,"&gt;="&amp;DATE(2023,3,1),'Trial Database'!$J$2:$J$28727,"&lt;"&amp;DATE(2023,4,1),'Trial Database'!$E$2:$E$28727,"Early Phase 1")</f>
        <v>0</v>
      </c>
      <c r="C60" s="12">
        <f>COUNTIFS('Trial Database'!$J$2:$J$28727,"&gt;="&amp;DATE(2023,3,1),'Trial Database'!$J$2:$J$28727,"&lt;"&amp;DATE(2023,4,1),'Trial Database'!$E$2:$E$28727,"Phase 1")</f>
        <v>0</v>
      </c>
      <c r="D60" s="12">
        <f>COUNTIFS('Trial Database'!$J$2:$J$28727,"&gt;="&amp;DATE(2023,3,1),'Trial Database'!$J$2:$J$28727,"&lt;"&amp;DATE(2023,4,1),'Trial Database'!$E$2:$E$28727,"Phase 1/2")</f>
        <v>0</v>
      </c>
      <c r="E60" s="12">
        <f>COUNTIFS('Trial Database'!$J$2:$J$28727,"&gt;="&amp;DATE(2023,3,1),'Trial Database'!$J$2:$J$28727,"&lt;"&amp;DATE(2023,4,1),'Trial Database'!$E$2:$E$28727,"Phase 2")</f>
        <v>0</v>
      </c>
      <c r="F60" s="12">
        <f>COUNTIFS('Trial Database'!$J$2:$J$28727,"&gt;="&amp;DATE(2023,3,1),'Trial Database'!$J$2:$J$28727,"&lt;"&amp;DATE(2023,4,1),'Trial Database'!$E$2:$E$28727,"Phase 2/3")</f>
        <v>0</v>
      </c>
      <c r="G60" s="12">
        <f>COUNTIFS('Trial Database'!$J$2:$J$28727,"&gt;="&amp;DATE(2023,3,1),'Trial Database'!$J$2:$J$28727,"&lt;"&amp;DATE(2023,4,1),'Trial Database'!$E$2:$E$28727,"Phase 3")</f>
        <v>0</v>
      </c>
      <c r="H60" s="12">
        <f>COUNTIFS('Trial Database'!$J$2:$J$28727,"&gt;="&amp;DATE(2023,3,1),'Trial Database'!$J$2:$J$28727,"&lt;"&amp;DATE(2023,4,1),'Trial Database'!$E$2:$E$28727,"Phase 4")</f>
        <v>0</v>
      </c>
      <c r="I60" s="13">
        <f>SUM(B60:H60)</f>
        <v>0</v>
      </c>
      <c r="J60" s="12">
        <f>DAY(EOMONTH(A60,0))</f>
        <v>0</v>
      </c>
      <c r="K60" s="21">
        <f>IF(J60=0,0,I60/J60)</f>
        <v>0</v>
      </c>
    </row>
    <row r="61" spans="1:11">
      <c r="A61" s="20">
        <v>45017</v>
      </c>
      <c r="B61" s="12">
        <f>COUNTIFS('Trial Database'!$J$2:$J$28727,"&gt;="&amp;DATE(2023,4,1),'Trial Database'!$J$2:$J$28727,"&lt;"&amp;DATE(2023,5,1),'Trial Database'!$E$2:$E$28727,"Early Phase 1")</f>
        <v>0</v>
      </c>
      <c r="C61" s="12">
        <f>COUNTIFS('Trial Database'!$J$2:$J$28727,"&gt;="&amp;DATE(2023,4,1),'Trial Database'!$J$2:$J$28727,"&lt;"&amp;DATE(2023,5,1),'Trial Database'!$E$2:$E$28727,"Phase 1")</f>
        <v>0</v>
      </c>
      <c r="D61" s="12">
        <f>COUNTIFS('Trial Database'!$J$2:$J$28727,"&gt;="&amp;DATE(2023,4,1),'Trial Database'!$J$2:$J$28727,"&lt;"&amp;DATE(2023,5,1),'Trial Database'!$E$2:$E$28727,"Phase 1/2")</f>
        <v>0</v>
      </c>
      <c r="E61" s="12">
        <f>COUNTIFS('Trial Database'!$J$2:$J$28727,"&gt;="&amp;DATE(2023,4,1),'Trial Database'!$J$2:$J$28727,"&lt;"&amp;DATE(2023,5,1),'Trial Database'!$E$2:$E$28727,"Phase 2")</f>
        <v>0</v>
      </c>
      <c r="F61" s="12">
        <f>COUNTIFS('Trial Database'!$J$2:$J$28727,"&gt;="&amp;DATE(2023,4,1),'Trial Database'!$J$2:$J$28727,"&lt;"&amp;DATE(2023,5,1),'Trial Database'!$E$2:$E$28727,"Phase 2/3")</f>
        <v>0</v>
      </c>
      <c r="G61" s="12">
        <f>COUNTIFS('Trial Database'!$J$2:$J$28727,"&gt;="&amp;DATE(2023,4,1),'Trial Database'!$J$2:$J$28727,"&lt;"&amp;DATE(2023,5,1),'Trial Database'!$E$2:$E$28727,"Phase 3")</f>
        <v>0</v>
      </c>
      <c r="H61" s="12">
        <f>COUNTIFS('Trial Database'!$J$2:$J$28727,"&gt;="&amp;DATE(2023,4,1),'Trial Database'!$J$2:$J$28727,"&lt;"&amp;DATE(2023,5,1),'Trial Database'!$E$2:$E$28727,"Phase 4")</f>
        <v>0</v>
      </c>
      <c r="I61" s="13">
        <f>SUM(B61:H61)</f>
        <v>0</v>
      </c>
      <c r="J61" s="12">
        <f>DAY(EOMONTH(A61,0))</f>
        <v>0</v>
      </c>
      <c r="K61" s="21">
        <f>IF(J61=0,0,I61/J61)</f>
        <v>0</v>
      </c>
    </row>
    <row r="62" spans="1:11">
      <c r="A62" s="20">
        <v>45047</v>
      </c>
      <c r="B62" s="12">
        <f>COUNTIFS('Trial Database'!$J$2:$J$28727,"&gt;="&amp;DATE(2023,5,1),'Trial Database'!$J$2:$J$28727,"&lt;"&amp;DATE(2023,6,1),'Trial Database'!$E$2:$E$28727,"Early Phase 1")</f>
        <v>0</v>
      </c>
      <c r="C62" s="12">
        <f>COUNTIFS('Trial Database'!$J$2:$J$28727,"&gt;="&amp;DATE(2023,5,1),'Trial Database'!$J$2:$J$28727,"&lt;"&amp;DATE(2023,6,1),'Trial Database'!$E$2:$E$28727,"Phase 1")</f>
        <v>0</v>
      </c>
      <c r="D62" s="12">
        <f>COUNTIFS('Trial Database'!$J$2:$J$28727,"&gt;="&amp;DATE(2023,5,1),'Trial Database'!$J$2:$J$28727,"&lt;"&amp;DATE(2023,6,1),'Trial Database'!$E$2:$E$28727,"Phase 1/2")</f>
        <v>0</v>
      </c>
      <c r="E62" s="12">
        <f>COUNTIFS('Trial Database'!$J$2:$J$28727,"&gt;="&amp;DATE(2023,5,1),'Trial Database'!$J$2:$J$28727,"&lt;"&amp;DATE(2023,6,1),'Trial Database'!$E$2:$E$28727,"Phase 2")</f>
        <v>0</v>
      </c>
      <c r="F62" s="12">
        <f>COUNTIFS('Trial Database'!$J$2:$J$28727,"&gt;="&amp;DATE(2023,5,1),'Trial Database'!$J$2:$J$28727,"&lt;"&amp;DATE(2023,6,1),'Trial Database'!$E$2:$E$28727,"Phase 2/3")</f>
        <v>0</v>
      </c>
      <c r="G62" s="12">
        <f>COUNTIFS('Trial Database'!$J$2:$J$28727,"&gt;="&amp;DATE(2023,5,1),'Trial Database'!$J$2:$J$28727,"&lt;"&amp;DATE(2023,6,1),'Trial Database'!$E$2:$E$28727,"Phase 3")</f>
        <v>0</v>
      </c>
      <c r="H62" s="12">
        <f>COUNTIFS('Trial Database'!$J$2:$J$28727,"&gt;="&amp;DATE(2023,5,1),'Trial Database'!$J$2:$J$28727,"&lt;"&amp;DATE(2023,6,1),'Trial Database'!$E$2:$E$28727,"Phase 4")</f>
        <v>0</v>
      </c>
      <c r="I62" s="13">
        <f>SUM(B62:H62)</f>
        <v>0</v>
      </c>
      <c r="J62" s="12">
        <f>DAY(EOMONTH(A62,0))</f>
        <v>0</v>
      </c>
      <c r="K62" s="21">
        <f>IF(J62=0,0,I62/J62)</f>
        <v>0</v>
      </c>
    </row>
    <row r="63" spans="1:11">
      <c r="A63" s="20">
        <v>45078</v>
      </c>
      <c r="B63" s="12">
        <f>COUNTIFS('Trial Database'!$J$2:$J$28727,"&gt;="&amp;DATE(2023,6,1),'Trial Database'!$J$2:$J$28727,"&lt;"&amp;DATE(2023,7,1),'Trial Database'!$E$2:$E$28727,"Early Phase 1")</f>
        <v>0</v>
      </c>
      <c r="C63" s="12">
        <f>COUNTIFS('Trial Database'!$J$2:$J$28727,"&gt;="&amp;DATE(2023,6,1),'Trial Database'!$J$2:$J$28727,"&lt;"&amp;DATE(2023,7,1),'Trial Database'!$E$2:$E$28727,"Phase 1")</f>
        <v>0</v>
      </c>
      <c r="D63" s="12">
        <f>COUNTIFS('Trial Database'!$J$2:$J$28727,"&gt;="&amp;DATE(2023,6,1),'Trial Database'!$J$2:$J$28727,"&lt;"&amp;DATE(2023,7,1),'Trial Database'!$E$2:$E$28727,"Phase 1/2")</f>
        <v>0</v>
      </c>
      <c r="E63" s="12">
        <f>COUNTIFS('Trial Database'!$J$2:$J$28727,"&gt;="&amp;DATE(2023,6,1),'Trial Database'!$J$2:$J$28727,"&lt;"&amp;DATE(2023,7,1),'Trial Database'!$E$2:$E$28727,"Phase 2")</f>
        <v>0</v>
      </c>
      <c r="F63" s="12">
        <f>COUNTIFS('Trial Database'!$J$2:$J$28727,"&gt;="&amp;DATE(2023,6,1),'Trial Database'!$J$2:$J$28727,"&lt;"&amp;DATE(2023,7,1),'Trial Database'!$E$2:$E$28727,"Phase 2/3")</f>
        <v>0</v>
      </c>
      <c r="G63" s="12">
        <f>COUNTIFS('Trial Database'!$J$2:$J$28727,"&gt;="&amp;DATE(2023,6,1),'Trial Database'!$J$2:$J$28727,"&lt;"&amp;DATE(2023,7,1),'Trial Database'!$E$2:$E$28727,"Phase 3")</f>
        <v>0</v>
      </c>
      <c r="H63" s="12">
        <f>COUNTIFS('Trial Database'!$J$2:$J$28727,"&gt;="&amp;DATE(2023,6,1),'Trial Database'!$J$2:$J$28727,"&lt;"&amp;DATE(2023,7,1),'Trial Database'!$E$2:$E$28727,"Phase 4")</f>
        <v>0</v>
      </c>
      <c r="I63" s="13">
        <f>SUM(B63:H63)</f>
        <v>0</v>
      </c>
      <c r="J63" s="12">
        <f>DAY(EOMONTH(A63,0))</f>
        <v>0</v>
      </c>
      <c r="K63" s="21">
        <f>IF(J63=0,0,I63/J63)</f>
        <v>0</v>
      </c>
    </row>
    <row r="64" spans="1:11">
      <c r="A64" s="20">
        <v>45108</v>
      </c>
      <c r="B64" s="12">
        <f>COUNTIFS('Trial Database'!$J$2:$J$28727,"&gt;="&amp;DATE(2023,7,1),'Trial Database'!$J$2:$J$28727,"&lt;"&amp;DATE(2023,8,1),'Trial Database'!$E$2:$E$28727,"Early Phase 1")</f>
        <v>0</v>
      </c>
      <c r="C64" s="12">
        <f>COUNTIFS('Trial Database'!$J$2:$J$28727,"&gt;="&amp;DATE(2023,7,1),'Trial Database'!$J$2:$J$28727,"&lt;"&amp;DATE(2023,8,1),'Trial Database'!$E$2:$E$28727,"Phase 1")</f>
        <v>0</v>
      </c>
      <c r="D64" s="12">
        <f>COUNTIFS('Trial Database'!$J$2:$J$28727,"&gt;="&amp;DATE(2023,7,1),'Trial Database'!$J$2:$J$28727,"&lt;"&amp;DATE(2023,8,1),'Trial Database'!$E$2:$E$28727,"Phase 1/2")</f>
        <v>0</v>
      </c>
      <c r="E64" s="12">
        <f>COUNTIFS('Trial Database'!$J$2:$J$28727,"&gt;="&amp;DATE(2023,7,1),'Trial Database'!$J$2:$J$28727,"&lt;"&amp;DATE(2023,8,1),'Trial Database'!$E$2:$E$28727,"Phase 2")</f>
        <v>0</v>
      </c>
      <c r="F64" s="12">
        <f>COUNTIFS('Trial Database'!$J$2:$J$28727,"&gt;="&amp;DATE(2023,7,1),'Trial Database'!$J$2:$J$28727,"&lt;"&amp;DATE(2023,8,1),'Trial Database'!$E$2:$E$28727,"Phase 2/3")</f>
        <v>0</v>
      </c>
      <c r="G64" s="12">
        <f>COUNTIFS('Trial Database'!$J$2:$J$28727,"&gt;="&amp;DATE(2023,7,1),'Trial Database'!$J$2:$J$28727,"&lt;"&amp;DATE(2023,8,1),'Trial Database'!$E$2:$E$28727,"Phase 3")</f>
        <v>0</v>
      </c>
      <c r="H64" s="12">
        <f>COUNTIFS('Trial Database'!$J$2:$J$28727,"&gt;="&amp;DATE(2023,7,1),'Trial Database'!$J$2:$J$28727,"&lt;"&amp;DATE(2023,8,1),'Trial Database'!$E$2:$E$28727,"Phase 4")</f>
        <v>0</v>
      </c>
      <c r="I64" s="13">
        <f>SUM(B64:H64)</f>
        <v>0</v>
      </c>
      <c r="J64" s="12">
        <f>DAY(EOMONTH(A64,0))</f>
        <v>0</v>
      </c>
      <c r="K64" s="21">
        <f>IF(J64=0,0,I64/J64)</f>
        <v>0</v>
      </c>
    </row>
    <row r="65" spans="1:11">
      <c r="A65" s="20">
        <v>45139</v>
      </c>
      <c r="B65" s="12">
        <f>COUNTIFS('Trial Database'!$J$2:$J$28727,"&gt;="&amp;DATE(2023,8,1),'Trial Database'!$J$2:$J$28727,"&lt;"&amp;DATE(2023,9,1),'Trial Database'!$E$2:$E$28727,"Early Phase 1")</f>
        <v>0</v>
      </c>
      <c r="C65" s="12">
        <f>COUNTIFS('Trial Database'!$J$2:$J$28727,"&gt;="&amp;DATE(2023,8,1),'Trial Database'!$J$2:$J$28727,"&lt;"&amp;DATE(2023,9,1),'Trial Database'!$E$2:$E$28727,"Phase 1")</f>
        <v>0</v>
      </c>
      <c r="D65" s="12">
        <f>COUNTIFS('Trial Database'!$J$2:$J$28727,"&gt;="&amp;DATE(2023,8,1),'Trial Database'!$J$2:$J$28727,"&lt;"&amp;DATE(2023,9,1),'Trial Database'!$E$2:$E$28727,"Phase 1/2")</f>
        <v>0</v>
      </c>
      <c r="E65" s="12">
        <f>COUNTIFS('Trial Database'!$J$2:$J$28727,"&gt;="&amp;DATE(2023,8,1),'Trial Database'!$J$2:$J$28727,"&lt;"&amp;DATE(2023,9,1),'Trial Database'!$E$2:$E$28727,"Phase 2")</f>
        <v>0</v>
      </c>
      <c r="F65" s="12">
        <f>COUNTIFS('Trial Database'!$J$2:$J$28727,"&gt;="&amp;DATE(2023,8,1),'Trial Database'!$J$2:$J$28727,"&lt;"&amp;DATE(2023,9,1),'Trial Database'!$E$2:$E$28727,"Phase 2/3")</f>
        <v>0</v>
      </c>
      <c r="G65" s="12">
        <f>COUNTIFS('Trial Database'!$J$2:$J$28727,"&gt;="&amp;DATE(2023,8,1),'Trial Database'!$J$2:$J$28727,"&lt;"&amp;DATE(2023,9,1),'Trial Database'!$E$2:$E$28727,"Phase 3")</f>
        <v>0</v>
      </c>
      <c r="H65" s="12">
        <f>COUNTIFS('Trial Database'!$J$2:$J$28727,"&gt;="&amp;DATE(2023,8,1),'Trial Database'!$J$2:$J$28727,"&lt;"&amp;DATE(2023,9,1),'Trial Database'!$E$2:$E$28727,"Phase 4")</f>
        <v>0</v>
      </c>
      <c r="I65" s="13">
        <f>SUM(B65:H65)</f>
        <v>0</v>
      </c>
      <c r="J65" s="12">
        <f>DAY(EOMONTH(A65,0))</f>
        <v>0</v>
      </c>
      <c r="K65" s="21">
        <f>IF(J65=0,0,I65/J65)</f>
        <v>0</v>
      </c>
    </row>
    <row r="66" spans="1:11">
      <c r="A66" s="20">
        <v>45170</v>
      </c>
      <c r="B66" s="12">
        <f>COUNTIFS('Trial Database'!$J$2:$J$28727,"&gt;="&amp;DATE(2023,9,1),'Trial Database'!$J$2:$J$28727,"&lt;"&amp;DATE(2023,10,1),'Trial Database'!$E$2:$E$28727,"Early Phase 1")</f>
        <v>0</v>
      </c>
      <c r="C66" s="12">
        <f>COUNTIFS('Trial Database'!$J$2:$J$28727,"&gt;="&amp;DATE(2023,9,1),'Trial Database'!$J$2:$J$28727,"&lt;"&amp;DATE(2023,10,1),'Trial Database'!$E$2:$E$28727,"Phase 1")</f>
        <v>0</v>
      </c>
      <c r="D66" s="12">
        <f>COUNTIFS('Trial Database'!$J$2:$J$28727,"&gt;="&amp;DATE(2023,9,1),'Trial Database'!$J$2:$J$28727,"&lt;"&amp;DATE(2023,10,1),'Trial Database'!$E$2:$E$28727,"Phase 1/2")</f>
        <v>0</v>
      </c>
      <c r="E66" s="12">
        <f>COUNTIFS('Trial Database'!$J$2:$J$28727,"&gt;="&amp;DATE(2023,9,1),'Trial Database'!$J$2:$J$28727,"&lt;"&amp;DATE(2023,10,1),'Trial Database'!$E$2:$E$28727,"Phase 2")</f>
        <v>0</v>
      </c>
      <c r="F66" s="12">
        <f>COUNTIFS('Trial Database'!$J$2:$J$28727,"&gt;="&amp;DATE(2023,9,1),'Trial Database'!$J$2:$J$28727,"&lt;"&amp;DATE(2023,10,1),'Trial Database'!$E$2:$E$28727,"Phase 2/3")</f>
        <v>0</v>
      </c>
      <c r="G66" s="12">
        <f>COUNTIFS('Trial Database'!$J$2:$J$28727,"&gt;="&amp;DATE(2023,9,1),'Trial Database'!$J$2:$J$28727,"&lt;"&amp;DATE(2023,10,1),'Trial Database'!$E$2:$E$28727,"Phase 3")</f>
        <v>0</v>
      </c>
      <c r="H66" s="12">
        <f>COUNTIFS('Trial Database'!$J$2:$J$28727,"&gt;="&amp;DATE(2023,9,1),'Trial Database'!$J$2:$J$28727,"&lt;"&amp;DATE(2023,10,1),'Trial Database'!$E$2:$E$28727,"Phase 4")</f>
        <v>0</v>
      </c>
      <c r="I66" s="13">
        <f>SUM(B66:H66)</f>
        <v>0</v>
      </c>
      <c r="J66" s="12">
        <f>DAY(EOMONTH(A66,0))</f>
        <v>0</v>
      </c>
      <c r="K66" s="21">
        <f>IF(J66=0,0,I66/J66)</f>
        <v>0</v>
      </c>
    </row>
    <row r="67" spans="1:11">
      <c r="A67" s="20">
        <v>45200</v>
      </c>
      <c r="B67" s="12">
        <f>COUNTIFS('Trial Database'!$J$2:$J$28727,"&gt;="&amp;DATE(2023,10,1),'Trial Database'!$J$2:$J$28727,"&lt;"&amp;DATE(2023,11,1),'Trial Database'!$E$2:$E$28727,"Early Phase 1")</f>
        <v>0</v>
      </c>
      <c r="C67" s="12">
        <f>COUNTIFS('Trial Database'!$J$2:$J$28727,"&gt;="&amp;DATE(2023,10,1),'Trial Database'!$J$2:$J$28727,"&lt;"&amp;DATE(2023,11,1),'Trial Database'!$E$2:$E$28727,"Phase 1")</f>
        <v>0</v>
      </c>
      <c r="D67" s="12">
        <f>COUNTIFS('Trial Database'!$J$2:$J$28727,"&gt;="&amp;DATE(2023,10,1),'Trial Database'!$J$2:$J$28727,"&lt;"&amp;DATE(2023,11,1),'Trial Database'!$E$2:$E$28727,"Phase 1/2")</f>
        <v>0</v>
      </c>
      <c r="E67" s="12">
        <f>COUNTIFS('Trial Database'!$J$2:$J$28727,"&gt;="&amp;DATE(2023,10,1),'Trial Database'!$J$2:$J$28727,"&lt;"&amp;DATE(2023,11,1),'Trial Database'!$E$2:$E$28727,"Phase 2")</f>
        <v>0</v>
      </c>
      <c r="F67" s="12">
        <f>COUNTIFS('Trial Database'!$J$2:$J$28727,"&gt;="&amp;DATE(2023,10,1),'Trial Database'!$J$2:$J$28727,"&lt;"&amp;DATE(2023,11,1),'Trial Database'!$E$2:$E$28727,"Phase 2/3")</f>
        <v>0</v>
      </c>
      <c r="G67" s="12">
        <f>COUNTIFS('Trial Database'!$J$2:$J$28727,"&gt;="&amp;DATE(2023,10,1),'Trial Database'!$J$2:$J$28727,"&lt;"&amp;DATE(2023,11,1),'Trial Database'!$E$2:$E$28727,"Phase 3")</f>
        <v>0</v>
      </c>
      <c r="H67" s="12">
        <f>COUNTIFS('Trial Database'!$J$2:$J$28727,"&gt;="&amp;DATE(2023,10,1),'Trial Database'!$J$2:$J$28727,"&lt;"&amp;DATE(2023,11,1),'Trial Database'!$E$2:$E$28727,"Phase 4")</f>
        <v>0</v>
      </c>
      <c r="I67" s="13">
        <f>SUM(B67:H67)</f>
        <v>0</v>
      </c>
      <c r="J67" s="12">
        <f>DAY(EOMONTH(A67,0))</f>
        <v>0</v>
      </c>
      <c r="K67" s="21">
        <f>IF(J67=0,0,I67/J67)</f>
        <v>0</v>
      </c>
    </row>
    <row r="68" spans="1:11">
      <c r="A68" s="20">
        <v>45231</v>
      </c>
      <c r="B68" s="12">
        <f>COUNTIFS('Trial Database'!$J$2:$J$28727,"&gt;="&amp;DATE(2023,11,1),'Trial Database'!$J$2:$J$28727,"&lt;"&amp;DATE(2023,12,1),'Trial Database'!$E$2:$E$28727,"Early Phase 1")</f>
        <v>0</v>
      </c>
      <c r="C68" s="12">
        <f>COUNTIFS('Trial Database'!$J$2:$J$28727,"&gt;="&amp;DATE(2023,11,1),'Trial Database'!$J$2:$J$28727,"&lt;"&amp;DATE(2023,12,1),'Trial Database'!$E$2:$E$28727,"Phase 1")</f>
        <v>0</v>
      </c>
      <c r="D68" s="12">
        <f>COUNTIFS('Trial Database'!$J$2:$J$28727,"&gt;="&amp;DATE(2023,11,1),'Trial Database'!$J$2:$J$28727,"&lt;"&amp;DATE(2023,12,1),'Trial Database'!$E$2:$E$28727,"Phase 1/2")</f>
        <v>0</v>
      </c>
      <c r="E68" s="12">
        <f>COUNTIFS('Trial Database'!$J$2:$J$28727,"&gt;="&amp;DATE(2023,11,1),'Trial Database'!$J$2:$J$28727,"&lt;"&amp;DATE(2023,12,1),'Trial Database'!$E$2:$E$28727,"Phase 2")</f>
        <v>0</v>
      </c>
      <c r="F68" s="12">
        <f>COUNTIFS('Trial Database'!$J$2:$J$28727,"&gt;="&amp;DATE(2023,11,1),'Trial Database'!$J$2:$J$28727,"&lt;"&amp;DATE(2023,12,1),'Trial Database'!$E$2:$E$28727,"Phase 2/3")</f>
        <v>0</v>
      </c>
      <c r="G68" s="12">
        <f>COUNTIFS('Trial Database'!$J$2:$J$28727,"&gt;="&amp;DATE(2023,11,1),'Trial Database'!$J$2:$J$28727,"&lt;"&amp;DATE(2023,12,1),'Trial Database'!$E$2:$E$28727,"Phase 3")</f>
        <v>0</v>
      </c>
      <c r="H68" s="12">
        <f>COUNTIFS('Trial Database'!$J$2:$J$28727,"&gt;="&amp;DATE(2023,11,1),'Trial Database'!$J$2:$J$28727,"&lt;"&amp;DATE(2023,12,1),'Trial Database'!$E$2:$E$28727,"Phase 4")</f>
        <v>0</v>
      </c>
      <c r="I68" s="13">
        <f>SUM(B68:H68)</f>
        <v>0</v>
      </c>
      <c r="J68" s="12">
        <f>DAY(EOMONTH(A68,0))</f>
        <v>0</v>
      </c>
      <c r="K68" s="21">
        <f>IF(J68=0,0,I68/J68)</f>
        <v>0</v>
      </c>
    </row>
    <row r="69" spans="1:11">
      <c r="A69" s="20">
        <v>45261</v>
      </c>
      <c r="B69" s="12">
        <f>COUNTIFS('Trial Database'!$J$2:$J$28727,"&gt;="&amp;DATE(2023,12,1),'Trial Database'!$J$2:$J$28727,"&lt;"&amp;DATE(2023,13,1),'Trial Database'!$E$2:$E$28727,"Early Phase 1")</f>
        <v>0</v>
      </c>
      <c r="C69" s="12">
        <f>COUNTIFS('Trial Database'!$J$2:$J$28727,"&gt;="&amp;DATE(2023,12,1),'Trial Database'!$J$2:$J$28727,"&lt;"&amp;DATE(2023,13,1),'Trial Database'!$E$2:$E$28727,"Phase 1")</f>
        <v>0</v>
      </c>
      <c r="D69" s="12">
        <f>COUNTIFS('Trial Database'!$J$2:$J$28727,"&gt;="&amp;DATE(2023,12,1),'Trial Database'!$J$2:$J$28727,"&lt;"&amp;DATE(2023,13,1),'Trial Database'!$E$2:$E$28727,"Phase 1/2")</f>
        <v>0</v>
      </c>
      <c r="E69" s="12">
        <f>COUNTIFS('Trial Database'!$J$2:$J$28727,"&gt;="&amp;DATE(2023,12,1),'Trial Database'!$J$2:$J$28727,"&lt;"&amp;DATE(2023,13,1),'Trial Database'!$E$2:$E$28727,"Phase 2")</f>
        <v>0</v>
      </c>
      <c r="F69" s="12">
        <f>COUNTIFS('Trial Database'!$J$2:$J$28727,"&gt;="&amp;DATE(2023,12,1),'Trial Database'!$J$2:$J$28727,"&lt;"&amp;DATE(2023,13,1),'Trial Database'!$E$2:$E$28727,"Phase 2/3")</f>
        <v>0</v>
      </c>
      <c r="G69" s="12">
        <f>COUNTIFS('Trial Database'!$J$2:$J$28727,"&gt;="&amp;DATE(2023,12,1),'Trial Database'!$J$2:$J$28727,"&lt;"&amp;DATE(2023,13,1),'Trial Database'!$E$2:$E$28727,"Phase 3")</f>
        <v>0</v>
      </c>
      <c r="H69" s="12">
        <f>COUNTIFS('Trial Database'!$J$2:$J$28727,"&gt;="&amp;DATE(2023,12,1),'Trial Database'!$J$2:$J$28727,"&lt;"&amp;DATE(2023,13,1),'Trial Database'!$E$2:$E$28727,"Phase 4")</f>
        <v>0</v>
      </c>
      <c r="I69" s="13">
        <f>SUM(B69:H69)</f>
        <v>0</v>
      </c>
      <c r="J69" s="12">
        <f>DAY(EOMONTH(A69,0))</f>
        <v>0</v>
      </c>
      <c r="K69" s="21">
        <f>IF(J69=0,0,I69/J69)</f>
        <v>0</v>
      </c>
    </row>
    <row r="70" spans="1:11">
      <c r="A70" s="20">
        <v>45292</v>
      </c>
      <c r="B70" s="12">
        <f>COUNTIFS('Trial Database'!$J$2:$J$28727,"&gt;="&amp;DATE(2024,1,1),'Trial Database'!$J$2:$J$28727,"&lt;"&amp;DATE(2024,2,1),'Trial Database'!$E$2:$E$28727,"Early Phase 1")</f>
        <v>0</v>
      </c>
      <c r="C70" s="12">
        <f>COUNTIFS('Trial Database'!$J$2:$J$28727,"&gt;="&amp;DATE(2024,1,1),'Trial Database'!$J$2:$J$28727,"&lt;"&amp;DATE(2024,2,1),'Trial Database'!$E$2:$E$28727,"Phase 1")</f>
        <v>0</v>
      </c>
      <c r="D70" s="12">
        <f>COUNTIFS('Trial Database'!$J$2:$J$28727,"&gt;="&amp;DATE(2024,1,1),'Trial Database'!$J$2:$J$28727,"&lt;"&amp;DATE(2024,2,1),'Trial Database'!$E$2:$E$28727,"Phase 1/2")</f>
        <v>0</v>
      </c>
      <c r="E70" s="12">
        <f>COUNTIFS('Trial Database'!$J$2:$J$28727,"&gt;="&amp;DATE(2024,1,1),'Trial Database'!$J$2:$J$28727,"&lt;"&amp;DATE(2024,2,1),'Trial Database'!$E$2:$E$28727,"Phase 2")</f>
        <v>0</v>
      </c>
      <c r="F70" s="12">
        <f>COUNTIFS('Trial Database'!$J$2:$J$28727,"&gt;="&amp;DATE(2024,1,1),'Trial Database'!$J$2:$J$28727,"&lt;"&amp;DATE(2024,2,1),'Trial Database'!$E$2:$E$28727,"Phase 2/3")</f>
        <v>0</v>
      </c>
      <c r="G70" s="12">
        <f>COUNTIFS('Trial Database'!$J$2:$J$28727,"&gt;="&amp;DATE(2024,1,1),'Trial Database'!$J$2:$J$28727,"&lt;"&amp;DATE(2024,2,1),'Trial Database'!$E$2:$E$28727,"Phase 3")</f>
        <v>0</v>
      </c>
      <c r="H70" s="12">
        <f>COUNTIFS('Trial Database'!$J$2:$J$28727,"&gt;="&amp;DATE(2024,1,1),'Trial Database'!$J$2:$J$28727,"&lt;"&amp;DATE(2024,2,1),'Trial Database'!$E$2:$E$28727,"Phase 4")</f>
        <v>0</v>
      </c>
      <c r="I70" s="13">
        <f>SUM(B70:H70)</f>
        <v>0</v>
      </c>
      <c r="J70" s="12">
        <f>DAY(EOMONTH(A70,0))</f>
        <v>0</v>
      </c>
      <c r="K70" s="21">
        <f>IF(J70=0,0,I70/J70)</f>
        <v>0</v>
      </c>
    </row>
    <row r="71" spans="1:11">
      <c r="A71" s="20">
        <v>45323</v>
      </c>
      <c r="B71" s="12">
        <f>COUNTIFS('Trial Database'!$J$2:$J$28727,"&gt;="&amp;DATE(2024,2,1),'Trial Database'!$J$2:$J$28727,"&lt;"&amp;DATE(2024,3,1),'Trial Database'!$E$2:$E$28727,"Early Phase 1")</f>
        <v>0</v>
      </c>
      <c r="C71" s="12">
        <f>COUNTIFS('Trial Database'!$J$2:$J$28727,"&gt;="&amp;DATE(2024,2,1),'Trial Database'!$J$2:$J$28727,"&lt;"&amp;DATE(2024,3,1),'Trial Database'!$E$2:$E$28727,"Phase 1")</f>
        <v>0</v>
      </c>
      <c r="D71" s="12">
        <f>COUNTIFS('Trial Database'!$J$2:$J$28727,"&gt;="&amp;DATE(2024,2,1),'Trial Database'!$J$2:$J$28727,"&lt;"&amp;DATE(2024,3,1),'Trial Database'!$E$2:$E$28727,"Phase 1/2")</f>
        <v>0</v>
      </c>
      <c r="E71" s="12">
        <f>COUNTIFS('Trial Database'!$J$2:$J$28727,"&gt;="&amp;DATE(2024,2,1),'Trial Database'!$J$2:$J$28727,"&lt;"&amp;DATE(2024,3,1),'Trial Database'!$E$2:$E$28727,"Phase 2")</f>
        <v>0</v>
      </c>
      <c r="F71" s="12">
        <f>COUNTIFS('Trial Database'!$J$2:$J$28727,"&gt;="&amp;DATE(2024,2,1),'Trial Database'!$J$2:$J$28727,"&lt;"&amp;DATE(2024,3,1),'Trial Database'!$E$2:$E$28727,"Phase 2/3")</f>
        <v>0</v>
      </c>
      <c r="G71" s="12">
        <f>COUNTIFS('Trial Database'!$J$2:$J$28727,"&gt;="&amp;DATE(2024,2,1),'Trial Database'!$J$2:$J$28727,"&lt;"&amp;DATE(2024,3,1),'Trial Database'!$E$2:$E$28727,"Phase 3")</f>
        <v>0</v>
      </c>
      <c r="H71" s="12">
        <f>COUNTIFS('Trial Database'!$J$2:$J$28727,"&gt;="&amp;DATE(2024,2,1),'Trial Database'!$J$2:$J$28727,"&lt;"&amp;DATE(2024,3,1),'Trial Database'!$E$2:$E$28727,"Phase 4")</f>
        <v>0</v>
      </c>
      <c r="I71" s="13">
        <f>SUM(B71:H71)</f>
        <v>0</v>
      </c>
      <c r="J71" s="12">
        <f>DAY(EOMONTH(A71,0))</f>
        <v>0</v>
      </c>
      <c r="K71" s="21">
        <f>IF(J71=0,0,I71/J71)</f>
        <v>0</v>
      </c>
    </row>
    <row r="72" spans="1:11">
      <c r="A72" s="20">
        <v>45352</v>
      </c>
      <c r="B72" s="12">
        <f>COUNTIFS('Trial Database'!$J$2:$J$28727,"&gt;="&amp;DATE(2024,3,1),'Trial Database'!$J$2:$J$28727,"&lt;"&amp;DATE(2024,4,1),'Trial Database'!$E$2:$E$28727,"Early Phase 1")</f>
        <v>0</v>
      </c>
      <c r="C72" s="12">
        <f>COUNTIFS('Trial Database'!$J$2:$J$28727,"&gt;="&amp;DATE(2024,3,1),'Trial Database'!$J$2:$J$28727,"&lt;"&amp;DATE(2024,4,1),'Trial Database'!$E$2:$E$28727,"Phase 1")</f>
        <v>0</v>
      </c>
      <c r="D72" s="12">
        <f>COUNTIFS('Trial Database'!$J$2:$J$28727,"&gt;="&amp;DATE(2024,3,1),'Trial Database'!$J$2:$J$28727,"&lt;"&amp;DATE(2024,4,1),'Trial Database'!$E$2:$E$28727,"Phase 1/2")</f>
        <v>0</v>
      </c>
      <c r="E72" s="12">
        <f>COUNTIFS('Trial Database'!$J$2:$J$28727,"&gt;="&amp;DATE(2024,3,1),'Trial Database'!$J$2:$J$28727,"&lt;"&amp;DATE(2024,4,1),'Trial Database'!$E$2:$E$28727,"Phase 2")</f>
        <v>0</v>
      </c>
      <c r="F72" s="12">
        <f>COUNTIFS('Trial Database'!$J$2:$J$28727,"&gt;="&amp;DATE(2024,3,1),'Trial Database'!$J$2:$J$28727,"&lt;"&amp;DATE(2024,4,1),'Trial Database'!$E$2:$E$28727,"Phase 2/3")</f>
        <v>0</v>
      </c>
      <c r="G72" s="12">
        <f>COUNTIFS('Trial Database'!$J$2:$J$28727,"&gt;="&amp;DATE(2024,3,1),'Trial Database'!$J$2:$J$28727,"&lt;"&amp;DATE(2024,4,1),'Trial Database'!$E$2:$E$28727,"Phase 3")</f>
        <v>0</v>
      </c>
      <c r="H72" s="12">
        <f>COUNTIFS('Trial Database'!$J$2:$J$28727,"&gt;="&amp;DATE(2024,3,1),'Trial Database'!$J$2:$J$28727,"&lt;"&amp;DATE(2024,4,1),'Trial Database'!$E$2:$E$28727,"Phase 4")</f>
        <v>0</v>
      </c>
      <c r="I72" s="13">
        <f>SUM(B72:H72)</f>
        <v>0</v>
      </c>
      <c r="J72" s="12">
        <f>DAY(EOMONTH(A72,0))</f>
        <v>0</v>
      </c>
      <c r="K72" s="21">
        <f>IF(J72=0,0,I72/J72)</f>
        <v>0</v>
      </c>
    </row>
    <row r="73" spans="1:11">
      <c r="A73" s="20">
        <v>45383</v>
      </c>
      <c r="B73" s="12">
        <f>COUNTIFS('Trial Database'!$J$2:$J$28727,"&gt;="&amp;DATE(2024,4,1),'Trial Database'!$J$2:$J$28727,"&lt;"&amp;DATE(2024,5,1),'Trial Database'!$E$2:$E$28727,"Early Phase 1")</f>
        <v>0</v>
      </c>
      <c r="C73" s="12">
        <f>COUNTIFS('Trial Database'!$J$2:$J$28727,"&gt;="&amp;DATE(2024,4,1),'Trial Database'!$J$2:$J$28727,"&lt;"&amp;DATE(2024,5,1),'Trial Database'!$E$2:$E$28727,"Phase 1")</f>
        <v>0</v>
      </c>
      <c r="D73" s="12">
        <f>COUNTIFS('Trial Database'!$J$2:$J$28727,"&gt;="&amp;DATE(2024,4,1),'Trial Database'!$J$2:$J$28727,"&lt;"&amp;DATE(2024,5,1),'Trial Database'!$E$2:$E$28727,"Phase 1/2")</f>
        <v>0</v>
      </c>
      <c r="E73" s="12">
        <f>COUNTIFS('Trial Database'!$J$2:$J$28727,"&gt;="&amp;DATE(2024,4,1),'Trial Database'!$J$2:$J$28727,"&lt;"&amp;DATE(2024,5,1),'Trial Database'!$E$2:$E$28727,"Phase 2")</f>
        <v>0</v>
      </c>
      <c r="F73" s="12">
        <f>COUNTIFS('Trial Database'!$J$2:$J$28727,"&gt;="&amp;DATE(2024,4,1),'Trial Database'!$J$2:$J$28727,"&lt;"&amp;DATE(2024,5,1),'Trial Database'!$E$2:$E$28727,"Phase 2/3")</f>
        <v>0</v>
      </c>
      <c r="G73" s="12">
        <f>COUNTIFS('Trial Database'!$J$2:$J$28727,"&gt;="&amp;DATE(2024,4,1),'Trial Database'!$J$2:$J$28727,"&lt;"&amp;DATE(2024,5,1),'Trial Database'!$E$2:$E$28727,"Phase 3")</f>
        <v>0</v>
      </c>
      <c r="H73" s="12">
        <f>COUNTIFS('Trial Database'!$J$2:$J$28727,"&gt;="&amp;DATE(2024,4,1),'Trial Database'!$J$2:$J$28727,"&lt;"&amp;DATE(2024,5,1),'Trial Database'!$E$2:$E$28727,"Phase 4")</f>
        <v>0</v>
      </c>
      <c r="I73" s="13">
        <f>SUM(B73:H73)</f>
        <v>0</v>
      </c>
      <c r="J73" s="12">
        <f>DAY(EOMONTH(A73,0))</f>
        <v>0</v>
      </c>
      <c r="K73" s="21">
        <f>IF(J73=0,0,I73/J73)</f>
        <v>0</v>
      </c>
    </row>
    <row r="74" spans="1:11">
      <c r="A74" s="20">
        <v>45413</v>
      </c>
      <c r="B74" s="12">
        <f>COUNTIFS('Trial Database'!$J$2:$J$28727,"&gt;="&amp;DATE(2024,5,1),'Trial Database'!$J$2:$J$28727,"&lt;"&amp;DATE(2024,6,1),'Trial Database'!$E$2:$E$28727,"Early Phase 1")</f>
        <v>0</v>
      </c>
      <c r="C74" s="12">
        <f>COUNTIFS('Trial Database'!$J$2:$J$28727,"&gt;="&amp;DATE(2024,5,1),'Trial Database'!$J$2:$J$28727,"&lt;"&amp;DATE(2024,6,1),'Trial Database'!$E$2:$E$28727,"Phase 1")</f>
        <v>0</v>
      </c>
      <c r="D74" s="12">
        <f>COUNTIFS('Trial Database'!$J$2:$J$28727,"&gt;="&amp;DATE(2024,5,1),'Trial Database'!$J$2:$J$28727,"&lt;"&amp;DATE(2024,6,1),'Trial Database'!$E$2:$E$28727,"Phase 1/2")</f>
        <v>0</v>
      </c>
      <c r="E74" s="12">
        <f>COUNTIFS('Trial Database'!$J$2:$J$28727,"&gt;="&amp;DATE(2024,5,1),'Trial Database'!$J$2:$J$28727,"&lt;"&amp;DATE(2024,6,1),'Trial Database'!$E$2:$E$28727,"Phase 2")</f>
        <v>0</v>
      </c>
      <c r="F74" s="12">
        <f>COUNTIFS('Trial Database'!$J$2:$J$28727,"&gt;="&amp;DATE(2024,5,1),'Trial Database'!$J$2:$J$28727,"&lt;"&amp;DATE(2024,6,1),'Trial Database'!$E$2:$E$28727,"Phase 2/3")</f>
        <v>0</v>
      </c>
      <c r="G74" s="12">
        <f>COUNTIFS('Trial Database'!$J$2:$J$28727,"&gt;="&amp;DATE(2024,5,1),'Trial Database'!$J$2:$J$28727,"&lt;"&amp;DATE(2024,6,1),'Trial Database'!$E$2:$E$28727,"Phase 3")</f>
        <v>0</v>
      </c>
      <c r="H74" s="12">
        <f>COUNTIFS('Trial Database'!$J$2:$J$28727,"&gt;="&amp;DATE(2024,5,1),'Trial Database'!$J$2:$J$28727,"&lt;"&amp;DATE(2024,6,1),'Trial Database'!$E$2:$E$28727,"Phase 4")</f>
        <v>0</v>
      </c>
      <c r="I74" s="13">
        <f>SUM(B74:H74)</f>
        <v>0</v>
      </c>
      <c r="J74" s="12">
        <f>DAY(EOMONTH(A74,0))</f>
        <v>0</v>
      </c>
      <c r="K74" s="21">
        <f>IF(J74=0,0,I74/J74)</f>
        <v>0</v>
      </c>
    </row>
    <row r="75" spans="1:11">
      <c r="A75" s="20">
        <v>45444</v>
      </c>
      <c r="B75" s="12">
        <f>COUNTIFS('Trial Database'!$J$2:$J$28727,"&gt;="&amp;DATE(2024,6,1),'Trial Database'!$J$2:$J$28727,"&lt;"&amp;DATE(2024,7,1),'Trial Database'!$E$2:$E$28727,"Early Phase 1")</f>
        <v>0</v>
      </c>
      <c r="C75" s="12">
        <f>COUNTIFS('Trial Database'!$J$2:$J$28727,"&gt;="&amp;DATE(2024,6,1),'Trial Database'!$J$2:$J$28727,"&lt;"&amp;DATE(2024,7,1),'Trial Database'!$E$2:$E$28727,"Phase 1")</f>
        <v>0</v>
      </c>
      <c r="D75" s="12">
        <f>COUNTIFS('Trial Database'!$J$2:$J$28727,"&gt;="&amp;DATE(2024,6,1),'Trial Database'!$J$2:$J$28727,"&lt;"&amp;DATE(2024,7,1),'Trial Database'!$E$2:$E$28727,"Phase 1/2")</f>
        <v>0</v>
      </c>
      <c r="E75" s="12">
        <f>COUNTIFS('Trial Database'!$J$2:$J$28727,"&gt;="&amp;DATE(2024,6,1),'Trial Database'!$J$2:$J$28727,"&lt;"&amp;DATE(2024,7,1),'Trial Database'!$E$2:$E$28727,"Phase 2")</f>
        <v>0</v>
      </c>
      <c r="F75" s="12">
        <f>COUNTIFS('Trial Database'!$J$2:$J$28727,"&gt;="&amp;DATE(2024,6,1),'Trial Database'!$J$2:$J$28727,"&lt;"&amp;DATE(2024,7,1),'Trial Database'!$E$2:$E$28727,"Phase 2/3")</f>
        <v>0</v>
      </c>
      <c r="G75" s="12">
        <f>COUNTIFS('Trial Database'!$J$2:$J$28727,"&gt;="&amp;DATE(2024,6,1),'Trial Database'!$J$2:$J$28727,"&lt;"&amp;DATE(2024,7,1),'Trial Database'!$E$2:$E$28727,"Phase 3")</f>
        <v>0</v>
      </c>
      <c r="H75" s="12">
        <f>COUNTIFS('Trial Database'!$J$2:$J$28727,"&gt;="&amp;DATE(2024,6,1),'Trial Database'!$J$2:$J$28727,"&lt;"&amp;DATE(2024,7,1),'Trial Database'!$E$2:$E$28727,"Phase 4")</f>
        <v>0</v>
      </c>
      <c r="I75" s="13">
        <f>SUM(B75:H75)</f>
        <v>0</v>
      </c>
      <c r="J75" s="12">
        <f>DAY(EOMONTH(A75,0))</f>
        <v>0</v>
      </c>
      <c r="K75" s="21">
        <f>IF(J75=0,0,I75/J75)</f>
        <v>0</v>
      </c>
    </row>
    <row r="76" spans="1:11">
      <c r="A76" s="20">
        <v>45474</v>
      </c>
      <c r="B76" s="12">
        <f>COUNTIFS('Trial Database'!$J$2:$J$28727,"&gt;="&amp;DATE(2024,7,1),'Trial Database'!$J$2:$J$28727,"&lt;"&amp;DATE(2024,8,1),'Trial Database'!$E$2:$E$28727,"Early Phase 1")</f>
        <v>0</v>
      </c>
      <c r="C76" s="12">
        <f>COUNTIFS('Trial Database'!$J$2:$J$28727,"&gt;="&amp;DATE(2024,7,1),'Trial Database'!$J$2:$J$28727,"&lt;"&amp;DATE(2024,8,1),'Trial Database'!$E$2:$E$28727,"Phase 1")</f>
        <v>0</v>
      </c>
      <c r="D76" s="12">
        <f>COUNTIFS('Trial Database'!$J$2:$J$28727,"&gt;="&amp;DATE(2024,7,1),'Trial Database'!$J$2:$J$28727,"&lt;"&amp;DATE(2024,8,1),'Trial Database'!$E$2:$E$28727,"Phase 1/2")</f>
        <v>0</v>
      </c>
      <c r="E76" s="12">
        <f>COUNTIFS('Trial Database'!$J$2:$J$28727,"&gt;="&amp;DATE(2024,7,1),'Trial Database'!$J$2:$J$28727,"&lt;"&amp;DATE(2024,8,1),'Trial Database'!$E$2:$E$28727,"Phase 2")</f>
        <v>0</v>
      </c>
      <c r="F76" s="12">
        <f>COUNTIFS('Trial Database'!$J$2:$J$28727,"&gt;="&amp;DATE(2024,7,1),'Trial Database'!$J$2:$J$28727,"&lt;"&amp;DATE(2024,8,1),'Trial Database'!$E$2:$E$28727,"Phase 2/3")</f>
        <v>0</v>
      </c>
      <c r="G76" s="12">
        <f>COUNTIFS('Trial Database'!$J$2:$J$28727,"&gt;="&amp;DATE(2024,7,1),'Trial Database'!$J$2:$J$28727,"&lt;"&amp;DATE(2024,8,1),'Trial Database'!$E$2:$E$28727,"Phase 3")</f>
        <v>0</v>
      </c>
      <c r="H76" s="12">
        <f>COUNTIFS('Trial Database'!$J$2:$J$28727,"&gt;="&amp;DATE(2024,7,1),'Trial Database'!$J$2:$J$28727,"&lt;"&amp;DATE(2024,8,1),'Trial Database'!$E$2:$E$28727,"Phase 4")</f>
        <v>0</v>
      </c>
      <c r="I76" s="13">
        <f>SUM(B76:H76)</f>
        <v>0</v>
      </c>
      <c r="J76" s="12">
        <f>DAY(EOMONTH(A76,0))</f>
        <v>0</v>
      </c>
      <c r="K76" s="21">
        <f>IF(J76=0,0,I76/J76)</f>
        <v>0</v>
      </c>
    </row>
    <row r="77" spans="1:11">
      <c r="A77" s="20">
        <v>45505</v>
      </c>
      <c r="B77" s="12">
        <f>COUNTIFS('Trial Database'!$J$2:$J$28727,"&gt;="&amp;DATE(2024,8,1),'Trial Database'!$J$2:$J$28727,"&lt;"&amp;DATE(2024,9,1),'Trial Database'!$E$2:$E$28727,"Early Phase 1")</f>
        <v>0</v>
      </c>
      <c r="C77" s="12">
        <f>COUNTIFS('Trial Database'!$J$2:$J$28727,"&gt;="&amp;DATE(2024,8,1),'Trial Database'!$J$2:$J$28727,"&lt;"&amp;DATE(2024,9,1),'Trial Database'!$E$2:$E$28727,"Phase 1")</f>
        <v>0</v>
      </c>
      <c r="D77" s="12">
        <f>COUNTIFS('Trial Database'!$J$2:$J$28727,"&gt;="&amp;DATE(2024,8,1),'Trial Database'!$J$2:$J$28727,"&lt;"&amp;DATE(2024,9,1),'Trial Database'!$E$2:$E$28727,"Phase 1/2")</f>
        <v>0</v>
      </c>
      <c r="E77" s="12">
        <f>COUNTIFS('Trial Database'!$J$2:$J$28727,"&gt;="&amp;DATE(2024,8,1),'Trial Database'!$J$2:$J$28727,"&lt;"&amp;DATE(2024,9,1),'Trial Database'!$E$2:$E$28727,"Phase 2")</f>
        <v>0</v>
      </c>
      <c r="F77" s="12">
        <f>COUNTIFS('Trial Database'!$J$2:$J$28727,"&gt;="&amp;DATE(2024,8,1),'Trial Database'!$J$2:$J$28727,"&lt;"&amp;DATE(2024,9,1),'Trial Database'!$E$2:$E$28727,"Phase 2/3")</f>
        <v>0</v>
      </c>
      <c r="G77" s="12">
        <f>COUNTIFS('Trial Database'!$J$2:$J$28727,"&gt;="&amp;DATE(2024,8,1),'Trial Database'!$J$2:$J$28727,"&lt;"&amp;DATE(2024,9,1),'Trial Database'!$E$2:$E$28727,"Phase 3")</f>
        <v>0</v>
      </c>
      <c r="H77" s="12">
        <f>COUNTIFS('Trial Database'!$J$2:$J$28727,"&gt;="&amp;DATE(2024,8,1),'Trial Database'!$J$2:$J$28727,"&lt;"&amp;DATE(2024,9,1),'Trial Database'!$E$2:$E$28727,"Phase 4")</f>
        <v>0</v>
      </c>
      <c r="I77" s="13">
        <f>SUM(B77:H77)</f>
        <v>0</v>
      </c>
      <c r="J77" s="12">
        <f>DAY(EOMONTH(A77,0))</f>
        <v>0</v>
      </c>
      <c r="K77" s="21">
        <f>IF(J77=0,0,I77/J77)</f>
        <v>0</v>
      </c>
    </row>
    <row r="78" spans="1:11">
      <c r="A78" s="20">
        <v>45536</v>
      </c>
      <c r="B78" s="12">
        <f>COUNTIFS('Trial Database'!$J$2:$J$28727,"&gt;="&amp;DATE(2024,9,1),'Trial Database'!$J$2:$J$28727,"&lt;"&amp;DATE(2024,10,1),'Trial Database'!$E$2:$E$28727,"Early Phase 1")</f>
        <v>0</v>
      </c>
      <c r="C78" s="12">
        <f>COUNTIFS('Trial Database'!$J$2:$J$28727,"&gt;="&amp;DATE(2024,9,1),'Trial Database'!$J$2:$J$28727,"&lt;"&amp;DATE(2024,10,1),'Trial Database'!$E$2:$E$28727,"Phase 1")</f>
        <v>0</v>
      </c>
      <c r="D78" s="12">
        <f>COUNTIFS('Trial Database'!$J$2:$J$28727,"&gt;="&amp;DATE(2024,9,1),'Trial Database'!$J$2:$J$28727,"&lt;"&amp;DATE(2024,10,1),'Trial Database'!$E$2:$E$28727,"Phase 1/2")</f>
        <v>0</v>
      </c>
      <c r="E78" s="12">
        <f>COUNTIFS('Trial Database'!$J$2:$J$28727,"&gt;="&amp;DATE(2024,9,1),'Trial Database'!$J$2:$J$28727,"&lt;"&amp;DATE(2024,10,1),'Trial Database'!$E$2:$E$28727,"Phase 2")</f>
        <v>0</v>
      </c>
      <c r="F78" s="12">
        <f>COUNTIFS('Trial Database'!$J$2:$J$28727,"&gt;="&amp;DATE(2024,9,1),'Trial Database'!$J$2:$J$28727,"&lt;"&amp;DATE(2024,10,1),'Trial Database'!$E$2:$E$28727,"Phase 2/3")</f>
        <v>0</v>
      </c>
      <c r="G78" s="12">
        <f>COUNTIFS('Trial Database'!$J$2:$J$28727,"&gt;="&amp;DATE(2024,9,1),'Trial Database'!$J$2:$J$28727,"&lt;"&amp;DATE(2024,10,1),'Trial Database'!$E$2:$E$28727,"Phase 3")</f>
        <v>0</v>
      </c>
      <c r="H78" s="12">
        <f>COUNTIFS('Trial Database'!$J$2:$J$28727,"&gt;="&amp;DATE(2024,9,1),'Trial Database'!$J$2:$J$28727,"&lt;"&amp;DATE(2024,10,1),'Trial Database'!$E$2:$E$28727,"Phase 4")</f>
        <v>0</v>
      </c>
      <c r="I78" s="13">
        <f>SUM(B78:H78)</f>
        <v>0</v>
      </c>
      <c r="J78" s="12">
        <f>DAY(EOMONTH(A78,0))</f>
        <v>0</v>
      </c>
      <c r="K78" s="21">
        <f>IF(J78=0,0,I78/J78)</f>
        <v>0</v>
      </c>
    </row>
    <row r="79" spans="1:11">
      <c r="A79" s="20">
        <v>45566</v>
      </c>
      <c r="B79" s="12">
        <f>COUNTIFS('Trial Database'!$J$2:$J$28727,"&gt;="&amp;DATE(2024,10,1),'Trial Database'!$J$2:$J$28727,"&lt;"&amp;DATE(2024,11,1),'Trial Database'!$E$2:$E$28727,"Early Phase 1")</f>
        <v>0</v>
      </c>
      <c r="C79" s="12">
        <f>COUNTIFS('Trial Database'!$J$2:$J$28727,"&gt;="&amp;DATE(2024,10,1),'Trial Database'!$J$2:$J$28727,"&lt;"&amp;DATE(2024,11,1),'Trial Database'!$E$2:$E$28727,"Phase 1")</f>
        <v>0</v>
      </c>
      <c r="D79" s="12">
        <f>COUNTIFS('Trial Database'!$J$2:$J$28727,"&gt;="&amp;DATE(2024,10,1),'Trial Database'!$J$2:$J$28727,"&lt;"&amp;DATE(2024,11,1),'Trial Database'!$E$2:$E$28727,"Phase 1/2")</f>
        <v>0</v>
      </c>
      <c r="E79" s="12">
        <f>COUNTIFS('Trial Database'!$J$2:$J$28727,"&gt;="&amp;DATE(2024,10,1),'Trial Database'!$J$2:$J$28727,"&lt;"&amp;DATE(2024,11,1),'Trial Database'!$E$2:$E$28727,"Phase 2")</f>
        <v>0</v>
      </c>
      <c r="F79" s="12">
        <f>COUNTIFS('Trial Database'!$J$2:$J$28727,"&gt;="&amp;DATE(2024,10,1),'Trial Database'!$J$2:$J$28727,"&lt;"&amp;DATE(2024,11,1),'Trial Database'!$E$2:$E$28727,"Phase 2/3")</f>
        <v>0</v>
      </c>
      <c r="G79" s="12">
        <f>COUNTIFS('Trial Database'!$J$2:$J$28727,"&gt;="&amp;DATE(2024,10,1),'Trial Database'!$J$2:$J$28727,"&lt;"&amp;DATE(2024,11,1),'Trial Database'!$E$2:$E$28727,"Phase 3")</f>
        <v>0</v>
      </c>
      <c r="H79" s="12">
        <f>COUNTIFS('Trial Database'!$J$2:$J$28727,"&gt;="&amp;DATE(2024,10,1),'Trial Database'!$J$2:$J$28727,"&lt;"&amp;DATE(2024,11,1),'Trial Database'!$E$2:$E$28727,"Phase 4")</f>
        <v>0</v>
      </c>
      <c r="I79" s="13">
        <f>SUM(B79:H79)</f>
        <v>0</v>
      </c>
      <c r="J79" s="12">
        <f>DAY(EOMONTH(A79,0))</f>
        <v>0</v>
      </c>
      <c r="K79" s="21">
        <f>IF(J79=0,0,I79/J79)</f>
        <v>0</v>
      </c>
    </row>
    <row r="80" spans="1:11">
      <c r="A80" s="20">
        <v>45597</v>
      </c>
      <c r="B80" s="12">
        <f>COUNTIFS('Trial Database'!$J$2:$J$28727,"&gt;="&amp;DATE(2024,11,1),'Trial Database'!$J$2:$J$28727,"&lt;"&amp;DATE(2024,12,1),'Trial Database'!$E$2:$E$28727,"Early Phase 1")</f>
        <v>0</v>
      </c>
      <c r="C80" s="12">
        <f>COUNTIFS('Trial Database'!$J$2:$J$28727,"&gt;="&amp;DATE(2024,11,1),'Trial Database'!$J$2:$J$28727,"&lt;"&amp;DATE(2024,12,1),'Trial Database'!$E$2:$E$28727,"Phase 1")</f>
        <v>0</v>
      </c>
      <c r="D80" s="12">
        <f>COUNTIFS('Trial Database'!$J$2:$J$28727,"&gt;="&amp;DATE(2024,11,1),'Trial Database'!$J$2:$J$28727,"&lt;"&amp;DATE(2024,12,1),'Trial Database'!$E$2:$E$28727,"Phase 1/2")</f>
        <v>0</v>
      </c>
      <c r="E80" s="12">
        <f>COUNTIFS('Trial Database'!$J$2:$J$28727,"&gt;="&amp;DATE(2024,11,1),'Trial Database'!$J$2:$J$28727,"&lt;"&amp;DATE(2024,12,1),'Trial Database'!$E$2:$E$28727,"Phase 2")</f>
        <v>0</v>
      </c>
      <c r="F80" s="12">
        <f>COUNTIFS('Trial Database'!$J$2:$J$28727,"&gt;="&amp;DATE(2024,11,1),'Trial Database'!$J$2:$J$28727,"&lt;"&amp;DATE(2024,12,1),'Trial Database'!$E$2:$E$28727,"Phase 2/3")</f>
        <v>0</v>
      </c>
      <c r="G80" s="12">
        <f>COUNTIFS('Trial Database'!$J$2:$J$28727,"&gt;="&amp;DATE(2024,11,1),'Trial Database'!$J$2:$J$28727,"&lt;"&amp;DATE(2024,12,1),'Trial Database'!$E$2:$E$28727,"Phase 3")</f>
        <v>0</v>
      </c>
      <c r="H80" s="12">
        <f>COUNTIFS('Trial Database'!$J$2:$J$28727,"&gt;="&amp;DATE(2024,11,1),'Trial Database'!$J$2:$J$28727,"&lt;"&amp;DATE(2024,12,1),'Trial Database'!$E$2:$E$28727,"Phase 4")</f>
        <v>0</v>
      </c>
      <c r="I80" s="13">
        <f>SUM(B80:H80)</f>
        <v>0</v>
      </c>
      <c r="J80" s="12">
        <f>DAY(EOMONTH(A80,0))</f>
        <v>0</v>
      </c>
      <c r="K80" s="21">
        <f>IF(J80=0,0,I80/J80)</f>
        <v>0</v>
      </c>
    </row>
    <row r="81" spans="1:11">
      <c r="A81" s="20">
        <v>45627</v>
      </c>
      <c r="B81" s="12">
        <f>COUNTIFS('Trial Database'!$J$2:$J$28727,"&gt;="&amp;DATE(2024,12,1),'Trial Database'!$J$2:$J$28727,"&lt;"&amp;DATE(2024,13,1),'Trial Database'!$E$2:$E$28727,"Early Phase 1")</f>
        <v>0</v>
      </c>
      <c r="C81" s="12">
        <f>COUNTIFS('Trial Database'!$J$2:$J$28727,"&gt;="&amp;DATE(2024,12,1),'Trial Database'!$J$2:$J$28727,"&lt;"&amp;DATE(2024,13,1),'Trial Database'!$E$2:$E$28727,"Phase 1")</f>
        <v>0</v>
      </c>
      <c r="D81" s="12">
        <f>COUNTIFS('Trial Database'!$J$2:$J$28727,"&gt;="&amp;DATE(2024,12,1),'Trial Database'!$J$2:$J$28727,"&lt;"&amp;DATE(2024,13,1),'Trial Database'!$E$2:$E$28727,"Phase 1/2")</f>
        <v>0</v>
      </c>
      <c r="E81" s="12">
        <f>COUNTIFS('Trial Database'!$J$2:$J$28727,"&gt;="&amp;DATE(2024,12,1),'Trial Database'!$J$2:$J$28727,"&lt;"&amp;DATE(2024,13,1),'Trial Database'!$E$2:$E$28727,"Phase 2")</f>
        <v>0</v>
      </c>
      <c r="F81" s="12">
        <f>COUNTIFS('Trial Database'!$J$2:$J$28727,"&gt;="&amp;DATE(2024,12,1),'Trial Database'!$J$2:$J$28727,"&lt;"&amp;DATE(2024,13,1),'Trial Database'!$E$2:$E$28727,"Phase 2/3")</f>
        <v>0</v>
      </c>
      <c r="G81" s="12">
        <f>COUNTIFS('Trial Database'!$J$2:$J$28727,"&gt;="&amp;DATE(2024,12,1),'Trial Database'!$J$2:$J$28727,"&lt;"&amp;DATE(2024,13,1),'Trial Database'!$E$2:$E$28727,"Phase 3")</f>
        <v>0</v>
      </c>
      <c r="H81" s="12">
        <f>COUNTIFS('Trial Database'!$J$2:$J$28727,"&gt;="&amp;DATE(2024,12,1),'Trial Database'!$J$2:$J$28727,"&lt;"&amp;DATE(2024,13,1),'Trial Database'!$E$2:$E$28727,"Phase 4")</f>
        <v>0</v>
      </c>
      <c r="I81" s="13">
        <f>SUM(B81:H81)</f>
        <v>0</v>
      </c>
      <c r="J81" s="12">
        <f>DAY(EOMONTH(A81,0))</f>
        <v>0</v>
      </c>
      <c r="K81" s="21">
        <f>IF(J81=0,0,I81/J81)</f>
        <v>0</v>
      </c>
    </row>
    <row r="82" spans="1:11">
      <c r="A82" s="20">
        <v>45658</v>
      </c>
      <c r="B82" s="12">
        <f>COUNTIFS('Trial Database'!$J$2:$J$28727,"&gt;="&amp;DATE(2025,1,1),'Trial Database'!$J$2:$J$28727,"&lt;"&amp;DATE(2025,2,1),'Trial Database'!$E$2:$E$28727,"Early Phase 1")</f>
        <v>0</v>
      </c>
      <c r="C82" s="12">
        <f>COUNTIFS('Trial Database'!$J$2:$J$28727,"&gt;="&amp;DATE(2025,1,1),'Trial Database'!$J$2:$J$28727,"&lt;"&amp;DATE(2025,2,1),'Trial Database'!$E$2:$E$28727,"Phase 1")</f>
        <v>0</v>
      </c>
      <c r="D82" s="12">
        <f>COUNTIFS('Trial Database'!$J$2:$J$28727,"&gt;="&amp;DATE(2025,1,1),'Trial Database'!$J$2:$J$28727,"&lt;"&amp;DATE(2025,2,1),'Trial Database'!$E$2:$E$28727,"Phase 1/2")</f>
        <v>0</v>
      </c>
      <c r="E82" s="12">
        <f>COUNTIFS('Trial Database'!$J$2:$J$28727,"&gt;="&amp;DATE(2025,1,1),'Trial Database'!$J$2:$J$28727,"&lt;"&amp;DATE(2025,2,1),'Trial Database'!$E$2:$E$28727,"Phase 2")</f>
        <v>0</v>
      </c>
      <c r="F82" s="12">
        <f>COUNTIFS('Trial Database'!$J$2:$J$28727,"&gt;="&amp;DATE(2025,1,1),'Trial Database'!$J$2:$J$28727,"&lt;"&amp;DATE(2025,2,1),'Trial Database'!$E$2:$E$28727,"Phase 2/3")</f>
        <v>0</v>
      </c>
      <c r="G82" s="12">
        <f>COUNTIFS('Trial Database'!$J$2:$J$28727,"&gt;="&amp;DATE(2025,1,1),'Trial Database'!$J$2:$J$28727,"&lt;"&amp;DATE(2025,2,1),'Trial Database'!$E$2:$E$28727,"Phase 3")</f>
        <v>0</v>
      </c>
      <c r="H82" s="12">
        <f>COUNTIFS('Trial Database'!$J$2:$J$28727,"&gt;="&amp;DATE(2025,1,1),'Trial Database'!$J$2:$J$28727,"&lt;"&amp;DATE(2025,2,1),'Trial Database'!$E$2:$E$28727,"Phase 4")</f>
        <v>0</v>
      </c>
      <c r="I82" s="13">
        <f>SUM(B82:H82)</f>
        <v>0</v>
      </c>
      <c r="J82" s="12">
        <f>DAY(EOMONTH(A82,0))</f>
        <v>0</v>
      </c>
      <c r="K82" s="21">
        <f>IF(J82=0,0,I82/J82)</f>
        <v>0</v>
      </c>
    </row>
    <row r="83" spans="1:11">
      <c r="A83" s="20">
        <v>45689</v>
      </c>
      <c r="B83" s="12">
        <f>COUNTIFS('Trial Database'!$J$2:$J$28727,"&gt;="&amp;DATE(2025,2,1),'Trial Database'!$J$2:$J$28727,"&lt;"&amp;DATE(2025,3,1),'Trial Database'!$E$2:$E$28727,"Early Phase 1")</f>
        <v>0</v>
      </c>
      <c r="C83" s="12">
        <f>COUNTIFS('Trial Database'!$J$2:$J$28727,"&gt;="&amp;DATE(2025,2,1),'Trial Database'!$J$2:$J$28727,"&lt;"&amp;DATE(2025,3,1),'Trial Database'!$E$2:$E$28727,"Phase 1")</f>
        <v>0</v>
      </c>
      <c r="D83" s="12">
        <f>COUNTIFS('Trial Database'!$J$2:$J$28727,"&gt;="&amp;DATE(2025,2,1),'Trial Database'!$J$2:$J$28727,"&lt;"&amp;DATE(2025,3,1),'Trial Database'!$E$2:$E$28727,"Phase 1/2")</f>
        <v>0</v>
      </c>
      <c r="E83" s="12">
        <f>COUNTIFS('Trial Database'!$J$2:$J$28727,"&gt;="&amp;DATE(2025,2,1),'Trial Database'!$J$2:$J$28727,"&lt;"&amp;DATE(2025,3,1),'Trial Database'!$E$2:$E$28727,"Phase 2")</f>
        <v>0</v>
      </c>
      <c r="F83" s="12">
        <f>COUNTIFS('Trial Database'!$J$2:$J$28727,"&gt;="&amp;DATE(2025,2,1),'Trial Database'!$J$2:$J$28727,"&lt;"&amp;DATE(2025,3,1),'Trial Database'!$E$2:$E$28727,"Phase 2/3")</f>
        <v>0</v>
      </c>
      <c r="G83" s="12">
        <f>COUNTIFS('Trial Database'!$J$2:$J$28727,"&gt;="&amp;DATE(2025,2,1),'Trial Database'!$J$2:$J$28727,"&lt;"&amp;DATE(2025,3,1),'Trial Database'!$E$2:$E$28727,"Phase 3")</f>
        <v>0</v>
      </c>
      <c r="H83" s="12">
        <f>COUNTIFS('Trial Database'!$J$2:$J$28727,"&gt;="&amp;DATE(2025,2,1),'Trial Database'!$J$2:$J$28727,"&lt;"&amp;DATE(2025,3,1),'Trial Database'!$E$2:$E$28727,"Phase 4")</f>
        <v>0</v>
      </c>
      <c r="I83" s="13">
        <f>SUM(B83:H83)</f>
        <v>0</v>
      </c>
      <c r="J83" s="12">
        <f>DAY(EOMONTH(A83,0))</f>
        <v>0</v>
      </c>
      <c r="K83" s="21">
        <f>IF(J83=0,0,I83/J83)</f>
        <v>0</v>
      </c>
    </row>
    <row r="84" spans="1:11">
      <c r="A84" s="20">
        <v>45717</v>
      </c>
      <c r="B84" s="12">
        <f>COUNTIFS('Trial Database'!$J$2:$J$28727,"&gt;="&amp;DATE(2025,3,1),'Trial Database'!$J$2:$J$28727,"&lt;"&amp;DATE(2025,4,1),'Trial Database'!$E$2:$E$28727,"Early Phase 1")</f>
        <v>0</v>
      </c>
      <c r="C84" s="12">
        <f>COUNTIFS('Trial Database'!$J$2:$J$28727,"&gt;="&amp;DATE(2025,3,1),'Trial Database'!$J$2:$J$28727,"&lt;"&amp;DATE(2025,4,1),'Trial Database'!$E$2:$E$28727,"Phase 1")</f>
        <v>0</v>
      </c>
      <c r="D84" s="12">
        <f>COUNTIFS('Trial Database'!$J$2:$J$28727,"&gt;="&amp;DATE(2025,3,1),'Trial Database'!$J$2:$J$28727,"&lt;"&amp;DATE(2025,4,1),'Trial Database'!$E$2:$E$28727,"Phase 1/2")</f>
        <v>0</v>
      </c>
      <c r="E84" s="12">
        <f>COUNTIFS('Trial Database'!$J$2:$J$28727,"&gt;="&amp;DATE(2025,3,1),'Trial Database'!$J$2:$J$28727,"&lt;"&amp;DATE(2025,4,1),'Trial Database'!$E$2:$E$28727,"Phase 2")</f>
        <v>0</v>
      </c>
      <c r="F84" s="12">
        <f>COUNTIFS('Trial Database'!$J$2:$J$28727,"&gt;="&amp;DATE(2025,3,1),'Trial Database'!$J$2:$J$28727,"&lt;"&amp;DATE(2025,4,1),'Trial Database'!$E$2:$E$28727,"Phase 2/3")</f>
        <v>0</v>
      </c>
      <c r="G84" s="12">
        <f>COUNTIFS('Trial Database'!$J$2:$J$28727,"&gt;="&amp;DATE(2025,3,1),'Trial Database'!$J$2:$J$28727,"&lt;"&amp;DATE(2025,4,1),'Trial Database'!$E$2:$E$28727,"Phase 3")</f>
        <v>0</v>
      </c>
      <c r="H84" s="12">
        <f>COUNTIFS('Trial Database'!$J$2:$J$28727,"&gt;="&amp;DATE(2025,3,1),'Trial Database'!$J$2:$J$28727,"&lt;"&amp;DATE(2025,4,1),'Trial Database'!$E$2:$E$28727,"Phase 4")</f>
        <v>0</v>
      </c>
      <c r="I84" s="13">
        <f>SUM(B84:H84)</f>
        <v>0</v>
      </c>
      <c r="J84" s="12">
        <f>DAY(EOMONTH(A84,0))</f>
        <v>0</v>
      </c>
      <c r="K84" s="21">
        <f>IF(J84=0,0,I84/J84)</f>
        <v>0</v>
      </c>
    </row>
    <row r="85" spans="1:11">
      <c r="A85" s="20">
        <v>45748</v>
      </c>
      <c r="B85" s="12">
        <f>COUNTIFS('Trial Database'!$J$2:$J$28727,"&gt;="&amp;DATE(2025,4,1),'Trial Database'!$J$2:$J$28727,"&lt;"&amp;DATE(2025,5,1),'Trial Database'!$E$2:$E$28727,"Early Phase 1")</f>
        <v>0</v>
      </c>
      <c r="C85" s="12">
        <f>COUNTIFS('Trial Database'!$J$2:$J$28727,"&gt;="&amp;DATE(2025,4,1),'Trial Database'!$J$2:$J$28727,"&lt;"&amp;DATE(2025,5,1),'Trial Database'!$E$2:$E$28727,"Phase 1")</f>
        <v>0</v>
      </c>
      <c r="D85" s="12">
        <f>COUNTIFS('Trial Database'!$J$2:$J$28727,"&gt;="&amp;DATE(2025,4,1),'Trial Database'!$J$2:$J$28727,"&lt;"&amp;DATE(2025,5,1),'Trial Database'!$E$2:$E$28727,"Phase 1/2")</f>
        <v>0</v>
      </c>
      <c r="E85" s="12">
        <f>COUNTIFS('Trial Database'!$J$2:$J$28727,"&gt;="&amp;DATE(2025,4,1),'Trial Database'!$J$2:$J$28727,"&lt;"&amp;DATE(2025,5,1),'Trial Database'!$E$2:$E$28727,"Phase 2")</f>
        <v>0</v>
      </c>
      <c r="F85" s="12">
        <f>COUNTIFS('Trial Database'!$J$2:$J$28727,"&gt;="&amp;DATE(2025,4,1),'Trial Database'!$J$2:$J$28727,"&lt;"&amp;DATE(2025,5,1),'Trial Database'!$E$2:$E$28727,"Phase 2/3")</f>
        <v>0</v>
      </c>
      <c r="G85" s="12">
        <f>COUNTIFS('Trial Database'!$J$2:$J$28727,"&gt;="&amp;DATE(2025,4,1),'Trial Database'!$J$2:$J$28727,"&lt;"&amp;DATE(2025,5,1),'Trial Database'!$E$2:$E$28727,"Phase 3")</f>
        <v>0</v>
      </c>
      <c r="H85" s="12">
        <f>COUNTIFS('Trial Database'!$J$2:$J$28727,"&gt;="&amp;DATE(2025,4,1),'Trial Database'!$J$2:$J$28727,"&lt;"&amp;DATE(2025,5,1),'Trial Database'!$E$2:$E$28727,"Phase 4")</f>
        <v>0</v>
      </c>
      <c r="I85" s="13">
        <f>SUM(B85:H85)</f>
        <v>0</v>
      </c>
      <c r="J85" s="12">
        <f>DAY(EOMONTH(A85,0))</f>
        <v>0</v>
      </c>
      <c r="K85" s="21">
        <f>IF(J85=0,0,I85/J85)</f>
        <v>0</v>
      </c>
    </row>
    <row r="86" spans="1:11">
      <c r="A86" s="20">
        <v>45778</v>
      </c>
      <c r="B86" s="12">
        <f>COUNTIFS('Trial Database'!$J$2:$J$28727,"&gt;="&amp;DATE(2025,5,1),'Trial Database'!$J$2:$J$28727,"&lt;"&amp;DATE(2025,6,1),'Trial Database'!$E$2:$E$28727,"Early Phase 1")</f>
        <v>0</v>
      </c>
      <c r="C86" s="12">
        <f>COUNTIFS('Trial Database'!$J$2:$J$28727,"&gt;="&amp;DATE(2025,5,1),'Trial Database'!$J$2:$J$28727,"&lt;"&amp;DATE(2025,6,1),'Trial Database'!$E$2:$E$28727,"Phase 1")</f>
        <v>0</v>
      </c>
      <c r="D86" s="12">
        <f>COUNTIFS('Trial Database'!$J$2:$J$28727,"&gt;="&amp;DATE(2025,5,1),'Trial Database'!$J$2:$J$28727,"&lt;"&amp;DATE(2025,6,1),'Trial Database'!$E$2:$E$28727,"Phase 1/2")</f>
        <v>0</v>
      </c>
      <c r="E86" s="12">
        <f>COUNTIFS('Trial Database'!$J$2:$J$28727,"&gt;="&amp;DATE(2025,5,1),'Trial Database'!$J$2:$J$28727,"&lt;"&amp;DATE(2025,6,1),'Trial Database'!$E$2:$E$28727,"Phase 2")</f>
        <v>0</v>
      </c>
      <c r="F86" s="12">
        <f>COUNTIFS('Trial Database'!$J$2:$J$28727,"&gt;="&amp;DATE(2025,5,1),'Trial Database'!$J$2:$J$28727,"&lt;"&amp;DATE(2025,6,1),'Trial Database'!$E$2:$E$28727,"Phase 2/3")</f>
        <v>0</v>
      </c>
      <c r="G86" s="12">
        <f>COUNTIFS('Trial Database'!$J$2:$J$28727,"&gt;="&amp;DATE(2025,5,1),'Trial Database'!$J$2:$J$28727,"&lt;"&amp;DATE(2025,6,1),'Trial Database'!$E$2:$E$28727,"Phase 3")</f>
        <v>0</v>
      </c>
      <c r="H86" s="12">
        <f>COUNTIFS('Trial Database'!$J$2:$J$28727,"&gt;="&amp;DATE(2025,5,1),'Trial Database'!$J$2:$J$28727,"&lt;"&amp;DATE(2025,6,1),'Trial Database'!$E$2:$E$28727,"Phase 4")</f>
        <v>0</v>
      </c>
      <c r="I86" s="13">
        <f>SUM(B86:H86)</f>
        <v>0</v>
      </c>
      <c r="J86" s="12">
        <f>DAY(EOMONTH(A86,0))</f>
        <v>0</v>
      </c>
      <c r="K86" s="21">
        <f>IF(J86=0,0,I86/J86)</f>
        <v>0</v>
      </c>
    </row>
    <row r="87" spans="1:11">
      <c r="A87" s="20">
        <v>45809</v>
      </c>
      <c r="B87" s="12">
        <f>COUNTIFS('Trial Database'!$J$2:$J$28727,"&gt;="&amp;DATE(2025,6,1),'Trial Database'!$J$2:$J$28727,"&lt;"&amp;DATE(2025,7,1),'Trial Database'!$E$2:$E$28727,"Early Phase 1")</f>
        <v>0</v>
      </c>
      <c r="C87" s="12">
        <f>COUNTIFS('Trial Database'!$J$2:$J$28727,"&gt;="&amp;DATE(2025,6,1),'Trial Database'!$J$2:$J$28727,"&lt;"&amp;DATE(2025,7,1),'Trial Database'!$E$2:$E$28727,"Phase 1")</f>
        <v>0</v>
      </c>
      <c r="D87" s="12">
        <f>COUNTIFS('Trial Database'!$J$2:$J$28727,"&gt;="&amp;DATE(2025,6,1),'Trial Database'!$J$2:$J$28727,"&lt;"&amp;DATE(2025,7,1),'Trial Database'!$E$2:$E$28727,"Phase 1/2")</f>
        <v>0</v>
      </c>
      <c r="E87" s="12">
        <f>COUNTIFS('Trial Database'!$J$2:$J$28727,"&gt;="&amp;DATE(2025,6,1),'Trial Database'!$J$2:$J$28727,"&lt;"&amp;DATE(2025,7,1),'Trial Database'!$E$2:$E$28727,"Phase 2")</f>
        <v>0</v>
      </c>
      <c r="F87" s="12">
        <f>COUNTIFS('Trial Database'!$J$2:$J$28727,"&gt;="&amp;DATE(2025,6,1),'Trial Database'!$J$2:$J$28727,"&lt;"&amp;DATE(2025,7,1),'Trial Database'!$E$2:$E$28727,"Phase 2/3")</f>
        <v>0</v>
      </c>
      <c r="G87" s="12">
        <f>COUNTIFS('Trial Database'!$J$2:$J$28727,"&gt;="&amp;DATE(2025,6,1),'Trial Database'!$J$2:$J$28727,"&lt;"&amp;DATE(2025,7,1),'Trial Database'!$E$2:$E$28727,"Phase 3")</f>
        <v>0</v>
      </c>
      <c r="H87" s="12">
        <f>COUNTIFS('Trial Database'!$J$2:$J$28727,"&gt;="&amp;DATE(2025,6,1),'Trial Database'!$J$2:$J$28727,"&lt;"&amp;DATE(2025,7,1),'Trial Database'!$E$2:$E$28727,"Phase 4")</f>
        <v>0</v>
      </c>
      <c r="I87" s="13">
        <f>SUM(B87:H87)</f>
        <v>0</v>
      </c>
      <c r="J87" s="12">
        <f>DAY(EOMONTH(A87,0))</f>
        <v>0</v>
      </c>
      <c r="K87" s="21">
        <f>IF(J87=0,0,I87/J87)</f>
        <v>0</v>
      </c>
    </row>
    <row r="88" spans="1:11">
      <c r="A88" s="20">
        <v>45839</v>
      </c>
      <c r="B88" s="12">
        <f>COUNTIFS('Trial Database'!$J$2:$J$28727,"&gt;="&amp;DATE(2025,7,1),'Trial Database'!$J$2:$J$28727,"&lt;"&amp;DATE(2025,8,1),'Trial Database'!$E$2:$E$28727,"Early Phase 1")</f>
        <v>0</v>
      </c>
      <c r="C88" s="12">
        <f>COUNTIFS('Trial Database'!$J$2:$J$28727,"&gt;="&amp;DATE(2025,7,1),'Trial Database'!$J$2:$J$28727,"&lt;"&amp;DATE(2025,8,1),'Trial Database'!$E$2:$E$28727,"Phase 1")</f>
        <v>0</v>
      </c>
      <c r="D88" s="12">
        <f>COUNTIFS('Trial Database'!$J$2:$J$28727,"&gt;="&amp;DATE(2025,7,1),'Trial Database'!$J$2:$J$28727,"&lt;"&amp;DATE(2025,8,1),'Trial Database'!$E$2:$E$28727,"Phase 1/2")</f>
        <v>0</v>
      </c>
      <c r="E88" s="12">
        <f>COUNTIFS('Trial Database'!$J$2:$J$28727,"&gt;="&amp;DATE(2025,7,1),'Trial Database'!$J$2:$J$28727,"&lt;"&amp;DATE(2025,8,1),'Trial Database'!$E$2:$E$28727,"Phase 2")</f>
        <v>0</v>
      </c>
      <c r="F88" s="12">
        <f>COUNTIFS('Trial Database'!$J$2:$J$28727,"&gt;="&amp;DATE(2025,7,1),'Trial Database'!$J$2:$J$28727,"&lt;"&amp;DATE(2025,8,1),'Trial Database'!$E$2:$E$28727,"Phase 2/3")</f>
        <v>0</v>
      </c>
      <c r="G88" s="12">
        <f>COUNTIFS('Trial Database'!$J$2:$J$28727,"&gt;="&amp;DATE(2025,7,1),'Trial Database'!$J$2:$J$28727,"&lt;"&amp;DATE(2025,8,1),'Trial Database'!$E$2:$E$28727,"Phase 3")</f>
        <v>0</v>
      </c>
      <c r="H88" s="12">
        <f>COUNTIFS('Trial Database'!$J$2:$J$28727,"&gt;="&amp;DATE(2025,7,1),'Trial Database'!$J$2:$J$28727,"&lt;"&amp;DATE(2025,8,1),'Trial Database'!$E$2:$E$28727,"Phase 4")</f>
        <v>0</v>
      </c>
      <c r="I88" s="13">
        <f>SUM(B88:H88)</f>
        <v>0</v>
      </c>
      <c r="J88" s="12">
        <f>DAY(EOMONTH(A88,0))</f>
        <v>0</v>
      </c>
      <c r="K88" s="21">
        <f>IF(J88=0,0,I88/J88)</f>
        <v>0</v>
      </c>
    </row>
    <row r="89" spans="1:11">
      <c r="A89" s="20">
        <v>45870</v>
      </c>
      <c r="B89" s="12">
        <f>COUNTIFS('Trial Database'!$J$2:$J$28727,"&gt;="&amp;DATE(2025,8,1),'Trial Database'!$J$2:$J$28727,"&lt;"&amp;DATE(2025,9,1),'Trial Database'!$E$2:$E$28727,"Early Phase 1")</f>
        <v>0</v>
      </c>
      <c r="C89" s="12">
        <f>COUNTIFS('Trial Database'!$J$2:$J$28727,"&gt;="&amp;DATE(2025,8,1),'Trial Database'!$J$2:$J$28727,"&lt;"&amp;DATE(2025,9,1),'Trial Database'!$E$2:$E$28727,"Phase 1")</f>
        <v>0</v>
      </c>
      <c r="D89" s="12">
        <f>COUNTIFS('Trial Database'!$J$2:$J$28727,"&gt;="&amp;DATE(2025,8,1),'Trial Database'!$J$2:$J$28727,"&lt;"&amp;DATE(2025,9,1),'Trial Database'!$E$2:$E$28727,"Phase 1/2")</f>
        <v>0</v>
      </c>
      <c r="E89" s="12">
        <f>COUNTIFS('Trial Database'!$J$2:$J$28727,"&gt;="&amp;DATE(2025,8,1),'Trial Database'!$J$2:$J$28727,"&lt;"&amp;DATE(2025,9,1),'Trial Database'!$E$2:$E$28727,"Phase 2")</f>
        <v>0</v>
      </c>
      <c r="F89" s="12">
        <f>COUNTIFS('Trial Database'!$J$2:$J$28727,"&gt;="&amp;DATE(2025,8,1),'Trial Database'!$J$2:$J$28727,"&lt;"&amp;DATE(2025,9,1),'Trial Database'!$E$2:$E$28727,"Phase 2/3")</f>
        <v>0</v>
      </c>
      <c r="G89" s="12">
        <f>COUNTIFS('Trial Database'!$J$2:$J$28727,"&gt;="&amp;DATE(2025,8,1),'Trial Database'!$J$2:$J$28727,"&lt;"&amp;DATE(2025,9,1),'Trial Database'!$E$2:$E$28727,"Phase 3")</f>
        <v>0</v>
      </c>
      <c r="H89" s="12">
        <f>COUNTIFS('Trial Database'!$J$2:$J$28727,"&gt;="&amp;DATE(2025,8,1),'Trial Database'!$J$2:$J$28727,"&lt;"&amp;DATE(2025,9,1),'Trial Database'!$E$2:$E$28727,"Phase 4")</f>
        <v>0</v>
      </c>
      <c r="I89" s="13">
        <f>SUM(B89:H89)</f>
        <v>0</v>
      </c>
      <c r="J89" s="12">
        <f>DAY(EOMONTH(A89,0))</f>
        <v>0</v>
      </c>
      <c r="K89" s="21">
        <f>IF(J89=0,0,I89/J89)</f>
        <v>0</v>
      </c>
    </row>
    <row r="90" spans="1:11">
      <c r="A90" s="20">
        <v>45901</v>
      </c>
      <c r="B90" s="12">
        <f>COUNTIFS('Trial Database'!$J$2:$J$28727,"&gt;="&amp;DATE(2025,9,1),'Trial Database'!$J$2:$J$28727,"&lt;"&amp;DATE(2025,10,1),'Trial Database'!$E$2:$E$28727,"Early Phase 1")</f>
        <v>0</v>
      </c>
      <c r="C90" s="12">
        <f>COUNTIFS('Trial Database'!$J$2:$J$28727,"&gt;="&amp;DATE(2025,9,1),'Trial Database'!$J$2:$J$28727,"&lt;"&amp;DATE(2025,10,1),'Trial Database'!$E$2:$E$28727,"Phase 1")</f>
        <v>0</v>
      </c>
      <c r="D90" s="12">
        <f>COUNTIFS('Trial Database'!$J$2:$J$28727,"&gt;="&amp;DATE(2025,9,1),'Trial Database'!$J$2:$J$28727,"&lt;"&amp;DATE(2025,10,1),'Trial Database'!$E$2:$E$28727,"Phase 1/2")</f>
        <v>0</v>
      </c>
      <c r="E90" s="12">
        <f>COUNTIFS('Trial Database'!$J$2:$J$28727,"&gt;="&amp;DATE(2025,9,1),'Trial Database'!$J$2:$J$28727,"&lt;"&amp;DATE(2025,10,1),'Trial Database'!$E$2:$E$28727,"Phase 2")</f>
        <v>0</v>
      </c>
      <c r="F90" s="12">
        <f>COUNTIFS('Trial Database'!$J$2:$J$28727,"&gt;="&amp;DATE(2025,9,1),'Trial Database'!$J$2:$J$28727,"&lt;"&amp;DATE(2025,10,1),'Trial Database'!$E$2:$E$28727,"Phase 2/3")</f>
        <v>0</v>
      </c>
      <c r="G90" s="12">
        <f>COUNTIFS('Trial Database'!$J$2:$J$28727,"&gt;="&amp;DATE(2025,9,1),'Trial Database'!$J$2:$J$28727,"&lt;"&amp;DATE(2025,10,1),'Trial Database'!$E$2:$E$28727,"Phase 3")</f>
        <v>0</v>
      </c>
      <c r="H90" s="12">
        <f>COUNTIFS('Trial Database'!$J$2:$J$28727,"&gt;="&amp;DATE(2025,9,1),'Trial Database'!$J$2:$J$28727,"&lt;"&amp;DATE(2025,10,1),'Trial Database'!$E$2:$E$28727,"Phase 4")</f>
        <v>0</v>
      </c>
      <c r="I90" s="13">
        <f>SUM(B90:H90)</f>
        <v>0</v>
      </c>
      <c r="J90" s="12">
        <f>DAY(EOMONTH(A90,0))</f>
        <v>0</v>
      </c>
      <c r="K90" s="21">
        <f>IF(J90=0,0,I90/J90)</f>
        <v>0</v>
      </c>
    </row>
    <row r="91" spans="1:11">
      <c r="A91" s="20">
        <v>45931</v>
      </c>
      <c r="B91" s="12">
        <f>COUNTIFS('Trial Database'!$J$2:$J$28727,"&gt;="&amp;DATE(2025,10,1),'Trial Database'!$J$2:$J$28727,"&lt;"&amp;DATE(2025,11,1),'Trial Database'!$E$2:$E$28727,"Early Phase 1")</f>
        <v>0</v>
      </c>
      <c r="C91" s="12">
        <f>COUNTIFS('Trial Database'!$J$2:$J$28727,"&gt;="&amp;DATE(2025,10,1),'Trial Database'!$J$2:$J$28727,"&lt;"&amp;DATE(2025,11,1),'Trial Database'!$E$2:$E$28727,"Phase 1")</f>
        <v>0</v>
      </c>
      <c r="D91" s="12">
        <f>COUNTIFS('Trial Database'!$J$2:$J$28727,"&gt;="&amp;DATE(2025,10,1),'Trial Database'!$J$2:$J$28727,"&lt;"&amp;DATE(2025,11,1),'Trial Database'!$E$2:$E$28727,"Phase 1/2")</f>
        <v>0</v>
      </c>
      <c r="E91" s="12">
        <f>COUNTIFS('Trial Database'!$J$2:$J$28727,"&gt;="&amp;DATE(2025,10,1),'Trial Database'!$J$2:$J$28727,"&lt;"&amp;DATE(2025,11,1),'Trial Database'!$E$2:$E$28727,"Phase 2")</f>
        <v>0</v>
      </c>
      <c r="F91" s="12">
        <f>COUNTIFS('Trial Database'!$J$2:$J$28727,"&gt;="&amp;DATE(2025,10,1),'Trial Database'!$J$2:$J$28727,"&lt;"&amp;DATE(2025,11,1),'Trial Database'!$E$2:$E$28727,"Phase 2/3")</f>
        <v>0</v>
      </c>
      <c r="G91" s="12">
        <f>COUNTIFS('Trial Database'!$J$2:$J$28727,"&gt;="&amp;DATE(2025,10,1),'Trial Database'!$J$2:$J$28727,"&lt;"&amp;DATE(2025,11,1),'Trial Database'!$E$2:$E$28727,"Phase 3")</f>
        <v>0</v>
      </c>
      <c r="H91" s="12">
        <f>COUNTIFS('Trial Database'!$J$2:$J$28727,"&gt;="&amp;DATE(2025,10,1),'Trial Database'!$J$2:$J$28727,"&lt;"&amp;DATE(2025,11,1),'Trial Database'!$E$2:$E$28727,"Phase 4")</f>
        <v>0</v>
      </c>
      <c r="I91" s="13">
        <f>SUM(B91:H91)</f>
        <v>0</v>
      </c>
      <c r="J91" s="12">
        <f>DAY(EOMONTH(A91,0))</f>
        <v>0</v>
      </c>
      <c r="K91" s="21">
        <f>IF(J91=0,0,I91/J91)</f>
        <v>0</v>
      </c>
    </row>
    <row r="92" spans="1:11">
      <c r="A92" s="20">
        <v>45962</v>
      </c>
      <c r="B92" s="12">
        <f>COUNTIFS('Trial Database'!$J$2:$J$28727,"&gt;="&amp;DATE(2025,11,1),'Trial Database'!$J$2:$J$28727,"&lt;"&amp;DATE(2025,12,1),'Trial Database'!$E$2:$E$28727,"Early Phase 1")</f>
        <v>0</v>
      </c>
      <c r="C92" s="12">
        <f>COUNTIFS('Trial Database'!$J$2:$J$28727,"&gt;="&amp;DATE(2025,11,1),'Trial Database'!$J$2:$J$28727,"&lt;"&amp;DATE(2025,12,1),'Trial Database'!$E$2:$E$28727,"Phase 1")</f>
        <v>0</v>
      </c>
      <c r="D92" s="12">
        <f>COUNTIFS('Trial Database'!$J$2:$J$28727,"&gt;="&amp;DATE(2025,11,1),'Trial Database'!$J$2:$J$28727,"&lt;"&amp;DATE(2025,12,1),'Trial Database'!$E$2:$E$28727,"Phase 1/2")</f>
        <v>0</v>
      </c>
      <c r="E92" s="12">
        <f>COUNTIFS('Trial Database'!$J$2:$J$28727,"&gt;="&amp;DATE(2025,11,1),'Trial Database'!$J$2:$J$28727,"&lt;"&amp;DATE(2025,12,1),'Trial Database'!$E$2:$E$28727,"Phase 2")</f>
        <v>0</v>
      </c>
      <c r="F92" s="12">
        <f>COUNTIFS('Trial Database'!$J$2:$J$28727,"&gt;="&amp;DATE(2025,11,1),'Trial Database'!$J$2:$J$28727,"&lt;"&amp;DATE(2025,12,1),'Trial Database'!$E$2:$E$28727,"Phase 2/3")</f>
        <v>0</v>
      </c>
      <c r="G92" s="12">
        <f>COUNTIFS('Trial Database'!$J$2:$J$28727,"&gt;="&amp;DATE(2025,11,1),'Trial Database'!$J$2:$J$28727,"&lt;"&amp;DATE(2025,12,1),'Trial Database'!$E$2:$E$28727,"Phase 3")</f>
        <v>0</v>
      </c>
      <c r="H92" s="12">
        <f>COUNTIFS('Trial Database'!$J$2:$J$28727,"&gt;="&amp;DATE(2025,11,1),'Trial Database'!$J$2:$J$28727,"&lt;"&amp;DATE(2025,12,1),'Trial Database'!$E$2:$E$28727,"Phase 4")</f>
        <v>0</v>
      </c>
      <c r="I92" s="13">
        <f>SUM(B92:H92)</f>
        <v>0</v>
      </c>
      <c r="J92" s="12">
        <f>DAY(EOMONTH(A92,0))</f>
        <v>0</v>
      </c>
      <c r="K92" s="21">
        <f>IF(J92=0,0,I92/J92)</f>
        <v>0</v>
      </c>
    </row>
    <row r="93" spans="1:11">
      <c r="A93" s="20">
        <v>45992</v>
      </c>
      <c r="B93" s="12">
        <f>COUNTIFS('Trial Database'!$J$2:$J$28727,"&gt;="&amp;DATE(2025,12,1),'Trial Database'!$J$2:$J$28727,"&lt;"&amp;DATE(2025,13,1),'Trial Database'!$E$2:$E$28727,"Early Phase 1")</f>
        <v>0</v>
      </c>
      <c r="C93" s="12">
        <f>COUNTIFS('Trial Database'!$J$2:$J$28727,"&gt;="&amp;DATE(2025,12,1),'Trial Database'!$J$2:$J$28727,"&lt;"&amp;DATE(2025,13,1),'Trial Database'!$E$2:$E$28727,"Phase 1")</f>
        <v>0</v>
      </c>
      <c r="D93" s="12">
        <f>COUNTIFS('Trial Database'!$J$2:$J$28727,"&gt;="&amp;DATE(2025,12,1),'Trial Database'!$J$2:$J$28727,"&lt;"&amp;DATE(2025,13,1),'Trial Database'!$E$2:$E$28727,"Phase 1/2")</f>
        <v>0</v>
      </c>
      <c r="E93" s="12">
        <f>COUNTIFS('Trial Database'!$J$2:$J$28727,"&gt;="&amp;DATE(2025,12,1),'Trial Database'!$J$2:$J$28727,"&lt;"&amp;DATE(2025,13,1),'Trial Database'!$E$2:$E$28727,"Phase 2")</f>
        <v>0</v>
      </c>
      <c r="F93" s="12">
        <f>COUNTIFS('Trial Database'!$J$2:$J$28727,"&gt;="&amp;DATE(2025,12,1),'Trial Database'!$J$2:$J$28727,"&lt;"&amp;DATE(2025,13,1),'Trial Database'!$E$2:$E$28727,"Phase 2/3")</f>
        <v>0</v>
      </c>
      <c r="G93" s="12">
        <f>COUNTIFS('Trial Database'!$J$2:$J$28727,"&gt;="&amp;DATE(2025,12,1),'Trial Database'!$J$2:$J$28727,"&lt;"&amp;DATE(2025,13,1),'Trial Database'!$E$2:$E$28727,"Phase 3")</f>
        <v>0</v>
      </c>
      <c r="H93" s="12">
        <f>COUNTIFS('Trial Database'!$J$2:$J$28727,"&gt;="&amp;DATE(2025,12,1),'Trial Database'!$J$2:$J$28727,"&lt;"&amp;DATE(2025,13,1),'Trial Database'!$E$2:$E$28727,"Phase 4")</f>
        <v>0</v>
      </c>
      <c r="I93" s="13">
        <f>SUM(B93:H93)</f>
        <v>0</v>
      </c>
      <c r="J93" s="12">
        <f>DAY(EOMONTH(A93,0))</f>
        <v>0</v>
      </c>
      <c r="K93" s="21">
        <f>IF(J93=0,0,I93/J93)</f>
        <v>0</v>
      </c>
    </row>
    <row r="94" spans="1:11">
      <c r="A94" s="20">
        <v>46023</v>
      </c>
      <c r="B94" s="12">
        <f>COUNTIFS('Trial Database'!$J$2:$J$28727,"&gt;="&amp;DATE(2026,1,1),'Trial Database'!$J$2:$J$28727,"&lt;"&amp;DATE(2026,2,1),'Trial Database'!$E$2:$E$28727,"Early Phase 1")</f>
        <v>0</v>
      </c>
      <c r="C94" s="12">
        <f>COUNTIFS('Trial Database'!$J$2:$J$28727,"&gt;="&amp;DATE(2026,1,1),'Trial Database'!$J$2:$J$28727,"&lt;"&amp;DATE(2026,2,1),'Trial Database'!$E$2:$E$28727,"Phase 1")</f>
        <v>0</v>
      </c>
      <c r="D94" s="12">
        <f>COUNTIFS('Trial Database'!$J$2:$J$28727,"&gt;="&amp;DATE(2026,1,1),'Trial Database'!$J$2:$J$28727,"&lt;"&amp;DATE(2026,2,1),'Trial Database'!$E$2:$E$28727,"Phase 1/2")</f>
        <v>0</v>
      </c>
      <c r="E94" s="12">
        <f>COUNTIFS('Trial Database'!$J$2:$J$28727,"&gt;="&amp;DATE(2026,1,1),'Trial Database'!$J$2:$J$28727,"&lt;"&amp;DATE(2026,2,1),'Trial Database'!$E$2:$E$28727,"Phase 2")</f>
        <v>0</v>
      </c>
      <c r="F94" s="12">
        <f>COUNTIFS('Trial Database'!$J$2:$J$28727,"&gt;="&amp;DATE(2026,1,1),'Trial Database'!$J$2:$J$28727,"&lt;"&amp;DATE(2026,2,1),'Trial Database'!$E$2:$E$28727,"Phase 2/3")</f>
        <v>0</v>
      </c>
      <c r="G94" s="12">
        <f>COUNTIFS('Trial Database'!$J$2:$J$28727,"&gt;="&amp;DATE(2026,1,1),'Trial Database'!$J$2:$J$28727,"&lt;"&amp;DATE(2026,2,1),'Trial Database'!$E$2:$E$28727,"Phase 3")</f>
        <v>0</v>
      </c>
      <c r="H94" s="12">
        <f>COUNTIFS('Trial Database'!$J$2:$J$28727,"&gt;="&amp;DATE(2026,1,1),'Trial Database'!$J$2:$J$28727,"&lt;"&amp;DATE(2026,2,1),'Trial Database'!$E$2:$E$28727,"Phase 4")</f>
        <v>0</v>
      </c>
      <c r="I94" s="13">
        <f>SUM(B94:H94)</f>
        <v>0</v>
      </c>
      <c r="J94" s="12">
        <f>DAY(EOMONTH(A94,0))</f>
        <v>0</v>
      </c>
      <c r="K94" s="21">
        <f>IF(J94=0,0,I94/J94)</f>
        <v>0</v>
      </c>
    </row>
    <row r="95" spans="1:11">
      <c r="A95" s="20">
        <v>46054</v>
      </c>
      <c r="B95" s="12">
        <f>COUNTIFS('Trial Database'!$J$2:$J$28727,"&gt;="&amp;DATE(2026,2,1),'Trial Database'!$J$2:$J$28727,"&lt;"&amp;DATE(2026,3,1),'Trial Database'!$E$2:$E$28727,"Early Phase 1")</f>
        <v>0</v>
      </c>
      <c r="C95" s="12">
        <f>COUNTIFS('Trial Database'!$J$2:$J$28727,"&gt;="&amp;DATE(2026,2,1),'Trial Database'!$J$2:$J$28727,"&lt;"&amp;DATE(2026,3,1),'Trial Database'!$E$2:$E$28727,"Phase 1")</f>
        <v>0</v>
      </c>
      <c r="D95" s="12">
        <f>COUNTIFS('Trial Database'!$J$2:$J$28727,"&gt;="&amp;DATE(2026,2,1),'Trial Database'!$J$2:$J$28727,"&lt;"&amp;DATE(2026,3,1),'Trial Database'!$E$2:$E$28727,"Phase 1/2")</f>
        <v>0</v>
      </c>
      <c r="E95" s="12">
        <f>COUNTIFS('Trial Database'!$J$2:$J$28727,"&gt;="&amp;DATE(2026,2,1),'Trial Database'!$J$2:$J$28727,"&lt;"&amp;DATE(2026,3,1),'Trial Database'!$E$2:$E$28727,"Phase 2")</f>
        <v>0</v>
      </c>
      <c r="F95" s="12">
        <f>COUNTIFS('Trial Database'!$J$2:$J$28727,"&gt;="&amp;DATE(2026,2,1),'Trial Database'!$J$2:$J$28727,"&lt;"&amp;DATE(2026,3,1),'Trial Database'!$E$2:$E$28727,"Phase 2/3")</f>
        <v>0</v>
      </c>
      <c r="G95" s="12">
        <f>COUNTIFS('Trial Database'!$J$2:$J$28727,"&gt;="&amp;DATE(2026,2,1),'Trial Database'!$J$2:$J$28727,"&lt;"&amp;DATE(2026,3,1),'Trial Database'!$E$2:$E$28727,"Phase 3")</f>
        <v>0</v>
      </c>
      <c r="H95" s="12">
        <f>COUNTIFS('Trial Database'!$J$2:$J$28727,"&gt;="&amp;DATE(2026,2,1),'Trial Database'!$J$2:$J$28727,"&lt;"&amp;DATE(2026,3,1),'Trial Database'!$E$2:$E$28727,"Phase 4")</f>
        <v>0</v>
      </c>
      <c r="I95" s="13">
        <f>SUM(B95:H95)</f>
        <v>0</v>
      </c>
      <c r="J95" s="12">
        <f>DAY(EOMONTH(A95,0))</f>
        <v>0</v>
      </c>
      <c r="K95" s="21">
        <f>IF(J95=0,0,I95/J95)</f>
        <v>0</v>
      </c>
    </row>
    <row r="96" spans="1:11">
      <c r="A96" s="20">
        <v>46082</v>
      </c>
      <c r="B96" s="12">
        <f>COUNTIFS('Trial Database'!$J$2:$J$28727,"&gt;="&amp;DATE(2026,3,1),'Trial Database'!$J$2:$J$28727,"&lt;"&amp;DATE(2026,4,1),'Trial Database'!$E$2:$E$28727,"Early Phase 1")</f>
        <v>0</v>
      </c>
      <c r="C96" s="12">
        <f>COUNTIFS('Trial Database'!$J$2:$J$28727,"&gt;="&amp;DATE(2026,3,1),'Trial Database'!$J$2:$J$28727,"&lt;"&amp;DATE(2026,4,1),'Trial Database'!$E$2:$E$28727,"Phase 1")</f>
        <v>0</v>
      </c>
      <c r="D96" s="12">
        <f>COUNTIFS('Trial Database'!$J$2:$J$28727,"&gt;="&amp;DATE(2026,3,1),'Trial Database'!$J$2:$J$28727,"&lt;"&amp;DATE(2026,4,1),'Trial Database'!$E$2:$E$28727,"Phase 1/2")</f>
        <v>0</v>
      </c>
      <c r="E96" s="12">
        <f>COUNTIFS('Trial Database'!$J$2:$J$28727,"&gt;="&amp;DATE(2026,3,1),'Trial Database'!$J$2:$J$28727,"&lt;"&amp;DATE(2026,4,1),'Trial Database'!$E$2:$E$28727,"Phase 2")</f>
        <v>0</v>
      </c>
      <c r="F96" s="12">
        <f>COUNTIFS('Trial Database'!$J$2:$J$28727,"&gt;="&amp;DATE(2026,3,1),'Trial Database'!$J$2:$J$28727,"&lt;"&amp;DATE(2026,4,1),'Trial Database'!$E$2:$E$28727,"Phase 2/3")</f>
        <v>0</v>
      </c>
      <c r="G96" s="12">
        <f>COUNTIFS('Trial Database'!$J$2:$J$28727,"&gt;="&amp;DATE(2026,3,1),'Trial Database'!$J$2:$J$28727,"&lt;"&amp;DATE(2026,4,1),'Trial Database'!$E$2:$E$28727,"Phase 3")</f>
        <v>0</v>
      </c>
      <c r="H96" s="12">
        <f>COUNTIFS('Trial Database'!$J$2:$J$28727,"&gt;="&amp;DATE(2026,3,1),'Trial Database'!$J$2:$J$28727,"&lt;"&amp;DATE(2026,4,1),'Trial Database'!$E$2:$E$28727,"Phase 4")</f>
        <v>0</v>
      </c>
      <c r="I96" s="13">
        <f>SUM(B96:H96)</f>
        <v>0</v>
      </c>
      <c r="J96" s="12">
        <f>DAY(EOMONTH(A96,0))</f>
        <v>0</v>
      </c>
      <c r="K96" s="21">
        <f>IF(J96=0,0,I96/J96)</f>
        <v>0</v>
      </c>
    </row>
    <row r="97" spans="1:11">
      <c r="A97" s="20">
        <v>46113</v>
      </c>
      <c r="B97" s="12">
        <f>COUNTIFS('Trial Database'!$J$2:$J$28727,"&gt;="&amp;DATE(2026,4,1),'Trial Database'!$J$2:$J$28727,"&lt;"&amp;DATE(2026,5,1),'Trial Database'!$E$2:$E$28727,"Early Phase 1")</f>
        <v>0</v>
      </c>
      <c r="C97" s="12">
        <f>COUNTIFS('Trial Database'!$J$2:$J$28727,"&gt;="&amp;DATE(2026,4,1),'Trial Database'!$J$2:$J$28727,"&lt;"&amp;DATE(2026,5,1),'Trial Database'!$E$2:$E$28727,"Phase 1")</f>
        <v>0</v>
      </c>
      <c r="D97" s="12">
        <f>COUNTIFS('Trial Database'!$J$2:$J$28727,"&gt;="&amp;DATE(2026,4,1),'Trial Database'!$J$2:$J$28727,"&lt;"&amp;DATE(2026,5,1),'Trial Database'!$E$2:$E$28727,"Phase 1/2")</f>
        <v>0</v>
      </c>
      <c r="E97" s="12">
        <f>COUNTIFS('Trial Database'!$J$2:$J$28727,"&gt;="&amp;DATE(2026,4,1),'Trial Database'!$J$2:$J$28727,"&lt;"&amp;DATE(2026,5,1),'Trial Database'!$E$2:$E$28727,"Phase 2")</f>
        <v>0</v>
      </c>
      <c r="F97" s="12">
        <f>COUNTIFS('Trial Database'!$J$2:$J$28727,"&gt;="&amp;DATE(2026,4,1),'Trial Database'!$J$2:$J$28727,"&lt;"&amp;DATE(2026,5,1),'Trial Database'!$E$2:$E$28727,"Phase 2/3")</f>
        <v>0</v>
      </c>
      <c r="G97" s="12">
        <f>COUNTIFS('Trial Database'!$J$2:$J$28727,"&gt;="&amp;DATE(2026,4,1),'Trial Database'!$J$2:$J$28727,"&lt;"&amp;DATE(2026,5,1),'Trial Database'!$E$2:$E$28727,"Phase 3")</f>
        <v>0</v>
      </c>
      <c r="H97" s="12">
        <f>COUNTIFS('Trial Database'!$J$2:$J$28727,"&gt;="&amp;DATE(2026,4,1),'Trial Database'!$J$2:$J$28727,"&lt;"&amp;DATE(2026,5,1),'Trial Database'!$E$2:$E$28727,"Phase 4")</f>
        <v>0</v>
      </c>
      <c r="I97" s="13">
        <f>SUM(B97:H97)</f>
        <v>0</v>
      </c>
      <c r="J97" s="12">
        <f>DAY(EOMONTH(A97,0))</f>
        <v>0</v>
      </c>
      <c r="K97" s="21">
        <f>IF(J97=0,0,I97/J97)</f>
        <v>0</v>
      </c>
    </row>
    <row r="98" spans="1:11">
      <c r="A98" s="20">
        <v>46143</v>
      </c>
      <c r="B98" s="12">
        <f>COUNTIFS('Trial Database'!$J$2:$J$28727,"&gt;="&amp;DATE(2026,5,1),'Trial Database'!$J$2:$J$28727,"&lt;"&amp;DATE(2026,6,1),'Trial Database'!$E$2:$E$28727,"Early Phase 1")</f>
        <v>0</v>
      </c>
      <c r="C98" s="12">
        <f>COUNTIFS('Trial Database'!$J$2:$J$28727,"&gt;="&amp;DATE(2026,5,1),'Trial Database'!$J$2:$J$28727,"&lt;"&amp;DATE(2026,6,1),'Trial Database'!$E$2:$E$28727,"Phase 1")</f>
        <v>0</v>
      </c>
      <c r="D98" s="12">
        <f>COUNTIFS('Trial Database'!$J$2:$J$28727,"&gt;="&amp;DATE(2026,5,1),'Trial Database'!$J$2:$J$28727,"&lt;"&amp;DATE(2026,6,1),'Trial Database'!$E$2:$E$28727,"Phase 1/2")</f>
        <v>0</v>
      </c>
      <c r="E98" s="12">
        <f>COUNTIFS('Trial Database'!$J$2:$J$28727,"&gt;="&amp;DATE(2026,5,1),'Trial Database'!$J$2:$J$28727,"&lt;"&amp;DATE(2026,6,1),'Trial Database'!$E$2:$E$28727,"Phase 2")</f>
        <v>0</v>
      </c>
      <c r="F98" s="12">
        <f>COUNTIFS('Trial Database'!$J$2:$J$28727,"&gt;="&amp;DATE(2026,5,1),'Trial Database'!$J$2:$J$28727,"&lt;"&amp;DATE(2026,6,1),'Trial Database'!$E$2:$E$28727,"Phase 2/3")</f>
        <v>0</v>
      </c>
      <c r="G98" s="12">
        <f>COUNTIFS('Trial Database'!$J$2:$J$28727,"&gt;="&amp;DATE(2026,5,1),'Trial Database'!$J$2:$J$28727,"&lt;"&amp;DATE(2026,6,1),'Trial Database'!$E$2:$E$28727,"Phase 3")</f>
        <v>0</v>
      </c>
      <c r="H98" s="12">
        <f>COUNTIFS('Trial Database'!$J$2:$J$28727,"&gt;="&amp;DATE(2026,5,1),'Trial Database'!$J$2:$J$28727,"&lt;"&amp;DATE(2026,6,1),'Trial Database'!$E$2:$E$28727,"Phase 4")</f>
        <v>0</v>
      </c>
      <c r="I98" s="13">
        <f>SUM(B98:H98)</f>
        <v>0</v>
      </c>
      <c r="J98" s="12">
        <f>DAY(EOMONTH(A98,0))</f>
        <v>0</v>
      </c>
      <c r="K98" s="21">
        <f>IF(J98=0,0,I98/J98)</f>
        <v>0</v>
      </c>
    </row>
    <row r="99" spans="1:11">
      <c r="A99" s="20">
        <v>46174</v>
      </c>
      <c r="B99" s="12">
        <f>COUNTIFS('Trial Database'!$J$2:$J$28727,"&gt;="&amp;DATE(2026,6,1),'Trial Database'!$J$2:$J$28727,"&lt;"&amp;DATE(2026,7,1),'Trial Database'!$E$2:$E$28727,"Early Phase 1")</f>
        <v>0</v>
      </c>
      <c r="C99" s="12">
        <f>COUNTIFS('Trial Database'!$J$2:$J$28727,"&gt;="&amp;DATE(2026,6,1),'Trial Database'!$J$2:$J$28727,"&lt;"&amp;DATE(2026,7,1),'Trial Database'!$E$2:$E$28727,"Phase 1")</f>
        <v>0</v>
      </c>
      <c r="D99" s="12">
        <f>COUNTIFS('Trial Database'!$J$2:$J$28727,"&gt;="&amp;DATE(2026,6,1),'Trial Database'!$J$2:$J$28727,"&lt;"&amp;DATE(2026,7,1),'Trial Database'!$E$2:$E$28727,"Phase 1/2")</f>
        <v>0</v>
      </c>
      <c r="E99" s="12">
        <f>COUNTIFS('Trial Database'!$J$2:$J$28727,"&gt;="&amp;DATE(2026,6,1),'Trial Database'!$J$2:$J$28727,"&lt;"&amp;DATE(2026,7,1),'Trial Database'!$E$2:$E$28727,"Phase 2")</f>
        <v>0</v>
      </c>
      <c r="F99" s="12">
        <f>COUNTIFS('Trial Database'!$J$2:$J$28727,"&gt;="&amp;DATE(2026,6,1),'Trial Database'!$J$2:$J$28727,"&lt;"&amp;DATE(2026,7,1),'Trial Database'!$E$2:$E$28727,"Phase 2/3")</f>
        <v>0</v>
      </c>
      <c r="G99" s="12">
        <f>COUNTIFS('Trial Database'!$J$2:$J$28727,"&gt;="&amp;DATE(2026,6,1),'Trial Database'!$J$2:$J$28727,"&lt;"&amp;DATE(2026,7,1),'Trial Database'!$E$2:$E$28727,"Phase 3")</f>
        <v>0</v>
      </c>
      <c r="H99" s="12">
        <f>COUNTIFS('Trial Database'!$J$2:$J$28727,"&gt;="&amp;DATE(2026,6,1),'Trial Database'!$J$2:$J$28727,"&lt;"&amp;DATE(2026,7,1),'Trial Database'!$E$2:$E$28727,"Phase 4")</f>
        <v>0</v>
      </c>
      <c r="I99" s="13">
        <f>SUM(B99:H99)</f>
        <v>0</v>
      </c>
      <c r="J99" s="12">
        <f>DAY(EOMONTH(A99,0))</f>
        <v>0</v>
      </c>
      <c r="K99" s="21">
        <f>IF(J99=0,0,I99/J99)</f>
        <v>0</v>
      </c>
    </row>
    <row r="100" spans="1:11">
      <c r="A100" s="20">
        <v>46204</v>
      </c>
      <c r="B100" s="12">
        <f>COUNTIFS('Trial Database'!$J$2:$J$28727,"&gt;="&amp;DATE(2026,7,1),'Trial Database'!$J$2:$J$28727,"&lt;"&amp;DATE(2026,8,1),'Trial Database'!$E$2:$E$28727,"Early Phase 1")</f>
        <v>0</v>
      </c>
      <c r="C100" s="12">
        <f>COUNTIFS('Trial Database'!$J$2:$J$28727,"&gt;="&amp;DATE(2026,7,1),'Trial Database'!$J$2:$J$28727,"&lt;"&amp;DATE(2026,8,1),'Trial Database'!$E$2:$E$28727,"Phase 1")</f>
        <v>0</v>
      </c>
      <c r="D100" s="12">
        <f>COUNTIFS('Trial Database'!$J$2:$J$28727,"&gt;="&amp;DATE(2026,7,1),'Trial Database'!$J$2:$J$28727,"&lt;"&amp;DATE(2026,8,1),'Trial Database'!$E$2:$E$28727,"Phase 1/2")</f>
        <v>0</v>
      </c>
      <c r="E100" s="12">
        <f>COUNTIFS('Trial Database'!$J$2:$J$28727,"&gt;="&amp;DATE(2026,7,1),'Trial Database'!$J$2:$J$28727,"&lt;"&amp;DATE(2026,8,1),'Trial Database'!$E$2:$E$28727,"Phase 2")</f>
        <v>0</v>
      </c>
      <c r="F100" s="12">
        <f>COUNTIFS('Trial Database'!$J$2:$J$28727,"&gt;="&amp;DATE(2026,7,1),'Trial Database'!$J$2:$J$28727,"&lt;"&amp;DATE(2026,8,1),'Trial Database'!$E$2:$E$28727,"Phase 2/3")</f>
        <v>0</v>
      </c>
      <c r="G100" s="12">
        <f>COUNTIFS('Trial Database'!$J$2:$J$28727,"&gt;="&amp;DATE(2026,7,1),'Trial Database'!$J$2:$J$28727,"&lt;"&amp;DATE(2026,8,1),'Trial Database'!$E$2:$E$28727,"Phase 3")</f>
        <v>0</v>
      </c>
      <c r="H100" s="12">
        <f>COUNTIFS('Trial Database'!$J$2:$J$28727,"&gt;="&amp;DATE(2026,7,1),'Trial Database'!$J$2:$J$28727,"&lt;"&amp;DATE(2026,8,1),'Trial Database'!$E$2:$E$28727,"Phase 4")</f>
        <v>0</v>
      </c>
      <c r="I100" s="13">
        <f>SUM(B100:H100)</f>
        <v>0</v>
      </c>
      <c r="J100" s="12">
        <f>DAY(EOMONTH(A100,0))</f>
        <v>0</v>
      </c>
      <c r="K100" s="21">
        <f>IF(J100=0,0,I100/J100)</f>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BDD7EE"/>
  </sheetPr>
  <dimension ref="A1:K100"/>
  <sheetViews>
    <sheetView workbookViewId="0"/>
  </sheetViews>
  <sheetFormatPr defaultRowHeight="15"/>
  <cols>
    <col min="1" max="1" width="28.7109375" customWidth="1"/>
    <col min="2" max="9" width="14.7109375" customWidth="1"/>
    <col min="10" max="10" width="8.7109375" customWidth="1"/>
    <col min="11" max="11" width="12.7109375" customWidth="1"/>
  </cols>
  <sheetData>
    <row r="1" spans="1:9">
      <c r="A1" s="11" t="s">
        <v>62957</v>
      </c>
      <c r="B1" s="11" t="s">
        <v>330</v>
      </c>
      <c r="C1" s="11" t="s">
        <v>26</v>
      </c>
      <c r="D1" s="11" t="s">
        <v>67</v>
      </c>
      <c r="E1" s="11" t="s">
        <v>31</v>
      </c>
      <c r="F1" s="11" t="s">
        <v>45</v>
      </c>
      <c r="G1" s="11" t="s">
        <v>18</v>
      </c>
      <c r="H1" s="11" t="s">
        <v>212</v>
      </c>
      <c r="I1" s="11" t="s">
        <v>62958</v>
      </c>
    </row>
    <row r="2" spans="1:9">
      <c r="A2" s="12" t="s">
        <v>62959</v>
      </c>
      <c r="B2" s="12">
        <f>SUMIFS('Trial Database'!$H$2:$H$28727,'Trial Database'!$J$2:$J$28727,"&gt;="&amp;DATE(2020,1,1),'Trial Database'!$J$2:$J$28727,"&lt;"&amp;DATE(2021,1,1),'Trial Database'!$E$2:$E$28727,"Early Phase 1")</f>
        <v>0</v>
      </c>
      <c r="C2" s="12">
        <f>SUMIFS('Trial Database'!$H$2:$H$28727,'Trial Database'!$J$2:$J$28727,"&gt;="&amp;DATE(2020,1,1),'Trial Database'!$J$2:$J$28727,"&lt;"&amp;DATE(2021,1,1),'Trial Database'!$E$2:$E$28727,"Phase 1")</f>
        <v>0</v>
      </c>
      <c r="D2" s="12">
        <f>SUMIFS('Trial Database'!$H$2:$H$28727,'Trial Database'!$J$2:$J$28727,"&gt;="&amp;DATE(2020,1,1),'Trial Database'!$J$2:$J$28727,"&lt;"&amp;DATE(2021,1,1),'Trial Database'!$E$2:$E$28727,"Phase 1/2")</f>
        <v>0</v>
      </c>
      <c r="E2" s="12">
        <f>SUMIFS('Trial Database'!$H$2:$H$28727,'Trial Database'!$J$2:$J$28727,"&gt;="&amp;DATE(2020,1,1),'Trial Database'!$J$2:$J$28727,"&lt;"&amp;DATE(2021,1,1),'Trial Database'!$E$2:$E$28727,"Phase 2")</f>
        <v>0</v>
      </c>
      <c r="F2" s="12">
        <f>SUMIFS('Trial Database'!$H$2:$H$28727,'Trial Database'!$J$2:$J$28727,"&gt;="&amp;DATE(2020,1,1),'Trial Database'!$J$2:$J$28727,"&lt;"&amp;DATE(2021,1,1),'Trial Database'!$E$2:$E$28727,"Phase 2/3")</f>
        <v>0</v>
      </c>
      <c r="G2" s="12">
        <f>SUMIFS('Trial Database'!$H$2:$H$28727,'Trial Database'!$J$2:$J$28727,"&gt;="&amp;DATE(2020,1,1),'Trial Database'!$J$2:$J$28727,"&lt;"&amp;DATE(2021,1,1),'Trial Database'!$E$2:$E$28727,"Phase 3")</f>
        <v>0</v>
      </c>
      <c r="H2" s="12">
        <f>SUMIFS('Trial Database'!$H$2:$H$28727,'Trial Database'!$J$2:$J$28727,"&gt;="&amp;DATE(2020,1,1),'Trial Database'!$J$2:$J$28727,"&lt;"&amp;DATE(2021,1,1),'Trial Database'!$E$2:$E$28727,"Phase 4")</f>
        <v>0</v>
      </c>
      <c r="I2" s="13">
        <f>SUM(B2:H2)</f>
        <v>0</v>
      </c>
    </row>
    <row r="3" spans="1:9">
      <c r="A3" s="12" t="s">
        <v>62960</v>
      </c>
      <c r="B3" s="12">
        <f>SUMIFS('Trial Database'!$H$2:$H$28727,'Trial Database'!$J$2:$J$28727,"&gt;="&amp;DATE(2021,1,1),'Trial Database'!$J$2:$J$28727,"&lt;"&amp;DATE(2022,1,1),'Trial Database'!$E$2:$E$28727,"Early Phase 1")</f>
        <v>0</v>
      </c>
      <c r="C3" s="12">
        <f>SUMIFS('Trial Database'!$H$2:$H$28727,'Trial Database'!$J$2:$J$28727,"&gt;="&amp;DATE(2021,1,1),'Trial Database'!$J$2:$J$28727,"&lt;"&amp;DATE(2022,1,1),'Trial Database'!$E$2:$E$28727,"Phase 1")</f>
        <v>0</v>
      </c>
      <c r="D3" s="12">
        <f>SUMIFS('Trial Database'!$H$2:$H$28727,'Trial Database'!$J$2:$J$28727,"&gt;="&amp;DATE(2021,1,1),'Trial Database'!$J$2:$J$28727,"&lt;"&amp;DATE(2022,1,1),'Trial Database'!$E$2:$E$28727,"Phase 1/2")</f>
        <v>0</v>
      </c>
      <c r="E3" s="12">
        <f>SUMIFS('Trial Database'!$H$2:$H$28727,'Trial Database'!$J$2:$J$28727,"&gt;="&amp;DATE(2021,1,1),'Trial Database'!$J$2:$J$28727,"&lt;"&amp;DATE(2022,1,1),'Trial Database'!$E$2:$E$28727,"Phase 2")</f>
        <v>0</v>
      </c>
      <c r="F3" s="12">
        <f>SUMIFS('Trial Database'!$H$2:$H$28727,'Trial Database'!$J$2:$J$28727,"&gt;="&amp;DATE(2021,1,1),'Trial Database'!$J$2:$J$28727,"&lt;"&amp;DATE(2022,1,1),'Trial Database'!$E$2:$E$28727,"Phase 2/3")</f>
        <v>0</v>
      </c>
      <c r="G3" s="12">
        <f>SUMIFS('Trial Database'!$H$2:$H$28727,'Trial Database'!$J$2:$J$28727,"&gt;="&amp;DATE(2021,1,1),'Trial Database'!$J$2:$J$28727,"&lt;"&amp;DATE(2022,1,1),'Trial Database'!$E$2:$E$28727,"Phase 3")</f>
        <v>0</v>
      </c>
      <c r="H3" s="12">
        <f>SUMIFS('Trial Database'!$H$2:$H$28727,'Trial Database'!$J$2:$J$28727,"&gt;="&amp;DATE(2021,1,1),'Trial Database'!$J$2:$J$28727,"&lt;"&amp;DATE(2022,1,1),'Trial Database'!$E$2:$E$28727,"Phase 4")</f>
        <v>0</v>
      </c>
      <c r="I3" s="13">
        <f>SUM(B3:H3)</f>
        <v>0</v>
      </c>
    </row>
    <row r="4" spans="1:9">
      <c r="A4" s="12" t="s">
        <v>62961</v>
      </c>
      <c r="B4" s="12">
        <f>SUMIFS('Trial Database'!$H$2:$H$28727,'Trial Database'!$J$2:$J$28727,"&gt;="&amp;DATE(2022,1,1),'Trial Database'!$J$2:$J$28727,"&lt;"&amp;DATE(2023,1,1),'Trial Database'!$E$2:$E$28727,"Early Phase 1")</f>
        <v>0</v>
      </c>
      <c r="C4" s="12">
        <f>SUMIFS('Trial Database'!$H$2:$H$28727,'Trial Database'!$J$2:$J$28727,"&gt;="&amp;DATE(2022,1,1),'Trial Database'!$J$2:$J$28727,"&lt;"&amp;DATE(2023,1,1),'Trial Database'!$E$2:$E$28727,"Phase 1")</f>
        <v>0</v>
      </c>
      <c r="D4" s="12">
        <f>SUMIFS('Trial Database'!$H$2:$H$28727,'Trial Database'!$J$2:$J$28727,"&gt;="&amp;DATE(2022,1,1),'Trial Database'!$J$2:$J$28727,"&lt;"&amp;DATE(2023,1,1),'Trial Database'!$E$2:$E$28727,"Phase 1/2")</f>
        <v>0</v>
      </c>
      <c r="E4" s="12">
        <f>SUMIFS('Trial Database'!$H$2:$H$28727,'Trial Database'!$J$2:$J$28727,"&gt;="&amp;DATE(2022,1,1),'Trial Database'!$J$2:$J$28727,"&lt;"&amp;DATE(2023,1,1),'Trial Database'!$E$2:$E$28727,"Phase 2")</f>
        <v>0</v>
      </c>
      <c r="F4" s="12">
        <f>SUMIFS('Trial Database'!$H$2:$H$28727,'Trial Database'!$J$2:$J$28727,"&gt;="&amp;DATE(2022,1,1),'Trial Database'!$J$2:$J$28727,"&lt;"&amp;DATE(2023,1,1),'Trial Database'!$E$2:$E$28727,"Phase 2/3")</f>
        <v>0</v>
      </c>
      <c r="G4" s="12">
        <f>SUMIFS('Trial Database'!$H$2:$H$28727,'Trial Database'!$J$2:$J$28727,"&gt;="&amp;DATE(2022,1,1),'Trial Database'!$J$2:$J$28727,"&lt;"&amp;DATE(2023,1,1),'Trial Database'!$E$2:$E$28727,"Phase 3")</f>
        <v>0</v>
      </c>
      <c r="H4" s="12">
        <f>SUMIFS('Trial Database'!$H$2:$H$28727,'Trial Database'!$J$2:$J$28727,"&gt;="&amp;DATE(2022,1,1),'Trial Database'!$J$2:$J$28727,"&lt;"&amp;DATE(2023,1,1),'Trial Database'!$E$2:$E$28727,"Phase 4")</f>
        <v>0</v>
      </c>
      <c r="I4" s="13">
        <f>SUM(B4:H4)</f>
        <v>0</v>
      </c>
    </row>
    <row r="5" spans="1:9">
      <c r="A5" s="12" t="s">
        <v>62962</v>
      </c>
      <c r="B5" s="12">
        <f>SUMIFS('Trial Database'!$H$2:$H$28727,'Trial Database'!$J$2:$J$28727,"&gt;="&amp;DATE(2023,1,1),'Trial Database'!$J$2:$J$28727,"&lt;"&amp;DATE(2024,1,1),'Trial Database'!$E$2:$E$28727,"Early Phase 1")</f>
        <v>0</v>
      </c>
      <c r="C5" s="12">
        <f>SUMIFS('Trial Database'!$H$2:$H$28727,'Trial Database'!$J$2:$J$28727,"&gt;="&amp;DATE(2023,1,1),'Trial Database'!$J$2:$J$28727,"&lt;"&amp;DATE(2024,1,1),'Trial Database'!$E$2:$E$28727,"Phase 1")</f>
        <v>0</v>
      </c>
      <c r="D5" s="12">
        <f>SUMIFS('Trial Database'!$H$2:$H$28727,'Trial Database'!$J$2:$J$28727,"&gt;="&amp;DATE(2023,1,1),'Trial Database'!$J$2:$J$28727,"&lt;"&amp;DATE(2024,1,1),'Trial Database'!$E$2:$E$28727,"Phase 1/2")</f>
        <v>0</v>
      </c>
      <c r="E5" s="12">
        <f>SUMIFS('Trial Database'!$H$2:$H$28727,'Trial Database'!$J$2:$J$28727,"&gt;="&amp;DATE(2023,1,1),'Trial Database'!$J$2:$J$28727,"&lt;"&amp;DATE(2024,1,1),'Trial Database'!$E$2:$E$28727,"Phase 2")</f>
        <v>0</v>
      </c>
      <c r="F5" s="12">
        <f>SUMIFS('Trial Database'!$H$2:$H$28727,'Trial Database'!$J$2:$J$28727,"&gt;="&amp;DATE(2023,1,1),'Trial Database'!$J$2:$J$28727,"&lt;"&amp;DATE(2024,1,1),'Trial Database'!$E$2:$E$28727,"Phase 2/3")</f>
        <v>0</v>
      </c>
      <c r="G5" s="12">
        <f>SUMIFS('Trial Database'!$H$2:$H$28727,'Trial Database'!$J$2:$J$28727,"&gt;="&amp;DATE(2023,1,1),'Trial Database'!$J$2:$J$28727,"&lt;"&amp;DATE(2024,1,1),'Trial Database'!$E$2:$E$28727,"Phase 3")</f>
        <v>0</v>
      </c>
      <c r="H5" s="12">
        <f>SUMIFS('Trial Database'!$H$2:$H$28727,'Trial Database'!$J$2:$J$28727,"&gt;="&amp;DATE(2023,1,1),'Trial Database'!$J$2:$J$28727,"&lt;"&amp;DATE(2024,1,1),'Trial Database'!$E$2:$E$28727,"Phase 4")</f>
        <v>0</v>
      </c>
      <c r="I5" s="13">
        <f>SUM(B5:H5)</f>
        <v>0</v>
      </c>
    </row>
    <row r="6" spans="1:9">
      <c r="A6" s="12" t="s">
        <v>62963</v>
      </c>
      <c r="B6" s="12">
        <f>SUMIFS('Trial Database'!$H$2:$H$28727,'Trial Database'!$J$2:$J$28727,"&gt;="&amp;DATE(2024,1,1),'Trial Database'!$J$2:$J$28727,"&lt;"&amp;DATE(2025,1,1),'Trial Database'!$E$2:$E$28727,"Early Phase 1")</f>
        <v>0</v>
      </c>
      <c r="C6" s="12">
        <f>SUMIFS('Trial Database'!$H$2:$H$28727,'Trial Database'!$J$2:$J$28727,"&gt;="&amp;DATE(2024,1,1),'Trial Database'!$J$2:$J$28727,"&lt;"&amp;DATE(2025,1,1),'Trial Database'!$E$2:$E$28727,"Phase 1")</f>
        <v>0</v>
      </c>
      <c r="D6" s="12">
        <f>SUMIFS('Trial Database'!$H$2:$H$28727,'Trial Database'!$J$2:$J$28727,"&gt;="&amp;DATE(2024,1,1),'Trial Database'!$J$2:$J$28727,"&lt;"&amp;DATE(2025,1,1),'Trial Database'!$E$2:$E$28727,"Phase 1/2")</f>
        <v>0</v>
      </c>
      <c r="E6" s="12">
        <f>SUMIFS('Trial Database'!$H$2:$H$28727,'Trial Database'!$J$2:$J$28727,"&gt;="&amp;DATE(2024,1,1),'Trial Database'!$J$2:$J$28727,"&lt;"&amp;DATE(2025,1,1),'Trial Database'!$E$2:$E$28727,"Phase 2")</f>
        <v>0</v>
      </c>
      <c r="F6" s="12">
        <f>SUMIFS('Trial Database'!$H$2:$H$28727,'Trial Database'!$J$2:$J$28727,"&gt;="&amp;DATE(2024,1,1),'Trial Database'!$J$2:$J$28727,"&lt;"&amp;DATE(2025,1,1),'Trial Database'!$E$2:$E$28727,"Phase 2/3")</f>
        <v>0</v>
      </c>
      <c r="G6" s="12">
        <f>SUMIFS('Trial Database'!$H$2:$H$28727,'Trial Database'!$J$2:$J$28727,"&gt;="&amp;DATE(2024,1,1),'Trial Database'!$J$2:$J$28727,"&lt;"&amp;DATE(2025,1,1),'Trial Database'!$E$2:$E$28727,"Phase 3")</f>
        <v>0</v>
      </c>
      <c r="H6" s="12">
        <f>SUMIFS('Trial Database'!$H$2:$H$28727,'Trial Database'!$J$2:$J$28727,"&gt;="&amp;DATE(2024,1,1),'Trial Database'!$J$2:$J$28727,"&lt;"&amp;DATE(2025,1,1),'Trial Database'!$E$2:$E$28727,"Phase 4")</f>
        <v>0</v>
      </c>
      <c r="I6" s="13">
        <f>SUM(B6:H6)</f>
        <v>0</v>
      </c>
    </row>
    <row r="7" spans="1:9">
      <c r="A7" s="12" t="s">
        <v>62964</v>
      </c>
      <c r="B7" s="12">
        <f>SUMIFS('Trial Database'!$H$2:$H$28727,'Trial Database'!$J$2:$J$28727,"&gt;="&amp;DATE(2025,1,1),'Trial Database'!$J$2:$J$28727,"&lt;"&amp;DATE(2026,1,1),'Trial Database'!$E$2:$E$28727,"Early Phase 1")</f>
        <v>0</v>
      </c>
      <c r="C7" s="12">
        <f>SUMIFS('Trial Database'!$H$2:$H$28727,'Trial Database'!$J$2:$J$28727,"&gt;="&amp;DATE(2025,1,1),'Trial Database'!$J$2:$J$28727,"&lt;"&amp;DATE(2026,1,1),'Trial Database'!$E$2:$E$28727,"Phase 1")</f>
        <v>0</v>
      </c>
      <c r="D7" s="12">
        <f>SUMIFS('Trial Database'!$H$2:$H$28727,'Trial Database'!$J$2:$J$28727,"&gt;="&amp;DATE(2025,1,1),'Trial Database'!$J$2:$J$28727,"&lt;"&amp;DATE(2026,1,1),'Trial Database'!$E$2:$E$28727,"Phase 1/2")</f>
        <v>0</v>
      </c>
      <c r="E7" s="12">
        <f>SUMIFS('Trial Database'!$H$2:$H$28727,'Trial Database'!$J$2:$J$28727,"&gt;="&amp;DATE(2025,1,1),'Trial Database'!$J$2:$J$28727,"&lt;"&amp;DATE(2026,1,1),'Trial Database'!$E$2:$E$28727,"Phase 2")</f>
        <v>0</v>
      </c>
      <c r="F7" s="12">
        <f>SUMIFS('Trial Database'!$H$2:$H$28727,'Trial Database'!$J$2:$J$28727,"&gt;="&amp;DATE(2025,1,1),'Trial Database'!$J$2:$J$28727,"&lt;"&amp;DATE(2026,1,1),'Trial Database'!$E$2:$E$28727,"Phase 2/3")</f>
        <v>0</v>
      </c>
      <c r="G7" s="12">
        <f>SUMIFS('Trial Database'!$H$2:$H$28727,'Trial Database'!$J$2:$J$28727,"&gt;="&amp;DATE(2025,1,1),'Trial Database'!$J$2:$J$28727,"&lt;"&amp;DATE(2026,1,1),'Trial Database'!$E$2:$E$28727,"Phase 3")</f>
        <v>0</v>
      </c>
      <c r="H7" s="12">
        <f>SUMIFS('Trial Database'!$H$2:$H$28727,'Trial Database'!$J$2:$J$28727,"&gt;="&amp;DATE(2025,1,1),'Trial Database'!$J$2:$J$28727,"&lt;"&amp;DATE(2026,1,1),'Trial Database'!$E$2:$E$28727,"Phase 4")</f>
        <v>0</v>
      </c>
      <c r="I7" s="13">
        <f>SUM(B7:H7)</f>
        <v>0</v>
      </c>
    </row>
    <row r="8" spans="1:9">
      <c r="A8" s="12" t="s">
        <v>62965</v>
      </c>
      <c r="B8" s="12">
        <f>SUMIFS('Trial Database'!$H$2:$H$28727,'Trial Database'!$J$2:$J$28727,"&gt;="&amp;DATE(2026,1,1),'Trial Database'!$J$2:$J$28727,"&lt;"&amp;DATE(2027,1,1),'Trial Database'!$E$2:$E$28727,"Early Phase 1")</f>
        <v>0</v>
      </c>
      <c r="C8" s="12">
        <f>SUMIFS('Trial Database'!$H$2:$H$28727,'Trial Database'!$J$2:$J$28727,"&gt;="&amp;DATE(2026,1,1),'Trial Database'!$J$2:$J$28727,"&lt;"&amp;DATE(2027,1,1),'Trial Database'!$E$2:$E$28727,"Phase 1")</f>
        <v>0</v>
      </c>
      <c r="D8" s="12">
        <f>SUMIFS('Trial Database'!$H$2:$H$28727,'Trial Database'!$J$2:$J$28727,"&gt;="&amp;DATE(2026,1,1),'Trial Database'!$J$2:$J$28727,"&lt;"&amp;DATE(2027,1,1),'Trial Database'!$E$2:$E$28727,"Phase 1/2")</f>
        <v>0</v>
      </c>
      <c r="E8" s="12">
        <f>SUMIFS('Trial Database'!$H$2:$H$28727,'Trial Database'!$J$2:$J$28727,"&gt;="&amp;DATE(2026,1,1),'Trial Database'!$J$2:$J$28727,"&lt;"&amp;DATE(2027,1,1),'Trial Database'!$E$2:$E$28727,"Phase 2")</f>
        <v>0</v>
      </c>
      <c r="F8" s="12">
        <f>SUMIFS('Trial Database'!$H$2:$H$28727,'Trial Database'!$J$2:$J$28727,"&gt;="&amp;DATE(2026,1,1),'Trial Database'!$J$2:$J$28727,"&lt;"&amp;DATE(2027,1,1),'Trial Database'!$E$2:$E$28727,"Phase 2/3")</f>
        <v>0</v>
      </c>
      <c r="G8" s="12">
        <f>SUMIFS('Trial Database'!$H$2:$H$28727,'Trial Database'!$J$2:$J$28727,"&gt;="&amp;DATE(2026,1,1),'Trial Database'!$J$2:$J$28727,"&lt;"&amp;DATE(2027,1,1),'Trial Database'!$E$2:$E$28727,"Phase 3")</f>
        <v>0</v>
      </c>
      <c r="H8" s="12">
        <f>SUMIFS('Trial Database'!$H$2:$H$28727,'Trial Database'!$J$2:$J$28727,"&gt;="&amp;DATE(2026,1,1),'Trial Database'!$J$2:$J$28727,"&lt;"&amp;DATE(2027,1,1),'Trial Database'!$E$2:$E$28727,"Phase 4")</f>
        <v>0</v>
      </c>
      <c r="I8" s="13">
        <f>SUM(B8:H8)</f>
        <v>0</v>
      </c>
    </row>
    <row r="9" spans="1:9">
      <c r="A9" s="14" t="s">
        <v>62966</v>
      </c>
      <c r="B9" s="15">
        <f>ROUND(B8*12/MONTH(EOMONTH(TODAY(),-1)),0)</f>
        <v>0</v>
      </c>
      <c r="C9" s="15">
        <f>ROUND(C8*12/MONTH(EOMONTH(TODAY(),-1)),0)</f>
        <v>0</v>
      </c>
      <c r="D9" s="15">
        <f>ROUND(D8*12/MONTH(EOMONTH(TODAY(),-1)),0)</f>
        <v>0</v>
      </c>
      <c r="E9" s="15">
        <f>ROUND(E8*12/MONTH(EOMONTH(TODAY(),-1)),0)</f>
        <v>0</v>
      </c>
      <c r="F9" s="15">
        <f>ROUND(F8*12/MONTH(EOMONTH(TODAY(),-1)),0)</f>
        <v>0</v>
      </c>
      <c r="G9" s="15">
        <f>ROUND(G8*12/MONTH(EOMONTH(TODAY(),-1)),0)</f>
        <v>0</v>
      </c>
      <c r="H9" s="15">
        <f>ROUND(H8*12/MONTH(EOMONTH(TODAY(),-1)),0)</f>
        <v>0</v>
      </c>
      <c r="I9" s="16">
        <f>SUM(B9:H9)</f>
        <v>0</v>
      </c>
    </row>
    <row r="12" spans="1:9">
      <c r="A12" s="17" t="s">
        <v>62967</v>
      </c>
      <c r="B12" s="17" t="s">
        <v>62968</v>
      </c>
    </row>
    <row r="13" spans="1:9">
      <c r="A13" s="18" t="s">
        <v>62969</v>
      </c>
      <c r="B13" s="12">
        <f>SUMIFS('Trial Database'!$H$2:$H$28727,'Trial Database'!$J$2:$J$28727,"&gt;="&amp;DATE(2025,8,1),'Trial Database'!$J$2:$J$28727,"&lt;="&amp;DATE(2026,7,31))</f>
        <v>0</v>
      </c>
    </row>
    <row r="14" spans="1:9">
      <c r="A14" s="18" t="s">
        <v>62970</v>
      </c>
      <c r="B14" s="12">
        <f>SUMIFS('Trial Database'!$H$2:$H$28727,'Trial Database'!$J$2:$J$28727,"&gt;="&amp;DATE(2024,8,1),'Trial Database'!$J$2:$J$28727,"&lt;="&amp;DATE(2025,7,31))</f>
        <v>0</v>
      </c>
    </row>
    <row r="15" spans="1:9">
      <c r="A15" s="18" t="s">
        <v>62971</v>
      </c>
      <c r="B15" s="19">
        <f>IFERROR((B13-B14)/B14,"N/A")</f>
        <v>0</v>
      </c>
    </row>
    <row r="16" spans="1:9">
      <c r="A16" s="18" t="s">
        <v>62978</v>
      </c>
      <c r="B16" s="19">
        <f>IFERROR(((SUMIFS('Trial Database'!$H$2:$H$28727,'Trial Database'!$J$2:$J$28727,"&gt;="&amp;DATE(2026,7,1),'Trial Database'!$J$2:$J$28727,"&lt;="&amp;DATE(2026,7,31))/DAY(EOMONTH(DATE(2026,7,1),0)))-(SUMIFS('Trial Database'!$H$2:$H$28727,'Trial Database'!$J$2:$J$28727,"&gt;="&amp;DATE(2025,7,1),'Trial Database'!$J$2:$J$28727,"&lt;="&amp;DATE(2025,7,31))/DAY(EOMONTH(DATE(2025,7,1),0))))/(SUMIFS('Trial Database'!$H$2:$H$28727,'Trial Database'!$J$2:$J$28727,"&gt;="&amp;DATE(2025,7,1),'Trial Database'!$J$2:$J$28727,"&lt;="&amp;DATE(2025,7,31))/DAY(EOMONTH(DATE(2025,7,1),0))),"N/A")</f>
        <v>0</v>
      </c>
    </row>
    <row r="17" spans="1:11">
      <c r="A17" s="18" t="s">
        <v>62979</v>
      </c>
      <c r="B17" s="19">
        <f>IFERROR(((SUMIFS('Trial Database'!$H$2:$H$28727,'Trial Database'!$J$2:$J$28727,"&gt;="&amp;DATE(2026,7,1),'Trial Database'!$J$2:$J$28727,"&lt;="&amp;DATE(2026,7,31))/DAY(EOMONTH(DATE(2026,7,1),0)))-(SUMIFS('Trial Database'!$H$2:$H$28727,'Trial Database'!$J$2:$J$28727,"&gt;="&amp;DATE(2026,6,1),'Trial Database'!$J$2:$J$28727,"&lt;="&amp;DATE(2026,6,30))/DAY(EOMONTH(DATE(2026,6,1),0))))/(SUMIFS('Trial Database'!$H$2:$H$28727,'Trial Database'!$J$2:$J$28727,"&gt;="&amp;DATE(2026,6,1),'Trial Database'!$J$2:$J$28727,"&lt;="&amp;DATE(2026,6,30))/DAY(EOMONTH(DATE(2026,6,1),0))),"N/A")</f>
        <v>0</v>
      </c>
    </row>
    <row r="18" spans="1:11">
      <c r="A18" s="18" t="s">
        <v>62980</v>
      </c>
      <c r="B18" s="19">
        <f>IFERROR(((SUMIFS('Trial Database'!$H$2:$H$28727,'Trial Database'!$J$2:$J$28727,"&gt;="&amp;DATE(2026,6,1),'Trial Database'!$J$2:$J$28727,"&lt;="&amp;DATE(2026,6,30))/DAY(EOMONTH(DATE(2026,6,1),0)))-(SUMIFS('Trial Database'!$H$2:$H$28727,'Trial Database'!$J$2:$J$28727,"&gt;="&amp;DATE(2026,5,1),'Trial Database'!$J$2:$J$28727,"&lt;="&amp;DATE(2026,5,31))/DAY(EOMONTH(DATE(2026,5,1),0))))/(SUMIFS('Trial Database'!$H$2:$H$28727,'Trial Database'!$J$2:$J$28727,"&gt;="&amp;DATE(2026,5,1),'Trial Database'!$J$2:$J$28727,"&lt;="&amp;DATE(2026,5,31))/DAY(EOMONTH(DATE(2026,5,1),0))),"N/A")</f>
        <v>0</v>
      </c>
    </row>
    <row r="21" spans="1:11">
      <c r="A21" s="11" t="s">
        <v>62975</v>
      </c>
      <c r="B21" s="11" t="s">
        <v>330</v>
      </c>
      <c r="C21" s="11" t="s">
        <v>26</v>
      </c>
      <c r="D21" s="11" t="s">
        <v>67</v>
      </c>
      <c r="E21" s="11" t="s">
        <v>31</v>
      </c>
      <c r="F21" s="11" t="s">
        <v>45</v>
      </c>
      <c r="G21" s="11" t="s">
        <v>18</v>
      </c>
      <c r="H21" s="11" t="s">
        <v>212</v>
      </c>
      <c r="I21" s="11" t="s">
        <v>62958</v>
      </c>
      <c r="J21" s="11" t="s">
        <v>62976</v>
      </c>
      <c r="K21" s="11" t="s">
        <v>62981</v>
      </c>
    </row>
    <row r="22" spans="1:11">
      <c r="A22" s="20">
        <v>43831</v>
      </c>
      <c r="B22" s="12">
        <f>SUMIFS('Trial Database'!$H$2:$H$28727,'Trial Database'!$J$2:$J$28727,"&gt;="&amp;DATE(2020,1,1),'Trial Database'!$J$2:$J$28727,"&lt;"&amp;DATE(2020,2,1),'Trial Database'!$E$2:$E$28727,"Early Phase 1")</f>
        <v>0</v>
      </c>
      <c r="C22" s="12">
        <f>SUMIFS('Trial Database'!$H$2:$H$28727,'Trial Database'!$J$2:$J$28727,"&gt;="&amp;DATE(2020,1,1),'Trial Database'!$J$2:$J$28727,"&lt;"&amp;DATE(2020,2,1),'Trial Database'!$E$2:$E$28727,"Phase 1")</f>
        <v>0</v>
      </c>
      <c r="D22" s="12">
        <f>SUMIFS('Trial Database'!$H$2:$H$28727,'Trial Database'!$J$2:$J$28727,"&gt;="&amp;DATE(2020,1,1),'Trial Database'!$J$2:$J$28727,"&lt;"&amp;DATE(2020,2,1),'Trial Database'!$E$2:$E$28727,"Phase 1/2")</f>
        <v>0</v>
      </c>
      <c r="E22" s="12">
        <f>SUMIFS('Trial Database'!$H$2:$H$28727,'Trial Database'!$J$2:$J$28727,"&gt;="&amp;DATE(2020,1,1),'Trial Database'!$J$2:$J$28727,"&lt;"&amp;DATE(2020,2,1),'Trial Database'!$E$2:$E$28727,"Phase 2")</f>
        <v>0</v>
      </c>
      <c r="F22" s="12">
        <f>SUMIFS('Trial Database'!$H$2:$H$28727,'Trial Database'!$J$2:$J$28727,"&gt;="&amp;DATE(2020,1,1),'Trial Database'!$J$2:$J$28727,"&lt;"&amp;DATE(2020,2,1),'Trial Database'!$E$2:$E$28727,"Phase 2/3")</f>
        <v>0</v>
      </c>
      <c r="G22" s="12">
        <f>SUMIFS('Trial Database'!$H$2:$H$28727,'Trial Database'!$J$2:$J$28727,"&gt;="&amp;DATE(2020,1,1),'Trial Database'!$J$2:$J$28727,"&lt;"&amp;DATE(2020,2,1),'Trial Database'!$E$2:$E$28727,"Phase 3")</f>
        <v>0</v>
      </c>
      <c r="H22" s="12">
        <f>SUMIFS('Trial Database'!$H$2:$H$28727,'Trial Database'!$J$2:$J$28727,"&gt;="&amp;DATE(2020,1,1),'Trial Database'!$J$2:$J$28727,"&lt;"&amp;DATE(2020,2,1),'Trial Database'!$E$2:$E$28727,"Phase 4")</f>
        <v>0</v>
      </c>
      <c r="I22" s="13">
        <f>SUM(B22:H22)</f>
        <v>0</v>
      </c>
      <c r="J22" s="12">
        <f>DAY(EOMONTH(A22,0))</f>
        <v>0</v>
      </c>
      <c r="K22" s="21">
        <f>IF(J22=0,0,I22/J22)</f>
        <v>0</v>
      </c>
    </row>
    <row r="23" spans="1:11">
      <c r="A23" s="20">
        <v>43862</v>
      </c>
      <c r="B23" s="12">
        <f>SUMIFS('Trial Database'!$H$2:$H$28727,'Trial Database'!$J$2:$J$28727,"&gt;="&amp;DATE(2020,2,1),'Trial Database'!$J$2:$J$28727,"&lt;"&amp;DATE(2020,3,1),'Trial Database'!$E$2:$E$28727,"Early Phase 1")</f>
        <v>0</v>
      </c>
      <c r="C23" s="12">
        <f>SUMIFS('Trial Database'!$H$2:$H$28727,'Trial Database'!$J$2:$J$28727,"&gt;="&amp;DATE(2020,2,1),'Trial Database'!$J$2:$J$28727,"&lt;"&amp;DATE(2020,3,1),'Trial Database'!$E$2:$E$28727,"Phase 1")</f>
        <v>0</v>
      </c>
      <c r="D23" s="12">
        <f>SUMIFS('Trial Database'!$H$2:$H$28727,'Trial Database'!$J$2:$J$28727,"&gt;="&amp;DATE(2020,2,1),'Trial Database'!$J$2:$J$28727,"&lt;"&amp;DATE(2020,3,1),'Trial Database'!$E$2:$E$28727,"Phase 1/2")</f>
        <v>0</v>
      </c>
      <c r="E23" s="12">
        <f>SUMIFS('Trial Database'!$H$2:$H$28727,'Trial Database'!$J$2:$J$28727,"&gt;="&amp;DATE(2020,2,1),'Trial Database'!$J$2:$J$28727,"&lt;"&amp;DATE(2020,3,1),'Trial Database'!$E$2:$E$28727,"Phase 2")</f>
        <v>0</v>
      </c>
      <c r="F23" s="12">
        <f>SUMIFS('Trial Database'!$H$2:$H$28727,'Trial Database'!$J$2:$J$28727,"&gt;="&amp;DATE(2020,2,1),'Trial Database'!$J$2:$J$28727,"&lt;"&amp;DATE(2020,3,1),'Trial Database'!$E$2:$E$28727,"Phase 2/3")</f>
        <v>0</v>
      </c>
      <c r="G23" s="12">
        <f>SUMIFS('Trial Database'!$H$2:$H$28727,'Trial Database'!$J$2:$J$28727,"&gt;="&amp;DATE(2020,2,1),'Trial Database'!$J$2:$J$28727,"&lt;"&amp;DATE(2020,3,1),'Trial Database'!$E$2:$E$28727,"Phase 3")</f>
        <v>0</v>
      </c>
      <c r="H23" s="12">
        <f>SUMIFS('Trial Database'!$H$2:$H$28727,'Trial Database'!$J$2:$J$28727,"&gt;="&amp;DATE(2020,2,1),'Trial Database'!$J$2:$J$28727,"&lt;"&amp;DATE(2020,3,1),'Trial Database'!$E$2:$E$28727,"Phase 4")</f>
        <v>0</v>
      </c>
      <c r="I23" s="13">
        <f>SUM(B23:H23)</f>
        <v>0</v>
      </c>
      <c r="J23" s="12">
        <f>DAY(EOMONTH(A23,0))</f>
        <v>0</v>
      </c>
      <c r="K23" s="21">
        <f>IF(J23=0,0,I23/J23)</f>
        <v>0</v>
      </c>
    </row>
    <row r="24" spans="1:11">
      <c r="A24" s="20">
        <v>43891</v>
      </c>
      <c r="B24" s="12">
        <f>SUMIFS('Trial Database'!$H$2:$H$28727,'Trial Database'!$J$2:$J$28727,"&gt;="&amp;DATE(2020,3,1),'Trial Database'!$J$2:$J$28727,"&lt;"&amp;DATE(2020,4,1),'Trial Database'!$E$2:$E$28727,"Early Phase 1")</f>
        <v>0</v>
      </c>
      <c r="C24" s="12">
        <f>SUMIFS('Trial Database'!$H$2:$H$28727,'Trial Database'!$J$2:$J$28727,"&gt;="&amp;DATE(2020,3,1),'Trial Database'!$J$2:$J$28727,"&lt;"&amp;DATE(2020,4,1),'Trial Database'!$E$2:$E$28727,"Phase 1")</f>
        <v>0</v>
      </c>
      <c r="D24" s="12">
        <f>SUMIFS('Trial Database'!$H$2:$H$28727,'Trial Database'!$J$2:$J$28727,"&gt;="&amp;DATE(2020,3,1),'Trial Database'!$J$2:$J$28727,"&lt;"&amp;DATE(2020,4,1),'Trial Database'!$E$2:$E$28727,"Phase 1/2")</f>
        <v>0</v>
      </c>
      <c r="E24" s="12">
        <f>SUMIFS('Trial Database'!$H$2:$H$28727,'Trial Database'!$J$2:$J$28727,"&gt;="&amp;DATE(2020,3,1),'Trial Database'!$J$2:$J$28727,"&lt;"&amp;DATE(2020,4,1),'Trial Database'!$E$2:$E$28727,"Phase 2")</f>
        <v>0</v>
      </c>
      <c r="F24" s="12">
        <f>SUMIFS('Trial Database'!$H$2:$H$28727,'Trial Database'!$J$2:$J$28727,"&gt;="&amp;DATE(2020,3,1),'Trial Database'!$J$2:$J$28727,"&lt;"&amp;DATE(2020,4,1),'Trial Database'!$E$2:$E$28727,"Phase 2/3")</f>
        <v>0</v>
      </c>
      <c r="G24" s="12">
        <f>SUMIFS('Trial Database'!$H$2:$H$28727,'Trial Database'!$J$2:$J$28727,"&gt;="&amp;DATE(2020,3,1),'Trial Database'!$J$2:$J$28727,"&lt;"&amp;DATE(2020,4,1),'Trial Database'!$E$2:$E$28727,"Phase 3")</f>
        <v>0</v>
      </c>
      <c r="H24" s="12">
        <f>SUMIFS('Trial Database'!$H$2:$H$28727,'Trial Database'!$J$2:$J$28727,"&gt;="&amp;DATE(2020,3,1),'Trial Database'!$J$2:$J$28727,"&lt;"&amp;DATE(2020,4,1),'Trial Database'!$E$2:$E$28727,"Phase 4")</f>
        <v>0</v>
      </c>
      <c r="I24" s="13">
        <f>SUM(B24:H24)</f>
        <v>0</v>
      </c>
      <c r="J24" s="12">
        <f>DAY(EOMONTH(A24,0))</f>
        <v>0</v>
      </c>
      <c r="K24" s="21">
        <f>IF(J24=0,0,I24/J24)</f>
        <v>0</v>
      </c>
    </row>
    <row r="25" spans="1:11">
      <c r="A25" s="20">
        <v>43922</v>
      </c>
      <c r="B25" s="12">
        <f>SUMIFS('Trial Database'!$H$2:$H$28727,'Trial Database'!$J$2:$J$28727,"&gt;="&amp;DATE(2020,4,1),'Trial Database'!$J$2:$J$28727,"&lt;"&amp;DATE(2020,5,1),'Trial Database'!$E$2:$E$28727,"Early Phase 1")</f>
        <v>0</v>
      </c>
      <c r="C25" s="12">
        <f>SUMIFS('Trial Database'!$H$2:$H$28727,'Trial Database'!$J$2:$J$28727,"&gt;="&amp;DATE(2020,4,1),'Trial Database'!$J$2:$J$28727,"&lt;"&amp;DATE(2020,5,1),'Trial Database'!$E$2:$E$28727,"Phase 1")</f>
        <v>0</v>
      </c>
      <c r="D25" s="12">
        <f>SUMIFS('Trial Database'!$H$2:$H$28727,'Trial Database'!$J$2:$J$28727,"&gt;="&amp;DATE(2020,4,1),'Trial Database'!$J$2:$J$28727,"&lt;"&amp;DATE(2020,5,1),'Trial Database'!$E$2:$E$28727,"Phase 1/2")</f>
        <v>0</v>
      </c>
      <c r="E25" s="12">
        <f>SUMIFS('Trial Database'!$H$2:$H$28727,'Trial Database'!$J$2:$J$28727,"&gt;="&amp;DATE(2020,4,1),'Trial Database'!$J$2:$J$28727,"&lt;"&amp;DATE(2020,5,1),'Trial Database'!$E$2:$E$28727,"Phase 2")</f>
        <v>0</v>
      </c>
      <c r="F25" s="12">
        <f>SUMIFS('Trial Database'!$H$2:$H$28727,'Trial Database'!$J$2:$J$28727,"&gt;="&amp;DATE(2020,4,1),'Trial Database'!$J$2:$J$28727,"&lt;"&amp;DATE(2020,5,1),'Trial Database'!$E$2:$E$28727,"Phase 2/3")</f>
        <v>0</v>
      </c>
      <c r="G25" s="12">
        <f>SUMIFS('Trial Database'!$H$2:$H$28727,'Trial Database'!$J$2:$J$28727,"&gt;="&amp;DATE(2020,4,1),'Trial Database'!$J$2:$J$28727,"&lt;"&amp;DATE(2020,5,1),'Trial Database'!$E$2:$E$28727,"Phase 3")</f>
        <v>0</v>
      </c>
      <c r="H25" s="12">
        <f>SUMIFS('Trial Database'!$H$2:$H$28727,'Trial Database'!$J$2:$J$28727,"&gt;="&amp;DATE(2020,4,1),'Trial Database'!$J$2:$J$28727,"&lt;"&amp;DATE(2020,5,1),'Trial Database'!$E$2:$E$28727,"Phase 4")</f>
        <v>0</v>
      </c>
      <c r="I25" s="13">
        <f>SUM(B25:H25)</f>
        <v>0</v>
      </c>
      <c r="J25" s="12">
        <f>DAY(EOMONTH(A25,0))</f>
        <v>0</v>
      </c>
      <c r="K25" s="21">
        <f>IF(J25=0,0,I25/J25)</f>
        <v>0</v>
      </c>
    </row>
    <row r="26" spans="1:11">
      <c r="A26" s="20">
        <v>43952</v>
      </c>
      <c r="B26" s="12">
        <f>SUMIFS('Trial Database'!$H$2:$H$28727,'Trial Database'!$J$2:$J$28727,"&gt;="&amp;DATE(2020,5,1),'Trial Database'!$J$2:$J$28727,"&lt;"&amp;DATE(2020,6,1),'Trial Database'!$E$2:$E$28727,"Early Phase 1")</f>
        <v>0</v>
      </c>
      <c r="C26" s="12">
        <f>SUMIFS('Trial Database'!$H$2:$H$28727,'Trial Database'!$J$2:$J$28727,"&gt;="&amp;DATE(2020,5,1),'Trial Database'!$J$2:$J$28727,"&lt;"&amp;DATE(2020,6,1),'Trial Database'!$E$2:$E$28727,"Phase 1")</f>
        <v>0</v>
      </c>
      <c r="D26" s="12">
        <f>SUMIFS('Trial Database'!$H$2:$H$28727,'Trial Database'!$J$2:$J$28727,"&gt;="&amp;DATE(2020,5,1),'Trial Database'!$J$2:$J$28727,"&lt;"&amp;DATE(2020,6,1),'Trial Database'!$E$2:$E$28727,"Phase 1/2")</f>
        <v>0</v>
      </c>
      <c r="E26" s="12">
        <f>SUMIFS('Trial Database'!$H$2:$H$28727,'Trial Database'!$J$2:$J$28727,"&gt;="&amp;DATE(2020,5,1),'Trial Database'!$J$2:$J$28727,"&lt;"&amp;DATE(2020,6,1),'Trial Database'!$E$2:$E$28727,"Phase 2")</f>
        <v>0</v>
      </c>
      <c r="F26" s="12">
        <f>SUMIFS('Trial Database'!$H$2:$H$28727,'Trial Database'!$J$2:$J$28727,"&gt;="&amp;DATE(2020,5,1),'Trial Database'!$J$2:$J$28727,"&lt;"&amp;DATE(2020,6,1),'Trial Database'!$E$2:$E$28727,"Phase 2/3")</f>
        <v>0</v>
      </c>
      <c r="G26" s="12">
        <f>SUMIFS('Trial Database'!$H$2:$H$28727,'Trial Database'!$J$2:$J$28727,"&gt;="&amp;DATE(2020,5,1),'Trial Database'!$J$2:$J$28727,"&lt;"&amp;DATE(2020,6,1),'Trial Database'!$E$2:$E$28727,"Phase 3")</f>
        <v>0</v>
      </c>
      <c r="H26" s="12">
        <f>SUMIFS('Trial Database'!$H$2:$H$28727,'Trial Database'!$J$2:$J$28727,"&gt;="&amp;DATE(2020,5,1),'Trial Database'!$J$2:$J$28727,"&lt;"&amp;DATE(2020,6,1),'Trial Database'!$E$2:$E$28727,"Phase 4")</f>
        <v>0</v>
      </c>
      <c r="I26" s="13">
        <f>SUM(B26:H26)</f>
        <v>0</v>
      </c>
      <c r="J26" s="12">
        <f>DAY(EOMONTH(A26,0))</f>
        <v>0</v>
      </c>
      <c r="K26" s="21">
        <f>IF(J26=0,0,I26/J26)</f>
        <v>0</v>
      </c>
    </row>
    <row r="27" spans="1:11">
      <c r="A27" s="20">
        <v>43983</v>
      </c>
      <c r="B27" s="12">
        <f>SUMIFS('Trial Database'!$H$2:$H$28727,'Trial Database'!$J$2:$J$28727,"&gt;="&amp;DATE(2020,6,1),'Trial Database'!$J$2:$J$28727,"&lt;"&amp;DATE(2020,7,1),'Trial Database'!$E$2:$E$28727,"Early Phase 1")</f>
        <v>0</v>
      </c>
      <c r="C27" s="12">
        <f>SUMIFS('Trial Database'!$H$2:$H$28727,'Trial Database'!$J$2:$J$28727,"&gt;="&amp;DATE(2020,6,1),'Trial Database'!$J$2:$J$28727,"&lt;"&amp;DATE(2020,7,1),'Trial Database'!$E$2:$E$28727,"Phase 1")</f>
        <v>0</v>
      </c>
      <c r="D27" s="12">
        <f>SUMIFS('Trial Database'!$H$2:$H$28727,'Trial Database'!$J$2:$J$28727,"&gt;="&amp;DATE(2020,6,1),'Trial Database'!$J$2:$J$28727,"&lt;"&amp;DATE(2020,7,1),'Trial Database'!$E$2:$E$28727,"Phase 1/2")</f>
        <v>0</v>
      </c>
      <c r="E27" s="12">
        <f>SUMIFS('Trial Database'!$H$2:$H$28727,'Trial Database'!$J$2:$J$28727,"&gt;="&amp;DATE(2020,6,1),'Trial Database'!$J$2:$J$28727,"&lt;"&amp;DATE(2020,7,1),'Trial Database'!$E$2:$E$28727,"Phase 2")</f>
        <v>0</v>
      </c>
      <c r="F27" s="12">
        <f>SUMIFS('Trial Database'!$H$2:$H$28727,'Trial Database'!$J$2:$J$28727,"&gt;="&amp;DATE(2020,6,1),'Trial Database'!$J$2:$J$28727,"&lt;"&amp;DATE(2020,7,1),'Trial Database'!$E$2:$E$28727,"Phase 2/3")</f>
        <v>0</v>
      </c>
      <c r="G27" s="12">
        <f>SUMIFS('Trial Database'!$H$2:$H$28727,'Trial Database'!$J$2:$J$28727,"&gt;="&amp;DATE(2020,6,1),'Trial Database'!$J$2:$J$28727,"&lt;"&amp;DATE(2020,7,1),'Trial Database'!$E$2:$E$28727,"Phase 3")</f>
        <v>0</v>
      </c>
      <c r="H27" s="12">
        <f>SUMIFS('Trial Database'!$H$2:$H$28727,'Trial Database'!$J$2:$J$28727,"&gt;="&amp;DATE(2020,6,1),'Trial Database'!$J$2:$J$28727,"&lt;"&amp;DATE(2020,7,1),'Trial Database'!$E$2:$E$28727,"Phase 4")</f>
        <v>0</v>
      </c>
      <c r="I27" s="13">
        <f>SUM(B27:H27)</f>
        <v>0</v>
      </c>
      <c r="J27" s="12">
        <f>DAY(EOMONTH(A27,0))</f>
        <v>0</v>
      </c>
      <c r="K27" s="21">
        <f>IF(J27=0,0,I27/J27)</f>
        <v>0</v>
      </c>
    </row>
    <row r="28" spans="1:11">
      <c r="A28" s="20">
        <v>44013</v>
      </c>
      <c r="B28" s="12">
        <f>SUMIFS('Trial Database'!$H$2:$H$28727,'Trial Database'!$J$2:$J$28727,"&gt;="&amp;DATE(2020,7,1),'Trial Database'!$J$2:$J$28727,"&lt;"&amp;DATE(2020,8,1),'Trial Database'!$E$2:$E$28727,"Early Phase 1")</f>
        <v>0</v>
      </c>
      <c r="C28" s="12">
        <f>SUMIFS('Trial Database'!$H$2:$H$28727,'Trial Database'!$J$2:$J$28727,"&gt;="&amp;DATE(2020,7,1),'Trial Database'!$J$2:$J$28727,"&lt;"&amp;DATE(2020,8,1),'Trial Database'!$E$2:$E$28727,"Phase 1")</f>
        <v>0</v>
      </c>
      <c r="D28" s="12">
        <f>SUMIFS('Trial Database'!$H$2:$H$28727,'Trial Database'!$J$2:$J$28727,"&gt;="&amp;DATE(2020,7,1),'Trial Database'!$J$2:$J$28727,"&lt;"&amp;DATE(2020,8,1),'Trial Database'!$E$2:$E$28727,"Phase 1/2")</f>
        <v>0</v>
      </c>
      <c r="E28" s="12">
        <f>SUMIFS('Trial Database'!$H$2:$H$28727,'Trial Database'!$J$2:$J$28727,"&gt;="&amp;DATE(2020,7,1),'Trial Database'!$J$2:$J$28727,"&lt;"&amp;DATE(2020,8,1),'Trial Database'!$E$2:$E$28727,"Phase 2")</f>
        <v>0</v>
      </c>
      <c r="F28" s="12">
        <f>SUMIFS('Trial Database'!$H$2:$H$28727,'Trial Database'!$J$2:$J$28727,"&gt;="&amp;DATE(2020,7,1),'Trial Database'!$J$2:$J$28727,"&lt;"&amp;DATE(2020,8,1),'Trial Database'!$E$2:$E$28727,"Phase 2/3")</f>
        <v>0</v>
      </c>
      <c r="G28" s="12">
        <f>SUMIFS('Trial Database'!$H$2:$H$28727,'Trial Database'!$J$2:$J$28727,"&gt;="&amp;DATE(2020,7,1),'Trial Database'!$J$2:$J$28727,"&lt;"&amp;DATE(2020,8,1),'Trial Database'!$E$2:$E$28727,"Phase 3")</f>
        <v>0</v>
      </c>
      <c r="H28" s="12">
        <f>SUMIFS('Trial Database'!$H$2:$H$28727,'Trial Database'!$J$2:$J$28727,"&gt;="&amp;DATE(2020,7,1),'Trial Database'!$J$2:$J$28727,"&lt;"&amp;DATE(2020,8,1),'Trial Database'!$E$2:$E$28727,"Phase 4")</f>
        <v>0</v>
      </c>
      <c r="I28" s="13">
        <f>SUM(B28:H28)</f>
        <v>0</v>
      </c>
      <c r="J28" s="12">
        <f>DAY(EOMONTH(A28,0))</f>
        <v>0</v>
      </c>
      <c r="K28" s="21">
        <f>IF(J28=0,0,I28/J28)</f>
        <v>0</v>
      </c>
    </row>
    <row r="29" spans="1:11">
      <c r="A29" s="20">
        <v>44044</v>
      </c>
      <c r="B29" s="12">
        <f>SUMIFS('Trial Database'!$H$2:$H$28727,'Trial Database'!$J$2:$J$28727,"&gt;="&amp;DATE(2020,8,1),'Trial Database'!$J$2:$J$28727,"&lt;"&amp;DATE(2020,9,1),'Trial Database'!$E$2:$E$28727,"Early Phase 1")</f>
        <v>0</v>
      </c>
      <c r="C29" s="12">
        <f>SUMIFS('Trial Database'!$H$2:$H$28727,'Trial Database'!$J$2:$J$28727,"&gt;="&amp;DATE(2020,8,1),'Trial Database'!$J$2:$J$28727,"&lt;"&amp;DATE(2020,9,1),'Trial Database'!$E$2:$E$28727,"Phase 1")</f>
        <v>0</v>
      </c>
      <c r="D29" s="12">
        <f>SUMIFS('Trial Database'!$H$2:$H$28727,'Trial Database'!$J$2:$J$28727,"&gt;="&amp;DATE(2020,8,1),'Trial Database'!$J$2:$J$28727,"&lt;"&amp;DATE(2020,9,1),'Trial Database'!$E$2:$E$28727,"Phase 1/2")</f>
        <v>0</v>
      </c>
      <c r="E29" s="12">
        <f>SUMIFS('Trial Database'!$H$2:$H$28727,'Trial Database'!$J$2:$J$28727,"&gt;="&amp;DATE(2020,8,1),'Trial Database'!$J$2:$J$28727,"&lt;"&amp;DATE(2020,9,1),'Trial Database'!$E$2:$E$28727,"Phase 2")</f>
        <v>0</v>
      </c>
      <c r="F29" s="12">
        <f>SUMIFS('Trial Database'!$H$2:$H$28727,'Trial Database'!$J$2:$J$28727,"&gt;="&amp;DATE(2020,8,1),'Trial Database'!$J$2:$J$28727,"&lt;"&amp;DATE(2020,9,1),'Trial Database'!$E$2:$E$28727,"Phase 2/3")</f>
        <v>0</v>
      </c>
      <c r="G29" s="12">
        <f>SUMIFS('Trial Database'!$H$2:$H$28727,'Trial Database'!$J$2:$J$28727,"&gt;="&amp;DATE(2020,8,1),'Trial Database'!$J$2:$J$28727,"&lt;"&amp;DATE(2020,9,1),'Trial Database'!$E$2:$E$28727,"Phase 3")</f>
        <v>0</v>
      </c>
      <c r="H29" s="12">
        <f>SUMIFS('Trial Database'!$H$2:$H$28727,'Trial Database'!$J$2:$J$28727,"&gt;="&amp;DATE(2020,8,1),'Trial Database'!$J$2:$J$28727,"&lt;"&amp;DATE(2020,9,1),'Trial Database'!$E$2:$E$28727,"Phase 4")</f>
        <v>0</v>
      </c>
      <c r="I29" s="13">
        <f>SUM(B29:H29)</f>
        <v>0</v>
      </c>
      <c r="J29" s="12">
        <f>DAY(EOMONTH(A29,0))</f>
        <v>0</v>
      </c>
      <c r="K29" s="21">
        <f>IF(J29=0,0,I29/J29)</f>
        <v>0</v>
      </c>
    </row>
    <row r="30" spans="1:11">
      <c r="A30" s="20">
        <v>44075</v>
      </c>
      <c r="B30" s="12">
        <f>SUMIFS('Trial Database'!$H$2:$H$28727,'Trial Database'!$J$2:$J$28727,"&gt;="&amp;DATE(2020,9,1),'Trial Database'!$J$2:$J$28727,"&lt;"&amp;DATE(2020,10,1),'Trial Database'!$E$2:$E$28727,"Early Phase 1")</f>
        <v>0</v>
      </c>
      <c r="C30" s="12">
        <f>SUMIFS('Trial Database'!$H$2:$H$28727,'Trial Database'!$J$2:$J$28727,"&gt;="&amp;DATE(2020,9,1),'Trial Database'!$J$2:$J$28727,"&lt;"&amp;DATE(2020,10,1),'Trial Database'!$E$2:$E$28727,"Phase 1")</f>
        <v>0</v>
      </c>
      <c r="D30" s="12">
        <f>SUMIFS('Trial Database'!$H$2:$H$28727,'Trial Database'!$J$2:$J$28727,"&gt;="&amp;DATE(2020,9,1),'Trial Database'!$J$2:$J$28727,"&lt;"&amp;DATE(2020,10,1),'Trial Database'!$E$2:$E$28727,"Phase 1/2")</f>
        <v>0</v>
      </c>
      <c r="E30" s="12">
        <f>SUMIFS('Trial Database'!$H$2:$H$28727,'Trial Database'!$J$2:$J$28727,"&gt;="&amp;DATE(2020,9,1),'Trial Database'!$J$2:$J$28727,"&lt;"&amp;DATE(2020,10,1),'Trial Database'!$E$2:$E$28727,"Phase 2")</f>
        <v>0</v>
      </c>
      <c r="F30" s="12">
        <f>SUMIFS('Trial Database'!$H$2:$H$28727,'Trial Database'!$J$2:$J$28727,"&gt;="&amp;DATE(2020,9,1),'Trial Database'!$J$2:$J$28727,"&lt;"&amp;DATE(2020,10,1),'Trial Database'!$E$2:$E$28727,"Phase 2/3")</f>
        <v>0</v>
      </c>
      <c r="G30" s="12">
        <f>SUMIFS('Trial Database'!$H$2:$H$28727,'Trial Database'!$J$2:$J$28727,"&gt;="&amp;DATE(2020,9,1),'Trial Database'!$J$2:$J$28727,"&lt;"&amp;DATE(2020,10,1),'Trial Database'!$E$2:$E$28727,"Phase 3")</f>
        <v>0</v>
      </c>
      <c r="H30" s="12">
        <f>SUMIFS('Trial Database'!$H$2:$H$28727,'Trial Database'!$J$2:$J$28727,"&gt;="&amp;DATE(2020,9,1),'Trial Database'!$J$2:$J$28727,"&lt;"&amp;DATE(2020,10,1),'Trial Database'!$E$2:$E$28727,"Phase 4")</f>
        <v>0</v>
      </c>
      <c r="I30" s="13">
        <f>SUM(B30:H30)</f>
        <v>0</v>
      </c>
      <c r="J30" s="12">
        <f>DAY(EOMONTH(A30,0))</f>
        <v>0</v>
      </c>
      <c r="K30" s="21">
        <f>IF(J30=0,0,I30/J30)</f>
        <v>0</v>
      </c>
    </row>
    <row r="31" spans="1:11">
      <c r="A31" s="20">
        <v>44105</v>
      </c>
      <c r="B31" s="12">
        <f>SUMIFS('Trial Database'!$H$2:$H$28727,'Trial Database'!$J$2:$J$28727,"&gt;="&amp;DATE(2020,10,1),'Trial Database'!$J$2:$J$28727,"&lt;"&amp;DATE(2020,11,1),'Trial Database'!$E$2:$E$28727,"Early Phase 1")</f>
        <v>0</v>
      </c>
      <c r="C31" s="12">
        <f>SUMIFS('Trial Database'!$H$2:$H$28727,'Trial Database'!$J$2:$J$28727,"&gt;="&amp;DATE(2020,10,1),'Trial Database'!$J$2:$J$28727,"&lt;"&amp;DATE(2020,11,1),'Trial Database'!$E$2:$E$28727,"Phase 1")</f>
        <v>0</v>
      </c>
      <c r="D31" s="12">
        <f>SUMIFS('Trial Database'!$H$2:$H$28727,'Trial Database'!$J$2:$J$28727,"&gt;="&amp;DATE(2020,10,1),'Trial Database'!$J$2:$J$28727,"&lt;"&amp;DATE(2020,11,1),'Trial Database'!$E$2:$E$28727,"Phase 1/2")</f>
        <v>0</v>
      </c>
      <c r="E31" s="12">
        <f>SUMIFS('Trial Database'!$H$2:$H$28727,'Trial Database'!$J$2:$J$28727,"&gt;="&amp;DATE(2020,10,1),'Trial Database'!$J$2:$J$28727,"&lt;"&amp;DATE(2020,11,1),'Trial Database'!$E$2:$E$28727,"Phase 2")</f>
        <v>0</v>
      </c>
      <c r="F31" s="12">
        <f>SUMIFS('Trial Database'!$H$2:$H$28727,'Trial Database'!$J$2:$J$28727,"&gt;="&amp;DATE(2020,10,1),'Trial Database'!$J$2:$J$28727,"&lt;"&amp;DATE(2020,11,1),'Trial Database'!$E$2:$E$28727,"Phase 2/3")</f>
        <v>0</v>
      </c>
      <c r="G31" s="12">
        <f>SUMIFS('Trial Database'!$H$2:$H$28727,'Trial Database'!$J$2:$J$28727,"&gt;="&amp;DATE(2020,10,1),'Trial Database'!$J$2:$J$28727,"&lt;"&amp;DATE(2020,11,1),'Trial Database'!$E$2:$E$28727,"Phase 3")</f>
        <v>0</v>
      </c>
      <c r="H31" s="12">
        <f>SUMIFS('Trial Database'!$H$2:$H$28727,'Trial Database'!$J$2:$J$28727,"&gt;="&amp;DATE(2020,10,1),'Trial Database'!$J$2:$J$28727,"&lt;"&amp;DATE(2020,11,1),'Trial Database'!$E$2:$E$28727,"Phase 4")</f>
        <v>0</v>
      </c>
      <c r="I31" s="13">
        <f>SUM(B31:H31)</f>
        <v>0</v>
      </c>
      <c r="J31" s="12">
        <f>DAY(EOMONTH(A31,0))</f>
        <v>0</v>
      </c>
      <c r="K31" s="21">
        <f>IF(J31=0,0,I31/J31)</f>
        <v>0</v>
      </c>
    </row>
    <row r="32" spans="1:11">
      <c r="A32" s="20">
        <v>44136</v>
      </c>
      <c r="B32" s="12">
        <f>SUMIFS('Trial Database'!$H$2:$H$28727,'Trial Database'!$J$2:$J$28727,"&gt;="&amp;DATE(2020,11,1),'Trial Database'!$J$2:$J$28727,"&lt;"&amp;DATE(2020,12,1),'Trial Database'!$E$2:$E$28727,"Early Phase 1")</f>
        <v>0</v>
      </c>
      <c r="C32" s="12">
        <f>SUMIFS('Trial Database'!$H$2:$H$28727,'Trial Database'!$J$2:$J$28727,"&gt;="&amp;DATE(2020,11,1),'Trial Database'!$J$2:$J$28727,"&lt;"&amp;DATE(2020,12,1),'Trial Database'!$E$2:$E$28727,"Phase 1")</f>
        <v>0</v>
      </c>
      <c r="D32" s="12">
        <f>SUMIFS('Trial Database'!$H$2:$H$28727,'Trial Database'!$J$2:$J$28727,"&gt;="&amp;DATE(2020,11,1),'Trial Database'!$J$2:$J$28727,"&lt;"&amp;DATE(2020,12,1),'Trial Database'!$E$2:$E$28727,"Phase 1/2")</f>
        <v>0</v>
      </c>
      <c r="E32" s="12">
        <f>SUMIFS('Trial Database'!$H$2:$H$28727,'Trial Database'!$J$2:$J$28727,"&gt;="&amp;DATE(2020,11,1),'Trial Database'!$J$2:$J$28727,"&lt;"&amp;DATE(2020,12,1),'Trial Database'!$E$2:$E$28727,"Phase 2")</f>
        <v>0</v>
      </c>
      <c r="F32" s="12">
        <f>SUMIFS('Trial Database'!$H$2:$H$28727,'Trial Database'!$J$2:$J$28727,"&gt;="&amp;DATE(2020,11,1),'Trial Database'!$J$2:$J$28727,"&lt;"&amp;DATE(2020,12,1),'Trial Database'!$E$2:$E$28727,"Phase 2/3")</f>
        <v>0</v>
      </c>
      <c r="G32" s="12">
        <f>SUMIFS('Trial Database'!$H$2:$H$28727,'Trial Database'!$J$2:$J$28727,"&gt;="&amp;DATE(2020,11,1),'Trial Database'!$J$2:$J$28727,"&lt;"&amp;DATE(2020,12,1),'Trial Database'!$E$2:$E$28727,"Phase 3")</f>
        <v>0</v>
      </c>
      <c r="H32" s="12">
        <f>SUMIFS('Trial Database'!$H$2:$H$28727,'Trial Database'!$J$2:$J$28727,"&gt;="&amp;DATE(2020,11,1),'Trial Database'!$J$2:$J$28727,"&lt;"&amp;DATE(2020,12,1),'Trial Database'!$E$2:$E$28727,"Phase 4")</f>
        <v>0</v>
      </c>
      <c r="I32" s="13">
        <f>SUM(B32:H32)</f>
        <v>0</v>
      </c>
      <c r="J32" s="12">
        <f>DAY(EOMONTH(A32,0))</f>
        <v>0</v>
      </c>
      <c r="K32" s="21">
        <f>IF(J32=0,0,I32/J32)</f>
        <v>0</v>
      </c>
    </row>
    <row r="33" spans="1:11">
      <c r="A33" s="20">
        <v>44166</v>
      </c>
      <c r="B33" s="12">
        <f>SUMIFS('Trial Database'!$H$2:$H$28727,'Trial Database'!$J$2:$J$28727,"&gt;="&amp;DATE(2020,12,1),'Trial Database'!$J$2:$J$28727,"&lt;"&amp;DATE(2020,13,1),'Trial Database'!$E$2:$E$28727,"Early Phase 1")</f>
        <v>0</v>
      </c>
      <c r="C33" s="12">
        <f>SUMIFS('Trial Database'!$H$2:$H$28727,'Trial Database'!$J$2:$J$28727,"&gt;="&amp;DATE(2020,12,1),'Trial Database'!$J$2:$J$28727,"&lt;"&amp;DATE(2020,13,1),'Trial Database'!$E$2:$E$28727,"Phase 1")</f>
        <v>0</v>
      </c>
      <c r="D33" s="12">
        <f>SUMIFS('Trial Database'!$H$2:$H$28727,'Trial Database'!$J$2:$J$28727,"&gt;="&amp;DATE(2020,12,1),'Trial Database'!$J$2:$J$28727,"&lt;"&amp;DATE(2020,13,1),'Trial Database'!$E$2:$E$28727,"Phase 1/2")</f>
        <v>0</v>
      </c>
      <c r="E33" s="12">
        <f>SUMIFS('Trial Database'!$H$2:$H$28727,'Trial Database'!$J$2:$J$28727,"&gt;="&amp;DATE(2020,12,1),'Trial Database'!$J$2:$J$28727,"&lt;"&amp;DATE(2020,13,1),'Trial Database'!$E$2:$E$28727,"Phase 2")</f>
        <v>0</v>
      </c>
      <c r="F33" s="12">
        <f>SUMIFS('Trial Database'!$H$2:$H$28727,'Trial Database'!$J$2:$J$28727,"&gt;="&amp;DATE(2020,12,1),'Trial Database'!$J$2:$J$28727,"&lt;"&amp;DATE(2020,13,1),'Trial Database'!$E$2:$E$28727,"Phase 2/3")</f>
        <v>0</v>
      </c>
      <c r="G33" s="12">
        <f>SUMIFS('Trial Database'!$H$2:$H$28727,'Trial Database'!$J$2:$J$28727,"&gt;="&amp;DATE(2020,12,1),'Trial Database'!$J$2:$J$28727,"&lt;"&amp;DATE(2020,13,1),'Trial Database'!$E$2:$E$28727,"Phase 3")</f>
        <v>0</v>
      </c>
      <c r="H33" s="12">
        <f>SUMIFS('Trial Database'!$H$2:$H$28727,'Trial Database'!$J$2:$J$28727,"&gt;="&amp;DATE(2020,12,1),'Trial Database'!$J$2:$J$28727,"&lt;"&amp;DATE(2020,13,1),'Trial Database'!$E$2:$E$28727,"Phase 4")</f>
        <v>0</v>
      </c>
      <c r="I33" s="13">
        <f>SUM(B33:H33)</f>
        <v>0</v>
      </c>
      <c r="J33" s="12">
        <f>DAY(EOMONTH(A33,0))</f>
        <v>0</v>
      </c>
      <c r="K33" s="21">
        <f>IF(J33=0,0,I33/J33)</f>
        <v>0</v>
      </c>
    </row>
    <row r="34" spans="1:11">
      <c r="A34" s="20">
        <v>44197</v>
      </c>
      <c r="B34" s="12">
        <f>SUMIFS('Trial Database'!$H$2:$H$28727,'Trial Database'!$J$2:$J$28727,"&gt;="&amp;DATE(2021,1,1),'Trial Database'!$J$2:$J$28727,"&lt;"&amp;DATE(2021,2,1),'Trial Database'!$E$2:$E$28727,"Early Phase 1")</f>
        <v>0</v>
      </c>
      <c r="C34" s="12">
        <f>SUMIFS('Trial Database'!$H$2:$H$28727,'Trial Database'!$J$2:$J$28727,"&gt;="&amp;DATE(2021,1,1),'Trial Database'!$J$2:$J$28727,"&lt;"&amp;DATE(2021,2,1),'Trial Database'!$E$2:$E$28727,"Phase 1")</f>
        <v>0</v>
      </c>
      <c r="D34" s="12">
        <f>SUMIFS('Trial Database'!$H$2:$H$28727,'Trial Database'!$J$2:$J$28727,"&gt;="&amp;DATE(2021,1,1),'Trial Database'!$J$2:$J$28727,"&lt;"&amp;DATE(2021,2,1),'Trial Database'!$E$2:$E$28727,"Phase 1/2")</f>
        <v>0</v>
      </c>
      <c r="E34" s="12">
        <f>SUMIFS('Trial Database'!$H$2:$H$28727,'Trial Database'!$J$2:$J$28727,"&gt;="&amp;DATE(2021,1,1),'Trial Database'!$J$2:$J$28727,"&lt;"&amp;DATE(2021,2,1),'Trial Database'!$E$2:$E$28727,"Phase 2")</f>
        <v>0</v>
      </c>
      <c r="F34" s="12">
        <f>SUMIFS('Trial Database'!$H$2:$H$28727,'Trial Database'!$J$2:$J$28727,"&gt;="&amp;DATE(2021,1,1),'Trial Database'!$J$2:$J$28727,"&lt;"&amp;DATE(2021,2,1),'Trial Database'!$E$2:$E$28727,"Phase 2/3")</f>
        <v>0</v>
      </c>
      <c r="G34" s="12">
        <f>SUMIFS('Trial Database'!$H$2:$H$28727,'Trial Database'!$J$2:$J$28727,"&gt;="&amp;DATE(2021,1,1),'Trial Database'!$J$2:$J$28727,"&lt;"&amp;DATE(2021,2,1),'Trial Database'!$E$2:$E$28727,"Phase 3")</f>
        <v>0</v>
      </c>
      <c r="H34" s="12">
        <f>SUMIFS('Trial Database'!$H$2:$H$28727,'Trial Database'!$J$2:$J$28727,"&gt;="&amp;DATE(2021,1,1),'Trial Database'!$J$2:$J$28727,"&lt;"&amp;DATE(2021,2,1),'Trial Database'!$E$2:$E$28727,"Phase 4")</f>
        <v>0</v>
      </c>
      <c r="I34" s="13">
        <f>SUM(B34:H34)</f>
        <v>0</v>
      </c>
      <c r="J34" s="12">
        <f>DAY(EOMONTH(A34,0))</f>
        <v>0</v>
      </c>
      <c r="K34" s="21">
        <f>IF(J34=0,0,I34/J34)</f>
        <v>0</v>
      </c>
    </row>
    <row r="35" spans="1:11">
      <c r="A35" s="20">
        <v>44228</v>
      </c>
      <c r="B35" s="12">
        <f>SUMIFS('Trial Database'!$H$2:$H$28727,'Trial Database'!$J$2:$J$28727,"&gt;="&amp;DATE(2021,2,1),'Trial Database'!$J$2:$J$28727,"&lt;"&amp;DATE(2021,3,1),'Trial Database'!$E$2:$E$28727,"Early Phase 1")</f>
        <v>0</v>
      </c>
      <c r="C35" s="12">
        <f>SUMIFS('Trial Database'!$H$2:$H$28727,'Trial Database'!$J$2:$J$28727,"&gt;="&amp;DATE(2021,2,1),'Trial Database'!$J$2:$J$28727,"&lt;"&amp;DATE(2021,3,1),'Trial Database'!$E$2:$E$28727,"Phase 1")</f>
        <v>0</v>
      </c>
      <c r="D35" s="12">
        <f>SUMIFS('Trial Database'!$H$2:$H$28727,'Trial Database'!$J$2:$J$28727,"&gt;="&amp;DATE(2021,2,1),'Trial Database'!$J$2:$J$28727,"&lt;"&amp;DATE(2021,3,1),'Trial Database'!$E$2:$E$28727,"Phase 1/2")</f>
        <v>0</v>
      </c>
      <c r="E35" s="12">
        <f>SUMIFS('Trial Database'!$H$2:$H$28727,'Trial Database'!$J$2:$J$28727,"&gt;="&amp;DATE(2021,2,1),'Trial Database'!$J$2:$J$28727,"&lt;"&amp;DATE(2021,3,1),'Trial Database'!$E$2:$E$28727,"Phase 2")</f>
        <v>0</v>
      </c>
      <c r="F35" s="12">
        <f>SUMIFS('Trial Database'!$H$2:$H$28727,'Trial Database'!$J$2:$J$28727,"&gt;="&amp;DATE(2021,2,1),'Trial Database'!$J$2:$J$28727,"&lt;"&amp;DATE(2021,3,1),'Trial Database'!$E$2:$E$28727,"Phase 2/3")</f>
        <v>0</v>
      </c>
      <c r="G35" s="12">
        <f>SUMIFS('Trial Database'!$H$2:$H$28727,'Trial Database'!$J$2:$J$28727,"&gt;="&amp;DATE(2021,2,1),'Trial Database'!$J$2:$J$28727,"&lt;"&amp;DATE(2021,3,1),'Trial Database'!$E$2:$E$28727,"Phase 3")</f>
        <v>0</v>
      </c>
      <c r="H35" s="12">
        <f>SUMIFS('Trial Database'!$H$2:$H$28727,'Trial Database'!$J$2:$J$28727,"&gt;="&amp;DATE(2021,2,1),'Trial Database'!$J$2:$J$28727,"&lt;"&amp;DATE(2021,3,1),'Trial Database'!$E$2:$E$28727,"Phase 4")</f>
        <v>0</v>
      </c>
      <c r="I35" s="13">
        <f>SUM(B35:H35)</f>
        <v>0</v>
      </c>
      <c r="J35" s="12">
        <f>DAY(EOMONTH(A35,0))</f>
        <v>0</v>
      </c>
      <c r="K35" s="21">
        <f>IF(J35=0,0,I35/J35)</f>
        <v>0</v>
      </c>
    </row>
    <row r="36" spans="1:11">
      <c r="A36" s="20">
        <v>44256</v>
      </c>
      <c r="B36" s="12">
        <f>SUMIFS('Trial Database'!$H$2:$H$28727,'Trial Database'!$J$2:$J$28727,"&gt;="&amp;DATE(2021,3,1),'Trial Database'!$J$2:$J$28727,"&lt;"&amp;DATE(2021,4,1),'Trial Database'!$E$2:$E$28727,"Early Phase 1")</f>
        <v>0</v>
      </c>
      <c r="C36" s="12">
        <f>SUMIFS('Trial Database'!$H$2:$H$28727,'Trial Database'!$J$2:$J$28727,"&gt;="&amp;DATE(2021,3,1),'Trial Database'!$J$2:$J$28727,"&lt;"&amp;DATE(2021,4,1),'Trial Database'!$E$2:$E$28727,"Phase 1")</f>
        <v>0</v>
      </c>
      <c r="D36" s="12">
        <f>SUMIFS('Trial Database'!$H$2:$H$28727,'Trial Database'!$J$2:$J$28727,"&gt;="&amp;DATE(2021,3,1),'Trial Database'!$J$2:$J$28727,"&lt;"&amp;DATE(2021,4,1),'Trial Database'!$E$2:$E$28727,"Phase 1/2")</f>
        <v>0</v>
      </c>
      <c r="E36" s="12">
        <f>SUMIFS('Trial Database'!$H$2:$H$28727,'Trial Database'!$J$2:$J$28727,"&gt;="&amp;DATE(2021,3,1),'Trial Database'!$J$2:$J$28727,"&lt;"&amp;DATE(2021,4,1),'Trial Database'!$E$2:$E$28727,"Phase 2")</f>
        <v>0</v>
      </c>
      <c r="F36" s="12">
        <f>SUMIFS('Trial Database'!$H$2:$H$28727,'Trial Database'!$J$2:$J$28727,"&gt;="&amp;DATE(2021,3,1),'Trial Database'!$J$2:$J$28727,"&lt;"&amp;DATE(2021,4,1),'Trial Database'!$E$2:$E$28727,"Phase 2/3")</f>
        <v>0</v>
      </c>
      <c r="G36" s="12">
        <f>SUMIFS('Trial Database'!$H$2:$H$28727,'Trial Database'!$J$2:$J$28727,"&gt;="&amp;DATE(2021,3,1),'Trial Database'!$J$2:$J$28727,"&lt;"&amp;DATE(2021,4,1),'Trial Database'!$E$2:$E$28727,"Phase 3")</f>
        <v>0</v>
      </c>
      <c r="H36" s="12">
        <f>SUMIFS('Trial Database'!$H$2:$H$28727,'Trial Database'!$J$2:$J$28727,"&gt;="&amp;DATE(2021,3,1),'Trial Database'!$J$2:$J$28727,"&lt;"&amp;DATE(2021,4,1),'Trial Database'!$E$2:$E$28727,"Phase 4")</f>
        <v>0</v>
      </c>
      <c r="I36" s="13">
        <f>SUM(B36:H36)</f>
        <v>0</v>
      </c>
      <c r="J36" s="12">
        <f>DAY(EOMONTH(A36,0))</f>
        <v>0</v>
      </c>
      <c r="K36" s="21">
        <f>IF(J36=0,0,I36/J36)</f>
        <v>0</v>
      </c>
    </row>
    <row r="37" spans="1:11">
      <c r="A37" s="20">
        <v>44287</v>
      </c>
      <c r="B37" s="12">
        <f>SUMIFS('Trial Database'!$H$2:$H$28727,'Trial Database'!$J$2:$J$28727,"&gt;="&amp;DATE(2021,4,1),'Trial Database'!$J$2:$J$28727,"&lt;"&amp;DATE(2021,5,1),'Trial Database'!$E$2:$E$28727,"Early Phase 1")</f>
        <v>0</v>
      </c>
      <c r="C37" s="12">
        <f>SUMIFS('Trial Database'!$H$2:$H$28727,'Trial Database'!$J$2:$J$28727,"&gt;="&amp;DATE(2021,4,1),'Trial Database'!$J$2:$J$28727,"&lt;"&amp;DATE(2021,5,1),'Trial Database'!$E$2:$E$28727,"Phase 1")</f>
        <v>0</v>
      </c>
      <c r="D37" s="12">
        <f>SUMIFS('Trial Database'!$H$2:$H$28727,'Trial Database'!$J$2:$J$28727,"&gt;="&amp;DATE(2021,4,1),'Trial Database'!$J$2:$J$28727,"&lt;"&amp;DATE(2021,5,1),'Trial Database'!$E$2:$E$28727,"Phase 1/2")</f>
        <v>0</v>
      </c>
      <c r="E37" s="12">
        <f>SUMIFS('Trial Database'!$H$2:$H$28727,'Trial Database'!$J$2:$J$28727,"&gt;="&amp;DATE(2021,4,1),'Trial Database'!$J$2:$J$28727,"&lt;"&amp;DATE(2021,5,1),'Trial Database'!$E$2:$E$28727,"Phase 2")</f>
        <v>0</v>
      </c>
      <c r="F37" s="12">
        <f>SUMIFS('Trial Database'!$H$2:$H$28727,'Trial Database'!$J$2:$J$28727,"&gt;="&amp;DATE(2021,4,1),'Trial Database'!$J$2:$J$28727,"&lt;"&amp;DATE(2021,5,1),'Trial Database'!$E$2:$E$28727,"Phase 2/3")</f>
        <v>0</v>
      </c>
      <c r="G37" s="12">
        <f>SUMIFS('Trial Database'!$H$2:$H$28727,'Trial Database'!$J$2:$J$28727,"&gt;="&amp;DATE(2021,4,1),'Trial Database'!$J$2:$J$28727,"&lt;"&amp;DATE(2021,5,1),'Trial Database'!$E$2:$E$28727,"Phase 3")</f>
        <v>0</v>
      </c>
      <c r="H37" s="12">
        <f>SUMIFS('Trial Database'!$H$2:$H$28727,'Trial Database'!$J$2:$J$28727,"&gt;="&amp;DATE(2021,4,1),'Trial Database'!$J$2:$J$28727,"&lt;"&amp;DATE(2021,5,1),'Trial Database'!$E$2:$E$28727,"Phase 4")</f>
        <v>0</v>
      </c>
      <c r="I37" s="13">
        <f>SUM(B37:H37)</f>
        <v>0</v>
      </c>
      <c r="J37" s="12">
        <f>DAY(EOMONTH(A37,0))</f>
        <v>0</v>
      </c>
      <c r="K37" s="21">
        <f>IF(J37=0,0,I37/J37)</f>
        <v>0</v>
      </c>
    </row>
    <row r="38" spans="1:11">
      <c r="A38" s="20">
        <v>44317</v>
      </c>
      <c r="B38" s="12">
        <f>SUMIFS('Trial Database'!$H$2:$H$28727,'Trial Database'!$J$2:$J$28727,"&gt;="&amp;DATE(2021,5,1),'Trial Database'!$J$2:$J$28727,"&lt;"&amp;DATE(2021,6,1),'Trial Database'!$E$2:$E$28727,"Early Phase 1")</f>
        <v>0</v>
      </c>
      <c r="C38" s="12">
        <f>SUMIFS('Trial Database'!$H$2:$H$28727,'Trial Database'!$J$2:$J$28727,"&gt;="&amp;DATE(2021,5,1),'Trial Database'!$J$2:$J$28727,"&lt;"&amp;DATE(2021,6,1),'Trial Database'!$E$2:$E$28727,"Phase 1")</f>
        <v>0</v>
      </c>
      <c r="D38" s="12">
        <f>SUMIFS('Trial Database'!$H$2:$H$28727,'Trial Database'!$J$2:$J$28727,"&gt;="&amp;DATE(2021,5,1),'Trial Database'!$J$2:$J$28727,"&lt;"&amp;DATE(2021,6,1),'Trial Database'!$E$2:$E$28727,"Phase 1/2")</f>
        <v>0</v>
      </c>
      <c r="E38" s="12">
        <f>SUMIFS('Trial Database'!$H$2:$H$28727,'Trial Database'!$J$2:$J$28727,"&gt;="&amp;DATE(2021,5,1),'Trial Database'!$J$2:$J$28727,"&lt;"&amp;DATE(2021,6,1),'Trial Database'!$E$2:$E$28727,"Phase 2")</f>
        <v>0</v>
      </c>
      <c r="F38" s="12">
        <f>SUMIFS('Trial Database'!$H$2:$H$28727,'Trial Database'!$J$2:$J$28727,"&gt;="&amp;DATE(2021,5,1),'Trial Database'!$J$2:$J$28727,"&lt;"&amp;DATE(2021,6,1),'Trial Database'!$E$2:$E$28727,"Phase 2/3")</f>
        <v>0</v>
      </c>
      <c r="G38" s="12">
        <f>SUMIFS('Trial Database'!$H$2:$H$28727,'Trial Database'!$J$2:$J$28727,"&gt;="&amp;DATE(2021,5,1),'Trial Database'!$J$2:$J$28727,"&lt;"&amp;DATE(2021,6,1),'Trial Database'!$E$2:$E$28727,"Phase 3")</f>
        <v>0</v>
      </c>
      <c r="H38" s="12">
        <f>SUMIFS('Trial Database'!$H$2:$H$28727,'Trial Database'!$J$2:$J$28727,"&gt;="&amp;DATE(2021,5,1),'Trial Database'!$J$2:$J$28727,"&lt;"&amp;DATE(2021,6,1),'Trial Database'!$E$2:$E$28727,"Phase 4")</f>
        <v>0</v>
      </c>
      <c r="I38" s="13">
        <f>SUM(B38:H38)</f>
        <v>0</v>
      </c>
      <c r="J38" s="12">
        <f>DAY(EOMONTH(A38,0))</f>
        <v>0</v>
      </c>
      <c r="K38" s="21">
        <f>IF(J38=0,0,I38/J38)</f>
        <v>0</v>
      </c>
    </row>
    <row r="39" spans="1:11">
      <c r="A39" s="20">
        <v>44348</v>
      </c>
      <c r="B39" s="12">
        <f>SUMIFS('Trial Database'!$H$2:$H$28727,'Trial Database'!$J$2:$J$28727,"&gt;="&amp;DATE(2021,6,1),'Trial Database'!$J$2:$J$28727,"&lt;"&amp;DATE(2021,7,1),'Trial Database'!$E$2:$E$28727,"Early Phase 1")</f>
        <v>0</v>
      </c>
      <c r="C39" s="12">
        <f>SUMIFS('Trial Database'!$H$2:$H$28727,'Trial Database'!$J$2:$J$28727,"&gt;="&amp;DATE(2021,6,1),'Trial Database'!$J$2:$J$28727,"&lt;"&amp;DATE(2021,7,1),'Trial Database'!$E$2:$E$28727,"Phase 1")</f>
        <v>0</v>
      </c>
      <c r="D39" s="12">
        <f>SUMIFS('Trial Database'!$H$2:$H$28727,'Trial Database'!$J$2:$J$28727,"&gt;="&amp;DATE(2021,6,1),'Trial Database'!$J$2:$J$28727,"&lt;"&amp;DATE(2021,7,1),'Trial Database'!$E$2:$E$28727,"Phase 1/2")</f>
        <v>0</v>
      </c>
      <c r="E39" s="12">
        <f>SUMIFS('Trial Database'!$H$2:$H$28727,'Trial Database'!$J$2:$J$28727,"&gt;="&amp;DATE(2021,6,1),'Trial Database'!$J$2:$J$28727,"&lt;"&amp;DATE(2021,7,1),'Trial Database'!$E$2:$E$28727,"Phase 2")</f>
        <v>0</v>
      </c>
      <c r="F39" s="12">
        <f>SUMIFS('Trial Database'!$H$2:$H$28727,'Trial Database'!$J$2:$J$28727,"&gt;="&amp;DATE(2021,6,1),'Trial Database'!$J$2:$J$28727,"&lt;"&amp;DATE(2021,7,1),'Trial Database'!$E$2:$E$28727,"Phase 2/3")</f>
        <v>0</v>
      </c>
      <c r="G39" s="12">
        <f>SUMIFS('Trial Database'!$H$2:$H$28727,'Trial Database'!$J$2:$J$28727,"&gt;="&amp;DATE(2021,6,1),'Trial Database'!$J$2:$J$28727,"&lt;"&amp;DATE(2021,7,1),'Trial Database'!$E$2:$E$28727,"Phase 3")</f>
        <v>0</v>
      </c>
      <c r="H39" s="12">
        <f>SUMIFS('Trial Database'!$H$2:$H$28727,'Trial Database'!$J$2:$J$28727,"&gt;="&amp;DATE(2021,6,1),'Trial Database'!$J$2:$J$28727,"&lt;"&amp;DATE(2021,7,1),'Trial Database'!$E$2:$E$28727,"Phase 4")</f>
        <v>0</v>
      </c>
      <c r="I39" s="13">
        <f>SUM(B39:H39)</f>
        <v>0</v>
      </c>
      <c r="J39" s="12">
        <f>DAY(EOMONTH(A39,0))</f>
        <v>0</v>
      </c>
      <c r="K39" s="21">
        <f>IF(J39=0,0,I39/J39)</f>
        <v>0</v>
      </c>
    </row>
    <row r="40" spans="1:11">
      <c r="A40" s="20">
        <v>44378</v>
      </c>
      <c r="B40" s="12">
        <f>SUMIFS('Trial Database'!$H$2:$H$28727,'Trial Database'!$J$2:$J$28727,"&gt;="&amp;DATE(2021,7,1),'Trial Database'!$J$2:$J$28727,"&lt;"&amp;DATE(2021,8,1),'Trial Database'!$E$2:$E$28727,"Early Phase 1")</f>
        <v>0</v>
      </c>
      <c r="C40" s="12">
        <f>SUMIFS('Trial Database'!$H$2:$H$28727,'Trial Database'!$J$2:$J$28727,"&gt;="&amp;DATE(2021,7,1),'Trial Database'!$J$2:$J$28727,"&lt;"&amp;DATE(2021,8,1),'Trial Database'!$E$2:$E$28727,"Phase 1")</f>
        <v>0</v>
      </c>
      <c r="D40" s="12">
        <f>SUMIFS('Trial Database'!$H$2:$H$28727,'Trial Database'!$J$2:$J$28727,"&gt;="&amp;DATE(2021,7,1),'Trial Database'!$J$2:$J$28727,"&lt;"&amp;DATE(2021,8,1),'Trial Database'!$E$2:$E$28727,"Phase 1/2")</f>
        <v>0</v>
      </c>
      <c r="E40" s="12">
        <f>SUMIFS('Trial Database'!$H$2:$H$28727,'Trial Database'!$J$2:$J$28727,"&gt;="&amp;DATE(2021,7,1),'Trial Database'!$J$2:$J$28727,"&lt;"&amp;DATE(2021,8,1),'Trial Database'!$E$2:$E$28727,"Phase 2")</f>
        <v>0</v>
      </c>
      <c r="F40" s="12">
        <f>SUMIFS('Trial Database'!$H$2:$H$28727,'Trial Database'!$J$2:$J$28727,"&gt;="&amp;DATE(2021,7,1),'Trial Database'!$J$2:$J$28727,"&lt;"&amp;DATE(2021,8,1),'Trial Database'!$E$2:$E$28727,"Phase 2/3")</f>
        <v>0</v>
      </c>
      <c r="G40" s="12">
        <f>SUMIFS('Trial Database'!$H$2:$H$28727,'Trial Database'!$J$2:$J$28727,"&gt;="&amp;DATE(2021,7,1),'Trial Database'!$J$2:$J$28727,"&lt;"&amp;DATE(2021,8,1),'Trial Database'!$E$2:$E$28727,"Phase 3")</f>
        <v>0</v>
      </c>
      <c r="H40" s="12">
        <f>SUMIFS('Trial Database'!$H$2:$H$28727,'Trial Database'!$J$2:$J$28727,"&gt;="&amp;DATE(2021,7,1),'Trial Database'!$J$2:$J$28727,"&lt;"&amp;DATE(2021,8,1),'Trial Database'!$E$2:$E$28727,"Phase 4")</f>
        <v>0</v>
      </c>
      <c r="I40" s="13">
        <f>SUM(B40:H40)</f>
        <v>0</v>
      </c>
      <c r="J40" s="12">
        <f>DAY(EOMONTH(A40,0))</f>
        <v>0</v>
      </c>
      <c r="K40" s="21">
        <f>IF(J40=0,0,I40/J40)</f>
        <v>0</v>
      </c>
    </row>
    <row r="41" spans="1:11">
      <c r="A41" s="20">
        <v>44409</v>
      </c>
      <c r="B41" s="12">
        <f>SUMIFS('Trial Database'!$H$2:$H$28727,'Trial Database'!$J$2:$J$28727,"&gt;="&amp;DATE(2021,8,1),'Trial Database'!$J$2:$J$28727,"&lt;"&amp;DATE(2021,9,1),'Trial Database'!$E$2:$E$28727,"Early Phase 1")</f>
        <v>0</v>
      </c>
      <c r="C41" s="12">
        <f>SUMIFS('Trial Database'!$H$2:$H$28727,'Trial Database'!$J$2:$J$28727,"&gt;="&amp;DATE(2021,8,1),'Trial Database'!$J$2:$J$28727,"&lt;"&amp;DATE(2021,9,1),'Trial Database'!$E$2:$E$28727,"Phase 1")</f>
        <v>0</v>
      </c>
      <c r="D41" s="12">
        <f>SUMIFS('Trial Database'!$H$2:$H$28727,'Trial Database'!$J$2:$J$28727,"&gt;="&amp;DATE(2021,8,1),'Trial Database'!$J$2:$J$28727,"&lt;"&amp;DATE(2021,9,1),'Trial Database'!$E$2:$E$28727,"Phase 1/2")</f>
        <v>0</v>
      </c>
      <c r="E41" s="12">
        <f>SUMIFS('Trial Database'!$H$2:$H$28727,'Trial Database'!$J$2:$J$28727,"&gt;="&amp;DATE(2021,8,1),'Trial Database'!$J$2:$J$28727,"&lt;"&amp;DATE(2021,9,1),'Trial Database'!$E$2:$E$28727,"Phase 2")</f>
        <v>0</v>
      </c>
      <c r="F41" s="12">
        <f>SUMIFS('Trial Database'!$H$2:$H$28727,'Trial Database'!$J$2:$J$28727,"&gt;="&amp;DATE(2021,8,1),'Trial Database'!$J$2:$J$28727,"&lt;"&amp;DATE(2021,9,1),'Trial Database'!$E$2:$E$28727,"Phase 2/3")</f>
        <v>0</v>
      </c>
      <c r="G41" s="12">
        <f>SUMIFS('Trial Database'!$H$2:$H$28727,'Trial Database'!$J$2:$J$28727,"&gt;="&amp;DATE(2021,8,1),'Trial Database'!$J$2:$J$28727,"&lt;"&amp;DATE(2021,9,1),'Trial Database'!$E$2:$E$28727,"Phase 3")</f>
        <v>0</v>
      </c>
      <c r="H41" s="12">
        <f>SUMIFS('Trial Database'!$H$2:$H$28727,'Trial Database'!$J$2:$J$28727,"&gt;="&amp;DATE(2021,8,1),'Trial Database'!$J$2:$J$28727,"&lt;"&amp;DATE(2021,9,1),'Trial Database'!$E$2:$E$28727,"Phase 4")</f>
        <v>0</v>
      </c>
      <c r="I41" s="13">
        <f>SUM(B41:H41)</f>
        <v>0</v>
      </c>
      <c r="J41" s="12">
        <f>DAY(EOMONTH(A41,0))</f>
        <v>0</v>
      </c>
      <c r="K41" s="21">
        <f>IF(J41=0,0,I41/J41)</f>
        <v>0</v>
      </c>
    </row>
    <row r="42" spans="1:11">
      <c r="A42" s="20">
        <v>44440</v>
      </c>
      <c r="B42" s="12">
        <f>SUMIFS('Trial Database'!$H$2:$H$28727,'Trial Database'!$J$2:$J$28727,"&gt;="&amp;DATE(2021,9,1),'Trial Database'!$J$2:$J$28727,"&lt;"&amp;DATE(2021,10,1),'Trial Database'!$E$2:$E$28727,"Early Phase 1")</f>
        <v>0</v>
      </c>
      <c r="C42" s="12">
        <f>SUMIFS('Trial Database'!$H$2:$H$28727,'Trial Database'!$J$2:$J$28727,"&gt;="&amp;DATE(2021,9,1),'Trial Database'!$J$2:$J$28727,"&lt;"&amp;DATE(2021,10,1),'Trial Database'!$E$2:$E$28727,"Phase 1")</f>
        <v>0</v>
      </c>
      <c r="D42" s="12">
        <f>SUMIFS('Trial Database'!$H$2:$H$28727,'Trial Database'!$J$2:$J$28727,"&gt;="&amp;DATE(2021,9,1),'Trial Database'!$J$2:$J$28727,"&lt;"&amp;DATE(2021,10,1),'Trial Database'!$E$2:$E$28727,"Phase 1/2")</f>
        <v>0</v>
      </c>
      <c r="E42" s="12">
        <f>SUMIFS('Trial Database'!$H$2:$H$28727,'Trial Database'!$J$2:$J$28727,"&gt;="&amp;DATE(2021,9,1),'Trial Database'!$J$2:$J$28727,"&lt;"&amp;DATE(2021,10,1),'Trial Database'!$E$2:$E$28727,"Phase 2")</f>
        <v>0</v>
      </c>
      <c r="F42" s="12">
        <f>SUMIFS('Trial Database'!$H$2:$H$28727,'Trial Database'!$J$2:$J$28727,"&gt;="&amp;DATE(2021,9,1),'Trial Database'!$J$2:$J$28727,"&lt;"&amp;DATE(2021,10,1),'Trial Database'!$E$2:$E$28727,"Phase 2/3")</f>
        <v>0</v>
      </c>
      <c r="G42" s="12">
        <f>SUMIFS('Trial Database'!$H$2:$H$28727,'Trial Database'!$J$2:$J$28727,"&gt;="&amp;DATE(2021,9,1),'Trial Database'!$J$2:$J$28727,"&lt;"&amp;DATE(2021,10,1),'Trial Database'!$E$2:$E$28727,"Phase 3")</f>
        <v>0</v>
      </c>
      <c r="H42" s="12">
        <f>SUMIFS('Trial Database'!$H$2:$H$28727,'Trial Database'!$J$2:$J$28727,"&gt;="&amp;DATE(2021,9,1),'Trial Database'!$J$2:$J$28727,"&lt;"&amp;DATE(2021,10,1),'Trial Database'!$E$2:$E$28727,"Phase 4")</f>
        <v>0</v>
      </c>
      <c r="I42" s="13">
        <f>SUM(B42:H42)</f>
        <v>0</v>
      </c>
      <c r="J42" s="12">
        <f>DAY(EOMONTH(A42,0))</f>
        <v>0</v>
      </c>
      <c r="K42" s="21">
        <f>IF(J42=0,0,I42/J42)</f>
        <v>0</v>
      </c>
    </row>
    <row r="43" spans="1:11">
      <c r="A43" s="20">
        <v>44470</v>
      </c>
      <c r="B43" s="12">
        <f>SUMIFS('Trial Database'!$H$2:$H$28727,'Trial Database'!$J$2:$J$28727,"&gt;="&amp;DATE(2021,10,1),'Trial Database'!$J$2:$J$28727,"&lt;"&amp;DATE(2021,11,1),'Trial Database'!$E$2:$E$28727,"Early Phase 1")</f>
        <v>0</v>
      </c>
      <c r="C43" s="12">
        <f>SUMIFS('Trial Database'!$H$2:$H$28727,'Trial Database'!$J$2:$J$28727,"&gt;="&amp;DATE(2021,10,1),'Trial Database'!$J$2:$J$28727,"&lt;"&amp;DATE(2021,11,1),'Trial Database'!$E$2:$E$28727,"Phase 1")</f>
        <v>0</v>
      </c>
      <c r="D43" s="12">
        <f>SUMIFS('Trial Database'!$H$2:$H$28727,'Trial Database'!$J$2:$J$28727,"&gt;="&amp;DATE(2021,10,1),'Trial Database'!$J$2:$J$28727,"&lt;"&amp;DATE(2021,11,1),'Trial Database'!$E$2:$E$28727,"Phase 1/2")</f>
        <v>0</v>
      </c>
      <c r="E43" s="12">
        <f>SUMIFS('Trial Database'!$H$2:$H$28727,'Trial Database'!$J$2:$J$28727,"&gt;="&amp;DATE(2021,10,1),'Trial Database'!$J$2:$J$28727,"&lt;"&amp;DATE(2021,11,1),'Trial Database'!$E$2:$E$28727,"Phase 2")</f>
        <v>0</v>
      </c>
      <c r="F43" s="12">
        <f>SUMIFS('Trial Database'!$H$2:$H$28727,'Trial Database'!$J$2:$J$28727,"&gt;="&amp;DATE(2021,10,1),'Trial Database'!$J$2:$J$28727,"&lt;"&amp;DATE(2021,11,1),'Trial Database'!$E$2:$E$28727,"Phase 2/3")</f>
        <v>0</v>
      </c>
      <c r="G43" s="12">
        <f>SUMIFS('Trial Database'!$H$2:$H$28727,'Trial Database'!$J$2:$J$28727,"&gt;="&amp;DATE(2021,10,1),'Trial Database'!$J$2:$J$28727,"&lt;"&amp;DATE(2021,11,1),'Trial Database'!$E$2:$E$28727,"Phase 3")</f>
        <v>0</v>
      </c>
      <c r="H43" s="12">
        <f>SUMIFS('Trial Database'!$H$2:$H$28727,'Trial Database'!$J$2:$J$28727,"&gt;="&amp;DATE(2021,10,1),'Trial Database'!$J$2:$J$28727,"&lt;"&amp;DATE(2021,11,1),'Trial Database'!$E$2:$E$28727,"Phase 4")</f>
        <v>0</v>
      </c>
      <c r="I43" s="13">
        <f>SUM(B43:H43)</f>
        <v>0</v>
      </c>
      <c r="J43" s="12">
        <f>DAY(EOMONTH(A43,0))</f>
        <v>0</v>
      </c>
      <c r="K43" s="21">
        <f>IF(J43=0,0,I43/J43)</f>
        <v>0</v>
      </c>
    </row>
    <row r="44" spans="1:11">
      <c r="A44" s="20">
        <v>44501</v>
      </c>
      <c r="B44" s="12">
        <f>SUMIFS('Trial Database'!$H$2:$H$28727,'Trial Database'!$J$2:$J$28727,"&gt;="&amp;DATE(2021,11,1),'Trial Database'!$J$2:$J$28727,"&lt;"&amp;DATE(2021,12,1),'Trial Database'!$E$2:$E$28727,"Early Phase 1")</f>
        <v>0</v>
      </c>
      <c r="C44" s="12">
        <f>SUMIFS('Trial Database'!$H$2:$H$28727,'Trial Database'!$J$2:$J$28727,"&gt;="&amp;DATE(2021,11,1),'Trial Database'!$J$2:$J$28727,"&lt;"&amp;DATE(2021,12,1),'Trial Database'!$E$2:$E$28727,"Phase 1")</f>
        <v>0</v>
      </c>
      <c r="D44" s="12">
        <f>SUMIFS('Trial Database'!$H$2:$H$28727,'Trial Database'!$J$2:$J$28727,"&gt;="&amp;DATE(2021,11,1),'Trial Database'!$J$2:$J$28727,"&lt;"&amp;DATE(2021,12,1),'Trial Database'!$E$2:$E$28727,"Phase 1/2")</f>
        <v>0</v>
      </c>
      <c r="E44" s="12">
        <f>SUMIFS('Trial Database'!$H$2:$H$28727,'Trial Database'!$J$2:$J$28727,"&gt;="&amp;DATE(2021,11,1),'Trial Database'!$J$2:$J$28727,"&lt;"&amp;DATE(2021,12,1),'Trial Database'!$E$2:$E$28727,"Phase 2")</f>
        <v>0</v>
      </c>
      <c r="F44" s="12">
        <f>SUMIFS('Trial Database'!$H$2:$H$28727,'Trial Database'!$J$2:$J$28727,"&gt;="&amp;DATE(2021,11,1),'Trial Database'!$J$2:$J$28727,"&lt;"&amp;DATE(2021,12,1),'Trial Database'!$E$2:$E$28727,"Phase 2/3")</f>
        <v>0</v>
      </c>
      <c r="G44" s="12">
        <f>SUMIFS('Trial Database'!$H$2:$H$28727,'Trial Database'!$J$2:$J$28727,"&gt;="&amp;DATE(2021,11,1),'Trial Database'!$J$2:$J$28727,"&lt;"&amp;DATE(2021,12,1),'Trial Database'!$E$2:$E$28727,"Phase 3")</f>
        <v>0</v>
      </c>
      <c r="H44" s="12">
        <f>SUMIFS('Trial Database'!$H$2:$H$28727,'Trial Database'!$J$2:$J$28727,"&gt;="&amp;DATE(2021,11,1),'Trial Database'!$J$2:$J$28727,"&lt;"&amp;DATE(2021,12,1),'Trial Database'!$E$2:$E$28727,"Phase 4")</f>
        <v>0</v>
      </c>
      <c r="I44" s="13">
        <f>SUM(B44:H44)</f>
        <v>0</v>
      </c>
      <c r="J44" s="12">
        <f>DAY(EOMONTH(A44,0))</f>
        <v>0</v>
      </c>
      <c r="K44" s="21">
        <f>IF(J44=0,0,I44/J44)</f>
        <v>0</v>
      </c>
    </row>
    <row r="45" spans="1:11">
      <c r="A45" s="20">
        <v>44531</v>
      </c>
      <c r="B45" s="12">
        <f>SUMIFS('Trial Database'!$H$2:$H$28727,'Trial Database'!$J$2:$J$28727,"&gt;="&amp;DATE(2021,12,1),'Trial Database'!$J$2:$J$28727,"&lt;"&amp;DATE(2021,13,1),'Trial Database'!$E$2:$E$28727,"Early Phase 1")</f>
        <v>0</v>
      </c>
      <c r="C45" s="12">
        <f>SUMIFS('Trial Database'!$H$2:$H$28727,'Trial Database'!$J$2:$J$28727,"&gt;="&amp;DATE(2021,12,1),'Trial Database'!$J$2:$J$28727,"&lt;"&amp;DATE(2021,13,1),'Trial Database'!$E$2:$E$28727,"Phase 1")</f>
        <v>0</v>
      </c>
      <c r="D45" s="12">
        <f>SUMIFS('Trial Database'!$H$2:$H$28727,'Trial Database'!$J$2:$J$28727,"&gt;="&amp;DATE(2021,12,1),'Trial Database'!$J$2:$J$28727,"&lt;"&amp;DATE(2021,13,1),'Trial Database'!$E$2:$E$28727,"Phase 1/2")</f>
        <v>0</v>
      </c>
      <c r="E45" s="12">
        <f>SUMIFS('Trial Database'!$H$2:$H$28727,'Trial Database'!$J$2:$J$28727,"&gt;="&amp;DATE(2021,12,1),'Trial Database'!$J$2:$J$28727,"&lt;"&amp;DATE(2021,13,1),'Trial Database'!$E$2:$E$28727,"Phase 2")</f>
        <v>0</v>
      </c>
      <c r="F45" s="12">
        <f>SUMIFS('Trial Database'!$H$2:$H$28727,'Trial Database'!$J$2:$J$28727,"&gt;="&amp;DATE(2021,12,1),'Trial Database'!$J$2:$J$28727,"&lt;"&amp;DATE(2021,13,1),'Trial Database'!$E$2:$E$28727,"Phase 2/3")</f>
        <v>0</v>
      </c>
      <c r="G45" s="12">
        <f>SUMIFS('Trial Database'!$H$2:$H$28727,'Trial Database'!$J$2:$J$28727,"&gt;="&amp;DATE(2021,12,1),'Trial Database'!$J$2:$J$28727,"&lt;"&amp;DATE(2021,13,1),'Trial Database'!$E$2:$E$28727,"Phase 3")</f>
        <v>0</v>
      </c>
      <c r="H45" s="12">
        <f>SUMIFS('Trial Database'!$H$2:$H$28727,'Trial Database'!$J$2:$J$28727,"&gt;="&amp;DATE(2021,12,1),'Trial Database'!$J$2:$J$28727,"&lt;"&amp;DATE(2021,13,1),'Trial Database'!$E$2:$E$28727,"Phase 4")</f>
        <v>0</v>
      </c>
      <c r="I45" s="13">
        <f>SUM(B45:H45)</f>
        <v>0</v>
      </c>
      <c r="J45" s="12">
        <f>DAY(EOMONTH(A45,0))</f>
        <v>0</v>
      </c>
      <c r="K45" s="21">
        <f>IF(J45=0,0,I45/J45)</f>
        <v>0</v>
      </c>
    </row>
    <row r="46" spans="1:11">
      <c r="A46" s="20">
        <v>44562</v>
      </c>
      <c r="B46" s="12">
        <f>SUMIFS('Trial Database'!$H$2:$H$28727,'Trial Database'!$J$2:$J$28727,"&gt;="&amp;DATE(2022,1,1),'Trial Database'!$J$2:$J$28727,"&lt;"&amp;DATE(2022,2,1),'Trial Database'!$E$2:$E$28727,"Early Phase 1")</f>
        <v>0</v>
      </c>
      <c r="C46" s="12">
        <f>SUMIFS('Trial Database'!$H$2:$H$28727,'Trial Database'!$J$2:$J$28727,"&gt;="&amp;DATE(2022,1,1),'Trial Database'!$J$2:$J$28727,"&lt;"&amp;DATE(2022,2,1),'Trial Database'!$E$2:$E$28727,"Phase 1")</f>
        <v>0</v>
      </c>
      <c r="D46" s="12">
        <f>SUMIFS('Trial Database'!$H$2:$H$28727,'Trial Database'!$J$2:$J$28727,"&gt;="&amp;DATE(2022,1,1),'Trial Database'!$J$2:$J$28727,"&lt;"&amp;DATE(2022,2,1),'Trial Database'!$E$2:$E$28727,"Phase 1/2")</f>
        <v>0</v>
      </c>
      <c r="E46" s="12">
        <f>SUMIFS('Trial Database'!$H$2:$H$28727,'Trial Database'!$J$2:$J$28727,"&gt;="&amp;DATE(2022,1,1),'Trial Database'!$J$2:$J$28727,"&lt;"&amp;DATE(2022,2,1),'Trial Database'!$E$2:$E$28727,"Phase 2")</f>
        <v>0</v>
      </c>
      <c r="F46" s="12">
        <f>SUMIFS('Trial Database'!$H$2:$H$28727,'Trial Database'!$J$2:$J$28727,"&gt;="&amp;DATE(2022,1,1),'Trial Database'!$J$2:$J$28727,"&lt;"&amp;DATE(2022,2,1),'Trial Database'!$E$2:$E$28727,"Phase 2/3")</f>
        <v>0</v>
      </c>
      <c r="G46" s="12">
        <f>SUMIFS('Trial Database'!$H$2:$H$28727,'Trial Database'!$J$2:$J$28727,"&gt;="&amp;DATE(2022,1,1),'Trial Database'!$J$2:$J$28727,"&lt;"&amp;DATE(2022,2,1),'Trial Database'!$E$2:$E$28727,"Phase 3")</f>
        <v>0</v>
      </c>
      <c r="H46" s="12">
        <f>SUMIFS('Trial Database'!$H$2:$H$28727,'Trial Database'!$J$2:$J$28727,"&gt;="&amp;DATE(2022,1,1),'Trial Database'!$J$2:$J$28727,"&lt;"&amp;DATE(2022,2,1),'Trial Database'!$E$2:$E$28727,"Phase 4")</f>
        <v>0</v>
      </c>
      <c r="I46" s="13">
        <f>SUM(B46:H46)</f>
        <v>0</v>
      </c>
      <c r="J46" s="12">
        <f>DAY(EOMONTH(A46,0))</f>
        <v>0</v>
      </c>
      <c r="K46" s="21">
        <f>IF(J46=0,0,I46/J46)</f>
        <v>0</v>
      </c>
    </row>
    <row r="47" spans="1:11">
      <c r="A47" s="20">
        <v>44593</v>
      </c>
      <c r="B47" s="12">
        <f>SUMIFS('Trial Database'!$H$2:$H$28727,'Trial Database'!$J$2:$J$28727,"&gt;="&amp;DATE(2022,2,1),'Trial Database'!$J$2:$J$28727,"&lt;"&amp;DATE(2022,3,1),'Trial Database'!$E$2:$E$28727,"Early Phase 1")</f>
        <v>0</v>
      </c>
      <c r="C47" s="12">
        <f>SUMIFS('Trial Database'!$H$2:$H$28727,'Trial Database'!$J$2:$J$28727,"&gt;="&amp;DATE(2022,2,1),'Trial Database'!$J$2:$J$28727,"&lt;"&amp;DATE(2022,3,1),'Trial Database'!$E$2:$E$28727,"Phase 1")</f>
        <v>0</v>
      </c>
      <c r="D47" s="12">
        <f>SUMIFS('Trial Database'!$H$2:$H$28727,'Trial Database'!$J$2:$J$28727,"&gt;="&amp;DATE(2022,2,1),'Trial Database'!$J$2:$J$28727,"&lt;"&amp;DATE(2022,3,1),'Trial Database'!$E$2:$E$28727,"Phase 1/2")</f>
        <v>0</v>
      </c>
      <c r="E47" s="12">
        <f>SUMIFS('Trial Database'!$H$2:$H$28727,'Trial Database'!$J$2:$J$28727,"&gt;="&amp;DATE(2022,2,1),'Trial Database'!$J$2:$J$28727,"&lt;"&amp;DATE(2022,3,1),'Trial Database'!$E$2:$E$28727,"Phase 2")</f>
        <v>0</v>
      </c>
      <c r="F47" s="12">
        <f>SUMIFS('Trial Database'!$H$2:$H$28727,'Trial Database'!$J$2:$J$28727,"&gt;="&amp;DATE(2022,2,1),'Trial Database'!$J$2:$J$28727,"&lt;"&amp;DATE(2022,3,1),'Trial Database'!$E$2:$E$28727,"Phase 2/3")</f>
        <v>0</v>
      </c>
      <c r="G47" s="12">
        <f>SUMIFS('Trial Database'!$H$2:$H$28727,'Trial Database'!$J$2:$J$28727,"&gt;="&amp;DATE(2022,2,1),'Trial Database'!$J$2:$J$28727,"&lt;"&amp;DATE(2022,3,1),'Trial Database'!$E$2:$E$28727,"Phase 3")</f>
        <v>0</v>
      </c>
      <c r="H47" s="12">
        <f>SUMIFS('Trial Database'!$H$2:$H$28727,'Trial Database'!$J$2:$J$28727,"&gt;="&amp;DATE(2022,2,1),'Trial Database'!$J$2:$J$28727,"&lt;"&amp;DATE(2022,3,1),'Trial Database'!$E$2:$E$28727,"Phase 4")</f>
        <v>0</v>
      </c>
      <c r="I47" s="13">
        <f>SUM(B47:H47)</f>
        <v>0</v>
      </c>
      <c r="J47" s="12">
        <f>DAY(EOMONTH(A47,0))</f>
        <v>0</v>
      </c>
      <c r="K47" s="21">
        <f>IF(J47=0,0,I47/J47)</f>
        <v>0</v>
      </c>
    </row>
    <row r="48" spans="1:11">
      <c r="A48" s="20">
        <v>44621</v>
      </c>
      <c r="B48" s="12">
        <f>SUMIFS('Trial Database'!$H$2:$H$28727,'Trial Database'!$J$2:$J$28727,"&gt;="&amp;DATE(2022,3,1),'Trial Database'!$J$2:$J$28727,"&lt;"&amp;DATE(2022,4,1),'Trial Database'!$E$2:$E$28727,"Early Phase 1")</f>
        <v>0</v>
      </c>
      <c r="C48" s="12">
        <f>SUMIFS('Trial Database'!$H$2:$H$28727,'Trial Database'!$J$2:$J$28727,"&gt;="&amp;DATE(2022,3,1),'Trial Database'!$J$2:$J$28727,"&lt;"&amp;DATE(2022,4,1),'Trial Database'!$E$2:$E$28727,"Phase 1")</f>
        <v>0</v>
      </c>
      <c r="D48" s="12">
        <f>SUMIFS('Trial Database'!$H$2:$H$28727,'Trial Database'!$J$2:$J$28727,"&gt;="&amp;DATE(2022,3,1),'Trial Database'!$J$2:$J$28727,"&lt;"&amp;DATE(2022,4,1),'Trial Database'!$E$2:$E$28727,"Phase 1/2")</f>
        <v>0</v>
      </c>
      <c r="E48" s="12">
        <f>SUMIFS('Trial Database'!$H$2:$H$28727,'Trial Database'!$J$2:$J$28727,"&gt;="&amp;DATE(2022,3,1),'Trial Database'!$J$2:$J$28727,"&lt;"&amp;DATE(2022,4,1),'Trial Database'!$E$2:$E$28727,"Phase 2")</f>
        <v>0</v>
      </c>
      <c r="F48" s="12">
        <f>SUMIFS('Trial Database'!$H$2:$H$28727,'Trial Database'!$J$2:$J$28727,"&gt;="&amp;DATE(2022,3,1),'Trial Database'!$J$2:$J$28727,"&lt;"&amp;DATE(2022,4,1),'Trial Database'!$E$2:$E$28727,"Phase 2/3")</f>
        <v>0</v>
      </c>
      <c r="G48" s="12">
        <f>SUMIFS('Trial Database'!$H$2:$H$28727,'Trial Database'!$J$2:$J$28727,"&gt;="&amp;DATE(2022,3,1),'Trial Database'!$J$2:$J$28727,"&lt;"&amp;DATE(2022,4,1),'Trial Database'!$E$2:$E$28727,"Phase 3")</f>
        <v>0</v>
      </c>
      <c r="H48" s="12">
        <f>SUMIFS('Trial Database'!$H$2:$H$28727,'Trial Database'!$J$2:$J$28727,"&gt;="&amp;DATE(2022,3,1),'Trial Database'!$J$2:$J$28727,"&lt;"&amp;DATE(2022,4,1),'Trial Database'!$E$2:$E$28727,"Phase 4")</f>
        <v>0</v>
      </c>
      <c r="I48" s="13">
        <f>SUM(B48:H48)</f>
        <v>0</v>
      </c>
      <c r="J48" s="12">
        <f>DAY(EOMONTH(A48,0))</f>
        <v>0</v>
      </c>
      <c r="K48" s="21">
        <f>IF(J48=0,0,I48/J48)</f>
        <v>0</v>
      </c>
    </row>
    <row r="49" spans="1:11">
      <c r="A49" s="20">
        <v>44652</v>
      </c>
      <c r="B49" s="12">
        <f>SUMIFS('Trial Database'!$H$2:$H$28727,'Trial Database'!$J$2:$J$28727,"&gt;="&amp;DATE(2022,4,1),'Trial Database'!$J$2:$J$28727,"&lt;"&amp;DATE(2022,5,1),'Trial Database'!$E$2:$E$28727,"Early Phase 1")</f>
        <v>0</v>
      </c>
      <c r="C49" s="12">
        <f>SUMIFS('Trial Database'!$H$2:$H$28727,'Trial Database'!$J$2:$J$28727,"&gt;="&amp;DATE(2022,4,1),'Trial Database'!$J$2:$J$28727,"&lt;"&amp;DATE(2022,5,1),'Trial Database'!$E$2:$E$28727,"Phase 1")</f>
        <v>0</v>
      </c>
      <c r="D49" s="12">
        <f>SUMIFS('Trial Database'!$H$2:$H$28727,'Trial Database'!$J$2:$J$28727,"&gt;="&amp;DATE(2022,4,1),'Trial Database'!$J$2:$J$28727,"&lt;"&amp;DATE(2022,5,1),'Trial Database'!$E$2:$E$28727,"Phase 1/2")</f>
        <v>0</v>
      </c>
      <c r="E49" s="12">
        <f>SUMIFS('Trial Database'!$H$2:$H$28727,'Trial Database'!$J$2:$J$28727,"&gt;="&amp;DATE(2022,4,1),'Trial Database'!$J$2:$J$28727,"&lt;"&amp;DATE(2022,5,1),'Trial Database'!$E$2:$E$28727,"Phase 2")</f>
        <v>0</v>
      </c>
      <c r="F49" s="12">
        <f>SUMIFS('Trial Database'!$H$2:$H$28727,'Trial Database'!$J$2:$J$28727,"&gt;="&amp;DATE(2022,4,1),'Trial Database'!$J$2:$J$28727,"&lt;"&amp;DATE(2022,5,1),'Trial Database'!$E$2:$E$28727,"Phase 2/3")</f>
        <v>0</v>
      </c>
      <c r="G49" s="12">
        <f>SUMIFS('Trial Database'!$H$2:$H$28727,'Trial Database'!$J$2:$J$28727,"&gt;="&amp;DATE(2022,4,1),'Trial Database'!$J$2:$J$28727,"&lt;"&amp;DATE(2022,5,1),'Trial Database'!$E$2:$E$28727,"Phase 3")</f>
        <v>0</v>
      </c>
      <c r="H49" s="12">
        <f>SUMIFS('Trial Database'!$H$2:$H$28727,'Trial Database'!$J$2:$J$28727,"&gt;="&amp;DATE(2022,4,1),'Trial Database'!$J$2:$J$28727,"&lt;"&amp;DATE(2022,5,1),'Trial Database'!$E$2:$E$28727,"Phase 4")</f>
        <v>0</v>
      </c>
      <c r="I49" s="13">
        <f>SUM(B49:H49)</f>
        <v>0</v>
      </c>
      <c r="J49" s="12">
        <f>DAY(EOMONTH(A49,0))</f>
        <v>0</v>
      </c>
      <c r="K49" s="21">
        <f>IF(J49=0,0,I49/J49)</f>
        <v>0</v>
      </c>
    </row>
    <row r="50" spans="1:11">
      <c r="A50" s="20">
        <v>44682</v>
      </c>
      <c r="B50" s="12">
        <f>SUMIFS('Trial Database'!$H$2:$H$28727,'Trial Database'!$J$2:$J$28727,"&gt;="&amp;DATE(2022,5,1),'Trial Database'!$J$2:$J$28727,"&lt;"&amp;DATE(2022,6,1),'Trial Database'!$E$2:$E$28727,"Early Phase 1")</f>
        <v>0</v>
      </c>
      <c r="C50" s="12">
        <f>SUMIFS('Trial Database'!$H$2:$H$28727,'Trial Database'!$J$2:$J$28727,"&gt;="&amp;DATE(2022,5,1),'Trial Database'!$J$2:$J$28727,"&lt;"&amp;DATE(2022,6,1),'Trial Database'!$E$2:$E$28727,"Phase 1")</f>
        <v>0</v>
      </c>
      <c r="D50" s="12">
        <f>SUMIFS('Trial Database'!$H$2:$H$28727,'Trial Database'!$J$2:$J$28727,"&gt;="&amp;DATE(2022,5,1),'Trial Database'!$J$2:$J$28727,"&lt;"&amp;DATE(2022,6,1),'Trial Database'!$E$2:$E$28727,"Phase 1/2")</f>
        <v>0</v>
      </c>
      <c r="E50" s="12">
        <f>SUMIFS('Trial Database'!$H$2:$H$28727,'Trial Database'!$J$2:$J$28727,"&gt;="&amp;DATE(2022,5,1),'Trial Database'!$J$2:$J$28727,"&lt;"&amp;DATE(2022,6,1),'Trial Database'!$E$2:$E$28727,"Phase 2")</f>
        <v>0</v>
      </c>
      <c r="F50" s="12">
        <f>SUMIFS('Trial Database'!$H$2:$H$28727,'Trial Database'!$J$2:$J$28727,"&gt;="&amp;DATE(2022,5,1),'Trial Database'!$J$2:$J$28727,"&lt;"&amp;DATE(2022,6,1),'Trial Database'!$E$2:$E$28727,"Phase 2/3")</f>
        <v>0</v>
      </c>
      <c r="G50" s="12">
        <f>SUMIFS('Trial Database'!$H$2:$H$28727,'Trial Database'!$J$2:$J$28727,"&gt;="&amp;DATE(2022,5,1),'Trial Database'!$J$2:$J$28727,"&lt;"&amp;DATE(2022,6,1),'Trial Database'!$E$2:$E$28727,"Phase 3")</f>
        <v>0</v>
      </c>
      <c r="H50" s="12">
        <f>SUMIFS('Trial Database'!$H$2:$H$28727,'Trial Database'!$J$2:$J$28727,"&gt;="&amp;DATE(2022,5,1),'Trial Database'!$J$2:$J$28727,"&lt;"&amp;DATE(2022,6,1),'Trial Database'!$E$2:$E$28727,"Phase 4")</f>
        <v>0</v>
      </c>
      <c r="I50" s="13">
        <f>SUM(B50:H50)</f>
        <v>0</v>
      </c>
      <c r="J50" s="12">
        <f>DAY(EOMONTH(A50,0))</f>
        <v>0</v>
      </c>
      <c r="K50" s="21">
        <f>IF(J50=0,0,I50/J50)</f>
        <v>0</v>
      </c>
    </row>
    <row r="51" spans="1:11">
      <c r="A51" s="20">
        <v>44713</v>
      </c>
      <c r="B51" s="12">
        <f>SUMIFS('Trial Database'!$H$2:$H$28727,'Trial Database'!$J$2:$J$28727,"&gt;="&amp;DATE(2022,6,1),'Trial Database'!$J$2:$J$28727,"&lt;"&amp;DATE(2022,7,1),'Trial Database'!$E$2:$E$28727,"Early Phase 1")</f>
        <v>0</v>
      </c>
      <c r="C51" s="12">
        <f>SUMIFS('Trial Database'!$H$2:$H$28727,'Trial Database'!$J$2:$J$28727,"&gt;="&amp;DATE(2022,6,1),'Trial Database'!$J$2:$J$28727,"&lt;"&amp;DATE(2022,7,1),'Trial Database'!$E$2:$E$28727,"Phase 1")</f>
        <v>0</v>
      </c>
      <c r="D51" s="12">
        <f>SUMIFS('Trial Database'!$H$2:$H$28727,'Trial Database'!$J$2:$J$28727,"&gt;="&amp;DATE(2022,6,1),'Trial Database'!$J$2:$J$28727,"&lt;"&amp;DATE(2022,7,1),'Trial Database'!$E$2:$E$28727,"Phase 1/2")</f>
        <v>0</v>
      </c>
      <c r="E51" s="12">
        <f>SUMIFS('Trial Database'!$H$2:$H$28727,'Trial Database'!$J$2:$J$28727,"&gt;="&amp;DATE(2022,6,1),'Trial Database'!$J$2:$J$28727,"&lt;"&amp;DATE(2022,7,1),'Trial Database'!$E$2:$E$28727,"Phase 2")</f>
        <v>0</v>
      </c>
      <c r="F51" s="12">
        <f>SUMIFS('Trial Database'!$H$2:$H$28727,'Trial Database'!$J$2:$J$28727,"&gt;="&amp;DATE(2022,6,1),'Trial Database'!$J$2:$J$28727,"&lt;"&amp;DATE(2022,7,1),'Trial Database'!$E$2:$E$28727,"Phase 2/3")</f>
        <v>0</v>
      </c>
      <c r="G51" s="12">
        <f>SUMIFS('Trial Database'!$H$2:$H$28727,'Trial Database'!$J$2:$J$28727,"&gt;="&amp;DATE(2022,6,1),'Trial Database'!$J$2:$J$28727,"&lt;"&amp;DATE(2022,7,1),'Trial Database'!$E$2:$E$28727,"Phase 3")</f>
        <v>0</v>
      </c>
      <c r="H51" s="12">
        <f>SUMIFS('Trial Database'!$H$2:$H$28727,'Trial Database'!$J$2:$J$28727,"&gt;="&amp;DATE(2022,6,1),'Trial Database'!$J$2:$J$28727,"&lt;"&amp;DATE(2022,7,1),'Trial Database'!$E$2:$E$28727,"Phase 4")</f>
        <v>0</v>
      </c>
      <c r="I51" s="13">
        <f>SUM(B51:H51)</f>
        <v>0</v>
      </c>
      <c r="J51" s="12">
        <f>DAY(EOMONTH(A51,0))</f>
        <v>0</v>
      </c>
      <c r="K51" s="21">
        <f>IF(J51=0,0,I51/J51)</f>
        <v>0</v>
      </c>
    </row>
    <row r="52" spans="1:11">
      <c r="A52" s="20">
        <v>44743</v>
      </c>
      <c r="B52" s="12">
        <f>SUMIFS('Trial Database'!$H$2:$H$28727,'Trial Database'!$J$2:$J$28727,"&gt;="&amp;DATE(2022,7,1),'Trial Database'!$J$2:$J$28727,"&lt;"&amp;DATE(2022,8,1),'Trial Database'!$E$2:$E$28727,"Early Phase 1")</f>
        <v>0</v>
      </c>
      <c r="C52" s="12">
        <f>SUMIFS('Trial Database'!$H$2:$H$28727,'Trial Database'!$J$2:$J$28727,"&gt;="&amp;DATE(2022,7,1),'Trial Database'!$J$2:$J$28727,"&lt;"&amp;DATE(2022,8,1),'Trial Database'!$E$2:$E$28727,"Phase 1")</f>
        <v>0</v>
      </c>
      <c r="D52" s="12">
        <f>SUMIFS('Trial Database'!$H$2:$H$28727,'Trial Database'!$J$2:$J$28727,"&gt;="&amp;DATE(2022,7,1),'Trial Database'!$J$2:$J$28727,"&lt;"&amp;DATE(2022,8,1),'Trial Database'!$E$2:$E$28727,"Phase 1/2")</f>
        <v>0</v>
      </c>
      <c r="E52" s="12">
        <f>SUMIFS('Trial Database'!$H$2:$H$28727,'Trial Database'!$J$2:$J$28727,"&gt;="&amp;DATE(2022,7,1),'Trial Database'!$J$2:$J$28727,"&lt;"&amp;DATE(2022,8,1),'Trial Database'!$E$2:$E$28727,"Phase 2")</f>
        <v>0</v>
      </c>
      <c r="F52" s="12">
        <f>SUMIFS('Trial Database'!$H$2:$H$28727,'Trial Database'!$J$2:$J$28727,"&gt;="&amp;DATE(2022,7,1),'Trial Database'!$J$2:$J$28727,"&lt;"&amp;DATE(2022,8,1),'Trial Database'!$E$2:$E$28727,"Phase 2/3")</f>
        <v>0</v>
      </c>
      <c r="G52" s="12">
        <f>SUMIFS('Trial Database'!$H$2:$H$28727,'Trial Database'!$J$2:$J$28727,"&gt;="&amp;DATE(2022,7,1),'Trial Database'!$J$2:$J$28727,"&lt;"&amp;DATE(2022,8,1),'Trial Database'!$E$2:$E$28727,"Phase 3")</f>
        <v>0</v>
      </c>
      <c r="H52" s="12">
        <f>SUMIFS('Trial Database'!$H$2:$H$28727,'Trial Database'!$J$2:$J$28727,"&gt;="&amp;DATE(2022,7,1),'Trial Database'!$J$2:$J$28727,"&lt;"&amp;DATE(2022,8,1),'Trial Database'!$E$2:$E$28727,"Phase 4")</f>
        <v>0</v>
      </c>
      <c r="I52" s="13">
        <f>SUM(B52:H52)</f>
        <v>0</v>
      </c>
      <c r="J52" s="12">
        <f>DAY(EOMONTH(A52,0))</f>
        <v>0</v>
      </c>
      <c r="K52" s="21">
        <f>IF(J52=0,0,I52/J52)</f>
        <v>0</v>
      </c>
    </row>
    <row r="53" spans="1:11">
      <c r="A53" s="20">
        <v>44774</v>
      </c>
      <c r="B53" s="12">
        <f>SUMIFS('Trial Database'!$H$2:$H$28727,'Trial Database'!$J$2:$J$28727,"&gt;="&amp;DATE(2022,8,1),'Trial Database'!$J$2:$J$28727,"&lt;"&amp;DATE(2022,9,1),'Trial Database'!$E$2:$E$28727,"Early Phase 1")</f>
        <v>0</v>
      </c>
      <c r="C53" s="12">
        <f>SUMIFS('Trial Database'!$H$2:$H$28727,'Trial Database'!$J$2:$J$28727,"&gt;="&amp;DATE(2022,8,1),'Trial Database'!$J$2:$J$28727,"&lt;"&amp;DATE(2022,9,1),'Trial Database'!$E$2:$E$28727,"Phase 1")</f>
        <v>0</v>
      </c>
      <c r="D53" s="12">
        <f>SUMIFS('Trial Database'!$H$2:$H$28727,'Trial Database'!$J$2:$J$28727,"&gt;="&amp;DATE(2022,8,1),'Trial Database'!$J$2:$J$28727,"&lt;"&amp;DATE(2022,9,1),'Trial Database'!$E$2:$E$28727,"Phase 1/2")</f>
        <v>0</v>
      </c>
      <c r="E53" s="12">
        <f>SUMIFS('Trial Database'!$H$2:$H$28727,'Trial Database'!$J$2:$J$28727,"&gt;="&amp;DATE(2022,8,1),'Trial Database'!$J$2:$J$28727,"&lt;"&amp;DATE(2022,9,1),'Trial Database'!$E$2:$E$28727,"Phase 2")</f>
        <v>0</v>
      </c>
      <c r="F53" s="12">
        <f>SUMIFS('Trial Database'!$H$2:$H$28727,'Trial Database'!$J$2:$J$28727,"&gt;="&amp;DATE(2022,8,1),'Trial Database'!$J$2:$J$28727,"&lt;"&amp;DATE(2022,9,1),'Trial Database'!$E$2:$E$28727,"Phase 2/3")</f>
        <v>0</v>
      </c>
      <c r="G53" s="12">
        <f>SUMIFS('Trial Database'!$H$2:$H$28727,'Trial Database'!$J$2:$J$28727,"&gt;="&amp;DATE(2022,8,1),'Trial Database'!$J$2:$J$28727,"&lt;"&amp;DATE(2022,9,1),'Trial Database'!$E$2:$E$28727,"Phase 3")</f>
        <v>0</v>
      </c>
      <c r="H53" s="12">
        <f>SUMIFS('Trial Database'!$H$2:$H$28727,'Trial Database'!$J$2:$J$28727,"&gt;="&amp;DATE(2022,8,1),'Trial Database'!$J$2:$J$28727,"&lt;"&amp;DATE(2022,9,1),'Trial Database'!$E$2:$E$28727,"Phase 4")</f>
        <v>0</v>
      </c>
      <c r="I53" s="13">
        <f>SUM(B53:H53)</f>
        <v>0</v>
      </c>
      <c r="J53" s="12">
        <f>DAY(EOMONTH(A53,0))</f>
        <v>0</v>
      </c>
      <c r="K53" s="21">
        <f>IF(J53=0,0,I53/J53)</f>
        <v>0</v>
      </c>
    </row>
    <row r="54" spans="1:11">
      <c r="A54" s="20">
        <v>44805</v>
      </c>
      <c r="B54" s="12">
        <f>SUMIFS('Trial Database'!$H$2:$H$28727,'Trial Database'!$J$2:$J$28727,"&gt;="&amp;DATE(2022,9,1),'Trial Database'!$J$2:$J$28727,"&lt;"&amp;DATE(2022,10,1),'Trial Database'!$E$2:$E$28727,"Early Phase 1")</f>
        <v>0</v>
      </c>
      <c r="C54" s="12">
        <f>SUMIFS('Trial Database'!$H$2:$H$28727,'Trial Database'!$J$2:$J$28727,"&gt;="&amp;DATE(2022,9,1),'Trial Database'!$J$2:$J$28727,"&lt;"&amp;DATE(2022,10,1),'Trial Database'!$E$2:$E$28727,"Phase 1")</f>
        <v>0</v>
      </c>
      <c r="D54" s="12">
        <f>SUMIFS('Trial Database'!$H$2:$H$28727,'Trial Database'!$J$2:$J$28727,"&gt;="&amp;DATE(2022,9,1),'Trial Database'!$J$2:$J$28727,"&lt;"&amp;DATE(2022,10,1),'Trial Database'!$E$2:$E$28727,"Phase 1/2")</f>
        <v>0</v>
      </c>
      <c r="E54" s="12">
        <f>SUMIFS('Trial Database'!$H$2:$H$28727,'Trial Database'!$J$2:$J$28727,"&gt;="&amp;DATE(2022,9,1),'Trial Database'!$J$2:$J$28727,"&lt;"&amp;DATE(2022,10,1),'Trial Database'!$E$2:$E$28727,"Phase 2")</f>
        <v>0</v>
      </c>
      <c r="F54" s="12">
        <f>SUMIFS('Trial Database'!$H$2:$H$28727,'Trial Database'!$J$2:$J$28727,"&gt;="&amp;DATE(2022,9,1),'Trial Database'!$J$2:$J$28727,"&lt;"&amp;DATE(2022,10,1),'Trial Database'!$E$2:$E$28727,"Phase 2/3")</f>
        <v>0</v>
      </c>
      <c r="G54" s="12">
        <f>SUMIFS('Trial Database'!$H$2:$H$28727,'Trial Database'!$J$2:$J$28727,"&gt;="&amp;DATE(2022,9,1),'Trial Database'!$J$2:$J$28727,"&lt;"&amp;DATE(2022,10,1),'Trial Database'!$E$2:$E$28727,"Phase 3")</f>
        <v>0</v>
      </c>
      <c r="H54" s="12">
        <f>SUMIFS('Trial Database'!$H$2:$H$28727,'Trial Database'!$J$2:$J$28727,"&gt;="&amp;DATE(2022,9,1),'Trial Database'!$J$2:$J$28727,"&lt;"&amp;DATE(2022,10,1),'Trial Database'!$E$2:$E$28727,"Phase 4")</f>
        <v>0</v>
      </c>
      <c r="I54" s="13">
        <f>SUM(B54:H54)</f>
        <v>0</v>
      </c>
      <c r="J54" s="12">
        <f>DAY(EOMONTH(A54,0))</f>
        <v>0</v>
      </c>
      <c r="K54" s="21">
        <f>IF(J54=0,0,I54/J54)</f>
        <v>0</v>
      </c>
    </row>
    <row r="55" spans="1:11">
      <c r="A55" s="20">
        <v>44835</v>
      </c>
      <c r="B55" s="12">
        <f>SUMIFS('Trial Database'!$H$2:$H$28727,'Trial Database'!$J$2:$J$28727,"&gt;="&amp;DATE(2022,10,1),'Trial Database'!$J$2:$J$28727,"&lt;"&amp;DATE(2022,11,1),'Trial Database'!$E$2:$E$28727,"Early Phase 1")</f>
        <v>0</v>
      </c>
      <c r="C55" s="12">
        <f>SUMIFS('Trial Database'!$H$2:$H$28727,'Trial Database'!$J$2:$J$28727,"&gt;="&amp;DATE(2022,10,1),'Trial Database'!$J$2:$J$28727,"&lt;"&amp;DATE(2022,11,1),'Trial Database'!$E$2:$E$28727,"Phase 1")</f>
        <v>0</v>
      </c>
      <c r="D55" s="12">
        <f>SUMIFS('Trial Database'!$H$2:$H$28727,'Trial Database'!$J$2:$J$28727,"&gt;="&amp;DATE(2022,10,1),'Trial Database'!$J$2:$J$28727,"&lt;"&amp;DATE(2022,11,1),'Trial Database'!$E$2:$E$28727,"Phase 1/2")</f>
        <v>0</v>
      </c>
      <c r="E55" s="12">
        <f>SUMIFS('Trial Database'!$H$2:$H$28727,'Trial Database'!$J$2:$J$28727,"&gt;="&amp;DATE(2022,10,1),'Trial Database'!$J$2:$J$28727,"&lt;"&amp;DATE(2022,11,1),'Trial Database'!$E$2:$E$28727,"Phase 2")</f>
        <v>0</v>
      </c>
      <c r="F55" s="12">
        <f>SUMIFS('Trial Database'!$H$2:$H$28727,'Trial Database'!$J$2:$J$28727,"&gt;="&amp;DATE(2022,10,1),'Trial Database'!$J$2:$J$28727,"&lt;"&amp;DATE(2022,11,1),'Trial Database'!$E$2:$E$28727,"Phase 2/3")</f>
        <v>0</v>
      </c>
      <c r="G55" s="12">
        <f>SUMIFS('Trial Database'!$H$2:$H$28727,'Trial Database'!$J$2:$J$28727,"&gt;="&amp;DATE(2022,10,1),'Trial Database'!$J$2:$J$28727,"&lt;"&amp;DATE(2022,11,1),'Trial Database'!$E$2:$E$28727,"Phase 3")</f>
        <v>0</v>
      </c>
      <c r="H55" s="12">
        <f>SUMIFS('Trial Database'!$H$2:$H$28727,'Trial Database'!$J$2:$J$28727,"&gt;="&amp;DATE(2022,10,1),'Trial Database'!$J$2:$J$28727,"&lt;"&amp;DATE(2022,11,1),'Trial Database'!$E$2:$E$28727,"Phase 4")</f>
        <v>0</v>
      </c>
      <c r="I55" s="13">
        <f>SUM(B55:H55)</f>
        <v>0</v>
      </c>
      <c r="J55" s="12">
        <f>DAY(EOMONTH(A55,0))</f>
        <v>0</v>
      </c>
      <c r="K55" s="21">
        <f>IF(J55=0,0,I55/J55)</f>
        <v>0</v>
      </c>
    </row>
    <row r="56" spans="1:11">
      <c r="A56" s="20">
        <v>44866</v>
      </c>
      <c r="B56" s="12">
        <f>SUMIFS('Trial Database'!$H$2:$H$28727,'Trial Database'!$J$2:$J$28727,"&gt;="&amp;DATE(2022,11,1),'Trial Database'!$J$2:$J$28727,"&lt;"&amp;DATE(2022,12,1),'Trial Database'!$E$2:$E$28727,"Early Phase 1")</f>
        <v>0</v>
      </c>
      <c r="C56" s="12">
        <f>SUMIFS('Trial Database'!$H$2:$H$28727,'Trial Database'!$J$2:$J$28727,"&gt;="&amp;DATE(2022,11,1),'Trial Database'!$J$2:$J$28727,"&lt;"&amp;DATE(2022,12,1),'Trial Database'!$E$2:$E$28727,"Phase 1")</f>
        <v>0</v>
      </c>
      <c r="D56" s="12">
        <f>SUMIFS('Trial Database'!$H$2:$H$28727,'Trial Database'!$J$2:$J$28727,"&gt;="&amp;DATE(2022,11,1),'Trial Database'!$J$2:$J$28727,"&lt;"&amp;DATE(2022,12,1),'Trial Database'!$E$2:$E$28727,"Phase 1/2")</f>
        <v>0</v>
      </c>
      <c r="E56" s="12">
        <f>SUMIFS('Trial Database'!$H$2:$H$28727,'Trial Database'!$J$2:$J$28727,"&gt;="&amp;DATE(2022,11,1),'Trial Database'!$J$2:$J$28727,"&lt;"&amp;DATE(2022,12,1),'Trial Database'!$E$2:$E$28727,"Phase 2")</f>
        <v>0</v>
      </c>
      <c r="F56" s="12">
        <f>SUMIFS('Trial Database'!$H$2:$H$28727,'Trial Database'!$J$2:$J$28727,"&gt;="&amp;DATE(2022,11,1),'Trial Database'!$J$2:$J$28727,"&lt;"&amp;DATE(2022,12,1),'Trial Database'!$E$2:$E$28727,"Phase 2/3")</f>
        <v>0</v>
      </c>
      <c r="G56" s="12">
        <f>SUMIFS('Trial Database'!$H$2:$H$28727,'Trial Database'!$J$2:$J$28727,"&gt;="&amp;DATE(2022,11,1),'Trial Database'!$J$2:$J$28727,"&lt;"&amp;DATE(2022,12,1),'Trial Database'!$E$2:$E$28727,"Phase 3")</f>
        <v>0</v>
      </c>
      <c r="H56" s="12">
        <f>SUMIFS('Trial Database'!$H$2:$H$28727,'Trial Database'!$J$2:$J$28727,"&gt;="&amp;DATE(2022,11,1),'Trial Database'!$J$2:$J$28727,"&lt;"&amp;DATE(2022,12,1),'Trial Database'!$E$2:$E$28727,"Phase 4")</f>
        <v>0</v>
      </c>
      <c r="I56" s="13">
        <f>SUM(B56:H56)</f>
        <v>0</v>
      </c>
      <c r="J56" s="12">
        <f>DAY(EOMONTH(A56,0))</f>
        <v>0</v>
      </c>
      <c r="K56" s="21">
        <f>IF(J56=0,0,I56/J56)</f>
        <v>0</v>
      </c>
    </row>
    <row r="57" spans="1:11">
      <c r="A57" s="20">
        <v>44896</v>
      </c>
      <c r="B57" s="12">
        <f>SUMIFS('Trial Database'!$H$2:$H$28727,'Trial Database'!$J$2:$J$28727,"&gt;="&amp;DATE(2022,12,1),'Trial Database'!$J$2:$J$28727,"&lt;"&amp;DATE(2022,13,1),'Trial Database'!$E$2:$E$28727,"Early Phase 1")</f>
        <v>0</v>
      </c>
      <c r="C57" s="12">
        <f>SUMIFS('Trial Database'!$H$2:$H$28727,'Trial Database'!$J$2:$J$28727,"&gt;="&amp;DATE(2022,12,1),'Trial Database'!$J$2:$J$28727,"&lt;"&amp;DATE(2022,13,1),'Trial Database'!$E$2:$E$28727,"Phase 1")</f>
        <v>0</v>
      </c>
      <c r="D57" s="12">
        <f>SUMIFS('Trial Database'!$H$2:$H$28727,'Trial Database'!$J$2:$J$28727,"&gt;="&amp;DATE(2022,12,1),'Trial Database'!$J$2:$J$28727,"&lt;"&amp;DATE(2022,13,1),'Trial Database'!$E$2:$E$28727,"Phase 1/2")</f>
        <v>0</v>
      </c>
      <c r="E57" s="12">
        <f>SUMIFS('Trial Database'!$H$2:$H$28727,'Trial Database'!$J$2:$J$28727,"&gt;="&amp;DATE(2022,12,1),'Trial Database'!$J$2:$J$28727,"&lt;"&amp;DATE(2022,13,1),'Trial Database'!$E$2:$E$28727,"Phase 2")</f>
        <v>0</v>
      </c>
      <c r="F57" s="12">
        <f>SUMIFS('Trial Database'!$H$2:$H$28727,'Trial Database'!$J$2:$J$28727,"&gt;="&amp;DATE(2022,12,1),'Trial Database'!$J$2:$J$28727,"&lt;"&amp;DATE(2022,13,1),'Trial Database'!$E$2:$E$28727,"Phase 2/3")</f>
        <v>0</v>
      </c>
      <c r="G57" s="12">
        <f>SUMIFS('Trial Database'!$H$2:$H$28727,'Trial Database'!$J$2:$J$28727,"&gt;="&amp;DATE(2022,12,1),'Trial Database'!$J$2:$J$28727,"&lt;"&amp;DATE(2022,13,1),'Trial Database'!$E$2:$E$28727,"Phase 3")</f>
        <v>0</v>
      </c>
      <c r="H57" s="12">
        <f>SUMIFS('Trial Database'!$H$2:$H$28727,'Trial Database'!$J$2:$J$28727,"&gt;="&amp;DATE(2022,12,1),'Trial Database'!$J$2:$J$28727,"&lt;"&amp;DATE(2022,13,1),'Trial Database'!$E$2:$E$28727,"Phase 4")</f>
        <v>0</v>
      </c>
      <c r="I57" s="13">
        <f>SUM(B57:H57)</f>
        <v>0</v>
      </c>
      <c r="J57" s="12">
        <f>DAY(EOMONTH(A57,0))</f>
        <v>0</v>
      </c>
      <c r="K57" s="21">
        <f>IF(J57=0,0,I57/J57)</f>
        <v>0</v>
      </c>
    </row>
    <row r="58" spans="1:11">
      <c r="A58" s="20">
        <v>44927</v>
      </c>
      <c r="B58" s="12">
        <f>SUMIFS('Trial Database'!$H$2:$H$28727,'Trial Database'!$J$2:$J$28727,"&gt;="&amp;DATE(2023,1,1),'Trial Database'!$J$2:$J$28727,"&lt;"&amp;DATE(2023,2,1),'Trial Database'!$E$2:$E$28727,"Early Phase 1")</f>
        <v>0</v>
      </c>
      <c r="C58" s="12">
        <f>SUMIFS('Trial Database'!$H$2:$H$28727,'Trial Database'!$J$2:$J$28727,"&gt;="&amp;DATE(2023,1,1),'Trial Database'!$J$2:$J$28727,"&lt;"&amp;DATE(2023,2,1),'Trial Database'!$E$2:$E$28727,"Phase 1")</f>
        <v>0</v>
      </c>
      <c r="D58" s="12">
        <f>SUMIFS('Trial Database'!$H$2:$H$28727,'Trial Database'!$J$2:$J$28727,"&gt;="&amp;DATE(2023,1,1),'Trial Database'!$J$2:$J$28727,"&lt;"&amp;DATE(2023,2,1),'Trial Database'!$E$2:$E$28727,"Phase 1/2")</f>
        <v>0</v>
      </c>
      <c r="E58" s="12">
        <f>SUMIFS('Trial Database'!$H$2:$H$28727,'Trial Database'!$J$2:$J$28727,"&gt;="&amp;DATE(2023,1,1),'Trial Database'!$J$2:$J$28727,"&lt;"&amp;DATE(2023,2,1),'Trial Database'!$E$2:$E$28727,"Phase 2")</f>
        <v>0</v>
      </c>
      <c r="F58" s="12">
        <f>SUMIFS('Trial Database'!$H$2:$H$28727,'Trial Database'!$J$2:$J$28727,"&gt;="&amp;DATE(2023,1,1),'Trial Database'!$J$2:$J$28727,"&lt;"&amp;DATE(2023,2,1),'Trial Database'!$E$2:$E$28727,"Phase 2/3")</f>
        <v>0</v>
      </c>
      <c r="G58" s="12">
        <f>SUMIFS('Trial Database'!$H$2:$H$28727,'Trial Database'!$J$2:$J$28727,"&gt;="&amp;DATE(2023,1,1),'Trial Database'!$J$2:$J$28727,"&lt;"&amp;DATE(2023,2,1),'Trial Database'!$E$2:$E$28727,"Phase 3")</f>
        <v>0</v>
      </c>
      <c r="H58" s="12">
        <f>SUMIFS('Trial Database'!$H$2:$H$28727,'Trial Database'!$J$2:$J$28727,"&gt;="&amp;DATE(2023,1,1),'Trial Database'!$J$2:$J$28727,"&lt;"&amp;DATE(2023,2,1),'Trial Database'!$E$2:$E$28727,"Phase 4")</f>
        <v>0</v>
      </c>
      <c r="I58" s="13">
        <f>SUM(B58:H58)</f>
        <v>0</v>
      </c>
      <c r="J58" s="12">
        <f>DAY(EOMONTH(A58,0))</f>
        <v>0</v>
      </c>
      <c r="K58" s="21">
        <f>IF(J58=0,0,I58/J58)</f>
        <v>0</v>
      </c>
    </row>
    <row r="59" spans="1:11">
      <c r="A59" s="20">
        <v>44958</v>
      </c>
      <c r="B59" s="12">
        <f>SUMIFS('Trial Database'!$H$2:$H$28727,'Trial Database'!$J$2:$J$28727,"&gt;="&amp;DATE(2023,2,1),'Trial Database'!$J$2:$J$28727,"&lt;"&amp;DATE(2023,3,1),'Trial Database'!$E$2:$E$28727,"Early Phase 1")</f>
        <v>0</v>
      </c>
      <c r="C59" s="12">
        <f>SUMIFS('Trial Database'!$H$2:$H$28727,'Trial Database'!$J$2:$J$28727,"&gt;="&amp;DATE(2023,2,1),'Trial Database'!$J$2:$J$28727,"&lt;"&amp;DATE(2023,3,1),'Trial Database'!$E$2:$E$28727,"Phase 1")</f>
        <v>0</v>
      </c>
      <c r="D59" s="12">
        <f>SUMIFS('Trial Database'!$H$2:$H$28727,'Trial Database'!$J$2:$J$28727,"&gt;="&amp;DATE(2023,2,1),'Trial Database'!$J$2:$J$28727,"&lt;"&amp;DATE(2023,3,1),'Trial Database'!$E$2:$E$28727,"Phase 1/2")</f>
        <v>0</v>
      </c>
      <c r="E59" s="12">
        <f>SUMIFS('Trial Database'!$H$2:$H$28727,'Trial Database'!$J$2:$J$28727,"&gt;="&amp;DATE(2023,2,1),'Trial Database'!$J$2:$J$28727,"&lt;"&amp;DATE(2023,3,1),'Trial Database'!$E$2:$E$28727,"Phase 2")</f>
        <v>0</v>
      </c>
      <c r="F59" s="12">
        <f>SUMIFS('Trial Database'!$H$2:$H$28727,'Trial Database'!$J$2:$J$28727,"&gt;="&amp;DATE(2023,2,1),'Trial Database'!$J$2:$J$28727,"&lt;"&amp;DATE(2023,3,1),'Trial Database'!$E$2:$E$28727,"Phase 2/3")</f>
        <v>0</v>
      </c>
      <c r="G59" s="12">
        <f>SUMIFS('Trial Database'!$H$2:$H$28727,'Trial Database'!$J$2:$J$28727,"&gt;="&amp;DATE(2023,2,1),'Trial Database'!$J$2:$J$28727,"&lt;"&amp;DATE(2023,3,1),'Trial Database'!$E$2:$E$28727,"Phase 3")</f>
        <v>0</v>
      </c>
      <c r="H59" s="12">
        <f>SUMIFS('Trial Database'!$H$2:$H$28727,'Trial Database'!$J$2:$J$28727,"&gt;="&amp;DATE(2023,2,1),'Trial Database'!$J$2:$J$28727,"&lt;"&amp;DATE(2023,3,1),'Trial Database'!$E$2:$E$28727,"Phase 4")</f>
        <v>0</v>
      </c>
      <c r="I59" s="13">
        <f>SUM(B59:H59)</f>
        <v>0</v>
      </c>
      <c r="J59" s="12">
        <f>DAY(EOMONTH(A59,0))</f>
        <v>0</v>
      </c>
      <c r="K59" s="21">
        <f>IF(J59=0,0,I59/J59)</f>
        <v>0</v>
      </c>
    </row>
    <row r="60" spans="1:11">
      <c r="A60" s="20">
        <v>44986</v>
      </c>
      <c r="B60" s="12">
        <f>SUMIFS('Trial Database'!$H$2:$H$28727,'Trial Database'!$J$2:$J$28727,"&gt;="&amp;DATE(2023,3,1),'Trial Database'!$J$2:$J$28727,"&lt;"&amp;DATE(2023,4,1),'Trial Database'!$E$2:$E$28727,"Early Phase 1")</f>
        <v>0</v>
      </c>
      <c r="C60" s="12">
        <f>SUMIFS('Trial Database'!$H$2:$H$28727,'Trial Database'!$J$2:$J$28727,"&gt;="&amp;DATE(2023,3,1),'Trial Database'!$J$2:$J$28727,"&lt;"&amp;DATE(2023,4,1),'Trial Database'!$E$2:$E$28727,"Phase 1")</f>
        <v>0</v>
      </c>
      <c r="D60" s="12">
        <f>SUMIFS('Trial Database'!$H$2:$H$28727,'Trial Database'!$J$2:$J$28727,"&gt;="&amp;DATE(2023,3,1),'Trial Database'!$J$2:$J$28727,"&lt;"&amp;DATE(2023,4,1),'Trial Database'!$E$2:$E$28727,"Phase 1/2")</f>
        <v>0</v>
      </c>
      <c r="E60" s="12">
        <f>SUMIFS('Trial Database'!$H$2:$H$28727,'Trial Database'!$J$2:$J$28727,"&gt;="&amp;DATE(2023,3,1),'Trial Database'!$J$2:$J$28727,"&lt;"&amp;DATE(2023,4,1),'Trial Database'!$E$2:$E$28727,"Phase 2")</f>
        <v>0</v>
      </c>
      <c r="F60" s="12">
        <f>SUMIFS('Trial Database'!$H$2:$H$28727,'Trial Database'!$J$2:$J$28727,"&gt;="&amp;DATE(2023,3,1),'Trial Database'!$J$2:$J$28727,"&lt;"&amp;DATE(2023,4,1),'Trial Database'!$E$2:$E$28727,"Phase 2/3")</f>
        <v>0</v>
      </c>
      <c r="G60" s="12">
        <f>SUMIFS('Trial Database'!$H$2:$H$28727,'Trial Database'!$J$2:$J$28727,"&gt;="&amp;DATE(2023,3,1),'Trial Database'!$J$2:$J$28727,"&lt;"&amp;DATE(2023,4,1),'Trial Database'!$E$2:$E$28727,"Phase 3")</f>
        <v>0</v>
      </c>
      <c r="H60" s="12">
        <f>SUMIFS('Trial Database'!$H$2:$H$28727,'Trial Database'!$J$2:$J$28727,"&gt;="&amp;DATE(2023,3,1),'Trial Database'!$J$2:$J$28727,"&lt;"&amp;DATE(2023,4,1),'Trial Database'!$E$2:$E$28727,"Phase 4")</f>
        <v>0</v>
      </c>
      <c r="I60" s="13">
        <f>SUM(B60:H60)</f>
        <v>0</v>
      </c>
      <c r="J60" s="12">
        <f>DAY(EOMONTH(A60,0))</f>
        <v>0</v>
      </c>
      <c r="K60" s="21">
        <f>IF(J60=0,0,I60/J60)</f>
        <v>0</v>
      </c>
    </row>
    <row r="61" spans="1:11">
      <c r="A61" s="20">
        <v>45017</v>
      </c>
      <c r="B61" s="12">
        <f>SUMIFS('Trial Database'!$H$2:$H$28727,'Trial Database'!$J$2:$J$28727,"&gt;="&amp;DATE(2023,4,1),'Trial Database'!$J$2:$J$28727,"&lt;"&amp;DATE(2023,5,1),'Trial Database'!$E$2:$E$28727,"Early Phase 1")</f>
        <v>0</v>
      </c>
      <c r="C61" s="12">
        <f>SUMIFS('Trial Database'!$H$2:$H$28727,'Trial Database'!$J$2:$J$28727,"&gt;="&amp;DATE(2023,4,1),'Trial Database'!$J$2:$J$28727,"&lt;"&amp;DATE(2023,5,1),'Trial Database'!$E$2:$E$28727,"Phase 1")</f>
        <v>0</v>
      </c>
      <c r="D61" s="12">
        <f>SUMIFS('Trial Database'!$H$2:$H$28727,'Trial Database'!$J$2:$J$28727,"&gt;="&amp;DATE(2023,4,1),'Trial Database'!$J$2:$J$28727,"&lt;"&amp;DATE(2023,5,1),'Trial Database'!$E$2:$E$28727,"Phase 1/2")</f>
        <v>0</v>
      </c>
      <c r="E61" s="12">
        <f>SUMIFS('Trial Database'!$H$2:$H$28727,'Trial Database'!$J$2:$J$28727,"&gt;="&amp;DATE(2023,4,1),'Trial Database'!$J$2:$J$28727,"&lt;"&amp;DATE(2023,5,1),'Trial Database'!$E$2:$E$28727,"Phase 2")</f>
        <v>0</v>
      </c>
      <c r="F61" s="12">
        <f>SUMIFS('Trial Database'!$H$2:$H$28727,'Trial Database'!$J$2:$J$28727,"&gt;="&amp;DATE(2023,4,1),'Trial Database'!$J$2:$J$28727,"&lt;"&amp;DATE(2023,5,1),'Trial Database'!$E$2:$E$28727,"Phase 2/3")</f>
        <v>0</v>
      </c>
      <c r="G61" s="12">
        <f>SUMIFS('Trial Database'!$H$2:$H$28727,'Trial Database'!$J$2:$J$28727,"&gt;="&amp;DATE(2023,4,1),'Trial Database'!$J$2:$J$28727,"&lt;"&amp;DATE(2023,5,1),'Trial Database'!$E$2:$E$28727,"Phase 3")</f>
        <v>0</v>
      </c>
      <c r="H61" s="12">
        <f>SUMIFS('Trial Database'!$H$2:$H$28727,'Trial Database'!$J$2:$J$28727,"&gt;="&amp;DATE(2023,4,1),'Trial Database'!$J$2:$J$28727,"&lt;"&amp;DATE(2023,5,1),'Trial Database'!$E$2:$E$28727,"Phase 4")</f>
        <v>0</v>
      </c>
      <c r="I61" s="13">
        <f>SUM(B61:H61)</f>
        <v>0</v>
      </c>
      <c r="J61" s="12">
        <f>DAY(EOMONTH(A61,0))</f>
        <v>0</v>
      </c>
      <c r="K61" s="21">
        <f>IF(J61=0,0,I61/J61)</f>
        <v>0</v>
      </c>
    </row>
    <row r="62" spans="1:11">
      <c r="A62" s="20">
        <v>45047</v>
      </c>
      <c r="B62" s="12">
        <f>SUMIFS('Trial Database'!$H$2:$H$28727,'Trial Database'!$J$2:$J$28727,"&gt;="&amp;DATE(2023,5,1),'Trial Database'!$J$2:$J$28727,"&lt;"&amp;DATE(2023,6,1),'Trial Database'!$E$2:$E$28727,"Early Phase 1")</f>
        <v>0</v>
      </c>
      <c r="C62" s="12">
        <f>SUMIFS('Trial Database'!$H$2:$H$28727,'Trial Database'!$J$2:$J$28727,"&gt;="&amp;DATE(2023,5,1),'Trial Database'!$J$2:$J$28727,"&lt;"&amp;DATE(2023,6,1),'Trial Database'!$E$2:$E$28727,"Phase 1")</f>
        <v>0</v>
      </c>
      <c r="D62" s="12">
        <f>SUMIFS('Trial Database'!$H$2:$H$28727,'Trial Database'!$J$2:$J$28727,"&gt;="&amp;DATE(2023,5,1),'Trial Database'!$J$2:$J$28727,"&lt;"&amp;DATE(2023,6,1),'Trial Database'!$E$2:$E$28727,"Phase 1/2")</f>
        <v>0</v>
      </c>
      <c r="E62" s="12">
        <f>SUMIFS('Trial Database'!$H$2:$H$28727,'Trial Database'!$J$2:$J$28727,"&gt;="&amp;DATE(2023,5,1),'Trial Database'!$J$2:$J$28727,"&lt;"&amp;DATE(2023,6,1),'Trial Database'!$E$2:$E$28727,"Phase 2")</f>
        <v>0</v>
      </c>
      <c r="F62" s="12">
        <f>SUMIFS('Trial Database'!$H$2:$H$28727,'Trial Database'!$J$2:$J$28727,"&gt;="&amp;DATE(2023,5,1),'Trial Database'!$J$2:$J$28727,"&lt;"&amp;DATE(2023,6,1),'Trial Database'!$E$2:$E$28727,"Phase 2/3")</f>
        <v>0</v>
      </c>
      <c r="G62" s="12">
        <f>SUMIFS('Trial Database'!$H$2:$H$28727,'Trial Database'!$J$2:$J$28727,"&gt;="&amp;DATE(2023,5,1),'Trial Database'!$J$2:$J$28727,"&lt;"&amp;DATE(2023,6,1),'Trial Database'!$E$2:$E$28727,"Phase 3")</f>
        <v>0</v>
      </c>
      <c r="H62" s="12">
        <f>SUMIFS('Trial Database'!$H$2:$H$28727,'Trial Database'!$J$2:$J$28727,"&gt;="&amp;DATE(2023,5,1),'Trial Database'!$J$2:$J$28727,"&lt;"&amp;DATE(2023,6,1),'Trial Database'!$E$2:$E$28727,"Phase 4")</f>
        <v>0</v>
      </c>
      <c r="I62" s="13">
        <f>SUM(B62:H62)</f>
        <v>0</v>
      </c>
      <c r="J62" s="12">
        <f>DAY(EOMONTH(A62,0))</f>
        <v>0</v>
      </c>
      <c r="K62" s="21">
        <f>IF(J62=0,0,I62/J62)</f>
        <v>0</v>
      </c>
    </row>
    <row r="63" spans="1:11">
      <c r="A63" s="20">
        <v>45078</v>
      </c>
      <c r="B63" s="12">
        <f>SUMIFS('Trial Database'!$H$2:$H$28727,'Trial Database'!$J$2:$J$28727,"&gt;="&amp;DATE(2023,6,1),'Trial Database'!$J$2:$J$28727,"&lt;"&amp;DATE(2023,7,1),'Trial Database'!$E$2:$E$28727,"Early Phase 1")</f>
        <v>0</v>
      </c>
      <c r="C63" s="12">
        <f>SUMIFS('Trial Database'!$H$2:$H$28727,'Trial Database'!$J$2:$J$28727,"&gt;="&amp;DATE(2023,6,1),'Trial Database'!$J$2:$J$28727,"&lt;"&amp;DATE(2023,7,1),'Trial Database'!$E$2:$E$28727,"Phase 1")</f>
        <v>0</v>
      </c>
      <c r="D63" s="12">
        <f>SUMIFS('Trial Database'!$H$2:$H$28727,'Trial Database'!$J$2:$J$28727,"&gt;="&amp;DATE(2023,6,1),'Trial Database'!$J$2:$J$28727,"&lt;"&amp;DATE(2023,7,1),'Trial Database'!$E$2:$E$28727,"Phase 1/2")</f>
        <v>0</v>
      </c>
      <c r="E63" s="12">
        <f>SUMIFS('Trial Database'!$H$2:$H$28727,'Trial Database'!$J$2:$J$28727,"&gt;="&amp;DATE(2023,6,1),'Trial Database'!$J$2:$J$28727,"&lt;"&amp;DATE(2023,7,1),'Trial Database'!$E$2:$E$28727,"Phase 2")</f>
        <v>0</v>
      </c>
      <c r="F63" s="12">
        <f>SUMIFS('Trial Database'!$H$2:$H$28727,'Trial Database'!$J$2:$J$28727,"&gt;="&amp;DATE(2023,6,1),'Trial Database'!$J$2:$J$28727,"&lt;"&amp;DATE(2023,7,1),'Trial Database'!$E$2:$E$28727,"Phase 2/3")</f>
        <v>0</v>
      </c>
      <c r="G63" s="12">
        <f>SUMIFS('Trial Database'!$H$2:$H$28727,'Trial Database'!$J$2:$J$28727,"&gt;="&amp;DATE(2023,6,1),'Trial Database'!$J$2:$J$28727,"&lt;"&amp;DATE(2023,7,1),'Trial Database'!$E$2:$E$28727,"Phase 3")</f>
        <v>0</v>
      </c>
      <c r="H63" s="12">
        <f>SUMIFS('Trial Database'!$H$2:$H$28727,'Trial Database'!$J$2:$J$28727,"&gt;="&amp;DATE(2023,6,1),'Trial Database'!$J$2:$J$28727,"&lt;"&amp;DATE(2023,7,1),'Trial Database'!$E$2:$E$28727,"Phase 4")</f>
        <v>0</v>
      </c>
      <c r="I63" s="13">
        <f>SUM(B63:H63)</f>
        <v>0</v>
      </c>
      <c r="J63" s="12">
        <f>DAY(EOMONTH(A63,0))</f>
        <v>0</v>
      </c>
      <c r="K63" s="21">
        <f>IF(J63=0,0,I63/J63)</f>
        <v>0</v>
      </c>
    </row>
    <row r="64" spans="1:11">
      <c r="A64" s="20">
        <v>45108</v>
      </c>
      <c r="B64" s="12">
        <f>SUMIFS('Trial Database'!$H$2:$H$28727,'Trial Database'!$J$2:$J$28727,"&gt;="&amp;DATE(2023,7,1),'Trial Database'!$J$2:$J$28727,"&lt;"&amp;DATE(2023,8,1),'Trial Database'!$E$2:$E$28727,"Early Phase 1")</f>
        <v>0</v>
      </c>
      <c r="C64" s="12">
        <f>SUMIFS('Trial Database'!$H$2:$H$28727,'Trial Database'!$J$2:$J$28727,"&gt;="&amp;DATE(2023,7,1),'Trial Database'!$J$2:$J$28727,"&lt;"&amp;DATE(2023,8,1),'Trial Database'!$E$2:$E$28727,"Phase 1")</f>
        <v>0</v>
      </c>
      <c r="D64" s="12">
        <f>SUMIFS('Trial Database'!$H$2:$H$28727,'Trial Database'!$J$2:$J$28727,"&gt;="&amp;DATE(2023,7,1),'Trial Database'!$J$2:$J$28727,"&lt;"&amp;DATE(2023,8,1),'Trial Database'!$E$2:$E$28727,"Phase 1/2")</f>
        <v>0</v>
      </c>
      <c r="E64" s="12">
        <f>SUMIFS('Trial Database'!$H$2:$H$28727,'Trial Database'!$J$2:$J$28727,"&gt;="&amp;DATE(2023,7,1),'Trial Database'!$J$2:$J$28727,"&lt;"&amp;DATE(2023,8,1),'Trial Database'!$E$2:$E$28727,"Phase 2")</f>
        <v>0</v>
      </c>
      <c r="F64" s="12">
        <f>SUMIFS('Trial Database'!$H$2:$H$28727,'Trial Database'!$J$2:$J$28727,"&gt;="&amp;DATE(2023,7,1),'Trial Database'!$J$2:$J$28727,"&lt;"&amp;DATE(2023,8,1),'Trial Database'!$E$2:$E$28727,"Phase 2/3")</f>
        <v>0</v>
      </c>
      <c r="G64" s="12">
        <f>SUMIFS('Trial Database'!$H$2:$H$28727,'Trial Database'!$J$2:$J$28727,"&gt;="&amp;DATE(2023,7,1),'Trial Database'!$J$2:$J$28727,"&lt;"&amp;DATE(2023,8,1),'Trial Database'!$E$2:$E$28727,"Phase 3")</f>
        <v>0</v>
      </c>
      <c r="H64" s="12">
        <f>SUMIFS('Trial Database'!$H$2:$H$28727,'Trial Database'!$J$2:$J$28727,"&gt;="&amp;DATE(2023,7,1),'Trial Database'!$J$2:$J$28727,"&lt;"&amp;DATE(2023,8,1),'Trial Database'!$E$2:$E$28727,"Phase 4")</f>
        <v>0</v>
      </c>
      <c r="I64" s="13">
        <f>SUM(B64:H64)</f>
        <v>0</v>
      </c>
      <c r="J64" s="12">
        <f>DAY(EOMONTH(A64,0))</f>
        <v>0</v>
      </c>
      <c r="K64" s="21">
        <f>IF(J64=0,0,I64/J64)</f>
        <v>0</v>
      </c>
    </row>
    <row r="65" spans="1:11">
      <c r="A65" s="20">
        <v>45139</v>
      </c>
      <c r="B65" s="12">
        <f>SUMIFS('Trial Database'!$H$2:$H$28727,'Trial Database'!$J$2:$J$28727,"&gt;="&amp;DATE(2023,8,1),'Trial Database'!$J$2:$J$28727,"&lt;"&amp;DATE(2023,9,1),'Trial Database'!$E$2:$E$28727,"Early Phase 1")</f>
        <v>0</v>
      </c>
      <c r="C65" s="12">
        <f>SUMIFS('Trial Database'!$H$2:$H$28727,'Trial Database'!$J$2:$J$28727,"&gt;="&amp;DATE(2023,8,1),'Trial Database'!$J$2:$J$28727,"&lt;"&amp;DATE(2023,9,1),'Trial Database'!$E$2:$E$28727,"Phase 1")</f>
        <v>0</v>
      </c>
      <c r="D65" s="12">
        <f>SUMIFS('Trial Database'!$H$2:$H$28727,'Trial Database'!$J$2:$J$28727,"&gt;="&amp;DATE(2023,8,1),'Trial Database'!$J$2:$J$28727,"&lt;"&amp;DATE(2023,9,1),'Trial Database'!$E$2:$E$28727,"Phase 1/2")</f>
        <v>0</v>
      </c>
      <c r="E65" s="12">
        <f>SUMIFS('Trial Database'!$H$2:$H$28727,'Trial Database'!$J$2:$J$28727,"&gt;="&amp;DATE(2023,8,1),'Trial Database'!$J$2:$J$28727,"&lt;"&amp;DATE(2023,9,1),'Trial Database'!$E$2:$E$28727,"Phase 2")</f>
        <v>0</v>
      </c>
      <c r="F65" s="12">
        <f>SUMIFS('Trial Database'!$H$2:$H$28727,'Trial Database'!$J$2:$J$28727,"&gt;="&amp;DATE(2023,8,1),'Trial Database'!$J$2:$J$28727,"&lt;"&amp;DATE(2023,9,1),'Trial Database'!$E$2:$E$28727,"Phase 2/3")</f>
        <v>0</v>
      </c>
      <c r="G65" s="12">
        <f>SUMIFS('Trial Database'!$H$2:$H$28727,'Trial Database'!$J$2:$J$28727,"&gt;="&amp;DATE(2023,8,1),'Trial Database'!$J$2:$J$28727,"&lt;"&amp;DATE(2023,9,1),'Trial Database'!$E$2:$E$28727,"Phase 3")</f>
        <v>0</v>
      </c>
      <c r="H65" s="12">
        <f>SUMIFS('Trial Database'!$H$2:$H$28727,'Trial Database'!$J$2:$J$28727,"&gt;="&amp;DATE(2023,8,1),'Trial Database'!$J$2:$J$28727,"&lt;"&amp;DATE(2023,9,1),'Trial Database'!$E$2:$E$28727,"Phase 4")</f>
        <v>0</v>
      </c>
      <c r="I65" s="13">
        <f>SUM(B65:H65)</f>
        <v>0</v>
      </c>
      <c r="J65" s="12">
        <f>DAY(EOMONTH(A65,0))</f>
        <v>0</v>
      </c>
      <c r="K65" s="21">
        <f>IF(J65=0,0,I65/J65)</f>
        <v>0</v>
      </c>
    </row>
    <row r="66" spans="1:11">
      <c r="A66" s="20">
        <v>45170</v>
      </c>
      <c r="B66" s="12">
        <f>SUMIFS('Trial Database'!$H$2:$H$28727,'Trial Database'!$J$2:$J$28727,"&gt;="&amp;DATE(2023,9,1),'Trial Database'!$J$2:$J$28727,"&lt;"&amp;DATE(2023,10,1),'Trial Database'!$E$2:$E$28727,"Early Phase 1")</f>
        <v>0</v>
      </c>
      <c r="C66" s="12">
        <f>SUMIFS('Trial Database'!$H$2:$H$28727,'Trial Database'!$J$2:$J$28727,"&gt;="&amp;DATE(2023,9,1),'Trial Database'!$J$2:$J$28727,"&lt;"&amp;DATE(2023,10,1),'Trial Database'!$E$2:$E$28727,"Phase 1")</f>
        <v>0</v>
      </c>
      <c r="D66" s="12">
        <f>SUMIFS('Trial Database'!$H$2:$H$28727,'Trial Database'!$J$2:$J$28727,"&gt;="&amp;DATE(2023,9,1),'Trial Database'!$J$2:$J$28727,"&lt;"&amp;DATE(2023,10,1),'Trial Database'!$E$2:$E$28727,"Phase 1/2")</f>
        <v>0</v>
      </c>
      <c r="E66" s="12">
        <f>SUMIFS('Trial Database'!$H$2:$H$28727,'Trial Database'!$J$2:$J$28727,"&gt;="&amp;DATE(2023,9,1),'Trial Database'!$J$2:$J$28727,"&lt;"&amp;DATE(2023,10,1),'Trial Database'!$E$2:$E$28727,"Phase 2")</f>
        <v>0</v>
      </c>
      <c r="F66" s="12">
        <f>SUMIFS('Trial Database'!$H$2:$H$28727,'Trial Database'!$J$2:$J$28727,"&gt;="&amp;DATE(2023,9,1),'Trial Database'!$J$2:$J$28727,"&lt;"&amp;DATE(2023,10,1),'Trial Database'!$E$2:$E$28727,"Phase 2/3")</f>
        <v>0</v>
      </c>
      <c r="G66" s="12">
        <f>SUMIFS('Trial Database'!$H$2:$H$28727,'Trial Database'!$J$2:$J$28727,"&gt;="&amp;DATE(2023,9,1),'Trial Database'!$J$2:$J$28727,"&lt;"&amp;DATE(2023,10,1),'Trial Database'!$E$2:$E$28727,"Phase 3")</f>
        <v>0</v>
      </c>
      <c r="H66" s="12">
        <f>SUMIFS('Trial Database'!$H$2:$H$28727,'Trial Database'!$J$2:$J$28727,"&gt;="&amp;DATE(2023,9,1),'Trial Database'!$J$2:$J$28727,"&lt;"&amp;DATE(2023,10,1),'Trial Database'!$E$2:$E$28727,"Phase 4")</f>
        <v>0</v>
      </c>
      <c r="I66" s="13">
        <f>SUM(B66:H66)</f>
        <v>0</v>
      </c>
      <c r="J66" s="12">
        <f>DAY(EOMONTH(A66,0))</f>
        <v>0</v>
      </c>
      <c r="K66" s="21">
        <f>IF(J66=0,0,I66/J66)</f>
        <v>0</v>
      </c>
    </row>
    <row r="67" spans="1:11">
      <c r="A67" s="20">
        <v>45200</v>
      </c>
      <c r="B67" s="12">
        <f>SUMIFS('Trial Database'!$H$2:$H$28727,'Trial Database'!$J$2:$J$28727,"&gt;="&amp;DATE(2023,10,1),'Trial Database'!$J$2:$J$28727,"&lt;"&amp;DATE(2023,11,1),'Trial Database'!$E$2:$E$28727,"Early Phase 1")</f>
        <v>0</v>
      </c>
      <c r="C67" s="12">
        <f>SUMIFS('Trial Database'!$H$2:$H$28727,'Trial Database'!$J$2:$J$28727,"&gt;="&amp;DATE(2023,10,1),'Trial Database'!$J$2:$J$28727,"&lt;"&amp;DATE(2023,11,1),'Trial Database'!$E$2:$E$28727,"Phase 1")</f>
        <v>0</v>
      </c>
      <c r="D67" s="12">
        <f>SUMIFS('Trial Database'!$H$2:$H$28727,'Trial Database'!$J$2:$J$28727,"&gt;="&amp;DATE(2023,10,1),'Trial Database'!$J$2:$J$28727,"&lt;"&amp;DATE(2023,11,1),'Trial Database'!$E$2:$E$28727,"Phase 1/2")</f>
        <v>0</v>
      </c>
      <c r="E67" s="12">
        <f>SUMIFS('Trial Database'!$H$2:$H$28727,'Trial Database'!$J$2:$J$28727,"&gt;="&amp;DATE(2023,10,1),'Trial Database'!$J$2:$J$28727,"&lt;"&amp;DATE(2023,11,1),'Trial Database'!$E$2:$E$28727,"Phase 2")</f>
        <v>0</v>
      </c>
      <c r="F67" s="12">
        <f>SUMIFS('Trial Database'!$H$2:$H$28727,'Trial Database'!$J$2:$J$28727,"&gt;="&amp;DATE(2023,10,1),'Trial Database'!$J$2:$J$28727,"&lt;"&amp;DATE(2023,11,1),'Trial Database'!$E$2:$E$28727,"Phase 2/3")</f>
        <v>0</v>
      </c>
      <c r="G67" s="12">
        <f>SUMIFS('Trial Database'!$H$2:$H$28727,'Trial Database'!$J$2:$J$28727,"&gt;="&amp;DATE(2023,10,1),'Trial Database'!$J$2:$J$28727,"&lt;"&amp;DATE(2023,11,1),'Trial Database'!$E$2:$E$28727,"Phase 3")</f>
        <v>0</v>
      </c>
      <c r="H67" s="12">
        <f>SUMIFS('Trial Database'!$H$2:$H$28727,'Trial Database'!$J$2:$J$28727,"&gt;="&amp;DATE(2023,10,1),'Trial Database'!$J$2:$J$28727,"&lt;"&amp;DATE(2023,11,1),'Trial Database'!$E$2:$E$28727,"Phase 4")</f>
        <v>0</v>
      </c>
      <c r="I67" s="13">
        <f>SUM(B67:H67)</f>
        <v>0</v>
      </c>
      <c r="J67" s="12">
        <f>DAY(EOMONTH(A67,0))</f>
        <v>0</v>
      </c>
      <c r="K67" s="21">
        <f>IF(J67=0,0,I67/J67)</f>
        <v>0</v>
      </c>
    </row>
    <row r="68" spans="1:11">
      <c r="A68" s="20">
        <v>45231</v>
      </c>
      <c r="B68" s="12">
        <f>SUMIFS('Trial Database'!$H$2:$H$28727,'Trial Database'!$J$2:$J$28727,"&gt;="&amp;DATE(2023,11,1),'Trial Database'!$J$2:$J$28727,"&lt;"&amp;DATE(2023,12,1),'Trial Database'!$E$2:$E$28727,"Early Phase 1")</f>
        <v>0</v>
      </c>
      <c r="C68" s="12">
        <f>SUMIFS('Trial Database'!$H$2:$H$28727,'Trial Database'!$J$2:$J$28727,"&gt;="&amp;DATE(2023,11,1),'Trial Database'!$J$2:$J$28727,"&lt;"&amp;DATE(2023,12,1),'Trial Database'!$E$2:$E$28727,"Phase 1")</f>
        <v>0</v>
      </c>
      <c r="D68" s="12">
        <f>SUMIFS('Trial Database'!$H$2:$H$28727,'Trial Database'!$J$2:$J$28727,"&gt;="&amp;DATE(2023,11,1),'Trial Database'!$J$2:$J$28727,"&lt;"&amp;DATE(2023,12,1),'Trial Database'!$E$2:$E$28727,"Phase 1/2")</f>
        <v>0</v>
      </c>
      <c r="E68" s="12">
        <f>SUMIFS('Trial Database'!$H$2:$H$28727,'Trial Database'!$J$2:$J$28727,"&gt;="&amp;DATE(2023,11,1),'Trial Database'!$J$2:$J$28727,"&lt;"&amp;DATE(2023,12,1),'Trial Database'!$E$2:$E$28727,"Phase 2")</f>
        <v>0</v>
      </c>
      <c r="F68" s="12">
        <f>SUMIFS('Trial Database'!$H$2:$H$28727,'Trial Database'!$J$2:$J$28727,"&gt;="&amp;DATE(2023,11,1),'Trial Database'!$J$2:$J$28727,"&lt;"&amp;DATE(2023,12,1),'Trial Database'!$E$2:$E$28727,"Phase 2/3")</f>
        <v>0</v>
      </c>
      <c r="G68" s="12">
        <f>SUMIFS('Trial Database'!$H$2:$H$28727,'Trial Database'!$J$2:$J$28727,"&gt;="&amp;DATE(2023,11,1),'Trial Database'!$J$2:$J$28727,"&lt;"&amp;DATE(2023,12,1),'Trial Database'!$E$2:$E$28727,"Phase 3")</f>
        <v>0</v>
      </c>
      <c r="H68" s="12">
        <f>SUMIFS('Trial Database'!$H$2:$H$28727,'Trial Database'!$J$2:$J$28727,"&gt;="&amp;DATE(2023,11,1),'Trial Database'!$J$2:$J$28727,"&lt;"&amp;DATE(2023,12,1),'Trial Database'!$E$2:$E$28727,"Phase 4")</f>
        <v>0</v>
      </c>
      <c r="I68" s="13">
        <f>SUM(B68:H68)</f>
        <v>0</v>
      </c>
      <c r="J68" s="12">
        <f>DAY(EOMONTH(A68,0))</f>
        <v>0</v>
      </c>
      <c r="K68" s="21">
        <f>IF(J68=0,0,I68/J68)</f>
        <v>0</v>
      </c>
    </row>
    <row r="69" spans="1:11">
      <c r="A69" s="20">
        <v>45261</v>
      </c>
      <c r="B69" s="12">
        <f>SUMIFS('Trial Database'!$H$2:$H$28727,'Trial Database'!$J$2:$J$28727,"&gt;="&amp;DATE(2023,12,1),'Trial Database'!$J$2:$J$28727,"&lt;"&amp;DATE(2023,13,1),'Trial Database'!$E$2:$E$28727,"Early Phase 1")</f>
        <v>0</v>
      </c>
      <c r="C69" s="12">
        <f>SUMIFS('Trial Database'!$H$2:$H$28727,'Trial Database'!$J$2:$J$28727,"&gt;="&amp;DATE(2023,12,1),'Trial Database'!$J$2:$J$28727,"&lt;"&amp;DATE(2023,13,1),'Trial Database'!$E$2:$E$28727,"Phase 1")</f>
        <v>0</v>
      </c>
      <c r="D69" s="12">
        <f>SUMIFS('Trial Database'!$H$2:$H$28727,'Trial Database'!$J$2:$J$28727,"&gt;="&amp;DATE(2023,12,1),'Trial Database'!$J$2:$J$28727,"&lt;"&amp;DATE(2023,13,1),'Trial Database'!$E$2:$E$28727,"Phase 1/2")</f>
        <v>0</v>
      </c>
      <c r="E69" s="12">
        <f>SUMIFS('Trial Database'!$H$2:$H$28727,'Trial Database'!$J$2:$J$28727,"&gt;="&amp;DATE(2023,12,1),'Trial Database'!$J$2:$J$28727,"&lt;"&amp;DATE(2023,13,1),'Trial Database'!$E$2:$E$28727,"Phase 2")</f>
        <v>0</v>
      </c>
      <c r="F69" s="12">
        <f>SUMIFS('Trial Database'!$H$2:$H$28727,'Trial Database'!$J$2:$J$28727,"&gt;="&amp;DATE(2023,12,1),'Trial Database'!$J$2:$J$28727,"&lt;"&amp;DATE(2023,13,1),'Trial Database'!$E$2:$E$28727,"Phase 2/3")</f>
        <v>0</v>
      </c>
      <c r="G69" s="12">
        <f>SUMIFS('Trial Database'!$H$2:$H$28727,'Trial Database'!$J$2:$J$28727,"&gt;="&amp;DATE(2023,12,1),'Trial Database'!$J$2:$J$28727,"&lt;"&amp;DATE(2023,13,1),'Trial Database'!$E$2:$E$28727,"Phase 3")</f>
        <v>0</v>
      </c>
      <c r="H69" s="12">
        <f>SUMIFS('Trial Database'!$H$2:$H$28727,'Trial Database'!$J$2:$J$28727,"&gt;="&amp;DATE(2023,12,1),'Trial Database'!$J$2:$J$28727,"&lt;"&amp;DATE(2023,13,1),'Trial Database'!$E$2:$E$28727,"Phase 4")</f>
        <v>0</v>
      </c>
      <c r="I69" s="13">
        <f>SUM(B69:H69)</f>
        <v>0</v>
      </c>
      <c r="J69" s="12">
        <f>DAY(EOMONTH(A69,0))</f>
        <v>0</v>
      </c>
      <c r="K69" s="21">
        <f>IF(J69=0,0,I69/J69)</f>
        <v>0</v>
      </c>
    </row>
    <row r="70" spans="1:11">
      <c r="A70" s="20">
        <v>45292</v>
      </c>
      <c r="B70" s="12">
        <f>SUMIFS('Trial Database'!$H$2:$H$28727,'Trial Database'!$J$2:$J$28727,"&gt;="&amp;DATE(2024,1,1),'Trial Database'!$J$2:$J$28727,"&lt;"&amp;DATE(2024,2,1),'Trial Database'!$E$2:$E$28727,"Early Phase 1")</f>
        <v>0</v>
      </c>
      <c r="C70" s="12">
        <f>SUMIFS('Trial Database'!$H$2:$H$28727,'Trial Database'!$J$2:$J$28727,"&gt;="&amp;DATE(2024,1,1),'Trial Database'!$J$2:$J$28727,"&lt;"&amp;DATE(2024,2,1),'Trial Database'!$E$2:$E$28727,"Phase 1")</f>
        <v>0</v>
      </c>
      <c r="D70" s="12">
        <f>SUMIFS('Trial Database'!$H$2:$H$28727,'Trial Database'!$J$2:$J$28727,"&gt;="&amp;DATE(2024,1,1),'Trial Database'!$J$2:$J$28727,"&lt;"&amp;DATE(2024,2,1),'Trial Database'!$E$2:$E$28727,"Phase 1/2")</f>
        <v>0</v>
      </c>
      <c r="E70" s="12">
        <f>SUMIFS('Trial Database'!$H$2:$H$28727,'Trial Database'!$J$2:$J$28727,"&gt;="&amp;DATE(2024,1,1),'Trial Database'!$J$2:$J$28727,"&lt;"&amp;DATE(2024,2,1),'Trial Database'!$E$2:$E$28727,"Phase 2")</f>
        <v>0</v>
      </c>
      <c r="F70" s="12">
        <f>SUMIFS('Trial Database'!$H$2:$H$28727,'Trial Database'!$J$2:$J$28727,"&gt;="&amp;DATE(2024,1,1),'Trial Database'!$J$2:$J$28727,"&lt;"&amp;DATE(2024,2,1),'Trial Database'!$E$2:$E$28727,"Phase 2/3")</f>
        <v>0</v>
      </c>
      <c r="G70" s="12">
        <f>SUMIFS('Trial Database'!$H$2:$H$28727,'Trial Database'!$J$2:$J$28727,"&gt;="&amp;DATE(2024,1,1),'Trial Database'!$J$2:$J$28727,"&lt;"&amp;DATE(2024,2,1),'Trial Database'!$E$2:$E$28727,"Phase 3")</f>
        <v>0</v>
      </c>
      <c r="H70" s="12">
        <f>SUMIFS('Trial Database'!$H$2:$H$28727,'Trial Database'!$J$2:$J$28727,"&gt;="&amp;DATE(2024,1,1),'Trial Database'!$J$2:$J$28727,"&lt;"&amp;DATE(2024,2,1),'Trial Database'!$E$2:$E$28727,"Phase 4")</f>
        <v>0</v>
      </c>
      <c r="I70" s="13">
        <f>SUM(B70:H70)</f>
        <v>0</v>
      </c>
      <c r="J70" s="12">
        <f>DAY(EOMONTH(A70,0))</f>
        <v>0</v>
      </c>
      <c r="K70" s="21">
        <f>IF(J70=0,0,I70/J70)</f>
        <v>0</v>
      </c>
    </row>
    <row r="71" spans="1:11">
      <c r="A71" s="20">
        <v>45323</v>
      </c>
      <c r="B71" s="12">
        <f>SUMIFS('Trial Database'!$H$2:$H$28727,'Trial Database'!$J$2:$J$28727,"&gt;="&amp;DATE(2024,2,1),'Trial Database'!$J$2:$J$28727,"&lt;"&amp;DATE(2024,3,1),'Trial Database'!$E$2:$E$28727,"Early Phase 1")</f>
        <v>0</v>
      </c>
      <c r="C71" s="12">
        <f>SUMIFS('Trial Database'!$H$2:$H$28727,'Trial Database'!$J$2:$J$28727,"&gt;="&amp;DATE(2024,2,1),'Trial Database'!$J$2:$J$28727,"&lt;"&amp;DATE(2024,3,1),'Trial Database'!$E$2:$E$28727,"Phase 1")</f>
        <v>0</v>
      </c>
      <c r="D71" s="12">
        <f>SUMIFS('Trial Database'!$H$2:$H$28727,'Trial Database'!$J$2:$J$28727,"&gt;="&amp;DATE(2024,2,1),'Trial Database'!$J$2:$J$28727,"&lt;"&amp;DATE(2024,3,1),'Trial Database'!$E$2:$E$28727,"Phase 1/2")</f>
        <v>0</v>
      </c>
      <c r="E71" s="12">
        <f>SUMIFS('Trial Database'!$H$2:$H$28727,'Trial Database'!$J$2:$J$28727,"&gt;="&amp;DATE(2024,2,1),'Trial Database'!$J$2:$J$28727,"&lt;"&amp;DATE(2024,3,1),'Trial Database'!$E$2:$E$28727,"Phase 2")</f>
        <v>0</v>
      </c>
      <c r="F71" s="12">
        <f>SUMIFS('Trial Database'!$H$2:$H$28727,'Trial Database'!$J$2:$J$28727,"&gt;="&amp;DATE(2024,2,1),'Trial Database'!$J$2:$J$28727,"&lt;"&amp;DATE(2024,3,1),'Trial Database'!$E$2:$E$28727,"Phase 2/3")</f>
        <v>0</v>
      </c>
      <c r="G71" s="12">
        <f>SUMIFS('Trial Database'!$H$2:$H$28727,'Trial Database'!$J$2:$J$28727,"&gt;="&amp;DATE(2024,2,1),'Trial Database'!$J$2:$J$28727,"&lt;"&amp;DATE(2024,3,1),'Trial Database'!$E$2:$E$28727,"Phase 3")</f>
        <v>0</v>
      </c>
      <c r="H71" s="12">
        <f>SUMIFS('Trial Database'!$H$2:$H$28727,'Trial Database'!$J$2:$J$28727,"&gt;="&amp;DATE(2024,2,1),'Trial Database'!$J$2:$J$28727,"&lt;"&amp;DATE(2024,3,1),'Trial Database'!$E$2:$E$28727,"Phase 4")</f>
        <v>0</v>
      </c>
      <c r="I71" s="13">
        <f>SUM(B71:H71)</f>
        <v>0</v>
      </c>
      <c r="J71" s="12">
        <f>DAY(EOMONTH(A71,0))</f>
        <v>0</v>
      </c>
      <c r="K71" s="21">
        <f>IF(J71=0,0,I71/J71)</f>
        <v>0</v>
      </c>
    </row>
    <row r="72" spans="1:11">
      <c r="A72" s="20">
        <v>45352</v>
      </c>
      <c r="B72" s="12">
        <f>SUMIFS('Trial Database'!$H$2:$H$28727,'Trial Database'!$J$2:$J$28727,"&gt;="&amp;DATE(2024,3,1),'Trial Database'!$J$2:$J$28727,"&lt;"&amp;DATE(2024,4,1),'Trial Database'!$E$2:$E$28727,"Early Phase 1")</f>
        <v>0</v>
      </c>
      <c r="C72" s="12">
        <f>SUMIFS('Trial Database'!$H$2:$H$28727,'Trial Database'!$J$2:$J$28727,"&gt;="&amp;DATE(2024,3,1),'Trial Database'!$J$2:$J$28727,"&lt;"&amp;DATE(2024,4,1),'Trial Database'!$E$2:$E$28727,"Phase 1")</f>
        <v>0</v>
      </c>
      <c r="D72" s="12">
        <f>SUMIFS('Trial Database'!$H$2:$H$28727,'Trial Database'!$J$2:$J$28727,"&gt;="&amp;DATE(2024,3,1),'Trial Database'!$J$2:$J$28727,"&lt;"&amp;DATE(2024,4,1),'Trial Database'!$E$2:$E$28727,"Phase 1/2")</f>
        <v>0</v>
      </c>
      <c r="E72" s="12">
        <f>SUMIFS('Trial Database'!$H$2:$H$28727,'Trial Database'!$J$2:$J$28727,"&gt;="&amp;DATE(2024,3,1),'Trial Database'!$J$2:$J$28727,"&lt;"&amp;DATE(2024,4,1),'Trial Database'!$E$2:$E$28727,"Phase 2")</f>
        <v>0</v>
      </c>
      <c r="F72" s="12">
        <f>SUMIFS('Trial Database'!$H$2:$H$28727,'Trial Database'!$J$2:$J$28727,"&gt;="&amp;DATE(2024,3,1),'Trial Database'!$J$2:$J$28727,"&lt;"&amp;DATE(2024,4,1),'Trial Database'!$E$2:$E$28727,"Phase 2/3")</f>
        <v>0</v>
      </c>
      <c r="G72" s="12">
        <f>SUMIFS('Trial Database'!$H$2:$H$28727,'Trial Database'!$J$2:$J$28727,"&gt;="&amp;DATE(2024,3,1),'Trial Database'!$J$2:$J$28727,"&lt;"&amp;DATE(2024,4,1),'Trial Database'!$E$2:$E$28727,"Phase 3")</f>
        <v>0</v>
      </c>
      <c r="H72" s="12">
        <f>SUMIFS('Trial Database'!$H$2:$H$28727,'Trial Database'!$J$2:$J$28727,"&gt;="&amp;DATE(2024,3,1),'Trial Database'!$J$2:$J$28727,"&lt;"&amp;DATE(2024,4,1),'Trial Database'!$E$2:$E$28727,"Phase 4")</f>
        <v>0</v>
      </c>
      <c r="I72" s="13">
        <f>SUM(B72:H72)</f>
        <v>0</v>
      </c>
      <c r="J72" s="12">
        <f>DAY(EOMONTH(A72,0))</f>
        <v>0</v>
      </c>
      <c r="K72" s="21">
        <f>IF(J72=0,0,I72/J72)</f>
        <v>0</v>
      </c>
    </row>
    <row r="73" spans="1:11">
      <c r="A73" s="20">
        <v>45383</v>
      </c>
      <c r="B73" s="12">
        <f>SUMIFS('Trial Database'!$H$2:$H$28727,'Trial Database'!$J$2:$J$28727,"&gt;="&amp;DATE(2024,4,1),'Trial Database'!$J$2:$J$28727,"&lt;"&amp;DATE(2024,5,1),'Trial Database'!$E$2:$E$28727,"Early Phase 1")</f>
        <v>0</v>
      </c>
      <c r="C73" s="12">
        <f>SUMIFS('Trial Database'!$H$2:$H$28727,'Trial Database'!$J$2:$J$28727,"&gt;="&amp;DATE(2024,4,1),'Trial Database'!$J$2:$J$28727,"&lt;"&amp;DATE(2024,5,1),'Trial Database'!$E$2:$E$28727,"Phase 1")</f>
        <v>0</v>
      </c>
      <c r="D73" s="12">
        <f>SUMIFS('Trial Database'!$H$2:$H$28727,'Trial Database'!$J$2:$J$28727,"&gt;="&amp;DATE(2024,4,1),'Trial Database'!$J$2:$J$28727,"&lt;"&amp;DATE(2024,5,1),'Trial Database'!$E$2:$E$28727,"Phase 1/2")</f>
        <v>0</v>
      </c>
      <c r="E73" s="12">
        <f>SUMIFS('Trial Database'!$H$2:$H$28727,'Trial Database'!$J$2:$J$28727,"&gt;="&amp;DATE(2024,4,1),'Trial Database'!$J$2:$J$28727,"&lt;"&amp;DATE(2024,5,1),'Trial Database'!$E$2:$E$28727,"Phase 2")</f>
        <v>0</v>
      </c>
      <c r="F73" s="12">
        <f>SUMIFS('Trial Database'!$H$2:$H$28727,'Trial Database'!$J$2:$J$28727,"&gt;="&amp;DATE(2024,4,1),'Trial Database'!$J$2:$J$28727,"&lt;"&amp;DATE(2024,5,1),'Trial Database'!$E$2:$E$28727,"Phase 2/3")</f>
        <v>0</v>
      </c>
      <c r="G73" s="12">
        <f>SUMIFS('Trial Database'!$H$2:$H$28727,'Trial Database'!$J$2:$J$28727,"&gt;="&amp;DATE(2024,4,1),'Trial Database'!$J$2:$J$28727,"&lt;"&amp;DATE(2024,5,1),'Trial Database'!$E$2:$E$28727,"Phase 3")</f>
        <v>0</v>
      </c>
      <c r="H73" s="12">
        <f>SUMIFS('Trial Database'!$H$2:$H$28727,'Trial Database'!$J$2:$J$28727,"&gt;="&amp;DATE(2024,4,1),'Trial Database'!$J$2:$J$28727,"&lt;"&amp;DATE(2024,5,1),'Trial Database'!$E$2:$E$28727,"Phase 4")</f>
        <v>0</v>
      </c>
      <c r="I73" s="13">
        <f>SUM(B73:H73)</f>
        <v>0</v>
      </c>
      <c r="J73" s="12">
        <f>DAY(EOMONTH(A73,0))</f>
        <v>0</v>
      </c>
      <c r="K73" s="21">
        <f>IF(J73=0,0,I73/J73)</f>
        <v>0</v>
      </c>
    </row>
    <row r="74" spans="1:11">
      <c r="A74" s="20">
        <v>45413</v>
      </c>
      <c r="B74" s="12">
        <f>SUMIFS('Trial Database'!$H$2:$H$28727,'Trial Database'!$J$2:$J$28727,"&gt;="&amp;DATE(2024,5,1),'Trial Database'!$J$2:$J$28727,"&lt;"&amp;DATE(2024,6,1),'Trial Database'!$E$2:$E$28727,"Early Phase 1")</f>
        <v>0</v>
      </c>
      <c r="C74" s="12">
        <f>SUMIFS('Trial Database'!$H$2:$H$28727,'Trial Database'!$J$2:$J$28727,"&gt;="&amp;DATE(2024,5,1),'Trial Database'!$J$2:$J$28727,"&lt;"&amp;DATE(2024,6,1),'Trial Database'!$E$2:$E$28727,"Phase 1")</f>
        <v>0</v>
      </c>
      <c r="D74" s="12">
        <f>SUMIFS('Trial Database'!$H$2:$H$28727,'Trial Database'!$J$2:$J$28727,"&gt;="&amp;DATE(2024,5,1),'Trial Database'!$J$2:$J$28727,"&lt;"&amp;DATE(2024,6,1),'Trial Database'!$E$2:$E$28727,"Phase 1/2")</f>
        <v>0</v>
      </c>
      <c r="E74" s="12">
        <f>SUMIFS('Trial Database'!$H$2:$H$28727,'Trial Database'!$J$2:$J$28727,"&gt;="&amp;DATE(2024,5,1),'Trial Database'!$J$2:$J$28727,"&lt;"&amp;DATE(2024,6,1),'Trial Database'!$E$2:$E$28727,"Phase 2")</f>
        <v>0</v>
      </c>
      <c r="F74" s="12">
        <f>SUMIFS('Trial Database'!$H$2:$H$28727,'Trial Database'!$J$2:$J$28727,"&gt;="&amp;DATE(2024,5,1),'Trial Database'!$J$2:$J$28727,"&lt;"&amp;DATE(2024,6,1),'Trial Database'!$E$2:$E$28727,"Phase 2/3")</f>
        <v>0</v>
      </c>
      <c r="G74" s="12">
        <f>SUMIFS('Trial Database'!$H$2:$H$28727,'Trial Database'!$J$2:$J$28727,"&gt;="&amp;DATE(2024,5,1),'Trial Database'!$J$2:$J$28727,"&lt;"&amp;DATE(2024,6,1),'Trial Database'!$E$2:$E$28727,"Phase 3")</f>
        <v>0</v>
      </c>
      <c r="H74" s="12">
        <f>SUMIFS('Trial Database'!$H$2:$H$28727,'Trial Database'!$J$2:$J$28727,"&gt;="&amp;DATE(2024,5,1),'Trial Database'!$J$2:$J$28727,"&lt;"&amp;DATE(2024,6,1),'Trial Database'!$E$2:$E$28727,"Phase 4")</f>
        <v>0</v>
      </c>
      <c r="I74" s="13">
        <f>SUM(B74:H74)</f>
        <v>0</v>
      </c>
      <c r="J74" s="12">
        <f>DAY(EOMONTH(A74,0))</f>
        <v>0</v>
      </c>
      <c r="K74" s="21">
        <f>IF(J74=0,0,I74/J74)</f>
        <v>0</v>
      </c>
    </row>
    <row r="75" spans="1:11">
      <c r="A75" s="20">
        <v>45444</v>
      </c>
      <c r="B75" s="12">
        <f>SUMIFS('Trial Database'!$H$2:$H$28727,'Trial Database'!$J$2:$J$28727,"&gt;="&amp;DATE(2024,6,1),'Trial Database'!$J$2:$J$28727,"&lt;"&amp;DATE(2024,7,1),'Trial Database'!$E$2:$E$28727,"Early Phase 1")</f>
        <v>0</v>
      </c>
      <c r="C75" s="12">
        <f>SUMIFS('Trial Database'!$H$2:$H$28727,'Trial Database'!$J$2:$J$28727,"&gt;="&amp;DATE(2024,6,1),'Trial Database'!$J$2:$J$28727,"&lt;"&amp;DATE(2024,7,1),'Trial Database'!$E$2:$E$28727,"Phase 1")</f>
        <v>0</v>
      </c>
      <c r="D75" s="12">
        <f>SUMIFS('Trial Database'!$H$2:$H$28727,'Trial Database'!$J$2:$J$28727,"&gt;="&amp;DATE(2024,6,1),'Trial Database'!$J$2:$J$28727,"&lt;"&amp;DATE(2024,7,1),'Trial Database'!$E$2:$E$28727,"Phase 1/2")</f>
        <v>0</v>
      </c>
      <c r="E75" s="12">
        <f>SUMIFS('Trial Database'!$H$2:$H$28727,'Trial Database'!$J$2:$J$28727,"&gt;="&amp;DATE(2024,6,1),'Trial Database'!$J$2:$J$28727,"&lt;"&amp;DATE(2024,7,1),'Trial Database'!$E$2:$E$28727,"Phase 2")</f>
        <v>0</v>
      </c>
      <c r="F75" s="12">
        <f>SUMIFS('Trial Database'!$H$2:$H$28727,'Trial Database'!$J$2:$J$28727,"&gt;="&amp;DATE(2024,6,1),'Trial Database'!$J$2:$J$28727,"&lt;"&amp;DATE(2024,7,1),'Trial Database'!$E$2:$E$28727,"Phase 2/3")</f>
        <v>0</v>
      </c>
      <c r="G75" s="12">
        <f>SUMIFS('Trial Database'!$H$2:$H$28727,'Trial Database'!$J$2:$J$28727,"&gt;="&amp;DATE(2024,6,1),'Trial Database'!$J$2:$J$28727,"&lt;"&amp;DATE(2024,7,1),'Trial Database'!$E$2:$E$28727,"Phase 3")</f>
        <v>0</v>
      </c>
      <c r="H75" s="12">
        <f>SUMIFS('Trial Database'!$H$2:$H$28727,'Trial Database'!$J$2:$J$28727,"&gt;="&amp;DATE(2024,6,1),'Trial Database'!$J$2:$J$28727,"&lt;"&amp;DATE(2024,7,1),'Trial Database'!$E$2:$E$28727,"Phase 4")</f>
        <v>0</v>
      </c>
      <c r="I75" s="13">
        <f>SUM(B75:H75)</f>
        <v>0</v>
      </c>
      <c r="J75" s="12">
        <f>DAY(EOMONTH(A75,0))</f>
        <v>0</v>
      </c>
      <c r="K75" s="21">
        <f>IF(J75=0,0,I75/J75)</f>
        <v>0</v>
      </c>
    </row>
    <row r="76" spans="1:11">
      <c r="A76" s="20">
        <v>45474</v>
      </c>
      <c r="B76" s="12">
        <f>SUMIFS('Trial Database'!$H$2:$H$28727,'Trial Database'!$J$2:$J$28727,"&gt;="&amp;DATE(2024,7,1),'Trial Database'!$J$2:$J$28727,"&lt;"&amp;DATE(2024,8,1),'Trial Database'!$E$2:$E$28727,"Early Phase 1")</f>
        <v>0</v>
      </c>
      <c r="C76" s="12">
        <f>SUMIFS('Trial Database'!$H$2:$H$28727,'Trial Database'!$J$2:$J$28727,"&gt;="&amp;DATE(2024,7,1),'Trial Database'!$J$2:$J$28727,"&lt;"&amp;DATE(2024,8,1),'Trial Database'!$E$2:$E$28727,"Phase 1")</f>
        <v>0</v>
      </c>
      <c r="D76" s="12">
        <f>SUMIFS('Trial Database'!$H$2:$H$28727,'Trial Database'!$J$2:$J$28727,"&gt;="&amp;DATE(2024,7,1),'Trial Database'!$J$2:$J$28727,"&lt;"&amp;DATE(2024,8,1),'Trial Database'!$E$2:$E$28727,"Phase 1/2")</f>
        <v>0</v>
      </c>
      <c r="E76" s="12">
        <f>SUMIFS('Trial Database'!$H$2:$H$28727,'Trial Database'!$J$2:$J$28727,"&gt;="&amp;DATE(2024,7,1),'Trial Database'!$J$2:$J$28727,"&lt;"&amp;DATE(2024,8,1),'Trial Database'!$E$2:$E$28727,"Phase 2")</f>
        <v>0</v>
      </c>
      <c r="F76" s="12">
        <f>SUMIFS('Trial Database'!$H$2:$H$28727,'Trial Database'!$J$2:$J$28727,"&gt;="&amp;DATE(2024,7,1),'Trial Database'!$J$2:$J$28727,"&lt;"&amp;DATE(2024,8,1),'Trial Database'!$E$2:$E$28727,"Phase 2/3")</f>
        <v>0</v>
      </c>
      <c r="G76" s="12">
        <f>SUMIFS('Trial Database'!$H$2:$H$28727,'Trial Database'!$J$2:$J$28727,"&gt;="&amp;DATE(2024,7,1),'Trial Database'!$J$2:$J$28727,"&lt;"&amp;DATE(2024,8,1),'Trial Database'!$E$2:$E$28727,"Phase 3")</f>
        <v>0</v>
      </c>
      <c r="H76" s="12">
        <f>SUMIFS('Trial Database'!$H$2:$H$28727,'Trial Database'!$J$2:$J$28727,"&gt;="&amp;DATE(2024,7,1),'Trial Database'!$J$2:$J$28727,"&lt;"&amp;DATE(2024,8,1),'Trial Database'!$E$2:$E$28727,"Phase 4")</f>
        <v>0</v>
      </c>
      <c r="I76" s="13">
        <f>SUM(B76:H76)</f>
        <v>0</v>
      </c>
      <c r="J76" s="12">
        <f>DAY(EOMONTH(A76,0))</f>
        <v>0</v>
      </c>
      <c r="K76" s="21">
        <f>IF(J76=0,0,I76/J76)</f>
        <v>0</v>
      </c>
    </row>
    <row r="77" spans="1:11">
      <c r="A77" s="20">
        <v>45505</v>
      </c>
      <c r="B77" s="12">
        <f>SUMIFS('Trial Database'!$H$2:$H$28727,'Trial Database'!$J$2:$J$28727,"&gt;="&amp;DATE(2024,8,1),'Trial Database'!$J$2:$J$28727,"&lt;"&amp;DATE(2024,9,1),'Trial Database'!$E$2:$E$28727,"Early Phase 1")</f>
        <v>0</v>
      </c>
      <c r="C77" s="12">
        <f>SUMIFS('Trial Database'!$H$2:$H$28727,'Trial Database'!$J$2:$J$28727,"&gt;="&amp;DATE(2024,8,1),'Trial Database'!$J$2:$J$28727,"&lt;"&amp;DATE(2024,9,1),'Trial Database'!$E$2:$E$28727,"Phase 1")</f>
        <v>0</v>
      </c>
      <c r="D77" s="12">
        <f>SUMIFS('Trial Database'!$H$2:$H$28727,'Trial Database'!$J$2:$J$28727,"&gt;="&amp;DATE(2024,8,1),'Trial Database'!$J$2:$J$28727,"&lt;"&amp;DATE(2024,9,1),'Trial Database'!$E$2:$E$28727,"Phase 1/2")</f>
        <v>0</v>
      </c>
      <c r="E77" s="12">
        <f>SUMIFS('Trial Database'!$H$2:$H$28727,'Trial Database'!$J$2:$J$28727,"&gt;="&amp;DATE(2024,8,1),'Trial Database'!$J$2:$J$28727,"&lt;"&amp;DATE(2024,9,1),'Trial Database'!$E$2:$E$28727,"Phase 2")</f>
        <v>0</v>
      </c>
      <c r="F77" s="12">
        <f>SUMIFS('Trial Database'!$H$2:$H$28727,'Trial Database'!$J$2:$J$28727,"&gt;="&amp;DATE(2024,8,1),'Trial Database'!$J$2:$J$28727,"&lt;"&amp;DATE(2024,9,1),'Trial Database'!$E$2:$E$28727,"Phase 2/3")</f>
        <v>0</v>
      </c>
      <c r="G77" s="12">
        <f>SUMIFS('Trial Database'!$H$2:$H$28727,'Trial Database'!$J$2:$J$28727,"&gt;="&amp;DATE(2024,8,1),'Trial Database'!$J$2:$J$28727,"&lt;"&amp;DATE(2024,9,1),'Trial Database'!$E$2:$E$28727,"Phase 3")</f>
        <v>0</v>
      </c>
      <c r="H77" s="12">
        <f>SUMIFS('Trial Database'!$H$2:$H$28727,'Trial Database'!$J$2:$J$28727,"&gt;="&amp;DATE(2024,8,1),'Trial Database'!$J$2:$J$28727,"&lt;"&amp;DATE(2024,9,1),'Trial Database'!$E$2:$E$28727,"Phase 4")</f>
        <v>0</v>
      </c>
      <c r="I77" s="13">
        <f>SUM(B77:H77)</f>
        <v>0</v>
      </c>
      <c r="J77" s="12">
        <f>DAY(EOMONTH(A77,0))</f>
        <v>0</v>
      </c>
      <c r="K77" s="21">
        <f>IF(J77=0,0,I77/J77)</f>
        <v>0</v>
      </c>
    </row>
    <row r="78" spans="1:11">
      <c r="A78" s="20">
        <v>45536</v>
      </c>
      <c r="B78" s="12">
        <f>SUMIFS('Trial Database'!$H$2:$H$28727,'Trial Database'!$J$2:$J$28727,"&gt;="&amp;DATE(2024,9,1),'Trial Database'!$J$2:$J$28727,"&lt;"&amp;DATE(2024,10,1),'Trial Database'!$E$2:$E$28727,"Early Phase 1")</f>
        <v>0</v>
      </c>
      <c r="C78" s="12">
        <f>SUMIFS('Trial Database'!$H$2:$H$28727,'Trial Database'!$J$2:$J$28727,"&gt;="&amp;DATE(2024,9,1),'Trial Database'!$J$2:$J$28727,"&lt;"&amp;DATE(2024,10,1),'Trial Database'!$E$2:$E$28727,"Phase 1")</f>
        <v>0</v>
      </c>
      <c r="D78" s="12">
        <f>SUMIFS('Trial Database'!$H$2:$H$28727,'Trial Database'!$J$2:$J$28727,"&gt;="&amp;DATE(2024,9,1),'Trial Database'!$J$2:$J$28727,"&lt;"&amp;DATE(2024,10,1),'Trial Database'!$E$2:$E$28727,"Phase 1/2")</f>
        <v>0</v>
      </c>
      <c r="E78" s="12">
        <f>SUMIFS('Trial Database'!$H$2:$H$28727,'Trial Database'!$J$2:$J$28727,"&gt;="&amp;DATE(2024,9,1),'Trial Database'!$J$2:$J$28727,"&lt;"&amp;DATE(2024,10,1),'Trial Database'!$E$2:$E$28727,"Phase 2")</f>
        <v>0</v>
      </c>
      <c r="F78" s="12">
        <f>SUMIFS('Trial Database'!$H$2:$H$28727,'Trial Database'!$J$2:$J$28727,"&gt;="&amp;DATE(2024,9,1),'Trial Database'!$J$2:$J$28727,"&lt;"&amp;DATE(2024,10,1),'Trial Database'!$E$2:$E$28727,"Phase 2/3")</f>
        <v>0</v>
      </c>
      <c r="G78" s="12">
        <f>SUMIFS('Trial Database'!$H$2:$H$28727,'Trial Database'!$J$2:$J$28727,"&gt;="&amp;DATE(2024,9,1),'Trial Database'!$J$2:$J$28727,"&lt;"&amp;DATE(2024,10,1),'Trial Database'!$E$2:$E$28727,"Phase 3")</f>
        <v>0</v>
      </c>
      <c r="H78" s="12">
        <f>SUMIFS('Trial Database'!$H$2:$H$28727,'Trial Database'!$J$2:$J$28727,"&gt;="&amp;DATE(2024,9,1),'Trial Database'!$J$2:$J$28727,"&lt;"&amp;DATE(2024,10,1),'Trial Database'!$E$2:$E$28727,"Phase 4")</f>
        <v>0</v>
      </c>
      <c r="I78" s="13">
        <f>SUM(B78:H78)</f>
        <v>0</v>
      </c>
      <c r="J78" s="12">
        <f>DAY(EOMONTH(A78,0))</f>
        <v>0</v>
      </c>
      <c r="K78" s="21">
        <f>IF(J78=0,0,I78/J78)</f>
        <v>0</v>
      </c>
    </row>
    <row r="79" spans="1:11">
      <c r="A79" s="20">
        <v>45566</v>
      </c>
      <c r="B79" s="12">
        <f>SUMIFS('Trial Database'!$H$2:$H$28727,'Trial Database'!$J$2:$J$28727,"&gt;="&amp;DATE(2024,10,1),'Trial Database'!$J$2:$J$28727,"&lt;"&amp;DATE(2024,11,1),'Trial Database'!$E$2:$E$28727,"Early Phase 1")</f>
        <v>0</v>
      </c>
      <c r="C79" s="12">
        <f>SUMIFS('Trial Database'!$H$2:$H$28727,'Trial Database'!$J$2:$J$28727,"&gt;="&amp;DATE(2024,10,1),'Trial Database'!$J$2:$J$28727,"&lt;"&amp;DATE(2024,11,1),'Trial Database'!$E$2:$E$28727,"Phase 1")</f>
        <v>0</v>
      </c>
      <c r="D79" s="12">
        <f>SUMIFS('Trial Database'!$H$2:$H$28727,'Trial Database'!$J$2:$J$28727,"&gt;="&amp;DATE(2024,10,1),'Trial Database'!$J$2:$J$28727,"&lt;"&amp;DATE(2024,11,1),'Trial Database'!$E$2:$E$28727,"Phase 1/2")</f>
        <v>0</v>
      </c>
      <c r="E79" s="12">
        <f>SUMIFS('Trial Database'!$H$2:$H$28727,'Trial Database'!$J$2:$J$28727,"&gt;="&amp;DATE(2024,10,1),'Trial Database'!$J$2:$J$28727,"&lt;"&amp;DATE(2024,11,1),'Trial Database'!$E$2:$E$28727,"Phase 2")</f>
        <v>0</v>
      </c>
      <c r="F79" s="12">
        <f>SUMIFS('Trial Database'!$H$2:$H$28727,'Trial Database'!$J$2:$J$28727,"&gt;="&amp;DATE(2024,10,1),'Trial Database'!$J$2:$J$28727,"&lt;"&amp;DATE(2024,11,1),'Trial Database'!$E$2:$E$28727,"Phase 2/3")</f>
        <v>0</v>
      </c>
      <c r="G79" s="12">
        <f>SUMIFS('Trial Database'!$H$2:$H$28727,'Trial Database'!$J$2:$J$28727,"&gt;="&amp;DATE(2024,10,1),'Trial Database'!$J$2:$J$28727,"&lt;"&amp;DATE(2024,11,1),'Trial Database'!$E$2:$E$28727,"Phase 3")</f>
        <v>0</v>
      </c>
      <c r="H79" s="12">
        <f>SUMIFS('Trial Database'!$H$2:$H$28727,'Trial Database'!$J$2:$J$28727,"&gt;="&amp;DATE(2024,10,1),'Trial Database'!$J$2:$J$28727,"&lt;"&amp;DATE(2024,11,1),'Trial Database'!$E$2:$E$28727,"Phase 4")</f>
        <v>0</v>
      </c>
      <c r="I79" s="13">
        <f>SUM(B79:H79)</f>
        <v>0</v>
      </c>
      <c r="J79" s="12">
        <f>DAY(EOMONTH(A79,0))</f>
        <v>0</v>
      </c>
      <c r="K79" s="21">
        <f>IF(J79=0,0,I79/J79)</f>
        <v>0</v>
      </c>
    </row>
    <row r="80" spans="1:11">
      <c r="A80" s="20">
        <v>45597</v>
      </c>
      <c r="B80" s="12">
        <f>SUMIFS('Trial Database'!$H$2:$H$28727,'Trial Database'!$J$2:$J$28727,"&gt;="&amp;DATE(2024,11,1),'Trial Database'!$J$2:$J$28727,"&lt;"&amp;DATE(2024,12,1),'Trial Database'!$E$2:$E$28727,"Early Phase 1")</f>
        <v>0</v>
      </c>
      <c r="C80" s="12">
        <f>SUMIFS('Trial Database'!$H$2:$H$28727,'Trial Database'!$J$2:$J$28727,"&gt;="&amp;DATE(2024,11,1),'Trial Database'!$J$2:$J$28727,"&lt;"&amp;DATE(2024,12,1),'Trial Database'!$E$2:$E$28727,"Phase 1")</f>
        <v>0</v>
      </c>
      <c r="D80" s="12">
        <f>SUMIFS('Trial Database'!$H$2:$H$28727,'Trial Database'!$J$2:$J$28727,"&gt;="&amp;DATE(2024,11,1),'Trial Database'!$J$2:$J$28727,"&lt;"&amp;DATE(2024,12,1),'Trial Database'!$E$2:$E$28727,"Phase 1/2")</f>
        <v>0</v>
      </c>
      <c r="E80" s="12">
        <f>SUMIFS('Trial Database'!$H$2:$H$28727,'Trial Database'!$J$2:$J$28727,"&gt;="&amp;DATE(2024,11,1),'Trial Database'!$J$2:$J$28727,"&lt;"&amp;DATE(2024,12,1),'Trial Database'!$E$2:$E$28727,"Phase 2")</f>
        <v>0</v>
      </c>
      <c r="F80" s="12">
        <f>SUMIFS('Trial Database'!$H$2:$H$28727,'Trial Database'!$J$2:$J$28727,"&gt;="&amp;DATE(2024,11,1),'Trial Database'!$J$2:$J$28727,"&lt;"&amp;DATE(2024,12,1),'Trial Database'!$E$2:$E$28727,"Phase 2/3")</f>
        <v>0</v>
      </c>
      <c r="G80" s="12">
        <f>SUMIFS('Trial Database'!$H$2:$H$28727,'Trial Database'!$J$2:$J$28727,"&gt;="&amp;DATE(2024,11,1),'Trial Database'!$J$2:$J$28727,"&lt;"&amp;DATE(2024,12,1),'Trial Database'!$E$2:$E$28727,"Phase 3")</f>
        <v>0</v>
      </c>
      <c r="H80" s="12">
        <f>SUMIFS('Trial Database'!$H$2:$H$28727,'Trial Database'!$J$2:$J$28727,"&gt;="&amp;DATE(2024,11,1),'Trial Database'!$J$2:$J$28727,"&lt;"&amp;DATE(2024,12,1),'Trial Database'!$E$2:$E$28727,"Phase 4")</f>
        <v>0</v>
      </c>
      <c r="I80" s="13">
        <f>SUM(B80:H80)</f>
        <v>0</v>
      </c>
      <c r="J80" s="12">
        <f>DAY(EOMONTH(A80,0))</f>
        <v>0</v>
      </c>
      <c r="K80" s="21">
        <f>IF(J80=0,0,I80/J80)</f>
        <v>0</v>
      </c>
    </row>
    <row r="81" spans="1:11">
      <c r="A81" s="20">
        <v>45627</v>
      </c>
      <c r="B81" s="12">
        <f>SUMIFS('Trial Database'!$H$2:$H$28727,'Trial Database'!$J$2:$J$28727,"&gt;="&amp;DATE(2024,12,1),'Trial Database'!$J$2:$J$28727,"&lt;"&amp;DATE(2024,13,1),'Trial Database'!$E$2:$E$28727,"Early Phase 1")</f>
        <v>0</v>
      </c>
      <c r="C81" s="12">
        <f>SUMIFS('Trial Database'!$H$2:$H$28727,'Trial Database'!$J$2:$J$28727,"&gt;="&amp;DATE(2024,12,1),'Trial Database'!$J$2:$J$28727,"&lt;"&amp;DATE(2024,13,1),'Trial Database'!$E$2:$E$28727,"Phase 1")</f>
        <v>0</v>
      </c>
      <c r="D81" s="12">
        <f>SUMIFS('Trial Database'!$H$2:$H$28727,'Trial Database'!$J$2:$J$28727,"&gt;="&amp;DATE(2024,12,1),'Trial Database'!$J$2:$J$28727,"&lt;"&amp;DATE(2024,13,1),'Trial Database'!$E$2:$E$28727,"Phase 1/2")</f>
        <v>0</v>
      </c>
      <c r="E81" s="12">
        <f>SUMIFS('Trial Database'!$H$2:$H$28727,'Trial Database'!$J$2:$J$28727,"&gt;="&amp;DATE(2024,12,1),'Trial Database'!$J$2:$J$28727,"&lt;"&amp;DATE(2024,13,1),'Trial Database'!$E$2:$E$28727,"Phase 2")</f>
        <v>0</v>
      </c>
      <c r="F81" s="12">
        <f>SUMIFS('Trial Database'!$H$2:$H$28727,'Trial Database'!$J$2:$J$28727,"&gt;="&amp;DATE(2024,12,1),'Trial Database'!$J$2:$J$28727,"&lt;"&amp;DATE(2024,13,1),'Trial Database'!$E$2:$E$28727,"Phase 2/3")</f>
        <v>0</v>
      </c>
      <c r="G81" s="12">
        <f>SUMIFS('Trial Database'!$H$2:$H$28727,'Trial Database'!$J$2:$J$28727,"&gt;="&amp;DATE(2024,12,1),'Trial Database'!$J$2:$J$28727,"&lt;"&amp;DATE(2024,13,1),'Trial Database'!$E$2:$E$28727,"Phase 3")</f>
        <v>0</v>
      </c>
      <c r="H81" s="12">
        <f>SUMIFS('Trial Database'!$H$2:$H$28727,'Trial Database'!$J$2:$J$28727,"&gt;="&amp;DATE(2024,12,1),'Trial Database'!$J$2:$J$28727,"&lt;"&amp;DATE(2024,13,1),'Trial Database'!$E$2:$E$28727,"Phase 4")</f>
        <v>0</v>
      </c>
      <c r="I81" s="13">
        <f>SUM(B81:H81)</f>
        <v>0</v>
      </c>
      <c r="J81" s="12">
        <f>DAY(EOMONTH(A81,0))</f>
        <v>0</v>
      </c>
      <c r="K81" s="21">
        <f>IF(J81=0,0,I81/J81)</f>
        <v>0</v>
      </c>
    </row>
    <row r="82" spans="1:11">
      <c r="A82" s="20">
        <v>45658</v>
      </c>
      <c r="B82" s="12">
        <f>SUMIFS('Trial Database'!$H$2:$H$28727,'Trial Database'!$J$2:$J$28727,"&gt;="&amp;DATE(2025,1,1),'Trial Database'!$J$2:$J$28727,"&lt;"&amp;DATE(2025,2,1),'Trial Database'!$E$2:$E$28727,"Early Phase 1")</f>
        <v>0</v>
      </c>
      <c r="C82" s="12">
        <f>SUMIFS('Trial Database'!$H$2:$H$28727,'Trial Database'!$J$2:$J$28727,"&gt;="&amp;DATE(2025,1,1),'Trial Database'!$J$2:$J$28727,"&lt;"&amp;DATE(2025,2,1),'Trial Database'!$E$2:$E$28727,"Phase 1")</f>
        <v>0</v>
      </c>
      <c r="D82" s="12">
        <f>SUMIFS('Trial Database'!$H$2:$H$28727,'Trial Database'!$J$2:$J$28727,"&gt;="&amp;DATE(2025,1,1),'Trial Database'!$J$2:$J$28727,"&lt;"&amp;DATE(2025,2,1),'Trial Database'!$E$2:$E$28727,"Phase 1/2")</f>
        <v>0</v>
      </c>
      <c r="E82" s="12">
        <f>SUMIFS('Trial Database'!$H$2:$H$28727,'Trial Database'!$J$2:$J$28727,"&gt;="&amp;DATE(2025,1,1),'Trial Database'!$J$2:$J$28727,"&lt;"&amp;DATE(2025,2,1),'Trial Database'!$E$2:$E$28727,"Phase 2")</f>
        <v>0</v>
      </c>
      <c r="F82" s="12">
        <f>SUMIFS('Trial Database'!$H$2:$H$28727,'Trial Database'!$J$2:$J$28727,"&gt;="&amp;DATE(2025,1,1),'Trial Database'!$J$2:$J$28727,"&lt;"&amp;DATE(2025,2,1),'Trial Database'!$E$2:$E$28727,"Phase 2/3")</f>
        <v>0</v>
      </c>
      <c r="G82" s="12">
        <f>SUMIFS('Trial Database'!$H$2:$H$28727,'Trial Database'!$J$2:$J$28727,"&gt;="&amp;DATE(2025,1,1),'Trial Database'!$J$2:$J$28727,"&lt;"&amp;DATE(2025,2,1),'Trial Database'!$E$2:$E$28727,"Phase 3")</f>
        <v>0</v>
      </c>
      <c r="H82" s="12">
        <f>SUMIFS('Trial Database'!$H$2:$H$28727,'Trial Database'!$J$2:$J$28727,"&gt;="&amp;DATE(2025,1,1),'Trial Database'!$J$2:$J$28727,"&lt;"&amp;DATE(2025,2,1),'Trial Database'!$E$2:$E$28727,"Phase 4")</f>
        <v>0</v>
      </c>
      <c r="I82" s="13">
        <f>SUM(B82:H82)</f>
        <v>0</v>
      </c>
      <c r="J82" s="12">
        <f>DAY(EOMONTH(A82,0))</f>
        <v>0</v>
      </c>
      <c r="K82" s="21">
        <f>IF(J82=0,0,I82/J82)</f>
        <v>0</v>
      </c>
    </row>
    <row r="83" spans="1:11">
      <c r="A83" s="20">
        <v>45689</v>
      </c>
      <c r="B83" s="12">
        <f>SUMIFS('Trial Database'!$H$2:$H$28727,'Trial Database'!$J$2:$J$28727,"&gt;="&amp;DATE(2025,2,1),'Trial Database'!$J$2:$J$28727,"&lt;"&amp;DATE(2025,3,1),'Trial Database'!$E$2:$E$28727,"Early Phase 1")</f>
        <v>0</v>
      </c>
      <c r="C83" s="12">
        <f>SUMIFS('Trial Database'!$H$2:$H$28727,'Trial Database'!$J$2:$J$28727,"&gt;="&amp;DATE(2025,2,1),'Trial Database'!$J$2:$J$28727,"&lt;"&amp;DATE(2025,3,1),'Trial Database'!$E$2:$E$28727,"Phase 1")</f>
        <v>0</v>
      </c>
      <c r="D83" s="12">
        <f>SUMIFS('Trial Database'!$H$2:$H$28727,'Trial Database'!$J$2:$J$28727,"&gt;="&amp;DATE(2025,2,1),'Trial Database'!$J$2:$J$28727,"&lt;"&amp;DATE(2025,3,1),'Trial Database'!$E$2:$E$28727,"Phase 1/2")</f>
        <v>0</v>
      </c>
      <c r="E83" s="12">
        <f>SUMIFS('Trial Database'!$H$2:$H$28727,'Trial Database'!$J$2:$J$28727,"&gt;="&amp;DATE(2025,2,1),'Trial Database'!$J$2:$J$28727,"&lt;"&amp;DATE(2025,3,1),'Trial Database'!$E$2:$E$28727,"Phase 2")</f>
        <v>0</v>
      </c>
      <c r="F83" s="12">
        <f>SUMIFS('Trial Database'!$H$2:$H$28727,'Trial Database'!$J$2:$J$28727,"&gt;="&amp;DATE(2025,2,1),'Trial Database'!$J$2:$J$28727,"&lt;"&amp;DATE(2025,3,1),'Trial Database'!$E$2:$E$28727,"Phase 2/3")</f>
        <v>0</v>
      </c>
      <c r="G83" s="12">
        <f>SUMIFS('Trial Database'!$H$2:$H$28727,'Trial Database'!$J$2:$J$28727,"&gt;="&amp;DATE(2025,2,1),'Trial Database'!$J$2:$J$28727,"&lt;"&amp;DATE(2025,3,1),'Trial Database'!$E$2:$E$28727,"Phase 3")</f>
        <v>0</v>
      </c>
      <c r="H83" s="12">
        <f>SUMIFS('Trial Database'!$H$2:$H$28727,'Trial Database'!$J$2:$J$28727,"&gt;="&amp;DATE(2025,2,1),'Trial Database'!$J$2:$J$28727,"&lt;"&amp;DATE(2025,3,1),'Trial Database'!$E$2:$E$28727,"Phase 4")</f>
        <v>0</v>
      </c>
      <c r="I83" s="13">
        <f>SUM(B83:H83)</f>
        <v>0</v>
      </c>
      <c r="J83" s="12">
        <f>DAY(EOMONTH(A83,0))</f>
        <v>0</v>
      </c>
      <c r="K83" s="21">
        <f>IF(J83=0,0,I83/J83)</f>
        <v>0</v>
      </c>
    </row>
    <row r="84" spans="1:11">
      <c r="A84" s="20">
        <v>45717</v>
      </c>
      <c r="B84" s="12">
        <f>SUMIFS('Trial Database'!$H$2:$H$28727,'Trial Database'!$J$2:$J$28727,"&gt;="&amp;DATE(2025,3,1),'Trial Database'!$J$2:$J$28727,"&lt;"&amp;DATE(2025,4,1),'Trial Database'!$E$2:$E$28727,"Early Phase 1")</f>
        <v>0</v>
      </c>
      <c r="C84" s="12">
        <f>SUMIFS('Trial Database'!$H$2:$H$28727,'Trial Database'!$J$2:$J$28727,"&gt;="&amp;DATE(2025,3,1),'Trial Database'!$J$2:$J$28727,"&lt;"&amp;DATE(2025,4,1),'Trial Database'!$E$2:$E$28727,"Phase 1")</f>
        <v>0</v>
      </c>
      <c r="D84" s="12">
        <f>SUMIFS('Trial Database'!$H$2:$H$28727,'Trial Database'!$J$2:$J$28727,"&gt;="&amp;DATE(2025,3,1),'Trial Database'!$J$2:$J$28727,"&lt;"&amp;DATE(2025,4,1),'Trial Database'!$E$2:$E$28727,"Phase 1/2")</f>
        <v>0</v>
      </c>
      <c r="E84" s="12">
        <f>SUMIFS('Trial Database'!$H$2:$H$28727,'Trial Database'!$J$2:$J$28727,"&gt;="&amp;DATE(2025,3,1),'Trial Database'!$J$2:$J$28727,"&lt;"&amp;DATE(2025,4,1),'Trial Database'!$E$2:$E$28727,"Phase 2")</f>
        <v>0</v>
      </c>
      <c r="F84" s="12">
        <f>SUMIFS('Trial Database'!$H$2:$H$28727,'Trial Database'!$J$2:$J$28727,"&gt;="&amp;DATE(2025,3,1),'Trial Database'!$J$2:$J$28727,"&lt;"&amp;DATE(2025,4,1),'Trial Database'!$E$2:$E$28727,"Phase 2/3")</f>
        <v>0</v>
      </c>
      <c r="G84" s="12">
        <f>SUMIFS('Trial Database'!$H$2:$H$28727,'Trial Database'!$J$2:$J$28727,"&gt;="&amp;DATE(2025,3,1),'Trial Database'!$J$2:$J$28727,"&lt;"&amp;DATE(2025,4,1),'Trial Database'!$E$2:$E$28727,"Phase 3")</f>
        <v>0</v>
      </c>
      <c r="H84" s="12">
        <f>SUMIFS('Trial Database'!$H$2:$H$28727,'Trial Database'!$J$2:$J$28727,"&gt;="&amp;DATE(2025,3,1),'Trial Database'!$J$2:$J$28727,"&lt;"&amp;DATE(2025,4,1),'Trial Database'!$E$2:$E$28727,"Phase 4")</f>
        <v>0</v>
      </c>
      <c r="I84" s="13">
        <f>SUM(B84:H84)</f>
        <v>0</v>
      </c>
      <c r="J84" s="12">
        <f>DAY(EOMONTH(A84,0))</f>
        <v>0</v>
      </c>
      <c r="K84" s="21">
        <f>IF(J84=0,0,I84/J84)</f>
        <v>0</v>
      </c>
    </row>
    <row r="85" spans="1:11">
      <c r="A85" s="20">
        <v>45748</v>
      </c>
      <c r="B85" s="12">
        <f>SUMIFS('Trial Database'!$H$2:$H$28727,'Trial Database'!$J$2:$J$28727,"&gt;="&amp;DATE(2025,4,1),'Trial Database'!$J$2:$J$28727,"&lt;"&amp;DATE(2025,5,1),'Trial Database'!$E$2:$E$28727,"Early Phase 1")</f>
        <v>0</v>
      </c>
      <c r="C85" s="12">
        <f>SUMIFS('Trial Database'!$H$2:$H$28727,'Trial Database'!$J$2:$J$28727,"&gt;="&amp;DATE(2025,4,1),'Trial Database'!$J$2:$J$28727,"&lt;"&amp;DATE(2025,5,1),'Trial Database'!$E$2:$E$28727,"Phase 1")</f>
        <v>0</v>
      </c>
      <c r="D85" s="12">
        <f>SUMIFS('Trial Database'!$H$2:$H$28727,'Trial Database'!$J$2:$J$28727,"&gt;="&amp;DATE(2025,4,1),'Trial Database'!$J$2:$J$28727,"&lt;"&amp;DATE(2025,5,1),'Trial Database'!$E$2:$E$28727,"Phase 1/2")</f>
        <v>0</v>
      </c>
      <c r="E85" s="12">
        <f>SUMIFS('Trial Database'!$H$2:$H$28727,'Trial Database'!$J$2:$J$28727,"&gt;="&amp;DATE(2025,4,1),'Trial Database'!$J$2:$J$28727,"&lt;"&amp;DATE(2025,5,1),'Trial Database'!$E$2:$E$28727,"Phase 2")</f>
        <v>0</v>
      </c>
      <c r="F85" s="12">
        <f>SUMIFS('Trial Database'!$H$2:$H$28727,'Trial Database'!$J$2:$J$28727,"&gt;="&amp;DATE(2025,4,1),'Trial Database'!$J$2:$J$28727,"&lt;"&amp;DATE(2025,5,1),'Trial Database'!$E$2:$E$28727,"Phase 2/3")</f>
        <v>0</v>
      </c>
      <c r="G85" s="12">
        <f>SUMIFS('Trial Database'!$H$2:$H$28727,'Trial Database'!$J$2:$J$28727,"&gt;="&amp;DATE(2025,4,1),'Trial Database'!$J$2:$J$28727,"&lt;"&amp;DATE(2025,5,1),'Trial Database'!$E$2:$E$28727,"Phase 3")</f>
        <v>0</v>
      </c>
      <c r="H85" s="12">
        <f>SUMIFS('Trial Database'!$H$2:$H$28727,'Trial Database'!$J$2:$J$28727,"&gt;="&amp;DATE(2025,4,1),'Trial Database'!$J$2:$J$28727,"&lt;"&amp;DATE(2025,5,1),'Trial Database'!$E$2:$E$28727,"Phase 4")</f>
        <v>0</v>
      </c>
      <c r="I85" s="13">
        <f>SUM(B85:H85)</f>
        <v>0</v>
      </c>
      <c r="J85" s="12">
        <f>DAY(EOMONTH(A85,0))</f>
        <v>0</v>
      </c>
      <c r="K85" s="21">
        <f>IF(J85=0,0,I85/J85)</f>
        <v>0</v>
      </c>
    </row>
    <row r="86" spans="1:11">
      <c r="A86" s="20">
        <v>45778</v>
      </c>
      <c r="B86" s="12">
        <f>SUMIFS('Trial Database'!$H$2:$H$28727,'Trial Database'!$J$2:$J$28727,"&gt;="&amp;DATE(2025,5,1),'Trial Database'!$J$2:$J$28727,"&lt;"&amp;DATE(2025,6,1),'Trial Database'!$E$2:$E$28727,"Early Phase 1")</f>
        <v>0</v>
      </c>
      <c r="C86" s="12">
        <f>SUMIFS('Trial Database'!$H$2:$H$28727,'Trial Database'!$J$2:$J$28727,"&gt;="&amp;DATE(2025,5,1),'Trial Database'!$J$2:$J$28727,"&lt;"&amp;DATE(2025,6,1),'Trial Database'!$E$2:$E$28727,"Phase 1")</f>
        <v>0</v>
      </c>
      <c r="D86" s="12">
        <f>SUMIFS('Trial Database'!$H$2:$H$28727,'Trial Database'!$J$2:$J$28727,"&gt;="&amp;DATE(2025,5,1),'Trial Database'!$J$2:$J$28727,"&lt;"&amp;DATE(2025,6,1),'Trial Database'!$E$2:$E$28727,"Phase 1/2")</f>
        <v>0</v>
      </c>
      <c r="E86" s="12">
        <f>SUMIFS('Trial Database'!$H$2:$H$28727,'Trial Database'!$J$2:$J$28727,"&gt;="&amp;DATE(2025,5,1),'Trial Database'!$J$2:$J$28727,"&lt;"&amp;DATE(2025,6,1),'Trial Database'!$E$2:$E$28727,"Phase 2")</f>
        <v>0</v>
      </c>
      <c r="F86" s="12">
        <f>SUMIFS('Trial Database'!$H$2:$H$28727,'Trial Database'!$J$2:$J$28727,"&gt;="&amp;DATE(2025,5,1),'Trial Database'!$J$2:$J$28727,"&lt;"&amp;DATE(2025,6,1),'Trial Database'!$E$2:$E$28727,"Phase 2/3")</f>
        <v>0</v>
      </c>
      <c r="G86" s="12">
        <f>SUMIFS('Trial Database'!$H$2:$H$28727,'Trial Database'!$J$2:$J$28727,"&gt;="&amp;DATE(2025,5,1),'Trial Database'!$J$2:$J$28727,"&lt;"&amp;DATE(2025,6,1),'Trial Database'!$E$2:$E$28727,"Phase 3")</f>
        <v>0</v>
      </c>
      <c r="H86" s="12">
        <f>SUMIFS('Trial Database'!$H$2:$H$28727,'Trial Database'!$J$2:$J$28727,"&gt;="&amp;DATE(2025,5,1),'Trial Database'!$J$2:$J$28727,"&lt;"&amp;DATE(2025,6,1),'Trial Database'!$E$2:$E$28727,"Phase 4")</f>
        <v>0</v>
      </c>
      <c r="I86" s="13">
        <f>SUM(B86:H86)</f>
        <v>0</v>
      </c>
      <c r="J86" s="12">
        <f>DAY(EOMONTH(A86,0))</f>
        <v>0</v>
      </c>
      <c r="K86" s="21">
        <f>IF(J86=0,0,I86/J86)</f>
        <v>0</v>
      </c>
    </row>
    <row r="87" spans="1:11">
      <c r="A87" s="20">
        <v>45809</v>
      </c>
      <c r="B87" s="12">
        <f>SUMIFS('Trial Database'!$H$2:$H$28727,'Trial Database'!$J$2:$J$28727,"&gt;="&amp;DATE(2025,6,1),'Trial Database'!$J$2:$J$28727,"&lt;"&amp;DATE(2025,7,1),'Trial Database'!$E$2:$E$28727,"Early Phase 1")</f>
        <v>0</v>
      </c>
      <c r="C87" s="12">
        <f>SUMIFS('Trial Database'!$H$2:$H$28727,'Trial Database'!$J$2:$J$28727,"&gt;="&amp;DATE(2025,6,1),'Trial Database'!$J$2:$J$28727,"&lt;"&amp;DATE(2025,7,1),'Trial Database'!$E$2:$E$28727,"Phase 1")</f>
        <v>0</v>
      </c>
      <c r="D87" s="12">
        <f>SUMIFS('Trial Database'!$H$2:$H$28727,'Trial Database'!$J$2:$J$28727,"&gt;="&amp;DATE(2025,6,1),'Trial Database'!$J$2:$J$28727,"&lt;"&amp;DATE(2025,7,1),'Trial Database'!$E$2:$E$28727,"Phase 1/2")</f>
        <v>0</v>
      </c>
      <c r="E87" s="12">
        <f>SUMIFS('Trial Database'!$H$2:$H$28727,'Trial Database'!$J$2:$J$28727,"&gt;="&amp;DATE(2025,6,1),'Trial Database'!$J$2:$J$28727,"&lt;"&amp;DATE(2025,7,1),'Trial Database'!$E$2:$E$28727,"Phase 2")</f>
        <v>0</v>
      </c>
      <c r="F87" s="12">
        <f>SUMIFS('Trial Database'!$H$2:$H$28727,'Trial Database'!$J$2:$J$28727,"&gt;="&amp;DATE(2025,6,1),'Trial Database'!$J$2:$J$28727,"&lt;"&amp;DATE(2025,7,1),'Trial Database'!$E$2:$E$28727,"Phase 2/3")</f>
        <v>0</v>
      </c>
      <c r="G87" s="12">
        <f>SUMIFS('Trial Database'!$H$2:$H$28727,'Trial Database'!$J$2:$J$28727,"&gt;="&amp;DATE(2025,6,1),'Trial Database'!$J$2:$J$28727,"&lt;"&amp;DATE(2025,7,1),'Trial Database'!$E$2:$E$28727,"Phase 3")</f>
        <v>0</v>
      </c>
      <c r="H87" s="12">
        <f>SUMIFS('Trial Database'!$H$2:$H$28727,'Trial Database'!$J$2:$J$28727,"&gt;="&amp;DATE(2025,6,1),'Trial Database'!$J$2:$J$28727,"&lt;"&amp;DATE(2025,7,1),'Trial Database'!$E$2:$E$28727,"Phase 4")</f>
        <v>0</v>
      </c>
      <c r="I87" s="13">
        <f>SUM(B87:H87)</f>
        <v>0</v>
      </c>
      <c r="J87" s="12">
        <f>DAY(EOMONTH(A87,0))</f>
        <v>0</v>
      </c>
      <c r="K87" s="21">
        <f>IF(J87=0,0,I87/J87)</f>
        <v>0</v>
      </c>
    </row>
    <row r="88" spans="1:11">
      <c r="A88" s="20">
        <v>45839</v>
      </c>
      <c r="B88" s="12">
        <f>SUMIFS('Trial Database'!$H$2:$H$28727,'Trial Database'!$J$2:$J$28727,"&gt;="&amp;DATE(2025,7,1),'Trial Database'!$J$2:$J$28727,"&lt;"&amp;DATE(2025,8,1),'Trial Database'!$E$2:$E$28727,"Early Phase 1")</f>
        <v>0</v>
      </c>
      <c r="C88" s="12">
        <f>SUMIFS('Trial Database'!$H$2:$H$28727,'Trial Database'!$J$2:$J$28727,"&gt;="&amp;DATE(2025,7,1),'Trial Database'!$J$2:$J$28727,"&lt;"&amp;DATE(2025,8,1),'Trial Database'!$E$2:$E$28727,"Phase 1")</f>
        <v>0</v>
      </c>
      <c r="D88" s="12">
        <f>SUMIFS('Trial Database'!$H$2:$H$28727,'Trial Database'!$J$2:$J$28727,"&gt;="&amp;DATE(2025,7,1),'Trial Database'!$J$2:$J$28727,"&lt;"&amp;DATE(2025,8,1),'Trial Database'!$E$2:$E$28727,"Phase 1/2")</f>
        <v>0</v>
      </c>
      <c r="E88" s="12">
        <f>SUMIFS('Trial Database'!$H$2:$H$28727,'Trial Database'!$J$2:$J$28727,"&gt;="&amp;DATE(2025,7,1),'Trial Database'!$J$2:$J$28727,"&lt;"&amp;DATE(2025,8,1),'Trial Database'!$E$2:$E$28727,"Phase 2")</f>
        <v>0</v>
      </c>
      <c r="F88" s="12">
        <f>SUMIFS('Trial Database'!$H$2:$H$28727,'Trial Database'!$J$2:$J$28727,"&gt;="&amp;DATE(2025,7,1),'Trial Database'!$J$2:$J$28727,"&lt;"&amp;DATE(2025,8,1),'Trial Database'!$E$2:$E$28727,"Phase 2/3")</f>
        <v>0</v>
      </c>
      <c r="G88" s="12">
        <f>SUMIFS('Trial Database'!$H$2:$H$28727,'Trial Database'!$J$2:$J$28727,"&gt;="&amp;DATE(2025,7,1),'Trial Database'!$J$2:$J$28727,"&lt;"&amp;DATE(2025,8,1),'Trial Database'!$E$2:$E$28727,"Phase 3")</f>
        <v>0</v>
      </c>
      <c r="H88" s="12">
        <f>SUMIFS('Trial Database'!$H$2:$H$28727,'Trial Database'!$J$2:$J$28727,"&gt;="&amp;DATE(2025,7,1),'Trial Database'!$J$2:$J$28727,"&lt;"&amp;DATE(2025,8,1),'Trial Database'!$E$2:$E$28727,"Phase 4")</f>
        <v>0</v>
      </c>
      <c r="I88" s="13">
        <f>SUM(B88:H88)</f>
        <v>0</v>
      </c>
      <c r="J88" s="12">
        <f>DAY(EOMONTH(A88,0))</f>
        <v>0</v>
      </c>
      <c r="K88" s="21">
        <f>IF(J88=0,0,I88/J88)</f>
        <v>0</v>
      </c>
    </row>
    <row r="89" spans="1:11">
      <c r="A89" s="20">
        <v>45870</v>
      </c>
      <c r="B89" s="12">
        <f>SUMIFS('Trial Database'!$H$2:$H$28727,'Trial Database'!$J$2:$J$28727,"&gt;="&amp;DATE(2025,8,1),'Trial Database'!$J$2:$J$28727,"&lt;"&amp;DATE(2025,9,1),'Trial Database'!$E$2:$E$28727,"Early Phase 1")</f>
        <v>0</v>
      </c>
      <c r="C89" s="12">
        <f>SUMIFS('Trial Database'!$H$2:$H$28727,'Trial Database'!$J$2:$J$28727,"&gt;="&amp;DATE(2025,8,1),'Trial Database'!$J$2:$J$28727,"&lt;"&amp;DATE(2025,9,1),'Trial Database'!$E$2:$E$28727,"Phase 1")</f>
        <v>0</v>
      </c>
      <c r="D89" s="12">
        <f>SUMIFS('Trial Database'!$H$2:$H$28727,'Trial Database'!$J$2:$J$28727,"&gt;="&amp;DATE(2025,8,1),'Trial Database'!$J$2:$J$28727,"&lt;"&amp;DATE(2025,9,1),'Trial Database'!$E$2:$E$28727,"Phase 1/2")</f>
        <v>0</v>
      </c>
      <c r="E89" s="12">
        <f>SUMIFS('Trial Database'!$H$2:$H$28727,'Trial Database'!$J$2:$J$28727,"&gt;="&amp;DATE(2025,8,1),'Trial Database'!$J$2:$J$28727,"&lt;"&amp;DATE(2025,9,1),'Trial Database'!$E$2:$E$28727,"Phase 2")</f>
        <v>0</v>
      </c>
      <c r="F89" s="12">
        <f>SUMIFS('Trial Database'!$H$2:$H$28727,'Trial Database'!$J$2:$J$28727,"&gt;="&amp;DATE(2025,8,1),'Trial Database'!$J$2:$J$28727,"&lt;"&amp;DATE(2025,9,1),'Trial Database'!$E$2:$E$28727,"Phase 2/3")</f>
        <v>0</v>
      </c>
      <c r="G89" s="12">
        <f>SUMIFS('Trial Database'!$H$2:$H$28727,'Trial Database'!$J$2:$J$28727,"&gt;="&amp;DATE(2025,8,1),'Trial Database'!$J$2:$J$28727,"&lt;"&amp;DATE(2025,9,1),'Trial Database'!$E$2:$E$28727,"Phase 3")</f>
        <v>0</v>
      </c>
      <c r="H89" s="12">
        <f>SUMIFS('Trial Database'!$H$2:$H$28727,'Trial Database'!$J$2:$J$28727,"&gt;="&amp;DATE(2025,8,1),'Trial Database'!$J$2:$J$28727,"&lt;"&amp;DATE(2025,9,1),'Trial Database'!$E$2:$E$28727,"Phase 4")</f>
        <v>0</v>
      </c>
      <c r="I89" s="13">
        <f>SUM(B89:H89)</f>
        <v>0</v>
      </c>
      <c r="J89" s="12">
        <f>DAY(EOMONTH(A89,0))</f>
        <v>0</v>
      </c>
      <c r="K89" s="21">
        <f>IF(J89=0,0,I89/J89)</f>
        <v>0</v>
      </c>
    </row>
    <row r="90" spans="1:11">
      <c r="A90" s="20">
        <v>45901</v>
      </c>
      <c r="B90" s="12">
        <f>SUMIFS('Trial Database'!$H$2:$H$28727,'Trial Database'!$J$2:$J$28727,"&gt;="&amp;DATE(2025,9,1),'Trial Database'!$J$2:$J$28727,"&lt;"&amp;DATE(2025,10,1),'Trial Database'!$E$2:$E$28727,"Early Phase 1")</f>
        <v>0</v>
      </c>
      <c r="C90" s="12">
        <f>SUMIFS('Trial Database'!$H$2:$H$28727,'Trial Database'!$J$2:$J$28727,"&gt;="&amp;DATE(2025,9,1),'Trial Database'!$J$2:$J$28727,"&lt;"&amp;DATE(2025,10,1),'Trial Database'!$E$2:$E$28727,"Phase 1")</f>
        <v>0</v>
      </c>
      <c r="D90" s="12">
        <f>SUMIFS('Trial Database'!$H$2:$H$28727,'Trial Database'!$J$2:$J$28727,"&gt;="&amp;DATE(2025,9,1),'Trial Database'!$J$2:$J$28727,"&lt;"&amp;DATE(2025,10,1),'Trial Database'!$E$2:$E$28727,"Phase 1/2")</f>
        <v>0</v>
      </c>
      <c r="E90" s="12">
        <f>SUMIFS('Trial Database'!$H$2:$H$28727,'Trial Database'!$J$2:$J$28727,"&gt;="&amp;DATE(2025,9,1),'Trial Database'!$J$2:$J$28727,"&lt;"&amp;DATE(2025,10,1),'Trial Database'!$E$2:$E$28727,"Phase 2")</f>
        <v>0</v>
      </c>
      <c r="F90" s="12">
        <f>SUMIFS('Trial Database'!$H$2:$H$28727,'Trial Database'!$J$2:$J$28727,"&gt;="&amp;DATE(2025,9,1),'Trial Database'!$J$2:$J$28727,"&lt;"&amp;DATE(2025,10,1),'Trial Database'!$E$2:$E$28727,"Phase 2/3")</f>
        <v>0</v>
      </c>
      <c r="G90" s="12">
        <f>SUMIFS('Trial Database'!$H$2:$H$28727,'Trial Database'!$J$2:$J$28727,"&gt;="&amp;DATE(2025,9,1),'Trial Database'!$J$2:$J$28727,"&lt;"&amp;DATE(2025,10,1),'Trial Database'!$E$2:$E$28727,"Phase 3")</f>
        <v>0</v>
      </c>
      <c r="H90" s="12">
        <f>SUMIFS('Trial Database'!$H$2:$H$28727,'Trial Database'!$J$2:$J$28727,"&gt;="&amp;DATE(2025,9,1),'Trial Database'!$J$2:$J$28727,"&lt;"&amp;DATE(2025,10,1),'Trial Database'!$E$2:$E$28727,"Phase 4")</f>
        <v>0</v>
      </c>
      <c r="I90" s="13">
        <f>SUM(B90:H90)</f>
        <v>0</v>
      </c>
      <c r="J90" s="12">
        <f>DAY(EOMONTH(A90,0))</f>
        <v>0</v>
      </c>
      <c r="K90" s="21">
        <f>IF(J90=0,0,I90/J90)</f>
        <v>0</v>
      </c>
    </row>
    <row r="91" spans="1:11">
      <c r="A91" s="20">
        <v>45931</v>
      </c>
      <c r="B91" s="12">
        <f>SUMIFS('Trial Database'!$H$2:$H$28727,'Trial Database'!$J$2:$J$28727,"&gt;="&amp;DATE(2025,10,1),'Trial Database'!$J$2:$J$28727,"&lt;"&amp;DATE(2025,11,1),'Trial Database'!$E$2:$E$28727,"Early Phase 1")</f>
        <v>0</v>
      </c>
      <c r="C91" s="12">
        <f>SUMIFS('Trial Database'!$H$2:$H$28727,'Trial Database'!$J$2:$J$28727,"&gt;="&amp;DATE(2025,10,1),'Trial Database'!$J$2:$J$28727,"&lt;"&amp;DATE(2025,11,1),'Trial Database'!$E$2:$E$28727,"Phase 1")</f>
        <v>0</v>
      </c>
      <c r="D91" s="12">
        <f>SUMIFS('Trial Database'!$H$2:$H$28727,'Trial Database'!$J$2:$J$28727,"&gt;="&amp;DATE(2025,10,1),'Trial Database'!$J$2:$J$28727,"&lt;"&amp;DATE(2025,11,1),'Trial Database'!$E$2:$E$28727,"Phase 1/2")</f>
        <v>0</v>
      </c>
      <c r="E91" s="12">
        <f>SUMIFS('Trial Database'!$H$2:$H$28727,'Trial Database'!$J$2:$J$28727,"&gt;="&amp;DATE(2025,10,1),'Trial Database'!$J$2:$J$28727,"&lt;"&amp;DATE(2025,11,1),'Trial Database'!$E$2:$E$28727,"Phase 2")</f>
        <v>0</v>
      </c>
      <c r="F91" s="12">
        <f>SUMIFS('Trial Database'!$H$2:$H$28727,'Trial Database'!$J$2:$J$28727,"&gt;="&amp;DATE(2025,10,1),'Trial Database'!$J$2:$J$28727,"&lt;"&amp;DATE(2025,11,1),'Trial Database'!$E$2:$E$28727,"Phase 2/3")</f>
        <v>0</v>
      </c>
      <c r="G91" s="12">
        <f>SUMIFS('Trial Database'!$H$2:$H$28727,'Trial Database'!$J$2:$J$28727,"&gt;="&amp;DATE(2025,10,1),'Trial Database'!$J$2:$J$28727,"&lt;"&amp;DATE(2025,11,1),'Trial Database'!$E$2:$E$28727,"Phase 3")</f>
        <v>0</v>
      </c>
      <c r="H91" s="12">
        <f>SUMIFS('Trial Database'!$H$2:$H$28727,'Trial Database'!$J$2:$J$28727,"&gt;="&amp;DATE(2025,10,1),'Trial Database'!$J$2:$J$28727,"&lt;"&amp;DATE(2025,11,1),'Trial Database'!$E$2:$E$28727,"Phase 4")</f>
        <v>0</v>
      </c>
      <c r="I91" s="13">
        <f>SUM(B91:H91)</f>
        <v>0</v>
      </c>
      <c r="J91" s="12">
        <f>DAY(EOMONTH(A91,0))</f>
        <v>0</v>
      </c>
      <c r="K91" s="21">
        <f>IF(J91=0,0,I91/J91)</f>
        <v>0</v>
      </c>
    </row>
    <row r="92" spans="1:11">
      <c r="A92" s="20">
        <v>45962</v>
      </c>
      <c r="B92" s="12">
        <f>SUMIFS('Trial Database'!$H$2:$H$28727,'Trial Database'!$J$2:$J$28727,"&gt;="&amp;DATE(2025,11,1),'Trial Database'!$J$2:$J$28727,"&lt;"&amp;DATE(2025,12,1),'Trial Database'!$E$2:$E$28727,"Early Phase 1")</f>
        <v>0</v>
      </c>
      <c r="C92" s="12">
        <f>SUMIFS('Trial Database'!$H$2:$H$28727,'Trial Database'!$J$2:$J$28727,"&gt;="&amp;DATE(2025,11,1),'Trial Database'!$J$2:$J$28727,"&lt;"&amp;DATE(2025,12,1),'Trial Database'!$E$2:$E$28727,"Phase 1")</f>
        <v>0</v>
      </c>
      <c r="D92" s="12">
        <f>SUMIFS('Trial Database'!$H$2:$H$28727,'Trial Database'!$J$2:$J$28727,"&gt;="&amp;DATE(2025,11,1),'Trial Database'!$J$2:$J$28727,"&lt;"&amp;DATE(2025,12,1),'Trial Database'!$E$2:$E$28727,"Phase 1/2")</f>
        <v>0</v>
      </c>
      <c r="E92" s="12">
        <f>SUMIFS('Trial Database'!$H$2:$H$28727,'Trial Database'!$J$2:$J$28727,"&gt;="&amp;DATE(2025,11,1),'Trial Database'!$J$2:$J$28727,"&lt;"&amp;DATE(2025,12,1),'Trial Database'!$E$2:$E$28727,"Phase 2")</f>
        <v>0</v>
      </c>
      <c r="F92" s="12">
        <f>SUMIFS('Trial Database'!$H$2:$H$28727,'Trial Database'!$J$2:$J$28727,"&gt;="&amp;DATE(2025,11,1),'Trial Database'!$J$2:$J$28727,"&lt;"&amp;DATE(2025,12,1),'Trial Database'!$E$2:$E$28727,"Phase 2/3")</f>
        <v>0</v>
      </c>
      <c r="G92" s="12">
        <f>SUMIFS('Trial Database'!$H$2:$H$28727,'Trial Database'!$J$2:$J$28727,"&gt;="&amp;DATE(2025,11,1),'Trial Database'!$J$2:$J$28727,"&lt;"&amp;DATE(2025,12,1),'Trial Database'!$E$2:$E$28727,"Phase 3")</f>
        <v>0</v>
      </c>
      <c r="H92" s="12">
        <f>SUMIFS('Trial Database'!$H$2:$H$28727,'Trial Database'!$J$2:$J$28727,"&gt;="&amp;DATE(2025,11,1),'Trial Database'!$J$2:$J$28727,"&lt;"&amp;DATE(2025,12,1),'Trial Database'!$E$2:$E$28727,"Phase 4")</f>
        <v>0</v>
      </c>
      <c r="I92" s="13">
        <f>SUM(B92:H92)</f>
        <v>0</v>
      </c>
      <c r="J92" s="12">
        <f>DAY(EOMONTH(A92,0))</f>
        <v>0</v>
      </c>
      <c r="K92" s="21">
        <f>IF(J92=0,0,I92/J92)</f>
        <v>0</v>
      </c>
    </row>
    <row r="93" spans="1:11">
      <c r="A93" s="20">
        <v>45992</v>
      </c>
      <c r="B93" s="12">
        <f>SUMIFS('Trial Database'!$H$2:$H$28727,'Trial Database'!$J$2:$J$28727,"&gt;="&amp;DATE(2025,12,1),'Trial Database'!$J$2:$J$28727,"&lt;"&amp;DATE(2025,13,1),'Trial Database'!$E$2:$E$28727,"Early Phase 1")</f>
        <v>0</v>
      </c>
      <c r="C93" s="12">
        <f>SUMIFS('Trial Database'!$H$2:$H$28727,'Trial Database'!$J$2:$J$28727,"&gt;="&amp;DATE(2025,12,1),'Trial Database'!$J$2:$J$28727,"&lt;"&amp;DATE(2025,13,1),'Trial Database'!$E$2:$E$28727,"Phase 1")</f>
        <v>0</v>
      </c>
      <c r="D93" s="12">
        <f>SUMIFS('Trial Database'!$H$2:$H$28727,'Trial Database'!$J$2:$J$28727,"&gt;="&amp;DATE(2025,12,1),'Trial Database'!$J$2:$J$28727,"&lt;"&amp;DATE(2025,13,1),'Trial Database'!$E$2:$E$28727,"Phase 1/2")</f>
        <v>0</v>
      </c>
      <c r="E93" s="12">
        <f>SUMIFS('Trial Database'!$H$2:$H$28727,'Trial Database'!$J$2:$J$28727,"&gt;="&amp;DATE(2025,12,1),'Trial Database'!$J$2:$J$28727,"&lt;"&amp;DATE(2025,13,1),'Trial Database'!$E$2:$E$28727,"Phase 2")</f>
        <v>0</v>
      </c>
      <c r="F93" s="12">
        <f>SUMIFS('Trial Database'!$H$2:$H$28727,'Trial Database'!$J$2:$J$28727,"&gt;="&amp;DATE(2025,12,1),'Trial Database'!$J$2:$J$28727,"&lt;"&amp;DATE(2025,13,1),'Trial Database'!$E$2:$E$28727,"Phase 2/3")</f>
        <v>0</v>
      </c>
      <c r="G93" s="12">
        <f>SUMIFS('Trial Database'!$H$2:$H$28727,'Trial Database'!$J$2:$J$28727,"&gt;="&amp;DATE(2025,12,1),'Trial Database'!$J$2:$J$28727,"&lt;"&amp;DATE(2025,13,1),'Trial Database'!$E$2:$E$28727,"Phase 3")</f>
        <v>0</v>
      </c>
      <c r="H93" s="12">
        <f>SUMIFS('Trial Database'!$H$2:$H$28727,'Trial Database'!$J$2:$J$28727,"&gt;="&amp;DATE(2025,12,1),'Trial Database'!$J$2:$J$28727,"&lt;"&amp;DATE(2025,13,1),'Trial Database'!$E$2:$E$28727,"Phase 4")</f>
        <v>0</v>
      </c>
      <c r="I93" s="13">
        <f>SUM(B93:H93)</f>
        <v>0</v>
      </c>
      <c r="J93" s="12">
        <f>DAY(EOMONTH(A93,0))</f>
        <v>0</v>
      </c>
      <c r="K93" s="21">
        <f>IF(J93=0,0,I93/J93)</f>
        <v>0</v>
      </c>
    </row>
    <row r="94" spans="1:11">
      <c r="A94" s="20">
        <v>46023</v>
      </c>
      <c r="B94" s="12">
        <f>SUMIFS('Trial Database'!$H$2:$H$28727,'Trial Database'!$J$2:$J$28727,"&gt;="&amp;DATE(2026,1,1),'Trial Database'!$J$2:$J$28727,"&lt;"&amp;DATE(2026,2,1),'Trial Database'!$E$2:$E$28727,"Early Phase 1")</f>
        <v>0</v>
      </c>
      <c r="C94" s="12">
        <f>SUMIFS('Trial Database'!$H$2:$H$28727,'Trial Database'!$J$2:$J$28727,"&gt;="&amp;DATE(2026,1,1),'Trial Database'!$J$2:$J$28727,"&lt;"&amp;DATE(2026,2,1),'Trial Database'!$E$2:$E$28727,"Phase 1")</f>
        <v>0</v>
      </c>
      <c r="D94" s="12">
        <f>SUMIFS('Trial Database'!$H$2:$H$28727,'Trial Database'!$J$2:$J$28727,"&gt;="&amp;DATE(2026,1,1),'Trial Database'!$J$2:$J$28727,"&lt;"&amp;DATE(2026,2,1),'Trial Database'!$E$2:$E$28727,"Phase 1/2")</f>
        <v>0</v>
      </c>
      <c r="E94" s="12">
        <f>SUMIFS('Trial Database'!$H$2:$H$28727,'Trial Database'!$J$2:$J$28727,"&gt;="&amp;DATE(2026,1,1),'Trial Database'!$J$2:$J$28727,"&lt;"&amp;DATE(2026,2,1),'Trial Database'!$E$2:$E$28727,"Phase 2")</f>
        <v>0</v>
      </c>
      <c r="F94" s="12">
        <f>SUMIFS('Trial Database'!$H$2:$H$28727,'Trial Database'!$J$2:$J$28727,"&gt;="&amp;DATE(2026,1,1),'Trial Database'!$J$2:$J$28727,"&lt;"&amp;DATE(2026,2,1),'Trial Database'!$E$2:$E$28727,"Phase 2/3")</f>
        <v>0</v>
      </c>
      <c r="G94" s="12">
        <f>SUMIFS('Trial Database'!$H$2:$H$28727,'Trial Database'!$J$2:$J$28727,"&gt;="&amp;DATE(2026,1,1),'Trial Database'!$J$2:$J$28727,"&lt;"&amp;DATE(2026,2,1),'Trial Database'!$E$2:$E$28727,"Phase 3")</f>
        <v>0</v>
      </c>
      <c r="H94" s="12">
        <f>SUMIFS('Trial Database'!$H$2:$H$28727,'Trial Database'!$J$2:$J$28727,"&gt;="&amp;DATE(2026,1,1),'Trial Database'!$J$2:$J$28727,"&lt;"&amp;DATE(2026,2,1),'Trial Database'!$E$2:$E$28727,"Phase 4")</f>
        <v>0</v>
      </c>
      <c r="I94" s="13">
        <f>SUM(B94:H94)</f>
        <v>0</v>
      </c>
      <c r="J94" s="12">
        <f>DAY(EOMONTH(A94,0))</f>
        <v>0</v>
      </c>
      <c r="K94" s="21">
        <f>IF(J94=0,0,I94/J94)</f>
        <v>0</v>
      </c>
    </row>
    <row r="95" spans="1:11">
      <c r="A95" s="20">
        <v>46054</v>
      </c>
      <c r="B95" s="12">
        <f>SUMIFS('Trial Database'!$H$2:$H$28727,'Trial Database'!$J$2:$J$28727,"&gt;="&amp;DATE(2026,2,1),'Trial Database'!$J$2:$J$28727,"&lt;"&amp;DATE(2026,3,1),'Trial Database'!$E$2:$E$28727,"Early Phase 1")</f>
        <v>0</v>
      </c>
      <c r="C95" s="12">
        <f>SUMIFS('Trial Database'!$H$2:$H$28727,'Trial Database'!$J$2:$J$28727,"&gt;="&amp;DATE(2026,2,1),'Trial Database'!$J$2:$J$28727,"&lt;"&amp;DATE(2026,3,1),'Trial Database'!$E$2:$E$28727,"Phase 1")</f>
        <v>0</v>
      </c>
      <c r="D95" s="12">
        <f>SUMIFS('Trial Database'!$H$2:$H$28727,'Trial Database'!$J$2:$J$28727,"&gt;="&amp;DATE(2026,2,1),'Trial Database'!$J$2:$J$28727,"&lt;"&amp;DATE(2026,3,1),'Trial Database'!$E$2:$E$28727,"Phase 1/2")</f>
        <v>0</v>
      </c>
      <c r="E95" s="12">
        <f>SUMIFS('Trial Database'!$H$2:$H$28727,'Trial Database'!$J$2:$J$28727,"&gt;="&amp;DATE(2026,2,1),'Trial Database'!$J$2:$J$28727,"&lt;"&amp;DATE(2026,3,1),'Trial Database'!$E$2:$E$28727,"Phase 2")</f>
        <v>0</v>
      </c>
      <c r="F95" s="12">
        <f>SUMIFS('Trial Database'!$H$2:$H$28727,'Trial Database'!$J$2:$J$28727,"&gt;="&amp;DATE(2026,2,1),'Trial Database'!$J$2:$J$28727,"&lt;"&amp;DATE(2026,3,1),'Trial Database'!$E$2:$E$28727,"Phase 2/3")</f>
        <v>0</v>
      </c>
      <c r="G95" s="12">
        <f>SUMIFS('Trial Database'!$H$2:$H$28727,'Trial Database'!$J$2:$J$28727,"&gt;="&amp;DATE(2026,2,1),'Trial Database'!$J$2:$J$28727,"&lt;"&amp;DATE(2026,3,1),'Trial Database'!$E$2:$E$28727,"Phase 3")</f>
        <v>0</v>
      </c>
      <c r="H95" s="12">
        <f>SUMIFS('Trial Database'!$H$2:$H$28727,'Trial Database'!$J$2:$J$28727,"&gt;="&amp;DATE(2026,2,1),'Trial Database'!$J$2:$J$28727,"&lt;"&amp;DATE(2026,3,1),'Trial Database'!$E$2:$E$28727,"Phase 4")</f>
        <v>0</v>
      </c>
      <c r="I95" s="13">
        <f>SUM(B95:H95)</f>
        <v>0</v>
      </c>
      <c r="J95" s="12">
        <f>DAY(EOMONTH(A95,0))</f>
        <v>0</v>
      </c>
      <c r="K95" s="21">
        <f>IF(J95=0,0,I95/J95)</f>
        <v>0</v>
      </c>
    </row>
    <row r="96" spans="1:11">
      <c r="A96" s="20">
        <v>46082</v>
      </c>
      <c r="B96" s="12">
        <f>SUMIFS('Trial Database'!$H$2:$H$28727,'Trial Database'!$J$2:$J$28727,"&gt;="&amp;DATE(2026,3,1),'Trial Database'!$J$2:$J$28727,"&lt;"&amp;DATE(2026,4,1),'Trial Database'!$E$2:$E$28727,"Early Phase 1")</f>
        <v>0</v>
      </c>
      <c r="C96" s="12">
        <f>SUMIFS('Trial Database'!$H$2:$H$28727,'Trial Database'!$J$2:$J$28727,"&gt;="&amp;DATE(2026,3,1),'Trial Database'!$J$2:$J$28727,"&lt;"&amp;DATE(2026,4,1),'Trial Database'!$E$2:$E$28727,"Phase 1")</f>
        <v>0</v>
      </c>
      <c r="D96" s="12">
        <f>SUMIFS('Trial Database'!$H$2:$H$28727,'Trial Database'!$J$2:$J$28727,"&gt;="&amp;DATE(2026,3,1),'Trial Database'!$J$2:$J$28727,"&lt;"&amp;DATE(2026,4,1),'Trial Database'!$E$2:$E$28727,"Phase 1/2")</f>
        <v>0</v>
      </c>
      <c r="E96" s="12">
        <f>SUMIFS('Trial Database'!$H$2:$H$28727,'Trial Database'!$J$2:$J$28727,"&gt;="&amp;DATE(2026,3,1),'Trial Database'!$J$2:$J$28727,"&lt;"&amp;DATE(2026,4,1),'Trial Database'!$E$2:$E$28727,"Phase 2")</f>
        <v>0</v>
      </c>
      <c r="F96" s="12">
        <f>SUMIFS('Trial Database'!$H$2:$H$28727,'Trial Database'!$J$2:$J$28727,"&gt;="&amp;DATE(2026,3,1),'Trial Database'!$J$2:$J$28727,"&lt;"&amp;DATE(2026,4,1),'Trial Database'!$E$2:$E$28727,"Phase 2/3")</f>
        <v>0</v>
      </c>
      <c r="G96" s="12">
        <f>SUMIFS('Trial Database'!$H$2:$H$28727,'Trial Database'!$J$2:$J$28727,"&gt;="&amp;DATE(2026,3,1),'Trial Database'!$J$2:$J$28727,"&lt;"&amp;DATE(2026,4,1),'Trial Database'!$E$2:$E$28727,"Phase 3")</f>
        <v>0</v>
      </c>
      <c r="H96" s="12">
        <f>SUMIFS('Trial Database'!$H$2:$H$28727,'Trial Database'!$J$2:$J$28727,"&gt;="&amp;DATE(2026,3,1),'Trial Database'!$J$2:$J$28727,"&lt;"&amp;DATE(2026,4,1),'Trial Database'!$E$2:$E$28727,"Phase 4")</f>
        <v>0</v>
      </c>
      <c r="I96" s="13">
        <f>SUM(B96:H96)</f>
        <v>0</v>
      </c>
      <c r="J96" s="12">
        <f>DAY(EOMONTH(A96,0))</f>
        <v>0</v>
      </c>
      <c r="K96" s="21">
        <f>IF(J96=0,0,I96/J96)</f>
        <v>0</v>
      </c>
    </row>
    <row r="97" spans="1:11">
      <c r="A97" s="20">
        <v>46113</v>
      </c>
      <c r="B97" s="12">
        <f>SUMIFS('Trial Database'!$H$2:$H$28727,'Trial Database'!$J$2:$J$28727,"&gt;="&amp;DATE(2026,4,1),'Trial Database'!$J$2:$J$28727,"&lt;"&amp;DATE(2026,5,1),'Trial Database'!$E$2:$E$28727,"Early Phase 1")</f>
        <v>0</v>
      </c>
      <c r="C97" s="12">
        <f>SUMIFS('Trial Database'!$H$2:$H$28727,'Trial Database'!$J$2:$J$28727,"&gt;="&amp;DATE(2026,4,1),'Trial Database'!$J$2:$J$28727,"&lt;"&amp;DATE(2026,5,1),'Trial Database'!$E$2:$E$28727,"Phase 1")</f>
        <v>0</v>
      </c>
      <c r="D97" s="12">
        <f>SUMIFS('Trial Database'!$H$2:$H$28727,'Trial Database'!$J$2:$J$28727,"&gt;="&amp;DATE(2026,4,1),'Trial Database'!$J$2:$J$28727,"&lt;"&amp;DATE(2026,5,1),'Trial Database'!$E$2:$E$28727,"Phase 1/2")</f>
        <v>0</v>
      </c>
      <c r="E97" s="12">
        <f>SUMIFS('Trial Database'!$H$2:$H$28727,'Trial Database'!$J$2:$J$28727,"&gt;="&amp;DATE(2026,4,1),'Trial Database'!$J$2:$J$28727,"&lt;"&amp;DATE(2026,5,1),'Trial Database'!$E$2:$E$28727,"Phase 2")</f>
        <v>0</v>
      </c>
      <c r="F97" s="12">
        <f>SUMIFS('Trial Database'!$H$2:$H$28727,'Trial Database'!$J$2:$J$28727,"&gt;="&amp;DATE(2026,4,1),'Trial Database'!$J$2:$J$28727,"&lt;"&amp;DATE(2026,5,1),'Trial Database'!$E$2:$E$28727,"Phase 2/3")</f>
        <v>0</v>
      </c>
      <c r="G97" s="12">
        <f>SUMIFS('Trial Database'!$H$2:$H$28727,'Trial Database'!$J$2:$J$28727,"&gt;="&amp;DATE(2026,4,1),'Trial Database'!$J$2:$J$28727,"&lt;"&amp;DATE(2026,5,1),'Trial Database'!$E$2:$E$28727,"Phase 3")</f>
        <v>0</v>
      </c>
      <c r="H97" s="12">
        <f>SUMIFS('Trial Database'!$H$2:$H$28727,'Trial Database'!$J$2:$J$28727,"&gt;="&amp;DATE(2026,4,1),'Trial Database'!$J$2:$J$28727,"&lt;"&amp;DATE(2026,5,1),'Trial Database'!$E$2:$E$28727,"Phase 4")</f>
        <v>0</v>
      </c>
      <c r="I97" s="13">
        <f>SUM(B97:H97)</f>
        <v>0</v>
      </c>
      <c r="J97" s="12">
        <f>DAY(EOMONTH(A97,0))</f>
        <v>0</v>
      </c>
      <c r="K97" s="21">
        <f>IF(J97=0,0,I97/J97)</f>
        <v>0</v>
      </c>
    </row>
    <row r="98" spans="1:11">
      <c r="A98" s="20">
        <v>46143</v>
      </c>
      <c r="B98" s="12">
        <f>SUMIFS('Trial Database'!$H$2:$H$28727,'Trial Database'!$J$2:$J$28727,"&gt;="&amp;DATE(2026,5,1),'Trial Database'!$J$2:$J$28727,"&lt;"&amp;DATE(2026,6,1),'Trial Database'!$E$2:$E$28727,"Early Phase 1")</f>
        <v>0</v>
      </c>
      <c r="C98" s="12">
        <f>SUMIFS('Trial Database'!$H$2:$H$28727,'Trial Database'!$J$2:$J$28727,"&gt;="&amp;DATE(2026,5,1),'Trial Database'!$J$2:$J$28727,"&lt;"&amp;DATE(2026,6,1),'Trial Database'!$E$2:$E$28727,"Phase 1")</f>
        <v>0</v>
      </c>
      <c r="D98" s="12">
        <f>SUMIFS('Trial Database'!$H$2:$H$28727,'Trial Database'!$J$2:$J$28727,"&gt;="&amp;DATE(2026,5,1),'Trial Database'!$J$2:$J$28727,"&lt;"&amp;DATE(2026,6,1),'Trial Database'!$E$2:$E$28727,"Phase 1/2")</f>
        <v>0</v>
      </c>
      <c r="E98" s="12">
        <f>SUMIFS('Trial Database'!$H$2:$H$28727,'Trial Database'!$J$2:$J$28727,"&gt;="&amp;DATE(2026,5,1),'Trial Database'!$J$2:$J$28727,"&lt;"&amp;DATE(2026,6,1),'Trial Database'!$E$2:$E$28727,"Phase 2")</f>
        <v>0</v>
      </c>
      <c r="F98" s="12">
        <f>SUMIFS('Trial Database'!$H$2:$H$28727,'Trial Database'!$J$2:$J$28727,"&gt;="&amp;DATE(2026,5,1),'Trial Database'!$J$2:$J$28727,"&lt;"&amp;DATE(2026,6,1),'Trial Database'!$E$2:$E$28727,"Phase 2/3")</f>
        <v>0</v>
      </c>
      <c r="G98" s="12">
        <f>SUMIFS('Trial Database'!$H$2:$H$28727,'Trial Database'!$J$2:$J$28727,"&gt;="&amp;DATE(2026,5,1),'Trial Database'!$J$2:$J$28727,"&lt;"&amp;DATE(2026,6,1),'Trial Database'!$E$2:$E$28727,"Phase 3")</f>
        <v>0</v>
      </c>
      <c r="H98" s="12">
        <f>SUMIFS('Trial Database'!$H$2:$H$28727,'Trial Database'!$J$2:$J$28727,"&gt;="&amp;DATE(2026,5,1),'Trial Database'!$J$2:$J$28727,"&lt;"&amp;DATE(2026,6,1),'Trial Database'!$E$2:$E$28727,"Phase 4")</f>
        <v>0</v>
      </c>
      <c r="I98" s="13">
        <f>SUM(B98:H98)</f>
        <v>0</v>
      </c>
      <c r="J98" s="12">
        <f>DAY(EOMONTH(A98,0))</f>
        <v>0</v>
      </c>
      <c r="K98" s="21">
        <f>IF(J98=0,0,I98/J98)</f>
        <v>0</v>
      </c>
    </row>
    <row r="99" spans="1:11">
      <c r="A99" s="20">
        <v>46174</v>
      </c>
      <c r="B99" s="12">
        <f>SUMIFS('Trial Database'!$H$2:$H$28727,'Trial Database'!$J$2:$J$28727,"&gt;="&amp;DATE(2026,6,1),'Trial Database'!$J$2:$J$28727,"&lt;"&amp;DATE(2026,7,1),'Trial Database'!$E$2:$E$28727,"Early Phase 1")</f>
        <v>0</v>
      </c>
      <c r="C99" s="12">
        <f>SUMIFS('Trial Database'!$H$2:$H$28727,'Trial Database'!$J$2:$J$28727,"&gt;="&amp;DATE(2026,6,1),'Trial Database'!$J$2:$J$28727,"&lt;"&amp;DATE(2026,7,1),'Trial Database'!$E$2:$E$28727,"Phase 1")</f>
        <v>0</v>
      </c>
      <c r="D99" s="12">
        <f>SUMIFS('Trial Database'!$H$2:$H$28727,'Trial Database'!$J$2:$J$28727,"&gt;="&amp;DATE(2026,6,1),'Trial Database'!$J$2:$J$28727,"&lt;"&amp;DATE(2026,7,1),'Trial Database'!$E$2:$E$28727,"Phase 1/2")</f>
        <v>0</v>
      </c>
      <c r="E99" s="12">
        <f>SUMIFS('Trial Database'!$H$2:$H$28727,'Trial Database'!$J$2:$J$28727,"&gt;="&amp;DATE(2026,6,1),'Trial Database'!$J$2:$J$28727,"&lt;"&amp;DATE(2026,7,1),'Trial Database'!$E$2:$E$28727,"Phase 2")</f>
        <v>0</v>
      </c>
      <c r="F99" s="12">
        <f>SUMIFS('Trial Database'!$H$2:$H$28727,'Trial Database'!$J$2:$J$28727,"&gt;="&amp;DATE(2026,6,1),'Trial Database'!$J$2:$J$28727,"&lt;"&amp;DATE(2026,7,1),'Trial Database'!$E$2:$E$28727,"Phase 2/3")</f>
        <v>0</v>
      </c>
      <c r="G99" s="12">
        <f>SUMIFS('Trial Database'!$H$2:$H$28727,'Trial Database'!$J$2:$J$28727,"&gt;="&amp;DATE(2026,6,1),'Trial Database'!$J$2:$J$28727,"&lt;"&amp;DATE(2026,7,1),'Trial Database'!$E$2:$E$28727,"Phase 3")</f>
        <v>0</v>
      </c>
      <c r="H99" s="12">
        <f>SUMIFS('Trial Database'!$H$2:$H$28727,'Trial Database'!$J$2:$J$28727,"&gt;="&amp;DATE(2026,6,1),'Trial Database'!$J$2:$J$28727,"&lt;"&amp;DATE(2026,7,1),'Trial Database'!$E$2:$E$28727,"Phase 4")</f>
        <v>0</v>
      </c>
      <c r="I99" s="13">
        <f>SUM(B99:H99)</f>
        <v>0</v>
      </c>
      <c r="J99" s="12">
        <f>DAY(EOMONTH(A99,0))</f>
        <v>0</v>
      </c>
      <c r="K99" s="21">
        <f>IF(J99=0,0,I99/J99)</f>
        <v>0</v>
      </c>
    </row>
    <row r="100" spans="1:11">
      <c r="A100" s="20">
        <v>46204</v>
      </c>
      <c r="B100" s="12">
        <f>SUMIFS('Trial Database'!$H$2:$H$28727,'Trial Database'!$J$2:$J$28727,"&gt;="&amp;DATE(2026,7,1),'Trial Database'!$J$2:$J$28727,"&lt;"&amp;DATE(2026,8,1),'Trial Database'!$E$2:$E$28727,"Early Phase 1")</f>
        <v>0</v>
      </c>
      <c r="C100" s="12">
        <f>SUMIFS('Trial Database'!$H$2:$H$28727,'Trial Database'!$J$2:$J$28727,"&gt;="&amp;DATE(2026,7,1),'Trial Database'!$J$2:$J$28727,"&lt;"&amp;DATE(2026,8,1),'Trial Database'!$E$2:$E$28727,"Phase 1")</f>
        <v>0</v>
      </c>
      <c r="D100" s="12">
        <f>SUMIFS('Trial Database'!$H$2:$H$28727,'Trial Database'!$J$2:$J$28727,"&gt;="&amp;DATE(2026,7,1),'Trial Database'!$J$2:$J$28727,"&lt;"&amp;DATE(2026,8,1),'Trial Database'!$E$2:$E$28727,"Phase 1/2")</f>
        <v>0</v>
      </c>
      <c r="E100" s="12">
        <f>SUMIFS('Trial Database'!$H$2:$H$28727,'Trial Database'!$J$2:$J$28727,"&gt;="&amp;DATE(2026,7,1),'Trial Database'!$J$2:$J$28727,"&lt;"&amp;DATE(2026,8,1),'Trial Database'!$E$2:$E$28727,"Phase 2")</f>
        <v>0</v>
      </c>
      <c r="F100" s="12">
        <f>SUMIFS('Trial Database'!$H$2:$H$28727,'Trial Database'!$J$2:$J$28727,"&gt;="&amp;DATE(2026,7,1),'Trial Database'!$J$2:$J$28727,"&lt;"&amp;DATE(2026,8,1),'Trial Database'!$E$2:$E$28727,"Phase 2/3")</f>
        <v>0</v>
      </c>
      <c r="G100" s="12">
        <f>SUMIFS('Trial Database'!$H$2:$H$28727,'Trial Database'!$J$2:$J$28727,"&gt;="&amp;DATE(2026,7,1),'Trial Database'!$J$2:$J$28727,"&lt;"&amp;DATE(2026,8,1),'Trial Database'!$E$2:$E$28727,"Phase 3")</f>
        <v>0</v>
      </c>
      <c r="H100" s="12">
        <f>SUMIFS('Trial Database'!$H$2:$H$28727,'Trial Database'!$J$2:$J$28727,"&gt;="&amp;DATE(2026,7,1),'Trial Database'!$J$2:$J$28727,"&lt;"&amp;DATE(2026,8,1),'Trial Database'!$E$2:$E$28727,"Phase 4")</f>
        <v>0</v>
      </c>
      <c r="I100" s="13">
        <f>SUM(B100:H100)</f>
        <v>0</v>
      </c>
      <c r="J100" s="12">
        <f>DAY(EOMONTH(A100,0))</f>
        <v>0</v>
      </c>
      <c r="K100" s="21">
        <f>IF(J100=0,0,I100/J100)</f>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BDD7EE"/>
  </sheetPr>
  <dimension ref="A1:J207"/>
  <sheetViews>
    <sheetView workbookViewId="0"/>
  </sheetViews>
  <sheetFormatPr defaultRowHeight="15"/>
  <cols>
    <col min="1" max="1" width="38.7109375" customWidth="1"/>
    <col min="2" max="12" width="14.7109375" customWidth="1"/>
  </cols>
  <sheetData>
    <row r="1" spans="1:10">
      <c r="A1" s="22" t="s">
        <v>64168</v>
      </c>
    </row>
    <row r="3" spans="1:10">
      <c r="A3" s="23" t="s">
        <v>64169</v>
      </c>
    </row>
    <row r="4" spans="1:10">
      <c r="A4" s="24" t="s">
        <v>62957</v>
      </c>
      <c r="B4" s="24" t="s">
        <v>64170</v>
      </c>
      <c r="C4" s="24" t="s">
        <v>64171</v>
      </c>
      <c r="D4" s="24" t="s">
        <v>62958</v>
      </c>
    </row>
    <row r="5" spans="1:10">
      <c r="A5" s="12" t="s">
        <v>62959</v>
      </c>
      <c r="B5" s="12">
        <f>COUNTIFS('Novel Approval Database'!$G$3:$G$417,2020,'Novel Approval Database'!$C$3:$C$417,"NDA",'Novel Approval Database'!$A$3:$A$417,"CDER")</f>
        <v>0</v>
      </c>
      <c r="C5" s="12">
        <f>COUNTIFS('Novel Approval Database'!$G$3:$G$417,2020,'Novel Approval Database'!$C$3:$C$417,"BLA",'Novel Approval Database'!$A$3:$A$417,"CDER")</f>
        <v>0</v>
      </c>
      <c r="D5" s="13">
        <f>B5+C5</f>
        <v>0</v>
      </c>
    </row>
    <row r="6" spans="1:10">
      <c r="A6" s="12" t="s">
        <v>62960</v>
      </c>
      <c r="B6" s="12">
        <f>COUNTIFS('Novel Approval Database'!$G$3:$G$417,2021,'Novel Approval Database'!$C$3:$C$417,"NDA",'Novel Approval Database'!$A$3:$A$417,"CDER")</f>
        <v>0</v>
      </c>
      <c r="C6" s="12">
        <f>COUNTIFS('Novel Approval Database'!$G$3:$G$417,2021,'Novel Approval Database'!$C$3:$C$417,"BLA",'Novel Approval Database'!$A$3:$A$417,"CDER")</f>
        <v>0</v>
      </c>
      <c r="D6" s="13">
        <f>B6+C6</f>
        <v>0</v>
      </c>
    </row>
    <row r="7" spans="1:10">
      <c r="A7" s="12" t="s">
        <v>62961</v>
      </c>
      <c r="B7" s="12">
        <f>COUNTIFS('Novel Approval Database'!$G$3:$G$417,2022,'Novel Approval Database'!$C$3:$C$417,"NDA",'Novel Approval Database'!$A$3:$A$417,"CDER")</f>
        <v>0</v>
      </c>
      <c r="C7" s="12">
        <f>COUNTIFS('Novel Approval Database'!$G$3:$G$417,2022,'Novel Approval Database'!$C$3:$C$417,"BLA",'Novel Approval Database'!$A$3:$A$417,"CDER")</f>
        <v>0</v>
      </c>
      <c r="D7" s="13">
        <f>B7+C7</f>
        <v>0</v>
      </c>
    </row>
    <row r="8" spans="1:10">
      <c r="A8" s="12" t="s">
        <v>62962</v>
      </c>
      <c r="B8" s="12">
        <f>COUNTIFS('Novel Approval Database'!$G$3:$G$417,2023,'Novel Approval Database'!$C$3:$C$417,"NDA",'Novel Approval Database'!$A$3:$A$417,"CDER")</f>
        <v>0</v>
      </c>
      <c r="C8" s="12">
        <f>COUNTIFS('Novel Approval Database'!$G$3:$G$417,2023,'Novel Approval Database'!$C$3:$C$417,"BLA",'Novel Approval Database'!$A$3:$A$417,"CDER")</f>
        <v>0</v>
      </c>
      <c r="D8" s="13">
        <f>B8+C8</f>
        <v>0</v>
      </c>
    </row>
    <row r="9" spans="1:10">
      <c r="A9" s="12" t="s">
        <v>62963</v>
      </c>
      <c r="B9" s="12">
        <f>COUNTIFS('Novel Approval Database'!$G$3:$G$417,2024,'Novel Approval Database'!$C$3:$C$417,"NDA",'Novel Approval Database'!$A$3:$A$417,"CDER")</f>
        <v>0</v>
      </c>
      <c r="C9" s="12">
        <f>COUNTIFS('Novel Approval Database'!$G$3:$G$417,2024,'Novel Approval Database'!$C$3:$C$417,"BLA",'Novel Approval Database'!$A$3:$A$417,"CDER")</f>
        <v>0</v>
      </c>
      <c r="D9" s="13">
        <f>B9+C9</f>
        <v>0</v>
      </c>
    </row>
    <row r="10" spans="1:10">
      <c r="A10" s="12" t="s">
        <v>62964</v>
      </c>
      <c r="B10" s="12">
        <f>COUNTIFS('Novel Approval Database'!$G$3:$G$417,2025,'Novel Approval Database'!$C$3:$C$417,"NDA",'Novel Approval Database'!$A$3:$A$417,"CDER")</f>
        <v>0</v>
      </c>
      <c r="C10" s="12">
        <f>COUNTIFS('Novel Approval Database'!$G$3:$G$417,2025,'Novel Approval Database'!$C$3:$C$417,"BLA",'Novel Approval Database'!$A$3:$A$417,"CDER")</f>
        <v>0</v>
      </c>
      <c r="D10" s="13">
        <f>B10+C10</f>
        <v>0</v>
      </c>
    </row>
    <row r="11" spans="1:10">
      <c r="A11" s="12" t="s">
        <v>62965</v>
      </c>
      <c r="B11" s="12">
        <f>COUNTIFS('Novel Approval Database'!$G$3:$G$417,2026,'Novel Approval Database'!$C$3:$C$417,"NDA",'Novel Approval Database'!$A$3:$A$417,"CDER")</f>
        <v>0</v>
      </c>
      <c r="C11" s="12">
        <f>COUNTIFS('Novel Approval Database'!$G$3:$G$417,2026,'Novel Approval Database'!$C$3:$C$417,"BLA",'Novel Approval Database'!$A$3:$A$417,"CDER")</f>
        <v>0</v>
      </c>
      <c r="D11" s="13">
        <f>B11+C11</f>
        <v>0</v>
      </c>
    </row>
    <row r="12" spans="1:10">
      <c r="A12" s="14" t="s">
        <v>62966</v>
      </c>
      <c r="B12" s="15">
        <f>ROUND(B11*12/MONTH(EOMONTH(TODAY(),-1)),0)</f>
        <v>0</v>
      </c>
      <c r="C12" s="15">
        <f>ROUND(C11*12/MONTH(EOMONTH(TODAY(),-1)),0)</f>
        <v>0</v>
      </c>
      <c r="D12" s="16">
        <f>B12+C12</f>
        <v>0</v>
      </c>
    </row>
    <row r="14" spans="1:10">
      <c r="A14" s="23" t="s">
        <v>64172</v>
      </c>
    </row>
    <row r="15" spans="1:10">
      <c r="A15" s="24" t="s">
        <v>62975</v>
      </c>
      <c r="B15" s="24" t="s">
        <v>62992</v>
      </c>
      <c r="C15" s="24" t="s">
        <v>64173</v>
      </c>
      <c r="D15" s="24" t="s">
        <v>64174</v>
      </c>
      <c r="E15" s="24" t="s">
        <v>62958</v>
      </c>
      <c r="F15" s="24" t="s">
        <v>62976</v>
      </c>
      <c r="G15" s="24" t="s">
        <v>64175</v>
      </c>
      <c r="H15" s="24" t="s">
        <v>64176</v>
      </c>
      <c r="I15" s="24" t="s">
        <v>64177</v>
      </c>
      <c r="J15" s="24" t="s">
        <v>64178</v>
      </c>
    </row>
    <row r="16" spans="1:10">
      <c r="A16" s="25">
        <v>43831</v>
      </c>
      <c r="B16" s="12">
        <f>COUNTIFS('Novel Approval Database'!$H$3:$H$417,"Jan 2020",'Novel Approval Database'!$C$3:$C$417,"NDA")</f>
        <v>0</v>
      </c>
      <c r="C16" s="12">
        <f>COUNTIFS('Novel Approval Database'!$H$3:$H$417,"Jan 2020",'Novel Approval Database'!$C$3:$C$417,"BLA",'Novel Approval Database'!$A$3:$A$417,"CDER")</f>
        <v>0</v>
      </c>
      <c r="D16" s="12">
        <f>COUNTIFS('Novel Approval Database'!$H$3:$H$417,"Jan 2020",'Novel Approval Database'!$A$3:$A$417,"CBER")</f>
        <v>0</v>
      </c>
      <c r="E16" s="13">
        <f>B16+C16+D16</f>
        <v>0</v>
      </c>
      <c r="F16" s="12">
        <f>DAY(EOMONTH(A16,0))</f>
        <v>0</v>
      </c>
      <c r="G16" s="21">
        <f>IF(F16=0,0,E16/F16)</f>
        <v>0</v>
      </c>
      <c r="H16" s="12" t="s">
        <v>64179</v>
      </c>
      <c r="I16" s="12">
        <f>B16+C16</f>
        <v>0</v>
      </c>
      <c r="J16" s="26">
        <f>IFERROR((I16-COUNTIFS('Novel Approval Database'!$H$3:$H$417,"Jan 2019",'Novel Approval Database'!$C$3:$C$417,"NDA")-COUNTIFS('Novel Approval Database'!$H$3:$H$417,"Jan 2019",'Novel Approval Database'!$C$3:$C$417,"BLA",'Novel Approval Database'!$A$3:$A$417,"CDER"))/(COUNTIFS('Novel Approval Database'!$H$3:$H$417,"Jan 2019",'Novel Approval Database'!$C$3:$C$417,"NDA")+COUNTIFS('Novel Approval Database'!$H$3:$H$417,"Jan 2019",'Novel Approval Database'!$C$3:$C$417,"BLA",'Novel Approval Database'!$A$3:$A$417,"CDER")),"N/A")</f>
        <v>0</v>
      </c>
    </row>
    <row r="17" spans="1:10">
      <c r="A17" s="25">
        <v>43862</v>
      </c>
      <c r="B17" s="12">
        <f>COUNTIFS('Novel Approval Database'!$H$3:$H$417,"Feb 2020",'Novel Approval Database'!$C$3:$C$417,"NDA")</f>
        <v>0</v>
      </c>
      <c r="C17" s="12">
        <f>COUNTIFS('Novel Approval Database'!$H$3:$H$417,"Feb 2020",'Novel Approval Database'!$C$3:$C$417,"BLA",'Novel Approval Database'!$A$3:$A$417,"CDER")</f>
        <v>0</v>
      </c>
      <c r="D17" s="12">
        <f>COUNTIFS('Novel Approval Database'!$H$3:$H$417,"Feb 2020",'Novel Approval Database'!$A$3:$A$417,"CBER")</f>
        <v>0</v>
      </c>
      <c r="E17" s="13">
        <f>B17+C17+D17</f>
        <v>0</v>
      </c>
      <c r="F17" s="12">
        <f>DAY(EOMONTH(A17,0))</f>
        <v>0</v>
      </c>
      <c r="G17" s="21">
        <f>IF(F17=0,0,E17/F17)</f>
        <v>0</v>
      </c>
      <c r="H17" s="26">
        <f>IF(E16=0,"N/A",(E17-E16)/E16)</f>
        <v>0</v>
      </c>
      <c r="I17" s="12">
        <f>B17+C17</f>
        <v>0</v>
      </c>
      <c r="J17" s="26">
        <f>IFERROR((I17-COUNTIFS('Novel Approval Database'!$H$3:$H$417,"Feb 2019",'Novel Approval Database'!$C$3:$C$417,"NDA")-COUNTIFS('Novel Approval Database'!$H$3:$H$417,"Feb 2019",'Novel Approval Database'!$C$3:$C$417,"BLA",'Novel Approval Database'!$A$3:$A$417,"CDER"))/(COUNTIFS('Novel Approval Database'!$H$3:$H$417,"Feb 2019",'Novel Approval Database'!$C$3:$C$417,"NDA")+COUNTIFS('Novel Approval Database'!$H$3:$H$417,"Feb 2019",'Novel Approval Database'!$C$3:$C$417,"BLA",'Novel Approval Database'!$A$3:$A$417,"CDER")),"N/A")</f>
        <v>0</v>
      </c>
    </row>
    <row r="18" spans="1:10">
      <c r="A18" s="25">
        <v>43891</v>
      </c>
      <c r="B18" s="12">
        <f>COUNTIFS('Novel Approval Database'!$H$3:$H$417,"Mar 2020",'Novel Approval Database'!$C$3:$C$417,"NDA")</f>
        <v>0</v>
      </c>
      <c r="C18" s="12">
        <f>COUNTIFS('Novel Approval Database'!$H$3:$H$417,"Mar 2020",'Novel Approval Database'!$C$3:$C$417,"BLA",'Novel Approval Database'!$A$3:$A$417,"CDER")</f>
        <v>0</v>
      </c>
      <c r="D18" s="12">
        <f>COUNTIFS('Novel Approval Database'!$H$3:$H$417,"Mar 2020",'Novel Approval Database'!$A$3:$A$417,"CBER")</f>
        <v>0</v>
      </c>
      <c r="E18" s="13">
        <f>B18+C18+D18</f>
        <v>0</v>
      </c>
      <c r="F18" s="12">
        <f>DAY(EOMONTH(A18,0))</f>
        <v>0</v>
      </c>
      <c r="G18" s="21">
        <f>IF(F18=0,0,E18/F18)</f>
        <v>0</v>
      </c>
      <c r="H18" s="26">
        <f>IF(E17=0,"N/A",(E18-E17)/E17)</f>
        <v>0</v>
      </c>
      <c r="I18" s="12">
        <f>B18+C18</f>
        <v>0</v>
      </c>
      <c r="J18" s="26">
        <f>IFERROR((I18-COUNTIFS('Novel Approval Database'!$H$3:$H$417,"Mar 2019",'Novel Approval Database'!$C$3:$C$417,"NDA")-COUNTIFS('Novel Approval Database'!$H$3:$H$417,"Mar 2019",'Novel Approval Database'!$C$3:$C$417,"BLA",'Novel Approval Database'!$A$3:$A$417,"CDER"))/(COUNTIFS('Novel Approval Database'!$H$3:$H$417,"Mar 2019",'Novel Approval Database'!$C$3:$C$417,"NDA")+COUNTIFS('Novel Approval Database'!$H$3:$H$417,"Mar 2019",'Novel Approval Database'!$C$3:$C$417,"BLA",'Novel Approval Database'!$A$3:$A$417,"CDER")),"N/A")</f>
        <v>0</v>
      </c>
    </row>
    <row r="19" spans="1:10">
      <c r="A19" s="25">
        <v>43922</v>
      </c>
      <c r="B19" s="12">
        <f>COUNTIFS('Novel Approval Database'!$H$3:$H$417,"Apr 2020",'Novel Approval Database'!$C$3:$C$417,"NDA")</f>
        <v>0</v>
      </c>
      <c r="C19" s="12">
        <f>COUNTIFS('Novel Approval Database'!$H$3:$H$417,"Apr 2020",'Novel Approval Database'!$C$3:$C$417,"BLA",'Novel Approval Database'!$A$3:$A$417,"CDER")</f>
        <v>0</v>
      </c>
      <c r="D19" s="12">
        <f>COUNTIFS('Novel Approval Database'!$H$3:$H$417,"Apr 2020",'Novel Approval Database'!$A$3:$A$417,"CBER")</f>
        <v>0</v>
      </c>
      <c r="E19" s="13">
        <f>B19+C19+D19</f>
        <v>0</v>
      </c>
      <c r="F19" s="12">
        <f>DAY(EOMONTH(A19,0))</f>
        <v>0</v>
      </c>
      <c r="G19" s="21">
        <f>IF(F19=0,0,E19/F19)</f>
        <v>0</v>
      </c>
      <c r="H19" s="26">
        <f>IF(E18=0,"N/A",(E19-E18)/E18)</f>
        <v>0</v>
      </c>
      <c r="I19" s="12">
        <f>B19+C19</f>
        <v>0</v>
      </c>
      <c r="J19" s="26">
        <f>IFERROR((I19-COUNTIFS('Novel Approval Database'!$H$3:$H$417,"Apr 2019",'Novel Approval Database'!$C$3:$C$417,"NDA")-COUNTIFS('Novel Approval Database'!$H$3:$H$417,"Apr 2019",'Novel Approval Database'!$C$3:$C$417,"BLA",'Novel Approval Database'!$A$3:$A$417,"CDER"))/(COUNTIFS('Novel Approval Database'!$H$3:$H$417,"Apr 2019",'Novel Approval Database'!$C$3:$C$417,"NDA")+COUNTIFS('Novel Approval Database'!$H$3:$H$417,"Apr 2019",'Novel Approval Database'!$C$3:$C$417,"BLA",'Novel Approval Database'!$A$3:$A$417,"CDER")),"N/A")</f>
        <v>0</v>
      </c>
    </row>
    <row r="20" spans="1:10">
      <c r="A20" s="25">
        <v>43952</v>
      </c>
      <c r="B20" s="12">
        <f>COUNTIFS('Novel Approval Database'!$H$3:$H$417,"May 2020",'Novel Approval Database'!$C$3:$C$417,"NDA")</f>
        <v>0</v>
      </c>
      <c r="C20" s="12">
        <f>COUNTIFS('Novel Approval Database'!$H$3:$H$417,"May 2020",'Novel Approval Database'!$C$3:$C$417,"BLA",'Novel Approval Database'!$A$3:$A$417,"CDER")</f>
        <v>0</v>
      </c>
      <c r="D20" s="12">
        <f>COUNTIFS('Novel Approval Database'!$H$3:$H$417,"May 2020",'Novel Approval Database'!$A$3:$A$417,"CBER")</f>
        <v>0</v>
      </c>
      <c r="E20" s="13">
        <f>B20+C20+D20</f>
        <v>0</v>
      </c>
      <c r="F20" s="12">
        <f>DAY(EOMONTH(A20,0))</f>
        <v>0</v>
      </c>
      <c r="G20" s="21">
        <f>IF(F20=0,0,E20/F20)</f>
        <v>0</v>
      </c>
      <c r="H20" s="26">
        <f>IF(E19=0,"N/A",(E20-E19)/E19)</f>
        <v>0</v>
      </c>
      <c r="I20" s="12">
        <f>B20+C20</f>
        <v>0</v>
      </c>
      <c r="J20" s="26">
        <f>IFERROR((I20-COUNTIFS('Novel Approval Database'!$H$3:$H$417,"May 2019",'Novel Approval Database'!$C$3:$C$417,"NDA")-COUNTIFS('Novel Approval Database'!$H$3:$H$417,"May 2019",'Novel Approval Database'!$C$3:$C$417,"BLA",'Novel Approval Database'!$A$3:$A$417,"CDER"))/(COUNTIFS('Novel Approval Database'!$H$3:$H$417,"May 2019",'Novel Approval Database'!$C$3:$C$417,"NDA")+COUNTIFS('Novel Approval Database'!$H$3:$H$417,"May 2019",'Novel Approval Database'!$C$3:$C$417,"BLA",'Novel Approval Database'!$A$3:$A$417,"CDER")),"N/A")</f>
        <v>0</v>
      </c>
    </row>
    <row r="21" spans="1:10">
      <c r="A21" s="25">
        <v>43983</v>
      </c>
      <c r="B21" s="12">
        <f>COUNTIFS('Novel Approval Database'!$H$3:$H$417,"Jun 2020",'Novel Approval Database'!$C$3:$C$417,"NDA")</f>
        <v>0</v>
      </c>
      <c r="C21" s="12">
        <f>COUNTIFS('Novel Approval Database'!$H$3:$H$417,"Jun 2020",'Novel Approval Database'!$C$3:$C$417,"BLA",'Novel Approval Database'!$A$3:$A$417,"CDER")</f>
        <v>0</v>
      </c>
      <c r="D21" s="12">
        <f>COUNTIFS('Novel Approval Database'!$H$3:$H$417,"Jun 2020",'Novel Approval Database'!$A$3:$A$417,"CBER")</f>
        <v>0</v>
      </c>
      <c r="E21" s="13">
        <f>B21+C21+D21</f>
        <v>0</v>
      </c>
      <c r="F21" s="12">
        <f>DAY(EOMONTH(A21,0))</f>
        <v>0</v>
      </c>
      <c r="G21" s="21">
        <f>IF(F21=0,0,E21/F21)</f>
        <v>0</v>
      </c>
      <c r="H21" s="26">
        <f>IF(E20=0,"N/A",(E21-E20)/E20)</f>
        <v>0</v>
      </c>
      <c r="I21" s="12">
        <f>B21+C21</f>
        <v>0</v>
      </c>
      <c r="J21" s="26">
        <f>IFERROR((I21-COUNTIFS('Novel Approval Database'!$H$3:$H$417,"Jun 2019",'Novel Approval Database'!$C$3:$C$417,"NDA")-COUNTIFS('Novel Approval Database'!$H$3:$H$417,"Jun 2019",'Novel Approval Database'!$C$3:$C$417,"BLA",'Novel Approval Database'!$A$3:$A$417,"CDER"))/(COUNTIFS('Novel Approval Database'!$H$3:$H$417,"Jun 2019",'Novel Approval Database'!$C$3:$C$417,"NDA")+COUNTIFS('Novel Approval Database'!$H$3:$H$417,"Jun 2019",'Novel Approval Database'!$C$3:$C$417,"BLA",'Novel Approval Database'!$A$3:$A$417,"CDER")),"N/A")</f>
        <v>0</v>
      </c>
    </row>
    <row r="22" spans="1:10">
      <c r="A22" s="25">
        <v>44013</v>
      </c>
      <c r="B22" s="12">
        <f>COUNTIFS('Novel Approval Database'!$H$3:$H$417,"Jul 2020",'Novel Approval Database'!$C$3:$C$417,"NDA")</f>
        <v>0</v>
      </c>
      <c r="C22" s="12">
        <f>COUNTIFS('Novel Approval Database'!$H$3:$H$417,"Jul 2020",'Novel Approval Database'!$C$3:$C$417,"BLA",'Novel Approval Database'!$A$3:$A$417,"CDER")</f>
        <v>0</v>
      </c>
      <c r="D22" s="12">
        <f>COUNTIFS('Novel Approval Database'!$H$3:$H$417,"Jul 2020",'Novel Approval Database'!$A$3:$A$417,"CBER")</f>
        <v>0</v>
      </c>
      <c r="E22" s="13">
        <f>B22+C22+D22</f>
        <v>0</v>
      </c>
      <c r="F22" s="12">
        <f>DAY(EOMONTH(A22,0))</f>
        <v>0</v>
      </c>
      <c r="G22" s="21">
        <f>IF(F22=0,0,E22/F22)</f>
        <v>0</v>
      </c>
      <c r="H22" s="26">
        <f>IF(E21=0,"N/A",(E22-E21)/E21)</f>
        <v>0</v>
      </c>
      <c r="I22" s="12">
        <f>B22+C22</f>
        <v>0</v>
      </c>
      <c r="J22" s="26">
        <f>IFERROR((I22-COUNTIFS('Novel Approval Database'!$H$3:$H$417,"Jul 2019",'Novel Approval Database'!$C$3:$C$417,"NDA")-COUNTIFS('Novel Approval Database'!$H$3:$H$417,"Jul 2019",'Novel Approval Database'!$C$3:$C$417,"BLA",'Novel Approval Database'!$A$3:$A$417,"CDER"))/(COUNTIFS('Novel Approval Database'!$H$3:$H$417,"Jul 2019",'Novel Approval Database'!$C$3:$C$417,"NDA")+COUNTIFS('Novel Approval Database'!$H$3:$H$417,"Jul 2019",'Novel Approval Database'!$C$3:$C$417,"BLA",'Novel Approval Database'!$A$3:$A$417,"CDER")),"N/A")</f>
        <v>0</v>
      </c>
    </row>
    <row r="23" spans="1:10">
      <c r="A23" s="25">
        <v>44044</v>
      </c>
      <c r="B23" s="12">
        <f>COUNTIFS('Novel Approval Database'!$H$3:$H$417,"Aug 2020",'Novel Approval Database'!$C$3:$C$417,"NDA")</f>
        <v>0</v>
      </c>
      <c r="C23" s="12">
        <f>COUNTIFS('Novel Approval Database'!$H$3:$H$417,"Aug 2020",'Novel Approval Database'!$C$3:$C$417,"BLA",'Novel Approval Database'!$A$3:$A$417,"CDER")</f>
        <v>0</v>
      </c>
      <c r="D23" s="12">
        <f>COUNTIFS('Novel Approval Database'!$H$3:$H$417,"Aug 2020",'Novel Approval Database'!$A$3:$A$417,"CBER")</f>
        <v>0</v>
      </c>
      <c r="E23" s="13">
        <f>B23+C23+D23</f>
        <v>0</v>
      </c>
      <c r="F23" s="12">
        <f>DAY(EOMONTH(A23,0))</f>
        <v>0</v>
      </c>
      <c r="G23" s="21">
        <f>IF(F23=0,0,E23/F23)</f>
        <v>0</v>
      </c>
      <c r="H23" s="26">
        <f>IF(E22=0,"N/A",(E23-E22)/E22)</f>
        <v>0</v>
      </c>
      <c r="I23" s="12">
        <f>B23+C23</f>
        <v>0</v>
      </c>
      <c r="J23" s="26">
        <f>IFERROR((I23-COUNTIFS('Novel Approval Database'!$H$3:$H$417,"Aug 2019",'Novel Approval Database'!$C$3:$C$417,"NDA")-COUNTIFS('Novel Approval Database'!$H$3:$H$417,"Aug 2019",'Novel Approval Database'!$C$3:$C$417,"BLA",'Novel Approval Database'!$A$3:$A$417,"CDER"))/(COUNTIFS('Novel Approval Database'!$H$3:$H$417,"Aug 2019",'Novel Approval Database'!$C$3:$C$417,"NDA")+COUNTIFS('Novel Approval Database'!$H$3:$H$417,"Aug 2019",'Novel Approval Database'!$C$3:$C$417,"BLA",'Novel Approval Database'!$A$3:$A$417,"CDER")),"N/A")</f>
        <v>0</v>
      </c>
    </row>
    <row r="24" spans="1:10">
      <c r="A24" s="25">
        <v>44075</v>
      </c>
      <c r="B24" s="12">
        <f>COUNTIFS('Novel Approval Database'!$H$3:$H$417,"Sep 2020",'Novel Approval Database'!$C$3:$C$417,"NDA")</f>
        <v>0</v>
      </c>
      <c r="C24" s="12">
        <f>COUNTIFS('Novel Approval Database'!$H$3:$H$417,"Sep 2020",'Novel Approval Database'!$C$3:$C$417,"BLA",'Novel Approval Database'!$A$3:$A$417,"CDER")</f>
        <v>0</v>
      </c>
      <c r="D24" s="12">
        <f>COUNTIFS('Novel Approval Database'!$H$3:$H$417,"Sep 2020",'Novel Approval Database'!$A$3:$A$417,"CBER")</f>
        <v>0</v>
      </c>
      <c r="E24" s="13">
        <f>B24+C24+D24</f>
        <v>0</v>
      </c>
      <c r="F24" s="12">
        <f>DAY(EOMONTH(A24,0))</f>
        <v>0</v>
      </c>
      <c r="G24" s="21">
        <f>IF(F24=0,0,E24/F24)</f>
        <v>0</v>
      </c>
      <c r="H24" s="26">
        <f>IF(E23=0,"N/A",(E24-E23)/E23)</f>
        <v>0</v>
      </c>
      <c r="I24" s="12">
        <f>B24+C24</f>
        <v>0</v>
      </c>
      <c r="J24" s="26">
        <f>IFERROR((I24-COUNTIFS('Novel Approval Database'!$H$3:$H$417,"Sep 2019",'Novel Approval Database'!$C$3:$C$417,"NDA")-COUNTIFS('Novel Approval Database'!$H$3:$H$417,"Sep 2019",'Novel Approval Database'!$C$3:$C$417,"BLA",'Novel Approval Database'!$A$3:$A$417,"CDER"))/(COUNTIFS('Novel Approval Database'!$H$3:$H$417,"Sep 2019",'Novel Approval Database'!$C$3:$C$417,"NDA")+COUNTIFS('Novel Approval Database'!$H$3:$H$417,"Sep 2019",'Novel Approval Database'!$C$3:$C$417,"BLA",'Novel Approval Database'!$A$3:$A$417,"CDER")),"N/A")</f>
        <v>0</v>
      </c>
    </row>
    <row r="25" spans="1:10">
      <c r="A25" s="25">
        <v>44105</v>
      </c>
      <c r="B25" s="12">
        <f>COUNTIFS('Novel Approval Database'!$H$3:$H$417,"Oct 2020",'Novel Approval Database'!$C$3:$C$417,"NDA")</f>
        <v>0</v>
      </c>
      <c r="C25" s="12">
        <f>COUNTIFS('Novel Approval Database'!$H$3:$H$417,"Oct 2020",'Novel Approval Database'!$C$3:$C$417,"BLA",'Novel Approval Database'!$A$3:$A$417,"CDER")</f>
        <v>0</v>
      </c>
      <c r="D25" s="12">
        <f>COUNTIFS('Novel Approval Database'!$H$3:$H$417,"Oct 2020",'Novel Approval Database'!$A$3:$A$417,"CBER")</f>
        <v>0</v>
      </c>
      <c r="E25" s="13">
        <f>B25+C25+D25</f>
        <v>0</v>
      </c>
      <c r="F25" s="12">
        <f>DAY(EOMONTH(A25,0))</f>
        <v>0</v>
      </c>
      <c r="G25" s="21">
        <f>IF(F25=0,0,E25/F25)</f>
        <v>0</v>
      </c>
      <c r="H25" s="26">
        <f>IF(E24=0,"N/A",(E25-E24)/E24)</f>
        <v>0</v>
      </c>
      <c r="I25" s="12">
        <f>B25+C25</f>
        <v>0</v>
      </c>
      <c r="J25" s="26">
        <f>IFERROR((I25-COUNTIFS('Novel Approval Database'!$H$3:$H$417,"Oct 2019",'Novel Approval Database'!$C$3:$C$417,"NDA")-COUNTIFS('Novel Approval Database'!$H$3:$H$417,"Oct 2019",'Novel Approval Database'!$C$3:$C$417,"BLA",'Novel Approval Database'!$A$3:$A$417,"CDER"))/(COUNTIFS('Novel Approval Database'!$H$3:$H$417,"Oct 2019",'Novel Approval Database'!$C$3:$C$417,"NDA")+COUNTIFS('Novel Approval Database'!$H$3:$H$417,"Oct 2019",'Novel Approval Database'!$C$3:$C$417,"BLA",'Novel Approval Database'!$A$3:$A$417,"CDER")),"N/A")</f>
        <v>0</v>
      </c>
    </row>
    <row r="26" spans="1:10">
      <c r="A26" s="25">
        <v>44136</v>
      </c>
      <c r="B26" s="12">
        <f>COUNTIFS('Novel Approval Database'!$H$3:$H$417,"Nov 2020",'Novel Approval Database'!$C$3:$C$417,"NDA")</f>
        <v>0</v>
      </c>
      <c r="C26" s="12">
        <f>COUNTIFS('Novel Approval Database'!$H$3:$H$417,"Nov 2020",'Novel Approval Database'!$C$3:$C$417,"BLA",'Novel Approval Database'!$A$3:$A$417,"CDER")</f>
        <v>0</v>
      </c>
      <c r="D26" s="12">
        <f>COUNTIFS('Novel Approval Database'!$H$3:$H$417,"Nov 2020",'Novel Approval Database'!$A$3:$A$417,"CBER")</f>
        <v>0</v>
      </c>
      <c r="E26" s="13">
        <f>B26+C26+D26</f>
        <v>0</v>
      </c>
      <c r="F26" s="12">
        <f>DAY(EOMONTH(A26,0))</f>
        <v>0</v>
      </c>
      <c r="G26" s="21">
        <f>IF(F26=0,0,E26/F26)</f>
        <v>0</v>
      </c>
      <c r="H26" s="26">
        <f>IF(E25=0,"N/A",(E26-E25)/E25)</f>
        <v>0</v>
      </c>
      <c r="I26" s="12">
        <f>B26+C26</f>
        <v>0</v>
      </c>
      <c r="J26" s="26">
        <f>IFERROR((I26-COUNTIFS('Novel Approval Database'!$H$3:$H$417,"Nov 2019",'Novel Approval Database'!$C$3:$C$417,"NDA")-COUNTIFS('Novel Approval Database'!$H$3:$H$417,"Nov 2019",'Novel Approval Database'!$C$3:$C$417,"BLA",'Novel Approval Database'!$A$3:$A$417,"CDER"))/(COUNTIFS('Novel Approval Database'!$H$3:$H$417,"Nov 2019",'Novel Approval Database'!$C$3:$C$417,"NDA")+COUNTIFS('Novel Approval Database'!$H$3:$H$417,"Nov 2019",'Novel Approval Database'!$C$3:$C$417,"BLA",'Novel Approval Database'!$A$3:$A$417,"CDER")),"N/A")</f>
        <v>0</v>
      </c>
    </row>
    <row r="27" spans="1:10">
      <c r="A27" s="25">
        <v>44166</v>
      </c>
      <c r="B27" s="12">
        <f>COUNTIFS('Novel Approval Database'!$H$3:$H$417,"Dec 2020",'Novel Approval Database'!$C$3:$C$417,"NDA")</f>
        <v>0</v>
      </c>
      <c r="C27" s="12">
        <f>COUNTIFS('Novel Approval Database'!$H$3:$H$417,"Dec 2020",'Novel Approval Database'!$C$3:$C$417,"BLA",'Novel Approval Database'!$A$3:$A$417,"CDER")</f>
        <v>0</v>
      </c>
      <c r="D27" s="12">
        <f>COUNTIFS('Novel Approval Database'!$H$3:$H$417,"Dec 2020",'Novel Approval Database'!$A$3:$A$417,"CBER")</f>
        <v>0</v>
      </c>
      <c r="E27" s="13">
        <f>B27+C27+D27</f>
        <v>0</v>
      </c>
      <c r="F27" s="12">
        <f>DAY(EOMONTH(A27,0))</f>
        <v>0</v>
      </c>
      <c r="G27" s="21">
        <f>IF(F27=0,0,E27/F27)</f>
        <v>0</v>
      </c>
      <c r="H27" s="26">
        <f>IF(E26=0,"N/A",(E27-E26)/E26)</f>
        <v>0</v>
      </c>
      <c r="I27" s="12">
        <f>B27+C27</f>
        <v>0</v>
      </c>
      <c r="J27" s="26">
        <f>IFERROR((I27-COUNTIFS('Novel Approval Database'!$H$3:$H$417,"Dec 2019",'Novel Approval Database'!$C$3:$C$417,"NDA")-COUNTIFS('Novel Approval Database'!$H$3:$H$417,"Dec 2019",'Novel Approval Database'!$C$3:$C$417,"BLA",'Novel Approval Database'!$A$3:$A$417,"CDER"))/(COUNTIFS('Novel Approval Database'!$H$3:$H$417,"Dec 2019",'Novel Approval Database'!$C$3:$C$417,"NDA")+COUNTIFS('Novel Approval Database'!$H$3:$H$417,"Dec 2019",'Novel Approval Database'!$C$3:$C$417,"BLA",'Novel Approval Database'!$A$3:$A$417,"CDER")),"N/A")</f>
        <v>0</v>
      </c>
    </row>
    <row r="28" spans="1:10">
      <c r="A28" s="25">
        <v>44197</v>
      </c>
      <c r="B28" s="12">
        <f>COUNTIFS('Novel Approval Database'!$H$3:$H$417,"Jan 2021",'Novel Approval Database'!$C$3:$C$417,"NDA")</f>
        <v>0</v>
      </c>
      <c r="C28" s="12">
        <f>COUNTIFS('Novel Approval Database'!$H$3:$H$417,"Jan 2021",'Novel Approval Database'!$C$3:$C$417,"BLA",'Novel Approval Database'!$A$3:$A$417,"CDER")</f>
        <v>0</v>
      </c>
      <c r="D28" s="12">
        <f>COUNTIFS('Novel Approval Database'!$H$3:$H$417,"Jan 2021",'Novel Approval Database'!$A$3:$A$417,"CBER")</f>
        <v>0</v>
      </c>
      <c r="E28" s="13">
        <f>B28+C28+D28</f>
        <v>0</v>
      </c>
      <c r="F28" s="12">
        <f>DAY(EOMONTH(A28,0))</f>
        <v>0</v>
      </c>
      <c r="G28" s="21">
        <f>IF(F28=0,0,E28/F28)</f>
        <v>0</v>
      </c>
      <c r="H28" s="26">
        <f>IF(E27=0,"N/A",(E28-E27)/E27)</f>
        <v>0</v>
      </c>
      <c r="I28" s="12">
        <f>B28+C28</f>
        <v>0</v>
      </c>
      <c r="J28" s="26">
        <f>IFERROR((I28-COUNTIFS('Novel Approval Database'!$H$3:$H$417,"Jan 2020",'Novel Approval Database'!$C$3:$C$417,"NDA")-COUNTIFS('Novel Approval Database'!$H$3:$H$417,"Jan 2020",'Novel Approval Database'!$C$3:$C$417,"BLA",'Novel Approval Database'!$A$3:$A$417,"CDER"))/(COUNTIFS('Novel Approval Database'!$H$3:$H$417,"Jan 2020",'Novel Approval Database'!$C$3:$C$417,"NDA")+COUNTIFS('Novel Approval Database'!$H$3:$H$417,"Jan 2020",'Novel Approval Database'!$C$3:$C$417,"BLA",'Novel Approval Database'!$A$3:$A$417,"CDER")),"N/A")</f>
        <v>0</v>
      </c>
    </row>
    <row r="29" spans="1:10">
      <c r="A29" s="25">
        <v>44228</v>
      </c>
      <c r="B29" s="12">
        <f>COUNTIFS('Novel Approval Database'!$H$3:$H$417,"Feb 2021",'Novel Approval Database'!$C$3:$C$417,"NDA")</f>
        <v>0</v>
      </c>
      <c r="C29" s="12">
        <f>COUNTIFS('Novel Approval Database'!$H$3:$H$417,"Feb 2021",'Novel Approval Database'!$C$3:$C$417,"BLA",'Novel Approval Database'!$A$3:$A$417,"CDER")</f>
        <v>0</v>
      </c>
      <c r="D29" s="12">
        <f>COUNTIFS('Novel Approval Database'!$H$3:$H$417,"Feb 2021",'Novel Approval Database'!$A$3:$A$417,"CBER")</f>
        <v>0</v>
      </c>
      <c r="E29" s="13">
        <f>B29+C29+D29</f>
        <v>0</v>
      </c>
      <c r="F29" s="12">
        <f>DAY(EOMONTH(A29,0))</f>
        <v>0</v>
      </c>
      <c r="G29" s="21">
        <f>IF(F29=0,0,E29/F29)</f>
        <v>0</v>
      </c>
      <c r="H29" s="26">
        <f>IF(E28=0,"N/A",(E29-E28)/E28)</f>
        <v>0</v>
      </c>
      <c r="I29" s="12">
        <f>B29+C29</f>
        <v>0</v>
      </c>
      <c r="J29" s="26">
        <f>IFERROR((I29-COUNTIFS('Novel Approval Database'!$H$3:$H$417,"Feb 2020",'Novel Approval Database'!$C$3:$C$417,"NDA")-COUNTIFS('Novel Approval Database'!$H$3:$H$417,"Feb 2020",'Novel Approval Database'!$C$3:$C$417,"BLA",'Novel Approval Database'!$A$3:$A$417,"CDER"))/(COUNTIFS('Novel Approval Database'!$H$3:$H$417,"Feb 2020",'Novel Approval Database'!$C$3:$C$417,"NDA")+COUNTIFS('Novel Approval Database'!$H$3:$H$417,"Feb 2020",'Novel Approval Database'!$C$3:$C$417,"BLA",'Novel Approval Database'!$A$3:$A$417,"CDER")),"N/A")</f>
        <v>0</v>
      </c>
    </row>
    <row r="30" spans="1:10">
      <c r="A30" s="25">
        <v>44256</v>
      </c>
      <c r="B30" s="12">
        <f>COUNTIFS('Novel Approval Database'!$H$3:$H$417,"Mar 2021",'Novel Approval Database'!$C$3:$C$417,"NDA")</f>
        <v>0</v>
      </c>
      <c r="C30" s="12">
        <f>COUNTIFS('Novel Approval Database'!$H$3:$H$417,"Mar 2021",'Novel Approval Database'!$C$3:$C$417,"BLA",'Novel Approval Database'!$A$3:$A$417,"CDER")</f>
        <v>0</v>
      </c>
      <c r="D30" s="12">
        <f>COUNTIFS('Novel Approval Database'!$H$3:$H$417,"Mar 2021",'Novel Approval Database'!$A$3:$A$417,"CBER")</f>
        <v>0</v>
      </c>
      <c r="E30" s="13">
        <f>B30+C30+D30</f>
        <v>0</v>
      </c>
      <c r="F30" s="12">
        <f>DAY(EOMONTH(A30,0))</f>
        <v>0</v>
      </c>
      <c r="G30" s="21">
        <f>IF(F30=0,0,E30/F30)</f>
        <v>0</v>
      </c>
      <c r="H30" s="26">
        <f>IF(E29=0,"N/A",(E30-E29)/E29)</f>
        <v>0</v>
      </c>
      <c r="I30" s="12">
        <f>B30+C30</f>
        <v>0</v>
      </c>
      <c r="J30" s="26">
        <f>IFERROR((I30-COUNTIFS('Novel Approval Database'!$H$3:$H$417,"Mar 2020",'Novel Approval Database'!$C$3:$C$417,"NDA")-COUNTIFS('Novel Approval Database'!$H$3:$H$417,"Mar 2020",'Novel Approval Database'!$C$3:$C$417,"BLA",'Novel Approval Database'!$A$3:$A$417,"CDER"))/(COUNTIFS('Novel Approval Database'!$H$3:$H$417,"Mar 2020",'Novel Approval Database'!$C$3:$C$417,"NDA")+COUNTIFS('Novel Approval Database'!$H$3:$H$417,"Mar 2020",'Novel Approval Database'!$C$3:$C$417,"BLA",'Novel Approval Database'!$A$3:$A$417,"CDER")),"N/A")</f>
        <v>0</v>
      </c>
    </row>
    <row r="31" spans="1:10">
      <c r="A31" s="25">
        <v>44287</v>
      </c>
      <c r="B31" s="12">
        <f>COUNTIFS('Novel Approval Database'!$H$3:$H$417,"Apr 2021",'Novel Approval Database'!$C$3:$C$417,"NDA")</f>
        <v>0</v>
      </c>
      <c r="C31" s="12">
        <f>COUNTIFS('Novel Approval Database'!$H$3:$H$417,"Apr 2021",'Novel Approval Database'!$C$3:$C$417,"BLA",'Novel Approval Database'!$A$3:$A$417,"CDER")</f>
        <v>0</v>
      </c>
      <c r="D31" s="12">
        <f>COUNTIFS('Novel Approval Database'!$H$3:$H$417,"Apr 2021",'Novel Approval Database'!$A$3:$A$417,"CBER")</f>
        <v>0</v>
      </c>
      <c r="E31" s="13">
        <f>B31+C31+D31</f>
        <v>0</v>
      </c>
      <c r="F31" s="12">
        <f>DAY(EOMONTH(A31,0))</f>
        <v>0</v>
      </c>
      <c r="G31" s="21">
        <f>IF(F31=0,0,E31/F31)</f>
        <v>0</v>
      </c>
      <c r="H31" s="26">
        <f>IF(E30=0,"N/A",(E31-E30)/E30)</f>
        <v>0</v>
      </c>
      <c r="I31" s="12">
        <f>B31+C31</f>
        <v>0</v>
      </c>
      <c r="J31" s="26">
        <f>IFERROR((I31-COUNTIFS('Novel Approval Database'!$H$3:$H$417,"Apr 2020",'Novel Approval Database'!$C$3:$C$417,"NDA")-COUNTIFS('Novel Approval Database'!$H$3:$H$417,"Apr 2020",'Novel Approval Database'!$C$3:$C$417,"BLA",'Novel Approval Database'!$A$3:$A$417,"CDER"))/(COUNTIFS('Novel Approval Database'!$H$3:$H$417,"Apr 2020",'Novel Approval Database'!$C$3:$C$417,"NDA")+COUNTIFS('Novel Approval Database'!$H$3:$H$417,"Apr 2020",'Novel Approval Database'!$C$3:$C$417,"BLA",'Novel Approval Database'!$A$3:$A$417,"CDER")),"N/A")</f>
        <v>0</v>
      </c>
    </row>
    <row r="32" spans="1:10">
      <c r="A32" s="25">
        <v>44317</v>
      </c>
      <c r="B32" s="12">
        <f>COUNTIFS('Novel Approval Database'!$H$3:$H$417,"May 2021",'Novel Approval Database'!$C$3:$C$417,"NDA")</f>
        <v>0</v>
      </c>
      <c r="C32" s="12">
        <f>COUNTIFS('Novel Approval Database'!$H$3:$H$417,"May 2021",'Novel Approval Database'!$C$3:$C$417,"BLA",'Novel Approval Database'!$A$3:$A$417,"CDER")</f>
        <v>0</v>
      </c>
      <c r="D32" s="12">
        <f>COUNTIFS('Novel Approval Database'!$H$3:$H$417,"May 2021",'Novel Approval Database'!$A$3:$A$417,"CBER")</f>
        <v>0</v>
      </c>
      <c r="E32" s="13">
        <f>B32+C32+D32</f>
        <v>0</v>
      </c>
      <c r="F32" s="12">
        <f>DAY(EOMONTH(A32,0))</f>
        <v>0</v>
      </c>
      <c r="G32" s="21">
        <f>IF(F32=0,0,E32/F32)</f>
        <v>0</v>
      </c>
      <c r="H32" s="26">
        <f>IF(E31=0,"N/A",(E32-E31)/E31)</f>
        <v>0</v>
      </c>
      <c r="I32" s="12">
        <f>B32+C32</f>
        <v>0</v>
      </c>
      <c r="J32" s="26">
        <f>IFERROR((I32-COUNTIFS('Novel Approval Database'!$H$3:$H$417,"May 2020",'Novel Approval Database'!$C$3:$C$417,"NDA")-COUNTIFS('Novel Approval Database'!$H$3:$H$417,"May 2020",'Novel Approval Database'!$C$3:$C$417,"BLA",'Novel Approval Database'!$A$3:$A$417,"CDER"))/(COUNTIFS('Novel Approval Database'!$H$3:$H$417,"May 2020",'Novel Approval Database'!$C$3:$C$417,"NDA")+COUNTIFS('Novel Approval Database'!$H$3:$H$417,"May 2020",'Novel Approval Database'!$C$3:$C$417,"BLA",'Novel Approval Database'!$A$3:$A$417,"CDER")),"N/A")</f>
        <v>0</v>
      </c>
    </row>
    <row r="33" spans="1:10">
      <c r="A33" s="25">
        <v>44348</v>
      </c>
      <c r="B33" s="12">
        <f>COUNTIFS('Novel Approval Database'!$H$3:$H$417,"Jun 2021",'Novel Approval Database'!$C$3:$C$417,"NDA")</f>
        <v>0</v>
      </c>
      <c r="C33" s="12">
        <f>COUNTIFS('Novel Approval Database'!$H$3:$H$417,"Jun 2021",'Novel Approval Database'!$C$3:$C$417,"BLA",'Novel Approval Database'!$A$3:$A$417,"CDER")</f>
        <v>0</v>
      </c>
      <c r="D33" s="12">
        <f>COUNTIFS('Novel Approval Database'!$H$3:$H$417,"Jun 2021",'Novel Approval Database'!$A$3:$A$417,"CBER")</f>
        <v>0</v>
      </c>
      <c r="E33" s="13">
        <f>B33+C33+D33</f>
        <v>0</v>
      </c>
      <c r="F33" s="12">
        <f>DAY(EOMONTH(A33,0))</f>
        <v>0</v>
      </c>
      <c r="G33" s="21">
        <f>IF(F33=0,0,E33/F33)</f>
        <v>0</v>
      </c>
      <c r="H33" s="26">
        <f>IF(E32=0,"N/A",(E33-E32)/E32)</f>
        <v>0</v>
      </c>
      <c r="I33" s="12">
        <f>B33+C33</f>
        <v>0</v>
      </c>
      <c r="J33" s="26">
        <f>IFERROR((I33-COUNTIFS('Novel Approval Database'!$H$3:$H$417,"Jun 2020",'Novel Approval Database'!$C$3:$C$417,"NDA")-COUNTIFS('Novel Approval Database'!$H$3:$H$417,"Jun 2020",'Novel Approval Database'!$C$3:$C$417,"BLA",'Novel Approval Database'!$A$3:$A$417,"CDER"))/(COUNTIFS('Novel Approval Database'!$H$3:$H$417,"Jun 2020",'Novel Approval Database'!$C$3:$C$417,"NDA")+COUNTIFS('Novel Approval Database'!$H$3:$H$417,"Jun 2020",'Novel Approval Database'!$C$3:$C$417,"BLA",'Novel Approval Database'!$A$3:$A$417,"CDER")),"N/A")</f>
        <v>0</v>
      </c>
    </row>
    <row r="34" spans="1:10">
      <c r="A34" s="25">
        <v>44378</v>
      </c>
      <c r="B34" s="12">
        <f>COUNTIFS('Novel Approval Database'!$H$3:$H$417,"Jul 2021",'Novel Approval Database'!$C$3:$C$417,"NDA")</f>
        <v>0</v>
      </c>
      <c r="C34" s="12">
        <f>COUNTIFS('Novel Approval Database'!$H$3:$H$417,"Jul 2021",'Novel Approval Database'!$C$3:$C$417,"BLA",'Novel Approval Database'!$A$3:$A$417,"CDER")</f>
        <v>0</v>
      </c>
      <c r="D34" s="12">
        <f>COUNTIFS('Novel Approval Database'!$H$3:$H$417,"Jul 2021",'Novel Approval Database'!$A$3:$A$417,"CBER")</f>
        <v>0</v>
      </c>
      <c r="E34" s="13">
        <f>B34+C34+D34</f>
        <v>0</v>
      </c>
      <c r="F34" s="12">
        <f>DAY(EOMONTH(A34,0))</f>
        <v>0</v>
      </c>
      <c r="G34" s="21">
        <f>IF(F34=0,0,E34/F34)</f>
        <v>0</v>
      </c>
      <c r="H34" s="26">
        <f>IF(E33=0,"N/A",(E34-E33)/E33)</f>
        <v>0</v>
      </c>
      <c r="I34" s="12">
        <f>B34+C34</f>
        <v>0</v>
      </c>
      <c r="J34" s="26">
        <f>IFERROR((I34-COUNTIFS('Novel Approval Database'!$H$3:$H$417,"Jul 2020",'Novel Approval Database'!$C$3:$C$417,"NDA")-COUNTIFS('Novel Approval Database'!$H$3:$H$417,"Jul 2020",'Novel Approval Database'!$C$3:$C$417,"BLA",'Novel Approval Database'!$A$3:$A$417,"CDER"))/(COUNTIFS('Novel Approval Database'!$H$3:$H$417,"Jul 2020",'Novel Approval Database'!$C$3:$C$417,"NDA")+COUNTIFS('Novel Approval Database'!$H$3:$H$417,"Jul 2020",'Novel Approval Database'!$C$3:$C$417,"BLA",'Novel Approval Database'!$A$3:$A$417,"CDER")),"N/A")</f>
        <v>0</v>
      </c>
    </row>
    <row r="35" spans="1:10">
      <c r="A35" s="25">
        <v>44409</v>
      </c>
      <c r="B35" s="12">
        <f>COUNTIFS('Novel Approval Database'!$H$3:$H$417,"Aug 2021",'Novel Approval Database'!$C$3:$C$417,"NDA")</f>
        <v>0</v>
      </c>
      <c r="C35" s="12">
        <f>COUNTIFS('Novel Approval Database'!$H$3:$H$417,"Aug 2021",'Novel Approval Database'!$C$3:$C$417,"BLA",'Novel Approval Database'!$A$3:$A$417,"CDER")</f>
        <v>0</v>
      </c>
      <c r="D35" s="12">
        <f>COUNTIFS('Novel Approval Database'!$H$3:$H$417,"Aug 2021",'Novel Approval Database'!$A$3:$A$417,"CBER")</f>
        <v>0</v>
      </c>
      <c r="E35" s="13">
        <f>B35+C35+D35</f>
        <v>0</v>
      </c>
      <c r="F35" s="12">
        <f>DAY(EOMONTH(A35,0))</f>
        <v>0</v>
      </c>
      <c r="G35" s="21">
        <f>IF(F35=0,0,E35/F35)</f>
        <v>0</v>
      </c>
      <c r="H35" s="26">
        <f>IF(E34=0,"N/A",(E35-E34)/E34)</f>
        <v>0</v>
      </c>
      <c r="I35" s="12">
        <f>B35+C35</f>
        <v>0</v>
      </c>
      <c r="J35" s="26">
        <f>IFERROR((I35-COUNTIFS('Novel Approval Database'!$H$3:$H$417,"Aug 2020",'Novel Approval Database'!$C$3:$C$417,"NDA")-COUNTIFS('Novel Approval Database'!$H$3:$H$417,"Aug 2020",'Novel Approval Database'!$C$3:$C$417,"BLA",'Novel Approval Database'!$A$3:$A$417,"CDER"))/(COUNTIFS('Novel Approval Database'!$H$3:$H$417,"Aug 2020",'Novel Approval Database'!$C$3:$C$417,"NDA")+COUNTIFS('Novel Approval Database'!$H$3:$H$417,"Aug 2020",'Novel Approval Database'!$C$3:$C$417,"BLA",'Novel Approval Database'!$A$3:$A$417,"CDER")),"N/A")</f>
        <v>0</v>
      </c>
    </row>
    <row r="36" spans="1:10">
      <c r="A36" s="25">
        <v>44440</v>
      </c>
      <c r="B36" s="12">
        <f>COUNTIFS('Novel Approval Database'!$H$3:$H$417,"Sep 2021",'Novel Approval Database'!$C$3:$C$417,"NDA")</f>
        <v>0</v>
      </c>
      <c r="C36" s="12">
        <f>COUNTIFS('Novel Approval Database'!$H$3:$H$417,"Sep 2021",'Novel Approval Database'!$C$3:$C$417,"BLA",'Novel Approval Database'!$A$3:$A$417,"CDER")</f>
        <v>0</v>
      </c>
      <c r="D36" s="12">
        <f>COUNTIFS('Novel Approval Database'!$H$3:$H$417,"Sep 2021",'Novel Approval Database'!$A$3:$A$417,"CBER")</f>
        <v>0</v>
      </c>
      <c r="E36" s="13">
        <f>B36+C36+D36</f>
        <v>0</v>
      </c>
      <c r="F36" s="12">
        <f>DAY(EOMONTH(A36,0))</f>
        <v>0</v>
      </c>
      <c r="G36" s="21">
        <f>IF(F36=0,0,E36/F36)</f>
        <v>0</v>
      </c>
      <c r="H36" s="26">
        <f>IF(E35=0,"N/A",(E36-E35)/E35)</f>
        <v>0</v>
      </c>
      <c r="I36" s="12">
        <f>B36+C36</f>
        <v>0</v>
      </c>
      <c r="J36" s="26">
        <f>IFERROR((I36-COUNTIFS('Novel Approval Database'!$H$3:$H$417,"Sep 2020",'Novel Approval Database'!$C$3:$C$417,"NDA")-COUNTIFS('Novel Approval Database'!$H$3:$H$417,"Sep 2020",'Novel Approval Database'!$C$3:$C$417,"BLA",'Novel Approval Database'!$A$3:$A$417,"CDER"))/(COUNTIFS('Novel Approval Database'!$H$3:$H$417,"Sep 2020",'Novel Approval Database'!$C$3:$C$417,"NDA")+COUNTIFS('Novel Approval Database'!$H$3:$H$417,"Sep 2020",'Novel Approval Database'!$C$3:$C$417,"BLA",'Novel Approval Database'!$A$3:$A$417,"CDER")),"N/A")</f>
        <v>0</v>
      </c>
    </row>
    <row r="37" spans="1:10">
      <c r="A37" s="25">
        <v>44470</v>
      </c>
      <c r="B37" s="12">
        <f>COUNTIFS('Novel Approval Database'!$H$3:$H$417,"Oct 2021",'Novel Approval Database'!$C$3:$C$417,"NDA")</f>
        <v>0</v>
      </c>
      <c r="C37" s="12">
        <f>COUNTIFS('Novel Approval Database'!$H$3:$H$417,"Oct 2021",'Novel Approval Database'!$C$3:$C$417,"BLA",'Novel Approval Database'!$A$3:$A$417,"CDER")</f>
        <v>0</v>
      </c>
      <c r="D37" s="12">
        <f>COUNTIFS('Novel Approval Database'!$H$3:$H$417,"Oct 2021",'Novel Approval Database'!$A$3:$A$417,"CBER")</f>
        <v>0</v>
      </c>
      <c r="E37" s="13">
        <f>B37+C37+D37</f>
        <v>0</v>
      </c>
      <c r="F37" s="12">
        <f>DAY(EOMONTH(A37,0))</f>
        <v>0</v>
      </c>
      <c r="G37" s="21">
        <f>IF(F37=0,0,E37/F37)</f>
        <v>0</v>
      </c>
      <c r="H37" s="26">
        <f>IF(E36=0,"N/A",(E37-E36)/E36)</f>
        <v>0</v>
      </c>
      <c r="I37" s="12">
        <f>B37+C37</f>
        <v>0</v>
      </c>
      <c r="J37" s="26">
        <f>IFERROR((I37-COUNTIFS('Novel Approval Database'!$H$3:$H$417,"Oct 2020",'Novel Approval Database'!$C$3:$C$417,"NDA")-COUNTIFS('Novel Approval Database'!$H$3:$H$417,"Oct 2020",'Novel Approval Database'!$C$3:$C$417,"BLA",'Novel Approval Database'!$A$3:$A$417,"CDER"))/(COUNTIFS('Novel Approval Database'!$H$3:$H$417,"Oct 2020",'Novel Approval Database'!$C$3:$C$417,"NDA")+COUNTIFS('Novel Approval Database'!$H$3:$H$417,"Oct 2020",'Novel Approval Database'!$C$3:$C$417,"BLA",'Novel Approval Database'!$A$3:$A$417,"CDER")),"N/A")</f>
        <v>0</v>
      </c>
    </row>
    <row r="38" spans="1:10">
      <c r="A38" s="25">
        <v>44501</v>
      </c>
      <c r="B38" s="12">
        <f>COUNTIFS('Novel Approval Database'!$H$3:$H$417,"Nov 2021",'Novel Approval Database'!$C$3:$C$417,"NDA")</f>
        <v>0</v>
      </c>
      <c r="C38" s="12">
        <f>COUNTIFS('Novel Approval Database'!$H$3:$H$417,"Nov 2021",'Novel Approval Database'!$C$3:$C$417,"BLA",'Novel Approval Database'!$A$3:$A$417,"CDER")</f>
        <v>0</v>
      </c>
      <c r="D38" s="12">
        <f>COUNTIFS('Novel Approval Database'!$H$3:$H$417,"Nov 2021",'Novel Approval Database'!$A$3:$A$417,"CBER")</f>
        <v>0</v>
      </c>
      <c r="E38" s="13">
        <f>B38+C38+D38</f>
        <v>0</v>
      </c>
      <c r="F38" s="12">
        <f>DAY(EOMONTH(A38,0))</f>
        <v>0</v>
      </c>
      <c r="G38" s="21">
        <f>IF(F38=0,0,E38/F38)</f>
        <v>0</v>
      </c>
      <c r="H38" s="26">
        <f>IF(E37=0,"N/A",(E38-E37)/E37)</f>
        <v>0</v>
      </c>
      <c r="I38" s="12">
        <f>B38+C38</f>
        <v>0</v>
      </c>
      <c r="J38" s="26">
        <f>IFERROR((I38-COUNTIFS('Novel Approval Database'!$H$3:$H$417,"Nov 2020",'Novel Approval Database'!$C$3:$C$417,"NDA")-COUNTIFS('Novel Approval Database'!$H$3:$H$417,"Nov 2020",'Novel Approval Database'!$C$3:$C$417,"BLA",'Novel Approval Database'!$A$3:$A$417,"CDER"))/(COUNTIFS('Novel Approval Database'!$H$3:$H$417,"Nov 2020",'Novel Approval Database'!$C$3:$C$417,"NDA")+COUNTIFS('Novel Approval Database'!$H$3:$H$417,"Nov 2020",'Novel Approval Database'!$C$3:$C$417,"BLA",'Novel Approval Database'!$A$3:$A$417,"CDER")),"N/A")</f>
        <v>0</v>
      </c>
    </row>
    <row r="39" spans="1:10">
      <c r="A39" s="25">
        <v>44531</v>
      </c>
      <c r="B39" s="12">
        <f>COUNTIFS('Novel Approval Database'!$H$3:$H$417,"Dec 2021",'Novel Approval Database'!$C$3:$C$417,"NDA")</f>
        <v>0</v>
      </c>
      <c r="C39" s="12">
        <f>COUNTIFS('Novel Approval Database'!$H$3:$H$417,"Dec 2021",'Novel Approval Database'!$C$3:$C$417,"BLA",'Novel Approval Database'!$A$3:$A$417,"CDER")</f>
        <v>0</v>
      </c>
      <c r="D39" s="12">
        <f>COUNTIFS('Novel Approval Database'!$H$3:$H$417,"Dec 2021",'Novel Approval Database'!$A$3:$A$417,"CBER")</f>
        <v>0</v>
      </c>
      <c r="E39" s="13">
        <f>B39+C39+D39</f>
        <v>0</v>
      </c>
      <c r="F39" s="12">
        <f>DAY(EOMONTH(A39,0))</f>
        <v>0</v>
      </c>
      <c r="G39" s="21">
        <f>IF(F39=0,0,E39/F39)</f>
        <v>0</v>
      </c>
      <c r="H39" s="26">
        <f>IF(E38=0,"N/A",(E39-E38)/E38)</f>
        <v>0</v>
      </c>
      <c r="I39" s="12">
        <f>B39+C39</f>
        <v>0</v>
      </c>
      <c r="J39" s="26">
        <f>IFERROR((I39-COUNTIFS('Novel Approval Database'!$H$3:$H$417,"Dec 2020",'Novel Approval Database'!$C$3:$C$417,"NDA")-COUNTIFS('Novel Approval Database'!$H$3:$H$417,"Dec 2020",'Novel Approval Database'!$C$3:$C$417,"BLA",'Novel Approval Database'!$A$3:$A$417,"CDER"))/(COUNTIFS('Novel Approval Database'!$H$3:$H$417,"Dec 2020",'Novel Approval Database'!$C$3:$C$417,"NDA")+COUNTIFS('Novel Approval Database'!$H$3:$H$417,"Dec 2020",'Novel Approval Database'!$C$3:$C$417,"BLA",'Novel Approval Database'!$A$3:$A$417,"CDER")),"N/A")</f>
        <v>0</v>
      </c>
    </row>
    <row r="40" spans="1:10">
      <c r="A40" s="25">
        <v>44562</v>
      </c>
      <c r="B40" s="12">
        <f>COUNTIFS('Novel Approval Database'!$H$3:$H$417,"Jan 2022",'Novel Approval Database'!$C$3:$C$417,"NDA")</f>
        <v>0</v>
      </c>
      <c r="C40" s="12">
        <f>COUNTIFS('Novel Approval Database'!$H$3:$H$417,"Jan 2022",'Novel Approval Database'!$C$3:$C$417,"BLA",'Novel Approval Database'!$A$3:$A$417,"CDER")</f>
        <v>0</v>
      </c>
      <c r="D40" s="12">
        <f>COUNTIFS('Novel Approval Database'!$H$3:$H$417,"Jan 2022",'Novel Approval Database'!$A$3:$A$417,"CBER")</f>
        <v>0</v>
      </c>
      <c r="E40" s="13">
        <f>B40+C40+D40</f>
        <v>0</v>
      </c>
      <c r="F40" s="12">
        <f>DAY(EOMONTH(A40,0))</f>
        <v>0</v>
      </c>
      <c r="G40" s="21">
        <f>IF(F40=0,0,E40/F40)</f>
        <v>0</v>
      </c>
      <c r="H40" s="26">
        <f>IF(E39=0,"N/A",(E40-E39)/E39)</f>
        <v>0</v>
      </c>
      <c r="I40" s="12">
        <f>B40+C40</f>
        <v>0</v>
      </c>
      <c r="J40" s="26">
        <f>IFERROR((I40-COUNTIFS('Novel Approval Database'!$H$3:$H$417,"Jan 2021",'Novel Approval Database'!$C$3:$C$417,"NDA")-COUNTIFS('Novel Approval Database'!$H$3:$H$417,"Jan 2021",'Novel Approval Database'!$C$3:$C$417,"BLA",'Novel Approval Database'!$A$3:$A$417,"CDER"))/(COUNTIFS('Novel Approval Database'!$H$3:$H$417,"Jan 2021",'Novel Approval Database'!$C$3:$C$417,"NDA")+COUNTIFS('Novel Approval Database'!$H$3:$H$417,"Jan 2021",'Novel Approval Database'!$C$3:$C$417,"BLA",'Novel Approval Database'!$A$3:$A$417,"CDER")),"N/A")</f>
        <v>0</v>
      </c>
    </row>
    <row r="41" spans="1:10">
      <c r="A41" s="25">
        <v>44593</v>
      </c>
      <c r="B41" s="12">
        <f>COUNTIFS('Novel Approval Database'!$H$3:$H$417,"Feb 2022",'Novel Approval Database'!$C$3:$C$417,"NDA")</f>
        <v>0</v>
      </c>
      <c r="C41" s="12">
        <f>COUNTIFS('Novel Approval Database'!$H$3:$H$417,"Feb 2022",'Novel Approval Database'!$C$3:$C$417,"BLA",'Novel Approval Database'!$A$3:$A$417,"CDER")</f>
        <v>0</v>
      </c>
      <c r="D41" s="12">
        <f>COUNTIFS('Novel Approval Database'!$H$3:$H$417,"Feb 2022",'Novel Approval Database'!$A$3:$A$417,"CBER")</f>
        <v>0</v>
      </c>
      <c r="E41" s="13">
        <f>B41+C41+D41</f>
        <v>0</v>
      </c>
      <c r="F41" s="12">
        <f>DAY(EOMONTH(A41,0))</f>
        <v>0</v>
      </c>
      <c r="G41" s="21">
        <f>IF(F41=0,0,E41/F41)</f>
        <v>0</v>
      </c>
      <c r="H41" s="26">
        <f>IF(E40=0,"N/A",(E41-E40)/E40)</f>
        <v>0</v>
      </c>
      <c r="I41" s="12">
        <f>B41+C41</f>
        <v>0</v>
      </c>
      <c r="J41" s="26">
        <f>IFERROR((I41-COUNTIFS('Novel Approval Database'!$H$3:$H$417,"Feb 2021",'Novel Approval Database'!$C$3:$C$417,"NDA")-COUNTIFS('Novel Approval Database'!$H$3:$H$417,"Feb 2021",'Novel Approval Database'!$C$3:$C$417,"BLA",'Novel Approval Database'!$A$3:$A$417,"CDER"))/(COUNTIFS('Novel Approval Database'!$H$3:$H$417,"Feb 2021",'Novel Approval Database'!$C$3:$C$417,"NDA")+COUNTIFS('Novel Approval Database'!$H$3:$H$417,"Feb 2021",'Novel Approval Database'!$C$3:$C$417,"BLA",'Novel Approval Database'!$A$3:$A$417,"CDER")),"N/A")</f>
        <v>0</v>
      </c>
    </row>
    <row r="42" spans="1:10">
      <c r="A42" s="25">
        <v>44621</v>
      </c>
      <c r="B42" s="12">
        <f>COUNTIFS('Novel Approval Database'!$H$3:$H$417,"Mar 2022",'Novel Approval Database'!$C$3:$C$417,"NDA")</f>
        <v>0</v>
      </c>
      <c r="C42" s="12">
        <f>COUNTIFS('Novel Approval Database'!$H$3:$H$417,"Mar 2022",'Novel Approval Database'!$C$3:$C$417,"BLA",'Novel Approval Database'!$A$3:$A$417,"CDER")</f>
        <v>0</v>
      </c>
      <c r="D42" s="12">
        <f>COUNTIFS('Novel Approval Database'!$H$3:$H$417,"Mar 2022",'Novel Approval Database'!$A$3:$A$417,"CBER")</f>
        <v>0</v>
      </c>
      <c r="E42" s="13">
        <f>B42+C42+D42</f>
        <v>0</v>
      </c>
      <c r="F42" s="12">
        <f>DAY(EOMONTH(A42,0))</f>
        <v>0</v>
      </c>
      <c r="G42" s="21">
        <f>IF(F42=0,0,E42/F42)</f>
        <v>0</v>
      </c>
      <c r="H42" s="26">
        <f>IF(E41=0,"N/A",(E42-E41)/E41)</f>
        <v>0</v>
      </c>
      <c r="I42" s="12">
        <f>B42+C42</f>
        <v>0</v>
      </c>
      <c r="J42" s="26">
        <f>IFERROR((I42-COUNTIFS('Novel Approval Database'!$H$3:$H$417,"Mar 2021",'Novel Approval Database'!$C$3:$C$417,"NDA")-COUNTIFS('Novel Approval Database'!$H$3:$H$417,"Mar 2021",'Novel Approval Database'!$C$3:$C$417,"BLA",'Novel Approval Database'!$A$3:$A$417,"CDER"))/(COUNTIFS('Novel Approval Database'!$H$3:$H$417,"Mar 2021",'Novel Approval Database'!$C$3:$C$417,"NDA")+COUNTIFS('Novel Approval Database'!$H$3:$H$417,"Mar 2021",'Novel Approval Database'!$C$3:$C$417,"BLA",'Novel Approval Database'!$A$3:$A$417,"CDER")),"N/A")</f>
        <v>0</v>
      </c>
    </row>
    <row r="43" spans="1:10">
      <c r="A43" s="25">
        <v>44652</v>
      </c>
      <c r="B43" s="12">
        <f>COUNTIFS('Novel Approval Database'!$H$3:$H$417,"Apr 2022",'Novel Approval Database'!$C$3:$C$417,"NDA")</f>
        <v>0</v>
      </c>
      <c r="C43" s="12">
        <f>COUNTIFS('Novel Approval Database'!$H$3:$H$417,"Apr 2022",'Novel Approval Database'!$C$3:$C$417,"BLA",'Novel Approval Database'!$A$3:$A$417,"CDER")</f>
        <v>0</v>
      </c>
      <c r="D43" s="12">
        <f>COUNTIFS('Novel Approval Database'!$H$3:$H$417,"Apr 2022",'Novel Approval Database'!$A$3:$A$417,"CBER")</f>
        <v>0</v>
      </c>
      <c r="E43" s="13">
        <f>B43+C43+D43</f>
        <v>0</v>
      </c>
      <c r="F43" s="12">
        <f>DAY(EOMONTH(A43,0))</f>
        <v>0</v>
      </c>
      <c r="G43" s="21">
        <f>IF(F43=0,0,E43/F43)</f>
        <v>0</v>
      </c>
      <c r="H43" s="26">
        <f>IF(E42=0,"N/A",(E43-E42)/E42)</f>
        <v>0</v>
      </c>
      <c r="I43" s="12">
        <f>B43+C43</f>
        <v>0</v>
      </c>
      <c r="J43" s="26">
        <f>IFERROR((I43-COUNTIFS('Novel Approval Database'!$H$3:$H$417,"Apr 2021",'Novel Approval Database'!$C$3:$C$417,"NDA")-COUNTIFS('Novel Approval Database'!$H$3:$H$417,"Apr 2021",'Novel Approval Database'!$C$3:$C$417,"BLA",'Novel Approval Database'!$A$3:$A$417,"CDER"))/(COUNTIFS('Novel Approval Database'!$H$3:$H$417,"Apr 2021",'Novel Approval Database'!$C$3:$C$417,"NDA")+COUNTIFS('Novel Approval Database'!$H$3:$H$417,"Apr 2021",'Novel Approval Database'!$C$3:$C$417,"BLA",'Novel Approval Database'!$A$3:$A$417,"CDER")),"N/A")</f>
        <v>0</v>
      </c>
    </row>
    <row r="44" spans="1:10">
      <c r="A44" s="25">
        <v>44682</v>
      </c>
      <c r="B44" s="12">
        <f>COUNTIFS('Novel Approval Database'!$H$3:$H$417,"May 2022",'Novel Approval Database'!$C$3:$C$417,"NDA")</f>
        <v>0</v>
      </c>
      <c r="C44" s="12">
        <f>COUNTIFS('Novel Approval Database'!$H$3:$H$417,"May 2022",'Novel Approval Database'!$C$3:$C$417,"BLA",'Novel Approval Database'!$A$3:$A$417,"CDER")</f>
        <v>0</v>
      </c>
      <c r="D44" s="12">
        <f>COUNTIFS('Novel Approval Database'!$H$3:$H$417,"May 2022",'Novel Approval Database'!$A$3:$A$417,"CBER")</f>
        <v>0</v>
      </c>
      <c r="E44" s="13">
        <f>B44+C44+D44</f>
        <v>0</v>
      </c>
      <c r="F44" s="12">
        <f>DAY(EOMONTH(A44,0))</f>
        <v>0</v>
      </c>
      <c r="G44" s="21">
        <f>IF(F44=0,0,E44/F44)</f>
        <v>0</v>
      </c>
      <c r="H44" s="26">
        <f>IF(E43=0,"N/A",(E44-E43)/E43)</f>
        <v>0</v>
      </c>
      <c r="I44" s="12">
        <f>B44+C44</f>
        <v>0</v>
      </c>
      <c r="J44" s="26">
        <f>IFERROR((I44-COUNTIFS('Novel Approval Database'!$H$3:$H$417,"May 2021",'Novel Approval Database'!$C$3:$C$417,"NDA")-COUNTIFS('Novel Approval Database'!$H$3:$H$417,"May 2021",'Novel Approval Database'!$C$3:$C$417,"BLA",'Novel Approval Database'!$A$3:$A$417,"CDER"))/(COUNTIFS('Novel Approval Database'!$H$3:$H$417,"May 2021",'Novel Approval Database'!$C$3:$C$417,"NDA")+COUNTIFS('Novel Approval Database'!$H$3:$H$417,"May 2021",'Novel Approval Database'!$C$3:$C$417,"BLA",'Novel Approval Database'!$A$3:$A$417,"CDER")),"N/A")</f>
        <v>0</v>
      </c>
    </row>
    <row r="45" spans="1:10">
      <c r="A45" s="25">
        <v>44713</v>
      </c>
      <c r="B45" s="12">
        <f>COUNTIFS('Novel Approval Database'!$H$3:$H$417,"Jun 2022",'Novel Approval Database'!$C$3:$C$417,"NDA")</f>
        <v>0</v>
      </c>
      <c r="C45" s="12">
        <f>COUNTIFS('Novel Approval Database'!$H$3:$H$417,"Jun 2022",'Novel Approval Database'!$C$3:$C$417,"BLA",'Novel Approval Database'!$A$3:$A$417,"CDER")</f>
        <v>0</v>
      </c>
      <c r="D45" s="12">
        <f>COUNTIFS('Novel Approval Database'!$H$3:$H$417,"Jun 2022",'Novel Approval Database'!$A$3:$A$417,"CBER")</f>
        <v>0</v>
      </c>
      <c r="E45" s="13">
        <f>B45+C45+D45</f>
        <v>0</v>
      </c>
      <c r="F45" s="12">
        <f>DAY(EOMONTH(A45,0))</f>
        <v>0</v>
      </c>
      <c r="G45" s="21">
        <f>IF(F45=0,0,E45/F45)</f>
        <v>0</v>
      </c>
      <c r="H45" s="26">
        <f>IF(E44=0,"N/A",(E45-E44)/E44)</f>
        <v>0</v>
      </c>
      <c r="I45" s="12">
        <f>B45+C45</f>
        <v>0</v>
      </c>
      <c r="J45" s="26">
        <f>IFERROR((I45-COUNTIFS('Novel Approval Database'!$H$3:$H$417,"Jun 2021",'Novel Approval Database'!$C$3:$C$417,"NDA")-COUNTIFS('Novel Approval Database'!$H$3:$H$417,"Jun 2021",'Novel Approval Database'!$C$3:$C$417,"BLA",'Novel Approval Database'!$A$3:$A$417,"CDER"))/(COUNTIFS('Novel Approval Database'!$H$3:$H$417,"Jun 2021",'Novel Approval Database'!$C$3:$C$417,"NDA")+COUNTIFS('Novel Approval Database'!$H$3:$H$417,"Jun 2021",'Novel Approval Database'!$C$3:$C$417,"BLA",'Novel Approval Database'!$A$3:$A$417,"CDER")),"N/A")</f>
        <v>0</v>
      </c>
    </row>
    <row r="46" spans="1:10">
      <c r="A46" s="25">
        <v>44743</v>
      </c>
      <c r="B46" s="12">
        <f>COUNTIFS('Novel Approval Database'!$H$3:$H$417,"Jul 2022",'Novel Approval Database'!$C$3:$C$417,"NDA")</f>
        <v>0</v>
      </c>
      <c r="C46" s="12">
        <f>COUNTIFS('Novel Approval Database'!$H$3:$H$417,"Jul 2022",'Novel Approval Database'!$C$3:$C$417,"BLA",'Novel Approval Database'!$A$3:$A$417,"CDER")</f>
        <v>0</v>
      </c>
      <c r="D46" s="12">
        <f>COUNTIFS('Novel Approval Database'!$H$3:$H$417,"Jul 2022",'Novel Approval Database'!$A$3:$A$417,"CBER")</f>
        <v>0</v>
      </c>
      <c r="E46" s="13">
        <f>B46+C46+D46</f>
        <v>0</v>
      </c>
      <c r="F46" s="12">
        <f>DAY(EOMONTH(A46,0))</f>
        <v>0</v>
      </c>
      <c r="G46" s="21">
        <f>IF(F46=0,0,E46/F46)</f>
        <v>0</v>
      </c>
      <c r="H46" s="26">
        <f>IF(E45=0,"N/A",(E46-E45)/E45)</f>
        <v>0</v>
      </c>
      <c r="I46" s="12">
        <f>B46+C46</f>
        <v>0</v>
      </c>
      <c r="J46" s="26">
        <f>IFERROR((I46-COUNTIFS('Novel Approval Database'!$H$3:$H$417,"Jul 2021",'Novel Approval Database'!$C$3:$C$417,"NDA")-COUNTIFS('Novel Approval Database'!$H$3:$H$417,"Jul 2021",'Novel Approval Database'!$C$3:$C$417,"BLA",'Novel Approval Database'!$A$3:$A$417,"CDER"))/(COUNTIFS('Novel Approval Database'!$H$3:$H$417,"Jul 2021",'Novel Approval Database'!$C$3:$C$417,"NDA")+COUNTIFS('Novel Approval Database'!$H$3:$H$417,"Jul 2021",'Novel Approval Database'!$C$3:$C$417,"BLA",'Novel Approval Database'!$A$3:$A$417,"CDER")),"N/A")</f>
        <v>0</v>
      </c>
    </row>
    <row r="47" spans="1:10">
      <c r="A47" s="25">
        <v>44774</v>
      </c>
      <c r="B47" s="12">
        <f>COUNTIFS('Novel Approval Database'!$H$3:$H$417,"Aug 2022",'Novel Approval Database'!$C$3:$C$417,"NDA")</f>
        <v>0</v>
      </c>
      <c r="C47" s="12">
        <f>COUNTIFS('Novel Approval Database'!$H$3:$H$417,"Aug 2022",'Novel Approval Database'!$C$3:$C$417,"BLA",'Novel Approval Database'!$A$3:$A$417,"CDER")</f>
        <v>0</v>
      </c>
      <c r="D47" s="12">
        <f>COUNTIFS('Novel Approval Database'!$H$3:$H$417,"Aug 2022",'Novel Approval Database'!$A$3:$A$417,"CBER")</f>
        <v>0</v>
      </c>
      <c r="E47" s="13">
        <f>B47+C47+D47</f>
        <v>0</v>
      </c>
      <c r="F47" s="12">
        <f>DAY(EOMONTH(A47,0))</f>
        <v>0</v>
      </c>
      <c r="G47" s="21">
        <f>IF(F47=0,0,E47/F47)</f>
        <v>0</v>
      </c>
      <c r="H47" s="26">
        <f>IF(E46=0,"N/A",(E47-E46)/E46)</f>
        <v>0</v>
      </c>
      <c r="I47" s="12">
        <f>B47+C47</f>
        <v>0</v>
      </c>
      <c r="J47" s="26">
        <f>IFERROR((I47-COUNTIFS('Novel Approval Database'!$H$3:$H$417,"Aug 2021",'Novel Approval Database'!$C$3:$C$417,"NDA")-COUNTIFS('Novel Approval Database'!$H$3:$H$417,"Aug 2021",'Novel Approval Database'!$C$3:$C$417,"BLA",'Novel Approval Database'!$A$3:$A$417,"CDER"))/(COUNTIFS('Novel Approval Database'!$H$3:$H$417,"Aug 2021",'Novel Approval Database'!$C$3:$C$417,"NDA")+COUNTIFS('Novel Approval Database'!$H$3:$H$417,"Aug 2021",'Novel Approval Database'!$C$3:$C$417,"BLA",'Novel Approval Database'!$A$3:$A$417,"CDER")),"N/A")</f>
        <v>0</v>
      </c>
    </row>
    <row r="48" spans="1:10">
      <c r="A48" s="25">
        <v>44805</v>
      </c>
      <c r="B48" s="12">
        <f>COUNTIFS('Novel Approval Database'!$H$3:$H$417,"Sep 2022",'Novel Approval Database'!$C$3:$C$417,"NDA")</f>
        <v>0</v>
      </c>
      <c r="C48" s="12">
        <f>COUNTIFS('Novel Approval Database'!$H$3:$H$417,"Sep 2022",'Novel Approval Database'!$C$3:$C$417,"BLA",'Novel Approval Database'!$A$3:$A$417,"CDER")</f>
        <v>0</v>
      </c>
      <c r="D48" s="12">
        <f>COUNTIFS('Novel Approval Database'!$H$3:$H$417,"Sep 2022",'Novel Approval Database'!$A$3:$A$417,"CBER")</f>
        <v>0</v>
      </c>
      <c r="E48" s="13">
        <f>B48+C48+D48</f>
        <v>0</v>
      </c>
      <c r="F48" s="12">
        <f>DAY(EOMONTH(A48,0))</f>
        <v>0</v>
      </c>
      <c r="G48" s="21">
        <f>IF(F48=0,0,E48/F48)</f>
        <v>0</v>
      </c>
      <c r="H48" s="26">
        <f>IF(E47=0,"N/A",(E48-E47)/E47)</f>
        <v>0</v>
      </c>
      <c r="I48" s="12">
        <f>B48+C48</f>
        <v>0</v>
      </c>
      <c r="J48" s="26">
        <f>IFERROR((I48-COUNTIFS('Novel Approval Database'!$H$3:$H$417,"Sep 2021",'Novel Approval Database'!$C$3:$C$417,"NDA")-COUNTIFS('Novel Approval Database'!$H$3:$H$417,"Sep 2021",'Novel Approval Database'!$C$3:$C$417,"BLA",'Novel Approval Database'!$A$3:$A$417,"CDER"))/(COUNTIFS('Novel Approval Database'!$H$3:$H$417,"Sep 2021",'Novel Approval Database'!$C$3:$C$417,"NDA")+COUNTIFS('Novel Approval Database'!$H$3:$H$417,"Sep 2021",'Novel Approval Database'!$C$3:$C$417,"BLA",'Novel Approval Database'!$A$3:$A$417,"CDER")),"N/A")</f>
        <v>0</v>
      </c>
    </row>
    <row r="49" spans="1:10">
      <c r="A49" s="25">
        <v>44835</v>
      </c>
      <c r="B49" s="12">
        <f>COUNTIFS('Novel Approval Database'!$H$3:$H$417,"Oct 2022",'Novel Approval Database'!$C$3:$C$417,"NDA")</f>
        <v>0</v>
      </c>
      <c r="C49" s="12">
        <f>COUNTIFS('Novel Approval Database'!$H$3:$H$417,"Oct 2022",'Novel Approval Database'!$C$3:$C$417,"BLA",'Novel Approval Database'!$A$3:$A$417,"CDER")</f>
        <v>0</v>
      </c>
      <c r="D49" s="12">
        <f>COUNTIFS('Novel Approval Database'!$H$3:$H$417,"Oct 2022",'Novel Approval Database'!$A$3:$A$417,"CBER")</f>
        <v>0</v>
      </c>
      <c r="E49" s="13">
        <f>B49+C49+D49</f>
        <v>0</v>
      </c>
      <c r="F49" s="12">
        <f>DAY(EOMONTH(A49,0))</f>
        <v>0</v>
      </c>
      <c r="G49" s="21">
        <f>IF(F49=0,0,E49/F49)</f>
        <v>0</v>
      </c>
      <c r="H49" s="26">
        <f>IF(E48=0,"N/A",(E49-E48)/E48)</f>
        <v>0</v>
      </c>
      <c r="I49" s="12">
        <f>B49+C49</f>
        <v>0</v>
      </c>
      <c r="J49" s="26">
        <f>IFERROR((I49-COUNTIFS('Novel Approval Database'!$H$3:$H$417,"Oct 2021",'Novel Approval Database'!$C$3:$C$417,"NDA")-COUNTIFS('Novel Approval Database'!$H$3:$H$417,"Oct 2021",'Novel Approval Database'!$C$3:$C$417,"BLA",'Novel Approval Database'!$A$3:$A$417,"CDER"))/(COUNTIFS('Novel Approval Database'!$H$3:$H$417,"Oct 2021",'Novel Approval Database'!$C$3:$C$417,"NDA")+COUNTIFS('Novel Approval Database'!$H$3:$H$417,"Oct 2021",'Novel Approval Database'!$C$3:$C$417,"BLA",'Novel Approval Database'!$A$3:$A$417,"CDER")),"N/A")</f>
        <v>0</v>
      </c>
    </row>
    <row r="50" spans="1:10">
      <c r="A50" s="25">
        <v>44866</v>
      </c>
      <c r="B50" s="12">
        <f>COUNTIFS('Novel Approval Database'!$H$3:$H$417,"Nov 2022",'Novel Approval Database'!$C$3:$C$417,"NDA")</f>
        <v>0</v>
      </c>
      <c r="C50" s="12">
        <f>COUNTIFS('Novel Approval Database'!$H$3:$H$417,"Nov 2022",'Novel Approval Database'!$C$3:$C$417,"BLA",'Novel Approval Database'!$A$3:$A$417,"CDER")</f>
        <v>0</v>
      </c>
      <c r="D50" s="12">
        <f>COUNTIFS('Novel Approval Database'!$H$3:$H$417,"Nov 2022",'Novel Approval Database'!$A$3:$A$417,"CBER")</f>
        <v>0</v>
      </c>
      <c r="E50" s="13">
        <f>B50+C50+D50</f>
        <v>0</v>
      </c>
      <c r="F50" s="12">
        <f>DAY(EOMONTH(A50,0))</f>
        <v>0</v>
      </c>
      <c r="G50" s="21">
        <f>IF(F50=0,0,E50/F50)</f>
        <v>0</v>
      </c>
      <c r="H50" s="26">
        <f>IF(E49=0,"N/A",(E50-E49)/E49)</f>
        <v>0</v>
      </c>
      <c r="I50" s="12">
        <f>B50+C50</f>
        <v>0</v>
      </c>
      <c r="J50" s="26">
        <f>IFERROR((I50-COUNTIFS('Novel Approval Database'!$H$3:$H$417,"Nov 2021",'Novel Approval Database'!$C$3:$C$417,"NDA")-COUNTIFS('Novel Approval Database'!$H$3:$H$417,"Nov 2021",'Novel Approval Database'!$C$3:$C$417,"BLA",'Novel Approval Database'!$A$3:$A$417,"CDER"))/(COUNTIFS('Novel Approval Database'!$H$3:$H$417,"Nov 2021",'Novel Approval Database'!$C$3:$C$417,"NDA")+COUNTIFS('Novel Approval Database'!$H$3:$H$417,"Nov 2021",'Novel Approval Database'!$C$3:$C$417,"BLA",'Novel Approval Database'!$A$3:$A$417,"CDER")),"N/A")</f>
        <v>0</v>
      </c>
    </row>
    <row r="51" spans="1:10">
      <c r="A51" s="25">
        <v>44896</v>
      </c>
      <c r="B51" s="12">
        <f>COUNTIFS('Novel Approval Database'!$H$3:$H$417,"Dec 2022",'Novel Approval Database'!$C$3:$C$417,"NDA")</f>
        <v>0</v>
      </c>
      <c r="C51" s="12">
        <f>COUNTIFS('Novel Approval Database'!$H$3:$H$417,"Dec 2022",'Novel Approval Database'!$C$3:$C$417,"BLA",'Novel Approval Database'!$A$3:$A$417,"CDER")</f>
        <v>0</v>
      </c>
      <c r="D51" s="12">
        <f>COUNTIFS('Novel Approval Database'!$H$3:$H$417,"Dec 2022",'Novel Approval Database'!$A$3:$A$417,"CBER")</f>
        <v>0</v>
      </c>
      <c r="E51" s="13">
        <f>B51+C51+D51</f>
        <v>0</v>
      </c>
      <c r="F51" s="12">
        <f>DAY(EOMONTH(A51,0))</f>
        <v>0</v>
      </c>
      <c r="G51" s="21">
        <f>IF(F51=0,0,E51/F51)</f>
        <v>0</v>
      </c>
      <c r="H51" s="26">
        <f>IF(E50=0,"N/A",(E51-E50)/E50)</f>
        <v>0</v>
      </c>
      <c r="I51" s="12">
        <f>B51+C51</f>
        <v>0</v>
      </c>
      <c r="J51" s="26">
        <f>IFERROR((I51-COUNTIFS('Novel Approval Database'!$H$3:$H$417,"Dec 2021",'Novel Approval Database'!$C$3:$C$417,"NDA")-COUNTIFS('Novel Approval Database'!$H$3:$H$417,"Dec 2021",'Novel Approval Database'!$C$3:$C$417,"BLA",'Novel Approval Database'!$A$3:$A$417,"CDER"))/(COUNTIFS('Novel Approval Database'!$H$3:$H$417,"Dec 2021",'Novel Approval Database'!$C$3:$C$417,"NDA")+COUNTIFS('Novel Approval Database'!$H$3:$H$417,"Dec 2021",'Novel Approval Database'!$C$3:$C$417,"BLA",'Novel Approval Database'!$A$3:$A$417,"CDER")),"N/A")</f>
        <v>0</v>
      </c>
    </row>
    <row r="52" spans="1:10">
      <c r="A52" s="25">
        <v>44927</v>
      </c>
      <c r="B52" s="12">
        <f>COUNTIFS('Novel Approval Database'!$H$3:$H$417,"Jan 2023",'Novel Approval Database'!$C$3:$C$417,"NDA")</f>
        <v>0</v>
      </c>
      <c r="C52" s="12">
        <f>COUNTIFS('Novel Approval Database'!$H$3:$H$417,"Jan 2023",'Novel Approval Database'!$C$3:$C$417,"BLA",'Novel Approval Database'!$A$3:$A$417,"CDER")</f>
        <v>0</v>
      </c>
      <c r="D52" s="12">
        <f>COUNTIFS('Novel Approval Database'!$H$3:$H$417,"Jan 2023",'Novel Approval Database'!$A$3:$A$417,"CBER")</f>
        <v>0</v>
      </c>
      <c r="E52" s="13">
        <f>B52+C52+D52</f>
        <v>0</v>
      </c>
      <c r="F52" s="12">
        <f>DAY(EOMONTH(A52,0))</f>
        <v>0</v>
      </c>
      <c r="G52" s="21">
        <f>IF(F52=0,0,E52/F52)</f>
        <v>0</v>
      </c>
      <c r="H52" s="26">
        <f>IF(E51=0,"N/A",(E52-E51)/E51)</f>
        <v>0</v>
      </c>
      <c r="I52" s="12">
        <f>B52+C52</f>
        <v>0</v>
      </c>
      <c r="J52" s="26">
        <f>IFERROR((I52-COUNTIFS('Novel Approval Database'!$H$3:$H$417,"Jan 2022",'Novel Approval Database'!$C$3:$C$417,"NDA")-COUNTIFS('Novel Approval Database'!$H$3:$H$417,"Jan 2022",'Novel Approval Database'!$C$3:$C$417,"BLA",'Novel Approval Database'!$A$3:$A$417,"CDER"))/(COUNTIFS('Novel Approval Database'!$H$3:$H$417,"Jan 2022",'Novel Approval Database'!$C$3:$C$417,"NDA")+COUNTIFS('Novel Approval Database'!$H$3:$H$417,"Jan 2022",'Novel Approval Database'!$C$3:$C$417,"BLA",'Novel Approval Database'!$A$3:$A$417,"CDER")),"N/A")</f>
        <v>0</v>
      </c>
    </row>
    <row r="53" spans="1:10">
      <c r="A53" s="25">
        <v>44958</v>
      </c>
      <c r="B53" s="12">
        <f>COUNTIFS('Novel Approval Database'!$H$3:$H$417,"Feb 2023",'Novel Approval Database'!$C$3:$C$417,"NDA")</f>
        <v>0</v>
      </c>
      <c r="C53" s="12">
        <f>COUNTIFS('Novel Approval Database'!$H$3:$H$417,"Feb 2023",'Novel Approval Database'!$C$3:$C$417,"BLA",'Novel Approval Database'!$A$3:$A$417,"CDER")</f>
        <v>0</v>
      </c>
      <c r="D53" s="12">
        <f>COUNTIFS('Novel Approval Database'!$H$3:$H$417,"Feb 2023",'Novel Approval Database'!$A$3:$A$417,"CBER")</f>
        <v>0</v>
      </c>
      <c r="E53" s="13">
        <f>B53+C53+D53</f>
        <v>0</v>
      </c>
      <c r="F53" s="12">
        <f>DAY(EOMONTH(A53,0))</f>
        <v>0</v>
      </c>
      <c r="G53" s="21">
        <f>IF(F53=0,0,E53/F53)</f>
        <v>0</v>
      </c>
      <c r="H53" s="26">
        <f>IF(E52=0,"N/A",(E53-E52)/E52)</f>
        <v>0</v>
      </c>
      <c r="I53" s="12">
        <f>B53+C53</f>
        <v>0</v>
      </c>
      <c r="J53" s="26">
        <f>IFERROR((I53-COUNTIFS('Novel Approval Database'!$H$3:$H$417,"Feb 2022",'Novel Approval Database'!$C$3:$C$417,"NDA")-COUNTIFS('Novel Approval Database'!$H$3:$H$417,"Feb 2022",'Novel Approval Database'!$C$3:$C$417,"BLA",'Novel Approval Database'!$A$3:$A$417,"CDER"))/(COUNTIFS('Novel Approval Database'!$H$3:$H$417,"Feb 2022",'Novel Approval Database'!$C$3:$C$417,"NDA")+COUNTIFS('Novel Approval Database'!$H$3:$H$417,"Feb 2022",'Novel Approval Database'!$C$3:$C$417,"BLA",'Novel Approval Database'!$A$3:$A$417,"CDER")),"N/A")</f>
        <v>0</v>
      </c>
    </row>
    <row r="54" spans="1:10">
      <c r="A54" s="25">
        <v>44986</v>
      </c>
      <c r="B54" s="12">
        <f>COUNTIFS('Novel Approval Database'!$H$3:$H$417,"Mar 2023",'Novel Approval Database'!$C$3:$C$417,"NDA")</f>
        <v>0</v>
      </c>
      <c r="C54" s="12">
        <f>COUNTIFS('Novel Approval Database'!$H$3:$H$417,"Mar 2023",'Novel Approval Database'!$C$3:$C$417,"BLA",'Novel Approval Database'!$A$3:$A$417,"CDER")</f>
        <v>0</v>
      </c>
      <c r="D54" s="12">
        <f>COUNTIFS('Novel Approval Database'!$H$3:$H$417,"Mar 2023",'Novel Approval Database'!$A$3:$A$417,"CBER")</f>
        <v>0</v>
      </c>
      <c r="E54" s="13">
        <f>B54+C54+D54</f>
        <v>0</v>
      </c>
      <c r="F54" s="12">
        <f>DAY(EOMONTH(A54,0))</f>
        <v>0</v>
      </c>
      <c r="G54" s="21">
        <f>IF(F54=0,0,E54/F54)</f>
        <v>0</v>
      </c>
      <c r="H54" s="26">
        <f>IF(E53=0,"N/A",(E54-E53)/E53)</f>
        <v>0</v>
      </c>
      <c r="I54" s="12">
        <f>B54+C54</f>
        <v>0</v>
      </c>
      <c r="J54" s="26">
        <f>IFERROR((I54-COUNTIFS('Novel Approval Database'!$H$3:$H$417,"Mar 2022",'Novel Approval Database'!$C$3:$C$417,"NDA")-COUNTIFS('Novel Approval Database'!$H$3:$H$417,"Mar 2022",'Novel Approval Database'!$C$3:$C$417,"BLA",'Novel Approval Database'!$A$3:$A$417,"CDER"))/(COUNTIFS('Novel Approval Database'!$H$3:$H$417,"Mar 2022",'Novel Approval Database'!$C$3:$C$417,"NDA")+COUNTIFS('Novel Approval Database'!$H$3:$H$417,"Mar 2022",'Novel Approval Database'!$C$3:$C$417,"BLA",'Novel Approval Database'!$A$3:$A$417,"CDER")),"N/A")</f>
        <v>0</v>
      </c>
    </row>
    <row r="55" spans="1:10">
      <c r="A55" s="25">
        <v>45017</v>
      </c>
      <c r="B55" s="12">
        <f>COUNTIFS('Novel Approval Database'!$H$3:$H$417,"Apr 2023",'Novel Approval Database'!$C$3:$C$417,"NDA")</f>
        <v>0</v>
      </c>
      <c r="C55" s="12">
        <f>COUNTIFS('Novel Approval Database'!$H$3:$H$417,"Apr 2023",'Novel Approval Database'!$C$3:$C$417,"BLA",'Novel Approval Database'!$A$3:$A$417,"CDER")</f>
        <v>0</v>
      </c>
      <c r="D55" s="12">
        <f>COUNTIFS('Novel Approval Database'!$H$3:$H$417,"Apr 2023",'Novel Approval Database'!$A$3:$A$417,"CBER")</f>
        <v>0</v>
      </c>
      <c r="E55" s="13">
        <f>B55+C55+D55</f>
        <v>0</v>
      </c>
      <c r="F55" s="12">
        <f>DAY(EOMONTH(A55,0))</f>
        <v>0</v>
      </c>
      <c r="G55" s="21">
        <f>IF(F55=0,0,E55/F55)</f>
        <v>0</v>
      </c>
      <c r="H55" s="26">
        <f>IF(E54=0,"N/A",(E55-E54)/E54)</f>
        <v>0</v>
      </c>
      <c r="I55" s="12">
        <f>B55+C55</f>
        <v>0</v>
      </c>
      <c r="J55" s="26">
        <f>IFERROR((I55-COUNTIFS('Novel Approval Database'!$H$3:$H$417,"Apr 2022",'Novel Approval Database'!$C$3:$C$417,"NDA")-COUNTIFS('Novel Approval Database'!$H$3:$H$417,"Apr 2022",'Novel Approval Database'!$C$3:$C$417,"BLA",'Novel Approval Database'!$A$3:$A$417,"CDER"))/(COUNTIFS('Novel Approval Database'!$H$3:$H$417,"Apr 2022",'Novel Approval Database'!$C$3:$C$417,"NDA")+COUNTIFS('Novel Approval Database'!$H$3:$H$417,"Apr 2022",'Novel Approval Database'!$C$3:$C$417,"BLA",'Novel Approval Database'!$A$3:$A$417,"CDER")),"N/A")</f>
        <v>0</v>
      </c>
    </row>
    <row r="56" spans="1:10">
      <c r="A56" s="25">
        <v>45047</v>
      </c>
      <c r="B56" s="12">
        <f>COUNTIFS('Novel Approval Database'!$H$3:$H$417,"May 2023",'Novel Approval Database'!$C$3:$C$417,"NDA")</f>
        <v>0</v>
      </c>
      <c r="C56" s="12">
        <f>COUNTIFS('Novel Approval Database'!$H$3:$H$417,"May 2023",'Novel Approval Database'!$C$3:$C$417,"BLA",'Novel Approval Database'!$A$3:$A$417,"CDER")</f>
        <v>0</v>
      </c>
      <c r="D56" s="12">
        <f>COUNTIFS('Novel Approval Database'!$H$3:$H$417,"May 2023",'Novel Approval Database'!$A$3:$A$417,"CBER")</f>
        <v>0</v>
      </c>
      <c r="E56" s="13">
        <f>B56+C56+D56</f>
        <v>0</v>
      </c>
      <c r="F56" s="12">
        <f>DAY(EOMONTH(A56,0))</f>
        <v>0</v>
      </c>
      <c r="G56" s="21">
        <f>IF(F56=0,0,E56/F56)</f>
        <v>0</v>
      </c>
      <c r="H56" s="26">
        <f>IF(E55=0,"N/A",(E56-E55)/E55)</f>
        <v>0</v>
      </c>
      <c r="I56" s="12">
        <f>B56+C56</f>
        <v>0</v>
      </c>
      <c r="J56" s="26">
        <f>IFERROR((I56-COUNTIFS('Novel Approval Database'!$H$3:$H$417,"May 2022",'Novel Approval Database'!$C$3:$C$417,"NDA")-COUNTIFS('Novel Approval Database'!$H$3:$H$417,"May 2022",'Novel Approval Database'!$C$3:$C$417,"BLA",'Novel Approval Database'!$A$3:$A$417,"CDER"))/(COUNTIFS('Novel Approval Database'!$H$3:$H$417,"May 2022",'Novel Approval Database'!$C$3:$C$417,"NDA")+COUNTIFS('Novel Approval Database'!$H$3:$H$417,"May 2022",'Novel Approval Database'!$C$3:$C$417,"BLA",'Novel Approval Database'!$A$3:$A$417,"CDER")),"N/A")</f>
        <v>0</v>
      </c>
    </row>
    <row r="57" spans="1:10">
      <c r="A57" s="25">
        <v>45078</v>
      </c>
      <c r="B57" s="12">
        <f>COUNTIFS('Novel Approval Database'!$H$3:$H$417,"Jun 2023",'Novel Approval Database'!$C$3:$C$417,"NDA")</f>
        <v>0</v>
      </c>
      <c r="C57" s="12">
        <f>COUNTIFS('Novel Approval Database'!$H$3:$H$417,"Jun 2023",'Novel Approval Database'!$C$3:$C$417,"BLA",'Novel Approval Database'!$A$3:$A$417,"CDER")</f>
        <v>0</v>
      </c>
      <c r="D57" s="12">
        <f>COUNTIFS('Novel Approval Database'!$H$3:$H$417,"Jun 2023",'Novel Approval Database'!$A$3:$A$417,"CBER")</f>
        <v>0</v>
      </c>
      <c r="E57" s="13">
        <f>B57+C57+D57</f>
        <v>0</v>
      </c>
      <c r="F57" s="12">
        <f>DAY(EOMONTH(A57,0))</f>
        <v>0</v>
      </c>
      <c r="G57" s="21">
        <f>IF(F57=0,0,E57/F57)</f>
        <v>0</v>
      </c>
      <c r="H57" s="26">
        <f>IF(E56=0,"N/A",(E57-E56)/E56)</f>
        <v>0</v>
      </c>
      <c r="I57" s="12">
        <f>B57+C57</f>
        <v>0</v>
      </c>
      <c r="J57" s="26">
        <f>IFERROR((I57-COUNTIFS('Novel Approval Database'!$H$3:$H$417,"Jun 2022",'Novel Approval Database'!$C$3:$C$417,"NDA")-COUNTIFS('Novel Approval Database'!$H$3:$H$417,"Jun 2022",'Novel Approval Database'!$C$3:$C$417,"BLA",'Novel Approval Database'!$A$3:$A$417,"CDER"))/(COUNTIFS('Novel Approval Database'!$H$3:$H$417,"Jun 2022",'Novel Approval Database'!$C$3:$C$417,"NDA")+COUNTIFS('Novel Approval Database'!$H$3:$H$417,"Jun 2022",'Novel Approval Database'!$C$3:$C$417,"BLA",'Novel Approval Database'!$A$3:$A$417,"CDER")),"N/A")</f>
        <v>0</v>
      </c>
    </row>
    <row r="58" spans="1:10">
      <c r="A58" s="25">
        <v>45108</v>
      </c>
      <c r="B58" s="12">
        <f>COUNTIFS('Novel Approval Database'!$H$3:$H$417,"Jul 2023",'Novel Approval Database'!$C$3:$C$417,"NDA")</f>
        <v>0</v>
      </c>
      <c r="C58" s="12">
        <f>COUNTIFS('Novel Approval Database'!$H$3:$H$417,"Jul 2023",'Novel Approval Database'!$C$3:$C$417,"BLA",'Novel Approval Database'!$A$3:$A$417,"CDER")</f>
        <v>0</v>
      </c>
      <c r="D58" s="12">
        <f>COUNTIFS('Novel Approval Database'!$H$3:$H$417,"Jul 2023",'Novel Approval Database'!$A$3:$A$417,"CBER")</f>
        <v>0</v>
      </c>
      <c r="E58" s="13">
        <f>B58+C58+D58</f>
        <v>0</v>
      </c>
      <c r="F58" s="12">
        <f>DAY(EOMONTH(A58,0))</f>
        <v>0</v>
      </c>
      <c r="G58" s="21">
        <f>IF(F58=0,0,E58/F58)</f>
        <v>0</v>
      </c>
      <c r="H58" s="26">
        <f>IF(E57=0,"N/A",(E58-E57)/E57)</f>
        <v>0</v>
      </c>
      <c r="I58" s="12">
        <f>B58+C58</f>
        <v>0</v>
      </c>
      <c r="J58" s="26">
        <f>IFERROR((I58-COUNTIFS('Novel Approval Database'!$H$3:$H$417,"Jul 2022",'Novel Approval Database'!$C$3:$C$417,"NDA")-COUNTIFS('Novel Approval Database'!$H$3:$H$417,"Jul 2022",'Novel Approval Database'!$C$3:$C$417,"BLA",'Novel Approval Database'!$A$3:$A$417,"CDER"))/(COUNTIFS('Novel Approval Database'!$H$3:$H$417,"Jul 2022",'Novel Approval Database'!$C$3:$C$417,"NDA")+COUNTIFS('Novel Approval Database'!$H$3:$H$417,"Jul 2022",'Novel Approval Database'!$C$3:$C$417,"BLA",'Novel Approval Database'!$A$3:$A$417,"CDER")),"N/A")</f>
        <v>0</v>
      </c>
    </row>
    <row r="59" spans="1:10">
      <c r="A59" s="25">
        <v>45139</v>
      </c>
      <c r="B59" s="12">
        <f>COUNTIFS('Novel Approval Database'!$H$3:$H$417,"Aug 2023",'Novel Approval Database'!$C$3:$C$417,"NDA")</f>
        <v>0</v>
      </c>
      <c r="C59" s="12">
        <f>COUNTIFS('Novel Approval Database'!$H$3:$H$417,"Aug 2023",'Novel Approval Database'!$C$3:$C$417,"BLA",'Novel Approval Database'!$A$3:$A$417,"CDER")</f>
        <v>0</v>
      </c>
      <c r="D59" s="12">
        <f>COUNTIFS('Novel Approval Database'!$H$3:$H$417,"Aug 2023",'Novel Approval Database'!$A$3:$A$417,"CBER")</f>
        <v>0</v>
      </c>
      <c r="E59" s="13">
        <f>B59+C59+D59</f>
        <v>0</v>
      </c>
      <c r="F59" s="12">
        <f>DAY(EOMONTH(A59,0))</f>
        <v>0</v>
      </c>
      <c r="G59" s="21">
        <f>IF(F59=0,0,E59/F59)</f>
        <v>0</v>
      </c>
      <c r="H59" s="26">
        <f>IF(E58=0,"N/A",(E59-E58)/E58)</f>
        <v>0</v>
      </c>
      <c r="I59" s="12">
        <f>B59+C59</f>
        <v>0</v>
      </c>
      <c r="J59" s="26">
        <f>IFERROR((I59-COUNTIFS('Novel Approval Database'!$H$3:$H$417,"Aug 2022",'Novel Approval Database'!$C$3:$C$417,"NDA")-COUNTIFS('Novel Approval Database'!$H$3:$H$417,"Aug 2022",'Novel Approval Database'!$C$3:$C$417,"BLA",'Novel Approval Database'!$A$3:$A$417,"CDER"))/(COUNTIFS('Novel Approval Database'!$H$3:$H$417,"Aug 2022",'Novel Approval Database'!$C$3:$C$417,"NDA")+COUNTIFS('Novel Approval Database'!$H$3:$H$417,"Aug 2022",'Novel Approval Database'!$C$3:$C$417,"BLA",'Novel Approval Database'!$A$3:$A$417,"CDER")),"N/A")</f>
        <v>0</v>
      </c>
    </row>
    <row r="60" spans="1:10">
      <c r="A60" s="25">
        <v>45170</v>
      </c>
      <c r="B60" s="12">
        <f>COUNTIFS('Novel Approval Database'!$H$3:$H$417,"Sep 2023",'Novel Approval Database'!$C$3:$C$417,"NDA")</f>
        <v>0</v>
      </c>
      <c r="C60" s="12">
        <f>COUNTIFS('Novel Approval Database'!$H$3:$H$417,"Sep 2023",'Novel Approval Database'!$C$3:$C$417,"BLA",'Novel Approval Database'!$A$3:$A$417,"CDER")</f>
        <v>0</v>
      </c>
      <c r="D60" s="12">
        <f>COUNTIFS('Novel Approval Database'!$H$3:$H$417,"Sep 2023",'Novel Approval Database'!$A$3:$A$417,"CBER")</f>
        <v>0</v>
      </c>
      <c r="E60" s="13">
        <f>B60+C60+D60</f>
        <v>0</v>
      </c>
      <c r="F60" s="12">
        <f>DAY(EOMONTH(A60,0))</f>
        <v>0</v>
      </c>
      <c r="G60" s="21">
        <f>IF(F60=0,0,E60/F60)</f>
        <v>0</v>
      </c>
      <c r="H60" s="26">
        <f>IF(E59=0,"N/A",(E60-E59)/E59)</f>
        <v>0</v>
      </c>
      <c r="I60" s="12">
        <f>B60+C60</f>
        <v>0</v>
      </c>
      <c r="J60" s="26">
        <f>IFERROR((I60-COUNTIFS('Novel Approval Database'!$H$3:$H$417,"Sep 2022",'Novel Approval Database'!$C$3:$C$417,"NDA")-COUNTIFS('Novel Approval Database'!$H$3:$H$417,"Sep 2022",'Novel Approval Database'!$C$3:$C$417,"BLA",'Novel Approval Database'!$A$3:$A$417,"CDER"))/(COUNTIFS('Novel Approval Database'!$H$3:$H$417,"Sep 2022",'Novel Approval Database'!$C$3:$C$417,"NDA")+COUNTIFS('Novel Approval Database'!$H$3:$H$417,"Sep 2022",'Novel Approval Database'!$C$3:$C$417,"BLA",'Novel Approval Database'!$A$3:$A$417,"CDER")),"N/A")</f>
        <v>0</v>
      </c>
    </row>
    <row r="61" spans="1:10">
      <c r="A61" s="25">
        <v>45200</v>
      </c>
      <c r="B61" s="12">
        <f>COUNTIFS('Novel Approval Database'!$H$3:$H$417,"Oct 2023",'Novel Approval Database'!$C$3:$C$417,"NDA")</f>
        <v>0</v>
      </c>
      <c r="C61" s="12">
        <f>COUNTIFS('Novel Approval Database'!$H$3:$H$417,"Oct 2023",'Novel Approval Database'!$C$3:$C$417,"BLA",'Novel Approval Database'!$A$3:$A$417,"CDER")</f>
        <v>0</v>
      </c>
      <c r="D61" s="12">
        <f>COUNTIFS('Novel Approval Database'!$H$3:$H$417,"Oct 2023",'Novel Approval Database'!$A$3:$A$417,"CBER")</f>
        <v>0</v>
      </c>
      <c r="E61" s="13">
        <f>B61+C61+D61</f>
        <v>0</v>
      </c>
      <c r="F61" s="12">
        <f>DAY(EOMONTH(A61,0))</f>
        <v>0</v>
      </c>
      <c r="G61" s="21">
        <f>IF(F61=0,0,E61/F61)</f>
        <v>0</v>
      </c>
      <c r="H61" s="26">
        <f>IF(E60=0,"N/A",(E61-E60)/E60)</f>
        <v>0</v>
      </c>
      <c r="I61" s="12">
        <f>B61+C61</f>
        <v>0</v>
      </c>
      <c r="J61" s="26">
        <f>IFERROR((I61-COUNTIFS('Novel Approval Database'!$H$3:$H$417,"Oct 2022",'Novel Approval Database'!$C$3:$C$417,"NDA")-COUNTIFS('Novel Approval Database'!$H$3:$H$417,"Oct 2022",'Novel Approval Database'!$C$3:$C$417,"BLA",'Novel Approval Database'!$A$3:$A$417,"CDER"))/(COUNTIFS('Novel Approval Database'!$H$3:$H$417,"Oct 2022",'Novel Approval Database'!$C$3:$C$417,"NDA")+COUNTIFS('Novel Approval Database'!$H$3:$H$417,"Oct 2022",'Novel Approval Database'!$C$3:$C$417,"BLA",'Novel Approval Database'!$A$3:$A$417,"CDER")),"N/A")</f>
        <v>0</v>
      </c>
    </row>
    <row r="62" spans="1:10">
      <c r="A62" s="25">
        <v>45231</v>
      </c>
      <c r="B62" s="12">
        <f>COUNTIFS('Novel Approval Database'!$H$3:$H$417,"Nov 2023",'Novel Approval Database'!$C$3:$C$417,"NDA")</f>
        <v>0</v>
      </c>
      <c r="C62" s="12">
        <f>COUNTIFS('Novel Approval Database'!$H$3:$H$417,"Nov 2023",'Novel Approval Database'!$C$3:$C$417,"BLA",'Novel Approval Database'!$A$3:$A$417,"CDER")</f>
        <v>0</v>
      </c>
      <c r="D62" s="12">
        <f>COUNTIFS('Novel Approval Database'!$H$3:$H$417,"Nov 2023",'Novel Approval Database'!$A$3:$A$417,"CBER")</f>
        <v>0</v>
      </c>
      <c r="E62" s="13">
        <f>B62+C62+D62</f>
        <v>0</v>
      </c>
      <c r="F62" s="12">
        <f>DAY(EOMONTH(A62,0))</f>
        <v>0</v>
      </c>
      <c r="G62" s="21">
        <f>IF(F62=0,0,E62/F62)</f>
        <v>0</v>
      </c>
      <c r="H62" s="26">
        <f>IF(E61=0,"N/A",(E62-E61)/E61)</f>
        <v>0</v>
      </c>
      <c r="I62" s="12">
        <f>B62+C62</f>
        <v>0</v>
      </c>
      <c r="J62" s="26">
        <f>IFERROR((I62-COUNTIFS('Novel Approval Database'!$H$3:$H$417,"Nov 2022",'Novel Approval Database'!$C$3:$C$417,"NDA")-COUNTIFS('Novel Approval Database'!$H$3:$H$417,"Nov 2022",'Novel Approval Database'!$C$3:$C$417,"BLA",'Novel Approval Database'!$A$3:$A$417,"CDER"))/(COUNTIFS('Novel Approval Database'!$H$3:$H$417,"Nov 2022",'Novel Approval Database'!$C$3:$C$417,"NDA")+COUNTIFS('Novel Approval Database'!$H$3:$H$417,"Nov 2022",'Novel Approval Database'!$C$3:$C$417,"BLA",'Novel Approval Database'!$A$3:$A$417,"CDER")),"N/A")</f>
        <v>0</v>
      </c>
    </row>
    <row r="63" spans="1:10">
      <c r="A63" s="25">
        <v>45261</v>
      </c>
      <c r="B63" s="12">
        <f>COUNTIFS('Novel Approval Database'!$H$3:$H$417,"Dec 2023",'Novel Approval Database'!$C$3:$C$417,"NDA")</f>
        <v>0</v>
      </c>
      <c r="C63" s="12">
        <f>COUNTIFS('Novel Approval Database'!$H$3:$H$417,"Dec 2023",'Novel Approval Database'!$C$3:$C$417,"BLA",'Novel Approval Database'!$A$3:$A$417,"CDER")</f>
        <v>0</v>
      </c>
      <c r="D63" s="12">
        <f>COUNTIFS('Novel Approval Database'!$H$3:$H$417,"Dec 2023",'Novel Approval Database'!$A$3:$A$417,"CBER")</f>
        <v>0</v>
      </c>
      <c r="E63" s="13">
        <f>B63+C63+D63</f>
        <v>0</v>
      </c>
      <c r="F63" s="12">
        <f>DAY(EOMONTH(A63,0))</f>
        <v>0</v>
      </c>
      <c r="G63" s="21">
        <f>IF(F63=0,0,E63/F63)</f>
        <v>0</v>
      </c>
      <c r="H63" s="26">
        <f>IF(E62=0,"N/A",(E63-E62)/E62)</f>
        <v>0</v>
      </c>
      <c r="I63" s="12">
        <f>B63+C63</f>
        <v>0</v>
      </c>
      <c r="J63" s="26">
        <f>IFERROR((I63-COUNTIFS('Novel Approval Database'!$H$3:$H$417,"Dec 2022",'Novel Approval Database'!$C$3:$C$417,"NDA")-COUNTIFS('Novel Approval Database'!$H$3:$H$417,"Dec 2022",'Novel Approval Database'!$C$3:$C$417,"BLA",'Novel Approval Database'!$A$3:$A$417,"CDER"))/(COUNTIFS('Novel Approval Database'!$H$3:$H$417,"Dec 2022",'Novel Approval Database'!$C$3:$C$417,"NDA")+COUNTIFS('Novel Approval Database'!$H$3:$H$417,"Dec 2022",'Novel Approval Database'!$C$3:$C$417,"BLA",'Novel Approval Database'!$A$3:$A$417,"CDER")),"N/A")</f>
        <v>0</v>
      </c>
    </row>
    <row r="64" spans="1:10">
      <c r="A64" s="25">
        <v>45292</v>
      </c>
      <c r="B64" s="12">
        <f>COUNTIFS('Novel Approval Database'!$H$3:$H$417,"Jan 2024",'Novel Approval Database'!$C$3:$C$417,"NDA")</f>
        <v>0</v>
      </c>
      <c r="C64" s="12">
        <f>COUNTIFS('Novel Approval Database'!$H$3:$H$417,"Jan 2024",'Novel Approval Database'!$C$3:$C$417,"BLA",'Novel Approval Database'!$A$3:$A$417,"CDER")</f>
        <v>0</v>
      </c>
      <c r="D64" s="12">
        <f>COUNTIFS('Novel Approval Database'!$H$3:$H$417,"Jan 2024",'Novel Approval Database'!$A$3:$A$417,"CBER")</f>
        <v>0</v>
      </c>
      <c r="E64" s="13">
        <f>B64+C64+D64</f>
        <v>0</v>
      </c>
      <c r="F64" s="12">
        <f>DAY(EOMONTH(A64,0))</f>
        <v>0</v>
      </c>
      <c r="G64" s="21">
        <f>IF(F64=0,0,E64/F64)</f>
        <v>0</v>
      </c>
      <c r="H64" s="26">
        <f>IF(E63=0,"N/A",(E64-E63)/E63)</f>
        <v>0</v>
      </c>
      <c r="I64" s="12">
        <f>B64+C64</f>
        <v>0</v>
      </c>
      <c r="J64" s="26">
        <f>IFERROR((I64-COUNTIFS('Novel Approval Database'!$H$3:$H$417,"Jan 2023",'Novel Approval Database'!$C$3:$C$417,"NDA")-COUNTIFS('Novel Approval Database'!$H$3:$H$417,"Jan 2023",'Novel Approval Database'!$C$3:$C$417,"BLA",'Novel Approval Database'!$A$3:$A$417,"CDER"))/(COUNTIFS('Novel Approval Database'!$H$3:$H$417,"Jan 2023",'Novel Approval Database'!$C$3:$C$417,"NDA")+COUNTIFS('Novel Approval Database'!$H$3:$H$417,"Jan 2023",'Novel Approval Database'!$C$3:$C$417,"BLA",'Novel Approval Database'!$A$3:$A$417,"CDER")),"N/A")</f>
        <v>0</v>
      </c>
    </row>
    <row r="65" spans="1:10">
      <c r="A65" s="25">
        <v>45323</v>
      </c>
      <c r="B65" s="12">
        <f>COUNTIFS('Novel Approval Database'!$H$3:$H$417,"Feb 2024",'Novel Approval Database'!$C$3:$C$417,"NDA")</f>
        <v>0</v>
      </c>
      <c r="C65" s="12">
        <f>COUNTIFS('Novel Approval Database'!$H$3:$H$417,"Feb 2024",'Novel Approval Database'!$C$3:$C$417,"BLA",'Novel Approval Database'!$A$3:$A$417,"CDER")</f>
        <v>0</v>
      </c>
      <c r="D65" s="12">
        <f>COUNTIFS('Novel Approval Database'!$H$3:$H$417,"Feb 2024",'Novel Approval Database'!$A$3:$A$417,"CBER")</f>
        <v>0</v>
      </c>
      <c r="E65" s="13">
        <f>B65+C65+D65</f>
        <v>0</v>
      </c>
      <c r="F65" s="12">
        <f>DAY(EOMONTH(A65,0))</f>
        <v>0</v>
      </c>
      <c r="G65" s="21">
        <f>IF(F65=0,0,E65/F65)</f>
        <v>0</v>
      </c>
      <c r="H65" s="26">
        <f>IF(E64=0,"N/A",(E65-E64)/E64)</f>
        <v>0</v>
      </c>
      <c r="I65" s="12">
        <f>B65+C65</f>
        <v>0</v>
      </c>
      <c r="J65" s="26">
        <f>IFERROR((I65-COUNTIFS('Novel Approval Database'!$H$3:$H$417,"Feb 2023",'Novel Approval Database'!$C$3:$C$417,"NDA")-COUNTIFS('Novel Approval Database'!$H$3:$H$417,"Feb 2023",'Novel Approval Database'!$C$3:$C$417,"BLA",'Novel Approval Database'!$A$3:$A$417,"CDER"))/(COUNTIFS('Novel Approval Database'!$H$3:$H$417,"Feb 2023",'Novel Approval Database'!$C$3:$C$417,"NDA")+COUNTIFS('Novel Approval Database'!$H$3:$H$417,"Feb 2023",'Novel Approval Database'!$C$3:$C$417,"BLA",'Novel Approval Database'!$A$3:$A$417,"CDER")),"N/A")</f>
        <v>0</v>
      </c>
    </row>
    <row r="66" spans="1:10">
      <c r="A66" s="25">
        <v>45352</v>
      </c>
      <c r="B66" s="12">
        <f>COUNTIFS('Novel Approval Database'!$H$3:$H$417,"Mar 2024",'Novel Approval Database'!$C$3:$C$417,"NDA")</f>
        <v>0</v>
      </c>
      <c r="C66" s="12">
        <f>COUNTIFS('Novel Approval Database'!$H$3:$H$417,"Mar 2024",'Novel Approval Database'!$C$3:$C$417,"BLA",'Novel Approval Database'!$A$3:$A$417,"CDER")</f>
        <v>0</v>
      </c>
      <c r="D66" s="12">
        <f>COUNTIFS('Novel Approval Database'!$H$3:$H$417,"Mar 2024",'Novel Approval Database'!$A$3:$A$417,"CBER")</f>
        <v>0</v>
      </c>
      <c r="E66" s="13">
        <f>B66+C66+D66</f>
        <v>0</v>
      </c>
      <c r="F66" s="12">
        <f>DAY(EOMONTH(A66,0))</f>
        <v>0</v>
      </c>
      <c r="G66" s="21">
        <f>IF(F66=0,0,E66/F66)</f>
        <v>0</v>
      </c>
      <c r="H66" s="26">
        <f>IF(E65=0,"N/A",(E66-E65)/E65)</f>
        <v>0</v>
      </c>
      <c r="I66" s="12">
        <f>B66+C66</f>
        <v>0</v>
      </c>
      <c r="J66" s="26">
        <f>IFERROR((I66-COUNTIFS('Novel Approval Database'!$H$3:$H$417,"Mar 2023",'Novel Approval Database'!$C$3:$C$417,"NDA")-COUNTIFS('Novel Approval Database'!$H$3:$H$417,"Mar 2023",'Novel Approval Database'!$C$3:$C$417,"BLA",'Novel Approval Database'!$A$3:$A$417,"CDER"))/(COUNTIFS('Novel Approval Database'!$H$3:$H$417,"Mar 2023",'Novel Approval Database'!$C$3:$C$417,"NDA")+COUNTIFS('Novel Approval Database'!$H$3:$H$417,"Mar 2023",'Novel Approval Database'!$C$3:$C$417,"BLA",'Novel Approval Database'!$A$3:$A$417,"CDER")),"N/A")</f>
        <v>0</v>
      </c>
    </row>
    <row r="67" spans="1:10">
      <c r="A67" s="25">
        <v>45383</v>
      </c>
      <c r="B67" s="12">
        <f>COUNTIFS('Novel Approval Database'!$H$3:$H$417,"Apr 2024",'Novel Approval Database'!$C$3:$C$417,"NDA")</f>
        <v>0</v>
      </c>
      <c r="C67" s="12">
        <f>COUNTIFS('Novel Approval Database'!$H$3:$H$417,"Apr 2024",'Novel Approval Database'!$C$3:$C$417,"BLA",'Novel Approval Database'!$A$3:$A$417,"CDER")</f>
        <v>0</v>
      </c>
      <c r="D67" s="12">
        <f>COUNTIFS('Novel Approval Database'!$H$3:$H$417,"Apr 2024",'Novel Approval Database'!$A$3:$A$417,"CBER")</f>
        <v>0</v>
      </c>
      <c r="E67" s="13">
        <f>B67+C67+D67</f>
        <v>0</v>
      </c>
      <c r="F67" s="12">
        <f>DAY(EOMONTH(A67,0))</f>
        <v>0</v>
      </c>
      <c r="G67" s="21">
        <f>IF(F67=0,0,E67/F67)</f>
        <v>0</v>
      </c>
      <c r="H67" s="26">
        <f>IF(E66=0,"N/A",(E67-E66)/E66)</f>
        <v>0</v>
      </c>
      <c r="I67" s="12">
        <f>B67+C67</f>
        <v>0</v>
      </c>
      <c r="J67" s="26">
        <f>IFERROR((I67-COUNTIFS('Novel Approval Database'!$H$3:$H$417,"Apr 2023",'Novel Approval Database'!$C$3:$C$417,"NDA")-COUNTIFS('Novel Approval Database'!$H$3:$H$417,"Apr 2023",'Novel Approval Database'!$C$3:$C$417,"BLA",'Novel Approval Database'!$A$3:$A$417,"CDER"))/(COUNTIFS('Novel Approval Database'!$H$3:$H$417,"Apr 2023",'Novel Approval Database'!$C$3:$C$417,"NDA")+COUNTIFS('Novel Approval Database'!$H$3:$H$417,"Apr 2023",'Novel Approval Database'!$C$3:$C$417,"BLA",'Novel Approval Database'!$A$3:$A$417,"CDER")),"N/A")</f>
        <v>0</v>
      </c>
    </row>
    <row r="68" spans="1:10">
      <c r="A68" s="25">
        <v>45413</v>
      </c>
      <c r="B68" s="12">
        <f>COUNTIFS('Novel Approval Database'!$H$3:$H$417,"May 2024",'Novel Approval Database'!$C$3:$C$417,"NDA")</f>
        <v>0</v>
      </c>
      <c r="C68" s="12">
        <f>COUNTIFS('Novel Approval Database'!$H$3:$H$417,"May 2024",'Novel Approval Database'!$C$3:$C$417,"BLA",'Novel Approval Database'!$A$3:$A$417,"CDER")</f>
        <v>0</v>
      </c>
      <c r="D68" s="12">
        <f>COUNTIFS('Novel Approval Database'!$H$3:$H$417,"May 2024",'Novel Approval Database'!$A$3:$A$417,"CBER")</f>
        <v>0</v>
      </c>
      <c r="E68" s="13">
        <f>B68+C68+D68</f>
        <v>0</v>
      </c>
      <c r="F68" s="12">
        <f>DAY(EOMONTH(A68,0))</f>
        <v>0</v>
      </c>
      <c r="G68" s="21">
        <f>IF(F68=0,0,E68/F68)</f>
        <v>0</v>
      </c>
      <c r="H68" s="26">
        <f>IF(E67=0,"N/A",(E68-E67)/E67)</f>
        <v>0</v>
      </c>
      <c r="I68" s="12">
        <f>B68+C68</f>
        <v>0</v>
      </c>
      <c r="J68" s="26">
        <f>IFERROR((I68-COUNTIFS('Novel Approval Database'!$H$3:$H$417,"May 2023",'Novel Approval Database'!$C$3:$C$417,"NDA")-COUNTIFS('Novel Approval Database'!$H$3:$H$417,"May 2023",'Novel Approval Database'!$C$3:$C$417,"BLA",'Novel Approval Database'!$A$3:$A$417,"CDER"))/(COUNTIFS('Novel Approval Database'!$H$3:$H$417,"May 2023",'Novel Approval Database'!$C$3:$C$417,"NDA")+COUNTIFS('Novel Approval Database'!$H$3:$H$417,"May 2023",'Novel Approval Database'!$C$3:$C$417,"BLA",'Novel Approval Database'!$A$3:$A$417,"CDER")),"N/A")</f>
        <v>0</v>
      </c>
    </row>
    <row r="69" spans="1:10">
      <c r="A69" s="25">
        <v>45444</v>
      </c>
      <c r="B69" s="12">
        <f>COUNTIFS('Novel Approval Database'!$H$3:$H$417,"Jun 2024",'Novel Approval Database'!$C$3:$C$417,"NDA")</f>
        <v>0</v>
      </c>
      <c r="C69" s="12">
        <f>COUNTIFS('Novel Approval Database'!$H$3:$H$417,"Jun 2024",'Novel Approval Database'!$C$3:$C$417,"BLA",'Novel Approval Database'!$A$3:$A$417,"CDER")</f>
        <v>0</v>
      </c>
      <c r="D69" s="12">
        <f>COUNTIFS('Novel Approval Database'!$H$3:$H$417,"Jun 2024",'Novel Approval Database'!$A$3:$A$417,"CBER")</f>
        <v>0</v>
      </c>
      <c r="E69" s="13">
        <f>B69+C69+D69</f>
        <v>0</v>
      </c>
      <c r="F69" s="12">
        <f>DAY(EOMONTH(A69,0))</f>
        <v>0</v>
      </c>
      <c r="G69" s="21">
        <f>IF(F69=0,0,E69/F69)</f>
        <v>0</v>
      </c>
      <c r="H69" s="26">
        <f>IF(E68=0,"N/A",(E69-E68)/E68)</f>
        <v>0</v>
      </c>
      <c r="I69" s="12">
        <f>B69+C69</f>
        <v>0</v>
      </c>
      <c r="J69" s="26">
        <f>IFERROR((I69-COUNTIFS('Novel Approval Database'!$H$3:$H$417,"Jun 2023",'Novel Approval Database'!$C$3:$C$417,"NDA")-COUNTIFS('Novel Approval Database'!$H$3:$H$417,"Jun 2023",'Novel Approval Database'!$C$3:$C$417,"BLA",'Novel Approval Database'!$A$3:$A$417,"CDER"))/(COUNTIFS('Novel Approval Database'!$H$3:$H$417,"Jun 2023",'Novel Approval Database'!$C$3:$C$417,"NDA")+COUNTIFS('Novel Approval Database'!$H$3:$H$417,"Jun 2023",'Novel Approval Database'!$C$3:$C$417,"BLA",'Novel Approval Database'!$A$3:$A$417,"CDER")),"N/A")</f>
        <v>0</v>
      </c>
    </row>
    <row r="70" spans="1:10">
      <c r="A70" s="25">
        <v>45474</v>
      </c>
      <c r="B70" s="12">
        <f>COUNTIFS('Novel Approval Database'!$H$3:$H$417,"Jul 2024",'Novel Approval Database'!$C$3:$C$417,"NDA")</f>
        <v>0</v>
      </c>
      <c r="C70" s="12">
        <f>COUNTIFS('Novel Approval Database'!$H$3:$H$417,"Jul 2024",'Novel Approval Database'!$C$3:$C$417,"BLA",'Novel Approval Database'!$A$3:$A$417,"CDER")</f>
        <v>0</v>
      </c>
      <c r="D70" s="12">
        <f>COUNTIFS('Novel Approval Database'!$H$3:$H$417,"Jul 2024",'Novel Approval Database'!$A$3:$A$417,"CBER")</f>
        <v>0</v>
      </c>
      <c r="E70" s="13">
        <f>B70+C70+D70</f>
        <v>0</v>
      </c>
      <c r="F70" s="12">
        <f>DAY(EOMONTH(A70,0))</f>
        <v>0</v>
      </c>
      <c r="G70" s="21">
        <f>IF(F70=0,0,E70/F70)</f>
        <v>0</v>
      </c>
      <c r="H70" s="26">
        <f>IF(E69=0,"N/A",(E70-E69)/E69)</f>
        <v>0</v>
      </c>
      <c r="I70" s="12">
        <f>B70+C70</f>
        <v>0</v>
      </c>
      <c r="J70" s="26">
        <f>IFERROR((I70-COUNTIFS('Novel Approval Database'!$H$3:$H$417,"Jul 2023",'Novel Approval Database'!$C$3:$C$417,"NDA")-COUNTIFS('Novel Approval Database'!$H$3:$H$417,"Jul 2023",'Novel Approval Database'!$C$3:$C$417,"BLA",'Novel Approval Database'!$A$3:$A$417,"CDER"))/(COUNTIFS('Novel Approval Database'!$H$3:$H$417,"Jul 2023",'Novel Approval Database'!$C$3:$C$417,"NDA")+COUNTIFS('Novel Approval Database'!$H$3:$H$417,"Jul 2023",'Novel Approval Database'!$C$3:$C$417,"BLA",'Novel Approval Database'!$A$3:$A$417,"CDER")),"N/A")</f>
        <v>0</v>
      </c>
    </row>
    <row r="71" spans="1:10">
      <c r="A71" s="25">
        <v>45505</v>
      </c>
      <c r="B71" s="12">
        <f>COUNTIFS('Novel Approval Database'!$H$3:$H$417,"Aug 2024",'Novel Approval Database'!$C$3:$C$417,"NDA")</f>
        <v>0</v>
      </c>
      <c r="C71" s="12">
        <f>COUNTIFS('Novel Approval Database'!$H$3:$H$417,"Aug 2024",'Novel Approval Database'!$C$3:$C$417,"BLA",'Novel Approval Database'!$A$3:$A$417,"CDER")</f>
        <v>0</v>
      </c>
      <c r="D71" s="12">
        <f>COUNTIFS('Novel Approval Database'!$H$3:$H$417,"Aug 2024",'Novel Approval Database'!$A$3:$A$417,"CBER")</f>
        <v>0</v>
      </c>
      <c r="E71" s="13">
        <f>B71+C71+D71</f>
        <v>0</v>
      </c>
      <c r="F71" s="12">
        <f>DAY(EOMONTH(A71,0))</f>
        <v>0</v>
      </c>
      <c r="G71" s="21">
        <f>IF(F71=0,0,E71/F71)</f>
        <v>0</v>
      </c>
      <c r="H71" s="26">
        <f>IF(E70=0,"N/A",(E71-E70)/E70)</f>
        <v>0</v>
      </c>
      <c r="I71" s="12">
        <f>B71+C71</f>
        <v>0</v>
      </c>
      <c r="J71" s="26">
        <f>IFERROR((I71-COUNTIFS('Novel Approval Database'!$H$3:$H$417,"Aug 2023",'Novel Approval Database'!$C$3:$C$417,"NDA")-COUNTIFS('Novel Approval Database'!$H$3:$H$417,"Aug 2023",'Novel Approval Database'!$C$3:$C$417,"BLA",'Novel Approval Database'!$A$3:$A$417,"CDER"))/(COUNTIFS('Novel Approval Database'!$H$3:$H$417,"Aug 2023",'Novel Approval Database'!$C$3:$C$417,"NDA")+COUNTIFS('Novel Approval Database'!$H$3:$H$417,"Aug 2023",'Novel Approval Database'!$C$3:$C$417,"BLA",'Novel Approval Database'!$A$3:$A$417,"CDER")),"N/A")</f>
        <v>0</v>
      </c>
    </row>
    <row r="72" spans="1:10">
      <c r="A72" s="25">
        <v>45536</v>
      </c>
      <c r="B72" s="12">
        <f>COUNTIFS('Novel Approval Database'!$H$3:$H$417,"Sep 2024",'Novel Approval Database'!$C$3:$C$417,"NDA")</f>
        <v>0</v>
      </c>
      <c r="C72" s="12">
        <f>COUNTIFS('Novel Approval Database'!$H$3:$H$417,"Sep 2024",'Novel Approval Database'!$C$3:$C$417,"BLA",'Novel Approval Database'!$A$3:$A$417,"CDER")</f>
        <v>0</v>
      </c>
      <c r="D72" s="12">
        <f>COUNTIFS('Novel Approval Database'!$H$3:$H$417,"Sep 2024",'Novel Approval Database'!$A$3:$A$417,"CBER")</f>
        <v>0</v>
      </c>
      <c r="E72" s="13">
        <f>B72+C72+D72</f>
        <v>0</v>
      </c>
      <c r="F72" s="12">
        <f>DAY(EOMONTH(A72,0))</f>
        <v>0</v>
      </c>
      <c r="G72" s="21">
        <f>IF(F72=0,0,E72/F72)</f>
        <v>0</v>
      </c>
      <c r="H72" s="26">
        <f>IF(E71=0,"N/A",(E72-E71)/E71)</f>
        <v>0</v>
      </c>
      <c r="I72" s="12">
        <f>B72+C72</f>
        <v>0</v>
      </c>
      <c r="J72" s="26">
        <f>IFERROR((I72-COUNTIFS('Novel Approval Database'!$H$3:$H$417,"Sep 2023",'Novel Approval Database'!$C$3:$C$417,"NDA")-COUNTIFS('Novel Approval Database'!$H$3:$H$417,"Sep 2023",'Novel Approval Database'!$C$3:$C$417,"BLA",'Novel Approval Database'!$A$3:$A$417,"CDER"))/(COUNTIFS('Novel Approval Database'!$H$3:$H$417,"Sep 2023",'Novel Approval Database'!$C$3:$C$417,"NDA")+COUNTIFS('Novel Approval Database'!$H$3:$H$417,"Sep 2023",'Novel Approval Database'!$C$3:$C$417,"BLA",'Novel Approval Database'!$A$3:$A$417,"CDER")),"N/A")</f>
        <v>0</v>
      </c>
    </row>
    <row r="73" spans="1:10">
      <c r="A73" s="25">
        <v>45566</v>
      </c>
      <c r="B73" s="12">
        <f>COUNTIFS('Novel Approval Database'!$H$3:$H$417,"Oct 2024",'Novel Approval Database'!$C$3:$C$417,"NDA")</f>
        <v>0</v>
      </c>
      <c r="C73" s="12">
        <f>COUNTIFS('Novel Approval Database'!$H$3:$H$417,"Oct 2024",'Novel Approval Database'!$C$3:$C$417,"BLA",'Novel Approval Database'!$A$3:$A$417,"CDER")</f>
        <v>0</v>
      </c>
      <c r="D73" s="12">
        <f>COUNTIFS('Novel Approval Database'!$H$3:$H$417,"Oct 2024",'Novel Approval Database'!$A$3:$A$417,"CBER")</f>
        <v>0</v>
      </c>
      <c r="E73" s="13">
        <f>B73+C73+D73</f>
        <v>0</v>
      </c>
      <c r="F73" s="12">
        <f>DAY(EOMONTH(A73,0))</f>
        <v>0</v>
      </c>
      <c r="G73" s="21">
        <f>IF(F73=0,0,E73/F73)</f>
        <v>0</v>
      </c>
      <c r="H73" s="26">
        <f>IF(E72=0,"N/A",(E73-E72)/E72)</f>
        <v>0</v>
      </c>
      <c r="I73" s="12">
        <f>B73+C73</f>
        <v>0</v>
      </c>
      <c r="J73" s="26">
        <f>IFERROR((I73-COUNTIFS('Novel Approval Database'!$H$3:$H$417,"Oct 2023",'Novel Approval Database'!$C$3:$C$417,"NDA")-COUNTIFS('Novel Approval Database'!$H$3:$H$417,"Oct 2023",'Novel Approval Database'!$C$3:$C$417,"BLA",'Novel Approval Database'!$A$3:$A$417,"CDER"))/(COUNTIFS('Novel Approval Database'!$H$3:$H$417,"Oct 2023",'Novel Approval Database'!$C$3:$C$417,"NDA")+COUNTIFS('Novel Approval Database'!$H$3:$H$417,"Oct 2023",'Novel Approval Database'!$C$3:$C$417,"BLA",'Novel Approval Database'!$A$3:$A$417,"CDER")),"N/A")</f>
        <v>0</v>
      </c>
    </row>
    <row r="74" spans="1:10">
      <c r="A74" s="25">
        <v>45597</v>
      </c>
      <c r="B74" s="12">
        <f>COUNTIFS('Novel Approval Database'!$H$3:$H$417,"Nov 2024",'Novel Approval Database'!$C$3:$C$417,"NDA")</f>
        <v>0</v>
      </c>
      <c r="C74" s="12">
        <f>COUNTIFS('Novel Approval Database'!$H$3:$H$417,"Nov 2024",'Novel Approval Database'!$C$3:$C$417,"BLA",'Novel Approval Database'!$A$3:$A$417,"CDER")</f>
        <v>0</v>
      </c>
      <c r="D74" s="12">
        <f>COUNTIFS('Novel Approval Database'!$H$3:$H$417,"Nov 2024",'Novel Approval Database'!$A$3:$A$417,"CBER")</f>
        <v>0</v>
      </c>
      <c r="E74" s="13">
        <f>B74+C74+D74</f>
        <v>0</v>
      </c>
      <c r="F74" s="12">
        <f>DAY(EOMONTH(A74,0))</f>
        <v>0</v>
      </c>
      <c r="G74" s="21">
        <f>IF(F74=0,0,E74/F74)</f>
        <v>0</v>
      </c>
      <c r="H74" s="26">
        <f>IF(E73=0,"N/A",(E74-E73)/E73)</f>
        <v>0</v>
      </c>
      <c r="I74" s="12">
        <f>B74+C74</f>
        <v>0</v>
      </c>
      <c r="J74" s="26">
        <f>IFERROR((I74-COUNTIFS('Novel Approval Database'!$H$3:$H$417,"Nov 2023",'Novel Approval Database'!$C$3:$C$417,"NDA")-COUNTIFS('Novel Approval Database'!$H$3:$H$417,"Nov 2023",'Novel Approval Database'!$C$3:$C$417,"BLA",'Novel Approval Database'!$A$3:$A$417,"CDER"))/(COUNTIFS('Novel Approval Database'!$H$3:$H$417,"Nov 2023",'Novel Approval Database'!$C$3:$C$417,"NDA")+COUNTIFS('Novel Approval Database'!$H$3:$H$417,"Nov 2023",'Novel Approval Database'!$C$3:$C$417,"BLA",'Novel Approval Database'!$A$3:$A$417,"CDER")),"N/A")</f>
        <v>0</v>
      </c>
    </row>
    <row r="75" spans="1:10">
      <c r="A75" s="25">
        <v>45627</v>
      </c>
      <c r="B75" s="12">
        <f>COUNTIFS('Novel Approval Database'!$H$3:$H$417,"Dec 2024",'Novel Approval Database'!$C$3:$C$417,"NDA")</f>
        <v>0</v>
      </c>
      <c r="C75" s="12">
        <f>COUNTIFS('Novel Approval Database'!$H$3:$H$417,"Dec 2024",'Novel Approval Database'!$C$3:$C$417,"BLA",'Novel Approval Database'!$A$3:$A$417,"CDER")</f>
        <v>0</v>
      </c>
      <c r="D75" s="12">
        <f>COUNTIFS('Novel Approval Database'!$H$3:$H$417,"Dec 2024",'Novel Approval Database'!$A$3:$A$417,"CBER")</f>
        <v>0</v>
      </c>
      <c r="E75" s="13">
        <f>B75+C75+D75</f>
        <v>0</v>
      </c>
      <c r="F75" s="12">
        <f>DAY(EOMONTH(A75,0))</f>
        <v>0</v>
      </c>
      <c r="G75" s="21">
        <f>IF(F75=0,0,E75/F75)</f>
        <v>0</v>
      </c>
      <c r="H75" s="26">
        <f>IF(E74=0,"N/A",(E75-E74)/E74)</f>
        <v>0</v>
      </c>
      <c r="I75" s="12">
        <f>B75+C75</f>
        <v>0</v>
      </c>
      <c r="J75" s="26">
        <f>IFERROR((I75-COUNTIFS('Novel Approval Database'!$H$3:$H$417,"Dec 2023",'Novel Approval Database'!$C$3:$C$417,"NDA")-COUNTIFS('Novel Approval Database'!$H$3:$H$417,"Dec 2023",'Novel Approval Database'!$C$3:$C$417,"BLA",'Novel Approval Database'!$A$3:$A$417,"CDER"))/(COUNTIFS('Novel Approval Database'!$H$3:$H$417,"Dec 2023",'Novel Approval Database'!$C$3:$C$417,"NDA")+COUNTIFS('Novel Approval Database'!$H$3:$H$417,"Dec 2023",'Novel Approval Database'!$C$3:$C$417,"BLA",'Novel Approval Database'!$A$3:$A$417,"CDER")),"N/A")</f>
        <v>0</v>
      </c>
    </row>
    <row r="76" spans="1:10">
      <c r="A76" s="25">
        <v>45658</v>
      </c>
      <c r="B76" s="12">
        <f>COUNTIFS('Novel Approval Database'!$H$3:$H$417,"Jan 2025",'Novel Approval Database'!$C$3:$C$417,"NDA")</f>
        <v>0</v>
      </c>
      <c r="C76" s="12">
        <f>COUNTIFS('Novel Approval Database'!$H$3:$H$417,"Jan 2025",'Novel Approval Database'!$C$3:$C$417,"BLA",'Novel Approval Database'!$A$3:$A$417,"CDER")</f>
        <v>0</v>
      </c>
      <c r="D76" s="12">
        <f>COUNTIFS('Novel Approval Database'!$H$3:$H$417,"Jan 2025",'Novel Approval Database'!$A$3:$A$417,"CBER")</f>
        <v>0</v>
      </c>
      <c r="E76" s="13">
        <f>B76+C76+D76</f>
        <v>0</v>
      </c>
      <c r="F76" s="12">
        <f>DAY(EOMONTH(A76,0))</f>
        <v>0</v>
      </c>
      <c r="G76" s="21">
        <f>IF(F76=0,0,E76/F76)</f>
        <v>0</v>
      </c>
      <c r="H76" s="26">
        <f>IF(E75=0,"N/A",(E76-E75)/E75)</f>
        <v>0</v>
      </c>
      <c r="I76" s="12">
        <f>B76+C76</f>
        <v>0</v>
      </c>
      <c r="J76" s="26">
        <f>IFERROR((I76-COUNTIFS('Novel Approval Database'!$H$3:$H$417,"Jan 2024",'Novel Approval Database'!$C$3:$C$417,"NDA")-COUNTIFS('Novel Approval Database'!$H$3:$H$417,"Jan 2024",'Novel Approval Database'!$C$3:$C$417,"BLA",'Novel Approval Database'!$A$3:$A$417,"CDER"))/(COUNTIFS('Novel Approval Database'!$H$3:$H$417,"Jan 2024",'Novel Approval Database'!$C$3:$C$417,"NDA")+COUNTIFS('Novel Approval Database'!$H$3:$H$417,"Jan 2024",'Novel Approval Database'!$C$3:$C$417,"BLA",'Novel Approval Database'!$A$3:$A$417,"CDER")),"N/A")</f>
        <v>0</v>
      </c>
    </row>
    <row r="77" spans="1:10">
      <c r="A77" s="25">
        <v>45689</v>
      </c>
      <c r="B77" s="12">
        <f>COUNTIFS('Novel Approval Database'!$H$3:$H$417,"Feb 2025",'Novel Approval Database'!$C$3:$C$417,"NDA")</f>
        <v>0</v>
      </c>
      <c r="C77" s="12">
        <f>COUNTIFS('Novel Approval Database'!$H$3:$H$417,"Feb 2025",'Novel Approval Database'!$C$3:$C$417,"BLA",'Novel Approval Database'!$A$3:$A$417,"CDER")</f>
        <v>0</v>
      </c>
      <c r="D77" s="12">
        <f>COUNTIFS('Novel Approval Database'!$H$3:$H$417,"Feb 2025",'Novel Approval Database'!$A$3:$A$417,"CBER")</f>
        <v>0</v>
      </c>
      <c r="E77" s="13">
        <f>B77+C77+D77</f>
        <v>0</v>
      </c>
      <c r="F77" s="12">
        <f>DAY(EOMONTH(A77,0))</f>
        <v>0</v>
      </c>
      <c r="G77" s="21">
        <f>IF(F77=0,0,E77/F77)</f>
        <v>0</v>
      </c>
      <c r="H77" s="26">
        <f>IF(E76=0,"N/A",(E77-E76)/E76)</f>
        <v>0</v>
      </c>
      <c r="I77" s="12">
        <f>B77+C77</f>
        <v>0</v>
      </c>
      <c r="J77" s="26">
        <f>IFERROR((I77-COUNTIFS('Novel Approval Database'!$H$3:$H$417,"Feb 2024",'Novel Approval Database'!$C$3:$C$417,"NDA")-COUNTIFS('Novel Approval Database'!$H$3:$H$417,"Feb 2024",'Novel Approval Database'!$C$3:$C$417,"BLA",'Novel Approval Database'!$A$3:$A$417,"CDER"))/(COUNTIFS('Novel Approval Database'!$H$3:$H$417,"Feb 2024",'Novel Approval Database'!$C$3:$C$417,"NDA")+COUNTIFS('Novel Approval Database'!$H$3:$H$417,"Feb 2024",'Novel Approval Database'!$C$3:$C$417,"BLA",'Novel Approval Database'!$A$3:$A$417,"CDER")),"N/A")</f>
        <v>0</v>
      </c>
    </row>
    <row r="78" spans="1:10">
      <c r="A78" s="25">
        <v>45717</v>
      </c>
      <c r="B78" s="12">
        <f>COUNTIFS('Novel Approval Database'!$H$3:$H$417,"Mar 2025",'Novel Approval Database'!$C$3:$C$417,"NDA")</f>
        <v>0</v>
      </c>
      <c r="C78" s="12">
        <f>COUNTIFS('Novel Approval Database'!$H$3:$H$417,"Mar 2025",'Novel Approval Database'!$C$3:$C$417,"BLA",'Novel Approval Database'!$A$3:$A$417,"CDER")</f>
        <v>0</v>
      </c>
      <c r="D78" s="12">
        <f>COUNTIFS('Novel Approval Database'!$H$3:$H$417,"Mar 2025",'Novel Approval Database'!$A$3:$A$417,"CBER")</f>
        <v>0</v>
      </c>
      <c r="E78" s="13">
        <f>B78+C78+D78</f>
        <v>0</v>
      </c>
      <c r="F78" s="12">
        <f>DAY(EOMONTH(A78,0))</f>
        <v>0</v>
      </c>
      <c r="G78" s="21">
        <f>IF(F78=0,0,E78/F78)</f>
        <v>0</v>
      </c>
      <c r="H78" s="26">
        <f>IF(E77=0,"N/A",(E78-E77)/E77)</f>
        <v>0</v>
      </c>
      <c r="I78" s="12">
        <f>B78+C78</f>
        <v>0</v>
      </c>
      <c r="J78" s="26">
        <f>IFERROR((I78-COUNTIFS('Novel Approval Database'!$H$3:$H$417,"Mar 2024",'Novel Approval Database'!$C$3:$C$417,"NDA")-COUNTIFS('Novel Approval Database'!$H$3:$H$417,"Mar 2024",'Novel Approval Database'!$C$3:$C$417,"BLA",'Novel Approval Database'!$A$3:$A$417,"CDER"))/(COUNTIFS('Novel Approval Database'!$H$3:$H$417,"Mar 2024",'Novel Approval Database'!$C$3:$C$417,"NDA")+COUNTIFS('Novel Approval Database'!$H$3:$H$417,"Mar 2024",'Novel Approval Database'!$C$3:$C$417,"BLA",'Novel Approval Database'!$A$3:$A$417,"CDER")),"N/A")</f>
        <v>0</v>
      </c>
    </row>
    <row r="79" spans="1:10">
      <c r="A79" s="25">
        <v>45748</v>
      </c>
      <c r="B79" s="12">
        <f>COUNTIFS('Novel Approval Database'!$H$3:$H$417,"Apr 2025",'Novel Approval Database'!$C$3:$C$417,"NDA")</f>
        <v>0</v>
      </c>
      <c r="C79" s="12">
        <f>COUNTIFS('Novel Approval Database'!$H$3:$H$417,"Apr 2025",'Novel Approval Database'!$C$3:$C$417,"BLA",'Novel Approval Database'!$A$3:$A$417,"CDER")</f>
        <v>0</v>
      </c>
      <c r="D79" s="12">
        <f>COUNTIFS('Novel Approval Database'!$H$3:$H$417,"Apr 2025",'Novel Approval Database'!$A$3:$A$417,"CBER")</f>
        <v>0</v>
      </c>
      <c r="E79" s="13">
        <f>B79+C79+D79</f>
        <v>0</v>
      </c>
      <c r="F79" s="12">
        <f>DAY(EOMONTH(A79,0))</f>
        <v>0</v>
      </c>
      <c r="G79" s="21">
        <f>IF(F79=0,0,E79/F79)</f>
        <v>0</v>
      </c>
      <c r="H79" s="26">
        <f>IF(E78=0,"N/A",(E79-E78)/E78)</f>
        <v>0</v>
      </c>
      <c r="I79" s="12">
        <f>B79+C79</f>
        <v>0</v>
      </c>
      <c r="J79" s="26">
        <f>IFERROR((I79-COUNTIFS('Novel Approval Database'!$H$3:$H$417,"Apr 2024",'Novel Approval Database'!$C$3:$C$417,"NDA")-COUNTIFS('Novel Approval Database'!$H$3:$H$417,"Apr 2024",'Novel Approval Database'!$C$3:$C$417,"BLA",'Novel Approval Database'!$A$3:$A$417,"CDER"))/(COUNTIFS('Novel Approval Database'!$H$3:$H$417,"Apr 2024",'Novel Approval Database'!$C$3:$C$417,"NDA")+COUNTIFS('Novel Approval Database'!$H$3:$H$417,"Apr 2024",'Novel Approval Database'!$C$3:$C$417,"BLA",'Novel Approval Database'!$A$3:$A$417,"CDER")),"N/A")</f>
        <v>0</v>
      </c>
    </row>
    <row r="80" spans="1:10">
      <c r="A80" s="25">
        <v>45778</v>
      </c>
      <c r="B80" s="12">
        <f>COUNTIFS('Novel Approval Database'!$H$3:$H$417,"May 2025",'Novel Approval Database'!$C$3:$C$417,"NDA")</f>
        <v>0</v>
      </c>
      <c r="C80" s="12">
        <f>COUNTIFS('Novel Approval Database'!$H$3:$H$417,"May 2025",'Novel Approval Database'!$C$3:$C$417,"BLA",'Novel Approval Database'!$A$3:$A$417,"CDER")</f>
        <v>0</v>
      </c>
      <c r="D80" s="12">
        <f>COUNTIFS('Novel Approval Database'!$H$3:$H$417,"May 2025",'Novel Approval Database'!$A$3:$A$417,"CBER")</f>
        <v>0</v>
      </c>
      <c r="E80" s="13">
        <f>B80+C80+D80</f>
        <v>0</v>
      </c>
      <c r="F80" s="12">
        <f>DAY(EOMONTH(A80,0))</f>
        <v>0</v>
      </c>
      <c r="G80" s="21">
        <f>IF(F80=0,0,E80/F80)</f>
        <v>0</v>
      </c>
      <c r="H80" s="26">
        <f>IF(E79=0,"N/A",(E80-E79)/E79)</f>
        <v>0</v>
      </c>
      <c r="I80" s="12">
        <f>B80+C80</f>
        <v>0</v>
      </c>
      <c r="J80" s="26">
        <f>IFERROR((I80-COUNTIFS('Novel Approval Database'!$H$3:$H$417,"May 2024",'Novel Approval Database'!$C$3:$C$417,"NDA")-COUNTIFS('Novel Approval Database'!$H$3:$H$417,"May 2024",'Novel Approval Database'!$C$3:$C$417,"BLA",'Novel Approval Database'!$A$3:$A$417,"CDER"))/(COUNTIFS('Novel Approval Database'!$H$3:$H$417,"May 2024",'Novel Approval Database'!$C$3:$C$417,"NDA")+COUNTIFS('Novel Approval Database'!$H$3:$H$417,"May 2024",'Novel Approval Database'!$C$3:$C$417,"BLA",'Novel Approval Database'!$A$3:$A$417,"CDER")),"N/A")</f>
        <v>0</v>
      </c>
    </row>
    <row r="81" spans="1:10">
      <c r="A81" s="25">
        <v>45809</v>
      </c>
      <c r="B81" s="12">
        <f>COUNTIFS('Novel Approval Database'!$H$3:$H$417,"Jun 2025",'Novel Approval Database'!$C$3:$C$417,"NDA")</f>
        <v>0</v>
      </c>
      <c r="C81" s="12">
        <f>COUNTIFS('Novel Approval Database'!$H$3:$H$417,"Jun 2025",'Novel Approval Database'!$C$3:$C$417,"BLA",'Novel Approval Database'!$A$3:$A$417,"CDER")</f>
        <v>0</v>
      </c>
      <c r="D81" s="12">
        <f>COUNTIFS('Novel Approval Database'!$H$3:$H$417,"Jun 2025",'Novel Approval Database'!$A$3:$A$417,"CBER")</f>
        <v>0</v>
      </c>
      <c r="E81" s="13">
        <f>B81+C81+D81</f>
        <v>0</v>
      </c>
      <c r="F81" s="12">
        <f>DAY(EOMONTH(A81,0))</f>
        <v>0</v>
      </c>
      <c r="G81" s="21">
        <f>IF(F81=0,0,E81/F81)</f>
        <v>0</v>
      </c>
      <c r="H81" s="26">
        <f>IF(E80=0,"N/A",(E81-E80)/E80)</f>
        <v>0</v>
      </c>
      <c r="I81" s="12">
        <f>B81+C81</f>
        <v>0</v>
      </c>
      <c r="J81" s="26">
        <f>IFERROR((I81-COUNTIFS('Novel Approval Database'!$H$3:$H$417,"Jun 2024",'Novel Approval Database'!$C$3:$C$417,"NDA")-COUNTIFS('Novel Approval Database'!$H$3:$H$417,"Jun 2024",'Novel Approval Database'!$C$3:$C$417,"BLA",'Novel Approval Database'!$A$3:$A$417,"CDER"))/(COUNTIFS('Novel Approval Database'!$H$3:$H$417,"Jun 2024",'Novel Approval Database'!$C$3:$C$417,"NDA")+COUNTIFS('Novel Approval Database'!$H$3:$H$417,"Jun 2024",'Novel Approval Database'!$C$3:$C$417,"BLA",'Novel Approval Database'!$A$3:$A$417,"CDER")),"N/A")</f>
        <v>0</v>
      </c>
    </row>
    <row r="82" spans="1:10">
      <c r="A82" s="25">
        <v>45839</v>
      </c>
      <c r="B82" s="12">
        <f>COUNTIFS('Novel Approval Database'!$H$3:$H$417,"Jul 2025",'Novel Approval Database'!$C$3:$C$417,"NDA")</f>
        <v>0</v>
      </c>
      <c r="C82" s="12">
        <f>COUNTIFS('Novel Approval Database'!$H$3:$H$417,"Jul 2025",'Novel Approval Database'!$C$3:$C$417,"BLA",'Novel Approval Database'!$A$3:$A$417,"CDER")</f>
        <v>0</v>
      </c>
      <c r="D82" s="12">
        <f>COUNTIFS('Novel Approval Database'!$H$3:$H$417,"Jul 2025",'Novel Approval Database'!$A$3:$A$417,"CBER")</f>
        <v>0</v>
      </c>
      <c r="E82" s="13">
        <f>B82+C82+D82</f>
        <v>0</v>
      </c>
      <c r="F82" s="12">
        <f>DAY(EOMONTH(A82,0))</f>
        <v>0</v>
      </c>
      <c r="G82" s="21">
        <f>IF(F82=0,0,E82/F82)</f>
        <v>0</v>
      </c>
      <c r="H82" s="26">
        <f>IF(E81=0,"N/A",(E82-E81)/E81)</f>
        <v>0</v>
      </c>
      <c r="I82" s="12">
        <f>B82+C82</f>
        <v>0</v>
      </c>
      <c r="J82" s="26">
        <f>IFERROR((I82-COUNTIFS('Novel Approval Database'!$H$3:$H$417,"Jul 2024",'Novel Approval Database'!$C$3:$C$417,"NDA")-COUNTIFS('Novel Approval Database'!$H$3:$H$417,"Jul 2024",'Novel Approval Database'!$C$3:$C$417,"BLA",'Novel Approval Database'!$A$3:$A$417,"CDER"))/(COUNTIFS('Novel Approval Database'!$H$3:$H$417,"Jul 2024",'Novel Approval Database'!$C$3:$C$417,"NDA")+COUNTIFS('Novel Approval Database'!$H$3:$H$417,"Jul 2024",'Novel Approval Database'!$C$3:$C$417,"BLA",'Novel Approval Database'!$A$3:$A$417,"CDER")),"N/A")</f>
        <v>0</v>
      </c>
    </row>
    <row r="83" spans="1:10">
      <c r="A83" s="25">
        <v>45870</v>
      </c>
      <c r="B83" s="12">
        <f>COUNTIFS('Novel Approval Database'!$H$3:$H$417,"Aug 2025",'Novel Approval Database'!$C$3:$C$417,"NDA")</f>
        <v>0</v>
      </c>
      <c r="C83" s="12">
        <f>COUNTIFS('Novel Approval Database'!$H$3:$H$417,"Aug 2025",'Novel Approval Database'!$C$3:$C$417,"BLA",'Novel Approval Database'!$A$3:$A$417,"CDER")</f>
        <v>0</v>
      </c>
      <c r="D83" s="12">
        <f>COUNTIFS('Novel Approval Database'!$H$3:$H$417,"Aug 2025",'Novel Approval Database'!$A$3:$A$417,"CBER")</f>
        <v>0</v>
      </c>
      <c r="E83" s="13">
        <f>B83+C83+D83</f>
        <v>0</v>
      </c>
      <c r="F83" s="12">
        <f>DAY(EOMONTH(A83,0))</f>
        <v>0</v>
      </c>
      <c r="G83" s="21">
        <f>IF(F83=0,0,E83/F83)</f>
        <v>0</v>
      </c>
      <c r="H83" s="26">
        <f>IF(E82=0,"N/A",(E83-E82)/E82)</f>
        <v>0</v>
      </c>
      <c r="I83" s="12">
        <f>B83+C83</f>
        <v>0</v>
      </c>
      <c r="J83" s="26">
        <f>IFERROR((I83-COUNTIFS('Novel Approval Database'!$H$3:$H$417,"Aug 2024",'Novel Approval Database'!$C$3:$C$417,"NDA")-COUNTIFS('Novel Approval Database'!$H$3:$H$417,"Aug 2024",'Novel Approval Database'!$C$3:$C$417,"BLA",'Novel Approval Database'!$A$3:$A$417,"CDER"))/(COUNTIFS('Novel Approval Database'!$H$3:$H$417,"Aug 2024",'Novel Approval Database'!$C$3:$C$417,"NDA")+COUNTIFS('Novel Approval Database'!$H$3:$H$417,"Aug 2024",'Novel Approval Database'!$C$3:$C$417,"BLA",'Novel Approval Database'!$A$3:$A$417,"CDER")),"N/A")</f>
        <v>0</v>
      </c>
    </row>
    <row r="84" spans="1:10">
      <c r="A84" s="25">
        <v>45901</v>
      </c>
      <c r="B84" s="12">
        <f>COUNTIFS('Novel Approval Database'!$H$3:$H$417,"Sep 2025",'Novel Approval Database'!$C$3:$C$417,"NDA")</f>
        <v>0</v>
      </c>
      <c r="C84" s="12">
        <f>COUNTIFS('Novel Approval Database'!$H$3:$H$417,"Sep 2025",'Novel Approval Database'!$C$3:$C$417,"BLA",'Novel Approval Database'!$A$3:$A$417,"CDER")</f>
        <v>0</v>
      </c>
      <c r="D84" s="12">
        <f>COUNTIFS('Novel Approval Database'!$H$3:$H$417,"Sep 2025",'Novel Approval Database'!$A$3:$A$417,"CBER")</f>
        <v>0</v>
      </c>
      <c r="E84" s="13">
        <f>B84+C84+D84</f>
        <v>0</v>
      </c>
      <c r="F84" s="12">
        <f>DAY(EOMONTH(A84,0))</f>
        <v>0</v>
      </c>
      <c r="G84" s="21">
        <f>IF(F84=0,0,E84/F84)</f>
        <v>0</v>
      </c>
      <c r="H84" s="26">
        <f>IF(E83=0,"N/A",(E84-E83)/E83)</f>
        <v>0</v>
      </c>
      <c r="I84" s="12">
        <f>B84+C84</f>
        <v>0</v>
      </c>
      <c r="J84" s="26">
        <f>IFERROR((I84-COUNTIFS('Novel Approval Database'!$H$3:$H$417,"Sep 2024",'Novel Approval Database'!$C$3:$C$417,"NDA")-COUNTIFS('Novel Approval Database'!$H$3:$H$417,"Sep 2024",'Novel Approval Database'!$C$3:$C$417,"BLA",'Novel Approval Database'!$A$3:$A$417,"CDER"))/(COUNTIFS('Novel Approval Database'!$H$3:$H$417,"Sep 2024",'Novel Approval Database'!$C$3:$C$417,"NDA")+COUNTIFS('Novel Approval Database'!$H$3:$H$417,"Sep 2024",'Novel Approval Database'!$C$3:$C$417,"BLA",'Novel Approval Database'!$A$3:$A$417,"CDER")),"N/A")</f>
        <v>0</v>
      </c>
    </row>
    <row r="85" spans="1:10">
      <c r="A85" s="25">
        <v>45931</v>
      </c>
      <c r="B85" s="12">
        <f>COUNTIFS('Novel Approval Database'!$H$3:$H$417,"Oct 2025",'Novel Approval Database'!$C$3:$C$417,"NDA")</f>
        <v>0</v>
      </c>
      <c r="C85" s="12">
        <f>COUNTIFS('Novel Approval Database'!$H$3:$H$417,"Oct 2025",'Novel Approval Database'!$C$3:$C$417,"BLA",'Novel Approval Database'!$A$3:$A$417,"CDER")</f>
        <v>0</v>
      </c>
      <c r="D85" s="12">
        <f>COUNTIFS('Novel Approval Database'!$H$3:$H$417,"Oct 2025",'Novel Approval Database'!$A$3:$A$417,"CBER")</f>
        <v>0</v>
      </c>
      <c r="E85" s="13">
        <f>B85+C85+D85</f>
        <v>0</v>
      </c>
      <c r="F85" s="12">
        <f>DAY(EOMONTH(A85,0))</f>
        <v>0</v>
      </c>
      <c r="G85" s="21">
        <f>IF(F85=0,0,E85/F85)</f>
        <v>0</v>
      </c>
      <c r="H85" s="26">
        <f>IF(E84=0,"N/A",(E85-E84)/E84)</f>
        <v>0</v>
      </c>
      <c r="I85" s="12">
        <f>B85+C85</f>
        <v>0</v>
      </c>
      <c r="J85" s="26">
        <f>IFERROR((I85-COUNTIFS('Novel Approval Database'!$H$3:$H$417,"Oct 2024",'Novel Approval Database'!$C$3:$C$417,"NDA")-COUNTIFS('Novel Approval Database'!$H$3:$H$417,"Oct 2024",'Novel Approval Database'!$C$3:$C$417,"BLA",'Novel Approval Database'!$A$3:$A$417,"CDER"))/(COUNTIFS('Novel Approval Database'!$H$3:$H$417,"Oct 2024",'Novel Approval Database'!$C$3:$C$417,"NDA")+COUNTIFS('Novel Approval Database'!$H$3:$H$417,"Oct 2024",'Novel Approval Database'!$C$3:$C$417,"BLA",'Novel Approval Database'!$A$3:$A$417,"CDER")),"N/A")</f>
        <v>0</v>
      </c>
    </row>
    <row r="86" spans="1:10">
      <c r="A86" s="25">
        <v>45962</v>
      </c>
      <c r="B86" s="12">
        <f>COUNTIFS('Novel Approval Database'!$H$3:$H$417,"Nov 2025",'Novel Approval Database'!$C$3:$C$417,"NDA")</f>
        <v>0</v>
      </c>
      <c r="C86" s="12">
        <f>COUNTIFS('Novel Approval Database'!$H$3:$H$417,"Nov 2025",'Novel Approval Database'!$C$3:$C$417,"BLA",'Novel Approval Database'!$A$3:$A$417,"CDER")</f>
        <v>0</v>
      </c>
      <c r="D86" s="12">
        <f>COUNTIFS('Novel Approval Database'!$H$3:$H$417,"Nov 2025",'Novel Approval Database'!$A$3:$A$417,"CBER")</f>
        <v>0</v>
      </c>
      <c r="E86" s="13">
        <f>B86+C86+D86</f>
        <v>0</v>
      </c>
      <c r="F86" s="12">
        <f>DAY(EOMONTH(A86,0))</f>
        <v>0</v>
      </c>
      <c r="G86" s="21">
        <f>IF(F86=0,0,E86/F86)</f>
        <v>0</v>
      </c>
      <c r="H86" s="26">
        <f>IF(E85=0,"N/A",(E86-E85)/E85)</f>
        <v>0</v>
      </c>
      <c r="I86" s="12">
        <f>B86+C86</f>
        <v>0</v>
      </c>
      <c r="J86" s="26">
        <f>IFERROR((I86-COUNTIFS('Novel Approval Database'!$H$3:$H$417,"Nov 2024",'Novel Approval Database'!$C$3:$C$417,"NDA")-COUNTIFS('Novel Approval Database'!$H$3:$H$417,"Nov 2024",'Novel Approval Database'!$C$3:$C$417,"BLA",'Novel Approval Database'!$A$3:$A$417,"CDER"))/(COUNTIFS('Novel Approval Database'!$H$3:$H$417,"Nov 2024",'Novel Approval Database'!$C$3:$C$417,"NDA")+COUNTIFS('Novel Approval Database'!$H$3:$H$417,"Nov 2024",'Novel Approval Database'!$C$3:$C$417,"BLA",'Novel Approval Database'!$A$3:$A$417,"CDER")),"N/A")</f>
        <v>0</v>
      </c>
    </row>
    <row r="87" spans="1:10">
      <c r="A87" s="25">
        <v>45992</v>
      </c>
      <c r="B87" s="12">
        <f>COUNTIFS('Novel Approval Database'!$H$3:$H$417,"Dec 2025",'Novel Approval Database'!$C$3:$C$417,"NDA")</f>
        <v>0</v>
      </c>
      <c r="C87" s="12">
        <f>COUNTIFS('Novel Approval Database'!$H$3:$H$417,"Dec 2025",'Novel Approval Database'!$C$3:$C$417,"BLA",'Novel Approval Database'!$A$3:$A$417,"CDER")</f>
        <v>0</v>
      </c>
      <c r="D87" s="12">
        <f>COUNTIFS('Novel Approval Database'!$H$3:$H$417,"Dec 2025",'Novel Approval Database'!$A$3:$A$417,"CBER")</f>
        <v>0</v>
      </c>
      <c r="E87" s="13">
        <f>B87+C87+D87</f>
        <v>0</v>
      </c>
      <c r="F87" s="12">
        <f>DAY(EOMONTH(A87,0))</f>
        <v>0</v>
      </c>
      <c r="G87" s="21">
        <f>IF(F87=0,0,E87/F87)</f>
        <v>0</v>
      </c>
      <c r="H87" s="26">
        <f>IF(E86=0,"N/A",(E87-E86)/E86)</f>
        <v>0</v>
      </c>
      <c r="I87" s="12">
        <f>B87+C87</f>
        <v>0</v>
      </c>
      <c r="J87" s="26">
        <f>IFERROR((I87-COUNTIFS('Novel Approval Database'!$H$3:$H$417,"Dec 2024",'Novel Approval Database'!$C$3:$C$417,"NDA")-COUNTIFS('Novel Approval Database'!$H$3:$H$417,"Dec 2024",'Novel Approval Database'!$C$3:$C$417,"BLA",'Novel Approval Database'!$A$3:$A$417,"CDER"))/(COUNTIFS('Novel Approval Database'!$H$3:$H$417,"Dec 2024",'Novel Approval Database'!$C$3:$C$417,"NDA")+COUNTIFS('Novel Approval Database'!$H$3:$H$417,"Dec 2024",'Novel Approval Database'!$C$3:$C$417,"BLA",'Novel Approval Database'!$A$3:$A$417,"CDER")),"N/A")</f>
        <v>0</v>
      </c>
    </row>
    <row r="88" spans="1:10">
      <c r="A88" s="25">
        <v>46023</v>
      </c>
      <c r="B88" s="12">
        <f>COUNTIFS('Novel Approval Database'!$H$3:$H$417,"Jan 2026",'Novel Approval Database'!$C$3:$C$417,"NDA")</f>
        <v>0</v>
      </c>
      <c r="C88" s="12">
        <f>COUNTIFS('Novel Approval Database'!$H$3:$H$417,"Jan 2026",'Novel Approval Database'!$C$3:$C$417,"BLA",'Novel Approval Database'!$A$3:$A$417,"CDER")</f>
        <v>0</v>
      </c>
      <c r="D88" s="12">
        <f>COUNTIFS('Novel Approval Database'!$H$3:$H$417,"Jan 2026",'Novel Approval Database'!$A$3:$A$417,"CBER")</f>
        <v>0</v>
      </c>
      <c r="E88" s="13">
        <f>B88+C88+D88</f>
        <v>0</v>
      </c>
      <c r="F88" s="12">
        <f>DAY(EOMONTH(A88,0))</f>
        <v>0</v>
      </c>
      <c r="G88" s="21">
        <f>IF(F88=0,0,E88/F88)</f>
        <v>0</v>
      </c>
      <c r="H88" s="26">
        <f>IF(E87=0,"N/A",(E88-E87)/E87)</f>
        <v>0</v>
      </c>
      <c r="I88" s="12">
        <f>B88+C88</f>
        <v>0</v>
      </c>
      <c r="J88" s="26">
        <f>IFERROR((I88-COUNTIFS('Novel Approval Database'!$H$3:$H$417,"Jan 2025",'Novel Approval Database'!$C$3:$C$417,"NDA")-COUNTIFS('Novel Approval Database'!$H$3:$H$417,"Jan 2025",'Novel Approval Database'!$C$3:$C$417,"BLA",'Novel Approval Database'!$A$3:$A$417,"CDER"))/(COUNTIFS('Novel Approval Database'!$H$3:$H$417,"Jan 2025",'Novel Approval Database'!$C$3:$C$417,"NDA")+COUNTIFS('Novel Approval Database'!$H$3:$H$417,"Jan 2025",'Novel Approval Database'!$C$3:$C$417,"BLA",'Novel Approval Database'!$A$3:$A$417,"CDER")),"N/A")</f>
        <v>0</v>
      </c>
    </row>
    <row r="89" spans="1:10">
      <c r="A89" s="25">
        <v>46054</v>
      </c>
      <c r="B89" s="12">
        <f>COUNTIFS('Novel Approval Database'!$H$3:$H$417,"Feb 2026",'Novel Approval Database'!$C$3:$C$417,"NDA")</f>
        <v>0</v>
      </c>
      <c r="C89" s="12">
        <f>COUNTIFS('Novel Approval Database'!$H$3:$H$417,"Feb 2026",'Novel Approval Database'!$C$3:$C$417,"BLA",'Novel Approval Database'!$A$3:$A$417,"CDER")</f>
        <v>0</v>
      </c>
      <c r="D89" s="12">
        <f>COUNTIFS('Novel Approval Database'!$H$3:$H$417,"Feb 2026",'Novel Approval Database'!$A$3:$A$417,"CBER")</f>
        <v>0</v>
      </c>
      <c r="E89" s="13">
        <f>B89+C89+D89</f>
        <v>0</v>
      </c>
      <c r="F89" s="12">
        <f>DAY(EOMONTH(A89,0))</f>
        <v>0</v>
      </c>
      <c r="G89" s="21">
        <f>IF(F89=0,0,E89/F89)</f>
        <v>0</v>
      </c>
      <c r="H89" s="26">
        <f>IF(E88=0,"N/A",(E89-E88)/E88)</f>
        <v>0</v>
      </c>
      <c r="I89" s="12">
        <f>B89+C89</f>
        <v>0</v>
      </c>
      <c r="J89" s="26">
        <f>IFERROR((I89-COUNTIFS('Novel Approval Database'!$H$3:$H$417,"Feb 2025",'Novel Approval Database'!$C$3:$C$417,"NDA")-COUNTIFS('Novel Approval Database'!$H$3:$H$417,"Feb 2025",'Novel Approval Database'!$C$3:$C$417,"BLA",'Novel Approval Database'!$A$3:$A$417,"CDER"))/(COUNTIFS('Novel Approval Database'!$H$3:$H$417,"Feb 2025",'Novel Approval Database'!$C$3:$C$417,"NDA")+COUNTIFS('Novel Approval Database'!$H$3:$H$417,"Feb 2025",'Novel Approval Database'!$C$3:$C$417,"BLA",'Novel Approval Database'!$A$3:$A$417,"CDER")),"N/A")</f>
        <v>0</v>
      </c>
    </row>
    <row r="90" spans="1:10">
      <c r="A90" s="25">
        <v>46082</v>
      </c>
      <c r="B90" s="12">
        <f>COUNTIFS('Novel Approval Database'!$H$3:$H$417,"Mar 2026",'Novel Approval Database'!$C$3:$C$417,"NDA")</f>
        <v>0</v>
      </c>
      <c r="C90" s="12">
        <f>COUNTIFS('Novel Approval Database'!$H$3:$H$417,"Mar 2026",'Novel Approval Database'!$C$3:$C$417,"BLA",'Novel Approval Database'!$A$3:$A$417,"CDER")</f>
        <v>0</v>
      </c>
      <c r="D90" s="12">
        <f>COUNTIFS('Novel Approval Database'!$H$3:$H$417,"Mar 2026",'Novel Approval Database'!$A$3:$A$417,"CBER")</f>
        <v>0</v>
      </c>
      <c r="E90" s="13">
        <f>B90+C90+D90</f>
        <v>0</v>
      </c>
      <c r="F90" s="12">
        <f>DAY(EOMONTH(A90,0))</f>
        <v>0</v>
      </c>
      <c r="G90" s="21">
        <f>IF(F90=0,0,E90/F90)</f>
        <v>0</v>
      </c>
      <c r="H90" s="26">
        <f>IF(E89=0,"N/A",(E90-E89)/E89)</f>
        <v>0</v>
      </c>
      <c r="I90" s="12">
        <f>B90+C90</f>
        <v>0</v>
      </c>
      <c r="J90" s="26">
        <f>IFERROR((I90-COUNTIFS('Novel Approval Database'!$H$3:$H$417,"Mar 2025",'Novel Approval Database'!$C$3:$C$417,"NDA")-COUNTIFS('Novel Approval Database'!$H$3:$H$417,"Mar 2025",'Novel Approval Database'!$C$3:$C$417,"BLA",'Novel Approval Database'!$A$3:$A$417,"CDER"))/(COUNTIFS('Novel Approval Database'!$H$3:$H$417,"Mar 2025",'Novel Approval Database'!$C$3:$C$417,"NDA")+COUNTIFS('Novel Approval Database'!$H$3:$H$417,"Mar 2025",'Novel Approval Database'!$C$3:$C$417,"BLA",'Novel Approval Database'!$A$3:$A$417,"CDER")),"N/A")</f>
        <v>0</v>
      </c>
    </row>
    <row r="91" spans="1:10">
      <c r="A91" s="25">
        <v>46113</v>
      </c>
      <c r="B91" s="12">
        <f>COUNTIFS('Novel Approval Database'!$H$3:$H$417,"Apr 2026",'Novel Approval Database'!$C$3:$C$417,"NDA")</f>
        <v>0</v>
      </c>
      <c r="C91" s="12">
        <f>COUNTIFS('Novel Approval Database'!$H$3:$H$417,"Apr 2026",'Novel Approval Database'!$C$3:$C$417,"BLA",'Novel Approval Database'!$A$3:$A$417,"CDER")</f>
        <v>0</v>
      </c>
      <c r="D91" s="12">
        <f>COUNTIFS('Novel Approval Database'!$H$3:$H$417,"Apr 2026",'Novel Approval Database'!$A$3:$A$417,"CBER")</f>
        <v>0</v>
      </c>
      <c r="E91" s="13">
        <f>B91+C91+D91</f>
        <v>0</v>
      </c>
      <c r="F91" s="12">
        <f>DAY(EOMONTH(A91,0))</f>
        <v>0</v>
      </c>
      <c r="G91" s="21">
        <f>IF(F91=0,0,E91/F91)</f>
        <v>0</v>
      </c>
      <c r="H91" s="26">
        <f>IF(E90=0,"N/A",(E91-E90)/E90)</f>
        <v>0</v>
      </c>
      <c r="I91" s="12">
        <f>B91+C91</f>
        <v>0</v>
      </c>
      <c r="J91" s="26">
        <f>IFERROR((I91-COUNTIFS('Novel Approval Database'!$H$3:$H$417,"Apr 2025",'Novel Approval Database'!$C$3:$C$417,"NDA")-COUNTIFS('Novel Approval Database'!$H$3:$H$417,"Apr 2025",'Novel Approval Database'!$C$3:$C$417,"BLA",'Novel Approval Database'!$A$3:$A$417,"CDER"))/(COUNTIFS('Novel Approval Database'!$H$3:$H$417,"Apr 2025",'Novel Approval Database'!$C$3:$C$417,"NDA")+COUNTIFS('Novel Approval Database'!$H$3:$H$417,"Apr 2025",'Novel Approval Database'!$C$3:$C$417,"BLA",'Novel Approval Database'!$A$3:$A$417,"CDER")),"N/A")</f>
        <v>0</v>
      </c>
    </row>
    <row r="92" spans="1:10">
      <c r="A92" s="25">
        <v>46143</v>
      </c>
      <c r="B92" s="12">
        <f>COUNTIFS('Novel Approval Database'!$H$3:$H$417,"May 2026",'Novel Approval Database'!$C$3:$C$417,"NDA")</f>
        <v>0</v>
      </c>
      <c r="C92" s="12">
        <f>COUNTIFS('Novel Approval Database'!$H$3:$H$417,"May 2026",'Novel Approval Database'!$C$3:$C$417,"BLA",'Novel Approval Database'!$A$3:$A$417,"CDER")</f>
        <v>0</v>
      </c>
      <c r="D92" s="12">
        <f>COUNTIFS('Novel Approval Database'!$H$3:$H$417,"May 2026",'Novel Approval Database'!$A$3:$A$417,"CBER")</f>
        <v>0</v>
      </c>
      <c r="E92" s="13">
        <f>B92+C92+D92</f>
        <v>0</v>
      </c>
      <c r="F92" s="12">
        <f>DAY(EOMONTH(A92,0))</f>
        <v>0</v>
      </c>
      <c r="G92" s="21">
        <f>IF(F92=0,0,E92/F92)</f>
        <v>0</v>
      </c>
      <c r="H92" s="26">
        <f>IF(E91=0,"N/A",(E92-E91)/E91)</f>
        <v>0</v>
      </c>
      <c r="I92" s="12">
        <f>B92+C92</f>
        <v>0</v>
      </c>
      <c r="J92" s="26">
        <f>IFERROR((I92-COUNTIFS('Novel Approval Database'!$H$3:$H$417,"May 2025",'Novel Approval Database'!$C$3:$C$417,"NDA")-COUNTIFS('Novel Approval Database'!$H$3:$H$417,"May 2025",'Novel Approval Database'!$C$3:$C$417,"BLA",'Novel Approval Database'!$A$3:$A$417,"CDER"))/(COUNTIFS('Novel Approval Database'!$H$3:$H$417,"May 2025",'Novel Approval Database'!$C$3:$C$417,"NDA")+COUNTIFS('Novel Approval Database'!$H$3:$H$417,"May 2025",'Novel Approval Database'!$C$3:$C$417,"BLA",'Novel Approval Database'!$A$3:$A$417,"CDER")),"N/A")</f>
        <v>0</v>
      </c>
    </row>
    <row r="93" spans="1:10">
      <c r="A93" s="25">
        <v>46174</v>
      </c>
      <c r="B93" s="12">
        <f>COUNTIFS('Novel Approval Database'!$H$3:$H$417,"Jun 2026",'Novel Approval Database'!$C$3:$C$417,"NDA")</f>
        <v>0</v>
      </c>
      <c r="C93" s="12">
        <f>COUNTIFS('Novel Approval Database'!$H$3:$H$417,"Jun 2026",'Novel Approval Database'!$C$3:$C$417,"BLA",'Novel Approval Database'!$A$3:$A$417,"CDER")</f>
        <v>0</v>
      </c>
      <c r="D93" s="12">
        <f>COUNTIFS('Novel Approval Database'!$H$3:$H$417,"Jun 2026",'Novel Approval Database'!$A$3:$A$417,"CBER")</f>
        <v>0</v>
      </c>
      <c r="E93" s="13">
        <f>B93+C93+D93</f>
        <v>0</v>
      </c>
      <c r="F93" s="12">
        <f>DAY(EOMONTH(A93,0))</f>
        <v>0</v>
      </c>
      <c r="G93" s="21">
        <f>IF(F93=0,0,E93/F93)</f>
        <v>0</v>
      </c>
      <c r="H93" s="26">
        <f>IF(E92=0,"N/A",(E93-E92)/E92)</f>
        <v>0</v>
      </c>
      <c r="I93" s="12">
        <f>B93+C93</f>
        <v>0</v>
      </c>
      <c r="J93" s="26">
        <f>IFERROR((I93-COUNTIFS('Novel Approval Database'!$H$3:$H$417,"Jun 2025",'Novel Approval Database'!$C$3:$C$417,"NDA")-COUNTIFS('Novel Approval Database'!$H$3:$H$417,"Jun 2025",'Novel Approval Database'!$C$3:$C$417,"BLA",'Novel Approval Database'!$A$3:$A$417,"CDER"))/(COUNTIFS('Novel Approval Database'!$H$3:$H$417,"Jun 2025",'Novel Approval Database'!$C$3:$C$417,"NDA")+COUNTIFS('Novel Approval Database'!$H$3:$H$417,"Jun 2025",'Novel Approval Database'!$C$3:$C$417,"BLA",'Novel Approval Database'!$A$3:$A$417,"CDER")),"N/A")</f>
        <v>0</v>
      </c>
    </row>
    <row r="94" spans="1:10">
      <c r="A94" s="25">
        <v>46204</v>
      </c>
      <c r="B94" s="12">
        <f>COUNTIFS('Novel Approval Database'!$H$3:$H$417,"Jul 2026",'Novel Approval Database'!$C$3:$C$417,"NDA")</f>
        <v>0</v>
      </c>
      <c r="C94" s="12">
        <f>COUNTIFS('Novel Approval Database'!$H$3:$H$417,"Jul 2026",'Novel Approval Database'!$C$3:$C$417,"BLA",'Novel Approval Database'!$A$3:$A$417,"CDER")</f>
        <v>0</v>
      </c>
      <c r="D94" s="12">
        <f>COUNTIFS('Novel Approval Database'!$H$3:$H$417,"Jul 2026",'Novel Approval Database'!$A$3:$A$417,"CBER")</f>
        <v>0</v>
      </c>
      <c r="E94" s="13">
        <f>B94+C94+D94</f>
        <v>0</v>
      </c>
      <c r="F94" s="12">
        <f>DAY(EOMONTH(A94,0))</f>
        <v>0</v>
      </c>
      <c r="G94" s="21">
        <f>IF(F94=0,0,E94/F94)</f>
        <v>0</v>
      </c>
      <c r="H94" s="26">
        <f>IF(E93=0,"N/A",(E94-E93)/E93)</f>
        <v>0</v>
      </c>
      <c r="I94" s="12">
        <f>B94+C94</f>
        <v>0</v>
      </c>
      <c r="J94" s="26">
        <f>IFERROR((I94-COUNTIFS('Novel Approval Database'!$H$3:$H$417,"Jul 2025",'Novel Approval Database'!$C$3:$C$417,"NDA")-COUNTIFS('Novel Approval Database'!$H$3:$H$417,"Jul 2025",'Novel Approval Database'!$C$3:$C$417,"BLA",'Novel Approval Database'!$A$3:$A$417,"CDER"))/(COUNTIFS('Novel Approval Database'!$H$3:$H$417,"Jul 2025",'Novel Approval Database'!$C$3:$C$417,"NDA")+COUNTIFS('Novel Approval Database'!$H$3:$H$417,"Jul 2025",'Novel Approval Database'!$C$3:$C$417,"BLA",'Novel Approval Database'!$A$3:$A$417,"CDER")),"N/A")</f>
        <v>0</v>
      </c>
    </row>
    <row r="95" spans="1:10">
      <c r="A95" s="27" t="s">
        <v>64180</v>
      </c>
    </row>
    <row r="96" spans="1:10">
      <c r="A96" s="27" t="s">
        <v>64181</v>
      </c>
    </row>
    <row r="98" spans="1:6">
      <c r="A98" s="23" t="s">
        <v>64182</v>
      </c>
    </row>
    <row r="99" spans="1:6">
      <c r="A99" s="24" t="s">
        <v>62957</v>
      </c>
      <c r="B99" s="24" t="s">
        <v>64183</v>
      </c>
    </row>
    <row r="100" spans="1:6">
      <c r="A100" s="12" t="s">
        <v>62959</v>
      </c>
      <c r="B100" s="12">
        <f>SUMIFS('Biosimilar Approval Database'!$G$3:$G$65,'Biosimilar Approval Database'!$B$3:$B$65,2020)</f>
        <v>0</v>
      </c>
    </row>
    <row r="101" spans="1:6">
      <c r="A101" s="12" t="s">
        <v>62960</v>
      </c>
      <c r="B101" s="12">
        <f>SUMIFS('Biosimilar Approval Database'!$G$3:$G$65,'Biosimilar Approval Database'!$B$3:$B$65,2021)</f>
        <v>0</v>
      </c>
    </row>
    <row r="102" spans="1:6">
      <c r="A102" s="12" t="s">
        <v>62961</v>
      </c>
      <c r="B102" s="12">
        <f>SUMIFS('Biosimilar Approval Database'!$G$3:$G$65,'Biosimilar Approval Database'!$B$3:$B$65,2022)</f>
        <v>0</v>
      </c>
    </row>
    <row r="103" spans="1:6">
      <c r="A103" s="12" t="s">
        <v>62962</v>
      </c>
      <c r="B103" s="12">
        <f>SUMIFS('Biosimilar Approval Database'!$G$3:$G$65,'Biosimilar Approval Database'!$B$3:$B$65,2023)</f>
        <v>0</v>
      </c>
    </row>
    <row r="104" spans="1:6">
      <c r="A104" s="12" t="s">
        <v>62963</v>
      </c>
      <c r="B104" s="12">
        <f>SUMIFS('Biosimilar Approval Database'!$G$3:$G$65,'Biosimilar Approval Database'!$B$3:$B$65,2024)</f>
        <v>0</v>
      </c>
    </row>
    <row r="105" spans="1:6">
      <c r="A105" s="12" t="s">
        <v>62964</v>
      </c>
      <c r="B105" s="12">
        <f>SUMIFS('Biosimilar Approval Database'!$G$3:$G$65,'Biosimilar Approval Database'!$B$3:$B$65,2025)</f>
        <v>0</v>
      </c>
    </row>
    <row r="106" spans="1:6">
      <c r="A106" s="12" t="s">
        <v>62965</v>
      </c>
      <c r="B106" s="12">
        <f>SUMIFS('Biosimilar Approval Database'!$G$3:$G$65,'Biosimilar Approval Database'!$B$3:$B$65,2026)</f>
        <v>0</v>
      </c>
    </row>
    <row r="107" spans="1:6">
      <c r="A107" s="14" t="s">
        <v>62966</v>
      </c>
      <c r="B107" s="15">
        <f>ROUND(B106*12/MONTH(EOMONTH(TODAY(),-1)),0)</f>
        <v>0</v>
      </c>
    </row>
    <row r="109" spans="1:6">
      <c r="A109" s="23" t="s">
        <v>64184</v>
      </c>
    </row>
    <row r="110" spans="1:6">
      <c r="A110" s="24" t="s">
        <v>62975</v>
      </c>
      <c r="B110" s="24" t="s">
        <v>64183</v>
      </c>
      <c r="C110" s="24" t="s">
        <v>62976</v>
      </c>
      <c r="D110" s="24" t="s">
        <v>64175</v>
      </c>
      <c r="E110" s="24" t="s">
        <v>64176</v>
      </c>
      <c r="F110" s="24" t="s">
        <v>64185</v>
      </c>
    </row>
    <row r="111" spans="1:6">
      <c r="A111" s="25">
        <v>43831</v>
      </c>
      <c r="B111" s="12">
        <f>SUMIFS('Biosimilar Approval Database'!$G$3:$G$65,'Biosimilar Approval Database'!$C$3:$C$65,"Jan 2020")</f>
        <v>0</v>
      </c>
      <c r="C111" s="12">
        <f>DAY(EOMONTH(A111,0))</f>
        <v>0</v>
      </c>
      <c r="D111" s="21">
        <f>IF(C111=0,0,B111/C111)</f>
        <v>0</v>
      </c>
      <c r="E111" s="12" t="s">
        <v>64179</v>
      </c>
      <c r="F111" s="26">
        <f>IFERROR((B111-SUMIFS('Biosimilar Approval Database'!$G$3:$G$65,'Biosimilar Approval Database'!$C$3:$C$65,"Jan 2019"))/SUMIFS('Biosimilar Approval Database'!$G$3:$G$65,'Biosimilar Approval Database'!$C$3:$C$65,"Jan 2019"),"N/A")</f>
        <v>0</v>
      </c>
    </row>
    <row r="112" spans="1:6">
      <c r="A112" s="25">
        <v>43862</v>
      </c>
      <c r="B112" s="12">
        <f>SUMIFS('Biosimilar Approval Database'!$G$3:$G$65,'Biosimilar Approval Database'!$C$3:$C$65,"Feb 2020")</f>
        <v>0</v>
      </c>
      <c r="C112" s="12">
        <f>DAY(EOMONTH(A112,0))</f>
        <v>0</v>
      </c>
      <c r="D112" s="21">
        <f>IF(C112=0,0,B112/C112)</f>
        <v>0</v>
      </c>
      <c r="E112" s="26">
        <f>IF(B111=0,"N/A",(B112-B111)/B111)</f>
        <v>0</v>
      </c>
      <c r="F112" s="26">
        <f>IFERROR((B112-SUMIFS('Biosimilar Approval Database'!$G$3:$G$65,'Biosimilar Approval Database'!$C$3:$C$65,"Feb 2019"))/SUMIFS('Biosimilar Approval Database'!$G$3:$G$65,'Biosimilar Approval Database'!$C$3:$C$65,"Feb 2019"),"N/A")</f>
        <v>0</v>
      </c>
    </row>
    <row r="113" spans="1:6">
      <c r="A113" s="25">
        <v>43891</v>
      </c>
      <c r="B113" s="12">
        <f>SUMIFS('Biosimilar Approval Database'!$G$3:$G$65,'Biosimilar Approval Database'!$C$3:$C$65,"Mar 2020")</f>
        <v>0</v>
      </c>
      <c r="C113" s="12">
        <f>DAY(EOMONTH(A113,0))</f>
        <v>0</v>
      </c>
      <c r="D113" s="21">
        <f>IF(C113=0,0,B113/C113)</f>
        <v>0</v>
      </c>
      <c r="E113" s="26">
        <f>IF(B112=0,"N/A",(B113-B112)/B112)</f>
        <v>0</v>
      </c>
      <c r="F113" s="26">
        <f>IFERROR((B113-SUMIFS('Biosimilar Approval Database'!$G$3:$G$65,'Biosimilar Approval Database'!$C$3:$C$65,"Mar 2019"))/SUMIFS('Biosimilar Approval Database'!$G$3:$G$65,'Biosimilar Approval Database'!$C$3:$C$65,"Mar 2019"),"N/A")</f>
        <v>0</v>
      </c>
    </row>
    <row r="114" spans="1:6">
      <c r="A114" s="25">
        <v>43922</v>
      </c>
      <c r="B114" s="12">
        <f>SUMIFS('Biosimilar Approval Database'!$G$3:$G$65,'Biosimilar Approval Database'!$C$3:$C$65,"Apr 2020")</f>
        <v>0</v>
      </c>
      <c r="C114" s="12">
        <f>DAY(EOMONTH(A114,0))</f>
        <v>0</v>
      </c>
      <c r="D114" s="21">
        <f>IF(C114=0,0,B114/C114)</f>
        <v>0</v>
      </c>
      <c r="E114" s="26">
        <f>IF(B113=0,"N/A",(B114-B113)/B113)</f>
        <v>0</v>
      </c>
      <c r="F114" s="26">
        <f>IFERROR((B114-SUMIFS('Biosimilar Approval Database'!$G$3:$G$65,'Biosimilar Approval Database'!$C$3:$C$65,"Apr 2019"))/SUMIFS('Biosimilar Approval Database'!$G$3:$G$65,'Biosimilar Approval Database'!$C$3:$C$65,"Apr 2019"),"N/A")</f>
        <v>0</v>
      </c>
    </row>
    <row r="115" spans="1:6">
      <c r="A115" s="25">
        <v>43952</v>
      </c>
      <c r="B115" s="12">
        <f>SUMIFS('Biosimilar Approval Database'!$G$3:$G$65,'Biosimilar Approval Database'!$C$3:$C$65,"May 2020")</f>
        <v>0</v>
      </c>
      <c r="C115" s="12">
        <f>DAY(EOMONTH(A115,0))</f>
        <v>0</v>
      </c>
      <c r="D115" s="21">
        <f>IF(C115=0,0,B115/C115)</f>
        <v>0</v>
      </c>
      <c r="E115" s="26">
        <f>IF(B114=0,"N/A",(B115-B114)/B114)</f>
        <v>0</v>
      </c>
      <c r="F115" s="26">
        <f>IFERROR((B115-SUMIFS('Biosimilar Approval Database'!$G$3:$G$65,'Biosimilar Approval Database'!$C$3:$C$65,"May 2019"))/SUMIFS('Biosimilar Approval Database'!$G$3:$G$65,'Biosimilar Approval Database'!$C$3:$C$65,"May 2019"),"N/A")</f>
        <v>0</v>
      </c>
    </row>
    <row r="116" spans="1:6">
      <c r="A116" s="25">
        <v>43983</v>
      </c>
      <c r="B116" s="12">
        <f>SUMIFS('Biosimilar Approval Database'!$G$3:$G$65,'Biosimilar Approval Database'!$C$3:$C$65,"Jun 2020")</f>
        <v>0</v>
      </c>
      <c r="C116" s="12">
        <f>DAY(EOMONTH(A116,0))</f>
        <v>0</v>
      </c>
      <c r="D116" s="21">
        <f>IF(C116=0,0,B116/C116)</f>
        <v>0</v>
      </c>
      <c r="E116" s="26">
        <f>IF(B115=0,"N/A",(B116-B115)/B115)</f>
        <v>0</v>
      </c>
      <c r="F116" s="26">
        <f>IFERROR((B116-SUMIFS('Biosimilar Approval Database'!$G$3:$G$65,'Biosimilar Approval Database'!$C$3:$C$65,"Jun 2019"))/SUMIFS('Biosimilar Approval Database'!$G$3:$G$65,'Biosimilar Approval Database'!$C$3:$C$65,"Jun 2019"),"N/A")</f>
        <v>0</v>
      </c>
    </row>
    <row r="117" spans="1:6">
      <c r="A117" s="25">
        <v>44013</v>
      </c>
      <c r="B117" s="12">
        <f>SUMIFS('Biosimilar Approval Database'!$G$3:$G$65,'Biosimilar Approval Database'!$C$3:$C$65,"Jul 2020")</f>
        <v>0</v>
      </c>
      <c r="C117" s="12">
        <f>DAY(EOMONTH(A117,0))</f>
        <v>0</v>
      </c>
      <c r="D117" s="21">
        <f>IF(C117=0,0,B117/C117)</f>
        <v>0</v>
      </c>
      <c r="E117" s="26">
        <f>IF(B116=0,"N/A",(B117-B116)/B116)</f>
        <v>0</v>
      </c>
      <c r="F117" s="26">
        <f>IFERROR((B117-SUMIFS('Biosimilar Approval Database'!$G$3:$G$65,'Biosimilar Approval Database'!$C$3:$C$65,"Jul 2019"))/SUMIFS('Biosimilar Approval Database'!$G$3:$G$65,'Biosimilar Approval Database'!$C$3:$C$65,"Jul 2019"),"N/A")</f>
        <v>0</v>
      </c>
    </row>
    <row r="118" spans="1:6">
      <c r="A118" s="25">
        <v>44044</v>
      </c>
      <c r="B118" s="12">
        <f>SUMIFS('Biosimilar Approval Database'!$G$3:$G$65,'Biosimilar Approval Database'!$C$3:$C$65,"Aug 2020")</f>
        <v>0</v>
      </c>
      <c r="C118" s="12">
        <f>DAY(EOMONTH(A118,0))</f>
        <v>0</v>
      </c>
      <c r="D118" s="21">
        <f>IF(C118=0,0,B118/C118)</f>
        <v>0</v>
      </c>
      <c r="E118" s="26">
        <f>IF(B117=0,"N/A",(B118-B117)/B117)</f>
        <v>0</v>
      </c>
      <c r="F118" s="26">
        <f>IFERROR((B118-SUMIFS('Biosimilar Approval Database'!$G$3:$G$65,'Biosimilar Approval Database'!$C$3:$C$65,"Aug 2019"))/SUMIFS('Biosimilar Approval Database'!$G$3:$G$65,'Biosimilar Approval Database'!$C$3:$C$65,"Aug 2019"),"N/A")</f>
        <v>0</v>
      </c>
    </row>
    <row r="119" spans="1:6">
      <c r="A119" s="25">
        <v>44075</v>
      </c>
      <c r="B119" s="12">
        <f>SUMIFS('Biosimilar Approval Database'!$G$3:$G$65,'Biosimilar Approval Database'!$C$3:$C$65,"Sep 2020")</f>
        <v>0</v>
      </c>
      <c r="C119" s="12">
        <f>DAY(EOMONTH(A119,0))</f>
        <v>0</v>
      </c>
      <c r="D119" s="21">
        <f>IF(C119=0,0,B119/C119)</f>
        <v>0</v>
      </c>
      <c r="E119" s="26">
        <f>IF(B118=0,"N/A",(B119-B118)/B118)</f>
        <v>0</v>
      </c>
      <c r="F119" s="26">
        <f>IFERROR((B119-SUMIFS('Biosimilar Approval Database'!$G$3:$G$65,'Biosimilar Approval Database'!$C$3:$C$65,"Sep 2019"))/SUMIFS('Biosimilar Approval Database'!$G$3:$G$65,'Biosimilar Approval Database'!$C$3:$C$65,"Sep 2019"),"N/A")</f>
        <v>0</v>
      </c>
    </row>
    <row r="120" spans="1:6">
      <c r="A120" s="25">
        <v>44105</v>
      </c>
      <c r="B120" s="12">
        <f>SUMIFS('Biosimilar Approval Database'!$G$3:$G$65,'Biosimilar Approval Database'!$C$3:$C$65,"Oct 2020")</f>
        <v>0</v>
      </c>
      <c r="C120" s="12">
        <f>DAY(EOMONTH(A120,0))</f>
        <v>0</v>
      </c>
      <c r="D120" s="21">
        <f>IF(C120=0,0,B120/C120)</f>
        <v>0</v>
      </c>
      <c r="E120" s="26">
        <f>IF(B119=0,"N/A",(B120-B119)/B119)</f>
        <v>0</v>
      </c>
      <c r="F120" s="26">
        <f>IFERROR((B120-SUMIFS('Biosimilar Approval Database'!$G$3:$G$65,'Biosimilar Approval Database'!$C$3:$C$65,"Oct 2019"))/SUMIFS('Biosimilar Approval Database'!$G$3:$G$65,'Biosimilar Approval Database'!$C$3:$C$65,"Oct 2019"),"N/A")</f>
        <v>0</v>
      </c>
    </row>
    <row r="121" spans="1:6">
      <c r="A121" s="25">
        <v>44136</v>
      </c>
      <c r="B121" s="12">
        <f>SUMIFS('Biosimilar Approval Database'!$G$3:$G$65,'Biosimilar Approval Database'!$C$3:$C$65,"Nov 2020")</f>
        <v>0</v>
      </c>
      <c r="C121" s="12">
        <f>DAY(EOMONTH(A121,0))</f>
        <v>0</v>
      </c>
      <c r="D121" s="21">
        <f>IF(C121=0,0,B121/C121)</f>
        <v>0</v>
      </c>
      <c r="E121" s="26">
        <f>IF(B120=0,"N/A",(B121-B120)/B120)</f>
        <v>0</v>
      </c>
      <c r="F121" s="26">
        <f>IFERROR((B121-SUMIFS('Biosimilar Approval Database'!$G$3:$G$65,'Biosimilar Approval Database'!$C$3:$C$65,"Nov 2019"))/SUMIFS('Biosimilar Approval Database'!$G$3:$G$65,'Biosimilar Approval Database'!$C$3:$C$65,"Nov 2019"),"N/A")</f>
        <v>0</v>
      </c>
    </row>
    <row r="122" spans="1:6">
      <c r="A122" s="25">
        <v>44166</v>
      </c>
      <c r="B122" s="12">
        <f>SUMIFS('Biosimilar Approval Database'!$G$3:$G$65,'Biosimilar Approval Database'!$C$3:$C$65,"Dec 2020")</f>
        <v>0</v>
      </c>
      <c r="C122" s="12">
        <f>DAY(EOMONTH(A122,0))</f>
        <v>0</v>
      </c>
      <c r="D122" s="21">
        <f>IF(C122=0,0,B122/C122)</f>
        <v>0</v>
      </c>
      <c r="E122" s="26">
        <f>IF(B121=0,"N/A",(B122-B121)/B121)</f>
        <v>0</v>
      </c>
      <c r="F122" s="26">
        <f>IFERROR((B122-SUMIFS('Biosimilar Approval Database'!$G$3:$G$65,'Biosimilar Approval Database'!$C$3:$C$65,"Dec 2019"))/SUMIFS('Biosimilar Approval Database'!$G$3:$G$65,'Biosimilar Approval Database'!$C$3:$C$65,"Dec 2019"),"N/A")</f>
        <v>0</v>
      </c>
    </row>
    <row r="123" spans="1:6">
      <c r="A123" s="25">
        <v>44197</v>
      </c>
      <c r="B123" s="12">
        <f>SUMIFS('Biosimilar Approval Database'!$G$3:$G$65,'Biosimilar Approval Database'!$C$3:$C$65,"Jan 2021")</f>
        <v>0</v>
      </c>
      <c r="C123" s="12">
        <f>DAY(EOMONTH(A123,0))</f>
        <v>0</v>
      </c>
      <c r="D123" s="21">
        <f>IF(C123=0,0,B123/C123)</f>
        <v>0</v>
      </c>
      <c r="E123" s="26">
        <f>IF(B122=0,"N/A",(B123-B122)/B122)</f>
        <v>0</v>
      </c>
      <c r="F123" s="26">
        <f>IFERROR((B123-SUMIFS('Biosimilar Approval Database'!$G$3:$G$65,'Biosimilar Approval Database'!$C$3:$C$65,"Jan 2020"))/SUMIFS('Biosimilar Approval Database'!$G$3:$G$65,'Biosimilar Approval Database'!$C$3:$C$65,"Jan 2020"),"N/A")</f>
        <v>0</v>
      </c>
    </row>
    <row r="124" spans="1:6">
      <c r="A124" s="25">
        <v>44228</v>
      </c>
      <c r="B124" s="12">
        <f>SUMIFS('Biosimilar Approval Database'!$G$3:$G$65,'Biosimilar Approval Database'!$C$3:$C$65,"Feb 2021")</f>
        <v>0</v>
      </c>
      <c r="C124" s="12">
        <f>DAY(EOMONTH(A124,0))</f>
        <v>0</v>
      </c>
      <c r="D124" s="21">
        <f>IF(C124=0,0,B124/C124)</f>
        <v>0</v>
      </c>
      <c r="E124" s="26">
        <f>IF(B123=0,"N/A",(B124-B123)/B123)</f>
        <v>0</v>
      </c>
      <c r="F124" s="26">
        <f>IFERROR((B124-SUMIFS('Biosimilar Approval Database'!$G$3:$G$65,'Biosimilar Approval Database'!$C$3:$C$65,"Feb 2020"))/SUMIFS('Biosimilar Approval Database'!$G$3:$G$65,'Biosimilar Approval Database'!$C$3:$C$65,"Feb 2020"),"N/A")</f>
        <v>0</v>
      </c>
    </row>
    <row r="125" spans="1:6">
      <c r="A125" s="25">
        <v>44256</v>
      </c>
      <c r="B125" s="12">
        <f>SUMIFS('Biosimilar Approval Database'!$G$3:$G$65,'Biosimilar Approval Database'!$C$3:$C$65,"Mar 2021")</f>
        <v>0</v>
      </c>
      <c r="C125" s="12">
        <f>DAY(EOMONTH(A125,0))</f>
        <v>0</v>
      </c>
      <c r="D125" s="21">
        <f>IF(C125=0,0,B125/C125)</f>
        <v>0</v>
      </c>
      <c r="E125" s="26">
        <f>IF(B124=0,"N/A",(B125-B124)/B124)</f>
        <v>0</v>
      </c>
      <c r="F125" s="26">
        <f>IFERROR((B125-SUMIFS('Biosimilar Approval Database'!$G$3:$G$65,'Biosimilar Approval Database'!$C$3:$C$65,"Mar 2020"))/SUMIFS('Biosimilar Approval Database'!$G$3:$G$65,'Biosimilar Approval Database'!$C$3:$C$65,"Mar 2020"),"N/A")</f>
        <v>0</v>
      </c>
    </row>
    <row r="126" spans="1:6">
      <c r="A126" s="25">
        <v>44287</v>
      </c>
      <c r="B126" s="12">
        <f>SUMIFS('Biosimilar Approval Database'!$G$3:$G$65,'Biosimilar Approval Database'!$C$3:$C$65,"Apr 2021")</f>
        <v>0</v>
      </c>
      <c r="C126" s="12">
        <f>DAY(EOMONTH(A126,0))</f>
        <v>0</v>
      </c>
      <c r="D126" s="21">
        <f>IF(C126=0,0,B126/C126)</f>
        <v>0</v>
      </c>
      <c r="E126" s="26">
        <f>IF(B125=0,"N/A",(B126-B125)/B125)</f>
        <v>0</v>
      </c>
      <c r="F126" s="26">
        <f>IFERROR((B126-SUMIFS('Biosimilar Approval Database'!$G$3:$G$65,'Biosimilar Approval Database'!$C$3:$C$65,"Apr 2020"))/SUMIFS('Biosimilar Approval Database'!$G$3:$G$65,'Biosimilar Approval Database'!$C$3:$C$65,"Apr 2020"),"N/A")</f>
        <v>0</v>
      </c>
    </row>
    <row r="127" spans="1:6">
      <c r="A127" s="25">
        <v>44317</v>
      </c>
      <c r="B127" s="12">
        <f>SUMIFS('Biosimilar Approval Database'!$G$3:$G$65,'Biosimilar Approval Database'!$C$3:$C$65,"May 2021")</f>
        <v>0</v>
      </c>
      <c r="C127" s="12">
        <f>DAY(EOMONTH(A127,0))</f>
        <v>0</v>
      </c>
      <c r="D127" s="21">
        <f>IF(C127=0,0,B127/C127)</f>
        <v>0</v>
      </c>
      <c r="E127" s="26">
        <f>IF(B126=0,"N/A",(B127-B126)/B126)</f>
        <v>0</v>
      </c>
      <c r="F127" s="26">
        <f>IFERROR((B127-SUMIFS('Biosimilar Approval Database'!$G$3:$G$65,'Biosimilar Approval Database'!$C$3:$C$65,"May 2020"))/SUMIFS('Biosimilar Approval Database'!$G$3:$G$65,'Biosimilar Approval Database'!$C$3:$C$65,"May 2020"),"N/A")</f>
        <v>0</v>
      </c>
    </row>
    <row r="128" spans="1:6">
      <c r="A128" s="25">
        <v>44348</v>
      </c>
      <c r="B128" s="12">
        <f>SUMIFS('Biosimilar Approval Database'!$G$3:$G$65,'Biosimilar Approval Database'!$C$3:$C$65,"Jun 2021")</f>
        <v>0</v>
      </c>
      <c r="C128" s="12">
        <f>DAY(EOMONTH(A128,0))</f>
        <v>0</v>
      </c>
      <c r="D128" s="21">
        <f>IF(C128=0,0,B128/C128)</f>
        <v>0</v>
      </c>
      <c r="E128" s="26">
        <f>IF(B127=0,"N/A",(B128-B127)/B127)</f>
        <v>0</v>
      </c>
      <c r="F128" s="26">
        <f>IFERROR((B128-SUMIFS('Biosimilar Approval Database'!$G$3:$G$65,'Biosimilar Approval Database'!$C$3:$C$65,"Jun 2020"))/SUMIFS('Biosimilar Approval Database'!$G$3:$G$65,'Biosimilar Approval Database'!$C$3:$C$65,"Jun 2020"),"N/A")</f>
        <v>0</v>
      </c>
    </row>
    <row r="129" spans="1:6">
      <c r="A129" s="25">
        <v>44378</v>
      </c>
      <c r="B129" s="12">
        <f>SUMIFS('Biosimilar Approval Database'!$G$3:$G$65,'Biosimilar Approval Database'!$C$3:$C$65,"Jul 2021")</f>
        <v>0</v>
      </c>
      <c r="C129" s="12">
        <f>DAY(EOMONTH(A129,0))</f>
        <v>0</v>
      </c>
      <c r="D129" s="21">
        <f>IF(C129=0,0,B129/C129)</f>
        <v>0</v>
      </c>
      <c r="E129" s="26">
        <f>IF(B128=0,"N/A",(B129-B128)/B128)</f>
        <v>0</v>
      </c>
      <c r="F129" s="26">
        <f>IFERROR((B129-SUMIFS('Biosimilar Approval Database'!$G$3:$G$65,'Biosimilar Approval Database'!$C$3:$C$65,"Jul 2020"))/SUMIFS('Biosimilar Approval Database'!$G$3:$G$65,'Biosimilar Approval Database'!$C$3:$C$65,"Jul 2020"),"N/A")</f>
        <v>0</v>
      </c>
    </row>
    <row r="130" spans="1:6">
      <c r="A130" s="25">
        <v>44409</v>
      </c>
      <c r="B130" s="12">
        <f>SUMIFS('Biosimilar Approval Database'!$G$3:$G$65,'Biosimilar Approval Database'!$C$3:$C$65,"Aug 2021")</f>
        <v>0</v>
      </c>
      <c r="C130" s="12">
        <f>DAY(EOMONTH(A130,0))</f>
        <v>0</v>
      </c>
      <c r="D130" s="21">
        <f>IF(C130=0,0,B130/C130)</f>
        <v>0</v>
      </c>
      <c r="E130" s="26">
        <f>IF(B129=0,"N/A",(B130-B129)/B129)</f>
        <v>0</v>
      </c>
      <c r="F130" s="26">
        <f>IFERROR((B130-SUMIFS('Biosimilar Approval Database'!$G$3:$G$65,'Biosimilar Approval Database'!$C$3:$C$65,"Aug 2020"))/SUMIFS('Biosimilar Approval Database'!$G$3:$G$65,'Biosimilar Approval Database'!$C$3:$C$65,"Aug 2020"),"N/A")</f>
        <v>0</v>
      </c>
    </row>
    <row r="131" spans="1:6">
      <c r="A131" s="25">
        <v>44440</v>
      </c>
      <c r="B131" s="12">
        <f>SUMIFS('Biosimilar Approval Database'!$G$3:$G$65,'Biosimilar Approval Database'!$C$3:$C$65,"Sep 2021")</f>
        <v>0</v>
      </c>
      <c r="C131" s="12">
        <f>DAY(EOMONTH(A131,0))</f>
        <v>0</v>
      </c>
      <c r="D131" s="21">
        <f>IF(C131=0,0,B131/C131)</f>
        <v>0</v>
      </c>
      <c r="E131" s="26">
        <f>IF(B130=0,"N/A",(B131-B130)/B130)</f>
        <v>0</v>
      </c>
      <c r="F131" s="26">
        <f>IFERROR((B131-SUMIFS('Biosimilar Approval Database'!$G$3:$G$65,'Biosimilar Approval Database'!$C$3:$C$65,"Sep 2020"))/SUMIFS('Biosimilar Approval Database'!$G$3:$G$65,'Biosimilar Approval Database'!$C$3:$C$65,"Sep 2020"),"N/A")</f>
        <v>0</v>
      </c>
    </row>
    <row r="132" spans="1:6">
      <c r="A132" s="25">
        <v>44470</v>
      </c>
      <c r="B132" s="12">
        <f>SUMIFS('Biosimilar Approval Database'!$G$3:$G$65,'Biosimilar Approval Database'!$C$3:$C$65,"Oct 2021")</f>
        <v>0</v>
      </c>
      <c r="C132" s="12">
        <f>DAY(EOMONTH(A132,0))</f>
        <v>0</v>
      </c>
      <c r="D132" s="21">
        <f>IF(C132=0,0,B132/C132)</f>
        <v>0</v>
      </c>
      <c r="E132" s="26">
        <f>IF(B131=0,"N/A",(B132-B131)/B131)</f>
        <v>0</v>
      </c>
      <c r="F132" s="26">
        <f>IFERROR((B132-SUMIFS('Biosimilar Approval Database'!$G$3:$G$65,'Biosimilar Approval Database'!$C$3:$C$65,"Oct 2020"))/SUMIFS('Biosimilar Approval Database'!$G$3:$G$65,'Biosimilar Approval Database'!$C$3:$C$65,"Oct 2020"),"N/A")</f>
        <v>0</v>
      </c>
    </row>
    <row r="133" spans="1:6">
      <c r="A133" s="25">
        <v>44501</v>
      </c>
      <c r="B133" s="12">
        <f>SUMIFS('Biosimilar Approval Database'!$G$3:$G$65,'Biosimilar Approval Database'!$C$3:$C$65,"Nov 2021")</f>
        <v>0</v>
      </c>
      <c r="C133" s="12">
        <f>DAY(EOMONTH(A133,0))</f>
        <v>0</v>
      </c>
      <c r="D133" s="21">
        <f>IF(C133=0,0,B133/C133)</f>
        <v>0</v>
      </c>
      <c r="E133" s="26">
        <f>IF(B132=0,"N/A",(B133-B132)/B132)</f>
        <v>0</v>
      </c>
      <c r="F133" s="26">
        <f>IFERROR((B133-SUMIFS('Biosimilar Approval Database'!$G$3:$G$65,'Biosimilar Approval Database'!$C$3:$C$65,"Nov 2020"))/SUMIFS('Biosimilar Approval Database'!$G$3:$G$65,'Biosimilar Approval Database'!$C$3:$C$65,"Nov 2020"),"N/A")</f>
        <v>0</v>
      </c>
    </row>
    <row r="134" spans="1:6">
      <c r="A134" s="25">
        <v>44531</v>
      </c>
      <c r="B134" s="12">
        <f>SUMIFS('Biosimilar Approval Database'!$G$3:$G$65,'Biosimilar Approval Database'!$C$3:$C$65,"Dec 2021")</f>
        <v>0</v>
      </c>
      <c r="C134" s="12">
        <f>DAY(EOMONTH(A134,0))</f>
        <v>0</v>
      </c>
      <c r="D134" s="21">
        <f>IF(C134=0,0,B134/C134)</f>
        <v>0</v>
      </c>
      <c r="E134" s="26">
        <f>IF(B133=0,"N/A",(B134-B133)/B133)</f>
        <v>0</v>
      </c>
      <c r="F134" s="26">
        <f>IFERROR((B134-SUMIFS('Biosimilar Approval Database'!$G$3:$G$65,'Biosimilar Approval Database'!$C$3:$C$65,"Dec 2020"))/SUMIFS('Biosimilar Approval Database'!$G$3:$G$65,'Biosimilar Approval Database'!$C$3:$C$65,"Dec 2020"),"N/A")</f>
        <v>0</v>
      </c>
    </row>
    <row r="135" spans="1:6">
      <c r="A135" s="25">
        <v>44562</v>
      </c>
      <c r="B135" s="12">
        <f>SUMIFS('Biosimilar Approval Database'!$G$3:$G$65,'Biosimilar Approval Database'!$C$3:$C$65,"Jan 2022")</f>
        <v>0</v>
      </c>
      <c r="C135" s="12">
        <f>DAY(EOMONTH(A135,0))</f>
        <v>0</v>
      </c>
      <c r="D135" s="21">
        <f>IF(C135=0,0,B135/C135)</f>
        <v>0</v>
      </c>
      <c r="E135" s="26">
        <f>IF(B134=0,"N/A",(B135-B134)/B134)</f>
        <v>0</v>
      </c>
      <c r="F135" s="26">
        <f>IFERROR((B135-SUMIFS('Biosimilar Approval Database'!$G$3:$G$65,'Biosimilar Approval Database'!$C$3:$C$65,"Jan 2021"))/SUMIFS('Biosimilar Approval Database'!$G$3:$G$65,'Biosimilar Approval Database'!$C$3:$C$65,"Jan 2021"),"N/A")</f>
        <v>0</v>
      </c>
    </row>
    <row r="136" spans="1:6">
      <c r="A136" s="25">
        <v>44593</v>
      </c>
      <c r="B136" s="12">
        <f>SUMIFS('Biosimilar Approval Database'!$G$3:$G$65,'Biosimilar Approval Database'!$C$3:$C$65,"Feb 2022")</f>
        <v>0</v>
      </c>
      <c r="C136" s="12">
        <f>DAY(EOMONTH(A136,0))</f>
        <v>0</v>
      </c>
      <c r="D136" s="21">
        <f>IF(C136=0,0,B136/C136)</f>
        <v>0</v>
      </c>
      <c r="E136" s="26">
        <f>IF(B135=0,"N/A",(B136-B135)/B135)</f>
        <v>0</v>
      </c>
      <c r="F136" s="26">
        <f>IFERROR((B136-SUMIFS('Biosimilar Approval Database'!$G$3:$G$65,'Biosimilar Approval Database'!$C$3:$C$65,"Feb 2021"))/SUMIFS('Biosimilar Approval Database'!$G$3:$G$65,'Biosimilar Approval Database'!$C$3:$C$65,"Feb 2021"),"N/A")</f>
        <v>0</v>
      </c>
    </row>
    <row r="137" spans="1:6">
      <c r="A137" s="25">
        <v>44621</v>
      </c>
      <c r="B137" s="12">
        <f>SUMIFS('Biosimilar Approval Database'!$G$3:$G$65,'Biosimilar Approval Database'!$C$3:$C$65,"Mar 2022")</f>
        <v>0</v>
      </c>
      <c r="C137" s="12">
        <f>DAY(EOMONTH(A137,0))</f>
        <v>0</v>
      </c>
      <c r="D137" s="21">
        <f>IF(C137=0,0,B137/C137)</f>
        <v>0</v>
      </c>
      <c r="E137" s="26">
        <f>IF(B136=0,"N/A",(B137-B136)/B136)</f>
        <v>0</v>
      </c>
      <c r="F137" s="26">
        <f>IFERROR((B137-SUMIFS('Biosimilar Approval Database'!$G$3:$G$65,'Biosimilar Approval Database'!$C$3:$C$65,"Mar 2021"))/SUMIFS('Biosimilar Approval Database'!$G$3:$G$65,'Biosimilar Approval Database'!$C$3:$C$65,"Mar 2021"),"N/A")</f>
        <v>0</v>
      </c>
    </row>
    <row r="138" spans="1:6">
      <c r="A138" s="25">
        <v>44652</v>
      </c>
      <c r="B138" s="12">
        <f>SUMIFS('Biosimilar Approval Database'!$G$3:$G$65,'Biosimilar Approval Database'!$C$3:$C$65,"Apr 2022")</f>
        <v>0</v>
      </c>
      <c r="C138" s="12">
        <f>DAY(EOMONTH(A138,0))</f>
        <v>0</v>
      </c>
      <c r="D138" s="21">
        <f>IF(C138=0,0,B138/C138)</f>
        <v>0</v>
      </c>
      <c r="E138" s="26">
        <f>IF(B137=0,"N/A",(B138-B137)/B137)</f>
        <v>0</v>
      </c>
      <c r="F138" s="26">
        <f>IFERROR((B138-SUMIFS('Biosimilar Approval Database'!$G$3:$G$65,'Biosimilar Approval Database'!$C$3:$C$65,"Apr 2021"))/SUMIFS('Biosimilar Approval Database'!$G$3:$G$65,'Biosimilar Approval Database'!$C$3:$C$65,"Apr 2021"),"N/A")</f>
        <v>0</v>
      </c>
    </row>
    <row r="139" spans="1:6">
      <c r="A139" s="25">
        <v>44682</v>
      </c>
      <c r="B139" s="12">
        <f>SUMIFS('Biosimilar Approval Database'!$G$3:$G$65,'Biosimilar Approval Database'!$C$3:$C$65,"May 2022")</f>
        <v>0</v>
      </c>
      <c r="C139" s="12">
        <f>DAY(EOMONTH(A139,0))</f>
        <v>0</v>
      </c>
      <c r="D139" s="21">
        <f>IF(C139=0,0,B139/C139)</f>
        <v>0</v>
      </c>
      <c r="E139" s="26">
        <f>IF(B138=0,"N/A",(B139-B138)/B138)</f>
        <v>0</v>
      </c>
      <c r="F139" s="26">
        <f>IFERROR((B139-SUMIFS('Biosimilar Approval Database'!$G$3:$G$65,'Biosimilar Approval Database'!$C$3:$C$65,"May 2021"))/SUMIFS('Biosimilar Approval Database'!$G$3:$G$65,'Biosimilar Approval Database'!$C$3:$C$65,"May 2021"),"N/A")</f>
        <v>0</v>
      </c>
    </row>
    <row r="140" spans="1:6">
      <c r="A140" s="25">
        <v>44713</v>
      </c>
      <c r="B140" s="12">
        <f>SUMIFS('Biosimilar Approval Database'!$G$3:$G$65,'Biosimilar Approval Database'!$C$3:$C$65,"Jun 2022")</f>
        <v>0</v>
      </c>
      <c r="C140" s="12">
        <f>DAY(EOMONTH(A140,0))</f>
        <v>0</v>
      </c>
      <c r="D140" s="21">
        <f>IF(C140=0,0,B140/C140)</f>
        <v>0</v>
      </c>
      <c r="E140" s="26">
        <f>IF(B139=0,"N/A",(B140-B139)/B139)</f>
        <v>0</v>
      </c>
      <c r="F140" s="26">
        <f>IFERROR((B140-SUMIFS('Biosimilar Approval Database'!$G$3:$G$65,'Biosimilar Approval Database'!$C$3:$C$65,"Jun 2021"))/SUMIFS('Biosimilar Approval Database'!$G$3:$G$65,'Biosimilar Approval Database'!$C$3:$C$65,"Jun 2021"),"N/A")</f>
        <v>0</v>
      </c>
    </row>
    <row r="141" spans="1:6">
      <c r="A141" s="25">
        <v>44743</v>
      </c>
      <c r="B141" s="12">
        <f>SUMIFS('Biosimilar Approval Database'!$G$3:$G$65,'Biosimilar Approval Database'!$C$3:$C$65,"Jul 2022")</f>
        <v>0</v>
      </c>
      <c r="C141" s="12">
        <f>DAY(EOMONTH(A141,0))</f>
        <v>0</v>
      </c>
      <c r="D141" s="21">
        <f>IF(C141=0,0,B141/C141)</f>
        <v>0</v>
      </c>
      <c r="E141" s="26">
        <f>IF(B140=0,"N/A",(B141-B140)/B140)</f>
        <v>0</v>
      </c>
      <c r="F141" s="26">
        <f>IFERROR((B141-SUMIFS('Biosimilar Approval Database'!$G$3:$G$65,'Biosimilar Approval Database'!$C$3:$C$65,"Jul 2021"))/SUMIFS('Biosimilar Approval Database'!$G$3:$G$65,'Biosimilar Approval Database'!$C$3:$C$65,"Jul 2021"),"N/A")</f>
        <v>0</v>
      </c>
    </row>
    <row r="142" spans="1:6">
      <c r="A142" s="25">
        <v>44774</v>
      </c>
      <c r="B142" s="12">
        <f>SUMIFS('Biosimilar Approval Database'!$G$3:$G$65,'Biosimilar Approval Database'!$C$3:$C$65,"Aug 2022")</f>
        <v>0</v>
      </c>
      <c r="C142" s="12">
        <f>DAY(EOMONTH(A142,0))</f>
        <v>0</v>
      </c>
      <c r="D142" s="21">
        <f>IF(C142=0,0,B142/C142)</f>
        <v>0</v>
      </c>
      <c r="E142" s="26">
        <f>IF(B141=0,"N/A",(B142-B141)/B141)</f>
        <v>0</v>
      </c>
      <c r="F142" s="26">
        <f>IFERROR((B142-SUMIFS('Biosimilar Approval Database'!$G$3:$G$65,'Biosimilar Approval Database'!$C$3:$C$65,"Aug 2021"))/SUMIFS('Biosimilar Approval Database'!$G$3:$G$65,'Biosimilar Approval Database'!$C$3:$C$65,"Aug 2021"),"N/A")</f>
        <v>0</v>
      </c>
    </row>
    <row r="143" spans="1:6">
      <c r="A143" s="25">
        <v>44805</v>
      </c>
      <c r="B143" s="12">
        <f>SUMIFS('Biosimilar Approval Database'!$G$3:$G$65,'Biosimilar Approval Database'!$C$3:$C$65,"Sep 2022")</f>
        <v>0</v>
      </c>
      <c r="C143" s="12">
        <f>DAY(EOMONTH(A143,0))</f>
        <v>0</v>
      </c>
      <c r="D143" s="21">
        <f>IF(C143=0,0,B143/C143)</f>
        <v>0</v>
      </c>
      <c r="E143" s="26">
        <f>IF(B142=0,"N/A",(B143-B142)/B142)</f>
        <v>0</v>
      </c>
      <c r="F143" s="26">
        <f>IFERROR((B143-SUMIFS('Biosimilar Approval Database'!$G$3:$G$65,'Biosimilar Approval Database'!$C$3:$C$65,"Sep 2021"))/SUMIFS('Biosimilar Approval Database'!$G$3:$G$65,'Biosimilar Approval Database'!$C$3:$C$65,"Sep 2021"),"N/A")</f>
        <v>0</v>
      </c>
    </row>
    <row r="144" spans="1:6">
      <c r="A144" s="25">
        <v>44835</v>
      </c>
      <c r="B144" s="12">
        <f>SUMIFS('Biosimilar Approval Database'!$G$3:$G$65,'Biosimilar Approval Database'!$C$3:$C$65,"Oct 2022")</f>
        <v>0</v>
      </c>
      <c r="C144" s="12">
        <f>DAY(EOMONTH(A144,0))</f>
        <v>0</v>
      </c>
      <c r="D144" s="21">
        <f>IF(C144=0,0,B144/C144)</f>
        <v>0</v>
      </c>
      <c r="E144" s="26">
        <f>IF(B143=0,"N/A",(B144-B143)/B143)</f>
        <v>0</v>
      </c>
      <c r="F144" s="26">
        <f>IFERROR((B144-SUMIFS('Biosimilar Approval Database'!$G$3:$G$65,'Biosimilar Approval Database'!$C$3:$C$65,"Oct 2021"))/SUMIFS('Biosimilar Approval Database'!$G$3:$G$65,'Biosimilar Approval Database'!$C$3:$C$65,"Oct 2021"),"N/A")</f>
        <v>0</v>
      </c>
    </row>
    <row r="145" spans="1:6">
      <c r="A145" s="25">
        <v>44866</v>
      </c>
      <c r="B145" s="12">
        <f>SUMIFS('Biosimilar Approval Database'!$G$3:$G$65,'Biosimilar Approval Database'!$C$3:$C$65,"Nov 2022")</f>
        <v>0</v>
      </c>
      <c r="C145" s="12">
        <f>DAY(EOMONTH(A145,0))</f>
        <v>0</v>
      </c>
      <c r="D145" s="21">
        <f>IF(C145=0,0,B145/C145)</f>
        <v>0</v>
      </c>
      <c r="E145" s="26">
        <f>IF(B144=0,"N/A",(B145-B144)/B144)</f>
        <v>0</v>
      </c>
      <c r="F145" s="26">
        <f>IFERROR((B145-SUMIFS('Biosimilar Approval Database'!$G$3:$G$65,'Biosimilar Approval Database'!$C$3:$C$65,"Nov 2021"))/SUMIFS('Biosimilar Approval Database'!$G$3:$G$65,'Biosimilar Approval Database'!$C$3:$C$65,"Nov 2021"),"N/A")</f>
        <v>0</v>
      </c>
    </row>
    <row r="146" spans="1:6">
      <c r="A146" s="25">
        <v>44896</v>
      </c>
      <c r="B146" s="12">
        <f>SUMIFS('Biosimilar Approval Database'!$G$3:$G$65,'Biosimilar Approval Database'!$C$3:$C$65,"Dec 2022")</f>
        <v>0</v>
      </c>
      <c r="C146" s="12">
        <f>DAY(EOMONTH(A146,0))</f>
        <v>0</v>
      </c>
      <c r="D146" s="21">
        <f>IF(C146=0,0,B146/C146)</f>
        <v>0</v>
      </c>
      <c r="E146" s="26">
        <f>IF(B145=0,"N/A",(B146-B145)/B145)</f>
        <v>0</v>
      </c>
      <c r="F146" s="26">
        <f>IFERROR((B146-SUMIFS('Biosimilar Approval Database'!$G$3:$G$65,'Biosimilar Approval Database'!$C$3:$C$65,"Dec 2021"))/SUMIFS('Biosimilar Approval Database'!$G$3:$G$65,'Biosimilar Approval Database'!$C$3:$C$65,"Dec 2021"),"N/A")</f>
        <v>0</v>
      </c>
    </row>
    <row r="147" spans="1:6">
      <c r="A147" s="25">
        <v>44927</v>
      </c>
      <c r="B147" s="12">
        <f>SUMIFS('Biosimilar Approval Database'!$G$3:$G$65,'Biosimilar Approval Database'!$C$3:$C$65,"Jan 2023")</f>
        <v>0</v>
      </c>
      <c r="C147" s="12">
        <f>DAY(EOMONTH(A147,0))</f>
        <v>0</v>
      </c>
      <c r="D147" s="21">
        <f>IF(C147=0,0,B147/C147)</f>
        <v>0</v>
      </c>
      <c r="E147" s="26">
        <f>IF(B146=0,"N/A",(B147-B146)/B146)</f>
        <v>0</v>
      </c>
      <c r="F147" s="26">
        <f>IFERROR((B147-SUMIFS('Biosimilar Approval Database'!$G$3:$G$65,'Biosimilar Approval Database'!$C$3:$C$65,"Jan 2022"))/SUMIFS('Biosimilar Approval Database'!$G$3:$G$65,'Biosimilar Approval Database'!$C$3:$C$65,"Jan 2022"),"N/A")</f>
        <v>0</v>
      </c>
    </row>
    <row r="148" spans="1:6">
      <c r="A148" s="25">
        <v>44958</v>
      </c>
      <c r="B148" s="12">
        <f>SUMIFS('Biosimilar Approval Database'!$G$3:$G$65,'Biosimilar Approval Database'!$C$3:$C$65,"Feb 2023")</f>
        <v>0</v>
      </c>
      <c r="C148" s="12">
        <f>DAY(EOMONTH(A148,0))</f>
        <v>0</v>
      </c>
      <c r="D148" s="21">
        <f>IF(C148=0,0,B148/C148)</f>
        <v>0</v>
      </c>
      <c r="E148" s="26">
        <f>IF(B147=0,"N/A",(B148-B147)/B147)</f>
        <v>0</v>
      </c>
      <c r="F148" s="26">
        <f>IFERROR((B148-SUMIFS('Biosimilar Approval Database'!$G$3:$G$65,'Biosimilar Approval Database'!$C$3:$C$65,"Feb 2022"))/SUMIFS('Biosimilar Approval Database'!$G$3:$G$65,'Biosimilar Approval Database'!$C$3:$C$65,"Feb 2022"),"N/A")</f>
        <v>0</v>
      </c>
    </row>
    <row r="149" spans="1:6">
      <c r="A149" s="25">
        <v>44986</v>
      </c>
      <c r="B149" s="12">
        <f>SUMIFS('Biosimilar Approval Database'!$G$3:$G$65,'Biosimilar Approval Database'!$C$3:$C$65,"Mar 2023")</f>
        <v>0</v>
      </c>
      <c r="C149" s="12">
        <f>DAY(EOMONTH(A149,0))</f>
        <v>0</v>
      </c>
      <c r="D149" s="21">
        <f>IF(C149=0,0,B149/C149)</f>
        <v>0</v>
      </c>
      <c r="E149" s="26">
        <f>IF(B148=0,"N/A",(B149-B148)/B148)</f>
        <v>0</v>
      </c>
      <c r="F149" s="26">
        <f>IFERROR((B149-SUMIFS('Biosimilar Approval Database'!$G$3:$G$65,'Biosimilar Approval Database'!$C$3:$C$65,"Mar 2022"))/SUMIFS('Biosimilar Approval Database'!$G$3:$G$65,'Biosimilar Approval Database'!$C$3:$C$65,"Mar 2022"),"N/A")</f>
        <v>0</v>
      </c>
    </row>
    <row r="150" spans="1:6">
      <c r="A150" s="25">
        <v>45017</v>
      </c>
      <c r="B150" s="12">
        <f>SUMIFS('Biosimilar Approval Database'!$G$3:$G$65,'Biosimilar Approval Database'!$C$3:$C$65,"Apr 2023")</f>
        <v>0</v>
      </c>
      <c r="C150" s="12">
        <f>DAY(EOMONTH(A150,0))</f>
        <v>0</v>
      </c>
      <c r="D150" s="21">
        <f>IF(C150=0,0,B150/C150)</f>
        <v>0</v>
      </c>
      <c r="E150" s="26">
        <f>IF(B149=0,"N/A",(B150-B149)/B149)</f>
        <v>0</v>
      </c>
      <c r="F150" s="26">
        <f>IFERROR((B150-SUMIFS('Biosimilar Approval Database'!$G$3:$G$65,'Biosimilar Approval Database'!$C$3:$C$65,"Apr 2022"))/SUMIFS('Biosimilar Approval Database'!$G$3:$G$65,'Biosimilar Approval Database'!$C$3:$C$65,"Apr 2022"),"N/A")</f>
        <v>0</v>
      </c>
    </row>
    <row r="151" spans="1:6">
      <c r="A151" s="25">
        <v>45047</v>
      </c>
      <c r="B151" s="12">
        <f>SUMIFS('Biosimilar Approval Database'!$G$3:$G$65,'Biosimilar Approval Database'!$C$3:$C$65,"May 2023")</f>
        <v>0</v>
      </c>
      <c r="C151" s="12">
        <f>DAY(EOMONTH(A151,0))</f>
        <v>0</v>
      </c>
      <c r="D151" s="21">
        <f>IF(C151=0,0,B151/C151)</f>
        <v>0</v>
      </c>
      <c r="E151" s="26">
        <f>IF(B150=0,"N/A",(B151-B150)/B150)</f>
        <v>0</v>
      </c>
      <c r="F151" s="26">
        <f>IFERROR((B151-SUMIFS('Biosimilar Approval Database'!$G$3:$G$65,'Biosimilar Approval Database'!$C$3:$C$65,"May 2022"))/SUMIFS('Biosimilar Approval Database'!$G$3:$G$65,'Biosimilar Approval Database'!$C$3:$C$65,"May 2022"),"N/A")</f>
        <v>0</v>
      </c>
    </row>
    <row r="152" spans="1:6">
      <c r="A152" s="25">
        <v>45078</v>
      </c>
      <c r="B152" s="12">
        <f>SUMIFS('Biosimilar Approval Database'!$G$3:$G$65,'Biosimilar Approval Database'!$C$3:$C$65,"Jun 2023")</f>
        <v>0</v>
      </c>
      <c r="C152" s="12">
        <f>DAY(EOMONTH(A152,0))</f>
        <v>0</v>
      </c>
      <c r="D152" s="21">
        <f>IF(C152=0,0,B152/C152)</f>
        <v>0</v>
      </c>
      <c r="E152" s="26">
        <f>IF(B151=0,"N/A",(B152-B151)/B151)</f>
        <v>0</v>
      </c>
      <c r="F152" s="26">
        <f>IFERROR((B152-SUMIFS('Biosimilar Approval Database'!$G$3:$G$65,'Biosimilar Approval Database'!$C$3:$C$65,"Jun 2022"))/SUMIFS('Biosimilar Approval Database'!$G$3:$G$65,'Biosimilar Approval Database'!$C$3:$C$65,"Jun 2022"),"N/A")</f>
        <v>0</v>
      </c>
    </row>
    <row r="153" spans="1:6">
      <c r="A153" s="25">
        <v>45108</v>
      </c>
      <c r="B153" s="12">
        <f>SUMIFS('Biosimilar Approval Database'!$G$3:$G$65,'Biosimilar Approval Database'!$C$3:$C$65,"Jul 2023")</f>
        <v>0</v>
      </c>
      <c r="C153" s="12">
        <f>DAY(EOMONTH(A153,0))</f>
        <v>0</v>
      </c>
      <c r="D153" s="21">
        <f>IF(C153=0,0,B153/C153)</f>
        <v>0</v>
      </c>
      <c r="E153" s="26">
        <f>IF(B152=0,"N/A",(B153-B152)/B152)</f>
        <v>0</v>
      </c>
      <c r="F153" s="26">
        <f>IFERROR((B153-SUMIFS('Biosimilar Approval Database'!$G$3:$G$65,'Biosimilar Approval Database'!$C$3:$C$65,"Jul 2022"))/SUMIFS('Biosimilar Approval Database'!$G$3:$G$65,'Biosimilar Approval Database'!$C$3:$C$65,"Jul 2022"),"N/A")</f>
        <v>0</v>
      </c>
    </row>
    <row r="154" spans="1:6">
      <c r="A154" s="25">
        <v>45139</v>
      </c>
      <c r="B154" s="12">
        <f>SUMIFS('Biosimilar Approval Database'!$G$3:$G$65,'Biosimilar Approval Database'!$C$3:$C$65,"Aug 2023")</f>
        <v>0</v>
      </c>
      <c r="C154" s="12">
        <f>DAY(EOMONTH(A154,0))</f>
        <v>0</v>
      </c>
      <c r="D154" s="21">
        <f>IF(C154=0,0,B154/C154)</f>
        <v>0</v>
      </c>
      <c r="E154" s="26">
        <f>IF(B153=0,"N/A",(B154-B153)/B153)</f>
        <v>0</v>
      </c>
      <c r="F154" s="26">
        <f>IFERROR((B154-SUMIFS('Biosimilar Approval Database'!$G$3:$G$65,'Biosimilar Approval Database'!$C$3:$C$65,"Aug 2022"))/SUMIFS('Biosimilar Approval Database'!$G$3:$G$65,'Biosimilar Approval Database'!$C$3:$C$65,"Aug 2022"),"N/A")</f>
        <v>0</v>
      </c>
    </row>
    <row r="155" spans="1:6">
      <c r="A155" s="25">
        <v>45170</v>
      </c>
      <c r="B155" s="12">
        <f>SUMIFS('Biosimilar Approval Database'!$G$3:$G$65,'Biosimilar Approval Database'!$C$3:$C$65,"Sep 2023")</f>
        <v>0</v>
      </c>
      <c r="C155" s="12">
        <f>DAY(EOMONTH(A155,0))</f>
        <v>0</v>
      </c>
      <c r="D155" s="21">
        <f>IF(C155=0,0,B155/C155)</f>
        <v>0</v>
      </c>
      <c r="E155" s="26">
        <f>IF(B154=0,"N/A",(B155-B154)/B154)</f>
        <v>0</v>
      </c>
      <c r="F155" s="26">
        <f>IFERROR((B155-SUMIFS('Biosimilar Approval Database'!$G$3:$G$65,'Biosimilar Approval Database'!$C$3:$C$65,"Sep 2022"))/SUMIFS('Biosimilar Approval Database'!$G$3:$G$65,'Biosimilar Approval Database'!$C$3:$C$65,"Sep 2022"),"N/A")</f>
        <v>0</v>
      </c>
    </row>
    <row r="156" spans="1:6">
      <c r="A156" s="25">
        <v>45200</v>
      </c>
      <c r="B156" s="12">
        <f>SUMIFS('Biosimilar Approval Database'!$G$3:$G$65,'Biosimilar Approval Database'!$C$3:$C$65,"Oct 2023")</f>
        <v>0</v>
      </c>
      <c r="C156" s="12">
        <f>DAY(EOMONTH(A156,0))</f>
        <v>0</v>
      </c>
      <c r="D156" s="21">
        <f>IF(C156=0,0,B156/C156)</f>
        <v>0</v>
      </c>
      <c r="E156" s="26">
        <f>IF(B155=0,"N/A",(B156-B155)/B155)</f>
        <v>0</v>
      </c>
      <c r="F156" s="26">
        <f>IFERROR((B156-SUMIFS('Biosimilar Approval Database'!$G$3:$G$65,'Biosimilar Approval Database'!$C$3:$C$65,"Oct 2022"))/SUMIFS('Biosimilar Approval Database'!$G$3:$G$65,'Biosimilar Approval Database'!$C$3:$C$65,"Oct 2022"),"N/A")</f>
        <v>0</v>
      </c>
    </row>
    <row r="157" spans="1:6">
      <c r="A157" s="25">
        <v>45231</v>
      </c>
      <c r="B157" s="12">
        <f>SUMIFS('Biosimilar Approval Database'!$G$3:$G$65,'Biosimilar Approval Database'!$C$3:$C$65,"Nov 2023")</f>
        <v>0</v>
      </c>
      <c r="C157" s="12">
        <f>DAY(EOMONTH(A157,0))</f>
        <v>0</v>
      </c>
      <c r="D157" s="21">
        <f>IF(C157=0,0,B157/C157)</f>
        <v>0</v>
      </c>
      <c r="E157" s="26">
        <f>IF(B156=0,"N/A",(B157-B156)/B156)</f>
        <v>0</v>
      </c>
      <c r="F157" s="26">
        <f>IFERROR((B157-SUMIFS('Biosimilar Approval Database'!$G$3:$G$65,'Biosimilar Approval Database'!$C$3:$C$65,"Nov 2022"))/SUMIFS('Biosimilar Approval Database'!$G$3:$G$65,'Biosimilar Approval Database'!$C$3:$C$65,"Nov 2022"),"N/A")</f>
        <v>0</v>
      </c>
    </row>
    <row r="158" spans="1:6">
      <c r="A158" s="25">
        <v>45261</v>
      </c>
      <c r="B158" s="12">
        <f>SUMIFS('Biosimilar Approval Database'!$G$3:$G$65,'Biosimilar Approval Database'!$C$3:$C$65,"Dec 2023")</f>
        <v>0</v>
      </c>
      <c r="C158" s="12">
        <f>DAY(EOMONTH(A158,0))</f>
        <v>0</v>
      </c>
      <c r="D158" s="21">
        <f>IF(C158=0,0,B158/C158)</f>
        <v>0</v>
      </c>
      <c r="E158" s="26">
        <f>IF(B157=0,"N/A",(B158-B157)/B157)</f>
        <v>0</v>
      </c>
      <c r="F158" s="26">
        <f>IFERROR((B158-SUMIFS('Biosimilar Approval Database'!$G$3:$G$65,'Biosimilar Approval Database'!$C$3:$C$65,"Dec 2022"))/SUMIFS('Biosimilar Approval Database'!$G$3:$G$65,'Biosimilar Approval Database'!$C$3:$C$65,"Dec 2022"),"N/A")</f>
        <v>0</v>
      </c>
    </row>
    <row r="159" spans="1:6">
      <c r="A159" s="25">
        <v>45292</v>
      </c>
      <c r="B159" s="12">
        <f>SUMIFS('Biosimilar Approval Database'!$G$3:$G$65,'Biosimilar Approval Database'!$C$3:$C$65,"Jan 2024")</f>
        <v>0</v>
      </c>
      <c r="C159" s="12">
        <f>DAY(EOMONTH(A159,0))</f>
        <v>0</v>
      </c>
      <c r="D159" s="21">
        <f>IF(C159=0,0,B159/C159)</f>
        <v>0</v>
      </c>
      <c r="E159" s="26">
        <f>IF(B158=0,"N/A",(B159-B158)/B158)</f>
        <v>0</v>
      </c>
      <c r="F159" s="26">
        <f>IFERROR((B159-SUMIFS('Biosimilar Approval Database'!$G$3:$G$65,'Biosimilar Approval Database'!$C$3:$C$65,"Jan 2023"))/SUMIFS('Biosimilar Approval Database'!$G$3:$G$65,'Biosimilar Approval Database'!$C$3:$C$65,"Jan 2023"),"N/A")</f>
        <v>0</v>
      </c>
    </row>
    <row r="160" spans="1:6">
      <c r="A160" s="25">
        <v>45323</v>
      </c>
      <c r="B160" s="12">
        <f>SUMIFS('Biosimilar Approval Database'!$G$3:$G$65,'Biosimilar Approval Database'!$C$3:$C$65,"Feb 2024")</f>
        <v>0</v>
      </c>
      <c r="C160" s="12">
        <f>DAY(EOMONTH(A160,0))</f>
        <v>0</v>
      </c>
      <c r="D160" s="21">
        <f>IF(C160=0,0,B160/C160)</f>
        <v>0</v>
      </c>
      <c r="E160" s="26">
        <f>IF(B159=0,"N/A",(B160-B159)/B159)</f>
        <v>0</v>
      </c>
      <c r="F160" s="26">
        <f>IFERROR((B160-SUMIFS('Biosimilar Approval Database'!$G$3:$G$65,'Biosimilar Approval Database'!$C$3:$C$65,"Feb 2023"))/SUMIFS('Biosimilar Approval Database'!$G$3:$G$65,'Biosimilar Approval Database'!$C$3:$C$65,"Feb 2023"),"N/A")</f>
        <v>0</v>
      </c>
    </row>
    <row r="161" spans="1:6">
      <c r="A161" s="25">
        <v>45352</v>
      </c>
      <c r="B161" s="12">
        <f>SUMIFS('Biosimilar Approval Database'!$G$3:$G$65,'Biosimilar Approval Database'!$C$3:$C$65,"Mar 2024")</f>
        <v>0</v>
      </c>
      <c r="C161" s="12">
        <f>DAY(EOMONTH(A161,0))</f>
        <v>0</v>
      </c>
      <c r="D161" s="21">
        <f>IF(C161=0,0,B161/C161)</f>
        <v>0</v>
      </c>
      <c r="E161" s="26">
        <f>IF(B160=0,"N/A",(B161-B160)/B160)</f>
        <v>0</v>
      </c>
      <c r="F161" s="26">
        <f>IFERROR((B161-SUMIFS('Biosimilar Approval Database'!$G$3:$G$65,'Biosimilar Approval Database'!$C$3:$C$65,"Mar 2023"))/SUMIFS('Biosimilar Approval Database'!$G$3:$G$65,'Biosimilar Approval Database'!$C$3:$C$65,"Mar 2023"),"N/A")</f>
        <v>0</v>
      </c>
    </row>
    <row r="162" spans="1:6">
      <c r="A162" s="25">
        <v>45383</v>
      </c>
      <c r="B162" s="12">
        <f>SUMIFS('Biosimilar Approval Database'!$G$3:$G$65,'Biosimilar Approval Database'!$C$3:$C$65,"Apr 2024")</f>
        <v>0</v>
      </c>
      <c r="C162" s="12">
        <f>DAY(EOMONTH(A162,0))</f>
        <v>0</v>
      </c>
      <c r="D162" s="21">
        <f>IF(C162=0,0,B162/C162)</f>
        <v>0</v>
      </c>
      <c r="E162" s="26">
        <f>IF(B161=0,"N/A",(B162-B161)/B161)</f>
        <v>0</v>
      </c>
      <c r="F162" s="26">
        <f>IFERROR((B162-SUMIFS('Biosimilar Approval Database'!$G$3:$G$65,'Biosimilar Approval Database'!$C$3:$C$65,"Apr 2023"))/SUMIFS('Biosimilar Approval Database'!$G$3:$G$65,'Biosimilar Approval Database'!$C$3:$C$65,"Apr 2023"),"N/A")</f>
        <v>0</v>
      </c>
    </row>
    <row r="163" spans="1:6">
      <c r="A163" s="25">
        <v>45413</v>
      </c>
      <c r="B163" s="12">
        <f>SUMIFS('Biosimilar Approval Database'!$G$3:$G$65,'Biosimilar Approval Database'!$C$3:$C$65,"May 2024")</f>
        <v>0</v>
      </c>
      <c r="C163" s="12">
        <f>DAY(EOMONTH(A163,0))</f>
        <v>0</v>
      </c>
      <c r="D163" s="21">
        <f>IF(C163=0,0,B163/C163)</f>
        <v>0</v>
      </c>
      <c r="E163" s="26">
        <f>IF(B162=0,"N/A",(B163-B162)/B162)</f>
        <v>0</v>
      </c>
      <c r="F163" s="26">
        <f>IFERROR((B163-SUMIFS('Biosimilar Approval Database'!$G$3:$G$65,'Biosimilar Approval Database'!$C$3:$C$65,"May 2023"))/SUMIFS('Biosimilar Approval Database'!$G$3:$G$65,'Biosimilar Approval Database'!$C$3:$C$65,"May 2023"),"N/A")</f>
        <v>0</v>
      </c>
    </row>
    <row r="164" spans="1:6">
      <c r="A164" s="25">
        <v>45444</v>
      </c>
      <c r="B164" s="12">
        <f>SUMIFS('Biosimilar Approval Database'!$G$3:$G$65,'Biosimilar Approval Database'!$C$3:$C$65,"Jun 2024")</f>
        <v>0</v>
      </c>
      <c r="C164" s="12">
        <f>DAY(EOMONTH(A164,0))</f>
        <v>0</v>
      </c>
      <c r="D164" s="21">
        <f>IF(C164=0,0,B164/C164)</f>
        <v>0</v>
      </c>
      <c r="E164" s="26">
        <f>IF(B163=0,"N/A",(B164-B163)/B163)</f>
        <v>0</v>
      </c>
      <c r="F164" s="26">
        <f>IFERROR((B164-SUMIFS('Biosimilar Approval Database'!$G$3:$G$65,'Biosimilar Approval Database'!$C$3:$C$65,"Jun 2023"))/SUMIFS('Biosimilar Approval Database'!$G$3:$G$65,'Biosimilar Approval Database'!$C$3:$C$65,"Jun 2023"),"N/A")</f>
        <v>0</v>
      </c>
    </row>
    <row r="165" spans="1:6">
      <c r="A165" s="25">
        <v>45474</v>
      </c>
      <c r="B165" s="12">
        <f>SUMIFS('Biosimilar Approval Database'!$G$3:$G$65,'Biosimilar Approval Database'!$C$3:$C$65,"Jul 2024")</f>
        <v>0</v>
      </c>
      <c r="C165" s="12">
        <f>DAY(EOMONTH(A165,0))</f>
        <v>0</v>
      </c>
      <c r="D165" s="21">
        <f>IF(C165=0,0,B165/C165)</f>
        <v>0</v>
      </c>
      <c r="E165" s="26">
        <f>IF(B164=0,"N/A",(B165-B164)/B164)</f>
        <v>0</v>
      </c>
      <c r="F165" s="26">
        <f>IFERROR((B165-SUMIFS('Biosimilar Approval Database'!$G$3:$G$65,'Biosimilar Approval Database'!$C$3:$C$65,"Jul 2023"))/SUMIFS('Biosimilar Approval Database'!$G$3:$G$65,'Biosimilar Approval Database'!$C$3:$C$65,"Jul 2023"),"N/A")</f>
        <v>0</v>
      </c>
    </row>
    <row r="166" spans="1:6">
      <c r="A166" s="25">
        <v>45505</v>
      </c>
      <c r="B166" s="12">
        <f>SUMIFS('Biosimilar Approval Database'!$G$3:$G$65,'Biosimilar Approval Database'!$C$3:$C$65,"Aug 2024")</f>
        <v>0</v>
      </c>
      <c r="C166" s="12">
        <f>DAY(EOMONTH(A166,0))</f>
        <v>0</v>
      </c>
      <c r="D166" s="21">
        <f>IF(C166=0,0,B166/C166)</f>
        <v>0</v>
      </c>
      <c r="E166" s="26">
        <f>IF(B165=0,"N/A",(B166-B165)/B165)</f>
        <v>0</v>
      </c>
      <c r="F166" s="26">
        <f>IFERROR((B166-SUMIFS('Biosimilar Approval Database'!$G$3:$G$65,'Biosimilar Approval Database'!$C$3:$C$65,"Aug 2023"))/SUMIFS('Biosimilar Approval Database'!$G$3:$G$65,'Biosimilar Approval Database'!$C$3:$C$65,"Aug 2023"),"N/A")</f>
        <v>0</v>
      </c>
    </row>
    <row r="167" spans="1:6">
      <c r="A167" s="25">
        <v>45536</v>
      </c>
      <c r="B167" s="12">
        <f>SUMIFS('Biosimilar Approval Database'!$G$3:$G$65,'Biosimilar Approval Database'!$C$3:$C$65,"Sep 2024")</f>
        <v>0</v>
      </c>
      <c r="C167" s="12">
        <f>DAY(EOMONTH(A167,0))</f>
        <v>0</v>
      </c>
      <c r="D167" s="21">
        <f>IF(C167=0,0,B167/C167)</f>
        <v>0</v>
      </c>
      <c r="E167" s="26">
        <f>IF(B166=0,"N/A",(B167-B166)/B166)</f>
        <v>0</v>
      </c>
      <c r="F167" s="26">
        <f>IFERROR((B167-SUMIFS('Biosimilar Approval Database'!$G$3:$G$65,'Biosimilar Approval Database'!$C$3:$C$65,"Sep 2023"))/SUMIFS('Biosimilar Approval Database'!$G$3:$G$65,'Biosimilar Approval Database'!$C$3:$C$65,"Sep 2023"),"N/A")</f>
        <v>0</v>
      </c>
    </row>
    <row r="168" spans="1:6">
      <c r="A168" s="25">
        <v>45566</v>
      </c>
      <c r="B168" s="12">
        <f>SUMIFS('Biosimilar Approval Database'!$G$3:$G$65,'Biosimilar Approval Database'!$C$3:$C$65,"Oct 2024")</f>
        <v>0</v>
      </c>
      <c r="C168" s="12">
        <f>DAY(EOMONTH(A168,0))</f>
        <v>0</v>
      </c>
      <c r="D168" s="21">
        <f>IF(C168=0,0,B168/C168)</f>
        <v>0</v>
      </c>
      <c r="E168" s="26">
        <f>IF(B167=0,"N/A",(B168-B167)/B167)</f>
        <v>0</v>
      </c>
      <c r="F168" s="26">
        <f>IFERROR((B168-SUMIFS('Biosimilar Approval Database'!$G$3:$G$65,'Biosimilar Approval Database'!$C$3:$C$65,"Oct 2023"))/SUMIFS('Biosimilar Approval Database'!$G$3:$G$65,'Biosimilar Approval Database'!$C$3:$C$65,"Oct 2023"),"N/A")</f>
        <v>0</v>
      </c>
    </row>
    <row r="169" spans="1:6">
      <c r="A169" s="25">
        <v>45597</v>
      </c>
      <c r="B169" s="12">
        <f>SUMIFS('Biosimilar Approval Database'!$G$3:$G$65,'Biosimilar Approval Database'!$C$3:$C$65,"Nov 2024")</f>
        <v>0</v>
      </c>
      <c r="C169" s="12">
        <f>DAY(EOMONTH(A169,0))</f>
        <v>0</v>
      </c>
      <c r="D169" s="21">
        <f>IF(C169=0,0,B169/C169)</f>
        <v>0</v>
      </c>
      <c r="E169" s="26">
        <f>IF(B168=0,"N/A",(B169-B168)/B168)</f>
        <v>0</v>
      </c>
      <c r="F169" s="26">
        <f>IFERROR((B169-SUMIFS('Biosimilar Approval Database'!$G$3:$G$65,'Biosimilar Approval Database'!$C$3:$C$65,"Nov 2023"))/SUMIFS('Biosimilar Approval Database'!$G$3:$G$65,'Biosimilar Approval Database'!$C$3:$C$65,"Nov 2023"),"N/A")</f>
        <v>0</v>
      </c>
    </row>
    <row r="170" spans="1:6">
      <c r="A170" s="25">
        <v>45627</v>
      </c>
      <c r="B170" s="12">
        <f>SUMIFS('Biosimilar Approval Database'!$G$3:$G$65,'Biosimilar Approval Database'!$C$3:$C$65,"Dec 2024")</f>
        <v>0</v>
      </c>
      <c r="C170" s="12">
        <f>DAY(EOMONTH(A170,0))</f>
        <v>0</v>
      </c>
      <c r="D170" s="21">
        <f>IF(C170=0,0,B170/C170)</f>
        <v>0</v>
      </c>
      <c r="E170" s="26">
        <f>IF(B169=0,"N/A",(B170-B169)/B169)</f>
        <v>0</v>
      </c>
      <c r="F170" s="26">
        <f>IFERROR((B170-SUMIFS('Biosimilar Approval Database'!$G$3:$G$65,'Biosimilar Approval Database'!$C$3:$C$65,"Dec 2023"))/SUMIFS('Biosimilar Approval Database'!$G$3:$G$65,'Biosimilar Approval Database'!$C$3:$C$65,"Dec 2023"),"N/A")</f>
        <v>0</v>
      </c>
    </row>
    <row r="171" spans="1:6">
      <c r="A171" s="25">
        <v>45658</v>
      </c>
      <c r="B171" s="12">
        <f>SUMIFS('Biosimilar Approval Database'!$G$3:$G$65,'Biosimilar Approval Database'!$C$3:$C$65,"Jan 2025")</f>
        <v>0</v>
      </c>
      <c r="C171" s="12">
        <f>DAY(EOMONTH(A171,0))</f>
        <v>0</v>
      </c>
      <c r="D171" s="21">
        <f>IF(C171=0,0,B171/C171)</f>
        <v>0</v>
      </c>
      <c r="E171" s="26">
        <f>IF(B170=0,"N/A",(B171-B170)/B170)</f>
        <v>0</v>
      </c>
      <c r="F171" s="26">
        <f>IFERROR((B171-SUMIFS('Biosimilar Approval Database'!$G$3:$G$65,'Biosimilar Approval Database'!$C$3:$C$65,"Jan 2024"))/SUMIFS('Biosimilar Approval Database'!$G$3:$G$65,'Biosimilar Approval Database'!$C$3:$C$65,"Jan 2024"),"N/A")</f>
        <v>0</v>
      </c>
    </row>
    <row r="172" spans="1:6">
      <c r="A172" s="25">
        <v>45689</v>
      </c>
      <c r="B172" s="12">
        <f>SUMIFS('Biosimilar Approval Database'!$G$3:$G$65,'Biosimilar Approval Database'!$C$3:$C$65,"Feb 2025")</f>
        <v>0</v>
      </c>
      <c r="C172" s="12">
        <f>DAY(EOMONTH(A172,0))</f>
        <v>0</v>
      </c>
      <c r="D172" s="21">
        <f>IF(C172=0,0,B172/C172)</f>
        <v>0</v>
      </c>
      <c r="E172" s="26">
        <f>IF(B171=0,"N/A",(B172-B171)/B171)</f>
        <v>0</v>
      </c>
      <c r="F172" s="26">
        <f>IFERROR((B172-SUMIFS('Biosimilar Approval Database'!$G$3:$G$65,'Biosimilar Approval Database'!$C$3:$C$65,"Feb 2024"))/SUMIFS('Biosimilar Approval Database'!$G$3:$G$65,'Biosimilar Approval Database'!$C$3:$C$65,"Feb 2024"),"N/A")</f>
        <v>0</v>
      </c>
    </row>
    <row r="173" spans="1:6">
      <c r="A173" s="25">
        <v>45717</v>
      </c>
      <c r="B173" s="12">
        <f>SUMIFS('Biosimilar Approval Database'!$G$3:$G$65,'Biosimilar Approval Database'!$C$3:$C$65,"Mar 2025")</f>
        <v>0</v>
      </c>
      <c r="C173" s="12">
        <f>DAY(EOMONTH(A173,0))</f>
        <v>0</v>
      </c>
      <c r="D173" s="21">
        <f>IF(C173=0,0,B173/C173)</f>
        <v>0</v>
      </c>
      <c r="E173" s="26">
        <f>IF(B172=0,"N/A",(B173-B172)/B172)</f>
        <v>0</v>
      </c>
      <c r="F173" s="26">
        <f>IFERROR((B173-SUMIFS('Biosimilar Approval Database'!$G$3:$G$65,'Biosimilar Approval Database'!$C$3:$C$65,"Mar 2024"))/SUMIFS('Biosimilar Approval Database'!$G$3:$G$65,'Biosimilar Approval Database'!$C$3:$C$65,"Mar 2024"),"N/A")</f>
        <v>0</v>
      </c>
    </row>
    <row r="174" spans="1:6">
      <c r="A174" s="25">
        <v>45748</v>
      </c>
      <c r="B174" s="12">
        <f>SUMIFS('Biosimilar Approval Database'!$G$3:$G$65,'Biosimilar Approval Database'!$C$3:$C$65,"Apr 2025")</f>
        <v>0</v>
      </c>
      <c r="C174" s="12">
        <f>DAY(EOMONTH(A174,0))</f>
        <v>0</v>
      </c>
      <c r="D174" s="21">
        <f>IF(C174=0,0,B174/C174)</f>
        <v>0</v>
      </c>
      <c r="E174" s="26">
        <f>IF(B173=0,"N/A",(B174-B173)/B173)</f>
        <v>0</v>
      </c>
      <c r="F174" s="26">
        <f>IFERROR((B174-SUMIFS('Biosimilar Approval Database'!$G$3:$G$65,'Biosimilar Approval Database'!$C$3:$C$65,"Apr 2024"))/SUMIFS('Biosimilar Approval Database'!$G$3:$G$65,'Biosimilar Approval Database'!$C$3:$C$65,"Apr 2024"),"N/A")</f>
        <v>0</v>
      </c>
    </row>
    <row r="175" spans="1:6">
      <c r="A175" s="25">
        <v>45778</v>
      </c>
      <c r="B175" s="12">
        <f>SUMIFS('Biosimilar Approval Database'!$G$3:$G$65,'Biosimilar Approval Database'!$C$3:$C$65,"May 2025")</f>
        <v>0</v>
      </c>
      <c r="C175" s="12">
        <f>DAY(EOMONTH(A175,0))</f>
        <v>0</v>
      </c>
      <c r="D175" s="21">
        <f>IF(C175=0,0,B175/C175)</f>
        <v>0</v>
      </c>
      <c r="E175" s="26">
        <f>IF(B174=0,"N/A",(B175-B174)/B174)</f>
        <v>0</v>
      </c>
      <c r="F175" s="26">
        <f>IFERROR((B175-SUMIFS('Biosimilar Approval Database'!$G$3:$G$65,'Biosimilar Approval Database'!$C$3:$C$65,"May 2024"))/SUMIFS('Biosimilar Approval Database'!$G$3:$G$65,'Biosimilar Approval Database'!$C$3:$C$65,"May 2024"),"N/A")</f>
        <v>0</v>
      </c>
    </row>
    <row r="176" spans="1:6">
      <c r="A176" s="25">
        <v>45809</v>
      </c>
      <c r="B176" s="12">
        <f>SUMIFS('Biosimilar Approval Database'!$G$3:$G$65,'Biosimilar Approval Database'!$C$3:$C$65,"Jun 2025")</f>
        <v>0</v>
      </c>
      <c r="C176" s="12">
        <f>DAY(EOMONTH(A176,0))</f>
        <v>0</v>
      </c>
      <c r="D176" s="21">
        <f>IF(C176=0,0,B176/C176)</f>
        <v>0</v>
      </c>
      <c r="E176" s="26">
        <f>IF(B175=0,"N/A",(B176-B175)/B175)</f>
        <v>0</v>
      </c>
      <c r="F176" s="26">
        <f>IFERROR((B176-SUMIFS('Biosimilar Approval Database'!$G$3:$G$65,'Biosimilar Approval Database'!$C$3:$C$65,"Jun 2024"))/SUMIFS('Biosimilar Approval Database'!$G$3:$G$65,'Biosimilar Approval Database'!$C$3:$C$65,"Jun 2024"),"N/A")</f>
        <v>0</v>
      </c>
    </row>
    <row r="177" spans="1:6">
      <c r="A177" s="25">
        <v>45839</v>
      </c>
      <c r="B177" s="12">
        <f>SUMIFS('Biosimilar Approval Database'!$G$3:$G$65,'Biosimilar Approval Database'!$C$3:$C$65,"Jul 2025")</f>
        <v>0</v>
      </c>
      <c r="C177" s="12">
        <f>DAY(EOMONTH(A177,0))</f>
        <v>0</v>
      </c>
      <c r="D177" s="21">
        <f>IF(C177=0,0,B177/C177)</f>
        <v>0</v>
      </c>
      <c r="E177" s="26">
        <f>IF(B176=0,"N/A",(B177-B176)/B176)</f>
        <v>0</v>
      </c>
      <c r="F177" s="26">
        <f>IFERROR((B177-SUMIFS('Biosimilar Approval Database'!$G$3:$G$65,'Biosimilar Approval Database'!$C$3:$C$65,"Jul 2024"))/SUMIFS('Biosimilar Approval Database'!$G$3:$G$65,'Biosimilar Approval Database'!$C$3:$C$65,"Jul 2024"),"N/A")</f>
        <v>0</v>
      </c>
    </row>
    <row r="178" spans="1:6">
      <c r="A178" s="25">
        <v>45870</v>
      </c>
      <c r="B178" s="12">
        <f>SUMIFS('Biosimilar Approval Database'!$G$3:$G$65,'Biosimilar Approval Database'!$C$3:$C$65,"Aug 2025")</f>
        <v>0</v>
      </c>
      <c r="C178" s="12">
        <f>DAY(EOMONTH(A178,0))</f>
        <v>0</v>
      </c>
      <c r="D178" s="21">
        <f>IF(C178=0,0,B178/C178)</f>
        <v>0</v>
      </c>
      <c r="E178" s="26">
        <f>IF(B177=0,"N/A",(B178-B177)/B177)</f>
        <v>0</v>
      </c>
      <c r="F178" s="26">
        <f>IFERROR((B178-SUMIFS('Biosimilar Approval Database'!$G$3:$G$65,'Biosimilar Approval Database'!$C$3:$C$65,"Aug 2024"))/SUMIFS('Biosimilar Approval Database'!$G$3:$G$65,'Biosimilar Approval Database'!$C$3:$C$65,"Aug 2024"),"N/A")</f>
        <v>0</v>
      </c>
    </row>
    <row r="179" spans="1:6">
      <c r="A179" s="25">
        <v>45901</v>
      </c>
      <c r="B179" s="12">
        <f>SUMIFS('Biosimilar Approval Database'!$G$3:$G$65,'Biosimilar Approval Database'!$C$3:$C$65,"Sep 2025")</f>
        <v>0</v>
      </c>
      <c r="C179" s="12">
        <f>DAY(EOMONTH(A179,0))</f>
        <v>0</v>
      </c>
      <c r="D179" s="21">
        <f>IF(C179=0,0,B179/C179)</f>
        <v>0</v>
      </c>
      <c r="E179" s="26">
        <f>IF(B178=0,"N/A",(B179-B178)/B178)</f>
        <v>0</v>
      </c>
      <c r="F179" s="26">
        <f>IFERROR((B179-SUMIFS('Biosimilar Approval Database'!$G$3:$G$65,'Biosimilar Approval Database'!$C$3:$C$65,"Sep 2024"))/SUMIFS('Biosimilar Approval Database'!$G$3:$G$65,'Biosimilar Approval Database'!$C$3:$C$65,"Sep 2024"),"N/A")</f>
        <v>0</v>
      </c>
    </row>
    <row r="180" spans="1:6">
      <c r="A180" s="25">
        <v>45931</v>
      </c>
      <c r="B180" s="12">
        <f>SUMIFS('Biosimilar Approval Database'!$G$3:$G$65,'Biosimilar Approval Database'!$C$3:$C$65,"Oct 2025")</f>
        <v>0</v>
      </c>
      <c r="C180" s="12">
        <f>DAY(EOMONTH(A180,0))</f>
        <v>0</v>
      </c>
      <c r="D180" s="21">
        <f>IF(C180=0,0,B180/C180)</f>
        <v>0</v>
      </c>
      <c r="E180" s="26">
        <f>IF(B179=0,"N/A",(B180-B179)/B179)</f>
        <v>0</v>
      </c>
      <c r="F180" s="26">
        <f>IFERROR((B180-SUMIFS('Biosimilar Approval Database'!$G$3:$G$65,'Biosimilar Approval Database'!$C$3:$C$65,"Oct 2024"))/SUMIFS('Biosimilar Approval Database'!$G$3:$G$65,'Biosimilar Approval Database'!$C$3:$C$65,"Oct 2024"),"N/A")</f>
        <v>0</v>
      </c>
    </row>
    <row r="181" spans="1:6">
      <c r="A181" s="25">
        <v>45962</v>
      </c>
      <c r="B181" s="12">
        <f>SUMIFS('Biosimilar Approval Database'!$G$3:$G$65,'Biosimilar Approval Database'!$C$3:$C$65,"Nov 2025")</f>
        <v>0</v>
      </c>
      <c r="C181" s="12">
        <f>DAY(EOMONTH(A181,0))</f>
        <v>0</v>
      </c>
      <c r="D181" s="21">
        <f>IF(C181=0,0,B181/C181)</f>
        <v>0</v>
      </c>
      <c r="E181" s="26">
        <f>IF(B180=0,"N/A",(B181-B180)/B180)</f>
        <v>0</v>
      </c>
      <c r="F181" s="26">
        <f>IFERROR((B181-SUMIFS('Biosimilar Approval Database'!$G$3:$G$65,'Biosimilar Approval Database'!$C$3:$C$65,"Nov 2024"))/SUMIFS('Biosimilar Approval Database'!$G$3:$G$65,'Biosimilar Approval Database'!$C$3:$C$65,"Nov 2024"),"N/A")</f>
        <v>0</v>
      </c>
    </row>
    <row r="182" spans="1:6">
      <c r="A182" s="25">
        <v>45992</v>
      </c>
      <c r="B182" s="12">
        <f>SUMIFS('Biosimilar Approval Database'!$G$3:$G$65,'Biosimilar Approval Database'!$C$3:$C$65,"Dec 2025")</f>
        <v>0</v>
      </c>
      <c r="C182" s="12">
        <f>DAY(EOMONTH(A182,0))</f>
        <v>0</v>
      </c>
      <c r="D182" s="21">
        <f>IF(C182=0,0,B182/C182)</f>
        <v>0</v>
      </c>
      <c r="E182" s="26">
        <f>IF(B181=0,"N/A",(B182-B181)/B181)</f>
        <v>0</v>
      </c>
      <c r="F182" s="26">
        <f>IFERROR((B182-SUMIFS('Biosimilar Approval Database'!$G$3:$G$65,'Biosimilar Approval Database'!$C$3:$C$65,"Dec 2024"))/SUMIFS('Biosimilar Approval Database'!$G$3:$G$65,'Biosimilar Approval Database'!$C$3:$C$65,"Dec 2024"),"N/A")</f>
        <v>0</v>
      </c>
    </row>
    <row r="183" spans="1:6">
      <c r="A183" s="25">
        <v>46023</v>
      </c>
      <c r="B183" s="12">
        <f>SUMIFS('Biosimilar Approval Database'!$G$3:$G$65,'Biosimilar Approval Database'!$C$3:$C$65,"Jan 2026")</f>
        <v>0</v>
      </c>
      <c r="C183" s="12">
        <f>DAY(EOMONTH(A183,0))</f>
        <v>0</v>
      </c>
      <c r="D183" s="21">
        <f>IF(C183=0,0,B183/C183)</f>
        <v>0</v>
      </c>
      <c r="E183" s="26">
        <f>IF(B182=0,"N/A",(B183-B182)/B182)</f>
        <v>0</v>
      </c>
      <c r="F183" s="26">
        <f>IFERROR((B183-SUMIFS('Biosimilar Approval Database'!$G$3:$G$65,'Biosimilar Approval Database'!$C$3:$C$65,"Jan 2025"))/SUMIFS('Biosimilar Approval Database'!$G$3:$G$65,'Biosimilar Approval Database'!$C$3:$C$65,"Jan 2025"),"N/A")</f>
        <v>0</v>
      </c>
    </row>
    <row r="184" spans="1:6">
      <c r="A184" s="25">
        <v>46054</v>
      </c>
      <c r="B184" s="12">
        <f>SUMIFS('Biosimilar Approval Database'!$G$3:$G$65,'Biosimilar Approval Database'!$C$3:$C$65,"Feb 2026")</f>
        <v>0</v>
      </c>
      <c r="C184" s="12">
        <f>DAY(EOMONTH(A184,0))</f>
        <v>0</v>
      </c>
      <c r="D184" s="21">
        <f>IF(C184=0,0,B184/C184)</f>
        <v>0</v>
      </c>
      <c r="E184" s="26">
        <f>IF(B183=0,"N/A",(B184-B183)/B183)</f>
        <v>0</v>
      </c>
      <c r="F184" s="26">
        <f>IFERROR((B184-SUMIFS('Biosimilar Approval Database'!$G$3:$G$65,'Biosimilar Approval Database'!$C$3:$C$65,"Feb 2025"))/SUMIFS('Biosimilar Approval Database'!$G$3:$G$65,'Biosimilar Approval Database'!$C$3:$C$65,"Feb 2025"),"N/A")</f>
        <v>0</v>
      </c>
    </row>
    <row r="185" spans="1:6">
      <c r="A185" s="25">
        <v>46082</v>
      </c>
      <c r="B185" s="12">
        <f>SUMIFS('Biosimilar Approval Database'!$G$3:$G$65,'Biosimilar Approval Database'!$C$3:$C$65,"Mar 2026")</f>
        <v>0</v>
      </c>
      <c r="C185" s="12">
        <f>DAY(EOMONTH(A185,0))</f>
        <v>0</v>
      </c>
      <c r="D185" s="21">
        <f>IF(C185=0,0,B185/C185)</f>
        <v>0</v>
      </c>
      <c r="E185" s="26">
        <f>IF(B184=0,"N/A",(B185-B184)/B184)</f>
        <v>0</v>
      </c>
      <c r="F185" s="26">
        <f>IFERROR((B185-SUMIFS('Biosimilar Approval Database'!$G$3:$G$65,'Biosimilar Approval Database'!$C$3:$C$65,"Mar 2025"))/SUMIFS('Biosimilar Approval Database'!$G$3:$G$65,'Biosimilar Approval Database'!$C$3:$C$65,"Mar 2025"),"N/A")</f>
        <v>0</v>
      </c>
    </row>
    <row r="186" spans="1:6">
      <c r="A186" s="25">
        <v>46113</v>
      </c>
      <c r="B186" s="12">
        <f>SUMIFS('Biosimilar Approval Database'!$G$3:$G$65,'Biosimilar Approval Database'!$C$3:$C$65,"Apr 2026")</f>
        <v>0</v>
      </c>
      <c r="C186" s="12">
        <f>DAY(EOMONTH(A186,0))</f>
        <v>0</v>
      </c>
      <c r="D186" s="21">
        <f>IF(C186=0,0,B186/C186)</f>
        <v>0</v>
      </c>
      <c r="E186" s="26">
        <f>IF(B185=0,"N/A",(B186-B185)/B185)</f>
        <v>0</v>
      </c>
      <c r="F186" s="26">
        <f>IFERROR((B186-SUMIFS('Biosimilar Approval Database'!$G$3:$G$65,'Biosimilar Approval Database'!$C$3:$C$65,"Apr 2025"))/SUMIFS('Biosimilar Approval Database'!$G$3:$G$65,'Biosimilar Approval Database'!$C$3:$C$65,"Apr 2025"),"N/A")</f>
        <v>0</v>
      </c>
    </row>
    <row r="187" spans="1:6">
      <c r="A187" s="25">
        <v>46143</v>
      </c>
      <c r="B187" s="12">
        <f>SUMIFS('Biosimilar Approval Database'!$G$3:$G$65,'Biosimilar Approval Database'!$C$3:$C$65,"May 2026")</f>
        <v>0</v>
      </c>
      <c r="C187" s="12">
        <f>DAY(EOMONTH(A187,0))</f>
        <v>0</v>
      </c>
      <c r="D187" s="21">
        <f>IF(C187=0,0,B187/C187)</f>
        <v>0</v>
      </c>
      <c r="E187" s="26">
        <f>IF(B186=0,"N/A",(B187-B186)/B186)</f>
        <v>0</v>
      </c>
      <c r="F187" s="26">
        <f>IFERROR((B187-SUMIFS('Biosimilar Approval Database'!$G$3:$G$65,'Biosimilar Approval Database'!$C$3:$C$65,"May 2025"))/SUMIFS('Biosimilar Approval Database'!$G$3:$G$65,'Biosimilar Approval Database'!$C$3:$C$65,"May 2025"),"N/A")</f>
        <v>0</v>
      </c>
    </row>
    <row r="188" spans="1:6">
      <c r="A188" s="25">
        <v>46174</v>
      </c>
      <c r="B188" s="12">
        <f>SUMIFS('Biosimilar Approval Database'!$G$3:$G$65,'Biosimilar Approval Database'!$C$3:$C$65,"Jun 2026")</f>
        <v>0</v>
      </c>
      <c r="C188" s="12">
        <f>DAY(EOMONTH(A188,0))</f>
        <v>0</v>
      </c>
      <c r="D188" s="21">
        <f>IF(C188=0,0,B188/C188)</f>
        <v>0</v>
      </c>
      <c r="E188" s="26">
        <f>IF(B187=0,"N/A",(B188-B187)/B187)</f>
        <v>0</v>
      </c>
      <c r="F188" s="26">
        <f>IFERROR((B188-SUMIFS('Biosimilar Approval Database'!$G$3:$G$65,'Biosimilar Approval Database'!$C$3:$C$65,"Jun 2025"))/SUMIFS('Biosimilar Approval Database'!$G$3:$G$65,'Biosimilar Approval Database'!$C$3:$C$65,"Jun 2025"),"N/A")</f>
        <v>0</v>
      </c>
    </row>
    <row r="189" spans="1:6">
      <c r="A189" s="25">
        <v>46204</v>
      </c>
      <c r="B189" s="12">
        <f>SUMIFS('Biosimilar Approval Database'!$G$3:$G$65,'Biosimilar Approval Database'!$C$3:$C$65,"Jul 2026")</f>
        <v>0</v>
      </c>
      <c r="C189" s="12">
        <f>DAY(EOMONTH(A189,0))</f>
        <v>0</v>
      </c>
      <c r="D189" s="21">
        <f>IF(C189=0,0,B189/C189)</f>
        <v>0</v>
      </c>
      <c r="E189" s="26">
        <f>IF(B188=0,"N/A",(B189-B188)/B188)</f>
        <v>0</v>
      </c>
      <c r="F189" s="26">
        <f>IFERROR((B189-SUMIFS('Biosimilar Approval Database'!$G$3:$G$65,'Biosimilar Approval Database'!$C$3:$C$65,"Jul 2025"))/SUMIFS('Biosimilar Approval Database'!$G$3:$G$65,'Biosimilar Approval Database'!$C$3:$C$65,"Jul 2025"),"N/A")</f>
        <v>0</v>
      </c>
    </row>
    <row r="191" spans="1:6">
      <c r="A191" s="23" t="s">
        <v>64186</v>
      </c>
    </row>
    <row r="192" spans="1:6">
      <c r="A192" s="17" t="s">
        <v>64187</v>
      </c>
      <c r="B192" s="17" t="s">
        <v>62968</v>
      </c>
    </row>
    <row r="193" spans="1:2">
      <c r="A193" s="18" t="s">
        <v>62969</v>
      </c>
      <c r="B193" s="12">
        <f>COUNTIFS('Novel Approval Database'!$B$3:$B$417,"&gt;="&amp;DATE(2025,8,1),'Novel Approval Database'!$B$3:$B$417,"&lt;="&amp;DATE(2026,7,31),'Novel Approval Database'!$A$3:$A$417,"CDER")</f>
        <v>0</v>
      </c>
    </row>
    <row r="194" spans="1:2">
      <c r="A194" s="18" t="s">
        <v>62970</v>
      </c>
      <c r="B194" s="12">
        <f>COUNTIFS('Novel Approval Database'!$B$3:$B$417,"&gt;="&amp;DATE(2024,8,1),'Novel Approval Database'!$B$3:$B$417,"&lt;="&amp;DATE(2025,7,31),'Novel Approval Database'!$A$3:$A$417,"CDER")</f>
        <v>0</v>
      </c>
    </row>
    <row r="195" spans="1:2">
      <c r="A195" s="18" t="s">
        <v>62971</v>
      </c>
      <c r="B195" s="19">
        <f>IFERROR((B193-B194)/B194,"N/A")</f>
        <v>0</v>
      </c>
    </row>
    <row r="196" spans="1:2">
      <c r="A196" s="18" t="s">
        <v>64188</v>
      </c>
      <c r="B196" s="19">
        <f>IFERROR((COUNTIFS('Novel Approval Database'!$G$3:$G$417,2025,'Novel Approval Database'!$A$3:$A$417,"CDER")-COUNTIFS('Novel Approval Database'!$G$3:$G$417,2024,'Novel Approval Database'!$A$3:$A$417,"CDER"))/COUNTIFS('Novel Approval Database'!$G$3:$G$417,2024,'Novel Approval Database'!$A$3:$A$417,"CDER"),"N/A")</f>
        <v>0</v>
      </c>
    </row>
    <row r="197" spans="1:2">
      <c r="A197" s="18" t="s">
        <v>64189</v>
      </c>
      <c r="B197" s="19">
        <f>IFERROR((COUNTIFS('Novel Approval Database'!$B$3:$B$417,"&gt;="&amp;DATE(2026,7,1),'Novel Approval Database'!$B$3:$B$417,"&lt;="&amp;DATE(2026,7,31),'Novel Approval Database'!$A$3:$A$417,"CDER")-COUNTIFS('Novel Approval Database'!$B$3:$B$417,"&gt;="&amp;DATE(2026,6,1),'Novel Approval Database'!$B$3:$B$417,"&lt;="&amp;DATE(2026,6,30),'Novel Approval Database'!$A$3:$A$417,"CDER"))/COUNTIFS('Novel Approval Database'!$B$3:$B$417,"&gt;="&amp;DATE(2026,6,1),'Novel Approval Database'!$B$3:$B$417,"&lt;="&amp;DATE(2026,6,30),'Novel Approval Database'!$A$3:$A$417,"CDER"),"N/A")</f>
        <v>0</v>
      </c>
    </row>
    <row r="198" spans="1:2">
      <c r="A198" s="18" t="s">
        <v>64190</v>
      </c>
      <c r="B198" s="19">
        <f>IFERROR((COUNTIFS('Novel Approval Database'!$B$3:$B$417,"&gt;="&amp;DATE(2026,6,1),'Novel Approval Database'!$B$3:$B$417,"&lt;="&amp;DATE(2026,6,30),'Novel Approval Database'!$A$3:$A$417,"CDER")-COUNTIFS('Novel Approval Database'!$B$3:$B$417,"&gt;="&amp;DATE(2026,5,1),'Novel Approval Database'!$B$3:$B$417,"&lt;="&amp;DATE(2026,5,31),'Novel Approval Database'!$A$3:$A$417,"CDER"))/COUNTIFS('Novel Approval Database'!$B$3:$B$417,"&gt;="&amp;DATE(2026,5,1),'Novel Approval Database'!$B$3:$B$417,"&lt;="&amp;DATE(2026,5,31),'Novel Approval Database'!$A$3:$A$417,"CDER"),"N/A")</f>
        <v>0</v>
      </c>
    </row>
    <row r="200" spans="1:2">
      <c r="A200" s="23" t="s">
        <v>64191</v>
      </c>
    </row>
    <row r="201" spans="1:2">
      <c r="A201" s="17" t="s">
        <v>64187</v>
      </c>
      <c r="B201" s="17" t="s">
        <v>62968</v>
      </c>
    </row>
    <row r="202" spans="1:2">
      <c r="A202" s="18" t="s">
        <v>62969</v>
      </c>
      <c r="B202" s="12">
        <f>(SUMIFS('Biosimilar Approval Database'!$G$3:$G$65,'Biosimilar Approval Database'!$C$3:$C$65,"Aug 2025")+SUMIFS('Biosimilar Approval Database'!$G$3:$G$65,'Biosimilar Approval Database'!$C$3:$C$65,"Sep 2025")+SUMIFS('Biosimilar Approval Database'!$G$3:$G$65,'Biosimilar Approval Database'!$C$3:$C$65,"Oct 2025")+SUMIFS('Biosimilar Approval Database'!$G$3:$G$65,'Biosimilar Approval Database'!$C$3:$C$65,"Nov 2025")+SUMIFS('Biosimilar Approval Database'!$G$3:$G$65,'Biosimilar Approval Database'!$C$3:$C$65,"Dec 2025")+SUMIFS('Biosimilar Approval Database'!$G$3:$G$65,'Biosimilar Approval Database'!$C$3:$C$65,"Jan 2026")+SUMIFS('Biosimilar Approval Database'!$G$3:$G$65,'Biosimilar Approval Database'!$C$3:$C$65,"Feb 2026")+SUMIFS('Biosimilar Approval Database'!$G$3:$G$65,'Biosimilar Approval Database'!$C$3:$C$65,"Mar 2026")+SUMIFS('Biosimilar Approval Database'!$G$3:$G$65,'Biosimilar Approval Database'!$C$3:$C$65,"Apr 2026")+SUMIFS('Biosimilar Approval Database'!$G$3:$G$65,'Biosimilar Approval Database'!$C$3:$C$65,"May 2026")+SUMIFS('Biosimilar Approval Database'!$G$3:$G$65,'Biosimilar Approval Database'!$C$3:$C$65,"Jun 2026")+SUMIFS('Biosimilar Approval Database'!$G$3:$G$65,'Biosimilar Approval Database'!$C$3:$C$65,"Jul 2026"))</f>
        <v>0</v>
      </c>
    </row>
    <row r="203" spans="1:2">
      <c r="A203" s="18" t="s">
        <v>62970</v>
      </c>
      <c r="B203" s="12">
        <f>(SUMIFS('Biosimilar Approval Database'!$G$3:$G$65,'Biosimilar Approval Database'!$C$3:$C$65,"Aug 2024")+SUMIFS('Biosimilar Approval Database'!$G$3:$G$65,'Biosimilar Approval Database'!$C$3:$C$65,"Sep 2024")+SUMIFS('Biosimilar Approval Database'!$G$3:$G$65,'Biosimilar Approval Database'!$C$3:$C$65,"Oct 2024")+SUMIFS('Biosimilar Approval Database'!$G$3:$G$65,'Biosimilar Approval Database'!$C$3:$C$65,"Nov 2024")+SUMIFS('Biosimilar Approval Database'!$G$3:$G$65,'Biosimilar Approval Database'!$C$3:$C$65,"Dec 2024")+SUMIFS('Biosimilar Approval Database'!$G$3:$G$65,'Biosimilar Approval Database'!$C$3:$C$65,"Jan 2025")+SUMIFS('Biosimilar Approval Database'!$G$3:$G$65,'Biosimilar Approval Database'!$C$3:$C$65,"Feb 2025")+SUMIFS('Biosimilar Approval Database'!$G$3:$G$65,'Biosimilar Approval Database'!$C$3:$C$65,"Mar 2025")+SUMIFS('Biosimilar Approval Database'!$G$3:$G$65,'Biosimilar Approval Database'!$C$3:$C$65,"Apr 2025")+SUMIFS('Biosimilar Approval Database'!$G$3:$G$65,'Biosimilar Approval Database'!$C$3:$C$65,"May 2025")+SUMIFS('Biosimilar Approval Database'!$G$3:$G$65,'Biosimilar Approval Database'!$C$3:$C$65,"Jun 2025")+SUMIFS('Biosimilar Approval Database'!$G$3:$G$65,'Biosimilar Approval Database'!$C$3:$C$65,"Jul 2025"))</f>
        <v>0</v>
      </c>
    </row>
    <row r="204" spans="1:2">
      <c r="A204" s="18" t="s">
        <v>62971</v>
      </c>
      <c r="B204" s="19">
        <f>IFERROR((B202-B203)/B203,"N/A")</f>
        <v>0</v>
      </c>
    </row>
    <row r="205" spans="1:2">
      <c r="A205" s="18" t="s">
        <v>64188</v>
      </c>
      <c r="B205" s="19">
        <f>IFERROR((SUMIFS('Biosimilar Approval Database'!$G$3:$G$65,'Biosimilar Approval Database'!$B$3:$B$65,2025)-SUMIFS('Biosimilar Approval Database'!$G$3:$G$65,'Biosimilar Approval Database'!$B$3:$B$65,2024))/SUMIFS('Biosimilar Approval Database'!$G$3:$G$65,'Biosimilar Approval Database'!$B$3:$B$65,2024),"N/A")</f>
        <v>0</v>
      </c>
    </row>
    <row r="206" spans="1:2">
      <c r="A206" s="18" t="s">
        <v>64189</v>
      </c>
      <c r="B206" s="19">
        <f>IFERROR((SUMIFS('Biosimilar Approval Database'!$G$3:$G$65,'Biosimilar Approval Database'!$C$3:$C$65,"Jul 2026")-SUMIFS('Biosimilar Approval Database'!$G$3:$G$65,'Biosimilar Approval Database'!$C$3:$C$65,"Jun 2026"))/SUMIFS('Biosimilar Approval Database'!$G$3:$G$65,'Biosimilar Approval Database'!$C$3:$C$65,"Jun 2026"),"N/A")</f>
        <v>0</v>
      </c>
    </row>
    <row r="207" spans="1:2">
      <c r="A207" s="18" t="s">
        <v>64190</v>
      </c>
      <c r="B207" s="19">
        <f>IFERROR((SUMIFS('Biosimilar Approval Database'!$G$3:$G$65,'Biosimilar Approval Database'!$C$3:$C$65,"Jun 2026")-SUMIFS('Biosimilar Approval Database'!$G$3:$G$65,'Biosimilar Approval Database'!$C$3:$C$65,"May 2026"))/SUMIFS('Biosimilar Approval Database'!$G$3:$G$65,'Biosimilar Approval Database'!$C$3:$C$65,"May 2026"),"N/A")</f>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rgb="FFBDD7EE"/>
  </sheetPr>
  <dimension ref="A1:E104"/>
  <sheetViews>
    <sheetView workbookViewId="0"/>
  </sheetViews>
  <sheetFormatPr defaultRowHeight="15"/>
  <cols>
    <col min="1" max="1" width="20.7109375" customWidth="1"/>
    <col min="2" max="5" width="22.7109375" customWidth="1"/>
  </cols>
  <sheetData>
    <row r="1" spans="1:5">
      <c r="A1" s="28" t="s">
        <v>64203</v>
      </c>
      <c r="B1" s="28"/>
      <c r="C1" s="28"/>
      <c r="D1" s="28"/>
      <c r="E1" s="28"/>
    </row>
    <row r="2" spans="1:5">
      <c r="A2" s="29" t="s">
        <v>62957</v>
      </c>
      <c r="B2" s="29" t="s">
        <v>64204</v>
      </c>
      <c r="C2" s="29" t="s">
        <v>64205</v>
      </c>
    </row>
    <row r="3" spans="1:5">
      <c r="A3" s="30" t="s">
        <v>64206</v>
      </c>
      <c r="B3" s="31">
        <f>SUMPRODUCT(('MTS Database'!$H$2:$H$91=2019)*('MTS Database'!$D$2:$D$91))</f>
        <v>0</v>
      </c>
      <c r="C3" s="32">
        <f>COUNTIF('MTS Database'!$H$2:$H$91,2019)</f>
        <v>0</v>
      </c>
    </row>
    <row r="4" spans="1:5">
      <c r="A4" s="33" t="s">
        <v>62959</v>
      </c>
      <c r="B4" s="34">
        <f>SUMPRODUCT(('MTS Database'!$H$2:$H$91=2020)*('MTS Database'!$D$2:$D$91))</f>
        <v>0</v>
      </c>
      <c r="C4" s="35">
        <f>COUNTIF('MTS Database'!$H$2:$H$91,2020)</f>
        <v>0</v>
      </c>
    </row>
    <row r="5" spans="1:5">
      <c r="A5" s="30" t="s">
        <v>62960</v>
      </c>
      <c r="B5" s="31">
        <f>SUMPRODUCT(('MTS Database'!$H$2:$H$91=2021)*('MTS Database'!$D$2:$D$91))</f>
        <v>0</v>
      </c>
      <c r="C5" s="32">
        <f>COUNTIF('MTS Database'!$H$2:$H$91,2021)</f>
        <v>0</v>
      </c>
    </row>
    <row r="6" spans="1:5">
      <c r="A6" s="33" t="s">
        <v>62961</v>
      </c>
      <c r="B6" s="34">
        <f>SUMPRODUCT(('MTS Database'!$H$2:$H$91=2022)*('MTS Database'!$D$2:$D$91))</f>
        <v>0</v>
      </c>
      <c r="C6" s="35">
        <f>COUNTIF('MTS Database'!$H$2:$H$91,2022)</f>
        <v>0</v>
      </c>
    </row>
    <row r="7" spans="1:5">
      <c r="A7" s="30" t="s">
        <v>62962</v>
      </c>
      <c r="B7" s="31">
        <f>SUMPRODUCT(('MTS Database'!$H$2:$H$91=2023)*('MTS Database'!$D$2:$D$91))</f>
        <v>0</v>
      </c>
      <c r="C7" s="32">
        <f>COUNTIF('MTS Database'!$H$2:$H$91,2023)</f>
        <v>0</v>
      </c>
    </row>
    <row r="8" spans="1:5">
      <c r="A8" s="33" t="s">
        <v>62963</v>
      </c>
      <c r="B8" s="34">
        <f>SUMPRODUCT(('MTS Database'!$H$2:$H$91=2024)*('MTS Database'!$D$2:$D$91))</f>
        <v>0</v>
      </c>
      <c r="C8" s="35">
        <f>COUNTIF('MTS Database'!$H$2:$H$91,2024)</f>
        <v>0</v>
      </c>
    </row>
    <row r="9" spans="1:5">
      <c r="A9" s="30" t="s">
        <v>62964</v>
      </c>
      <c r="B9" s="31">
        <f>SUMPRODUCT(('MTS Database'!$H$2:$H$91=2025)*('MTS Database'!$D$2:$D$91))</f>
        <v>0</v>
      </c>
      <c r="C9" s="32">
        <f>COUNTIF('MTS Database'!$H$2:$H$91,2025)</f>
        <v>0</v>
      </c>
    </row>
    <row r="10" spans="1:5">
      <c r="A10" s="33" t="s">
        <v>64207</v>
      </c>
      <c r="B10" s="34">
        <f>SUMPRODUCT(('MTS Database'!$H$2:$H$91=2026)*('MTS Database'!$D$2:$D$91))</f>
        <v>0</v>
      </c>
      <c r="C10" s="35">
        <f>COUNTIF('MTS Database'!$H$2:$H$91,2026)</f>
        <v>0</v>
      </c>
    </row>
    <row r="11" spans="1:5">
      <c r="A11" s="14" t="s">
        <v>64208</v>
      </c>
      <c r="B11" s="36">
        <f>ROUND(B10*12/MONTH(EOMONTH(TODAY(),-1)),0)</f>
        <v>0</v>
      </c>
      <c r="C11" s="14" t="s">
        <v>64209</v>
      </c>
    </row>
    <row r="14" spans="1:5">
      <c r="A14" s="28" t="s">
        <v>64210</v>
      </c>
      <c r="B14" s="28"/>
      <c r="C14" s="28"/>
      <c r="D14" s="28"/>
      <c r="E14" s="28"/>
    </row>
    <row r="15" spans="1:5">
      <c r="A15" s="29" t="s">
        <v>64187</v>
      </c>
      <c r="B15" s="29" t="s">
        <v>62968</v>
      </c>
      <c r="C15" s="29" t="s">
        <v>64211</v>
      </c>
    </row>
    <row r="16" spans="1:5">
      <c r="A16" s="30" t="s">
        <v>64212</v>
      </c>
      <c r="B16" s="31">
        <v>42908056257.68</v>
      </c>
      <c r="C16" s="30"/>
    </row>
    <row r="17" spans="1:5">
      <c r="A17" s="30" t="s">
        <v>64213</v>
      </c>
      <c r="B17" s="31">
        <v>47155920415.32001</v>
      </c>
      <c r="C17" s="30"/>
    </row>
    <row r="18" spans="1:5">
      <c r="A18" s="30" t="s">
        <v>64214</v>
      </c>
      <c r="B18" s="37">
        <v>-0.09008124791600847</v>
      </c>
      <c r="C18" s="30"/>
    </row>
    <row r="19" spans="1:5">
      <c r="A19" s="30" t="s">
        <v>64215</v>
      </c>
      <c r="B19" s="37">
        <v>-0.09008124791600847</v>
      </c>
      <c r="C19" s="30"/>
    </row>
    <row r="20" spans="1:5">
      <c r="A20" s="30" t="s">
        <v>64216</v>
      </c>
      <c r="B20" s="37">
        <v>-1</v>
      </c>
      <c r="C20" s="30"/>
    </row>
    <row r="23" spans="1:5">
      <c r="A23" s="28" t="s">
        <v>64217</v>
      </c>
      <c r="B23" s="28"/>
      <c r="C23" s="28"/>
      <c r="D23" s="28"/>
      <c r="E23" s="28"/>
    </row>
    <row r="24" spans="1:5">
      <c r="A24" s="29" t="s">
        <v>62975</v>
      </c>
      <c r="B24" s="29" t="s">
        <v>64204</v>
      </c>
      <c r="C24" s="29" t="s">
        <v>62976</v>
      </c>
      <c r="D24" s="29" t="s">
        <v>64218</v>
      </c>
    </row>
    <row r="25" spans="1:5">
      <c r="A25" s="30" t="s">
        <v>63964</v>
      </c>
      <c r="B25" s="31">
        <f>SUMPRODUCT(('MTS Database'!$H$2:$H$91=2020)*('MTS Database'!$I$2:$I$91=1)*('MTS Database'!$D$2:$D$91))</f>
        <v>0</v>
      </c>
      <c r="C25" s="32">
        <v>31</v>
      </c>
      <c r="D25" s="31">
        <f>IF(C25=0,0,B25/C25)</f>
        <v>0</v>
      </c>
    </row>
    <row r="26" spans="1:5">
      <c r="A26" s="33" t="s">
        <v>63954</v>
      </c>
      <c r="B26" s="34">
        <f>SUMPRODUCT(('MTS Database'!$H$2:$H$91=2020)*('MTS Database'!$I$2:$I$91=2)*('MTS Database'!$D$2:$D$91))</f>
        <v>0</v>
      </c>
      <c r="C26" s="35">
        <v>29</v>
      </c>
      <c r="D26" s="34">
        <f>IF(C26=0,0,B26/C26)</f>
        <v>0</v>
      </c>
    </row>
    <row r="27" spans="1:5">
      <c r="A27" s="30" t="s">
        <v>63944</v>
      </c>
      <c r="B27" s="31">
        <f>SUMPRODUCT(('MTS Database'!$H$2:$H$91=2020)*('MTS Database'!$I$2:$I$91=3)*('MTS Database'!$D$2:$D$91))</f>
        <v>0</v>
      </c>
      <c r="C27" s="32">
        <v>31</v>
      </c>
      <c r="D27" s="31">
        <f>IF(C27=0,0,B27/C27)</f>
        <v>0</v>
      </c>
    </row>
    <row r="28" spans="1:5">
      <c r="A28" s="33" t="s">
        <v>63930</v>
      </c>
      <c r="B28" s="34">
        <f>SUMPRODUCT(('MTS Database'!$H$2:$H$91=2020)*('MTS Database'!$I$2:$I$91=4)*('MTS Database'!$D$2:$D$91))</f>
        <v>0</v>
      </c>
      <c r="C28" s="35">
        <v>30</v>
      </c>
      <c r="D28" s="34">
        <f>IF(C28=0,0,B28/C28)</f>
        <v>0</v>
      </c>
    </row>
    <row r="29" spans="1:5">
      <c r="A29" s="30" t="s">
        <v>63918</v>
      </c>
      <c r="B29" s="31">
        <f>SUMPRODUCT(('MTS Database'!$H$2:$H$91=2020)*('MTS Database'!$I$2:$I$91=5)*('MTS Database'!$D$2:$D$91))</f>
        <v>0</v>
      </c>
      <c r="C29" s="32">
        <v>31</v>
      </c>
      <c r="D29" s="31">
        <f>IF(C29=0,0,B29/C29)</f>
        <v>0</v>
      </c>
    </row>
    <row r="30" spans="1:5">
      <c r="A30" s="33" t="s">
        <v>63907</v>
      </c>
      <c r="B30" s="34">
        <f>SUMPRODUCT(('MTS Database'!$H$2:$H$91=2020)*('MTS Database'!$I$2:$I$91=6)*('MTS Database'!$D$2:$D$91))</f>
        <v>0</v>
      </c>
      <c r="C30" s="35">
        <v>30</v>
      </c>
      <c r="D30" s="34">
        <f>IF(C30=0,0,B30/C30)</f>
        <v>0</v>
      </c>
    </row>
    <row r="31" spans="1:5">
      <c r="A31" s="30" t="s">
        <v>63893</v>
      </c>
      <c r="B31" s="31">
        <f>SUMPRODUCT(('MTS Database'!$H$2:$H$91=2020)*('MTS Database'!$I$2:$I$91=7)*('MTS Database'!$D$2:$D$91))</f>
        <v>0</v>
      </c>
      <c r="C31" s="32">
        <v>31</v>
      </c>
      <c r="D31" s="31">
        <f>IF(C31=0,0,B31/C31)</f>
        <v>0</v>
      </c>
    </row>
    <row r="32" spans="1:5">
      <c r="A32" s="33" t="s">
        <v>63876</v>
      </c>
      <c r="B32" s="34">
        <f>SUMPRODUCT(('MTS Database'!$H$2:$H$91=2020)*('MTS Database'!$I$2:$I$91=8)*('MTS Database'!$D$2:$D$91))</f>
        <v>0</v>
      </c>
      <c r="C32" s="35">
        <v>31</v>
      </c>
      <c r="D32" s="34">
        <f>IF(C32=0,0,B32/C32)</f>
        <v>0</v>
      </c>
    </row>
    <row r="33" spans="1:4">
      <c r="A33" s="30" t="s">
        <v>63871</v>
      </c>
      <c r="B33" s="31">
        <f>SUMPRODUCT(('MTS Database'!$H$2:$H$91=2020)*('MTS Database'!$I$2:$I$91=9)*('MTS Database'!$D$2:$D$91))</f>
        <v>0</v>
      </c>
      <c r="C33" s="32">
        <v>30</v>
      </c>
      <c r="D33" s="31">
        <f>IF(C33=0,0,B33/C33)</f>
        <v>0</v>
      </c>
    </row>
    <row r="34" spans="1:4">
      <c r="A34" s="33" t="s">
        <v>63866</v>
      </c>
      <c r="B34" s="34">
        <f>SUMPRODUCT(('MTS Database'!$H$2:$H$91=2020)*('MTS Database'!$I$2:$I$91=10)*('MTS Database'!$D$2:$D$91))</f>
        <v>0</v>
      </c>
      <c r="C34" s="35">
        <v>31</v>
      </c>
      <c r="D34" s="34">
        <f>IF(C34=0,0,B34/C34)</f>
        <v>0</v>
      </c>
    </row>
    <row r="35" spans="1:4">
      <c r="A35" s="30" t="s">
        <v>63857</v>
      </c>
      <c r="B35" s="31">
        <f>SUMPRODUCT(('MTS Database'!$H$2:$H$91=2020)*('MTS Database'!$I$2:$I$91=11)*('MTS Database'!$D$2:$D$91))</f>
        <v>0</v>
      </c>
      <c r="C35" s="32">
        <v>30</v>
      </c>
      <c r="D35" s="31">
        <f>IF(C35=0,0,B35/C35)</f>
        <v>0</v>
      </c>
    </row>
    <row r="36" spans="1:4">
      <c r="A36" s="33" t="s">
        <v>63843</v>
      </c>
      <c r="B36" s="34">
        <f>SUMPRODUCT(('MTS Database'!$H$2:$H$91=2020)*('MTS Database'!$I$2:$I$91=12)*('MTS Database'!$D$2:$D$91))</f>
        <v>0</v>
      </c>
      <c r="C36" s="35">
        <v>31</v>
      </c>
      <c r="D36" s="34">
        <f>IF(C36=0,0,B36/C36)</f>
        <v>0</v>
      </c>
    </row>
    <row r="37" spans="1:4">
      <c r="A37" s="30" t="s">
        <v>63836</v>
      </c>
      <c r="B37" s="31">
        <f>SUMPRODUCT(('MTS Database'!$H$2:$H$91=2021)*('MTS Database'!$I$2:$I$91=1)*('MTS Database'!$D$2:$D$91))</f>
        <v>0</v>
      </c>
      <c r="C37" s="32">
        <v>31</v>
      </c>
      <c r="D37" s="31">
        <f>IF(C37=0,0,B37/C37)</f>
        <v>0</v>
      </c>
    </row>
    <row r="38" spans="1:4">
      <c r="A38" s="33" t="s">
        <v>63819</v>
      </c>
      <c r="B38" s="34">
        <f>SUMPRODUCT(('MTS Database'!$H$2:$H$91=2021)*('MTS Database'!$I$2:$I$91=2)*('MTS Database'!$D$2:$D$91))</f>
        <v>0</v>
      </c>
      <c r="C38" s="35">
        <v>28</v>
      </c>
      <c r="D38" s="34">
        <f>IF(C38=0,0,B38/C38)</f>
        <v>0</v>
      </c>
    </row>
    <row r="39" spans="1:4">
      <c r="A39" s="30" t="s">
        <v>63807</v>
      </c>
      <c r="B39" s="31">
        <f>SUMPRODUCT(('MTS Database'!$H$2:$H$91=2021)*('MTS Database'!$I$2:$I$91=3)*('MTS Database'!$D$2:$D$91))</f>
        <v>0</v>
      </c>
      <c r="C39" s="32">
        <v>31</v>
      </c>
      <c r="D39" s="31">
        <f>IF(C39=0,0,B39/C39)</f>
        <v>0</v>
      </c>
    </row>
    <row r="40" spans="1:4">
      <c r="A40" s="33" t="s">
        <v>63799</v>
      </c>
      <c r="B40" s="34">
        <f>SUMPRODUCT(('MTS Database'!$H$2:$H$91=2021)*('MTS Database'!$I$2:$I$91=4)*('MTS Database'!$D$2:$D$91))</f>
        <v>0</v>
      </c>
      <c r="C40" s="35">
        <v>30</v>
      </c>
      <c r="D40" s="34">
        <f>IF(C40=0,0,B40/C40)</f>
        <v>0</v>
      </c>
    </row>
    <row r="41" spans="1:4">
      <c r="A41" s="30" t="s">
        <v>63786</v>
      </c>
      <c r="B41" s="31">
        <f>SUMPRODUCT(('MTS Database'!$H$2:$H$91=2021)*('MTS Database'!$I$2:$I$91=5)*('MTS Database'!$D$2:$D$91))</f>
        <v>0</v>
      </c>
      <c r="C41" s="32">
        <v>31</v>
      </c>
      <c r="D41" s="31">
        <f>IF(C41=0,0,B41/C41)</f>
        <v>0</v>
      </c>
    </row>
    <row r="42" spans="1:4">
      <c r="A42" s="33" t="s">
        <v>63772</v>
      </c>
      <c r="B42" s="34">
        <f>SUMPRODUCT(('MTS Database'!$H$2:$H$91=2021)*('MTS Database'!$I$2:$I$91=6)*('MTS Database'!$D$2:$D$91))</f>
        <v>0</v>
      </c>
      <c r="C42" s="35">
        <v>30</v>
      </c>
      <c r="D42" s="34">
        <f>IF(C42=0,0,B42/C42)</f>
        <v>0</v>
      </c>
    </row>
    <row r="43" spans="1:4">
      <c r="A43" s="30" t="s">
        <v>63759</v>
      </c>
      <c r="B43" s="31">
        <f>SUMPRODUCT(('MTS Database'!$H$2:$H$91=2021)*('MTS Database'!$I$2:$I$91=7)*('MTS Database'!$D$2:$D$91))</f>
        <v>0</v>
      </c>
      <c r="C43" s="32">
        <v>31</v>
      </c>
      <c r="D43" s="31">
        <f>IF(C43=0,0,B43/C43)</f>
        <v>0</v>
      </c>
    </row>
    <row r="44" spans="1:4">
      <c r="A44" s="33" t="s">
        <v>63745</v>
      </c>
      <c r="B44" s="34">
        <f>SUMPRODUCT(('MTS Database'!$H$2:$H$91=2021)*('MTS Database'!$I$2:$I$91=8)*('MTS Database'!$D$2:$D$91))</f>
        <v>0</v>
      </c>
      <c r="C44" s="35">
        <v>31</v>
      </c>
      <c r="D44" s="34">
        <f>IF(C44=0,0,B44/C44)</f>
        <v>0</v>
      </c>
    </row>
    <row r="45" spans="1:4">
      <c r="A45" s="30" t="s">
        <v>63735</v>
      </c>
      <c r="B45" s="31">
        <f>SUMPRODUCT(('MTS Database'!$H$2:$H$91=2021)*('MTS Database'!$I$2:$I$91=9)*('MTS Database'!$D$2:$D$91))</f>
        <v>0</v>
      </c>
      <c r="C45" s="32">
        <v>30</v>
      </c>
      <c r="D45" s="31">
        <f>IF(C45=0,0,B45/C45)</f>
        <v>0</v>
      </c>
    </row>
    <row r="46" spans="1:4">
      <c r="A46" s="33" t="s">
        <v>63728</v>
      </c>
      <c r="B46" s="34">
        <f>SUMPRODUCT(('MTS Database'!$H$2:$H$91=2021)*('MTS Database'!$I$2:$I$91=10)*('MTS Database'!$D$2:$D$91))</f>
        <v>0</v>
      </c>
      <c r="C46" s="35">
        <v>31</v>
      </c>
      <c r="D46" s="34">
        <f>IF(C46=0,0,B46/C46)</f>
        <v>0</v>
      </c>
    </row>
    <row r="47" spans="1:4">
      <c r="A47" s="30" t="s">
        <v>63715</v>
      </c>
      <c r="B47" s="31">
        <f>SUMPRODUCT(('MTS Database'!$H$2:$H$91=2021)*('MTS Database'!$I$2:$I$91=11)*('MTS Database'!$D$2:$D$91))</f>
        <v>0</v>
      </c>
      <c r="C47" s="32">
        <v>30</v>
      </c>
      <c r="D47" s="31">
        <f>IF(C47=0,0,B47/C47)</f>
        <v>0</v>
      </c>
    </row>
    <row r="48" spans="1:4">
      <c r="A48" s="33" t="s">
        <v>63707</v>
      </c>
      <c r="B48" s="34">
        <f>SUMPRODUCT(('MTS Database'!$H$2:$H$91=2021)*('MTS Database'!$I$2:$I$91=12)*('MTS Database'!$D$2:$D$91))</f>
        <v>0</v>
      </c>
      <c r="C48" s="35">
        <v>31</v>
      </c>
      <c r="D48" s="34">
        <f>IF(C48=0,0,B48/C48)</f>
        <v>0</v>
      </c>
    </row>
    <row r="49" spans="1:4">
      <c r="A49" s="30" t="s">
        <v>63695</v>
      </c>
      <c r="B49" s="31">
        <f>SUMPRODUCT(('MTS Database'!$H$2:$H$91=2022)*('MTS Database'!$I$2:$I$91=1)*('MTS Database'!$D$2:$D$91))</f>
        <v>0</v>
      </c>
      <c r="C49" s="32">
        <v>31</v>
      </c>
      <c r="D49" s="31">
        <f>IF(C49=0,0,B49/C49)</f>
        <v>0</v>
      </c>
    </row>
    <row r="50" spans="1:4">
      <c r="A50" s="33" t="s">
        <v>63686</v>
      </c>
      <c r="B50" s="34">
        <f>SUMPRODUCT(('MTS Database'!$H$2:$H$91=2022)*('MTS Database'!$I$2:$I$91=2)*('MTS Database'!$D$2:$D$91))</f>
        <v>0</v>
      </c>
      <c r="C50" s="35">
        <v>28</v>
      </c>
      <c r="D50" s="34">
        <f>IF(C50=0,0,B50/C50)</f>
        <v>0</v>
      </c>
    </row>
    <row r="51" spans="1:4">
      <c r="A51" s="30" t="s">
        <v>63680</v>
      </c>
      <c r="B51" s="31">
        <f>SUMPRODUCT(('MTS Database'!$H$2:$H$91=2022)*('MTS Database'!$I$2:$I$91=3)*('MTS Database'!$D$2:$D$91))</f>
        <v>0</v>
      </c>
      <c r="C51" s="32">
        <v>31</v>
      </c>
      <c r="D51" s="31">
        <f>IF(C51=0,0,B51/C51)</f>
        <v>0</v>
      </c>
    </row>
    <row r="52" spans="1:4">
      <c r="A52" s="33" t="s">
        <v>63675</v>
      </c>
      <c r="B52" s="34">
        <f>SUMPRODUCT(('MTS Database'!$H$2:$H$91=2022)*('MTS Database'!$I$2:$I$91=4)*('MTS Database'!$D$2:$D$91))</f>
        <v>0</v>
      </c>
      <c r="C52" s="35">
        <v>30</v>
      </c>
      <c r="D52" s="34">
        <f>IF(C52=0,0,B52/C52)</f>
        <v>0</v>
      </c>
    </row>
    <row r="53" spans="1:4">
      <c r="A53" s="30" t="s">
        <v>63662</v>
      </c>
      <c r="B53" s="31">
        <f>SUMPRODUCT(('MTS Database'!$H$2:$H$91=2022)*('MTS Database'!$I$2:$I$91=5)*('MTS Database'!$D$2:$D$91))</f>
        <v>0</v>
      </c>
      <c r="C53" s="32">
        <v>31</v>
      </c>
      <c r="D53" s="31">
        <f>IF(C53=0,0,B53/C53)</f>
        <v>0</v>
      </c>
    </row>
    <row r="54" spans="1:4">
      <c r="A54" s="33" t="s">
        <v>63657</v>
      </c>
      <c r="B54" s="34">
        <f>SUMPRODUCT(('MTS Database'!$H$2:$H$91=2022)*('MTS Database'!$I$2:$I$91=6)*('MTS Database'!$D$2:$D$91))</f>
        <v>0</v>
      </c>
      <c r="C54" s="35">
        <v>30</v>
      </c>
      <c r="D54" s="34">
        <f>IF(C54=0,0,B54/C54)</f>
        <v>0</v>
      </c>
    </row>
    <row r="55" spans="1:4">
      <c r="A55" s="30" t="s">
        <v>63653</v>
      </c>
      <c r="B55" s="31">
        <f>SUMPRODUCT(('MTS Database'!$H$2:$H$91=2022)*('MTS Database'!$I$2:$I$91=7)*('MTS Database'!$D$2:$D$91))</f>
        <v>0</v>
      </c>
      <c r="C55" s="32">
        <v>31</v>
      </c>
      <c r="D55" s="31">
        <f>IF(C55=0,0,B55/C55)</f>
        <v>0</v>
      </c>
    </row>
    <row r="56" spans="1:4">
      <c r="A56" s="33" t="s">
        <v>63649</v>
      </c>
      <c r="B56" s="34">
        <f>SUMPRODUCT(('MTS Database'!$H$2:$H$91=2022)*('MTS Database'!$I$2:$I$91=8)*('MTS Database'!$D$2:$D$91))</f>
        <v>0</v>
      </c>
      <c r="C56" s="35">
        <v>31</v>
      </c>
      <c r="D56" s="34">
        <f>IF(C56=0,0,B56/C56)</f>
        <v>0</v>
      </c>
    </row>
    <row r="57" spans="1:4">
      <c r="A57" s="30" t="s">
        <v>63628</v>
      </c>
      <c r="B57" s="31">
        <f>SUMPRODUCT(('MTS Database'!$H$2:$H$91=2022)*('MTS Database'!$I$2:$I$91=9)*('MTS Database'!$D$2:$D$91))</f>
        <v>0</v>
      </c>
      <c r="C57" s="32">
        <v>30</v>
      </c>
      <c r="D57" s="31">
        <f>IF(C57=0,0,B57/C57)</f>
        <v>0</v>
      </c>
    </row>
    <row r="58" spans="1:4">
      <c r="A58" s="33" t="s">
        <v>63623</v>
      </c>
      <c r="B58" s="34">
        <f>SUMPRODUCT(('MTS Database'!$H$2:$H$91=2022)*('MTS Database'!$I$2:$I$91=10)*('MTS Database'!$D$2:$D$91))</f>
        <v>0</v>
      </c>
      <c r="C58" s="35">
        <v>31</v>
      </c>
      <c r="D58" s="34">
        <f>IF(C58=0,0,B58/C58)</f>
        <v>0</v>
      </c>
    </row>
    <row r="59" spans="1:4">
      <c r="A59" s="30" t="s">
        <v>63613</v>
      </c>
      <c r="B59" s="31">
        <f>SUMPRODUCT(('MTS Database'!$H$2:$H$91=2022)*('MTS Database'!$I$2:$I$91=11)*('MTS Database'!$D$2:$D$91))</f>
        <v>0</v>
      </c>
      <c r="C59" s="32">
        <v>30</v>
      </c>
      <c r="D59" s="31">
        <f>IF(C59=0,0,B59/C59)</f>
        <v>0</v>
      </c>
    </row>
    <row r="60" spans="1:4">
      <c r="A60" s="33" t="s">
        <v>63594</v>
      </c>
      <c r="B60" s="34">
        <f>SUMPRODUCT(('MTS Database'!$H$2:$H$91=2022)*('MTS Database'!$I$2:$I$91=12)*('MTS Database'!$D$2:$D$91))</f>
        <v>0</v>
      </c>
      <c r="C60" s="35">
        <v>31</v>
      </c>
      <c r="D60" s="34">
        <f>IF(C60=0,0,B60/C60)</f>
        <v>0</v>
      </c>
    </row>
    <row r="61" spans="1:4">
      <c r="A61" s="30" t="s">
        <v>63583</v>
      </c>
      <c r="B61" s="31">
        <f>SUMPRODUCT(('MTS Database'!$H$2:$H$91=2023)*('MTS Database'!$I$2:$I$91=1)*('MTS Database'!$D$2:$D$91))</f>
        <v>0</v>
      </c>
      <c r="C61" s="32">
        <v>31</v>
      </c>
      <c r="D61" s="31">
        <f>IF(C61=0,0,B61/C61)</f>
        <v>0</v>
      </c>
    </row>
    <row r="62" spans="1:4">
      <c r="A62" s="33" t="s">
        <v>63572</v>
      </c>
      <c r="B62" s="34">
        <f>SUMPRODUCT(('MTS Database'!$H$2:$H$91=2023)*('MTS Database'!$I$2:$I$91=2)*('MTS Database'!$D$2:$D$91))</f>
        <v>0</v>
      </c>
      <c r="C62" s="35">
        <v>28</v>
      </c>
      <c r="D62" s="34">
        <f>IF(C62=0,0,B62/C62)</f>
        <v>0</v>
      </c>
    </row>
    <row r="63" spans="1:4">
      <c r="A63" s="30" t="s">
        <v>63561</v>
      </c>
      <c r="B63" s="31">
        <f>SUMPRODUCT(('MTS Database'!$H$2:$H$91=2023)*('MTS Database'!$I$2:$I$91=3)*('MTS Database'!$D$2:$D$91))</f>
        <v>0</v>
      </c>
      <c r="C63" s="32">
        <v>31</v>
      </c>
      <c r="D63" s="31">
        <f>IF(C63=0,0,B63/C63)</f>
        <v>0</v>
      </c>
    </row>
    <row r="64" spans="1:4">
      <c r="A64" s="33" t="s">
        <v>63553</v>
      </c>
      <c r="B64" s="34">
        <f>SUMPRODUCT(('MTS Database'!$H$2:$H$91=2023)*('MTS Database'!$I$2:$I$91=4)*('MTS Database'!$D$2:$D$91))</f>
        <v>0</v>
      </c>
      <c r="C64" s="35">
        <v>30</v>
      </c>
      <c r="D64" s="34">
        <f>IF(C64=0,0,B64/C64)</f>
        <v>0</v>
      </c>
    </row>
    <row r="65" spans="1:4">
      <c r="A65" s="30" t="s">
        <v>63531</v>
      </c>
      <c r="B65" s="31">
        <f>SUMPRODUCT(('MTS Database'!$H$2:$H$91=2023)*('MTS Database'!$I$2:$I$91=5)*('MTS Database'!$D$2:$D$91))</f>
        <v>0</v>
      </c>
      <c r="C65" s="32">
        <v>31</v>
      </c>
      <c r="D65" s="31">
        <f>IF(C65=0,0,B65/C65)</f>
        <v>0</v>
      </c>
    </row>
    <row r="66" spans="1:4">
      <c r="A66" s="33" t="s">
        <v>63515</v>
      </c>
      <c r="B66" s="34">
        <f>SUMPRODUCT(('MTS Database'!$H$2:$H$91=2023)*('MTS Database'!$I$2:$I$91=6)*('MTS Database'!$D$2:$D$91))</f>
        <v>0</v>
      </c>
      <c r="C66" s="35">
        <v>30</v>
      </c>
      <c r="D66" s="34">
        <f>IF(C66=0,0,B66/C66)</f>
        <v>0</v>
      </c>
    </row>
    <row r="67" spans="1:4">
      <c r="A67" s="30" t="s">
        <v>63505</v>
      </c>
      <c r="B67" s="31">
        <f>SUMPRODUCT(('MTS Database'!$H$2:$H$91=2023)*('MTS Database'!$I$2:$I$91=7)*('MTS Database'!$D$2:$D$91))</f>
        <v>0</v>
      </c>
      <c r="C67" s="32">
        <v>31</v>
      </c>
      <c r="D67" s="31">
        <f>IF(C67=0,0,B67/C67)</f>
        <v>0</v>
      </c>
    </row>
    <row r="68" spans="1:4">
      <c r="A68" s="33" t="s">
        <v>63489</v>
      </c>
      <c r="B68" s="34">
        <f>SUMPRODUCT(('MTS Database'!$H$2:$H$91=2023)*('MTS Database'!$I$2:$I$91=8)*('MTS Database'!$D$2:$D$91))</f>
        <v>0</v>
      </c>
      <c r="C68" s="35">
        <v>31</v>
      </c>
      <c r="D68" s="34">
        <f>IF(C68=0,0,B68/C68)</f>
        <v>0</v>
      </c>
    </row>
    <row r="69" spans="1:4">
      <c r="A69" s="30" t="s">
        <v>63478</v>
      </c>
      <c r="B69" s="31">
        <f>SUMPRODUCT(('MTS Database'!$H$2:$H$91=2023)*('MTS Database'!$I$2:$I$91=9)*('MTS Database'!$D$2:$D$91))</f>
        <v>0</v>
      </c>
      <c r="C69" s="32">
        <v>30</v>
      </c>
      <c r="D69" s="31">
        <f>IF(C69=0,0,B69/C69)</f>
        <v>0</v>
      </c>
    </row>
    <row r="70" spans="1:4">
      <c r="A70" s="33" t="s">
        <v>63461</v>
      </c>
      <c r="B70" s="34">
        <f>SUMPRODUCT(('MTS Database'!$H$2:$H$91=2023)*('MTS Database'!$I$2:$I$91=10)*('MTS Database'!$D$2:$D$91))</f>
        <v>0</v>
      </c>
      <c r="C70" s="35">
        <v>31</v>
      </c>
      <c r="D70" s="34">
        <f>IF(C70=0,0,B70/C70)</f>
        <v>0</v>
      </c>
    </row>
    <row r="71" spans="1:4">
      <c r="A71" s="30" t="s">
        <v>63444</v>
      </c>
      <c r="B71" s="31">
        <f>SUMPRODUCT(('MTS Database'!$H$2:$H$91=2023)*('MTS Database'!$I$2:$I$91=11)*('MTS Database'!$D$2:$D$91))</f>
        <v>0</v>
      </c>
      <c r="C71" s="32">
        <v>30</v>
      </c>
      <c r="D71" s="31">
        <f>IF(C71=0,0,B71/C71)</f>
        <v>0</v>
      </c>
    </row>
    <row r="72" spans="1:4">
      <c r="A72" s="33" t="s">
        <v>63430</v>
      </c>
      <c r="B72" s="34">
        <f>SUMPRODUCT(('MTS Database'!$H$2:$H$91=2023)*('MTS Database'!$I$2:$I$91=12)*('MTS Database'!$D$2:$D$91))</f>
        <v>0</v>
      </c>
      <c r="C72" s="35">
        <v>31</v>
      </c>
      <c r="D72" s="34">
        <f>IF(C72=0,0,B72/C72)</f>
        <v>0</v>
      </c>
    </row>
    <row r="73" spans="1:4">
      <c r="A73" s="30" t="s">
        <v>63422</v>
      </c>
      <c r="B73" s="31">
        <f>SUMPRODUCT(('MTS Database'!$H$2:$H$91=2024)*('MTS Database'!$I$2:$I$91=1)*('MTS Database'!$D$2:$D$91))</f>
        <v>0</v>
      </c>
      <c r="C73" s="32">
        <v>31</v>
      </c>
      <c r="D73" s="31">
        <f>IF(C73=0,0,B73/C73)</f>
        <v>0</v>
      </c>
    </row>
    <row r="74" spans="1:4">
      <c r="A74" s="33" t="s">
        <v>63408</v>
      </c>
      <c r="B74" s="34">
        <f>SUMPRODUCT(('MTS Database'!$H$2:$H$91=2024)*('MTS Database'!$I$2:$I$91=2)*('MTS Database'!$D$2:$D$91))</f>
        <v>0</v>
      </c>
      <c r="C74" s="35">
        <v>29</v>
      </c>
      <c r="D74" s="34">
        <f>IF(C74=0,0,B74/C74)</f>
        <v>0</v>
      </c>
    </row>
    <row r="75" spans="1:4">
      <c r="A75" s="30" t="s">
        <v>63389</v>
      </c>
      <c r="B75" s="31">
        <f>SUMPRODUCT(('MTS Database'!$H$2:$H$91=2024)*('MTS Database'!$I$2:$I$91=3)*('MTS Database'!$D$2:$D$91))</f>
        <v>0</v>
      </c>
      <c r="C75" s="32">
        <v>31</v>
      </c>
      <c r="D75" s="31">
        <f>IF(C75=0,0,B75/C75)</f>
        <v>0</v>
      </c>
    </row>
    <row r="76" spans="1:4">
      <c r="A76" s="33" t="s">
        <v>63376</v>
      </c>
      <c r="B76" s="34">
        <f>SUMPRODUCT(('MTS Database'!$H$2:$H$91=2024)*('MTS Database'!$I$2:$I$91=4)*('MTS Database'!$D$2:$D$91))</f>
        <v>0</v>
      </c>
      <c r="C76" s="35">
        <v>30</v>
      </c>
      <c r="D76" s="34">
        <f>IF(C76=0,0,B76/C76)</f>
        <v>0</v>
      </c>
    </row>
    <row r="77" spans="1:4">
      <c r="A77" s="30" t="s">
        <v>63370</v>
      </c>
      <c r="B77" s="31">
        <f>SUMPRODUCT(('MTS Database'!$H$2:$H$91=2024)*('MTS Database'!$I$2:$I$91=5)*('MTS Database'!$D$2:$D$91))</f>
        <v>0</v>
      </c>
      <c r="C77" s="32">
        <v>31</v>
      </c>
      <c r="D77" s="31">
        <f>IF(C77=0,0,B77/C77)</f>
        <v>0</v>
      </c>
    </row>
    <row r="78" spans="1:4">
      <c r="A78" s="33" t="s">
        <v>63356</v>
      </c>
      <c r="B78" s="34">
        <f>SUMPRODUCT(('MTS Database'!$H$2:$H$91=2024)*('MTS Database'!$I$2:$I$91=6)*('MTS Database'!$D$2:$D$91))</f>
        <v>0</v>
      </c>
      <c r="C78" s="35">
        <v>30</v>
      </c>
      <c r="D78" s="34">
        <f>IF(C78=0,0,B78/C78)</f>
        <v>0</v>
      </c>
    </row>
    <row r="79" spans="1:4">
      <c r="A79" s="30" t="s">
        <v>63351</v>
      </c>
      <c r="B79" s="31">
        <f>SUMPRODUCT(('MTS Database'!$H$2:$H$91=2024)*('MTS Database'!$I$2:$I$91=7)*('MTS Database'!$D$2:$D$91))</f>
        <v>0</v>
      </c>
      <c r="C79" s="32">
        <v>31</v>
      </c>
      <c r="D79" s="31">
        <f>IF(C79=0,0,B79/C79)</f>
        <v>0</v>
      </c>
    </row>
    <row r="80" spans="1:4">
      <c r="A80" s="33" t="s">
        <v>63336</v>
      </c>
      <c r="B80" s="34">
        <f>SUMPRODUCT(('MTS Database'!$H$2:$H$91=2024)*('MTS Database'!$I$2:$I$91=8)*('MTS Database'!$D$2:$D$91))</f>
        <v>0</v>
      </c>
      <c r="C80" s="35">
        <v>31</v>
      </c>
      <c r="D80" s="34">
        <f>IF(C80=0,0,B80/C80)</f>
        <v>0</v>
      </c>
    </row>
    <row r="81" spans="1:4">
      <c r="A81" s="30" t="s">
        <v>63325</v>
      </c>
      <c r="B81" s="31">
        <f>SUMPRODUCT(('MTS Database'!$H$2:$H$91=2024)*('MTS Database'!$I$2:$I$91=9)*('MTS Database'!$D$2:$D$91))</f>
        <v>0</v>
      </c>
      <c r="C81" s="32">
        <v>30</v>
      </c>
      <c r="D81" s="31">
        <f>IF(C81=0,0,B81/C81)</f>
        <v>0</v>
      </c>
    </row>
    <row r="82" spans="1:4">
      <c r="A82" s="33" t="s">
        <v>63316</v>
      </c>
      <c r="B82" s="34">
        <f>SUMPRODUCT(('MTS Database'!$H$2:$H$91=2024)*('MTS Database'!$I$2:$I$91=10)*('MTS Database'!$D$2:$D$91))</f>
        <v>0</v>
      </c>
      <c r="C82" s="35">
        <v>31</v>
      </c>
      <c r="D82" s="34">
        <f>IF(C82=0,0,B82/C82)</f>
        <v>0</v>
      </c>
    </row>
    <row r="83" spans="1:4">
      <c r="A83" s="30" t="s">
        <v>63301</v>
      </c>
      <c r="B83" s="31">
        <f>SUMPRODUCT(('MTS Database'!$H$2:$H$91=2024)*('MTS Database'!$I$2:$I$91=11)*('MTS Database'!$D$2:$D$91))</f>
        <v>0</v>
      </c>
      <c r="C83" s="32">
        <v>30</v>
      </c>
      <c r="D83" s="31">
        <f>IF(C83=0,0,B83/C83)</f>
        <v>0</v>
      </c>
    </row>
    <row r="84" spans="1:4">
      <c r="A84" s="33" t="s">
        <v>63280</v>
      </c>
      <c r="B84" s="34">
        <f>SUMPRODUCT(('MTS Database'!$H$2:$H$91=2024)*('MTS Database'!$I$2:$I$91=12)*('MTS Database'!$D$2:$D$91))</f>
        <v>0</v>
      </c>
      <c r="C84" s="35">
        <v>31</v>
      </c>
      <c r="D84" s="34">
        <f>IF(C84=0,0,B84/C84)</f>
        <v>0</v>
      </c>
    </row>
    <row r="85" spans="1:4">
      <c r="A85" s="30" t="s">
        <v>63268</v>
      </c>
      <c r="B85" s="31">
        <f>SUMPRODUCT(('MTS Database'!$H$2:$H$91=2025)*('MTS Database'!$I$2:$I$91=1)*('MTS Database'!$D$2:$D$91))</f>
        <v>0</v>
      </c>
      <c r="C85" s="32">
        <v>31</v>
      </c>
      <c r="D85" s="31">
        <f>IF(C85=0,0,B85/C85)</f>
        <v>0</v>
      </c>
    </row>
    <row r="86" spans="1:4">
      <c r="A86" s="33" t="s">
        <v>63257</v>
      </c>
      <c r="B86" s="34">
        <f>SUMPRODUCT(('MTS Database'!$H$2:$H$91=2025)*('MTS Database'!$I$2:$I$91=2)*('MTS Database'!$D$2:$D$91))</f>
        <v>0</v>
      </c>
      <c r="C86" s="35">
        <v>28</v>
      </c>
      <c r="D86" s="34">
        <f>IF(C86=0,0,B86/C86)</f>
        <v>0</v>
      </c>
    </row>
    <row r="87" spans="1:4">
      <c r="A87" s="30" t="s">
        <v>63248</v>
      </c>
      <c r="B87" s="31">
        <f>SUMPRODUCT(('MTS Database'!$H$2:$H$91=2025)*('MTS Database'!$I$2:$I$91=3)*('MTS Database'!$D$2:$D$91))</f>
        <v>0</v>
      </c>
      <c r="C87" s="32">
        <v>31</v>
      </c>
      <c r="D87" s="31">
        <f>IF(C87=0,0,B87/C87)</f>
        <v>0</v>
      </c>
    </row>
    <row r="88" spans="1:4">
      <c r="A88" s="33" t="s">
        <v>63237</v>
      </c>
      <c r="B88" s="34">
        <f>SUMPRODUCT(('MTS Database'!$H$2:$H$91=2025)*('MTS Database'!$I$2:$I$91=4)*('MTS Database'!$D$2:$D$91))</f>
        <v>0</v>
      </c>
      <c r="C88" s="35">
        <v>30</v>
      </c>
      <c r="D88" s="34">
        <f>IF(C88=0,0,B88/C88)</f>
        <v>0</v>
      </c>
    </row>
    <row r="89" spans="1:4">
      <c r="A89" s="30" t="s">
        <v>63222</v>
      </c>
      <c r="B89" s="31">
        <f>SUMPRODUCT(('MTS Database'!$H$2:$H$91=2025)*('MTS Database'!$I$2:$I$91=5)*('MTS Database'!$D$2:$D$91))</f>
        <v>0</v>
      </c>
      <c r="C89" s="32">
        <v>31</v>
      </c>
      <c r="D89" s="31">
        <f>IF(C89=0,0,B89/C89)</f>
        <v>0</v>
      </c>
    </row>
    <row r="90" spans="1:4">
      <c r="A90" s="33" t="s">
        <v>63214</v>
      </c>
      <c r="B90" s="34">
        <f>SUMPRODUCT(('MTS Database'!$H$2:$H$91=2025)*('MTS Database'!$I$2:$I$91=6)*('MTS Database'!$D$2:$D$91))</f>
        <v>0</v>
      </c>
      <c r="C90" s="35">
        <v>30</v>
      </c>
      <c r="D90" s="34">
        <f>IF(C90=0,0,B90/C90)</f>
        <v>0</v>
      </c>
    </row>
    <row r="91" spans="1:4">
      <c r="A91" s="30" t="s">
        <v>63195</v>
      </c>
      <c r="B91" s="31">
        <f>SUMPRODUCT(('MTS Database'!$H$2:$H$91=2025)*('MTS Database'!$I$2:$I$91=7)*('MTS Database'!$D$2:$D$91))</f>
        <v>0</v>
      </c>
      <c r="C91" s="32">
        <v>31</v>
      </c>
      <c r="D91" s="31">
        <f>IF(C91=0,0,B91/C91)</f>
        <v>0</v>
      </c>
    </row>
    <row r="92" spans="1:4">
      <c r="A92" s="33" t="s">
        <v>63177</v>
      </c>
      <c r="B92" s="34">
        <f>SUMPRODUCT(('MTS Database'!$H$2:$H$91=2025)*('MTS Database'!$I$2:$I$91=8)*('MTS Database'!$D$2:$D$91))</f>
        <v>0</v>
      </c>
      <c r="C92" s="35">
        <v>31</v>
      </c>
      <c r="D92" s="34">
        <f>IF(C92=0,0,B92/C92)</f>
        <v>0</v>
      </c>
    </row>
    <row r="93" spans="1:4">
      <c r="A93" s="30" t="s">
        <v>63159</v>
      </c>
      <c r="B93" s="31">
        <f>SUMPRODUCT(('MTS Database'!$H$2:$H$91=2025)*('MTS Database'!$I$2:$I$91=9)*('MTS Database'!$D$2:$D$91))</f>
        <v>0</v>
      </c>
      <c r="C93" s="32">
        <v>30</v>
      </c>
      <c r="D93" s="31">
        <f>IF(C93=0,0,B93/C93)</f>
        <v>0</v>
      </c>
    </row>
    <row r="94" spans="1:4">
      <c r="A94" s="33" t="s">
        <v>63152</v>
      </c>
      <c r="B94" s="34">
        <f>SUMPRODUCT(('MTS Database'!$H$2:$H$91=2025)*('MTS Database'!$I$2:$I$91=10)*('MTS Database'!$D$2:$D$91))</f>
        <v>0</v>
      </c>
      <c r="C94" s="35">
        <v>31</v>
      </c>
      <c r="D94" s="34">
        <f>IF(C94=0,0,B94/C94)</f>
        <v>0</v>
      </c>
    </row>
    <row r="95" spans="1:4">
      <c r="A95" s="30" t="s">
        <v>63131</v>
      </c>
      <c r="B95" s="31">
        <f>SUMPRODUCT(('MTS Database'!$H$2:$H$91=2025)*('MTS Database'!$I$2:$I$91=11)*('MTS Database'!$D$2:$D$91))</f>
        <v>0</v>
      </c>
      <c r="C95" s="32">
        <v>30</v>
      </c>
      <c r="D95" s="31">
        <f>IF(C95=0,0,B95/C95)</f>
        <v>0</v>
      </c>
    </row>
    <row r="96" spans="1:4">
      <c r="A96" s="33" t="s">
        <v>63101</v>
      </c>
      <c r="B96" s="34">
        <f>SUMPRODUCT(('MTS Database'!$H$2:$H$91=2025)*('MTS Database'!$I$2:$I$91=12)*('MTS Database'!$D$2:$D$91))</f>
        <v>0</v>
      </c>
      <c r="C96" s="35">
        <v>31</v>
      </c>
      <c r="D96" s="34">
        <f>IF(C96=0,0,B96/C96)</f>
        <v>0</v>
      </c>
    </row>
    <row r="97" spans="1:4">
      <c r="A97" s="30" t="s">
        <v>63097</v>
      </c>
      <c r="B97" s="31">
        <f>SUMPRODUCT(('MTS Database'!$H$2:$H$91=2026)*('MTS Database'!$I$2:$I$91=1)*('MTS Database'!$D$2:$D$91))</f>
        <v>0</v>
      </c>
      <c r="C97" s="32">
        <v>31</v>
      </c>
      <c r="D97" s="31">
        <f>IF(C97=0,0,B97/C97)</f>
        <v>0</v>
      </c>
    </row>
    <row r="98" spans="1:4">
      <c r="A98" s="33" t="s">
        <v>63084</v>
      </c>
      <c r="B98" s="34">
        <f>SUMPRODUCT(('MTS Database'!$H$2:$H$91=2026)*('MTS Database'!$I$2:$I$91=2)*('MTS Database'!$D$2:$D$91))</f>
        <v>0</v>
      </c>
      <c r="C98" s="35">
        <v>28</v>
      </c>
      <c r="D98" s="34">
        <f>IF(C98=0,0,B98/C98)</f>
        <v>0</v>
      </c>
    </row>
    <row r="99" spans="1:4">
      <c r="A99" s="30" t="s">
        <v>63064</v>
      </c>
      <c r="B99" s="31">
        <f>SUMPRODUCT(('MTS Database'!$H$2:$H$91=2026)*('MTS Database'!$I$2:$I$91=3)*('MTS Database'!$D$2:$D$91))</f>
        <v>0</v>
      </c>
      <c r="C99" s="32">
        <v>31</v>
      </c>
      <c r="D99" s="31">
        <f>IF(C99=0,0,B99/C99)</f>
        <v>0</v>
      </c>
    </row>
    <row r="100" spans="1:4">
      <c r="A100" s="33" t="s">
        <v>63054</v>
      </c>
      <c r="B100" s="34">
        <f>SUMPRODUCT(('MTS Database'!$H$2:$H$91=2026)*('MTS Database'!$I$2:$I$91=4)*('MTS Database'!$D$2:$D$91))</f>
        <v>0</v>
      </c>
      <c r="C100" s="35">
        <v>30</v>
      </c>
      <c r="D100" s="34">
        <f>IF(C100=0,0,B100/C100)</f>
        <v>0</v>
      </c>
    </row>
    <row r="101" spans="1:4">
      <c r="A101" s="30" t="s">
        <v>63030</v>
      </c>
      <c r="B101" s="31">
        <f>SUMPRODUCT(('MTS Database'!$H$2:$H$91=2026)*('MTS Database'!$I$2:$I$91=5)*('MTS Database'!$D$2:$D$91))</f>
        <v>0</v>
      </c>
      <c r="C101" s="32">
        <v>31</v>
      </c>
      <c r="D101" s="31">
        <f>IF(C101=0,0,B101/C101)</f>
        <v>0</v>
      </c>
    </row>
    <row r="102" spans="1:4">
      <c r="A102" s="33" t="s">
        <v>63016</v>
      </c>
      <c r="B102" s="34">
        <f>SUMPRODUCT(('MTS Database'!$H$2:$H$91=2026)*('MTS Database'!$I$2:$I$91=6)*('MTS Database'!$D$2:$D$91))</f>
        <v>0</v>
      </c>
      <c r="C102" s="35">
        <v>30</v>
      </c>
      <c r="D102" s="34">
        <f>IF(C102=0,0,B102/C102)</f>
        <v>0</v>
      </c>
    </row>
    <row r="103" spans="1:4">
      <c r="A103" s="30" t="s">
        <v>62995</v>
      </c>
      <c r="B103" s="31">
        <f>SUMPRODUCT(('MTS Database'!$H$2:$H$91=2026)*('MTS Database'!$I$2:$I$91=7)*('MTS Database'!$D$2:$D$91))</f>
        <v>0</v>
      </c>
      <c r="C103" s="32">
        <v>31</v>
      </c>
      <c r="D103" s="31">
        <f>IF(C103=0,0,B103/C103)</f>
        <v>0</v>
      </c>
    </row>
    <row r="104" spans="1:4">
      <c r="A104" s="38" t="s">
        <v>62958</v>
      </c>
      <c r="B104" s="39">
        <f>SUM(B25:B103)</f>
        <v>0</v>
      </c>
      <c r="C104" s="40">
        <f>SUM(C25:C103)</f>
        <v>0</v>
      </c>
      <c r="D104" s="39">
        <f>IF(C104=0,0,B104/C104)</f>
        <v>0</v>
      </c>
    </row>
  </sheetData>
  <mergeCells count="3">
    <mergeCell ref="A1:E1"/>
    <mergeCell ref="A14:E14"/>
    <mergeCell ref="A23:E23"/>
  </mergeCells>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rgb="FF1F3864"/>
  </sheetPr>
  <dimension ref="A1:E3"/>
  <sheetViews>
    <sheetView showGridLines="0" workbookViewId="0"/>
  </sheetViews>
  <sheetFormatPr defaultRowHeight="15"/>
  <cols>
    <col min="1" max="5" width="20.7109375" customWidth="1"/>
  </cols>
  <sheetData>
    <row r="1" spans="1:5">
      <c r="A1" s="10" t="s">
        <v>2</v>
      </c>
      <c r="B1" s="10"/>
      <c r="C1" s="10"/>
      <c r="D1" s="10"/>
      <c r="E1" s="10"/>
    </row>
    <row r="2" spans="1:5">
      <c r="A2" s="10"/>
      <c r="B2" s="10"/>
      <c r="C2" s="10"/>
      <c r="D2" s="10"/>
      <c r="E2" s="10"/>
    </row>
    <row r="3" spans="1:5">
      <c r="A3" s="10"/>
      <c r="B3" s="10"/>
      <c r="C3" s="10"/>
      <c r="D3" s="10"/>
      <c r="E3" s="10"/>
    </row>
  </sheetData>
  <mergeCells count="1">
    <mergeCell ref="A1:E3"/>
  </mergeCells>
  <pageMargins left="0.7" right="0.7" top="0.75" bottom="0.75" header="0.3" footer="0.3"/>
</worksheet>
</file>

<file path=xl/worksheets/sheet13.xml><?xml version="1.0" encoding="utf-8"?>
<worksheet xmlns="http://schemas.openxmlformats.org/spreadsheetml/2006/main" xmlns:r="http://schemas.openxmlformats.org/officeDocument/2006/relationships">
  <sheetPr>
    <tabColor rgb="FFBDD7EE"/>
  </sheetPr>
  <dimension ref="A1:K28727"/>
  <sheetViews>
    <sheetView workbookViewId="0">
      <pane ySplit="1" topLeftCell="A2" activePane="bottomLeft" state="frozen"/>
      <selection pane="bottomLeft"/>
    </sheetView>
  </sheetViews>
  <sheetFormatPr defaultRowHeight="15"/>
  <cols>
    <col min="1" max="1" width="14.7109375" customWidth="1"/>
    <col min="2" max="2" width="50.7109375" customWidth="1"/>
    <col min="3" max="3" width="30.7109375" customWidth="1"/>
    <col min="4" max="6" width="14.7109375" customWidth="1"/>
    <col min="7" max="7" width="18.7109375" customWidth="1"/>
    <col min="8" max="8" width="12.7109375" customWidth="1"/>
    <col min="9" max="9" width="16.7109375" customWidth="1"/>
    <col min="10" max="10" width="12.7109375" customWidth="1"/>
    <col min="11" max="11" width="14.7109375" customWidth="1"/>
  </cols>
  <sheetData>
    <row r="1" spans="1:11">
      <c r="A1" s="11" t="s">
        <v>3</v>
      </c>
      <c r="B1" s="11" t="s">
        <v>4</v>
      </c>
      <c r="C1" s="11" t="s">
        <v>5</v>
      </c>
      <c r="D1" s="11" t="s">
        <v>6</v>
      </c>
      <c r="E1" s="11" t="s">
        <v>7</v>
      </c>
      <c r="F1" s="11" t="s">
        <v>8</v>
      </c>
      <c r="G1" s="11" t="s">
        <v>9</v>
      </c>
      <c r="H1" s="11" t="s">
        <v>10</v>
      </c>
      <c r="I1" s="11" t="s">
        <v>11</v>
      </c>
      <c r="J1" s="11" t="s">
        <v>12</v>
      </c>
      <c r="K1" s="11" t="s">
        <v>13</v>
      </c>
    </row>
    <row r="2" spans="1:11">
      <c r="A2" s="30" t="s">
        <v>14</v>
      </c>
      <c r="B2" s="30" t="s">
        <v>15</v>
      </c>
      <c r="C2" s="30" t="s">
        <v>16</v>
      </c>
      <c r="D2" s="30" t="s">
        <v>17</v>
      </c>
      <c r="E2" s="30" t="s">
        <v>18</v>
      </c>
      <c r="F2" s="30" t="s">
        <v>19</v>
      </c>
      <c r="G2" s="30" t="s">
        <v>20</v>
      </c>
      <c r="H2" s="32">
        <v>356</v>
      </c>
      <c r="I2" s="30" t="s">
        <v>21</v>
      </c>
      <c r="J2" s="41">
        <v>43895</v>
      </c>
      <c r="K2" s="30" t="s">
        <v>22</v>
      </c>
    </row>
    <row r="3" spans="1:11">
      <c r="A3" s="33" t="s">
        <v>23</v>
      </c>
      <c r="B3" s="33" t="s">
        <v>24</v>
      </c>
      <c r="C3" s="33" t="s">
        <v>25</v>
      </c>
      <c r="D3" s="33" t="s">
        <v>17</v>
      </c>
      <c r="E3" s="33" t="s">
        <v>26</v>
      </c>
      <c r="F3" s="33" t="s">
        <v>27</v>
      </c>
      <c r="G3" s="33" t="s">
        <v>20</v>
      </c>
      <c r="H3" s="35">
        <v>98</v>
      </c>
      <c r="I3" s="33" t="s">
        <v>21</v>
      </c>
      <c r="J3" s="42">
        <v>44028</v>
      </c>
      <c r="K3" s="33" t="s">
        <v>22</v>
      </c>
    </row>
    <row r="4" spans="1:11">
      <c r="A4" s="30" t="s">
        <v>28</v>
      </c>
      <c r="B4" s="30" t="s">
        <v>29</v>
      </c>
      <c r="C4" s="30" t="s">
        <v>30</v>
      </c>
      <c r="D4" s="30" t="s">
        <v>17</v>
      </c>
      <c r="E4" s="30" t="s">
        <v>31</v>
      </c>
      <c r="F4" s="30" t="s">
        <v>32</v>
      </c>
      <c r="G4" s="30" t="s">
        <v>20</v>
      </c>
      <c r="H4" s="32">
        <v>23</v>
      </c>
      <c r="I4" s="30" t="s">
        <v>21</v>
      </c>
      <c r="J4" s="41">
        <v>43929</v>
      </c>
      <c r="K4" s="30" t="s">
        <v>22</v>
      </c>
    </row>
    <row r="5" spans="1:11">
      <c r="A5" s="33" t="s">
        <v>33</v>
      </c>
      <c r="B5" s="33" t="s">
        <v>34</v>
      </c>
      <c r="C5" s="33" t="s">
        <v>35</v>
      </c>
      <c r="D5" s="33" t="s">
        <v>17</v>
      </c>
      <c r="E5" s="33" t="s">
        <v>26</v>
      </c>
      <c r="F5" s="33" t="s">
        <v>27</v>
      </c>
      <c r="G5" s="33" t="s">
        <v>20</v>
      </c>
      <c r="H5" s="35">
        <v>40</v>
      </c>
      <c r="I5" s="33" t="s">
        <v>21</v>
      </c>
      <c r="J5" s="42">
        <v>44055</v>
      </c>
      <c r="K5" s="33" t="s">
        <v>22</v>
      </c>
    </row>
    <row r="6" spans="1:11">
      <c r="A6" s="30" t="s">
        <v>36</v>
      </c>
      <c r="B6" s="30" t="s">
        <v>37</v>
      </c>
      <c r="C6" s="30" t="s">
        <v>38</v>
      </c>
      <c r="D6" s="30" t="s">
        <v>17</v>
      </c>
      <c r="E6" s="30" t="s">
        <v>26</v>
      </c>
      <c r="F6" s="30" t="s">
        <v>27</v>
      </c>
      <c r="G6" s="30" t="s">
        <v>20</v>
      </c>
      <c r="H6" s="32">
        <v>31</v>
      </c>
      <c r="I6" s="30" t="s">
        <v>21</v>
      </c>
      <c r="J6" s="41">
        <v>43889</v>
      </c>
      <c r="K6" s="30" t="s">
        <v>22</v>
      </c>
    </row>
    <row r="7" spans="1:11">
      <c r="A7" s="33" t="s">
        <v>39</v>
      </c>
      <c r="B7" s="33" t="s">
        <v>40</v>
      </c>
      <c r="C7" s="33" t="s">
        <v>41</v>
      </c>
      <c r="D7" s="33" t="s">
        <v>17</v>
      </c>
      <c r="E7" s="33" t="s">
        <v>18</v>
      </c>
      <c r="F7" s="33" t="s">
        <v>19</v>
      </c>
      <c r="G7" s="33" t="s">
        <v>20</v>
      </c>
      <c r="H7" s="35">
        <v>669</v>
      </c>
      <c r="I7" s="33" t="s">
        <v>21</v>
      </c>
      <c r="J7" s="42">
        <v>44193</v>
      </c>
      <c r="K7" s="33" t="s">
        <v>22</v>
      </c>
    </row>
    <row r="8" spans="1:11">
      <c r="A8" s="30" t="s">
        <v>42</v>
      </c>
      <c r="B8" s="30" t="s">
        <v>43</v>
      </c>
      <c r="C8" s="30" t="s">
        <v>44</v>
      </c>
      <c r="D8" s="30" t="s">
        <v>17</v>
      </c>
      <c r="E8" s="30" t="s">
        <v>45</v>
      </c>
      <c r="F8" s="30" t="s">
        <v>46</v>
      </c>
      <c r="G8" s="30" t="s">
        <v>20</v>
      </c>
      <c r="H8" s="32">
        <v>660</v>
      </c>
      <c r="I8" s="30" t="s">
        <v>21</v>
      </c>
      <c r="J8" s="41">
        <v>44011</v>
      </c>
      <c r="K8" s="30" t="s">
        <v>22</v>
      </c>
    </row>
    <row r="9" spans="1:11">
      <c r="A9" s="33" t="s">
        <v>47</v>
      </c>
      <c r="B9" s="33" t="s">
        <v>48</v>
      </c>
      <c r="C9" s="33" t="s">
        <v>49</v>
      </c>
      <c r="D9" s="33" t="s">
        <v>17</v>
      </c>
      <c r="E9" s="33" t="s">
        <v>31</v>
      </c>
      <c r="F9" s="33" t="s">
        <v>32</v>
      </c>
      <c r="G9" s="33" t="s">
        <v>50</v>
      </c>
      <c r="H9" s="35">
        <v>60</v>
      </c>
      <c r="I9" s="33" t="s">
        <v>51</v>
      </c>
      <c r="J9" s="42">
        <v>44166</v>
      </c>
      <c r="K9" s="33" t="s">
        <v>22</v>
      </c>
    </row>
    <row r="10" spans="1:11">
      <c r="A10" s="30" t="s">
        <v>52</v>
      </c>
      <c r="B10" s="30" t="s">
        <v>53</v>
      </c>
      <c r="C10" s="30" t="s">
        <v>54</v>
      </c>
      <c r="D10" s="30" t="s">
        <v>17</v>
      </c>
      <c r="E10" s="30" t="s">
        <v>26</v>
      </c>
      <c r="F10" s="30" t="s">
        <v>27</v>
      </c>
      <c r="G10" s="30" t="s">
        <v>20</v>
      </c>
      <c r="H10" s="32">
        <v>3</v>
      </c>
      <c r="I10" s="30" t="s">
        <v>21</v>
      </c>
      <c r="J10" s="41">
        <v>43940</v>
      </c>
      <c r="K10" s="30" t="s">
        <v>22</v>
      </c>
    </row>
    <row r="11" spans="1:11">
      <c r="A11" s="33" t="s">
        <v>55</v>
      </c>
      <c r="B11" s="33" t="s">
        <v>56</v>
      </c>
      <c r="C11" s="33" t="s">
        <v>57</v>
      </c>
      <c r="D11" s="33" t="s">
        <v>17</v>
      </c>
      <c r="E11" s="33" t="s">
        <v>18</v>
      </c>
      <c r="F11" s="33" t="s">
        <v>19</v>
      </c>
      <c r="G11" s="33" t="s">
        <v>20</v>
      </c>
      <c r="H11" s="35">
        <v>140</v>
      </c>
      <c r="I11" s="33" t="s">
        <v>21</v>
      </c>
      <c r="J11" s="42">
        <v>44146</v>
      </c>
      <c r="K11" s="33" t="s">
        <v>22</v>
      </c>
    </row>
    <row r="12" spans="1:11">
      <c r="A12" s="30" t="s">
        <v>58</v>
      </c>
      <c r="B12" s="30" t="s">
        <v>59</v>
      </c>
      <c r="C12" s="30" t="s">
        <v>60</v>
      </c>
      <c r="D12" s="30" t="s">
        <v>17</v>
      </c>
      <c r="E12" s="30" t="s">
        <v>31</v>
      </c>
      <c r="F12" s="30" t="s">
        <v>32</v>
      </c>
      <c r="G12" s="30" t="s">
        <v>20</v>
      </c>
      <c r="H12" s="32">
        <v>16</v>
      </c>
      <c r="I12" s="30" t="s">
        <v>21</v>
      </c>
      <c r="J12" s="41">
        <v>43990</v>
      </c>
      <c r="K12" s="30" t="s">
        <v>22</v>
      </c>
    </row>
    <row r="13" spans="1:11">
      <c r="A13" s="33" t="s">
        <v>61</v>
      </c>
      <c r="B13" s="33" t="s">
        <v>62</v>
      </c>
      <c r="C13" s="33" t="s">
        <v>63</v>
      </c>
      <c r="D13" s="33" t="s">
        <v>17</v>
      </c>
      <c r="E13" s="33" t="s">
        <v>18</v>
      </c>
      <c r="F13" s="33" t="s">
        <v>19</v>
      </c>
      <c r="G13" s="33" t="s">
        <v>20</v>
      </c>
      <c r="H13" s="35">
        <v>2357</v>
      </c>
      <c r="I13" s="33" t="s">
        <v>21</v>
      </c>
      <c r="J13" s="42">
        <v>44188</v>
      </c>
      <c r="K13" s="33" t="s">
        <v>22</v>
      </c>
    </row>
    <row r="14" spans="1:11">
      <c r="A14" s="30" t="s">
        <v>64</v>
      </c>
      <c r="B14" s="30" t="s">
        <v>65</v>
      </c>
      <c r="C14" s="30" t="s">
        <v>66</v>
      </c>
      <c r="D14" s="30" t="s">
        <v>17</v>
      </c>
      <c r="E14" s="30" t="s">
        <v>67</v>
      </c>
      <c r="F14" s="30" t="s">
        <v>68</v>
      </c>
      <c r="G14" s="30" t="s">
        <v>69</v>
      </c>
      <c r="H14" s="32">
        <v>9</v>
      </c>
      <c r="I14" s="30" t="s">
        <v>21</v>
      </c>
      <c r="J14" s="41">
        <v>44060</v>
      </c>
      <c r="K14" s="30" t="s">
        <v>22</v>
      </c>
    </row>
    <row r="15" spans="1:11">
      <c r="A15" s="33" t="s">
        <v>70</v>
      </c>
      <c r="B15" s="33" t="s">
        <v>71</v>
      </c>
      <c r="C15" s="33" t="s">
        <v>72</v>
      </c>
      <c r="D15" s="33" t="s">
        <v>17</v>
      </c>
      <c r="E15" s="33" t="s">
        <v>26</v>
      </c>
      <c r="F15" s="33" t="s">
        <v>27</v>
      </c>
      <c r="G15" s="33" t="s">
        <v>20</v>
      </c>
      <c r="H15" s="35">
        <v>18</v>
      </c>
      <c r="I15" s="33" t="s">
        <v>21</v>
      </c>
      <c r="J15" s="42">
        <v>44133</v>
      </c>
      <c r="K15" s="33" t="s">
        <v>22</v>
      </c>
    </row>
    <row r="16" spans="1:11">
      <c r="A16" s="30" t="s">
        <v>73</v>
      </c>
      <c r="B16" s="30" t="s">
        <v>74</v>
      </c>
      <c r="C16" s="30" t="s">
        <v>75</v>
      </c>
      <c r="D16" s="30" t="s">
        <v>17</v>
      </c>
      <c r="E16" s="30" t="s">
        <v>67</v>
      </c>
      <c r="F16" s="30" t="s">
        <v>68</v>
      </c>
      <c r="G16" s="30" t="s">
        <v>20</v>
      </c>
      <c r="H16" s="32">
        <v>44</v>
      </c>
      <c r="I16" s="30" t="s">
        <v>21</v>
      </c>
      <c r="J16" s="41">
        <v>44026</v>
      </c>
      <c r="K16" s="30" t="s">
        <v>22</v>
      </c>
    </row>
    <row r="17" spans="1:11">
      <c r="A17" s="33" t="s">
        <v>76</v>
      </c>
      <c r="B17" s="33" t="s">
        <v>77</v>
      </c>
      <c r="C17" s="33" t="s">
        <v>78</v>
      </c>
      <c r="D17" s="33" t="s">
        <v>17</v>
      </c>
      <c r="E17" s="33" t="s">
        <v>26</v>
      </c>
      <c r="F17" s="33" t="s">
        <v>27</v>
      </c>
      <c r="G17" s="33" t="s">
        <v>50</v>
      </c>
      <c r="H17" s="35">
        <v>51</v>
      </c>
      <c r="I17" s="33" t="s">
        <v>51</v>
      </c>
      <c r="J17" s="42">
        <v>44136</v>
      </c>
      <c r="K17" s="33" t="s">
        <v>22</v>
      </c>
    </row>
    <row r="18" spans="1:11">
      <c r="A18" s="30" t="s">
        <v>79</v>
      </c>
      <c r="B18" s="30" t="s">
        <v>80</v>
      </c>
      <c r="C18" s="30" t="s">
        <v>81</v>
      </c>
      <c r="D18" s="30" t="s">
        <v>17</v>
      </c>
      <c r="E18" s="30" t="s">
        <v>26</v>
      </c>
      <c r="F18" s="30" t="s">
        <v>27</v>
      </c>
      <c r="G18" s="30" t="s">
        <v>20</v>
      </c>
      <c r="H18" s="32">
        <v>12</v>
      </c>
      <c r="I18" s="30" t="s">
        <v>21</v>
      </c>
      <c r="J18" s="41">
        <v>43888</v>
      </c>
      <c r="K18" s="30" t="s">
        <v>22</v>
      </c>
    </row>
    <row r="19" spans="1:11">
      <c r="A19" s="33" t="s">
        <v>82</v>
      </c>
      <c r="B19" s="33" t="s">
        <v>83</v>
      </c>
      <c r="C19" s="33" t="s">
        <v>84</v>
      </c>
      <c r="D19" s="33" t="s">
        <v>17</v>
      </c>
      <c r="E19" s="33" t="s">
        <v>18</v>
      </c>
      <c r="F19" s="33" t="s">
        <v>19</v>
      </c>
      <c r="G19" s="33" t="s">
        <v>69</v>
      </c>
      <c r="H19" s="35">
        <v>2046</v>
      </c>
      <c r="I19" s="33" t="s">
        <v>51</v>
      </c>
      <c r="J19" s="42">
        <v>44131</v>
      </c>
      <c r="K19" s="33" t="s">
        <v>22</v>
      </c>
    </row>
    <row r="20" spans="1:11">
      <c r="A20" s="30" t="s">
        <v>85</v>
      </c>
      <c r="B20" s="30" t="s">
        <v>86</v>
      </c>
      <c r="C20" s="30" t="s">
        <v>87</v>
      </c>
      <c r="D20" s="30" t="s">
        <v>17</v>
      </c>
      <c r="E20" s="30" t="s">
        <v>26</v>
      </c>
      <c r="F20" s="30" t="s">
        <v>27</v>
      </c>
      <c r="G20" s="30" t="s">
        <v>20</v>
      </c>
      <c r="H20" s="32">
        <v>16</v>
      </c>
      <c r="I20" s="30" t="s">
        <v>21</v>
      </c>
      <c r="J20" s="41">
        <v>44119</v>
      </c>
      <c r="K20" s="30" t="s">
        <v>22</v>
      </c>
    </row>
    <row r="21" spans="1:11">
      <c r="A21" s="33" t="s">
        <v>88</v>
      </c>
      <c r="B21" s="33" t="s">
        <v>89</v>
      </c>
      <c r="C21" s="33" t="s">
        <v>90</v>
      </c>
      <c r="D21" s="33" t="s">
        <v>17</v>
      </c>
      <c r="E21" s="33" t="s">
        <v>31</v>
      </c>
      <c r="F21" s="33" t="s">
        <v>32</v>
      </c>
      <c r="G21" s="33" t="s">
        <v>20</v>
      </c>
      <c r="H21" s="35">
        <v>99</v>
      </c>
      <c r="I21" s="33" t="s">
        <v>21</v>
      </c>
      <c r="J21" s="42">
        <v>44004</v>
      </c>
      <c r="K21" s="33" t="s">
        <v>22</v>
      </c>
    </row>
    <row r="22" spans="1:11">
      <c r="A22" s="30" t="s">
        <v>91</v>
      </c>
      <c r="B22" s="30" t="s">
        <v>92</v>
      </c>
      <c r="C22" s="30" t="s">
        <v>93</v>
      </c>
      <c r="D22" s="30" t="s">
        <v>17</v>
      </c>
      <c r="E22" s="30" t="s">
        <v>26</v>
      </c>
      <c r="F22" s="30" t="s">
        <v>27</v>
      </c>
      <c r="G22" s="30" t="s">
        <v>20</v>
      </c>
      <c r="H22" s="32">
        <v>101</v>
      </c>
      <c r="I22" s="30" t="s">
        <v>21</v>
      </c>
      <c r="J22" s="41">
        <v>43985</v>
      </c>
      <c r="K22" s="30" t="s">
        <v>22</v>
      </c>
    </row>
    <row r="23" spans="1:11">
      <c r="A23" s="33" t="s">
        <v>94</v>
      </c>
      <c r="B23" s="33" t="s">
        <v>95</v>
      </c>
      <c r="C23" s="33" t="s">
        <v>96</v>
      </c>
      <c r="D23" s="33" t="s">
        <v>17</v>
      </c>
      <c r="E23" s="33" t="s">
        <v>26</v>
      </c>
      <c r="F23" s="33" t="s">
        <v>27</v>
      </c>
      <c r="G23" s="33" t="s">
        <v>20</v>
      </c>
      <c r="H23" s="35">
        <v>12</v>
      </c>
      <c r="I23" s="33" t="s">
        <v>21</v>
      </c>
      <c r="J23" s="42">
        <v>44049</v>
      </c>
      <c r="K23" s="33" t="s">
        <v>22</v>
      </c>
    </row>
    <row r="24" spans="1:11">
      <c r="A24" s="30" t="s">
        <v>97</v>
      </c>
      <c r="B24" s="30" t="s">
        <v>98</v>
      </c>
      <c r="C24" s="30" t="s">
        <v>99</v>
      </c>
      <c r="D24" s="30" t="s">
        <v>17</v>
      </c>
      <c r="E24" s="30" t="s">
        <v>18</v>
      </c>
      <c r="F24" s="30" t="s">
        <v>19</v>
      </c>
      <c r="G24" s="30" t="s">
        <v>20</v>
      </c>
      <c r="H24" s="32">
        <v>408</v>
      </c>
      <c r="I24" s="30" t="s">
        <v>21</v>
      </c>
      <c r="J24" s="41">
        <v>43957</v>
      </c>
      <c r="K24" s="30" t="s">
        <v>22</v>
      </c>
    </row>
    <row r="25" spans="1:11">
      <c r="A25" s="33" t="s">
        <v>100</v>
      </c>
      <c r="B25" s="33" t="s">
        <v>101</v>
      </c>
      <c r="C25" s="33" t="s">
        <v>102</v>
      </c>
      <c r="D25" s="33" t="s">
        <v>17</v>
      </c>
      <c r="E25" s="33" t="s">
        <v>26</v>
      </c>
      <c r="F25" s="33" t="s">
        <v>27</v>
      </c>
      <c r="G25" s="33" t="s">
        <v>20</v>
      </c>
      <c r="H25" s="35">
        <v>52</v>
      </c>
      <c r="I25" s="33" t="s">
        <v>21</v>
      </c>
      <c r="J25" s="42">
        <v>44039</v>
      </c>
      <c r="K25" s="33" t="s">
        <v>22</v>
      </c>
    </row>
    <row r="26" spans="1:11">
      <c r="A26" s="30" t="s">
        <v>103</v>
      </c>
      <c r="B26" s="30" t="s">
        <v>104</v>
      </c>
      <c r="C26" s="30" t="s">
        <v>105</v>
      </c>
      <c r="D26" s="30" t="s">
        <v>17</v>
      </c>
      <c r="E26" s="30" t="s">
        <v>31</v>
      </c>
      <c r="F26" s="30" t="s">
        <v>32</v>
      </c>
      <c r="G26" s="30" t="s">
        <v>106</v>
      </c>
      <c r="H26" s="32">
        <v>249</v>
      </c>
      <c r="I26" s="30" t="s">
        <v>21</v>
      </c>
      <c r="J26" s="41">
        <v>44104</v>
      </c>
      <c r="K26" s="30" t="s">
        <v>22</v>
      </c>
    </row>
    <row r="27" spans="1:11">
      <c r="A27" s="33" t="s">
        <v>107</v>
      </c>
      <c r="B27" s="33" t="s">
        <v>108</v>
      </c>
      <c r="C27" s="33" t="s">
        <v>109</v>
      </c>
      <c r="D27" s="33" t="s">
        <v>17</v>
      </c>
      <c r="E27" s="33" t="s">
        <v>31</v>
      </c>
      <c r="F27" s="33" t="s">
        <v>32</v>
      </c>
      <c r="G27" s="33" t="s">
        <v>20</v>
      </c>
      <c r="H27" s="35">
        <v>26</v>
      </c>
      <c r="I27" s="33" t="s">
        <v>21</v>
      </c>
      <c r="J27" s="42">
        <v>44113</v>
      </c>
      <c r="K27" s="33" t="s">
        <v>22</v>
      </c>
    </row>
    <row r="28" spans="1:11">
      <c r="A28" s="30" t="s">
        <v>110</v>
      </c>
      <c r="B28" s="30" t="s">
        <v>111</v>
      </c>
      <c r="C28" s="30" t="s">
        <v>93</v>
      </c>
      <c r="D28" s="30" t="s">
        <v>17</v>
      </c>
      <c r="E28" s="30" t="s">
        <v>18</v>
      </c>
      <c r="F28" s="30" t="s">
        <v>19</v>
      </c>
      <c r="G28" s="30" t="s">
        <v>112</v>
      </c>
      <c r="H28" s="32">
        <v>0</v>
      </c>
      <c r="I28" s="30" t="s">
        <v>21</v>
      </c>
      <c r="J28" s="41">
        <v>44189</v>
      </c>
      <c r="K28" s="30" t="s">
        <v>22</v>
      </c>
    </row>
    <row r="29" spans="1:11">
      <c r="A29" s="33" t="s">
        <v>113</v>
      </c>
      <c r="B29" s="33" t="s">
        <v>114</v>
      </c>
      <c r="C29" s="33" t="s">
        <v>115</v>
      </c>
      <c r="D29" s="33" t="s">
        <v>17</v>
      </c>
      <c r="E29" s="33" t="s">
        <v>31</v>
      </c>
      <c r="F29" s="33" t="s">
        <v>32</v>
      </c>
      <c r="G29" s="33" t="s">
        <v>20</v>
      </c>
      <c r="H29" s="35">
        <v>42</v>
      </c>
      <c r="I29" s="33" t="s">
        <v>21</v>
      </c>
      <c r="J29" s="42">
        <v>44104</v>
      </c>
      <c r="K29" s="33" t="s">
        <v>22</v>
      </c>
    </row>
    <row r="30" spans="1:11">
      <c r="A30" s="30" t="s">
        <v>116</v>
      </c>
      <c r="B30" s="30" t="s">
        <v>117</v>
      </c>
      <c r="C30" s="30" t="s">
        <v>118</v>
      </c>
      <c r="D30" s="30" t="s">
        <v>17</v>
      </c>
      <c r="E30" s="30" t="s">
        <v>26</v>
      </c>
      <c r="F30" s="30" t="s">
        <v>27</v>
      </c>
      <c r="G30" s="30" t="s">
        <v>106</v>
      </c>
      <c r="H30" s="32">
        <v>14</v>
      </c>
      <c r="I30" s="30" t="s">
        <v>21</v>
      </c>
      <c r="J30" s="41">
        <v>43887</v>
      </c>
      <c r="K30" s="30" t="s">
        <v>22</v>
      </c>
    </row>
    <row r="31" spans="1:11">
      <c r="A31" s="33" t="s">
        <v>119</v>
      </c>
      <c r="B31" s="33" t="s">
        <v>120</v>
      </c>
      <c r="C31" s="33" t="s">
        <v>121</v>
      </c>
      <c r="D31" s="33" t="s">
        <v>17</v>
      </c>
      <c r="E31" s="33" t="s">
        <v>26</v>
      </c>
      <c r="F31" s="33" t="s">
        <v>27</v>
      </c>
      <c r="G31" s="33" t="s">
        <v>50</v>
      </c>
      <c r="H31" s="35">
        <v>58</v>
      </c>
      <c r="I31" s="33" t="s">
        <v>21</v>
      </c>
      <c r="J31" s="42">
        <v>44039</v>
      </c>
      <c r="K31" s="33" t="s">
        <v>22</v>
      </c>
    </row>
    <row r="32" spans="1:11">
      <c r="A32" s="30" t="s">
        <v>122</v>
      </c>
      <c r="B32" s="30" t="s">
        <v>123</v>
      </c>
      <c r="C32" s="30" t="s">
        <v>124</v>
      </c>
      <c r="D32" s="30" t="s">
        <v>17</v>
      </c>
      <c r="E32" s="30" t="s">
        <v>18</v>
      </c>
      <c r="F32" s="30" t="s">
        <v>19</v>
      </c>
      <c r="G32" s="30" t="s">
        <v>20</v>
      </c>
      <c r="H32" s="32">
        <v>135</v>
      </c>
      <c r="I32" s="30" t="s">
        <v>21</v>
      </c>
      <c r="J32" s="41">
        <v>44173</v>
      </c>
      <c r="K32" s="30" t="s">
        <v>22</v>
      </c>
    </row>
    <row r="33" spans="1:11">
      <c r="A33" s="33" t="s">
        <v>125</v>
      </c>
      <c r="B33" s="33" t="s">
        <v>126</v>
      </c>
      <c r="C33" s="33" t="s">
        <v>127</v>
      </c>
      <c r="D33" s="33" t="s">
        <v>17</v>
      </c>
      <c r="E33" s="33" t="s">
        <v>26</v>
      </c>
      <c r="F33" s="33" t="s">
        <v>27</v>
      </c>
      <c r="G33" s="33" t="s">
        <v>20</v>
      </c>
      <c r="H33" s="35">
        <v>33</v>
      </c>
      <c r="I33" s="33" t="s">
        <v>21</v>
      </c>
      <c r="J33" s="42">
        <v>44104</v>
      </c>
      <c r="K33" s="33" t="s">
        <v>22</v>
      </c>
    </row>
    <row r="34" spans="1:11">
      <c r="A34" s="30" t="s">
        <v>128</v>
      </c>
      <c r="B34" s="30" t="s">
        <v>129</v>
      </c>
      <c r="C34" s="30" t="s">
        <v>130</v>
      </c>
      <c r="D34" s="30" t="s">
        <v>17</v>
      </c>
      <c r="E34" s="30" t="s">
        <v>67</v>
      </c>
      <c r="F34" s="30" t="s">
        <v>68</v>
      </c>
      <c r="G34" s="30" t="s">
        <v>106</v>
      </c>
      <c r="H34" s="32">
        <v>23</v>
      </c>
      <c r="I34" s="30" t="s">
        <v>21</v>
      </c>
      <c r="J34" s="41">
        <v>43865</v>
      </c>
      <c r="K34" s="30" t="s">
        <v>22</v>
      </c>
    </row>
    <row r="35" spans="1:11">
      <c r="A35" s="33" t="s">
        <v>131</v>
      </c>
      <c r="B35" s="33" t="s">
        <v>132</v>
      </c>
      <c r="C35" s="33" t="s">
        <v>133</v>
      </c>
      <c r="D35" s="33" t="s">
        <v>17</v>
      </c>
      <c r="E35" s="33" t="s">
        <v>26</v>
      </c>
      <c r="F35" s="33" t="s">
        <v>27</v>
      </c>
      <c r="G35" s="33" t="s">
        <v>20</v>
      </c>
      <c r="H35" s="35">
        <v>65</v>
      </c>
      <c r="I35" s="33" t="s">
        <v>21</v>
      </c>
      <c r="J35" s="42">
        <v>44173</v>
      </c>
      <c r="K35" s="33" t="s">
        <v>22</v>
      </c>
    </row>
    <row r="36" spans="1:11">
      <c r="A36" s="30" t="s">
        <v>134</v>
      </c>
      <c r="B36" s="30" t="s">
        <v>135</v>
      </c>
      <c r="C36" s="30" t="s">
        <v>136</v>
      </c>
      <c r="D36" s="30" t="s">
        <v>17</v>
      </c>
      <c r="E36" s="30" t="s">
        <v>26</v>
      </c>
      <c r="F36" s="30" t="s">
        <v>27</v>
      </c>
      <c r="G36" s="30" t="s">
        <v>20</v>
      </c>
      <c r="H36" s="32">
        <v>9</v>
      </c>
      <c r="I36" s="30" t="s">
        <v>21</v>
      </c>
      <c r="J36" s="41">
        <v>44097</v>
      </c>
      <c r="K36" s="30" t="s">
        <v>22</v>
      </c>
    </row>
    <row r="37" spans="1:11">
      <c r="A37" s="33" t="s">
        <v>137</v>
      </c>
      <c r="B37" s="33" t="s">
        <v>138</v>
      </c>
      <c r="C37" s="33" t="s">
        <v>139</v>
      </c>
      <c r="D37" s="33" t="s">
        <v>17</v>
      </c>
      <c r="E37" s="33" t="s">
        <v>67</v>
      </c>
      <c r="F37" s="33" t="s">
        <v>68</v>
      </c>
      <c r="G37" s="33" t="s">
        <v>140</v>
      </c>
      <c r="H37" s="35">
        <v>197</v>
      </c>
      <c r="I37" s="33" t="s">
        <v>51</v>
      </c>
      <c r="J37" s="42">
        <v>44011</v>
      </c>
      <c r="K37" s="33" t="s">
        <v>22</v>
      </c>
    </row>
    <row r="38" spans="1:11">
      <c r="A38" s="30" t="s">
        <v>141</v>
      </c>
      <c r="B38" s="30" t="s">
        <v>142</v>
      </c>
      <c r="C38" s="30" t="s">
        <v>143</v>
      </c>
      <c r="D38" s="30" t="s">
        <v>17</v>
      </c>
      <c r="E38" s="30" t="s">
        <v>26</v>
      </c>
      <c r="F38" s="30" t="s">
        <v>27</v>
      </c>
      <c r="G38" s="30" t="s">
        <v>20</v>
      </c>
      <c r="H38" s="32">
        <v>140</v>
      </c>
      <c r="I38" s="30" t="s">
        <v>21</v>
      </c>
      <c r="J38" s="41">
        <v>43894</v>
      </c>
      <c r="K38" s="30" t="s">
        <v>22</v>
      </c>
    </row>
    <row r="39" spans="1:11">
      <c r="A39" s="33" t="s">
        <v>144</v>
      </c>
      <c r="B39" s="33" t="s">
        <v>145</v>
      </c>
      <c r="C39" s="33" t="s">
        <v>146</v>
      </c>
      <c r="D39" s="33" t="s">
        <v>17</v>
      </c>
      <c r="E39" s="33" t="s">
        <v>26</v>
      </c>
      <c r="F39" s="33" t="s">
        <v>27</v>
      </c>
      <c r="G39" s="33" t="s">
        <v>20</v>
      </c>
      <c r="H39" s="35">
        <v>24</v>
      </c>
      <c r="I39" s="33" t="s">
        <v>21</v>
      </c>
      <c r="J39" s="42">
        <v>44054</v>
      </c>
      <c r="K39" s="33" t="s">
        <v>22</v>
      </c>
    </row>
    <row r="40" spans="1:11">
      <c r="A40" s="30" t="s">
        <v>147</v>
      </c>
      <c r="B40" s="30" t="s">
        <v>148</v>
      </c>
      <c r="C40" s="30" t="s">
        <v>149</v>
      </c>
      <c r="D40" s="30" t="s">
        <v>17</v>
      </c>
      <c r="E40" s="30" t="s">
        <v>26</v>
      </c>
      <c r="F40" s="30" t="s">
        <v>27</v>
      </c>
      <c r="G40" s="30" t="s">
        <v>20</v>
      </c>
      <c r="H40" s="32">
        <v>24</v>
      </c>
      <c r="I40" s="30" t="s">
        <v>21</v>
      </c>
      <c r="J40" s="41">
        <v>44102</v>
      </c>
      <c r="K40" s="30" t="s">
        <v>22</v>
      </c>
    </row>
    <row r="41" spans="1:11">
      <c r="A41" s="33" t="s">
        <v>150</v>
      </c>
      <c r="B41" s="33" t="s">
        <v>151</v>
      </c>
      <c r="C41" s="33" t="s">
        <v>44</v>
      </c>
      <c r="D41" s="33" t="s">
        <v>17</v>
      </c>
      <c r="E41" s="33" t="s">
        <v>31</v>
      </c>
      <c r="F41" s="33" t="s">
        <v>32</v>
      </c>
      <c r="G41" s="33" t="s">
        <v>20</v>
      </c>
      <c r="H41" s="35">
        <v>1149</v>
      </c>
      <c r="I41" s="33" t="s">
        <v>21</v>
      </c>
      <c r="J41" s="42">
        <v>44180</v>
      </c>
      <c r="K41" s="33" t="s">
        <v>22</v>
      </c>
    </row>
    <row r="42" spans="1:11">
      <c r="A42" s="30" t="s">
        <v>152</v>
      </c>
      <c r="B42" s="30" t="s">
        <v>153</v>
      </c>
      <c r="C42" s="30" t="s">
        <v>154</v>
      </c>
      <c r="D42" s="30" t="s">
        <v>17</v>
      </c>
      <c r="E42" s="30" t="s">
        <v>26</v>
      </c>
      <c r="F42" s="30" t="s">
        <v>27</v>
      </c>
      <c r="G42" s="30" t="s">
        <v>20</v>
      </c>
      <c r="H42" s="32">
        <v>18</v>
      </c>
      <c r="I42" s="30" t="s">
        <v>21</v>
      </c>
      <c r="J42" s="41">
        <v>44082</v>
      </c>
      <c r="K42" s="30" t="s">
        <v>22</v>
      </c>
    </row>
    <row r="43" spans="1:11">
      <c r="A43" s="33" t="s">
        <v>155</v>
      </c>
      <c r="B43" s="33" t="s">
        <v>156</v>
      </c>
      <c r="C43" s="33" t="s">
        <v>157</v>
      </c>
      <c r="D43" s="33" t="s">
        <v>17</v>
      </c>
      <c r="E43" s="33" t="s">
        <v>18</v>
      </c>
      <c r="F43" s="33" t="s">
        <v>19</v>
      </c>
      <c r="G43" s="33" t="s">
        <v>158</v>
      </c>
      <c r="H43" s="35">
        <v>354</v>
      </c>
      <c r="I43" s="33" t="s">
        <v>21</v>
      </c>
      <c r="J43" s="42">
        <v>43840</v>
      </c>
      <c r="K43" s="33" t="s">
        <v>22</v>
      </c>
    </row>
    <row r="44" spans="1:11">
      <c r="A44" s="30" t="s">
        <v>159</v>
      </c>
      <c r="B44" s="30" t="s">
        <v>160</v>
      </c>
      <c r="C44" s="30" t="s">
        <v>161</v>
      </c>
      <c r="D44" s="30" t="s">
        <v>17</v>
      </c>
      <c r="E44" s="30" t="s">
        <v>26</v>
      </c>
      <c r="F44" s="30" t="s">
        <v>27</v>
      </c>
      <c r="G44" s="30" t="s">
        <v>20</v>
      </c>
      <c r="H44" s="32">
        <v>32</v>
      </c>
      <c r="I44" s="30" t="s">
        <v>21</v>
      </c>
      <c r="J44" s="41">
        <v>44160</v>
      </c>
      <c r="K44" s="30" t="s">
        <v>22</v>
      </c>
    </row>
    <row r="45" spans="1:11">
      <c r="A45" s="33" t="s">
        <v>162</v>
      </c>
      <c r="B45" s="33" t="s">
        <v>163</v>
      </c>
      <c r="C45" s="33" t="s">
        <v>164</v>
      </c>
      <c r="D45" s="33" t="s">
        <v>17</v>
      </c>
      <c r="E45" s="33" t="s">
        <v>26</v>
      </c>
      <c r="F45" s="33" t="s">
        <v>27</v>
      </c>
      <c r="G45" s="33" t="s">
        <v>20</v>
      </c>
      <c r="H45" s="35">
        <v>46</v>
      </c>
      <c r="I45" s="33" t="s">
        <v>21</v>
      </c>
      <c r="J45" s="42">
        <v>44186</v>
      </c>
      <c r="K45" s="33" t="s">
        <v>22</v>
      </c>
    </row>
    <row r="46" spans="1:11">
      <c r="A46" s="30" t="s">
        <v>165</v>
      </c>
      <c r="B46" s="30" t="s">
        <v>166</v>
      </c>
      <c r="C46" s="30" t="s">
        <v>167</v>
      </c>
      <c r="D46" s="30" t="s">
        <v>17</v>
      </c>
      <c r="E46" s="30" t="s">
        <v>31</v>
      </c>
      <c r="F46" s="30" t="s">
        <v>32</v>
      </c>
      <c r="G46" s="30" t="s">
        <v>106</v>
      </c>
      <c r="H46" s="32">
        <v>12</v>
      </c>
      <c r="I46" s="30" t="s">
        <v>21</v>
      </c>
      <c r="J46" s="41">
        <v>44032</v>
      </c>
      <c r="K46" s="30" t="s">
        <v>22</v>
      </c>
    </row>
    <row r="47" spans="1:11">
      <c r="A47" s="33" t="s">
        <v>168</v>
      </c>
      <c r="B47" s="33" t="s">
        <v>169</v>
      </c>
      <c r="C47" s="33" t="s">
        <v>170</v>
      </c>
      <c r="D47" s="33" t="s">
        <v>17</v>
      </c>
      <c r="E47" s="33" t="s">
        <v>26</v>
      </c>
      <c r="F47" s="33" t="s">
        <v>27</v>
      </c>
      <c r="G47" s="33" t="s">
        <v>20</v>
      </c>
      <c r="H47" s="35">
        <v>111</v>
      </c>
      <c r="I47" s="33" t="s">
        <v>21</v>
      </c>
      <c r="J47" s="42">
        <v>43874</v>
      </c>
      <c r="K47" s="33" t="s">
        <v>22</v>
      </c>
    </row>
    <row r="48" spans="1:11">
      <c r="A48" s="30" t="s">
        <v>171</v>
      </c>
      <c r="B48" s="30" t="s">
        <v>172</v>
      </c>
      <c r="C48" s="30" t="s">
        <v>118</v>
      </c>
      <c r="D48" s="30" t="s">
        <v>17</v>
      </c>
      <c r="E48" s="30" t="s">
        <v>31</v>
      </c>
      <c r="F48" s="30" t="s">
        <v>32</v>
      </c>
      <c r="G48" s="30" t="s">
        <v>20</v>
      </c>
      <c r="H48" s="32">
        <v>57</v>
      </c>
      <c r="I48" s="30" t="s">
        <v>21</v>
      </c>
      <c r="J48" s="41">
        <v>44153</v>
      </c>
      <c r="K48" s="30" t="s">
        <v>22</v>
      </c>
    </row>
    <row r="49" spans="1:11">
      <c r="A49" s="33" t="s">
        <v>173</v>
      </c>
      <c r="B49" s="33" t="s">
        <v>174</v>
      </c>
      <c r="C49" s="33" t="s">
        <v>175</v>
      </c>
      <c r="D49" s="33" t="s">
        <v>17</v>
      </c>
      <c r="E49" s="33" t="s">
        <v>31</v>
      </c>
      <c r="F49" s="33" t="s">
        <v>32</v>
      </c>
      <c r="G49" s="33" t="s">
        <v>20</v>
      </c>
      <c r="H49" s="35">
        <v>181</v>
      </c>
      <c r="I49" s="33" t="s">
        <v>21</v>
      </c>
      <c r="J49" s="42">
        <v>44096</v>
      </c>
      <c r="K49" s="33" t="s">
        <v>22</v>
      </c>
    </row>
    <row r="50" spans="1:11">
      <c r="A50" s="30" t="s">
        <v>176</v>
      </c>
      <c r="B50" s="30" t="s">
        <v>177</v>
      </c>
      <c r="C50" s="30" t="s">
        <v>178</v>
      </c>
      <c r="D50" s="30" t="s">
        <v>17</v>
      </c>
      <c r="E50" s="30" t="s">
        <v>31</v>
      </c>
      <c r="F50" s="30" t="s">
        <v>32</v>
      </c>
      <c r="G50" s="30" t="s">
        <v>20</v>
      </c>
      <c r="H50" s="32">
        <v>287</v>
      </c>
      <c r="I50" s="30" t="s">
        <v>21</v>
      </c>
      <c r="J50" s="41">
        <v>44082</v>
      </c>
      <c r="K50" s="30" t="s">
        <v>22</v>
      </c>
    </row>
    <row r="51" spans="1:11">
      <c r="A51" s="33" t="s">
        <v>179</v>
      </c>
      <c r="B51" s="33" t="s">
        <v>180</v>
      </c>
      <c r="C51" s="33" t="s">
        <v>181</v>
      </c>
      <c r="D51" s="33" t="s">
        <v>17</v>
      </c>
      <c r="E51" s="33" t="s">
        <v>26</v>
      </c>
      <c r="F51" s="33" t="s">
        <v>27</v>
      </c>
      <c r="G51" s="33" t="s">
        <v>106</v>
      </c>
      <c r="H51" s="35">
        <v>93</v>
      </c>
      <c r="I51" s="33" t="s">
        <v>21</v>
      </c>
      <c r="J51" s="42">
        <v>43896</v>
      </c>
      <c r="K51" s="33" t="s">
        <v>22</v>
      </c>
    </row>
    <row r="52" spans="1:11">
      <c r="A52" s="30" t="s">
        <v>182</v>
      </c>
      <c r="B52" s="30" t="s">
        <v>183</v>
      </c>
      <c r="C52" s="30" t="s">
        <v>184</v>
      </c>
      <c r="D52" s="30" t="s">
        <v>17</v>
      </c>
      <c r="E52" s="30" t="s">
        <v>18</v>
      </c>
      <c r="F52" s="30" t="s">
        <v>19</v>
      </c>
      <c r="G52" s="30" t="s">
        <v>20</v>
      </c>
      <c r="H52" s="32">
        <v>631</v>
      </c>
      <c r="I52" s="30" t="s">
        <v>21</v>
      </c>
      <c r="J52" s="41">
        <v>44118</v>
      </c>
      <c r="K52" s="30" t="s">
        <v>22</v>
      </c>
    </row>
    <row r="53" spans="1:11">
      <c r="A53" s="33" t="s">
        <v>185</v>
      </c>
      <c r="B53" s="33" t="s">
        <v>186</v>
      </c>
      <c r="C53" s="33" t="s">
        <v>187</v>
      </c>
      <c r="D53" s="33" t="s">
        <v>17</v>
      </c>
      <c r="E53" s="33" t="s">
        <v>31</v>
      </c>
      <c r="F53" s="33" t="s">
        <v>32</v>
      </c>
      <c r="G53" s="33" t="s">
        <v>50</v>
      </c>
      <c r="H53" s="35">
        <v>120</v>
      </c>
      <c r="I53" s="33" t="s">
        <v>51</v>
      </c>
      <c r="J53" s="42">
        <v>43831</v>
      </c>
      <c r="K53" s="33" t="s">
        <v>22</v>
      </c>
    </row>
    <row r="54" spans="1:11">
      <c r="A54" s="30" t="s">
        <v>188</v>
      </c>
      <c r="B54" s="30" t="s">
        <v>189</v>
      </c>
      <c r="C54" s="30" t="s">
        <v>190</v>
      </c>
      <c r="D54" s="30" t="s">
        <v>17</v>
      </c>
      <c r="E54" s="30" t="s">
        <v>26</v>
      </c>
      <c r="F54" s="30" t="s">
        <v>27</v>
      </c>
      <c r="G54" s="30" t="s">
        <v>158</v>
      </c>
      <c r="H54" s="32">
        <v>138</v>
      </c>
      <c r="I54" s="30" t="s">
        <v>21</v>
      </c>
      <c r="J54" s="41">
        <v>44182</v>
      </c>
      <c r="K54" s="30" t="s">
        <v>22</v>
      </c>
    </row>
    <row r="55" spans="1:11">
      <c r="A55" s="33" t="s">
        <v>191</v>
      </c>
      <c r="B55" s="33" t="s">
        <v>192</v>
      </c>
      <c r="C55" s="33" t="s">
        <v>193</v>
      </c>
      <c r="D55" s="33" t="s">
        <v>17</v>
      </c>
      <c r="E55" s="33" t="s">
        <v>26</v>
      </c>
      <c r="F55" s="33" t="s">
        <v>27</v>
      </c>
      <c r="G55" s="33" t="s">
        <v>20</v>
      </c>
      <c r="H55" s="35">
        <v>16</v>
      </c>
      <c r="I55" s="33" t="s">
        <v>21</v>
      </c>
      <c r="J55" s="42">
        <v>44102</v>
      </c>
      <c r="K55" s="33" t="s">
        <v>22</v>
      </c>
    </row>
    <row r="56" spans="1:11">
      <c r="A56" s="30" t="s">
        <v>194</v>
      </c>
      <c r="B56" s="30" t="s">
        <v>195</v>
      </c>
      <c r="C56" s="30" t="s">
        <v>196</v>
      </c>
      <c r="D56" s="30" t="s">
        <v>17</v>
      </c>
      <c r="E56" s="30" t="s">
        <v>26</v>
      </c>
      <c r="F56" s="30" t="s">
        <v>27</v>
      </c>
      <c r="G56" s="30" t="s">
        <v>50</v>
      </c>
      <c r="H56" s="32">
        <v>6</v>
      </c>
      <c r="I56" s="30" t="s">
        <v>51</v>
      </c>
      <c r="J56" s="41">
        <v>44046</v>
      </c>
      <c r="K56" s="30" t="s">
        <v>22</v>
      </c>
    </row>
    <row r="57" spans="1:11">
      <c r="A57" s="33" t="s">
        <v>197</v>
      </c>
      <c r="B57" s="33" t="s">
        <v>198</v>
      </c>
      <c r="C57" s="33" t="s">
        <v>96</v>
      </c>
      <c r="D57" s="33" t="s">
        <v>17</v>
      </c>
      <c r="E57" s="33" t="s">
        <v>67</v>
      </c>
      <c r="F57" s="33" t="s">
        <v>68</v>
      </c>
      <c r="G57" s="33" t="s">
        <v>20</v>
      </c>
      <c r="H57" s="35">
        <v>155</v>
      </c>
      <c r="I57" s="33" t="s">
        <v>21</v>
      </c>
      <c r="J57" s="42">
        <v>43908</v>
      </c>
      <c r="K57" s="33" t="s">
        <v>22</v>
      </c>
    </row>
    <row r="58" spans="1:11">
      <c r="A58" s="30" t="s">
        <v>199</v>
      </c>
      <c r="B58" s="30" t="s">
        <v>200</v>
      </c>
      <c r="C58" s="30" t="s">
        <v>93</v>
      </c>
      <c r="D58" s="30" t="s">
        <v>17</v>
      </c>
      <c r="E58" s="30" t="s">
        <v>31</v>
      </c>
      <c r="F58" s="30" t="s">
        <v>32</v>
      </c>
      <c r="G58" s="30" t="s">
        <v>20</v>
      </c>
      <c r="H58" s="32">
        <v>13</v>
      </c>
      <c r="I58" s="30" t="s">
        <v>21</v>
      </c>
      <c r="J58" s="41">
        <v>44097</v>
      </c>
      <c r="K58" s="30" t="s">
        <v>22</v>
      </c>
    </row>
    <row r="59" spans="1:11">
      <c r="A59" s="33" t="s">
        <v>201</v>
      </c>
      <c r="B59" s="33" t="s">
        <v>202</v>
      </c>
      <c r="C59" s="33" t="s">
        <v>203</v>
      </c>
      <c r="D59" s="33" t="s">
        <v>17</v>
      </c>
      <c r="E59" s="33" t="s">
        <v>31</v>
      </c>
      <c r="F59" s="33" t="s">
        <v>32</v>
      </c>
      <c r="G59" s="33" t="s">
        <v>20</v>
      </c>
      <c r="H59" s="35">
        <v>84</v>
      </c>
      <c r="I59" s="33" t="s">
        <v>21</v>
      </c>
      <c r="J59" s="42">
        <v>44147</v>
      </c>
      <c r="K59" s="33" t="s">
        <v>22</v>
      </c>
    </row>
    <row r="60" spans="1:11">
      <c r="A60" s="30" t="s">
        <v>204</v>
      </c>
      <c r="B60" s="30" t="s">
        <v>205</v>
      </c>
      <c r="C60" s="30" t="s">
        <v>206</v>
      </c>
      <c r="D60" s="30" t="s">
        <v>17</v>
      </c>
      <c r="E60" s="30" t="s">
        <v>31</v>
      </c>
      <c r="F60" s="30" t="s">
        <v>32</v>
      </c>
      <c r="G60" s="30" t="s">
        <v>106</v>
      </c>
      <c r="H60" s="32">
        <v>8</v>
      </c>
      <c r="I60" s="30" t="s">
        <v>21</v>
      </c>
      <c r="J60" s="41">
        <v>44074</v>
      </c>
      <c r="K60" s="30" t="s">
        <v>22</v>
      </c>
    </row>
    <row r="61" spans="1:11">
      <c r="A61" s="33" t="s">
        <v>207</v>
      </c>
      <c r="B61" s="33" t="s">
        <v>208</v>
      </c>
      <c r="C61" s="33" t="s">
        <v>209</v>
      </c>
      <c r="D61" s="33" t="s">
        <v>17</v>
      </c>
      <c r="E61" s="33" t="s">
        <v>26</v>
      </c>
      <c r="F61" s="33" t="s">
        <v>27</v>
      </c>
      <c r="G61" s="33" t="s">
        <v>20</v>
      </c>
      <c r="H61" s="35">
        <v>69</v>
      </c>
      <c r="I61" s="33" t="s">
        <v>21</v>
      </c>
      <c r="J61" s="42">
        <v>44164</v>
      </c>
      <c r="K61" s="33" t="s">
        <v>22</v>
      </c>
    </row>
    <row r="62" spans="1:11">
      <c r="A62" s="30" t="s">
        <v>210</v>
      </c>
      <c r="B62" s="30" t="s">
        <v>211</v>
      </c>
      <c r="C62" s="30" t="s">
        <v>96</v>
      </c>
      <c r="D62" s="30" t="s">
        <v>17</v>
      </c>
      <c r="E62" s="30" t="s">
        <v>212</v>
      </c>
      <c r="F62" s="30" t="s">
        <v>213</v>
      </c>
      <c r="G62" s="30" t="s">
        <v>112</v>
      </c>
      <c r="H62" s="32">
        <v>0</v>
      </c>
      <c r="I62" s="30" t="s">
        <v>21</v>
      </c>
      <c r="J62" s="41">
        <v>43920</v>
      </c>
      <c r="K62" s="30" t="s">
        <v>22</v>
      </c>
    </row>
    <row r="63" spans="1:11">
      <c r="A63" s="33" t="s">
        <v>214</v>
      </c>
      <c r="B63" s="33" t="s">
        <v>215</v>
      </c>
      <c r="C63" s="33" t="s">
        <v>216</v>
      </c>
      <c r="D63" s="33" t="s">
        <v>17</v>
      </c>
      <c r="E63" s="33" t="s">
        <v>67</v>
      </c>
      <c r="F63" s="33" t="s">
        <v>68</v>
      </c>
      <c r="G63" s="33" t="s">
        <v>112</v>
      </c>
      <c r="H63" s="35">
        <v>0</v>
      </c>
      <c r="I63" s="33" t="s">
        <v>21</v>
      </c>
      <c r="J63" s="42">
        <v>44124</v>
      </c>
      <c r="K63" s="33" t="s">
        <v>22</v>
      </c>
    </row>
    <row r="64" spans="1:11">
      <c r="A64" s="30" t="s">
        <v>217</v>
      </c>
      <c r="B64" s="30" t="s">
        <v>218</v>
      </c>
      <c r="C64" s="30" t="s">
        <v>219</v>
      </c>
      <c r="D64" s="30" t="s">
        <v>17</v>
      </c>
      <c r="E64" s="30" t="s">
        <v>67</v>
      </c>
      <c r="F64" s="30" t="s">
        <v>68</v>
      </c>
      <c r="G64" s="30" t="s">
        <v>106</v>
      </c>
      <c r="H64" s="32">
        <v>15</v>
      </c>
      <c r="I64" s="30" t="s">
        <v>21</v>
      </c>
      <c r="J64" s="41">
        <v>44105</v>
      </c>
      <c r="K64" s="30" t="s">
        <v>22</v>
      </c>
    </row>
    <row r="65" spans="1:11">
      <c r="A65" s="33" t="s">
        <v>220</v>
      </c>
      <c r="B65" s="33" t="s">
        <v>221</v>
      </c>
      <c r="C65" s="33" t="s">
        <v>222</v>
      </c>
      <c r="D65" s="33" t="s">
        <v>17</v>
      </c>
      <c r="E65" s="33" t="s">
        <v>18</v>
      </c>
      <c r="F65" s="33" t="s">
        <v>19</v>
      </c>
      <c r="G65" s="33" t="s">
        <v>158</v>
      </c>
      <c r="H65" s="35">
        <v>1600</v>
      </c>
      <c r="I65" s="33" t="s">
        <v>51</v>
      </c>
      <c r="J65" s="42">
        <v>44169</v>
      </c>
      <c r="K65" s="33" t="s">
        <v>22</v>
      </c>
    </row>
    <row r="66" spans="1:11">
      <c r="A66" s="30" t="s">
        <v>223</v>
      </c>
      <c r="B66" s="30" t="s">
        <v>224</v>
      </c>
      <c r="C66" s="30" t="s">
        <v>225</v>
      </c>
      <c r="D66" s="30" t="s">
        <v>17</v>
      </c>
      <c r="E66" s="30" t="s">
        <v>212</v>
      </c>
      <c r="F66" s="30" t="s">
        <v>213</v>
      </c>
      <c r="G66" s="30" t="s">
        <v>20</v>
      </c>
      <c r="H66" s="32">
        <v>122</v>
      </c>
      <c r="I66" s="30" t="s">
        <v>21</v>
      </c>
      <c r="J66" s="41">
        <v>44071</v>
      </c>
      <c r="K66" s="30" t="s">
        <v>22</v>
      </c>
    </row>
    <row r="67" spans="1:11">
      <c r="A67" s="33" t="s">
        <v>226</v>
      </c>
      <c r="B67" s="33" t="s">
        <v>227</v>
      </c>
      <c r="C67" s="33" t="s">
        <v>228</v>
      </c>
      <c r="D67" s="33" t="s">
        <v>17</v>
      </c>
      <c r="E67" s="33" t="s">
        <v>31</v>
      </c>
      <c r="F67" s="33" t="s">
        <v>32</v>
      </c>
      <c r="G67" s="33" t="s">
        <v>20</v>
      </c>
      <c r="H67" s="35">
        <v>171</v>
      </c>
      <c r="I67" s="33" t="s">
        <v>21</v>
      </c>
      <c r="J67" s="42">
        <v>44137</v>
      </c>
      <c r="K67" s="33" t="s">
        <v>22</v>
      </c>
    </row>
    <row r="68" spans="1:11">
      <c r="A68" s="30" t="s">
        <v>229</v>
      </c>
      <c r="B68" s="30" t="s">
        <v>230</v>
      </c>
      <c r="C68" s="30" t="s">
        <v>231</v>
      </c>
      <c r="D68" s="30" t="s">
        <v>17</v>
      </c>
      <c r="E68" s="30" t="s">
        <v>26</v>
      </c>
      <c r="F68" s="30" t="s">
        <v>27</v>
      </c>
      <c r="G68" s="30" t="s">
        <v>106</v>
      </c>
      <c r="H68" s="32">
        <v>24</v>
      </c>
      <c r="I68" s="30" t="s">
        <v>21</v>
      </c>
      <c r="J68" s="41">
        <v>43886</v>
      </c>
      <c r="K68" s="30" t="s">
        <v>22</v>
      </c>
    </row>
    <row r="69" spans="1:11">
      <c r="A69" s="33" t="s">
        <v>232</v>
      </c>
      <c r="B69" s="33" t="s">
        <v>233</v>
      </c>
      <c r="C69" s="33" t="s">
        <v>234</v>
      </c>
      <c r="D69" s="33" t="s">
        <v>17</v>
      </c>
      <c r="E69" s="33" t="s">
        <v>26</v>
      </c>
      <c r="F69" s="33" t="s">
        <v>27</v>
      </c>
      <c r="G69" s="33" t="s">
        <v>20</v>
      </c>
      <c r="H69" s="35">
        <v>48</v>
      </c>
      <c r="I69" s="33" t="s">
        <v>21</v>
      </c>
      <c r="J69" s="42">
        <v>44176</v>
      </c>
      <c r="K69" s="33" t="s">
        <v>22</v>
      </c>
    </row>
    <row r="70" spans="1:11">
      <c r="A70" s="30" t="s">
        <v>235</v>
      </c>
      <c r="B70" s="30" t="s">
        <v>236</v>
      </c>
      <c r="C70" s="30" t="s">
        <v>136</v>
      </c>
      <c r="D70" s="30" t="s">
        <v>17</v>
      </c>
      <c r="E70" s="30" t="s">
        <v>26</v>
      </c>
      <c r="F70" s="30" t="s">
        <v>27</v>
      </c>
      <c r="G70" s="30" t="s">
        <v>20</v>
      </c>
      <c r="H70" s="32">
        <v>40</v>
      </c>
      <c r="I70" s="30" t="s">
        <v>21</v>
      </c>
      <c r="J70" s="41">
        <v>44174</v>
      </c>
      <c r="K70" s="30" t="s">
        <v>22</v>
      </c>
    </row>
    <row r="71" spans="1:11">
      <c r="A71" s="33" t="s">
        <v>237</v>
      </c>
      <c r="B71" s="33" t="s">
        <v>238</v>
      </c>
      <c r="C71" s="33" t="s">
        <v>190</v>
      </c>
      <c r="D71" s="33" t="s">
        <v>17</v>
      </c>
      <c r="E71" s="33" t="s">
        <v>26</v>
      </c>
      <c r="F71" s="33" t="s">
        <v>27</v>
      </c>
      <c r="G71" s="33" t="s">
        <v>20</v>
      </c>
      <c r="H71" s="35">
        <v>105</v>
      </c>
      <c r="I71" s="33" t="s">
        <v>21</v>
      </c>
      <c r="J71" s="42">
        <v>44152</v>
      </c>
      <c r="K71" s="33" t="s">
        <v>22</v>
      </c>
    </row>
    <row r="72" spans="1:11">
      <c r="A72" s="30" t="s">
        <v>239</v>
      </c>
      <c r="B72" s="30" t="s">
        <v>240</v>
      </c>
      <c r="C72" s="30" t="s">
        <v>241</v>
      </c>
      <c r="D72" s="30" t="s">
        <v>17</v>
      </c>
      <c r="E72" s="30" t="s">
        <v>31</v>
      </c>
      <c r="F72" s="30" t="s">
        <v>32</v>
      </c>
      <c r="G72" s="30" t="s">
        <v>106</v>
      </c>
      <c r="H72" s="32">
        <v>55</v>
      </c>
      <c r="I72" s="30" t="s">
        <v>21</v>
      </c>
      <c r="J72" s="41">
        <v>43945</v>
      </c>
      <c r="K72" s="30" t="s">
        <v>22</v>
      </c>
    </row>
    <row r="73" spans="1:11">
      <c r="A73" s="33" t="s">
        <v>242</v>
      </c>
      <c r="B73" s="33" t="s">
        <v>243</v>
      </c>
      <c r="C73" s="33" t="s">
        <v>178</v>
      </c>
      <c r="D73" s="33" t="s">
        <v>17</v>
      </c>
      <c r="E73" s="33" t="s">
        <v>26</v>
      </c>
      <c r="F73" s="33" t="s">
        <v>27</v>
      </c>
      <c r="G73" s="33" t="s">
        <v>20</v>
      </c>
      <c r="H73" s="35">
        <v>83</v>
      </c>
      <c r="I73" s="33" t="s">
        <v>21</v>
      </c>
      <c r="J73" s="42">
        <v>44102</v>
      </c>
      <c r="K73" s="33" t="s">
        <v>22</v>
      </c>
    </row>
    <row r="74" spans="1:11">
      <c r="A74" s="30" t="s">
        <v>244</v>
      </c>
      <c r="B74" s="30" t="s">
        <v>245</v>
      </c>
      <c r="C74" s="30" t="s">
        <v>246</v>
      </c>
      <c r="D74" s="30" t="s">
        <v>17</v>
      </c>
      <c r="E74" s="30" t="s">
        <v>31</v>
      </c>
      <c r="F74" s="30" t="s">
        <v>32</v>
      </c>
      <c r="G74" s="30" t="s">
        <v>50</v>
      </c>
      <c r="H74" s="32">
        <v>140</v>
      </c>
      <c r="I74" s="30" t="s">
        <v>51</v>
      </c>
      <c r="J74" s="41">
        <v>44195</v>
      </c>
      <c r="K74" s="30" t="s">
        <v>22</v>
      </c>
    </row>
    <row r="75" spans="1:11">
      <c r="A75" s="33" t="s">
        <v>247</v>
      </c>
      <c r="B75" s="33" t="s">
        <v>248</v>
      </c>
      <c r="C75" s="33" t="s">
        <v>249</v>
      </c>
      <c r="D75" s="33" t="s">
        <v>17</v>
      </c>
      <c r="E75" s="33" t="s">
        <v>18</v>
      </c>
      <c r="F75" s="33" t="s">
        <v>19</v>
      </c>
      <c r="G75" s="33" t="s">
        <v>20</v>
      </c>
      <c r="H75" s="35">
        <v>283</v>
      </c>
      <c r="I75" s="33" t="s">
        <v>21</v>
      </c>
      <c r="J75" s="42">
        <v>44034</v>
      </c>
      <c r="K75" s="33" t="s">
        <v>22</v>
      </c>
    </row>
    <row r="76" spans="1:11">
      <c r="A76" s="30" t="s">
        <v>250</v>
      </c>
      <c r="B76" s="30" t="s">
        <v>251</v>
      </c>
      <c r="C76" s="30" t="s">
        <v>252</v>
      </c>
      <c r="D76" s="30" t="s">
        <v>17</v>
      </c>
      <c r="E76" s="30" t="s">
        <v>67</v>
      </c>
      <c r="F76" s="30" t="s">
        <v>68</v>
      </c>
      <c r="G76" s="30" t="s">
        <v>106</v>
      </c>
      <c r="H76" s="32">
        <v>6</v>
      </c>
      <c r="I76" s="30" t="s">
        <v>21</v>
      </c>
      <c r="J76" s="41">
        <v>43966</v>
      </c>
      <c r="K76" s="30" t="s">
        <v>22</v>
      </c>
    </row>
    <row r="77" spans="1:11">
      <c r="A77" s="33" t="s">
        <v>253</v>
      </c>
      <c r="B77" s="33" t="s">
        <v>254</v>
      </c>
      <c r="C77" s="33" t="s">
        <v>255</v>
      </c>
      <c r="D77" s="33" t="s">
        <v>17</v>
      </c>
      <c r="E77" s="33" t="s">
        <v>26</v>
      </c>
      <c r="F77" s="33" t="s">
        <v>27</v>
      </c>
      <c r="G77" s="33" t="s">
        <v>112</v>
      </c>
      <c r="H77" s="35">
        <v>0</v>
      </c>
      <c r="I77" s="33" t="s">
        <v>21</v>
      </c>
      <c r="J77" s="42">
        <v>43840</v>
      </c>
      <c r="K77" s="33" t="s">
        <v>22</v>
      </c>
    </row>
    <row r="78" spans="1:11">
      <c r="A78" s="30" t="s">
        <v>256</v>
      </c>
      <c r="B78" s="30" t="s">
        <v>257</v>
      </c>
      <c r="C78" s="30" t="s">
        <v>258</v>
      </c>
      <c r="D78" s="30" t="s">
        <v>17</v>
      </c>
      <c r="E78" s="30" t="s">
        <v>18</v>
      </c>
      <c r="F78" s="30" t="s">
        <v>19</v>
      </c>
      <c r="G78" s="30" t="s">
        <v>20</v>
      </c>
      <c r="H78" s="32">
        <v>195</v>
      </c>
      <c r="I78" s="30" t="s">
        <v>21</v>
      </c>
      <c r="J78" s="41">
        <v>43868</v>
      </c>
      <c r="K78" s="30" t="s">
        <v>22</v>
      </c>
    </row>
    <row r="79" spans="1:11">
      <c r="A79" s="33" t="s">
        <v>259</v>
      </c>
      <c r="B79" s="33" t="s">
        <v>260</v>
      </c>
      <c r="C79" s="33" t="s">
        <v>136</v>
      </c>
      <c r="D79" s="33" t="s">
        <v>17</v>
      </c>
      <c r="E79" s="33" t="s">
        <v>26</v>
      </c>
      <c r="F79" s="33" t="s">
        <v>27</v>
      </c>
      <c r="G79" s="33" t="s">
        <v>20</v>
      </c>
      <c r="H79" s="35">
        <v>26</v>
      </c>
      <c r="I79" s="33" t="s">
        <v>21</v>
      </c>
      <c r="J79" s="42">
        <v>44001</v>
      </c>
      <c r="K79" s="33" t="s">
        <v>22</v>
      </c>
    </row>
    <row r="80" spans="1:11">
      <c r="A80" s="30" t="s">
        <v>261</v>
      </c>
      <c r="B80" s="30" t="s">
        <v>262</v>
      </c>
      <c r="C80" s="30" t="s">
        <v>263</v>
      </c>
      <c r="D80" s="30" t="s">
        <v>17</v>
      </c>
      <c r="E80" s="30" t="s">
        <v>31</v>
      </c>
      <c r="F80" s="30" t="s">
        <v>32</v>
      </c>
      <c r="G80" s="30" t="s">
        <v>20</v>
      </c>
      <c r="H80" s="32">
        <v>61</v>
      </c>
      <c r="I80" s="30" t="s">
        <v>21</v>
      </c>
      <c r="J80" s="41">
        <v>44118</v>
      </c>
      <c r="K80" s="30" t="s">
        <v>22</v>
      </c>
    </row>
    <row r="81" spans="1:11">
      <c r="A81" s="33" t="s">
        <v>264</v>
      </c>
      <c r="B81" s="33" t="s">
        <v>265</v>
      </c>
      <c r="C81" s="33" t="s">
        <v>266</v>
      </c>
      <c r="D81" s="33" t="s">
        <v>17</v>
      </c>
      <c r="E81" s="33" t="s">
        <v>18</v>
      </c>
      <c r="F81" s="33" t="s">
        <v>19</v>
      </c>
      <c r="G81" s="33" t="s">
        <v>50</v>
      </c>
      <c r="H81" s="35">
        <v>712</v>
      </c>
      <c r="I81" s="33" t="s">
        <v>51</v>
      </c>
      <c r="J81" s="42">
        <v>43888</v>
      </c>
      <c r="K81" s="33" t="s">
        <v>22</v>
      </c>
    </row>
    <row r="82" spans="1:11">
      <c r="A82" s="30" t="s">
        <v>267</v>
      </c>
      <c r="B82" s="30" t="s">
        <v>268</v>
      </c>
      <c r="C82" s="30" t="s">
        <v>96</v>
      </c>
      <c r="D82" s="30" t="s">
        <v>17</v>
      </c>
      <c r="E82" s="30" t="s">
        <v>45</v>
      </c>
      <c r="F82" s="30" t="s">
        <v>46</v>
      </c>
      <c r="G82" s="30" t="s">
        <v>106</v>
      </c>
      <c r="H82" s="32">
        <v>379</v>
      </c>
      <c r="I82" s="30" t="s">
        <v>21</v>
      </c>
      <c r="J82" s="41">
        <v>43836</v>
      </c>
      <c r="K82" s="30" t="s">
        <v>22</v>
      </c>
    </row>
    <row r="83" spans="1:11">
      <c r="A83" s="33" t="s">
        <v>269</v>
      </c>
      <c r="B83" s="33" t="s">
        <v>270</v>
      </c>
      <c r="C83" s="33" t="s">
        <v>271</v>
      </c>
      <c r="D83" s="33" t="s">
        <v>17</v>
      </c>
      <c r="E83" s="33" t="s">
        <v>45</v>
      </c>
      <c r="F83" s="33" t="s">
        <v>46</v>
      </c>
      <c r="G83" s="33" t="s">
        <v>158</v>
      </c>
      <c r="H83" s="35">
        <v>501</v>
      </c>
      <c r="I83" s="33" t="s">
        <v>51</v>
      </c>
      <c r="J83" s="42">
        <v>44077</v>
      </c>
      <c r="K83" s="33" t="s">
        <v>22</v>
      </c>
    </row>
    <row r="84" spans="1:11">
      <c r="A84" s="30" t="s">
        <v>272</v>
      </c>
      <c r="B84" s="30" t="s">
        <v>273</v>
      </c>
      <c r="C84" s="30" t="s">
        <v>133</v>
      </c>
      <c r="D84" s="30" t="s">
        <v>17</v>
      </c>
      <c r="E84" s="30" t="s">
        <v>26</v>
      </c>
      <c r="F84" s="30" t="s">
        <v>27</v>
      </c>
      <c r="G84" s="30" t="s">
        <v>20</v>
      </c>
      <c r="H84" s="32">
        <v>68</v>
      </c>
      <c r="I84" s="30" t="s">
        <v>21</v>
      </c>
      <c r="J84" s="41">
        <v>43978</v>
      </c>
      <c r="K84" s="30" t="s">
        <v>22</v>
      </c>
    </row>
    <row r="85" spans="1:11">
      <c r="A85" s="33" t="s">
        <v>274</v>
      </c>
      <c r="B85" s="33" t="s">
        <v>275</v>
      </c>
      <c r="C85" s="33" t="s">
        <v>276</v>
      </c>
      <c r="D85" s="33" t="s">
        <v>17</v>
      </c>
      <c r="E85" s="33" t="s">
        <v>26</v>
      </c>
      <c r="F85" s="33" t="s">
        <v>27</v>
      </c>
      <c r="G85" s="33" t="s">
        <v>106</v>
      </c>
      <c r="H85" s="35">
        <v>53</v>
      </c>
      <c r="I85" s="33" t="s">
        <v>21</v>
      </c>
      <c r="J85" s="42">
        <v>44153</v>
      </c>
      <c r="K85" s="33" t="s">
        <v>22</v>
      </c>
    </row>
    <row r="86" spans="1:11">
      <c r="A86" s="30" t="s">
        <v>277</v>
      </c>
      <c r="B86" s="30" t="s">
        <v>278</v>
      </c>
      <c r="C86" s="30" t="s">
        <v>279</v>
      </c>
      <c r="D86" s="30" t="s">
        <v>17</v>
      </c>
      <c r="E86" s="30" t="s">
        <v>31</v>
      </c>
      <c r="F86" s="30" t="s">
        <v>32</v>
      </c>
      <c r="G86" s="30" t="s">
        <v>20</v>
      </c>
      <c r="H86" s="32">
        <v>51</v>
      </c>
      <c r="I86" s="30" t="s">
        <v>21</v>
      </c>
      <c r="J86" s="41">
        <v>43941</v>
      </c>
      <c r="K86" s="30" t="s">
        <v>22</v>
      </c>
    </row>
    <row r="87" spans="1:11">
      <c r="A87" s="33" t="s">
        <v>280</v>
      </c>
      <c r="B87" s="33" t="s">
        <v>281</v>
      </c>
      <c r="C87" s="33" t="s">
        <v>102</v>
      </c>
      <c r="D87" s="33" t="s">
        <v>17</v>
      </c>
      <c r="E87" s="33" t="s">
        <v>26</v>
      </c>
      <c r="F87" s="33" t="s">
        <v>27</v>
      </c>
      <c r="G87" s="33" t="s">
        <v>158</v>
      </c>
      <c r="H87" s="35">
        <v>290</v>
      </c>
      <c r="I87" s="33" t="s">
        <v>21</v>
      </c>
      <c r="J87" s="42">
        <v>43882</v>
      </c>
      <c r="K87" s="33" t="s">
        <v>22</v>
      </c>
    </row>
    <row r="88" spans="1:11">
      <c r="A88" s="30" t="s">
        <v>282</v>
      </c>
      <c r="B88" s="30" t="s">
        <v>283</v>
      </c>
      <c r="C88" s="30" t="s">
        <v>284</v>
      </c>
      <c r="D88" s="30" t="s">
        <v>17</v>
      </c>
      <c r="E88" s="30" t="s">
        <v>26</v>
      </c>
      <c r="F88" s="30" t="s">
        <v>27</v>
      </c>
      <c r="G88" s="30" t="s">
        <v>20</v>
      </c>
      <c r="H88" s="32">
        <v>48</v>
      </c>
      <c r="I88" s="30" t="s">
        <v>21</v>
      </c>
      <c r="J88" s="41">
        <v>44154</v>
      </c>
      <c r="K88" s="30" t="s">
        <v>22</v>
      </c>
    </row>
    <row r="89" spans="1:11">
      <c r="A89" s="33" t="s">
        <v>285</v>
      </c>
      <c r="B89" s="33" t="s">
        <v>286</v>
      </c>
      <c r="C89" s="33" t="s">
        <v>287</v>
      </c>
      <c r="D89" s="33" t="s">
        <v>17</v>
      </c>
      <c r="E89" s="33" t="s">
        <v>212</v>
      </c>
      <c r="F89" s="33" t="s">
        <v>213</v>
      </c>
      <c r="G89" s="33" t="s">
        <v>20</v>
      </c>
      <c r="H89" s="35">
        <v>216</v>
      </c>
      <c r="I89" s="33" t="s">
        <v>21</v>
      </c>
      <c r="J89" s="42">
        <v>44179</v>
      </c>
      <c r="K89" s="33" t="s">
        <v>22</v>
      </c>
    </row>
    <row r="90" spans="1:11">
      <c r="A90" s="30" t="s">
        <v>288</v>
      </c>
      <c r="B90" s="30" t="s">
        <v>289</v>
      </c>
      <c r="C90" s="30" t="s">
        <v>136</v>
      </c>
      <c r="D90" s="30" t="s">
        <v>17</v>
      </c>
      <c r="E90" s="30" t="s">
        <v>26</v>
      </c>
      <c r="F90" s="30" t="s">
        <v>27</v>
      </c>
      <c r="G90" s="30" t="s">
        <v>20</v>
      </c>
      <c r="H90" s="32">
        <v>114</v>
      </c>
      <c r="I90" s="30" t="s">
        <v>21</v>
      </c>
      <c r="J90" s="41">
        <v>44067</v>
      </c>
      <c r="K90" s="30" t="s">
        <v>22</v>
      </c>
    </row>
    <row r="91" spans="1:11">
      <c r="A91" s="33" t="s">
        <v>290</v>
      </c>
      <c r="B91" s="33" t="s">
        <v>291</v>
      </c>
      <c r="C91" s="33" t="s">
        <v>292</v>
      </c>
      <c r="D91" s="33" t="s">
        <v>17</v>
      </c>
      <c r="E91" s="33" t="s">
        <v>212</v>
      </c>
      <c r="F91" s="33" t="s">
        <v>213</v>
      </c>
      <c r="G91" s="33" t="s">
        <v>20</v>
      </c>
      <c r="H91" s="35">
        <v>90</v>
      </c>
      <c r="I91" s="33" t="s">
        <v>21</v>
      </c>
      <c r="J91" s="42">
        <v>43941</v>
      </c>
      <c r="K91" s="33" t="s">
        <v>22</v>
      </c>
    </row>
    <row r="92" spans="1:11">
      <c r="A92" s="30" t="s">
        <v>293</v>
      </c>
      <c r="B92" s="30" t="s">
        <v>294</v>
      </c>
      <c r="C92" s="30" t="s">
        <v>109</v>
      </c>
      <c r="D92" s="30" t="s">
        <v>17</v>
      </c>
      <c r="E92" s="30" t="s">
        <v>18</v>
      </c>
      <c r="F92" s="30" t="s">
        <v>19</v>
      </c>
      <c r="G92" s="30" t="s">
        <v>20</v>
      </c>
      <c r="H92" s="32">
        <v>248</v>
      </c>
      <c r="I92" s="30" t="s">
        <v>21</v>
      </c>
      <c r="J92" s="41">
        <v>44181</v>
      </c>
      <c r="K92" s="30" t="s">
        <v>22</v>
      </c>
    </row>
    <row r="93" spans="1:11">
      <c r="A93" s="33" t="s">
        <v>295</v>
      </c>
      <c r="B93" s="33" t="s">
        <v>296</v>
      </c>
      <c r="C93" s="33" t="s">
        <v>297</v>
      </c>
      <c r="D93" s="33" t="s">
        <v>17</v>
      </c>
      <c r="E93" s="33" t="s">
        <v>31</v>
      </c>
      <c r="F93" s="33" t="s">
        <v>32</v>
      </c>
      <c r="G93" s="33" t="s">
        <v>20</v>
      </c>
      <c r="H93" s="35">
        <v>87</v>
      </c>
      <c r="I93" s="33" t="s">
        <v>21</v>
      </c>
      <c r="J93" s="42">
        <v>44166</v>
      </c>
      <c r="K93" s="33" t="s">
        <v>22</v>
      </c>
    </row>
    <row r="94" spans="1:11">
      <c r="A94" s="30" t="s">
        <v>298</v>
      </c>
      <c r="B94" s="30" t="s">
        <v>299</v>
      </c>
      <c r="C94" s="30" t="s">
        <v>300</v>
      </c>
      <c r="D94" s="30" t="s">
        <v>17</v>
      </c>
      <c r="E94" s="30" t="s">
        <v>31</v>
      </c>
      <c r="F94" s="30" t="s">
        <v>32</v>
      </c>
      <c r="G94" s="30" t="s">
        <v>20</v>
      </c>
      <c r="H94" s="32">
        <v>275</v>
      </c>
      <c r="I94" s="30" t="s">
        <v>21</v>
      </c>
      <c r="J94" s="41">
        <v>44116</v>
      </c>
      <c r="K94" s="30" t="s">
        <v>22</v>
      </c>
    </row>
    <row r="95" spans="1:11">
      <c r="A95" s="33" t="s">
        <v>301</v>
      </c>
      <c r="B95" s="33" t="s">
        <v>302</v>
      </c>
      <c r="C95" s="33" t="s">
        <v>190</v>
      </c>
      <c r="D95" s="33" t="s">
        <v>17</v>
      </c>
      <c r="E95" s="33" t="s">
        <v>26</v>
      </c>
      <c r="F95" s="33" t="s">
        <v>27</v>
      </c>
      <c r="G95" s="33" t="s">
        <v>20</v>
      </c>
      <c r="H95" s="35">
        <v>8</v>
      </c>
      <c r="I95" s="33" t="s">
        <v>21</v>
      </c>
      <c r="J95" s="42">
        <v>44148</v>
      </c>
      <c r="K95" s="33" t="s">
        <v>22</v>
      </c>
    </row>
    <row r="96" spans="1:11">
      <c r="A96" s="30" t="s">
        <v>303</v>
      </c>
      <c r="B96" s="30" t="s">
        <v>304</v>
      </c>
      <c r="C96" s="30" t="s">
        <v>96</v>
      </c>
      <c r="D96" s="30" t="s">
        <v>17</v>
      </c>
      <c r="E96" s="30" t="s">
        <v>31</v>
      </c>
      <c r="F96" s="30" t="s">
        <v>32</v>
      </c>
      <c r="G96" s="30" t="s">
        <v>112</v>
      </c>
      <c r="H96" s="32">
        <v>0</v>
      </c>
      <c r="I96" s="30" t="s">
        <v>21</v>
      </c>
      <c r="J96" s="41">
        <v>44018</v>
      </c>
      <c r="K96" s="30" t="s">
        <v>22</v>
      </c>
    </row>
    <row r="97" spans="1:11">
      <c r="A97" s="33" t="s">
        <v>305</v>
      </c>
      <c r="B97" s="33" t="s">
        <v>306</v>
      </c>
      <c r="C97" s="33" t="s">
        <v>307</v>
      </c>
      <c r="D97" s="33" t="s">
        <v>17</v>
      </c>
      <c r="E97" s="33" t="s">
        <v>26</v>
      </c>
      <c r="F97" s="33" t="s">
        <v>27</v>
      </c>
      <c r="G97" s="33" t="s">
        <v>20</v>
      </c>
      <c r="H97" s="35">
        <v>36</v>
      </c>
      <c r="I97" s="33" t="s">
        <v>21</v>
      </c>
      <c r="J97" s="42">
        <v>43888</v>
      </c>
      <c r="K97" s="33" t="s">
        <v>22</v>
      </c>
    </row>
    <row r="98" spans="1:11">
      <c r="A98" s="30" t="s">
        <v>308</v>
      </c>
      <c r="B98" s="30" t="s">
        <v>309</v>
      </c>
      <c r="C98" s="30" t="s">
        <v>310</v>
      </c>
      <c r="D98" s="30" t="s">
        <v>17</v>
      </c>
      <c r="E98" s="30" t="s">
        <v>26</v>
      </c>
      <c r="F98" s="30" t="s">
        <v>27</v>
      </c>
      <c r="G98" s="30" t="s">
        <v>20</v>
      </c>
      <c r="H98" s="32">
        <v>46</v>
      </c>
      <c r="I98" s="30" t="s">
        <v>21</v>
      </c>
      <c r="J98" s="41">
        <v>44120</v>
      </c>
      <c r="K98" s="30" t="s">
        <v>22</v>
      </c>
    </row>
    <row r="99" spans="1:11">
      <c r="A99" s="33" t="s">
        <v>311</v>
      </c>
      <c r="B99" s="33" t="s">
        <v>312</v>
      </c>
      <c r="C99" s="33" t="s">
        <v>313</v>
      </c>
      <c r="D99" s="33" t="s">
        <v>17</v>
      </c>
      <c r="E99" s="33" t="s">
        <v>45</v>
      </c>
      <c r="F99" s="33" t="s">
        <v>46</v>
      </c>
      <c r="G99" s="33" t="s">
        <v>106</v>
      </c>
      <c r="H99" s="35">
        <v>357</v>
      </c>
      <c r="I99" s="33" t="s">
        <v>21</v>
      </c>
      <c r="J99" s="42">
        <v>44007</v>
      </c>
      <c r="K99" s="33" t="s">
        <v>22</v>
      </c>
    </row>
    <row r="100" spans="1:11">
      <c r="A100" s="30" t="s">
        <v>314</v>
      </c>
      <c r="B100" s="30" t="s">
        <v>315</v>
      </c>
      <c r="C100" s="30" t="s">
        <v>96</v>
      </c>
      <c r="D100" s="30" t="s">
        <v>17</v>
      </c>
      <c r="E100" s="30" t="s">
        <v>26</v>
      </c>
      <c r="F100" s="30" t="s">
        <v>27</v>
      </c>
      <c r="G100" s="30" t="s">
        <v>106</v>
      </c>
      <c r="H100" s="32">
        <v>88</v>
      </c>
      <c r="I100" s="30" t="s">
        <v>21</v>
      </c>
      <c r="J100" s="41">
        <v>44098</v>
      </c>
      <c r="K100" s="30" t="s">
        <v>22</v>
      </c>
    </row>
    <row r="101" spans="1:11">
      <c r="A101" s="33" t="s">
        <v>316</v>
      </c>
      <c r="B101" s="33" t="s">
        <v>317</v>
      </c>
      <c r="C101" s="33" t="s">
        <v>318</v>
      </c>
      <c r="D101" s="33" t="s">
        <v>17</v>
      </c>
      <c r="E101" s="33" t="s">
        <v>26</v>
      </c>
      <c r="F101" s="33" t="s">
        <v>27</v>
      </c>
      <c r="G101" s="33" t="s">
        <v>20</v>
      </c>
      <c r="H101" s="35">
        <v>8</v>
      </c>
      <c r="I101" s="33" t="s">
        <v>21</v>
      </c>
      <c r="J101" s="42">
        <v>43901</v>
      </c>
      <c r="K101" s="33" t="s">
        <v>22</v>
      </c>
    </row>
    <row r="102" spans="1:11">
      <c r="A102" s="30" t="s">
        <v>319</v>
      </c>
      <c r="B102" s="30" t="s">
        <v>320</v>
      </c>
      <c r="C102" s="30" t="s">
        <v>321</v>
      </c>
      <c r="D102" s="30" t="s">
        <v>17</v>
      </c>
      <c r="E102" s="30" t="s">
        <v>26</v>
      </c>
      <c r="F102" s="30" t="s">
        <v>27</v>
      </c>
      <c r="G102" s="30" t="s">
        <v>20</v>
      </c>
      <c r="H102" s="32">
        <v>24</v>
      </c>
      <c r="I102" s="30" t="s">
        <v>21</v>
      </c>
      <c r="J102" s="41">
        <v>44034</v>
      </c>
      <c r="K102" s="30" t="s">
        <v>22</v>
      </c>
    </row>
    <row r="103" spans="1:11">
      <c r="A103" s="33" t="s">
        <v>322</v>
      </c>
      <c r="B103" s="33" t="s">
        <v>323</v>
      </c>
      <c r="C103" s="33" t="s">
        <v>102</v>
      </c>
      <c r="D103" s="33" t="s">
        <v>17</v>
      </c>
      <c r="E103" s="33" t="s">
        <v>26</v>
      </c>
      <c r="F103" s="33" t="s">
        <v>27</v>
      </c>
      <c r="G103" s="33" t="s">
        <v>20</v>
      </c>
      <c r="H103" s="35">
        <v>36</v>
      </c>
      <c r="I103" s="33" t="s">
        <v>21</v>
      </c>
      <c r="J103" s="42">
        <v>44076</v>
      </c>
      <c r="K103" s="33" t="s">
        <v>22</v>
      </c>
    </row>
    <row r="104" spans="1:11">
      <c r="A104" s="30" t="s">
        <v>324</v>
      </c>
      <c r="B104" s="30" t="s">
        <v>325</v>
      </c>
      <c r="C104" s="30" t="s">
        <v>326</v>
      </c>
      <c r="D104" s="30" t="s">
        <v>17</v>
      </c>
      <c r="E104" s="30" t="s">
        <v>45</v>
      </c>
      <c r="F104" s="30" t="s">
        <v>46</v>
      </c>
      <c r="G104" s="30" t="s">
        <v>106</v>
      </c>
      <c r="H104" s="32">
        <v>35</v>
      </c>
      <c r="I104" s="30" t="s">
        <v>21</v>
      </c>
      <c r="J104" s="41">
        <v>44174</v>
      </c>
      <c r="K104" s="30" t="s">
        <v>22</v>
      </c>
    </row>
    <row r="105" spans="1:11">
      <c r="A105" s="33" t="s">
        <v>327</v>
      </c>
      <c r="B105" s="33" t="s">
        <v>328</v>
      </c>
      <c r="C105" s="33" t="s">
        <v>329</v>
      </c>
      <c r="D105" s="33" t="s">
        <v>17</v>
      </c>
      <c r="E105" s="33" t="s">
        <v>330</v>
      </c>
      <c r="F105" s="33" t="s">
        <v>331</v>
      </c>
      <c r="G105" s="33" t="s">
        <v>20</v>
      </c>
      <c r="H105" s="35">
        <v>120</v>
      </c>
      <c r="I105" s="33" t="s">
        <v>21</v>
      </c>
      <c r="J105" s="42">
        <v>43931</v>
      </c>
      <c r="K105" s="33" t="s">
        <v>22</v>
      </c>
    </row>
    <row r="106" spans="1:11">
      <c r="A106" s="30" t="s">
        <v>332</v>
      </c>
      <c r="B106" s="30" t="s">
        <v>333</v>
      </c>
      <c r="C106" s="30" t="s">
        <v>334</v>
      </c>
      <c r="D106" s="30" t="s">
        <v>17</v>
      </c>
      <c r="E106" s="30" t="s">
        <v>26</v>
      </c>
      <c r="F106" s="30" t="s">
        <v>27</v>
      </c>
      <c r="G106" s="30" t="s">
        <v>106</v>
      </c>
      <c r="H106" s="32">
        <v>72</v>
      </c>
      <c r="I106" s="30" t="s">
        <v>21</v>
      </c>
      <c r="J106" s="41">
        <v>44119</v>
      </c>
      <c r="K106" s="30" t="s">
        <v>22</v>
      </c>
    </row>
    <row r="107" spans="1:11">
      <c r="A107" s="33" t="s">
        <v>335</v>
      </c>
      <c r="B107" s="33" t="s">
        <v>336</v>
      </c>
      <c r="C107" s="33" t="s">
        <v>337</v>
      </c>
      <c r="D107" s="33" t="s">
        <v>17</v>
      </c>
      <c r="E107" s="33" t="s">
        <v>18</v>
      </c>
      <c r="F107" s="33" t="s">
        <v>19</v>
      </c>
      <c r="G107" s="33" t="s">
        <v>20</v>
      </c>
      <c r="H107" s="35">
        <v>143</v>
      </c>
      <c r="I107" s="33" t="s">
        <v>21</v>
      </c>
      <c r="J107" s="42">
        <v>43860</v>
      </c>
      <c r="K107" s="33" t="s">
        <v>22</v>
      </c>
    </row>
    <row r="108" spans="1:11">
      <c r="A108" s="30" t="s">
        <v>338</v>
      </c>
      <c r="B108" s="30" t="s">
        <v>339</v>
      </c>
      <c r="C108" s="30" t="s">
        <v>340</v>
      </c>
      <c r="D108" s="30" t="s">
        <v>17</v>
      </c>
      <c r="E108" s="30" t="s">
        <v>67</v>
      </c>
      <c r="F108" s="30" t="s">
        <v>68</v>
      </c>
      <c r="G108" s="30" t="s">
        <v>140</v>
      </c>
      <c r="H108" s="32">
        <v>50</v>
      </c>
      <c r="I108" s="30" t="s">
        <v>51</v>
      </c>
      <c r="J108" s="41">
        <v>44110</v>
      </c>
      <c r="K108" s="30" t="s">
        <v>22</v>
      </c>
    </row>
    <row r="109" spans="1:11">
      <c r="A109" s="33" t="s">
        <v>341</v>
      </c>
      <c r="B109" s="33" t="s">
        <v>342</v>
      </c>
      <c r="C109" s="33" t="s">
        <v>343</v>
      </c>
      <c r="D109" s="33" t="s">
        <v>17</v>
      </c>
      <c r="E109" s="33" t="s">
        <v>18</v>
      </c>
      <c r="F109" s="33" t="s">
        <v>19</v>
      </c>
      <c r="G109" s="33" t="s">
        <v>20</v>
      </c>
      <c r="H109" s="35">
        <v>520</v>
      </c>
      <c r="I109" s="33" t="s">
        <v>21</v>
      </c>
      <c r="J109" s="42">
        <v>44105</v>
      </c>
      <c r="K109" s="33" t="s">
        <v>22</v>
      </c>
    </row>
    <row r="110" spans="1:11">
      <c r="A110" s="30" t="s">
        <v>344</v>
      </c>
      <c r="B110" s="30" t="s">
        <v>345</v>
      </c>
      <c r="C110" s="30" t="s">
        <v>346</v>
      </c>
      <c r="D110" s="30" t="s">
        <v>17</v>
      </c>
      <c r="E110" s="30" t="s">
        <v>26</v>
      </c>
      <c r="F110" s="30" t="s">
        <v>27</v>
      </c>
      <c r="G110" s="30" t="s">
        <v>140</v>
      </c>
      <c r="H110" s="32">
        <v>260</v>
      </c>
      <c r="I110" s="30" t="s">
        <v>51</v>
      </c>
      <c r="J110" s="41">
        <v>44179</v>
      </c>
      <c r="K110" s="30" t="s">
        <v>22</v>
      </c>
    </row>
    <row r="111" spans="1:11">
      <c r="A111" s="33" t="s">
        <v>347</v>
      </c>
      <c r="B111" s="33" t="s">
        <v>348</v>
      </c>
      <c r="C111" s="33" t="s">
        <v>178</v>
      </c>
      <c r="D111" s="33" t="s">
        <v>17</v>
      </c>
      <c r="E111" s="33" t="s">
        <v>45</v>
      </c>
      <c r="F111" s="33" t="s">
        <v>46</v>
      </c>
      <c r="G111" s="33" t="s">
        <v>20</v>
      </c>
      <c r="H111" s="35">
        <v>542</v>
      </c>
      <c r="I111" s="33" t="s">
        <v>21</v>
      </c>
      <c r="J111" s="42">
        <v>44180</v>
      </c>
      <c r="K111" s="33" t="s">
        <v>22</v>
      </c>
    </row>
    <row r="112" spans="1:11">
      <c r="A112" s="30" t="s">
        <v>349</v>
      </c>
      <c r="B112" s="30" t="s">
        <v>350</v>
      </c>
      <c r="C112" s="30" t="s">
        <v>149</v>
      </c>
      <c r="D112" s="30" t="s">
        <v>17</v>
      </c>
      <c r="E112" s="30" t="s">
        <v>31</v>
      </c>
      <c r="F112" s="30" t="s">
        <v>32</v>
      </c>
      <c r="G112" s="30" t="s">
        <v>50</v>
      </c>
      <c r="H112" s="32">
        <v>107</v>
      </c>
      <c r="I112" s="30" t="s">
        <v>21</v>
      </c>
      <c r="J112" s="41">
        <v>44145</v>
      </c>
      <c r="K112" s="30" t="s">
        <v>22</v>
      </c>
    </row>
    <row r="113" spans="1:11">
      <c r="A113" s="33" t="s">
        <v>351</v>
      </c>
      <c r="B113" s="33" t="s">
        <v>352</v>
      </c>
      <c r="C113" s="33" t="s">
        <v>353</v>
      </c>
      <c r="D113" s="33" t="s">
        <v>17</v>
      </c>
      <c r="E113" s="33" t="s">
        <v>26</v>
      </c>
      <c r="F113" s="33" t="s">
        <v>27</v>
      </c>
      <c r="G113" s="33" t="s">
        <v>50</v>
      </c>
      <c r="H113" s="35">
        <v>30</v>
      </c>
      <c r="I113" s="33" t="s">
        <v>51</v>
      </c>
      <c r="J113" s="42">
        <v>44166</v>
      </c>
      <c r="K113" s="33" t="s">
        <v>22</v>
      </c>
    </row>
    <row r="114" spans="1:11">
      <c r="A114" s="30" t="s">
        <v>354</v>
      </c>
      <c r="B114" s="30" t="s">
        <v>355</v>
      </c>
      <c r="C114" s="30" t="s">
        <v>356</v>
      </c>
      <c r="D114" s="30" t="s">
        <v>17</v>
      </c>
      <c r="E114" s="30" t="s">
        <v>26</v>
      </c>
      <c r="F114" s="30" t="s">
        <v>27</v>
      </c>
      <c r="G114" s="30" t="s">
        <v>50</v>
      </c>
      <c r="H114" s="32">
        <v>56</v>
      </c>
      <c r="I114" s="30" t="s">
        <v>51</v>
      </c>
      <c r="J114" s="41">
        <v>44058</v>
      </c>
      <c r="K114" s="30" t="s">
        <v>22</v>
      </c>
    </row>
    <row r="115" spans="1:11">
      <c r="A115" s="33" t="s">
        <v>357</v>
      </c>
      <c r="B115" s="33" t="s">
        <v>358</v>
      </c>
      <c r="C115" s="33" t="s">
        <v>359</v>
      </c>
      <c r="D115" s="33" t="s">
        <v>17</v>
      </c>
      <c r="E115" s="33" t="s">
        <v>67</v>
      </c>
      <c r="F115" s="33" t="s">
        <v>68</v>
      </c>
      <c r="G115" s="33" t="s">
        <v>140</v>
      </c>
      <c r="H115" s="35">
        <v>70</v>
      </c>
      <c r="I115" s="33" t="s">
        <v>51</v>
      </c>
      <c r="J115" s="42">
        <v>44137</v>
      </c>
      <c r="K115" s="33" t="s">
        <v>22</v>
      </c>
    </row>
    <row r="116" spans="1:11">
      <c r="A116" s="30" t="s">
        <v>360</v>
      </c>
      <c r="B116" s="30" t="s">
        <v>361</v>
      </c>
      <c r="C116" s="30" t="s">
        <v>362</v>
      </c>
      <c r="D116" s="30" t="s">
        <v>17</v>
      </c>
      <c r="E116" s="30" t="s">
        <v>26</v>
      </c>
      <c r="F116" s="30" t="s">
        <v>27</v>
      </c>
      <c r="G116" s="30" t="s">
        <v>106</v>
      </c>
      <c r="H116" s="32">
        <v>11</v>
      </c>
      <c r="I116" s="30" t="s">
        <v>21</v>
      </c>
      <c r="J116" s="41">
        <v>44193</v>
      </c>
      <c r="K116" s="30" t="s">
        <v>22</v>
      </c>
    </row>
    <row r="117" spans="1:11">
      <c r="A117" s="33" t="s">
        <v>363</v>
      </c>
      <c r="B117" s="33" t="s">
        <v>364</v>
      </c>
      <c r="C117" s="33" t="s">
        <v>365</v>
      </c>
      <c r="D117" s="33" t="s">
        <v>17</v>
      </c>
      <c r="E117" s="33" t="s">
        <v>212</v>
      </c>
      <c r="F117" s="33" t="s">
        <v>213</v>
      </c>
      <c r="G117" s="33" t="s">
        <v>20</v>
      </c>
      <c r="H117" s="35">
        <v>32</v>
      </c>
      <c r="I117" s="33" t="s">
        <v>21</v>
      </c>
      <c r="J117" s="42">
        <v>44158</v>
      </c>
      <c r="K117" s="33" t="s">
        <v>22</v>
      </c>
    </row>
    <row r="118" spans="1:11">
      <c r="A118" s="30" t="s">
        <v>366</v>
      </c>
      <c r="B118" s="30" t="s">
        <v>367</v>
      </c>
      <c r="C118" s="30" t="s">
        <v>368</v>
      </c>
      <c r="D118" s="30" t="s">
        <v>17</v>
      </c>
      <c r="E118" s="30" t="s">
        <v>26</v>
      </c>
      <c r="F118" s="30" t="s">
        <v>27</v>
      </c>
      <c r="G118" s="30" t="s">
        <v>20</v>
      </c>
      <c r="H118" s="32">
        <v>48</v>
      </c>
      <c r="I118" s="30" t="s">
        <v>21</v>
      </c>
      <c r="J118" s="41">
        <v>44044</v>
      </c>
      <c r="K118" s="30" t="s">
        <v>22</v>
      </c>
    </row>
    <row r="119" spans="1:11">
      <c r="A119" s="33" t="s">
        <v>369</v>
      </c>
      <c r="B119" s="33" t="s">
        <v>370</v>
      </c>
      <c r="C119" s="33" t="s">
        <v>371</v>
      </c>
      <c r="D119" s="33" t="s">
        <v>17</v>
      </c>
      <c r="E119" s="33" t="s">
        <v>31</v>
      </c>
      <c r="F119" s="33" t="s">
        <v>32</v>
      </c>
      <c r="G119" s="33" t="s">
        <v>112</v>
      </c>
      <c r="H119" s="35">
        <v>0</v>
      </c>
      <c r="I119" s="33" t="s">
        <v>21</v>
      </c>
      <c r="J119" s="42">
        <v>44013</v>
      </c>
      <c r="K119" s="33" t="s">
        <v>22</v>
      </c>
    </row>
    <row r="120" spans="1:11">
      <c r="A120" s="30" t="s">
        <v>372</v>
      </c>
      <c r="B120" s="30" t="s">
        <v>373</v>
      </c>
      <c r="C120" s="30" t="s">
        <v>374</v>
      </c>
      <c r="D120" s="30" t="s">
        <v>17</v>
      </c>
      <c r="E120" s="30" t="s">
        <v>26</v>
      </c>
      <c r="F120" s="30" t="s">
        <v>27</v>
      </c>
      <c r="G120" s="30" t="s">
        <v>20</v>
      </c>
      <c r="H120" s="32">
        <v>86</v>
      </c>
      <c r="I120" s="30" t="s">
        <v>21</v>
      </c>
      <c r="J120" s="41">
        <v>43928</v>
      </c>
      <c r="K120" s="30" t="s">
        <v>22</v>
      </c>
    </row>
    <row r="121" spans="1:11">
      <c r="A121" s="33" t="s">
        <v>375</v>
      </c>
      <c r="B121" s="33" t="s">
        <v>376</v>
      </c>
      <c r="C121" s="33" t="s">
        <v>118</v>
      </c>
      <c r="D121" s="33" t="s">
        <v>17</v>
      </c>
      <c r="E121" s="33" t="s">
        <v>31</v>
      </c>
      <c r="F121" s="33" t="s">
        <v>32</v>
      </c>
      <c r="G121" s="33" t="s">
        <v>20</v>
      </c>
      <c r="H121" s="35">
        <v>1601</v>
      </c>
      <c r="I121" s="33" t="s">
        <v>21</v>
      </c>
      <c r="J121" s="42">
        <v>43999</v>
      </c>
      <c r="K121" s="33" t="s">
        <v>22</v>
      </c>
    </row>
    <row r="122" spans="1:11">
      <c r="A122" s="30" t="s">
        <v>377</v>
      </c>
      <c r="B122" s="30" t="s">
        <v>378</v>
      </c>
      <c r="C122" s="30" t="s">
        <v>379</v>
      </c>
      <c r="D122" s="30" t="s">
        <v>17</v>
      </c>
      <c r="E122" s="30" t="s">
        <v>31</v>
      </c>
      <c r="F122" s="30" t="s">
        <v>32</v>
      </c>
      <c r="G122" s="30" t="s">
        <v>50</v>
      </c>
      <c r="H122" s="32">
        <v>21</v>
      </c>
      <c r="I122" s="30" t="s">
        <v>51</v>
      </c>
      <c r="J122" s="41">
        <v>43900</v>
      </c>
      <c r="K122" s="30" t="s">
        <v>22</v>
      </c>
    </row>
    <row r="123" spans="1:11">
      <c r="A123" s="33" t="s">
        <v>380</v>
      </c>
      <c r="B123" s="33" t="s">
        <v>381</v>
      </c>
      <c r="C123" s="33" t="s">
        <v>382</v>
      </c>
      <c r="D123" s="33" t="s">
        <v>17</v>
      </c>
      <c r="E123" s="33" t="s">
        <v>31</v>
      </c>
      <c r="F123" s="33" t="s">
        <v>32</v>
      </c>
      <c r="G123" s="33" t="s">
        <v>106</v>
      </c>
      <c r="H123" s="35">
        <v>48</v>
      </c>
      <c r="I123" s="33" t="s">
        <v>21</v>
      </c>
      <c r="J123" s="42">
        <v>44114</v>
      </c>
      <c r="K123" s="33" t="s">
        <v>22</v>
      </c>
    </row>
    <row r="124" spans="1:11">
      <c r="A124" s="30" t="s">
        <v>383</v>
      </c>
      <c r="B124" s="30" t="s">
        <v>384</v>
      </c>
      <c r="C124" s="30" t="s">
        <v>190</v>
      </c>
      <c r="D124" s="30" t="s">
        <v>17</v>
      </c>
      <c r="E124" s="30" t="s">
        <v>31</v>
      </c>
      <c r="F124" s="30" t="s">
        <v>32</v>
      </c>
      <c r="G124" s="30" t="s">
        <v>158</v>
      </c>
      <c r="H124" s="32">
        <v>30</v>
      </c>
      <c r="I124" s="30" t="s">
        <v>21</v>
      </c>
      <c r="J124" s="41">
        <v>44102</v>
      </c>
      <c r="K124" s="30" t="s">
        <v>22</v>
      </c>
    </row>
    <row r="125" spans="1:11">
      <c r="A125" s="33" t="s">
        <v>385</v>
      </c>
      <c r="B125" s="33" t="s">
        <v>386</v>
      </c>
      <c r="C125" s="33" t="s">
        <v>387</v>
      </c>
      <c r="D125" s="33" t="s">
        <v>17</v>
      </c>
      <c r="E125" s="33" t="s">
        <v>212</v>
      </c>
      <c r="F125" s="33" t="s">
        <v>213</v>
      </c>
      <c r="G125" s="33" t="s">
        <v>20</v>
      </c>
      <c r="H125" s="35">
        <v>400</v>
      </c>
      <c r="I125" s="33" t="s">
        <v>21</v>
      </c>
      <c r="J125" s="42">
        <v>43881</v>
      </c>
      <c r="K125" s="33" t="s">
        <v>22</v>
      </c>
    </row>
    <row r="126" spans="1:11">
      <c r="A126" s="30" t="s">
        <v>388</v>
      </c>
      <c r="B126" s="30" t="s">
        <v>389</v>
      </c>
      <c r="C126" s="30" t="s">
        <v>362</v>
      </c>
      <c r="D126" s="30" t="s">
        <v>17</v>
      </c>
      <c r="E126" s="30" t="s">
        <v>26</v>
      </c>
      <c r="F126" s="30" t="s">
        <v>27</v>
      </c>
      <c r="G126" s="30" t="s">
        <v>20</v>
      </c>
      <c r="H126" s="32">
        <v>30</v>
      </c>
      <c r="I126" s="30" t="s">
        <v>21</v>
      </c>
      <c r="J126" s="41">
        <v>44123</v>
      </c>
      <c r="K126" s="30" t="s">
        <v>22</v>
      </c>
    </row>
    <row r="127" spans="1:11">
      <c r="A127" s="33" t="s">
        <v>390</v>
      </c>
      <c r="B127" s="33" t="s">
        <v>391</v>
      </c>
      <c r="C127" s="33" t="s">
        <v>57</v>
      </c>
      <c r="D127" s="33" t="s">
        <v>17</v>
      </c>
      <c r="E127" s="33" t="s">
        <v>18</v>
      </c>
      <c r="F127" s="33" t="s">
        <v>19</v>
      </c>
      <c r="G127" s="33" t="s">
        <v>50</v>
      </c>
      <c r="H127" s="35">
        <v>406</v>
      </c>
      <c r="I127" s="33" t="s">
        <v>51</v>
      </c>
      <c r="J127" s="42">
        <v>44014</v>
      </c>
      <c r="K127" s="33" t="s">
        <v>22</v>
      </c>
    </row>
    <row r="128" spans="1:11">
      <c r="A128" s="30" t="s">
        <v>392</v>
      </c>
      <c r="B128" s="30" t="s">
        <v>393</v>
      </c>
      <c r="C128" s="30" t="s">
        <v>203</v>
      </c>
      <c r="D128" s="30" t="s">
        <v>17</v>
      </c>
      <c r="E128" s="30" t="s">
        <v>212</v>
      </c>
      <c r="F128" s="30" t="s">
        <v>213</v>
      </c>
      <c r="G128" s="30" t="s">
        <v>20</v>
      </c>
      <c r="H128" s="32">
        <v>82</v>
      </c>
      <c r="I128" s="30" t="s">
        <v>21</v>
      </c>
      <c r="J128" s="41">
        <v>43971</v>
      </c>
      <c r="K128" s="30" t="s">
        <v>22</v>
      </c>
    </row>
    <row r="129" spans="1:11">
      <c r="A129" s="33" t="s">
        <v>394</v>
      </c>
      <c r="B129" s="33" t="s">
        <v>395</v>
      </c>
      <c r="C129" s="33" t="s">
        <v>396</v>
      </c>
      <c r="D129" s="33" t="s">
        <v>17</v>
      </c>
      <c r="E129" s="33" t="s">
        <v>26</v>
      </c>
      <c r="F129" s="33" t="s">
        <v>27</v>
      </c>
      <c r="G129" s="33" t="s">
        <v>20</v>
      </c>
      <c r="H129" s="35">
        <v>32</v>
      </c>
      <c r="I129" s="33" t="s">
        <v>21</v>
      </c>
      <c r="J129" s="42">
        <v>44001</v>
      </c>
      <c r="K129" s="33" t="s">
        <v>22</v>
      </c>
    </row>
    <row r="130" spans="1:11">
      <c r="A130" s="30" t="s">
        <v>397</v>
      </c>
      <c r="B130" s="30" t="s">
        <v>398</v>
      </c>
      <c r="C130" s="30" t="s">
        <v>399</v>
      </c>
      <c r="D130" s="30" t="s">
        <v>17</v>
      </c>
      <c r="E130" s="30" t="s">
        <v>26</v>
      </c>
      <c r="F130" s="30" t="s">
        <v>27</v>
      </c>
      <c r="G130" s="30" t="s">
        <v>20</v>
      </c>
      <c r="H130" s="32">
        <v>16</v>
      </c>
      <c r="I130" s="30" t="s">
        <v>21</v>
      </c>
      <c r="J130" s="41">
        <v>43879</v>
      </c>
      <c r="K130" s="30" t="s">
        <v>22</v>
      </c>
    </row>
    <row r="131" spans="1:11">
      <c r="A131" s="33" t="s">
        <v>400</v>
      </c>
      <c r="B131" s="33" t="s">
        <v>401</v>
      </c>
      <c r="C131" s="33" t="s">
        <v>402</v>
      </c>
      <c r="D131" s="33" t="s">
        <v>17</v>
      </c>
      <c r="E131" s="33" t="s">
        <v>26</v>
      </c>
      <c r="F131" s="33" t="s">
        <v>27</v>
      </c>
      <c r="G131" s="33" t="s">
        <v>20</v>
      </c>
      <c r="H131" s="35">
        <v>126</v>
      </c>
      <c r="I131" s="33" t="s">
        <v>21</v>
      </c>
      <c r="J131" s="42">
        <v>43880</v>
      </c>
      <c r="K131" s="33" t="s">
        <v>22</v>
      </c>
    </row>
    <row r="132" spans="1:11">
      <c r="A132" s="30" t="s">
        <v>403</v>
      </c>
      <c r="B132" s="30" t="s">
        <v>404</v>
      </c>
      <c r="C132" s="30" t="s">
        <v>334</v>
      </c>
      <c r="D132" s="30" t="s">
        <v>17</v>
      </c>
      <c r="E132" s="30" t="s">
        <v>26</v>
      </c>
      <c r="F132" s="30" t="s">
        <v>27</v>
      </c>
      <c r="G132" s="30" t="s">
        <v>20</v>
      </c>
      <c r="H132" s="32">
        <v>54</v>
      </c>
      <c r="I132" s="30" t="s">
        <v>21</v>
      </c>
      <c r="J132" s="41">
        <v>43944</v>
      </c>
      <c r="K132" s="30" t="s">
        <v>22</v>
      </c>
    </row>
    <row r="133" spans="1:11">
      <c r="A133" s="33" t="s">
        <v>405</v>
      </c>
      <c r="B133" s="33" t="s">
        <v>406</v>
      </c>
      <c r="C133" s="33" t="s">
        <v>407</v>
      </c>
      <c r="D133" s="33" t="s">
        <v>17</v>
      </c>
      <c r="E133" s="33" t="s">
        <v>26</v>
      </c>
      <c r="F133" s="33" t="s">
        <v>27</v>
      </c>
      <c r="G133" s="33" t="s">
        <v>20</v>
      </c>
      <c r="H133" s="35">
        <v>112</v>
      </c>
      <c r="I133" s="33" t="s">
        <v>21</v>
      </c>
      <c r="J133" s="42">
        <v>43906</v>
      </c>
      <c r="K133" s="33" t="s">
        <v>22</v>
      </c>
    </row>
    <row r="134" spans="1:11">
      <c r="A134" s="30" t="s">
        <v>408</v>
      </c>
      <c r="B134" s="30" t="s">
        <v>409</v>
      </c>
      <c r="C134" s="30" t="s">
        <v>410</v>
      </c>
      <c r="D134" s="30" t="s">
        <v>17</v>
      </c>
      <c r="E134" s="30" t="s">
        <v>26</v>
      </c>
      <c r="F134" s="30" t="s">
        <v>27</v>
      </c>
      <c r="G134" s="30" t="s">
        <v>20</v>
      </c>
      <c r="H134" s="32">
        <v>38</v>
      </c>
      <c r="I134" s="30" t="s">
        <v>21</v>
      </c>
      <c r="J134" s="41">
        <v>43874</v>
      </c>
      <c r="K134" s="30" t="s">
        <v>22</v>
      </c>
    </row>
    <row r="135" spans="1:11">
      <c r="A135" s="33" t="s">
        <v>411</v>
      </c>
      <c r="B135" s="33" t="s">
        <v>412</v>
      </c>
      <c r="C135" s="33" t="s">
        <v>413</v>
      </c>
      <c r="D135" s="33" t="s">
        <v>17</v>
      </c>
      <c r="E135" s="33" t="s">
        <v>26</v>
      </c>
      <c r="F135" s="33" t="s">
        <v>27</v>
      </c>
      <c r="G135" s="33" t="s">
        <v>140</v>
      </c>
      <c r="H135" s="35">
        <v>75</v>
      </c>
      <c r="I135" s="33" t="s">
        <v>51</v>
      </c>
      <c r="J135" s="42">
        <v>44098</v>
      </c>
      <c r="K135" s="33" t="s">
        <v>22</v>
      </c>
    </row>
    <row r="136" spans="1:11">
      <c r="A136" s="30" t="s">
        <v>414</v>
      </c>
      <c r="B136" s="30" t="s">
        <v>415</v>
      </c>
      <c r="C136" s="30" t="s">
        <v>416</v>
      </c>
      <c r="D136" s="30" t="s">
        <v>17</v>
      </c>
      <c r="E136" s="30" t="s">
        <v>18</v>
      </c>
      <c r="F136" s="30" t="s">
        <v>19</v>
      </c>
      <c r="G136" s="30" t="s">
        <v>20</v>
      </c>
      <c r="H136" s="32">
        <v>76</v>
      </c>
      <c r="I136" s="30" t="s">
        <v>21</v>
      </c>
      <c r="J136" s="41">
        <v>43958</v>
      </c>
      <c r="K136" s="30" t="s">
        <v>22</v>
      </c>
    </row>
    <row r="137" spans="1:11">
      <c r="A137" s="33" t="s">
        <v>417</v>
      </c>
      <c r="B137" s="33" t="s">
        <v>418</v>
      </c>
      <c r="C137" s="33" t="s">
        <v>399</v>
      </c>
      <c r="D137" s="33" t="s">
        <v>17</v>
      </c>
      <c r="E137" s="33" t="s">
        <v>18</v>
      </c>
      <c r="F137" s="33" t="s">
        <v>19</v>
      </c>
      <c r="G137" s="33" t="s">
        <v>20</v>
      </c>
      <c r="H137" s="35">
        <v>95</v>
      </c>
      <c r="I137" s="33" t="s">
        <v>21</v>
      </c>
      <c r="J137" s="42">
        <v>43853</v>
      </c>
      <c r="K137" s="33" t="s">
        <v>22</v>
      </c>
    </row>
    <row r="138" spans="1:11">
      <c r="A138" s="30" t="s">
        <v>419</v>
      </c>
      <c r="B138" s="30" t="s">
        <v>420</v>
      </c>
      <c r="C138" s="30" t="s">
        <v>102</v>
      </c>
      <c r="D138" s="30" t="s">
        <v>17</v>
      </c>
      <c r="E138" s="30" t="s">
        <v>18</v>
      </c>
      <c r="F138" s="30" t="s">
        <v>19</v>
      </c>
      <c r="G138" s="30" t="s">
        <v>158</v>
      </c>
      <c r="H138" s="32">
        <v>97</v>
      </c>
      <c r="I138" s="30" t="s">
        <v>21</v>
      </c>
      <c r="J138" s="41">
        <v>44169</v>
      </c>
      <c r="K138" s="30" t="s">
        <v>22</v>
      </c>
    </row>
    <row r="139" spans="1:11">
      <c r="A139" s="33" t="s">
        <v>421</v>
      </c>
      <c r="B139" s="33" t="s">
        <v>422</v>
      </c>
      <c r="C139" s="33" t="s">
        <v>423</v>
      </c>
      <c r="D139" s="33" t="s">
        <v>17</v>
      </c>
      <c r="E139" s="33" t="s">
        <v>67</v>
      </c>
      <c r="F139" s="33" t="s">
        <v>68</v>
      </c>
      <c r="G139" s="33" t="s">
        <v>50</v>
      </c>
      <c r="H139" s="35">
        <v>30</v>
      </c>
      <c r="I139" s="33" t="s">
        <v>51</v>
      </c>
      <c r="J139" s="42">
        <v>43953</v>
      </c>
      <c r="K139" s="33" t="s">
        <v>22</v>
      </c>
    </row>
    <row r="140" spans="1:11">
      <c r="A140" s="30" t="s">
        <v>424</v>
      </c>
      <c r="B140" s="30" t="s">
        <v>425</v>
      </c>
      <c r="C140" s="30" t="s">
        <v>426</v>
      </c>
      <c r="D140" s="30" t="s">
        <v>17</v>
      </c>
      <c r="E140" s="30" t="s">
        <v>26</v>
      </c>
      <c r="F140" s="30" t="s">
        <v>27</v>
      </c>
      <c r="G140" s="30" t="s">
        <v>140</v>
      </c>
      <c r="H140" s="32">
        <v>102</v>
      </c>
      <c r="I140" s="30" t="s">
        <v>51</v>
      </c>
      <c r="J140" s="41">
        <v>44018</v>
      </c>
      <c r="K140" s="30" t="s">
        <v>22</v>
      </c>
    </row>
    <row r="141" spans="1:11">
      <c r="A141" s="33" t="s">
        <v>427</v>
      </c>
      <c r="B141" s="33" t="s">
        <v>428</v>
      </c>
      <c r="C141" s="33" t="s">
        <v>429</v>
      </c>
      <c r="D141" s="33" t="s">
        <v>17</v>
      </c>
      <c r="E141" s="33" t="s">
        <v>26</v>
      </c>
      <c r="F141" s="33" t="s">
        <v>27</v>
      </c>
      <c r="G141" s="33" t="s">
        <v>20</v>
      </c>
      <c r="H141" s="35">
        <v>81</v>
      </c>
      <c r="I141" s="33" t="s">
        <v>21</v>
      </c>
      <c r="J141" s="42">
        <v>44187</v>
      </c>
      <c r="K141" s="33" t="s">
        <v>22</v>
      </c>
    </row>
    <row r="142" spans="1:11">
      <c r="A142" s="30" t="s">
        <v>430</v>
      </c>
      <c r="B142" s="30" t="s">
        <v>431</v>
      </c>
      <c r="C142" s="30" t="s">
        <v>432</v>
      </c>
      <c r="D142" s="30" t="s">
        <v>17</v>
      </c>
      <c r="E142" s="30" t="s">
        <v>26</v>
      </c>
      <c r="F142" s="30" t="s">
        <v>27</v>
      </c>
      <c r="G142" s="30" t="s">
        <v>20</v>
      </c>
      <c r="H142" s="32">
        <v>34</v>
      </c>
      <c r="I142" s="30" t="s">
        <v>21</v>
      </c>
      <c r="J142" s="41">
        <v>44013</v>
      </c>
      <c r="K142" s="30" t="s">
        <v>22</v>
      </c>
    </row>
    <row r="143" spans="1:11">
      <c r="A143" s="33" t="s">
        <v>433</v>
      </c>
      <c r="B143" s="33" t="s">
        <v>434</v>
      </c>
      <c r="C143" s="33" t="s">
        <v>96</v>
      </c>
      <c r="D143" s="33" t="s">
        <v>17</v>
      </c>
      <c r="E143" s="33" t="s">
        <v>26</v>
      </c>
      <c r="F143" s="33" t="s">
        <v>27</v>
      </c>
      <c r="G143" s="33" t="s">
        <v>20</v>
      </c>
      <c r="H143" s="35">
        <v>8</v>
      </c>
      <c r="I143" s="33" t="s">
        <v>21</v>
      </c>
      <c r="J143" s="42">
        <v>44159</v>
      </c>
      <c r="K143" s="33" t="s">
        <v>22</v>
      </c>
    </row>
    <row r="144" spans="1:11">
      <c r="A144" s="30" t="s">
        <v>435</v>
      </c>
      <c r="B144" s="30" t="s">
        <v>436</v>
      </c>
      <c r="C144" s="30" t="s">
        <v>437</v>
      </c>
      <c r="D144" s="30" t="s">
        <v>17</v>
      </c>
      <c r="E144" s="30" t="s">
        <v>26</v>
      </c>
      <c r="F144" s="30" t="s">
        <v>27</v>
      </c>
      <c r="G144" s="30" t="s">
        <v>20</v>
      </c>
      <c r="H144" s="32">
        <v>168</v>
      </c>
      <c r="I144" s="30" t="s">
        <v>21</v>
      </c>
      <c r="J144" s="41">
        <v>44123</v>
      </c>
      <c r="K144" s="30" t="s">
        <v>22</v>
      </c>
    </row>
    <row r="145" spans="1:11">
      <c r="A145" s="33" t="s">
        <v>438</v>
      </c>
      <c r="B145" s="33" t="s">
        <v>439</v>
      </c>
      <c r="C145" s="33" t="s">
        <v>440</v>
      </c>
      <c r="D145" s="33" t="s">
        <v>17</v>
      </c>
      <c r="E145" s="33" t="s">
        <v>18</v>
      </c>
      <c r="F145" s="33" t="s">
        <v>19</v>
      </c>
      <c r="G145" s="33" t="s">
        <v>140</v>
      </c>
      <c r="H145" s="35">
        <v>150</v>
      </c>
      <c r="I145" s="33" t="s">
        <v>51</v>
      </c>
      <c r="J145" s="42">
        <v>44110</v>
      </c>
      <c r="K145" s="33" t="s">
        <v>22</v>
      </c>
    </row>
    <row r="146" spans="1:11">
      <c r="A146" s="30" t="s">
        <v>441</v>
      </c>
      <c r="B146" s="30" t="s">
        <v>442</v>
      </c>
      <c r="C146" s="30" t="s">
        <v>443</v>
      </c>
      <c r="D146" s="30" t="s">
        <v>17</v>
      </c>
      <c r="E146" s="30" t="s">
        <v>18</v>
      </c>
      <c r="F146" s="30" t="s">
        <v>19</v>
      </c>
      <c r="G146" s="30" t="s">
        <v>20</v>
      </c>
      <c r="H146" s="32">
        <v>1572</v>
      </c>
      <c r="I146" s="30" t="s">
        <v>21</v>
      </c>
      <c r="J146" s="41">
        <v>44140</v>
      </c>
      <c r="K146" s="30" t="s">
        <v>22</v>
      </c>
    </row>
    <row r="147" spans="1:11">
      <c r="A147" s="33" t="s">
        <v>444</v>
      </c>
      <c r="B147" s="33" t="s">
        <v>445</v>
      </c>
      <c r="C147" s="33" t="s">
        <v>318</v>
      </c>
      <c r="D147" s="33" t="s">
        <v>17</v>
      </c>
      <c r="E147" s="33" t="s">
        <v>31</v>
      </c>
      <c r="F147" s="33" t="s">
        <v>32</v>
      </c>
      <c r="G147" s="33" t="s">
        <v>20</v>
      </c>
      <c r="H147" s="35">
        <v>281</v>
      </c>
      <c r="I147" s="33" t="s">
        <v>21</v>
      </c>
      <c r="J147" s="42">
        <v>44040</v>
      </c>
      <c r="K147" s="33" t="s">
        <v>22</v>
      </c>
    </row>
    <row r="148" spans="1:11">
      <c r="A148" s="30" t="s">
        <v>446</v>
      </c>
      <c r="B148" s="30" t="s">
        <v>447</v>
      </c>
      <c r="C148" s="30" t="s">
        <v>187</v>
      </c>
      <c r="D148" s="30" t="s">
        <v>17</v>
      </c>
      <c r="E148" s="30" t="s">
        <v>67</v>
      </c>
      <c r="F148" s="30" t="s">
        <v>68</v>
      </c>
      <c r="G148" s="30" t="s">
        <v>106</v>
      </c>
      <c r="H148" s="32">
        <v>30</v>
      </c>
      <c r="I148" s="30" t="s">
        <v>21</v>
      </c>
      <c r="J148" s="41">
        <v>44018</v>
      </c>
      <c r="K148" s="30" t="s">
        <v>22</v>
      </c>
    </row>
    <row r="149" spans="1:11">
      <c r="A149" s="33" t="s">
        <v>448</v>
      </c>
      <c r="B149" s="33" t="s">
        <v>449</v>
      </c>
      <c r="C149" s="33" t="s">
        <v>450</v>
      </c>
      <c r="D149" s="33" t="s">
        <v>17</v>
      </c>
      <c r="E149" s="33" t="s">
        <v>18</v>
      </c>
      <c r="F149" s="33" t="s">
        <v>19</v>
      </c>
      <c r="G149" s="33" t="s">
        <v>20</v>
      </c>
      <c r="H149" s="35">
        <v>41</v>
      </c>
      <c r="I149" s="33" t="s">
        <v>21</v>
      </c>
      <c r="J149" s="42">
        <v>44172</v>
      </c>
      <c r="K149" s="33" t="s">
        <v>22</v>
      </c>
    </row>
    <row r="150" spans="1:11">
      <c r="A150" s="30" t="s">
        <v>451</v>
      </c>
      <c r="B150" s="30" t="s">
        <v>452</v>
      </c>
      <c r="C150" s="30" t="s">
        <v>118</v>
      </c>
      <c r="D150" s="30" t="s">
        <v>17</v>
      </c>
      <c r="E150" s="30" t="s">
        <v>31</v>
      </c>
      <c r="F150" s="30" t="s">
        <v>32</v>
      </c>
      <c r="G150" s="30" t="s">
        <v>20</v>
      </c>
      <c r="H150" s="32">
        <v>14</v>
      </c>
      <c r="I150" s="30" t="s">
        <v>21</v>
      </c>
      <c r="J150" s="41">
        <v>43865</v>
      </c>
      <c r="K150" s="30" t="s">
        <v>22</v>
      </c>
    </row>
    <row r="151" spans="1:11">
      <c r="A151" s="33" t="s">
        <v>453</v>
      </c>
      <c r="B151" s="33" t="s">
        <v>454</v>
      </c>
      <c r="C151" s="33" t="s">
        <v>455</v>
      </c>
      <c r="D151" s="33" t="s">
        <v>17</v>
      </c>
      <c r="E151" s="33" t="s">
        <v>31</v>
      </c>
      <c r="F151" s="33" t="s">
        <v>32</v>
      </c>
      <c r="G151" s="33" t="s">
        <v>106</v>
      </c>
      <c r="H151" s="35">
        <v>233</v>
      </c>
      <c r="I151" s="33" t="s">
        <v>21</v>
      </c>
      <c r="J151" s="42">
        <v>44117</v>
      </c>
      <c r="K151" s="33" t="s">
        <v>22</v>
      </c>
    </row>
    <row r="152" spans="1:11">
      <c r="A152" s="30" t="s">
        <v>456</v>
      </c>
      <c r="B152" s="30" t="s">
        <v>457</v>
      </c>
      <c r="C152" s="30" t="s">
        <v>78</v>
      </c>
      <c r="D152" s="30" t="s">
        <v>17</v>
      </c>
      <c r="E152" s="30" t="s">
        <v>26</v>
      </c>
      <c r="F152" s="30" t="s">
        <v>27</v>
      </c>
      <c r="G152" s="30" t="s">
        <v>20</v>
      </c>
      <c r="H152" s="32">
        <v>30</v>
      </c>
      <c r="I152" s="30" t="s">
        <v>21</v>
      </c>
      <c r="J152" s="41">
        <v>43915</v>
      </c>
      <c r="K152" s="30" t="s">
        <v>22</v>
      </c>
    </row>
    <row r="153" spans="1:11">
      <c r="A153" s="33" t="s">
        <v>458</v>
      </c>
      <c r="B153" s="33" t="s">
        <v>459</v>
      </c>
      <c r="C153" s="33" t="s">
        <v>96</v>
      </c>
      <c r="D153" s="33" t="s">
        <v>17</v>
      </c>
      <c r="E153" s="33" t="s">
        <v>26</v>
      </c>
      <c r="F153" s="33" t="s">
        <v>27</v>
      </c>
      <c r="G153" s="33" t="s">
        <v>20</v>
      </c>
      <c r="H153" s="35">
        <v>23</v>
      </c>
      <c r="I153" s="33" t="s">
        <v>21</v>
      </c>
      <c r="J153" s="42">
        <v>44091</v>
      </c>
      <c r="K153" s="33" t="s">
        <v>22</v>
      </c>
    </row>
    <row r="154" spans="1:11">
      <c r="A154" s="30" t="s">
        <v>460</v>
      </c>
      <c r="B154" s="30" t="s">
        <v>461</v>
      </c>
      <c r="C154" s="30" t="s">
        <v>462</v>
      </c>
      <c r="D154" s="30" t="s">
        <v>17</v>
      </c>
      <c r="E154" s="30" t="s">
        <v>31</v>
      </c>
      <c r="F154" s="30" t="s">
        <v>32</v>
      </c>
      <c r="G154" s="30" t="s">
        <v>20</v>
      </c>
      <c r="H154" s="32">
        <v>3854</v>
      </c>
      <c r="I154" s="30" t="s">
        <v>21</v>
      </c>
      <c r="J154" s="41">
        <v>44195</v>
      </c>
      <c r="K154" s="30" t="s">
        <v>22</v>
      </c>
    </row>
    <row r="155" spans="1:11">
      <c r="A155" s="33" t="s">
        <v>463</v>
      </c>
      <c r="B155" s="33" t="s">
        <v>464</v>
      </c>
      <c r="C155" s="33" t="s">
        <v>465</v>
      </c>
      <c r="D155" s="33" t="s">
        <v>17</v>
      </c>
      <c r="E155" s="33" t="s">
        <v>26</v>
      </c>
      <c r="F155" s="33" t="s">
        <v>27</v>
      </c>
      <c r="G155" s="33" t="s">
        <v>20</v>
      </c>
      <c r="H155" s="35">
        <v>13</v>
      </c>
      <c r="I155" s="33" t="s">
        <v>21</v>
      </c>
      <c r="J155" s="42">
        <v>43998</v>
      </c>
      <c r="K155" s="33" t="s">
        <v>22</v>
      </c>
    </row>
    <row r="156" spans="1:11">
      <c r="A156" s="30" t="s">
        <v>466</v>
      </c>
      <c r="B156" s="30" t="s">
        <v>467</v>
      </c>
      <c r="C156" s="30" t="s">
        <v>178</v>
      </c>
      <c r="D156" s="30" t="s">
        <v>17</v>
      </c>
      <c r="E156" s="30" t="s">
        <v>18</v>
      </c>
      <c r="F156" s="30" t="s">
        <v>19</v>
      </c>
      <c r="G156" s="30" t="s">
        <v>20</v>
      </c>
      <c r="H156" s="32">
        <v>73</v>
      </c>
      <c r="I156" s="30" t="s">
        <v>21</v>
      </c>
      <c r="J156" s="41">
        <v>43871</v>
      </c>
      <c r="K156" s="30" t="s">
        <v>22</v>
      </c>
    </row>
    <row r="157" spans="1:11">
      <c r="A157" s="33" t="s">
        <v>468</v>
      </c>
      <c r="B157" s="33" t="s">
        <v>469</v>
      </c>
      <c r="C157" s="33" t="s">
        <v>75</v>
      </c>
      <c r="D157" s="33" t="s">
        <v>17</v>
      </c>
      <c r="E157" s="33" t="s">
        <v>31</v>
      </c>
      <c r="F157" s="33" t="s">
        <v>32</v>
      </c>
      <c r="G157" s="33" t="s">
        <v>20</v>
      </c>
      <c r="H157" s="35">
        <v>119</v>
      </c>
      <c r="I157" s="33" t="s">
        <v>21</v>
      </c>
      <c r="J157" s="42">
        <v>43837</v>
      </c>
      <c r="K157" s="33" t="s">
        <v>22</v>
      </c>
    </row>
    <row r="158" spans="1:11">
      <c r="A158" s="30" t="s">
        <v>470</v>
      </c>
      <c r="B158" s="30" t="s">
        <v>471</v>
      </c>
      <c r="C158" s="30" t="s">
        <v>472</v>
      </c>
      <c r="D158" s="30" t="s">
        <v>17</v>
      </c>
      <c r="E158" s="30" t="s">
        <v>45</v>
      </c>
      <c r="F158" s="30" t="s">
        <v>46</v>
      </c>
      <c r="G158" s="30" t="s">
        <v>158</v>
      </c>
      <c r="H158" s="32">
        <v>234</v>
      </c>
      <c r="I158" s="30" t="s">
        <v>21</v>
      </c>
      <c r="J158" s="41">
        <v>43979</v>
      </c>
      <c r="K158" s="30" t="s">
        <v>22</v>
      </c>
    </row>
    <row r="159" spans="1:11">
      <c r="A159" s="33" t="s">
        <v>473</v>
      </c>
      <c r="B159" s="33" t="s">
        <v>474</v>
      </c>
      <c r="C159" s="33" t="s">
        <v>475</v>
      </c>
      <c r="D159" s="33" t="s">
        <v>17</v>
      </c>
      <c r="E159" s="33" t="s">
        <v>26</v>
      </c>
      <c r="F159" s="33" t="s">
        <v>27</v>
      </c>
      <c r="G159" s="33" t="s">
        <v>20</v>
      </c>
      <c r="H159" s="35">
        <v>39</v>
      </c>
      <c r="I159" s="33" t="s">
        <v>21</v>
      </c>
      <c r="J159" s="42">
        <v>44117</v>
      </c>
      <c r="K159" s="33" t="s">
        <v>22</v>
      </c>
    </row>
    <row r="160" spans="1:11">
      <c r="A160" s="30" t="s">
        <v>476</v>
      </c>
      <c r="B160" s="30" t="s">
        <v>477</v>
      </c>
      <c r="C160" s="30" t="s">
        <v>102</v>
      </c>
      <c r="D160" s="30" t="s">
        <v>17</v>
      </c>
      <c r="E160" s="30" t="s">
        <v>26</v>
      </c>
      <c r="F160" s="30" t="s">
        <v>27</v>
      </c>
      <c r="G160" s="30" t="s">
        <v>20</v>
      </c>
      <c r="H160" s="32">
        <v>16</v>
      </c>
      <c r="I160" s="30" t="s">
        <v>21</v>
      </c>
      <c r="J160" s="41">
        <v>44001</v>
      </c>
      <c r="K160" s="30" t="s">
        <v>22</v>
      </c>
    </row>
    <row r="161" spans="1:11">
      <c r="A161" s="33" t="s">
        <v>478</v>
      </c>
      <c r="B161" s="33" t="s">
        <v>479</v>
      </c>
      <c r="C161" s="33" t="s">
        <v>480</v>
      </c>
      <c r="D161" s="33" t="s">
        <v>17</v>
      </c>
      <c r="E161" s="33" t="s">
        <v>18</v>
      </c>
      <c r="F161" s="33" t="s">
        <v>19</v>
      </c>
      <c r="G161" s="33" t="s">
        <v>50</v>
      </c>
      <c r="H161" s="35">
        <v>182</v>
      </c>
      <c r="I161" s="33" t="s">
        <v>51</v>
      </c>
      <c r="J161" s="42">
        <v>44001</v>
      </c>
      <c r="K161" s="33" t="s">
        <v>22</v>
      </c>
    </row>
    <row r="162" spans="1:11">
      <c r="A162" s="30" t="s">
        <v>481</v>
      </c>
      <c r="B162" s="30" t="s">
        <v>482</v>
      </c>
      <c r="C162" s="30" t="s">
        <v>483</v>
      </c>
      <c r="D162" s="30" t="s">
        <v>17</v>
      </c>
      <c r="E162" s="30" t="s">
        <v>18</v>
      </c>
      <c r="F162" s="30" t="s">
        <v>19</v>
      </c>
      <c r="G162" s="30" t="s">
        <v>20</v>
      </c>
      <c r="H162" s="32">
        <v>392</v>
      </c>
      <c r="I162" s="30" t="s">
        <v>21</v>
      </c>
      <c r="J162" s="41">
        <v>44144</v>
      </c>
      <c r="K162" s="30" t="s">
        <v>22</v>
      </c>
    </row>
    <row r="163" spans="1:11">
      <c r="A163" s="33" t="s">
        <v>484</v>
      </c>
      <c r="B163" s="33" t="s">
        <v>485</v>
      </c>
      <c r="C163" s="33" t="s">
        <v>252</v>
      </c>
      <c r="D163" s="33" t="s">
        <v>17</v>
      </c>
      <c r="E163" s="33" t="s">
        <v>26</v>
      </c>
      <c r="F163" s="33" t="s">
        <v>27</v>
      </c>
      <c r="G163" s="33" t="s">
        <v>20</v>
      </c>
      <c r="H163" s="35">
        <v>34</v>
      </c>
      <c r="I163" s="33" t="s">
        <v>21</v>
      </c>
      <c r="J163" s="42">
        <v>44161</v>
      </c>
      <c r="K163" s="33" t="s">
        <v>22</v>
      </c>
    </row>
    <row r="164" spans="1:11">
      <c r="A164" s="30" t="s">
        <v>486</v>
      </c>
      <c r="B164" s="30" t="s">
        <v>487</v>
      </c>
      <c r="C164" s="30" t="s">
        <v>488</v>
      </c>
      <c r="D164" s="30" t="s">
        <v>17</v>
      </c>
      <c r="E164" s="30" t="s">
        <v>18</v>
      </c>
      <c r="F164" s="30" t="s">
        <v>19</v>
      </c>
      <c r="G164" s="30" t="s">
        <v>20</v>
      </c>
      <c r="H164" s="32">
        <v>31</v>
      </c>
      <c r="I164" s="30" t="s">
        <v>21</v>
      </c>
      <c r="J164" s="41">
        <v>44060</v>
      </c>
      <c r="K164" s="30" t="s">
        <v>22</v>
      </c>
    </row>
    <row r="165" spans="1:11">
      <c r="A165" s="33" t="s">
        <v>489</v>
      </c>
      <c r="B165" s="33" t="s">
        <v>490</v>
      </c>
      <c r="C165" s="33" t="s">
        <v>491</v>
      </c>
      <c r="D165" s="33" t="s">
        <v>17</v>
      </c>
      <c r="E165" s="33" t="s">
        <v>31</v>
      </c>
      <c r="F165" s="33" t="s">
        <v>32</v>
      </c>
      <c r="G165" s="33" t="s">
        <v>20</v>
      </c>
      <c r="H165" s="35">
        <v>108</v>
      </c>
      <c r="I165" s="33" t="s">
        <v>21</v>
      </c>
      <c r="J165" s="42">
        <v>44117</v>
      </c>
      <c r="K165" s="33" t="s">
        <v>22</v>
      </c>
    </row>
    <row r="166" spans="1:11">
      <c r="A166" s="30" t="s">
        <v>492</v>
      </c>
      <c r="B166" s="30" t="s">
        <v>493</v>
      </c>
      <c r="C166" s="30" t="s">
        <v>187</v>
      </c>
      <c r="D166" s="30" t="s">
        <v>17</v>
      </c>
      <c r="E166" s="30" t="s">
        <v>31</v>
      </c>
      <c r="F166" s="30" t="s">
        <v>32</v>
      </c>
      <c r="G166" s="30" t="s">
        <v>50</v>
      </c>
      <c r="H166" s="32">
        <v>138</v>
      </c>
      <c r="I166" s="30" t="s">
        <v>51</v>
      </c>
      <c r="J166" s="41">
        <v>43891</v>
      </c>
      <c r="K166" s="30" t="s">
        <v>22</v>
      </c>
    </row>
    <row r="167" spans="1:11">
      <c r="A167" s="33" t="s">
        <v>494</v>
      </c>
      <c r="B167" s="33" t="s">
        <v>495</v>
      </c>
      <c r="C167" s="33" t="s">
        <v>96</v>
      </c>
      <c r="D167" s="33" t="s">
        <v>17</v>
      </c>
      <c r="E167" s="33" t="s">
        <v>18</v>
      </c>
      <c r="F167" s="33" t="s">
        <v>19</v>
      </c>
      <c r="G167" s="33" t="s">
        <v>20</v>
      </c>
      <c r="H167" s="35">
        <v>391</v>
      </c>
      <c r="I167" s="33" t="s">
        <v>21</v>
      </c>
      <c r="J167" s="42">
        <v>44039</v>
      </c>
      <c r="K167" s="33" t="s">
        <v>22</v>
      </c>
    </row>
    <row r="168" spans="1:11">
      <c r="A168" s="30" t="s">
        <v>496</v>
      </c>
      <c r="B168" s="30" t="s">
        <v>497</v>
      </c>
      <c r="C168" s="30" t="s">
        <v>96</v>
      </c>
      <c r="D168" s="30" t="s">
        <v>17</v>
      </c>
      <c r="E168" s="30" t="s">
        <v>31</v>
      </c>
      <c r="F168" s="30" t="s">
        <v>32</v>
      </c>
      <c r="G168" s="30" t="s">
        <v>20</v>
      </c>
      <c r="H168" s="32">
        <v>66</v>
      </c>
      <c r="I168" s="30" t="s">
        <v>21</v>
      </c>
      <c r="J168" s="41">
        <v>44008</v>
      </c>
      <c r="K168" s="30" t="s">
        <v>22</v>
      </c>
    </row>
    <row r="169" spans="1:11">
      <c r="A169" s="33" t="s">
        <v>498</v>
      </c>
      <c r="B169" s="33" t="s">
        <v>499</v>
      </c>
      <c r="C169" s="33" t="s">
        <v>149</v>
      </c>
      <c r="D169" s="33" t="s">
        <v>17</v>
      </c>
      <c r="E169" s="33" t="s">
        <v>26</v>
      </c>
      <c r="F169" s="33" t="s">
        <v>27</v>
      </c>
      <c r="G169" s="33" t="s">
        <v>20</v>
      </c>
      <c r="H169" s="35">
        <v>18</v>
      </c>
      <c r="I169" s="33" t="s">
        <v>21</v>
      </c>
      <c r="J169" s="42">
        <v>43934</v>
      </c>
      <c r="K169" s="33" t="s">
        <v>22</v>
      </c>
    </row>
    <row r="170" spans="1:11">
      <c r="A170" s="30" t="s">
        <v>500</v>
      </c>
      <c r="B170" s="30" t="s">
        <v>501</v>
      </c>
      <c r="C170" s="30" t="s">
        <v>49</v>
      </c>
      <c r="D170" s="30" t="s">
        <v>17</v>
      </c>
      <c r="E170" s="30" t="s">
        <v>26</v>
      </c>
      <c r="F170" s="30" t="s">
        <v>27</v>
      </c>
      <c r="G170" s="30" t="s">
        <v>50</v>
      </c>
      <c r="H170" s="32">
        <v>40</v>
      </c>
      <c r="I170" s="30" t="s">
        <v>21</v>
      </c>
      <c r="J170" s="41">
        <v>43940</v>
      </c>
      <c r="K170" s="30" t="s">
        <v>22</v>
      </c>
    </row>
    <row r="171" spans="1:11">
      <c r="A171" s="33" t="s">
        <v>502</v>
      </c>
      <c r="B171" s="33" t="s">
        <v>503</v>
      </c>
      <c r="C171" s="33" t="s">
        <v>504</v>
      </c>
      <c r="D171" s="33" t="s">
        <v>17</v>
      </c>
      <c r="E171" s="33" t="s">
        <v>26</v>
      </c>
      <c r="F171" s="33" t="s">
        <v>27</v>
      </c>
      <c r="G171" s="33" t="s">
        <v>140</v>
      </c>
      <c r="H171" s="35">
        <v>66</v>
      </c>
      <c r="I171" s="33" t="s">
        <v>51</v>
      </c>
      <c r="J171" s="42">
        <v>43983</v>
      </c>
      <c r="K171" s="33" t="s">
        <v>22</v>
      </c>
    </row>
    <row r="172" spans="1:11">
      <c r="A172" s="30" t="s">
        <v>505</v>
      </c>
      <c r="B172" s="30" t="s">
        <v>506</v>
      </c>
      <c r="C172" s="30" t="s">
        <v>507</v>
      </c>
      <c r="D172" s="30" t="s">
        <v>17</v>
      </c>
      <c r="E172" s="30" t="s">
        <v>18</v>
      </c>
      <c r="F172" s="30" t="s">
        <v>19</v>
      </c>
      <c r="G172" s="30" t="s">
        <v>50</v>
      </c>
      <c r="H172" s="32">
        <v>608</v>
      </c>
      <c r="I172" s="30" t="s">
        <v>51</v>
      </c>
      <c r="J172" s="41">
        <v>44060</v>
      </c>
      <c r="K172" s="30" t="s">
        <v>22</v>
      </c>
    </row>
    <row r="173" spans="1:11">
      <c r="A173" s="33" t="s">
        <v>508</v>
      </c>
      <c r="B173" s="33" t="s">
        <v>509</v>
      </c>
      <c r="C173" s="33" t="s">
        <v>510</v>
      </c>
      <c r="D173" s="33" t="s">
        <v>17</v>
      </c>
      <c r="E173" s="33" t="s">
        <v>67</v>
      </c>
      <c r="F173" s="33" t="s">
        <v>68</v>
      </c>
      <c r="G173" s="33" t="s">
        <v>20</v>
      </c>
      <c r="H173" s="35">
        <v>29</v>
      </c>
      <c r="I173" s="33" t="s">
        <v>21</v>
      </c>
      <c r="J173" s="42">
        <v>44138</v>
      </c>
      <c r="K173" s="33" t="s">
        <v>22</v>
      </c>
    </row>
    <row r="174" spans="1:11">
      <c r="A174" s="30" t="s">
        <v>511</v>
      </c>
      <c r="B174" s="30" t="s">
        <v>512</v>
      </c>
      <c r="C174" s="30" t="s">
        <v>149</v>
      </c>
      <c r="D174" s="30" t="s">
        <v>17</v>
      </c>
      <c r="E174" s="30" t="s">
        <v>26</v>
      </c>
      <c r="F174" s="30" t="s">
        <v>27</v>
      </c>
      <c r="G174" s="30" t="s">
        <v>50</v>
      </c>
      <c r="H174" s="32">
        <v>22</v>
      </c>
      <c r="I174" s="30" t="s">
        <v>51</v>
      </c>
      <c r="J174" s="41">
        <v>43977</v>
      </c>
      <c r="K174" s="30" t="s">
        <v>22</v>
      </c>
    </row>
    <row r="175" spans="1:11">
      <c r="A175" s="33" t="s">
        <v>513</v>
      </c>
      <c r="B175" s="33" t="s">
        <v>514</v>
      </c>
      <c r="C175" s="33" t="s">
        <v>109</v>
      </c>
      <c r="D175" s="33" t="s">
        <v>17</v>
      </c>
      <c r="E175" s="33" t="s">
        <v>330</v>
      </c>
      <c r="F175" s="33" t="s">
        <v>331</v>
      </c>
      <c r="G175" s="33" t="s">
        <v>106</v>
      </c>
      <c r="H175" s="35">
        <v>77</v>
      </c>
      <c r="I175" s="33" t="s">
        <v>21</v>
      </c>
      <c r="J175" s="42">
        <v>43881</v>
      </c>
      <c r="K175" s="33" t="s">
        <v>22</v>
      </c>
    </row>
    <row r="176" spans="1:11">
      <c r="A176" s="30" t="s">
        <v>515</v>
      </c>
      <c r="B176" s="30" t="s">
        <v>516</v>
      </c>
      <c r="C176" s="30" t="s">
        <v>517</v>
      </c>
      <c r="D176" s="30" t="s">
        <v>17</v>
      </c>
      <c r="E176" s="30" t="s">
        <v>26</v>
      </c>
      <c r="F176" s="30" t="s">
        <v>27</v>
      </c>
      <c r="G176" s="30" t="s">
        <v>20</v>
      </c>
      <c r="H176" s="32">
        <v>43</v>
      </c>
      <c r="I176" s="30" t="s">
        <v>21</v>
      </c>
      <c r="J176" s="41">
        <v>44170</v>
      </c>
      <c r="K176" s="30" t="s">
        <v>22</v>
      </c>
    </row>
    <row r="177" spans="1:11">
      <c r="A177" s="33" t="s">
        <v>518</v>
      </c>
      <c r="B177" s="33" t="s">
        <v>519</v>
      </c>
      <c r="C177" s="33" t="s">
        <v>96</v>
      </c>
      <c r="D177" s="33" t="s">
        <v>17</v>
      </c>
      <c r="E177" s="33" t="s">
        <v>18</v>
      </c>
      <c r="F177" s="33" t="s">
        <v>19</v>
      </c>
      <c r="G177" s="33" t="s">
        <v>20</v>
      </c>
      <c r="H177" s="35">
        <v>3</v>
      </c>
      <c r="I177" s="33" t="s">
        <v>21</v>
      </c>
      <c r="J177" s="42">
        <v>44037</v>
      </c>
      <c r="K177" s="33" t="s">
        <v>22</v>
      </c>
    </row>
    <row r="178" spans="1:11">
      <c r="A178" s="30" t="s">
        <v>520</v>
      </c>
      <c r="B178" s="30" t="s">
        <v>521</v>
      </c>
      <c r="C178" s="30" t="s">
        <v>130</v>
      </c>
      <c r="D178" s="30" t="s">
        <v>17</v>
      </c>
      <c r="E178" s="30" t="s">
        <v>67</v>
      </c>
      <c r="F178" s="30" t="s">
        <v>68</v>
      </c>
      <c r="G178" s="30" t="s">
        <v>20</v>
      </c>
      <c r="H178" s="32">
        <v>61</v>
      </c>
      <c r="I178" s="30" t="s">
        <v>21</v>
      </c>
      <c r="J178" s="41">
        <v>44039</v>
      </c>
      <c r="K178" s="30" t="s">
        <v>22</v>
      </c>
    </row>
    <row r="179" spans="1:11">
      <c r="A179" s="33" t="s">
        <v>522</v>
      </c>
      <c r="B179" s="33" t="s">
        <v>523</v>
      </c>
      <c r="C179" s="33" t="s">
        <v>524</v>
      </c>
      <c r="D179" s="33" t="s">
        <v>17</v>
      </c>
      <c r="E179" s="33" t="s">
        <v>26</v>
      </c>
      <c r="F179" s="33" t="s">
        <v>27</v>
      </c>
      <c r="G179" s="33" t="s">
        <v>20</v>
      </c>
      <c r="H179" s="35">
        <v>82</v>
      </c>
      <c r="I179" s="33" t="s">
        <v>21</v>
      </c>
      <c r="J179" s="42">
        <v>44082</v>
      </c>
      <c r="K179" s="33" t="s">
        <v>22</v>
      </c>
    </row>
    <row r="180" spans="1:11">
      <c r="A180" s="30" t="s">
        <v>525</v>
      </c>
      <c r="B180" s="30" t="s">
        <v>526</v>
      </c>
      <c r="C180" s="30" t="s">
        <v>527</v>
      </c>
      <c r="D180" s="30" t="s">
        <v>17</v>
      </c>
      <c r="E180" s="30" t="s">
        <v>31</v>
      </c>
      <c r="F180" s="30" t="s">
        <v>32</v>
      </c>
      <c r="G180" s="30" t="s">
        <v>20</v>
      </c>
      <c r="H180" s="32">
        <v>15</v>
      </c>
      <c r="I180" s="30" t="s">
        <v>21</v>
      </c>
      <c r="J180" s="41">
        <v>44167</v>
      </c>
      <c r="K180" s="30" t="s">
        <v>22</v>
      </c>
    </row>
    <row r="181" spans="1:11">
      <c r="A181" s="33" t="s">
        <v>528</v>
      </c>
      <c r="B181" s="33" t="s">
        <v>529</v>
      </c>
      <c r="C181" s="33" t="s">
        <v>530</v>
      </c>
      <c r="D181" s="33" t="s">
        <v>17</v>
      </c>
      <c r="E181" s="33" t="s">
        <v>26</v>
      </c>
      <c r="F181" s="33" t="s">
        <v>27</v>
      </c>
      <c r="G181" s="33" t="s">
        <v>20</v>
      </c>
      <c r="H181" s="35">
        <v>94</v>
      </c>
      <c r="I181" s="33" t="s">
        <v>21</v>
      </c>
      <c r="J181" s="42">
        <v>43921</v>
      </c>
      <c r="K181" s="33" t="s">
        <v>22</v>
      </c>
    </row>
    <row r="182" spans="1:11">
      <c r="A182" s="30" t="s">
        <v>531</v>
      </c>
      <c r="B182" s="30" t="s">
        <v>532</v>
      </c>
      <c r="C182" s="30" t="s">
        <v>78</v>
      </c>
      <c r="D182" s="30" t="s">
        <v>17</v>
      </c>
      <c r="E182" s="30" t="s">
        <v>18</v>
      </c>
      <c r="F182" s="30" t="s">
        <v>19</v>
      </c>
      <c r="G182" s="30" t="s">
        <v>20</v>
      </c>
      <c r="H182" s="32">
        <v>242</v>
      </c>
      <c r="I182" s="30" t="s">
        <v>21</v>
      </c>
      <c r="J182" s="41">
        <v>43836</v>
      </c>
      <c r="K182" s="30" t="s">
        <v>22</v>
      </c>
    </row>
    <row r="183" spans="1:11">
      <c r="A183" s="33" t="s">
        <v>533</v>
      </c>
      <c r="B183" s="33" t="s">
        <v>534</v>
      </c>
      <c r="C183" s="33" t="s">
        <v>535</v>
      </c>
      <c r="D183" s="33" t="s">
        <v>17</v>
      </c>
      <c r="E183" s="33" t="s">
        <v>31</v>
      </c>
      <c r="F183" s="33" t="s">
        <v>32</v>
      </c>
      <c r="G183" s="33" t="s">
        <v>20</v>
      </c>
      <c r="H183" s="35">
        <v>91</v>
      </c>
      <c r="I183" s="33" t="s">
        <v>21</v>
      </c>
      <c r="J183" s="42">
        <v>43880</v>
      </c>
      <c r="K183" s="33" t="s">
        <v>22</v>
      </c>
    </row>
    <row r="184" spans="1:11">
      <c r="A184" s="30" t="s">
        <v>536</v>
      </c>
      <c r="B184" s="30" t="s">
        <v>537</v>
      </c>
      <c r="C184" s="30" t="s">
        <v>538</v>
      </c>
      <c r="D184" s="30" t="s">
        <v>17</v>
      </c>
      <c r="E184" s="30" t="s">
        <v>31</v>
      </c>
      <c r="F184" s="30" t="s">
        <v>32</v>
      </c>
      <c r="G184" s="30" t="s">
        <v>20</v>
      </c>
      <c r="H184" s="32">
        <v>20</v>
      </c>
      <c r="I184" s="30" t="s">
        <v>21</v>
      </c>
      <c r="J184" s="41">
        <v>43836</v>
      </c>
      <c r="K184" s="30" t="s">
        <v>22</v>
      </c>
    </row>
    <row r="185" spans="1:11">
      <c r="A185" s="33" t="s">
        <v>539</v>
      </c>
      <c r="B185" s="33" t="s">
        <v>540</v>
      </c>
      <c r="C185" s="33" t="s">
        <v>109</v>
      </c>
      <c r="D185" s="33" t="s">
        <v>17</v>
      </c>
      <c r="E185" s="33" t="s">
        <v>31</v>
      </c>
      <c r="F185" s="33" t="s">
        <v>32</v>
      </c>
      <c r="G185" s="33" t="s">
        <v>20</v>
      </c>
      <c r="H185" s="35">
        <v>111</v>
      </c>
      <c r="I185" s="33" t="s">
        <v>21</v>
      </c>
      <c r="J185" s="42">
        <v>44039</v>
      </c>
      <c r="K185" s="33" t="s">
        <v>22</v>
      </c>
    </row>
    <row r="186" spans="1:11">
      <c r="A186" s="30" t="s">
        <v>541</v>
      </c>
      <c r="B186" s="30" t="s">
        <v>542</v>
      </c>
      <c r="C186" s="30" t="s">
        <v>543</v>
      </c>
      <c r="D186" s="30" t="s">
        <v>17</v>
      </c>
      <c r="E186" s="30" t="s">
        <v>18</v>
      </c>
      <c r="F186" s="30" t="s">
        <v>19</v>
      </c>
      <c r="G186" s="30" t="s">
        <v>20</v>
      </c>
      <c r="H186" s="32">
        <v>109</v>
      </c>
      <c r="I186" s="30" t="s">
        <v>21</v>
      </c>
      <c r="J186" s="41">
        <v>44005</v>
      </c>
      <c r="K186" s="30" t="s">
        <v>22</v>
      </c>
    </row>
    <row r="187" spans="1:11">
      <c r="A187" s="33" t="s">
        <v>544</v>
      </c>
      <c r="B187" s="33" t="s">
        <v>545</v>
      </c>
      <c r="C187" s="33" t="s">
        <v>546</v>
      </c>
      <c r="D187" s="33" t="s">
        <v>17</v>
      </c>
      <c r="E187" s="33" t="s">
        <v>18</v>
      </c>
      <c r="F187" s="33" t="s">
        <v>19</v>
      </c>
      <c r="G187" s="33" t="s">
        <v>20</v>
      </c>
      <c r="H187" s="35">
        <v>294</v>
      </c>
      <c r="I187" s="33" t="s">
        <v>21</v>
      </c>
      <c r="J187" s="42">
        <v>43914</v>
      </c>
      <c r="K187" s="33" t="s">
        <v>22</v>
      </c>
    </row>
    <row r="188" spans="1:11">
      <c r="A188" s="30" t="s">
        <v>547</v>
      </c>
      <c r="B188" s="30" t="s">
        <v>548</v>
      </c>
      <c r="C188" s="30" t="s">
        <v>549</v>
      </c>
      <c r="D188" s="30" t="s">
        <v>17</v>
      </c>
      <c r="E188" s="30" t="s">
        <v>26</v>
      </c>
      <c r="F188" s="30" t="s">
        <v>27</v>
      </c>
      <c r="G188" s="30" t="s">
        <v>106</v>
      </c>
      <c r="H188" s="32">
        <v>71</v>
      </c>
      <c r="I188" s="30" t="s">
        <v>21</v>
      </c>
      <c r="J188" s="41">
        <v>43873</v>
      </c>
      <c r="K188" s="30" t="s">
        <v>22</v>
      </c>
    </row>
    <row r="189" spans="1:11">
      <c r="A189" s="33" t="s">
        <v>550</v>
      </c>
      <c r="B189" s="33" t="s">
        <v>551</v>
      </c>
      <c r="C189" s="33" t="s">
        <v>190</v>
      </c>
      <c r="D189" s="33" t="s">
        <v>17</v>
      </c>
      <c r="E189" s="33" t="s">
        <v>18</v>
      </c>
      <c r="F189" s="33" t="s">
        <v>19</v>
      </c>
      <c r="G189" s="33" t="s">
        <v>158</v>
      </c>
      <c r="H189" s="35">
        <v>640</v>
      </c>
      <c r="I189" s="33" t="s">
        <v>21</v>
      </c>
      <c r="J189" s="42">
        <v>44123</v>
      </c>
      <c r="K189" s="33" t="s">
        <v>22</v>
      </c>
    </row>
    <row r="190" spans="1:11">
      <c r="A190" s="30" t="s">
        <v>552</v>
      </c>
      <c r="B190" s="30" t="s">
        <v>553</v>
      </c>
      <c r="C190" s="30" t="s">
        <v>554</v>
      </c>
      <c r="D190" s="30" t="s">
        <v>17</v>
      </c>
      <c r="E190" s="30" t="s">
        <v>26</v>
      </c>
      <c r="F190" s="30" t="s">
        <v>27</v>
      </c>
      <c r="G190" s="30" t="s">
        <v>158</v>
      </c>
      <c r="H190" s="32">
        <v>31</v>
      </c>
      <c r="I190" s="30" t="s">
        <v>21</v>
      </c>
      <c r="J190" s="41">
        <v>43922</v>
      </c>
      <c r="K190" s="30" t="s">
        <v>22</v>
      </c>
    </row>
    <row r="191" spans="1:11">
      <c r="A191" s="33" t="s">
        <v>555</v>
      </c>
      <c r="B191" s="33" t="s">
        <v>556</v>
      </c>
      <c r="C191" s="33" t="s">
        <v>187</v>
      </c>
      <c r="D191" s="33" t="s">
        <v>17</v>
      </c>
      <c r="E191" s="33" t="s">
        <v>67</v>
      </c>
      <c r="F191" s="33" t="s">
        <v>68</v>
      </c>
      <c r="G191" s="33" t="s">
        <v>50</v>
      </c>
      <c r="H191" s="35">
        <v>42</v>
      </c>
      <c r="I191" s="33" t="s">
        <v>51</v>
      </c>
      <c r="J191" s="42">
        <v>44013</v>
      </c>
      <c r="K191" s="33" t="s">
        <v>22</v>
      </c>
    </row>
    <row r="192" spans="1:11">
      <c r="A192" s="30" t="s">
        <v>557</v>
      </c>
      <c r="B192" s="30" t="s">
        <v>558</v>
      </c>
      <c r="C192" s="30" t="s">
        <v>559</v>
      </c>
      <c r="D192" s="30" t="s">
        <v>17</v>
      </c>
      <c r="E192" s="30" t="s">
        <v>212</v>
      </c>
      <c r="F192" s="30" t="s">
        <v>213</v>
      </c>
      <c r="G192" s="30" t="s">
        <v>50</v>
      </c>
      <c r="H192" s="32">
        <v>84</v>
      </c>
      <c r="I192" s="30" t="s">
        <v>51</v>
      </c>
      <c r="J192" s="41">
        <v>43882</v>
      </c>
      <c r="K192" s="30" t="s">
        <v>22</v>
      </c>
    </row>
    <row r="193" spans="1:11">
      <c r="A193" s="33" t="s">
        <v>560</v>
      </c>
      <c r="B193" s="33" t="s">
        <v>561</v>
      </c>
      <c r="C193" s="33" t="s">
        <v>562</v>
      </c>
      <c r="D193" s="33" t="s">
        <v>17</v>
      </c>
      <c r="E193" s="33" t="s">
        <v>31</v>
      </c>
      <c r="F193" s="33" t="s">
        <v>32</v>
      </c>
      <c r="G193" s="33" t="s">
        <v>20</v>
      </c>
      <c r="H193" s="35">
        <v>36</v>
      </c>
      <c r="I193" s="33" t="s">
        <v>21</v>
      </c>
      <c r="J193" s="42">
        <v>44004</v>
      </c>
      <c r="K193" s="33" t="s">
        <v>22</v>
      </c>
    </row>
    <row r="194" spans="1:11">
      <c r="A194" s="30" t="s">
        <v>563</v>
      </c>
      <c r="B194" s="30" t="s">
        <v>564</v>
      </c>
      <c r="C194" s="30" t="s">
        <v>231</v>
      </c>
      <c r="D194" s="30" t="s">
        <v>17</v>
      </c>
      <c r="E194" s="30" t="s">
        <v>31</v>
      </c>
      <c r="F194" s="30" t="s">
        <v>32</v>
      </c>
      <c r="G194" s="30" t="s">
        <v>106</v>
      </c>
      <c r="H194" s="32">
        <v>45</v>
      </c>
      <c r="I194" s="30" t="s">
        <v>21</v>
      </c>
      <c r="J194" s="41">
        <v>44004</v>
      </c>
      <c r="K194" s="30" t="s">
        <v>22</v>
      </c>
    </row>
    <row r="195" spans="1:11">
      <c r="A195" s="33" t="s">
        <v>565</v>
      </c>
      <c r="B195" s="33" t="s">
        <v>566</v>
      </c>
      <c r="C195" s="33" t="s">
        <v>567</v>
      </c>
      <c r="D195" s="33" t="s">
        <v>17</v>
      </c>
      <c r="E195" s="33" t="s">
        <v>31</v>
      </c>
      <c r="F195" s="33" t="s">
        <v>32</v>
      </c>
      <c r="G195" s="33" t="s">
        <v>20</v>
      </c>
      <c r="H195" s="35">
        <v>84</v>
      </c>
      <c r="I195" s="33" t="s">
        <v>21</v>
      </c>
      <c r="J195" s="42">
        <v>44075</v>
      </c>
      <c r="K195" s="33" t="s">
        <v>22</v>
      </c>
    </row>
    <row r="196" spans="1:11">
      <c r="A196" s="30" t="s">
        <v>568</v>
      </c>
      <c r="B196" s="30" t="s">
        <v>569</v>
      </c>
      <c r="C196" s="30" t="s">
        <v>570</v>
      </c>
      <c r="D196" s="30" t="s">
        <v>17</v>
      </c>
      <c r="E196" s="30" t="s">
        <v>26</v>
      </c>
      <c r="F196" s="30" t="s">
        <v>27</v>
      </c>
      <c r="G196" s="30" t="s">
        <v>20</v>
      </c>
      <c r="H196" s="32">
        <v>20</v>
      </c>
      <c r="I196" s="30" t="s">
        <v>21</v>
      </c>
      <c r="J196" s="41">
        <v>44017</v>
      </c>
      <c r="K196" s="30" t="s">
        <v>22</v>
      </c>
    </row>
    <row r="197" spans="1:11">
      <c r="A197" s="33" t="s">
        <v>571</v>
      </c>
      <c r="B197" s="33" t="s">
        <v>572</v>
      </c>
      <c r="C197" s="33" t="s">
        <v>234</v>
      </c>
      <c r="D197" s="33" t="s">
        <v>17</v>
      </c>
      <c r="E197" s="33" t="s">
        <v>26</v>
      </c>
      <c r="F197" s="33" t="s">
        <v>27</v>
      </c>
      <c r="G197" s="33" t="s">
        <v>20</v>
      </c>
      <c r="H197" s="35">
        <v>36</v>
      </c>
      <c r="I197" s="33" t="s">
        <v>21</v>
      </c>
      <c r="J197" s="42">
        <v>44022</v>
      </c>
      <c r="K197" s="33" t="s">
        <v>22</v>
      </c>
    </row>
    <row r="198" spans="1:11">
      <c r="A198" s="30" t="s">
        <v>573</v>
      </c>
      <c r="B198" s="30" t="s">
        <v>574</v>
      </c>
      <c r="C198" s="30" t="s">
        <v>575</v>
      </c>
      <c r="D198" s="30" t="s">
        <v>17</v>
      </c>
      <c r="E198" s="30" t="s">
        <v>26</v>
      </c>
      <c r="F198" s="30" t="s">
        <v>27</v>
      </c>
      <c r="G198" s="30" t="s">
        <v>20</v>
      </c>
      <c r="H198" s="32">
        <v>29</v>
      </c>
      <c r="I198" s="30" t="s">
        <v>21</v>
      </c>
      <c r="J198" s="41">
        <v>44137</v>
      </c>
      <c r="K198" s="30" t="s">
        <v>22</v>
      </c>
    </row>
    <row r="199" spans="1:11">
      <c r="A199" s="33" t="s">
        <v>576</v>
      </c>
      <c r="B199" s="33" t="s">
        <v>577</v>
      </c>
      <c r="C199" s="33" t="s">
        <v>190</v>
      </c>
      <c r="D199" s="33" t="s">
        <v>17</v>
      </c>
      <c r="E199" s="33" t="s">
        <v>26</v>
      </c>
      <c r="F199" s="33" t="s">
        <v>27</v>
      </c>
      <c r="G199" s="33" t="s">
        <v>20</v>
      </c>
      <c r="H199" s="35">
        <v>25</v>
      </c>
      <c r="I199" s="33" t="s">
        <v>21</v>
      </c>
      <c r="J199" s="42">
        <v>44047</v>
      </c>
      <c r="K199" s="33" t="s">
        <v>22</v>
      </c>
    </row>
    <row r="200" spans="1:11">
      <c r="A200" s="30" t="s">
        <v>578</v>
      </c>
      <c r="B200" s="30" t="s">
        <v>579</v>
      </c>
      <c r="C200" s="30" t="s">
        <v>580</v>
      </c>
      <c r="D200" s="30" t="s">
        <v>17</v>
      </c>
      <c r="E200" s="30" t="s">
        <v>31</v>
      </c>
      <c r="F200" s="30" t="s">
        <v>32</v>
      </c>
      <c r="G200" s="30" t="s">
        <v>20</v>
      </c>
      <c r="H200" s="32">
        <v>27</v>
      </c>
      <c r="I200" s="30" t="s">
        <v>21</v>
      </c>
      <c r="J200" s="41">
        <v>44085</v>
      </c>
      <c r="K200" s="30" t="s">
        <v>22</v>
      </c>
    </row>
    <row r="201" spans="1:11">
      <c r="A201" s="33" t="s">
        <v>581</v>
      </c>
      <c r="B201" s="33" t="s">
        <v>582</v>
      </c>
      <c r="C201" s="33" t="s">
        <v>149</v>
      </c>
      <c r="D201" s="33" t="s">
        <v>17</v>
      </c>
      <c r="E201" s="33" t="s">
        <v>26</v>
      </c>
      <c r="F201" s="33" t="s">
        <v>27</v>
      </c>
      <c r="G201" s="33" t="s">
        <v>20</v>
      </c>
      <c r="H201" s="35">
        <v>42</v>
      </c>
      <c r="I201" s="33" t="s">
        <v>21</v>
      </c>
      <c r="J201" s="42">
        <v>44047</v>
      </c>
      <c r="K201" s="33" t="s">
        <v>22</v>
      </c>
    </row>
    <row r="202" spans="1:11">
      <c r="A202" s="30" t="s">
        <v>583</v>
      </c>
      <c r="B202" s="30" t="s">
        <v>584</v>
      </c>
      <c r="C202" s="30" t="s">
        <v>30</v>
      </c>
      <c r="D202" s="30" t="s">
        <v>17</v>
      </c>
      <c r="E202" s="30" t="s">
        <v>18</v>
      </c>
      <c r="F202" s="30" t="s">
        <v>19</v>
      </c>
      <c r="G202" s="30" t="s">
        <v>20</v>
      </c>
      <c r="H202" s="32">
        <v>100</v>
      </c>
      <c r="I202" s="30" t="s">
        <v>21</v>
      </c>
      <c r="J202" s="41">
        <v>44174</v>
      </c>
      <c r="K202" s="30" t="s">
        <v>22</v>
      </c>
    </row>
    <row r="203" spans="1:11">
      <c r="A203" s="33" t="s">
        <v>585</v>
      </c>
      <c r="B203" s="33" t="s">
        <v>586</v>
      </c>
      <c r="C203" s="33" t="s">
        <v>587</v>
      </c>
      <c r="D203" s="33" t="s">
        <v>17</v>
      </c>
      <c r="E203" s="33" t="s">
        <v>31</v>
      </c>
      <c r="F203" s="33" t="s">
        <v>32</v>
      </c>
      <c r="G203" s="33" t="s">
        <v>158</v>
      </c>
      <c r="H203" s="35">
        <v>173</v>
      </c>
      <c r="I203" s="33" t="s">
        <v>21</v>
      </c>
      <c r="J203" s="42">
        <v>44019</v>
      </c>
      <c r="K203" s="33" t="s">
        <v>22</v>
      </c>
    </row>
    <row r="204" spans="1:11">
      <c r="A204" s="30" t="s">
        <v>588</v>
      </c>
      <c r="B204" s="30" t="s">
        <v>589</v>
      </c>
      <c r="C204" s="30" t="s">
        <v>99</v>
      </c>
      <c r="D204" s="30" t="s">
        <v>17</v>
      </c>
      <c r="E204" s="30" t="s">
        <v>18</v>
      </c>
      <c r="F204" s="30" t="s">
        <v>19</v>
      </c>
      <c r="G204" s="30" t="s">
        <v>20</v>
      </c>
      <c r="H204" s="32">
        <v>156</v>
      </c>
      <c r="I204" s="30" t="s">
        <v>21</v>
      </c>
      <c r="J204" s="41">
        <v>44173</v>
      </c>
      <c r="K204" s="30" t="s">
        <v>22</v>
      </c>
    </row>
    <row r="205" spans="1:11">
      <c r="A205" s="33" t="s">
        <v>590</v>
      </c>
      <c r="B205" s="33" t="s">
        <v>591</v>
      </c>
      <c r="C205" s="33" t="s">
        <v>592</v>
      </c>
      <c r="D205" s="33" t="s">
        <v>17</v>
      </c>
      <c r="E205" s="33" t="s">
        <v>18</v>
      </c>
      <c r="F205" s="33" t="s">
        <v>19</v>
      </c>
      <c r="G205" s="33" t="s">
        <v>20</v>
      </c>
      <c r="H205" s="35">
        <v>834</v>
      </c>
      <c r="I205" s="33" t="s">
        <v>21</v>
      </c>
      <c r="J205" s="42">
        <v>44170</v>
      </c>
      <c r="K205" s="33" t="s">
        <v>22</v>
      </c>
    </row>
    <row r="206" spans="1:11">
      <c r="A206" s="30" t="s">
        <v>593</v>
      </c>
      <c r="B206" s="30" t="s">
        <v>594</v>
      </c>
      <c r="C206" s="30" t="s">
        <v>149</v>
      </c>
      <c r="D206" s="30" t="s">
        <v>17</v>
      </c>
      <c r="E206" s="30" t="s">
        <v>26</v>
      </c>
      <c r="F206" s="30" t="s">
        <v>27</v>
      </c>
      <c r="G206" s="30" t="s">
        <v>20</v>
      </c>
      <c r="H206" s="32">
        <v>18</v>
      </c>
      <c r="I206" s="30" t="s">
        <v>21</v>
      </c>
      <c r="J206" s="41">
        <v>43983</v>
      </c>
      <c r="K206" s="30" t="s">
        <v>22</v>
      </c>
    </row>
    <row r="207" spans="1:11">
      <c r="A207" s="33" t="s">
        <v>595</v>
      </c>
      <c r="B207" s="33" t="s">
        <v>596</v>
      </c>
      <c r="C207" s="33" t="s">
        <v>426</v>
      </c>
      <c r="D207" s="33" t="s">
        <v>17</v>
      </c>
      <c r="E207" s="33" t="s">
        <v>26</v>
      </c>
      <c r="F207" s="33" t="s">
        <v>27</v>
      </c>
      <c r="G207" s="33" t="s">
        <v>140</v>
      </c>
      <c r="H207" s="35">
        <v>242</v>
      </c>
      <c r="I207" s="33" t="s">
        <v>51</v>
      </c>
      <c r="J207" s="42">
        <v>43839</v>
      </c>
      <c r="K207" s="33" t="s">
        <v>22</v>
      </c>
    </row>
    <row r="208" spans="1:11">
      <c r="A208" s="30" t="s">
        <v>597</v>
      </c>
      <c r="B208" s="30" t="s">
        <v>598</v>
      </c>
      <c r="C208" s="30" t="s">
        <v>93</v>
      </c>
      <c r="D208" s="30" t="s">
        <v>17</v>
      </c>
      <c r="E208" s="30" t="s">
        <v>67</v>
      </c>
      <c r="F208" s="30" t="s">
        <v>68</v>
      </c>
      <c r="G208" s="30" t="s">
        <v>106</v>
      </c>
      <c r="H208" s="32">
        <v>80</v>
      </c>
      <c r="I208" s="30" t="s">
        <v>21</v>
      </c>
      <c r="J208" s="41">
        <v>44039</v>
      </c>
      <c r="K208" s="30" t="s">
        <v>22</v>
      </c>
    </row>
    <row r="209" spans="1:11">
      <c r="A209" s="33" t="s">
        <v>599</v>
      </c>
      <c r="B209" s="33" t="s">
        <v>600</v>
      </c>
      <c r="C209" s="33" t="s">
        <v>109</v>
      </c>
      <c r="D209" s="33" t="s">
        <v>17</v>
      </c>
      <c r="E209" s="33" t="s">
        <v>26</v>
      </c>
      <c r="F209" s="33" t="s">
        <v>27</v>
      </c>
      <c r="G209" s="33" t="s">
        <v>20</v>
      </c>
      <c r="H209" s="35">
        <v>57</v>
      </c>
      <c r="I209" s="33" t="s">
        <v>21</v>
      </c>
      <c r="J209" s="42">
        <v>44034</v>
      </c>
      <c r="K209" s="33" t="s">
        <v>22</v>
      </c>
    </row>
    <row r="210" spans="1:11">
      <c r="A210" s="30" t="s">
        <v>601</v>
      </c>
      <c r="B210" s="30" t="s">
        <v>602</v>
      </c>
      <c r="C210" s="30" t="s">
        <v>603</v>
      </c>
      <c r="D210" s="30" t="s">
        <v>17</v>
      </c>
      <c r="E210" s="30" t="s">
        <v>26</v>
      </c>
      <c r="F210" s="30" t="s">
        <v>27</v>
      </c>
      <c r="G210" s="30" t="s">
        <v>20</v>
      </c>
      <c r="H210" s="32">
        <v>30</v>
      </c>
      <c r="I210" s="30" t="s">
        <v>21</v>
      </c>
      <c r="J210" s="41">
        <v>44091</v>
      </c>
      <c r="K210" s="30" t="s">
        <v>22</v>
      </c>
    </row>
    <row r="211" spans="1:11">
      <c r="A211" s="33" t="s">
        <v>604</v>
      </c>
      <c r="B211" s="33" t="s">
        <v>605</v>
      </c>
      <c r="C211" s="33" t="s">
        <v>606</v>
      </c>
      <c r="D211" s="33" t="s">
        <v>17</v>
      </c>
      <c r="E211" s="33" t="s">
        <v>26</v>
      </c>
      <c r="F211" s="33" t="s">
        <v>27</v>
      </c>
      <c r="G211" s="33" t="s">
        <v>20</v>
      </c>
      <c r="H211" s="35">
        <v>45</v>
      </c>
      <c r="I211" s="33" t="s">
        <v>21</v>
      </c>
      <c r="J211" s="42">
        <v>44054</v>
      </c>
      <c r="K211" s="33" t="s">
        <v>22</v>
      </c>
    </row>
    <row r="212" spans="1:11">
      <c r="A212" s="30" t="s">
        <v>607</v>
      </c>
      <c r="B212" s="30" t="s">
        <v>608</v>
      </c>
      <c r="C212" s="30" t="s">
        <v>609</v>
      </c>
      <c r="D212" s="30" t="s">
        <v>17</v>
      </c>
      <c r="E212" s="30" t="s">
        <v>45</v>
      </c>
      <c r="F212" s="30" t="s">
        <v>46</v>
      </c>
      <c r="G212" s="30" t="s">
        <v>20</v>
      </c>
      <c r="H212" s="32">
        <v>36</v>
      </c>
      <c r="I212" s="30" t="s">
        <v>21</v>
      </c>
      <c r="J212" s="41">
        <v>44036</v>
      </c>
      <c r="K212" s="30" t="s">
        <v>22</v>
      </c>
    </row>
    <row r="213" spans="1:11">
      <c r="A213" s="33" t="s">
        <v>610</v>
      </c>
      <c r="B213" s="33" t="s">
        <v>611</v>
      </c>
      <c r="C213" s="33" t="s">
        <v>612</v>
      </c>
      <c r="D213" s="33" t="s">
        <v>17</v>
      </c>
      <c r="E213" s="33" t="s">
        <v>26</v>
      </c>
      <c r="F213" s="33" t="s">
        <v>27</v>
      </c>
      <c r="G213" s="33" t="s">
        <v>20</v>
      </c>
      <c r="H213" s="35">
        <v>150</v>
      </c>
      <c r="I213" s="33" t="s">
        <v>21</v>
      </c>
      <c r="J213" s="42">
        <v>44149</v>
      </c>
      <c r="K213" s="33" t="s">
        <v>22</v>
      </c>
    </row>
    <row r="214" spans="1:11">
      <c r="A214" s="30" t="s">
        <v>613</v>
      </c>
      <c r="B214" s="30" t="s">
        <v>614</v>
      </c>
      <c r="C214" s="30" t="s">
        <v>615</v>
      </c>
      <c r="D214" s="30" t="s">
        <v>17</v>
      </c>
      <c r="E214" s="30" t="s">
        <v>31</v>
      </c>
      <c r="F214" s="30" t="s">
        <v>32</v>
      </c>
      <c r="G214" s="30" t="s">
        <v>50</v>
      </c>
      <c r="H214" s="32">
        <v>136</v>
      </c>
      <c r="I214" s="30" t="s">
        <v>51</v>
      </c>
      <c r="J214" s="41">
        <v>43892</v>
      </c>
      <c r="K214" s="30" t="s">
        <v>22</v>
      </c>
    </row>
    <row r="215" spans="1:11">
      <c r="A215" s="33" t="s">
        <v>616</v>
      </c>
      <c r="B215" s="33" t="s">
        <v>617</v>
      </c>
      <c r="C215" s="33" t="s">
        <v>618</v>
      </c>
      <c r="D215" s="33" t="s">
        <v>17</v>
      </c>
      <c r="E215" s="33" t="s">
        <v>67</v>
      </c>
      <c r="F215" s="33" t="s">
        <v>68</v>
      </c>
      <c r="G215" s="33" t="s">
        <v>106</v>
      </c>
      <c r="H215" s="35">
        <v>61</v>
      </c>
      <c r="I215" s="33" t="s">
        <v>21</v>
      </c>
      <c r="J215" s="42">
        <v>44074</v>
      </c>
      <c r="K215" s="33" t="s">
        <v>22</v>
      </c>
    </row>
    <row r="216" spans="1:11">
      <c r="A216" s="30" t="s">
        <v>619</v>
      </c>
      <c r="B216" s="30" t="s">
        <v>620</v>
      </c>
      <c r="C216" s="30" t="s">
        <v>621</v>
      </c>
      <c r="D216" s="30" t="s">
        <v>17</v>
      </c>
      <c r="E216" s="30" t="s">
        <v>67</v>
      </c>
      <c r="F216" s="30" t="s">
        <v>68</v>
      </c>
      <c r="G216" s="30" t="s">
        <v>106</v>
      </c>
      <c r="H216" s="32">
        <v>6</v>
      </c>
      <c r="I216" s="30" t="s">
        <v>21</v>
      </c>
      <c r="J216" s="41">
        <v>43843</v>
      </c>
      <c r="K216" s="30" t="s">
        <v>22</v>
      </c>
    </row>
    <row r="217" spans="1:11">
      <c r="A217" s="33" t="s">
        <v>622</v>
      </c>
      <c r="B217" s="33" t="s">
        <v>623</v>
      </c>
      <c r="C217" s="33" t="s">
        <v>75</v>
      </c>
      <c r="D217" s="33" t="s">
        <v>17</v>
      </c>
      <c r="E217" s="33" t="s">
        <v>26</v>
      </c>
      <c r="F217" s="33" t="s">
        <v>27</v>
      </c>
      <c r="G217" s="33" t="s">
        <v>20</v>
      </c>
      <c r="H217" s="35">
        <v>35</v>
      </c>
      <c r="I217" s="33" t="s">
        <v>21</v>
      </c>
      <c r="J217" s="42">
        <v>44032</v>
      </c>
      <c r="K217" s="33" t="s">
        <v>22</v>
      </c>
    </row>
    <row r="218" spans="1:11">
      <c r="A218" s="30" t="s">
        <v>624</v>
      </c>
      <c r="B218" s="30" t="s">
        <v>625</v>
      </c>
      <c r="C218" s="30" t="s">
        <v>626</v>
      </c>
      <c r="D218" s="30" t="s">
        <v>17</v>
      </c>
      <c r="E218" s="30" t="s">
        <v>18</v>
      </c>
      <c r="F218" s="30" t="s">
        <v>19</v>
      </c>
      <c r="G218" s="30" t="s">
        <v>158</v>
      </c>
      <c r="H218" s="32">
        <v>34</v>
      </c>
      <c r="I218" s="30" t="s">
        <v>21</v>
      </c>
      <c r="J218" s="41">
        <v>44026</v>
      </c>
      <c r="K218" s="30" t="s">
        <v>22</v>
      </c>
    </row>
    <row r="219" spans="1:11">
      <c r="A219" s="33" t="s">
        <v>627</v>
      </c>
      <c r="B219" s="33" t="s">
        <v>628</v>
      </c>
      <c r="C219" s="33" t="s">
        <v>629</v>
      </c>
      <c r="D219" s="33" t="s">
        <v>17</v>
      </c>
      <c r="E219" s="33" t="s">
        <v>31</v>
      </c>
      <c r="F219" s="33" t="s">
        <v>32</v>
      </c>
      <c r="G219" s="33" t="s">
        <v>20</v>
      </c>
      <c r="H219" s="35">
        <v>39</v>
      </c>
      <c r="I219" s="33" t="s">
        <v>21</v>
      </c>
      <c r="J219" s="42">
        <v>44000</v>
      </c>
      <c r="K219" s="33" t="s">
        <v>22</v>
      </c>
    </row>
    <row r="220" spans="1:11">
      <c r="A220" s="30" t="s">
        <v>630</v>
      </c>
      <c r="B220" s="30" t="s">
        <v>631</v>
      </c>
      <c r="C220" s="30" t="s">
        <v>632</v>
      </c>
      <c r="D220" s="30" t="s">
        <v>17</v>
      </c>
      <c r="E220" s="30" t="s">
        <v>26</v>
      </c>
      <c r="F220" s="30" t="s">
        <v>27</v>
      </c>
      <c r="G220" s="30" t="s">
        <v>20</v>
      </c>
      <c r="H220" s="32">
        <v>46</v>
      </c>
      <c r="I220" s="30" t="s">
        <v>21</v>
      </c>
      <c r="J220" s="41">
        <v>44101</v>
      </c>
      <c r="K220" s="30" t="s">
        <v>22</v>
      </c>
    </row>
    <row r="221" spans="1:11">
      <c r="A221" s="33" t="s">
        <v>633</v>
      </c>
      <c r="B221" s="33" t="s">
        <v>634</v>
      </c>
      <c r="C221" s="33" t="s">
        <v>635</v>
      </c>
      <c r="D221" s="33" t="s">
        <v>17</v>
      </c>
      <c r="E221" s="33" t="s">
        <v>26</v>
      </c>
      <c r="F221" s="33" t="s">
        <v>27</v>
      </c>
      <c r="G221" s="33" t="s">
        <v>20</v>
      </c>
      <c r="H221" s="35">
        <v>16</v>
      </c>
      <c r="I221" s="33" t="s">
        <v>21</v>
      </c>
      <c r="J221" s="42">
        <v>44068</v>
      </c>
      <c r="K221" s="33" t="s">
        <v>22</v>
      </c>
    </row>
    <row r="222" spans="1:11">
      <c r="A222" s="30" t="s">
        <v>636</v>
      </c>
      <c r="B222" s="30" t="s">
        <v>637</v>
      </c>
      <c r="C222" s="30" t="s">
        <v>638</v>
      </c>
      <c r="D222" s="30" t="s">
        <v>17</v>
      </c>
      <c r="E222" s="30" t="s">
        <v>18</v>
      </c>
      <c r="F222" s="30" t="s">
        <v>19</v>
      </c>
      <c r="G222" s="30" t="s">
        <v>20</v>
      </c>
      <c r="H222" s="32">
        <v>4031</v>
      </c>
      <c r="I222" s="30" t="s">
        <v>21</v>
      </c>
      <c r="J222" s="41">
        <v>44109</v>
      </c>
      <c r="K222" s="30" t="s">
        <v>22</v>
      </c>
    </row>
    <row r="223" spans="1:11">
      <c r="A223" s="33" t="s">
        <v>639</v>
      </c>
      <c r="B223" s="33" t="s">
        <v>640</v>
      </c>
      <c r="C223" s="33" t="s">
        <v>641</v>
      </c>
      <c r="D223" s="33" t="s">
        <v>17</v>
      </c>
      <c r="E223" s="33" t="s">
        <v>67</v>
      </c>
      <c r="F223" s="33" t="s">
        <v>68</v>
      </c>
      <c r="G223" s="33" t="s">
        <v>20</v>
      </c>
      <c r="H223" s="35">
        <v>119</v>
      </c>
      <c r="I223" s="33" t="s">
        <v>21</v>
      </c>
      <c r="J223" s="42">
        <v>44154</v>
      </c>
      <c r="K223" s="33" t="s">
        <v>22</v>
      </c>
    </row>
    <row r="224" spans="1:11">
      <c r="A224" s="30" t="s">
        <v>642</v>
      </c>
      <c r="B224" s="30" t="s">
        <v>643</v>
      </c>
      <c r="C224" s="30" t="s">
        <v>644</v>
      </c>
      <c r="D224" s="30" t="s">
        <v>17</v>
      </c>
      <c r="E224" s="30" t="s">
        <v>31</v>
      </c>
      <c r="F224" s="30" t="s">
        <v>32</v>
      </c>
      <c r="G224" s="30" t="s">
        <v>50</v>
      </c>
      <c r="H224" s="32">
        <v>57</v>
      </c>
      <c r="I224" s="30" t="s">
        <v>21</v>
      </c>
      <c r="J224" s="41">
        <v>44067</v>
      </c>
      <c r="K224" s="30" t="s">
        <v>22</v>
      </c>
    </row>
    <row r="225" spans="1:11">
      <c r="A225" s="33" t="s">
        <v>645</v>
      </c>
      <c r="B225" s="33" t="s">
        <v>646</v>
      </c>
      <c r="C225" s="33" t="s">
        <v>647</v>
      </c>
      <c r="D225" s="33" t="s">
        <v>17</v>
      </c>
      <c r="E225" s="33" t="s">
        <v>31</v>
      </c>
      <c r="F225" s="33" t="s">
        <v>32</v>
      </c>
      <c r="G225" s="33" t="s">
        <v>20</v>
      </c>
      <c r="H225" s="35">
        <v>18</v>
      </c>
      <c r="I225" s="33" t="s">
        <v>21</v>
      </c>
      <c r="J225" s="42">
        <v>43894</v>
      </c>
      <c r="K225" s="33" t="s">
        <v>22</v>
      </c>
    </row>
    <row r="226" spans="1:11">
      <c r="A226" s="30" t="s">
        <v>648</v>
      </c>
      <c r="B226" s="30" t="s">
        <v>649</v>
      </c>
      <c r="C226" s="30" t="s">
        <v>650</v>
      </c>
      <c r="D226" s="30" t="s">
        <v>17</v>
      </c>
      <c r="E226" s="30" t="s">
        <v>67</v>
      </c>
      <c r="F226" s="30" t="s">
        <v>68</v>
      </c>
      <c r="G226" s="30" t="s">
        <v>106</v>
      </c>
      <c r="H226" s="32">
        <v>31</v>
      </c>
      <c r="I226" s="30" t="s">
        <v>21</v>
      </c>
      <c r="J226" s="41">
        <v>44148</v>
      </c>
      <c r="K226" s="30" t="s">
        <v>22</v>
      </c>
    </row>
    <row r="227" spans="1:11">
      <c r="A227" s="33" t="s">
        <v>651</v>
      </c>
      <c r="B227" s="33" t="s">
        <v>652</v>
      </c>
      <c r="C227" s="33" t="s">
        <v>653</v>
      </c>
      <c r="D227" s="33" t="s">
        <v>17</v>
      </c>
      <c r="E227" s="33" t="s">
        <v>31</v>
      </c>
      <c r="F227" s="33" t="s">
        <v>32</v>
      </c>
      <c r="G227" s="33" t="s">
        <v>20</v>
      </c>
      <c r="H227" s="35">
        <v>60</v>
      </c>
      <c r="I227" s="33" t="s">
        <v>21</v>
      </c>
      <c r="J227" s="42">
        <v>44131</v>
      </c>
      <c r="K227" s="33" t="s">
        <v>22</v>
      </c>
    </row>
    <row r="228" spans="1:11">
      <c r="A228" s="30" t="s">
        <v>654</v>
      </c>
      <c r="B228" s="30" t="s">
        <v>655</v>
      </c>
      <c r="C228" s="30" t="s">
        <v>656</v>
      </c>
      <c r="D228" s="30" t="s">
        <v>17</v>
      </c>
      <c r="E228" s="30" t="s">
        <v>45</v>
      </c>
      <c r="F228" s="30" t="s">
        <v>46</v>
      </c>
      <c r="G228" s="30" t="s">
        <v>50</v>
      </c>
      <c r="H228" s="32">
        <v>700</v>
      </c>
      <c r="I228" s="30" t="s">
        <v>51</v>
      </c>
      <c r="J228" s="41">
        <v>44099</v>
      </c>
      <c r="K228" s="30" t="s">
        <v>22</v>
      </c>
    </row>
    <row r="229" spans="1:11">
      <c r="A229" s="33" t="s">
        <v>657</v>
      </c>
      <c r="B229" s="33" t="s">
        <v>658</v>
      </c>
      <c r="C229" s="33" t="s">
        <v>549</v>
      </c>
      <c r="D229" s="33" t="s">
        <v>17</v>
      </c>
      <c r="E229" s="33" t="s">
        <v>26</v>
      </c>
      <c r="F229" s="33" t="s">
        <v>27</v>
      </c>
      <c r="G229" s="33" t="s">
        <v>20</v>
      </c>
      <c r="H229" s="35">
        <v>62</v>
      </c>
      <c r="I229" s="33" t="s">
        <v>21</v>
      </c>
      <c r="J229" s="42">
        <v>44179</v>
      </c>
      <c r="K229" s="33" t="s">
        <v>22</v>
      </c>
    </row>
    <row r="230" spans="1:11">
      <c r="A230" s="30" t="s">
        <v>659</v>
      </c>
      <c r="B230" s="30" t="s">
        <v>660</v>
      </c>
      <c r="C230" s="30" t="s">
        <v>93</v>
      </c>
      <c r="D230" s="30" t="s">
        <v>17</v>
      </c>
      <c r="E230" s="30" t="s">
        <v>18</v>
      </c>
      <c r="F230" s="30" t="s">
        <v>19</v>
      </c>
      <c r="G230" s="30" t="s">
        <v>20</v>
      </c>
      <c r="H230" s="32">
        <v>119</v>
      </c>
      <c r="I230" s="30" t="s">
        <v>21</v>
      </c>
      <c r="J230" s="41">
        <v>44032</v>
      </c>
      <c r="K230" s="30" t="s">
        <v>22</v>
      </c>
    </row>
    <row r="231" spans="1:11">
      <c r="A231" s="33" t="s">
        <v>661</v>
      </c>
      <c r="B231" s="33" t="s">
        <v>662</v>
      </c>
      <c r="C231" s="33" t="s">
        <v>663</v>
      </c>
      <c r="D231" s="33" t="s">
        <v>17</v>
      </c>
      <c r="E231" s="33" t="s">
        <v>67</v>
      </c>
      <c r="F231" s="33" t="s">
        <v>68</v>
      </c>
      <c r="G231" s="33" t="s">
        <v>158</v>
      </c>
      <c r="H231" s="35">
        <v>263</v>
      </c>
      <c r="I231" s="33" t="s">
        <v>21</v>
      </c>
      <c r="J231" s="42">
        <v>44174</v>
      </c>
      <c r="K231" s="33" t="s">
        <v>22</v>
      </c>
    </row>
    <row r="232" spans="1:11">
      <c r="A232" s="30" t="s">
        <v>664</v>
      </c>
      <c r="B232" s="30" t="s">
        <v>665</v>
      </c>
      <c r="C232" s="30" t="s">
        <v>136</v>
      </c>
      <c r="D232" s="30" t="s">
        <v>17</v>
      </c>
      <c r="E232" s="30" t="s">
        <v>31</v>
      </c>
      <c r="F232" s="30" t="s">
        <v>32</v>
      </c>
      <c r="G232" s="30" t="s">
        <v>20</v>
      </c>
      <c r="H232" s="32">
        <v>38</v>
      </c>
      <c r="I232" s="30" t="s">
        <v>21</v>
      </c>
      <c r="J232" s="41">
        <v>44151</v>
      </c>
      <c r="K232" s="30" t="s">
        <v>22</v>
      </c>
    </row>
    <row r="233" spans="1:11">
      <c r="A233" s="33" t="s">
        <v>666</v>
      </c>
      <c r="B233" s="33" t="s">
        <v>667</v>
      </c>
      <c r="C233" s="33" t="s">
        <v>668</v>
      </c>
      <c r="D233" s="33" t="s">
        <v>17</v>
      </c>
      <c r="E233" s="33" t="s">
        <v>26</v>
      </c>
      <c r="F233" s="33" t="s">
        <v>27</v>
      </c>
      <c r="G233" s="33" t="s">
        <v>20</v>
      </c>
      <c r="H233" s="35">
        <v>64</v>
      </c>
      <c r="I233" s="33" t="s">
        <v>21</v>
      </c>
      <c r="J233" s="42">
        <v>43852</v>
      </c>
      <c r="K233" s="33" t="s">
        <v>22</v>
      </c>
    </row>
    <row r="234" spans="1:11">
      <c r="A234" s="30" t="s">
        <v>669</v>
      </c>
      <c r="B234" s="30" t="s">
        <v>670</v>
      </c>
      <c r="C234" s="30" t="s">
        <v>671</v>
      </c>
      <c r="D234" s="30" t="s">
        <v>17</v>
      </c>
      <c r="E234" s="30" t="s">
        <v>31</v>
      </c>
      <c r="F234" s="30" t="s">
        <v>32</v>
      </c>
      <c r="G234" s="30" t="s">
        <v>50</v>
      </c>
      <c r="H234" s="32">
        <v>280</v>
      </c>
      <c r="I234" s="30" t="s">
        <v>51</v>
      </c>
      <c r="J234" s="41">
        <v>44013</v>
      </c>
      <c r="K234" s="30" t="s">
        <v>22</v>
      </c>
    </row>
    <row r="235" spans="1:11">
      <c r="A235" s="33" t="s">
        <v>672</v>
      </c>
      <c r="B235" s="33" t="s">
        <v>673</v>
      </c>
      <c r="C235" s="33" t="s">
        <v>674</v>
      </c>
      <c r="D235" s="33" t="s">
        <v>17</v>
      </c>
      <c r="E235" s="33" t="s">
        <v>18</v>
      </c>
      <c r="F235" s="33" t="s">
        <v>19</v>
      </c>
      <c r="G235" s="33" t="s">
        <v>20</v>
      </c>
      <c r="H235" s="35">
        <v>316</v>
      </c>
      <c r="I235" s="33" t="s">
        <v>21</v>
      </c>
      <c r="J235" s="42">
        <v>43960</v>
      </c>
      <c r="K235" s="33" t="s">
        <v>22</v>
      </c>
    </row>
    <row r="236" spans="1:11">
      <c r="A236" s="30" t="s">
        <v>675</v>
      </c>
      <c r="B236" s="30" t="s">
        <v>676</v>
      </c>
      <c r="C236" s="30" t="s">
        <v>127</v>
      </c>
      <c r="D236" s="30" t="s">
        <v>17</v>
      </c>
      <c r="E236" s="30" t="s">
        <v>31</v>
      </c>
      <c r="F236" s="30" t="s">
        <v>32</v>
      </c>
      <c r="G236" s="30" t="s">
        <v>20</v>
      </c>
      <c r="H236" s="32">
        <v>63</v>
      </c>
      <c r="I236" s="30" t="s">
        <v>21</v>
      </c>
      <c r="J236" s="41">
        <v>43852</v>
      </c>
      <c r="K236" s="30" t="s">
        <v>22</v>
      </c>
    </row>
    <row r="237" spans="1:11">
      <c r="A237" s="33" t="s">
        <v>677</v>
      </c>
      <c r="B237" s="33" t="s">
        <v>678</v>
      </c>
      <c r="C237" s="33" t="s">
        <v>102</v>
      </c>
      <c r="D237" s="33" t="s">
        <v>17</v>
      </c>
      <c r="E237" s="33" t="s">
        <v>18</v>
      </c>
      <c r="F237" s="33" t="s">
        <v>19</v>
      </c>
      <c r="G237" s="33" t="s">
        <v>20</v>
      </c>
      <c r="H237" s="35">
        <v>588</v>
      </c>
      <c r="I237" s="33" t="s">
        <v>21</v>
      </c>
      <c r="J237" s="42">
        <v>44090</v>
      </c>
      <c r="K237" s="33" t="s">
        <v>22</v>
      </c>
    </row>
    <row r="238" spans="1:11">
      <c r="A238" s="30" t="s">
        <v>679</v>
      </c>
      <c r="B238" s="30" t="s">
        <v>680</v>
      </c>
      <c r="C238" s="30" t="s">
        <v>681</v>
      </c>
      <c r="D238" s="30" t="s">
        <v>17</v>
      </c>
      <c r="E238" s="30" t="s">
        <v>18</v>
      </c>
      <c r="F238" s="30" t="s">
        <v>19</v>
      </c>
      <c r="G238" s="30" t="s">
        <v>112</v>
      </c>
      <c r="H238" s="32">
        <v>0</v>
      </c>
      <c r="I238" s="30" t="s">
        <v>21</v>
      </c>
      <c r="J238" s="41">
        <v>44075</v>
      </c>
      <c r="K238" s="30" t="s">
        <v>22</v>
      </c>
    </row>
    <row r="239" spans="1:11">
      <c r="A239" s="33" t="s">
        <v>682</v>
      </c>
      <c r="B239" s="33" t="s">
        <v>683</v>
      </c>
      <c r="C239" s="33" t="s">
        <v>684</v>
      </c>
      <c r="D239" s="33" t="s">
        <v>17</v>
      </c>
      <c r="E239" s="33" t="s">
        <v>26</v>
      </c>
      <c r="F239" s="33" t="s">
        <v>27</v>
      </c>
      <c r="G239" s="33" t="s">
        <v>20</v>
      </c>
      <c r="H239" s="35">
        <v>48</v>
      </c>
      <c r="I239" s="33" t="s">
        <v>21</v>
      </c>
      <c r="J239" s="42">
        <v>43903</v>
      </c>
      <c r="K239" s="33" t="s">
        <v>22</v>
      </c>
    </row>
    <row r="240" spans="1:11">
      <c r="A240" s="30" t="s">
        <v>685</v>
      </c>
      <c r="B240" s="30" t="s">
        <v>686</v>
      </c>
      <c r="C240" s="30" t="s">
        <v>687</v>
      </c>
      <c r="D240" s="30" t="s">
        <v>17</v>
      </c>
      <c r="E240" s="30" t="s">
        <v>26</v>
      </c>
      <c r="F240" s="30" t="s">
        <v>27</v>
      </c>
      <c r="G240" s="30" t="s">
        <v>20</v>
      </c>
      <c r="H240" s="32">
        <v>13</v>
      </c>
      <c r="I240" s="30" t="s">
        <v>21</v>
      </c>
      <c r="J240" s="41">
        <v>44180</v>
      </c>
      <c r="K240" s="30" t="s">
        <v>22</v>
      </c>
    </row>
    <row r="241" spans="1:11">
      <c r="A241" s="33" t="s">
        <v>688</v>
      </c>
      <c r="B241" s="33" t="s">
        <v>689</v>
      </c>
      <c r="C241" s="33" t="s">
        <v>44</v>
      </c>
      <c r="D241" s="33" t="s">
        <v>17</v>
      </c>
      <c r="E241" s="33" t="s">
        <v>45</v>
      </c>
      <c r="F241" s="33" t="s">
        <v>46</v>
      </c>
      <c r="G241" s="33" t="s">
        <v>20</v>
      </c>
      <c r="H241" s="35">
        <v>10</v>
      </c>
      <c r="I241" s="33" t="s">
        <v>21</v>
      </c>
      <c r="J241" s="42">
        <v>43857</v>
      </c>
      <c r="K241" s="33" t="s">
        <v>22</v>
      </c>
    </row>
    <row r="242" spans="1:11">
      <c r="A242" s="30" t="s">
        <v>690</v>
      </c>
      <c r="B242" s="30" t="s">
        <v>691</v>
      </c>
      <c r="C242" s="30" t="s">
        <v>692</v>
      </c>
      <c r="D242" s="30" t="s">
        <v>17</v>
      </c>
      <c r="E242" s="30" t="s">
        <v>18</v>
      </c>
      <c r="F242" s="30" t="s">
        <v>19</v>
      </c>
      <c r="G242" s="30" t="s">
        <v>106</v>
      </c>
      <c r="H242" s="32">
        <v>713</v>
      </c>
      <c r="I242" s="30" t="s">
        <v>21</v>
      </c>
      <c r="J242" s="41">
        <v>44162</v>
      </c>
      <c r="K242" s="30" t="s">
        <v>22</v>
      </c>
    </row>
    <row r="243" spans="1:11">
      <c r="A243" s="33" t="s">
        <v>693</v>
      </c>
      <c r="B243" s="33" t="s">
        <v>694</v>
      </c>
      <c r="C243" s="33" t="s">
        <v>695</v>
      </c>
      <c r="D243" s="33" t="s">
        <v>17</v>
      </c>
      <c r="E243" s="33" t="s">
        <v>26</v>
      </c>
      <c r="F243" s="33" t="s">
        <v>27</v>
      </c>
      <c r="G243" s="33" t="s">
        <v>106</v>
      </c>
      <c r="H243" s="35">
        <v>16</v>
      </c>
      <c r="I243" s="33" t="s">
        <v>21</v>
      </c>
      <c r="J243" s="42">
        <v>43853</v>
      </c>
      <c r="K243" s="33" t="s">
        <v>22</v>
      </c>
    </row>
    <row r="244" spans="1:11">
      <c r="A244" s="30" t="s">
        <v>696</v>
      </c>
      <c r="B244" s="30" t="s">
        <v>697</v>
      </c>
      <c r="C244" s="30" t="s">
        <v>698</v>
      </c>
      <c r="D244" s="30" t="s">
        <v>17</v>
      </c>
      <c r="E244" s="30" t="s">
        <v>26</v>
      </c>
      <c r="F244" s="30" t="s">
        <v>27</v>
      </c>
      <c r="G244" s="30" t="s">
        <v>20</v>
      </c>
      <c r="H244" s="32">
        <v>295</v>
      </c>
      <c r="I244" s="30" t="s">
        <v>21</v>
      </c>
      <c r="J244" s="41">
        <v>44135</v>
      </c>
      <c r="K244" s="30" t="s">
        <v>22</v>
      </c>
    </row>
    <row r="245" spans="1:11">
      <c r="A245" s="33" t="s">
        <v>699</v>
      </c>
      <c r="B245" s="33" t="s">
        <v>700</v>
      </c>
      <c r="C245" s="33" t="s">
        <v>701</v>
      </c>
      <c r="D245" s="33" t="s">
        <v>17</v>
      </c>
      <c r="E245" s="33" t="s">
        <v>26</v>
      </c>
      <c r="F245" s="33" t="s">
        <v>27</v>
      </c>
      <c r="G245" s="33" t="s">
        <v>50</v>
      </c>
      <c r="H245" s="35">
        <v>50</v>
      </c>
      <c r="I245" s="33" t="s">
        <v>21</v>
      </c>
      <c r="J245" s="42">
        <v>44062</v>
      </c>
      <c r="K245" s="33" t="s">
        <v>22</v>
      </c>
    </row>
    <row r="246" spans="1:11">
      <c r="A246" s="30" t="s">
        <v>702</v>
      </c>
      <c r="B246" s="30" t="s">
        <v>703</v>
      </c>
      <c r="C246" s="30" t="s">
        <v>353</v>
      </c>
      <c r="D246" s="30" t="s">
        <v>17</v>
      </c>
      <c r="E246" s="30" t="s">
        <v>26</v>
      </c>
      <c r="F246" s="30" t="s">
        <v>27</v>
      </c>
      <c r="G246" s="30" t="s">
        <v>50</v>
      </c>
      <c r="H246" s="32">
        <v>28</v>
      </c>
      <c r="I246" s="30" t="s">
        <v>51</v>
      </c>
      <c r="J246" s="41">
        <v>44082</v>
      </c>
      <c r="K246" s="30" t="s">
        <v>22</v>
      </c>
    </row>
    <row r="247" spans="1:11">
      <c r="A247" s="33" t="s">
        <v>704</v>
      </c>
      <c r="B247" s="33" t="s">
        <v>705</v>
      </c>
      <c r="C247" s="33" t="s">
        <v>706</v>
      </c>
      <c r="D247" s="33" t="s">
        <v>17</v>
      </c>
      <c r="E247" s="33" t="s">
        <v>26</v>
      </c>
      <c r="F247" s="33" t="s">
        <v>27</v>
      </c>
      <c r="G247" s="33" t="s">
        <v>50</v>
      </c>
      <c r="H247" s="35">
        <v>63</v>
      </c>
      <c r="I247" s="33" t="s">
        <v>51</v>
      </c>
      <c r="J247" s="42">
        <v>44049</v>
      </c>
      <c r="K247" s="33" t="s">
        <v>22</v>
      </c>
    </row>
    <row r="248" spans="1:11">
      <c r="A248" s="30" t="s">
        <v>707</v>
      </c>
      <c r="B248" s="30" t="s">
        <v>708</v>
      </c>
      <c r="C248" s="30" t="s">
        <v>709</v>
      </c>
      <c r="D248" s="30" t="s">
        <v>17</v>
      </c>
      <c r="E248" s="30" t="s">
        <v>26</v>
      </c>
      <c r="F248" s="30" t="s">
        <v>27</v>
      </c>
      <c r="G248" s="30" t="s">
        <v>20</v>
      </c>
      <c r="H248" s="32">
        <v>24</v>
      </c>
      <c r="I248" s="30" t="s">
        <v>21</v>
      </c>
      <c r="J248" s="41">
        <v>44194</v>
      </c>
      <c r="K248" s="30" t="s">
        <v>22</v>
      </c>
    </row>
    <row r="249" spans="1:11">
      <c r="A249" s="33" t="s">
        <v>710</v>
      </c>
      <c r="B249" s="33" t="s">
        <v>711</v>
      </c>
      <c r="C249" s="33" t="s">
        <v>712</v>
      </c>
      <c r="D249" s="33" t="s">
        <v>17</v>
      </c>
      <c r="E249" s="33" t="s">
        <v>31</v>
      </c>
      <c r="F249" s="33" t="s">
        <v>32</v>
      </c>
      <c r="G249" s="33" t="s">
        <v>20</v>
      </c>
      <c r="H249" s="35">
        <v>62</v>
      </c>
      <c r="I249" s="33" t="s">
        <v>21</v>
      </c>
      <c r="J249" s="42">
        <v>43840</v>
      </c>
      <c r="K249" s="33" t="s">
        <v>22</v>
      </c>
    </row>
    <row r="250" spans="1:11">
      <c r="A250" s="30" t="s">
        <v>713</v>
      </c>
      <c r="B250" s="30" t="s">
        <v>714</v>
      </c>
      <c r="C250" s="30" t="s">
        <v>715</v>
      </c>
      <c r="D250" s="30" t="s">
        <v>17</v>
      </c>
      <c r="E250" s="30" t="s">
        <v>67</v>
      </c>
      <c r="F250" s="30" t="s">
        <v>68</v>
      </c>
      <c r="G250" s="30" t="s">
        <v>106</v>
      </c>
      <c r="H250" s="32">
        <v>9</v>
      </c>
      <c r="I250" s="30" t="s">
        <v>21</v>
      </c>
      <c r="J250" s="41">
        <v>44078</v>
      </c>
      <c r="K250" s="30" t="s">
        <v>22</v>
      </c>
    </row>
    <row r="251" spans="1:11">
      <c r="A251" s="33" t="s">
        <v>716</v>
      </c>
      <c r="B251" s="33" t="s">
        <v>717</v>
      </c>
      <c r="C251" s="33" t="s">
        <v>718</v>
      </c>
      <c r="D251" s="33" t="s">
        <v>17</v>
      </c>
      <c r="E251" s="33" t="s">
        <v>212</v>
      </c>
      <c r="F251" s="33" t="s">
        <v>213</v>
      </c>
      <c r="G251" s="33" t="s">
        <v>20</v>
      </c>
      <c r="H251" s="35">
        <v>2007</v>
      </c>
      <c r="I251" s="33" t="s">
        <v>21</v>
      </c>
      <c r="J251" s="42">
        <v>43964</v>
      </c>
      <c r="K251" s="33" t="s">
        <v>22</v>
      </c>
    </row>
    <row r="252" spans="1:11">
      <c r="A252" s="30" t="s">
        <v>719</v>
      </c>
      <c r="B252" s="30" t="s">
        <v>720</v>
      </c>
      <c r="C252" s="30" t="s">
        <v>721</v>
      </c>
      <c r="D252" s="30" t="s">
        <v>17</v>
      </c>
      <c r="E252" s="30" t="s">
        <v>26</v>
      </c>
      <c r="F252" s="30" t="s">
        <v>27</v>
      </c>
      <c r="G252" s="30" t="s">
        <v>20</v>
      </c>
      <c r="H252" s="32">
        <v>27</v>
      </c>
      <c r="I252" s="30" t="s">
        <v>21</v>
      </c>
      <c r="J252" s="41">
        <v>43871</v>
      </c>
      <c r="K252" s="30" t="s">
        <v>22</v>
      </c>
    </row>
    <row r="253" spans="1:11">
      <c r="A253" s="33" t="s">
        <v>722</v>
      </c>
      <c r="B253" s="33" t="s">
        <v>723</v>
      </c>
      <c r="C253" s="33" t="s">
        <v>647</v>
      </c>
      <c r="D253" s="33" t="s">
        <v>17</v>
      </c>
      <c r="E253" s="33" t="s">
        <v>18</v>
      </c>
      <c r="F253" s="33" t="s">
        <v>19</v>
      </c>
      <c r="G253" s="33" t="s">
        <v>20</v>
      </c>
      <c r="H253" s="35">
        <v>419</v>
      </c>
      <c r="I253" s="33" t="s">
        <v>21</v>
      </c>
      <c r="J253" s="42">
        <v>43972</v>
      </c>
      <c r="K253" s="33" t="s">
        <v>22</v>
      </c>
    </row>
    <row r="254" spans="1:11">
      <c r="A254" s="30" t="s">
        <v>724</v>
      </c>
      <c r="B254" s="30" t="s">
        <v>725</v>
      </c>
      <c r="C254" s="30" t="s">
        <v>203</v>
      </c>
      <c r="D254" s="30" t="s">
        <v>17</v>
      </c>
      <c r="E254" s="30" t="s">
        <v>18</v>
      </c>
      <c r="F254" s="30" t="s">
        <v>19</v>
      </c>
      <c r="G254" s="30" t="s">
        <v>106</v>
      </c>
      <c r="H254" s="32">
        <v>389</v>
      </c>
      <c r="I254" s="30" t="s">
        <v>21</v>
      </c>
      <c r="J254" s="41">
        <v>43867</v>
      </c>
      <c r="K254" s="30" t="s">
        <v>22</v>
      </c>
    </row>
    <row r="255" spans="1:11">
      <c r="A255" s="33" t="s">
        <v>726</v>
      </c>
      <c r="B255" s="33" t="s">
        <v>727</v>
      </c>
      <c r="C255" s="33" t="s">
        <v>346</v>
      </c>
      <c r="D255" s="33" t="s">
        <v>17</v>
      </c>
      <c r="E255" s="33" t="s">
        <v>26</v>
      </c>
      <c r="F255" s="33" t="s">
        <v>27</v>
      </c>
      <c r="G255" s="33" t="s">
        <v>158</v>
      </c>
      <c r="H255" s="35">
        <v>82</v>
      </c>
      <c r="I255" s="33" t="s">
        <v>21</v>
      </c>
      <c r="J255" s="42">
        <v>44153</v>
      </c>
      <c r="K255" s="33" t="s">
        <v>22</v>
      </c>
    </row>
    <row r="256" spans="1:11">
      <c r="A256" s="30" t="s">
        <v>728</v>
      </c>
      <c r="B256" s="30" t="s">
        <v>729</v>
      </c>
      <c r="C256" s="30" t="s">
        <v>730</v>
      </c>
      <c r="D256" s="30" t="s">
        <v>17</v>
      </c>
      <c r="E256" s="30" t="s">
        <v>26</v>
      </c>
      <c r="F256" s="30" t="s">
        <v>27</v>
      </c>
      <c r="G256" s="30" t="s">
        <v>20</v>
      </c>
      <c r="H256" s="32">
        <v>35</v>
      </c>
      <c r="I256" s="30" t="s">
        <v>21</v>
      </c>
      <c r="J256" s="41">
        <v>44095</v>
      </c>
      <c r="K256" s="30" t="s">
        <v>22</v>
      </c>
    </row>
    <row r="257" spans="1:11">
      <c r="A257" s="33" t="s">
        <v>731</v>
      </c>
      <c r="B257" s="33" t="s">
        <v>732</v>
      </c>
      <c r="C257" s="33" t="s">
        <v>733</v>
      </c>
      <c r="D257" s="33" t="s">
        <v>17</v>
      </c>
      <c r="E257" s="33" t="s">
        <v>26</v>
      </c>
      <c r="F257" s="33" t="s">
        <v>27</v>
      </c>
      <c r="G257" s="33" t="s">
        <v>20</v>
      </c>
      <c r="H257" s="35">
        <v>60</v>
      </c>
      <c r="I257" s="33" t="s">
        <v>21</v>
      </c>
      <c r="J257" s="42">
        <v>44179</v>
      </c>
      <c r="K257" s="33" t="s">
        <v>22</v>
      </c>
    </row>
    <row r="258" spans="1:11">
      <c r="A258" s="30" t="s">
        <v>734</v>
      </c>
      <c r="B258" s="30" t="s">
        <v>735</v>
      </c>
      <c r="C258" s="30" t="s">
        <v>736</v>
      </c>
      <c r="D258" s="30" t="s">
        <v>17</v>
      </c>
      <c r="E258" s="30" t="s">
        <v>31</v>
      </c>
      <c r="F258" s="30" t="s">
        <v>32</v>
      </c>
      <c r="G258" s="30" t="s">
        <v>106</v>
      </c>
      <c r="H258" s="32">
        <v>5</v>
      </c>
      <c r="I258" s="30" t="s">
        <v>21</v>
      </c>
      <c r="J258" s="41">
        <v>44054</v>
      </c>
      <c r="K258" s="30" t="s">
        <v>22</v>
      </c>
    </row>
    <row r="259" spans="1:11">
      <c r="A259" s="33" t="s">
        <v>737</v>
      </c>
      <c r="B259" s="33" t="s">
        <v>738</v>
      </c>
      <c r="C259" s="33" t="s">
        <v>739</v>
      </c>
      <c r="D259" s="33" t="s">
        <v>17</v>
      </c>
      <c r="E259" s="33" t="s">
        <v>31</v>
      </c>
      <c r="F259" s="33" t="s">
        <v>32</v>
      </c>
      <c r="G259" s="33" t="s">
        <v>106</v>
      </c>
      <c r="H259" s="35">
        <v>34</v>
      </c>
      <c r="I259" s="33" t="s">
        <v>21</v>
      </c>
      <c r="J259" s="42">
        <v>44133</v>
      </c>
      <c r="K259" s="33" t="s">
        <v>22</v>
      </c>
    </row>
    <row r="260" spans="1:11">
      <c r="A260" s="30" t="s">
        <v>740</v>
      </c>
      <c r="B260" s="30" t="s">
        <v>741</v>
      </c>
      <c r="C260" s="30" t="s">
        <v>136</v>
      </c>
      <c r="D260" s="30" t="s">
        <v>17</v>
      </c>
      <c r="E260" s="30" t="s">
        <v>31</v>
      </c>
      <c r="F260" s="30" t="s">
        <v>32</v>
      </c>
      <c r="G260" s="30" t="s">
        <v>20</v>
      </c>
      <c r="H260" s="32">
        <v>1755</v>
      </c>
      <c r="I260" s="30" t="s">
        <v>21</v>
      </c>
      <c r="J260" s="41">
        <v>44133</v>
      </c>
      <c r="K260" s="30" t="s">
        <v>22</v>
      </c>
    </row>
    <row r="261" spans="1:11">
      <c r="A261" s="33" t="s">
        <v>742</v>
      </c>
      <c r="B261" s="33" t="s">
        <v>743</v>
      </c>
      <c r="C261" s="33" t="s">
        <v>744</v>
      </c>
      <c r="D261" s="33" t="s">
        <v>17</v>
      </c>
      <c r="E261" s="33" t="s">
        <v>26</v>
      </c>
      <c r="F261" s="33" t="s">
        <v>27</v>
      </c>
      <c r="G261" s="33" t="s">
        <v>20</v>
      </c>
      <c r="H261" s="35">
        <v>61</v>
      </c>
      <c r="I261" s="33" t="s">
        <v>21</v>
      </c>
      <c r="J261" s="42">
        <v>44119</v>
      </c>
      <c r="K261" s="33" t="s">
        <v>22</v>
      </c>
    </row>
    <row r="262" spans="1:11">
      <c r="A262" s="30" t="s">
        <v>745</v>
      </c>
      <c r="B262" s="30" t="s">
        <v>746</v>
      </c>
      <c r="C262" s="30" t="s">
        <v>747</v>
      </c>
      <c r="D262" s="30" t="s">
        <v>17</v>
      </c>
      <c r="E262" s="30" t="s">
        <v>31</v>
      </c>
      <c r="F262" s="30" t="s">
        <v>32</v>
      </c>
      <c r="G262" s="30" t="s">
        <v>50</v>
      </c>
      <c r="H262" s="32">
        <v>78</v>
      </c>
      <c r="I262" s="30" t="s">
        <v>51</v>
      </c>
      <c r="J262" s="41">
        <v>44055</v>
      </c>
      <c r="K262" s="30" t="s">
        <v>22</v>
      </c>
    </row>
    <row r="263" spans="1:11">
      <c r="A263" s="33" t="s">
        <v>748</v>
      </c>
      <c r="B263" s="33" t="s">
        <v>749</v>
      </c>
      <c r="C263" s="33" t="s">
        <v>750</v>
      </c>
      <c r="D263" s="33" t="s">
        <v>17</v>
      </c>
      <c r="E263" s="33" t="s">
        <v>31</v>
      </c>
      <c r="F263" s="33" t="s">
        <v>32</v>
      </c>
      <c r="G263" s="33" t="s">
        <v>20</v>
      </c>
      <c r="H263" s="35">
        <v>156</v>
      </c>
      <c r="I263" s="33" t="s">
        <v>21</v>
      </c>
      <c r="J263" s="42">
        <v>43978</v>
      </c>
      <c r="K263" s="33" t="s">
        <v>22</v>
      </c>
    </row>
    <row r="264" spans="1:11">
      <c r="A264" s="30" t="s">
        <v>751</v>
      </c>
      <c r="B264" s="30" t="s">
        <v>752</v>
      </c>
      <c r="C264" s="30" t="s">
        <v>753</v>
      </c>
      <c r="D264" s="30" t="s">
        <v>17</v>
      </c>
      <c r="E264" s="30" t="s">
        <v>18</v>
      </c>
      <c r="F264" s="30" t="s">
        <v>19</v>
      </c>
      <c r="G264" s="30" t="s">
        <v>20</v>
      </c>
      <c r="H264" s="32">
        <v>159</v>
      </c>
      <c r="I264" s="30" t="s">
        <v>21</v>
      </c>
      <c r="J264" s="41">
        <v>44168</v>
      </c>
      <c r="K264" s="30" t="s">
        <v>22</v>
      </c>
    </row>
    <row r="265" spans="1:11">
      <c r="A265" s="33" t="s">
        <v>754</v>
      </c>
      <c r="B265" s="33" t="s">
        <v>755</v>
      </c>
      <c r="C265" s="33" t="s">
        <v>756</v>
      </c>
      <c r="D265" s="33" t="s">
        <v>17</v>
      </c>
      <c r="E265" s="33" t="s">
        <v>31</v>
      </c>
      <c r="F265" s="33" t="s">
        <v>32</v>
      </c>
      <c r="G265" s="33" t="s">
        <v>158</v>
      </c>
      <c r="H265" s="35">
        <v>8</v>
      </c>
      <c r="I265" s="33" t="s">
        <v>51</v>
      </c>
      <c r="J265" s="42">
        <v>44012</v>
      </c>
      <c r="K265" s="33" t="s">
        <v>22</v>
      </c>
    </row>
    <row r="266" spans="1:11">
      <c r="A266" s="30" t="s">
        <v>757</v>
      </c>
      <c r="B266" s="30" t="s">
        <v>758</v>
      </c>
      <c r="C266" s="30" t="s">
        <v>759</v>
      </c>
      <c r="D266" s="30" t="s">
        <v>17</v>
      </c>
      <c r="E266" s="30" t="s">
        <v>18</v>
      </c>
      <c r="F266" s="30" t="s">
        <v>19</v>
      </c>
      <c r="G266" s="30" t="s">
        <v>158</v>
      </c>
      <c r="H266" s="32">
        <v>114</v>
      </c>
      <c r="I266" s="30" t="s">
        <v>21</v>
      </c>
      <c r="J266" s="41">
        <v>44119</v>
      </c>
      <c r="K266" s="30" t="s">
        <v>22</v>
      </c>
    </row>
    <row r="267" spans="1:11">
      <c r="A267" s="33" t="s">
        <v>760</v>
      </c>
      <c r="B267" s="33" t="s">
        <v>761</v>
      </c>
      <c r="C267" s="33" t="s">
        <v>762</v>
      </c>
      <c r="D267" s="33" t="s">
        <v>17</v>
      </c>
      <c r="E267" s="33" t="s">
        <v>18</v>
      </c>
      <c r="F267" s="33" t="s">
        <v>19</v>
      </c>
      <c r="G267" s="33" t="s">
        <v>106</v>
      </c>
      <c r="H267" s="35">
        <v>124</v>
      </c>
      <c r="I267" s="33" t="s">
        <v>21</v>
      </c>
      <c r="J267" s="42">
        <v>44176</v>
      </c>
      <c r="K267" s="33" t="s">
        <v>22</v>
      </c>
    </row>
    <row r="268" spans="1:11">
      <c r="A268" s="30" t="s">
        <v>763</v>
      </c>
      <c r="B268" s="30" t="s">
        <v>764</v>
      </c>
      <c r="C268" s="30" t="s">
        <v>231</v>
      </c>
      <c r="D268" s="30" t="s">
        <v>17</v>
      </c>
      <c r="E268" s="30" t="s">
        <v>26</v>
      </c>
      <c r="F268" s="30" t="s">
        <v>27</v>
      </c>
      <c r="G268" s="30" t="s">
        <v>20</v>
      </c>
      <c r="H268" s="32">
        <v>87</v>
      </c>
      <c r="I268" s="30" t="s">
        <v>21</v>
      </c>
      <c r="J268" s="41">
        <v>44012</v>
      </c>
      <c r="K268" s="30" t="s">
        <v>22</v>
      </c>
    </row>
    <row r="269" spans="1:11">
      <c r="A269" s="33" t="s">
        <v>765</v>
      </c>
      <c r="B269" s="33" t="s">
        <v>766</v>
      </c>
      <c r="C269" s="33" t="s">
        <v>190</v>
      </c>
      <c r="D269" s="33" t="s">
        <v>17</v>
      </c>
      <c r="E269" s="33" t="s">
        <v>26</v>
      </c>
      <c r="F269" s="33" t="s">
        <v>27</v>
      </c>
      <c r="G269" s="33" t="s">
        <v>20</v>
      </c>
      <c r="H269" s="35">
        <v>16</v>
      </c>
      <c r="I269" s="33" t="s">
        <v>21</v>
      </c>
      <c r="J269" s="42">
        <v>43851</v>
      </c>
      <c r="K269" s="33" t="s">
        <v>22</v>
      </c>
    </row>
    <row r="270" spans="1:11">
      <c r="A270" s="30" t="s">
        <v>767</v>
      </c>
      <c r="B270" s="30" t="s">
        <v>768</v>
      </c>
      <c r="C270" s="30" t="s">
        <v>326</v>
      </c>
      <c r="D270" s="30" t="s">
        <v>17</v>
      </c>
      <c r="E270" s="30" t="s">
        <v>26</v>
      </c>
      <c r="F270" s="30" t="s">
        <v>27</v>
      </c>
      <c r="G270" s="30" t="s">
        <v>106</v>
      </c>
      <c r="H270" s="32">
        <v>4</v>
      </c>
      <c r="I270" s="30" t="s">
        <v>21</v>
      </c>
      <c r="J270" s="41">
        <v>44046</v>
      </c>
      <c r="K270" s="30" t="s">
        <v>22</v>
      </c>
    </row>
    <row r="271" spans="1:11">
      <c r="A271" s="33" t="s">
        <v>769</v>
      </c>
      <c r="B271" s="33" t="s">
        <v>770</v>
      </c>
      <c r="C271" s="33" t="s">
        <v>771</v>
      </c>
      <c r="D271" s="33" t="s">
        <v>17</v>
      </c>
      <c r="E271" s="33" t="s">
        <v>67</v>
      </c>
      <c r="F271" s="33" t="s">
        <v>68</v>
      </c>
      <c r="G271" s="33" t="s">
        <v>140</v>
      </c>
      <c r="H271" s="35">
        <v>320</v>
      </c>
      <c r="I271" s="33" t="s">
        <v>51</v>
      </c>
      <c r="J271" s="42">
        <v>44056</v>
      </c>
      <c r="K271" s="33" t="s">
        <v>22</v>
      </c>
    </row>
    <row r="272" spans="1:11">
      <c r="A272" s="30" t="s">
        <v>772</v>
      </c>
      <c r="B272" s="30" t="s">
        <v>773</v>
      </c>
      <c r="C272" s="30" t="s">
        <v>774</v>
      </c>
      <c r="D272" s="30" t="s">
        <v>17</v>
      </c>
      <c r="E272" s="30" t="s">
        <v>18</v>
      </c>
      <c r="F272" s="30" t="s">
        <v>19</v>
      </c>
      <c r="G272" s="30" t="s">
        <v>20</v>
      </c>
      <c r="H272" s="32">
        <v>121</v>
      </c>
      <c r="I272" s="30" t="s">
        <v>21</v>
      </c>
      <c r="J272" s="41">
        <v>44124</v>
      </c>
      <c r="K272" s="30" t="s">
        <v>22</v>
      </c>
    </row>
    <row r="273" spans="1:11">
      <c r="A273" s="33" t="s">
        <v>775</v>
      </c>
      <c r="B273" s="33" t="s">
        <v>776</v>
      </c>
      <c r="C273" s="33" t="s">
        <v>647</v>
      </c>
      <c r="D273" s="33" t="s">
        <v>17</v>
      </c>
      <c r="E273" s="33" t="s">
        <v>31</v>
      </c>
      <c r="F273" s="33" t="s">
        <v>32</v>
      </c>
      <c r="G273" s="33" t="s">
        <v>20</v>
      </c>
      <c r="H273" s="35">
        <v>499</v>
      </c>
      <c r="I273" s="33" t="s">
        <v>21</v>
      </c>
      <c r="J273" s="42">
        <v>44180</v>
      </c>
      <c r="K273" s="33" t="s">
        <v>22</v>
      </c>
    </row>
    <row r="274" spans="1:11">
      <c r="A274" s="30" t="s">
        <v>777</v>
      </c>
      <c r="B274" s="30" t="s">
        <v>778</v>
      </c>
      <c r="C274" s="30" t="s">
        <v>779</v>
      </c>
      <c r="D274" s="30" t="s">
        <v>17</v>
      </c>
      <c r="E274" s="30" t="s">
        <v>26</v>
      </c>
      <c r="F274" s="30" t="s">
        <v>27</v>
      </c>
      <c r="G274" s="30" t="s">
        <v>20</v>
      </c>
      <c r="H274" s="32">
        <v>51</v>
      </c>
      <c r="I274" s="30" t="s">
        <v>21</v>
      </c>
      <c r="J274" s="41">
        <v>44131</v>
      </c>
      <c r="K274" s="30" t="s">
        <v>22</v>
      </c>
    </row>
    <row r="275" spans="1:11">
      <c r="A275" s="33" t="s">
        <v>780</v>
      </c>
      <c r="B275" s="33" t="s">
        <v>781</v>
      </c>
      <c r="C275" s="33" t="s">
        <v>782</v>
      </c>
      <c r="D275" s="33" t="s">
        <v>17</v>
      </c>
      <c r="E275" s="33" t="s">
        <v>26</v>
      </c>
      <c r="F275" s="33" t="s">
        <v>27</v>
      </c>
      <c r="G275" s="33" t="s">
        <v>20</v>
      </c>
      <c r="H275" s="35">
        <v>42</v>
      </c>
      <c r="I275" s="33" t="s">
        <v>21</v>
      </c>
      <c r="J275" s="42">
        <v>43859</v>
      </c>
      <c r="K275" s="33" t="s">
        <v>22</v>
      </c>
    </row>
    <row r="276" spans="1:11">
      <c r="A276" s="30" t="s">
        <v>783</v>
      </c>
      <c r="B276" s="30" t="s">
        <v>784</v>
      </c>
      <c r="C276" s="30" t="s">
        <v>190</v>
      </c>
      <c r="D276" s="30" t="s">
        <v>17</v>
      </c>
      <c r="E276" s="30" t="s">
        <v>18</v>
      </c>
      <c r="F276" s="30" t="s">
        <v>19</v>
      </c>
      <c r="G276" s="30" t="s">
        <v>20</v>
      </c>
      <c r="H276" s="32">
        <v>2274</v>
      </c>
      <c r="I276" s="30" t="s">
        <v>21</v>
      </c>
      <c r="J276" s="41">
        <v>44180</v>
      </c>
      <c r="K276" s="30" t="s">
        <v>22</v>
      </c>
    </row>
    <row r="277" spans="1:11">
      <c r="A277" s="33" t="s">
        <v>785</v>
      </c>
      <c r="B277" s="33" t="s">
        <v>786</v>
      </c>
      <c r="C277" s="33" t="s">
        <v>787</v>
      </c>
      <c r="D277" s="33" t="s">
        <v>17</v>
      </c>
      <c r="E277" s="33" t="s">
        <v>67</v>
      </c>
      <c r="F277" s="33" t="s">
        <v>68</v>
      </c>
      <c r="G277" s="33" t="s">
        <v>50</v>
      </c>
      <c r="H277" s="35">
        <v>43</v>
      </c>
      <c r="I277" s="33" t="s">
        <v>21</v>
      </c>
      <c r="J277" s="42">
        <v>44040</v>
      </c>
      <c r="K277" s="33" t="s">
        <v>22</v>
      </c>
    </row>
    <row r="278" spans="1:11">
      <c r="A278" s="30" t="s">
        <v>788</v>
      </c>
      <c r="B278" s="30" t="s">
        <v>789</v>
      </c>
      <c r="C278" s="30" t="s">
        <v>109</v>
      </c>
      <c r="D278" s="30" t="s">
        <v>17</v>
      </c>
      <c r="E278" s="30" t="s">
        <v>26</v>
      </c>
      <c r="F278" s="30" t="s">
        <v>27</v>
      </c>
      <c r="G278" s="30" t="s">
        <v>20</v>
      </c>
      <c r="H278" s="32">
        <v>77</v>
      </c>
      <c r="I278" s="30" t="s">
        <v>21</v>
      </c>
      <c r="J278" s="41">
        <v>44041</v>
      </c>
      <c r="K278" s="30" t="s">
        <v>22</v>
      </c>
    </row>
    <row r="279" spans="1:11">
      <c r="A279" s="33" t="s">
        <v>790</v>
      </c>
      <c r="B279" s="33" t="s">
        <v>791</v>
      </c>
      <c r="C279" s="33" t="s">
        <v>792</v>
      </c>
      <c r="D279" s="33" t="s">
        <v>17</v>
      </c>
      <c r="E279" s="33" t="s">
        <v>67</v>
      </c>
      <c r="F279" s="33" t="s">
        <v>68</v>
      </c>
      <c r="G279" s="33" t="s">
        <v>50</v>
      </c>
      <c r="H279" s="35">
        <v>22</v>
      </c>
      <c r="I279" s="33" t="s">
        <v>51</v>
      </c>
      <c r="J279" s="42">
        <v>44154</v>
      </c>
      <c r="K279" s="33" t="s">
        <v>22</v>
      </c>
    </row>
    <row r="280" spans="1:11">
      <c r="A280" s="30" t="s">
        <v>793</v>
      </c>
      <c r="B280" s="30" t="s">
        <v>794</v>
      </c>
      <c r="C280" s="30" t="s">
        <v>795</v>
      </c>
      <c r="D280" s="30" t="s">
        <v>17</v>
      </c>
      <c r="E280" s="30" t="s">
        <v>67</v>
      </c>
      <c r="F280" s="30" t="s">
        <v>68</v>
      </c>
      <c r="G280" s="30" t="s">
        <v>158</v>
      </c>
      <c r="H280" s="32">
        <v>78</v>
      </c>
      <c r="I280" s="30" t="s">
        <v>21</v>
      </c>
      <c r="J280" s="41">
        <v>44063</v>
      </c>
      <c r="K280" s="30" t="s">
        <v>22</v>
      </c>
    </row>
    <row r="281" spans="1:11">
      <c r="A281" s="33" t="s">
        <v>796</v>
      </c>
      <c r="B281" s="33" t="s">
        <v>797</v>
      </c>
      <c r="C281" s="33" t="s">
        <v>798</v>
      </c>
      <c r="D281" s="33" t="s">
        <v>17</v>
      </c>
      <c r="E281" s="33" t="s">
        <v>31</v>
      </c>
      <c r="F281" s="33" t="s">
        <v>32</v>
      </c>
      <c r="G281" s="33" t="s">
        <v>20</v>
      </c>
      <c r="H281" s="35">
        <v>121</v>
      </c>
      <c r="I281" s="33" t="s">
        <v>21</v>
      </c>
      <c r="J281" s="42">
        <v>44039</v>
      </c>
      <c r="K281" s="33" t="s">
        <v>22</v>
      </c>
    </row>
    <row r="282" spans="1:11">
      <c r="A282" s="30" t="s">
        <v>799</v>
      </c>
      <c r="B282" s="30" t="s">
        <v>800</v>
      </c>
      <c r="C282" s="30" t="s">
        <v>801</v>
      </c>
      <c r="D282" s="30" t="s">
        <v>17</v>
      </c>
      <c r="E282" s="30" t="s">
        <v>18</v>
      </c>
      <c r="F282" s="30" t="s">
        <v>19</v>
      </c>
      <c r="G282" s="30" t="s">
        <v>20</v>
      </c>
      <c r="H282" s="32">
        <v>543</v>
      </c>
      <c r="I282" s="30" t="s">
        <v>21</v>
      </c>
      <c r="J282" s="41">
        <v>43963</v>
      </c>
      <c r="K282" s="30" t="s">
        <v>22</v>
      </c>
    </row>
    <row r="283" spans="1:11">
      <c r="A283" s="33" t="s">
        <v>802</v>
      </c>
      <c r="B283" s="33" t="s">
        <v>803</v>
      </c>
      <c r="C283" s="33" t="s">
        <v>804</v>
      </c>
      <c r="D283" s="33" t="s">
        <v>17</v>
      </c>
      <c r="E283" s="33" t="s">
        <v>31</v>
      </c>
      <c r="F283" s="33" t="s">
        <v>32</v>
      </c>
      <c r="G283" s="33" t="s">
        <v>20</v>
      </c>
      <c r="H283" s="35">
        <v>57</v>
      </c>
      <c r="I283" s="33" t="s">
        <v>21</v>
      </c>
      <c r="J283" s="42">
        <v>44006</v>
      </c>
      <c r="K283" s="33" t="s">
        <v>22</v>
      </c>
    </row>
    <row r="284" spans="1:11">
      <c r="A284" s="30" t="s">
        <v>805</v>
      </c>
      <c r="B284" s="30" t="s">
        <v>806</v>
      </c>
      <c r="C284" s="30" t="s">
        <v>807</v>
      </c>
      <c r="D284" s="30" t="s">
        <v>17</v>
      </c>
      <c r="E284" s="30" t="s">
        <v>26</v>
      </c>
      <c r="F284" s="30" t="s">
        <v>27</v>
      </c>
      <c r="G284" s="30" t="s">
        <v>20</v>
      </c>
      <c r="H284" s="32">
        <v>3</v>
      </c>
      <c r="I284" s="30" t="s">
        <v>21</v>
      </c>
      <c r="J284" s="41">
        <v>44071</v>
      </c>
      <c r="K284" s="30" t="s">
        <v>22</v>
      </c>
    </row>
    <row r="285" spans="1:11">
      <c r="A285" s="33" t="s">
        <v>808</v>
      </c>
      <c r="B285" s="33" t="s">
        <v>809</v>
      </c>
      <c r="C285" s="33" t="s">
        <v>810</v>
      </c>
      <c r="D285" s="33" t="s">
        <v>17</v>
      </c>
      <c r="E285" s="33" t="s">
        <v>31</v>
      </c>
      <c r="F285" s="33" t="s">
        <v>32</v>
      </c>
      <c r="G285" s="33" t="s">
        <v>50</v>
      </c>
      <c r="H285" s="35">
        <v>196</v>
      </c>
      <c r="I285" s="33" t="s">
        <v>51</v>
      </c>
      <c r="J285" s="42">
        <v>44084</v>
      </c>
      <c r="K285" s="33" t="s">
        <v>22</v>
      </c>
    </row>
    <row r="286" spans="1:11">
      <c r="A286" s="30" t="s">
        <v>811</v>
      </c>
      <c r="B286" s="30" t="s">
        <v>812</v>
      </c>
      <c r="C286" s="30" t="s">
        <v>149</v>
      </c>
      <c r="D286" s="30" t="s">
        <v>17</v>
      </c>
      <c r="E286" s="30" t="s">
        <v>26</v>
      </c>
      <c r="F286" s="30" t="s">
        <v>27</v>
      </c>
      <c r="G286" s="30" t="s">
        <v>20</v>
      </c>
      <c r="H286" s="32">
        <v>14</v>
      </c>
      <c r="I286" s="30" t="s">
        <v>21</v>
      </c>
      <c r="J286" s="41">
        <v>44081</v>
      </c>
      <c r="K286" s="30" t="s">
        <v>22</v>
      </c>
    </row>
    <row r="287" spans="1:11">
      <c r="A287" s="33" t="s">
        <v>813</v>
      </c>
      <c r="B287" s="33" t="s">
        <v>814</v>
      </c>
      <c r="C287" s="33" t="s">
        <v>75</v>
      </c>
      <c r="D287" s="33" t="s">
        <v>17</v>
      </c>
      <c r="E287" s="33" t="s">
        <v>26</v>
      </c>
      <c r="F287" s="33" t="s">
        <v>27</v>
      </c>
      <c r="G287" s="33" t="s">
        <v>20</v>
      </c>
      <c r="H287" s="35">
        <v>24</v>
      </c>
      <c r="I287" s="33" t="s">
        <v>21</v>
      </c>
      <c r="J287" s="42">
        <v>44022</v>
      </c>
      <c r="K287" s="33" t="s">
        <v>22</v>
      </c>
    </row>
    <row r="288" spans="1:11">
      <c r="A288" s="30" t="s">
        <v>815</v>
      </c>
      <c r="B288" s="30" t="s">
        <v>816</v>
      </c>
      <c r="C288" s="30" t="s">
        <v>817</v>
      </c>
      <c r="D288" s="30" t="s">
        <v>17</v>
      </c>
      <c r="E288" s="30" t="s">
        <v>26</v>
      </c>
      <c r="F288" s="30" t="s">
        <v>27</v>
      </c>
      <c r="G288" s="30" t="s">
        <v>20</v>
      </c>
      <c r="H288" s="32">
        <v>64</v>
      </c>
      <c r="I288" s="30" t="s">
        <v>21</v>
      </c>
      <c r="J288" s="41">
        <v>44055</v>
      </c>
      <c r="K288" s="30" t="s">
        <v>22</v>
      </c>
    </row>
    <row r="289" spans="1:11">
      <c r="A289" s="33" t="s">
        <v>818</v>
      </c>
      <c r="B289" s="33" t="s">
        <v>819</v>
      </c>
      <c r="C289" s="33" t="s">
        <v>178</v>
      </c>
      <c r="D289" s="33" t="s">
        <v>17</v>
      </c>
      <c r="E289" s="33" t="s">
        <v>31</v>
      </c>
      <c r="F289" s="33" t="s">
        <v>32</v>
      </c>
      <c r="G289" s="33" t="s">
        <v>158</v>
      </c>
      <c r="H289" s="35">
        <v>303</v>
      </c>
      <c r="I289" s="33" t="s">
        <v>21</v>
      </c>
      <c r="J289" s="42">
        <v>44162</v>
      </c>
      <c r="K289" s="33" t="s">
        <v>22</v>
      </c>
    </row>
    <row r="290" spans="1:11">
      <c r="A290" s="30" t="s">
        <v>820</v>
      </c>
      <c r="B290" s="30" t="s">
        <v>821</v>
      </c>
      <c r="C290" s="30" t="s">
        <v>822</v>
      </c>
      <c r="D290" s="30" t="s">
        <v>17</v>
      </c>
      <c r="E290" s="30" t="s">
        <v>31</v>
      </c>
      <c r="F290" s="30" t="s">
        <v>32</v>
      </c>
      <c r="G290" s="30" t="s">
        <v>50</v>
      </c>
      <c r="H290" s="32">
        <v>105</v>
      </c>
      <c r="I290" s="30" t="s">
        <v>51</v>
      </c>
      <c r="J290" s="41">
        <v>44189</v>
      </c>
      <c r="K290" s="30" t="s">
        <v>22</v>
      </c>
    </row>
    <row r="291" spans="1:11">
      <c r="A291" s="33" t="s">
        <v>823</v>
      </c>
      <c r="B291" s="33" t="s">
        <v>824</v>
      </c>
      <c r="C291" s="33" t="s">
        <v>102</v>
      </c>
      <c r="D291" s="33" t="s">
        <v>17</v>
      </c>
      <c r="E291" s="33" t="s">
        <v>26</v>
      </c>
      <c r="F291" s="33" t="s">
        <v>27</v>
      </c>
      <c r="G291" s="33" t="s">
        <v>158</v>
      </c>
      <c r="H291" s="35">
        <v>136</v>
      </c>
      <c r="I291" s="33" t="s">
        <v>21</v>
      </c>
      <c r="J291" s="42">
        <v>44148</v>
      </c>
      <c r="K291" s="33" t="s">
        <v>22</v>
      </c>
    </row>
    <row r="292" spans="1:11">
      <c r="A292" s="30" t="s">
        <v>825</v>
      </c>
      <c r="B292" s="30" t="s">
        <v>826</v>
      </c>
      <c r="C292" s="30" t="s">
        <v>127</v>
      </c>
      <c r="D292" s="30" t="s">
        <v>17</v>
      </c>
      <c r="E292" s="30" t="s">
        <v>26</v>
      </c>
      <c r="F292" s="30" t="s">
        <v>27</v>
      </c>
      <c r="G292" s="30" t="s">
        <v>20</v>
      </c>
      <c r="H292" s="32">
        <v>26</v>
      </c>
      <c r="I292" s="30" t="s">
        <v>21</v>
      </c>
      <c r="J292" s="41">
        <v>44130</v>
      </c>
      <c r="K292" s="30" t="s">
        <v>22</v>
      </c>
    </row>
    <row r="293" spans="1:11">
      <c r="A293" s="33" t="s">
        <v>827</v>
      </c>
      <c r="B293" s="33" t="s">
        <v>828</v>
      </c>
      <c r="C293" s="33" t="s">
        <v>78</v>
      </c>
      <c r="D293" s="33" t="s">
        <v>17</v>
      </c>
      <c r="E293" s="33" t="s">
        <v>31</v>
      </c>
      <c r="F293" s="33" t="s">
        <v>32</v>
      </c>
      <c r="G293" s="33" t="s">
        <v>20</v>
      </c>
      <c r="H293" s="35">
        <v>13</v>
      </c>
      <c r="I293" s="33" t="s">
        <v>21</v>
      </c>
      <c r="J293" s="42">
        <v>44186</v>
      </c>
      <c r="K293" s="33" t="s">
        <v>22</v>
      </c>
    </row>
    <row r="294" spans="1:11">
      <c r="A294" s="30" t="s">
        <v>829</v>
      </c>
      <c r="B294" s="30" t="s">
        <v>830</v>
      </c>
      <c r="C294" s="30" t="s">
        <v>368</v>
      </c>
      <c r="D294" s="30" t="s">
        <v>17</v>
      </c>
      <c r="E294" s="30" t="s">
        <v>26</v>
      </c>
      <c r="F294" s="30" t="s">
        <v>27</v>
      </c>
      <c r="G294" s="30" t="s">
        <v>20</v>
      </c>
      <c r="H294" s="32">
        <v>30</v>
      </c>
      <c r="I294" s="30" t="s">
        <v>21</v>
      </c>
      <c r="J294" s="41">
        <v>44014</v>
      </c>
      <c r="K294" s="30" t="s">
        <v>22</v>
      </c>
    </row>
    <row r="295" spans="1:11">
      <c r="A295" s="33" t="s">
        <v>831</v>
      </c>
      <c r="B295" s="33" t="s">
        <v>832</v>
      </c>
      <c r="C295" s="33" t="s">
        <v>136</v>
      </c>
      <c r="D295" s="33" t="s">
        <v>17</v>
      </c>
      <c r="E295" s="33" t="s">
        <v>18</v>
      </c>
      <c r="F295" s="33" t="s">
        <v>19</v>
      </c>
      <c r="G295" s="33" t="s">
        <v>20</v>
      </c>
      <c r="H295" s="35">
        <v>206</v>
      </c>
      <c r="I295" s="33" t="s">
        <v>21</v>
      </c>
      <c r="J295" s="42">
        <v>43872</v>
      </c>
      <c r="K295" s="33" t="s">
        <v>22</v>
      </c>
    </row>
    <row r="296" spans="1:11">
      <c r="A296" s="30" t="s">
        <v>833</v>
      </c>
      <c r="B296" s="30" t="s">
        <v>834</v>
      </c>
      <c r="C296" s="30" t="s">
        <v>93</v>
      </c>
      <c r="D296" s="30" t="s">
        <v>17</v>
      </c>
      <c r="E296" s="30" t="s">
        <v>31</v>
      </c>
      <c r="F296" s="30" t="s">
        <v>32</v>
      </c>
      <c r="G296" s="30" t="s">
        <v>20</v>
      </c>
      <c r="H296" s="32">
        <v>121</v>
      </c>
      <c r="I296" s="30" t="s">
        <v>21</v>
      </c>
      <c r="J296" s="41">
        <v>44144</v>
      </c>
      <c r="K296" s="30" t="s">
        <v>22</v>
      </c>
    </row>
    <row r="297" spans="1:11">
      <c r="A297" s="33" t="s">
        <v>835</v>
      </c>
      <c r="B297" s="33" t="s">
        <v>836</v>
      </c>
      <c r="C297" s="33" t="s">
        <v>78</v>
      </c>
      <c r="D297" s="33" t="s">
        <v>17</v>
      </c>
      <c r="E297" s="33" t="s">
        <v>26</v>
      </c>
      <c r="F297" s="33" t="s">
        <v>27</v>
      </c>
      <c r="G297" s="33" t="s">
        <v>20</v>
      </c>
      <c r="H297" s="35">
        <v>48</v>
      </c>
      <c r="I297" s="33" t="s">
        <v>21</v>
      </c>
      <c r="J297" s="42">
        <v>43958</v>
      </c>
      <c r="K297" s="33" t="s">
        <v>22</v>
      </c>
    </row>
    <row r="298" spans="1:11">
      <c r="A298" s="30" t="s">
        <v>837</v>
      </c>
      <c r="B298" s="30" t="s">
        <v>838</v>
      </c>
      <c r="C298" s="30" t="s">
        <v>839</v>
      </c>
      <c r="D298" s="30" t="s">
        <v>17</v>
      </c>
      <c r="E298" s="30" t="s">
        <v>26</v>
      </c>
      <c r="F298" s="30" t="s">
        <v>27</v>
      </c>
      <c r="G298" s="30" t="s">
        <v>20</v>
      </c>
      <c r="H298" s="32">
        <v>47</v>
      </c>
      <c r="I298" s="30" t="s">
        <v>21</v>
      </c>
      <c r="J298" s="41">
        <v>44000</v>
      </c>
      <c r="K298" s="30" t="s">
        <v>22</v>
      </c>
    </row>
    <row r="299" spans="1:11">
      <c r="A299" s="33" t="s">
        <v>840</v>
      </c>
      <c r="B299" s="33" t="s">
        <v>841</v>
      </c>
      <c r="C299" s="33" t="s">
        <v>297</v>
      </c>
      <c r="D299" s="33" t="s">
        <v>17</v>
      </c>
      <c r="E299" s="33" t="s">
        <v>31</v>
      </c>
      <c r="F299" s="33" t="s">
        <v>32</v>
      </c>
      <c r="G299" s="33" t="s">
        <v>20</v>
      </c>
      <c r="H299" s="35">
        <v>16</v>
      </c>
      <c r="I299" s="33" t="s">
        <v>21</v>
      </c>
      <c r="J299" s="42">
        <v>43952</v>
      </c>
      <c r="K299" s="33" t="s">
        <v>22</v>
      </c>
    </row>
    <row r="300" spans="1:11">
      <c r="A300" s="30" t="s">
        <v>842</v>
      </c>
      <c r="B300" s="30" t="s">
        <v>843</v>
      </c>
      <c r="C300" s="30" t="s">
        <v>844</v>
      </c>
      <c r="D300" s="30" t="s">
        <v>17</v>
      </c>
      <c r="E300" s="30" t="s">
        <v>18</v>
      </c>
      <c r="F300" s="30" t="s">
        <v>19</v>
      </c>
      <c r="G300" s="30" t="s">
        <v>20</v>
      </c>
      <c r="H300" s="32">
        <v>519</v>
      </c>
      <c r="I300" s="30" t="s">
        <v>21</v>
      </c>
      <c r="J300" s="41">
        <v>44025</v>
      </c>
      <c r="K300" s="30" t="s">
        <v>22</v>
      </c>
    </row>
    <row r="301" spans="1:11">
      <c r="A301" s="33" t="s">
        <v>845</v>
      </c>
      <c r="B301" s="33" t="s">
        <v>846</v>
      </c>
      <c r="C301" s="33" t="s">
        <v>847</v>
      </c>
      <c r="D301" s="33" t="s">
        <v>17</v>
      </c>
      <c r="E301" s="33" t="s">
        <v>330</v>
      </c>
      <c r="F301" s="33" t="s">
        <v>331</v>
      </c>
      <c r="G301" s="33" t="s">
        <v>50</v>
      </c>
      <c r="H301" s="35">
        <v>5</v>
      </c>
      <c r="I301" s="33" t="s">
        <v>51</v>
      </c>
      <c r="J301" s="42">
        <v>43952</v>
      </c>
      <c r="K301" s="33" t="s">
        <v>22</v>
      </c>
    </row>
    <row r="302" spans="1:11">
      <c r="A302" s="30" t="s">
        <v>848</v>
      </c>
      <c r="B302" s="30" t="s">
        <v>849</v>
      </c>
      <c r="C302" s="30" t="s">
        <v>850</v>
      </c>
      <c r="D302" s="30" t="s">
        <v>17</v>
      </c>
      <c r="E302" s="30" t="s">
        <v>26</v>
      </c>
      <c r="F302" s="30" t="s">
        <v>27</v>
      </c>
      <c r="G302" s="30" t="s">
        <v>20</v>
      </c>
      <c r="H302" s="32">
        <v>97</v>
      </c>
      <c r="I302" s="30" t="s">
        <v>21</v>
      </c>
      <c r="J302" s="41">
        <v>44181</v>
      </c>
      <c r="K302" s="30" t="s">
        <v>22</v>
      </c>
    </row>
    <row r="303" spans="1:11">
      <c r="A303" s="33" t="s">
        <v>851</v>
      </c>
      <c r="B303" s="33" t="s">
        <v>852</v>
      </c>
      <c r="C303" s="33" t="s">
        <v>231</v>
      </c>
      <c r="D303" s="33" t="s">
        <v>17</v>
      </c>
      <c r="E303" s="33" t="s">
        <v>26</v>
      </c>
      <c r="F303" s="33" t="s">
        <v>27</v>
      </c>
      <c r="G303" s="33" t="s">
        <v>106</v>
      </c>
      <c r="H303" s="35">
        <v>8</v>
      </c>
      <c r="I303" s="33" t="s">
        <v>21</v>
      </c>
      <c r="J303" s="42">
        <v>44109</v>
      </c>
      <c r="K303" s="33" t="s">
        <v>22</v>
      </c>
    </row>
    <row r="304" spans="1:11">
      <c r="A304" s="30" t="s">
        <v>853</v>
      </c>
      <c r="B304" s="30" t="s">
        <v>854</v>
      </c>
      <c r="C304" s="30" t="s">
        <v>671</v>
      </c>
      <c r="D304" s="30" t="s">
        <v>17</v>
      </c>
      <c r="E304" s="30" t="s">
        <v>45</v>
      </c>
      <c r="F304" s="30" t="s">
        <v>46</v>
      </c>
      <c r="G304" s="30" t="s">
        <v>112</v>
      </c>
      <c r="H304" s="32">
        <v>0</v>
      </c>
      <c r="I304" s="30" t="s">
        <v>21</v>
      </c>
      <c r="J304" s="41">
        <v>44037</v>
      </c>
      <c r="K304" s="30" t="s">
        <v>22</v>
      </c>
    </row>
    <row r="305" spans="1:11">
      <c r="A305" s="33" t="s">
        <v>855</v>
      </c>
      <c r="B305" s="33" t="s">
        <v>856</v>
      </c>
      <c r="C305" s="33" t="s">
        <v>857</v>
      </c>
      <c r="D305" s="33" t="s">
        <v>17</v>
      </c>
      <c r="E305" s="33" t="s">
        <v>31</v>
      </c>
      <c r="F305" s="33" t="s">
        <v>32</v>
      </c>
      <c r="G305" s="33" t="s">
        <v>106</v>
      </c>
      <c r="H305" s="35">
        <v>49</v>
      </c>
      <c r="I305" s="33" t="s">
        <v>21</v>
      </c>
      <c r="J305" s="42">
        <v>44098</v>
      </c>
      <c r="K305" s="33" t="s">
        <v>22</v>
      </c>
    </row>
    <row r="306" spans="1:11">
      <c r="A306" s="30" t="s">
        <v>858</v>
      </c>
      <c r="B306" s="30" t="s">
        <v>859</v>
      </c>
      <c r="C306" s="30" t="s">
        <v>860</v>
      </c>
      <c r="D306" s="30" t="s">
        <v>17</v>
      </c>
      <c r="E306" s="30" t="s">
        <v>18</v>
      </c>
      <c r="F306" s="30" t="s">
        <v>19</v>
      </c>
      <c r="G306" s="30" t="s">
        <v>50</v>
      </c>
      <c r="H306" s="32">
        <v>25</v>
      </c>
      <c r="I306" s="30" t="s">
        <v>51</v>
      </c>
      <c r="J306" s="41">
        <v>44025</v>
      </c>
      <c r="K306" s="30" t="s">
        <v>22</v>
      </c>
    </row>
    <row r="307" spans="1:11">
      <c r="A307" s="33" t="s">
        <v>861</v>
      </c>
      <c r="B307" s="33" t="s">
        <v>862</v>
      </c>
      <c r="C307" s="33" t="s">
        <v>801</v>
      </c>
      <c r="D307" s="33" t="s">
        <v>17</v>
      </c>
      <c r="E307" s="33" t="s">
        <v>18</v>
      </c>
      <c r="F307" s="33" t="s">
        <v>19</v>
      </c>
      <c r="G307" s="33" t="s">
        <v>20</v>
      </c>
      <c r="H307" s="35">
        <v>200</v>
      </c>
      <c r="I307" s="33" t="s">
        <v>21</v>
      </c>
      <c r="J307" s="42">
        <v>43990</v>
      </c>
      <c r="K307" s="33" t="s">
        <v>22</v>
      </c>
    </row>
    <row r="308" spans="1:11">
      <c r="A308" s="30" t="s">
        <v>863</v>
      </c>
      <c r="B308" s="30" t="s">
        <v>864</v>
      </c>
      <c r="C308" s="30" t="s">
        <v>149</v>
      </c>
      <c r="D308" s="30" t="s">
        <v>17</v>
      </c>
      <c r="E308" s="30" t="s">
        <v>26</v>
      </c>
      <c r="F308" s="30" t="s">
        <v>27</v>
      </c>
      <c r="G308" s="30" t="s">
        <v>20</v>
      </c>
      <c r="H308" s="32">
        <v>6</v>
      </c>
      <c r="I308" s="30" t="s">
        <v>21</v>
      </c>
      <c r="J308" s="41">
        <v>44146</v>
      </c>
      <c r="K308" s="30" t="s">
        <v>22</v>
      </c>
    </row>
    <row r="309" spans="1:11">
      <c r="A309" s="33" t="s">
        <v>865</v>
      </c>
      <c r="B309" s="33" t="s">
        <v>866</v>
      </c>
      <c r="C309" s="33" t="s">
        <v>635</v>
      </c>
      <c r="D309" s="33" t="s">
        <v>17</v>
      </c>
      <c r="E309" s="33" t="s">
        <v>31</v>
      </c>
      <c r="F309" s="33" t="s">
        <v>32</v>
      </c>
      <c r="G309" s="33" t="s">
        <v>20</v>
      </c>
      <c r="H309" s="35">
        <v>39</v>
      </c>
      <c r="I309" s="33" t="s">
        <v>21</v>
      </c>
      <c r="J309" s="42">
        <v>43944</v>
      </c>
      <c r="K309" s="33" t="s">
        <v>22</v>
      </c>
    </row>
    <row r="310" spans="1:11">
      <c r="A310" s="30" t="s">
        <v>867</v>
      </c>
      <c r="B310" s="30" t="s">
        <v>868</v>
      </c>
      <c r="C310" s="30" t="s">
        <v>869</v>
      </c>
      <c r="D310" s="30" t="s">
        <v>17</v>
      </c>
      <c r="E310" s="30" t="s">
        <v>31</v>
      </c>
      <c r="F310" s="30" t="s">
        <v>32</v>
      </c>
      <c r="G310" s="30" t="s">
        <v>158</v>
      </c>
      <c r="H310" s="32">
        <v>93</v>
      </c>
      <c r="I310" s="30" t="s">
        <v>21</v>
      </c>
      <c r="J310" s="41">
        <v>44021</v>
      </c>
      <c r="K310" s="30" t="s">
        <v>22</v>
      </c>
    </row>
    <row r="311" spans="1:11">
      <c r="A311" s="33" t="s">
        <v>870</v>
      </c>
      <c r="B311" s="33" t="s">
        <v>871</v>
      </c>
      <c r="C311" s="33" t="s">
        <v>644</v>
      </c>
      <c r="D311" s="33" t="s">
        <v>17</v>
      </c>
      <c r="E311" s="33" t="s">
        <v>31</v>
      </c>
      <c r="F311" s="33" t="s">
        <v>32</v>
      </c>
      <c r="G311" s="33" t="s">
        <v>20</v>
      </c>
      <c r="H311" s="35">
        <v>29</v>
      </c>
      <c r="I311" s="33" t="s">
        <v>21</v>
      </c>
      <c r="J311" s="42">
        <v>44019</v>
      </c>
      <c r="K311" s="33" t="s">
        <v>22</v>
      </c>
    </row>
    <row r="312" spans="1:11">
      <c r="A312" s="30" t="s">
        <v>872</v>
      </c>
      <c r="B312" s="30" t="s">
        <v>873</v>
      </c>
      <c r="C312" s="30" t="s">
        <v>874</v>
      </c>
      <c r="D312" s="30" t="s">
        <v>17</v>
      </c>
      <c r="E312" s="30" t="s">
        <v>26</v>
      </c>
      <c r="F312" s="30" t="s">
        <v>27</v>
      </c>
      <c r="G312" s="30" t="s">
        <v>20</v>
      </c>
      <c r="H312" s="32">
        <v>18</v>
      </c>
      <c r="I312" s="30" t="s">
        <v>21</v>
      </c>
      <c r="J312" s="41">
        <v>44035</v>
      </c>
      <c r="K312" s="30" t="s">
        <v>22</v>
      </c>
    </row>
    <row r="313" spans="1:11">
      <c r="A313" s="33" t="s">
        <v>875</v>
      </c>
      <c r="B313" s="33" t="s">
        <v>876</v>
      </c>
      <c r="C313" s="33" t="s">
        <v>554</v>
      </c>
      <c r="D313" s="33" t="s">
        <v>17</v>
      </c>
      <c r="E313" s="33" t="s">
        <v>31</v>
      </c>
      <c r="F313" s="33" t="s">
        <v>32</v>
      </c>
      <c r="G313" s="33" t="s">
        <v>20</v>
      </c>
      <c r="H313" s="35">
        <v>81</v>
      </c>
      <c r="I313" s="33" t="s">
        <v>21</v>
      </c>
      <c r="J313" s="42">
        <v>43913</v>
      </c>
      <c r="K313" s="33" t="s">
        <v>22</v>
      </c>
    </row>
    <row r="314" spans="1:11">
      <c r="A314" s="30" t="s">
        <v>877</v>
      </c>
      <c r="B314" s="30" t="s">
        <v>878</v>
      </c>
      <c r="C314" s="30" t="s">
        <v>399</v>
      </c>
      <c r="D314" s="30" t="s">
        <v>17</v>
      </c>
      <c r="E314" s="30" t="s">
        <v>26</v>
      </c>
      <c r="F314" s="30" t="s">
        <v>27</v>
      </c>
      <c r="G314" s="30" t="s">
        <v>20</v>
      </c>
      <c r="H314" s="32">
        <v>150</v>
      </c>
      <c r="I314" s="30" t="s">
        <v>21</v>
      </c>
      <c r="J314" s="41">
        <v>44000</v>
      </c>
      <c r="K314" s="30" t="s">
        <v>22</v>
      </c>
    </row>
    <row r="315" spans="1:11">
      <c r="A315" s="33" t="s">
        <v>879</v>
      </c>
      <c r="B315" s="33" t="s">
        <v>880</v>
      </c>
      <c r="C315" s="33" t="s">
        <v>190</v>
      </c>
      <c r="D315" s="33" t="s">
        <v>17</v>
      </c>
      <c r="E315" s="33" t="s">
        <v>26</v>
      </c>
      <c r="F315" s="33" t="s">
        <v>27</v>
      </c>
      <c r="G315" s="33" t="s">
        <v>158</v>
      </c>
      <c r="H315" s="35">
        <v>32</v>
      </c>
      <c r="I315" s="33" t="s">
        <v>21</v>
      </c>
      <c r="J315" s="42">
        <v>44181</v>
      </c>
      <c r="K315" s="33" t="s">
        <v>22</v>
      </c>
    </row>
    <row r="316" spans="1:11">
      <c r="A316" s="30" t="s">
        <v>881</v>
      </c>
      <c r="B316" s="30" t="s">
        <v>882</v>
      </c>
      <c r="C316" s="30" t="s">
        <v>883</v>
      </c>
      <c r="D316" s="30" t="s">
        <v>17</v>
      </c>
      <c r="E316" s="30" t="s">
        <v>67</v>
      </c>
      <c r="F316" s="30" t="s">
        <v>68</v>
      </c>
      <c r="G316" s="30" t="s">
        <v>20</v>
      </c>
      <c r="H316" s="32">
        <v>43</v>
      </c>
      <c r="I316" s="30" t="s">
        <v>21</v>
      </c>
      <c r="J316" s="41">
        <v>43850</v>
      </c>
      <c r="K316" s="30" t="s">
        <v>22</v>
      </c>
    </row>
    <row r="317" spans="1:11">
      <c r="A317" s="33" t="s">
        <v>884</v>
      </c>
      <c r="B317" s="33" t="s">
        <v>885</v>
      </c>
      <c r="C317" s="33" t="s">
        <v>886</v>
      </c>
      <c r="D317" s="33" t="s">
        <v>17</v>
      </c>
      <c r="E317" s="33" t="s">
        <v>26</v>
      </c>
      <c r="F317" s="33" t="s">
        <v>27</v>
      </c>
      <c r="G317" s="33" t="s">
        <v>20</v>
      </c>
      <c r="H317" s="35">
        <v>17</v>
      </c>
      <c r="I317" s="33" t="s">
        <v>21</v>
      </c>
      <c r="J317" s="42">
        <v>44136</v>
      </c>
      <c r="K317" s="33" t="s">
        <v>22</v>
      </c>
    </row>
    <row r="318" spans="1:11">
      <c r="A318" s="30" t="s">
        <v>887</v>
      </c>
      <c r="B318" s="30" t="s">
        <v>888</v>
      </c>
      <c r="C318" s="30" t="s">
        <v>570</v>
      </c>
      <c r="D318" s="30" t="s">
        <v>17</v>
      </c>
      <c r="E318" s="30" t="s">
        <v>18</v>
      </c>
      <c r="F318" s="30" t="s">
        <v>19</v>
      </c>
      <c r="G318" s="30" t="s">
        <v>20</v>
      </c>
      <c r="H318" s="32">
        <v>517</v>
      </c>
      <c r="I318" s="30" t="s">
        <v>21</v>
      </c>
      <c r="J318" s="41">
        <v>44158</v>
      </c>
      <c r="K318" s="30" t="s">
        <v>22</v>
      </c>
    </row>
    <row r="319" spans="1:11">
      <c r="A319" s="33" t="s">
        <v>889</v>
      </c>
      <c r="B319" s="33" t="s">
        <v>890</v>
      </c>
      <c r="C319" s="33" t="s">
        <v>891</v>
      </c>
      <c r="D319" s="33" t="s">
        <v>17</v>
      </c>
      <c r="E319" s="33" t="s">
        <v>26</v>
      </c>
      <c r="F319" s="33" t="s">
        <v>27</v>
      </c>
      <c r="G319" s="33" t="s">
        <v>140</v>
      </c>
      <c r="H319" s="35">
        <v>80</v>
      </c>
      <c r="I319" s="33" t="s">
        <v>51</v>
      </c>
      <c r="J319" s="42">
        <v>44013</v>
      </c>
      <c r="K319" s="33" t="s">
        <v>22</v>
      </c>
    </row>
    <row r="320" spans="1:11">
      <c r="A320" s="30" t="s">
        <v>892</v>
      </c>
      <c r="B320" s="30" t="s">
        <v>893</v>
      </c>
      <c r="C320" s="30" t="s">
        <v>894</v>
      </c>
      <c r="D320" s="30" t="s">
        <v>17</v>
      </c>
      <c r="E320" s="30" t="s">
        <v>26</v>
      </c>
      <c r="F320" s="30" t="s">
        <v>27</v>
      </c>
      <c r="G320" s="30" t="s">
        <v>20</v>
      </c>
      <c r="H320" s="32">
        <v>41</v>
      </c>
      <c r="I320" s="30" t="s">
        <v>21</v>
      </c>
      <c r="J320" s="41">
        <v>43921</v>
      </c>
      <c r="K320" s="30" t="s">
        <v>22</v>
      </c>
    </row>
    <row r="321" spans="1:11">
      <c r="A321" s="33" t="s">
        <v>895</v>
      </c>
      <c r="B321" s="33" t="s">
        <v>896</v>
      </c>
      <c r="C321" s="33" t="s">
        <v>93</v>
      </c>
      <c r="D321" s="33" t="s">
        <v>17</v>
      </c>
      <c r="E321" s="33" t="s">
        <v>18</v>
      </c>
      <c r="F321" s="33" t="s">
        <v>19</v>
      </c>
      <c r="G321" s="33" t="s">
        <v>158</v>
      </c>
      <c r="H321" s="35">
        <v>330</v>
      </c>
      <c r="I321" s="33" t="s">
        <v>51</v>
      </c>
      <c r="J321" s="42">
        <v>44074</v>
      </c>
      <c r="K321" s="33" t="s">
        <v>22</v>
      </c>
    </row>
    <row r="322" spans="1:11">
      <c r="A322" s="30" t="s">
        <v>897</v>
      </c>
      <c r="B322" s="30" t="s">
        <v>898</v>
      </c>
      <c r="C322" s="30" t="s">
        <v>899</v>
      </c>
      <c r="D322" s="30" t="s">
        <v>17</v>
      </c>
      <c r="E322" s="30" t="s">
        <v>67</v>
      </c>
      <c r="F322" s="30" t="s">
        <v>68</v>
      </c>
      <c r="G322" s="30" t="s">
        <v>20</v>
      </c>
      <c r="H322" s="32">
        <v>24</v>
      </c>
      <c r="I322" s="30" t="s">
        <v>21</v>
      </c>
      <c r="J322" s="41">
        <v>44018</v>
      </c>
      <c r="K322" s="30" t="s">
        <v>22</v>
      </c>
    </row>
    <row r="323" spans="1:11">
      <c r="A323" s="33" t="s">
        <v>900</v>
      </c>
      <c r="B323" s="33" t="s">
        <v>901</v>
      </c>
      <c r="C323" s="33" t="s">
        <v>902</v>
      </c>
      <c r="D323" s="33" t="s">
        <v>17</v>
      </c>
      <c r="E323" s="33" t="s">
        <v>31</v>
      </c>
      <c r="F323" s="33" t="s">
        <v>32</v>
      </c>
      <c r="G323" s="33" t="s">
        <v>20</v>
      </c>
      <c r="H323" s="35">
        <v>53</v>
      </c>
      <c r="I323" s="33" t="s">
        <v>21</v>
      </c>
      <c r="J323" s="42">
        <v>43896</v>
      </c>
      <c r="K323" s="33" t="s">
        <v>22</v>
      </c>
    </row>
    <row r="324" spans="1:11">
      <c r="A324" s="30" t="s">
        <v>903</v>
      </c>
      <c r="B324" s="30" t="s">
        <v>904</v>
      </c>
      <c r="C324" s="30" t="s">
        <v>905</v>
      </c>
      <c r="D324" s="30" t="s">
        <v>17</v>
      </c>
      <c r="E324" s="30" t="s">
        <v>31</v>
      </c>
      <c r="F324" s="30" t="s">
        <v>32</v>
      </c>
      <c r="G324" s="30" t="s">
        <v>20</v>
      </c>
      <c r="H324" s="32">
        <v>6</v>
      </c>
      <c r="I324" s="30" t="s">
        <v>21</v>
      </c>
      <c r="J324" s="41">
        <v>44012</v>
      </c>
      <c r="K324" s="30" t="s">
        <v>22</v>
      </c>
    </row>
    <row r="325" spans="1:11">
      <c r="A325" s="33" t="s">
        <v>906</v>
      </c>
      <c r="B325" s="33" t="s">
        <v>907</v>
      </c>
      <c r="C325" s="33" t="s">
        <v>647</v>
      </c>
      <c r="D325" s="33" t="s">
        <v>17</v>
      </c>
      <c r="E325" s="33" t="s">
        <v>26</v>
      </c>
      <c r="F325" s="33" t="s">
        <v>27</v>
      </c>
      <c r="G325" s="33" t="s">
        <v>20</v>
      </c>
      <c r="H325" s="35">
        <v>22</v>
      </c>
      <c r="I325" s="33" t="s">
        <v>21</v>
      </c>
      <c r="J325" s="42">
        <v>43987</v>
      </c>
      <c r="K325" s="33" t="s">
        <v>22</v>
      </c>
    </row>
    <row r="326" spans="1:11">
      <c r="A326" s="30" t="s">
        <v>908</v>
      </c>
      <c r="B326" s="30" t="s">
        <v>909</v>
      </c>
      <c r="C326" s="30" t="s">
        <v>910</v>
      </c>
      <c r="D326" s="30" t="s">
        <v>17</v>
      </c>
      <c r="E326" s="30" t="s">
        <v>26</v>
      </c>
      <c r="F326" s="30" t="s">
        <v>27</v>
      </c>
      <c r="G326" s="30" t="s">
        <v>112</v>
      </c>
      <c r="H326" s="32">
        <v>0</v>
      </c>
      <c r="I326" s="30" t="s">
        <v>21</v>
      </c>
      <c r="J326" s="41">
        <v>44185</v>
      </c>
      <c r="K326" s="30" t="s">
        <v>22</v>
      </c>
    </row>
    <row r="327" spans="1:11">
      <c r="A327" s="33" t="s">
        <v>911</v>
      </c>
      <c r="B327" s="33" t="s">
        <v>912</v>
      </c>
      <c r="C327" s="33" t="s">
        <v>102</v>
      </c>
      <c r="D327" s="33" t="s">
        <v>17</v>
      </c>
      <c r="E327" s="33" t="s">
        <v>26</v>
      </c>
      <c r="F327" s="33" t="s">
        <v>27</v>
      </c>
      <c r="G327" s="33" t="s">
        <v>158</v>
      </c>
      <c r="H327" s="35">
        <v>144</v>
      </c>
      <c r="I327" s="33" t="s">
        <v>21</v>
      </c>
      <c r="J327" s="42">
        <v>44147</v>
      </c>
      <c r="K327" s="33" t="s">
        <v>22</v>
      </c>
    </row>
    <row r="328" spans="1:11">
      <c r="A328" s="30" t="s">
        <v>913</v>
      </c>
      <c r="B328" s="30" t="s">
        <v>914</v>
      </c>
      <c r="C328" s="30" t="s">
        <v>915</v>
      </c>
      <c r="D328" s="30" t="s">
        <v>17</v>
      </c>
      <c r="E328" s="30" t="s">
        <v>26</v>
      </c>
      <c r="F328" s="30" t="s">
        <v>27</v>
      </c>
      <c r="G328" s="30" t="s">
        <v>112</v>
      </c>
      <c r="H328" s="32">
        <v>0</v>
      </c>
      <c r="I328" s="30" t="s">
        <v>21</v>
      </c>
      <c r="J328" s="41">
        <v>44158</v>
      </c>
      <c r="K328" s="30" t="s">
        <v>22</v>
      </c>
    </row>
    <row r="329" spans="1:11">
      <c r="A329" s="33" t="s">
        <v>916</v>
      </c>
      <c r="B329" s="33" t="s">
        <v>917</v>
      </c>
      <c r="C329" s="33" t="s">
        <v>178</v>
      </c>
      <c r="D329" s="33" t="s">
        <v>17</v>
      </c>
      <c r="E329" s="33" t="s">
        <v>18</v>
      </c>
      <c r="F329" s="33" t="s">
        <v>19</v>
      </c>
      <c r="G329" s="33" t="s">
        <v>20</v>
      </c>
      <c r="H329" s="35">
        <v>305</v>
      </c>
      <c r="I329" s="33" t="s">
        <v>21</v>
      </c>
      <c r="J329" s="42">
        <v>43930</v>
      </c>
      <c r="K329" s="33" t="s">
        <v>22</v>
      </c>
    </row>
    <row r="330" spans="1:11">
      <c r="A330" s="30" t="s">
        <v>918</v>
      </c>
      <c r="B330" s="30" t="s">
        <v>919</v>
      </c>
      <c r="C330" s="30" t="s">
        <v>920</v>
      </c>
      <c r="D330" s="30" t="s">
        <v>17</v>
      </c>
      <c r="E330" s="30" t="s">
        <v>31</v>
      </c>
      <c r="F330" s="30" t="s">
        <v>32</v>
      </c>
      <c r="G330" s="30" t="s">
        <v>50</v>
      </c>
      <c r="H330" s="32">
        <v>118</v>
      </c>
      <c r="I330" s="30" t="s">
        <v>51</v>
      </c>
      <c r="J330" s="41">
        <v>44166</v>
      </c>
      <c r="K330" s="30" t="s">
        <v>22</v>
      </c>
    </row>
    <row r="331" spans="1:11">
      <c r="A331" s="33" t="s">
        <v>921</v>
      </c>
      <c r="B331" s="33" t="s">
        <v>922</v>
      </c>
      <c r="C331" s="33" t="s">
        <v>310</v>
      </c>
      <c r="D331" s="33" t="s">
        <v>17</v>
      </c>
      <c r="E331" s="33" t="s">
        <v>26</v>
      </c>
      <c r="F331" s="33" t="s">
        <v>27</v>
      </c>
      <c r="G331" s="33" t="s">
        <v>20</v>
      </c>
      <c r="H331" s="35">
        <v>18</v>
      </c>
      <c r="I331" s="33" t="s">
        <v>21</v>
      </c>
      <c r="J331" s="42">
        <v>44161</v>
      </c>
      <c r="K331" s="33" t="s">
        <v>22</v>
      </c>
    </row>
    <row r="332" spans="1:11">
      <c r="A332" s="30" t="s">
        <v>923</v>
      </c>
      <c r="B332" s="30" t="s">
        <v>924</v>
      </c>
      <c r="C332" s="30" t="s">
        <v>925</v>
      </c>
      <c r="D332" s="30" t="s">
        <v>17</v>
      </c>
      <c r="E332" s="30" t="s">
        <v>26</v>
      </c>
      <c r="F332" s="30" t="s">
        <v>27</v>
      </c>
      <c r="G332" s="30" t="s">
        <v>20</v>
      </c>
      <c r="H332" s="32">
        <v>90</v>
      </c>
      <c r="I332" s="30" t="s">
        <v>21</v>
      </c>
      <c r="J332" s="41">
        <v>44019</v>
      </c>
      <c r="K332" s="30" t="s">
        <v>22</v>
      </c>
    </row>
    <row r="333" spans="1:11">
      <c r="A333" s="33" t="s">
        <v>926</v>
      </c>
      <c r="B333" s="33" t="s">
        <v>927</v>
      </c>
      <c r="C333" s="33" t="s">
        <v>928</v>
      </c>
      <c r="D333" s="33" t="s">
        <v>17</v>
      </c>
      <c r="E333" s="33" t="s">
        <v>31</v>
      </c>
      <c r="F333" s="33" t="s">
        <v>32</v>
      </c>
      <c r="G333" s="33" t="s">
        <v>20</v>
      </c>
      <c r="H333" s="35">
        <v>50</v>
      </c>
      <c r="I333" s="33" t="s">
        <v>21</v>
      </c>
      <c r="J333" s="42">
        <v>43938</v>
      </c>
      <c r="K333" s="33" t="s">
        <v>22</v>
      </c>
    </row>
    <row r="334" spans="1:11">
      <c r="A334" s="30" t="s">
        <v>929</v>
      </c>
      <c r="B334" s="30" t="s">
        <v>930</v>
      </c>
      <c r="C334" s="30" t="s">
        <v>931</v>
      </c>
      <c r="D334" s="30" t="s">
        <v>17</v>
      </c>
      <c r="E334" s="30" t="s">
        <v>26</v>
      </c>
      <c r="F334" s="30" t="s">
        <v>27</v>
      </c>
      <c r="G334" s="30" t="s">
        <v>140</v>
      </c>
      <c r="H334" s="32">
        <v>45</v>
      </c>
      <c r="I334" s="30" t="s">
        <v>51</v>
      </c>
      <c r="J334" s="41">
        <v>43984</v>
      </c>
      <c r="K334" s="30" t="s">
        <v>22</v>
      </c>
    </row>
    <row r="335" spans="1:11">
      <c r="A335" s="33" t="s">
        <v>932</v>
      </c>
      <c r="B335" s="33" t="s">
        <v>933</v>
      </c>
      <c r="C335" s="33" t="s">
        <v>44</v>
      </c>
      <c r="D335" s="33" t="s">
        <v>17</v>
      </c>
      <c r="E335" s="33" t="s">
        <v>31</v>
      </c>
      <c r="F335" s="33" t="s">
        <v>32</v>
      </c>
      <c r="G335" s="33" t="s">
        <v>20</v>
      </c>
      <c r="H335" s="35">
        <v>16</v>
      </c>
      <c r="I335" s="33" t="s">
        <v>21</v>
      </c>
      <c r="J335" s="42">
        <v>43837</v>
      </c>
      <c r="K335" s="33" t="s">
        <v>22</v>
      </c>
    </row>
    <row r="336" spans="1:11">
      <c r="A336" s="30" t="s">
        <v>934</v>
      </c>
      <c r="B336" s="30" t="s">
        <v>935</v>
      </c>
      <c r="C336" s="30" t="s">
        <v>936</v>
      </c>
      <c r="D336" s="30" t="s">
        <v>17</v>
      </c>
      <c r="E336" s="30" t="s">
        <v>18</v>
      </c>
      <c r="F336" s="30" t="s">
        <v>19</v>
      </c>
      <c r="G336" s="30" t="s">
        <v>106</v>
      </c>
      <c r="H336" s="32">
        <v>139</v>
      </c>
      <c r="I336" s="30" t="s">
        <v>21</v>
      </c>
      <c r="J336" s="41">
        <v>44105</v>
      </c>
      <c r="K336" s="30" t="s">
        <v>22</v>
      </c>
    </row>
    <row r="337" spans="1:11">
      <c r="A337" s="33" t="s">
        <v>937</v>
      </c>
      <c r="B337" s="33" t="s">
        <v>938</v>
      </c>
      <c r="C337" s="33" t="s">
        <v>93</v>
      </c>
      <c r="D337" s="33" t="s">
        <v>17</v>
      </c>
      <c r="E337" s="33" t="s">
        <v>18</v>
      </c>
      <c r="F337" s="33" t="s">
        <v>19</v>
      </c>
      <c r="G337" s="33" t="s">
        <v>20</v>
      </c>
      <c r="H337" s="35">
        <v>252</v>
      </c>
      <c r="I337" s="33" t="s">
        <v>21</v>
      </c>
      <c r="J337" s="42">
        <v>44103</v>
      </c>
      <c r="K337" s="33" t="s">
        <v>22</v>
      </c>
    </row>
    <row r="338" spans="1:11">
      <c r="A338" s="30" t="s">
        <v>939</v>
      </c>
      <c r="B338" s="30" t="s">
        <v>940</v>
      </c>
      <c r="C338" s="30" t="s">
        <v>203</v>
      </c>
      <c r="D338" s="30" t="s">
        <v>17</v>
      </c>
      <c r="E338" s="30" t="s">
        <v>212</v>
      </c>
      <c r="F338" s="30" t="s">
        <v>213</v>
      </c>
      <c r="G338" s="30" t="s">
        <v>112</v>
      </c>
      <c r="H338" s="32">
        <v>0</v>
      </c>
      <c r="I338" s="30" t="s">
        <v>21</v>
      </c>
      <c r="J338" s="41">
        <v>44075</v>
      </c>
      <c r="K338" s="30" t="s">
        <v>22</v>
      </c>
    </row>
    <row r="339" spans="1:11">
      <c r="A339" s="33" t="s">
        <v>941</v>
      </c>
      <c r="B339" s="33" t="s">
        <v>942</v>
      </c>
      <c r="C339" s="33" t="s">
        <v>118</v>
      </c>
      <c r="D339" s="33" t="s">
        <v>17</v>
      </c>
      <c r="E339" s="33" t="s">
        <v>31</v>
      </c>
      <c r="F339" s="33" t="s">
        <v>32</v>
      </c>
      <c r="G339" s="33" t="s">
        <v>20</v>
      </c>
      <c r="H339" s="35">
        <v>310</v>
      </c>
      <c r="I339" s="33" t="s">
        <v>21</v>
      </c>
      <c r="J339" s="42">
        <v>44106</v>
      </c>
      <c r="K339" s="33" t="s">
        <v>22</v>
      </c>
    </row>
    <row r="340" spans="1:11">
      <c r="A340" s="30" t="s">
        <v>943</v>
      </c>
      <c r="B340" s="30" t="s">
        <v>944</v>
      </c>
      <c r="C340" s="30" t="s">
        <v>945</v>
      </c>
      <c r="D340" s="30" t="s">
        <v>17</v>
      </c>
      <c r="E340" s="30" t="s">
        <v>31</v>
      </c>
      <c r="F340" s="30" t="s">
        <v>32</v>
      </c>
      <c r="G340" s="30" t="s">
        <v>20</v>
      </c>
      <c r="H340" s="32">
        <v>27</v>
      </c>
      <c r="I340" s="30" t="s">
        <v>21</v>
      </c>
      <c r="J340" s="41">
        <v>44032</v>
      </c>
      <c r="K340" s="30" t="s">
        <v>22</v>
      </c>
    </row>
    <row r="341" spans="1:11">
      <c r="A341" s="33" t="s">
        <v>946</v>
      </c>
      <c r="B341" s="33" t="s">
        <v>947</v>
      </c>
      <c r="C341" s="33" t="s">
        <v>948</v>
      </c>
      <c r="D341" s="33" t="s">
        <v>17</v>
      </c>
      <c r="E341" s="33" t="s">
        <v>18</v>
      </c>
      <c r="F341" s="33" t="s">
        <v>19</v>
      </c>
      <c r="G341" s="33" t="s">
        <v>158</v>
      </c>
      <c r="H341" s="35">
        <v>104</v>
      </c>
      <c r="I341" s="33" t="s">
        <v>21</v>
      </c>
      <c r="J341" s="42">
        <v>44136</v>
      </c>
      <c r="K341" s="33" t="s">
        <v>22</v>
      </c>
    </row>
    <row r="342" spans="1:11">
      <c r="A342" s="30" t="s">
        <v>949</v>
      </c>
      <c r="B342" s="30" t="s">
        <v>950</v>
      </c>
      <c r="C342" s="30" t="s">
        <v>951</v>
      </c>
      <c r="D342" s="30" t="s">
        <v>17</v>
      </c>
      <c r="E342" s="30" t="s">
        <v>26</v>
      </c>
      <c r="F342" s="30" t="s">
        <v>27</v>
      </c>
      <c r="G342" s="30" t="s">
        <v>20</v>
      </c>
      <c r="H342" s="32">
        <v>6</v>
      </c>
      <c r="I342" s="30" t="s">
        <v>21</v>
      </c>
      <c r="J342" s="41">
        <v>44095</v>
      </c>
      <c r="K342" s="30" t="s">
        <v>22</v>
      </c>
    </row>
    <row r="343" spans="1:11">
      <c r="A343" s="33" t="s">
        <v>952</v>
      </c>
      <c r="B343" s="33" t="s">
        <v>953</v>
      </c>
      <c r="C343" s="33" t="s">
        <v>954</v>
      </c>
      <c r="D343" s="33" t="s">
        <v>17</v>
      </c>
      <c r="E343" s="33" t="s">
        <v>26</v>
      </c>
      <c r="F343" s="33" t="s">
        <v>27</v>
      </c>
      <c r="G343" s="33" t="s">
        <v>20</v>
      </c>
      <c r="H343" s="35">
        <v>24</v>
      </c>
      <c r="I343" s="33" t="s">
        <v>21</v>
      </c>
      <c r="J343" s="42">
        <v>43972</v>
      </c>
      <c r="K343" s="33" t="s">
        <v>22</v>
      </c>
    </row>
    <row r="344" spans="1:11">
      <c r="A344" s="30" t="s">
        <v>955</v>
      </c>
      <c r="B344" s="30" t="s">
        <v>956</v>
      </c>
      <c r="C344" s="30" t="s">
        <v>957</v>
      </c>
      <c r="D344" s="30" t="s">
        <v>17</v>
      </c>
      <c r="E344" s="30" t="s">
        <v>18</v>
      </c>
      <c r="F344" s="30" t="s">
        <v>19</v>
      </c>
      <c r="G344" s="30" t="s">
        <v>106</v>
      </c>
      <c r="H344" s="32">
        <v>43</v>
      </c>
      <c r="I344" s="30" t="s">
        <v>21</v>
      </c>
      <c r="J344" s="41">
        <v>44012</v>
      </c>
      <c r="K344" s="30" t="s">
        <v>22</v>
      </c>
    </row>
    <row r="345" spans="1:11">
      <c r="A345" s="33" t="s">
        <v>958</v>
      </c>
      <c r="B345" s="33" t="s">
        <v>959</v>
      </c>
      <c r="C345" s="33" t="s">
        <v>136</v>
      </c>
      <c r="D345" s="33" t="s">
        <v>17</v>
      </c>
      <c r="E345" s="33" t="s">
        <v>26</v>
      </c>
      <c r="F345" s="33" t="s">
        <v>27</v>
      </c>
      <c r="G345" s="33" t="s">
        <v>20</v>
      </c>
      <c r="H345" s="35">
        <v>50</v>
      </c>
      <c r="I345" s="33" t="s">
        <v>21</v>
      </c>
      <c r="J345" s="42">
        <v>44042</v>
      </c>
      <c r="K345" s="33" t="s">
        <v>22</v>
      </c>
    </row>
    <row r="346" spans="1:11">
      <c r="A346" s="30" t="s">
        <v>960</v>
      </c>
      <c r="B346" s="30" t="s">
        <v>961</v>
      </c>
      <c r="C346" s="30" t="s">
        <v>96</v>
      </c>
      <c r="D346" s="30" t="s">
        <v>17</v>
      </c>
      <c r="E346" s="30" t="s">
        <v>26</v>
      </c>
      <c r="F346" s="30" t="s">
        <v>27</v>
      </c>
      <c r="G346" s="30" t="s">
        <v>20</v>
      </c>
      <c r="H346" s="32">
        <v>12</v>
      </c>
      <c r="I346" s="30" t="s">
        <v>21</v>
      </c>
      <c r="J346" s="41">
        <v>44183</v>
      </c>
      <c r="K346" s="30" t="s">
        <v>22</v>
      </c>
    </row>
    <row r="347" spans="1:11">
      <c r="A347" s="33" t="s">
        <v>962</v>
      </c>
      <c r="B347" s="33" t="s">
        <v>963</v>
      </c>
      <c r="C347" s="33" t="s">
        <v>798</v>
      </c>
      <c r="D347" s="33" t="s">
        <v>17</v>
      </c>
      <c r="E347" s="33" t="s">
        <v>31</v>
      </c>
      <c r="F347" s="33" t="s">
        <v>32</v>
      </c>
      <c r="G347" s="33" t="s">
        <v>106</v>
      </c>
      <c r="H347" s="35">
        <v>6</v>
      </c>
      <c r="I347" s="33" t="s">
        <v>21</v>
      </c>
      <c r="J347" s="42">
        <v>44126</v>
      </c>
      <c r="K347" s="33" t="s">
        <v>22</v>
      </c>
    </row>
    <row r="348" spans="1:11">
      <c r="A348" s="30" t="s">
        <v>964</v>
      </c>
      <c r="B348" s="30" t="s">
        <v>965</v>
      </c>
      <c r="C348" s="30" t="s">
        <v>966</v>
      </c>
      <c r="D348" s="30" t="s">
        <v>17</v>
      </c>
      <c r="E348" s="30" t="s">
        <v>26</v>
      </c>
      <c r="F348" s="30" t="s">
        <v>27</v>
      </c>
      <c r="G348" s="30" t="s">
        <v>20</v>
      </c>
      <c r="H348" s="32">
        <v>28</v>
      </c>
      <c r="I348" s="30" t="s">
        <v>21</v>
      </c>
      <c r="J348" s="41">
        <v>43856</v>
      </c>
      <c r="K348" s="30" t="s">
        <v>22</v>
      </c>
    </row>
    <row r="349" spans="1:11">
      <c r="A349" s="33" t="s">
        <v>967</v>
      </c>
      <c r="B349" s="33" t="s">
        <v>968</v>
      </c>
      <c r="C349" s="33" t="s">
        <v>969</v>
      </c>
      <c r="D349" s="33" t="s">
        <v>17</v>
      </c>
      <c r="E349" s="33" t="s">
        <v>18</v>
      </c>
      <c r="F349" s="33" t="s">
        <v>19</v>
      </c>
      <c r="G349" s="33" t="s">
        <v>20</v>
      </c>
      <c r="H349" s="35">
        <v>945</v>
      </c>
      <c r="I349" s="33" t="s">
        <v>21</v>
      </c>
      <c r="J349" s="42">
        <v>44068</v>
      </c>
      <c r="K349" s="33" t="s">
        <v>22</v>
      </c>
    </row>
    <row r="350" spans="1:11">
      <c r="A350" s="30" t="s">
        <v>970</v>
      </c>
      <c r="B350" s="30" t="s">
        <v>971</v>
      </c>
      <c r="C350" s="30" t="s">
        <v>149</v>
      </c>
      <c r="D350" s="30" t="s">
        <v>17</v>
      </c>
      <c r="E350" s="30" t="s">
        <v>26</v>
      </c>
      <c r="F350" s="30" t="s">
        <v>27</v>
      </c>
      <c r="G350" s="30" t="s">
        <v>50</v>
      </c>
      <c r="H350" s="32">
        <v>30</v>
      </c>
      <c r="I350" s="30" t="s">
        <v>51</v>
      </c>
      <c r="J350" s="41">
        <v>44152</v>
      </c>
      <c r="K350" s="30" t="s">
        <v>22</v>
      </c>
    </row>
    <row r="351" spans="1:11">
      <c r="A351" s="33" t="s">
        <v>972</v>
      </c>
      <c r="B351" s="33" t="s">
        <v>973</v>
      </c>
      <c r="C351" s="33" t="s">
        <v>190</v>
      </c>
      <c r="D351" s="33" t="s">
        <v>17</v>
      </c>
      <c r="E351" s="33" t="s">
        <v>18</v>
      </c>
      <c r="F351" s="33" t="s">
        <v>19</v>
      </c>
      <c r="G351" s="33" t="s">
        <v>158</v>
      </c>
      <c r="H351" s="35">
        <v>370</v>
      </c>
      <c r="I351" s="33" t="s">
        <v>21</v>
      </c>
      <c r="J351" s="42">
        <v>44106</v>
      </c>
      <c r="K351" s="33" t="s">
        <v>22</v>
      </c>
    </row>
    <row r="352" spans="1:11">
      <c r="A352" s="30" t="s">
        <v>974</v>
      </c>
      <c r="B352" s="30" t="s">
        <v>975</v>
      </c>
      <c r="C352" s="30" t="s">
        <v>75</v>
      </c>
      <c r="D352" s="30" t="s">
        <v>17</v>
      </c>
      <c r="E352" s="30" t="s">
        <v>26</v>
      </c>
      <c r="F352" s="30" t="s">
        <v>27</v>
      </c>
      <c r="G352" s="30" t="s">
        <v>20</v>
      </c>
      <c r="H352" s="32">
        <v>16</v>
      </c>
      <c r="I352" s="30" t="s">
        <v>21</v>
      </c>
      <c r="J352" s="41">
        <v>44158</v>
      </c>
      <c r="K352" s="30" t="s">
        <v>22</v>
      </c>
    </row>
    <row r="353" spans="1:11">
      <c r="A353" s="33" t="s">
        <v>976</v>
      </c>
      <c r="B353" s="33" t="s">
        <v>977</v>
      </c>
      <c r="C353" s="33" t="s">
        <v>190</v>
      </c>
      <c r="D353" s="33" t="s">
        <v>17</v>
      </c>
      <c r="E353" s="33" t="s">
        <v>31</v>
      </c>
      <c r="F353" s="33" t="s">
        <v>32</v>
      </c>
      <c r="G353" s="33" t="s">
        <v>20</v>
      </c>
      <c r="H353" s="35">
        <v>248</v>
      </c>
      <c r="I353" s="33" t="s">
        <v>21</v>
      </c>
      <c r="J353" s="42">
        <v>44074</v>
      </c>
      <c r="K353" s="33" t="s">
        <v>22</v>
      </c>
    </row>
    <row r="354" spans="1:11">
      <c r="A354" s="30" t="s">
        <v>978</v>
      </c>
      <c r="B354" s="30" t="s">
        <v>979</v>
      </c>
      <c r="C354" s="30" t="s">
        <v>124</v>
      </c>
      <c r="D354" s="30" t="s">
        <v>17</v>
      </c>
      <c r="E354" s="30" t="s">
        <v>26</v>
      </c>
      <c r="F354" s="30" t="s">
        <v>27</v>
      </c>
      <c r="G354" s="30" t="s">
        <v>20</v>
      </c>
      <c r="H354" s="32">
        <v>72</v>
      </c>
      <c r="I354" s="30" t="s">
        <v>21</v>
      </c>
      <c r="J354" s="41">
        <v>44080</v>
      </c>
      <c r="K354" s="30" t="s">
        <v>22</v>
      </c>
    </row>
    <row r="355" spans="1:11">
      <c r="A355" s="33" t="s">
        <v>980</v>
      </c>
      <c r="B355" s="33" t="s">
        <v>981</v>
      </c>
      <c r="C355" s="33" t="s">
        <v>982</v>
      </c>
      <c r="D355" s="33" t="s">
        <v>17</v>
      </c>
      <c r="E355" s="33" t="s">
        <v>67</v>
      </c>
      <c r="F355" s="33" t="s">
        <v>68</v>
      </c>
      <c r="G355" s="33" t="s">
        <v>20</v>
      </c>
      <c r="H355" s="35">
        <v>29</v>
      </c>
      <c r="I355" s="33" t="s">
        <v>21</v>
      </c>
      <c r="J355" s="42">
        <v>44032</v>
      </c>
      <c r="K355" s="33" t="s">
        <v>22</v>
      </c>
    </row>
    <row r="356" spans="1:11">
      <c r="A356" s="30" t="s">
        <v>983</v>
      </c>
      <c r="B356" s="30" t="s">
        <v>984</v>
      </c>
      <c r="C356" s="30" t="s">
        <v>985</v>
      </c>
      <c r="D356" s="30" t="s">
        <v>17</v>
      </c>
      <c r="E356" s="30" t="s">
        <v>31</v>
      </c>
      <c r="F356" s="30" t="s">
        <v>32</v>
      </c>
      <c r="G356" s="30" t="s">
        <v>106</v>
      </c>
      <c r="H356" s="32">
        <v>83</v>
      </c>
      <c r="I356" s="30" t="s">
        <v>21</v>
      </c>
      <c r="J356" s="41">
        <v>43977</v>
      </c>
      <c r="K356" s="30" t="s">
        <v>22</v>
      </c>
    </row>
    <row r="357" spans="1:11">
      <c r="A357" s="33" t="s">
        <v>986</v>
      </c>
      <c r="B357" s="33" t="s">
        <v>987</v>
      </c>
      <c r="C357" s="33" t="s">
        <v>190</v>
      </c>
      <c r="D357" s="33" t="s">
        <v>17</v>
      </c>
      <c r="E357" s="33" t="s">
        <v>26</v>
      </c>
      <c r="F357" s="33" t="s">
        <v>27</v>
      </c>
      <c r="G357" s="33" t="s">
        <v>20</v>
      </c>
      <c r="H357" s="35">
        <v>74</v>
      </c>
      <c r="I357" s="33" t="s">
        <v>21</v>
      </c>
      <c r="J357" s="42">
        <v>44141</v>
      </c>
      <c r="K357" s="33" t="s">
        <v>22</v>
      </c>
    </row>
    <row r="358" spans="1:11">
      <c r="A358" s="30" t="s">
        <v>988</v>
      </c>
      <c r="B358" s="30" t="s">
        <v>989</v>
      </c>
      <c r="C358" s="30" t="s">
        <v>990</v>
      </c>
      <c r="D358" s="30" t="s">
        <v>17</v>
      </c>
      <c r="E358" s="30" t="s">
        <v>26</v>
      </c>
      <c r="F358" s="30" t="s">
        <v>27</v>
      </c>
      <c r="G358" s="30" t="s">
        <v>112</v>
      </c>
      <c r="H358" s="32">
        <v>0</v>
      </c>
      <c r="I358" s="30" t="s">
        <v>21</v>
      </c>
      <c r="J358" s="41">
        <v>44006</v>
      </c>
      <c r="K358" s="30" t="s">
        <v>22</v>
      </c>
    </row>
    <row r="359" spans="1:11">
      <c r="A359" s="33" t="s">
        <v>991</v>
      </c>
      <c r="B359" s="33" t="s">
        <v>992</v>
      </c>
      <c r="C359" s="33" t="s">
        <v>948</v>
      </c>
      <c r="D359" s="33" t="s">
        <v>17</v>
      </c>
      <c r="E359" s="33" t="s">
        <v>26</v>
      </c>
      <c r="F359" s="33" t="s">
        <v>27</v>
      </c>
      <c r="G359" s="33" t="s">
        <v>140</v>
      </c>
      <c r="H359" s="35">
        <v>40</v>
      </c>
      <c r="I359" s="33" t="s">
        <v>51</v>
      </c>
      <c r="J359" s="42">
        <v>44134</v>
      </c>
      <c r="K359" s="33" t="s">
        <v>22</v>
      </c>
    </row>
    <row r="360" spans="1:11">
      <c r="A360" s="30" t="s">
        <v>993</v>
      </c>
      <c r="B360" s="30" t="s">
        <v>994</v>
      </c>
      <c r="C360" s="30" t="s">
        <v>995</v>
      </c>
      <c r="D360" s="30" t="s">
        <v>17</v>
      </c>
      <c r="E360" s="30" t="s">
        <v>26</v>
      </c>
      <c r="F360" s="30" t="s">
        <v>27</v>
      </c>
      <c r="G360" s="30" t="s">
        <v>20</v>
      </c>
      <c r="H360" s="32">
        <v>34</v>
      </c>
      <c r="I360" s="30" t="s">
        <v>21</v>
      </c>
      <c r="J360" s="41">
        <v>43923</v>
      </c>
      <c r="K360" s="30" t="s">
        <v>22</v>
      </c>
    </row>
    <row r="361" spans="1:11">
      <c r="A361" s="33" t="s">
        <v>996</v>
      </c>
      <c r="B361" s="33" t="s">
        <v>997</v>
      </c>
      <c r="C361" s="33" t="s">
        <v>96</v>
      </c>
      <c r="D361" s="33" t="s">
        <v>17</v>
      </c>
      <c r="E361" s="33" t="s">
        <v>18</v>
      </c>
      <c r="F361" s="33" t="s">
        <v>19</v>
      </c>
      <c r="G361" s="33" t="s">
        <v>20</v>
      </c>
      <c r="H361" s="35">
        <v>2431</v>
      </c>
      <c r="I361" s="33" t="s">
        <v>21</v>
      </c>
      <c r="J361" s="42">
        <v>43999</v>
      </c>
      <c r="K361" s="33" t="s">
        <v>22</v>
      </c>
    </row>
    <row r="362" spans="1:11">
      <c r="A362" s="30" t="s">
        <v>998</v>
      </c>
      <c r="B362" s="30" t="s">
        <v>999</v>
      </c>
      <c r="C362" s="30" t="s">
        <v>1000</v>
      </c>
      <c r="D362" s="30" t="s">
        <v>17</v>
      </c>
      <c r="E362" s="30" t="s">
        <v>31</v>
      </c>
      <c r="F362" s="30" t="s">
        <v>32</v>
      </c>
      <c r="G362" s="30" t="s">
        <v>112</v>
      </c>
      <c r="H362" s="32">
        <v>0</v>
      </c>
      <c r="I362" s="30" t="s">
        <v>21</v>
      </c>
      <c r="J362" s="41">
        <v>44105</v>
      </c>
      <c r="K362" s="30" t="s">
        <v>22</v>
      </c>
    </row>
    <row r="363" spans="1:11">
      <c r="A363" s="33" t="s">
        <v>1001</v>
      </c>
      <c r="B363" s="33" t="s">
        <v>1002</v>
      </c>
      <c r="C363" s="33" t="s">
        <v>1003</v>
      </c>
      <c r="D363" s="33" t="s">
        <v>17</v>
      </c>
      <c r="E363" s="33" t="s">
        <v>31</v>
      </c>
      <c r="F363" s="33" t="s">
        <v>32</v>
      </c>
      <c r="G363" s="33" t="s">
        <v>20</v>
      </c>
      <c r="H363" s="35">
        <v>51</v>
      </c>
      <c r="I363" s="33" t="s">
        <v>21</v>
      </c>
      <c r="J363" s="42">
        <v>43837</v>
      </c>
      <c r="K363" s="33" t="s">
        <v>22</v>
      </c>
    </row>
    <row r="364" spans="1:11">
      <c r="A364" s="30" t="s">
        <v>1004</v>
      </c>
      <c r="B364" s="30" t="s">
        <v>1005</v>
      </c>
      <c r="C364" s="30" t="s">
        <v>1006</v>
      </c>
      <c r="D364" s="30" t="s">
        <v>17</v>
      </c>
      <c r="E364" s="30" t="s">
        <v>18</v>
      </c>
      <c r="F364" s="30" t="s">
        <v>19</v>
      </c>
      <c r="G364" s="30" t="s">
        <v>50</v>
      </c>
      <c r="H364" s="32">
        <v>240</v>
      </c>
      <c r="I364" s="30" t="s">
        <v>51</v>
      </c>
      <c r="J364" s="41">
        <v>43861</v>
      </c>
      <c r="K364" s="30" t="s">
        <v>22</v>
      </c>
    </row>
    <row r="365" spans="1:11">
      <c r="A365" s="33" t="s">
        <v>1007</v>
      </c>
      <c r="B365" s="33" t="s">
        <v>1008</v>
      </c>
      <c r="C365" s="33" t="s">
        <v>1009</v>
      </c>
      <c r="D365" s="33" t="s">
        <v>17</v>
      </c>
      <c r="E365" s="33" t="s">
        <v>26</v>
      </c>
      <c r="F365" s="33" t="s">
        <v>27</v>
      </c>
      <c r="G365" s="33" t="s">
        <v>158</v>
      </c>
      <c r="H365" s="35">
        <v>30</v>
      </c>
      <c r="I365" s="33" t="s">
        <v>51</v>
      </c>
      <c r="J365" s="42">
        <v>44140</v>
      </c>
      <c r="K365" s="33" t="s">
        <v>22</v>
      </c>
    </row>
    <row r="366" spans="1:11">
      <c r="A366" s="30" t="s">
        <v>1010</v>
      </c>
      <c r="B366" s="30" t="s">
        <v>1011</v>
      </c>
      <c r="C366" s="30" t="s">
        <v>190</v>
      </c>
      <c r="D366" s="30" t="s">
        <v>17</v>
      </c>
      <c r="E366" s="30" t="s">
        <v>18</v>
      </c>
      <c r="F366" s="30" t="s">
        <v>19</v>
      </c>
      <c r="G366" s="30" t="s">
        <v>158</v>
      </c>
      <c r="H366" s="32">
        <v>358</v>
      </c>
      <c r="I366" s="30" t="s">
        <v>21</v>
      </c>
      <c r="J366" s="41">
        <v>44181</v>
      </c>
      <c r="K366" s="30" t="s">
        <v>22</v>
      </c>
    </row>
    <row r="367" spans="1:11">
      <c r="A367" s="33" t="s">
        <v>1012</v>
      </c>
      <c r="B367" s="33" t="s">
        <v>1013</v>
      </c>
      <c r="C367" s="33" t="s">
        <v>450</v>
      </c>
      <c r="D367" s="33" t="s">
        <v>17</v>
      </c>
      <c r="E367" s="33" t="s">
        <v>67</v>
      </c>
      <c r="F367" s="33" t="s">
        <v>68</v>
      </c>
      <c r="G367" s="33" t="s">
        <v>20</v>
      </c>
      <c r="H367" s="35">
        <v>132</v>
      </c>
      <c r="I367" s="33" t="s">
        <v>21</v>
      </c>
      <c r="J367" s="42">
        <v>44081</v>
      </c>
      <c r="K367" s="33" t="s">
        <v>22</v>
      </c>
    </row>
    <row r="368" spans="1:11">
      <c r="A368" s="30" t="s">
        <v>1014</v>
      </c>
      <c r="B368" s="30" t="s">
        <v>1015</v>
      </c>
      <c r="C368" s="30" t="s">
        <v>1016</v>
      </c>
      <c r="D368" s="30" t="s">
        <v>17</v>
      </c>
      <c r="E368" s="30" t="s">
        <v>26</v>
      </c>
      <c r="F368" s="30" t="s">
        <v>27</v>
      </c>
      <c r="G368" s="30" t="s">
        <v>20</v>
      </c>
      <c r="H368" s="32">
        <v>16</v>
      </c>
      <c r="I368" s="30" t="s">
        <v>21</v>
      </c>
      <c r="J368" s="41">
        <v>44138</v>
      </c>
      <c r="K368" s="30" t="s">
        <v>22</v>
      </c>
    </row>
    <row r="369" spans="1:11">
      <c r="A369" s="33" t="s">
        <v>1017</v>
      </c>
      <c r="B369" s="33" t="s">
        <v>1018</v>
      </c>
      <c r="C369" s="33" t="s">
        <v>1019</v>
      </c>
      <c r="D369" s="33" t="s">
        <v>17</v>
      </c>
      <c r="E369" s="33" t="s">
        <v>18</v>
      </c>
      <c r="F369" s="33" t="s">
        <v>19</v>
      </c>
      <c r="G369" s="33" t="s">
        <v>20</v>
      </c>
      <c r="H369" s="35">
        <v>217</v>
      </c>
      <c r="I369" s="33" t="s">
        <v>21</v>
      </c>
      <c r="J369" s="42">
        <v>43888</v>
      </c>
      <c r="K369" s="33" t="s">
        <v>22</v>
      </c>
    </row>
    <row r="370" spans="1:11">
      <c r="A370" s="30" t="s">
        <v>1020</v>
      </c>
      <c r="B370" s="30" t="s">
        <v>1021</v>
      </c>
      <c r="C370" s="30" t="s">
        <v>149</v>
      </c>
      <c r="D370" s="30" t="s">
        <v>17</v>
      </c>
      <c r="E370" s="30" t="s">
        <v>26</v>
      </c>
      <c r="F370" s="30" t="s">
        <v>27</v>
      </c>
      <c r="G370" s="30" t="s">
        <v>50</v>
      </c>
      <c r="H370" s="32">
        <v>14</v>
      </c>
      <c r="I370" s="30" t="s">
        <v>51</v>
      </c>
      <c r="J370" s="41">
        <v>44166</v>
      </c>
      <c r="K370" s="30" t="s">
        <v>22</v>
      </c>
    </row>
    <row r="371" spans="1:11">
      <c r="A371" s="33" t="s">
        <v>1022</v>
      </c>
      <c r="B371" s="33" t="s">
        <v>1023</v>
      </c>
      <c r="C371" s="33" t="s">
        <v>1024</v>
      </c>
      <c r="D371" s="33" t="s">
        <v>17</v>
      </c>
      <c r="E371" s="33" t="s">
        <v>26</v>
      </c>
      <c r="F371" s="33" t="s">
        <v>27</v>
      </c>
      <c r="G371" s="33" t="s">
        <v>20</v>
      </c>
      <c r="H371" s="35">
        <v>85</v>
      </c>
      <c r="I371" s="33" t="s">
        <v>21</v>
      </c>
      <c r="J371" s="42">
        <v>43894</v>
      </c>
      <c r="K371" s="33" t="s">
        <v>22</v>
      </c>
    </row>
    <row r="372" spans="1:11">
      <c r="A372" s="30" t="s">
        <v>1025</v>
      </c>
      <c r="B372" s="30" t="s">
        <v>1026</v>
      </c>
      <c r="C372" s="30" t="s">
        <v>1027</v>
      </c>
      <c r="D372" s="30" t="s">
        <v>17</v>
      </c>
      <c r="E372" s="30" t="s">
        <v>67</v>
      </c>
      <c r="F372" s="30" t="s">
        <v>68</v>
      </c>
      <c r="G372" s="30" t="s">
        <v>20</v>
      </c>
      <c r="H372" s="32">
        <v>49</v>
      </c>
      <c r="I372" s="30" t="s">
        <v>21</v>
      </c>
      <c r="J372" s="41">
        <v>44077</v>
      </c>
      <c r="K372" s="30" t="s">
        <v>22</v>
      </c>
    </row>
    <row r="373" spans="1:11">
      <c r="A373" s="33" t="s">
        <v>1028</v>
      </c>
      <c r="B373" s="33" t="s">
        <v>1029</v>
      </c>
      <c r="C373" s="33" t="s">
        <v>1030</v>
      </c>
      <c r="D373" s="33" t="s">
        <v>17</v>
      </c>
      <c r="E373" s="33" t="s">
        <v>26</v>
      </c>
      <c r="F373" s="33" t="s">
        <v>27</v>
      </c>
      <c r="G373" s="33" t="s">
        <v>20</v>
      </c>
      <c r="H373" s="35">
        <v>30</v>
      </c>
      <c r="I373" s="33" t="s">
        <v>21</v>
      </c>
      <c r="J373" s="42">
        <v>43837</v>
      </c>
      <c r="K373" s="33" t="s">
        <v>22</v>
      </c>
    </row>
    <row r="374" spans="1:11">
      <c r="A374" s="30" t="s">
        <v>1031</v>
      </c>
      <c r="B374" s="30" t="s">
        <v>1032</v>
      </c>
      <c r="C374" s="30" t="s">
        <v>969</v>
      </c>
      <c r="D374" s="30" t="s">
        <v>17</v>
      </c>
      <c r="E374" s="30" t="s">
        <v>18</v>
      </c>
      <c r="F374" s="30" t="s">
        <v>19</v>
      </c>
      <c r="G374" s="30" t="s">
        <v>106</v>
      </c>
      <c r="H374" s="32">
        <v>2916</v>
      </c>
      <c r="I374" s="30" t="s">
        <v>21</v>
      </c>
      <c r="J374" s="41">
        <v>43963</v>
      </c>
      <c r="K374" s="30" t="s">
        <v>22</v>
      </c>
    </row>
    <row r="375" spans="1:11">
      <c r="A375" s="33" t="s">
        <v>1033</v>
      </c>
      <c r="B375" s="33" t="s">
        <v>1034</v>
      </c>
      <c r="C375" s="33" t="s">
        <v>429</v>
      </c>
      <c r="D375" s="33" t="s">
        <v>17</v>
      </c>
      <c r="E375" s="33" t="s">
        <v>26</v>
      </c>
      <c r="F375" s="33" t="s">
        <v>27</v>
      </c>
      <c r="G375" s="33" t="s">
        <v>20</v>
      </c>
      <c r="H375" s="35">
        <v>24</v>
      </c>
      <c r="I375" s="33" t="s">
        <v>21</v>
      </c>
      <c r="J375" s="42">
        <v>44104</v>
      </c>
      <c r="K375" s="33" t="s">
        <v>22</v>
      </c>
    </row>
    <row r="376" spans="1:11">
      <c r="A376" s="30" t="s">
        <v>1035</v>
      </c>
      <c r="B376" s="30" t="s">
        <v>1036</v>
      </c>
      <c r="C376" s="30" t="s">
        <v>75</v>
      </c>
      <c r="D376" s="30" t="s">
        <v>17</v>
      </c>
      <c r="E376" s="30" t="s">
        <v>26</v>
      </c>
      <c r="F376" s="30" t="s">
        <v>27</v>
      </c>
      <c r="G376" s="30" t="s">
        <v>106</v>
      </c>
      <c r="H376" s="32">
        <v>21</v>
      </c>
      <c r="I376" s="30" t="s">
        <v>21</v>
      </c>
      <c r="J376" s="41">
        <v>44007</v>
      </c>
      <c r="K376" s="30" t="s">
        <v>22</v>
      </c>
    </row>
    <row r="377" spans="1:11">
      <c r="A377" s="33" t="s">
        <v>1037</v>
      </c>
      <c r="B377" s="33" t="s">
        <v>1038</v>
      </c>
      <c r="C377" s="33" t="s">
        <v>1039</v>
      </c>
      <c r="D377" s="33" t="s">
        <v>17</v>
      </c>
      <c r="E377" s="33" t="s">
        <v>31</v>
      </c>
      <c r="F377" s="33" t="s">
        <v>32</v>
      </c>
      <c r="G377" s="33" t="s">
        <v>158</v>
      </c>
      <c r="H377" s="35">
        <v>51</v>
      </c>
      <c r="I377" s="33" t="s">
        <v>21</v>
      </c>
      <c r="J377" s="42">
        <v>44177</v>
      </c>
      <c r="K377" s="33" t="s">
        <v>22</v>
      </c>
    </row>
    <row r="378" spans="1:11">
      <c r="A378" s="30" t="s">
        <v>1040</v>
      </c>
      <c r="B378" s="30" t="s">
        <v>1041</v>
      </c>
      <c r="C378" s="30" t="s">
        <v>1042</v>
      </c>
      <c r="D378" s="30" t="s">
        <v>17</v>
      </c>
      <c r="E378" s="30" t="s">
        <v>45</v>
      </c>
      <c r="F378" s="30" t="s">
        <v>46</v>
      </c>
      <c r="G378" s="30" t="s">
        <v>20</v>
      </c>
      <c r="H378" s="32">
        <v>329</v>
      </c>
      <c r="I378" s="30" t="s">
        <v>21</v>
      </c>
      <c r="J378" s="41">
        <v>44156</v>
      </c>
      <c r="K378" s="30" t="s">
        <v>22</v>
      </c>
    </row>
    <row r="379" spans="1:11">
      <c r="A379" s="33" t="s">
        <v>1043</v>
      </c>
      <c r="B379" s="33" t="s">
        <v>1044</v>
      </c>
      <c r="C379" s="33" t="s">
        <v>1045</v>
      </c>
      <c r="D379" s="33" t="s">
        <v>17</v>
      </c>
      <c r="E379" s="33" t="s">
        <v>18</v>
      </c>
      <c r="F379" s="33" t="s">
        <v>19</v>
      </c>
      <c r="G379" s="33" t="s">
        <v>158</v>
      </c>
      <c r="H379" s="35">
        <v>190</v>
      </c>
      <c r="I379" s="33" t="s">
        <v>51</v>
      </c>
      <c r="J379" s="42">
        <v>44131</v>
      </c>
      <c r="K379" s="33" t="s">
        <v>22</v>
      </c>
    </row>
    <row r="380" spans="1:11">
      <c r="A380" s="30" t="s">
        <v>1046</v>
      </c>
      <c r="B380" s="30" t="s">
        <v>1047</v>
      </c>
      <c r="C380" s="30" t="s">
        <v>1048</v>
      </c>
      <c r="D380" s="30" t="s">
        <v>17</v>
      </c>
      <c r="E380" s="30" t="s">
        <v>26</v>
      </c>
      <c r="F380" s="30" t="s">
        <v>27</v>
      </c>
      <c r="G380" s="30" t="s">
        <v>20</v>
      </c>
      <c r="H380" s="32">
        <v>28</v>
      </c>
      <c r="I380" s="30" t="s">
        <v>21</v>
      </c>
      <c r="J380" s="41">
        <v>43878</v>
      </c>
      <c r="K380" s="30" t="s">
        <v>22</v>
      </c>
    </row>
    <row r="381" spans="1:11">
      <c r="A381" s="33" t="s">
        <v>1049</v>
      </c>
      <c r="B381" s="33" t="s">
        <v>1050</v>
      </c>
      <c r="C381" s="33" t="s">
        <v>635</v>
      </c>
      <c r="D381" s="33" t="s">
        <v>17</v>
      </c>
      <c r="E381" s="33" t="s">
        <v>67</v>
      </c>
      <c r="F381" s="33" t="s">
        <v>68</v>
      </c>
      <c r="G381" s="33" t="s">
        <v>106</v>
      </c>
      <c r="H381" s="35">
        <v>89</v>
      </c>
      <c r="I381" s="33" t="s">
        <v>21</v>
      </c>
      <c r="J381" s="42">
        <v>43941</v>
      </c>
      <c r="K381" s="33" t="s">
        <v>22</v>
      </c>
    </row>
    <row r="382" spans="1:11">
      <c r="A382" s="30" t="s">
        <v>1051</v>
      </c>
      <c r="B382" s="30" t="s">
        <v>1052</v>
      </c>
      <c r="C382" s="30" t="s">
        <v>190</v>
      </c>
      <c r="D382" s="30" t="s">
        <v>17</v>
      </c>
      <c r="E382" s="30" t="s">
        <v>26</v>
      </c>
      <c r="F382" s="30" t="s">
        <v>27</v>
      </c>
      <c r="G382" s="30" t="s">
        <v>20</v>
      </c>
      <c r="H382" s="32">
        <v>10</v>
      </c>
      <c r="I382" s="30" t="s">
        <v>21</v>
      </c>
      <c r="J382" s="41">
        <v>44103</v>
      </c>
      <c r="K382" s="30" t="s">
        <v>22</v>
      </c>
    </row>
    <row r="383" spans="1:11">
      <c r="A383" s="33" t="s">
        <v>1053</v>
      </c>
      <c r="B383" s="33" t="s">
        <v>1054</v>
      </c>
      <c r="C383" s="33" t="s">
        <v>1055</v>
      </c>
      <c r="D383" s="33" t="s">
        <v>17</v>
      </c>
      <c r="E383" s="33" t="s">
        <v>26</v>
      </c>
      <c r="F383" s="33" t="s">
        <v>27</v>
      </c>
      <c r="G383" s="33" t="s">
        <v>20</v>
      </c>
      <c r="H383" s="35">
        <v>7</v>
      </c>
      <c r="I383" s="33" t="s">
        <v>21</v>
      </c>
      <c r="J383" s="42">
        <v>44116</v>
      </c>
      <c r="K383" s="33" t="s">
        <v>22</v>
      </c>
    </row>
    <row r="384" spans="1:11">
      <c r="A384" s="30" t="s">
        <v>1056</v>
      </c>
      <c r="B384" s="30" t="s">
        <v>1057</v>
      </c>
      <c r="C384" s="30" t="s">
        <v>1058</v>
      </c>
      <c r="D384" s="30" t="s">
        <v>17</v>
      </c>
      <c r="E384" s="30" t="s">
        <v>26</v>
      </c>
      <c r="F384" s="30" t="s">
        <v>27</v>
      </c>
      <c r="G384" s="30" t="s">
        <v>50</v>
      </c>
      <c r="H384" s="32">
        <v>30</v>
      </c>
      <c r="I384" s="30" t="s">
        <v>51</v>
      </c>
      <c r="J384" s="41">
        <v>43852</v>
      </c>
      <c r="K384" s="30" t="s">
        <v>22</v>
      </c>
    </row>
    <row r="385" spans="1:11">
      <c r="A385" s="33" t="s">
        <v>1059</v>
      </c>
      <c r="B385" s="33" t="s">
        <v>1060</v>
      </c>
      <c r="C385" s="33" t="s">
        <v>1061</v>
      </c>
      <c r="D385" s="33" t="s">
        <v>17</v>
      </c>
      <c r="E385" s="33" t="s">
        <v>26</v>
      </c>
      <c r="F385" s="33" t="s">
        <v>27</v>
      </c>
      <c r="G385" s="33" t="s">
        <v>20</v>
      </c>
      <c r="H385" s="35">
        <v>21</v>
      </c>
      <c r="I385" s="33" t="s">
        <v>21</v>
      </c>
      <c r="J385" s="42">
        <v>43896</v>
      </c>
      <c r="K385" s="33" t="s">
        <v>22</v>
      </c>
    </row>
    <row r="386" spans="1:11">
      <c r="A386" s="30" t="s">
        <v>1062</v>
      </c>
      <c r="B386" s="30" t="s">
        <v>1063</v>
      </c>
      <c r="C386" s="30" t="s">
        <v>1064</v>
      </c>
      <c r="D386" s="30" t="s">
        <v>17</v>
      </c>
      <c r="E386" s="30" t="s">
        <v>67</v>
      </c>
      <c r="F386" s="30" t="s">
        <v>68</v>
      </c>
      <c r="G386" s="30" t="s">
        <v>20</v>
      </c>
      <c r="H386" s="32">
        <v>100</v>
      </c>
      <c r="I386" s="30" t="s">
        <v>21</v>
      </c>
      <c r="J386" s="41">
        <v>44025</v>
      </c>
      <c r="K386" s="30" t="s">
        <v>22</v>
      </c>
    </row>
    <row r="387" spans="1:11">
      <c r="A387" s="33" t="s">
        <v>1065</v>
      </c>
      <c r="B387" s="33" t="s">
        <v>1066</v>
      </c>
      <c r="C387" s="33" t="s">
        <v>647</v>
      </c>
      <c r="D387" s="33" t="s">
        <v>17</v>
      </c>
      <c r="E387" s="33" t="s">
        <v>26</v>
      </c>
      <c r="F387" s="33" t="s">
        <v>27</v>
      </c>
      <c r="G387" s="33" t="s">
        <v>20</v>
      </c>
      <c r="H387" s="35">
        <v>63</v>
      </c>
      <c r="I387" s="33" t="s">
        <v>21</v>
      </c>
      <c r="J387" s="42">
        <v>44071</v>
      </c>
      <c r="K387" s="33" t="s">
        <v>22</v>
      </c>
    </row>
    <row r="388" spans="1:11">
      <c r="A388" s="30" t="s">
        <v>1067</v>
      </c>
      <c r="B388" s="30" t="s">
        <v>1068</v>
      </c>
      <c r="C388" s="30" t="s">
        <v>1069</v>
      </c>
      <c r="D388" s="30" t="s">
        <v>17</v>
      </c>
      <c r="E388" s="30" t="s">
        <v>26</v>
      </c>
      <c r="F388" s="30" t="s">
        <v>27</v>
      </c>
      <c r="G388" s="30" t="s">
        <v>20</v>
      </c>
      <c r="H388" s="32">
        <v>31</v>
      </c>
      <c r="I388" s="30" t="s">
        <v>21</v>
      </c>
      <c r="J388" s="41">
        <v>43992</v>
      </c>
      <c r="K388" s="30" t="s">
        <v>22</v>
      </c>
    </row>
    <row r="389" spans="1:11">
      <c r="A389" s="33" t="s">
        <v>1070</v>
      </c>
      <c r="B389" s="33" t="s">
        <v>1071</v>
      </c>
      <c r="C389" s="33" t="s">
        <v>1072</v>
      </c>
      <c r="D389" s="33" t="s">
        <v>17</v>
      </c>
      <c r="E389" s="33" t="s">
        <v>26</v>
      </c>
      <c r="F389" s="33" t="s">
        <v>27</v>
      </c>
      <c r="G389" s="33" t="s">
        <v>20</v>
      </c>
      <c r="H389" s="35">
        <v>24</v>
      </c>
      <c r="I389" s="33" t="s">
        <v>21</v>
      </c>
      <c r="J389" s="42">
        <v>44124</v>
      </c>
      <c r="K389" s="33" t="s">
        <v>22</v>
      </c>
    </row>
    <row r="390" spans="1:11">
      <c r="A390" s="30" t="s">
        <v>1073</v>
      </c>
      <c r="B390" s="30" t="s">
        <v>1074</v>
      </c>
      <c r="C390" s="30" t="s">
        <v>136</v>
      </c>
      <c r="D390" s="30" t="s">
        <v>17</v>
      </c>
      <c r="E390" s="30" t="s">
        <v>26</v>
      </c>
      <c r="F390" s="30" t="s">
        <v>27</v>
      </c>
      <c r="G390" s="30" t="s">
        <v>20</v>
      </c>
      <c r="H390" s="32">
        <v>15</v>
      </c>
      <c r="I390" s="30" t="s">
        <v>21</v>
      </c>
      <c r="J390" s="41">
        <v>44077</v>
      </c>
      <c r="K390" s="30" t="s">
        <v>22</v>
      </c>
    </row>
    <row r="391" spans="1:11">
      <c r="A391" s="33" t="s">
        <v>1075</v>
      </c>
      <c r="B391" s="33" t="s">
        <v>1076</v>
      </c>
      <c r="C391" s="33" t="s">
        <v>1077</v>
      </c>
      <c r="D391" s="33" t="s">
        <v>17</v>
      </c>
      <c r="E391" s="33" t="s">
        <v>26</v>
      </c>
      <c r="F391" s="33" t="s">
        <v>27</v>
      </c>
      <c r="G391" s="33" t="s">
        <v>106</v>
      </c>
      <c r="H391" s="35">
        <v>21</v>
      </c>
      <c r="I391" s="33" t="s">
        <v>21</v>
      </c>
      <c r="J391" s="42">
        <v>44098</v>
      </c>
      <c r="K391" s="33" t="s">
        <v>22</v>
      </c>
    </row>
    <row r="392" spans="1:11">
      <c r="A392" s="30" t="s">
        <v>1078</v>
      </c>
      <c r="B392" s="30" t="s">
        <v>1079</v>
      </c>
      <c r="C392" s="30" t="s">
        <v>1080</v>
      </c>
      <c r="D392" s="30" t="s">
        <v>17</v>
      </c>
      <c r="E392" s="30" t="s">
        <v>212</v>
      </c>
      <c r="F392" s="30" t="s">
        <v>213</v>
      </c>
      <c r="G392" s="30" t="s">
        <v>50</v>
      </c>
      <c r="H392" s="32">
        <v>332</v>
      </c>
      <c r="I392" s="30" t="s">
        <v>51</v>
      </c>
      <c r="J392" s="41">
        <v>43951</v>
      </c>
      <c r="K392" s="30" t="s">
        <v>22</v>
      </c>
    </row>
    <row r="393" spans="1:11">
      <c r="A393" s="33" t="s">
        <v>1081</v>
      </c>
      <c r="B393" s="33" t="s">
        <v>1082</v>
      </c>
      <c r="C393" s="33" t="s">
        <v>647</v>
      </c>
      <c r="D393" s="33" t="s">
        <v>17</v>
      </c>
      <c r="E393" s="33" t="s">
        <v>31</v>
      </c>
      <c r="F393" s="33" t="s">
        <v>32</v>
      </c>
      <c r="G393" s="33" t="s">
        <v>20</v>
      </c>
      <c r="H393" s="35">
        <v>31</v>
      </c>
      <c r="I393" s="33" t="s">
        <v>21</v>
      </c>
      <c r="J393" s="42">
        <v>44014</v>
      </c>
      <c r="K393" s="33" t="s">
        <v>22</v>
      </c>
    </row>
    <row r="394" spans="1:11">
      <c r="A394" s="30" t="s">
        <v>1083</v>
      </c>
      <c r="B394" s="30" t="s">
        <v>1084</v>
      </c>
      <c r="C394" s="30" t="s">
        <v>1085</v>
      </c>
      <c r="D394" s="30" t="s">
        <v>17</v>
      </c>
      <c r="E394" s="30" t="s">
        <v>26</v>
      </c>
      <c r="F394" s="30" t="s">
        <v>27</v>
      </c>
      <c r="G394" s="30" t="s">
        <v>20</v>
      </c>
      <c r="H394" s="32">
        <v>33</v>
      </c>
      <c r="I394" s="30" t="s">
        <v>21</v>
      </c>
      <c r="J394" s="41">
        <v>44021</v>
      </c>
      <c r="K394" s="30" t="s">
        <v>22</v>
      </c>
    </row>
    <row r="395" spans="1:11">
      <c r="A395" s="33" t="s">
        <v>1086</v>
      </c>
      <c r="B395" s="33" t="s">
        <v>1087</v>
      </c>
      <c r="C395" s="33" t="s">
        <v>96</v>
      </c>
      <c r="D395" s="33" t="s">
        <v>17</v>
      </c>
      <c r="E395" s="33" t="s">
        <v>31</v>
      </c>
      <c r="F395" s="33" t="s">
        <v>32</v>
      </c>
      <c r="G395" s="33" t="s">
        <v>106</v>
      </c>
      <c r="H395" s="35">
        <v>60</v>
      </c>
      <c r="I395" s="33" t="s">
        <v>21</v>
      </c>
      <c r="J395" s="42">
        <v>44167</v>
      </c>
      <c r="K395" s="33" t="s">
        <v>22</v>
      </c>
    </row>
    <row r="396" spans="1:11">
      <c r="A396" s="30" t="s">
        <v>1088</v>
      </c>
      <c r="B396" s="30" t="s">
        <v>1089</v>
      </c>
      <c r="C396" s="30" t="s">
        <v>1090</v>
      </c>
      <c r="D396" s="30" t="s">
        <v>17</v>
      </c>
      <c r="E396" s="30" t="s">
        <v>26</v>
      </c>
      <c r="F396" s="30" t="s">
        <v>27</v>
      </c>
      <c r="G396" s="30" t="s">
        <v>50</v>
      </c>
      <c r="H396" s="32">
        <v>208</v>
      </c>
      <c r="I396" s="30" t="s">
        <v>51</v>
      </c>
      <c r="J396" s="41">
        <v>44167</v>
      </c>
      <c r="K396" s="30" t="s">
        <v>22</v>
      </c>
    </row>
    <row r="397" spans="1:11">
      <c r="A397" s="33" t="s">
        <v>1091</v>
      </c>
      <c r="B397" s="33" t="s">
        <v>1092</v>
      </c>
      <c r="C397" s="33" t="s">
        <v>1093</v>
      </c>
      <c r="D397" s="33" t="s">
        <v>17</v>
      </c>
      <c r="E397" s="33" t="s">
        <v>212</v>
      </c>
      <c r="F397" s="33" t="s">
        <v>213</v>
      </c>
      <c r="G397" s="33" t="s">
        <v>20</v>
      </c>
      <c r="H397" s="35">
        <v>120</v>
      </c>
      <c r="I397" s="33" t="s">
        <v>21</v>
      </c>
      <c r="J397" s="42">
        <v>44104</v>
      </c>
      <c r="K397" s="33" t="s">
        <v>22</v>
      </c>
    </row>
    <row r="398" spans="1:11">
      <c r="A398" s="30" t="s">
        <v>1094</v>
      </c>
      <c r="B398" s="30" t="s">
        <v>1095</v>
      </c>
      <c r="C398" s="30" t="s">
        <v>603</v>
      </c>
      <c r="D398" s="30" t="s">
        <v>17</v>
      </c>
      <c r="E398" s="30" t="s">
        <v>26</v>
      </c>
      <c r="F398" s="30" t="s">
        <v>27</v>
      </c>
      <c r="G398" s="30" t="s">
        <v>20</v>
      </c>
      <c r="H398" s="32">
        <v>29</v>
      </c>
      <c r="I398" s="30" t="s">
        <v>21</v>
      </c>
      <c r="J398" s="41">
        <v>43850</v>
      </c>
      <c r="K398" s="30" t="s">
        <v>22</v>
      </c>
    </row>
    <row r="399" spans="1:11">
      <c r="A399" s="33" t="s">
        <v>1096</v>
      </c>
      <c r="B399" s="33" t="s">
        <v>1097</v>
      </c>
      <c r="C399" s="33" t="s">
        <v>203</v>
      </c>
      <c r="D399" s="33" t="s">
        <v>17</v>
      </c>
      <c r="E399" s="33" t="s">
        <v>18</v>
      </c>
      <c r="F399" s="33" t="s">
        <v>19</v>
      </c>
      <c r="G399" s="33" t="s">
        <v>106</v>
      </c>
      <c r="H399" s="35">
        <v>1068</v>
      </c>
      <c r="I399" s="33" t="s">
        <v>21</v>
      </c>
      <c r="J399" s="42">
        <v>44118</v>
      </c>
      <c r="K399" s="33" t="s">
        <v>22</v>
      </c>
    </row>
    <row r="400" spans="1:11">
      <c r="A400" s="30" t="s">
        <v>1098</v>
      </c>
      <c r="B400" s="30" t="s">
        <v>1099</v>
      </c>
      <c r="C400" s="30" t="s">
        <v>109</v>
      </c>
      <c r="D400" s="30" t="s">
        <v>17</v>
      </c>
      <c r="E400" s="30" t="s">
        <v>18</v>
      </c>
      <c r="F400" s="30" t="s">
        <v>19</v>
      </c>
      <c r="G400" s="30" t="s">
        <v>106</v>
      </c>
      <c r="H400" s="32">
        <v>22</v>
      </c>
      <c r="I400" s="30" t="s">
        <v>21</v>
      </c>
      <c r="J400" s="41">
        <v>44099</v>
      </c>
      <c r="K400" s="30" t="s">
        <v>22</v>
      </c>
    </row>
    <row r="401" spans="1:11">
      <c r="A401" s="33" t="s">
        <v>1100</v>
      </c>
      <c r="B401" s="33" t="s">
        <v>1101</v>
      </c>
      <c r="C401" s="33" t="s">
        <v>1102</v>
      </c>
      <c r="D401" s="33" t="s">
        <v>17</v>
      </c>
      <c r="E401" s="33" t="s">
        <v>26</v>
      </c>
      <c r="F401" s="33" t="s">
        <v>27</v>
      </c>
      <c r="G401" s="33" t="s">
        <v>20</v>
      </c>
      <c r="H401" s="35">
        <v>28</v>
      </c>
      <c r="I401" s="33" t="s">
        <v>21</v>
      </c>
      <c r="J401" s="42">
        <v>44057</v>
      </c>
      <c r="K401" s="33" t="s">
        <v>22</v>
      </c>
    </row>
    <row r="402" spans="1:11">
      <c r="A402" s="30" t="s">
        <v>1103</v>
      </c>
      <c r="B402" s="30" t="s">
        <v>1104</v>
      </c>
      <c r="C402" s="30" t="s">
        <v>266</v>
      </c>
      <c r="D402" s="30" t="s">
        <v>17</v>
      </c>
      <c r="E402" s="30" t="s">
        <v>26</v>
      </c>
      <c r="F402" s="30" t="s">
        <v>27</v>
      </c>
      <c r="G402" s="30" t="s">
        <v>20</v>
      </c>
      <c r="H402" s="32">
        <v>56</v>
      </c>
      <c r="I402" s="30" t="s">
        <v>21</v>
      </c>
      <c r="J402" s="41">
        <v>43994</v>
      </c>
      <c r="K402" s="30" t="s">
        <v>22</v>
      </c>
    </row>
    <row r="403" spans="1:11">
      <c r="A403" s="33" t="s">
        <v>1105</v>
      </c>
      <c r="B403" s="33" t="s">
        <v>1106</v>
      </c>
      <c r="C403" s="33" t="s">
        <v>75</v>
      </c>
      <c r="D403" s="33" t="s">
        <v>17</v>
      </c>
      <c r="E403" s="33" t="s">
        <v>212</v>
      </c>
      <c r="F403" s="33" t="s">
        <v>213</v>
      </c>
      <c r="G403" s="33" t="s">
        <v>20</v>
      </c>
      <c r="H403" s="35">
        <v>101</v>
      </c>
      <c r="I403" s="33" t="s">
        <v>21</v>
      </c>
      <c r="J403" s="42">
        <v>44182</v>
      </c>
      <c r="K403" s="33" t="s">
        <v>22</v>
      </c>
    </row>
    <row r="404" spans="1:11">
      <c r="A404" s="30" t="s">
        <v>1107</v>
      </c>
      <c r="B404" s="30" t="s">
        <v>1108</v>
      </c>
      <c r="C404" s="30" t="s">
        <v>1109</v>
      </c>
      <c r="D404" s="30" t="s">
        <v>17</v>
      </c>
      <c r="E404" s="30" t="s">
        <v>31</v>
      </c>
      <c r="F404" s="30" t="s">
        <v>32</v>
      </c>
      <c r="G404" s="30" t="s">
        <v>106</v>
      </c>
      <c r="H404" s="32">
        <v>30</v>
      </c>
      <c r="I404" s="30" t="s">
        <v>21</v>
      </c>
      <c r="J404" s="41">
        <v>44064</v>
      </c>
      <c r="K404" s="30" t="s">
        <v>22</v>
      </c>
    </row>
    <row r="405" spans="1:11">
      <c r="A405" s="33" t="s">
        <v>1110</v>
      </c>
      <c r="B405" s="33" t="s">
        <v>1111</v>
      </c>
      <c r="C405" s="33" t="s">
        <v>1112</v>
      </c>
      <c r="D405" s="33" t="s">
        <v>17</v>
      </c>
      <c r="E405" s="33" t="s">
        <v>26</v>
      </c>
      <c r="F405" s="33" t="s">
        <v>27</v>
      </c>
      <c r="G405" s="33" t="s">
        <v>20</v>
      </c>
      <c r="H405" s="35">
        <v>25</v>
      </c>
      <c r="I405" s="33" t="s">
        <v>21</v>
      </c>
      <c r="J405" s="42">
        <v>43843</v>
      </c>
      <c r="K405" s="33" t="s">
        <v>22</v>
      </c>
    </row>
    <row r="406" spans="1:11">
      <c r="A406" s="30" t="s">
        <v>1113</v>
      </c>
      <c r="B406" s="30" t="s">
        <v>1114</v>
      </c>
      <c r="C406" s="30" t="s">
        <v>656</v>
      </c>
      <c r="D406" s="30" t="s">
        <v>17</v>
      </c>
      <c r="E406" s="30" t="s">
        <v>31</v>
      </c>
      <c r="F406" s="30" t="s">
        <v>32</v>
      </c>
      <c r="G406" s="30" t="s">
        <v>50</v>
      </c>
      <c r="H406" s="32">
        <v>66</v>
      </c>
      <c r="I406" s="30" t="s">
        <v>51</v>
      </c>
      <c r="J406" s="41">
        <v>44193</v>
      </c>
      <c r="K406" s="30" t="s">
        <v>22</v>
      </c>
    </row>
    <row r="407" spans="1:11">
      <c r="A407" s="33" t="s">
        <v>1115</v>
      </c>
      <c r="B407" s="33" t="s">
        <v>1116</v>
      </c>
      <c r="C407" s="33" t="s">
        <v>187</v>
      </c>
      <c r="D407" s="33" t="s">
        <v>17</v>
      </c>
      <c r="E407" s="33" t="s">
        <v>31</v>
      </c>
      <c r="F407" s="33" t="s">
        <v>32</v>
      </c>
      <c r="G407" s="33" t="s">
        <v>50</v>
      </c>
      <c r="H407" s="35">
        <v>78</v>
      </c>
      <c r="I407" s="33" t="s">
        <v>51</v>
      </c>
      <c r="J407" s="42">
        <v>44166</v>
      </c>
      <c r="K407" s="33" t="s">
        <v>22</v>
      </c>
    </row>
    <row r="408" spans="1:11">
      <c r="A408" s="30" t="s">
        <v>1117</v>
      </c>
      <c r="B408" s="30" t="s">
        <v>1118</v>
      </c>
      <c r="C408" s="30" t="s">
        <v>102</v>
      </c>
      <c r="D408" s="30" t="s">
        <v>17</v>
      </c>
      <c r="E408" s="30" t="s">
        <v>26</v>
      </c>
      <c r="F408" s="30" t="s">
        <v>27</v>
      </c>
      <c r="G408" s="30" t="s">
        <v>20</v>
      </c>
      <c r="H408" s="32">
        <v>140</v>
      </c>
      <c r="I408" s="30" t="s">
        <v>21</v>
      </c>
      <c r="J408" s="41">
        <v>44165</v>
      </c>
      <c r="K408" s="30" t="s">
        <v>22</v>
      </c>
    </row>
    <row r="409" spans="1:11">
      <c r="A409" s="33" t="s">
        <v>1119</v>
      </c>
      <c r="B409" s="33" t="s">
        <v>1120</v>
      </c>
      <c r="C409" s="33" t="s">
        <v>96</v>
      </c>
      <c r="D409" s="33" t="s">
        <v>17</v>
      </c>
      <c r="E409" s="33" t="s">
        <v>18</v>
      </c>
      <c r="F409" s="33" t="s">
        <v>19</v>
      </c>
      <c r="G409" s="33" t="s">
        <v>20</v>
      </c>
      <c r="H409" s="35">
        <v>1978</v>
      </c>
      <c r="I409" s="33" t="s">
        <v>21</v>
      </c>
      <c r="J409" s="42">
        <v>44131</v>
      </c>
      <c r="K409" s="33" t="s">
        <v>22</v>
      </c>
    </row>
    <row r="410" spans="1:11">
      <c r="A410" s="30" t="s">
        <v>1121</v>
      </c>
      <c r="B410" s="30" t="s">
        <v>1122</v>
      </c>
      <c r="C410" s="30" t="s">
        <v>187</v>
      </c>
      <c r="D410" s="30" t="s">
        <v>17</v>
      </c>
      <c r="E410" s="30" t="s">
        <v>26</v>
      </c>
      <c r="F410" s="30" t="s">
        <v>27</v>
      </c>
      <c r="G410" s="30" t="s">
        <v>50</v>
      </c>
      <c r="H410" s="32">
        <v>40</v>
      </c>
      <c r="I410" s="30" t="s">
        <v>51</v>
      </c>
      <c r="J410" s="41">
        <v>43922</v>
      </c>
      <c r="K410" s="30" t="s">
        <v>22</v>
      </c>
    </row>
    <row r="411" spans="1:11">
      <c r="A411" s="33" t="s">
        <v>1123</v>
      </c>
      <c r="B411" s="33" t="s">
        <v>1124</v>
      </c>
      <c r="C411" s="33" t="s">
        <v>1125</v>
      </c>
      <c r="D411" s="33" t="s">
        <v>17</v>
      </c>
      <c r="E411" s="33" t="s">
        <v>26</v>
      </c>
      <c r="F411" s="33" t="s">
        <v>27</v>
      </c>
      <c r="G411" s="33" t="s">
        <v>50</v>
      </c>
      <c r="H411" s="35">
        <v>124</v>
      </c>
      <c r="I411" s="33" t="s">
        <v>51</v>
      </c>
      <c r="J411" s="42">
        <v>44061</v>
      </c>
      <c r="K411" s="33" t="s">
        <v>22</v>
      </c>
    </row>
    <row r="412" spans="1:11">
      <c r="A412" s="30" t="s">
        <v>1126</v>
      </c>
      <c r="B412" s="30" t="s">
        <v>1127</v>
      </c>
      <c r="C412" s="30" t="s">
        <v>96</v>
      </c>
      <c r="D412" s="30" t="s">
        <v>17</v>
      </c>
      <c r="E412" s="30" t="s">
        <v>18</v>
      </c>
      <c r="F412" s="30" t="s">
        <v>19</v>
      </c>
      <c r="G412" s="30" t="s">
        <v>20</v>
      </c>
      <c r="H412" s="32">
        <v>1511</v>
      </c>
      <c r="I412" s="30" t="s">
        <v>21</v>
      </c>
      <c r="J412" s="41">
        <v>43972</v>
      </c>
      <c r="K412" s="30" t="s">
        <v>22</v>
      </c>
    </row>
    <row r="413" spans="1:11">
      <c r="A413" s="33" t="s">
        <v>1128</v>
      </c>
      <c r="B413" s="33" t="s">
        <v>1129</v>
      </c>
      <c r="C413" s="33" t="s">
        <v>1130</v>
      </c>
      <c r="D413" s="33" t="s">
        <v>17</v>
      </c>
      <c r="E413" s="33" t="s">
        <v>31</v>
      </c>
      <c r="F413" s="33" t="s">
        <v>32</v>
      </c>
      <c r="G413" s="33" t="s">
        <v>20</v>
      </c>
      <c r="H413" s="35">
        <v>110</v>
      </c>
      <c r="I413" s="33" t="s">
        <v>21</v>
      </c>
      <c r="J413" s="42">
        <v>43839</v>
      </c>
      <c r="K413" s="33" t="s">
        <v>22</v>
      </c>
    </row>
    <row r="414" spans="1:11">
      <c r="A414" s="30" t="s">
        <v>1131</v>
      </c>
      <c r="B414" s="30" t="s">
        <v>1132</v>
      </c>
      <c r="C414" s="30" t="s">
        <v>1133</v>
      </c>
      <c r="D414" s="30" t="s">
        <v>17</v>
      </c>
      <c r="E414" s="30" t="s">
        <v>67</v>
      </c>
      <c r="F414" s="30" t="s">
        <v>68</v>
      </c>
      <c r="G414" s="30" t="s">
        <v>20</v>
      </c>
      <c r="H414" s="32">
        <v>153</v>
      </c>
      <c r="I414" s="30" t="s">
        <v>21</v>
      </c>
      <c r="J414" s="41">
        <v>44056</v>
      </c>
      <c r="K414" s="30" t="s">
        <v>22</v>
      </c>
    </row>
    <row r="415" spans="1:11">
      <c r="A415" s="33" t="s">
        <v>1134</v>
      </c>
      <c r="B415" s="33" t="s">
        <v>1135</v>
      </c>
      <c r="C415" s="33" t="s">
        <v>1136</v>
      </c>
      <c r="D415" s="33" t="s">
        <v>17</v>
      </c>
      <c r="E415" s="33" t="s">
        <v>26</v>
      </c>
      <c r="F415" s="33" t="s">
        <v>27</v>
      </c>
      <c r="G415" s="33" t="s">
        <v>106</v>
      </c>
      <c r="H415" s="35">
        <v>24</v>
      </c>
      <c r="I415" s="33" t="s">
        <v>21</v>
      </c>
      <c r="J415" s="42">
        <v>43879</v>
      </c>
      <c r="K415" s="33" t="s">
        <v>22</v>
      </c>
    </row>
    <row r="416" spans="1:11">
      <c r="A416" s="30" t="s">
        <v>1137</v>
      </c>
      <c r="B416" s="30" t="s">
        <v>1138</v>
      </c>
      <c r="C416" s="30" t="s">
        <v>1139</v>
      </c>
      <c r="D416" s="30" t="s">
        <v>17</v>
      </c>
      <c r="E416" s="30" t="s">
        <v>18</v>
      </c>
      <c r="F416" s="30" t="s">
        <v>19</v>
      </c>
      <c r="G416" s="30" t="s">
        <v>20</v>
      </c>
      <c r="H416" s="32">
        <v>220</v>
      </c>
      <c r="I416" s="30" t="s">
        <v>21</v>
      </c>
      <c r="J416" s="41">
        <v>44182</v>
      </c>
      <c r="K416" s="30" t="s">
        <v>22</v>
      </c>
    </row>
    <row r="417" spans="1:11">
      <c r="A417" s="33" t="s">
        <v>1140</v>
      </c>
      <c r="B417" s="33" t="s">
        <v>1141</v>
      </c>
      <c r="C417" s="33" t="s">
        <v>684</v>
      </c>
      <c r="D417" s="33" t="s">
        <v>17</v>
      </c>
      <c r="E417" s="33" t="s">
        <v>26</v>
      </c>
      <c r="F417" s="33" t="s">
        <v>27</v>
      </c>
      <c r="G417" s="33" t="s">
        <v>106</v>
      </c>
      <c r="H417" s="35">
        <v>84</v>
      </c>
      <c r="I417" s="33" t="s">
        <v>21</v>
      </c>
      <c r="J417" s="42">
        <v>43903</v>
      </c>
      <c r="K417" s="33" t="s">
        <v>22</v>
      </c>
    </row>
    <row r="418" spans="1:11">
      <c r="A418" s="30" t="s">
        <v>1142</v>
      </c>
      <c r="B418" s="30" t="s">
        <v>1143</v>
      </c>
      <c r="C418" s="30" t="s">
        <v>136</v>
      </c>
      <c r="D418" s="30" t="s">
        <v>17</v>
      </c>
      <c r="E418" s="30" t="s">
        <v>26</v>
      </c>
      <c r="F418" s="30" t="s">
        <v>27</v>
      </c>
      <c r="G418" s="30" t="s">
        <v>106</v>
      </c>
      <c r="H418" s="32">
        <v>4</v>
      </c>
      <c r="I418" s="30" t="s">
        <v>21</v>
      </c>
      <c r="J418" s="41">
        <v>43878</v>
      </c>
      <c r="K418" s="30" t="s">
        <v>22</v>
      </c>
    </row>
    <row r="419" spans="1:11">
      <c r="A419" s="33" t="s">
        <v>1144</v>
      </c>
      <c r="B419" s="33" t="s">
        <v>1145</v>
      </c>
      <c r="C419" s="33" t="s">
        <v>178</v>
      </c>
      <c r="D419" s="33" t="s">
        <v>17</v>
      </c>
      <c r="E419" s="33" t="s">
        <v>67</v>
      </c>
      <c r="F419" s="33" t="s">
        <v>68</v>
      </c>
      <c r="G419" s="33" t="s">
        <v>158</v>
      </c>
      <c r="H419" s="35">
        <v>210</v>
      </c>
      <c r="I419" s="33" t="s">
        <v>51</v>
      </c>
      <c r="J419" s="42">
        <v>44077</v>
      </c>
      <c r="K419" s="33" t="s">
        <v>22</v>
      </c>
    </row>
    <row r="420" spans="1:11">
      <c r="A420" s="30" t="s">
        <v>1146</v>
      </c>
      <c r="B420" s="30" t="s">
        <v>1147</v>
      </c>
      <c r="C420" s="30" t="s">
        <v>1148</v>
      </c>
      <c r="D420" s="30" t="s">
        <v>17</v>
      </c>
      <c r="E420" s="30" t="s">
        <v>45</v>
      </c>
      <c r="F420" s="30" t="s">
        <v>46</v>
      </c>
      <c r="G420" s="30" t="s">
        <v>112</v>
      </c>
      <c r="H420" s="32">
        <v>0</v>
      </c>
      <c r="I420" s="30" t="s">
        <v>21</v>
      </c>
      <c r="J420" s="41">
        <v>43836</v>
      </c>
      <c r="K420" s="30" t="s">
        <v>22</v>
      </c>
    </row>
    <row r="421" spans="1:11">
      <c r="A421" s="33" t="s">
        <v>1149</v>
      </c>
      <c r="B421" s="33" t="s">
        <v>1150</v>
      </c>
      <c r="C421" s="33" t="s">
        <v>1151</v>
      </c>
      <c r="D421" s="33" t="s">
        <v>17</v>
      </c>
      <c r="E421" s="33" t="s">
        <v>67</v>
      </c>
      <c r="F421" s="33" t="s">
        <v>68</v>
      </c>
      <c r="G421" s="33" t="s">
        <v>20</v>
      </c>
      <c r="H421" s="35">
        <v>50</v>
      </c>
      <c r="I421" s="33" t="s">
        <v>21</v>
      </c>
      <c r="J421" s="42">
        <v>43893</v>
      </c>
      <c r="K421" s="33" t="s">
        <v>22</v>
      </c>
    </row>
    <row r="422" spans="1:11">
      <c r="A422" s="30" t="s">
        <v>1152</v>
      </c>
      <c r="B422" s="30" t="s">
        <v>1153</v>
      </c>
      <c r="C422" s="30" t="s">
        <v>1154</v>
      </c>
      <c r="D422" s="30" t="s">
        <v>17</v>
      </c>
      <c r="E422" s="30" t="s">
        <v>18</v>
      </c>
      <c r="F422" s="30" t="s">
        <v>19</v>
      </c>
      <c r="G422" s="30" t="s">
        <v>20</v>
      </c>
      <c r="H422" s="32">
        <v>94</v>
      </c>
      <c r="I422" s="30" t="s">
        <v>21</v>
      </c>
      <c r="J422" s="41">
        <v>44104</v>
      </c>
      <c r="K422" s="30" t="s">
        <v>22</v>
      </c>
    </row>
    <row r="423" spans="1:11">
      <c r="A423" s="33" t="s">
        <v>1155</v>
      </c>
      <c r="B423" s="33" t="s">
        <v>1156</v>
      </c>
      <c r="C423" s="33" t="s">
        <v>995</v>
      </c>
      <c r="D423" s="33" t="s">
        <v>17</v>
      </c>
      <c r="E423" s="33" t="s">
        <v>26</v>
      </c>
      <c r="F423" s="33" t="s">
        <v>27</v>
      </c>
      <c r="G423" s="33" t="s">
        <v>20</v>
      </c>
      <c r="H423" s="35">
        <v>50</v>
      </c>
      <c r="I423" s="33" t="s">
        <v>21</v>
      </c>
      <c r="J423" s="42">
        <v>43910</v>
      </c>
      <c r="K423" s="33" t="s">
        <v>22</v>
      </c>
    </row>
    <row r="424" spans="1:11">
      <c r="A424" s="30" t="s">
        <v>1157</v>
      </c>
      <c r="B424" s="30" t="s">
        <v>1158</v>
      </c>
      <c r="C424" s="30" t="s">
        <v>1159</v>
      </c>
      <c r="D424" s="30" t="s">
        <v>17</v>
      </c>
      <c r="E424" s="30" t="s">
        <v>18</v>
      </c>
      <c r="F424" s="30" t="s">
        <v>19</v>
      </c>
      <c r="G424" s="30" t="s">
        <v>20</v>
      </c>
      <c r="H424" s="32">
        <v>592</v>
      </c>
      <c r="I424" s="30" t="s">
        <v>21</v>
      </c>
      <c r="J424" s="41">
        <v>43966</v>
      </c>
      <c r="K424" s="30" t="s">
        <v>22</v>
      </c>
    </row>
    <row r="425" spans="1:11">
      <c r="A425" s="33" t="s">
        <v>1160</v>
      </c>
      <c r="B425" s="33" t="s">
        <v>1161</v>
      </c>
      <c r="C425" s="33" t="s">
        <v>1162</v>
      </c>
      <c r="D425" s="33" t="s">
        <v>17</v>
      </c>
      <c r="E425" s="33" t="s">
        <v>26</v>
      </c>
      <c r="F425" s="33" t="s">
        <v>27</v>
      </c>
      <c r="G425" s="33" t="s">
        <v>20</v>
      </c>
      <c r="H425" s="35">
        <v>12</v>
      </c>
      <c r="I425" s="33" t="s">
        <v>21</v>
      </c>
      <c r="J425" s="42">
        <v>43997</v>
      </c>
      <c r="K425" s="33" t="s">
        <v>22</v>
      </c>
    </row>
    <row r="426" spans="1:11">
      <c r="A426" s="30" t="s">
        <v>1163</v>
      </c>
      <c r="B426" s="30" t="s">
        <v>1164</v>
      </c>
      <c r="C426" s="30" t="s">
        <v>1165</v>
      </c>
      <c r="D426" s="30" t="s">
        <v>17</v>
      </c>
      <c r="E426" s="30" t="s">
        <v>26</v>
      </c>
      <c r="F426" s="30" t="s">
        <v>27</v>
      </c>
      <c r="G426" s="30" t="s">
        <v>20</v>
      </c>
      <c r="H426" s="32">
        <v>54</v>
      </c>
      <c r="I426" s="30" t="s">
        <v>21</v>
      </c>
      <c r="J426" s="41">
        <v>44061</v>
      </c>
      <c r="K426" s="30" t="s">
        <v>22</v>
      </c>
    </row>
    <row r="427" spans="1:11">
      <c r="A427" s="33" t="s">
        <v>1166</v>
      </c>
      <c r="B427" s="33" t="s">
        <v>1167</v>
      </c>
      <c r="C427" s="33" t="s">
        <v>231</v>
      </c>
      <c r="D427" s="33" t="s">
        <v>17</v>
      </c>
      <c r="E427" s="33" t="s">
        <v>26</v>
      </c>
      <c r="F427" s="33" t="s">
        <v>27</v>
      </c>
      <c r="G427" s="33" t="s">
        <v>20</v>
      </c>
      <c r="H427" s="35">
        <v>15</v>
      </c>
      <c r="I427" s="33" t="s">
        <v>21</v>
      </c>
      <c r="J427" s="42">
        <v>44124</v>
      </c>
      <c r="K427" s="33" t="s">
        <v>22</v>
      </c>
    </row>
    <row r="428" spans="1:11">
      <c r="A428" s="30" t="s">
        <v>1168</v>
      </c>
      <c r="B428" s="30" t="s">
        <v>1169</v>
      </c>
      <c r="C428" s="30" t="s">
        <v>925</v>
      </c>
      <c r="D428" s="30" t="s">
        <v>17</v>
      </c>
      <c r="E428" s="30" t="s">
        <v>45</v>
      </c>
      <c r="F428" s="30" t="s">
        <v>46</v>
      </c>
      <c r="G428" s="30" t="s">
        <v>20</v>
      </c>
      <c r="H428" s="32">
        <v>59</v>
      </c>
      <c r="I428" s="30" t="s">
        <v>21</v>
      </c>
      <c r="J428" s="41">
        <v>44033</v>
      </c>
      <c r="K428" s="30" t="s">
        <v>22</v>
      </c>
    </row>
    <row r="429" spans="1:11">
      <c r="A429" s="33" t="s">
        <v>1170</v>
      </c>
      <c r="B429" s="33" t="s">
        <v>1171</v>
      </c>
      <c r="C429" s="33" t="s">
        <v>78</v>
      </c>
      <c r="D429" s="33" t="s">
        <v>17</v>
      </c>
      <c r="E429" s="33" t="s">
        <v>26</v>
      </c>
      <c r="F429" s="33" t="s">
        <v>27</v>
      </c>
      <c r="G429" s="33" t="s">
        <v>50</v>
      </c>
      <c r="H429" s="35">
        <v>50</v>
      </c>
      <c r="I429" s="33" t="s">
        <v>51</v>
      </c>
      <c r="J429" s="42">
        <v>44148</v>
      </c>
      <c r="K429" s="33" t="s">
        <v>22</v>
      </c>
    </row>
    <row r="430" spans="1:11">
      <c r="A430" s="30" t="s">
        <v>1172</v>
      </c>
      <c r="B430" s="30" t="s">
        <v>1173</v>
      </c>
      <c r="C430" s="30" t="s">
        <v>334</v>
      </c>
      <c r="D430" s="30" t="s">
        <v>17</v>
      </c>
      <c r="E430" s="30" t="s">
        <v>31</v>
      </c>
      <c r="F430" s="30" t="s">
        <v>32</v>
      </c>
      <c r="G430" s="30" t="s">
        <v>20</v>
      </c>
      <c r="H430" s="32">
        <v>235</v>
      </c>
      <c r="I430" s="30" t="s">
        <v>21</v>
      </c>
      <c r="J430" s="41">
        <v>44006</v>
      </c>
      <c r="K430" s="30" t="s">
        <v>22</v>
      </c>
    </row>
    <row r="431" spans="1:11">
      <c r="A431" s="33" t="s">
        <v>1174</v>
      </c>
      <c r="B431" s="33" t="s">
        <v>1175</v>
      </c>
      <c r="C431" s="33" t="s">
        <v>190</v>
      </c>
      <c r="D431" s="33" t="s">
        <v>17</v>
      </c>
      <c r="E431" s="33" t="s">
        <v>31</v>
      </c>
      <c r="F431" s="33" t="s">
        <v>32</v>
      </c>
      <c r="G431" s="33" t="s">
        <v>20</v>
      </c>
      <c r="H431" s="35">
        <v>62</v>
      </c>
      <c r="I431" s="33" t="s">
        <v>21</v>
      </c>
      <c r="J431" s="42">
        <v>43995</v>
      </c>
      <c r="K431" s="33" t="s">
        <v>22</v>
      </c>
    </row>
    <row r="432" spans="1:11">
      <c r="A432" s="30" t="s">
        <v>1176</v>
      </c>
      <c r="B432" s="30" t="s">
        <v>1177</v>
      </c>
      <c r="C432" s="30" t="s">
        <v>1178</v>
      </c>
      <c r="D432" s="30" t="s">
        <v>17</v>
      </c>
      <c r="E432" s="30" t="s">
        <v>26</v>
      </c>
      <c r="F432" s="30" t="s">
        <v>27</v>
      </c>
      <c r="G432" s="30" t="s">
        <v>20</v>
      </c>
      <c r="H432" s="32">
        <v>6</v>
      </c>
      <c r="I432" s="30" t="s">
        <v>21</v>
      </c>
      <c r="J432" s="41">
        <v>44088</v>
      </c>
      <c r="K432" s="30" t="s">
        <v>22</v>
      </c>
    </row>
    <row r="433" spans="1:11">
      <c r="A433" s="33" t="s">
        <v>1179</v>
      </c>
      <c r="B433" s="33" t="s">
        <v>1180</v>
      </c>
      <c r="C433" s="33" t="s">
        <v>136</v>
      </c>
      <c r="D433" s="33" t="s">
        <v>17</v>
      </c>
      <c r="E433" s="33" t="s">
        <v>31</v>
      </c>
      <c r="F433" s="33" t="s">
        <v>32</v>
      </c>
      <c r="G433" s="33" t="s">
        <v>20</v>
      </c>
      <c r="H433" s="35">
        <v>149</v>
      </c>
      <c r="I433" s="33" t="s">
        <v>21</v>
      </c>
      <c r="J433" s="42">
        <v>44068</v>
      </c>
      <c r="K433" s="33" t="s">
        <v>22</v>
      </c>
    </row>
    <row r="434" spans="1:11">
      <c r="A434" s="30" t="s">
        <v>1181</v>
      </c>
      <c r="B434" s="30" t="s">
        <v>1182</v>
      </c>
      <c r="C434" s="30" t="s">
        <v>149</v>
      </c>
      <c r="D434" s="30" t="s">
        <v>17</v>
      </c>
      <c r="E434" s="30" t="s">
        <v>26</v>
      </c>
      <c r="F434" s="30" t="s">
        <v>27</v>
      </c>
      <c r="G434" s="30" t="s">
        <v>20</v>
      </c>
      <c r="H434" s="32">
        <v>28</v>
      </c>
      <c r="I434" s="30" t="s">
        <v>21</v>
      </c>
      <c r="J434" s="41">
        <v>43975</v>
      </c>
      <c r="K434" s="30" t="s">
        <v>22</v>
      </c>
    </row>
    <row r="435" spans="1:11">
      <c r="A435" s="33" t="s">
        <v>1183</v>
      </c>
      <c r="B435" s="33" t="s">
        <v>1184</v>
      </c>
      <c r="C435" s="33" t="s">
        <v>190</v>
      </c>
      <c r="D435" s="33" t="s">
        <v>17</v>
      </c>
      <c r="E435" s="33" t="s">
        <v>31</v>
      </c>
      <c r="F435" s="33" t="s">
        <v>32</v>
      </c>
      <c r="G435" s="33" t="s">
        <v>20</v>
      </c>
      <c r="H435" s="35">
        <v>54</v>
      </c>
      <c r="I435" s="33" t="s">
        <v>21</v>
      </c>
      <c r="J435" s="42">
        <v>44166</v>
      </c>
      <c r="K435" s="33" t="s">
        <v>22</v>
      </c>
    </row>
    <row r="436" spans="1:11">
      <c r="A436" s="30" t="s">
        <v>1185</v>
      </c>
      <c r="B436" s="30" t="s">
        <v>1186</v>
      </c>
      <c r="C436" s="30" t="s">
        <v>695</v>
      </c>
      <c r="D436" s="30" t="s">
        <v>17</v>
      </c>
      <c r="E436" s="30" t="s">
        <v>18</v>
      </c>
      <c r="F436" s="30" t="s">
        <v>19</v>
      </c>
      <c r="G436" s="30" t="s">
        <v>158</v>
      </c>
      <c r="H436" s="32">
        <v>692</v>
      </c>
      <c r="I436" s="30" t="s">
        <v>21</v>
      </c>
      <c r="J436" s="41">
        <v>44147</v>
      </c>
      <c r="K436" s="30" t="s">
        <v>22</v>
      </c>
    </row>
    <row r="437" spans="1:11">
      <c r="A437" s="33" t="s">
        <v>1187</v>
      </c>
      <c r="B437" s="33" t="s">
        <v>1188</v>
      </c>
      <c r="C437" s="33" t="s">
        <v>149</v>
      </c>
      <c r="D437" s="33" t="s">
        <v>17</v>
      </c>
      <c r="E437" s="33" t="s">
        <v>26</v>
      </c>
      <c r="F437" s="33" t="s">
        <v>27</v>
      </c>
      <c r="G437" s="33" t="s">
        <v>20</v>
      </c>
      <c r="H437" s="35">
        <v>21</v>
      </c>
      <c r="I437" s="33" t="s">
        <v>21</v>
      </c>
      <c r="J437" s="42">
        <v>44032</v>
      </c>
      <c r="K437" s="33" t="s">
        <v>22</v>
      </c>
    </row>
    <row r="438" spans="1:11">
      <c r="A438" s="30" t="s">
        <v>1189</v>
      </c>
      <c r="B438" s="30" t="s">
        <v>1190</v>
      </c>
      <c r="C438" s="30" t="s">
        <v>1191</v>
      </c>
      <c r="D438" s="30" t="s">
        <v>17</v>
      </c>
      <c r="E438" s="30" t="s">
        <v>212</v>
      </c>
      <c r="F438" s="30" t="s">
        <v>213</v>
      </c>
      <c r="G438" s="30" t="s">
        <v>50</v>
      </c>
      <c r="H438" s="32">
        <v>600</v>
      </c>
      <c r="I438" s="30" t="s">
        <v>51</v>
      </c>
      <c r="J438" s="41">
        <v>44148</v>
      </c>
      <c r="K438" s="30" t="s">
        <v>22</v>
      </c>
    </row>
    <row r="439" spans="1:11">
      <c r="A439" s="33" t="s">
        <v>1192</v>
      </c>
      <c r="B439" s="33" t="s">
        <v>1193</v>
      </c>
      <c r="C439" s="33" t="s">
        <v>1194</v>
      </c>
      <c r="D439" s="33" t="s">
        <v>17</v>
      </c>
      <c r="E439" s="33" t="s">
        <v>67</v>
      </c>
      <c r="F439" s="33" t="s">
        <v>68</v>
      </c>
      <c r="G439" s="33" t="s">
        <v>50</v>
      </c>
      <c r="H439" s="35">
        <v>80</v>
      </c>
      <c r="I439" s="33" t="s">
        <v>51</v>
      </c>
      <c r="J439" s="42">
        <v>44042</v>
      </c>
      <c r="K439" s="33" t="s">
        <v>22</v>
      </c>
    </row>
    <row r="440" spans="1:11">
      <c r="A440" s="30" t="s">
        <v>1195</v>
      </c>
      <c r="B440" s="30" t="s">
        <v>1196</v>
      </c>
      <c r="C440" s="30" t="s">
        <v>310</v>
      </c>
      <c r="D440" s="30" t="s">
        <v>17</v>
      </c>
      <c r="E440" s="30" t="s">
        <v>26</v>
      </c>
      <c r="F440" s="30" t="s">
        <v>27</v>
      </c>
      <c r="G440" s="30" t="s">
        <v>20</v>
      </c>
      <c r="H440" s="32">
        <v>25</v>
      </c>
      <c r="I440" s="30" t="s">
        <v>21</v>
      </c>
      <c r="J440" s="41">
        <v>44187</v>
      </c>
      <c r="K440" s="30" t="s">
        <v>22</v>
      </c>
    </row>
    <row r="441" spans="1:11">
      <c r="A441" s="33" t="s">
        <v>1197</v>
      </c>
      <c r="B441" s="33" t="s">
        <v>1198</v>
      </c>
      <c r="C441" s="33" t="s">
        <v>1199</v>
      </c>
      <c r="D441" s="33" t="s">
        <v>17</v>
      </c>
      <c r="E441" s="33" t="s">
        <v>67</v>
      </c>
      <c r="F441" s="33" t="s">
        <v>68</v>
      </c>
      <c r="G441" s="33" t="s">
        <v>50</v>
      </c>
      <c r="H441" s="35">
        <v>320</v>
      </c>
      <c r="I441" s="33" t="s">
        <v>51</v>
      </c>
      <c r="J441" s="42">
        <v>43831</v>
      </c>
      <c r="K441" s="33" t="s">
        <v>22</v>
      </c>
    </row>
    <row r="442" spans="1:11">
      <c r="A442" s="30" t="s">
        <v>1200</v>
      </c>
      <c r="B442" s="30" t="s">
        <v>1201</v>
      </c>
      <c r="C442" s="30" t="s">
        <v>1202</v>
      </c>
      <c r="D442" s="30" t="s">
        <v>17</v>
      </c>
      <c r="E442" s="30" t="s">
        <v>26</v>
      </c>
      <c r="F442" s="30" t="s">
        <v>27</v>
      </c>
      <c r="G442" s="30" t="s">
        <v>20</v>
      </c>
      <c r="H442" s="32">
        <v>84</v>
      </c>
      <c r="I442" s="30" t="s">
        <v>21</v>
      </c>
      <c r="J442" s="41">
        <v>44090</v>
      </c>
      <c r="K442" s="30" t="s">
        <v>22</v>
      </c>
    </row>
    <row r="443" spans="1:11">
      <c r="A443" s="33" t="s">
        <v>1203</v>
      </c>
      <c r="B443" s="33" t="s">
        <v>1204</v>
      </c>
      <c r="C443" s="33" t="s">
        <v>187</v>
      </c>
      <c r="D443" s="33" t="s">
        <v>17</v>
      </c>
      <c r="E443" s="33" t="s">
        <v>18</v>
      </c>
      <c r="F443" s="33" t="s">
        <v>19</v>
      </c>
      <c r="G443" s="33" t="s">
        <v>50</v>
      </c>
      <c r="H443" s="35">
        <v>528</v>
      </c>
      <c r="I443" s="33" t="s">
        <v>51</v>
      </c>
      <c r="J443" s="42">
        <v>43971</v>
      </c>
      <c r="K443" s="33" t="s">
        <v>22</v>
      </c>
    </row>
    <row r="444" spans="1:11">
      <c r="A444" s="30" t="s">
        <v>1205</v>
      </c>
      <c r="B444" s="30" t="s">
        <v>1206</v>
      </c>
      <c r="C444" s="30" t="s">
        <v>1207</v>
      </c>
      <c r="D444" s="30" t="s">
        <v>17</v>
      </c>
      <c r="E444" s="30" t="s">
        <v>212</v>
      </c>
      <c r="F444" s="30" t="s">
        <v>213</v>
      </c>
      <c r="G444" s="30" t="s">
        <v>20</v>
      </c>
      <c r="H444" s="32">
        <v>39</v>
      </c>
      <c r="I444" s="30" t="s">
        <v>21</v>
      </c>
      <c r="J444" s="41">
        <v>44166</v>
      </c>
      <c r="K444" s="30" t="s">
        <v>22</v>
      </c>
    </row>
    <row r="445" spans="1:11">
      <c r="A445" s="33" t="s">
        <v>1208</v>
      </c>
      <c r="B445" s="33" t="s">
        <v>1209</v>
      </c>
      <c r="C445" s="33" t="s">
        <v>1210</v>
      </c>
      <c r="D445" s="33" t="s">
        <v>17</v>
      </c>
      <c r="E445" s="33" t="s">
        <v>31</v>
      </c>
      <c r="F445" s="33" t="s">
        <v>32</v>
      </c>
      <c r="G445" s="33" t="s">
        <v>140</v>
      </c>
      <c r="H445" s="35">
        <v>59</v>
      </c>
      <c r="I445" s="33" t="s">
        <v>51</v>
      </c>
      <c r="J445" s="42">
        <v>44084</v>
      </c>
      <c r="K445" s="33" t="s">
        <v>22</v>
      </c>
    </row>
    <row r="446" spans="1:11">
      <c r="A446" s="30" t="s">
        <v>1211</v>
      </c>
      <c r="B446" s="30" t="s">
        <v>1212</v>
      </c>
      <c r="C446" s="30" t="s">
        <v>1213</v>
      </c>
      <c r="D446" s="30" t="s">
        <v>17</v>
      </c>
      <c r="E446" s="30" t="s">
        <v>31</v>
      </c>
      <c r="F446" s="30" t="s">
        <v>32</v>
      </c>
      <c r="G446" s="30" t="s">
        <v>20</v>
      </c>
      <c r="H446" s="32">
        <v>61</v>
      </c>
      <c r="I446" s="30" t="s">
        <v>21</v>
      </c>
      <c r="J446" s="41">
        <v>44061</v>
      </c>
      <c r="K446" s="30" t="s">
        <v>22</v>
      </c>
    </row>
    <row r="447" spans="1:11">
      <c r="A447" s="33" t="s">
        <v>1214</v>
      </c>
      <c r="B447" s="33" t="s">
        <v>1215</v>
      </c>
      <c r="C447" s="33" t="s">
        <v>1216</v>
      </c>
      <c r="D447" s="33" t="s">
        <v>17</v>
      </c>
      <c r="E447" s="33" t="s">
        <v>31</v>
      </c>
      <c r="F447" s="33" t="s">
        <v>32</v>
      </c>
      <c r="G447" s="33" t="s">
        <v>50</v>
      </c>
      <c r="H447" s="35">
        <v>120</v>
      </c>
      <c r="I447" s="33" t="s">
        <v>51</v>
      </c>
      <c r="J447" s="42">
        <v>44136</v>
      </c>
      <c r="K447" s="33" t="s">
        <v>22</v>
      </c>
    </row>
    <row r="448" spans="1:11">
      <c r="A448" s="30" t="s">
        <v>1217</v>
      </c>
      <c r="B448" s="30" t="s">
        <v>1218</v>
      </c>
      <c r="C448" s="30" t="s">
        <v>1219</v>
      </c>
      <c r="D448" s="30" t="s">
        <v>17</v>
      </c>
      <c r="E448" s="30" t="s">
        <v>26</v>
      </c>
      <c r="F448" s="30" t="s">
        <v>27</v>
      </c>
      <c r="G448" s="30" t="s">
        <v>20</v>
      </c>
      <c r="H448" s="32">
        <v>23</v>
      </c>
      <c r="I448" s="30" t="s">
        <v>21</v>
      </c>
      <c r="J448" s="41">
        <v>44095</v>
      </c>
      <c r="K448" s="30" t="s">
        <v>22</v>
      </c>
    </row>
    <row r="449" spans="1:11">
      <c r="A449" s="33" t="s">
        <v>1220</v>
      </c>
      <c r="B449" s="33" t="s">
        <v>1221</v>
      </c>
      <c r="C449" s="33" t="s">
        <v>399</v>
      </c>
      <c r="D449" s="33" t="s">
        <v>17</v>
      </c>
      <c r="E449" s="33" t="s">
        <v>18</v>
      </c>
      <c r="F449" s="33" t="s">
        <v>19</v>
      </c>
      <c r="G449" s="33" t="s">
        <v>106</v>
      </c>
      <c r="H449" s="35">
        <v>184</v>
      </c>
      <c r="I449" s="33" t="s">
        <v>21</v>
      </c>
      <c r="J449" s="42">
        <v>44025</v>
      </c>
      <c r="K449" s="33" t="s">
        <v>22</v>
      </c>
    </row>
    <row r="450" spans="1:11">
      <c r="A450" s="30" t="s">
        <v>1222</v>
      </c>
      <c r="B450" s="30" t="s">
        <v>1223</v>
      </c>
      <c r="C450" s="30" t="s">
        <v>178</v>
      </c>
      <c r="D450" s="30" t="s">
        <v>17</v>
      </c>
      <c r="E450" s="30" t="s">
        <v>26</v>
      </c>
      <c r="F450" s="30" t="s">
        <v>27</v>
      </c>
      <c r="G450" s="30" t="s">
        <v>20</v>
      </c>
      <c r="H450" s="32">
        <v>37</v>
      </c>
      <c r="I450" s="30" t="s">
        <v>21</v>
      </c>
      <c r="J450" s="41">
        <v>44173</v>
      </c>
      <c r="K450" s="30" t="s">
        <v>22</v>
      </c>
    </row>
    <row r="451" spans="1:11">
      <c r="A451" s="33" t="s">
        <v>1224</v>
      </c>
      <c r="B451" s="33" t="s">
        <v>1225</v>
      </c>
      <c r="C451" s="33" t="s">
        <v>969</v>
      </c>
      <c r="D451" s="33" t="s">
        <v>17</v>
      </c>
      <c r="E451" s="33" t="s">
        <v>26</v>
      </c>
      <c r="F451" s="33" t="s">
        <v>27</v>
      </c>
      <c r="G451" s="33" t="s">
        <v>106</v>
      </c>
      <c r="H451" s="35">
        <v>92</v>
      </c>
      <c r="I451" s="33" t="s">
        <v>21</v>
      </c>
      <c r="J451" s="42">
        <v>44134</v>
      </c>
      <c r="K451" s="33" t="s">
        <v>22</v>
      </c>
    </row>
    <row r="452" spans="1:11">
      <c r="A452" s="30" t="s">
        <v>1226</v>
      </c>
      <c r="B452" s="30" t="s">
        <v>1227</v>
      </c>
      <c r="C452" s="30" t="s">
        <v>1228</v>
      </c>
      <c r="D452" s="30" t="s">
        <v>17</v>
      </c>
      <c r="E452" s="30" t="s">
        <v>18</v>
      </c>
      <c r="F452" s="30" t="s">
        <v>19</v>
      </c>
      <c r="G452" s="30" t="s">
        <v>20</v>
      </c>
      <c r="H452" s="32">
        <v>205</v>
      </c>
      <c r="I452" s="30" t="s">
        <v>21</v>
      </c>
      <c r="J452" s="41">
        <v>43979</v>
      </c>
      <c r="K452" s="30" t="s">
        <v>22</v>
      </c>
    </row>
    <row r="453" spans="1:11">
      <c r="A453" s="33" t="s">
        <v>1229</v>
      </c>
      <c r="B453" s="33" t="s">
        <v>1230</v>
      </c>
      <c r="C453" s="33" t="s">
        <v>203</v>
      </c>
      <c r="D453" s="33" t="s">
        <v>17</v>
      </c>
      <c r="E453" s="33" t="s">
        <v>212</v>
      </c>
      <c r="F453" s="33" t="s">
        <v>213</v>
      </c>
      <c r="G453" s="33" t="s">
        <v>20</v>
      </c>
      <c r="H453" s="35">
        <v>109</v>
      </c>
      <c r="I453" s="33" t="s">
        <v>21</v>
      </c>
      <c r="J453" s="42">
        <v>44002</v>
      </c>
      <c r="K453" s="33" t="s">
        <v>22</v>
      </c>
    </row>
    <row r="454" spans="1:11">
      <c r="A454" s="30" t="s">
        <v>1231</v>
      </c>
      <c r="B454" s="30" t="s">
        <v>1232</v>
      </c>
      <c r="C454" s="30" t="s">
        <v>93</v>
      </c>
      <c r="D454" s="30" t="s">
        <v>17</v>
      </c>
      <c r="E454" s="30" t="s">
        <v>18</v>
      </c>
      <c r="F454" s="30" t="s">
        <v>19</v>
      </c>
      <c r="G454" s="30" t="s">
        <v>20</v>
      </c>
      <c r="H454" s="32">
        <v>518</v>
      </c>
      <c r="I454" s="30" t="s">
        <v>21</v>
      </c>
      <c r="J454" s="41">
        <v>44064</v>
      </c>
      <c r="K454" s="30" t="s">
        <v>22</v>
      </c>
    </row>
    <row r="455" spans="1:11">
      <c r="A455" s="33" t="s">
        <v>1233</v>
      </c>
      <c r="B455" s="33" t="s">
        <v>1234</v>
      </c>
      <c r="C455" s="33" t="s">
        <v>190</v>
      </c>
      <c r="D455" s="33" t="s">
        <v>17</v>
      </c>
      <c r="E455" s="33" t="s">
        <v>18</v>
      </c>
      <c r="F455" s="33" t="s">
        <v>19</v>
      </c>
      <c r="G455" s="33" t="s">
        <v>158</v>
      </c>
      <c r="H455" s="35">
        <v>957</v>
      </c>
      <c r="I455" s="33" t="s">
        <v>21</v>
      </c>
      <c r="J455" s="42">
        <v>44152</v>
      </c>
      <c r="K455" s="33" t="s">
        <v>22</v>
      </c>
    </row>
    <row r="456" spans="1:11">
      <c r="A456" s="30" t="s">
        <v>1235</v>
      </c>
      <c r="B456" s="30" t="s">
        <v>1236</v>
      </c>
      <c r="C456" s="30" t="s">
        <v>1237</v>
      </c>
      <c r="D456" s="30" t="s">
        <v>17</v>
      </c>
      <c r="E456" s="30" t="s">
        <v>26</v>
      </c>
      <c r="F456" s="30" t="s">
        <v>27</v>
      </c>
      <c r="G456" s="30" t="s">
        <v>50</v>
      </c>
      <c r="H456" s="32">
        <v>72</v>
      </c>
      <c r="I456" s="30" t="s">
        <v>51</v>
      </c>
      <c r="J456" s="41">
        <v>43949</v>
      </c>
      <c r="K456" s="30" t="s">
        <v>22</v>
      </c>
    </row>
    <row r="457" spans="1:11">
      <c r="A457" s="33" t="s">
        <v>1238</v>
      </c>
      <c r="B457" s="33" t="s">
        <v>1239</v>
      </c>
      <c r="C457" s="33" t="s">
        <v>157</v>
      </c>
      <c r="D457" s="33" t="s">
        <v>17</v>
      </c>
      <c r="E457" s="33" t="s">
        <v>26</v>
      </c>
      <c r="F457" s="33" t="s">
        <v>27</v>
      </c>
      <c r="G457" s="33" t="s">
        <v>20</v>
      </c>
      <c r="H457" s="35">
        <v>14</v>
      </c>
      <c r="I457" s="33" t="s">
        <v>21</v>
      </c>
      <c r="J457" s="42">
        <v>44013</v>
      </c>
      <c r="K457" s="33" t="s">
        <v>22</v>
      </c>
    </row>
    <row r="458" spans="1:11">
      <c r="A458" s="30" t="s">
        <v>1240</v>
      </c>
      <c r="B458" s="30" t="s">
        <v>1241</v>
      </c>
      <c r="C458" s="30" t="s">
        <v>1242</v>
      </c>
      <c r="D458" s="30" t="s">
        <v>17</v>
      </c>
      <c r="E458" s="30" t="s">
        <v>67</v>
      </c>
      <c r="F458" s="30" t="s">
        <v>68</v>
      </c>
      <c r="G458" s="30" t="s">
        <v>50</v>
      </c>
      <c r="H458" s="32">
        <v>12</v>
      </c>
      <c r="I458" s="30" t="s">
        <v>51</v>
      </c>
      <c r="J458" s="41">
        <v>44104</v>
      </c>
      <c r="K458" s="30" t="s">
        <v>22</v>
      </c>
    </row>
    <row r="459" spans="1:11">
      <c r="A459" s="33" t="s">
        <v>1243</v>
      </c>
      <c r="B459" s="33" t="s">
        <v>1244</v>
      </c>
      <c r="C459" s="33" t="s">
        <v>1245</v>
      </c>
      <c r="D459" s="33" t="s">
        <v>17</v>
      </c>
      <c r="E459" s="33" t="s">
        <v>26</v>
      </c>
      <c r="F459" s="33" t="s">
        <v>27</v>
      </c>
      <c r="G459" s="33" t="s">
        <v>140</v>
      </c>
      <c r="H459" s="35">
        <v>20</v>
      </c>
      <c r="I459" s="33" t="s">
        <v>51</v>
      </c>
      <c r="J459" s="42">
        <v>43854</v>
      </c>
      <c r="K459" s="33" t="s">
        <v>22</v>
      </c>
    </row>
    <row r="460" spans="1:11">
      <c r="A460" s="30" t="s">
        <v>1246</v>
      </c>
      <c r="B460" s="30" t="s">
        <v>1247</v>
      </c>
      <c r="C460" s="30" t="s">
        <v>109</v>
      </c>
      <c r="D460" s="30" t="s">
        <v>17</v>
      </c>
      <c r="E460" s="30" t="s">
        <v>31</v>
      </c>
      <c r="F460" s="30" t="s">
        <v>32</v>
      </c>
      <c r="G460" s="30" t="s">
        <v>106</v>
      </c>
      <c r="H460" s="32">
        <v>54</v>
      </c>
      <c r="I460" s="30" t="s">
        <v>21</v>
      </c>
      <c r="J460" s="41">
        <v>44084</v>
      </c>
      <c r="K460" s="30" t="s">
        <v>22</v>
      </c>
    </row>
    <row r="461" spans="1:11">
      <c r="A461" s="33" t="s">
        <v>1248</v>
      </c>
      <c r="B461" s="33" t="s">
        <v>1249</v>
      </c>
      <c r="C461" s="33" t="s">
        <v>1250</v>
      </c>
      <c r="D461" s="33" t="s">
        <v>17</v>
      </c>
      <c r="E461" s="33" t="s">
        <v>26</v>
      </c>
      <c r="F461" s="33" t="s">
        <v>27</v>
      </c>
      <c r="G461" s="33" t="s">
        <v>20</v>
      </c>
      <c r="H461" s="35">
        <v>6</v>
      </c>
      <c r="I461" s="33" t="s">
        <v>21</v>
      </c>
      <c r="J461" s="42">
        <v>44166</v>
      </c>
      <c r="K461" s="33" t="s">
        <v>22</v>
      </c>
    </row>
    <row r="462" spans="1:11">
      <c r="A462" s="30" t="s">
        <v>1251</v>
      </c>
      <c r="B462" s="30" t="s">
        <v>1252</v>
      </c>
      <c r="C462" s="30" t="s">
        <v>196</v>
      </c>
      <c r="D462" s="30" t="s">
        <v>17</v>
      </c>
      <c r="E462" s="30" t="s">
        <v>26</v>
      </c>
      <c r="F462" s="30" t="s">
        <v>27</v>
      </c>
      <c r="G462" s="30" t="s">
        <v>50</v>
      </c>
      <c r="H462" s="32">
        <v>32</v>
      </c>
      <c r="I462" s="30" t="s">
        <v>51</v>
      </c>
      <c r="J462" s="41">
        <v>44013</v>
      </c>
      <c r="K462" s="30" t="s">
        <v>22</v>
      </c>
    </row>
    <row r="463" spans="1:11">
      <c r="A463" s="33" t="s">
        <v>1253</v>
      </c>
      <c r="B463" s="33" t="s">
        <v>1254</v>
      </c>
      <c r="C463" s="33" t="s">
        <v>774</v>
      </c>
      <c r="D463" s="33" t="s">
        <v>17</v>
      </c>
      <c r="E463" s="33" t="s">
        <v>26</v>
      </c>
      <c r="F463" s="33" t="s">
        <v>27</v>
      </c>
      <c r="G463" s="33" t="s">
        <v>106</v>
      </c>
      <c r="H463" s="35">
        <v>20</v>
      </c>
      <c r="I463" s="33" t="s">
        <v>21</v>
      </c>
      <c r="J463" s="42">
        <v>43990</v>
      </c>
      <c r="K463" s="33" t="s">
        <v>22</v>
      </c>
    </row>
    <row r="464" spans="1:11">
      <c r="A464" s="30" t="s">
        <v>1255</v>
      </c>
      <c r="B464" s="30" t="s">
        <v>1256</v>
      </c>
      <c r="C464" s="30" t="s">
        <v>136</v>
      </c>
      <c r="D464" s="30" t="s">
        <v>17</v>
      </c>
      <c r="E464" s="30" t="s">
        <v>26</v>
      </c>
      <c r="F464" s="30" t="s">
        <v>27</v>
      </c>
      <c r="G464" s="30" t="s">
        <v>20</v>
      </c>
      <c r="H464" s="32">
        <v>26</v>
      </c>
      <c r="I464" s="30" t="s">
        <v>21</v>
      </c>
      <c r="J464" s="41">
        <v>43979</v>
      </c>
      <c r="K464" s="30" t="s">
        <v>22</v>
      </c>
    </row>
    <row r="465" spans="1:11">
      <c r="A465" s="33" t="s">
        <v>1257</v>
      </c>
      <c r="B465" s="33" t="s">
        <v>1258</v>
      </c>
      <c r="C465" s="33" t="s">
        <v>190</v>
      </c>
      <c r="D465" s="33" t="s">
        <v>17</v>
      </c>
      <c r="E465" s="33" t="s">
        <v>26</v>
      </c>
      <c r="F465" s="33" t="s">
        <v>27</v>
      </c>
      <c r="G465" s="33" t="s">
        <v>20</v>
      </c>
      <c r="H465" s="35">
        <v>47</v>
      </c>
      <c r="I465" s="33" t="s">
        <v>21</v>
      </c>
      <c r="J465" s="42">
        <v>44123</v>
      </c>
      <c r="K465" s="33" t="s">
        <v>22</v>
      </c>
    </row>
    <row r="466" spans="1:11">
      <c r="A466" s="30" t="s">
        <v>1259</v>
      </c>
      <c r="B466" s="30" t="s">
        <v>1260</v>
      </c>
      <c r="C466" s="30" t="s">
        <v>1261</v>
      </c>
      <c r="D466" s="30" t="s">
        <v>17</v>
      </c>
      <c r="E466" s="30" t="s">
        <v>26</v>
      </c>
      <c r="F466" s="30" t="s">
        <v>27</v>
      </c>
      <c r="G466" s="30" t="s">
        <v>106</v>
      </c>
      <c r="H466" s="32">
        <v>6</v>
      </c>
      <c r="I466" s="30" t="s">
        <v>21</v>
      </c>
      <c r="J466" s="41">
        <v>44049</v>
      </c>
      <c r="K466" s="30" t="s">
        <v>22</v>
      </c>
    </row>
    <row r="467" spans="1:11">
      <c r="A467" s="33" t="s">
        <v>1262</v>
      </c>
      <c r="B467" s="33" t="s">
        <v>1263</v>
      </c>
      <c r="C467" s="33" t="s">
        <v>1264</v>
      </c>
      <c r="D467" s="33" t="s">
        <v>17</v>
      </c>
      <c r="E467" s="33" t="s">
        <v>31</v>
      </c>
      <c r="F467" s="33" t="s">
        <v>32</v>
      </c>
      <c r="G467" s="33" t="s">
        <v>50</v>
      </c>
      <c r="H467" s="35">
        <v>90</v>
      </c>
      <c r="I467" s="33" t="s">
        <v>21</v>
      </c>
      <c r="J467" s="42">
        <v>43873</v>
      </c>
      <c r="K467" s="33" t="s">
        <v>22</v>
      </c>
    </row>
    <row r="468" spans="1:11">
      <c r="A468" s="30" t="s">
        <v>1265</v>
      </c>
      <c r="B468" s="30" t="s">
        <v>1266</v>
      </c>
      <c r="C468" s="30" t="s">
        <v>1267</v>
      </c>
      <c r="D468" s="30" t="s">
        <v>17</v>
      </c>
      <c r="E468" s="30" t="s">
        <v>26</v>
      </c>
      <c r="F468" s="30" t="s">
        <v>27</v>
      </c>
      <c r="G468" s="30" t="s">
        <v>20</v>
      </c>
      <c r="H468" s="32">
        <v>32</v>
      </c>
      <c r="I468" s="30" t="s">
        <v>21</v>
      </c>
      <c r="J468" s="41">
        <v>44124</v>
      </c>
      <c r="K468" s="30" t="s">
        <v>22</v>
      </c>
    </row>
    <row r="469" spans="1:11">
      <c r="A469" s="33" t="s">
        <v>1268</v>
      </c>
      <c r="B469" s="33" t="s">
        <v>1269</v>
      </c>
      <c r="C469" s="33" t="s">
        <v>1270</v>
      </c>
      <c r="D469" s="33" t="s">
        <v>17</v>
      </c>
      <c r="E469" s="33" t="s">
        <v>26</v>
      </c>
      <c r="F469" s="33" t="s">
        <v>27</v>
      </c>
      <c r="G469" s="33" t="s">
        <v>50</v>
      </c>
      <c r="H469" s="35">
        <v>54</v>
      </c>
      <c r="I469" s="33" t="s">
        <v>51</v>
      </c>
      <c r="J469" s="42">
        <v>44082</v>
      </c>
      <c r="K469" s="33" t="s">
        <v>22</v>
      </c>
    </row>
    <row r="470" spans="1:11">
      <c r="A470" s="30" t="s">
        <v>1271</v>
      </c>
      <c r="B470" s="30" t="s">
        <v>1272</v>
      </c>
      <c r="C470" s="30" t="s">
        <v>190</v>
      </c>
      <c r="D470" s="30" t="s">
        <v>17</v>
      </c>
      <c r="E470" s="30" t="s">
        <v>26</v>
      </c>
      <c r="F470" s="30" t="s">
        <v>27</v>
      </c>
      <c r="G470" s="30" t="s">
        <v>20</v>
      </c>
      <c r="H470" s="32">
        <v>8</v>
      </c>
      <c r="I470" s="30" t="s">
        <v>21</v>
      </c>
      <c r="J470" s="41">
        <v>44012</v>
      </c>
      <c r="K470" s="30" t="s">
        <v>22</v>
      </c>
    </row>
    <row r="471" spans="1:11">
      <c r="A471" s="33" t="s">
        <v>1273</v>
      </c>
      <c r="B471" s="33" t="s">
        <v>1274</v>
      </c>
      <c r="C471" s="33" t="s">
        <v>1275</v>
      </c>
      <c r="D471" s="33" t="s">
        <v>17</v>
      </c>
      <c r="E471" s="33" t="s">
        <v>45</v>
      </c>
      <c r="F471" s="33" t="s">
        <v>46</v>
      </c>
      <c r="G471" s="33" t="s">
        <v>112</v>
      </c>
      <c r="H471" s="35">
        <v>0</v>
      </c>
      <c r="I471" s="33" t="s">
        <v>21</v>
      </c>
      <c r="J471" s="42">
        <v>44012</v>
      </c>
      <c r="K471" s="33" t="s">
        <v>22</v>
      </c>
    </row>
    <row r="472" spans="1:11">
      <c r="A472" s="30" t="s">
        <v>1276</v>
      </c>
      <c r="B472" s="30" t="s">
        <v>1277</v>
      </c>
      <c r="C472" s="30" t="s">
        <v>1278</v>
      </c>
      <c r="D472" s="30" t="s">
        <v>17</v>
      </c>
      <c r="E472" s="30" t="s">
        <v>18</v>
      </c>
      <c r="F472" s="30" t="s">
        <v>19</v>
      </c>
      <c r="G472" s="30" t="s">
        <v>20</v>
      </c>
      <c r="H472" s="32">
        <v>4128</v>
      </c>
      <c r="I472" s="30" t="s">
        <v>21</v>
      </c>
      <c r="J472" s="41">
        <v>44091</v>
      </c>
      <c r="K472" s="30" t="s">
        <v>22</v>
      </c>
    </row>
    <row r="473" spans="1:11">
      <c r="A473" s="33" t="s">
        <v>1279</v>
      </c>
      <c r="B473" s="33" t="s">
        <v>1280</v>
      </c>
      <c r="C473" s="33" t="s">
        <v>1281</v>
      </c>
      <c r="D473" s="33" t="s">
        <v>17</v>
      </c>
      <c r="E473" s="33" t="s">
        <v>31</v>
      </c>
      <c r="F473" s="33" t="s">
        <v>32</v>
      </c>
      <c r="G473" s="33" t="s">
        <v>20</v>
      </c>
      <c r="H473" s="35">
        <v>25</v>
      </c>
      <c r="I473" s="33" t="s">
        <v>21</v>
      </c>
      <c r="J473" s="42">
        <v>44125</v>
      </c>
      <c r="K473" s="33" t="s">
        <v>22</v>
      </c>
    </row>
    <row r="474" spans="1:11">
      <c r="A474" s="30" t="s">
        <v>1282</v>
      </c>
      <c r="B474" s="30" t="s">
        <v>1283</v>
      </c>
      <c r="C474" s="30" t="s">
        <v>1284</v>
      </c>
      <c r="D474" s="30" t="s">
        <v>17</v>
      </c>
      <c r="E474" s="30" t="s">
        <v>18</v>
      </c>
      <c r="F474" s="30" t="s">
        <v>19</v>
      </c>
      <c r="G474" s="30" t="s">
        <v>20</v>
      </c>
      <c r="H474" s="32">
        <v>499</v>
      </c>
      <c r="I474" s="30" t="s">
        <v>21</v>
      </c>
      <c r="J474" s="41">
        <v>44120</v>
      </c>
      <c r="K474" s="30" t="s">
        <v>22</v>
      </c>
    </row>
    <row r="475" spans="1:11">
      <c r="A475" s="33" t="s">
        <v>1285</v>
      </c>
      <c r="B475" s="33" t="s">
        <v>1286</v>
      </c>
      <c r="C475" s="33" t="s">
        <v>1287</v>
      </c>
      <c r="D475" s="33" t="s">
        <v>17</v>
      </c>
      <c r="E475" s="33" t="s">
        <v>31</v>
      </c>
      <c r="F475" s="33" t="s">
        <v>32</v>
      </c>
      <c r="G475" s="33" t="s">
        <v>20</v>
      </c>
      <c r="H475" s="35">
        <v>16</v>
      </c>
      <c r="I475" s="33" t="s">
        <v>21</v>
      </c>
      <c r="J475" s="42">
        <v>43909</v>
      </c>
      <c r="K475" s="33" t="s">
        <v>22</v>
      </c>
    </row>
    <row r="476" spans="1:11">
      <c r="A476" s="30" t="s">
        <v>1288</v>
      </c>
      <c r="B476" s="30" t="s">
        <v>1289</v>
      </c>
      <c r="C476" s="30" t="s">
        <v>1290</v>
      </c>
      <c r="D476" s="30" t="s">
        <v>17</v>
      </c>
      <c r="E476" s="30" t="s">
        <v>26</v>
      </c>
      <c r="F476" s="30" t="s">
        <v>27</v>
      </c>
      <c r="G476" s="30" t="s">
        <v>20</v>
      </c>
      <c r="H476" s="32">
        <v>170</v>
      </c>
      <c r="I476" s="30" t="s">
        <v>21</v>
      </c>
      <c r="J476" s="41">
        <v>44025</v>
      </c>
      <c r="K476" s="30" t="s">
        <v>22</v>
      </c>
    </row>
    <row r="477" spans="1:11">
      <c r="A477" s="33" t="s">
        <v>1291</v>
      </c>
      <c r="B477" s="33" t="s">
        <v>1292</v>
      </c>
      <c r="C477" s="33" t="s">
        <v>136</v>
      </c>
      <c r="D477" s="33" t="s">
        <v>17</v>
      </c>
      <c r="E477" s="33" t="s">
        <v>26</v>
      </c>
      <c r="F477" s="33" t="s">
        <v>27</v>
      </c>
      <c r="G477" s="33" t="s">
        <v>20</v>
      </c>
      <c r="H477" s="35">
        <v>42</v>
      </c>
      <c r="I477" s="33" t="s">
        <v>21</v>
      </c>
      <c r="J477" s="42">
        <v>43885</v>
      </c>
      <c r="K477" s="33" t="s">
        <v>22</v>
      </c>
    </row>
    <row r="478" spans="1:11">
      <c r="A478" s="30" t="s">
        <v>1293</v>
      </c>
      <c r="B478" s="30" t="s">
        <v>1294</v>
      </c>
      <c r="C478" s="30" t="s">
        <v>1295</v>
      </c>
      <c r="D478" s="30" t="s">
        <v>17</v>
      </c>
      <c r="E478" s="30" t="s">
        <v>31</v>
      </c>
      <c r="F478" s="30" t="s">
        <v>32</v>
      </c>
      <c r="G478" s="30" t="s">
        <v>106</v>
      </c>
      <c r="H478" s="32">
        <v>115</v>
      </c>
      <c r="I478" s="30" t="s">
        <v>21</v>
      </c>
      <c r="J478" s="41">
        <v>44048</v>
      </c>
      <c r="K478" s="30" t="s">
        <v>22</v>
      </c>
    </row>
    <row r="479" spans="1:11">
      <c r="A479" s="33" t="s">
        <v>1296</v>
      </c>
      <c r="B479" s="33" t="s">
        <v>1297</v>
      </c>
      <c r="C479" s="33" t="s">
        <v>102</v>
      </c>
      <c r="D479" s="33" t="s">
        <v>17</v>
      </c>
      <c r="E479" s="33" t="s">
        <v>26</v>
      </c>
      <c r="F479" s="33" t="s">
        <v>27</v>
      </c>
      <c r="G479" s="33" t="s">
        <v>20</v>
      </c>
      <c r="H479" s="35">
        <v>18</v>
      </c>
      <c r="I479" s="33" t="s">
        <v>21</v>
      </c>
      <c r="J479" s="42">
        <v>44159</v>
      </c>
      <c r="K479" s="33" t="s">
        <v>22</v>
      </c>
    </row>
    <row r="480" spans="1:11">
      <c r="A480" s="30" t="s">
        <v>1298</v>
      </c>
      <c r="B480" s="30" t="s">
        <v>1299</v>
      </c>
      <c r="C480" s="30" t="s">
        <v>124</v>
      </c>
      <c r="D480" s="30" t="s">
        <v>17</v>
      </c>
      <c r="E480" s="30" t="s">
        <v>18</v>
      </c>
      <c r="F480" s="30" t="s">
        <v>19</v>
      </c>
      <c r="G480" s="30" t="s">
        <v>20</v>
      </c>
      <c r="H480" s="32">
        <v>516</v>
      </c>
      <c r="I480" s="30" t="s">
        <v>21</v>
      </c>
      <c r="J480" s="41">
        <v>44035</v>
      </c>
      <c r="K480" s="30" t="s">
        <v>22</v>
      </c>
    </row>
    <row r="481" spans="1:11">
      <c r="A481" s="33" t="s">
        <v>1300</v>
      </c>
      <c r="B481" s="33" t="s">
        <v>1301</v>
      </c>
      <c r="C481" s="33" t="s">
        <v>1302</v>
      </c>
      <c r="D481" s="33" t="s">
        <v>17</v>
      </c>
      <c r="E481" s="33" t="s">
        <v>31</v>
      </c>
      <c r="F481" s="33" t="s">
        <v>32</v>
      </c>
      <c r="G481" s="33" t="s">
        <v>20</v>
      </c>
      <c r="H481" s="35">
        <v>70</v>
      </c>
      <c r="I481" s="33" t="s">
        <v>21</v>
      </c>
      <c r="J481" s="42">
        <v>44151</v>
      </c>
      <c r="K481" s="33" t="s">
        <v>22</v>
      </c>
    </row>
    <row r="482" spans="1:11">
      <c r="A482" s="30" t="s">
        <v>1303</v>
      </c>
      <c r="B482" s="30" t="s">
        <v>1304</v>
      </c>
      <c r="C482" s="30" t="s">
        <v>1305</v>
      </c>
      <c r="D482" s="30" t="s">
        <v>17</v>
      </c>
      <c r="E482" s="30" t="s">
        <v>18</v>
      </c>
      <c r="F482" s="30" t="s">
        <v>19</v>
      </c>
      <c r="G482" s="30" t="s">
        <v>158</v>
      </c>
      <c r="H482" s="32">
        <v>161</v>
      </c>
      <c r="I482" s="30" t="s">
        <v>21</v>
      </c>
      <c r="J482" s="41">
        <v>44098</v>
      </c>
      <c r="K482" s="30" t="s">
        <v>22</v>
      </c>
    </row>
    <row r="483" spans="1:11">
      <c r="A483" s="33" t="s">
        <v>1306</v>
      </c>
      <c r="B483" s="33" t="s">
        <v>1307</v>
      </c>
      <c r="C483" s="33" t="s">
        <v>1308</v>
      </c>
      <c r="D483" s="33" t="s">
        <v>17</v>
      </c>
      <c r="E483" s="33" t="s">
        <v>26</v>
      </c>
      <c r="F483" s="33" t="s">
        <v>27</v>
      </c>
      <c r="G483" s="33" t="s">
        <v>106</v>
      </c>
      <c r="H483" s="35">
        <v>3</v>
      </c>
      <c r="I483" s="33" t="s">
        <v>21</v>
      </c>
      <c r="J483" s="42">
        <v>44064</v>
      </c>
      <c r="K483" s="33" t="s">
        <v>22</v>
      </c>
    </row>
    <row r="484" spans="1:11">
      <c r="A484" s="30" t="s">
        <v>1309</v>
      </c>
      <c r="B484" s="30" t="s">
        <v>1310</v>
      </c>
      <c r="C484" s="30" t="s">
        <v>925</v>
      </c>
      <c r="D484" s="30" t="s">
        <v>17</v>
      </c>
      <c r="E484" s="30" t="s">
        <v>18</v>
      </c>
      <c r="F484" s="30" t="s">
        <v>19</v>
      </c>
      <c r="G484" s="30" t="s">
        <v>112</v>
      </c>
      <c r="H484" s="32">
        <v>0</v>
      </c>
      <c r="I484" s="30" t="s">
        <v>21</v>
      </c>
      <c r="J484" s="41">
        <v>44166</v>
      </c>
      <c r="K484" s="30" t="s">
        <v>22</v>
      </c>
    </row>
    <row r="485" spans="1:11">
      <c r="A485" s="33" t="s">
        <v>1311</v>
      </c>
      <c r="B485" s="33" t="s">
        <v>1312</v>
      </c>
      <c r="C485" s="33" t="s">
        <v>1313</v>
      </c>
      <c r="D485" s="33" t="s">
        <v>17</v>
      </c>
      <c r="E485" s="33" t="s">
        <v>26</v>
      </c>
      <c r="F485" s="33" t="s">
        <v>27</v>
      </c>
      <c r="G485" s="33" t="s">
        <v>112</v>
      </c>
      <c r="H485" s="35">
        <v>0</v>
      </c>
      <c r="I485" s="33" t="s">
        <v>21</v>
      </c>
      <c r="J485" s="42">
        <v>44075</v>
      </c>
      <c r="K485" s="33" t="s">
        <v>22</v>
      </c>
    </row>
    <row r="486" spans="1:11">
      <c r="A486" s="30" t="s">
        <v>1314</v>
      </c>
      <c r="B486" s="30" t="s">
        <v>1315</v>
      </c>
      <c r="C486" s="30" t="s">
        <v>1154</v>
      </c>
      <c r="D486" s="30" t="s">
        <v>17</v>
      </c>
      <c r="E486" s="30" t="s">
        <v>18</v>
      </c>
      <c r="F486" s="30" t="s">
        <v>19</v>
      </c>
      <c r="G486" s="30" t="s">
        <v>106</v>
      </c>
      <c r="H486" s="32">
        <v>6</v>
      </c>
      <c r="I486" s="30" t="s">
        <v>21</v>
      </c>
      <c r="J486" s="41">
        <v>44134</v>
      </c>
      <c r="K486" s="30" t="s">
        <v>22</v>
      </c>
    </row>
    <row r="487" spans="1:11">
      <c r="A487" s="33" t="s">
        <v>1316</v>
      </c>
      <c r="B487" s="33" t="s">
        <v>1317</v>
      </c>
      <c r="C487" s="33" t="s">
        <v>1318</v>
      </c>
      <c r="D487" s="33" t="s">
        <v>17</v>
      </c>
      <c r="E487" s="33" t="s">
        <v>67</v>
      </c>
      <c r="F487" s="33" t="s">
        <v>68</v>
      </c>
      <c r="G487" s="33" t="s">
        <v>20</v>
      </c>
      <c r="H487" s="35">
        <v>30</v>
      </c>
      <c r="I487" s="33" t="s">
        <v>21</v>
      </c>
      <c r="J487" s="42">
        <v>44011</v>
      </c>
      <c r="K487" s="33" t="s">
        <v>22</v>
      </c>
    </row>
    <row r="488" spans="1:11">
      <c r="A488" s="30" t="s">
        <v>1319</v>
      </c>
      <c r="B488" s="30" t="s">
        <v>1320</v>
      </c>
      <c r="C488" s="30" t="s">
        <v>1321</v>
      </c>
      <c r="D488" s="30" t="s">
        <v>17</v>
      </c>
      <c r="E488" s="30" t="s">
        <v>45</v>
      </c>
      <c r="F488" s="30" t="s">
        <v>46</v>
      </c>
      <c r="G488" s="30" t="s">
        <v>112</v>
      </c>
      <c r="H488" s="32">
        <v>0</v>
      </c>
      <c r="I488" s="30" t="s">
        <v>21</v>
      </c>
      <c r="J488" s="41">
        <v>44166</v>
      </c>
      <c r="K488" s="30" t="s">
        <v>22</v>
      </c>
    </row>
    <row r="489" spans="1:11">
      <c r="A489" s="33" t="s">
        <v>1322</v>
      </c>
      <c r="B489" s="33" t="s">
        <v>1323</v>
      </c>
      <c r="C489" s="33" t="s">
        <v>1324</v>
      </c>
      <c r="D489" s="33" t="s">
        <v>17</v>
      </c>
      <c r="E489" s="33" t="s">
        <v>31</v>
      </c>
      <c r="F489" s="33" t="s">
        <v>32</v>
      </c>
      <c r="G489" s="33" t="s">
        <v>106</v>
      </c>
      <c r="H489" s="35">
        <v>12</v>
      </c>
      <c r="I489" s="33" t="s">
        <v>21</v>
      </c>
      <c r="J489" s="42">
        <v>43992</v>
      </c>
      <c r="K489" s="33" t="s">
        <v>22</v>
      </c>
    </row>
    <row r="490" spans="1:11">
      <c r="A490" s="30" t="s">
        <v>1325</v>
      </c>
      <c r="B490" s="30" t="s">
        <v>1326</v>
      </c>
      <c r="C490" s="30" t="s">
        <v>1327</v>
      </c>
      <c r="D490" s="30" t="s">
        <v>17</v>
      </c>
      <c r="E490" s="30" t="s">
        <v>31</v>
      </c>
      <c r="F490" s="30" t="s">
        <v>32</v>
      </c>
      <c r="G490" s="30" t="s">
        <v>20</v>
      </c>
      <c r="H490" s="32">
        <v>30</v>
      </c>
      <c r="I490" s="30" t="s">
        <v>21</v>
      </c>
      <c r="J490" s="41">
        <v>44166</v>
      </c>
      <c r="K490" s="30" t="s">
        <v>22</v>
      </c>
    </row>
    <row r="491" spans="1:11">
      <c r="A491" s="33" t="s">
        <v>1328</v>
      </c>
      <c r="B491" s="33" t="s">
        <v>1329</v>
      </c>
      <c r="C491" s="33" t="s">
        <v>96</v>
      </c>
      <c r="D491" s="33" t="s">
        <v>17</v>
      </c>
      <c r="E491" s="33" t="s">
        <v>26</v>
      </c>
      <c r="F491" s="33" t="s">
        <v>27</v>
      </c>
      <c r="G491" s="33" t="s">
        <v>20</v>
      </c>
      <c r="H491" s="35">
        <v>23</v>
      </c>
      <c r="I491" s="33" t="s">
        <v>21</v>
      </c>
      <c r="J491" s="42">
        <v>43999</v>
      </c>
      <c r="K491" s="33" t="s">
        <v>22</v>
      </c>
    </row>
    <row r="492" spans="1:11">
      <c r="A492" s="30" t="s">
        <v>1330</v>
      </c>
      <c r="B492" s="30" t="s">
        <v>1331</v>
      </c>
      <c r="C492" s="30" t="s">
        <v>957</v>
      </c>
      <c r="D492" s="30" t="s">
        <v>17</v>
      </c>
      <c r="E492" s="30" t="s">
        <v>26</v>
      </c>
      <c r="F492" s="30" t="s">
        <v>27</v>
      </c>
      <c r="G492" s="30" t="s">
        <v>20</v>
      </c>
      <c r="H492" s="32">
        <v>36</v>
      </c>
      <c r="I492" s="30" t="s">
        <v>21</v>
      </c>
      <c r="J492" s="41">
        <v>43948</v>
      </c>
      <c r="K492" s="30" t="s">
        <v>22</v>
      </c>
    </row>
    <row r="493" spans="1:11">
      <c r="A493" s="33" t="s">
        <v>1332</v>
      </c>
      <c r="B493" s="33" t="s">
        <v>1333</v>
      </c>
      <c r="C493" s="33" t="s">
        <v>747</v>
      </c>
      <c r="D493" s="33" t="s">
        <v>17</v>
      </c>
      <c r="E493" s="33" t="s">
        <v>26</v>
      </c>
      <c r="F493" s="33" t="s">
        <v>27</v>
      </c>
      <c r="G493" s="33" t="s">
        <v>20</v>
      </c>
      <c r="H493" s="35">
        <v>56</v>
      </c>
      <c r="I493" s="33" t="s">
        <v>21</v>
      </c>
      <c r="J493" s="42">
        <v>44070</v>
      </c>
      <c r="K493" s="33" t="s">
        <v>22</v>
      </c>
    </row>
    <row r="494" spans="1:11">
      <c r="A494" s="30" t="s">
        <v>1334</v>
      </c>
      <c r="B494" s="30" t="s">
        <v>1335</v>
      </c>
      <c r="C494" s="30" t="s">
        <v>81</v>
      </c>
      <c r="D494" s="30" t="s">
        <v>17</v>
      </c>
      <c r="E494" s="30" t="s">
        <v>31</v>
      </c>
      <c r="F494" s="30" t="s">
        <v>32</v>
      </c>
      <c r="G494" s="30" t="s">
        <v>20</v>
      </c>
      <c r="H494" s="32">
        <v>83</v>
      </c>
      <c r="I494" s="30" t="s">
        <v>21</v>
      </c>
      <c r="J494" s="41">
        <v>44182</v>
      </c>
      <c r="K494" s="30" t="s">
        <v>22</v>
      </c>
    </row>
    <row r="495" spans="1:11">
      <c r="A495" s="33" t="s">
        <v>1336</v>
      </c>
      <c r="B495" s="33" t="s">
        <v>1337</v>
      </c>
      <c r="C495" s="33" t="s">
        <v>109</v>
      </c>
      <c r="D495" s="33" t="s">
        <v>17</v>
      </c>
      <c r="E495" s="33" t="s">
        <v>26</v>
      </c>
      <c r="F495" s="33" t="s">
        <v>27</v>
      </c>
      <c r="G495" s="33" t="s">
        <v>106</v>
      </c>
      <c r="H495" s="35">
        <v>4</v>
      </c>
      <c r="I495" s="33" t="s">
        <v>21</v>
      </c>
      <c r="J495" s="42">
        <v>44068</v>
      </c>
      <c r="K495" s="33" t="s">
        <v>22</v>
      </c>
    </row>
    <row r="496" spans="1:11">
      <c r="A496" s="30" t="s">
        <v>1338</v>
      </c>
      <c r="B496" s="30" t="s">
        <v>1339</v>
      </c>
      <c r="C496" s="30" t="s">
        <v>1340</v>
      </c>
      <c r="D496" s="30" t="s">
        <v>17</v>
      </c>
      <c r="E496" s="30" t="s">
        <v>26</v>
      </c>
      <c r="F496" s="30" t="s">
        <v>27</v>
      </c>
      <c r="G496" s="30" t="s">
        <v>20</v>
      </c>
      <c r="H496" s="32">
        <v>46</v>
      </c>
      <c r="I496" s="30" t="s">
        <v>21</v>
      </c>
      <c r="J496" s="41">
        <v>43871</v>
      </c>
      <c r="K496" s="30" t="s">
        <v>22</v>
      </c>
    </row>
    <row r="497" spans="1:11">
      <c r="A497" s="33" t="s">
        <v>1341</v>
      </c>
      <c r="B497" s="33" t="s">
        <v>1342</v>
      </c>
      <c r="C497" s="33" t="s">
        <v>1343</v>
      </c>
      <c r="D497" s="33" t="s">
        <v>17</v>
      </c>
      <c r="E497" s="33" t="s">
        <v>31</v>
      </c>
      <c r="F497" s="33" t="s">
        <v>32</v>
      </c>
      <c r="G497" s="33" t="s">
        <v>20</v>
      </c>
      <c r="H497" s="35">
        <v>397</v>
      </c>
      <c r="I497" s="33" t="s">
        <v>21</v>
      </c>
      <c r="J497" s="42">
        <v>44187</v>
      </c>
      <c r="K497" s="33" t="s">
        <v>22</v>
      </c>
    </row>
    <row r="498" spans="1:11">
      <c r="A498" s="30" t="s">
        <v>1344</v>
      </c>
      <c r="B498" s="30" t="s">
        <v>1345</v>
      </c>
      <c r="C498" s="30" t="s">
        <v>231</v>
      </c>
      <c r="D498" s="30" t="s">
        <v>17</v>
      </c>
      <c r="E498" s="30" t="s">
        <v>31</v>
      </c>
      <c r="F498" s="30" t="s">
        <v>32</v>
      </c>
      <c r="G498" s="30" t="s">
        <v>106</v>
      </c>
      <c r="H498" s="32">
        <v>133</v>
      </c>
      <c r="I498" s="30" t="s">
        <v>21</v>
      </c>
      <c r="J498" s="41">
        <v>44138</v>
      </c>
      <c r="K498" s="30" t="s">
        <v>22</v>
      </c>
    </row>
    <row r="499" spans="1:11">
      <c r="A499" s="33" t="s">
        <v>1346</v>
      </c>
      <c r="B499" s="33" t="s">
        <v>1347</v>
      </c>
      <c r="C499" s="33" t="s">
        <v>96</v>
      </c>
      <c r="D499" s="33" t="s">
        <v>17</v>
      </c>
      <c r="E499" s="33" t="s">
        <v>31</v>
      </c>
      <c r="F499" s="33" t="s">
        <v>32</v>
      </c>
      <c r="G499" s="33" t="s">
        <v>106</v>
      </c>
      <c r="H499" s="35">
        <v>71</v>
      </c>
      <c r="I499" s="33" t="s">
        <v>21</v>
      </c>
      <c r="J499" s="42">
        <v>44089</v>
      </c>
      <c r="K499" s="33" t="s">
        <v>22</v>
      </c>
    </row>
    <row r="500" spans="1:11">
      <c r="A500" s="30" t="s">
        <v>1348</v>
      </c>
      <c r="B500" s="30" t="s">
        <v>1349</v>
      </c>
      <c r="C500" s="30" t="s">
        <v>1350</v>
      </c>
      <c r="D500" s="30" t="s">
        <v>17</v>
      </c>
      <c r="E500" s="30" t="s">
        <v>18</v>
      </c>
      <c r="F500" s="30" t="s">
        <v>19</v>
      </c>
      <c r="G500" s="30" t="s">
        <v>50</v>
      </c>
      <c r="H500" s="32">
        <v>482</v>
      </c>
      <c r="I500" s="30" t="s">
        <v>21</v>
      </c>
      <c r="J500" s="41">
        <v>44088</v>
      </c>
      <c r="K500" s="30" t="s">
        <v>22</v>
      </c>
    </row>
    <row r="501" spans="1:11">
      <c r="A501" s="33" t="s">
        <v>1351</v>
      </c>
      <c r="B501" s="33" t="s">
        <v>1352</v>
      </c>
      <c r="C501" s="33" t="s">
        <v>190</v>
      </c>
      <c r="D501" s="33" t="s">
        <v>17</v>
      </c>
      <c r="E501" s="33" t="s">
        <v>18</v>
      </c>
      <c r="F501" s="33" t="s">
        <v>19</v>
      </c>
      <c r="G501" s="33" t="s">
        <v>106</v>
      </c>
      <c r="H501" s="35">
        <v>211</v>
      </c>
      <c r="I501" s="33" t="s">
        <v>21</v>
      </c>
      <c r="J501" s="42">
        <v>44096</v>
      </c>
      <c r="K501" s="33" t="s">
        <v>22</v>
      </c>
    </row>
    <row r="502" spans="1:11">
      <c r="A502" s="30" t="s">
        <v>1353</v>
      </c>
      <c r="B502" s="30" t="s">
        <v>1354</v>
      </c>
      <c r="C502" s="30" t="s">
        <v>178</v>
      </c>
      <c r="D502" s="30" t="s">
        <v>17</v>
      </c>
      <c r="E502" s="30" t="s">
        <v>18</v>
      </c>
      <c r="F502" s="30" t="s">
        <v>19</v>
      </c>
      <c r="G502" s="30" t="s">
        <v>20</v>
      </c>
      <c r="H502" s="32">
        <v>270</v>
      </c>
      <c r="I502" s="30" t="s">
        <v>21</v>
      </c>
      <c r="J502" s="41">
        <v>43868</v>
      </c>
      <c r="K502" s="30" t="s">
        <v>22</v>
      </c>
    </row>
    <row r="503" spans="1:11">
      <c r="A503" s="33" t="s">
        <v>1355</v>
      </c>
      <c r="B503" s="33" t="s">
        <v>1356</v>
      </c>
      <c r="C503" s="33" t="s">
        <v>1357</v>
      </c>
      <c r="D503" s="33" t="s">
        <v>17</v>
      </c>
      <c r="E503" s="33" t="s">
        <v>26</v>
      </c>
      <c r="F503" s="33" t="s">
        <v>27</v>
      </c>
      <c r="G503" s="33" t="s">
        <v>50</v>
      </c>
      <c r="H503" s="35">
        <v>72</v>
      </c>
      <c r="I503" s="33" t="s">
        <v>51</v>
      </c>
      <c r="J503" s="42">
        <v>44082</v>
      </c>
      <c r="K503" s="33" t="s">
        <v>22</v>
      </c>
    </row>
    <row r="504" spans="1:11">
      <c r="A504" s="30" t="s">
        <v>1358</v>
      </c>
      <c r="B504" s="30" t="s">
        <v>1359</v>
      </c>
      <c r="C504" s="30" t="s">
        <v>96</v>
      </c>
      <c r="D504" s="30" t="s">
        <v>17</v>
      </c>
      <c r="E504" s="30" t="s">
        <v>26</v>
      </c>
      <c r="F504" s="30" t="s">
        <v>27</v>
      </c>
      <c r="G504" s="30" t="s">
        <v>20</v>
      </c>
      <c r="H504" s="32">
        <v>15</v>
      </c>
      <c r="I504" s="30" t="s">
        <v>21</v>
      </c>
      <c r="J504" s="41">
        <v>44165</v>
      </c>
      <c r="K504" s="30" t="s">
        <v>22</v>
      </c>
    </row>
    <row r="505" spans="1:11">
      <c r="A505" s="33" t="s">
        <v>1360</v>
      </c>
      <c r="B505" s="33" t="s">
        <v>1361</v>
      </c>
      <c r="C505" s="33" t="s">
        <v>203</v>
      </c>
      <c r="D505" s="33" t="s">
        <v>17</v>
      </c>
      <c r="E505" s="33" t="s">
        <v>26</v>
      </c>
      <c r="F505" s="33" t="s">
        <v>27</v>
      </c>
      <c r="G505" s="33" t="s">
        <v>20</v>
      </c>
      <c r="H505" s="35">
        <v>68</v>
      </c>
      <c r="I505" s="33" t="s">
        <v>21</v>
      </c>
      <c r="J505" s="42">
        <v>44029</v>
      </c>
      <c r="K505" s="33" t="s">
        <v>22</v>
      </c>
    </row>
    <row r="506" spans="1:11">
      <c r="A506" s="30" t="s">
        <v>1362</v>
      </c>
      <c r="B506" s="30" t="s">
        <v>1363</v>
      </c>
      <c r="C506" s="30" t="s">
        <v>1364</v>
      </c>
      <c r="D506" s="30" t="s">
        <v>17</v>
      </c>
      <c r="E506" s="30" t="s">
        <v>67</v>
      </c>
      <c r="F506" s="30" t="s">
        <v>68</v>
      </c>
      <c r="G506" s="30" t="s">
        <v>158</v>
      </c>
      <c r="H506" s="32">
        <v>1410</v>
      </c>
      <c r="I506" s="30" t="s">
        <v>21</v>
      </c>
      <c r="J506" s="41">
        <v>43889</v>
      </c>
      <c r="K506" s="30" t="s">
        <v>22</v>
      </c>
    </row>
    <row r="507" spans="1:11">
      <c r="A507" s="33" t="s">
        <v>1365</v>
      </c>
      <c r="B507" s="33" t="s">
        <v>1366</v>
      </c>
      <c r="C507" s="33" t="s">
        <v>1367</v>
      </c>
      <c r="D507" s="33" t="s">
        <v>17</v>
      </c>
      <c r="E507" s="33" t="s">
        <v>26</v>
      </c>
      <c r="F507" s="33" t="s">
        <v>27</v>
      </c>
      <c r="G507" s="33" t="s">
        <v>50</v>
      </c>
      <c r="H507" s="35">
        <v>30</v>
      </c>
      <c r="I507" s="33" t="s">
        <v>51</v>
      </c>
      <c r="J507" s="42">
        <v>44044</v>
      </c>
      <c r="K507" s="33" t="s">
        <v>22</v>
      </c>
    </row>
    <row r="508" spans="1:11">
      <c r="A508" s="30" t="s">
        <v>1368</v>
      </c>
      <c r="B508" s="30" t="s">
        <v>1369</v>
      </c>
      <c r="C508" s="30" t="s">
        <v>1370</v>
      </c>
      <c r="D508" s="30" t="s">
        <v>17</v>
      </c>
      <c r="E508" s="30" t="s">
        <v>330</v>
      </c>
      <c r="F508" s="30" t="s">
        <v>331</v>
      </c>
      <c r="G508" s="30" t="s">
        <v>50</v>
      </c>
      <c r="H508" s="32">
        <v>10</v>
      </c>
      <c r="I508" s="30" t="s">
        <v>51</v>
      </c>
      <c r="J508" s="41">
        <v>43915</v>
      </c>
      <c r="K508" s="30" t="s">
        <v>22</v>
      </c>
    </row>
    <row r="509" spans="1:11">
      <c r="A509" s="33" t="s">
        <v>1371</v>
      </c>
      <c r="B509" s="33" t="s">
        <v>1372</v>
      </c>
      <c r="C509" s="33" t="s">
        <v>1373</v>
      </c>
      <c r="D509" s="33" t="s">
        <v>17</v>
      </c>
      <c r="E509" s="33" t="s">
        <v>18</v>
      </c>
      <c r="F509" s="33" t="s">
        <v>19</v>
      </c>
      <c r="G509" s="33" t="s">
        <v>20</v>
      </c>
      <c r="H509" s="35">
        <v>119</v>
      </c>
      <c r="I509" s="33" t="s">
        <v>21</v>
      </c>
      <c r="J509" s="42">
        <v>44119</v>
      </c>
      <c r="K509" s="33" t="s">
        <v>22</v>
      </c>
    </row>
    <row r="510" spans="1:11">
      <c r="A510" s="30" t="s">
        <v>1374</v>
      </c>
      <c r="B510" s="30" t="s">
        <v>1375</v>
      </c>
      <c r="C510" s="30" t="s">
        <v>899</v>
      </c>
      <c r="D510" s="30" t="s">
        <v>17</v>
      </c>
      <c r="E510" s="30" t="s">
        <v>26</v>
      </c>
      <c r="F510" s="30" t="s">
        <v>27</v>
      </c>
      <c r="G510" s="30" t="s">
        <v>20</v>
      </c>
      <c r="H510" s="32">
        <v>58</v>
      </c>
      <c r="I510" s="30" t="s">
        <v>21</v>
      </c>
      <c r="J510" s="41">
        <v>43920</v>
      </c>
      <c r="K510" s="30" t="s">
        <v>22</v>
      </c>
    </row>
    <row r="511" spans="1:11">
      <c r="A511" s="33" t="s">
        <v>1376</v>
      </c>
      <c r="B511" s="33" t="s">
        <v>1377</v>
      </c>
      <c r="C511" s="33" t="s">
        <v>178</v>
      </c>
      <c r="D511" s="33" t="s">
        <v>17</v>
      </c>
      <c r="E511" s="33" t="s">
        <v>18</v>
      </c>
      <c r="F511" s="33" t="s">
        <v>19</v>
      </c>
      <c r="G511" s="33" t="s">
        <v>158</v>
      </c>
      <c r="H511" s="35">
        <v>190</v>
      </c>
      <c r="I511" s="33" t="s">
        <v>51</v>
      </c>
      <c r="J511" s="42">
        <v>44104</v>
      </c>
      <c r="K511" s="33" t="s">
        <v>22</v>
      </c>
    </row>
    <row r="512" spans="1:11">
      <c r="A512" s="30" t="s">
        <v>1378</v>
      </c>
      <c r="B512" s="30" t="s">
        <v>1379</v>
      </c>
      <c r="C512" s="30" t="s">
        <v>1380</v>
      </c>
      <c r="D512" s="30" t="s">
        <v>17</v>
      </c>
      <c r="E512" s="30" t="s">
        <v>31</v>
      </c>
      <c r="F512" s="30" t="s">
        <v>32</v>
      </c>
      <c r="G512" s="30" t="s">
        <v>106</v>
      </c>
      <c r="H512" s="32">
        <v>40</v>
      </c>
      <c r="I512" s="30" t="s">
        <v>21</v>
      </c>
      <c r="J512" s="41">
        <v>44036</v>
      </c>
      <c r="K512" s="30" t="s">
        <v>22</v>
      </c>
    </row>
    <row r="513" spans="1:11">
      <c r="A513" s="33" t="s">
        <v>1381</v>
      </c>
      <c r="B513" s="33" t="s">
        <v>1382</v>
      </c>
      <c r="C513" s="33" t="s">
        <v>1383</v>
      </c>
      <c r="D513" s="33" t="s">
        <v>17</v>
      </c>
      <c r="E513" s="33" t="s">
        <v>18</v>
      </c>
      <c r="F513" s="33" t="s">
        <v>19</v>
      </c>
      <c r="G513" s="33" t="s">
        <v>158</v>
      </c>
      <c r="H513" s="35">
        <v>440</v>
      </c>
      <c r="I513" s="33" t="s">
        <v>21</v>
      </c>
      <c r="J513" s="42">
        <v>44090</v>
      </c>
      <c r="K513" s="33" t="s">
        <v>22</v>
      </c>
    </row>
    <row r="514" spans="1:11">
      <c r="A514" s="30" t="s">
        <v>1384</v>
      </c>
      <c r="B514" s="30" t="s">
        <v>1385</v>
      </c>
      <c r="C514" s="30" t="s">
        <v>1386</v>
      </c>
      <c r="D514" s="30" t="s">
        <v>17</v>
      </c>
      <c r="E514" s="30" t="s">
        <v>26</v>
      </c>
      <c r="F514" s="30" t="s">
        <v>27</v>
      </c>
      <c r="G514" s="30" t="s">
        <v>50</v>
      </c>
      <c r="H514" s="32">
        <v>48</v>
      </c>
      <c r="I514" s="30" t="s">
        <v>51</v>
      </c>
      <c r="J514" s="41">
        <v>44126</v>
      </c>
      <c r="K514" s="30" t="s">
        <v>22</v>
      </c>
    </row>
    <row r="515" spans="1:11">
      <c r="A515" s="33" t="s">
        <v>1387</v>
      </c>
      <c r="B515" s="33" t="s">
        <v>1388</v>
      </c>
      <c r="C515" s="33" t="s">
        <v>795</v>
      </c>
      <c r="D515" s="33" t="s">
        <v>17</v>
      </c>
      <c r="E515" s="33" t="s">
        <v>67</v>
      </c>
      <c r="F515" s="33" t="s">
        <v>68</v>
      </c>
      <c r="G515" s="33" t="s">
        <v>106</v>
      </c>
      <c r="H515" s="35">
        <v>46</v>
      </c>
      <c r="I515" s="33" t="s">
        <v>21</v>
      </c>
      <c r="J515" s="42">
        <v>43903</v>
      </c>
      <c r="K515" s="33" t="s">
        <v>22</v>
      </c>
    </row>
    <row r="516" spans="1:11">
      <c r="A516" s="30" t="s">
        <v>1389</v>
      </c>
      <c r="B516" s="30" t="s">
        <v>1390</v>
      </c>
      <c r="C516" s="30" t="s">
        <v>1391</v>
      </c>
      <c r="D516" s="30" t="s">
        <v>17</v>
      </c>
      <c r="E516" s="30" t="s">
        <v>31</v>
      </c>
      <c r="F516" s="30" t="s">
        <v>32</v>
      </c>
      <c r="G516" s="30" t="s">
        <v>20</v>
      </c>
      <c r="H516" s="32">
        <v>4422</v>
      </c>
      <c r="I516" s="30" t="s">
        <v>21</v>
      </c>
      <c r="J516" s="41">
        <v>44060</v>
      </c>
      <c r="K516" s="30" t="s">
        <v>22</v>
      </c>
    </row>
    <row r="517" spans="1:11">
      <c r="A517" s="33" t="s">
        <v>1392</v>
      </c>
      <c r="B517" s="33" t="s">
        <v>1393</v>
      </c>
      <c r="C517" s="33" t="s">
        <v>718</v>
      </c>
      <c r="D517" s="33" t="s">
        <v>17</v>
      </c>
      <c r="E517" s="33" t="s">
        <v>18</v>
      </c>
      <c r="F517" s="33" t="s">
        <v>19</v>
      </c>
      <c r="G517" s="33" t="s">
        <v>50</v>
      </c>
      <c r="H517" s="35">
        <v>416</v>
      </c>
      <c r="I517" s="33" t="s">
        <v>51</v>
      </c>
      <c r="J517" s="42">
        <v>44117</v>
      </c>
      <c r="K517" s="33" t="s">
        <v>22</v>
      </c>
    </row>
    <row r="518" spans="1:11">
      <c r="A518" s="30" t="s">
        <v>1394</v>
      </c>
      <c r="B518" s="30" t="s">
        <v>1395</v>
      </c>
      <c r="C518" s="30" t="s">
        <v>1396</v>
      </c>
      <c r="D518" s="30" t="s">
        <v>17</v>
      </c>
      <c r="E518" s="30" t="s">
        <v>67</v>
      </c>
      <c r="F518" s="30" t="s">
        <v>68</v>
      </c>
      <c r="G518" s="30" t="s">
        <v>158</v>
      </c>
      <c r="H518" s="32">
        <v>4</v>
      </c>
      <c r="I518" s="30" t="s">
        <v>21</v>
      </c>
      <c r="J518" s="41">
        <v>44105</v>
      </c>
      <c r="K518" s="30" t="s">
        <v>22</v>
      </c>
    </row>
    <row r="519" spans="1:11">
      <c r="A519" s="33" t="s">
        <v>1397</v>
      </c>
      <c r="B519" s="33" t="s">
        <v>1398</v>
      </c>
      <c r="C519" s="33" t="s">
        <v>1399</v>
      </c>
      <c r="D519" s="33" t="s">
        <v>17</v>
      </c>
      <c r="E519" s="33" t="s">
        <v>26</v>
      </c>
      <c r="F519" s="33" t="s">
        <v>27</v>
      </c>
      <c r="G519" s="33" t="s">
        <v>20</v>
      </c>
      <c r="H519" s="35">
        <v>100</v>
      </c>
      <c r="I519" s="33" t="s">
        <v>21</v>
      </c>
      <c r="J519" s="42">
        <v>43856</v>
      </c>
      <c r="K519" s="33" t="s">
        <v>22</v>
      </c>
    </row>
    <row r="520" spans="1:11">
      <c r="A520" s="30" t="s">
        <v>1400</v>
      </c>
      <c r="B520" s="30" t="s">
        <v>1401</v>
      </c>
      <c r="C520" s="30" t="s">
        <v>249</v>
      </c>
      <c r="D520" s="30" t="s">
        <v>17</v>
      </c>
      <c r="E520" s="30" t="s">
        <v>18</v>
      </c>
      <c r="F520" s="30" t="s">
        <v>19</v>
      </c>
      <c r="G520" s="30" t="s">
        <v>106</v>
      </c>
      <c r="H520" s="32">
        <v>98</v>
      </c>
      <c r="I520" s="30" t="s">
        <v>21</v>
      </c>
      <c r="J520" s="41">
        <v>44053</v>
      </c>
      <c r="K520" s="30" t="s">
        <v>22</v>
      </c>
    </row>
    <row r="521" spans="1:11">
      <c r="A521" s="33" t="s">
        <v>1402</v>
      </c>
      <c r="B521" s="33" t="s">
        <v>1403</v>
      </c>
      <c r="C521" s="33" t="s">
        <v>190</v>
      </c>
      <c r="D521" s="33" t="s">
        <v>17</v>
      </c>
      <c r="E521" s="33" t="s">
        <v>18</v>
      </c>
      <c r="F521" s="33" t="s">
        <v>19</v>
      </c>
      <c r="G521" s="33" t="s">
        <v>20</v>
      </c>
      <c r="H521" s="35">
        <v>1131</v>
      </c>
      <c r="I521" s="33" t="s">
        <v>21</v>
      </c>
      <c r="J521" s="42">
        <v>44167</v>
      </c>
      <c r="K521" s="33" t="s">
        <v>22</v>
      </c>
    </row>
    <row r="522" spans="1:11">
      <c r="A522" s="30" t="s">
        <v>1404</v>
      </c>
      <c r="B522" s="30" t="s">
        <v>1405</v>
      </c>
      <c r="C522" s="30" t="s">
        <v>1406</v>
      </c>
      <c r="D522" s="30" t="s">
        <v>17</v>
      </c>
      <c r="E522" s="30" t="s">
        <v>67</v>
      </c>
      <c r="F522" s="30" t="s">
        <v>68</v>
      </c>
      <c r="G522" s="30" t="s">
        <v>106</v>
      </c>
      <c r="H522" s="32">
        <v>21</v>
      </c>
      <c r="I522" s="30" t="s">
        <v>21</v>
      </c>
      <c r="J522" s="41">
        <v>44061</v>
      </c>
      <c r="K522" s="30" t="s">
        <v>22</v>
      </c>
    </row>
    <row r="523" spans="1:11">
      <c r="A523" s="33" t="s">
        <v>1407</v>
      </c>
      <c r="B523" s="33" t="s">
        <v>1408</v>
      </c>
      <c r="C523" s="33" t="s">
        <v>190</v>
      </c>
      <c r="D523" s="33" t="s">
        <v>17</v>
      </c>
      <c r="E523" s="33" t="s">
        <v>18</v>
      </c>
      <c r="F523" s="33" t="s">
        <v>19</v>
      </c>
      <c r="G523" s="33" t="s">
        <v>158</v>
      </c>
      <c r="H523" s="35">
        <v>1012</v>
      </c>
      <c r="I523" s="33" t="s">
        <v>21</v>
      </c>
      <c r="J523" s="42">
        <v>44025</v>
      </c>
      <c r="K523" s="33" t="s">
        <v>22</v>
      </c>
    </row>
    <row r="524" spans="1:11">
      <c r="A524" s="30" t="s">
        <v>1409</v>
      </c>
      <c r="B524" s="30" t="s">
        <v>1410</v>
      </c>
      <c r="C524" s="30" t="s">
        <v>1148</v>
      </c>
      <c r="D524" s="30" t="s">
        <v>17</v>
      </c>
      <c r="E524" s="30" t="s">
        <v>18</v>
      </c>
      <c r="F524" s="30" t="s">
        <v>19</v>
      </c>
      <c r="G524" s="30" t="s">
        <v>20</v>
      </c>
      <c r="H524" s="32">
        <v>183</v>
      </c>
      <c r="I524" s="30" t="s">
        <v>21</v>
      </c>
      <c r="J524" s="41">
        <v>43847</v>
      </c>
      <c r="K524" s="30" t="s">
        <v>22</v>
      </c>
    </row>
    <row r="525" spans="1:11">
      <c r="A525" s="33" t="s">
        <v>1411</v>
      </c>
      <c r="B525" s="33" t="s">
        <v>1412</v>
      </c>
      <c r="C525" s="33" t="s">
        <v>96</v>
      </c>
      <c r="D525" s="33" t="s">
        <v>17</v>
      </c>
      <c r="E525" s="33" t="s">
        <v>31</v>
      </c>
      <c r="F525" s="33" t="s">
        <v>32</v>
      </c>
      <c r="G525" s="33" t="s">
        <v>20</v>
      </c>
      <c r="H525" s="35">
        <v>108</v>
      </c>
      <c r="I525" s="33" t="s">
        <v>21</v>
      </c>
      <c r="J525" s="42">
        <v>44180</v>
      </c>
      <c r="K525" s="33" t="s">
        <v>22</v>
      </c>
    </row>
    <row r="526" spans="1:11">
      <c r="A526" s="30" t="s">
        <v>1413</v>
      </c>
      <c r="B526" s="30" t="s">
        <v>1414</v>
      </c>
      <c r="C526" s="30" t="s">
        <v>1415</v>
      </c>
      <c r="D526" s="30" t="s">
        <v>17</v>
      </c>
      <c r="E526" s="30" t="s">
        <v>26</v>
      </c>
      <c r="F526" s="30" t="s">
        <v>27</v>
      </c>
      <c r="G526" s="30" t="s">
        <v>20</v>
      </c>
      <c r="H526" s="32">
        <v>40</v>
      </c>
      <c r="I526" s="30" t="s">
        <v>21</v>
      </c>
      <c r="J526" s="41">
        <v>43844</v>
      </c>
      <c r="K526" s="30" t="s">
        <v>22</v>
      </c>
    </row>
    <row r="527" spans="1:11">
      <c r="A527" s="33" t="s">
        <v>1416</v>
      </c>
      <c r="B527" s="33" t="s">
        <v>1417</v>
      </c>
      <c r="C527" s="33" t="s">
        <v>318</v>
      </c>
      <c r="D527" s="33" t="s">
        <v>17</v>
      </c>
      <c r="E527" s="33" t="s">
        <v>212</v>
      </c>
      <c r="F527" s="33" t="s">
        <v>213</v>
      </c>
      <c r="G527" s="33" t="s">
        <v>20</v>
      </c>
      <c r="H527" s="35">
        <v>191</v>
      </c>
      <c r="I527" s="33" t="s">
        <v>21</v>
      </c>
      <c r="J527" s="42">
        <v>44106</v>
      </c>
      <c r="K527" s="33" t="s">
        <v>22</v>
      </c>
    </row>
    <row r="528" spans="1:11">
      <c r="A528" s="30" t="s">
        <v>1418</v>
      </c>
      <c r="B528" s="30" t="s">
        <v>1419</v>
      </c>
      <c r="C528" s="30" t="s">
        <v>109</v>
      </c>
      <c r="D528" s="30" t="s">
        <v>17</v>
      </c>
      <c r="E528" s="30" t="s">
        <v>26</v>
      </c>
      <c r="F528" s="30" t="s">
        <v>27</v>
      </c>
      <c r="G528" s="30" t="s">
        <v>20</v>
      </c>
      <c r="H528" s="32">
        <v>12</v>
      </c>
      <c r="I528" s="30" t="s">
        <v>21</v>
      </c>
      <c r="J528" s="41">
        <v>44097</v>
      </c>
      <c r="K528" s="30" t="s">
        <v>22</v>
      </c>
    </row>
    <row r="529" spans="1:11">
      <c r="A529" s="33" t="s">
        <v>1420</v>
      </c>
      <c r="B529" s="33" t="s">
        <v>1421</v>
      </c>
      <c r="C529" s="33" t="s">
        <v>1422</v>
      </c>
      <c r="D529" s="33" t="s">
        <v>17</v>
      </c>
      <c r="E529" s="33" t="s">
        <v>26</v>
      </c>
      <c r="F529" s="33" t="s">
        <v>27</v>
      </c>
      <c r="G529" s="33" t="s">
        <v>20</v>
      </c>
      <c r="H529" s="35">
        <v>36</v>
      </c>
      <c r="I529" s="33" t="s">
        <v>21</v>
      </c>
      <c r="J529" s="42">
        <v>44161</v>
      </c>
      <c r="K529" s="33" t="s">
        <v>22</v>
      </c>
    </row>
    <row r="530" spans="1:11">
      <c r="A530" s="30" t="s">
        <v>1423</v>
      </c>
      <c r="B530" s="30" t="s">
        <v>1424</v>
      </c>
      <c r="C530" s="30" t="s">
        <v>1425</v>
      </c>
      <c r="D530" s="30" t="s">
        <v>17</v>
      </c>
      <c r="E530" s="30" t="s">
        <v>31</v>
      </c>
      <c r="F530" s="30" t="s">
        <v>32</v>
      </c>
      <c r="G530" s="30" t="s">
        <v>20</v>
      </c>
      <c r="H530" s="32">
        <v>221</v>
      </c>
      <c r="I530" s="30" t="s">
        <v>21</v>
      </c>
      <c r="J530" s="41">
        <v>43906</v>
      </c>
      <c r="K530" s="30" t="s">
        <v>22</v>
      </c>
    </row>
    <row r="531" spans="1:11">
      <c r="A531" s="33" t="s">
        <v>1426</v>
      </c>
      <c r="B531" s="33" t="s">
        <v>1427</v>
      </c>
      <c r="C531" s="33" t="s">
        <v>1428</v>
      </c>
      <c r="D531" s="33" t="s">
        <v>17</v>
      </c>
      <c r="E531" s="33" t="s">
        <v>26</v>
      </c>
      <c r="F531" s="33" t="s">
        <v>27</v>
      </c>
      <c r="G531" s="33" t="s">
        <v>20</v>
      </c>
      <c r="H531" s="35">
        <v>33</v>
      </c>
      <c r="I531" s="33" t="s">
        <v>21</v>
      </c>
      <c r="J531" s="42">
        <v>44036</v>
      </c>
      <c r="K531" s="33" t="s">
        <v>22</v>
      </c>
    </row>
    <row r="532" spans="1:11">
      <c r="A532" s="30" t="s">
        <v>1429</v>
      </c>
      <c r="B532" s="30" t="s">
        <v>1430</v>
      </c>
      <c r="C532" s="30" t="s">
        <v>1431</v>
      </c>
      <c r="D532" s="30" t="s">
        <v>17</v>
      </c>
      <c r="E532" s="30" t="s">
        <v>67</v>
      </c>
      <c r="F532" s="30" t="s">
        <v>68</v>
      </c>
      <c r="G532" s="30" t="s">
        <v>20</v>
      </c>
      <c r="H532" s="32">
        <v>24</v>
      </c>
      <c r="I532" s="30" t="s">
        <v>21</v>
      </c>
      <c r="J532" s="41">
        <v>44092</v>
      </c>
      <c r="K532" s="30" t="s">
        <v>22</v>
      </c>
    </row>
    <row r="533" spans="1:11">
      <c r="A533" s="33" t="s">
        <v>1432</v>
      </c>
      <c r="B533" s="33" t="s">
        <v>1433</v>
      </c>
      <c r="C533" s="33" t="s">
        <v>190</v>
      </c>
      <c r="D533" s="33" t="s">
        <v>17</v>
      </c>
      <c r="E533" s="33" t="s">
        <v>18</v>
      </c>
      <c r="F533" s="33" t="s">
        <v>19</v>
      </c>
      <c r="G533" s="33" t="s">
        <v>106</v>
      </c>
      <c r="H533" s="35">
        <v>18</v>
      </c>
      <c r="I533" s="33" t="s">
        <v>21</v>
      </c>
      <c r="J533" s="42">
        <v>43836</v>
      </c>
      <c r="K533" s="33" t="s">
        <v>22</v>
      </c>
    </row>
    <row r="534" spans="1:11">
      <c r="A534" s="30" t="s">
        <v>1434</v>
      </c>
      <c r="B534" s="30" t="s">
        <v>1435</v>
      </c>
      <c r="C534" s="30" t="s">
        <v>1436</v>
      </c>
      <c r="D534" s="30" t="s">
        <v>17</v>
      </c>
      <c r="E534" s="30" t="s">
        <v>26</v>
      </c>
      <c r="F534" s="30" t="s">
        <v>27</v>
      </c>
      <c r="G534" s="30" t="s">
        <v>20</v>
      </c>
      <c r="H534" s="32">
        <v>35</v>
      </c>
      <c r="I534" s="30" t="s">
        <v>21</v>
      </c>
      <c r="J534" s="41">
        <v>43853</v>
      </c>
      <c r="K534" s="30" t="s">
        <v>22</v>
      </c>
    </row>
    <row r="535" spans="1:11">
      <c r="A535" s="33" t="s">
        <v>1437</v>
      </c>
      <c r="B535" s="33" t="s">
        <v>1438</v>
      </c>
      <c r="C535" s="33" t="s">
        <v>96</v>
      </c>
      <c r="D535" s="33" t="s">
        <v>17</v>
      </c>
      <c r="E535" s="33" t="s">
        <v>26</v>
      </c>
      <c r="F535" s="33" t="s">
        <v>27</v>
      </c>
      <c r="G535" s="33" t="s">
        <v>106</v>
      </c>
      <c r="H535" s="35">
        <v>61</v>
      </c>
      <c r="I535" s="33" t="s">
        <v>21</v>
      </c>
      <c r="J535" s="42">
        <v>44029</v>
      </c>
      <c r="K535" s="33" t="s">
        <v>22</v>
      </c>
    </row>
    <row r="536" spans="1:11">
      <c r="A536" s="30" t="s">
        <v>1439</v>
      </c>
      <c r="B536" s="30" t="s">
        <v>1440</v>
      </c>
      <c r="C536" s="30" t="s">
        <v>1441</v>
      </c>
      <c r="D536" s="30" t="s">
        <v>17</v>
      </c>
      <c r="E536" s="30" t="s">
        <v>26</v>
      </c>
      <c r="F536" s="30" t="s">
        <v>27</v>
      </c>
      <c r="G536" s="30" t="s">
        <v>20</v>
      </c>
      <c r="H536" s="32">
        <v>16</v>
      </c>
      <c r="I536" s="30" t="s">
        <v>21</v>
      </c>
      <c r="J536" s="41">
        <v>43951</v>
      </c>
      <c r="K536" s="30" t="s">
        <v>22</v>
      </c>
    </row>
    <row r="537" spans="1:11">
      <c r="A537" s="33" t="s">
        <v>1442</v>
      </c>
      <c r="B537" s="33" t="s">
        <v>1443</v>
      </c>
      <c r="C537" s="33" t="s">
        <v>1444</v>
      </c>
      <c r="D537" s="33" t="s">
        <v>17</v>
      </c>
      <c r="E537" s="33" t="s">
        <v>67</v>
      </c>
      <c r="F537" s="33" t="s">
        <v>68</v>
      </c>
      <c r="G537" s="33" t="s">
        <v>20</v>
      </c>
      <c r="H537" s="35">
        <v>12</v>
      </c>
      <c r="I537" s="33" t="s">
        <v>21</v>
      </c>
      <c r="J537" s="42">
        <v>44048</v>
      </c>
      <c r="K537" s="33" t="s">
        <v>22</v>
      </c>
    </row>
    <row r="538" spans="1:11">
      <c r="A538" s="30" t="s">
        <v>1445</v>
      </c>
      <c r="B538" s="30" t="s">
        <v>1446</v>
      </c>
      <c r="C538" s="30" t="s">
        <v>310</v>
      </c>
      <c r="D538" s="30" t="s">
        <v>17</v>
      </c>
      <c r="E538" s="30" t="s">
        <v>31</v>
      </c>
      <c r="F538" s="30" t="s">
        <v>32</v>
      </c>
      <c r="G538" s="30" t="s">
        <v>20</v>
      </c>
      <c r="H538" s="32">
        <v>275</v>
      </c>
      <c r="I538" s="30" t="s">
        <v>21</v>
      </c>
      <c r="J538" s="41">
        <v>43840</v>
      </c>
      <c r="K538" s="30" t="s">
        <v>22</v>
      </c>
    </row>
    <row r="539" spans="1:11">
      <c r="A539" s="33" t="s">
        <v>1447</v>
      </c>
      <c r="B539" s="33" t="s">
        <v>1448</v>
      </c>
      <c r="C539" s="33" t="s">
        <v>1449</v>
      </c>
      <c r="D539" s="33" t="s">
        <v>17</v>
      </c>
      <c r="E539" s="33" t="s">
        <v>212</v>
      </c>
      <c r="F539" s="33" t="s">
        <v>213</v>
      </c>
      <c r="G539" s="33" t="s">
        <v>106</v>
      </c>
      <c r="H539" s="35">
        <v>115</v>
      </c>
      <c r="I539" s="33" t="s">
        <v>21</v>
      </c>
      <c r="J539" s="42">
        <v>44112</v>
      </c>
      <c r="K539" s="33" t="s">
        <v>22</v>
      </c>
    </row>
    <row r="540" spans="1:11">
      <c r="A540" s="30" t="s">
        <v>1450</v>
      </c>
      <c r="B540" s="30" t="s">
        <v>1451</v>
      </c>
      <c r="C540" s="30" t="s">
        <v>647</v>
      </c>
      <c r="D540" s="30" t="s">
        <v>17</v>
      </c>
      <c r="E540" s="30" t="s">
        <v>18</v>
      </c>
      <c r="F540" s="30" t="s">
        <v>19</v>
      </c>
      <c r="G540" s="30" t="s">
        <v>20</v>
      </c>
      <c r="H540" s="32">
        <v>895</v>
      </c>
      <c r="I540" s="30" t="s">
        <v>21</v>
      </c>
      <c r="J540" s="41">
        <v>44195</v>
      </c>
      <c r="K540" s="30" t="s">
        <v>22</v>
      </c>
    </row>
    <row r="541" spans="1:11">
      <c r="A541" s="33" t="s">
        <v>1452</v>
      </c>
      <c r="B541" s="33" t="s">
        <v>1453</v>
      </c>
      <c r="C541" s="33" t="s">
        <v>149</v>
      </c>
      <c r="D541" s="33" t="s">
        <v>17</v>
      </c>
      <c r="E541" s="33" t="s">
        <v>26</v>
      </c>
      <c r="F541" s="33" t="s">
        <v>27</v>
      </c>
      <c r="G541" s="33" t="s">
        <v>20</v>
      </c>
      <c r="H541" s="35">
        <v>396</v>
      </c>
      <c r="I541" s="33" t="s">
        <v>21</v>
      </c>
      <c r="J541" s="42">
        <v>44081</v>
      </c>
      <c r="K541" s="33" t="s">
        <v>22</v>
      </c>
    </row>
    <row r="542" spans="1:11">
      <c r="A542" s="30" t="s">
        <v>1454</v>
      </c>
      <c r="B542" s="30" t="s">
        <v>1455</v>
      </c>
      <c r="C542" s="30" t="s">
        <v>149</v>
      </c>
      <c r="D542" s="30" t="s">
        <v>17</v>
      </c>
      <c r="E542" s="30" t="s">
        <v>26</v>
      </c>
      <c r="F542" s="30" t="s">
        <v>27</v>
      </c>
      <c r="G542" s="30" t="s">
        <v>20</v>
      </c>
      <c r="H542" s="32">
        <v>97</v>
      </c>
      <c r="I542" s="30" t="s">
        <v>21</v>
      </c>
      <c r="J542" s="41">
        <v>43979</v>
      </c>
      <c r="K542" s="30" t="s">
        <v>22</v>
      </c>
    </row>
    <row r="543" spans="1:11">
      <c r="A543" s="33" t="s">
        <v>1456</v>
      </c>
      <c r="B543" s="33" t="s">
        <v>1457</v>
      </c>
      <c r="C543" s="33" t="s">
        <v>1458</v>
      </c>
      <c r="D543" s="33" t="s">
        <v>17</v>
      </c>
      <c r="E543" s="33" t="s">
        <v>26</v>
      </c>
      <c r="F543" s="33" t="s">
        <v>27</v>
      </c>
      <c r="G543" s="33" t="s">
        <v>20</v>
      </c>
      <c r="H543" s="35">
        <v>32</v>
      </c>
      <c r="I543" s="33" t="s">
        <v>21</v>
      </c>
      <c r="J543" s="42">
        <v>44090</v>
      </c>
      <c r="K543" s="33" t="s">
        <v>22</v>
      </c>
    </row>
    <row r="544" spans="1:11">
      <c r="A544" s="30" t="s">
        <v>1459</v>
      </c>
      <c r="B544" s="30" t="s">
        <v>1460</v>
      </c>
      <c r="C544" s="30" t="s">
        <v>1461</v>
      </c>
      <c r="D544" s="30" t="s">
        <v>17</v>
      </c>
      <c r="E544" s="30" t="s">
        <v>31</v>
      </c>
      <c r="F544" s="30" t="s">
        <v>32</v>
      </c>
      <c r="G544" s="30" t="s">
        <v>112</v>
      </c>
      <c r="H544" s="32">
        <v>0</v>
      </c>
      <c r="I544" s="30" t="s">
        <v>21</v>
      </c>
      <c r="J544" s="41">
        <v>43922</v>
      </c>
      <c r="K544" s="30" t="s">
        <v>22</v>
      </c>
    </row>
    <row r="545" spans="1:11">
      <c r="A545" s="33" t="s">
        <v>1462</v>
      </c>
      <c r="B545" s="33" t="s">
        <v>1463</v>
      </c>
      <c r="C545" s="33" t="s">
        <v>410</v>
      </c>
      <c r="D545" s="33" t="s">
        <v>17</v>
      </c>
      <c r="E545" s="33" t="s">
        <v>67</v>
      </c>
      <c r="F545" s="33" t="s">
        <v>68</v>
      </c>
      <c r="G545" s="33" t="s">
        <v>106</v>
      </c>
      <c r="H545" s="35">
        <v>16</v>
      </c>
      <c r="I545" s="33" t="s">
        <v>21</v>
      </c>
      <c r="J545" s="42">
        <v>44144</v>
      </c>
      <c r="K545" s="33" t="s">
        <v>22</v>
      </c>
    </row>
    <row r="546" spans="1:11">
      <c r="A546" s="30" t="s">
        <v>1464</v>
      </c>
      <c r="B546" s="30" t="s">
        <v>1465</v>
      </c>
      <c r="C546" s="30" t="s">
        <v>1466</v>
      </c>
      <c r="D546" s="30" t="s">
        <v>17</v>
      </c>
      <c r="E546" s="30" t="s">
        <v>67</v>
      </c>
      <c r="F546" s="30" t="s">
        <v>68</v>
      </c>
      <c r="G546" s="30" t="s">
        <v>158</v>
      </c>
      <c r="H546" s="32">
        <v>125</v>
      </c>
      <c r="I546" s="30" t="s">
        <v>21</v>
      </c>
      <c r="J546" s="41">
        <v>44013</v>
      </c>
      <c r="K546" s="30" t="s">
        <v>22</v>
      </c>
    </row>
    <row r="547" spans="1:11">
      <c r="A547" s="33" t="s">
        <v>1467</v>
      </c>
      <c r="B547" s="33" t="s">
        <v>1468</v>
      </c>
      <c r="C547" s="33" t="s">
        <v>1469</v>
      </c>
      <c r="D547" s="33" t="s">
        <v>17</v>
      </c>
      <c r="E547" s="33" t="s">
        <v>18</v>
      </c>
      <c r="F547" s="33" t="s">
        <v>19</v>
      </c>
      <c r="G547" s="33" t="s">
        <v>20</v>
      </c>
      <c r="H547" s="35">
        <v>274</v>
      </c>
      <c r="I547" s="33" t="s">
        <v>21</v>
      </c>
      <c r="J547" s="42">
        <v>44054</v>
      </c>
      <c r="K547" s="33" t="s">
        <v>22</v>
      </c>
    </row>
    <row r="548" spans="1:11">
      <c r="A548" s="30" t="s">
        <v>1470</v>
      </c>
      <c r="B548" s="30" t="s">
        <v>1471</v>
      </c>
      <c r="C548" s="30" t="s">
        <v>1210</v>
      </c>
      <c r="D548" s="30" t="s">
        <v>17</v>
      </c>
      <c r="E548" s="30" t="s">
        <v>18</v>
      </c>
      <c r="F548" s="30" t="s">
        <v>19</v>
      </c>
      <c r="G548" s="30" t="s">
        <v>20</v>
      </c>
      <c r="H548" s="32">
        <v>155</v>
      </c>
      <c r="I548" s="30" t="s">
        <v>21</v>
      </c>
      <c r="J548" s="41">
        <v>44144</v>
      </c>
      <c r="K548" s="30" t="s">
        <v>22</v>
      </c>
    </row>
    <row r="549" spans="1:11">
      <c r="A549" s="33" t="s">
        <v>1472</v>
      </c>
      <c r="B549" s="33" t="s">
        <v>1473</v>
      </c>
      <c r="C549" s="33" t="s">
        <v>1474</v>
      </c>
      <c r="D549" s="33" t="s">
        <v>17</v>
      </c>
      <c r="E549" s="33" t="s">
        <v>67</v>
      </c>
      <c r="F549" s="33" t="s">
        <v>68</v>
      </c>
      <c r="G549" s="33" t="s">
        <v>50</v>
      </c>
      <c r="H549" s="35">
        <v>60</v>
      </c>
      <c r="I549" s="33" t="s">
        <v>51</v>
      </c>
      <c r="J549" s="42">
        <v>44075</v>
      </c>
      <c r="K549" s="33" t="s">
        <v>22</v>
      </c>
    </row>
    <row r="550" spans="1:11">
      <c r="A550" s="30" t="s">
        <v>1475</v>
      </c>
      <c r="B550" s="30" t="s">
        <v>1476</v>
      </c>
      <c r="C550" s="30" t="s">
        <v>1477</v>
      </c>
      <c r="D550" s="30" t="s">
        <v>17</v>
      </c>
      <c r="E550" s="30" t="s">
        <v>67</v>
      </c>
      <c r="F550" s="30" t="s">
        <v>68</v>
      </c>
      <c r="G550" s="30" t="s">
        <v>50</v>
      </c>
      <c r="H550" s="32">
        <v>48</v>
      </c>
      <c r="I550" s="30" t="s">
        <v>51</v>
      </c>
      <c r="J550" s="41">
        <v>44125</v>
      </c>
      <c r="K550" s="30" t="s">
        <v>22</v>
      </c>
    </row>
    <row r="551" spans="1:11">
      <c r="A551" s="33" t="s">
        <v>1478</v>
      </c>
      <c r="B551" s="33" t="s">
        <v>1479</v>
      </c>
      <c r="C551" s="33" t="s">
        <v>1480</v>
      </c>
      <c r="D551" s="33" t="s">
        <v>17</v>
      </c>
      <c r="E551" s="33" t="s">
        <v>18</v>
      </c>
      <c r="F551" s="33" t="s">
        <v>19</v>
      </c>
      <c r="G551" s="33" t="s">
        <v>20</v>
      </c>
      <c r="H551" s="35">
        <v>498</v>
      </c>
      <c r="I551" s="33" t="s">
        <v>21</v>
      </c>
      <c r="J551" s="42">
        <v>44154</v>
      </c>
      <c r="K551" s="33" t="s">
        <v>22</v>
      </c>
    </row>
    <row r="552" spans="1:11">
      <c r="A552" s="30" t="s">
        <v>1481</v>
      </c>
      <c r="B552" s="30" t="s">
        <v>1482</v>
      </c>
      <c r="C552" s="30" t="s">
        <v>1483</v>
      </c>
      <c r="D552" s="30" t="s">
        <v>17</v>
      </c>
      <c r="E552" s="30" t="s">
        <v>26</v>
      </c>
      <c r="F552" s="30" t="s">
        <v>27</v>
      </c>
      <c r="G552" s="30" t="s">
        <v>20</v>
      </c>
      <c r="H552" s="32">
        <v>32</v>
      </c>
      <c r="I552" s="30" t="s">
        <v>21</v>
      </c>
      <c r="J552" s="41">
        <v>44050</v>
      </c>
      <c r="K552" s="30" t="s">
        <v>22</v>
      </c>
    </row>
    <row r="553" spans="1:11">
      <c r="A553" s="33" t="s">
        <v>1484</v>
      </c>
      <c r="B553" s="33" t="s">
        <v>1485</v>
      </c>
      <c r="C553" s="33" t="s">
        <v>231</v>
      </c>
      <c r="D553" s="33" t="s">
        <v>17</v>
      </c>
      <c r="E553" s="33" t="s">
        <v>26</v>
      </c>
      <c r="F553" s="33" t="s">
        <v>27</v>
      </c>
      <c r="G553" s="33" t="s">
        <v>20</v>
      </c>
      <c r="H553" s="35">
        <v>18</v>
      </c>
      <c r="I553" s="33" t="s">
        <v>21</v>
      </c>
      <c r="J553" s="42">
        <v>44180</v>
      </c>
      <c r="K553" s="33" t="s">
        <v>22</v>
      </c>
    </row>
    <row r="554" spans="1:11">
      <c r="A554" s="30" t="s">
        <v>1486</v>
      </c>
      <c r="B554" s="30" t="s">
        <v>1487</v>
      </c>
      <c r="C554" s="30" t="s">
        <v>329</v>
      </c>
      <c r="D554" s="30" t="s">
        <v>17</v>
      </c>
      <c r="E554" s="30" t="s">
        <v>31</v>
      </c>
      <c r="F554" s="30" t="s">
        <v>32</v>
      </c>
      <c r="G554" s="30" t="s">
        <v>20</v>
      </c>
      <c r="H554" s="32">
        <v>480</v>
      </c>
      <c r="I554" s="30" t="s">
        <v>21</v>
      </c>
      <c r="J554" s="41">
        <v>44098</v>
      </c>
      <c r="K554" s="30" t="s">
        <v>22</v>
      </c>
    </row>
    <row r="555" spans="1:11">
      <c r="A555" s="33" t="s">
        <v>1488</v>
      </c>
      <c r="B555" s="33" t="s">
        <v>1489</v>
      </c>
      <c r="C555" s="33" t="s">
        <v>1490</v>
      </c>
      <c r="D555" s="33" t="s">
        <v>17</v>
      </c>
      <c r="E555" s="33" t="s">
        <v>67</v>
      </c>
      <c r="F555" s="33" t="s">
        <v>68</v>
      </c>
      <c r="G555" s="33" t="s">
        <v>20</v>
      </c>
      <c r="H555" s="35">
        <v>52</v>
      </c>
      <c r="I555" s="33" t="s">
        <v>21</v>
      </c>
      <c r="J555" s="42">
        <v>44077</v>
      </c>
      <c r="K555" s="33" t="s">
        <v>22</v>
      </c>
    </row>
    <row r="556" spans="1:11">
      <c r="A556" s="30" t="s">
        <v>1491</v>
      </c>
      <c r="B556" s="30" t="s">
        <v>1492</v>
      </c>
      <c r="C556" s="30" t="s">
        <v>1493</v>
      </c>
      <c r="D556" s="30" t="s">
        <v>17</v>
      </c>
      <c r="E556" s="30" t="s">
        <v>26</v>
      </c>
      <c r="F556" s="30" t="s">
        <v>27</v>
      </c>
      <c r="G556" s="30" t="s">
        <v>20</v>
      </c>
      <c r="H556" s="32">
        <v>80</v>
      </c>
      <c r="I556" s="30" t="s">
        <v>21</v>
      </c>
      <c r="J556" s="41">
        <v>44056</v>
      </c>
      <c r="K556" s="30" t="s">
        <v>22</v>
      </c>
    </row>
    <row r="557" spans="1:11">
      <c r="A557" s="33" t="s">
        <v>1494</v>
      </c>
      <c r="B557" s="33" t="s">
        <v>1495</v>
      </c>
      <c r="C557" s="33" t="s">
        <v>203</v>
      </c>
      <c r="D557" s="33" t="s">
        <v>17</v>
      </c>
      <c r="E557" s="33" t="s">
        <v>26</v>
      </c>
      <c r="F557" s="33" t="s">
        <v>27</v>
      </c>
      <c r="G557" s="33" t="s">
        <v>106</v>
      </c>
      <c r="H557" s="35">
        <v>8</v>
      </c>
      <c r="I557" s="33" t="s">
        <v>21</v>
      </c>
      <c r="J557" s="42">
        <v>43933</v>
      </c>
      <c r="K557" s="33" t="s">
        <v>22</v>
      </c>
    </row>
    <row r="558" spans="1:11">
      <c r="A558" s="30" t="s">
        <v>1496</v>
      </c>
      <c r="B558" s="30" t="s">
        <v>1497</v>
      </c>
      <c r="C558" s="30" t="s">
        <v>1498</v>
      </c>
      <c r="D558" s="30" t="s">
        <v>17</v>
      </c>
      <c r="E558" s="30" t="s">
        <v>18</v>
      </c>
      <c r="F558" s="30" t="s">
        <v>19</v>
      </c>
      <c r="G558" s="30" t="s">
        <v>20</v>
      </c>
      <c r="H558" s="32">
        <v>634</v>
      </c>
      <c r="I558" s="30" t="s">
        <v>21</v>
      </c>
      <c r="J558" s="41">
        <v>44174</v>
      </c>
      <c r="K558" s="30" t="s">
        <v>22</v>
      </c>
    </row>
    <row r="559" spans="1:11">
      <c r="A559" s="33" t="s">
        <v>1499</v>
      </c>
      <c r="B559" s="33" t="s">
        <v>1500</v>
      </c>
      <c r="C559" s="33" t="s">
        <v>1501</v>
      </c>
      <c r="D559" s="33" t="s">
        <v>17</v>
      </c>
      <c r="E559" s="33" t="s">
        <v>31</v>
      </c>
      <c r="F559" s="33" t="s">
        <v>32</v>
      </c>
      <c r="G559" s="33" t="s">
        <v>50</v>
      </c>
      <c r="H559" s="35">
        <v>78</v>
      </c>
      <c r="I559" s="33" t="s">
        <v>51</v>
      </c>
      <c r="J559" s="42">
        <v>44105</v>
      </c>
      <c r="K559" s="33" t="s">
        <v>22</v>
      </c>
    </row>
    <row r="560" spans="1:11">
      <c r="A560" s="30" t="s">
        <v>1502</v>
      </c>
      <c r="B560" s="30" t="s">
        <v>1503</v>
      </c>
      <c r="C560" s="30" t="s">
        <v>1504</v>
      </c>
      <c r="D560" s="30" t="s">
        <v>17</v>
      </c>
      <c r="E560" s="30" t="s">
        <v>26</v>
      </c>
      <c r="F560" s="30" t="s">
        <v>27</v>
      </c>
      <c r="G560" s="30" t="s">
        <v>50</v>
      </c>
      <c r="H560" s="32">
        <v>21</v>
      </c>
      <c r="I560" s="30" t="s">
        <v>51</v>
      </c>
      <c r="J560" s="41">
        <v>44077</v>
      </c>
      <c r="K560" s="30" t="s">
        <v>22</v>
      </c>
    </row>
    <row r="561" spans="1:11">
      <c r="A561" s="33" t="s">
        <v>1505</v>
      </c>
      <c r="B561" s="33" t="s">
        <v>1506</v>
      </c>
      <c r="C561" s="33" t="s">
        <v>93</v>
      </c>
      <c r="D561" s="33" t="s">
        <v>17</v>
      </c>
      <c r="E561" s="33" t="s">
        <v>18</v>
      </c>
      <c r="F561" s="33" t="s">
        <v>19</v>
      </c>
      <c r="G561" s="33" t="s">
        <v>20</v>
      </c>
      <c r="H561" s="35">
        <v>174</v>
      </c>
      <c r="I561" s="33" t="s">
        <v>21</v>
      </c>
      <c r="J561" s="42">
        <v>44123</v>
      </c>
      <c r="K561" s="33" t="s">
        <v>22</v>
      </c>
    </row>
    <row r="562" spans="1:11">
      <c r="A562" s="30" t="s">
        <v>1507</v>
      </c>
      <c r="B562" s="30" t="s">
        <v>1508</v>
      </c>
      <c r="C562" s="30" t="s">
        <v>1509</v>
      </c>
      <c r="D562" s="30" t="s">
        <v>17</v>
      </c>
      <c r="E562" s="30" t="s">
        <v>26</v>
      </c>
      <c r="F562" s="30" t="s">
        <v>27</v>
      </c>
      <c r="G562" s="30" t="s">
        <v>112</v>
      </c>
      <c r="H562" s="32">
        <v>0</v>
      </c>
      <c r="I562" s="30" t="s">
        <v>21</v>
      </c>
      <c r="J562" s="41">
        <v>44135</v>
      </c>
      <c r="K562" s="30" t="s">
        <v>22</v>
      </c>
    </row>
    <row r="563" spans="1:11">
      <c r="A563" s="33" t="s">
        <v>1510</v>
      </c>
      <c r="B563" s="33" t="s">
        <v>1511</v>
      </c>
      <c r="C563" s="33" t="s">
        <v>318</v>
      </c>
      <c r="D563" s="33" t="s">
        <v>17</v>
      </c>
      <c r="E563" s="33" t="s">
        <v>18</v>
      </c>
      <c r="F563" s="33" t="s">
        <v>19</v>
      </c>
      <c r="G563" s="33" t="s">
        <v>158</v>
      </c>
      <c r="H563" s="35">
        <v>238</v>
      </c>
      <c r="I563" s="33" t="s">
        <v>21</v>
      </c>
      <c r="J563" s="42">
        <v>44119</v>
      </c>
      <c r="K563" s="33" t="s">
        <v>22</v>
      </c>
    </row>
    <row r="564" spans="1:11">
      <c r="A564" s="30" t="s">
        <v>1512</v>
      </c>
      <c r="B564" s="30" t="s">
        <v>1513</v>
      </c>
      <c r="C564" s="30" t="s">
        <v>1514</v>
      </c>
      <c r="D564" s="30" t="s">
        <v>17</v>
      </c>
      <c r="E564" s="30" t="s">
        <v>31</v>
      </c>
      <c r="F564" s="30" t="s">
        <v>32</v>
      </c>
      <c r="G564" s="30" t="s">
        <v>20</v>
      </c>
      <c r="H564" s="32">
        <v>12</v>
      </c>
      <c r="I564" s="30" t="s">
        <v>21</v>
      </c>
      <c r="J564" s="41">
        <v>44160</v>
      </c>
      <c r="K564" s="30" t="s">
        <v>22</v>
      </c>
    </row>
    <row r="565" spans="1:11">
      <c r="A565" s="33" t="s">
        <v>1515</v>
      </c>
      <c r="B565" s="33" t="s">
        <v>1516</v>
      </c>
      <c r="C565" s="33" t="s">
        <v>1517</v>
      </c>
      <c r="D565" s="33" t="s">
        <v>17</v>
      </c>
      <c r="E565" s="33" t="s">
        <v>212</v>
      </c>
      <c r="F565" s="33" t="s">
        <v>213</v>
      </c>
      <c r="G565" s="33" t="s">
        <v>112</v>
      </c>
      <c r="H565" s="35">
        <v>0</v>
      </c>
      <c r="I565" s="33" t="s">
        <v>21</v>
      </c>
      <c r="J565" s="42">
        <v>43831</v>
      </c>
      <c r="K565" s="33" t="s">
        <v>22</v>
      </c>
    </row>
    <row r="566" spans="1:11">
      <c r="A566" s="30" t="s">
        <v>1518</v>
      </c>
      <c r="B566" s="30" t="s">
        <v>1519</v>
      </c>
      <c r="C566" s="30" t="s">
        <v>1520</v>
      </c>
      <c r="D566" s="30" t="s">
        <v>17</v>
      </c>
      <c r="E566" s="30" t="s">
        <v>67</v>
      </c>
      <c r="F566" s="30" t="s">
        <v>68</v>
      </c>
      <c r="G566" s="30" t="s">
        <v>20</v>
      </c>
      <c r="H566" s="32">
        <v>25</v>
      </c>
      <c r="I566" s="30" t="s">
        <v>21</v>
      </c>
      <c r="J566" s="41">
        <v>44134</v>
      </c>
      <c r="K566" s="30" t="s">
        <v>22</v>
      </c>
    </row>
    <row r="567" spans="1:11">
      <c r="A567" s="33" t="s">
        <v>1521</v>
      </c>
      <c r="B567" s="33" t="s">
        <v>1522</v>
      </c>
      <c r="C567" s="33" t="s">
        <v>1523</v>
      </c>
      <c r="D567" s="33" t="s">
        <v>17</v>
      </c>
      <c r="E567" s="33" t="s">
        <v>26</v>
      </c>
      <c r="F567" s="33" t="s">
        <v>27</v>
      </c>
      <c r="G567" s="33" t="s">
        <v>20</v>
      </c>
      <c r="H567" s="35">
        <v>80</v>
      </c>
      <c r="I567" s="33" t="s">
        <v>21</v>
      </c>
      <c r="J567" s="42">
        <v>43840</v>
      </c>
      <c r="K567" s="33" t="s">
        <v>22</v>
      </c>
    </row>
    <row r="568" spans="1:11">
      <c r="A568" s="30" t="s">
        <v>1524</v>
      </c>
      <c r="B568" s="30" t="s">
        <v>1525</v>
      </c>
      <c r="C568" s="30" t="s">
        <v>1526</v>
      </c>
      <c r="D568" s="30" t="s">
        <v>17</v>
      </c>
      <c r="E568" s="30" t="s">
        <v>67</v>
      </c>
      <c r="F568" s="30" t="s">
        <v>68</v>
      </c>
      <c r="G568" s="30" t="s">
        <v>50</v>
      </c>
      <c r="H568" s="32">
        <v>12</v>
      </c>
      <c r="I568" s="30" t="s">
        <v>51</v>
      </c>
      <c r="J568" s="41">
        <v>44005</v>
      </c>
      <c r="K568" s="30" t="s">
        <v>22</v>
      </c>
    </row>
    <row r="569" spans="1:11">
      <c r="A569" s="33" t="s">
        <v>1527</v>
      </c>
      <c r="B569" s="33" t="s">
        <v>1528</v>
      </c>
      <c r="C569" s="33" t="s">
        <v>1529</v>
      </c>
      <c r="D569" s="33" t="s">
        <v>17</v>
      </c>
      <c r="E569" s="33" t="s">
        <v>67</v>
      </c>
      <c r="F569" s="33" t="s">
        <v>68</v>
      </c>
      <c r="G569" s="33" t="s">
        <v>50</v>
      </c>
      <c r="H569" s="35">
        <v>24</v>
      </c>
      <c r="I569" s="33" t="s">
        <v>51</v>
      </c>
      <c r="J569" s="42">
        <v>44075</v>
      </c>
      <c r="K569" s="33" t="s">
        <v>22</v>
      </c>
    </row>
    <row r="570" spans="1:11">
      <c r="A570" s="30" t="s">
        <v>1530</v>
      </c>
      <c r="B570" s="30" t="s">
        <v>1531</v>
      </c>
      <c r="C570" s="30" t="s">
        <v>252</v>
      </c>
      <c r="D570" s="30" t="s">
        <v>17</v>
      </c>
      <c r="E570" s="30" t="s">
        <v>31</v>
      </c>
      <c r="F570" s="30" t="s">
        <v>32</v>
      </c>
      <c r="G570" s="30" t="s">
        <v>20</v>
      </c>
      <c r="H570" s="32">
        <v>30</v>
      </c>
      <c r="I570" s="30" t="s">
        <v>21</v>
      </c>
      <c r="J570" s="41">
        <v>44027</v>
      </c>
      <c r="K570" s="30" t="s">
        <v>22</v>
      </c>
    </row>
    <row r="571" spans="1:11">
      <c r="A571" s="33" t="s">
        <v>1532</v>
      </c>
      <c r="B571" s="33" t="s">
        <v>1533</v>
      </c>
      <c r="C571" s="33" t="s">
        <v>1534</v>
      </c>
      <c r="D571" s="33" t="s">
        <v>17</v>
      </c>
      <c r="E571" s="33" t="s">
        <v>67</v>
      </c>
      <c r="F571" s="33" t="s">
        <v>68</v>
      </c>
      <c r="G571" s="33" t="s">
        <v>106</v>
      </c>
      <c r="H571" s="35">
        <v>12</v>
      </c>
      <c r="I571" s="33" t="s">
        <v>21</v>
      </c>
      <c r="J571" s="42">
        <v>43831</v>
      </c>
      <c r="K571" s="33" t="s">
        <v>22</v>
      </c>
    </row>
    <row r="572" spans="1:11">
      <c r="A572" s="30" t="s">
        <v>1535</v>
      </c>
      <c r="B572" s="30" t="s">
        <v>1536</v>
      </c>
      <c r="C572" s="30" t="s">
        <v>969</v>
      </c>
      <c r="D572" s="30" t="s">
        <v>17</v>
      </c>
      <c r="E572" s="30" t="s">
        <v>31</v>
      </c>
      <c r="F572" s="30" t="s">
        <v>32</v>
      </c>
      <c r="G572" s="30" t="s">
        <v>20</v>
      </c>
      <c r="H572" s="32">
        <v>12</v>
      </c>
      <c r="I572" s="30" t="s">
        <v>21</v>
      </c>
      <c r="J572" s="41">
        <v>44110</v>
      </c>
      <c r="K572" s="30" t="s">
        <v>22</v>
      </c>
    </row>
    <row r="573" spans="1:11">
      <c r="A573" s="33" t="s">
        <v>1537</v>
      </c>
      <c r="B573" s="33" t="s">
        <v>1538</v>
      </c>
      <c r="C573" s="33" t="s">
        <v>936</v>
      </c>
      <c r="D573" s="33" t="s">
        <v>17</v>
      </c>
      <c r="E573" s="33" t="s">
        <v>18</v>
      </c>
      <c r="F573" s="33" t="s">
        <v>19</v>
      </c>
      <c r="G573" s="33" t="s">
        <v>106</v>
      </c>
      <c r="H573" s="35">
        <v>21</v>
      </c>
      <c r="I573" s="33" t="s">
        <v>21</v>
      </c>
      <c r="J573" s="42">
        <v>43889</v>
      </c>
      <c r="K573" s="33" t="s">
        <v>22</v>
      </c>
    </row>
    <row r="574" spans="1:11">
      <c r="A574" s="30" t="s">
        <v>1539</v>
      </c>
      <c r="B574" s="30" t="s">
        <v>1540</v>
      </c>
      <c r="C574" s="30" t="s">
        <v>190</v>
      </c>
      <c r="D574" s="30" t="s">
        <v>17</v>
      </c>
      <c r="E574" s="30" t="s">
        <v>31</v>
      </c>
      <c r="F574" s="30" t="s">
        <v>32</v>
      </c>
      <c r="G574" s="30" t="s">
        <v>106</v>
      </c>
      <c r="H574" s="32">
        <v>613</v>
      </c>
      <c r="I574" s="30" t="s">
        <v>21</v>
      </c>
      <c r="J574" s="41">
        <v>44105</v>
      </c>
      <c r="K574" s="30" t="s">
        <v>22</v>
      </c>
    </row>
    <row r="575" spans="1:11">
      <c r="A575" s="33" t="s">
        <v>1541</v>
      </c>
      <c r="B575" s="33" t="s">
        <v>1542</v>
      </c>
      <c r="C575" s="33" t="s">
        <v>1543</v>
      </c>
      <c r="D575" s="33" t="s">
        <v>17</v>
      </c>
      <c r="E575" s="33" t="s">
        <v>26</v>
      </c>
      <c r="F575" s="33" t="s">
        <v>27</v>
      </c>
      <c r="G575" s="33" t="s">
        <v>20</v>
      </c>
      <c r="H575" s="35">
        <v>17</v>
      </c>
      <c r="I575" s="33" t="s">
        <v>21</v>
      </c>
      <c r="J575" s="42">
        <v>44161</v>
      </c>
      <c r="K575" s="33" t="s">
        <v>22</v>
      </c>
    </row>
    <row r="576" spans="1:11">
      <c r="A576" s="30" t="s">
        <v>1544</v>
      </c>
      <c r="B576" s="30" t="s">
        <v>1545</v>
      </c>
      <c r="C576" s="30" t="s">
        <v>674</v>
      </c>
      <c r="D576" s="30" t="s">
        <v>17</v>
      </c>
      <c r="E576" s="30" t="s">
        <v>18</v>
      </c>
      <c r="F576" s="30" t="s">
        <v>19</v>
      </c>
      <c r="G576" s="30" t="s">
        <v>20</v>
      </c>
      <c r="H576" s="32">
        <v>615</v>
      </c>
      <c r="I576" s="30" t="s">
        <v>21</v>
      </c>
      <c r="J576" s="41">
        <v>43969</v>
      </c>
      <c r="K576" s="30" t="s">
        <v>22</v>
      </c>
    </row>
    <row r="577" spans="1:11">
      <c r="A577" s="33" t="s">
        <v>1546</v>
      </c>
      <c r="B577" s="33" t="s">
        <v>1547</v>
      </c>
      <c r="C577" s="33" t="s">
        <v>1548</v>
      </c>
      <c r="D577" s="33" t="s">
        <v>17</v>
      </c>
      <c r="E577" s="33" t="s">
        <v>31</v>
      </c>
      <c r="F577" s="33" t="s">
        <v>32</v>
      </c>
      <c r="G577" s="33" t="s">
        <v>20</v>
      </c>
      <c r="H577" s="35">
        <v>6</v>
      </c>
      <c r="I577" s="33" t="s">
        <v>21</v>
      </c>
      <c r="J577" s="42">
        <v>44119</v>
      </c>
      <c r="K577" s="33" t="s">
        <v>22</v>
      </c>
    </row>
    <row r="578" spans="1:11">
      <c r="A578" s="30" t="s">
        <v>1549</v>
      </c>
      <c r="B578" s="30" t="s">
        <v>1550</v>
      </c>
      <c r="C578" s="30" t="s">
        <v>957</v>
      </c>
      <c r="D578" s="30" t="s">
        <v>17</v>
      </c>
      <c r="E578" s="30" t="s">
        <v>26</v>
      </c>
      <c r="F578" s="30" t="s">
        <v>27</v>
      </c>
      <c r="G578" s="30" t="s">
        <v>20</v>
      </c>
      <c r="H578" s="32">
        <v>15</v>
      </c>
      <c r="I578" s="30" t="s">
        <v>21</v>
      </c>
      <c r="J578" s="41">
        <v>44104</v>
      </c>
      <c r="K578" s="30" t="s">
        <v>22</v>
      </c>
    </row>
    <row r="579" spans="1:11">
      <c r="A579" s="33" t="s">
        <v>1551</v>
      </c>
      <c r="B579" s="33" t="s">
        <v>1552</v>
      </c>
      <c r="C579" s="33" t="s">
        <v>1003</v>
      </c>
      <c r="D579" s="33" t="s">
        <v>17</v>
      </c>
      <c r="E579" s="33" t="s">
        <v>67</v>
      </c>
      <c r="F579" s="33" t="s">
        <v>68</v>
      </c>
      <c r="G579" s="33" t="s">
        <v>20</v>
      </c>
      <c r="H579" s="35">
        <v>107</v>
      </c>
      <c r="I579" s="33" t="s">
        <v>21</v>
      </c>
      <c r="J579" s="42">
        <v>44118</v>
      </c>
      <c r="K579" s="33" t="s">
        <v>22</v>
      </c>
    </row>
    <row r="580" spans="1:11">
      <c r="A580" s="30" t="s">
        <v>1553</v>
      </c>
      <c r="B580" s="30" t="s">
        <v>1554</v>
      </c>
      <c r="C580" s="30" t="s">
        <v>1555</v>
      </c>
      <c r="D580" s="30" t="s">
        <v>17</v>
      </c>
      <c r="E580" s="30" t="s">
        <v>26</v>
      </c>
      <c r="F580" s="30" t="s">
        <v>27</v>
      </c>
      <c r="G580" s="30" t="s">
        <v>20</v>
      </c>
      <c r="H580" s="32">
        <v>36</v>
      </c>
      <c r="I580" s="30" t="s">
        <v>21</v>
      </c>
      <c r="J580" s="41">
        <v>44015</v>
      </c>
      <c r="K580" s="30" t="s">
        <v>22</v>
      </c>
    </row>
    <row r="581" spans="1:11">
      <c r="A581" s="33" t="s">
        <v>1556</v>
      </c>
      <c r="B581" s="33" t="s">
        <v>1557</v>
      </c>
      <c r="C581" s="33" t="s">
        <v>1558</v>
      </c>
      <c r="D581" s="33" t="s">
        <v>17</v>
      </c>
      <c r="E581" s="33" t="s">
        <v>31</v>
      </c>
      <c r="F581" s="33" t="s">
        <v>32</v>
      </c>
      <c r="G581" s="33" t="s">
        <v>50</v>
      </c>
      <c r="H581" s="35">
        <v>38</v>
      </c>
      <c r="I581" s="33" t="s">
        <v>51</v>
      </c>
      <c r="J581" s="42">
        <v>44057</v>
      </c>
      <c r="K581" s="33" t="s">
        <v>22</v>
      </c>
    </row>
    <row r="582" spans="1:11">
      <c r="A582" s="30" t="s">
        <v>1559</v>
      </c>
      <c r="B582" s="30" t="s">
        <v>1560</v>
      </c>
      <c r="C582" s="30" t="s">
        <v>1561</v>
      </c>
      <c r="D582" s="30" t="s">
        <v>17</v>
      </c>
      <c r="E582" s="30" t="s">
        <v>26</v>
      </c>
      <c r="F582" s="30" t="s">
        <v>27</v>
      </c>
      <c r="G582" s="30" t="s">
        <v>20</v>
      </c>
      <c r="H582" s="32">
        <v>42</v>
      </c>
      <c r="I582" s="30" t="s">
        <v>21</v>
      </c>
      <c r="J582" s="41">
        <v>44082</v>
      </c>
      <c r="K582" s="30" t="s">
        <v>22</v>
      </c>
    </row>
    <row r="583" spans="1:11">
      <c r="A583" s="33" t="s">
        <v>1562</v>
      </c>
      <c r="B583" s="33" t="s">
        <v>1563</v>
      </c>
      <c r="C583" s="33" t="s">
        <v>1136</v>
      </c>
      <c r="D583" s="33" t="s">
        <v>17</v>
      </c>
      <c r="E583" s="33" t="s">
        <v>212</v>
      </c>
      <c r="F583" s="33" t="s">
        <v>213</v>
      </c>
      <c r="G583" s="33" t="s">
        <v>20</v>
      </c>
      <c r="H583" s="35">
        <v>90</v>
      </c>
      <c r="I583" s="33" t="s">
        <v>21</v>
      </c>
      <c r="J583" s="42">
        <v>44090</v>
      </c>
      <c r="K583" s="33" t="s">
        <v>22</v>
      </c>
    </row>
    <row r="584" spans="1:11">
      <c r="A584" s="30" t="s">
        <v>1564</v>
      </c>
      <c r="B584" s="30" t="s">
        <v>1565</v>
      </c>
      <c r="C584" s="30" t="s">
        <v>1566</v>
      </c>
      <c r="D584" s="30" t="s">
        <v>17</v>
      </c>
      <c r="E584" s="30" t="s">
        <v>67</v>
      </c>
      <c r="F584" s="30" t="s">
        <v>68</v>
      </c>
      <c r="G584" s="30" t="s">
        <v>20</v>
      </c>
      <c r="H584" s="32">
        <v>150</v>
      </c>
      <c r="I584" s="30" t="s">
        <v>21</v>
      </c>
      <c r="J584" s="41">
        <v>44013</v>
      </c>
      <c r="K584" s="30" t="s">
        <v>22</v>
      </c>
    </row>
    <row r="585" spans="1:11">
      <c r="A585" s="33" t="s">
        <v>1567</v>
      </c>
      <c r="B585" s="33" t="s">
        <v>1568</v>
      </c>
      <c r="C585" s="33" t="s">
        <v>136</v>
      </c>
      <c r="D585" s="33" t="s">
        <v>17</v>
      </c>
      <c r="E585" s="33" t="s">
        <v>26</v>
      </c>
      <c r="F585" s="33" t="s">
        <v>27</v>
      </c>
      <c r="G585" s="33" t="s">
        <v>20</v>
      </c>
      <c r="H585" s="35">
        <v>36</v>
      </c>
      <c r="I585" s="33" t="s">
        <v>21</v>
      </c>
      <c r="J585" s="42">
        <v>44089</v>
      </c>
      <c r="K585" s="33" t="s">
        <v>22</v>
      </c>
    </row>
    <row r="586" spans="1:11">
      <c r="A586" s="30" t="s">
        <v>1569</v>
      </c>
      <c r="B586" s="30" t="s">
        <v>1570</v>
      </c>
      <c r="C586" s="30" t="s">
        <v>1571</v>
      </c>
      <c r="D586" s="30" t="s">
        <v>17</v>
      </c>
      <c r="E586" s="30" t="s">
        <v>26</v>
      </c>
      <c r="F586" s="30" t="s">
        <v>27</v>
      </c>
      <c r="G586" s="30" t="s">
        <v>140</v>
      </c>
      <c r="H586" s="32">
        <v>200</v>
      </c>
      <c r="I586" s="30" t="s">
        <v>51</v>
      </c>
      <c r="J586" s="41">
        <v>43887</v>
      </c>
      <c r="K586" s="30" t="s">
        <v>22</v>
      </c>
    </row>
    <row r="587" spans="1:11">
      <c r="A587" s="33" t="s">
        <v>1572</v>
      </c>
      <c r="B587" s="33" t="s">
        <v>1573</v>
      </c>
      <c r="C587" s="33" t="s">
        <v>925</v>
      </c>
      <c r="D587" s="33" t="s">
        <v>17</v>
      </c>
      <c r="E587" s="33" t="s">
        <v>18</v>
      </c>
      <c r="F587" s="33" t="s">
        <v>19</v>
      </c>
      <c r="G587" s="33" t="s">
        <v>20</v>
      </c>
      <c r="H587" s="35">
        <v>1113</v>
      </c>
      <c r="I587" s="33" t="s">
        <v>21</v>
      </c>
      <c r="J587" s="42">
        <v>43905</v>
      </c>
      <c r="K587" s="33" t="s">
        <v>22</v>
      </c>
    </row>
    <row r="588" spans="1:11">
      <c r="A588" s="30" t="s">
        <v>1574</v>
      </c>
      <c r="B588" s="30" t="s">
        <v>1575</v>
      </c>
      <c r="C588" s="30" t="s">
        <v>1576</v>
      </c>
      <c r="D588" s="30" t="s">
        <v>17</v>
      </c>
      <c r="E588" s="30" t="s">
        <v>31</v>
      </c>
      <c r="F588" s="30" t="s">
        <v>32</v>
      </c>
      <c r="G588" s="30" t="s">
        <v>20</v>
      </c>
      <c r="H588" s="32">
        <v>16</v>
      </c>
      <c r="I588" s="30" t="s">
        <v>21</v>
      </c>
      <c r="J588" s="41">
        <v>44021</v>
      </c>
      <c r="K588" s="30" t="s">
        <v>22</v>
      </c>
    </row>
    <row r="589" spans="1:11">
      <c r="A589" s="33" t="s">
        <v>1577</v>
      </c>
      <c r="B589" s="33" t="s">
        <v>1578</v>
      </c>
      <c r="C589" s="33" t="s">
        <v>801</v>
      </c>
      <c r="D589" s="33" t="s">
        <v>17</v>
      </c>
      <c r="E589" s="33" t="s">
        <v>26</v>
      </c>
      <c r="F589" s="33" t="s">
        <v>27</v>
      </c>
      <c r="G589" s="33" t="s">
        <v>20</v>
      </c>
      <c r="H589" s="35">
        <v>59</v>
      </c>
      <c r="I589" s="33" t="s">
        <v>21</v>
      </c>
      <c r="J589" s="42">
        <v>44102</v>
      </c>
      <c r="K589" s="33" t="s">
        <v>22</v>
      </c>
    </row>
    <row r="590" spans="1:11">
      <c r="A590" s="30" t="s">
        <v>1579</v>
      </c>
      <c r="B590" s="30" t="s">
        <v>1580</v>
      </c>
      <c r="C590" s="30" t="s">
        <v>102</v>
      </c>
      <c r="D590" s="30" t="s">
        <v>17</v>
      </c>
      <c r="E590" s="30" t="s">
        <v>31</v>
      </c>
      <c r="F590" s="30" t="s">
        <v>32</v>
      </c>
      <c r="G590" s="30" t="s">
        <v>20</v>
      </c>
      <c r="H590" s="32">
        <v>52</v>
      </c>
      <c r="I590" s="30" t="s">
        <v>21</v>
      </c>
      <c r="J590" s="41">
        <v>44091</v>
      </c>
      <c r="K590" s="30" t="s">
        <v>22</v>
      </c>
    </row>
    <row r="591" spans="1:11">
      <c r="A591" s="33" t="s">
        <v>1581</v>
      </c>
      <c r="B591" s="33" t="s">
        <v>1582</v>
      </c>
      <c r="C591" s="33" t="s">
        <v>1583</v>
      </c>
      <c r="D591" s="33" t="s">
        <v>17</v>
      </c>
      <c r="E591" s="33" t="s">
        <v>31</v>
      </c>
      <c r="F591" s="33" t="s">
        <v>32</v>
      </c>
      <c r="G591" s="33" t="s">
        <v>20</v>
      </c>
      <c r="H591" s="35">
        <v>82</v>
      </c>
      <c r="I591" s="33" t="s">
        <v>21</v>
      </c>
      <c r="J591" s="42">
        <v>44147</v>
      </c>
      <c r="K591" s="33" t="s">
        <v>22</v>
      </c>
    </row>
    <row r="592" spans="1:11">
      <c r="A592" s="30" t="s">
        <v>1584</v>
      </c>
      <c r="B592" s="30" t="s">
        <v>1585</v>
      </c>
      <c r="C592" s="30" t="s">
        <v>149</v>
      </c>
      <c r="D592" s="30" t="s">
        <v>17</v>
      </c>
      <c r="E592" s="30" t="s">
        <v>26</v>
      </c>
      <c r="F592" s="30" t="s">
        <v>27</v>
      </c>
      <c r="G592" s="30" t="s">
        <v>50</v>
      </c>
      <c r="H592" s="32">
        <v>108</v>
      </c>
      <c r="I592" s="30" t="s">
        <v>21</v>
      </c>
      <c r="J592" s="41">
        <v>44040</v>
      </c>
      <c r="K592" s="30" t="s">
        <v>22</v>
      </c>
    </row>
    <row r="593" spans="1:11">
      <c r="A593" s="33" t="s">
        <v>1586</v>
      </c>
      <c r="B593" s="33" t="s">
        <v>1587</v>
      </c>
      <c r="C593" s="33" t="s">
        <v>149</v>
      </c>
      <c r="D593" s="33" t="s">
        <v>17</v>
      </c>
      <c r="E593" s="33" t="s">
        <v>26</v>
      </c>
      <c r="F593" s="33" t="s">
        <v>27</v>
      </c>
      <c r="G593" s="33" t="s">
        <v>20</v>
      </c>
      <c r="H593" s="35">
        <v>31</v>
      </c>
      <c r="I593" s="33" t="s">
        <v>21</v>
      </c>
      <c r="J593" s="42">
        <v>44084</v>
      </c>
      <c r="K593" s="33" t="s">
        <v>22</v>
      </c>
    </row>
    <row r="594" spans="1:11">
      <c r="A594" s="30" t="s">
        <v>1588</v>
      </c>
      <c r="B594" s="30" t="s">
        <v>1589</v>
      </c>
      <c r="C594" s="30" t="s">
        <v>647</v>
      </c>
      <c r="D594" s="30" t="s">
        <v>17</v>
      </c>
      <c r="E594" s="30" t="s">
        <v>31</v>
      </c>
      <c r="F594" s="30" t="s">
        <v>32</v>
      </c>
      <c r="G594" s="30" t="s">
        <v>20</v>
      </c>
      <c r="H594" s="32">
        <v>408</v>
      </c>
      <c r="I594" s="30" t="s">
        <v>21</v>
      </c>
      <c r="J594" s="41">
        <v>44049</v>
      </c>
      <c r="K594" s="30" t="s">
        <v>22</v>
      </c>
    </row>
    <row r="595" spans="1:11">
      <c r="A595" s="33" t="s">
        <v>1590</v>
      </c>
      <c r="B595" s="33" t="s">
        <v>1591</v>
      </c>
      <c r="C595" s="33" t="s">
        <v>136</v>
      </c>
      <c r="D595" s="33" t="s">
        <v>17</v>
      </c>
      <c r="E595" s="33" t="s">
        <v>45</v>
      </c>
      <c r="F595" s="33" t="s">
        <v>46</v>
      </c>
      <c r="G595" s="33" t="s">
        <v>106</v>
      </c>
      <c r="H595" s="35">
        <v>10</v>
      </c>
      <c r="I595" s="33" t="s">
        <v>21</v>
      </c>
      <c r="J595" s="42">
        <v>44131</v>
      </c>
      <c r="K595" s="33" t="s">
        <v>22</v>
      </c>
    </row>
    <row r="596" spans="1:11">
      <c r="A596" s="30" t="s">
        <v>1592</v>
      </c>
      <c r="B596" s="30" t="s">
        <v>1593</v>
      </c>
      <c r="C596" s="30" t="s">
        <v>127</v>
      </c>
      <c r="D596" s="30" t="s">
        <v>17</v>
      </c>
      <c r="E596" s="30" t="s">
        <v>18</v>
      </c>
      <c r="F596" s="30" t="s">
        <v>19</v>
      </c>
      <c r="G596" s="30" t="s">
        <v>20</v>
      </c>
      <c r="H596" s="32">
        <v>194</v>
      </c>
      <c r="I596" s="30" t="s">
        <v>21</v>
      </c>
      <c r="J596" s="41">
        <v>44141</v>
      </c>
      <c r="K596" s="30" t="s">
        <v>22</v>
      </c>
    </row>
    <row r="597" spans="1:11">
      <c r="A597" s="33" t="s">
        <v>1594</v>
      </c>
      <c r="B597" s="33" t="s">
        <v>1595</v>
      </c>
      <c r="C597" s="33" t="s">
        <v>154</v>
      </c>
      <c r="D597" s="33" t="s">
        <v>17</v>
      </c>
      <c r="E597" s="33" t="s">
        <v>26</v>
      </c>
      <c r="F597" s="33" t="s">
        <v>27</v>
      </c>
      <c r="G597" s="33" t="s">
        <v>20</v>
      </c>
      <c r="H597" s="35">
        <v>204</v>
      </c>
      <c r="I597" s="33" t="s">
        <v>21</v>
      </c>
      <c r="J597" s="42">
        <v>43860</v>
      </c>
      <c r="K597" s="33" t="s">
        <v>22</v>
      </c>
    </row>
    <row r="598" spans="1:11">
      <c r="A598" s="30" t="s">
        <v>1596</v>
      </c>
      <c r="B598" s="30" t="s">
        <v>1597</v>
      </c>
      <c r="C598" s="30" t="s">
        <v>1598</v>
      </c>
      <c r="D598" s="30" t="s">
        <v>17</v>
      </c>
      <c r="E598" s="30" t="s">
        <v>26</v>
      </c>
      <c r="F598" s="30" t="s">
        <v>27</v>
      </c>
      <c r="G598" s="30" t="s">
        <v>20</v>
      </c>
      <c r="H598" s="32">
        <v>48</v>
      </c>
      <c r="I598" s="30" t="s">
        <v>21</v>
      </c>
      <c r="J598" s="41">
        <v>43923</v>
      </c>
      <c r="K598" s="30" t="s">
        <v>22</v>
      </c>
    </row>
    <row r="599" spans="1:11">
      <c r="A599" s="33" t="s">
        <v>1599</v>
      </c>
      <c r="B599" s="33" t="s">
        <v>1600</v>
      </c>
      <c r="C599" s="33" t="s">
        <v>1601</v>
      </c>
      <c r="D599" s="33" t="s">
        <v>17</v>
      </c>
      <c r="E599" s="33" t="s">
        <v>31</v>
      </c>
      <c r="F599" s="33" t="s">
        <v>32</v>
      </c>
      <c r="G599" s="33" t="s">
        <v>20</v>
      </c>
      <c r="H599" s="35">
        <v>227</v>
      </c>
      <c r="I599" s="33" t="s">
        <v>21</v>
      </c>
      <c r="J599" s="42">
        <v>43936</v>
      </c>
      <c r="K599" s="33" t="s">
        <v>22</v>
      </c>
    </row>
    <row r="600" spans="1:11">
      <c r="A600" s="30" t="s">
        <v>1602</v>
      </c>
      <c r="B600" s="30" t="s">
        <v>1603</v>
      </c>
      <c r="C600" s="30" t="s">
        <v>1604</v>
      </c>
      <c r="D600" s="30" t="s">
        <v>17</v>
      </c>
      <c r="E600" s="30" t="s">
        <v>31</v>
      </c>
      <c r="F600" s="30" t="s">
        <v>32</v>
      </c>
      <c r="G600" s="30" t="s">
        <v>20</v>
      </c>
      <c r="H600" s="32">
        <v>99</v>
      </c>
      <c r="I600" s="30" t="s">
        <v>21</v>
      </c>
      <c r="J600" s="41">
        <v>44120</v>
      </c>
      <c r="K600" s="30" t="s">
        <v>22</v>
      </c>
    </row>
    <row r="601" spans="1:11">
      <c r="A601" s="33" t="s">
        <v>1605</v>
      </c>
      <c r="B601" s="33" t="s">
        <v>1606</v>
      </c>
      <c r="C601" s="33" t="s">
        <v>1607</v>
      </c>
      <c r="D601" s="33" t="s">
        <v>17</v>
      </c>
      <c r="E601" s="33" t="s">
        <v>18</v>
      </c>
      <c r="F601" s="33" t="s">
        <v>19</v>
      </c>
      <c r="G601" s="33" t="s">
        <v>20</v>
      </c>
      <c r="H601" s="35">
        <v>338</v>
      </c>
      <c r="I601" s="33" t="s">
        <v>21</v>
      </c>
      <c r="J601" s="42">
        <v>44083</v>
      </c>
      <c r="K601" s="33" t="s">
        <v>22</v>
      </c>
    </row>
    <row r="602" spans="1:11">
      <c r="A602" s="30" t="s">
        <v>1608</v>
      </c>
      <c r="B602" s="30" t="s">
        <v>1609</v>
      </c>
      <c r="C602" s="30" t="s">
        <v>57</v>
      </c>
      <c r="D602" s="30" t="s">
        <v>17</v>
      </c>
      <c r="E602" s="30" t="s">
        <v>26</v>
      </c>
      <c r="F602" s="30" t="s">
        <v>27</v>
      </c>
      <c r="G602" s="30" t="s">
        <v>106</v>
      </c>
      <c r="H602" s="32">
        <v>2</v>
      </c>
      <c r="I602" s="30" t="s">
        <v>21</v>
      </c>
      <c r="J602" s="41">
        <v>44169</v>
      </c>
      <c r="K602" s="30" t="s">
        <v>22</v>
      </c>
    </row>
    <row r="603" spans="1:11">
      <c r="A603" s="33" t="s">
        <v>1610</v>
      </c>
      <c r="B603" s="33" t="s">
        <v>1611</v>
      </c>
      <c r="C603" s="33" t="s">
        <v>1612</v>
      </c>
      <c r="D603" s="33" t="s">
        <v>17</v>
      </c>
      <c r="E603" s="33" t="s">
        <v>26</v>
      </c>
      <c r="F603" s="33" t="s">
        <v>27</v>
      </c>
      <c r="G603" s="33" t="s">
        <v>20</v>
      </c>
      <c r="H603" s="35">
        <v>68</v>
      </c>
      <c r="I603" s="33" t="s">
        <v>21</v>
      </c>
      <c r="J603" s="42">
        <v>44067</v>
      </c>
      <c r="K603" s="33" t="s">
        <v>22</v>
      </c>
    </row>
    <row r="604" spans="1:11">
      <c r="A604" s="30" t="s">
        <v>1613</v>
      </c>
      <c r="B604" s="30" t="s">
        <v>1614</v>
      </c>
      <c r="C604" s="30" t="s">
        <v>1615</v>
      </c>
      <c r="D604" s="30" t="s">
        <v>17</v>
      </c>
      <c r="E604" s="30" t="s">
        <v>18</v>
      </c>
      <c r="F604" s="30" t="s">
        <v>19</v>
      </c>
      <c r="G604" s="30" t="s">
        <v>50</v>
      </c>
      <c r="H604" s="32">
        <v>200</v>
      </c>
      <c r="I604" s="30" t="s">
        <v>51</v>
      </c>
      <c r="J604" s="41">
        <v>44112</v>
      </c>
      <c r="K604" s="30" t="s">
        <v>22</v>
      </c>
    </row>
    <row r="605" spans="1:11">
      <c r="A605" s="33" t="s">
        <v>1616</v>
      </c>
      <c r="B605" s="33" t="s">
        <v>1617</v>
      </c>
      <c r="C605" s="33" t="s">
        <v>1618</v>
      </c>
      <c r="D605" s="33" t="s">
        <v>17</v>
      </c>
      <c r="E605" s="33" t="s">
        <v>26</v>
      </c>
      <c r="F605" s="33" t="s">
        <v>27</v>
      </c>
      <c r="G605" s="33" t="s">
        <v>158</v>
      </c>
      <c r="H605" s="35">
        <v>210</v>
      </c>
      <c r="I605" s="33" t="s">
        <v>51</v>
      </c>
      <c r="J605" s="42">
        <v>43886</v>
      </c>
      <c r="K605" s="33" t="s">
        <v>22</v>
      </c>
    </row>
    <row r="606" spans="1:11">
      <c r="A606" s="30" t="s">
        <v>1619</v>
      </c>
      <c r="B606" s="30" t="s">
        <v>1620</v>
      </c>
      <c r="C606" s="30" t="s">
        <v>136</v>
      </c>
      <c r="D606" s="30" t="s">
        <v>17</v>
      </c>
      <c r="E606" s="30" t="s">
        <v>18</v>
      </c>
      <c r="F606" s="30" t="s">
        <v>19</v>
      </c>
      <c r="G606" s="30" t="s">
        <v>20</v>
      </c>
      <c r="H606" s="32">
        <v>1180</v>
      </c>
      <c r="I606" s="30" t="s">
        <v>21</v>
      </c>
      <c r="J606" s="41">
        <v>44045</v>
      </c>
      <c r="K606" s="30" t="s">
        <v>22</v>
      </c>
    </row>
    <row r="607" spans="1:11">
      <c r="A607" s="33" t="s">
        <v>1621</v>
      </c>
      <c r="B607" s="33" t="s">
        <v>1622</v>
      </c>
      <c r="C607" s="33" t="s">
        <v>1623</v>
      </c>
      <c r="D607" s="33" t="s">
        <v>17</v>
      </c>
      <c r="E607" s="33" t="s">
        <v>67</v>
      </c>
      <c r="F607" s="33" t="s">
        <v>68</v>
      </c>
      <c r="G607" s="33" t="s">
        <v>50</v>
      </c>
      <c r="H607" s="35">
        <v>620</v>
      </c>
      <c r="I607" s="33" t="s">
        <v>51</v>
      </c>
      <c r="J607" s="42">
        <v>44175</v>
      </c>
      <c r="K607" s="33" t="s">
        <v>22</v>
      </c>
    </row>
    <row r="608" spans="1:11">
      <c r="A608" s="30" t="s">
        <v>1624</v>
      </c>
      <c r="B608" s="30" t="s">
        <v>1625</v>
      </c>
      <c r="C608" s="30" t="s">
        <v>190</v>
      </c>
      <c r="D608" s="30" t="s">
        <v>17</v>
      </c>
      <c r="E608" s="30" t="s">
        <v>31</v>
      </c>
      <c r="F608" s="30" t="s">
        <v>32</v>
      </c>
      <c r="G608" s="30" t="s">
        <v>158</v>
      </c>
      <c r="H608" s="32">
        <v>477</v>
      </c>
      <c r="I608" s="30" t="s">
        <v>21</v>
      </c>
      <c r="J608" s="41">
        <v>44061</v>
      </c>
      <c r="K608" s="30" t="s">
        <v>22</v>
      </c>
    </row>
    <row r="609" spans="1:11">
      <c r="A609" s="33" t="s">
        <v>1626</v>
      </c>
      <c r="B609" s="33" t="s">
        <v>1627</v>
      </c>
      <c r="C609" s="33" t="s">
        <v>231</v>
      </c>
      <c r="D609" s="33" t="s">
        <v>17</v>
      </c>
      <c r="E609" s="33" t="s">
        <v>26</v>
      </c>
      <c r="F609" s="33" t="s">
        <v>27</v>
      </c>
      <c r="G609" s="33" t="s">
        <v>140</v>
      </c>
      <c r="H609" s="35">
        <v>300</v>
      </c>
      <c r="I609" s="33" t="s">
        <v>51</v>
      </c>
      <c r="J609" s="42">
        <v>44041</v>
      </c>
      <c r="K609" s="33" t="s">
        <v>22</v>
      </c>
    </row>
    <row r="610" spans="1:11">
      <c r="A610" s="30" t="s">
        <v>1628</v>
      </c>
      <c r="B610" s="30" t="s">
        <v>1629</v>
      </c>
      <c r="C610" s="30" t="s">
        <v>1630</v>
      </c>
      <c r="D610" s="30" t="s">
        <v>17</v>
      </c>
      <c r="E610" s="30" t="s">
        <v>31</v>
      </c>
      <c r="F610" s="30" t="s">
        <v>32</v>
      </c>
      <c r="G610" s="30" t="s">
        <v>50</v>
      </c>
      <c r="H610" s="32">
        <v>164</v>
      </c>
      <c r="I610" s="30" t="s">
        <v>51</v>
      </c>
      <c r="J610" s="41">
        <v>44075</v>
      </c>
      <c r="K610" s="30" t="s">
        <v>22</v>
      </c>
    </row>
    <row r="611" spans="1:11">
      <c r="A611" s="33" t="s">
        <v>1631</v>
      </c>
      <c r="B611" s="33" t="s">
        <v>1632</v>
      </c>
      <c r="C611" s="33" t="s">
        <v>402</v>
      </c>
      <c r="D611" s="33" t="s">
        <v>17</v>
      </c>
      <c r="E611" s="33" t="s">
        <v>26</v>
      </c>
      <c r="F611" s="33" t="s">
        <v>27</v>
      </c>
      <c r="G611" s="33" t="s">
        <v>20</v>
      </c>
      <c r="H611" s="35">
        <v>75</v>
      </c>
      <c r="I611" s="33" t="s">
        <v>21</v>
      </c>
      <c r="J611" s="42">
        <v>44096</v>
      </c>
      <c r="K611" s="33" t="s">
        <v>22</v>
      </c>
    </row>
    <row r="612" spans="1:11">
      <c r="A612" s="30" t="s">
        <v>1633</v>
      </c>
      <c r="B612" s="30" t="s">
        <v>1634</v>
      </c>
      <c r="C612" s="30" t="s">
        <v>136</v>
      </c>
      <c r="D612" s="30" t="s">
        <v>17</v>
      </c>
      <c r="E612" s="30" t="s">
        <v>26</v>
      </c>
      <c r="F612" s="30" t="s">
        <v>27</v>
      </c>
      <c r="G612" s="30" t="s">
        <v>20</v>
      </c>
      <c r="H612" s="32">
        <v>31</v>
      </c>
      <c r="I612" s="30" t="s">
        <v>21</v>
      </c>
      <c r="J612" s="41">
        <v>44180</v>
      </c>
      <c r="K612" s="30" t="s">
        <v>22</v>
      </c>
    </row>
    <row r="613" spans="1:11">
      <c r="A613" s="33" t="s">
        <v>1635</v>
      </c>
      <c r="B613" s="33" t="s">
        <v>1636</v>
      </c>
      <c r="C613" s="33" t="s">
        <v>1637</v>
      </c>
      <c r="D613" s="33" t="s">
        <v>17</v>
      </c>
      <c r="E613" s="33" t="s">
        <v>31</v>
      </c>
      <c r="F613" s="33" t="s">
        <v>32</v>
      </c>
      <c r="G613" s="33" t="s">
        <v>20</v>
      </c>
      <c r="H613" s="35">
        <v>134</v>
      </c>
      <c r="I613" s="33" t="s">
        <v>21</v>
      </c>
      <c r="J613" s="42">
        <v>43880</v>
      </c>
      <c r="K613" s="33" t="s">
        <v>22</v>
      </c>
    </row>
    <row r="614" spans="1:11">
      <c r="A614" s="30" t="s">
        <v>1638</v>
      </c>
      <c r="B614" s="30" t="s">
        <v>1639</v>
      </c>
      <c r="C614" s="30" t="s">
        <v>1640</v>
      </c>
      <c r="D614" s="30" t="s">
        <v>17</v>
      </c>
      <c r="E614" s="30" t="s">
        <v>26</v>
      </c>
      <c r="F614" s="30" t="s">
        <v>27</v>
      </c>
      <c r="G614" s="30" t="s">
        <v>106</v>
      </c>
      <c r="H614" s="32">
        <v>13</v>
      </c>
      <c r="I614" s="30" t="s">
        <v>21</v>
      </c>
      <c r="J614" s="41">
        <v>44053</v>
      </c>
      <c r="K614" s="30" t="s">
        <v>22</v>
      </c>
    </row>
    <row r="615" spans="1:11">
      <c r="A615" s="33" t="s">
        <v>1641</v>
      </c>
      <c r="B615" s="33" t="s">
        <v>1642</v>
      </c>
      <c r="C615" s="33" t="s">
        <v>252</v>
      </c>
      <c r="D615" s="33" t="s">
        <v>17</v>
      </c>
      <c r="E615" s="33" t="s">
        <v>26</v>
      </c>
      <c r="F615" s="33" t="s">
        <v>27</v>
      </c>
      <c r="G615" s="33" t="s">
        <v>20</v>
      </c>
      <c r="H615" s="35">
        <v>23</v>
      </c>
      <c r="I615" s="33" t="s">
        <v>21</v>
      </c>
      <c r="J615" s="42">
        <v>44172</v>
      </c>
      <c r="K615" s="33" t="s">
        <v>22</v>
      </c>
    </row>
    <row r="616" spans="1:11">
      <c r="A616" s="30" t="s">
        <v>1643</v>
      </c>
      <c r="B616" s="30" t="s">
        <v>1644</v>
      </c>
      <c r="C616" s="30" t="s">
        <v>1343</v>
      </c>
      <c r="D616" s="30" t="s">
        <v>17</v>
      </c>
      <c r="E616" s="30" t="s">
        <v>18</v>
      </c>
      <c r="F616" s="30" t="s">
        <v>19</v>
      </c>
      <c r="G616" s="30" t="s">
        <v>20</v>
      </c>
      <c r="H616" s="32">
        <v>508</v>
      </c>
      <c r="I616" s="30" t="s">
        <v>21</v>
      </c>
      <c r="J616" s="41">
        <v>44013</v>
      </c>
      <c r="K616" s="30" t="s">
        <v>22</v>
      </c>
    </row>
    <row r="617" spans="1:11">
      <c r="A617" s="33" t="s">
        <v>1645</v>
      </c>
      <c r="B617" s="33" t="s">
        <v>1646</v>
      </c>
      <c r="C617" s="33" t="s">
        <v>1647</v>
      </c>
      <c r="D617" s="33" t="s">
        <v>17</v>
      </c>
      <c r="E617" s="33" t="s">
        <v>67</v>
      </c>
      <c r="F617" s="33" t="s">
        <v>68</v>
      </c>
      <c r="G617" s="33" t="s">
        <v>50</v>
      </c>
      <c r="H617" s="35">
        <v>64</v>
      </c>
      <c r="I617" s="33" t="s">
        <v>51</v>
      </c>
      <c r="J617" s="42">
        <v>44111</v>
      </c>
      <c r="K617" s="33" t="s">
        <v>22</v>
      </c>
    </row>
    <row r="618" spans="1:11">
      <c r="A618" s="30" t="s">
        <v>1648</v>
      </c>
      <c r="B618" s="30" t="s">
        <v>1649</v>
      </c>
      <c r="C618" s="30" t="s">
        <v>136</v>
      </c>
      <c r="D618" s="30" t="s">
        <v>17</v>
      </c>
      <c r="E618" s="30" t="s">
        <v>31</v>
      </c>
      <c r="F618" s="30" t="s">
        <v>32</v>
      </c>
      <c r="G618" s="30" t="s">
        <v>20</v>
      </c>
      <c r="H618" s="32">
        <v>117</v>
      </c>
      <c r="I618" s="30" t="s">
        <v>21</v>
      </c>
      <c r="J618" s="41">
        <v>44013</v>
      </c>
      <c r="K618" s="30" t="s">
        <v>22</v>
      </c>
    </row>
    <row r="619" spans="1:11">
      <c r="A619" s="33" t="s">
        <v>1650</v>
      </c>
      <c r="B619" s="33" t="s">
        <v>1651</v>
      </c>
      <c r="C619" s="33" t="s">
        <v>1652</v>
      </c>
      <c r="D619" s="33" t="s">
        <v>17</v>
      </c>
      <c r="E619" s="33" t="s">
        <v>26</v>
      </c>
      <c r="F619" s="33" t="s">
        <v>27</v>
      </c>
      <c r="G619" s="33" t="s">
        <v>20</v>
      </c>
      <c r="H619" s="35">
        <v>16</v>
      </c>
      <c r="I619" s="33" t="s">
        <v>21</v>
      </c>
      <c r="J619" s="42">
        <v>44024</v>
      </c>
      <c r="K619" s="33" t="s">
        <v>22</v>
      </c>
    </row>
    <row r="620" spans="1:11">
      <c r="A620" s="30" t="s">
        <v>1653</v>
      </c>
      <c r="B620" s="30" t="s">
        <v>1654</v>
      </c>
      <c r="C620" s="30" t="s">
        <v>1655</v>
      </c>
      <c r="D620" s="30" t="s">
        <v>17</v>
      </c>
      <c r="E620" s="30" t="s">
        <v>67</v>
      </c>
      <c r="F620" s="30" t="s">
        <v>68</v>
      </c>
      <c r="G620" s="30" t="s">
        <v>158</v>
      </c>
      <c r="H620" s="32">
        <v>78</v>
      </c>
      <c r="I620" s="30" t="s">
        <v>51</v>
      </c>
      <c r="J620" s="41">
        <v>44104</v>
      </c>
      <c r="K620" s="30" t="s">
        <v>22</v>
      </c>
    </row>
    <row r="621" spans="1:11">
      <c r="A621" s="33" t="s">
        <v>1656</v>
      </c>
      <c r="B621" s="33" t="s">
        <v>1657</v>
      </c>
      <c r="C621" s="33" t="s">
        <v>1658</v>
      </c>
      <c r="D621" s="33" t="s">
        <v>17</v>
      </c>
      <c r="E621" s="33" t="s">
        <v>18</v>
      </c>
      <c r="F621" s="33" t="s">
        <v>19</v>
      </c>
      <c r="G621" s="33" t="s">
        <v>20</v>
      </c>
      <c r="H621" s="35">
        <v>290</v>
      </c>
      <c r="I621" s="33" t="s">
        <v>21</v>
      </c>
      <c r="J621" s="42">
        <v>44011</v>
      </c>
      <c r="K621" s="33" t="s">
        <v>22</v>
      </c>
    </row>
    <row r="622" spans="1:11">
      <c r="A622" s="30" t="s">
        <v>1659</v>
      </c>
      <c r="B622" s="30" t="s">
        <v>1660</v>
      </c>
      <c r="C622" s="30" t="s">
        <v>1661</v>
      </c>
      <c r="D622" s="30" t="s">
        <v>17</v>
      </c>
      <c r="E622" s="30" t="s">
        <v>18</v>
      </c>
      <c r="F622" s="30" t="s">
        <v>19</v>
      </c>
      <c r="G622" s="30" t="s">
        <v>20</v>
      </c>
      <c r="H622" s="32">
        <v>398</v>
      </c>
      <c r="I622" s="30" t="s">
        <v>21</v>
      </c>
      <c r="J622" s="41">
        <v>44120</v>
      </c>
      <c r="K622" s="30" t="s">
        <v>22</v>
      </c>
    </row>
    <row r="623" spans="1:11">
      <c r="A623" s="33" t="s">
        <v>1662</v>
      </c>
      <c r="B623" s="33" t="s">
        <v>1663</v>
      </c>
      <c r="C623" s="33" t="s">
        <v>190</v>
      </c>
      <c r="D623" s="33" t="s">
        <v>17</v>
      </c>
      <c r="E623" s="33" t="s">
        <v>31</v>
      </c>
      <c r="F623" s="33" t="s">
        <v>32</v>
      </c>
      <c r="G623" s="33" t="s">
        <v>20</v>
      </c>
      <c r="H623" s="35">
        <v>250</v>
      </c>
      <c r="I623" s="33" t="s">
        <v>21</v>
      </c>
      <c r="J623" s="42">
        <v>44091</v>
      </c>
      <c r="K623" s="33" t="s">
        <v>22</v>
      </c>
    </row>
    <row r="624" spans="1:11">
      <c r="A624" s="30" t="s">
        <v>1664</v>
      </c>
      <c r="B624" s="30" t="s">
        <v>1665</v>
      </c>
      <c r="C624" s="30" t="s">
        <v>1666</v>
      </c>
      <c r="D624" s="30" t="s">
        <v>17</v>
      </c>
      <c r="E624" s="30" t="s">
        <v>67</v>
      </c>
      <c r="F624" s="30" t="s">
        <v>68</v>
      </c>
      <c r="G624" s="30" t="s">
        <v>140</v>
      </c>
      <c r="H624" s="32">
        <v>5000</v>
      </c>
      <c r="I624" s="30" t="s">
        <v>51</v>
      </c>
      <c r="J624" s="41">
        <v>44021</v>
      </c>
      <c r="K624" s="30" t="s">
        <v>22</v>
      </c>
    </row>
    <row r="625" spans="1:11">
      <c r="A625" s="33" t="s">
        <v>1667</v>
      </c>
      <c r="B625" s="33" t="s">
        <v>1668</v>
      </c>
      <c r="C625" s="33" t="s">
        <v>1669</v>
      </c>
      <c r="D625" s="33" t="s">
        <v>17</v>
      </c>
      <c r="E625" s="33" t="s">
        <v>31</v>
      </c>
      <c r="F625" s="33" t="s">
        <v>32</v>
      </c>
      <c r="G625" s="33" t="s">
        <v>106</v>
      </c>
      <c r="H625" s="35">
        <v>12</v>
      </c>
      <c r="I625" s="33" t="s">
        <v>21</v>
      </c>
      <c r="J625" s="42">
        <v>44082</v>
      </c>
      <c r="K625" s="33" t="s">
        <v>22</v>
      </c>
    </row>
    <row r="626" spans="1:11">
      <c r="A626" s="30" t="s">
        <v>1670</v>
      </c>
      <c r="B626" s="30" t="s">
        <v>1671</v>
      </c>
      <c r="C626" s="30" t="s">
        <v>178</v>
      </c>
      <c r="D626" s="30" t="s">
        <v>17</v>
      </c>
      <c r="E626" s="30" t="s">
        <v>31</v>
      </c>
      <c r="F626" s="30" t="s">
        <v>32</v>
      </c>
      <c r="G626" s="30" t="s">
        <v>20</v>
      </c>
      <c r="H626" s="32">
        <v>34</v>
      </c>
      <c r="I626" s="30" t="s">
        <v>21</v>
      </c>
      <c r="J626" s="41">
        <v>44050</v>
      </c>
      <c r="K626" s="30" t="s">
        <v>22</v>
      </c>
    </row>
    <row r="627" spans="1:11">
      <c r="A627" s="33" t="s">
        <v>1672</v>
      </c>
      <c r="B627" s="33" t="s">
        <v>1673</v>
      </c>
      <c r="C627" s="33" t="s">
        <v>1674</v>
      </c>
      <c r="D627" s="33" t="s">
        <v>17</v>
      </c>
      <c r="E627" s="33" t="s">
        <v>31</v>
      </c>
      <c r="F627" s="33" t="s">
        <v>32</v>
      </c>
      <c r="G627" s="33" t="s">
        <v>20</v>
      </c>
      <c r="H627" s="35">
        <v>273</v>
      </c>
      <c r="I627" s="33" t="s">
        <v>21</v>
      </c>
      <c r="J627" s="42">
        <v>43893</v>
      </c>
      <c r="K627" s="33" t="s">
        <v>22</v>
      </c>
    </row>
    <row r="628" spans="1:11">
      <c r="A628" s="30" t="s">
        <v>1675</v>
      </c>
      <c r="B628" s="30" t="s">
        <v>1676</v>
      </c>
      <c r="C628" s="30" t="s">
        <v>1677</v>
      </c>
      <c r="D628" s="30" t="s">
        <v>17</v>
      </c>
      <c r="E628" s="30" t="s">
        <v>26</v>
      </c>
      <c r="F628" s="30" t="s">
        <v>27</v>
      </c>
      <c r="G628" s="30" t="s">
        <v>20</v>
      </c>
      <c r="H628" s="32">
        <v>39</v>
      </c>
      <c r="I628" s="30" t="s">
        <v>21</v>
      </c>
      <c r="J628" s="41">
        <v>44002</v>
      </c>
      <c r="K628" s="30" t="s">
        <v>22</v>
      </c>
    </row>
    <row r="629" spans="1:11">
      <c r="A629" s="33" t="s">
        <v>1678</v>
      </c>
      <c r="B629" s="33" t="s">
        <v>1679</v>
      </c>
      <c r="C629" s="33" t="s">
        <v>1680</v>
      </c>
      <c r="D629" s="33" t="s">
        <v>17</v>
      </c>
      <c r="E629" s="33" t="s">
        <v>67</v>
      </c>
      <c r="F629" s="33" t="s">
        <v>68</v>
      </c>
      <c r="G629" s="33" t="s">
        <v>20</v>
      </c>
      <c r="H629" s="35">
        <v>150</v>
      </c>
      <c r="I629" s="33" t="s">
        <v>21</v>
      </c>
      <c r="J629" s="42">
        <v>44194</v>
      </c>
      <c r="K629" s="33" t="s">
        <v>22</v>
      </c>
    </row>
    <row r="630" spans="1:11">
      <c r="A630" s="30" t="s">
        <v>1681</v>
      </c>
      <c r="B630" s="30" t="s">
        <v>1682</v>
      </c>
      <c r="C630" s="30" t="s">
        <v>1683</v>
      </c>
      <c r="D630" s="30" t="s">
        <v>17</v>
      </c>
      <c r="E630" s="30" t="s">
        <v>18</v>
      </c>
      <c r="F630" s="30" t="s">
        <v>19</v>
      </c>
      <c r="G630" s="30" t="s">
        <v>158</v>
      </c>
      <c r="H630" s="32">
        <v>160</v>
      </c>
      <c r="I630" s="30" t="s">
        <v>21</v>
      </c>
      <c r="J630" s="41">
        <v>44025</v>
      </c>
      <c r="K630" s="30" t="s">
        <v>22</v>
      </c>
    </row>
    <row r="631" spans="1:11">
      <c r="A631" s="33" t="s">
        <v>1684</v>
      </c>
      <c r="B631" s="33" t="s">
        <v>1685</v>
      </c>
      <c r="C631" s="33" t="s">
        <v>1686</v>
      </c>
      <c r="D631" s="33" t="s">
        <v>17</v>
      </c>
      <c r="E631" s="33" t="s">
        <v>18</v>
      </c>
      <c r="F631" s="33" t="s">
        <v>19</v>
      </c>
      <c r="G631" s="33" t="s">
        <v>20</v>
      </c>
      <c r="H631" s="35">
        <v>465</v>
      </c>
      <c r="I631" s="33" t="s">
        <v>21</v>
      </c>
      <c r="J631" s="42">
        <v>44162</v>
      </c>
      <c r="K631" s="33" t="s">
        <v>22</v>
      </c>
    </row>
    <row r="632" spans="1:11">
      <c r="A632" s="30" t="s">
        <v>1687</v>
      </c>
      <c r="B632" s="30" t="s">
        <v>1688</v>
      </c>
      <c r="C632" s="30" t="s">
        <v>524</v>
      </c>
      <c r="D632" s="30" t="s">
        <v>17</v>
      </c>
      <c r="E632" s="30" t="s">
        <v>26</v>
      </c>
      <c r="F632" s="30" t="s">
        <v>27</v>
      </c>
      <c r="G632" s="30" t="s">
        <v>20</v>
      </c>
      <c r="H632" s="32">
        <v>72</v>
      </c>
      <c r="I632" s="30" t="s">
        <v>21</v>
      </c>
      <c r="J632" s="41">
        <v>44140</v>
      </c>
      <c r="K632" s="30" t="s">
        <v>22</v>
      </c>
    </row>
    <row r="633" spans="1:11">
      <c r="A633" s="33" t="s">
        <v>1689</v>
      </c>
      <c r="B633" s="33" t="s">
        <v>1690</v>
      </c>
      <c r="C633" s="33" t="s">
        <v>1691</v>
      </c>
      <c r="D633" s="33" t="s">
        <v>17</v>
      </c>
      <c r="E633" s="33" t="s">
        <v>18</v>
      </c>
      <c r="F633" s="33" t="s">
        <v>19</v>
      </c>
      <c r="G633" s="33" t="s">
        <v>106</v>
      </c>
      <c r="H633" s="35">
        <v>676</v>
      </c>
      <c r="I633" s="33" t="s">
        <v>21</v>
      </c>
      <c r="J633" s="42">
        <v>44137</v>
      </c>
      <c r="K633" s="33" t="s">
        <v>22</v>
      </c>
    </row>
    <row r="634" spans="1:11">
      <c r="A634" s="30" t="s">
        <v>1692</v>
      </c>
      <c r="B634" s="30" t="s">
        <v>1693</v>
      </c>
      <c r="C634" s="30" t="s">
        <v>96</v>
      </c>
      <c r="D634" s="30" t="s">
        <v>17</v>
      </c>
      <c r="E634" s="30" t="s">
        <v>212</v>
      </c>
      <c r="F634" s="30" t="s">
        <v>213</v>
      </c>
      <c r="G634" s="30" t="s">
        <v>20</v>
      </c>
      <c r="H634" s="32">
        <v>71</v>
      </c>
      <c r="I634" s="30" t="s">
        <v>21</v>
      </c>
      <c r="J634" s="41">
        <v>44103</v>
      </c>
      <c r="K634" s="30" t="s">
        <v>22</v>
      </c>
    </row>
    <row r="635" spans="1:11">
      <c r="A635" s="33" t="s">
        <v>1694</v>
      </c>
      <c r="B635" s="33" t="s">
        <v>1695</v>
      </c>
      <c r="C635" s="33" t="s">
        <v>1598</v>
      </c>
      <c r="D635" s="33" t="s">
        <v>17</v>
      </c>
      <c r="E635" s="33" t="s">
        <v>26</v>
      </c>
      <c r="F635" s="33" t="s">
        <v>27</v>
      </c>
      <c r="G635" s="33" t="s">
        <v>20</v>
      </c>
      <c r="H635" s="35">
        <v>34</v>
      </c>
      <c r="I635" s="33" t="s">
        <v>21</v>
      </c>
      <c r="J635" s="42">
        <v>43973</v>
      </c>
      <c r="K635" s="33" t="s">
        <v>22</v>
      </c>
    </row>
    <row r="636" spans="1:11">
      <c r="A636" s="30" t="s">
        <v>1696</v>
      </c>
      <c r="B636" s="30" t="s">
        <v>1697</v>
      </c>
      <c r="C636" s="30" t="s">
        <v>1698</v>
      </c>
      <c r="D636" s="30" t="s">
        <v>17</v>
      </c>
      <c r="E636" s="30" t="s">
        <v>31</v>
      </c>
      <c r="F636" s="30" t="s">
        <v>32</v>
      </c>
      <c r="G636" s="30" t="s">
        <v>20</v>
      </c>
      <c r="H636" s="32">
        <v>38</v>
      </c>
      <c r="I636" s="30" t="s">
        <v>21</v>
      </c>
      <c r="J636" s="41">
        <v>44042</v>
      </c>
      <c r="K636" s="30" t="s">
        <v>22</v>
      </c>
    </row>
    <row r="637" spans="1:11">
      <c r="A637" s="33" t="s">
        <v>1699</v>
      </c>
      <c r="B637" s="33" t="s">
        <v>1700</v>
      </c>
      <c r="C637" s="33" t="s">
        <v>1701</v>
      </c>
      <c r="D637" s="33" t="s">
        <v>17</v>
      </c>
      <c r="E637" s="33" t="s">
        <v>26</v>
      </c>
      <c r="F637" s="33" t="s">
        <v>27</v>
      </c>
      <c r="G637" s="33" t="s">
        <v>20</v>
      </c>
      <c r="H637" s="35">
        <v>145</v>
      </c>
      <c r="I637" s="33" t="s">
        <v>21</v>
      </c>
      <c r="J637" s="42">
        <v>43943</v>
      </c>
      <c r="K637" s="33" t="s">
        <v>22</v>
      </c>
    </row>
    <row r="638" spans="1:11">
      <c r="A638" s="30" t="s">
        <v>1702</v>
      </c>
      <c r="B638" s="30" t="s">
        <v>1703</v>
      </c>
      <c r="C638" s="30" t="s">
        <v>874</v>
      </c>
      <c r="D638" s="30" t="s">
        <v>17</v>
      </c>
      <c r="E638" s="30" t="s">
        <v>26</v>
      </c>
      <c r="F638" s="30" t="s">
        <v>27</v>
      </c>
      <c r="G638" s="30" t="s">
        <v>20</v>
      </c>
      <c r="H638" s="32">
        <v>36</v>
      </c>
      <c r="I638" s="30" t="s">
        <v>21</v>
      </c>
      <c r="J638" s="41">
        <v>43971</v>
      </c>
      <c r="K638" s="30" t="s">
        <v>22</v>
      </c>
    </row>
    <row r="639" spans="1:11">
      <c r="A639" s="33" t="s">
        <v>1704</v>
      </c>
      <c r="B639" s="33" t="s">
        <v>1705</v>
      </c>
      <c r="C639" s="33" t="s">
        <v>535</v>
      </c>
      <c r="D639" s="33" t="s">
        <v>17</v>
      </c>
      <c r="E639" s="33" t="s">
        <v>31</v>
      </c>
      <c r="F639" s="33" t="s">
        <v>32</v>
      </c>
      <c r="G639" s="33" t="s">
        <v>20</v>
      </c>
      <c r="H639" s="35">
        <v>53</v>
      </c>
      <c r="I639" s="33" t="s">
        <v>21</v>
      </c>
      <c r="J639" s="42">
        <v>44064</v>
      </c>
      <c r="K639" s="33" t="s">
        <v>22</v>
      </c>
    </row>
    <row r="640" spans="1:11">
      <c r="A640" s="30" t="s">
        <v>1706</v>
      </c>
      <c r="B640" s="30" t="s">
        <v>1707</v>
      </c>
      <c r="C640" s="30" t="s">
        <v>102</v>
      </c>
      <c r="D640" s="30" t="s">
        <v>17</v>
      </c>
      <c r="E640" s="30" t="s">
        <v>31</v>
      </c>
      <c r="F640" s="30" t="s">
        <v>32</v>
      </c>
      <c r="G640" s="30" t="s">
        <v>20</v>
      </c>
      <c r="H640" s="32">
        <v>54</v>
      </c>
      <c r="I640" s="30" t="s">
        <v>21</v>
      </c>
      <c r="J640" s="41">
        <v>44088</v>
      </c>
      <c r="K640" s="30" t="s">
        <v>22</v>
      </c>
    </row>
    <row r="641" spans="1:11">
      <c r="A641" s="33" t="s">
        <v>1708</v>
      </c>
      <c r="B641" s="33" t="s">
        <v>1709</v>
      </c>
      <c r="C641" s="33" t="s">
        <v>1710</v>
      </c>
      <c r="D641" s="33" t="s">
        <v>17</v>
      </c>
      <c r="E641" s="33" t="s">
        <v>31</v>
      </c>
      <c r="F641" s="33" t="s">
        <v>32</v>
      </c>
      <c r="G641" s="33" t="s">
        <v>112</v>
      </c>
      <c r="H641" s="35">
        <v>0</v>
      </c>
      <c r="I641" s="33" t="s">
        <v>21</v>
      </c>
      <c r="J641" s="42">
        <v>43952</v>
      </c>
      <c r="K641" s="33" t="s">
        <v>22</v>
      </c>
    </row>
    <row r="642" spans="1:11">
      <c r="A642" s="30" t="s">
        <v>1711</v>
      </c>
      <c r="B642" s="30" t="s">
        <v>1712</v>
      </c>
      <c r="C642" s="30" t="s">
        <v>1713</v>
      </c>
      <c r="D642" s="30" t="s">
        <v>17</v>
      </c>
      <c r="E642" s="30" t="s">
        <v>31</v>
      </c>
      <c r="F642" s="30" t="s">
        <v>32</v>
      </c>
      <c r="G642" s="30" t="s">
        <v>106</v>
      </c>
      <c r="H642" s="32">
        <v>16</v>
      </c>
      <c r="I642" s="30" t="s">
        <v>21</v>
      </c>
      <c r="J642" s="41">
        <v>44034</v>
      </c>
      <c r="K642" s="30" t="s">
        <v>22</v>
      </c>
    </row>
    <row r="643" spans="1:11">
      <c r="A643" s="33" t="s">
        <v>1714</v>
      </c>
      <c r="B643" s="33" t="s">
        <v>1715</v>
      </c>
      <c r="C643" s="33" t="s">
        <v>203</v>
      </c>
      <c r="D643" s="33" t="s">
        <v>17</v>
      </c>
      <c r="E643" s="33" t="s">
        <v>18</v>
      </c>
      <c r="F643" s="33" t="s">
        <v>19</v>
      </c>
      <c r="G643" s="33" t="s">
        <v>20</v>
      </c>
      <c r="H643" s="35">
        <v>360</v>
      </c>
      <c r="I643" s="33" t="s">
        <v>21</v>
      </c>
      <c r="J643" s="42">
        <v>43973</v>
      </c>
      <c r="K643" s="33" t="s">
        <v>22</v>
      </c>
    </row>
    <row r="644" spans="1:11">
      <c r="A644" s="30" t="s">
        <v>1716</v>
      </c>
      <c r="B644" s="30" t="s">
        <v>1717</v>
      </c>
      <c r="C644" s="30" t="s">
        <v>1718</v>
      </c>
      <c r="D644" s="30" t="s">
        <v>17</v>
      </c>
      <c r="E644" s="30" t="s">
        <v>18</v>
      </c>
      <c r="F644" s="30" t="s">
        <v>19</v>
      </c>
      <c r="G644" s="30" t="s">
        <v>20</v>
      </c>
      <c r="H644" s="32">
        <v>567</v>
      </c>
      <c r="I644" s="30" t="s">
        <v>21</v>
      </c>
      <c r="J644" s="41">
        <v>44012</v>
      </c>
      <c r="K644" s="30" t="s">
        <v>22</v>
      </c>
    </row>
    <row r="645" spans="1:11">
      <c r="A645" s="33" t="s">
        <v>1719</v>
      </c>
      <c r="B645" s="33" t="s">
        <v>1720</v>
      </c>
      <c r="C645" s="33" t="s">
        <v>130</v>
      </c>
      <c r="D645" s="33" t="s">
        <v>17</v>
      </c>
      <c r="E645" s="33" t="s">
        <v>18</v>
      </c>
      <c r="F645" s="33" t="s">
        <v>19</v>
      </c>
      <c r="G645" s="33" t="s">
        <v>20</v>
      </c>
      <c r="H645" s="35">
        <v>583</v>
      </c>
      <c r="I645" s="33" t="s">
        <v>21</v>
      </c>
      <c r="J645" s="42">
        <v>44085</v>
      </c>
      <c r="K645" s="33" t="s">
        <v>22</v>
      </c>
    </row>
    <row r="646" spans="1:11">
      <c r="A646" s="30" t="s">
        <v>1721</v>
      </c>
      <c r="B646" s="30" t="s">
        <v>1722</v>
      </c>
      <c r="C646" s="30" t="s">
        <v>66</v>
      </c>
      <c r="D646" s="30" t="s">
        <v>17</v>
      </c>
      <c r="E646" s="30" t="s">
        <v>67</v>
      </c>
      <c r="F646" s="30" t="s">
        <v>68</v>
      </c>
      <c r="G646" s="30" t="s">
        <v>50</v>
      </c>
      <c r="H646" s="32">
        <v>22</v>
      </c>
      <c r="I646" s="30" t="s">
        <v>51</v>
      </c>
      <c r="J646" s="41">
        <v>43881</v>
      </c>
      <c r="K646" s="30" t="s">
        <v>22</v>
      </c>
    </row>
    <row r="647" spans="1:11">
      <c r="A647" s="33" t="s">
        <v>1723</v>
      </c>
      <c r="B647" s="33" t="s">
        <v>1724</v>
      </c>
      <c r="C647" s="33" t="s">
        <v>570</v>
      </c>
      <c r="D647" s="33" t="s">
        <v>17</v>
      </c>
      <c r="E647" s="33" t="s">
        <v>31</v>
      </c>
      <c r="F647" s="33" t="s">
        <v>32</v>
      </c>
      <c r="G647" s="33" t="s">
        <v>50</v>
      </c>
      <c r="H647" s="35">
        <v>86</v>
      </c>
      <c r="I647" s="33" t="s">
        <v>51</v>
      </c>
      <c r="J647" s="42">
        <v>44020</v>
      </c>
      <c r="K647" s="33" t="s">
        <v>22</v>
      </c>
    </row>
    <row r="648" spans="1:11">
      <c r="A648" s="30" t="s">
        <v>1725</v>
      </c>
      <c r="B648" s="30" t="s">
        <v>1726</v>
      </c>
      <c r="C648" s="30" t="s">
        <v>1727</v>
      </c>
      <c r="D648" s="30" t="s">
        <v>17</v>
      </c>
      <c r="E648" s="30" t="s">
        <v>26</v>
      </c>
      <c r="F648" s="30" t="s">
        <v>27</v>
      </c>
      <c r="G648" s="30" t="s">
        <v>20</v>
      </c>
      <c r="H648" s="32">
        <v>28</v>
      </c>
      <c r="I648" s="30" t="s">
        <v>21</v>
      </c>
      <c r="J648" s="41">
        <v>44174</v>
      </c>
      <c r="K648" s="30" t="s">
        <v>22</v>
      </c>
    </row>
    <row r="649" spans="1:11">
      <c r="A649" s="33" t="s">
        <v>1728</v>
      </c>
      <c r="B649" s="33" t="s">
        <v>1729</v>
      </c>
      <c r="C649" s="33" t="s">
        <v>1730</v>
      </c>
      <c r="D649" s="33" t="s">
        <v>17</v>
      </c>
      <c r="E649" s="33" t="s">
        <v>31</v>
      </c>
      <c r="F649" s="33" t="s">
        <v>32</v>
      </c>
      <c r="G649" s="33" t="s">
        <v>106</v>
      </c>
      <c r="H649" s="35">
        <v>35</v>
      </c>
      <c r="I649" s="33" t="s">
        <v>21</v>
      </c>
      <c r="J649" s="42">
        <v>44115</v>
      </c>
      <c r="K649" s="33" t="s">
        <v>22</v>
      </c>
    </row>
    <row r="650" spans="1:11">
      <c r="A650" s="30" t="s">
        <v>1731</v>
      </c>
      <c r="B650" s="30" t="s">
        <v>1732</v>
      </c>
      <c r="C650" s="30" t="s">
        <v>1733</v>
      </c>
      <c r="D650" s="30" t="s">
        <v>17</v>
      </c>
      <c r="E650" s="30" t="s">
        <v>26</v>
      </c>
      <c r="F650" s="30" t="s">
        <v>27</v>
      </c>
      <c r="G650" s="30" t="s">
        <v>20</v>
      </c>
      <c r="H650" s="32">
        <v>14</v>
      </c>
      <c r="I650" s="30" t="s">
        <v>21</v>
      </c>
      <c r="J650" s="41">
        <v>44095</v>
      </c>
      <c r="K650" s="30" t="s">
        <v>22</v>
      </c>
    </row>
    <row r="651" spans="1:11">
      <c r="A651" s="33" t="s">
        <v>1734</v>
      </c>
      <c r="B651" s="33" t="s">
        <v>1735</v>
      </c>
      <c r="C651" s="33" t="s">
        <v>102</v>
      </c>
      <c r="D651" s="33" t="s">
        <v>17</v>
      </c>
      <c r="E651" s="33" t="s">
        <v>26</v>
      </c>
      <c r="F651" s="33" t="s">
        <v>27</v>
      </c>
      <c r="G651" s="33" t="s">
        <v>20</v>
      </c>
      <c r="H651" s="35">
        <v>85</v>
      </c>
      <c r="I651" s="33" t="s">
        <v>21</v>
      </c>
      <c r="J651" s="42">
        <v>44014</v>
      </c>
      <c r="K651" s="33" t="s">
        <v>22</v>
      </c>
    </row>
    <row r="652" spans="1:11">
      <c r="A652" s="30" t="s">
        <v>1736</v>
      </c>
      <c r="B652" s="30" t="s">
        <v>1737</v>
      </c>
      <c r="C652" s="30" t="s">
        <v>297</v>
      </c>
      <c r="D652" s="30" t="s">
        <v>17</v>
      </c>
      <c r="E652" s="30" t="s">
        <v>31</v>
      </c>
      <c r="F652" s="30" t="s">
        <v>32</v>
      </c>
      <c r="G652" s="30" t="s">
        <v>20</v>
      </c>
      <c r="H652" s="32">
        <v>484</v>
      </c>
      <c r="I652" s="30" t="s">
        <v>21</v>
      </c>
      <c r="J652" s="41">
        <v>43937</v>
      </c>
      <c r="K652" s="30" t="s">
        <v>22</v>
      </c>
    </row>
    <row r="653" spans="1:11">
      <c r="A653" s="33" t="s">
        <v>1738</v>
      </c>
      <c r="B653" s="33" t="s">
        <v>1739</v>
      </c>
      <c r="C653" s="33" t="s">
        <v>1740</v>
      </c>
      <c r="D653" s="33" t="s">
        <v>17</v>
      </c>
      <c r="E653" s="33" t="s">
        <v>31</v>
      </c>
      <c r="F653" s="33" t="s">
        <v>32</v>
      </c>
      <c r="G653" s="33" t="s">
        <v>20</v>
      </c>
      <c r="H653" s="35">
        <v>185</v>
      </c>
      <c r="I653" s="33" t="s">
        <v>21</v>
      </c>
      <c r="J653" s="42">
        <v>43951</v>
      </c>
      <c r="K653" s="33" t="s">
        <v>22</v>
      </c>
    </row>
    <row r="654" spans="1:11">
      <c r="A654" s="30" t="s">
        <v>1741</v>
      </c>
      <c r="B654" s="30" t="s">
        <v>1742</v>
      </c>
      <c r="C654" s="30" t="s">
        <v>1090</v>
      </c>
      <c r="D654" s="30" t="s">
        <v>17</v>
      </c>
      <c r="E654" s="30" t="s">
        <v>18</v>
      </c>
      <c r="F654" s="30" t="s">
        <v>19</v>
      </c>
      <c r="G654" s="30" t="s">
        <v>20</v>
      </c>
      <c r="H654" s="32">
        <v>214</v>
      </c>
      <c r="I654" s="30" t="s">
        <v>21</v>
      </c>
      <c r="J654" s="41">
        <v>43844</v>
      </c>
      <c r="K654" s="30" t="s">
        <v>22</v>
      </c>
    </row>
    <row r="655" spans="1:11">
      <c r="A655" s="33" t="s">
        <v>1743</v>
      </c>
      <c r="B655" s="33" t="s">
        <v>1744</v>
      </c>
      <c r="C655" s="33" t="s">
        <v>1745</v>
      </c>
      <c r="D655" s="33" t="s">
        <v>17</v>
      </c>
      <c r="E655" s="33" t="s">
        <v>26</v>
      </c>
      <c r="F655" s="33" t="s">
        <v>27</v>
      </c>
      <c r="G655" s="33" t="s">
        <v>20</v>
      </c>
      <c r="H655" s="35">
        <v>19</v>
      </c>
      <c r="I655" s="33" t="s">
        <v>21</v>
      </c>
      <c r="J655" s="42">
        <v>44098</v>
      </c>
      <c r="K655" s="33" t="s">
        <v>22</v>
      </c>
    </row>
    <row r="656" spans="1:11">
      <c r="A656" s="30" t="s">
        <v>1746</v>
      </c>
      <c r="B656" s="30" t="s">
        <v>1747</v>
      </c>
      <c r="C656" s="30" t="s">
        <v>1598</v>
      </c>
      <c r="D656" s="30" t="s">
        <v>17</v>
      </c>
      <c r="E656" s="30" t="s">
        <v>67</v>
      </c>
      <c r="F656" s="30" t="s">
        <v>68</v>
      </c>
      <c r="G656" s="30" t="s">
        <v>106</v>
      </c>
      <c r="H656" s="32">
        <v>1</v>
      </c>
      <c r="I656" s="30" t="s">
        <v>21</v>
      </c>
      <c r="J656" s="41">
        <v>44000</v>
      </c>
      <c r="K656" s="30" t="s">
        <v>22</v>
      </c>
    </row>
    <row r="657" spans="1:11">
      <c r="A657" s="33" t="s">
        <v>1748</v>
      </c>
      <c r="B657" s="33" t="s">
        <v>1749</v>
      </c>
      <c r="C657" s="33" t="s">
        <v>1750</v>
      </c>
      <c r="D657" s="33" t="s">
        <v>17</v>
      </c>
      <c r="E657" s="33" t="s">
        <v>67</v>
      </c>
      <c r="F657" s="33" t="s">
        <v>68</v>
      </c>
      <c r="G657" s="33" t="s">
        <v>158</v>
      </c>
      <c r="H657" s="35">
        <v>160</v>
      </c>
      <c r="I657" s="33" t="s">
        <v>51</v>
      </c>
      <c r="J657" s="42">
        <v>43972</v>
      </c>
      <c r="K657" s="33" t="s">
        <v>22</v>
      </c>
    </row>
    <row r="658" spans="1:11">
      <c r="A658" s="30" t="s">
        <v>1751</v>
      </c>
      <c r="B658" s="30" t="s">
        <v>1752</v>
      </c>
      <c r="C658" s="30" t="s">
        <v>1753</v>
      </c>
      <c r="D658" s="30" t="s">
        <v>17</v>
      </c>
      <c r="E658" s="30" t="s">
        <v>212</v>
      </c>
      <c r="F658" s="30" t="s">
        <v>213</v>
      </c>
      <c r="G658" s="30" t="s">
        <v>140</v>
      </c>
      <c r="H658" s="32">
        <v>140</v>
      </c>
      <c r="I658" s="30" t="s">
        <v>51</v>
      </c>
      <c r="J658" s="41">
        <v>43900</v>
      </c>
      <c r="K658" s="30" t="s">
        <v>22</v>
      </c>
    </row>
    <row r="659" spans="1:11">
      <c r="A659" s="33" t="s">
        <v>1754</v>
      </c>
      <c r="B659" s="33" t="s">
        <v>1755</v>
      </c>
      <c r="C659" s="33" t="s">
        <v>353</v>
      </c>
      <c r="D659" s="33" t="s">
        <v>17</v>
      </c>
      <c r="E659" s="33" t="s">
        <v>26</v>
      </c>
      <c r="F659" s="33" t="s">
        <v>27</v>
      </c>
      <c r="G659" s="33" t="s">
        <v>20</v>
      </c>
      <c r="H659" s="35">
        <v>32</v>
      </c>
      <c r="I659" s="33" t="s">
        <v>21</v>
      </c>
      <c r="J659" s="42">
        <v>43837</v>
      </c>
      <c r="K659" s="33" t="s">
        <v>22</v>
      </c>
    </row>
    <row r="660" spans="1:11">
      <c r="A660" s="30" t="s">
        <v>1756</v>
      </c>
      <c r="B660" s="30" t="s">
        <v>1757</v>
      </c>
      <c r="C660" s="30" t="s">
        <v>1504</v>
      </c>
      <c r="D660" s="30" t="s">
        <v>17</v>
      </c>
      <c r="E660" s="30" t="s">
        <v>18</v>
      </c>
      <c r="F660" s="30" t="s">
        <v>19</v>
      </c>
      <c r="G660" s="30" t="s">
        <v>20</v>
      </c>
      <c r="H660" s="32">
        <v>708</v>
      </c>
      <c r="I660" s="30" t="s">
        <v>21</v>
      </c>
      <c r="J660" s="41">
        <v>43910</v>
      </c>
      <c r="K660" s="30" t="s">
        <v>22</v>
      </c>
    </row>
    <row r="661" spans="1:11">
      <c r="A661" s="33" t="s">
        <v>1758</v>
      </c>
      <c r="B661" s="33" t="s">
        <v>1759</v>
      </c>
      <c r="C661" s="33" t="s">
        <v>49</v>
      </c>
      <c r="D661" s="33" t="s">
        <v>17</v>
      </c>
      <c r="E661" s="33" t="s">
        <v>26</v>
      </c>
      <c r="F661" s="33" t="s">
        <v>27</v>
      </c>
      <c r="G661" s="33" t="s">
        <v>50</v>
      </c>
      <c r="H661" s="35">
        <v>20</v>
      </c>
      <c r="I661" s="33" t="s">
        <v>51</v>
      </c>
      <c r="J661" s="42">
        <v>43898</v>
      </c>
      <c r="K661" s="33" t="s">
        <v>22</v>
      </c>
    </row>
    <row r="662" spans="1:11">
      <c r="A662" s="30" t="s">
        <v>1760</v>
      </c>
      <c r="B662" s="30" t="s">
        <v>1761</v>
      </c>
      <c r="C662" s="30" t="s">
        <v>109</v>
      </c>
      <c r="D662" s="30" t="s">
        <v>17</v>
      </c>
      <c r="E662" s="30" t="s">
        <v>212</v>
      </c>
      <c r="F662" s="30" t="s">
        <v>213</v>
      </c>
      <c r="G662" s="30" t="s">
        <v>106</v>
      </c>
      <c r="H662" s="32">
        <v>201</v>
      </c>
      <c r="I662" s="30" t="s">
        <v>21</v>
      </c>
      <c r="J662" s="41">
        <v>44146</v>
      </c>
      <c r="K662" s="30" t="s">
        <v>22</v>
      </c>
    </row>
    <row r="663" spans="1:11">
      <c r="A663" s="33" t="s">
        <v>1762</v>
      </c>
      <c r="B663" s="33" t="s">
        <v>1763</v>
      </c>
      <c r="C663" s="33" t="s">
        <v>1764</v>
      </c>
      <c r="D663" s="33" t="s">
        <v>17</v>
      </c>
      <c r="E663" s="33" t="s">
        <v>31</v>
      </c>
      <c r="F663" s="33" t="s">
        <v>32</v>
      </c>
      <c r="G663" s="33" t="s">
        <v>20</v>
      </c>
      <c r="H663" s="35">
        <v>100</v>
      </c>
      <c r="I663" s="33" t="s">
        <v>21</v>
      </c>
      <c r="J663" s="42">
        <v>44151</v>
      </c>
      <c r="K663" s="33" t="s">
        <v>22</v>
      </c>
    </row>
    <row r="664" spans="1:11">
      <c r="A664" s="30" t="s">
        <v>1765</v>
      </c>
      <c r="B664" s="30" t="s">
        <v>1766</v>
      </c>
      <c r="C664" s="30" t="s">
        <v>1767</v>
      </c>
      <c r="D664" s="30" t="s">
        <v>17</v>
      </c>
      <c r="E664" s="30" t="s">
        <v>26</v>
      </c>
      <c r="F664" s="30" t="s">
        <v>27</v>
      </c>
      <c r="G664" s="30" t="s">
        <v>20</v>
      </c>
      <c r="H664" s="32">
        <v>56</v>
      </c>
      <c r="I664" s="30" t="s">
        <v>21</v>
      </c>
      <c r="J664" s="41">
        <v>44015</v>
      </c>
      <c r="K664" s="30" t="s">
        <v>22</v>
      </c>
    </row>
    <row r="665" spans="1:11">
      <c r="A665" s="33" t="s">
        <v>1768</v>
      </c>
      <c r="B665" s="33" t="s">
        <v>1769</v>
      </c>
      <c r="C665" s="33" t="s">
        <v>1770</v>
      </c>
      <c r="D665" s="33" t="s">
        <v>17</v>
      </c>
      <c r="E665" s="33" t="s">
        <v>26</v>
      </c>
      <c r="F665" s="33" t="s">
        <v>27</v>
      </c>
      <c r="G665" s="33" t="s">
        <v>20</v>
      </c>
      <c r="H665" s="35">
        <v>127</v>
      </c>
      <c r="I665" s="33" t="s">
        <v>21</v>
      </c>
      <c r="J665" s="42">
        <v>44116</v>
      </c>
      <c r="K665" s="33" t="s">
        <v>22</v>
      </c>
    </row>
    <row r="666" spans="1:11">
      <c r="A666" s="30" t="s">
        <v>1771</v>
      </c>
      <c r="B666" s="30" t="s">
        <v>1772</v>
      </c>
      <c r="C666" s="30" t="s">
        <v>44</v>
      </c>
      <c r="D666" s="30" t="s">
        <v>17</v>
      </c>
      <c r="E666" s="30" t="s">
        <v>67</v>
      </c>
      <c r="F666" s="30" t="s">
        <v>68</v>
      </c>
      <c r="G666" s="30" t="s">
        <v>140</v>
      </c>
      <c r="H666" s="32">
        <v>231</v>
      </c>
      <c r="I666" s="30" t="s">
        <v>51</v>
      </c>
      <c r="J666" s="41">
        <v>43837</v>
      </c>
      <c r="K666" s="30" t="s">
        <v>22</v>
      </c>
    </row>
    <row r="667" spans="1:11">
      <c r="A667" s="33" t="s">
        <v>1773</v>
      </c>
      <c r="B667" s="33" t="s">
        <v>1774</v>
      </c>
      <c r="C667" s="33" t="s">
        <v>1775</v>
      </c>
      <c r="D667" s="33" t="s">
        <v>17</v>
      </c>
      <c r="E667" s="33" t="s">
        <v>26</v>
      </c>
      <c r="F667" s="33" t="s">
        <v>27</v>
      </c>
      <c r="G667" s="33" t="s">
        <v>20</v>
      </c>
      <c r="H667" s="35">
        <v>22</v>
      </c>
      <c r="I667" s="33" t="s">
        <v>21</v>
      </c>
      <c r="J667" s="42">
        <v>44025</v>
      </c>
      <c r="K667" s="33" t="s">
        <v>22</v>
      </c>
    </row>
    <row r="668" spans="1:11">
      <c r="A668" s="30" t="s">
        <v>1776</v>
      </c>
      <c r="B668" s="30" t="s">
        <v>1777</v>
      </c>
      <c r="C668" s="30" t="s">
        <v>1778</v>
      </c>
      <c r="D668" s="30" t="s">
        <v>17</v>
      </c>
      <c r="E668" s="30" t="s">
        <v>26</v>
      </c>
      <c r="F668" s="30" t="s">
        <v>27</v>
      </c>
      <c r="G668" s="30" t="s">
        <v>20</v>
      </c>
      <c r="H668" s="32">
        <v>10</v>
      </c>
      <c r="I668" s="30" t="s">
        <v>21</v>
      </c>
      <c r="J668" s="41">
        <v>44117</v>
      </c>
      <c r="K668" s="30" t="s">
        <v>22</v>
      </c>
    </row>
    <row r="669" spans="1:11">
      <c r="A669" s="33" t="s">
        <v>1779</v>
      </c>
      <c r="B669" s="33" t="s">
        <v>1780</v>
      </c>
      <c r="C669" s="33" t="s">
        <v>1781</v>
      </c>
      <c r="D669" s="33" t="s">
        <v>17</v>
      </c>
      <c r="E669" s="33" t="s">
        <v>67</v>
      </c>
      <c r="F669" s="33" t="s">
        <v>68</v>
      </c>
      <c r="G669" s="33" t="s">
        <v>106</v>
      </c>
      <c r="H669" s="35">
        <v>17</v>
      </c>
      <c r="I669" s="33" t="s">
        <v>21</v>
      </c>
      <c r="J669" s="42">
        <v>44173</v>
      </c>
      <c r="K669" s="33" t="s">
        <v>22</v>
      </c>
    </row>
    <row r="670" spans="1:11">
      <c r="A670" s="30" t="s">
        <v>1782</v>
      </c>
      <c r="B670" s="30" t="s">
        <v>1783</v>
      </c>
      <c r="C670" s="30" t="s">
        <v>78</v>
      </c>
      <c r="D670" s="30" t="s">
        <v>17</v>
      </c>
      <c r="E670" s="30" t="s">
        <v>26</v>
      </c>
      <c r="F670" s="30" t="s">
        <v>27</v>
      </c>
      <c r="G670" s="30" t="s">
        <v>50</v>
      </c>
      <c r="H670" s="32">
        <v>34</v>
      </c>
      <c r="I670" s="30" t="s">
        <v>51</v>
      </c>
      <c r="J670" s="41">
        <v>43927</v>
      </c>
      <c r="K670" s="30" t="s">
        <v>22</v>
      </c>
    </row>
    <row r="671" spans="1:11">
      <c r="A671" s="33" t="s">
        <v>1784</v>
      </c>
      <c r="B671" s="33" t="s">
        <v>1785</v>
      </c>
      <c r="C671" s="33" t="s">
        <v>1267</v>
      </c>
      <c r="D671" s="33" t="s">
        <v>17</v>
      </c>
      <c r="E671" s="33" t="s">
        <v>67</v>
      </c>
      <c r="F671" s="33" t="s">
        <v>68</v>
      </c>
      <c r="G671" s="33" t="s">
        <v>20</v>
      </c>
      <c r="H671" s="35">
        <v>173</v>
      </c>
      <c r="I671" s="33" t="s">
        <v>21</v>
      </c>
      <c r="J671" s="42">
        <v>44019</v>
      </c>
      <c r="K671" s="33" t="s">
        <v>22</v>
      </c>
    </row>
    <row r="672" spans="1:11">
      <c r="A672" s="30" t="s">
        <v>1786</v>
      </c>
      <c r="B672" s="30" t="s">
        <v>1787</v>
      </c>
      <c r="C672" s="30" t="s">
        <v>1788</v>
      </c>
      <c r="D672" s="30" t="s">
        <v>17</v>
      </c>
      <c r="E672" s="30" t="s">
        <v>31</v>
      </c>
      <c r="F672" s="30" t="s">
        <v>32</v>
      </c>
      <c r="G672" s="30" t="s">
        <v>106</v>
      </c>
      <c r="H672" s="32">
        <v>27</v>
      </c>
      <c r="I672" s="30" t="s">
        <v>21</v>
      </c>
      <c r="J672" s="41">
        <v>44042</v>
      </c>
      <c r="K672" s="30" t="s">
        <v>22</v>
      </c>
    </row>
    <row r="673" spans="1:11">
      <c r="A673" s="33" t="s">
        <v>1789</v>
      </c>
      <c r="B673" s="33" t="s">
        <v>1790</v>
      </c>
      <c r="C673" s="33" t="s">
        <v>1791</v>
      </c>
      <c r="D673" s="33" t="s">
        <v>17</v>
      </c>
      <c r="E673" s="33" t="s">
        <v>212</v>
      </c>
      <c r="F673" s="33" t="s">
        <v>213</v>
      </c>
      <c r="G673" s="33" t="s">
        <v>20</v>
      </c>
      <c r="H673" s="35">
        <v>150</v>
      </c>
      <c r="I673" s="33" t="s">
        <v>21</v>
      </c>
      <c r="J673" s="42">
        <v>43945</v>
      </c>
      <c r="K673" s="33" t="s">
        <v>22</v>
      </c>
    </row>
    <row r="674" spans="1:11">
      <c r="A674" s="30" t="s">
        <v>1792</v>
      </c>
      <c r="B674" s="30" t="s">
        <v>1793</v>
      </c>
      <c r="C674" s="30" t="s">
        <v>102</v>
      </c>
      <c r="D674" s="30" t="s">
        <v>17</v>
      </c>
      <c r="E674" s="30" t="s">
        <v>18</v>
      </c>
      <c r="F674" s="30" t="s">
        <v>19</v>
      </c>
      <c r="G674" s="30" t="s">
        <v>158</v>
      </c>
      <c r="H674" s="32">
        <v>518</v>
      </c>
      <c r="I674" s="30" t="s">
        <v>21</v>
      </c>
      <c r="J674" s="41">
        <v>44172</v>
      </c>
      <c r="K674" s="30" t="s">
        <v>22</v>
      </c>
    </row>
    <row r="675" spans="1:11">
      <c r="A675" s="33" t="s">
        <v>1794</v>
      </c>
      <c r="B675" s="33" t="s">
        <v>1795</v>
      </c>
      <c r="C675" s="33" t="s">
        <v>1796</v>
      </c>
      <c r="D675" s="33" t="s">
        <v>17</v>
      </c>
      <c r="E675" s="33" t="s">
        <v>26</v>
      </c>
      <c r="F675" s="33" t="s">
        <v>27</v>
      </c>
      <c r="G675" s="33" t="s">
        <v>20</v>
      </c>
      <c r="H675" s="35">
        <v>88</v>
      </c>
      <c r="I675" s="33" t="s">
        <v>21</v>
      </c>
      <c r="J675" s="42">
        <v>44022</v>
      </c>
      <c r="K675" s="33" t="s">
        <v>22</v>
      </c>
    </row>
    <row r="676" spans="1:11">
      <c r="A676" s="30" t="s">
        <v>1797</v>
      </c>
      <c r="B676" s="30" t="s">
        <v>1798</v>
      </c>
      <c r="C676" s="30" t="s">
        <v>1652</v>
      </c>
      <c r="D676" s="30" t="s">
        <v>17</v>
      </c>
      <c r="E676" s="30" t="s">
        <v>31</v>
      </c>
      <c r="F676" s="30" t="s">
        <v>32</v>
      </c>
      <c r="G676" s="30" t="s">
        <v>20</v>
      </c>
      <c r="H676" s="32">
        <v>21</v>
      </c>
      <c r="I676" s="30" t="s">
        <v>21</v>
      </c>
      <c r="J676" s="41">
        <v>44061</v>
      </c>
      <c r="K676" s="30" t="s">
        <v>22</v>
      </c>
    </row>
    <row r="677" spans="1:11">
      <c r="A677" s="33" t="s">
        <v>1799</v>
      </c>
      <c r="B677" s="33" t="s">
        <v>1800</v>
      </c>
      <c r="C677" s="33" t="s">
        <v>1801</v>
      </c>
      <c r="D677" s="33" t="s">
        <v>17</v>
      </c>
      <c r="E677" s="33" t="s">
        <v>26</v>
      </c>
      <c r="F677" s="33" t="s">
        <v>27</v>
      </c>
      <c r="G677" s="33" t="s">
        <v>50</v>
      </c>
      <c r="H677" s="35">
        <v>30</v>
      </c>
      <c r="I677" s="33" t="s">
        <v>51</v>
      </c>
      <c r="J677" s="42">
        <v>43923</v>
      </c>
      <c r="K677" s="33" t="s">
        <v>22</v>
      </c>
    </row>
    <row r="678" spans="1:11">
      <c r="A678" s="30" t="s">
        <v>1802</v>
      </c>
      <c r="B678" s="30" t="s">
        <v>1803</v>
      </c>
      <c r="C678" s="30" t="s">
        <v>157</v>
      </c>
      <c r="D678" s="30" t="s">
        <v>17</v>
      </c>
      <c r="E678" s="30" t="s">
        <v>18</v>
      </c>
      <c r="F678" s="30" t="s">
        <v>19</v>
      </c>
      <c r="G678" s="30" t="s">
        <v>20</v>
      </c>
      <c r="H678" s="32">
        <v>77</v>
      </c>
      <c r="I678" s="30" t="s">
        <v>21</v>
      </c>
      <c r="J678" s="41">
        <v>43955</v>
      </c>
      <c r="K678" s="30" t="s">
        <v>22</v>
      </c>
    </row>
    <row r="679" spans="1:11">
      <c r="A679" s="33" t="s">
        <v>1804</v>
      </c>
      <c r="B679" s="33" t="s">
        <v>1805</v>
      </c>
      <c r="C679" s="33" t="s">
        <v>96</v>
      </c>
      <c r="D679" s="33" t="s">
        <v>17</v>
      </c>
      <c r="E679" s="33" t="s">
        <v>26</v>
      </c>
      <c r="F679" s="33" t="s">
        <v>27</v>
      </c>
      <c r="G679" s="33" t="s">
        <v>20</v>
      </c>
      <c r="H679" s="35">
        <v>6</v>
      </c>
      <c r="I679" s="33" t="s">
        <v>21</v>
      </c>
      <c r="J679" s="42">
        <v>44145</v>
      </c>
      <c r="K679" s="33" t="s">
        <v>22</v>
      </c>
    </row>
    <row r="680" spans="1:11">
      <c r="A680" s="30" t="s">
        <v>1806</v>
      </c>
      <c r="B680" s="30" t="s">
        <v>1807</v>
      </c>
      <c r="C680" s="30" t="s">
        <v>1808</v>
      </c>
      <c r="D680" s="30" t="s">
        <v>17</v>
      </c>
      <c r="E680" s="30" t="s">
        <v>26</v>
      </c>
      <c r="F680" s="30" t="s">
        <v>27</v>
      </c>
      <c r="G680" s="30" t="s">
        <v>50</v>
      </c>
      <c r="H680" s="32">
        <v>60</v>
      </c>
      <c r="I680" s="30" t="s">
        <v>51</v>
      </c>
      <c r="J680" s="41">
        <v>44172</v>
      </c>
      <c r="K680" s="30" t="s">
        <v>22</v>
      </c>
    </row>
    <row r="681" spans="1:11">
      <c r="A681" s="33" t="s">
        <v>1809</v>
      </c>
      <c r="B681" s="33" t="s">
        <v>1810</v>
      </c>
      <c r="C681" s="33" t="s">
        <v>1543</v>
      </c>
      <c r="D681" s="33" t="s">
        <v>17</v>
      </c>
      <c r="E681" s="33" t="s">
        <v>18</v>
      </c>
      <c r="F681" s="33" t="s">
        <v>19</v>
      </c>
      <c r="G681" s="33" t="s">
        <v>158</v>
      </c>
      <c r="H681" s="35">
        <v>174</v>
      </c>
      <c r="I681" s="33" t="s">
        <v>21</v>
      </c>
      <c r="J681" s="42">
        <v>44068</v>
      </c>
      <c r="K681" s="33" t="s">
        <v>22</v>
      </c>
    </row>
    <row r="682" spans="1:11">
      <c r="A682" s="30" t="s">
        <v>1811</v>
      </c>
      <c r="B682" s="30" t="s">
        <v>1812</v>
      </c>
      <c r="C682" s="30" t="s">
        <v>1813</v>
      </c>
      <c r="D682" s="30" t="s">
        <v>17</v>
      </c>
      <c r="E682" s="30" t="s">
        <v>45</v>
      </c>
      <c r="F682" s="30" t="s">
        <v>46</v>
      </c>
      <c r="G682" s="30" t="s">
        <v>50</v>
      </c>
      <c r="H682" s="32">
        <v>35</v>
      </c>
      <c r="I682" s="30" t="s">
        <v>51</v>
      </c>
      <c r="J682" s="41">
        <v>43871</v>
      </c>
      <c r="K682" s="30" t="s">
        <v>22</v>
      </c>
    </row>
    <row r="683" spans="1:11">
      <c r="A683" s="33" t="s">
        <v>1814</v>
      </c>
      <c r="B683" s="33" t="s">
        <v>1815</v>
      </c>
      <c r="C683" s="33" t="s">
        <v>1816</v>
      </c>
      <c r="D683" s="33" t="s">
        <v>17</v>
      </c>
      <c r="E683" s="33" t="s">
        <v>67</v>
      </c>
      <c r="F683" s="33" t="s">
        <v>68</v>
      </c>
      <c r="G683" s="33" t="s">
        <v>106</v>
      </c>
      <c r="H683" s="35">
        <v>37</v>
      </c>
      <c r="I683" s="33" t="s">
        <v>21</v>
      </c>
      <c r="J683" s="42">
        <v>43837</v>
      </c>
      <c r="K683" s="33" t="s">
        <v>22</v>
      </c>
    </row>
    <row r="684" spans="1:11">
      <c r="A684" s="30" t="s">
        <v>1817</v>
      </c>
      <c r="B684" s="30" t="s">
        <v>1818</v>
      </c>
      <c r="C684" s="30" t="s">
        <v>203</v>
      </c>
      <c r="D684" s="30" t="s">
        <v>17</v>
      </c>
      <c r="E684" s="30" t="s">
        <v>31</v>
      </c>
      <c r="F684" s="30" t="s">
        <v>32</v>
      </c>
      <c r="G684" s="30" t="s">
        <v>106</v>
      </c>
      <c r="H684" s="32">
        <v>31</v>
      </c>
      <c r="I684" s="30" t="s">
        <v>21</v>
      </c>
      <c r="J684" s="41">
        <v>44074</v>
      </c>
      <c r="K684" s="30" t="s">
        <v>22</v>
      </c>
    </row>
    <row r="685" spans="1:11">
      <c r="A685" s="33" t="s">
        <v>1819</v>
      </c>
      <c r="B685" s="33" t="s">
        <v>1820</v>
      </c>
      <c r="C685" s="33" t="s">
        <v>157</v>
      </c>
      <c r="D685" s="33" t="s">
        <v>17</v>
      </c>
      <c r="E685" s="33" t="s">
        <v>31</v>
      </c>
      <c r="F685" s="33" t="s">
        <v>32</v>
      </c>
      <c r="G685" s="33" t="s">
        <v>20</v>
      </c>
      <c r="H685" s="35">
        <v>41</v>
      </c>
      <c r="I685" s="33" t="s">
        <v>21</v>
      </c>
      <c r="J685" s="42">
        <v>44144</v>
      </c>
      <c r="K685" s="33" t="s">
        <v>22</v>
      </c>
    </row>
    <row r="686" spans="1:11">
      <c r="A686" s="30" t="s">
        <v>1821</v>
      </c>
      <c r="B686" s="30" t="s">
        <v>1822</v>
      </c>
      <c r="C686" s="30" t="s">
        <v>1823</v>
      </c>
      <c r="D686" s="30" t="s">
        <v>17</v>
      </c>
      <c r="E686" s="30" t="s">
        <v>67</v>
      </c>
      <c r="F686" s="30" t="s">
        <v>68</v>
      </c>
      <c r="G686" s="30" t="s">
        <v>106</v>
      </c>
      <c r="H686" s="32">
        <v>14</v>
      </c>
      <c r="I686" s="30" t="s">
        <v>21</v>
      </c>
      <c r="J686" s="41">
        <v>43839</v>
      </c>
      <c r="K686" s="30" t="s">
        <v>22</v>
      </c>
    </row>
    <row r="687" spans="1:11">
      <c r="A687" s="33" t="s">
        <v>1824</v>
      </c>
      <c r="B687" s="33" t="s">
        <v>1825</v>
      </c>
      <c r="C687" s="33" t="s">
        <v>1826</v>
      </c>
      <c r="D687" s="33" t="s">
        <v>17</v>
      </c>
      <c r="E687" s="33" t="s">
        <v>31</v>
      </c>
      <c r="F687" s="33" t="s">
        <v>32</v>
      </c>
      <c r="G687" s="33" t="s">
        <v>20</v>
      </c>
      <c r="H687" s="35">
        <v>18</v>
      </c>
      <c r="I687" s="33" t="s">
        <v>21</v>
      </c>
      <c r="J687" s="42">
        <v>44043</v>
      </c>
      <c r="K687" s="33" t="s">
        <v>22</v>
      </c>
    </row>
    <row r="688" spans="1:11">
      <c r="A688" s="30" t="s">
        <v>1827</v>
      </c>
      <c r="B688" s="30" t="s">
        <v>1828</v>
      </c>
      <c r="C688" s="30" t="s">
        <v>96</v>
      </c>
      <c r="D688" s="30" t="s">
        <v>17</v>
      </c>
      <c r="E688" s="30" t="s">
        <v>26</v>
      </c>
      <c r="F688" s="30" t="s">
        <v>27</v>
      </c>
      <c r="G688" s="30" t="s">
        <v>20</v>
      </c>
      <c r="H688" s="32">
        <v>18</v>
      </c>
      <c r="I688" s="30" t="s">
        <v>21</v>
      </c>
      <c r="J688" s="41">
        <v>44067</v>
      </c>
      <c r="K688" s="30" t="s">
        <v>22</v>
      </c>
    </row>
    <row r="689" spans="1:11">
      <c r="A689" s="33" t="s">
        <v>1829</v>
      </c>
      <c r="B689" s="33" t="s">
        <v>1830</v>
      </c>
      <c r="C689" s="33" t="s">
        <v>178</v>
      </c>
      <c r="D689" s="33" t="s">
        <v>17</v>
      </c>
      <c r="E689" s="33" t="s">
        <v>26</v>
      </c>
      <c r="F689" s="33" t="s">
        <v>27</v>
      </c>
      <c r="G689" s="33" t="s">
        <v>106</v>
      </c>
      <c r="H689" s="35">
        <v>2</v>
      </c>
      <c r="I689" s="33" t="s">
        <v>21</v>
      </c>
      <c r="J689" s="42">
        <v>44096</v>
      </c>
      <c r="K689" s="33" t="s">
        <v>22</v>
      </c>
    </row>
    <row r="690" spans="1:11">
      <c r="A690" s="30" t="s">
        <v>1831</v>
      </c>
      <c r="B690" s="30" t="s">
        <v>1832</v>
      </c>
      <c r="C690" s="30" t="s">
        <v>96</v>
      </c>
      <c r="D690" s="30" t="s">
        <v>17</v>
      </c>
      <c r="E690" s="30" t="s">
        <v>31</v>
      </c>
      <c r="F690" s="30" t="s">
        <v>32</v>
      </c>
      <c r="G690" s="30" t="s">
        <v>20</v>
      </c>
      <c r="H690" s="32">
        <v>460</v>
      </c>
      <c r="I690" s="30" t="s">
        <v>21</v>
      </c>
      <c r="J690" s="41">
        <v>44041</v>
      </c>
      <c r="K690" s="30" t="s">
        <v>22</v>
      </c>
    </row>
    <row r="691" spans="1:11">
      <c r="A691" s="33" t="s">
        <v>1833</v>
      </c>
      <c r="B691" s="33" t="s">
        <v>1834</v>
      </c>
      <c r="C691" s="33" t="s">
        <v>1835</v>
      </c>
      <c r="D691" s="33" t="s">
        <v>17</v>
      </c>
      <c r="E691" s="33" t="s">
        <v>31</v>
      </c>
      <c r="F691" s="33" t="s">
        <v>32</v>
      </c>
      <c r="G691" s="33" t="s">
        <v>20</v>
      </c>
      <c r="H691" s="35">
        <v>420</v>
      </c>
      <c r="I691" s="33" t="s">
        <v>21</v>
      </c>
      <c r="J691" s="42">
        <v>44184</v>
      </c>
      <c r="K691" s="33" t="s">
        <v>22</v>
      </c>
    </row>
    <row r="692" spans="1:11">
      <c r="A692" s="30" t="s">
        <v>1836</v>
      </c>
      <c r="B692" s="30" t="s">
        <v>1837</v>
      </c>
      <c r="C692" s="30" t="s">
        <v>318</v>
      </c>
      <c r="D692" s="30" t="s">
        <v>17</v>
      </c>
      <c r="E692" s="30" t="s">
        <v>26</v>
      </c>
      <c r="F692" s="30" t="s">
        <v>27</v>
      </c>
      <c r="G692" s="30" t="s">
        <v>106</v>
      </c>
      <c r="H692" s="32">
        <v>15</v>
      </c>
      <c r="I692" s="30" t="s">
        <v>21</v>
      </c>
      <c r="J692" s="41">
        <v>44011</v>
      </c>
      <c r="K692" s="30" t="s">
        <v>22</v>
      </c>
    </row>
    <row r="693" spans="1:11">
      <c r="A693" s="33" t="s">
        <v>1838</v>
      </c>
      <c r="B693" s="33" t="s">
        <v>1839</v>
      </c>
      <c r="C693" s="33" t="s">
        <v>1840</v>
      </c>
      <c r="D693" s="33" t="s">
        <v>17</v>
      </c>
      <c r="E693" s="33" t="s">
        <v>26</v>
      </c>
      <c r="F693" s="33" t="s">
        <v>27</v>
      </c>
      <c r="G693" s="33" t="s">
        <v>20</v>
      </c>
      <c r="H693" s="35">
        <v>34</v>
      </c>
      <c r="I693" s="33" t="s">
        <v>21</v>
      </c>
      <c r="J693" s="42">
        <v>44141</v>
      </c>
      <c r="K693" s="33" t="s">
        <v>22</v>
      </c>
    </row>
    <row r="694" spans="1:11">
      <c r="A694" s="30" t="s">
        <v>1841</v>
      </c>
      <c r="B694" s="30" t="s">
        <v>1842</v>
      </c>
      <c r="C694" s="30" t="s">
        <v>1843</v>
      </c>
      <c r="D694" s="30" t="s">
        <v>17</v>
      </c>
      <c r="E694" s="30" t="s">
        <v>18</v>
      </c>
      <c r="F694" s="30" t="s">
        <v>19</v>
      </c>
      <c r="G694" s="30" t="s">
        <v>50</v>
      </c>
      <c r="H694" s="32">
        <v>80</v>
      </c>
      <c r="I694" s="30" t="s">
        <v>51</v>
      </c>
      <c r="J694" s="41">
        <v>44044</v>
      </c>
      <c r="K694" s="30" t="s">
        <v>22</v>
      </c>
    </row>
    <row r="695" spans="1:11">
      <c r="A695" s="33" t="s">
        <v>1844</v>
      </c>
      <c r="B695" s="33" t="s">
        <v>1845</v>
      </c>
      <c r="C695" s="33" t="s">
        <v>1846</v>
      </c>
      <c r="D695" s="33" t="s">
        <v>17</v>
      </c>
      <c r="E695" s="33" t="s">
        <v>45</v>
      </c>
      <c r="F695" s="33" t="s">
        <v>46</v>
      </c>
      <c r="G695" s="33" t="s">
        <v>20</v>
      </c>
      <c r="H695" s="35">
        <v>70</v>
      </c>
      <c r="I695" s="33" t="s">
        <v>21</v>
      </c>
      <c r="J695" s="42">
        <v>44182</v>
      </c>
      <c r="K695" s="33" t="s">
        <v>22</v>
      </c>
    </row>
    <row r="696" spans="1:11">
      <c r="A696" s="30" t="s">
        <v>1847</v>
      </c>
      <c r="B696" s="30" t="s">
        <v>1848</v>
      </c>
      <c r="C696" s="30" t="s">
        <v>1849</v>
      </c>
      <c r="D696" s="30" t="s">
        <v>17</v>
      </c>
      <c r="E696" s="30" t="s">
        <v>18</v>
      </c>
      <c r="F696" s="30" t="s">
        <v>19</v>
      </c>
      <c r="G696" s="30" t="s">
        <v>20</v>
      </c>
      <c r="H696" s="32">
        <v>184</v>
      </c>
      <c r="I696" s="30" t="s">
        <v>21</v>
      </c>
      <c r="J696" s="41">
        <v>43994</v>
      </c>
      <c r="K696" s="30" t="s">
        <v>22</v>
      </c>
    </row>
    <row r="697" spans="1:11">
      <c r="A697" s="33" t="s">
        <v>1850</v>
      </c>
      <c r="B697" s="33" t="s">
        <v>1851</v>
      </c>
      <c r="C697" s="33" t="s">
        <v>1006</v>
      </c>
      <c r="D697" s="33" t="s">
        <v>17</v>
      </c>
      <c r="E697" s="33" t="s">
        <v>26</v>
      </c>
      <c r="F697" s="33" t="s">
        <v>27</v>
      </c>
      <c r="G697" s="33" t="s">
        <v>50</v>
      </c>
      <c r="H697" s="35">
        <v>41</v>
      </c>
      <c r="I697" s="33" t="s">
        <v>51</v>
      </c>
      <c r="J697" s="42">
        <v>44047</v>
      </c>
      <c r="K697" s="33" t="s">
        <v>22</v>
      </c>
    </row>
    <row r="698" spans="1:11">
      <c r="A698" s="30" t="s">
        <v>1852</v>
      </c>
      <c r="B698" s="30" t="s">
        <v>1853</v>
      </c>
      <c r="C698" s="30" t="s">
        <v>1854</v>
      </c>
      <c r="D698" s="30" t="s">
        <v>17</v>
      </c>
      <c r="E698" s="30" t="s">
        <v>26</v>
      </c>
      <c r="F698" s="30" t="s">
        <v>27</v>
      </c>
      <c r="G698" s="30" t="s">
        <v>20</v>
      </c>
      <c r="H698" s="32">
        <v>15</v>
      </c>
      <c r="I698" s="30" t="s">
        <v>21</v>
      </c>
      <c r="J698" s="41">
        <v>44032</v>
      </c>
      <c r="K698" s="30" t="s">
        <v>22</v>
      </c>
    </row>
    <row r="699" spans="1:11">
      <c r="A699" s="33" t="s">
        <v>1855</v>
      </c>
      <c r="B699" s="33" t="s">
        <v>1856</v>
      </c>
      <c r="C699" s="33" t="s">
        <v>1857</v>
      </c>
      <c r="D699" s="33" t="s">
        <v>17</v>
      </c>
      <c r="E699" s="33" t="s">
        <v>26</v>
      </c>
      <c r="F699" s="33" t="s">
        <v>27</v>
      </c>
      <c r="G699" s="33" t="s">
        <v>50</v>
      </c>
      <c r="H699" s="35">
        <v>10</v>
      </c>
      <c r="I699" s="33" t="s">
        <v>51</v>
      </c>
      <c r="J699" s="42">
        <v>44077</v>
      </c>
      <c r="K699" s="33" t="s">
        <v>22</v>
      </c>
    </row>
    <row r="700" spans="1:11">
      <c r="A700" s="30" t="s">
        <v>1858</v>
      </c>
      <c r="B700" s="30" t="s">
        <v>1859</v>
      </c>
      <c r="C700" s="30" t="s">
        <v>549</v>
      </c>
      <c r="D700" s="30" t="s">
        <v>17</v>
      </c>
      <c r="E700" s="30" t="s">
        <v>31</v>
      </c>
      <c r="F700" s="30" t="s">
        <v>32</v>
      </c>
      <c r="G700" s="30" t="s">
        <v>20</v>
      </c>
      <c r="H700" s="32">
        <v>496</v>
      </c>
      <c r="I700" s="30" t="s">
        <v>21</v>
      </c>
      <c r="J700" s="41">
        <v>44195</v>
      </c>
      <c r="K700" s="30" t="s">
        <v>22</v>
      </c>
    </row>
    <row r="701" spans="1:11">
      <c r="A701" s="33" t="s">
        <v>1860</v>
      </c>
      <c r="B701" s="33" t="s">
        <v>1861</v>
      </c>
      <c r="C701" s="33" t="s">
        <v>1862</v>
      </c>
      <c r="D701" s="33" t="s">
        <v>17</v>
      </c>
      <c r="E701" s="33" t="s">
        <v>18</v>
      </c>
      <c r="F701" s="33" t="s">
        <v>19</v>
      </c>
      <c r="G701" s="33" t="s">
        <v>106</v>
      </c>
      <c r="H701" s="35">
        <v>75</v>
      </c>
      <c r="I701" s="33" t="s">
        <v>21</v>
      </c>
      <c r="J701" s="42">
        <v>44011</v>
      </c>
      <c r="K701" s="33" t="s">
        <v>22</v>
      </c>
    </row>
    <row r="702" spans="1:11">
      <c r="A702" s="30" t="s">
        <v>1863</v>
      </c>
      <c r="B702" s="30" t="s">
        <v>1864</v>
      </c>
      <c r="C702" s="30" t="s">
        <v>170</v>
      </c>
      <c r="D702" s="30" t="s">
        <v>17</v>
      </c>
      <c r="E702" s="30" t="s">
        <v>26</v>
      </c>
      <c r="F702" s="30" t="s">
        <v>27</v>
      </c>
      <c r="G702" s="30" t="s">
        <v>20</v>
      </c>
      <c r="H702" s="32">
        <v>28</v>
      </c>
      <c r="I702" s="30" t="s">
        <v>21</v>
      </c>
      <c r="J702" s="41">
        <v>44186</v>
      </c>
      <c r="K702" s="30" t="s">
        <v>22</v>
      </c>
    </row>
    <row r="703" spans="1:11">
      <c r="A703" s="33" t="s">
        <v>1865</v>
      </c>
      <c r="B703" s="33" t="s">
        <v>1866</v>
      </c>
      <c r="C703" s="33" t="s">
        <v>969</v>
      </c>
      <c r="D703" s="33" t="s">
        <v>17</v>
      </c>
      <c r="E703" s="33" t="s">
        <v>26</v>
      </c>
      <c r="F703" s="33" t="s">
        <v>27</v>
      </c>
      <c r="G703" s="33" t="s">
        <v>158</v>
      </c>
      <c r="H703" s="35">
        <v>107</v>
      </c>
      <c r="I703" s="33" t="s">
        <v>21</v>
      </c>
      <c r="J703" s="42">
        <v>44007</v>
      </c>
      <c r="K703" s="33" t="s">
        <v>22</v>
      </c>
    </row>
    <row r="704" spans="1:11">
      <c r="A704" s="30" t="s">
        <v>1867</v>
      </c>
      <c r="B704" s="30" t="s">
        <v>1868</v>
      </c>
      <c r="C704" s="30" t="s">
        <v>1869</v>
      </c>
      <c r="D704" s="30" t="s">
        <v>17</v>
      </c>
      <c r="E704" s="30" t="s">
        <v>18</v>
      </c>
      <c r="F704" s="30" t="s">
        <v>19</v>
      </c>
      <c r="G704" s="30" t="s">
        <v>20</v>
      </c>
      <c r="H704" s="32">
        <v>354</v>
      </c>
      <c r="I704" s="30" t="s">
        <v>21</v>
      </c>
      <c r="J704" s="41">
        <v>44089</v>
      </c>
      <c r="K704" s="30" t="s">
        <v>22</v>
      </c>
    </row>
    <row r="705" spans="1:11">
      <c r="A705" s="33" t="s">
        <v>1870</v>
      </c>
      <c r="B705" s="33" t="s">
        <v>1871</v>
      </c>
      <c r="C705" s="33" t="s">
        <v>1872</v>
      </c>
      <c r="D705" s="33" t="s">
        <v>17</v>
      </c>
      <c r="E705" s="33" t="s">
        <v>67</v>
      </c>
      <c r="F705" s="33" t="s">
        <v>68</v>
      </c>
      <c r="G705" s="33" t="s">
        <v>106</v>
      </c>
      <c r="H705" s="35">
        <v>15</v>
      </c>
      <c r="I705" s="33" t="s">
        <v>21</v>
      </c>
      <c r="J705" s="42">
        <v>44025</v>
      </c>
      <c r="K705" s="33" t="s">
        <v>22</v>
      </c>
    </row>
    <row r="706" spans="1:11">
      <c r="A706" s="30" t="s">
        <v>1873</v>
      </c>
      <c r="B706" s="30" t="s">
        <v>1874</v>
      </c>
      <c r="C706" s="30" t="s">
        <v>190</v>
      </c>
      <c r="D706" s="30" t="s">
        <v>17</v>
      </c>
      <c r="E706" s="30" t="s">
        <v>67</v>
      </c>
      <c r="F706" s="30" t="s">
        <v>68</v>
      </c>
      <c r="G706" s="30" t="s">
        <v>158</v>
      </c>
      <c r="H706" s="32">
        <v>245</v>
      </c>
      <c r="I706" s="30" t="s">
        <v>21</v>
      </c>
      <c r="J706" s="41">
        <v>44193</v>
      </c>
      <c r="K706" s="30" t="s">
        <v>22</v>
      </c>
    </row>
    <row r="707" spans="1:11">
      <c r="A707" s="33" t="s">
        <v>1875</v>
      </c>
      <c r="B707" s="33" t="s">
        <v>1876</v>
      </c>
      <c r="C707" s="33" t="s">
        <v>1877</v>
      </c>
      <c r="D707" s="33" t="s">
        <v>17</v>
      </c>
      <c r="E707" s="33" t="s">
        <v>26</v>
      </c>
      <c r="F707" s="33" t="s">
        <v>27</v>
      </c>
      <c r="G707" s="33" t="s">
        <v>106</v>
      </c>
      <c r="H707" s="35">
        <v>5</v>
      </c>
      <c r="I707" s="33" t="s">
        <v>21</v>
      </c>
      <c r="J707" s="42">
        <v>44091</v>
      </c>
      <c r="K707" s="33" t="s">
        <v>22</v>
      </c>
    </row>
    <row r="708" spans="1:11">
      <c r="A708" s="30" t="s">
        <v>1878</v>
      </c>
      <c r="B708" s="30" t="s">
        <v>1879</v>
      </c>
      <c r="C708" s="30" t="s">
        <v>1880</v>
      </c>
      <c r="D708" s="30" t="s">
        <v>17</v>
      </c>
      <c r="E708" s="30" t="s">
        <v>67</v>
      </c>
      <c r="F708" s="30" t="s">
        <v>68</v>
      </c>
      <c r="G708" s="30" t="s">
        <v>106</v>
      </c>
      <c r="H708" s="32">
        <v>19</v>
      </c>
      <c r="I708" s="30" t="s">
        <v>21</v>
      </c>
      <c r="J708" s="41">
        <v>44095</v>
      </c>
      <c r="K708" s="30" t="s">
        <v>22</v>
      </c>
    </row>
    <row r="709" spans="1:11">
      <c r="A709" s="33" t="s">
        <v>1881</v>
      </c>
      <c r="B709" s="33" t="s">
        <v>1882</v>
      </c>
      <c r="C709" s="33" t="s">
        <v>190</v>
      </c>
      <c r="D709" s="33" t="s">
        <v>17</v>
      </c>
      <c r="E709" s="33" t="s">
        <v>31</v>
      </c>
      <c r="F709" s="33" t="s">
        <v>32</v>
      </c>
      <c r="G709" s="33" t="s">
        <v>106</v>
      </c>
      <c r="H709" s="35">
        <v>159</v>
      </c>
      <c r="I709" s="33" t="s">
        <v>21</v>
      </c>
      <c r="J709" s="42">
        <v>44131</v>
      </c>
      <c r="K709" s="33" t="s">
        <v>22</v>
      </c>
    </row>
    <row r="710" spans="1:11">
      <c r="A710" s="30" t="s">
        <v>1883</v>
      </c>
      <c r="B710" s="30" t="s">
        <v>1884</v>
      </c>
      <c r="C710" s="30" t="s">
        <v>187</v>
      </c>
      <c r="D710" s="30" t="s">
        <v>17</v>
      </c>
      <c r="E710" s="30" t="s">
        <v>31</v>
      </c>
      <c r="F710" s="30" t="s">
        <v>32</v>
      </c>
      <c r="G710" s="30" t="s">
        <v>50</v>
      </c>
      <c r="H710" s="32">
        <v>60</v>
      </c>
      <c r="I710" s="30" t="s">
        <v>51</v>
      </c>
      <c r="J710" s="41">
        <v>44098</v>
      </c>
      <c r="K710" s="30" t="s">
        <v>22</v>
      </c>
    </row>
    <row r="711" spans="1:11">
      <c r="A711" s="33" t="s">
        <v>1885</v>
      </c>
      <c r="B711" s="33" t="s">
        <v>1886</v>
      </c>
      <c r="C711" s="33" t="s">
        <v>1024</v>
      </c>
      <c r="D711" s="33" t="s">
        <v>17</v>
      </c>
      <c r="E711" s="33" t="s">
        <v>330</v>
      </c>
      <c r="F711" s="33" t="s">
        <v>331</v>
      </c>
      <c r="G711" s="33" t="s">
        <v>20</v>
      </c>
      <c r="H711" s="35">
        <v>40</v>
      </c>
      <c r="I711" s="33" t="s">
        <v>21</v>
      </c>
      <c r="J711" s="42">
        <v>44130</v>
      </c>
      <c r="K711" s="33" t="s">
        <v>22</v>
      </c>
    </row>
    <row r="712" spans="1:11">
      <c r="A712" s="30" t="s">
        <v>1887</v>
      </c>
      <c r="B712" s="30" t="s">
        <v>1888</v>
      </c>
      <c r="C712" s="30" t="s">
        <v>96</v>
      </c>
      <c r="D712" s="30" t="s">
        <v>17</v>
      </c>
      <c r="E712" s="30" t="s">
        <v>26</v>
      </c>
      <c r="F712" s="30" t="s">
        <v>27</v>
      </c>
      <c r="G712" s="30" t="s">
        <v>20</v>
      </c>
      <c r="H712" s="32">
        <v>13</v>
      </c>
      <c r="I712" s="30" t="s">
        <v>21</v>
      </c>
      <c r="J712" s="41">
        <v>44110</v>
      </c>
      <c r="K712" s="30" t="s">
        <v>22</v>
      </c>
    </row>
    <row r="713" spans="1:11">
      <c r="A713" s="33" t="s">
        <v>1889</v>
      </c>
      <c r="B713" s="33" t="s">
        <v>1890</v>
      </c>
      <c r="C713" s="33" t="s">
        <v>44</v>
      </c>
      <c r="D713" s="33" t="s">
        <v>17</v>
      </c>
      <c r="E713" s="33" t="s">
        <v>45</v>
      </c>
      <c r="F713" s="33" t="s">
        <v>46</v>
      </c>
      <c r="G713" s="33" t="s">
        <v>20</v>
      </c>
      <c r="H713" s="35">
        <v>1912</v>
      </c>
      <c r="I713" s="33" t="s">
        <v>21</v>
      </c>
      <c r="J713" s="42">
        <v>43908</v>
      </c>
      <c r="K713" s="33" t="s">
        <v>22</v>
      </c>
    </row>
    <row r="714" spans="1:11">
      <c r="A714" s="30" t="s">
        <v>1891</v>
      </c>
      <c r="B714" s="30" t="s">
        <v>1892</v>
      </c>
      <c r="C714" s="30" t="s">
        <v>969</v>
      </c>
      <c r="D714" s="30" t="s">
        <v>17</v>
      </c>
      <c r="E714" s="30" t="s">
        <v>18</v>
      </c>
      <c r="F714" s="30" t="s">
        <v>19</v>
      </c>
      <c r="G714" s="30" t="s">
        <v>106</v>
      </c>
      <c r="H714" s="32">
        <v>117</v>
      </c>
      <c r="I714" s="30" t="s">
        <v>21</v>
      </c>
      <c r="J714" s="41">
        <v>44055</v>
      </c>
      <c r="K714" s="30" t="s">
        <v>22</v>
      </c>
    </row>
    <row r="715" spans="1:11">
      <c r="A715" s="33" t="s">
        <v>1893</v>
      </c>
      <c r="B715" s="33" t="s">
        <v>1894</v>
      </c>
      <c r="C715" s="33" t="s">
        <v>567</v>
      </c>
      <c r="D715" s="33" t="s">
        <v>17</v>
      </c>
      <c r="E715" s="33" t="s">
        <v>31</v>
      </c>
      <c r="F715" s="33" t="s">
        <v>32</v>
      </c>
      <c r="G715" s="33" t="s">
        <v>106</v>
      </c>
      <c r="H715" s="35">
        <v>32</v>
      </c>
      <c r="I715" s="33" t="s">
        <v>21</v>
      </c>
      <c r="J715" s="42">
        <v>43864</v>
      </c>
      <c r="K715" s="33" t="s">
        <v>22</v>
      </c>
    </row>
    <row r="716" spans="1:11">
      <c r="A716" s="30" t="s">
        <v>1895</v>
      </c>
      <c r="B716" s="30" t="s">
        <v>1896</v>
      </c>
      <c r="C716" s="30" t="s">
        <v>1897</v>
      </c>
      <c r="D716" s="30" t="s">
        <v>17</v>
      </c>
      <c r="E716" s="30" t="s">
        <v>26</v>
      </c>
      <c r="F716" s="30" t="s">
        <v>27</v>
      </c>
      <c r="G716" s="30" t="s">
        <v>20</v>
      </c>
      <c r="H716" s="32">
        <v>27</v>
      </c>
      <c r="I716" s="30" t="s">
        <v>21</v>
      </c>
      <c r="J716" s="41">
        <v>44041</v>
      </c>
      <c r="K716" s="30" t="s">
        <v>22</v>
      </c>
    </row>
    <row r="717" spans="1:11">
      <c r="A717" s="33" t="s">
        <v>1898</v>
      </c>
      <c r="B717" s="33" t="s">
        <v>1899</v>
      </c>
      <c r="C717" s="33" t="s">
        <v>1900</v>
      </c>
      <c r="D717" s="33" t="s">
        <v>17</v>
      </c>
      <c r="E717" s="33" t="s">
        <v>26</v>
      </c>
      <c r="F717" s="33" t="s">
        <v>27</v>
      </c>
      <c r="G717" s="33" t="s">
        <v>158</v>
      </c>
      <c r="H717" s="35">
        <v>100</v>
      </c>
      <c r="I717" s="33" t="s">
        <v>21</v>
      </c>
      <c r="J717" s="42">
        <v>43934</v>
      </c>
      <c r="K717" s="33" t="s">
        <v>22</v>
      </c>
    </row>
    <row r="718" spans="1:11">
      <c r="A718" s="30" t="s">
        <v>1901</v>
      </c>
      <c r="B718" s="30" t="s">
        <v>1902</v>
      </c>
      <c r="C718" s="30" t="s">
        <v>136</v>
      </c>
      <c r="D718" s="30" t="s">
        <v>17</v>
      </c>
      <c r="E718" s="30" t="s">
        <v>18</v>
      </c>
      <c r="F718" s="30" t="s">
        <v>19</v>
      </c>
      <c r="G718" s="30" t="s">
        <v>20</v>
      </c>
      <c r="H718" s="32">
        <v>254</v>
      </c>
      <c r="I718" s="30" t="s">
        <v>21</v>
      </c>
      <c r="J718" s="41">
        <v>44152</v>
      </c>
      <c r="K718" s="30" t="s">
        <v>22</v>
      </c>
    </row>
    <row r="719" spans="1:11">
      <c r="A719" s="33" t="s">
        <v>1903</v>
      </c>
      <c r="B719" s="33" t="s">
        <v>1904</v>
      </c>
      <c r="C719" s="33" t="s">
        <v>1905</v>
      </c>
      <c r="D719" s="33" t="s">
        <v>17</v>
      </c>
      <c r="E719" s="33" t="s">
        <v>31</v>
      </c>
      <c r="F719" s="33" t="s">
        <v>32</v>
      </c>
      <c r="G719" s="33" t="s">
        <v>20</v>
      </c>
      <c r="H719" s="35">
        <v>31</v>
      </c>
      <c r="I719" s="33" t="s">
        <v>21</v>
      </c>
      <c r="J719" s="42">
        <v>44029</v>
      </c>
      <c r="K719" s="33" t="s">
        <v>22</v>
      </c>
    </row>
    <row r="720" spans="1:11">
      <c r="A720" s="30" t="s">
        <v>1906</v>
      </c>
      <c r="B720" s="30" t="s">
        <v>1907</v>
      </c>
      <c r="C720" s="30" t="s">
        <v>1908</v>
      </c>
      <c r="D720" s="30" t="s">
        <v>17</v>
      </c>
      <c r="E720" s="30" t="s">
        <v>26</v>
      </c>
      <c r="F720" s="30" t="s">
        <v>27</v>
      </c>
      <c r="G720" s="30" t="s">
        <v>20</v>
      </c>
      <c r="H720" s="32">
        <v>24</v>
      </c>
      <c r="I720" s="30" t="s">
        <v>21</v>
      </c>
      <c r="J720" s="41">
        <v>43831</v>
      </c>
      <c r="K720" s="30" t="s">
        <v>22</v>
      </c>
    </row>
    <row r="721" spans="1:11">
      <c r="A721" s="33" t="s">
        <v>1909</v>
      </c>
      <c r="B721" s="33" t="s">
        <v>1910</v>
      </c>
      <c r="C721" s="33" t="s">
        <v>190</v>
      </c>
      <c r="D721" s="33" t="s">
        <v>17</v>
      </c>
      <c r="E721" s="33" t="s">
        <v>26</v>
      </c>
      <c r="F721" s="33" t="s">
        <v>27</v>
      </c>
      <c r="G721" s="33" t="s">
        <v>20</v>
      </c>
      <c r="H721" s="35">
        <v>48</v>
      </c>
      <c r="I721" s="33" t="s">
        <v>21</v>
      </c>
      <c r="J721" s="42">
        <v>43969</v>
      </c>
      <c r="K721" s="33" t="s">
        <v>22</v>
      </c>
    </row>
    <row r="722" spans="1:11">
      <c r="A722" s="30" t="s">
        <v>1911</v>
      </c>
      <c r="B722" s="30" t="s">
        <v>1912</v>
      </c>
      <c r="C722" s="30" t="s">
        <v>178</v>
      </c>
      <c r="D722" s="30" t="s">
        <v>17</v>
      </c>
      <c r="E722" s="30" t="s">
        <v>18</v>
      </c>
      <c r="F722" s="30" t="s">
        <v>19</v>
      </c>
      <c r="G722" s="30" t="s">
        <v>20</v>
      </c>
      <c r="H722" s="32">
        <v>620</v>
      </c>
      <c r="I722" s="30" t="s">
        <v>21</v>
      </c>
      <c r="J722" s="41">
        <v>43894</v>
      </c>
      <c r="K722" s="30" t="s">
        <v>22</v>
      </c>
    </row>
    <row r="723" spans="1:11">
      <c r="A723" s="33" t="s">
        <v>1913</v>
      </c>
      <c r="B723" s="33" t="s">
        <v>1914</v>
      </c>
      <c r="C723" s="33" t="s">
        <v>1915</v>
      </c>
      <c r="D723" s="33" t="s">
        <v>17</v>
      </c>
      <c r="E723" s="33" t="s">
        <v>26</v>
      </c>
      <c r="F723" s="33" t="s">
        <v>27</v>
      </c>
      <c r="G723" s="33" t="s">
        <v>50</v>
      </c>
      <c r="H723" s="35">
        <v>96</v>
      </c>
      <c r="I723" s="33" t="s">
        <v>51</v>
      </c>
      <c r="J723" s="42">
        <v>43965</v>
      </c>
      <c r="K723" s="33" t="s">
        <v>22</v>
      </c>
    </row>
    <row r="724" spans="1:11">
      <c r="A724" s="30" t="s">
        <v>1916</v>
      </c>
      <c r="B724" s="30" t="s">
        <v>1917</v>
      </c>
      <c r="C724" s="30" t="s">
        <v>1918</v>
      </c>
      <c r="D724" s="30" t="s">
        <v>17</v>
      </c>
      <c r="E724" s="30" t="s">
        <v>26</v>
      </c>
      <c r="F724" s="30" t="s">
        <v>27</v>
      </c>
      <c r="G724" s="30" t="s">
        <v>112</v>
      </c>
      <c r="H724" s="32">
        <v>0</v>
      </c>
      <c r="I724" s="30" t="s">
        <v>21</v>
      </c>
      <c r="J724" s="41">
        <v>43922</v>
      </c>
      <c r="K724" s="30" t="s">
        <v>22</v>
      </c>
    </row>
    <row r="725" spans="1:11">
      <c r="A725" s="33" t="s">
        <v>1919</v>
      </c>
      <c r="B725" s="33" t="s">
        <v>1920</v>
      </c>
      <c r="C725" s="33" t="s">
        <v>524</v>
      </c>
      <c r="D725" s="33" t="s">
        <v>17</v>
      </c>
      <c r="E725" s="33" t="s">
        <v>31</v>
      </c>
      <c r="F725" s="33" t="s">
        <v>32</v>
      </c>
      <c r="G725" s="33" t="s">
        <v>20</v>
      </c>
      <c r="H725" s="35">
        <v>82</v>
      </c>
      <c r="I725" s="33" t="s">
        <v>21</v>
      </c>
      <c r="J725" s="42">
        <v>43852</v>
      </c>
      <c r="K725" s="33" t="s">
        <v>22</v>
      </c>
    </row>
    <row r="726" spans="1:11">
      <c r="A726" s="30" t="s">
        <v>1921</v>
      </c>
      <c r="B726" s="30" t="s">
        <v>1922</v>
      </c>
      <c r="C726" s="30" t="s">
        <v>1923</v>
      </c>
      <c r="D726" s="30" t="s">
        <v>17</v>
      </c>
      <c r="E726" s="30" t="s">
        <v>18</v>
      </c>
      <c r="F726" s="30" t="s">
        <v>19</v>
      </c>
      <c r="G726" s="30" t="s">
        <v>50</v>
      </c>
      <c r="H726" s="32">
        <v>25800</v>
      </c>
      <c r="I726" s="30" t="s">
        <v>21</v>
      </c>
      <c r="J726" s="41">
        <v>44151</v>
      </c>
      <c r="K726" s="30" t="s">
        <v>22</v>
      </c>
    </row>
    <row r="727" spans="1:11">
      <c r="A727" s="33" t="s">
        <v>1924</v>
      </c>
      <c r="B727" s="33" t="s">
        <v>1925</v>
      </c>
      <c r="C727" s="33" t="s">
        <v>136</v>
      </c>
      <c r="D727" s="33" t="s">
        <v>17</v>
      </c>
      <c r="E727" s="33" t="s">
        <v>67</v>
      </c>
      <c r="F727" s="33" t="s">
        <v>68</v>
      </c>
      <c r="G727" s="33" t="s">
        <v>106</v>
      </c>
      <c r="H727" s="35">
        <v>3</v>
      </c>
      <c r="I727" s="33" t="s">
        <v>21</v>
      </c>
      <c r="J727" s="42">
        <v>44102</v>
      </c>
      <c r="K727" s="33" t="s">
        <v>22</v>
      </c>
    </row>
    <row r="728" spans="1:11">
      <c r="A728" s="30" t="s">
        <v>1926</v>
      </c>
      <c r="B728" s="30" t="s">
        <v>1927</v>
      </c>
      <c r="C728" s="30" t="s">
        <v>1928</v>
      </c>
      <c r="D728" s="30" t="s">
        <v>17</v>
      </c>
      <c r="E728" s="30" t="s">
        <v>18</v>
      </c>
      <c r="F728" s="30" t="s">
        <v>19</v>
      </c>
      <c r="G728" s="30" t="s">
        <v>20</v>
      </c>
      <c r="H728" s="32">
        <v>850</v>
      </c>
      <c r="I728" s="30" t="s">
        <v>21</v>
      </c>
      <c r="J728" s="41">
        <v>44171</v>
      </c>
      <c r="K728" s="30" t="s">
        <v>22</v>
      </c>
    </row>
    <row r="729" spans="1:11">
      <c r="A729" s="33" t="s">
        <v>1929</v>
      </c>
      <c r="B729" s="33" t="s">
        <v>1930</v>
      </c>
      <c r="C729" s="33" t="s">
        <v>1931</v>
      </c>
      <c r="D729" s="33" t="s">
        <v>17</v>
      </c>
      <c r="E729" s="33" t="s">
        <v>26</v>
      </c>
      <c r="F729" s="33" t="s">
        <v>27</v>
      </c>
      <c r="G729" s="33" t="s">
        <v>20</v>
      </c>
      <c r="H729" s="35">
        <v>8</v>
      </c>
      <c r="I729" s="33" t="s">
        <v>21</v>
      </c>
      <c r="J729" s="42">
        <v>44011</v>
      </c>
      <c r="K729" s="33" t="s">
        <v>22</v>
      </c>
    </row>
    <row r="730" spans="1:11">
      <c r="A730" s="30" t="s">
        <v>1932</v>
      </c>
      <c r="B730" s="30" t="s">
        <v>1933</v>
      </c>
      <c r="C730" s="30" t="s">
        <v>715</v>
      </c>
      <c r="D730" s="30" t="s">
        <v>17</v>
      </c>
      <c r="E730" s="30" t="s">
        <v>26</v>
      </c>
      <c r="F730" s="30" t="s">
        <v>27</v>
      </c>
      <c r="G730" s="30" t="s">
        <v>20</v>
      </c>
      <c r="H730" s="32">
        <v>23</v>
      </c>
      <c r="I730" s="30" t="s">
        <v>21</v>
      </c>
      <c r="J730" s="41">
        <v>44011</v>
      </c>
      <c r="K730" s="30" t="s">
        <v>22</v>
      </c>
    </row>
    <row r="731" spans="1:11">
      <c r="A731" s="33" t="s">
        <v>1934</v>
      </c>
      <c r="B731" s="33" t="s">
        <v>1935</v>
      </c>
      <c r="C731" s="33" t="s">
        <v>1136</v>
      </c>
      <c r="D731" s="33" t="s">
        <v>17</v>
      </c>
      <c r="E731" s="33" t="s">
        <v>18</v>
      </c>
      <c r="F731" s="33" t="s">
        <v>19</v>
      </c>
      <c r="G731" s="33" t="s">
        <v>20</v>
      </c>
      <c r="H731" s="35">
        <v>7106</v>
      </c>
      <c r="I731" s="33" t="s">
        <v>21</v>
      </c>
      <c r="J731" s="42">
        <v>43839</v>
      </c>
      <c r="K731" s="33" t="s">
        <v>22</v>
      </c>
    </row>
    <row r="732" spans="1:11">
      <c r="A732" s="30" t="s">
        <v>1936</v>
      </c>
      <c r="B732" s="30" t="s">
        <v>1937</v>
      </c>
      <c r="C732" s="30" t="s">
        <v>1938</v>
      </c>
      <c r="D732" s="30" t="s">
        <v>17</v>
      </c>
      <c r="E732" s="30" t="s">
        <v>31</v>
      </c>
      <c r="F732" s="30" t="s">
        <v>32</v>
      </c>
      <c r="G732" s="30" t="s">
        <v>20</v>
      </c>
      <c r="H732" s="32">
        <v>13</v>
      </c>
      <c r="I732" s="30" t="s">
        <v>21</v>
      </c>
      <c r="J732" s="41">
        <v>44105</v>
      </c>
      <c r="K732" s="30" t="s">
        <v>22</v>
      </c>
    </row>
    <row r="733" spans="1:11">
      <c r="A733" s="33" t="s">
        <v>1939</v>
      </c>
      <c r="B733" s="33" t="s">
        <v>1940</v>
      </c>
      <c r="C733" s="33" t="s">
        <v>190</v>
      </c>
      <c r="D733" s="33" t="s">
        <v>17</v>
      </c>
      <c r="E733" s="33" t="s">
        <v>31</v>
      </c>
      <c r="F733" s="33" t="s">
        <v>32</v>
      </c>
      <c r="G733" s="33" t="s">
        <v>112</v>
      </c>
      <c r="H733" s="35">
        <v>0</v>
      </c>
      <c r="I733" s="33" t="s">
        <v>21</v>
      </c>
      <c r="J733" s="42">
        <v>43867</v>
      </c>
      <c r="K733" s="33" t="s">
        <v>22</v>
      </c>
    </row>
    <row r="734" spans="1:11">
      <c r="A734" s="30" t="s">
        <v>1941</v>
      </c>
      <c r="B734" s="30" t="s">
        <v>1942</v>
      </c>
      <c r="C734" s="30" t="s">
        <v>1380</v>
      </c>
      <c r="D734" s="30" t="s">
        <v>17</v>
      </c>
      <c r="E734" s="30" t="s">
        <v>26</v>
      </c>
      <c r="F734" s="30" t="s">
        <v>27</v>
      </c>
      <c r="G734" s="30" t="s">
        <v>20</v>
      </c>
      <c r="H734" s="32">
        <v>22</v>
      </c>
      <c r="I734" s="30" t="s">
        <v>21</v>
      </c>
      <c r="J734" s="41">
        <v>44096</v>
      </c>
      <c r="K734" s="30" t="s">
        <v>22</v>
      </c>
    </row>
    <row r="735" spans="1:11">
      <c r="A735" s="33" t="s">
        <v>1943</v>
      </c>
      <c r="B735" s="33" t="s">
        <v>1944</v>
      </c>
      <c r="C735" s="33" t="s">
        <v>1945</v>
      </c>
      <c r="D735" s="33" t="s">
        <v>17</v>
      </c>
      <c r="E735" s="33" t="s">
        <v>31</v>
      </c>
      <c r="F735" s="33" t="s">
        <v>32</v>
      </c>
      <c r="G735" s="33" t="s">
        <v>106</v>
      </c>
      <c r="H735" s="35">
        <v>96</v>
      </c>
      <c r="I735" s="33" t="s">
        <v>21</v>
      </c>
      <c r="J735" s="42">
        <v>44069</v>
      </c>
      <c r="K735" s="33" t="s">
        <v>22</v>
      </c>
    </row>
    <row r="736" spans="1:11">
      <c r="A736" s="30" t="s">
        <v>1946</v>
      </c>
      <c r="B736" s="30" t="s">
        <v>1947</v>
      </c>
      <c r="C736" s="30" t="s">
        <v>1948</v>
      </c>
      <c r="D736" s="30" t="s">
        <v>17</v>
      </c>
      <c r="E736" s="30" t="s">
        <v>31</v>
      </c>
      <c r="F736" s="30" t="s">
        <v>32</v>
      </c>
      <c r="G736" s="30" t="s">
        <v>20</v>
      </c>
      <c r="H736" s="32">
        <v>129</v>
      </c>
      <c r="I736" s="30" t="s">
        <v>21</v>
      </c>
      <c r="J736" s="41">
        <v>43998</v>
      </c>
      <c r="K736" s="30" t="s">
        <v>22</v>
      </c>
    </row>
    <row r="737" spans="1:11">
      <c r="A737" s="33" t="s">
        <v>1949</v>
      </c>
      <c r="B737" s="33" t="s">
        <v>1950</v>
      </c>
      <c r="C737" s="33" t="s">
        <v>635</v>
      </c>
      <c r="D737" s="33" t="s">
        <v>17</v>
      </c>
      <c r="E737" s="33" t="s">
        <v>31</v>
      </c>
      <c r="F737" s="33" t="s">
        <v>32</v>
      </c>
      <c r="G737" s="33" t="s">
        <v>50</v>
      </c>
      <c r="H737" s="35">
        <v>123</v>
      </c>
      <c r="I737" s="33" t="s">
        <v>21</v>
      </c>
      <c r="J737" s="42">
        <v>43843</v>
      </c>
      <c r="K737" s="33" t="s">
        <v>22</v>
      </c>
    </row>
    <row r="738" spans="1:11">
      <c r="A738" s="30" t="s">
        <v>1951</v>
      </c>
      <c r="B738" s="30" t="s">
        <v>1952</v>
      </c>
      <c r="C738" s="30" t="s">
        <v>1953</v>
      </c>
      <c r="D738" s="30" t="s">
        <v>17</v>
      </c>
      <c r="E738" s="30" t="s">
        <v>31</v>
      </c>
      <c r="F738" s="30" t="s">
        <v>32</v>
      </c>
      <c r="G738" s="30" t="s">
        <v>50</v>
      </c>
      <c r="H738" s="32">
        <v>50</v>
      </c>
      <c r="I738" s="30" t="s">
        <v>21</v>
      </c>
      <c r="J738" s="41">
        <v>44070</v>
      </c>
      <c r="K738" s="30" t="s">
        <v>22</v>
      </c>
    </row>
    <row r="739" spans="1:11">
      <c r="A739" s="33" t="s">
        <v>1954</v>
      </c>
      <c r="B739" s="33" t="s">
        <v>1955</v>
      </c>
      <c r="C739" s="33" t="s">
        <v>1956</v>
      </c>
      <c r="D739" s="33" t="s">
        <v>17</v>
      </c>
      <c r="E739" s="33" t="s">
        <v>31</v>
      </c>
      <c r="F739" s="33" t="s">
        <v>32</v>
      </c>
      <c r="G739" s="33" t="s">
        <v>20</v>
      </c>
      <c r="H739" s="35">
        <v>45</v>
      </c>
      <c r="I739" s="33" t="s">
        <v>21</v>
      </c>
      <c r="J739" s="42">
        <v>43969</v>
      </c>
      <c r="K739" s="33" t="s">
        <v>22</v>
      </c>
    </row>
    <row r="740" spans="1:11">
      <c r="A740" s="30" t="s">
        <v>1957</v>
      </c>
      <c r="B740" s="30" t="s">
        <v>1958</v>
      </c>
      <c r="C740" s="30" t="s">
        <v>1959</v>
      </c>
      <c r="D740" s="30" t="s">
        <v>17</v>
      </c>
      <c r="E740" s="30" t="s">
        <v>26</v>
      </c>
      <c r="F740" s="30" t="s">
        <v>27</v>
      </c>
      <c r="G740" s="30" t="s">
        <v>20</v>
      </c>
      <c r="H740" s="32">
        <v>22</v>
      </c>
      <c r="I740" s="30" t="s">
        <v>21</v>
      </c>
      <c r="J740" s="41">
        <v>43882</v>
      </c>
      <c r="K740" s="30" t="s">
        <v>22</v>
      </c>
    </row>
    <row r="741" spans="1:11">
      <c r="A741" s="33" t="s">
        <v>1960</v>
      </c>
      <c r="B741" s="33" t="s">
        <v>1961</v>
      </c>
      <c r="C741" s="33" t="s">
        <v>894</v>
      </c>
      <c r="D741" s="33" t="s">
        <v>17</v>
      </c>
      <c r="E741" s="33" t="s">
        <v>26</v>
      </c>
      <c r="F741" s="33" t="s">
        <v>27</v>
      </c>
      <c r="G741" s="33" t="s">
        <v>20</v>
      </c>
      <c r="H741" s="35">
        <v>36</v>
      </c>
      <c r="I741" s="33" t="s">
        <v>21</v>
      </c>
      <c r="J741" s="42">
        <v>43902</v>
      </c>
      <c r="K741" s="33" t="s">
        <v>22</v>
      </c>
    </row>
    <row r="742" spans="1:11">
      <c r="A742" s="30" t="s">
        <v>1962</v>
      </c>
      <c r="B742" s="30" t="s">
        <v>1963</v>
      </c>
      <c r="C742" s="30" t="s">
        <v>109</v>
      </c>
      <c r="D742" s="30" t="s">
        <v>17</v>
      </c>
      <c r="E742" s="30" t="s">
        <v>18</v>
      </c>
      <c r="F742" s="30" t="s">
        <v>19</v>
      </c>
      <c r="G742" s="30" t="s">
        <v>106</v>
      </c>
      <c r="H742" s="32">
        <v>10</v>
      </c>
      <c r="I742" s="30" t="s">
        <v>21</v>
      </c>
      <c r="J742" s="41">
        <v>43880</v>
      </c>
      <c r="K742" s="30" t="s">
        <v>22</v>
      </c>
    </row>
    <row r="743" spans="1:11">
      <c r="A743" s="33" t="s">
        <v>1964</v>
      </c>
      <c r="B743" s="33" t="s">
        <v>1965</v>
      </c>
      <c r="C743" s="33" t="s">
        <v>1966</v>
      </c>
      <c r="D743" s="33" t="s">
        <v>17</v>
      </c>
      <c r="E743" s="33" t="s">
        <v>26</v>
      </c>
      <c r="F743" s="33" t="s">
        <v>27</v>
      </c>
      <c r="G743" s="33" t="s">
        <v>106</v>
      </c>
      <c r="H743" s="35">
        <v>66</v>
      </c>
      <c r="I743" s="33" t="s">
        <v>21</v>
      </c>
      <c r="J743" s="42">
        <v>43971</v>
      </c>
      <c r="K743" s="33" t="s">
        <v>22</v>
      </c>
    </row>
    <row r="744" spans="1:11">
      <c r="A744" s="30" t="s">
        <v>1967</v>
      </c>
      <c r="B744" s="30" t="s">
        <v>1968</v>
      </c>
      <c r="C744" s="30" t="s">
        <v>1969</v>
      </c>
      <c r="D744" s="30" t="s">
        <v>17</v>
      </c>
      <c r="E744" s="30" t="s">
        <v>26</v>
      </c>
      <c r="F744" s="30" t="s">
        <v>27</v>
      </c>
      <c r="G744" s="30" t="s">
        <v>20</v>
      </c>
      <c r="H744" s="32">
        <v>34</v>
      </c>
      <c r="I744" s="30" t="s">
        <v>21</v>
      </c>
      <c r="J744" s="41">
        <v>44173</v>
      </c>
      <c r="K744" s="30" t="s">
        <v>22</v>
      </c>
    </row>
    <row r="745" spans="1:11">
      <c r="A745" s="33" t="s">
        <v>1970</v>
      </c>
      <c r="B745" s="33" t="s">
        <v>1971</v>
      </c>
      <c r="C745" s="33" t="s">
        <v>807</v>
      </c>
      <c r="D745" s="33" t="s">
        <v>17</v>
      </c>
      <c r="E745" s="33" t="s">
        <v>67</v>
      </c>
      <c r="F745" s="33" t="s">
        <v>68</v>
      </c>
      <c r="G745" s="33" t="s">
        <v>20</v>
      </c>
      <c r="H745" s="35">
        <v>26</v>
      </c>
      <c r="I745" s="33" t="s">
        <v>21</v>
      </c>
      <c r="J745" s="42">
        <v>44061</v>
      </c>
      <c r="K745" s="33" t="s">
        <v>22</v>
      </c>
    </row>
    <row r="746" spans="1:11">
      <c r="A746" s="30" t="s">
        <v>1972</v>
      </c>
      <c r="B746" s="30" t="s">
        <v>1973</v>
      </c>
      <c r="C746" s="30" t="s">
        <v>1974</v>
      </c>
      <c r="D746" s="30" t="s">
        <v>17</v>
      </c>
      <c r="E746" s="30" t="s">
        <v>26</v>
      </c>
      <c r="F746" s="30" t="s">
        <v>27</v>
      </c>
      <c r="G746" s="30" t="s">
        <v>20</v>
      </c>
      <c r="H746" s="32">
        <v>88</v>
      </c>
      <c r="I746" s="30" t="s">
        <v>21</v>
      </c>
      <c r="J746" s="41">
        <v>43866</v>
      </c>
      <c r="K746" s="30" t="s">
        <v>22</v>
      </c>
    </row>
    <row r="747" spans="1:11">
      <c r="A747" s="33" t="s">
        <v>1975</v>
      </c>
      <c r="B747" s="33" t="s">
        <v>1976</v>
      </c>
      <c r="C747" s="33" t="s">
        <v>38</v>
      </c>
      <c r="D747" s="33" t="s">
        <v>17</v>
      </c>
      <c r="E747" s="33" t="s">
        <v>31</v>
      </c>
      <c r="F747" s="33" t="s">
        <v>32</v>
      </c>
      <c r="G747" s="33" t="s">
        <v>20</v>
      </c>
      <c r="H747" s="35">
        <v>64</v>
      </c>
      <c r="I747" s="33" t="s">
        <v>21</v>
      </c>
      <c r="J747" s="42">
        <v>43979</v>
      </c>
      <c r="K747" s="33" t="s">
        <v>22</v>
      </c>
    </row>
    <row r="748" spans="1:11">
      <c r="A748" s="30" t="s">
        <v>1977</v>
      </c>
      <c r="B748" s="30" t="s">
        <v>1978</v>
      </c>
      <c r="C748" s="30" t="s">
        <v>1598</v>
      </c>
      <c r="D748" s="30" t="s">
        <v>17</v>
      </c>
      <c r="E748" s="30" t="s">
        <v>26</v>
      </c>
      <c r="F748" s="30" t="s">
        <v>27</v>
      </c>
      <c r="G748" s="30" t="s">
        <v>20</v>
      </c>
      <c r="H748" s="32">
        <v>20</v>
      </c>
      <c r="I748" s="30" t="s">
        <v>21</v>
      </c>
      <c r="J748" s="41">
        <v>44179</v>
      </c>
      <c r="K748" s="30" t="s">
        <v>22</v>
      </c>
    </row>
    <row r="749" spans="1:11">
      <c r="A749" s="33" t="s">
        <v>1979</v>
      </c>
      <c r="B749" s="33" t="s">
        <v>1980</v>
      </c>
      <c r="C749" s="33" t="s">
        <v>1981</v>
      </c>
      <c r="D749" s="33" t="s">
        <v>17</v>
      </c>
      <c r="E749" s="33" t="s">
        <v>67</v>
      </c>
      <c r="F749" s="33" t="s">
        <v>68</v>
      </c>
      <c r="G749" s="33" t="s">
        <v>158</v>
      </c>
      <c r="H749" s="35">
        <v>69</v>
      </c>
      <c r="I749" s="33" t="s">
        <v>21</v>
      </c>
      <c r="J749" s="42">
        <v>43966</v>
      </c>
      <c r="K749" s="33" t="s">
        <v>22</v>
      </c>
    </row>
    <row r="750" spans="1:11">
      <c r="A750" s="30" t="s">
        <v>1982</v>
      </c>
      <c r="B750" s="30" t="s">
        <v>1983</v>
      </c>
      <c r="C750" s="30" t="s">
        <v>1956</v>
      </c>
      <c r="D750" s="30" t="s">
        <v>17</v>
      </c>
      <c r="E750" s="30" t="s">
        <v>212</v>
      </c>
      <c r="F750" s="30" t="s">
        <v>213</v>
      </c>
      <c r="G750" s="30" t="s">
        <v>20</v>
      </c>
      <c r="H750" s="32">
        <v>400</v>
      </c>
      <c r="I750" s="30" t="s">
        <v>21</v>
      </c>
      <c r="J750" s="41">
        <v>43970</v>
      </c>
      <c r="K750" s="30" t="s">
        <v>22</v>
      </c>
    </row>
    <row r="751" spans="1:11">
      <c r="A751" s="33" t="s">
        <v>1984</v>
      </c>
      <c r="B751" s="33" t="s">
        <v>1985</v>
      </c>
      <c r="C751" s="33" t="s">
        <v>1520</v>
      </c>
      <c r="D751" s="33" t="s">
        <v>17</v>
      </c>
      <c r="E751" s="33" t="s">
        <v>26</v>
      </c>
      <c r="F751" s="33" t="s">
        <v>27</v>
      </c>
      <c r="G751" s="33" t="s">
        <v>20</v>
      </c>
      <c r="H751" s="35">
        <v>30</v>
      </c>
      <c r="I751" s="33" t="s">
        <v>21</v>
      </c>
      <c r="J751" s="42">
        <v>44148</v>
      </c>
      <c r="K751" s="33" t="s">
        <v>22</v>
      </c>
    </row>
    <row r="752" spans="1:11">
      <c r="A752" s="30" t="s">
        <v>1986</v>
      </c>
      <c r="B752" s="30" t="s">
        <v>1987</v>
      </c>
      <c r="C752" s="30" t="s">
        <v>157</v>
      </c>
      <c r="D752" s="30" t="s">
        <v>17</v>
      </c>
      <c r="E752" s="30" t="s">
        <v>67</v>
      </c>
      <c r="F752" s="30" t="s">
        <v>68</v>
      </c>
      <c r="G752" s="30" t="s">
        <v>20</v>
      </c>
      <c r="H752" s="32">
        <v>248</v>
      </c>
      <c r="I752" s="30" t="s">
        <v>21</v>
      </c>
      <c r="J752" s="41">
        <v>44034</v>
      </c>
      <c r="K752" s="30" t="s">
        <v>22</v>
      </c>
    </row>
    <row r="753" spans="1:11">
      <c r="A753" s="33" t="s">
        <v>1988</v>
      </c>
      <c r="B753" s="33" t="s">
        <v>1989</v>
      </c>
      <c r="C753" s="33" t="s">
        <v>382</v>
      </c>
      <c r="D753" s="33" t="s">
        <v>17</v>
      </c>
      <c r="E753" s="33" t="s">
        <v>26</v>
      </c>
      <c r="F753" s="33" t="s">
        <v>27</v>
      </c>
      <c r="G753" s="33" t="s">
        <v>20</v>
      </c>
      <c r="H753" s="35">
        <v>43</v>
      </c>
      <c r="I753" s="33" t="s">
        <v>21</v>
      </c>
      <c r="J753" s="42">
        <v>43997</v>
      </c>
      <c r="K753" s="33" t="s">
        <v>22</v>
      </c>
    </row>
    <row r="754" spans="1:11">
      <c r="A754" s="30" t="s">
        <v>1990</v>
      </c>
      <c r="B754" s="30" t="s">
        <v>1991</v>
      </c>
      <c r="C754" s="30" t="s">
        <v>190</v>
      </c>
      <c r="D754" s="30" t="s">
        <v>17</v>
      </c>
      <c r="E754" s="30" t="s">
        <v>26</v>
      </c>
      <c r="F754" s="30" t="s">
        <v>27</v>
      </c>
      <c r="G754" s="30" t="s">
        <v>20</v>
      </c>
      <c r="H754" s="32">
        <v>32</v>
      </c>
      <c r="I754" s="30" t="s">
        <v>21</v>
      </c>
      <c r="J754" s="41">
        <v>43846</v>
      </c>
      <c r="K754" s="30" t="s">
        <v>22</v>
      </c>
    </row>
    <row r="755" spans="1:11">
      <c r="A755" s="33" t="s">
        <v>1992</v>
      </c>
      <c r="B755" s="33" t="s">
        <v>1993</v>
      </c>
      <c r="C755" s="33" t="s">
        <v>118</v>
      </c>
      <c r="D755" s="33" t="s">
        <v>17</v>
      </c>
      <c r="E755" s="33" t="s">
        <v>26</v>
      </c>
      <c r="F755" s="33" t="s">
        <v>27</v>
      </c>
      <c r="G755" s="33" t="s">
        <v>20</v>
      </c>
      <c r="H755" s="35">
        <v>24</v>
      </c>
      <c r="I755" s="33" t="s">
        <v>21</v>
      </c>
      <c r="J755" s="42">
        <v>44069</v>
      </c>
      <c r="K755" s="33" t="s">
        <v>22</v>
      </c>
    </row>
    <row r="756" spans="1:11">
      <c r="A756" s="30" t="s">
        <v>1994</v>
      </c>
      <c r="B756" s="30" t="s">
        <v>1995</v>
      </c>
      <c r="C756" s="30" t="s">
        <v>1996</v>
      </c>
      <c r="D756" s="30" t="s">
        <v>17</v>
      </c>
      <c r="E756" s="30" t="s">
        <v>67</v>
      </c>
      <c r="F756" s="30" t="s">
        <v>68</v>
      </c>
      <c r="G756" s="30" t="s">
        <v>20</v>
      </c>
      <c r="H756" s="32">
        <v>29</v>
      </c>
      <c r="I756" s="30" t="s">
        <v>21</v>
      </c>
      <c r="J756" s="41">
        <v>44187</v>
      </c>
      <c r="K756" s="30" t="s">
        <v>22</v>
      </c>
    </row>
    <row r="757" spans="1:11">
      <c r="A757" s="33" t="s">
        <v>1997</v>
      </c>
      <c r="B757" s="33" t="s">
        <v>1998</v>
      </c>
      <c r="C757" s="33" t="s">
        <v>1583</v>
      </c>
      <c r="D757" s="33" t="s">
        <v>17</v>
      </c>
      <c r="E757" s="33" t="s">
        <v>26</v>
      </c>
      <c r="F757" s="33" t="s">
        <v>27</v>
      </c>
      <c r="G757" s="33" t="s">
        <v>140</v>
      </c>
      <c r="H757" s="35">
        <v>1006</v>
      </c>
      <c r="I757" s="33" t="s">
        <v>51</v>
      </c>
      <c r="J757" s="42">
        <v>43990</v>
      </c>
      <c r="K757" s="33" t="s">
        <v>22</v>
      </c>
    </row>
    <row r="758" spans="1:11">
      <c r="A758" s="30" t="s">
        <v>1999</v>
      </c>
      <c r="B758" s="30" t="s">
        <v>2000</v>
      </c>
      <c r="C758" s="30" t="s">
        <v>2001</v>
      </c>
      <c r="D758" s="30" t="s">
        <v>17</v>
      </c>
      <c r="E758" s="30" t="s">
        <v>18</v>
      </c>
      <c r="F758" s="30" t="s">
        <v>19</v>
      </c>
      <c r="G758" s="30" t="s">
        <v>20</v>
      </c>
      <c r="H758" s="32">
        <v>52</v>
      </c>
      <c r="I758" s="30" t="s">
        <v>21</v>
      </c>
      <c r="J758" s="41">
        <v>44158</v>
      </c>
      <c r="K758" s="30" t="s">
        <v>22</v>
      </c>
    </row>
    <row r="759" spans="1:11">
      <c r="A759" s="33" t="s">
        <v>2002</v>
      </c>
      <c r="B759" s="33" t="s">
        <v>2003</v>
      </c>
      <c r="C759" s="33" t="s">
        <v>1151</v>
      </c>
      <c r="D759" s="33" t="s">
        <v>17</v>
      </c>
      <c r="E759" s="33" t="s">
        <v>67</v>
      </c>
      <c r="F759" s="33" t="s">
        <v>68</v>
      </c>
      <c r="G759" s="33" t="s">
        <v>106</v>
      </c>
      <c r="H759" s="35">
        <v>43</v>
      </c>
      <c r="I759" s="33" t="s">
        <v>21</v>
      </c>
      <c r="J759" s="42">
        <v>44042</v>
      </c>
      <c r="K759" s="33" t="s">
        <v>22</v>
      </c>
    </row>
    <row r="760" spans="1:11">
      <c r="A760" s="30" t="s">
        <v>2004</v>
      </c>
      <c r="B760" s="30" t="s">
        <v>2005</v>
      </c>
      <c r="C760" s="30" t="s">
        <v>2006</v>
      </c>
      <c r="D760" s="30" t="s">
        <v>17</v>
      </c>
      <c r="E760" s="30" t="s">
        <v>31</v>
      </c>
      <c r="F760" s="30" t="s">
        <v>32</v>
      </c>
      <c r="G760" s="30" t="s">
        <v>106</v>
      </c>
      <c r="H760" s="32">
        <v>2</v>
      </c>
      <c r="I760" s="30" t="s">
        <v>21</v>
      </c>
      <c r="J760" s="41">
        <v>44168</v>
      </c>
      <c r="K760" s="30" t="s">
        <v>22</v>
      </c>
    </row>
    <row r="761" spans="1:11">
      <c r="A761" s="33" t="s">
        <v>2007</v>
      </c>
      <c r="B761" s="33" t="s">
        <v>2008</v>
      </c>
      <c r="C761" s="33" t="s">
        <v>2009</v>
      </c>
      <c r="D761" s="33" t="s">
        <v>17</v>
      </c>
      <c r="E761" s="33" t="s">
        <v>18</v>
      </c>
      <c r="F761" s="33" t="s">
        <v>19</v>
      </c>
      <c r="G761" s="33" t="s">
        <v>20</v>
      </c>
      <c r="H761" s="35">
        <v>226</v>
      </c>
      <c r="I761" s="33" t="s">
        <v>21</v>
      </c>
      <c r="J761" s="42">
        <v>44027</v>
      </c>
      <c r="K761" s="33" t="s">
        <v>22</v>
      </c>
    </row>
    <row r="762" spans="1:11">
      <c r="A762" s="30" t="s">
        <v>2010</v>
      </c>
      <c r="B762" s="30" t="s">
        <v>2011</v>
      </c>
      <c r="C762" s="30" t="s">
        <v>2012</v>
      </c>
      <c r="D762" s="30" t="s">
        <v>17</v>
      </c>
      <c r="E762" s="30" t="s">
        <v>31</v>
      </c>
      <c r="F762" s="30" t="s">
        <v>32</v>
      </c>
      <c r="G762" s="30" t="s">
        <v>20</v>
      </c>
      <c r="H762" s="32">
        <v>20</v>
      </c>
      <c r="I762" s="30" t="s">
        <v>21</v>
      </c>
      <c r="J762" s="41">
        <v>43880</v>
      </c>
      <c r="K762" s="30" t="s">
        <v>22</v>
      </c>
    </row>
    <row r="763" spans="1:11">
      <c r="A763" s="33" t="s">
        <v>2013</v>
      </c>
      <c r="B763" s="33" t="s">
        <v>2014</v>
      </c>
      <c r="C763" s="33" t="s">
        <v>1324</v>
      </c>
      <c r="D763" s="33" t="s">
        <v>17</v>
      </c>
      <c r="E763" s="33" t="s">
        <v>26</v>
      </c>
      <c r="F763" s="33" t="s">
        <v>27</v>
      </c>
      <c r="G763" s="33" t="s">
        <v>20</v>
      </c>
      <c r="H763" s="35">
        <v>20</v>
      </c>
      <c r="I763" s="33" t="s">
        <v>21</v>
      </c>
      <c r="J763" s="42">
        <v>43838</v>
      </c>
      <c r="K763" s="33" t="s">
        <v>22</v>
      </c>
    </row>
    <row r="764" spans="1:11">
      <c r="A764" s="30" t="s">
        <v>2015</v>
      </c>
      <c r="B764" s="30" t="s">
        <v>2016</v>
      </c>
      <c r="C764" s="30" t="s">
        <v>2017</v>
      </c>
      <c r="D764" s="30" t="s">
        <v>17</v>
      </c>
      <c r="E764" s="30" t="s">
        <v>330</v>
      </c>
      <c r="F764" s="30" t="s">
        <v>331</v>
      </c>
      <c r="G764" s="30" t="s">
        <v>20</v>
      </c>
      <c r="H764" s="32">
        <v>978</v>
      </c>
      <c r="I764" s="30" t="s">
        <v>21</v>
      </c>
      <c r="J764" s="41">
        <v>43969</v>
      </c>
      <c r="K764" s="30" t="s">
        <v>22</v>
      </c>
    </row>
    <row r="765" spans="1:11">
      <c r="A765" s="33" t="s">
        <v>2018</v>
      </c>
      <c r="B765" s="33" t="s">
        <v>2019</v>
      </c>
      <c r="C765" s="33" t="s">
        <v>93</v>
      </c>
      <c r="D765" s="33" t="s">
        <v>17</v>
      </c>
      <c r="E765" s="33" t="s">
        <v>18</v>
      </c>
      <c r="F765" s="33" t="s">
        <v>19</v>
      </c>
      <c r="G765" s="33" t="s">
        <v>20</v>
      </c>
      <c r="H765" s="35">
        <v>139</v>
      </c>
      <c r="I765" s="33" t="s">
        <v>21</v>
      </c>
      <c r="J765" s="42">
        <v>44026</v>
      </c>
      <c r="K765" s="33" t="s">
        <v>22</v>
      </c>
    </row>
    <row r="766" spans="1:11">
      <c r="A766" s="30" t="s">
        <v>2020</v>
      </c>
      <c r="B766" s="30" t="s">
        <v>2021</v>
      </c>
      <c r="C766" s="30" t="s">
        <v>2022</v>
      </c>
      <c r="D766" s="30" t="s">
        <v>17</v>
      </c>
      <c r="E766" s="30" t="s">
        <v>18</v>
      </c>
      <c r="F766" s="30" t="s">
        <v>19</v>
      </c>
      <c r="G766" s="30" t="s">
        <v>158</v>
      </c>
      <c r="H766" s="32">
        <v>138</v>
      </c>
      <c r="I766" s="30" t="s">
        <v>21</v>
      </c>
      <c r="J766" s="41">
        <v>43846</v>
      </c>
      <c r="K766" s="30" t="s">
        <v>22</v>
      </c>
    </row>
    <row r="767" spans="1:11">
      <c r="A767" s="33" t="s">
        <v>2023</v>
      </c>
      <c r="B767" s="33" t="s">
        <v>2024</v>
      </c>
      <c r="C767" s="33" t="s">
        <v>93</v>
      </c>
      <c r="D767" s="33" t="s">
        <v>17</v>
      </c>
      <c r="E767" s="33" t="s">
        <v>18</v>
      </c>
      <c r="F767" s="33" t="s">
        <v>19</v>
      </c>
      <c r="G767" s="33" t="s">
        <v>158</v>
      </c>
      <c r="H767" s="35">
        <v>527</v>
      </c>
      <c r="I767" s="33" t="s">
        <v>21</v>
      </c>
      <c r="J767" s="42">
        <v>44104</v>
      </c>
      <c r="K767" s="33" t="s">
        <v>22</v>
      </c>
    </row>
    <row r="768" spans="1:11">
      <c r="A768" s="30" t="s">
        <v>2025</v>
      </c>
      <c r="B768" s="30" t="s">
        <v>2026</v>
      </c>
      <c r="C768" s="30" t="s">
        <v>969</v>
      </c>
      <c r="D768" s="30" t="s">
        <v>17</v>
      </c>
      <c r="E768" s="30" t="s">
        <v>18</v>
      </c>
      <c r="F768" s="30" t="s">
        <v>19</v>
      </c>
      <c r="G768" s="30" t="s">
        <v>20</v>
      </c>
      <c r="H768" s="32">
        <v>1606</v>
      </c>
      <c r="I768" s="30" t="s">
        <v>21</v>
      </c>
      <c r="J768" s="41">
        <v>43944</v>
      </c>
      <c r="K768" s="30" t="s">
        <v>22</v>
      </c>
    </row>
    <row r="769" spans="1:11">
      <c r="A769" s="33" t="s">
        <v>2027</v>
      </c>
      <c r="B769" s="33" t="s">
        <v>2028</v>
      </c>
      <c r="C769" s="33" t="s">
        <v>2029</v>
      </c>
      <c r="D769" s="33" t="s">
        <v>17</v>
      </c>
      <c r="E769" s="33" t="s">
        <v>26</v>
      </c>
      <c r="F769" s="33" t="s">
        <v>27</v>
      </c>
      <c r="G769" s="33" t="s">
        <v>20</v>
      </c>
      <c r="H769" s="35">
        <v>29</v>
      </c>
      <c r="I769" s="33" t="s">
        <v>21</v>
      </c>
      <c r="J769" s="42">
        <v>44102</v>
      </c>
      <c r="K769" s="33" t="s">
        <v>22</v>
      </c>
    </row>
    <row r="770" spans="1:11">
      <c r="A770" s="30" t="s">
        <v>2030</v>
      </c>
      <c r="B770" s="30" t="s">
        <v>2031</v>
      </c>
      <c r="C770" s="30" t="s">
        <v>450</v>
      </c>
      <c r="D770" s="30" t="s">
        <v>17</v>
      </c>
      <c r="E770" s="30" t="s">
        <v>26</v>
      </c>
      <c r="F770" s="30" t="s">
        <v>27</v>
      </c>
      <c r="G770" s="30" t="s">
        <v>20</v>
      </c>
      <c r="H770" s="32">
        <v>57</v>
      </c>
      <c r="I770" s="30" t="s">
        <v>21</v>
      </c>
      <c r="J770" s="41">
        <v>44036</v>
      </c>
      <c r="K770" s="30" t="s">
        <v>22</v>
      </c>
    </row>
    <row r="771" spans="1:11">
      <c r="A771" s="33" t="s">
        <v>2032</v>
      </c>
      <c r="B771" s="33" t="s">
        <v>2033</v>
      </c>
      <c r="C771" s="33" t="s">
        <v>2034</v>
      </c>
      <c r="D771" s="33" t="s">
        <v>17</v>
      </c>
      <c r="E771" s="33" t="s">
        <v>26</v>
      </c>
      <c r="F771" s="33" t="s">
        <v>27</v>
      </c>
      <c r="G771" s="33" t="s">
        <v>20</v>
      </c>
      <c r="H771" s="35">
        <v>27</v>
      </c>
      <c r="I771" s="33" t="s">
        <v>21</v>
      </c>
      <c r="J771" s="42">
        <v>44119</v>
      </c>
      <c r="K771" s="33" t="s">
        <v>22</v>
      </c>
    </row>
    <row r="772" spans="1:11">
      <c r="A772" s="30" t="s">
        <v>2035</v>
      </c>
      <c r="B772" s="30" t="s">
        <v>2036</v>
      </c>
      <c r="C772" s="30" t="s">
        <v>440</v>
      </c>
      <c r="D772" s="30" t="s">
        <v>17</v>
      </c>
      <c r="E772" s="30" t="s">
        <v>18</v>
      </c>
      <c r="F772" s="30" t="s">
        <v>19</v>
      </c>
      <c r="G772" s="30" t="s">
        <v>50</v>
      </c>
      <c r="H772" s="32">
        <v>100</v>
      </c>
      <c r="I772" s="30" t="s">
        <v>51</v>
      </c>
      <c r="J772" s="41">
        <v>43992</v>
      </c>
      <c r="K772" s="30" t="s">
        <v>22</v>
      </c>
    </row>
    <row r="773" spans="1:11">
      <c r="A773" s="33" t="s">
        <v>2037</v>
      </c>
      <c r="B773" s="33" t="s">
        <v>2038</v>
      </c>
      <c r="C773" s="33" t="s">
        <v>2039</v>
      </c>
      <c r="D773" s="33" t="s">
        <v>17</v>
      </c>
      <c r="E773" s="33" t="s">
        <v>26</v>
      </c>
      <c r="F773" s="33" t="s">
        <v>27</v>
      </c>
      <c r="G773" s="33" t="s">
        <v>20</v>
      </c>
      <c r="H773" s="35">
        <v>6</v>
      </c>
      <c r="I773" s="33" t="s">
        <v>21</v>
      </c>
      <c r="J773" s="42">
        <v>44003</v>
      </c>
      <c r="K773" s="33" t="s">
        <v>22</v>
      </c>
    </row>
    <row r="774" spans="1:11">
      <c r="A774" s="30" t="s">
        <v>2040</v>
      </c>
      <c r="B774" s="30" t="s">
        <v>2041</v>
      </c>
      <c r="C774" s="30" t="s">
        <v>190</v>
      </c>
      <c r="D774" s="30" t="s">
        <v>17</v>
      </c>
      <c r="E774" s="30" t="s">
        <v>26</v>
      </c>
      <c r="F774" s="30" t="s">
        <v>27</v>
      </c>
      <c r="G774" s="30" t="s">
        <v>20</v>
      </c>
      <c r="H774" s="32">
        <v>30</v>
      </c>
      <c r="I774" s="30" t="s">
        <v>21</v>
      </c>
      <c r="J774" s="41">
        <v>43874</v>
      </c>
      <c r="K774" s="30" t="s">
        <v>22</v>
      </c>
    </row>
    <row r="775" spans="1:11">
      <c r="A775" s="33" t="s">
        <v>2042</v>
      </c>
      <c r="B775" s="33" t="s">
        <v>2043</v>
      </c>
      <c r="C775" s="33" t="s">
        <v>2044</v>
      </c>
      <c r="D775" s="33" t="s">
        <v>17</v>
      </c>
      <c r="E775" s="33" t="s">
        <v>18</v>
      </c>
      <c r="F775" s="33" t="s">
        <v>19</v>
      </c>
      <c r="G775" s="33" t="s">
        <v>20</v>
      </c>
      <c r="H775" s="35">
        <v>141</v>
      </c>
      <c r="I775" s="33" t="s">
        <v>21</v>
      </c>
      <c r="J775" s="42">
        <v>44118</v>
      </c>
      <c r="K775" s="33" t="s">
        <v>22</v>
      </c>
    </row>
    <row r="776" spans="1:11">
      <c r="A776" s="30" t="s">
        <v>2045</v>
      </c>
      <c r="B776" s="30" t="s">
        <v>2046</v>
      </c>
      <c r="C776" s="30" t="s">
        <v>102</v>
      </c>
      <c r="D776" s="30" t="s">
        <v>17</v>
      </c>
      <c r="E776" s="30" t="s">
        <v>31</v>
      </c>
      <c r="F776" s="30" t="s">
        <v>32</v>
      </c>
      <c r="G776" s="30" t="s">
        <v>20</v>
      </c>
      <c r="H776" s="32">
        <v>108</v>
      </c>
      <c r="I776" s="30" t="s">
        <v>21</v>
      </c>
      <c r="J776" s="41">
        <v>44062</v>
      </c>
      <c r="K776" s="30" t="s">
        <v>22</v>
      </c>
    </row>
    <row r="777" spans="1:11">
      <c r="A777" s="33" t="s">
        <v>2047</v>
      </c>
      <c r="B777" s="33" t="s">
        <v>2048</v>
      </c>
      <c r="C777" s="33" t="s">
        <v>190</v>
      </c>
      <c r="D777" s="33" t="s">
        <v>17</v>
      </c>
      <c r="E777" s="33" t="s">
        <v>26</v>
      </c>
      <c r="F777" s="33" t="s">
        <v>27</v>
      </c>
      <c r="G777" s="33" t="s">
        <v>20</v>
      </c>
      <c r="H777" s="35">
        <v>60</v>
      </c>
      <c r="I777" s="33" t="s">
        <v>21</v>
      </c>
      <c r="J777" s="42">
        <v>44061</v>
      </c>
      <c r="K777" s="33" t="s">
        <v>22</v>
      </c>
    </row>
    <row r="778" spans="1:11">
      <c r="A778" s="30" t="s">
        <v>2049</v>
      </c>
      <c r="B778" s="30" t="s">
        <v>2050</v>
      </c>
      <c r="C778" s="30" t="s">
        <v>2051</v>
      </c>
      <c r="D778" s="30" t="s">
        <v>17</v>
      </c>
      <c r="E778" s="30" t="s">
        <v>45</v>
      </c>
      <c r="F778" s="30" t="s">
        <v>46</v>
      </c>
      <c r="G778" s="30" t="s">
        <v>20</v>
      </c>
      <c r="H778" s="32">
        <v>168</v>
      </c>
      <c r="I778" s="30" t="s">
        <v>21</v>
      </c>
      <c r="J778" s="41">
        <v>44132</v>
      </c>
      <c r="K778" s="30" t="s">
        <v>22</v>
      </c>
    </row>
    <row r="779" spans="1:11">
      <c r="A779" s="33" t="s">
        <v>2052</v>
      </c>
      <c r="B779" s="33" t="s">
        <v>2053</v>
      </c>
      <c r="C779" s="33" t="s">
        <v>2054</v>
      </c>
      <c r="D779" s="33" t="s">
        <v>17</v>
      </c>
      <c r="E779" s="33" t="s">
        <v>45</v>
      </c>
      <c r="F779" s="33" t="s">
        <v>46</v>
      </c>
      <c r="G779" s="33" t="s">
        <v>106</v>
      </c>
      <c r="H779" s="35">
        <v>68</v>
      </c>
      <c r="I779" s="33" t="s">
        <v>21</v>
      </c>
      <c r="J779" s="42">
        <v>44102</v>
      </c>
      <c r="K779" s="33" t="s">
        <v>22</v>
      </c>
    </row>
    <row r="780" spans="1:11">
      <c r="A780" s="30" t="s">
        <v>2055</v>
      </c>
      <c r="B780" s="30" t="s">
        <v>2056</v>
      </c>
      <c r="C780" s="30" t="s">
        <v>203</v>
      </c>
      <c r="D780" s="30" t="s">
        <v>17</v>
      </c>
      <c r="E780" s="30" t="s">
        <v>18</v>
      </c>
      <c r="F780" s="30" t="s">
        <v>19</v>
      </c>
      <c r="G780" s="30" t="s">
        <v>20</v>
      </c>
      <c r="H780" s="32">
        <v>420</v>
      </c>
      <c r="I780" s="30" t="s">
        <v>21</v>
      </c>
      <c r="J780" s="41">
        <v>43918</v>
      </c>
      <c r="K780" s="30" t="s">
        <v>22</v>
      </c>
    </row>
    <row r="781" spans="1:11">
      <c r="A781" s="33" t="s">
        <v>2057</v>
      </c>
      <c r="B781" s="33" t="s">
        <v>2058</v>
      </c>
      <c r="C781" s="33" t="s">
        <v>2059</v>
      </c>
      <c r="D781" s="33" t="s">
        <v>17</v>
      </c>
      <c r="E781" s="33" t="s">
        <v>31</v>
      </c>
      <c r="F781" s="33" t="s">
        <v>32</v>
      </c>
      <c r="G781" s="33" t="s">
        <v>20</v>
      </c>
      <c r="H781" s="35">
        <v>34</v>
      </c>
      <c r="I781" s="33" t="s">
        <v>21</v>
      </c>
      <c r="J781" s="42">
        <v>43915</v>
      </c>
      <c r="K781" s="33" t="s">
        <v>22</v>
      </c>
    </row>
    <row r="782" spans="1:11">
      <c r="A782" s="30" t="s">
        <v>2060</v>
      </c>
      <c r="B782" s="30" t="s">
        <v>2061</v>
      </c>
      <c r="C782" s="30" t="s">
        <v>2062</v>
      </c>
      <c r="D782" s="30" t="s">
        <v>17</v>
      </c>
      <c r="E782" s="30" t="s">
        <v>26</v>
      </c>
      <c r="F782" s="30" t="s">
        <v>27</v>
      </c>
      <c r="G782" s="30" t="s">
        <v>20</v>
      </c>
      <c r="H782" s="32">
        <v>104</v>
      </c>
      <c r="I782" s="30" t="s">
        <v>21</v>
      </c>
      <c r="J782" s="41">
        <v>44104</v>
      </c>
      <c r="K782" s="30" t="s">
        <v>22</v>
      </c>
    </row>
    <row r="783" spans="1:11">
      <c r="A783" s="33" t="s">
        <v>2063</v>
      </c>
      <c r="B783" s="33" t="s">
        <v>2064</v>
      </c>
      <c r="C783" s="33" t="s">
        <v>969</v>
      </c>
      <c r="D783" s="33" t="s">
        <v>17</v>
      </c>
      <c r="E783" s="33" t="s">
        <v>26</v>
      </c>
      <c r="F783" s="33" t="s">
        <v>27</v>
      </c>
      <c r="G783" s="33" t="s">
        <v>158</v>
      </c>
      <c r="H783" s="35">
        <v>36</v>
      </c>
      <c r="I783" s="33" t="s">
        <v>21</v>
      </c>
      <c r="J783" s="42">
        <v>44113</v>
      </c>
      <c r="K783" s="33" t="s">
        <v>22</v>
      </c>
    </row>
    <row r="784" spans="1:11">
      <c r="A784" s="30" t="s">
        <v>2065</v>
      </c>
      <c r="B784" s="30" t="s">
        <v>2066</v>
      </c>
      <c r="C784" s="30" t="s">
        <v>2067</v>
      </c>
      <c r="D784" s="30" t="s">
        <v>17</v>
      </c>
      <c r="E784" s="30" t="s">
        <v>31</v>
      </c>
      <c r="F784" s="30" t="s">
        <v>32</v>
      </c>
      <c r="G784" s="30" t="s">
        <v>50</v>
      </c>
      <c r="H784" s="32">
        <v>78</v>
      </c>
      <c r="I784" s="30" t="s">
        <v>51</v>
      </c>
      <c r="J784" s="41">
        <v>44042</v>
      </c>
      <c r="K784" s="30" t="s">
        <v>22</v>
      </c>
    </row>
    <row r="785" spans="1:11">
      <c r="A785" s="33" t="s">
        <v>2068</v>
      </c>
      <c r="B785" s="33" t="s">
        <v>2069</v>
      </c>
      <c r="C785" s="33" t="s">
        <v>2070</v>
      </c>
      <c r="D785" s="33" t="s">
        <v>17</v>
      </c>
      <c r="E785" s="33" t="s">
        <v>45</v>
      </c>
      <c r="F785" s="33" t="s">
        <v>46</v>
      </c>
      <c r="G785" s="33" t="s">
        <v>50</v>
      </c>
      <c r="H785" s="35">
        <v>524</v>
      </c>
      <c r="I785" s="33" t="s">
        <v>51</v>
      </c>
      <c r="J785" s="42">
        <v>44104</v>
      </c>
      <c r="K785" s="33" t="s">
        <v>22</v>
      </c>
    </row>
    <row r="786" spans="1:11">
      <c r="A786" s="30" t="s">
        <v>2071</v>
      </c>
      <c r="B786" s="30" t="s">
        <v>2072</v>
      </c>
      <c r="C786" s="30" t="s">
        <v>2073</v>
      </c>
      <c r="D786" s="30" t="s">
        <v>17</v>
      </c>
      <c r="E786" s="30" t="s">
        <v>26</v>
      </c>
      <c r="F786" s="30" t="s">
        <v>27</v>
      </c>
      <c r="G786" s="30" t="s">
        <v>20</v>
      </c>
      <c r="H786" s="32">
        <v>23</v>
      </c>
      <c r="I786" s="30" t="s">
        <v>21</v>
      </c>
      <c r="J786" s="41">
        <v>43893</v>
      </c>
      <c r="K786" s="30" t="s">
        <v>22</v>
      </c>
    </row>
    <row r="787" spans="1:11">
      <c r="A787" s="33" t="s">
        <v>2074</v>
      </c>
      <c r="B787" s="33" t="s">
        <v>2075</v>
      </c>
      <c r="C787" s="33" t="s">
        <v>2076</v>
      </c>
      <c r="D787" s="33" t="s">
        <v>17</v>
      </c>
      <c r="E787" s="33" t="s">
        <v>31</v>
      </c>
      <c r="F787" s="33" t="s">
        <v>32</v>
      </c>
      <c r="G787" s="33" t="s">
        <v>106</v>
      </c>
      <c r="H787" s="35">
        <v>18</v>
      </c>
      <c r="I787" s="33" t="s">
        <v>21</v>
      </c>
      <c r="J787" s="42">
        <v>44057</v>
      </c>
      <c r="K787" s="33" t="s">
        <v>22</v>
      </c>
    </row>
    <row r="788" spans="1:11">
      <c r="A788" s="30" t="s">
        <v>2077</v>
      </c>
      <c r="B788" s="30" t="s">
        <v>2078</v>
      </c>
      <c r="C788" s="30" t="s">
        <v>2079</v>
      </c>
      <c r="D788" s="30" t="s">
        <v>17</v>
      </c>
      <c r="E788" s="30" t="s">
        <v>26</v>
      </c>
      <c r="F788" s="30" t="s">
        <v>27</v>
      </c>
      <c r="G788" s="30" t="s">
        <v>106</v>
      </c>
      <c r="H788" s="32">
        <v>53</v>
      </c>
      <c r="I788" s="30" t="s">
        <v>21</v>
      </c>
      <c r="J788" s="41">
        <v>43998</v>
      </c>
      <c r="K788" s="30" t="s">
        <v>22</v>
      </c>
    </row>
    <row r="789" spans="1:11">
      <c r="A789" s="33" t="s">
        <v>2080</v>
      </c>
      <c r="B789" s="33" t="s">
        <v>2081</v>
      </c>
      <c r="C789" s="33" t="s">
        <v>1085</v>
      </c>
      <c r="D789" s="33" t="s">
        <v>17</v>
      </c>
      <c r="E789" s="33" t="s">
        <v>67</v>
      </c>
      <c r="F789" s="33" t="s">
        <v>68</v>
      </c>
      <c r="G789" s="33" t="s">
        <v>140</v>
      </c>
      <c r="H789" s="35">
        <v>150</v>
      </c>
      <c r="I789" s="33" t="s">
        <v>51</v>
      </c>
      <c r="J789" s="42">
        <v>44039</v>
      </c>
      <c r="K789" s="33" t="s">
        <v>22</v>
      </c>
    </row>
    <row r="790" spans="1:11">
      <c r="A790" s="30" t="s">
        <v>2082</v>
      </c>
      <c r="B790" s="30" t="s">
        <v>2083</v>
      </c>
      <c r="C790" s="30" t="s">
        <v>93</v>
      </c>
      <c r="D790" s="30" t="s">
        <v>17</v>
      </c>
      <c r="E790" s="30" t="s">
        <v>31</v>
      </c>
      <c r="F790" s="30" t="s">
        <v>32</v>
      </c>
      <c r="G790" s="30" t="s">
        <v>106</v>
      </c>
      <c r="H790" s="32">
        <v>105</v>
      </c>
      <c r="I790" s="30" t="s">
        <v>21</v>
      </c>
      <c r="J790" s="41">
        <v>44173</v>
      </c>
      <c r="K790" s="30" t="s">
        <v>22</v>
      </c>
    </row>
    <row r="791" spans="1:11">
      <c r="A791" s="33" t="s">
        <v>2084</v>
      </c>
      <c r="B791" s="33" t="s">
        <v>2085</v>
      </c>
      <c r="C791" s="33" t="s">
        <v>2086</v>
      </c>
      <c r="D791" s="33" t="s">
        <v>17</v>
      </c>
      <c r="E791" s="33" t="s">
        <v>31</v>
      </c>
      <c r="F791" s="33" t="s">
        <v>32</v>
      </c>
      <c r="G791" s="33" t="s">
        <v>50</v>
      </c>
      <c r="H791" s="35">
        <v>99</v>
      </c>
      <c r="I791" s="33" t="s">
        <v>51</v>
      </c>
      <c r="J791" s="42">
        <v>43909</v>
      </c>
      <c r="K791" s="33" t="s">
        <v>22</v>
      </c>
    </row>
    <row r="792" spans="1:11">
      <c r="A792" s="30" t="s">
        <v>2087</v>
      </c>
      <c r="B792" s="30" t="s">
        <v>2088</v>
      </c>
      <c r="C792" s="30" t="s">
        <v>638</v>
      </c>
      <c r="D792" s="30" t="s">
        <v>17</v>
      </c>
      <c r="E792" s="30" t="s">
        <v>18</v>
      </c>
      <c r="F792" s="30" t="s">
        <v>19</v>
      </c>
      <c r="G792" s="30" t="s">
        <v>20</v>
      </c>
      <c r="H792" s="32">
        <v>974</v>
      </c>
      <c r="I792" s="30" t="s">
        <v>21</v>
      </c>
      <c r="J792" s="41">
        <v>43879</v>
      </c>
      <c r="K792" s="30" t="s">
        <v>22</v>
      </c>
    </row>
    <row r="793" spans="1:11">
      <c r="A793" s="33" t="s">
        <v>2089</v>
      </c>
      <c r="B793" s="33" t="s">
        <v>2090</v>
      </c>
      <c r="C793" s="33" t="s">
        <v>2091</v>
      </c>
      <c r="D793" s="33" t="s">
        <v>17</v>
      </c>
      <c r="E793" s="33" t="s">
        <v>26</v>
      </c>
      <c r="F793" s="33" t="s">
        <v>27</v>
      </c>
      <c r="G793" s="33" t="s">
        <v>20</v>
      </c>
      <c r="H793" s="35">
        <v>30</v>
      </c>
      <c r="I793" s="33" t="s">
        <v>21</v>
      </c>
      <c r="J793" s="42">
        <v>44144</v>
      </c>
      <c r="K793" s="33" t="s">
        <v>22</v>
      </c>
    </row>
    <row r="794" spans="1:11">
      <c r="A794" s="30" t="s">
        <v>2092</v>
      </c>
      <c r="B794" s="30" t="s">
        <v>2093</v>
      </c>
      <c r="C794" s="30" t="s">
        <v>2094</v>
      </c>
      <c r="D794" s="30" t="s">
        <v>17</v>
      </c>
      <c r="E794" s="30" t="s">
        <v>18</v>
      </c>
      <c r="F794" s="30" t="s">
        <v>19</v>
      </c>
      <c r="G794" s="30" t="s">
        <v>20</v>
      </c>
      <c r="H794" s="32">
        <v>706</v>
      </c>
      <c r="I794" s="30" t="s">
        <v>21</v>
      </c>
      <c r="J794" s="41">
        <v>44158</v>
      </c>
      <c r="K794" s="30" t="s">
        <v>22</v>
      </c>
    </row>
    <row r="795" spans="1:11">
      <c r="A795" s="33" t="s">
        <v>2095</v>
      </c>
      <c r="B795" s="33" t="s">
        <v>2096</v>
      </c>
      <c r="C795" s="33" t="s">
        <v>149</v>
      </c>
      <c r="D795" s="33" t="s">
        <v>17</v>
      </c>
      <c r="E795" s="33" t="s">
        <v>26</v>
      </c>
      <c r="F795" s="33" t="s">
        <v>27</v>
      </c>
      <c r="G795" s="33" t="s">
        <v>50</v>
      </c>
      <c r="H795" s="35">
        <v>24</v>
      </c>
      <c r="I795" s="33" t="s">
        <v>51</v>
      </c>
      <c r="J795" s="42">
        <v>44166</v>
      </c>
      <c r="K795" s="33" t="s">
        <v>22</v>
      </c>
    </row>
    <row r="796" spans="1:11">
      <c r="A796" s="30" t="s">
        <v>2097</v>
      </c>
      <c r="B796" s="30" t="s">
        <v>2098</v>
      </c>
      <c r="C796" s="30" t="s">
        <v>2099</v>
      </c>
      <c r="D796" s="30" t="s">
        <v>17</v>
      </c>
      <c r="E796" s="30" t="s">
        <v>31</v>
      </c>
      <c r="F796" s="30" t="s">
        <v>32</v>
      </c>
      <c r="G796" s="30" t="s">
        <v>106</v>
      </c>
      <c r="H796" s="32">
        <v>247</v>
      </c>
      <c r="I796" s="30" t="s">
        <v>21</v>
      </c>
      <c r="J796" s="41">
        <v>44041</v>
      </c>
      <c r="K796" s="30" t="s">
        <v>22</v>
      </c>
    </row>
    <row r="797" spans="1:11">
      <c r="A797" s="33" t="s">
        <v>2100</v>
      </c>
      <c r="B797" s="33" t="s">
        <v>2101</v>
      </c>
      <c r="C797" s="33" t="s">
        <v>25</v>
      </c>
      <c r="D797" s="33" t="s">
        <v>17</v>
      </c>
      <c r="E797" s="33" t="s">
        <v>26</v>
      </c>
      <c r="F797" s="33" t="s">
        <v>27</v>
      </c>
      <c r="G797" s="33" t="s">
        <v>20</v>
      </c>
      <c r="H797" s="35">
        <v>32</v>
      </c>
      <c r="I797" s="33" t="s">
        <v>21</v>
      </c>
      <c r="J797" s="42">
        <v>44039</v>
      </c>
      <c r="K797" s="33" t="s">
        <v>22</v>
      </c>
    </row>
    <row r="798" spans="1:11">
      <c r="A798" s="30" t="s">
        <v>2102</v>
      </c>
      <c r="B798" s="30" t="s">
        <v>2103</v>
      </c>
      <c r="C798" s="30" t="s">
        <v>96</v>
      </c>
      <c r="D798" s="30" t="s">
        <v>17</v>
      </c>
      <c r="E798" s="30" t="s">
        <v>18</v>
      </c>
      <c r="F798" s="30" t="s">
        <v>19</v>
      </c>
      <c r="G798" s="30" t="s">
        <v>106</v>
      </c>
      <c r="H798" s="32">
        <v>15</v>
      </c>
      <c r="I798" s="30" t="s">
        <v>21</v>
      </c>
      <c r="J798" s="41">
        <v>44190</v>
      </c>
      <c r="K798" s="30" t="s">
        <v>22</v>
      </c>
    </row>
    <row r="799" spans="1:11">
      <c r="A799" s="33" t="s">
        <v>2104</v>
      </c>
      <c r="B799" s="33" t="s">
        <v>2105</v>
      </c>
      <c r="C799" s="33" t="s">
        <v>203</v>
      </c>
      <c r="D799" s="33" t="s">
        <v>17</v>
      </c>
      <c r="E799" s="33" t="s">
        <v>26</v>
      </c>
      <c r="F799" s="33" t="s">
        <v>27</v>
      </c>
      <c r="G799" s="33" t="s">
        <v>20</v>
      </c>
      <c r="H799" s="35">
        <v>76</v>
      </c>
      <c r="I799" s="33" t="s">
        <v>21</v>
      </c>
      <c r="J799" s="42">
        <v>44153</v>
      </c>
      <c r="K799" s="33" t="s">
        <v>22</v>
      </c>
    </row>
    <row r="800" spans="1:11">
      <c r="A800" s="30" t="s">
        <v>2106</v>
      </c>
      <c r="B800" s="30" t="s">
        <v>2107</v>
      </c>
      <c r="C800" s="30" t="s">
        <v>969</v>
      </c>
      <c r="D800" s="30" t="s">
        <v>17</v>
      </c>
      <c r="E800" s="30" t="s">
        <v>26</v>
      </c>
      <c r="F800" s="30" t="s">
        <v>27</v>
      </c>
      <c r="G800" s="30" t="s">
        <v>20</v>
      </c>
      <c r="H800" s="32">
        <v>65</v>
      </c>
      <c r="I800" s="30" t="s">
        <v>21</v>
      </c>
      <c r="J800" s="41">
        <v>44139</v>
      </c>
      <c r="K800" s="30" t="s">
        <v>22</v>
      </c>
    </row>
    <row r="801" spans="1:11">
      <c r="A801" s="33" t="s">
        <v>2108</v>
      </c>
      <c r="B801" s="33" t="s">
        <v>2109</v>
      </c>
      <c r="C801" s="33" t="s">
        <v>321</v>
      </c>
      <c r="D801" s="33" t="s">
        <v>17</v>
      </c>
      <c r="E801" s="33" t="s">
        <v>26</v>
      </c>
      <c r="F801" s="33" t="s">
        <v>27</v>
      </c>
      <c r="G801" s="33" t="s">
        <v>20</v>
      </c>
      <c r="H801" s="35">
        <v>97</v>
      </c>
      <c r="I801" s="33" t="s">
        <v>21</v>
      </c>
      <c r="J801" s="42">
        <v>43861</v>
      </c>
      <c r="K801" s="33" t="s">
        <v>22</v>
      </c>
    </row>
    <row r="802" spans="1:11">
      <c r="A802" s="30" t="s">
        <v>2110</v>
      </c>
      <c r="B802" s="30" t="s">
        <v>2111</v>
      </c>
      <c r="C802" s="30" t="s">
        <v>2112</v>
      </c>
      <c r="D802" s="30" t="s">
        <v>17</v>
      </c>
      <c r="E802" s="30" t="s">
        <v>67</v>
      </c>
      <c r="F802" s="30" t="s">
        <v>68</v>
      </c>
      <c r="G802" s="30" t="s">
        <v>20</v>
      </c>
      <c r="H802" s="32">
        <v>10</v>
      </c>
      <c r="I802" s="30" t="s">
        <v>21</v>
      </c>
      <c r="J802" s="41">
        <v>44165</v>
      </c>
      <c r="K802" s="30" t="s">
        <v>22</v>
      </c>
    </row>
    <row r="803" spans="1:11">
      <c r="A803" s="33" t="s">
        <v>2113</v>
      </c>
      <c r="B803" s="33" t="s">
        <v>2114</v>
      </c>
      <c r="C803" s="33" t="s">
        <v>136</v>
      </c>
      <c r="D803" s="33" t="s">
        <v>17</v>
      </c>
      <c r="E803" s="33" t="s">
        <v>31</v>
      </c>
      <c r="F803" s="33" t="s">
        <v>32</v>
      </c>
      <c r="G803" s="33" t="s">
        <v>20</v>
      </c>
      <c r="H803" s="35">
        <v>95</v>
      </c>
      <c r="I803" s="33" t="s">
        <v>21</v>
      </c>
      <c r="J803" s="42">
        <v>44158</v>
      </c>
      <c r="K803" s="33" t="s">
        <v>22</v>
      </c>
    </row>
    <row r="804" spans="1:11">
      <c r="A804" s="30" t="s">
        <v>2115</v>
      </c>
      <c r="B804" s="30" t="s">
        <v>2116</v>
      </c>
      <c r="C804" s="30" t="s">
        <v>2117</v>
      </c>
      <c r="D804" s="30" t="s">
        <v>17</v>
      </c>
      <c r="E804" s="30" t="s">
        <v>45</v>
      </c>
      <c r="F804" s="30" t="s">
        <v>46</v>
      </c>
      <c r="G804" s="30" t="s">
        <v>20</v>
      </c>
      <c r="H804" s="32">
        <v>372</v>
      </c>
      <c r="I804" s="30" t="s">
        <v>21</v>
      </c>
      <c r="J804" s="41">
        <v>43944</v>
      </c>
      <c r="K804" s="30" t="s">
        <v>22</v>
      </c>
    </row>
    <row r="805" spans="1:11">
      <c r="A805" s="33" t="s">
        <v>2118</v>
      </c>
      <c r="B805" s="33" t="s">
        <v>2119</v>
      </c>
      <c r="C805" s="33" t="s">
        <v>2120</v>
      </c>
      <c r="D805" s="33" t="s">
        <v>17</v>
      </c>
      <c r="E805" s="33" t="s">
        <v>31</v>
      </c>
      <c r="F805" s="33" t="s">
        <v>32</v>
      </c>
      <c r="G805" s="33" t="s">
        <v>20</v>
      </c>
      <c r="H805" s="35">
        <v>164</v>
      </c>
      <c r="I805" s="33" t="s">
        <v>21</v>
      </c>
      <c r="J805" s="42">
        <v>44027</v>
      </c>
      <c r="K805" s="33" t="s">
        <v>22</v>
      </c>
    </row>
    <row r="806" spans="1:11">
      <c r="A806" s="30" t="s">
        <v>2121</v>
      </c>
      <c r="B806" s="30" t="s">
        <v>2122</v>
      </c>
      <c r="C806" s="30" t="s">
        <v>2123</v>
      </c>
      <c r="D806" s="30" t="s">
        <v>17</v>
      </c>
      <c r="E806" s="30" t="s">
        <v>26</v>
      </c>
      <c r="F806" s="30" t="s">
        <v>27</v>
      </c>
      <c r="G806" s="30" t="s">
        <v>20</v>
      </c>
      <c r="H806" s="32">
        <v>48</v>
      </c>
      <c r="I806" s="30" t="s">
        <v>21</v>
      </c>
      <c r="J806" s="41">
        <v>44124</v>
      </c>
      <c r="K806" s="30" t="s">
        <v>22</v>
      </c>
    </row>
    <row r="807" spans="1:11">
      <c r="A807" s="33" t="s">
        <v>2124</v>
      </c>
      <c r="B807" s="33" t="s">
        <v>2125</v>
      </c>
      <c r="C807" s="33" t="s">
        <v>2126</v>
      </c>
      <c r="D807" s="33" t="s">
        <v>17</v>
      </c>
      <c r="E807" s="33" t="s">
        <v>31</v>
      </c>
      <c r="F807" s="33" t="s">
        <v>32</v>
      </c>
      <c r="G807" s="33" t="s">
        <v>106</v>
      </c>
      <c r="H807" s="35">
        <v>67</v>
      </c>
      <c r="I807" s="33" t="s">
        <v>21</v>
      </c>
      <c r="J807" s="42">
        <v>44120</v>
      </c>
      <c r="K807" s="33" t="s">
        <v>22</v>
      </c>
    </row>
    <row r="808" spans="1:11">
      <c r="A808" s="30" t="s">
        <v>2127</v>
      </c>
      <c r="B808" s="30" t="s">
        <v>2128</v>
      </c>
      <c r="C808" s="30" t="s">
        <v>2129</v>
      </c>
      <c r="D808" s="30" t="s">
        <v>17</v>
      </c>
      <c r="E808" s="30" t="s">
        <v>31</v>
      </c>
      <c r="F808" s="30" t="s">
        <v>32</v>
      </c>
      <c r="G808" s="30" t="s">
        <v>20</v>
      </c>
      <c r="H808" s="32">
        <v>94</v>
      </c>
      <c r="I808" s="30" t="s">
        <v>21</v>
      </c>
      <c r="J808" s="41">
        <v>44194</v>
      </c>
      <c r="K808" s="30" t="s">
        <v>22</v>
      </c>
    </row>
    <row r="809" spans="1:11">
      <c r="A809" s="33" t="s">
        <v>2130</v>
      </c>
      <c r="B809" s="33" t="s">
        <v>2131</v>
      </c>
      <c r="C809" s="33" t="s">
        <v>2132</v>
      </c>
      <c r="D809" s="33" t="s">
        <v>17</v>
      </c>
      <c r="E809" s="33" t="s">
        <v>31</v>
      </c>
      <c r="F809" s="33" t="s">
        <v>32</v>
      </c>
      <c r="G809" s="33" t="s">
        <v>20</v>
      </c>
      <c r="H809" s="35">
        <v>60</v>
      </c>
      <c r="I809" s="33" t="s">
        <v>21</v>
      </c>
      <c r="J809" s="42">
        <v>44144</v>
      </c>
      <c r="K809" s="33" t="s">
        <v>22</v>
      </c>
    </row>
    <row r="810" spans="1:11">
      <c r="A810" s="30" t="s">
        <v>2133</v>
      </c>
      <c r="B810" s="30" t="s">
        <v>2134</v>
      </c>
      <c r="C810" s="30" t="s">
        <v>2135</v>
      </c>
      <c r="D810" s="30" t="s">
        <v>17</v>
      </c>
      <c r="E810" s="30" t="s">
        <v>18</v>
      </c>
      <c r="F810" s="30" t="s">
        <v>19</v>
      </c>
      <c r="G810" s="30" t="s">
        <v>20</v>
      </c>
      <c r="H810" s="32">
        <v>121</v>
      </c>
      <c r="I810" s="30" t="s">
        <v>21</v>
      </c>
      <c r="J810" s="41">
        <v>43874</v>
      </c>
      <c r="K810" s="30" t="s">
        <v>22</v>
      </c>
    </row>
    <row r="811" spans="1:11">
      <c r="A811" s="33" t="s">
        <v>2136</v>
      </c>
      <c r="B811" s="33" t="s">
        <v>2137</v>
      </c>
      <c r="C811" s="33" t="s">
        <v>187</v>
      </c>
      <c r="D811" s="33" t="s">
        <v>17</v>
      </c>
      <c r="E811" s="33" t="s">
        <v>18</v>
      </c>
      <c r="F811" s="33" t="s">
        <v>19</v>
      </c>
      <c r="G811" s="33" t="s">
        <v>158</v>
      </c>
      <c r="H811" s="35">
        <v>528</v>
      </c>
      <c r="I811" s="33" t="s">
        <v>21</v>
      </c>
      <c r="J811" s="42">
        <v>44068</v>
      </c>
      <c r="K811" s="33" t="s">
        <v>22</v>
      </c>
    </row>
    <row r="812" spans="1:11">
      <c r="A812" s="30" t="s">
        <v>2138</v>
      </c>
      <c r="B812" s="30" t="s">
        <v>2139</v>
      </c>
      <c r="C812" s="30" t="s">
        <v>647</v>
      </c>
      <c r="D812" s="30" t="s">
        <v>17</v>
      </c>
      <c r="E812" s="30" t="s">
        <v>330</v>
      </c>
      <c r="F812" s="30" t="s">
        <v>331</v>
      </c>
      <c r="G812" s="30" t="s">
        <v>20</v>
      </c>
      <c r="H812" s="32">
        <v>18</v>
      </c>
      <c r="I812" s="30" t="s">
        <v>21</v>
      </c>
      <c r="J812" s="41">
        <v>44071</v>
      </c>
      <c r="K812" s="30" t="s">
        <v>22</v>
      </c>
    </row>
    <row r="813" spans="1:11">
      <c r="A813" s="33" t="s">
        <v>2140</v>
      </c>
      <c r="B813" s="33" t="s">
        <v>2141</v>
      </c>
      <c r="C813" s="33" t="s">
        <v>647</v>
      </c>
      <c r="D813" s="33" t="s">
        <v>17</v>
      </c>
      <c r="E813" s="33" t="s">
        <v>18</v>
      </c>
      <c r="F813" s="33" t="s">
        <v>19</v>
      </c>
      <c r="G813" s="33" t="s">
        <v>20</v>
      </c>
      <c r="H813" s="35">
        <v>207</v>
      </c>
      <c r="I813" s="33" t="s">
        <v>21</v>
      </c>
      <c r="J813" s="42">
        <v>44126</v>
      </c>
      <c r="K813" s="33" t="s">
        <v>22</v>
      </c>
    </row>
    <row r="814" spans="1:11">
      <c r="A814" s="30" t="s">
        <v>2142</v>
      </c>
      <c r="B814" s="30" t="s">
        <v>2143</v>
      </c>
      <c r="C814" s="30" t="s">
        <v>93</v>
      </c>
      <c r="D814" s="30" t="s">
        <v>17</v>
      </c>
      <c r="E814" s="30" t="s">
        <v>26</v>
      </c>
      <c r="F814" s="30" t="s">
        <v>27</v>
      </c>
      <c r="G814" s="30" t="s">
        <v>20</v>
      </c>
      <c r="H814" s="32">
        <v>30</v>
      </c>
      <c r="I814" s="30" t="s">
        <v>21</v>
      </c>
      <c r="J814" s="41">
        <v>43852</v>
      </c>
      <c r="K814" s="30" t="s">
        <v>22</v>
      </c>
    </row>
    <row r="815" spans="1:11">
      <c r="A815" s="33" t="s">
        <v>2144</v>
      </c>
      <c r="B815" s="33" t="s">
        <v>2145</v>
      </c>
      <c r="C815" s="33" t="s">
        <v>203</v>
      </c>
      <c r="D815" s="33" t="s">
        <v>17</v>
      </c>
      <c r="E815" s="33" t="s">
        <v>18</v>
      </c>
      <c r="F815" s="33" t="s">
        <v>19</v>
      </c>
      <c r="G815" s="33" t="s">
        <v>20</v>
      </c>
      <c r="H815" s="35">
        <v>305</v>
      </c>
      <c r="I815" s="33" t="s">
        <v>21</v>
      </c>
      <c r="J815" s="42">
        <v>44173</v>
      </c>
      <c r="K815" s="33" t="s">
        <v>22</v>
      </c>
    </row>
    <row r="816" spans="1:11">
      <c r="A816" s="30" t="s">
        <v>2146</v>
      </c>
      <c r="B816" s="30" t="s">
        <v>2147</v>
      </c>
      <c r="C816" s="30" t="s">
        <v>124</v>
      </c>
      <c r="D816" s="30" t="s">
        <v>17</v>
      </c>
      <c r="E816" s="30" t="s">
        <v>31</v>
      </c>
      <c r="F816" s="30" t="s">
        <v>32</v>
      </c>
      <c r="G816" s="30" t="s">
        <v>20</v>
      </c>
      <c r="H816" s="32">
        <v>131</v>
      </c>
      <c r="I816" s="30" t="s">
        <v>21</v>
      </c>
      <c r="J816" s="41">
        <v>44053</v>
      </c>
      <c r="K816" s="30" t="s">
        <v>22</v>
      </c>
    </row>
    <row r="817" spans="1:11">
      <c r="A817" s="33" t="s">
        <v>2148</v>
      </c>
      <c r="B817" s="33" t="s">
        <v>2149</v>
      </c>
      <c r="C817" s="33" t="s">
        <v>2150</v>
      </c>
      <c r="D817" s="33" t="s">
        <v>17</v>
      </c>
      <c r="E817" s="33" t="s">
        <v>67</v>
      </c>
      <c r="F817" s="33" t="s">
        <v>68</v>
      </c>
      <c r="G817" s="33" t="s">
        <v>106</v>
      </c>
      <c r="H817" s="35">
        <v>56</v>
      </c>
      <c r="I817" s="33" t="s">
        <v>21</v>
      </c>
      <c r="J817" s="42">
        <v>44061</v>
      </c>
      <c r="K817" s="33" t="s">
        <v>22</v>
      </c>
    </row>
    <row r="818" spans="1:11">
      <c r="A818" s="30" t="s">
        <v>2151</v>
      </c>
      <c r="B818" s="30" t="s">
        <v>2152</v>
      </c>
      <c r="C818" s="30" t="s">
        <v>2153</v>
      </c>
      <c r="D818" s="30" t="s">
        <v>17</v>
      </c>
      <c r="E818" s="30" t="s">
        <v>26</v>
      </c>
      <c r="F818" s="30" t="s">
        <v>27</v>
      </c>
      <c r="G818" s="30" t="s">
        <v>20</v>
      </c>
      <c r="H818" s="32">
        <v>14</v>
      </c>
      <c r="I818" s="30" t="s">
        <v>21</v>
      </c>
      <c r="J818" s="41">
        <v>44138</v>
      </c>
      <c r="K818" s="30" t="s">
        <v>22</v>
      </c>
    </row>
    <row r="819" spans="1:11">
      <c r="A819" s="33" t="s">
        <v>2154</v>
      </c>
      <c r="B819" s="33" t="s">
        <v>2155</v>
      </c>
      <c r="C819" s="33" t="s">
        <v>2156</v>
      </c>
      <c r="D819" s="33" t="s">
        <v>17</v>
      </c>
      <c r="E819" s="33" t="s">
        <v>26</v>
      </c>
      <c r="F819" s="33" t="s">
        <v>27</v>
      </c>
      <c r="G819" s="33" t="s">
        <v>20</v>
      </c>
      <c r="H819" s="35">
        <v>120</v>
      </c>
      <c r="I819" s="33" t="s">
        <v>21</v>
      </c>
      <c r="J819" s="42">
        <v>44014</v>
      </c>
      <c r="K819" s="33" t="s">
        <v>22</v>
      </c>
    </row>
    <row r="820" spans="1:11">
      <c r="A820" s="30" t="s">
        <v>2157</v>
      </c>
      <c r="B820" s="30" t="s">
        <v>2158</v>
      </c>
      <c r="C820" s="30" t="s">
        <v>190</v>
      </c>
      <c r="D820" s="30" t="s">
        <v>17</v>
      </c>
      <c r="E820" s="30" t="s">
        <v>18</v>
      </c>
      <c r="F820" s="30" t="s">
        <v>19</v>
      </c>
      <c r="G820" s="30" t="s">
        <v>20</v>
      </c>
      <c r="H820" s="32">
        <v>30</v>
      </c>
      <c r="I820" s="30" t="s">
        <v>21</v>
      </c>
      <c r="J820" s="41">
        <v>44165</v>
      </c>
      <c r="K820" s="30" t="s">
        <v>22</v>
      </c>
    </row>
    <row r="821" spans="1:11">
      <c r="A821" s="33" t="s">
        <v>2159</v>
      </c>
      <c r="B821" s="33" t="s">
        <v>2160</v>
      </c>
      <c r="C821" s="33" t="s">
        <v>2161</v>
      </c>
      <c r="D821" s="33" t="s">
        <v>17</v>
      </c>
      <c r="E821" s="33" t="s">
        <v>45</v>
      </c>
      <c r="F821" s="33" t="s">
        <v>46</v>
      </c>
      <c r="G821" s="33" t="s">
        <v>20</v>
      </c>
      <c r="H821" s="35">
        <v>160</v>
      </c>
      <c r="I821" s="33" t="s">
        <v>21</v>
      </c>
      <c r="J821" s="42">
        <v>44175</v>
      </c>
      <c r="K821" s="33" t="s">
        <v>22</v>
      </c>
    </row>
    <row r="822" spans="1:11">
      <c r="A822" s="30" t="s">
        <v>2162</v>
      </c>
      <c r="B822" s="30" t="s">
        <v>2163</v>
      </c>
      <c r="C822" s="30" t="s">
        <v>252</v>
      </c>
      <c r="D822" s="30" t="s">
        <v>17</v>
      </c>
      <c r="E822" s="30" t="s">
        <v>26</v>
      </c>
      <c r="F822" s="30" t="s">
        <v>27</v>
      </c>
      <c r="G822" s="30" t="s">
        <v>20</v>
      </c>
      <c r="H822" s="32">
        <v>40</v>
      </c>
      <c r="I822" s="30" t="s">
        <v>21</v>
      </c>
      <c r="J822" s="41">
        <v>43988</v>
      </c>
      <c r="K822" s="30" t="s">
        <v>22</v>
      </c>
    </row>
    <row r="823" spans="1:11">
      <c r="A823" s="33" t="s">
        <v>2164</v>
      </c>
      <c r="B823" s="33" t="s">
        <v>2165</v>
      </c>
      <c r="C823" s="33" t="s">
        <v>387</v>
      </c>
      <c r="D823" s="33" t="s">
        <v>17</v>
      </c>
      <c r="E823" s="33" t="s">
        <v>26</v>
      </c>
      <c r="F823" s="33" t="s">
        <v>27</v>
      </c>
      <c r="G823" s="33" t="s">
        <v>106</v>
      </c>
      <c r="H823" s="35">
        <v>46</v>
      </c>
      <c r="I823" s="33" t="s">
        <v>21</v>
      </c>
      <c r="J823" s="42">
        <v>44021</v>
      </c>
      <c r="K823" s="33" t="s">
        <v>22</v>
      </c>
    </row>
    <row r="824" spans="1:11">
      <c r="A824" s="30" t="s">
        <v>2166</v>
      </c>
      <c r="B824" s="30" t="s">
        <v>2167</v>
      </c>
      <c r="C824" s="30" t="s">
        <v>2168</v>
      </c>
      <c r="D824" s="30" t="s">
        <v>17</v>
      </c>
      <c r="E824" s="30" t="s">
        <v>18</v>
      </c>
      <c r="F824" s="30" t="s">
        <v>19</v>
      </c>
      <c r="G824" s="30" t="s">
        <v>106</v>
      </c>
      <c r="H824" s="32">
        <v>7</v>
      </c>
      <c r="I824" s="30" t="s">
        <v>21</v>
      </c>
      <c r="J824" s="41">
        <v>44076</v>
      </c>
      <c r="K824" s="30" t="s">
        <v>22</v>
      </c>
    </row>
    <row r="825" spans="1:11">
      <c r="A825" s="33" t="s">
        <v>2169</v>
      </c>
      <c r="B825" s="33" t="s">
        <v>2170</v>
      </c>
      <c r="C825" s="33" t="s">
        <v>2171</v>
      </c>
      <c r="D825" s="33" t="s">
        <v>17</v>
      </c>
      <c r="E825" s="33" t="s">
        <v>26</v>
      </c>
      <c r="F825" s="33" t="s">
        <v>27</v>
      </c>
      <c r="G825" s="33" t="s">
        <v>106</v>
      </c>
      <c r="H825" s="35">
        <v>1</v>
      </c>
      <c r="I825" s="33" t="s">
        <v>21</v>
      </c>
      <c r="J825" s="42">
        <v>44119</v>
      </c>
      <c r="K825" s="33" t="s">
        <v>22</v>
      </c>
    </row>
    <row r="826" spans="1:11">
      <c r="A826" s="30" t="s">
        <v>2172</v>
      </c>
      <c r="B826" s="30" t="s">
        <v>2173</v>
      </c>
      <c r="C826" s="30" t="s">
        <v>2174</v>
      </c>
      <c r="D826" s="30" t="s">
        <v>17</v>
      </c>
      <c r="E826" s="30" t="s">
        <v>26</v>
      </c>
      <c r="F826" s="30" t="s">
        <v>27</v>
      </c>
      <c r="G826" s="30" t="s">
        <v>106</v>
      </c>
      <c r="H826" s="32">
        <v>27</v>
      </c>
      <c r="I826" s="30" t="s">
        <v>21</v>
      </c>
      <c r="J826" s="41">
        <v>44153</v>
      </c>
      <c r="K826" s="30" t="s">
        <v>22</v>
      </c>
    </row>
    <row r="827" spans="1:11">
      <c r="A827" s="33" t="s">
        <v>2175</v>
      </c>
      <c r="B827" s="33" t="s">
        <v>2176</v>
      </c>
      <c r="C827" s="33" t="s">
        <v>2177</v>
      </c>
      <c r="D827" s="33" t="s">
        <v>17</v>
      </c>
      <c r="E827" s="33" t="s">
        <v>26</v>
      </c>
      <c r="F827" s="33" t="s">
        <v>27</v>
      </c>
      <c r="G827" s="33" t="s">
        <v>106</v>
      </c>
      <c r="H827" s="35">
        <v>7</v>
      </c>
      <c r="I827" s="33" t="s">
        <v>21</v>
      </c>
      <c r="J827" s="42">
        <v>44162</v>
      </c>
      <c r="K827" s="33" t="s">
        <v>22</v>
      </c>
    </row>
    <row r="828" spans="1:11">
      <c r="A828" s="30" t="s">
        <v>2178</v>
      </c>
      <c r="B828" s="30" t="s">
        <v>2179</v>
      </c>
      <c r="C828" s="30" t="s">
        <v>554</v>
      </c>
      <c r="D828" s="30" t="s">
        <v>17</v>
      </c>
      <c r="E828" s="30" t="s">
        <v>18</v>
      </c>
      <c r="F828" s="30" t="s">
        <v>19</v>
      </c>
      <c r="G828" s="30" t="s">
        <v>158</v>
      </c>
      <c r="H828" s="32">
        <v>1400</v>
      </c>
      <c r="I828" s="30" t="s">
        <v>51</v>
      </c>
      <c r="J828" s="41">
        <v>44026</v>
      </c>
      <c r="K828" s="30" t="s">
        <v>22</v>
      </c>
    </row>
    <row r="829" spans="1:11">
      <c r="A829" s="33" t="s">
        <v>2180</v>
      </c>
      <c r="B829" s="33" t="s">
        <v>2181</v>
      </c>
      <c r="C829" s="33" t="s">
        <v>2117</v>
      </c>
      <c r="D829" s="33" t="s">
        <v>17</v>
      </c>
      <c r="E829" s="33" t="s">
        <v>45</v>
      </c>
      <c r="F829" s="33" t="s">
        <v>46</v>
      </c>
      <c r="G829" s="33" t="s">
        <v>20</v>
      </c>
      <c r="H829" s="35">
        <v>20</v>
      </c>
      <c r="I829" s="33" t="s">
        <v>21</v>
      </c>
      <c r="J829" s="42">
        <v>43873</v>
      </c>
      <c r="K829" s="33" t="s">
        <v>22</v>
      </c>
    </row>
    <row r="830" spans="1:11">
      <c r="A830" s="30" t="s">
        <v>2182</v>
      </c>
      <c r="B830" s="30" t="s">
        <v>2183</v>
      </c>
      <c r="C830" s="30" t="s">
        <v>49</v>
      </c>
      <c r="D830" s="30" t="s">
        <v>17</v>
      </c>
      <c r="E830" s="30" t="s">
        <v>67</v>
      </c>
      <c r="F830" s="30" t="s">
        <v>68</v>
      </c>
      <c r="G830" s="30" t="s">
        <v>50</v>
      </c>
      <c r="H830" s="32">
        <v>70</v>
      </c>
      <c r="I830" s="30" t="s">
        <v>51</v>
      </c>
      <c r="J830" s="41">
        <v>44153</v>
      </c>
      <c r="K830" s="30" t="s">
        <v>22</v>
      </c>
    </row>
    <row r="831" spans="1:11">
      <c r="A831" s="33" t="s">
        <v>2184</v>
      </c>
      <c r="B831" s="33" t="s">
        <v>2185</v>
      </c>
      <c r="C831" s="33" t="s">
        <v>2126</v>
      </c>
      <c r="D831" s="33" t="s">
        <v>17</v>
      </c>
      <c r="E831" s="33" t="s">
        <v>18</v>
      </c>
      <c r="F831" s="33" t="s">
        <v>19</v>
      </c>
      <c r="G831" s="33" t="s">
        <v>20</v>
      </c>
      <c r="H831" s="35">
        <v>1187</v>
      </c>
      <c r="I831" s="33" t="s">
        <v>21</v>
      </c>
      <c r="J831" s="42">
        <v>44165</v>
      </c>
      <c r="K831" s="33" t="s">
        <v>22</v>
      </c>
    </row>
    <row r="832" spans="1:11">
      <c r="A832" s="30" t="s">
        <v>2186</v>
      </c>
      <c r="B832" s="30" t="s">
        <v>2187</v>
      </c>
      <c r="C832" s="30" t="s">
        <v>2188</v>
      </c>
      <c r="D832" s="30" t="s">
        <v>17</v>
      </c>
      <c r="E832" s="30" t="s">
        <v>31</v>
      </c>
      <c r="F832" s="30" t="s">
        <v>32</v>
      </c>
      <c r="G832" s="30" t="s">
        <v>50</v>
      </c>
      <c r="H832" s="32">
        <v>75</v>
      </c>
      <c r="I832" s="30" t="s">
        <v>21</v>
      </c>
      <c r="J832" s="41">
        <v>43861</v>
      </c>
      <c r="K832" s="30" t="s">
        <v>22</v>
      </c>
    </row>
    <row r="833" spans="1:11">
      <c r="A833" s="33" t="s">
        <v>2189</v>
      </c>
      <c r="B833" s="33" t="s">
        <v>2190</v>
      </c>
      <c r="C833" s="33" t="s">
        <v>2191</v>
      </c>
      <c r="D833" s="33" t="s">
        <v>17</v>
      </c>
      <c r="E833" s="33" t="s">
        <v>26</v>
      </c>
      <c r="F833" s="33" t="s">
        <v>27</v>
      </c>
      <c r="G833" s="33" t="s">
        <v>50</v>
      </c>
      <c r="H833" s="35">
        <v>20</v>
      </c>
      <c r="I833" s="33" t="s">
        <v>51</v>
      </c>
      <c r="J833" s="42">
        <v>44039</v>
      </c>
      <c r="K833" s="33" t="s">
        <v>22</v>
      </c>
    </row>
    <row r="834" spans="1:11">
      <c r="A834" s="30" t="s">
        <v>2192</v>
      </c>
      <c r="B834" s="30" t="s">
        <v>2193</v>
      </c>
      <c r="C834" s="30" t="s">
        <v>109</v>
      </c>
      <c r="D834" s="30" t="s">
        <v>17</v>
      </c>
      <c r="E834" s="30" t="s">
        <v>18</v>
      </c>
      <c r="F834" s="30" t="s">
        <v>19</v>
      </c>
      <c r="G834" s="30" t="s">
        <v>20</v>
      </c>
      <c r="H834" s="32">
        <v>432</v>
      </c>
      <c r="I834" s="30" t="s">
        <v>21</v>
      </c>
      <c r="J834" s="41">
        <v>43953</v>
      </c>
      <c r="K834" s="30" t="s">
        <v>22</v>
      </c>
    </row>
    <row r="835" spans="1:11">
      <c r="A835" s="33" t="s">
        <v>2194</v>
      </c>
      <c r="B835" s="33" t="s">
        <v>2195</v>
      </c>
      <c r="C835" s="33" t="s">
        <v>2196</v>
      </c>
      <c r="D835" s="33" t="s">
        <v>17</v>
      </c>
      <c r="E835" s="33" t="s">
        <v>45</v>
      </c>
      <c r="F835" s="33" t="s">
        <v>46</v>
      </c>
      <c r="G835" s="33" t="s">
        <v>140</v>
      </c>
      <c r="H835" s="35">
        <v>235</v>
      </c>
      <c r="I835" s="33" t="s">
        <v>51</v>
      </c>
      <c r="J835" s="42">
        <v>44077</v>
      </c>
      <c r="K835" s="33" t="s">
        <v>22</v>
      </c>
    </row>
    <row r="836" spans="1:11">
      <c r="A836" s="30" t="s">
        <v>2197</v>
      </c>
      <c r="B836" s="30" t="s">
        <v>2198</v>
      </c>
      <c r="C836" s="30" t="s">
        <v>1090</v>
      </c>
      <c r="D836" s="30" t="s">
        <v>17</v>
      </c>
      <c r="E836" s="30" t="s">
        <v>26</v>
      </c>
      <c r="F836" s="30" t="s">
        <v>27</v>
      </c>
      <c r="G836" s="30" t="s">
        <v>50</v>
      </c>
      <c r="H836" s="32">
        <v>40</v>
      </c>
      <c r="I836" s="30" t="s">
        <v>51</v>
      </c>
      <c r="J836" s="41">
        <v>44166</v>
      </c>
      <c r="K836" s="30" t="s">
        <v>22</v>
      </c>
    </row>
    <row r="837" spans="1:11">
      <c r="A837" s="33" t="s">
        <v>2199</v>
      </c>
      <c r="B837" s="33" t="s">
        <v>2200</v>
      </c>
      <c r="C837" s="33" t="s">
        <v>990</v>
      </c>
      <c r="D837" s="33" t="s">
        <v>17</v>
      </c>
      <c r="E837" s="33" t="s">
        <v>18</v>
      </c>
      <c r="F837" s="33" t="s">
        <v>19</v>
      </c>
      <c r="G837" s="33" t="s">
        <v>20</v>
      </c>
      <c r="H837" s="35">
        <v>506</v>
      </c>
      <c r="I837" s="33" t="s">
        <v>21</v>
      </c>
      <c r="J837" s="42">
        <v>44090</v>
      </c>
      <c r="K837" s="33" t="s">
        <v>22</v>
      </c>
    </row>
    <row r="838" spans="1:11">
      <c r="A838" s="30" t="s">
        <v>2201</v>
      </c>
      <c r="B838" s="30" t="s">
        <v>2202</v>
      </c>
      <c r="C838" s="30" t="s">
        <v>2203</v>
      </c>
      <c r="D838" s="30" t="s">
        <v>17</v>
      </c>
      <c r="E838" s="30" t="s">
        <v>67</v>
      </c>
      <c r="F838" s="30" t="s">
        <v>68</v>
      </c>
      <c r="G838" s="30" t="s">
        <v>158</v>
      </c>
      <c r="H838" s="32">
        <v>36</v>
      </c>
      <c r="I838" s="30" t="s">
        <v>21</v>
      </c>
      <c r="J838" s="41">
        <v>43891</v>
      </c>
      <c r="K838" s="30" t="s">
        <v>22</v>
      </c>
    </row>
    <row r="839" spans="1:11">
      <c r="A839" s="33" t="s">
        <v>2204</v>
      </c>
      <c r="B839" s="33" t="s">
        <v>2205</v>
      </c>
      <c r="C839" s="33" t="s">
        <v>246</v>
      </c>
      <c r="D839" s="33" t="s">
        <v>17</v>
      </c>
      <c r="E839" s="33" t="s">
        <v>26</v>
      </c>
      <c r="F839" s="33" t="s">
        <v>27</v>
      </c>
      <c r="G839" s="33" t="s">
        <v>50</v>
      </c>
      <c r="H839" s="35">
        <v>58</v>
      </c>
      <c r="I839" s="33" t="s">
        <v>51</v>
      </c>
      <c r="J839" s="42">
        <v>43920</v>
      </c>
      <c r="K839" s="33" t="s">
        <v>22</v>
      </c>
    </row>
    <row r="840" spans="1:11">
      <c r="A840" s="30" t="s">
        <v>2206</v>
      </c>
      <c r="B840" s="30" t="s">
        <v>2207</v>
      </c>
      <c r="C840" s="30" t="s">
        <v>2208</v>
      </c>
      <c r="D840" s="30" t="s">
        <v>17</v>
      </c>
      <c r="E840" s="30" t="s">
        <v>18</v>
      </c>
      <c r="F840" s="30" t="s">
        <v>19</v>
      </c>
      <c r="G840" s="30" t="s">
        <v>20</v>
      </c>
      <c r="H840" s="32">
        <v>311</v>
      </c>
      <c r="I840" s="30" t="s">
        <v>21</v>
      </c>
      <c r="J840" s="41">
        <v>44096</v>
      </c>
      <c r="K840" s="30" t="s">
        <v>22</v>
      </c>
    </row>
    <row r="841" spans="1:11">
      <c r="A841" s="33" t="s">
        <v>2209</v>
      </c>
      <c r="B841" s="33" t="s">
        <v>2210</v>
      </c>
      <c r="C841" s="33" t="s">
        <v>157</v>
      </c>
      <c r="D841" s="33" t="s">
        <v>17</v>
      </c>
      <c r="E841" s="33" t="s">
        <v>67</v>
      </c>
      <c r="F841" s="33" t="s">
        <v>68</v>
      </c>
      <c r="G841" s="33" t="s">
        <v>20</v>
      </c>
      <c r="H841" s="35">
        <v>161</v>
      </c>
      <c r="I841" s="33" t="s">
        <v>21</v>
      </c>
      <c r="J841" s="42">
        <v>44060</v>
      </c>
      <c r="K841" s="33" t="s">
        <v>22</v>
      </c>
    </row>
    <row r="842" spans="1:11">
      <c r="A842" s="30" t="s">
        <v>2211</v>
      </c>
      <c r="B842" s="30" t="s">
        <v>2212</v>
      </c>
      <c r="C842" s="30" t="s">
        <v>96</v>
      </c>
      <c r="D842" s="30" t="s">
        <v>17</v>
      </c>
      <c r="E842" s="30" t="s">
        <v>26</v>
      </c>
      <c r="F842" s="30" t="s">
        <v>27</v>
      </c>
      <c r="G842" s="30" t="s">
        <v>20</v>
      </c>
      <c r="H842" s="32">
        <v>121</v>
      </c>
      <c r="I842" s="30" t="s">
        <v>21</v>
      </c>
      <c r="J842" s="41">
        <v>44175</v>
      </c>
      <c r="K842" s="30" t="s">
        <v>22</v>
      </c>
    </row>
    <row r="843" spans="1:11">
      <c r="A843" s="33" t="s">
        <v>2213</v>
      </c>
      <c r="B843" s="33" t="s">
        <v>2214</v>
      </c>
      <c r="C843" s="33" t="s">
        <v>647</v>
      </c>
      <c r="D843" s="33" t="s">
        <v>17</v>
      </c>
      <c r="E843" s="33" t="s">
        <v>31</v>
      </c>
      <c r="F843" s="33" t="s">
        <v>32</v>
      </c>
      <c r="G843" s="33" t="s">
        <v>20</v>
      </c>
      <c r="H843" s="35">
        <v>42</v>
      </c>
      <c r="I843" s="33" t="s">
        <v>21</v>
      </c>
      <c r="J843" s="42">
        <v>44161</v>
      </c>
      <c r="K843" s="33" t="s">
        <v>22</v>
      </c>
    </row>
    <row r="844" spans="1:11">
      <c r="A844" s="30" t="s">
        <v>2215</v>
      </c>
      <c r="B844" s="30" t="s">
        <v>2216</v>
      </c>
      <c r="C844" s="30" t="s">
        <v>2217</v>
      </c>
      <c r="D844" s="30" t="s">
        <v>17</v>
      </c>
      <c r="E844" s="30" t="s">
        <v>26</v>
      </c>
      <c r="F844" s="30" t="s">
        <v>27</v>
      </c>
      <c r="G844" s="30" t="s">
        <v>20</v>
      </c>
      <c r="H844" s="32">
        <v>28</v>
      </c>
      <c r="I844" s="30" t="s">
        <v>21</v>
      </c>
      <c r="J844" s="41">
        <v>44088</v>
      </c>
      <c r="K844" s="30" t="s">
        <v>22</v>
      </c>
    </row>
    <row r="845" spans="1:11">
      <c r="A845" s="33" t="s">
        <v>2218</v>
      </c>
      <c r="B845" s="33" t="s">
        <v>2219</v>
      </c>
      <c r="C845" s="33" t="s">
        <v>2220</v>
      </c>
      <c r="D845" s="33" t="s">
        <v>17</v>
      </c>
      <c r="E845" s="33" t="s">
        <v>18</v>
      </c>
      <c r="F845" s="33" t="s">
        <v>19</v>
      </c>
      <c r="G845" s="33" t="s">
        <v>106</v>
      </c>
      <c r="H845" s="35">
        <v>77</v>
      </c>
      <c r="I845" s="33" t="s">
        <v>21</v>
      </c>
      <c r="J845" s="42">
        <v>44143</v>
      </c>
      <c r="K845" s="33" t="s">
        <v>22</v>
      </c>
    </row>
    <row r="846" spans="1:11">
      <c r="A846" s="30" t="s">
        <v>2221</v>
      </c>
      <c r="B846" s="30" t="s">
        <v>2222</v>
      </c>
      <c r="C846" s="30" t="s">
        <v>96</v>
      </c>
      <c r="D846" s="30" t="s">
        <v>17</v>
      </c>
      <c r="E846" s="30" t="s">
        <v>26</v>
      </c>
      <c r="F846" s="30" t="s">
        <v>27</v>
      </c>
      <c r="G846" s="30" t="s">
        <v>20</v>
      </c>
      <c r="H846" s="32">
        <v>52</v>
      </c>
      <c r="I846" s="30" t="s">
        <v>21</v>
      </c>
      <c r="J846" s="41">
        <v>43866</v>
      </c>
      <c r="K846" s="30" t="s">
        <v>22</v>
      </c>
    </row>
    <row r="847" spans="1:11">
      <c r="A847" s="33" t="s">
        <v>2223</v>
      </c>
      <c r="B847" s="33" t="s">
        <v>2224</v>
      </c>
      <c r="C847" s="33" t="s">
        <v>2225</v>
      </c>
      <c r="D847" s="33" t="s">
        <v>17</v>
      </c>
      <c r="E847" s="33" t="s">
        <v>26</v>
      </c>
      <c r="F847" s="33" t="s">
        <v>27</v>
      </c>
      <c r="G847" s="33" t="s">
        <v>106</v>
      </c>
      <c r="H847" s="35">
        <v>1</v>
      </c>
      <c r="I847" s="33" t="s">
        <v>21</v>
      </c>
      <c r="J847" s="42">
        <v>43859</v>
      </c>
      <c r="K847" s="33" t="s">
        <v>22</v>
      </c>
    </row>
    <row r="848" spans="1:11">
      <c r="A848" s="30" t="s">
        <v>2226</v>
      </c>
      <c r="B848" s="30" t="s">
        <v>2227</v>
      </c>
      <c r="C848" s="30" t="s">
        <v>2228</v>
      </c>
      <c r="D848" s="30" t="s">
        <v>17</v>
      </c>
      <c r="E848" s="30" t="s">
        <v>26</v>
      </c>
      <c r="F848" s="30" t="s">
        <v>27</v>
      </c>
      <c r="G848" s="30" t="s">
        <v>20</v>
      </c>
      <c r="H848" s="32">
        <v>29</v>
      </c>
      <c r="I848" s="30" t="s">
        <v>21</v>
      </c>
      <c r="J848" s="41">
        <v>44053</v>
      </c>
      <c r="K848" s="30" t="s">
        <v>22</v>
      </c>
    </row>
    <row r="849" spans="1:11">
      <c r="A849" s="33" t="s">
        <v>2229</v>
      </c>
      <c r="B849" s="33" t="s">
        <v>2230</v>
      </c>
      <c r="C849" s="33" t="s">
        <v>2231</v>
      </c>
      <c r="D849" s="33" t="s">
        <v>17</v>
      </c>
      <c r="E849" s="33" t="s">
        <v>26</v>
      </c>
      <c r="F849" s="33" t="s">
        <v>27</v>
      </c>
      <c r="G849" s="33" t="s">
        <v>50</v>
      </c>
      <c r="H849" s="35">
        <v>15</v>
      </c>
      <c r="I849" s="33" t="s">
        <v>51</v>
      </c>
      <c r="J849" s="42">
        <v>44180</v>
      </c>
      <c r="K849" s="33" t="s">
        <v>22</v>
      </c>
    </row>
    <row r="850" spans="1:11">
      <c r="A850" s="30" t="s">
        <v>2232</v>
      </c>
      <c r="B850" s="30" t="s">
        <v>2233</v>
      </c>
      <c r="C850" s="30" t="s">
        <v>2234</v>
      </c>
      <c r="D850" s="30" t="s">
        <v>17</v>
      </c>
      <c r="E850" s="30" t="s">
        <v>212</v>
      </c>
      <c r="F850" s="30" t="s">
        <v>213</v>
      </c>
      <c r="G850" s="30" t="s">
        <v>158</v>
      </c>
      <c r="H850" s="32">
        <v>200</v>
      </c>
      <c r="I850" s="30" t="s">
        <v>51</v>
      </c>
      <c r="J850" s="41">
        <v>44105</v>
      </c>
      <c r="K850" s="30" t="s">
        <v>22</v>
      </c>
    </row>
    <row r="851" spans="1:11">
      <c r="A851" s="33" t="s">
        <v>2235</v>
      </c>
      <c r="B851" s="33" t="s">
        <v>2236</v>
      </c>
      <c r="C851" s="33" t="s">
        <v>49</v>
      </c>
      <c r="D851" s="33" t="s">
        <v>17</v>
      </c>
      <c r="E851" s="33" t="s">
        <v>26</v>
      </c>
      <c r="F851" s="33" t="s">
        <v>27</v>
      </c>
      <c r="G851" s="33" t="s">
        <v>50</v>
      </c>
      <c r="H851" s="35">
        <v>20</v>
      </c>
      <c r="I851" s="33" t="s">
        <v>51</v>
      </c>
      <c r="J851" s="42">
        <v>44084</v>
      </c>
      <c r="K851" s="33" t="s">
        <v>22</v>
      </c>
    </row>
    <row r="852" spans="1:11">
      <c r="A852" s="30" t="s">
        <v>2237</v>
      </c>
      <c r="B852" s="30" t="s">
        <v>2238</v>
      </c>
      <c r="C852" s="30" t="s">
        <v>2239</v>
      </c>
      <c r="D852" s="30" t="s">
        <v>17</v>
      </c>
      <c r="E852" s="30" t="s">
        <v>31</v>
      </c>
      <c r="F852" s="30" t="s">
        <v>32</v>
      </c>
      <c r="G852" s="30" t="s">
        <v>20</v>
      </c>
      <c r="H852" s="32">
        <v>86</v>
      </c>
      <c r="I852" s="30" t="s">
        <v>21</v>
      </c>
      <c r="J852" s="41">
        <v>44075</v>
      </c>
      <c r="K852" s="30" t="s">
        <v>22</v>
      </c>
    </row>
    <row r="853" spans="1:11">
      <c r="A853" s="33" t="s">
        <v>2240</v>
      </c>
      <c r="B853" s="33" t="s">
        <v>2241</v>
      </c>
      <c r="C853" s="33" t="s">
        <v>1228</v>
      </c>
      <c r="D853" s="33" t="s">
        <v>17</v>
      </c>
      <c r="E853" s="33" t="s">
        <v>18</v>
      </c>
      <c r="F853" s="33" t="s">
        <v>19</v>
      </c>
      <c r="G853" s="33" t="s">
        <v>20</v>
      </c>
      <c r="H853" s="35">
        <v>150</v>
      </c>
      <c r="I853" s="33" t="s">
        <v>21</v>
      </c>
      <c r="J853" s="42">
        <v>44119</v>
      </c>
      <c r="K853" s="33" t="s">
        <v>22</v>
      </c>
    </row>
    <row r="854" spans="1:11">
      <c r="A854" s="30" t="s">
        <v>2242</v>
      </c>
      <c r="B854" s="30" t="s">
        <v>2243</v>
      </c>
      <c r="C854" s="30" t="s">
        <v>2244</v>
      </c>
      <c r="D854" s="30" t="s">
        <v>17</v>
      </c>
      <c r="E854" s="30" t="s">
        <v>26</v>
      </c>
      <c r="F854" s="30" t="s">
        <v>27</v>
      </c>
      <c r="G854" s="30" t="s">
        <v>20</v>
      </c>
      <c r="H854" s="32">
        <v>37</v>
      </c>
      <c r="I854" s="30" t="s">
        <v>21</v>
      </c>
      <c r="J854" s="41">
        <v>43901</v>
      </c>
      <c r="K854" s="30" t="s">
        <v>22</v>
      </c>
    </row>
    <row r="855" spans="1:11">
      <c r="A855" s="33" t="s">
        <v>2245</v>
      </c>
      <c r="B855" s="33" t="s">
        <v>2246</v>
      </c>
      <c r="C855" s="33" t="s">
        <v>118</v>
      </c>
      <c r="D855" s="33" t="s">
        <v>17</v>
      </c>
      <c r="E855" s="33" t="s">
        <v>18</v>
      </c>
      <c r="F855" s="33" t="s">
        <v>19</v>
      </c>
      <c r="G855" s="33" t="s">
        <v>158</v>
      </c>
      <c r="H855" s="35">
        <v>402</v>
      </c>
      <c r="I855" s="33" t="s">
        <v>51</v>
      </c>
      <c r="J855" s="42">
        <v>44124</v>
      </c>
      <c r="K855" s="33" t="s">
        <v>22</v>
      </c>
    </row>
    <row r="856" spans="1:11">
      <c r="A856" s="30" t="s">
        <v>2247</v>
      </c>
      <c r="B856" s="30" t="s">
        <v>2248</v>
      </c>
      <c r="C856" s="30" t="s">
        <v>2249</v>
      </c>
      <c r="D856" s="30" t="s">
        <v>17</v>
      </c>
      <c r="E856" s="30" t="s">
        <v>31</v>
      </c>
      <c r="F856" s="30" t="s">
        <v>32</v>
      </c>
      <c r="G856" s="30" t="s">
        <v>112</v>
      </c>
      <c r="H856" s="32">
        <v>0</v>
      </c>
      <c r="I856" s="30" t="s">
        <v>21</v>
      </c>
      <c r="J856" s="41">
        <v>44105</v>
      </c>
      <c r="K856" s="30" t="s">
        <v>22</v>
      </c>
    </row>
    <row r="857" spans="1:11">
      <c r="A857" s="33" t="s">
        <v>2250</v>
      </c>
      <c r="B857" s="33" t="s">
        <v>2251</v>
      </c>
      <c r="C857" s="33" t="s">
        <v>190</v>
      </c>
      <c r="D857" s="33" t="s">
        <v>17</v>
      </c>
      <c r="E857" s="33" t="s">
        <v>18</v>
      </c>
      <c r="F857" s="33" t="s">
        <v>19</v>
      </c>
      <c r="G857" s="33" t="s">
        <v>20</v>
      </c>
      <c r="H857" s="35">
        <v>89</v>
      </c>
      <c r="I857" s="33" t="s">
        <v>21</v>
      </c>
      <c r="J857" s="42">
        <v>44029</v>
      </c>
      <c r="K857" s="33" t="s">
        <v>22</v>
      </c>
    </row>
    <row r="858" spans="1:11">
      <c r="A858" s="30" t="s">
        <v>2252</v>
      </c>
      <c r="B858" s="30" t="s">
        <v>2253</v>
      </c>
      <c r="C858" s="30" t="s">
        <v>130</v>
      </c>
      <c r="D858" s="30" t="s">
        <v>17</v>
      </c>
      <c r="E858" s="30" t="s">
        <v>26</v>
      </c>
      <c r="F858" s="30" t="s">
        <v>27</v>
      </c>
      <c r="G858" s="30" t="s">
        <v>20</v>
      </c>
      <c r="H858" s="32">
        <v>182</v>
      </c>
      <c r="I858" s="30" t="s">
        <v>21</v>
      </c>
      <c r="J858" s="41">
        <v>44078</v>
      </c>
      <c r="K858" s="30" t="s">
        <v>22</v>
      </c>
    </row>
    <row r="859" spans="1:11">
      <c r="A859" s="33" t="s">
        <v>2254</v>
      </c>
      <c r="B859" s="33" t="s">
        <v>2255</v>
      </c>
      <c r="C859" s="33" t="s">
        <v>2256</v>
      </c>
      <c r="D859" s="33" t="s">
        <v>17</v>
      </c>
      <c r="E859" s="33" t="s">
        <v>330</v>
      </c>
      <c r="F859" s="33" t="s">
        <v>331</v>
      </c>
      <c r="G859" s="33" t="s">
        <v>20</v>
      </c>
      <c r="H859" s="35">
        <v>12</v>
      </c>
      <c r="I859" s="33" t="s">
        <v>21</v>
      </c>
      <c r="J859" s="42">
        <v>44111</v>
      </c>
      <c r="K859" s="33" t="s">
        <v>22</v>
      </c>
    </row>
    <row r="860" spans="1:11">
      <c r="A860" s="30" t="s">
        <v>2257</v>
      </c>
      <c r="B860" s="30" t="s">
        <v>2258</v>
      </c>
      <c r="C860" s="30" t="s">
        <v>1826</v>
      </c>
      <c r="D860" s="30" t="s">
        <v>17</v>
      </c>
      <c r="E860" s="30" t="s">
        <v>212</v>
      </c>
      <c r="F860" s="30" t="s">
        <v>213</v>
      </c>
      <c r="G860" s="30" t="s">
        <v>106</v>
      </c>
      <c r="H860" s="32">
        <v>26</v>
      </c>
      <c r="I860" s="30" t="s">
        <v>21</v>
      </c>
      <c r="J860" s="41">
        <v>44026</v>
      </c>
      <c r="K860" s="30" t="s">
        <v>22</v>
      </c>
    </row>
    <row r="861" spans="1:11">
      <c r="A861" s="33" t="s">
        <v>2259</v>
      </c>
      <c r="B861" s="33" t="s">
        <v>2260</v>
      </c>
      <c r="C861" s="33" t="s">
        <v>2261</v>
      </c>
      <c r="D861" s="33" t="s">
        <v>17</v>
      </c>
      <c r="E861" s="33" t="s">
        <v>67</v>
      </c>
      <c r="F861" s="33" t="s">
        <v>68</v>
      </c>
      <c r="G861" s="33" t="s">
        <v>20</v>
      </c>
      <c r="H861" s="35">
        <v>225</v>
      </c>
      <c r="I861" s="33" t="s">
        <v>21</v>
      </c>
      <c r="J861" s="42">
        <v>43960</v>
      </c>
      <c r="K861" s="33" t="s">
        <v>22</v>
      </c>
    </row>
    <row r="862" spans="1:11">
      <c r="A862" s="30" t="s">
        <v>2262</v>
      </c>
      <c r="B862" s="30" t="s">
        <v>2263</v>
      </c>
      <c r="C862" s="30" t="s">
        <v>2264</v>
      </c>
      <c r="D862" s="30" t="s">
        <v>17</v>
      </c>
      <c r="E862" s="30" t="s">
        <v>26</v>
      </c>
      <c r="F862" s="30" t="s">
        <v>27</v>
      </c>
      <c r="G862" s="30" t="s">
        <v>20</v>
      </c>
      <c r="H862" s="32">
        <v>166</v>
      </c>
      <c r="I862" s="30" t="s">
        <v>21</v>
      </c>
      <c r="J862" s="41">
        <v>44001</v>
      </c>
      <c r="K862" s="30" t="s">
        <v>22</v>
      </c>
    </row>
    <row r="863" spans="1:11">
      <c r="A863" s="33" t="s">
        <v>2265</v>
      </c>
      <c r="B863" s="33" t="s">
        <v>2266</v>
      </c>
      <c r="C863" s="33" t="s">
        <v>310</v>
      </c>
      <c r="D863" s="33" t="s">
        <v>17</v>
      </c>
      <c r="E863" s="33" t="s">
        <v>18</v>
      </c>
      <c r="F863" s="33" t="s">
        <v>19</v>
      </c>
      <c r="G863" s="33" t="s">
        <v>20</v>
      </c>
      <c r="H863" s="35">
        <v>792</v>
      </c>
      <c r="I863" s="33" t="s">
        <v>21</v>
      </c>
      <c r="J863" s="42">
        <v>44105</v>
      </c>
      <c r="K863" s="33" t="s">
        <v>22</v>
      </c>
    </row>
    <row r="864" spans="1:11">
      <c r="A864" s="30" t="s">
        <v>2267</v>
      </c>
      <c r="B864" s="30" t="s">
        <v>2268</v>
      </c>
      <c r="C864" s="30" t="s">
        <v>2269</v>
      </c>
      <c r="D864" s="30" t="s">
        <v>17</v>
      </c>
      <c r="E864" s="30" t="s">
        <v>212</v>
      </c>
      <c r="F864" s="30" t="s">
        <v>213</v>
      </c>
      <c r="G864" s="30" t="s">
        <v>112</v>
      </c>
      <c r="H864" s="32">
        <v>0</v>
      </c>
      <c r="I864" s="30" t="s">
        <v>21</v>
      </c>
      <c r="J864" s="41">
        <v>44089</v>
      </c>
      <c r="K864" s="30" t="s">
        <v>22</v>
      </c>
    </row>
    <row r="865" spans="1:11">
      <c r="A865" s="33" t="s">
        <v>2270</v>
      </c>
      <c r="B865" s="33" t="s">
        <v>2271</v>
      </c>
      <c r="C865" s="33" t="s">
        <v>2272</v>
      </c>
      <c r="D865" s="33" t="s">
        <v>17</v>
      </c>
      <c r="E865" s="33" t="s">
        <v>18</v>
      </c>
      <c r="F865" s="33" t="s">
        <v>19</v>
      </c>
      <c r="G865" s="33" t="s">
        <v>20</v>
      </c>
      <c r="H865" s="35">
        <v>302</v>
      </c>
      <c r="I865" s="33" t="s">
        <v>21</v>
      </c>
      <c r="J865" s="42">
        <v>43907</v>
      </c>
      <c r="K865" s="33" t="s">
        <v>22</v>
      </c>
    </row>
    <row r="866" spans="1:11">
      <c r="A866" s="30" t="s">
        <v>2273</v>
      </c>
      <c r="B866" s="30" t="s">
        <v>2274</v>
      </c>
      <c r="C866" s="30" t="s">
        <v>149</v>
      </c>
      <c r="D866" s="30" t="s">
        <v>17</v>
      </c>
      <c r="E866" s="30" t="s">
        <v>26</v>
      </c>
      <c r="F866" s="30" t="s">
        <v>27</v>
      </c>
      <c r="G866" s="30" t="s">
        <v>20</v>
      </c>
      <c r="H866" s="32">
        <v>146</v>
      </c>
      <c r="I866" s="30" t="s">
        <v>21</v>
      </c>
      <c r="J866" s="41">
        <v>44032</v>
      </c>
      <c r="K866" s="30" t="s">
        <v>22</v>
      </c>
    </row>
    <row r="867" spans="1:11">
      <c r="A867" s="33" t="s">
        <v>2275</v>
      </c>
      <c r="B867" s="33" t="s">
        <v>2276</v>
      </c>
      <c r="C867" s="33" t="s">
        <v>2277</v>
      </c>
      <c r="D867" s="33" t="s">
        <v>17</v>
      </c>
      <c r="E867" s="33" t="s">
        <v>18</v>
      </c>
      <c r="F867" s="33" t="s">
        <v>19</v>
      </c>
      <c r="G867" s="33" t="s">
        <v>106</v>
      </c>
      <c r="H867" s="35">
        <v>164</v>
      </c>
      <c r="I867" s="33" t="s">
        <v>21</v>
      </c>
      <c r="J867" s="42">
        <v>43902</v>
      </c>
      <c r="K867" s="33" t="s">
        <v>22</v>
      </c>
    </row>
    <row r="868" spans="1:11">
      <c r="A868" s="30" t="s">
        <v>2278</v>
      </c>
      <c r="B868" s="30" t="s">
        <v>2279</v>
      </c>
      <c r="C868" s="30" t="s">
        <v>2280</v>
      </c>
      <c r="D868" s="30" t="s">
        <v>17</v>
      </c>
      <c r="E868" s="30" t="s">
        <v>18</v>
      </c>
      <c r="F868" s="30" t="s">
        <v>19</v>
      </c>
      <c r="G868" s="30" t="s">
        <v>20</v>
      </c>
      <c r="H868" s="32">
        <v>287</v>
      </c>
      <c r="I868" s="30" t="s">
        <v>21</v>
      </c>
      <c r="J868" s="41">
        <v>44111</v>
      </c>
      <c r="K868" s="30" t="s">
        <v>22</v>
      </c>
    </row>
    <row r="869" spans="1:11">
      <c r="A869" s="33" t="s">
        <v>2281</v>
      </c>
      <c r="B869" s="33" t="s">
        <v>2282</v>
      </c>
      <c r="C869" s="33" t="s">
        <v>2283</v>
      </c>
      <c r="D869" s="33" t="s">
        <v>17</v>
      </c>
      <c r="E869" s="33" t="s">
        <v>18</v>
      </c>
      <c r="F869" s="33" t="s">
        <v>19</v>
      </c>
      <c r="G869" s="33" t="s">
        <v>20</v>
      </c>
      <c r="H869" s="35">
        <v>52</v>
      </c>
      <c r="I869" s="33" t="s">
        <v>21</v>
      </c>
      <c r="J869" s="42">
        <v>43879</v>
      </c>
      <c r="K869" s="33" t="s">
        <v>22</v>
      </c>
    </row>
    <row r="870" spans="1:11">
      <c r="A870" s="30" t="s">
        <v>2284</v>
      </c>
      <c r="B870" s="30" t="s">
        <v>2285</v>
      </c>
      <c r="C870" s="30" t="s">
        <v>2286</v>
      </c>
      <c r="D870" s="30" t="s">
        <v>17</v>
      </c>
      <c r="E870" s="30" t="s">
        <v>26</v>
      </c>
      <c r="F870" s="30" t="s">
        <v>27</v>
      </c>
      <c r="G870" s="30" t="s">
        <v>20</v>
      </c>
      <c r="H870" s="32">
        <v>8</v>
      </c>
      <c r="I870" s="30" t="s">
        <v>21</v>
      </c>
      <c r="J870" s="41">
        <v>44083</v>
      </c>
      <c r="K870" s="30" t="s">
        <v>22</v>
      </c>
    </row>
    <row r="871" spans="1:11">
      <c r="A871" s="33" t="s">
        <v>2287</v>
      </c>
      <c r="B871" s="33" t="s">
        <v>2288</v>
      </c>
      <c r="C871" s="33" t="s">
        <v>2289</v>
      </c>
      <c r="D871" s="33" t="s">
        <v>17</v>
      </c>
      <c r="E871" s="33" t="s">
        <v>26</v>
      </c>
      <c r="F871" s="33" t="s">
        <v>27</v>
      </c>
      <c r="G871" s="33" t="s">
        <v>20</v>
      </c>
      <c r="H871" s="35">
        <v>14</v>
      </c>
      <c r="I871" s="33" t="s">
        <v>21</v>
      </c>
      <c r="J871" s="42">
        <v>43859</v>
      </c>
      <c r="K871" s="33" t="s">
        <v>22</v>
      </c>
    </row>
    <row r="872" spans="1:11">
      <c r="A872" s="30" t="s">
        <v>2290</v>
      </c>
      <c r="B872" s="30" t="s">
        <v>2291</v>
      </c>
      <c r="C872" s="30" t="s">
        <v>2292</v>
      </c>
      <c r="D872" s="30" t="s">
        <v>17</v>
      </c>
      <c r="E872" s="30" t="s">
        <v>26</v>
      </c>
      <c r="F872" s="30" t="s">
        <v>27</v>
      </c>
      <c r="G872" s="30" t="s">
        <v>20</v>
      </c>
      <c r="H872" s="32">
        <v>24</v>
      </c>
      <c r="I872" s="30" t="s">
        <v>21</v>
      </c>
      <c r="J872" s="41">
        <v>44033</v>
      </c>
      <c r="K872" s="30" t="s">
        <v>22</v>
      </c>
    </row>
    <row r="873" spans="1:11">
      <c r="A873" s="33" t="s">
        <v>2293</v>
      </c>
      <c r="B873" s="33" t="s">
        <v>2294</v>
      </c>
      <c r="C873" s="33" t="s">
        <v>136</v>
      </c>
      <c r="D873" s="33" t="s">
        <v>17</v>
      </c>
      <c r="E873" s="33" t="s">
        <v>26</v>
      </c>
      <c r="F873" s="33" t="s">
        <v>27</v>
      </c>
      <c r="G873" s="33" t="s">
        <v>20</v>
      </c>
      <c r="H873" s="35">
        <v>36</v>
      </c>
      <c r="I873" s="33" t="s">
        <v>21</v>
      </c>
      <c r="J873" s="42">
        <v>44183</v>
      </c>
      <c r="K873" s="33" t="s">
        <v>22</v>
      </c>
    </row>
    <row r="874" spans="1:11">
      <c r="A874" s="30" t="s">
        <v>2295</v>
      </c>
      <c r="B874" s="30" t="s">
        <v>2296</v>
      </c>
      <c r="C874" s="30" t="s">
        <v>410</v>
      </c>
      <c r="D874" s="30" t="s">
        <v>17</v>
      </c>
      <c r="E874" s="30" t="s">
        <v>31</v>
      </c>
      <c r="F874" s="30" t="s">
        <v>32</v>
      </c>
      <c r="G874" s="30" t="s">
        <v>20</v>
      </c>
      <c r="H874" s="32">
        <v>320</v>
      </c>
      <c r="I874" s="30" t="s">
        <v>21</v>
      </c>
      <c r="J874" s="41">
        <v>44034</v>
      </c>
      <c r="K874" s="30" t="s">
        <v>22</v>
      </c>
    </row>
    <row r="875" spans="1:11">
      <c r="A875" s="33" t="s">
        <v>2297</v>
      </c>
      <c r="B875" s="33" t="s">
        <v>2298</v>
      </c>
      <c r="C875" s="33" t="s">
        <v>2299</v>
      </c>
      <c r="D875" s="33" t="s">
        <v>17</v>
      </c>
      <c r="E875" s="33" t="s">
        <v>18</v>
      </c>
      <c r="F875" s="33" t="s">
        <v>19</v>
      </c>
      <c r="G875" s="33" t="s">
        <v>20</v>
      </c>
      <c r="H875" s="35">
        <v>1892</v>
      </c>
      <c r="I875" s="33" t="s">
        <v>21</v>
      </c>
      <c r="J875" s="42">
        <v>44119</v>
      </c>
      <c r="K875" s="33" t="s">
        <v>22</v>
      </c>
    </row>
    <row r="876" spans="1:11">
      <c r="A876" s="30" t="s">
        <v>2300</v>
      </c>
      <c r="B876" s="30" t="s">
        <v>2301</v>
      </c>
      <c r="C876" s="30" t="s">
        <v>2302</v>
      </c>
      <c r="D876" s="30" t="s">
        <v>17</v>
      </c>
      <c r="E876" s="30" t="s">
        <v>26</v>
      </c>
      <c r="F876" s="30" t="s">
        <v>27</v>
      </c>
      <c r="G876" s="30" t="s">
        <v>20</v>
      </c>
      <c r="H876" s="32">
        <v>10</v>
      </c>
      <c r="I876" s="30" t="s">
        <v>21</v>
      </c>
      <c r="J876" s="41">
        <v>44147</v>
      </c>
      <c r="K876" s="30" t="s">
        <v>22</v>
      </c>
    </row>
    <row r="877" spans="1:11">
      <c r="A877" s="33" t="s">
        <v>2303</v>
      </c>
      <c r="B877" s="33" t="s">
        <v>2304</v>
      </c>
      <c r="C877" s="33" t="s">
        <v>2305</v>
      </c>
      <c r="D877" s="33" t="s">
        <v>17</v>
      </c>
      <c r="E877" s="33" t="s">
        <v>26</v>
      </c>
      <c r="F877" s="33" t="s">
        <v>27</v>
      </c>
      <c r="G877" s="33" t="s">
        <v>20</v>
      </c>
      <c r="H877" s="35">
        <v>84</v>
      </c>
      <c r="I877" s="33" t="s">
        <v>21</v>
      </c>
      <c r="J877" s="42">
        <v>43838</v>
      </c>
      <c r="K877" s="33" t="s">
        <v>22</v>
      </c>
    </row>
    <row r="878" spans="1:11">
      <c r="A878" s="30" t="s">
        <v>2306</v>
      </c>
      <c r="B878" s="30" t="s">
        <v>2307</v>
      </c>
      <c r="C878" s="30" t="s">
        <v>2308</v>
      </c>
      <c r="D878" s="30" t="s">
        <v>17</v>
      </c>
      <c r="E878" s="30" t="s">
        <v>26</v>
      </c>
      <c r="F878" s="30" t="s">
        <v>27</v>
      </c>
      <c r="G878" s="30" t="s">
        <v>20</v>
      </c>
      <c r="H878" s="32">
        <v>13</v>
      </c>
      <c r="I878" s="30" t="s">
        <v>21</v>
      </c>
      <c r="J878" s="41">
        <v>44084</v>
      </c>
      <c r="K878" s="30" t="s">
        <v>22</v>
      </c>
    </row>
    <row r="879" spans="1:11">
      <c r="A879" s="33" t="s">
        <v>2309</v>
      </c>
      <c r="B879" s="33" t="s">
        <v>2310</v>
      </c>
      <c r="C879" s="33" t="s">
        <v>1006</v>
      </c>
      <c r="D879" s="33" t="s">
        <v>17</v>
      </c>
      <c r="E879" s="33" t="s">
        <v>31</v>
      </c>
      <c r="F879" s="33" t="s">
        <v>32</v>
      </c>
      <c r="G879" s="33" t="s">
        <v>50</v>
      </c>
      <c r="H879" s="35">
        <v>122</v>
      </c>
      <c r="I879" s="33" t="s">
        <v>51</v>
      </c>
      <c r="J879" s="42">
        <v>43960</v>
      </c>
      <c r="K879" s="33" t="s">
        <v>22</v>
      </c>
    </row>
    <row r="880" spans="1:11">
      <c r="A880" s="30" t="s">
        <v>2311</v>
      </c>
      <c r="B880" s="30" t="s">
        <v>2312</v>
      </c>
      <c r="C880" s="30" t="s">
        <v>2313</v>
      </c>
      <c r="D880" s="30" t="s">
        <v>17</v>
      </c>
      <c r="E880" s="30" t="s">
        <v>26</v>
      </c>
      <c r="F880" s="30" t="s">
        <v>27</v>
      </c>
      <c r="G880" s="30" t="s">
        <v>158</v>
      </c>
      <c r="H880" s="32">
        <v>498</v>
      </c>
      <c r="I880" s="30" t="s">
        <v>51</v>
      </c>
      <c r="J880" s="41">
        <v>44041</v>
      </c>
      <c r="K880" s="30" t="s">
        <v>22</v>
      </c>
    </row>
    <row r="881" spans="1:11">
      <c r="A881" s="33" t="s">
        <v>2314</v>
      </c>
      <c r="B881" s="33" t="s">
        <v>2315</v>
      </c>
      <c r="C881" s="33" t="s">
        <v>2316</v>
      </c>
      <c r="D881" s="33" t="s">
        <v>17</v>
      </c>
      <c r="E881" s="33" t="s">
        <v>26</v>
      </c>
      <c r="F881" s="33" t="s">
        <v>27</v>
      </c>
      <c r="G881" s="33" t="s">
        <v>50</v>
      </c>
      <c r="H881" s="35">
        <v>12</v>
      </c>
      <c r="I881" s="33" t="s">
        <v>51</v>
      </c>
      <c r="J881" s="42">
        <v>44174</v>
      </c>
      <c r="K881" s="33" t="s">
        <v>22</v>
      </c>
    </row>
    <row r="882" spans="1:11">
      <c r="A882" s="30" t="s">
        <v>2317</v>
      </c>
      <c r="B882" s="30" t="s">
        <v>2318</v>
      </c>
      <c r="C882" s="30" t="s">
        <v>1003</v>
      </c>
      <c r="D882" s="30" t="s">
        <v>17</v>
      </c>
      <c r="E882" s="30" t="s">
        <v>31</v>
      </c>
      <c r="F882" s="30" t="s">
        <v>32</v>
      </c>
      <c r="G882" s="30" t="s">
        <v>20</v>
      </c>
      <c r="H882" s="32">
        <v>108</v>
      </c>
      <c r="I882" s="30" t="s">
        <v>21</v>
      </c>
      <c r="J882" s="41">
        <v>44166</v>
      </c>
      <c r="K882" s="30" t="s">
        <v>22</v>
      </c>
    </row>
    <row r="883" spans="1:11">
      <c r="A883" s="33" t="s">
        <v>2319</v>
      </c>
      <c r="B883" s="33" t="s">
        <v>2320</v>
      </c>
      <c r="C883" s="33" t="s">
        <v>136</v>
      </c>
      <c r="D883" s="33" t="s">
        <v>17</v>
      </c>
      <c r="E883" s="33" t="s">
        <v>31</v>
      </c>
      <c r="F883" s="33" t="s">
        <v>32</v>
      </c>
      <c r="G883" s="33" t="s">
        <v>140</v>
      </c>
      <c r="H883" s="35">
        <v>105</v>
      </c>
      <c r="I883" s="33" t="s">
        <v>51</v>
      </c>
      <c r="J883" s="42">
        <v>43852</v>
      </c>
      <c r="K883" s="33" t="s">
        <v>22</v>
      </c>
    </row>
    <row r="884" spans="1:11">
      <c r="A884" s="30" t="s">
        <v>2321</v>
      </c>
      <c r="B884" s="30" t="s">
        <v>2322</v>
      </c>
      <c r="C884" s="30" t="s">
        <v>2323</v>
      </c>
      <c r="D884" s="30" t="s">
        <v>17</v>
      </c>
      <c r="E884" s="30" t="s">
        <v>26</v>
      </c>
      <c r="F884" s="30" t="s">
        <v>27</v>
      </c>
      <c r="G884" s="30" t="s">
        <v>140</v>
      </c>
      <c r="H884" s="32">
        <v>126</v>
      </c>
      <c r="I884" s="30" t="s">
        <v>51</v>
      </c>
      <c r="J884" s="41">
        <v>43948</v>
      </c>
      <c r="K884" s="30" t="s">
        <v>22</v>
      </c>
    </row>
    <row r="885" spans="1:11">
      <c r="A885" s="33" t="s">
        <v>2324</v>
      </c>
      <c r="B885" s="33" t="s">
        <v>2325</v>
      </c>
      <c r="C885" s="33" t="s">
        <v>2326</v>
      </c>
      <c r="D885" s="33" t="s">
        <v>17</v>
      </c>
      <c r="E885" s="33" t="s">
        <v>18</v>
      </c>
      <c r="F885" s="33" t="s">
        <v>19</v>
      </c>
      <c r="G885" s="33" t="s">
        <v>20</v>
      </c>
      <c r="H885" s="35">
        <v>448</v>
      </c>
      <c r="I885" s="33" t="s">
        <v>21</v>
      </c>
      <c r="J885" s="42">
        <v>44004</v>
      </c>
      <c r="K885" s="33" t="s">
        <v>22</v>
      </c>
    </row>
    <row r="886" spans="1:11">
      <c r="A886" s="30" t="s">
        <v>2327</v>
      </c>
      <c r="B886" s="30" t="s">
        <v>2328</v>
      </c>
      <c r="C886" s="30" t="s">
        <v>2329</v>
      </c>
      <c r="D886" s="30" t="s">
        <v>17</v>
      </c>
      <c r="E886" s="30" t="s">
        <v>26</v>
      </c>
      <c r="F886" s="30" t="s">
        <v>27</v>
      </c>
      <c r="G886" s="30" t="s">
        <v>20</v>
      </c>
      <c r="H886" s="32">
        <v>4</v>
      </c>
      <c r="I886" s="30" t="s">
        <v>21</v>
      </c>
      <c r="J886" s="41">
        <v>44018</v>
      </c>
      <c r="K886" s="30" t="s">
        <v>22</v>
      </c>
    </row>
    <row r="887" spans="1:11">
      <c r="A887" s="33" t="s">
        <v>2330</v>
      </c>
      <c r="B887" s="33" t="s">
        <v>2331</v>
      </c>
      <c r="C887" s="33" t="s">
        <v>96</v>
      </c>
      <c r="D887" s="33" t="s">
        <v>17</v>
      </c>
      <c r="E887" s="33" t="s">
        <v>26</v>
      </c>
      <c r="F887" s="33" t="s">
        <v>27</v>
      </c>
      <c r="G887" s="33" t="s">
        <v>20</v>
      </c>
      <c r="H887" s="35">
        <v>12</v>
      </c>
      <c r="I887" s="33" t="s">
        <v>21</v>
      </c>
      <c r="J887" s="42">
        <v>43867</v>
      </c>
      <c r="K887" s="33" t="s">
        <v>22</v>
      </c>
    </row>
    <row r="888" spans="1:11">
      <c r="A888" s="30" t="s">
        <v>2332</v>
      </c>
      <c r="B888" s="30" t="s">
        <v>2333</v>
      </c>
      <c r="C888" s="30" t="s">
        <v>2334</v>
      </c>
      <c r="D888" s="30" t="s">
        <v>17</v>
      </c>
      <c r="E888" s="30" t="s">
        <v>31</v>
      </c>
      <c r="F888" s="30" t="s">
        <v>32</v>
      </c>
      <c r="G888" s="30" t="s">
        <v>20</v>
      </c>
      <c r="H888" s="32">
        <v>84</v>
      </c>
      <c r="I888" s="30" t="s">
        <v>21</v>
      </c>
      <c r="J888" s="41">
        <v>43900</v>
      </c>
      <c r="K888" s="30" t="s">
        <v>22</v>
      </c>
    </row>
    <row r="889" spans="1:11">
      <c r="A889" s="33" t="s">
        <v>2335</v>
      </c>
      <c r="B889" s="33" t="s">
        <v>2336</v>
      </c>
      <c r="C889" s="33" t="s">
        <v>1313</v>
      </c>
      <c r="D889" s="33" t="s">
        <v>17</v>
      </c>
      <c r="E889" s="33" t="s">
        <v>18</v>
      </c>
      <c r="F889" s="33" t="s">
        <v>19</v>
      </c>
      <c r="G889" s="33" t="s">
        <v>112</v>
      </c>
      <c r="H889" s="35">
        <v>0</v>
      </c>
      <c r="I889" s="33" t="s">
        <v>21</v>
      </c>
      <c r="J889" s="42">
        <v>44166</v>
      </c>
      <c r="K889" s="33" t="s">
        <v>22</v>
      </c>
    </row>
    <row r="890" spans="1:11">
      <c r="A890" s="30" t="s">
        <v>2337</v>
      </c>
      <c r="B890" s="30" t="s">
        <v>2338</v>
      </c>
      <c r="C890" s="30" t="s">
        <v>279</v>
      </c>
      <c r="D890" s="30" t="s">
        <v>17</v>
      </c>
      <c r="E890" s="30" t="s">
        <v>31</v>
      </c>
      <c r="F890" s="30" t="s">
        <v>32</v>
      </c>
      <c r="G890" s="30" t="s">
        <v>106</v>
      </c>
      <c r="H890" s="32">
        <v>48</v>
      </c>
      <c r="I890" s="30" t="s">
        <v>21</v>
      </c>
      <c r="J890" s="41">
        <v>44012</v>
      </c>
      <c r="K890" s="30" t="s">
        <v>22</v>
      </c>
    </row>
    <row r="891" spans="1:11">
      <c r="A891" s="33" t="s">
        <v>2339</v>
      </c>
      <c r="B891" s="33" t="s">
        <v>2340</v>
      </c>
      <c r="C891" s="33" t="s">
        <v>157</v>
      </c>
      <c r="D891" s="33" t="s">
        <v>17</v>
      </c>
      <c r="E891" s="33" t="s">
        <v>26</v>
      </c>
      <c r="F891" s="33" t="s">
        <v>27</v>
      </c>
      <c r="G891" s="33" t="s">
        <v>20</v>
      </c>
      <c r="H891" s="35">
        <v>32</v>
      </c>
      <c r="I891" s="33" t="s">
        <v>21</v>
      </c>
      <c r="J891" s="42">
        <v>44019</v>
      </c>
      <c r="K891" s="33" t="s">
        <v>22</v>
      </c>
    </row>
    <row r="892" spans="1:11">
      <c r="A892" s="30" t="s">
        <v>2341</v>
      </c>
      <c r="B892" s="30" t="s">
        <v>2342</v>
      </c>
      <c r="C892" s="30" t="s">
        <v>2343</v>
      </c>
      <c r="D892" s="30" t="s">
        <v>17</v>
      </c>
      <c r="E892" s="30" t="s">
        <v>26</v>
      </c>
      <c r="F892" s="30" t="s">
        <v>27</v>
      </c>
      <c r="G892" s="30" t="s">
        <v>106</v>
      </c>
      <c r="H892" s="32">
        <v>46</v>
      </c>
      <c r="I892" s="30" t="s">
        <v>21</v>
      </c>
      <c r="J892" s="41">
        <v>44041</v>
      </c>
      <c r="K892" s="30" t="s">
        <v>22</v>
      </c>
    </row>
    <row r="893" spans="1:11">
      <c r="A893" s="33" t="s">
        <v>2344</v>
      </c>
      <c r="B893" s="33" t="s">
        <v>2345</v>
      </c>
      <c r="C893" s="33" t="s">
        <v>2346</v>
      </c>
      <c r="D893" s="33" t="s">
        <v>17</v>
      </c>
      <c r="E893" s="33" t="s">
        <v>67</v>
      </c>
      <c r="F893" s="33" t="s">
        <v>68</v>
      </c>
      <c r="G893" s="33" t="s">
        <v>106</v>
      </c>
      <c r="H893" s="35">
        <v>7</v>
      </c>
      <c r="I893" s="33" t="s">
        <v>21</v>
      </c>
      <c r="J893" s="42">
        <v>44076</v>
      </c>
      <c r="K893" s="33" t="s">
        <v>22</v>
      </c>
    </row>
    <row r="894" spans="1:11">
      <c r="A894" s="30" t="s">
        <v>2347</v>
      </c>
      <c r="B894" s="30" t="s">
        <v>2348</v>
      </c>
      <c r="C894" s="30" t="s">
        <v>2349</v>
      </c>
      <c r="D894" s="30" t="s">
        <v>17</v>
      </c>
      <c r="E894" s="30" t="s">
        <v>31</v>
      </c>
      <c r="F894" s="30" t="s">
        <v>32</v>
      </c>
      <c r="G894" s="30" t="s">
        <v>20</v>
      </c>
      <c r="H894" s="32">
        <v>50</v>
      </c>
      <c r="I894" s="30" t="s">
        <v>21</v>
      </c>
      <c r="J894" s="41">
        <v>44186</v>
      </c>
      <c r="K894" s="30" t="s">
        <v>22</v>
      </c>
    </row>
    <row r="895" spans="1:11">
      <c r="A895" s="33" t="s">
        <v>2350</v>
      </c>
      <c r="B895" s="33" t="s">
        <v>2351</v>
      </c>
      <c r="C895" s="33" t="s">
        <v>109</v>
      </c>
      <c r="D895" s="33" t="s">
        <v>17</v>
      </c>
      <c r="E895" s="33" t="s">
        <v>31</v>
      </c>
      <c r="F895" s="33" t="s">
        <v>32</v>
      </c>
      <c r="G895" s="33" t="s">
        <v>20</v>
      </c>
      <c r="H895" s="35">
        <v>143</v>
      </c>
      <c r="I895" s="33" t="s">
        <v>21</v>
      </c>
      <c r="J895" s="42">
        <v>43978</v>
      </c>
      <c r="K895" s="33" t="s">
        <v>22</v>
      </c>
    </row>
    <row r="896" spans="1:11">
      <c r="A896" s="30" t="s">
        <v>2352</v>
      </c>
      <c r="B896" s="30" t="s">
        <v>2353</v>
      </c>
      <c r="C896" s="30" t="s">
        <v>2354</v>
      </c>
      <c r="D896" s="30" t="s">
        <v>17</v>
      </c>
      <c r="E896" s="30" t="s">
        <v>212</v>
      </c>
      <c r="F896" s="30" t="s">
        <v>213</v>
      </c>
      <c r="G896" s="30" t="s">
        <v>20</v>
      </c>
      <c r="H896" s="32">
        <v>48</v>
      </c>
      <c r="I896" s="30" t="s">
        <v>21</v>
      </c>
      <c r="J896" s="41">
        <v>44193</v>
      </c>
      <c r="K896" s="30" t="s">
        <v>22</v>
      </c>
    </row>
    <row r="897" spans="1:11">
      <c r="A897" s="33" t="s">
        <v>2355</v>
      </c>
      <c r="B897" s="33" t="s">
        <v>2356</v>
      </c>
      <c r="C897" s="33" t="s">
        <v>925</v>
      </c>
      <c r="D897" s="33" t="s">
        <v>17</v>
      </c>
      <c r="E897" s="33" t="s">
        <v>18</v>
      </c>
      <c r="F897" s="33" t="s">
        <v>19</v>
      </c>
      <c r="G897" s="33" t="s">
        <v>106</v>
      </c>
      <c r="H897" s="35">
        <v>539</v>
      </c>
      <c r="I897" s="33" t="s">
        <v>21</v>
      </c>
      <c r="J897" s="42">
        <v>44083</v>
      </c>
      <c r="K897" s="33" t="s">
        <v>22</v>
      </c>
    </row>
    <row r="898" spans="1:11">
      <c r="A898" s="30" t="s">
        <v>2357</v>
      </c>
      <c r="B898" s="30" t="s">
        <v>2358</v>
      </c>
      <c r="C898" s="30" t="s">
        <v>353</v>
      </c>
      <c r="D898" s="30" t="s">
        <v>17</v>
      </c>
      <c r="E898" s="30" t="s">
        <v>212</v>
      </c>
      <c r="F898" s="30" t="s">
        <v>213</v>
      </c>
      <c r="G898" s="30" t="s">
        <v>20</v>
      </c>
      <c r="H898" s="32">
        <v>46</v>
      </c>
      <c r="I898" s="30" t="s">
        <v>21</v>
      </c>
      <c r="J898" s="41">
        <v>43973</v>
      </c>
      <c r="K898" s="30" t="s">
        <v>22</v>
      </c>
    </row>
    <row r="899" spans="1:11">
      <c r="A899" s="33" t="s">
        <v>2359</v>
      </c>
      <c r="B899" s="33" t="s">
        <v>2360</v>
      </c>
      <c r="C899" s="33" t="s">
        <v>1415</v>
      </c>
      <c r="D899" s="33" t="s">
        <v>17</v>
      </c>
      <c r="E899" s="33" t="s">
        <v>31</v>
      </c>
      <c r="F899" s="33" t="s">
        <v>32</v>
      </c>
      <c r="G899" s="33" t="s">
        <v>20</v>
      </c>
      <c r="H899" s="35">
        <v>120</v>
      </c>
      <c r="I899" s="33" t="s">
        <v>21</v>
      </c>
      <c r="J899" s="42">
        <v>44102</v>
      </c>
      <c r="K899" s="33" t="s">
        <v>22</v>
      </c>
    </row>
    <row r="900" spans="1:11">
      <c r="A900" s="30" t="s">
        <v>2361</v>
      </c>
      <c r="B900" s="30" t="s">
        <v>2362</v>
      </c>
      <c r="C900" s="30" t="s">
        <v>2363</v>
      </c>
      <c r="D900" s="30" t="s">
        <v>17</v>
      </c>
      <c r="E900" s="30" t="s">
        <v>31</v>
      </c>
      <c r="F900" s="30" t="s">
        <v>32</v>
      </c>
      <c r="G900" s="30" t="s">
        <v>20</v>
      </c>
      <c r="H900" s="32">
        <v>20</v>
      </c>
      <c r="I900" s="30" t="s">
        <v>21</v>
      </c>
      <c r="J900" s="41">
        <v>44041</v>
      </c>
      <c r="K900" s="30" t="s">
        <v>22</v>
      </c>
    </row>
    <row r="901" spans="1:11">
      <c r="A901" s="33" t="s">
        <v>2364</v>
      </c>
      <c r="B901" s="33" t="s">
        <v>2365</v>
      </c>
      <c r="C901" s="33" t="s">
        <v>969</v>
      </c>
      <c r="D901" s="33" t="s">
        <v>17</v>
      </c>
      <c r="E901" s="33" t="s">
        <v>18</v>
      </c>
      <c r="F901" s="33" t="s">
        <v>19</v>
      </c>
      <c r="G901" s="33" t="s">
        <v>158</v>
      </c>
      <c r="H901" s="35">
        <v>494</v>
      </c>
      <c r="I901" s="33" t="s">
        <v>21</v>
      </c>
      <c r="J901" s="42">
        <v>43958</v>
      </c>
      <c r="K901" s="33" t="s">
        <v>22</v>
      </c>
    </row>
    <row r="902" spans="1:11">
      <c r="A902" s="30" t="s">
        <v>2366</v>
      </c>
      <c r="B902" s="30" t="s">
        <v>2367</v>
      </c>
      <c r="C902" s="30" t="s">
        <v>969</v>
      </c>
      <c r="D902" s="30" t="s">
        <v>17</v>
      </c>
      <c r="E902" s="30" t="s">
        <v>45</v>
      </c>
      <c r="F902" s="30" t="s">
        <v>46</v>
      </c>
      <c r="G902" s="30" t="s">
        <v>158</v>
      </c>
      <c r="H902" s="32">
        <v>758</v>
      </c>
      <c r="I902" s="30" t="s">
        <v>21</v>
      </c>
      <c r="J902" s="41">
        <v>44173</v>
      </c>
      <c r="K902" s="30" t="s">
        <v>22</v>
      </c>
    </row>
    <row r="903" spans="1:11">
      <c r="A903" s="33" t="s">
        <v>2368</v>
      </c>
      <c r="B903" s="33" t="s">
        <v>2369</v>
      </c>
      <c r="C903" s="33" t="s">
        <v>2370</v>
      </c>
      <c r="D903" s="33" t="s">
        <v>17</v>
      </c>
      <c r="E903" s="33" t="s">
        <v>26</v>
      </c>
      <c r="F903" s="33" t="s">
        <v>27</v>
      </c>
      <c r="G903" s="33" t="s">
        <v>20</v>
      </c>
      <c r="H903" s="35">
        <v>48</v>
      </c>
      <c r="I903" s="33" t="s">
        <v>21</v>
      </c>
      <c r="J903" s="42">
        <v>43908</v>
      </c>
      <c r="K903" s="33" t="s">
        <v>22</v>
      </c>
    </row>
    <row r="904" spans="1:11">
      <c r="A904" s="30" t="s">
        <v>2371</v>
      </c>
      <c r="B904" s="30" t="s">
        <v>2372</v>
      </c>
      <c r="C904" s="30" t="s">
        <v>2373</v>
      </c>
      <c r="D904" s="30" t="s">
        <v>17</v>
      </c>
      <c r="E904" s="30" t="s">
        <v>26</v>
      </c>
      <c r="F904" s="30" t="s">
        <v>27</v>
      </c>
      <c r="G904" s="30" t="s">
        <v>50</v>
      </c>
      <c r="H904" s="32">
        <v>8</v>
      </c>
      <c r="I904" s="30" t="s">
        <v>51</v>
      </c>
      <c r="J904" s="41">
        <v>44056</v>
      </c>
      <c r="K904" s="30" t="s">
        <v>22</v>
      </c>
    </row>
    <row r="905" spans="1:11">
      <c r="A905" s="33" t="s">
        <v>2374</v>
      </c>
      <c r="B905" s="33" t="s">
        <v>2375</v>
      </c>
      <c r="C905" s="33" t="s">
        <v>1607</v>
      </c>
      <c r="D905" s="33" t="s">
        <v>17</v>
      </c>
      <c r="E905" s="33" t="s">
        <v>45</v>
      </c>
      <c r="F905" s="33" t="s">
        <v>46</v>
      </c>
      <c r="G905" s="33" t="s">
        <v>20</v>
      </c>
      <c r="H905" s="35">
        <v>96</v>
      </c>
      <c r="I905" s="33" t="s">
        <v>21</v>
      </c>
      <c r="J905" s="42">
        <v>44011</v>
      </c>
      <c r="K905" s="33" t="s">
        <v>22</v>
      </c>
    </row>
    <row r="906" spans="1:11">
      <c r="A906" s="30" t="s">
        <v>2376</v>
      </c>
      <c r="B906" s="30" t="s">
        <v>2377</v>
      </c>
      <c r="C906" s="30" t="s">
        <v>462</v>
      </c>
      <c r="D906" s="30" t="s">
        <v>17</v>
      </c>
      <c r="E906" s="30" t="s">
        <v>26</v>
      </c>
      <c r="F906" s="30" t="s">
        <v>27</v>
      </c>
      <c r="G906" s="30" t="s">
        <v>20</v>
      </c>
      <c r="H906" s="32">
        <v>45</v>
      </c>
      <c r="I906" s="30" t="s">
        <v>21</v>
      </c>
      <c r="J906" s="41">
        <v>44111</v>
      </c>
      <c r="K906" s="30" t="s">
        <v>22</v>
      </c>
    </row>
    <row r="907" spans="1:11">
      <c r="A907" s="33" t="s">
        <v>2378</v>
      </c>
      <c r="B907" s="33" t="s">
        <v>2379</v>
      </c>
      <c r="C907" s="33" t="s">
        <v>1555</v>
      </c>
      <c r="D907" s="33" t="s">
        <v>17</v>
      </c>
      <c r="E907" s="33" t="s">
        <v>45</v>
      </c>
      <c r="F907" s="33" t="s">
        <v>46</v>
      </c>
      <c r="G907" s="33" t="s">
        <v>20</v>
      </c>
      <c r="H907" s="35">
        <v>92</v>
      </c>
      <c r="I907" s="33" t="s">
        <v>21</v>
      </c>
      <c r="J907" s="42">
        <v>44013</v>
      </c>
      <c r="K907" s="33" t="s">
        <v>22</v>
      </c>
    </row>
    <row r="908" spans="1:11">
      <c r="A908" s="30" t="s">
        <v>2380</v>
      </c>
      <c r="B908" s="30" t="s">
        <v>2381</v>
      </c>
      <c r="C908" s="30" t="s">
        <v>2382</v>
      </c>
      <c r="D908" s="30" t="s">
        <v>17</v>
      </c>
      <c r="E908" s="30" t="s">
        <v>26</v>
      </c>
      <c r="F908" s="30" t="s">
        <v>27</v>
      </c>
      <c r="G908" s="30" t="s">
        <v>20</v>
      </c>
      <c r="H908" s="32">
        <v>41</v>
      </c>
      <c r="I908" s="30" t="s">
        <v>21</v>
      </c>
      <c r="J908" s="41">
        <v>44158</v>
      </c>
      <c r="K908" s="30" t="s">
        <v>22</v>
      </c>
    </row>
    <row r="909" spans="1:11">
      <c r="A909" s="33" t="s">
        <v>2383</v>
      </c>
      <c r="B909" s="33" t="s">
        <v>2384</v>
      </c>
      <c r="C909" s="33" t="s">
        <v>1165</v>
      </c>
      <c r="D909" s="33" t="s">
        <v>17</v>
      </c>
      <c r="E909" s="33" t="s">
        <v>18</v>
      </c>
      <c r="F909" s="33" t="s">
        <v>19</v>
      </c>
      <c r="G909" s="33" t="s">
        <v>112</v>
      </c>
      <c r="H909" s="35">
        <v>0</v>
      </c>
      <c r="I909" s="33" t="s">
        <v>21</v>
      </c>
      <c r="J909" s="42">
        <v>44011</v>
      </c>
      <c r="K909" s="33" t="s">
        <v>22</v>
      </c>
    </row>
    <row r="910" spans="1:11">
      <c r="A910" s="30" t="s">
        <v>2385</v>
      </c>
      <c r="B910" s="30" t="s">
        <v>2386</v>
      </c>
      <c r="C910" s="30" t="s">
        <v>2387</v>
      </c>
      <c r="D910" s="30" t="s">
        <v>17</v>
      </c>
      <c r="E910" s="30" t="s">
        <v>26</v>
      </c>
      <c r="F910" s="30" t="s">
        <v>27</v>
      </c>
      <c r="G910" s="30" t="s">
        <v>20</v>
      </c>
      <c r="H910" s="32">
        <v>34</v>
      </c>
      <c r="I910" s="30" t="s">
        <v>21</v>
      </c>
      <c r="J910" s="41">
        <v>44061</v>
      </c>
      <c r="K910" s="30" t="s">
        <v>22</v>
      </c>
    </row>
    <row r="911" spans="1:11">
      <c r="A911" s="33" t="s">
        <v>2388</v>
      </c>
      <c r="B911" s="33" t="s">
        <v>2389</v>
      </c>
      <c r="C911" s="33" t="s">
        <v>1813</v>
      </c>
      <c r="D911" s="33" t="s">
        <v>17</v>
      </c>
      <c r="E911" s="33" t="s">
        <v>31</v>
      </c>
      <c r="F911" s="33" t="s">
        <v>32</v>
      </c>
      <c r="G911" s="33" t="s">
        <v>112</v>
      </c>
      <c r="H911" s="35">
        <v>0</v>
      </c>
      <c r="I911" s="33" t="s">
        <v>21</v>
      </c>
      <c r="J911" s="42">
        <v>43983</v>
      </c>
      <c r="K911" s="33" t="s">
        <v>22</v>
      </c>
    </row>
    <row r="912" spans="1:11">
      <c r="A912" s="30" t="s">
        <v>2390</v>
      </c>
      <c r="B912" s="30" t="s">
        <v>2391</v>
      </c>
      <c r="C912" s="30" t="s">
        <v>2392</v>
      </c>
      <c r="D912" s="30" t="s">
        <v>17</v>
      </c>
      <c r="E912" s="30" t="s">
        <v>31</v>
      </c>
      <c r="F912" s="30" t="s">
        <v>32</v>
      </c>
      <c r="G912" s="30" t="s">
        <v>20</v>
      </c>
      <c r="H912" s="32">
        <v>60</v>
      </c>
      <c r="I912" s="30" t="s">
        <v>21</v>
      </c>
      <c r="J912" s="41">
        <v>44102</v>
      </c>
      <c r="K912" s="30" t="s">
        <v>22</v>
      </c>
    </row>
    <row r="913" spans="1:11">
      <c r="A913" s="33" t="s">
        <v>2393</v>
      </c>
      <c r="B913" s="33" t="s">
        <v>2394</v>
      </c>
      <c r="C913" s="33" t="s">
        <v>2395</v>
      </c>
      <c r="D913" s="33" t="s">
        <v>17</v>
      </c>
      <c r="E913" s="33" t="s">
        <v>212</v>
      </c>
      <c r="F913" s="33" t="s">
        <v>213</v>
      </c>
      <c r="G913" s="33" t="s">
        <v>106</v>
      </c>
      <c r="H913" s="35">
        <v>267</v>
      </c>
      <c r="I913" s="33" t="s">
        <v>21</v>
      </c>
      <c r="J913" s="42">
        <v>44042</v>
      </c>
      <c r="K913" s="33" t="s">
        <v>22</v>
      </c>
    </row>
    <row r="914" spans="1:11">
      <c r="A914" s="30" t="s">
        <v>2396</v>
      </c>
      <c r="B914" s="30" t="s">
        <v>2397</v>
      </c>
      <c r="C914" s="30" t="s">
        <v>2398</v>
      </c>
      <c r="D914" s="30" t="s">
        <v>17</v>
      </c>
      <c r="E914" s="30" t="s">
        <v>26</v>
      </c>
      <c r="F914" s="30" t="s">
        <v>27</v>
      </c>
      <c r="G914" s="30" t="s">
        <v>50</v>
      </c>
      <c r="H914" s="32">
        <v>98</v>
      </c>
      <c r="I914" s="30" t="s">
        <v>51</v>
      </c>
      <c r="J914" s="41">
        <v>43893</v>
      </c>
      <c r="K914" s="30" t="s">
        <v>22</v>
      </c>
    </row>
    <row r="915" spans="1:11">
      <c r="A915" s="33" t="s">
        <v>2399</v>
      </c>
      <c r="B915" s="33" t="s">
        <v>2400</v>
      </c>
      <c r="C915" s="33" t="s">
        <v>647</v>
      </c>
      <c r="D915" s="33" t="s">
        <v>17</v>
      </c>
      <c r="E915" s="33" t="s">
        <v>18</v>
      </c>
      <c r="F915" s="33" t="s">
        <v>19</v>
      </c>
      <c r="G915" s="33" t="s">
        <v>158</v>
      </c>
      <c r="H915" s="35">
        <v>703</v>
      </c>
      <c r="I915" s="33" t="s">
        <v>21</v>
      </c>
      <c r="J915" s="42">
        <v>43889</v>
      </c>
      <c r="K915" s="33" t="s">
        <v>22</v>
      </c>
    </row>
    <row r="916" spans="1:11">
      <c r="A916" s="30" t="s">
        <v>2401</v>
      </c>
      <c r="B916" s="30" t="s">
        <v>2402</v>
      </c>
      <c r="C916" s="30" t="s">
        <v>2403</v>
      </c>
      <c r="D916" s="30" t="s">
        <v>17</v>
      </c>
      <c r="E916" s="30" t="s">
        <v>45</v>
      </c>
      <c r="F916" s="30" t="s">
        <v>46</v>
      </c>
      <c r="G916" s="30" t="s">
        <v>20</v>
      </c>
      <c r="H916" s="32">
        <v>674</v>
      </c>
      <c r="I916" s="30" t="s">
        <v>21</v>
      </c>
      <c r="J916" s="41">
        <v>44188</v>
      </c>
      <c r="K916" s="30" t="s">
        <v>22</v>
      </c>
    </row>
    <row r="917" spans="1:11">
      <c r="A917" s="33" t="s">
        <v>2404</v>
      </c>
      <c r="B917" s="33" t="s">
        <v>2405</v>
      </c>
      <c r="C917" s="33" t="s">
        <v>216</v>
      </c>
      <c r="D917" s="33" t="s">
        <v>17</v>
      </c>
      <c r="E917" s="33" t="s">
        <v>26</v>
      </c>
      <c r="F917" s="33" t="s">
        <v>27</v>
      </c>
      <c r="G917" s="33" t="s">
        <v>20</v>
      </c>
      <c r="H917" s="35">
        <v>15</v>
      </c>
      <c r="I917" s="33" t="s">
        <v>21</v>
      </c>
      <c r="J917" s="42">
        <v>44075</v>
      </c>
      <c r="K917" s="33" t="s">
        <v>22</v>
      </c>
    </row>
    <row r="918" spans="1:11">
      <c r="A918" s="30" t="s">
        <v>2406</v>
      </c>
      <c r="B918" s="30" t="s">
        <v>2407</v>
      </c>
      <c r="C918" s="30" t="s">
        <v>2408</v>
      </c>
      <c r="D918" s="30" t="s">
        <v>17</v>
      </c>
      <c r="E918" s="30" t="s">
        <v>31</v>
      </c>
      <c r="F918" s="30" t="s">
        <v>32</v>
      </c>
      <c r="G918" s="30" t="s">
        <v>50</v>
      </c>
      <c r="H918" s="32">
        <v>119</v>
      </c>
      <c r="I918" s="30" t="s">
        <v>51</v>
      </c>
      <c r="J918" s="41">
        <v>44111</v>
      </c>
      <c r="K918" s="30" t="s">
        <v>22</v>
      </c>
    </row>
    <row r="919" spans="1:11">
      <c r="A919" s="33" t="s">
        <v>2409</v>
      </c>
      <c r="B919" s="33" t="s">
        <v>2410</v>
      </c>
      <c r="C919" s="33" t="s">
        <v>78</v>
      </c>
      <c r="D919" s="33" t="s">
        <v>17</v>
      </c>
      <c r="E919" s="33" t="s">
        <v>26</v>
      </c>
      <c r="F919" s="33" t="s">
        <v>27</v>
      </c>
      <c r="G919" s="33" t="s">
        <v>50</v>
      </c>
      <c r="H919" s="35">
        <v>51</v>
      </c>
      <c r="I919" s="33" t="s">
        <v>51</v>
      </c>
      <c r="J919" s="42">
        <v>44026</v>
      </c>
      <c r="K919" s="33" t="s">
        <v>22</v>
      </c>
    </row>
    <row r="920" spans="1:11">
      <c r="A920" s="30" t="s">
        <v>2411</v>
      </c>
      <c r="B920" s="30" t="s">
        <v>2412</v>
      </c>
      <c r="C920" s="30" t="s">
        <v>787</v>
      </c>
      <c r="D920" s="30" t="s">
        <v>17</v>
      </c>
      <c r="E920" s="30" t="s">
        <v>67</v>
      </c>
      <c r="F920" s="30" t="s">
        <v>68</v>
      </c>
      <c r="G920" s="30" t="s">
        <v>140</v>
      </c>
      <c r="H920" s="32">
        <v>310</v>
      </c>
      <c r="I920" s="30" t="s">
        <v>51</v>
      </c>
      <c r="J920" s="41">
        <v>44101</v>
      </c>
      <c r="K920" s="30" t="s">
        <v>22</v>
      </c>
    </row>
    <row r="921" spans="1:11">
      <c r="A921" s="33" t="s">
        <v>2413</v>
      </c>
      <c r="B921" s="33" t="s">
        <v>2414</v>
      </c>
      <c r="C921" s="33" t="s">
        <v>2415</v>
      </c>
      <c r="D921" s="33" t="s">
        <v>17</v>
      </c>
      <c r="E921" s="33" t="s">
        <v>26</v>
      </c>
      <c r="F921" s="33" t="s">
        <v>27</v>
      </c>
      <c r="G921" s="33" t="s">
        <v>140</v>
      </c>
      <c r="H921" s="35">
        <v>80</v>
      </c>
      <c r="I921" s="33" t="s">
        <v>51</v>
      </c>
      <c r="J921" s="42">
        <v>43836</v>
      </c>
      <c r="K921" s="33" t="s">
        <v>22</v>
      </c>
    </row>
    <row r="922" spans="1:11">
      <c r="A922" s="30" t="s">
        <v>2416</v>
      </c>
      <c r="B922" s="30" t="s">
        <v>2417</v>
      </c>
      <c r="C922" s="30" t="s">
        <v>2418</v>
      </c>
      <c r="D922" s="30" t="s">
        <v>17</v>
      </c>
      <c r="E922" s="30" t="s">
        <v>31</v>
      </c>
      <c r="F922" s="30" t="s">
        <v>32</v>
      </c>
      <c r="G922" s="30" t="s">
        <v>106</v>
      </c>
      <c r="H922" s="32">
        <v>102</v>
      </c>
      <c r="I922" s="30" t="s">
        <v>21</v>
      </c>
      <c r="J922" s="41">
        <v>44111</v>
      </c>
      <c r="K922" s="30" t="s">
        <v>22</v>
      </c>
    </row>
    <row r="923" spans="1:11">
      <c r="A923" s="33" t="s">
        <v>2419</v>
      </c>
      <c r="B923" s="33" t="s">
        <v>2420</v>
      </c>
      <c r="C923" s="33" t="s">
        <v>2421</v>
      </c>
      <c r="D923" s="33" t="s">
        <v>17</v>
      </c>
      <c r="E923" s="33" t="s">
        <v>67</v>
      </c>
      <c r="F923" s="33" t="s">
        <v>68</v>
      </c>
      <c r="G923" s="33" t="s">
        <v>20</v>
      </c>
      <c r="H923" s="35">
        <v>171</v>
      </c>
      <c r="I923" s="33" t="s">
        <v>21</v>
      </c>
      <c r="J923" s="42">
        <v>44196</v>
      </c>
      <c r="K923" s="33" t="s">
        <v>22</v>
      </c>
    </row>
    <row r="924" spans="1:11">
      <c r="A924" s="30" t="s">
        <v>2422</v>
      </c>
      <c r="B924" s="30" t="s">
        <v>2423</v>
      </c>
      <c r="C924" s="30" t="s">
        <v>2424</v>
      </c>
      <c r="D924" s="30" t="s">
        <v>17</v>
      </c>
      <c r="E924" s="30" t="s">
        <v>26</v>
      </c>
      <c r="F924" s="30" t="s">
        <v>27</v>
      </c>
      <c r="G924" s="30" t="s">
        <v>20</v>
      </c>
      <c r="H924" s="32">
        <v>17</v>
      </c>
      <c r="I924" s="30" t="s">
        <v>21</v>
      </c>
      <c r="J924" s="41">
        <v>44150</v>
      </c>
      <c r="K924" s="30" t="s">
        <v>22</v>
      </c>
    </row>
    <row r="925" spans="1:11">
      <c r="A925" s="33" t="s">
        <v>2425</v>
      </c>
      <c r="B925" s="33" t="s">
        <v>2426</v>
      </c>
      <c r="C925" s="33" t="s">
        <v>647</v>
      </c>
      <c r="D925" s="33" t="s">
        <v>17</v>
      </c>
      <c r="E925" s="33" t="s">
        <v>67</v>
      </c>
      <c r="F925" s="33" t="s">
        <v>68</v>
      </c>
      <c r="G925" s="33" t="s">
        <v>158</v>
      </c>
      <c r="H925" s="35">
        <v>370</v>
      </c>
      <c r="I925" s="33" t="s">
        <v>51</v>
      </c>
      <c r="J925" s="42">
        <v>44182</v>
      </c>
      <c r="K925" s="33" t="s">
        <v>22</v>
      </c>
    </row>
    <row r="926" spans="1:11">
      <c r="A926" s="30" t="s">
        <v>2427</v>
      </c>
      <c r="B926" s="30" t="s">
        <v>2428</v>
      </c>
      <c r="C926" s="30" t="s">
        <v>2429</v>
      </c>
      <c r="D926" s="30" t="s">
        <v>17</v>
      </c>
      <c r="E926" s="30" t="s">
        <v>26</v>
      </c>
      <c r="F926" s="30" t="s">
        <v>27</v>
      </c>
      <c r="G926" s="30" t="s">
        <v>20</v>
      </c>
      <c r="H926" s="32">
        <v>25</v>
      </c>
      <c r="I926" s="30" t="s">
        <v>21</v>
      </c>
      <c r="J926" s="41">
        <v>44166</v>
      </c>
      <c r="K926" s="30" t="s">
        <v>22</v>
      </c>
    </row>
    <row r="927" spans="1:11">
      <c r="A927" s="33" t="s">
        <v>2430</v>
      </c>
      <c r="B927" s="33" t="s">
        <v>2431</v>
      </c>
      <c r="C927" s="33" t="s">
        <v>93</v>
      </c>
      <c r="D927" s="33" t="s">
        <v>17</v>
      </c>
      <c r="E927" s="33" t="s">
        <v>45</v>
      </c>
      <c r="F927" s="33" t="s">
        <v>46</v>
      </c>
      <c r="G927" s="33" t="s">
        <v>158</v>
      </c>
      <c r="H927" s="35">
        <v>671</v>
      </c>
      <c r="I927" s="33" t="s">
        <v>21</v>
      </c>
      <c r="J927" s="42">
        <v>44194</v>
      </c>
      <c r="K927" s="33" t="s">
        <v>22</v>
      </c>
    </row>
    <row r="928" spans="1:11">
      <c r="A928" s="30" t="s">
        <v>2432</v>
      </c>
      <c r="B928" s="30" t="s">
        <v>2433</v>
      </c>
      <c r="C928" s="30" t="s">
        <v>2434</v>
      </c>
      <c r="D928" s="30" t="s">
        <v>17</v>
      </c>
      <c r="E928" s="30" t="s">
        <v>26</v>
      </c>
      <c r="F928" s="30" t="s">
        <v>27</v>
      </c>
      <c r="G928" s="30" t="s">
        <v>20</v>
      </c>
      <c r="H928" s="32">
        <v>72</v>
      </c>
      <c r="I928" s="30" t="s">
        <v>21</v>
      </c>
      <c r="J928" s="41">
        <v>44097</v>
      </c>
      <c r="K928" s="30" t="s">
        <v>22</v>
      </c>
    </row>
    <row r="929" spans="1:11">
      <c r="A929" s="33" t="s">
        <v>2435</v>
      </c>
      <c r="B929" s="33" t="s">
        <v>2436</v>
      </c>
      <c r="C929" s="33" t="s">
        <v>190</v>
      </c>
      <c r="D929" s="33" t="s">
        <v>17</v>
      </c>
      <c r="E929" s="33" t="s">
        <v>26</v>
      </c>
      <c r="F929" s="33" t="s">
        <v>27</v>
      </c>
      <c r="G929" s="33" t="s">
        <v>20</v>
      </c>
      <c r="H929" s="35">
        <v>20</v>
      </c>
      <c r="I929" s="33" t="s">
        <v>21</v>
      </c>
      <c r="J929" s="42">
        <v>44116</v>
      </c>
      <c r="K929" s="33" t="s">
        <v>22</v>
      </c>
    </row>
    <row r="930" spans="1:11">
      <c r="A930" s="30" t="s">
        <v>2437</v>
      </c>
      <c r="B930" s="30" t="s">
        <v>2438</v>
      </c>
      <c r="C930" s="30" t="s">
        <v>149</v>
      </c>
      <c r="D930" s="30" t="s">
        <v>17</v>
      </c>
      <c r="E930" s="30" t="s">
        <v>18</v>
      </c>
      <c r="F930" s="30" t="s">
        <v>19</v>
      </c>
      <c r="G930" s="30" t="s">
        <v>50</v>
      </c>
      <c r="H930" s="32">
        <v>762</v>
      </c>
      <c r="I930" s="30" t="s">
        <v>51</v>
      </c>
      <c r="J930" s="41">
        <v>43997</v>
      </c>
      <c r="K930" s="30" t="s">
        <v>22</v>
      </c>
    </row>
    <row r="931" spans="1:11">
      <c r="A931" s="33" t="s">
        <v>2439</v>
      </c>
      <c r="B931" s="33" t="s">
        <v>2440</v>
      </c>
      <c r="C931" s="33" t="s">
        <v>2441</v>
      </c>
      <c r="D931" s="33" t="s">
        <v>17</v>
      </c>
      <c r="E931" s="33" t="s">
        <v>31</v>
      </c>
      <c r="F931" s="33" t="s">
        <v>32</v>
      </c>
      <c r="G931" s="33" t="s">
        <v>20</v>
      </c>
      <c r="H931" s="35">
        <v>60</v>
      </c>
      <c r="I931" s="33" t="s">
        <v>21</v>
      </c>
      <c r="J931" s="42">
        <v>44134</v>
      </c>
      <c r="K931" s="33" t="s">
        <v>22</v>
      </c>
    </row>
    <row r="932" spans="1:11">
      <c r="A932" s="30" t="s">
        <v>2442</v>
      </c>
      <c r="B932" s="30" t="s">
        <v>2443</v>
      </c>
      <c r="C932" s="30" t="s">
        <v>157</v>
      </c>
      <c r="D932" s="30" t="s">
        <v>17</v>
      </c>
      <c r="E932" s="30" t="s">
        <v>26</v>
      </c>
      <c r="F932" s="30" t="s">
        <v>27</v>
      </c>
      <c r="G932" s="30" t="s">
        <v>106</v>
      </c>
      <c r="H932" s="32">
        <v>12</v>
      </c>
      <c r="I932" s="30" t="s">
        <v>21</v>
      </c>
      <c r="J932" s="41">
        <v>44022</v>
      </c>
      <c r="K932" s="30" t="s">
        <v>22</v>
      </c>
    </row>
    <row r="933" spans="1:11">
      <c r="A933" s="33" t="s">
        <v>2444</v>
      </c>
      <c r="B933" s="33" t="s">
        <v>2445</v>
      </c>
      <c r="C933" s="33" t="s">
        <v>2446</v>
      </c>
      <c r="D933" s="33" t="s">
        <v>17</v>
      </c>
      <c r="E933" s="33" t="s">
        <v>26</v>
      </c>
      <c r="F933" s="33" t="s">
        <v>27</v>
      </c>
      <c r="G933" s="33" t="s">
        <v>20</v>
      </c>
      <c r="H933" s="35">
        <v>42</v>
      </c>
      <c r="I933" s="33" t="s">
        <v>21</v>
      </c>
      <c r="J933" s="42">
        <v>43944</v>
      </c>
      <c r="K933" s="33" t="s">
        <v>22</v>
      </c>
    </row>
    <row r="934" spans="1:11">
      <c r="A934" s="30" t="s">
        <v>2447</v>
      </c>
      <c r="B934" s="30" t="s">
        <v>2448</v>
      </c>
      <c r="C934" s="30" t="s">
        <v>2449</v>
      </c>
      <c r="D934" s="30" t="s">
        <v>17</v>
      </c>
      <c r="E934" s="30" t="s">
        <v>18</v>
      </c>
      <c r="F934" s="30" t="s">
        <v>19</v>
      </c>
      <c r="G934" s="30" t="s">
        <v>20</v>
      </c>
      <c r="H934" s="32">
        <v>220</v>
      </c>
      <c r="I934" s="30" t="s">
        <v>21</v>
      </c>
      <c r="J934" s="41">
        <v>44013</v>
      </c>
      <c r="K934" s="30" t="s">
        <v>22</v>
      </c>
    </row>
    <row r="935" spans="1:11">
      <c r="A935" s="33" t="s">
        <v>2450</v>
      </c>
      <c r="B935" s="33" t="s">
        <v>2451</v>
      </c>
      <c r="C935" s="33" t="s">
        <v>2452</v>
      </c>
      <c r="D935" s="33" t="s">
        <v>17</v>
      </c>
      <c r="E935" s="33" t="s">
        <v>31</v>
      </c>
      <c r="F935" s="33" t="s">
        <v>32</v>
      </c>
      <c r="G935" s="33" t="s">
        <v>106</v>
      </c>
      <c r="H935" s="35">
        <v>98</v>
      </c>
      <c r="I935" s="33" t="s">
        <v>21</v>
      </c>
      <c r="J935" s="42">
        <v>44075</v>
      </c>
      <c r="K935" s="33" t="s">
        <v>22</v>
      </c>
    </row>
    <row r="936" spans="1:11">
      <c r="A936" s="30" t="s">
        <v>2453</v>
      </c>
      <c r="B936" s="30" t="s">
        <v>2454</v>
      </c>
      <c r="C936" s="30" t="s">
        <v>2455</v>
      </c>
      <c r="D936" s="30" t="s">
        <v>17</v>
      </c>
      <c r="E936" s="30" t="s">
        <v>18</v>
      </c>
      <c r="F936" s="30" t="s">
        <v>19</v>
      </c>
      <c r="G936" s="30" t="s">
        <v>158</v>
      </c>
      <c r="H936" s="32">
        <v>35</v>
      </c>
      <c r="I936" s="30" t="s">
        <v>51</v>
      </c>
      <c r="J936" s="41">
        <v>43875</v>
      </c>
      <c r="K936" s="30" t="s">
        <v>22</v>
      </c>
    </row>
    <row r="937" spans="1:11">
      <c r="A937" s="33" t="s">
        <v>2456</v>
      </c>
      <c r="B937" s="33" t="s">
        <v>2457</v>
      </c>
      <c r="C937" s="33" t="s">
        <v>2458</v>
      </c>
      <c r="D937" s="33" t="s">
        <v>17</v>
      </c>
      <c r="E937" s="33" t="s">
        <v>212</v>
      </c>
      <c r="F937" s="33" t="s">
        <v>213</v>
      </c>
      <c r="G937" s="33" t="s">
        <v>20</v>
      </c>
      <c r="H937" s="35">
        <v>100</v>
      </c>
      <c r="I937" s="33" t="s">
        <v>21</v>
      </c>
      <c r="J937" s="42">
        <v>44014</v>
      </c>
      <c r="K937" s="33" t="s">
        <v>22</v>
      </c>
    </row>
    <row r="938" spans="1:11">
      <c r="A938" s="30" t="s">
        <v>2459</v>
      </c>
      <c r="B938" s="30" t="s">
        <v>2460</v>
      </c>
      <c r="C938" s="30" t="s">
        <v>2461</v>
      </c>
      <c r="D938" s="30" t="s">
        <v>17</v>
      </c>
      <c r="E938" s="30" t="s">
        <v>18</v>
      </c>
      <c r="F938" s="30" t="s">
        <v>19</v>
      </c>
      <c r="G938" s="30" t="s">
        <v>112</v>
      </c>
      <c r="H938" s="32">
        <v>0</v>
      </c>
      <c r="I938" s="30" t="s">
        <v>21</v>
      </c>
      <c r="J938" s="41">
        <v>44105</v>
      </c>
      <c r="K938" s="30" t="s">
        <v>22</v>
      </c>
    </row>
    <row r="939" spans="1:11">
      <c r="A939" s="33" t="s">
        <v>2462</v>
      </c>
      <c r="B939" s="33" t="s">
        <v>2463</v>
      </c>
      <c r="C939" s="33" t="s">
        <v>1090</v>
      </c>
      <c r="D939" s="33" t="s">
        <v>17</v>
      </c>
      <c r="E939" s="33" t="s">
        <v>18</v>
      </c>
      <c r="F939" s="33" t="s">
        <v>19</v>
      </c>
      <c r="G939" s="33" t="s">
        <v>20</v>
      </c>
      <c r="H939" s="35">
        <v>420</v>
      </c>
      <c r="I939" s="33" t="s">
        <v>21</v>
      </c>
      <c r="J939" s="42">
        <v>44000</v>
      </c>
      <c r="K939" s="33" t="s">
        <v>22</v>
      </c>
    </row>
    <row r="940" spans="1:11">
      <c r="A940" s="30" t="s">
        <v>2464</v>
      </c>
      <c r="B940" s="30" t="s">
        <v>2465</v>
      </c>
      <c r="C940" s="30" t="s">
        <v>2466</v>
      </c>
      <c r="D940" s="30" t="s">
        <v>17</v>
      </c>
      <c r="E940" s="30" t="s">
        <v>67</v>
      </c>
      <c r="F940" s="30" t="s">
        <v>68</v>
      </c>
      <c r="G940" s="30" t="s">
        <v>140</v>
      </c>
      <c r="H940" s="32">
        <v>80</v>
      </c>
      <c r="I940" s="30" t="s">
        <v>51</v>
      </c>
      <c r="J940" s="41">
        <v>44032</v>
      </c>
      <c r="K940" s="30" t="s">
        <v>22</v>
      </c>
    </row>
    <row r="941" spans="1:11">
      <c r="A941" s="33" t="s">
        <v>2467</v>
      </c>
      <c r="B941" s="33" t="s">
        <v>2468</v>
      </c>
      <c r="C941" s="33" t="s">
        <v>2469</v>
      </c>
      <c r="D941" s="33" t="s">
        <v>17</v>
      </c>
      <c r="E941" s="33" t="s">
        <v>26</v>
      </c>
      <c r="F941" s="33" t="s">
        <v>27</v>
      </c>
      <c r="G941" s="33" t="s">
        <v>20</v>
      </c>
      <c r="H941" s="35">
        <v>88</v>
      </c>
      <c r="I941" s="33" t="s">
        <v>21</v>
      </c>
      <c r="J941" s="42">
        <v>44070</v>
      </c>
      <c r="K941" s="33" t="s">
        <v>22</v>
      </c>
    </row>
    <row r="942" spans="1:11">
      <c r="A942" s="30" t="s">
        <v>2470</v>
      </c>
      <c r="B942" s="30" t="s">
        <v>2471</v>
      </c>
      <c r="C942" s="30" t="s">
        <v>2472</v>
      </c>
      <c r="D942" s="30" t="s">
        <v>17</v>
      </c>
      <c r="E942" s="30" t="s">
        <v>31</v>
      </c>
      <c r="F942" s="30" t="s">
        <v>32</v>
      </c>
      <c r="G942" s="30" t="s">
        <v>20</v>
      </c>
      <c r="H942" s="32">
        <v>660</v>
      </c>
      <c r="I942" s="30" t="s">
        <v>21</v>
      </c>
      <c r="J942" s="41">
        <v>43980</v>
      </c>
      <c r="K942" s="30" t="s">
        <v>22</v>
      </c>
    </row>
    <row r="943" spans="1:11">
      <c r="A943" s="33" t="s">
        <v>2473</v>
      </c>
      <c r="B943" s="33" t="s">
        <v>2474</v>
      </c>
      <c r="C943" s="33" t="s">
        <v>2475</v>
      </c>
      <c r="D943" s="33" t="s">
        <v>17</v>
      </c>
      <c r="E943" s="33" t="s">
        <v>26</v>
      </c>
      <c r="F943" s="33" t="s">
        <v>27</v>
      </c>
      <c r="G943" s="33" t="s">
        <v>20</v>
      </c>
      <c r="H943" s="35">
        <v>24</v>
      </c>
      <c r="I943" s="33" t="s">
        <v>21</v>
      </c>
      <c r="J943" s="42">
        <v>44137</v>
      </c>
      <c r="K943" s="33" t="s">
        <v>22</v>
      </c>
    </row>
    <row r="944" spans="1:11">
      <c r="A944" s="30" t="s">
        <v>2476</v>
      </c>
      <c r="B944" s="30" t="s">
        <v>2477</v>
      </c>
      <c r="C944" s="30" t="s">
        <v>109</v>
      </c>
      <c r="D944" s="30" t="s">
        <v>17</v>
      </c>
      <c r="E944" s="30" t="s">
        <v>31</v>
      </c>
      <c r="F944" s="30" t="s">
        <v>32</v>
      </c>
      <c r="G944" s="30" t="s">
        <v>106</v>
      </c>
      <c r="H944" s="32">
        <v>23</v>
      </c>
      <c r="I944" s="30" t="s">
        <v>21</v>
      </c>
      <c r="J944" s="41">
        <v>43864</v>
      </c>
      <c r="K944" s="30" t="s">
        <v>22</v>
      </c>
    </row>
    <row r="945" spans="1:11">
      <c r="A945" s="33" t="s">
        <v>2478</v>
      </c>
      <c r="B945" s="33" t="s">
        <v>2479</v>
      </c>
      <c r="C945" s="33" t="s">
        <v>149</v>
      </c>
      <c r="D945" s="33" t="s">
        <v>17</v>
      </c>
      <c r="E945" s="33" t="s">
        <v>26</v>
      </c>
      <c r="F945" s="33" t="s">
        <v>27</v>
      </c>
      <c r="G945" s="33" t="s">
        <v>20</v>
      </c>
      <c r="H945" s="35">
        <v>18</v>
      </c>
      <c r="I945" s="33" t="s">
        <v>21</v>
      </c>
      <c r="J945" s="42">
        <v>44151</v>
      </c>
      <c r="K945" s="33" t="s">
        <v>22</v>
      </c>
    </row>
    <row r="946" spans="1:11">
      <c r="A946" s="30" t="s">
        <v>2480</v>
      </c>
      <c r="B946" s="30" t="s">
        <v>2481</v>
      </c>
      <c r="C946" s="30" t="s">
        <v>1006</v>
      </c>
      <c r="D946" s="30" t="s">
        <v>17</v>
      </c>
      <c r="E946" s="30" t="s">
        <v>26</v>
      </c>
      <c r="F946" s="30" t="s">
        <v>27</v>
      </c>
      <c r="G946" s="30" t="s">
        <v>50</v>
      </c>
      <c r="H946" s="32">
        <v>45</v>
      </c>
      <c r="I946" s="30" t="s">
        <v>51</v>
      </c>
      <c r="J946" s="41">
        <v>43965</v>
      </c>
      <c r="K946" s="30" t="s">
        <v>22</v>
      </c>
    </row>
    <row r="947" spans="1:11">
      <c r="A947" s="33" t="s">
        <v>2482</v>
      </c>
      <c r="B947" s="33" t="s">
        <v>2483</v>
      </c>
      <c r="C947" s="33" t="s">
        <v>2484</v>
      </c>
      <c r="D947" s="33" t="s">
        <v>17</v>
      </c>
      <c r="E947" s="33" t="s">
        <v>31</v>
      </c>
      <c r="F947" s="33" t="s">
        <v>32</v>
      </c>
      <c r="G947" s="33" t="s">
        <v>20</v>
      </c>
      <c r="H947" s="35">
        <v>30</v>
      </c>
      <c r="I947" s="33" t="s">
        <v>21</v>
      </c>
      <c r="J947" s="42">
        <v>44148</v>
      </c>
      <c r="K947" s="33" t="s">
        <v>22</v>
      </c>
    </row>
    <row r="948" spans="1:11">
      <c r="A948" s="30" t="s">
        <v>2485</v>
      </c>
      <c r="B948" s="30" t="s">
        <v>2486</v>
      </c>
      <c r="C948" s="30" t="s">
        <v>2487</v>
      </c>
      <c r="D948" s="30" t="s">
        <v>17</v>
      </c>
      <c r="E948" s="30" t="s">
        <v>31</v>
      </c>
      <c r="F948" s="30" t="s">
        <v>32</v>
      </c>
      <c r="G948" s="30" t="s">
        <v>20</v>
      </c>
      <c r="H948" s="32">
        <v>202</v>
      </c>
      <c r="I948" s="30" t="s">
        <v>21</v>
      </c>
      <c r="J948" s="41">
        <v>44180</v>
      </c>
      <c r="K948" s="30" t="s">
        <v>22</v>
      </c>
    </row>
    <row r="949" spans="1:11">
      <c r="A949" s="33" t="s">
        <v>2488</v>
      </c>
      <c r="B949" s="33" t="s">
        <v>2489</v>
      </c>
      <c r="C949" s="33" t="s">
        <v>2490</v>
      </c>
      <c r="D949" s="33" t="s">
        <v>17</v>
      </c>
      <c r="E949" s="33" t="s">
        <v>31</v>
      </c>
      <c r="F949" s="33" t="s">
        <v>32</v>
      </c>
      <c r="G949" s="33" t="s">
        <v>20</v>
      </c>
      <c r="H949" s="35">
        <v>66</v>
      </c>
      <c r="I949" s="33" t="s">
        <v>21</v>
      </c>
      <c r="J949" s="42">
        <v>44102</v>
      </c>
      <c r="K949" s="33" t="s">
        <v>22</v>
      </c>
    </row>
    <row r="950" spans="1:11">
      <c r="A950" s="30" t="s">
        <v>2491</v>
      </c>
      <c r="B950" s="30" t="s">
        <v>2492</v>
      </c>
      <c r="C950" s="30" t="s">
        <v>2493</v>
      </c>
      <c r="D950" s="30" t="s">
        <v>17</v>
      </c>
      <c r="E950" s="30" t="s">
        <v>26</v>
      </c>
      <c r="F950" s="30" t="s">
        <v>27</v>
      </c>
      <c r="G950" s="30" t="s">
        <v>20</v>
      </c>
      <c r="H950" s="32">
        <v>117</v>
      </c>
      <c r="I950" s="30" t="s">
        <v>21</v>
      </c>
      <c r="J950" s="41">
        <v>44040</v>
      </c>
      <c r="K950" s="30" t="s">
        <v>22</v>
      </c>
    </row>
    <row r="951" spans="1:11">
      <c r="A951" s="33" t="s">
        <v>2494</v>
      </c>
      <c r="B951" s="33" t="s">
        <v>2495</v>
      </c>
      <c r="C951" s="33" t="s">
        <v>969</v>
      </c>
      <c r="D951" s="33" t="s">
        <v>17</v>
      </c>
      <c r="E951" s="33" t="s">
        <v>26</v>
      </c>
      <c r="F951" s="33" t="s">
        <v>27</v>
      </c>
      <c r="G951" s="33" t="s">
        <v>106</v>
      </c>
      <c r="H951" s="35">
        <v>25</v>
      </c>
      <c r="I951" s="33" t="s">
        <v>21</v>
      </c>
      <c r="J951" s="42">
        <v>44119</v>
      </c>
      <c r="K951" s="33" t="s">
        <v>22</v>
      </c>
    </row>
    <row r="952" spans="1:11">
      <c r="A952" s="30" t="s">
        <v>2496</v>
      </c>
      <c r="B952" s="30" t="s">
        <v>2497</v>
      </c>
      <c r="C952" s="30" t="s">
        <v>190</v>
      </c>
      <c r="D952" s="30" t="s">
        <v>17</v>
      </c>
      <c r="E952" s="30" t="s">
        <v>26</v>
      </c>
      <c r="F952" s="30" t="s">
        <v>27</v>
      </c>
      <c r="G952" s="30" t="s">
        <v>20</v>
      </c>
      <c r="H952" s="32">
        <v>27</v>
      </c>
      <c r="I952" s="30" t="s">
        <v>21</v>
      </c>
      <c r="J952" s="41">
        <v>44132</v>
      </c>
      <c r="K952" s="30" t="s">
        <v>22</v>
      </c>
    </row>
    <row r="953" spans="1:11">
      <c r="A953" s="33" t="s">
        <v>2498</v>
      </c>
      <c r="B953" s="33" t="s">
        <v>2499</v>
      </c>
      <c r="C953" s="33" t="s">
        <v>2500</v>
      </c>
      <c r="D953" s="33" t="s">
        <v>17</v>
      </c>
      <c r="E953" s="33" t="s">
        <v>31</v>
      </c>
      <c r="F953" s="33" t="s">
        <v>32</v>
      </c>
      <c r="G953" s="33" t="s">
        <v>106</v>
      </c>
      <c r="H953" s="35">
        <v>11</v>
      </c>
      <c r="I953" s="33" t="s">
        <v>21</v>
      </c>
      <c r="J953" s="42">
        <v>43845</v>
      </c>
      <c r="K953" s="33" t="s">
        <v>22</v>
      </c>
    </row>
    <row r="954" spans="1:11">
      <c r="A954" s="30" t="s">
        <v>2501</v>
      </c>
      <c r="B954" s="30" t="s">
        <v>2502</v>
      </c>
      <c r="C954" s="30" t="s">
        <v>2503</v>
      </c>
      <c r="D954" s="30" t="s">
        <v>17</v>
      </c>
      <c r="E954" s="30" t="s">
        <v>67</v>
      </c>
      <c r="F954" s="30" t="s">
        <v>68</v>
      </c>
      <c r="G954" s="30" t="s">
        <v>112</v>
      </c>
      <c r="H954" s="32">
        <v>0</v>
      </c>
      <c r="I954" s="30" t="s">
        <v>21</v>
      </c>
      <c r="J954" s="41">
        <v>43952</v>
      </c>
      <c r="K954" s="30" t="s">
        <v>22</v>
      </c>
    </row>
    <row r="955" spans="1:11">
      <c r="A955" s="33" t="s">
        <v>2504</v>
      </c>
      <c r="B955" s="33" t="s">
        <v>2505</v>
      </c>
      <c r="C955" s="33" t="s">
        <v>75</v>
      </c>
      <c r="D955" s="33" t="s">
        <v>17</v>
      </c>
      <c r="E955" s="33" t="s">
        <v>18</v>
      </c>
      <c r="F955" s="33" t="s">
        <v>19</v>
      </c>
      <c r="G955" s="33" t="s">
        <v>20</v>
      </c>
      <c r="H955" s="35">
        <v>1030</v>
      </c>
      <c r="I955" s="33" t="s">
        <v>21</v>
      </c>
      <c r="J955" s="42">
        <v>43867</v>
      </c>
      <c r="K955" s="33" t="s">
        <v>22</v>
      </c>
    </row>
    <row r="956" spans="1:11">
      <c r="A956" s="30" t="s">
        <v>2506</v>
      </c>
      <c r="B956" s="30" t="s">
        <v>2507</v>
      </c>
      <c r="C956" s="30" t="s">
        <v>2508</v>
      </c>
      <c r="D956" s="30" t="s">
        <v>17</v>
      </c>
      <c r="E956" s="30" t="s">
        <v>212</v>
      </c>
      <c r="F956" s="30" t="s">
        <v>213</v>
      </c>
      <c r="G956" s="30" t="s">
        <v>20</v>
      </c>
      <c r="H956" s="32">
        <v>333</v>
      </c>
      <c r="I956" s="30" t="s">
        <v>21</v>
      </c>
      <c r="J956" s="41">
        <v>44155</v>
      </c>
      <c r="K956" s="30" t="s">
        <v>22</v>
      </c>
    </row>
    <row r="957" spans="1:11">
      <c r="A957" s="33" t="s">
        <v>2509</v>
      </c>
      <c r="B957" s="33" t="s">
        <v>2510</v>
      </c>
      <c r="C957" s="33" t="s">
        <v>2511</v>
      </c>
      <c r="D957" s="33" t="s">
        <v>17</v>
      </c>
      <c r="E957" s="33" t="s">
        <v>31</v>
      </c>
      <c r="F957" s="33" t="s">
        <v>32</v>
      </c>
      <c r="G957" s="33" t="s">
        <v>20</v>
      </c>
      <c r="H957" s="35">
        <v>64</v>
      </c>
      <c r="I957" s="33" t="s">
        <v>21</v>
      </c>
      <c r="J957" s="42">
        <v>44098</v>
      </c>
      <c r="K957" s="33" t="s">
        <v>22</v>
      </c>
    </row>
    <row r="958" spans="1:11">
      <c r="A958" s="30" t="s">
        <v>2512</v>
      </c>
      <c r="B958" s="30" t="s">
        <v>2513</v>
      </c>
      <c r="C958" s="30" t="s">
        <v>2514</v>
      </c>
      <c r="D958" s="30" t="s">
        <v>17</v>
      </c>
      <c r="E958" s="30" t="s">
        <v>31</v>
      </c>
      <c r="F958" s="30" t="s">
        <v>32</v>
      </c>
      <c r="G958" s="30" t="s">
        <v>20</v>
      </c>
      <c r="H958" s="32">
        <v>148</v>
      </c>
      <c r="I958" s="30" t="s">
        <v>21</v>
      </c>
      <c r="J958" s="41">
        <v>44165</v>
      </c>
      <c r="K958" s="30" t="s">
        <v>22</v>
      </c>
    </row>
    <row r="959" spans="1:11">
      <c r="A959" s="33" t="s">
        <v>2515</v>
      </c>
      <c r="B959" s="33" t="s">
        <v>2516</v>
      </c>
      <c r="C959" s="33" t="s">
        <v>1655</v>
      </c>
      <c r="D959" s="33" t="s">
        <v>17</v>
      </c>
      <c r="E959" s="33" t="s">
        <v>31</v>
      </c>
      <c r="F959" s="33" t="s">
        <v>32</v>
      </c>
      <c r="G959" s="33" t="s">
        <v>20</v>
      </c>
      <c r="H959" s="35">
        <v>14</v>
      </c>
      <c r="I959" s="33" t="s">
        <v>21</v>
      </c>
      <c r="J959" s="42">
        <v>43866</v>
      </c>
      <c r="K959" s="33" t="s">
        <v>22</v>
      </c>
    </row>
    <row r="960" spans="1:11">
      <c r="A960" s="30" t="s">
        <v>2517</v>
      </c>
      <c r="B960" s="30" t="s">
        <v>2518</v>
      </c>
      <c r="C960" s="30" t="s">
        <v>2519</v>
      </c>
      <c r="D960" s="30" t="s">
        <v>17</v>
      </c>
      <c r="E960" s="30" t="s">
        <v>26</v>
      </c>
      <c r="F960" s="30" t="s">
        <v>27</v>
      </c>
      <c r="G960" s="30" t="s">
        <v>140</v>
      </c>
      <c r="H960" s="32">
        <v>18</v>
      </c>
      <c r="I960" s="30" t="s">
        <v>51</v>
      </c>
      <c r="J960" s="41">
        <v>44000</v>
      </c>
      <c r="K960" s="30" t="s">
        <v>22</v>
      </c>
    </row>
    <row r="961" spans="1:11">
      <c r="A961" s="33" t="s">
        <v>2520</v>
      </c>
      <c r="B961" s="33" t="s">
        <v>2521</v>
      </c>
      <c r="C961" s="33" t="s">
        <v>407</v>
      </c>
      <c r="D961" s="33" t="s">
        <v>17</v>
      </c>
      <c r="E961" s="33" t="s">
        <v>26</v>
      </c>
      <c r="F961" s="33" t="s">
        <v>27</v>
      </c>
      <c r="G961" s="33" t="s">
        <v>20</v>
      </c>
      <c r="H961" s="35">
        <v>40</v>
      </c>
      <c r="I961" s="33" t="s">
        <v>21</v>
      </c>
      <c r="J961" s="42">
        <v>44062</v>
      </c>
      <c r="K961" s="33" t="s">
        <v>22</v>
      </c>
    </row>
    <row r="962" spans="1:11">
      <c r="A962" s="30" t="s">
        <v>2522</v>
      </c>
      <c r="B962" s="30" t="s">
        <v>2523</v>
      </c>
      <c r="C962" s="30" t="s">
        <v>2524</v>
      </c>
      <c r="D962" s="30" t="s">
        <v>17</v>
      </c>
      <c r="E962" s="30" t="s">
        <v>26</v>
      </c>
      <c r="F962" s="30" t="s">
        <v>27</v>
      </c>
      <c r="G962" s="30" t="s">
        <v>50</v>
      </c>
      <c r="H962" s="32">
        <v>12</v>
      </c>
      <c r="I962" s="30" t="s">
        <v>51</v>
      </c>
      <c r="J962" s="41">
        <v>44136</v>
      </c>
      <c r="K962" s="30" t="s">
        <v>22</v>
      </c>
    </row>
    <row r="963" spans="1:11">
      <c r="A963" s="33" t="s">
        <v>2525</v>
      </c>
      <c r="B963" s="33" t="s">
        <v>2526</v>
      </c>
      <c r="C963" s="33" t="s">
        <v>1061</v>
      </c>
      <c r="D963" s="33" t="s">
        <v>17</v>
      </c>
      <c r="E963" s="33" t="s">
        <v>26</v>
      </c>
      <c r="F963" s="33" t="s">
        <v>27</v>
      </c>
      <c r="G963" s="33" t="s">
        <v>20</v>
      </c>
      <c r="H963" s="35">
        <v>67</v>
      </c>
      <c r="I963" s="33" t="s">
        <v>21</v>
      </c>
      <c r="J963" s="42">
        <v>43873</v>
      </c>
      <c r="K963" s="33" t="s">
        <v>22</v>
      </c>
    </row>
    <row r="964" spans="1:11">
      <c r="A964" s="30" t="s">
        <v>2527</v>
      </c>
      <c r="B964" s="30" t="s">
        <v>2528</v>
      </c>
      <c r="C964" s="30" t="s">
        <v>957</v>
      </c>
      <c r="D964" s="30" t="s">
        <v>17</v>
      </c>
      <c r="E964" s="30" t="s">
        <v>31</v>
      </c>
      <c r="F964" s="30" t="s">
        <v>32</v>
      </c>
      <c r="G964" s="30" t="s">
        <v>106</v>
      </c>
      <c r="H964" s="32">
        <v>12</v>
      </c>
      <c r="I964" s="30" t="s">
        <v>21</v>
      </c>
      <c r="J964" s="41">
        <v>44139</v>
      </c>
      <c r="K964" s="30" t="s">
        <v>22</v>
      </c>
    </row>
    <row r="965" spans="1:11">
      <c r="A965" s="33" t="s">
        <v>2529</v>
      </c>
      <c r="B965" s="33" t="s">
        <v>2530</v>
      </c>
      <c r="C965" s="33" t="s">
        <v>96</v>
      </c>
      <c r="D965" s="33" t="s">
        <v>17</v>
      </c>
      <c r="E965" s="33" t="s">
        <v>26</v>
      </c>
      <c r="F965" s="33" t="s">
        <v>27</v>
      </c>
      <c r="G965" s="33" t="s">
        <v>20</v>
      </c>
      <c r="H965" s="35">
        <v>73</v>
      </c>
      <c r="I965" s="33" t="s">
        <v>21</v>
      </c>
      <c r="J965" s="42">
        <v>44186</v>
      </c>
      <c r="K965" s="33" t="s">
        <v>22</v>
      </c>
    </row>
    <row r="966" spans="1:11">
      <c r="A966" s="30" t="s">
        <v>2531</v>
      </c>
      <c r="B966" s="30" t="s">
        <v>2532</v>
      </c>
      <c r="C966" s="30" t="s">
        <v>102</v>
      </c>
      <c r="D966" s="30" t="s">
        <v>17</v>
      </c>
      <c r="E966" s="30" t="s">
        <v>18</v>
      </c>
      <c r="F966" s="30" t="s">
        <v>19</v>
      </c>
      <c r="G966" s="30" t="s">
        <v>158</v>
      </c>
      <c r="H966" s="32">
        <v>419</v>
      </c>
      <c r="I966" s="30" t="s">
        <v>21</v>
      </c>
      <c r="J966" s="41">
        <v>43994</v>
      </c>
      <c r="K966" s="30" t="s">
        <v>22</v>
      </c>
    </row>
    <row r="967" spans="1:11">
      <c r="A967" s="33" t="s">
        <v>2533</v>
      </c>
      <c r="B967" s="33" t="s">
        <v>2534</v>
      </c>
      <c r="C967" s="33" t="s">
        <v>2535</v>
      </c>
      <c r="D967" s="33" t="s">
        <v>17</v>
      </c>
      <c r="E967" s="33" t="s">
        <v>31</v>
      </c>
      <c r="F967" s="33" t="s">
        <v>32</v>
      </c>
      <c r="G967" s="33" t="s">
        <v>20</v>
      </c>
      <c r="H967" s="35">
        <v>110</v>
      </c>
      <c r="I967" s="33" t="s">
        <v>21</v>
      </c>
      <c r="J967" s="42">
        <v>44043</v>
      </c>
      <c r="K967" s="33" t="s">
        <v>22</v>
      </c>
    </row>
    <row r="968" spans="1:11">
      <c r="A968" s="30" t="s">
        <v>2536</v>
      </c>
      <c r="B968" s="30" t="s">
        <v>2537</v>
      </c>
      <c r="C968" s="30" t="s">
        <v>136</v>
      </c>
      <c r="D968" s="30" t="s">
        <v>17</v>
      </c>
      <c r="E968" s="30" t="s">
        <v>26</v>
      </c>
      <c r="F968" s="30" t="s">
        <v>27</v>
      </c>
      <c r="G968" s="30" t="s">
        <v>158</v>
      </c>
      <c r="H968" s="32">
        <v>200</v>
      </c>
      <c r="I968" s="30" t="s">
        <v>51</v>
      </c>
      <c r="J968" s="41">
        <v>44105</v>
      </c>
      <c r="K968" s="30" t="s">
        <v>22</v>
      </c>
    </row>
    <row r="969" spans="1:11">
      <c r="A969" s="33" t="s">
        <v>2538</v>
      </c>
      <c r="B969" s="33" t="s">
        <v>2539</v>
      </c>
      <c r="C969" s="33" t="s">
        <v>2540</v>
      </c>
      <c r="D969" s="33" t="s">
        <v>17</v>
      </c>
      <c r="E969" s="33" t="s">
        <v>18</v>
      </c>
      <c r="F969" s="33" t="s">
        <v>19</v>
      </c>
      <c r="G969" s="33" t="s">
        <v>20</v>
      </c>
      <c r="H969" s="35">
        <v>46</v>
      </c>
      <c r="I969" s="33" t="s">
        <v>21</v>
      </c>
      <c r="J969" s="42">
        <v>44179</v>
      </c>
      <c r="K969" s="33" t="s">
        <v>22</v>
      </c>
    </row>
    <row r="970" spans="1:11">
      <c r="A970" s="30" t="s">
        <v>2541</v>
      </c>
      <c r="B970" s="30" t="s">
        <v>2542</v>
      </c>
      <c r="C970" s="30" t="s">
        <v>2543</v>
      </c>
      <c r="D970" s="30" t="s">
        <v>17</v>
      </c>
      <c r="E970" s="30" t="s">
        <v>31</v>
      </c>
      <c r="F970" s="30" t="s">
        <v>32</v>
      </c>
      <c r="G970" s="30" t="s">
        <v>20</v>
      </c>
      <c r="H970" s="32">
        <v>160</v>
      </c>
      <c r="I970" s="30" t="s">
        <v>21</v>
      </c>
      <c r="J970" s="41">
        <v>43875</v>
      </c>
      <c r="K970" s="30" t="s">
        <v>22</v>
      </c>
    </row>
    <row r="971" spans="1:11">
      <c r="A971" s="33" t="s">
        <v>2544</v>
      </c>
      <c r="B971" s="33" t="s">
        <v>2545</v>
      </c>
      <c r="C971" s="33" t="s">
        <v>2546</v>
      </c>
      <c r="D971" s="33" t="s">
        <v>17</v>
      </c>
      <c r="E971" s="33" t="s">
        <v>45</v>
      </c>
      <c r="F971" s="33" t="s">
        <v>46</v>
      </c>
      <c r="G971" s="33" t="s">
        <v>20</v>
      </c>
      <c r="H971" s="35">
        <v>119</v>
      </c>
      <c r="I971" s="33" t="s">
        <v>21</v>
      </c>
      <c r="J971" s="42">
        <v>44123</v>
      </c>
      <c r="K971" s="33" t="s">
        <v>22</v>
      </c>
    </row>
    <row r="972" spans="1:11">
      <c r="A972" s="30" t="s">
        <v>2547</v>
      </c>
      <c r="B972" s="30" t="s">
        <v>2548</v>
      </c>
      <c r="C972" s="30" t="s">
        <v>2549</v>
      </c>
      <c r="D972" s="30" t="s">
        <v>17</v>
      </c>
      <c r="E972" s="30" t="s">
        <v>26</v>
      </c>
      <c r="F972" s="30" t="s">
        <v>27</v>
      </c>
      <c r="G972" s="30" t="s">
        <v>106</v>
      </c>
      <c r="H972" s="32">
        <v>13</v>
      </c>
      <c r="I972" s="30" t="s">
        <v>21</v>
      </c>
      <c r="J972" s="41">
        <v>43992</v>
      </c>
      <c r="K972" s="30" t="s">
        <v>22</v>
      </c>
    </row>
    <row r="973" spans="1:11">
      <c r="A973" s="33" t="s">
        <v>2550</v>
      </c>
      <c r="B973" s="33" t="s">
        <v>2551</v>
      </c>
      <c r="C973" s="33" t="s">
        <v>2421</v>
      </c>
      <c r="D973" s="33" t="s">
        <v>17</v>
      </c>
      <c r="E973" s="33" t="s">
        <v>31</v>
      </c>
      <c r="F973" s="33" t="s">
        <v>32</v>
      </c>
      <c r="G973" s="33" t="s">
        <v>106</v>
      </c>
      <c r="H973" s="35">
        <v>184</v>
      </c>
      <c r="I973" s="33" t="s">
        <v>21</v>
      </c>
      <c r="J973" s="42">
        <v>43992</v>
      </c>
      <c r="K973" s="33" t="s">
        <v>22</v>
      </c>
    </row>
    <row r="974" spans="1:11">
      <c r="A974" s="30" t="s">
        <v>2552</v>
      </c>
      <c r="B974" s="30" t="s">
        <v>2553</v>
      </c>
      <c r="C974" s="30" t="s">
        <v>1045</v>
      </c>
      <c r="D974" s="30" t="s">
        <v>17</v>
      </c>
      <c r="E974" s="30" t="s">
        <v>31</v>
      </c>
      <c r="F974" s="30" t="s">
        <v>32</v>
      </c>
      <c r="G974" s="30" t="s">
        <v>20</v>
      </c>
      <c r="H974" s="32">
        <v>35</v>
      </c>
      <c r="I974" s="30" t="s">
        <v>21</v>
      </c>
      <c r="J974" s="41">
        <v>44173</v>
      </c>
      <c r="K974" s="30" t="s">
        <v>22</v>
      </c>
    </row>
    <row r="975" spans="1:11">
      <c r="A975" s="33" t="s">
        <v>2554</v>
      </c>
      <c r="B975" s="33" t="s">
        <v>2555</v>
      </c>
      <c r="C975" s="33" t="s">
        <v>109</v>
      </c>
      <c r="D975" s="33" t="s">
        <v>17</v>
      </c>
      <c r="E975" s="33" t="s">
        <v>31</v>
      </c>
      <c r="F975" s="33" t="s">
        <v>32</v>
      </c>
      <c r="G975" s="33" t="s">
        <v>158</v>
      </c>
      <c r="H975" s="35">
        <v>17</v>
      </c>
      <c r="I975" s="33" t="s">
        <v>21</v>
      </c>
      <c r="J975" s="42">
        <v>44183</v>
      </c>
      <c r="K975" s="33" t="s">
        <v>22</v>
      </c>
    </row>
    <row r="976" spans="1:11">
      <c r="A976" s="30" t="s">
        <v>2556</v>
      </c>
      <c r="B976" s="30" t="s">
        <v>2557</v>
      </c>
      <c r="C976" s="30" t="s">
        <v>1165</v>
      </c>
      <c r="D976" s="30" t="s">
        <v>17</v>
      </c>
      <c r="E976" s="30" t="s">
        <v>31</v>
      </c>
      <c r="F976" s="30" t="s">
        <v>32</v>
      </c>
      <c r="G976" s="30" t="s">
        <v>158</v>
      </c>
      <c r="H976" s="32">
        <v>229</v>
      </c>
      <c r="I976" s="30" t="s">
        <v>21</v>
      </c>
      <c r="J976" s="41">
        <v>44092</v>
      </c>
      <c r="K976" s="30" t="s">
        <v>22</v>
      </c>
    </row>
    <row r="977" spans="1:11">
      <c r="A977" s="33" t="s">
        <v>2558</v>
      </c>
      <c r="B977" s="33" t="s">
        <v>2559</v>
      </c>
      <c r="C977" s="33" t="s">
        <v>190</v>
      </c>
      <c r="D977" s="33" t="s">
        <v>17</v>
      </c>
      <c r="E977" s="33" t="s">
        <v>18</v>
      </c>
      <c r="F977" s="33" t="s">
        <v>19</v>
      </c>
      <c r="G977" s="33" t="s">
        <v>20</v>
      </c>
      <c r="H977" s="35">
        <v>32450</v>
      </c>
      <c r="I977" s="33" t="s">
        <v>21</v>
      </c>
      <c r="J977" s="42">
        <v>44071</v>
      </c>
      <c r="K977" s="33" t="s">
        <v>22</v>
      </c>
    </row>
    <row r="978" spans="1:11">
      <c r="A978" s="30" t="s">
        <v>2560</v>
      </c>
      <c r="B978" s="30" t="s">
        <v>2561</v>
      </c>
      <c r="C978" s="30" t="s">
        <v>2562</v>
      </c>
      <c r="D978" s="30" t="s">
        <v>17</v>
      </c>
      <c r="E978" s="30" t="s">
        <v>67</v>
      </c>
      <c r="F978" s="30" t="s">
        <v>68</v>
      </c>
      <c r="G978" s="30" t="s">
        <v>20</v>
      </c>
      <c r="H978" s="32">
        <v>39</v>
      </c>
      <c r="I978" s="30" t="s">
        <v>21</v>
      </c>
      <c r="J978" s="41">
        <v>44033</v>
      </c>
      <c r="K978" s="30" t="s">
        <v>22</v>
      </c>
    </row>
    <row r="979" spans="1:11">
      <c r="A979" s="33" t="s">
        <v>2563</v>
      </c>
      <c r="B979" s="33" t="s">
        <v>2564</v>
      </c>
      <c r="C979" s="33" t="s">
        <v>2565</v>
      </c>
      <c r="D979" s="33" t="s">
        <v>17</v>
      </c>
      <c r="E979" s="33" t="s">
        <v>26</v>
      </c>
      <c r="F979" s="33" t="s">
        <v>27</v>
      </c>
      <c r="G979" s="33" t="s">
        <v>50</v>
      </c>
      <c r="H979" s="35">
        <v>58</v>
      </c>
      <c r="I979" s="33" t="s">
        <v>51</v>
      </c>
      <c r="J979" s="42">
        <v>43834</v>
      </c>
      <c r="K979" s="33" t="s">
        <v>22</v>
      </c>
    </row>
    <row r="980" spans="1:11">
      <c r="A980" s="30" t="s">
        <v>2566</v>
      </c>
      <c r="B980" s="30" t="s">
        <v>2567</v>
      </c>
      <c r="C980" s="30" t="s">
        <v>2568</v>
      </c>
      <c r="D980" s="30" t="s">
        <v>17</v>
      </c>
      <c r="E980" s="30" t="s">
        <v>67</v>
      </c>
      <c r="F980" s="30" t="s">
        <v>68</v>
      </c>
      <c r="G980" s="30" t="s">
        <v>50</v>
      </c>
      <c r="H980" s="32">
        <v>300</v>
      </c>
      <c r="I980" s="30" t="s">
        <v>51</v>
      </c>
      <c r="J980" s="41">
        <v>43983</v>
      </c>
      <c r="K980" s="30" t="s">
        <v>22</v>
      </c>
    </row>
    <row r="981" spans="1:11">
      <c r="A981" s="33" t="s">
        <v>2569</v>
      </c>
      <c r="B981" s="33" t="s">
        <v>2570</v>
      </c>
      <c r="C981" s="33" t="s">
        <v>1391</v>
      </c>
      <c r="D981" s="33" t="s">
        <v>17</v>
      </c>
      <c r="E981" s="33" t="s">
        <v>18</v>
      </c>
      <c r="F981" s="33" t="s">
        <v>19</v>
      </c>
      <c r="G981" s="33" t="s">
        <v>20</v>
      </c>
      <c r="H981" s="35">
        <v>15185</v>
      </c>
      <c r="I981" s="33" t="s">
        <v>21</v>
      </c>
      <c r="J981" s="42">
        <v>44102</v>
      </c>
      <c r="K981" s="33" t="s">
        <v>22</v>
      </c>
    </row>
    <row r="982" spans="1:11">
      <c r="A982" s="30" t="s">
        <v>2571</v>
      </c>
      <c r="B982" s="30" t="s">
        <v>2572</v>
      </c>
      <c r="C982" s="30" t="s">
        <v>1090</v>
      </c>
      <c r="D982" s="30" t="s">
        <v>17</v>
      </c>
      <c r="E982" s="30" t="s">
        <v>31</v>
      </c>
      <c r="F982" s="30" t="s">
        <v>32</v>
      </c>
      <c r="G982" s="30" t="s">
        <v>50</v>
      </c>
      <c r="H982" s="32">
        <v>60</v>
      </c>
      <c r="I982" s="30" t="s">
        <v>51</v>
      </c>
      <c r="J982" s="41">
        <v>43831</v>
      </c>
      <c r="K982" s="30" t="s">
        <v>22</v>
      </c>
    </row>
    <row r="983" spans="1:11">
      <c r="A983" s="33" t="s">
        <v>2573</v>
      </c>
      <c r="B983" s="33" t="s">
        <v>2574</v>
      </c>
      <c r="C983" s="33" t="s">
        <v>1136</v>
      </c>
      <c r="D983" s="33" t="s">
        <v>17</v>
      </c>
      <c r="E983" s="33" t="s">
        <v>18</v>
      </c>
      <c r="F983" s="33" t="s">
        <v>19</v>
      </c>
      <c r="G983" s="33" t="s">
        <v>106</v>
      </c>
      <c r="H983" s="35">
        <v>100</v>
      </c>
      <c r="I983" s="33" t="s">
        <v>21</v>
      </c>
      <c r="J983" s="42">
        <v>44089</v>
      </c>
      <c r="K983" s="33" t="s">
        <v>22</v>
      </c>
    </row>
    <row r="984" spans="1:11">
      <c r="A984" s="30" t="s">
        <v>2575</v>
      </c>
      <c r="B984" s="30" t="s">
        <v>2576</v>
      </c>
      <c r="C984" s="30" t="s">
        <v>2577</v>
      </c>
      <c r="D984" s="30" t="s">
        <v>17</v>
      </c>
      <c r="E984" s="30" t="s">
        <v>26</v>
      </c>
      <c r="F984" s="30" t="s">
        <v>27</v>
      </c>
      <c r="G984" s="30" t="s">
        <v>50</v>
      </c>
      <c r="H984" s="32">
        <v>22</v>
      </c>
      <c r="I984" s="30" t="s">
        <v>21</v>
      </c>
      <c r="J984" s="41">
        <v>43930</v>
      </c>
      <c r="K984" s="30" t="s">
        <v>22</v>
      </c>
    </row>
    <row r="985" spans="1:11">
      <c r="A985" s="33" t="s">
        <v>2578</v>
      </c>
      <c r="B985" s="33" t="s">
        <v>2579</v>
      </c>
      <c r="C985" s="33" t="s">
        <v>535</v>
      </c>
      <c r="D985" s="33" t="s">
        <v>17</v>
      </c>
      <c r="E985" s="33" t="s">
        <v>26</v>
      </c>
      <c r="F985" s="33" t="s">
        <v>27</v>
      </c>
      <c r="G985" s="33" t="s">
        <v>20</v>
      </c>
      <c r="H985" s="35">
        <v>12</v>
      </c>
      <c r="I985" s="33" t="s">
        <v>21</v>
      </c>
      <c r="J985" s="42">
        <v>44144</v>
      </c>
      <c r="K985" s="33" t="s">
        <v>22</v>
      </c>
    </row>
    <row r="986" spans="1:11">
      <c r="A986" s="30" t="s">
        <v>2580</v>
      </c>
      <c r="B986" s="30" t="s">
        <v>2581</v>
      </c>
      <c r="C986" s="30" t="s">
        <v>2582</v>
      </c>
      <c r="D986" s="30" t="s">
        <v>17</v>
      </c>
      <c r="E986" s="30" t="s">
        <v>26</v>
      </c>
      <c r="F986" s="30" t="s">
        <v>27</v>
      </c>
      <c r="G986" s="30" t="s">
        <v>106</v>
      </c>
      <c r="H986" s="32">
        <v>10</v>
      </c>
      <c r="I986" s="30" t="s">
        <v>21</v>
      </c>
      <c r="J986" s="41">
        <v>44071</v>
      </c>
      <c r="K986" s="30" t="s">
        <v>22</v>
      </c>
    </row>
    <row r="987" spans="1:11">
      <c r="A987" s="33" t="s">
        <v>2583</v>
      </c>
      <c r="B987" s="33" t="s">
        <v>2584</v>
      </c>
      <c r="C987" s="33" t="s">
        <v>2585</v>
      </c>
      <c r="D987" s="33" t="s">
        <v>17</v>
      </c>
      <c r="E987" s="33" t="s">
        <v>31</v>
      </c>
      <c r="F987" s="33" t="s">
        <v>32</v>
      </c>
      <c r="G987" s="33" t="s">
        <v>20</v>
      </c>
      <c r="H987" s="35">
        <v>44</v>
      </c>
      <c r="I987" s="33" t="s">
        <v>21</v>
      </c>
      <c r="J987" s="42">
        <v>44100</v>
      </c>
      <c r="K987" s="33" t="s">
        <v>22</v>
      </c>
    </row>
    <row r="988" spans="1:11">
      <c r="A988" s="30" t="s">
        <v>2586</v>
      </c>
      <c r="B988" s="30" t="s">
        <v>2587</v>
      </c>
      <c r="C988" s="30" t="s">
        <v>635</v>
      </c>
      <c r="D988" s="30" t="s">
        <v>17</v>
      </c>
      <c r="E988" s="30" t="s">
        <v>31</v>
      </c>
      <c r="F988" s="30" t="s">
        <v>32</v>
      </c>
      <c r="G988" s="30" t="s">
        <v>20</v>
      </c>
      <c r="H988" s="32">
        <v>15</v>
      </c>
      <c r="I988" s="30" t="s">
        <v>21</v>
      </c>
      <c r="J988" s="41">
        <v>44047</v>
      </c>
      <c r="K988" s="30" t="s">
        <v>22</v>
      </c>
    </row>
    <row r="989" spans="1:11">
      <c r="A989" s="33" t="s">
        <v>2588</v>
      </c>
      <c r="B989" s="33" t="s">
        <v>2589</v>
      </c>
      <c r="C989" s="33" t="s">
        <v>118</v>
      </c>
      <c r="D989" s="33" t="s">
        <v>17</v>
      </c>
      <c r="E989" s="33" t="s">
        <v>26</v>
      </c>
      <c r="F989" s="33" t="s">
        <v>27</v>
      </c>
      <c r="G989" s="33" t="s">
        <v>20</v>
      </c>
      <c r="H989" s="35">
        <v>14</v>
      </c>
      <c r="I989" s="33" t="s">
        <v>21</v>
      </c>
      <c r="J989" s="42">
        <v>44014</v>
      </c>
      <c r="K989" s="33" t="s">
        <v>22</v>
      </c>
    </row>
    <row r="990" spans="1:11">
      <c r="A990" s="30" t="s">
        <v>2590</v>
      </c>
      <c r="B990" s="30" t="s">
        <v>2591</v>
      </c>
      <c r="C990" s="30" t="s">
        <v>695</v>
      </c>
      <c r="D990" s="30" t="s">
        <v>17</v>
      </c>
      <c r="E990" s="30" t="s">
        <v>26</v>
      </c>
      <c r="F990" s="30" t="s">
        <v>27</v>
      </c>
      <c r="G990" s="30" t="s">
        <v>106</v>
      </c>
      <c r="H990" s="32">
        <v>6</v>
      </c>
      <c r="I990" s="30" t="s">
        <v>21</v>
      </c>
      <c r="J990" s="41">
        <v>44015</v>
      </c>
      <c r="K990" s="30" t="s">
        <v>22</v>
      </c>
    </row>
    <row r="991" spans="1:11">
      <c r="A991" s="33" t="s">
        <v>2592</v>
      </c>
      <c r="B991" s="33" t="s">
        <v>2593</v>
      </c>
      <c r="C991" s="33" t="s">
        <v>2594</v>
      </c>
      <c r="D991" s="33" t="s">
        <v>17</v>
      </c>
      <c r="E991" s="33" t="s">
        <v>26</v>
      </c>
      <c r="F991" s="33" t="s">
        <v>27</v>
      </c>
      <c r="G991" s="33" t="s">
        <v>20</v>
      </c>
      <c r="H991" s="35">
        <v>40</v>
      </c>
      <c r="I991" s="33" t="s">
        <v>21</v>
      </c>
      <c r="J991" s="42">
        <v>43879</v>
      </c>
      <c r="K991" s="33" t="s">
        <v>22</v>
      </c>
    </row>
    <row r="992" spans="1:11">
      <c r="A992" s="30" t="s">
        <v>2595</v>
      </c>
      <c r="B992" s="30" t="s">
        <v>2596</v>
      </c>
      <c r="C992" s="30" t="s">
        <v>203</v>
      </c>
      <c r="D992" s="30" t="s">
        <v>17</v>
      </c>
      <c r="E992" s="30" t="s">
        <v>26</v>
      </c>
      <c r="F992" s="30" t="s">
        <v>27</v>
      </c>
      <c r="G992" s="30" t="s">
        <v>20</v>
      </c>
      <c r="H992" s="32">
        <v>30</v>
      </c>
      <c r="I992" s="30" t="s">
        <v>21</v>
      </c>
      <c r="J992" s="41">
        <v>43969</v>
      </c>
      <c r="K992" s="30" t="s">
        <v>22</v>
      </c>
    </row>
    <row r="993" spans="1:11">
      <c r="A993" s="33" t="s">
        <v>2597</v>
      </c>
      <c r="B993" s="33" t="s">
        <v>2598</v>
      </c>
      <c r="C993" s="33" t="s">
        <v>2599</v>
      </c>
      <c r="D993" s="33" t="s">
        <v>17</v>
      </c>
      <c r="E993" s="33" t="s">
        <v>31</v>
      </c>
      <c r="F993" s="33" t="s">
        <v>32</v>
      </c>
      <c r="G993" s="33" t="s">
        <v>20</v>
      </c>
      <c r="H993" s="35">
        <v>101</v>
      </c>
      <c r="I993" s="33" t="s">
        <v>21</v>
      </c>
      <c r="J993" s="42">
        <v>44000</v>
      </c>
      <c r="K993" s="33" t="s">
        <v>22</v>
      </c>
    </row>
    <row r="994" spans="1:11">
      <c r="A994" s="30" t="s">
        <v>2600</v>
      </c>
      <c r="B994" s="30" t="s">
        <v>2601</v>
      </c>
      <c r="C994" s="30" t="s">
        <v>178</v>
      </c>
      <c r="D994" s="30" t="s">
        <v>17</v>
      </c>
      <c r="E994" s="30" t="s">
        <v>18</v>
      </c>
      <c r="F994" s="30" t="s">
        <v>19</v>
      </c>
      <c r="G994" s="30" t="s">
        <v>20</v>
      </c>
      <c r="H994" s="32">
        <v>366</v>
      </c>
      <c r="I994" s="30" t="s">
        <v>21</v>
      </c>
      <c r="J994" s="41">
        <v>44105</v>
      </c>
      <c r="K994" s="30" t="s">
        <v>22</v>
      </c>
    </row>
    <row r="995" spans="1:11">
      <c r="A995" s="33" t="s">
        <v>2602</v>
      </c>
      <c r="B995" s="33" t="s">
        <v>2603</v>
      </c>
      <c r="C995" s="33" t="s">
        <v>2604</v>
      </c>
      <c r="D995" s="33" t="s">
        <v>17</v>
      </c>
      <c r="E995" s="33" t="s">
        <v>67</v>
      </c>
      <c r="F995" s="33" t="s">
        <v>68</v>
      </c>
      <c r="G995" s="33" t="s">
        <v>20</v>
      </c>
      <c r="H995" s="35">
        <v>24</v>
      </c>
      <c r="I995" s="33" t="s">
        <v>21</v>
      </c>
      <c r="J995" s="42">
        <v>43858</v>
      </c>
      <c r="K995" s="33" t="s">
        <v>22</v>
      </c>
    </row>
    <row r="996" spans="1:11">
      <c r="A996" s="30" t="s">
        <v>2605</v>
      </c>
      <c r="B996" s="30" t="s">
        <v>2606</v>
      </c>
      <c r="C996" s="30" t="s">
        <v>450</v>
      </c>
      <c r="D996" s="30" t="s">
        <v>17</v>
      </c>
      <c r="E996" s="30" t="s">
        <v>18</v>
      </c>
      <c r="F996" s="30" t="s">
        <v>19</v>
      </c>
      <c r="G996" s="30" t="s">
        <v>20</v>
      </c>
      <c r="H996" s="32">
        <v>86</v>
      </c>
      <c r="I996" s="30" t="s">
        <v>21</v>
      </c>
      <c r="J996" s="41">
        <v>44181</v>
      </c>
      <c r="K996" s="30" t="s">
        <v>22</v>
      </c>
    </row>
    <row r="997" spans="1:11">
      <c r="A997" s="33" t="s">
        <v>2607</v>
      </c>
      <c r="B997" s="33" t="s">
        <v>2608</v>
      </c>
      <c r="C997" s="33" t="s">
        <v>2609</v>
      </c>
      <c r="D997" s="33" t="s">
        <v>17</v>
      </c>
      <c r="E997" s="33" t="s">
        <v>31</v>
      </c>
      <c r="F997" s="33" t="s">
        <v>32</v>
      </c>
      <c r="G997" s="33" t="s">
        <v>106</v>
      </c>
      <c r="H997" s="35">
        <v>25</v>
      </c>
      <c r="I997" s="33" t="s">
        <v>21</v>
      </c>
      <c r="J997" s="42">
        <v>44179</v>
      </c>
      <c r="K997" s="33" t="s">
        <v>22</v>
      </c>
    </row>
    <row r="998" spans="1:11">
      <c r="A998" s="30" t="s">
        <v>2610</v>
      </c>
      <c r="B998" s="30" t="s">
        <v>2611</v>
      </c>
      <c r="C998" s="30" t="s">
        <v>2612</v>
      </c>
      <c r="D998" s="30" t="s">
        <v>17</v>
      </c>
      <c r="E998" s="30" t="s">
        <v>18</v>
      </c>
      <c r="F998" s="30" t="s">
        <v>19</v>
      </c>
      <c r="G998" s="30" t="s">
        <v>2613</v>
      </c>
      <c r="H998" s="32">
        <v>41</v>
      </c>
      <c r="I998" s="30" t="s">
        <v>51</v>
      </c>
      <c r="J998" s="41">
        <v>44102</v>
      </c>
      <c r="K998" s="30" t="s">
        <v>22</v>
      </c>
    </row>
    <row r="999" spans="1:11">
      <c r="A999" s="33" t="s">
        <v>2614</v>
      </c>
      <c r="B999" s="33" t="s">
        <v>2615</v>
      </c>
      <c r="C999" s="33" t="s">
        <v>318</v>
      </c>
      <c r="D999" s="33" t="s">
        <v>17</v>
      </c>
      <c r="E999" s="33" t="s">
        <v>31</v>
      </c>
      <c r="F999" s="33" t="s">
        <v>32</v>
      </c>
      <c r="G999" s="33" t="s">
        <v>20</v>
      </c>
      <c r="H999" s="35">
        <v>244</v>
      </c>
      <c r="I999" s="33" t="s">
        <v>21</v>
      </c>
      <c r="J999" s="42">
        <v>43880</v>
      </c>
      <c r="K999" s="33" t="s">
        <v>22</v>
      </c>
    </row>
    <row r="1000" spans="1:11">
      <c r="A1000" s="30" t="s">
        <v>2616</v>
      </c>
      <c r="B1000" s="30" t="s">
        <v>2617</v>
      </c>
      <c r="C1000" s="30" t="s">
        <v>2618</v>
      </c>
      <c r="D1000" s="30" t="s">
        <v>17</v>
      </c>
      <c r="E1000" s="30" t="s">
        <v>31</v>
      </c>
      <c r="F1000" s="30" t="s">
        <v>32</v>
      </c>
      <c r="G1000" s="30" t="s">
        <v>20</v>
      </c>
      <c r="H1000" s="32">
        <v>149</v>
      </c>
      <c r="I1000" s="30" t="s">
        <v>21</v>
      </c>
      <c r="J1000" s="41">
        <v>44041</v>
      </c>
      <c r="K1000" s="30" t="s">
        <v>22</v>
      </c>
    </row>
    <row r="1001" spans="1:11">
      <c r="A1001" s="33" t="s">
        <v>2619</v>
      </c>
      <c r="B1001" s="33" t="s">
        <v>2620</v>
      </c>
      <c r="C1001" s="33" t="s">
        <v>1003</v>
      </c>
      <c r="D1001" s="33" t="s">
        <v>17</v>
      </c>
      <c r="E1001" s="33" t="s">
        <v>31</v>
      </c>
      <c r="F1001" s="33" t="s">
        <v>32</v>
      </c>
      <c r="G1001" s="33" t="s">
        <v>20</v>
      </c>
      <c r="H1001" s="35">
        <v>166</v>
      </c>
      <c r="I1001" s="33" t="s">
        <v>21</v>
      </c>
      <c r="J1001" s="42">
        <v>44167</v>
      </c>
      <c r="K1001" s="33" t="s">
        <v>22</v>
      </c>
    </row>
    <row r="1002" spans="1:11">
      <c r="A1002" s="30" t="s">
        <v>2621</v>
      </c>
      <c r="B1002" s="30" t="s">
        <v>2622</v>
      </c>
      <c r="C1002" s="30" t="s">
        <v>1281</v>
      </c>
      <c r="D1002" s="30" t="s">
        <v>17</v>
      </c>
      <c r="E1002" s="30" t="s">
        <v>31</v>
      </c>
      <c r="F1002" s="30" t="s">
        <v>32</v>
      </c>
      <c r="G1002" s="30" t="s">
        <v>20</v>
      </c>
      <c r="H1002" s="32">
        <v>27</v>
      </c>
      <c r="I1002" s="30" t="s">
        <v>21</v>
      </c>
      <c r="J1002" s="41">
        <v>44152</v>
      </c>
      <c r="K1002" s="30" t="s">
        <v>22</v>
      </c>
    </row>
    <row r="1003" spans="1:11">
      <c r="A1003" s="33" t="s">
        <v>2623</v>
      </c>
      <c r="B1003" s="33" t="s">
        <v>2624</v>
      </c>
      <c r="C1003" s="33" t="s">
        <v>925</v>
      </c>
      <c r="D1003" s="33" t="s">
        <v>17</v>
      </c>
      <c r="E1003" s="33" t="s">
        <v>31</v>
      </c>
      <c r="F1003" s="33" t="s">
        <v>32</v>
      </c>
      <c r="G1003" s="33" t="s">
        <v>158</v>
      </c>
      <c r="H1003" s="35">
        <v>80</v>
      </c>
      <c r="I1003" s="33" t="s">
        <v>21</v>
      </c>
      <c r="J1003" s="42">
        <v>44127</v>
      </c>
      <c r="K1003" s="33" t="s">
        <v>22</v>
      </c>
    </row>
    <row r="1004" spans="1:11">
      <c r="A1004" s="30" t="s">
        <v>2625</v>
      </c>
      <c r="B1004" s="30" t="s">
        <v>2626</v>
      </c>
      <c r="C1004" s="30" t="s">
        <v>96</v>
      </c>
      <c r="D1004" s="30" t="s">
        <v>17</v>
      </c>
      <c r="E1004" s="30" t="s">
        <v>31</v>
      </c>
      <c r="F1004" s="30" t="s">
        <v>32</v>
      </c>
      <c r="G1004" s="30" t="s">
        <v>112</v>
      </c>
      <c r="H1004" s="32">
        <v>0</v>
      </c>
      <c r="I1004" s="30" t="s">
        <v>21</v>
      </c>
      <c r="J1004" s="41">
        <v>43997</v>
      </c>
      <c r="K1004" s="30" t="s">
        <v>22</v>
      </c>
    </row>
    <row r="1005" spans="1:11">
      <c r="A1005" s="33" t="s">
        <v>2627</v>
      </c>
      <c r="B1005" s="33" t="s">
        <v>2628</v>
      </c>
      <c r="C1005" s="33" t="s">
        <v>2629</v>
      </c>
      <c r="D1005" s="33" t="s">
        <v>17</v>
      </c>
      <c r="E1005" s="33" t="s">
        <v>31</v>
      </c>
      <c r="F1005" s="33" t="s">
        <v>32</v>
      </c>
      <c r="G1005" s="33" t="s">
        <v>20</v>
      </c>
      <c r="H1005" s="35">
        <v>79</v>
      </c>
      <c r="I1005" s="33" t="s">
        <v>21</v>
      </c>
      <c r="J1005" s="42">
        <v>44175</v>
      </c>
      <c r="K1005" s="33" t="s">
        <v>22</v>
      </c>
    </row>
    <row r="1006" spans="1:11">
      <c r="A1006" s="30" t="s">
        <v>2630</v>
      </c>
      <c r="B1006" s="30" t="s">
        <v>2631</v>
      </c>
      <c r="C1006" s="30" t="s">
        <v>969</v>
      </c>
      <c r="D1006" s="30" t="s">
        <v>17</v>
      </c>
      <c r="E1006" s="30" t="s">
        <v>26</v>
      </c>
      <c r="F1006" s="30" t="s">
        <v>27</v>
      </c>
      <c r="G1006" s="30" t="s">
        <v>106</v>
      </c>
      <c r="H1006" s="32">
        <v>47</v>
      </c>
      <c r="I1006" s="30" t="s">
        <v>21</v>
      </c>
      <c r="J1006" s="41">
        <v>44110</v>
      </c>
      <c r="K1006" s="30" t="s">
        <v>22</v>
      </c>
    </row>
    <row r="1007" spans="1:11">
      <c r="A1007" s="33" t="s">
        <v>2632</v>
      </c>
      <c r="B1007" s="33" t="s">
        <v>2633</v>
      </c>
      <c r="C1007" s="33" t="s">
        <v>2634</v>
      </c>
      <c r="D1007" s="33" t="s">
        <v>17</v>
      </c>
      <c r="E1007" s="33" t="s">
        <v>26</v>
      </c>
      <c r="F1007" s="33" t="s">
        <v>27</v>
      </c>
      <c r="G1007" s="33" t="s">
        <v>106</v>
      </c>
      <c r="H1007" s="35">
        <v>14</v>
      </c>
      <c r="I1007" s="33" t="s">
        <v>21</v>
      </c>
      <c r="J1007" s="42">
        <v>43866</v>
      </c>
      <c r="K1007" s="33" t="s">
        <v>22</v>
      </c>
    </row>
    <row r="1008" spans="1:11">
      <c r="A1008" s="30" t="s">
        <v>2635</v>
      </c>
      <c r="B1008" s="30" t="s">
        <v>2636</v>
      </c>
      <c r="C1008" s="30" t="s">
        <v>554</v>
      </c>
      <c r="D1008" s="30" t="s">
        <v>17</v>
      </c>
      <c r="E1008" s="30" t="s">
        <v>26</v>
      </c>
      <c r="F1008" s="30" t="s">
        <v>27</v>
      </c>
      <c r="G1008" s="30" t="s">
        <v>112</v>
      </c>
      <c r="H1008" s="32">
        <v>0</v>
      </c>
      <c r="I1008" s="30" t="s">
        <v>21</v>
      </c>
      <c r="J1008" s="41">
        <v>43874</v>
      </c>
      <c r="K1008" s="30" t="s">
        <v>22</v>
      </c>
    </row>
    <row r="1009" spans="1:11">
      <c r="A1009" s="33" t="s">
        <v>2637</v>
      </c>
      <c r="B1009" s="33" t="s">
        <v>2638</v>
      </c>
      <c r="C1009" s="33" t="s">
        <v>1658</v>
      </c>
      <c r="D1009" s="33" t="s">
        <v>17</v>
      </c>
      <c r="E1009" s="33" t="s">
        <v>45</v>
      </c>
      <c r="F1009" s="33" t="s">
        <v>46</v>
      </c>
      <c r="G1009" s="33" t="s">
        <v>20</v>
      </c>
      <c r="H1009" s="35">
        <v>444</v>
      </c>
      <c r="I1009" s="33" t="s">
        <v>21</v>
      </c>
      <c r="J1009" s="42">
        <v>44081</v>
      </c>
      <c r="K1009" s="33" t="s">
        <v>22</v>
      </c>
    </row>
    <row r="1010" spans="1:11">
      <c r="A1010" s="30" t="s">
        <v>2639</v>
      </c>
      <c r="B1010" s="30" t="s">
        <v>2640</v>
      </c>
      <c r="C1010" s="30" t="s">
        <v>2641</v>
      </c>
      <c r="D1010" s="30" t="s">
        <v>17</v>
      </c>
      <c r="E1010" s="30" t="s">
        <v>31</v>
      </c>
      <c r="F1010" s="30" t="s">
        <v>32</v>
      </c>
      <c r="G1010" s="30" t="s">
        <v>20</v>
      </c>
      <c r="H1010" s="32">
        <v>158</v>
      </c>
      <c r="I1010" s="30" t="s">
        <v>21</v>
      </c>
      <c r="J1010" s="41">
        <v>44117</v>
      </c>
      <c r="K1010" s="30" t="s">
        <v>22</v>
      </c>
    </row>
    <row r="1011" spans="1:11">
      <c r="A1011" s="33" t="s">
        <v>2642</v>
      </c>
      <c r="B1011" s="33" t="s">
        <v>2643</v>
      </c>
      <c r="C1011" s="33" t="s">
        <v>178</v>
      </c>
      <c r="D1011" s="33" t="s">
        <v>17</v>
      </c>
      <c r="E1011" s="33" t="s">
        <v>18</v>
      </c>
      <c r="F1011" s="33" t="s">
        <v>19</v>
      </c>
      <c r="G1011" s="33" t="s">
        <v>158</v>
      </c>
      <c r="H1011" s="35">
        <v>271</v>
      </c>
      <c r="I1011" s="33" t="s">
        <v>21</v>
      </c>
      <c r="J1011" s="42">
        <v>44053</v>
      </c>
      <c r="K1011" s="33" t="s">
        <v>22</v>
      </c>
    </row>
    <row r="1012" spans="1:11">
      <c r="A1012" s="30" t="s">
        <v>2644</v>
      </c>
      <c r="B1012" s="30" t="s">
        <v>2645</v>
      </c>
      <c r="C1012" s="30" t="s">
        <v>2646</v>
      </c>
      <c r="D1012" s="30" t="s">
        <v>17</v>
      </c>
      <c r="E1012" s="30" t="s">
        <v>212</v>
      </c>
      <c r="F1012" s="30" t="s">
        <v>213</v>
      </c>
      <c r="G1012" s="30" t="s">
        <v>158</v>
      </c>
      <c r="H1012" s="32">
        <v>100</v>
      </c>
      <c r="I1012" s="30" t="s">
        <v>51</v>
      </c>
      <c r="J1012" s="41">
        <v>43951</v>
      </c>
      <c r="K1012" s="30" t="s">
        <v>22</v>
      </c>
    </row>
    <row r="1013" spans="1:11">
      <c r="A1013" s="33" t="s">
        <v>2647</v>
      </c>
      <c r="B1013" s="33" t="s">
        <v>2648</v>
      </c>
      <c r="C1013" s="33" t="s">
        <v>136</v>
      </c>
      <c r="D1013" s="33" t="s">
        <v>17</v>
      </c>
      <c r="E1013" s="33" t="s">
        <v>31</v>
      </c>
      <c r="F1013" s="33" t="s">
        <v>32</v>
      </c>
      <c r="G1013" s="33" t="s">
        <v>20</v>
      </c>
      <c r="H1013" s="35">
        <v>26</v>
      </c>
      <c r="I1013" s="33" t="s">
        <v>21</v>
      </c>
      <c r="J1013" s="42">
        <v>43969</v>
      </c>
      <c r="K1013" s="33" t="s">
        <v>22</v>
      </c>
    </row>
    <row r="1014" spans="1:11">
      <c r="A1014" s="30" t="s">
        <v>2649</v>
      </c>
      <c r="B1014" s="30" t="s">
        <v>2650</v>
      </c>
      <c r="C1014" s="30" t="s">
        <v>93</v>
      </c>
      <c r="D1014" s="30" t="s">
        <v>17</v>
      </c>
      <c r="E1014" s="30" t="s">
        <v>18</v>
      </c>
      <c r="F1014" s="30" t="s">
        <v>19</v>
      </c>
      <c r="G1014" s="30" t="s">
        <v>20</v>
      </c>
      <c r="H1014" s="32">
        <v>475</v>
      </c>
      <c r="I1014" s="30" t="s">
        <v>21</v>
      </c>
      <c r="J1014" s="41">
        <v>43845</v>
      </c>
      <c r="K1014" s="30" t="s">
        <v>22</v>
      </c>
    </row>
    <row r="1015" spans="1:11">
      <c r="A1015" s="33" t="s">
        <v>2651</v>
      </c>
      <c r="B1015" s="33" t="s">
        <v>2652</v>
      </c>
      <c r="C1015" s="33" t="s">
        <v>109</v>
      </c>
      <c r="D1015" s="33" t="s">
        <v>17</v>
      </c>
      <c r="E1015" s="33" t="s">
        <v>26</v>
      </c>
      <c r="F1015" s="33" t="s">
        <v>27</v>
      </c>
      <c r="G1015" s="33" t="s">
        <v>106</v>
      </c>
      <c r="H1015" s="35">
        <v>25</v>
      </c>
      <c r="I1015" s="33" t="s">
        <v>21</v>
      </c>
      <c r="J1015" s="42">
        <v>44081</v>
      </c>
      <c r="K1015" s="33" t="s">
        <v>22</v>
      </c>
    </row>
    <row r="1016" spans="1:11">
      <c r="A1016" s="30" t="s">
        <v>2653</v>
      </c>
      <c r="B1016" s="30" t="s">
        <v>2654</v>
      </c>
      <c r="C1016" s="30" t="s">
        <v>2655</v>
      </c>
      <c r="D1016" s="30" t="s">
        <v>17</v>
      </c>
      <c r="E1016" s="30" t="s">
        <v>18</v>
      </c>
      <c r="F1016" s="30" t="s">
        <v>19</v>
      </c>
      <c r="G1016" s="30" t="s">
        <v>106</v>
      </c>
      <c r="H1016" s="32">
        <v>863</v>
      </c>
      <c r="I1016" s="30" t="s">
        <v>21</v>
      </c>
      <c r="J1016" s="41">
        <v>43952</v>
      </c>
      <c r="K1016" s="30" t="s">
        <v>22</v>
      </c>
    </row>
    <row r="1017" spans="1:11">
      <c r="A1017" s="33" t="s">
        <v>2656</v>
      </c>
      <c r="B1017" s="33" t="s">
        <v>2657</v>
      </c>
      <c r="C1017" s="33" t="s">
        <v>2006</v>
      </c>
      <c r="D1017" s="33" t="s">
        <v>17</v>
      </c>
      <c r="E1017" s="33" t="s">
        <v>26</v>
      </c>
      <c r="F1017" s="33" t="s">
        <v>27</v>
      </c>
      <c r="G1017" s="33" t="s">
        <v>20</v>
      </c>
      <c r="H1017" s="35">
        <v>8</v>
      </c>
      <c r="I1017" s="33" t="s">
        <v>21</v>
      </c>
      <c r="J1017" s="42">
        <v>44104</v>
      </c>
      <c r="K1017" s="33" t="s">
        <v>22</v>
      </c>
    </row>
    <row r="1018" spans="1:11">
      <c r="A1018" s="30" t="s">
        <v>2658</v>
      </c>
      <c r="B1018" s="30" t="s">
        <v>2659</v>
      </c>
      <c r="C1018" s="30" t="s">
        <v>2660</v>
      </c>
      <c r="D1018" s="30" t="s">
        <v>17</v>
      </c>
      <c r="E1018" s="30" t="s">
        <v>26</v>
      </c>
      <c r="F1018" s="30" t="s">
        <v>27</v>
      </c>
      <c r="G1018" s="30" t="s">
        <v>20</v>
      </c>
      <c r="H1018" s="32">
        <v>83</v>
      </c>
      <c r="I1018" s="30" t="s">
        <v>21</v>
      </c>
      <c r="J1018" s="41">
        <v>43850</v>
      </c>
      <c r="K1018" s="30" t="s">
        <v>22</v>
      </c>
    </row>
    <row r="1019" spans="1:11">
      <c r="A1019" s="33" t="s">
        <v>2661</v>
      </c>
      <c r="B1019" s="33" t="s">
        <v>2662</v>
      </c>
      <c r="C1019" s="33" t="s">
        <v>2663</v>
      </c>
      <c r="D1019" s="33" t="s">
        <v>17</v>
      </c>
      <c r="E1019" s="33" t="s">
        <v>26</v>
      </c>
      <c r="F1019" s="33" t="s">
        <v>27</v>
      </c>
      <c r="G1019" s="33" t="s">
        <v>106</v>
      </c>
      <c r="H1019" s="35">
        <v>56</v>
      </c>
      <c r="I1019" s="33" t="s">
        <v>21</v>
      </c>
      <c r="J1019" s="42">
        <v>44032</v>
      </c>
      <c r="K1019" s="33" t="s">
        <v>22</v>
      </c>
    </row>
    <row r="1020" spans="1:11">
      <c r="A1020" s="30" t="s">
        <v>2664</v>
      </c>
      <c r="B1020" s="30" t="s">
        <v>2665</v>
      </c>
      <c r="C1020" s="30" t="s">
        <v>178</v>
      </c>
      <c r="D1020" s="30" t="s">
        <v>17</v>
      </c>
      <c r="E1020" s="30" t="s">
        <v>26</v>
      </c>
      <c r="F1020" s="30" t="s">
        <v>27</v>
      </c>
      <c r="G1020" s="30" t="s">
        <v>20</v>
      </c>
      <c r="H1020" s="32">
        <v>225</v>
      </c>
      <c r="I1020" s="30" t="s">
        <v>21</v>
      </c>
      <c r="J1020" s="41">
        <v>44146</v>
      </c>
      <c r="K1020" s="30" t="s">
        <v>22</v>
      </c>
    </row>
    <row r="1021" spans="1:11">
      <c r="A1021" s="33" t="s">
        <v>2666</v>
      </c>
      <c r="B1021" s="33" t="s">
        <v>2667</v>
      </c>
      <c r="C1021" s="33" t="s">
        <v>157</v>
      </c>
      <c r="D1021" s="33" t="s">
        <v>17</v>
      </c>
      <c r="E1021" s="33" t="s">
        <v>31</v>
      </c>
      <c r="F1021" s="33" t="s">
        <v>32</v>
      </c>
      <c r="G1021" s="33" t="s">
        <v>112</v>
      </c>
      <c r="H1021" s="35">
        <v>0</v>
      </c>
      <c r="I1021" s="33" t="s">
        <v>21</v>
      </c>
      <c r="J1021" s="42">
        <v>44165</v>
      </c>
      <c r="K1021" s="33" t="s">
        <v>22</v>
      </c>
    </row>
    <row r="1022" spans="1:11">
      <c r="A1022" s="30" t="s">
        <v>2668</v>
      </c>
      <c r="B1022" s="30" t="s">
        <v>2669</v>
      </c>
      <c r="C1022" s="30" t="s">
        <v>969</v>
      </c>
      <c r="D1022" s="30" t="s">
        <v>17</v>
      </c>
      <c r="E1022" s="30" t="s">
        <v>26</v>
      </c>
      <c r="F1022" s="30" t="s">
        <v>27</v>
      </c>
      <c r="G1022" s="30" t="s">
        <v>106</v>
      </c>
      <c r="H1022" s="32">
        <v>59</v>
      </c>
      <c r="I1022" s="30" t="s">
        <v>21</v>
      </c>
      <c r="J1022" s="41">
        <v>44103</v>
      </c>
      <c r="K1022" s="30" t="s">
        <v>22</v>
      </c>
    </row>
    <row r="1023" spans="1:11">
      <c r="A1023" s="33" t="s">
        <v>2670</v>
      </c>
      <c r="B1023" s="33" t="s">
        <v>2671</v>
      </c>
      <c r="C1023" s="33" t="s">
        <v>399</v>
      </c>
      <c r="D1023" s="33" t="s">
        <v>17</v>
      </c>
      <c r="E1023" s="33" t="s">
        <v>26</v>
      </c>
      <c r="F1023" s="33" t="s">
        <v>27</v>
      </c>
      <c r="G1023" s="33" t="s">
        <v>20</v>
      </c>
      <c r="H1023" s="35">
        <v>32</v>
      </c>
      <c r="I1023" s="33" t="s">
        <v>21</v>
      </c>
      <c r="J1023" s="42">
        <v>43993</v>
      </c>
      <c r="K1023" s="33" t="s">
        <v>22</v>
      </c>
    </row>
    <row r="1024" spans="1:11">
      <c r="A1024" s="30" t="s">
        <v>2672</v>
      </c>
      <c r="B1024" s="30" t="s">
        <v>2673</v>
      </c>
      <c r="C1024" s="30" t="s">
        <v>206</v>
      </c>
      <c r="D1024" s="30" t="s">
        <v>17</v>
      </c>
      <c r="E1024" s="30" t="s">
        <v>18</v>
      </c>
      <c r="F1024" s="30" t="s">
        <v>19</v>
      </c>
      <c r="G1024" s="30" t="s">
        <v>20</v>
      </c>
      <c r="H1024" s="32">
        <v>234</v>
      </c>
      <c r="I1024" s="30" t="s">
        <v>21</v>
      </c>
      <c r="J1024" s="41">
        <v>43945</v>
      </c>
      <c r="K1024" s="30" t="s">
        <v>22</v>
      </c>
    </row>
    <row r="1025" spans="1:11">
      <c r="A1025" s="33" t="s">
        <v>2674</v>
      </c>
      <c r="B1025" s="33" t="s">
        <v>2675</v>
      </c>
      <c r="C1025" s="33" t="s">
        <v>899</v>
      </c>
      <c r="D1025" s="33" t="s">
        <v>17</v>
      </c>
      <c r="E1025" s="33" t="s">
        <v>26</v>
      </c>
      <c r="F1025" s="33" t="s">
        <v>27</v>
      </c>
      <c r="G1025" s="33" t="s">
        <v>20</v>
      </c>
      <c r="H1025" s="35">
        <v>28</v>
      </c>
      <c r="I1025" s="33" t="s">
        <v>21</v>
      </c>
      <c r="J1025" s="42">
        <v>44027</v>
      </c>
      <c r="K1025" s="33" t="s">
        <v>22</v>
      </c>
    </row>
    <row r="1026" spans="1:11">
      <c r="A1026" s="30" t="s">
        <v>2676</v>
      </c>
      <c r="B1026" s="30" t="s">
        <v>2677</v>
      </c>
      <c r="C1026" s="30" t="s">
        <v>2678</v>
      </c>
      <c r="D1026" s="30" t="s">
        <v>17</v>
      </c>
      <c r="E1026" s="30" t="s">
        <v>18</v>
      </c>
      <c r="F1026" s="30" t="s">
        <v>19</v>
      </c>
      <c r="G1026" s="30" t="s">
        <v>20</v>
      </c>
      <c r="H1026" s="32">
        <v>145</v>
      </c>
      <c r="I1026" s="30" t="s">
        <v>21</v>
      </c>
      <c r="J1026" s="41">
        <v>44193</v>
      </c>
      <c r="K1026" s="30" t="s">
        <v>22</v>
      </c>
    </row>
    <row r="1027" spans="1:11">
      <c r="A1027" s="33" t="s">
        <v>2679</v>
      </c>
      <c r="B1027" s="33" t="s">
        <v>2680</v>
      </c>
      <c r="C1027" s="33" t="s">
        <v>2681</v>
      </c>
      <c r="D1027" s="33" t="s">
        <v>17</v>
      </c>
      <c r="E1027" s="33" t="s">
        <v>31</v>
      </c>
      <c r="F1027" s="33" t="s">
        <v>32</v>
      </c>
      <c r="G1027" s="33" t="s">
        <v>20</v>
      </c>
      <c r="H1027" s="35">
        <v>316</v>
      </c>
      <c r="I1027" s="33" t="s">
        <v>21</v>
      </c>
      <c r="J1027" s="42">
        <v>44144</v>
      </c>
      <c r="K1027" s="33" t="s">
        <v>22</v>
      </c>
    </row>
    <row r="1028" spans="1:11">
      <c r="A1028" s="30" t="s">
        <v>2682</v>
      </c>
      <c r="B1028" s="30" t="s">
        <v>2683</v>
      </c>
      <c r="C1028" s="30" t="s">
        <v>2684</v>
      </c>
      <c r="D1028" s="30" t="s">
        <v>17</v>
      </c>
      <c r="E1028" s="30" t="s">
        <v>31</v>
      </c>
      <c r="F1028" s="30" t="s">
        <v>32</v>
      </c>
      <c r="G1028" s="30" t="s">
        <v>106</v>
      </c>
      <c r="H1028" s="32">
        <v>28</v>
      </c>
      <c r="I1028" s="30" t="s">
        <v>21</v>
      </c>
      <c r="J1028" s="41">
        <v>44054</v>
      </c>
      <c r="K1028" s="30" t="s">
        <v>22</v>
      </c>
    </row>
    <row r="1029" spans="1:11">
      <c r="A1029" s="33" t="s">
        <v>2685</v>
      </c>
      <c r="B1029" s="33" t="s">
        <v>2686</v>
      </c>
      <c r="C1029" s="33" t="s">
        <v>2687</v>
      </c>
      <c r="D1029" s="33" t="s">
        <v>17</v>
      </c>
      <c r="E1029" s="33" t="s">
        <v>212</v>
      </c>
      <c r="F1029" s="33" t="s">
        <v>213</v>
      </c>
      <c r="G1029" s="33" t="s">
        <v>20</v>
      </c>
      <c r="H1029" s="35">
        <v>276</v>
      </c>
      <c r="I1029" s="33" t="s">
        <v>21</v>
      </c>
      <c r="J1029" s="42">
        <v>44160</v>
      </c>
      <c r="K1029" s="33" t="s">
        <v>22</v>
      </c>
    </row>
    <row r="1030" spans="1:11">
      <c r="A1030" s="30" t="s">
        <v>2688</v>
      </c>
      <c r="B1030" s="30" t="s">
        <v>2689</v>
      </c>
      <c r="C1030" s="30" t="s">
        <v>684</v>
      </c>
      <c r="D1030" s="30" t="s">
        <v>17</v>
      </c>
      <c r="E1030" s="30" t="s">
        <v>26</v>
      </c>
      <c r="F1030" s="30" t="s">
        <v>27</v>
      </c>
      <c r="G1030" s="30" t="s">
        <v>20</v>
      </c>
      <c r="H1030" s="32">
        <v>8</v>
      </c>
      <c r="I1030" s="30" t="s">
        <v>21</v>
      </c>
      <c r="J1030" s="41">
        <v>44181</v>
      </c>
      <c r="K1030" s="30" t="s">
        <v>22</v>
      </c>
    </row>
    <row r="1031" spans="1:11">
      <c r="A1031" s="33" t="s">
        <v>2690</v>
      </c>
      <c r="B1031" s="33" t="s">
        <v>2691</v>
      </c>
      <c r="C1031" s="33" t="s">
        <v>2692</v>
      </c>
      <c r="D1031" s="33" t="s">
        <v>17</v>
      </c>
      <c r="E1031" s="33" t="s">
        <v>26</v>
      </c>
      <c r="F1031" s="33" t="s">
        <v>27</v>
      </c>
      <c r="G1031" s="33" t="s">
        <v>20</v>
      </c>
      <c r="H1031" s="35">
        <v>27</v>
      </c>
      <c r="I1031" s="33" t="s">
        <v>21</v>
      </c>
      <c r="J1031" s="42">
        <v>44172</v>
      </c>
      <c r="K1031" s="33" t="s">
        <v>22</v>
      </c>
    </row>
    <row r="1032" spans="1:11">
      <c r="A1032" s="30" t="s">
        <v>2693</v>
      </c>
      <c r="B1032" s="30" t="s">
        <v>2694</v>
      </c>
      <c r="C1032" s="30" t="s">
        <v>2695</v>
      </c>
      <c r="D1032" s="30" t="s">
        <v>17</v>
      </c>
      <c r="E1032" s="30" t="s">
        <v>31</v>
      </c>
      <c r="F1032" s="30" t="s">
        <v>32</v>
      </c>
      <c r="G1032" s="30" t="s">
        <v>106</v>
      </c>
      <c r="H1032" s="32">
        <v>115</v>
      </c>
      <c r="I1032" s="30" t="s">
        <v>21</v>
      </c>
      <c r="J1032" s="41">
        <v>44056</v>
      </c>
      <c r="K1032" s="30" t="s">
        <v>22</v>
      </c>
    </row>
    <row r="1033" spans="1:11">
      <c r="A1033" s="33" t="s">
        <v>2696</v>
      </c>
      <c r="B1033" s="33" t="s">
        <v>2697</v>
      </c>
      <c r="C1033" s="33" t="s">
        <v>2698</v>
      </c>
      <c r="D1033" s="33" t="s">
        <v>17</v>
      </c>
      <c r="E1033" s="33" t="s">
        <v>26</v>
      </c>
      <c r="F1033" s="33" t="s">
        <v>27</v>
      </c>
      <c r="G1033" s="33" t="s">
        <v>20</v>
      </c>
      <c r="H1033" s="35">
        <v>21</v>
      </c>
      <c r="I1033" s="33" t="s">
        <v>21</v>
      </c>
      <c r="J1033" s="42">
        <v>44124</v>
      </c>
      <c r="K1033" s="33" t="s">
        <v>22</v>
      </c>
    </row>
    <row r="1034" spans="1:11">
      <c r="A1034" s="30" t="s">
        <v>2699</v>
      </c>
      <c r="B1034" s="30" t="s">
        <v>2700</v>
      </c>
      <c r="C1034" s="30" t="s">
        <v>1237</v>
      </c>
      <c r="D1034" s="30" t="s">
        <v>17</v>
      </c>
      <c r="E1034" s="30" t="s">
        <v>26</v>
      </c>
      <c r="F1034" s="30" t="s">
        <v>27</v>
      </c>
      <c r="G1034" s="30" t="s">
        <v>20</v>
      </c>
      <c r="H1034" s="32">
        <v>40</v>
      </c>
      <c r="I1034" s="30" t="s">
        <v>21</v>
      </c>
      <c r="J1034" s="41">
        <v>44106</v>
      </c>
      <c r="K1034" s="30" t="s">
        <v>22</v>
      </c>
    </row>
    <row r="1035" spans="1:11">
      <c r="A1035" s="33" t="s">
        <v>2701</v>
      </c>
      <c r="B1035" s="33" t="s">
        <v>2702</v>
      </c>
      <c r="C1035" s="33" t="s">
        <v>2703</v>
      </c>
      <c r="D1035" s="33" t="s">
        <v>17</v>
      </c>
      <c r="E1035" s="33" t="s">
        <v>67</v>
      </c>
      <c r="F1035" s="33" t="s">
        <v>68</v>
      </c>
      <c r="G1035" s="33" t="s">
        <v>20</v>
      </c>
      <c r="H1035" s="35">
        <v>12</v>
      </c>
      <c r="I1035" s="33" t="s">
        <v>21</v>
      </c>
      <c r="J1035" s="42">
        <v>44095</v>
      </c>
      <c r="K1035" s="33" t="s">
        <v>22</v>
      </c>
    </row>
    <row r="1036" spans="1:11">
      <c r="A1036" s="30" t="s">
        <v>2704</v>
      </c>
      <c r="B1036" s="30" t="s">
        <v>2705</v>
      </c>
      <c r="C1036" s="30" t="s">
        <v>2706</v>
      </c>
      <c r="D1036" s="30" t="s">
        <v>17</v>
      </c>
      <c r="E1036" s="30" t="s">
        <v>26</v>
      </c>
      <c r="F1036" s="30" t="s">
        <v>27</v>
      </c>
      <c r="G1036" s="30" t="s">
        <v>20</v>
      </c>
      <c r="H1036" s="32">
        <v>20</v>
      </c>
      <c r="I1036" s="30" t="s">
        <v>21</v>
      </c>
      <c r="J1036" s="41">
        <v>44187</v>
      </c>
      <c r="K1036" s="30" t="s">
        <v>22</v>
      </c>
    </row>
    <row r="1037" spans="1:11">
      <c r="A1037" s="33" t="s">
        <v>2707</v>
      </c>
      <c r="B1037" s="33" t="s">
        <v>2708</v>
      </c>
      <c r="C1037" s="33" t="s">
        <v>2709</v>
      </c>
      <c r="D1037" s="33" t="s">
        <v>17</v>
      </c>
      <c r="E1037" s="33" t="s">
        <v>18</v>
      </c>
      <c r="F1037" s="33" t="s">
        <v>19</v>
      </c>
      <c r="G1037" s="33" t="s">
        <v>20</v>
      </c>
      <c r="H1037" s="35">
        <v>25000</v>
      </c>
      <c r="I1037" s="33" t="s">
        <v>21</v>
      </c>
      <c r="J1037" s="42">
        <v>43941</v>
      </c>
      <c r="K1037" s="33" t="s">
        <v>22</v>
      </c>
    </row>
    <row r="1038" spans="1:11">
      <c r="A1038" s="30" t="s">
        <v>2710</v>
      </c>
      <c r="B1038" s="30" t="s">
        <v>2711</v>
      </c>
      <c r="C1038" s="30" t="s">
        <v>109</v>
      </c>
      <c r="D1038" s="30" t="s">
        <v>17</v>
      </c>
      <c r="E1038" s="30" t="s">
        <v>18</v>
      </c>
      <c r="F1038" s="30" t="s">
        <v>19</v>
      </c>
      <c r="G1038" s="30" t="s">
        <v>20</v>
      </c>
      <c r="H1038" s="32">
        <v>381</v>
      </c>
      <c r="I1038" s="30" t="s">
        <v>21</v>
      </c>
      <c r="J1038" s="41">
        <v>43859</v>
      </c>
      <c r="K1038" s="30" t="s">
        <v>22</v>
      </c>
    </row>
    <row r="1039" spans="1:11">
      <c r="A1039" s="33" t="s">
        <v>2712</v>
      </c>
      <c r="B1039" s="33" t="s">
        <v>2713</v>
      </c>
      <c r="C1039" s="33" t="s">
        <v>2714</v>
      </c>
      <c r="D1039" s="33" t="s">
        <v>17</v>
      </c>
      <c r="E1039" s="33" t="s">
        <v>18</v>
      </c>
      <c r="F1039" s="33" t="s">
        <v>19</v>
      </c>
      <c r="G1039" s="33" t="s">
        <v>20</v>
      </c>
      <c r="H1039" s="35">
        <v>370</v>
      </c>
      <c r="I1039" s="33" t="s">
        <v>21</v>
      </c>
      <c r="J1039" s="42">
        <v>44194</v>
      </c>
      <c r="K1039" s="33" t="s">
        <v>22</v>
      </c>
    </row>
    <row r="1040" spans="1:11">
      <c r="A1040" s="30" t="s">
        <v>2715</v>
      </c>
      <c r="B1040" s="30" t="s">
        <v>2716</v>
      </c>
      <c r="C1040" s="30" t="s">
        <v>733</v>
      </c>
      <c r="D1040" s="30" t="s">
        <v>17</v>
      </c>
      <c r="E1040" s="30" t="s">
        <v>31</v>
      </c>
      <c r="F1040" s="30" t="s">
        <v>32</v>
      </c>
      <c r="G1040" s="30" t="s">
        <v>112</v>
      </c>
      <c r="H1040" s="32">
        <v>0</v>
      </c>
      <c r="I1040" s="30" t="s">
        <v>21</v>
      </c>
      <c r="J1040" s="41">
        <v>44119</v>
      </c>
      <c r="K1040" s="30" t="s">
        <v>22</v>
      </c>
    </row>
    <row r="1041" spans="1:11">
      <c r="A1041" s="33" t="s">
        <v>2717</v>
      </c>
      <c r="B1041" s="33" t="s">
        <v>2718</v>
      </c>
      <c r="C1041" s="33" t="s">
        <v>2719</v>
      </c>
      <c r="D1041" s="33" t="s">
        <v>17</v>
      </c>
      <c r="E1041" s="33" t="s">
        <v>18</v>
      </c>
      <c r="F1041" s="33" t="s">
        <v>19</v>
      </c>
      <c r="G1041" s="33" t="s">
        <v>106</v>
      </c>
      <c r="H1041" s="35">
        <v>459</v>
      </c>
      <c r="I1041" s="33" t="s">
        <v>21</v>
      </c>
      <c r="J1041" s="42">
        <v>44104</v>
      </c>
      <c r="K1041" s="33" t="s">
        <v>22</v>
      </c>
    </row>
    <row r="1042" spans="1:11">
      <c r="A1042" s="30" t="s">
        <v>2720</v>
      </c>
      <c r="B1042" s="30" t="s">
        <v>2721</v>
      </c>
      <c r="C1042" s="30" t="s">
        <v>2722</v>
      </c>
      <c r="D1042" s="30" t="s">
        <v>17</v>
      </c>
      <c r="E1042" s="30" t="s">
        <v>31</v>
      </c>
      <c r="F1042" s="30" t="s">
        <v>32</v>
      </c>
      <c r="G1042" s="30" t="s">
        <v>20</v>
      </c>
      <c r="H1042" s="32">
        <v>27</v>
      </c>
      <c r="I1042" s="30" t="s">
        <v>21</v>
      </c>
      <c r="J1042" s="41">
        <v>43984</v>
      </c>
      <c r="K1042" s="30" t="s">
        <v>22</v>
      </c>
    </row>
    <row r="1043" spans="1:11">
      <c r="A1043" s="33" t="s">
        <v>2723</v>
      </c>
      <c r="B1043" s="33" t="s">
        <v>2724</v>
      </c>
      <c r="C1043" s="33" t="s">
        <v>2725</v>
      </c>
      <c r="D1043" s="33" t="s">
        <v>17</v>
      </c>
      <c r="E1043" s="33" t="s">
        <v>31</v>
      </c>
      <c r="F1043" s="33" t="s">
        <v>32</v>
      </c>
      <c r="G1043" s="33" t="s">
        <v>20</v>
      </c>
      <c r="H1043" s="35">
        <v>60</v>
      </c>
      <c r="I1043" s="33" t="s">
        <v>21</v>
      </c>
      <c r="J1043" s="42">
        <v>44078</v>
      </c>
      <c r="K1043" s="33" t="s">
        <v>22</v>
      </c>
    </row>
    <row r="1044" spans="1:11">
      <c r="A1044" s="30" t="s">
        <v>2726</v>
      </c>
      <c r="B1044" s="30" t="s">
        <v>2727</v>
      </c>
      <c r="C1044" s="30" t="s">
        <v>2728</v>
      </c>
      <c r="D1044" s="30" t="s">
        <v>17</v>
      </c>
      <c r="E1044" s="30" t="s">
        <v>67</v>
      </c>
      <c r="F1044" s="30" t="s">
        <v>68</v>
      </c>
      <c r="G1044" s="30" t="s">
        <v>20</v>
      </c>
      <c r="H1044" s="32">
        <v>230</v>
      </c>
      <c r="I1044" s="30" t="s">
        <v>21</v>
      </c>
      <c r="J1044" s="41">
        <v>43941</v>
      </c>
      <c r="K1044" s="30" t="s">
        <v>22</v>
      </c>
    </row>
    <row r="1045" spans="1:11">
      <c r="A1045" s="33" t="s">
        <v>2729</v>
      </c>
      <c r="B1045" s="33" t="s">
        <v>2730</v>
      </c>
      <c r="C1045" s="33" t="s">
        <v>2006</v>
      </c>
      <c r="D1045" s="33" t="s">
        <v>17</v>
      </c>
      <c r="E1045" s="33" t="s">
        <v>26</v>
      </c>
      <c r="F1045" s="33" t="s">
        <v>27</v>
      </c>
      <c r="G1045" s="33" t="s">
        <v>20</v>
      </c>
      <c r="H1045" s="35">
        <v>24</v>
      </c>
      <c r="I1045" s="33" t="s">
        <v>21</v>
      </c>
      <c r="J1045" s="42">
        <v>43849</v>
      </c>
      <c r="K1045" s="33" t="s">
        <v>22</v>
      </c>
    </row>
    <row r="1046" spans="1:11">
      <c r="A1046" s="30" t="s">
        <v>2731</v>
      </c>
      <c r="B1046" s="30" t="s">
        <v>2732</v>
      </c>
      <c r="C1046" s="30" t="s">
        <v>2733</v>
      </c>
      <c r="D1046" s="30" t="s">
        <v>17</v>
      </c>
      <c r="E1046" s="30" t="s">
        <v>31</v>
      </c>
      <c r="F1046" s="30" t="s">
        <v>32</v>
      </c>
      <c r="G1046" s="30" t="s">
        <v>106</v>
      </c>
      <c r="H1046" s="32">
        <v>36</v>
      </c>
      <c r="I1046" s="30" t="s">
        <v>21</v>
      </c>
      <c r="J1046" s="41">
        <v>44023</v>
      </c>
      <c r="K1046" s="30" t="s">
        <v>22</v>
      </c>
    </row>
    <row r="1047" spans="1:11">
      <c r="A1047" s="33" t="s">
        <v>2734</v>
      </c>
      <c r="B1047" s="33" t="s">
        <v>2735</v>
      </c>
      <c r="C1047" s="33" t="s">
        <v>2736</v>
      </c>
      <c r="D1047" s="33" t="s">
        <v>17</v>
      </c>
      <c r="E1047" s="33" t="s">
        <v>26</v>
      </c>
      <c r="F1047" s="33" t="s">
        <v>27</v>
      </c>
      <c r="G1047" s="33" t="s">
        <v>20</v>
      </c>
      <c r="H1047" s="35">
        <v>63</v>
      </c>
      <c r="I1047" s="33" t="s">
        <v>21</v>
      </c>
      <c r="J1047" s="42">
        <v>43844</v>
      </c>
      <c r="K1047" s="33" t="s">
        <v>22</v>
      </c>
    </row>
    <row r="1048" spans="1:11">
      <c r="A1048" s="30" t="s">
        <v>2737</v>
      </c>
      <c r="B1048" s="30" t="s">
        <v>2738</v>
      </c>
      <c r="C1048" s="30" t="s">
        <v>2739</v>
      </c>
      <c r="D1048" s="30" t="s">
        <v>17</v>
      </c>
      <c r="E1048" s="30" t="s">
        <v>26</v>
      </c>
      <c r="F1048" s="30" t="s">
        <v>27</v>
      </c>
      <c r="G1048" s="30" t="s">
        <v>20</v>
      </c>
      <c r="H1048" s="32">
        <v>31</v>
      </c>
      <c r="I1048" s="30" t="s">
        <v>21</v>
      </c>
      <c r="J1048" s="41">
        <v>43966</v>
      </c>
      <c r="K1048" s="30" t="s">
        <v>22</v>
      </c>
    </row>
    <row r="1049" spans="1:11">
      <c r="A1049" s="33" t="s">
        <v>2740</v>
      </c>
      <c r="B1049" s="33" t="s">
        <v>2741</v>
      </c>
      <c r="C1049" s="33" t="s">
        <v>102</v>
      </c>
      <c r="D1049" s="33" t="s">
        <v>17</v>
      </c>
      <c r="E1049" s="33" t="s">
        <v>26</v>
      </c>
      <c r="F1049" s="33" t="s">
        <v>27</v>
      </c>
      <c r="G1049" s="33" t="s">
        <v>158</v>
      </c>
      <c r="H1049" s="35">
        <v>158</v>
      </c>
      <c r="I1049" s="33" t="s">
        <v>21</v>
      </c>
      <c r="J1049" s="42">
        <v>44145</v>
      </c>
      <c r="K1049" s="33" t="s">
        <v>22</v>
      </c>
    </row>
    <row r="1050" spans="1:11">
      <c r="A1050" s="30" t="s">
        <v>2742</v>
      </c>
      <c r="B1050" s="30" t="s">
        <v>2743</v>
      </c>
      <c r="C1050" s="30" t="s">
        <v>2012</v>
      </c>
      <c r="D1050" s="30" t="s">
        <v>17</v>
      </c>
      <c r="E1050" s="30" t="s">
        <v>31</v>
      </c>
      <c r="F1050" s="30" t="s">
        <v>32</v>
      </c>
      <c r="G1050" s="30" t="s">
        <v>20</v>
      </c>
      <c r="H1050" s="32">
        <v>65</v>
      </c>
      <c r="I1050" s="30" t="s">
        <v>21</v>
      </c>
      <c r="J1050" s="41">
        <v>44174</v>
      </c>
      <c r="K1050" s="30" t="s">
        <v>22</v>
      </c>
    </row>
    <row r="1051" spans="1:11">
      <c r="A1051" s="33" t="s">
        <v>2744</v>
      </c>
      <c r="B1051" s="33" t="s">
        <v>2745</v>
      </c>
      <c r="C1051" s="33" t="s">
        <v>44</v>
      </c>
      <c r="D1051" s="33" t="s">
        <v>17</v>
      </c>
      <c r="E1051" s="33" t="s">
        <v>26</v>
      </c>
      <c r="F1051" s="33" t="s">
        <v>27</v>
      </c>
      <c r="G1051" s="33" t="s">
        <v>20</v>
      </c>
      <c r="H1051" s="35">
        <v>90</v>
      </c>
      <c r="I1051" s="33" t="s">
        <v>21</v>
      </c>
      <c r="J1051" s="42">
        <v>44075</v>
      </c>
      <c r="K1051" s="33" t="s">
        <v>22</v>
      </c>
    </row>
    <row r="1052" spans="1:11">
      <c r="A1052" s="30" t="s">
        <v>2746</v>
      </c>
      <c r="B1052" s="30" t="s">
        <v>2747</v>
      </c>
      <c r="C1052" s="30" t="s">
        <v>2748</v>
      </c>
      <c r="D1052" s="30" t="s">
        <v>17</v>
      </c>
      <c r="E1052" s="30" t="s">
        <v>31</v>
      </c>
      <c r="F1052" s="30" t="s">
        <v>32</v>
      </c>
      <c r="G1052" s="30" t="s">
        <v>158</v>
      </c>
      <c r="H1052" s="32">
        <v>100</v>
      </c>
      <c r="I1052" s="30" t="s">
        <v>21</v>
      </c>
      <c r="J1052" s="41">
        <v>44088</v>
      </c>
      <c r="K1052" s="30" t="s">
        <v>22</v>
      </c>
    </row>
    <row r="1053" spans="1:11">
      <c r="A1053" s="33" t="s">
        <v>2749</v>
      </c>
      <c r="B1053" s="33" t="s">
        <v>2750</v>
      </c>
      <c r="C1053" s="33" t="s">
        <v>2487</v>
      </c>
      <c r="D1053" s="33" t="s">
        <v>17</v>
      </c>
      <c r="E1053" s="33" t="s">
        <v>26</v>
      </c>
      <c r="F1053" s="33" t="s">
        <v>27</v>
      </c>
      <c r="G1053" s="33" t="s">
        <v>20</v>
      </c>
      <c r="H1053" s="35">
        <v>66</v>
      </c>
      <c r="I1053" s="33" t="s">
        <v>21</v>
      </c>
      <c r="J1053" s="42">
        <v>44029</v>
      </c>
      <c r="K1053" s="33" t="s">
        <v>22</v>
      </c>
    </row>
    <row r="1054" spans="1:11">
      <c r="A1054" s="30" t="s">
        <v>2751</v>
      </c>
      <c r="B1054" s="30" t="s">
        <v>2752</v>
      </c>
      <c r="C1054" s="30" t="s">
        <v>2753</v>
      </c>
      <c r="D1054" s="30" t="s">
        <v>17</v>
      </c>
      <c r="E1054" s="30" t="s">
        <v>26</v>
      </c>
      <c r="F1054" s="30" t="s">
        <v>27</v>
      </c>
      <c r="G1054" s="30" t="s">
        <v>158</v>
      </c>
      <c r="H1054" s="32">
        <v>437</v>
      </c>
      <c r="I1054" s="30" t="s">
        <v>21</v>
      </c>
      <c r="J1054" s="41">
        <v>43914</v>
      </c>
      <c r="K1054" s="30" t="s">
        <v>22</v>
      </c>
    </row>
    <row r="1055" spans="1:11">
      <c r="A1055" s="33" t="s">
        <v>2754</v>
      </c>
      <c r="B1055" s="33" t="s">
        <v>2755</v>
      </c>
      <c r="C1055" s="33" t="s">
        <v>2756</v>
      </c>
      <c r="D1055" s="33" t="s">
        <v>17</v>
      </c>
      <c r="E1055" s="33" t="s">
        <v>31</v>
      </c>
      <c r="F1055" s="33" t="s">
        <v>32</v>
      </c>
      <c r="G1055" s="33" t="s">
        <v>106</v>
      </c>
      <c r="H1055" s="35">
        <v>50</v>
      </c>
      <c r="I1055" s="33" t="s">
        <v>21</v>
      </c>
      <c r="J1055" s="42">
        <v>43891</v>
      </c>
      <c r="K1055" s="33" t="s">
        <v>22</v>
      </c>
    </row>
    <row r="1056" spans="1:11">
      <c r="A1056" s="30" t="s">
        <v>2757</v>
      </c>
      <c r="B1056" s="30" t="s">
        <v>2758</v>
      </c>
      <c r="C1056" s="30" t="s">
        <v>2759</v>
      </c>
      <c r="D1056" s="30" t="s">
        <v>17</v>
      </c>
      <c r="E1056" s="30" t="s">
        <v>67</v>
      </c>
      <c r="F1056" s="30" t="s">
        <v>68</v>
      </c>
      <c r="G1056" s="30" t="s">
        <v>20</v>
      </c>
      <c r="H1056" s="32">
        <v>20</v>
      </c>
      <c r="I1056" s="30" t="s">
        <v>21</v>
      </c>
      <c r="J1056" s="41">
        <v>44082</v>
      </c>
      <c r="K1056" s="30" t="s">
        <v>22</v>
      </c>
    </row>
    <row r="1057" spans="1:11">
      <c r="A1057" s="33" t="s">
        <v>2760</v>
      </c>
      <c r="B1057" s="33" t="s">
        <v>2761</v>
      </c>
      <c r="C1057" s="33" t="s">
        <v>2472</v>
      </c>
      <c r="D1057" s="33" t="s">
        <v>17</v>
      </c>
      <c r="E1057" s="33" t="s">
        <v>26</v>
      </c>
      <c r="F1057" s="33" t="s">
        <v>27</v>
      </c>
      <c r="G1057" s="33" t="s">
        <v>20</v>
      </c>
      <c r="H1057" s="35">
        <v>651</v>
      </c>
      <c r="I1057" s="33" t="s">
        <v>21</v>
      </c>
      <c r="J1057" s="42">
        <v>44104</v>
      </c>
      <c r="K1057" s="33" t="s">
        <v>22</v>
      </c>
    </row>
    <row r="1058" spans="1:11">
      <c r="A1058" s="30" t="s">
        <v>2762</v>
      </c>
      <c r="B1058" s="30" t="s">
        <v>2763</v>
      </c>
      <c r="C1058" s="30" t="s">
        <v>44</v>
      </c>
      <c r="D1058" s="30" t="s">
        <v>17</v>
      </c>
      <c r="E1058" s="30" t="s">
        <v>26</v>
      </c>
      <c r="F1058" s="30" t="s">
        <v>27</v>
      </c>
      <c r="G1058" s="30" t="s">
        <v>106</v>
      </c>
      <c r="H1058" s="32">
        <v>57</v>
      </c>
      <c r="I1058" s="30" t="s">
        <v>21</v>
      </c>
      <c r="J1058" s="41">
        <v>44154</v>
      </c>
      <c r="K1058" s="30" t="s">
        <v>22</v>
      </c>
    </row>
    <row r="1059" spans="1:11">
      <c r="A1059" s="33" t="s">
        <v>2764</v>
      </c>
      <c r="B1059" s="33" t="s">
        <v>2765</v>
      </c>
      <c r="C1059" s="33" t="s">
        <v>1598</v>
      </c>
      <c r="D1059" s="33" t="s">
        <v>17</v>
      </c>
      <c r="E1059" s="33" t="s">
        <v>26</v>
      </c>
      <c r="F1059" s="33" t="s">
        <v>27</v>
      </c>
      <c r="G1059" s="33" t="s">
        <v>20</v>
      </c>
      <c r="H1059" s="35">
        <v>18</v>
      </c>
      <c r="I1059" s="33" t="s">
        <v>21</v>
      </c>
      <c r="J1059" s="42">
        <v>43979</v>
      </c>
      <c r="K1059" s="33" t="s">
        <v>22</v>
      </c>
    </row>
    <row r="1060" spans="1:11">
      <c r="A1060" s="30" t="s">
        <v>2766</v>
      </c>
      <c r="B1060" s="30" t="s">
        <v>2767</v>
      </c>
      <c r="C1060" s="30" t="s">
        <v>787</v>
      </c>
      <c r="D1060" s="30" t="s">
        <v>17</v>
      </c>
      <c r="E1060" s="30" t="s">
        <v>31</v>
      </c>
      <c r="F1060" s="30" t="s">
        <v>32</v>
      </c>
      <c r="G1060" s="30" t="s">
        <v>20</v>
      </c>
      <c r="H1060" s="32">
        <v>3</v>
      </c>
      <c r="I1060" s="30" t="s">
        <v>21</v>
      </c>
      <c r="J1060" s="41">
        <v>43958</v>
      </c>
      <c r="K1060" s="30" t="s">
        <v>22</v>
      </c>
    </row>
    <row r="1061" spans="1:11">
      <c r="A1061" s="33" t="s">
        <v>2768</v>
      </c>
      <c r="B1061" s="33" t="s">
        <v>2769</v>
      </c>
      <c r="C1061" s="33" t="s">
        <v>647</v>
      </c>
      <c r="D1061" s="33" t="s">
        <v>17</v>
      </c>
      <c r="E1061" s="33" t="s">
        <v>26</v>
      </c>
      <c r="F1061" s="33" t="s">
        <v>27</v>
      </c>
      <c r="G1061" s="33" t="s">
        <v>20</v>
      </c>
      <c r="H1061" s="35">
        <v>7</v>
      </c>
      <c r="I1061" s="33" t="s">
        <v>21</v>
      </c>
      <c r="J1061" s="42">
        <v>44008</v>
      </c>
      <c r="K1061" s="33" t="s">
        <v>22</v>
      </c>
    </row>
    <row r="1062" spans="1:11">
      <c r="A1062" s="30" t="s">
        <v>2770</v>
      </c>
      <c r="B1062" s="30" t="s">
        <v>2771</v>
      </c>
      <c r="C1062" s="30" t="s">
        <v>2772</v>
      </c>
      <c r="D1062" s="30" t="s">
        <v>17</v>
      </c>
      <c r="E1062" s="30" t="s">
        <v>18</v>
      </c>
      <c r="F1062" s="30" t="s">
        <v>19</v>
      </c>
      <c r="G1062" s="30" t="s">
        <v>20</v>
      </c>
      <c r="H1062" s="32">
        <v>206</v>
      </c>
      <c r="I1062" s="30" t="s">
        <v>21</v>
      </c>
      <c r="J1062" s="41">
        <v>43950</v>
      </c>
      <c r="K1062" s="30" t="s">
        <v>22</v>
      </c>
    </row>
    <row r="1063" spans="1:11">
      <c r="A1063" s="33" t="s">
        <v>2773</v>
      </c>
      <c r="B1063" s="33" t="s">
        <v>2774</v>
      </c>
      <c r="C1063" s="33" t="s">
        <v>2775</v>
      </c>
      <c r="D1063" s="33" t="s">
        <v>17</v>
      </c>
      <c r="E1063" s="33" t="s">
        <v>26</v>
      </c>
      <c r="F1063" s="33" t="s">
        <v>27</v>
      </c>
      <c r="G1063" s="33" t="s">
        <v>20</v>
      </c>
      <c r="H1063" s="35">
        <v>19</v>
      </c>
      <c r="I1063" s="33" t="s">
        <v>21</v>
      </c>
      <c r="J1063" s="42">
        <v>44117</v>
      </c>
      <c r="K1063" s="33" t="s">
        <v>22</v>
      </c>
    </row>
    <row r="1064" spans="1:11">
      <c r="A1064" s="30" t="s">
        <v>2776</v>
      </c>
      <c r="B1064" s="30" t="s">
        <v>2777</v>
      </c>
      <c r="C1064" s="30" t="s">
        <v>2778</v>
      </c>
      <c r="D1064" s="30" t="s">
        <v>17</v>
      </c>
      <c r="E1064" s="30" t="s">
        <v>31</v>
      </c>
      <c r="F1064" s="30" t="s">
        <v>32</v>
      </c>
      <c r="G1064" s="30" t="s">
        <v>158</v>
      </c>
      <c r="H1064" s="32">
        <v>225</v>
      </c>
      <c r="I1064" s="30" t="s">
        <v>51</v>
      </c>
      <c r="J1064" s="41">
        <v>44186</v>
      </c>
      <c r="K1064" s="30" t="s">
        <v>22</v>
      </c>
    </row>
    <row r="1065" spans="1:11">
      <c r="A1065" s="33" t="s">
        <v>2779</v>
      </c>
      <c r="B1065" s="33" t="s">
        <v>2780</v>
      </c>
      <c r="C1065" s="33" t="s">
        <v>93</v>
      </c>
      <c r="D1065" s="33" t="s">
        <v>17</v>
      </c>
      <c r="E1065" s="33" t="s">
        <v>67</v>
      </c>
      <c r="F1065" s="33" t="s">
        <v>68</v>
      </c>
      <c r="G1065" s="33" t="s">
        <v>20</v>
      </c>
      <c r="H1065" s="35">
        <v>292</v>
      </c>
      <c r="I1065" s="33" t="s">
        <v>21</v>
      </c>
      <c r="J1065" s="42">
        <v>43894</v>
      </c>
      <c r="K1065" s="33" t="s">
        <v>22</v>
      </c>
    </row>
    <row r="1066" spans="1:11">
      <c r="A1066" s="30" t="s">
        <v>2781</v>
      </c>
      <c r="B1066" s="30" t="s">
        <v>2782</v>
      </c>
      <c r="C1066" s="30" t="s">
        <v>524</v>
      </c>
      <c r="D1066" s="30" t="s">
        <v>17</v>
      </c>
      <c r="E1066" s="30" t="s">
        <v>26</v>
      </c>
      <c r="F1066" s="30" t="s">
        <v>27</v>
      </c>
      <c r="G1066" s="30" t="s">
        <v>20</v>
      </c>
      <c r="H1066" s="32">
        <v>25</v>
      </c>
      <c r="I1066" s="30" t="s">
        <v>21</v>
      </c>
      <c r="J1066" s="41">
        <v>44083</v>
      </c>
      <c r="K1066" s="30" t="s">
        <v>22</v>
      </c>
    </row>
    <row r="1067" spans="1:11">
      <c r="A1067" s="33" t="s">
        <v>2783</v>
      </c>
      <c r="B1067" s="33" t="s">
        <v>2784</v>
      </c>
      <c r="C1067" s="33" t="s">
        <v>2785</v>
      </c>
      <c r="D1067" s="33" t="s">
        <v>17</v>
      </c>
      <c r="E1067" s="33" t="s">
        <v>18</v>
      </c>
      <c r="F1067" s="33" t="s">
        <v>19</v>
      </c>
      <c r="G1067" s="33" t="s">
        <v>158</v>
      </c>
      <c r="H1067" s="35">
        <v>6</v>
      </c>
      <c r="I1067" s="33" t="s">
        <v>21</v>
      </c>
      <c r="J1067" s="42">
        <v>43991</v>
      </c>
      <c r="K1067" s="33" t="s">
        <v>22</v>
      </c>
    </row>
    <row r="1068" spans="1:11">
      <c r="A1068" s="30" t="s">
        <v>2786</v>
      </c>
      <c r="B1068" s="30" t="s">
        <v>2787</v>
      </c>
      <c r="C1068" s="30" t="s">
        <v>644</v>
      </c>
      <c r="D1068" s="30" t="s">
        <v>17</v>
      </c>
      <c r="E1068" s="30" t="s">
        <v>67</v>
      </c>
      <c r="F1068" s="30" t="s">
        <v>68</v>
      </c>
      <c r="G1068" s="30" t="s">
        <v>20</v>
      </c>
      <c r="H1068" s="32">
        <v>37</v>
      </c>
      <c r="I1068" s="30" t="s">
        <v>21</v>
      </c>
      <c r="J1068" s="41">
        <v>43936</v>
      </c>
      <c r="K1068" s="30" t="s">
        <v>22</v>
      </c>
    </row>
    <row r="1069" spans="1:11">
      <c r="A1069" s="33" t="s">
        <v>2788</v>
      </c>
      <c r="B1069" s="33" t="s">
        <v>2789</v>
      </c>
      <c r="C1069" s="33" t="s">
        <v>1778</v>
      </c>
      <c r="D1069" s="33" t="s">
        <v>17</v>
      </c>
      <c r="E1069" s="33" t="s">
        <v>31</v>
      </c>
      <c r="F1069" s="33" t="s">
        <v>32</v>
      </c>
      <c r="G1069" s="33" t="s">
        <v>20</v>
      </c>
      <c r="H1069" s="35">
        <v>179</v>
      </c>
      <c r="I1069" s="33" t="s">
        <v>21</v>
      </c>
      <c r="J1069" s="42">
        <v>44083</v>
      </c>
      <c r="K1069" s="33" t="s">
        <v>22</v>
      </c>
    </row>
    <row r="1070" spans="1:11">
      <c r="A1070" s="30" t="s">
        <v>2790</v>
      </c>
      <c r="B1070" s="30" t="s">
        <v>2791</v>
      </c>
      <c r="C1070" s="30" t="s">
        <v>2792</v>
      </c>
      <c r="D1070" s="30" t="s">
        <v>17</v>
      </c>
      <c r="E1070" s="30" t="s">
        <v>26</v>
      </c>
      <c r="F1070" s="30" t="s">
        <v>27</v>
      </c>
      <c r="G1070" s="30" t="s">
        <v>20</v>
      </c>
      <c r="H1070" s="32">
        <v>9</v>
      </c>
      <c r="I1070" s="30" t="s">
        <v>21</v>
      </c>
      <c r="J1070" s="41">
        <v>43973</v>
      </c>
      <c r="K1070" s="30" t="s">
        <v>22</v>
      </c>
    </row>
    <row r="1071" spans="1:11">
      <c r="A1071" s="33" t="s">
        <v>2793</v>
      </c>
      <c r="B1071" s="33" t="s">
        <v>2794</v>
      </c>
      <c r="C1071" s="33" t="s">
        <v>136</v>
      </c>
      <c r="D1071" s="33" t="s">
        <v>17</v>
      </c>
      <c r="E1071" s="33" t="s">
        <v>26</v>
      </c>
      <c r="F1071" s="33" t="s">
        <v>27</v>
      </c>
      <c r="G1071" s="33" t="s">
        <v>20</v>
      </c>
      <c r="H1071" s="35">
        <v>72</v>
      </c>
      <c r="I1071" s="33" t="s">
        <v>21</v>
      </c>
      <c r="J1071" s="42">
        <v>43906</v>
      </c>
      <c r="K1071" s="33" t="s">
        <v>22</v>
      </c>
    </row>
    <row r="1072" spans="1:11">
      <c r="A1072" s="30" t="s">
        <v>2795</v>
      </c>
      <c r="B1072" s="30" t="s">
        <v>2796</v>
      </c>
      <c r="C1072" s="30" t="s">
        <v>2797</v>
      </c>
      <c r="D1072" s="30" t="s">
        <v>17</v>
      </c>
      <c r="E1072" s="30" t="s">
        <v>26</v>
      </c>
      <c r="F1072" s="30" t="s">
        <v>27</v>
      </c>
      <c r="G1072" s="30" t="s">
        <v>20</v>
      </c>
      <c r="H1072" s="32">
        <v>17</v>
      </c>
      <c r="I1072" s="30" t="s">
        <v>21</v>
      </c>
      <c r="J1072" s="41">
        <v>44115</v>
      </c>
      <c r="K1072" s="30" t="s">
        <v>22</v>
      </c>
    </row>
    <row r="1073" spans="1:11">
      <c r="A1073" s="33" t="s">
        <v>2798</v>
      </c>
      <c r="B1073" s="33" t="s">
        <v>2799</v>
      </c>
      <c r="C1073" s="33" t="s">
        <v>96</v>
      </c>
      <c r="D1073" s="33" t="s">
        <v>17</v>
      </c>
      <c r="E1073" s="33" t="s">
        <v>26</v>
      </c>
      <c r="F1073" s="33" t="s">
        <v>27</v>
      </c>
      <c r="G1073" s="33" t="s">
        <v>20</v>
      </c>
      <c r="H1073" s="35">
        <v>66</v>
      </c>
      <c r="I1073" s="33" t="s">
        <v>21</v>
      </c>
      <c r="J1073" s="42">
        <v>44090</v>
      </c>
      <c r="K1073" s="33" t="s">
        <v>22</v>
      </c>
    </row>
    <row r="1074" spans="1:11">
      <c r="A1074" s="30" t="s">
        <v>2800</v>
      </c>
      <c r="B1074" s="30" t="s">
        <v>2801</v>
      </c>
      <c r="C1074" s="30" t="s">
        <v>2802</v>
      </c>
      <c r="D1074" s="30" t="s">
        <v>17</v>
      </c>
      <c r="E1074" s="30" t="s">
        <v>45</v>
      </c>
      <c r="F1074" s="30" t="s">
        <v>46</v>
      </c>
      <c r="G1074" s="30" t="s">
        <v>20</v>
      </c>
      <c r="H1074" s="32">
        <v>28</v>
      </c>
      <c r="I1074" s="30" t="s">
        <v>21</v>
      </c>
      <c r="J1074" s="41">
        <v>44157</v>
      </c>
      <c r="K1074" s="30" t="s">
        <v>22</v>
      </c>
    </row>
    <row r="1075" spans="1:11">
      <c r="A1075" s="33" t="s">
        <v>2803</v>
      </c>
      <c r="B1075" s="33" t="s">
        <v>2804</v>
      </c>
      <c r="C1075" s="33" t="s">
        <v>2313</v>
      </c>
      <c r="D1075" s="33" t="s">
        <v>17</v>
      </c>
      <c r="E1075" s="33" t="s">
        <v>26</v>
      </c>
      <c r="F1075" s="33" t="s">
        <v>27</v>
      </c>
      <c r="G1075" s="33" t="s">
        <v>20</v>
      </c>
      <c r="H1075" s="35">
        <v>40</v>
      </c>
      <c r="I1075" s="33" t="s">
        <v>21</v>
      </c>
      <c r="J1075" s="42">
        <v>44130</v>
      </c>
      <c r="K1075" s="33" t="s">
        <v>22</v>
      </c>
    </row>
    <row r="1076" spans="1:11">
      <c r="A1076" s="30" t="s">
        <v>2805</v>
      </c>
      <c r="B1076" s="30" t="s">
        <v>2806</v>
      </c>
      <c r="C1076" s="30" t="s">
        <v>2807</v>
      </c>
      <c r="D1076" s="30" t="s">
        <v>17</v>
      </c>
      <c r="E1076" s="30" t="s">
        <v>67</v>
      </c>
      <c r="F1076" s="30" t="s">
        <v>68</v>
      </c>
      <c r="G1076" s="30" t="s">
        <v>112</v>
      </c>
      <c r="H1076" s="32">
        <v>0</v>
      </c>
      <c r="I1076" s="30" t="s">
        <v>21</v>
      </c>
      <c r="J1076" s="41">
        <v>43891</v>
      </c>
      <c r="K1076" s="30" t="s">
        <v>22</v>
      </c>
    </row>
    <row r="1077" spans="1:11">
      <c r="A1077" s="33" t="s">
        <v>2808</v>
      </c>
      <c r="B1077" s="33" t="s">
        <v>2809</v>
      </c>
      <c r="C1077" s="33" t="s">
        <v>437</v>
      </c>
      <c r="D1077" s="33" t="s">
        <v>17</v>
      </c>
      <c r="E1077" s="33" t="s">
        <v>26</v>
      </c>
      <c r="F1077" s="33" t="s">
        <v>27</v>
      </c>
      <c r="G1077" s="33" t="s">
        <v>20</v>
      </c>
      <c r="H1077" s="35">
        <v>188</v>
      </c>
      <c r="I1077" s="33" t="s">
        <v>21</v>
      </c>
      <c r="J1077" s="42">
        <v>44056</v>
      </c>
      <c r="K1077" s="33" t="s">
        <v>22</v>
      </c>
    </row>
    <row r="1078" spans="1:11">
      <c r="A1078" s="30" t="s">
        <v>2810</v>
      </c>
      <c r="B1078" s="30" t="s">
        <v>2811</v>
      </c>
      <c r="C1078" s="30" t="s">
        <v>2812</v>
      </c>
      <c r="D1078" s="30" t="s">
        <v>17</v>
      </c>
      <c r="E1078" s="30" t="s">
        <v>31</v>
      </c>
      <c r="F1078" s="30" t="s">
        <v>32</v>
      </c>
      <c r="G1078" s="30" t="s">
        <v>106</v>
      </c>
      <c r="H1078" s="32">
        <v>181</v>
      </c>
      <c r="I1078" s="30" t="s">
        <v>21</v>
      </c>
      <c r="J1078" s="41">
        <v>44097</v>
      </c>
      <c r="K1078" s="30" t="s">
        <v>22</v>
      </c>
    </row>
    <row r="1079" spans="1:11">
      <c r="A1079" s="33" t="s">
        <v>2813</v>
      </c>
      <c r="B1079" s="33" t="s">
        <v>2814</v>
      </c>
      <c r="C1079" s="33" t="s">
        <v>535</v>
      </c>
      <c r="D1079" s="33" t="s">
        <v>17</v>
      </c>
      <c r="E1079" s="33" t="s">
        <v>31</v>
      </c>
      <c r="F1079" s="33" t="s">
        <v>32</v>
      </c>
      <c r="G1079" s="33" t="s">
        <v>106</v>
      </c>
      <c r="H1079" s="35">
        <v>2</v>
      </c>
      <c r="I1079" s="33" t="s">
        <v>21</v>
      </c>
      <c r="J1079" s="42">
        <v>44141</v>
      </c>
      <c r="K1079" s="33" t="s">
        <v>22</v>
      </c>
    </row>
    <row r="1080" spans="1:11">
      <c r="A1080" s="30" t="s">
        <v>2815</v>
      </c>
      <c r="B1080" s="30" t="s">
        <v>2816</v>
      </c>
      <c r="C1080" s="30" t="s">
        <v>96</v>
      </c>
      <c r="D1080" s="30" t="s">
        <v>17</v>
      </c>
      <c r="E1080" s="30" t="s">
        <v>31</v>
      </c>
      <c r="F1080" s="30" t="s">
        <v>32</v>
      </c>
      <c r="G1080" s="30" t="s">
        <v>106</v>
      </c>
      <c r="H1080" s="32">
        <v>6</v>
      </c>
      <c r="I1080" s="30" t="s">
        <v>21</v>
      </c>
      <c r="J1080" s="41">
        <v>43839</v>
      </c>
      <c r="K1080" s="30" t="s">
        <v>22</v>
      </c>
    </row>
    <row r="1081" spans="1:11">
      <c r="A1081" s="33" t="s">
        <v>2817</v>
      </c>
      <c r="B1081" s="33" t="s">
        <v>2818</v>
      </c>
      <c r="C1081" s="33" t="s">
        <v>2819</v>
      </c>
      <c r="D1081" s="33" t="s">
        <v>17</v>
      </c>
      <c r="E1081" s="33" t="s">
        <v>26</v>
      </c>
      <c r="F1081" s="33" t="s">
        <v>27</v>
      </c>
      <c r="G1081" s="33" t="s">
        <v>140</v>
      </c>
      <c r="H1081" s="35">
        <v>292</v>
      </c>
      <c r="I1081" s="33" t="s">
        <v>51</v>
      </c>
      <c r="J1081" s="42">
        <v>43983</v>
      </c>
      <c r="K1081" s="33" t="s">
        <v>22</v>
      </c>
    </row>
    <row r="1082" spans="1:11">
      <c r="A1082" s="30" t="s">
        <v>2820</v>
      </c>
      <c r="B1082" s="30" t="s">
        <v>2821</v>
      </c>
      <c r="C1082" s="30" t="s">
        <v>2822</v>
      </c>
      <c r="D1082" s="30" t="s">
        <v>17</v>
      </c>
      <c r="E1082" s="30" t="s">
        <v>31</v>
      </c>
      <c r="F1082" s="30" t="s">
        <v>32</v>
      </c>
      <c r="G1082" s="30" t="s">
        <v>20</v>
      </c>
      <c r="H1082" s="32">
        <v>50</v>
      </c>
      <c r="I1082" s="30" t="s">
        <v>21</v>
      </c>
      <c r="J1082" s="41">
        <v>44104</v>
      </c>
      <c r="K1082" s="30" t="s">
        <v>22</v>
      </c>
    </row>
    <row r="1083" spans="1:11">
      <c r="A1083" s="33" t="s">
        <v>2823</v>
      </c>
      <c r="B1083" s="33" t="s">
        <v>2824</v>
      </c>
      <c r="C1083" s="33" t="s">
        <v>2825</v>
      </c>
      <c r="D1083" s="33" t="s">
        <v>17</v>
      </c>
      <c r="E1083" s="33" t="s">
        <v>31</v>
      </c>
      <c r="F1083" s="33" t="s">
        <v>32</v>
      </c>
      <c r="G1083" s="33" t="s">
        <v>20</v>
      </c>
      <c r="H1083" s="35">
        <v>249</v>
      </c>
      <c r="I1083" s="33" t="s">
        <v>21</v>
      </c>
      <c r="J1083" s="42">
        <v>44095</v>
      </c>
      <c r="K1083" s="33" t="s">
        <v>22</v>
      </c>
    </row>
    <row r="1084" spans="1:11">
      <c r="A1084" s="30" t="s">
        <v>2826</v>
      </c>
      <c r="B1084" s="30" t="s">
        <v>2827</v>
      </c>
      <c r="C1084" s="30" t="s">
        <v>647</v>
      </c>
      <c r="D1084" s="30" t="s">
        <v>17</v>
      </c>
      <c r="E1084" s="30" t="s">
        <v>18</v>
      </c>
      <c r="F1084" s="30" t="s">
        <v>19</v>
      </c>
      <c r="G1084" s="30" t="s">
        <v>20</v>
      </c>
      <c r="H1084" s="32">
        <v>1059</v>
      </c>
      <c r="I1084" s="30" t="s">
        <v>21</v>
      </c>
      <c r="J1084" s="41">
        <v>44165</v>
      </c>
      <c r="K1084" s="30" t="s">
        <v>22</v>
      </c>
    </row>
    <row r="1085" spans="1:11">
      <c r="A1085" s="33" t="s">
        <v>2828</v>
      </c>
      <c r="B1085" s="33" t="s">
        <v>2829</v>
      </c>
      <c r="C1085" s="33" t="s">
        <v>203</v>
      </c>
      <c r="D1085" s="33" t="s">
        <v>17</v>
      </c>
      <c r="E1085" s="33" t="s">
        <v>18</v>
      </c>
      <c r="F1085" s="33" t="s">
        <v>19</v>
      </c>
      <c r="G1085" s="33" t="s">
        <v>20</v>
      </c>
      <c r="H1085" s="35">
        <v>1127</v>
      </c>
      <c r="I1085" s="33" t="s">
        <v>21</v>
      </c>
      <c r="J1085" s="42">
        <v>44181</v>
      </c>
      <c r="K1085" s="33" t="s">
        <v>22</v>
      </c>
    </row>
    <row r="1086" spans="1:11">
      <c r="A1086" s="30" t="s">
        <v>2830</v>
      </c>
      <c r="B1086" s="30" t="s">
        <v>2831</v>
      </c>
      <c r="C1086" s="30" t="s">
        <v>2261</v>
      </c>
      <c r="D1086" s="30" t="s">
        <v>17</v>
      </c>
      <c r="E1086" s="30" t="s">
        <v>67</v>
      </c>
      <c r="F1086" s="30" t="s">
        <v>68</v>
      </c>
      <c r="G1086" s="30" t="s">
        <v>20</v>
      </c>
      <c r="H1086" s="32">
        <v>105</v>
      </c>
      <c r="I1086" s="30" t="s">
        <v>21</v>
      </c>
      <c r="J1086" s="41">
        <v>43915</v>
      </c>
      <c r="K1086" s="30" t="s">
        <v>22</v>
      </c>
    </row>
    <row r="1087" spans="1:11">
      <c r="A1087" s="33" t="s">
        <v>2832</v>
      </c>
      <c r="B1087" s="33" t="s">
        <v>2833</v>
      </c>
      <c r="C1087" s="33" t="s">
        <v>795</v>
      </c>
      <c r="D1087" s="33" t="s">
        <v>17</v>
      </c>
      <c r="E1087" s="33" t="s">
        <v>67</v>
      </c>
      <c r="F1087" s="33" t="s">
        <v>68</v>
      </c>
      <c r="G1087" s="33" t="s">
        <v>106</v>
      </c>
      <c r="H1087" s="35">
        <v>48</v>
      </c>
      <c r="I1087" s="33" t="s">
        <v>21</v>
      </c>
      <c r="J1087" s="42">
        <v>44027</v>
      </c>
      <c r="K1087" s="33" t="s">
        <v>22</v>
      </c>
    </row>
    <row r="1088" spans="1:11">
      <c r="A1088" s="30" t="s">
        <v>2834</v>
      </c>
      <c r="B1088" s="30" t="s">
        <v>2835</v>
      </c>
      <c r="C1088" s="30" t="s">
        <v>2836</v>
      </c>
      <c r="D1088" s="30" t="s">
        <v>17</v>
      </c>
      <c r="E1088" s="30" t="s">
        <v>31</v>
      </c>
      <c r="F1088" s="30" t="s">
        <v>32</v>
      </c>
      <c r="G1088" s="30" t="s">
        <v>50</v>
      </c>
      <c r="H1088" s="32">
        <v>24</v>
      </c>
      <c r="I1088" s="30" t="s">
        <v>51</v>
      </c>
      <c r="J1088" s="41">
        <v>44134</v>
      </c>
      <c r="K1088" s="30" t="s">
        <v>22</v>
      </c>
    </row>
    <row r="1089" spans="1:11">
      <c r="A1089" s="33" t="s">
        <v>2837</v>
      </c>
      <c r="B1089" s="33" t="s">
        <v>2838</v>
      </c>
      <c r="C1089" s="33" t="s">
        <v>2839</v>
      </c>
      <c r="D1089" s="33" t="s">
        <v>17</v>
      </c>
      <c r="E1089" s="33" t="s">
        <v>18</v>
      </c>
      <c r="F1089" s="33" t="s">
        <v>19</v>
      </c>
      <c r="G1089" s="33" t="s">
        <v>50</v>
      </c>
      <c r="H1089" s="35">
        <v>135</v>
      </c>
      <c r="I1089" s="33" t="s">
        <v>51</v>
      </c>
      <c r="J1089" s="42">
        <v>44081</v>
      </c>
      <c r="K1089" s="33" t="s">
        <v>22</v>
      </c>
    </row>
    <row r="1090" spans="1:11">
      <c r="A1090" s="30" t="s">
        <v>2840</v>
      </c>
      <c r="B1090" s="30" t="s">
        <v>2841</v>
      </c>
      <c r="C1090" s="30" t="s">
        <v>2842</v>
      </c>
      <c r="D1090" s="30" t="s">
        <v>17</v>
      </c>
      <c r="E1090" s="30" t="s">
        <v>18</v>
      </c>
      <c r="F1090" s="30" t="s">
        <v>19</v>
      </c>
      <c r="G1090" s="30" t="s">
        <v>20</v>
      </c>
      <c r="H1090" s="32">
        <v>488</v>
      </c>
      <c r="I1090" s="30" t="s">
        <v>21</v>
      </c>
      <c r="J1090" s="41">
        <v>43888</v>
      </c>
      <c r="K1090" s="30" t="s">
        <v>22</v>
      </c>
    </row>
    <row r="1091" spans="1:11">
      <c r="A1091" s="33" t="s">
        <v>2843</v>
      </c>
      <c r="B1091" s="33" t="s">
        <v>2844</v>
      </c>
      <c r="C1091" s="33" t="s">
        <v>96</v>
      </c>
      <c r="D1091" s="33" t="s">
        <v>17</v>
      </c>
      <c r="E1091" s="33" t="s">
        <v>31</v>
      </c>
      <c r="F1091" s="33" t="s">
        <v>32</v>
      </c>
      <c r="G1091" s="33" t="s">
        <v>158</v>
      </c>
      <c r="H1091" s="35">
        <v>157</v>
      </c>
      <c r="I1091" s="33" t="s">
        <v>21</v>
      </c>
      <c r="J1091" s="42">
        <v>44090</v>
      </c>
      <c r="K1091" s="33" t="s">
        <v>22</v>
      </c>
    </row>
    <row r="1092" spans="1:11">
      <c r="A1092" s="30" t="s">
        <v>2845</v>
      </c>
      <c r="B1092" s="30" t="s">
        <v>2846</v>
      </c>
      <c r="C1092" s="30" t="s">
        <v>93</v>
      </c>
      <c r="D1092" s="30" t="s">
        <v>17</v>
      </c>
      <c r="E1092" s="30" t="s">
        <v>26</v>
      </c>
      <c r="F1092" s="30" t="s">
        <v>27</v>
      </c>
      <c r="G1092" s="30" t="s">
        <v>158</v>
      </c>
      <c r="H1092" s="32">
        <v>21</v>
      </c>
      <c r="I1092" s="30" t="s">
        <v>21</v>
      </c>
      <c r="J1092" s="41">
        <v>44146</v>
      </c>
      <c r="K1092" s="30" t="s">
        <v>22</v>
      </c>
    </row>
    <row r="1093" spans="1:11">
      <c r="A1093" s="33" t="s">
        <v>2847</v>
      </c>
      <c r="B1093" s="33" t="s">
        <v>2848</v>
      </c>
      <c r="C1093" s="33" t="s">
        <v>2849</v>
      </c>
      <c r="D1093" s="33" t="s">
        <v>17</v>
      </c>
      <c r="E1093" s="33" t="s">
        <v>18</v>
      </c>
      <c r="F1093" s="33" t="s">
        <v>19</v>
      </c>
      <c r="G1093" s="33" t="s">
        <v>50</v>
      </c>
      <c r="H1093" s="35">
        <v>264</v>
      </c>
      <c r="I1093" s="33" t="s">
        <v>51</v>
      </c>
      <c r="J1093" s="42">
        <v>44173</v>
      </c>
      <c r="K1093" s="33" t="s">
        <v>22</v>
      </c>
    </row>
    <row r="1094" spans="1:11">
      <c r="A1094" s="30" t="s">
        <v>2850</v>
      </c>
      <c r="B1094" s="30" t="s">
        <v>2851</v>
      </c>
      <c r="C1094" s="30" t="s">
        <v>2852</v>
      </c>
      <c r="D1094" s="30" t="s">
        <v>17</v>
      </c>
      <c r="E1094" s="30" t="s">
        <v>31</v>
      </c>
      <c r="F1094" s="30" t="s">
        <v>32</v>
      </c>
      <c r="G1094" s="30" t="s">
        <v>20</v>
      </c>
      <c r="H1094" s="32">
        <v>52</v>
      </c>
      <c r="I1094" s="30" t="s">
        <v>21</v>
      </c>
      <c r="J1094" s="41">
        <v>43846</v>
      </c>
      <c r="K1094" s="30" t="s">
        <v>22</v>
      </c>
    </row>
    <row r="1095" spans="1:11">
      <c r="A1095" s="33" t="s">
        <v>2853</v>
      </c>
      <c r="B1095" s="33" t="s">
        <v>2854</v>
      </c>
      <c r="C1095" s="33" t="s">
        <v>2855</v>
      </c>
      <c r="D1095" s="33" t="s">
        <v>17</v>
      </c>
      <c r="E1095" s="33" t="s">
        <v>26</v>
      </c>
      <c r="F1095" s="33" t="s">
        <v>27</v>
      </c>
      <c r="G1095" s="33" t="s">
        <v>20</v>
      </c>
      <c r="H1095" s="35">
        <v>40</v>
      </c>
      <c r="I1095" s="33" t="s">
        <v>21</v>
      </c>
      <c r="J1095" s="42">
        <v>44132</v>
      </c>
      <c r="K1095" s="33" t="s">
        <v>22</v>
      </c>
    </row>
    <row r="1096" spans="1:11">
      <c r="A1096" s="30" t="s">
        <v>2856</v>
      </c>
      <c r="B1096" s="30" t="s">
        <v>2857</v>
      </c>
      <c r="C1096" s="30" t="s">
        <v>362</v>
      </c>
      <c r="D1096" s="30" t="s">
        <v>17</v>
      </c>
      <c r="E1096" s="30" t="s">
        <v>31</v>
      </c>
      <c r="F1096" s="30" t="s">
        <v>32</v>
      </c>
      <c r="G1096" s="30" t="s">
        <v>106</v>
      </c>
      <c r="H1096" s="32">
        <v>66</v>
      </c>
      <c r="I1096" s="30" t="s">
        <v>21</v>
      </c>
      <c r="J1096" s="41">
        <v>44145</v>
      </c>
      <c r="K1096" s="30" t="s">
        <v>22</v>
      </c>
    </row>
    <row r="1097" spans="1:11">
      <c r="A1097" s="33" t="s">
        <v>2858</v>
      </c>
      <c r="B1097" s="33" t="s">
        <v>2859</v>
      </c>
      <c r="C1097" s="33" t="s">
        <v>798</v>
      </c>
      <c r="D1097" s="33" t="s">
        <v>17</v>
      </c>
      <c r="E1097" s="33" t="s">
        <v>31</v>
      </c>
      <c r="F1097" s="33" t="s">
        <v>32</v>
      </c>
      <c r="G1097" s="33" t="s">
        <v>20</v>
      </c>
      <c r="H1097" s="35">
        <v>9</v>
      </c>
      <c r="I1097" s="33" t="s">
        <v>21</v>
      </c>
      <c r="J1097" s="42">
        <v>43874</v>
      </c>
      <c r="K1097" s="33" t="s">
        <v>22</v>
      </c>
    </row>
    <row r="1098" spans="1:11">
      <c r="A1098" s="30" t="s">
        <v>2860</v>
      </c>
      <c r="B1098" s="30" t="s">
        <v>2861</v>
      </c>
      <c r="C1098" s="30" t="s">
        <v>684</v>
      </c>
      <c r="D1098" s="30" t="s">
        <v>17</v>
      </c>
      <c r="E1098" s="30" t="s">
        <v>26</v>
      </c>
      <c r="F1098" s="30" t="s">
        <v>27</v>
      </c>
      <c r="G1098" s="30" t="s">
        <v>20</v>
      </c>
      <c r="H1098" s="32">
        <v>26</v>
      </c>
      <c r="I1098" s="30" t="s">
        <v>21</v>
      </c>
      <c r="J1098" s="41">
        <v>44183</v>
      </c>
      <c r="K1098" s="30" t="s">
        <v>22</v>
      </c>
    </row>
    <row r="1099" spans="1:11">
      <c r="A1099" s="33" t="s">
        <v>2862</v>
      </c>
      <c r="B1099" s="33" t="s">
        <v>2863</v>
      </c>
      <c r="C1099" s="33" t="s">
        <v>190</v>
      </c>
      <c r="D1099" s="33" t="s">
        <v>17</v>
      </c>
      <c r="E1099" s="33" t="s">
        <v>26</v>
      </c>
      <c r="F1099" s="33" t="s">
        <v>27</v>
      </c>
      <c r="G1099" s="33" t="s">
        <v>20</v>
      </c>
      <c r="H1099" s="35">
        <v>16</v>
      </c>
      <c r="I1099" s="33" t="s">
        <v>21</v>
      </c>
      <c r="J1099" s="42">
        <v>43844</v>
      </c>
      <c r="K1099" s="33" t="s">
        <v>22</v>
      </c>
    </row>
    <row r="1100" spans="1:11">
      <c r="A1100" s="30" t="s">
        <v>2864</v>
      </c>
      <c r="B1100" s="30" t="s">
        <v>2865</v>
      </c>
      <c r="C1100" s="30" t="s">
        <v>2866</v>
      </c>
      <c r="D1100" s="30" t="s">
        <v>17</v>
      </c>
      <c r="E1100" s="30" t="s">
        <v>67</v>
      </c>
      <c r="F1100" s="30" t="s">
        <v>68</v>
      </c>
      <c r="G1100" s="30" t="s">
        <v>158</v>
      </c>
      <c r="H1100" s="32">
        <v>733</v>
      </c>
      <c r="I1100" s="30" t="s">
        <v>51</v>
      </c>
      <c r="J1100" s="41">
        <v>44090</v>
      </c>
      <c r="K1100" s="30" t="s">
        <v>22</v>
      </c>
    </row>
    <row r="1101" spans="1:11">
      <c r="A1101" s="33" t="s">
        <v>2867</v>
      </c>
      <c r="B1101" s="33" t="s">
        <v>2868</v>
      </c>
      <c r="C1101" s="33" t="s">
        <v>96</v>
      </c>
      <c r="D1101" s="33" t="s">
        <v>17</v>
      </c>
      <c r="E1101" s="33" t="s">
        <v>67</v>
      </c>
      <c r="F1101" s="33" t="s">
        <v>68</v>
      </c>
      <c r="G1101" s="33" t="s">
        <v>106</v>
      </c>
      <c r="H1101" s="35">
        <v>34</v>
      </c>
      <c r="I1101" s="33" t="s">
        <v>21</v>
      </c>
      <c r="J1101" s="42">
        <v>44145</v>
      </c>
      <c r="K1101" s="33" t="s">
        <v>22</v>
      </c>
    </row>
    <row r="1102" spans="1:11">
      <c r="A1102" s="30" t="s">
        <v>2869</v>
      </c>
      <c r="B1102" s="30" t="s">
        <v>2870</v>
      </c>
      <c r="C1102" s="30" t="s">
        <v>801</v>
      </c>
      <c r="D1102" s="30" t="s">
        <v>17</v>
      </c>
      <c r="E1102" s="30" t="s">
        <v>26</v>
      </c>
      <c r="F1102" s="30" t="s">
        <v>27</v>
      </c>
      <c r="G1102" s="30" t="s">
        <v>20</v>
      </c>
      <c r="H1102" s="32">
        <v>84</v>
      </c>
      <c r="I1102" s="30" t="s">
        <v>21</v>
      </c>
      <c r="J1102" s="41">
        <v>44134</v>
      </c>
      <c r="K1102" s="30" t="s">
        <v>22</v>
      </c>
    </row>
    <row r="1103" spans="1:11">
      <c r="A1103" s="33" t="s">
        <v>2871</v>
      </c>
      <c r="B1103" s="33" t="s">
        <v>2872</v>
      </c>
      <c r="C1103" s="33" t="s">
        <v>187</v>
      </c>
      <c r="D1103" s="33" t="s">
        <v>17</v>
      </c>
      <c r="E1103" s="33" t="s">
        <v>31</v>
      </c>
      <c r="F1103" s="33" t="s">
        <v>32</v>
      </c>
      <c r="G1103" s="33" t="s">
        <v>20</v>
      </c>
      <c r="H1103" s="35">
        <v>170</v>
      </c>
      <c r="I1103" s="33" t="s">
        <v>21</v>
      </c>
      <c r="J1103" s="42">
        <v>44103</v>
      </c>
      <c r="K1103" s="33" t="s">
        <v>22</v>
      </c>
    </row>
    <row r="1104" spans="1:11">
      <c r="A1104" s="30" t="s">
        <v>2873</v>
      </c>
      <c r="B1104" s="30" t="s">
        <v>2874</v>
      </c>
      <c r="C1104" s="30" t="s">
        <v>2875</v>
      </c>
      <c r="D1104" s="30" t="s">
        <v>17</v>
      </c>
      <c r="E1104" s="30" t="s">
        <v>31</v>
      </c>
      <c r="F1104" s="30" t="s">
        <v>32</v>
      </c>
      <c r="G1104" s="30" t="s">
        <v>106</v>
      </c>
      <c r="H1104" s="32">
        <v>2</v>
      </c>
      <c r="I1104" s="30" t="s">
        <v>21</v>
      </c>
      <c r="J1104" s="41">
        <v>44095</v>
      </c>
      <c r="K1104" s="30" t="s">
        <v>22</v>
      </c>
    </row>
    <row r="1105" spans="1:11">
      <c r="A1105" s="33" t="s">
        <v>2876</v>
      </c>
      <c r="B1105" s="33" t="s">
        <v>2877</v>
      </c>
      <c r="C1105" s="33" t="s">
        <v>2878</v>
      </c>
      <c r="D1105" s="33" t="s">
        <v>17</v>
      </c>
      <c r="E1105" s="33" t="s">
        <v>31</v>
      </c>
      <c r="F1105" s="33" t="s">
        <v>32</v>
      </c>
      <c r="G1105" s="33" t="s">
        <v>50</v>
      </c>
      <c r="H1105" s="35">
        <v>164</v>
      </c>
      <c r="I1105" s="33" t="s">
        <v>51</v>
      </c>
      <c r="J1105" s="42">
        <v>44019</v>
      </c>
      <c r="K1105" s="33" t="s">
        <v>22</v>
      </c>
    </row>
    <row r="1106" spans="1:11">
      <c r="A1106" s="30" t="s">
        <v>2879</v>
      </c>
      <c r="B1106" s="30" t="s">
        <v>2880</v>
      </c>
      <c r="C1106" s="30" t="s">
        <v>187</v>
      </c>
      <c r="D1106" s="30" t="s">
        <v>17</v>
      </c>
      <c r="E1106" s="30" t="s">
        <v>31</v>
      </c>
      <c r="F1106" s="30" t="s">
        <v>32</v>
      </c>
      <c r="G1106" s="30" t="s">
        <v>50</v>
      </c>
      <c r="H1106" s="32">
        <v>200</v>
      </c>
      <c r="I1106" s="30" t="s">
        <v>51</v>
      </c>
      <c r="J1106" s="41">
        <v>44048</v>
      </c>
      <c r="K1106" s="30" t="s">
        <v>22</v>
      </c>
    </row>
    <row r="1107" spans="1:11">
      <c r="A1107" s="33" t="s">
        <v>2881</v>
      </c>
      <c r="B1107" s="33" t="s">
        <v>2882</v>
      </c>
      <c r="C1107" s="33" t="s">
        <v>2883</v>
      </c>
      <c r="D1107" s="33" t="s">
        <v>17</v>
      </c>
      <c r="E1107" s="33" t="s">
        <v>31</v>
      </c>
      <c r="F1107" s="33" t="s">
        <v>32</v>
      </c>
      <c r="G1107" s="33" t="s">
        <v>140</v>
      </c>
      <c r="H1107" s="35">
        <v>25</v>
      </c>
      <c r="I1107" s="33" t="s">
        <v>51</v>
      </c>
      <c r="J1107" s="42">
        <v>44132</v>
      </c>
      <c r="K1107" s="33" t="s">
        <v>22</v>
      </c>
    </row>
    <row r="1108" spans="1:11">
      <c r="A1108" s="30" t="s">
        <v>2884</v>
      </c>
      <c r="B1108" s="30" t="s">
        <v>2885</v>
      </c>
      <c r="C1108" s="30" t="s">
        <v>149</v>
      </c>
      <c r="D1108" s="30" t="s">
        <v>17</v>
      </c>
      <c r="E1108" s="30" t="s">
        <v>26</v>
      </c>
      <c r="F1108" s="30" t="s">
        <v>27</v>
      </c>
      <c r="G1108" s="30" t="s">
        <v>20</v>
      </c>
      <c r="H1108" s="32">
        <v>104</v>
      </c>
      <c r="I1108" s="30" t="s">
        <v>21</v>
      </c>
      <c r="J1108" s="41">
        <v>44071</v>
      </c>
      <c r="K1108" s="30" t="s">
        <v>22</v>
      </c>
    </row>
    <row r="1109" spans="1:11">
      <c r="A1109" s="33" t="s">
        <v>2886</v>
      </c>
      <c r="B1109" s="33" t="s">
        <v>2887</v>
      </c>
      <c r="C1109" s="33" t="s">
        <v>2888</v>
      </c>
      <c r="D1109" s="33" t="s">
        <v>17</v>
      </c>
      <c r="E1109" s="33" t="s">
        <v>330</v>
      </c>
      <c r="F1109" s="33" t="s">
        <v>331</v>
      </c>
      <c r="G1109" s="33" t="s">
        <v>140</v>
      </c>
      <c r="H1109" s="35">
        <v>10</v>
      </c>
      <c r="I1109" s="33" t="s">
        <v>51</v>
      </c>
      <c r="J1109" s="42">
        <v>44166</v>
      </c>
      <c r="K1109" s="33" t="s">
        <v>22</v>
      </c>
    </row>
    <row r="1110" spans="1:11">
      <c r="A1110" s="30" t="s">
        <v>2889</v>
      </c>
      <c r="B1110" s="30" t="s">
        <v>2890</v>
      </c>
      <c r="C1110" s="30" t="s">
        <v>2891</v>
      </c>
      <c r="D1110" s="30" t="s">
        <v>17</v>
      </c>
      <c r="E1110" s="30" t="s">
        <v>67</v>
      </c>
      <c r="F1110" s="30" t="s">
        <v>68</v>
      </c>
      <c r="G1110" s="30" t="s">
        <v>20</v>
      </c>
      <c r="H1110" s="32">
        <v>26</v>
      </c>
      <c r="I1110" s="30" t="s">
        <v>21</v>
      </c>
      <c r="J1110" s="41">
        <v>43858</v>
      </c>
      <c r="K1110" s="30" t="s">
        <v>22</v>
      </c>
    </row>
    <row r="1111" spans="1:11">
      <c r="A1111" s="33" t="s">
        <v>2892</v>
      </c>
      <c r="B1111" s="33" t="s">
        <v>2893</v>
      </c>
      <c r="C1111" s="33" t="s">
        <v>2894</v>
      </c>
      <c r="D1111" s="33" t="s">
        <v>17</v>
      </c>
      <c r="E1111" s="33" t="s">
        <v>212</v>
      </c>
      <c r="F1111" s="33" t="s">
        <v>213</v>
      </c>
      <c r="G1111" s="33" t="s">
        <v>20</v>
      </c>
      <c r="H1111" s="35">
        <v>33</v>
      </c>
      <c r="I1111" s="33" t="s">
        <v>21</v>
      </c>
      <c r="J1111" s="42">
        <v>44159</v>
      </c>
      <c r="K1111" s="33" t="s">
        <v>22</v>
      </c>
    </row>
    <row r="1112" spans="1:11">
      <c r="A1112" s="30" t="s">
        <v>2895</v>
      </c>
      <c r="B1112" s="30" t="s">
        <v>2896</v>
      </c>
      <c r="C1112" s="30" t="s">
        <v>2897</v>
      </c>
      <c r="D1112" s="30" t="s">
        <v>17</v>
      </c>
      <c r="E1112" s="30" t="s">
        <v>18</v>
      </c>
      <c r="F1112" s="30" t="s">
        <v>19</v>
      </c>
      <c r="G1112" s="30" t="s">
        <v>20</v>
      </c>
      <c r="H1112" s="32">
        <v>350</v>
      </c>
      <c r="I1112" s="30" t="s">
        <v>21</v>
      </c>
      <c r="J1112" s="41">
        <v>44113</v>
      </c>
      <c r="K1112" s="30" t="s">
        <v>22</v>
      </c>
    </row>
    <row r="1113" spans="1:11">
      <c r="A1113" s="33" t="s">
        <v>2898</v>
      </c>
      <c r="B1113" s="33" t="s">
        <v>2899</v>
      </c>
      <c r="C1113" s="33" t="s">
        <v>2900</v>
      </c>
      <c r="D1113" s="33" t="s">
        <v>17</v>
      </c>
      <c r="E1113" s="33" t="s">
        <v>31</v>
      </c>
      <c r="F1113" s="33" t="s">
        <v>32</v>
      </c>
      <c r="G1113" s="33" t="s">
        <v>20</v>
      </c>
      <c r="H1113" s="35">
        <v>115</v>
      </c>
      <c r="I1113" s="33" t="s">
        <v>21</v>
      </c>
      <c r="J1113" s="42">
        <v>44176</v>
      </c>
      <c r="K1113" s="33" t="s">
        <v>22</v>
      </c>
    </row>
    <row r="1114" spans="1:11">
      <c r="A1114" s="30" t="s">
        <v>2901</v>
      </c>
      <c r="B1114" s="30" t="s">
        <v>2902</v>
      </c>
      <c r="C1114" s="30" t="s">
        <v>109</v>
      </c>
      <c r="D1114" s="30" t="s">
        <v>17</v>
      </c>
      <c r="E1114" s="30" t="s">
        <v>31</v>
      </c>
      <c r="F1114" s="30" t="s">
        <v>32</v>
      </c>
      <c r="G1114" s="30" t="s">
        <v>106</v>
      </c>
      <c r="H1114" s="32">
        <v>13</v>
      </c>
      <c r="I1114" s="30" t="s">
        <v>21</v>
      </c>
      <c r="J1114" s="41">
        <v>44165</v>
      </c>
      <c r="K1114" s="30" t="s">
        <v>22</v>
      </c>
    </row>
    <row r="1115" spans="1:11">
      <c r="A1115" s="33" t="s">
        <v>2903</v>
      </c>
      <c r="B1115" s="33" t="s">
        <v>2904</v>
      </c>
      <c r="C1115" s="33" t="s">
        <v>2905</v>
      </c>
      <c r="D1115" s="33" t="s">
        <v>17</v>
      </c>
      <c r="E1115" s="33" t="s">
        <v>212</v>
      </c>
      <c r="F1115" s="33" t="s">
        <v>213</v>
      </c>
      <c r="G1115" s="33" t="s">
        <v>20</v>
      </c>
      <c r="H1115" s="35">
        <v>120</v>
      </c>
      <c r="I1115" s="33" t="s">
        <v>21</v>
      </c>
      <c r="J1115" s="42">
        <v>44013</v>
      </c>
      <c r="K1115" s="33" t="s">
        <v>22</v>
      </c>
    </row>
    <row r="1116" spans="1:11">
      <c r="A1116" s="30" t="s">
        <v>2906</v>
      </c>
      <c r="B1116" s="30" t="s">
        <v>2907</v>
      </c>
      <c r="C1116" s="30" t="s">
        <v>2908</v>
      </c>
      <c r="D1116" s="30" t="s">
        <v>17</v>
      </c>
      <c r="E1116" s="30" t="s">
        <v>31</v>
      </c>
      <c r="F1116" s="30" t="s">
        <v>32</v>
      </c>
      <c r="G1116" s="30" t="s">
        <v>20</v>
      </c>
      <c r="H1116" s="32">
        <v>259</v>
      </c>
      <c r="I1116" s="30" t="s">
        <v>21</v>
      </c>
      <c r="J1116" s="41">
        <v>44018</v>
      </c>
      <c r="K1116" s="30" t="s">
        <v>22</v>
      </c>
    </row>
    <row r="1117" spans="1:11">
      <c r="A1117" s="33" t="s">
        <v>2909</v>
      </c>
      <c r="B1117" s="33" t="s">
        <v>2910</v>
      </c>
      <c r="C1117" s="33" t="s">
        <v>75</v>
      </c>
      <c r="D1117" s="33" t="s">
        <v>17</v>
      </c>
      <c r="E1117" s="33" t="s">
        <v>26</v>
      </c>
      <c r="F1117" s="33" t="s">
        <v>27</v>
      </c>
      <c r="G1117" s="33" t="s">
        <v>20</v>
      </c>
      <c r="H1117" s="35">
        <v>34</v>
      </c>
      <c r="I1117" s="33" t="s">
        <v>21</v>
      </c>
      <c r="J1117" s="42">
        <v>43887</v>
      </c>
      <c r="K1117" s="33" t="s">
        <v>22</v>
      </c>
    </row>
    <row r="1118" spans="1:11">
      <c r="A1118" s="30" t="s">
        <v>2911</v>
      </c>
      <c r="B1118" s="30" t="s">
        <v>2912</v>
      </c>
      <c r="C1118" s="30" t="s">
        <v>2913</v>
      </c>
      <c r="D1118" s="30" t="s">
        <v>17</v>
      </c>
      <c r="E1118" s="30" t="s">
        <v>31</v>
      </c>
      <c r="F1118" s="30" t="s">
        <v>32</v>
      </c>
      <c r="G1118" s="30" t="s">
        <v>112</v>
      </c>
      <c r="H1118" s="32">
        <v>0</v>
      </c>
      <c r="I1118" s="30" t="s">
        <v>21</v>
      </c>
      <c r="J1118" s="41">
        <v>43831</v>
      </c>
      <c r="K1118" s="30" t="s">
        <v>22</v>
      </c>
    </row>
    <row r="1119" spans="1:11">
      <c r="A1119" s="33" t="s">
        <v>2914</v>
      </c>
      <c r="B1119" s="33" t="s">
        <v>2915</v>
      </c>
      <c r="C1119" s="33" t="s">
        <v>326</v>
      </c>
      <c r="D1119" s="33" t="s">
        <v>17</v>
      </c>
      <c r="E1119" s="33" t="s">
        <v>31</v>
      </c>
      <c r="F1119" s="33" t="s">
        <v>32</v>
      </c>
      <c r="G1119" s="33" t="s">
        <v>106</v>
      </c>
      <c r="H1119" s="35">
        <v>9</v>
      </c>
      <c r="I1119" s="33" t="s">
        <v>21</v>
      </c>
      <c r="J1119" s="42">
        <v>43880</v>
      </c>
      <c r="K1119" s="33" t="s">
        <v>22</v>
      </c>
    </row>
    <row r="1120" spans="1:11">
      <c r="A1120" s="30" t="s">
        <v>2916</v>
      </c>
      <c r="B1120" s="30" t="s">
        <v>2917</v>
      </c>
      <c r="C1120" s="30" t="s">
        <v>203</v>
      </c>
      <c r="D1120" s="30" t="s">
        <v>17</v>
      </c>
      <c r="E1120" s="30" t="s">
        <v>31</v>
      </c>
      <c r="F1120" s="30" t="s">
        <v>32</v>
      </c>
      <c r="G1120" s="30" t="s">
        <v>20</v>
      </c>
      <c r="H1120" s="32">
        <v>750</v>
      </c>
      <c r="I1120" s="30" t="s">
        <v>21</v>
      </c>
      <c r="J1120" s="41">
        <v>44112</v>
      </c>
      <c r="K1120" s="30" t="s">
        <v>22</v>
      </c>
    </row>
    <row r="1121" spans="1:11">
      <c r="A1121" s="33" t="s">
        <v>2918</v>
      </c>
      <c r="B1121" s="33" t="s">
        <v>2919</v>
      </c>
      <c r="C1121" s="33" t="s">
        <v>93</v>
      </c>
      <c r="D1121" s="33" t="s">
        <v>17</v>
      </c>
      <c r="E1121" s="33" t="s">
        <v>31</v>
      </c>
      <c r="F1121" s="33" t="s">
        <v>32</v>
      </c>
      <c r="G1121" s="33" t="s">
        <v>20</v>
      </c>
      <c r="H1121" s="35">
        <v>46</v>
      </c>
      <c r="I1121" s="33" t="s">
        <v>21</v>
      </c>
      <c r="J1121" s="42">
        <v>43988</v>
      </c>
      <c r="K1121" s="33" t="s">
        <v>22</v>
      </c>
    </row>
    <row r="1122" spans="1:11">
      <c r="A1122" s="30" t="s">
        <v>2920</v>
      </c>
      <c r="B1122" s="30" t="s">
        <v>2921</v>
      </c>
      <c r="C1122" s="30" t="s">
        <v>2922</v>
      </c>
      <c r="D1122" s="30" t="s">
        <v>17</v>
      </c>
      <c r="E1122" s="30" t="s">
        <v>26</v>
      </c>
      <c r="F1122" s="30" t="s">
        <v>27</v>
      </c>
      <c r="G1122" s="30" t="s">
        <v>158</v>
      </c>
      <c r="H1122" s="32">
        <v>13</v>
      </c>
      <c r="I1122" s="30" t="s">
        <v>21</v>
      </c>
      <c r="J1122" s="41">
        <v>43984</v>
      </c>
      <c r="K1122" s="30" t="s">
        <v>22</v>
      </c>
    </row>
    <row r="1123" spans="1:11">
      <c r="A1123" s="33" t="s">
        <v>2923</v>
      </c>
      <c r="B1123" s="33" t="s">
        <v>2924</v>
      </c>
      <c r="C1123" s="33" t="s">
        <v>93</v>
      </c>
      <c r="D1123" s="33" t="s">
        <v>17</v>
      </c>
      <c r="E1123" s="33" t="s">
        <v>18</v>
      </c>
      <c r="F1123" s="33" t="s">
        <v>19</v>
      </c>
      <c r="G1123" s="33" t="s">
        <v>20</v>
      </c>
      <c r="H1123" s="35">
        <v>130</v>
      </c>
      <c r="I1123" s="33" t="s">
        <v>21</v>
      </c>
      <c r="J1123" s="42">
        <v>43990</v>
      </c>
      <c r="K1123" s="33" t="s">
        <v>22</v>
      </c>
    </row>
    <row r="1124" spans="1:11">
      <c r="A1124" s="30" t="s">
        <v>2925</v>
      </c>
      <c r="B1124" s="30" t="s">
        <v>2926</v>
      </c>
      <c r="C1124" s="30" t="s">
        <v>2927</v>
      </c>
      <c r="D1124" s="30" t="s">
        <v>17</v>
      </c>
      <c r="E1124" s="30" t="s">
        <v>26</v>
      </c>
      <c r="F1124" s="30" t="s">
        <v>27</v>
      </c>
      <c r="G1124" s="30" t="s">
        <v>106</v>
      </c>
      <c r="H1124" s="32">
        <v>24</v>
      </c>
      <c r="I1124" s="30" t="s">
        <v>21</v>
      </c>
      <c r="J1124" s="41">
        <v>43930</v>
      </c>
      <c r="K1124" s="30" t="s">
        <v>22</v>
      </c>
    </row>
    <row r="1125" spans="1:11">
      <c r="A1125" s="33" t="s">
        <v>2928</v>
      </c>
      <c r="B1125" s="33" t="s">
        <v>2929</v>
      </c>
      <c r="C1125" s="33" t="s">
        <v>546</v>
      </c>
      <c r="D1125" s="33" t="s">
        <v>17</v>
      </c>
      <c r="E1125" s="33" t="s">
        <v>26</v>
      </c>
      <c r="F1125" s="33" t="s">
        <v>27</v>
      </c>
      <c r="G1125" s="33" t="s">
        <v>50</v>
      </c>
      <c r="H1125" s="35">
        <v>40</v>
      </c>
      <c r="I1125" s="33" t="s">
        <v>51</v>
      </c>
      <c r="J1125" s="42">
        <v>43874</v>
      </c>
      <c r="K1125" s="33" t="s">
        <v>22</v>
      </c>
    </row>
    <row r="1126" spans="1:11">
      <c r="A1126" s="30" t="s">
        <v>2930</v>
      </c>
      <c r="B1126" s="30" t="s">
        <v>2931</v>
      </c>
      <c r="C1126" s="30" t="s">
        <v>771</v>
      </c>
      <c r="D1126" s="30" t="s">
        <v>17</v>
      </c>
      <c r="E1126" s="30" t="s">
        <v>26</v>
      </c>
      <c r="F1126" s="30" t="s">
        <v>27</v>
      </c>
      <c r="G1126" s="30" t="s">
        <v>106</v>
      </c>
      <c r="H1126" s="32">
        <v>25</v>
      </c>
      <c r="I1126" s="30" t="s">
        <v>21</v>
      </c>
      <c r="J1126" s="41">
        <v>43922</v>
      </c>
      <c r="K1126" s="30" t="s">
        <v>22</v>
      </c>
    </row>
    <row r="1127" spans="1:11">
      <c r="A1127" s="33" t="s">
        <v>2932</v>
      </c>
      <c r="B1127" s="33" t="s">
        <v>2933</v>
      </c>
      <c r="C1127" s="33" t="s">
        <v>2934</v>
      </c>
      <c r="D1127" s="33" t="s">
        <v>17</v>
      </c>
      <c r="E1127" s="33" t="s">
        <v>31</v>
      </c>
      <c r="F1127" s="33" t="s">
        <v>32</v>
      </c>
      <c r="G1127" s="33" t="s">
        <v>50</v>
      </c>
      <c r="H1127" s="35">
        <v>100</v>
      </c>
      <c r="I1127" s="33" t="s">
        <v>51</v>
      </c>
      <c r="J1127" s="42">
        <v>44043</v>
      </c>
      <c r="K1127" s="33" t="s">
        <v>22</v>
      </c>
    </row>
    <row r="1128" spans="1:11">
      <c r="A1128" s="30" t="s">
        <v>2935</v>
      </c>
      <c r="B1128" s="30" t="s">
        <v>2936</v>
      </c>
      <c r="C1128" s="30" t="s">
        <v>2937</v>
      </c>
      <c r="D1128" s="30" t="s">
        <v>17</v>
      </c>
      <c r="E1128" s="30" t="s">
        <v>67</v>
      </c>
      <c r="F1128" s="30" t="s">
        <v>68</v>
      </c>
      <c r="G1128" s="30" t="s">
        <v>140</v>
      </c>
      <c r="H1128" s="32">
        <v>28</v>
      </c>
      <c r="I1128" s="30" t="s">
        <v>51</v>
      </c>
      <c r="J1128" s="41">
        <v>44075</v>
      </c>
      <c r="K1128" s="30" t="s">
        <v>22</v>
      </c>
    </row>
    <row r="1129" spans="1:11">
      <c r="A1129" s="33" t="s">
        <v>2938</v>
      </c>
      <c r="B1129" s="33" t="s">
        <v>2939</v>
      </c>
      <c r="C1129" s="33" t="s">
        <v>450</v>
      </c>
      <c r="D1129" s="33" t="s">
        <v>17</v>
      </c>
      <c r="E1129" s="33" t="s">
        <v>18</v>
      </c>
      <c r="F1129" s="33" t="s">
        <v>19</v>
      </c>
      <c r="G1129" s="33" t="s">
        <v>20</v>
      </c>
      <c r="H1129" s="35">
        <v>148</v>
      </c>
      <c r="I1129" s="33" t="s">
        <v>21</v>
      </c>
      <c r="J1129" s="42">
        <v>44175</v>
      </c>
      <c r="K1129" s="33" t="s">
        <v>22</v>
      </c>
    </row>
    <row r="1130" spans="1:11">
      <c r="A1130" s="30" t="s">
        <v>2940</v>
      </c>
      <c r="B1130" s="30" t="s">
        <v>2941</v>
      </c>
      <c r="C1130" s="30" t="s">
        <v>318</v>
      </c>
      <c r="D1130" s="30" t="s">
        <v>17</v>
      </c>
      <c r="E1130" s="30" t="s">
        <v>18</v>
      </c>
      <c r="F1130" s="30" t="s">
        <v>19</v>
      </c>
      <c r="G1130" s="30" t="s">
        <v>158</v>
      </c>
      <c r="H1130" s="32">
        <v>135</v>
      </c>
      <c r="I1130" s="30" t="s">
        <v>21</v>
      </c>
      <c r="J1130" s="41">
        <v>44169</v>
      </c>
      <c r="K1130" s="30" t="s">
        <v>22</v>
      </c>
    </row>
    <row r="1131" spans="1:11">
      <c r="A1131" s="33" t="s">
        <v>2942</v>
      </c>
      <c r="B1131" s="33" t="s">
        <v>2943</v>
      </c>
      <c r="C1131" s="33" t="s">
        <v>2944</v>
      </c>
      <c r="D1131" s="33" t="s">
        <v>17</v>
      </c>
      <c r="E1131" s="33" t="s">
        <v>31</v>
      </c>
      <c r="F1131" s="33" t="s">
        <v>32</v>
      </c>
      <c r="G1131" s="33" t="s">
        <v>112</v>
      </c>
      <c r="H1131" s="35">
        <v>0</v>
      </c>
      <c r="I1131" s="33" t="s">
        <v>21</v>
      </c>
      <c r="J1131" s="42">
        <v>44075</v>
      </c>
      <c r="K1131" s="33" t="s">
        <v>22</v>
      </c>
    </row>
    <row r="1132" spans="1:11">
      <c r="A1132" s="30" t="s">
        <v>2945</v>
      </c>
      <c r="B1132" s="30" t="s">
        <v>2946</v>
      </c>
      <c r="C1132" s="30" t="s">
        <v>44</v>
      </c>
      <c r="D1132" s="30" t="s">
        <v>17</v>
      </c>
      <c r="E1132" s="30" t="s">
        <v>67</v>
      </c>
      <c r="F1132" s="30" t="s">
        <v>68</v>
      </c>
      <c r="G1132" s="30" t="s">
        <v>158</v>
      </c>
      <c r="H1132" s="32">
        <v>548</v>
      </c>
      <c r="I1132" s="30" t="s">
        <v>21</v>
      </c>
      <c r="J1132" s="41">
        <v>44186</v>
      </c>
      <c r="K1132" s="30" t="s">
        <v>22</v>
      </c>
    </row>
    <row r="1133" spans="1:11">
      <c r="A1133" s="33" t="s">
        <v>2947</v>
      </c>
      <c r="B1133" s="33" t="s">
        <v>2948</v>
      </c>
      <c r="C1133" s="33" t="s">
        <v>429</v>
      </c>
      <c r="D1133" s="33" t="s">
        <v>17</v>
      </c>
      <c r="E1133" s="33" t="s">
        <v>26</v>
      </c>
      <c r="F1133" s="33" t="s">
        <v>27</v>
      </c>
      <c r="G1133" s="33" t="s">
        <v>20</v>
      </c>
      <c r="H1133" s="35">
        <v>25</v>
      </c>
      <c r="I1133" s="33" t="s">
        <v>21</v>
      </c>
      <c r="J1133" s="42">
        <v>44181</v>
      </c>
      <c r="K1133" s="33" t="s">
        <v>22</v>
      </c>
    </row>
    <row r="1134" spans="1:11">
      <c r="A1134" s="30" t="s">
        <v>2949</v>
      </c>
      <c r="B1134" s="30" t="s">
        <v>2950</v>
      </c>
      <c r="C1134" s="30" t="s">
        <v>136</v>
      </c>
      <c r="D1134" s="30" t="s">
        <v>17</v>
      </c>
      <c r="E1134" s="30" t="s">
        <v>26</v>
      </c>
      <c r="F1134" s="30" t="s">
        <v>27</v>
      </c>
      <c r="G1134" s="30" t="s">
        <v>20</v>
      </c>
      <c r="H1134" s="32">
        <v>40</v>
      </c>
      <c r="I1134" s="30" t="s">
        <v>21</v>
      </c>
      <c r="J1134" s="41">
        <v>44077</v>
      </c>
      <c r="K1134" s="30" t="s">
        <v>22</v>
      </c>
    </row>
    <row r="1135" spans="1:11">
      <c r="A1135" s="33" t="s">
        <v>2951</v>
      </c>
      <c r="B1135" s="33" t="s">
        <v>2952</v>
      </c>
      <c r="C1135" s="33" t="s">
        <v>190</v>
      </c>
      <c r="D1135" s="33" t="s">
        <v>17</v>
      </c>
      <c r="E1135" s="33" t="s">
        <v>26</v>
      </c>
      <c r="F1135" s="33" t="s">
        <v>27</v>
      </c>
      <c r="G1135" s="33" t="s">
        <v>20</v>
      </c>
      <c r="H1135" s="35">
        <v>35</v>
      </c>
      <c r="I1135" s="33" t="s">
        <v>21</v>
      </c>
      <c r="J1135" s="42">
        <v>44032</v>
      </c>
      <c r="K1135" s="33" t="s">
        <v>22</v>
      </c>
    </row>
    <row r="1136" spans="1:11">
      <c r="A1136" s="30" t="s">
        <v>2953</v>
      </c>
      <c r="B1136" s="30" t="s">
        <v>2954</v>
      </c>
      <c r="C1136" s="30" t="s">
        <v>1090</v>
      </c>
      <c r="D1136" s="30" t="s">
        <v>17</v>
      </c>
      <c r="E1136" s="30" t="s">
        <v>26</v>
      </c>
      <c r="F1136" s="30" t="s">
        <v>27</v>
      </c>
      <c r="G1136" s="30" t="s">
        <v>106</v>
      </c>
      <c r="H1136" s="32">
        <v>38</v>
      </c>
      <c r="I1136" s="30" t="s">
        <v>21</v>
      </c>
      <c r="J1136" s="41">
        <v>44189</v>
      </c>
      <c r="K1136" s="30" t="s">
        <v>22</v>
      </c>
    </row>
    <row r="1137" spans="1:11">
      <c r="A1137" s="33" t="s">
        <v>2955</v>
      </c>
      <c r="B1137" s="33" t="s">
        <v>2956</v>
      </c>
      <c r="C1137" s="33" t="s">
        <v>136</v>
      </c>
      <c r="D1137" s="33" t="s">
        <v>17</v>
      </c>
      <c r="E1137" s="33" t="s">
        <v>212</v>
      </c>
      <c r="F1137" s="33" t="s">
        <v>213</v>
      </c>
      <c r="G1137" s="33" t="s">
        <v>20</v>
      </c>
      <c r="H1137" s="35">
        <v>1050</v>
      </c>
      <c r="I1137" s="33" t="s">
        <v>21</v>
      </c>
      <c r="J1137" s="42">
        <v>43875</v>
      </c>
      <c r="K1137" s="33" t="s">
        <v>22</v>
      </c>
    </row>
    <row r="1138" spans="1:11">
      <c r="A1138" s="30" t="s">
        <v>2957</v>
      </c>
      <c r="B1138" s="30" t="s">
        <v>2958</v>
      </c>
      <c r="C1138" s="30" t="s">
        <v>2292</v>
      </c>
      <c r="D1138" s="30" t="s">
        <v>17</v>
      </c>
      <c r="E1138" s="30" t="s">
        <v>31</v>
      </c>
      <c r="F1138" s="30" t="s">
        <v>32</v>
      </c>
      <c r="G1138" s="30" t="s">
        <v>158</v>
      </c>
      <c r="H1138" s="32">
        <v>31</v>
      </c>
      <c r="I1138" s="30" t="s">
        <v>21</v>
      </c>
      <c r="J1138" s="41">
        <v>43928</v>
      </c>
      <c r="K1138" s="30" t="s">
        <v>22</v>
      </c>
    </row>
    <row r="1139" spans="1:11">
      <c r="A1139" s="33" t="s">
        <v>2959</v>
      </c>
      <c r="B1139" s="33" t="s">
        <v>2960</v>
      </c>
      <c r="C1139" s="33" t="s">
        <v>124</v>
      </c>
      <c r="D1139" s="33" t="s">
        <v>17</v>
      </c>
      <c r="E1139" s="33" t="s">
        <v>26</v>
      </c>
      <c r="F1139" s="33" t="s">
        <v>27</v>
      </c>
      <c r="G1139" s="33" t="s">
        <v>20</v>
      </c>
      <c r="H1139" s="35">
        <v>18</v>
      </c>
      <c r="I1139" s="33" t="s">
        <v>21</v>
      </c>
      <c r="J1139" s="42">
        <v>43977</v>
      </c>
      <c r="K1139" s="33" t="s">
        <v>22</v>
      </c>
    </row>
    <row r="1140" spans="1:11">
      <c r="A1140" s="30" t="s">
        <v>2961</v>
      </c>
      <c r="B1140" s="30" t="s">
        <v>2962</v>
      </c>
      <c r="C1140" s="30" t="s">
        <v>102</v>
      </c>
      <c r="D1140" s="30" t="s">
        <v>17</v>
      </c>
      <c r="E1140" s="30" t="s">
        <v>18</v>
      </c>
      <c r="F1140" s="30" t="s">
        <v>19</v>
      </c>
      <c r="G1140" s="30" t="s">
        <v>158</v>
      </c>
      <c r="H1140" s="32">
        <v>308</v>
      </c>
      <c r="I1140" s="30" t="s">
        <v>21</v>
      </c>
      <c r="J1140" s="41">
        <v>44117</v>
      </c>
      <c r="K1140" s="30" t="s">
        <v>22</v>
      </c>
    </row>
    <row r="1141" spans="1:11">
      <c r="A1141" s="33" t="s">
        <v>2963</v>
      </c>
      <c r="B1141" s="33" t="s">
        <v>2964</v>
      </c>
      <c r="C1141" s="33" t="s">
        <v>2965</v>
      </c>
      <c r="D1141" s="33" t="s">
        <v>17</v>
      </c>
      <c r="E1141" s="33" t="s">
        <v>31</v>
      </c>
      <c r="F1141" s="33" t="s">
        <v>32</v>
      </c>
      <c r="G1141" s="33" t="s">
        <v>20</v>
      </c>
      <c r="H1141" s="35">
        <v>10</v>
      </c>
      <c r="I1141" s="33" t="s">
        <v>21</v>
      </c>
      <c r="J1141" s="42">
        <v>44105</v>
      </c>
      <c r="K1141" s="33" t="s">
        <v>22</v>
      </c>
    </row>
    <row r="1142" spans="1:11">
      <c r="A1142" s="30" t="s">
        <v>2966</v>
      </c>
      <c r="B1142" s="30" t="s">
        <v>2967</v>
      </c>
      <c r="C1142" s="30" t="s">
        <v>426</v>
      </c>
      <c r="D1142" s="30" t="s">
        <v>17</v>
      </c>
      <c r="E1142" s="30" t="s">
        <v>67</v>
      </c>
      <c r="F1142" s="30" t="s">
        <v>68</v>
      </c>
      <c r="G1142" s="30" t="s">
        <v>112</v>
      </c>
      <c r="H1142" s="32">
        <v>0</v>
      </c>
      <c r="I1142" s="30" t="s">
        <v>21</v>
      </c>
      <c r="J1142" s="41">
        <v>44180</v>
      </c>
      <c r="K1142" s="30" t="s">
        <v>22</v>
      </c>
    </row>
    <row r="1143" spans="1:11">
      <c r="A1143" s="33" t="s">
        <v>2968</v>
      </c>
      <c r="B1143" s="33" t="s">
        <v>2969</v>
      </c>
      <c r="C1143" s="33" t="s">
        <v>1016</v>
      </c>
      <c r="D1143" s="33" t="s">
        <v>17</v>
      </c>
      <c r="E1143" s="33" t="s">
        <v>67</v>
      </c>
      <c r="F1143" s="33" t="s">
        <v>68</v>
      </c>
      <c r="G1143" s="33" t="s">
        <v>20</v>
      </c>
      <c r="H1143" s="35">
        <v>106</v>
      </c>
      <c r="I1143" s="33" t="s">
        <v>21</v>
      </c>
      <c r="J1143" s="42">
        <v>44047</v>
      </c>
      <c r="K1143" s="33" t="s">
        <v>22</v>
      </c>
    </row>
    <row r="1144" spans="1:11">
      <c r="A1144" s="30" t="s">
        <v>2970</v>
      </c>
      <c r="B1144" s="30" t="s">
        <v>2971</v>
      </c>
      <c r="C1144" s="30" t="s">
        <v>2972</v>
      </c>
      <c r="D1144" s="30" t="s">
        <v>17</v>
      </c>
      <c r="E1144" s="30" t="s">
        <v>67</v>
      </c>
      <c r="F1144" s="30" t="s">
        <v>68</v>
      </c>
      <c r="G1144" s="30" t="s">
        <v>158</v>
      </c>
      <c r="H1144" s="32">
        <v>410</v>
      </c>
      <c r="I1144" s="30" t="s">
        <v>21</v>
      </c>
      <c r="J1144" s="41">
        <v>43886</v>
      </c>
      <c r="K1144" s="30" t="s">
        <v>22</v>
      </c>
    </row>
    <row r="1145" spans="1:11">
      <c r="A1145" s="33" t="s">
        <v>2973</v>
      </c>
      <c r="B1145" s="33" t="s">
        <v>2974</v>
      </c>
      <c r="C1145" s="33" t="s">
        <v>2975</v>
      </c>
      <c r="D1145" s="33" t="s">
        <v>17</v>
      </c>
      <c r="E1145" s="33" t="s">
        <v>26</v>
      </c>
      <c r="F1145" s="33" t="s">
        <v>27</v>
      </c>
      <c r="G1145" s="33" t="s">
        <v>20</v>
      </c>
      <c r="H1145" s="35">
        <v>11</v>
      </c>
      <c r="I1145" s="33" t="s">
        <v>21</v>
      </c>
      <c r="J1145" s="42">
        <v>44130</v>
      </c>
      <c r="K1145" s="33" t="s">
        <v>22</v>
      </c>
    </row>
    <row r="1146" spans="1:11">
      <c r="A1146" s="30" t="s">
        <v>2976</v>
      </c>
      <c r="B1146" s="30" t="s">
        <v>2977</v>
      </c>
      <c r="C1146" s="30" t="s">
        <v>2978</v>
      </c>
      <c r="D1146" s="30" t="s">
        <v>17</v>
      </c>
      <c r="E1146" s="30" t="s">
        <v>26</v>
      </c>
      <c r="F1146" s="30" t="s">
        <v>27</v>
      </c>
      <c r="G1146" s="30" t="s">
        <v>50</v>
      </c>
      <c r="H1146" s="32">
        <v>4</v>
      </c>
      <c r="I1146" s="30" t="s">
        <v>21</v>
      </c>
      <c r="J1146" s="41">
        <v>44170</v>
      </c>
      <c r="K1146" s="30" t="s">
        <v>22</v>
      </c>
    </row>
    <row r="1147" spans="1:11">
      <c r="A1147" s="33" t="s">
        <v>2979</v>
      </c>
      <c r="B1147" s="33" t="s">
        <v>2980</v>
      </c>
      <c r="C1147" s="33" t="s">
        <v>2663</v>
      </c>
      <c r="D1147" s="33" t="s">
        <v>17</v>
      </c>
      <c r="E1147" s="33" t="s">
        <v>26</v>
      </c>
      <c r="F1147" s="33" t="s">
        <v>27</v>
      </c>
      <c r="G1147" s="33" t="s">
        <v>20</v>
      </c>
      <c r="H1147" s="35">
        <v>17</v>
      </c>
      <c r="I1147" s="33" t="s">
        <v>21</v>
      </c>
      <c r="J1147" s="42">
        <v>44008</v>
      </c>
      <c r="K1147" s="33" t="s">
        <v>22</v>
      </c>
    </row>
    <row r="1148" spans="1:11">
      <c r="A1148" s="30" t="s">
        <v>2981</v>
      </c>
      <c r="B1148" s="30" t="s">
        <v>2982</v>
      </c>
      <c r="C1148" s="30" t="s">
        <v>2983</v>
      </c>
      <c r="D1148" s="30" t="s">
        <v>17</v>
      </c>
      <c r="E1148" s="30" t="s">
        <v>31</v>
      </c>
      <c r="F1148" s="30" t="s">
        <v>32</v>
      </c>
      <c r="G1148" s="30" t="s">
        <v>20</v>
      </c>
      <c r="H1148" s="32">
        <v>122</v>
      </c>
      <c r="I1148" s="30" t="s">
        <v>21</v>
      </c>
      <c r="J1148" s="41">
        <v>44073</v>
      </c>
      <c r="K1148" s="30" t="s">
        <v>22</v>
      </c>
    </row>
    <row r="1149" spans="1:11">
      <c r="A1149" s="33" t="s">
        <v>2984</v>
      </c>
      <c r="B1149" s="33" t="s">
        <v>2985</v>
      </c>
      <c r="C1149" s="33" t="s">
        <v>1112</v>
      </c>
      <c r="D1149" s="33" t="s">
        <v>17</v>
      </c>
      <c r="E1149" s="33" t="s">
        <v>26</v>
      </c>
      <c r="F1149" s="33" t="s">
        <v>27</v>
      </c>
      <c r="G1149" s="33" t="s">
        <v>20</v>
      </c>
      <c r="H1149" s="35">
        <v>49</v>
      </c>
      <c r="I1149" s="33" t="s">
        <v>21</v>
      </c>
      <c r="J1149" s="42">
        <v>43950</v>
      </c>
      <c r="K1149" s="33" t="s">
        <v>22</v>
      </c>
    </row>
    <row r="1150" spans="1:11">
      <c r="A1150" s="30" t="s">
        <v>2986</v>
      </c>
      <c r="B1150" s="30" t="s">
        <v>2987</v>
      </c>
      <c r="C1150" s="30" t="s">
        <v>2988</v>
      </c>
      <c r="D1150" s="30" t="s">
        <v>17</v>
      </c>
      <c r="E1150" s="30" t="s">
        <v>26</v>
      </c>
      <c r="F1150" s="30" t="s">
        <v>27</v>
      </c>
      <c r="G1150" s="30" t="s">
        <v>20</v>
      </c>
      <c r="H1150" s="32">
        <v>66</v>
      </c>
      <c r="I1150" s="30" t="s">
        <v>21</v>
      </c>
      <c r="J1150" s="41">
        <v>43901</v>
      </c>
      <c r="K1150" s="30" t="s">
        <v>22</v>
      </c>
    </row>
    <row r="1151" spans="1:11">
      <c r="A1151" s="33" t="s">
        <v>2989</v>
      </c>
      <c r="B1151" s="33" t="s">
        <v>2990</v>
      </c>
      <c r="C1151" s="33" t="s">
        <v>2897</v>
      </c>
      <c r="D1151" s="33" t="s">
        <v>17</v>
      </c>
      <c r="E1151" s="33" t="s">
        <v>18</v>
      </c>
      <c r="F1151" s="33" t="s">
        <v>19</v>
      </c>
      <c r="G1151" s="33" t="s">
        <v>20</v>
      </c>
      <c r="H1151" s="35">
        <v>351</v>
      </c>
      <c r="I1151" s="33" t="s">
        <v>21</v>
      </c>
      <c r="J1151" s="42">
        <v>44169</v>
      </c>
      <c r="K1151" s="33" t="s">
        <v>22</v>
      </c>
    </row>
    <row r="1152" spans="1:11">
      <c r="A1152" s="30" t="s">
        <v>2991</v>
      </c>
      <c r="B1152" s="30" t="s">
        <v>2992</v>
      </c>
      <c r="C1152" s="30" t="s">
        <v>2993</v>
      </c>
      <c r="D1152" s="30" t="s">
        <v>17</v>
      </c>
      <c r="E1152" s="30" t="s">
        <v>330</v>
      </c>
      <c r="F1152" s="30" t="s">
        <v>331</v>
      </c>
      <c r="G1152" s="30" t="s">
        <v>50</v>
      </c>
      <c r="H1152" s="32">
        <v>100</v>
      </c>
      <c r="I1152" s="30" t="s">
        <v>51</v>
      </c>
      <c r="J1152" s="41">
        <v>43946</v>
      </c>
      <c r="K1152" s="30" t="s">
        <v>22</v>
      </c>
    </row>
    <row r="1153" spans="1:11">
      <c r="A1153" s="33" t="s">
        <v>2994</v>
      </c>
      <c r="B1153" s="33" t="s">
        <v>2995</v>
      </c>
      <c r="C1153" s="33" t="s">
        <v>2996</v>
      </c>
      <c r="D1153" s="33" t="s">
        <v>17</v>
      </c>
      <c r="E1153" s="33" t="s">
        <v>212</v>
      </c>
      <c r="F1153" s="33" t="s">
        <v>213</v>
      </c>
      <c r="G1153" s="33" t="s">
        <v>20</v>
      </c>
      <c r="H1153" s="35">
        <v>1948</v>
      </c>
      <c r="I1153" s="33" t="s">
        <v>21</v>
      </c>
      <c r="J1153" s="42">
        <v>43885</v>
      </c>
      <c r="K1153" s="33" t="s">
        <v>22</v>
      </c>
    </row>
    <row r="1154" spans="1:11">
      <c r="A1154" s="30" t="s">
        <v>2997</v>
      </c>
      <c r="B1154" s="30" t="s">
        <v>2998</v>
      </c>
      <c r="C1154" s="30" t="s">
        <v>72</v>
      </c>
      <c r="D1154" s="30" t="s">
        <v>17</v>
      </c>
      <c r="E1154" s="30" t="s">
        <v>67</v>
      </c>
      <c r="F1154" s="30" t="s">
        <v>68</v>
      </c>
      <c r="G1154" s="30" t="s">
        <v>20</v>
      </c>
      <c r="H1154" s="32">
        <v>59</v>
      </c>
      <c r="I1154" s="30" t="s">
        <v>21</v>
      </c>
      <c r="J1154" s="41">
        <v>44050</v>
      </c>
      <c r="K1154" s="30" t="s">
        <v>22</v>
      </c>
    </row>
    <row r="1155" spans="1:11">
      <c r="A1155" s="33" t="s">
        <v>2999</v>
      </c>
      <c r="B1155" s="33" t="s">
        <v>3000</v>
      </c>
      <c r="C1155" s="33" t="s">
        <v>3001</v>
      </c>
      <c r="D1155" s="33" t="s">
        <v>17</v>
      </c>
      <c r="E1155" s="33" t="s">
        <v>26</v>
      </c>
      <c r="F1155" s="33" t="s">
        <v>27</v>
      </c>
      <c r="G1155" s="33" t="s">
        <v>20</v>
      </c>
      <c r="H1155" s="35">
        <v>112</v>
      </c>
      <c r="I1155" s="33" t="s">
        <v>21</v>
      </c>
      <c r="J1155" s="42">
        <v>44047</v>
      </c>
      <c r="K1155" s="33" t="s">
        <v>22</v>
      </c>
    </row>
    <row r="1156" spans="1:11">
      <c r="A1156" s="30" t="s">
        <v>3002</v>
      </c>
      <c r="B1156" s="30" t="s">
        <v>3003</v>
      </c>
      <c r="C1156" s="30" t="s">
        <v>3004</v>
      </c>
      <c r="D1156" s="30" t="s">
        <v>17</v>
      </c>
      <c r="E1156" s="30" t="s">
        <v>26</v>
      </c>
      <c r="F1156" s="30" t="s">
        <v>27</v>
      </c>
      <c r="G1156" s="30" t="s">
        <v>20</v>
      </c>
      <c r="H1156" s="32">
        <v>10</v>
      </c>
      <c r="I1156" s="30" t="s">
        <v>21</v>
      </c>
      <c r="J1156" s="41">
        <v>43867</v>
      </c>
      <c r="K1156" s="30" t="s">
        <v>22</v>
      </c>
    </row>
    <row r="1157" spans="1:11">
      <c r="A1157" s="33" t="s">
        <v>3005</v>
      </c>
      <c r="B1157" s="33" t="s">
        <v>3006</v>
      </c>
      <c r="C1157" s="33" t="s">
        <v>96</v>
      </c>
      <c r="D1157" s="33" t="s">
        <v>17</v>
      </c>
      <c r="E1157" s="33" t="s">
        <v>26</v>
      </c>
      <c r="F1157" s="33" t="s">
        <v>27</v>
      </c>
      <c r="G1157" s="33" t="s">
        <v>20</v>
      </c>
      <c r="H1157" s="35">
        <v>16</v>
      </c>
      <c r="I1157" s="33" t="s">
        <v>21</v>
      </c>
      <c r="J1157" s="42">
        <v>44180</v>
      </c>
      <c r="K1157" s="33" t="s">
        <v>22</v>
      </c>
    </row>
    <row r="1158" spans="1:11">
      <c r="A1158" s="30" t="s">
        <v>3007</v>
      </c>
      <c r="B1158" s="30" t="s">
        <v>3008</v>
      </c>
      <c r="C1158" s="30" t="s">
        <v>310</v>
      </c>
      <c r="D1158" s="30" t="s">
        <v>17</v>
      </c>
      <c r="E1158" s="30" t="s">
        <v>26</v>
      </c>
      <c r="F1158" s="30" t="s">
        <v>27</v>
      </c>
      <c r="G1158" s="30" t="s">
        <v>20</v>
      </c>
      <c r="H1158" s="32">
        <v>36</v>
      </c>
      <c r="I1158" s="30" t="s">
        <v>21</v>
      </c>
      <c r="J1158" s="41">
        <v>43892</v>
      </c>
      <c r="K1158" s="30" t="s">
        <v>22</v>
      </c>
    </row>
    <row r="1159" spans="1:11">
      <c r="A1159" s="33" t="s">
        <v>3009</v>
      </c>
      <c r="B1159" s="33" t="s">
        <v>3010</v>
      </c>
      <c r="C1159" s="33" t="s">
        <v>969</v>
      </c>
      <c r="D1159" s="33" t="s">
        <v>17</v>
      </c>
      <c r="E1159" s="33" t="s">
        <v>31</v>
      </c>
      <c r="F1159" s="33" t="s">
        <v>32</v>
      </c>
      <c r="G1159" s="33" t="s">
        <v>20</v>
      </c>
      <c r="H1159" s="35">
        <v>457</v>
      </c>
      <c r="I1159" s="33" t="s">
        <v>21</v>
      </c>
      <c r="J1159" s="42">
        <v>44039</v>
      </c>
      <c r="K1159" s="33" t="s">
        <v>22</v>
      </c>
    </row>
    <row r="1160" spans="1:11">
      <c r="A1160" s="30" t="s">
        <v>3011</v>
      </c>
      <c r="B1160" s="30" t="s">
        <v>3012</v>
      </c>
      <c r="C1160" s="30" t="s">
        <v>3013</v>
      </c>
      <c r="D1160" s="30" t="s">
        <v>17</v>
      </c>
      <c r="E1160" s="30" t="s">
        <v>26</v>
      </c>
      <c r="F1160" s="30" t="s">
        <v>27</v>
      </c>
      <c r="G1160" s="30" t="s">
        <v>20</v>
      </c>
      <c r="H1160" s="32">
        <v>15</v>
      </c>
      <c r="I1160" s="30" t="s">
        <v>21</v>
      </c>
      <c r="J1160" s="41">
        <v>44090</v>
      </c>
      <c r="K1160" s="30" t="s">
        <v>22</v>
      </c>
    </row>
    <row r="1161" spans="1:11">
      <c r="A1161" s="33" t="s">
        <v>3014</v>
      </c>
      <c r="B1161" s="33" t="s">
        <v>3015</v>
      </c>
      <c r="C1161" s="33" t="s">
        <v>647</v>
      </c>
      <c r="D1161" s="33" t="s">
        <v>17</v>
      </c>
      <c r="E1161" s="33" t="s">
        <v>18</v>
      </c>
      <c r="F1161" s="33" t="s">
        <v>19</v>
      </c>
      <c r="G1161" s="33" t="s">
        <v>106</v>
      </c>
      <c r="H1161" s="35">
        <v>81</v>
      </c>
      <c r="I1161" s="33" t="s">
        <v>21</v>
      </c>
      <c r="J1161" s="42">
        <v>44097</v>
      </c>
      <c r="K1161" s="33" t="s">
        <v>22</v>
      </c>
    </row>
    <row r="1162" spans="1:11">
      <c r="A1162" s="30" t="s">
        <v>3016</v>
      </c>
      <c r="B1162" s="30" t="s">
        <v>3017</v>
      </c>
      <c r="C1162" s="30" t="s">
        <v>3018</v>
      </c>
      <c r="D1162" s="30" t="s">
        <v>17</v>
      </c>
      <c r="E1162" s="30" t="s">
        <v>26</v>
      </c>
      <c r="F1162" s="30" t="s">
        <v>27</v>
      </c>
      <c r="G1162" s="30" t="s">
        <v>20</v>
      </c>
      <c r="H1162" s="32">
        <v>12</v>
      </c>
      <c r="I1162" s="30" t="s">
        <v>21</v>
      </c>
      <c r="J1162" s="41">
        <v>44007</v>
      </c>
      <c r="K1162" s="30" t="s">
        <v>22</v>
      </c>
    </row>
    <row r="1163" spans="1:11">
      <c r="A1163" s="33" t="s">
        <v>3019</v>
      </c>
      <c r="B1163" s="33" t="s">
        <v>3020</v>
      </c>
      <c r="C1163" s="33" t="s">
        <v>2472</v>
      </c>
      <c r="D1163" s="33" t="s">
        <v>17</v>
      </c>
      <c r="E1163" s="33" t="s">
        <v>18</v>
      </c>
      <c r="F1163" s="33" t="s">
        <v>19</v>
      </c>
      <c r="G1163" s="33" t="s">
        <v>20</v>
      </c>
      <c r="H1163" s="35">
        <v>30415</v>
      </c>
      <c r="I1163" s="33" t="s">
        <v>21</v>
      </c>
      <c r="J1163" s="42">
        <v>44039</v>
      </c>
      <c r="K1163" s="33" t="s">
        <v>22</v>
      </c>
    </row>
    <row r="1164" spans="1:11">
      <c r="A1164" s="30" t="s">
        <v>3021</v>
      </c>
      <c r="B1164" s="30" t="s">
        <v>3022</v>
      </c>
      <c r="C1164" s="30" t="s">
        <v>78</v>
      </c>
      <c r="D1164" s="30" t="s">
        <v>17</v>
      </c>
      <c r="E1164" s="30" t="s">
        <v>212</v>
      </c>
      <c r="F1164" s="30" t="s">
        <v>213</v>
      </c>
      <c r="G1164" s="30" t="s">
        <v>20</v>
      </c>
      <c r="H1164" s="32">
        <v>150</v>
      </c>
      <c r="I1164" s="30" t="s">
        <v>21</v>
      </c>
      <c r="J1164" s="41">
        <v>44012</v>
      </c>
      <c r="K1164" s="30" t="s">
        <v>22</v>
      </c>
    </row>
    <row r="1165" spans="1:11">
      <c r="A1165" s="33" t="s">
        <v>3023</v>
      </c>
      <c r="B1165" s="33" t="s">
        <v>3024</v>
      </c>
      <c r="C1165" s="33" t="s">
        <v>635</v>
      </c>
      <c r="D1165" s="33" t="s">
        <v>17</v>
      </c>
      <c r="E1165" s="33" t="s">
        <v>31</v>
      </c>
      <c r="F1165" s="33" t="s">
        <v>32</v>
      </c>
      <c r="G1165" s="33" t="s">
        <v>20</v>
      </c>
      <c r="H1165" s="35">
        <v>108</v>
      </c>
      <c r="I1165" s="33" t="s">
        <v>21</v>
      </c>
      <c r="J1165" s="42">
        <v>44160</v>
      </c>
      <c r="K1165" s="33" t="s">
        <v>22</v>
      </c>
    </row>
    <row r="1166" spans="1:11">
      <c r="A1166" s="30" t="s">
        <v>3025</v>
      </c>
      <c r="B1166" s="30" t="s">
        <v>3026</v>
      </c>
      <c r="C1166" s="30" t="s">
        <v>3027</v>
      </c>
      <c r="D1166" s="30" t="s">
        <v>17</v>
      </c>
      <c r="E1166" s="30" t="s">
        <v>26</v>
      </c>
      <c r="F1166" s="30" t="s">
        <v>27</v>
      </c>
      <c r="G1166" s="30" t="s">
        <v>20</v>
      </c>
      <c r="H1166" s="32">
        <v>12</v>
      </c>
      <c r="I1166" s="30" t="s">
        <v>21</v>
      </c>
      <c r="J1166" s="41">
        <v>44167</v>
      </c>
      <c r="K1166" s="30" t="s">
        <v>22</v>
      </c>
    </row>
    <row r="1167" spans="1:11">
      <c r="A1167" s="33" t="s">
        <v>3028</v>
      </c>
      <c r="B1167" s="33" t="s">
        <v>3029</v>
      </c>
      <c r="C1167" s="33" t="s">
        <v>190</v>
      </c>
      <c r="D1167" s="33" t="s">
        <v>17</v>
      </c>
      <c r="E1167" s="33" t="s">
        <v>67</v>
      </c>
      <c r="F1167" s="33" t="s">
        <v>68</v>
      </c>
      <c r="G1167" s="33" t="s">
        <v>158</v>
      </c>
      <c r="H1167" s="35">
        <v>105</v>
      </c>
      <c r="I1167" s="33" t="s">
        <v>21</v>
      </c>
      <c r="J1167" s="42">
        <v>43950</v>
      </c>
      <c r="K1167" s="33" t="s">
        <v>22</v>
      </c>
    </row>
    <row r="1168" spans="1:11">
      <c r="A1168" s="30" t="s">
        <v>3030</v>
      </c>
      <c r="B1168" s="30" t="s">
        <v>3031</v>
      </c>
      <c r="C1168" s="30" t="s">
        <v>109</v>
      </c>
      <c r="D1168" s="30" t="s">
        <v>17</v>
      </c>
      <c r="E1168" s="30" t="s">
        <v>31</v>
      </c>
      <c r="F1168" s="30" t="s">
        <v>32</v>
      </c>
      <c r="G1168" s="30" t="s">
        <v>112</v>
      </c>
      <c r="H1168" s="32">
        <v>0</v>
      </c>
      <c r="I1168" s="30" t="s">
        <v>21</v>
      </c>
      <c r="J1168" s="41">
        <v>44146</v>
      </c>
      <c r="K1168" s="30" t="s">
        <v>22</v>
      </c>
    </row>
    <row r="1169" spans="1:11">
      <c r="A1169" s="33" t="s">
        <v>3032</v>
      </c>
      <c r="B1169" s="33" t="s">
        <v>3033</v>
      </c>
      <c r="C1169" s="33" t="s">
        <v>3034</v>
      </c>
      <c r="D1169" s="33" t="s">
        <v>17</v>
      </c>
      <c r="E1169" s="33" t="s">
        <v>31</v>
      </c>
      <c r="F1169" s="33" t="s">
        <v>32</v>
      </c>
      <c r="G1169" s="33" t="s">
        <v>20</v>
      </c>
      <c r="H1169" s="35">
        <v>129</v>
      </c>
      <c r="I1169" s="33" t="s">
        <v>21</v>
      </c>
      <c r="J1169" s="42">
        <v>44047</v>
      </c>
      <c r="K1169" s="33" t="s">
        <v>22</v>
      </c>
    </row>
    <row r="1170" spans="1:11">
      <c r="A1170" s="30" t="s">
        <v>3035</v>
      </c>
      <c r="B1170" s="30" t="s">
        <v>3036</v>
      </c>
      <c r="C1170" s="30" t="s">
        <v>925</v>
      </c>
      <c r="D1170" s="30" t="s">
        <v>17</v>
      </c>
      <c r="E1170" s="30" t="s">
        <v>18</v>
      </c>
      <c r="F1170" s="30" t="s">
        <v>19</v>
      </c>
      <c r="G1170" s="30" t="s">
        <v>158</v>
      </c>
      <c r="H1170" s="32">
        <v>331</v>
      </c>
      <c r="I1170" s="30" t="s">
        <v>21</v>
      </c>
      <c r="J1170" s="41">
        <v>44158</v>
      </c>
      <c r="K1170" s="30" t="s">
        <v>22</v>
      </c>
    </row>
    <row r="1171" spans="1:11">
      <c r="A1171" s="33" t="s">
        <v>3037</v>
      </c>
      <c r="B1171" s="33" t="s">
        <v>3038</v>
      </c>
      <c r="C1171" s="33" t="s">
        <v>450</v>
      </c>
      <c r="D1171" s="33" t="s">
        <v>17</v>
      </c>
      <c r="E1171" s="33" t="s">
        <v>26</v>
      </c>
      <c r="F1171" s="33" t="s">
        <v>27</v>
      </c>
      <c r="G1171" s="33" t="s">
        <v>20</v>
      </c>
      <c r="H1171" s="35">
        <v>28</v>
      </c>
      <c r="I1171" s="33" t="s">
        <v>21</v>
      </c>
      <c r="J1171" s="42">
        <v>44008</v>
      </c>
      <c r="K1171" s="33" t="s">
        <v>22</v>
      </c>
    </row>
    <row r="1172" spans="1:11">
      <c r="A1172" s="30" t="s">
        <v>3039</v>
      </c>
      <c r="B1172" s="30" t="s">
        <v>3040</v>
      </c>
      <c r="C1172" s="30" t="s">
        <v>2490</v>
      </c>
      <c r="D1172" s="30" t="s">
        <v>17</v>
      </c>
      <c r="E1172" s="30" t="s">
        <v>18</v>
      </c>
      <c r="F1172" s="30" t="s">
        <v>19</v>
      </c>
      <c r="G1172" s="30" t="s">
        <v>20</v>
      </c>
      <c r="H1172" s="32">
        <v>188</v>
      </c>
      <c r="I1172" s="30" t="s">
        <v>21</v>
      </c>
      <c r="J1172" s="41">
        <v>44119</v>
      </c>
      <c r="K1172" s="30" t="s">
        <v>22</v>
      </c>
    </row>
    <row r="1173" spans="1:11">
      <c r="A1173" s="33" t="s">
        <v>3041</v>
      </c>
      <c r="B1173" s="33" t="s">
        <v>3042</v>
      </c>
      <c r="C1173" s="33" t="s">
        <v>969</v>
      </c>
      <c r="D1173" s="33" t="s">
        <v>17</v>
      </c>
      <c r="E1173" s="33" t="s">
        <v>26</v>
      </c>
      <c r="F1173" s="33" t="s">
        <v>27</v>
      </c>
      <c r="G1173" s="33" t="s">
        <v>20</v>
      </c>
      <c r="H1173" s="35">
        <v>61</v>
      </c>
      <c r="I1173" s="33" t="s">
        <v>21</v>
      </c>
      <c r="J1173" s="42">
        <v>44067</v>
      </c>
      <c r="K1173" s="33" t="s">
        <v>22</v>
      </c>
    </row>
    <row r="1174" spans="1:11">
      <c r="A1174" s="30" t="s">
        <v>3043</v>
      </c>
      <c r="B1174" s="30" t="s">
        <v>3044</v>
      </c>
      <c r="C1174" s="30" t="s">
        <v>535</v>
      </c>
      <c r="D1174" s="30" t="s">
        <v>17</v>
      </c>
      <c r="E1174" s="30" t="s">
        <v>31</v>
      </c>
      <c r="F1174" s="30" t="s">
        <v>32</v>
      </c>
      <c r="G1174" s="30" t="s">
        <v>20</v>
      </c>
      <c r="H1174" s="32">
        <v>406</v>
      </c>
      <c r="I1174" s="30" t="s">
        <v>21</v>
      </c>
      <c r="J1174" s="41">
        <v>43874</v>
      </c>
      <c r="K1174" s="30" t="s">
        <v>22</v>
      </c>
    </row>
    <row r="1175" spans="1:11">
      <c r="A1175" s="33" t="s">
        <v>3045</v>
      </c>
      <c r="B1175" s="33" t="s">
        <v>3046</v>
      </c>
      <c r="C1175" s="33" t="s">
        <v>102</v>
      </c>
      <c r="D1175" s="33" t="s">
        <v>17</v>
      </c>
      <c r="E1175" s="33" t="s">
        <v>26</v>
      </c>
      <c r="F1175" s="33" t="s">
        <v>27</v>
      </c>
      <c r="G1175" s="33" t="s">
        <v>20</v>
      </c>
      <c r="H1175" s="35">
        <v>30</v>
      </c>
      <c r="I1175" s="33" t="s">
        <v>21</v>
      </c>
      <c r="J1175" s="42">
        <v>43839</v>
      </c>
      <c r="K1175" s="33" t="s">
        <v>22</v>
      </c>
    </row>
    <row r="1176" spans="1:11">
      <c r="A1176" s="30" t="s">
        <v>3047</v>
      </c>
      <c r="B1176" s="30" t="s">
        <v>3048</v>
      </c>
      <c r="C1176" s="30" t="s">
        <v>96</v>
      </c>
      <c r="D1176" s="30" t="s">
        <v>17</v>
      </c>
      <c r="E1176" s="30" t="s">
        <v>31</v>
      </c>
      <c r="F1176" s="30" t="s">
        <v>32</v>
      </c>
      <c r="G1176" s="30" t="s">
        <v>106</v>
      </c>
      <c r="H1176" s="32">
        <v>326</v>
      </c>
      <c r="I1176" s="30" t="s">
        <v>21</v>
      </c>
      <c r="J1176" s="41">
        <v>44161</v>
      </c>
      <c r="K1176" s="30" t="s">
        <v>22</v>
      </c>
    </row>
    <row r="1177" spans="1:11">
      <c r="A1177" s="33" t="s">
        <v>3049</v>
      </c>
      <c r="B1177" s="33" t="s">
        <v>3050</v>
      </c>
      <c r="C1177" s="33" t="s">
        <v>190</v>
      </c>
      <c r="D1177" s="33" t="s">
        <v>17</v>
      </c>
      <c r="E1177" s="33" t="s">
        <v>26</v>
      </c>
      <c r="F1177" s="33" t="s">
        <v>27</v>
      </c>
      <c r="G1177" s="33" t="s">
        <v>20</v>
      </c>
      <c r="H1177" s="35">
        <v>60</v>
      </c>
      <c r="I1177" s="33" t="s">
        <v>21</v>
      </c>
      <c r="J1177" s="42">
        <v>44061</v>
      </c>
      <c r="K1177" s="33" t="s">
        <v>22</v>
      </c>
    </row>
    <row r="1178" spans="1:11">
      <c r="A1178" s="30" t="s">
        <v>3051</v>
      </c>
      <c r="B1178" s="30" t="s">
        <v>3052</v>
      </c>
      <c r="C1178" s="30" t="s">
        <v>647</v>
      </c>
      <c r="D1178" s="30" t="s">
        <v>17</v>
      </c>
      <c r="E1178" s="30" t="s">
        <v>18</v>
      </c>
      <c r="F1178" s="30" t="s">
        <v>19</v>
      </c>
      <c r="G1178" s="30" t="s">
        <v>20</v>
      </c>
      <c r="H1178" s="32">
        <v>1251</v>
      </c>
      <c r="I1178" s="30" t="s">
        <v>21</v>
      </c>
      <c r="J1178" s="41">
        <v>43873</v>
      </c>
      <c r="K1178" s="30" t="s">
        <v>22</v>
      </c>
    </row>
    <row r="1179" spans="1:11">
      <c r="A1179" s="33" t="s">
        <v>3053</v>
      </c>
      <c r="B1179" s="33" t="s">
        <v>3054</v>
      </c>
      <c r="C1179" s="33" t="s">
        <v>190</v>
      </c>
      <c r="D1179" s="33" t="s">
        <v>17</v>
      </c>
      <c r="E1179" s="33" t="s">
        <v>31</v>
      </c>
      <c r="F1179" s="33" t="s">
        <v>32</v>
      </c>
      <c r="G1179" s="33" t="s">
        <v>106</v>
      </c>
      <c r="H1179" s="35">
        <v>194</v>
      </c>
      <c r="I1179" s="33" t="s">
        <v>21</v>
      </c>
      <c r="J1179" s="42">
        <v>44147</v>
      </c>
      <c r="K1179" s="33" t="s">
        <v>22</v>
      </c>
    </row>
    <row r="1180" spans="1:11">
      <c r="A1180" s="30" t="s">
        <v>3055</v>
      </c>
      <c r="B1180" s="30" t="s">
        <v>3056</v>
      </c>
      <c r="C1180" s="30" t="s">
        <v>3057</v>
      </c>
      <c r="D1180" s="30" t="s">
        <v>17</v>
      </c>
      <c r="E1180" s="30" t="s">
        <v>31</v>
      </c>
      <c r="F1180" s="30" t="s">
        <v>32</v>
      </c>
      <c r="G1180" s="30" t="s">
        <v>106</v>
      </c>
      <c r="H1180" s="32">
        <v>6</v>
      </c>
      <c r="I1180" s="30" t="s">
        <v>21</v>
      </c>
      <c r="J1180" s="41">
        <v>44167</v>
      </c>
      <c r="K1180" s="30" t="s">
        <v>22</v>
      </c>
    </row>
    <row r="1181" spans="1:11">
      <c r="A1181" s="33" t="s">
        <v>3058</v>
      </c>
      <c r="B1181" s="33" t="s">
        <v>3059</v>
      </c>
      <c r="C1181" s="33" t="s">
        <v>2807</v>
      </c>
      <c r="D1181" s="33" t="s">
        <v>17</v>
      </c>
      <c r="E1181" s="33" t="s">
        <v>26</v>
      </c>
      <c r="F1181" s="33" t="s">
        <v>27</v>
      </c>
      <c r="G1181" s="33" t="s">
        <v>20</v>
      </c>
      <c r="H1181" s="35">
        <v>38</v>
      </c>
      <c r="I1181" s="33" t="s">
        <v>21</v>
      </c>
      <c r="J1181" s="42">
        <v>44133</v>
      </c>
      <c r="K1181" s="33" t="s">
        <v>22</v>
      </c>
    </row>
    <row r="1182" spans="1:11">
      <c r="A1182" s="30" t="s">
        <v>3060</v>
      </c>
      <c r="B1182" s="30" t="s">
        <v>3061</v>
      </c>
      <c r="C1182" s="30" t="s">
        <v>318</v>
      </c>
      <c r="D1182" s="30" t="s">
        <v>17</v>
      </c>
      <c r="E1182" s="30" t="s">
        <v>26</v>
      </c>
      <c r="F1182" s="30" t="s">
        <v>27</v>
      </c>
      <c r="G1182" s="30" t="s">
        <v>20</v>
      </c>
      <c r="H1182" s="32">
        <v>37</v>
      </c>
      <c r="I1182" s="30" t="s">
        <v>21</v>
      </c>
      <c r="J1182" s="41">
        <v>44096</v>
      </c>
      <c r="K1182" s="30" t="s">
        <v>22</v>
      </c>
    </row>
    <row r="1183" spans="1:11">
      <c r="A1183" s="33" t="s">
        <v>3062</v>
      </c>
      <c r="B1183" s="33" t="s">
        <v>3063</v>
      </c>
      <c r="C1183" s="33" t="s">
        <v>178</v>
      </c>
      <c r="D1183" s="33" t="s">
        <v>17</v>
      </c>
      <c r="E1183" s="33" t="s">
        <v>18</v>
      </c>
      <c r="F1183" s="33" t="s">
        <v>19</v>
      </c>
      <c r="G1183" s="33" t="s">
        <v>158</v>
      </c>
      <c r="H1183" s="35">
        <v>123</v>
      </c>
      <c r="I1183" s="33" t="s">
        <v>21</v>
      </c>
      <c r="J1183" s="42">
        <v>44186</v>
      </c>
      <c r="K1183" s="33" t="s">
        <v>22</v>
      </c>
    </row>
    <row r="1184" spans="1:11">
      <c r="A1184" s="30" t="s">
        <v>3064</v>
      </c>
      <c r="B1184" s="30" t="s">
        <v>3065</v>
      </c>
      <c r="C1184" s="30" t="s">
        <v>1428</v>
      </c>
      <c r="D1184" s="30" t="s">
        <v>17</v>
      </c>
      <c r="E1184" s="30" t="s">
        <v>45</v>
      </c>
      <c r="F1184" s="30" t="s">
        <v>46</v>
      </c>
      <c r="G1184" s="30" t="s">
        <v>50</v>
      </c>
      <c r="H1184" s="32">
        <v>405</v>
      </c>
      <c r="I1184" s="30" t="s">
        <v>21</v>
      </c>
      <c r="J1184" s="41">
        <v>44146</v>
      </c>
      <c r="K1184" s="30" t="s">
        <v>22</v>
      </c>
    </row>
    <row r="1185" spans="1:11">
      <c r="A1185" s="33" t="s">
        <v>3066</v>
      </c>
      <c r="B1185" s="33" t="s">
        <v>3067</v>
      </c>
      <c r="C1185" s="33" t="s">
        <v>222</v>
      </c>
      <c r="D1185" s="33" t="s">
        <v>17</v>
      </c>
      <c r="E1185" s="33" t="s">
        <v>26</v>
      </c>
      <c r="F1185" s="33" t="s">
        <v>27</v>
      </c>
      <c r="G1185" s="33" t="s">
        <v>20</v>
      </c>
      <c r="H1185" s="35">
        <v>12</v>
      </c>
      <c r="I1185" s="33" t="s">
        <v>21</v>
      </c>
      <c r="J1185" s="42">
        <v>44096</v>
      </c>
      <c r="K1185" s="33" t="s">
        <v>22</v>
      </c>
    </row>
    <row r="1186" spans="1:11">
      <c r="A1186" s="30" t="s">
        <v>3068</v>
      </c>
      <c r="B1186" s="30" t="s">
        <v>3069</v>
      </c>
      <c r="C1186" s="30" t="s">
        <v>2807</v>
      </c>
      <c r="D1186" s="30" t="s">
        <v>17</v>
      </c>
      <c r="E1186" s="30" t="s">
        <v>31</v>
      </c>
      <c r="F1186" s="30" t="s">
        <v>32</v>
      </c>
      <c r="G1186" s="30" t="s">
        <v>20</v>
      </c>
      <c r="H1186" s="32">
        <v>124</v>
      </c>
      <c r="I1186" s="30" t="s">
        <v>21</v>
      </c>
      <c r="J1186" s="41">
        <v>44013</v>
      </c>
      <c r="K1186" s="30" t="s">
        <v>22</v>
      </c>
    </row>
    <row r="1187" spans="1:11">
      <c r="A1187" s="33" t="s">
        <v>3070</v>
      </c>
      <c r="B1187" s="33" t="s">
        <v>3071</v>
      </c>
      <c r="C1187" s="33" t="s">
        <v>3072</v>
      </c>
      <c r="D1187" s="33" t="s">
        <v>17</v>
      </c>
      <c r="E1187" s="33" t="s">
        <v>31</v>
      </c>
      <c r="F1187" s="33" t="s">
        <v>32</v>
      </c>
      <c r="G1187" s="33" t="s">
        <v>106</v>
      </c>
      <c r="H1187" s="35">
        <v>42</v>
      </c>
      <c r="I1187" s="33" t="s">
        <v>21</v>
      </c>
      <c r="J1187" s="42">
        <v>44048</v>
      </c>
      <c r="K1187" s="33" t="s">
        <v>22</v>
      </c>
    </row>
    <row r="1188" spans="1:11">
      <c r="A1188" s="30" t="s">
        <v>3073</v>
      </c>
      <c r="B1188" s="30" t="s">
        <v>3074</v>
      </c>
      <c r="C1188" s="30" t="s">
        <v>1112</v>
      </c>
      <c r="D1188" s="30" t="s">
        <v>17</v>
      </c>
      <c r="E1188" s="30" t="s">
        <v>18</v>
      </c>
      <c r="F1188" s="30" t="s">
        <v>19</v>
      </c>
      <c r="G1188" s="30" t="s">
        <v>20</v>
      </c>
      <c r="H1188" s="32">
        <v>123</v>
      </c>
      <c r="I1188" s="30" t="s">
        <v>21</v>
      </c>
      <c r="J1188" s="41">
        <v>44131</v>
      </c>
      <c r="K1188" s="30" t="s">
        <v>22</v>
      </c>
    </row>
    <row r="1189" spans="1:11">
      <c r="A1189" s="33" t="s">
        <v>3075</v>
      </c>
      <c r="B1189" s="33" t="s">
        <v>3076</v>
      </c>
      <c r="C1189" s="33" t="s">
        <v>3077</v>
      </c>
      <c r="D1189" s="33" t="s">
        <v>17</v>
      </c>
      <c r="E1189" s="33" t="s">
        <v>31</v>
      </c>
      <c r="F1189" s="33" t="s">
        <v>32</v>
      </c>
      <c r="G1189" s="33" t="s">
        <v>20</v>
      </c>
      <c r="H1189" s="35">
        <v>17</v>
      </c>
      <c r="I1189" s="33" t="s">
        <v>21</v>
      </c>
      <c r="J1189" s="42">
        <v>44063</v>
      </c>
      <c r="K1189" s="33" t="s">
        <v>22</v>
      </c>
    </row>
    <row r="1190" spans="1:11">
      <c r="A1190" s="30" t="s">
        <v>3078</v>
      </c>
      <c r="B1190" s="30" t="s">
        <v>3079</v>
      </c>
      <c r="C1190" s="30" t="s">
        <v>701</v>
      </c>
      <c r="D1190" s="30" t="s">
        <v>17</v>
      </c>
      <c r="E1190" s="30" t="s">
        <v>67</v>
      </c>
      <c r="F1190" s="30" t="s">
        <v>68</v>
      </c>
      <c r="G1190" s="30" t="s">
        <v>20</v>
      </c>
      <c r="H1190" s="32">
        <v>580</v>
      </c>
      <c r="I1190" s="30" t="s">
        <v>21</v>
      </c>
      <c r="J1190" s="41">
        <v>44048</v>
      </c>
      <c r="K1190" s="30" t="s">
        <v>22</v>
      </c>
    </row>
    <row r="1191" spans="1:11">
      <c r="A1191" s="33" t="s">
        <v>3080</v>
      </c>
      <c r="B1191" s="33" t="s">
        <v>3081</v>
      </c>
      <c r="C1191" s="33" t="s">
        <v>109</v>
      </c>
      <c r="D1191" s="33" t="s">
        <v>17</v>
      </c>
      <c r="E1191" s="33" t="s">
        <v>18</v>
      </c>
      <c r="F1191" s="33" t="s">
        <v>19</v>
      </c>
      <c r="G1191" s="33" t="s">
        <v>20</v>
      </c>
      <c r="H1191" s="35">
        <v>562</v>
      </c>
      <c r="I1191" s="33" t="s">
        <v>21</v>
      </c>
      <c r="J1191" s="42">
        <v>44026</v>
      </c>
      <c r="K1191" s="33" t="s">
        <v>22</v>
      </c>
    </row>
    <row r="1192" spans="1:11">
      <c r="A1192" s="30" t="s">
        <v>3082</v>
      </c>
      <c r="B1192" s="30" t="s">
        <v>3083</v>
      </c>
      <c r="C1192" s="30" t="s">
        <v>3084</v>
      </c>
      <c r="D1192" s="30" t="s">
        <v>17</v>
      </c>
      <c r="E1192" s="30" t="s">
        <v>18</v>
      </c>
      <c r="F1192" s="30" t="s">
        <v>19</v>
      </c>
      <c r="G1192" s="30" t="s">
        <v>20</v>
      </c>
      <c r="H1192" s="32">
        <v>140</v>
      </c>
      <c r="I1192" s="30" t="s">
        <v>21</v>
      </c>
      <c r="J1192" s="41">
        <v>43929</v>
      </c>
      <c r="K1192" s="30" t="s">
        <v>22</v>
      </c>
    </row>
    <row r="1193" spans="1:11">
      <c r="A1193" s="33" t="s">
        <v>3085</v>
      </c>
      <c r="B1193" s="33" t="s">
        <v>3086</v>
      </c>
      <c r="C1193" s="33" t="s">
        <v>2839</v>
      </c>
      <c r="D1193" s="33" t="s">
        <v>17</v>
      </c>
      <c r="E1193" s="33" t="s">
        <v>26</v>
      </c>
      <c r="F1193" s="33" t="s">
        <v>27</v>
      </c>
      <c r="G1193" s="33" t="s">
        <v>50</v>
      </c>
      <c r="H1193" s="35">
        <v>65</v>
      </c>
      <c r="I1193" s="33" t="s">
        <v>51</v>
      </c>
      <c r="J1193" s="42">
        <v>43952</v>
      </c>
      <c r="K1193" s="33" t="s">
        <v>22</v>
      </c>
    </row>
    <row r="1194" spans="1:11">
      <c r="A1194" s="30" t="s">
        <v>3087</v>
      </c>
      <c r="B1194" s="30" t="s">
        <v>3088</v>
      </c>
      <c r="C1194" s="30" t="s">
        <v>3089</v>
      </c>
      <c r="D1194" s="30" t="s">
        <v>17</v>
      </c>
      <c r="E1194" s="30" t="s">
        <v>26</v>
      </c>
      <c r="F1194" s="30" t="s">
        <v>27</v>
      </c>
      <c r="G1194" s="30" t="s">
        <v>20</v>
      </c>
      <c r="H1194" s="32">
        <v>27</v>
      </c>
      <c r="I1194" s="30" t="s">
        <v>21</v>
      </c>
      <c r="J1194" s="41">
        <v>43872</v>
      </c>
      <c r="K1194" s="30" t="s">
        <v>22</v>
      </c>
    </row>
    <row r="1195" spans="1:11">
      <c r="A1195" s="33" t="s">
        <v>3090</v>
      </c>
      <c r="B1195" s="33" t="s">
        <v>3091</v>
      </c>
      <c r="C1195" s="33" t="s">
        <v>3092</v>
      </c>
      <c r="D1195" s="33" t="s">
        <v>17</v>
      </c>
      <c r="E1195" s="33" t="s">
        <v>31</v>
      </c>
      <c r="F1195" s="33" t="s">
        <v>32</v>
      </c>
      <c r="G1195" s="33" t="s">
        <v>20</v>
      </c>
      <c r="H1195" s="35">
        <v>32</v>
      </c>
      <c r="I1195" s="33" t="s">
        <v>21</v>
      </c>
      <c r="J1195" s="42">
        <v>44044</v>
      </c>
      <c r="K1195" s="33" t="s">
        <v>22</v>
      </c>
    </row>
    <row r="1196" spans="1:11">
      <c r="A1196" s="30" t="s">
        <v>3093</v>
      </c>
      <c r="B1196" s="30" t="s">
        <v>3094</v>
      </c>
      <c r="C1196" s="30" t="s">
        <v>3095</v>
      </c>
      <c r="D1196" s="30" t="s">
        <v>17</v>
      </c>
      <c r="E1196" s="30" t="s">
        <v>26</v>
      </c>
      <c r="F1196" s="30" t="s">
        <v>27</v>
      </c>
      <c r="G1196" s="30" t="s">
        <v>20</v>
      </c>
      <c r="H1196" s="32">
        <v>96</v>
      </c>
      <c r="I1196" s="30" t="s">
        <v>21</v>
      </c>
      <c r="J1196" s="41">
        <v>43983</v>
      </c>
      <c r="K1196" s="30" t="s">
        <v>22</v>
      </c>
    </row>
    <row r="1197" spans="1:11">
      <c r="A1197" s="33" t="s">
        <v>3096</v>
      </c>
      <c r="B1197" s="33" t="s">
        <v>3097</v>
      </c>
      <c r="C1197" s="33" t="s">
        <v>3098</v>
      </c>
      <c r="D1197" s="33" t="s">
        <v>17</v>
      </c>
      <c r="E1197" s="33" t="s">
        <v>26</v>
      </c>
      <c r="F1197" s="33" t="s">
        <v>27</v>
      </c>
      <c r="G1197" s="33" t="s">
        <v>20</v>
      </c>
      <c r="H1197" s="35">
        <v>12</v>
      </c>
      <c r="I1197" s="33" t="s">
        <v>21</v>
      </c>
      <c r="J1197" s="42">
        <v>44136</v>
      </c>
      <c r="K1197" s="33" t="s">
        <v>22</v>
      </c>
    </row>
    <row r="1198" spans="1:11">
      <c r="A1198" s="30" t="s">
        <v>3099</v>
      </c>
      <c r="B1198" s="30" t="s">
        <v>3100</v>
      </c>
      <c r="C1198" s="30" t="s">
        <v>432</v>
      </c>
      <c r="D1198" s="30" t="s">
        <v>17</v>
      </c>
      <c r="E1198" s="30" t="s">
        <v>18</v>
      </c>
      <c r="F1198" s="30" t="s">
        <v>19</v>
      </c>
      <c r="G1198" s="30" t="s">
        <v>20</v>
      </c>
      <c r="H1198" s="32">
        <v>451</v>
      </c>
      <c r="I1198" s="30" t="s">
        <v>21</v>
      </c>
      <c r="J1198" s="41">
        <v>44174</v>
      </c>
      <c r="K1198" s="30" t="s">
        <v>22</v>
      </c>
    </row>
    <row r="1199" spans="1:11">
      <c r="A1199" s="33" t="s">
        <v>3101</v>
      </c>
      <c r="B1199" s="33" t="s">
        <v>3102</v>
      </c>
      <c r="C1199" s="33" t="s">
        <v>3103</v>
      </c>
      <c r="D1199" s="33" t="s">
        <v>17</v>
      </c>
      <c r="E1199" s="33" t="s">
        <v>31</v>
      </c>
      <c r="F1199" s="33" t="s">
        <v>32</v>
      </c>
      <c r="G1199" s="33" t="s">
        <v>20</v>
      </c>
      <c r="H1199" s="35">
        <v>289</v>
      </c>
      <c r="I1199" s="33" t="s">
        <v>21</v>
      </c>
      <c r="J1199" s="42">
        <v>43875</v>
      </c>
      <c r="K1199" s="33" t="s">
        <v>22</v>
      </c>
    </row>
    <row r="1200" spans="1:11">
      <c r="A1200" s="30" t="s">
        <v>3104</v>
      </c>
      <c r="B1200" s="30" t="s">
        <v>3105</v>
      </c>
      <c r="C1200" s="30" t="s">
        <v>3106</v>
      </c>
      <c r="D1200" s="30" t="s">
        <v>17</v>
      </c>
      <c r="E1200" s="30" t="s">
        <v>26</v>
      </c>
      <c r="F1200" s="30" t="s">
        <v>27</v>
      </c>
      <c r="G1200" s="30" t="s">
        <v>20</v>
      </c>
      <c r="H1200" s="32">
        <v>64</v>
      </c>
      <c r="I1200" s="30" t="s">
        <v>21</v>
      </c>
      <c r="J1200" s="41">
        <v>43919</v>
      </c>
      <c r="K1200" s="30" t="s">
        <v>22</v>
      </c>
    </row>
    <row r="1201" spans="1:11">
      <c r="A1201" s="33" t="s">
        <v>3107</v>
      </c>
      <c r="B1201" s="33" t="s">
        <v>3108</v>
      </c>
      <c r="C1201" s="33" t="s">
        <v>1090</v>
      </c>
      <c r="D1201" s="33" t="s">
        <v>17</v>
      </c>
      <c r="E1201" s="33" t="s">
        <v>67</v>
      </c>
      <c r="F1201" s="33" t="s">
        <v>68</v>
      </c>
      <c r="G1201" s="33" t="s">
        <v>106</v>
      </c>
      <c r="H1201" s="35">
        <v>41</v>
      </c>
      <c r="I1201" s="33" t="s">
        <v>21</v>
      </c>
      <c r="J1201" s="42">
        <v>44089</v>
      </c>
      <c r="K1201" s="33" t="s">
        <v>22</v>
      </c>
    </row>
    <row r="1202" spans="1:11">
      <c r="A1202" s="30" t="s">
        <v>3109</v>
      </c>
      <c r="B1202" s="30" t="s">
        <v>3110</v>
      </c>
      <c r="C1202" s="30" t="s">
        <v>3111</v>
      </c>
      <c r="D1202" s="30" t="s">
        <v>17</v>
      </c>
      <c r="E1202" s="30" t="s">
        <v>67</v>
      </c>
      <c r="F1202" s="30" t="s">
        <v>68</v>
      </c>
      <c r="G1202" s="30" t="s">
        <v>112</v>
      </c>
      <c r="H1202" s="32">
        <v>0</v>
      </c>
      <c r="I1202" s="30" t="s">
        <v>21</v>
      </c>
      <c r="J1202" s="41">
        <v>44013</v>
      </c>
      <c r="K1202" s="30" t="s">
        <v>22</v>
      </c>
    </row>
    <row r="1203" spans="1:11">
      <c r="A1203" s="33" t="s">
        <v>3112</v>
      </c>
      <c r="B1203" s="33" t="s">
        <v>3113</v>
      </c>
      <c r="C1203" s="33" t="s">
        <v>3114</v>
      </c>
      <c r="D1203" s="33" t="s">
        <v>17</v>
      </c>
      <c r="E1203" s="33" t="s">
        <v>330</v>
      </c>
      <c r="F1203" s="33" t="s">
        <v>331</v>
      </c>
      <c r="G1203" s="33" t="s">
        <v>50</v>
      </c>
      <c r="H1203" s="35">
        <v>100</v>
      </c>
      <c r="I1203" s="33" t="s">
        <v>51</v>
      </c>
      <c r="J1203" s="42">
        <v>43922</v>
      </c>
      <c r="K1203" s="33" t="s">
        <v>22</v>
      </c>
    </row>
    <row r="1204" spans="1:11">
      <c r="A1204" s="30" t="s">
        <v>3115</v>
      </c>
      <c r="B1204" s="30" t="s">
        <v>3116</v>
      </c>
      <c r="C1204" s="30" t="s">
        <v>63</v>
      </c>
      <c r="D1204" s="30" t="s">
        <v>17</v>
      </c>
      <c r="E1204" s="30" t="s">
        <v>45</v>
      </c>
      <c r="F1204" s="30" t="s">
        <v>46</v>
      </c>
      <c r="G1204" s="30" t="s">
        <v>20</v>
      </c>
      <c r="H1204" s="32">
        <v>39680</v>
      </c>
      <c r="I1204" s="30" t="s">
        <v>21</v>
      </c>
      <c r="J1204" s="41">
        <v>44176</v>
      </c>
      <c r="K1204" s="30" t="s">
        <v>22</v>
      </c>
    </row>
    <row r="1205" spans="1:11">
      <c r="A1205" s="33" t="s">
        <v>3117</v>
      </c>
      <c r="B1205" s="33" t="s">
        <v>3118</v>
      </c>
      <c r="C1205" s="33" t="s">
        <v>75</v>
      </c>
      <c r="D1205" s="33" t="s">
        <v>17</v>
      </c>
      <c r="E1205" s="33" t="s">
        <v>26</v>
      </c>
      <c r="F1205" s="33" t="s">
        <v>27</v>
      </c>
      <c r="G1205" s="33" t="s">
        <v>20</v>
      </c>
      <c r="H1205" s="35">
        <v>30</v>
      </c>
      <c r="I1205" s="33" t="s">
        <v>21</v>
      </c>
      <c r="J1205" s="42">
        <v>43887</v>
      </c>
      <c r="K1205" s="33" t="s">
        <v>22</v>
      </c>
    </row>
    <row r="1206" spans="1:11">
      <c r="A1206" s="30" t="s">
        <v>3119</v>
      </c>
      <c r="B1206" s="30" t="s">
        <v>3120</v>
      </c>
      <c r="C1206" s="30" t="s">
        <v>3121</v>
      </c>
      <c r="D1206" s="30" t="s">
        <v>17</v>
      </c>
      <c r="E1206" s="30" t="s">
        <v>31</v>
      </c>
      <c r="F1206" s="30" t="s">
        <v>32</v>
      </c>
      <c r="G1206" s="30" t="s">
        <v>20</v>
      </c>
      <c r="H1206" s="32">
        <v>104</v>
      </c>
      <c r="I1206" s="30" t="s">
        <v>21</v>
      </c>
      <c r="J1206" s="41">
        <v>44196</v>
      </c>
      <c r="K1206" s="30" t="s">
        <v>22</v>
      </c>
    </row>
    <row r="1207" spans="1:11">
      <c r="A1207" s="33" t="s">
        <v>3122</v>
      </c>
      <c r="B1207" s="33" t="s">
        <v>3123</v>
      </c>
      <c r="C1207" s="33" t="s">
        <v>733</v>
      </c>
      <c r="D1207" s="33" t="s">
        <v>17</v>
      </c>
      <c r="E1207" s="33" t="s">
        <v>18</v>
      </c>
      <c r="F1207" s="33" t="s">
        <v>19</v>
      </c>
      <c r="G1207" s="33" t="s">
        <v>20</v>
      </c>
      <c r="H1207" s="35">
        <v>235</v>
      </c>
      <c r="I1207" s="33" t="s">
        <v>21</v>
      </c>
      <c r="J1207" s="42">
        <v>44027</v>
      </c>
      <c r="K1207" s="33" t="s">
        <v>22</v>
      </c>
    </row>
    <row r="1208" spans="1:11">
      <c r="A1208" s="30" t="s">
        <v>3124</v>
      </c>
      <c r="B1208" s="30" t="s">
        <v>3125</v>
      </c>
      <c r="C1208" s="30" t="s">
        <v>136</v>
      </c>
      <c r="D1208" s="30" t="s">
        <v>17</v>
      </c>
      <c r="E1208" s="30" t="s">
        <v>67</v>
      </c>
      <c r="F1208" s="30" t="s">
        <v>68</v>
      </c>
      <c r="G1208" s="30" t="s">
        <v>20</v>
      </c>
      <c r="H1208" s="32">
        <v>30</v>
      </c>
      <c r="I1208" s="30" t="s">
        <v>21</v>
      </c>
      <c r="J1208" s="41">
        <v>43852</v>
      </c>
      <c r="K1208" s="30" t="s">
        <v>22</v>
      </c>
    </row>
    <row r="1209" spans="1:11">
      <c r="A1209" s="33" t="s">
        <v>3126</v>
      </c>
      <c r="B1209" s="33" t="s">
        <v>3127</v>
      </c>
      <c r="C1209" s="33" t="s">
        <v>3128</v>
      </c>
      <c r="D1209" s="33" t="s">
        <v>17</v>
      </c>
      <c r="E1209" s="33" t="s">
        <v>212</v>
      </c>
      <c r="F1209" s="33" t="s">
        <v>213</v>
      </c>
      <c r="G1209" s="33" t="s">
        <v>20</v>
      </c>
      <c r="H1209" s="35">
        <v>133</v>
      </c>
      <c r="I1209" s="33" t="s">
        <v>21</v>
      </c>
      <c r="J1209" s="42">
        <v>43872</v>
      </c>
      <c r="K1209" s="33" t="s">
        <v>22</v>
      </c>
    </row>
    <row r="1210" spans="1:11">
      <c r="A1210" s="30" t="s">
        <v>3129</v>
      </c>
      <c r="B1210" s="30" t="s">
        <v>3130</v>
      </c>
      <c r="C1210" s="30" t="s">
        <v>96</v>
      </c>
      <c r="D1210" s="30" t="s">
        <v>17</v>
      </c>
      <c r="E1210" s="30" t="s">
        <v>18</v>
      </c>
      <c r="F1210" s="30" t="s">
        <v>19</v>
      </c>
      <c r="G1210" s="30" t="s">
        <v>20</v>
      </c>
      <c r="H1210" s="32">
        <v>1997</v>
      </c>
      <c r="I1210" s="30" t="s">
        <v>21</v>
      </c>
      <c r="J1210" s="41">
        <v>43971</v>
      </c>
      <c r="K1210" s="30" t="s">
        <v>22</v>
      </c>
    </row>
    <row r="1211" spans="1:11">
      <c r="A1211" s="33" t="s">
        <v>3131</v>
      </c>
      <c r="B1211" s="33" t="s">
        <v>3132</v>
      </c>
      <c r="C1211" s="33" t="s">
        <v>78</v>
      </c>
      <c r="D1211" s="33" t="s">
        <v>17</v>
      </c>
      <c r="E1211" s="33" t="s">
        <v>26</v>
      </c>
      <c r="F1211" s="33" t="s">
        <v>27</v>
      </c>
      <c r="G1211" s="33" t="s">
        <v>20</v>
      </c>
      <c r="H1211" s="35">
        <v>24</v>
      </c>
      <c r="I1211" s="33" t="s">
        <v>21</v>
      </c>
      <c r="J1211" s="42">
        <v>43929</v>
      </c>
      <c r="K1211" s="33" t="s">
        <v>22</v>
      </c>
    </row>
    <row r="1212" spans="1:11">
      <c r="A1212" s="30" t="s">
        <v>3133</v>
      </c>
      <c r="B1212" s="30" t="s">
        <v>3134</v>
      </c>
      <c r="C1212" s="30" t="s">
        <v>187</v>
      </c>
      <c r="D1212" s="30" t="s">
        <v>17</v>
      </c>
      <c r="E1212" s="30" t="s">
        <v>26</v>
      </c>
      <c r="F1212" s="30" t="s">
        <v>27</v>
      </c>
      <c r="G1212" s="30" t="s">
        <v>50</v>
      </c>
      <c r="H1212" s="32">
        <v>40</v>
      </c>
      <c r="I1212" s="30" t="s">
        <v>51</v>
      </c>
      <c r="J1212" s="41">
        <v>44029</v>
      </c>
      <c r="K1212" s="30" t="s">
        <v>22</v>
      </c>
    </row>
    <row r="1213" spans="1:11">
      <c r="A1213" s="33" t="s">
        <v>3135</v>
      </c>
      <c r="B1213" s="33" t="s">
        <v>3136</v>
      </c>
      <c r="C1213" s="33" t="s">
        <v>3137</v>
      </c>
      <c r="D1213" s="33" t="s">
        <v>17</v>
      </c>
      <c r="E1213" s="33" t="s">
        <v>18</v>
      </c>
      <c r="F1213" s="33" t="s">
        <v>19</v>
      </c>
      <c r="G1213" s="33" t="s">
        <v>20</v>
      </c>
      <c r="H1213" s="35">
        <v>245</v>
      </c>
      <c r="I1213" s="33" t="s">
        <v>21</v>
      </c>
      <c r="J1213" s="42">
        <v>44165</v>
      </c>
      <c r="K1213" s="33" t="s">
        <v>22</v>
      </c>
    </row>
    <row r="1214" spans="1:11">
      <c r="A1214" s="30" t="s">
        <v>3138</v>
      </c>
      <c r="B1214" s="30" t="s">
        <v>3139</v>
      </c>
      <c r="C1214" s="30" t="s">
        <v>222</v>
      </c>
      <c r="D1214" s="30" t="s">
        <v>17</v>
      </c>
      <c r="E1214" s="30" t="s">
        <v>330</v>
      </c>
      <c r="F1214" s="30" t="s">
        <v>331</v>
      </c>
      <c r="G1214" s="30" t="s">
        <v>20</v>
      </c>
      <c r="H1214" s="32">
        <v>16</v>
      </c>
      <c r="I1214" s="30" t="s">
        <v>21</v>
      </c>
      <c r="J1214" s="41">
        <v>43837</v>
      </c>
      <c r="K1214" s="30" t="s">
        <v>22</v>
      </c>
    </row>
    <row r="1215" spans="1:11">
      <c r="A1215" s="33" t="s">
        <v>3140</v>
      </c>
      <c r="B1215" s="33" t="s">
        <v>3141</v>
      </c>
      <c r="C1215" s="33" t="s">
        <v>1652</v>
      </c>
      <c r="D1215" s="33" t="s">
        <v>17</v>
      </c>
      <c r="E1215" s="33" t="s">
        <v>26</v>
      </c>
      <c r="F1215" s="33" t="s">
        <v>27</v>
      </c>
      <c r="G1215" s="33" t="s">
        <v>20</v>
      </c>
      <c r="H1215" s="35">
        <v>17</v>
      </c>
      <c r="I1215" s="33" t="s">
        <v>21</v>
      </c>
      <c r="J1215" s="42">
        <v>44025</v>
      </c>
      <c r="K1215" s="33" t="s">
        <v>22</v>
      </c>
    </row>
    <row r="1216" spans="1:11">
      <c r="A1216" s="30" t="s">
        <v>3142</v>
      </c>
      <c r="B1216" s="30" t="s">
        <v>3143</v>
      </c>
      <c r="C1216" s="30" t="s">
        <v>93</v>
      </c>
      <c r="D1216" s="30" t="s">
        <v>17</v>
      </c>
      <c r="E1216" s="30" t="s">
        <v>31</v>
      </c>
      <c r="F1216" s="30" t="s">
        <v>32</v>
      </c>
      <c r="G1216" s="30" t="s">
        <v>20</v>
      </c>
      <c r="H1216" s="32">
        <v>14</v>
      </c>
      <c r="I1216" s="30" t="s">
        <v>21</v>
      </c>
      <c r="J1216" s="41">
        <v>43844</v>
      </c>
      <c r="K1216" s="30" t="s">
        <v>22</v>
      </c>
    </row>
    <row r="1217" spans="1:11">
      <c r="A1217" s="33" t="s">
        <v>3144</v>
      </c>
      <c r="B1217" s="33" t="s">
        <v>3145</v>
      </c>
      <c r="C1217" s="33" t="s">
        <v>231</v>
      </c>
      <c r="D1217" s="33" t="s">
        <v>17</v>
      </c>
      <c r="E1217" s="33" t="s">
        <v>26</v>
      </c>
      <c r="F1217" s="33" t="s">
        <v>27</v>
      </c>
      <c r="G1217" s="33" t="s">
        <v>20</v>
      </c>
      <c r="H1217" s="35">
        <v>16</v>
      </c>
      <c r="I1217" s="33" t="s">
        <v>21</v>
      </c>
      <c r="J1217" s="42">
        <v>44186</v>
      </c>
      <c r="K1217" s="33" t="s">
        <v>22</v>
      </c>
    </row>
    <row r="1218" spans="1:11">
      <c r="A1218" s="30" t="s">
        <v>3146</v>
      </c>
      <c r="B1218" s="30" t="s">
        <v>3147</v>
      </c>
      <c r="C1218" s="30" t="s">
        <v>1125</v>
      </c>
      <c r="D1218" s="30" t="s">
        <v>17</v>
      </c>
      <c r="E1218" s="30" t="s">
        <v>26</v>
      </c>
      <c r="F1218" s="30" t="s">
        <v>27</v>
      </c>
      <c r="G1218" s="30" t="s">
        <v>50</v>
      </c>
      <c r="H1218" s="32">
        <v>104</v>
      </c>
      <c r="I1218" s="30" t="s">
        <v>51</v>
      </c>
      <c r="J1218" s="41">
        <v>43969</v>
      </c>
      <c r="K1218" s="30" t="s">
        <v>22</v>
      </c>
    </row>
    <row r="1219" spans="1:11">
      <c r="A1219" s="33" t="s">
        <v>3148</v>
      </c>
      <c r="B1219" s="33" t="s">
        <v>3149</v>
      </c>
      <c r="C1219" s="33" t="s">
        <v>684</v>
      </c>
      <c r="D1219" s="33" t="s">
        <v>17</v>
      </c>
      <c r="E1219" s="33" t="s">
        <v>26</v>
      </c>
      <c r="F1219" s="33" t="s">
        <v>27</v>
      </c>
      <c r="G1219" s="33" t="s">
        <v>20</v>
      </c>
      <c r="H1219" s="35">
        <v>24</v>
      </c>
      <c r="I1219" s="33" t="s">
        <v>21</v>
      </c>
      <c r="J1219" s="42">
        <v>44055</v>
      </c>
      <c r="K1219" s="33" t="s">
        <v>22</v>
      </c>
    </row>
    <row r="1220" spans="1:11">
      <c r="A1220" s="30" t="s">
        <v>3150</v>
      </c>
      <c r="B1220" s="30" t="s">
        <v>3151</v>
      </c>
      <c r="C1220" s="30" t="s">
        <v>318</v>
      </c>
      <c r="D1220" s="30" t="s">
        <v>17</v>
      </c>
      <c r="E1220" s="30" t="s">
        <v>26</v>
      </c>
      <c r="F1220" s="30" t="s">
        <v>27</v>
      </c>
      <c r="G1220" s="30" t="s">
        <v>106</v>
      </c>
      <c r="H1220" s="32">
        <v>58</v>
      </c>
      <c r="I1220" s="30" t="s">
        <v>21</v>
      </c>
      <c r="J1220" s="41">
        <v>43850</v>
      </c>
      <c r="K1220" s="30" t="s">
        <v>22</v>
      </c>
    </row>
    <row r="1221" spans="1:11">
      <c r="A1221" s="33" t="s">
        <v>3152</v>
      </c>
      <c r="B1221" s="33" t="s">
        <v>3153</v>
      </c>
      <c r="C1221" s="33" t="s">
        <v>3154</v>
      </c>
      <c r="D1221" s="33" t="s">
        <v>17</v>
      </c>
      <c r="E1221" s="33" t="s">
        <v>26</v>
      </c>
      <c r="F1221" s="33" t="s">
        <v>27</v>
      </c>
      <c r="G1221" s="33" t="s">
        <v>20</v>
      </c>
      <c r="H1221" s="35">
        <v>20</v>
      </c>
      <c r="I1221" s="33" t="s">
        <v>21</v>
      </c>
      <c r="J1221" s="42">
        <v>44095</v>
      </c>
      <c r="K1221" s="33" t="s">
        <v>22</v>
      </c>
    </row>
    <row r="1222" spans="1:11">
      <c r="A1222" s="30" t="s">
        <v>3155</v>
      </c>
      <c r="B1222" s="30" t="s">
        <v>3156</v>
      </c>
      <c r="C1222" s="30" t="s">
        <v>3157</v>
      </c>
      <c r="D1222" s="30" t="s">
        <v>17</v>
      </c>
      <c r="E1222" s="30" t="s">
        <v>31</v>
      </c>
      <c r="F1222" s="30" t="s">
        <v>32</v>
      </c>
      <c r="G1222" s="30" t="s">
        <v>20</v>
      </c>
      <c r="H1222" s="32">
        <v>38</v>
      </c>
      <c r="I1222" s="30" t="s">
        <v>21</v>
      </c>
      <c r="J1222" s="41">
        <v>44165</v>
      </c>
      <c r="K1222" s="30" t="s">
        <v>22</v>
      </c>
    </row>
    <row r="1223" spans="1:11">
      <c r="A1223" s="33" t="s">
        <v>3158</v>
      </c>
      <c r="B1223" s="33" t="s">
        <v>3159</v>
      </c>
      <c r="C1223" s="33" t="s">
        <v>2562</v>
      </c>
      <c r="D1223" s="33" t="s">
        <v>17</v>
      </c>
      <c r="E1223" s="33" t="s">
        <v>26</v>
      </c>
      <c r="F1223" s="33" t="s">
        <v>27</v>
      </c>
      <c r="G1223" s="33" t="s">
        <v>20</v>
      </c>
      <c r="H1223" s="35">
        <v>176</v>
      </c>
      <c r="I1223" s="33" t="s">
        <v>21</v>
      </c>
      <c r="J1223" s="42">
        <v>44189</v>
      </c>
      <c r="K1223" s="33" t="s">
        <v>22</v>
      </c>
    </row>
    <row r="1224" spans="1:11">
      <c r="A1224" s="30" t="s">
        <v>3160</v>
      </c>
      <c r="B1224" s="30" t="s">
        <v>3161</v>
      </c>
      <c r="C1224" s="30" t="s">
        <v>1210</v>
      </c>
      <c r="D1224" s="30" t="s">
        <v>17</v>
      </c>
      <c r="E1224" s="30" t="s">
        <v>26</v>
      </c>
      <c r="F1224" s="30" t="s">
        <v>27</v>
      </c>
      <c r="G1224" s="30" t="s">
        <v>20</v>
      </c>
      <c r="H1224" s="32">
        <v>94</v>
      </c>
      <c r="I1224" s="30" t="s">
        <v>21</v>
      </c>
      <c r="J1224" s="41">
        <v>44062</v>
      </c>
      <c r="K1224" s="30" t="s">
        <v>22</v>
      </c>
    </row>
    <row r="1225" spans="1:11">
      <c r="A1225" s="33" t="s">
        <v>3162</v>
      </c>
      <c r="B1225" s="33" t="s">
        <v>3163</v>
      </c>
      <c r="C1225" s="33" t="s">
        <v>3164</v>
      </c>
      <c r="D1225" s="33" t="s">
        <v>17</v>
      </c>
      <c r="E1225" s="33" t="s">
        <v>26</v>
      </c>
      <c r="F1225" s="33" t="s">
        <v>27</v>
      </c>
      <c r="G1225" s="33" t="s">
        <v>20</v>
      </c>
      <c r="H1225" s="35">
        <v>36</v>
      </c>
      <c r="I1225" s="33" t="s">
        <v>21</v>
      </c>
      <c r="J1225" s="42">
        <v>44134</v>
      </c>
      <c r="K1225" s="33" t="s">
        <v>22</v>
      </c>
    </row>
    <row r="1226" spans="1:11">
      <c r="A1226" s="30" t="s">
        <v>3165</v>
      </c>
      <c r="B1226" s="30" t="s">
        <v>3166</v>
      </c>
      <c r="C1226" s="30" t="s">
        <v>3167</v>
      </c>
      <c r="D1226" s="30" t="s">
        <v>17</v>
      </c>
      <c r="E1226" s="30" t="s">
        <v>26</v>
      </c>
      <c r="F1226" s="30" t="s">
        <v>27</v>
      </c>
      <c r="G1226" s="30" t="s">
        <v>50</v>
      </c>
      <c r="H1226" s="32">
        <v>9</v>
      </c>
      <c r="I1226" s="30" t="s">
        <v>51</v>
      </c>
      <c r="J1226" s="41">
        <v>43993</v>
      </c>
      <c r="K1226" s="30" t="s">
        <v>22</v>
      </c>
    </row>
    <row r="1227" spans="1:11">
      <c r="A1227" s="33" t="s">
        <v>3168</v>
      </c>
      <c r="B1227" s="33" t="s">
        <v>3169</v>
      </c>
      <c r="C1227" s="33" t="s">
        <v>3170</v>
      </c>
      <c r="D1227" s="33" t="s">
        <v>17</v>
      </c>
      <c r="E1227" s="33" t="s">
        <v>26</v>
      </c>
      <c r="F1227" s="33" t="s">
        <v>27</v>
      </c>
      <c r="G1227" s="33" t="s">
        <v>106</v>
      </c>
      <c r="H1227" s="35">
        <v>27</v>
      </c>
      <c r="I1227" s="33" t="s">
        <v>21</v>
      </c>
      <c r="J1227" s="42">
        <v>43984</v>
      </c>
      <c r="K1227" s="33" t="s">
        <v>22</v>
      </c>
    </row>
    <row r="1228" spans="1:11">
      <c r="A1228" s="30" t="s">
        <v>3171</v>
      </c>
      <c r="B1228" s="30" t="s">
        <v>3172</v>
      </c>
      <c r="C1228" s="30" t="s">
        <v>136</v>
      </c>
      <c r="D1228" s="30" t="s">
        <v>17</v>
      </c>
      <c r="E1228" s="30" t="s">
        <v>18</v>
      </c>
      <c r="F1228" s="30" t="s">
        <v>19</v>
      </c>
      <c r="G1228" s="30" t="s">
        <v>158</v>
      </c>
      <c r="H1228" s="32">
        <v>1736</v>
      </c>
      <c r="I1228" s="30" t="s">
        <v>21</v>
      </c>
      <c r="J1228" s="41">
        <v>44001</v>
      </c>
      <c r="K1228" s="30" t="s">
        <v>22</v>
      </c>
    </row>
    <row r="1229" spans="1:11">
      <c r="A1229" s="33" t="s">
        <v>3173</v>
      </c>
      <c r="B1229" s="33" t="s">
        <v>3174</v>
      </c>
      <c r="C1229" s="33" t="s">
        <v>450</v>
      </c>
      <c r="D1229" s="33" t="s">
        <v>17</v>
      </c>
      <c r="E1229" s="33" t="s">
        <v>31</v>
      </c>
      <c r="F1229" s="33" t="s">
        <v>32</v>
      </c>
      <c r="G1229" s="33" t="s">
        <v>20</v>
      </c>
      <c r="H1229" s="35">
        <v>25</v>
      </c>
      <c r="I1229" s="33" t="s">
        <v>21</v>
      </c>
      <c r="J1229" s="42">
        <v>43908</v>
      </c>
      <c r="K1229" s="33" t="s">
        <v>22</v>
      </c>
    </row>
    <row r="1230" spans="1:11">
      <c r="A1230" s="30" t="s">
        <v>3175</v>
      </c>
      <c r="B1230" s="30" t="s">
        <v>3176</v>
      </c>
      <c r="C1230" s="30" t="s">
        <v>3177</v>
      </c>
      <c r="D1230" s="30" t="s">
        <v>17</v>
      </c>
      <c r="E1230" s="30" t="s">
        <v>31</v>
      </c>
      <c r="F1230" s="30" t="s">
        <v>32</v>
      </c>
      <c r="G1230" s="30" t="s">
        <v>20</v>
      </c>
      <c r="H1230" s="32">
        <v>169</v>
      </c>
      <c r="I1230" s="30" t="s">
        <v>21</v>
      </c>
      <c r="J1230" s="41">
        <v>44168</v>
      </c>
      <c r="K1230" s="30" t="s">
        <v>22</v>
      </c>
    </row>
    <row r="1231" spans="1:11">
      <c r="A1231" s="33" t="s">
        <v>3178</v>
      </c>
      <c r="B1231" s="33" t="s">
        <v>3179</v>
      </c>
      <c r="C1231" s="33" t="s">
        <v>2812</v>
      </c>
      <c r="D1231" s="33" t="s">
        <v>17</v>
      </c>
      <c r="E1231" s="33" t="s">
        <v>18</v>
      </c>
      <c r="F1231" s="33" t="s">
        <v>19</v>
      </c>
      <c r="G1231" s="33" t="s">
        <v>20</v>
      </c>
      <c r="H1231" s="35">
        <v>178</v>
      </c>
      <c r="I1231" s="33" t="s">
        <v>21</v>
      </c>
      <c r="J1231" s="42">
        <v>44196</v>
      </c>
      <c r="K1231" s="33" t="s">
        <v>22</v>
      </c>
    </row>
    <row r="1232" spans="1:11">
      <c r="A1232" s="30" t="s">
        <v>3180</v>
      </c>
      <c r="B1232" s="30" t="s">
        <v>3181</v>
      </c>
      <c r="C1232" s="30" t="s">
        <v>3182</v>
      </c>
      <c r="D1232" s="30" t="s">
        <v>17</v>
      </c>
      <c r="E1232" s="30" t="s">
        <v>26</v>
      </c>
      <c r="F1232" s="30" t="s">
        <v>27</v>
      </c>
      <c r="G1232" s="30" t="s">
        <v>20</v>
      </c>
      <c r="H1232" s="32">
        <v>38</v>
      </c>
      <c r="I1232" s="30" t="s">
        <v>21</v>
      </c>
      <c r="J1232" s="41">
        <v>43977</v>
      </c>
      <c r="K1232" s="30" t="s">
        <v>22</v>
      </c>
    </row>
    <row r="1233" spans="1:11">
      <c r="A1233" s="33" t="s">
        <v>3183</v>
      </c>
      <c r="B1233" s="33" t="s">
        <v>3184</v>
      </c>
      <c r="C1233" s="33" t="s">
        <v>3185</v>
      </c>
      <c r="D1233" s="33" t="s">
        <v>17</v>
      </c>
      <c r="E1233" s="33" t="s">
        <v>26</v>
      </c>
      <c r="F1233" s="33" t="s">
        <v>27</v>
      </c>
      <c r="G1233" s="33" t="s">
        <v>20</v>
      </c>
      <c r="H1233" s="35">
        <v>50</v>
      </c>
      <c r="I1233" s="33" t="s">
        <v>21</v>
      </c>
      <c r="J1233" s="42">
        <v>44182</v>
      </c>
      <c r="K1233" s="33" t="s">
        <v>22</v>
      </c>
    </row>
    <row r="1234" spans="1:11">
      <c r="A1234" s="30" t="s">
        <v>3186</v>
      </c>
      <c r="B1234" s="30" t="s">
        <v>3187</v>
      </c>
      <c r="C1234" s="30" t="s">
        <v>149</v>
      </c>
      <c r="D1234" s="30" t="s">
        <v>17</v>
      </c>
      <c r="E1234" s="30" t="s">
        <v>26</v>
      </c>
      <c r="F1234" s="30" t="s">
        <v>27</v>
      </c>
      <c r="G1234" s="30" t="s">
        <v>20</v>
      </c>
      <c r="H1234" s="32">
        <v>107</v>
      </c>
      <c r="I1234" s="30" t="s">
        <v>21</v>
      </c>
      <c r="J1234" s="41">
        <v>44068</v>
      </c>
      <c r="K1234" s="30" t="s">
        <v>22</v>
      </c>
    </row>
    <row r="1235" spans="1:11">
      <c r="A1235" s="33" t="s">
        <v>3188</v>
      </c>
      <c r="B1235" s="33" t="s">
        <v>3189</v>
      </c>
      <c r="C1235" s="33" t="s">
        <v>3190</v>
      </c>
      <c r="D1235" s="33" t="s">
        <v>17</v>
      </c>
      <c r="E1235" s="33" t="s">
        <v>31</v>
      </c>
      <c r="F1235" s="33" t="s">
        <v>32</v>
      </c>
      <c r="G1235" s="33" t="s">
        <v>20</v>
      </c>
      <c r="H1235" s="35">
        <v>60</v>
      </c>
      <c r="I1235" s="33" t="s">
        <v>21</v>
      </c>
      <c r="J1235" s="42">
        <v>44162</v>
      </c>
      <c r="K1235" s="33" t="s">
        <v>22</v>
      </c>
    </row>
    <row r="1236" spans="1:11">
      <c r="A1236" s="30" t="s">
        <v>3191</v>
      </c>
      <c r="B1236" s="30" t="s">
        <v>3192</v>
      </c>
      <c r="C1236" s="30" t="s">
        <v>387</v>
      </c>
      <c r="D1236" s="30" t="s">
        <v>17</v>
      </c>
      <c r="E1236" s="30" t="s">
        <v>26</v>
      </c>
      <c r="F1236" s="30" t="s">
        <v>27</v>
      </c>
      <c r="G1236" s="30" t="s">
        <v>20</v>
      </c>
      <c r="H1236" s="32">
        <v>20</v>
      </c>
      <c r="I1236" s="30" t="s">
        <v>21</v>
      </c>
      <c r="J1236" s="41">
        <v>43871</v>
      </c>
      <c r="K1236" s="30" t="s">
        <v>22</v>
      </c>
    </row>
    <row r="1237" spans="1:11">
      <c r="A1237" s="33" t="s">
        <v>3193</v>
      </c>
      <c r="B1237" s="33" t="s">
        <v>3194</v>
      </c>
      <c r="C1237" s="33" t="s">
        <v>3195</v>
      </c>
      <c r="D1237" s="33" t="s">
        <v>17</v>
      </c>
      <c r="E1237" s="33" t="s">
        <v>212</v>
      </c>
      <c r="F1237" s="33" t="s">
        <v>213</v>
      </c>
      <c r="G1237" s="33" t="s">
        <v>20</v>
      </c>
      <c r="H1237" s="35">
        <v>540</v>
      </c>
      <c r="I1237" s="33" t="s">
        <v>21</v>
      </c>
      <c r="J1237" s="42">
        <v>43952</v>
      </c>
      <c r="K1237" s="33" t="s">
        <v>22</v>
      </c>
    </row>
    <row r="1238" spans="1:11">
      <c r="A1238" s="30" t="s">
        <v>3196</v>
      </c>
      <c r="B1238" s="30" t="s">
        <v>3197</v>
      </c>
      <c r="C1238" s="30" t="s">
        <v>2006</v>
      </c>
      <c r="D1238" s="30" t="s">
        <v>17</v>
      </c>
      <c r="E1238" s="30" t="s">
        <v>26</v>
      </c>
      <c r="F1238" s="30" t="s">
        <v>27</v>
      </c>
      <c r="G1238" s="30" t="s">
        <v>20</v>
      </c>
      <c r="H1238" s="32">
        <v>20</v>
      </c>
      <c r="I1238" s="30" t="s">
        <v>21</v>
      </c>
      <c r="J1238" s="41">
        <v>44013</v>
      </c>
      <c r="K1238" s="30" t="s">
        <v>22</v>
      </c>
    </row>
    <row r="1239" spans="1:11">
      <c r="A1239" s="33" t="s">
        <v>3198</v>
      </c>
      <c r="B1239" s="33" t="s">
        <v>3199</v>
      </c>
      <c r="C1239" s="33" t="s">
        <v>684</v>
      </c>
      <c r="D1239" s="33" t="s">
        <v>17</v>
      </c>
      <c r="E1239" s="33" t="s">
        <v>26</v>
      </c>
      <c r="F1239" s="33" t="s">
        <v>27</v>
      </c>
      <c r="G1239" s="33" t="s">
        <v>20</v>
      </c>
      <c r="H1239" s="35">
        <v>28</v>
      </c>
      <c r="I1239" s="33" t="s">
        <v>21</v>
      </c>
      <c r="J1239" s="42">
        <v>44104</v>
      </c>
      <c r="K1239" s="33" t="s">
        <v>22</v>
      </c>
    </row>
    <row r="1240" spans="1:11">
      <c r="A1240" s="30" t="s">
        <v>3200</v>
      </c>
      <c r="B1240" s="30" t="s">
        <v>3201</v>
      </c>
      <c r="C1240" s="30" t="s">
        <v>3202</v>
      </c>
      <c r="D1240" s="30" t="s">
        <v>17</v>
      </c>
      <c r="E1240" s="30" t="s">
        <v>26</v>
      </c>
      <c r="F1240" s="30" t="s">
        <v>27</v>
      </c>
      <c r="G1240" s="30" t="s">
        <v>20</v>
      </c>
      <c r="H1240" s="32">
        <v>12</v>
      </c>
      <c r="I1240" s="30" t="s">
        <v>21</v>
      </c>
      <c r="J1240" s="41">
        <v>44081</v>
      </c>
      <c r="K1240" s="30" t="s">
        <v>22</v>
      </c>
    </row>
    <row r="1241" spans="1:11">
      <c r="A1241" s="33" t="s">
        <v>3203</v>
      </c>
      <c r="B1241" s="33" t="s">
        <v>3204</v>
      </c>
      <c r="C1241" s="33" t="s">
        <v>3205</v>
      </c>
      <c r="D1241" s="33" t="s">
        <v>17</v>
      </c>
      <c r="E1241" s="33" t="s">
        <v>26</v>
      </c>
      <c r="F1241" s="33" t="s">
        <v>27</v>
      </c>
      <c r="G1241" s="33" t="s">
        <v>20</v>
      </c>
      <c r="H1241" s="35">
        <v>31</v>
      </c>
      <c r="I1241" s="33" t="s">
        <v>21</v>
      </c>
      <c r="J1241" s="42">
        <v>44137</v>
      </c>
      <c r="K1241" s="33" t="s">
        <v>22</v>
      </c>
    </row>
    <row r="1242" spans="1:11">
      <c r="A1242" s="30" t="s">
        <v>3206</v>
      </c>
      <c r="B1242" s="30" t="s">
        <v>3207</v>
      </c>
      <c r="C1242" s="30" t="s">
        <v>753</v>
      </c>
      <c r="D1242" s="30" t="s">
        <v>17</v>
      </c>
      <c r="E1242" s="30" t="s">
        <v>18</v>
      </c>
      <c r="F1242" s="30" t="s">
        <v>19</v>
      </c>
      <c r="G1242" s="30" t="s">
        <v>20</v>
      </c>
      <c r="H1242" s="32">
        <v>181</v>
      </c>
      <c r="I1242" s="30" t="s">
        <v>21</v>
      </c>
      <c r="J1242" s="41">
        <v>44000</v>
      </c>
      <c r="K1242" s="30" t="s">
        <v>22</v>
      </c>
    </row>
    <row r="1243" spans="1:11">
      <c r="A1243" s="33" t="s">
        <v>3208</v>
      </c>
      <c r="B1243" s="33" t="s">
        <v>3209</v>
      </c>
      <c r="C1243" s="33" t="s">
        <v>3210</v>
      </c>
      <c r="D1243" s="33" t="s">
        <v>17</v>
      </c>
      <c r="E1243" s="33" t="s">
        <v>31</v>
      </c>
      <c r="F1243" s="33" t="s">
        <v>32</v>
      </c>
      <c r="G1243" s="33" t="s">
        <v>20</v>
      </c>
      <c r="H1243" s="35">
        <v>65</v>
      </c>
      <c r="I1243" s="33" t="s">
        <v>21</v>
      </c>
      <c r="J1243" s="42">
        <v>44119</v>
      </c>
      <c r="K1243" s="33" t="s">
        <v>22</v>
      </c>
    </row>
    <row r="1244" spans="1:11">
      <c r="A1244" s="30" t="s">
        <v>3211</v>
      </c>
      <c r="B1244" s="30" t="s">
        <v>3212</v>
      </c>
      <c r="C1244" s="30" t="s">
        <v>3213</v>
      </c>
      <c r="D1244" s="30" t="s">
        <v>17</v>
      </c>
      <c r="E1244" s="30" t="s">
        <v>26</v>
      </c>
      <c r="F1244" s="30" t="s">
        <v>27</v>
      </c>
      <c r="G1244" s="30" t="s">
        <v>158</v>
      </c>
      <c r="H1244" s="32">
        <v>214</v>
      </c>
      <c r="I1244" s="30" t="s">
        <v>51</v>
      </c>
      <c r="J1244" s="41">
        <v>44090</v>
      </c>
      <c r="K1244" s="30" t="s">
        <v>22</v>
      </c>
    </row>
    <row r="1245" spans="1:11">
      <c r="A1245" s="33" t="s">
        <v>3214</v>
      </c>
      <c r="B1245" s="33" t="s">
        <v>3215</v>
      </c>
      <c r="C1245" s="33" t="s">
        <v>1250</v>
      </c>
      <c r="D1245" s="33" t="s">
        <v>17</v>
      </c>
      <c r="E1245" s="33" t="s">
        <v>31</v>
      </c>
      <c r="F1245" s="33" t="s">
        <v>32</v>
      </c>
      <c r="G1245" s="33" t="s">
        <v>106</v>
      </c>
      <c r="H1245" s="35">
        <v>88</v>
      </c>
      <c r="I1245" s="33" t="s">
        <v>21</v>
      </c>
      <c r="J1245" s="42">
        <v>44071</v>
      </c>
      <c r="K1245" s="33" t="s">
        <v>22</v>
      </c>
    </row>
    <row r="1246" spans="1:11">
      <c r="A1246" s="30" t="s">
        <v>3216</v>
      </c>
      <c r="B1246" s="30" t="s">
        <v>3217</v>
      </c>
      <c r="C1246" s="30" t="s">
        <v>2292</v>
      </c>
      <c r="D1246" s="30" t="s">
        <v>17</v>
      </c>
      <c r="E1246" s="30" t="s">
        <v>26</v>
      </c>
      <c r="F1246" s="30" t="s">
        <v>27</v>
      </c>
      <c r="G1246" s="30" t="s">
        <v>20</v>
      </c>
      <c r="H1246" s="32">
        <v>250</v>
      </c>
      <c r="I1246" s="30" t="s">
        <v>21</v>
      </c>
      <c r="J1246" s="41">
        <v>44054</v>
      </c>
      <c r="K1246" s="30" t="s">
        <v>22</v>
      </c>
    </row>
    <row r="1247" spans="1:11">
      <c r="A1247" s="33" t="s">
        <v>3218</v>
      </c>
      <c r="B1247" s="33" t="s">
        <v>3219</v>
      </c>
      <c r="C1247" s="33" t="s">
        <v>1504</v>
      </c>
      <c r="D1247" s="33" t="s">
        <v>17</v>
      </c>
      <c r="E1247" s="33" t="s">
        <v>26</v>
      </c>
      <c r="F1247" s="33" t="s">
        <v>27</v>
      </c>
      <c r="G1247" s="33" t="s">
        <v>20</v>
      </c>
      <c r="H1247" s="35">
        <v>42</v>
      </c>
      <c r="I1247" s="33" t="s">
        <v>21</v>
      </c>
      <c r="J1247" s="42">
        <v>44050</v>
      </c>
      <c r="K1247" s="33" t="s">
        <v>22</v>
      </c>
    </row>
    <row r="1248" spans="1:11">
      <c r="A1248" s="30" t="s">
        <v>3220</v>
      </c>
      <c r="B1248" s="30" t="s">
        <v>3221</v>
      </c>
      <c r="C1248" s="30" t="s">
        <v>190</v>
      </c>
      <c r="D1248" s="30" t="s">
        <v>17</v>
      </c>
      <c r="E1248" s="30" t="s">
        <v>31</v>
      </c>
      <c r="F1248" s="30" t="s">
        <v>32</v>
      </c>
      <c r="G1248" s="30" t="s">
        <v>20</v>
      </c>
      <c r="H1248" s="32">
        <v>109</v>
      </c>
      <c r="I1248" s="30" t="s">
        <v>21</v>
      </c>
      <c r="J1248" s="41">
        <v>44165</v>
      </c>
      <c r="K1248" s="30" t="s">
        <v>22</v>
      </c>
    </row>
    <row r="1249" spans="1:11">
      <c r="A1249" s="33" t="s">
        <v>3222</v>
      </c>
      <c r="B1249" s="33" t="s">
        <v>3223</v>
      </c>
      <c r="C1249" s="33" t="s">
        <v>3224</v>
      </c>
      <c r="D1249" s="33" t="s">
        <v>17</v>
      </c>
      <c r="E1249" s="33" t="s">
        <v>31</v>
      </c>
      <c r="F1249" s="33" t="s">
        <v>32</v>
      </c>
      <c r="G1249" s="33" t="s">
        <v>20</v>
      </c>
      <c r="H1249" s="35">
        <v>63</v>
      </c>
      <c r="I1249" s="33" t="s">
        <v>21</v>
      </c>
      <c r="J1249" s="42">
        <v>44093</v>
      </c>
      <c r="K1249" s="33" t="s">
        <v>22</v>
      </c>
    </row>
    <row r="1250" spans="1:11">
      <c r="A1250" s="30" t="s">
        <v>3225</v>
      </c>
      <c r="B1250" s="30" t="s">
        <v>3226</v>
      </c>
      <c r="C1250" s="30" t="s">
        <v>93</v>
      </c>
      <c r="D1250" s="30" t="s">
        <v>17</v>
      </c>
      <c r="E1250" s="30" t="s">
        <v>26</v>
      </c>
      <c r="F1250" s="30" t="s">
        <v>27</v>
      </c>
      <c r="G1250" s="30" t="s">
        <v>20</v>
      </c>
      <c r="H1250" s="32">
        <v>30</v>
      </c>
      <c r="I1250" s="30" t="s">
        <v>21</v>
      </c>
      <c r="J1250" s="41">
        <v>44089</v>
      </c>
      <c r="K1250" s="30" t="s">
        <v>22</v>
      </c>
    </row>
    <row r="1251" spans="1:11">
      <c r="A1251" s="33" t="s">
        <v>3227</v>
      </c>
      <c r="B1251" s="33" t="s">
        <v>3228</v>
      </c>
      <c r="C1251" s="33" t="s">
        <v>3229</v>
      </c>
      <c r="D1251" s="33" t="s">
        <v>17</v>
      </c>
      <c r="E1251" s="33" t="s">
        <v>67</v>
      </c>
      <c r="F1251" s="33" t="s">
        <v>68</v>
      </c>
      <c r="G1251" s="33" t="s">
        <v>20</v>
      </c>
      <c r="H1251" s="35">
        <v>32</v>
      </c>
      <c r="I1251" s="33" t="s">
        <v>21</v>
      </c>
      <c r="J1251" s="42">
        <v>44111</v>
      </c>
      <c r="K1251" s="33" t="s">
        <v>22</v>
      </c>
    </row>
    <row r="1252" spans="1:11">
      <c r="A1252" s="30" t="s">
        <v>3230</v>
      </c>
      <c r="B1252" s="30" t="s">
        <v>3231</v>
      </c>
      <c r="C1252" s="30" t="s">
        <v>130</v>
      </c>
      <c r="D1252" s="30" t="s">
        <v>17</v>
      </c>
      <c r="E1252" s="30" t="s">
        <v>31</v>
      </c>
      <c r="F1252" s="30" t="s">
        <v>32</v>
      </c>
      <c r="G1252" s="30" t="s">
        <v>158</v>
      </c>
      <c r="H1252" s="32">
        <v>112</v>
      </c>
      <c r="I1252" s="30" t="s">
        <v>21</v>
      </c>
      <c r="J1252" s="41">
        <v>44046</v>
      </c>
      <c r="K1252" s="30" t="s">
        <v>22</v>
      </c>
    </row>
    <row r="1253" spans="1:11">
      <c r="A1253" s="33" t="s">
        <v>3232</v>
      </c>
      <c r="B1253" s="33" t="s">
        <v>3233</v>
      </c>
      <c r="C1253" s="33" t="s">
        <v>252</v>
      </c>
      <c r="D1253" s="33" t="s">
        <v>17</v>
      </c>
      <c r="E1253" s="33" t="s">
        <v>31</v>
      </c>
      <c r="F1253" s="33" t="s">
        <v>32</v>
      </c>
      <c r="G1253" s="33" t="s">
        <v>20</v>
      </c>
      <c r="H1253" s="35">
        <v>34</v>
      </c>
      <c r="I1253" s="33" t="s">
        <v>21</v>
      </c>
      <c r="J1253" s="42">
        <v>43947</v>
      </c>
      <c r="K1253" s="33" t="s">
        <v>22</v>
      </c>
    </row>
    <row r="1254" spans="1:11">
      <c r="A1254" s="30" t="s">
        <v>3234</v>
      </c>
      <c r="B1254" s="30" t="s">
        <v>3235</v>
      </c>
      <c r="C1254" s="30" t="s">
        <v>136</v>
      </c>
      <c r="D1254" s="30" t="s">
        <v>17</v>
      </c>
      <c r="E1254" s="30" t="s">
        <v>26</v>
      </c>
      <c r="F1254" s="30" t="s">
        <v>27</v>
      </c>
      <c r="G1254" s="30" t="s">
        <v>20</v>
      </c>
      <c r="H1254" s="32">
        <v>32</v>
      </c>
      <c r="I1254" s="30" t="s">
        <v>21</v>
      </c>
      <c r="J1254" s="41">
        <v>43886</v>
      </c>
      <c r="K1254" s="30" t="s">
        <v>22</v>
      </c>
    </row>
    <row r="1255" spans="1:11">
      <c r="A1255" s="33" t="s">
        <v>3236</v>
      </c>
      <c r="B1255" s="33" t="s">
        <v>3237</v>
      </c>
      <c r="C1255" s="33" t="s">
        <v>3238</v>
      </c>
      <c r="D1255" s="33" t="s">
        <v>17</v>
      </c>
      <c r="E1255" s="33" t="s">
        <v>31</v>
      </c>
      <c r="F1255" s="33" t="s">
        <v>32</v>
      </c>
      <c r="G1255" s="33" t="s">
        <v>106</v>
      </c>
      <c r="H1255" s="35">
        <v>4</v>
      </c>
      <c r="I1255" s="33" t="s">
        <v>21</v>
      </c>
      <c r="J1255" s="42">
        <v>44012</v>
      </c>
      <c r="K1255" s="33" t="s">
        <v>22</v>
      </c>
    </row>
    <row r="1256" spans="1:11">
      <c r="A1256" s="30" t="s">
        <v>3239</v>
      </c>
      <c r="B1256" s="30" t="s">
        <v>3240</v>
      </c>
      <c r="C1256" s="30" t="s">
        <v>149</v>
      </c>
      <c r="D1256" s="30" t="s">
        <v>17</v>
      </c>
      <c r="E1256" s="30" t="s">
        <v>26</v>
      </c>
      <c r="F1256" s="30" t="s">
        <v>27</v>
      </c>
      <c r="G1256" s="30" t="s">
        <v>20</v>
      </c>
      <c r="H1256" s="32">
        <v>36</v>
      </c>
      <c r="I1256" s="30" t="s">
        <v>21</v>
      </c>
      <c r="J1256" s="41">
        <v>44054</v>
      </c>
      <c r="K1256" s="30" t="s">
        <v>22</v>
      </c>
    </row>
    <row r="1257" spans="1:11">
      <c r="A1257" s="33" t="s">
        <v>3241</v>
      </c>
      <c r="B1257" s="33" t="s">
        <v>3242</v>
      </c>
      <c r="C1257" s="33" t="s">
        <v>3243</v>
      </c>
      <c r="D1257" s="33" t="s">
        <v>17</v>
      </c>
      <c r="E1257" s="33" t="s">
        <v>18</v>
      </c>
      <c r="F1257" s="33" t="s">
        <v>19</v>
      </c>
      <c r="G1257" s="33" t="s">
        <v>20</v>
      </c>
      <c r="H1257" s="35">
        <v>423</v>
      </c>
      <c r="I1257" s="33" t="s">
        <v>21</v>
      </c>
      <c r="J1257" s="42">
        <v>43972</v>
      </c>
      <c r="K1257" s="33" t="s">
        <v>22</v>
      </c>
    </row>
    <row r="1258" spans="1:11">
      <c r="A1258" s="30" t="s">
        <v>3244</v>
      </c>
      <c r="B1258" s="30" t="s">
        <v>3245</v>
      </c>
      <c r="C1258" s="30" t="s">
        <v>3246</v>
      </c>
      <c r="D1258" s="30" t="s">
        <v>17</v>
      </c>
      <c r="E1258" s="30" t="s">
        <v>31</v>
      </c>
      <c r="F1258" s="30" t="s">
        <v>32</v>
      </c>
      <c r="G1258" s="30" t="s">
        <v>106</v>
      </c>
      <c r="H1258" s="32">
        <v>9</v>
      </c>
      <c r="I1258" s="30" t="s">
        <v>21</v>
      </c>
      <c r="J1258" s="41">
        <v>43908</v>
      </c>
      <c r="K1258" s="30" t="s">
        <v>22</v>
      </c>
    </row>
    <row r="1259" spans="1:11">
      <c r="A1259" s="33" t="s">
        <v>3247</v>
      </c>
      <c r="B1259" s="33" t="s">
        <v>3248</v>
      </c>
      <c r="C1259" s="33" t="s">
        <v>756</v>
      </c>
      <c r="D1259" s="33" t="s">
        <v>17</v>
      </c>
      <c r="E1259" s="33" t="s">
        <v>26</v>
      </c>
      <c r="F1259" s="33" t="s">
        <v>27</v>
      </c>
      <c r="G1259" s="33" t="s">
        <v>20</v>
      </c>
      <c r="H1259" s="35">
        <v>32</v>
      </c>
      <c r="I1259" s="33" t="s">
        <v>21</v>
      </c>
      <c r="J1259" s="42">
        <v>44062</v>
      </c>
      <c r="K1259" s="33" t="s">
        <v>22</v>
      </c>
    </row>
    <row r="1260" spans="1:11">
      <c r="A1260" s="30" t="s">
        <v>3249</v>
      </c>
      <c r="B1260" s="30" t="s">
        <v>3250</v>
      </c>
      <c r="C1260" s="30" t="s">
        <v>647</v>
      </c>
      <c r="D1260" s="30" t="s">
        <v>17</v>
      </c>
      <c r="E1260" s="30" t="s">
        <v>26</v>
      </c>
      <c r="F1260" s="30" t="s">
        <v>27</v>
      </c>
      <c r="G1260" s="30" t="s">
        <v>112</v>
      </c>
      <c r="H1260" s="32">
        <v>0</v>
      </c>
      <c r="I1260" s="30" t="s">
        <v>21</v>
      </c>
      <c r="J1260" s="41">
        <v>44019</v>
      </c>
      <c r="K1260" s="30" t="s">
        <v>22</v>
      </c>
    </row>
    <row r="1261" spans="1:11">
      <c r="A1261" s="33" t="s">
        <v>3251</v>
      </c>
      <c r="B1261" s="33" t="s">
        <v>3252</v>
      </c>
      <c r="C1261" s="33" t="s">
        <v>3253</v>
      </c>
      <c r="D1261" s="33" t="s">
        <v>17</v>
      </c>
      <c r="E1261" s="33" t="s">
        <v>26</v>
      </c>
      <c r="F1261" s="33" t="s">
        <v>27</v>
      </c>
      <c r="G1261" s="33" t="s">
        <v>106</v>
      </c>
      <c r="H1261" s="35">
        <v>1</v>
      </c>
      <c r="I1261" s="33" t="s">
        <v>21</v>
      </c>
      <c r="J1261" s="42">
        <v>43962</v>
      </c>
      <c r="K1261" s="33" t="s">
        <v>22</v>
      </c>
    </row>
    <row r="1262" spans="1:11">
      <c r="A1262" s="30" t="s">
        <v>3254</v>
      </c>
      <c r="B1262" s="30" t="s">
        <v>3255</v>
      </c>
      <c r="C1262" s="30" t="s">
        <v>899</v>
      </c>
      <c r="D1262" s="30" t="s">
        <v>17</v>
      </c>
      <c r="E1262" s="30" t="s">
        <v>67</v>
      </c>
      <c r="F1262" s="30" t="s">
        <v>68</v>
      </c>
      <c r="G1262" s="30" t="s">
        <v>106</v>
      </c>
      <c r="H1262" s="32">
        <v>52</v>
      </c>
      <c r="I1262" s="30" t="s">
        <v>21</v>
      </c>
      <c r="J1262" s="41">
        <v>44113</v>
      </c>
      <c r="K1262" s="30" t="s">
        <v>22</v>
      </c>
    </row>
    <row r="1263" spans="1:11">
      <c r="A1263" s="33" t="s">
        <v>3256</v>
      </c>
      <c r="B1263" s="33" t="s">
        <v>3257</v>
      </c>
      <c r="C1263" s="33" t="s">
        <v>3258</v>
      </c>
      <c r="D1263" s="33" t="s">
        <v>17</v>
      </c>
      <c r="E1263" s="33" t="s">
        <v>18</v>
      </c>
      <c r="F1263" s="33" t="s">
        <v>19</v>
      </c>
      <c r="G1263" s="33" t="s">
        <v>20</v>
      </c>
      <c r="H1263" s="35">
        <v>599</v>
      </c>
      <c r="I1263" s="33" t="s">
        <v>21</v>
      </c>
      <c r="J1263" s="42">
        <v>44032</v>
      </c>
      <c r="K1263" s="33" t="s">
        <v>22</v>
      </c>
    </row>
    <row r="1264" spans="1:11">
      <c r="A1264" s="30" t="s">
        <v>3259</v>
      </c>
      <c r="B1264" s="30" t="s">
        <v>3260</v>
      </c>
      <c r="C1264" s="30" t="s">
        <v>3261</v>
      </c>
      <c r="D1264" s="30" t="s">
        <v>17</v>
      </c>
      <c r="E1264" s="30" t="s">
        <v>18</v>
      </c>
      <c r="F1264" s="30" t="s">
        <v>19</v>
      </c>
      <c r="G1264" s="30" t="s">
        <v>20</v>
      </c>
      <c r="H1264" s="32">
        <v>102</v>
      </c>
      <c r="I1264" s="30" t="s">
        <v>21</v>
      </c>
      <c r="J1264" s="41">
        <v>43893</v>
      </c>
      <c r="K1264" s="30" t="s">
        <v>22</v>
      </c>
    </row>
    <row r="1265" spans="1:11">
      <c r="A1265" s="33" t="s">
        <v>3262</v>
      </c>
      <c r="B1265" s="33" t="s">
        <v>3263</v>
      </c>
      <c r="C1265" s="33" t="s">
        <v>3264</v>
      </c>
      <c r="D1265" s="33" t="s">
        <v>17</v>
      </c>
      <c r="E1265" s="33" t="s">
        <v>18</v>
      </c>
      <c r="F1265" s="33" t="s">
        <v>19</v>
      </c>
      <c r="G1265" s="33" t="s">
        <v>20</v>
      </c>
      <c r="H1265" s="35">
        <v>207</v>
      </c>
      <c r="I1265" s="33" t="s">
        <v>21</v>
      </c>
      <c r="J1265" s="42">
        <v>43983</v>
      </c>
      <c r="K1265" s="33" t="s">
        <v>22</v>
      </c>
    </row>
    <row r="1266" spans="1:11">
      <c r="A1266" s="30" t="s">
        <v>3265</v>
      </c>
      <c r="B1266" s="30" t="s">
        <v>3266</v>
      </c>
      <c r="C1266" s="30" t="s">
        <v>3267</v>
      </c>
      <c r="D1266" s="30" t="s">
        <v>17</v>
      </c>
      <c r="E1266" s="30" t="s">
        <v>18</v>
      </c>
      <c r="F1266" s="30" t="s">
        <v>19</v>
      </c>
      <c r="G1266" s="30" t="s">
        <v>20</v>
      </c>
      <c r="H1266" s="32">
        <v>456</v>
      </c>
      <c r="I1266" s="30" t="s">
        <v>21</v>
      </c>
      <c r="J1266" s="41">
        <v>44187</v>
      </c>
      <c r="K1266" s="30" t="s">
        <v>22</v>
      </c>
    </row>
    <row r="1267" spans="1:11">
      <c r="A1267" s="33" t="s">
        <v>3268</v>
      </c>
      <c r="B1267" s="33" t="s">
        <v>3269</v>
      </c>
      <c r="C1267" s="33" t="s">
        <v>3270</v>
      </c>
      <c r="D1267" s="33" t="s">
        <v>17</v>
      </c>
      <c r="E1267" s="33" t="s">
        <v>26</v>
      </c>
      <c r="F1267" s="33" t="s">
        <v>27</v>
      </c>
      <c r="G1267" s="33" t="s">
        <v>106</v>
      </c>
      <c r="H1267" s="35">
        <v>12</v>
      </c>
      <c r="I1267" s="33" t="s">
        <v>21</v>
      </c>
      <c r="J1267" s="42">
        <v>44081</v>
      </c>
      <c r="K1267" s="33" t="s">
        <v>22</v>
      </c>
    </row>
    <row r="1268" spans="1:11">
      <c r="A1268" s="30" t="s">
        <v>3271</v>
      </c>
      <c r="B1268" s="30" t="s">
        <v>3272</v>
      </c>
      <c r="C1268" s="30" t="s">
        <v>517</v>
      </c>
      <c r="D1268" s="30" t="s">
        <v>17</v>
      </c>
      <c r="E1268" s="30" t="s">
        <v>18</v>
      </c>
      <c r="F1268" s="30" t="s">
        <v>19</v>
      </c>
      <c r="G1268" s="30" t="s">
        <v>20</v>
      </c>
      <c r="H1268" s="32">
        <v>131</v>
      </c>
      <c r="I1268" s="30" t="s">
        <v>21</v>
      </c>
      <c r="J1268" s="41">
        <v>43853</v>
      </c>
      <c r="K1268" s="30" t="s">
        <v>22</v>
      </c>
    </row>
    <row r="1269" spans="1:11">
      <c r="A1269" s="33" t="s">
        <v>3273</v>
      </c>
      <c r="B1269" s="33" t="s">
        <v>3274</v>
      </c>
      <c r="C1269" s="33" t="s">
        <v>3275</v>
      </c>
      <c r="D1269" s="33" t="s">
        <v>17</v>
      </c>
      <c r="E1269" s="33" t="s">
        <v>67</v>
      </c>
      <c r="F1269" s="33" t="s">
        <v>68</v>
      </c>
      <c r="G1269" s="33" t="s">
        <v>106</v>
      </c>
      <c r="H1269" s="35">
        <v>6</v>
      </c>
      <c r="I1269" s="33" t="s">
        <v>21</v>
      </c>
      <c r="J1269" s="42">
        <v>44175</v>
      </c>
      <c r="K1269" s="33" t="s">
        <v>22</v>
      </c>
    </row>
    <row r="1270" spans="1:11">
      <c r="A1270" s="30" t="s">
        <v>3276</v>
      </c>
      <c r="B1270" s="30" t="s">
        <v>3277</v>
      </c>
      <c r="C1270" s="30" t="s">
        <v>3278</v>
      </c>
      <c r="D1270" s="30" t="s">
        <v>17</v>
      </c>
      <c r="E1270" s="30" t="s">
        <v>67</v>
      </c>
      <c r="F1270" s="30" t="s">
        <v>68</v>
      </c>
      <c r="G1270" s="30" t="s">
        <v>158</v>
      </c>
      <c r="H1270" s="32">
        <v>180</v>
      </c>
      <c r="I1270" s="30" t="s">
        <v>21</v>
      </c>
      <c r="J1270" s="41">
        <v>44106</v>
      </c>
      <c r="K1270" s="30" t="s">
        <v>22</v>
      </c>
    </row>
    <row r="1271" spans="1:11">
      <c r="A1271" s="33" t="s">
        <v>3279</v>
      </c>
      <c r="B1271" s="33" t="s">
        <v>3280</v>
      </c>
      <c r="C1271" s="33" t="s">
        <v>44</v>
      </c>
      <c r="D1271" s="33" t="s">
        <v>17</v>
      </c>
      <c r="E1271" s="33" t="s">
        <v>31</v>
      </c>
      <c r="F1271" s="33" t="s">
        <v>32</v>
      </c>
      <c r="G1271" s="33" t="s">
        <v>20</v>
      </c>
      <c r="H1271" s="35">
        <v>79</v>
      </c>
      <c r="I1271" s="33" t="s">
        <v>21</v>
      </c>
      <c r="J1271" s="42">
        <v>43900</v>
      </c>
      <c r="K1271" s="33" t="s">
        <v>22</v>
      </c>
    </row>
    <row r="1272" spans="1:11">
      <c r="A1272" s="30" t="s">
        <v>3281</v>
      </c>
      <c r="B1272" s="30" t="s">
        <v>3282</v>
      </c>
      <c r="C1272" s="30" t="s">
        <v>966</v>
      </c>
      <c r="D1272" s="30" t="s">
        <v>17</v>
      </c>
      <c r="E1272" s="30" t="s">
        <v>26</v>
      </c>
      <c r="F1272" s="30" t="s">
        <v>27</v>
      </c>
      <c r="G1272" s="30" t="s">
        <v>112</v>
      </c>
      <c r="H1272" s="32">
        <v>0</v>
      </c>
      <c r="I1272" s="30" t="s">
        <v>21</v>
      </c>
      <c r="J1272" s="41">
        <v>44135</v>
      </c>
      <c r="K1272" s="30" t="s">
        <v>22</v>
      </c>
    </row>
    <row r="1273" spans="1:11">
      <c r="A1273" s="33" t="s">
        <v>3283</v>
      </c>
      <c r="B1273" s="33" t="s">
        <v>3284</v>
      </c>
      <c r="C1273" s="33" t="s">
        <v>3285</v>
      </c>
      <c r="D1273" s="33" t="s">
        <v>17</v>
      </c>
      <c r="E1273" s="33" t="s">
        <v>26</v>
      </c>
      <c r="F1273" s="33" t="s">
        <v>27</v>
      </c>
      <c r="G1273" s="33" t="s">
        <v>50</v>
      </c>
      <c r="H1273" s="35">
        <v>63</v>
      </c>
      <c r="I1273" s="33" t="s">
        <v>51</v>
      </c>
      <c r="J1273" s="42">
        <v>44063</v>
      </c>
      <c r="K1273" s="33" t="s">
        <v>22</v>
      </c>
    </row>
    <row r="1274" spans="1:11">
      <c r="A1274" s="30" t="s">
        <v>3286</v>
      </c>
      <c r="B1274" s="30" t="s">
        <v>3287</v>
      </c>
      <c r="C1274" s="30" t="s">
        <v>231</v>
      </c>
      <c r="D1274" s="30" t="s">
        <v>17</v>
      </c>
      <c r="E1274" s="30" t="s">
        <v>26</v>
      </c>
      <c r="F1274" s="30" t="s">
        <v>27</v>
      </c>
      <c r="G1274" s="30" t="s">
        <v>20</v>
      </c>
      <c r="H1274" s="32">
        <v>40</v>
      </c>
      <c r="I1274" s="30" t="s">
        <v>21</v>
      </c>
      <c r="J1274" s="41">
        <v>44166</v>
      </c>
      <c r="K1274" s="30" t="s">
        <v>22</v>
      </c>
    </row>
    <row r="1275" spans="1:11">
      <c r="A1275" s="33" t="s">
        <v>3288</v>
      </c>
      <c r="B1275" s="33" t="s">
        <v>3289</v>
      </c>
      <c r="C1275" s="33" t="s">
        <v>3290</v>
      </c>
      <c r="D1275" s="33" t="s">
        <v>17</v>
      </c>
      <c r="E1275" s="33" t="s">
        <v>18</v>
      </c>
      <c r="F1275" s="33" t="s">
        <v>19</v>
      </c>
      <c r="G1275" s="33" t="s">
        <v>50</v>
      </c>
      <c r="H1275" s="35">
        <v>3600</v>
      </c>
      <c r="I1275" s="33" t="s">
        <v>51</v>
      </c>
      <c r="J1275" s="42">
        <v>44136</v>
      </c>
      <c r="K1275" s="33" t="s">
        <v>22</v>
      </c>
    </row>
    <row r="1276" spans="1:11">
      <c r="A1276" s="30" t="s">
        <v>3291</v>
      </c>
      <c r="B1276" s="30" t="s">
        <v>3292</v>
      </c>
      <c r="C1276" s="30" t="s">
        <v>3293</v>
      </c>
      <c r="D1276" s="30" t="s">
        <v>17</v>
      </c>
      <c r="E1276" s="30" t="s">
        <v>26</v>
      </c>
      <c r="F1276" s="30" t="s">
        <v>27</v>
      </c>
      <c r="G1276" s="30" t="s">
        <v>20</v>
      </c>
      <c r="H1276" s="32">
        <v>24</v>
      </c>
      <c r="I1276" s="30" t="s">
        <v>21</v>
      </c>
      <c r="J1276" s="41">
        <v>44076</v>
      </c>
      <c r="K1276" s="30" t="s">
        <v>22</v>
      </c>
    </row>
    <row r="1277" spans="1:11">
      <c r="A1277" s="33" t="s">
        <v>3294</v>
      </c>
      <c r="B1277" s="33" t="s">
        <v>3295</v>
      </c>
      <c r="C1277" s="33" t="s">
        <v>3296</v>
      </c>
      <c r="D1277" s="33" t="s">
        <v>17</v>
      </c>
      <c r="E1277" s="33" t="s">
        <v>26</v>
      </c>
      <c r="F1277" s="33" t="s">
        <v>27</v>
      </c>
      <c r="G1277" s="33" t="s">
        <v>50</v>
      </c>
      <c r="H1277" s="35">
        <v>56</v>
      </c>
      <c r="I1277" s="33" t="s">
        <v>51</v>
      </c>
      <c r="J1277" s="42">
        <v>43920</v>
      </c>
      <c r="K1277" s="33" t="s">
        <v>22</v>
      </c>
    </row>
    <row r="1278" spans="1:11">
      <c r="A1278" s="30" t="s">
        <v>3297</v>
      </c>
      <c r="B1278" s="30" t="s">
        <v>3298</v>
      </c>
      <c r="C1278" s="30" t="s">
        <v>3299</v>
      </c>
      <c r="D1278" s="30" t="s">
        <v>17</v>
      </c>
      <c r="E1278" s="30" t="s">
        <v>31</v>
      </c>
      <c r="F1278" s="30" t="s">
        <v>32</v>
      </c>
      <c r="G1278" s="30" t="s">
        <v>20</v>
      </c>
      <c r="H1278" s="32">
        <v>480</v>
      </c>
      <c r="I1278" s="30" t="s">
        <v>21</v>
      </c>
      <c r="J1278" s="41">
        <v>44002</v>
      </c>
      <c r="K1278" s="30" t="s">
        <v>22</v>
      </c>
    </row>
    <row r="1279" spans="1:11">
      <c r="A1279" s="33" t="s">
        <v>3300</v>
      </c>
      <c r="B1279" s="33" t="s">
        <v>3301</v>
      </c>
      <c r="C1279" s="33" t="s">
        <v>3302</v>
      </c>
      <c r="D1279" s="33" t="s">
        <v>17</v>
      </c>
      <c r="E1279" s="33" t="s">
        <v>212</v>
      </c>
      <c r="F1279" s="33" t="s">
        <v>213</v>
      </c>
      <c r="G1279" s="33" t="s">
        <v>50</v>
      </c>
      <c r="H1279" s="35">
        <v>100</v>
      </c>
      <c r="I1279" s="33" t="s">
        <v>51</v>
      </c>
      <c r="J1279" s="42">
        <v>44010</v>
      </c>
      <c r="K1279" s="33" t="s">
        <v>22</v>
      </c>
    </row>
    <row r="1280" spans="1:11">
      <c r="A1280" s="30" t="s">
        <v>3303</v>
      </c>
      <c r="B1280" s="30" t="s">
        <v>3304</v>
      </c>
      <c r="C1280" s="30" t="s">
        <v>353</v>
      </c>
      <c r="D1280" s="30" t="s">
        <v>17</v>
      </c>
      <c r="E1280" s="30" t="s">
        <v>18</v>
      </c>
      <c r="F1280" s="30" t="s">
        <v>19</v>
      </c>
      <c r="G1280" s="30" t="s">
        <v>20</v>
      </c>
      <c r="H1280" s="32">
        <v>102</v>
      </c>
      <c r="I1280" s="30" t="s">
        <v>21</v>
      </c>
      <c r="J1280" s="41">
        <v>43851</v>
      </c>
      <c r="K1280" s="30" t="s">
        <v>22</v>
      </c>
    </row>
    <row r="1281" spans="1:11">
      <c r="A1281" s="33" t="s">
        <v>3305</v>
      </c>
      <c r="B1281" s="33" t="s">
        <v>3306</v>
      </c>
      <c r="C1281" s="33" t="s">
        <v>3307</v>
      </c>
      <c r="D1281" s="33" t="s">
        <v>17</v>
      </c>
      <c r="E1281" s="33" t="s">
        <v>31</v>
      </c>
      <c r="F1281" s="33" t="s">
        <v>32</v>
      </c>
      <c r="G1281" s="33" t="s">
        <v>20</v>
      </c>
      <c r="H1281" s="35">
        <v>25</v>
      </c>
      <c r="I1281" s="33" t="s">
        <v>21</v>
      </c>
      <c r="J1281" s="42">
        <v>44026</v>
      </c>
      <c r="K1281" s="33" t="s">
        <v>22</v>
      </c>
    </row>
    <row r="1282" spans="1:11">
      <c r="A1282" s="30" t="s">
        <v>3308</v>
      </c>
      <c r="B1282" s="30" t="s">
        <v>3309</v>
      </c>
      <c r="C1282" s="30" t="s">
        <v>382</v>
      </c>
      <c r="D1282" s="30" t="s">
        <v>17</v>
      </c>
      <c r="E1282" s="30" t="s">
        <v>31</v>
      </c>
      <c r="F1282" s="30" t="s">
        <v>32</v>
      </c>
      <c r="G1282" s="30" t="s">
        <v>106</v>
      </c>
      <c r="H1282" s="32">
        <v>87</v>
      </c>
      <c r="I1282" s="30" t="s">
        <v>21</v>
      </c>
      <c r="J1282" s="41">
        <v>44191</v>
      </c>
      <c r="K1282" s="30" t="s">
        <v>22</v>
      </c>
    </row>
    <row r="1283" spans="1:11">
      <c r="A1283" s="33" t="s">
        <v>3310</v>
      </c>
      <c r="B1283" s="33" t="s">
        <v>3311</v>
      </c>
      <c r="C1283" s="33" t="s">
        <v>3312</v>
      </c>
      <c r="D1283" s="33" t="s">
        <v>17</v>
      </c>
      <c r="E1283" s="33" t="s">
        <v>18</v>
      </c>
      <c r="F1283" s="33" t="s">
        <v>19</v>
      </c>
      <c r="G1283" s="33" t="s">
        <v>20</v>
      </c>
      <c r="H1283" s="35">
        <v>120</v>
      </c>
      <c r="I1283" s="33" t="s">
        <v>21</v>
      </c>
      <c r="J1283" s="42">
        <v>44077</v>
      </c>
      <c r="K1283" s="33" t="s">
        <v>22</v>
      </c>
    </row>
    <row r="1284" spans="1:11">
      <c r="A1284" s="30" t="s">
        <v>3313</v>
      </c>
      <c r="B1284" s="30" t="s">
        <v>3314</v>
      </c>
      <c r="C1284" s="30" t="s">
        <v>3315</v>
      </c>
      <c r="D1284" s="30" t="s">
        <v>17</v>
      </c>
      <c r="E1284" s="30" t="s">
        <v>67</v>
      </c>
      <c r="F1284" s="30" t="s">
        <v>68</v>
      </c>
      <c r="G1284" s="30" t="s">
        <v>20</v>
      </c>
      <c r="H1284" s="32">
        <v>40</v>
      </c>
      <c r="I1284" s="30" t="s">
        <v>21</v>
      </c>
      <c r="J1284" s="41">
        <v>44007</v>
      </c>
      <c r="K1284" s="30" t="s">
        <v>22</v>
      </c>
    </row>
    <row r="1285" spans="1:11">
      <c r="A1285" s="33" t="s">
        <v>3316</v>
      </c>
      <c r="B1285" s="33" t="s">
        <v>3317</v>
      </c>
      <c r="C1285" s="33" t="s">
        <v>638</v>
      </c>
      <c r="D1285" s="33" t="s">
        <v>17</v>
      </c>
      <c r="E1285" s="33" t="s">
        <v>18</v>
      </c>
      <c r="F1285" s="33" t="s">
        <v>19</v>
      </c>
      <c r="G1285" s="33" t="s">
        <v>20</v>
      </c>
      <c r="H1285" s="35">
        <v>31835</v>
      </c>
      <c r="I1285" s="33" t="s">
        <v>21</v>
      </c>
      <c r="J1285" s="42">
        <v>44147</v>
      </c>
      <c r="K1285" s="33" t="s">
        <v>22</v>
      </c>
    </row>
    <row r="1286" spans="1:11">
      <c r="A1286" s="30" t="s">
        <v>3318</v>
      </c>
      <c r="B1286" s="30" t="s">
        <v>3319</v>
      </c>
      <c r="C1286" s="30" t="s">
        <v>2272</v>
      </c>
      <c r="D1286" s="30" t="s">
        <v>17</v>
      </c>
      <c r="E1286" s="30" t="s">
        <v>18</v>
      </c>
      <c r="F1286" s="30" t="s">
        <v>19</v>
      </c>
      <c r="G1286" s="30" t="s">
        <v>20</v>
      </c>
      <c r="H1286" s="32">
        <v>150</v>
      </c>
      <c r="I1286" s="30" t="s">
        <v>21</v>
      </c>
      <c r="J1286" s="41">
        <v>44042</v>
      </c>
      <c r="K1286" s="30" t="s">
        <v>22</v>
      </c>
    </row>
    <row r="1287" spans="1:11">
      <c r="A1287" s="33" t="s">
        <v>3320</v>
      </c>
      <c r="B1287" s="33" t="s">
        <v>3321</v>
      </c>
      <c r="C1287" s="33" t="s">
        <v>647</v>
      </c>
      <c r="D1287" s="33" t="s">
        <v>17</v>
      </c>
      <c r="E1287" s="33" t="s">
        <v>67</v>
      </c>
      <c r="F1287" s="33" t="s">
        <v>68</v>
      </c>
      <c r="G1287" s="33" t="s">
        <v>106</v>
      </c>
      <c r="H1287" s="35">
        <v>76</v>
      </c>
      <c r="I1287" s="33" t="s">
        <v>21</v>
      </c>
      <c r="J1287" s="42">
        <v>44132</v>
      </c>
      <c r="K1287" s="33" t="s">
        <v>22</v>
      </c>
    </row>
    <row r="1288" spans="1:11">
      <c r="A1288" s="30" t="s">
        <v>3322</v>
      </c>
      <c r="B1288" s="30" t="s">
        <v>3323</v>
      </c>
      <c r="C1288" s="30" t="s">
        <v>3114</v>
      </c>
      <c r="D1288" s="30" t="s">
        <v>17</v>
      </c>
      <c r="E1288" s="30" t="s">
        <v>330</v>
      </c>
      <c r="F1288" s="30" t="s">
        <v>331</v>
      </c>
      <c r="G1288" s="30" t="s">
        <v>50</v>
      </c>
      <c r="H1288" s="32">
        <v>50</v>
      </c>
      <c r="I1288" s="30" t="s">
        <v>51</v>
      </c>
      <c r="J1288" s="41">
        <v>43922</v>
      </c>
      <c r="K1288" s="30" t="s">
        <v>22</v>
      </c>
    </row>
    <row r="1289" spans="1:11">
      <c r="A1289" s="33" t="s">
        <v>3324</v>
      </c>
      <c r="B1289" s="33" t="s">
        <v>3325</v>
      </c>
      <c r="C1289" s="33" t="s">
        <v>733</v>
      </c>
      <c r="D1289" s="33" t="s">
        <v>17</v>
      </c>
      <c r="E1289" s="33" t="s">
        <v>31</v>
      </c>
      <c r="F1289" s="33" t="s">
        <v>32</v>
      </c>
      <c r="G1289" s="33" t="s">
        <v>106</v>
      </c>
      <c r="H1289" s="35">
        <v>65</v>
      </c>
      <c r="I1289" s="33" t="s">
        <v>21</v>
      </c>
      <c r="J1289" s="42">
        <v>44111</v>
      </c>
      <c r="K1289" s="33" t="s">
        <v>22</v>
      </c>
    </row>
    <row r="1290" spans="1:11">
      <c r="A1290" s="30" t="s">
        <v>3326</v>
      </c>
      <c r="B1290" s="30" t="s">
        <v>3327</v>
      </c>
      <c r="C1290" s="30" t="s">
        <v>178</v>
      </c>
      <c r="D1290" s="30" t="s">
        <v>17</v>
      </c>
      <c r="E1290" s="30" t="s">
        <v>26</v>
      </c>
      <c r="F1290" s="30" t="s">
        <v>27</v>
      </c>
      <c r="G1290" s="30" t="s">
        <v>106</v>
      </c>
      <c r="H1290" s="32">
        <v>189</v>
      </c>
      <c r="I1290" s="30" t="s">
        <v>21</v>
      </c>
      <c r="J1290" s="41">
        <v>43955</v>
      </c>
      <c r="K1290" s="30" t="s">
        <v>22</v>
      </c>
    </row>
    <row r="1291" spans="1:11">
      <c r="A1291" s="33" t="s">
        <v>3328</v>
      </c>
      <c r="B1291" s="33" t="s">
        <v>3329</v>
      </c>
      <c r="C1291" s="33" t="s">
        <v>3330</v>
      </c>
      <c r="D1291" s="33" t="s">
        <v>17</v>
      </c>
      <c r="E1291" s="33" t="s">
        <v>31</v>
      </c>
      <c r="F1291" s="33" t="s">
        <v>32</v>
      </c>
      <c r="G1291" s="33" t="s">
        <v>112</v>
      </c>
      <c r="H1291" s="35">
        <v>0</v>
      </c>
      <c r="I1291" s="33" t="s">
        <v>21</v>
      </c>
      <c r="J1291" s="42">
        <v>43952</v>
      </c>
      <c r="K1291" s="33" t="s">
        <v>22</v>
      </c>
    </row>
    <row r="1292" spans="1:11">
      <c r="A1292" s="30" t="s">
        <v>3331</v>
      </c>
      <c r="B1292" s="30" t="s">
        <v>3332</v>
      </c>
      <c r="C1292" s="30" t="s">
        <v>102</v>
      </c>
      <c r="D1292" s="30" t="s">
        <v>17</v>
      </c>
      <c r="E1292" s="30" t="s">
        <v>18</v>
      </c>
      <c r="F1292" s="30" t="s">
        <v>19</v>
      </c>
      <c r="G1292" s="30" t="s">
        <v>20</v>
      </c>
      <c r="H1292" s="32">
        <v>476</v>
      </c>
      <c r="I1292" s="30" t="s">
        <v>21</v>
      </c>
      <c r="J1292" s="41">
        <v>43900</v>
      </c>
      <c r="K1292" s="30" t="s">
        <v>22</v>
      </c>
    </row>
    <row r="1293" spans="1:11">
      <c r="A1293" s="33" t="s">
        <v>3333</v>
      </c>
      <c r="B1293" s="33" t="s">
        <v>3334</v>
      </c>
      <c r="C1293" s="33" t="s">
        <v>3285</v>
      </c>
      <c r="D1293" s="33" t="s">
        <v>17</v>
      </c>
      <c r="E1293" s="33" t="s">
        <v>31</v>
      </c>
      <c r="F1293" s="33" t="s">
        <v>32</v>
      </c>
      <c r="G1293" s="33" t="s">
        <v>50</v>
      </c>
      <c r="H1293" s="35">
        <v>46</v>
      </c>
      <c r="I1293" s="33" t="s">
        <v>51</v>
      </c>
      <c r="J1293" s="42">
        <v>44167</v>
      </c>
      <c r="K1293" s="33" t="s">
        <v>22</v>
      </c>
    </row>
    <row r="1294" spans="1:11">
      <c r="A1294" s="30" t="s">
        <v>3335</v>
      </c>
      <c r="B1294" s="30" t="s">
        <v>3336</v>
      </c>
      <c r="C1294" s="30" t="s">
        <v>3337</v>
      </c>
      <c r="D1294" s="30" t="s">
        <v>17</v>
      </c>
      <c r="E1294" s="30" t="s">
        <v>31</v>
      </c>
      <c r="F1294" s="30" t="s">
        <v>32</v>
      </c>
      <c r="G1294" s="30" t="s">
        <v>20</v>
      </c>
      <c r="H1294" s="32">
        <v>54</v>
      </c>
      <c r="I1294" s="30" t="s">
        <v>21</v>
      </c>
      <c r="J1294" s="41">
        <v>44120</v>
      </c>
      <c r="K1294" s="30" t="s">
        <v>22</v>
      </c>
    </row>
    <row r="1295" spans="1:11">
      <c r="A1295" s="33" t="s">
        <v>3338</v>
      </c>
      <c r="B1295" s="33" t="s">
        <v>3339</v>
      </c>
      <c r="C1295" s="33" t="s">
        <v>2313</v>
      </c>
      <c r="D1295" s="33" t="s">
        <v>17</v>
      </c>
      <c r="E1295" s="33" t="s">
        <v>26</v>
      </c>
      <c r="F1295" s="33" t="s">
        <v>27</v>
      </c>
      <c r="G1295" s="33" t="s">
        <v>20</v>
      </c>
      <c r="H1295" s="35">
        <v>195</v>
      </c>
      <c r="I1295" s="33" t="s">
        <v>21</v>
      </c>
      <c r="J1295" s="42">
        <v>43899</v>
      </c>
      <c r="K1295" s="33" t="s">
        <v>22</v>
      </c>
    </row>
    <row r="1296" spans="1:11">
      <c r="A1296" s="30" t="s">
        <v>3340</v>
      </c>
      <c r="B1296" s="30" t="s">
        <v>3341</v>
      </c>
      <c r="C1296" s="30" t="s">
        <v>187</v>
      </c>
      <c r="D1296" s="30" t="s">
        <v>17</v>
      </c>
      <c r="E1296" s="30" t="s">
        <v>26</v>
      </c>
      <c r="F1296" s="30" t="s">
        <v>27</v>
      </c>
      <c r="G1296" s="30" t="s">
        <v>50</v>
      </c>
      <c r="H1296" s="32">
        <v>40</v>
      </c>
      <c r="I1296" s="30" t="s">
        <v>51</v>
      </c>
      <c r="J1296" s="41">
        <v>44130</v>
      </c>
      <c r="K1296" s="30" t="s">
        <v>22</v>
      </c>
    </row>
    <row r="1297" spans="1:11">
      <c r="A1297" s="33" t="s">
        <v>3342</v>
      </c>
      <c r="B1297" s="33" t="s">
        <v>3343</v>
      </c>
      <c r="C1297" s="33" t="s">
        <v>450</v>
      </c>
      <c r="D1297" s="33" t="s">
        <v>17</v>
      </c>
      <c r="E1297" s="33" t="s">
        <v>18</v>
      </c>
      <c r="F1297" s="33" t="s">
        <v>19</v>
      </c>
      <c r="G1297" s="33" t="s">
        <v>106</v>
      </c>
      <c r="H1297" s="35">
        <v>382</v>
      </c>
      <c r="I1297" s="33" t="s">
        <v>21</v>
      </c>
      <c r="J1297" s="42">
        <v>43920</v>
      </c>
      <c r="K1297" s="33" t="s">
        <v>22</v>
      </c>
    </row>
    <row r="1298" spans="1:11">
      <c r="A1298" s="30" t="s">
        <v>3344</v>
      </c>
      <c r="B1298" s="30" t="s">
        <v>3345</v>
      </c>
      <c r="C1298" s="30" t="s">
        <v>136</v>
      </c>
      <c r="D1298" s="30" t="s">
        <v>17</v>
      </c>
      <c r="E1298" s="30" t="s">
        <v>67</v>
      </c>
      <c r="F1298" s="30" t="s">
        <v>68</v>
      </c>
      <c r="G1298" s="30" t="s">
        <v>20</v>
      </c>
      <c r="H1298" s="32">
        <v>47</v>
      </c>
      <c r="I1298" s="30" t="s">
        <v>21</v>
      </c>
      <c r="J1298" s="41">
        <v>44144</v>
      </c>
      <c r="K1298" s="30" t="s">
        <v>22</v>
      </c>
    </row>
    <row r="1299" spans="1:11">
      <c r="A1299" s="33" t="s">
        <v>3346</v>
      </c>
      <c r="B1299" s="33" t="s">
        <v>3347</v>
      </c>
      <c r="C1299" s="33" t="s">
        <v>2225</v>
      </c>
      <c r="D1299" s="33" t="s">
        <v>17</v>
      </c>
      <c r="E1299" s="33" t="s">
        <v>67</v>
      </c>
      <c r="F1299" s="33" t="s">
        <v>68</v>
      </c>
      <c r="G1299" s="33" t="s">
        <v>106</v>
      </c>
      <c r="H1299" s="35">
        <v>69</v>
      </c>
      <c r="I1299" s="33" t="s">
        <v>21</v>
      </c>
      <c r="J1299" s="42">
        <v>43957</v>
      </c>
      <c r="K1299" s="33" t="s">
        <v>22</v>
      </c>
    </row>
    <row r="1300" spans="1:11">
      <c r="A1300" s="30" t="s">
        <v>3348</v>
      </c>
      <c r="B1300" s="30" t="s">
        <v>3349</v>
      </c>
      <c r="C1300" s="30" t="s">
        <v>3350</v>
      </c>
      <c r="D1300" s="30" t="s">
        <v>17</v>
      </c>
      <c r="E1300" s="30" t="s">
        <v>31</v>
      </c>
      <c r="F1300" s="30" t="s">
        <v>32</v>
      </c>
      <c r="G1300" s="30" t="s">
        <v>106</v>
      </c>
      <c r="H1300" s="32">
        <v>53</v>
      </c>
      <c r="I1300" s="30" t="s">
        <v>21</v>
      </c>
      <c r="J1300" s="41">
        <v>44179</v>
      </c>
      <c r="K1300" s="30" t="s">
        <v>22</v>
      </c>
    </row>
    <row r="1301" spans="1:11">
      <c r="A1301" s="33" t="s">
        <v>3351</v>
      </c>
      <c r="B1301" s="33" t="s">
        <v>3352</v>
      </c>
      <c r="C1301" s="33" t="s">
        <v>3114</v>
      </c>
      <c r="D1301" s="33" t="s">
        <v>17</v>
      </c>
      <c r="E1301" s="33" t="s">
        <v>330</v>
      </c>
      <c r="F1301" s="33" t="s">
        <v>331</v>
      </c>
      <c r="G1301" s="33" t="s">
        <v>50</v>
      </c>
      <c r="H1301" s="35">
        <v>50</v>
      </c>
      <c r="I1301" s="33" t="s">
        <v>51</v>
      </c>
      <c r="J1301" s="42">
        <v>43922</v>
      </c>
      <c r="K1301" s="33" t="s">
        <v>22</v>
      </c>
    </row>
    <row r="1302" spans="1:11">
      <c r="A1302" s="30" t="s">
        <v>3353</v>
      </c>
      <c r="B1302" s="30" t="s">
        <v>3354</v>
      </c>
      <c r="C1302" s="30" t="s">
        <v>1090</v>
      </c>
      <c r="D1302" s="30" t="s">
        <v>17</v>
      </c>
      <c r="E1302" s="30" t="s">
        <v>26</v>
      </c>
      <c r="F1302" s="30" t="s">
        <v>27</v>
      </c>
      <c r="G1302" s="30" t="s">
        <v>50</v>
      </c>
      <c r="H1302" s="32">
        <v>42</v>
      </c>
      <c r="I1302" s="30" t="s">
        <v>51</v>
      </c>
      <c r="J1302" s="41">
        <v>44044</v>
      </c>
      <c r="K1302" s="30" t="s">
        <v>22</v>
      </c>
    </row>
    <row r="1303" spans="1:11">
      <c r="A1303" s="33" t="s">
        <v>3355</v>
      </c>
      <c r="B1303" s="33" t="s">
        <v>3356</v>
      </c>
      <c r="C1303" s="33" t="s">
        <v>2490</v>
      </c>
      <c r="D1303" s="33" t="s">
        <v>17</v>
      </c>
      <c r="E1303" s="33" t="s">
        <v>26</v>
      </c>
      <c r="F1303" s="33" t="s">
        <v>27</v>
      </c>
      <c r="G1303" s="33" t="s">
        <v>20</v>
      </c>
      <c r="H1303" s="35">
        <v>30</v>
      </c>
      <c r="I1303" s="33" t="s">
        <v>21</v>
      </c>
      <c r="J1303" s="42">
        <v>44019</v>
      </c>
      <c r="K1303" s="33" t="s">
        <v>22</v>
      </c>
    </row>
    <row r="1304" spans="1:11">
      <c r="A1304" s="30" t="s">
        <v>3357</v>
      </c>
      <c r="B1304" s="30" t="s">
        <v>3358</v>
      </c>
      <c r="C1304" s="30" t="s">
        <v>190</v>
      </c>
      <c r="D1304" s="30" t="s">
        <v>17</v>
      </c>
      <c r="E1304" s="30" t="s">
        <v>26</v>
      </c>
      <c r="F1304" s="30" t="s">
        <v>27</v>
      </c>
      <c r="G1304" s="30" t="s">
        <v>20</v>
      </c>
      <c r="H1304" s="32">
        <v>28</v>
      </c>
      <c r="I1304" s="30" t="s">
        <v>21</v>
      </c>
      <c r="J1304" s="41">
        <v>44033</v>
      </c>
      <c r="K1304" s="30" t="s">
        <v>22</v>
      </c>
    </row>
    <row r="1305" spans="1:11">
      <c r="A1305" s="33" t="s">
        <v>3359</v>
      </c>
      <c r="B1305" s="33" t="s">
        <v>3360</v>
      </c>
      <c r="C1305" s="33" t="s">
        <v>3361</v>
      </c>
      <c r="D1305" s="33" t="s">
        <v>17</v>
      </c>
      <c r="E1305" s="33" t="s">
        <v>31</v>
      </c>
      <c r="F1305" s="33" t="s">
        <v>32</v>
      </c>
      <c r="G1305" s="33" t="s">
        <v>20</v>
      </c>
      <c r="H1305" s="35">
        <v>22</v>
      </c>
      <c r="I1305" s="33" t="s">
        <v>21</v>
      </c>
      <c r="J1305" s="42">
        <v>43832</v>
      </c>
      <c r="K1305" s="33" t="s">
        <v>22</v>
      </c>
    </row>
    <row r="1306" spans="1:11">
      <c r="A1306" s="30" t="s">
        <v>3362</v>
      </c>
      <c r="B1306" s="30" t="s">
        <v>3363</v>
      </c>
      <c r="C1306" s="30" t="s">
        <v>3364</v>
      </c>
      <c r="D1306" s="30" t="s">
        <v>17</v>
      </c>
      <c r="E1306" s="30" t="s">
        <v>45</v>
      </c>
      <c r="F1306" s="30" t="s">
        <v>46</v>
      </c>
      <c r="G1306" s="30" t="s">
        <v>50</v>
      </c>
      <c r="H1306" s="32">
        <v>312</v>
      </c>
      <c r="I1306" s="30" t="s">
        <v>51</v>
      </c>
      <c r="J1306" s="41">
        <v>44162</v>
      </c>
      <c r="K1306" s="30" t="s">
        <v>22</v>
      </c>
    </row>
    <row r="1307" spans="1:11">
      <c r="A1307" s="33" t="s">
        <v>3365</v>
      </c>
      <c r="B1307" s="33" t="s">
        <v>3366</v>
      </c>
      <c r="C1307" s="33" t="s">
        <v>969</v>
      </c>
      <c r="D1307" s="33" t="s">
        <v>17</v>
      </c>
      <c r="E1307" s="33" t="s">
        <v>18</v>
      </c>
      <c r="F1307" s="33" t="s">
        <v>19</v>
      </c>
      <c r="G1307" s="33" t="s">
        <v>106</v>
      </c>
      <c r="H1307" s="35">
        <v>16</v>
      </c>
      <c r="I1307" s="33" t="s">
        <v>21</v>
      </c>
      <c r="J1307" s="42">
        <v>44186</v>
      </c>
      <c r="K1307" s="33" t="s">
        <v>22</v>
      </c>
    </row>
    <row r="1308" spans="1:11">
      <c r="A1308" s="30" t="s">
        <v>3367</v>
      </c>
      <c r="B1308" s="30" t="s">
        <v>3368</v>
      </c>
      <c r="C1308" s="30" t="s">
        <v>1003</v>
      </c>
      <c r="D1308" s="30" t="s">
        <v>17</v>
      </c>
      <c r="E1308" s="30" t="s">
        <v>67</v>
      </c>
      <c r="F1308" s="30" t="s">
        <v>68</v>
      </c>
      <c r="G1308" s="30" t="s">
        <v>50</v>
      </c>
      <c r="H1308" s="32">
        <v>160</v>
      </c>
      <c r="I1308" s="30" t="s">
        <v>21</v>
      </c>
      <c r="J1308" s="41">
        <v>44055</v>
      </c>
      <c r="K1308" s="30" t="s">
        <v>22</v>
      </c>
    </row>
    <row r="1309" spans="1:11">
      <c r="A1309" s="33" t="s">
        <v>3369</v>
      </c>
      <c r="B1309" s="33" t="s">
        <v>3370</v>
      </c>
      <c r="C1309" s="33" t="s">
        <v>549</v>
      </c>
      <c r="D1309" s="33" t="s">
        <v>17</v>
      </c>
      <c r="E1309" s="33" t="s">
        <v>18</v>
      </c>
      <c r="F1309" s="33" t="s">
        <v>19</v>
      </c>
      <c r="G1309" s="33" t="s">
        <v>158</v>
      </c>
      <c r="H1309" s="35">
        <v>49</v>
      </c>
      <c r="I1309" s="33" t="s">
        <v>21</v>
      </c>
      <c r="J1309" s="42">
        <v>43851</v>
      </c>
      <c r="K1309" s="33" t="s">
        <v>22</v>
      </c>
    </row>
    <row r="1310" spans="1:11">
      <c r="A1310" s="30" t="s">
        <v>3371</v>
      </c>
      <c r="B1310" s="30" t="s">
        <v>3372</v>
      </c>
      <c r="C1310" s="30" t="s">
        <v>3373</v>
      </c>
      <c r="D1310" s="30" t="s">
        <v>17</v>
      </c>
      <c r="E1310" s="30" t="s">
        <v>26</v>
      </c>
      <c r="F1310" s="30" t="s">
        <v>27</v>
      </c>
      <c r="G1310" s="30" t="s">
        <v>20</v>
      </c>
      <c r="H1310" s="32">
        <v>89</v>
      </c>
      <c r="I1310" s="30" t="s">
        <v>21</v>
      </c>
      <c r="J1310" s="41">
        <v>43957</v>
      </c>
      <c r="K1310" s="30" t="s">
        <v>22</v>
      </c>
    </row>
    <row r="1311" spans="1:11">
      <c r="A1311" s="33" t="s">
        <v>3374</v>
      </c>
      <c r="B1311" s="33" t="s">
        <v>3375</v>
      </c>
      <c r="C1311" s="33" t="s">
        <v>102</v>
      </c>
      <c r="D1311" s="33" t="s">
        <v>17</v>
      </c>
      <c r="E1311" s="33" t="s">
        <v>18</v>
      </c>
      <c r="F1311" s="33" t="s">
        <v>19</v>
      </c>
      <c r="G1311" s="33" t="s">
        <v>158</v>
      </c>
      <c r="H1311" s="35">
        <v>696</v>
      </c>
      <c r="I1311" s="33" t="s">
        <v>21</v>
      </c>
      <c r="J1311" s="42">
        <v>44097</v>
      </c>
      <c r="K1311" s="33" t="s">
        <v>22</v>
      </c>
    </row>
    <row r="1312" spans="1:11">
      <c r="A1312" s="30" t="s">
        <v>3376</v>
      </c>
      <c r="B1312" s="30" t="s">
        <v>3377</v>
      </c>
      <c r="C1312" s="30" t="s">
        <v>3378</v>
      </c>
      <c r="D1312" s="30" t="s">
        <v>17</v>
      </c>
      <c r="E1312" s="30" t="s">
        <v>18</v>
      </c>
      <c r="F1312" s="30" t="s">
        <v>19</v>
      </c>
      <c r="G1312" s="30" t="s">
        <v>20</v>
      </c>
      <c r="H1312" s="32">
        <v>487</v>
      </c>
      <c r="I1312" s="30" t="s">
        <v>21</v>
      </c>
      <c r="J1312" s="41">
        <v>44177</v>
      </c>
      <c r="K1312" s="30" t="s">
        <v>22</v>
      </c>
    </row>
    <row r="1313" spans="1:11">
      <c r="A1313" s="33" t="s">
        <v>3379</v>
      </c>
      <c r="B1313" s="33" t="s">
        <v>3380</v>
      </c>
      <c r="C1313" s="33" t="s">
        <v>3381</v>
      </c>
      <c r="D1313" s="33" t="s">
        <v>17</v>
      </c>
      <c r="E1313" s="33" t="s">
        <v>31</v>
      </c>
      <c r="F1313" s="33" t="s">
        <v>32</v>
      </c>
      <c r="G1313" s="33" t="s">
        <v>20</v>
      </c>
      <c r="H1313" s="35">
        <v>45</v>
      </c>
      <c r="I1313" s="33" t="s">
        <v>21</v>
      </c>
      <c r="J1313" s="42">
        <v>44078</v>
      </c>
      <c r="K1313" s="33" t="s">
        <v>22</v>
      </c>
    </row>
    <row r="1314" spans="1:11">
      <c r="A1314" s="30" t="s">
        <v>3382</v>
      </c>
      <c r="B1314" s="30" t="s">
        <v>3383</v>
      </c>
      <c r="C1314" s="30" t="s">
        <v>3384</v>
      </c>
      <c r="D1314" s="30" t="s">
        <v>17</v>
      </c>
      <c r="E1314" s="30" t="s">
        <v>67</v>
      </c>
      <c r="F1314" s="30" t="s">
        <v>68</v>
      </c>
      <c r="G1314" s="30" t="s">
        <v>140</v>
      </c>
      <c r="H1314" s="32">
        <v>40</v>
      </c>
      <c r="I1314" s="30" t="s">
        <v>51</v>
      </c>
      <c r="J1314" s="41">
        <v>44103</v>
      </c>
      <c r="K1314" s="30" t="s">
        <v>22</v>
      </c>
    </row>
    <row r="1315" spans="1:11">
      <c r="A1315" s="33" t="s">
        <v>3385</v>
      </c>
      <c r="B1315" s="33" t="s">
        <v>3386</v>
      </c>
      <c r="C1315" s="33" t="s">
        <v>3387</v>
      </c>
      <c r="D1315" s="33" t="s">
        <v>17</v>
      </c>
      <c r="E1315" s="33" t="s">
        <v>31</v>
      </c>
      <c r="F1315" s="33" t="s">
        <v>32</v>
      </c>
      <c r="G1315" s="33" t="s">
        <v>20</v>
      </c>
      <c r="H1315" s="35">
        <v>54</v>
      </c>
      <c r="I1315" s="33" t="s">
        <v>21</v>
      </c>
      <c r="J1315" s="42">
        <v>44123</v>
      </c>
      <c r="K1315" s="33" t="s">
        <v>22</v>
      </c>
    </row>
    <row r="1316" spans="1:11">
      <c r="A1316" s="30" t="s">
        <v>3388</v>
      </c>
      <c r="B1316" s="30" t="s">
        <v>3389</v>
      </c>
      <c r="C1316" s="30" t="s">
        <v>2618</v>
      </c>
      <c r="D1316" s="30" t="s">
        <v>17</v>
      </c>
      <c r="E1316" s="30" t="s">
        <v>31</v>
      </c>
      <c r="F1316" s="30" t="s">
        <v>32</v>
      </c>
      <c r="G1316" s="30" t="s">
        <v>20</v>
      </c>
      <c r="H1316" s="32">
        <v>146</v>
      </c>
      <c r="I1316" s="30" t="s">
        <v>21</v>
      </c>
      <c r="J1316" s="41">
        <v>43920</v>
      </c>
      <c r="K1316" s="30" t="s">
        <v>22</v>
      </c>
    </row>
    <row r="1317" spans="1:11">
      <c r="A1317" s="33" t="s">
        <v>3390</v>
      </c>
      <c r="B1317" s="33" t="s">
        <v>3391</v>
      </c>
      <c r="C1317" s="33" t="s">
        <v>3392</v>
      </c>
      <c r="D1317" s="33" t="s">
        <v>17</v>
      </c>
      <c r="E1317" s="33" t="s">
        <v>67</v>
      </c>
      <c r="F1317" s="33" t="s">
        <v>68</v>
      </c>
      <c r="G1317" s="33" t="s">
        <v>20</v>
      </c>
      <c r="H1317" s="35">
        <v>24</v>
      </c>
      <c r="I1317" s="33" t="s">
        <v>21</v>
      </c>
      <c r="J1317" s="42">
        <v>43831</v>
      </c>
      <c r="K1317" s="33" t="s">
        <v>22</v>
      </c>
    </row>
    <row r="1318" spans="1:11">
      <c r="A1318" s="30" t="s">
        <v>3393</v>
      </c>
      <c r="B1318" s="30" t="s">
        <v>3394</v>
      </c>
      <c r="C1318" s="30" t="s">
        <v>310</v>
      </c>
      <c r="D1318" s="30" t="s">
        <v>17</v>
      </c>
      <c r="E1318" s="30" t="s">
        <v>26</v>
      </c>
      <c r="F1318" s="30" t="s">
        <v>27</v>
      </c>
      <c r="G1318" s="30" t="s">
        <v>20</v>
      </c>
      <c r="H1318" s="32">
        <v>33</v>
      </c>
      <c r="I1318" s="30" t="s">
        <v>21</v>
      </c>
      <c r="J1318" s="41">
        <v>43845</v>
      </c>
      <c r="K1318" s="30" t="s">
        <v>22</v>
      </c>
    </row>
    <row r="1319" spans="1:11">
      <c r="A1319" s="33" t="s">
        <v>3395</v>
      </c>
      <c r="B1319" s="33" t="s">
        <v>3396</v>
      </c>
      <c r="C1319" s="33" t="s">
        <v>3397</v>
      </c>
      <c r="D1319" s="33" t="s">
        <v>17</v>
      </c>
      <c r="E1319" s="33" t="s">
        <v>26</v>
      </c>
      <c r="F1319" s="33" t="s">
        <v>27</v>
      </c>
      <c r="G1319" s="33" t="s">
        <v>112</v>
      </c>
      <c r="H1319" s="35">
        <v>0</v>
      </c>
      <c r="I1319" s="33" t="s">
        <v>21</v>
      </c>
      <c r="J1319" s="42">
        <v>44174</v>
      </c>
      <c r="K1319" s="33" t="s">
        <v>22</v>
      </c>
    </row>
    <row r="1320" spans="1:11">
      <c r="A1320" s="30" t="s">
        <v>3398</v>
      </c>
      <c r="B1320" s="30" t="s">
        <v>3399</v>
      </c>
      <c r="C1320" s="30" t="s">
        <v>3400</v>
      </c>
      <c r="D1320" s="30" t="s">
        <v>17</v>
      </c>
      <c r="E1320" s="30" t="s">
        <v>26</v>
      </c>
      <c r="F1320" s="30" t="s">
        <v>27</v>
      </c>
      <c r="G1320" s="30" t="s">
        <v>20</v>
      </c>
      <c r="H1320" s="32">
        <v>54</v>
      </c>
      <c r="I1320" s="30" t="s">
        <v>21</v>
      </c>
      <c r="J1320" s="41">
        <v>43997</v>
      </c>
      <c r="K1320" s="30" t="s">
        <v>22</v>
      </c>
    </row>
    <row r="1321" spans="1:11">
      <c r="A1321" s="33" t="s">
        <v>3401</v>
      </c>
      <c r="B1321" s="33" t="s">
        <v>3402</v>
      </c>
      <c r="C1321" s="33" t="s">
        <v>102</v>
      </c>
      <c r="D1321" s="33" t="s">
        <v>17</v>
      </c>
      <c r="E1321" s="33" t="s">
        <v>18</v>
      </c>
      <c r="F1321" s="33" t="s">
        <v>19</v>
      </c>
      <c r="G1321" s="33" t="s">
        <v>20</v>
      </c>
      <c r="H1321" s="35">
        <v>105</v>
      </c>
      <c r="I1321" s="33" t="s">
        <v>21</v>
      </c>
      <c r="J1321" s="42">
        <v>44169</v>
      </c>
      <c r="K1321" s="33" t="s">
        <v>22</v>
      </c>
    </row>
    <row r="1322" spans="1:11">
      <c r="A1322" s="30" t="s">
        <v>3403</v>
      </c>
      <c r="B1322" s="30" t="s">
        <v>3404</v>
      </c>
      <c r="C1322" s="30" t="s">
        <v>118</v>
      </c>
      <c r="D1322" s="30" t="s">
        <v>17</v>
      </c>
      <c r="E1322" s="30" t="s">
        <v>212</v>
      </c>
      <c r="F1322" s="30" t="s">
        <v>213</v>
      </c>
      <c r="G1322" s="30" t="s">
        <v>158</v>
      </c>
      <c r="H1322" s="32">
        <v>654</v>
      </c>
      <c r="I1322" s="30" t="s">
        <v>21</v>
      </c>
      <c r="J1322" s="41">
        <v>44144</v>
      </c>
      <c r="K1322" s="30" t="s">
        <v>22</v>
      </c>
    </row>
    <row r="1323" spans="1:11">
      <c r="A1323" s="33" t="s">
        <v>3405</v>
      </c>
      <c r="B1323" s="33" t="s">
        <v>3406</v>
      </c>
      <c r="C1323" s="33" t="s">
        <v>3407</v>
      </c>
      <c r="D1323" s="33" t="s">
        <v>17</v>
      </c>
      <c r="E1323" s="33" t="s">
        <v>26</v>
      </c>
      <c r="F1323" s="33" t="s">
        <v>27</v>
      </c>
      <c r="G1323" s="33" t="s">
        <v>20</v>
      </c>
      <c r="H1323" s="35">
        <v>6</v>
      </c>
      <c r="I1323" s="33" t="s">
        <v>21</v>
      </c>
      <c r="J1323" s="42">
        <v>44028</v>
      </c>
      <c r="K1323" s="33" t="s">
        <v>22</v>
      </c>
    </row>
    <row r="1324" spans="1:11">
      <c r="A1324" s="30" t="s">
        <v>3408</v>
      </c>
      <c r="B1324" s="30" t="s">
        <v>3409</v>
      </c>
      <c r="C1324" s="30" t="s">
        <v>3296</v>
      </c>
      <c r="D1324" s="30" t="s">
        <v>17</v>
      </c>
      <c r="E1324" s="30" t="s">
        <v>26</v>
      </c>
      <c r="F1324" s="30" t="s">
        <v>27</v>
      </c>
      <c r="G1324" s="30" t="s">
        <v>20</v>
      </c>
      <c r="H1324" s="32">
        <v>60</v>
      </c>
      <c r="I1324" s="30" t="s">
        <v>21</v>
      </c>
      <c r="J1324" s="41">
        <v>44047</v>
      </c>
      <c r="K1324" s="30" t="s">
        <v>22</v>
      </c>
    </row>
    <row r="1325" spans="1:11">
      <c r="A1325" s="33" t="s">
        <v>3410</v>
      </c>
      <c r="B1325" s="33" t="s">
        <v>3411</v>
      </c>
      <c r="C1325" s="33" t="s">
        <v>570</v>
      </c>
      <c r="D1325" s="33" t="s">
        <v>17</v>
      </c>
      <c r="E1325" s="33" t="s">
        <v>45</v>
      </c>
      <c r="F1325" s="33" t="s">
        <v>46</v>
      </c>
      <c r="G1325" s="33" t="s">
        <v>50</v>
      </c>
      <c r="H1325" s="35">
        <v>492</v>
      </c>
      <c r="I1325" s="33" t="s">
        <v>51</v>
      </c>
      <c r="J1325" s="42">
        <v>44013</v>
      </c>
      <c r="K1325" s="33" t="s">
        <v>22</v>
      </c>
    </row>
    <row r="1326" spans="1:11">
      <c r="A1326" s="30" t="s">
        <v>3412</v>
      </c>
      <c r="B1326" s="30" t="s">
        <v>3413</v>
      </c>
      <c r="C1326" s="30" t="s">
        <v>1801</v>
      </c>
      <c r="D1326" s="30" t="s">
        <v>17</v>
      </c>
      <c r="E1326" s="30" t="s">
        <v>26</v>
      </c>
      <c r="F1326" s="30" t="s">
        <v>27</v>
      </c>
      <c r="G1326" s="30" t="s">
        <v>50</v>
      </c>
      <c r="H1326" s="32">
        <v>243</v>
      </c>
      <c r="I1326" s="30" t="s">
        <v>51</v>
      </c>
      <c r="J1326" s="41">
        <v>44186</v>
      </c>
      <c r="K1326" s="30" t="s">
        <v>22</v>
      </c>
    </row>
    <row r="1327" spans="1:11">
      <c r="A1327" s="33" t="s">
        <v>3414</v>
      </c>
      <c r="B1327" s="33" t="s">
        <v>3415</v>
      </c>
      <c r="C1327" s="33" t="s">
        <v>3416</v>
      </c>
      <c r="D1327" s="33" t="s">
        <v>17</v>
      </c>
      <c r="E1327" s="33" t="s">
        <v>18</v>
      </c>
      <c r="F1327" s="33" t="s">
        <v>19</v>
      </c>
      <c r="G1327" s="33" t="s">
        <v>158</v>
      </c>
      <c r="H1327" s="35">
        <v>85</v>
      </c>
      <c r="I1327" s="33" t="s">
        <v>21</v>
      </c>
      <c r="J1327" s="42">
        <v>43871</v>
      </c>
      <c r="K1327" s="33" t="s">
        <v>22</v>
      </c>
    </row>
    <row r="1328" spans="1:11">
      <c r="A1328" s="30" t="s">
        <v>3417</v>
      </c>
      <c r="B1328" s="30" t="s">
        <v>3418</v>
      </c>
      <c r="C1328" s="30" t="s">
        <v>149</v>
      </c>
      <c r="D1328" s="30" t="s">
        <v>17</v>
      </c>
      <c r="E1328" s="30" t="s">
        <v>18</v>
      </c>
      <c r="F1328" s="30" t="s">
        <v>19</v>
      </c>
      <c r="G1328" s="30" t="s">
        <v>106</v>
      </c>
      <c r="H1328" s="32">
        <v>5</v>
      </c>
      <c r="I1328" s="30" t="s">
        <v>21</v>
      </c>
      <c r="J1328" s="41">
        <v>44062</v>
      </c>
      <c r="K1328" s="30" t="s">
        <v>22</v>
      </c>
    </row>
    <row r="1329" spans="1:11">
      <c r="A1329" s="33" t="s">
        <v>3419</v>
      </c>
      <c r="B1329" s="33" t="s">
        <v>3420</v>
      </c>
      <c r="C1329" s="33" t="s">
        <v>899</v>
      </c>
      <c r="D1329" s="33" t="s">
        <v>17</v>
      </c>
      <c r="E1329" s="33" t="s">
        <v>26</v>
      </c>
      <c r="F1329" s="33" t="s">
        <v>27</v>
      </c>
      <c r="G1329" s="33" t="s">
        <v>20</v>
      </c>
      <c r="H1329" s="35">
        <v>73</v>
      </c>
      <c r="I1329" s="33" t="s">
        <v>21</v>
      </c>
      <c r="J1329" s="42">
        <v>44053</v>
      </c>
      <c r="K1329" s="33" t="s">
        <v>22</v>
      </c>
    </row>
    <row r="1330" spans="1:11">
      <c r="A1330" s="30" t="s">
        <v>3421</v>
      </c>
      <c r="B1330" s="30" t="s">
        <v>3422</v>
      </c>
      <c r="C1330" s="30" t="s">
        <v>969</v>
      </c>
      <c r="D1330" s="30" t="s">
        <v>17</v>
      </c>
      <c r="E1330" s="30" t="s">
        <v>67</v>
      </c>
      <c r="F1330" s="30" t="s">
        <v>68</v>
      </c>
      <c r="G1330" s="30" t="s">
        <v>158</v>
      </c>
      <c r="H1330" s="32">
        <v>106</v>
      </c>
      <c r="I1330" s="30" t="s">
        <v>21</v>
      </c>
      <c r="J1330" s="41">
        <v>43990</v>
      </c>
      <c r="K1330" s="30" t="s">
        <v>22</v>
      </c>
    </row>
    <row r="1331" spans="1:11">
      <c r="A1331" s="33" t="s">
        <v>3423</v>
      </c>
      <c r="B1331" s="33" t="s">
        <v>3424</v>
      </c>
      <c r="C1331" s="33" t="s">
        <v>1753</v>
      </c>
      <c r="D1331" s="33" t="s">
        <v>17</v>
      </c>
      <c r="E1331" s="33" t="s">
        <v>212</v>
      </c>
      <c r="F1331" s="33" t="s">
        <v>213</v>
      </c>
      <c r="G1331" s="33" t="s">
        <v>140</v>
      </c>
      <c r="H1331" s="35">
        <v>284</v>
      </c>
      <c r="I1331" s="33" t="s">
        <v>51</v>
      </c>
      <c r="J1331" s="42">
        <v>44121</v>
      </c>
      <c r="K1331" s="33" t="s">
        <v>22</v>
      </c>
    </row>
    <row r="1332" spans="1:11">
      <c r="A1332" s="30" t="s">
        <v>3425</v>
      </c>
      <c r="B1332" s="30" t="s">
        <v>3426</v>
      </c>
      <c r="C1332" s="30" t="s">
        <v>222</v>
      </c>
      <c r="D1332" s="30" t="s">
        <v>17</v>
      </c>
      <c r="E1332" s="30" t="s">
        <v>26</v>
      </c>
      <c r="F1332" s="30" t="s">
        <v>27</v>
      </c>
      <c r="G1332" s="30" t="s">
        <v>158</v>
      </c>
      <c r="H1332" s="32">
        <v>145</v>
      </c>
      <c r="I1332" s="30" t="s">
        <v>21</v>
      </c>
      <c r="J1332" s="41">
        <v>44089</v>
      </c>
      <c r="K1332" s="30" t="s">
        <v>22</v>
      </c>
    </row>
    <row r="1333" spans="1:11">
      <c r="A1333" s="33" t="s">
        <v>3427</v>
      </c>
      <c r="B1333" s="33" t="s">
        <v>3428</v>
      </c>
      <c r="C1333" s="33" t="s">
        <v>3429</v>
      </c>
      <c r="D1333" s="33" t="s">
        <v>17</v>
      </c>
      <c r="E1333" s="33" t="s">
        <v>67</v>
      </c>
      <c r="F1333" s="33" t="s">
        <v>68</v>
      </c>
      <c r="G1333" s="33" t="s">
        <v>20</v>
      </c>
      <c r="H1333" s="35">
        <v>36</v>
      </c>
      <c r="I1333" s="33" t="s">
        <v>21</v>
      </c>
      <c r="J1333" s="42">
        <v>44068</v>
      </c>
      <c r="K1333" s="33" t="s">
        <v>22</v>
      </c>
    </row>
    <row r="1334" spans="1:11">
      <c r="A1334" s="30" t="s">
        <v>3430</v>
      </c>
      <c r="B1334" s="30" t="s">
        <v>3431</v>
      </c>
      <c r="C1334" s="30" t="s">
        <v>3432</v>
      </c>
      <c r="D1334" s="30" t="s">
        <v>17</v>
      </c>
      <c r="E1334" s="30" t="s">
        <v>26</v>
      </c>
      <c r="F1334" s="30" t="s">
        <v>27</v>
      </c>
      <c r="G1334" s="30" t="s">
        <v>20</v>
      </c>
      <c r="H1334" s="32">
        <v>60</v>
      </c>
      <c r="I1334" s="30" t="s">
        <v>21</v>
      </c>
      <c r="J1334" s="41">
        <v>44173</v>
      </c>
      <c r="K1334" s="30" t="s">
        <v>22</v>
      </c>
    </row>
    <row r="1335" spans="1:11">
      <c r="A1335" s="33" t="s">
        <v>3433</v>
      </c>
      <c r="B1335" s="33" t="s">
        <v>3434</v>
      </c>
      <c r="C1335" s="33" t="s">
        <v>847</v>
      </c>
      <c r="D1335" s="33" t="s">
        <v>17</v>
      </c>
      <c r="E1335" s="33" t="s">
        <v>26</v>
      </c>
      <c r="F1335" s="33" t="s">
        <v>27</v>
      </c>
      <c r="G1335" s="33" t="s">
        <v>50</v>
      </c>
      <c r="H1335" s="35">
        <v>9</v>
      </c>
      <c r="I1335" s="33" t="s">
        <v>51</v>
      </c>
      <c r="J1335" s="42">
        <v>44159</v>
      </c>
      <c r="K1335" s="33" t="s">
        <v>22</v>
      </c>
    </row>
    <row r="1336" spans="1:11">
      <c r="A1336" s="30" t="s">
        <v>3435</v>
      </c>
      <c r="B1336" s="30" t="s">
        <v>3436</v>
      </c>
      <c r="C1336" s="30" t="s">
        <v>329</v>
      </c>
      <c r="D1336" s="30" t="s">
        <v>17</v>
      </c>
      <c r="E1336" s="30" t="s">
        <v>26</v>
      </c>
      <c r="F1336" s="30" t="s">
        <v>27</v>
      </c>
      <c r="G1336" s="30" t="s">
        <v>20</v>
      </c>
      <c r="H1336" s="32">
        <v>400</v>
      </c>
      <c r="I1336" s="30" t="s">
        <v>21</v>
      </c>
      <c r="J1336" s="41">
        <v>43949</v>
      </c>
      <c r="K1336" s="30" t="s">
        <v>22</v>
      </c>
    </row>
    <row r="1337" spans="1:11">
      <c r="A1337" s="33" t="s">
        <v>3437</v>
      </c>
      <c r="B1337" s="33" t="s">
        <v>3438</v>
      </c>
      <c r="C1337" s="33" t="s">
        <v>3439</v>
      </c>
      <c r="D1337" s="33" t="s">
        <v>17</v>
      </c>
      <c r="E1337" s="33" t="s">
        <v>26</v>
      </c>
      <c r="F1337" s="33" t="s">
        <v>27</v>
      </c>
      <c r="G1337" s="33" t="s">
        <v>20</v>
      </c>
      <c r="H1337" s="35">
        <v>17</v>
      </c>
      <c r="I1337" s="33" t="s">
        <v>21</v>
      </c>
      <c r="J1337" s="42">
        <v>44026</v>
      </c>
      <c r="K1337" s="33" t="s">
        <v>22</v>
      </c>
    </row>
    <row r="1338" spans="1:11">
      <c r="A1338" s="30" t="s">
        <v>3440</v>
      </c>
      <c r="B1338" s="30" t="s">
        <v>3441</v>
      </c>
      <c r="C1338" s="30" t="s">
        <v>899</v>
      </c>
      <c r="D1338" s="30" t="s">
        <v>17</v>
      </c>
      <c r="E1338" s="30" t="s">
        <v>26</v>
      </c>
      <c r="F1338" s="30" t="s">
        <v>27</v>
      </c>
      <c r="G1338" s="30" t="s">
        <v>20</v>
      </c>
      <c r="H1338" s="32">
        <v>72</v>
      </c>
      <c r="I1338" s="30" t="s">
        <v>21</v>
      </c>
      <c r="J1338" s="41">
        <v>44025</v>
      </c>
      <c r="K1338" s="30" t="s">
        <v>22</v>
      </c>
    </row>
    <row r="1339" spans="1:11">
      <c r="A1339" s="33" t="s">
        <v>3442</v>
      </c>
      <c r="B1339" s="33" t="s">
        <v>3443</v>
      </c>
      <c r="C1339" s="33" t="s">
        <v>3444</v>
      </c>
      <c r="D1339" s="33" t="s">
        <v>17</v>
      </c>
      <c r="E1339" s="33" t="s">
        <v>26</v>
      </c>
      <c r="F1339" s="33" t="s">
        <v>27</v>
      </c>
      <c r="G1339" s="33" t="s">
        <v>20</v>
      </c>
      <c r="H1339" s="35">
        <v>18</v>
      </c>
      <c r="I1339" s="33" t="s">
        <v>21</v>
      </c>
      <c r="J1339" s="42">
        <v>44057</v>
      </c>
      <c r="K1339" s="33" t="s">
        <v>22</v>
      </c>
    </row>
    <row r="1340" spans="1:11">
      <c r="A1340" s="30" t="s">
        <v>3445</v>
      </c>
      <c r="B1340" s="30" t="s">
        <v>3446</v>
      </c>
      <c r="C1340" s="30" t="s">
        <v>1764</v>
      </c>
      <c r="D1340" s="30" t="s">
        <v>17</v>
      </c>
      <c r="E1340" s="30" t="s">
        <v>18</v>
      </c>
      <c r="F1340" s="30" t="s">
        <v>19</v>
      </c>
      <c r="G1340" s="30" t="s">
        <v>20</v>
      </c>
      <c r="H1340" s="32">
        <v>123</v>
      </c>
      <c r="I1340" s="30" t="s">
        <v>21</v>
      </c>
      <c r="J1340" s="41">
        <v>44102</v>
      </c>
      <c r="K1340" s="30" t="s">
        <v>22</v>
      </c>
    </row>
    <row r="1341" spans="1:11">
      <c r="A1341" s="33" t="s">
        <v>3447</v>
      </c>
      <c r="B1341" s="33" t="s">
        <v>3448</v>
      </c>
      <c r="C1341" s="33" t="s">
        <v>93</v>
      </c>
      <c r="D1341" s="33" t="s">
        <v>17</v>
      </c>
      <c r="E1341" s="33" t="s">
        <v>26</v>
      </c>
      <c r="F1341" s="33" t="s">
        <v>27</v>
      </c>
      <c r="G1341" s="33" t="s">
        <v>106</v>
      </c>
      <c r="H1341" s="35">
        <v>14</v>
      </c>
      <c r="I1341" s="33" t="s">
        <v>21</v>
      </c>
      <c r="J1341" s="42">
        <v>43956</v>
      </c>
      <c r="K1341" s="33" t="s">
        <v>22</v>
      </c>
    </row>
    <row r="1342" spans="1:11">
      <c r="A1342" s="30" t="s">
        <v>3449</v>
      </c>
      <c r="B1342" s="30" t="s">
        <v>3450</v>
      </c>
      <c r="C1342" s="30" t="s">
        <v>3451</v>
      </c>
      <c r="D1342" s="30" t="s">
        <v>17</v>
      </c>
      <c r="E1342" s="30" t="s">
        <v>67</v>
      </c>
      <c r="F1342" s="30" t="s">
        <v>68</v>
      </c>
      <c r="G1342" s="30" t="s">
        <v>20</v>
      </c>
      <c r="H1342" s="32">
        <v>19</v>
      </c>
      <c r="I1342" s="30" t="s">
        <v>21</v>
      </c>
      <c r="J1342" s="41">
        <v>44027</v>
      </c>
      <c r="K1342" s="30" t="s">
        <v>22</v>
      </c>
    </row>
    <row r="1343" spans="1:11">
      <c r="A1343" s="33" t="s">
        <v>3452</v>
      </c>
      <c r="B1343" s="33" t="s">
        <v>3453</v>
      </c>
      <c r="C1343" s="33" t="s">
        <v>3454</v>
      </c>
      <c r="D1343" s="33" t="s">
        <v>17</v>
      </c>
      <c r="E1343" s="33" t="s">
        <v>31</v>
      </c>
      <c r="F1343" s="33" t="s">
        <v>32</v>
      </c>
      <c r="G1343" s="33" t="s">
        <v>112</v>
      </c>
      <c r="H1343" s="35">
        <v>0</v>
      </c>
      <c r="I1343" s="33" t="s">
        <v>21</v>
      </c>
      <c r="J1343" s="42">
        <v>43952</v>
      </c>
      <c r="K1343" s="33" t="s">
        <v>22</v>
      </c>
    </row>
    <row r="1344" spans="1:11">
      <c r="A1344" s="30" t="s">
        <v>3455</v>
      </c>
      <c r="B1344" s="30" t="s">
        <v>3456</v>
      </c>
      <c r="C1344" s="30" t="s">
        <v>118</v>
      </c>
      <c r="D1344" s="30" t="s">
        <v>17</v>
      </c>
      <c r="E1344" s="30" t="s">
        <v>31</v>
      </c>
      <c r="F1344" s="30" t="s">
        <v>32</v>
      </c>
      <c r="G1344" s="30" t="s">
        <v>20</v>
      </c>
      <c r="H1344" s="32">
        <v>99</v>
      </c>
      <c r="I1344" s="30" t="s">
        <v>21</v>
      </c>
      <c r="J1344" s="41">
        <v>44090</v>
      </c>
      <c r="K1344" s="30" t="s">
        <v>22</v>
      </c>
    </row>
    <row r="1345" spans="1:11">
      <c r="A1345" s="33" t="s">
        <v>3457</v>
      </c>
      <c r="B1345" s="33" t="s">
        <v>3458</v>
      </c>
      <c r="C1345" s="33" t="s">
        <v>3459</v>
      </c>
      <c r="D1345" s="33" t="s">
        <v>17</v>
      </c>
      <c r="E1345" s="33" t="s">
        <v>18</v>
      </c>
      <c r="F1345" s="33" t="s">
        <v>19</v>
      </c>
      <c r="G1345" s="33" t="s">
        <v>20</v>
      </c>
      <c r="H1345" s="35">
        <v>100</v>
      </c>
      <c r="I1345" s="33" t="s">
        <v>21</v>
      </c>
      <c r="J1345" s="42">
        <v>43983</v>
      </c>
      <c r="K1345" s="33" t="s">
        <v>22</v>
      </c>
    </row>
    <row r="1346" spans="1:11">
      <c r="A1346" s="30" t="s">
        <v>3460</v>
      </c>
      <c r="B1346" s="30" t="s">
        <v>3461</v>
      </c>
      <c r="C1346" s="30" t="s">
        <v>3462</v>
      </c>
      <c r="D1346" s="30" t="s">
        <v>17</v>
      </c>
      <c r="E1346" s="30" t="s">
        <v>31</v>
      </c>
      <c r="F1346" s="30" t="s">
        <v>32</v>
      </c>
      <c r="G1346" s="30" t="s">
        <v>20</v>
      </c>
      <c r="H1346" s="32">
        <v>100</v>
      </c>
      <c r="I1346" s="30" t="s">
        <v>21</v>
      </c>
      <c r="J1346" s="41">
        <v>44137</v>
      </c>
      <c r="K1346" s="30" t="s">
        <v>22</v>
      </c>
    </row>
    <row r="1347" spans="1:11">
      <c r="A1347" s="33" t="s">
        <v>3463</v>
      </c>
      <c r="B1347" s="33" t="s">
        <v>3464</v>
      </c>
      <c r="C1347" s="33" t="s">
        <v>3465</v>
      </c>
      <c r="D1347" s="33" t="s">
        <v>17</v>
      </c>
      <c r="E1347" s="33" t="s">
        <v>18</v>
      </c>
      <c r="F1347" s="33" t="s">
        <v>19</v>
      </c>
      <c r="G1347" s="33" t="s">
        <v>20</v>
      </c>
      <c r="H1347" s="35">
        <v>696</v>
      </c>
      <c r="I1347" s="33" t="s">
        <v>21</v>
      </c>
      <c r="J1347" s="42">
        <v>44144</v>
      </c>
      <c r="K1347" s="33" t="s">
        <v>22</v>
      </c>
    </row>
    <row r="1348" spans="1:11">
      <c r="A1348" s="30" t="s">
        <v>3466</v>
      </c>
      <c r="B1348" s="30" t="s">
        <v>3467</v>
      </c>
      <c r="C1348" s="30" t="s">
        <v>3468</v>
      </c>
      <c r="D1348" s="30" t="s">
        <v>17</v>
      </c>
      <c r="E1348" s="30" t="s">
        <v>31</v>
      </c>
      <c r="F1348" s="30" t="s">
        <v>32</v>
      </c>
      <c r="G1348" s="30" t="s">
        <v>20</v>
      </c>
      <c r="H1348" s="32">
        <v>66</v>
      </c>
      <c r="I1348" s="30" t="s">
        <v>21</v>
      </c>
      <c r="J1348" s="41">
        <v>44162</v>
      </c>
      <c r="K1348" s="30" t="s">
        <v>22</v>
      </c>
    </row>
    <row r="1349" spans="1:11">
      <c r="A1349" s="33" t="s">
        <v>3469</v>
      </c>
      <c r="B1349" s="33" t="s">
        <v>3470</v>
      </c>
      <c r="C1349" s="33" t="s">
        <v>93</v>
      </c>
      <c r="D1349" s="33" t="s">
        <v>17</v>
      </c>
      <c r="E1349" s="33" t="s">
        <v>18</v>
      </c>
      <c r="F1349" s="33" t="s">
        <v>19</v>
      </c>
      <c r="G1349" s="33" t="s">
        <v>106</v>
      </c>
      <c r="H1349" s="35">
        <v>2</v>
      </c>
      <c r="I1349" s="33" t="s">
        <v>21</v>
      </c>
      <c r="J1349" s="42">
        <v>44090</v>
      </c>
      <c r="K1349" s="33" t="s">
        <v>22</v>
      </c>
    </row>
    <row r="1350" spans="1:11">
      <c r="A1350" s="30" t="s">
        <v>3471</v>
      </c>
      <c r="B1350" s="30" t="s">
        <v>3472</v>
      </c>
      <c r="C1350" s="30" t="s">
        <v>450</v>
      </c>
      <c r="D1350" s="30" t="s">
        <v>17</v>
      </c>
      <c r="E1350" s="30" t="s">
        <v>26</v>
      </c>
      <c r="F1350" s="30" t="s">
        <v>27</v>
      </c>
      <c r="G1350" s="30" t="s">
        <v>20</v>
      </c>
      <c r="H1350" s="32">
        <v>36</v>
      </c>
      <c r="I1350" s="30" t="s">
        <v>21</v>
      </c>
      <c r="J1350" s="41">
        <v>44019</v>
      </c>
      <c r="K1350" s="30" t="s">
        <v>22</v>
      </c>
    </row>
    <row r="1351" spans="1:11">
      <c r="A1351" s="33" t="s">
        <v>3473</v>
      </c>
      <c r="B1351" s="33" t="s">
        <v>3474</v>
      </c>
      <c r="C1351" s="33" t="s">
        <v>3475</v>
      </c>
      <c r="D1351" s="33" t="s">
        <v>17</v>
      </c>
      <c r="E1351" s="33" t="s">
        <v>18</v>
      </c>
      <c r="F1351" s="33" t="s">
        <v>19</v>
      </c>
      <c r="G1351" s="33" t="s">
        <v>158</v>
      </c>
      <c r="H1351" s="35">
        <v>226</v>
      </c>
      <c r="I1351" s="33" t="s">
        <v>21</v>
      </c>
      <c r="J1351" s="42">
        <v>43838</v>
      </c>
      <c r="K1351" s="33" t="s">
        <v>22</v>
      </c>
    </row>
    <row r="1352" spans="1:11">
      <c r="A1352" s="30" t="s">
        <v>3476</v>
      </c>
      <c r="B1352" s="30" t="s">
        <v>3477</v>
      </c>
      <c r="C1352" s="30" t="s">
        <v>362</v>
      </c>
      <c r="D1352" s="30" t="s">
        <v>17</v>
      </c>
      <c r="E1352" s="30" t="s">
        <v>26</v>
      </c>
      <c r="F1352" s="30" t="s">
        <v>27</v>
      </c>
      <c r="G1352" s="30" t="s">
        <v>106</v>
      </c>
      <c r="H1352" s="32">
        <v>32</v>
      </c>
      <c r="I1352" s="30" t="s">
        <v>21</v>
      </c>
      <c r="J1352" s="41">
        <v>44090</v>
      </c>
      <c r="K1352" s="30" t="s">
        <v>22</v>
      </c>
    </row>
    <row r="1353" spans="1:11">
      <c r="A1353" s="33" t="s">
        <v>3478</v>
      </c>
      <c r="B1353" s="33" t="s">
        <v>3479</v>
      </c>
      <c r="C1353" s="33" t="s">
        <v>3480</v>
      </c>
      <c r="D1353" s="33" t="s">
        <v>17</v>
      </c>
      <c r="E1353" s="33" t="s">
        <v>18</v>
      </c>
      <c r="F1353" s="33" t="s">
        <v>19</v>
      </c>
      <c r="G1353" s="33" t="s">
        <v>106</v>
      </c>
      <c r="H1353" s="35">
        <v>12</v>
      </c>
      <c r="I1353" s="33" t="s">
        <v>21</v>
      </c>
      <c r="J1353" s="42">
        <v>44166</v>
      </c>
      <c r="K1353" s="33" t="s">
        <v>22</v>
      </c>
    </row>
    <row r="1354" spans="1:11">
      <c r="A1354" s="30" t="s">
        <v>3481</v>
      </c>
      <c r="B1354" s="30" t="s">
        <v>3482</v>
      </c>
      <c r="C1354" s="30" t="s">
        <v>178</v>
      </c>
      <c r="D1354" s="30" t="s">
        <v>17</v>
      </c>
      <c r="E1354" s="30" t="s">
        <v>18</v>
      </c>
      <c r="F1354" s="30" t="s">
        <v>19</v>
      </c>
      <c r="G1354" s="30" t="s">
        <v>20</v>
      </c>
      <c r="H1354" s="32">
        <v>166</v>
      </c>
      <c r="I1354" s="30" t="s">
        <v>21</v>
      </c>
      <c r="J1354" s="41">
        <v>43979</v>
      </c>
      <c r="K1354" s="30" t="s">
        <v>22</v>
      </c>
    </row>
    <row r="1355" spans="1:11">
      <c r="A1355" s="33" t="s">
        <v>3483</v>
      </c>
      <c r="B1355" s="33" t="s">
        <v>3484</v>
      </c>
      <c r="C1355" s="33" t="s">
        <v>2034</v>
      </c>
      <c r="D1355" s="33" t="s">
        <v>17</v>
      </c>
      <c r="E1355" s="33" t="s">
        <v>31</v>
      </c>
      <c r="F1355" s="33" t="s">
        <v>32</v>
      </c>
      <c r="G1355" s="33" t="s">
        <v>20</v>
      </c>
      <c r="H1355" s="35">
        <v>319</v>
      </c>
      <c r="I1355" s="33" t="s">
        <v>21</v>
      </c>
      <c r="J1355" s="42">
        <v>44104</v>
      </c>
      <c r="K1355" s="33" t="s">
        <v>22</v>
      </c>
    </row>
    <row r="1356" spans="1:11">
      <c r="A1356" s="30" t="s">
        <v>3485</v>
      </c>
      <c r="B1356" s="30" t="s">
        <v>3486</v>
      </c>
      <c r="C1356" s="30" t="s">
        <v>187</v>
      </c>
      <c r="D1356" s="30" t="s">
        <v>17</v>
      </c>
      <c r="E1356" s="30" t="s">
        <v>26</v>
      </c>
      <c r="F1356" s="30" t="s">
        <v>27</v>
      </c>
      <c r="G1356" s="30" t="s">
        <v>106</v>
      </c>
      <c r="H1356" s="32">
        <v>1</v>
      </c>
      <c r="I1356" s="30" t="s">
        <v>21</v>
      </c>
      <c r="J1356" s="41">
        <v>44098</v>
      </c>
      <c r="K1356" s="30" t="s">
        <v>22</v>
      </c>
    </row>
    <row r="1357" spans="1:11">
      <c r="A1357" s="33" t="s">
        <v>3487</v>
      </c>
      <c r="B1357" s="33" t="s">
        <v>3488</v>
      </c>
      <c r="C1357" s="33" t="s">
        <v>3489</v>
      </c>
      <c r="D1357" s="33" t="s">
        <v>17</v>
      </c>
      <c r="E1357" s="33" t="s">
        <v>18</v>
      </c>
      <c r="F1357" s="33" t="s">
        <v>19</v>
      </c>
      <c r="G1357" s="33" t="s">
        <v>20</v>
      </c>
      <c r="H1357" s="35">
        <v>22</v>
      </c>
      <c r="I1357" s="33" t="s">
        <v>21</v>
      </c>
      <c r="J1357" s="42">
        <v>44173</v>
      </c>
      <c r="K1357" s="33" t="s">
        <v>22</v>
      </c>
    </row>
    <row r="1358" spans="1:11">
      <c r="A1358" s="30" t="s">
        <v>3490</v>
      </c>
      <c r="B1358" s="30" t="s">
        <v>3491</v>
      </c>
      <c r="C1358" s="30" t="s">
        <v>78</v>
      </c>
      <c r="D1358" s="30" t="s">
        <v>17</v>
      </c>
      <c r="E1358" s="30" t="s">
        <v>26</v>
      </c>
      <c r="F1358" s="30" t="s">
        <v>27</v>
      </c>
      <c r="G1358" s="30" t="s">
        <v>20</v>
      </c>
      <c r="H1358" s="32">
        <v>48</v>
      </c>
      <c r="I1358" s="30" t="s">
        <v>21</v>
      </c>
      <c r="J1358" s="41">
        <v>43997</v>
      </c>
      <c r="K1358" s="30" t="s">
        <v>22</v>
      </c>
    </row>
    <row r="1359" spans="1:11">
      <c r="A1359" s="33" t="s">
        <v>3492</v>
      </c>
      <c r="B1359" s="33" t="s">
        <v>3493</v>
      </c>
      <c r="C1359" s="33" t="s">
        <v>2373</v>
      </c>
      <c r="D1359" s="33" t="s">
        <v>17</v>
      </c>
      <c r="E1359" s="33" t="s">
        <v>26</v>
      </c>
      <c r="F1359" s="33" t="s">
        <v>27</v>
      </c>
      <c r="G1359" s="33" t="s">
        <v>50</v>
      </c>
      <c r="H1359" s="35">
        <v>8</v>
      </c>
      <c r="I1359" s="33" t="s">
        <v>51</v>
      </c>
      <c r="J1359" s="42">
        <v>44092</v>
      </c>
      <c r="K1359" s="33" t="s">
        <v>22</v>
      </c>
    </row>
    <row r="1360" spans="1:11">
      <c r="A1360" s="30" t="s">
        <v>3494</v>
      </c>
      <c r="B1360" s="30" t="s">
        <v>3495</v>
      </c>
      <c r="C1360" s="30" t="s">
        <v>3496</v>
      </c>
      <c r="D1360" s="30" t="s">
        <v>17</v>
      </c>
      <c r="E1360" s="30" t="s">
        <v>18</v>
      </c>
      <c r="F1360" s="30" t="s">
        <v>19</v>
      </c>
      <c r="G1360" s="30" t="s">
        <v>20</v>
      </c>
      <c r="H1360" s="32">
        <v>151</v>
      </c>
      <c r="I1360" s="30" t="s">
        <v>21</v>
      </c>
      <c r="J1360" s="41">
        <v>44130</v>
      </c>
      <c r="K1360" s="30" t="s">
        <v>22</v>
      </c>
    </row>
    <row r="1361" spans="1:11">
      <c r="A1361" s="33" t="s">
        <v>3497</v>
      </c>
      <c r="B1361" s="33" t="s">
        <v>3498</v>
      </c>
      <c r="C1361" s="33" t="s">
        <v>1148</v>
      </c>
      <c r="D1361" s="33" t="s">
        <v>17</v>
      </c>
      <c r="E1361" s="33" t="s">
        <v>26</v>
      </c>
      <c r="F1361" s="33" t="s">
        <v>27</v>
      </c>
      <c r="G1361" s="33" t="s">
        <v>20</v>
      </c>
      <c r="H1361" s="35">
        <v>124</v>
      </c>
      <c r="I1361" s="33" t="s">
        <v>21</v>
      </c>
      <c r="J1361" s="42">
        <v>44098</v>
      </c>
      <c r="K1361" s="33" t="s">
        <v>22</v>
      </c>
    </row>
    <row r="1362" spans="1:11">
      <c r="A1362" s="30" t="s">
        <v>3499</v>
      </c>
      <c r="B1362" s="30" t="s">
        <v>3500</v>
      </c>
      <c r="C1362" s="30" t="s">
        <v>3501</v>
      </c>
      <c r="D1362" s="30" t="s">
        <v>17</v>
      </c>
      <c r="E1362" s="30" t="s">
        <v>31</v>
      </c>
      <c r="F1362" s="30" t="s">
        <v>32</v>
      </c>
      <c r="G1362" s="30" t="s">
        <v>112</v>
      </c>
      <c r="H1362" s="32">
        <v>0</v>
      </c>
      <c r="I1362" s="30" t="s">
        <v>21</v>
      </c>
      <c r="J1362" s="41">
        <v>43831</v>
      </c>
      <c r="K1362" s="30" t="s">
        <v>22</v>
      </c>
    </row>
    <row r="1363" spans="1:11">
      <c r="A1363" s="33" t="s">
        <v>3502</v>
      </c>
      <c r="B1363" s="33" t="s">
        <v>3503</v>
      </c>
      <c r="C1363" s="33" t="s">
        <v>3504</v>
      </c>
      <c r="D1363" s="33" t="s">
        <v>17</v>
      </c>
      <c r="E1363" s="33" t="s">
        <v>18</v>
      </c>
      <c r="F1363" s="33" t="s">
        <v>19</v>
      </c>
      <c r="G1363" s="33" t="s">
        <v>50</v>
      </c>
      <c r="H1363" s="35">
        <v>480</v>
      </c>
      <c r="I1363" s="33" t="s">
        <v>51</v>
      </c>
      <c r="J1363" s="42">
        <v>44012</v>
      </c>
      <c r="K1363" s="33" t="s">
        <v>22</v>
      </c>
    </row>
    <row r="1364" spans="1:11">
      <c r="A1364" s="30" t="s">
        <v>3505</v>
      </c>
      <c r="B1364" s="30" t="s">
        <v>3506</v>
      </c>
      <c r="C1364" s="30" t="s">
        <v>3507</v>
      </c>
      <c r="D1364" s="30" t="s">
        <v>17</v>
      </c>
      <c r="E1364" s="30" t="s">
        <v>31</v>
      </c>
      <c r="F1364" s="30" t="s">
        <v>32</v>
      </c>
      <c r="G1364" s="30" t="s">
        <v>158</v>
      </c>
      <c r="H1364" s="32">
        <v>90</v>
      </c>
      <c r="I1364" s="30" t="s">
        <v>21</v>
      </c>
      <c r="J1364" s="41">
        <v>44117</v>
      </c>
      <c r="K1364" s="30" t="s">
        <v>22</v>
      </c>
    </row>
    <row r="1365" spans="1:11">
      <c r="A1365" s="33" t="s">
        <v>3508</v>
      </c>
      <c r="B1365" s="33" t="s">
        <v>3509</v>
      </c>
      <c r="C1365" s="33" t="s">
        <v>1428</v>
      </c>
      <c r="D1365" s="33" t="s">
        <v>17</v>
      </c>
      <c r="E1365" s="33" t="s">
        <v>26</v>
      </c>
      <c r="F1365" s="33" t="s">
        <v>27</v>
      </c>
      <c r="G1365" s="33" t="s">
        <v>50</v>
      </c>
      <c r="H1365" s="35">
        <v>60</v>
      </c>
      <c r="I1365" s="33" t="s">
        <v>51</v>
      </c>
      <c r="J1365" s="42">
        <v>43891</v>
      </c>
      <c r="K1365" s="33" t="s">
        <v>22</v>
      </c>
    </row>
    <row r="1366" spans="1:11">
      <c r="A1366" s="30" t="s">
        <v>3510</v>
      </c>
      <c r="B1366" s="30" t="s">
        <v>3511</v>
      </c>
      <c r="C1366" s="30" t="s">
        <v>426</v>
      </c>
      <c r="D1366" s="30" t="s">
        <v>17</v>
      </c>
      <c r="E1366" s="30" t="s">
        <v>67</v>
      </c>
      <c r="F1366" s="30" t="s">
        <v>68</v>
      </c>
      <c r="G1366" s="30" t="s">
        <v>106</v>
      </c>
      <c r="H1366" s="32">
        <v>40</v>
      </c>
      <c r="I1366" s="30" t="s">
        <v>21</v>
      </c>
      <c r="J1366" s="41">
        <v>43931</v>
      </c>
      <c r="K1366" s="30" t="s">
        <v>22</v>
      </c>
    </row>
    <row r="1367" spans="1:11">
      <c r="A1367" s="33" t="s">
        <v>3512</v>
      </c>
      <c r="B1367" s="33" t="s">
        <v>3513</v>
      </c>
      <c r="C1367" s="33" t="s">
        <v>3514</v>
      </c>
      <c r="D1367" s="33" t="s">
        <v>17</v>
      </c>
      <c r="E1367" s="33" t="s">
        <v>26</v>
      </c>
      <c r="F1367" s="33" t="s">
        <v>27</v>
      </c>
      <c r="G1367" s="33" t="s">
        <v>20</v>
      </c>
      <c r="H1367" s="35">
        <v>89</v>
      </c>
      <c r="I1367" s="33" t="s">
        <v>21</v>
      </c>
      <c r="J1367" s="42">
        <v>44081</v>
      </c>
      <c r="K1367" s="33" t="s">
        <v>22</v>
      </c>
    </row>
    <row r="1368" spans="1:11">
      <c r="A1368" s="30" t="s">
        <v>3515</v>
      </c>
      <c r="B1368" s="30" t="s">
        <v>3516</v>
      </c>
      <c r="C1368" s="30" t="s">
        <v>1295</v>
      </c>
      <c r="D1368" s="30" t="s">
        <v>17</v>
      </c>
      <c r="E1368" s="30" t="s">
        <v>26</v>
      </c>
      <c r="F1368" s="30" t="s">
        <v>27</v>
      </c>
      <c r="G1368" s="30" t="s">
        <v>106</v>
      </c>
      <c r="H1368" s="32">
        <v>47</v>
      </c>
      <c r="I1368" s="30" t="s">
        <v>21</v>
      </c>
      <c r="J1368" s="41">
        <v>44119</v>
      </c>
      <c r="K1368" s="30" t="s">
        <v>22</v>
      </c>
    </row>
    <row r="1369" spans="1:11">
      <c r="A1369" s="33" t="s">
        <v>3517</v>
      </c>
      <c r="B1369" s="33" t="s">
        <v>3518</v>
      </c>
      <c r="C1369" s="33" t="s">
        <v>3137</v>
      </c>
      <c r="D1369" s="33" t="s">
        <v>17</v>
      </c>
      <c r="E1369" s="33" t="s">
        <v>31</v>
      </c>
      <c r="F1369" s="33" t="s">
        <v>32</v>
      </c>
      <c r="G1369" s="33" t="s">
        <v>20</v>
      </c>
      <c r="H1369" s="35">
        <v>369</v>
      </c>
      <c r="I1369" s="33" t="s">
        <v>21</v>
      </c>
      <c r="J1369" s="42">
        <v>44130</v>
      </c>
      <c r="K1369" s="33" t="s">
        <v>22</v>
      </c>
    </row>
    <row r="1370" spans="1:11">
      <c r="A1370" s="30" t="s">
        <v>3519</v>
      </c>
      <c r="B1370" s="30" t="s">
        <v>3520</v>
      </c>
      <c r="C1370" s="30" t="s">
        <v>3521</v>
      </c>
      <c r="D1370" s="30" t="s">
        <v>17</v>
      </c>
      <c r="E1370" s="30" t="s">
        <v>26</v>
      </c>
      <c r="F1370" s="30" t="s">
        <v>27</v>
      </c>
      <c r="G1370" s="30" t="s">
        <v>69</v>
      </c>
      <c r="H1370" s="32">
        <v>73</v>
      </c>
      <c r="I1370" s="30" t="s">
        <v>51</v>
      </c>
      <c r="J1370" s="41">
        <v>44186</v>
      </c>
      <c r="K1370" s="30" t="s">
        <v>22</v>
      </c>
    </row>
    <row r="1371" spans="1:11">
      <c r="A1371" s="33" t="s">
        <v>3522</v>
      </c>
      <c r="B1371" s="33" t="s">
        <v>3523</v>
      </c>
      <c r="C1371" s="33" t="s">
        <v>362</v>
      </c>
      <c r="D1371" s="33" t="s">
        <v>17</v>
      </c>
      <c r="E1371" s="33" t="s">
        <v>31</v>
      </c>
      <c r="F1371" s="33" t="s">
        <v>32</v>
      </c>
      <c r="G1371" s="33" t="s">
        <v>20</v>
      </c>
      <c r="H1371" s="35">
        <v>31</v>
      </c>
      <c r="I1371" s="33" t="s">
        <v>21</v>
      </c>
      <c r="J1371" s="42">
        <v>44109</v>
      </c>
      <c r="K1371" s="33" t="s">
        <v>22</v>
      </c>
    </row>
    <row r="1372" spans="1:11">
      <c r="A1372" s="30" t="s">
        <v>3524</v>
      </c>
      <c r="B1372" s="30" t="s">
        <v>3525</v>
      </c>
      <c r="C1372" s="30" t="s">
        <v>3526</v>
      </c>
      <c r="D1372" s="30" t="s">
        <v>17</v>
      </c>
      <c r="E1372" s="30" t="s">
        <v>45</v>
      </c>
      <c r="F1372" s="30" t="s">
        <v>46</v>
      </c>
      <c r="G1372" s="30" t="s">
        <v>50</v>
      </c>
      <c r="H1372" s="32">
        <v>200</v>
      </c>
      <c r="I1372" s="30" t="s">
        <v>51</v>
      </c>
      <c r="J1372" s="41">
        <v>43899</v>
      </c>
      <c r="K1372" s="30" t="s">
        <v>22</v>
      </c>
    </row>
    <row r="1373" spans="1:11">
      <c r="A1373" s="33" t="s">
        <v>3527</v>
      </c>
      <c r="B1373" s="33" t="s">
        <v>3528</v>
      </c>
      <c r="C1373" s="33" t="s">
        <v>93</v>
      </c>
      <c r="D1373" s="33" t="s">
        <v>17</v>
      </c>
      <c r="E1373" s="33" t="s">
        <v>26</v>
      </c>
      <c r="F1373" s="33" t="s">
        <v>27</v>
      </c>
      <c r="G1373" s="33" t="s">
        <v>20</v>
      </c>
      <c r="H1373" s="35">
        <v>20</v>
      </c>
      <c r="I1373" s="33" t="s">
        <v>21</v>
      </c>
      <c r="J1373" s="42">
        <v>43978</v>
      </c>
      <c r="K1373" s="33" t="s">
        <v>22</v>
      </c>
    </row>
    <row r="1374" spans="1:11">
      <c r="A1374" s="30" t="s">
        <v>3529</v>
      </c>
      <c r="B1374" s="30" t="s">
        <v>3530</v>
      </c>
      <c r="C1374" s="30" t="s">
        <v>3531</v>
      </c>
      <c r="D1374" s="30" t="s">
        <v>17</v>
      </c>
      <c r="E1374" s="30" t="s">
        <v>26</v>
      </c>
      <c r="F1374" s="30" t="s">
        <v>27</v>
      </c>
      <c r="G1374" s="30" t="s">
        <v>20</v>
      </c>
      <c r="H1374" s="32">
        <v>30</v>
      </c>
      <c r="I1374" s="30" t="s">
        <v>21</v>
      </c>
      <c r="J1374" s="41">
        <v>43833</v>
      </c>
      <c r="K1374" s="30" t="s">
        <v>22</v>
      </c>
    </row>
    <row r="1375" spans="1:11">
      <c r="A1375" s="33" t="s">
        <v>3532</v>
      </c>
      <c r="B1375" s="33" t="s">
        <v>3533</v>
      </c>
      <c r="C1375" s="33" t="s">
        <v>1003</v>
      </c>
      <c r="D1375" s="33" t="s">
        <v>17</v>
      </c>
      <c r="E1375" s="33" t="s">
        <v>31</v>
      </c>
      <c r="F1375" s="33" t="s">
        <v>32</v>
      </c>
      <c r="G1375" s="33" t="s">
        <v>50</v>
      </c>
      <c r="H1375" s="35">
        <v>120</v>
      </c>
      <c r="I1375" s="33" t="s">
        <v>51</v>
      </c>
      <c r="J1375" s="42">
        <v>44158</v>
      </c>
      <c r="K1375" s="33" t="s">
        <v>22</v>
      </c>
    </row>
    <row r="1376" spans="1:11">
      <c r="A1376" s="30" t="s">
        <v>3534</v>
      </c>
      <c r="B1376" s="30" t="s">
        <v>3535</v>
      </c>
      <c r="C1376" s="30" t="s">
        <v>310</v>
      </c>
      <c r="D1376" s="30" t="s">
        <v>17</v>
      </c>
      <c r="E1376" s="30" t="s">
        <v>26</v>
      </c>
      <c r="F1376" s="30" t="s">
        <v>27</v>
      </c>
      <c r="G1376" s="30" t="s">
        <v>20</v>
      </c>
      <c r="H1376" s="32">
        <v>111</v>
      </c>
      <c r="I1376" s="30" t="s">
        <v>21</v>
      </c>
      <c r="J1376" s="41">
        <v>43864</v>
      </c>
      <c r="K1376" s="30" t="s">
        <v>22</v>
      </c>
    </row>
    <row r="1377" spans="1:11">
      <c r="A1377" s="33" t="s">
        <v>3536</v>
      </c>
      <c r="B1377" s="33" t="s">
        <v>3537</v>
      </c>
      <c r="C1377" s="33" t="s">
        <v>60</v>
      </c>
      <c r="D1377" s="33" t="s">
        <v>17</v>
      </c>
      <c r="E1377" s="33" t="s">
        <v>18</v>
      </c>
      <c r="F1377" s="33" t="s">
        <v>19</v>
      </c>
      <c r="G1377" s="33" t="s">
        <v>20</v>
      </c>
      <c r="H1377" s="35">
        <v>172</v>
      </c>
      <c r="I1377" s="33" t="s">
        <v>21</v>
      </c>
      <c r="J1377" s="42">
        <v>43955</v>
      </c>
      <c r="K1377" s="33" t="s">
        <v>22</v>
      </c>
    </row>
    <row r="1378" spans="1:11">
      <c r="A1378" s="30" t="s">
        <v>3538</v>
      </c>
      <c r="B1378" s="30" t="s">
        <v>3539</v>
      </c>
      <c r="C1378" s="30" t="s">
        <v>3540</v>
      </c>
      <c r="D1378" s="30" t="s">
        <v>17</v>
      </c>
      <c r="E1378" s="30" t="s">
        <v>26</v>
      </c>
      <c r="F1378" s="30" t="s">
        <v>27</v>
      </c>
      <c r="G1378" s="30" t="s">
        <v>20</v>
      </c>
      <c r="H1378" s="32">
        <v>60</v>
      </c>
      <c r="I1378" s="30" t="s">
        <v>21</v>
      </c>
      <c r="J1378" s="41">
        <v>44081</v>
      </c>
      <c r="K1378" s="30" t="s">
        <v>22</v>
      </c>
    </row>
    <row r="1379" spans="1:11">
      <c r="A1379" s="33" t="s">
        <v>3541</v>
      </c>
      <c r="B1379" s="33" t="s">
        <v>3542</v>
      </c>
      <c r="C1379" s="33" t="s">
        <v>407</v>
      </c>
      <c r="D1379" s="33" t="s">
        <v>17</v>
      </c>
      <c r="E1379" s="33" t="s">
        <v>31</v>
      </c>
      <c r="F1379" s="33" t="s">
        <v>32</v>
      </c>
      <c r="G1379" s="33" t="s">
        <v>112</v>
      </c>
      <c r="H1379" s="35">
        <v>0</v>
      </c>
      <c r="I1379" s="33" t="s">
        <v>21</v>
      </c>
      <c r="J1379" s="42">
        <v>43922</v>
      </c>
      <c r="K1379" s="33" t="s">
        <v>22</v>
      </c>
    </row>
    <row r="1380" spans="1:11">
      <c r="A1380" s="30" t="s">
        <v>3543</v>
      </c>
      <c r="B1380" s="30" t="s">
        <v>3544</v>
      </c>
      <c r="C1380" s="30" t="s">
        <v>203</v>
      </c>
      <c r="D1380" s="30" t="s">
        <v>17</v>
      </c>
      <c r="E1380" s="30" t="s">
        <v>18</v>
      </c>
      <c r="F1380" s="30" t="s">
        <v>19</v>
      </c>
      <c r="G1380" s="30" t="s">
        <v>20</v>
      </c>
      <c r="H1380" s="32">
        <v>71</v>
      </c>
      <c r="I1380" s="30" t="s">
        <v>21</v>
      </c>
      <c r="J1380" s="41">
        <v>44167</v>
      </c>
      <c r="K1380" s="30" t="s">
        <v>22</v>
      </c>
    </row>
    <row r="1381" spans="1:11">
      <c r="A1381" s="33" t="s">
        <v>3545</v>
      </c>
      <c r="B1381" s="33" t="s">
        <v>3546</v>
      </c>
      <c r="C1381" s="33" t="s">
        <v>109</v>
      </c>
      <c r="D1381" s="33" t="s">
        <v>17</v>
      </c>
      <c r="E1381" s="33" t="s">
        <v>26</v>
      </c>
      <c r="F1381" s="33" t="s">
        <v>27</v>
      </c>
      <c r="G1381" s="33" t="s">
        <v>20</v>
      </c>
      <c r="H1381" s="35">
        <v>28</v>
      </c>
      <c r="I1381" s="33" t="s">
        <v>21</v>
      </c>
      <c r="J1381" s="42">
        <v>43888</v>
      </c>
      <c r="K1381" s="33" t="s">
        <v>22</v>
      </c>
    </row>
    <row r="1382" spans="1:11">
      <c r="A1382" s="30" t="s">
        <v>3547</v>
      </c>
      <c r="B1382" s="30" t="s">
        <v>3548</v>
      </c>
      <c r="C1382" s="30" t="s">
        <v>3549</v>
      </c>
      <c r="D1382" s="30" t="s">
        <v>17</v>
      </c>
      <c r="E1382" s="30" t="s">
        <v>18</v>
      </c>
      <c r="F1382" s="30" t="s">
        <v>19</v>
      </c>
      <c r="G1382" s="30" t="s">
        <v>106</v>
      </c>
      <c r="H1382" s="32">
        <v>191</v>
      </c>
      <c r="I1382" s="30" t="s">
        <v>21</v>
      </c>
      <c r="J1382" s="41">
        <v>44024</v>
      </c>
      <c r="K1382" s="30" t="s">
        <v>22</v>
      </c>
    </row>
    <row r="1383" spans="1:11">
      <c r="A1383" s="33" t="s">
        <v>3550</v>
      </c>
      <c r="B1383" s="33" t="s">
        <v>3551</v>
      </c>
      <c r="C1383" s="33" t="s">
        <v>3552</v>
      </c>
      <c r="D1383" s="33" t="s">
        <v>17</v>
      </c>
      <c r="E1383" s="33" t="s">
        <v>31</v>
      </c>
      <c r="F1383" s="33" t="s">
        <v>32</v>
      </c>
      <c r="G1383" s="33" t="s">
        <v>50</v>
      </c>
      <c r="H1383" s="35">
        <v>60</v>
      </c>
      <c r="I1383" s="33" t="s">
        <v>51</v>
      </c>
      <c r="J1383" s="42">
        <v>43860</v>
      </c>
      <c r="K1383" s="33" t="s">
        <v>22</v>
      </c>
    </row>
    <row r="1384" spans="1:11">
      <c r="A1384" s="30" t="s">
        <v>3553</v>
      </c>
      <c r="B1384" s="30" t="s">
        <v>3554</v>
      </c>
      <c r="C1384" s="30" t="s">
        <v>3555</v>
      </c>
      <c r="D1384" s="30" t="s">
        <v>17</v>
      </c>
      <c r="E1384" s="30" t="s">
        <v>31</v>
      </c>
      <c r="F1384" s="30" t="s">
        <v>32</v>
      </c>
      <c r="G1384" s="30" t="s">
        <v>20</v>
      </c>
      <c r="H1384" s="32">
        <v>217</v>
      </c>
      <c r="I1384" s="30" t="s">
        <v>21</v>
      </c>
      <c r="J1384" s="41">
        <v>43991</v>
      </c>
      <c r="K1384" s="30" t="s">
        <v>22</v>
      </c>
    </row>
    <row r="1385" spans="1:11">
      <c r="A1385" s="33" t="s">
        <v>3556</v>
      </c>
      <c r="B1385" s="33" t="s">
        <v>3557</v>
      </c>
      <c r="C1385" s="33" t="s">
        <v>3558</v>
      </c>
      <c r="D1385" s="33" t="s">
        <v>17</v>
      </c>
      <c r="E1385" s="33" t="s">
        <v>31</v>
      </c>
      <c r="F1385" s="33" t="s">
        <v>32</v>
      </c>
      <c r="G1385" s="33" t="s">
        <v>112</v>
      </c>
      <c r="H1385" s="35">
        <v>0</v>
      </c>
      <c r="I1385" s="33" t="s">
        <v>21</v>
      </c>
      <c r="J1385" s="42">
        <v>43941</v>
      </c>
      <c r="K1385" s="33" t="s">
        <v>22</v>
      </c>
    </row>
    <row r="1386" spans="1:11">
      <c r="A1386" s="30" t="s">
        <v>3559</v>
      </c>
      <c r="B1386" s="30" t="s">
        <v>3560</v>
      </c>
      <c r="C1386" s="30" t="s">
        <v>715</v>
      </c>
      <c r="D1386" s="30" t="s">
        <v>17</v>
      </c>
      <c r="E1386" s="30" t="s">
        <v>26</v>
      </c>
      <c r="F1386" s="30" t="s">
        <v>27</v>
      </c>
      <c r="G1386" s="30" t="s">
        <v>20</v>
      </c>
      <c r="H1386" s="32">
        <v>16</v>
      </c>
      <c r="I1386" s="30" t="s">
        <v>21</v>
      </c>
      <c r="J1386" s="41">
        <v>44155</v>
      </c>
      <c r="K1386" s="30" t="s">
        <v>22</v>
      </c>
    </row>
    <row r="1387" spans="1:11">
      <c r="A1387" s="33" t="s">
        <v>3561</v>
      </c>
      <c r="B1387" s="33" t="s">
        <v>3562</v>
      </c>
      <c r="C1387" s="33" t="s">
        <v>1318</v>
      </c>
      <c r="D1387" s="33" t="s">
        <v>17</v>
      </c>
      <c r="E1387" s="33" t="s">
        <v>45</v>
      </c>
      <c r="F1387" s="33" t="s">
        <v>46</v>
      </c>
      <c r="G1387" s="33" t="s">
        <v>20</v>
      </c>
      <c r="H1387" s="35">
        <v>500</v>
      </c>
      <c r="I1387" s="33" t="s">
        <v>21</v>
      </c>
      <c r="J1387" s="42">
        <v>44158</v>
      </c>
      <c r="K1387" s="33" t="s">
        <v>22</v>
      </c>
    </row>
    <row r="1388" spans="1:11">
      <c r="A1388" s="30" t="s">
        <v>3563</v>
      </c>
      <c r="B1388" s="30" t="s">
        <v>3564</v>
      </c>
      <c r="C1388" s="30" t="s">
        <v>41</v>
      </c>
      <c r="D1388" s="30" t="s">
        <v>17</v>
      </c>
      <c r="E1388" s="30" t="s">
        <v>18</v>
      </c>
      <c r="F1388" s="30" t="s">
        <v>19</v>
      </c>
      <c r="G1388" s="30" t="s">
        <v>50</v>
      </c>
      <c r="H1388" s="32">
        <v>256</v>
      </c>
      <c r="I1388" s="30" t="s">
        <v>51</v>
      </c>
      <c r="J1388" s="41">
        <v>43983</v>
      </c>
      <c r="K1388" s="30" t="s">
        <v>22</v>
      </c>
    </row>
    <row r="1389" spans="1:11">
      <c r="A1389" s="33" t="s">
        <v>3565</v>
      </c>
      <c r="B1389" s="33" t="s">
        <v>3566</v>
      </c>
      <c r="C1389" s="33" t="s">
        <v>957</v>
      </c>
      <c r="D1389" s="33" t="s">
        <v>17</v>
      </c>
      <c r="E1389" s="33" t="s">
        <v>26</v>
      </c>
      <c r="F1389" s="33" t="s">
        <v>27</v>
      </c>
      <c r="G1389" s="33" t="s">
        <v>20</v>
      </c>
      <c r="H1389" s="35">
        <v>110</v>
      </c>
      <c r="I1389" s="33" t="s">
        <v>21</v>
      </c>
      <c r="J1389" s="42">
        <v>43857</v>
      </c>
      <c r="K1389" s="33" t="s">
        <v>22</v>
      </c>
    </row>
    <row r="1390" spans="1:11">
      <c r="A1390" s="30" t="s">
        <v>3567</v>
      </c>
      <c r="B1390" s="30" t="s">
        <v>3568</v>
      </c>
      <c r="C1390" s="30" t="s">
        <v>1090</v>
      </c>
      <c r="D1390" s="30" t="s">
        <v>17</v>
      </c>
      <c r="E1390" s="30" t="s">
        <v>26</v>
      </c>
      <c r="F1390" s="30" t="s">
        <v>27</v>
      </c>
      <c r="G1390" s="30" t="s">
        <v>50</v>
      </c>
      <c r="H1390" s="32">
        <v>71</v>
      </c>
      <c r="I1390" s="30" t="s">
        <v>51</v>
      </c>
      <c r="J1390" s="41">
        <v>43983</v>
      </c>
      <c r="K1390" s="30" t="s">
        <v>22</v>
      </c>
    </row>
    <row r="1391" spans="1:11">
      <c r="A1391" s="33" t="s">
        <v>3569</v>
      </c>
      <c r="B1391" s="33" t="s">
        <v>3570</v>
      </c>
      <c r="C1391" s="33" t="s">
        <v>3571</v>
      </c>
      <c r="D1391" s="33" t="s">
        <v>17</v>
      </c>
      <c r="E1391" s="33" t="s">
        <v>26</v>
      </c>
      <c r="F1391" s="33" t="s">
        <v>27</v>
      </c>
      <c r="G1391" s="33" t="s">
        <v>20</v>
      </c>
      <c r="H1391" s="35">
        <v>41</v>
      </c>
      <c r="I1391" s="33" t="s">
        <v>21</v>
      </c>
      <c r="J1391" s="42">
        <v>44104</v>
      </c>
      <c r="K1391" s="33" t="s">
        <v>22</v>
      </c>
    </row>
    <row r="1392" spans="1:11">
      <c r="A1392" s="30" t="s">
        <v>3572</v>
      </c>
      <c r="B1392" s="30" t="s">
        <v>3573</v>
      </c>
      <c r="C1392" s="30" t="s">
        <v>1261</v>
      </c>
      <c r="D1392" s="30" t="s">
        <v>17</v>
      </c>
      <c r="E1392" s="30" t="s">
        <v>18</v>
      </c>
      <c r="F1392" s="30" t="s">
        <v>19</v>
      </c>
      <c r="G1392" s="30" t="s">
        <v>106</v>
      </c>
      <c r="H1392" s="32">
        <v>54</v>
      </c>
      <c r="I1392" s="30" t="s">
        <v>21</v>
      </c>
      <c r="J1392" s="41">
        <v>44186</v>
      </c>
      <c r="K1392" s="30" t="s">
        <v>22</v>
      </c>
    </row>
    <row r="1393" spans="1:11">
      <c r="A1393" s="33" t="s">
        <v>3574</v>
      </c>
      <c r="B1393" s="33" t="s">
        <v>3575</v>
      </c>
      <c r="C1393" s="33" t="s">
        <v>2927</v>
      </c>
      <c r="D1393" s="33" t="s">
        <v>17</v>
      </c>
      <c r="E1393" s="33" t="s">
        <v>31</v>
      </c>
      <c r="F1393" s="33" t="s">
        <v>32</v>
      </c>
      <c r="G1393" s="33" t="s">
        <v>106</v>
      </c>
      <c r="H1393" s="35">
        <v>19</v>
      </c>
      <c r="I1393" s="33" t="s">
        <v>21</v>
      </c>
      <c r="J1393" s="42">
        <v>44183</v>
      </c>
      <c r="K1393" s="33" t="s">
        <v>22</v>
      </c>
    </row>
    <row r="1394" spans="1:11">
      <c r="A1394" s="30" t="s">
        <v>3576</v>
      </c>
      <c r="B1394" s="30" t="s">
        <v>3577</v>
      </c>
      <c r="C1394" s="30" t="s">
        <v>3578</v>
      </c>
      <c r="D1394" s="30" t="s">
        <v>17</v>
      </c>
      <c r="E1394" s="30" t="s">
        <v>31</v>
      </c>
      <c r="F1394" s="30" t="s">
        <v>32</v>
      </c>
      <c r="G1394" s="30" t="s">
        <v>20</v>
      </c>
      <c r="H1394" s="32">
        <v>143</v>
      </c>
      <c r="I1394" s="30" t="s">
        <v>21</v>
      </c>
      <c r="J1394" s="41">
        <v>43959</v>
      </c>
      <c r="K1394" s="30" t="s">
        <v>22</v>
      </c>
    </row>
    <row r="1395" spans="1:11">
      <c r="A1395" s="33" t="s">
        <v>3579</v>
      </c>
      <c r="B1395" s="33" t="s">
        <v>3580</v>
      </c>
      <c r="C1395" s="33" t="s">
        <v>3407</v>
      </c>
      <c r="D1395" s="33" t="s">
        <v>17</v>
      </c>
      <c r="E1395" s="33" t="s">
        <v>31</v>
      </c>
      <c r="F1395" s="33" t="s">
        <v>32</v>
      </c>
      <c r="G1395" s="33" t="s">
        <v>20</v>
      </c>
      <c r="H1395" s="35">
        <v>30</v>
      </c>
      <c r="I1395" s="33" t="s">
        <v>21</v>
      </c>
      <c r="J1395" s="42">
        <v>43864</v>
      </c>
      <c r="K1395" s="33" t="s">
        <v>22</v>
      </c>
    </row>
    <row r="1396" spans="1:11">
      <c r="A1396" s="30" t="s">
        <v>3581</v>
      </c>
      <c r="B1396" s="30" t="s">
        <v>3582</v>
      </c>
      <c r="C1396" s="30" t="s">
        <v>3583</v>
      </c>
      <c r="D1396" s="30" t="s">
        <v>17</v>
      </c>
      <c r="E1396" s="30" t="s">
        <v>26</v>
      </c>
      <c r="F1396" s="30" t="s">
        <v>27</v>
      </c>
      <c r="G1396" s="30" t="s">
        <v>20</v>
      </c>
      <c r="H1396" s="32">
        <v>108</v>
      </c>
      <c r="I1396" s="30" t="s">
        <v>21</v>
      </c>
      <c r="J1396" s="41">
        <v>43935</v>
      </c>
      <c r="K1396" s="30" t="s">
        <v>22</v>
      </c>
    </row>
    <row r="1397" spans="1:11">
      <c r="A1397" s="33" t="s">
        <v>3584</v>
      </c>
      <c r="B1397" s="33" t="s">
        <v>3585</v>
      </c>
      <c r="C1397" s="33" t="s">
        <v>3586</v>
      </c>
      <c r="D1397" s="33" t="s">
        <v>17</v>
      </c>
      <c r="E1397" s="33" t="s">
        <v>31</v>
      </c>
      <c r="F1397" s="33" t="s">
        <v>32</v>
      </c>
      <c r="G1397" s="33" t="s">
        <v>20</v>
      </c>
      <c r="H1397" s="35">
        <v>315</v>
      </c>
      <c r="I1397" s="33" t="s">
        <v>21</v>
      </c>
      <c r="J1397" s="42">
        <v>44179</v>
      </c>
      <c r="K1397" s="33" t="s">
        <v>22</v>
      </c>
    </row>
    <row r="1398" spans="1:11">
      <c r="A1398" s="30" t="s">
        <v>3587</v>
      </c>
      <c r="B1398" s="30" t="s">
        <v>3588</v>
      </c>
      <c r="C1398" s="30" t="s">
        <v>3589</v>
      </c>
      <c r="D1398" s="30" t="s">
        <v>17</v>
      </c>
      <c r="E1398" s="30" t="s">
        <v>26</v>
      </c>
      <c r="F1398" s="30" t="s">
        <v>27</v>
      </c>
      <c r="G1398" s="30" t="s">
        <v>106</v>
      </c>
      <c r="H1398" s="32">
        <v>40</v>
      </c>
      <c r="I1398" s="30" t="s">
        <v>21</v>
      </c>
      <c r="J1398" s="41">
        <v>43889</v>
      </c>
      <c r="K1398" s="30" t="s">
        <v>22</v>
      </c>
    </row>
    <row r="1399" spans="1:11">
      <c r="A1399" s="33" t="s">
        <v>3590</v>
      </c>
      <c r="B1399" s="33" t="s">
        <v>3591</v>
      </c>
      <c r="C1399" s="33" t="s">
        <v>318</v>
      </c>
      <c r="D1399" s="33" t="s">
        <v>17</v>
      </c>
      <c r="E1399" s="33" t="s">
        <v>212</v>
      </c>
      <c r="F1399" s="33" t="s">
        <v>213</v>
      </c>
      <c r="G1399" s="33" t="s">
        <v>20</v>
      </c>
      <c r="H1399" s="35">
        <v>1406</v>
      </c>
      <c r="I1399" s="33" t="s">
        <v>21</v>
      </c>
      <c r="J1399" s="42">
        <v>44130</v>
      </c>
      <c r="K1399" s="33" t="s">
        <v>22</v>
      </c>
    </row>
    <row r="1400" spans="1:11">
      <c r="A1400" s="30" t="s">
        <v>3592</v>
      </c>
      <c r="B1400" s="30" t="s">
        <v>3593</v>
      </c>
      <c r="C1400" s="30" t="s">
        <v>3594</v>
      </c>
      <c r="D1400" s="30" t="s">
        <v>17</v>
      </c>
      <c r="E1400" s="30" t="s">
        <v>26</v>
      </c>
      <c r="F1400" s="30" t="s">
        <v>27</v>
      </c>
      <c r="G1400" s="30" t="s">
        <v>20</v>
      </c>
      <c r="H1400" s="32">
        <v>32</v>
      </c>
      <c r="I1400" s="30" t="s">
        <v>21</v>
      </c>
      <c r="J1400" s="41">
        <v>44095</v>
      </c>
      <c r="K1400" s="30" t="s">
        <v>22</v>
      </c>
    </row>
    <row r="1401" spans="1:11">
      <c r="A1401" s="33" t="s">
        <v>3595</v>
      </c>
      <c r="B1401" s="33" t="s">
        <v>3596</v>
      </c>
      <c r="C1401" s="33" t="s">
        <v>3597</v>
      </c>
      <c r="D1401" s="33" t="s">
        <v>17</v>
      </c>
      <c r="E1401" s="33" t="s">
        <v>31</v>
      </c>
      <c r="F1401" s="33" t="s">
        <v>32</v>
      </c>
      <c r="G1401" s="33" t="s">
        <v>20</v>
      </c>
      <c r="H1401" s="35">
        <v>60</v>
      </c>
      <c r="I1401" s="33" t="s">
        <v>21</v>
      </c>
      <c r="J1401" s="42">
        <v>44088</v>
      </c>
      <c r="K1401" s="33" t="s">
        <v>22</v>
      </c>
    </row>
    <row r="1402" spans="1:11">
      <c r="A1402" s="30" t="s">
        <v>3598</v>
      </c>
      <c r="B1402" s="30" t="s">
        <v>3599</v>
      </c>
      <c r="C1402" s="30" t="s">
        <v>2387</v>
      </c>
      <c r="D1402" s="30" t="s">
        <v>17</v>
      </c>
      <c r="E1402" s="30" t="s">
        <v>26</v>
      </c>
      <c r="F1402" s="30" t="s">
        <v>27</v>
      </c>
      <c r="G1402" s="30" t="s">
        <v>20</v>
      </c>
      <c r="H1402" s="32">
        <v>21</v>
      </c>
      <c r="I1402" s="30" t="s">
        <v>21</v>
      </c>
      <c r="J1402" s="41">
        <v>44138</v>
      </c>
      <c r="K1402" s="30" t="s">
        <v>22</v>
      </c>
    </row>
    <row r="1403" spans="1:11">
      <c r="A1403" s="33" t="s">
        <v>3600</v>
      </c>
      <c r="B1403" s="33" t="s">
        <v>3601</v>
      </c>
      <c r="C1403" s="33" t="s">
        <v>3229</v>
      </c>
      <c r="D1403" s="33" t="s">
        <v>17</v>
      </c>
      <c r="E1403" s="33" t="s">
        <v>26</v>
      </c>
      <c r="F1403" s="33" t="s">
        <v>27</v>
      </c>
      <c r="G1403" s="33" t="s">
        <v>20</v>
      </c>
      <c r="H1403" s="35">
        <v>120</v>
      </c>
      <c r="I1403" s="33" t="s">
        <v>21</v>
      </c>
      <c r="J1403" s="42">
        <v>43924</v>
      </c>
      <c r="K1403" s="33" t="s">
        <v>22</v>
      </c>
    </row>
    <row r="1404" spans="1:11">
      <c r="A1404" s="30" t="s">
        <v>3602</v>
      </c>
      <c r="B1404" s="30" t="s">
        <v>3603</v>
      </c>
      <c r="C1404" s="30" t="s">
        <v>93</v>
      </c>
      <c r="D1404" s="30" t="s">
        <v>17</v>
      </c>
      <c r="E1404" s="30" t="s">
        <v>26</v>
      </c>
      <c r="F1404" s="30" t="s">
        <v>27</v>
      </c>
      <c r="G1404" s="30" t="s">
        <v>20</v>
      </c>
      <c r="H1404" s="32">
        <v>25</v>
      </c>
      <c r="I1404" s="30" t="s">
        <v>21</v>
      </c>
      <c r="J1404" s="41">
        <v>44175</v>
      </c>
      <c r="K1404" s="30" t="s">
        <v>22</v>
      </c>
    </row>
    <row r="1405" spans="1:11">
      <c r="A1405" s="33" t="s">
        <v>3604</v>
      </c>
      <c r="B1405" s="33" t="s">
        <v>3605</v>
      </c>
      <c r="C1405" s="33" t="s">
        <v>252</v>
      </c>
      <c r="D1405" s="33" t="s">
        <v>17</v>
      </c>
      <c r="E1405" s="33" t="s">
        <v>26</v>
      </c>
      <c r="F1405" s="33" t="s">
        <v>27</v>
      </c>
      <c r="G1405" s="33" t="s">
        <v>20</v>
      </c>
      <c r="H1405" s="35">
        <v>48</v>
      </c>
      <c r="I1405" s="33" t="s">
        <v>21</v>
      </c>
      <c r="J1405" s="42">
        <v>43979</v>
      </c>
      <c r="K1405" s="33" t="s">
        <v>22</v>
      </c>
    </row>
    <row r="1406" spans="1:11">
      <c r="A1406" s="30" t="s">
        <v>3606</v>
      </c>
      <c r="B1406" s="30" t="s">
        <v>3607</v>
      </c>
      <c r="C1406" s="30" t="s">
        <v>969</v>
      </c>
      <c r="D1406" s="30" t="s">
        <v>17</v>
      </c>
      <c r="E1406" s="30" t="s">
        <v>18</v>
      </c>
      <c r="F1406" s="30" t="s">
        <v>19</v>
      </c>
      <c r="G1406" s="30" t="s">
        <v>158</v>
      </c>
      <c r="H1406" s="32">
        <v>325</v>
      </c>
      <c r="I1406" s="30" t="s">
        <v>21</v>
      </c>
      <c r="J1406" s="41">
        <v>43923</v>
      </c>
      <c r="K1406" s="30" t="s">
        <v>22</v>
      </c>
    </row>
    <row r="1407" spans="1:11">
      <c r="A1407" s="33" t="s">
        <v>3608</v>
      </c>
      <c r="B1407" s="33" t="s">
        <v>3609</v>
      </c>
      <c r="C1407" s="33" t="s">
        <v>3610</v>
      </c>
      <c r="D1407" s="33" t="s">
        <v>17</v>
      </c>
      <c r="E1407" s="33" t="s">
        <v>67</v>
      </c>
      <c r="F1407" s="33" t="s">
        <v>68</v>
      </c>
      <c r="G1407" s="33" t="s">
        <v>50</v>
      </c>
      <c r="H1407" s="35">
        <v>115</v>
      </c>
      <c r="I1407" s="33" t="s">
        <v>51</v>
      </c>
      <c r="J1407" s="42">
        <v>44155</v>
      </c>
      <c r="K1407" s="33" t="s">
        <v>22</v>
      </c>
    </row>
    <row r="1408" spans="1:11">
      <c r="A1408" s="30" t="s">
        <v>3611</v>
      </c>
      <c r="B1408" s="30" t="s">
        <v>3612</v>
      </c>
      <c r="C1408" s="30" t="s">
        <v>1305</v>
      </c>
      <c r="D1408" s="30" t="s">
        <v>17</v>
      </c>
      <c r="E1408" s="30" t="s">
        <v>18</v>
      </c>
      <c r="F1408" s="30" t="s">
        <v>19</v>
      </c>
      <c r="G1408" s="30" t="s">
        <v>20</v>
      </c>
      <c r="H1408" s="32">
        <v>770</v>
      </c>
      <c r="I1408" s="30" t="s">
        <v>21</v>
      </c>
      <c r="J1408" s="41">
        <v>43872</v>
      </c>
      <c r="K1408" s="30" t="s">
        <v>22</v>
      </c>
    </row>
    <row r="1409" spans="1:11">
      <c r="A1409" s="33" t="s">
        <v>3613</v>
      </c>
      <c r="B1409" s="33" t="s">
        <v>3614</v>
      </c>
      <c r="C1409" s="33" t="s">
        <v>178</v>
      </c>
      <c r="D1409" s="33" t="s">
        <v>17</v>
      </c>
      <c r="E1409" s="33" t="s">
        <v>18</v>
      </c>
      <c r="F1409" s="33" t="s">
        <v>19</v>
      </c>
      <c r="G1409" s="33" t="s">
        <v>158</v>
      </c>
      <c r="H1409" s="35">
        <v>760</v>
      </c>
      <c r="I1409" s="33" t="s">
        <v>21</v>
      </c>
      <c r="J1409" s="42">
        <v>44102</v>
      </c>
      <c r="K1409" s="33" t="s">
        <v>22</v>
      </c>
    </row>
    <row r="1410" spans="1:11">
      <c r="A1410" s="30" t="s">
        <v>3615</v>
      </c>
      <c r="B1410" s="30" t="s">
        <v>3616</v>
      </c>
      <c r="C1410" s="30" t="s">
        <v>3617</v>
      </c>
      <c r="D1410" s="30" t="s">
        <v>17</v>
      </c>
      <c r="E1410" s="30" t="s">
        <v>31</v>
      </c>
      <c r="F1410" s="30" t="s">
        <v>32</v>
      </c>
      <c r="G1410" s="30" t="s">
        <v>106</v>
      </c>
      <c r="H1410" s="32">
        <v>18</v>
      </c>
      <c r="I1410" s="30" t="s">
        <v>21</v>
      </c>
      <c r="J1410" s="41">
        <v>43999</v>
      </c>
      <c r="K1410" s="30" t="s">
        <v>22</v>
      </c>
    </row>
    <row r="1411" spans="1:11">
      <c r="A1411" s="33" t="s">
        <v>3618</v>
      </c>
      <c r="B1411" s="33" t="s">
        <v>3619</v>
      </c>
      <c r="C1411" s="33" t="s">
        <v>109</v>
      </c>
      <c r="D1411" s="33" t="s">
        <v>17</v>
      </c>
      <c r="E1411" s="33" t="s">
        <v>31</v>
      </c>
      <c r="F1411" s="33" t="s">
        <v>32</v>
      </c>
      <c r="G1411" s="33" t="s">
        <v>106</v>
      </c>
      <c r="H1411" s="35">
        <v>335</v>
      </c>
      <c r="I1411" s="33" t="s">
        <v>21</v>
      </c>
      <c r="J1411" s="42">
        <v>44083</v>
      </c>
      <c r="K1411" s="33" t="s">
        <v>22</v>
      </c>
    </row>
    <row r="1412" spans="1:11">
      <c r="A1412" s="30" t="s">
        <v>3620</v>
      </c>
      <c r="B1412" s="30" t="s">
        <v>3621</v>
      </c>
      <c r="C1412" s="30" t="s">
        <v>3622</v>
      </c>
      <c r="D1412" s="30" t="s">
        <v>17</v>
      </c>
      <c r="E1412" s="30" t="s">
        <v>26</v>
      </c>
      <c r="F1412" s="30" t="s">
        <v>27</v>
      </c>
      <c r="G1412" s="30" t="s">
        <v>20</v>
      </c>
      <c r="H1412" s="32">
        <v>43</v>
      </c>
      <c r="I1412" s="30" t="s">
        <v>21</v>
      </c>
      <c r="J1412" s="41">
        <v>44099</v>
      </c>
      <c r="K1412" s="30" t="s">
        <v>22</v>
      </c>
    </row>
    <row r="1413" spans="1:11">
      <c r="A1413" s="33" t="s">
        <v>3623</v>
      </c>
      <c r="B1413" s="33" t="s">
        <v>3624</v>
      </c>
      <c r="C1413" s="33" t="s">
        <v>3625</v>
      </c>
      <c r="D1413" s="33" t="s">
        <v>17</v>
      </c>
      <c r="E1413" s="33" t="s">
        <v>31</v>
      </c>
      <c r="F1413" s="33" t="s">
        <v>32</v>
      </c>
      <c r="G1413" s="33" t="s">
        <v>20</v>
      </c>
      <c r="H1413" s="35">
        <v>164</v>
      </c>
      <c r="I1413" s="33" t="s">
        <v>21</v>
      </c>
      <c r="J1413" s="42">
        <v>44182</v>
      </c>
      <c r="K1413" s="33" t="s">
        <v>22</v>
      </c>
    </row>
    <row r="1414" spans="1:11">
      <c r="A1414" s="30" t="s">
        <v>3626</v>
      </c>
      <c r="B1414" s="30" t="s">
        <v>3627</v>
      </c>
      <c r="C1414" s="30" t="s">
        <v>130</v>
      </c>
      <c r="D1414" s="30" t="s">
        <v>17</v>
      </c>
      <c r="E1414" s="30" t="s">
        <v>18</v>
      </c>
      <c r="F1414" s="30" t="s">
        <v>19</v>
      </c>
      <c r="G1414" s="30" t="s">
        <v>112</v>
      </c>
      <c r="H1414" s="32">
        <v>0</v>
      </c>
      <c r="I1414" s="30" t="s">
        <v>21</v>
      </c>
      <c r="J1414" s="41">
        <v>44043</v>
      </c>
      <c r="K1414" s="30" t="s">
        <v>22</v>
      </c>
    </row>
    <row r="1415" spans="1:11">
      <c r="A1415" s="33" t="s">
        <v>3628</v>
      </c>
      <c r="B1415" s="33" t="s">
        <v>3629</v>
      </c>
      <c r="C1415" s="33" t="s">
        <v>3630</v>
      </c>
      <c r="D1415" s="33" t="s">
        <v>17</v>
      </c>
      <c r="E1415" s="33" t="s">
        <v>45</v>
      </c>
      <c r="F1415" s="33" t="s">
        <v>46</v>
      </c>
      <c r="G1415" s="33" t="s">
        <v>106</v>
      </c>
      <c r="H1415" s="35">
        <v>351</v>
      </c>
      <c r="I1415" s="33" t="s">
        <v>21</v>
      </c>
      <c r="J1415" s="42">
        <v>44061</v>
      </c>
      <c r="K1415" s="33" t="s">
        <v>22</v>
      </c>
    </row>
    <row r="1416" spans="1:11">
      <c r="A1416" s="30" t="s">
        <v>3631</v>
      </c>
      <c r="B1416" s="30" t="s">
        <v>3632</v>
      </c>
      <c r="C1416" s="30" t="s">
        <v>2719</v>
      </c>
      <c r="D1416" s="30" t="s">
        <v>17</v>
      </c>
      <c r="E1416" s="30" t="s">
        <v>18</v>
      </c>
      <c r="F1416" s="30" t="s">
        <v>19</v>
      </c>
      <c r="G1416" s="30" t="s">
        <v>20</v>
      </c>
      <c r="H1416" s="32">
        <v>568</v>
      </c>
      <c r="I1416" s="30" t="s">
        <v>21</v>
      </c>
      <c r="J1416" s="41">
        <v>44099</v>
      </c>
      <c r="K1416" s="30" t="s">
        <v>22</v>
      </c>
    </row>
    <row r="1417" spans="1:11">
      <c r="A1417" s="33" t="s">
        <v>3633</v>
      </c>
      <c r="B1417" s="33" t="s">
        <v>3634</v>
      </c>
      <c r="C1417" s="33" t="s">
        <v>3635</v>
      </c>
      <c r="D1417" s="33" t="s">
        <v>17</v>
      </c>
      <c r="E1417" s="33" t="s">
        <v>26</v>
      </c>
      <c r="F1417" s="33" t="s">
        <v>27</v>
      </c>
      <c r="G1417" s="33" t="s">
        <v>50</v>
      </c>
      <c r="H1417" s="35">
        <v>75</v>
      </c>
      <c r="I1417" s="33" t="s">
        <v>51</v>
      </c>
      <c r="J1417" s="42">
        <v>44159</v>
      </c>
      <c r="K1417" s="33" t="s">
        <v>22</v>
      </c>
    </row>
    <row r="1418" spans="1:11">
      <c r="A1418" s="30" t="s">
        <v>3636</v>
      </c>
      <c r="B1418" s="30" t="s">
        <v>3637</v>
      </c>
      <c r="C1418" s="30" t="s">
        <v>3638</v>
      </c>
      <c r="D1418" s="30" t="s">
        <v>17</v>
      </c>
      <c r="E1418" s="30" t="s">
        <v>31</v>
      </c>
      <c r="F1418" s="30" t="s">
        <v>32</v>
      </c>
      <c r="G1418" s="30" t="s">
        <v>20</v>
      </c>
      <c r="H1418" s="32">
        <v>142</v>
      </c>
      <c r="I1418" s="30" t="s">
        <v>21</v>
      </c>
      <c r="J1418" s="41">
        <v>44116</v>
      </c>
      <c r="K1418" s="30" t="s">
        <v>22</v>
      </c>
    </row>
    <row r="1419" spans="1:11">
      <c r="A1419" s="33" t="s">
        <v>3639</v>
      </c>
      <c r="B1419" s="33" t="s">
        <v>3640</v>
      </c>
      <c r="C1419" s="33" t="s">
        <v>3641</v>
      </c>
      <c r="D1419" s="33" t="s">
        <v>17</v>
      </c>
      <c r="E1419" s="33" t="s">
        <v>67</v>
      </c>
      <c r="F1419" s="33" t="s">
        <v>68</v>
      </c>
      <c r="G1419" s="33" t="s">
        <v>50</v>
      </c>
      <c r="H1419" s="35">
        <v>116</v>
      </c>
      <c r="I1419" s="33" t="s">
        <v>51</v>
      </c>
      <c r="J1419" s="42">
        <v>44152</v>
      </c>
      <c r="K1419" s="33" t="s">
        <v>22</v>
      </c>
    </row>
    <row r="1420" spans="1:11">
      <c r="A1420" s="30" t="s">
        <v>3642</v>
      </c>
      <c r="B1420" s="30" t="s">
        <v>3643</v>
      </c>
      <c r="C1420" s="30" t="s">
        <v>3644</v>
      </c>
      <c r="D1420" s="30" t="s">
        <v>17</v>
      </c>
      <c r="E1420" s="30" t="s">
        <v>31</v>
      </c>
      <c r="F1420" s="30" t="s">
        <v>32</v>
      </c>
      <c r="G1420" s="30" t="s">
        <v>20</v>
      </c>
      <c r="H1420" s="32">
        <v>161</v>
      </c>
      <c r="I1420" s="30" t="s">
        <v>21</v>
      </c>
      <c r="J1420" s="41">
        <v>44044</v>
      </c>
      <c r="K1420" s="30" t="s">
        <v>22</v>
      </c>
    </row>
    <row r="1421" spans="1:11">
      <c r="A1421" s="33" t="s">
        <v>3645</v>
      </c>
      <c r="B1421" s="33" t="s">
        <v>3646</v>
      </c>
      <c r="C1421" s="33" t="s">
        <v>3647</v>
      </c>
      <c r="D1421" s="33" t="s">
        <v>17</v>
      </c>
      <c r="E1421" s="33" t="s">
        <v>18</v>
      </c>
      <c r="F1421" s="33" t="s">
        <v>19</v>
      </c>
      <c r="G1421" s="33" t="s">
        <v>106</v>
      </c>
      <c r="H1421" s="35">
        <v>462</v>
      </c>
      <c r="I1421" s="33" t="s">
        <v>21</v>
      </c>
      <c r="J1421" s="42">
        <v>43873</v>
      </c>
      <c r="K1421" s="33" t="s">
        <v>22</v>
      </c>
    </row>
    <row r="1422" spans="1:11">
      <c r="A1422" s="30" t="s">
        <v>3648</v>
      </c>
      <c r="B1422" s="30" t="s">
        <v>3649</v>
      </c>
      <c r="C1422" s="30" t="s">
        <v>3650</v>
      </c>
      <c r="D1422" s="30" t="s">
        <v>17</v>
      </c>
      <c r="E1422" s="30" t="s">
        <v>31</v>
      </c>
      <c r="F1422" s="30" t="s">
        <v>32</v>
      </c>
      <c r="G1422" s="30" t="s">
        <v>140</v>
      </c>
      <c r="H1422" s="32">
        <v>78</v>
      </c>
      <c r="I1422" s="30" t="s">
        <v>51</v>
      </c>
      <c r="J1422" s="41">
        <v>44083</v>
      </c>
      <c r="K1422" s="30" t="s">
        <v>22</v>
      </c>
    </row>
    <row r="1423" spans="1:11">
      <c r="A1423" s="33" t="s">
        <v>3651</v>
      </c>
      <c r="B1423" s="33" t="s">
        <v>3652</v>
      </c>
      <c r="C1423" s="33" t="s">
        <v>2663</v>
      </c>
      <c r="D1423" s="33" t="s">
        <v>17</v>
      </c>
      <c r="E1423" s="33" t="s">
        <v>26</v>
      </c>
      <c r="F1423" s="33" t="s">
        <v>27</v>
      </c>
      <c r="G1423" s="33" t="s">
        <v>20</v>
      </c>
      <c r="H1423" s="35">
        <v>24</v>
      </c>
      <c r="I1423" s="33" t="s">
        <v>21</v>
      </c>
      <c r="J1423" s="42">
        <v>43964</v>
      </c>
      <c r="K1423" s="33" t="s">
        <v>22</v>
      </c>
    </row>
    <row r="1424" spans="1:11">
      <c r="A1424" s="30" t="s">
        <v>3653</v>
      </c>
      <c r="B1424" s="30" t="s">
        <v>3654</v>
      </c>
      <c r="C1424" s="30" t="s">
        <v>3655</v>
      </c>
      <c r="D1424" s="30" t="s">
        <v>17</v>
      </c>
      <c r="E1424" s="30" t="s">
        <v>26</v>
      </c>
      <c r="F1424" s="30" t="s">
        <v>27</v>
      </c>
      <c r="G1424" s="30" t="s">
        <v>20</v>
      </c>
      <c r="H1424" s="32">
        <v>144</v>
      </c>
      <c r="I1424" s="30" t="s">
        <v>21</v>
      </c>
      <c r="J1424" s="41">
        <v>44040</v>
      </c>
      <c r="K1424" s="30" t="s">
        <v>22</v>
      </c>
    </row>
    <row r="1425" spans="1:11">
      <c r="A1425" s="33" t="s">
        <v>3656</v>
      </c>
      <c r="B1425" s="33" t="s">
        <v>3657</v>
      </c>
      <c r="C1425" s="33" t="s">
        <v>44</v>
      </c>
      <c r="D1425" s="33" t="s">
        <v>17</v>
      </c>
      <c r="E1425" s="33" t="s">
        <v>26</v>
      </c>
      <c r="F1425" s="33" t="s">
        <v>27</v>
      </c>
      <c r="G1425" s="33" t="s">
        <v>20</v>
      </c>
      <c r="H1425" s="35">
        <v>974</v>
      </c>
      <c r="I1425" s="33" t="s">
        <v>21</v>
      </c>
      <c r="J1425" s="42">
        <v>44038</v>
      </c>
      <c r="K1425" s="33" t="s">
        <v>22</v>
      </c>
    </row>
    <row r="1426" spans="1:11">
      <c r="A1426" s="30" t="s">
        <v>3658</v>
      </c>
      <c r="B1426" s="30" t="s">
        <v>3659</v>
      </c>
      <c r="C1426" s="30" t="s">
        <v>3660</v>
      </c>
      <c r="D1426" s="30" t="s">
        <v>17</v>
      </c>
      <c r="E1426" s="30" t="s">
        <v>31</v>
      </c>
      <c r="F1426" s="30" t="s">
        <v>32</v>
      </c>
      <c r="G1426" s="30" t="s">
        <v>20</v>
      </c>
      <c r="H1426" s="32">
        <v>194</v>
      </c>
      <c r="I1426" s="30" t="s">
        <v>21</v>
      </c>
      <c r="J1426" s="41">
        <v>43988</v>
      </c>
      <c r="K1426" s="30" t="s">
        <v>22</v>
      </c>
    </row>
    <row r="1427" spans="1:11">
      <c r="A1427" s="33" t="s">
        <v>3661</v>
      </c>
      <c r="B1427" s="33" t="s">
        <v>3662</v>
      </c>
      <c r="C1427" s="33" t="s">
        <v>49</v>
      </c>
      <c r="D1427" s="33" t="s">
        <v>17</v>
      </c>
      <c r="E1427" s="33" t="s">
        <v>18</v>
      </c>
      <c r="F1427" s="33" t="s">
        <v>19</v>
      </c>
      <c r="G1427" s="33" t="s">
        <v>50</v>
      </c>
      <c r="H1427" s="35">
        <v>600</v>
      </c>
      <c r="I1427" s="33" t="s">
        <v>51</v>
      </c>
      <c r="J1427" s="42">
        <v>44136</v>
      </c>
      <c r="K1427" s="33" t="s">
        <v>22</v>
      </c>
    </row>
    <row r="1428" spans="1:11">
      <c r="A1428" s="30" t="s">
        <v>3663</v>
      </c>
      <c r="B1428" s="30" t="s">
        <v>3664</v>
      </c>
      <c r="C1428" s="30" t="s">
        <v>3665</v>
      </c>
      <c r="D1428" s="30" t="s">
        <v>17</v>
      </c>
      <c r="E1428" s="30" t="s">
        <v>31</v>
      </c>
      <c r="F1428" s="30" t="s">
        <v>32</v>
      </c>
      <c r="G1428" s="30" t="s">
        <v>50</v>
      </c>
      <c r="H1428" s="32">
        <v>200</v>
      </c>
      <c r="I1428" s="30" t="s">
        <v>51</v>
      </c>
      <c r="J1428" s="41">
        <v>43983</v>
      </c>
      <c r="K1428" s="30" t="s">
        <v>22</v>
      </c>
    </row>
    <row r="1429" spans="1:11">
      <c r="A1429" s="33" t="s">
        <v>3666</v>
      </c>
      <c r="B1429" s="33" t="s">
        <v>3667</v>
      </c>
      <c r="C1429" s="33" t="s">
        <v>96</v>
      </c>
      <c r="D1429" s="33" t="s">
        <v>17</v>
      </c>
      <c r="E1429" s="33" t="s">
        <v>212</v>
      </c>
      <c r="F1429" s="33" t="s">
        <v>213</v>
      </c>
      <c r="G1429" s="33" t="s">
        <v>20</v>
      </c>
      <c r="H1429" s="35">
        <v>128</v>
      </c>
      <c r="I1429" s="33" t="s">
        <v>21</v>
      </c>
      <c r="J1429" s="42">
        <v>43879</v>
      </c>
      <c r="K1429" s="33" t="s">
        <v>22</v>
      </c>
    </row>
    <row r="1430" spans="1:11">
      <c r="A1430" s="30" t="s">
        <v>3668</v>
      </c>
      <c r="B1430" s="30" t="s">
        <v>3669</v>
      </c>
      <c r="C1430" s="30" t="s">
        <v>3670</v>
      </c>
      <c r="D1430" s="30" t="s">
        <v>17</v>
      </c>
      <c r="E1430" s="30" t="s">
        <v>67</v>
      </c>
      <c r="F1430" s="30" t="s">
        <v>68</v>
      </c>
      <c r="G1430" s="30" t="s">
        <v>106</v>
      </c>
      <c r="H1430" s="32">
        <v>73</v>
      </c>
      <c r="I1430" s="30" t="s">
        <v>21</v>
      </c>
      <c r="J1430" s="41">
        <v>44098</v>
      </c>
      <c r="K1430" s="30" t="s">
        <v>22</v>
      </c>
    </row>
    <row r="1431" spans="1:11">
      <c r="A1431" s="33" t="s">
        <v>3671</v>
      </c>
      <c r="B1431" s="33" t="s">
        <v>3672</v>
      </c>
      <c r="C1431" s="33" t="s">
        <v>3673</v>
      </c>
      <c r="D1431" s="33" t="s">
        <v>17</v>
      </c>
      <c r="E1431" s="33" t="s">
        <v>26</v>
      </c>
      <c r="F1431" s="33" t="s">
        <v>27</v>
      </c>
      <c r="G1431" s="33" t="s">
        <v>20</v>
      </c>
      <c r="H1431" s="35">
        <v>64</v>
      </c>
      <c r="I1431" s="33" t="s">
        <v>21</v>
      </c>
      <c r="J1431" s="42">
        <v>43878</v>
      </c>
      <c r="K1431" s="33" t="s">
        <v>22</v>
      </c>
    </row>
    <row r="1432" spans="1:11">
      <c r="A1432" s="30" t="s">
        <v>3674</v>
      </c>
      <c r="B1432" s="30" t="s">
        <v>3675</v>
      </c>
      <c r="C1432" s="30" t="s">
        <v>3676</v>
      </c>
      <c r="D1432" s="30" t="s">
        <v>17</v>
      </c>
      <c r="E1432" s="30" t="s">
        <v>31</v>
      </c>
      <c r="F1432" s="30" t="s">
        <v>32</v>
      </c>
      <c r="G1432" s="30" t="s">
        <v>20</v>
      </c>
      <c r="H1432" s="32">
        <v>30</v>
      </c>
      <c r="I1432" s="30" t="s">
        <v>21</v>
      </c>
      <c r="J1432" s="41">
        <v>44048</v>
      </c>
      <c r="K1432" s="30" t="s">
        <v>22</v>
      </c>
    </row>
    <row r="1433" spans="1:11">
      <c r="A1433" s="33" t="s">
        <v>3677</v>
      </c>
      <c r="B1433" s="33" t="s">
        <v>3678</v>
      </c>
      <c r="C1433" s="33" t="s">
        <v>3679</v>
      </c>
      <c r="D1433" s="33" t="s">
        <v>17</v>
      </c>
      <c r="E1433" s="33" t="s">
        <v>18</v>
      </c>
      <c r="F1433" s="33" t="s">
        <v>19</v>
      </c>
      <c r="G1433" s="33" t="s">
        <v>106</v>
      </c>
      <c r="H1433" s="35">
        <v>140</v>
      </c>
      <c r="I1433" s="33" t="s">
        <v>21</v>
      </c>
      <c r="J1433" s="42">
        <v>44109</v>
      </c>
      <c r="K1433" s="33" t="s">
        <v>22</v>
      </c>
    </row>
    <row r="1434" spans="1:11">
      <c r="A1434" s="30" t="s">
        <v>3680</v>
      </c>
      <c r="B1434" s="30" t="s">
        <v>3681</v>
      </c>
      <c r="C1434" s="30" t="s">
        <v>570</v>
      </c>
      <c r="D1434" s="30" t="s">
        <v>17</v>
      </c>
      <c r="E1434" s="30" t="s">
        <v>18</v>
      </c>
      <c r="F1434" s="30" t="s">
        <v>19</v>
      </c>
      <c r="G1434" s="30" t="s">
        <v>20</v>
      </c>
      <c r="H1434" s="32">
        <v>1232</v>
      </c>
      <c r="I1434" s="30" t="s">
        <v>21</v>
      </c>
      <c r="J1434" s="41">
        <v>44138</v>
      </c>
      <c r="K1434" s="30" t="s">
        <v>22</v>
      </c>
    </row>
    <row r="1435" spans="1:11">
      <c r="A1435" s="33" t="s">
        <v>3682</v>
      </c>
      <c r="B1435" s="33" t="s">
        <v>3683</v>
      </c>
      <c r="C1435" s="33" t="s">
        <v>3684</v>
      </c>
      <c r="D1435" s="33" t="s">
        <v>17</v>
      </c>
      <c r="E1435" s="33" t="s">
        <v>31</v>
      </c>
      <c r="F1435" s="33" t="s">
        <v>32</v>
      </c>
      <c r="G1435" s="33" t="s">
        <v>106</v>
      </c>
      <c r="H1435" s="35">
        <v>236</v>
      </c>
      <c r="I1435" s="33" t="s">
        <v>21</v>
      </c>
      <c r="J1435" s="42">
        <v>44123</v>
      </c>
      <c r="K1435" s="33" t="s">
        <v>22</v>
      </c>
    </row>
    <row r="1436" spans="1:11">
      <c r="A1436" s="30" t="s">
        <v>3685</v>
      </c>
      <c r="B1436" s="30" t="s">
        <v>3686</v>
      </c>
      <c r="C1436" s="30" t="s">
        <v>190</v>
      </c>
      <c r="D1436" s="30" t="s">
        <v>17</v>
      </c>
      <c r="E1436" s="30" t="s">
        <v>26</v>
      </c>
      <c r="F1436" s="30" t="s">
        <v>27</v>
      </c>
      <c r="G1436" s="30" t="s">
        <v>20</v>
      </c>
      <c r="H1436" s="32">
        <v>12</v>
      </c>
      <c r="I1436" s="30" t="s">
        <v>21</v>
      </c>
      <c r="J1436" s="41">
        <v>43844</v>
      </c>
      <c r="K1436" s="30" t="s">
        <v>22</v>
      </c>
    </row>
    <row r="1437" spans="1:11">
      <c r="A1437" s="33" t="s">
        <v>3687</v>
      </c>
      <c r="B1437" s="33" t="s">
        <v>3688</v>
      </c>
      <c r="C1437" s="33" t="s">
        <v>190</v>
      </c>
      <c r="D1437" s="33" t="s">
        <v>17</v>
      </c>
      <c r="E1437" s="33" t="s">
        <v>26</v>
      </c>
      <c r="F1437" s="33" t="s">
        <v>27</v>
      </c>
      <c r="G1437" s="33" t="s">
        <v>20</v>
      </c>
      <c r="H1437" s="35">
        <v>39</v>
      </c>
      <c r="I1437" s="33" t="s">
        <v>21</v>
      </c>
      <c r="J1437" s="42">
        <v>43973</v>
      </c>
      <c r="K1437" s="33" t="s">
        <v>22</v>
      </c>
    </row>
    <row r="1438" spans="1:11">
      <c r="A1438" s="30" t="s">
        <v>3689</v>
      </c>
      <c r="B1438" s="30" t="s">
        <v>3690</v>
      </c>
      <c r="C1438" s="30" t="s">
        <v>124</v>
      </c>
      <c r="D1438" s="30" t="s">
        <v>17</v>
      </c>
      <c r="E1438" s="30" t="s">
        <v>31</v>
      </c>
      <c r="F1438" s="30" t="s">
        <v>32</v>
      </c>
      <c r="G1438" s="30" t="s">
        <v>20</v>
      </c>
      <c r="H1438" s="32">
        <v>124</v>
      </c>
      <c r="I1438" s="30" t="s">
        <v>21</v>
      </c>
      <c r="J1438" s="41">
        <v>44014</v>
      </c>
      <c r="K1438" s="30" t="s">
        <v>22</v>
      </c>
    </row>
    <row r="1439" spans="1:11">
      <c r="A1439" s="33" t="s">
        <v>3691</v>
      </c>
      <c r="B1439" s="33" t="s">
        <v>3692</v>
      </c>
      <c r="C1439" s="33" t="s">
        <v>3693</v>
      </c>
      <c r="D1439" s="33" t="s">
        <v>17</v>
      </c>
      <c r="E1439" s="33" t="s">
        <v>45</v>
      </c>
      <c r="F1439" s="33" t="s">
        <v>46</v>
      </c>
      <c r="G1439" s="33" t="s">
        <v>50</v>
      </c>
      <c r="H1439" s="35">
        <v>75</v>
      </c>
      <c r="I1439" s="33" t="s">
        <v>51</v>
      </c>
      <c r="J1439" s="42">
        <v>44075</v>
      </c>
      <c r="K1439" s="33" t="s">
        <v>22</v>
      </c>
    </row>
    <row r="1440" spans="1:11">
      <c r="A1440" s="30" t="s">
        <v>3694</v>
      </c>
      <c r="B1440" s="30" t="s">
        <v>3695</v>
      </c>
      <c r="C1440" s="30" t="s">
        <v>216</v>
      </c>
      <c r="D1440" s="30" t="s">
        <v>17</v>
      </c>
      <c r="E1440" s="30" t="s">
        <v>26</v>
      </c>
      <c r="F1440" s="30" t="s">
        <v>27</v>
      </c>
      <c r="G1440" s="30" t="s">
        <v>20</v>
      </c>
      <c r="H1440" s="32">
        <v>59</v>
      </c>
      <c r="I1440" s="30" t="s">
        <v>21</v>
      </c>
      <c r="J1440" s="41">
        <v>44091</v>
      </c>
      <c r="K1440" s="30" t="s">
        <v>22</v>
      </c>
    </row>
    <row r="1441" spans="1:11">
      <c r="A1441" s="33" t="s">
        <v>3696</v>
      </c>
      <c r="B1441" s="33" t="s">
        <v>3697</v>
      </c>
      <c r="C1441" s="33" t="s">
        <v>3698</v>
      </c>
      <c r="D1441" s="33" t="s">
        <v>17</v>
      </c>
      <c r="E1441" s="33" t="s">
        <v>18</v>
      </c>
      <c r="F1441" s="33" t="s">
        <v>19</v>
      </c>
      <c r="G1441" s="33" t="s">
        <v>20</v>
      </c>
      <c r="H1441" s="35">
        <v>112</v>
      </c>
      <c r="I1441" s="33" t="s">
        <v>21</v>
      </c>
      <c r="J1441" s="42">
        <v>44061</v>
      </c>
      <c r="K1441" s="33" t="s">
        <v>22</v>
      </c>
    </row>
    <row r="1442" spans="1:11">
      <c r="A1442" s="30" t="s">
        <v>3699</v>
      </c>
      <c r="B1442" s="30" t="s">
        <v>3700</v>
      </c>
      <c r="C1442" s="30" t="s">
        <v>747</v>
      </c>
      <c r="D1442" s="30" t="s">
        <v>17</v>
      </c>
      <c r="E1442" s="30" t="s">
        <v>67</v>
      </c>
      <c r="F1442" s="30" t="s">
        <v>68</v>
      </c>
      <c r="G1442" s="30" t="s">
        <v>50</v>
      </c>
      <c r="H1442" s="32">
        <v>90</v>
      </c>
      <c r="I1442" s="30" t="s">
        <v>51</v>
      </c>
      <c r="J1442" s="41">
        <v>44073</v>
      </c>
      <c r="K1442" s="30" t="s">
        <v>22</v>
      </c>
    </row>
    <row r="1443" spans="1:11">
      <c r="A1443" s="33" t="s">
        <v>3701</v>
      </c>
      <c r="B1443" s="33" t="s">
        <v>3702</v>
      </c>
      <c r="C1443" s="33" t="s">
        <v>3703</v>
      </c>
      <c r="D1443" s="33" t="s">
        <v>17</v>
      </c>
      <c r="E1443" s="33" t="s">
        <v>26</v>
      </c>
      <c r="F1443" s="33" t="s">
        <v>27</v>
      </c>
      <c r="G1443" s="33" t="s">
        <v>140</v>
      </c>
      <c r="H1443" s="35">
        <v>69</v>
      </c>
      <c r="I1443" s="33" t="s">
        <v>51</v>
      </c>
      <c r="J1443" s="42">
        <v>43845</v>
      </c>
      <c r="K1443" s="33" t="s">
        <v>22</v>
      </c>
    </row>
    <row r="1444" spans="1:11">
      <c r="A1444" s="30" t="s">
        <v>3704</v>
      </c>
      <c r="B1444" s="30" t="s">
        <v>3705</v>
      </c>
      <c r="C1444" s="30" t="s">
        <v>3706</v>
      </c>
      <c r="D1444" s="30" t="s">
        <v>17</v>
      </c>
      <c r="E1444" s="30" t="s">
        <v>26</v>
      </c>
      <c r="F1444" s="30" t="s">
        <v>27</v>
      </c>
      <c r="G1444" s="30" t="s">
        <v>20</v>
      </c>
      <c r="H1444" s="32">
        <v>48</v>
      </c>
      <c r="I1444" s="30" t="s">
        <v>21</v>
      </c>
      <c r="J1444" s="41">
        <v>44181</v>
      </c>
      <c r="K1444" s="30" t="s">
        <v>22</v>
      </c>
    </row>
    <row r="1445" spans="1:11">
      <c r="A1445" s="33" t="s">
        <v>3707</v>
      </c>
      <c r="B1445" s="33" t="s">
        <v>3708</v>
      </c>
      <c r="C1445" s="33" t="s">
        <v>3709</v>
      </c>
      <c r="D1445" s="33" t="s">
        <v>17</v>
      </c>
      <c r="E1445" s="33" t="s">
        <v>67</v>
      </c>
      <c r="F1445" s="33" t="s">
        <v>68</v>
      </c>
      <c r="G1445" s="33" t="s">
        <v>50</v>
      </c>
      <c r="H1445" s="35">
        <v>24</v>
      </c>
      <c r="I1445" s="33" t="s">
        <v>51</v>
      </c>
      <c r="J1445" s="42">
        <v>44166</v>
      </c>
      <c r="K1445" s="33" t="s">
        <v>22</v>
      </c>
    </row>
    <row r="1446" spans="1:11">
      <c r="A1446" s="30" t="s">
        <v>3710</v>
      </c>
      <c r="B1446" s="30" t="s">
        <v>3711</v>
      </c>
      <c r="C1446" s="30" t="s">
        <v>57</v>
      </c>
      <c r="D1446" s="30" t="s">
        <v>17</v>
      </c>
      <c r="E1446" s="30" t="s">
        <v>18</v>
      </c>
      <c r="F1446" s="30" t="s">
        <v>19</v>
      </c>
      <c r="G1446" s="30" t="s">
        <v>20</v>
      </c>
      <c r="H1446" s="32">
        <v>180</v>
      </c>
      <c r="I1446" s="30" t="s">
        <v>21</v>
      </c>
      <c r="J1446" s="41">
        <v>43894</v>
      </c>
      <c r="K1446" s="30" t="s">
        <v>22</v>
      </c>
    </row>
    <row r="1447" spans="1:11">
      <c r="A1447" s="33" t="s">
        <v>3712</v>
      </c>
      <c r="B1447" s="33" t="s">
        <v>3713</v>
      </c>
      <c r="C1447" s="33" t="s">
        <v>3714</v>
      </c>
      <c r="D1447" s="33" t="s">
        <v>17</v>
      </c>
      <c r="E1447" s="33" t="s">
        <v>31</v>
      </c>
      <c r="F1447" s="33" t="s">
        <v>32</v>
      </c>
      <c r="G1447" s="33" t="s">
        <v>20</v>
      </c>
      <c r="H1447" s="35">
        <v>102</v>
      </c>
      <c r="I1447" s="33" t="s">
        <v>21</v>
      </c>
      <c r="J1447" s="42">
        <v>44172</v>
      </c>
      <c r="K1447" s="33" t="s">
        <v>22</v>
      </c>
    </row>
    <row r="1448" spans="1:11">
      <c r="A1448" s="30" t="s">
        <v>3715</v>
      </c>
      <c r="B1448" s="30" t="s">
        <v>3716</v>
      </c>
      <c r="C1448" s="30" t="s">
        <v>3717</v>
      </c>
      <c r="D1448" s="30" t="s">
        <v>17</v>
      </c>
      <c r="E1448" s="30" t="s">
        <v>18</v>
      </c>
      <c r="F1448" s="30" t="s">
        <v>19</v>
      </c>
      <c r="G1448" s="30" t="s">
        <v>140</v>
      </c>
      <c r="H1448" s="32">
        <v>128</v>
      </c>
      <c r="I1448" s="30" t="s">
        <v>51</v>
      </c>
      <c r="J1448" s="41">
        <v>44157</v>
      </c>
      <c r="K1448" s="30" t="s">
        <v>22</v>
      </c>
    </row>
    <row r="1449" spans="1:11">
      <c r="A1449" s="33" t="s">
        <v>3718</v>
      </c>
      <c r="B1449" s="33" t="s">
        <v>3719</v>
      </c>
      <c r="C1449" s="33" t="s">
        <v>3720</v>
      </c>
      <c r="D1449" s="33" t="s">
        <v>17</v>
      </c>
      <c r="E1449" s="33" t="s">
        <v>31</v>
      </c>
      <c r="F1449" s="33" t="s">
        <v>32</v>
      </c>
      <c r="G1449" s="33" t="s">
        <v>106</v>
      </c>
      <c r="H1449" s="35">
        <v>39</v>
      </c>
      <c r="I1449" s="33" t="s">
        <v>21</v>
      </c>
      <c r="J1449" s="42">
        <v>43928</v>
      </c>
      <c r="K1449" s="33" t="s">
        <v>22</v>
      </c>
    </row>
    <row r="1450" spans="1:11">
      <c r="A1450" s="30" t="s">
        <v>3721</v>
      </c>
      <c r="B1450" s="30" t="s">
        <v>3722</v>
      </c>
      <c r="C1450" s="30" t="s">
        <v>701</v>
      </c>
      <c r="D1450" s="30" t="s">
        <v>17</v>
      </c>
      <c r="E1450" s="30" t="s">
        <v>26</v>
      </c>
      <c r="F1450" s="30" t="s">
        <v>27</v>
      </c>
      <c r="G1450" s="30" t="s">
        <v>50</v>
      </c>
      <c r="H1450" s="32">
        <v>50</v>
      </c>
      <c r="I1450" s="30" t="s">
        <v>21</v>
      </c>
      <c r="J1450" s="41">
        <v>44004</v>
      </c>
      <c r="K1450" s="30" t="s">
        <v>22</v>
      </c>
    </row>
    <row r="1451" spans="1:11">
      <c r="A1451" s="33" t="s">
        <v>3723</v>
      </c>
      <c r="B1451" s="33" t="s">
        <v>3724</v>
      </c>
      <c r="C1451" s="33" t="s">
        <v>3725</v>
      </c>
      <c r="D1451" s="33" t="s">
        <v>17</v>
      </c>
      <c r="E1451" s="33" t="s">
        <v>26</v>
      </c>
      <c r="F1451" s="33" t="s">
        <v>27</v>
      </c>
      <c r="G1451" s="33" t="s">
        <v>69</v>
      </c>
      <c r="H1451" s="35">
        <v>220</v>
      </c>
      <c r="I1451" s="33" t="s">
        <v>51</v>
      </c>
      <c r="J1451" s="42">
        <v>44172</v>
      </c>
      <c r="K1451" s="33" t="s">
        <v>22</v>
      </c>
    </row>
    <row r="1452" spans="1:11">
      <c r="A1452" s="30" t="s">
        <v>3726</v>
      </c>
      <c r="B1452" s="30" t="s">
        <v>3727</v>
      </c>
      <c r="C1452" s="30" t="s">
        <v>96</v>
      </c>
      <c r="D1452" s="30" t="s">
        <v>17</v>
      </c>
      <c r="E1452" s="30" t="s">
        <v>31</v>
      </c>
      <c r="F1452" s="30" t="s">
        <v>32</v>
      </c>
      <c r="G1452" s="30" t="s">
        <v>106</v>
      </c>
      <c r="H1452" s="32">
        <v>48</v>
      </c>
      <c r="I1452" s="30" t="s">
        <v>21</v>
      </c>
      <c r="J1452" s="41">
        <v>43844</v>
      </c>
      <c r="K1452" s="30" t="s">
        <v>22</v>
      </c>
    </row>
    <row r="1453" spans="1:11">
      <c r="A1453" s="33" t="s">
        <v>3728</v>
      </c>
      <c r="B1453" s="33" t="s">
        <v>3729</v>
      </c>
      <c r="C1453" s="33" t="s">
        <v>3730</v>
      </c>
      <c r="D1453" s="33" t="s">
        <v>17</v>
      </c>
      <c r="E1453" s="33" t="s">
        <v>67</v>
      </c>
      <c r="F1453" s="33" t="s">
        <v>68</v>
      </c>
      <c r="G1453" s="33" t="s">
        <v>112</v>
      </c>
      <c r="H1453" s="35">
        <v>0</v>
      </c>
      <c r="I1453" s="33" t="s">
        <v>21</v>
      </c>
      <c r="J1453" s="42">
        <v>44150</v>
      </c>
      <c r="K1453" s="33" t="s">
        <v>22</v>
      </c>
    </row>
    <row r="1454" spans="1:11">
      <c r="A1454" s="30" t="s">
        <v>3731</v>
      </c>
      <c r="B1454" s="30" t="s">
        <v>3732</v>
      </c>
      <c r="C1454" s="30" t="s">
        <v>96</v>
      </c>
      <c r="D1454" s="30" t="s">
        <v>17</v>
      </c>
      <c r="E1454" s="30" t="s">
        <v>212</v>
      </c>
      <c r="F1454" s="30" t="s">
        <v>213</v>
      </c>
      <c r="G1454" s="30" t="s">
        <v>20</v>
      </c>
      <c r="H1454" s="32">
        <v>50</v>
      </c>
      <c r="I1454" s="30" t="s">
        <v>21</v>
      </c>
      <c r="J1454" s="41">
        <v>43855</v>
      </c>
      <c r="K1454" s="30" t="s">
        <v>22</v>
      </c>
    </row>
    <row r="1455" spans="1:11">
      <c r="A1455" s="33" t="s">
        <v>3733</v>
      </c>
      <c r="B1455" s="33" t="s">
        <v>3734</v>
      </c>
      <c r="C1455" s="33" t="s">
        <v>1069</v>
      </c>
      <c r="D1455" s="33" t="s">
        <v>17</v>
      </c>
      <c r="E1455" s="33" t="s">
        <v>18</v>
      </c>
      <c r="F1455" s="33" t="s">
        <v>19</v>
      </c>
      <c r="G1455" s="33" t="s">
        <v>106</v>
      </c>
      <c r="H1455" s="35">
        <v>108</v>
      </c>
      <c r="I1455" s="33" t="s">
        <v>21</v>
      </c>
      <c r="J1455" s="42">
        <v>43985</v>
      </c>
      <c r="K1455" s="33" t="s">
        <v>22</v>
      </c>
    </row>
    <row r="1456" spans="1:11">
      <c r="A1456" s="30" t="s">
        <v>3735</v>
      </c>
      <c r="B1456" s="30" t="s">
        <v>3736</v>
      </c>
      <c r="C1456" s="30" t="s">
        <v>1191</v>
      </c>
      <c r="D1456" s="30" t="s">
        <v>17</v>
      </c>
      <c r="E1456" s="30" t="s">
        <v>212</v>
      </c>
      <c r="F1456" s="30" t="s">
        <v>213</v>
      </c>
      <c r="G1456" s="30" t="s">
        <v>50</v>
      </c>
      <c r="H1456" s="32">
        <v>450</v>
      </c>
      <c r="I1456" s="30" t="s">
        <v>21</v>
      </c>
      <c r="J1456" s="41">
        <v>44147</v>
      </c>
      <c r="K1456" s="30" t="s">
        <v>22</v>
      </c>
    </row>
    <row r="1457" spans="1:11">
      <c r="A1457" s="33" t="s">
        <v>3737</v>
      </c>
      <c r="B1457" s="33" t="s">
        <v>3738</v>
      </c>
      <c r="C1457" s="33" t="s">
        <v>3739</v>
      </c>
      <c r="D1457" s="33" t="s">
        <v>17</v>
      </c>
      <c r="E1457" s="33" t="s">
        <v>330</v>
      </c>
      <c r="F1457" s="33" t="s">
        <v>331</v>
      </c>
      <c r="G1457" s="33" t="s">
        <v>69</v>
      </c>
      <c r="H1457" s="35">
        <v>20</v>
      </c>
      <c r="I1457" s="33" t="s">
        <v>51</v>
      </c>
      <c r="J1457" s="42">
        <v>44013</v>
      </c>
      <c r="K1457" s="33" t="s">
        <v>22</v>
      </c>
    </row>
    <row r="1458" spans="1:11">
      <c r="A1458" s="30" t="s">
        <v>3740</v>
      </c>
      <c r="B1458" s="30" t="s">
        <v>3741</v>
      </c>
      <c r="C1458" s="30" t="s">
        <v>638</v>
      </c>
      <c r="D1458" s="30" t="s">
        <v>17</v>
      </c>
      <c r="E1458" s="30" t="s">
        <v>31</v>
      </c>
      <c r="F1458" s="30" t="s">
        <v>32</v>
      </c>
      <c r="G1458" s="30" t="s">
        <v>20</v>
      </c>
      <c r="H1458" s="32">
        <v>635</v>
      </c>
      <c r="I1458" s="30" t="s">
        <v>21</v>
      </c>
      <c r="J1458" s="41">
        <v>44071</v>
      </c>
      <c r="K1458" s="30" t="s">
        <v>22</v>
      </c>
    </row>
    <row r="1459" spans="1:11">
      <c r="A1459" s="33" t="s">
        <v>3742</v>
      </c>
      <c r="B1459" s="33" t="s">
        <v>3743</v>
      </c>
      <c r="C1459" s="33" t="s">
        <v>3013</v>
      </c>
      <c r="D1459" s="33" t="s">
        <v>17</v>
      </c>
      <c r="E1459" s="33" t="s">
        <v>26</v>
      </c>
      <c r="F1459" s="33" t="s">
        <v>27</v>
      </c>
      <c r="G1459" s="33" t="s">
        <v>20</v>
      </c>
      <c r="H1459" s="35">
        <v>91</v>
      </c>
      <c r="I1459" s="33" t="s">
        <v>21</v>
      </c>
      <c r="J1459" s="42">
        <v>44043</v>
      </c>
      <c r="K1459" s="33" t="s">
        <v>22</v>
      </c>
    </row>
    <row r="1460" spans="1:11">
      <c r="A1460" s="30" t="s">
        <v>3744</v>
      </c>
      <c r="B1460" s="30" t="s">
        <v>3745</v>
      </c>
      <c r="C1460" s="30" t="s">
        <v>178</v>
      </c>
      <c r="D1460" s="30" t="s">
        <v>17</v>
      </c>
      <c r="E1460" s="30" t="s">
        <v>26</v>
      </c>
      <c r="F1460" s="30" t="s">
        <v>27</v>
      </c>
      <c r="G1460" s="30" t="s">
        <v>20</v>
      </c>
      <c r="H1460" s="32">
        <v>74</v>
      </c>
      <c r="I1460" s="30" t="s">
        <v>21</v>
      </c>
      <c r="J1460" s="41">
        <v>44062</v>
      </c>
      <c r="K1460" s="30" t="s">
        <v>22</v>
      </c>
    </row>
    <row r="1461" spans="1:11">
      <c r="A1461" s="33" t="s">
        <v>3746</v>
      </c>
      <c r="B1461" s="33" t="s">
        <v>3747</v>
      </c>
      <c r="C1461" s="33" t="s">
        <v>3748</v>
      </c>
      <c r="D1461" s="33" t="s">
        <v>17</v>
      </c>
      <c r="E1461" s="33" t="s">
        <v>45</v>
      </c>
      <c r="F1461" s="33" t="s">
        <v>46</v>
      </c>
      <c r="G1461" s="33" t="s">
        <v>20</v>
      </c>
      <c r="H1461" s="35">
        <v>421</v>
      </c>
      <c r="I1461" s="33" t="s">
        <v>21</v>
      </c>
      <c r="J1461" s="42">
        <v>44083</v>
      </c>
      <c r="K1461" s="33" t="s">
        <v>22</v>
      </c>
    </row>
    <row r="1462" spans="1:11">
      <c r="A1462" s="30" t="s">
        <v>3749</v>
      </c>
      <c r="B1462" s="30" t="s">
        <v>3750</v>
      </c>
      <c r="C1462" s="30" t="s">
        <v>3751</v>
      </c>
      <c r="D1462" s="30" t="s">
        <v>17</v>
      </c>
      <c r="E1462" s="30" t="s">
        <v>18</v>
      </c>
      <c r="F1462" s="30" t="s">
        <v>19</v>
      </c>
      <c r="G1462" s="30" t="s">
        <v>20</v>
      </c>
      <c r="H1462" s="32">
        <v>26</v>
      </c>
      <c r="I1462" s="30" t="s">
        <v>21</v>
      </c>
      <c r="J1462" s="41">
        <v>43978</v>
      </c>
      <c r="K1462" s="30" t="s">
        <v>22</v>
      </c>
    </row>
    <row r="1463" spans="1:11">
      <c r="A1463" s="33" t="s">
        <v>3752</v>
      </c>
      <c r="B1463" s="33" t="s">
        <v>3753</v>
      </c>
      <c r="C1463" s="33" t="s">
        <v>3754</v>
      </c>
      <c r="D1463" s="33" t="s">
        <v>17</v>
      </c>
      <c r="E1463" s="33" t="s">
        <v>18</v>
      </c>
      <c r="F1463" s="33" t="s">
        <v>19</v>
      </c>
      <c r="G1463" s="33" t="s">
        <v>20</v>
      </c>
      <c r="H1463" s="35">
        <v>482</v>
      </c>
      <c r="I1463" s="33" t="s">
        <v>21</v>
      </c>
      <c r="J1463" s="42">
        <v>44088</v>
      </c>
      <c r="K1463" s="33" t="s">
        <v>22</v>
      </c>
    </row>
    <row r="1464" spans="1:11">
      <c r="A1464" s="30" t="s">
        <v>3755</v>
      </c>
      <c r="B1464" s="30" t="s">
        <v>3756</v>
      </c>
      <c r="C1464" s="30" t="s">
        <v>3757</v>
      </c>
      <c r="D1464" s="30" t="s">
        <v>17</v>
      </c>
      <c r="E1464" s="30" t="s">
        <v>31</v>
      </c>
      <c r="F1464" s="30" t="s">
        <v>32</v>
      </c>
      <c r="G1464" s="30" t="s">
        <v>20</v>
      </c>
      <c r="H1464" s="32">
        <v>240</v>
      </c>
      <c r="I1464" s="30" t="s">
        <v>21</v>
      </c>
      <c r="J1464" s="41">
        <v>44093</v>
      </c>
      <c r="K1464" s="30" t="s">
        <v>22</v>
      </c>
    </row>
    <row r="1465" spans="1:11">
      <c r="A1465" s="33" t="s">
        <v>3758</v>
      </c>
      <c r="B1465" s="33" t="s">
        <v>3759</v>
      </c>
      <c r="C1465" s="33" t="s">
        <v>3760</v>
      </c>
      <c r="D1465" s="33" t="s">
        <v>17</v>
      </c>
      <c r="E1465" s="33" t="s">
        <v>26</v>
      </c>
      <c r="F1465" s="33" t="s">
        <v>27</v>
      </c>
      <c r="G1465" s="33" t="s">
        <v>20</v>
      </c>
      <c r="H1465" s="35">
        <v>24</v>
      </c>
      <c r="I1465" s="33" t="s">
        <v>21</v>
      </c>
      <c r="J1465" s="42">
        <v>44096</v>
      </c>
      <c r="K1465" s="33" t="s">
        <v>22</v>
      </c>
    </row>
    <row r="1466" spans="1:11">
      <c r="A1466" s="30" t="s">
        <v>3761</v>
      </c>
      <c r="B1466" s="30" t="s">
        <v>3762</v>
      </c>
      <c r="C1466" s="30" t="s">
        <v>2728</v>
      </c>
      <c r="D1466" s="30" t="s">
        <v>17</v>
      </c>
      <c r="E1466" s="30" t="s">
        <v>31</v>
      </c>
      <c r="F1466" s="30" t="s">
        <v>32</v>
      </c>
      <c r="G1466" s="30" t="s">
        <v>20</v>
      </c>
      <c r="H1466" s="32">
        <v>304</v>
      </c>
      <c r="I1466" s="30" t="s">
        <v>21</v>
      </c>
      <c r="J1466" s="41">
        <v>43843</v>
      </c>
      <c r="K1466" s="30" t="s">
        <v>22</v>
      </c>
    </row>
    <row r="1467" spans="1:11">
      <c r="A1467" s="33" t="s">
        <v>3763</v>
      </c>
      <c r="B1467" s="33" t="s">
        <v>3764</v>
      </c>
      <c r="C1467" s="33" t="s">
        <v>3765</v>
      </c>
      <c r="D1467" s="33" t="s">
        <v>17</v>
      </c>
      <c r="E1467" s="33" t="s">
        <v>26</v>
      </c>
      <c r="F1467" s="33" t="s">
        <v>27</v>
      </c>
      <c r="G1467" s="33" t="s">
        <v>20</v>
      </c>
      <c r="H1467" s="35">
        <v>64</v>
      </c>
      <c r="I1467" s="33" t="s">
        <v>21</v>
      </c>
      <c r="J1467" s="42">
        <v>44067</v>
      </c>
      <c r="K1467" s="33" t="s">
        <v>22</v>
      </c>
    </row>
    <row r="1468" spans="1:11">
      <c r="A1468" s="30" t="s">
        <v>3766</v>
      </c>
      <c r="B1468" s="30" t="s">
        <v>3767</v>
      </c>
      <c r="C1468" s="30" t="s">
        <v>2006</v>
      </c>
      <c r="D1468" s="30" t="s">
        <v>17</v>
      </c>
      <c r="E1468" s="30" t="s">
        <v>26</v>
      </c>
      <c r="F1468" s="30" t="s">
        <v>27</v>
      </c>
      <c r="G1468" s="30" t="s">
        <v>20</v>
      </c>
      <c r="H1468" s="32">
        <v>36</v>
      </c>
      <c r="I1468" s="30" t="s">
        <v>21</v>
      </c>
      <c r="J1468" s="41">
        <v>43983</v>
      </c>
      <c r="K1468" s="30" t="s">
        <v>22</v>
      </c>
    </row>
    <row r="1469" spans="1:11">
      <c r="A1469" s="33" t="s">
        <v>3768</v>
      </c>
      <c r="B1469" s="33" t="s">
        <v>3769</v>
      </c>
      <c r="C1469" s="33" t="s">
        <v>3770</v>
      </c>
      <c r="D1469" s="33" t="s">
        <v>17</v>
      </c>
      <c r="E1469" s="33" t="s">
        <v>26</v>
      </c>
      <c r="F1469" s="33" t="s">
        <v>27</v>
      </c>
      <c r="G1469" s="33" t="s">
        <v>20</v>
      </c>
      <c r="H1469" s="35">
        <v>8</v>
      </c>
      <c r="I1469" s="33" t="s">
        <v>21</v>
      </c>
      <c r="J1469" s="42">
        <v>43865</v>
      </c>
      <c r="K1469" s="33" t="s">
        <v>22</v>
      </c>
    </row>
    <row r="1470" spans="1:11">
      <c r="A1470" s="30" t="s">
        <v>3771</v>
      </c>
      <c r="B1470" s="30" t="s">
        <v>3772</v>
      </c>
      <c r="C1470" s="30" t="s">
        <v>810</v>
      </c>
      <c r="D1470" s="30" t="s">
        <v>17</v>
      </c>
      <c r="E1470" s="30" t="s">
        <v>26</v>
      </c>
      <c r="F1470" s="30" t="s">
        <v>27</v>
      </c>
      <c r="G1470" s="30" t="s">
        <v>50</v>
      </c>
      <c r="H1470" s="32">
        <v>24</v>
      </c>
      <c r="I1470" s="30" t="s">
        <v>21</v>
      </c>
      <c r="J1470" s="41">
        <v>44065</v>
      </c>
      <c r="K1470" s="30" t="s">
        <v>22</v>
      </c>
    </row>
    <row r="1471" spans="1:11">
      <c r="A1471" s="33" t="s">
        <v>3773</v>
      </c>
      <c r="B1471" s="33" t="s">
        <v>3774</v>
      </c>
      <c r="C1471" s="33" t="s">
        <v>3775</v>
      </c>
      <c r="D1471" s="33" t="s">
        <v>17</v>
      </c>
      <c r="E1471" s="33" t="s">
        <v>26</v>
      </c>
      <c r="F1471" s="33" t="s">
        <v>27</v>
      </c>
      <c r="G1471" s="33" t="s">
        <v>20</v>
      </c>
      <c r="H1471" s="35">
        <v>36</v>
      </c>
      <c r="I1471" s="33" t="s">
        <v>21</v>
      </c>
      <c r="J1471" s="42">
        <v>44032</v>
      </c>
      <c r="K1471" s="33" t="s">
        <v>22</v>
      </c>
    </row>
    <row r="1472" spans="1:11">
      <c r="A1472" s="30" t="s">
        <v>3776</v>
      </c>
      <c r="B1472" s="30" t="s">
        <v>3777</v>
      </c>
      <c r="C1472" s="30" t="s">
        <v>190</v>
      </c>
      <c r="D1472" s="30" t="s">
        <v>17</v>
      </c>
      <c r="E1472" s="30" t="s">
        <v>31</v>
      </c>
      <c r="F1472" s="30" t="s">
        <v>32</v>
      </c>
      <c r="G1472" s="30" t="s">
        <v>20</v>
      </c>
      <c r="H1472" s="32">
        <v>135</v>
      </c>
      <c r="I1472" s="30" t="s">
        <v>21</v>
      </c>
      <c r="J1472" s="41">
        <v>44137</v>
      </c>
      <c r="K1472" s="30" t="s">
        <v>22</v>
      </c>
    </row>
    <row r="1473" spans="1:11">
      <c r="A1473" s="33" t="s">
        <v>3778</v>
      </c>
      <c r="B1473" s="33" t="s">
        <v>3779</v>
      </c>
      <c r="C1473" s="33" t="s">
        <v>96</v>
      </c>
      <c r="D1473" s="33" t="s">
        <v>17</v>
      </c>
      <c r="E1473" s="33" t="s">
        <v>18</v>
      </c>
      <c r="F1473" s="33" t="s">
        <v>19</v>
      </c>
      <c r="G1473" s="33" t="s">
        <v>158</v>
      </c>
      <c r="H1473" s="35">
        <v>841</v>
      </c>
      <c r="I1473" s="33" t="s">
        <v>21</v>
      </c>
      <c r="J1473" s="42">
        <v>44186</v>
      </c>
      <c r="K1473" s="33" t="s">
        <v>22</v>
      </c>
    </row>
    <row r="1474" spans="1:11">
      <c r="A1474" s="30" t="s">
        <v>3780</v>
      </c>
      <c r="B1474" s="30" t="s">
        <v>3781</v>
      </c>
      <c r="C1474" s="30" t="s">
        <v>795</v>
      </c>
      <c r="D1474" s="30" t="s">
        <v>17</v>
      </c>
      <c r="E1474" s="30" t="s">
        <v>67</v>
      </c>
      <c r="F1474" s="30" t="s">
        <v>68</v>
      </c>
      <c r="G1474" s="30" t="s">
        <v>158</v>
      </c>
      <c r="H1474" s="32">
        <v>543</v>
      </c>
      <c r="I1474" s="30" t="s">
        <v>21</v>
      </c>
      <c r="J1474" s="41">
        <v>44138</v>
      </c>
      <c r="K1474" s="30" t="s">
        <v>22</v>
      </c>
    </row>
    <row r="1475" spans="1:11">
      <c r="A1475" s="33" t="s">
        <v>3782</v>
      </c>
      <c r="B1475" s="33" t="s">
        <v>3783</v>
      </c>
      <c r="C1475" s="33" t="s">
        <v>3775</v>
      </c>
      <c r="D1475" s="33" t="s">
        <v>17</v>
      </c>
      <c r="E1475" s="33" t="s">
        <v>26</v>
      </c>
      <c r="F1475" s="33" t="s">
        <v>27</v>
      </c>
      <c r="G1475" s="33" t="s">
        <v>20</v>
      </c>
      <c r="H1475" s="35">
        <v>26</v>
      </c>
      <c r="I1475" s="33" t="s">
        <v>21</v>
      </c>
      <c r="J1475" s="42">
        <v>43942</v>
      </c>
      <c r="K1475" s="33" t="s">
        <v>22</v>
      </c>
    </row>
    <row r="1476" spans="1:11">
      <c r="A1476" s="30" t="s">
        <v>3784</v>
      </c>
      <c r="B1476" s="30" t="s">
        <v>3785</v>
      </c>
      <c r="C1476" s="30" t="s">
        <v>1003</v>
      </c>
      <c r="D1476" s="30" t="s">
        <v>17</v>
      </c>
      <c r="E1476" s="30" t="s">
        <v>26</v>
      </c>
      <c r="F1476" s="30" t="s">
        <v>27</v>
      </c>
      <c r="G1476" s="30" t="s">
        <v>50</v>
      </c>
      <c r="H1476" s="32">
        <v>30</v>
      </c>
      <c r="I1476" s="30" t="s">
        <v>51</v>
      </c>
      <c r="J1476" s="41">
        <v>44119</v>
      </c>
      <c r="K1476" s="30" t="s">
        <v>22</v>
      </c>
    </row>
    <row r="1477" spans="1:11">
      <c r="A1477" s="33" t="s">
        <v>3786</v>
      </c>
      <c r="B1477" s="33" t="s">
        <v>3787</v>
      </c>
      <c r="C1477" s="33" t="s">
        <v>3290</v>
      </c>
      <c r="D1477" s="33" t="s">
        <v>17</v>
      </c>
      <c r="E1477" s="33" t="s">
        <v>26</v>
      </c>
      <c r="F1477" s="33" t="s">
        <v>27</v>
      </c>
      <c r="G1477" s="33" t="s">
        <v>50</v>
      </c>
      <c r="H1477" s="35">
        <v>45</v>
      </c>
      <c r="I1477" s="33" t="s">
        <v>51</v>
      </c>
      <c r="J1477" s="42">
        <v>44089</v>
      </c>
      <c r="K1477" s="33" t="s">
        <v>22</v>
      </c>
    </row>
    <row r="1478" spans="1:11">
      <c r="A1478" s="30" t="s">
        <v>3788</v>
      </c>
      <c r="B1478" s="30" t="s">
        <v>3789</v>
      </c>
      <c r="C1478" s="30" t="s">
        <v>3790</v>
      </c>
      <c r="D1478" s="30" t="s">
        <v>17</v>
      </c>
      <c r="E1478" s="30" t="s">
        <v>18</v>
      </c>
      <c r="F1478" s="30" t="s">
        <v>19</v>
      </c>
      <c r="G1478" s="30" t="s">
        <v>50</v>
      </c>
      <c r="H1478" s="32">
        <v>720</v>
      </c>
      <c r="I1478" s="30" t="s">
        <v>51</v>
      </c>
      <c r="J1478" s="41">
        <v>43922</v>
      </c>
      <c r="K1478" s="30" t="s">
        <v>22</v>
      </c>
    </row>
    <row r="1479" spans="1:11">
      <c r="A1479" s="33" t="s">
        <v>3791</v>
      </c>
      <c r="B1479" s="33" t="s">
        <v>3792</v>
      </c>
      <c r="C1479" s="33" t="s">
        <v>102</v>
      </c>
      <c r="D1479" s="33" t="s">
        <v>17</v>
      </c>
      <c r="E1479" s="33" t="s">
        <v>26</v>
      </c>
      <c r="F1479" s="33" t="s">
        <v>27</v>
      </c>
      <c r="G1479" s="33" t="s">
        <v>20</v>
      </c>
      <c r="H1479" s="35">
        <v>66</v>
      </c>
      <c r="I1479" s="33" t="s">
        <v>21</v>
      </c>
      <c r="J1479" s="42">
        <v>43840</v>
      </c>
      <c r="K1479" s="33" t="s">
        <v>22</v>
      </c>
    </row>
    <row r="1480" spans="1:11">
      <c r="A1480" s="30" t="s">
        <v>3793</v>
      </c>
      <c r="B1480" s="30" t="s">
        <v>3794</v>
      </c>
      <c r="C1480" s="30" t="s">
        <v>2944</v>
      </c>
      <c r="D1480" s="30" t="s">
        <v>17</v>
      </c>
      <c r="E1480" s="30" t="s">
        <v>31</v>
      </c>
      <c r="F1480" s="30" t="s">
        <v>32</v>
      </c>
      <c r="G1480" s="30" t="s">
        <v>112</v>
      </c>
      <c r="H1480" s="32">
        <v>0</v>
      </c>
      <c r="I1480" s="30" t="s">
        <v>21</v>
      </c>
      <c r="J1480" s="41">
        <v>44075</v>
      </c>
      <c r="K1480" s="30" t="s">
        <v>22</v>
      </c>
    </row>
    <row r="1481" spans="1:11">
      <c r="A1481" s="33" t="s">
        <v>3795</v>
      </c>
      <c r="B1481" s="33" t="s">
        <v>3796</v>
      </c>
      <c r="C1481" s="33" t="s">
        <v>647</v>
      </c>
      <c r="D1481" s="33" t="s">
        <v>17</v>
      </c>
      <c r="E1481" s="33" t="s">
        <v>18</v>
      </c>
      <c r="F1481" s="33" t="s">
        <v>19</v>
      </c>
      <c r="G1481" s="33" t="s">
        <v>158</v>
      </c>
      <c r="H1481" s="35">
        <v>672</v>
      </c>
      <c r="I1481" s="33" t="s">
        <v>51</v>
      </c>
      <c r="J1481" s="42">
        <v>44173</v>
      </c>
      <c r="K1481" s="33" t="s">
        <v>22</v>
      </c>
    </row>
    <row r="1482" spans="1:11">
      <c r="A1482" s="30" t="s">
        <v>3797</v>
      </c>
      <c r="B1482" s="30" t="s">
        <v>3798</v>
      </c>
      <c r="C1482" s="30" t="s">
        <v>3799</v>
      </c>
      <c r="D1482" s="30" t="s">
        <v>17</v>
      </c>
      <c r="E1482" s="30" t="s">
        <v>31</v>
      </c>
      <c r="F1482" s="30" t="s">
        <v>32</v>
      </c>
      <c r="G1482" s="30" t="s">
        <v>20</v>
      </c>
      <c r="H1482" s="32">
        <v>18</v>
      </c>
      <c r="I1482" s="30" t="s">
        <v>21</v>
      </c>
      <c r="J1482" s="41">
        <v>44002</v>
      </c>
      <c r="K1482" s="30" t="s">
        <v>22</v>
      </c>
    </row>
    <row r="1483" spans="1:11">
      <c r="A1483" s="33" t="s">
        <v>3800</v>
      </c>
      <c r="B1483" s="33" t="s">
        <v>3801</v>
      </c>
      <c r="C1483" s="33" t="s">
        <v>3802</v>
      </c>
      <c r="D1483" s="33" t="s">
        <v>17</v>
      </c>
      <c r="E1483" s="33" t="s">
        <v>31</v>
      </c>
      <c r="F1483" s="33" t="s">
        <v>32</v>
      </c>
      <c r="G1483" s="33" t="s">
        <v>20</v>
      </c>
      <c r="H1483" s="35">
        <v>116</v>
      </c>
      <c r="I1483" s="33" t="s">
        <v>21</v>
      </c>
      <c r="J1483" s="42">
        <v>44136</v>
      </c>
      <c r="K1483" s="33" t="s">
        <v>22</v>
      </c>
    </row>
    <row r="1484" spans="1:11">
      <c r="A1484" s="30" t="s">
        <v>3803</v>
      </c>
      <c r="B1484" s="30" t="s">
        <v>3804</v>
      </c>
      <c r="C1484" s="30" t="s">
        <v>1324</v>
      </c>
      <c r="D1484" s="30" t="s">
        <v>17</v>
      </c>
      <c r="E1484" s="30" t="s">
        <v>31</v>
      </c>
      <c r="F1484" s="30" t="s">
        <v>32</v>
      </c>
      <c r="G1484" s="30" t="s">
        <v>106</v>
      </c>
      <c r="H1484" s="32">
        <v>12</v>
      </c>
      <c r="I1484" s="30" t="s">
        <v>21</v>
      </c>
      <c r="J1484" s="41">
        <v>44173</v>
      </c>
      <c r="K1484" s="30" t="s">
        <v>22</v>
      </c>
    </row>
    <row r="1485" spans="1:11">
      <c r="A1485" s="33" t="s">
        <v>3805</v>
      </c>
      <c r="B1485" s="33" t="s">
        <v>3806</v>
      </c>
      <c r="C1485" s="33" t="s">
        <v>143</v>
      </c>
      <c r="D1485" s="33" t="s">
        <v>17</v>
      </c>
      <c r="E1485" s="33" t="s">
        <v>26</v>
      </c>
      <c r="F1485" s="33" t="s">
        <v>27</v>
      </c>
      <c r="G1485" s="33" t="s">
        <v>112</v>
      </c>
      <c r="H1485" s="35">
        <v>0</v>
      </c>
      <c r="I1485" s="33" t="s">
        <v>21</v>
      </c>
      <c r="J1485" s="42">
        <v>43948</v>
      </c>
      <c r="K1485" s="33" t="s">
        <v>22</v>
      </c>
    </row>
    <row r="1486" spans="1:11">
      <c r="A1486" s="30" t="s">
        <v>3807</v>
      </c>
      <c r="B1486" s="30" t="s">
        <v>3808</v>
      </c>
      <c r="C1486" s="30" t="s">
        <v>3809</v>
      </c>
      <c r="D1486" s="30" t="s">
        <v>17</v>
      </c>
      <c r="E1486" s="30" t="s">
        <v>18</v>
      </c>
      <c r="F1486" s="30" t="s">
        <v>19</v>
      </c>
      <c r="G1486" s="30" t="s">
        <v>50</v>
      </c>
      <c r="H1486" s="32">
        <v>520</v>
      </c>
      <c r="I1486" s="30" t="s">
        <v>21</v>
      </c>
      <c r="J1486" s="41">
        <v>43956</v>
      </c>
      <c r="K1486" s="30" t="s">
        <v>22</v>
      </c>
    </row>
    <row r="1487" spans="1:11">
      <c r="A1487" s="33" t="s">
        <v>3810</v>
      </c>
      <c r="B1487" s="33" t="s">
        <v>3811</v>
      </c>
      <c r="C1487" s="33" t="s">
        <v>187</v>
      </c>
      <c r="D1487" s="33" t="s">
        <v>17</v>
      </c>
      <c r="E1487" s="33" t="s">
        <v>18</v>
      </c>
      <c r="F1487" s="33" t="s">
        <v>19</v>
      </c>
      <c r="G1487" s="33" t="s">
        <v>158</v>
      </c>
      <c r="H1487" s="35">
        <v>648</v>
      </c>
      <c r="I1487" s="33" t="s">
        <v>51</v>
      </c>
      <c r="J1487" s="42">
        <v>44054</v>
      </c>
      <c r="K1487" s="33" t="s">
        <v>22</v>
      </c>
    </row>
    <row r="1488" spans="1:11">
      <c r="A1488" s="30" t="s">
        <v>3812</v>
      </c>
      <c r="B1488" s="30" t="s">
        <v>3813</v>
      </c>
      <c r="C1488" s="30" t="s">
        <v>554</v>
      </c>
      <c r="D1488" s="30" t="s">
        <v>17</v>
      </c>
      <c r="E1488" s="30" t="s">
        <v>18</v>
      </c>
      <c r="F1488" s="30" t="s">
        <v>19</v>
      </c>
      <c r="G1488" s="30" t="s">
        <v>106</v>
      </c>
      <c r="H1488" s="32">
        <v>22</v>
      </c>
      <c r="I1488" s="30" t="s">
        <v>21</v>
      </c>
      <c r="J1488" s="41">
        <v>44097</v>
      </c>
      <c r="K1488" s="30" t="s">
        <v>22</v>
      </c>
    </row>
    <row r="1489" spans="1:11">
      <c r="A1489" s="33" t="s">
        <v>3814</v>
      </c>
      <c r="B1489" s="33" t="s">
        <v>3815</v>
      </c>
      <c r="C1489" s="33" t="s">
        <v>969</v>
      </c>
      <c r="D1489" s="33" t="s">
        <v>17</v>
      </c>
      <c r="E1489" s="33" t="s">
        <v>26</v>
      </c>
      <c r="F1489" s="33" t="s">
        <v>27</v>
      </c>
      <c r="G1489" s="33" t="s">
        <v>20</v>
      </c>
      <c r="H1489" s="35">
        <v>36</v>
      </c>
      <c r="I1489" s="33" t="s">
        <v>21</v>
      </c>
      <c r="J1489" s="42">
        <v>43843</v>
      </c>
      <c r="K1489" s="33" t="s">
        <v>22</v>
      </c>
    </row>
    <row r="1490" spans="1:11">
      <c r="A1490" s="30" t="s">
        <v>3816</v>
      </c>
      <c r="B1490" s="30" t="s">
        <v>3817</v>
      </c>
      <c r="C1490" s="30" t="s">
        <v>157</v>
      </c>
      <c r="D1490" s="30" t="s">
        <v>17</v>
      </c>
      <c r="E1490" s="30" t="s">
        <v>31</v>
      </c>
      <c r="F1490" s="30" t="s">
        <v>32</v>
      </c>
      <c r="G1490" s="30" t="s">
        <v>20</v>
      </c>
      <c r="H1490" s="32">
        <v>89</v>
      </c>
      <c r="I1490" s="30" t="s">
        <v>21</v>
      </c>
      <c r="J1490" s="41">
        <v>44124</v>
      </c>
      <c r="K1490" s="30" t="s">
        <v>22</v>
      </c>
    </row>
    <row r="1491" spans="1:11">
      <c r="A1491" s="33" t="s">
        <v>3818</v>
      </c>
      <c r="B1491" s="33" t="s">
        <v>3819</v>
      </c>
      <c r="C1491" s="33" t="s">
        <v>1090</v>
      </c>
      <c r="D1491" s="33" t="s">
        <v>17</v>
      </c>
      <c r="E1491" s="33" t="s">
        <v>26</v>
      </c>
      <c r="F1491" s="33" t="s">
        <v>27</v>
      </c>
      <c r="G1491" s="33" t="s">
        <v>50</v>
      </c>
      <c r="H1491" s="35">
        <v>50</v>
      </c>
      <c r="I1491" s="33" t="s">
        <v>51</v>
      </c>
      <c r="J1491" s="42">
        <v>43990</v>
      </c>
      <c r="K1491" s="33" t="s">
        <v>22</v>
      </c>
    </row>
    <row r="1492" spans="1:11">
      <c r="A1492" s="30" t="s">
        <v>3820</v>
      </c>
      <c r="B1492" s="30" t="s">
        <v>3821</v>
      </c>
      <c r="C1492" s="30" t="s">
        <v>190</v>
      </c>
      <c r="D1492" s="30" t="s">
        <v>17</v>
      </c>
      <c r="E1492" s="30" t="s">
        <v>26</v>
      </c>
      <c r="F1492" s="30" t="s">
        <v>27</v>
      </c>
      <c r="G1492" s="30" t="s">
        <v>106</v>
      </c>
      <c r="H1492" s="32">
        <v>40</v>
      </c>
      <c r="I1492" s="30" t="s">
        <v>21</v>
      </c>
      <c r="J1492" s="41">
        <v>44167</v>
      </c>
      <c r="K1492" s="30" t="s">
        <v>22</v>
      </c>
    </row>
    <row r="1493" spans="1:11">
      <c r="A1493" s="33" t="s">
        <v>3822</v>
      </c>
      <c r="B1493" s="33" t="s">
        <v>3823</v>
      </c>
      <c r="C1493" s="33" t="s">
        <v>149</v>
      </c>
      <c r="D1493" s="33" t="s">
        <v>17</v>
      </c>
      <c r="E1493" s="33" t="s">
        <v>26</v>
      </c>
      <c r="F1493" s="33" t="s">
        <v>27</v>
      </c>
      <c r="G1493" s="33" t="s">
        <v>50</v>
      </c>
      <c r="H1493" s="35">
        <v>54</v>
      </c>
      <c r="I1493" s="33" t="s">
        <v>51</v>
      </c>
      <c r="J1493" s="42">
        <v>43968</v>
      </c>
      <c r="K1493" s="33" t="s">
        <v>22</v>
      </c>
    </row>
    <row r="1494" spans="1:11">
      <c r="A1494" s="30" t="s">
        <v>3824</v>
      </c>
      <c r="B1494" s="30" t="s">
        <v>3825</v>
      </c>
      <c r="C1494" s="30" t="s">
        <v>3826</v>
      </c>
      <c r="D1494" s="30" t="s">
        <v>17</v>
      </c>
      <c r="E1494" s="30" t="s">
        <v>31</v>
      </c>
      <c r="F1494" s="30" t="s">
        <v>32</v>
      </c>
      <c r="G1494" s="30" t="s">
        <v>20</v>
      </c>
      <c r="H1494" s="32">
        <v>255</v>
      </c>
      <c r="I1494" s="30" t="s">
        <v>21</v>
      </c>
      <c r="J1494" s="41">
        <v>43888</v>
      </c>
      <c r="K1494" s="30" t="s">
        <v>22</v>
      </c>
    </row>
    <row r="1495" spans="1:11">
      <c r="A1495" s="33" t="s">
        <v>3827</v>
      </c>
      <c r="B1495" s="33" t="s">
        <v>3828</v>
      </c>
      <c r="C1495" s="33" t="s">
        <v>1058</v>
      </c>
      <c r="D1495" s="33" t="s">
        <v>17</v>
      </c>
      <c r="E1495" s="33" t="s">
        <v>26</v>
      </c>
      <c r="F1495" s="33" t="s">
        <v>27</v>
      </c>
      <c r="G1495" s="33" t="s">
        <v>50</v>
      </c>
      <c r="H1495" s="35">
        <v>20</v>
      </c>
      <c r="I1495" s="33" t="s">
        <v>51</v>
      </c>
      <c r="J1495" s="42">
        <v>44127</v>
      </c>
      <c r="K1495" s="33" t="s">
        <v>22</v>
      </c>
    </row>
    <row r="1496" spans="1:11">
      <c r="A1496" s="30" t="s">
        <v>3829</v>
      </c>
      <c r="B1496" s="30" t="s">
        <v>3830</v>
      </c>
      <c r="C1496" s="30" t="s">
        <v>1857</v>
      </c>
      <c r="D1496" s="30" t="s">
        <v>17</v>
      </c>
      <c r="E1496" s="30" t="s">
        <v>67</v>
      </c>
      <c r="F1496" s="30" t="s">
        <v>68</v>
      </c>
      <c r="G1496" s="30" t="s">
        <v>140</v>
      </c>
      <c r="H1496" s="32">
        <v>52</v>
      </c>
      <c r="I1496" s="30" t="s">
        <v>51</v>
      </c>
      <c r="J1496" s="41">
        <v>43986</v>
      </c>
      <c r="K1496" s="30" t="s">
        <v>22</v>
      </c>
    </row>
    <row r="1497" spans="1:11">
      <c r="A1497" s="33" t="s">
        <v>3831</v>
      </c>
      <c r="B1497" s="33" t="s">
        <v>3832</v>
      </c>
      <c r="C1497" s="33" t="s">
        <v>3833</v>
      </c>
      <c r="D1497" s="33" t="s">
        <v>17</v>
      </c>
      <c r="E1497" s="33" t="s">
        <v>26</v>
      </c>
      <c r="F1497" s="33" t="s">
        <v>27</v>
      </c>
      <c r="G1497" s="33" t="s">
        <v>50</v>
      </c>
      <c r="H1497" s="35">
        <v>24</v>
      </c>
      <c r="I1497" s="33" t="s">
        <v>51</v>
      </c>
      <c r="J1497" s="42">
        <v>44166</v>
      </c>
      <c r="K1497" s="33" t="s">
        <v>22</v>
      </c>
    </row>
    <row r="1498" spans="1:11">
      <c r="A1498" s="30" t="s">
        <v>3834</v>
      </c>
      <c r="B1498" s="30" t="s">
        <v>3835</v>
      </c>
      <c r="C1498" s="30" t="s">
        <v>136</v>
      </c>
      <c r="D1498" s="30" t="s">
        <v>17</v>
      </c>
      <c r="E1498" s="30" t="s">
        <v>26</v>
      </c>
      <c r="F1498" s="30" t="s">
        <v>27</v>
      </c>
      <c r="G1498" s="30" t="s">
        <v>158</v>
      </c>
      <c r="H1498" s="32">
        <v>260</v>
      </c>
      <c r="I1498" s="30" t="s">
        <v>51</v>
      </c>
      <c r="J1498" s="41">
        <v>44154</v>
      </c>
      <c r="K1498" s="30" t="s">
        <v>22</v>
      </c>
    </row>
    <row r="1499" spans="1:11">
      <c r="A1499" s="33" t="s">
        <v>3836</v>
      </c>
      <c r="B1499" s="33" t="s">
        <v>3837</v>
      </c>
      <c r="C1499" s="33" t="s">
        <v>2006</v>
      </c>
      <c r="D1499" s="33" t="s">
        <v>17</v>
      </c>
      <c r="E1499" s="33" t="s">
        <v>26</v>
      </c>
      <c r="F1499" s="33" t="s">
        <v>27</v>
      </c>
      <c r="G1499" s="33" t="s">
        <v>20</v>
      </c>
      <c r="H1499" s="35">
        <v>30</v>
      </c>
      <c r="I1499" s="33" t="s">
        <v>21</v>
      </c>
      <c r="J1499" s="42">
        <v>44172</v>
      </c>
      <c r="K1499" s="33" t="s">
        <v>22</v>
      </c>
    </row>
    <row r="1500" spans="1:11">
      <c r="A1500" s="30" t="s">
        <v>3838</v>
      </c>
      <c r="B1500" s="30" t="s">
        <v>3839</v>
      </c>
      <c r="C1500" s="30" t="s">
        <v>3840</v>
      </c>
      <c r="D1500" s="30" t="s">
        <v>17</v>
      </c>
      <c r="E1500" s="30" t="s">
        <v>212</v>
      </c>
      <c r="F1500" s="30" t="s">
        <v>213</v>
      </c>
      <c r="G1500" s="30" t="s">
        <v>50</v>
      </c>
      <c r="H1500" s="32">
        <v>300</v>
      </c>
      <c r="I1500" s="30" t="s">
        <v>21</v>
      </c>
      <c r="J1500" s="41">
        <v>44150</v>
      </c>
      <c r="K1500" s="30" t="s">
        <v>22</v>
      </c>
    </row>
    <row r="1501" spans="1:11">
      <c r="A1501" s="33" t="s">
        <v>3841</v>
      </c>
      <c r="B1501" s="33" t="s">
        <v>3842</v>
      </c>
      <c r="C1501" s="33" t="s">
        <v>3843</v>
      </c>
      <c r="D1501" s="33" t="s">
        <v>17</v>
      </c>
      <c r="E1501" s="33" t="s">
        <v>26</v>
      </c>
      <c r="F1501" s="33" t="s">
        <v>27</v>
      </c>
      <c r="G1501" s="33" t="s">
        <v>20</v>
      </c>
      <c r="H1501" s="35">
        <v>101</v>
      </c>
      <c r="I1501" s="33" t="s">
        <v>21</v>
      </c>
      <c r="J1501" s="42">
        <v>43916</v>
      </c>
      <c r="K1501" s="33" t="s">
        <v>22</v>
      </c>
    </row>
    <row r="1502" spans="1:11">
      <c r="A1502" s="30" t="s">
        <v>3844</v>
      </c>
      <c r="B1502" s="30" t="s">
        <v>3845</v>
      </c>
      <c r="C1502" s="30" t="s">
        <v>2807</v>
      </c>
      <c r="D1502" s="30" t="s">
        <v>17</v>
      </c>
      <c r="E1502" s="30" t="s">
        <v>31</v>
      </c>
      <c r="F1502" s="30" t="s">
        <v>32</v>
      </c>
      <c r="G1502" s="30" t="s">
        <v>20</v>
      </c>
      <c r="H1502" s="32">
        <v>114</v>
      </c>
      <c r="I1502" s="30" t="s">
        <v>21</v>
      </c>
      <c r="J1502" s="41">
        <v>44088</v>
      </c>
      <c r="K1502" s="30" t="s">
        <v>22</v>
      </c>
    </row>
    <row r="1503" spans="1:11">
      <c r="A1503" s="33" t="s">
        <v>3846</v>
      </c>
      <c r="B1503" s="33" t="s">
        <v>3847</v>
      </c>
      <c r="C1503" s="33" t="s">
        <v>3848</v>
      </c>
      <c r="D1503" s="33" t="s">
        <v>17</v>
      </c>
      <c r="E1503" s="33" t="s">
        <v>330</v>
      </c>
      <c r="F1503" s="33" t="s">
        <v>331</v>
      </c>
      <c r="G1503" s="33" t="s">
        <v>20</v>
      </c>
      <c r="H1503" s="35">
        <v>30</v>
      </c>
      <c r="I1503" s="33" t="s">
        <v>21</v>
      </c>
      <c r="J1503" s="42">
        <v>44053</v>
      </c>
      <c r="K1503" s="33" t="s">
        <v>22</v>
      </c>
    </row>
    <row r="1504" spans="1:11">
      <c r="A1504" s="30" t="s">
        <v>3849</v>
      </c>
      <c r="B1504" s="30" t="s">
        <v>3850</v>
      </c>
      <c r="C1504" s="30" t="s">
        <v>3622</v>
      </c>
      <c r="D1504" s="30" t="s">
        <v>17</v>
      </c>
      <c r="E1504" s="30" t="s">
        <v>26</v>
      </c>
      <c r="F1504" s="30" t="s">
        <v>27</v>
      </c>
      <c r="G1504" s="30" t="s">
        <v>20</v>
      </c>
      <c r="H1504" s="32">
        <v>75</v>
      </c>
      <c r="I1504" s="30" t="s">
        <v>21</v>
      </c>
      <c r="J1504" s="41">
        <v>44061</v>
      </c>
      <c r="K1504" s="30" t="s">
        <v>22</v>
      </c>
    </row>
    <row r="1505" spans="1:11">
      <c r="A1505" s="33" t="s">
        <v>3851</v>
      </c>
      <c r="B1505" s="33" t="s">
        <v>3852</v>
      </c>
      <c r="C1505" s="33" t="s">
        <v>3655</v>
      </c>
      <c r="D1505" s="33" t="s">
        <v>17</v>
      </c>
      <c r="E1505" s="33" t="s">
        <v>67</v>
      </c>
      <c r="F1505" s="33" t="s">
        <v>68</v>
      </c>
      <c r="G1505" s="33" t="s">
        <v>106</v>
      </c>
      <c r="H1505" s="35">
        <v>54</v>
      </c>
      <c r="I1505" s="33" t="s">
        <v>21</v>
      </c>
      <c r="J1505" s="42">
        <v>44001</v>
      </c>
      <c r="K1505" s="33" t="s">
        <v>22</v>
      </c>
    </row>
    <row r="1506" spans="1:11">
      <c r="A1506" s="30" t="s">
        <v>3853</v>
      </c>
      <c r="B1506" s="30" t="s">
        <v>3854</v>
      </c>
      <c r="C1506" s="30" t="s">
        <v>3855</v>
      </c>
      <c r="D1506" s="30" t="s">
        <v>17</v>
      </c>
      <c r="E1506" s="30" t="s">
        <v>18</v>
      </c>
      <c r="F1506" s="30" t="s">
        <v>19</v>
      </c>
      <c r="G1506" s="30" t="s">
        <v>158</v>
      </c>
      <c r="H1506" s="32">
        <v>129</v>
      </c>
      <c r="I1506" s="30" t="s">
        <v>21</v>
      </c>
      <c r="J1506" s="41">
        <v>43934</v>
      </c>
      <c r="K1506" s="30" t="s">
        <v>22</v>
      </c>
    </row>
    <row r="1507" spans="1:11">
      <c r="A1507" s="33" t="s">
        <v>3856</v>
      </c>
      <c r="B1507" s="33" t="s">
        <v>3857</v>
      </c>
      <c r="C1507" s="33" t="s">
        <v>362</v>
      </c>
      <c r="D1507" s="33" t="s">
        <v>17</v>
      </c>
      <c r="E1507" s="33" t="s">
        <v>26</v>
      </c>
      <c r="F1507" s="33" t="s">
        <v>27</v>
      </c>
      <c r="G1507" s="33" t="s">
        <v>20</v>
      </c>
      <c r="H1507" s="35">
        <v>88</v>
      </c>
      <c r="I1507" s="33" t="s">
        <v>21</v>
      </c>
      <c r="J1507" s="42">
        <v>44141</v>
      </c>
      <c r="K1507" s="33" t="s">
        <v>22</v>
      </c>
    </row>
    <row r="1508" spans="1:11">
      <c r="A1508" s="30" t="s">
        <v>3858</v>
      </c>
      <c r="B1508" s="30" t="s">
        <v>3859</v>
      </c>
      <c r="C1508" s="30" t="s">
        <v>2490</v>
      </c>
      <c r="D1508" s="30" t="s">
        <v>17</v>
      </c>
      <c r="E1508" s="30" t="s">
        <v>18</v>
      </c>
      <c r="F1508" s="30" t="s">
        <v>19</v>
      </c>
      <c r="G1508" s="30" t="s">
        <v>20</v>
      </c>
      <c r="H1508" s="32">
        <v>290</v>
      </c>
      <c r="I1508" s="30" t="s">
        <v>21</v>
      </c>
      <c r="J1508" s="41">
        <v>43836</v>
      </c>
      <c r="K1508" s="30" t="s">
        <v>22</v>
      </c>
    </row>
    <row r="1509" spans="1:11">
      <c r="A1509" s="33" t="s">
        <v>3860</v>
      </c>
      <c r="B1509" s="33" t="s">
        <v>3861</v>
      </c>
      <c r="C1509" s="33" t="s">
        <v>3862</v>
      </c>
      <c r="D1509" s="33" t="s">
        <v>17</v>
      </c>
      <c r="E1509" s="33" t="s">
        <v>26</v>
      </c>
      <c r="F1509" s="33" t="s">
        <v>27</v>
      </c>
      <c r="G1509" s="33" t="s">
        <v>20</v>
      </c>
      <c r="H1509" s="35">
        <v>37</v>
      </c>
      <c r="I1509" s="33" t="s">
        <v>21</v>
      </c>
      <c r="J1509" s="42">
        <v>43970</v>
      </c>
      <c r="K1509" s="33" t="s">
        <v>22</v>
      </c>
    </row>
    <row r="1510" spans="1:11">
      <c r="A1510" s="30" t="s">
        <v>3863</v>
      </c>
      <c r="B1510" s="30" t="s">
        <v>3864</v>
      </c>
      <c r="C1510" s="30" t="s">
        <v>647</v>
      </c>
      <c r="D1510" s="30" t="s">
        <v>17</v>
      </c>
      <c r="E1510" s="30" t="s">
        <v>31</v>
      </c>
      <c r="F1510" s="30" t="s">
        <v>32</v>
      </c>
      <c r="G1510" s="30" t="s">
        <v>20</v>
      </c>
      <c r="H1510" s="32">
        <v>127</v>
      </c>
      <c r="I1510" s="30" t="s">
        <v>21</v>
      </c>
      <c r="J1510" s="41">
        <v>44042</v>
      </c>
      <c r="K1510" s="30" t="s">
        <v>22</v>
      </c>
    </row>
    <row r="1511" spans="1:11">
      <c r="A1511" s="33" t="s">
        <v>3865</v>
      </c>
      <c r="B1511" s="33" t="s">
        <v>3866</v>
      </c>
      <c r="C1511" s="33" t="s">
        <v>149</v>
      </c>
      <c r="D1511" s="33" t="s">
        <v>17</v>
      </c>
      <c r="E1511" s="33" t="s">
        <v>26</v>
      </c>
      <c r="F1511" s="33" t="s">
        <v>27</v>
      </c>
      <c r="G1511" s="33" t="s">
        <v>20</v>
      </c>
      <c r="H1511" s="35">
        <v>18</v>
      </c>
      <c r="I1511" s="33" t="s">
        <v>21</v>
      </c>
      <c r="J1511" s="42">
        <v>43979</v>
      </c>
      <c r="K1511" s="33" t="s">
        <v>22</v>
      </c>
    </row>
    <row r="1512" spans="1:11">
      <c r="A1512" s="30" t="s">
        <v>3867</v>
      </c>
      <c r="B1512" s="30" t="s">
        <v>3868</v>
      </c>
      <c r="C1512" s="30" t="s">
        <v>644</v>
      </c>
      <c r="D1512" s="30" t="s">
        <v>17</v>
      </c>
      <c r="E1512" s="30" t="s">
        <v>31</v>
      </c>
      <c r="F1512" s="30" t="s">
        <v>32</v>
      </c>
      <c r="G1512" s="30" t="s">
        <v>20</v>
      </c>
      <c r="H1512" s="32">
        <v>44</v>
      </c>
      <c r="I1512" s="30" t="s">
        <v>21</v>
      </c>
      <c r="J1512" s="41">
        <v>43934</v>
      </c>
      <c r="K1512" s="30" t="s">
        <v>22</v>
      </c>
    </row>
    <row r="1513" spans="1:11">
      <c r="A1513" s="33" t="s">
        <v>3869</v>
      </c>
      <c r="B1513" s="33" t="s">
        <v>3870</v>
      </c>
      <c r="C1513" s="33" t="s">
        <v>3871</v>
      </c>
      <c r="D1513" s="33" t="s">
        <v>17</v>
      </c>
      <c r="E1513" s="33" t="s">
        <v>18</v>
      </c>
      <c r="F1513" s="33" t="s">
        <v>19</v>
      </c>
      <c r="G1513" s="33" t="s">
        <v>20</v>
      </c>
      <c r="H1513" s="35">
        <v>500</v>
      </c>
      <c r="I1513" s="33" t="s">
        <v>21</v>
      </c>
      <c r="J1513" s="42">
        <v>44085</v>
      </c>
      <c r="K1513" s="33" t="s">
        <v>22</v>
      </c>
    </row>
    <row r="1514" spans="1:11">
      <c r="A1514" s="30" t="s">
        <v>3872</v>
      </c>
      <c r="B1514" s="30" t="s">
        <v>3873</v>
      </c>
      <c r="C1514" s="30" t="s">
        <v>2289</v>
      </c>
      <c r="D1514" s="30" t="s">
        <v>17</v>
      </c>
      <c r="E1514" s="30" t="s">
        <v>26</v>
      </c>
      <c r="F1514" s="30" t="s">
        <v>27</v>
      </c>
      <c r="G1514" s="30" t="s">
        <v>20</v>
      </c>
      <c r="H1514" s="32">
        <v>48</v>
      </c>
      <c r="I1514" s="30" t="s">
        <v>21</v>
      </c>
      <c r="J1514" s="41">
        <v>44134</v>
      </c>
      <c r="K1514" s="30" t="s">
        <v>22</v>
      </c>
    </row>
    <row r="1515" spans="1:11">
      <c r="A1515" s="33" t="s">
        <v>3874</v>
      </c>
      <c r="B1515" s="33" t="s">
        <v>3875</v>
      </c>
      <c r="C1515" s="33" t="s">
        <v>426</v>
      </c>
      <c r="D1515" s="33" t="s">
        <v>17</v>
      </c>
      <c r="E1515" s="33" t="s">
        <v>31</v>
      </c>
      <c r="F1515" s="33" t="s">
        <v>32</v>
      </c>
      <c r="G1515" s="33" t="s">
        <v>50</v>
      </c>
      <c r="H1515" s="35">
        <v>122</v>
      </c>
      <c r="I1515" s="33" t="s">
        <v>51</v>
      </c>
      <c r="J1515" s="42">
        <v>43985</v>
      </c>
      <c r="K1515" s="33" t="s">
        <v>22</v>
      </c>
    </row>
    <row r="1516" spans="1:11">
      <c r="A1516" s="30" t="s">
        <v>3876</v>
      </c>
      <c r="B1516" s="30" t="s">
        <v>3877</v>
      </c>
      <c r="C1516" s="30" t="s">
        <v>684</v>
      </c>
      <c r="D1516" s="30" t="s">
        <v>17</v>
      </c>
      <c r="E1516" s="30" t="s">
        <v>31</v>
      </c>
      <c r="F1516" s="30" t="s">
        <v>32</v>
      </c>
      <c r="G1516" s="30" t="s">
        <v>20</v>
      </c>
      <c r="H1516" s="32">
        <v>92</v>
      </c>
      <c r="I1516" s="30" t="s">
        <v>21</v>
      </c>
      <c r="J1516" s="41">
        <v>44026</v>
      </c>
      <c r="K1516" s="30" t="s">
        <v>22</v>
      </c>
    </row>
    <row r="1517" spans="1:11">
      <c r="A1517" s="33" t="s">
        <v>3878</v>
      </c>
      <c r="B1517" s="33" t="s">
        <v>3879</v>
      </c>
      <c r="C1517" s="33" t="s">
        <v>190</v>
      </c>
      <c r="D1517" s="33" t="s">
        <v>17</v>
      </c>
      <c r="E1517" s="33" t="s">
        <v>18</v>
      </c>
      <c r="F1517" s="33" t="s">
        <v>19</v>
      </c>
      <c r="G1517" s="33" t="s">
        <v>158</v>
      </c>
      <c r="H1517" s="35">
        <v>185</v>
      </c>
      <c r="I1517" s="33" t="s">
        <v>21</v>
      </c>
      <c r="J1517" s="42">
        <v>44047</v>
      </c>
      <c r="K1517" s="33" t="s">
        <v>22</v>
      </c>
    </row>
    <row r="1518" spans="1:11">
      <c r="A1518" s="30" t="s">
        <v>3880</v>
      </c>
      <c r="B1518" s="30" t="s">
        <v>3881</v>
      </c>
      <c r="C1518" s="30" t="s">
        <v>78</v>
      </c>
      <c r="D1518" s="30" t="s">
        <v>17</v>
      </c>
      <c r="E1518" s="30" t="s">
        <v>26</v>
      </c>
      <c r="F1518" s="30" t="s">
        <v>27</v>
      </c>
      <c r="G1518" s="30" t="s">
        <v>50</v>
      </c>
      <c r="H1518" s="32">
        <v>24</v>
      </c>
      <c r="I1518" s="30" t="s">
        <v>21</v>
      </c>
      <c r="J1518" s="41">
        <v>44131</v>
      </c>
      <c r="K1518" s="30" t="s">
        <v>22</v>
      </c>
    </row>
    <row r="1519" spans="1:11">
      <c r="A1519" s="33" t="s">
        <v>3882</v>
      </c>
      <c r="B1519" s="33" t="s">
        <v>3883</v>
      </c>
      <c r="C1519" s="33" t="s">
        <v>3884</v>
      </c>
      <c r="D1519" s="33" t="s">
        <v>17</v>
      </c>
      <c r="E1519" s="33" t="s">
        <v>31</v>
      </c>
      <c r="F1519" s="33" t="s">
        <v>32</v>
      </c>
      <c r="G1519" s="33" t="s">
        <v>50</v>
      </c>
      <c r="H1519" s="35">
        <v>178</v>
      </c>
      <c r="I1519" s="33" t="s">
        <v>51</v>
      </c>
      <c r="J1519" s="42">
        <v>44153</v>
      </c>
      <c r="K1519" s="33" t="s">
        <v>22</v>
      </c>
    </row>
    <row r="1520" spans="1:11">
      <c r="A1520" s="30" t="s">
        <v>3885</v>
      </c>
      <c r="B1520" s="30" t="s">
        <v>3886</v>
      </c>
      <c r="C1520" s="30" t="s">
        <v>157</v>
      </c>
      <c r="D1520" s="30" t="s">
        <v>17</v>
      </c>
      <c r="E1520" s="30" t="s">
        <v>31</v>
      </c>
      <c r="F1520" s="30" t="s">
        <v>32</v>
      </c>
      <c r="G1520" s="30" t="s">
        <v>20</v>
      </c>
      <c r="H1520" s="32">
        <v>164</v>
      </c>
      <c r="I1520" s="30" t="s">
        <v>21</v>
      </c>
      <c r="J1520" s="41">
        <v>44117</v>
      </c>
      <c r="K1520" s="30" t="s">
        <v>22</v>
      </c>
    </row>
    <row r="1521" spans="1:11">
      <c r="A1521" s="33" t="s">
        <v>3887</v>
      </c>
      <c r="B1521" s="33" t="s">
        <v>3888</v>
      </c>
      <c r="C1521" s="33" t="s">
        <v>3889</v>
      </c>
      <c r="D1521" s="33" t="s">
        <v>17</v>
      </c>
      <c r="E1521" s="33" t="s">
        <v>67</v>
      </c>
      <c r="F1521" s="33" t="s">
        <v>68</v>
      </c>
      <c r="G1521" s="33" t="s">
        <v>140</v>
      </c>
      <c r="H1521" s="35">
        <v>224</v>
      </c>
      <c r="I1521" s="33" t="s">
        <v>51</v>
      </c>
      <c r="J1521" s="42">
        <v>43997</v>
      </c>
      <c r="K1521" s="33" t="s">
        <v>22</v>
      </c>
    </row>
    <row r="1522" spans="1:11">
      <c r="A1522" s="30" t="s">
        <v>3890</v>
      </c>
      <c r="B1522" s="30" t="s">
        <v>3891</v>
      </c>
      <c r="C1522" s="30" t="s">
        <v>3892</v>
      </c>
      <c r="D1522" s="30" t="s">
        <v>17</v>
      </c>
      <c r="E1522" s="30" t="s">
        <v>212</v>
      </c>
      <c r="F1522" s="30" t="s">
        <v>213</v>
      </c>
      <c r="G1522" s="30" t="s">
        <v>106</v>
      </c>
      <c r="H1522" s="32">
        <v>113</v>
      </c>
      <c r="I1522" s="30" t="s">
        <v>21</v>
      </c>
      <c r="J1522" s="41">
        <v>44182</v>
      </c>
      <c r="K1522" s="30" t="s">
        <v>22</v>
      </c>
    </row>
    <row r="1523" spans="1:11">
      <c r="A1523" s="33" t="s">
        <v>3893</v>
      </c>
      <c r="B1523" s="33" t="s">
        <v>3894</v>
      </c>
      <c r="C1523" s="33" t="s">
        <v>3302</v>
      </c>
      <c r="D1523" s="33" t="s">
        <v>17</v>
      </c>
      <c r="E1523" s="33" t="s">
        <v>31</v>
      </c>
      <c r="F1523" s="33" t="s">
        <v>32</v>
      </c>
      <c r="G1523" s="33" t="s">
        <v>20</v>
      </c>
      <c r="H1523" s="35">
        <v>40</v>
      </c>
      <c r="I1523" s="33" t="s">
        <v>21</v>
      </c>
      <c r="J1523" s="42">
        <v>43974</v>
      </c>
      <c r="K1523" s="33" t="s">
        <v>22</v>
      </c>
    </row>
    <row r="1524" spans="1:11">
      <c r="A1524" s="30" t="s">
        <v>3895</v>
      </c>
      <c r="B1524" s="30" t="s">
        <v>3896</v>
      </c>
      <c r="C1524" s="30" t="s">
        <v>118</v>
      </c>
      <c r="D1524" s="30" t="s">
        <v>17</v>
      </c>
      <c r="E1524" s="30" t="s">
        <v>26</v>
      </c>
      <c r="F1524" s="30" t="s">
        <v>27</v>
      </c>
      <c r="G1524" s="30" t="s">
        <v>20</v>
      </c>
      <c r="H1524" s="32">
        <v>14</v>
      </c>
      <c r="I1524" s="30" t="s">
        <v>21</v>
      </c>
      <c r="J1524" s="41">
        <v>44048</v>
      </c>
      <c r="K1524" s="30" t="s">
        <v>22</v>
      </c>
    </row>
    <row r="1525" spans="1:11">
      <c r="A1525" s="33" t="s">
        <v>3897</v>
      </c>
      <c r="B1525" s="33" t="s">
        <v>3898</v>
      </c>
      <c r="C1525" s="33" t="s">
        <v>432</v>
      </c>
      <c r="D1525" s="33" t="s">
        <v>17</v>
      </c>
      <c r="E1525" s="33" t="s">
        <v>26</v>
      </c>
      <c r="F1525" s="33" t="s">
        <v>27</v>
      </c>
      <c r="G1525" s="33" t="s">
        <v>20</v>
      </c>
      <c r="H1525" s="35">
        <v>14</v>
      </c>
      <c r="I1525" s="33" t="s">
        <v>21</v>
      </c>
      <c r="J1525" s="42">
        <v>44075</v>
      </c>
      <c r="K1525" s="33" t="s">
        <v>22</v>
      </c>
    </row>
    <row r="1526" spans="1:11">
      <c r="A1526" s="30" t="s">
        <v>3899</v>
      </c>
      <c r="B1526" s="30" t="s">
        <v>3900</v>
      </c>
      <c r="C1526" s="30" t="s">
        <v>3901</v>
      </c>
      <c r="D1526" s="30" t="s">
        <v>17</v>
      </c>
      <c r="E1526" s="30" t="s">
        <v>31</v>
      </c>
      <c r="F1526" s="30" t="s">
        <v>32</v>
      </c>
      <c r="G1526" s="30" t="s">
        <v>50</v>
      </c>
      <c r="H1526" s="32">
        <v>100</v>
      </c>
      <c r="I1526" s="30" t="s">
        <v>51</v>
      </c>
      <c r="J1526" s="41">
        <v>44135</v>
      </c>
      <c r="K1526" s="30" t="s">
        <v>22</v>
      </c>
    </row>
    <row r="1527" spans="1:11">
      <c r="A1527" s="33" t="s">
        <v>3902</v>
      </c>
      <c r="B1527" s="33" t="s">
        <v>3903</v>
      </c>
      <c r="C1527" s="33" t="s">
        <v>3904</v>
      </c>
      <c r="D1527" s="33" t="s">
        <v>17</v>
      </c>
      <c r="E1527" s="33" t="s">
        <v>18</v>
      </c>
      <c r="F1527" s="33" t="s">
        <v>19</v>
      </c>
      <c r="G1527" s="33" t="s">
        <v>50</v>
      </c>
      <c r="H1527" s="35">
        <v>300</v>
      </c>
      <c r="I1527" s="33" t="s">
        <v>51</v>
      </c>
      <c r="J1527" s="42">
        <v>44008</v>
      </c>
      <c r="K1527" s="33" t="s">
        <v>22</v>
      </c>
    </row>
    <row r="1528" spans="1:11">
      <c r="A1528" s="30" t="s">
        <v>3905</v>
      </c>
      <c r="B1528" s="30" t="s">
        <v>3906</v>
      </c>
      <c r="C1528" s="30" t="s">
        <v>3907</v>
      </c>
      <c r="D1528" s="30" t="s">
        <v>17</v>
      </c>
      <c r="E1528" s="30" t="s">
        <v>26</v>
      </c>
      <c r="F1528" s="30" t="s">
        <v>27</v>
      </c>
      <c r="G1528" s="30" t="s">
        <v>20</v>
      </c>
      <c r="H1528" s="32">
        <v>55</v>
      </c>
      <c r="I1528" s="30" t="s">
        <v>21</v>
      </c>
      <c r="J1528" s="41">
        <v>44109</v>
      </c>
      <c r="K1528" s="30" t="s">
        <v>22</v>
      </c>
    </row>
    <row r="1529" spans="1:11">
      <c r="A1529" s="33" t="s">
        <v>3908</v>
      </c>
      <c r="B1529" s="33" t="s">
        <v>3909</v>
      </c>
      <c r="C1529" s="33" t="s">
        <v>399</v>
      </c>
      <c r="D1529" s="33" t="s">
        <v>17</v>
      </c>
      <c r="E1529" s="33" t="s">
        <v>45</v>
      </c>
      <c r="F1529" s="33" t="s">
        <v>46</v>
      </c>
      <c r="G1529" s="33" t="s">
        <v>20</v>
      </c>
      <c r="H1529" s="35">
        <v>201</v>
      </c>
      <c r="I1529" s="33" t="s">
        <v>21</v>
      </c>
      <c r="J1529" s="42">
        <v>43843</v>
      </c>
      <c r="K1529" s="33" t="s">
        <v>22</v>
      </c>
    </row>
    <row r="1530" spans="1:11">
      <c r="A1530" s="30" t="s">
        <v>3910</v>
      </c>
      <c r="B1530" s="30" t="s">
        <v>3911</v>
      </c>
      <c r="C1530" s="30" t="s">
        <v>231</v>
      </c>
      <c r="D1530" s="30" t="s">
        <v>17</v>
      </c>
      <c r="E1530" s="30" t="s">
        <v>31</v>
      </c>
      <c r="F1530" s="30" t="s">
        <v>32</v>
      </c>
      <c r="G1530" s="30" t="s">
        <v>20</v>
      </c>
      <c r="H1530" s="32">
        <v>413</v>
      </c>
      <c r="I1530" s="30" t="s">
        <v>21</v>
      </c>
      <c r="J1530" s="41">
        <v>43951</v>
      </c>
      <c r="K1530" s="30" t="s">
        <v>22</v>
      </c>
    </row>
    <row r="1531" spans="1:11">
      <c r="A1531" s="33" t="s">
        <v>3912</v>
      </c>
      <c r="B1531" s="33" t="s">
        <v>3913</v>
      </c>
      <c r="C1531" s="33" t="s">
        <v>3914</v>
      </c>
      <c r="D1531" s="33" t="s">
        <v>17</v>
      </c>
      <c r="E1531" s="33" t="s">
        <v>31</v>
      </c>
      <c r="F1531" s="33" t="s">
        <v>32</v>
      </c>
      <c r="G1531" s="33" t="s">
        <v>20</v>
      </c>
      <c r="H1531" s="35">
        <v>102</v>
      </c>
      <c r="I1531" s="33" t="s">
        <v>21</v>
      </c>
      <c r="J1531" s="42">
        <v>44098</v>
      </c>
      <c r="K1531" s="33" t="s">
        <v>22</v>
      </c>
    </row>
    <row r="1532" spans="1:11">
      <c r="A1532" s="30" t="s">
        <v>3915</v>
      </c>
      <c r="B1532" s="30" t="s">
        <v>3916</v>
      </c>
      <c r="C1532" s="30" t="s">
        <v>3917</v>
      </c>
      <c r="D1532" s="30" t="s">
        <v>17</v>
      </c>
      <c r="E1532" s="30" t="s">
        <v>31</v>
      </c>
      <c r="F1532" s="30" t="s">
        <v>32</v>
      </c>
      <c r="G1532" s="30" t="s">
        <v>106</v>
      </c>
      <c r="H1532" s="32">
        <v>1</v>
      </c>
      <c r="I1532" s="30" t="s">
        <v>21</v>
      </c>
      <c r="J1532" s="41">
        <v>43981</v>
      </c>
      <c r="K1532" s="30" t="s">
        <v>22</v>
      </c>
    </row>
    <row r="1533" spans="1:11">
      <c r="A1533" s="33" t="s">
        <v>3918</v>
      </c>
      <c r="B1533" s="33" t="s">
        <v>3919</v>
      </c>
      <c r="C1533" s="33" t="s">
        <v>75</v>
      </c>
      <c r="D1533" s="33" t="s">
        <v>17</v>
      </c>
      <c r="E1533" s="33" t="s">
        <v>31</v>
      </c>
      <c r="F1533" s="33" t="s">
        <v>32</v>
      </c>
      <c r="G1533" s="33" t="s">
        <v>106</v>
      </c>
      <c r="H1533" s="35">
        <v>61</v>
      </c>
      <c r="I1533" s="33" t="s">
        <v>21</v>
      </c>
      <c r="J1533" s="42">
        <v>44118</v>
      </c>
      <c r="K1533" s="33" t="s">
        <v>22</v>
      </c>
    </row>
    <row r="1534" spans="1:11">
      <c r="A1534" s="30" t="s">
        <v>3920</v>
      </c>
      <c r="B1534" s="30" t="s">
        <v>3921</v>
      </c>
      <c r="C1534" s="30" t="s">
        <v>3922</v>
      </c>
      <c r="D1534" s="30" t="s">
        <v>17</v>
      </c>
      <c r="E1534" s="30" t="s">
        <v>45</v>
      </c>
      <c r="F1534" s="30" t="s">
        <v>46</v>
      </c>
      <c r="G1534" s="30" t="s">
        <v>106</v>
      </c>
      <c r="H1534" s="32">
        <v>509</v>
      </c>
      <c r="I1534" s="30" t="s">
        <v>21</v>
      </c>
      <c r="J1534" s="41">
        <v>44013</v>
      </c>
      <c r="K1534" s="30" t="s">
        <v>22</v>
      </c>
    </row>
    <row r="1535" spans="1:11">
      <c r="A1535" s="33" t="s">
        <v>3923</v>
      </c>
      <c r="B1535" s="33" t="s">
        <v>3924</v>
      </c>
      <c r="C1535" s="33" t="s">
        <v>440</v>
      </c>
      <c r="D1535" s="33" t="s">
        <v>17</v>
      </c>
      <c r="E1535" s="33" t="s">
        <v>18</v>
      </c>
      <c r="F1535" s="33" t="s">
        <v>19</v>
      </c>
      <c r="G1535" s="33" t="s">
        <v>112</v>
      </c>
      <c r="H1535" s="35">
        <v>0</v>
      </c>
      <c r="I1535" s="33" t="s">
        <v>21</v>
      </c>
      <c r="J1535" s="42">
        <v>44105</v>
      </c>
      <c r="K1535" s="33" t="s">
        <v>22</v>
      </c>
    </row>
    <row r="1536" spans="1:11">
      <c r="A1536" s="30" t="s">
        <v>3925</v>
      </c>
      <c r="B1536" s="30" t="s">
        <v>3926</v>
      </c>
      <c r="C1536" s="30" t="s">
        <v>3927</v>
      </c>
      <c r="D1536" s="30" t="s">
        <v>17</v>
      </c>
      <c r="E1536" s="30" t="s">
        <v>31</v>
      </c>
      <c r="F1536" s="30" t="s">
        <v>32</v>
      </c>
      <c r="G1536" s="30" t="s">
        <v>106</v>
      </c>
      <c r="H1536" s="32">
        <v>66</v>
      </c>
      <c r="I1536" s="30" t="s">
        <v>21</v>
      </c>
      <c r="J1536" s="41">
        <v>44105</v>
      </c>
      <c r="K1536" s="30" t="s">
        <v>22</v>
      </c>
    </row>
    <row r="1537" spans="1:11">
      <c r="A1537" s="33" t="s">
        <v>3928</v>
      </c>
      <c r="B1537" s="33" t="s">
        <v>3929</v>
      </c>
      <c r="C1537" s="33" t="s">
        <v>102</v>
      </c>
      <c r="D1537" s="33" t="s">
        <v>17</v>
      </c>
      <c r="E1537" s="33" t="s">
        <v>31</v>
      </c>
      <c r="F1537" s="33" t="s">
        <v>32</v>
      </c>
      <c r="G1537" s="33" t="s">
        <v>106</v>
      </c>
      <c r="H1537" s="35">
        <v>53</v>
      </c>
      <c r="I1537" s="33" t="s">
        <v>21</v>
      </c>
      <c r="J1537" s="42">
        <v>44175</v>
      </c>
      <c r="K1537" s="33" t="s">
        <v>22</v>
      </c>
    </row>
    <row r="1538" spans="1:11">
      <c r="A1538" s="30" t="s">
        <v>3930</v>
      </c>
      <c r="B1538" s="30" t="s">
        <v>3931</v>
      </c>
      <c r="C1538" s="30" t="s">
        <v>635</v>
      </c>
      <c r="D1538" s="30" t="s">
        <v>17</v>
      </c>
      <c r="E1538" s="30" t="s">
        <v>26</v>
      </c>
      <c r="F1538" s="30" t="s">
        <v>27</v>
      </c>
      <c r="G1538" s="30" t="s">
        <v>106</v>
      </c>
      <c r="H1538" s="32">
        <v>92</v>
      </c>
      <c r="I1538" s="30" t="s">
        <v>21</v>
      </c>
      <c r="J1538" s="41">
        <v>44133</v>
      </c>
      <c r="K1538" s="30" t="s">
        <v>22</v>
      </c>
    </row>
    <row r="1539" spans="1:11">
      <c r="A1539" s="33" t="s">
        <v>3932</v>
      </c>
      <c r="B1539" s="33" t="s">
        <v>3933</v>
      </c>
      <c r="C1539" s="33" t="s">
        <v>3934</v>
      </c>
      <c r="D1539" s="33" t="s">
        <v>17</v>
      </c>
      <c r="E1539" s="33" t="s">
        <v>31</v>
      </c>
      <c r="F1539" s="33" t="s">
        <v>32</v>
      </c>
      <c r="G1539" s="33" t="s">
        <v>20</v>
      </c>
      <c r="H1539" s="35">
        <v>24</v>
      </c>
      <c r="I1539" s="33" t="s">
        <v>21</v>
      </c>
      <c r="J1539" s="42">
        <v>43893</v>
      </c>
      <c r="K1539" s="33" t="s">
        <v>22</v>
      </c>
    </row>
    <row r="1540" spans="1:11">
      <c r="A1540" s="30" t="s">
        <v>3935</v>
      </c>
      <c r="B1540" s="30" t="s">
        <v>3936</v>
      </c>
      <c r="C1540" s="30" t="s">
        <v>450</v>
      </c>
      <c r="D1540" s="30" t="s">
        <v>17</v>
      </c>
      <c r="E1540" s="30" t="s">
        <v>212</v>
      </c>
      <c r="F1540" s="30" t="s">
        <v>213</v>
      </c>
      <c r="G1540" s="30" t="s">
        <v>112</v>
      </c>
      <c r="H1540" s="32">
        <v>0</v>
      </c>
      <c r="I1540" s="30" t="s">
        <v>21</v>
      </c>
      <c r="J1540" s="41">
        <v>43922</v>
      </c>
      <c r="K1540" s="30" t="s">
        <v>22</v>
      </c>
    </row>
    <row r="1541" spans="1:11">
      <c r="A1541" s="33" t="s">
        <v>3937</v>
      </c>
      <c r="B1541" s="33" t="s">
        <v>3938</v>
      </c>
      <c r="C1541" s="33" t="s">
        <v>3939</v>
      </c>
      <c r="D1541" s="33" t="s">
        <v>17</v>
      </c>
      <c r="E1541" s="33" t="s">
        <v>212</v>
      </c>
      <c r="F1541" s="33" t="s">
        <v>213</v>
      </c>
      <c r="G1541" s="33" t="s">
        <v>20</v>
      </c>
      <c r="H1541" s="35">
        <v>10</v>
      </c>
      <c r="I1541" s="33" t="s">
        <v>21</v>
      </c>
      <c r="J1541" s="42">
        <v>44134</v>
      </c>
      <c r="K1541" s="33" t="s">
        <v>22</v>
      </c>
    </row>
    <row r="1542" spans="1:11">
      <c r="A1542" s="30" t="s">
        <v>3940</v>
      </c>
      <c r="B1542" s="30" t="s">
        <v>3941</v>
      </c>
      <c r="C1542" s="30" t="s">
        <v>1090</v>
      </c>
      <c r="D1542" s="30" t="s">
        <v>17</v>
      </c>
      <c r="E1542" s="30" t="s">
        <v>31</v>
      </c>
      <c r="F1542" s="30" t="s">
        <v>32</v>
      </c>
      <c r="G1542" s="30" t="s">
        <v>106</v>
      </c>
      <c r="H1542" s="32">
        <v>45</v>
      </c>
      <c r="I1542" s="30" t="s">
        <v>21</v>
      </c>
      <c r="J1542" s="41">
        <v>44000</v>
      </c>
      <c r="K1542" s="30" t="s">
        <v>22</v>
      </c>
    </row>
    <row r="1543" spans="1:11">
      <c r="A1543" s="33" t="s">
        <v>3942</v>
      </c>
      <c r="B1543" s="33" t="s">
        <v>3943</v>
      </c>
      <c r="C1543" s="33" t="s">
        <v>3944</v>
      </c>
      <c r="D1543" s="33" t="s">
        <v>17</v>
      </c>
      <c r="E1543" s="33" t="s">
        <v>67</v>
      </c>
      <c r="F1543" s="33" t="s">
        <v>68</v>
      </c>
      <c r="G1543" s="33" t="s">
        <v>112</v>
      </c>
      <c r="H1543" s="35">
        <v>0</v>
      </c>
      <c r="I1543" s="33" t="s">
        <v>21</v>
      </c>
      <c r="J1543" s="42">
        <v>43881</v>
      </c>
      <c r="K1543" s="33" t="s">
        <v>22</v>
      </c>
    </row>
    <row r="1544" spans="1:11">
      <c r="A1544" s="30" t="s">
        <v>3945</v>
      </c>
      <c r="B1544" s="30" t="s">
        <v>3946</v>
      </c>
      <c r="C1544" s="30" t="s">
        <v>102</v>
      </c>
      <c r="D1544" s="30" t="s">
        <v>17</v>
      </c>
      <c r="E1544" s="30" t="s">
        <v>26</v>
      </c>
      <c r="F1544" s="30" t="s">
        <v>27</v>
      </c>
      <c r="G1544" s="30" t="s">
        <v>20</v>
      </c>
      <c r="H1544" s="32">
        <v>153</v>
      </c>
      <c r="I1544" s="30" t="s">
        <v>21</v>
      </c>
      <c r="J1544" s="41">
        <v>44161</v>
      </c>
      <c r="K1544" s="30" t="s">
        <v>22</v>
      </c>
    </row>
    <row r="1545" spans="1:11">
      <c r="A1545" s="33" t="s">
        <v>3947</v>
      </c>
      <c r="B1545" s="33" t="s">
        <v>3948</v>
      </c>
      <c r="C1545" s="33" t="s">
        <v>517</v>
      </c>
      <c r="D1545" s="33" t="s">
        <v>17</v>
      </c>
      <c r="E1545" s="33" t="s">
        <v>26</v>
      </c>
      <c r="F1545" s="33" t="s">
        <v>27</v>
      </c>
      <c r="G1545" s="33" t="s">
        <v>20</v>
      </c>
      <c r="H1545" s="35">
        <v>40</v>
      </c>
      <c r="I1545" s="33" t="s">
        <v>21</v>
      </c>
      <c r="J1545" s="42">
        <v>44071</v>
      </c>
      <c r="K1545" s="33" t="s">
        <v>22</v>
      </c>
    </row>
    <row r="1546" spans="1:11">
      <c r="A1546" s="30" t="s">
        <v>3949</v>
      </c>
      <c r="B1546" s="30" t="s">
        <v>3950</v>
      </c>
      <c r="C1546" s="30" t="s">
        <v>203</v>
      </c>
      <c r="D1546" s="30" t="s">
        <v>17</v>
      </c>
      <c r="E1546" s="30" t="s">
        <v>31</v>
      </c>
      <c r="F1546" s="30" t="s">
        <v>32</v>
      </c>
      <c r="G1546" s="30" t="s">
        <v>106</v>
      </c>
      <c r="H1546" s="32">
        <v>105</v>
      </c>
      <c r="I1546" s="30" t="s">
        <v>21</v>
      </c>
      <c r="J1546" s="41">
        <v>43865</v>
      </c>
      <c r="K1546" s="30" t="s">
        <v>22</v>
      </c>
    </row>
    <row r="1547" spans="1:11">
      <c r="A1547" s="33" t="s">
        <v>3951</v>
      </c>
      <c r="B1547" s="33" t="s">
        <v>3952</v>
      </c>
      <c r="C1547" s="33" t="s">
        <v>231</v>
      </c>
      <c r="D1547" s="33" t="s">
        <v>17</v>
      </c>
      <c r="E1547" s="33" t="s">
        <v>18</v>
      </c>
      <c r="F1547" s="33" t="s">
        <v>19</v>
      </c>
      <c r="G1547" s="33" t="s">
        <v>20</v>
      </c>
      <c r="H1547" s="35">
        <v>6522</v>
      </c>
      <c r="I1547" s="33" t="s">
        <v>21</v>
      </c>
      <c r="J1547" s="42">
        <v>44181</v>
      </c>
      <c r="K1547" s="33" t="s">
        <v>22</v>
      </c>
    </row>
    <row r="1548" spans="1:11">
      <c r="A1548" s="30" t="s">
        <v>3953</v>
      </c>
      <c r="B1548" s="30" t="s">
        <v>3954</v>
      </c>
      <c r="C1548" s="30" t="s">
        <v>2490</v>
      </c>
      <c r="D1548" s="30" t="s">
        <v>17</v>
      </c>
      <c r="E1548" s="30" t="s">
        <v>26</v>
      </c>
      <c r="F1548" s="30" t="s">
        <v>27</v>
      </c>
      <c r="G1548" s="30" t="s">
        <v>20</v>
      </c>
      <c r="H1548" s="32">
        <v>36</v>
      </c>
      <c r="I1548" s="30" t="s">
        <v>21</v>
      </c>
      <c r="J1548" s="41">
        <v>43852</v>
      </c>
      <c r="K1548" s="30" t="s">
        <v>22</v>
      </c>
    </row>
    <row r="1549" spans="1:11">
      <c r="A1549" s="33" t="s">
        <v>3955</v>
      </c>
      <c r="B1549" s="33" t="s">
        <v>3956</v>
      </c>
      <c r="C1549" s="33" t="s">
        <v>3957</v>
      </c>
      <c r="D1549" s="33" t="s">
        <v>17</v>
      </c>
      <c r="E1549" s="33" t="s">
        <v>18</v>
      </c>
      <c r="F1549" s="33" t="s">
        <v>19</v>
      </c>
      <c r="G1549" s="33" t="s">
        <v>158</v>
      </c>
      <c r="H1549" s="35">
        <v>24</v>
      </c>
      <c r="I1549" s="33" t="s">
        <v>51</v>
      </c>
      <c r="J1549" s="42">
        <v>44186</v>
      </c>
      <c r="K1549" s="33" t="s">
        <v>22</v>
      </c>
    </row>
    <row r="1550" spans="1:11">
      <c r="A1550" s="30" t="s">
        <v>3958</v>
      </c>
      <c r="B1550" s="30" t="s">
        <v>3959</v>
      </c>
      <c r="C1550" s="30" t="s">
        <v>3459</v>
      </c>
      <c r="D1550" s="30" t="s">
        <v>17</v>
      </c>
      <c r="E1550" s="30" t="s">
        <v>26</v>
      </c>
      <c r="F1550" s="30" t="s">
        <v>27</v>
      </c>
      <c r="G1550" s="30" t="s">
        <v>20</v>
      </c>
      <c r="H1550" s="32">
        <v>20</v>
      </c>
      <c r="I1550" s="30" t="s">
        <v>21</v>
      </c>
      <c r="J1550" s="41">
        <v>43889</v>
      </c>
      <c r="K1550" s="30" t="s">
        <v>22</v>
      </c>
    </row>
    <row r="1551" spans="1:11">
      <c r="A1551" s="33" t="s">
        <v>3960</v>
      </c>
      <c r="B1551" s="33" t="s">
        <v>3961</v>
      </c>
      <c r="C1551" s="33" t="s">
        <v>54</v>
      </c>
      <c r="D1551" s="33" t="s">
        <v>17</v>
      </c>
      <c r="E1551" s="33" t="s">
        <v>18</v>
      </c>
      <c r="F1551" s="33" t="s">
        <v>19</v>
      </c>
      <c r="G1551" s="33" t="s">
        <v>106</v>
      </c>
      <c r="H1551" s="35">
        <v>384</v>
      </c>
      <c r="I1551" s="33" t="s">
        <v>21</v>
      </c>
      <c r="J1551" s="42">
        <v>44148</v>
      </c>
      <c r="K1551" s="33" t="s">
        <v>22</v>
      </c>
    </row>
    <row r="1552" spans="1:11">
      <c r="A1552" s="30" t="s">
        <v>3962</v>
      </c>
      <c r="B1552" s="30" t="s">
        <v>3963</v>
      </c>
      <c r="C1552" s="30" t="s">
        <v>3964</v>
      </c>
      <c r="D1552" s="30" t="s">
        <v>17</v>
      </c>
      <c r="E1552" s="30" t="s">
        <v>31</v>
      </c>
      <c r="F1552" s="30" t="s">
        <v>32</v>
      </c>
      <c r="G1552" s="30" t="s">
        <v>50</v>
      </c>
      <c r="H1552" s="32">
        <v>90</v>
      </c>
      <c r="I1552" s="30" t="s">
        <v>51</v>
      </c>
      <c r="J1552" s="41">
        <v>44078</v>
      </c>
      <c r="K1552" s="30" t="s">
        <v>22</v>
      </c>
    </row>
    <row r="1553" spans="1:11">
      <c r="A1553" s="33" t="s">
        <v>3965</v>
      </c>
      <c r="B1553" s="33" t="s">
        <v>3966</v>
      </c>
      <c r="C1553" s="33" t="s">
        <v>674</v>
      </c>
      <c r="D1553" s="33" t="s">
        <v>17</v>
      </c>
      <c r="E1553" s="33" t="s">
        <v>18</v>
      </c>
      <c r="F1553" s="33" t="s">
        <v>19</v>
      </c>
      <c r="G1553" s="33" t="s">
        <v>20</v>
      </c>
      <c r="H1553" s="35">
        <v>120</v>
      </c>
      <c r="I1553" s="33" t="s">
        <v>21</v>
      </c>
      <c r="J1553" s="42">
        <v>43875</v>
      </c>
      <c r="K1553" s="33" t="s">
        <v>22</v>
      </c>
    </row>
    <row r="1554" spans="1:11">
      <c r="A1554" s="30" t="s">
        <v>3967</v>
      </c>
      <c r="B1554" s="30" t="s">
        <v>3968</v>
      </c>
      <c r="C1554" s="30" t="s">
        <v>1764</v>
      </c>
      <c r="D1554" s="30" t="s">
        <v>17</v>
      </c>
      <c r="E1554" s="30" t="s">
        <v>31</v>
      </c>
      <c r="F1554" s="30" t="s">
        <v>32</v>
      </c>
      <c r="G1554" s="30" t="s">
        <v>20</v>
      </c>
      <c r="H1554" s="32">
        <v>100</v>
      </c>
      <c r="I1554" s="30" t="s">
        <v>21</v>
      </c>
      <c r="J1554" s="41">
        <v>44112</v>
      </c>
      <c r="K1554" s="30" t="s">
        <v>22</v>
      </c>
    </row>
    <row r="1555" spans="1:11">
      <c r="A1555" s="33" t="s">
        <v>3969</v>
      </c>
      <c r="B1555" s="33" t="s">
        <v>3970</v>
      </c>
      <c r="C1555" s="33" t="s">
        <v>3971</v>
      </c>
      <c r="D1555" s="33" t="s">
        <v>17</v>
      </c>
      <c r="E1555" s="33" t="s">
        <v>26</v>
      </c>
      <c r="F1555" s="33" t="s">
        <v>27</v>
      </c>
      <c r="G1555" s="33" t="s">
        <v>20</v>
      </c>
      <c r="H1555" s="35">
        <v>80</v>
      </c>
      <c r="I1555" s="33" t="s">
        <v>21</v>
      </c>
      <c r="J1555" s="42">
        <v>44167</v>
      </c>
      <c r="K1555" s="33" t="s">
        <v>22</v>
      </c>
    </row>
    <row r="1556" spans="1:11">
      <c r="A1556" s="30" t="s">
        <v>3972</v>
      </c>
      <c r="B1556" s="30" t="s">
        <v>3973</v>
      </c>
      <c r="C1556" s="30" t="s">
        <v>2706</v>
      </c>
      <c r="D1556" s="30" t="s">
        <v>17</v>
      </c>
      <c r="E1556" s="30" t="s">
        <v>26</v>
      </c>
      <c r="F1556" s="30" t="s">
        <v>27</v>
      </c>
      <c r="G1556" s="30" t="s">
        <v>20</v>
      </c>
      <c r="H1556" s="32">
        <v>12</v>
      </c>
      <c r="I1556" s="30" t="s">
        <v>21</v>
      </c>
      <c r="J1556" s="41">
        <v>44192</v>
      </c>
      <c r="K1556" s="30" t="s">
        <v>22</v>
      </c>
    </row>
    <row r="1557" spans="1:11">
      <c r="A1557" s="33" t="s">
        <v>3974</v>
      </c>
      <c r="B1557" s="33" t="s">
        <v>3975</v>
      </c>
      <c r="C1557" s="33" t="s">
        <v>684</v>
      </c>
      <c r="D1557" s="33" t="s">
        <v>17</v>
      </c>
      <c r="E1557" s="33" t="s">
        <v>31</v>
      </c>
      <c r="F1557" s="33" t="s">
        <v>32</v>
      </c>
      <c r="G1557" s="33" t="s">
        <v>20</v>
      </c>
      <c r="H1557" s="35">
        <v>30</v>
      </c>
      <c r="I1557" s="33" t="s">
        <v>21</v>
      </c>
      <c r="J1557" s="42">
        <v>44165</v>
      </c>
      <c r="K1557" s="33" t="s">
        <v>22</v>
      </c>
    </row>
    <row r="1558" spans="1:11">
      <c r="A1558" s="30" t="s">
        <v>3976</v>
      </c>
      <c r="B1558" s="30" t="s">
        <v>3977</v>
      </c>
      <c r="C1558" s="30" t="s">
        <v>3978</v>
      </c>
      <c r="D1558" s="30" t="s">
        <v>17</v>
      </c>
      <c r="E1558" s="30" t="s">
        <v>18</v>
      </c>
      <c r="F1558" s="30" t="s">
        <v>19</v>
      </c>
      <c r="G1558" s="30" t="s">
        <v>20</v>
      </c>
      <c r="H1558" s="32">
        <v>36</v>
      </c>
      <c r="I1558" s="30" t="s">
        <v>21</v>
      </c>
      <c r="J1558" s="41">
        <v>44075</v>
      </c>
      <c r="K1558" s="30" t="s">
        <v>22</v>
      </c>
    </row>
    <row r="1559" spans="1:11">
      <c r="A1559" s="33" t="s">
        <v>3979</v>
      </c>
      <c r="B1559" s="33" t="s">
        <v>3980</v>
      </c>
      <c r="C1559" s="33" t="s">
        <v>2913</v>
      </c>
      <c r="D1559" s="33" t="s">
        <v>17</v>
      </c>
      <c r="E1559" s="33" t="s">
        <v>31</v>
      </c>
      <c r="F1559" s="33" t="s">
        <v>32</v>
      </c>
      <c r="G1559" s="33" t="s">
        <v>112</v>
      </c>
      <c r="H1559" s="35">
        <v>0</v>
      </c>
      <c r="I1559" s="33" t="s">
        <v>21</v>
      </c>
      <c r="J1559" s="42">
        <v>44013</v>
      </c>
      <c r="K1559" s="33" t="s">
        <v>22</v>
      </c>
    </row>
    <row r="1560" spans="1:11">
      <c r="A1560" s="30" t="s">
        <v>3981</v>
      </c>
      <c r="B1560" s="30" t="s">
        <v>3982</v>
      </c>
      <c r="C1560" s="30" t="s">
        <v>3983</v>
      </c>
      <c r="D1560" s="30" t="s">
        <v>17</v>
      </c>
      <c r="E1560" s="30" t="s">
        <v>26</v>
      </c>
      <c r="F1560" s="30" t="s">
        <v>27</v>
      </c>
      <c r="G1560" s="30" t="s">
        <v>20</v>
      </c>
      <c r="H1560" s="32">
        <v>18</v>
      </c>
      <c r="I1560" s="30" t="s">
        <v>21</v>
      </c>
      <c r="J1560" s="41">
        <v>44132</v>
      </c>
      <c r="K1560" s="30" t="s">
        <v>22</v>
      </c>
    </row>
    <row r="1561" spans="1:11">
      <c r="A1561" s="33" t="s">
        <v>3984</v>
      </c>
      <c r="B1561" s="33" t="s">
        <v>3985</v>
      </c>
      <c r="C1561" s="33" t="s">
        <v>3986</v>
      </c>
      <c r="D1561" s="33" t="s">
        <v>17</v>
      </c>
      <c r="E1561" s="33" t="s">
        <v>67</v>
      </c>
      <c r="F1561" s="33" t="s">
        <v>68</v>
      </c>
      <c r="G1561" s="33" t="s">
        <v>106</v>
      </c>
      <c r="H1561" s="35">
        <v>42</v>
      </c>
      <c r="I1561" s="33" t="s">
        <v>21</v>
      </c>
      <c r="J1561" s="42">
        <v>44005</v>
      </c>
      <c r="K1561" s="33" t="s">
        <v>22</v>
      </c>
    </row>
    <row r="1562" spans="1:11">
      <c r="A1562" s="30" t="s">
        <v>3987</v>
      </c>
      <c r="B1562" s="30" t="s">
        <v>3988</v>
      </c>
      <c r="C1562" s="30" t="s">
        <v>3989</v>
      </c>
      <c r="D1562" s="30" t="s">
        <v>17</v>
      </c>
      <c r="E1562" s="30" t="s">
        <v>45</v>
      </c>
      <c r="F1562" s="30" t="s">
        <v>46</v>
      </c>
      <c r="G1562" s="30" t="s">
        <v>158</v>
      </c>
      <c r="H1562" s="32">
        <v>30918</v>
      </c>
      <c r="I1562" s="30" t="s">
        <v>51</v>
      </c>
      <c r="J1562" s="41">
        <v>44154</v>
      </c>
      <c r="K1562" s="30" t="s">
        <v>22</v>
      </c>
    </row>
    <row r="1563" spans="1:11">
      <c r="A1563" s="33" t="s">
        <v>3990</v>
      </c>
      <c r="B1563" s="33" t="s">
        <v>3991</v>
      </c>
      <c r="C1563" s="33" t="s">
        <v>371</v>
      </c>
      <c r="D1563" s="33" t="s">
        <v>17</v>
      </c>
      <c r="E1563" s="33" t="s">
        <v>31</v>
      </c>
      <c r="F1563" s="33" t="s">
        <v>32</v>
      </c>
      <c r="G1563" s="33" t="s">
        <v>20</v>
      </c>
      <c r="H1563" s="35">
        <v>25</v>
      </c>
      <c r="I1563" s="33" t="s">
        <v>21</v>
      </c>
      <c r="J1563" s="42">
        <v>43844</v>
      </c>
      <c r="K1563" s="33" t="s">
        <v>22</v>
      </c>
    </row>
    <row r="1564" spans="1:11">
      <c r="A1564" s="30" t="s">
        <v>3992</v>
      </c>
      <c r="B1564" s="30" t="s">
        <v>3993</v>
      </c>
      <c r="C1564" s="30" t="s">
        <v>178</v>
      </c>
      <c r="D1564" s="30" t="s">
        <v>17</v>
      </c>
      <c r="E1564" s="30" t="s">
        <v>31</v>
      </c>
      <c r="F1564" s="30" t="s">
        <v>32</v>
      </c>
      <c r="G1564" s="30" t="s">
        <v>20</v>
      </c>
      <c r="H1564" s="32">
        <v>23</v>
      </c>
      <c r="I1564" s="30" t="s">
        <v>21</v>
      </c>
      <c r="J1564" s="41">
        <v>44083</v>
      </c>
      <c r="K1564" s="30" t="s">
        <v>22</v>
      </c>
    </row>
    <row r="1565" spans="1:11">
      <c r="A1565" s="33" t="s">
        <v>3994</v>
      </c>
      <c r="B1565" s="33" t="s">
        <v>3995</v>
      </c>
      <c r="C1565" s="33" t="s">
        <v>102</v>
      </c>
      <c r="D1565" s="33" t="s">
        <v>17</v>
      </c>
      <c r="E1565" s="33" t="s">
        <v>26</v>
      </c>
      <c r="F1565" s="33" t="s">
        <v>27</v>
      </c>
      <c r="G1565" s="33" t="s">
        <v>20</v>
      </c>
      <c r="H1565" s="35">
        <v>14</v>
      </c>
      <c r="I1565" s="33" t="s">
        <v>21</v>
      </c>
      <c r="J1565" s="42">
        <v>44032</v>
      </c>
      <c r="K1565" s="33" t="s">
        <v>22</v>
      </c>
    </row>
    <row r="1566" spans="1:11">
      <c r="A1566" s="30" t="s">
        <v>3996</v>
      </c>
      <c r="B1566" s="30" t="s">
        <v>3997</v>
      </c>
      <c r="C1566" s="30" t="s">
        <v>647</v>
      </c>
      <c r="D1566" s="30" t="s">
        <v>17</v>
      </c>
      <c r="E1566" s="30" t="s">
        <v>45</v>
      </c>
      <c r="F1566" s="30" t="s">
        <v>46</v>
      </c>
      <c r="G1566" s="30" t="s">
        <v>20</v>
      </c>
      <c r="H1566" s="32">
        <v>1735</v>
      </c>
      <c r="I1566" s="30" t="s">
        <v>21</v>
      </c>
      <c r="J1566" s="41">
        <v>44123</v>
      </c>
      <c r="K1566" s="30" t="s">
        <v>22</v>
      </c>
    </row>
    <row r="1567" spans="1:11">
      <c r="A1567" s="33" t="s">
        <v>3998</v>
      </c>
      <c r="B1567" s="33" t="s">
        <v>3999</v>
      </c>
      <c r="C1567" s="33" t="s">
        <v>801</v>
      </c>
      <c r="D1567" s="33" t="s">
        <v>17</v>
      </c>
      <c r="E1567" s="33" t="s">
        <v>26</v>
      </c>
      <c r="F1567" s="33" t="s">
        <v>27</v>
      </c>
      <c r="G1567" s="33" t="s">
        <v>20</v>
      </c>
      <c r="H1567" s="35">
        <v>33</v>
      </c>
      <c r="I1567" s="33" t="s">
        <v>21</v>
      </c>
      <c r="J1567" s="42">
        <v>44118</v>
      </c>
      <c r="K1567" s="33" t="s">
        <v>22</v>
      </c>
    </row>
    <row r="1568" spans="1:11">
      <c r="A1568" s="30" t="s">
        <v>4000</v>
      </c>
      <c r="B1568" s="30" t="s">
        <v>4001</v>
      </c>
      <c r="C1568" s="30" t="s">
        <v>190</v>
      </c>
      <c r="D1568" s="30" t="s">
        <v>17</v>
      </c>
      <c r="E1568" s="30" t="s">
        <v>31</v>
      </c>
      <c r="F1568" s="30" t="s">
        <v>32</v>
      </c>
      <c r="G1568" s="30" t="s">
        <v>20</v>
      </c>
      <c r="H1568" s="32">
        <v>159</v>
      </c>
      <c r="I1568" s="30" t="s">
        <v>21</v>
      </c>
      <c r="J1568" s="41">
        <v>43970</v>
      </c>
      <c r="K1568" s="30" t="s">
        <v>22</v>
      </c>
    </row>
    <row r="1569" spans="1:11">
      <c r="A1569" s="33" t="s">
        <v>4002</v>
      </c>
      <c r="B1569" s="33" t="s">
        <v>4003</v>
      </c>
      <c r="C1569" s="33" t="s">
        <v>4004</v>
      </c>
      <c r="D1569" s="33" t="s">
        <v>17</v>
      </c>
      <c r="E1569" s="33" t="s">
        <v>67</v>
      </c>
      <c r="F1569" s="33" t="s">
        <v>68</v>
      </c>
      <c r="G1569" s="33" t="s">
        <v>20</v>
      </c>
      <c r="H1569" s="35">
        <v>156</v>
      </c>
      <c r="I1569" s="33" t="s">
        <v>21</v>
      </c>
      <c r="J1569" s="42">
        <v>43958</v>
      </c>
      <c r="K1569" s="33" t="s">
        <v>22</v>
      </c>
    </row>
    <row r="1570" spans="1:11">
      <c r="A1570" s="30" t="s">
        <v>4005</v>
      </c>
      <c r="B1570" s="30" t="s">
        <v>4006</v>
      </c>
      <c r="C1570" s="30" t="s">
        <v>4007</v>
      </c>
      <c r="D1570" s="30" t="s">
        <v>17</v>
      </c>
      <c r="E1570" s="30" t="s">
        <v>67</v>
      </c>
      <c r="F1570" s="30" t="s">
        <v>68</v>
      </c>
      <c r="G1570" s="30" t="s">
        <v>106</v>
      </c>
      <c r="H1570" s="32">
        <v>23</v>
      </c>
      <c r="I1570" s="30" t="s">
        <v>21</v>
      </c>
      <c r="J1570" s="41">
        <v>43923</v>
      </c>
      <c r="K1570" s="30" t="s">
        <v>22</v>
      </c>
    </row>
    <row r="1571" spans="1:11">
      <c r="A1571" s="33" t="s">
        <v>4008</v>
      </c>
      <c r="B1571" s="33" t="s">
        <v>4009</v>
      </c>
      <c r="C1571" s="33" t="s">
        <v>4010</v>
      </c>
      <c r="D1571" s="33" t="s">
        <v>17</v>
      </c>
      <c r="E1571" s="33" t="s">
        <v>45</v>
      </c>
      <c r="F1571" s="33" t="s">
        <v>46</v>
      </c>
      <c r="G1571" s="33" t="s">
        <v>20</v>
      </c>
      <c r="H1571" s="35">
        <v>110</v>
      </c>
      <c r="I1571" s="33" t="s">
        <v>21</v>
      </c>
      <c r="J1571" s="42">
        <v>43864</v>
      </c>
      <c r="K1571" s="33" t="s">
        <v>22</v>
      </c>
    </row>
    <row r="1572" spans="1:11">
      <c r="A1572" s="30" t="s">
        <v>4011</v>
      </c>
      <c r="B1572" s="30" t="s">
        <v>4012</v>
      </c>
      <c r="C1572" s="30" t="s">
        <v>549</v>
      </c>
      <c r="D1572" s="30" t="s">
        <v>17</v>
      </c>
      <c r="E1572" s="30" t="s">
        <v>18</v>
      </c>
      <c r="F1572" s="30" t="s">
        <v>19</v>
      </c>
      <c r="G1572" s="30" t="s">
        <v>106</v>
      </c>
      <c r="H1572" s="32">
        <v>33</v>
      </c>
      <c r="I1572" s="30" t="s">
        <v>21</v>
      </c>
      <c r="J1572" s="41">
        <v>43861</v>
      </c>
      <c r="K1572" s="30" t="s">
        <v>22</v>
      </c>
    </row>
    <row r="1573" spans="1:11">
      <c r="A1573" s="33" t="s">
        <v>4013</v>
      </c>
      <c r="B1573" s="33" t="s">
        <v>4014</v>
      </c>
      <c r="C1573" s="33" t="s">
        <v>4015</v>
      </c>
      <c r="D1573" s="33" t="s">
        <v>17</v>
      </c>
      <c r="E1573" s="33" t="s">
        <v>330</v>
      </c>
      <c r="F1573" s="33" t="s">
        <v>331</v>
      </c>
      <c r="G1573" s="33" t="s">
        <v>20</v>
      </c>
      <c r="H1573" s="35">
        <v>15</v>
      </c>
      <c r="I1573" s="33" t="s">
        <v>21</v>
      </c>
      <c r="J1573" s="42">
        <v>44089</v>
      </c>
      <c r="K1573" s="33" t="s">
        <v>22</v>
      </c>
    </row>
    <row r="1574" spans="1:11">
      <c r="A1574" s="30" t="s">
        <v>4016</v>
      </c>
      <c r="B1574" s="30" t="s">
        <v>4017</v>
      </c>
      <c r="C1574" s="30" t="s">
        <v>4018</v>
      </c>
      <c r="D1574" s="30" t="s">
        <v>17</v>
      </c>
      <c r="E1574" s="30" t="s">
        <v>31</v>
      </c>
      <c r="F1574" s="30" t="s">
        <v>32</v>
      </c>
      <c r="G1574" s="30" t="s">
        <v>50</v>
      </c>
      <c r="H1574" s="32">
        <v>50</v>
      </c>
      <c r="I1574" s="30" t="s">
        <v>51</v>
      </c>
      <c r="J1574" s="41">
        <v>44175</v>
      </c>
      <c r="K1574" s="30" t="s">
        <v>22</v>
      </c>
    </row>
    <row r="1575" spans="1:11">
      <c r="A1575" s="33" t="s">
        <v>4019</v>
      </c>
      <c r="B1575" s="33" t="s">
        <v>4020</v>
      </c>
      <c r="C1575" s="33" t="s">
        <v>96</v>
      </c>
      <c r="D1575" s="33" t="s">
        <v>17</v>
      </c>
      <c r="E1575" s="33" t="s">
        <v>26</v>
      </c>
      <c r="F1575" s="33" t="s">
        <v>27</v>
      </c>
      <c r="G1575" s="33" t="s">
        <v>20</v>
      </c>
      <c r="H1575" s="35">
        <v>10</v>
      </c>
      <c r="I1575" s="33" t="s">
        <v>21</v>
      </c>
      <c r="J1575" s="42">
        <v>43997</v>
      </c>
      <c r="K1575" s="33" t="s">
        <v>22</v>
      </c>
    </row>
    <row r="1576" spans="1:11">
      <c r="A1576" s="30" t="s">
        <v>4021</v>
      </c>
      <c r="B1576" s="30" t="s">
        <v>4022</v>
      </c>
      <c r="C1576" s="30" t="s">
        <v>4023</v>
      </c>
      <c r="D1576" s="30" t="s">
        <v>17</v>
      </c>
      <c r="E1576" s="30" t="s">
        <v>45</v>
      </c>
      <c r="F1576" s="30" t="s">
        <v>46</v>
      </c>
      <c r="G1576" s="30" t="s">
        <v>106</v>
      </c>
      <c r="H1576" s="32">
        <v>100</v>
      </c>
      <c r="I1576" s="30" t="s">
        <v>21</v>
      </c>
      <c r="J1576" s="41">
        <v>44095</v>
      </c>
      <c r="K1576" s="30" t="s">
        <v>22</v>
      </c>
    </row>
    <row r="1577" spans="1:11">
      <c r="A1577" s="33" t="s">
        <v>4024</v>
      </c>
      <c r="B1577" s="33" t="s">
        <v>4025</v>
      </c>
      <c r="C1577" s="33" t="s">
        <v>4026</v>
      </c>
      <c r="D1577" s="33" t="s">
        <v>17</v>
      </c>
      <c r="E1577" s="33" t="s">
        <v>31</v>
      </c>
      <c r="F1577" s="33" t="s">
        <v>32</v>
      </c>
      <c r="G1577" s="33" t="s">
        <v>20</v>
      </c>
      <c r="H1577" s="35">
        <v>142</v>
      </c>
      <c r="I1577" s="33" t="s">
        <v>21</v>
      </c>
      <c r="J1577" s="42">
        <v>44027</v>
      </c>
      <c r="K1577" s="33" t="s">
        <v>22</v>
      </c>
    </row>
    <row r="1578" spans="1:11">
      <c r="A1578" s="30" t="s">
        <v>4027</v>
      </c>
      <c r="B1578" s="30" t="s">
        <v>4028</v>
      </c>
      <c r="C1578" s="30" t="s">
        <v>4029</v>
      </c>
      <c r="D1578" s="30" t="s">
        <v>17</v>
      </c>
      <c r="E1578" s="30" t="s">
        <v>26</v>
      </c>
      <c r="F1578" s="30" t="s">
        <v>27</v>
      </c>
      <c r="G1578" s="30" t="s">
        <v>20</v>
      </c>
      <c r="H1578" s="32">
        <v>30</v>
      </c>
      <c r="I1578" s="30" t="s">
        <v>21</v>
      </c>
      <c r="J1578" s="41">
        <v>44118</v>
      </c>
      <c r="K1578" s="30" t="s">
        <v>22</v>
      </c>
    </row>
    <row r="1579" spans="1:11">
      <c r="A1579" s="33" t="s">
        <v>4030</v>
      </c>
      <c r="B1579" s="33" t="s">
        <v>4031</v>
      </c>
      <c r="C1579" s="33" t="s">
        <v>1165</v>
      </c>
      <c r="D1579" s="33" t="s">
        <v>17</v>
      </c>
      <c r="E1579" s="33" t="s">
        <v>18</v>
      </c>
      <c r="F1579" s="33" t="s">
        <v>19</v>
      </c>
      <c r="G1579" s="33" t="s">
        <v>20</v>
      </c>
      <c r="H1579" s="35">
        <v>207</v>
      </c>
      <c r="I1579" s="33" t="s">
        <v>21</v>
      </c>
      <c r="J1579" s="42">
        <v>44181</v>
      </c>
      <c r="K1579" s="33" t="s">
        <v>22</v>
      </c>
    </row>
    <row r="1580" spans="1:11">
      <c r="A1580" s="30" t="s">
        <v>4032</v>
      </c>
      <c r="B1580" s="30" t="s">
        <v>4033</v>
      </c>
      <c r="C1580" s="30" t="s">
        <v>136</v>
      </c>
      <c r="D1580" s="30" t="s">
        <v>17</v>
      </c>
      <c r="E1580" s="30" t="s">
        <v>26</v>
      </c>
      <c r="F1580" s="30" t="s">
        <v>27</v>
      </c>
      <c r="G1580" s="30" t="s">
        <v>20</v>
      </c>
      <c r="H1580" s="32">
        <v>16</v>
      </c>
      <c r="I1580" s="30" t="s">
        <v>21</v>
      </c>
      <c r="J1580" s="41">
        <v>44194</v>
      </c>
      <c r="K1580" s="30" t="s">
        <v>22</v>
      </c>
    </row>
    <row r="1581" spans="1:11">
      <c r="A1581" s="33" t="s">
        <v>4034</v>
      </c>
      <c r="B1581" s="33" t="s">
        <v>4035</v>
      </c>
      <c r="C1581" s="33" t="s">
        <v>1287</v>
      </c>
      <c r="D1581" s="33" t="s">
        <v>17</v>
      </c>
      <c r="E1581" s="33" t="s">
        <v>26</v>
      </c>
      <c r="F1581" s="33" t="s">
        <v>27</v>
      </c>
      <c r="G1581" s="33" t="s">
        <v>20</v>
      </c>
      <c r="H1581" s="35">
        <v>107</v>
      </c>
      <c r="I1581" s="33" t="s">
        <v>21</v>
      </c>
      <c r="J1581" s="42">
        <v>44147</v>
      </c>
      <c r="K1581" s="33" t="s">
        <v>22</v>
      </c>
    </row>
    <row r="1582" spans="1:11">
      <c r="A1582" s="30" t="s">
        <v>4036</v>
      </c>
      <c r="B1582" s="30" t="s">
        <v>4037</v>
      </c>
      <c r="C1582" s="30" t="s">
        <v>647</v>
      </c>
      <c r="D1582" s="30" t="s">
        <v>17</v>
      </c>
      <c r="E1582" s="30" t="s">
        <v>18</v>
      </c>
      <c r="F1582" s="30" t="s">
        <v>19</v>
      </c>
      <c r="G1582" s="30" t="s">
        <v>20</v>
      </c>
      <c r="H1582" s="32">
        <v>479</v>
      </c>
      <c r="I1582" s="30" t="s">
        <v>21</v>
      </c>
      <c r="J1582" s="41">
        <v>43973</v>
      </c>
      <c r="K1582" s="30" t="s">
        <v>22</v>
      </c>
    </row>
    <row r="1583" spans="1:11">
      <c r="A1583" s="33" t="s">
        <v>4038</v>
      </c>
      <c r="B1583" s="33" t="s">
        <v>4039</v>
      </c>
      <c r="C1583" s="33" t="s">
        <v>4040</v>
      </c>
      <c r="D1583" s="33" t="s">
        <v>17</v>
      </c>
      <c r="E1583" s="33" t="s">
        <v>67</v>
      </c>
      <c r="F1583" s="33" t="s">
        <v>68</v>
      </c>
      <c r="G1583" s="33" t="s">
        <v>106</v>
      </c>
      <c r="H1583" s="35">
        <v>2</v>
      </c>
      <c r="I1583" s="33" t="s">
        <v>21</v>
      </c>
      <c r="J1583" s="42">
        <v>43983</v>
      </c>
      <c r="K1583" s="33" t="s">
        <v>22</v>
      </c>
    </row>
    <row r="1584" spans="1:11">
      <c r="A1584" s="30" t="s">
        <v>4041</v>
      </c>
      <c r="B1584" s="30" t="s">
        <v>4042</v>
      </c>
      <c r="C1584" s="30" t="s">
        <v>4043</v>
      </c>
      <c r="D1584" s="30" t="s">
        <v>17</v>
      </c>
      <c r="E1584" s="30" t="s">
        <v>26</v>
      </c>
      <c r="F1584" s="30" t="s">
        <v>27</v>
      </c>
      <c r="G1584" s="30" t="s">
        <v>20</v>
      </c>
      <c r="H1584" s="32">
        <v>15</v>
      </c>
      <c r="I1584" s="30" t="s">
        <v>21</v>
      </c>
      <c r="J1584" s="41">
        <v>43836</v>
      </c>
      <c r="K1584" s="30" t="s">
        <v>22</v>
      </c>
    </row>
    <row r="1585" spans="1:11">
      <c r="A1585" s="33" t="s">
        <v>4044</v>
      </c>
      <c r="B1585" s="33" t="s">
        <v>4045</v>
      </c>
      <c r="C1585" s="33" t="s">
        <v>4046</v>
      </c>
      <c r="D1585" s="33" t="s">
        <v>17</v>
      </c>
      <c r="E1585" s="33" t="s">
        <v>67</v>
      </c>
      <c r="F1585" s="33" t="s">
        <v>68</v>
      </c>
      <c r="G1585" s="33" t="s">
        <v>50</v>
      </c>
      <c r="H1585" s="35">
        <v>33</v>
      </c>
      <c r="I1585" s="33" t="s">
        <v>51</v>
      </c>
      <c r="J1585" s="42">
        <v>44173</v>
      </c>
      <c r="K1585" s="33" t="s">
        <v>22</v>
      </c>
    </row>
    <row r="1586" spans="1:11">
      <c r="A1586" s="30" t="s">
        <v>4047</v>
      </c>
      <c r="B1586" s="30" t="s">
        <v>1410</v>
      </c>
      <c r="C1586" s="30" t="s">
        <v>1148</v>
      </c>
      <c r="D1586" s="30" t="s">
        <v>17</v>
      </c>
      <c r="E1586" s="30" t="s">
        <v>18</v>
      </c>
      <c r="F1586" s="30" t="s">
        <v>19</v>
      </c>
      <c r="G1586" s="30" t="s">
        <v>20</v>
      </c>
      <c r="H1586" s="32">
        <v>180</v>
      </c>
      <c r="I1586" s="30" t="s">
        <v>21</v>
      </c>
      <c r="J1586" s="41">
        <v>43857</v>
      </c>
      <c r="K1586" s="30" t="s">
        <v>22</v>
      </c>
    </row>
    <row r="1587" spans="1:11">
      <c r="A1587" s="33" t="s">
        <v>4048</v>
      </c>
      <c r="B1587" s="33" t="s">
        <v>4049</v>
      </c>
      <c r="C1587" s="33" t="s">
        <v>109</v>
      </c>
      <c r="D1587" s="33" t="s">
        <v>17</v>
      </c>
      <c r="E1587" s="33" t="s">
        <v>31</v>
      </c>
      <c r="F1587" s="33" t="s">
        <v>32</v>
      </c>
      <c r="G1587" s="33" t="s">
        <v>106</v>
      </c>
      <c r="H1587" s="35">
        <v>164</v>
      </c>
      <c r="I1587" s="33" t="s">
        <v>21</v>
      </c>
      <c r="J1587" s="42">
        <v>44120</v>
      </c>
      <c r="K1587" s="33" t="s">
        <v>22</v>
      </c>
    </row>
    <row r="1588" spans="1:11">
      <c r="A1588" s="30" t="s">
        <v>4050</v>
      </c>
      <c r="B1588" s="30" t="s">
        <v>4051</v>
      </c>
      <c r="C1588" s="30" t="s">
        <v>969</v>
      </c>
      <c r="D1588" s="30" t="s">
        <v>17</v>
      </c>
      <c r="E1588" s="30" t="s">
        <v>26</v>
      </c>
      <c r="F1588" s="30" t="s">
        <v>27</v>
      </c>
      <c r="G1588" s="30" t="s">
        <v>20</v>
      </c>
      <c r="H1588" s="32">
        <v>65</v>
      </c>
      <c r="I1588" s="30" t="s">
        <v>21</v>
      </c>
      <c r="J1588" s="41">
        <v>44033</v>
      </c>
      <c r="K1588" s="30" t="s">
        <v>22</v>
      </c>
    </row>
    <row r="1589" spans="1:11">
      <c r="A1589" s="33" t="s">
        <v>4052</v>
      </c>
      <c r="B1589" s="33" t="s">
        <v>4053</v>
      </c>
      <c r="C1589" s="33" t="s">
        <v>231</v>
      </c>
      <c r="D1589" s="33" t="s">
        <v>17</v>
      </c>
      <c r="E1589" s="33" t="s">
        <v>26</v>
      </c>
      <c r="F1589" s="33" t="s">
        <v>27</v>
      </c>
      <c r="G1589" s="33" t="s">
        <v>20</v>
      </c>
      <c r="H1589" s="35">
        <v>39</v>
      </c>
      <c r="I1589" s="33" t="s">
        <v>21</v>
      </c>
      <c r="J1589" s="42">
        <v>43860</v>
      </c>
      <c r="K1589" s="33" t="s">
        <v>22</v>
      </c>
    </row>
    <row r="1590" spans="1:11">
      <c r="A1590" s="30" t="s">
        <v>4054</v>
      </c>
      <c r="B1590" s="30" t="s">
        <v>4055</v>
      </c>
      <c r="C1590" s="30" t="s">
        <v>4056</v>
      </c>
      <c r="D1590" s="30" t="s">
        <v>17</v>
      </c>
      <c r="E1590" s="30" t="s">
        <v>67</v>
      </c>
      <c r="F1590" s="30" t="s">
        <v>68</v>
      </c>
      <c r="G1590" s="30" t="s">
        <v>20</v>
      </c>
      <c r="H1590" s="32">
        <v>28</v>
      </c>
      <c r="I1590" s="30" t="s">
        <v>21</v>
      </c>
      <c r="J1590" s="41">
        <v>44119</v>
      </c>
      <c r="K1590" s="30" t="s">
        <v>22</v>
      </c>
    </row>
    <row r="1591" spans="1:11">
      <c r="A1591" s="33" t="s">
        <v>4057</v>
      </c>
      <c r="B1591" s="33" t="s">
        <v>4058</v>
      </c>
      <c r="C1591" s="33" t="s">
        <v>4059</v>
      </c>
      <c r="D1591" s="33" t="s">
        <v>17</v>
      </c>
      <c r="E1591" s="33" t="s">
        <v>45</v>
      </c>
      <c r="F1591" s="33" t="s">
        <v>46</v>
      </c>
      <c r="G1591" s="33" t="s">
        <v>20</v>
      </c>
      <c r="H1591" s="35">
        <v>55</v>
      </c>
      <c r="I1591" s="33" t="s">
        <v>21</v>
      </c>
      <c r="J1591" s="42">
        <v>44126</v>
      </c>
      <c r="K1591" s="33" t="s">
        <v>22</v>
      </c>
    </row>
    <row r="1592" spans="1:11">
      <c r="A1592" s="30" t="s">
        <v>4060</v>
      </c>
      <c r="B1592" s="30" t="s">
        <v>4061</v>
      </c>
      <c r="C1592" s="30" t="s">
        <v>3655</v>
      </c>
      <c r="D1592" s="30" t="s">
        <v>17</v>
      </c>
      <c r="E1592" s="30" t="s">
        <v>67</v>
      </c>
      <c r="F1592" s="30" t="s">
        <v>68</v>
      </c>
      <c r="G1592" s="30" t="s">
        <v>20</v>
      </c>
      <c r="H1592" s="32">
        <v>96</v>
      </c>
      <c r="I1592" s="30" t="s">
        <v>21</v>
      </c>
      <c r="J1592" s="41">
        <v>44083</v>
      </c>
      <c r="K1592" s="30" t="s">
        <v>22</v>
      </c>
    </row>
    <row r="1593" spans="1:11">
      <c r="A1593" s="33" t="s">
        <v>4062</v>
      </c>
      <c r="B1593" s="33" t="s">
        <v>4063</v>
      </c>
      <c r="C1593" s="33" t="s">
        <v>4064</v>
      </c>
      <c r="D1593" s="33" t="s">
        <v>17</v>
      </c>
      <c r="E1593" s="33" t="s">
        <v>18</v>
      </c>
      <c r="F1593" s="33" t="s">
        <v>19</v>
      </c>
      <c r="G1593" s="33" t="s">
        <v>20</v>
      </c>
      <c r="H1593" s="35">
        <v>65</v>
      </c>
      <c r="I1593" s="33" t="s">
        <v>21</v>
      </c>
      <c r="J1593" s="42">
        <v>44078</v>
      </c>
      <c r="K1593" s="33" t="s">
        <v>22</v>
      </c>
    </row>
    <row r="1594" spans="1:11">
      <c r="A1594" s="30" t="s">
        <v>4065</v>
      </c>
      <c r="B1594" s="30" t="s">
        <v>4066</v>
      </c>
      <c r="C1594" s="30" t="s">
        <v>1295</v>
      </c>
      <c r="D1594" s="30" t="s">
        <v>17</v>
      </c>
      <c r="E1594" s="30" t="s">
        <v>18</v>
      </c>
      <c r="F1594" s="30" t="s">
        <v>19</v>
      </c>
      <c r="G1594" s="30" t="s">
        <v>20</v>
      </c>
      <c r="H1594" s="32">
        <v>492</v>
      </c>
      <c r="I1594" s="30" t="s">
        <v>21</v>
      </c>
      <c r="J1594" s="41">
        <v>44160</v>
      </c>
      <c r="K1594" s="30" t="s">
        <v>22</v>
      </c>
    </row>
    <row r="1595" spans="1:11">
      <c r="A1595" s="33" t="s">
        <v>4067</v>
      </c>
      <c r="B1595" s="33" t="s">
        <v>4068</v>
      </c>
      <c r="C1595" s="33" t="s">
        <v>3531</v>
      </c>
      <c r="D1595" s="33" t="s">
        <v>17</v>
      </c>
      <c r="E1595" s="33" t="s">
        <v>26</v>
      </c>
      <c r="F1595" s="33" t="s">
        <v>27</v>
      </c>
      <c r="G1595" s="33" t="s">
        <v>106</v>
      </c>
      <c r="H1595" s="35">
        <v>9</v>
      </c>
      <c r="I1595" s="33" t="s">
        <v>21</v>
      </c>
      <c r="J1595" s="42">
        <v>44095</v>
      </c>
      <c r="K1595" s="33" t="s">
        <v>22</v>
      </c>
    </row>
    <row r="1596" spans="1:11">
      <c r="A1596" s="30" t="s">
        <v>4069</v>
      </c>
      <c r="B1596" s="30" t="s">
        <v>4070</v>
      </c>
      <c r="C1596" s="30" t="s">
        <v>4071</v>
      </c>
      <c r="D1596" s="30" t="s">
        <v>17</v>
      </c>
      <c r="E1596" s="30" t="s">
        <v>31</v>
      </c>
      <c r="F1596" s="30" t="s">
        <v>32</v>
      </c>
      <c r="G1596" s="30" t="s">
        <v>20</v>
      </c>
      <c r="H1596" s="32">
        <v>47</v>
      </c>
      <c r="I1596" s="30" t="s">
        <v>21</v>
      </c>
      <c r="J1596" s="41">
        <v>44005</v>
      </c>
      <c r="K1596" s="30" t="s">
        <v>22</v>
      </c>
    </row>
    <row r="1597" spans="1:11">
      <c r="A1597" s="33" t="s">
        <v>4072</v>
      </c>
      <c r="B1597" s="33" t="s">
        <v>4073</v>
      </c>
      <c r="C1597" s="33" t="s">
        <v>4074</v>
      </c>
      <c r="D1597" s="33" t="s">
        <v>17</v>
      </c>
      <c r="E1597" s="33" t="s">
        <v>26</v>
      </c>
      <c r="F1597" s="33" t="s">
        <v>27</v>
      </c>
      <c r="G1597" s="33" t="s">
        <v>106</v>
      </c>
      <c r="H1597" s="35">
        <v>31</v>
      </c>
      <c r="I1597" s="33" t="s">
        <v>21</v>
      </c>
      <c r="J1597" s="42">
        <v>43962</v>
      </c>
      <c r="K1597" s="33" t="s">
        <v>22</v>
      </c>
    </row>
    <row r="1598" spans="1:11">
      <c r="A1598" s="30" t="s">
        <v>4075</v>
      </c>
      <c r="B1598" s="30" t="s">
        <v>4076</v>
      </c>
      <c r="C1598" s="30" t="s">
        <v>318</v>
      </c>
      <c r="D1598" s="30" t="s">
        <v>17</v>
      </c>
      <c r="E1598" s="30" t="s">
        <v>26</v>
      </c>
      <c r="F1598" s="30" t="s">
        <v>27</v>
      </c>
      <c r="G1598" s="30" t="s">
        <v>140</v>
      </c>
      <c r="H1598" s="32">
        <v>479</v>
      </c>
      <c r="I1598" s="30" t="s">
        <v>51</v>
      </c>
      <c r="J1598" s="41">
        <v>43894</v>
      </c>
      <c r="K1598" s="30" t="s">
        <v>22</v>
      </c>
    </row>
    <row r="1599" spans="1:11">
      <c r="A1599" s="33" t="s">
        <v>4077</v>
      </c>
      <c r="B1599" s="33" t="s">
        <v>4078</v>
      </c>
      <c r="C1599" s="33" t="s">
        <v>4079</v>
      </c>
      <c r="D1599" s="33" t="s">
        <v>17</v>
      </c>
      <c r="E1599" s="33" t="s">
        <v>26</v>
      </c>
      <c r="F1599" s="33" t="s">
        <v>27</v>
      </c>
      <c r="G1599" s="33" t="s">
        <v>50</v>
      </c>
      <c r="H1599" s="35">
        <v>32</v>
      </c>
      <c r="I1599" s="33" t="s">
        <v>51</v>
      </c>
      <c r="J1599" s="42">
        <v>44013</v>
      </c>
      <c r="K1599" s="33" t="s">
        <v>22</v>
      </c>
    </row>
    <row r="1600" spans="1:11">
      <c r="A1600" s="30" t="s">
        <v>4080</v>
      </c>
      <c r="B1600" s="30" t="s">
        <v>4081</v>
      </c>
      <c r="C1600" s="30" t="s">
        <v>4082</v>
      </c>
      <c r="D1600" s="30" t="s">
        <v>17</v>
      </c>
      <c r="E1600" s="30" t="s">
        <v>26</v>
      </c>
      <c r="F1600" s="30" t="s">
        <v>27</v>
      </c>
      <c r="G1600" s="30" t="s">
        <v>106</v>
      </c>
      <c r="H1600" s="32">
        <v>2</v>
      </c>
      <c r="I1600" s="30" t="s">
        <v>21</v>
      </c>
      <c r="J1600" s="41">
        <v>43997</v>
      </c>
      <c r="K1600" s="30" t="s">
        <v>22</v>
      </c>
    </row>
    <row r="1601" spans="1:11">
      <c r="A1601" s="33" t="s">
        <v>4083</v>
      </c>
      <c r="B1601" s="33" t="s">
        <v>4084</v>
      </c>
      <c r="C1601" s="33" t="s">
        <v>787</v>
      </c>
      <c r="D1601" s="33" t="s">
        <v>17</v>
      </c>
      <c r="E1601" s="33" t="s">
        <v>67</v>
      </c>
      <c r="F1601" s="33" t="s">
        <v>68</v>
      </c>
      <c r="G1601" s="33" t="s">
        <v>20</v>
      </c>
      <c r="H1601" s="35">
        <v>60</v>
      </c>
      <c r="I1601" s="33" t="s">
        <v>21</v>
      </c>
      <c r="J1601" s="42">
        <v>44021</v>
      </c>
      <c r="K1601" s="33" t="s">
        <v>22</v>
      </c>
    </row>
    <row r="1602" spans="1:11">
      <c r="A1602" s="30" t="s">
        <v>4085</v>
      </c>
      <c r="B1602" s="30" t="s">
        <v>4086</v>
      </c>
      <c r="C1602" s="30" t="s">
        <v>4087</v>
      </c>
      <c r="D1602" s="30" t="s">
        <v>17</v>
      </c>
      <c r="E1602" s="30" t="s">
        <v>18</v>
      </c>
      <c r="F1602" s="30" t="s">
        <v>19</v>
      </c>
      <c r="G1602" s="30" t="s">
        <v>20</v>
      </c>
      <c r="H1602" s="32">
        <v>935</v>
      </c>
      <c r="I1602" s="30" t="s">
        <v>21</v>
      </c>
      <c r="J1602" s="41">
        <v>44056</v>
      </c>
      <c r="K1602" s="30" t="s">
        <v>22</v>
      </c>
    </row>
    <row r="1603" spans="1:11">
      <c r="A1603" s="33" t="s">
        <v>4088</v>
      </c>
      <c r="B1603" s="33" t="s">
        <v>4089</v>
      </c>
      <c r="C1603" s="33" t="s">
        <v>4090</v>
      </c>
      <c r="D1603" s="33" t="s">
        <v>17</v>
      </c>
      <c r="E1603" s="33" t="s">
        <v>330</v>
      </c>
      <c r="F1603" s="33" t="s">
        <v>331</v>
      </c>
      <c r="G1603" s="33" t="s">
        <v>20</v>
      </c>
      <c r="H1603" s="35">
        <v>14</v>
      </c>
      <c r="I1603" s="33" t="s">
        <v>21</v>
      </c>
      <c r="J1603" s="42">
        <v>44194</v>
      </c>
      <c r="K1603" s="33" t="s">
        <v>22</v>
      </c>
    </row>
    <row r="1604" spans="1:11">
      <c r="A1604" s="30" t="s">
        <v>4091</v>
      </c>
      <c r="B1604" s="30" t="s">
        <v>4092</v>
      </c>
      <c r="C1604" s="30" t="s">
        <v>310</v>
      </c>
      <c r="D1604" s="30" t="s">
        <v>17</v>
      </c>
      <c r="E1604" s="30" t="s">
        <v>26</v>
      </c>
      <c r="F1604" s="30" t="s">
        <v>27</v>
      </c>
      <c r="G1604" s="30" t="s">
        <v>20</v>
      </c>
      <c r="H1604" s="32">
        <v>28</v>
      </c>
      <c r="I1604" s="30" t="s">
        <v>21</v>
      </c>
      <c r="J1604" s="41">
        <v>43859</v>
      </c>
      <c r="K1604" s="30" t="s">
        <v>22</v>
      </c>
    </row>
    <row r="1605" spans="1:11">
      <c r="A1605" s="33" t="s">
        <v>4093</v>
      </c>
      <c r="B1605" s="33" t="s">
        <v>4094</v>
      </c>
      <c r="C1605" s="33" t="s">
        <v>549</v>
      </c>
      <c r="D1605" s="33" t="s">
        <v>17</v>
      </c>
      <c r="E1605" s="33" t="s">
        <v>18</v>
      </c>
      <c r="F1605" s="33" t="s">
        <v>19</v>
      </c>
      <c r="G1605" s="33" t="s">
        <v>20</v>
      </c>
      <c r="H1605" s="35">
        <v>505</v>
      </c>
      <c r="I1605" s="33" t="s">
        <v>21</v>
      </c>
      <c r="J1605" s="42">
        <v>43880</v>
      </c>
      <c r="K1605" s="33" t="s">
        <v>22</v>
      </c>
    </row>
    <row r="1606" spans="1:11">
      <c r="A1606" s="30" t="s">
        <v>4095</v>
      </c>
      <c r="B1606" s="30" t="s">
        <v>4096</v>
      </c>
      <c r="C1606" s="30" t="s">
        <v>379</v>
      </c>
      <c r="D1606" s="30" t="s">
        <v>17</v>
      </c>
      <c r="E1606" s="30" t="s">
        <v>26</v>
      </c>
      <c r="F1606" s="30" t="s">
        <v>27</v>
      </c>
      <c r="G1606" s="30" t="s">
        <v>20</v>
      </c>
      <c r="H1606" s="32">
        <v>252</v>
      </c>
      <c r="I1606" s="30" t="s">
        <v>21</v>
      </c>
      <c r="J1606" s="41">
        <v>44138</v>
      </c>
      <c r="K1606" s="30" t="s">
        <v>22</v>
      </c>
    </row>
    <row r="1607" spans="1:11">
      <c r="A1607" s="33" t="s">
        <v>4097</v>
      </c>
      <c r="B1607" s="33" t="s">
        <v>4098</v>
      </c>
      <c r="C1607" s="33" t="s">
        <v>1826</v>
      </c>
      <c r="D1607" s="33" t="s">
        <v>17</v>
      </c>
      <c r="E1607" s="33" t="s">
        <v>31</v>
      </c>
      <c r="F1607" s="33" t="s">
        <v>32</v>
      </c>
      <c r="G1607" s="33" t="s">
        <v>20</v>
      </c>
      <c r="H1607" s="35">
        <v>26</v>
      </c>
      <c r="I1607" s="33" t="s">
        <v>21</v>
      </c>
      <c r="J1607" s="42">
        <v>44172</v>
      </c>
      <c r="K1607" s="33" t="s">
        <v>22</v>
      </c>
    </row>
    <row r="1608" spans="1:11">
      <c r="A1608" s="30" t="s">
        <v>4099</v>
      </c>
      <c r="B1608" s="30" t="s">
        <v>4100</v>
      </c>
      <c r="C1608" s="30" t="s">
        <v>231</v>
      </c>
      <c r="D1608" s="30" t="s">
        <v>17</v>
      </c>
      <c r="E1608" s="30" t="s">
        <v>31</v>
      </c>
      <c r="F1608" s="30" t="s">
        <v>32</v>
      </c>
      <c r="G1608" s="30" t="s">
        <v>106</v>
      </c>
      <c r="H1608" s="32">
        <v>108</v>
      </c>
      <c r="I1608" s="30" t="s">
        <v>21</v>
      </c>
      <c r="J1608" s="41">
        <v>44078</v>
      </c>
      <c r="K1608" s="30" t="s">
        <v>22</v>
      </c>
    </row>
    <row r="1609" spans="1:11">
      <c r="A1609" s="33" t="s">
        <v>4101</v>
      </c>
      <c r="B1609" s="33" t="s">
        <v>4102</v>
      </c>
      <c r="C1609" s="33" t="s">
        <v>1191</v>
      </c>
      <c r="D1609" s="33" t="s">
        <v>17</v>
      </c>
      <c r="E1609" s="33" t="s">
        <v>212</v>
      </c>
      <c r="F1609" s="33" t="s">
        <v>213</v>
      </c>
      <c r="G1609" s="33" t="s">
        <v>50</v>
      </c>
      <c r="H1609" s="35">
        <v>600</v>
      </c>
      <c r="I1609" s="33" t="s">
        <v>51</v>
      </c>
      <c r="J1609" s="42">
        <v>44146</v>
      </c>
      <c r="K1609" s="33" t="s">
        <v>22</v>
      </c>
    </row>
    <row r="1610" spans="1:11">
      <c r="A1610" s="30" t="s">
        <v>4103</v>
      </c>
      <c r="B1610" s="30" t="s">
        <v>4104</v>
      </c>
      <c r="C1610" s="30" t="s">
        <v>4105</v>
      </c>
      <c r="D1610" s="30" t="s">
        <v>17</v>
      </c>
      <c r="E1610" s="30" t="s">
        <v>18</v>
      </c>
      <c r="F1610" s="30" t="s">
        <v>19</v>
      </c>
      <c r="G1610" s="30" t="s">
        <v>106</v>
      </c>
      <c r="H1610" s="32">
        <v>710</v>
      </c>
      <c r="I1610" s="30" t="s">
        <v>21</v>
      </c>
      <c r="J1610" s="41">
        <v>44180</v>
      </c>
      <c r="K1610" s="30" t="s">
        <v>22</v>
      </c>
    </row>
    <row r="1611" spans="1:11">
      <c r="A1611" s="33" t="s">
        <v>4106</v>
      </c>
      <c r="B1611" s="33" t="s">
        <v>4107</v>
      </c>
      <c r="C1611" s="33" t="s">
        <v>4108</v>
      </c>
      <c r="D1611" s="33" t="s">
        <v>17</v>
      </c>
      <c r="E1611" s="33" t="s">
        <v>212</v>
      </c>
      <c r="F1611" s="33" t="s">
        <v>213</v>
      </c>
      <c r="G1611" s="33" t="s">
        <v>112</v>
      </c>
      <c r="H1611" s="35">
        <v>0</v>
      </c>
      <c r="I1611" s="33" t="s">
        <v>21</v>
      </c>
      <c r="J1611" s="42">
        <v>44119</v>
      </c>
      <c r="K1611" s="33" t="s">
        <v>22</v>
      </c>
    </row>
    <row r="1612" spans="1:11">
      <c r="A1612" s="30" t="s">
        <v>4109</v>
      </c>
      <c r="B1612" s="30" t="s">
        <v>4110</v>
      </c>
      <c r="C1612" s="30" t="s">
        <v>4111</v>
      </c>
      <c r="D1612" s="30" t="s">
        <v>17</v>
      </c>
      <c r="E1612" s="30" t="s">
        <v>18</v>
      </c>
      <c r="F1612" s="30" t="s">
        <v>19</v>
      </c>
      <c r="G1612" s="30" t="s">
        <v>20</v>
      </c>
      <c r="H1612" s="32">
        <v>231</v>
      </c>
      <c r="I1612" s="30" t="s">
        <v>21</v>
      </c>
      <c r="J1612" s="41">
        <v>44085</v>
      </c>
      <c r="K1612" s="30" t="s">
        <v>22</v>
      </c>
    </row>
    <row r="1613" spans="1:11">
      <c r="A1613" s="33" t="s">
        <v>4112</v>
      </c>
      <c r="B1613" s="33" t="s">
        <v>4113</v>
      </c>
      <c r="C1613" s="33" t="s">
        <v>4114</v>
      </c>
      <c r="D1613" s="33" t="s">
        <v>17</v>
      </c>
      <c r="E1613" s="33" t="s">
        <v>67</v>
      </c>
      <c r="F1613" s="33" t="s">
        <v>68</v>
      </c>
      <c r="G1613" s="33" t="s">
        <v>20</v>
      </c>
      <c r="H1613" s="35">
        <v>92</v>
      </c>
      <c r="I1613" s="33" t="s">
        <v>21</v>
      </c>
      <c r="J1613" s="42">
        <v>43914</v>
      </c>
      <c r="K1613" s="33" t="s">
        <v>22</v>
      </c>
    </row>
    <row r="1614" spans="1:11">
      <c r="A1614" s="30" t="s">
        <v>4115</v>
      </c>
      <c r="B1614" s="30" t="s">
        <v>4116</v>
      </c>
      <c r="C1614" s="30" t="s">
        <v>96</v>
      </c>
      <c r="D1614" s="30" t="s">
        <v>17</v>
      </c>
      <c r="E1614" s="30" t="s">
        <v>212</v>
      </c>
      <c r="F1614" s="30" t="s">
        <v>213</v>
      </c>
      <c r="G1614" s="30" t="s">
        <v>20</v>
      </c>
      <c r="H1614" s="32">
        <v>101</v>
      </c>
      <c r="I1614" s="30" t="s">
        <v>21</v>
      </c>
      <c r="J1614" s="41">
        <v>44070</v>
      </c>
      <c r="K1614" s="30" t="s">
        <v>22</v>
      </c>
    </row>
    <row r="1615" spans="1:11">
      <c r="A1615" s="33" t="s">
        <v>4117</v>
      </c>
      <c r="B1615" s="33" t="s">
        <v>4118</v>
      </c>
      <c r="C1615" s="33" t="s">
        <v>4119</v>
      </c>
      <c r="D1615" s="33" t="s">
        <v>17</v>
      </c>
      <c r="E1615" s="33" t="s">
        <v>26</v>
      </c>
      <c r="F1615" s="33" t="s">
        <v>27</v>
      </c>
      <c r="G1615" s="33" t="s">
        <v>20</v>
      </c>
      <c r="H1615" s="35">
        <v>48</v>
      </c>
      <c r="I1615" s="33" t="s">
        <v>21</v>
      </c>
      <c r="J1615" s="42">
        <v>44169</v>
      </c>
      <c r="K1615" s="33" t="s">
        <v>22</v>
      </c>
    </row>
    <row r="1616" spans="1:11">
      <c r="A1616" s="30" t="s">
        <v>4120</v>
      </c>
      <c r="B1616" s="30" t="s">
        <v>4121</v>
      </c>
      <c r="C1616" s="30" t="s">
        <v>2852</v>
      </c>
      <c r="D1616" s="30" t="s">
        <v>17</v>
      </c>
      <c r="E1616" s="30" t="s">
        <v>18</v>
      </c>
      <c r="F1616" s="30" t="s">
        <v>19</v>
      </c>
      <c r="G1616" s="30" t="s">
        <v>20</v>
      </c>
      <c r="H1616" s="32">
        <v>84</v>
      </c>
      <c r="I1616" s="30" t="s">
        <v>21</v>
      </c>
      <c r="J1616" s="41">
        <v>43838</v>
      </c>
      <c r="K1616" s="30" t="s">
        <v>22</v>
      </c>
    </row>
    <row r="1617" spans="1:11">
      <c r="A1617" s="33" t="s">
        <v>4122</v>
      </c>
      <c r="B1617" s="33" t="s">
        <v>4123</v>
      </c>
      <c r="C1617" s="33" t="s">
        <v>2855</v>
      </c>
      <c r="D1617" s="33" t="s">
        <v>17</v>
      </c>
      <c r="E1617" s="33" t="s">
        <v>26</v>
      </c>
      <c r="F1617" s="33" t="s">
        <v>27</v>
      </c>
      <c r="G1617" s="33" t="s">
        <v>20</v>
      </c>
      <c r="H1617" s="35">
        <v>10</v>
      </c>
      <c r="I1617" s="33" t="s">
        <v>21</v>
      </c>
      <c r="J1617" s="42">
        <v>44039</v>
      </c>
      <c r="K1617" s="33" t="s">
        <v>22</v>
      </c>
    </row>
    <row r="1618" spans="1:11">
      <c r="A1618" s="30" t="s">
        <v>4124</v>
      </c>
      <c r="B1618" s="30" t="s">
        <v>4125</v>
      </c>
      <c r="C1618" s="30" t="s">
        <v>109</v>
      </c>
      <c r="D1618" s="30" t="s">
        <v>17</v>
      </c>
      <c r="E1618" s="30" t="s">
        <v>18</v>
      </c>
      <c r="F1618" s="30" t="s">
        <v>19</v>
      </c>
      <c r="G1618" s="30" t="s">
        <v>106</v>
      </c>
      <c r="H1618" s="32">
        <v>137</v>
      </c>
      <c r="I1618" s="30" t="s">
        <v>21</v>
      </c>
      <c r="J1618" s="41">
        <v>43990</v>
      </c>
      <c r="K1618" s="30" t="s">
        <v>22</v>
      </c>
    </row>
    <row r="1619" spans="1:11">
      <c r="A1619" s="33" t="s">
        <v>4126</v>
      </c>
      <c r="B1619" s="33" t="s">
        <v>4127</v>
      </c>
      <c r="C1619" s="33" t="s">
        <v>75</v>
      </c>
      <c r="D1619" s="33" t="s">
        <v>17</v>
      </c>
      <c r="E1619" s="33" t="s">
        <v>18</v>
      </c>
      <c r="F1619" s="33" t="s">
        <v>19</v>
      </c>
      <c r="G1619" s="33" t="s">
        <v>20</v>
      </c>
      <c r="H1619" s="35">
        <v>26</v>
      </c>
      <c r="I1619" s="33" t="s">
        <v>21</v>
      </c>
      <c r="J1619" s="42">
        <v>44088</v>
      </c>
      <c r="K1619" s="33" t="s">
        <v>22</v>
      </c>
    </row>
    <row r="1620" spans="1:11">
      <c r="A1620" s="30" t="s">
        <v>4128</v>
      </c>
      <c r="B1620" s="30" t="s">
        <v>4129</v>
      </c>
      <c r="C1620" s="30" t="s">
        <v>4130</v>
      </c>
      <c r="D1620" s="30" t="s">
        <v>17</v>
      </c>
      <c r="E1620" s="30" t="s">
        <v>67</v>
      </c>
      <c r="F1620" s="30" t="s">
        <v>68</v>
      </c>
      <c r="G1620" s="30" t="s">
        <v>69</v>
      </c>
      <c r="H1620" s="32">
        <v>366</v>
      </c>
      <c r="I1620" s="30" t="s">
        <v>51</v>
      </c>
      <c r="J1620" s="41">
        <v>44018</v>
      </c>
      <c r="K1620" s="30" t="s">
        <v>22</v>
      </c>
    </row>
    <row r="1621" spans="1:11">
      <c r="A1621" s="33" t="s">
        <v>4131</v>
      </c>
      <c r="B1621" s="33" t="s">
        <v>4132</v>
      </c>
      <c r="C1621" s="33" t="s">
        <v>4133</v>
      </c>
      <c r="D1621" s="33" t="s">
        <v>17</v>
      </c>
      <c r="E1621" s="33" t="s">
        <v>26</v>
      </c>
      <c r="F1621" s="33" t="s">
        <v>27</v>
      </c>
      <c r="G1621" s="33" t="s">
        <v>112</v>
      </c>
      <c r="H1621" s="35">
        <v>0</v>
      </c>
      <c r="I1621" s="33" t="s">
        <v>21</v>
      </c>
      <c r="J1621" s="42">
        <v>43831</v>
      </c>
      <c r="K1621" s="33" t="s">
        <v>22</v>
      </c>
    </row>
    <row r="1622" spans="1:11">
      <c r="A1622" s="30" t="s">
        <v>4134</v>
      </c>
      <c r="B1622" s="30" t="s">
        <v>4135</v>
      </c>
      <c r="C1622" s="30" t="s">
        <v>647</v>
      </c>
      <c r="D1622" s="30" t="s">
        <v>17</v>
      </c>
      <c r="E1622" s="30" t="s">
        <v>18</v>
      </c>
      <c r="F1622" s="30" t="s">
        <v>19</v>
      </c>
      <c r="G1622" s="30" t="s">
        <v>20</v>
      </c>
      <c r="H1622" s="32">
        <v>400</v>
      </c>
      <c r="I1622" s="30" t="s">
        <v>21</v>
      </c>
      <c r="J1622" s="41">
        <v>44068</v>
      </c>
      <c r="K1622" s="30" t="s">
        <v>22</v>
      </c>
    </row>
    <row r="1623" spans="1:11">
      <c r="A1623" s="33" t="s">
        <v>4136</v>
      </c>
      <c r="B1623" s="33" t="s">
        <v>4137</v>
      </c>
      <c r="C1623" s="33" t="s">
        <v>4059</v>
      </c>
      <c r="D1623" s="33" t="s">
        <v>17</v>
      </c>
      <c r="E1623" s="33" t="s">
        <v>31</v>
      </c>
      <c r="F1623" s="33" t="s">
        <v>32</v>
      </c>
      <c r="G1623" s="33" t="s">
        <v>112</v>
      </c>
      <c r="H1623" s="35">
        <v>0</v>
      </c>
      <c r="I1623" s="33" t="s">
        <v>21</v>
      </c>
      <c r="J1623" s="42">
        <v>43891</v>
      </c>
      <c r="K1623" s="33" t="s">
        <v>22</v>
      </c>
    </row>
    <row r="1624" spans="1:11">
      <c r="A1624" s="30" t="s">
        <v>4138</v>
      </c>
      <c r="B1624" s="30" t="s">
        <v>4139</v>
      </c>
      <c r="C1624" s="30" t="s">
        <v>810</v>
      </c>
      <c r="D1624" s="30" t="s">
        <v>17</v>
      </c>
      <c r="E1624" s="30" t="s">
        <v>26</v>
      </c>
      <c r="F1624" s="30" t="s">
        <v>27</v>
      </c>
      <c r="G1624" s="30" t="s">
        <v>20</v>
      </c>
      <c r="H1624" s="32">
        <v>32</v>
      </c>
      <c r="I1624" s="30" t="s">
        <v>21</v>
      </c>
      <c r="J1624" s="41">
        <v>43890</v>
      </c>
      <c r="K1624" s="30" t="s">
        <v>22</v>
      </c>
    </row>
    <row r="1625" spans="1:11">
      <c r="A1625" s="33" t="s">
        <v>4140</v>
      </c>
      <c r="B1625" s="33" t="s">
        <v>4141</v>
      </c>
      <c r="C1625" s="33" t="s">
        <v>136</v>
      </c>
      <c r="D1625" s="33" t="s">
        <v>17</v>
      </c>
      <c r="E1625" s="33" t="s">
        <v>31</v>
      </c>
      <c r="F1625" s="33" t="s">
        <v>32</v>
      </c>
      <c r="G1625" s="33" t="s">
        <v>106</v>
      </c>
      <c r="H1625" s="35">
        <v>95</v>
      </c>
      <c r="I1625" s="33" t="s">
        <v>21</v>
      </c>
      <c r="J1625" s="42">
        <v>43941</v>
      </c>
      <c r="K1625" s="33" t="s">
        <v>22</v>
      </c>
    </row>
    <row r="1626" spans="1:11">
      <c r="A1626" s="30" t="s">
        <v>4142</v>
      </c>
      <c r="B1626" s="30" t="s">
        <v>4143</v>
      </c>
      <c r="C1626" s="30" t="s">
        <v>2220</v>
      </c>
      <c r="D1626" s="30" t="s">
        <v>17</v>
      </c>
      <c r="E1626" s="30" t="s">
        <v>18</v>
      </c>
      <c r="F1626" s="30" t="s">
        <v>19</v>
      </c>
      <c r="G1626" s="30" t="s">
        <v>20</v>
      </c>
      <c r="H1626" s="32">
        <v>454</v>
      </c>
      <c r="I1626" s="30" t="s">
        <v>21</v>
      </c>
      <c r="J1626" s="41">
        <v>44048</v>
      </c>
      <c r="K1626" s="30" t="s">
        <v>22</v>
      </c>
    </row>
    <row r="1627" spans="1:11">
      <c r="A1627" s="33" t="s">
        <v>4144</v>
      </c>
      <c r="B1627" s="33" t="s">
        <v>4145</v>
      </c>
      <c r="C1627" s="33" t="s">
        <v>2756</v>
      </c>
      <c r="D1627" s="33" t="s">
        <v>17</v>
      </c>
      <c r="E1627" s="33" t="s">
        <v>31</v>
      </c>
      <c r="F1627" s="33" t="s">
        <v>32</v>
      </c>
      <c r="G1627" s="33" t="s">
        <v>106</v>
      </c>
      <c r="H1627" s="35">
        <v>185</v>
      </c>
      <c r="I1627" s="33" t="s">
        <v>21</v>
      </c>
      <c r="J1627" s="42">
        <v>44176</v>
      </c>
      <c r="K1627" s="33" t="s">
        <v>22</v>
      </c>
    </row>
    <row r="1628" spans="1:11">
      <c r="A1628" s="30" t="s">
        <v>4146</v>
      </c>
      <c r="B1628" s="30" t="s">
        <v>4147</v>
      </c>
      <c r="C1628" s="30" t="s">
        <v>684</v>
      </c>
      <c r="D1628" s="30" t="s">
        <v>17</v>
      </c>
      <c r="E1628" s="30" t="s">
        <v>26</v>
      </c>
      <c r="F1628" s="30" t="s">
        <v>27</v>
      </c>
      <c r="G1628" s="30" t="s">
        <v>20</v>
      </c>
      <c r="H1628" s="32">
        <v>8</v>
      </c>
      <c r="I1628" s="30" t="s">
        <v>21</v>
      </c>
      <c r="J1628" s="41">
        <v>43901</v>
      </c>
      <c r="K1628" s="30" t="s">
        <v>22</v>
      </c>
    </row>
    <row r="1629" spans="1:11">
      <c r="A1629" s="33" t="s">
        <v>4148</v>
      </c>
      <c r="B1629" s="33" t="s">
        <v>4149</v>
      </c>
      <c r="C1629" s="33" t="s">
        <v>2490</v>
      </c>
      <c r="D1629" s="33" t="s">
        <v>17</v>
      </c>
      <c r="E1629" s="33" t="s">
        <v>26</v>
      </c>
      <c r="F1629" s="33" t="s">
        <v>27</v>
      </c>
      <c r="G1629" s="33" t="s">
        <v>20</v>
      </c>
      <c r="H1629" s="35">
        <v>32</v>
      </c>
      <c r="I1629" s="33" t="s">
        <v>21</v>
      </c>
      <c r="J1629" s="42">
        <v>44159</v>
      </c>
      <c r="K1629" s="33" t="s">
        <v>22</v>
      </c>
    </row>
    <row r="1630" spans="1:11">
      <c r="A1630" s="30" t="s">
        <v>4150</v>
      </c>
      <c r="B1630" s="30" t="s">
        <v>4151</v>
      </c>
      <c r="C1630" s="30" t="s">
        <v>118</v>
      </c>
      <c r="D1630" s="30" t="s">
        <v>17</v>
      </c>
      <c r="E1630" s="30" t="s">
        <v>26</v>
      </c>
      <c r="F1630" s="30" t="s">
        <v>27</v>
      </c>
      <c r="G1630" s="30" t="s">
        <v>20</v>
      </c>
      <c r="H1630" s="32">
        <v>24</v>
      </c>
      <c r="I1630" s="30" t="s">
        <v>21</v>
      </c>
      <c r="J1630" s="41">
        <v>43889</v>
      </c>
      <c r="K1630" s="30" t="s">
        <v>22</v>
      </c>
    </row>
    <row r="1631" spans="1:11">
      <c r="A1631" s="33" t="s">
        <v>4152</v>
      </c>
      <c r="B1631" s="33" t="s">
        <v>4153</v>
      </c>
      <c r="C1631" s="33" t="s">
        <v>1908</v>
      </c>
      <c r="D1631" s="33" t="s">
        <v>17</v>
      </c>
      <c r="E1631" s="33" t="s">
        <v>26</v>
      </c>
      <c r="F1631" s="33" t="s">
        <v>27</v>
      </c>
      <c r="G1631" s="33" t="s">
        <v>20</v>
      </c>
      <c r="H1631" s="35">
        <v>12</v>
      </c>
      <c r="I1631" s="33" t="s">
        <v>21</v>
      </c>
      <c r="J1631" s="42">
        <v>44088</v>
      </c>
      <c r="K1631" s="33" t="s">
        <v>22</v>
      </c>
    </row>
    <row r="1632" spans="1:11">
      <c r="A1632" s="30" t="s">
        <v>4154</v>
      </c>
      <c r="B1632" s="30" t="s">
        <v>4155</v>
      </c>
      <c r="C1632" s="30" t="s">
        <v>844</v>
      </c>
      <c r="D1632" s="30" t="s">
        <v>17</v>
      </c>
      <c r="E1632" s="30" t="s">
        <v>18</v>
      </c>
      <c r="F1632" s="30" t="s">
        <v>19</v>
      </c>
      <c r="G1632" s="30" t="s">
        <v>20</v>
      </c>
      <c r="H1632" s="32">
        <v>500</v>
      </c>
      <c r="I1632" s="30" t="s">
        <v>21</v>
      </c>
      <c r="J1632" s="41">
        <v>44025</v>
      </c>
      <c r="K1632" s="30" t="s">
        <v>22</v>
      </c>
    </row>
    <row r="1633" spans="1:11">
      <c r="A1633" s="33" t="s">
        <v>4156</v>
      </c>
      <c r="B1633" s="33" t="s">
        <v>4157</v>
      </c>
      <c r="C1633" s="33" t="s">
        <v>957</v>
      </c>
      <c r="D1633" s="33" t="s">
        <v>17</v>
      </c>
      <c r="E1633" s="33" t="s">
        <v>26</v>
      </c>
      <c r="F1633" s="33" t="s">
        <v>27</v>
      </c>
      <c r="G1633" s="33" t="s">
        <v>20</v>
      </c>
      <c r="H1633" s="35">
        <v>115</v>
      </c>
      <c r="I1633" s="33" t="s">
        <v>21</v>
      </c>
      <c r="J1633" s="42">
        <v>44127</v>
      </c>
      <c r="K1633" s="33" t="s">
        <v>22</v>
      </c>
    </row>
    <row r="1634" spans="1:11">
      <c r="A1634" s="30" t="s">
        <v>4158</v>
      </c>
      <c r="B1634" s="30" t="s">
        <v>4159</v>
      </c>
      <c r="C1634" s="30" t="s">
        <v>190</v>
      </c>
      <c r="D1634" s="30" t="s">
        <v>17</v>
      </c>
      <c r="E1634" s="30" t="s">
        <v>31</v>
      </c>
      <c r="F1634" s="30" t="s">
        <v>32</v>
      </c>
      <c r="G1634" s="30" t="s">
        <v>158</v>
      </c>
      <c r="H1634" s="32">
        <v>102</v>
      </c>
      <c r="I1634" s="30" t="s">
        <v>21</v>
      </c>
      <c r="J1634" s="41">
        <v>44195</v>
      </c>
      <c r="K1634" s="30" t="s">
        <v>22</v>
      </c>
    </row>
    <row r="1635" spans="1:11">
      <c r="A1635" s="33" t="s">
        <v>4160</v>
      </c>
      <c r="B1635" s="33" t="s">
        <v>4161</v>
      </c>
      <c r="C1635" s="33" t="s">
        <v>2778</v>
      </c>
      <c r="D1635" s="33" t="s">
        <v>17</v>
      </c>
      <c r="E1635" s="33" t="s">
        <v>31</v>
      </c>
      <c r="F1635" s="33" t="s">
        <v>32</v>
      </c>
      <c r="G1635" s="33" t="s">
        <v>20</v>
      </c>
      <c r="H1635" s="35">
        <v>90</v>
      </c>
      <c r="I1635" s="33" t="s">
        <v>21</v>
      </c>
      <c r="J1635" s="42">
        <v>44196</v>
      </c>
      <c r="K1635" s="33" t="s">
        <v>22</v>
      </c>
    </row>
    <row r="1636" spans="1:11">
      <c r="A1636" s="30" t="s">
        <v>4162</v>
      </c>
      <c r="B1636" s="30" t="s">
        <v>4163</v>
      </c>
      <c r="C1636" s="30" t="s">
        <v>1923</v>
      </c>
      <c r="D1636" s="30" t="s">
        <v>17</v>
      </c>
      <c r="E1636" s="30" t="s">
        <v>67</v>
      </c>
      <c r="F1636" s="30" t="s">
        <v>68</v>
      </c>
      <c r="G1636" s="30" t="s">
        <v>20</v>
      </c>
      <c r="H1636" s="32">
        <v>755</v>
      </c>
      <c r="I1636" s="30" t="s">
        <v>21</v>
      </c>
      <c r="J1636" s="41">
        <v>44027</v>
      </c>
      <c r="K1636" s="30" t="s">
        <v>22</v>
      </c>
    </row>
    <row r="1637" spans="1:11">
      <c r="A1637" s="33" t="s">
        <v>4164</v>
      </c>
      <c r="B1637" s="33" t="s">
        <v>4165</v>
      </c>
      <c r="C1637" s="33" t="s">
        <v>190</v>
      </c>
      <c r="D1637" s="33" t="s">
        <v>17</v>
      </c>
      <c r="E1637" s="33" t="s">
        <v>18</v>
      </c>
      <c r="F1637" s="33" t="s">
        <v>19</v>
      </c>
      <c r="G1637" s="33" t="s">
        <v>158</v>
      </c>
      <c r="H1637" s="35">
        <v>805</v>
      </c>
      <c r="I1637" s="33" t="s">
        <v>21</v>
      </c>
      <c r="J1637" s="42">
        <v>43956</v>
      </c>
      <c r="K1637" s="33" t="s">
        <v>22</v>
      </c>
    </row>
    <row r="1638" spans="1:11">
      <c r="A1638" s="30" t="s">
        <v>4166</v>
      </c>
      <c r="B1638" s="30" t="s">
        <v>4167</v>
      </c>
      <c r="C1638" s="30" t="s">
        <v>4087</v>
      </c>
      <c r="D1638" s="30" t="s">
        <v>17</v>
      </c>
      <c r="E1638" s="30" t="s">
        <v>18</v>
      </c>
      <c r="F1638" s="30" t="s">
        <v>19</v>
      </c>
      <c r="G1638" s="30" t="s">
        <v>106</v>
      </c>
      <c r="H1638" s="32">
        <v>214</v>
      </c>
      <c r="I1638" s="30" t="s">
        <v>21</v>
      </c>
      <c r="J1638" s="41">
        <v>44062</v>
      </c>
      <c r="K1638" s="30" t="s">
        <v>22</v>
      </c>
    </row>
    <row r="1639" spans="1:11">
      <c r="A1639" s="33" t="s">
        <v>4168</v>
      </c>
      <c r="B1639" s="33" t="s">
        <v>4169</v>
      </c>
      <c r="C1639" s="33" t="s">
        <v>4170</v>
      </c>
      <c r="D1639" s="33" t="s">
        <v>17</v>
      </c>
      <c r="E1639" s="33" t="s">
        <v>18</v>
      </c>
      <c r="F1639" s="33" t="s">
        <v>19</v>
      </c>
      <c r="G1639" s="33" t="s">
        <v>106</v>
      </c>
      <c r="H1639" s="35">
        <v>119</v>
      </c>
      <c r="I1639" s="33" t="s">
        <v>21</v>
      </c>
      <c r="J1639" s="42">
        <v>44035</v>
      </c>
      <c r="K1639" s="33" t="s">
        <v>22</v>
      </c>
    </row>
    <row r="1640" spans="1:11">
      <c r="A1640" s="30" t="s">
        <v>4171</v>
      </c>
      <c r="B1640" s="30" t="s">
        <v>4172</v>
      </c>
      <c r="C1640" s="30" t="s">
        <v>4173</v>
      </c>
      <c r="D1640" s="30" t="s">
        <v>17</v>
      </c>
      <c r="E1640" s="30" t="s">
        <v>26</v>
      </c>
      <c r="F1640" s="30" t="s">
        <v>27</v>
      </c>
      <c r="G1640" s="30" t="s">
        <v>20</v>
      </c>
      <c r="H1640" s="32">
        <v>184</v>
      </c>
      <c r="I1640" s="30" t="s">
        <v>21</v>
      </c>
      <c r="J1640" s="41">
        <v>43839</v>
      </c>
      <c r="K1640" s="30" t="s">
        <v>22</v>
      </c>
    </row>
    <row r="1641" spans="1:11">
      <c r="A1641" s="33" t="s">
        <v>4174</v>
      </c>
      <c r="B1641" s="33" t="s">
        <v>4175</v>
      </c>
      <c r="C1641" s="33" t="s">
        <v>4176</v>
      </c>
      <c r="D1641" s="33" t="s">
        <v>17</v>
      </c>
      <c r="E1641" s="33" t="s">
        <v>18</v>
      </c>
      <c r="F1641" s="33" t="s">
        <v>19</v>
      </c>
      <c r="G1641" s="33" t="s">
        <v>20</v>
      </c>
      <c r="H1641" s="35">
        <v>185</v>
      </c>
      <c r="I1641" s="33" t="s">
        <v>21</v>
      </c>
      <c r="J1641" s="42">
        <v>44153</v>
      </c>
      <c r="K1641" s="33" t="s">
        <v>22</v>
      </c>
    </row>
    <row r="1642" spans="1:11">
      <c r="A1642" s="30" t="s">
        <v>4177</v>
      </c>
      <c r="B1642" s="30" t="s">
        <v>4178</v>
      </c>
      <c r="C1642" s="30" t="s">
        <v>1469</v>
      </c>
      <c r="D1642" s="30" t="s">
        <v>17</v>
      </c>
      <c r="E1642" s="30" t="s">
        <v>18</v>
      </c>
      <c r="F1642" s="30" t="s">
        <v>19</v>
      </c>
      <c r="G1642" s="30" t="s">
        <v>20</v>
      </c>
      <c r="H1642" s="32">
        <v>902</v>
      </c>
      <c r="I1642" s="30" t="s">
        <v>21</v>
      </c>
      <c r="J1642" s="41">
        <v>43857</v>
      </c>
      <c r="K1642" s="30" t="s">
        <v>22</v>
      </c>
    </row>
    <row r="1643" spans="1:11">
      <c r="A1643" s="33" t="s">
        <v>4179</v>
      </c>
      <c r="B1643" s="33" t="s">
        <v>4180</v>
      </c>
      <c r="C1643" s="33" t="s">
        <v>4181</v>
      </c>
      <c r="D1643" s="33" t="s">
        <v>17</v>
      </c>
      <c r="E1643" s="33" t="s">
        <v>31</v>
      </c>
      <c r="F1643" s="33" t="s">
        <v>32</v>
      </c>
      <c r="G1643" s="33" t="s">
        <v>20</v>
      </c>
      <c r="H1643" s="35">
        <v>34</v>
      </c>
      <c r="I1643" s="33" t="s">
        <v>21</v>
      </c>
      <c r="J1643" s="42">
        <v>44056</v>
      </c>
      <c r="K1643" s="33" t="s">
        <v>22</v>
      </c>
    </row>
    <row r="1644" spans="1:11">
      <c r="A1644" s="30" t="s">
        <v>4182</v>
      </c>
      <c r="B1644" s="30" t="s">
        <v>4183</v>
      </c>
      <c r="C1644" s="30" t="s">
        <v>157</v>
      </c>
      <c r="D1644" s="30" t="s">
        <v>17</v>
      </c>
      <c r="E1644" s="30" t="s">
        <v>26</v>
      </c>
      <c r="F1644" s="30" t="s">
        <v>27</v>
      </c>
      <c r="G1644" s="30" t="s">
        <v>20</v>
      </c>
      <c r="H1644" s="32">
        <v>19</v>
      </c>
      <c r="I1644" s="30" t="s">
        <v>21</v>
      </c>
      <c r="J1644" s="41">
        <v>44097</v>
      </c>
      <c r="K1644" s="30" t="s">
        <v>22</v>
      </c>
    </row>
    <row r="1645" spans="1:11">
      <c r="A1645" s="33" t="s">
        <v>4184</v>
      </c>
      <c r="B1645" s="33" t="s">
        <v>4185</v>
      </c>
      <c r="C1645" s="33" t="s">
        <v>4186</v>
      </c>
      <c r="D1645" s="33" t="s">
        <v>17</v>
      </c>
      <c r="E1645" s="33" t="s">
        <v>31</v>
      </c>
      <c r="F1645" s="33" t="s">
        <v>32</v>
      </c>
      <c r="G1645" s="33" t="s">
        <v>20</v>
      </c>
      <c r="H1645" s="35">
        <v>91</v>
      </c>
      <c r="I1645" s="33" t="s">
        <v>21</v>
      </c>
      <c r="J1645" s="42">
        <v>43893</v>
      </c>
      <c r="K1645" s="33" t="s">
        <v>22</v>
      </c>
    </row>
    <row r="1646" spans="1:11">
      <c r="A1646" s="30" t="s">
        <v>4187</v>
      </c>
      <c r="B1646" s="30" t="s">
        <v>4188</v>
      </c>
      <c r="C1646" s="30" t="s">
        <v>570</v>
      </c>
      <c r="D1646" s="30" t="s">
        <v>17</v>
      </c>
      <c r="E1646" s="30" t="s">
        <v>45</v>
      </c>
      <c r="F1646" s="30" t="s">
        <v>46</v>
      </c>
      <c r="G1646" s="30" t="s">
        <v>106</v>
      </c>
      <c r="H1646" s="32">
        <v>46</v>
      </c>
      <c r="I1646" s="30" t="s">
        <v>21</v>
      </c>
      <c r="J1646" s="41">
        <v>44097</v>
      </c>
      <c r="K1646" s="30" t="s">
        <v>22</v>
      </c>
    </row>
    <row r="1647" spans="1:11">
      <c r="A1647" s="33" t="s">
        <v>4189</v>
      </c>
      <c r="B1647" s="33" t="s">
        <v>4190</v>
      </c>
      <c r="C1647" s="33" t="s">
        <v>4191</v>
      </c>
      <c r="D1647" s="33" t="s">
        <v>17</v>
      </c>
      <c r="E1647" s="33" t="s">
        <v>31</v>
      </c>
      <c r="F1647" s="33" t="s">
        <v>32</v>
      </c>
      <c r="G1647" s="33" t="s">
        <v>20</v>
      </c>
      <c r="H1647" s="35">
        <v>24</v>
      </c>
      <c r="I1647" s="33" t="s">
        <v>21</v>
      </c>
      <c r="J1647" s="42">
        <v>44180</v>
      </c>
      <c r="K1647" s="33" t="s">
        <v>22</v>
      </c>
    </row>
    <row r="1648" spans="1:11">
      <c r="A1648" s="30" t="s">
        <v>4192</v>
      </c>
      <c r="B1648" s="30" t="s">
        <v>4193</v>
      </c>
      <c r="C1648" s="30" t="s">
        <v>190</v>
      </c>
      <c r="D1648" s="30" t="s">
        <v>17</v>
      </c>
      <c r="E1648" s="30" t="s">
        <v>31</v>
      </c>
      <c r="F1648" s="30" t="s">
        <v>32</v>
      </c>
      <c r="G1648" s="30" t="s">
        <v>20</v>
      </c>
      <c r="H1648" s="32">
        <v>30</v>
      </c>
      <c r="I1648" s="30" t="s">
        <v>21</v>
      </c>
      <c r="J1648" s="41">
        <v>44047</v>
      </c>
      <c r="K1648" s="30" t="s">
        <v>22</v>
      </c>
    </row>
    <row r="1649" spans="1:11">
      <c r="A1649" s="33" t="s">
        <v>4194</v>
      </c>
      <c r="B1649" s="33" t="s">
        <v>4195</v>
      </c>
      <c r="C1649" s="33" t="s">
        <v>2894</v>
      </c>
      <c r="D1649" s="33" t="s">
        <v>17</v>
      </c>
      <c r="E1649" s="33" t="s">
        <v>31</v>
      </c>
      <c r="F1649" s="33" t="s">
        <v>32</v>
      </c>
      <c r="G1649" s="33" t="s">
        <v>20</v>
      </c>
      <c r="H1649" s="35">
        <v>100</v>
      </c>
      <c r="I1649" s="33" t="s">
        <v>21</v>
      </c>
      <c r="J1649" s="42">
        <v>44091</v>
      </c>
      <c r="K1649" s="33" t="s">
        <v>22</v>
      </c>
    </row>
    <row r="1650" spans="1:11">
      <c r="A1650" s="30" t="s">
        <v>4196</v>
      </c>
      <c r="B1650" s="30" t="s">
        <v>4197</v>
      </c>
      <c r="C1650" s="30" t="s">
        <v>969</v>
      </c>
      <c r="D1650" s="30" t="s">
        <v>17</v>
      </c>
      <c r="E1650" s="30" t="s">
        <v>31</v>
      </c>
      <c r="F1650" s="30" t="s">
        <v>32</v>
      </c>
      <c r="G1650" s="30" t="s">
        <v>106</v>
      </c>
      <c r="H1650" s="32">
        <v>243</v>
      </c>
      <c r="I1650" s="30" t="s">
        <v>21</v>
      </c>
      <c r="J1650" s="41">
        <v>44154</v>
      </c>
      <c r="K1650" s="30" t="s">
        <v>22</v>
      </c>
    </row>
    <row r="1651" spans="1:11">
      <c r="A1651" s="33" t="s">
        <v>4198</v>
      </c>
      <c r="B1651" s="33" t="s">
        <v>4199</v>
      </c>
      <c r="C1651" s="33" t="s">
        <v>647</v>
      </c>
      <c r="D1651" s="33" t="s">
        <v>17</v>
      </c>
      <c r="E1651" s="33" t="s">
        <v>18</v>
      </c>
      <c r="F1651" s="33" t="s">
        <v>19</v>
      </c>
      <c r="G1651" s="33" t="s">
        <v>20</v>
      </c>
      <c r="H1651" s="35">
        <v>112</v>
      </c>
      <c r="I1651" s="33" t="s">
        <v>21</v>
      </c>
      <c r="J1651" s="42">
        <v>44134</v>
      </c>
      <c r="K1651" s="33" t="s">
        <v>22</v>
      </c>
    </row>
    <row r="1652" spans="1:11">
      <c r="A1652" s="30" t="s">
        <v>4200</v>
      </c>
      <c r="B1652" s="30" t="s">
        <v>4201</v>
      </c>
      <c r="C1652" s="30" t="s">
        <v>698</v>
      </c>
      <c r="D1652" s="30" t="s">
        <v>17</v>
      </c>
      <c r="E1652" s="30" t="s">
        <v>67</v>
      </c>
      <c r="F1652" s="30" t="s">
        <v>68</v>
      </c>
      <c r="G1652" s="30" t="s">
        <v>50</v>
      </c>
      <c r="H1652" s="32">
        <v>17</v>
      </c>
      <c r="I1652" s="30" t="s">
        <v>51</v>
      </c>
      <c r="J1652" s="41">
        <v>43854</v>
      </c>
      <c r="K1652" s="30" t="s">
        <v>22</v>
      </c>
    </row>
    <row r="1653" spans="1:11">
      <c r="A1653" s="33" t="s">
        <v>4202</v>
      </c>
      <c r="B1653" s="33" t="s">
        <v>4203</v>
      </c>
      <c r="C1653" s="33" t="s">
        <v>118</v>
      </c>
      <c r="D1653" s="33" t="s">
        <v>17</v>
      </c>
      <c r="E1653" s="33" t="s">
        <v>26</v>
      </c>
      <c r="F1653" s="33" t="s">
        <v>27</v>
      </c>
      <c r="G1653" s="33" t="s">
        <v>20</v>
      </c>
      <c r="H1653" s="35">
        <v>37</v>
      </c>
      <c r="I1653" s="33" t="s">
        <v>21</v>
      </c>
      <c r="J1653" s="42">
        <v>44035</v>
      </c>
      <c r="K1653" s="33" t="s">
        <v>22</v>
      </c>
    </row>
    <row r="1654" spans="1:11">
      <c r="A1654" s="30" t="s">
        <v>4204</v>
      </c>
      <c r="B1654" s="30" t="s">
        <v>4205</v>
      </c>
      <c r="C1654" s="30" t="s">
        <v>684</v>
      </c>
      <c r="D1654" s="30" t="s">
        <v>17</v>
      </c>
      <c r="E1654" s="30" t="s">
        <v>26</v>
      </c>
      <c r="F1654" s="30" t="s">
        <v>27</v>
      </c>
      <c r="G1654" s="30" t="s">
        <v>106</v>
      </c>
      <c r="H1654" s="32">
        <v>20</v>
      </c>
      <c r="I1654" s="30" t="s">
        <v>21</v>
      </c>
      <c r="J1654" s="41">
        <v>43832</v>
      </c>
      <c r="K1654" s="30" t="s">
        <v>22</v>
      </c>
    </row>
    <row r="1655" spans="1:11">
      <c r="A1655" s="33" t="s">
        <v>4206</v>
      </c>
      <c r="B1655" s="33" t="s">
        <v>4207</v>
      </c>
      <c r="C1655" s="33" t="s">
        <v>57</v>
      </c>
      <c r="D1655" s="33" t="s">
        <v>17</v>
      </c>
      <c r="E1655" s="33" t="s">
        <v>18</v>
      </c>
      <c r="F1655" s="33" t="s">
        <v>19</v>
      </c>
      <c r="G1655" s="33" t="s">
        <v>20</v>
      </c>
      <c r="H1655" s="35">
        <v>327</v>
      </c>
      <c r="I1655" s="33" t="s">
        <v>21</v>
      </c>
      <c r="J1655" s="42">
        <v>43984</v>
      </c>
      <c r="K1655" s="33" t="s">
        <v>22</v>
      </c>
    </row>
    <row r="1656" spans="1:11">
      <c r="A1656" s="30" t="s">
        <v>4208</v>
      </c>
      <c r="B1656" s="30" t="s">
        <v>4209</v>
      </c>
      <c r="C1656" s="30" t="s">
        <v>4210</v>
      </c>
      <c r="D1656" s="30" t="s">
        <v>17</v>
      </c>
      <c r="E1656" s="30" t="s">
        <v>26</v>
      </c>
      <c r="F1656" s="30" t="s">
        <v>27</v>
      </c>
      <c r="G1656" s="30" t="s">
        <v>20</v>
      </c>
      <c r="H1656" s="32">
        <v>12</v>
      </c>
      <c r="I1656" s="30" t="s">
        <v>21</v>
      </c>
      <c r="J1656" s="41">
        <v>44022</v>
      </c>
      <c r="K1656" s="30" t="s">
        <v>22</v>
      </c>
    </row>
    <row r="1657" spans="1:11">
      <c r="A1657" s="33" t="s">
        <v>4211</v>
      </c>
      <c r="B1657" s="33" t="s">
        <v>4212</v>
      </c>
      <c r="C1657" s="33" t="s">
        <v>310</v>
      </c>
      <c r="D1657" s="33" t="s">
        <v>17</v>
      </c>
      <c r="E1657" s="33" t="s">
        <v>18</v>
      </c>
      <c r="F1657" s="33" t="s">
        <v>19</v>
      </c>
      <c r="G1657" s="33" t="s">
        <v>20</v>
      </c>
      <c r="H1657" s="35">
        <v>984</v>
      </c>
      <c r="I1657" s="33" t="s">
        <v>21</v>
      </c>
      <c r="J1657" s="42">
        <v>44160</v>
      </c>
      <c r="K1657" s="33" t="s">
        <v>22</v>
      </c>
    </row>
    <row r="1658" spans="1:11">
      <c r="A1658" s="30" t="s">
        <v>4213</v>
      </c>
      <c r="B1658" s="30" t="s">
        <v>4214</v>
      </c>
      <c r="C1658" s="30" t="s">
        <v>4215</v>
      </c>
      <c r="D1658" s="30" t="s">
        <v>17</v>
      </c>
      <c r="E1658" s="30" t="s">
        <v>45</v>
      </c>
      <c r="F1658" s="30" t="s">
        <v>46</v>
      </c>
      <c r="G1658" s="30" t="s">
        <v>20</v>
      </c>
      <c r="H1658" s="32">
        <v>290</v>
      </c>
      <c r="I1658" s="30" t="s">
        <v>21</v>
      </c>
      <c r="J1658" s="41">
        <v>44025</v>
      </c>
      <c r="K1658" s="30" t="s">
        <v>22</v>
      </c>
    </row>
    <row r="1659" spans="1:11">
      <c r="A1659" s="33" t="s">
        <v>4216</v>
      </c>
      <c r="B1659" s="33" t="s">
        <v>4217</v>
      </c>
      <c r="C1659" s="33" t="s">
        <v>4218</v>
      </c>
      <c r="D1659" s="33" t="s">
        <v>17</v>
      </c>
      <c r="E1659" s="33" t="s">
        <v>26</v>
      </c>
      <c r="F1659" s="33" t="s">
        <v>27</v>
      </c>
      <c r="G1659" s="33" t="s">
        <v>106</v>
      </c>
      <c r="H1659" s="35">
        <v>65</v>
      </c>
      <c r="I1659" s="33" t="s">
        <v>21</v>
      </c>
      <c r="J1659" s="42">
        <v>44106</v>
      </c>
      <c r="K1659" s="33" t="s">
        <v>22</v>
      </c>
    </row>
    <row r="1660" spans="1:11">
      <c r="A1660" s="30" t="s">
        <v>4219</v>
      </c>
      <c r="B1660" s="30" t="s">
        <v>4220</v>
      </c>
      <c r="C1660" s="30" t="s">
        <v>4221</v>
      </c>
      <c r="D1660" s="30" t="s">
        <v>17</v>
      </c>
      <c r="E1660" s="30" t="s">
        <v>26</v>
      </c>
      <c r="F1660" s="30" t="s">
        <v>27</v>
      </c>
      <c r="G1660" s="30" t="s">
        <v>50</v>
      </c>
      <c r="H1660" s="32">
        <v>40</v>
      </c>
      <c r="I1660" s="30" t="s">
        <v>51</v>
      </c>
      <c r="J1660" s="41">
        <v>44020</v>
      </c>
      <c r="K1660" s="30" t="s">
        <v>22</v>
      </c>
    </row>
    <row r="1661" spans="1:11">
      <c r="A1661" s="33" t="s">
        <v>4222</v>
      </c>
      <c r="B1661" s="33" t="s">
        <v>4223</v>
      </c>
      <c r="C1661" s="33" t="s">
        <v>72</v>
      </c>
      <c r="D1661" s="33" t="s">
        <v>17</v>
      </c>
      <c r="E1661" s="33" t="s">
        <v>26</v>
      </c>
      <c r="F1661" s="33" t="s">
        <v>27</v>
      </c>
      <c r="G1661" s="33" t="s">
        <v>20</v>
      </c>
      <c r="H1661" s="35">
        <v>32</v>
      </c>
      <c r="I1661" s="33" t="s">
        <v>21</v>
      </c>
      <c r="J1661" s="42">
        <v>44137</v>
      </c>
      <c r="K1661" s="33" t="s">
        <v>22</v>
      </c>
    </row>
    <row r="1662" spans="1:11">
      <c r="A1662" s="30" t="s">
        <v>4224</v>
      </c>
      <c r="B1662" s="30" t="s">
        <v>4225</v>
      </c>
      <c r="C1662" s="30" t="s">
        <v>2500</v>
      </c>
      <c r="D1662" s="30" t="s">
        <v>17</v>
      </c>
      <c r="E1662" s="30" t="s">
        <v>26</v>
      </c>
      <c r="F1662" s="30" t="s">
        <v>27</v>
      </c>
      <c r="G1662" s="30" t="s">
        <v>20</v>
      </c>
      <c r="H1662" s="32">
        <v>31</v>
      </c>
      <c r="I1662" s="30" t="s">
        <v>21</v>
      </c>
      <c r="J1662" s="41">
        <v>44020</v>
      </c>
      <c r="K1662" s="30" t="s">
        <v>22</v>
      </c>
    </row>
    <row r="1663" spans="1:11">
      <c r="A1663" s="33" t="s">
        <v>4226</v>
      </c>
      <c r="B1663" s="33" t="s">
        <v>4227</v>
      </c>
      <c r="C1663" s="33" t="s">
        <v>149</v>
      </c>
      <c r="D1663" s="33" t="s">
        <v>17</v>
      </c>
      <c r="E1663" s="33" t="s">
        <v>26</v>
      </c>
      <c r="F1663" s="33" t="s">
        <v>27</v>
      </c>
      <c r="G1663" s="33" t="s">
        <v>20</v>
      </c>
      <c r="H1663" s="35">
        <v>28</v>
      </c>
      <c r="I1663" s="33" t="s">
        <v>21</v>
      </c>
      <c r="J1663" s="42">
        <v>43999</v>
      </c>
      <c r="K1663" s="33" t="s">
        <v>22</v>
      </c>
    </row>
    <row r="1664" spans="1:11">
      <c r="A1664" s="30" t="s">
        <v>4228</v>
      </c>
      <c r="B1664" s="30" t="s">
        <v>4229</v>
      </c>
      <c r="C1664" s="30" t="s">
        <v>4230</v>
      </c>
      <c r="D1664" s="30" t="s">
        <v>17</v>
      </c>
      <c r="E1664" s="30" t="s">
        <v>31</v>
      </c>
      <c r="F1664" s="30" t="s">
        <v>32</v>
      </c>
      <c r="G1664" s="30" t="s">
        <v>20</v>
      </c>
      <c r="H1664" s="32">
        <v>209</v>
      </c>
      <c r="I1664" s="30" t="s">
        <v>21</v>
      </c>
      <c r="J1664" s="41">
        <v>44006</v>
      </c>
      <c r="K1664" s="30" t="s">
        <v>22</v>
      </c>
    </row>
    <row r="1665" spans="1:11">
      <c r="A1665" s="33" t="s">
        <v>4231</v>
      </c>
      <c r="B1665" s="33" t="s">
        <v>4232</v>
      </c>
      <c r="C1665" s="33" t="s">
        <v>4233</v>
      </c>
      <c r="D1665" s="33" t="s">
        <v>17</v>
      </c>
      <c r="E1665" s="33" t="s">
        <v>67</v>
      </c>
      <c r="F1665" s="33" t="s">
        <v>68</v>
      </c>
      <c r="G1665" s="33" t="s">
        <v>50</v>
      </c>
      <c r="H1665" s="35">
        <v>75</v>
      </c>
      <c r="I1665" s="33" t="s">
        <v>51</v>
      </c>
      <c r="J1665" s="42">
        <v>44048</v>
      </c>
      <c r="K1665" s="33" t="s">
        <v>22</v>
      </c>
    </row>
    <row r="1666" spans="1:11">
      <c r="A1666" s="30" t="s">
        <v>4234</v>
      </c>
      <c r="B1666" s="30" t="s">
        <v>4235</v>
      </c>
      <c r="C1666" s="30" t="s">
        <v>231</v>
      </c>
      <c r="D1666" s="30" t="s">
        <v>17</v>
      </c>
      <c r="E1666" s="30" t="s">
        <v>26</v>
      </c>
      <c r="F1666" s="30" t="s">
        <v>27</v>
      </c>
      <c r="G1666" s="30" t="s">
        <v>20</v>
      </c>
      <c r="H1666" s="32">
        <v>70</v>
      </c>
      <c r="I1666" s="30" t="s">
        <v>21</v>
      </c>
      <c r="J1666" s="41">
        <v>44110</v>
      </c>
      <c r="K1666" s="30" t="s">
        <v>22</v>
      </c>
    </row>
    <row r="1667" spans="1:11">
      <c r="A1667" s="33" t="s">
        <v>4236</v>
      </c>
      <c r="B1667" s="33" t="s">
        <v>4237</v>
      </c>
      <c r="C1667" s="33" t="s">
        <v>1019</v>
      </c>
      <c r="D1667" s="33" t="s">
        <v>17</v>
      </c>
      <c r="E1667" s="33" t="s">
        <v>18</v>
      </c>
      <c r="F1667" s="33" t="s">
        <v>19</v>
      </c>
      <c r="G1667" s="33" t="s">
        <v>20</v>
      </c>
      <c r="H1667" s="35">
        <v>194</v>
      </c>
      <c r="I1667" s="33" t="s">
        <v>21</v>
      </c>
      <c r="J1667" s="42">
        <v>43991</v>
      </c>
      <c r="K1667" s="33" t="s">
        <v>22</v>
      </c>
    </row>
    <row r="1668" spans="1:11">
      <c r="A1668" s="30" t="s">
        <v>4238</v>
      </c>
      <c r="B1668" s="30" t="s">
        <v>4239</v>
      </c>
      <c r="C1668" s="30" t="s">
        <v>93</v>
      </c>
      <c r="D1668" s="30" t="s">
        <v>17</v>
      </c>
      <c r="E1668" s="30" t="s">
        <v>31</v>
      </c>
      <c r="F1668" s="30" t="s">
        <v>32</v>
      </c>
      <c r="G1668" s="30" t="s">
        <v>158</v>
      </c>
      <c r="H1668" s="32">
        <v>146</v>
      </c>
      <c r="I1668" s="30" t="s">
        <v>21</v>
      </c>
      <c r="J1668" s="41">
        <v>44068</v>
      </c>
      <c r="K1668" s="30" t="s">
        <v>22</v>
      </c>
    </row>
    <row r="1669" spans="1:11">
      <c r="A1669" s="33" t="s">
        <v>4240</v>
      </c>
      <c r="B1669" s="33" t="s">
        <v>4241</v>
      </c>
      <c r="C1669" s="33" t="s">
        <v>2663</v>
      </c>
      <c r="D1669" s="33" t="s">
        <v>17</v>
      </c>
      <c r="E1669" s="33" t="s">
        <v>26</v>
      </c>
      <c r="F1669" s="33" t="s">
        <v>27</v>
      </c>
      <c r="G1669" s="33" t="s">
        <v>20</v>
      </c>
      <c r="H1669" s="35">
        <v>46</v>
      </c>
      <c r="I1669" s="33" t="s">
        <v>21</v>
      </c>
      <c r="J1669" s="42">
        <v>44151</v>
      </c>
      <c r="K1669" s="33" t="s">
        <v>22</v>
      </c>
    </row>
    <row r="1670" spans="1:11">
      <c r="A1670" s="30" t="s">
        <v>4242</v>
      </c>
      <c r="B1670" s="30" t="s">
        <v>4243</v>
      </c>
      <c r="C1670" s="30" t="s">
        <v>310</v>
      </c>
      <c r="D1670" s="30" t="s">
        <v>17</v>
      </c>
      <c r="E1670" s="30" t="s">
        <v>26</v>
      </c>
      <c r="F1670" s="30" t="s">
        <v>27</v>
      </c>
      <c r="G1670" s="30" t="s">
        <v>20</v>
      </c>
      <c r="H1670" s="32">
        <v>48</v>
      </c>
      <c r="I1670" s="30" t="s">
        <v>21</v>
      </c>
      <c r="J1670" s="41">
        <v>44144</v>
      </c>
      <c r="K1670" s="30" t="s">
        <v>22</v>
      </c>
    </row>
    <row r="1671" spans="1:11">
      <c r="A1671" s="33" t="s">
        <v>4244</v>
      </c>
      <c r="B1671" s="33" t="s">
        <v>4245</v>
      </c>
      <c r="C1671" s="33" t="s">
        <v>4246</v>
      </c>
      <c r="D1671" s="33" t="s">
        <v>17</v>
      </c>
      <c r="E1671" s="33" t="s">
        <v>18</v>
      </c>
      <c r="F1671" s="33" t="s">
        <v>19</v>
      </c>
      <c r="G1671" s="33" t="s">
        <v>20</v>
      </c>
      <c r="H1671" s="35">
        <v>106</v>
      </c>
      <c r="I1671" s="33" t="s">
        <v>21</v>
      </c>
      <c r="J1671" s="42">
        <v>44035</v>
      </c>
      <c r="K1671" s="33" t="s">
        <v>22</v>
      </c>
    </row>
    <row r="1672" spans="1:11">
      <c r="A1672" s="30" t="s">
        <v>4247</v>
      </c>
      <c r="B1672" s="30" t="s">
        <v>4248</v>
      </c>
      <c r="C1672" s="30" t="s">
        <v>1558</v>
      </c>
      <c r="D1672" s="30" t="s">
        <v>17</v>
      </c>
      <c r="E1672" s="30" t="s">
        <v>31</v>
      </c>
      <c r="F1672" s="30" t="s">
        <v>32</v>
      </c>
      <c r="G1672" s="30" t="s">
        <v>50</v>
      </c>
      <c r="H1672" s="32">
        <v>65</v>
      </c>
      <c r="I1672" s="30" t="s">
        <v>51</v>
      </c>
      <c r="J1672" s="41">
        <v>44091</v>
      </c>
      <c r="K1672" s="30" t="s">
        <v>22</v>
      </c>
    </row>
    <row r="1673" spans="1:11">
      <c r="A1673" s="33" t="s">
        <v>4249</v>
      </c>
      <c r="B1673" s="33" t="s">
        <v>4250</v>
      </c>
      <c r="C1673" s="33" t="s">
        <v>733</v>
      </c>
      <c r="D1673" s="33" t="s">
        <v>17</v>
      </c>
      <c r="E1673" s="33" t="s">
        <v>18</v>
      </c>
      <c r="F1673" s="33" t="s">
        <v>19</v>
      </c>
      <c r="G1673" s="33" t="s">
        <v>106</v>
      </c>
      <c r="H1673" s="35">
        <v>44</v>
      </c>
      <c r="I1673" s="33" t="s">
        <v>21</v>
      </c>
      <c r="J1673" s="42">
        <v>43865</v>
      </c>
      <c r="K1673" s="33" t="s">
        <v>22</v>
      </c>
    </row>
    <row r="1674" spans="1:11">
      <c r="A1674" s="30" t="s">
        <v>4251</v>
      </c>
      <c r="B1674" s="30" t="s">
        <v>4252</v>
      </c>
      <c r="C1674" s="30" t="s">
        <v>507</v>
      </c>
      <c r="D1674" s="30" t="s">
        <v>17</v>
      </c>
      <c r="E1674" s="30" t="s">
        <v>26</v>
      </c>
      <c r="F1674" s="30" t="s">
        <v>27</v>
      </c>
      <c r="G1674" s="30" t="s">
        <v>158</v>
      </c>
      <c r="H1674" s="32">
        <v>147</v>
      </c>
      <c r="I1674" s="30" t="s">
        <v>21</v>
      </c>
      <c r="J1674" s="41">
        <v>44082</v>
      </c>
      <c r="K1674" s="30" t="s">
        <v>22</v>
      </c>
    </row>
    <row r="1675" spans="1:11">
      <c r="A1675" s="33" t="s">
        <v>4253</v>
      </c>
      <c r="B1675" s="33" t="s">
        <v>4254</v>
      </c>
      <c r="C1675" s="33" t="s">
        <v>2922</v>
      </c>
      <c r="D1675" s="33" t="s">
        <v>17</v>
      </c>
      <c r="E1675" s="33" t="s">
        <v>67</v>
      </c>
      <c r="F1675" s="33" t="s">
        <v>68</v>
      </c>
      <c r="G1675" s="33" t="s">
        <v>158</v>
      </c>
      <c r="H1675" s="35">
        <v>18</v>
      </c>
      <c r="I1675" s="33" t="s">
        <v>51</v>
      </c>
      <c r="J1675" s="42">
        <v>44075</v>
      </c>
      <c r="K1675" s="33" t="s">
        <v>22</v>
      </c>
    </row>
    <row r="1676" spans="1:11">
      <c r="A1676" s="30" t="s">
        <v>4255</v>
      </c>
      <c r="B1676" s="30" t="s">
        <v>4256</v>
      </c>
      <c r="C1676" s="30" t="s">
        <v>4257</v>
      </c>
      <c r="D1676" s="30" t="s">
        <v>17</v>
      </c>
      <c r="E1676" s="30" t="s">
        <v>67</v>
      </c>
      <c r="F1676" s="30" t="s">
        <v>68</v>
      </c>
      <c r="G1676" s="30" t="s">
        <v>20</v>
      </c>
      <c r="H1676" s="32">
        <v>56</v>
      </c>
      <c r="I1676" s="30" t="s">
        <v>21</v>
      </c>
      <c r="J1676" s="41">
        <v>43853</v>
      </c>
      <c r="K1676" s="30" t="s">
        <v>22</v>
      </c>
    </row>
    <row r="1677" spans="1:11">
      <c r="A1677" s="33" t="s">
        <v>4258</v>
      </c>
      <c r="B1677" s="33" t="s">
        <v>4259</v>
      </c>
      <c r="C1677" s="33" t="s">
        <v>4260</v>
      </c>
      <c r="D1677" s="33" t="s">
        <v>17</v>
      </c>
      <c r="E1677" s="33" t="s">
        <v>31</v>
      </c>
      <c r="F1677" s="33" t="s">
        <v>32</v>
      </c>
      <c r="G1677" s="33" t="s">
        <v>20</v>
      </c>
      <c r="H1677" s="35">
        <v>20</v>
      </c>
      <c r="I1677" s="33" t="s">
        <v>21</v>
      </c>
      <c r="J1677" s="42">
        <v>44026</v>
      </c>
      <c r="K1677" s="33" t="s">
        <v>22</v>
      </c>
    </row>
    <row r="1678" spans="1:11">
      <c r="A1678" s="30" t="s">
        <v>4261</v>
      </c>
      <c r="B1678" s="30" t="s">
        <v>4262</v>
      </c>
      <c r="C1678" s="30" t="s">
        <v>407</v>
      </c>
      <c r="D1678" s="30" t="s">
        <v>17</v>
      </c>
      <c r="E1678" s="30" t="s">
        <v>26</v>
      </c>
      <c r="F1678" s="30" t="s">
        <v>27</v>
      </c>
      <c r="G1678" s="30" t="s">
        <v>20</v>
      </c>
      <c r="H1678" s="32">
        <v>18</v>
      </c>
      <c r="I1678" s="30" t="s">
        <v>21</v>
      </c>
      <c r="J1678" s="41">
        <v>44013</v>
      </c>
      <c r="K1678" s="30" t="s">
        <v>22</v>
      </c>
    </row>
    <row r="1679" spans="1:11">
      <c r="A1679" s="33" t="s">
        <v>4263</v>
      </c>
      <c r="B1679" s="33" t="s">
        <v>4264</v>
      </c>
      <c r="C1679" s="33" t="s">
        <v>102</v>
      </c>
      <c r="D1679" s="33" t="s">
        <v>17</v>
      </c>
      <c r="E1679" s="33" t="s">
        <v>26</v>
      </c>
      <c r="F1679" s="33" t="s">
        <v>27</v>
      </c>
      <c r="G1679" s="33" t="s">
        <v>106</v>
      </c>
      <c r="H1679" s="35">
        <v>1</v>
      </c>
      <c r="I1679" s="33" t="s">
        <v>21</v>
      </c>
      <c r="J1679" s="42">
        <v>44062</v>
      </c>
      <c r="K1679" s="33" t="s">
        <v>22</v>
      </c>
    </row>
    <row r="1680" spans="1:11">
      <c r="A1680" s="30" t="s">
        <v>4265</v>
      </c>
      <c r="B1680" s="30" t="s">
        <v>4266</v>
      </c>
      <c r="C1680" s="30" t="s">
        <v>4267</v>
      </c>
      <c r="D1680" s="30" t="s">
        <v>17</v>
      </c>
      <c r="E1680" s="30" t="s">
        <v>67</v>
      </c>
      <c r="F1680" s="30" t="s">
        <v>68</v>
      </c>
      <c r="G1680" s="30" t="s">
        <v>140</v>
      </c>
      <c r="H1680" s="32">
        <v>75</v>
      </c>
      <c r="I1680" s="30" t="s">
        <v>51</v>
      </c>
      <c r="J1680" s="41">
        <v>43902</v>
      </c>
      <c r="K1680" s="30" t="s">
        <v>22</v>
      </c>
    </row>
    <row r="1681" spans="1:11">
      <c r="A1681" s="33" t="s">
        <v>4268</v>
      </c>
      <c r="B1681" s="33" t="s">
        <v>4269</v>
      </c>
      <c r="C1681" s="33" t="s">
        <v>49</v>
      </c>
      <c r="D1681" s="33" t="s">
        <v>17</v>
      </c>
      <c r="E1681" s="33" t="s">
        <v>26</v>
      </c>
      <c r="F1681" s="33" t="s">
        <v>27</v>
      </c>
      <c r="G1681" s="33" t="s">
        <v>69</v>
      </c>
      <c r="H1681" s="35">
        <v>50</v>
      </c>
      <c r="I1681" s="33" t="s">
        <v>51</v>
      </c>
      <c r="J1681" s="42">
        <v>44075</v>
      </c>
      <c r="K1681" s="33" t="s">
        <v>22</v>
      </c>
    </row>
    <row r="1682" spans="1:11">
      <c r="A1682" s="30" t="s">
        <v>4270</v>
      </c>
      <c r="B1682" s="30" t="s">
        <v>4271</v>
      </c>
      <c r="C1682" s="30" t="s">
        <v>1102</v>
      </c>
      <c r="D1682" s="30" t="s">
        <v>17</v>
      </c>
      <c r="E1682" s="30" t="s">
        <v>26</v>
      </c>
      <c r="F1682" s="30" t="s">
        <v>27</v>
      </c>
      <c r="G1682" s="30" t="s">
        <v>20</v>
      </c>
      <c r="H1682" s="32">
        <v>28</v>
      </c>
      <c r="I1682" s="30" t="s">
        <v>21</v>
      </c>
      <c r="J1682" s="41">
        <v>44076</v>
      </c>
      <c r="K1682" s="30" t="s">
        <v>22</v>
      </c>
    </row>
    <row r="1683" spans="1:11">
      <c r="A1683" s="33" t="s">
        <v>4272</v>
      </c>
      <c r="B1683" s="33" t="s">
        <v>4273</v>
      </c>
      <c r="C1683" s="33" t="s">
        <v>957</v>
      </c>
      <c r="D1683" s="33" t="s">
        <v>17</v>
      </c>
      <c r="E1683" s="33" t="s">
        <v>18</v>
      </c>
      <c r="F1683" s="33" t="s">
        <v>19</v>
      </c>
      <c r="G1683" s="33" t="s">
        <v>20</v>
      </c>
      <c r="H1683" s="35">
        <v>137</v>
      </c>
      <c r="I1683" s="33" t="s">
        <v>21</v>
      </c>
      <c r="J1683" s="42">
        <v>44039</v>
      </c>
      <c r="K1683" s="33" t="s">
        <v>22</v>
      </c>
    </row>
    <row r="1684" spans="1:11">
      <c r="A1684" s="30" t="s">
        <v>4274</v>
      </c>
      <c r="B1684" s="30" t="s">
        <v>4275</v>
      </c>
      <c r="C1684" s="30" t="s">
        <v>118</v>
      </c>
      <c r="D1684" s="30" t="s">
        <v>17</v>
      </c>
      <c r="E1684" s="30" t="s">
        <v>26</v>
      </c>
      <c r="F1684" s="30" t="s">
        <v>27</v>
      </c>
      <c r="G1684" s="30" t="s">
        <v>20</v>
      </c>
      <c r="H1684" s="32">
        <v>6</v>
      </c>
      <c r="I1684" s="30" t="s">
        <v>21</v>
      </c>
      <c r="J1684" s="41">
        <v>44104</v>
      </c>
      <c r="K1684" s="30" t="s">
        <v>22</v>
      </c>
    </row>
    <row r="1685" spans="1:11">
      <c r="A1685" s="33" t="s">
        <v>4276</v>
      </c>
      <c r="B1685" s="33" t="s">
        <v>4277</v>
      </c>
      <c r="C1685" s="33" t="s">
        <v>2739</v>
      </c>
      <c r="D1685" s="33" t="s">
        <v>17</v>
      </c>
      <c r="E1685" s="33" t="s">
        <v>26</v>
      </c>
      <c r="F1685" s="33" t="s">
        <v>27</v>
      </c>
      <c r="G1685" s="33" t="s">
        <v>20</v>
      </c>
      <c r="H1685" s="35">
        <v>37</v>
      </c>
      <c r="I1685" s="33" t="s">
        <v>21</v>
      </c>
      <c r="J1685" s="42">
        <v>44056</v>
      </c>
      <c r="K1685" s="33" t="s">
        <v>22</v>
      </c>
    </row>
    <row r="1686" spans="1:11">
      <c r="A1686" s="30" t="s">
        <v>4278</v>
      </c>
      <c r="B1686" s="30" t="s">
        <v>4279</v>
      </c>
      <c r="C1686" s="30" t="s">
        <v>3013</v>
      </c>
      <c r="D1686" s="30" t="s">
        <v>17</v>
      </c>
      <c r="E1686" s="30" t="s">
        <v>26</v>
      </c>
      <c r="F1686" s="30" t="s">
        <v>27</v>
      </c>
      <c r="G1686" s="30" t="s">
        <v>20</v>
      </c>
      <c r="H1686" s="32">
        <v>39</v>
      </c>
      <c r="I1686" s="30" t="s">
        <v>21</v>
      </c>
      <c r="J1686" s="41">
        <v>43857</v>
      </c>
      <c r="K1686" s="30" t="s">
        <v>22</v>
      </c>
    </row>
    <row r="1687" spans="1:11">
      <c r="A1687" s="33" t="s">
        <v>4280</v>
      </c>
      <c r="B1687" s="33" t="s">
        <v>4281</v>
      </c>
      <c r="C1687" s="33" t="s">
        <v>4282</v>
      </c>
      <c r="D1687" s="33" t="s">
        <v>17</v>
      </c>
      <c r="E1687" s="33" t="s">
        <v>31</v>
      </c>
      <c r="F1687" s="33" t="s">
        <v>32</v>
      </c>
      <c r="G1687" s="33" t="s">
        <v>50</v>
      </c>
      <c r="H1687" s="35">
        <v>25</v>
      </c>
      <c r="I1687" s="33" t="s">
        <v>51</v>
      </c>
      <c r="J1687" s="42">
        <v>44181</v>
      </c>
      <c r="K1687" s="33" t="s">
        <v>22</v>
      </c>
    </row>
    <row r="1688" spans="1:11">
      <c r="A1688" s="30" t="s">
        <v>4283</v>
      </c>
      <c r="B1688" s="30" t="s">
        <v>4284</v>
      </c>
      <c r="C1688" s="30" t="s">
        <v>891</v>
      </c>
      <c r="D1688" s="30" t="s">
        <v>17</v>
      </c>
      <c r="E1688" s="30" t="s">
        <v>31</v>
      </c>
      <c r="F1688" s="30" t="s">
        <v>32</v>
      </c>
      <c r="G1688" s="30" t="s">
        <v>158</v>
      </c>
      <c r="H1688" s="32">
        <v>98</v>
      </c>
      <c r="I1688" s="30" t="s">
        <v>51</v>
      </c>
      <c r="J1688" s="41">
        <v>44071</v>
      </c>
      <c r="K1688" s="30" t="s">
        <v>22</v>
      </c>
    </row>
    <row r="1689" spans="1:11">
      <c r="A1689" s="33" t="s">
        <v>4285</v>
      </c>
      <c r="B1689" s="33" t="s">
        <v>4286</v>
      </c>
      <c r="C1689" s="33" t="s">
        <v>1305</v>
      </c>
      <c r="D1689" s="33" t="s">
        <v>17</v>
      </c>
      <c r="E1689" s="33" t="s">
        <v>31</v>
      </c>
      <c r="F1689" s="33" t="s">
        <v>32</v>
      </c>
      <c r="G1689" s="33" t="s">
        <v>20</v>
      </c>
      <c r="H1689" s="35">
        <v>127</v>
      </c>
      <c r="I1689" s="33" t="s">
        <v>21</v>
      </c>
      <c r="J1689" s="42">
        <v>43838</v>
      </c>
      <c r="K1689" s="33" t="s">
        <v>22</v>
      </c>
    </row>
    <row r="1690" spans="1:11">
      <c r="A1690" s="30" t="s">
        <v>4287</v>
      </c>
      <c r="B1690" s="30" t="s">
        <v>4288</v>
      </c>
      <c r="C1690" s="30" t="s">
        <v>216</v>
      </c>
      <c r="D1690" s="30" t="s">
        <v>17</v>
      </c>
      <c r="E1690" s="30" t="s">
        <v>26</v>
      </c>
      <c r="F1690" s="30" t="s">
        <v>27</v>
      </c>
      <c r="G1690" s="30" t="s">
        <v>20</v>
      </c>
      <c r="H1690" s="32">
        <v>270</v>
      </c>
      <c r="I1690" s="30" t="s">
        <v>21</v>
      </c>
      <c r="J1690" s="41">
        <v>44051</v>
      </c>
      <c r="K1690" s="30" t="s">
        <v>22</v>
      </c>
    </row>
    <row r="1691" spans="1:11">
      <c r="A1691" s="33" t="s">
        <v>4289</v>
      </c>
      <c r="B1691" s="33" t="s">
        <v>4290</v>
      </c>
      <c r="C1691" s="33" t="s">
        <v>4291</v>
      </c>
      <c r="D1691" s="33" t="s">
        <v>17</v>
      </c>
      <c r="E1691" s="33" t="s">
        <v>26</v>
      </c>
      <c r="F1691" s="33" t="s">
        <v>27</v>
      </c>
      <c r="G1691" s="33" t="s">
        <v>20</v>
      </c>
      <c r="H1691" s="35">
        <v>31</v>
      </c>
      <c r="I1691" s="33" t="s">
        <v>21</v>
      </c>
      <c r="J1691" s="42">
        <v>44136</v>
      </c>
      <c r="K1691" s="33" t="s">
        <v>22</v>
      </c>
    </row>
    <row r="1692" spans="1:11">
      <c r="A1692" s="30" t="s">
        <v>4292</v>
      </c>
      <c r="B1692" s="30" t="s">
        <v>4293</v>
      </c>
      <c r="C1692" s="30" t="s">
        <v>4294</v>
      </c>
      <c r="D1692" s="30" t="s">
        <v>17</v>
      </c>
      <c r="E1692" s="30" t="s">
        <v>31</v>
      </c>
      <c r="F1692" s="30" t="s">
        <v>32</v>
      </c>
      <c r="G1692" s="30" t="s">
        <v>50</v>
      </c>
      <c r="H1692" s="32">
        <v>42</v>
      </c>
      <c r="I1692" s="30" t="s">
        <v>51</v>
      </c>
      <c r="J1692" s="41">
        <v>43871</v>
      </c>
      <c r="K1692" s="30" t="s">
        <v>22</v>
      </c>
    </row>
    <row r="1693" spans="1:11">
      <c r="A1693" s="33" t="s">
        <v>4295</v>
      </c>
      <c r="B1693" s="33" t="s">
        <v>4296</v>
      </c>
      <c r="C1693" s="33" t="s">
        <v>96</v>
      </c>
      <c r="D1693" s="33" t="s">
        <v>17</v>
      </c>
      <c r="E1693" s="33" t="s">
        <v>26</v>
      </c>
      <c r="F1693" s="33" t="s">
        <v>27</v>
      </c>
      <c r="G1693" s="33" t="s">
        <v>106</v>
      </c>
      <c r="H1693" s="35">
        <v>4</v>
      </c>
      <c r="I1693" s="33" t="s">
        <v>21</v>
      </c>
      <c r="J1693" s="42">
        <v>43997</v>
      </c>
      <c r="K1693" s="33" t="s">
        <v>22</v>
      </c>
    </row>
    <row r="1694" spans="1:11">
      <c r="A1694" s="30" t="s">
        <v>4297</v>
      </c>
      <c r="B1694" s="30" t="s">
        <v>4298</v>
      </c>
      <c r="C1694" s="30" t="s">
        <v>187</v>
      </c>
      <c r="D1694" s="30" t="s">
        <v>17</v>
      </c>
      <c r="E1694" s="30" t="s">
        <v>26</v>
      </c>
      <c r="F1694" s="30" t="s">
        <v>27</v>
      </c>
      <c r="G1694" s="30" t="s">
        <v>50</v>
      </c>
      <c r="H1694" s="32">
        <v>50</v>
      </c>
      <c r="I1694" s="30" t="s">
        <v>51</v>
      </c>
      <c r="J1694" s="41">
        <v>44166</v>
      </c>
      <c r="K1694" s="30" t="s">
        <v>22</v>
      </c>
    </row>
    <row r="1695" spans="1:11">
      <c r="A1695" s="33" t="s">
        <v>4299</v>
      </c>
      <c r="B1695" s="33" t="s">
        <v>4300</v>
      </c>
      <c r="C1695" s="33" t="s">
        <v>4301</v>
      </c>
      <c r="D1695" s="33" t="s">
        <v>17</v>
      </c>
      <c r="E1695" s="33" t="s">
        <v>18</v>
      </c>
      <c r="F1695" s="33" t="s">
        <v>19</v>
      </c>
      <c r="G1695" s="33" t="s">
        <v>20</v>
      </c>
      <c r="H1695" s="35">
        <v>400</v>
      </c>
      <c r="I1695" s="33" t="s">
        <v>21</v>
      </c>
      <c r="J1695" s="42">
        <v>43990</v>
      </c>
      <c r="K1695" s="33" t="s">
        <v>22</v>
      </c>
    </row>
    <row r="1696" spans="1:11">
      <c r="A1696" s="30" t="s">
        <v>4302</v>
      </c>
      <c r="B1696" s="30" t="s">
        <v>4303</v>
      </c>
      <c r="C1696" s="30" t="s">
        <v>136</v>
      </c>
      <c r="D1696" s="30" t="s">
        <v>17</v>
      </c>
      <c r="E1696" s="30" t="s">
        <v>26</v>
      </c>
      <c r="F1696" s="30" t="s">
        <v>27</v>
      </c>
      <c r="G1696" s="30" t="s">
        <v>20</v>
      </c>
      <c r="H1696" s="32">
        <v>48</v>
      </c>
      <c r="I1696" s="30" t="s">
        <v>21</v>
      </c>
      <c r="J1696" s="41">
        <v>43997</v>
      </c>
      <c r="K1696" s="30" t="s">
        <v>22</v>
      </c>
    </row>
    <row r="1697" spans="1:11">
      <c r="A1697" s="33" t="s">
        <v>4304</v>
      </c>
      <c r="B1697" s="33" t="s">
        <v>4305</v>
      </c>
      <c r="C1697" s="33" t="s">
        <v>4306</v>
      </c>
      <c r="D1697" s="33" t="s">
        <v>17</v>
      </c>
      <c r="E1697" s="33" t="s">
        <v>67</v>
      </c>
      <c r="F1697" s="33" t="s">
        <v>68</v>
      </c>
      <c r="G1697" s="33" t="s">
        <v>106</v>
      </c>
      <c r="H1697" s="35">
        <v>27</v>
      </c>
      <c r="I1697" s="33" t="s">
        <v>21</v>
      </c>
      <c r="J1697" s="42">
        <v>43934</v>
      </c>
      <c r="K1697" s="33" t="s">
        <v>22</v>
      </c>
    </row>
    <row r="1698" spans="1:11">
      <c r="A1698" s="30" t="s">
        <v>4307</v>
      </c>
      <c r="B1698" s="30" t="s">
        <v>4308</v>
      </c>
      <c r="C1698" s="30" t="s">
        <v>2017</v>
      </c>
      <c r="D1698" s="30" t="s">
        <v>17</v>
      </c>
      <c r="E1698" s="30" t="s">
        <v>330</v>
      </c>
      <c r="F1698" s="30" t="s">
        <v>331</v>
      </c>
      <c r="G1698" s="30" t="s">
        <v>20</v>
      </c>
      <c r="H1698" s="32">
        <v>160</v>
      </c>
      <c r="I1698" s="30" t="s">
        <v>21</v>
      </c>
      <c r="J1698" s="41">
        <v>44077</v>
      </c>
      <c r="K1698" s="30" t="s">
        <v>22</v>
      </c>
    </row>
    <row r="1699" spans="1:11">
      <c r="A1699" s="33" t="s">
        <v>4309</v>
      </c>
      <c r="B1699" s="33" t="s">
        <v>4310</v>
      </c>
      <c r="C1699" s="33" t="s">
        <v>684</v>
      </c>
      <c r="D1699" s="33" t="s">
        <v>17</v>
      </c>
      <c r="E1699" s="33" t="s">
        <v>26</v>
      </c>
      <c r="F1699" s="33" t="s">
        <v>27</v>
      </c>
      <c r="G1699" s="33" t="s">
        <v>20</v>
      </c>
      <c r="H1699" s="35">
        <v>8</v>
      </c>
      <c r="I1699" s="33" t="s">
        <v>21</v>
      </c>
      <c r="J1699" s="42">
        <v>44119</v>
      </c>
      <c r="K1699" s="33" t="s">
        <v>22</v>
      </c>
    </row>
    <row r="1700" spans="1:11">
      <c r="A1700" s="30" t="s">
        <v>4311</v>
      </c>
      <c r="B1700" s="30" t="s">
        <v>4312</v>
      </c>
      <c r="C1700" s="30" t="s">
        <v>149</v>
      </c>
      <c r="D1700" s="30" t="s">
        <v>17</v>
      </c>
      <c r="E1700" s="30" t="s">
        <v>26</v>
      </c>
      <c r="F1700" s="30" t="s">
        <v>27</v>
      </c>
      <c r="G1700" s="30" t="s">
        <v>20</v>
      </c>
      <c r="H1700" s="32">
        <v>20</v>
      </c>
      <c r="I1700" s="30" t="s">
        <v>21</v>
      </c>
      <c r="J1700" s="41">
        <v>44029</v>
      </c>
      <c r="K1700" s="30" t="s">
        <v>22</v>
      </c>
    </row>
    <row r="1701" spans="1:11">
      <c r="A1701" s="33" t="s">
        <v>4313</v>
      </c>
      <c r="B1701" s="33" t="s">
        <v>4314</v>
      </c>
      <c r="C1701" s="33" t="s">
        <v>4315</v>
      </c>
      <c r="D1701" s="33" t="s">
        <v>17</v>
      </c>
      <c r="E1701" s="33" t="s">
        <v>31</v>
      </c>
      <c r="F1701" s="33" t="s">
        <v>32</v>
      </c>
      <c r="G1701" s="33" t="s">
        <v>50</v>
      </c>
      <c r="H1701" s="35">
        <v>128</v>
      </c>
      <c r="I1701" s="33" t="s">
        <v>51</v>
      </c>
      <c r="J1701" s="42">
        <v>43994</v>
      </c>
      <c r="K1701" s="33" t="s">
        <v>22</v>
      </c>
    </row>
    <row r="1702" spans="1:11">
      <c r="A1702" s="30" t="s">
        <v>4316</v>
      </c>
      <c r="B1702" s="30" t="s">
        <v>4317</v>
      </c>
      <c r="C1702" s="30" t="s">
        <v>1436</v>
      </c>
      <c r="D1702" s="30" t="s">
        <v>17</v>
      </c>
      <c r="E1702" s="30" t="s">
        <v>26</v>
      </c>
      <c r="F1702" s="30" t="s">
        <v>27</v>
      </c>
      <c r="G1702" s="30" t="s">
        <v>20</v>
      </c>
      <c r="H1702" s="32">
        <v>19</v>
      </c>
      <c r="I1702" s="30" t="s">
        <v>21</v>
      </c>
      <c r="J1702" s="41">
        <v>44112</v>
      </c>
      <c r="K1702" s="30" t="s">
        <v>22</v>
      </c>
    </row>
    <row r="1703" spans="1:11">
      <c r="A1703" s="33" t="s">
        <v>4318</v>
      </c>
      <c r="B1703" s="33" t="s">
        <v>4319</v>
      </c>
      <c r="C1703" s="33" t="s">
        <v>4320</v>
      </c>
      <c r="D1703" s="33" t="s">
        <v>17</v>
      </c>
      <c r="E1703" s="33" t="s">
        <v>67</v>
      </c>
      <c r="F1703" s="33" t="s">
        <v>68</v>
      </c>
      <c r="G1703" s="33" t="s">
        <v>158</v>
      </c>
      <c r="H1703" s="35">
        <v>292</v>
      </c>
      <c r="I1703" s="33" t="s">
        <v>21</v>
      </c>
      <c r="J1703" s="42">
        <v>43895</v>
      </c>
      <c r="K1703" s="33" t="s">
        <v>22</v>
      </c>
    </row>
    <row r="1704" spans="1:11">
      <c r="A1704" s="30" t="s">
        <v>4321</v>
      </c>
      <c r="B1704" s="30" t="s">
        <v>4322</v>
      </c>
      <c r="C1704" s="30" t="s">
        <v>96</v>
      </c>
      <c r="D1704" s="30" t="s">
        <v>17</v>
      </c>
      <c r="E1704" s="30" t="s">
        <v>26</v>
      </c>
      <c r="F1704" s="30" t="s">
        <v>27</v>
      </c>
      <c r="G1704" s="30" t="s">
        <v>20</v>
      </c>
      <c r="H1704" s="32">
        <v>30</v>
      </c>
      <c r="I1704" s="30" t="s">
        <v>21</v>
      </c>
      <c r="J1704" s="41">
        <v>44015</v>
      </c>
      <c r="K1704" s="30" t="s">
        <v>22</v>
      </c>
    </row>
    <row r="1705" spans="1:11">
      <c r="A1705" s="33" t="s">
        <v>4323</v>
      </c>
      <c r="B1705" s="33" t="s">
        <v>4324</v>
      </c>
      <c r="C1705" s="33" t="s">
        <v>4325</v>
      </c>
      <c r="D1705" s="33" t="s">
        <v>17</v>
      </c>
      <c r="E1705" s="33" t="s">
        <v>26</v>
      </c>
      <c r="F1705" s="33" t="s">
        <v>27</v>
      </c>
      <c r="G1705" s="33" t="s">
        <v>50</v>
      </c>
      <c r="H1705" s="35">
        <v>62</v>
      </c>
      <c r="I1705" s="33" t="s">
        <v>51</v>
      </c>
      <c r="J1705" s="42">
        <v>44069</v>
      </c>
      <c r="K1705" s="33" t="s">
        <v>22</v>
      </c>
    </row>
    <row r="1706" spans="1:11">
      <c r="A1706" s="30" t="s">
        <v>4326</v>
      </c>
      <c r="B1706" s="30" t="s">
        <v>4327</v>
      </c>
      <c r="C1706" s="30" t="s">
        <v>4328</v>
      </c>
      <c r="D1706" s="30" t="s">
        <v>17</v>
      </c>
      <c r="E1706" s="30" t="s">
        <v>26</v>
      </c>
      <c r="F1706" s="30" t="s">
        <v>27</v>
      </c>
      <c r="G1706" s="30" t="s">
        <v>20</v>
      </c>
      <c r="H1706" s="32">
        <v>11</v>
      </c>
      <c r="I1706" s="30" t="s">
        <v>21</v>
      </c>
      <c r="J1706" s="41">
        <v>44160</v>
      </c>
      <c r="K1706" s="30" t="s">
        <v>22</v>
      </c>
    </row>
    <row r="1707" spans="1:11">
      <c r="A1707" s="33" t="s">
        <v>4329</v>
      </c>
      <c r="B1707" s="33" t="s">
        <v>4330</v>
      </c>
      <c r="C1707" s="33" t="s">
        <v>3296</v>
      </c>
      <c r="D1707" s="33" t="s">
        <v>17</v>
      </c>
      <c r="E1707" s="33" t="s">
        <v>26</v>
      </c>
      <c r="F1707" s="33" t="s">
        <v>27</v>
      </c>
      <c r="G1707" s="33" t="s">
        <v>20</v>
      </c>
      <c r="H1707" s="35">
        <v>121</v>
      </c>
      <c r="I1707" s="33" t="s">
        <v>21</v>
      </c>
      <c r="J1707" s="42">
        <v>44158</v>
      </c>
      <c r="K1707" s="33" t="s">
        <v>22</v>
      </c>
    </row>
    <row r="1708" spans="1:11">
      <c r="A1708" s="30" t="s">
        <v>4331</v>
      </c>
      <c r="B1708" s="30" t="s">
        <v>4332</v>
      </c>
      <c r="C1708" s="30" t="s">
        <v>118</v>
      </c>
      <c r="D1708" s="30" t="s">
        <v>17</v>
      </c>
      <c r="E1708" s="30" t="s">
        <v>26</v>
      </c>
      <c r="F1708" s="30" t="s">
        <v>27</v>
      </c>
      <c r="G1708" s="30" t="s">
        <v>20</v>
      </c>
      <c r="H1708" s="32">
        <v>42</v>
      </c>
      <c r="I1708" s="30" t="s">
        <v>21</v>
      </c>
      <c r="J1708" s="41">
        <v>44000</v>
      </c>
      <c r="K1708" s="30" t="s">
        <v>22</v>
      </c>
    </row>
    <row r="1709" spans="1:11">
      <c r="A1709" s="33" t="s">
        <v>4333</v>
      </c>
      <c r="B1709" s="33" t="s">
        <v>4334</v>
      </c>
      <c r="C1709" s="33" t="s">
        <v>96</v>
      </c>
      <c r="D1709" s="33" t="s">
        <v>17</v>
      </c>
      <c r="E1709" s="33" t="s">
        <v>26</v>
      </c>
      <c r="F1709" s="33" t="s">
        <v>27</v>
      </c>
      <c r="G1709" s="33" t="s">
        <v>20</v>
      </c>
      <c r="H1709" s="35">
        <v>84</v>
      </c>
      <c r="I1709" s="33" t="s">
        <v>21</v>
      </c>
      <c r="J1709" s="42">
        <v>44039</v>
      </c>
      <c r="K1709" s="33" t="s">
        <v>22</v>
      </c>
    </row>
    <row r="1710" spans="1:11">
      <c r="A1710" s="30" t="s">
        <v>4335</v>
      </c>
      <c r="B1710" s="30" t="s">
        <v>4336</v>
      </c>
      <c r="C1710" s="30" t="s">
        <v>3114</v>
      </c>
      <c r="D1710" s="30" t="s">
        <v>17</v>
      </c>
      <c r="E1710" s="30" t="s">
        <v>330</v>
      </c>
      <c r="F1710" s="30" t="s">
        <v>331</v>
      </c>
      <c r="G1710" s="30" t="s">
        <v>50</v>
      </c>
      <c r="H1710" s="32">
        <v>50</v>
      </c>
      <c r="I1710" s="30" t="s">
        <v>51</v>
      </c>
      <c r="J1710" s="41">
        <v>43922</v>
      </c>
      <c r="K1710" s="30" t="s">
        <v>22</v>
      </c>
    </row>
    <row r="1711" spans="1:11">
      <c r="A1711" s="33" t="s">
        <v>4337</v>
      </c>
      <c r="B1711" s="33" t="s">
        <v>4338</v>
      </c>
      <c r="C1711" s="33" t="s">
        <v>109</v>
      </c>
      <c r="D1711" s="33" t="s">
        <v>17</v>
      </c>
      <c r="E1711" s="33" t="s">
        <v>212</v>
      </c>
      <c r="F1711" s="33" t="s">
        <v>213</v>
      </c>
      <c r="G1711" s="33" t="s">
        <v>112</v>
      </c>
      <c r="H1711" s="35">
        <v>0</v>
      </c>
      <c r="I1711" s="33" t="s">
        <v>21</v>
      </c>
      <c r="J1711" s="42">
        <v>44137</v>
      </c>
      <c r="K1711" s="33" t="s">
        <v>22</v>
      </c>
    </row>
    <row r="1712" spans="1:11">
      <c r="A1712" s="30" t="s">
        <v>4339</v>
      </c>
      <c r="B1712" s="30" t="s">
        <v>4340</v>
      </c>
      <c r="C1712" s="30" t="s">
        <v>109</v>
      </c>
      <c r="D1712" s="30" t="s">
        <v>17</v>
      </c>
      <c r="E1712" s="30" t="s">
        <v>212</v>
      </c>
      <c r="F1712" s="30" t="s">
        <v>213</v>
      </c>
      <c r="G1712" s="30" t="s">
        <v>140</v>
      </c>
      <c r="H1712" s="32">
        <v>1000</v>
      </c>
      <c r="I1712" s="30" t="s">
        <v>51</v>
      </c>
      <c r="J1712" s="41">
        <v>44187</v>
      </c>
      <c r="K1712" s="30" t="s">
        <v>22</v>
      </c>
    </row>
    <row r="1713" spans="1:11">
      <c r="A1713" s="33" t="s">
        <v>4341</v>
      </c>
      <c r="B1713" s="33" t="s">
        <v>4342</v>
      </c>
      <c r="C1713" s="33" t="s">
        <v>647</v>
      </c>
      <c r="D1713" s="33" t="s">
        <v>17</v>
      </c>
      <c r="E1713" s="33" t="s">
        <v>67</v>
      </c>
      <c r="F1713" s="33" t="s">
        <v>68</v>
      </c>
      <c r="G1713" s="33" t="s">
        <v>106</v>
      </c>
      <c r="H1713" s="35">
        <v>263</v>
      </c>
      <c r="I1713" s="33" t="s">
        <v>21</v>
      </c>
      <c r="J1713" s="42">
        <v>44070</v>
      </c>
      <c r="K1713" s="33" t="s">
        <v>22</v>
      </c>
    </row>
    <row r="1714" spans="1:11">
      <c r="A1714" s="30" t="s">
        <v>4343</v>
      </c>
      <c r="B1714" s="30" t="s">
        <v>4344</v>
      </c>
      <c r="C1714" s="30" t="s">
        <v>4345</v>
      </c>
      <c r="D1714" s="30" t="s">
        <v>17</v>
      </c>
      <c r="E1714" s="30" t="s">
        <v>18</v>
      </c>
      <c r="F1714" s="30" t="s">
        <v>19</v>
      </c>
      <c r="G1714" s="30" t="s">
        <v>158</v>
      </c>
      <c r="H1714" s="32">
        <v>1438</v>
      </c>
      <c r="I1714" s="30" t="s">
        <v>21</v>
      </c>
      <c r="J1714" s="41">
        <v>43903</v>
      </c>
      <c r="K1714" s="30" t="s">
        <v>22</v>
      </c>
    </row>
    <row r="1715" spans="1:11">
      <c r="A1715" s="33" t="s">
        <v>4346</v>
      </c>
      <c r="B1715" s="33" t="s">
        <v>4347</v>
      </c>
      <c r="C1715" s="33" t="s">
        <v>4348</v>
      </c>
      <c r="D1715" s="33" t="s">
        <v>17</v>
      </c>
      <c r="E1715" s="33" t="s">
        <v>26</v>
      </c>
      <c r="F1715" s="33" t="s">
        <v>27</v>
      </c>
      <c r="G1715" s="33" t="s">
        <v>158</v>
      </c>
      <c r="H1715" s="35">
        <v>60</v>
      </c>
      <c r="I1715" s="33" t="s">
        <v>21</v>
      </c>
      <c r="J1715" s="42">
        <v>43938</v>
      </c>
      <c r="K1715" s="33" t="s">
        <v>22</v>
      </c>
    </row>
    <row r="1716" spans="1:11">
      <c r="A1716" s="30" t="s">
        <v>4349</v>
      </c>
      <c r="B1716" s="30" t="s">
        <v>4350</v>
      </c>
      <c r="C1716" s="30" t="s">
        <v>178</v>
      </c>
      <c r="D1716" s="30" t="s">
        <v>17</v>
      </c>
      <c r="E1716" s="30" t="s">
        <v>26</v>
      </c>
      <c r="F1716" s="30" t="s">
        <v>27</v>
      </c>
      <c r="G1716" s="30" t="s">
        <v>20</v>
      </c>
      <c r="H1716" s="32">
        <v>59</v>
      </c>
      <c r="I1716" s="30" t="s">
        <v>21</v>
      </c>
      <c r="J1716" s="41">
        <v>44139</v>
      </c>
      <c r="K1716" s="30" t="s">
        <v>22</v>
      </c>
    </row>
    <row r="1717" spans="1:11">
      <c r="A1717" s="33" t="s">
        <v>4351</v>
      </c>
      <c r="B1717" s="33" t="s">
        <v>4352</v>
      </c>
      <c r="C1717" s="33" t="s">
        <v>4353</v>
      </c>
      <c r="D1717" s="33" t="s">
        <v>17</v>
      </c>
      <c r="E1717" s="33" t="s">
        <v>26</v>
      </c>
      <c r="F1717" s="33" t="s">
        <v>27</v>
      </c>
      <c r="G1717" s="33" t="s">
        <v>20</v>
      </c>
      <c r="H1717" s="35">
        <v>13</v>
      </c>
      <c r="I1717" s="33" t="s">
        <v>21</v>
      </c>
      <c r="J1717" s="42">
        <v>44144</v>
      </c>
      <c r="K1717" s="33" t="s">
        <v>22</v>
      </c>
    </row>
    <row r="1718" spans="1:11">
      <c r="A1718" s="30" t="s">
        <v>4354</v>
      </c>
      <c r="B1718" s="30" t="s">
        <v>4355</v>
      </c>
      <c r="C1718" s="30" t="s">
        <v>4356</v>
      </c>
      <c r="D1718" s="30" t="s">
        <v>17</v>
      </c>
      <c r="E1718" s="30" t="s">
        <v>31</v>
      </c>
      <c r="F1718" s="30" t="s">
        <v>32</v>
      </c>
      <c r="G1718" s="30" t="s">
        <v>20</v>
      </c>
      <c r="H1718" s="32">
        <v>42</v>
      </c>
      <c r="I1718" s="30" t="s">
        <v>21</v>
      </c>
      <c r="J1718" s="41">
        <v>44174</v>
      </c>
      <c r="K1718" s="30" t="s">
        <v>22</v>
      </c>
    </row>
    <row r="1719" spans="1:11">
      <c r="A1719" s="33" t="s">
        <v>4357</v>
      </c>
      <c r="B1719" s="33" t="s">
        <v>4358</v>
      </c>
      <c r="C1719" s="33" t="s">
        <v>4359</v>
      </c>
      <c r="D1719" s="33" t="s">
        <v>17</v>
      </c>
      <c r="E1719" s="33" t="s">
        <v>18</v>
      </c>
      <c r="F1719" s="33" t="s">
        <v>19</v>
      </c>
      <c r="G1719" s="33" t="s">
        <v>20</v>
      </c>
      <c r="H1719" s="35">
        <v>329</v>
      </c>
      <c r="I1719" s="33" t="s">
        <v>21</v>
      </c>
      <c r="J1719" s="42">
        <v>43872</v>
      </c>
      <c r="K1719" s="33" t="s">
        <v>22</v>
      </c>
    </row>
    <row r="1720" spans="1:11">
      <c r="A1720" s="30" t="s">
        <v>4360</v>
      </c>
      <c r="B1720" s="30" t="s">
        <v>4361</v>
      </c>
      <c r="C1720" s="30" t="s">
        <v>310</v>
      </c>
      <c r="D1720" s="30" t="s">
        <v>17</v>
      </c>
      <c r="E1720" s="30" t="s">
        <v>18</v>
      </c>
      <c r="F1720" s="30" t="s">
        <v>19</v>
      </c>
      <c r="G1720" s="30" t="s">
        <v>112</v>
      </c>
      <c r="H1720" s="32">
        <v>0</v>
      </c>
      <c r="I1720" s="30" t="s">
        <v>21</v>
      </c>
      <c r="J1720" s="41">
        <v>43899</v>
      </c>
      <c r="K1720" s="30" t="s">
        <v>22</v>
      </c>
    </row>
    <row r="1721" spans="1:11">
      <c r="A1721" s="33" t="s">
        <v>4362</v>
      </c>
      <c r="B1721" s="33" t="s">
        <v>4363</v>
      </c>
      <c r="C1721" s="33" t="s">
        <v>136</v>
      </c>
      <c r="D1721" s="33" t="s">
        <v>17</v>
      </c>
      <c r="E1721" s="33" t="s">
        <v>26</v>
      </c>
      <c r="F1721" s="33" t="s">
        <v>27</v>
      </c>
      <c r="G1721" s="33" t="s">
        <v>20</v>
      </c>
      <c r="H1721" s="35">
        <v>16</v>
      </c>
      <c r="I1721" s="33" t="s">
        <v>21</v>
      </c>
      <c r="J1721" s="42">
        <v>44145</v>
      </c>
      <c r="K1721" s="33" t="s">
        <v>22</v>
      </c>
    </row>
    <row r="1722" spans="1:11">
      <c r="A1722" s="30" t="s">
        <v>4364</v>
      </c>
      <c r="B1722" s="30" t="s">
        <v>4365</v>
      </c>
      <c r="C1722" s="30" t="s">
        <v>4366</v>
      </c>
      <c r="D1722" s="30" t="s">
        <v>17</v>
      </c>
      <c r="E1722" s="30" t="s">
        <v>31</v>
      </c>
      <c r="F1722" s="30" t="s">
        <v>32</v>
      </c>
      <c r="G1722" s="30" t="s">
        <v>20</v>
      </c>
      <c r="H1722" s="32">
        <v>154</v>
      </c>
      <c r="I1722" s="30" t="s">
        <v>21</v>
      </c>
      <c r="J1722" s="41">
        <v>44117</v>
      </c>
      <c r="K1722" s="30" t="s">
        <v>22</v>
      </c>
    </row>
    <row r="1723" spans="1:11">
      <c r="A1723" s="33" t="s">
        <v>4367</v>
      </c>
      <c r="B1723" s="33" t="s">
        <v>4368</v>
      </c>
      <c r="C1723" s="33" t="s">
        <v>190</v>
      </c>
      <c r="D1723" s="33" t="s">
        <v>17</v>
      </c>
      <c r="E1723" s="33" t="s">
        <v>26</v>
      </c>
      <c r="F1723" s="33" t="s">
        <v>27</v>
      </c>
      <c r="G1723" s="33" t="s">
        <v>20</v>
      </c>
      <c r="H1723" s="35">
        <v>12</v>
      </c>
      <c r="I1723" s="33" t="s">
        <v>21</v>
      </c>
      <c r="J1723" s="42">
        <v>44074</v>
      </c>
      <c r="K1723" s="33" t="s">
        <v>22</v>
      </c>
    </row>
    <row r="1724" spans="1:11">
      <c r="A1724" s="30" t="s">
        <v>4369</v>
      </c>
      <c r="B1724" s="30" t="s">
        <v>4370</v>
      </c>
      <c r="C1724" s="30" t="s">
        <v>93</v>
      </c>
      <c r="D1724" s="30" t="s">
        <v>17</v>
      </c>
      <c r="E1724" s="30" t="s">
        <v>26</v>
      </c>
      <c r="F1724" s="30" t="s">
        <v>27</v>
      </c>
      <c r="G1724" s="30" t="s">
        <v>106</v>
      </c>
      <c r="H1724" s="32">
        <v>16</v>
      </c>
      <c r="I1724" s="30" t="s">
        <v>21</v>
      </c>
      <c r="J1724" s="41">
        <v>43878</v>
      </c>
      <c r="K1724" s="30" t="s">
        <v>22</v>
      </c>
    </row>
    <row r="1725" spans="1:11">
      <c r="A1725" s="33" t="s">
        <v>4371</v>
      </c>
      <c r="B1725" s="33" t="s">
        <v>4372</v>
      </c>
      <c r="C1725" s="33" t="s">
        <v>127</v>
      </c>
      <c r="D1725" s="33" t="s">
        <v>17</v>
      </c>
      <c r="E1725" s="33" t="s">
        <v>26</v>
      </c>
      <c r="F1725" s="33" t="s">
        <v>27</v>
      </c>
      <c r="G1725" s="33" t="s">
        <v>20</v>
      </c>
      <c r="H1725" s="35">
        <v>42</v>
      </c>
      <c r="I1725" s="33" t="s">
        <v>21</v>
      </c>
      <c r="J1725" s="42">
        <v>44120</v>
      </c>
      <c r="K1725" s="33" t="s">
        <v>22</v>
      </c>
    </row>
    <row r="1726" spans="1:11">
      <c r="A1726" s="30" t="s">
        <v>4373</v>
      </c>
      <c r="B1726" s="30" t="s">
        <v>4374</v>
      </c>
      <c r="C1726" s="30" t="s">
        <v>374</v>
      </c>
      <c r="D1726" s="30" t="s">
        <v>17</v>
      </c>
      <c r="E1726" s="30" t="s">
        <v>26</v>
      </c>
      <c r="F1726" s="30" t="s">
        <v>27</v>
      </c>
      <c r="G1726" s="30" t="s">
        <v>20</v>
      </c>
      <c r="H1726" s="32">
        <v>22</v>
      </c>
      <c r="I1726" s="30" t="s">
        <v>21</v>
      </c>
      <c r="J1726" s="41">
        <v>44054</v>
      </c>
      <c r="K1726" s="30" t="s">
        <v>22</v>
      </c>
    </row>
    <row r="1727" spans="1:11">
      <c r="A1727" s="33" t="s">
        <v>4375</v>
      </c>
      <c r="B1727" s="33" t="s">
        <v>4376</v>
      </c>
      <c r="C1727" s="33" t="s">
        <v>96</v>
      </c>
      <c r="D1727" s="33" t="s">
        <v>17</v>
      </c>
      <c r="E1727" s="33" t="s">
        <v>26</v>
      </c>
      <c r="F1727" s="33" t="s">
        <v>27</v>
      </c>
      <c r="G1727" s="33" t="s">
        <v>112</v>
      </c>
      <c r="H1727" s="35">
        <v>0</v>
      </c>
      <c r="I1727" s="33" t="s">
        <v>21</v>
      </c>
      <c r="J1727" s="42">
        <v>44172</v>
      </c>
      <c r="K1727" s="33" t="s">
        <v>22</v>
      </c>
    </row>
    <row r="1728" spans="1:11">
      <c r="A1728" s="30" t="s">
        <v>4377</v>
      </c>
      <c r="B1728" s="30" t="s">
        <v>4378</v>
      </c>
      <c r="C1728" s="30" t="s">
        <v>491</v>
      </c>
      <c r="D1728" s="30" t="s">
        <v>17</v>
      </c>
      <c r="E1728" s="30" t="s">
        <v>18</v>
      </c>
      <c r="F1728" s="30" t="s">
        <v>19</v>
      </c>
      <c r="G1728" s="30" t="s">
        <v>106</v>
      </c>
      <c r="H1728" s="32">
        <v>555</v>
      </c>
      <c r="I1728" s="30" t="s">
        <v>21</v>
      </c>
      <c r="J1728" s="41">
        <v>44148</v>
      </c>
      <c r="K1728" s="30" t="s">
        <v>22</v>
      </c>
    </row>
    <row r="1729" spans="1:11">
      <c r="A1729" s="33" t="s">
        <v>4379</v>
      </c>
      <c r="B1729" s="33" t="s">
        <v>4380</v>
      </c>
      <c r="C1729" s="33" t="s">
        <v>149</v>
      </c>
      <c r="D1729" s="33" t="s">
        <v>17</v>
      </c>
      <c r="E1729" s="33" t="s">
        <v>26</v>
      </c>
      <c r="F1729" s="33" t="s">
        <v>27</v>
      </c>
      <c r="G1729" s="33" t="s">
        <v>20</v>
      </c>
      <c r="H1729" s="35">
        <v>24</v>
      </c>
      <c r="I1729" s="33" t="s">
        <v>21</v>
      </c>
      <c r="J1729" s="42">
        <v>43978</v>
      </c>
      <c r="K1729" s="33" t="s">
        <v>22</v>
      </c>
    </row>
    <row r="1730" spans="1:11">
      <c r="A1730" s="30" t="s">
        <v>4381</v>
      </c>
      <c r="B1730" s="30" t="s">
        <v>4382</v>
      </c>
      <c r="C1730" s="30" t="s">
        <v>4383</v>
      </c>
      <c r="D1730" s="30" t="s">
        <v>17</v>
      </c>
      <c r="E1730" s="30" t="s">
        <v>67</v>
      </c>
      <c r="F1730" s="30" t="s">
        <v>68</v>
      </c>
      <c r="G1730" s="30" t="s">
        <v>158</v>
      </c>
      <c r="H1730" s="32">
        <v>329</v>
      </c>
      <c r="I1730" s="30" t="s">
        <v>51</v>
      </c>
      <c r="J1730" s="41">
        <v>44029</v>
      </c>
      <c r="K1730" s="30" t="s">
        <v>22</v>
      </c>
    </row>
    <row r="1731" spans="1:11">
      <c r="A1731" s="33" t="s">
        <v>4384</v>
      </c>
      <c r="B1731" s="33" t="s">
        <v>4385</v>
      </c>
      <c r="C1731" s="33" t="s">
        <v>4386</v>
      </c>
      <c r="D1731" s="33" t="s">
        <v>17</v>
      </c>
      <c r="E1731" s="33" t="s">
        <v>31</v>
      </c>
      <c r="F1731" s="33" t="s">
        <v>32</v>
      </c>
      <c r="G1731" s="33" t="s">
        <v>50</v>
      </c>
      <c r="H1731" s="35">
        <v>68</v>
      </c>
      <c r="I1731" s="33" t="s">
        <v>21</v>
      </c>
      <c r="J1731" s="42">
        <v>44148</v>
      </c>
      <c r="K1731" s="33" t="s">
        <v>22</v>
      </c>
    </row>
    <row r="1732" spans="1:11">
      <c r="A1732" s="30" t="s">
        <v>4387</v>
      </c>
      <c r="B1732" s="30" t="s">
        <v>4388</v>
      </c>
      <c r="C1732" s="30" t="s">
        <v>4389</v>
      </c>
      <c r="D1732" s="30" t="s">
        <v>17</v>
      </c>
      <c r="E1732" s="30" t="s">
        <v>31</v>
      </c>
      <c r="F1732" s="30" t="s">
        <v>32</v>
      </c>
      <c r="G1732" s="30" t="s">
        <v>112</v>
      </c>
      <c r="H1732" s="32">
        <v>0</v>
      </c>
      <c r="I1732" s="30" t="s">
        <v>21</v>
      </c>
      <c r="J1732" s="41">
        <v>44034</v>
      </c>
      <c r="K1732" s="30" t="s">
        <v>22</v>
      </c>
    </row>
    <row r="1733" spans="1:11">
      <c r="A1733" s="33" t="s">
        <v>4390</v>
      </c>
      <c r="B1733" s="33" t="s">
        <v>4391</v>
      </c>
      <c r="C1733" s="33" t="s">
        <v>178</v>
      </c>
      <c r="D1733" s="33" t="s">
        <v>17</v>
      </c>
      <c r="E1733" s="33" t="s">
        <v>26</v>
      </c>
      <c r="F1733" s="33" t="s">
        <v>27</v>
      </c>
      <c r="G1733" s="33" t="s">
        <v>20</v>
      </c>
      <c r="H1733" s="35">
        <v>88</v>
      </c>
      <c r="I1733" s="33" t="s">
        <v>21</v>
      </c>
      <c r="J1733" s="42">
        <v>44027</v>
      </c>
      <c r="K1733" s="33" t="s">
        <v>22</v>
      </c>
    </row>
    <row r="1734" spans="1:11">
      <c r="A1734" s="30" t="s">
        <v>4392</v>
      </c>
      <c r="B1734" s="30" t="s">
        <v>4393</v>
      </c>
      <c r="C1734" s="30" t="s">
        <v>4394</v>
      </c>
      <c r="D1734" s="30" t="s">
        <v>17</v>
      </c>
      <c r="E1734" s="30" t="s">
        <v>31</v>
      </c>
      <c r="F1734" s="30" t="s">
        <v>32</v>
      </c>
      <c r="G1734" s="30" t="s">
        <v>20</v>
      </c>
      <c r="H1734" s="32">
        <v>28</v>
      </c>
      <c r="I1734" s="30" t="s">
        <v>21</v>
      </c>
      <c r="J1734" s="41">
        <v>43980</v>
      </c>
      <c r="K1734" s="30" t="s">
        <v>22</v>
      </c>
    </row>
    <row r="1735" spans="1:11">
      <c r="A1735" s="33" t="s">
        <v>4395</v>
      </c>
      <c r="B1735" s="33" t="s">
        <v>4396</v>
      </c>
      <c r="C1735" s="33" t="s">
        <v>187</v>
      </c>
      <c r="D1735" s="33" t="s">
        <v>17</v>
      </c>
      <c r="E1735" s="33" t="s">
        <v>31</v>
      </c>
      <c r="F1735" s="33" t="s">
        <v>32</v>
      </c>
      <c r="G1735" s="33" t="s">
        <v>50</v>
      </c>
      <c r="H1735" s="35">
        <v>130</v>
      </c>
      <c r="I1735" s="33" t="s">
        <v>51</v>
      </c>
      <c r="J1735" s="42">
        <v>43910</v>
      </c>
      <c r="K1735" s="33" t="s">
        <v>22</v>
      </c>
    </row>
    <row r="1736" spans="1:11">
      <c r="A1736" s="30" t="s">
        <v>4397</v>
      </c>
      <c r="B1736" s="30" t="s">
        <v>4398</v>
      </c>
      <c r="C1736" s="30" t="s">
        <v>57</v>
      </c>
      <c r="D1736" s="30" t="s">
        <v>17</v>
      </c>
      <c r="E1736" s="30" t="s">
        <v>26</v>
      </c>
      <c r="F1736" s="30" t="s">
        <v>27</v>
      </c>
      <c r="G1736" s="30" t="s">
        <v>50</v>
      </c>
      <c r="H1736" s="32">
        <v>24</v>
      </c>
      <c r="I1736" s="30" t="s">
        <v>51</v>
      </c>
      <c r="J1736" s="41">
        <v>44123</v>
      </c>
      <c r="K1736" s="30" t="s">
        <v>22</v>
      </c>
    </row>
    <row r="1737" spans="1:11">
      <c r="A1737" s="33" t="s">
        <v>4399</v>
      </c>
      <c r="B1737" s="33" t="s">
        <v>4400</v>
      </c>
      <c r="C1737" s="33" t="s">
        <v>136</v>
      </c>
      <c r="D1737" s="33" t="s">
        <v>17</v>
      </c>
      <c r="E1737" s="33" t="s">
        <v>18</v>
      </c>
      <c r="F1737" s="33" t="s">
        <v>19</v>
      </c>
      <c r="G1737" s="33" t="s">
        <v>106</v>
      </c>
      <c r="H1737" s="35">
        <v>558</v>
      </c>
      <c r="I1737" s="33" t="s">
        <v>21</v>
      </c>
      <c r="J1737" s="42">
        <v>44012</v>
      </c>
      <c r="K1737" s="33" t="s">
        <v>22</v>
      </c>
    </row>
    <row r="1738" spans="1:11">
      <c r="A1738" s="30" t="s">
        <v>4401</v>
      </c>
      <c r="B1738" s="30" t="s">
        <v>4402</v>
      </c>
      <c r="C1738" s="30" t="s">
        <v>429</v>
      </c>
      <c r="D1738" s="30" t="s">
        <v>17</v>
      </c>
      <c r="E1738" s="30" t="s">
        <v>26</v>
      </c>
      <c r="F1738" s="30" t="s">
        <v>27</v>
      </c>
      <c r="G1738" s="30" t="s">
        <v>20</v>
      </c>
      <c r="H1738" s="32">
        <v>18</v>
      </c>
      <c r="I1738" s="30" t="s">
        <v>21</v>
      </c>
      <c r="J1738" s="41">
        <v>43976</v>
      </c>
      <c r="K1738" s="30" t="s">
        <v>22</v>
      </c>
    </row>
    <row r="1739" spans="1:11">
      <c r="A1739" s="33" t="s">
        <v>4403</v>
      </c>
      <c r="B1739" s="33" t="s">
        <v>4404</v>
      </c>
      <c r="C1739" s="33" t="s">
        <v>4405</v>
      </c>
      <c r="D1739" s="33" t="s">
        <v>17</v>
      </c>
      <c r="E1739" s="33" t="s">
        <v>18</v>
      </c>
      <c r="F1739" s="33" t="s">
        <v>19</v>
      </c>
      <c r="G1739" s="33" t="s">
        <v>112</v>
      </c>
      <c r="H1739" s="35">
        <v>0</v>
      </c>
      <c r="I1739" s="33" t="s">
        <v>21</v>
      </c>
      <c r="J1739" s="42">
        <v>44125</v>
      </c>
      <c r="K1739" s="33" t="s">
        <v>22</v>
      </c>
    </row>
    <row r="1740" spans="1:11">
      <c r="A1740" s="30" t="s">
        <v>4406</v>
      </c>
      <c r="B1740" s="30" t="s">
        <v>4407</v>
      </c>
      <c r="C1740" s="30" t="s">
        <v>149</v>
      </c>
      <c r="D1740" s="30" t="s">
        <v>17</v>
      </c>
      <c r="E1740" s="30" t="s">
        <v>18</v>
      </c>
      <c r="F1740" s="30" t="s">
        <v>19</v>
      </c>
      <c r="G1740" s="30" t="s">
        <v>20</v>
      </c>
      <c r="H1740" s="32">
        <v>151</v>
      </c>
      <c r="I1740" s="30" t="s">
        <v>21</v>
      </c>
      <c r="J1740" s="41">
        <v>44085</v>
      </c>
      <c r="K1740" s="30" t="s">
        <v>22</v>
      </c>
    </row>
    <row r="1741" spans="1:11">
      <c r="A1741" s="33" t="s">
        <v>4408</v>
      </c>
      <c r="B1741" s="33" t="s">
        <v>4409</v>
      </c>
      <c r="C1741" s="33" t="s">
        <v>136</v>
      </c>
      <c r="D1741" s="33" t="s">
        <v>17</v>
      </c>
      <c r="E1741" s="33" t="s">
        <v>18</v>
      </c>
      <c r="F1741" s="33" t="s">
        <v>19</v>
      </c>
      <c r="G1741" s="33" t="s">
        <v>20</v>
      </c>
      <c r="H1741" s="35">
        <v>187</v>
      </c>
      <c r="I1741" s="33" t="s">
        <v>21</v>
      </c>
      <c r="J1741" s="42">
        <v>44139</v>
      </c>
      <c r="K1741" s="33" t="s">
        <v>22</v>
      </c>
    </row>
    <row r="1742" spans="1:11">
      <c r="A1742" s="30" t="s">
        <v>4410</v>
      </c>
      <c r="B1742" s="30" t="s">
        <v>4411</v>
      </c>
      <c r="C1742" s="30" t="s">
        <v>3526</v>
      </c>
      <c r="D1742" s="30" t="s">
        <v>17</v>
      </c>
      <c r="E1742" s="30" t="s">
        <v>26</v>
      </c>
      <c r="F1742" s="30" t="s">
        <v>27</v>
      </c>
      <c r="G1742" s="30" t="s">
        <v>50</v>
      </c>
      <c r="H1742" s="32">
        <v>12</v>
      </c>
      <c r="I1742" s="30" t="s">
        <v>51</v>
      </c>
      <c r="J1742" s="41">
        <v>44196</v>
      </c>
      <c r="K1742" s="30" t="s">
        <v>22</v>
      </c>
    </row>
    <row r="1743" spans="1:11">
      <c r="A1743" s="33" t="s">
        <v>4412</v>
      </c>
      <c r="B1743" s="33" t="s">
        <v>4413</v>
      </c>
      <c r="C1743" s="33" t="s">
        <v>187</v>
      </c>
      <c r="D1743" s="33" t="s">
        <v>17</v>
      </c>
      <c r="E1743" s="33" t="s">
        <v>67</v>
      </c>
      <c r="F1743" s="33" t="s">
        <v>68</v>
      </c>
      <c r="G1743" s="33" t="s">
        <v>50</v>
      </c>
      <c r="H1743" s="35">
        <v>40</v>
      </c>
      <c r="I1743" s="33" t="s">
        <v>51</v>
      </c>
      <c r="J1743" s="42">
        <v>44018</v>
      </c>
      <c r="K1743" s="33" t="s">
        <v>22</v>
      </c>
    </row>
    <row r="1744" spans="1:11">
      <c r="A1744" s="30" t="s">
        <v>4414</v>
      </c>
      <c r="B1744" s="30" t="s">
        <v>4415</v>
      </c>
      <c r="C1744" s="30" t="s">
        <v>2446</v>
      </c>
      <c r="D1744" s="30" t="s">
        <v>17</v>
      </c>
      <c r="E1744" s="30" t="s">
        <v>26</v>
      </c>
      <c r="F1744" s="30" t="s">
        <v>27</v>
      </c>
      <c r="G1744" s="30" t="s">
        <v>106</v>
      </c>
      <c r="H1744" s="32">
        <v>18</v>
      </c>
      <c r="I1744" s="30" t="s">
        <v>21</v>
      </c>
      <c r="J1744" s="41">
        <v>43845</v>
      </c>
      <c r="K1744" s="30" t="s">
        <v>22</v>
      </c>
    </row>
    <row r="1745" spans="1:11">
      <c r="A1745" s="33" t="s">
        <v>4416</v>
      </c>
      <c r="B1745" s="33" t="s">
        <v>4417</v>
      </c>
      <c r="C1745" s="33" t="s">
        <v>4418</v>
      </c>
      <c r="D1745" s="33" t="s">
        <v>17</v>
      </c>
      <c r="E1745" s="33" t="s">
        <v>31</v>
      </c>
      <c r="F1745" s="33" t="s">
        <v>32</v>
      </c>
      <c r="G1745" s="33" t="s">
        <v>20</v>
      </c>
      <c r="H1745" s="35">
        <v>304</v>
      </c>
      <c r="I1745" s="33" t="s">
        <v>21</v>
      </c>
      <c r="J1745" s="42">
        <v>44144</v>
      </c>
      <c r="K1745" s="33" t="s">
        <v>22</v>
      </c>
    </row>
    <row r="1746" spans="1:11">
      <c r="A1746" s="30" t="s">
        <v>4419</v>
      </c>
      <c r="B1746" s="30" t="s">
        <v>4420</v>
      </c>
      <c r="C1746" s="30" t="s">
        <v>118</v>
      </c>
      <c r="D1746" s="30" t="s">
        <v>17</v>
      </c>
      <c r="E1746" s="30" t="s">
        <v>26</v>
      </c>
      <c r="F1746" s="30" t="s">
        <v>27</v>
      </c>
      <c r="G1746" s="30" t="s">
        <v>106</v>
      </c>
      <c r="H1746" s="32">
        <v>16</v>
      </c>
      <c r="I1746" s="30" t="s">
        <v>21</v>
      </c>
      <c r="J1746" s="41">
        <v>44159</v>
      </c>
      <c r="K1746" s="30" t="s">
        <v>22</v>
      </c>
    </row>
    <row r="1747" spans="1:11">
      <c r="A1747" s="33" t="s">
        <v>4421</v>
      </c>
      <c r="B1747" s="33" t="s">
        <v>4422</v>
      </c>
      <c r="C1747" s="33" t="s">
        <v>1816</v>
      </c>
      <c r="D1747" s="33" t="s">
        <v>17</v>
      </c>
      <c r="E1747" s="33" t="s">
        <v>26</v>
      </c>
      <c r="F1747" s="33" t="s">
        <v>27</v>
      </c>
      <c r="G1747" s="33" t="s">
        <v>106</v>
      </c>
      <c r="H1747" s="35">
        <v>24</v>
      </c>
      <c r="I1747" s="33" t="s">
        <v>21</v>
      </c>
      <c r="J1747" s="42">
        <v>44102</v>
      </c>
      <c r="K1747" s="33" t="s">
        <v>22</v>
      </c>
    </row>
    <row r="1748" spans="1:11">
      <c r="A1748" s="30" t="s">
        <v>4423</v>
      </c>
      <c r="B1748" s="30" t="s">
        <v>4424</v>
      </c>
      <c r="C1748" s="30" t="s">
        <v>2373</v>
      </c>
      <c r="D1748" s="30" t="s">
        <v>17</v>
      </c>
      <c r="E1748" s="30" t="s">
        <v>26</v>
      </c>
      <c r="F1748" s="30" t="s">
        <v>27</v>
      </c>
      <c r="G1748" s="30" t="s">
        <v>50</v>
      </c>
      <c r="H1748" s="32">
        <v>8</v>
      </c>
      <c r="I1748" s="30" t="s">
        <v>51</v>
      </c>
      <c r="J1748" s="41">
        <v>44102</v>
      </c>
      <c r="K1748" s="30" t="s">
        <v>22</v>
      </c>
    </row>
    <row r="1749" spans="1:11">
      <c r="A1749" s="33" t="s">
        <v>4425</v>
      </c>
      <c r="B1749" s="33" t="s">
        <v>4426</v>
      </c>
      <c r="C1749" s="33" t="s">
        <v>450</v>
      </c>
      <c r="D1749" s="33" t="s">
        <v>17</v>
      </c>
      <c r="E1749" s="33" t="s">
        <v>18</v>
      </c>
      <c r="F1749" s="33" t="s">
        <v>19</v>
      </c>
      <c r="G1749" s="33" t="s">
        <v>158</v>
      </c>
      <c r="H1749" s="35">
        <v>281</v>
      </c>
      <c r="I1749" s="33" t="s">
        <v>21</v>
      </c>
      <c r="J1749" s="42">
        <v>44138</v>
      </c>
      <c r="K1749" s="33" t="s">
        <v>22</v>
      </c>
    </row>
    <row r="1750" spans="1:11">
      <c r="A1750" s="30" t="s">
        <v>4427</v>
      </c>
      <c r="B1750" s="30" t="s">
        <v>4428</v>
      </c>
      <c r="C1750" s="30" t="s">
        <v>149</v>
      </c>
      <c r="D1750" s="30" t="s">
        <v>17</v>
      </c>
      <c r="E1750" s="30" t="s">
        <v>26</v>
      </c>
      <c r="F1750" s="30" t="s">
        <v>27</v>
      </c>
      <c r="G1750" s="30" t="s">
        <v>20</v>
      </c>
      <c r="H1750" s="32">
        <v>24</v>
      </c>
      <c r="I1750" s="30" t="s">
        <v>21</v>
      </c>
      <c r="J1750" s="41">
        <v>43957</v>
      </c>
      <c r="K1750" s="30" t="s">
        <v>22</v>
      </c>
    </row>
    <row r="1751" spans="1:11">
      <c r="A1751" s="33" t="s">
        <v>4429</v>
      </c>
      <c r="B1751" s="33" t="s">
        <v>4430</v>
      </c>
      <c r="C1751" s="33" t="s">
        <v>4431</v>
      </c>
      <c r="D1751" s="33" t="s">
        <v>17</v>
      </c>
      <c r="E1751" s="33" t="s">
        <v>26</v>
      </c>
      <c r="F1751" s="33" t="s">
        <v>27</v>
      </c>
      <c r="G1751" s="33" t="s">
        <v>20</v>
      </c>
      <c r="H1751" s="35">
        <v>60</v>
      </c>
      <c r="I1751" s="33" t="s">
        <v>21</v>
      </c>
      <c r="J1751" s="42">
        <v>44060</v>
      </c>
      <c r="K1751" s="33" t="s">
        <v>22</v>
      </c>
    </row>
    <row r="1752" spans="1:11">
      <c r="A1752" s="30" t="s">
        <v>4432</v>
      </c>
      <c r="B1752" s="30" t="s">
        <v>4433</v>
      </c>
      <c r="C1752" s="30" t="s">
        <v>222</v>
      </c>
      <c r="D1752" s="30" t="s">
        <v>17</v>
      </c>
      <c r="E1752" s="30" t="s">
        <v>26</v>
      </c>
      <c r="F1752" s="30" t="s">
        <v>27</v>
      </c>
      <c r="G1752" s="30" t="s">
        <v>158</v>
      </c>
      <c r="H1752" s="32">
        <v>179</v>
      </c>
      <c r="I1752" s="30" t="s">
        <v>21</v>
      </c>
      <c r="J1752" s="41">
        <v>44187</v>
      </c>
      <c r="K1752" s="30" t="s">
        <v>22</v>
      </c>
    </row>
    <row r="1753" spans="1:11">
      <c r="A1753" s="33" t="s">
        <v>4434</v>
      </c>
      <c r="B1753" s="33" t="s">
        <v>4435</v>
      </c>
      <c r="C1753" s="33" t="s">
        <v>109</v>
      </c>
      <c r="D1753" s="33" t="s">
        <v>17</v>
      </c>
      <c r="E1753" s="33" t="s">
        <v>18</v>
      </c>
      <c r="F1753" s="33" t="s">
        <v>19</v>
      </c>
      <c r="G1753" s="33" t="s">
        <v>158</v>
      </c>
      <c r="H1753" s="35">
        <v>404</v>
      </c>
      <c r="I1753" s="33" t="s">
        <v>21</v>
      </c>
      <c r="J1753" s="42">
        <v>44176</v>
      </c>
      <c r="K1753" s="33" t="s">
        <v>22</v>
      </c>
    </row>
    <row r="1754" spans="1:11">
      <c r="A1754" s="30" t="s">
        <v>4436</v>
      </c>
      <c r="B1754" s="30" t="s">
        <v>4437</v>
      </c>
      <c r="C1754" s="30" t="s">
        <v>75</v>
      </c>
      <c r="D1754" s="30" t="s">
        <v>17</v>
      </c>
      <c r="E1754" s="30" t="s">
        <v>67</v>
      </c>
      <c r="F1754" s="30" t="s">
        <v>68</v>
      </c>
      <c r="G1754" s="30" t="s">
        <v>158</v>
      </c>
      <c r="H1754" s="32">
        <v>31</v>
      </c>
      <c r="I1754" s="30" t="s">
        <v>21</v>
      </c>
      <c r="J1754" s="41">
        <v>44116</v>
      </c>
      <c r="K1754" s="30" t="s">
        <v>22</v>
      </c>
    </row>
    <row r="1755" spans="1:11">
      <c r="A1755" s="33" t="s">
        <v>4438</v>
      </c>
      <c r="B1755" s="33" t="s">
        <v>4439</v>
      </c>
      <c r="C1755" s="33" t="s">
        <v>1136</v>
      </c>
      <c r="D1755" s="33" t="s">
        <v>17</v>
      </c>
      <c r="E1755" s="33" t="s">
        <v>18</v>
      </c>
      <c r="F1755" s="33" t="s">
        <v>19</v>
      </c>
      <c r="G1755" s="33" t="s">
        <v>20</v>
      </c>
      <c r="H1755" s="35">
        <v>2100</v>
      </c>
      <c r="I1755" s="33" t="s">
        <v>21</v>
      </c>
      <c r="J1755" s="42">
        <v>44125</v>
      </c>
      <c r="K1755" s="33" t="s">
        <v>22</v>
      </c>
    </row>
    <row r="1756" spans="1:11">
      <c r="A1756" s="30" t="s">
        <v>4440</v>
      </c>
      <c r="B1756" s="30" t="s">
        <v>4441</v>
      </c>
      <c r="C1756" s="30" t="s">
        <v>102</v>
      </c>
      <c r="D1756" s="30" t="s">
        <v>17</v>
      </c>
      <c r="E1756" s="30" t="s">
        <v>31</v>
      </c>
      <c r="F1756" s="30" t="s">
        <v>32</v>
      </c>
      <c r="G1756" s="30" t="s">
        <v>158</v>
      </c>
      <c r="H1756" s="32">
        <v>194</v>
      </c>
      <c r="I1756" s="30" t="s">
        <v>21</v>
      </c>
      <c r="J1756" s="41">
        <v>44091</v>
      </c>
      <c r="K1756" s="30" t="s">
        <v>22</v>
      </c>
    </row>
    <row r="1757" spans="1:11">
      <c r="A1757" s="33" t="s">
        <v>4442</v>
      </c>
      <c r="B1757" s="33" t="s">
        <v>4443</v>
      </c>
      <c r="C1757" s="33" t="s">
        <v>187</v>
      </c>
      <c r="D1757" s="33" t="s">
        <v>17</v>
      </c>
      <c r="E1757" s="33" t="s">
        <v>31</v>
      </c>
      <c r="F1757" s="33" t="s">
        <v>32</v>
      </c>
      <c r="G1757" s="33" t="s">
        <v>50</v>
      </c>
      <c r="H1757" s="35">
        <v>80</v>
      </c>
      <c r="I1757" s="33" t="s">
        <v>51</v>
      </c>
      <c r="J1757" s="42">
        <v>44165</v>
      </c>
      <c r="K1757" s="33" t="s">
        <v>22</v>
      </c>
    </row>
    <row r="1758" spans="1:11">
      <c r="A1758" s="30" t="s">
        <v>4444</v>
      </c>
      <c r="B1758" s="30" t="s">
        <v>4445</v>
      </c>
      <c r="C1758" s="30" t="s">
        <v>2719</v>
      </c>
      <c r="D1758" s="30" t="s">
        <v>17</v>
      </c>
      <c r="E1758" s="30" t="s">
        <v>18</v>
      </c>
      <c r="F1758" s="30" t="s">
        <v>19</v>
      </c>
      <c r="G1758" s="30" t="s">
        <v>106</v>
      </c>
      <c r="H1758" s="32">
        <v>460</v>
      </c>
      <c r="I1758" s="30" t="s">
        <v>21</v>
      </c>
      <c r="J1758" s="41">
        <v>44104</v>
      </c>
      <c r="K1758" s="30" t="s">
        <v>22</v>
      </c>
    </row>
    <row r="1759" spans="1:11">
      <c r="A1759" s="33" t="s">
        <v>4446</v>
      </c>
      <c r="B1759" s="33" t="s">
        <v>4447</v>
      </c>
      <c r="C1759" s="33" t="s">
        <v>450</v>
      </c>
      <c r="D1759" s="33" t="s">
        <v>17</v>
      </c>
      <c r="E1759" s="33" t="s">
        <v>31</v>
      </c>
      <c r="F1759" s="33" t="s">
        <v>32</v>
      </c>
      <c r="G1759" s="33" t="s">
        <v>20</v>
      </c>
      <c r="H1759" s="35">
        <v>9</v>
      </c>
      <c r="I1759" s="33" t="s">
        <v>21</v>
      </c>
      <c r="J1759" s="42">
        <v>44081</v>
      </c>
      <c r="K1759" s="33" t="s">
        <v>22</v>
      </c>
    </row>
    <row r="1760" spans="1:11">
      <c r="A1760" s="30" t="s">
        <v>4448</v>
      </c>
      <c r="B1760" s="30" t="s">
        <v>4449</v>
      </c>
      <c r="C1760" s="30" t="s">
        <v>4450</v>
      </c>
      <c r="D1760" s="30" t="s">
        <v>17</v>
      </c>
      <c r="E1760" s="30" t="s">
        <v>18</v>
      </c>
      <c r="F1760" s="30" t="s">
        <v>19</v>
      </c>
      <c r="G1760" s="30" t="s">
        <v>20</v>
      </c>
      <c r="H1760" s="32">
        <v>166</v>
      </c>
      <c r="I1760" s="30" t="s">
        <v>21</v>
      </c>
      <c r="J1760" s="41">
        <v>44157</v>
      </c>
      <c r="K1760" s="30" t="s">
        <v>22</v>
      </c>
    </row>
    <row r="1761" spans="1:11">
      <c r="A1761" s="33" t="s">
        <v>4451</v>
      </c>
      <c r="B1761" s="33" t="s">
        <v>4452</v>
      </c>
      <c r="C1761" s="33" t="s">
        <v>4453</v>
      </c>
      <c r="D1761" s="33" t="s">
        <v>17</v>
      </c>
      <c r="E1761" s="33" t="s">
        <v>31</v>
      </c>
      <c r="F1761" s="33" t="s">
        <v>32</v>
      </c>
      <c r="G1761" s="33" t="s">
        <v>20</v>
      </c>
      <c r="H1761" s="35">
        <v>226</v>
      </c>
      <c r="I1761" s="33" t="s">
        <v>21</v>
      </c>
      <c r="J1761" s="42">
        <v>44029</v>
      </c>
      <c r="K1761" s="33" t="s">
        <v>22</v>
      </c>
    </row>
    <row r="1762" spans="1:11">
      <c r="A1762" s="30" t="s">
        <v>4454</v>
      </c>
      <c r="B1762" s="30" t="s">
        <v>4455</v>
      </c>
      <c r="C1762" s="30" t="s">
        <v>684</v>
      </c>
      <c r="D1762" s="30" t="s">
        <v>17</v>
      </c>
      <c r="E1762" s="30" t="s">
        <v>26</v>
      </c>
      <c r="F1762" s="30" t="s">
        <v>27</v>
      </c>
      <c r="G1762" s="30" t="s">
        <v>106</v>
      </c>
      <c r="H1762" s="32">
        <v>62</v>
      </c>
      <c r="I1762" s="30" t="s">
        <v>21</v>
      </c>
      <c r="J1762" s="41">
        <v>44146</v>
      </c>
      <c r="K1762" s="30" t="s">
        <v>22</v>
      </c>
    </row>
    <row r="1763" spans="1:11">
      <c r="A1763" s="33" t="s">
        <v>4456</v>
      </c>
      <c r="B1763" s="33" t="s">
        <v>4457</v>
      </c>
      <c r="C1763" s="33" t="s">
        <v>310</v>
      </c>
      <c r="D1763" s="33" t="s">
        <v>17</v>
      </c>
      <c r="E1763" s="33" t="s">
        <v>26</v>
      </c>
      <c r="F1763" s="33" t="s">
        <v>27</v>
      </c>
      <c r="G1763" s="33" t="s">
        <v>20</v>
      </c>
      <c r="H1763" s="35">
        <v>290</v>
      </c>
      <c r="I1763" s="33" t="s">
        <v>21</v>
      </c>
      <c r="J1763" s="42">
        <v>44103</v>
      </c>
      <c r="K1763" s="33" t="s">
        <v>22</v>
      </c>
    </row>
    <row r="1764" spans="1:11">
      <c r="A1764" s="30" t="s">
        <v>4458</v>
      </c>
      <c r="B1764" s="30" t="s">
        <v>4459</v>
      </c>
      <c r="C1764" s="30" t="s">
        <v>3986</v>
      </c>
      <c r="D1764" s="30" t="s">
        <v>17</v>
      </c>
      <c r="E1764" s="30" t="s">
        <v>26</v>
      </c>
      <c r="F1764" s="30" t="s">
        <v>27</v>
      </c>
      <c r="G1764" s="30" t="s">
        <v>20</v>
      </c>
      <c r="H1764" s="32">
        <v>59</v>
      </c>
      <c r="I1764" s="30" t="s">
        <v>21</v>
      </c>
      <c r="J1764" s="41">
        <v>43901</v>
      </c>
      <c r="K1764" s="30" t="s">
        <v>22</v>
      </c>
    </row>
    <row r="1765" spans="1:11">
      <c r="A1765" s="33" t="s">
        <v>4460</v>
      </c>
      <c r="B1765" s="33" t="s">
        <v>4461</v>
      </c>
      <c r="C1765" s="33" t="s">
        <v>4462</v>
      </c>
      <c r="D1765" s="33" t="s">
        <v>17</v>
      </c>
      <c r="E1765" s="33" t="s">
        <v>31</v>
      </c>
      <c r="F1765" s="33" t="s">
        <v>32</v>
      </c>
      <c r="G1765" s="33" t="s">
        <v>106</v>
      </c>
      <c r="H1765" s="35">
        <v>2</v>
      </c>
      <c r="I1765" s="33" t="s">
        <v>21</v>
      </c>
      <c r="J1765" s="42">
        <v>43878</v>
      </c>
      <c r="K1765" s="33" t="s">
        <v>22</v>
      </c>
    </row>
    <row r="1766" spans="1:11">
      <c r="A1766" s="30" t="s">
        <v>4463</v>
      </c>
      <c r="B1766" s="30" t="s">
        <v>4464</v>
      </c>
      <c r="C1766" s="30" t="s">
        <v>4465</v>
      </c>
      <c r="D1766" s="30" t="s">
        <v>17</v>
      </c>
      <c r="E1766" s="30" t="s">
        <v>18</v>
      </c>
      <c r="F1766" s="30" t="s">
        <v>19</v>
      </c>
      <c r="G1766" s="30" t="s">
        <v>20</v>
      </c>
      <c r="H1766" s="32">
        <v>11</v>
      </c>
      <c r="I1766" s="30" t="s">
        <v>21</v>
      </c>
      <c r="J1766" s="41">
        <v>43840</v>
      </c>
      <c r="K1766" s="30" t="s">
        <v>22</v>
      </c>
    </row>
    <row r="1767" spans="1:11">
      <c r="A1767" s="33" t="s">
        <v>4466</v>
      </c>
      <c r="B1767" s="33" t="s">
        <v>4467</v>
      </c>
      <c r="C1767" s="33" t="s">
        <v>4468</v>
      </c>
      <c r="D1767" s="33" t="s">
        <v>17</v>
      </c>
      <c r="E1767" s="33" t="s">
        <v>31</v>
      </c>
      <c r="F1767" s="33" t="s">
        <v>32</v>
      </c>
      <c r="G1767" s="33" t="s">
        <v>106</v>
      </c>
      <c r="H1767" s="35">
        <v>8</v>
      </c>
      <c r="I1767" s="33" t="s">
        <v>21</v>
      </c>
      <c r="J1767" s="42">
        <v>44165</v>
      </c>
      <c r="K1767" s="33" t="s">
        <v>22</v>
      </c>
    </row>
    <row r="1768" spans="1:11">
      <c r="A1768" s="30" t="s">
        <v>4469</v>
      </c>
      <c r="B1768" s="30" t="s">
        <v>4470</v>
      </c>
      <c r="C1768" s="30" t="s">
        <v>684</v>
      </c>
      <c r="D1768" s="30" t="s">
        <v>17</v>
      </c>
      <c r="E1768" s="30" t="s">
        <v>26</v>
      </c>
      <c r="F1768" s="30" t="s">
        <v>27</v>
      </c>
      <c r="G1768" s="30" t="s">
        <v>20</v>
      </c>
      <c r="H1768" s="32">
        <v>16</v>
      </c>
      <c r="I1768" s="30" t="s">
        <v>21</v>
      </c>
      <c r="J1768" s="41">
        <v>44186</v>
      </c>
      <c r="K1768" s="30" t="s">
        <v>22</v>
      </c>
    </row>
    <row r="1769" spans="1:11">
      <c r="A1769" s="33" t="s">
        <v>4471</v>
      </c>
      <c r="B1769" s="33" t="s">
        <v>4472</v>
      </c>
      <c r="C1769" s="33" t="s">
        <v>4473</v>
      </c>
      <c r="D1769" s="33" t="s">
        <v>17</v>
      </c>
      <c r="E1769" s="33" t="s">
        <v>26</v>
      </c>
      <c r="F1769" s="33" t="s">
        <v>27</v>
      </c>
      <c r="G1769" s="33" t="s">
        <v>20</v>
      </c>
      <c r="H1769" s="35">
        <v>65</v>
      </c>
      <c r="I1769" s="33" t="s">
        <v>21</v>
      </c>
      <c r="J1769" s="42">
        <v>44174</v>
      </c>
      <c r="K1769" s="33" t="s">
        <v>22</v>
      </c>
    </row>
    <row r="1770" spans="1:11">
      <c r="A1770" s="30" t="s">
        <v>4474</v>
      </c>
      <c r="B1770" s="30" t="s">
        <v>4475</v>
      </c>
      <c r="C1770" s="30" t="s">
        <v>4476</v>
      </c>
      <c r="D1770" s="30" t="s">
        <v>17</v>
      </c>
      <c r="E1770" s="30" t="s">
        <v>31</v>
      </c>
      <c r="F1770" s="30" t="s">
        <v>32</v>
      </c>
      <c r="G1770" s="30" t="s">
        <v>112</v>
      </c>
      <c r="H1770" s="32">
        <v>0</v>
      </c>
      <c r="I1770" s="30" t="s">
        <v>21</v>
      </c>
      <c r="J1770" s="41">
        <v>43922</v>
      </c>
      <c r="K1770" s="30" t="s">
        <v>22</v>
      </c>
    </row>
    <row r="1771" spans="1:11">
      <c r="A1771" s="33" t="s">
        <v>4477</v>
      </c>
      <c r="B1771" s="33" t="s">
        <v>4478</v>
      </c>
      <c r="C1771" s="33" t="s">
        <v>3698</v>
      </c>
      <c r="D1771" s="33" t="s">
        <v>17</v>
      </c>
      <c r="E1771" s="33" t="s">
        <v>45</v>
      </c>
      <c r="F1771" s="33" t="s">
        <v>46</v>
      </c>
      <c r="G1771" s="33" t="s">
        <v>106</v>
      </c>
      <c r="H1771" s="35">
        <v>7</v>
      </c>
      <c r="I1771" s="33" t="s">
        <v>21</v>
      </c>
      <c r="J1771" s="42">
        <v>43984</v>
      </c>
      <c r="K1771" s="33" t="s">
        <v>22</v>
      </c>
    </row>
    <row r="1772" spans="1:11">
      <c r="A1772" s="30" t="s">
        <v>4479</v>
      </c>
      <c r="B1772" s="30" t="s">
        <v>4480</v>
      </c>
      <c r="C1772" s="30" t="s">
        <v>4481</v>
      </c>
      <c r="D1772" s="30" t="s">
        <v>17</v>
      </c>
      <c r="E1772" s="30" t="s">
        <v>26</v>
      </c>
      <c r="F1772" s="30" t="s">
        <v>27</v>
      </c>
      <c r="G1772" s="30" t="s">
        <v>50</v>
      </c>
      <c r="H1772" s="32">
        <v>30</v>
      </c>
      <c r="I1772" s="30" t="s">
        <v>21</v>
      </c>
      <c r="J1772" s="41">
        <v>44148</v>
      </c>
      <c r="K1772" s="30" t="s">
        <v>22</v>
      </c>
    </row>
    <row r="1773" spans="1:11">
      <c r="A1773" s="33" t="s">
        <v>4482</v>
      </c>
      <c r="B1773" s="33" t="s">
        <v>4483</v>
      </c>
      <c r="C1773" s="33" t="s">
        <v>4484</v>
      </c>
      <c r="D1773" s="33" t="s">
        <v>17</v>
      </c>
      <c r="E1773" s="33" t="s">
        <v>26</v>
      </c>
      <c r="F1773" s="33" t="s">
        <v>27</v>
      </c>
      <c r="G1773" s="33" t="s">
        <v>20</v>
      </c>
      <c r="H1773" s="35">
        <v>112</v>
      </c>
      <c r="I1773" s="33" t="s">
        <v>21</v>
      </c>
      <c r="J1773" s="42">
        <v>43944</v>
      </c>
      <c r="K1773" s="33" t="s">
        <v>22</v>
      </c>
    </row>
    <row r="1774" spans="1:11">
      <c r="A1774" s="30" t="s">
        <v>4485</v>
      </c>
      <c r="B1774" s="30" t="s">
        <v>4486</v>
      </c>
      <c r="C1774" s="30" t="s">
        <v>1900</v>
      </c>
      <c r="D1774" s="30" t="s">
        <v>17</v>
      </c>
      <c r="E1774" s="30" t="s">
        <v>67</v>
      </c>
      <c r="F1774" s="30" t="s">
        <v>68</v>
      </c>
      <c r="G1774" s="30" t="s">
        <v>158</v>
      </c>
      <c r="H1774" s="32">
        <v>232</v>
      </c>
      <c r="I1774" s="30" t="s">
        <v>51</v>
      </c>
      <c r="J1774" s="41">
        <v>44179</v>
      </c>
      <c r="K1774" s="30" t="s">
        <v>22</v>
      </c>
    </row>
    <row r="1775" spans="1:11">
      <c r="A1775" s="33" t="s">
        <v>4487</v>
      </c>
      <c r="B1775" s="33" t="s">
        <v>4488</v>
      </c>
      <c r="C1775" s="33" t="s">
        <v>647</v>
      </c>
      <c r="D1775" s="33" t="s">
        <v>17</v>
      </c>
      <c r="E1775" s="33" t="s">
        <v>67</v>
      </c>
      <c r="F1775" s="33" t="s">
        <v>68</v>
      </c>
      <c r="G1775" s="33" t="s">
        <v>20</v>
      </c>
      <c r="H1775" s="35">
        <v>146</v>
      </c>
      <c r="I1775" s="33" t="s">
        <v>21</v>
      </c>
      <c r="J1775" s="42">
        <v>44008</v>
      </c>
      <c r="K1775" s="33" t="s">
        <v>22</v>
      </c>
    </row>
    <row r="1776" spans="1:11">
      <c r="A1776" s="30" t="s">
        <v>4489</v>
      </c>
      <c r="B1776" s="30" t="s">
        <v>4490</v>
      </c>
      <c r="C1776" s="30" t="s">
        <v>1598</v>
      </c>
      <c r="D1776" s="30" t="s">
        <v>17</v>
      </c>
      <c r="E1776" s="30" t="s">
        <v>26</v>
      </c>
      <c r="F1776" s="30" t="s">
        <v>27</v>
      </c>
      <c r="G1776" s="30" t="s">
        <v>20</v>
      </c>
      <c r="H1776" s="32">
        <v>12</v>
      </c>
      <c r="I1776" s="30" t="s">
        <v>21</v>
      </c>
      <c r="J1776" s="41">
        <v>43916</v>
      </c>
      <c r="K1776" s="30" t="s">
        <v>22</v>
      </c>
    </row>
    <row r="1777" spans="1:11">
      <c r="A1777" s="33" t="s">
        <v>4491</v>
      </c>
      <c r="B1777" s="33" t="s">
        <v>4492</v>
      </c>
      <c r="C1777" s="33" t="s">
        <v>4493</v>
      </c>
      <c r="D1777" s="33" t="s">
        <v>17</v>
      </c>
      <c r="E1777" s="33" t="s">
        <v>31</v>
      </c>
      <c r="F1777" s="33" t="s">
        <v>32</v>
      </c>
      <c r="G1777" s="33" t="s">
        <v>158</v>
      </c>
      <c r="H1777" s="35">
        <v>22</v>
      </c>
      <c r="I1777" s="33" t="s">
        <v>21</v>
      </c>
      <c r="J1777" s="42">
        <v>44172</v>
      </c>
      <c r="K1777" s="33" t="s">
        <v>22</v>
      </c>
    </row>
    <row r="1778" spans="1:11">
      <c r="A1778" s="30" t="s">
        <v>4494</v>
      </c>
      <c r="B1778" s="30" t="s">
        <v>4495</v>
      </c>
      <c r="C1778" s="30" t="s">
        <v>127</v>
      </c>
      <c r="D1778" s="30" t="s">
        <v>17</v>
      </c>
      <c r="E1778" s="30" t="s">
        <v>26</v>
      </c>
      <c r="F1778" s="30" t="s">
        <v>27</v>
      </c>
      <c r="G1778" s="30" t="s">
        <v>140</v>
      </c>
      <c r="H1778" s="32">
        <v>18</v>
      </c>
      <c r="I1778" s="30" t="s">
        <v>51</v>
      </c>
      <c r="J1778" s="41">
        <v>43888</v>
      </c>
      <c r="K1778" s="30" t="s">
        <v>22</v>
      </c>
    </row>
    <row r="1779" spans="1:11">
      <c r="A1779" s="33" t="s">
        <v>4496</v>
      </c>
      <c r="B1779" s="33" t="s">
        <v>4497</v>
      </c>
      <c r="C1779" s="33" t="s">
        <v>1136</v>
      </c>
      <c r="D1779" s="33" t="s">
        <v>17</v>
      </c>
      <c r="E1779" s="33" t="s">
        <v>26</v>
      </c>
      <c r="F1779" s="33" t="s">
        <v>27</v>
      </c>
      <c r="G1779" s="33" t="s">
        <v>20</v>
      </c>
      <c r="H1779" s="35">
        <v>73</v>
      </c>
      <c r="I1779" s="33" t="s">
        <v>21</v>
      </c>
      <c r="J1779" s="42">
        <v>43845</v>
      </c>
      <c r="K1779" s="33" t="s">
        <v>22</v>
      </c>
    </row>
    <row r="1780" spans="1:11">
      <c r="A1780" s="30" t="s">
        <v>4498</v>
      </c>
      <c r="B1780" s="30" t="s">
        <v>4499</v>
      </c>
      <c r="C1780" s="30" t="s">
        <v>124</v>
      </c>
      <c r="D1780" s="30" t="s">
        <v>17</v>
      </c>
      <c r="E1780" s="30" t="s">
        <v>45</v>
      </c>
      <c r="F1780" s="30" t="s">
        <v>46</v>
      </c>
      <c r="G1780" s="30" t="s">
        <v>50</v>
      </c>
      <c r="H1780" s="32">
        <v>687</v>
      </c>
      <c r="I1780" s="30" t="s">
        <v>51</v>
      </c>
      <c r="J1780" s="41">
        <v>44167</v>
      </c>
      <c r="K1780" s="30" t="s">
        <v>22</v>
      </c>
    </row>
    <row r="1781" spans="1:11">
      <c r="A1781" s="33" t="s">
        <v>4500</v>
      </c>
      <c r="B1781" s="33" t="s">
        <v>4501</v>
      </c>
      <c r="C1781" s="33" t="s">
        <v>44</v>
      </c>
      <c r="D1781" s="33" t="s">
        <v>17</v>
      </c>
      <c r="E1781" s="33" t="s">
        <v>18</v>
      </c>
      <c r="F1781" s="33" t="s">
        <v>19</v>
      </c>
      <c r="G1781" s="33" t="s">
        <v>20</v>
      </c>
      <c r="H1781" s="35">
        <v>3303</v>
      </c>
      <c r="I1781" s="33" t="s">
        <v>21</v>
      </c>
      <c r="J1781" s="42">
        <v>44025</v>
      </c>
      <c r="K1781" s="33" t="s">
        <v>22</v>
      </c>
    </row>
    <row r="1782" spans="1:11">
      <c r="A1782" s="30" t="s">
        <v>4502</v>
      </c>
      <c r="B1782" s="30" t="s">
        <v>4503</v>
      </c>
      <c r="C1782" s="30" t="s">
        <v>4504</v>
      </c>
      <c r="D1782" s="30" t="s">
        <v>17</v>
      </c>
      <c r="E1782" s="30" t="s">
        <v>45</v>
      </c>
      <c r="F1782" s="30" t="s">
        <v>46</v>
      </c>
      <c r="G1782" s="30" t="s">
        <v>20</v>
      </c>
      <c r="H1782" s="32">
        <v>49</v>
      </c>
      <c r="I1782" s="30" t="s">
        <v>21</v>
      </c>
      <c r="J1782" s="41">
        <v>44111</v>
      </c>
      <c r="K1782" s="30" t="s">
        <v>22</v>
      </c>
    </row>
    <row r="1783" spans="1:11">
      <c r="A1783" s="33" t="s">
        <v>4505</v>
      </c>
      <c r="B1783" s="33" t="s">
        <v>4506</v>
      </c>
      <c r="C1783" s="33" t="s">
        <v>109</v>
      </c>
      <c r="D1783" s="33" t="s">
        <v>17</v>
      </c>
      <c r="E1783" s="33" t="s">
        <v>31</v>
      </c>
      <c r="F1783" s="33" t="s">
        <v>32</v>
      </c>
      <c r="G1783" s="33" t="s">
        <v>20</v>
      </c>
      <c r="H1783" s="35">
        <v>45</v>
      </c>
      <c r="I1783" s="33" t="s">
        <v>21</v>
      </c>
      <c r="J1783" s="42">
        <v>44032</v>
      </c>
      <c r="K1783" s="33" t="s">
        <v>22</v>
      </c>
    </row>
    <row r="1784" spans="1:11">
      <c r="A1784" s="30" t="s">
        <v>4507</v>
      </c>
      <c r="B1784" s="30" t="s">
        <v>4508</v>
      </c>
      <c r="C1784" s="30" t="s">
        <v>4509</v>
      </c>
      <c r="D1784" s="30" t="s">
        <v>17</v>
      </c>
      <c r="E1784" s="30" t="s">
        <v>31</v>
      </c>
      <c r="F1784" s="30" t="s">
        <v>32</v>
      </c>
      <c r="G1784" s="30" t="s">
        <v>20</v>
      </c>
      <c r="H1784" s="32">
        <v>55</v>
      </c>
      <c r="I1784" s="30" t="s">
        <v>21</v>
      </c>
      <c r="J1784" s="41">
        <v>43909</v>
      </c>
      <c r="K1784" s="30" t="s">
        <v>22</v>
      </c>
    </row>
    <row r="1785" spans="1:11">
      <c r="A1785" s="33" t="s">
        <v>4510</v>
      </c>
      <c r="B1785" s="33" t="s">
        <v>4511</v>
      </c>
      <c r="C1785" s="33" t="s">
        <v>4512</v>
      </c>
      <c r="D1785" s="33" t="s">
        <v>17</v>
      </c>
      <c r="E1785" s="33" t="s">
        <v>26</v>
      </c>
      <c r="F1785" s="33" t="s">
        <v>27</v>
      </c>
      <c r="G1785" s="33" t="s">
        <v>20</v>
      </c>
      <c r="H1785" s="35">
        <v>12</v>
      </c>
      <c r="I1785" s="33" t="s">
        <v>21</v>
      </c>
      <c r="J1785" s="42">
        <v>44134</v>
      </c>
      <c r="K1785" s="33" t="s">
        <v>22</v>
      </c>
    </row>
    <row r="1786" spans="1:11">
      <c r="A1786" s="30" t="s">
        <v>4513</v>
      </c>
      <c r="B1786" s="30" t="s">
        <v>4514</v>
      </c>
      <c r="C1786" s="30" t="s">
        <v>2612</v>
      </c>
      <c r="D1786" s="30" t="s">
        <v>17</v>
      </c>
      <c r="E1786" s="30" t="s">
        <v>67</v>
      </c>
      <c r="F1786" s="30" t="s">
        <v>68</v>
      </c>
      <c r="G1786" s="30" t="s">
        <v>20</v>
      </c>
      <c r="H1786" s="32">
        <v>74</v>
      </c>
      <c r="I1786" s="30" t="s">
        <v>21</v>
      </c>
      <c r="J1786" s="41">
        <v>43885</v>
      </c>
      <c r="K1786" s="30" t="s">
        <v>22</v>
      </c>
    </row>
    <row r="1787" spans="1:11">
      <c r="A1787" s="33" t="s">
        <v>4515</v>
      </c>
      <c r="B1787" s="33" t="s">
        <v>4516</v>
      </c>
      <c r="C1787" s="33" t="s">
        <v>1275</v>
      </c>
      <c r="D1787" s="33" t="s">
        <v>17</v>
      </c>
      <c r="E1787" s="33" t="s">
        <v>26</v>
      </c>
      <c r="F1787" s="33" t="s">
        <v>27</v>
      </c>
      <c r="G1787" s="33" t="s">
        <v>20</v>
      </c>
      <c r="H1787" s="35">
        <v>118</v>
      </c>
      <c r="I1787" s="33" t="s">
        <v>21</v>
      </c>
      <c r="J1787" s="42">
        <v>43997</v>
      </c>
      <c r="K1787" s="33" t="s">
        <v>22</v>
      </c>
    </row>
    <row r="1788" spans="1:11">
      <c r="A1788" s="30" t="s">
        <v>4517</v>
      </c>
      <c r="B1788" s="30" t="s">
        <v>4518</v>
      </c>
      <c r="C1788" s="30" t="s">
        <v>231</v>
      </c>
      <c r="D1788" s="30" t="s">
        <v>17</v>
      </c>
      <c r="E1788" s="30" t="s">
        <v>18</v>
      </c>
      <c r="F1788" s="30" t="s">
        <v>19</v>
      </c>
      <c r="G1788" s="30" t="s">
        <v>20</v>
      </c>
      <c r="H1788" s="32">
        <v>219</v>
      </c>
      <c r="I1788" s="30" t="s">
        <v>21</v>
      </c>
      <c r="J1788" s="41">
        <v>43936</v>
      </c>
      <c r="K1788" s="30" t="s">
        <v>22</v>
      </c>
    </row>
    <row r="1789" spans="1:11">
      <c r="A1789" s="33" t="s">
        <v>4519</v>
      </c>
      <c r="B1789" s="33" t="s">
        <v>4520</v>
      </c>
      <c r="C1789" s="33" t="s">
        <v>1250</v>
      </c>
      <c r="D1789" s="33" t="s">
        <v>17</v>
      </c>
      <c r="E1789" s="33" t="s">
        <v>26</v>
      </c>
      <c r="F1789" s="33" t="s">
        <v>27</v>
      </c>
      <c r="G1789" s="33" t="s">
        <v>20</v>
      </c>
      <c r="H1789" s="35">
        <v>120</v>
      </c>
      <c r="I1789" s="33" t="s">
        <v>21</v>
      </c>
      <c r="J1789" s="42">
        <v>43968</v>
      </c>
      <c r="K1789" s="33" t="s">
        <v>22</v>
      </c>
    </row>
    <row r="1790" spans="1:11">
      <c r="A1790" s="30" t="s">
        <v>4521</v>
      </c>
      <c r="B1790" s="30" t="s">
        <v>4522</v>
      </c>
      <c r="C1790" s="30" t="s">
        <v>353</v>
      </c>
      <c r="D1790" s="30" t="s">
        <v>17</v>
      </c>
      <c r="E1790" s="30" t="s">
        <v>26</v>
      </c>
      <c r="F1790" s="30" t="s">
        <v>27</v>
      </c>
      <c r="G1790" s="30" t="s">
        <v>50</v>
      </c>
      <c r="H1790" s="32">
        <v>55</v>
      </c>
      <c r="I1790" s="30" t="s">
        <v>51</v>
      </c>
      <c r="J1790" s="41">
        <v>43885</v>
      </c>
      <c r="K1790" s="30" t="s">
        <v>22</v>
      </c>
    </row>
    <row r="1791" spans="1:11">
      <c r="A1791" s="33" t="s">
        <v>4523</v>
      </c>
      <c r="B1791" s="33" t="s">
        <v>4524</v>
      </c>
      <c r="C1791" s="33" t="s">
        <v>488</v>
      </c>
      <c r="D1791" s="33" t="s">
        <v>17</v>
      </c>
      <c r="E1791" s="33" t="s">
        <v>26</v>
      </c>
      <c r="F1791" s="33" t="s">
        <v>27</v>
      </c>
      <c r="G1791" s="33" t="s">
        <v>158</v>
      </c>
      <c r="H1791" s="35">
        <v>85</v>
      </c>
      <c r="I1791" s="33" t="s">
        <v>21</v>
      </c>
      <c r="J1791" s="42">
        <v>44111</v>
      </c>
      <c r="K1791" s="33" t="s">
        <v>22</v>
      </c>
    </row>
    <row r="1792" spans="1:11">
      <c r="A1792" s="30" t="s">
        <v>4525</v>
      </c>
      <c r="B1792" s="30" t="s">
        <v>4526</v>
      </c>
      <c r="C1792" s="30" t="s">
        <v>4527</v>
      </c>
      <c r="D1792" s="30" t="s">
        <v>17</v>
      </c>
      <c r="E1792" s="30" t="s">
        <v>26</v>
      </c>
      <c r="F1792" s="30" t="s">
        <v>27</v>
      </c>
      <c r="G1792" s="30" t="s">
        <v>20</v>
      </c>
      <c r="H1792" s="32">
        <v>186</v>
      </c>
      <c r="I1792" s="30" t="s">
        <v>21</v>
      </c>
      <c r="J1792" s="41">
        <v>43853</v>
      </c>
      <c r="K1792" s="30" t="s">
        <v>22</v>
      </c>
    </row>
    <row r="1793" spans="1:11">
      <c r="A1793" s="33" t="s">
        <v>4528</v>
      </c>
      <c r="B1793" s="33" t="s">
        <v>4529</v>
      </c>
      <c r="C1793" s="33" t="s">
        <v>638</v>
      </c>
      <c r="D1793" s="33" t="s">
        <v>17</v>
      </c>
      <c r="E1793" s="33" t="s">
        <v>18</v>
      </c>
      <c r="F1793" s="33" t="s">
        <v>19</v>
      </c>
      <c r="G1793" s="33" t="s">
        <v>20</v>
      </c>
      <c r="H1793" s="35">
        <v>44325</v>
      </c>
      <c r="I1793" s="33" t="s">
        <v>21</v>
      </c>
      <c r="J1793" s="42">
        <v>44081</v>
      </c>
      <c r="K1793" s="33" t="s">
        <v>22</v>
      </c>
    </row>
    <row r="1794" spans="1:11">
      <c r="A1794" s="30" t="s">
        <v>4530</v>
      </c>
      <c r="B1794" s="30" t="s">
        <v>4531</v>
      </c>
      <c r="C1794" s="30" t="s">
        <v>4532</v>
      </c>
      <c r="D1794" s="30" t="s">
        <v>17</v>
      </c>
      <c r="E1794" s="30" t="s">
        <v>26</v>
      </c>
      <c r="F1794" s="30" t="s">
        <v>27</v>
      </c>
      <c r="G1794" s="30" t="s">
        <v>69</v>
      </c>
      <c r="H1794" s="32">
        <v>71</v>
      </c>
      <c r="I1794" s="30" t="s">
        <v>21</v>
      </c>
      <c r="J1794" s="41">
        <v>44000</v>
      </c>
      <c r="K1794" s="30" t="s">
        <v>22</v>
      </c>
    </row>
    <row r="1795" spans="1:11">
      <c r="A1795" s="33" t="s">
        <v>4533</v>
      </c>
      <c r="B1795" s="33" t="s">
        <v>4534</v>
      </c>
      <c r="C1795" s="33" t="s">
        <v>75</v>
      </c>
      <c r="D1795" s="33" t="s">
        <v>17</v>
      </c>
      <c r="E1795" s="33" t="s">
        <v>26</v>
      </c>
      <c r="F1795" s="33" t="s">
        <v>27</v>
      </c>
      <c r="G1795" s="33" t="s">
        <v>20</v>
      </c>
      <c r="H1795" s="35">
        <v>102</v>
      </c>
      <c r="I1795" s="33" t="s">
        <v>21</v>
      </c>
      <c r="J1795" s="42">
        <v>44041</v>
      </c>
      <c r="K1795" s="33" t="s">
        <v>22</v>
      </c>
    </row>
    <row r="1796" spans="1:11">
      <c r="A1796" s="30" t="s">
        <v>4535</v>
      </c>
      <c r="B1796" s="30" t="s">
        <v>4536</v>
      </c>
      <c r="C1796" s="30" t="s">
        <v>353</v>
      </c>
      <c r="D1796" s="30" t="s">
        <v>17</v>
      </c>
      <c r="E1796" s="30" t="s">
        <v>26</v>
      </c>
      <c r="F1796" s="30" t="s">
        <v>27</v>
      </c>
      <c r="G1796" s="30" t="s">
        <v>50</v>
      </c>
      <c r="H1796" s="32">
        <v>40</v>
      </c>
      <c r="I1796" s="30" t="s">
        <v>51</v>
      </c>
      <c r="J1796" s="41">
        <v>44098</v>
      </c>
      <c r="K1796" s="30" t="s">
        <v>22</v>
      </c>
    </row>
    <row r="1797" spans="1:11">
      <c r="A1797" s="33" t="s">
        <v>4537</v>
      </c>
      <c r="B1797" s="33" t="s">
        <v>4538</v>
      </c>
      <c r="C1797" s="33" t="s">
        <v>136</v>
      </c>
      <c r="D1797" s="33" t="s">
        <v>17</v>
      </c>
      <c r="E1797" s="33" t="s">
        <v>26</v>
      </c>
      <c r="F1797" s="33" t="s">
        <v>27</v>
      </c>
      <c r="G1797" s="33" t="s">
        <v>20</v>
      </c>
      <c r="H1797" s="35">
        <v>4</v>
      </c>
      <c r="I1797" s="33" t="s">
        <v>21</v>
      </c>
      <c r="J1797" s="42">
        <v>44049</v>
      </c>
      <c r="K1797" s="33" t="s">
        <v>22</v>
      </c>
    </row>
    <row r="1798" spans="1:11">
      <c r="A1798" s="30" t="s">
        <v>4539</v>
      </c>
      <c r="B1798" s="30" t="s">
        <v>4540</v>
      </c>
      <c r="C1798" s="30" t="s">
        <v>1318</v>
      </c>
      <c r="D1798" s="30" t="s">
        <v>17</v>
      </c>
      <c r="E1798" s="30" t="s">
        <v>67</v>
      </c>
      <c r="F1798" s="30" t="s">
        <v>68</v>
      </c>
      <c r="G1798" s="30" t="s">
        <v>20</v>
      </c>
      <c r="H1798" s="32">
        <v>30</v>
      </c>
      <c r="I1798" s="30" t="s">
        <v>21</v>
      </c>
      <c r="J1798" s="41">
        <v>44074</v>
      </c>
      <c r="K1798" s="30" t="s">
        <v>22</v>
      </c>
    </row>
    <row r="1799" spans="1:11">
      <c r="A1799" s="33" t="s">
        <v>4541</v>
      </c>
      <c r="B1799" s="33" t="s">
        <v>4542</v>
      </c>
      <c r="C1799" s="33" t="s">
        <v>4543</v>
      </c>
      <c r="D1799" s="33" t="s">
        <v>17</v>
      </c>
      <c r="E1799" s="33" t="s">
        <v>31</v>
      </c>
      <c r="F1799" s="33" t="s">
        <v>32</v>
      </c>
      <c r="G1799" s="33" t="s">
        <v>20</v>
      </c>
      <c r="H1799" s="35">
        <v>153</v>
      </c>
      <c r="I1799" s="33" t="s">
        <v>21</v>
      </c>
      <c r="J1799" s="42">
        <v>44057</v>
      </c>
      <c r="K1799" s="33" t="s">
        <v>22</v>
      </c>
    </row>
    <row r="1800" spans="1:11">
      <c r="A1800" s="30" t="s">
        <v>4544</v>
      </c>
      <c r="B1800" s="30" t="s">
        <v>4545</v>
      </c>
      <c r="C1800" s="30" t="s">
        <v>178</v>
      </c>
      <c r="D1800" s="30" t="s">
        <v>17</v>
      </c>
      <c r="E1800" s="30" t="s">
        <v>31</v>
      </c>
      <c r="F1800" s="30" t="s">
        <v>32</v>
      </c>
      <c r="G1800" s="30" t="s">
        <v>20</v>
      </c>
      <c r="H1800" s="32">
        <v>99</v>
      </c>
      <c r="I1800" s="30" t="s">
        <v>21</v>
      </c>
      <c r="J1800" s="41">
        <v>44160</v>
      </c>
      <c r="K1800" s="30" t="s">
        <v>22</v>
      </c>
    </row>
    <row r="1801" spans="1:11">
      <c r="A1801" s="33" t="s">
        <v>4546</v>
      </c>
      <c r="B1801" s="33" t="s">
        <v>4547</v>
      </c>
      <c r="C1801" s="33" t="s">
        <v>178</v>
      </c>
      <c r="D1801" s="33" t="s">
        <v>17</v>
      </c>
      <c r="E1801" s="33" t="s">
        <v>26</v>
      </c>
      <c r="F1801" s="33" t="s">
        <v>27</v>
      </c>
      <c r="G1801" s="33" t="s">
        <v>20</v>
      </c>
      <c r="H1801" s="35">
        <v>55</v>
      </c>
      <c r="I1801" s="33" t="s">
        <v>21</v>
      </c>
      <c r="J1801" s="42">
        <v>44028</v>
      </c>
      <c r="K1801" s="33" t="s">
        <v>22</v>
      </c>
    </row>
    <row r="1802" spans="1:11">
      <c r="A1802" s="30" t="s">
        <v>4548</v>
      </c>
      <c r="B1802" s="30" t="s">
        <v>4549</v>
      </c>
      <c r="C1802" s="30" t="s">
        <v>4550</v>
      </c>
      <c r="D1802" s="30" t="s">
        <v>17</v>
      </c>
      <c r="E1802" s="30" t="s">
        <v>31</v>
      </c>
      <c r="F1802" s="30" t="s">
        <v>32</v>
      </c>
      <c r="G1802" s="30" t="s">
        <v>106</v>
      </c>
      <c r="H1802" s="32">
        <v>54</v>
      </c>
      <c r="I1802" s="30" t="s">
        <v>21</v>
      </c>
      <c r="J1802" s="41">
        <v>44103</v>
      </c>
      <c r="K1802" s="30" t="s">
        <v>22</v>
      </c>
    </row>
    <row r="1803" spans="1:11">
      <c r="A1803" s="33" t="s">
        <v>4551</v>
      </c>
      <c r="B1803" s="33" t="s">
        <v>4552</v>
      </c>
      <c r="C1803" s="33" t="s">
        <v>178</v>
      </c>
      <c r="D1803" s="33" t="s">
        <v>17</v>
      </c>
      <c r="E1803" s="33" t="s">
        <v>31</v>
      </c>
      <c r="F1803" s="33" t="s">
        <v>32</v>
      </c>
      <c r="G1803" s="33" t="s">
        <v>20</v>
      </c>
      <c r="H1803" s="35">
        <v>281</v>
      </c>
      <c r="I1803" s="33" t="s">
        <v>21</v>
      </c>
      <c r="J1803" s="42">
        <v>44017</v>
      </c>
      <c r="K1803" s="33" t="s">
        <v>22</v>
      </c>
    </row>
    <row r="1804" spans="1:11">
      <c r="A1804" s="30" t="s">
        <v>4553</v>
      </c>
      <c r="B1804" s="30" t="s">
        <v>4554</v>
      </c>
      <c r="C1804" s="30" t="s">
        <v>60</v>
      </c>
      <c r="D1804" s="30" t="s">
        <v>17</v>
      </c>
      <c r="E1804" s="30" t="s">
        <v>18</v>
      </c>
      <c r="F1804" s="30" t="s">
        <v>19</v>
      </c>
      <c r="G1804" s="30" t="s">
        <v>20</v>
      </c>
      <c r="H1804" s="32">
        <v>64</v>
      </c>
      <c r="I1804" s="30" t="s">
        <v>21</v>
      </c>
      <c r="J1804" s="41">
        <v>43878</v>
      </c>
      <c r="K1804" s="30" t="s">
        <v>22</v>
      </c>
    </row>
    <row r="1805" spans="1:11">
      <c r="A1805" s="33" t="s">
        <v>4555</v>
      </c>
      <c r="B1805" s="33" t="s">
        <v>4556</v>
      </c>
      <c r="C1805" s="33" t="s">
        <v>4557</v>
      </c>
      <c r="D1805" s="33" t="s">
        <v>17</v>
      </c>
      <c r="E1805" s="33" t="s">
        <v>18</v>
      </c>
      <c r="F1805" s="33" t="s">
        <v>19</v>
      </c>
      <c r="G1805" s="33" t="s">
        <v>158</v>
      </c>
      <c r="H1805" s="35">
        <v>615</v>
      </c>
      <c r="I1805" s="33" t="s">
        <v>21</v>
      </c>
      <c r="J1805" s="42">
        <v>44068</v>
      </c>
      <c r="K1805" s="33" t="s">
        <v>22</v>
      </c>
    </row>
    <row r="1806" spans="1:11">
      <c r="A1806" s="30" t="s">
        <v>4558</v>
      </c>
      <c r="B1806" s="30" t="s">
        <v>4559</v>
      </c>
      <c r="C1806" s="30" t="s">
        <v>96</v>
      </c>
      <c r="D1806" s="30" t="s">
        <v>17</v>
      </c>
      <c r="E1806" s="30" t="s">
        <v>31</v>
      </c>
      <c r="F1806" s="30" t="s">
        <v>32</v>
      </c>
      <c r="G1806" s="30" t="s">
        <v>20</v>
      </c>
      <c r="H1806" s="32">
        <v>309</v>
      </c>
      <c r="I1806" s="30" t="s">
        <v>21</v>
      </c>
      <c r="J1806" s="41">
        <v>43999</v>
      </c>
      <c r="K1806" s="30" t="s">
        <v>22</v>
      </c>
    </row>
    <row r="1807" spans="1:11">
      <c r="A1807" s="33" t="s">
        <v>4560</v>
      </c>
      <c r="B1807" s="33" t="s">
        <v>4561</v>
      </c>
      <c r="C1807" s="33" t="s">
        <v>4562</v>
      </c>
      <c r="D1807" s="33" t="s">
        <v>17</v>
      </c>
      <c r="E1807" s="33" t="s">
        <v>31</v>
      </c>
      <c r="F1807" s="33" t="s">
        <v>32</v>
      </c>
      <c r="G1807" s="33" t="s">
        <v>20</v>
      </c>
      <c r="H1807" s="35">
        <v>85</v>
      </c>
      <c r="I1807" s="33" t="s">
        <v>21</v>
      </c>
      <c r="J1807" s="42">
        <v>43958</v>
      </c>
      <c r="K1807" s="33" t="s">
        <v>22</v>
      </c>
    </row>
    <row r="1808" spans="1:11">
      <c r="A1808" s="30" t="s">
        <v>4563</v>
      </c>
      <c r="B1808" s="30" t="s">
        <v>4564</v>
      </c>
      <c r="C1808" s="30" t="s">
        <v>4565</v>
      </c>
      <c r="D1808" s="30" t="s">
        <v>17</v>
      </c>
      <c r="E1808" s="30" t="s">
        <v>31</v>
      </c>
      <c r="F1808" s="30" t="s">
        <v>32</v>
      </c>
      <c r="G1808" s="30" t="s">
        <v>20</v>
      </c>
      <c r="H1808" s="32">
        <v>62</v>
      </c>
      <c r="I1808" s="30" t="s">
        <v>21</v>
      </c>
      <c r="J1808" s="41">
        <v>44158</v>
      </c>
      <c r="K1808" s="30" t="s">
        <v>22</v>
      </c>
    </row>
    <row r="1809" spans="1:11">
      <c r="A1809" s="33" t="s">
        <v>4566</v>
      </c>
      <c r="B1809" s="33" t="s">
        <v>4567</v>
      </c>
      <c r="C1809" s="33" t="s">
        <v>4568</v>
      </c>
      <c r="D1809" s="33" t="s">
        <v>17</v>
      </c>
      <c r="E1809" s="33" t="s">
        <v>18</v>
      </c>
      <c r="F1809" s="33" t="s">
        <v>19</v>
      </c>
      <c r="G1809" s="33" t="s">
        <v>106</v>
      </c>
      <c r="H1809" s="35">
        <v>29</v>
      </c>
      <c r="I1809" s="33" t="s">
        <v>21</v>
      </c>
      <c r="J1809" s="42">
        <v>44183</v>
      </c>
      <c r="K1809" s="33" t="s">
        <v>22</v>
      </c>
    </row>
    <row r="1810" spans="1:11">
      <c r="A1810" s="30" t="s">
        <v>4569</v>
      </c>
      <c r="B1810" s="30" t="s">
        <v>4570</v>
      </c>
      <c r="C1810" s="30" t="s">
        <v>4571</v>
      </c>
      <c r="D1810" s="30" t="s">
        <v>17</v>
      </c>
      <c r="E1810" s="30" t="s">
        <v>26</v>
      </c>
      <c r="F1810" s="30" t="s">
        <v>27</v>
      </c>
      <c r="G1810" s="30" t="s">
        <v>20</v>
      </c>
      <c r="H1810" s="32">
        <v>14</v>
      </c>
      <c r="I1810" s="30" t="s">
        <v>21</v>
      </c>
      <c r="J1810" s="41">
        <v>44145</v>
      </c>
      <c r="K1810" s="30" t="s">
        <v>22</v>
      </c>
    </row>
    <row r="1811" spans="1:11">
      <c r="A1811" s="33" t="s">
        <v>4572</v>
      </c>
      <c r="B1811" s="33" t="s">
        <v>4573</v>
      </c>
      <c r="C1811" s="33" t="s">
        <v>109</v>
      </c>
      <c r="D1811" s="33" t="s">
        <v>17</v>
      </c>
      <c r="E1811" s="33" t="s">
        <v>31</v>
      </c>
      <c r="F1811" s="33" t="s">
        <v>32</v>
      </c>
      <c r="G1811" s="33" t="s">
        <v>106</v>
      </c>
      <c r="H1811" s="35">
        <v>5</v>
      </c>
      <c r="I1811" s="33" t="s">
        <v>21</v>
      </c>
      <c r="J1811" s="42">
        <v>44123</v>
      </c>
      <c r="K1811" s="33" t="s">
        <v>22</v>
      </c>
    </row>
    <row r="1812" spans="1:11">
      <c r="A1812" s="30" t="s">
        <v>4574</v>
      </c>
      <c r="B1812" s="30" t="s">
        <v>4575</v>
      </c>
      <c r="C1812" s="30" t="s">
        <v>4576</v>
      </c>
      <c r="D1812" s="30" t="s">
        <v>17</v>
      </c>
      <c r="E1812" s="30" t="s">
        <v>26</v>
      </c>
      <c r="F1812" s="30" t="s">
        <v>27</v>
      </c>
      <c r="G1812" s="30" t="s">
        <v>158</v>
      </c>
      <c r="H1812" s="32">
        <v>11</v>
      </c>
      <c r="I1812" s="30" t="s">
        <v>21</v>
      </c>
      <c r="J1812" s="41">
        <v>43922</v>
      </c>
      <c r="K1812" s="30" t="s">
        <v>22</v>
      </c>
    </row>
    <row r="1813" spans="1:11">
      <c r="A1813" s="33" t="s">
        <v>4577</v>
      </c>
      <c r="B1813" s="33" t="s">
        <v>4578</v>
      </c>
      <c r="C1813" s="33" t="s">
        <v>222</v>
      </c>
      <c r="D1813" s="33" t="s">
        <v>17</v>
      </c>
      <c r="E1813" s="33" t="s">
        <v>212</v>
      </c>
      <c r="F1813" s="33" t="s">
        <v>213</v>
      </c>
      <c r="G1813" s="33" t="s">
        <v>20</v>
      </c>
      <c r="H1813" s="35">
        <v>32</v>
      </c>
      <c r="I1813" s="33" t="s">
        <v>21</v>
      </c>
      <c r="J1813" s="42">
        <v>44124</v>
      </c>
      <c r="K1813" s="33" t="s">
        <v>22</v>
      </c>
    </row>
    <row r="1814" spans="1:11">
      <c r="A1814" s="30" t="s">
        <v>4579</v>
      </c>
      <c r="B1814" s="30" t="s">
        <v>4580</v>
      </c>
      <c r="C1814" s="30" t="s">
        <v>102</v>
      </c>
      <c r="D1814" s="30" t="s">
        <v>17</v>
      </c>
      <c r="E1814" s="30" t="s">
        <v>26</v>
      </c>
      <c r="F1814" s="30" t="s">
        <v>27</v>
      </c>
      <c r="G1814" s="30" t="s">
        <v>20</v>
      </c>
      <c r="H1814" s="32">
        <v>12</v>
      </c>
      <c r="I1814" s="30" t="s">
        <v>21</v>
      </c>
      <c r="J1814" s="41">
        <v>44125</v>
      </c>
      <c r="K1814" s="30" t="s">
        <v>22</v>
      </c>
    </row>
    <row r="1815" spans="1:11">
      <c r="A1815" s="33" t="s">
        <v>4581</v>
      </c>
      <c r="B1815" s="33" t="s">
        <v>4582</v>
      </c>
      <c r="C1815" s="33" t="s">
        <v>190</v>
      </c>
      <c r="D1815" s="33" t="s">
        <v>17</v>
      </c>
      <c r="E1815" s="33" t="s">
        <v>18</v>
      </c>
      <c r="F1815" s="33" t="s">
        <v>19</v>
      </c>
      <c r="G1815" s="33" t="s">
        <v>20</v>
      </c>
      <c r="H1815" s="35">
        <v>5197</v>
      </c>
      <c r="I1815" s="33" t="s">
        <v>21</v>
      </c>
      <c r="J1815" s="42">
        <v>44156</v>
      </c>
      <c r="K1815" s="33" t="s">
        <v>22</v>
      </c>
    </row>
    <row r="1816" spans="1:11">
      <c r="A1816" s="30" t="s">
        <v>4583</v>
      </c>
      <c r="B1816" s="30" t="s">
        <v>4584</v>
      </c>
      <c r="C1816" s="30" t="s">
        <v>2618</v>
      </c>
      <c r="D1816" s="30" t="s">
        <v>17</v>
      </c>
      <c r="E1816" s="30" t="s">
        <v>26</v>
      </c>
      <c r="F1816" s="30" t="s">
        <v>27</v>
      </c>
      <c r="G1816" s="30" t="s">
        <v>20</v>
      </c>
      <c r="H1816" s="32">
        <v>58</v>
      </c>
      <c r="I1816" s="30" t="s">
        <v>21</v>
      </c>
      <c r="J1816" s="41">
        <v>44022</v>
      </c>
      <c r="K1816" s="30" t="s">
        <v>22</v>
      </c>
    </row>
    <row r="1817" spans="1:11">
      <c r="A1817" s="33" t="s">
        <v>4585</v>
      </c>
      <c r="B1817" s="33" t="s">
        <v>4586</v>
      </c>
      <c r="C1817" s="33" t="s">
        <v>1813</v>
      </c>
      <c r="D1817" s="33" t="s">
        <v>17</v>
      </c>
      <c r="E1817" s="33" t="s">
        <v>330</v>
      </c>
      <c r="F1817" s="33" t="s">
        <v>331</v>
      </c>
      <c r="G1817" s="33" t="s">
        <v>69</v>
      </c>
      <c r="H1817" s="35">
        <v>200</v>
      </c>
      <c r="I1817" s="33" t="s">
        <v>51</v>
      </c>
      <c r="J1817" s="42">
        <v>43941</v>
      </c>
      <c r="K1817" s="33" t="s">
        <v>22</v>
      </c>
    </row>
    <row r="1818" spans="1:11">
      <c r="A1818" s="30" t="s">
        <v>4587</v>
      </c>
      <c r="B1818" s="30" t="s">
        <v>4588</v>
      </c>
      <c r="C1818" s="30" t="s">
        <v>4589</v>
      </c>
      <c r="D1818" s="30" t="s">
        <v>17</v>
      </c>
      <c r="E1818" s="30" t="s">
        <v>18</v>
      </c>
      <c r="F1818" s="30" t="s">
        <v>19</v>
      </c>
      <c r="G1818" s="30" t="s">
        <v>20</v>
      </c>
      <c r="H1818" s="32">
        <v>746</v>
      </c>
      <c r="I1818" s="30" t="s">
        <v>21</v>
      </c>
      <c r="J1818" s="41">
        <v>43900</v>
      </c>
      <c r="K1818" s="30" t="s">
        <v>22</v>
      </c>
    </row>
    <row r="1819" spans="1:11">
      <c r="A1819" s="33" t="s">
        <v>4590</v>
      </c>
      <c r="B1819" s="33" t="s">
        <v>4591</v>
      </c>
      <c r="C1819" s="33" t="s">
        <v>96</v>
      </c>
      <c r="D1819" s="33" t="s">
        <v>17</v>
      </c>
      <c r="E1819" s="33" t="s">
        <v>18</v>
      </c>
      <c r="F1819" s="33" t="s">
        <v>19</v>
      </c>
      <c r="G1819" s="33" t="s">
        <v>158</v>
      </c>
      <c r="H1819" s="35">
        <v>77</v>
      </c>
      <c r="I1819" s="33" t="s">
        <v>21</v>
      </c>
      <c r="J1819" s="42">
        <v>44061</v>
      </c>
      <c r="K1819" s="33" t="s">
        <v>22</v>
      </c>
    </row>
    <row r="1820" spans="1:11">
      <c r="A1820" s="30" t="s">
        <v>4592</v>
      </c>
      <c r="B1820" s="30" t="s">
        <v>4593</v>
      </c>
      <c r="C1820" s="30" t="s">
        <v>450</v>
      </c>
      <c r="D1820" s="30" t="s">
        <v>17</v>
      </c>
      <c r="E1820" s="30" t="s">
        <v>31</v>
      </c>
      <c r="F1820" s="30" t="s">
        <v>32</v>
      </c>
      <c r="G1820" s="30" t="s">
        <v>20</v>
      </c>
      <c r="H1820" s="32">
        <v>31</v>
      </c>
      <c r="I1820" s="30" t="s">
        <v>21</v>
      </c>
      <c r="J1820" s="41">
        <v>44167</v>
      </c>
      <c r="K1820" s="30" t="s">
        <v>22</v>
      </c>
    </row>
    <row r="1821" spans="1:11">
      <c r="A1821" s="33" t="s">
        <v>4594</v>
      </c>
      <c r="B1821" s="33" t="s">
        <v>4595</v>
      </c>
      <c r="C1821" s="33" t="s">
        <v>4596</v>
      </c>
      <c r="D1821" s="33" t="s">
        <v>17</v>
      </c>
      <c r="E1821" s="33" t="s">
        <v>26</v>
      </c>
      <c r="F1821" s="33" t="s">
        <v>27</v>
      </c>
      <c r="G1821" s="33" t="s">
        <v>20</v>
      </c>
      <c r="H1821" s="35">
        <v>32</v>
      </c>
      <c r="I1821" s="33" t="s">
        <v>21</v>
      </c>
      <c r="J1821" s="42">
        <v>44089</v>
      </c>
      <c r="K1821" s="33" t="s">
        <v>22</v>
      </c>
    </row>
    <row r="1822" spans="1:11">
      <c r="A1822" s="30" t="s">
        <v>4597</v>
      </c>
      <c r="B1822" s="30" t="s">
        <v>4598</v>
      </c>
      <c r="C1822" s="30" t="s">
        <v>1295</v>
      </c>
      <c r="D1822" s="30" t="s">
        <v>17</v>
      </c>
      <c r="E1822" s="30" t="s">
        <v>31</v>
      </c>
      <c r="F1822" s="30" t="s">
        <v>32</v>
      </c>
      <c r="G1822" s="30" t="s">
        <v>106</v>
      </c>
      <c r="H1822" s="32">
        <v>64</v>
      </c>
      <c r="I1822" s="30" t="s">
        <v>21</v>
      </c>
      <c r="J1822" s="41">
        <v>43858</v>
      </c>
      <c r="K1822" s="30" t="s">
        <v>22</v>
      </c>
    </row>
    <row r="1823" spans="1:11">
      <c r="A1823" s="33" t="s">
        <v>4599</v>
      </c>
      <c r="B1823" s="33" t="s">
        <v>4600</v>
      </c>
      <c r="C1823" s="33" t="s">
        <v>969</v>
      </c>
      <c r="D1823" s="33" t="s">
        <v>17</v>
      </c>
      <c r="E1823" s="33" t="s">
        <v>26</v>
      </c>
      <c r="F1823" s="33" t="s">
        <v>27</v>
      </c>
      <c r="G1823" s="33" t="s">
        <v>106</v>
      </c>
      <c r="H1823" s="35">
        <v>16</v>
      </c>
      <c r="I1823" s="33" t="s">
        <v>21</v>
      </c>
      <c r="J1823" s="42">
        <v>44081</v>
      </c>
      <c r="K1823" s="33" t="s">
        <v>22</v>
      </c>
    </row>
    <row r="1824" spans="1:11">
      <c r="A1824" s="30" t="s">
        <v>4601</v>
      </c>
      <c r="B1824" s="30" t="s">
        <v>4602</v>
      </c>
      <c r="C1824" s="30" t="s">
        <v>4603</v>
      </c>
      <c r="D1824" s="30" t="s">
        <v>17</v>
      </c>
      <c r="E1824" s="30" t="s">
        <v>67</v>
      </c>
      <c r="F1824" s="30" t="s">
        <v>68</v>
      </c>
      <c r="G1824" s="30" t="s">
        <v>20</v>
      </c>
      <c r="H1824" s="32">
        <v>16</v>
      </c>
      <c r="I1824" s="30" t="s">
        <v>21</v>
      </c>
      <c r="J1824" s="41">
        <v>43887</v>
      </c>
      <c r="K1824" s="30" t="s">
        <v>22</v>
      </c>
    </row>
    <row r="1825" spans="1:11">
      <c r="A1825" s="33" t="s">
        <v>4604</v>
      </c>
      <c r="B1825" s="33" t="s">
        <v>4605</v>
      </c>
      <c r="C1825" s="33" t="s">
        <v>549</v>
      </c>
      <c r="D1825" s="33" t="s">
        <v>17</v>
      </c>
      <c r="E1825" s="33" t="s">
        <v>67</v>
      </c>
      <c r="F1825" s="33" t="s">
        <v>68</v>
      </c>
      <c r="G1825" s="33" t="s">
        <v>20</v>
      </c>
      <c r="H1825" s="35">
        <v>107</v>
      </c>
      <c r="I1825" s="33" t="s">
        <v>21</v>
      </c>
      <c r="J1825" s="42">
        <v>44162</v>
      </c>
      <c r="K1825" s="33" t="s">
        <v>22</v>
      </c>
    </row>
    <row r="1826" spans="1:11">
      <c r="A1826" s="30" t="s">
        <v>4606</v>
      </c>
      <c r="B1826" s="30" t="s">
        <v>4607</v>
      </c>
      <c r="C1826" s="30" t="s">
        <v>149</v>
      </c>
      <c r="D1826" s="30" t="s">
        <v>17</v>
      </c>
      <c r="E1826" s="30" t="s">
        <v>18</v>
      </c>
      <c r="F1826" s="30" t="s">
        <v>19</v>
      </c>
      <c r="G1826" s="30" t="s">
        <v>140</v>
      </c>
      <c r="H1826" s="32">
        <v>537</v>
      </c>
      <c r="I1826" s="30" t="s">
        <v>51</v>
      </c>
      <c r="J1826" s="41">
        <v>44026</v>
      </c>
      <c r="K1826" s="30" t="s">
        <v>22</v>
      </c>
    </row>
    <row r="1827" spans="1:11">
      <c r="A1827" s="33" t="s">
        <v>4608</v>
      </c>
      <c r="B1827" s="33" t="s">
        <v>4609</v>
      </c>
      <c r="C1827" s="33" t="s">
        <v>2329</v>
      </c>
      <c r="D1827" s="33" t="s">
        <v>17</v>
      </c>
      <c r="E1827" s="33" t="s">
        <v>31</v>
      </c>
      <c r="F1827" s="33" t="s">
        <v>32</v>
      </c>
      <c r="G1827" s="33" t="s">
        <v>158</v>
      </c>
      <c r="H1827" s="35">
        <v>5</v>
      </c>
      <c r="I1827" s="33" t="s">
        <v>51</v>
      </c>
      <c r="J1827" s="42">
        <v>44027</v>
      </c>
      <c r="K1827" s="33" t="s">
        <v>22</v>
      </c>
    </row>
    <row r="1828" spans="1:11">
      <c r="A1828" s="30" t="s">
        <v>4610</v>
      </c>
      <c r="B1828" s="30" t="s">
        <v>4611</v>
      </c>
      <c r="C1828" s="30" t="s">
        <v>4612</v>
      </c>
      <c r="D1828" s="30" t="s">
        <v>17</v>
      </c>
      <c r="E1828" s="30" t="s">
        <v>26</v>
      </c>
      <c r="F1828" s="30" t="s">
        <v>27</v>
      </c>
      <c r="G1828" s="30" t="s">
        <v>20</v>
      </c>
      <c r="H1828" s="32">
        <v>45</v>
      </c>
      <c r="I1828" s="30" t="s">
        <v>21</v>
      </c>
      <c r="J1828" s="41">
        <v>44103</v>
      </c>
      <c r="K1828" s="30" t="s">
        <v>22</v>
      </c>
    </row>
    <row r="1829" spans="1:11">
      <c r="A1829" s="33" t="s">
        <v>4613</v>
      </c>
      <c r="B1829" s="33" t="s">
        <v>4614</v>
      </c>
      <c r="C1829" s="33" t="s">
        <v>4615</v>
      </c>
      <c r="D1829" s="33" t="s">
        <v>17</v>
      </c>
      <c r="E1829" s="33" t="s">
        <v>26</v>
      </c>
      <c r="F1829" s="33" t="s">
        <v>27</v>
      </c>
      <c r="G1829" s="33" t="s">
        <v>106</v>
      </c>
      <c r="H1829" s="35">
        <v>26</v>
      </c>
      <c r="I1829" s="33" t="s">
        <v>21</v>
      </c>
      <c r="J1829" s="42">
        <v>43861</v>
      </c>
      <c r="K1829" s="33" t="s">
        <v>22</v>
      </c>
    </row>
    <row r="1830" spans="1:11">
      <c r="A1830" s="30" t="s">
        <v>4616</v>
      </c>
      <c r="B1830" s="30" t="s">
        <v>4617</v>
      </c>
      <c r="C1830" s="30" t="s">
        <v>102</v>
      </c>
      <c r="D1830" s="30" t="s">
        <v>17</v>
      </c>
      <c r="E1830" s="30" t="s">
        <v>26</v>
      </c>
      <c r="F1830" s="30" t="s">
        <v>27</v>
      </c>
      <c r="G1830" s="30" t="s">
        <v>20</v>
      </c>
      <c r="H1830" s="32">
        <v>69</v>
      </c>
      <c r="I1830" s="30" t="s">
        <v>21</v>
      </c>
      <c r="J1830" s="41">
        <v>44088</v>
      </c>
      <c r="K1830" s="30" t="s">
        <v>22</v>
      </c>
    </row>
    <row r="1831" spans="1:11">
      <c r="A1831" s="33" t="s">
        <v>4618</v>
      </c>
      <c r="B1831" s="33" t="s">
        <v>4619</v>
      </c>
      <c r="C1831" s="33" t="s">
        <v>105</v>
      </c>
      <c r="D1831" s="33" t="s">
        <v>17</v>
      </c>
      <c r="E1831" s="33" t="s">
        <v>67</v>
      </c>
      <c r="F1831" s="33" t="s">
        <v>68</v>
      </c>
      <c r="G1831" s="33" t="s">
        <v>20</v>
      </c>
      <c r="H1831" s="35">
        <v>72</v>
      </c>
      <c r="I1831" s="33" t="s">
        <v>21</v>
      </c>
      <c r="J1831" s="42">
        <v>43979</v>
      </c>
      <c r="K1831" s="33" t="s">
        <v>22</v>
      </c>
    </row>
    <row r="1832" spans="1:11">
      <c r="A1832" s="30" t="s">
        <v>4620</v>
      </c>
      <c r="B1832" s="30" t="s">
        <v>4621</v>
      </c>
      <c r="C1832" s="30" t="s">
        <v>4622</v>
      </c>
      <c r="D1832" s="30" t="s">
        <v>17</v>
      </c>
      <c r="E1832" s="30" t="s">
        <v>31</v>
      </c>
      <c r="F1832" s="30" t="s">
        <v>32</v>
      </c>
      <c r="G1832" s="30" t="s">
        <v>20</v>
      </c>
      <c r="H1832" s="32">
        <v>96</v>
      </c>
      <c r="I1832" s="30" t="s">
        <v>21</v>
      </c>
      <c r="J1832" s="41">
        <v>43992</v>
      </c>
      <c r="K1832" s="30" t="s">
        <v>22</v>
      </c>
    </row>
    <row r="1833" spans="1:11">
      <c r="A1833" s="33" t="s">
        <v>4623</v>
      </c>
      <c r="B1833" s="33" t="s">
        <v>4624</v>
      </c>
      <c r="C1833" s="33" t="s">
        <v>2695</v>
      </c>
      <c r="D1833" s="33" t="s">
        <v>17</v>
      </c>
      <c r="E1833" s="33" t="s">
        <v>31</v>
      </c>
      <c r="F1833" s="33" t="s">
        <v>32</v>
      </c>
      <c r="G1833" s="33" t="s">
        <v>106</v>
      </c>
      <c r="H1833" s="35">
        <v>122</v>
      </c>
      <c r="I1833" s="33" t="s">
        <v>21</v>
      </c>
      <c r="J1833" s="42">
        <v>44120</v>
      </c>
      <c r="K1833" s="33" t="s">
        <v>22</v>
      </c>
    </row>
    <row r="1834" spans="1:11">
      <c r="A1834" s="30" t="s">
        <v>4625</v>
      </c>
      <c r="B1834" s="30" t="s">
        <v>4626</v>
      </c>
      <c r="C1834" s="30" t="s">
        <v>4627</v>
      </c>
      <c r="D1834" s="30" t="s">
        <v>17</v>
      </c>
      <c r="E1834" s="30" t="s">
        <v>26</v>
      </c>
      <c r="F1834" s="30" t="s">
        <v>27</v>
      </c>
      <c r="G1834" s="30" t="s">
        <v>20</v>
      </c>
      <c r="H1834" s="32">
        <v>38</v>
      </c>
      <c r="I1834" s="30" t="s">
        <v>21</v>
      </c>
      <c r="J1834" s="41">
        <v>44081</v>
      </c>
      <c r="K1834" s="30" t="s">
        <v>22</v>
      </c>
    </row>
    <row r="1835" spans="1:11">
      <c r="A1835" s="33" t="s">
        <v>4628</v>
      </c>
      <c r="B1835" s="33" t="s">
        <v>4629</v>
      </c>
      <c r="C1835" s="33" t="s">
        <v>684</v>
      </c>
      <c r="D1835" s="33" t="s">
        <v>17</v>
      </c>
      <c r="E1835" s="33" t="s">
        <v>26</v>
      </c>
      <c r="F1835" s="33" t="s">
        <v>27</v>
      </c>
      <c r="G1835" s="33" t="s">
        <v>20</v>
      </c>
      <c r="H1835" s="35">
        <v>131</v>
      </c>
      <c r="I1835" s="33" t="s">
        <v>21</v>
      </c>
      <c r="J1835" s="42">
        <v>44004</v>
      </c>
      <c r="K1835" s="33" t="s">
        <v>22</v>
      </c>
    </row>
    <row r="1836" spans="1:11">
      <c r="A1836" s="30" t="s">
        <v>4630</v>
      </c>
      <c r="B1836" s="30" t="s">
        <v>4631</v>
      </c>
      <c r="C1836" s="30" t="s">
        <v>109</v>
      </c>
      <c r="D1836" s="30" t="s">
        <v>17</v>
      </c>
      <c r="E1836" s="30" t="s">
        <v>26</v>
      </c>
      <c r="F1836" s="30" t="s">
        <v>27</v>
      </c>
      <c r="G1836" s="30" t="s">
        <v>106</v>
      </c>
      <c r="H1836" s="32">
        <v>96</v>
      </c>
      <c r="I1836" s="30" t="s">
        <v>21</v>
      </c>
      <c r="J1836" s="41">
        <v>44035</v>
      </c>
      <c r="K1836" s="30" t="s">
        <v>22</v>
      </c>
    </row>
    <row r="1837" spans="1:11">
      <c r="A1837" s="33" t="s">
        <v>4632</v>
      </c>
      <c r="B1837" s="33" t="s">
        <v>4633</v>
      </c>
      <c r="C1837" s="33" t="s">
        <v>4634</v>
      </c>
      <c r="D1837" s="33" t="s">
        <v>17</v>
      </c>
      <c r="E1837" s="33" t="s">
        <v>26</v>
      </c>
      <c r="F1837" s="33" t="s">
        <v>27</v>
      </c>
      <c r="G1837" s="33" t="s">
        <v>20</v>
      </c>
      <c r="H1837" s="35">
        <v>30</v>
      </c>
      <c r="I1837" s="33" t="s">
        <v>21</v>
      </c>
      <c r="J1837" s="42">
        <v>44128</v>
      </c>
      <c r="K1837" s="33" t="s">
        <v>22</v>
      </c>
    </row>
    <row r="1838" spans="1:11">
      <c r="A1838" s="30" t="s">
        <v>4635</v>
      </c>
      <c r="B1838" s="30" t="s">
        <v>4636</v>
      </c>
      <c r="C1838" s="30" t="s">
        <v>2812</v>
      </c>
      <c r="D1838" s="30" t="s">
        <v>17</v>
      </c>
      <c r="E1838" s="30" t="s">
        <v>31</v>
      </c>
      <c r="F1838" s="30" t="s">
        <v>32</v>
      </c>
      <c r="G1838" s="30" t="s">
        <v>20</v>
      </c>
      <c r="H1838" s="32">
        <v>44</v>
      </c>
      <c r="I1838" s="30" t="s">
        <v>21</v>
      </c>
      <c r="J1838" s="41">
        <v>44056</v>
      </c>
      <c r="K1838" s="30" t="s">
        <v>22</v>
      </c>
    </row>
    <row r="1839" spans="1:11">
      <c r="A1839" s="33" t="s">
        <v>4637</v>
      </c>
      <c r="B1839" s="33" t="s">
        <v>4638</v>
      </c>
      <c r="C1839" s="33" t="s">
        <v>231</v>
      </c>
      <c r="D1839" s="33" t="s">
        <v>17</v>
      </c>
      <c r="E1839" s="33" t="s">
        <v>212</v>
      </c>
      <c r="F1839" s="33" t="s">
        <v>213</v>
      </c>
      <c r="G1839" s="33" t="s">
        <v>20</v>
      </c>
      <c r="H1839" s="35">
        <v>129</v>
      </c>
      <c r="I1839" s="33" t="s">
        <v>21</v>
      </c>
      <c r="J1839" s="42">
        <v>44109</v>
      </c>
      <c r="K1839" s="33" t="s">
        <v>22</v>
      </c>
    </row>
    <row r="1840" spans="1:11">
      <c r="A1840" s="30" t="s">
        <v>4639</v>
      </c>
      <c r="B1840" s="30" t="s">
        <v>4640</v>
      </c>
      <c r="C1840" s="30" t="s">
        <v>387</v>
      </c>
      <c r="D1840" s="30" t="s">
        <v>17</v>
      </c>
      <c r="E1840" s="30" t="s">
        <v>26</v>
      </c>
      <c r="F1840" s="30" t="s">
        <v>27</v>
      </c>
      <c r="G1840" s="30" t="s">
        <v>20</v>
      </c>
      <c r="H1840" s="32">
        <v>16</v>
      </c>
      <c r="I1840" s="30" t="s">
        <v>21</v>
      </c>
      <c r="J1840" s="41">
        <v>43971</v>
      </c>
      <c r="K1840" s="30" t="s">
        <v>22</v>
      </c>
    </row>
    <row r="1841" spans="1:11">
      <c r="A1841" s="33" t="s">
        <v>4641</v>
      </c>
      <c r="B1841" s="33" t="s">
        <v>4642</v>
      </c>
      <c r="C1841" s="33" t="s">
        <v>187</v>
      </c>
      <c r="D1841" s="33" t="s">
        <v>17</v>
      </c>
      <c r="E1841" s="33" t="s">
        <v>67</v>
      </c>
      <c r="F1841" s="33" t="s">
        <v>68</v>
      </c>
      <c r="G1841" s="33" t="s">
        <v>50</v>
      </c>
      <c r="H1841" s="35">
        <v>90</v>
      </c>
      <c r="I1841" s="33" t="s">
        <v>51</v>
      </c>
      <c r="J1841" s="42">
        <v>43888</v>
      </c>
      <c r="K1841" s="33" t="s">
        <v>22</v>
      </c>
    </row>
    <row r="1842" spans="1:11">
      <c r="A1842" s="30" t="s">
        <v>4643</v>
      </c>
      <c r="B1842" s="30" t="s">
        <v>4644</v>
      </c>
      <c r="C1842" s="30" t="s">
        <v>4645</v>
      </c>
      <c r="D1842" s="30" t="s">
        <v>17</v>
      </c>
      <c r="E1842" s="30" t="s">
        <v>67</v>
      </c>
      <c r="F1842" s="30" t="s">
        <v>68</v>
      </c>
      <c r="G1842" s="30" t="s">
        <v>106</v>
      </c>
      <c r="H1842" s="32">
        <v>524</v>
      </c>
      <c r="I1842" s="30" t="s">
        <v>21</v>
      </c>
      <c r="J1842" s="41">
        <v>44136</v>
      </c>
      <c r="K1842" s="30" t="s">
        <v>22</v>
      </c>
    </row>
    <row r="1843" spans="1:11">
      <c r="A1843" s="33" t="s">
        <v>4646</v>
      </c>
      <c r="B1843" s="33" t="s">
        <v>4647</v>
      </c>
      <c r="C1843" s="33" t="s">
        <v>4648</v>
      </c>
      <c r="D1843" s="33" t="s">
        <v>17</v>
      </c>
      <c r="E1843" s="33" t="s">
        <v>26</v>
      </c>
      <c r="F1843" s="33" t="s">
        <v>27</v>
      </c>
      <c r="G1843" s="33" t="s">
        <v>20</v>
      </c>
      <c r="H1843" s="35">
        <v>19</v>
      </c>
      <c r="I1843" s="33" t="s">
        <v>21</v>
      </c>
      <c r="J1843" s="42">
        <v>44077</v>
      </c>
      <c r="K1843" s="33" t="s">
        <v>22</v>
      </c>
    </row>
    <row r="1844" spans="1:11">
      <c r="A1844" s="30" t="s">
        <v>4649</v>
      </c>
      <c r="B1844" s="30" t="s">
        <v>4650</v>
      </c>
      <c r="C1844" s="30" t="s">
        <v>407</v>
      </c>
      <c r="D1844" s="30" t="s">
        <v>17</v>
      </c>
      <c r="E1844" s="30" t="s">
        <v>26</v>
      </c>
      <c r="F1844" s="30" t="s">
        <v>27</v>
      </c>
      <c r="G1844" s="30" t="s">
        <v>50</v>
      </c>
      <c r="H1844" s="32">
        <v>44</v>
      </c>
      <c r="I1844" s="30" t="s">
        <v>51</v>
      </c>
      <c r="J1844" s="41">
        <v>44105</v>
      </c>
      <c r="K1844" s="30" t="s">
        <v>22</v>
      </c>
    </row>
    <row r="1845" spans="1:11">
      <c r="A1845" s="33" t="s">
        <v>4651</v>
      </c>
      <c r="B1845" s="33" t="s">
        <v>4652</v>
      </c>
      <c r="C1845" s="33" t="s">
        <v>75</v>
      </c>
      <c r="D1845" s="33" t="s">
        <v>17</v>
      </c>
      <c r="E1845" s="33" t="s">
        <v>31</v>
      </c>
      <c r="F1845" s="33" t="s">
        <v>32</v>
      </c>
      <c r="G1845" s="33" t="s">
        <v>106</v>
      </c>
      <c r="H1845" s="35">
        <v>5</v>
      </c>
      <c r="I1845" s="33" t="s">
        <v>21</v>
      </c>
      <c r="J1845" s="42">
        <v>44077</v>
      </c>
      <c r="K1845" s="33" t="s">
        <v>22</v>
      </c>
    </row>
    <row r="1846" spans="1:11">
      <c r="A1846" s="30" t="s">
        <v>4653</v>
      </c>
      <c r="B1846" s="30" t="s">
        <v>4654</v>
      </c>
      <c r="C1846" s="30" t="s">
        <v>149</v>
      </c>
      <c r="D1846" s="30" t="s">
        <v>17</v>
      </c>
      <c r="E1846" s="30" t="s">
        <v>26</v>
      </c>
      <c r="F1846" s="30" t="s">
        <v>27</v>
      </c>
      <c r="G1846" s="30" t="s">
        <v>50</v>
      </c>
      <c r="H1846" s="32">
        <v>24</v>
      </c>
      <c r="I1846" s="30" t="s">
        <v>21</v>
      </c>
      <c r="J1846" s="41">
        <v>44047</v>
      </c>
      <c r="K1846" s="30" t="s">
        <v>22</v>
      </c>
    </row>
    <row r="1847" spans="1:11">
      <c r="A1847" s="33" t="s">
        <v>4655</v>
      </c>
      <c r="B1847" s="33" t="s">
        <v>4656</v>
      </c>
      <c r="C1847" s="33" t="s">
        <v>3190</v>
      </c>
      <c r="D1847" s="33" t="s">
        <v>17</v>
      </c>
      <c r="E1847" s="33" t="s">
        <v>26</v>
      </c>
      <c r="F1847" s="33" t="s">
        <v>27</v>
      </c>
      <c r="G1847" s="33" t="s">
        <v>20</v>
      </c>
      <c r="H1847" s="35">
        <v>12</v>
      </c>
      <c r="I1847" s="33" t="s">
        <v>21</v>
      </c>
      <c r="J1847" s="42">
        <v>43973</v>
      </c>
      <c r="K1847" s="33" t="s">
        <v>22</v>
      </c>
    </row>
    <row r="1848" spans="1:11">
      <c r="A1848" s="30" t="s">
        <v>4657</v>
      </c>
      <c r="B1848" s="30" t="s">
        <v>4658</v>
      </c>
      <c r="C1848" s="30" t="s">
        <v>567</v>
      </c>
      <c r="D1848" s="30" t="s">
        <v>17</v>
      </c>
      <c r="E1848" s="30" t="s">
        <v>31</v>
      </c>
      <c r="F1848" s="30" t="s">
        <v>32</v>
      </c>
      <c r="G1848" s="30" t="s">
        <v>20</v>
      </c>
      <c r="H1848" s="32">
        <v>33</v>
      </c>
      <c r="I1848" s="30" t="s">
        <v>21</v>
      </c>
      <c r="J1848" s="41">
        <v>44097</v>
      </c>
      <c r="K1848" s="30" t="s">
        <v>22</v>
      </c>
    </row>
    <row r="1849" spans="1:11">
      <c r="A1849" s="33" t="s">
        <v>4659</v>
      </c>
      <c r="B1849" s="33" t="s">
        <v>4660</v>
      </c>
      <c r="C1849" s="33" t="s">
        <v>4661</v>
      </c>
      <c r="D1849" s="33" t="s">
        <v>17</v>
      </c>
      <c r="E1849" s="33" t="s">
        <v>26</v>
      </c>
      <c r="F1849" s="33" t="s">
        <v>27</v>
      </c>
      <c r="G1849" s="33" t="s">
        <v>20</v>
      </c>
      <c r="H1849" s="35">
        <v>185</v>
      </c>
      <c r="I1849" s="33" t="s">
        <v>21</v>
      </c>
      <c r="J1849" s="42">
        <v>43920</v>
      </c>
      <c r="K1849" s="33" t="s">
        <v>22</v>
      </c>
    </row>
    <row r="1850" spans="1:11">
      <c r="A1850" s="30" t="s">
        <v>4662</v>
      </c>
      <c r="B1850" s="30" t="s">
        <v>4663</v>
      </c>
      <c r="C1850" s="30" t="s">
        <v>1598</v>
      </c>
      <c r="D1850" s="30" t="s">
        <v>17</v>
      </c>
      <c r="E1850" s="30" t="s">
        <v>31</v>
      </c>
      <c r="F1850" s="30" t="s">
        <v>32</v>
      </c>
      <c r="G1850" s="30" t="s">
        <v>106</v>
      </c>
      <c r="H1850" s="32">
        <v>4</v>
      </c>
      <c r="I1850" s="30" t="s">
        <v>21</v>
      </c>
      <c r="J1850" s="41">
        <v>44070</v>
      </c>
      <c r="K1850" s="30" t="s">
        <v>22</v>
      </c>
    </row>
    <row r="1851" spans="1:11">
      <c r="A1851" s="33" t="s">
        <v>4664</v>
      </c>
      <c r="B1851" s="33" t="s">
        <v>4665</v>
      </c>
      <c r="C1851" s="33" t="s">
        <v>1469</v>
      </c>
      <c r="D1851" s="33" t="s">
        <v>17</v>
      </c>
      <c r="E1851" s="33" t="s">
        <v>212</v>
      </c>
      <c r="F1851" s="33" t="s">
        <v>213</v>
      </c>
      <c r="G1851" s="33" t="s">
        <v>20</v>
      </c>
      <c r="H1851" s="35">
        <v>202</v>
      </c>
      <c r="I1851" s="33" t="s">
        <v>21</v>
      </c>
      <c r="J1851" s="42">
        <v>44041</v>
      </c>
      <c r="K1851" s="33" t="s">
        <v>22</v>
      </c>
    </row>
    <row r="1852" spans="1:11">
      <c r="A1852" s="30" t="s">
        <v>4666</v>
      </c>
      <c r="B1852" s="30" t="s">
        <v>4667</v>
      </c>
      <c r="C1852" s="30" t="s">
        <v>4668</v>
      </c>
      <c r="D1852" s="30" t="s">
        <v>17</v>
      </c>
      <c r="E1852" s="30" t="s">
        <v>67</v>
      </c>
      <c r="F1852" s="30" t="s">
        <v>68</v>
      </c>
      <c r="G1852" s="30" t="s">
        <v>20</v>
      </c>
      <c r="H1852" s="32">
        <v>230</v>
      </c>
      <c r="I1852" s="30" t="s">
        <v>21</v>
      </c>
      <c r="J1852" s="41">
        <v>43922</v>
      </c>
      <c r="K1852" s="30" t="s">
        <v>22</v>
      </c>
    </row>
    <row r="1853" spans="1:11">
      <c r="A1853" s="33" t="s">
        <v>4669</v>
      </c>
      <c r="B1853" s="33" t="s">
        <v>4670</v>
      </c>
      <c r="C1853" s="33" t="s">
        <v>4671</v>
      </c>
      <c r="D1853" s="33" t="s">
        <v>17</v>
      </c>
      <c r="E1853" s="33" t="s">
        <v>26</v>
      </c>
      <c r="F1853" s="33" t="s">
        <v>27</v>
      </c>
      <c r="G1853" s="33" t="s">
        <v>20</v>
      </c>
      <c r="H1853" s="35">
        <v>32</v>
      </c>
      <c r="I1853" s="33" t="s">
        <v>21</v>
      </c>
      <c r="J1853" s="42">
        <v>44046</v>
      </c>
      <c r="K1853" s="33" t="s">
        <v>22</v>
      </c>
    </row>
    <row r="1854" spans="1:11">
      <c r="A1854" s="30" t="s">
        <v>4672</v>
      </c>
      <c r="B1854" s="30" t="s">
        <v>4673</v>
      </c>
      <c r="C1854" s="30" t="s">
        <v>4622</v>
      </c>
      <c r="D1854" s="30" t="s">
        <v>17</v>
      </c>
      <c r="E1854" s="30" t="s">
        <v>31</v>
      </c>
      <c r="F1854" s="30" t="s">
        <v>32</v>
      </c>
      <c r="G1854" s="30" t="s">
        <v>20</v>
      </c>
      <c r="H1854" s="32">
        <v>65</v>
      </c>
      <c r="I1854" s="30" t="s">
        <v>21</v>
      </c>
      <c r="J1854" s="41">
        <v>44005</v>
      </c>
      <c r="K1854" s="30" t="s">
        <v>22</v>
      </c>
    </row>
    <row r="1855" spans="1:11">
      <c r="A1855" s="33" t="s">
        <v>4674</v>
      </c>
      <c r="B1855" s="33" t="s">
        <v>4675</v>
      </c>
      <c r="C1855" s="33" t="s">
        <v>4676</v>
      </c>
      <c r="D1855" s="33" t="s">
        <v>17</v>
      </c>
      <c r="E1855" s="33" t="s">
        <v>26</v>
      </c>
      <c r="F1855" s="33" t="s">
        <v>27</v>
      </c>
      <c r="G1855" s="33" t="s">
        <v>20</v>
      </c>
      <c r="H1855" s="35">
        <v>130</v>
      </c>
      <c r="I1855" s="33" t="s">
        <v>21</v>
      </c>
      <c r="J1855" s="42">
        <v>43931</v>
      </c>
      <c r="K1855" s="33" t="s">
        <v>22</v>
      </c>
    </row>
    <row r="1856" spans="1:11">
      <c r="A1856" s="30" t="s">
        <v>4677</v>
      </c>
      <c r="B1856" s="30" t="s">
        <v>4678</v>
      </c>
      <c r="C1856" s="30" t="s">
        <v>4679</v>
      </c>
      <c r="D1856" s="30" t="s">
        <v>17</v>
      </c>
      <c r="E1856" s="30" t="s">
        <v>31</v>
      </c>
      <c r="F1856" s="30" t="s">
        <v>32</v>
      </c>
      <c r="G1856" s="30" t="s">
        <v>50</v>
      </c>
      <c r="H1856" s="32">
        <v>20</v>
      </c>
      <c r="I1856" s="30" t="s">
        <v>21</v>
      </c>
      <c r="J1856" s="41">
        <v>43878</v>
      </c>
      <c r="K1856" s="30" t="s">
        <v>22</v>
      </c>
    </row>
    <row r="1857" spans="1:11">
      <c r="A1857" s="33" t="s">
        <v>4680</v>
      </c>
      <c r="B1857" s="33" t="s">
        <v>4681</v>
      </c>
      <c r="C1857" s="33" t="s">
        <v>4682</v>
      </c>
      <c r="D1857" s="33" t="s">
        <v>17</v>
      </c>
      <c r="E1857" s="33" t="s">
        <v>67</v>
      </c>
      <c r="F1857" s="33" t="s">
        <v>68</v>
      </c>
      <c r="G1857" s="33" t="s">
        <v>140</v>
      </c>
      <c r="H1857" s="35">
        <v>70</v>
      </c>
      <c r="I1857" s="33" t="s">
        <v>51</v>
      </c>
      <c r="J1857" s="42">
        <v>43859</v>
      </c>
      <c r="K1857" s="33" t="s">
        <v>22</v>
      </c>
    </row>
    <row r="1858" spans="1:11">
      <c r="A1858" s="30" t="s">
        <v>4683</v>
      </c>
      <c r="B1858" s="30" t="s">
        <v>4684</v>
      </c>
      <c r="C1858" s="30" t="s">
        <v>3526</v>
      </c>
      <c r="D1858" s="30" t="s">
        <v>17</v>
      </c>
      <c r="E1858" s="30" t="s">
        <v>31</v>
      </c>
      <c r="F1858" s="30" t="s">
        <v>32</v>
      </c>
      <c r="G1858" s="30" t="s">
        <v>50</v>
      </c>
      <c r="H1858" s="32">
        <v>150</v>
      </c>
      <c r="I1858" s="30" t="s">
        <v>51</v>
      </c>
      <c r="J1858" s="41">
        <v>43899</v>
      </c>
      <c r="K1858" s="30" t="s">
        <v>22</v>
      </c>
    </row>
    <row r="1859" spans="1:11">
      <c r="A1859" s="33" t="s">
        <v>4685</v>
      </c>
      <c r="B1859" s="33" t="s">
        <v>4686</v>
      </c>
      <c r="C1859" s="33" t="s">
        <v>4687</v>
      </c>
      <c r="D1859" s="33" t="s">
        <v>17</v>
      </c>
      <c r="E1859" s="33" t="s">
        <v>26</v>
      </c>
      <c r="F1859" s="33" t="s">
        <v>27</v>
      </c>
      <c r="G1859" s="33" t="s">
        <v>106</v>
      </c>
      <c r="H1859" s="35">
        <v>49</v>
      </c>
      <c r="I1859" s="33" t="s">
        <v>21</v>
      </c>
      <c r="J1859" s="42">
        <v>44146</v>
      </c>
      <c r="K1859" s="33" t="s">
        <v>22</v>
      </c>
    </row>
    <row r="1860" spans="1:11">
      <c r="A1860" s="30" t="s">
        <v>4688</v>
      </c>
      <c r="B1860" s="30" t="s">
        <v>4689</v>
      </c>
      <c r="C1860" s="30" t="s">
        <v>44</v>
      </c>
      <c r="D1860" s="30" t="s">
        <v>17</v>
      </c>
      <c r="E1860" s="30" t="s">
        <v>26</v>
      </c>
      <c r="F1860" s="30" t="s">
        <v>27</v>
      </c>
      <c r="G1860" s="30" t="s">
        <v>20</v>
      </c>
      <c r="H1860" s="32">
        <v>40</v>
      </c>
      <c r="I1860" s="30" t="s">
        <v>21</v>
      </c>
      <c r="J1860" s="41">
        <v>44046</v>
      </c>
      <c r="K1860" s="30" t="s">
        <v>22</v>
      </c>
    </row>
    <row r="1861" spans="1:11">
      <c r="A1861" s="33" t="s">
        <v>4690</v>
      </c>
      <c r="B1861" s="33" t="s">
        <v>4691</v>
      </c>
      <c r="C1861" s="33" t="s">
        <v>4692</v>
      </c>
      <c r="D1861" s="33" t="s">
        <v>17</v>
      </c>
      <c r="E1861" s="33" t="s">
        <v>26</v>
      </c>
      <c r="F1861" s="33" t="s">
        <v>27</v>
      </c>
      <c r="G1861" s="33" t="s">
        <v>20</v>
      </c>
      <c r="H1861" s="35">
        <v>15</v>
      </c>
      <c r="I1861" s="33" t="s">
        <v>21</v>
      </c>
      <c r="J1861" s="42">
        <v>43921</v>
      </c>
      <c r="K1861" s="33" t="s">
        <v>22</v>
      </c>
    </row>
    <row r="1862" spans="1:11">
      <c r="A1862" s="30" t="s">
        <v>4693</v>
      </c>
      <c r="B1862" s="30" t="s">
        <v>4694</v>
      </c>
      <c r="C1862" s="30" t="s">
        <v>2017</v>
      </c>
      <c r="D1862" s="30" t="s">
        <v>17</v>
      </c>
      <c r="E1862" s="30" t="s">
        <v>330</v>
      </c>
      <c r="F1862" s="30" t="s">
        <v>331</v>
      </c>
      <c r="G1862" s="30" t="s">
        <v>20</v>
      </c>
      <c r="H1862" s="32">
        <v>973</v>
      </c>
      <c r="I1862" s="30" t="s">
        <v>21</v>
      </c>
      <c r="J1862" s="41">
        <v>44074</v>
      </c>
      <c r="K1862" s="30" t="s">
        <v>22</v>
      </c>
    </row>
    <row r="1863" spans="1:11">
      <c r="A1863" s="33" t="s">
        <v>4695</v>
      </c>
      <c r="B1863" s="33" t="s">
        <v>4696</v>
      </c>
      <c r="C1863" s="33" t="s">
        <v>4697</v>
      </c>
      <c r="D1863" s="33" t="s">
        <v>17</v>
      </c>
      <c r="E1863" s="33" t="s">
        <v>45</v>
      </c>
      <c r="F1863" s="33" t="s">
        <v>46</v>
      </c>
      <c r="G1863" s="33" t="s">
        <v>20</v>
      </c>
      <c r="H1863" s="35">
        <v>234</v>
      </c>
      <c r="I1863" s="33" t="s">
        <v>21</v>
      </c>
      <c r="J1863" s="42">
        <v>43993</v>
      </c>
      <c r="K1863" s="33" t="s">
        <v>22</v>
      </c>
    </row>
    <row r="1864" spans="1:11">
      <c r="A1864" s="30" t="s">
        <v>4698</v>
      </c>
      <c r="B1864" s="30" t="s">
        <v>4699</v>
      </c>
      <c r="C1864" s="30" t="s">
        <v>4700</v>
      </c>
      <c r="D1864" s="30" t="s">
        <v>17</v>
      </c>
      <c r="E1864" s="30" t="s">
        <v>31</v>
      </c>
      <c r="F1864" s="30" t="s">
        <v>32</v>
      </c>
      <c r="G1864" s="30" t="s">
        <v>20</v>
      </c>
      <c r="H1864" s="32">
        <v>49</v>
      </c>
      <c r="I1864" s="30" t="s">
        <v>21</v>
      </c>
      <c r="J1864" s="41">
        <v>44144</v>
      </c>
      <c r="K1864" s="30" t="s">
        <v>22</v>
      </c>
    </row>
    <row r="1865" spans="1:11">
      <c r="A1865" s="33" t="s">
        <v>4701</v>
      </c>
      <c r="B1865" s="33" t="s">
        <v>4702</v>
      </c>
      <c r="C1865" s="33" t="s">
        <v>4703</v>
      </c>
      <c r="D1865" s="33" t="s">
        <v>17</v>
      </c>
      <c r="E1865" s="33" t="s">
        <v>31</v>
      </c>
      <c r="F1865" s="33" t="s">
        <v>32</v>
      </c>
      <c r="G1865" s="33" t="s">
        <v>20</v>
      </c>
      <c r="H1865" s="35">
        <v>114</v>
      </c>
      <c r="I1865" s="33" t="s">
        <v>21</v>
      </c>
      <c r="J1865" s="42">
        <v>44103</v>
      </c>
      <c r="K1865" s="33" t="s">
        <v>22</v>
      </c>
    </row>
    <row r="1866" spans="1:11">
      <c r="A1866" s="30" t="s">
        <v>4704</v>
      </c>
      <c r="B1866" s="30" t="s">
        <v>4705</v>
      </c>
      <c r="C1866" s="30" t="s">
        <v>96</v>
      </c>
      <c r="D1866" s="30" t="s">
        <v>17</v>
      </c>
      <c r="E1866" s="30" t="s">
        <v>26</v>
      </c>
      <c r="F1866" s="30" t="s">
        <v>27</v>
      </c>
      <c r="G1866" s="30" t="s">
        <v>20</v>
      </c>
      <c r="H1866" s="32">
        <v>24</v>
      </c>
      <c r="I1866" s="30" t="s">
        <v>21</v>
      </c>
      <c r="J1866" s="41">
        <v>44091</v>
      </c>
      <c r="K1866" s="30" t="s">
        <v>22</v>
      </c>
    </row>
    <row r="1867" spans="1:11">
      <c r="A1867" s="33" t="s">
        <v>4706</v>
      </c>
      <c r="B1867" s="33" t="s">
        <v>4707</v>
      </c>
      <c r="C1867" s="33" t="s">
        <v>4708</v>
      </c>
      <c r="D1867" s="33" t="s">
        <v>17</v>
      </c>
      <c r="E1867" s="33" t="s">
        <v>26</v>
      </c>
      <c r="F1867" s="33" t="s">
        <v>27</v>
      </c>
      <c r="G1867" s="33" t="s">
        <v>50</v>
      </c>
      <c r="H1867" s="35">
        <v>30</v>
      </c>
      <c r="I1867" s="33" t="s">
        <v>51</v>
      </c>
      <c r="J1867" s="42">
        <v>44019</v>
      </c>
      <c r="K1867" s="33" t="s">
        <v>22</v>
      </c>
    </row>
    <row r="1868" spans="1:11">
      <c r="A1868" s="30" t="s">
        <v>4709</v>
      </c>
      <c r="B1868" s="30" t="s">
        <v>4710</v>
      </c>
      <c r="C1868" s="30" t="s">
        <v>96</v>
      </c>
      <c r="D1868" s="30" t="s">
        <v>17</v>
      </c>
      <c r="E1868" s="30" t="s">
        <v>212</v>
      </c>
      <c r="F1868" s="30" t="s">
        <v>213</v>
      </c>
      <c r="G1868" s="30" t="s">
        <v>20</v>
      </c>
      <c r="H1868" s="32">
        <v>25</v>
      </c>
      <c r="I1868" s="30" t="s">
        <v>21</v>
      </c>
      <c r="J1868" s="41">
        <v>44186</v>
      </c>
      <c r="K1868" s="30" t="s">
        <v>22</v>
      </c>
    </row>
    <row r="1869" spans="1:11">
      <c r="A1869" s="33" t="s">
        <v>4711</v>
      </c>
      <c r="B1869" s="33" t="s">
        <v>4712</v>
      </c>
      <c r="C1869" s="33" t="s">
        <v>2313</v>
      </c>
      <c r="D1869" s="33" t="s">
        <v>17</v>
      </c>
      <c r="E1869" s="33" t="s">
        <v>212</v>
      </c>
      <c r="F1869" s="33" t="s">
        <v>213</v>
      </c>
      <c r="G1869" s="33" t="s">
        <v>106</v>
      </c>
      <c r="H1869" s="35">
        <v>3</v>
      </c>
      <c r="I1869" s="33" t="s">
        <v>21</v>
      </c>
      <c r="J1869" s="42">
        <v>44165</v>
      </c>
      <c r="K1869" s="33" t="s">
        <v>22</v>
      </c>
    </row>
    <row r="1870" spans="1:11">
      <c r="A1870" s="30" t="s">
        <v>4713</v>
      </c>
      <c r="B1870" s="30" t="s">
        <v>4714</v>
      </c>
      <c r="C1870" s="30" t="s">
        <v>96</v>
      </c>
      <c r="D1870" s="30" t="s">
        <v>17</v>
      </c>
      <c r="E1870" s="30" t="s">
        <v>26</v>
      </c>
      <c r="F1870" s="30" t="s">
        <v>27</v>
      </c>
      <c r="G1870" s="30" t="s">
        <v>20</v>
      </c>
      <c r="H1870" s="32">
        <v>164</v>
      </c>
      <c r="I1870" s="30" t="s">
        <v>21</v>
      </c>
      <c r="J1870" s="41">
        <v>44102</v>
      </c>
      <c r="K1870" s="30" t="s">
        <v>22</v>
      </c>
    </row>
    <row r="1871" spans="1:11">
      <c r="A1871" s="33" t="s">
        <v>4715</v>
      </c>
      <c r="B1871" s="33" t="s">
        <v>4716</v>
      </c>
      <c r="C1871" s="33" t="s">
        <v>4717</v>
      </c>
      <c r="D1871" s="33" t="s">
        <v>17</v>
      </c>
      <c r="E1871" s="33" t="s">
        <v>31</v>
      </c>
      <c r="F1871" s="33" t="s">
        <v>32</v>
      </c>
      <c r="G1871" s="33" t="s">
        <v>106</v>
      </c>
      <c r="H1871" s="35">
        <v>8</v>
      </c>
      <c r="I1871" s="33" t="s">
        <v>21</v>
      </c>
      <c r="J1871" s="42">
        <v>44148</v>
      </c>
      <c r="K1871" s="33" t="s">
        <v>22</v>
      </c>
    </row>
    <row r="1872" spans="1:11">
      <c r="A1872" s="30" t="s">
        <v>4718</v>
      </c>
      <c r="B1872" s="30" t="s">
        <v>4719</v>
      </c>
      <c r="C1872" s="30" t="s">
        <v>4720</v>
      </c>
      <c r="D1872" s="30" t="s">
        <v>17</v>
      </c>
      <c r="E1872" s="30" t="s">
        <v>45</v>
      </c>
      <c r="F1872" s="30" t="s">
        <v>46</v>
      </c>
      <c r="G1872" s="30" t="s">
        <v>50</v>
      </c>
      <c r="H1872" s="32">
        <v>330</v>
      </c>
      <c r="I1872" s="30" t="s">
        <v>21</v>
      </c>
      <c r="J1872" s="41">
        <v>43944</v>
      </c>
      <c r="K1872" s="30" t="s">
        <v>22</v>
      </c>
    </row>
    <row r="1873" spans="1:11">
      <c r="A1873" s="33" t="s">
        <v>4721</v>
      </c>
      <c r="B1873" s="33" t="s">
        <v>4722</v>
      </c>
      <c r="C1873" s="33" t="s">
        <v>271</v>
      </c>
      <c r="D1873" s="33" t="s">
        <v>17</v>
      </c>
      <c r="E1873" s="33" t="s">
        <v>67</v>
      </c>
      <c r="F1873" s="33" t="s">
        <v>68</v>
      </c>
      <c r="G1873" s="33" t="s">
        <v>106</v>
      </c>
      <c r="H1873" s="35">
        <v>74</v>
      </c>
      <c r="I1873" s="33" t="s">
        <v>21</v>
      </c>
      <c r="J1873" s="42">
        <v>43990</v>
      </c>
      <c r="K1873" s="33" t="s">
        <v>22</v>
      </c>
    </row>
    <row r="1874" spans="1:11">
      <c r="A1874" s="30" t="s">
        <v>4723</v>
      </c>
      <c r="B1874" s="30" t="s">
        <v>4724</v>
      </c>
      <c r="C1874" s="30" t="s">
        <v>969</v>
      </c>
      <c r="D1874" s="30" t="s">
        <v>17</v>
      </c>
      <c r="E1874" s="30" t="s">
        <v>26</v>
      </c>
      <c r="F1874" s="30" t="s">
        <v>27</v>
      </c>
      <c r="G1874" s="30" t="s">
        <v>20</v>
      </c>
      <c r="H1874" s="32">
        <v>29</v>
      </c>
      <c r="I1874" s="30" t="s">
        <v>21</v>
      </c>
      <c r="J1874" s="41">
        <v>44102</v>
      </c>
      <c r="K1874" s="30" t="s">
        <v>22</v>
      </c>
    </row>
    <row r="1875" spans="1:11">
      <c r="A1875" s="33" t="s">
        <v>4725</v>
      </c>
      <c r="B1875" s="33" t="s">
        <v>4726</v>
      </c>
      <c r="C1875" s="33" t="s">
        <v>4727</v>
      </c>
      <c r="D1875" s="33" t="s">
        <v>17</v>
      </c>
      <c r="E1875" s="33" t="s">
        <v>26</v>
      </c>
      <c r="F1875" s="33" t="s">
        <v>27</v>
      </c>
      <c r="G1875" s="33" t="s">
        <v>106</v>
      </c>
      <c r="H1875" s="35">
        <v>109</v>
      </c>
      <c r="I1875" s="33" t="s">
        <v>21</v>
      </c>
      <c r="J1875" s="42">
        <v>43878</v>
      </c>
      <c r="K1875" s="33" t="s">
        <v>22</v>
      </c>
    </row>
    <row r="1876" spans="1:11">
      <c r="A1876" s="30" t="s">
        <v>4728</v>
      </c>
      <c r="B1876" s="30" t="s">
        <v>4729</v>
      </c>
      <c r="C1876" s="30" t="s">
        <v>4730</v>
      </c>
      <c r="D1876" s="30" t="s">
        <v>17</v>
      </c>
      <c r="E1876" s="30" t="s">
        <v>31</v>
      </c>
      <c r="F1876" s="30" t="s">
        <v>32</v>
      </c>
      <c r="G1876" s="30" t="s">
        <v>20</v>
      </c>
      <c r="H1876" s="32">
        <v>115</v>
      </c>
      <c r="I1876" s="30" t="s">
        <v>21</v>
      </c>
      <c r="J1876" s="41">
        <v>44124</v>
      </c>
      <c r="K1876" s="30" t="s">
        <v>22</v>
      </c>
    </row>
    <row r="1877" spans="1:11">
      <c r="A1877" s="33" t="s">
        <v>4731</v>
      </c>
      <c r="B1877" s="33" t="s">
        <v>4732</v>
      </c>
      <c r="C1877" s="33" t="s">
        <v>3013</v>
      </c>
      <c r="D1877" s="33" t="s">
        <v>17</v>
      </c>
      <c r="E1877" s="33" t="s">
        <v>26</v>
      </c>
      <c r="F1877" s="33" t="s">
        <v>27</v>
      </c>
      <c r="G1877" s="33" t="s">
        <v>20</v>
      </c>
      <c r="H1877" s="35">
        <v>5</v>
      </c>
      <c r="I1877" s="33" t="s">
        <v>21</v>
      </c>
      <c r="J1877" s="42">
        <v>44098</v>
      </c>
      <c r="K1877" s="33" t="s">
        <v>22</v>
      </c>
    </row>
    <row r="1878" spans="1:11">
      <c r="A1878" s="30" t="s">
        <v>4733</v>
      </c>
      <c r="B1878" s="30" t="s">
        <v>4734</v>
      </c>
      <c r="C1878" s="30" t="s">
        <v>969</v>
      </c>
      <c r="D1878" s="30" t="s">
        <v>17</v>
      </c>
      <c r="E1878" s="30" t="s">
        <v>31</v>
      </c>
      <c r="F1878" s="30" t="s">
        <v>32</v>
      </c>
      <c r="G1878" s="30" t="s">
        <v>20</v>
      </c>
      <c r="H1878" s="32">
        <v>126</v>
      </c>
      <c r="I1878" s="30" t="s">
        <v>21</v>
      </c>
      <c r="J1878" s="41">
        <v>44174</v>
      </c>
      <c r="K1878" s="30" t="s">
        <v>22</v>
      </c>
    </row>
    <row r="1879" spans="1:11">
      <c r="A1879" s="33" t="s">
        <v>4735</v>
      </c>
      <c r="B1879" s="33" t="s">
        <v>4736</v>
      </c>
      <c r="C1879" s="33" t="s">
        <v>4737</v>
      </c>
      <c r="D1879" s="33" t="s">
        <v>17</v>
      </c>
      <c r="E1879" s="33" t="s">
        <v>67</v>
      </c>
      <c r="F1879" s="33" t="s">
        <v>68</v>
      </c>
      <c r="G1879" s="33" t="s">
        <v>20</v>
      </c>
      <c r="H1879" s="35">
        <v>22</v>
      </c>
      <c r="I1879" s="33" t="s">
        <v>21</v>
      </c>
      <c r="J1879" s="42">
        <v>44062</v>
      </c>
      <c r="K1879" s="33" t="s">
        <v>22</v>
      </c>
    </row>
    <row r="1880" spans="1:11">
      <c r="A1880" s="30" t="s">
        <v>4738</v>
      </c>
      <c r="B1880" s="30" t="s">
        <v>4739</v>
      </c>
      <c r="C1880" s="30" t="s">
        <v>190</v>
      </c>
      <c r="D1880" s="30" t="s">
        <v>17</v>
      </c>
      <c r="E1880" s="30" t="s">
        <v>26</v>
      </c>
      <c r="F1880" s="30" t="s">
        <v>27</v>
      </c>
      <c r="G1880" s="30" t="s">
        <v>20</v>
      </c>
      <c r="H1880" s="32">
        <v>54</v>
      </c>
      <c r="I1880" s="30" t="s">
        <v>21</v>
      </c>
      <c r="J1880" s="41">
        <v>44006</v>
      </c>
      <c r="K1880" s="30" t="s">
        <v>22</v>
      </c>
    </row>
    <row r="1881" spans="1:11">
      <c r="A1881" s="33" t="s">
        <v>4740</v>
      </c>
      <c r="B1881" s="33" t="s">
        <v>4741</v>
      </c>
      <c r="C1881" s="33" t="s">
        <v>4742</v>
      </c>
      <c r="D1881" s="33" t="s">
        <v>17</v>
      </c>
      <c r="E1881" s="33" t="s">
        <v>67</v>
      </c>
      <c r="F1881" s="33" t="s">
        <v>68</v>
      </c>
      <c r="G1881" s="33" t="s">
        <v>20</v>
      </c>
      <c r="H1881" s="35">
        <v>552</v>
      </c>
      <c r="I1881" s="33" t="s">
        <v>21</v>
      </c>
      <c r="J1881" s="42">
        <v>44135</v>
      </c>
      <c r="K1881" s="33" t="s">
        <v>22</v>
      </c>
    </row>
    <row r="1882" spans="1:11">
      <c r="A1882" s="30" t="s">
        <v>4743</v>
      </c>
      <c r="B1882" s="30" t="s">
        <v>4744</v>
      </c>
      <c r="C1882" s="30" t="s">
        <v>874</v>
      </c>
      <c r="D1882" s="30" t="s">
        <v>17</v>
      </c>
      <c r="E1882" s="30" t="s">
        <v>26</v>
      </c>
      <c r="F1882" s="30" t="s">
        <v>27</v>
      </c>
      <c r="G1882" s="30" t="s">
        <v>20</v>
      </c>
      <c r="H1882" s="32">
        <v>21</v>
      </c>
      <c r="I1882" s="30" t="s">
        <v>21</v>
      </c>
      <c r="J1882" s="41">
        <v>44032</v>
      </c>
      <c r="K1882" s="30" t="s">
        <v>22</v>
      </c>
    </row>
    <row r="1883" spans="1:11">
      <c r="A1883" s="33" t="s">
        <v>4745</v>
      </c>
      <c r="B1883" s="33" t="s">
        <v>4746</v>
      </c>
      <c r="C1883" s="33" t="s">
        <v>203</v>
      </c>
      <c r="D1883" s="33" t="s">
        <v>17</v>
      </c>
      <c r="E1883" s="33" t="s">
        <v>26</v>
      </c>
      <c r="F1883" s="33" t="s">
        <v>27</v>
      </c>
      <c r="G1883" s="33" t="s">
        <v>20</v>
      </c>
      <c r="H1883" s="35">
        <v>65</v>
      </c>
      <c r="I1883" s="33" t="s">
        <v>21</v>
      </c>
      <c r="J1883" s="42">
        <v>44005</v>
      </c>
      <c r="K1883" s="33" t="s">
        <v>22</v>
      </c>
    </row>
    <row r="1884" spans="1:11">
      <c r="A1884" s="30" t="s">
        <v>4747</v>
      </c>
      <c r="B1884" s="30" t="s">
        <v>4748</v>
      </c>
      <c r="C1884" s="30" t="s">
        <v>187</v>
      </c>
      <c r="D1884" s="30" t="s">
        <v>17</v>
      </c>
      <c r="E1884" s="30" t="s">
        <v>18</v>
      </c>
      <c r="F1884" s="30" t="s">
        <v>19</v>
      </c>
      <c r="G1884" s="30" t="s">
        <v>50</v>
      </c>
      <c r="H1884" s="32">
        <v>412</v>
      </c>
      <c r="I1884" s="30" t="s">
        <v>21</v>
      </c>
      <c r="J1884" s="41">
        <v>44124</v>
      </c>
      <c r="K1884" s="30" t="s">
        <v>22</v>
      </c>
    </row>
    <row r="1885" spans="1:11">
      <c r="A1885" s="33" t="s">
        <v>4749</v>
      </c>
      <c r="B1885" s="33" t="s">
        <v>4750</v>
      </c>
      <c r="C1885" s="33" t="s">
        <v>4751</v>
      </c>
      <c r="D1885" s="33" t="s">
        <v>17</v>
      </c>
      <c r="E1885" s="33" t="s">
        <v>18</v>
      </c>
      <c r="F1885" s="33" t="s">
        <v>19</v>
      </c>
      <c r="G1885" s="33" t="s">
        <v>50</v>
      </c>
      <c r="H1885" s="35">
        <v>262</v>
      </c>
      <c r="I1885" s="33" t="s">
        <v>51</v>
      </c>
      <c r="J1885" s="42">
        <v>44039</v>
      </c>
      <c r="K1885" s="33" t="s">
        <v>22</v>
      </c>
    </row>
    <row r="1886" spans="1:11">
      <c r="A1886" s="30" t="s">
        <v>4752</v>
      </c>
      <c r="B1886" s="30" t="s">
        <v>4753</v>
      </c>
      <c r="C1886" s="30" t="s">
        <v>4754</v>
      </c>
      <c r="D1886" s="30" t="s">
        <v>17</v>
      </c>
      <c r="E1886" s="30" t="s">
        <v>26</v>
      </c>
      <c r="F1886" s="30" t="s">
        <v>27</v>
      </c>
      <c r="G1886" s="30" t="s">
        <v>20</v>
      </c>
      <c r="H1886" s="32">
        <v>16</v>
      </c>
      <c r="I1886" s="30" t="s">
        <v>21</v>
      </c>
      <c r="J1886" s="41">
        <v>43839</v>
      </c>
      <c r="K1886" s="30" t="s">
        <v>22</v>
      </c>
    </row>
    <row r="1887" spans="1:11">
      <c r="A1887" s="33" t="s">
        <v>4755</v>
      </c>
      <c r="B1887" s="33" t="s">
        <v>4756</v>
      </c>
      <c r="C1887" s="33" t="s">
        <v>60</v>
      </c>
      <c r="D1887" s="33" t="s">
        <v>17</v>
      </c>
      <c r="E1887" s="33" t="s">
        <v>18</v>
      </c>
      <c r="F1887" s="33" t="s">
        <v>19</v>
      </c>
      <c r="G1887" s="33" t="s">
        <v>20</v>
      </c>
      <c r="H1887" s="35">
        <v>83</v>
      </c>
      <c r="I1887" s="33" t="s">
        <v>21</v>
      </c>
      <c r="J1887" s="42">
        <v>44154</v>
      </c>
      <c r="K1887" s="33" t="s">
        <v>22</v>
      </c>
    </row>
    <row r="1888" spans="1:11">
      <c r="A1888" s="30" t="s">
        <v>4757</v>
      </c>
      <c r="B1888" s="30" t="s">
        <v>4758</v>
      </c>
      <c r="C1888" s="30" t="s">
        <v>2461</v>
      </c>
      <c r="D1888" s="30" t="s">
        <v>17</v>
      </c>
      <c r="E1888" s="30" t="s">
        <v>18</v>
      </c>
      <c r="F1888" s="30" t="s">
        <v>19</v>
      </c>
      <c r="G1888" s="30" t="s">
        <v>69</v>
      </c>
      <c r="H1888" s="32">
        <v>150</v>
      </c>
      <c r="I1888" s="30" t="s">
        <v>51</v>
      </c>
      <c r="J1888" s="41">
        <v>44166</v>
      </c>
      <c r="K1888" s="30" t="s">
        <v>22</v>
      </c>
    </row>
    <row r="1889" spans="1:11">
      <c r="A1889" s="33" t="s">
        <v>4759</v>
      </c>
      <c r="B1889" s="33" t="s">
        <v>4760</v>
      </c>
      <c r="C1889" s="33" t="s">
        <v>2681</v>
      </c>
      <c r="D1889" s="33" t="s">
        <v>17</v>
      </c>
      <c r="E1889" s="33" t="s">
        <v>330</v>
      </c>
      <c r="F1889" s="33" t="s">
        <v>331</v>
      </c>
      <c r="G1889" s="33" t="s">
        <v>20</v>
      </c>
      <c r="H1889" s="35">
        <v>9</v>
      </c>
      <c r="I1889" s="33" t="s">
        <v>21</v>
      </c>
      <c r="J1889" s="42">
        <v>43859</v>
      </c>
      <c r="K1889" s="33" t="s">
        <v>22</v>
      </c>
    </row>
    <row r="1890" spans="1:11">
      <c r="A1890" s="30" t="s">
        <v>4761</v>
      </c>
      <c r="B1890" s="30" t="s">
        <v>4762</v>
      </c>
      <c r="C1890" s="30" t="s">
        <v>1077</v>
      </c>
      <c r="D1890" s="30" t="s">
        <v>17</v>
      </c>
      <c r="E1890" s="30" t="s">
        <v>26</v>
      </c>
      <c r="F1890" s="30" t="s">
        <v>27</v>
      </c>
      <c r="G1890" s="30" t="s">
        <v>20</v>
      </c>
      <c r="H1890" s="32">
        <v>90</v>
      </c>
      <c r="I1890" s="30" t="s">
        <v>21</v>
      </c>
      <c r="J1890" s="41">
        <v>43862</v>
      </c>
      <c r="K1890" s="30" t="s">
        <v>22</v>
      </c>
    </row>
    <row r="1891" spans="1:11">
      <c r="A1891" s="33" t="s">
        <v>4763</v>
      </c>
      <c r="B1891" s="33" t="s">
        <v>4764</v>
      </c>
      <c r="C1891" s="33" t="s">
        <v>157</v>
      </c>
      <c r="D1891" s="33" t="s">
        <v>17</v>
      </c>
      <c r="E1891" s="33" t="s">
        <v>67</v>
      </c>
      <c r="F1891" s="33" t="s">
        <v>68</v>
      </c>
      <c r="G1891" s="33" t="s">
        <v>112</v>
      </c>
      <c r="H1891" s="35">
        <v>0</v>
      </c>
      <c r="I1891" s="33" t="s">
        <v>21</v>
      </c>
      <c r="J1891" s="42">
        <v>44075</v>
      </c>
      <c r="K1891" s="33" t="s">
        <v>22</v>
      </c>
    </row>
    <row r="1892" spans="1:11">
      <c r="A1892" s="30" t="s">
        <v>4765</v>
      </c>
      <c r="B1892" s="30" t="s">
        <v>4766</v>
      </c>
      <c r="C1892" s="30" t="s">
        <v>4767</v>
      </c>
      <c r="D1892" s="30" t="s">
        <v>17</v>
      </c>
      <c r="E1892" s="30" t="s">
        <v>18</v>
      </c>
      <c r="F1892" s="30" t="s">
        <v>19</v>
      </c>
      <c r="G1892" s="30" t="s">
        <v>20</v>
      </c>
      <c r="H1892" s="32">
        <v>676</v>
      </c>
      <c r="I1892" s="30" t="s">
        <v>21</v>
      </c>
      <c r="J1892" s="41">
        <v>44064</v>
      </c>
      <c r="K1892" s="30" t="s">
        <v>22</v>
      </c>
    </row>
    <row r="1893" spans="1:11">
      <c r="A1893" s="33" t="s">
        <v>4768</v>
      </c>
      <c r="B1893" s="33" t="s">
        <v>4769</v>
      </c>
      <c r="C1893" s="33" t="s">
        <v>647</v>
      </c>
      <c r="D1893" s="33" t="s">
        <v>17</v>
      </c>
      <c r="E1893" s="33" t="s">
        <v>18</v>
      </c>
      <c r="F1893" s="33" t="s">
        <v>19</v>
      </c>
      <c r="G1893" s="33" t="s">
        <v>20</v>
      </c>
      <c r="H1893" s="35">
        <v>335</v>
      </c>
      <c r="I1893" s="33" t="s">
        <v>21</v>
      </c>
      <c r="J1893" s="42">
        <v>44062</v>
      </c>
      <c r="K1893" s="33" t="s">
        <v>22</v>
      </c>
    </row>
    <row r="1894" spans="1:11">
      <c r="A1894" s="30" t="s">
        <v>4770</v>
      </c>
      <c r="B1894" s="30" t="s">
        <v>4771</v>
      </c>
      <c r="C1894" s="30" t="s">
        <v>222</v>
      </c>
      <c r="D1894" s="30" t="s">
        <v>17</v>
      </c>
      <c r="E1894" s="30" t="s">
        <v>26</v>
      </c>
      <c r="F1894" s="30" t="s">
        <v>27</v>
      </c>
      <c r="G1894" s="30" t="s">
        <v>158</v>
      </c>
      <c r="H1894" s="32">
        <v>40</v>
      </c>
      <c r="I1894" s="30" t="s">
        <v>51</v>
      </c>
      <c r="J1894" s="41">
        <v>44113</v>
      </c>
      <c r="K1894" s="30" t="s">
        <v>22</v>
      </c>
    </row>
    <row r="1895" spans="1:11">
      <c r="A1895" s="33" t="s">
        <v>4772</v>
      </c>
      <c r="B1895" s="33" t="s">
        <v>4773</v>
      </c>
      <c r="C1895" s="33" t="s">
        <v>4774</v>
      </c>
      <c r="D1895" s="33" t="s">
        <v>17</v>
      </c>
      <c r="E1895" s="33" t="s">
        <v>212</v>
      </c>
      <c r="F1895" s="33" t="s">
        <v>213</v>
      </c>
      <c r="G1895" s="33" t="s">
        <v>69</v>
      </c>
      <c r="H1895" s="35">
        <v>314</v>
      </c>
      <c r="I1895" s="33" t="s">
        <v>51</v>
      </c>
      <c r="J1895" s="42">
        <v>43896</v>
      </c>
      <c r="K1895" s="33" t="s">
        <v>22</v>
      </c>
    </row>
    <row r="1896" spans="1:11">
      <c r="A1896" s="30" t="s">
        <v>4775</v>
      </c>
      <c r="B1896" s="30" t="s">
        <v>4776</v>
      </c>
      <c r="C1896" s="30" t="s">
        <v>1003</v>
      </c>
      <c r="D1896" s="30" t="s">
        <v>17</v>
      </c>
      <c r="E1896" s="30" t="s">
        <v>67</v>
      </c>
      <c r="F1896" s="30" t="s">
        <v>68</v>
      </c>
      <c r="G1896" s="30" t="s">
        <v>50</v>
      </c>
      <c r="H1896" s="32">
        <v>46</v>
      </c>
      <c r="I1896" s="30" t="s">
        <v>51</v>
      </c>
      <c r="J1896" s="41">
        <v>44119</v>
      </c>
      <c r="K1896" s="30" t="s">
        <v>22</v>
      </c>
    </row>
    <row r="1897" spans="1:11">
      <c r="A1897" s="33" t="s">
        <v>4777</v>
      </c>
      <c r="B1897" s="33" t="s">
        <v>4778</v>
      </c>
      <c r="C1897" s="33" t="s">
        <v>136</v>
      </c>
      <c r="D1897" s="33" t="s">
        <v>17</v>
      </c>
      <c r="E1897" s="33" t="s">
        <v>18</v>
      </c>
      <c r="F1897" s="33" t="s">
        <v>19</v>
      </c>
      <c r="G1897" s="33" t="s">
        <v>140</v>
      </c>
      <c r="H1897" s="35">
        <v>58</v>
      </c>
      <c r="I1897" s="33" t="s">
        <v>51</v>
      </c>
      <c r="J1897" s="42">
        <v>43873</v>
      </c>
      <c r="K1897" s="33" t="s">
        <v>22</v>
      </c>
    </row>
    <row r="1898" spans="1:11">
      <c r="A1898" s="30" t="s">
        <v>4779</v>
      </c>
      <c r="B1898" s="30" t="s">
        <v>4780</v>
      </c>
      <c r="C1898" s="30" t="s">
        <v>246</v>
      </c>
      <c r="D1898" s="30" t="s">
        <v>17</v>
      </c>
      <c r="E1898" s="30" t="s">
        <v>26</v>
      </c>
      <c r="F1898" s="30" t="s">
        <v>27</v>
      </c>
      <c r="G1898" s="30" t="s">
        <v>20</v>
      </c>
      <c r="H1898" s="32">
        <v>43</v>
      </c>
      <c r="I1898" s="30" t="s">
        <v>21</v>
      </c>
      <c r="J1898" s="41">
        <v>43997</v>
      </c>
      <c r="K1898" s="30" t="s">
        <v>22</v>
      </c>
    </row>
    <row r="1899" spans="1:11">
      <c r="A1899" s="33" t="s">
        <v>4781</v>
      </c>
      <c r="B1899" s="33" t="s">
        <v>4782</v>
      </c>
      <c r="C1899" s="33" t="s">
        <v>4783</v>
      </c>
      <c r="D1899" s="33" t="s">
        <v>17</v>
      </c>
      <c r="E1899" s="33" t="s">
        <v>67</v>
      </c>
      <c r="F1899" s="33" t="s">
        <v>68</v>
      </c>
      <c r="G1899" s="33" t="s">
        <v>140</v>
      </c>
      <c r="H1899" s="35">
        <v>20</v>
      </c>
      <c r="I1899" s="33" t="s">
        <v>51</v>
      </c>
      <c r="J1899" s="42">
        <v>43867</v>
      </c>
      <c r="K1899" s="33" t="s">
        <v>22</v>
      </c>
    </row>
    <row r="1900" spans="1:11">
      <c r="A1900" s="30" t="s">
        <v>4784</v>
      </c>
      <c r="B1900" s="30" t="s">
        <v>4785</v>
      </c>
      <c r="C1900" s="30" t="s">
        <v>178</v>
      </c>
      <c r="D1900" s="30" t="s">
        <v>17</v>
      </c>
      <c r="E1900" s="30" t="s">
        <v>18</v>
      </c>
      <c r="F1900" s="30" t="s">
        <v>19</v>
      </c>
      <c r="G1900" s="30" t="s">
        <v>106</v>
      </c>
      <c r="H1900" s="32">
        <v>42</v>
      </c>
      <c r="I1900" s="30" t="s">
        <v>21</v>
      </c>
      <c r="J1900" s="41">
        <v>44022</v>
      </c>
      <c r="K1900" s="30" t="s">
        <v>22</v>
      </c>
    </row>
    <row r="1901" spans="1:11">
      <c r="A1901" s="33" t="s">
        <v>4786</v>
      </c>
      <c r="B1901" s="33" t="s">
        <v>4787</v>
      </c>
      <c r="C1901" s="33" t="s">
        <v>4788</v>
      </c>
      <c r="D1901" s="33" t="s">
        <v>17</v>
      </c>
      <c r="E1901" s="33" t="s">
        <v>26</v>
      </c>
      <c r="F1901" s="33" t="s">
        <v>27</v>
      </c>
      <c r="G1901" s="33" t="s">
        <v>20</v>
      </c>
      <c r="H1901" s="35">
        <v>17</v>
      </c>
      <c r="I1901" s="33" t="s">
        <v>21</v>
      </c>
      <c r="J1901" s="42">
        <v>43887</v>
      </c>
      <c r="K1901" s="33" t="s">
        <v>22</v>
      </c>
    </row>
    <row r="1902" spans="1:11">
      <c r="A1902" s="30" t="s">
        <v>4789</v>
      </c>
      <c r="B1902" s="30" t="s">
        <v>4790</v>
      </c>
      <c r="C1902" s="30" t="s">
        <v>343</v>
      </c>
      <c r="D1902" s="30" t="s">
        <v>17</v>
      </c>
      <c r="E1902" s="30" t="s">
        <v>18</v>
      </c>
      <c r="F1902" s="30" t="s">
        <v>19</v>
      </c>
      <c r="G1902" s="30" t="s">
        <v>20</v>
      </c>
      <c r="H1902" s="32">
        <v>944</v>
      </c>
      <c r="I1902" s="30" t="s">
        <v>21</v>
      </c>
      <c r="J1902" s="41">
        <v>44126</v>
      </c>
      <c r="K1902" s="30" t="s">
        <v>22</v>
      </c>
    </row>
    <row r="1903" spans="1:11">
      <c r="A1903" s="33" t="s">
        <v>4791</v>
      </c>
      <c r="B1903" s="33" t="s">
        <v>4792</v>
      </c>
      <c r="C1903" s="33" t="s">
        <v>4793</v>
      </c>
      <c r="D1903" s="33" t="s">
        <v>17</v>
      </c>
      <c r="E1903" s="33" t="s">
        <v>26</v>
      </c>
      <c r="F1903" s="33" t="s">
        <v>27</v>
      </c>
      <c r="G1903" s="33" t="s">
        <v>20</v>
      </c>
      <c r="H1903" s="35">
        <v>21</v>
      </c>
      <c r="I1903" s="33" t="s">
        <v>21</v>
      </c>
      <c r="J1903" s="42">
        <v>43985</v>
      </c>
      <c r="K1903" s="33" t="s">
        <v>22</v>
      </c>
    </row>
    <row r="1904" spans="1:11">
      <c r="A1904" s="30" t="s">
        <v>4794</v>
      </c>
      <c r="B1904" s="30" t="s">
        <v>4795</v>
      </c>
      <c r="C1904" s="30" t="s">
        <v>4796</v>
      </c>
      <c r="D1904" s="30" t="s">
        <v>17</v>
      </c>
      <c r="E1904" s="30" t="s">
        <v>26</v>
      </c>
      <c r="F1904" s="30" t="s">
        <v>27</v>
      </c>
      <c r="G1904" s="30" t="s">
        <v>20</v>
      </c>
      <c r="H1904" s="32">
        <v>22</v>
      </c>
      <c r="I1904" s="30" t="s">
        <v>21</v>
      </c>
      <c r="J1904" s="41">
        <v>44098</v>
      </c>
      <c r="K1904" s="30" t="s">
        <v>22</v>
      </c>
    </row>
    <row r="1905" spans="1:11">
      <c r="A1905" s="33" t="s">
        <v>4797</v>
      </c>
      <c r="B1905" s="33" t="s">
        <v>4798</v>
      </c>
      <c r="C1905" s="33" t="s">
        <v>93</v>
      </c>
      <c r="D1905" s="33" t="s">
        <v>17</v>
      </c>
      <c r="E1905" s="33" t="s">
        <v>18</v>
      </c>
      <c r="F1905" s="33" t="s">
        <v>19</v>
      </c>
      <c r="G1905" s="33" t="s">
        <v>20</v>
      </c>
      <c r="H1905" s="35">
        <v>37</v>
      </c>
      <c r="I1905" s="33" t="s">
        <v>21</v>
      </c>
      <c r="J1905" s="42">
        <v>43993</v>
      </c>
      <c r="K1905" s="33" t="s">
        <v>22</v>
      </c>
    </row>
    <row r="1906" spans="1:11">
      <c r="A1906" s="30" t="s">
        <v>4799</v>
      </c>
      <c r="B1906" s="30" t="s">
        <v>4800</v>
      </c>
      <c r="C1906" s="30" t="s">
        <v>2029</v>
      </c>
      <c r="D1906" s="30" t="s">
        <v>17</v>
      </c>
      <c r="E1906" s="30" t="s">
        <v>26</v>
      </c>
      <c r="F1906" s="30" t="s">
        <v>27</v>
      </c>
      <c r="G1906" s="30" t="s">
        <v>20</v>
      </c>
      <c r="H1906" s="32">
        <v>38</v>
      </c>
      <c r="I1906" s="30" t="s">
        <v>21</v>
      </c>
      <c r="J1906" s="41">
        <v>43944</v>
      </c>
      <c r="K1906" s="30" t="s">
        <v>22</v>
      </c>
    </row>
    <row r="1907" spans="1:11">
      <c r="A1907" s="33" t="s">
        <v>4801</v>
      </c>
      <c r="B1907" s="33" t="s">
        <v>4802</v>
      </c>
      <c r="C1907" s="33" t="s">
        <v>517</v>
      </c>
      <c r="D1907" s="33" t="s">
        <v>17</v>
      </c>
      <c r="E1907" s="33" t="s">
        <v>18</v>
      </c>
      <c r="F1907" s="33" t="s">
        <v>19</v>
      </c>
      <c r="G1907" s="33" t="s">
        <v>20</v>
      </c>
      <c r="H1907" s="35">
        <v>109</v>
      </c>
      <c r="I1907" s="33" t="s">
        <v>21</v>
      </c>
      <c r="J1907" s="42">
        <v>44126</v>
      </c>
      <c r="K1907" s="33" t="s">
        <v>22</v>
      </c>
    </row>
    <row r="1908" spans="1:11">
      <c r="A1908" s="30" t="s">
        <v>4803</v>
      </c>
      <c r="B1908" s="30" t="s">
        <v>4804</v>
      </c>
      <c r="C1908" s="30" t="s">
        <v>4805</v>
      </c>
      <c r="D1908" s="30" t="s">
        <v>17</v>
      </c>
      <c r="E1908" s="30" t="s">
        <v>67</v>
      </c>
      <c r="F1908" s="30" t="s">
        <v>68</v>
      </c>
      <c r="G1908" s="30" t="s">
        <v>158</v>
      </c>
      <c r="H1908" s="32">
        <v>137</v>
      </c>
      <c r="I1908" s="30" t="s">
        <v>51</v>
      </c>
      <c r="J1908" s="41">
        <v>43879</v>
      </c>
      <c r="K1908" s="30" t="s">
        <v>22</v>
      </c>
    </row>
    <row r="1909" spans="1:11">
      <c r="A1909" s="33" t="s">
        <v>4806</v>
      </c>
      <c r="B1909" s="33" t="s">
        <v>4807</v>
      </c>
      <c r="C1909" s="33" t="s">
        <v>1422</v>
      </c>
      <c r="D1909" s="33" t="s">
        <v>17</v>
      </c>
      <c r="E1909" s="33" t="s">
        <v>18</v>
      </c>
      <c r="F1909" s="33" t="s">
        <v>19</v>
      </c>
      <c r="G1909" s="33" t="s">
        <v>20</v>
      </c>
      <c r="H1909" s="35">
        <v>512</v>
      </c>
      <c r="I1909" s="33" t="s">
        <v>21</v>
      </c>
      <c r="J1909" s="42">
        <v>43938</v>
      </c>
      <c r="K1909" s="33" t="s">
        <v>22</v>
      </c>
    </row>
    <row r="1910" spans="1:11">
      <c r="A1910" s="30" t="s">
        <v>4808</v>
      </c>
      <c r="B1910" s="30" t="s">
        <v>4809</v>
      </c>
      <c r="C1910" s="30" t="s">
        <v>4810</v>
      </c>
      <c r="D1910" s="30" t="s">
        <v>17</v>
      </c>
      <c r="E1910" s="30" t="s">
        <v>18</v>
      </c>
      <c r="F1910" s="30" t="s">
        <v>19</v>
      </c>
      <c r="G1910" s="30" t="s">
        <v>20</v>
      </c>
      <c r="H1910" s="32">
        <v>321</v>
      </c>
      <c r="I1910" s="30" t="s">
        <v>21</v>
      </c>
      <c r="J1910" s="41">
        <v>43883</v>
      </c>
      <c r="K1910" s="30" t="s">
        <v>22</v>
      </c>
    </row>
    <row r="1911" spans="1:11">
      <c r="A1911" s="33" t="s">
        <v>4811</v>
      </c>
      <c r="B1911" s="33" t="s">
        <v>4812</v>
      </c>
      <c r="C1911" s="33" t="s">
        <v>966</v>
      </c>
      <c r="D1911" s="33" t="s">
        <v>17</v>
      </c>
      <c r="E1911" s="33" t="s">
        <v>26</v>
      </c>
      <c r="F1911" s="33" t="s">
        <v>27</v>
      </c>
      <c r="G1911" s="33" t="s">
        <v>20</v>
      </c>
      <c r="H1911" s="35">
        <v>26</v>
      </c>
      <c r="I1911" s="33" t="s">
        <v>21</v>
      </c>
      <c r="J1911" s="42">
        <v>43894</v>
      </c>
      <c r="K1911" s="33" t="s">
        <v>22</v>
      </c>
    </row>
    <row r="1912" spans="1:11">
      <c r="A1912" s="30" t="s">
        <v>4813</v>
      </c>
      <c r="B1912" s="30" t="s">
        <v>4814</v>
      </c>
      <c r="C1912" s="30" t="s">
        <v>203</v>
      </c>
      <c r="D1912" s="30" t="s">
        <v>17</v>
      </c>
      <c r="E1912" s="30" t="s">
        <v>18</v>
      </c>
      <c r="F1912" s="30" t="s">
        <v>19</v>
      </c>
      <c r="G1912" s="30" t="s">
        <v>20</v>
      </c>
      <c r="H1912" s="32">
        <v>974</v>
      </c>
      <c r="I1912" s="30" t="s">
        <v>21</v>
      </c>
      <c r="J1912" s="41">
        <v>44012</v>
      </c>
      <c r="K1912" s="30" t="s">
        <v>22</v>
      </c>
    </row>
    <row r="1913" spans="1:11">
      <c r="A1913" s="33" t="s">
        <v>4815</v>
      </c>
      <c r="B1913" s="33" t="s">
        <v>4816</v>
      </c>
      <c r="C1913" s="33" t="s">
        <v>4817</v>
      </c>
      <c r="D1913" s="33" t="s">
        <v>17</v>
      </c>
      <c r="E1913" s="33" t="s">
        <v>26</v>
      </c>
      <c r="F1913" s="33" t="s">
        <v>27</v>
      </c>
      <c r="G1913" s="33" t="s">
        <v>20</v>
      </c>
      <c r="H1913" s="35">
        <v>20</v>
      </c>
      <c r="I1913" s="33" t="s">
        <v>21</v>
      </c>
      <c r="J1913" s="42">
        <v>43844</v>
      </c>
      <c r="K1913" s="33" t="s">
        <v>22</v>
      </c>
    </row>
    <row r="1914" spans="1:11">
      <c r="A1914" s="30" t="s">
        <v>4818</v>
      </c>
      <c r="B1914" s="30" t="s">
        <v>4819</v>
      </c>
      <c r="C1914" s="30" t="s">
        <v>178</v>
      </c>
      <c r="D1914" s="30" t="s">
        <v>17</v>
      </c>
      <c r="E1914" s="30" t="s">
        <v>18</v>
      </c>
      <c r="F1914" s="30" t="s">
        <v>19</v>
      </c>
      <c r="G1914" s="30" t="s">
        <v>106</v>
      </c>
      <c r="H1914" s="32">
        <v>116</v>
      </c>
      <c r="I1914" s="30" t="s">
        <v>21</v>
      </c>
      <c r="J1914" s="41">
        <v>43973</v>
      </c>
      <c r="K1914" s="30" t="s">
        <v>22</v>
      </c>
    </row>
    <row r="1915" spans="1:11">
      <c r="A1915" s="33" t="s">
        <v>4820</v>
      </c>
      <c r="B1915" s="33" t="s">
        <v>4821</v>
      </c>
      <c r="C1915" s="33" t="s">
        <v>450</v>
      </c>
      <c r="D1915" s="33" t="s">
        <v>17</v>
      </c>
      <c r="E1915" s="33" t="s">
        <v>45</v>
      </c>
      <c r="F1915" s="33" t="s">
        <v>46</v>
      </c>
      <c r="G1915" s="33" t="s">
        <v>106</v>
      </c>
      <c r="H1915" s="35">
        <v>5</v>
      </c>
      <c r="I1915" s="33" t="s">
        <v>21</v>
      </c>
      <c r="J1915" s="42">
        <v>43844</v>
      </c>
      <c r="K1915" s="33" t="s">
        <v>22</v>
      </c>
    </row>
    <row r="1916" spans="1:11">
      <c r="A1916" s="30" t="s">
        <v>4822</v>
      </c>
      <c r="B1916" s="30" t="s">
        <v>4823</v>
      </c>
      <c r="C1916" s="30" t="s">
        <v>4824</v>
      </c>
      <c r="D1916" s="30" t="s">
        <v>17</v>
      </c>
      <c r="E1916" s="30" t="s">
        <v>31</v>
      </c>
      <c r="F1916" s="30" t="s">
        <v>32</v>
      </c>
      <c r="G1916" s="30" t="s">
        <v>50</v>
      </c>
      <c r="H1916" s="32">
        <v>200</v>
      </c>
      <c r="I1916" s="30" t="s">
        <v>51</v>
      </c>
      <c r="J1916" s="41">
        <v>43952</v>
      </c>
      <c r="K1916" s="30" t="s">
        <v>22</v>
      </c>
    </row>
    <row r="1917" spans="1:11">
      <c r="A1917" s="33" t="s">
        <v>4825</v>
      </c>
      <c r="B1917" s="33" t="s">
        <v>4826</v>
      </c>
      <c r="C1917" s="33" t="s">
        <v>127</v>
      </c>
      <c r="D1917" s="33" t="s">
        <v>17</v>
      </c>
      <c r="E1917" s="33" t="s">
        <v>26</v>
      </c>
      <c r="F1917" s="33" t="s">
        <v>27</v>
      </c>
      <c r="G1917" s="33" t="s">
        <v>20</v>
      </c>
      <c r="H1917" s="35">
        <v>24</v>
      </c>
      <c r="I1917" s="33" t="s">
        <v>21</v>
      </c>
      <c r="J1917" s="42">
        <v>44193</v>
      </c>
      <c r="K1917" s="33" t="s">
        <v>22</v>
      </c>
    </row>
    <row r="1918" spans="1:11">
      <c r="A1918" s="30" t="s">
        <v>4827</v>
      </c>
      <c r="B1918" s="30" t="s">
        <v>4828</v>
      </c>
      <c r="C1918" s="30" t="s">
        <v>1270</v>
      </c>
      <c r="D1918" s="30" t="s">
        <v>17</v>
      </c>
      <c r="E1918" s="30" t="s">
        <v>26</v>
      </c>
      <c r="F1918" s="30" t="s">
        <v>27</v>
      </c>
      <c r="G1918" s="30" t="s">
        <v>50</v>
      </c>
      <c r="H1918" s="32">
        <v>76</v>
      </c>
      <c r="I1918" s="30" t="s">
        <v>51</v>
      </c>
      <c r="J1918" s="41">
        <v>44166</v>
      </c>
      <c r="K1918" s="30" t="s">
        <v>22</v>
      </c>
    </row>
    <row r="1919" spans="1:11">
      <c r="A1919" s="33" t="s">
        <v>4829</v>
      </c>
      <c r="B1919" s="33" t="s">
        <v>4830</v>
      </c>
      <c r="C1919" s="33" t="s">
        <v>4468</v>
      </c>
      <c r="D1919" s="33" t="s">
        <v>17</v>
      </c>
      <c r="E1919" s="33" t="s">
        <v>31</v>
      </c>
      <c r="F1919" s="33" t="s">
        <v>32</v>
      </c>
      <c r="G1919" s="33" t="s">
        <v>106</v>
      </c>
      <c r="H1919" s="35">
        <v>26</v>
      </c>
      <c r="I1919" s="33" t="s">
        <v>21</v>
      </c>
      <c r="J1919" s="42">
        <v>44089</v>
      </c>
      <c r="K1919" s="33" t="s">
        <v>22</v>
      </c>
    </row>
    <row r="1920" spans="1:11">
      <c r="A1920" s="30" t="s">
        <v>4831</v>
      </c>
      <c r="B1920" s="30" t="s">
        <v>4832</v>
      </c>
      <c r="C1920" s="30" t="s">
        <v>4833</v>
      </c>
      <c r="D1920" s="30" t="s">
        <v>17</v>
      </c>
      <c r="E1920" s="30" t="s">
        <v>31</v>
      </c>
      <c r="F1920" s="30" t="s">
        <v>32</v>
      </c>
      <c r="G1920" s="30" t="s">
        <v>20</v>
      </c>
      <c r="H1920" s="32">
        <v>64</v>
      </c>
      <c r="I1920" s="30" t="s">
        <v>21</v>
      </c>
      <c r="J1920" s="41">
        <v>43977</v>
      </c>
      <c r="K1920" s="30" t="s">
        <v>22</v>
      </c>
    </row>
    <row r="1921" spans="1:11">
      <c r="A1921" s="33" t="s">
        <v>4834</v>
      </c>
      <c r="B1921" s="33" t="s">
        <v>4835</v>
      </c>
      <c r="C1921" s="33" t="s">
        <v>2618</v>
      </c>
      <c r="D1921" s="33" t="s">
        <v>17</v>
      </c>
      <c r="E1921" s="33" t="s">
        <v>31</v>
      </c>
      <c r="F1921" s="33" t="s">
        <v>32</v>
      </c>
      <c r="G1921" s="33" t="s">
        <v>106</v>
      </c>
      <c r="H1921" s="35">
        <v>11</v>
      </c>
      <c r="I1921" s="33" t="s">
        <v>21</v>
      </c>
      <c r="J1921" s="42">
        <v>44116</v>
      </c>
      <c r="K1921" s="33" t="s">
        <v>22</v>
      </c>
    </row>
    <row r="1922" spans="1:11">
      <c r="A1922" s="30" t="s">
        <v>4836</v>
      </c>
      <c r="B1922" s="30" t="s">
        <v>4837</v>
      </c>
      <c r="C1922" s="30" t="s">
        <v>653</v>
      </c>
      <c r="D1922" s="30" t="s">
        <v>17</v>
      </c>
      <c r="E1922" s="30" t="s">
        <v>31</v>
      </c>
      <c r="F1922" s="30" t="s">
        <v>32</v>
      </c>
      <c r="G1922" s="30" t="s">
        <v>20</v>
      </c>
      <c r="H1922" s="32">
        <v>15</v>
      </c>
      <c r="I1922" s="30" t="s">
        <v>21</v>
      </c>
      <c r="J1922" s="41">
        <v>44166</v>
      </c>
      <c r="K1922" s="30" t="s">
        <v>22</v>
      </c>
    </row>
    <row r="1923" spans="1:11">
      <c r="A1923" s="33" t="s">
        <v>4838</v>
      </c>
      <c r="B1923" s="33" t="s">
        <v>4839</v>
      </c>
      <c r="C1923" s="33" t="s">
        <v>231</v>
      </c>
      <c r="D1923" s="33" t="s">
        <v>17</v>
      </c>
      <c r="E1923" s="33" t="s">
        <v>26</v>
      </c>
      <c r="F1923" s="33" t="s">
        <v>27</v>
      </c>
      <c r="G1923" s="33" t="s">
        <v>20</v>
      </c>
      <c r="H1923" s="35">
        <v>50</v>
      </c>
      <c r="I1923" s="33" t="s">
        <v>21</v>
      </c>
      <c r="J1923" s="42">
        <v>43972</v>
      </c>
      <c r="K1923" s="33" t="s">
        <v>22</v>
      </c>
    </row>
    <row r="1924" spans="1:11">
      <c r="A1924" s="30" t="s">
        <v>4840</v>
      </c>
      <c r="B1924" s="30" t="s">
        <v>4841</v>
      </c>
      <c r="C1924" s="30" t="s">
        <v>4842</v>
      </c>
      <c r="D1924" s="30" t="s">
        <v>17</v>
      </c>
      <c r="E1924" s="30" t="s">
        <v>31</v>
      </c>
      <c r="F1924" s="30" t="s">
        <v>32</v>
      </c>
      <c r="G1924" s="30" t="s">
        <v>112</v>
      </c>
      <c r="H1924" s="32">
        <v>0</v>
      </c>
      <c r="I1924" s="30" t="s">
        <v>21</v>
      </c>
      <c r="J1924" s="41">
        <v>43922</v>
      </c>
      <c r="K1924" s="30" t="s">
        <v>22</v>
      </c>
    </row>
    <row r="1925" spans="1:11">
      <c r="A1925" s="33" t="s">
        <v>4843</v>
      </c>
      <c r="B1925" s="33" t="s">
        <v>4844</v>
      </c>
      <c r="C1925" s="33" t="s">
        <v>4087</v>
      </c>
      <c r="D1925" s="33" t="s">
        <v>17</v>
      </c>
      <c r="E1925" s="33" t="s">
        <v>18</v>
      </c>
      <c r="F1925" s="33" t="s">
        <v>19</v>
      </c>
      <c r="G1925" s="33" t="s">
        <v>20</v>
      </c>
      <c r="H1925" s="35">
        <v>1407</v>
      </c>
      <c r="I1925" s="33" t="s">
        <v>21</v>
      </c>
      <c r="J1925" s="42">
        <v>43964</v>
      </c>
      <c r="K1925" s="33" t="s">
        <v>22</v>
      </c>
    </row>
    <row r="1926" spans="1:11">
      <c r="A1926" s="30" t="s">
        <v>4845</v>
      </c>
      <c r="B1926" s="30" t="s">
        <v>4846</v>
      </c>
      <c r="C1926" s="30" t="s">
        <v>178</v>
      </c>
      <c r="D1926" s="30" t="s">
        <v>17</v>
      </c>
      <c r="E1926" s="30" t="s">
        <v>31</v>
      </c>
      <c r="F1926" s="30" t="s">
        <v>32</v>
      </c>
      <c r="G1926" s="30" t="s">
        <v>20</v>
      </c>
      <c r="H1926" s="32">
        <v>172</v>
      </c>
      <c r="I1926" s="30" t="s">
        <v>21</v>
      </c>
      <c r="J1926" s="41">
        <v>44012</v>
      </c>
      <c r="K1926" s="30" t="s">
        <v>22</v>
      </c>
    </row>
    <row r="1927" spans="1:11">
      <c r="A1927" s="33" t="s">
        <v>4847</v>
      </c>
      <c r="B1927" s="33" t="s">
        <v>4848</v>
      </c>
      <c r="C1927" s="33" t="s">
        <v>44</v>
      </c>
      <c r="D1927" s="33" t="s">
        <v>17</v>
      </c>
      <c r="E1927" s="33" t="s">
        <v>212</v>
      </c>
      <c r="F1927" s="33" t="s">
        <v>213</v>
      </c>
      <c r="G1927" s="33" t="s">
        <v>20</v>
      </c>
      <c r="H1927" s="35">
        <v>40</v>
      </c>
      <c r="I1927" s="33" t="s">
        <v>21</v>
      </c>
      <c r="J1927" s="42">
        <v>44028</v>
      </c>
      <c r="K1927" s="33" t="s">
        <v>22</v>
      </c>
    </row>
    <row r="1928" spans="1:11">
      <c r="A1928" s="30" t="s">
        <v>4849</v>
      </c>
      <c r="B1928" s="30" t="s">
        <v>4850</v>
      </c>
      <c r="C1928" s="30" t="s">
        <v>4851</v>
      </c>
      <c r="D1928" s="30" t="s">
        <v>17</v>
      </c>
      <c r="E1928" s="30" t="s">
        <v>67</v>
      </c>
      <c r="F1928" s="30" t="s">
        <v>68</v>
      </c>
      <c r="G1928" s="30" t="s">
        <v>106</v>
      </c>
      <c r="H1928" s="32">
        <v>52</v>
      </c>
      <c r="I1928" s="30" t="s">
        <v>21</v>
      </c>
      <c r="J1928" s="41">
        <v>44062</v>
      </c>
      <c r="K1928" s="30" t="s">
        <v>22</v>
      </c>
    </row>
    <row r="1929" spans="1:11">
      <c r="A1929" s="33" t="s">
        <v>4852</v>
      </c>
      <c r="B1929" s="33" t="s">
        <v>4853</v>
      </c>
      <c r="C1929" s="33" t="s">
        <v>4854</v>
      </c>
      <c r="D1929" s="33" t="s">
        <v>17</v>
      </c>
      <c r="E1929" s="33" t="s">
        <v>26</v>
      </c>
      <c r="F1929" s="33" t="s">
        <v>27</v>
      </c>
      <c r="G1929" s="33" t="s">
        <v>20</v>
      </c>
      <c r="H1929" s="35">
        <v>6</v>
      </c>
      <c r="I1929" s="33" t="s">
        <v>21</v>
      </c>
      <c r="J1929" s="42">
        <v>43915</v>
      </c>
      <c r="K1929" s="33" t="s">
        <v>22</v>
      </c>
    </row>
    <row r="1930" spans="1:11">
      <c r="A1930" s="30" t="s">
        <v>4855</v>
      </c>
      <c r="B1930" s="30" t="s">
        <v>4856</v>
      </c>
      <c r="C1930" s="30" t="s">
        <v>1278</v>
      </c>
      <c r="D1930" s="30" t="s">
        <v>17</v>
      </c>
      <c r="E1930" s="30" t="s">
        <v>67</v>
      </c>
      <c r="F1930" s="30" t="s">
        <v>68</v>
      </c>
      <c r="G1930" s="30" t="s">
        <v>20</v>
      </c>
      <c r="H1930" s="32">
        <v>153</v>
      </c>
      <c r="I1930" s="30" t="s">
        <v>21</v>
      </c>
      <c r="J1930" s="41">
        <v>44181</v>
      </c>
      <c r="K1930" s="30" t="s">
        <v>22</v>
      </c>
    </row>
    <row r="1931" spans="1:11">
      <c r="A1931" s="33" t="s">
        <v>4857</v>
      </c>
      <c r="B1931" s="33" t="s">
        <v>4858</v>
      </c>
      <c r="C1931" s="33" t="s">
        <v>63</v>
      </c>
      <c r="D1931" s="33" t="s">
        <v>17</v>
      </c>
      <c r="E1931" s="33" t="s">
        <v>26</v>
      </c>
      <c r="F1931" s="33" t="s">
        <v>27</v>
      </c>
      <c r="G1931" s="33" t="s">
        <v>20</v>
      </c>
      <c r="H1931" s="35">
        <v>280</v>
      </c>
      <c r="I1931" s="33" t="s">
        <v>21</v>
      </c>
      <c r="J1931" s="42">
        <v>44000</v>
      </c>
      <c r="K1931" s="33" t="s">
        <v>22</v>
      </c>
    </row>
    <row r="1932" spans="1:11">
      <c r="A1932" s="30" t="s">
        <v>4859</v>
      </c>
      <c r="B1932" s="30" t="s">
        <v>4860</v>
      </c>
      <c r="C1932" s="30" t="s">
        <v>3843</v>
      </c>
      <c r="D1932" s="30" t="s">
        <v>17</v>
      </c>
      <c r="E1932" s="30" t="s">
        <v>26</v>
      </c>
      <c r="F1932" s="30" t="s">
        <v>27</v>
      </c>
      <c r="G1932" s="30" t="s">
        <v>20</v>
      </c>
      <c r="H1932" s="32">
        <v>180</v>
      </c>
      <c r="I1932" s="30" t="s">
        <v>21</v>
      </c>
      <c r="J1932" s="41">
        <v>44004</v>
      </c>
      <c r="K1932" s="30" t="s">
        <v>22</v>
      </c>
    </row>
    <row r="1933" spans="1:11">
      <c r="A1933" s="33" t="s">
        <v>4861</v>
      </c>
      <c r="B1933" s="33" t="s">
        <v>4862</v>
      </c>
      <c r="C1933" s="33" t="s">
        <v>4863</v>
      </c>
      <c r="D1933" s="33" t="s">
        <v>17</v>
      </c>
      <c r="E1933" s="33" t="s">
        <v>212</v>
      </c>
      <c r="F1933" s="33" t="s">
        <v>213</v>
      </c>
      <c r="G1933" s="33" t="s">
        <v>50</v>
      </c>
      <c r="H1933" s="35">
        <v>198</v>
      </c>
      <c r="I1933" s="33" t="s">
        <v>51</v>
      </c>
      <c r="J1933" s="42">
        <v>44119</v>
      </c>
      <c r="K1933" s="33" t="s">
        <v>22</v>
      </c>
    </row>
    <row r="1934" spans="1:11">
      <c r="A1934" s="30" t="s">
        <v>4864</v>
      </c>
      <c r="B1934" s="30" t="s">
        <v>4865</v>
      </c>
      <c r="C1934" s="30" t="s">
        <v>178</v>
      </c>
      <c r="D1934" s="30" t="s">
        <v>17</v>
      </c>
      <c r="E1934" s="30" t="s">
        <v>18</v>
      </c>
      <c r="F1934" s="30" t="s">
        <v>19</v>
      </c>
      <c r="G1934" s="30" t="s">
        <v>20</v>
      </c>
      <c r="H1934" s="32">
        <v>649</v>
      </c>
      <c r="I1934" s="30" t="s">
        <v>21</v>
      </c>
      <c r="J1934" s="41">
        <v>43998</v>
      </c>
      <c r="K1934" s="30" t="s">
        <v>22</v>
      </c>
    </row>
    <row r="1935" spans="1:11">
      <c r="A1935" s="33" t="s">
        <v>4866</v>
      </c>
      <c r="B1935" s="33" t="s">
        <v>4867</v>
      </c>
      <c r="C1935" s="33" t="s">
        <v>2120</v>
      </c>
      <c r="D1935" s="33" t="s">
        <v>17</v>
      </c>
      <c r="E1935" s="33" t="s">
        <v>31</v>
      </c>
      <c r="F1935" s="33" t="s">
        <v>32</v>
      </c>
      <c r="G1935" s="33" t="s">
        <v>20</v>
      </c>
      <c r="H1935" s="35">
        <v>156</v>
      </c>
      <c r="I1935" s="33" t="s">
        <v>21</v>
      </c>
      <c r="J1935" s="42">
        <v>43966</v>
      </c>
      <c r="K1935" s="33" t="s">
        <v>22</v>
      </c>
    </row>
    <row r="1936" spans="1:11">
      <c r="A1936" s="30" t="s">
        <v>4868</v>
      </c>
      <c r="B1936" s="30" t="s">
        <v>4869</v>
      </c>
      <c r="C1936" s="30" t="s">
        <v>96</v>
      </c>
      <c r="D1936" s="30" t="s">
        <v>17</v>
      </c>
      <c r="E1936" s="30" t="s">
        <v>26</v>
      </c>
      <c r="F1936" s="30" t="s">
        <v>27</v>
      </c>
      <c r="G1936" s="30" t="s">
        <v>20</v>
      </c>
      <c r="H1936" s="32">
        <v>37</v>
      </c>
      <c r="I1936" s="30" t="s">
        <v>21</v>
      </c>
      <c r="J1936" s="41">
        <v>44130</v>
      </c>
      <c r="K1936" s="30" t="s">
        <v>22</v>
      </c>
    </row>
    <row r="1937" spans="1:11">
      <c r="A1937" s="33" t="s">
        <v>4870</v>
      </c>
      <c r="B1937" s="33" t="s">
        <v>4871</v>
      </c>
      <c r="C1937" s="33" t="s">
        <v>4872</v>
      </c>
      <c r="D1937" s="33" t="s">
        <v>17</v>
      </c>
      <c r="E1937" s="33" t="s">
        <v>67</v>
      </c>
      <c r="F1937" s="33" t="s">
        <v>68</v>
      </c>
      <c r="G1937" s="33" t="s">
        <v>20</v>
      </c>
      <c r="H1937" s="35">
        <v>27</v>
      </c>
      <c r="I1937" s="33" t="s">
        <v>21</v>
      </c>
      <c r="J1937" s="42">
        <v>44000</v>
      </c>
      <c r="K1937" s="33" t="s">
        <v>22</v>
      </c>
    </row>
    <row r="1938" spans="1:11">
      <c r="A1938" s="30" t="s">
        <v>4873</v>
      </c>
      <c r="B1938" s="30" t="s">
        <v>4874</v>
      </c>
      <c r="C1938" s="30" t="s">
        <v>647</v>
      </c>
      <c r="D1938" s="30" t="s">
        <v>17</v>
      </c>
      <c r="E1938" s="30" t="s">
        <v>18</v>
      </c>
      <c r="F1938" s="30" t="s">
        <v>19</v>
      </c>
      <c r="G1938" s="30" t="s">
        <v>20</v>
      </c>
      <c r="H1938" s="32">
        <v>599</v>
      </c>
      <c r="I1938" s="30" t="s">
        <v>21</v>
      </c>
      <c r="J1938" s="41">
        <v>43889</v>
      </c>
      <c r="K1938" s="30" t="s">
        <v>22</v>
      </c>
    </row>
    <row r="1939" spans="1:11">
      <c r="A1939" s="33" t="s">
        <v>4875</v>
      </c>
      <c r="B1939" s="33" t="s">
        <v>4876</v>
      </c>
      <c r="C1939" s="33" t="s">
        <v>4877</v>
      </c>
      <c r="D1939" s="33" t="s">
        <v>17</v>
      </c>
      <c r="E1939" s="33" t="s">
        <v>67</v>
      </c>
      <c r="F1939" s="33" t="s">
        <v>68</v>
      </c>
      <c r="G1939" s="33" t="s">
        <v>112</v>
      </c>
      <c r="H1939" s="35">
        <v>0</v>
      </c>
      <c r="I1939" s="33" t="s">
        <v>21</v>
      </c>
      <c r="J1939" s="42">
        <v>44075</v>
      </c>
      <c r="K1939" s="33" t="s">
        <v>22</v>
      </c>
    </row>
    <row r="1940" spans="1:11">
      <c r="A1940" s="30" t="s">
        <v>4878</v>
      </c>
      <c r="B1940" s="30" t="s">
        <v>4879</v>
      </c>
      <c r="C1940" s="30" t="s">
        <v>647</v>
      </c>
      <c r="D1940" s="30" t="s">
        <v>17</v>
      </c>
      <c r="E1940" s="30" t="s">
        <v>31</v>
      </c>
      <c r="F1940" s="30" t="s">
        <v>32</v>
      </c>
      <c r="G1940" s="30" t="s">
        <v>106</v>
      </c>
      <c r="H1940" s="32">
        <v>183</v>
      </c>
      <c r="I1940" s="30" t="s">
        <v>21</v>
      </c>
      <c r="J1940" s="41">
        <v>44146</v>
      </c>
      <c r="K1940" s="30" t="s">
        <v>22</v>
      </c>
    </row>
    <row r="1941" spans="1:11">
      <c r="A1941" s="33" t="s">
        <v>4880</v>
      </c>
      <c r="B1941" s="33" t="s">
        <v>4881</v>
      </c>
      <c r="C1941" s="33" t="s">
        <v>4627</v>
      </c>
      <c r="D1941" s="33" t="s">
        <v>17</v>
      </c>
      <c r="E1941" s="33" t="s">
        <v>212</v>
      </c>
      <c r="F1941" s="33" t="s">
        <v>213</v>
      </c>
      <c r="G1941" s="33" t="s">
        <v>50</v>
      </c>
      <c r="H1941" s="35">
        <v>158</v>
      </c>
      <c r="I1941" s="33" t="s">
        <v>51</v>
      </c>
      <c r="J1941" s="42">
        <v>43973</v>
      </c>
      <c r="K1941" s="33" t="s">
        <v>22</v>
      </c>
    </row>
    <row r="1942" spans="1:11">
      <c r="A1942" s="30" t="s">
        <v>4882</v>
      </c>
      <c r="B1942" s="30" t="s">
        <v>4883</v>
      </c>
      <c r="C1942" s="30" t="s">
        <v>2500</v>
      </c>
      <c r="D1942" s="30" t="s">
        <v>17</v>
      </c>
      <c r="E1942" s="30" t="s">
        <v>67</v>
      </c>
      <c r="F1942" s="30" t="s">
        <v>68</v>
      </c>
      <c r="G1942" s="30" t="s">
        <v>106</v>
      </c>
      <c r="H1942" s="32">
        <v>2</v>
      </c>
      <c r="I1942" s="30" t="s">
        <v>21</v>
      </c>
      <c r="J1942" s="41">
        <v>44193</v>
      </c>
      <c r="K1942" s="30" t="s">
        <v>22</v>
      </c>
    </row>
    <row r="1943" spans="1:11">
      <c r="A1943" s="33" t="s">
        <v>4884</v>
      </c>
      <c r="B1943" s="33" t="s">
        <v>4885</v>
      </c>
      <c r="C1943" s="33" t="s">
        <v>109</v>
      </c>
      <c r="D1943" s="33" t="s">
        <v>17</v>
      </c>
      <c r="E1943" s="33" t="s">
        <v>31</v>
      </c>
      <c r="F1943" s="33" t="s">
        <v>32</v>
      </c>
      <c r="G1943" s="33" t="s">
        <v>20</v>
      </c>
      <c r="H1943" s="35">
        <v>46</v>
      </c>
      <c r="I1943" s="33" t="s">
        <v>21</v>
      </c>
      <c r="J1943" s="42">
        <v>43971</v>
      </c>
      <c r="K1943" s="33" t="s">
        <v>22</v>
      </c>
    </row>
    <row r="1944" spans="1:11">
      <c r="A1944" s="30" t="s">
        <v>4886</v>
      </c>
      <c r="B1944" s="30" t="s">
        <v>4887</v>
      </c>
      <c r="C1944" s="30" t="s">
        <v>136</v>
      </c>
      <c r="D1944" s="30" t="s">
        <v>17</v>
      </c>
      <c r="E1944" s="30" t="s">
        <v>26</v>
      </c>
      <c r="F1944" s="30" t="s">
        <v>27</v>
      </c>
      <c r="G1944" s="30" t="s">
        <v>106</v>
      </c>
      <c r="H1944" s="32">
        <v>104</v>
      </c>
      <c r="I1944" s="30" t="s">
        <v>21</v>
      </c>
      <c r="J1944" s="41">
        <v>44124</v>
      </c>
      <c r="K1944" s="30" t="s">
        <v>22</v>
      </c>
    </row>
    <row r="1945" spans="1:11">
      <c r="A1945" s="33" t="s">
        <v>4888</v>
      </c>
      <c r="B1945" s="33" t="s">
        <v>4889</v>
      </c>
      <c r="C1945" s="33" t="s">
        <v>203</v>
      </c>
      <c r="D1945" s="33" t="s">
        <v>17</v>
      </c>
      <c r="E1945" s="33" t="s">
        <v>18</v>
      </c>
      <c r="F1945" s="33" t="s">
        <v>19</v>
      </c>
      <c r="G1945" s="33" t="s">
        <v>20</v>
      </c>
      <c r="H1945" s="35">
        <v>160</v>
      </c>
      <c r="I1945" s="33" t="s">
        <v>21</v>
      </c>
      <c r="J1945" s="42">
        <v>43846</v>
      </c>
      <c r="K1945" s="33" t="s">
        <v>22</v>
      </c>
    </row>
    <row r="1946" spans="1:11">
      <c r="A1946" s="30" t="s">
        <v>4890</v>
      </c>
      <c r="B1946" s="30" t="s">
        <v>4891</v>
      </c>
      <c r="C1946" s="30" t="s">
        <v>925</v>
      </c>
      <c r="D1946" s="30" t="s">
        <v>17</v>
      </c>
      <c r="E1946" s="30" t="s">
        <v>67</v>
      </c>
      <c r="F1946" s="30" t="s">
        <v>68</v>
      </c>
      <c r="G1946" s="30" t="s">
        <v>20</v>
      </c>
      <c r="H1946" s="32">
        <v>156</v>
      </c>
      <c r="I1946" s="30" t="s">
        <v>21</v>
      </c>
      <c r="J1946" s="41">
        <v>44088</v>
      </c>
      <c r="K1946" s="30" t="s">
        <v>22</v>
      </c>
    </row>
    <row r="1947" spans="1:11">
      <c r="A1947" s="33" t="s">
        <v>4892</v>
      </c>
      <c r="B1947" s="33" t="s">
        <v>4893</v>
      </c>
      <c r="C1947" s="33" t="s">
        <v>109</v>
      </c>
      <c r="D1947" s="33" t="s">
        <v>17</v>
      </c>
      <c r="E1947" s="33" t="s">
        <v>18</v>
      </c>
      <c r="F1947" s="33" t="s">
        <v>19</v>
      </c>
      <c r="G1947" s="33" t="s">
        <v>20</v>
      </c>
      <c r="H1947" s="35">
        <v>119</v>
      </c>
      <c r="I1947" s="33" t="s">
        <v>21</v>
      </c>
      <c r="J1947" s="42">
        <v>44186</v>
      </c>
      <c r="K1947" s="33" t="s">
        <v>22</v>
      </c>
    </row>
    <row r="1948" spans="1:11">
      <c r="A1948" s="30" t="s">
        <v>4894</v>
      </c>
      <c r="B1948" s="30" t="s">
        <v>4895</v>
      </c>
      <c r="C1948" s="30" t="s">
        <v>4596</v>
      </c>
      <c r="D1948" s="30" t="s">
        <v>17</v>
      </c>
      <c r="E1948" s="30" t="s">
        <v>31</v>
      </c>
      <c r="F1948" s="30" t="s">
        <v>32</v>
      </c>
      <c r="G1948" s="30" t="s">
        <v>20</v>
      </c>
      <c r="H1948" s="32">
        <v>440</v>
      </c>
      <c r="I1948" s="30" t="s">
        <v>21</v>
      </c>
      <c r="J1948" s="41">
        <v>43972</v>
      </c>
      <c r="K1948" s="30" t="s">
        <v>22</v>
      </c>
    </row>
    <row r="1949" spans="1:11">
      <c r="A1949" s="33" t="s">
        <v>4896</v>
      </c>
      <c r="B1949" s="33" t="s">
        <v>4897</v>
      </c>
      <c r="C1949" s="33" t="s">
        <v>647</v>
      </c>
      <c r="D1949" s="33" t="s">
        <v>17</v>
      </c>
      <c r="E1949" s="33" t="s">
        <v>18</v>
      </c>
      <c r="F1949" s="33" t="s">
        <v>19</v>
      </c>
      <c r="G1949" s="33" t="s">
        <v>20</v>
      </c>
      <c r="H1949" s="35">
        <v>511</v>
      </c>
      <c r="I1949" s="33" t="s">
        <v>21</v>
      </c>
      <c r="J1949" s="42">
        <v>43866</v>
      </c>
      <c r="K1949" s="33" t="s">
        <v>22</v>
      </c>
    </row>
    <row r="1950" spans="1:11">
      <c r="A1950" s="30" t="s">
        <v>4898</v>
      </c>
      <c r="B1950" s="30" t="s">
        <v>4899</v>
      </c>
      <c r="C1950" s="30" t="s">
        <v>4900</v>
      </c>
      <c r="D1950" s="30" t="s">
        <v>17</v>
      </c>
      <c r="E1950" s="30" t="s">
        <v>31</v>
      </c>
      <c r="F1950" s="30" t="s">
        <v>32</v>
      </c>
      <c r="G1950" s="30" t="s">
        <v>69</v>
      </c>
      <c r="H1950" s="32">
        <v>36</v>
      </c>
      <c r="I1950" s="30" t="s">
        <v>51</v>
      </c>
      <c r="J1950" s="41">
        <v>43993</v>
      </c>
      <c r="K1950" s="30" t="s">
        <v>22</v>
      </c>
    </row>
    <row r="1951" spans="1:11">
      <c r="A1951" s="33" t="s">
        <v>4901</v>
      </c>
      <c r="B1951" s="33" t="s">
        <v>4902</v>
      </c>
      <c r="C1951" s="33" t="s">
        <v>57</v>
      </c>
      <c r="D1951" s="33" t="s">
        <v>17</v>
      </c>
      <c r="E1951" s="33" t="s">
        <v>26</v>
      </c>
      <c r="F1951" s="33" t="s">
        <v>27</v>
      </c>
      <c r="G1951" s="33" t="s">
        <v>50</v>
      </c>
      <c r="H1951" s="35">
        <v>32</v>
      </c>
      <c r="I1951" s="33" t="s">
        <v>51</v>
      </c>
      <c r="J1951" s="42">
        <v>44044</v>
      </c>
      <c r="K1951" s="33" t="s">
        <v>22</v>
      </c>
    </row>
    <row r="1952" spans="1:11">
      <c r="A1952" s="30" t="s">
        <v>4903</v>
      </c>
      <c r="B1952" s="30" t="s">
        <v>4904</v>
      </c>
      <c r="C1952" s="30" t="s">
        <v>969</v>
      </c>
      <c r="D1952" s="30" t="s">
        <v>17</v>
      </c>
      <c r="E1952" s="30" t="s">
        <v>18</v>
      </c>
      <c r="F1952" s="30" t="s">
        <v>19</v>
      </c>
      <c r="G1952" s="30" t="s">
        <v>158</v>
      </c>
      <c r="H1952" s="32">
        <v>242</v>
      </c>
      <c r="I1952" s="30" t="s">
        <v>21</v>
      </c>
      <c r="J1952" s="41">
        <v>44026</v>
      </c>
      <c r="K1952" s="30" t="s">
        <v>22</v>
      </c>
    </row>
    <row r="1953" spans="1:11">
      <c r="A1953" s="33" t="s">
        <v>4905</v>
      </c>
      <c r="B1953" s="33" t="s">
        <v>4906</v>
      </c>
      <c r="C1953" s="33" t="s">
        <v>154</v>
      </c>
      <c r="D1953" s="33" t="s">
        <v>17</v>
      </c>
      <c r="E1953" s="33" t="s">
        <v>26</v>
      </c>
      <c r="F1953" s="33" t="s">
        <v>27</v>
      </c>
      <c r="G1953" s="33" t="s">
        <v>20</v>
      </c>
      <c r="H1953" s="35">
        <v>26</v>
      </c>
      <c r="I1953" s="33" t="s">
        <v>21</v>
      </c>
      <c r="J1953" s="42">
        <v>44035</v>
      </c>
      <c r="K1953" s="33" t="s">
        <v>22</v>
      </c>
    </row>
    <row r="1954" spans="1:11">
      <c r="A1954" s="30" t="s">
        <v>4907</v>
      </c>
      <c r="B1954" s="30" t="s">
        <v>4908</v>
      </c>
      <c r="C1954" s="30" t="s">
        <v>4909</v>
      </c>
      <c r="D1954" s="30" t="s">
        <v>17</v>
      </c>
      <c r="E1954" s="30" t="s">
        <v>67</v>
      </c>
      <c r="F1954" s="30" t="s">
        <v>68</v>
      </c>
      <c r="G1954" s="30" t="s">
        <v>106</v>
      </c>
      <c r="H1954" s="32">
        <v>1</v>
      </c>
      <c r="I1954" s="30" t="s">
        <v>21</v>
      </c>
      <c r="J1954" s="41">
        <v>44152</v>
      </c>
      <c r="K1954" s="30" t="s">
        <v>22</v>
      </c>
    </row>
    <row r="1955" spans="1:11">
      <c r="A1955" s="33" t="s">
        <v>4910</v>
      </c>
      <c r="B1955" s="33" t="s">
        <v>4911</v>
      </c>
      <c r="C1955" s="33" t="s">
        <v>93</v>
      </c>
      <c r="D1955" s="33" t="s">
        <v>17</v>
      </c>
      <c r="E1955" s="33" t="s">
        <v>26</v>
      </c>
      <c r="F1955" s="33" t="s">
        <v>27</v>
      </c>
      <c r="G1955" s="33" t="s">
        <v>106</v>
      </c>
      <c r="H1955" s="35">
        <v>4</v>
      </c>
      <c r="I1955" s="33" t="s">
        <v>21</v>
      </c>
      <c r="J1955" s="42">
        <v>43972</v>
      </c>
      <c r="K1955" s="33" t="s">
        <v>22</v>
      </c>
    </row>
    <row r="1956" spans="1:11">
      <c r="A1956" s="30" t="s">
        <v>4912</v>
      </c>
      <c r="B1956" s="30" t="s">
        <v>4913</v>
      </c>
      <c r="C1956" s="30" t="s">
        <v>326</v>
      </c>
      <c r="D1956" s="30" t="s">
        <v>17</v>
      </c>
      <c r="E1956" s="30" t="s">
        <v>26</v>
      </c>
      <c r="F1956" s="30" t="s">
        <v>27</v>
      </c>
      <c r="G1956" s="30" t="s">
        <v>20</v>
      </c>
      <c r="H1956" s="32">
        <v>34</v>
      </c>
      <c r="I1956" s="30" t="s">
        <v>21</v>
      </c>
      <c r="J1956" s="41">
        <v>44123</v>
      </c>
      <c r="K1956" s="30" t="s">
        <v>22</v>
      </c>
    </row>
    <row r="1957" spans="1:11">
      <c r="A1957" s="33" t="s">
        <v>4914</v>
      </c>
      <c r="B1957" s="33" t="s">
        <v>4915</v>
      </c>
      <c r="C1957" s="33" t="s">
        <v>753</v>
      </c>
      <c r="D1957" s="33" t="s">
        <v>17</v>
      </c>
      <c r="E1957" s="33" t="s">
        <v>26</v>
      </c>
      <c r="F1957" s="33" t="s">
        <v>27</v>
      </c>
      <c r="G1957" s="33" t="s">
        <v>20</v>
      </c>
      <c r="H1957" s="35">
        <v>66</v>
      </c>
      <c r="I1957" s="33" t="s">
        <v>21</v>
      </c>
      <c r="J1957" s="42">
        <v>43913</v>
      </c>
      <c r="K1957" s="33" t="s">
        <v>22</v>
      </c>
    </row>
    <row r="1958" spans="1:11">
      <c r="A1958" s="30" t="s">
        <v>4916</v>
      </c>
      <c r="B1958" s="30" t="s">
        <v>4917</v>
      </c>
      <c r="C1958" s="30" t="s">
        <v>4918</v>
      </c>
      <c r="D1958" s="30" t="s">
        <v>17</v>
      </c>
      <c r="E1958" s="30" t="s">
        <v>26</v>
      </c>
      <c r="F1958" s="30" t="s">
        <v>27</v>
      </c>
      <c r="G1958" s="30" t="s">
        <v>20</v>
      </c>
      <c r="H1958" s="32">
        <v>16</v>
      </c>
      <c r="I1958" s="30" t="s">
        <v>21</v>
      </c>
      <c r="J1958" s="41">
        <v>43880</v>
      </c>
      <c r="K1958" s="30" t="s">
        <v>22</v>
      </c>
    </row>
    <row r="1959" spans="1:11">
      <c r="A1959" s="33" t="s">
        <v>4919</v>
      </c>
      <c r="B1959" s="33" t="s">
        <v>4920</v>
      </c>
      <c r="C1959" s="33" t="s">
        <v>936</v>
      </c>
      <c r="D1959" s="33" t="s">
        <v>17</v>
      </c>
      <c r="E1959" s="33" t="s">
        <v>45</v>
      </c>
      <c r="F1959" s="33" t="s">
        <v>46</v>
      </c>
      <c r="G1959" s="33" t="s">
        <v>106</v>
      </c>
      <c r="H1959" s="35">
        <v>27</v>
      </c>
      <c r="I1959" s="33" t="s">
        <v>21</v>
      </c>
      <c r="J1959" s="42">
        <v>44020</v>
      </c>
      <c r="K1959" s="33" t="s">
        <v>22</v>
      </c>
    </row>
    <row r="1960" spans="1:11">
      <c r="A1960" s="30" t="s">
        <v>4921</v>
      </c>
      <c r="B1960" s="30" t="s">
        <v>4922</v>
      </c>
      <c r="C1960" s="30" t="s">
        <v>4923</v>
      </c>
      <c r="D1960" s="30" t="s">
        <v>17</v>
      </c>
      <c r="E1960" s="30" t="s">
        <v>31</v>
      </c>
      <c r="F1960" s="30" t="s">
        <v>32</v>
      </c>
      <c r="G1960" s="30" t="s">
        <v>20</v>
      </c>
      <c r="H1960" s="32">
        <v>82</v>
      </c>
      <c r="I1960" s="30" t="s">
        <v>21</v>
      </c>
      <c r="J1960" s="41">
        <v>44041</v>
      </c>
      <c r="K1960" s="30" t="s">
        <v>22</v>
      </c>
    </row>
    <row r="1961" spans="1:11">
      <c r="A1961" s="33" t="s">
        <v>4924</v>
      </c>
      <c r="B1961" s="33" t="s">
        <v>4925</v>
      </c>
      <c r="C1961" s="33" t="s">
        <v>60</v>
      </c>
      <c r="D1961" s="33" t="s">
        <v>17</v>
      </c>
      <c r="E1961" s="33" t="s">
        <v>31</v>
      </c>
      <c r="F1961" s="33" t="s">
        <v>32</v>
      </c>
      <c r="G1961" s="33" t="s">
        <v>20</v>
      </c>
      <c r="H1961" s="35">
        <v>44</v>
      </c>
      <c r="I1961" s="33" t="s">
        <v>21</v>
      </c>
      <c r="J1961" s="42">
        <v>44036</v>
      </c>
      <c r="K1961" s="33" t="s">
        <v>22</v>
      </c>
    </row>
    <row r="1962" spans="1:11">
      <c r="A1962" s="30" t="s">
        <v>4926</v>
      </c>
      <c r="B1962" s="30" t="s">
        <v>4927</v>
      </c>
      <c r="C1962" s="30" t="s">
        <v>4928</v>
      </c>
      <c r="D1962" s="30" t="s">
        <v>17</v>
      </c>
      <c r="E1962" s="30" t="s">
        <v>18</v>
      </c>
      <c r="F1962" s="30" t="s">
        <v>19</v>
      </c>
      <c r="G1962" s="30" t="s">
        <v>20</v>
      </c>
      <c r="H1962" s="32">
        <v>87</v>
      </c>
      <c r="I1962" s="30" t="s">
        <v>21</v>
      </c>
      <c r="J1962" s="41">
        <v>43880</v>
      </c>
      <c r="K1962" s="30" t="s">
        <v>22</v>
      </c>
    </row>
    <row r="1963" spans="1:11">
      <c r="A1963" s="33" t="s">
        <v>4929</v>
      </c>
      <c r="B1963" s="33" t="s">
        <v>4930</v>
      </c>
      <c r="C1963" s="33" t="s">
        <v>4931</v>
      </c>
      <c r="D1963" s="33" t="s">
        <v>17</v>
      </c>
      <c r="E1963" s="33" t="s">
        <v>67</v>
      </c>
      <c r="F1963" s="33" t="s">
        <v>68</v>
      </c>
      <c r="G1963" s="33" t="s">
        <v>20</v>
      </c>
      <c r="H1963" s="35">
        <v>27</v>
      </c>
      <c r="I1963" s="33" t="s">
        <v>21</v>
      </c>
      <c r="J1963" s="42">
        <v>44089</v>
      </c>
      <c r="K1963" s="33" t="s">
        <v>22</v>
      </c>
    </row>
    <row r="1964" spans="1:11">
      <c r="A1964" s="30" t="s">
        <v>4932</v>
      </c>
      <c r="B1964" s="30" t="s">
        <v>4933</v>
      </c>
      <c r="C1964" s="30" t="s">
        <v>4934</v>
      </c>
      <c r="D1964" s="30" t="s">
        <v>17</v>
      </c>
      <c r="E1964" s="30" t="s">
        <v>31</v>
      </c>
      <c r="F1964" s="30" t="s">
        <v>32</v>
      </c>
      <c r="G1964" s="30" t="s">
        <v>106</v>
      </c>
      <c r="H1964" s="32">
        <v>110</v>
      </c>
      <c r="I1964" s="30" t="s">
        <v>21</v>
      </c>
      <c r="J1964" s="41">
        <v>44194</v>
      </c>
      <c r="K1964" s="30" t="s">
        <v>22</v>
      </c>
    </row>
    <row r="1965" spans="1:11">
      <c r="A1965" s="33" t="s">
        <v>4935</v>
      </c>
      <c r="B1965" s="33" t="s">
        <v>4936</v>
      </c>
      <c r="C1965" s="33" t="s">
        <v>603</v>
      </c>
      <c r="D1965" s="33" t="s">
        <v>17</v>
      </c>
      <c r="E1965" s="33" t="s">
        <v>26</v>
      </c>
      <c r="F1965" s="33" t="s">
        <v>27</v>
      </c>
      <c r="G1965" s="33" t="s">
        <v>20</v>
      </c>
      <c r="H1965" s="35">
        <v>26</v>
      </c>
      <c r="I1965" s="33" t="s">
        <v>21</v>
      </c>
      <c r="J1965" s="42">
        <v>44056</v>
      </c>
      <c r="K1965" s="33" t="s">
        <v>22</v>
      </c>
    </row>
    <row r="1966" spans="1:11">
      <c r="A1966" s="30" t="s">
        <v>4937</v>
      </c>
      <c r="B1966" s="30" t="s">
        <v>4938</v>
      </c>
      <c r="C1966" s="30" t="s">
        <v>1981</v>
      </c>
      <c r="D1966" s="30" t="s">
        <v>17</v>
      </c>
      <c r="E1966" s="30" t="s">
        <v>26</v>
      </c>
      <c r="F1966" s="30" t="s">
        <v>27</v>
      </c>
      <c r="G1966" s="30" t="s">
        <v>158</v>
      </c>
      <c r="H1966" s="32">
        <v>123</v>
      </c>
      <c r="I1966" s="30" t="s">
        <v>51</v>
      </c>
      <c r="J1966" s="41">
        <v>44194</v>
      </c>
      <c r="K1966" s="30" t="s">
        <v>22</v>
      </c>
    </row>
    <row r="1967" spans="1:11">
      <c r="A1967" s="33" t="s">
        <v>4939</v>
      </c>
      <c r="B1967" s="33" t="s">
        <v>4940</v>
      </c>
      <c r="C1967" s="33" t="s">
        <v>4941</v>
      </c>
      <c r="D1967" s="33" t="s">
        <v>17</v>
      </c>
      <c r="E1967" s="33" t="s">
        <v>26</v>
      </c>
      <c r="F1967" s="33" t="s">
        <v>27</v>
      </c>
      <c r="G1967" s="33" t="s">
        <v>20</v>
      </c>
      <c r="H1967" s="35">
        <v>6</v>
      </c>
      <c r="I1967" s="33" t="s">
        <v>21</v>
      </c>
      <c r="J1967" s="42">
        <v>44120</v>
      </c>
      <c r="K1967" s="33" t="s">
        <v>22</v>
      </c>
    </row>
    <row r="1968" spans="1:11">
      <c r="A1968" s="30" t="s">
        <v>4942</v>
      </c>
      <c r="B1968" s="30" t="s">
        <v>4943</v>
      </c>
      <c r="C1968" s="30" t="s">
        <v>4944</v>
      </c>
      <c r="D1968" s="30" t="s">
        <v>17</v>
      </c>
      <c r="E1968" s="30" t="s">
        <v>212</v>
      </c>
      <c r="F1968" s="30" t="s">
        <v>213</v>
      </c>
      <c r="G1968" s="30" t="s">
        <v>158</v>
      </c>
      <c r="H1968" s="32">
        <v>300</v>
      </c>
      <c r="I1968" s="30" t="s">
        <v>51</v>
      </c>
      <c r="J1968" s="41">
        <v>44074</v>
      </c>
      <c r="K1968" s="30" t="s">
        <v>22</v>
      </c>
    </row>
    <row r="1969" spans="1:11">
      <c r="A1969" s="33" t="s">
        <v>4945</v>
      </c>
      <c r="B1969" s="33" t="s">
        <v>4946</v>
      </c>
      <c r="C1969" s="33" t="s">
        <v>432</v>
      </c>
      <c r="D1969" s="33" t="s">
        <v>17</v>
      </c>
      <c r="E1969" s="33" t="s">
        <v>26</v>
      </c>
      <c r="F1969" s="33" t="s">
        <v>27</v>
      </c>
      <c r="G1969" s="33" t="s">
        <v>20</v>
      </c>
      <c r="H1969" s="35">
        <v>34</v>
      </c>
      <c r="I1969" s="33" t="s">
        <v>21</v>
      </c>
      <c r="J1969" s="42">
        <v>44096</v>
      </c>
      <c r="K1969" s="33" t="s">
        <v>22</v>
      </c>
    </row>
    <row r="1970" spans="1:11">
      <c r="A1970" s="30" t="s">
        <v>4947</v>
      </c>
      <c r="B1970" s="30" t="s">
        <v>4948</v>
      </c>
      <c r="C1970" s="30" t="s">
        <v>146</v>
      </c>
      <c r="D1970" s="30" t="s">
        <v>17</v>
      </c>
      <c r="E1970" s="30" t="s">
        <v>26</v>
      </c>
      <c r="F1970" s="30" t="s">
        <v>27</v>
      </c>
      <c r="G1970" s="30" t="s">
        <v>20</v>
      </c>
      <c r="H1970" s="32">
        <v>24</v>
      </c>
      <c r="I1970" s="30" t="s">
        <v>21</v>
      </c>
      <c r="J1970" s="41">
        <v>44128</v>
      </c>
      <c r="K1970" s="30" t="s">
        <v>22</v>
      </c>
    </row>
    <row r="1971" spans="1:11">
      <c r="A1971" s="33" t="s">
        <v>4949</v>
      </c>
      <c r="B1971" s="33" t="s">
        <v>4950</v>
      </c>
      <c r="C1971" s="33" t="s">
        <v>969</v>
      </c>
      <c r="D1971" s="33" t="s">
        <v>17</v>
      </c>
      <c r="E1971" s="33" t="s">
        <v>18</v>
      </c>
      <c r="F1971" s="33" t="s">
        <v>19</v>
      </c>
      <c r="G1971" s="33" t="s">
        <v>158</v>
      </c>
      <c r="H1971" s="35">
        <v>302</v>
      </c>
      <c r="I1971" s="33" t="s">
        <v>21</v>
      </c>
      <c r="J1971" s="42">
        <v>44105</v>
      </c>
      <c r="K1971" s="33" t="s">
        <v>22</v>
      </c>
    </row>
    <row r="1972" spans="1:11">
      <c r="A1972" s="30" t="s">
        <v>4951</v>
      </c>
      <c r="B1972" s="30" t="s">
        <v>4952</v>
      </c>
      <c r="C1972" s="30" t="s">
        <v>715</v>
      </c>
      <c r="D1972" s="30" t="s">
        <v>17</v>
      </c>
      <c r="E1972" s="30" t="s">
        <v>26</v>
      </c>
      <c r="F1972" s="30" t="s">
        <v>27</v>
      </c>
      <c r="G1972" s="30" t="s">
        <v>20</v>
      </c>
      <c r="H1972" s="32">
        <v>24</v>
      </c>
      <c r="I1972" s="30" t="s">
        <v>21</v>
      </c>
      <c r="J1972" s="41">
        <v>44012</v>
      </c>
      <c r="K1972" s="30" t="s">
        <v>22</v>
      </c>
    </row>
    <row r="1973" spans="1:11">
      <c r="A1973" s="33" t="s">
        <v>4953</v>
      </c>
      <c r="B1973" s="33" t="s">
        <v>4954</v>
      </c>
      <c r="C1973" s="33" t="s">
        <v>1085</v>
      </c>
      <c r="D1973" s="33" t="s">
        <v>17</v>
      </c>
      <c r="E1973" s="33" t="s">
        <v>26</v>
      </c>
      <c r="F1973" s="33" t="s">
        <v>27</v>
      </c>
      <c r="G1973" s="33" t="s">
        <v>20</v>
      </c>
      <c r="H1973" s="35">
        <v>51</v>
      </c>
      <c r="I1973" s="33" t="s">
        <v>21</v>
      </c>
      <c r="J1973" s="42">
        <v>43906</v>
      </c>
      <c r="K1973" s="33" t="s">
        <v>22</v>
      </c>
    </row>
    <row r="1974" spans="1:11">
      <c r="A1974" s="30" t="s">
        <v>4955</v>
      </c>
      <c r="B1974" s="30" t="s">
        <v>4956</v>
      </c>
      <c r="C1974" s="30" t="s">
        <v>54</v>
      </c>
      <c r="D1974" s="30" t="s">
        <v>17</v>
      </c>
      <c r="E1974" s="30" t="s">
        <v>26</v>
      </c>
      <c r="F1974" s="30" t="s">
        <v>27</v>
      </c>
      <c r="G1974" s="30" t="s">
        <v>20</v>
      </c>
      <c r="H1974" s="32">
        <v>32</v>
      </c>
      <c r="I1974" s="30" t="s">
        <v>21</v>
      </c>
      <c r="J1974" s="41">
        <v>44167</v>
      </c>
      <c r="K1974" s="30" t="s">
        <v>22</v>
      </c>
    </row>
    <row r="1975" spans="1:11">
      <c r="A1975" s="33" t="s">
        <v>4957</v>
      </c>
      <c r="B1975" s="33" t="s">
        <v>4958</v>
      </c>
      <c r="C1975" s="33" t="s">
        <v>4959</v>
      </c>
      <c r="D1975" s="33" t="s">
        <v>17</v>
      </c>
      <c r="E1975" s="33" t="s">
        <v>31</v>
      </c>
      <c r="F1975" s="33" t="s">
        <v>32</v>
      </c>
      <c r="G1975" s="33" t="s">
        <v>20</v>
      </c>
      <c r="H1975" s="35">
        <v>21</v>
      </c>
      <c r="I1975" s="33" t="s">
        <v>21</v>
      </c>
      <c r="J1975" s="42">
        <v>44006</v>
      </c>
      <c r="K1975" s="33" t="s">
        <v>22</v>
      </c>
    </row>
    <row r="1976" spans="1:11">
      <c r="A1976" s="30" t="s">
        <v>4960</v>
      </c>
      <c r="B1976" s="30" t="s">
        <v>4961</v>
      </c>
      <c r="C1976" s="30" t="s">
        <v>4962</v>
      </c>
      <c r="D1976" s="30" t="s">
        <v>17</v>
      </c>
      <c r="E1976" s="30" t="s">
        <v>31</v>
      </c>
      <c r="F1976" s="30" t="s">
        <v>32</v>
      </c>
      <c r="G1976" s="30" t="s">
        <v>20</v>
      </c>
      <c r="H1976" s="32">
        <v>60</v>
      </c>
      <c r="I1976" s="30" t="s">
        <v>21</v>
      </c>
      <c r="J1976" s="41">
        <v>44075</v>
      </c>
      <c r="K1976" s="30" t="s">
        <v>22</v>
      </c>
    </row>
    <row r="1977" spans="1:11">
      <c r="A1977" s="33" t="s">
        <v>4963</v>
      </c>
      <c r="B1977" s="33" t="s">
        <v>4964</v>
      </c>
      <c r="C1977" s="33" t="s">
        <v>118</v>
      </c>
      <c r="D1977" s="33" t="s">
        <v>17</v>
      </c>
      <c r="E1977" s="33" t="s">
        <v>31</v>
      </c>
      <c r="F1977" s="33" t="s">
        <v>32</v>
      </c>
      <c r="G1977" s="33" t="s">
        <v>20</v>
      </c>
      <c r="H1977" s="35">
        <v>755</v>
      </c>
      <c r="I1977" s="33" t="s">
        <v>21</v>
      </c>
      <c r="J1977" s="42">
        <v>43860</v>
      </c>
      <c r="K1977" s="33" t="s">
        <v>22</v>
      </c>
    </row>
    <row r="1978" spans="1:11">
      <c r="A1978" s="30" t="s">
        <v>4965</v>
      </c>
      <c r="B1978" s="30" t="s">
        <v>4966</v>
      </c>
      <c r="C1978" s="30" t="s">
        <v>4967</v>
      </c>
      <c r="D1978" s="30" t="s">
        <v>17</v>
      </c>
      <c r="E1978" s="30" t="s">
        <v>67</v>
      </c>
      <c r="F1978" s="30" t="s">
        <v>68</v>
      </c>
      <c r="G1978" s="30" t="s">
        <v>20</v>
      </c>
      <c r="H1978" s="32">
        <v>18</v>
      </c>
      <c r="I1978" s="30" t="s">
        <v>21</v>
      </c>
      <c r="J1978" s="41">
        <v>43914</v>
      </c>
      <c r="K1978" s="30" t="s">
        <v>22</v>
      </c>
    </row>
    <row r="1979" spans="1:11">
      <c r="A1979" s="33" t="s">
        <v>4968</v>
      </c>
      <c r="B1979" s="33" t="s">
        <v>4969</v>
      </c>
      <c r="C1979" s="33" t="s">
        <v>4970</v>
      </c>
      <c r="D1979" s="33" t="s">
        <v>17</v>
      </c>
      <c r="E1979" s="33" t="s">
        <v>67</v>
      </c>
      <c r="F1979" s="33" t="s">
        <v>68</v>
      </c>
      <c r="G1979" s="33" t="s">
        <v>158</v>
      </c>
      <c r="H1979" s="35">
        <v>16</v>
      </c>
      <c r="I1979" s="33" t="s">
        <v>51</v>
      </c>
      <c r="J1979" s="42">
        <v>43888</v>
      </c>
      <c r="K1979" s="33" t="s">
        <v>22</v>
      </c>
    </row>
    <row r="1980" spans="1:11">
      <c r="A1980" s="30" t="s">
        <v>4971</v>
      </c>
      <c r="B1980" s="30" t="s">
        <v>4972</v>
      </c>
      <c r="C1980" s="30" t="s">
        <v>3137</v>
      </c>
      <c r="D1980" s="30" t="s">
        <v>17</v>
      </c>
      <c r="E1980" s="30" t="s">
        <v>31</v>
      </c>
      <c r="F1980" s="30" t="s">
        <v>32</v>
      </c>
      <c r="G1980" s="30" t="s">
        <v>20</v>
      </c>
      <c r="H1980" s="32">
        <v>40</v>
      </c>
      <c r="I1980" s="30" t="s">
        <v>21</v>
      </c>
      <c r="J1980" s="41">
        <v>44091</v>
      </c>
      <c r="K1980" s="30" t="s">
        <v>22</v>
      </c>
    </row>
    <row r="1981" spans="1:11">
      <c r="A1981" s="33" t="s">
        <v>4973</v>
      </c>
      <c r="B1981" s="33" t="s">
        <v>4974</v>
      </c>
      <c r="C1981" s="33" t="s">
        <v>4975</v>
      </c>
      <c r="D1981" s="33" t="s">
        <v>17</v>
      </c>
      <c r="E1981" s="33" t="s">
        <v>31</v>
      </c>
      <c r="F1981" s="33" t="s">
        <v>32</v>
      </c>
      <c r="G1981" s="33" t="s">
        <v>50</v>
      </c>
      <c r="H1981" s="35">
        <v>230</v>
      </c>
      <c r="I1981" s="33" t="s">
        <v>51</v>
      </c>
      <c r="J1981" s="42">
        <v>44071</v>
      </c>
      <c r="K1981" s="33" t="s">
        <v>22</v>
      </c>
    </row>
    <row r="1982" spans="1:11">
      <c r="A1982" s="30" t="s">
        <v>4976</v>
      </c>
      <c r="B1982" s="30" t="s">
        <v>4977</v>
      </c>
      <c r="C1982" s="30" t="s">
        <v>318</v>
      </c>
      <c r="D1982" s="30" t="s">
        <v>17</v>
      </c>
      <c r="E1982" s="30" t="s">
        <v>26</v>
      </c>
      <c r="F1982" s="30" t="s">
        <v>27</v>
      </c>
      <c r="G1982" s="30" t="s">
        <v>106</v>
      </c>
      <c r="H1982" s="32">
        <v>1</v>
      </c>
      <c r="I1982" s="30" t="s">
        <v>21</v>
      </c>
      <c r="J1982" s="41">
        <v>44103</v>
      </c>
      <c r="K1982" s="30" t="s">
        <v>22</v>
      </c>
    </row>
    <row r="1983" spans="1:11">
      <c r="A1983" s="33" t="s">
        <v>4978</v>
      </c>
      <c r="B1983" s="33" t="s">
        <v>4979</v>
      </c>
      <c r="C1983" s="33" t="s">
        <v>2313</v>
      </c>
      <c r="D1983" s="33" t="s">
        <v>17</v>
      </c>
      <c r="E1983" s="33" t="s">
        <v>26</v>
      </c>
      <c r="F1983" s="33" t="s">
        <v>27</v>
      </c>
      <c r="G1983" s="33" t="s">
        <v>20</v>
      </c>
      <c r="H1983" s="35">
        <v>46</v>
      </c>
      <c r="I1983" s="33" t="s">
        <v>21</v>
      </c>
      <c r="J1983" s="42">
        <v>44074</v>
      </c>
      <c r="K1983" s="33" t="s">
        <v>22</v>
      </c>
    </row>
    <row r="1984" spans="1:11">
      <c r="A1984" s="30" t="s">
        <v>4980</v>
      </c>
      <c r="B1984" s="30" t="s">
        <v>4981</v>
      </c>
      <c r="C1984" s="30" t="s">
        <v>102</v>
      </c>
      <c r="D1984" s="30" t="s">
        <v>17</v>
      </c>
      <c r="E1984" s="30" t="s">
        <v>26</v>
      </c>
      <c r="F1984" s="30" t="s">
        <v>27</v>
      </c>
      <c r="G1984" s="30" t="s">
        <v>20</v>
      </c>
      <c r="H1984" s="32">
        <v>13</v>
      </c>
      <c r="I1984" s="30" t="s">
        <v>21</v>
      </c>
      <c r="J1984" s="41">
        <v>44131</v>
      </c>
      <c r="K1984" s="30" t="s">
        <v>22</v>
      </c>
    </row>
    <row r="1985" spans="1:11">
      <c r="A1985" s="33" t="s">
        <v>4982</v>
      </c>
      <c r="B1985" s="33" t="s">
        <v>4983</v>
      </c>
      <c r="C1985" s="33" t="s">
        <v>2663</v>
      </c>
      <c r="D1985" s="33" t="s">
        <v>17</v>
      </c>
      <c r="E1985" s="33" t="s">
        <v>26</v>
      </c>
      <c r="F1985" s="33" t="s">
        <v>27</v>
      </c>
      <c r="G1985" s="33" t="s">
        <v>20</v>
      </c>
      <c r="H1985" s="35">
        <v>36</v>
      </c>
      <c r="I1985" s="33" t="s">
        <v>21</v>
      </c>
      <c r="J1985" s="42">
        <v>43889</v>
      </c>
      <c r="K1985" s="33" t="s">
        <v>22</v>
      </c>
    </row>
    <row r="1986" spans="1:11">
      <c r="A1986" s="30" t="s">
        <v>4984</v>
      </c>
      <c r="B1986" s="30" t="s">
        <v>4985</v>
      </c>
      <c r="C1986" s="30" t="s">
        <v>3709</v>
      </c>
      <c r="D1986" s="30" t="s">
        <v>17</v>
      </c>
      <c r="E1986" s="30" t="s">
        <v>31</v>
      </c>
      <c r="F1986" s="30" t="s">
        <v>32</v>
      </c>
      <c r="G1986" s="30" t="s">
        <v>50</v>
      </c>
      <c r="H1986" s="32">
        <v>150</v>
      </c>
      <c r="I1986" s="30" t="s">
        <v>51</v>
      </c>
      <c r="J1986" s="41">
        <v>43891</v>
      </c>
      <c r="K1986" s="30" t="s">
        <v>22</v>
      </c>
    </row>
    <row r="1987" spans="1:11">
      <c r="A1987" s="33" t="s">
        <v>4986</v>
      </c>
      <c r="B1987" s="33" t="s">
        <v>4987</v>
      </c>
      <c r="C1987" s="33" t="s">
        <v>426</v>
      </c>
      <c r="D1987" s="33" t="s">
        <v>17</v>
      </c>
      <c r="E1987" s="33" t="s">
        <v>26</v>
      </c>
      <c r="F1987" s="33" t="s">
        <v>27</v>
      </c>
      <c r="G1987" s="33" t="s">
        <v>140</v>
      </c>
      <c r="H1987" s="35">
        <v>144</v>
      </c>
      <c r="I1987" s="33" t="s">
        <v>51</v>
      </c>
      <c r="J1987" s="42">
        <v>43892</v>
      </c>
      <c r="K1987" s="33" t="s">
        <v>22</v>
      </c>
    </row>
    <row r="1988" spans="1:11">
      <c r="A1988" s="30" t="s">
        <v>4988</v>
      </c>
      <c r="B1988" s="30" t="s">
        <v>4989</v>
      </c>
      <c r="C1988" s="30" t="s">
        <v>149</v>
      </c>
      <c r="D1988" s="30" t="s">
        <v>17</v>
      </c>
      <c r="E1988" s="30" t="s">
        <v>26</v>
      </c>
      <c r="F1988" s="30" t="s">
        <v>27</v>
      </c>
      <c r="G1988" s="30" t="s">
        <v>50</v>
      </c>
      <c r="H1988" s="32">
        <v>16</v>
      </c>
      <c r="I1988" s="30" t="s">
        <v>51</v>
      </c>
      <c r="J1988" s="41">
        <v>43891</v>
      </c>
      <c r="K1988" s="30" t="s">
        <v>22</v>
      </c>
    </row>
    <row r="1989" spans="1:11">
      <c r="A1989" s="33" t="s">
        <v>4990</v>
      </c>
      <c r="B1989" s="33" t="s">
        <v>4991</v>
      </c>
      <c r="C1989" s="33" t="s">
        <v>1136</v>
      </c>
      <c r="D1989" s="33" t="s">
        <v>17</v>
      </c>
      <c r="E1989" s="33" t="s">
        <v>18</v>
      </c>
      <c r="F1989" s="33" t="s">
        <v>19</v>
      </c>
      <c r="G1989" s="33" t="s">
        <v>20</v>
      </c>
      <c r="H1989" s="35">
        <v>165</v>
      </c>
      <c r="I1989" s="33" t="s">
        <v>21</v>
      </c>
      <c r="J1989" s="42">
        <v>44145</v>
      </c>
      <c r="K1989" s="33" t="s">
        <v>22</v>
      </c>
    </row>
    <row r="1990" spans="1:11">
      <c r="A1990" s="30" t="s">
        <v>4992</v>
      </c>
      <c r="B1990" s="30" t="s">
        <v>4993</v>
      </c>
      <c r="C1990" s="30" t="s">
        <v>3296</v>
      </c>
      <c r="D1990" s="30" t="s">
        <v>17</v>
      </c>
      <c r="E1990" s="30" t="s">
        <v>18</v>
      </c>
      <c r="F1990" s="30" t="s">
        <v>19</v>
      </c>
      <c r="G1990" s="30" t="s">
        <v>20</v>
      </c>
      <c r="H1990" s="32">
        <v>283</v>
      </c>
      <c r="I1990" s="30" t="s">
        <v>21</v>
      </c>
      <c r="J1990" s="41">
        <v>43832</v>
      </c>
      <c r="K1990" s="30" t="s">
        <v>22</v>
      </c>
    </row>
    <row r="1991" spans="1:11">
      <c r="A1991" s="33" t="s">
        <v>4994</v>
      </c>
      <c r="B1991" s="33" t="s">
        <v>4995</v>
      </c>
      <c r="C1991" s="33" t="s">
        <v>124</v>
      </c>
      <c r="D1991" s="33" t="s">
        <v>17</v>
      </c>
      <c r="E1991" s="33" t="s">
        <v>31</v>
      </c>
      <c r="F1991" s="33" t="s">
        <v>32</v>
      </c>
      <c r="G1991" s="33" t="s">
        <v>20</v>
      </c>
      <c r="H1991" s="35">
        <v>180</v>
      </c>
      <c r="I1991" s="33" t="s">
        <v>21</v>
      </c>
      <c r="J1991" s="42">
        <v>44062</v>
      </c>
      <c r="K1991" s="33" t="s">
        <v>22</v>
      </c>
    </row>
    <row r="1992" spans="1:11">
      <c r="A1992" s="30" t="s">
        <v>4996</v>
      </c>
      <c r="B1992" s="30" t="s">
        <v>4997</v>
      </c>
      <c r="C1992" s="30" t="s">
        <v>985</v>
      </c>
      <c r="D1992" s="30" t="s">
        <v>17</v>
      </c>
      <c r="E1992" s="30" t="s">
        <v>26</v>
      </c>
      <c r="F1992" s="30" t="s">
        <v>27</v>
      </c>
      <c r="G1992" s="30" t="s">
        <v>20</v>
      </c>
      <c r="H1992" s="32">
        <v>81</v>
      </c>
      <c r="I1992" s="30" t="s">
        <v>21</v>
      </c>
      <c r="J1992" s="41">
        <v>44137</v>
      </c>
      <c r="K1992" s="30" t="s">
        <v>22</v>
      </c>
    </row>
    <row r="1993" spans="1:11">
      <c r="A1993" s="33" t="s">
        <v>4998</v>
      </c>
      <c r="B1993" s="33" t="s">
        <v>4999</v>
      </c>
      <c r="C1993" s="33" t="s">
        <v>5000</v>
      </c>
      <c r="D1993" s="33" t="s">
        <v>17</v>
      </c>
      <c r="E1993" s="33" t="s">
        <v>31</v>
      </c>
      <c r="F1993" s="33" t="s">
        <v>32</v>
      </c>
      <c r="G1993" s="33" t="s">
        <v>20</v>
      </c>
      <c r="H1993" s="35">
        <v>25</v>
      </c>
      <c r="I1993" s="33" t="s">
        <v>21</v>
      </c>
      <c r="J1993" s="42">
        <v>44146</v>
      </c>
      <c r="K1993" s="33" t="s">
        <v>22</v>
      </c>
    </row>
    <row r="1994" spans="1:11">
      <c r="A1994" s="30" t="s">
        <v>5001</v>
      </c>
      <c r="B1994" s="30" t="s">
        <v>5002</v>
      </c>
      <c r="C1994" s="30" t="s">
        <v>5003</v>
      </c>
      <c r="D1994" s="30" t="s">
        <v>17</v>
      </c>
      <c r="E1994" s="30" t="s">
        <v>31</v>
      </c>
      <c r="F1994" s="30" t="s">
        <v>32</v>
      </c>
      <c r="G1994" s="30" t="s">
        <v>20</v>
      </c>
      <c r="H1994" s="32">
        <v>138</v>
      </c>
      <c r="I1994" s="30" t="s">
        <v>21</v>
      </c>
      <c r="J1994" s="41">
        <v>43998</v>
      </c>
      <c r="K1994" s="30" t="s">
        <v>22</v>
      </c>
    </row>
    <row r="1995" spans="1:11">
      <c r="A1995" s="33" t="s">
        <v>5004</v>
      </c>
      <c r="B1995" s="33" t="s">
        <v>5005</v>
      </c>
      <c r="C1995" s="33" t="s">
        <v>2354</v>
      </c>
      <c r="D1995" s="33" t="s">
        <v>17</v>
      </c>
      <c r="E1995" s="33" t="s">
        <v>31</v>
      </c>
      <c r="F1995" s="33" t="s">
        <v>32</v>
      </c>
      <c r="G1995" s="33" t="s">
        <v>20</v>
      </c>
      <c r="H1995" s="35">
        <v>198</v>
      </c>
      <c r="I1995" s="33" t="s">
        <v>21</v>
      </c>
      <c r="J1995" s="42">
        <v>44041</v>
      </c>
      <c r="K1995" s="33" t="s">
        <v>22</v>
      </c>
    </row>
    <row r="1996" spans="1:11">
      <c r="A1996" s="30" t="s">
        <v>5006</v>
      </c>
      <c r="B1996" s="30" t="s">
        <v>5007</v>
      </c>
      <c r="C1996" s="30" t="s">
        <v>362</v>
      </c>
      <c r="D1996" s="30" t="s">
        <v>17</v>
      </c>
      <c r="E1996" s="30" t="s">
        <v>26</v>
      </c>
      <c r="F1996" s="30" t="s">
        <v>27</v>
      </c>
      <c r="G1996" s="30" t="s">
        <v>20</v>
      </c>
      <c r="H1996" s="32">
        <v>32</v>
      </c>
      <c r="I1996" s="30" t="s">
        <v>21</v>
      </c>
      <c r="J1996" s="41">
        <v>44061</v>
      </c>
      <c r="K1996" s="30" t="s">
        <v>22</v>
      </c>
    </row>
    <row r="1997" spans="1:11">
      <c r="A1997" s="33" t="s">
        <v>5008</v>
      </c>
      <c r="B1997" s="33" t="s">
        <v>5009</v>
      </c>
      <c r="C1997" s="33" t="s">
        <v>5010</v>
      </c>
      <c r="D1997" s="33" t="s">
        <v>17</v>
      </c>
      <c r="E1997" s="33" t="s">
        <v>45</v>
      </c>
      <c r="F1997" s="33" t="s">
        <v>46</v>
      </c>
      <c r="G1997" s="33" t="s">
        <v>20</v>
      </c>
      <c r="H1997" s="35">
        <v>70</v>
      </c>
      <c r="I1997" s="33" t="s">
        <v>21</v>
      </c>
      <c r="J1997" s="42">
        <v>43898</v>
      </c>
      <c r="K1997" s="33" t="s">
        <v>22</v>
      </c>
    </row>
    <row r="1998" spans="1:11">
      <c r="A1998" s="30" t="s">
        <v>5011</v>
      </c>
      <c r="B1998" s="30" t="s">
        <v>5012</v>
      </c>
      <c r="C1998" s="30" t="s">
        <v>2171</v>
      </c>
      <c r="D1998" s="30" t="s">
        <v>17</v>
      </c>
      <c r="E1998" s="30" t="s">
        <v>18</v>
      </c>
      <c r="F1998" s="30" t="s">
        <v>19</v>
      </c>
      <c r="G1998" s="30" t="s">
        <v>158</v>
      </c>
      <c r="H1998" s="32">
        <v>408</v>
      </c>
      <c r="I1998" s="30" t="s">
        <v>51</v>
      </c>
      <c r="J1998" s="41">
        <v>44010</v>
      </c>
      <c r="K1998" s="30" t="s">
        <v>22</v>
      </c>
    </row>
    <row r="1999" spans="1:11">
      <c r="A1999" s="33" t="s">
        <v>5013</v>
      </c>
      <c r="B1999" s="33" t="s">
        <v>5014</v>
      </c>
      <c r="C1999" s="33" t="s">
        <v>5015</v>
      </c>
      <c r="D1999" s="33" t="s">
        <v>17</v>
      </c>
      <c r="E1999" s="33" t="s">
        <v>67</v>
      </c>
      <c r="F1999" s="33" t="s">
        <v>68</v>
      </c>
      <c r="G1999" s="33" t="s">
        <v>20</v>
      </c>
      <c r="H1999" s="35">
        <v>159</v>
      </c>
      <c r="I1999" s="33" t="s">
        <v>21</v>
      </c>
      <c r="J1999" s="42">
        <v>44113</v>
      </c>
      <c r="K1999" s="33" t="s">
        <v>22</v>
      </c>
    </row>
    <row r="2000" spans="1:11">
      <c r="A2000" s="30" t="s">
        <v>5016</v>
      </c>
      <c r="B2000" s="30" t="s">
        <v>5017</v>
      </c>
      <c r="C2000" s="30" t="s">
        <v>1313</v>
      </c>
      <c r="D2000" s="30" t="s">
        <v>17</v>
      </c>
      <c r="E2000" s="30" t="s">
        <v>26</v>
      </c>
      <c r="F2000" s="30" t="s">
        <v>27</v>
      </c>
      <c r="G2000" s="30" t="s">
        <v>20</v>
      </c>
      <c r="H2000" s="32">
        <v>10</v>
      </c>
      <c r="I2000" s="30" t="s">
        <v>21</v>
      </c>
      <c r="J2000" s="41">
        <v>44180</v>
      </c>
      <c r="K2000" s="30" t="s">
        <v>22</v>
      </c>
    </row>
    <row r="2001" spans="1:11">
      <c r="A2001" s="33" t="s">
        <v>5018</v>
      </c>
      <c r="B2001" s="33" t="s">
        <v>5019</v>
      </c>
      <c r="C2001" s="33" t="s">
        <v>3496</v>
      </c>
      <c r="D2001" s="33" t="s">
        <v>17</v>
      </c>
      <c r="E2001" s="33" t="s">
        <v>31</v>
      </c>
      <c r="F2001" s="33" t="s">
        <v>32</v>
      </c>
      <c r="G2001" s="33" t="s">
        <v>20</v>
      </c>
      <c r="H2001" s="35">
        <v>23</v>
      </c>
      <c r="I2001" s="33" t="s">
        <v>21</v>
      </c>
      <c r="J2001" s="42">
        <v>44074</v>
      </c>
      <c r="K2001" s="33" t="s">
        <v>22</v>
      </c>
    </row>
    <row r="2002" spans="1:11">
      <c r="A2002" s="30" t="s">
        <v>5020</v>
      </c>
      <c r="B2002" s="30" t="s">
        <v>5021</v>
      </c>
      <c r="C2002" s="30" t="s">
        <v>187</v>
      </c>
      <c r="D2002" s="30" t="s">
        <v>17</v>
      </c>
      <c r="E2002" s="30" t="s">
        <v>18</v>
      </c>
      <c r="F2002" s="30" t="s">
        <v>19</v>
      </c>
      <c r="G2002" s="30" t="s">
        <v>50</v>
      </c>
      <c r="H2002" s="32">
        <v>738</v>
      </c>
      <c r="I2002" s="30" t="s">
        <v>51</v>
      </c>
      <c r="J2002" s="41">
        <v>43831</v>
      </c>
      <c r="K2002" s="30" t="s">
        <v>22</v>
      </c>
    </row>
    <row r="2003" spans="1:11">
      <c r="A2003" s="33" t="s">
        <v>5022</v>
      </c>
      <c r="B2003" s="33" t="s">
        <v>5023</v>
      </c>
      <c r="C2003" s="33" t="s">
        <v>2714</v>
      </c>
      <c r="D2003" s="33" t="s">
        <v>17</v>
      </c>
      <c r="E2003" s="33" t="s">
        <v>26</v>
      </c>
      <c r="F2003" s="33" t="s">
        <v>27</v>
      </c>
      <c r="G2003" s="33" t="s">
        <v>50</v>
      </c>
      <c r="H2003" s="35">
        <v>240</v>
      </c>
      <c r="I2003" s="33" t="s">
        <v>51</v>
      </c>
      <c r="J2003" s="42">
        <v>44138</v>
      </c>
      <c r="K2003" s="33" t="s">
        <v>22</v>
      </c>
    </row>
    <row r="2004" spans="1:11">
      <c r="A2004" s="30" t="s">
        <v>5024</v>
      </c>
      <c r="B2004" s="30" t="s">
        <v>5025</v>
      </c>
      <c r="C2004" s="30" t="s">
        <v>93</v>
      </c>
      <c r="D2004" s="30" t="s">
        <v>17</v>
      </c>
      <c r="E2004" s="30" t="s">
        <v>26</v>
      </c>
      <c r="F2004" s="30" t="s">
        <v>27</v>
      </c>
      <c r="G2004" s="30" t="s">
        <v>20</v>
      </c>
      <c r="H2004" s="32">
        <v>394</v>
      </c>
      <c r="I2004" s="30" t="s">
        <v>21</v>
      </c>
      <c r="J2004" s="41">
        <v>44075</v>
      </c>
      <c r="K2004" s="30" t="s">
        <v>22</v>
      </c>
    </row>
    <row r="2005" spans="1:11">
      <c r="A2005" s="33" t="s">
        <v>5026</v>
      </c>
      <c r="B2005" s="33" t="s">
        <v>5027</v>
      </c>
      <c r="C2005" s="33" t="s">
        <v>4596</v>
      </c>
      <c r="D2005" s="33" t="s">
        <v>17</v>
      </c>
      <c r="E2005" s="33" t="s">
        <v>18</v>
      </c>
      <c r="F2005" s="33" t="s">
        <v>19</v>
      </c>
      <c r="G2005" s="33" t="s">
        <v>20</v>
      </c>
      <c r="H2005" s="35">
        <v>236</v>
      </c>
      <c r="I2005" s="33" t="s">
        <v>21</v>
      </c>
      <c r="J2005" s="42">
        <v>43910</v>
      </c>
      <c r="K2005" s="33" t="s">
        <v>22</v>
      </c>
    </row>
    <row r="2006" spans="1:11">
      <c r="A2006" s="30" t="s">
        <v>5028</v>
      </c>
      <c r="B2006" s="30" t="s">
        <v>5029</v>
      </c>
      <c r="C2006" s="30" t="s">
        <v>136</v>
      </c>
      <c r="D2006" s="30" t="s">
        <v>17</v>
      </c>
      <c r="E2006" s="30" t="s">
        <v>26</v>
      </c>
      <c r="F2006" s="30" t="s">
        <v>27</v>
      </c>
      <c r="G2006" s="30" t="s">
        <v>20</v>
      </c>
      <c r="H2006" s="32">
        <v>74</v>
      </c>
      <c r="I2006" s="30" t="s">
        <v>21</v>
      </c>
      <c r="J2006" s="41">
        <v>44165</v>
      </c>
      <c r="K2006" s="30" t="s">
        <v>22</v>
      </c>
    </row>
    <row r="2007" spans="1:11">
      <c r="A2007" s="33" t="s">
        <v>5030</v>
      </c>
      <c r="B2007" s="33" t="s">
        <v>5031</v>
      </c>
      <c r="C2007" s="33" t="s">
        <v>5032</v>
      </c>
      <c r="D2007" s="33" t="s">
        <v>17</v>
      </c>
      <c r="E2007" s="33" t="s">
        <v>31</v>
      </c>
      <c r="F2007" s="33" t="s">
        <v>32</v>
      </c>
      <c r="G2007" s="33" t="s">
        <v>20</v>
      </c>
      <c r="H2007" s="35">
        <v>22</v>
      </c>
      <c r="I2007" s="33" t="s">
        <v>21</v>
      </c>
      <c r="J2007" s="42">
        <v>44048</v>
      </c>
      <c r="K2007" s="33" t="s">
        <v>22</v>
      </c>
    </row>
    <row r="2008" spans="1:11">
      <c r="A2008" s="30" t="s">
        <v>5033</v>
      </c>
      <c r="B2008" s="30" t="s">
        <v>5034</v>
      </c>
      <c r="C2008" s="30" t="s">
        <v>387</v>
      </c>
      <c r="D2008" s="30" t="s">
        <v>17</v>
      </c>
      <c r="E2008" s="30" t="s">
        <v>26</v>
      </c>
      <c r="F2008" s="30" t="s">
        <v>27</v>
      </c>
      <c r="G2008" s="30" t="s">
        <v>20</v>
      </c>
      <c r="H2008" s="32">
        <v>16</v>
      </c>
      <c r="I2008" s="30" t="s">
        <v>21</v>
      </c>
      <c r="J2008" s="41">
        <v>43980</v>
      </c>
      <c r="K2008" s="30" t="s">
        <v>22</v>
      </c>
    </row>
    <row r="2009" spans="1:11">
      <c r="A2009" s="33" t="s">
        <v>5035</v>
      </c>
      <c r="B2009" s="33" t="s">
        <v>5036</v>
      </c>
      <c r="C2009" s="33" t="s">
        <v>5037</v>
      </c>
      <c r="D2009" s="33" t="s">
        <v>17</v>
      </c>
      <c r="E2009" s="33" t="s">
        <v>26</v>
      </c>
      <c r="F2009" s="33" t="s">
        <v>27</v>
      </c>
      <c r="G2009" s="33" t="s">
        <v>20</v>
      </c>
      <c r="H2009" s="35">
        <v>45</v>
      </c>
      <c r="I2009" s="33" t="s">
        <v>21</v>
      </c>
      <c r="J2009" s="42">
        <v>44183</v>
      </c>
      <c r="K2009" s="33" t="s">
        <v>22</v>
      </c>
    </row>
    <row r="2010" spans="1:11">
      <c r="A2010" s="30" t="s">
        <v>5038</v>
      </c>
      <c r="B2010" s="30" t="s">
        <v>5039</v>
      </c>
      <c r="C2010" s="30" t="s">
        <v>5040</v>
      </c>
      <c r="D2010" s="30" t="s">
        <v>17</v>
      </c>
      <c r="E2010" s="30" t="s">
        <v>212</v>
      </c>
      <c r="F2010" s="30" t="s">
        <v>213</v>
      </c>
      <c r="G2010" s="30" t="s">
        <v>20</v>
      </c>
      <c r="H2010" s="32">
        <v>920</v>
      </c>
      <c r="I2010" s="30" t="s">
        <v>21</v>
      </c>
      <c r="J2010" s="41">
        <v>44153</v>
      </c>
      <c r="K2010" s="30" t="s">
        <v>22</v>
      </c>
    </row>
    <row r="2011" spans="1:11">
      <c r="A2011" s="33" t="s">
        <v>5041</v>
      </c>
      <c r="B2011" s="33" t="s">
        <v>5042</v>
      </c>
      <c r="C2011" s="33" t="s">
        <v>5043</v>
      </c>
      <c r="D2011" s="33" t="s">
        <v>17</v>
      </c>
      <c r="E2011" s="33" t="s">
        <v>26</v>
      </c>
      <c r="F2011" s="33" t="s">
        <v>27</v>
      </c>
      <c r="G2011" s="33" t="s">
        <v>20</v>
      </c>
      <c r="H2011" s="35">
        <v>32</v>
      </c>
      <c r="I2011" s="33" t="s">
        <v>21</v>
      </c>
      <c r="J2011" s="42">
        <v>44021</v>
      </c>
      <c r="K2011" s="33" t="s">
        <v>22</v>
      </c>
    </row>
    <row r="2012" spans="1:11">
      <c r="A2012" s="30" t="s">
        <v>5044</v>
      </c>
      <c r="B2012" s="30" t="s">
        <v>5045</v>
      </c>
      <c r="C2012" s="30" t="s">
        <v>1024</v>
      </c>
      <c r="D2012" s="30" t="s">
        <v>17</v>
      </c>
      <c r="E2012" s="30" t="s">
        <v>45</v>
      </c>
      <c r="F2012" s="30" t="s">
        <v>46</v>
      </c>
      <c r="G2012" s="30" t="s">
        <v>20</v>
      </c>
      <c r="H2012" s="32">
        <v>12</v>
      </c>
      <c r="I2012" s="30" t="s">
        <v>21</v>
      </c>
      <c r="J2012" s="41">
        <v>44001</v>
      </c>
      <c r="K2012" s="30" t="s">
        <v>22</v>
      </c>
    </row>
    <row r="2013" spans="1:11">
      <c r="A2013" s="33" t="s">
        <v>5046</v>
      </c>
      <c r="B2013" s="33" t="s">
        <v>5047</v>
      </c>
      <c r="C2013" s="33" t="s">
        <v>57</v>
      </c>
      <c r="D2013" s="33" t="s">
        <v>17</v>
      </c>
      <c r="E2013" s="33" t="s">
        <v>45</v>
      </c>
      <c r="F2013" s="33" t="s">
        <v>46</v>
      </c>
      <c r="G2013" s="33" t="s">
        <v>106</v>
      </c>
      <c r="H2013" s="35">
        <v>432</v>
      </c>
      <c r="I2013" s="33" t="s">
        <v>21</v>
      </c>
      <c r="J2013" s="42">
        <v>44085</v>
      </c>
      <c r="K2013" s="33" t="s">
        <v>22</v>
      </c>
    </row>
    <row r="2014" spans="1:11">
      <c r="A2014" s="30" t="s">
        <v>5048</v>
      </c>
      <c r="B2014" s="30" t="s">
        <v>5049</v>
      </c>
      <c r="C2014" s="30" t="s">
        <v>5050</v>
      </c>
      <c r="D2014" s="30" t="s">
        <v>17</v>
      </c>
      <c r="E2014" s="30" t="s">
        <v>26</v>
      </c>
      <c r="F2014" s="30" t="s">
        <v>27</v>
      </c>
      <c r="G2014" s="30" t="s">
        <v>20</v>
      </c>
      <c r="H2014" s="32">
        <v>34</v>
      </c>
      <c r="I2014" s="30" t="s">
        <v>21</v>
      </c>
      <c r="J2014" s="41">
        <v>43858</v>
      </c>
      <c r="K2014" s="30" t="s">
        <v>22</v>
      </c>
    </row>
    <row r="2015" spans="1:11">
      <c r="A2015" s="33" t="s">
        <v>5051</v>
      </c>
      <c r="B2015" s="33" t="s">
        <v>5052</v>
      </c>
      <c r="C2015" s="33" t="s">
        <v>5053</v>
      </c>
      <c r="D2015" s="33" t="s">
        <v>17</v>
      </c>
      <c r="E2015" s="33" t="s">
        <v>31</v>
      </c>
      <c r="F2015" s="33" t="s">
        <v>32</v>
      </c>
      <c r="G2015" s="33" t="s">
        <v>20</v>
      </c>
      <c r="H2015" s="35">
        <v>220</v>
      </c>
      <c r="I2015" s="33" t="s">
        <v>21</v>
      </c>
      <c r="J2015" s="42">
        <v>43914</v>
      </c>
      <c r="K2015" s="33" t="s">
        <v>22</v>
      </c>
    </row>
    <row r="2016" spans="1:11">
      <c r="A2016" s="30" t="s">
        <v>5054</v>
      </c>
      <c r="B2016" s="30" t="s">
        <v>5055</v>
      </c>
      <c r="C2016" s="30" t="s">
        <v>190</v>
      </c>
      <c r="D2016" s="30" t="s">
        <v>17</v>
      </c>
      <c r="E2016" s="30" t="s">
        <v>26</v>
      </c>
      <c r="F2016" s="30" t="s">
        <v>27</v>
      </c>
      <c r="G2016" s="30" t="s">
        <v>20</v>
      </c>
      <c r="H2016" s="32">
        <v>24</v>
      </c>
      <c r="I2016" s="30" t="s">
        <v>21</v>
      </c>
      <c r="J2016" s="41">
        <v>43893</v>
      </c>
      <c r="K2016" s="30" t="s">
        <v>22</v>
      </c>
    </row>
    <row r="2017" spans="1:11">
      <c r="A2017" s="33" t="s">
        <v>5056</v>
      </c>
      <c r="B2017" s="33" t="s">
        <v>5057</v>
      </c>
      <c r="C2017" s="33" t="s">
        <v>5058</v>
      </c>
      <c r="D2017" s="33" t="s">
        <v>17</v>
      </c>
      <c r="E2017" s="33" t="s">
        <v>67</v>
      </c>
      <c r="F2017" s="33" t="s">
        <v>68</v>
      </c>
      <c r="G2017" s="33" t="s">
        <v>20</v>
      </c>
      <c r="H2017" s="35">
        <v>28</v>
      </c>
      <c r="I2017" s="33" t="s">
        <v>21</v>
      </c>
      <c r="J2017" s="42">
        <v>44141</v>
      </c>
      <c r="K2017" s="33" t="s">
        <v>22</v>
      </c>
    </row>
    <row r="2018" spans="1:11">
      <c r="A2018" s="30" t="s">
        <v>5059</v>
      </c>
      <c r="B2018" s="30" t="s">
        <v>5060</v>
      </c>
      <c r="C2018" s="30" t="s">
        <v>5061</v>
      </c>
      <c r="D2018" s="30" t="s">
        <v>17</v>
      </c>
      <c r="E2018" s="30" t="s">
        <v>31</v>
      </c>
      <c r="F2018" s="30" t="s">
        <v>32</v>
      </c>
      <c r="G2018" s="30" t="s">
        <v>112</v>
      </c>
      <c r="H2018" s="32">
        <v>0</v>
      </c>
      <c r="I2018" s="30" t="s">
        <v>21</v>
      </c>
      <c r="J2018" s="41">
        <v>43895</v>
      </c>
      <c r="K2018" s="30" t="s">
        <v>22</v>
      </c>
    </row>
    <row r="2019" spans="1:11">
      <c r="A2019" s="33" t="s">
        <v>5062</v>
      </c>
      <c r="B2019" s="33" t="s">
        <v>5063</v>
      </c>
      <c r="C2019" s="33" t="s">
        <v>5064</v>
      </c>
      <c r="D2019" s="33" t="s">
        <v>17</v>
      </c>
      <c r="E2019" s="33" t="s">
        <v>26</v>
      </c>
      <c r="F2019" s="33" t="s">
        <v>27</v>
      </c>
      <c r="G2019" s="33" t="s">
        <v>20</v>
      </c>
      <c r="H2019" s="35">
        <v>6</v>
      </c>
      <c r="I2019" s="33" t="s">
        <v>21</v>
      </c>
      <c r="J2019" s="42">
        <v>43861</v>
      </c>
      <c r="K2019" s="33" t="s">
        <v>22</v>
      </c>
    </row>
    <row r="2020" spans="1:11">
      <c r="A2020" s="30" t="s">
        <v>5065</v>
      </c>
      <c r="B2020" s="30" t="s">
        <v>5066</v>
      </c>
      <c r="C2020" s="30" t="s">
        <v>5067</v>
      </c>
      <c r="D2020" s="30" t="s">
        <v>17</v>
      </c>
      <c r="E2020" s="30" t="s">
        <v>212</v>
      </c>
      <c r="F2020" s="30" t="s">
        <v>213</v>
      </c>
      <c r="G2020" s="30" t="s">
        <v>20</v>
      </c>
      <c r="H2020" s="32">
        <v>1806</v>
      </c>
      <c r="I2020" s="30" t="s">
        <v>21</v>
      </c>
      <c r="J2020" s="41">
        <v>43903</v>
      </c>
      <c r="K2020" s="30" t="s">
        <v>22</v>
      </c>
    </row>
    <row r="2021" spans="1:11">
      <c r="A2021" s="33" t="s">
        <v>5068</v>
      </c>
      <c r="B2021" s="33" t="s">
        <v>5069</v>
      </c>
      <c r="C2021" s="33" t="s">
        <v>5070</v>
      </c>
      <c r="D2021" s="33" t="s">
        <v>17</v>
      </c>
      <c r="E2021" s="33" t="s">
        <v>31</v>
      </c>
      <c r="F2021" s="33" t="s">
        <v>32</v>
      </c>
      <c r="G2021" s="33" t="s">
        <v>106</v>
      </c>
      <c r="H2021" s="35">
        <v>54</v>
      </c>
      <c r="I2021" s="33" t="s">
        <v>21</v>
      </c>
      <c r="J2021" s="42">
        <v>44027</v>
      </c>
      <c r="K2021" s="33" t="s">
        <v>22</v>
      </c>
    </row>
    <row r="2022" spans="1:11">
      <c r="A2022" s="30" t="s">
        <v>5071</v>
      </c>
      <c r="B2022" s="30" t="s">
        <v>5072</v>
      </c>
      <c r="C2022" s="30" t="s">
        <v>190</v>
      </c>
      <c r="D2022" s="30" t="s">
        <v>17</v>
      </c>
      <c r="E2022" s="30" t="s">
        <v>18</v>
      </c>
      <c r="F2022" s="30" t="s">
        <v>19</v>
      </c>
      <c r="G2022" s="30" t="s">
        <v>20</v>
      </c>
      <c r="H2022" s="32">
        <v>101</v>
      </c>
      <c r="I2022" s="30" t="s">
        <v>21</v>
      </c>
      <c r="J2022" s="41">
        <v>44181</v>
      </c>
      <c r="K2022" s="30" t="s">
        <v>22</v>
      </c>
    </row>
    <row r="2023" spans="1:11">
      <c r="A2023" s="33" t="s">
        <v>5073</v>
      </c>
      <c r="B2023" s="33" t="s">
        <v>5074</v>
      </c>
      <c r="C2023" s="33" t="s">
        <v>1210</v>
      </c>
      <c r="D2023" s="33" t="s">
        <v>17</v>
      </c>
      <c r="E2023" s="33" t="s">
        <v>26</v>
      </c>
      <c r="F2023" s="33" t="s">
        <v>27</v>
      </c>
      <c r="G2023" s="33" t="s">
        <v>20</v>
      </c>
      <c r="H2023" s="35">
        <v>14</v>
      </c>
      <c r="I2023" s="33" t="s">
        <v>21</v>
      </c>
      <c r="J2023" s="42">
        <v>44013</v>
      </c>
      <c r="K2023" s="33" t="s">
        <v>22</v>
      </c>
    </row>
    <row r="2024" spans="1:11">
      <c r="A2024" s="30" t="s">
        <v>5075</v>
      </c>
      <c r="B2024" s="30" t="s">
        <v>5076</v>
      </c>
      <c r="C2024" s="30" t="s">
        <v>109</v>
      </c>
      <c r="D2024" s="30" t="s">
        <v>17</v>
      </c>
      <c r="E2024" s="30" t="s">
        <v>31</v>
      </c>
      <c r="F2024" s="30" t="s">
        <v>32</v>
      </c>
      <c r="G2024" s="30" t="s">
        <v>106</v>
      </c>
      <c r="H2024" s="32">
        <v>90</v>
      </c>
      <c r="I2024" s="30" t="s">
        <v>21</v>
      </c>
      <c r="J2024" s="41">
        <v>44075</v>
      </c>
      <c r="K2024" s="30" t="s">
        <v>22</v>
      </c>
    </row>
    <row r="2025" spans="1:11">
      <c r="A2025" s="33" t="s">
        <v>5077</v>
      </c>
      <c r="B2025" s="33" t="s">
        <v>5078</v>
      </c>
      <c r="C2025" s="33" t="s">
        <v>149</v>
      </c>
      <c r="D2025" s="33" t="s">
        <v>17</v>
      </c>
      <c r="E2025" s="33" t="s">
        <v>26</v>
      </c>
      <c r="F2025" s="33" t="s">
        <v>27</v>
      </c>
      <c r="G2025" s="33" t="s">
        <v>20</v>
      </c>
      <c r="H2025" s="35">
        <v>24</v>
      </c>
      <c r="I2025" s="33" t="s">
        <v>21</v>
      </c>
      <c r="J2025" s="42">
        <v>43971</v>
      </c>
      <c r="K2025" s="33" t="s">
        <v>22</v>
      </c>
    </row>
    <row r="2026" spans="1:11">
      <c r="A2026" s="30" t="s">
        <v>5079</v>
      </c>
      <c r="B2026" s="30" t="s">
        <v>5080</v>
      </c>
      <c r="C2026" s="30" t="s">
        <v>5081</v>
      </c>
      <c r="D2026" s="30" t="s">
        <v>17</v>
      </c>
      <c r="E2026" s="30" t="s">
        <v>26</v>
      </c>
      <c r="F2026" s="30" t="s">
        <v>27</v>
      </c>
      <c r="G2026" s="30" t="s">
        <v>20</v>
      </c>
      <c r="H2026" s="32">
        <v>28</v>
      </c>
      <c r="I2026" s="30" t="s">
        <v>21</v>
      </c>
      <c r="J2026" s="41">
        <v>44188</v>
      </c>
      <c r="K2026" s="30" t="s">
        <v>22</v>
      </c>
    </row>
    <row r="2027" spans="1:11">
      <c r="A2027" s="33" t="s">
        <v>5082</v>
      </c>
      <c r="B2027" s="33" t="s">
        <v>5083</v>
      </c>
      <c r="C2027" s="33" t="s">
        <v>5084</v>
      </c>
      <c r="D2027" s="33" t="s">
        <v>17</v>
      </c>
      <c r="E2027" s="33" t="s">
        <v>26</v>
      </c>
      <c r="F2027" s="33" t="s">
        <v>27</v>
      </c>
      <c r="G2027" s="33" t="s">
        <v>50</v>
      </c>
      <c r="H2027" s="35">
        <v>48</v>
      </c>
      <c r="I2027" s="33" t="s">
        <v>51</v>
      </c>
      <c r="J2027" s="42">
        <v>44019</v>
      </c>
      <c r="K2027" s="33" t="s">
        <v>22</v>
      </c>
    </row>
    <row r="2028" spans="1:11">
      <c r="A2028" s="30" t="s">
        <v>5085</v>
      </c>
      <c r="B2028" s="30" t="s">
        <v>5086</v>
      </c>
      <c r="C2028" s="30" t="s">
        <v>426</v>
      </c>
      <c r="D2028" s="30" t="s">
        <v>17</v>
      </c>
      <c r="E2028" s="30" t="s">
        <v>67</v>
      </c>
      <c r="F2028" s="30" t="s">
        <v>68</v>
      </c>
      <c r="G2028" s="30" t="s">
        <v>50</v>
      </c>
      <c r="H2028" s="32">
        <v>69</v>
      </c>
      <c r="I2028" s="30" t="s">
        <v>51</v>
      </c>
      <c r="J2028" s="41">
        <v>44169</v>
      </c>
      <c r="K2028" s="30" t="s">
        <v>22</v>
      </c>
    </row>
    <row r="2029" spans="1:11">
      <c r="A2029" s="33" t="s">
        <v>5087</v>
      </c>
      <c r="B2029" s="33" t="s">
        <v>5088</v>
      </c>
      <c r="C2029" s="33" t="s">
        <v>524</v>
      </c>
      <c r="D2029" s="33" t="s">
        <v>17</v>
      </c>
      <c r="E2029" s="33" t="s">
        <v>31</v>
      </c>
      <c r="F2029" s="33" t="s">
        <v>32</v>
      </c>
      <c r="G2029" s="33" t="s">
        <v>106</v>
      </c>
      <c r="H2029" s="35">
        <v>98</v>
      </c>
      <c r="I2029" s="33" t="s">
        <v>21</v>
      </c>
      <c r="J2029" s="42">
        <v>43857</v>
      </c>
      <c r="K2029" s="33" t="s">
        <v>22</v>
      </c>
    </row>
    <row r="2030" spans="1:11">
      <c r="A2030" s="30" t="s">
        <v>5089</v>
      </c>
      <c r="B2030" s="30" t="s">
        <v>5090</v>
      </c>
      <c r="C2030" s="30" t="s">
        <v>136</v>
      </c>
      <c r="D2030" s="30" t="s">
        <v>17</v>
      </c>
      <c r="E2030" s="30" t="s">
        <v>26</v>
      </c>
      <c r="F2030" s="30" t="s">
        <v>27</v>
      </c>
      <c r="G2030" s="30" t="s">
        <v>20</v>
      </c>
      <c r="H2030" s="32">
        <v>24</v>
      </c>
      <c r="I2030" s="30" t="s">
        <v>21</v>
      </c>
      <c r="J2030" s="41">
        <v>44057</v>
      </c>
      <c r="K2030" s="30" t="s">
        <v>22</v>
      </c>
    </row>
    <row r="2031" spans="1:11">
      <c r="A2031" s="33" t="s">
        <v>5091</v>
      </c>
      <c r="B2031" s="33" t="s">
        <v>5092</v>
      </c>
      <c r="C2031" s="33" t="s">
        <v>5093</v>
      </c>
      <c r="D2031" s="33" t="s">
        <v>17</v>
      </c>
      <c r="E2031" s="33" t="s">
        <v>26</v>
      </c>
      <c r="F2031" s="33" t="s">
        <v>27</v>
      </c>
      <c r="G2031" s="33" t="s">
        <v>20</v>
      </c>
      <c r="H2031" s="35">
        <v>24</v>
      </c>
      <c r="I2031" s="33" t="s">
        <v>21</v>
      </c>
      <c r="J2031" s="42">
        <v>44146</v>
      </c>
      <c r="K2031" s="33" t="s">
        <v>22</v>
      </c>
    </row>
    <row r="2032" spans="1:11">
      <c r="A2032" s="30" t="s">
        <v>5094</v>
      </c>
      <c r="B2032" s="30" t="s">
        <v>5095</v>
      </c>
      <c r="C2032" s="30" t="s">
        <v>231</v>
      </c>
      <c r="D2032" s="30" t="s">
        <v>17</v>
      </c>
      <c r="E2032" s="30" t="s">
        <v>212</v>
      </c>
      <c r="F2032" s="30" t="s">
        <v>213</v>
      </c>
      <c r="G2032" s="30" t="s">
        <v>20</v>
      </c>
      <c r="H2032" s="32">
        <v>213</v>
      </c>
      <c r="I2032" s="30" t="s">
        <v>21</v>
      </c>
      <c r="J2032" s="41">
        <v>43838</v>
      </c>
      <c r="K2032" s="30" t="s">
        <v>22</v>
      </c>
    </row>
    <row r="2033" spans="1:11">
      <c r="A2033" s="33" t="s">
        <v>5096</v>
      </c>
      <c r="B2033" s="33" t="s">
        <v>5097</v>
      </c>
      <c r="C2033" s="33" t="s">
        <v>190</v>
      </c>
      <c r="D2033" s="33" t="s">
        <v>17</v>
      </c>
      <c r="E2033" s="33" t="s">
        <v>18</v>
      </c>
      <c r="F2033" s="33" t="s">
        <v>19</v>
      </c>
      <c r="G2033" s="33" t="s">
        <v>112</v>
      </c>
      <c r="H2033" s="35">
        <v>0</v>
      </c>
      <c r="I2033" s="33" t="s">
        <v>21</v>
      </c>
      <c r="J2033" s="42">
        <v>43921</v>
      </c>
      <c r="K2033" s="33" t="s">
        <v>22</v>
      </c>
    </row>
    <row r="2034" spans="1:11">
      <c r="A2034" s="30" t="s">
        <v>5098</v>
      </c>
      <c r="B2034" s="30" t="s">
        <v>5099</v>
      </c>
      <c r="C2034" s="30" t="s">
        <v>5100</v>
      </c>
      <c r="D2034" s="30" t="s">
        <v>17</v>
      </c>
      <c r="E2034" s="30" t="s">
        <v>31</v>
      </c>
      <c r="F2034" s="30" t="s">
        <v>32</v>
      </c>
      <c r="G2034" s="30" t="s">
        <v>50</v>
      </c>
      <c r="H2034" s="32">
        <v>24</v>
      </c>
      <c r="I2034" s="30" t="s">
        <v>51</v>
      </c>
      <c r="J2034" s="41">
        <v>44195</v>
      </c>
      <c r="K2034" s="30" t="s">
        <v>22</v>
      </c>
    </row>
    <row r="2035" spans="1:11">
      <c r="A2035" s="33" t="s">
        <v>5101</v>
      </c>
      <c r="B2035" s="33" t="s">
        <v>5102</v>
      </c>
      <c r="C2035" s="33" t="s">
        <v>96</v>
      </c>
      <c r="D2035" s="33" t="s">
        <v>17</v>
      </c>
      <c r="E2035" s="33" t="s">
        <v>26</v>
      </c>
      <c r="F2035" s="33" t="s">
        <v>27</v>
      </c>
      <c r="G2035" s="33" t="s">
        <v>20</v>
      </c>
      <c r="H2035" s="35">
        <v>11</v>
      </c>
      <c r="I2035" s="33" t="s">
        <v>21</v>
      </c>
      <c r="J2035" s="42">
        <v>44152</v>
      </c>
      <c r="K2035" s="33" t="s">
        <v>22</v>
      </c>
    </row>
    <row r="2036" spans="1:11">
      <c r="A2036" s="30" t="s">
        <v>5103</v>
      </c>
      <c r="B2036" s="30" t="s">
        <v>5104</v>
      </c>
      <c r="C2036" s="30" t="s">
        <v>279</v>
      </c>
      <c r="D2036" s="30" t="s">
        <v>17</v>
      </c>
      <c r="E2036" s="30" t="s">
        <v>31</v>
      </c>
      <c r="F2036" s="30" t="s">
        <v>32</v>
      </c>
      <c r="G2036" s="30" t="s">
        <v>20</v>
      </c>
      <c r="H2036" s="32">
        <v>53</v>
      </c>
      <c r="I2036" s="30" t="s">
        <v>21</v>
      </c>
      <c r="J2036" s="41">
        <v>43965</v>
      </c>
      <c r="K2036" s="30" t="s">
        <v>22</v>
      </c>
    </row>
    <row r="2037" spans="1:11">
      <c r="A2037" s="33" t="s">
        <v>5105</v>
      </c>
      <c r="B2037" s="33" t="s">
        <v>5106</v>
      </c>
      <c r="C2037" s="33" t="s">
        <v>1607</v>
      </c>
      <c r="D2037" s="33" t="s">
        <v>17</v>
      </c>
      <c r="E2037" s="33" t="s">
        <v>67</v>
      </c>
      <c r="F2037" s="33" t="s">
        <v>68</v>
      </c>
      <c r="G2037" s="33" t="s">
        <v>20</v>
      </c>
      <c r="H2037" s="35">
        <v>105</v>
      </c>
      <c r="I2037" s="33" t="s">
        <v>21</v>
      </c>
      <c r="J2037" s="42">
        <v>43998</v>
      </c>
      <c r="K2037" s="33" t="s">
        <v>22</v>
      </c>
    </row>
    <row r="2038" spans="1:11">
      <c r="A2038" s="30" t="s">
        <v>5107</v>
      </c>
      <c r="B2038" s="30" t="s">
        <v>5108</v>
      </c>
      <c r="C2038" s="30" t="s">
        <v>1520</v>
      </c>
      <c r="D2038" s="30" t="s">
        <v>17</v>
      </c>
      <c r="E2038" s="30" t="s">
        <v>31</v>
      </c>
      <c r="F2038" s="30" t="s">
        <v>32</v>
      </c>
      <c r="G2038" s="30" t="s">
        <v>20</v>
      </c>
      <c r="H2038" s="32">
        <v>291</v>
      </c>
      <c r="I2038" s="30" t="s">
        <v>21</v>
      </c>
      <c r="J2038" s="41">
        <v>44062</v>
      </c>
      <c r="K2038" s="30" t="s">
        <v>22</v>
      </c>
    </row>
    <row r="2039" spans="1:11">
      <c r="A2039" s="33" t="s">
        <v>5109</v>
      </c>
      <c r="B2039" s="33" t="s">
        <v>5110</v>
      </c>
      <c r="C2039" s="33" t="s">
        <v>3660</v>
      </c>
      <c r="D2039" s="33" t="s">
        <v>17</v>
      </c>
      <c r="E2039" s="33" t="s">
        <v>31</v>
      </c>
      <c r="F2039" s="33" t="s">
        <v>32</v>
      </c>
      <c r="G2039" s="33" t="s">
        <v>106</v>
      </c>
      <c r="H2039" s="35">
        <v>31</v>
      </c>
      <c r="I2039" s="33" t="s">
        <v>21</v>
      </c>
      <c r="J2039" s="42">
        <v>44125</v>
      </c>
      <c r="K2039" s="33" t="s">
        <v>22</v>
      </c>
    </row>
    <row r="2040" spans="1:11">
      <c r="A2040" s="30" t="s">
        <v>5111</v>
      </c>
      <c r="B2040" s="30" t="s">
        <v>5112</v>
      </c>
      <c r="C2040" s="30" t="s">
        <v>93</v>
      </c>
      <c r="D2040" s="30" t="s">
        <v>17</v>
      </c>
      <c r="E2040" s="30" t="s">
        <v>26</v>
      </c>
      <c r="F2040" s="30" t="s">
        <v>27</v>
      </c>
      <c r="G2040" s="30" t="s">
        <v>20</v>
      </c>
      <c r="H2040" s="32">
        <v>41</v>
      </c>
      <c r="I2040" s="30" t="s">
        <v>21</v>
      </c>
      <c r="J2040" s="41">
        <v>43860</v>
      </c>
      <c r="K2040" s="30" t="s">
        <v>22</v>
      </c>
    </row>
    <row r="2041" spans="1:11">
      <c r="A2041" s="33" t="s">
        <v>5113</v>
      </c>
      <c r="B2041" s="33" t="s">
        <v>5114</v>
      </c>
      <c r="C2041" s="33" t="s">
        <v>109</v>
      </c>
      <c r="D2041" s="33" t="s">
        <v>17</v>
      </c>
      <c r="E2041" s="33" t="s">
        <v>18</v>
      </c>
      <c r="F2041" s="33" t="s">
        <v>19</v>
      </c>
      <c r="G2041" s="33" t="s">
        <v>158</v>
      </c>
      <c r="H2041" s="35">
        <v>19</v>
      </c>
      <c r="I2041" s="33" t="s">
        <v>21</v>
      </c>
      <c r="J2041" s="42">
        <v>44028</v>
      </c>
      <c r="K2041" s="33" t="s">
        <v>22</v>
      </c>
    </row>
    <row r="2042" spans="1:11">
      <c r="A2042" s="30" t="s">
        <v>5115</v>
      </c>
      <c r="B2042" s="30" t="s">
        <v>5116</v>
      </c>
      <c r="C2042" s="30" t="s">
        <v>5117</v>
      </c>
      <c r="D2042" s="30" t="s">
        <v>17</v>
      </c>
      <c r="E2042" s="30" t="s">
        <v>67</v>
      </c>
      <c r="F2042" s="30" t="s">
        <v>68</v>
      </c>
      <c r="G2042" s="30" t="s">
        <v>158</v>
      </c>
      <c r="H2042" s="32">
        <v>32</v>
      </c>
      <c r="I2042" s="30" t="s">
        <v>51</v>
      </c>
      <c r="J2042" s="41">
        <v>43833</v>
      </c>
      <c r="K2042" s="30" t="s">
        <v>22</v>
      </c>
    </row>
    <row r="2043" spans="1:11">
      <c r="A2043" s="33" t="s">
        <v>5118</v>
      </c>
      <c r="B2043" s="33" t="s">
        <v>5119</v>
      </c>
      <c r="C2043" s="33" t="s">
        <v>715</v>
      </c>
      <c r="D2043" s="33" t="s">
        <v>17</v>
      </c>
      <c r="E2043" s="33" t="s">
        <v>31</v>
      </c>
      <c r="F2043" s="33" t="s">
        <v>32</v>
      </c>
      <c r="G2043" s="33" t="s">
        <v>158</v>
      </c>
      <c r="H2043" s="35">
        <v>329</v>
      </c>
      <c r="I2043" s="33" t="s">
        <v>21</v>
      </c>
      <c r="J2043" s="42">
        <v>43900</v>
      </c>
      <c r="K2043" s="33" t="s">
        <v>22</v>
      </c>
    </row>
    <row r="2044" spans="1:11">
      <c r="A2044" s="30" t="s">
        <v>5120</v>
      </c>
      <c r="B2044" s="30" t="s">
        <v>5121</v>
      </c>
      <c r="C2044" s="30" t="s">
        <v>5122</v>
      </c>
      <c r="D2044" s="30" t="s">
        <v>17</v>
      </c>
      <c r="E2044" s="30" t="s">
        <v>31</v>
      </c>
      <c r="F2044" s="30" t="s">
        <v>32</v>
      </c>
      <c r="G2044" s="30" t="s">
        <v>20</v>
      </c>
      <c r="H2044" s="32">
        <v>100</v>
      </c>
      <c r="I2044" s="30" t="s">
        <v>21</v>
      </c>
      <c r="J2044" s="41">
        <v>43984</v>
      </c>
      <c r="K2044" s="30" t="s">
        <v>22</v>
      </c>
    </row>
    <row r="2045" spans="1:11">
      <c r="A2045" s="33" t="s">
        <v>5123</v>
      </c>
      <c r="B2045" s="33" t="s">
        <v>5124</v>
      </c>
      <c r="C2045" s="33" t="s">
        <v>5125</v>
      </c>
      <c r="D2045" s="33" t="s">
        <v>17</v>
      </c>
      <c r="E2045" s="33" t="s">
        <v>18</v>
      </c>
      <c r="F2045" s="33" t="s">
        <v>19</v>
      </c>
      <c r="G2045" s="33" t="s">
        <v>20</v>
      </c>
      <c r="H2045" s="35">
        <v>1680</v>
      </c>
      <c r="I2045" s="33" t="s">
        <v>21</v>
      </c>
      <c r="J2045" s="42">
        <v>43979</v>
      </c>
      <c r="K2045" s="33" t="s">
        <v>22</v>
      </c>
    </row>
    <row r="2046" spans="1:11">
      <c r="A2046" s="30" t="s">
        <v>5126</v>
      </c>
      <c r="B2046" s="30" t="s">
        <v>5127</v>
      </c>
      <c r="C2046" s="30" t="s">
        <v>1598</v>
      </c>
      <c r="D2046" s="30" t="s">
        <v>17</v>
      </c>
      <c r="E2046" s="30" t="s">
        <v>18</v>
      </c>
      <c r="F2046" s="30" t="s">
        <v>19</v>
      </c>
      <c r="G2046" s="30" t="s">
        <v>20</v>
      </c>
      <c r="H2046" s="32">
        <v>804</v>
      </c>
      <c r="I2046" s="30" t="s">
        <v>21</v>
      </c>
      <c r="J2046" s="41">
        <v>43950</v>
      </c>
      <c r="K2046" s="30" t="s">
        <v>22</v>
      </c>
    </row>
    <row r="2047" spans="1:11">
      <c r="A2047" s="33" t="s">
        <v>5128</v>
      </c>
      <c r="B2047" s="33" t="s">
        <v>5129</v>
      </c>
      <c r="C2047" s="33" t="s">
        <v>644</v>
      </c>
      <c r="D2047" s="33" t="s">
        <v>17</v>
      </c>
      <c r="E2047" s="33" t="s">
        <v>26</v>
      </c>
      <c r="F2047" s="33" t="s">
        <v>27</v>
      </c>
      <c r="G2047" s="33" t="s">
        <v>50</v>
      </c>
      <c r="H2047" s="35">
        <v>63</v>
      </c>
      <c r="I2047" s="33" t="s">
        <v>21</v>
      </c>
      <c r="J2047" s="42">
        <v>43905</v>
      </c>
      <c r="K2047" s="33" t="s">
        <v>22</v>
      </c>
    </row>
    <row r="2048" spans="1:11">
      <c r="A2048" s="30" t="s">
        <v>5130</v>
      </c>
      <c r="B2048" s="30" t="s">
        <v>5131</v>
      </c>
      <c r="C2048" s="30" t="s">
        <v>4233</v>
      </c>
      <c r="D2048" s="30" t="s">
        <v>17</v>
      </c>
      <c r="E2048" s="30" t="s">
        <v>26</v>
      </c>
      <c r="F2048" s="30" t="s">
        <v>27</v>
      </c>
      <c r="G2048" s="30" t="s">
        <v>158</v>
      </c>
      <c r="H2048" s="32">
        <v>10</v>
      </c>
      <c r="I2048" s="30" t="s">
        <v>21</v>
      </c>
      <c r="J2048" s="41">
        <v>44167</v>
      </c>
      <c r="K2048" s="30" t="s">
        <v>22</v>
      </c>
    </row>
    <row r="2049" spans="1:11">
      <c r="A2049" s="33" t="s">
        <v>5132</v>
      </c>
      <c r="B2049" s="33" t="s">
        <v>5133</v>
      </c>
      <c r="C2049" s="33" t="s">
        <v>5134</v>
      </c>
      <c r="D2049" s="33" t="s">
        <v>17</v>
      </c>
      <c r="E2049" s="33" t="s">
        <v>31</v>
      </c>
      <c r="F2049" s="33" t="s">
        <v>32</v>
      </c>
      <c r="G2049" s="33" t="s">
        <v>50</v>
      </c>
      <c r="H2049" s="35">
        <v>200</v>
      </c>
      <c r="I2049" s="33" t="s">
        <v>51</v>
      </c>
      <c r="J2049" s="42">
        <v>43850</v>
      </c>
      <c r="K2049" s="33" t="s">
        <v>22</v>
      </c>
    </row>
    <row r="2050" spans="1:11">
      <c r="A2050" s="30" t="s">
        <v>5135</v>
      </c>
      <c r="B2050" s="30" t="s">
        <v>5136</v>
      </c>
      <c r="C2050" s="30" t="s">
        <v>2354</v>
      </c>
      <c r="D2050" s="30" t="s">
        <v>17</v>
      </c>
      <c r="E2050" s="30" t="s">
        <v>212</v>
      </c>
      <c r="F2050" s="30" t="s">
        <v>213</v>
      </c>
      <c r="G2050" s="30" t="s">
        <v>20</v>
      </c>
      <c r="H2050" s="32">
        <v>673</v>
      </c>
      <c r="I2050" s="30" t="s">
        <v>21</v>
      </c>
      <c r="J2050" s="41">
        <v>44012</v>
      </c>
      <c r="K2050" s="30" t="s">
        <v>22</v>
      </c>
    </row>
    <row r="2051" spans="1:11">
      <c r="A2051" s="33" t="s">
        <v>5137</v>
      </c>
      <c r="B2051" s="33" t="s">
        <v>5138</v>
      </c>
      <c r="C2051" s="33" t="s">
        <v>5139</v>
      </c>
      <c r="D2051" s="33" t="s">
        <v>17</v>
      </c>
      <c r="E2051" s="33" t="s">
        <v>31</v>
      </c>
      <c r="F2051" s="33" t="s">
        <v>32</v>
      </c>
      <c r="G2051" s="33" t="s">
        <v>106</v>
      </c>
      <c r="H2051" s="35">
        <v>76</v>
      </c>
      <c r="I2051" s="33" t="s">
        <v>21</v>
      </c>
      <c r="J2051" s="42">
        <v>43874</v>
      </c>
      <c r="K2051" s="33" t="s">
        <v>22</v>
      </c>
    </row>
    <row r="2052" spans="1:11">
      <c r="A2052" s="30" t="s">
        <v>5140</v>
      </c>
      <c r="B2052" s="30" t="s">
        <v>5141</v>
      </c>
      <c r="C2052" s="30" t="s">
        <v>78</v>
      </c>
      <c r="D2052" s="30" t="s">
        <v>17</v>
      </c>
      <c r="E2052" s="30" t="s">
        <v>26</v>
      </c>
      <c r="F2052" s="30" t="s">
        <v>27</v>
      </c>
      <c r="G2052" s="30" t="s">
        <v>50</v>
      </c>
      <c r="H2052" s="32">
        <v>26</v>
      </c>
      <c r="I2052" s="30" t="s">
        <v>51</v>
      </c>
      <c r="J2052" s="41">
        <v>43885</v>
      </c>
      <c r="K2052" s="30" t="s">
        <v>22</v>
      </c>
    </row>
    <row r="2053" spans="1:11">
      <c r="A2053" s="33" t="s">
        <v>5142</v>
      </c>
      <c r="B2053" s="33" t="s">
        <v>5143</v>
      </c>
      <c r="C2053" s="33" t="s">
        <v>5144</v>
      </c>
      <c r="D2053" s="33" t="s">
        <v>17</v>
      </c>
      <c r="E2053" s="33" t="s">
        <v>67</v>
      </c>
      <c r="F2053" s="33" t="s">
        <v>68</v>
      </c>
      <c r="G2053" s="33" t="s">
        <v>106</v>
      </c>
      <c r="H2053" s="35">
        <v>60</v>
      </c>
      <c r="I2053" s="33" t="s">
        <v>21</v>
      </c>
      <c r="J2053" s="42">
        <v>43999</v>
      </c>
      <c r="K2053" s="33" t="s">
        <v>22</v>
      </c>
    </row>
    <row r="2054" spans="1:11">
      <c r="A2054" s="30" t="s">
        <v>5145</v>
      </c>
      <c r="B2054" s="30" t="s">
        <v>5146</v>
      </c>
      <c r="C2054" s="30" t="s">
        <v>5147</v>
      </c>
      <c r="D2054" s="30" t="s">
        <v>17</v>
      </c>
      <c r="E2054" s="30" t="s">
        <v>26</v>
      </c>
      <c r="F2054" s="30" t="s">
        <v>27</v>
      </c>
      <c r="G2054" s="30" t="s">
        <v>20</v>
      </c>
      <c r="H2054" s="32">
        <v>9</v>
      </c>
      <c r="I2054" s="30" t="s">
        <v>21</v>
      </c>
      <c r="J2054" s="41">
        <v>43836</v>
      </c>
      <c r="K2054" s="30" t="s">
        <v>22</v>
      </c>
    </row>
    <row r="2055" spans="1:11">
      <c r="A2055" s="33" t="s">
        <v>5148</v>
      </c>
      <c r="B2055" s="33" t="s">
        <v>5149</v>
      </c>
      <c r="C2055" s="33" t="s">
        <v>3922</v>
      </c>
      <c r="D2055" s="33" t="s">
        <v>17</v>
      </c>
      <c r="E2055" s="33" t="s">
        <v>31</v>
      </c>
      <c r="F2055" s="33" t="s">
        <v>32</v>
      </c>
      <c r="G2055" s="33" t="s">
        <v>20</v>
      </c>
      <c r="H2055" s="35">
        <v>217</v>
      </c>
      <c r="I2055" s="33" t="s">
        <v>21</v>
      </c>
      <c r="J2055" s="42">
        <v>43843</v>
      </c>
      <c r="K2055" s="33" t="s">
        <v>22</v>
      </c>
    </row>
    <row r="2056" spans="1:11">
      <c r="A2056" s="30" t="s">
        <v>5150</v>
      </c>
      <c r="B2056" s="30" t="s">
        <v>5151</v>
      </c>
      <c r="C2056" s="30" t="s">
        <v>44</v>
      </c>
      <c r="D2056" s="30" t="s">
        <v>17</v>
      </c>
      <c r="E2056" s="30" t="s">
        <v>31</v>
      </c>
      <c r="F2056" s="30" t="s">
        <v>32</v>
      </c>
      <c r="G2056" s="30" t="s">
        <v>20</v>
      </c>
      <c r="H2056" s="32">
        <v>62</v>
      </c>
      <c r="I2056" s="30" t="s">
        <v>21</v>
      </c>
      <c r="J2056" s="41">
        <v>44089</v>
      </c>
      <c r="K2056" s="30" t="s">
        <v>22</v>
      </c>
    </row>
    <row r="2057" spans="1:11">
      <c r="A2057" s="33" t="s">
        <v>5152</v>
      </c>
      <c r="B2057" s="33" t="s">
        <v>5153</v>
      </c>
      <c r="C2057" s="33" t="s">
        <v>149</v>
      </c>
      <c r="D2057" s="33" t="s">
        <v>17</v>
      </c>
      <c r="E2057" s="33" t="s">
        <v>26</v>
      </c>
      <c r="F2057" s="33" t="s">
        <v>27</v>
      </c>
      <c r="G2057" s="33" t="s">
        <v>20</v>
      </c>
      <c r="H2057" s="35">
        <v>42</v>
      </c>
      <c r="I2057" s="33" t="s">
        <v>21</v>
      </c>
      <c r="J2057" s="42">
        <v>43964</v>
      </c>
      <c r="K2057" s="33" t="s">
        <v>22</v>
      </c>
    </row>
    <row r="2058" spans="1:11">
      <c r="A2058" s="30" t="s">
        <v>5154</v>
      </c>
      <c r="B2058" s="30" t="s">
        <v>5155</v>
      </c>
      <c r="C2058" s="30" t="s">
        <v>157</v>
      </c>
      <c r="D2058" s="30" t="s">
        <v>17</v>
      </c>
      <c r="E2058" s="30" t="s">
        <v>212</v>
      </c>
      <c r="F2058" s="30" t="s">
        <v>213</v>
      </c>
      <c r="G2058" s="30" t="s">
        <v>106</v>
      </c>
      <c r="H2058" s="32">
        <v>53</v>
      </c>
      <c r="I2058" s="30" t="s">
        <v>21</v>
      </c>
      <c r="J2058" s="41">
        <v>44187</v>
      </c>
      <c r="K2058" s="30" t="s">
        <v>22</v>
      </c>
    </row>
    <row r="2059" spans="1:11">
      <c r="A2059" s="33" t="s">
        <v>5156</v>
      </c>
      <c r="B2059" s="33" t="s">
        <v>5157</v>
      </c>
      <c r="C2059" s="33" t="s">
        <v>5158</v>
      </c>
      <c r="D2059" s="33" t="s">
        <v>17</v>
      </c>
      <c r="E2059" s="33" t="s">
        <v>26</v>
      </c>
      <c r="F2059" s="33" t="s">
        <v>27</v>
      </c>
      <c r="G2059" s="33" t="s">
        <v>20</v>
      </c>
      <c r="H2059" s="35">
        <v>128</v>
      </c>
      <c r="I2059" s="33" t="s">
        <v>21</v>
      </c>
      <c r="J2059" s="42">
        <v>43921</v>
      </c>
      <c r="K2059" s="33" t="s">
        <v>22</v>
      </c>
    </row>
    <row r="2060" spans="1:11">
      <c r="A2060" s="30" t="s">
        <v>5159</v>
      </c>
      <c r="B2060" s="30" t="s">
        <v>5160</v>
      </c>
      <c r="C2060" s="30" t="s">
        <v>2842</v>
      </c>
      <c r="D2060" s="30" t="s">
        <v>17</v>
      </c>
      <c r="E2060" s="30" t="s">
        <v>26</v>
      </c>
      <c r="F2060" s="30" t="s">
        <v>27</v>
      </c>
      <c r="G2060" s="30" t="s">
        <v>20</v>
      </c>
      <c r="H2060" s="32">
        <v>37</v>
      </c>
      <c r="I2060" s="30" t="s">
        <v>21</v>
      </c>
      <c r="J2060" s="41">
        <v>44195</v>
      </c>
      <c r="K2060" s="30" t="s">
        <v>22</v>
      </c>
    </row>
    <row r="2061" spans="1:11">
      <c r="A2061" s="33" t="s">
        <v>5161</v>
      </c>
      <c r="B2061" s="33" t="s">
        <v>5162</v>
      </c>
      <c r="C2061" s="33" t="s">
        <v>647</v>
      </c>
      <c r="D2061" s="33" t="s">
        <v>17</v>
      </c>
      <c r="E2061" s="33" t="s">
        <v>67</v>
      </c>
      <c r="F2061" s="33" t="s">
        <v>68</v>
      </c>
      <c r="G2061" s="33" t="s">
        <v>158</v>
      </c>
      <c r="H2061" s="35">
        <v>400</v>
      </c>
      <c r="I2061" s="33" t="s">
        <v>51</v>
      </c>
      <c r="J2061" s="42">
        <v>44181</v>
      </c>
      <c r="K2061" s="33" t="s">
        <v>22</v>
      </c>
    </row>
    <row r="2062" spans="1:11">
      <c r="A2062" s="30" t="s">
        <v>5163</v>
      </c>
      <c r="B2062" s="30" t="s">
        <v>5164</v>
      </c>
      <c r="C2062" s="30" t="s">
        <v>149</v>
      </c>
      <c r="D2062" s="30" t="s">
        <v>17</v>
      </c>
      <c r="E2062" s="30" t="s">
        <v>67</v>
      </c>
      <c r="F2062" s="30" t="s">
        <v>68</v>
      </c>
      <c r="G2062" s="30" t="s">
        <v>20</v>
      </c>
      <c r="H2062" s="32">
        <v>25</v>
      </c>
      <c r="I2062" s="30" t="s">
        <v>21</v>
      </c>
      <c r="J2062" s="41">
        <v>43993</v>
      </c>
      <c r="K2062" s="30" t="s">
        <v>22</v>
      </c>
    </row>
    <row r="2063" spans="1:11">
      <c r="A2063" s="33" t="s">
        <v>5165</v>
      </c>
      <c r="B2063" s="33" t="s">
        <v>5166</v>
      </c>
      <c r="C2063" s="33" t="s">
        <v>3296</v>
      </c>
      <c r="D2063" s="33" t="s">
        <v>17</v>
      </c>
      <c r="E2063" s="33" t="s">
        <v>18</v>
      </c>
      <c r="F2063" s="33" t="s">
        <v>19</v>
      </c>
      <c r="G2063" s="33" t="s">
        <v>20</v>
      </c>
      <c r="H2063" s="35">
        <v>198</v>
      </c>
      <c r="I2063" s="33" t="s">
        <v>21</v>
      </c>
      <c r="J2063" s="42">
        <v>43977</v>
      </c>
      <c r="K2063" s="33" t="s">
        <v>22</v>
      </c>
    </row>
    <row r="2064" spans="1:11">
      <c r="A2064" s="30" t="s">
        <v>5167</v>
      </c>
      <c r="B2064" s="30" t="s">
        <v>5168</v>
      </c>
      <c r="C2064" s="30" t="s">
        <v>5169</v>
      </c>
      <c r="D2064" s="30" t="s">
        <v>17</v>
      </c>
      <c r="E2064" s="30" t="s">
        <v>26</v>
      </c>
      <c r="F2064" s="30" t="s">
        <v>27</v>
      </c>
      <c r="G2064" s="30" t="s">
        <v>20</v>
      </c>
      <c r="H2064" s="32">
        <v>4</v>
      </c>
      <c r="I2064" s="30" t="s">
        <v>21</v>
      </c>
      <c r="J2064" s="41">
        <v>44133</v>
      </c>
      <c r="K2064" s="30" t="s">
        <v>22</v>
      </c>
    </row>
    <row r="2065" spans="1:11">
      <c r="A2065" s="33" t="s">
        <v>5170</v>
      </c>
      <c r="B2065" s="33" t="s">
        <v>5171</v>
      </c>
      <c r="C2065" s="33" t="s">
        <v>2461</v>
      </c>
      <c r="D2065" s="33" t="s">
        <v>17</v>
      </c>
      <c r="E2065" s="33" t="s">
        <v>18</v>
      </c>
      <c r="F2065" s="33" t="s">
        <v>19</v>
      </c>
      <c r="G2065" s="33" t="s">
        <v>69</v>
      </c>
      <c r="H2065" s="35">
        <v>336</v>
      </c>
      <c r="I2065" s="33" t="s">
        <v>51</v>
      </c>
      <c r="J2065" s="42">
        <v>43922</v>
      </c>
      <c r="K2065" s="33" t="s">
        <v>22</v>
      </c>
    </row>
    <row r="2066" spans="1:11">
      <c r="A2066" s="30" t="s">
        <v>5172</v>
      </c>
      <c r="B2066" s="30" t="s">
        <v>5173</v>
      </c>
      <c r="C2066" s="30" t="s">
        <v>5174</v>
      </c>
      <c r="D2066" s="30" t="s">
        <v>17</v>
      </c>
      <c r="E2066" s="30" t="s">
        <v>18</v>
      </c>
      <c r="F2066" s="30" t="s">
        <v>19</v>
      </c>
      <c r="G2066" s="30" t="s">
        <v>20</v>
      </c>
      <c r="H2066" s="32">
        <v>200</v>
      </c>
      <c r="I2066" s="30" t="s">
        <v>21</v>
      </c>
      <c r="J2066" s="41">
        <v>44175</v>
      </c>
      <c r="K2066" s="30" t="s">
        <v>22</v>
      </c>
    </row>
    <row r="2067" spans="1:11">
      <c r="A2067" s="33" t="s">
        <v>5175</v>
      </c>
      <c r="B2067" s="33" t="s">
        <v>5176</v>
      </c>
      <c r="C2067" s="33" t="s">
        <v>5177</v>
      </c>
      <c r="D2067" s="33" t="s">
        <v>17</v>
      </c>
      <c r="E2067" s="33" t="s">
        <v>67</v>
      </c>
      <c r="F2067" s="33" t="s">
        <v>68</v>
      </c>
      <c r="G2067" s="33" t="s">
        <v>20</v>
      </c>
      <c r="H2067" s="35">
        <v>23</v>
      </c>
      <c r="I2067" s="33" t="s">
        <v>21</v>
      </c>
      <c r="J2067" s="42">
        <v>43966</v>
      </c>
      <c r="K2067" s="33" t="s">
        <v>22</v>
      </c>
    </row>
    <row r="2068" spans="1:11">
      <c r="A2068" s="30" t="s">
        <v>5178</v>
      </c>
      <c r="B2068" s="30" t="s">
        <v>5179</v>
      </c>
      <c r="C2068" s="30" t="s">
        <v>2490</v>
      </c>
      <c r="D2068" s="30" t="s">
        <v>17</v>
      </c>
      <c r="E2068" s="30" t="s">
        <v>26</v>
      </c>
      <c r="F2068" s="30" t="s">
        <v>27</v>
      </c>
      <c r="G2068" s="30" t="s">
        <v>20</v>
      </c>
      <c r="H2068" s="32">
        <v>56</v>
      </c>
      <c r="I2068" s="30" t="s">
        <v>21</v>
      </c>
      <c r="J2068" s="41">
        <v>43984</v>
      </c>
      <c r="K2068" s="30" t="s">
        <v>22</v>
      </c>
    </row>
    <row r="2069" spans="1:11">
      <c r="A2069" s="33" t="s">
        <v>5180</v>
      </c>
      <c r="B2069" s="33" t="s">
        <v>5181</v>
      </c>
      <c r="C2069" s="33" t="s">
        <v>109</v>
      </c>
      <c r="D2069" s="33" t="s">
        <v>17</v>
      </c>
      <c r="E2069" s="33" t="s">
        <v>31</v>
      </c>
      <c r="F2069" s="33" t="s">
        <v>32</v>
      </c>
      <c r="G2069" s="33" t="s">
        <v>20</v>
      </c>
      <c r="H2069" s="35">
        <v>718</v>
      </c>
      <c r="I2069" s="33" t="s">
        <v>21</v>
      </c>
      <c r="J2069" s="42">
        <v>44110</v>
      </c>
      <c r="K2069" s="33" t="s">
        <v>22</v>
      </c>
    </row>
    <row r="2070" spans="1:11">
      <c r="A2070" s="30" t="s">
        <v>5182</v>
      </c>
      <c r="B2070" s="30" t="s">
        <v>5183</v>
      </c>
      <c r="C2070" s="30" t="s">
        <v>1520</v>
      </c>
      <c r="D2070" s="30" t="s">
        <v>17</v>
      </c>
      <c r="E2070" s="30" t="s">
        <v>18</v>
      </c>
      <c r="F2070" s="30" t="s">
        <v>19</v>
      </c>
      <c r="G2070" s="30" t="s">
        <v>106</v>
      </c>
      <c r="H2070" s="32">
        <v>765</v>
      </c>
      <c r="I2070" s="30" t="s">
        <v>21</v>
      </c>
      <c r="J2070" s="41">
        <v>44039</v>
      </c>
      <c r="K2070" s="30" t="s">
        <v>22</v>
      </c>
    </row>
    <row r="2071" spans="1:11">
      <c r="A2071" s="33" t="s">
        <v>5184</v>
      </c>
      <c r="B2071" s="33" t="s">
        <v>5185</v>
      </c>
      <c r="C2071" s="33" t="s">
        <v>271</v>
      </c>
      <c r="D2071" s="33" t="s">
        <v>17</v>
      </c>
      <c r="E2071" s="33" t="s">
        <v>67</v>
      </c>
      <c r="F2071" s="33" t="s">
        <v>68</v>
      </c>
      <c r="G2071" s="33" t="s">
        <v>112</v>
      </c>
      <c r="H2071" s="35">
        <v>0</v>
      </c>
      <c r="I2071" s="33" t="s">
        <v>21</v>
      </c>
      <c r="J2071" s="42">
        <v>44153</v>
      </c>
      <c r="K2071" s="33" t="s">
        <v>22</v>
      </c>
    </row>
    <row r="2072" spans="1:11">
      <c r="A2072" s="30" t="s">
        <v>5186</v>
      </c>
      <c r="B2072" s="30" t="s">
        <v>5187</v>
      </c>
      <c r="C2072" s="30" t="s">
        <v>5188</v>
      </c>
      <c r="D2072" s="30" t="s">
        <v>17</v>
      </c>
      <c r="E2072" s="30" t="s">
        <v>26</v>
      </c>
      <c r="F2072" s="30" t="s">
        <v>27</v>
      </c>
      <c r="G2072" s="30" t="s">
        <v>20</v>
      </c>
      <c r="H2072" s="32">
        <v>54</v>
      </c>
      <c r="I2072" s="30" t="s">
        <v>21</v>
      </c>
      <c r="J2072" s="41">
        <v>44144</v>
      </c>
      <c r="K2072" s="30" t="s">
        <v>22</v>
      </c>
    </row>
    <row r="2073" spans="1:11">
      <c r="A2073" s="33" t="s">
        <v>5189</v>
      </c>
      <c r="B2073" s="33" t="s">
        <v>5190</v>
      </c>
      <c r="C2073" s="33" t="s">
        <v>3944</v>
      </c>
      <c r="D2073" s="33" t="s">
        <v>17</v>
      </c>
      <c r="E2073" s="33" t="s">
        <v>67</v>
      </c>
      <c r="F2073" s="33" t="s">
        <v>68</v>
      </c>
      <c r="G2073" s="33" t="s">
        <v>50</v>
      </c>
      <c r="H2073" s="35">
        <v>40</v>
      </c>
      <c r="I2073" s="33" t="s">
        <v>51</v>
      </c>
      <c r="J2073" s="42">
        <v>44068</v>
      </c>
      <c r="K2073" s="33" t="s">
        <v>22</v>
      </c>
    </row>
    <row r="2074" spans="1:11">
      <c r="A2074" s="30" t="s">
        <v>5191</v>
      </c>
      <c r="B2074" s="30" t="s">
        <v>5192</v>
      </c>
      <c r="C2074" s="30" t="s">
        <v>2277</v>
      </c>
      <c r="D2074" s="30" t="s">
        <v>17</v>
      </c>
      <c r="E2074" s="30" t="s">
        <v>31</v>
      </c>
      <c r="F2074" s="30" t="s">
        <v>32</v>
      </c>
      <c r="G2074" s="30" t="s">
        <v>106</v>
      </c>
      <c r="H2074" s="32">
        <v>6</v>
      </c>
      <c r="I2074" s="30" t="s">
        <v>21</v>
      </c>
      <c r="J2074" s="41">
        <v>43872</v>
      </c>
      <c r="K2074" s="30" t="s">
        <v>22</v>
      </c>
    </row>
    <row r="2075" spans="1:11">
      <c r="A2075" s="33" t="s">
        <v>5193</v>
      </c>
      <c r="B2075" s="33" t="s">
        <v>5194</v>
      </c>
      <c r="C2075" s="33" t="s">
        <v>5195</v>
      </c>
      <c r="D2075" s="33" t="s">
        <v>17</v>
      </c>
      <c r="E2075" s="33" t="s">
        <v>31</v>
      </c>
      <c r="F2075" s="33" t="s">
        <v>32</v>
      </c>
      <c r="G2075" s="33" t="s">
        <v>20</v>
      </c>
      <c r="H2075" s="35">
        <v>89</v>
      </c>
      <c r="I2075" s="33" t="s">
        <v>21</v>
      </c>
      <c r="J2075" s="42">
        <v>43836</v>
      </c>
      <c r="K2075" s="33" t="s">
        <v>22</v>
      </c>
    </row>
    <row r="2076" spans="1:11">
      <c r="A2076" s="30" t="s">
        <v>5196</v>
      </c>
      <c r="B2076" s="30" t="s">
        <v>5197</v>
      </c>
      <c r="C2076" s="30" t="s">
        <v>2022</v>
      </c>
      <c r="D2076" s="30" t="s">
        <v>17</v>
      </c>
      <c r="E2076" s="30" t="s">
        <v>18</v>
      </c>
      <c r="F2076" s="30" t="s">
        <v>19</v>
      </c>
      <c r="G2076" s="30" t="s">
        <v>106</v>
      </c>
      <c r="H2076" s="32">
        <v>127</v>
      </c>
      <c r="I2076" s="30" t="s">
        <v>21</v>
      </c>
      <c r="J2076" s="41">
        <v>44019</v>
      </c>
      <c r="K2076" s="30" t="s">
        <v>22</v>
      </c>
    </row>
    <row r="2077" spans="1:11">
      <c r="A2077" s="33" t="s">
        <v>5198</v>
      </c>
      <c r="B2077" s="33" t="s">
        <v>5199</v>
      </c>
      <c r="C2077" s="33" t="s">
        <v>4108</v>
      </c>
      <c r="D2077" s="33" t="s">
        <v>17</v>
      </c>
      <c r="E2077" s="33" t="s">
        <v>212</v>
      </c>
      <c r="F2077" s="33" t="s">
        <v>213</v>
      </c>
      <c r="G2077" s="33" t="s">
        <v>112</v>
      </c>
      <c r="H2077" s="35">
        <v>0</v>
      </c>
      <c r="I2077" s="33" t="s">
        <v>21</v>
      </c>
      <c r="J2077" s="42">
        <v>44119</v>
      </c>
      <c r="K2077" s="33" t="s">
        <v>22</v>
      </c>
    </row>
    <row r="2078" spans="1:11">
      <c r="A2078" s="30" t="s">
        <v>5200</v>
      </c>
      <c r="B2078" s="30" t="s">
        <v>5201</v>
      </c>
      <c r="C2078" s="30" t="s">
        <v>5202</v>
      </c>
      <c r="D2078" s="30" t="s">
        <v>17</v>
      </c>
      <c r="E2078" s="30" t="s">
        <v>26</v>
      </c>
      <c r="F2078" s="30" t="s">
        <v>27</v>
      </c>
      <c r="G2078" s="30" t="s">
        <v>20</v>
      </c>
      <c r="H2078" s="32">
        <v>24</v>
      </c>
      <c r="I2078" s="30" t="s">
        <v>21</v>
      </c>
      <c r="J2078" s="41">
        <v>44019</v>
      </c>
      <c r="K2078" s="30" t="s">
        <v>22</v>
      </c>
    </row>
    <row r="2079" spans="1:11">
      <c r="A2079" s="33" t="s">
        <v>5203</v>
      </c>
      <c r="B2079" s="33" t="s">
        <v>5204</v>
      </c>
      <c r="C2079" s="33" t="s">
        <v>969</v>
      </c>
      <c r="D2079" s="33" t="s">
        <v>17</v>
      </c>
      <c r="E2079" s="33" t="s">
        <v>18</v>
      </c>
      <c r="F2079" s="33" t="s">
        <v>19</v>
      </c>
      <c r="G2079" s="33" t="s">
        <v>20</v>
      </c>
      <c r="H2079" s="35">
        <v>666</v>
      </c>
      <c r="I2079" s="33" t="s">
        <v>21</v>
      </c>
      <c r="J2079" s="42">
        <v>44130</v>
      </c>
      <c r="K2079" s="33" t="s">
        <v>22</v>
      </c>
    </row>
    <row r="2080" spans="1:11">
      <c r="A2080" s="30" t="s">
        <v>5205</v>
      </c>
      <c r="B2080" s="30" t="s">
        <v>5206</v>
      </c>
      <c r="C2080" s="30" t="s">
        <v>5207</v>
      </c>
      <c r="D2080" s="30" t="s">
        <v>17</v>
      </c>
      <c r="E2080" s="30" t="s">
        <v>26</v>
      </c>
      <c r="F2080" s="30" t="s">
        <v>27</v>
      </c>
      <c r="G2080" s="30" t="s">
        <v>158</v>
      </c>
      <c r="H2080" s="32">
        <v>18</v>
      </c>
      <c r="I2080" s="30" t="s">
        <v>21</v>
      </c>
      <c r="J2080" s="41">
        <v>44151</v>
      </c>
      <c r="K2080" s="30" t="s">
        <v>22</v>
      </c>
    </row>
    <row r="2081" spans="1:11">
      <c r="A2081" s="33" t="s">
        <v>5208</v>
      </c>
      <c r="B2081" s="33" t="s">
        <v>5209</v>
      </c>
      <c r="C2081" s="33" t="s">
        <v>329</v>
      </c>
      <c r="D2081" s="33" t="s">
        <v>17</v>
      </c>
      <c r="E2081" s="33" t="s">
        <v>26</v>
      </c>
      <c r="F2081" s="33" t="s">
        <v>27</v>
      </c>
      <c r="G2081" s="33" t="s">
        <v>20</v>
      </c>
      <c r="H2081" s="35">
        <v>108</v>
      </c>
      <c r="I2081" s="33" t="s">
        <v>21</v>
      </c>
      <c r="J2081" s="42">
        <v>43906</v>
      </c>
      <c r="K2081" s="33" t="s">
        <v>22</v>
      </c>
    </row>
    <row r="2082" spans="1:11">
      <c r="A2082" s="30" t="s">
        <v>5210</v>
      </c>
      <c r="B2082" s="30" t="s">
        <v>5211</v>
      </c>
      <c r="C2082" s="30" t="s">
        <v>190</v>
      </c>
      <c r="D2082" s="30" t="s">
        <v>17</v>
      </c>
      <c r="E2082" s="30" t="s">
        <v>212</v>
      </c>
      <c r="F2082" s="30" t="s">
        <v>213</v>
      </c>
      <c r="G2082" s="30" t="s">
        <v>106</v>
      </c>
      <c r="H2082" s="32">
        <v>40</v>
      </c>
      <c r="I2082" s="30" t="s">
        <v>21</v>
      </c>
      <c r="J2082" s="41">
        <v>43948</v>
      </c>
      <c r="K2082" s="30" t="s">
        <v>22</v>
      </c>
    </row>
    <row r="2083" spans="1:11">
      <c r="A2083" s="33" t="s">
        <v>5212</v>
      </c>
      <c r="B2083" s="33" t="s">
        <v>5213</v>
      </c>
      <c r="C2083" s="33" t="s">
        <v>5214</v>
      </c>
      <c r="D2083" s="33" t="s">
        <v>17</v>
      </c>
      <c r="E2083" s="33" t="s">
        <v>31</v>
      </c>
      <c r="F2083" s="33" t="s">
        <v>32</v>
      </c>
      <c r="G2083" s="33" t="s">
        <v>106</v>
      </c>
      <c r="H2083" s="35">
        <v>27</v>
      </c>
      <c r="I2083" s="33" t="s">
        <v>21</v>
      </c>
      <c r="J2083" s="42">
        <v>44032</v>
      </c>
      <c r="K2083" s="33" t="s">
        <v>22</v>
      </c>
    </row>
    <row r="2084" spans="1:11">
      <c r="A2084" s="30" t="s">
        <v>5215</v>
      </c>
      <c r="B2084" s="30" t="s">
        <v>5216</v>
      </c>
      <c r="C2084" s="30" t="s">
        <v>5217</v>
      </c>
      <c r="D2084" s="30" t="s">
        <v>17</v>
      </c>
      <c r="E2084" s="30" t="s">
        <v>26</v>
      </c>
      <c r="F2084" s="30" t="s">
        <v>27</v>
      </c>
      <c r="G2084" s="30" t="s">
        <v>20</v>
      </c>
      <c r="H2084" s="32">
        <v>73</v>
      </c>
      <c r="I2084" s="30" t="s">
        <v>21</v>
      </c>
      <c r="J2084" s="41">
        <v>44102</v>
      </c>
      <c r="K2084" s="30" t="s">
        <v>22</v>
      </c>
    </row>
    <row r="2085" spans="1:11">
      <c r="A2085" s="33" t="s">
        <v>5218</v>
      </c>
      <c r="B2085" s="33" t="s">
        <v>5219</v>
      </c>
      <c r="C2085" s="33" t="s">
        <v>1350</v>
      </c>
      <c r="D2085" s="33" t="s">
        <v>17</v>
      </c>
      <c r="E2085" s="33" t="s">
        <v>31</v>
      </c>
      <c r="F2085" s="33" t="s">
        <v>32</v>
      </c>
      <c r="G2085" s="33" t="s">
        <v>20</v>
      </c>
      <c r="H2085" s="35">
        <v>102</v>
      </c>
      <c r="I2085" s="33" t="s">
        <v>21</v>
      </c>
      <c r="J2085" s="42">
        <v>44172</v>
      </c>
      <c r="K2085" s="33" t="s">
        <v>22</v>
      </c>
    </row>
    <row r="2086" spans="1:11">
      <c r="A2086" s="30" t="s">
        <v>5220</v>
      </c>
      <c r="B2086" s="30" t="s">
        <v>5221</v>
      </c>
      <c r="C2086" s="30" t="s">
        <v>1270</v>
      </c>
      <c r="D2086" s="30" t="s">
        <v>17</v>
      </c>
      <c r="E2086" s="30" t="s">
        <v>26</v>
      </c>
      <c r="F2086" s="30" t="s">
        <v>27</v>
      </c>
      <c r="G2086" s="30" t="s">
        <v>20</v>
      </c>
      <c r="H2086" s="32">
        <v>36</v>
      </c>
      <c r="I2086" s="30" t="s">
        <v>21</v>
      </c>
      <c r="J2086" s="41">
        <v>44046</v>
      </c>
      <c r="K2086" s="30" t="s">
        <v>22</v>
      </c>
    </row>
    <row r="2087" spans="1:11">
      <c r="A2087" s="33" t="s">
        <v>5222</v>
      </c>
      <c r="B2087" s="33" t="s">
        <v>5223</v>
      </c>
      <c r="C2087" s="33" t="s">
        <v>1808</v>
      </c>
      <c r="D2087" s="33" t="s">
        <v>17</v>
      </c>
      <c r="E2087" s="33" t="s">
        <v>26</v>
      </c>
      <c r="F2087" s="33" t="s">
        <v>27</v>
      </c>
      <c r="G2087" s="33" t="s">
        <v>20</v>
      </c>
      <c r="H2087" s="35">
        <v>105</v>
      </c>
      <c r="I2087" s="33" t="s">
        <v>21</v>
      </c>
      <c r="J2087" s="42">
        <v>43958</v>
      </c>
      <c r="K2087" s="33" t="s">
        <v>22</v>
      </c>
    </row>
    <row r="2088" spans="1:11">
      <c r="A2088" s="30" t="s">
        <v>5224</v>
      </c>
      <c r="B2088" s="30" t="s">
        <v>5225</v>
      </c>
      <c r="C2088" s="30" t="s">
        <v>5226</v>
      </c>
      <c r="D2088" s="30" t="s">
        <v>17</v>
      </c>
      <c r="E2088" s="30" t="s">
        <v>26</v>
      </c>
      <c r="F2088" s="30" t="s">
        <v>27</v>
      </c>
      <c r="G2088" s="30" t="s">
        <v>20</v>
      </c>
      <c r="H2088" s="32">
        <v>38</v>
      </c>
      <c r="I2088" s="30" t="s">
        <v>21</v>
      </c>
      <c r="J2088" s="41">
        <v>44167</v>
      </c>
      <c r="K2088" s="30" t="s">
        <v>22</v>
      </c>
    </row>
    <row r="2089" spans="1:11">
      <c r="A2089" s="33" t="s">
        <v>5227</v>
      </c>
      <c r="B2089" s="33" t="s">
        <v>5228</v>
      </c>
      <c r="C2089" s="33" t="s">
        <v>5229</v>
      </c>
      <c r="D2089" s="33" t="s">
        <v>17</v>
      </c>
      <c r="E2089" s="33" t="s">
        <v>26</v>
      </c>
      <c r="F2089" s="33" t="s">
        <v>27</v>
      </c>
      <c r="G2089" s="33" t="s">
        <v>20</v>
      </c>
      <c r="H2089" s="35">
        <v>46</v>
      </c>
      <c r="I2089" s="33" t="s">
        <v>21</v>
      </c>
      <c r="J2089" s="42">
        <v>43963</v>
      </c>
      <c r="K2089" s="33" t="s">
        <v>22</v>
      </c>
    </row>
    <row r="2090" spans="1:11">
      <c r="A2090" s="30" t="s">
        <v>5230</v>
      </c>
      <c r="B2090" s="30" t="s">
        <v>5231</v>
      </c>
      <c r="C2090" s="30" t="s">
        <v>5232</v>
      </c>
      <c r="D2090" s="30" t="s">
        <v>17</v>
      </c>
      <c r="E2090" s="30" t="s">
        <v>31</v>
      </c>
      <c r="F2090" s="30" t="s">
        <v>32</v>
      </c>
      <c r="G2090" s="30" t="s">
        <v>20</v>
      </c>
      <c r="H2090" s="32">
        <v>155</v>
      </c>
      <c r="I2090" s="30" t="s">
        <v>21</v>
      </c>
      <c r="J2090" s="41">
        <v>44133</v>
      </c>
      <c r="K2090" s="30" t="s">
        <v>22</v>
      </c>
    </row>
    <row r="2091" spans="1:11">
      <c r="A2091" s="33" t="s">
        <v>5233</v>
      </c>
      <c r="B2091" s="33" t="s">
        <v>5234</v>
      </c>
      <c r="C2091" s="33" t="s">
        <v>231</v>
      </c>
      <c r="D2091" s="33" t="s">
        <v>17</v>
      </c>
      <c r="E2091" s="33" t="s">
        <v>26</v>
      </c>
      <c r="F2091" s="33" t="s">
        <v>27</v>
      </c>
      <c r="G2091" s="33" t="s">
        <v>20</v>
      </c>
      <c r="H2091" s="35">
        <v>66</v>
      </c>
      <c r="I2091" s="33" t="s">
        <v>21</v>
      </c>
      <c r="J2091" s="42">
        <v>43839</v>
      </c>
      <c r="K2091" s="33" t="s">
        <v>22</v>
      </c>
    </row>
    <row r="2092" spans="1:11">
      <c r="A2092" s="30" t="s">
        <v>5235</v>
      </c>
      <c r="B2092" s="30" t="s">
        <v>5236</v>
      </c>
      <c r="C2092" s="30" t="s">
        <v>136</v>
      </c>
      <c r="D2092" s="30" t="s">
        <v>17</v>
      </c>
      <c r="E2092" s="30" t="s">
        <v>18</v>
      </c>
      <c r="F2092" s="30" t="s">
        <v>19</v>
      </c>
      <c r="G2092" s="30" t="s">
        <v>20</v>
      </c>
      <c r="H2092" s="32">
        <v>1153</v>
      </c>
      <c r="I2092" s="30" t="s">
        <v>21</v>
      </c>
      <c r="J2092" s="41">
        <v>43997</v>
      </c>
      <c r="K2092" s="30" t="s">
        <v>22</v>
      </c>
    </row>
    <row r="2093" spans="1:11">
      <c r="A2093" s="33" t="s">
        <v>5237</v>
      </c>
      <c r="B2093" s="33" t="s">
        <v>5238</v>
      </c>
      <c r="C2093" s="33" t="s">
        <v>3462</v>
      </c>
      <c r="D2093" s="33" t="s">
        <v>17</v>
      </c>
      <c r="E2093" s="33" t="s">
        <v>26</v>
      </c>
      <c r="F2093" s="33" t="s">
        <v>27</v>
      </c>
      <c r="G2093" s="33" t="s">
        <v>106</v>
      </c>
      <c r="H2093" s="35">
        <v>2</v>
      </c>
      <c r="I2093" s="33" t="s">
        <v>21</v>
      </c>
      <c r="J2093" s="42">
        <v>43972</v>
      </c>
      <c r="K2093" s="33" t="s">
        <v>22</v>
      </c>
    </row>
    <row r="2094" spans="1:11">
      <c r="A2094" s="30" t="s">
        <v>5239</v>
      </c>
      <c r="B2094" s="30" t="s">
        <v>5240</v>
      </c>
      <c r="C2094" s="30" t="s">
        <v>44</v>
      </c>
      <c r="D2094" s="30" t="s">
        <v>17</v>
      </c>
      <c r="E2094" s="30" t="s">
        <v>31</v>
      </c>
      <c r="F2094" s="30" t="s">
        <v>32</v>
      </c>
      <c r="G2094" s="30" t="s">
        <v>112</v>
      </c>
      <c r="H2094" s="32">
        <v>0</v>
      </c>
      <c r="I2094" s="30" t="s">
        <v>21</v>
      </c>
      <c r="J2094" s="41">
        <v>44150</v>
      </c>
      <c r="K2094" s="30" t="s">
        <v>22</v>
      </c>
    </row>
    <row r="2095" spans="1:11">
      <c r="A2095" s="33" t="s">
        <v>5241</v>
      </c>
      <c r="B2095" s="33" t="s">
        <v>5242</v>
      </c>
      <c r="C2095" s="33" t="s">
        <v>5243</v>
      </c>
      <c r="D2095" s="33" t="s">
        <v>17</v>
      </c>
      <c r="E2095" s="33" t="s">
        <v>26</v>
      </c>
      <c r="F2095" s="33" t="s">
        <v>27</v>
      </c>
      <c r="G2095" s="33" t="s">
        <v>106</v>
      </c>
      <c r="H2095" s="35">
        <v>26</v>
      </c>
      <c r="I2095" s="33" t="s">
        <v>21</v>
      </c>
      <c r="J2095" s="42">
        <v>43852</v>
      </c>
      <c r="K2095" s="33" t="s">
        <v>22</v>
      </c>
    </row>
    <row r="2096" spans="1:11">
      <c r="A2096" s="30" t="s">
        <v>5244</v>
      </c>
      <c r="B2096" s="30" t="s">
        <v>5245</v>
      </c>
      <c r="C2096" s="30" t="s">
        <v>5246</v>
      </c>
      <c r="D2096" s="30" t="s">
        <v>17</v>
      </c>
      <c r="E2096" s="30" t="s">
        <v>26</v>
      </c>
      <c r="F2096" s="30" t="s">
        <v>27</v>
      </c>
      <c r="G2096" s="30" t="s">
        <v>20</v>
      </c>
      <c r="H2096" s="32">
        <v>36</v>
      </c>
      <c r="I2096" s="30" t="s">
        <v>21</v>
      </c>
      <c r="J2096" s="41">
        <v>44154</v>
      </c>
      <c r="K2096" s="30" t="s">
        <v>22</v>
      </c>
    </row>
    <row r="2097" spans="1:11">
      <c r="A2097" s="33" t="s">
        <v>5247</v>
      </c>
      <c r="B2097" s="33" t="s">
        <v>5248</v>
      </c>
      <c r="C2097" s="33" t="s">
        <v>109</v>
      </c>
      <c r="D2097" s="33" t="s">
        <v>17</v>
      </c>
      <c r="E2097" s="33" t="s">
        <v>18</v>
      </c>
      <c r="F2097" s="33" t="s">
        <v>19</v>
      </c>
      <c r="G2097" s="33" t="s">
        <v>112</v>
      </c>
      <c r="H2097" s="35">
        <v>0</v>
      </c>
      <c r="I2097" s="33" t="s">
        <v>21</v>
      </c>
      <c r="J2097" s="42">
        <v>43987</v>
      </c>
      <c r="K2097" s="33" t="s">
        <v>22</v>
      </c>
    </row>
    <row r="2098" spans="1:11">
      <c r="A2098" s="30" t="s">
        <v>5249</v>
      </c>
      <c r="B2098" s="30" t="s">
        <v>5250</v>
      </c>
      <c r="C2098" s="30" t="s">
        <v>5251</v>
      </c>
      <c r="D2098" s="30" t="s">
        <v>17</v>
      </c>
      <c r="E2098" s="30" t="s">
        <v>31</v>
      </c>
      <c r="F2098" s="30" t="s">
        <v>32</v>
      </c>
      <c r="G2098" s="30" t="s">
        <v>50</v>
      </c>
      <c r="H2098" s="32">
        <v>75</v>
      </c>
      <c r="I2098" s="30" t="s">
        <v>51</v>
      </c>
      <c r="J2098" s="41">
        <v>44172</v>
      </c>
      <c r="K2098" s="30" t="s">
        <v>22</v>
      </c>
    </row>
    <row r="2099" spans="1:11">
      <c r="A2099" s="33" t="s">
        <v>5252</v>
      </c>
      <c r="B2099" s="33" t="s">
        <v>5253</v>
      </c>
      <c r="C2099" s="33" t="s">
        <v>5214</v>
      </c>
      <c r="D2099" s="33" t="s">
        <v>17</v>
      </c>
      <c r="E2099" s="33" t="s">
        <v>67</v>
      </c>
      <c r="F2099" s="33" t="s">
        <v>68</v>
      </c>
      <c r="G2099" s="33" t="s">
        <v>20</v>
      </c>
      <c r="H2099" s="35">
        <v>78</v>
      </c>
      <c r="I2099" s="33" t="s">
        <v>21</v>
      </c>
      <c r="J2099" s="42">
        <v>43959</v>
      </c>
      <c r="K2099" s="33" t="s">
        <v>22</v>
      </c>
    </row>
    <row r="2100" spans="1:11">
      <c r="A2100" s="30" t="s">
        <v>5254</v>
      </c>
      <c r="B2100" s="30" t="s">
        <v>5255</v>
      </c>
      <c r="C2100" s="30" t="s">
        <v>149</v>
      </c>
      <c r="D2100" s="30" t="s">
        <v>17</v>
      </c>
      <c r="E2100" s="30" t="s">
        <v>26</v>
      </c>
      <c r="F2100" s="30" t="s">
        <v>27</v>
      </c>
      <c r="G2100" s="30" t="s">
        <v>20</v>
      </c>
      <c r="H2100" s="32">
        <v>18</v>
      </c>
      <c r="I2100" s="30" t="s">
        <v>21</v>
      </c>
      <c r="J2100" s="41">
        <v>43992</v>
      </c>
      <c r="K2100" s="30" t="s">
        <v>22</v>
      </c>
    </row>
    <row r="2101" spans="1:11">
      <c r="A2101" s="33" t="s">
        <v>5256</v>
      </c>
      <c r="B2101" s="33" t="s">
        <v>5257</v>
      </c>
      <c r="C2101" s="33" t="s">
        <v>5158</v>
      </c>
      <c r="D2101" s="33" t="s">
        <v>17</v>
      </c>
      <c r="E2101" s="33" t="s">
        <v>31</v>
      </c>
      <c r="F2101" s="33" t="s">
        <v>32</v>
      </c>
      <c r="G2101" s="33" t="s">
        <v>158</v>
      </c>
      <c r="H2101" s="35">
        <v>61</v>
      </c>
      <c r="I2101" s="33" t="s">
        <v>21</v>
      </c>
      <c r="J2101" s="42">
        <v>44091</v>
      </c>
      <c r="K2101" s="33" t="s">
        <v>22</v>
      </c>
    </row>
    <row r="2102" spans="1:11">
      <c r="A2102" s="30" t="s">
        <v>5258</v>
      </c>
      <c r="B2102" s="30" t="s">
        <v>5259</v>
      </c>
      <c r="C2102" s="30" t="s">
        <v>60</v>
      </c>
      <c r="D2102" s="30" t="s">
        <v>17</v>
      </c>
      <c r="E2102" s="30" t="s">
        <v>31</v>
      </c>
      <c r="F2102" s="30" t="s">
        <v>32</v>
      </c>
      <c r="G2102" s="30" t="s">
        <v>106</v>
      </c>
      <c r="H2102" s="32">
        <v>48</v>
      </c>
      <c r="I2102" s="30" t="s">
        <v>21</v>
      </c>
      <c r="J2102" s="41">
        <v>43843</v>
      </c>
      <c r="K2102" s="30" t="s">
        <v>22</v>
      </c>
    </row>
    <row r="2103" spans="1:11">
      <c r="A2103" s="33" t="s">
        <v>5260</v>
      </c>
      <c r="B2103" s="33" t="s">
        <v>5261</v>
      </c>
      <c r="C2103" s="33" t="s">
        <v>5262</v>
      </c>
      <c r="D2103" s="33" t="s">
        <v>17</v>
      </c>
      <c r="E2103" s="33" t="s">
        <v>26</v>
      </c>
      <c r="F2103" s="33" t="s">
        <v>27</v>
      </c>
      <c r="G2103" s="33" t="s">
        <v>20</v>
      </c>
      <c r="H2103" s="35">
        <v>66</v>
      </c>
      <c r="I2103" s="33" t="s">
        <v>21</v>
      </c>
      <c r="J2103" s="42">
        <v>44176</v>
      </c>
      <c r="K2103" s="33" t="s">
        <v>22</v>
      </c>
    </row>
    <row r="2104" spans="1:11">
      <c r="A2104" s="30" t="s">
        <v>5263</v>
      </c>
      <c r="B2104" s="30" t="s">
        <v>5264</v>
      </c>
      <c r="C2104" s="30" t="s">
        <v>157</v>
      </c>
      <c r="D2104" s="30" t="s">
        <v>17</v>
      </c>
      <c r="E2104" s="30" t="s">
        <v>26</v>
      </c>
      <c r="F2104" s="30" t="s">
        <v>27</v>
      </c>
      <c r="G2104" s="30" t="s">
        <v>20</v>
      </c>
      <c r="H2104" s="32">
        <v>33</v>
      </c>
      <c r="I2104" s="30" t="s">
        <v>21</v>
      </c>
      <c r="J2104" s="41">
        <v>44056</v>
      </c>
      <c r="K2104" s="30" t="s">
        <v>22</v>
      </c>
    </row>
    <row r="2105" spans="1:11">
      <c r="A2105" s="33" t="s">
        <v>5265</v>
      </c>
      <c r="B2105" s="33" t="s">
        <v>5266</v>
      </c>
      <c r="C2105" s="33" t="s">
        <v>178</v>
      </c>
      <c r="D2105" s="33" t="s">
        <v>17</v>
      </c>
      <c r="E2105" s="33" t="s">
        <v>31</v>
      </c>
      <c r="F2105" s="33" t="s">
        <v>32</v>
      </c>
      <c r="G2105" s="33" t="s">
        <v>106</v>
      </c>
      <c r="H2105" s="35">
        <v>192</v>
      </c>
      <c r="I2105" s="33" t="s">
        <v>21</v>
      </c>
      <c r="J2105" s="42">
        <v>44153</v>
      </c>
      <c r="K2105" s="33" t="s">
        <v>22</v>
      </c>
    </row>
    <row r="2106" spans="1:11">
      <c r="A2106" s="30" t="s">
        <v>5267</v>
      </c>
      <c r="B2106" s="30" t="s">
        <v>5268</v>
      </c>
      <c r="C2106" s="30" t="s">
        <v>5269</v>
      </c>
      <c r="D2106" s="30" t="s">
        <v>17</v>
      </c>
      <c r="E2106" s="30" t="s">
        <v>26</v>
      </c>
      <c r="F2106" s="30" t="s">
        <v>27</v>
      </c>
      <c r="G2106" s="30" t="s">
        <v>20</v>
      </c>
      <c r="H2106" s="32">
        <v>32</v>
      </c>
      <c r="I2106" s="30" t="s">
        <v>21</v>
      </c>
      <c r="J2106" s="41">
        <v>43893</v>
      </c>
      <c r="K2106" s="30" t="s">
        <v>22</v>
      </c>
    </row>
    <row r="2107" spans="1:11">
      <c r="A2107" s="33" t="s">
        <v>5270</v>
      </c>
      <c r="B2107" s="33" t="s">
        <v>5271</v>
      </c>
      <c r="C2107" s="33" t="s">
        <v>1598</v>
      </c>
      <c r="D2107" s="33" t="s">
        <v>17</v>
      </c>
      <c r="E2107" s="33" t="s">
        <v>26</v>
      </c>
      <c r="F2107" s="33" t="s">
        <v>27</v>
      </c>
      <c r="G2107" s="33" t="s">
        <v>20</v>
      </c>
      <c r="H2107" s="35">
        <v>94</v>
      </c>
      <c r="I2107" s="33" t="s">
        <v>21</v>
      </c>
      <c r="J2107" s="42">
        <v>44043</v>
      </c>
      <c r="K2107" s="33" t="s">
        <v>22</v>
      </c>
    </row>
    <row r="2108" spans="1:11">
      <c r="A2108" s="30" t="s">
        <v>5272</v>
      </c>
      <c r="B2108" s="30" t="s">
        <v>5273</v>
      </c>
      <c r="C2108" s="30" t="s">
        <v>3378</v>
      </c>
      <c r="D2108" s="30" t="s">
        <v>17</v>
      </c>
      <c r="E2108" s="30" t="s">
        <v>26</v>
      </c>
      <c r="F2108" s="30" t="s">
        <v>27</v>
      </c>
      <c r="G2108" s="30" t="s">
        <v>50</v>
      </c>
      <c r="H2108" s="32">
        <v>63</v>
      </c>
      <c r="I2108" s="30" t="s">
        <v>21</v>
      </c>
      <c r="J2108" s="41">
        <v>44063</v>
      </c>
      <c r="K2108" s="30" t="s">
        <v>22</v>
      </c>
    </row>
    <row r="2109" spans="1:11">
      <c r="A2109" s="33" t="s">
        <v>5274</v>
      </c>
      <c r="B2109" s="33" t="s">
        <v>5275</v>
      </c>
      <c r="C2109" s="33" t="s">
        <v>5276</v>
      </c>
      <c r="D2109" s="33" t="s">
        <v>17</v>
      </c>
      <c r="E2109" s="33" t="s">
        <v>31</v>
      </c>
      <c r="F2109" s="33" t="s">
        <v>32</v>
      </c>
      <c r="G2109" s="33" t="s">
        <v>20</v>
      </c>
      <c r="H2109" s="35">
        <v>70</v>
      </c>
      <c r="I2109" s="33" t="s">
        <v>21</v>
      </c>
      <c r="J2109" s="42">
        <v>44145</v>
      </c>
      <c r="K2109" s="33" t="s">
        <v>22</v>
      </c>
    </row>
    <row r="2110" spans="1:11">
      <c r="A2110" s="30" t="s">
        <v>5277</v>
      </c>
      <c r="B2110" s="30" t="s">
        <v>5278</v>
      </c>
      <c r="C2110" s="30" t="s">
        <v>5279</v>
      </c>
      <c r="D2110" s="30" t="s">
        <v>17</v>
      </c>
      <c r="E2110" s="30" t="s">
        <v>18</v>
      </c>
      <c r="F2110" s="30" t="s">
        <v>19</v>
      </c>
      <c r="G2110" s="30" t="s">
        <v>158</v>
      </c>
      <c r="H2110" s="32">
        <v>21</v>
      </c>
      <c r="I2110" s="30" t="s">
        <v>21</v>
      </c>
      <c r="J2110" s="41">
        <v>43874</v>
      </c>
      <c r="K2110" s="30" t="s">
        <v>22</v>
      </c>
    </row>
    <row r="2111" spans="1:11">
      <c r="A2111" s="33" t="s">
        <v>5280</v>
      </c>
      <c r="B2111" s="33" t="s">
        <v>5281</v>
      </c>
      <c r="C2111" s="33" t="s">
        <v>109</v>
      </c>
      <c r="D2111" s="33" t="s">
        <v>17</v>
      </c>
      <c r="E2111" s="33" t="s">
        <v>26</v>
      </c>
      <c r="F2111" s="33" t="s">
        <v>27</v>
      </c>
      <c r="G2111" s="33" t="s">
        <v>20</v>
      </c>
      <c r="H2111" s="35">
        <v>89</v>
      </c>
      <c r="I2111" s="33" t="s">
        <v>21</v>
      </c>
      <c r="J2111" s="42">
        <v>43980</v>
      </c>
      <c r="K2111" s="33" t="s">
        <v>22</v>
      </c>
    </row>
    <row r="2112" spans="1:11">
      <c r="A2112" s="30" t="s">
        <v>5282</v>
      </c>
      <c r="B2112" s="30" t="s">
        <v>5283</v>
      </c>
      <c r="C2112" s="30" t="s">
        <v>136</v>
      </c>
      <c r="D2112" s="30" t="s">
        <v>17</v>
      </c>
      <c r="E2112" s="30" t="s">
        <v>31</v>
      </c>
      <c r="F2112" s="30" t="s">
        <v>32</v>
      </c>
      <c r="G2112" s="30" t="s">
        <v>20</v>
      </c>
      <c r="H2112" s="32">
        <v>72</v>
      </c>
      <c r="I2112" s="30" t="s">
        <v>21</v>
      </c>
      <c r="J2112" s="41">
        <v>44069</v>
      </c>
      <c r="K2112" s="30" t="s">
        <v>22</v>
      </c>
    </row>
    <row r="2113" spans="1:11">
      <c r="A2113" s="33" t="s">
        <v>5284</v>
      </c>
      <c r="B2113" s="33" t="s">
        <v>5285</v>
      </c>
      <c r="C2113" s="33" t="s">
        <v>1509</v>
      </c>
      <c r="D2113" s="33" t="s">
        <v>17</v>
      </c>
      <c r="E2113" s="33" t="s">
        <v>26</v>
      </c>
      <c r="F2113" s="33" t="s">
        <v>27</v>
      </c>
      <c r="G2113" s="33" t="s">
        <v>20</v>
      </c>
      <c r="H2113" s="35">
        <v>24</v>
      </c>
      <c r="I2113" s="33" t="s">
        <v>21</v>
      </c>
      <c r="J2113" s="42">
        <v>44050</v>
      </c>
      <c r="K2113" s="33" t="s">
        <v>22</v>
      </c>
    </row>
    <row r="2114" spans="1:11">
      <c r="A2114" s="30" t="s">
        <v>5286</v>
      </c>
      <c r="B2114" s="30" t="s">
        <v>5287</v>
      </c>
      <c r="C2114" s="30" t="s">
        <v>3496</v>
      </c>
      <c r="D2114" s="30" t="s">
        <v>17</v>
      </c>
      <c r="E2114" s="30" t="s">
        <v>18</v>
      </c>
      <c r="F2114" s="30" t="s">
        <v>19</v>
      </c>
      <c r="G2114" s="30" t="s">
        <v>20</v>
      </c>
      <c r="H2114" s="32">
        <v>391</v>
      </c>
      <c r="I2114" s="30" t="s">
        <v>21</v>
      </c>
      <c r="J2114" s="41">
        <v>43955</v>
      </c>
      <c r="K2114" s="30" t="s">
        <v>22</v>
      </c>
    </row>
    <row r="2115" spans="1:11">
      <c r="A2115" s="33" t="s">
        <v>5288</v>
      </c>
      <c r="B2115" s="33" t="s">
        <v>5289</v>
      </c>
      <c r="C2115" s="33" t="s">
        <v>575</v>
      </c>
      <c r="D2115" s="33" t="s">
        <v>17</v>
      </c>
      <c r="E2115" s="33" t="s">
        <v>18</v>
      </c>
      <c r="F2115" s="33" t="s">
        <v>19</v>
      </c>
      <c r="G2115" s="33" t="s">
        <v>158</v>
      </c>
      <c r="H2115" s="35">
        <v>232</v>
      </c>
      <c r="I2115" s="33" t="s">
        <v>21</v>
      </c>
      <c r="J2115" s="42">
        <v>44179</v>
      </c>
      <c r="K2115" s="33" t="s">
        <v>22</v>
      </c>
    </row>
    <row r="2116" spans="1:11">
      <c r="A2116" s="30" t="s">
        <v>5290</v>
      </c>
      <c r="B2116" s="30" t="s">
        <v>5291</v>
      </c>
      <c r="C2116" s="30" t="s">
        <v>1669</v>
      </c>
      <c r="D2116" s="30" t="s">
        <v>17</v>
      </c>
      <c r="E2116" s="30" t="s">
        <v>26</v>
      </c>
      <c r="F2116" s="30" t="s">
        <v>27</v>
      </c>
      <c r="G2116" s="30" t="s">
        <v>20</v>
      </c>
      <c r="H2116" s="32">
        <v>56</v>
      </c>
      <c r="I2116" s="30" t="s">
        <v>21</v>
      </c>
      <c r="J2116" s="41">
        <v>44071</v>
      </c>
      <c r="K2116" s="30" t="s">
        <v>22</v>
      </c>
    </row>
    <row r="2117" spans="1:11">
      <c r="A2117" s="33" t="s">
        <v>5292</v>
      </c>
      <c r="B2117" s="33" t="s">
        <v>5293</v>
      </c>
      <c r="C2117" s="33" t="s">
        <v>203</v>
      </c>
      <c r="D2117" s="33" t="s">
        <v>17</v>
      </c>
      <c r="E2117" s="33" t="s">
        <v>18</v>
      </c>
      <c r="F2117" s="33" t="s">
        <v>19</v>
      </c>
      <c r="G2117" s="33" t="s">
        <v>158</v>
      </c>
      <c r="H2117" s="35">
        <v>337</v>
      </c>
      <c r="I2117" s="33" t="s">
        <v>21</v>
      </c>
      <c r="J2117" s="42">
        <v>43998</v>
      </c>
      <c r="K2117" s="33" t="s">
        <v>22</v>
      </c>
    </row>
    <row r="2118" spans="1:11">
      <c r="A2118" s="30" t="s">
        <v>5294</v>
      </c>
      <c r="B2118" s="30" t="s">
        <v>5295</v>
      </c>
      <c r="C2118" s="30" t="s">
        <v>96</v>
      </c>
      <c r="D2118" s="30" t="s">
        <v>17</v>
      </c>
      <c r="E2118" s="30" t="s">
        <v>18</v>
      </c>
      <c r="F2118" s="30" t="s">
        <v>19</v>
      </c>
      <c r="G2118" s="30" t="s">
        <v>20</v>
      </c>
      <c r="H2118" s="32">
        <v>42</v>
      </c>
      <c r="I2118" s="30" t="s">
        <v>21</v>
      </c>
      <c r="J2118" s="41">
        <v>44190</v>
      </c>
      <c r="K2118" s="30" t="s">
        <v>22</v>
      </c>
    </row>
    <row r="2119" spans="1:11">
      <c r="A2119" s="33" t="s">
        <v>5296</v>
      </c>
      <c r="B2119" s="33" t="s">
        <v>5297</v>
      </c>
      <c r="C2119" s="33" t="s">
        <v>771</v>
      </c>
      <c r="D2119" s="33" t="s">
        <v>17</v>
      </c>
      <c r="E2119" s="33" t="s">
        <v>67</v>
      </c>
      <c r="F2119" s="33" t="s">
        <v>68</v>
      </c>
      <c r="G2119" s="33" t="s">
        <v>158</v>
      </c>
      <c r="H2119" s="35">
        <v>150</v>
      </c>
      <c r="I2119" s="33" t="s">
        <v>51</v>
      </c>
      <c r="J2119" s="42">
        <v>43979</v>
      </c>
      <c r="K2119" s="33" t="s">
        <v>22</v>
      </c>
    </row>
    <row r="2120" spans="1:11">
      <c r="A2120" s="30" t="s">
        <v>5298</v>
      </c>
      <c r="B2120" s="30" t="s">
        <v>5299</v>
      </c>
      <c r="C2120" s="30" t="s">
        <v>3989</v>
      </c>
      <c r="D2120" s="30" t="s">
        <v>17</v>
      </c>
      <c r="E2120" s="30" t="s">
        <v>26</v>
      </c>
      <c r="F2120" s="30" t="s">
        <v>27</v>
      </c>
      <c r="G2120" s="30" t="s">
        <v>20</v>
      </c>
      <c r="H2120" s="32">
        <v>180</v>
      </c>
      <c r="I2120" s="30" t="s">
        <v>21</v>
      </c>
      <c r="J2120" s="41">
        <v>44022</v>
      </c>
      <c r="K2120" s="30" t="s">
        <v>22</v>
      </c>
    </row>
    <row r="2121" spans="1:11">
      <c r="A2121" s="33" t="s">
        <v>5300</v>
      </c>
      <c r="B2121" s="33" t="s">
        <v>5301</v>
      </c>
      <c r="C2121" s="33" t="s">
        <v>318</v>
      </c>
      <c r="D2121" s="33" t="s">
        <v>17</v>
      </c>
      <c r="E2121" s="33" t="s">
        <v>26</v>
      </c>
      <c r="F2121" s="33" t="s">
        <v>27</v>
      </c>
      <c r="G2121" s="33" t="s">
        <v>20</v>
      </c>
      <c r="H2121" s="35">
        <v>110</v>
      </c>
      <c r="I2121" s="33" t="s">
        <v>21</v>
      </c>
      <c r="J2121" s="42">
        <v>44050</v>
      </c>
      <c r="K2121" s="33" t="s">
        <v>22</v>
      </c>
    </row>
    <row r="2122" spans="1:11">
      <c r="A2122" s="30" t="s">
        <v>5302</v>
      </c>
      <c r="B2122" s="30" t="s">
        <v>5303</v>
      </c>
      <c r="C2122" s="30" t="s">
        <v>5304</v>
      </c>
      <c r="D2122" s="30" t="s">
        <v>17</v>
      </c>
      <c r="E2122" s="30" t="s">
        <v>26</v>
      </c>
      <c r="F2122" s="30" t="s">
        <v>27</v>
      </c>
      <c r="G2122" s="30" t="s">
        <v>50</v>
      </c>
      <c r="H2122" s="32">
        <v>12</v>
      </c>
      <c r="I2122" s="30" t="s">
        <v>51</v>
      </c>
      <c r="J2122" s="41">
        <v>43935</v>
      </c>
      <c r="K2122" s="30" t="s">
        <v>22</v>
      </c>
    </row>
    <row r="2123" spans="1:11">
      <c r="A2123" s="33" t="s">
        <v>5305</v>
      </c>
      <c r="B2123" s="33" t="s">
        <v>5306</v>
      </c>
      <c r="C2123" s="33" t="s">
        <v>154</v>
      </c>
      <c r="D2123" s="33" t="s">
        <v>17</v>
      </c>
      <c r="E2123" s="33" t="s">
        <v>18</v>
      </c>
      <c r="F2123" s="33" t="s">
        <v>19</v>
      </c>
      <c r="G2123" s="33" t="s">
        <v>158</v>
      </c>
      <c r="H2123" s="35">
        <v>453</v>
      </c>
      <c r="I2123" s="33" t="s">
        <v>21</v>
      </c>
      <c r="J2123" s="42">
        <v>43980</v>
      </c>
      <c r="K2123" s="33" t="s">
        <v>22</v>
      </c>
    </row>
    <row r="2124" spans="1:11">
      <c r="A2124" s="30" t="s">
        <v>5307</v>
      </c>
      <c r="B2124" s="30" t="s">
        <v>5308</v>
      </c>
      <c r="C2124" s="30" t="s">
        <v>5309</v>
      </c>
      <c r="D2124" s="30" t="s">
        <v>17</v>
      </c>
      <c r="E2124" s="30" t="s">
        <v>26</v>
      </c>
      <c r="F2124" s="30" t="s">
        <v>27</v>
      </c>
      <c r="G2124" s="30" t="s">
        <v>20</v>
      </c>
      <c r="H2124" s="32">
        <v>50</v>
      </c>
      <c r="I2124" s="30" t="s">
        <v>21</v>
      </c>
      <c r="J2124" s="41">
        <v>44006</v>
      </c>
      <c r="K2124" s="30" t="s">
        <v>22</v>
      </c>
    </row>
    <row r="2125" spans="1:11">
      <c r="A2125" s="33" t="s">
        <v>5310</v>
      </c>
      <c r="B2125" s="33" t="s">
        <v>5311</v>
      </c>
      <c r="C2125" s="33" t="s">
        <v>5312</v>
      </c>
      <c r="D2125" s="33" t="s">
        <v>17</v>
      </c>
      <c r="E2125" s="33" t="s">
        <v>26</v>
      </c>
      <c r="F2125" s="33" t="s">
        <v>27</v>
      </c>
      <c r="G2125" s="33" t="s">
        <v>20</v>
      </c>
      <c r="H2125" s="35">
        <v>88</v>
      </c>
      <c r="I2125" s="33" t="s">
        <v>21</v>
      </c>
      <c r="J2125" s="42">
        <v>44183</v>
      </c>
      <c r="K2125" s="33" t="s">
        <v>22</v>
      </c>
    </row>
    <row r="2126" spans="1:11">
      <c r="A2126" s="30" t="s">
        <v>5313</v>
      </c>
      <c r="B2126" s="30" t="s">
        <v>5314</v>
      </c>
      <c r="C2126" s="30" t="s">
        <v>3549</v>
      </c>
      <c r="D2126" s="30" t="s">
        <v>17</v>
      </c>
      <c r="E2126" s="30" t="s">
        <v>18</v>
      </c>
      <c r="F2126" s="30" t="s">
        <v>19</v>
      </c>
      <c r="G2126" s="30" t="s">
        <v>106</v>
      </c>
      <c r="H2126" s="32">
        <v>145</v>
      </c>
      <c r="I2126" s="30" t="s">
        <v>21</v>
      </c>
      <c r="J2126" s="41">
        <v>44179</v>
      </c>
      <c r="K2126" s="30" t="s">
        <v>22</v>
      </c>
    </row>
    <row r="2127" spans="1:11">
      <c r="A2127" s="33" t="s">
        <v>5315</v>
      </c>
      <c r="B2127" s="33" t="s">
        <v>5316</v>
      </c>
      <c r="C2127" s="33" t="s">
        <v>387</v>
      </c>
      <c r="D2127" s="33" t="s">
        <v>17</v>
      </c>
      <c r="E2127" s="33" t="s">
        <v>26</v>
      </c>
      <c r="F2127" s="33" t="s">
        <v>27</v>
      </c>
      <c r="G2127" s="33" t="s">
        <v>20</v>
      </c>
      <c r="H2127" s="35">
        <v>8</v>
      </c>
      <c r="I2127" s="33" t="s">
        <v>21</v>
      </c>
      <c r="J2127" s="42">
        <v>44067</v>
      </c>
      <c r="K2127" s="33" t="s">
        <v>22</v>
      </c>
    </row>
    <row r="2128" spans="1:11">
      <c r="A2128" s="30" t="s">
        <v>5317</v>
      </c>
      <c r="B2128" s="30" t="s">
        <v>5318</v>
      </c>
      <c r="C2128" s="30" t="s">
        <v>5319</v>
      </c>
      <c r="D2128" s="30" t="s">
        <v>17</v>
      </c>
      <c r="E2128" s="30" t="s">
        <v>31</v>
      </c>
      <c r="F2128" s="30" t="s">
        <v>32</v>
      </c>
      <c r="G2128" s="30" t="s">
        <v>20</v>
      </c>
      <c r="H2128" s="32">
        <v>64</v>
      </c>
      <c r="I2128" s="30" t="s">
        <v>21</v>
      </c>
      <c r="J2128" s="41">
        <v>44042</v>
      </c>
      <c r="K2128" s="30" t="s">
        <v>22</v>
      </c>
    </row>
    <row r="2129" spans="1:11">
      <c r="A2129" s="33" t="s">
        <v>5320</v>
      </c>
      <c r="B2129" s="33" t="s">
        <v>5321</v>
      </c>
      <c r="C2129" s="33" t="s">
        <v>1102</v>
      </c>
      <c r="D2129" s="33" t="s">
        <v>17</v>
      </c>
      <c r="E2129" s="33" t="s">
        <v>26</v>
      </c>
      <c r="F2129" s="33" t="s">
        <v>27</v>
      </c>
      <c r="G2129" s="33" t="s">
        <v>20</v>
      </c>
      <c r="H2129" s="35">
        <v>14</v>
      </c>
      <c r="I2129" s="33" t="s">
        <v>21</v>
      </c>
      <c r="J2129" s="42">
        <v>44098</v>
      </c>
      <c r="K2129" s="33" t="s">
        <v>22</v>
      </c>
    </row>
    <row r="2130" spans="1:11">
      <c r="A2130" s="30" t="s">
        <v>5322</v>
      </c>
      <c r="B2130" s="30" t="s">
        <v>5323</v>
      </c>
      <c r="C2130" s="30" t="s">
        <v>5324</v>
      </c>
      <c r="D2130" s="30" t="s">
        <v>17</v>
      </c>
      <c r="E2130" s="30" t="s">
        <v>67</v>
      </c>
      <c r="F2130" s="30" t="s">
        <v>68</v>
      </c>
      <c r="G2130" s="30" t="s">
        <v>140</v>
      </c>
      <c r="H2130" s="32">
        <v>24</v>
      </c>
      <c r="I2130" s="30" t="s">
        <v>51</v>
      </c>
      <c r="J2130" s="41">
        <v>44150</v>
      </c>
      <c r="K2130" s="30" t="s">
        <v>22</v>
      </c>
    </row>
    <row r="2131" spans="1:11">
      <c r="A2131" s="33" t="s">
        <v>5325</v>
      </c>
      <c r="B2131" s="33" t="s">
        <v>5326</v>
      </c>
      <c r="C2131" s="33" t="s">
        <v>5327</v>
      </c>
      <c r="D2131" s="33" t="s">
        <v>17</v>
      </c>
      <c r="E2131" s="33" t="s">
        <v>67</v>
      </c>
      <c r="F2131" s="33" t="s">
        <v>68</v>
      </c>
      <c r="G2131" s="33" t="s">
        <v>20</v>
      </c>
      <c r="H2131" s="35">
        <v>41</v>
      </c>
      <c r="I2131" s="33" t="s">
        <v>21</v>
      </c>
      <c r="J2131" s="42">
        <v>43854</v>
      </c>
      <c r="K2131" s="33" t="s">
        <v>22</v>
      </c>
    </row>
    <row r="2132" spans="1:11">
      <c r="A2132" s="30" t="s">
        <v>5328</v>
      </c>
      <c r="B2132" s="30" t="s">
        <v>5329</v>
      </c>
      <c r="C2132" s="30" t="s">
        <v>96</v>
      </c>
      <c r="D2132" s="30" t="s">
        <v>17</v>
      </c>
      <c r="E2132" s="30" t="s">
        <v>18</v>
      </c>
      <c r="F2132" s="30" t="s">
        <v>19</v>
      </c>
      <c r="G2132" s="30" t="s">
        <v>158</v>
      </c>
      <c r="H2132" s="32">
        <v>114</v>
      </c>
      <c r="I2132" s="30" t="s">
        <v>21</v>
      </c>
      <c r="J2132" s="41">
        <v>44140</v>
      </c>
      <c r="K2132" s="30" t="s">
        <v>22</v>
      </c>
    </row>
    <row r="2133" spans="1:11">
      <c r="A2133" s="33" t="s">
        <v>5330</v>
      </c>
      <c r="B2133" s="33" t="s">
        <v>5331</v>
      </c>
      <c r="C2133" s="33" t="s">
        <v>570</v>
      </c>
      <c r="D2133" s="33" t="s">
        <v>17</v>
      </c>
      <c r="E2133" s="33" t="s">
        <v>18</v>
      </c>
      <c r="F2133" s="33" t="s">
        <v>19</v>
      </c>
      <c r="G2133" s="33" t="s">
        <v>20</v>
      </c>
      <c r="H2133" s="35">
        <v>474</v>
      </c>
      <c r="I2133" s="33" t="s">
        <v>21</v>
      </c>
      <c r="J2133" s="42">
        <v>43950</v>
      </c>
      <c r="K2133" s="33" t="s">
        <v>22</v>
      </c>
    </row>
    <row r="2134" spans="1:11">
      <c r="A2134" s="30" t="s">
        <v>5332</v>
      </c>
      <c r="B2134" s="30" t="s">
        <v>5333</v>
      </c>
      <c r="C2134" s="30" t="s">
        <v>149</v>
      </c>
      <c r="D2134" s="30" t="s">
        <v>17</v>
      </c>
      <c r="E2134" s="30" t="s">
        <v>18</v>
      </c>
      <c r="F2134" s="30" t="s">
        <v>19</v>
      </c>
      <c r="G2134" s="30" t="s">
        <v>50</v>
      </c>
      <c r="H2134" s="32">
        <v>690</v>
      </c>
      <c r="I2134" s="30" t="s">
        <v>21</v>
      </c>
      <c r="J2134" s="41">
        <v>43984</v>
      </c>
      <c r="K2134" s="30" t="s">
        <v>22</v>
      </c>
    </row>
    <row r="2135" spans="1:11">
      <c r="A2135" s="33" t="s">
        <v>5334</v>
      </c>
      <c r="B2135" s="33" t="s">
        <v>5335</v>
      </c>
      <c r="C2135" s="33" t="s">
        <v>310</v>
      </c>
      <c r="D2135" s="33" t="s">
        <v>17</v>
      </c>
      <c r="E2135" s="33" t="s">
        <v>26</v>
      </c>
      <c r="F2135" s="33" t="s">
        <v>27</v>
      </c>
      <c r="G2135" s="33" t="s">
        <v>20</v>
      </c>
      <c r="H2135" s="35">
        <v>108</v>
      </c>
      <c r="I2135" s="33" t="s">
        <v>21</v>
      </c>
      <c r="J2135" s="42">
        <v>44032</v>
      </c>
      <c r="K2135" s="33" t="s">
        <v>22</v>
      </c>
    </row>
    <row r="2136" spans="1:11">
      <c r="A2136" s="30" t="s">
        <v>5336</v>
      </c>
      <c r="B2136" s="30" t="s">
        <v>5337</v>
      </c>
      <c r="C2136" s="30" t="s">
        <v>5338</v>
      </c>
      <c r="D2136" s="30" t="s">
        <v>17</v>
      </c>
      <c r="E2136" s="30" t="s">
        <v>45</v>
      </c>
      <c r="F2136" s="30" t="s">
        <v>46</v>
      </c>
      <c r="G2136" s="30" t="s">
        <v>20</v>
      </c>
      <c r="H2136" s="32">
        <v>382</v>
      </c>
      <c r="I2136" s="30" t="s">
        <v>21</v>
      </c>
      <c r="J2136" s="41">
        <v>44020</v>
      </c>
      <c r="K2136" s="30" t="s">
        <v>22</v>
      </c>
    </row>
    <row r="2137" spans="1:11">
      <c r="A2137" s="33" t="s">
        <v>5339</v>
      </c>
      <c r="B2137" s="33" t="s">
        <v>5340</v>
      </c>
      <c r="C2137" s="33" t="s">
        <v>5341</v>
      </c>
      <c r="D2137" s="33" t="s">
        <v>17</v>
      </c>
      <c r="E2137" s="33" t="s">
        <v>212</v>
      </c>
      <c r="F2137" s="33" t="s">
        <v>213</v>
      </c>
      <c r="G2137" s="33" t="s">
        <v>20</v>
      </c>
      <c r="H2137" s="35">
        <v>40</v>
      </c>
      <c r="I2137" s="33" t="s">
        <v>21</v>
      </c>
      <c r="J2137" s="42">
        <v>44127</v>
      </c>
      <c r="K2137" s="33" t="s">
        <v>22</v>
      </c>
    </row>
    <row r="2138" spans="1:11">
      <c r="A2138" s="30" t="s">
        <v>5342</v>
      </c>
      <c r="B2138" s="30" t="s">
        <v>5343</v>
      </c>
      <c r="C2138" s="30" t="s">
        <v>54</v>
      </c>
      <c r="D2138" s="30" t="s">
        <v>17</v>
      </c>
      <c r="E2138" s="30" t="s">
        <v>18</v>
      </c>
      <c r="F2138" s="30" t="s">
        <v>19</v>
      </c>
      <c r="G2138" s="30" t="s">
        <v>20</v>
      </c>
      <c r="H2138" s="32">
        <v>184</v>
      </c>
      <c r="I2138" s="30" t="s">
        <v>21</v>
      </c>
      <c r="J2138" s="41">
        <v>43983</v>
      </c>
      <c r="K2138" s="30" t="s">
        <v>22</v>
      </c>
    </row>
    <row r="2139" spans="1:11">
      <c r="A2139" s="33" t="s">
        <v>5344</v>
      </c>
      <c r="B2139" s="33" t="s">
        <v>5345</v>
      </c>
      <c r="C2139" s="33" t="s">
        <v>801</v>
      </c>
      <c r="D2139" s="33" t="s">
        <v>17</v>
      </c>
      <c r="E2139" s="33" t="s">
        <v>26</v>
      </c>
      <c r="F2139" s="33" t="s">
        <v>27</v>
      </c>
      <c r="G2139" s="33" t="s">
        <v>112</v>
      </c>
      <c r="H2139" s="35">
        <v>0</v>
      </c>
      <c r="I2139" s="33" t="s">
        <v>21</v>
      </c>
      <c r="J2139" s="42">
        <v>44104</v>
      </c>
      <c r="K2139" s="33" t="s">
        <v>22</v>
      </c>
    </row>
    <row r="2140" spans="1:11">
      <c r="A2140" s="30" t="s">
        <v>5346</v>
      </c>
      <c r="B2140" s="30" t="s">
        <v>5347</v>
      </c>
      <c r="C2140" s="30" t="s">
        <v>4568</v>
      </c>
      <c r="D2140" s="30" t="s">
        <v>17</v>
      </c>
      <c r="E2140" s="30" t="s">
        <v>212</v>
      </c>
      <c r="F2140" s="30" t="s">
        <v>213</v>
      </c>
      <c r="G2140" s="30" t="s">
        <v>112</v>
      </c>
      <c r="H2140" s="32">
        <v>0</v>
      </c>
      <c r="I2140" s="30" t="s">
        <v>21</v>
      </c>
      <c r="J2140" s="41">
        <v>43862</v>
      </c>
      <c r="K2140" s="30" t="s">
        <v>22</v>
      </c>
    </row>
    <row r="2141" spans="1:11">
      <c r="A2141" s="33" t="s">
        <v>5348</v>
      </c>
      <c r="B2141" s="33" t="s">
        <v>5349</v>
      </c>
      <c r="C2141" s="33" t="s">
        <v>96</v>
      </c>
      <c r="D2141" s="33" t="s">
        <v>17</v>
      </c>
      <c r="E2141" s="33" t="s">
        <v>18</v>
      </c>
      <c r="F2141" s="33" t="s">
        <v>19</v>
      </c>
      <c r="G2141" s="33" t="s">
        <v>106</v>
      </c>
      <c r="H2141" s="35">
        <v>40</v>
      </c>
      <c r="I2141" s="33" t="s">
        <v>21</v>
      </c>
      <c r="J2141" s="42">
        <v>44088</v>
      </c>
      <c r="K2141" s="33" t="s">
        <v>22</v>
      </c>
    </row>
    <row r="2142" spans="1:11">
      <c r="A2142" s="30" t="s">
        <v>5350</v>
      </c>
      <c r="B2142" s="30" t="s">
        <v>5351</v>
      </c>
      <c r="C2142" s="30" t="s">
        <v>5352</v>
      </c>
      <c r="D2142" s="30" t="s">
        <v>17</v>
      </c>
      <c r="E2142" s="30" t="s">
        <v>67</v>
      </c>
      <c r="F2142" s="30" t="s">
        <v>68</v>
      </c>
      <c r="G2142" s="30" t="s">
        <v>106</v>
      </c>
      <c r="H2142" s="32">
        <v>1</v>
      </c>
      <c r="I2142" s="30" t="s">
        <v>21</v>
      </c>
      <c r="J2142" s="41">
        <v>44174</v>
      </c>
      <c r="K2142" s="30" t="s">
        <v>22</v>
      </c>
    </row>
    <row r="2143" spans="1:11">
      <c r="A2143" s="33" t="s">
        <v>5353</v>
      </c>
      <c r="B2143" s="33" t="s">
        <v>5354</v>
      </c>
      <c r="C2143" s="33" t="s">
        <v>5355</v>
      </c>
      <c r="D2143" s="33" t="s">
        <v>17</v>
      </c>
      <c r="E2143" s="33" t="s">
        <v>18</v>
      </c>
      <c r="F2143" s="33" t="s">
        <v>19</v>
      </c>
      <c r="G2143" s="33" t="s">
        <v>106</v>
      </c>
      <c r="H2143" s="35">
        <v>17</v>
      </c>
      <c r="I2143" s="33" t="s">
        <v>21</v>
      </c>
      <c r="J2143" s="42">
        <v>44169</v>
      </c>
      <c r="K2143" s="33" t="s">
        <v>22</v>
      </c>
    </row>
    <row r="2144" spans="1:11">
      <c r="A2144" s="30" t="s">
        <v>5356</v>
      </c>
      <c r="B2144" s="30" t="s">
        <v>5357</v>
      </c>
      <c r="C2144" s="30" t="s">
        <v>203</v>
      </c>
      <c r="D2144" s="30" t="s">
        <v>17</v>
      </c>
      <c r="E2144" s="30" t="s">
        <v>67</v>
      </c>
      <c r="F2144" s="30" t="s">
        <v>68</v>
      </c>
      <c r="G2144" s="30" t="s">
        <v>106</v>
      </c>
      <c r="H2144" s="32">
        <v>23</v>
      </c>
      <c r="I2144" s="30" t="s">
        <v>21</v>
      </c>
      <c r="J2144" s="41">
        <v>44000</v>
      </c>
      <c r="K2144" s="30" t="s">
        <v>22</v>
      </c>
    </row>
    <row r="2145" spans="1:11">
      <c r="A2145" s="33" t="s">
        <v>5358</v>
      </c>
      <c r="B2145" s="33" t="s">
        <v>5359</v>
      </c>
      <c r="C2145" s="33" t="s">
        <v>2156</v>
      </c>
      <c r="D2145" s="33" t="s">
        <v>17</v>
      </c>
      <c r="E2145" s="33" t="s">
        <v>26</v>
      </c>
      <c r="F2145" s="33" t="s">
        <v>27</v>
      </c>
      <c r="G2145" s="33" t="s">
        <v>20</v>
      </c>
      <c r="H2145" s="35">
        <v>66</v>
      </c>
      <c r="I2145" s="33" t="s">
        <v>21</v>
      </c>
      <c r="J2145" s="42">
        <v>43839</v>
      </c>
      <c r="K2145" s="33" t="s">
        <v>22</v>
      </c>
    </row>
    <row r="2146" spans="1:11">
      <c r="A2146" s="30" t="s">
        <v>5360</v>
      </c>
      <c r="B2146" s="30" t="s">
        <v>5361</v>
      </c>
      <c r="C2146" s="30" t="s">
        <v>231</v>
      </c>
      <c r="D2146" s="30" t="s">
        <v>17</v>
      </c>
      <c r="E2146" s="30" t="s">
        <v>26</v>
      </c>
      <c r="F2146" s="30" t="s">
        <v>27</v>
      </c>
      <c r="G2146" s="30" t="s">
        <v>20</v>
      </c>
      <c r="H2146" s="32">
        <v>110</v>
      </c>
      <c r="I2146" s="30" t="s">
        <v>21</v>
      </c>
      <c r="J2146" s="41">
        <v>43901</v>
      </c>
      <c r="K2146" s="30" t="s">
        <v>22</v>
      </c>
    </row>
    <row r="2147" spans="1:11">
      <c r="A2147" s="33" t="s">
        <v>5362</v>
      </c>
      <c r="B2147" s="33" t="s">
        <v>5363</v>
      </c>
      <c r="C2147" s="33" t="s">
        <v>5364</v>
      </c>
      <c r="D2147" s="33" t="s">
        <v>17</v>
      </c>
      <c r="E2147" s="33" t="s">
        <v>67</v>
      </c>
      <c r="F2147" s="33" t="s">
        <v>68</v>
      </c>
      <c r="G2147" s="33" t="s">
        <v>50</v>
      </c>
      <c r="H2147" s="35">
        <v>68</v>
      </c>
      <c r="I2147" s="33" t="s">
        <v>51</v>
      </c>
      <c r="J2147" s="42">
        <v>43934</v>
      </c>
      <c r="K2147" s="33" t="s">
        <v>22</v>
      </c>
    </row>
    <row r="2148" spans="1:11">
      <c r="A2148" s="30" t="s">
        <v>5365</v>
      </c>
      <c r="B2148" s="30" t="s">
        <v>5366</v>
      </c>
      <c r="C2148" s="30" t="s">
        <v>387</v>
      </c>
      <c r="D2148" s="30" t="s">
        <v>17</v>
      </c>
      <c r="E2148" s="30" t="s">
        <v>26</v>
      </c>
      <c r="F2148" s="30" t="s">
        <v>27</v>
      </c>
      <c r="G2148" s="30" t="s">
        <v>20</v>
      </c>
      <c r="H2148" s="32">
        <v>35</v>
      </c>
      <c r="I2148" s="30" t="s">
        <v>21</v>
      </c>
      <c r="J2148" s="41">
        <v>44104</v>
      </c>
      <c r="K2148" s="30" t="s">
        <v>22</v>
      </c>
    </row>
    <row r="2149" spans="1:11">
      <c r="A2149" s="33" t="s">
        <v>5367</v>
      </c>
      <c r="B2149" s="33" t="s">
        <v>5368</v>
      </c>
      <c r="C2149" s="33" t="s">
        <v>5369</v>
      </c>
      <c r="D2149" s="33" t="s">
        <v>17</v>
      </c>
      <c r="E2149" s="33" t="s">
        <v>26</v>
      </c>
      <c r="F2149" s="33" t="s">
        <v>27</v>
      </c>
      <c r="G2149" s="33" t="s">
        <v>20</v>
      </c>
      <c r="H2149" s="35">
        <v>14</v>
      </c>
      <c r="I2149" s="33" t="s">
        <v>21</v>
      </c>
      <c r="J2149" s="42">
        <v>44147</v>
      </c>
      <c r="K2149" s="33" t="s">
        <v>22</v>
      </c>
    </row>
    <row r="2150" spans="1:11">
      <c r="A2150" s="30" t="s">
        <v>5370</v>
      </c>
      <c r="B2150" s="30" t="s">
        <v>5371</v>
      </c>
      <c r="C2150" s="30" t="s">
        <v>5372</v>
      </c>
      <c r="D2150" s="30" t="s">
        <v>17</v>
      </c>
      <c r="E2150" s="30" t="s">
        <v>45</v>
      </c>
      <c r="F2150" s="30" t="s">
        <v>46</v>
      </c>
      <c r="G2150" s="30" t="s">
        <v>20</v>
      </c>
      <c r="H2150" s="32">
        <v>1057</v>
      </c>
      <c r="I2150" s="30" t="s">
        <v>21</v>
      </c>
      <c r="J2150" s="41">
        <v>44070</v>
      </c>
      <c r="K2150" s="30" t="s">
        <v>22</v>
      </c>
    </row>
    <row r="2151" spans="1:11">
      <c r="A2151" s="33" t="s">
        <v>5373</v>
      </c>
      <c r="B2151" s="33" t="s">
        <v>5374</v>
      </c>
      <c r="C2151" s="33" t="s">
        <v>190</v>
      </c>
      <c r="D2151" s="33" t="s">
        <v>17</v>
      </c>
      <c r="E2151" s="33" t="s">
        <v>18</v>
      </c>
      <c r="F2151" s="33" t="s">
        <v>19</v>
      </c>
      <c r="G2151" s="33" t="s">
        <v>20</v>
      </c>
      <c r="H2151" s="35">
        <v>134</v>
      </c>
      <c r="I2151" s="33" t="s">
        <v>21</v>
      </c>
      <c r="J2151" s="42">
        <v>44151</v>
      </c>
      <c r="K2151" s="33" t="s">
        <v>22</v>
      </c>
    </row>
    <row r="2152" spans="1:11">
      <c r="A2152" s="30" t="s">
        <v>5375</v>
      </c>
      <c r="B2152" s="30" t="s">
        <v>5376</v>
      </c>
      <c r="C2152" s="30" t="s">
        <v>5093</v>
      </c>
      <c r="D2152" s="30" t="s">
        <v>17</v>
      </c>
      <c r="E2152" s="30" t="s">
        <v>26</v>
      </c>
      <c r="F2152" s="30" t="s">
        <v>27</v>
      </c>
      <c r="G2152" s="30" t="s">
        <v>20</v>
      </c>
      <c r="H2152" s="32">
        <v>30</v>
      </c>
      <c r="I2152" s="30" t="s">
        <v>21</v>
      </c>
      <c r="J2152" s="41">
        <v>44193</v>
      </c>
      <c r="K2152" s="30" t="s">
        <v>22</v>
      </c>
    </row>
    <row r="2153" spans="1:11">
      <c r="A2153" s="33" t="s">
        <v>5377</v>
      </c>
      <c r="B2153" s="33" t="s">
        <v>5378</v>
      </c>
      <c r="C2153" s="33" t="s">
        <v>118</v>
      </c>
      <c r="D2153" s="33" t="s">
        <v>17</v>
      </c>
      <c r="E2153" s="33" t="s">
        <v>18</v>
      </c>
      <c r="F2153" s="33" t="s">
        <v>19</v>
      </c>
      <c r="G2153" s="33" t="s">
        <v>20</v>
      </c>
      <c r="H2153" s="35">
        <v>100</v>
      </c>
      <c r="I2153" s="33" t="s">
        <v>21</v>
      </c>
      <c r="J2153" s="42">
        <v>43908</v>
      </c>
      <c r="K2153" s="33" t="s">
        <v>22</v>
      </c>
    </row>
    <row r="2154" spans="1:11">
      <c r="A2154" s="30" t="s">
        <v>5379</v>
      </c>
      <c r="B2154" s="30" t="s">
        <v>3217</v>
      </c>
      <c r="C2154" s="30" t="s">
        <v>638</v>
      </c>
      <c r="D2154" s="30" t="s">
        <v>17</v>
      </c>
      <c r="E2154" s="30" t="s">
        <v>67</v>
      </c>
      <c r="F2154" s="30" t="s">
        <v>68</v>
      </c>
      <c r="G2154" s="30" t="s">
        <v>20</v>
      </c>
      <c r="H2154" s="32">
        <v>1085</v>
      </c>
      <c r="I2154" s="30" t="s">
        <v>21</v>
      </c>
      <c r="J2154" s="41">
        <v>44027</v>
      </c>
      <c r="K2154" s="30" t="s">
        <v>22</v>
      </c>
    </row>
    <row r="2155" spans="1:11">
      <c r="A2155" s="33" t="s">
        <v>5380</v>
      </c>
      <c r="B2155" s="33" t="s">
        <v>5381</v>
      </c>
      <c r="C2155" s="33" t="s">
        <v>5382</v>
      </c>
      <c r="D2155" s="33" t="s">
        <v>17</v>
      </c>
      <c r="E2155" s="33" t="s">
        <v>67</v>
      </c>
      <c r="F2155" s="33" t="s">
        <v>68</v>
      </c>
      <c r="G2155" s="33" t="s">
        <v>50</v>
      </c>
      <c r="H2155" s="35">
        <v>268</v>
      </c>
      <c r="I2155" s="33" t="s">
        <v>51</v>
      </c>
      <c r="J2155" s="42">
        <v>44172</v>
      </c>
      <c r="K2155" s="33" t="s">
        <v>22</v>
      </c>
    </row>
    <row r="2156" spans="1:11">
      <c r="A2156" s="30" t="s">
        <v>5383</v>
      </c>
      <c r="B2156" s="30" t="s">
        <v>5384</v>
      </c>
      <c r="C2156" s="30" t="s">
        <v>149</v>
      </c>
      <c r="D2156" s="30" t="s">
        <v>17</v>
      </c>
      <c r="E2156" s="30" t="s">
        <v>26</v>
      </c>
      <c r="F2156" s="30" t="s">
        <v>27</v>
      </c>
      <c r="G2156" s="30" t="s">
        <v>50</v>
      </c>
      <c r="H2156" s="32">
        <v>20</v>
      </c>
      <c r="I2156" s="30" t="s">
        <v>21</v>
      </c>
      <c r="J2156" s="41">
        <v>44147</v>
      </c>
      <c r="K2156" s="30" t="s">
        <v>22</v>
      </c>
    </row>
    <row r="2157" spans="1:11">
      <c r="A2157" s="33" t="s">
        <v>5385</v>
      </c>
      <c r="B2157" s="33" t="s">
        <v>5386</v>
      </c>
      <c r="C2157" s="33" t="s">
        <v>4133</v>
      </c>
      <c r="D2157" s="33" t="s">
        <v>17</v>
      </c>
      <c r="E2157" s="33" t="s">
        <v>31</v>
      </c>
      <c r="F2157" s="33" t="s">
        <v>32</v>
      </c>
      <c r="G2157" s="33" t="s">
        <v>20</v>
      </c>
      <c r="H2157" s="35">
        <v>125</v>
      </c>
      <c r="I2157" s="33" t="s">
        <v>21</v>
      </c>
      <c r="J2157" s="42">
        <v>44194</v>
      </c>
      <c r="K2157" s="33" t="s">
        <v>22</v>
      </c>
    </row>
    <row r="2158" spans="1:11">
      <c r="A2158" s="30" t="s">
        <v>5387</v>
      </c>
      <c r="B2158" s="30" t="s">
        <v>5388</v>
      </c>
      <c r="C2158" s="30" t="s">
        <v>5389</v>
      </c>
      <c r="D2158" s="30" t="s">
        <v>17</v>
      </c>
      <c r="E2158" s="30" t="s">
        <v>18</v>
      </c>
      <c r="F2158" s="30" t="s">
        <v>19</v>
      </c>
      <c r="G2158" s="30" t="s">
        <v>20</v>
      </c>
      <c r="H2158" s="32">
        <v>154</v>
      </c>
      <c r="I2158" s="30" t="s">
        <v>21</v>
      </c>
      <c r="J2158" s="41">
        <v>44175</v>
      </c>
      <c r="K2158" s="30" t="s">
        <v>22</v>
      </c>
    </row>
    <row r="2159" spans="1:11">
      <c r="A2159" s="33" t="s">
        <v>5390</v>
      </c>
      <c r="B2159" s="33" t="s">
        <v>5391</v>
      </c>
      <c r="C2159" s="33" t="s">
        <v>5392</v>
      </c>
      <c r="D2159" s="33" t="s">
        <v>17</v>
      </c>
      <c r="E2159" s="33" t="s">
        <v>31</v>
      </c>
      <c r="F2159" s="33" t="s">
        <v>32</v>
      </c>
      <c r="G2159" s="33" t="s">
        <v>112</v>
      </c>
      <c r="H2159" s="35">
        <v>0</v>
      </c>
      <c r="I2159" s="33" t="s">
        <v>21</v>
      </c>
      <c r="J2159" s="42">
        <v>44148</v>
      </c>
      <c r="K2159" s="33" t="s">
        <v>22</v>
      </c>
    </row>
    <row r="2160" spans="1:11">
      <c r="A2160" s="30" t="s">
        <v>5393</v>
      </c>
      <c r="B2160" s="30" t="s">
        <v>5394</v>
      </c>
      <c r="C2160" s="30" t="s">
        <v>5395</v>
      </c>
      <c r="D2160" s="30" t="s">
        <v>17</v>
      </c>
      <c r="E2160" s="30" t="s">
        <v>67</v>
      </c>
      <c r="F2160" s="30" t="s">
        <v>68</v>
      </c>
      <c r="G2160" s="30" t="s">
        <v>50</v>
      </c>
      <c r="H2160" s="32">
        <v>233</v>
      </c>
      <c r="I2160" s="30" t="s">
        <v>51</v>
      </c>
      <c r="J2160" s="41">
        <v>43942</v>
      </c>
      <c r="K2160" s="30" t="s">
        <v>22</v>
      </c>
    </row>
    <row r="2161" spans="1:11">
      <c r="A2161" s="33" t="s">
        <v>5396</v>
      </c>
      <c r="B2161" s="33" t="s">
        <v>5397</v>
      </c>
      <c r="C2161" s="33" t="s">
        <v>5398</v>
      </c>
      <c r="D2161" s="33" t="s">
        <v>17</v>
      </c>
      <c r="E2161" s="33" t="s">
        <v>31</v>
      </c>
      <c r="F2161" s="33" t="s">
        <v>32</v>
      </c>
      <c r="G2161" s="33" t="s">
        <v>20</v>
      </c>
      <c r="H2161" s="35">
        <v>28</v>
      </c>
      <c r="I2161" s="33" t="s">
        <v>21</v>
      </c>
      <c r="J2161" s="42">
        <v>44013</v>
      </c>
      <c r="K2161" s="33" t="s">
        <v>22</v>
      </c>
    </row>
    <row r="2162" spans="1:11">
      <c r="A2162" s="30" t="s">
        <v>5399</v>
      </c>
      <c r="B2162" s="30" t="s">
        <v>5400</v>
      </c>
      <c r="C2162" s="30" t="s">
        <v>5401</v>
      </c>
      <c r="D2162" s="30" t="s">
        <v>17</v>
      </c>
      <c r="E2162" s="30" t="s">
        <v>26</v>
      </c>
      <c r="F2162" s="30" t="s">
        <v>27</v>
      </c>
      <c r="G2162" s="30" t="s">
        <v>20</v>
      </c>
      <c r="H2162" s="32">
        <v>31</v>
      </c>
      <c r="I2162" s="30" t="s">
        <v>21</v>
      </c>
      <c r="J2162" s="41">
        <v>44188</v>
      </c>
      <c r="K2162" s="30" t="s">
        <v>22</v>
      </c>
    </row>
    <row r="2163" spans="1:11">
      <c r="A2163" s="33" t="s">
        <v>5402</v>
      </c>
      <c r="B2163" s="33" t="s">
        <v>5403</v>
      </c>
      <c r="C2163" s="33" t="s">
        <v>149</v>
      </c>
      <c r="D2163" s="33" t="s">
        <v>17</v>
      </c>
      <c r="E2163" s="33" t="s">
        <v>31</v>
      </c>
      <c r="F2163" s="33" t="s">
        <v>32</v>
      </c>
      <c r="G2163" s="33" t="s">
        <v>20</v>
      </c>
      <c r="H2163" s="35">
        <v>100</v>
      </c>
      <c r="I2163" s="33" t="s">
        <v>21</v>
      </c>
      <c r="J2163" s="42">
        <v>44120</v>
      </c>
      <c r="K2163" s="33" t="s">
        <v>22</v>
      </c>
    </row>
    <row r="2164" spans="1:11">
      <c r="A2164" s="30" t="s">
        <v>5404</v>
      </c>
      <c r="B2164" s="30" t="s">
        <v>5405</v>
      </c>
      <c r="C2164" s="30" t="s">
        <v>1658</v>
      </c>
      <c r="D2164" s="30" t="s">
        <v>17</v>
      </c>
      <c r="E2164" s="30" t="s">
        <v>26</v>
      </c>
      <c r="F2164" s="30" t="s">
        <v>27</v>
      </c>
      <c r="G2164" s="30" t="s">
        <v>20</v>
      </c>
      <c r="H2164" s="32">
        <v>60</v>
      </c>
      <c r="I2164" s="30" t="s">
        <v>21</v>
      </c>
      <c r="J2164" s="41">
        <v>44075</v>
      </c>
      <c r="K2164" s="30" t="s">
        <v>22</v>
      </c>
    </row>
    <row r="2165" spans="1:11">
      <c r="A2165" s="33" t="s">
        <v>5406</v>
      </c>
      <c r="B2165" s="33" t="s">
        <v>5407</v>
      </c>
      <c r="C2165" s="33" t="s">
        <v>130</v>
      </c>
      <c r="D2165" s="33" t="s">
        <v>17</v>
      </c>
      <c r="E2165" s="33" t="s">
        <v>18</v>
      </c>
      <c r="F2165" s="33" t="s">
        <v>19</v>
      </c>
      <c r="G2165" s="33" t="s">
        <v>20</v>
      </c>
      <c r="H2165" s="35">
        <v>458</v>
      </c>
      <c r="I2165" s="33" t="s">
        <v>21</v>
      </c>
      <c r="J2165" s="42">
        <v>44098</v>
      </c>
      <c r="K2165" s="33" t="s">
        <v>22</v>
      </c>
    </row>
    <row r="2166" spans="1:11">
      <c r="A2166" s="30" t="s">
        <v>5408</v>
      </c>
      <c r="B2166" s="30" t="s">
        <v>5409</v>
      </c>
      <c r="C2166" s="30" t="s">
        <v>5410</v>
      </c>
      <c r="D2166" s="30" t="s">
        <v>17</v>
      </c>
      <c r="E2166" s="30" t="s">
        <v>67</v>
      </c>
      <c r="F2166" s="30" t="s">
        <v>68</v>
      </c>
      <c r="G2166" s="30" t="s">
        <v>106</v>
      </c>
      <c r="H2166" s="32">
        <v>1</v>
      </c>
      <c r="I2166" s="30" t="s">
        <v>21</v>
      </c>
      <c r="J2166" s="41">
        <v>43929</v>
      </c>
      <c r="K2166" s="30" t="s">
        <v>22</v>
      </c>
    </row>
    <row r="2167" spans="1:11">
      <c r="A2167" s="33" t="s">
        <v>5411</v>
      </c>
      <c r="B2167" s="33" t="s">
        <v>5412</v>
      </c>
      <c r="C2167" s="33" t="s">
        <v>178</v>
      </c>
      <c r="D2167" s="33" t="s">
        <v>17</v>
      </c>
      <c r="E2167" s="33" t="s">
        <v>67</v>
      </c>
      <c r="F2167" s="33" t="s">
        <v>68</v>
      </c>
      <c r="G2167" s="33" t="s">
        <v>140</v>
      </c>
      <c r="H2167" s="35">
        <v>518</v>
      </c>
      <c r="I2167" s="33" t="s">
        <v>51</v>
      </c>
      <c r="J2167" s="42">
        <v>44136</v>
      </c>
      <c r="K2167" s="33" t="s">
        <v>22</v>
      </c>
    </row>
    <row r="2168" spans="1:11">
      <c r="A2168" s="30" t="s">
        <v>5413</v>
      </c>
      <c r="B2168" s="30" t="s">
        <v>5414</v>
      </c>
      <c r="C2168" s="30" t="s">
        <v>5415</v>
      </c>
      <c r="D2168" s="30" t="s">
        <v>17</v>
      </c>
      <c r="E2168" s="30" t="s">
        <v>31</v>
      </c>
      <c r="F2168" s="30" t="s">
        <v>32</v>
      </c>
      <c r="G2168" s="30" t="s">
        <v>106</v>
      </c>
      <c r="H2168" s="32">
        <v>133</v>
      </c>
      <c r="I2168" s="30" t="s">
        <v>21</v>
      </c>
      <c r="J2168" s="41">
        <v>43851</v>
      </c>
      <c r="K2168" s="30" t="s">
        <v>22</v>
      </c>
    </row>
    <row r="2169" spans="1:11">
      <c r="A2169" s="33" t="s">
        <v>5416</v>
      </c>
      <c r="B2169" s="33" t="s">
        <v>5417</v>
      </c>
      <c r="C2169" s="33" t="s">
        <v>231</v>
      </c>
      <c r="D2169" s="33" t="s">
        <v>17</v>
      </c>
      <c r="E2169" s="33" t="s">
        <v>31</v>
      </c>
      <c r="F2169" s="33" t="s">
        <v>32</v>
      </c>
      <c r="G2169" s="33" t="s">
        <v>20</v>
      </c>
      <c r="H2169" s="35">
        <v>389</v>
      </c>
      <c r="I2169" s="33" t="s">
        <v>21</v>
      </c>
      <c r="J2169" s="42">
        <v>44155</v>
      </c>
      <c r="K2169" s="33" t="s">
        <v>22</v>
      </c>
    </row>
    <row r="2170" spans="1:11">
      <c r="A2170" s="30" t="s">
        <v>5418</v>
      </c>
      <c r="B2170" s="30" t="s">
        <v>5419</v>
      </c>
      <c r="C2170" s="30" t="s">
        <v>4119</v>
      </c>
      <c r="D2170" s="30" t="s">
        <v>17</v>
      </c>
      <c r="E2170" s="30" t="s">
        <v>26</v>
      </c>
      <c r="F2170" s="30" t="s">
        <v>27</v>
      </c>
      <c r="G2170" s="30" t="s">
        <v>20</v>
      </c>
      <c r="H2170" s="32">
        <v>40</v>
      </c>
      <c r="I2170" s="30" t="s">
        <v>21</v>
      </c>
      <c r="J2170" s="41">
        <v>43983</v>
      </c>
      <c r="K2170" s="30" t="s">
        <v>22</v>
      </c>
    </row>
    <row r="2171" spans="1:11">
      <c r="A2171" s="33" t="s">
        <v>5420</v>
      </c>
      <c r="B2171" s="33" t="s">
        <v>5421</v>
      </c>
      <c r="C2171" s="33" t="s">
        <v>1136</v>
      </c>
      <c r="D2171" s="33" t="s">
        <v>17</v>
      </c>
      <c r="E2171" s="33" t="s">
        <v>67</v>
      </c>
      <c r="F2171" s="33" t="s">
        <v>68</v>
      </c>
      <c r="G2171" s="33" t="s">
        <v>20</v>
      </c>
      <c r="H2171" s="35">
        <v>441</v>
      </c>
      <c r="I2171" s="33" t="s">
        <v>21</v>
      </c>
      <c r="J2171" s="42">
        <v>44077</v>
      </c>
      <c r="K2171" s="33" t="s">
        <v>22</v>
      </c>
    </row>
    <row r="2172" spans="1:11">
      <c r="A2172" s="30" t="s">
        <v>5422</v>
      </c>
      <c r="B2172" s="30" t="s">
        <v>5423</v>
      </c>
      <c r="C2172" s="30" t="s">
        <v>5424</v>
      </c>
      <c r="D2172" s="30" t="s">
        <v>17</v>
      </c>
      <c r="E2172" s="30" t="s">
        <v>26</v>
      </c>
      <c r="F2172" s="30" t="s">
        <v>27</v>
      </c>
      <c r="G2172" s="30" t="s">
        <v>140</v>
      </c>
      <c r="H2172" s="32">
        <v>60</v>
      </c>
      <c r="I2172" s="30" t="s">
        <v>51</v>
      </c>
      <c r="J2172" s="41">
        <v>44075</v>
      </c>
      <c r="K2172" s="30" t="s">
        <v>22</v>
      </c>
    </row>
    <row r="2173" spans="1:11">
      <c r="A2173" s="33" t="s">
        <v>5425</v>
      </c>
      <c r="B2173" s="33" t="s">
        <v>5426</v>
      </c>
      <c r="C2173" s="33" t="s">
        <v>695</v>
      </c>
      <c r="D2173" s="33" t="s">
        <v>17</v>
      </c>
      <c r="E2173" s="33" t="s">
        <v>26</v>
      </c>
      <c r="F2173" s="33" t="s">
        <v>27</v>
      </c>
      <c r="G2173" s="33" t="s">
        <v>106</v>
      </c>
      <c r="H2173" s="35">
        <v>33</v>
      </c>
      <c r="I2173" s="33" t="s">
        <v>21</v>
      </c>
      <c r="J2173" s="42">
        <v>44103</v>
      </c>
      <c r="K2173" s="33" t="s">
        <v>22</v>
      </c>
    </row>
    <row r="2174" spans="1:11">
      <c r="A2174" s="30" t="s">
        <v>5427</v>
      </c>
      <c r="B2174" s="30" t="s">
        <v>5428</v>
      </c>
      <c r="C2174" s="30" t="s">
        <v>5429</v>
      </c>
      <c r="D2174" s="30" t="s">
        <v>17</v>
      </c>
      <c r="E2174" s="30" t="s">
        <v>31</v>
      </c>
      <c r="F2174" s="30" t="s">
        <v>32</v>
      </c>
      <c r="G2174" s="30" t="s">
        <v>106</v>
      </c>
      <c r="H2174" s="32">
        <v>69</v>
      </c>
      <c r="I2174" s="30" t="s">
        <v>21</v>
      </c>
      <c r="J2174" s="41">
        <v>44123</v>
      </c>
      <c r="K2174" s="30" t="s">
        <v>22</v>
      </c>
    </row>
    <row r="2175" spans="1:11">
      <c r="A2175" s="33" t="s">
        <v>5430</v>
      </c>
      <c r="B2175" s="33" t="s">
        <v>5431</v>
      </c>
      <c r="C2175" s="33" t="s">
        <v>318</v>
      </c>
      <c r="D2175" s="33" t="s">
        <v>17</v>
      </c>
      <c r="E2175" s="33" t="s">
        <v>26</v>
      </c>
      <c r="F2175" s="33" t="s">
        <v>27</v>
      </c>
      <c r="G2175" s="33" t="s">
        <v>20</v>
      </c>
      <c r="H2175" s="35">
        <v>13</v>
      </c>
      <c r="I2175" s="33" t="s">
        <v>21</v>
      </c>
      <c r="J2175" s="42">
        <v>43896</v>
      </c>
      <c r="K2175" s="33" t="s">
        <v>22</v>
      </c>
    </row>
    <row r="2176" spans="1:11">
      <c r="A2176" s="30" t="s">
        <v>5432</v>
      </c>
      <c r="B2176" s="30" t="s">
        <v>5433</v>
      </c>
      <c r="C2176" s="30" t="s">
        <v>5434</v>
      </c>
      <c r="D2176" s="30" t="s">
        <v>17</v>
      </c>
      <c r="E2176" s="30" t="s">
        <v>31</v>
      </c>
      <c r="F2176" s="30" t="s">
        <v>32</v>
      </c>
      <c r="G2176" s="30" t="s">
        <v>20</v>
      </c>
      <c r="H2176" s="32">
        <v>51</v>
      </c>
      <c r="I2176" s="30" t="s">
        <v>21</v>
      </c>
      <c r="J2176" s="41">
        <v>44099</v>
      </c>
      <c r="K2176" s="30" t="s">
        <v>22</v>
      </c>
    </row>
    <row r="2177" spans="1:11">
      <c r="A2177" s="33" t="s">
        <v>5435</v>
      </c>
      <c r="B2177" s="33" t="s">
        <v>5436</v>
      </c>
      <c r="C2177" s="33" t="s">
        <v>647</v>
      </c>
      <c r="D2177" s="33" t="s">
        <v>17</v>
      </c>
      <c r="E2177" s="33" t="s">
        <v>18</v>
      </c>
      <c r="F2177" s="33" t="s">
        <v>19</v>
      </c>
      <c r="G2177" s="33" t="s">
        <v>20</v>
      </c>
      <c r="H2177" s="35">
        <v>672</v>
      </c>
      <c r="I2177" s="33" t="s">
        <v>21</v>
      </c>
      <c r="J2177" s="42">
        <v>43879</v>
      </c>
      <c r="K2177" s="33" t="s">
        <v>22</v>
      </c>
    </row>
    <row r="2178" spans="1:11">
      <c r="A2178" s="30" t="s">
        <v>5437</v>
      </c>
      <c r="B2178" s="30" t="s">
        <v>5438</v>
      </c>
      <c r="C2178" s="30" t="s">
        <v>2446</v>
      </c>
      <c r="D2178" s="30" t="s">
        <v>17</v>
      </c>
      <c r="E2178" s="30" t="s">
        <v>18</v>
      </c>
      <c r="F2178" s="30" t="s">
        <v>19</v>
      </c>
      <c r="G2178" s="30" t="s">
        <v>158</v>
      </c>
      <c r="H2178" s="32">
        <v>599</v>
      </c>
      <c r="I2178" s="30" t="s">
        <v>21</v>
      </c>
      <c r="J2178" s="41">
        <v>43993</v>
      </c>
      <c r="K2178" s="30" t="s">
        <v>22</v>
      </c>
    </row>
    <row r="2179" spans="1:11">
      <c r="A2179" s="33" t="s">
        <v>5439</v>
      </c>
      <c r="B2179" s="33" t="s">
        <v>5440</v>
      </c>
      <c r="C2179" s="33" t="s">
        <v>1112</v>
      </c>
      <c r="D2179" s="33" t="s">
        <v>17</v>
      </c>
      <c r="E2179" s="33" t="s">
        <v>18</v>
      </c>
      <c r="F2179" s="33" t="s">
        <v>19</v>
      </c>
      <c r="G2179" s="33" t="s">
        <v>20</v>
      </c>
      <c r="H2179" s="35">
        <v>122</v>
      </c>
      <c r="I2179" s="33" t="s">
        <v>21</v>
      </c>
      <c r="J2179" s="42">
        <v>44133</v>
      </c>
      <c r="K2179" s="33" t="s">
        <v>22</v>
      </c>
    </row>
    <row r="2180" spans="1:11">
      <c r="A2180" s="30" t="s">
        <v>5441</v>
      </c>
      <c r="B2180" s="30" t="s">
        <v>5442</v>
      </c>
      <c r="C2180" s="30" t="s">
        <v>5443</v>
      </c>
      <c r="D2180" s="30" t="s">
        <v>17</v>
      </c>
      <c r="E2180" s="30" t="s">
        <v>26</v>
      </c>
      <c r="F2180" s="30" t="s">
        <v>27</v>
      </c>
      <c r="G2180" s="30" t="s">
        <v>20</v>
      </c>
      <c r="H2180" s="32">
        <v>9</v>
      </c>
      <c r="I2180" s="30" t="s">
        <v>21</v>
      </c>
      <c r="J2180" s="41">
        <v>43845</v>
      </c>
      <c r="K2180" s="30" t="s">
        <v>22</v>
      </c>
    </row>
    <row r="2181" spans="1:11">
      <c r="A2181" s="33" t="s">
        <v>5444</v>
      </c>
      <c r="B2181" s="33" t="s">
        <v>5445</v>
      </c>
      <c r="C2181" s="33" t="s">
        <v>3439</v>
      </c>
      <c r="D2181" s="33" t="s">
        <v>17</v>
      </c>
      <c r="E2181" s="33" t="s">
        <v>26</v>
      </c>
      <c r="F2181" s="33" t="s">
        <v>27</v>
      </c>
      <c r="G2181" s="33" t="s">
        <v>158</v>
      </c>
      <c r="H2181" s="35">
        <v>30</v>
      </c>
      <c r="I2181" s="33" t="s">
        <v>51</v>
      </c>
      <c r="J2181" s="42">
        <v>44053</v>
      </c>
      <c r="K2181" s="33" t="s">
        <v>22</v>
      </c>
    </row>
    <row r="2182" spans="1:11">
      <c r="A2182" s="30" t="s">
        <v>5446</v>
      </c>
      <c r="B2182" s="30" t="s">
        <v>5447</v>
      </c>
      <c r="C2182" s="30" t="s">
        <v>57</v>
      </c>
      <c r="D2182" s="30" t="s">
        <v>17</v>
      </c>
      <c r="E2182" s="30" t="s">
        <v>26</v>
      </c>
      <c r="F2182" s="30" t="s">
        <v>27</v>
      </c>
      <c r="G2182" s="30" t="s">
        <v>50</v>
      </c>
      <c r="H2182" s="32">
        <v>34</v>
      </c>
      <c r="I2182" s="30" t="s">
        <v>51</v>
      </c>
      <c r="J2182" s="41">
        <v>43922</v>
      </c>
      <c r="K2182" s="30" t="s">
        <v>22</v>
      </c>
    </row>
    <row r="2183" spans="1:11">
      <c r="A2183" s="33" t="s">
        <v>5448</v>
      </c>
      <c r="B2183" s="33" t="s">
        <v>5449</v>
      </c>
      <c r="C2183" s="33" t="s">
        <v>1102</v>
      </c>
      <c r="D2183" s="33" t="s">
        <v>17</v>
      </c>
      <c r="E2183" s="33" t="s">
        <v>26</v>
      </c>
      <c r="F2183" s="33" t="s">
        <v>27</v>
      </c>
      <c r="G2183" s="33" t="s">
        <v>20</v>
      </c>
      <c r="H2183" s="35">
        <v>28</v>
      </c>
      <c r="I2183" s="33" t="s">
        <v>21</v>
      </c>
      <c r="J2183" s="42">
        <v>44021</v>
      </c>
      <c r="K2183" s="33" t="s">
        <v>22</v>
      </c>
    </row>
    <row r="2184" spans="1:11">
      <c r="A2184" s="30" t="s">
        <v>5450</v>
      </c>
      <c r="B2184" s="30" t="s">
        <v>5451</v>
      </c>
      <c r="C2184" s="30" t="s">
        <v>5452</v>
      </c>
      <c r="D2184" s="30" t="s">
        <v>17</v>
      </c>
      <c r="E2184" s="30" t="s">
        <v>212</v>
      </c>
      <c r="F2184" s="30" t="s">
        <v>213</v>
      </c>
      <c r="G2184" s="30" t="s">
        <v>20</v>
      </c>
      <c r="H2184" s="32">
        <v>40</v>
      </c>
      <c r="I2184" s="30" t="s">
        <v>21</v>
      </c>
      <c r="J2184" s="41">
        <v>43978</v>
      </c>
      <c r="K2184" s="30" t="s">
        <v>22</v>
      </c>
    </row>
    <row r="2185" spans="1:11">
      <c r="A2185" s="33" t="s">
        <v>5453</v>
      </c>
      <c r="B2185" s="33" t="s">
        <v>5454</v>
      </c>
      <c r="C2185" s="33" t="s">
        <v>5455</v>
      </c>
      <c r="D2185" s="33" t="s">
        <v>17</v>
      </c>
      <c r="E2185" s="33" t="s">
        <v>31</v>
      </c>
      <c r="F2185" s="33" t="s">
        <v>32</v>
      </c>
      <c r="G2185" s="33" t="s">
        <v>20</v>
      </c>
      <c r="H2185" s="35">
        <v>15</v>
      </c>
      <c r="I2185" s="33" t="s">
        <v>21</v>
      </c>
      <c r="J2185" s="42">
        <v>43862</v>
      </c>
      <c r="K2185" s="33" t="s">
        <v>22</v>
      </c>
    </row>
    <row r="2186" spans="1:11">
      <c r="A2186" s="30" t="s">
        <v>5456</v>
      </c>
      <c r="B2186" s="30" t="s">
        <v>5457</v>
      </c>
      <c r="C2186" s="30" t="s">
        <v>75</v>
      </c>
      <c r="D2186" s="30" t="s">
        <v>17</v>
      </c>
      <c r="E2186" s="30" t="s">
        <v>26</v>
      </c>
      <c r="F2186" s="30" t="s">
        <v>27</v>
      </c>
      <c r="G2186" s="30" t="s">
        <v>20</v>
      </c>
      <c r="H2186" s="32">
        <v>26</v>
      </c>
      <c r="I2186" s="30" t="s">
        <v>21</v>
      </c>
      <c r="J2186" s="41">
        <v>44091</v>
      </c>
      <c r="K2186" s="30" t="s">
        <v>22</v>
      </c>
    </row>
    <row r="2187" spans="1:11">
      <c r="A2187" s="33" t="s">
        <v>5458</v>
      </c>
      <c r="B2187" s="33" t="s">
        <v>5459</v>
      </c>
      <c r="C2187" s="33" t="s">
        <v>190</v>
      </c>
      <c r="D2187" s="33" t="s">
        <v>17</v>
      </c>
      <c r="E2187" s="33" t="s">
        <v>212</v>
      </c>
      <c r="F2187" s="33" t="s">
        <v>213</v>
      </c>
      <c r="G2187" s="33" t="s">
        <v>20</v>
      </c>
      <c r="H2187" s="35">
        <v>170</v>
      </c>
      <c r="I2187" s="33" t="s">
        <v>21</v>
      </c>
      <c r="J2187" s="42">
        <v>44039</v>
      </c>
      <c r="K2187" s="33" t="s">
        <v>22</v>
      </c>
    </row>
    <row r="2188" spans="1:11">
      <c r="A2188" s="30" t="s">
        <v>5460</v>
      </c>
      <c r="B2188" s="30" t="s">
        <v>5461</v>
      </c>
      <c r="C2188" s="30" t="s">
        <v>5462</v>
      </c>
      <c r="D2188" s="30" t="s">
        <v>17</v>
      </c>
      <c r="E2188" s="30" t="s">
        <v>31</v>
      </c>
      <c r="F2188" s="30" t="s">
        <v>32</v>
      </c>
      <c r="G2188" s="30" t="s">
        <v>106</v>
      </c>
      <c r="H2188" s="32">
        <v>96</v>
      </c>
      <c r="I2188" s="30" t="s">
        <v>21</v>
      </c>
      <c r="J2188" s="41">
        <v>44040</v>
      </c>
      <c r="K2188" s="30" t="s">
        <v>22</v>
      </c>
    </row>
    <row r="2189" spans="1:11">
      <c r="A2189" s="33" t="s">
        <v>5463</v>
      </c>
      <c r="B2189" s="33" t="s">
        <v>5464</v>
      </c>
      <c r="C2189" s="33" t="s">
        <v>231</v>
      </c>
      <c r="D2189" s="33" t="s">
        <v>17</v>
      </c>
      <c r="E2189" s="33" t="s">
        <v>26</v>
      </c>
      <c r="F2189" s="33" t="s">
        <v>27</v>
      </c>
      <c r="G2189" s="33" t="s">
        <v>20</v>
      </c>
      <c r="H2189" s="35">
        <v>30</v>
      </c>
      <c r="I2189" s="33" t="s">
        <v>21</v>
      </c>
      <c r="J2189" s="42">
        <v>44005</v>
      </c>
      <c r="K2189" s="33" t="s">
        <v>22</v>
      </c>
    </row>
    <row r="2190" spans="1:11">
      <c r="A2190" s="30" t="s">
        <v>5465</v>
      </c>
      <c r="B2190" s="30" t="s">
        <v>5466</v>
      </c>
      <c r="C2190" s="30" t="s">
        <v>787</v>
      </c>
      <c r="D2190" s="30" t="s">
        <v>17</v>
      </c>
      <c r="E2190" s="30" t="s">
        <v>31</v>
      </c>
      <c r="F2190" s="30" t="s">
        <v>32</v>
      </c>
      <c r="G2190" s="30" t="s">
        <v>50</v>
      </c>
      <c r="H2190" s="32">
        <v>115</v>
      </c>
      <c r="I2190" s="30" t="s">
        <v>51</v>
      </c>
      <c r="J2190" s="41">
        <v>43978</v>
      </c>
      <c r="K2190" s="30" t="s">
        <v>22</v>
      </c>
    </row>
    <row r="2191" spans="1:11">
      <c r="A2191" s="33" t="s">
        <v>5467</v>
      </c>
      <c r="B2191" s="33" t="s">
        <v>5468</v>
      </c>
      <c r="C2191" s="33" t="s">
        <v>5469</v>
      </c>
      <c r="D2191" s="33" t="s">
        <v>17</v>
      </c>
      <c r="E2191" s="33" t="s">
        <v>26</v>
      </c>
      <c r="F2191" s="33" t="s">
        <v>27</v>
      </c>
      <c r="G2191" s="33" t="s">
        <v>20</v>
      </c>
      <c r="H2191" s="35">
        <v>15</v>
      </c>
      <c r="I2191" s="33" t="s">
        <v>21</v>
      </c>
      <c r="J2191" s="42">
        <v>44096</v>
      </c>
      <c r="K2191" s="33" t="s">
        <v>22</v>
      </c>
    </row>
    <row r="2192" spans="1:11">
      <c r="A2192" s="30" t="s">
        <v>5470</v>
      </c>
      <c r="B2192" s="30" t="s">
        <v>5471</v>
      </c>
      <c r="C2192" s="30" t="s">
        <v>190</v>
      </c>
      <c r="D2192" s="30" t="s">
        <v>17</v>
      </c>
      <c r="E2192" s="30" t="s">
        <v>26</v>
      </c>
      <c r="F2192" s="30" t="s">
        <v>27</v>
      </c>
      <c r="G2192" s="30" t="s">
        <v>106</v>
      </c>
      <c r="H2192" s="32">
        <v>25</v>
      </c>
      <c r="I2192" s="30" t="s">
        <v>21</v>
      </c>
      <c r="J2192" s="41">
        <v>43858</v>
      </c>
      <c r="K2192" s="30" t="s">
        <v>22</v>
      </c>
    </row>
    <row r="2193" spans="1:11">
      <c r="A2193" s="33" t="s">
        <v>5472</v>
      </c>
      <c r="B2193" s="33" t="s">
        <v>5473</v>
      </c>
      <c r="C2193" s="33" t="s">
        <v>2292</v>
      </c>
      <c r="D2193" s="33" t="s">
        <v>17</v>
      </c>
      <c r="E2193" s="33" t="s">
        <v>18</v>
      </c>
      <c r="F2193" s="33" t="s">
        <v>19</v>
      </c>
      <c r="G2193" s="33" t="s">
        <v>20</v>
      </c>
      <c r="H2193" s="35">
        <v>38</v>
      </c>
      <c r="I2193" s="33" t="s">
        <v>21</v>
      </c>
      <c r="J2193" s="42">
        <v>43992</v>
      </c>
      <c r="K2193" s="33" t="s">
        <v>22</v>
      </c>
    </row>
    <row r="2194" spans="1:11">
      <c r="A2194" s="30" t="s">
        <v>5474</v>
      </c>
      <c r="B2194" s="30" t="s">
        <v>5475</v>
      </c>
      <c r="C2194" s="30" t="s">
        <v>54</v>
      </c>
      <c r="D2194" s="30" t="s">
        <v>17</v>
      </c>
      <c r="E2194" s="30" t="s">
        <v>18</v>
      </c>
      <c r="F2194" s="30" t="s">
        <v>19</v>
      </c>
      <c r="G2194" s="30" t="s">
        <v>20</v>
      </c>
      <c r="H2194" s="32">
        <v>124</v>
      </c>
      <c r="I2194" s="30" t="s">
        <v>21</v>
      </c>
      <c r="J2194" s="41">
        <v>44133</v>
      </c>
      <c r="K2194" s="30" t="s">
        <v>22</v>
      </c>
    </row>
    <row r="2195" spans="1:11">
      <c r="A2195" s="33" t="s">
        <v>5476</v>
      </c>
      <c r="B2195" s="33" t="s">
        <v>5477</v>
      </c>
      <c r="C2195" s="33" t="s">
        <v>647</v>
      </c>
      <c r="D2195" s="33" t="s">
        <v>17</v>
      </c>
      <c r="E2195" s="33" t="s">
        <v>45</v>
      </c>
      <c r="F2195" s="33" t="s">
        <v>46</v>
      </c>
      <c r="G2195" s="33" t="s">
        <v>106</v>
      </c>
      <c r="H2195" s="35">
        <v>304</v>
      </c>
      <c r="I2195" s="33" t="s">
        <v>21</v>
      </c>
      <c r="J2195" s="42">
        <v>44123</v>
      </c>
      <c r="K2195" s="33" t="s">
        <v>22</v>
      </c>
    </row>
    <row r="2196" spans="1:11">
      <c r="A2196" s="30" t="s">
        <v>5478</v>
      </c>
      <c r="B2196" s="30" t="s">
        <v>5479</v>
      </c>
      <c r="C2196" s="30" t="s">
        <v>127</v>
      </c>
      <c r="D2196" s="30" t="s">
        <v>17</v>
      </c>
      <c r="E2196" s="30" t="s">
        <v>26</v>
      </c>
      <c r="F2196" s="30" t="s">
        <v>27</v>
      </c>
      <c r="G2196" s="30" t="s">
        <v>20</v>
      </c>
      <c r="H2196" s="32">
        <v>36</v>
      </c>
      <c r="I2196" s="30" t="s">
        <v>21</v>
      </c>
      <c r="J2196" s="41">
        <v>44132</v>
      </c>
      <c r="K2196" s="30" t="s">
        <v>22</v>
      </c>
    </row>
    <row r="2197" spans="1:11">
      <c r="A2197" s="33" t="s">
        <v>5480</v>
      </c>
      <c r="B2197" s="33" t="s">
        <v>5481</v>
      </c>
      <c r="C2197" s="33" t="s">
        <v>78</v>
      </c>
      <c r="D2197" s="33" t="s">
        <v>17</v>
      </c>
      <c r="E2197" s="33" t="s">
        <v>26</v>
      </c>
      <c r="F2197" s="33" t="s">
        <v>27</v>
      </c>
      <c r="G2197" s="33" t="s">
        <v>20</v>
      </c>
      <c r="H2197" s="35">
        <v>15</v>
      </c>
      <c r="I2197" s="33" t="s">
        <v>21</v>
      </c>
      <c r="J2197" s="42">
        <v>43865</v>
      </c>
      <c r="K2197" s="33" t="s">
        <v>22</v>
      </c>
    </row>
    <row r="2198" spans="1:11">
      <c r="A2198" s="30" t="s">
        <v>5482</v>
      </c>
      <c r="B2198" s="30" t="s">
        <v>5483</v>
      </c>
      <c r="C2198" s="30" t="s">
        <v>847</v>
      </c>
      <c r="D2198" s="30" t="s">
        <v>17</v>
      </c>
      <c r="E2198" s="30" t="s">
        <v>330</v>
      </c>
      <c r="F2198" s="30" t="s">
        <v>331</v>
      </c>
      <c r="G2198" s="30" t="s">
        <v>50</v>
      </c>
      <c r="H2198" s="32">
        <v>10</v>
      </c>
      <c r="I2198" s="30" t="s">
        <v>51</v>
      </c>
      <c r="J2198" s="41">
        <v>44101</v>
      </c>
      <c r="K2198" s="30" t="s">
        <v>22</v>
      </c>
    </row>
    <row r="2199" spans="1:11">
      <c r="A2199" s="33" t="s">
        <v>5484</v>
      </c>
      <c r="B2199" s="33" t="s">
        <v>5485</v>
      </c>
      <c r="C2199" s="33" t="s">
        <v>4260</v>
      </c>
      <c r="D2199" s="33" t="s">
        <v>17</v>
      </c>
      <c r="E2199" s="33" t="s">
        <v>26</v>
      </c>
      <c r="F2199" s="33" t="s">
        <v>27</v>
      </c>
      <c r="G2199" s="33" t="s">
        <v>20</v>
      </c>
      <c r="H2199" s="35">
        <v>42</v>
      </c>
      <c r="I2199" s="33" t="s">
        <v>21</v>
      </c>
      <c r="J2199" s="42">
        <v>44046</v>
      </c>
      <c r="K2199" s="33" t="s">
        <v>22</v>
      </c>
    </row>
    <row r="2200" spans="1:11">
      <c r="A2200" s="30" t="s">
        <v>5486</v>
      </c>
      <c r="B2200" s="30" t="s">
        <v>5487</v>
      </c>
      <c r="C2200" s="30" t="s">
        <v>5488</v>
      </c>
      <c r="D2200" s="30" t="s">
        <v>17</v>
      </c>
      <c r="E2200" s="30" t="s">
        <v>26</v>
      </c>
      <c r="F2200" s="30" t="s">
        <v>27</v>
      </c>
      <c r="G2200" s="30" t="s">
        <v>20</v>
      </c>
      <c r="H2200" s="32">
        <v>14</v>
      </c>
      <c r="I2200" s="30" t="s">
        <v>21</v>
      </c>
      <c r="J2200" s="41">
        <v>44067</v>
      </c>
      <c r="K2200" s="30" t="s">
        <v>22</v>
      </c>
    </row>
    <row r="2201" spans="1:11">
      <c r="A2201" s="33" t="s">
        <v>5489</v>
      </c>
      <c r="B2201" s="33" t="s">
        <v>5490</v>
      </c>
      <c r="C2201" s="33" t="s">
        <v>102</v>
      </c>
      <c r="D2201" s="33" t="s">
        <v>17</v>
      </c>
      <c r="E2201" s="33" t="s">
        <v>212</v>
      </c>
      <c r="F2201" s="33" t="s">
        <v>213</v>
      </c>
      <c r="G2201" s="33" t="s">
        <v>20</v>
      </c>
      <c r="H2201" s="35">
        <v>477</v>
      </c>
      <c r="I2201" s="33" t="s">
        <v>21</v>
      </c>
      <c r="J2201" s="42">
        <v>44139</v>
      </c>
      <c r="K2201" s="33" t="s">
        <v>22</v>
      </c>
    </row>
    <row r="2202" spans="1:11">
      <c r="A2202" s="30" t="s">
        <v>5491</v>
      </c>
      <c r="B2202" s="30" t="s">
        <v>5492</v>
      </c>
      <c r="C2202" s="30" t="s">
        <v>5493</v>
      </c>
      <c r="D2202" s="30" t="s">
        <v>17</v>
      </c>
      <c r="E2202" s="30" t="s">
        <v>18</v>
      </c>
      <c r="F2202" s="30" t="s">
        <v>19</v>
      </c>
      <c r="G2202" s="30" t="s">
        <v>20</v>
      </c>
      <c r="H2202" s="32">
        <v>254</v>
      </c>
      <c r="I2202" s="30" t="s">
        <v>21</v>
      </c>
      <c r="J2202" s="41">
        <v>44020</v>
      </c>
      <c r="K2202" s="30" t="s">
        <v>22</v>
      </c>
    </row>
    <row r="2203" spans="1:11">
      <c r="A2203" s="33" t="s">
        <v>5494</v>
      </c>
      <c r="B2203" s="33" t="s">
        <v>5495</v>
      </c>
      <c r="C2203" s="33" t="s">
        <v>44</v>
      </c>
      <c r="D2203" s="33" t="s">
        <v>17</v>
      </c>
      <c r="E2203" s="33" t="s">
        <v>18</v>
      </c>
      <c r="F2203" s="33" t="s">
        <v>19</v>
      </c>
      <c r="G2203" s="33" t="s">
        <v>20</v>
      </c>
      <c r="H2203" s="35">
        <v>102</v>
      </c>
      <c r="I2203" s="33" t="s">
        <v>21</v>
      </c>
      <c r="J2203" s="42">
        <v>44075</v>
      </c>
      <c r="K2203" s="33" t="s">
        <v>22</v>
      </c>
    </row>
    <row r="2204" spans="1:11">
      <c r="A2204" s="30" t="s">
        <v>5496</v>
      </c>
      <c r="B2204" s="30" t="s">
        <v>5497</v>
      </c>
      <c r="C2204" s="30" t="s">
        <v>382</v>
      </c>
      <c r="D2204" s="30" t="s">
        <v>17</v>
      </c>
      <c r="E2204" s="30" t="s">
        <v>26</v>
      </c>
      <c r="F2204" s="30" t="s">
        <v>27</v>
      </c>
      <c r="G2204" s="30" t="s">
        <v>20</v>
      </c>
      <c r="H2204" s="32">
        <v>100</v>
      </c>
      <c r="I2204" s="30" t="s">
        <v>21</v>
      </c>
      <c r="J2204" s="41">
        <v>44145</v>
      </c>
      <c r="K2204" s="30" t="s">
        <v>22</v>
      </c>
    </row>
    <row r="2205" spans="1:11">
      <c r="A2205" s="33" t="s">
        <v>5498</v>
      </c>
      <c r="B2205" s="33" t="s">
        <v>5499</v>
      </c>
      <c r="C2205" s="33" t="s">
        <v>5500</v>
      </c>
      <c r="D2205" s="33" t="s">
        <v>17</v>
      </c>
      <c r="E2205" s="33" t="s">
        <v>26</v>
      </c>
      <c r="F2205" s="33" t="s">
        <v>27</v>
      </c>
      <c r="G2205" s="33" t="s">
        <v>106</v>
      </c>
      <c r="H2205" s="35">
        <v>71</v>
      </c>
      <c r="I2205" s="33" t="s">
        <v>21</v>
      </c>
      <c r="J2205" s="42">
        <v>44005</v>
      </c>
      <c r="K2205" s="33" t="s">
        <v>22</v>
      </c>
    </row>
    <row r="2206" spans="1:11">
      <c r="A2206" s="30" t="s">
        <v>5501</v>
      </c>
      <c r="B2206" s="30" t="s">
        <v>5502</v>
      </c>
      <c r="C2206" s="30" t="s">
        <v>5503</v>
      </c>
      <c r="D2206" s="30" t="s">
        <v>17</v>
      </c>
      <c r="E2206" s="30" t="s">
        <v>26</v>
      </c>
      <c r="F2206" s="30" t="s">
        <v>27</v>
      </c>
      <c r="G2206" s="30" t="s">
        <v>20</v>
      </c>
      <c r="H2206" s="32">
        <v>22</v>
      </c>
      <c r="I2206" s="30" t="s">
        <v>21</v>
      </c>
      <c r="J2206" s="41">
        <v>43942</v>
      </c>
      <c r="K2206" s="30" t="s">
        <v>22</v>
      </c>
    </row>
    <row r="2207" spans="1:11">
      <c r="A2207" s="33" t="s">
        <v>5504</v>
      </c>
      <c r="B2207" s="33" t="s">
        <v>5505</v>
      </c>
      <c r="C2207" s="33" t="s">
        <v>5506</v>
      </c>
      <c r="D2207" s="33" t="s">
        <v>17</v>
      </c>
      <c r="E2207" s="33" t="s">
        <v>67</v>
      </c>
      <c r="F2207" s="33" t="s">
        <v>68</v>
      </c>
      <c r="G2207" s="33" t="s">
        <v>20</v>
      </c>
      <c r="H2207" s="35">
        <v>48</v>
      </c>
      <c r="I2207" s="33" t="s">
        <v>21</v>
      </c>
      <c r="J2207" s="42">
        <v>44140</v>
      </c>
      <c r="K2207" s="33" t="s">
        <v>22</v>
      </c>
    </row>
    <row r="2208" spans="1:11">
      <c r="A2208" s="30" t="s">
        <v>5507</v>
      </c>
      <c r="B2208" s="30" t="s">
        <v>5508</v>
      </c>
      <c r="C2208" s="30" t="s">
        <v>1816</v>
      </c>
      <c r="D2208" s="30" t="s">
        <v>17</v>
      </c>
      <c r="E2208" s="30" t="s">
        <v>67</v>
      </c>
      <c r="F2208" s="30" t="s">
        <v>68</v>
      </c>
      <c r="G2208" s="30" t="s">
        <v>140</v>
      </c>
      <c r="H2208" s="32">
        <v>254</v>
      </c>
      <c r="I2208" s="30" t="s">
        <v>51</v>
      </c>
      <c r="J2208" s="41">
        <v>44082</v>
      </c>
      <c r="K2208" s="30" t="s">
        <v>22</v>
      </c>
    </row>
    <row r="2209" spans="1:11">
      <c r="A2209" s="33" t="s">
        <v>5509</v>
      </c>
      <c r="B2209" s="33" t="s">
        <v>5510</v>
      </c>
      <c r="C2209" s="33" t="s">
        <v>109</v>
      </c>
      <c r="D2209" s="33" t="s">
        <v>17</v>
      </c>
      <c r="E2209" s="33" t="s">
        <v>31</v>
      </c>
      <c r="F2209" s="33" t="s">
        <v>32</v>
      </c>
      <c r="G2209" s="33" t="s">
        <v>106</v>
      </c>
      <c r="H2209" s="35">
        <v>41</v>
      </c>
      <c r="I2209" s="33" t="s">
        <v>21</v>
      </c>
      <c r="J2209" s="42">
        <v>43986</v>
      </c>
      <c r="K2209" s="33" t="s">
        <v>22</v>
      </c>
    </row>
    <row r="2210" spans="1:11">
      <c r="A2210" s="30" t="s">
        <v>5511</v>
      </c>
      <c r="B2210" s="30" t="s">
        <v>5512</v>
      </c>
      <c r="C2210" s="30" t="s">
        <v>5513</v>
      </c>
      <c r="D2210" s="30" t="s">
        <v>17</v>
      </c>
      <c r="E2210" s="30" t="s">
        <v>31</v>
      </c>
      <c r="F2210" s="30" t="s">
        <v>32</v>
      </c>
      <c r="G2210" s="30" t="s">
        <v>158</v>
      </c>
      <c r="H2210" s="32">
        <v>60</v>
      </c>
      <c r="I2210" s="30" t="s">
        <v>51</v>
      </c>
      <c r="J2210" s="41">
        <v>44124</v>
      </c>
      <c r="K2210" s="30" t="s">
        <v>22</v>
      </c>
    </row>
    <row r="2211" spans="1:11">
      <c r="A2211" s="33" t="s">
        <v>5514</v>
      </c>
      <c r="B2211" s="33" t="s">
        <v>5515</v>
      </c>
      <c r="C2211" s="33" t="s">
        <v>5516</v>
      </c>
      <c r="D2211" s="33" t="s">
        <v>17</v>
      </c>
      <c r="E2211" s="33" t="s">
        <v>330</v>
      </c>
      <c r="F2211" s="33" t="s">
        <v>331</v>
      </c>
      <c r="G2211" s="33" t="s">
        <v>50</v>
      </c>
      <c r="H2211" s="35">
        <v>200</v>
      </c>
      <c r="I2211" s="33" t="s">
        <v>51</v>
      </c>
      <c r="J2211" s="42">
        <v>44075</v>
      </c>
      <c r="K2211" s="33" t="s">
        <v>22</v>
      </c>
    </row>
    <row r="2212" spans="1:11">
      <c r="A2212" s="30" t="s">
        <v>5517</v>
      </c>
      <c r="B2212" s="30" t="s">
        <v>5518</v>
      </c>
      <c r="C2212" s="30" t="s">
        <v>334</v>
      </c>
      <c r="D2212" s="30" t="s">
        <v>17</v>
      </c>
      <c r="E2212" s="30" t="s">
        <v>45</v>
      </c>
      <c r="F2212" s="30" t="s">
        <v>46</v>
      </c>
      <c r="G2212" s="30" t="s">
        <v>106</v>
      </c>
      <c r="H2212" s="32">
        <v>46</v>
      </c>
      <c r="I2212" s="30" t="s">
        <v>21</v>
      </c>
      <c r="J2212" s="41">
        <v>44035</v>
      </c>
      <c r="K2212" s="30" t="s">
        <v>22</v>
      </c>
    </row>
    <row r="2213" spans="1:11">
      <c r="A2213" s="33" t="s">
        <v>5519</v>
      </c>
      <c r="B2213" s="33" t="s">
        <v>5520</v>
      </c>
      <c r="C2213" s="33" t="s">
        <v>310</v>
      </c>
      <c r="D2213" s="33" t="s">
        <v>17</v>
      </c>
      <c r="E2213" s="33" t="s">
        <v>26</v>
      </c>
      <c r="F2213" s="33" t="s">
        <v>27</v>
      </c>
      <c r="G2213" s="33" t="s">
        <v>20</v>
      </c>
      <c r="H2213" s="35">
        <v>68</v>
      </c>
      <c r="I2213" s="33" t="s">
        <v>21</v>
      </c>
      <c r="J2213" s="42">
        <v>44104</v>
      </c>
      <c r="K2213" s="33" t="s">
        <v>22</v>
      </c>
    </row>
    <row r="2214" spans="1:11">
      <c r="A2214" s="30" t="s">
        <v>5521</v>
      </c>
      <c r="B2214" s="30" t="s">
        <v>5522</v>
      </c>
      <c r="C2214" s="30" t="s">
        <v>554</v>
      </c>
      <c r="D2214" s="30" t="s">
        <v>17</v>
      </c>
      <c r="E2214" s="30" t="s">
        <v>67</v>
      </c>
      <c r="F2214" s="30" t="s">
        <v>68</v>
      </c>
      <c r="G2214" s="30" t="s">
        <v>140</v>
      </c>
      <c r="H2214" s="32">
        <v>182</v>
      </c>
      <c r="I2214" s="30" t="s">
        <v>51</v>
      </c>
      <c r="J2214" s="41">
        <v>44049</v>
      </c>
      <c r="K2214" s="30" t="s">
        <v>22</v>
      </c>
    </row>
    <row r="2215" spans="1:11">
      <c r="A2215" s="33" t="s">
        <v>5523</v>
      </c>
      <c r="B2215" s="33" t="s">
        <v>5524</v>
      </c>
      <c r="C2215" s="33" t="s">
        <v>5525</v>
      </c>
      <c r="D2215" s="33" t="s">
        <v>17</v>
      </c>
      <c r="E2215" s="33" t="s">
        <v>31</v>
      </c>
      <c r="F2215" s="33" t="s">
        <v>32</v>
      </c>
      <c r="G2215" s="33" t="s">
        <v>106</v>
      </c>
      <c r="H2215" s="35">
        <v>13</v>
      </c>
      <c r="I2215" s="33" t="s">
        <v>21</v>
      </c>
      <c r="J2215" s="42">
        <v>44144</v>
      </c>
      <c r="K2215" s="33" t="s">
        <v>22</v>
      </c>
    </row>
    <row r="2216" spans="1:11">
      <c r="A2216" s="30" t="s">
        <v>5526</v>
      </c>
      <c r="B2216" s="30" t="s">
        <v>5527</v>
      </c>
      <c r="C2216" s="30" t="s">
        <v>96</v>
      </c>
      <c r="D2216" s="30" t="s">
        <v>17</v>
      </c>
      <c r="E2216" s="30" t="s">
        <v>26</v>
      </c>
      <c r="F2216" s="30" t="s">
        <v>27</v>
      </c>
      <c r="G2216" s="30" t="s">
        <v>20</v>
      </c>
      <c r="H2216" s="32">
        <v>31</v>
      </c>
      <c r="I2216" s="30" t="s">
        <v>21</v>
      </c>
      <c r="J2216" s="41">
        <v>44139</v>
      </c>
      <c r="K2216" s="30" t="s">
        <v>22</v>
      </c>
    </row>
    <row r="2217" spans="1:11">
      <c r="A2217" s="33" t="s">
        <v>5528</v>
      </c>
      <c r="B2217" s="33" t="s">
        <v>5529</v>
      </c>
      <c r="C2217" s="33" t="s">
        <v>5530</v>
      </c>
      <c r="D2217" s="33" t="s">
        <v>17</v>
      </c>
      <c r="E2217" s="33" t="s">
        <v>31</v>
      </c>
      <c r="F2217" s="33" t="s">
        <v>32</v>
      </c>
      <c r="G2217" s="33" t="s">
        <v>20</v>
      </c>
      <c r="H2217" s="35">
        <v>90</v>
      </c>
      <c r="I2217" s="33" t="s">
        <v>21</v>
      </c>
      <c r="J2217" s="42">
        <v>43851</v>
      </c>
      <c r="K2217" s="33" t="s">
        <v>22</v>
      </c>
    </row>
    <row r="2218" spans="1:11">
      <c r="A2218" s="30" t="s">
        <v>5531</v>
      </c>
      <c r="B2218" s="30" t="s">
        <v>5532</v>
      </c>
      <c r="C2218" s="30" t="s">
        <v>93</v>
      </c>
      <c r="D2218" s="30" t="s">
        <v>17</v>
      </c>
      <c r="E2218" s="30" t="s">
        <v>31</v>
      </c>
      <c r="F2218" s="30" t="s">
        <v>32</v>
      </c>
      <c r="G2218" s="30" t="s">
        <v>20</v>
      </c>
      <c r="H2218" s="32">
        <v>154</v>
      </c>
      <c r="I2218" s="30" t="s">
        <v>21</v>
      </c>
      <c r="J2218" s="41">
        <v>43857</v>
      </c>
      <c r="K2218" s="30" t="s">
        <v>22</v>
      </c>
    </row>
    <row r="2219" spans="1:11">
      <c r="A2219" s="33" t="s">
        <v>5533</v>
      </c>
      <c r="B2219" s="33" t="s">
        <v>5534</v>
      </c>
      <c r="C2219" s="33" t="s">
        <v>5535</v>
      </c>
      <c r="D2219" s="33" t="s">
        <v>17</v>
      </c>
      <c r="E2219" s="33" t="s">
        <v>67</v>
      </c>
      <c r="F2219" s="33" t="s">
        <v>68</v>
      </c>
      <c r="G2219" s="33" t="s">
        <v>106</v>
      </c>
      <c r="H2219" s="35">
        <v>18</v>
      </c>
      <c r="I2219" s="33" t="s">
        <v>21</v>
      </c>
      <c r="J2219" s="42">
        <v>43965</v>
      </c>
      <c r="K2219" s="33" t="s">
        <v>22</v>
      </c>
    </row>
    <row r="2220" spans="1:11">
      <c r="A2220" s="30" t="s">
        <v>5536</v>
      </c>
      <c r="B2220" s="30" t="s">
        <v>5537</v>
      </c>
      <c r="C2220" s="30" t="s">
        <v>387</v>
      </c>
      <c r="D2220" s="30" t="s">
        <v>17</v>
      </c>
      <c r="E2220" s="30" t="s">
        <v>18</v>
      </c>
      <c r="F2220" s="30" t="s">
        <v>19</v>
      </c>
      <c r="G2220" s="30" t="s">
        <v>20</v>
      </c>
      <c r="H2220" s="32">
        <v>231</v>
      </c>
      <c r="I2220" s="30" t="s">
        <v>21</v>
      </c>
      <c r="J2220" s="41">
        <v>44188</v>
      </c>
      <c r="K2220" s="30" t="s">
        <v>22</v>
      </c>
    </row>
    <row r="2221" spans="1:11">
      <c r="A2221" s="33" t="s">
        <v>5538</v>
      </c>
      <c r="B2221" s="33" t="s">
        <v>5539</v>
      </c>
      <c r="C2221" s="33" t="s">
        <v>2334</v>
      </c>
      <c r="D2221" s="33" t="s">
        <v>17</v>
      </c>
      <c r="E2221" s="33" t="s">
        <v>18</v>
      </c>
      <c r="F2221" s="33" t="s">
        <v>19</v>
      </c>
      <c r="G2221" s="33" t="s">
        <v>106</v>
      </c>
      <c r="H2221" s="35">
        <v>39</v>
      </c>
      <c r="I2221" s="33" t="s">
        <v>21</v>
      </c>
      <c r="J2221" s="42">
        <v>43901</v>
      </c>
      <c r="K2221" s="33" t="s">
        <v>22</v>
      </c>
    </row>
    <row r="2222" spans="1:11">
      <c r="A2222" s="30" t="s">
        <v>5540</v>
      </c>
      <c r="B2222" s="30" t="s">
        <v>5541</v>
      </c>
      <c r="C2222" s="30" t="s">
        <v>4754</v>
      </c>
      <c r="D2222" s="30" t="s">
        <v>17</v>
      </c>
      <c r="E2222" s="30" t="s">
        <v>26</v>
      </c>
      <c r="F2222" s="30" t="s">
        <v>27</v>
      </c>
      <c r="G2222" s="30" t="s">
        <v>20</v>
      </c>
      <c r="H2222" s="32">
        <v>16</v>
      </c>
      <c r="I2222" s="30" t="s">
        <v>21</v>
      </c>
      <c r="J2222" s="41">
        <v>43838</v>
      </c>
      <c r="K2222" s="30" t="s">
        <v>22</v>
      </c>
    </row>
    <row r="2223" spans="1:11">
      <c r="A2223" s="33" t="s">
        <v>5542</v>
      </c>
      <c r="B2223" s="33" t="s">
        <v>5543</v>
      </c>
      <c r="C2223" s="33" t="s">
        <v>3013</v>
      </c>
      <c r="D2223" s="33" t="s">
        <v>17</v>
      </c>
      <c r="E2223" s="33" t="s">
        <v>26</v>
      </c>
      <c r="F2223" s="33" t="s">
        <v>27</v>
      </c>
      <c r="G2223" s="33" t="s">
        <v>20</v>
      </c>
      <c r="H2223" s="35">
        <v>54</v>
      </c>
      <c r="I2223" s="33" t="s">
        <v>21</v>
      </c>
      <c r="J2223" s="42">
        <v>44132</v>
      </c>
      <c r="K2223" s="33" t="s">
        <v>22</v>
      </c>
    </row>
    <row r="2224" spans="1:11">
      <c r="A2224" s="30" t="s">
        <v>5544</v>
      </c>
      <c r="B2224" s="30" t="s">
        <v>5545</v>
      </c>
      <c r="C2224" s="30" t="s">
        <v>948</v>
      </c>
      <c r="D2224" s="30" t="s">
        <v>17</v>
      </c>
      <c r="E2224" s="30" t="s">
        <v>31</v>
      </c>
      <c r="F2224" s="30" t="s">
        <v>32</v>
      </c>
      <c r="G2224" s="30" t="s">
        <v>20</v>
      </c>
      <c r="H2224" s="32">
        <v>231</v>
      </c>
      <c r="I2224" s="30" t="s">
        <v>21</v>
      </c>
      <c r="J2224" s="41">
        <v>44078</v>
      </c>
      <c r="K2224" s="30" t="s">
        <v>22</v>
      </c>
    </row>
    <row r="2225" spans="1:11">
      <c r="A2225" s="33" t="s">
        <v>5546</v>
      </c>
      <c r="B2225" s="33" t="s">
        <v>5547</v>
      </c>
      <c r="C2225" s="33" t="s">
        <v>2313</v>
      </c>
      <c r="D2225" s="33" t="s">
        <v>17</v>
      </c>
      <c r="E2225" s="33" t="s">
        <v>26</v>
      </c>
      <c r="F2225" s="33" t="s">
        <v>27</v>
      </c>
      <c r="G2225" s="33" t="s">
        <v>20</v>
      </c>
      <c r="H2225" s="35">
        <v>6</v>
      </c>
      <c r="I2225" s="33" t="s">
        <v>21</v>
      </c>
      <c r="J2225" s="42">
        <v>44054</v>
      </c>
      <c r="K2225" s="33" t="s">
        <v>22</v>
      </c>
    </row>
    <row r="2226" spans="1:11">
      <c r="A2226" s="30" t="s">
        <v>5548</v>
      </c>
      <c r="B2226" s="30" t="s">
        <v>5549</v>
      </c>
      <c r="C2226" s="30" t="s">
        <v>1813</v>
      </c>
      <c r="D2226" s="30" t="s">
        <v>17</v>
      </c>
      <c r="E2226" s="30" t="s">
        <v>330</v>
      </c>
      <c r="F2226" s="30" t="s">
        <v>331</v>
      </c>
      <c r="G2226" s="30" t="s">
        <v>69</v>
      </c>
      <c r="H2226" s="32">
        <v>400</v>
      </c>
      <c r="I2226" s="30" t="s">
        <v>51</v>
      </c>
      <c r="J2226" s="41">
        <v>43944</v>
      </c>
      <c r="K2226" s="30" t="s">
        <v>22</v>
      </c>
    </row>
    <row r="2227" spans="1:11">
      <c r="A2227" s="33" t="s">
        <v>5550</v>
      </c>
      <c r="B2227" s="33" t="s">
        <v>5551</v>
      </c>
      <c r="C2227" s="33" t="s">
        <v>93</v>
      </c>
      <c r="D2227" s="33" t="s">
        <v>17</v>
      </c>
      <c r="E2227" s="33" t="s">
        <v>31</v>
      </c>
      <c r="F2227" s="33" t="s">
        <v>32</v>
      </c>
      <c r="G2227" s="33" t="s">
        <v>20</v>
      </c>
      <c r="H2227" s="35">
        <v>185</v>
      </c>
      <c r="I2227" s="33" t="s">
        <v>21</v>
      </c>
      <c r="J2227" s="42">
        <v>44039</v>
      </c>
      <c r="K2227" s="33" t="s">
        <v>22</v>
      </c>
    </row>
    <row r="2228" spans="1:11">
      <c r="A2228" s="30" t="s">
        <v>5552</v>
      </c>
      <c r="B2228" s="30" t="s">
        <v>5553</v>
      </c>
      <c r="C2228" s="30" t="s">
        <v>5554</v>
      </c>
      <c r="D2228" s="30" t="s">
        <v>17</v>
      </c>
      <c r="E2228" s="30" t="s">
        <v>18</v>
      </c>
      <c r="F2228" s="30" t="s">
        <v>19</v>
      </c>
      <c r="G2228" s="30" t="s">
        <v>20</v>
      </c>
      <c r="H2228" s="32">
        <v>84</v>
      </c>
      <c r="I2228" s="30" t="s">
        <v>21</v>
      </c>
      <c r="J2228" s="41">
        <v>44180</v>
      </c>
      <c r="K2228" s="30" t="s">
        <v>22</v>
      </c>
    </row>
    <row r="2229" spans="1:11">
      <c r="A2229" s="33" t="s">
        <v>5555</v>
      </c>
      <c r="B2229" s="33" t="s">
        <v>5556</v>
      </c>
      <c r="C2229" s="33" t="s">
        <v>1677</v>
      </c>
      <c r="D2229" s="33" t="s">
        <v>17</v>
      </c>
      <c r="E2229" s="33" t="s">
        <v>26</v>
      </c>
      <c r="F2229" s="33" t="s">
        <v>27</v>
      </c>
      <c r="G2229" s="33" t="s">
        <v>20</v>
      </c>
      <c r="H2229" s="35">
        <v>27</v>
      </c>
      <c r="I2229" s="33" t="s">
        <v>21</v>
      </c>
      <c r="J2229" s="42">
        <v>44040</v>
      </c>
      <c r="K2229" s="33" t="s">
        <v>22</v>
      </c>
    </row>
    <row r="2230" spans="1:11">
      <c r="A2230" s="30" t="s">
        <v>5557</v>
      </c>
      <c r="B2230" s="30" t="s">
        <v>5558</v>
      </c>
      <c r="C2230" s="30" t="s">
        <v>57</v>
      </c>
      <c r="D2230" s="30" t="s">
        <v>17</v>
      </c>
      <c r="E2230" s="30" t="s">
        <v>26</v>
      </c>
      <c r="F2230" s="30" t="s">
        <v>27</v>
      </c>
      <c r="G2230" s="30" t="s">
        <v>20</v>
      </c>
      <c r="H2230" s="32">
        <v>36</v>
      </c>
      <c r="I2230" s="30" t="s">
        <v>21</v>
      </c>
      <c r="J2230" s="41">
        <v>44080</v>
      </c>
      <c r="K2230" s="30" t="s">
        <v>22</v>
      </c>
    </row>
    <row r="2231" spans="1:11">
      <c r="A2231" s="33" t="s">
        <v>5559</v>
      </c>
      <c r="B2231" s="33" t="s">
        <v>5560</v>
      </c>
      <c r="C2231" s="33" t="s">
        <v>432</v>
      </c>
      <c r="D2231" s="33" t="s">
        <v>17</v>
      </c>
      <c r="E2231" s="33" t="s">
        <v>26</v>
      </c>
      <c r="F2231" s="33" t="s">
        <v>27</v>
      </c>
      <c r="G2231" s="33" t="s">
        <v>20</v>
      </c>
      <c r="H2231" s="35">
        <v>14</v>
      </c>
      <c r="I2231" s="33" t="s">
        <v>21</v>
      </c>
      <c r="J2231" s="42">
        <v>44067</v>
      </c>
      <c r="K2231" s="33" t="s">
        <v>22</v>
      </c>
    </row>
    <row r="2232" spans="1:11">
      <c r="A2232" s="30" t="s">
        <v>5561</v>
      </c>
      <c r="B2232" s="30" t="s">
        <v>5562</v>
      </c>
      <c r="C2232" s="30" t="s">
        <v>715</v>
      </c>
      <c r="D2232" s="30" t="s">
        <v>17</v>
      </c>
      <c r="E2232" s="30" t="s">
        <v>26</v>
      </c>
      <c r="F2232" s="30" t="s">
        <v>27</v>
      </c>
      <c r="G2232" s="30" t="s">
        <v>20</v>
      </c>
      <c r="H2232" s="32">
        <v>26</v>
      </c>
      <c r="I2232" s="30" t="s">
        <v>21</v>
      </c>
      <c r="J2232" s="41">
        <v>44076</v>
      </c>
      <c r="K2232" s="30" t="s">
        <v>22</v>
      </c>
    </row>
    <row r="2233" spans="1:11">
      <c r="A2233" s="33" t="s">
        <v>5563</v>
      </c>
      <c r="B2233" s="33" t="s">
        <v>5564</v>
      </c>
      <c r="C2233" s="33" t="s">
        <v>2618</v>
      </c>
      <c r="D2233" s="33" t="s">
        <v>17</v>
      </c>
      <c r="E2233" s="33" t="s">
        <v>67</v>
      </c>
      <c r="F2233" s="33" t="s">
        <v>68</v>
      </c>
      <c r="G2233" s="33" t="s">
        <v>112</v>
      </c>
      <c r="H2233" s="35">
        <v>0</v>
      </c>
      <c r="I2233" s="33" t="s">
        <v>21</v>
      </c>
      <c r="J2233" s="42">
        <v>44166</v>
      </c>
      <c r="K2233" s="33" t="s">
        <v>22</v>
      </c>
    </row>
    <row r="2234" spans="1:11">
      <c r="A2234" s="30" t="s">
        <v>5565</v>
      </c>
      <c r="B2234" s="30" t="s">
        <v>5566</v>
      </c>
      <c r="C2234" s="30" t="s">
        <v>231</v>
      </c>
      <c r="D2234" s="30" t="s">
        <v>17</v>
      </c>
      <c r="E2234" s="30" t="s">
        <v>26</v>
      </c>
      <c r="F2234" s="30" t="s">
        <v>27</v>
      </c>
      <c r="G2234" s="30" t="s">
        <v>20</v>
      </c>
      <c r="H2234" s="32">
        <v>12</v>
      </c>
      <c r="I2234" s="30" t="s">
        <v>21</v>
      </c>
      <c r="J2234" s="41">
        <v>44025</v>
      </c>
      <c r="K2234" s="30" t="s">
        <v>22</v>
      </c>
    </row>
    <row r="2235" spans="1:11">
      <c r="A2235" s="33" t="s">
        <v>5567</v>
      </c>
      <c r="B2235" s="33" t="s">
        <v>5568</v>
      </c>
      <c r="C2235" s="33" t="s">
        <v>684</v>
      </c>
      <c r="D2235" s="33" t="s">
        <v>17</v>
      </c>
      <c r="E2235" s="33" t="s">
        <v>18</v>
      </c>
      <c r="F2235" s="33" t="s">
        <v>19</v>
      </c>
      <c r="G2235" s="33" t="s">
        <v>106</v>
      </c>
      <c r="H2235" s="35">
        <v>188</v>
      </c>
      <c r="I2235" s="33" t="s">
        <v>21</v>
      </c>
      <c r="J2235" s="42">
        <v>43846</v>
      </c>
      <c r="K2235" s="33" t="s">
        <v>22</v>
      </c>
    </row>
    <row r="2236" spans="1:11">
      <c r="A2236" s="30" t="s">
        <v>5569</v>
      </c>
      <c r="B2236" s="30" t="s">
        <v>5570</v>
      </c>
      <c r="C2236" s="30" t="s">
        <v>437</v>
      </c>
      <c r="D2236" s="30" t="s">
        <v>17</v>
      </c>
      <c r="E2236" s="30" t="s">
        <v>18</v>
      </c>
      <c r="F2236" s="30" t="s">
        <v>19</v>
      </c>
      <c r="G2236" s="30" t="s">
        <v>20</v>
      </c>
      <c r="H2236" s="32">
        <v>449</v>
      </c>
      <c r="I2236" s="30" t="s">
        <v>21</v>
      </c>
      <c r="J2236" s="41">
        <v>44005</v>
      </c>
      <c r="K2236" s="30" t="s">
        <v>22</v>
      </c>
    </row>
    <row r="2237" spans="1:11">
      <c r="A2237" s="33" t="s">
        <v>5571</v>
      </c>
      <c r="B2237" s="33" t="s">
        <v>5572</v>
      </c>
      <c r="C2237" s="33" t="s">
        <v>149</v>
      </c>
      <c r="D2237" s="33" t="s">
        <v>17</v>
      </c>
      <c r="E2237" s="33" t="s">
        <v>18</v>
      </c>
      <c r="F2237" s="33" t="s">
        <v>19</v>
      </c>
      <c r="G2237" s="33" t="s">
        <v>20</v>
      </c>
      <c r="H2237" s="35">
        <v>330</v>
      </c>
      <c r="I2237" s="33" t="s">
        <v>21</v>
      </c>
      <c r="J2237" s="42">
        <v>43997</v>
      </c>
      <c r="K2237" s="33" t="s">
        <v>22</v>
      </c>
    </row>
    <row r="2238" spans="1:11">
      <c r="A2238" s="30" t="s">
        <v>5573</v>
      </c>
      <c r="B2238" s="30" t="s">
        <v>5574</v>
      </c>
      <c r="C2238" s="30" t="s">
        <v>715</v>
      </c>
      <c r="D2238" s="30" t="s">
        <v>17</v>
      </c>
      <c r="E2238" s="30" t="s">
        <v>18</v>
      </c>
      <c r="F2238" s="30" t="s">
        <v>19</v>
      </c>
      <c r="G2238" s="30" t="s">
        <v>158</v>
      </c>
      <c r="H2238" s="32">
        <v>886</v>
      </c>
      <c r="I2238" s="30" t="s">
        <v>21</v>
      </c>
      <c r="J2238" s="41">
        <v>43920</v>
      </c>
      <c r="K2238" s="30" t="s">
        <v>22</v>
      </c>
    </row>
    <row r="2239" spans="1:11">
      <c r="A2239" s="33" t="s">
        <v>5575</v>
      </c>
      <c r="B2239" s="33" t="s">
        <v>5576</v>
      </c>
      <c r="C2239" s="33" t="s">
        <v>429</v>
      </c>
      <c r="D2239" s="33" t="s">
        <v>17</v>
      </c>
      <c r="E2239" s="33" t="s">
        <v>18</v>
      </c>
      <c r="F2239" s="33" t="s">
        <v>19</v>
      </c>
      <c r="G2239" s="33" t="s">
        <v>106</v>
      </c>
      <c r="H2239" s="35">
        <v>1124</v>
      </c>
      <c r="I2239" s="33" t="s">
        <v>21</v>
      </c>
      <c r="J2239" s="42">
        <v>43994</v>
      </c>
      <c r="K2239" s="33" t="s">
        <v>22</v>
      </c>
    </row>
    <row r="2240" spans="1:11">
      <c r="A2240" s="30" t="s">
        <v>5577</v>
      </c>
      <c r="B2240" s="30" t="s">
        <v>1175</v>
      </c>
      <c r="C2240" s="30" t="s">
        <v>190</v>
      </c>
      <c r="D2240" s="30" t="s">
        <v>17</v>
      </c>
      <c r="E2240" s="30" t="s">
        <v>31</v>
      </c>
      <c r="F2240" s="30" t="s">
        <v>32</v>
      </c>
      <c r="G2240" s="30" t="s">
        <v>20</v>
      </c>
      <c r="H2240" s="32">
        <v>177</v>
      </c>
      <c r="I2240" s="30" t="s">
        <v>21</v>
      </c>
      <c r="J2240" s="41">
        <v>43994</v>
      </c>
      <c r="K2240" s="30" t="s">
        <v>22</v>
      </c>
    </row>
    <row r="2241" spans="1:11">
      <c r="A2241" s="33" t="s">
        <v>5578</v>
      </c>
      <c r="B2241" s="33" t="s">
        <v>5579</v>
      </c>
      <c r="C2241" s="33" t="s">
        <v>318</v>
      </c>
      <c r="D2241" s="33" t="s">
        <v>17</v>
      </c>
      <c r="E2241" s="33" t="s">
        <v>18</v>
      </c>
      <c r="F2241" s="33" t="s">
        <v>19</v>
      </c>
      <c r="G2241" s="33" t="s">
        <v>20</v>
      </c>
      <c r="H2241" s="35">
        <v>576</v>
      </c>
      <c r="I2241" s="33" t="s">
        <v>21</v>
      </c>
      <c r="J2241" s="42">
        <v>44004</v>
      </c>
      <c r="K2241" s="33" t="s">
        <v>22</v>
      </c>
    </row>
    <row r="2242" spans="1:11">
      <c r="A2242" s="30" t="s">
        <v>5580</v>
      </c>
      <c r="B2242" s="30" t="s">
        <v>5581</v>
      </c>
      <c r="C2242" s="30" t="s">
        <v>5372</v>
      </c>
      <c r="D2242" s="30" t="s">
        <v>17</v>
      </c>
      <c r="E2242" s="30" t="s">
        <v>26</v>
      </c>
      <c r="F2242" s="30" t="s">
        <v>27</v>
      </c>
      <c r="G2242" s="30" t="s">
        <v>20</v>
      </c>
      <c r="H2242" s="32">
        <v>113</v>
      </c>
      <c r="I2242" s="30" t="s">
        <v>21</v>
      </c>
      <c r="J2242" s="41">
        <v>43977</v>
      </c>
      <c r="K2242" s="30" t="s">
        <v>22</v>
      </c>
    </row>
    <row r="2243" spans="1:11">
      <c r="A2243" s="33" t="s">
        <v>5582</v>
      </c>
      <c r="B2243" s="33" t="s">
        <v>5583</v>
      </c>
      <c r="C2243" s="33" t="s">
        <v>715</v>
      </c>
      <c r="D2243" s="33" t="s">
        <v>17</v>
      </c>
      <c r="E2243" s="33" t="s">
        <v>67</v>
      </c>
      <c r="F2243" s="33" t="s">
        <v>68</v>
      </c>
      <c r="G2243" s="33" t="s">
        <v>106</v>
      </c>
      <c r="H2243" s="35">
        <v>36</v>
      </c>
      <c r="I2243" s="33" t="s">
        <v>21</v>
      </c>
      <c r="J2243" s="42">
        <v>44084</v>
      </c>
      <c r="K2243" s="33" t="s">
        <v>22</v>
      </c>
    </row>
    <row r="2244" spans="1:11">
      <c r="A2244" s="30" t="s">
        <v>5584</v>
      </c>
      <c r="B2244" s="30" t="s">
        <v>5585</v>
      </c>
      <c r="C2244" s="30" t="s">
        <v>96</v>
      </c>
      <c r="D2244" s="30" t="s">
        <v>17</v>
      </c>
      <c r="E2244" s="30" t="s">
        <v>18</v>
      </c>
      <c r="F2244" s="30" t="s">
        <v>19</v>
      </c>
      <c r="G2244" s="30" t="s">
        <v>106</v>
      </c>
      <c r="H2244" s="32">
        <v>8</v>
      </c>
      <c r="I2244" s="30" t="s">
        <v>21</v>
      </c>
      <c r="J2244" s="41">
        <v>43993</v>
      </c>
      <c r="K2244" s="30" t="s">
        <v>22</v>
      </c>
    </row>
    <row r="2245" spans="1:11">
      <c r="A2245" s="33" t="s">
        <v>5586</v>
      </c>
      <c r="B2245" s="33" t="s">
        <v>5587</v>
      </c>
      <c r="C2245" s="33" t="s">
        <v>5588</v>
      </c>
      <c r="D2245" s="33" t="s">
        <v>17</v>
      </c>
      <c r="E2245" s="33" t="s">
        <v>31</v>
      </c>
      <c r="F2245" s="33" t="s">
        <v>32</v>
      </c>
      <c r="G2245" s="33" t="s">
        <v>50</v>
      </c>
      <c r="H2245" s="35">
        <v>81</v>
      </c>
      <c r="I2245" s="33" t="s">
        <v>51</v>
      </c>
      <c r="J2245" s="42">
        <v>44089</v>
      </c>
      <c r="K2245" s="33" t="s">
        <v>22</v>
      </c>
    </row>
    <row r="2246" spans="1:11">
      <c r="A2246" s="30" t="s">
        <v>5589</v>
      </c>
      <c r="B2246" s="30" t="s">
        <v>5590</v>
      </c>
      <c r="C2246" s="30" t="s">
        <v>5591</v>
      </c>
      <c r="D2246" s="30" t="s">
        <v>17</v>
      </c>
      <c r="E2246" s="30" t="s">
        <v>31</v>
      </c>
      <c r="F2246" s="30" t="s">
        <v>32</v>
      </c>
      <c r="G2246" s="30" t="s">
        <v>50</v>
      </c>
      <c r="H2246" s="32">
        <v>156</v>
      </c>
      <c r="I2246" s="30" t="s">
        <v>51</v>
      </c>
      <c r="J2246" s="41">
        <v>44144</v>
      </c>
      <c r="K2246" s="30" t="s">
        <v>22</v>
      </c>
    </row>
    <row r="2247" spans="1:11">
      <c r="A2247" s="33" t="s">
        <v>5592</v>
      </c>
      <c r="B2247" s="33" t="s">
        <v>5593</v>
      </c>
      <c r="C2247" s="33" t="s">
        <v>149</v>
      </c>
      <c r="D2247" s="33" t="s">
        <v>17</v>
      </c>
      <c r="E2247" s="33" t="s">
        <v>31</v>
      </c>
      <c r="F2247" s="33" t="s">
        <v>32</v>
      </c>
      <c r="G2247" s="33" t="s">
        <v>50</v>
      </c>
      <c r="H2247" s="35">
        <v>150</v>
      </c>
      <c r="I2247" s="33" t="s">
        <v>51</v>
      </c>
      <c r="J2247" s="42">
        <v>44167</v>
      </c>
      <c r="K2247" s="33" t="s">
        <v>22</v>
      </c>
    </row>
    <row r="2248" spans="1:11">
      <c r="A2248" s="30" t="s">
        <v>5594</v>
      </c>
      <c r="B2248" s="30" t="s">
        <v>5595</v>
      </c>
      <c r="C2248" s="30" t="s">
        <v>1287</v>
      </c>
      <c r="D2248" s="30" t="s">
        <v>17</v>
      </c>
      <c r="E2248" s="30" t="s">
        <v>31</v>
      </c>
      <c r="F2248" s="30" t="s">
        <v>32</v>
      </c>
      <c r="G2248" s="30" t="s">
        <v>20</v>
      </c>
      <c r="H2248" s="32">
        <v>169</v>
      </c>
      <c r="I2248" s="30" t="s">
        <v>21</v>
      </c>
      <c r="J2248" s="41">
        <v>44048</v>
      </c>
      <c r="K2248" s="30" t="s">
        <v>22</v>
      </c>
    </row>
    <row r="2249" spans="1:11">
      <c r="A2249" s="33" t="s">
        <v>5596</v>
      </c>
      <c r="B2249" s="33" t="s">
        <v>5597</v>
      </c>
      <c r="C2249" s="33" t="s">
        <v>695</v>
      </c>
      <c r="D2249" s="33" t="s">
        <v>17</v>
      </c>
      <c r="E2249" s="33" t="s">
        <v>31</v>
      </c>
      <c r="F2249" s="33" t="s">
        <v>32</v>
      </c>
      <c r="G2249" s="33" t="s">
        <v>20</v>
      </c>
      <c r="H2249" s="35">
        <v>212</v>
      </c>
      <c r="I2249" s="33" t="s">
        <v>21</v>
      </c>
      <c r="J2249" s="42">
        <v>43945</v>
      </c>
      <c r="K2249" s="33" t="s">
        <v>22</v>
      </c>
    </row>
    <row r="2250" spans="1:11">
      <c r="A2250" s="30" t="s">
        <v>5598</v>
      </c>
      <c r="B2250" s="30" t="s">
        <v>5599</v>
      </c>
      <c r="C2250" s="30" t="s">
        <v>5600</v>
      </c>
      <c r="D2250" s="30" t="s">
        <v>17</v>
      </c>
      <c r="E2250" s="30" t="s">
        <v>26</v>
      </c>
      <c r="F2250" s="30" t="s">
        <v>27</v>
      </c>
      <c r="G2250" s="30" t="s">
        <v>20</v>
      </c>
      <c r="H2250" s="32">
        <v>77</v>
      </c>
      <c r="I2250" s="30" t="s">
        <v>21</v>
      </c>
      <c r="J2250" s="41">
        <v>44139</v>
      </c>
      <c r="K2250" s="30" t="s">
        <v>22</v>
      </c>
    </row>
    <row r="2251" spans="1:11">
      <c r="A2251" s="33" t="s">
        <v>5601</v>
      </c>
      <c r="B2251" s="33" t="s">
        <v>5602</v>
      </c>
      <c r="C2251" s="33" t="s">
        <v>136</v>
      </c>
      <c r="D2251" s="33" t="s">
        <v>17</v>
      </c>
      <c r="E2251" s="33" t="s">
        <v>18</v>
      </c>
      <c r="F2251" s="33" t="s">
        <v>19</v>
      </c>
      <c r="G2251" s="33" t="s">
        <v>20</v>
      </c>
      <c r="H2251" s="35">
        <v>1525</v>
      </c>
      <c r="I2251" s="33" t="s">
        <v>21</v>
      </c>
      <c r="J2251" s="42">
        <v>43994</v>
      </c>
      <c r="K2251" s="33" t="s">
        <v>22</v>
      </c>
    </row>
    <row r="2252" spans="1:11">
      <c r="A2252" s="30" t="s">
        <v>5603</v>
      </c>
      <c r="B2252" s="30" t="s">
        <v>5604</v>
      </c>
      <c r="C2252" s="30" t="s">
        <v>5605</v>
      </c>
      <c r="D2252" s="30" t="s">
        <v>17</v>
      </c>
      <c r="E2252" s="30" t="s">
        <v>31</v>
      </c>
      <c r="F2252" s="30" t="s">
        <v>32</v>
      </c>
      <c r="G2252" s="30" t="s">
        <v>20</v>
      </c>
      <c r="H2252" s="32">
        <v>136</v>
      </c>
      <c r="I2252" s="30" t="s">
        <v>21</v>
      </c>
      <c r="J2252" s="41">
        <v>44063</v>
      </c>
      <c r="K2252" s="30" t="s">
        <v>22</v>
      </c>
    </row>
    <row r="2253" spans="1:11">
      <c r="A2253" s="33" t="s">
        <v>5606</v>
      </c>
      <c r="B2253" s="33" t="s">
        <v>5607</v>
      </c>
      <c r="C2253" s="33" t="s">
        <v>3013</v>
      </c>
      <c r="D2253" s="33" t="s">
        <v>17</v>
      </c>
      <c r="E2253" s="33" t="s">
        <v>18</v>
      </c>
      <c r="F2253" s="33" t="s">
        <v>19</v>
      </c>
      <c r="G2253" s="33" t="s">
        <v>20</v>
      </c>
      <c r="H2253" s="35">
        <v>687</v>
      </c>
      <c r="I2253" s="33" t="s">
        <v>21</v>
      </c>
      <c r="J2253" s="42">
        <v>44144</v>
      </c>
      <c r="K2253" s="33" t="s">
        <v>22</v>
      </c>
    </row>
    <row r="2254" spans="1:11">
      <c r="A2254" s="30" t="s">
        <v>5608</v>
      </c>
      <c r="B2254" s="30" t="s">
        <v>5609</v>
      </c>
      <c r="C2254" s="30" t="s">
        <v>5600</v>
      </c>
      <c r="D2254" s="30" t="s">
        <v>17</v>
      </c>
      <c r="E2254" s="30" t="s">
        <v>31</v>
      </c>
      <c r="F2254" s="30" t="s">
        <v>32</v>
      </c>
      <c r="G2254" s="30" t="s">
        <v>20</v>
      </c>
      <c r="H2254" s="32">
        <v>20</v>
      </c>
      <c r="I2254" s="30" t="s">
        <v>21</v>
      </c>
      <c r="J2254" s="41">
        <v>44068</v>
      </c>
      <c r="K2254" s="30" t="s">
        <v>22</v>
      </c>
    </row>
    <row r="2255" spans="1:11">
      <c r="A2255" s="33" t="s">
        <v>5610</v>
      </c>
      <c r="B2255" s="33" t="s">
        <v>5611</v>
      </c>
      <c r="C2255" s="33" t="s">
        <v>429</v>
      </c>
      <c r="D2255" s="33" t="s">
        <v>17</v>
      </c>
      <c r="E2255" s="33" t="s">
        <v>26</v>
      </c>
      <c r="F2255" s="33" t="s">
        <v>27</v>
      </c>
      <c r="G2255" s="33" t="s">
        <v>20</v>
      </c>
      <c r="H2255" s="35">
        <v>36</v>
      </c>
      <c r="I2255" s="33" t="s">
        <v>21</v>
      </c>
      <c r="J2255" s="42">
        <v>43999</v>
      </c>
      <c r="K2255" s="33" t="s">
        <v>22</v>
      </c>
    </row>
    <row r="2256" spans="1:11">
      <c r="A2256" s="30" t="s">
        <v>5612</v>
      </c>
      <c r="B2256" s="30" t="s">
        <v>5613</v>
      </c>
      <c r="C2256" s="30" t="s">
        <v>196</v>
      </c>
      <c r="D2256" s="30" t="s">
        <v>17</v>
      </c>
      <c r="E2256" s="30" t="s">
        <v>26</v>
      </c>
      <c r="F2256" s="30" t="s">
        <v>27</v>
      </c>
      <c r="G2256" s="30" t="s">
        <v>106</v>
      </c>
      <c r="H2256" s="32">
        <v>21</v>
      </c>
      <c r="I2256" s="30" t="s">
        <v>21</v>
      </c>
      <c r="J2256" s="41">
        <v>44137</v>
      </c>
      <c r="K2256" s="30" t="s">
        <v>22</v>
      </c>
    </row>
    <row r="2257" spans="1:11">
      <c r="A2257" s="33" t="s">
        <v>5614</v>
      </c>
      <c r="B2257" s="33" t="s">
        <v>5615</v>
      </c>
      <c r="C2257" s="33" t="s">
        <v>5616</v>
      </c>
      <c r="D2257" s="33" t="s">
        <v>17</v>
      </c>
      <c r="E2257" s="33" t="s">
        <v>31</v>
      </c>
      <c r="F2257" s="33" t="s">
        <v>32</v>
      </c>
      <c r="G2257" s="33" t="s">
        <v>112</v>
      </c>
      <c r="H2257" s="35">
        <v>0</v>
      </c>
      <c r="I2257" s="33" t="s">
        <v>21</v>
      </c>
      <c r="J2257" s="42">
        <v>44044</v>
      </c>
      <c r="K2257" s="33" t="s">
        <v>22</v>
      </c>
    </row>
    <row r="2258" spans="1:11">
      <c r="A2258" s="30" t="s">
        <v>5617</v>
      </c>
      <c r="B2258" s="30" t="s">
        <v>5618</v>
      </c>
      <c r="C2258" s="30" t="s">
        <v>5619</v>
      </c>
      <c r="D2258" s="30" t="s">
        <v>17</v>
      </c>
      <c r="E2258" s="30" t="s">
        <v>26</v>
      </c>
      <c r="F2258" s="30" t="s">
        <v>27</v>
      </c>
      <c r="G2258" s="30" t="s">
        <v>106</v>
      </c>
      <c r="H2258" s="32">
        <v>11</v>
      </c>
      <c r="I2258" s="30" t="s">
        <v>21</v>
      </c>
      <c r="J2258" s="41">
        <v>44173</v>
      </c>
      <c r="K2258" s="30" t="s">
        <v>22</v>
      </c>
    </row>
    <row r="2259" spans="1:11">
      <c r="A2259" s="33" t="s">
        <v>5620</v>
      </c>
      <c r="B2259" s="33" t="s">
        <v>5621</v>
      </c>
      <c r="C2259" s="33" t="s">
        <v>136</v>
      </c>
      <c r="D2259" s="33" t="s">
        <v>17</v>
      </c>
      <c r="E2259" s="33" t="s">
        <v>31</v>
      </c>
      <c r="F2259" s="33" t="s">
        <v>32</v>
      </c>
      <c r="G2259" s="33" t="s">
        <v>20</v>
      </c>
      <c r="H2259" s="35">
        <v>278</v>
      </c>
      <c r="I2259" s="33" t="s">
        <v>21</v>
      </c>
      <c r="J2259" s="42">
        <v>44013</v>
      </c>
      <c r="K2259" s="33" t="s">
        <v>22</v>
      </c>
    </row>
    <row r="2260" spans="1:11">
      <c r="A2260" s="30" t="s">
        <v>5622</v>
      </c>
      <c r="B2260" s="30" t="s">
        <v>5623</v>
      </c>
      <c r="C2260" s="30" t="s">
        <v>203</v>
      </c>
      <c r="D2260" s="30" t="s">
        <v>17</v>
      </c>
      <c r="E2260" s="30" t="s">
        <v>18</v>
      </c>
      <c r="F2260" s="30" t="s">
        <v>19</v>
      </c>
      <c r="G2260" s="30" t="s">
        <v>20</v>
      </c>
      <c r="H2260" s="32">
        <v>767</v>
      </c>
      <c r="I2260" s="30" t="s">
        <v>21</v>
      </c>
      <c r="J2260" s="41">
        <v>44056</v>
      </c>
      <c r="K2260" s="30" t="s">
        <v>22</v>
      </c>
    </row>
    <row r="2261" spans="1:11">
      <c r="A2261" s="33" t="s">
        <v>5624</v>
      </c>
      <c r="B2261" s="33" t="s">
        <v>5625</v>
      </c>
      <c r="C2261" s="33" t="s">
        <v>5626</v>
      </c>
      <c r="D2261" s="33" t="s">
        <v>17</v>
      </c>
      <c r="E2261" s="33" t="s">
        <v>31</v>
      </c>
      <c r="F2261" s="33" t="s">
        <v>32</v>
      </c>
      <c r="G2261" s="33" t="s">
        <v>20</v>
      </c>
      <c r="H2261" s="35">
        <v>70</v>
      </c>
      <c r="I2261" s="33" t="s">
        <v>21</v>
      </c>
      <c r="J2261" s="42">
        <v>44181</v>
      </c>
      <c r="K2261" s="33" t="s">
        <v>22</v>
      </c>
    </row>
    <row r="2262" spans="1:11">
      <c r="A2262" s="30" t="s">
        <v>5627</v>
      </c>
      <c r="B2262" s="30" t="s">
        <v>5628</v>
      </c>
      <c r="C2262" s="30" t="s">
        <v>109</v>
      </c>
      <c r="D2262" s="30" t="s">
        <v>17</v>
      </c>
      <c r="E2262" s="30" t="s">
        <v>26</v>
      </c>
      <c r="F2262" s="30" t="s">
        <v>27</v>
      </c>
      <c r="G2262" s="30" t="s">
        <v>20</v>
      </c>
      <c r="H2262" s="32">
        <v>40</v>
      </c>
      <c r="I2262" s="30" t="s">
        <v>21</v>
      </c>
      <c r="J2262" s="41">
        <v>44134</v>
      </c>
      <c r="K2262" s="30" t="s">
        <v>22</v>
      </c>
    </row>
    <row r="2263" spans="1:11">
      <c r="A2263" s="33" t="s">
        <v>5629</v>
      </c>
      <c r="B2263" s="33" t="s">
        <v>5630</v>
      </c>
      <c r="C2263" s="33" t="s">
        <v>78</v>
      </c>
      <c r="D2263" s="33" t="s">
        <v>17</v>
      </c>
      <c r="E2263" s="33" t="s">
        <v>26</v>
      </c>
      <c r="F2263" s="33" t="s">
        <v>27</v>
      </c>
      <c r="G2263" s="33" t="s">
        <v>20</v>
      </c>
      <c r="H2263" s="35">
        <v>88</v>
      </c>
      <c r="I2263" s="33" t="s">
        <v>21</v>
      </c>
      <c r="J2263" s="42">
        <v>44018</v>
      </c>
      <c r="K2263" s="33" t="s">
        <v>22</v>
      </c>
    </row>
    <row r="2264" spans="1:11">
      <c r="A2264" s="30" t="s">
        <v>5631</v>
      </c>
      <c r="B2264" s="30" t="s">
        <v>5632</v>
      </c>
      <c r="C2264" s="30" t="s">
        <v>5633</v>
      </c>
      <c r="D2264" s="30" t="s">
        <v>17</v>
      </c>
      <c r="E2264" s="30" t="s">
        <v>31</v>
      </c>
      <c r="F2264" s="30" t="s">
        <v>32</v>
      </c>
      <c r="G2264" s="30" t="s">
        <v>20</v>
      </c>
      <c r="H2264" s="32">
        <v>220</v>
      </c>
      <c r="I2264" s="30" t="s">
        <v>21</v>
      </c>
      <c r="J2264" s="41">
        <v>44097</v>
      </c>
      <c r="K2264" s="30" t="s">
        <v>22</v>
      </c>
    </row>
    <row r="2265" spans="1:11">
      <c r="A2265" s="33" t="s">
        <v>5634</v>
      </c>
      <c r="B2265" s="33" t="s">
        <v>5635</v>
      </c>
      <c r="C2265" s="33" t="s">
        <v>5636</v>
      </c>
      <c r="D2265" s="33" t="s">
        <v>17</v>
      </c>
      <c r="E2265" s="33" t="s">
        <v>26</v>
      </c>
      <c r="F2265" s="33" t="s">
        <v>27</v>
      </c>
      <c r="G2265" s="33" t="s">
        <v>20</v>
      </c>
      <c r="H2265" s="35">
        <v>12</v>
      </c>
      <c r="I2265" s="33" t="s">
        <v>21</v>
      </c>
      <c r="J2265" s="42">
        <v>43986</v>
      </c>
      <c r="K2265" s="33" t="s">
        <v>22</v>
      </c>
    </row>
    <row r="2266" spans="1:11">
      <c r="A2266" s="30" t="s">
        <v>5637</v>
      </c>
      <c r="B2266" s="30" t="s">
        <v>5638</v>
      </c>
      <c r="C2266" s="30" t="s">
        <v>387</v>
      </c>
      <c r="D2266" s="30" t="s">
        <v>17</v>
      </c>
      <c r="E2266" s="30" t="s">
        <v>212</v>
      </c>
      <c r="F2266" s="30" t="s">
        <v>213</v>
      </c>
      <c r="G2266" s="30" t="s">
        <v>20</v>
      </c>
      <c r="H2266" s="32">
        <v>605</v>
      </c>
      <c r="I2266" s="30" t="s">
        <v>21</v>
      </c>
      <c r="J2266" s="41">
        <v>44000</v>
      </c>
      <c r="K2266" s="30" t="s">
        <v>22</v>
      </c>
    </row>
    <row r="2267" spans="1:11">
      <c r="A2267" s="33" t="s">
        <v>5639</v>
      </c>
      <c r="B2267" s="33" t="s">
        <v>5640</v>
      </c>
      <c r="C2267" s="33" t="s">
        <v>310</v>
      </c>
      <c r="D2267" s="33" t="s">
        <v>17</v>
      </c>
      <c r="E2267" s="33" t="s">
        <v>18</v>
      </c>
      <c r="F2267" s="33" t="s">
        <v>19</v>
      </c>
      <c r="G2267" s="33" t="s">
        <v>20</v>
      </c>
      <c r="H2267" s="35">
        <v>375</v>
      </c>
      <c r="I2267" s="33" t="s">
        <v>21</v>
      </c>
      <c r="J2267" s="42">
        <v>44173</v>
      </c>
      <c r="K2267" s="33" t="s">
        <v>22</v>
      </c>
    </row>
    <row r="2268" spans="1:11">
      <c r="A2268" s="30" t="s">
        <v>5641</v>
      </c>
      <c r="B2268" s="30" t="s">
        <v>5642</v>
      </c>
      <c r="C2268" s="30" t="s">
        <v>5643</v>
      </c>
      <c r="D2268" s="30" t="s">
        <v>17</v>
      </c>
      <c r="E2268" s="30" t="s">
        <v>18</v>
      </c>
      <c r="F2268" s="30" t="s">
        <v>19</v>
      </c>
      <c r="G2268" s="30" t="s">
        <v>50</v>
      </c>
      <c r="H2268" s="32">
        <v>1950</v>
      </c>
      <c r="I2268" s="30" t="s">
        <v>51</v>
      </c>
      <c r="J2268" s="41">
        <v>44013</v>
      </c>
      <c r="K2268" s="30" t="s">
        <v>22</v>
      </c>
    </row>
    <row r="2269" spans="1:11">
      <c r="A2269" s="33" t="s">
        <v>5644</v>
      </c>
      <c r="B2269" s="33" t="s">
        <v>5645</v>
      </c>
      <c r="C2269" s="33" t="s">
        <v>1835</v>
      </c>
      <c r="D2269" s="33" t="s">
        <v>17</v>
      </c>
      <c r="E2269" s="33" t="s">
        <v>31</v>
      </c>
      <c r="F2269" s="33" t="s">
        <v>32</v>
      </c>
      <c r="G2269" s="33" t="s">
        <v>20</v>
      </c>
      <c r="H2269" s="35">
        <v>471</v>
      </c>
      <c r="I2269" s="33" t="s">
        <v>21</v>
      </c>
      <c r="J2269" s="42">
        <v>44112</v>
      </c>
      <c r="K2269" s="33" t="s">
        <v>22</v>
      </c>
    </row>
    <row r="2270" spans="1:11">
      <c r="A2270" s="30" t="s">
        <v>5646</v>
      </c>
      <c r="B2270" s="30" t="s">
        <v>5647</v>
      </c>
      <c r="C2270" s="30" t="s">
        <v>570</v>
      </c>
      <c r="D2270" s="30" t="s">
        <v>17</v>
      </c>
      <c r="E2270" s="30" t="s">
        <v>18</v>
      </c>
      <c r="F2270" s="30" t="s">
        <v>19</v>
      </c>
      <c r="G2270" s="30" t="s">
        <v>50</v>
      </c>
      <c r="H2270" s="32">
        <v>590</v>
      </c>
      <c r="I2270" s="30" t="s">
        <v>51</v>
      </c>
      <c r="J2270" s="41">
        <v>43850</v>
      </c>
      <c r="K2270" s="30" t="s">
        <v>22</v>
      </c>
    </row>
    <row r="2271" spans="1:11">
      <c r="A2271" s="33" t="s">
        <v>5648</v>
      </c>
      <c r="B2271" s="33" t="s">
        <v>5649</v>
      </c>
      <c r="C2271" s="33" t="s">
        <v>1504</v>
      </c>
      <c r="D2271" s="33" t="s">
        <v>17</v>
      </c>
      <c r="E2271" s="33" t="s">
        <v>45</v>
      </c>
      <c r="F2271" s="33" t="s">
        <v>46</v>
      </c>
      <c r="G2271" s="33" t="s">
        <v>20</v>
      </c>
      <c r="H2271" s="35">
        <v>586</v>
      </c>
      <c r="I2271" s="33" t="s">
        <v>21</v>
      </c>
      <c r="J2271" s="42">
        <v>44095</v>
      </c>
      <c r="K2271" s="33" t="s">
        <v>22</v>
      </c>
    </row>
    <row r="2272" spans="1:11">
      <c r="A2272" s="30" t="s">
        <v>5650</v>
      </c>
      <c r="B2272" s="30" t="s">
        <v>5651</v>
      </c>
      <c r="C2272" s="30" t="s">
        <v>5652</v>
      </c>
      <c r="D2272" s="30" t="s">
        <v>17</v>
      </c>
      <c r="E2272" s="30" t="s">
        <v>26</v>
      </c>
      <c r="F2272" s="30" t="s">
        <v>27</v>
      </c>
      <c r="G2272" s="30" t="s">
        <v>50</v>
      </c>
      <c r="H2272" s="32">
        <v>10</v>
      </c>
      <c r="I2272" s="30" t="s">
        <v>51</v>
      </c>
      <c r="J2272" s="41">
        <v>44075</v>
      </c>
      <c r="K2272" s="30" t="s">
        <v>22</v>
      </c>
    </row>
    <row r="2273" spans="1:11">
      <c r="A2273" s="33" t="s">
        <v>5653</v>
      </c>
      <c r="B2273" s="33" t="s">
        <v>5654</v>
      </c>
      <c r="C2273" s="33" t="s">
        <v>5655</v>
      </c>
      <c r="D2273" s="33" t="s">
        <v>17</v>
      </c>
      <c r="E2273" s="33" t="s">
        <v>67</v>
      </c>
      <c r="F2273" s="33" t="s">
        <v>68</v>
      </c>
      <c r="G2273" s="33" t="s">
        <v>20</v>
      </c>
      <c r="H2273" s="35">
        <v>151</v>
      </c>
      <c r="I2273" s="33" t="s">
        <v>21</v>
      </c>
      <c r="J2273" s="42">
        <v>44132</v>
      </c>
      <c r="K2273" s="33" t="s">
        <v>22</v>
      </c>
    </row>
    <row r="2274" spans="1:11">
      <c r="A2274" s="30" t="s">
        <v>5656</v>
      </c>
      <c r="B2274" s="30" t="s">
        <v>5657</v>
      </c>
      <c r="C2274" s="30" t="s">
        <v>75</v>
      </c>
      <c r="D2274" s="30" t="s">
        <v>17</v>
      </c>
      <c r="E2274" s="30" t="s">
        <v>26</v>
      </c>
      <c r="F2274" s="30" t="s">
        <v>27</v>
      </c>
      <c r="G2274" s="30" t="s">
        <v>20</v>
      </c>
      <c r="H2274" s="32">
        <v>12</v>
      </c>
      <c r="I2274" s="30" t="s">
        <v>21</v>
      </c>
      <c r="J2274" s="41">
        <v>44096</v>
      </c>
      <c r="K2274" s="30" t="s">
        <v>22</v>
      </c>
    </row>
    <row r="2275" spans="1:11">
      <c r="A2275" s="33" t="s">
        <v>5658</v>
      </c>
      <c r="B2275" s="33" t="s">
        <v>5659</v>
      </c>
      <c r="C2275" s="33" t="s">
        <v>1295</v>
      </c>
      <c r="D2275" s="33" t="s">
        <v>17</v>
      </c>
      <c r="E2275" s="33" t="s">
        <v>45</v>
      </c>
      <c r="F2275" s="33" t="s">
        <v>46</v>
      </c>
      <c r="G2275" s="33" t="s">
        <v>140</v>
      </c>
      <c r="H2275" s="35">
        <v>316</v>
      </c>
      <c r="I2275" s="33" t="s">
        <v>51</v>
      </c>
      <c r="J2275" s="42">
        <v>43972</v>
      </c>
      <c r="K2275" s="33" t="s">
        <v>22</v>
      </c>
    </row>
    <row r="2276" spans="1:11">
      <c r="A2276" s="30" t="s">
        <v>5660</v>
      </c>
      <c r="B2276" s="30" t="s">
        <v>5661</v>
      </c>
      <c r="C2276" s="30" t="s">
        <v>5662</v>
      </c>
      <c r="D2276" s="30" t="s">
        <v>17</v>
      </c>
      <c r="E2276" s="30" t="s">
        <v>31</v>
      </c>
      <c r="F2276" s="30" t="s">
        <v>32</v>
      </c>
      <c r="G2276" s="30" t="s">
        <v>50</v>
      </c>
      <c r="H2276" s="32">
        <v>50</v>
      </c>
      <c r="I2276" s="30" t="s">
        <v>51</v>
      </c>
      <c r="J2276" s="41">
        <v>43831</v>
      </c>
      <c r="K2276" s="30" t="s">
        <v>22</v>
      </c>
    </row>
    <row r="2277" spans="1:11">
      <c r="A2277" s="33" t="s">
        <v>5663</v>
      </c>
      <c r="B2277" s="33" t="s">
        <v>5664</v>
      </c>
      <c r="C2277" s="33" t="s">
        <v>5665</v>
      </c>
      <c r="D2277" s="33" t="s">
        <v>17</v>
      </c>
      <c r="E2277" s="33" t="s">
        <v>31</v>
      </c>
      <c r="F2277" s="33" t="s">
        <v>32</v>
      </c>
      <c r="G2277" s="33" t="s">
        <v>20</v>
      </c>
      <c r="H2277" s="35">
        <v>64</v>
      </c>
      <c r="I2277" s="33" t="s">
        <v>21</v>
      </c>
      <c r="J2277" s="42">
        <v>44047</v>
      </c>
      <c r="K2277" s="33" t="s">
        <v>22</v>
      </c>
    </row>
    <row r="2278" spans="1:11">
      <c r="A2278" s="30" t="s">
        <v>5666</v>
      </c>
      <c r="B2278" s="30" t="s">
        <v>5667</v>
      </c>
      <c r="C2278" s="30" t="s">
        <v>925</v>
      </c>
      <c r="D2278" s="30" t="s">
        <v>17</v>
      </c>
      <c r="E2278" s="30" t="s">
        <v>18</v>
      </c>
      <c r="F2278" s="30" t="s">
        <v>19</v>
      </c>
      <c r="G2278" s="30" t="s">
        <v>20</v>
      </c>
      <c r="H2278" s="32">
        <v>4891</v>
      </c>
      <c r="I2278" s="30" t="s">
        <v>21</v>
      </c>
      <c r="J2278" s="41">
        <v>43896</v>
      </c>
      <c r="K2278" s="30" t="s">
        <v>22</v>
      </c>
    </row>
    <row r="2279" spans="1:11">
      <c r="A2279" s="33" t="s">
        <v>5668</v>
      </c>
      <c r="B2279" s="33" t="s">
        <v>5669</v>
      </c>
      <c r="C2279" s="33" t="s">
        <v>231</v>
      </c>
      <c r="D2279" s="33" t="s">
        <v>17</v>
      </c>
      <c r="E2279" s="33" t="s">
        <v>26</v>
      </c>
      <c r="F2279" s="33" t="s">
        <v>27</v>
      </c>
      <c r="G2279" s="33" t="s">
        <v>20</v>
      </c>
      <c r="H2279" s="35">
        <v>28</v>
      </c>
      <c r="I2279" s="33" t="s">
        <v>21</v>
      </c>
      <c r="J2279" s="42">
        <v>43874</v>
      </c>
      <c r="K2279" s="33" t="s">
        <v>22</v>
      </c>
    </row>
    <row r="2280" spans="1:11">
      <c r="A2280" s="30" t="s">
        <v>5670</v>
      </c>
      <c r="B2280" s="30" t="s">
        <v>5671</v>
      </c>
      <c r="C2280" s="30" t="s">
        <v>5672</v>
      </c>
      <c r="D2280" s="30" t="s">
        <v>17</v>
      </c>
      <c r="E2280" s="30" t="s">
        <v>18</v>
      </c>
      <c r="F2280" s="30" t="s">
        <v>19</v>
      </c>
      <c r="G2280" s="30" t="s">
        <v>20</v>
      </c>
      <c r="H2280" s="32">
        <v>59</v>
      </c>
      <c r="I2280" s="30" t="s">
        <v>21</v>
      </c>
      <c r="J2280" s="41">
        <v>43976</v>
      </c>
      <c r="K2280" s="30" t="s">
        <v>22</v>
      </c>
    </row>
    <row r="2281" spans="1:11">
      <c r="A2281" s="33" t="s">
        <v>5673</v>
      </c>
      <c r="B2281" s="33" t="s">
        <v>5674</v>
      </c>
      <c r="C2281" s="33" t="s">
        <v>326</v>
      </c>
      <c r="D2281" s="33" t="s">
        <v>17</v>
      </c>
      <c r="E2281" s="33" t="s">
        <v>31</v>
      </c>
      <c r="F2281" s="33" t="s">
        <v>32</v>
      </c>
      <c r="G2281" s="33" t="s">
        <v>158</v>
      </c>
      <c r="H2281" s="35">
        <v>328</v>
      </c>
      <c r="I2281" s="33" t="s">
        <v>51</v>
      </c>
      <c r="J2281" s="42">
        <v>44033</v>
      </c>
      <c r="K2281" s="33" t="s">
        <v>22</v>
      </c>
    </row>
    <row r="2282" spans="1:11">
      <c r="A2282" s="30" t="s">
        <v>5675</v>
      </c>
      <c r="B2282" s="30" t="s">
        <v>5676</v>
      </c>
      <c r="C2282" s="30" t="s">
        <v>2129</v>
      </c>
      <c r="D2282" s="30" t="s">
        <v>17</v>
      </c>
      <c r="E2282" s="30" t="s">
        <v>26</v>
      </c>
      <c r="F2282" s="30" t="s">
        <v>27</v>
      </c>
      <c r="G2282" s="30" t="s">
        <v>20</v>
      </c>
      <c r="H2282" s="32">
        <v>14</v>
      </c>
      <c r="I2282" s="30" t="s">
        <v>21</v>
      </c>
      <c r="J2282" s="41">
        <v>43921</v>
      </c>
      <c r="K2282" s="30" t="s">
        <v>22</v>
      </c>
    </row>
    <row r="2283" spans="1:11">
      <c r="A2283" s="33" t="s">
        <v>5677</v>
      </c>
      <c r="B2283" s="33" t="s">
        <v>5678</v>
      </c>
      <c r="C2283" s="33" t="s">
        <v>647</v>
      </c>
      <c r="D2283" s="33" t="s">
        <v>17</v>
      </c>
      <c r="E2283" s="33" t="s">
        <v>18</v>
      </c>
      <c r="F2283" s="33" t="s">
        <v>19</v>
      </c>
      <c r="G2283" s="33" t="s">
        <v>20</v>
      </c>
      <c r="H2283" s="35">
        <v>207</v>
      </c>
      <c r="I2283" s="33" t="s">
        <v>21</v>
      </c>
      <c r="J2283" s="42">
        <v>44076</v>
      </c>
      <c r="K2283" s="33" t="s">
        <v>22</v>
      </c>
    </row>
    <row r="2284" spans="1:11">
      <c r="A2284" s="30" t="s">
        <v>5679</v>
      </c>
      <c r="B2284" s="30" t="s">
        <v>5680</v>
      </c>
      <c r="C2284" s="30" t="s">
        <v>774</v>
      </c>
      <c r="D2284" s="30" t="s">
        <v>17</v>
      </c>
      <c r="E2284" s="30" t="s">
        <v>18</v>
      </c>
      <c r="F2284" s="30" t="s">
        <v>19</v>
      </c>
      <c r="G2284" s="30" t="s">
        <v>112</v>
      </c>
      <c r="H2284" s="32">
        <v>0</v>
      </c>
      <c r="I2284" s="30" t="s">
        <v>21</v>
      </c>
      <c r="J2284" s="41">
        <v>43997</v>
      </c>
      <c r="K2284" s="30" t="s">
        <v>22</v>
      </c>
    </row>
    <row r="2285" spans="1:11">
      <c r="A2285" s="33" t="s">
        <v>5681</v>
      </c>
      <c r="B2285" s="33" t="s">
        <v>5682</v>
      </c>
      <c r="C2285" s="33" t="s">
        <v>5683</v>
      </c>
      <c r="D2285" s="33" t="s">
        <v>17</v>
      </c>
      <c r="E2285" s="33" t="s">
        <v>67</v>
      </c>
      <c r="F2285" s="33" t="s">
        <v>68</v>
      </c>
      <c r="G2285" s="33" t="s">
        <v>20</v>
      </c>
      <c r="H2285" s="35">
        <v>20</v>
      </c>
      <c r="I2285" s="33" t="s">
        <v>21</v>
      </c>
      <c r="J2285" s="42">
        <v>44121</v>
      </c>
      <c r="K2285" s="33" t="s">
        <v>22</v>
      </c>
    </row>
    <row r="2286" spans="1:11">
      <c r="A2286" s="30" t="s">
        <v>5684</v>
      </c>
      <c r="B2286" s="30" t="s">
        <v>5685</v>
      </c>
      <c r="C2286" s="30" t="s">
        <v>1908</v>
      </c>
      <c r="D2286" s="30" t="s">
        <v>17</v>
      </c>
      <c r="E2286" s="30" t="s">
        <v>26</v>
      </c>
      <c r="F2286" s="30" t="s">
        <v>27</v>
      </c>
      <c r="G2286" s="30" t="s">
        <v>20</v>
      </c>
      <c r="H2286" s="32">
        <v>6</v>
      </c>
      <c r="I2286" s="30" t="s">
        <v>21</v>
      </c>
      <c r="J2286" s="41">
        <v>44161</v>
      </c>
      <c r="K2286" s="30" t="s">
        <v>22</v>
      </c>
    </row>
    <row r="2287" spans="1:11">
      <c r="A2287" s="33" t="s">
        <v>5686</v>
      </c>
      <c r="B2287" s="33" t="s">
        <v>5687</v>
      </c>
      <c r="C2287" s="33" t="s">
        <v>1969</v>
      </c>
      <c r="D2287" s="33" t="s">
        <v>17</v>
      </c>
      <c r="E2287" s="33" t="s">
        <v>31</v>
      </c>
      <c r="F2287" s="33" t="s">
        <v>32</v>
      </c>
      <c r="G2287" s="33" t="s">
        <v>50</v>
      </c>
      <c r="H2287" s="35">
        <v>50</v>
      </c>
      <c r="I2287" s="33" t="s">
        <v>51</v>
      </c>
      <c r="J2287" s="42">
        <v>44146</v>
      </c>
      <c r="K2287" s="33" t="s">
        <v>22</v>
      </c>
    </row>
    <row r="2288" spans="1:11">
      <c r="A2288" s="30" t="s">
        <v>5688</v>
      </c>
      <c r="B2288" s="30" t="s">
        <v>5689</v>
      </c>
      <c r="C2288" s="30" t="s">
        <v>203</v>
      </c>
      <c r="D2288" s="30" t="s">
        <v>17</v>
      </c>
      <c r="E2288" s="30" t="s">
        <v>18</v>
      </c>
      <c r="F2288" s="30" t="s">
        <v>19</v>
      </c>
      <c r="G2288" s="30" t="s">
        <v>20</v>
      </c>
      <c r="H2288" s="32">
        <v>82</v>
      </c>
      <c r="I2288" s="30" t="s">
        <v>21</v>
      </c>
      <c r="J2288" s="41">
        <v>44175</v>
      </c>
      <c r="K2288" s="30" t="s">
        <v>22</v>
      </c>
    </row>
    <row r="2289" spans="1:11">
      <c r="A2289" s="33" t="s">
        <v>5690</v>
      </c>
      <c r="B2289" s="33" t="s">
        <v>5691</v>
      </c>
      <c r="C2289" s="33" t="s">
        <v>149</v>
      </c>
      <c r="D2289" s="33" t="s">
        <v>17</v>
      </c>
      <c r="E2289" s="33" t="s">
        <v>45</v>
      </c>
      <c r="F2289" s="33" t="s">
        <v>46</v>
      </c>
      <c r="G2289" s="33" t="s">
        <v>20</v>
      </c>
      <c r="H2289" s="35">
        <v>504</v>
      </c>
      <c r="I2289" s="33" t="s">
        <v>21</v>
      </c>
      <c r="J2289" s="42">
        <v>44118</v>
      </c>
      <c r="K2289" s="33" t="s">
        <v>22</v>
      </c>
    </row>
    <row r="2290" spans="1:11">
      <c r="A2290" s="30" t="s">
        <v>5692</v>
      </c>
      <c r="B2290" s="30" t="s">
        <v>5693</v>
      </c>
      <c r="C2290" s="30" t="s">
        <v>1469</v>
      </c>
      <c r="D2290" s="30" t="s">
        <v>17</v>
      </c>
      <c r="E2290" s="30" t="s">
        <v>18</v>
      </c>
      <c r="F2290" s="30" t="s">
        <v>19</v>
      </c>
      <c r="G2290" s="30" t="s">
        <v>106</v>
      </c>
      <c r="H2290" s="32">
        <v>125</v>
      </c>
      <c r="I2290" s="30" t="s">
        <v>21</v>
      </c>
      <c r="J2290" s="41">
        <v>43928</v>
      </c>
      <c r="K2290" s="30" t="s">
        <v>22</v>
      </c>
    </row>
    <row r="2291" spans="1:11">
      <c r="A2291" s="33" t="s">
        <v>5694</v>
      </c>
      <c r="B2291" s="33" t="s">
        <v>5695</v>
      </c>
      <c r="C2291" s="33" t="s">
        <v>5696</v>
      </c>
      <c r="D2291" s="33" t="s">
        <v>17</v>
      </c>
      <c r="E2291" s="33" t="s">
        <v>26</v>
      </c>
      <c r="F2291" s="33" t="s">
        <v>27</v>
      </c>
      <c r="G2291" s="33" t="s">
        <v>20</v>
      </c>
      <c r="H2291" s="35">
        <v>96</v>
      </c>
      <c r="I2291" s="33" t="s">
        <v>21</v>
      </c>
      <c r="J2291" s="42">
        <v>44131</v>
      </c>
      <c r="K2291" s="33" t="s">
        <v>22</v>
      </c>
    </row>
    <row r="2292" spans="1:11">
      <c r="A2292" s="30" t="s">
        <v>5697</v>
      </c>
      <c r="B2292" s="30" t="s">
        <v>5698</v>
      </c>
      <c r="C2292" s="30" t="s">
        <v>178</v>
      </c>
      <c r="D2292" s="30" t="s">
        <v>17</v>
      </c>
      <c r="E2292" s="30" t="s">
        <v>67</v>
      </c>
      <c r="F2292" s="30" t="s">
        <v>68</v>
      </c>
      <c r="G2292" s="30" t="s">
        <v>106</v>
      </c>
      <c r="H2292" s="32">
        <v>38</v>
      </c>
      <c r="I2292" s="30" t="s">
        <v>21</v>
      </c>
      <c r="J2292" s="41">
        <v>43857</v>
      </c>
      <c r="K2292" s="30" t="s">
        <v>22</v>
      </c>
    </row>
    <row r="2293" spans="1:11">
      <c r="A2293" s="33" t="s">
        <v>5699</v>
      </c>
      <c r="B2293" s="33" t="s">
        <v>5700</v>
      </c>
      <c r="C2293" s="33" t="s">
        <v>5701</v>
      </c>
      <c r="D2293" s="33" t="s">
        <v>17</v>
      </c>
      <c r="E2293" s="33" t="s">
        <v>18</v>
      </c>
      <c r="F2293" s="33" t="s">
        <v>19</v>
      </c>
      <c r="G2293" s="33" t="s">
        <v>20</v>
      </c>
      <c r="H2293" s="35">
        <v>496</v>
      </c>
      <c r="I2293" s="33" t="s">
        <v>21</v>
      </c>
      <c r="J2293" s="42">
        <v>43977</v>
      </c>
      <c r="K2293" s="33" t="s">
        <v>22</v>
      </c>
    </row>
    <row r="2294" spans="1:11">
      <c r="A2294" s="30" t="s">
        <v>5702</v>
      </c>
      <c r="B2294" s="30" t="s">
        <v>5703</v>
      </c>
      <c r="C2294" s="30" t="s">
        <v>5704</v>
      </c>
      <c r="D2294" s="30" t="s">
        <v>17</v>
      </c>
      <c r="E2294" s="30" t="s">
        <v>26</v>
      </c>
      <c r="F2294" s="30" t="s">
        <v>27</v>
      </c>
      <c r="G2294" s="30" t="s">
        <v>20</v>
      </c>
      <c r="H2294" s="32">
        <v>32</v>
      </c>
      <c r="I2294" s="30" t="s">
        <v>21</v>
      </c>
      <c r="J2294" s="41">
        <v>44151</v>
      </c>
      <c r="K2294" s="30" t="s">
        <v>22</v>
      </c>
    </row>
    <row r="2295" spans="1:11">
      <c r="A2295" s="33" t="s">
        <v>5705</v>
      </c>
      <c r="B2295" s="33" t="s">
        <v>5706</v>
      </c>
      <c r="C2295" s="33" t="s">
        <v>187</v>
      </c>
      <c r="D2295" s="33" t="s">
        <v>17</v>
      </c>
      <c r="E2295" s="33" t="s">
        <v>18</v>
      </c>
      <c r="F2295" s="33" t="s">
        <v>19</v>
      </c>
      <c r="G2295" s="33" t="s">
        <v>50</v>
      </c>
      <c r="H2295" s="35">
        <v>332</v>
      </c>
      <c r="I2295" s="33" t="s">
        <v>51</v>
      </c>
      <c r="J2295" s="42">
        <v>43983</v>
      </c>
      <c r="K2295" s="33" t="s">
        <v>22</v>
      </c>
    </row>
    <row r="2296" spans="1:11">
      <c r="A2296" s="30" t="s">
        <v>5707</v>
      </c>
      <c r="B2296" s="30" t="s">
        <v>5708</v>
      </c>
      <c r="C2296" s="30" t="s">
        <v>5709</v>
      </c>
      <c r="D2296" s="30" t="s">
        <v>17</v>
      </c>
      <c r="E2296" s="30" t="s">
        <v>26</v>
      </c>
      <c r="F2296" s="30" t="s">
        <v>27</v>
      </c>
      <c r="G2296" s="30" t="s">
        <v>50</v>
      </c>
      <c r="H2296" s="32">
        <v>70</v>
      </c>
      <c r="I2296" s="30" t="s">
        <v>51</v>
      </c>
      <c r="J2296" s="41">
        <v>44036</v>
      </c>
      <c r="K2296" s="30" t="s">
        <v>22</v>
      </c>
    </row>
    <row r="2297" spans="1:11">
      <c r="A2297" s="33" t="s">
        <v>5710</v>
      </c>
      <c r="B2297" s="33" t="s">
        <v>5711</v>
      </c>
      <c r="C2297" s="33" t="s">
        <v>3258</v>
      </c>
      <c r="D2297" s="33" t="s">
        <v>17</v>
      </c>
      <c r="E2297" s="33" t="s">
        <v>18</v>
      </c>
      <c r="F2297" s="33" t="s">
        <v>19</v>
      </c>
      <c r="G2297" s="33" t="s">
        <v>20</v>
      </c>
      <c r="H2297" s="35">
        <v>620</v>
      </c>
      <c r="I2297" s="33" t="s">
        <v>21</v>
      </c>
      <c r="J2297" s="42">
        <v>44153</v>
      </c>
      <c r="K2297" s="33" t="s">
        <v>22</v>
      </c>
    </row>
    <row r="2298" spans="1:11">
      <c r="A2298" s="30" t="s">
        <v>5712</v>
      </c>
      <c r="B2298" s="30" t="s">
        <v>5713</v>
      </c>
      <c r="C2298" s="30" t="s">
        <v>2429</v>
      </c>
      <c r="D2298" s="30" t="s">
        <v>17</v>
      </c>
      <c r="E2298" s="30" t="s">
        <v>26</v>
      </c>
      <c r="F2298" s="30" t="s">
        <v>27</v>
      </c>
      <c r="G2298" s="30" t="s">
        <v>20</v>
      </c>
      <c r="H2298" s="32">
        <v>17</v>
      </c>
      <c r="I2298" s="30" t="s">
        <v>21</v>
      </c>
      <c r="J2298" s="41">
        <v>44032</v>
      </c>
      <c r="K2298" s="30" t="s">
        <v>22</v>
      </c>
    </row>
    <row r="2299" spans="1:11">
      <c r="A2299" s="33" t="s">
        <v>5714</v>
      </c>
      <c r="B2299" s="33" t="s">
        <v>5715</v>
      </c>
      <c r="C2299" s="33" t="s">
        <v>3429</v>
      </c>
      <c r="D2299" s="33" t="s">
        <v>17</v>
      </c>
      <c r="E2299" s="33" t="s">
        <v>26</v>
      </c>
      <c r="F2299" s="33" t="s">
        <v>27</v>
      </c>
      <c r="G2299" s="33" t="s">
        <v>20</v>
      </c>
      <c r="H2299" s="35">
        <v>50</v>
      </c>
      <c r="I2299" s="33" t="s">
        <v>21</v>
      </c>
      <c r="J2299" s="42">
        <v>44154</v>
      </c>
      <c r="K2299" s="33" t="s">
        <v>22</v>
      </c>
    </row>
    <row r="2300" spans="1:11">
      <c r="A2300" s="30" t="s">
        <v>5716</v>
      </c>
      <c r="B2300" s="30" t="s">
        <v>5717</v>
      </c>
      <c r="C2300" s="30" t="s">
        <v>426</v>
      </c>
      <c r="D2300" s="30" t="s">
        <v>17</v>
      </c>
      <c r="E2300" s="30" t="s">
        <v>67</v>
      </c>
      <c r="F2300" s="30" t="s">
        <v>68</v>
      </c>
      <c r="G2300" s="30" t="s">
        <v>106</v>
      </c>
      <c r="H2300" s="32">
        <v>28</v>
      </c>
      <c r="I2300" s="30" t="s">
        <v>21</v>
      </c>
      <c r="J2300" s="41">
        <v>44063</v>
      </c>
      <c r="K2300" s="30" t="s">
        <v>22</v>
      </c>
    </row>
    <row r="2301" spans="1:11">
      <c r="A2301" s="33" t="s">
        <v>5718</v>
      </c>
      <c r="B2301" s="33" t="s">
        <v>5719</v>
      </c>
      <c r="C2301" s="33" t="s">
        <v>5720</v>
      </c>
      <c r="D2301" s="33" t="s">
        <v>17</v>
      </c>
      <c r="E2301" s="33" t="s">
        <v>26</v>
      </c>
      <c r="F2301" s="33" t="s">
        <v>27</v>
      </c>
      <c r="G2301" s="33" t="s">
        <v>20</v>
      </c>
      <c r="H2301" s="35">
        <v>70</v>
      </c>
      <c r="I2301" s="33" t="s">
        <v>21</v>
      </c>
      <c r="J2301" s="42">
        <v>44187</v>
      </c>
      <c r="K2301" s="33" t="s">
        <v>22</v>
      </c>
    </row>
    <row r="2302" spans="1:11">
      <c r="A2302" s="30" t="s">
        <v>5721</v>
      </c>
      <c r="B2302" s="30" t="s">
        <v>5722</v>
      </c>
      <c r="C2302" s="30" t="s">
        <v>2807</v>
      </c>
      <c r="D2302" s="30" t="s">
        <v>17</v>
      </c>
      <c r="E2302" s="30" t="s">
        <v>26</v>
      </c>
      <c r="F2302" s="30" t="s">
        <v>27</v>
      </c>
      <c r="G2302" s="30" t="s">
        <v>106</v>
      </c>
      <c r="H2302" s="32">
        <v>52</v>
      </c>
      <c r="I2302" s="30" t="s">
        <v>21</v>
      </c>
      <c r="J2302" s="41">
        <v>44097</v>
      </c>
      <c r="K2302" s="30" t="s">
        <v>22</v>
      </c>
    </row>
    <row r="2303" spans="1:11">
      <c r="A2303" s="33" t="s">
        <v>5723</v>
      </c>
      <c r="B2303" s="33" t="s">
        <v>5724</v>
      </c>
      <c r="C2303" s="33" t="s">
        <v>5725</v>
      </c>
      <c r="D2303" s="33" t="s">
        <v>17</v>
      </c>
      <c r="E2303" s="33" t="s">
        <v>67</v>
      </c>
      <c r="F2303" s="33" t="s">
        <v>68</v>
      </c>
      <c r="G2303" s="33" t="s">
        <v>106</v>
      </c>
      <c r="H2303" s="35">
        <v>46</v>
      </c>
      <c r="I2303" s="33" t="s">
        <v>21</v>
      </c>
      <c r="J2303" s="42">
        <v>43992</v>
      </c>
      <c r="K2303" s="33" t="s">
        <v>22</v>
      </c>
    </row>
    <row r="2304" spans="1:11">
      <c r="A2304" s="30" t="s">
        <v>5726</v>
      </c>
      <c r="B2304" s="30" t="s">
        <v>5727</v>
      </c>
      <c r="C2304" s="30" t="s">
        <v>1846</v>
      </c>
      <c r="D2304" s="30" t="s">
        <v>17</v>
      </c>
      <c r="E2304" s="30" t="s">
        <v>26</v>
      </c>
      <c r="F2304" s="30" t="s">
        <v>27</v>
      </c>
      <c r="G2304" s="30" t="s">
        <v>20</v>
      </c>
      <c r="H2304" s="32">
        <v>32</v>
      </c>
      <c r="I2304" s="30" t="s">
        <v>21</v>
      </c>
      <c r="J2304" s="41">
        <v>44032</v>
      </c>
      <c r="K2304" s="30" t="s">
        <v>22</v>
      </c>
    </row>
    <row r="2305" spans="1:11">
      <c r="A2305" s="33" t="s">
        <v>5728</v>
      </c>
      <c r="B2305" s="33" t="s">
        <v>5729</v>
      </c>
      <c r="C2305" s="33" t="s">
        <v>149</v>
      </c>
      <c r="D2305" s="33" t="s">
        <v>17</v>
      </c>
      <c r="E2305" s="33" t="s">
        <v>18</v>
      </c>
      <c r="F2305" s="33" t="s">
        <v>19</v>
      </c>
      <c r="G2305" s="33" t="s">
        <v>50</v>
      </c>
      <c r="H2305" s="35">
        <v>56</v>
      </c>
      <c r="I2305" s="33" t="s">
        <v>51</v>
      </c>
      <c r="J2305" s="42">
        <v>44029</v>
      </c>
      <c r="K2305" s="33" t="s">
        <v>22</v>
      </c>
    </row>
    <row r="2306" spans="1:11">
      <c r="A2306" s="30" t="s">
        <v>5730</v>
      </c>
      <c r="B2306" s="30" t="s">
        <v>5731</v>
      </c>
      <c r="C2306" s="30" t="s">
        <v>93</v>
      </c>
      <c r="D2306" s="30" t="s">
        <v>17</v>
      </c>
      <c r="E2306" s="30" t="s">
        <v>18</v>
      </c>
      <c r="F2306" s="30" t="s">
        <v>19</v>
      </c>
      <c r="G2306" s="30" t="s">
        <v>20</v>
      </c>
      <c r="H2306" s="32">
        <v>507</v>
      </c>
      <c r="I2306" s="30" t="s">
        <v>21</v>
      </c>
      <c r="J2306" s="41">
        <v>44097</v>
      </c>
      <c r="K2306" s="30" t="s">
        <v>22</v>
      </c>
    </row>
    <row r="2307" spans="1:11">
      <c r="A2307" s="33" t="s">
        <v>5732</v>
      </c>
      <c r="B2307" s="33" t="s">
        <v>5733</v>
      </c>
      <c r="C2307" s="33" t="s">
        <v>96</v>
      </c>
      <c r="D2307" s="33" t="s">
        <v>17</v>
      </c>
      <c r="E2307" s="33" t="s">
        <v>26</v>
      </c>
      <c r="F2307" s="33" t="s">
        <v>27</v>
      </c>
      <c r="G2307" s="33" t="s">
        <v>20</v>
      </c>
      <c r="H2307" s="35">
        <v>66</v>
      </c>
      <c r="I2307" s="33" t="s">
        <v>21</v>
      </c>
      <c r="J2307" s="42">
        <v>43906</v>
      </c>
      <c r="K2307" s="33" t="s">
        <v>22</v>
      </c>
    </row>
    <row r="2308" spans="1:11">
      <c r="A2308" s="30" t="s">
        <v>5734</v>
      </c>
      <c r="B2308" s="30" t="s">
        <v>5735</v>
      </c>
      <c r="C2308" s="30" t="s">
        <v>3004</v>
      </c>
      <c r="D2308" s="30" t="s">
        <v>17</v>
      </c>
      <c r="E2308" s="30" t="s">
        <v>26</v>
      </c>
      <c r="F2308" s="30" t="s">
        <v>27</v>
      </c>
      <c r="G2308" s="30" t="s">
        <v>20</v>
      </c>
      <c r="H2308" s="32">
        <v>27</v>
      </c>
      <c r="I2308" s="30" t="s">
        <v>21</v>
      </c>
      <c r="J2308" s="41">
        <v>43873</v>
      </c>
      <c r="K2308" s="30" t="s">
        <v>22</v>
      </c>
    </row>
    <row r="2309" spans="1:11">
      <c r="A2309" s="33" t="s">
        <v>5736</v>
      </c>
      <c r="B2309" s="33" t="s">
        <v>5737</v>
      </c>
      <c r="C2309" s="33" t="s">
        <v>3013</v>
      </c>
      <c r="D2309" s="33" t="s">
        <v>17</v>
      </c>
      <c r="E2309" s="33" t="s">
        <v>26</v>
      </c>
      <c r="F2309" s="33" t="s">
        <v>27</v>
      </c>
      <c r="G2309" s="33" t="s">
        <v>20</v>
      </c>
      <c r="H2309" s="35">
        <v>50</v>
      </c>
      <c r="I2309" s="33" t="s">
        <v>21</v>
      </c>
      <c r="J2309" s="42">
        <v>44144</v>
      </c>
      <c r="K2309" s="33" t="s">
        <v>22</v>
      </c>
    </row>
    <row r="2310" spans="1:11">
      <c r="A2310" s="30" t="s">
        <v>5738</v>
      </c>
      <c r="B2310" s="30" t="s">
        <v>5739</v>
      </c>
      <c r="C2310" s="30" t="s">
        <v>1918</v>
      </c>
      <c r="D2310" s="30" t="s">
        <v>17</v>
      </c>
      <c r="E2310" s="30" t="s">
        <v>31</v>
      </c>
      <c r="F2310" s="30" t="s">
        <v>32</v>
      </c>
      <c r="G2310" s="30" t="s">
        <v>106</v>
      </c>
      <c r="H2310" s="32">
        <v>1</v>
      </c>
      <c r="I2310" s="30" t="s">
        <v>21</v>
      </c>
      <c r="J2310" s="41">
        <v>44124</v>
      </c>
      <c r="K2310" s="30" t="s">
        <v>22</v>
      </c>
    </row>
    <row r="2311" spans="1:11">
      <c r="A2311" s="33" t="s">
        <v>5740</v>
      </c>
      <c r="B2311" s="33" t="s">
        <v>5741</v>
      </c>
      <c r="C2311" s="33" t="s">
        <v>99</v>
      </c>
      <c r="D2311" s="33" t="s">
        <v>17</v>
      </c>
      <c r="E2311" s="33" t="s">
        <v>26</v>
      </c>
      <c r="F2311" s="33" t="s">
        <v>27</v>
      </c>
      <c r="G2311" s="33" t="s">
        <v>20</v>
      </c>
      <c r="H2311" s="35">
        <v>64</v>
      </c>
      <c r="I2311" s="33" t="s">
        <v>21</v>
      </c>
      <c r="J2311" s="42">
        <v>44062</v>
      </c>
      <c r="K2311" s="33" t="s">
        <v>22</v>
      </c>
    </row>
    <row r="2312" spans="1:11">
      <c r="A2312" s="30" t="s">
        <v>5742</v>
      </c>
      <c r="B2312" s="30" t="s">
        <v>5743</v>
      </c>
      <c r="C2312" s="30" t="s">
        <v>178</v>
      </c>
      <c r="D2312" s="30" t="s">
        <v>17</v>
      </c>
      <c r="E2312" s="30" t="s">
        <v>18</v>
      </c>
      <c r="F2312" s="30" t="s">
        <v>19</v>
      </c>
      <c r="G2312" s="30" t="s">
        <v>20</v>
      </c>
      <c r="H2312" s="32">
        <v>461</v>
      </c>
      <c r="I2312" s="30" t="s">
        <v>21</v>
      </c>
      <c r="J2312" s="41">
        <v>44134</v>
      </c>
      <c r="K2312" s="30" t="s">
        <v>22</v>
      </c>
    </row>
    <row r="2313" spans="1:11">
      <c r="A2313" s="33" t="s">
        <v>5744</v>
      </c>
      <c r="B2313" s="33" t="s">
        <v>5745</v>
      </c>
      <c r="C2313" s="33" t="s">
        <v>5746</v>
      </c>
      <c r="D2313" s="33" t="s">
        <v>17</v>
      </c>
      <c r="E2313" s="33" t="s">
        <v>18</v>
      </c>
      <c r="F2313" s="33" t="s">
        <v>19</v>
      </c>
      <c r="G2313" s="33" t="s">
        <v>20</v>
      </c>
      <c r="H2313" s="35">
        <v>36</v>
      </c>
      <c r="I2313" s="33" t="s">
        <v>21</v>
      </c>
      <c r="J2313" s="42">
        <v>44020</v>
      </c>
      <c r="K2313" s="33" t="s">
        <v>22</v>
      </c>
    </row>
    <row r="2314" spans="1:11">
      <c r="A2314" s="30" t="s">
        <v>5747</v>
      </c>
      <c r="B2314" s="30" t="s">
        <v>5748</v>
      </c>
      <c r="C2314" s="30" t="s">
        <v>49</v>
      </c>
      <c r="D2314" s="30" t="s">
        <v>17</v>
      </c>
      <c r="E2314" s="30" t="s">
        <v>31</v>
      </c>
      <c r="F2314" s="30" t="s">
        <v>32</v>
      </c>
      <c r="G2314" s="30" t="s">
        <v>50</v>
      </c>
      <c r="H2314" s="32">
        <v>70</v>
      </c>
      <c r="I2314" s="30" t="s">
        <v>51</v>
      </c>
      <c r="J2314" s="41">
        <v>44105</v>
      </c>
      <c r="K2314" s="30" t="s">
        <v>22</v>
      </c>
    </row>
    <row r="2315" spans="1:11">
      <c r="A2315" s="33" t="s">
        <v>5749</v>
      </c>
      <c r="B2315" s="33" t="s">
        <v>5750</v>
      </c>
      <c r="C2315" s="33" t="s">
        <v>136</v>
      </c>
      <c r="D2315" s="33" t="s">
        <v>17</v>
      </c>
      <c r="E2315" s="33" t="s">
        <v>26</v>
      </c>
      <c r="F2315" s="33" t="s">
        <v>27</v>
      </c>
      <c r="G2315" s="33" t="s">
        <v>20</v>
      </c>
      <c r="H2315" s="35">
        <v>52</v>
      </c>
      <c r="I2315" s="33" t="s">
        <v>21</v>
      </c>
      <c r="J2315" s="42">
        <v>43846</v>
      </c>
      <c r="K2315" s="33" t="s">
        <v>22</v>
      </c>
    </row>
    <row r="2316" spans="1:11">
      <c r="A2316" s="30" t="s">
        <v>5751</v>
      </c>
      <c r="B2316" s="30" t="s">
        <v>5752</v>
      </c>
      <c r="C2316" s="30" t="s">
        <v>1077</v>
      </c>
      <c r="D2316" s="30" t="s">
        <v>17</v>
      </c>
      <c r="E2316" s="30" t="s">
        <v>26</v>
      </c>
      <c r="F2316" s="30" t="s">
        <v>27</v>
      </c>
      <c r="G2316" s="30" t="s">
        <v>20</v>
      </c>
      <c r="H2316" s="32">
        <v>114</v>
      </c>
      <c r="I2316" s="30" t="s">
        <v>21</v>
      </c>
      <c r="J2316" s="41">
        <v>44166</v>
      </c>
      <c r="K2316" s="30" t="s">
        <v>22</v>
      </c>
    </row>
    <row r="2317" spans="1:11">
      <c r="A2317" s="33" t="s">
        <v>5753</v>
      </c>
      <c r="B2317" s="33" t="s">
        <v>5754</v>
      </c>
      <c r="C2317" s="33" t="s">
        <v>149</v>
      </c>
      <c r="D2317" s="33" t="s">
        <v>17</v>
      </c>
      <c r="E2317" s="33" t="s">
        <v>67</v>
      </c>
      <c r="F2317" s="33" t="s">
        <v>68</v>
      </c>
      <c r="G2317" s="33" t="s">
        <v>20</v>
      </c>
      <c r="H2317" s="35">
        <v>179</v>
      </c>
      <c r="I2317" s="33" t="s">
        <v>21</v>
      </c>
      <c r="J2317" s="42">
        <v>44042</v>
      </c>
      <c r="K2317" s="33" t="s">
        <v>22</v>
      </c>
    </row>
    <row r="2318" spans="1:11">
      <c r="A2318" s="30" t="s">
        <v>5755</v>
      </c>
      <c r="B2318" s="30" t="s">
        <v>5756</v>
      </c>
      <c r="C2318" s="30" t="s">
        <v>5757</v>
      </c>
      <c r="D2318" s="30" t="s">
        <v>17</v>
      </c>
      <c r="E2318" s="30" t="s">
        <v>212</v>
      </c>
      <c r="F2318" s="30" t="s">
        <v>213</v>
      </c>
      <c r="G2318" s="30" t="s">
        <v>106</v>
      </c>
      <c r="H2318" s="32">
        <v>47</v>
      </c>
      <c r="I2318" s="30" t="s">
        <v>21</v>
      </c>
      <c r="J2318" s="41">
        <v>43859</v>
      </c>
      <c r="K2318" s="30" t="s">
        <v>22</v>
      </c>
    </row>
    <row r="2319" spans="1:11">
      <c r="A2319" s="33" t="s">
        <v>5758</v>
      </c>
      <c r="B2319" s="33" t="s">
        <v>5759</v>
      </c>
      <c r="C2319" s="33" t="s">
        <v>146</v>
      </c>
      <c r="D2319" s="33" t="s">
        <v>17</v>
      </c>
      <c r="E2319" s="33" t="s">
        <v>26</v>
      </c>
      <c r="F2319" s="33" t="s">
        <v>27</v>
      </c>
      <c r="G2319" s="33" t="s">
        <v>20</v>
      </c>
      <c r="H2319" s="35">
        <v>7</v>
      </c>
      <c r="I2319" s="33" t="s">
        <v>21</v>
      </c>
      <c r="J2319" s="42">
        <v>44168</v>
      </c>
      <c r="K2319" s="33" t="s">
        <v>22</v>
      </c>
    </row>
    <row r="2320" spans="1:11">
      <c r="A2320" s="30" t="s">
        <v>5760</v>
      </c>
      <c r="B2320" s="30" t="s">
        <v>5761</v>
      </c>
      <c r="C2320" s="30" t="s">
        <v>5762</v>
      </c>
      <c r="D2320" s="30" t="s">
        <v>17</v>
      </c>
      <c r="E2320" s="30" t="s">
        <v>26</v>
      </c>
      <c r="F2320" s="30" t="s">
        <v>27</v>
      </c>
      <c r="G2320" s="30" t="s">
        <v>20</v>
      </c>
      <c r="H2320" s="32">
        <v>30</v>
      </c>
      <c r="I2320" s="30" t="s">
        <v>21</v>
      </c>
      <c r="J2320" s="41">
        <v>44005</v>
      </c>
      <c r="K2320" s="30" t="s">
        <v>22</v>
      </c>
    </row>
    <row r="2321" spans="1:11">
      <c r="A2321" s="33" t="s">
        <v>5763</v>
      </c>
      <c r="B2321" s="33" t="s">
        <v>5764</v>
      </c>
      <c r="C2321" s="33" t="s">
        <v>102</v>
      </c>
      <c r="D2321" s="33" t="s">
        <v>17</v>
      </c>
      <c r="E2321" s="33" t="s">
        <v>26</v>
      </c>
      <c r="F2321" s="33" t="s">
        <v>27</v>
      </c>
      <c r="G2321" s="33" t="s">
        <v>20</v>
      </c>
      <c r="H2321" s="35">
        <v>24</v>
      </c>
      <c r="I2321" s="33" t="s">
        <v>21</v>
      </c>
      <c r="J2321" s="42">
        <v>44008</v>
      </c>
      <c r="K2321" s="33" t="s">
        <v>22</v>
      </c>
    </row>
    <row r="2322" spans="1:11">
      <c r="A2322" s="30" t="s">
        <v>5765</v>
      </c>
      <c r="B2322" s="30" t="s">
        <v>5766</v>
      </c>
      <c r="C2322" s="30" t="s">
        <v>3013</v>
      </c>
      <c r="D2322" s="30" t="s">
        <v>17</v>
      </c>
      <c r="E2322" s="30" t="s">
        <v>18</v>
      </c>
      <c r="F2322" s="30" t="s">
        <v>19</v>
      </c>
      <c r="G2322" s="30" t="s">
        <v>20</v>
      </c>
      <c r="H2322" s="32">
        <v>437</v>
      </c>
      <c r="I2322" s="30" t="s">
        <v>21</v>
      </c>
      <c r="J2322" s="41">
        <v>44102</v>
      </c>
      <c r="K2322" s="30" t="s">
        <v>22</v>
      </c>
    </row>
    <row r="2323" spans="1:11">
      <c r="A2323" s="33" t="s">
        <v>5767</v>
      </c>
      <c r="B2323" s="33" t="s">
        <v>5768</v>
      </c>
      <c r="C2323" s="33" t="s">
        <v>5469</v>
      </c>
      <c r="D2323" s="33" t="s">
        <v>17</v>
      </c>
      <c r="E2323" s="33" t="s">
        <v>18</v>
      </c>
      <c r="F2323" s="33" t="s">
        <v>19</v>
      </c>
      <c r="G2323" s="33" t="s">
        <v>20</v>
      </c>
      <c r="H2323" s="35">
        <v>600</v>
      </c>
      <c r="I2323" s="33" t="s">
        <v>21</v>
      </c>
      <c r="J2323" s="42">
        <v>44088</v>
      </c>
      <c r="K2323" s="33" t="s">
        <v>22</v>
      </c>
    </row>
    <row r="2324" spans="1:11">
      <c r="A2324" s="30" t="s">
        <v>5769</v>
      </c>
      <c r="B2324" s="30" t="s">
        <v>5770</v>
      </c>
      <c r="C2324" s="30" t="s">
        <v>5771</v>
      </c>
      <c r="D2324" s="30" t="s">
        <v>17</v>
      </c>
      <c r="E2324" s="30" t="s">
        <v>26</v>
      </c>
      <c r="F2324" s="30" t="s">
        <v>27</v>
      </c>
      <c r="G2324" s="30" t="s">
        <v>20</v>
      </c>
      <c r="H2324" s="32">
        <v>30</v>
      </c>
      <c r="I2324" s="30" t="s">
        <v>21</v>
      </c>
      <c r="J2324" s="41">
        <v>43965</v>
      </c>
      <c r="K2324" s="30" t="s">
        <v>22</v>
      </c>
    </row>
    <row r="2325" spans="1:11">
      <c r="A2325" s="33" t="s">
        <v>5772</v>
      </c>
      <c r="B2325" s="33" t="s">
        <v>5773</v>
      </c>
      <c r="C2325" s="33" t="s">
        <v>5774</v>
      </c>
      <c r="D2325" s="33" t="s">
        <v>17</v>
      </c>
      <c r="E2325" s="33" t="s">
        <v>26</v>
      </c>
      <c r="F2325" s="33" t="s">
        <v>27</v>
      </c>
      <c r="G2325" s="33" t="s">
        <v>20</v>
      </c>
      <c r="H2325" s="35">
        <v>70</v>
      </c>
      <c r="I2325" s="33" t="s">
        <v>21</v>
      </c>
      <c r="J2325" s="42">
        <v>44153</v>
      </c>
      <c r="K2325" s="33" t="s">
        <v>22</v>
      </c>
    </row>
    <row r="2326" spans="1:11">
      <c r="A2326" s="30" t="s">
        <v>5775</v>
      </c>
      <c r="B2326" s="30" t="s">
        <v>5776</v>
      </c>
      <c r="C2326" s="30" t="s">
        <v>2706</v>
      </c>
      <c r="D2326" s="30" t="s">
        <v>17</v>
      </c>
      <c r="E2326" s="30" t="s">
        <v>26</v>
      </c>
      <c r="F2326" s="30" t="s">
        <v>27</v>
      </c>
      <c r="G2326" s="30" t="s">
        <v>20</v>
      </c>
      <c r="H2326" s="32">
        <v>64</v>
      </c>
      <c r="I2326" s="30" t="s">
        <v>21</v>
      </c>
      <c r="J2326" s="41">
        <v>44165</v>
      </c>
      <c r="K2326" s="30" t="s">
        <v>22</v>
      </c>
    </row>
    <row r="2327" spans="1:11">
      <c r="A2327" s="33" t="s">
        <v>5777</v>
      </c>
      <c r="B2327" s="33" t="s">
        <v>5778</v>
      </c>
      <c r="C2327" s="33" t="s">
        <v>252</v>
      </c>
      <c r="D2327" s="33" t="s">
        <v>17</v>
      </c>
      <c r="E2327" s="33" t="s">
        <v>67</v>
      </c>
      <c r="F2327" s="33" t="s">
        <v>68</v>
      </c>
      <c r="G2327" s="33" t="s">
        <v>20</v>
      </c>
      <c r="H2327" s="35">
        <v>46</v>
      </c>
      <c r="I2327" s="33" t="s">
        <v>21</v>
      </c>
      <c r="J2327" s="42">
        <v>44159</v>
      </c>
      <c r="K2327" s="33" t="s">
        <v>22</v>
      </c>
    </row>
    <row r="2328" spans="1:11">
      <c r="A2328" s="30" t="s">
        <v>5779</v>
      </c>
      <c r="B2328" s="30" t="s">
        <v>5780</v>
      </c>
      <c r="C2328" s="30" t="s">
        <v>5781</v>
      </c>
      <c r="D2328" s="30" t="s">
        <v>17</v>
      </c>
      <c r="E2328" s="30" t="s">
        <v>45</v>
      </c>
      <c r="F2328" s="30" t="s">
        <v>46</v>
      </c>
      <c r="G2328" s="30" t="s">
        <v>20</v>
      </c>
      <c r="H2328" s="32">
        <v>160</v>
      </c>
      <c r="I2328" s="30" t="s">
        <v>21</v>
      </c>
      <c r="J2328" s="41">
        <v>44063</v>
      </c>
      <c r="K2328" s="30" t="s">
        <v>22</v>
      </c>
    </row>
    <row r="2329" spans="1:11">
      <c r="A2329" s="33" t="s">
        <v>5782</v>
      </c>
      <c r="B2329" s="33" t="s">
        <v>5783</v>
      </c>
      <c r="C2329" s="33" t="s">
        <v>3205</v>
      </c>
      <c r="D2329" s="33" t="s">
        <v>17</v>
      </c>
      <c r="E2329" s="33" t="s">
        <v>26</v>
      </c>
      <c r="F2329" s="33" t="s">
        <v>27</v>
      </c>
      <c r="G2329" s="33" t="s">
        <v>20</v>
      </c>
      <c r="H2329" s="35">
        <v>30</v>
      </c>
      <c r="I2329" s="33" t="s">
        <v>21</v>
      </c>
      <c r="J2329" s="42">
        <v>44091</v>
      </c>
      <c r="K2329" s="33" t="s">
        <v>22</v>
      </c>
    </row>
    <row r="2330" spans="1:11">
      <c r="A2330" s="30" t="s">
        <v>5784</v>
      </c>
      <c r="B2330" s="30" t="s">
        <v>5785</v>
      </c>
      <c r="C2330" s="30" t="s">
        <v>75</v>
      </c>
      <c r="D2330" s="30" t="s">
        <v>17</v>
      </c>
      <c r="E2330" s="30" t="s">
        <v>18</v>
      </c>
      <c r="F2330" s="30" t="s">
        <v>19</v>
      </c>
      <c r="G2330" s="30" t="s">
        <v>20</v>
      </c>
      <c r="H2330" s="32">
        <v>114</v>
      </c>
      <c r="I2330" s="30" t="s">
        <v>21</v>
      </c>
      <c r="J2330" s="41">
        <v>43866</v>
      </c>
      <c r="K2330" s="30" t="s">
        <v>22</v>
      </c>
    </row>
    <row r="2331" spans="1:11">
      <c r="A2331" s="33" t="s">
        <v>5786</v>
      </c>
      <c r="B2331" s="33" t="s">
        <v>5787</v>
      </c>
      <c r="C2331" s="33" t="s">
        <v>231</v>
      </c>
      <c r="D2331" s="33" t="s">
        <v>17</v>
      </c>
      <c r="E2331" s="33" t="s">
        <v>26</v>
      </c>
      <c r="F2331" s="33" t="s">
        <v>27</v>
      </c>
      <c r="G2331" s="33" t="s">
        <v>20</v>
      </c>
      <c r="H2331" s="35">
        <v>15</v>
      </c>
      <c r="I2331" s="33" t="s">
        <v>21</v>
      </c>
      <c r="J2331" s="42">
        <v>44123</v>
      </c>
      <c r="K2331" s="33" t="s">
        <v>22</v>
      </c>
    </row>
    <row r="2332" spans="1:11">
      <c r="A2332" s="30" t="s">
        <v>5788</v>
      </c>
      <c r="B2332" s="30" t="s">
        <v>5789</v>
      </c>
      <c r="C2332" s="30" t="s">
        <v>5790</v>
      </c>
      <c r="D2332" s="30" t="s">
        <v>17</v>
      </c>
      <c r="E2332" s="30" t="s">
        <v>18</v>
      </c>
      <c r="F2332" s="30" t="s">
        <v>19</v>
      </c>
      <c r="G2332" s="30" t="s">
        <v>50</v>
      </c>
      <c r="H2332" s="32">
        <v>402</v>
      </c>
      <c r="I2332" s="30" t="s">
        <v>21</v>
      </c>
      <c r="J2332" s="41">
        <v>44145</v>
      </c>
      <c r="K2332" s="30" t="s">
        <v>22</v>
      </c>
    </row>
    <row r="2333" spans="1:11">
      <c r="A2333" s="33" t="s">
        <v>5791</v>
      </c>
      <c r="B2333" s="33" t="s">
        <v>5792</v>
      </c>
      <c r="C2333" s="33" t="s">
        <v>3871</v>
      </c>
      <c r="D2333" s="33" t="s">
        <v>17</v>
      </c>
      <c r="E2333" s="33" t="s">
        <v>45</v>
      </c>
      <c r="F2333" s="33" t="s">
        <v>46</v>
      </c>
      <c r="G2333" s="33" t="s">
        <v>20</v>
      </c>
      <c r="H2333" s="35">
        <v>394</v>
      </c>
      <c r="I2333" s="33" t="s">
        <v>21</v>
      </c>
      <c r="J2333" s="42">
        <v>43949</v>
      </c>
      <c r="K2333" s="33" t="s">
        <v>22</v>
      </c>
    </row>
    <row r="2334" spans="1:11">
      <c r="A2334" s="30" t="s">
        <v>5793</v>
      </c>
      <c r="B2334" s="30" t="s">
        <v>5794</v>
      </c>
      <c r="C2334" s="30" t="s">
        <v>1151</v>
      </c>
      <c r="D2334" s="30" t="s">
        <v>17</v>
      </c>
      <c r="E2334" s="30" t="s">
        <v>26</v>
      </c>
      <c r="F2334" s="30" t="s">
        <v>27</v>
      </c>
      <c r="G2334" s="30" t="s">
        <v>20</v>
      </c>
      <c r="H2334" s="32">
        <v>26</v>
      </c>
      <c r="I2334" s="30" t="s">
        <v>21</v>
      </c>
      <c r="J2334" s="41">
        <v>44060</v>
      </c>
      <c r="K2334" s="30" t="s">
        <v>22</v>
      </c>
    </row>
    <row r="2335" spans="1:11">
      <c r="A2335" s="33" t="s">
        <v>5795</v>
      </c>
      <c r="B2335" s="33" t="s">
        <v>5796</v>
      </c>
      <c r="C2335" s="33" t="s">
        <v>5797</v>
      </c>
      <c r="D2335" s="33" t="s">
        <v>17</v>
      </c>
      <c r="E2335" s="33" t="s">
        <v>26</v>
      </c>
      <c r="F2335" s="33" t="s">
        <v>27</v>
      </c>
      <c r="G2335" s="33" t="s">
        <v>158</v>
      </c>
      <c r="H2335" s="35">
        <v>12</v>
      </c>
      <c r="I2335" s="33" t="s">
        <v>21</v>
      </c>
      <c r="J2335" s="42">
        <v>44021</v>
      </c>
      <c r="K2335" s="33" t="s">
        <v>22</v>
      </c>
    </row>
    <row r="2336" spans="1:11">
      <c r="A2336" s="30" t="s">
        <v>5798</v>
      </c>
      <c r="B2336" s="30" t="s">
        <v>5799</v>
      </c>
      <c r="C2336" s="30" t="s">
        <v>4328</v>
      </c>
      <c r="D2336" s="30" t="s">
        <v>17</v>
      </c>
      <c r="E2336" s="30" t="s">
        <v>26</v>
      </c>
      <c r="F2336" s="30" t="s">
        <v>27</v>
      </c>
      <c r="G2336" s="30" t="s">
        <v>158</v>
      </c>
      <c r="H2336" s="32">
        <v>113</v>
      </c>
      <c r="I2336" s="30" t="s">
        <v>51</v>
      </c>
      <c r="J2336" s="41">
        <v>44084</v>
      </c>
      <c r="K2336" s="30" t="s">
        <v>22</v>
      </c>
    </row>
    <row r="2337" spans="1:11">
      <c r="A2337" s="33" t="s">
        <v>5800</v>
      </c>
      <c r="B2337" s="33" t="s">
        <v>5801</v>
      </c>
      <c r="C2337" s="33" t="s">
        <v>5802</v>
      </c>
      <c r="D2337" s="33" t="s">
        <v>17</v>
      </c>
      <c r="E2337" s="33" t="s">
        <v>26</v>
      </c>
      <c r="F2337" s="33" t="s">
        <v>27</v>
      </c>
      <c r="G2337" s="33" t="s">
        <v>20</v>
      </c>
      <c r="H2337" s="35">
        <v>67</v>
      </c>
      <c r="I2337" s="33" t="s">
        <v>21</v>
      </c>
      <c r="J2337" s="42">
        <v>44097</v>
      </c>
      <c r="K2337" s="33" t="s">
        <v>22</v>
      </c>
    </row>
    <row r="2338" spans="1:11">
      <c r="A2338" s="30" t="s">
        <v>5803</v>
      </c>
      <c r="B2338" s="30" t="s">
        <v>5804</v>
      </c>
      <c r="C2338" s="30" t="s">
        <v>5805</v>
      </c>
      <c r="D2338" s="30" t="s">
        <v>17</v>
      </c>
      <c r="E2338" s="30" t="s">
        <v>26</v>
      </c>
      <c r="F2338" s="30" t="s">
        <v>27</v>
      </c>
      <c r="G2338" s="30" t="s">
        <v>20</v>
      </c>
      <c r="H2338" s="32">
        <v>41</v>
      </c>
      <c r="I2338" s="30" t="s">
        <v>21</v>
      </c>
      <c r="J2338" s="41">
        <v>44159</v>
      </c>
      <c r="K2338" s="30" t="s">
        <v>22</v>
      </c>
    </row>
    <row r="2339" spans="1:11">
      <c r="A2339" s="33" t="s">
        <v>5806</v>
      </c>
      <c r="B2339" s="33" t="s">
        <v>5807</v>
      </c>
      <c r="C2339" s="33" t="s">
        <v>5808</v>
      </c>
      <c r="D2339" s="33" t="s">
        <v>17</v>
      </c>
      <c r="E2339" s="33" t="s">
        <v>26</v>
      </c>
      <c r="F2339" s="33" t="s">
        <v>27</v>
      </c>
      <c r="G2339" s="33" t="s">
        <v>20</v>
      </c>
      <c r="H2339" s="35">
        <v>120</v>
      </c>
      <c r="I2339" s="33" t="s">
        <v>21</v>
      </c>
      <c r="J2339" s="42">
        <v>44007</v>
      </c>
      <c r="K2339" s="33" t="s">
        <v>22</v>
      </c>
    </row>
    <row r="2340" spans="1:11">
      <c r="A2340" s="30" t="s">
        <v>5809</v>
      </c>
      <c r="B2340" s="30" t="s">
        <v>5810</v>
      </c>
      <c r="C2340" s="30" t="s">
        <v>5811</v>
      </c>
      <c r="D2340" s="30" t="s">
        <v>17</v>
      </c>
      <c r="E2340" s="30" t="s">
        <v>18</v>
      </c>
      <c r="F2340" s="30" t="s">
        <v>19</v>
      </c>
      <c r="G2340" s="30" t="s">
        <v>20</v>
      </c>
      <c r="H2340" s="32">
        <v>604</v>
      </c>
      <c r="I2340" s="30" t="s">
        <v>21</v>
      </c>
      <c r="J2340" s="41">
        <v>44046</v>
      </c>
      <c r="K2340" s="30" t="s">
        <v>22</v>
      </c>
    </row>
    <row r="2341" spans="1:11">
      <c r="A2341" s="33" t="s">
        <v>5812</v>
      </c>
      <c r="B2341" s="33" t="s">
        <v>5813</v>
      </c>
      <c r="C2341" s="33" t="s">
        <v>5814</v>
      </c>
      <c r="D2341" s="33" t="s">
        <v>17</v>
      </c>
      <c r="E2341" s="33" t="s">
        <v>31</v>
      </c>
      <c r="F2341" s="33" t="s">
        <v>32</v>
      </c>
      <c r="G2341" s="33" t="s">
        <v>20</v>
      </c>
      <c r="H2341" s="35">
        <v>124</v>
      </c>
      <c r="I2341" s="33" t="s">
        <v>21</v>
      </c>
      <c r="J2341" s="42">
        <v>44119</v>
      </c>
      <c r="K2341" s="33" t="s">
        <v>22</v>
      </c>
    </row>
    <row r="2342" spans="1:11">
      <c r="A2342" s="30" t="s">
        <v>5815</v>
      </c>
      <c r="B2342" s="30" t="s">
        <v>5816</v>
      </c>
      <c r="C2342" s="30" t="s">
        <v>5817</v>
      </c>
      <c r="D2342" s="30" t="s">
        <v>17</v>
      </c>
      <c r="E2342" s="30" t="s">
        <v>31</v>
      </c>
      <c r="F2342" s="30" t="s">
        <v>32</v>
      </c>
      <c r="G2342" s="30" t="s">
        <v>20</v>
      </c>
      <c r="H2342" s="32">
        <v>25</v>
      </c>
      <c r="I2342" s="30" t="s">
        <v>21</v>
      </c>
      <c r="J2342" s="41">
        <v>44174</v>
      </c>
      <c r="K2342" s="30" t="s">
        <v>22</v>
      </c>
    </row>
    <row r="2343" spans="1:11">
      <c r="A2343" s="33" t="s">
        <v>5818</v>
      </c>
      <c r="B2343" s="33" t="s">
        <v>5819</v>
      </c>
      <c r="C2343" s="33" t="s">
        <v>57</v>
      </c>
      <c r="D2343" s="33" t="s">
        <v>17</v>
      </c>
      <c r="E2343" s="33" t="s">
        <v>26</v>
      </c>
      <c r="F2343" s="33" t="s">
        <v>27</v>
      </c>
      <c r="G2343" s="33" t="s">
        <v>50</v>
      </c>
      <c r="H2343" s="35">
        <v>35</v>
      </c>
      <c r="I2343" s="33" t="s">
        <v>51</v>
      </c>
      <c r="J2343" s="42">
        <v>43831</v>
      </c>
      <c r="K2343" s="33" t="s">
        <v>22</v>
      </c>
    </row>
    <row r="2344" spans="1:11">
      <c r="A2344" s="30" t="s">
        <v>5820</v>
      </c>
      <c r="B2344" s="30" t="s">
        <v>5821</v>
      </c>
      <c r="C2344" s="30" t="s">
        <v>5822</v>
      </c>
      <c r="D2344" s="30" t="s">
        <v>17</v>
      </c>
      <c r="E2344" s="30" t="s">
        <v>31</v>
      </c>
      <c r="F2344" s="30" t="s">
        <v>32</v>
      </c>
      <c r="G2344" s="30" t="s">
        <v>20</v>
      </c>
      <c r="H2344" s="32">
        <v>19</v>
      </c>
      <c r="I2344" s="30" t="s">
        <v>21</v>
      </c>
      <c r="J2344" s="41">
        <v>44053</v>
      </c>
      <c r="K2344" s="30" t="s">
        <v>22</v>
      </c>
    </row>
    <row r="2345" spans="1:11">
      <c r="A2345" s="33" t="s">
        <v>5823</v>
      </c>
      <c r="B2345" s="33" t="s">
        <v>5824</v>
      </c>
      <c r="C2345" s="33" t="s">
        <v>5825</v>
      </c>
      <c r="D2345" s="33" t="s">
        <v>17</v>
      </c>
      <c r="E2345" s="33" t="s">
        <v>67</v>
      </c>
      <c r="F2345" s="33" t="s">
        <v>68</v>
      </c>
      <c r="G2345" s="33" t="s">
        <v>106</v>
      </c>
      <c r="H2345" s="35">
        <v>175</v>
      </c>
      <c r="I2345" s="33" t="s">
        <v>21</v>
      </c>
      <c r="J2345" s="42">
        <v>43885</v>
      </c>
      <c r="K2345" s="33" t="s">
        <v>22</v>
      </c>
    </row>
    <row r="2346" spans="1:11">
      <c r="A2346" s="30" t="s">
        <v>5826</v>
      </c>
      <c r="B2346" s="30" t="s">
        <v>5827</v>
      </c>
      <c r="C2346" s="30" t="s">
        <v>178</v>
      </c>
      <c r="D2346" s="30" t="s">
        <v>17</v>
      </c>
      <c r="E2346" s="30" t="s">
        <v>26</v>
      </c>
      <c r="F2346" s="30" t="s">
        <v>27</v>
      </c>
      <c r="G2346" s="30" t="s">
        <v>20</v>
      </c>
      <c r="H2346" s="32">
        <v>38</v>
      </c>
      <c r="I2346" s="30" t="s">
        <v>21</v>
      </c>
      <c r="J2346" s="41">
        <v>43872</v>
      </c>
      <c r="K2346" s="30" t="s">
        <v>22</v>
      </c>
    </row>
    <row r="2347" spans="1:11">
      <c r="A2347" s="33" t="s">
        <v>5828</v>
      </c>
      <c r="B2347" s="33" t="s">
        <v>5829</v>
      </c>
      <c r="C2347" s="33" t="s">
        <v>644</v>
      </c>
      <c r="D2347" s="33" t="s">
        <v>17</v>
      </c>
      <c r="E2347" s="33" t="s">
        <v>67</v>
      </c>
      <c r="F2347" s="33" t="s">
        <v>68</v>
      </c>
      <c r="G2347" s="33" t="s">
        <v>20</v>
      </c>
      <c r="H2347" s="35">
        <v>198</v>
      </c>
      <c r="I2347" s="33" t="s">
        <v>21</v>
      </c>
      <c r="J2347" s="42">
        <v>43935</v>
      </c>
      <c r="K2347" s="33" t="s">
        <v>22</v>
      </c>
    </row>
    <row r="2348" spans="1:11">
      <c r="A2348" s="30" t="s">
        <v>5830</v>
      </c>
      <c r="B2348" s="30" t="s">
        <v>5831</v>
      </c>
      <c r="C2348" s="30" t="s">
        <v>5832</v>
      </c>
      <c r="D2348" s="30" t="s">
        <v>17</v>
      </c>
      <c r="E2348" s="30" t="s">
        <v>67</v>
      </c>
      <c r="F2348" s="30" t="s">
        <v>68</v>
      </c>
      <c r="G2348" s="30" t="s">
        <v>106</v>
      </c>
      <c r="H2348" s="32">
        <v>12</v>
      </c>
      <c r="I2348" s="30" t="s">
        <v>21</v>
      </c>
      <c r="J2348" s="41">
        <v>44001</v>
      </c>
      <c r="K2348" s="30" t="s">
        <v>22</v>
      </c>
    </row>
    <row r="2349" spans="1:11">
      <c r="A2349" s="33" t="s">
        <v>5833</v>
      </c>
      <c r="B2349" s="33" t="s">
        <v>5834</v>
      </c>
      <c r="C2349" s="33" t="s">
        <v>5835</v>
      </c>
      <c r="D2349" s="33" t="s">
        <v>17</v>
      </c>
      <c r="E2349" s="33" t="s">
        <v>18</v>
      </c>
      <c r="F2349" s="33" t="s">
        <v>19</v>
      </c>
      <c r="G2349" s="33" t="s">
        <v>20</v>
      </c>
      <c r="H2349" s="35">
        <v>515</v>
      </c>
      <c r="I2349" s="33" t="s">
        <v>21</v>
      </c>
      <c r="J2349" s="42">
        <v>44007</v>
      </c>
      <c r="K2349" s="33" t="s">
        <v>22</v>
      </c>
    </row>
    <row r="2350" spans="1:11">
      <c r="A2350" s="30" t="s">
        <v>5836</v>
      </c>
      <c r="B2350" s="30" t="s">
        <v>5837</v>
      </c>
      <c r="C2350" s="30" t="s">
        <v>1469</v>
      </c>
      <c r="D2350" s="30" t="s">
        <v>17</v>
      </c>
      <c r="E2350" s="30" t="s">
        <v>18</v>
      </c>
      <c r="F2350" s="30" t="s">
        <v>19</v>
      </c>
      <c r="G2350" s="30" t="s">
        <v>20</v>
      </c>
      <c r="H2350" s="32">
        <v>303</v>
      </c>
      <c r="I2350" s="30" t="s">
        <v>21</v>
      </c>
      <c r="J2350" s="41">
        <v>43871</v>
      </c>
      <c r="K2350" s="30" t="s">
        <v>22</v>
      </c>
    </row>
    <row r="2351" spans="1:11">
      <c r="A2351" s="33" t="s">
        <v>5838</v>
      </c>
      <c r="B2351" s="33" t="s">
        <v>5839</v>
      </c>
      <c r="C2351" s="33" t="s">
        <v>3757</v>
      </c>
      <c r="D2351" s="33" t="s">
        <v>17</v>
      </c>
      <c r="E2351" s="33" t="s">
        <v>31</v>
      </c>
      <c r="F2351" s="33" t="s">
        <v>32</v>
      </c>
      <c r="G2351" s="33" t="s">
        <v>20</v>
      </c>
      <c r="H2351" s="35">
        <v>240</v>
      </c>
      <c r="I2351" s="33" t="s">
        <v>21</v>
      </c>
      <c r="J2351" s="42">
        <v>44018</v>
      </c>
      <c r="K2351" s="33" t="s">
        <v>22</v>
      </c>
    </row>
    <row r="2352" spans="1:11">
      <c r="A2352" s="30" t="s">
        <v>5840</v>
      </c>
      <c r="B2352" s="30" t="s">
        <v>5841</v>
      </c>
      <c r="C2352" s="30" t="s">
        <v>5842</v>
      </c>
      <c r="D2352" s="30" t="s">
        <v>17</v>
      </c>
      <c r="E2352" s="30" t="s">
        <v>26</v>
      </c>
      <c r="F2352" s="30" t="s">
        <v>27</v>
      </c>
      <c r="G2352" s="30" t="s">
        <v>106</v>
      </c>
      <c r="H2352" s="32">
        <v>18</v>
      </c>
      <c r="I2352" s="30" t="s">
        <v>21</v>
      </c>
      <c r="J2352" s="41">
        <v>43882</v>
      </c>
      <c r="K2352" s="30" t="s">
        <v>22</v>
      </c>
    </row>
    <row r="2353" spans="1:11">
      <c r="A2353" s="33" t="s">
        <v>5843</v>
      </c>
      <c r="B2353" s="33" t="s">
        <v>5844</v>
      </c>
      <c r="C2353" s="33" t="s">
        <v>5845</v>
      </c>
      <c r="D2353" s="33" t="s">
        <v>17</v>
      </c>
      <c r="E2353" s="33" t="s">
        <v>26</v>
      </c>
      <c r="F2353" s="33" t="s">
        <v>27</v>
      </c>
      <c r="G2353" s="33" t="s">
        <v>20</v>
      </c>
      <c r="H2353" s="35">
        <v>56</v>
      </c>
      <c r="I2353" s="33" t="s">
        <v>21</v>
      </c>
      <c r="J2353" s="42">
        <v>44110</v>
      </c>
      <c r="K2353" s="33" t="s">
        <v>22</v>
      </c>
    </row>
    <row r="2354" spans="1:11">
      <c r="A2354" s="30" t="s">
        <v>5846</v>
      </c>
      <c r="B2354" s="30" t="s">
        <v>5847</v>
      </c>
      <c r="C2354" s="30" t="s">
        <v>5848</v>
      </c>
      <c r="D2354" s="30" t="s">
        <v>17</v>
      </c>
      <c r="E2354" s="30" t="s">
        <v>67</v>
      </c>
      <c r="F2354" s="30" t="s">
        <v>68</v>
      </c>
      <c r="G2354" s="30" t="s">
        <v>50</v>
      </c>
      <c r="H2354" s="32">
        <v>6</v>
      </c>
      <c r="I2354" s="30" t="s">
        <v>21</v>
      </c>
      <c r="J2354" s="41">
        <v>43871</v>
      </c>
      <c r="K2354" s="30" t="s">
        <v>22</v>
      </c>
    </row>
    <row r="2355" spans="1:11">
      <c r="A2355" s="33" t="s">
        <v>5849</v>
      </c>
      <c r="B2355" s="33" t="s">
        <v>5850</v>
      </c>
      <c r="C2355" s="33" t="s">
        <v>4345</v>
      </c>
      <c r="D2355" s="33" t="s">
        <v>17</v>
      </c>
      <c r="E2355" s="33" t="s">
        <v>18</v>
      </c>
      <c r="F2355" s="33" t="s">
        <v>19</v>
      </c>
      <c r="G2355" s="33" t="s">
        <v>20</v>
      </c>
      <c r="H2355" s="35">
        <v>66</v>
      </c>
      <c r="I2355" s="33" t="s">
        <v>21</v>
      </c>
      <c r="J2355" s="42">
        <v>44153</v>
      </c>
      <c r="K2355" s="33" t="s">
        <v>22</v>
      </c>
    </row>
    <row r="2356" spans="1:11">
      <c r="A2356" s="30" t="s">
        <v>5851</v>
      </c>
      <c r="B2356" s="30" t="s">
        <v>5852</v>
      </c>
      <c r="C2356" s="30" t="s">
        <v>118</v>
      </c>
      <c r="D2356" s="30" t="s">
        <v>17</v>
      </c>
      <c r="E2356" s="30" t="s">
        <v>26</v>
      </c>
      <c r="F2356" s="30" t="s">
        <v>27</v>
      </c>
      <c r="G2356" s="30" t="s">
        <v>20</v>
      </c>
      <c r="H2356" s="32">
        <v>14</v>
      </c>
      <c r="I2356" s="30" t="s">
        <v>21</v>
      </c>
      <c r="J2356" s="41">
        <v>43892</v>
      </c>
      <c r="K2356" s="30" t="s">
        <v>22</v>
      </c>
    </row>
    <row r="2357" spans="1:11">
      <c r="A2357" s="33" t="s">
        <v>5853</v>
      </c>
      <c r="B2357" s="33" t="s">
        <v>5854</v>
      </c>
      <c r="C2357" s="33" t="s">
        <v>93</v>
      </c>
      <c r="D2357" s="33" t="s">
        <v>17</v>
      </c>
      <c r="E2357" s="33" t="s">
        <v>212</v>
      </c>
      <c r="F2357" s="33" t="s">
        <v>213</v>
      </c>
      <c r="G2357" s="33" t="s">
        <v>112</v>
      </c>
      <c r="H2357" s="35">
        <v>0</v>
      </c>
      <c r="I2357" s="33" t="s">
        <v>21</v>
      </c>
      <c r="J2357" s="42">
        <v>43957</v>
      </c>
      <c r="K2357" s="33" t="s">
        <v>22</v>
      </c>
    </row>
    <row r="2358" spans="1:11">
      <c r="A2358" s="30" t="s">
        <v>5855</v>
      </c>
      <c r="B2358" s="30" t="s">
        <v>5856</v>
      </c>
      <c r="C2358" s="30" t="s">
        <v>5857</v>
      </c>
      <c r="D2358" s="30" t="s">
        <v>17</v>
      </c>
      <c r="E2358" s="30" t="s">
        <v>26</v>
      </c>
      <c r="F2358" s="30" t="s">
        <v>27</v>
      </c>
      <c r="G2358" s="30" t="s">
        <v>112</v>
      </c>
      <c r="H2358" s="32">
        <v>0</v>
      </c>
      <c r="I2358" s="30" t="s">
        <v>21</v>
      </c>
      <c r="J2358" s="41">
        <v>44166</v>
      </c>
      <c r="K2358" s="30" t="s">
        <v>22</v>
      </c>
    </row>
    <row r="2359" spans="1:11">
      <c r="A2359" s="33" t="s">
        <v>5858</v>
      </c>
      <c r="B2359" s="33" t="s">
        <v>5859</v>
      </c>
      <c r="C2359" s="33" t="s">
        <v>329</v>
      </c>
      <c r="D2359" s="33" t="s">
        <v>17</v>
      </c>
      <c r="E2359" s="33" t="s">
        <v>67</v>
      </c>
      <c r="F2359" s="33" t="s">
        <v>68</v>
      </c>
      <c r="G2359" s="33" t="s">
        <v>50</v>
      </c>
      <c r="H2359" s="35">
        <v>696</v>
      </c>
      <c r="I2359" s="33" t="s">
        <v>51</v>
      </c>
      <c r="J2359" s="42">
        <v>44044</v>
      </c>
      <c r="K2359" s="33" t="s">
        <v>22</v>
      </c>
    </row>
    <row r="2360" spans="1:11">
      <c r="A2360" s="30" t="s">
        <v>5860</v>
      </c>
      <c r="B2360" s="30" t="s">
        <v>5861</v>
      </c>
      <c r="C2360" s="30" t="s">
        <v>102</v>
      </c>
      <c r="D2360" s="30" t="s">
        <v>17</v>
      </c>
      <c r="E2360" s="30" t="s">
        <v>26</v>
      </c>
      <c r="F2360" s="30" t="s">
        <v>27</v>
      </c>
      <c r="G2360" s="30" t="s">
        <v>20</v>
      </c>
      <c r="H2360" s="32">
        <v>24</v>
      </c>
      <c r="I2360" s="30" t="s">
        <v>21</v>
      </c>
      <c r="J2360" s="41">
        <v>44120</v>
      </c>
      <c r="K2360" s="30" t="s">
        <v>22</v>
      </c>
    </row>
    <row r="2361" spans="1:11">
      <c r="A2361" s="33" t="s">
        <v>5862</v>
      </c>
      <c r="B2361" s="33" t="s">
        <v>5863</v>
      </c>
      <c r="C2361" s="33" t="s">
        <v>5139</v>
      </c>
      <c r="D2361" s="33" t="s">
        <v>17</v>
      </c>
      <c r="E2361" s="33" t="s">
        <v>26</v>
      </c>
      <c r="F2361" s="33" t="s">
        <v>27</v>
      </c>
      <c r="G2361" s="33" t="s">
        <v>20</v>
      </c>
      <c r="H2361" s="35">
        <v>109</v>
      </c>
      <c r="I2361" s="33" t="s">
        <v>21</v>
      </c>
      <c r="J2361" s="42">
        <v>44130</v>
      </c>
      <c r="K2361" s="33" t="s">
        <v>22</v>
      </c>
    </row>
    <row r="2362" spans="1:11">
      <c r="A2362" s="30" t="s">
        <v>5864</v>
      </c>
      <c r="B2362" s="30" t="s">
        <v>5865</v>
      </c>
      <c r="C2362" s="30" t="s">
        <v>1498</v>
      </c>
      <c r="D2362" s="30" t="s">
        <v>17</v>
      </c>
      <c r="E2362" s="30" t="s">
        <v>18</v>
      </c>
      <c r="F2362" s="30" t="s">
        <v>19</v>
      </c>
      <c r="G2362" s="30" t="s">
        <v>20</v>
      </c>
      <c r="H2362" s="32">
        <v>548</v>
      </c>
      <c r="I2362" s="30" t="s">
        <v>21</v>
      </c>
      <c r="J2362" s="41">
        <v>44075</v>
      </c>
      <c r="K2362" s="30" t="s">
        <v>22</v>
      </c>
    </row>
    <row r="2363" spans="1:11">
      <c r="A2363" s="33" t="s">
        <v>5866</v>
      </c>
      <c r="B2363" s="33" t="s">
        <v>5867</v>
      </c>
      <c r="C2363" s="33" t="s">
        <v>118</v>
      </c>
      <c r="D2363" s="33" t="s">
        <v>17</v>
      </c>
      <c r="E2363" s="33" t="s">
        <v>31</v>
      </c>
      <c r="F2363" s="33" t="s">
        <v>32</v>
      </c>
      <c r="G2363" s="33" t="s">
        <v>20</v>
      </c>
      <c r="H2363" s="35">
        <v>307</v>
      </c>
      <c r="I2363" s="33" t="s">
        <v>21</v>
      </c>
      <c r="J2363" s="42">
        <v>44078</v>
      </c>
      <c r="K2363" s="33" t="s">
        <v>22</v>
      </c>
    </row>
    <row r="2364" spans="1:11">
      <c r="A2364" s="30" t="s">
        <v>5868</v>
      </c>
      <c r="B2364" s="30" t="s">
        <v>5869</v>
      </c>
      <c r="C2364" s="30" t="s">
        <v>5870</v>
      </c>
      <c r="D2364" s="30" t="s">
        <v>17</v>
      </c>
      <c r="E2364" s="30" t="s">
        <v>18</v>
      </c>
      <c r="F2364" s="30" t="s">
        <v>19</v>
      </c>
      <c r="G2364" s="30" t="s">
        <v>20</v>
      </c>
      <c r="H2364" s="32">
        <v>6940</v>
      </c>
      <c r="I2364" s="30" t="s">
        <v>21</v>
      </c>
      <c r="J2364" s="41">
        <v>44144</v>
      </c>
      <c r="K2364" s="30" t="s">
        <v>22</v>
      </c>
    </row>
    <row r="2365" spans="1:11">
      <c r="A2365" s="33" t="s">
        <v>5871</v>
      </c>
      <c r="B2365" s="33" t="s">
        <v>5872</v>
      </c>
      <c r="C2365" s="33" t="s">
        <v>326</v>
      </c>
      <c r="D2365" s="33" t="s">
        <v>17</v>
      </c>
      <c r="E2365" s="33" t="s">
        <v>26</v>
      </c>
      <c r="F2365" s="33" t="s">
        <v>27</v>
      </c>
      <c r="G2365" s="33" t="s">
        <v>106</v>
      </c>
      <c r="H2365" s="35">
        <v>1</v>
      </c>
      <c r="I2365" s="33" t="s">
        <v>21</v>
      </c>
      <c r="J2365" s="42">
        <v>44034</v>
      </c>
      <c r="K2365" s="33" t="s">
        <v>22</v>
      </c>
    </row>
    <row r="2366" spans="1:11">
      <c r="A2366" s="30" t="s">
        <v>5873</v>
      </c>
      <c r="B2366" s="30" t="s">
        <v>5874</v>
      </c>
      <c r="C2366" s="30" t="s">
        <v>2313</v>
      </c>
      <c r="D2366" s="30" t="s">
        <v>17</v>
      </c>
      <c r="E2366" s="30" t="s">
        <v>31</v>
      </c>
      <c r="F2366" s="30" t="s">
        <v>32</v>
      </c>
      <c r="G2366" s="30" t="s">
        <v>20</v>
      </c>
      <c r="H2366" s="32">
        <v>396</v>
      </c>
      <c r="I2366" s="30" t="s">
        <v>21</v>
      </c>
      <c r="J2366" s="41">
        <v>43984</v>
      </c>
      <c r="K2366" s="30" t="s">
        <v>22</v>
      </c>
    </row>
    <row r="2367" spans="1:11">
      <c r="A2367" s="33" t="s">
        <v>5875</v>
      </c>
      <c r="B2367" s="33" t="s">
        <v>5876</v>
      </c>
      <c r="C2367" s="33" t="s">
        <v>5877</v>
      </c>
      <c r="D2367" s="33" t="s">
        <v>17</v>
      </c>
      <c r="E2367" s="33" t="s">
        <v>26</v>
      </c>
      <c r="F2367" s="33" t="s">
        <v>27</v>
      </c>
      <c r="G2367" s="33" t="s">
        <v>20</v>
      </c>
      <c r="H2367" s="35">
        <v>32</v>
      </c>
      <c r="I2367" s="33" t="s">
        <v>21</v>
      </c>
      <c r="J2367" s="42">
        <v>44179</v>
      </c>
      <c r="K2367" s="33" t="s">
        <v>22</v>
      </c>
    </row>
    <row r="2368" spans="1:11">
      <c r="A2368" s="30" t="s">
        <v>5878</v>
      </c>
      <c r="B2368" s="30" t="s">
        <v>5879</v>
      </c>
      <c r="C2368" s="30" t="s">
        <v>899</v>
      </c>
      <c r="D2368" s="30" t="s">
        <v>17</v>
      </c>
      <c r="E2368" s="30" t="s">
        <v>26</v>
      </c>
      <c r="F2368" s="30" t="s">
        <v>27</v>
      </c>
      <c r="G2368" s="30" t="s">
        <v>20</v>
      </c>
      <c r="H2368" s="32">
        <v>66</v>
      </c>
      <c r="I2368" s="30" t="s">
        <v>21</v>
      </c>
      <c r="J2368" s="41">
        <v>44088</v>
      </c>
      <c r="K2368" s="30" t="s">
        <v>22</v>
      </c>
    </row>
    <row r="2369" spans="1:11">
      <c r="A2369" s="33" t="s">
        <v>5880</v>
      </c>
      <c r="B2369" s="33" t="s">
        <v>5881</v>
      </c>
      <c r="C2369" s="33" t="s">
        <v>647</v>
      </c>
      <c r="D2369" s="33" t="s">
        <v>17</v>
      </c>
      <c r="E2369" s="33" t="s">
        <v>18</v>
      </c>
      <c r="F2369" s="33" t="s">
        <v>19</v>
      </c>
      <c r="G2369" s="33" t="s">
        <v>20</v>
      </c>
      <c r="H2369" s="35">
        <v>35</v>
      </c>
      <c r="I2369" s="33" t="s">
        <v>21</v>
      </c>
      <c r="J2369" s="42">
        <v>43908</v>
      </c>
      <c r="K2369" s="33" t="s">
        <v>22</v>
      </c>
    </row>
    <row r="2370" spans="1:11">
      <c r="A2370" s="30" t="s">
        <v>5882</v>
      </c>
      <c r="B2370" s="30" t="s">
        <v>5883</v>
      </c>
      <c r="C2370" s="30" t="s">
        <v>102</v>
      </c>
      <c r="D2370" s="30" t="s">
        <v>17</v>
      </c>
      <c r="E2370" s="30" t="s">
        <v>67</v>
      </c>
      <c r="F2370" s="30" t="s">
        <v>68</v>
      </c>
      <c r="G2370" s="30" t="s">
        <v>158</v>
      </c>
      <c r="H2370" s="32">
        <v>228</v>
      </c>
      <c r="I2370" s="30" t="s">
        <v>21</v>
      </c>
      <c r="J2370" s="41">
        <v>44180</v>
      </c>
      <c r="K2370" s="30" t="s">
        <v>22</v>
      </c>
    </row>
    <row r="2371" spans="1:11">
      <c r="A2371" s="33" t="s">
        <v>5884</v>
      </c>
      <c r="B2371" s="33" t="s">
        <v>5885</v>
      </c>
      <c r="C2371" s="33" t="s">
        <v>1313</v>
      </c>
      <c r="D2371" s="33" t="s">
        <v>17</v>
      </c>
      <c r="E2371" s="33" t="s">
        <v>67</v>
      </c>
      <c r="F2371" s="33" t="s">
        <v>68</v>
      </c>
      <c r="G2371" s="33" t="s">
        <v>112</v>
      </c>
      <c r="H2371" s="35">
        <v>0</v>
      </c>
      <c r="I2371" s="33" t="s">
        <v>21</v>
      </c>
      <c r="J2371" s="42">
        <v>44166</v>
      </c>
      <c r="K2371" s="33" t="s">
        <v>22</v>
      </c>
    </row>
    <row r="2372" spans="1:11">
      <c r="A2372" s="30" t="s">
        <v>5886</v>
      </c>
      <c r="B2372" s="30" t="s">
        <v>5887</v>
      </c>
      <c r="C2372" s="30" t="s">
        <v>149</v>
      </c>
      <c r="D2372" s="30" t="s">
        <v>17</v>
      </c>
      <c r="E2372" s="30" t="s">
        <v>18</v>
      </c>
      <c r="F2372" s="30" t="s">
        <v>19</v>
      </c>
      <c r="G2372" s="30" t="s">
        <v>140</v>
      </c>
      <c r="H2372" s="32">
        <v>550</v>
      </c>
      <c r="I2372" s="30" t="s">
        <v>51</v>
      </c>
      <c r="J2372" s="41">
        <v>44095</v>
      </c>
      <c r="K2372" s="30" t="s">
        <v>22</v>
      </c>
    </row>
    <row r="2373" spans="1:11">
      <c r="A2373" s="33" t="s">
        <v>5888</v>
      </c>
      <c r="B2373" s="33" t="s">
        <v>5889</v>
      </c>
      <c r="C2373" s="33" t="s">
        <v>2894</v>
      </c>
      <c r="D2373" s="33" t="s">
        <v>17</v>
      </c>
      <c r="E2373" s="33" t="s">
        <v>18</v>
      </c>
      <c r="F2373" s="33" t="s">
        <v>19</v>
      </c>
      <c r="G2373" s="33" t="s">
        <v>20</v>
      </c>
      <c r="H2373" s="35">
        <v>33</v>
      </c>
      <c r="I2373" s="33" t="s">
        <v>21</v>
      </c>
      <c r="J2373" s="42">
        <v>44076</v>
      </c>
      <c r="K2373" s="33" t="s">
        <v>22</v>
      </c>
    </row>
    <row r="2374" spans="1:11">
      <c r="A2374" s="30" t="s">
        <v>5890</v>
      </c>
      <c r="B2374" s="30" t="s">
        <v>5891</v>
      </c>
      <c r="C2374" s="30" t="s">
        <v>1350</v>
      </c>
      <c r="D2374" s="30" t="s">
        <v>17</v>
      </c>
      <c r="E2374" s="30" t="s">
        <v>31</v>
      </c>
      <c r="F2374" s="30" t="s">
        <v>32</v>
      </c>
      <c r="G2374" s="30" t="s">
        <v>106</v>
      </c>
      <c r="H2374" s="32">
        <v>95</v>
      </c>
      <c r="I2374" s="30" t="s">
        <v>21</v>
      </c>
      <c r="J2374" s="41">
        <v>44167</v>
      </c>
      <c r="K2374" s="30" t="s">
        <v>22</v>
      </c>
    </row>
    <row r="2375" spans="1:11">
      <c r="A2375" s="33" t="s">
        <v>5892</v>
      </c>
      <c r="B2375" s="33" t="s">
        <v>5893</v>
      </c>
      <c r="C2375" s="33" t="s">
        <v>109</v>
      </c>
      <c r="D2375" s="33" t="s">
        <v>17</v>
      </c>
      <c r="E2375" s="33" t="s">
        <v>18</v>
      </c>
      <c r="F2375" s="33" t="s">
        <v>19</v>
      </c>
      <c r="G2375" s="33" t="s">
        <v>106</v>
      </c>
      <c r="H2375" s="35">
        <v>1033</v>
      </c>
      <c r="I2375" s="33" t="s">
        <v>21</v>
      </c>
      <c r="J2375" s="42">
        <v>43929</v>
      </c>
      <c r="K2375" s="33" t="s">
        <v>22</v>
      </c>
    </row>
    <row r="2376" spans="1:11">
      <c r="A2376" s="30" t="s">
        <v>5894</v>
      </c>
      <c r="B2376" s="30" t="s">
        <v>5895</v>
      </c>
      <c r="C2376" s="30" t="s">
        <v>5896</v>
      </c>
      <c r="D2376" s="30" t="s">
        <v>17</v>
      </c>
      <c r="E2376" s="30" t="s">
        <v>212</v>
      </c>
      <c r="F2376" s="30" t="s">
        <v>213</v>
      </c>
      <c r="G2376" s="30" t="s">
        <v>50</v>
      </c>
      <c r="H2376" s="32">
        <v>50</v>
      </c>
      <c r="I2376" s="30" t="s">
        <v>51</v>
      </c>
      <c r="J2376" s="41">
        <v>43926</v>
      </c>
      <c r="K2376" s="30" t="s">
        <v>22</v>
      </c>
    </row>
    <row r="2377" spans="1:11">
      <c r="A2377" s="33" t="s">
        <v>5897</v>
      </c>
      <c r="B2377" s="33" t="s">
        <v>5898</v>
      </c>
      <c r="C2377" s="33" t="s">
        <v>587</v>
      </c>
      <c r="D2377" s="33" t="s">
        <v>17</v>
      </c>
      <c r="E2377" s="33" t="s">
        <v>26</v>
      </c>
      <c r="F2377" s="33" t="s">
        <v>27</v>
      </c>
      <c r="G2377" s="33" t="s">
        <v>106</v>
      </c>
      <c r="H2377" s="35">
        <v>74</v>
      </c>
      <c r="I2377" s="33" t="s">
        <v>21</v>
      </c>
      <c r="J2377" s="42">
        <v>44173</v>
      </c>
      <c r="K2377" s="33" t="s">
        <v>22</v>
      </c>
    </row>
    <row r="2378" spans="1:11">
      <c r="A2378" s="30" t="s">
        <v>5899</v>
      </c>
      <c r="B2378" s="30" t="s">
        <v>5900</v>
      </c>
      <c r="C2378" s="30" t="s">
        <v>4817</v>
      </c>
      <c r="D2378" s="30" t="s">
        <v>17</v>
      </c>
      <c r="E2378" s="30" t="s">
        <v>26</v>
      </c>
      <c r="F2378" s="30" t="s">
        <v>27</v>
      </c>
      <c r="G2378" s="30" t="s">
        <v>20</v>
      </c>
      <c r="H2378" s="32">
        <v>34</v>
      </c>
      <c r="I2378" s="30" t="s">
        <v>21</v>
      </c>
      <c r="J2378" s="41">
        <v>43991</v>
      </c>
      <c r="K2378" s="30" t="s">
        <v>22</v>
      </c>
    </row>
    <row r="2379" spans="1:11">
      <c r="A2379" s="33" t="s">
        <v>5901</v>
      </c>
      <c r="B2379" s="33" t="s">
        <v>5902</v>
      </c>
      <c r="C2379" s="33" t="s">
        <v>136</v>
      </c>
      <c r="D2379" s="33" t="s">
        <v>17</v>
      </c>
      <c r="E2379" s="33" t="s">
        <v>18</v>
      </c>
      <c r="F2379" s="33" t="s">
        <v>19</v>
      </c>
      <c r="G2379" s="33" t="s">
        <v>158</v>
      </c>
      <c r="H2379" s="35">
        <v>312</v>
      </c>
      <c r="I2379" s="33" t="s">
        <v>21</v>
      </c>
      <c r="J2379" s="42">
        <v>44160</v>
      </c>
      <c r="K2379" s="33" t="s">
        <v>22</v>
      </c>
    </row>
    <row r="2380" spans="1:11">
      <c r="A2380" s="30" t="s">
        <v>5903</v>
      </c>
      <c r="B2380" s="30" t="s">
        <v>5904</v>
      </c>
      <c r="C2380" s="30" t="s">
        <v>936</v>
      </c>
      <c r="D2380" s="30" t="s">
        <v>17</v>
      </c>
      <c r="E2380" s="30" t="s">
        <v>31</v>
      </c>
      <c r="F2380" s="30" t="s">
        <v>32</v>
      </c>
      <c r="G2380" s="30" t="s">
        <v>20</v>
      </c>
      <c r="H2380" s="32">
        <v>87</v>
      </c>
      <c r="I2380" s="30" t="s">
        <v>21</v>
      </c>
      <c r="J2380" s="41">
        <v>44105</v>
      </c>
      <c r="K2380" s="30" t="s">
        <v>22</v>
      </c>
    </row>
    <row r="2381" spans="1:11">
      <c r="A2381" s="33" t="s">
        <v>5905</v>
      </c>
      <c r="B2381" s="33" t="s">
        <v>5906</v>
      </c>
      <c r="C2381" s="33" t="s">
        <v>5907</v>
      </c>
      <c r="D2381" s="33" t="s">
        <v>17</v>
      </c>
      <c r="E2381" s="33" t="s">
        <v>18</v>
      </c>
      <c r="F2381" s="33" t="s">
        <v>19</v>
      </c>
      <c r="G2381" s="33" t="s">
        <v>50</v>
      </c>
      <c r="H2381" s="35">
        <v>150</v>
      </c>
      <c r="I2381" s="33" t="s">
        <v>51</v>
      </c>
      <c r="J2381" s="42">
        <v>44075</v>
      </c>
      <c r="K2381" s="33" t="s">
        <v>22</v>
      </c>
    </row>
    <row r="2382" spans="1:11">
      <c r="A2382" s="30" t="s">
        <v>5908</v>
      </c>
      <c r="B2382" s="30" t="s">
        <v>5909</v>
      </c>
      <c r="C2382" s="30" t="s">
        <v>136</v>
      </c>
      <c r="D2382" s="30" t="s">
        <v>17</v>
      </c>
      <c r="E2382" s="30" t="s">
        <v>26</v>
      </c>
      <c r="F2382" s="30" t="s">
        <v>27</v>
      </c>
      <c r="G2382" s="30" t="s">
        <v>20</v>
      </c>
      <c r="H2382" s="32">
        <v>68</v>
      </c>
      <c r="I2382" s="30" t="s">
        <v>21</v>
      </c>
      <c r="J2382" s="41">
        <v>44112</v>
      </c>
      <c r="K2382" s="30" t="s">
        <v>22</v>
      </c>
    </row>
    <row r="2383" spans="1:11">
      <c r="A2383" s="33" t="s">
        <v>5910</v>
      </c>
      <c r="B2383" s="33" t="s">
        <v>5911</v>
      </c>
      <c r="C2383" s="33" t="s">
        <v>1000</v>
      </c>
      <c r="D2383" s="33" t="s">
        <v>17</v>
      </c>
      <c r="E2383" s="33" t="s">
        <v>31</v>
      </c>
      <c r="F2383" s="33" t="s">
        <v>32</v>
      </c>
      <c r="G2383" s="33" t="s">
        <v>112</v>
      </c>
      <c r="H2383" s="35">
        <v>0</v>
      </c>
      <c r="I2383" s="33" t="s">
        <v>21</v>
      </c>
      <c r="J2383" s="42">
        <v>43924</v>
      </c>
      <c r="K2383" s="33" t="s">
        <v>22</v>
      </c>
    </row>
    <row r="2384" spans="1:11">
      <c r="A2384" s="30" t="s">
        <v>5912</v>
      </c>
      <c r="B2384" s="30" t="s">
        <v>5913</v>
      </c>
      <c r="C2384" s="30" t="s">
        <v>190</v>
      </c>
      <c r="D2384" s="30" t="s">
        <v>17</v>
      </c>
      <c r="E2384" s="30" t="s">
        <v>18</v>
      </c>
      <c r="F2384" s="30" t="s">
        <v>19</v>
      </c>
      <c r="G2384" s="30" t="s">
        <v>158</v>
      </c>
      <c r="H2384" s="32">
        <v>866</v>
      </c>
      <c r="I2384" s="30" t="s">
        <v>21</v>
      </c>
      <c r="J2384" s="41">
        <v>44036</v>
      </c>
      <c r="K2384" s="30" t="s">
        <v>22</v>
      </c>
    </row>
    <row r="2385" spans="1:11">
      <c r="A2385" s="33" t="s">
        <v>5914</v>
      </c>
      <c r="B2385" s="33" t="s">
        <v>5915</v>
      </c>
      <c r="C2385" s="33" t="s">
        <v>5916</v>
      </c>
      <c r="D2385" s="33" t="s">
        <v>17</v>
      </c>
      <c r="E2385" s="33" t="s">
        <v>67</v>
      </c>
      <c r="F2385" s="33" t="s">
        <v>68</v>
      </c>
      <c r="G2385" s="33" t="s">
        <v>20</v>
      </c>
      <c r="H2385" s="35">
        <v>225</v>
      </c>
      <c r="I2385" s="33" t="s">
        <v>21</v>
      </c>
      <c r="J2385" s="42">
        <v>43991</v>
      </c>
      <c r="K2385" s="33" t="s">
        <v>22</v>
      </c>
    </row>
    <row r="2386" spans="1:11">
      <c r="A2386" s="30" t="s">
        <v>5917</v>
      </c>
      <c r="B2386" s="30" t="s">
        <v>5918</v>
      </c>
      <c r="C2386" s="30" t="s">
        <v>190</v>
      </c>
      <c r="D2386" s="30" t="s">
        <v>17</v>
      </c>
      <c r="E2386" s="30" t="s">
        <v>67</v>
      </c>
      <c r="F2386" s="30" t="s">
        <v>68</v>
      </c>
      <c r="G2386" s="30" t="s">
        <v>158</v>
      </c>
      <c r="H2386" s="32">
        <v>702</v>
      </c>
      <c r="I2386" s="30" t="s">
        <v>21</v>
      </c>
      <c r="J2386" s="41">
        <v>44147</v>
      </c>
      <c r="K2386" s="30" t="s">
        <v>22</v>
      </c>
    </row>
    <row r="2387" spans="1:11">
      <c r="A2387" s="33" t="s">
        <v>5919</v>
      </c>
      <c r="B2387" s="33" t="s">
        <v>5920</v>
      </c>
      <c r="C2387" s="33" t="s">
        <v>190</v>
      </c>
      <c r="D2387" s="33" t="s">
        <v>17</v>
      </c>
      <c r="E2387" s="33" t="s">
        <v>26</v>
      </c>
      <c r="F2387" s="33" t="s">
        <v>27</v>
      </c>
      <c r="G2387" s="33" t="s">
        <v>20</v>
      </c>
      <c r="H2387" s="35">
        <v>32</v>
      </c>
      <c r="I2387" s="33" t="s">
        <v>21</v>
      </c>
      <c r="J2387" s="42">
        <v>44091</v>
      </c>
      <c r="K2387" s="33" t="s">
        <v>22</v>
      </c>
    </row>
    <row r="2388" spans="1:11">
      <c r="A2388" s="30" t="s">
        <v>5921</v>
      </c>
      <c r="B2388" s="30" t="s">
        <v>5922</v>
      </c>
      <c r="C2388" s="30" t="s">
        <v>2272</v>
      </c>
      <c r="D2388" s="30" t="s">
        <v>17</v>
      </c>
      <c r="E2388" s="30" t="s">
        <v>212</v>
      </c>
      <c r="F2388" s="30" t="s">
        <v>213</v>
      </c>
      <c r="G2388" s="30" t="s">
        <v>20</v>
      </c>
      <c r="H2388" s="32">
        <v>24</v>
      </c>
      <c r="I2388" s="30" t="s">
        <v>21</v>
      </c>
      <c r="J2388" s="41">
        <v>44095</v>
      </c>
      <c r="K2388" s="30" t="s">
        <v>22</v>
      </c>
    </row>
    <row r="2389" spans="1:11">
      <c r="A2389" s="33" t="s">
        <v>5923</v>
      </c>
      <c r="B2389" s="33" t="s">
        <v>5924</v>
      </c>
      <c r="C2389" s="33" t="s">
        <v>450</v>
      </c>
      <c r="D2389" s="33" t="s">
        <v>17</v>
      </c>
      <c r="E2389" s="33" t="s">
        <v>26</v>
      </c>
      <c r="F2389" s="33" t="s">
        <v>27</v>
      </c>
      <c r="G2389" s="33" t="s">
        <v>20</v>
      </c>
      <c r="H2389" s="35">
        <v>24</v>
      </c>
      <c r="I2389" s="33" t="s">
        <v>21</v>
      </c>
      <c r="J2389" s="42">
        <v>44124</v>
      </c>
      <c r="K2389" s="33" t="s">
        <v>22</v>
      </c>
    </row>
    <row r="2390" spans="1:11">
      <c r="A2390" s="30" t="s">
        <v>5925</v>
      </c>
      <c r="B2390" s="30" t="s">
        <v>5926</v>
      </c>
      <c r="C2390" s="30" t="s">
        <v>118</v>
      </c>
      <c r="D2390" s="30" t="s">
        <v>17</v>
      </c>
      <c r="E2390" s="30" t="s">
        <v>31</v>
      </c>
      <c r="F2390" s="30" t="s">
        <v>32</v>
      </c>
      <c r="G2390" s="30" t="s">
        <v>20</v>
      </c>
      <c r="H2390" s="32">
        <v>243</v>
      </c>
      <c r="I2390" s="30" t="s">
        <v>21</v>
      </c>
      <c r="J2390" s="41">
        <v>44075</v>
      </c>
      <c r="K2390" s="30" t="s">
        <v>22</v>
      </c>
    </row>
    <row r="2391" spans="1:11">
      <c r="A2391" s="33" t="s">
        <v>5927</v>
      </c>
      <c r="B2391" s="33" t="s">
        <v>5928</v>
      </c>
      <c r="C2391" s="33" t="s">
        <v>5929</v>
      </c>
      <c r="D2391" s="33" t="s">
        <v>17</v>
      </c>
      <c r="E2391" s="33" t="s">
        <v>26</v>
      </c>
      <c r="F2391" s="33" t="s">
        <v>27</v>
      </c>
      <c r="G2391" s="33" t="s">
        <v>20</v>
      </c>
      <c r="H2391" s="35">
        <v>100</v>
      </c>
      <c r="I2391" s="33" t="s">
        <v>21</v>
      </c>
      <c r="J2391" s="42">
        <v>44055</v>
      </c>
      <c r="K2391" s="33" t="s">
        <v>22</v>
      </c>
    </row>
    <row r="2392" spans="1:11">
      <c r="A2392" s="30" t="s">
        <v>5930</v>
      </c>
      <c r="B2392" s="30" t="s">
        <v>5931</v>
      </c>
      <c r="C2392" s="30" t="s">
        <v>109</v>
      </c>
      <c r="D2392" s="30" t="s">
        <v>17</v>
      </c>
      <c r="E2392" s="30" t="s">
        <v>18</v>
      </c>
      <c r="F2392" s="30" t="s">
        <v>19</v>
      </c>
      <c r="G2392" s="30" t="s">
        <v>20</v>
      </c>
      <c r="H2392" s="32">
        <v>4</v>
      </c>
      <c r="I2392" s="30" t="s">
        <v>21</v>
      </c>
      <c r="J2392" s="41">
        <v>44159</v>
      </c>
      <c r="K2392" s="30" t="s">
        <v>22</v>
      </c>
    </row>
    <row r="2393" spans="1:11">
      <c r="A2393" s="33" t="s">
        <v>5932</v>
      </c>
      <c r="B2393" s="33" t="s">
        <v>5933</v>
      </c>
      <c r="C2393" s="33" t="s">
        <v>5934</v>
      </c>
      <c r="D2393" s="33" t="s">
        <v>17</v>
      </c>
      <c r="E2393" s="33" t="s">
        <v>26</v>
      </c>
      <c r="F2393" s="33" t="s">
        <v>27</v>
      </c>
      <c r="G2393" s="33" t="s">
        <v>140</v>
      </c>
      <c r="H2393" s="35">
        <v>78</v>
      </c>
      <c r="I2393" s="33" t="s">
        <v>51</v>
      </c>
      <c r="J2393" s="42">
        <v>44008</v>
      </c>
      <c r="K2393" s="33" t="s">
        <v>22</v>
      </c>
    </row>
    <row r="2394" spans="1:11">
      <c r="A2394" s="30" t="s">
        <v>5935</v>
      </c>
      <c r="B2394" s="30" t="s">
        <v>5936</v>
      </c>
      <c r="C2394" s="30" t="s">
        <v>3270</v>
      </c>
      <c r="D2394" s="30" t="s">
        <v>17</v>
      </c>
      <c r="E2394" s="30" t="s">
        <v>26</v>
      </c>
      <c r="F2394" s="30" t="s">
        <v>27</v>
      </c>
      <c r="G2394" s="30" t="s">
        <v>106</v>
      </c>
      <c r="H2394" s="32">
        <v>98</v>
      </c>
      <c r="I2394" s="30" t="s">
        <v>21</v>
      </c>
      <c r="J2394" s="41">
        <v>43909</v>
      </c>
      <c r="K2394" s="30" t="s">
        <v>22</v>
      </c>
    </row>
    <row r="2395" spans="1:11">
      <c r="A2395" s="33" t="s">
        <v>5937</v>
      </c>
      <c r="B2395" s="33" t="s">
        <v>5938</v>
      </c>
      <c r="C2395" s="33" t="s">
        <v>1275</v>
      </c>
      <c r="D2395" s="33" t="s">
        <v>17</v>
      </c>
      <c r="E2395" s="33" t="s">
        <v>18</v>
      </c>
      <c r="F2395" s="33" t="s">
        <v>19</v>
      </c>
      <c r="G2395" s="33" t="s">
        <v>20</v>
      </c>
      <c r="H2395" s="35">
        <v>168</v>
      </c>
      <c r="I2395" s="33" t="s">
        <v>21</v>
      </c>
      <c r="J2395" s="42">
        <v>43971</v>
      </c>
      <c r="K2395" s="33" t="s">
        <v>22</v>
      </c>
    </row>
    <row r="2396" spans="1:11">
      <c r="A2396" s="30" t="s">
        <v>5939</v>
      </c>
      <c r="B2396" s="30" t="s">
        <v>5940</v>
      </c>
      <c r="C2396" s="30" t="s">
        <v>118</v>
      </c>
      <c r="D2396" s="30" t="s">
        <v>17</v>
      </c>
      <c r="E2396" s="30" t="s">
        <v>26</v>
      </c>
      <c r="F2396" s="30" t="s">
        <v>27</v>
      </c>
      <c r="G2396" s="30" t="s">
        <v>106</v>
      </c>
      <c r="H2396" s="32">
        <v>7</v>
      </c>
      <c r="I2396" s="30" t="s">
        <v>21</v>
      </c>
      <c r="J2396" s="41">
        <v>44104</v>
      </c>
      <c r="K2396" s="30" t="s">
        <v>22</v>
      </c>
    </row>
    <row r="2397" spans="1:11">
      <c r="A2397" s="33" t="s">
        <v>5941</v>
      </c>
      <c r="B2397" s="33" t="s">
        <v>5942</v>
      </c>
      <c r="C2397" s="33" t="s">
        <v>647</v>
      </c>
      <c r="D2397" s="33" t="s">
        <v>17</v>
      </c>
      <c r="E2397" s="33" t="s">
        <v>212</v>
      </c>
      <c r="F2397" s="33" t="s">
        <v>213</v>
      </c>
      <c r="G2397" s="33" t="s">
        <v>20</v>
      </c>
      <c r="H2397" s="35">
        <v>101</v>
      </c>
      <c r="I2397" s="33" t="s">
        <v>21</v>
      </c>
      <c r="J2397" s="42">
        <v>44131</v>
      </c>
      <c r="K2397" s="33" t="s">
        <v>22</v>
      </c>
    </row>
    <row r="2398" spans="1:11">
      <c r="A2398" s="30" t="s">
        <v>5943</v>
      </c>
      <c r="B2398" s="30" t="s">
        <v>5944</v>
      </c>
      <c r="C2398" s="30" t="s">
        <v>5945</v>
      </c>
      <c r="D2398" s="30" t="s">
        <v>17</v>
      </c>
      <c r="E2398" s="30" t="s">
        <v>26</v>
      </c>
      <c r="F2398" s="30" t="s">
        <v>27</v>
      </c>
      <c r="G2398" s="30" t="s">
        <v>20</v>
      </c>
      <c r="H2398" s="32">
        <v>12</v>
      </c>
      <c r="I2398" s="30" t="s">
        <v>21</v>
      </c>
      <c r="J2398" s="41">
        <v>44175</v>
      </c>
      <c r="K2398" s="30" t="s">
        <v>22</v>
      </c>
    </row>
    <row r="2399" spans="1:11">
      <c r="A2399" s="33" t="s">
        <v>5946</v>
      </c>
      <c r="B2399" s="33" t="s">
        <v>5947</v>
      </c>
      <c r="C2399" s="33" t="s">
        <v>5948</v>
      </c>
      <c r="D2399" s="33" t="s">
        <v>17</v>
      </c>
      <c r="E2399" s="33" t="s">
        <v>31</v>
      </c>
      <c r="F2399" s="33" t="s">
        <v>32</v>
      </c>
      <c r="G2399" s="33" t="s">
        <v>50</v>
      </c>
      <c r="H2399" s="35">
        <v>80</v>
      </c>
      <c r="I2399" s="33" t="s">
        <v>51</v>
      </c>
      <c r="J2399" s="42">
        <v>43964</v>
      </c>
      <c r="K2399" s="33" t="s">
        <v>22</v>
      </c>
    </row>
    <row r="2400" spans="1:11">
      <c r="A2400" s="30" t="s">
        <v>5949</v>
      </c>
      <c r="B2400" s="30" t="s">
        <v>5950</v>
      </c>
      <c r="C2400" s="30" t="s">
        <v>2618</v>
      </c>
      <c r="D2400" s="30" t="s">
        <v>17</v>
      </c>
      <c r="E2400" s="30" t="s">
        <v>26</v>
      </c>
      <c r="F2400" s="30" t="s">
        <v>27</v>
      </c>
      <c r="G2400" s="30" t="s">
        <v>20</v>
      </c>
      <c r="H2400" s="32">
        <v>25</v>
      </c>
      <c r="I2400" s="30" t="s">
        <v>21</v>
      </c>
      <c r="J2400" s="41">
        <v>44123</v>
      </c>
      <c r="K2400" s="30" t="s">
        <v>22</v>
      </c>
    </row>
    <row r="2401" spans="1:11">
      <c r="A2401" s="33" t="s">
        <v>5951</v>
      </c>
      <c r="B2401" s="33" t="s">
        <v>5952</v>
      </c>
      <c r="C2401" s="33" t="s">
        <v>102</v>
      </c>
      <c r="D2401" s="33" t="s">
        <v>17</v>
      </c>
      <c r="E2401" s="33" t="s">
        <v>26</v>
      </c>
      <c r="F2401" s="33" t="s">
        <v>27</v>
      </c>
      <c r="G2401" s="33" t="s">
        <v>106</v>
      </c>
      <c r="H2401" s="35">
        <v>82</v>
      </c>
      <c r="I2401" s="33" t="s">
        <v>21</v>
      </c>
      <c r="J2401" s="42">
        <v>44013</v>
      </c>
      <c r="K2401" s="33" t="s">
        <v>22</v>
      </c>
    </row>
    <row r="2402" spans="1:11">
      <c r="A2402" s="30" t="s">
        <v>5953</v>
      </c>
      <c r="B2402" s="30" t="s">
        <v>5954</v>
      </c>
      <c r="C2402" s="30" t="s">
        <v>5955</v>
      </c>
      <c r="D2402" s="30" t="s">
        <v>17</v>
      </c>
      <c r="E2402" s="30" t="s">
        <v>26</v>
      </c>
      <c r="F2402" s="30" t="s">
        <v>27</v>
      </c>
      <c r="G2402" s="30" t="s">
        <v>158</v>
      </c>
      <c r="H2402" s="32">
        <v>70</v>
      </c>
      <c r="I2402" s="30" t="s">
        <v>51</v>
      </c>
      <c r="J2402" s="41">
        <v>44102</v>
      </c>
      <c r="K2402" s="30" t="s">
        <v>22</v>
      </c>
    </row>
    <row r="2403" spans="1:11">
      <c r="A2403" s="33" t="s">
        <v>5956</v>
      </c>
      <c r="B2403" s="33" t="s">
        <v>5957</v>
      </c>
      <c r="C2403" s="33" t="s">
        <v>3679</v>
      </c>
      <c r="D2403" s="33" t="s">
        <v>17</v>
      </c>
      <c r="E2403" s="33" t="s">
        <v>18</v>
      </c>
      <c r="F2403" s="33" t="s">
        <v>19</v>
      </c>
      <c r="G2403" s="33" t="s">
        <v>112</v>
      </c>
      <c r="H2403" s="35">
        <v>0</v>
      </c>
      <c r="I2403" s="33" t="s">
        <v>21</v>
      </c>
      <c r="J2403" s="42">
        <v>43951</v>
      </c>
      <c r="K2403" s="33" t="s">
        <v>22</v>
      </c>
    </row>
    <row r="2404" spans="1:11">
      <c r="A2404" s="30" t="s">
        <v>5958</v>
      </c>
      <c r="B2404" s="30" t="s">
        <v>5959</v>
      </c>
      <c r="C2404" s="30" t="s">
        <v>5960</v>
      </c>
      <c r="D2404" s="30" t="s">
        <v>17</v>
      </c>
      <c r="E2404" s="30" t="s">
        <v>31</v>
      </c>
      <c r="F2404" s="30" t="s">
        <v>32</v>
      </c>
      <c r="G2404" s="30" t="s">
        <v>106</v>
      </c>
      <c r="H2404" s="32">
        <v>5</v>
      </c>
      <c r="I2404" s="30" t="s">
        <v>21</v>
      </c>
      <c r="J2404" s="41">
        <v>43980</v>
      </c>
      <c r="K2404" s="30" t="s">
        <v>22</v>
      </c>
    </row>
    <row r="2405" spans="1:11">
      <c r="A2405" s="33" t="s">
        <v>5961</v>
      </c>
      <c r="B2405" s="33" t="s">
        <v>5962</v>
      </c>
      <c r="C2405" s="33" t="s">
        <v>426</v>
      </c>
      <c r="D2405" s="33" t="s">
        <v>17</v>
      </c>
      <c r="E2405" s="33" t="s">
        <v>67</v>
      </c>
      <c r="F2405" s="33" t="s">
        <v>68</v>
      </c>
      <c r="G2405" s="33" t="s">
        <v>140</v>
      </c>
      <c r="H2405" s="35">
        <v>682</v>
      </c>
      <c r="I2405" s="33" t="s">
        <v>51</v>
      </c>
      <c r="J2405" s="42">
        <v>44102</v>
      </c>
      <c r="K2405" s="33" t="s">
        <v>22</v>
      </c>
    </row>
    <row r="2406" spans="1:11">
      <c r="A2406" s="30" t="s">
        <v>5963</v>
      </c>
      <c r="B2406" s="30" t="s">
        <v>5964</v>
      </c>
      <c r="C2406" s="30" t="s">
        <v>4176</v>
      </c>
      <c r="D2406" s="30" t="s">
        <v>17</v>
      </c>
      <c r="E2406" s="30" t="s">
        <v>18</v>
      </c>
      <c r="F2406" s="30" t="s">
        <v>19</v>
      </c>
      <c r="G2406" s="30" t="s">
        <v>20</v>
      </c>
      <c r="H2406" s="32">
        <v>144</v>
      </c>
      <c r="I2406" s="30" t="s">
        <v>21</v>
      </c>
      <c r="J2406" s="41">
        <v>44195</v>
      </c>
      <c r="K2406" s="30" t="s">
        <v>22</v>
      </c>
    </row>
    <row r="2407" spans="1:11">
      <c r="A2407" s="33" t="s">
        <v>5965</v>
      </c>
      <c r="B2407" s="33" t="s">
        <v>5966</v>
      </c>
      <c r="C2407" s="33" t="s">
        <v>2220</v>
      </c>
      <c r="D2407" s="33" t="s">
        <v>17</v>
      </c>
      <c r="E2407" s="33" t="s">
        <v>212</v>
      </c>
      <c r="F2407" s="33" t="s">
        <v>213</v>
      </c>
      <c r="G2407" s="33" t="s">
        <v>20</v>
      </c>
      <c r="H2407" s="35">
        <v>29</v>
      </c>
      <c r="I2407" s="33" t="s">
        <v>21</v>
      </c>
      <c r="J2407" s="42">
        <v>43871</v>
      </c>
      <c r="K2407" s="33" t="s">
        <v>22</v>
      </c>
    </row>
    <row r="2408" spans="1:11">
      <c r="A2408" s="30" t="s">
        <v>5967</v>
      </c>
      <c r="B2408" s="30" t="s">
        <v>5968</v>
      </c>
      <c r="C2408" s="30" t="s">
        <v>149</v>
      </c>
      <c r="D2408" s="30" t="s">
        <v>17</v>
      </c>
      <c r="E2408" s="30" t="s">
        <v>18</v>
      </c>
      <c r="F2408" s="30" t="s">
        <v>19</v>
      </c>
      <c r="G2408" s="30" t="s">
        <v>20</v>
      </c>
      <c r="H2408" s="32">
        <v>441</v>
      </c>
      <c r="I2408" s="30" t="s">
        <v>21</v>
      </c>
      <c r="J2408" s="41">
        <v>44174</v>
      </c>
      <c r="K2408" s="30" t="s">
        <v>22</v>
      </c>
    </row>
    <row r="2409" spans="1:11">
      <c r="A2409" s="33" t="s">
        <v>5969</v>
      </c>
      <c r="B2409" s="33" t="s">
        <v>5970</v>
      </c>
      <c r="C2409" s="33" t="s">
        <v>5971</v>
      </c>
      <c r="D2409" s="33" t="s">
        <v>17</v>
      </c>
      <c r="E2409" s="33" t="s">
        <v>26</v>
      </c>
      <c r="F2409" s="33" t="s">
        <v>27</v>
      </c>
      <c r="G2409" s="33" t="s">
        <v>20</v>
      </c>
      <c r="H2409" s="35">
        <v>24</v>
      </c>
      <c r="I2409" s="33" t="s">
        <v>21</v>
      </c>
      <c r="J2409" s="42">
        <v>44057</v>
      </c>
      <c r="K2409" s="33" t="s">
        <v>22</v>
      </c>
    </row>
    <row r="2410" spans="1:11">
      <c r="A2410" s="30" t="s">
        <v>5972</v>
      </c>
      <c r="B2410" s="30" t="s">
        <v>5973</v>
      </c>
      <c r="C2410" s="30" t="s">
        <v>5974</v>
      </c>
      <c r="D2410" s="30" t="s">
        <v>17</v>
      </c>
      <c r="E2410" s="30" t="s">
        <v>26</v>
      </c>
      <c r="F2410" s="30" t="s">
        <v>27</v>
      </c>
      <c r="G2410" s="30" t="s">
        <v>20</v>
      </c>
      <c r="H2410" s="32">
        <v>30</v>
      </c>
      <c r="I2410" s="30" t="s">
        <v>21</v>
      </c>
      <c r="J2410" s="41">
        <v>43979</v>
      </c>
      <c r="K2410" s="30" t="s">
        <v>22</v>
      </c>
    </row>
    <row r="2411" spans="1:11">
      <c r="A2411" s="33" t="s">
        <v>5975</v>
      </c>
      <c r="B2411" s="33" t="s">
        <v>5976</v>
      </c>
      <c r="C2411" s="33" t="s">
        <v>954</v>
      </c>
      <c r="D2411" s="33" t="s">
        <v>17</v>
      </c>
      <c r="E2411" s="33" t="s">
        <v>26</v>
      </c>
      <c r="F2411" s="33" t="s">
        <v>27</v>
      </c>
      <c r="G2411" s="33" t="s">
        <v>20</v>
      </c>
      <c r="H2411" s="35">
        <v>78</v>
      </c>
      <c r="I2411" s="33" t="s">
        <v>21</v>
      </c>
      <c r="J2411" s="42">
        <v>44061</v>
      </c>
      <c r="K2411" s="33" t="s">
        <v>22</v>
      </c>
    </row>
    <row r="2412" spans="1:11">
      <c r="A2412" s="30" t="s">
        <v>5977</v>
      </c>
      <c r="B2412" s="30" t="s">
        <v>5978</v>
      </c>
      <c r="C2412" s="30" t="s">
        <v>5979</v>
      </c>
      <c r="D2412" s="30" t="s">
        <v>17</v>
      </c>
      <c r="E2412" s="30" t="s">
        <v>330</v>
      </c>
      <c r="F2412" s="30" t="s">
        <v>331</v>
      </c>
      <c r="G2412" s="30" t="s">
        <v>50</v>
      </c>
      <c r="H2412" s="32">
        <v>40</v>
      </c>
      <c r="I2412" s="30" t="s">
        <v>51</v>
      </c>
      <c r="J2412" s="41">
        <v>44088</v>
      </c>
      <c r="K2412" s="30" t="s">
        <v>22</v>
      </c>
    </row>
    <row r="2413" spans="1:11">
      <c r="A2413" s="33" t="s">
        <v>5980</v>
      </c>
      <c r="B2413" s="33" t="s">
        <v>5981</v>
      </c>
      <c r="C2413" s="33" t="s">
        <v>2261</v>
      </c>
      <c r="D2413" s="33" t="s">
        <v>17</v>
      </c>
      <c r="E2413" s="33" t="s">
        <v>31</v>
      </c>
      <c r="F2413" s="33" t="s">
        <v>32</v>
      </c>
      <c r="G2413" s="33" t="s">
        <v>50</v>
      </c>
      <c r="H2413" s="35">
        <v>160</v>
      </c>
      <c r="I2413" s="33" t="s">
        <v>51</v>
      </c>
      <c r="J2413" s="42">
        <v>44196</v>
      </c>
      <c r="K2413" s="33" t="s">
        <v>22</v>
      </c>
    </row>
    <row r="2414" spans="1:11">
      <c r="A2414" s="30" t="s">
        <v>5982</v>
      </c>
      <c r="B2414" s="30" t="s">
        <v>5983</v>
      </c>
      <c r="C2414" s="30" t="s">
        <v>5984</v>
      </c>
      <c r="D2414" s="30" t="s">
        <v>17</v>
      </c>
      <c r="E2414" s="30" t="s">
        <v>31</v>
      </c>
      <c r="F2414" s="30" t="s">
        <v>32</v>
      </c>
      <c r="G2414" s="30" t="s">
        <v>20</v>
      </c>
      <c r="H2414" s="32">
        <v>58</v>
      </c>
      <c r="I2414" s="30" t="s">
        <v>21</v>
      </c>
      <c r="J2414" s="41">
        <v>44155</v>
      </c>
      <c r="K2414" s="30" t="s">
        <v>22</v>
      </c>
    </row>
    <row r="2415" spans="1:11">
      <c r="A2415" s="33" t="s">
        <v>5985</v>
      </c>
      <c r="B2415" s="33" t="s">
        <v>5986</v>
      </c>
      <c r="C2415" s="33" t="s">
        <v>5987</v>
      </c>
      <c r="D2415" s="33" t="s">
        <v>17</v>
      </c>
      <c r="E2415" s="33" t="s">
        <v>26</v>
      </c>
      <c r="F2415" s="33" t="s">
        <v>27</v>
      </c>
      <c r="G2415" s="33" t="s">
        <v>20</v>
      </c>
      <c r="H2415" s="35">
        <v>16</v>
      </c>
      <c r="I2415" s="33" t="s">
        <v>21</v>
      </c>
      <c r="J2415" s="42">
        <v>44025</v>
      </c>
      <c r="K2415" s="33" t="s">
        <v>22</v>
      </c>
    </row>
    <row r="2416" spans="1:11">
      <c r="A2416" s="30" t="s">
        <v>5988</v>
      </c>
      <c r="B2416" s="30" t="s">
        <v>5989</v>
      </c>
      <c r="C2416" s="30" t="s">
        <v>5990</v>
      </c>
      <c r="D2416" s="30" t="s">
        <v>17</v>
      </c>
      <c r="E2416" s="30" t="s">
        <v>26</v>
      </c>
      <c r="F2416" s="30" t="s">
        <v>27</v>
      </c>
      <c r="G2416" s="30" t="s">
        <v>20</v>
      </c>
      <c r="H2416" s="32">
        <v>132</v>
      </c>
      <c r="I2416" s="30" t="s">
        <v>21</v>
      </c>
      <c r="J2416" s="41">
        <v>44146</v>
      </c>
      <c r="K2416" s="30" t="s">
        <v>22</v>
      </c>
    </row>
    <row r="2417" spans="1:11">
      <c r="A2417" s="33" t="s">
        <v>5991</v>
      </c>
      <c r="B2417" s="33" t="s">
        <v>5992</v>
      </c>
      <c r="C2417" s="33" t="s">
        <v>5993</v>
      </c>
      <c r="D2417" s="33" t="s">
        <v>17</v>
      </c>
      <c r="E2417" s="33" t="s">
        <v>18</v>
      </c>
      <c r="F2417" s="33" t="s">
        <v>19</v>
      </c>
      <c r="G2417" s="33" t="s">
        <v>20</v>
      </c>
      <c r="H2417" s="35">
        <v>977</v>
      </c>
      <c r="I2417" s="33" t="s">
        <v>21</v>
      </c>
      <c r="J2417" s="42">
        <v>44006</v>
      </c>
      <c r="K2417" s="33" t="s">
        <v>22</v>
      </c>
    </row>
    <row r="2418" spans="1:11">
      <c r="A2418" s="30" t="s">
        <v>5994</v>
      </c>
      <c r="B2418" s="30" t="s">
        <v>5995</v>
      </c>
      <c r="C2418" s="30" t="s">
        <v>5996</v>
      </c>
      <c r="D2418" s="30" t="s">
        <v>17</v>
      </c>
      <c r="E2418" s="30" t="s">
        <v>67</v>
      </c>
      <c r="F2418" s="30" t="s">
        <v>68</v>
      </c>
      <c r="G2418" s="30" t="s">
        <v>140</v>
      </c>
      <c r="H2418" s="32">
        <v>50</v>
      </c>
      <c r="I2418" s="30" t="s">
        <v>51</v>
      </c>
      <c r="J2418" s="41">
        <v>43901</v>
      </c>
      <c r="K2418" s="30" t="s">
        <v>22</v>
      </c>
    </row>
    <row r="2419" spans="1:11">
      <c r="A2419" s="33" t="s">
        <v>5997</v>
      </c>
      <c r="B2419" s="33" t="s">
        <v>5998</v>
      </c>
      <c r="C2419" s="33" t="s">
        <v>1908</v>
      </c>
      <c r="D2419" s="33" t="s">
        <v>17</v>
      </c>
      <c r="E2419" s="33" t="s">
        <v>31</v>
      </c>
      <c r="F2419" s="33" t="s">
        <v>32</v>
      </c>
      <c r="G2419" s="33" t="s">
        <v>20</v>
      </c>
      <c r="H2419" s="35">
        <v>60</v>
      </c>
      <c r="I2419" s="33" t="s">
        <v>21</v>
      </c>
      <c r="J2419" s="42">
        <v>44151</v>
      </c>
      <c r="K2419" s="33" t="s">
        <v>22</v>
      </c>
    </row>
    <row r="2420" spans="1:11">
      <c r="A2420" s="30" t="s">
        <v>5999</v>
      </c>
      <c r="B2420" s="30" t="s">
        <v>6000</v>
      </c>
      <c r="C2420" s="30" t="s">
        <v>6001</v>
      </c>
      <c r="D2420" s="30" t="s">
        <v>17</v>
      </c>
      <c r="E2420" s="30" t="s">
        <v>26</v>
      </c>
      <c r="F2420" s="30" t="s">
        <v>27</v>
      </c>
      <c r="G2420" s="30" t="s">
        <v>50</v>
      </c>
      <c r="H2420" s="32">
        <v>20</v>
      </c>
      <c r="I2420" s="30" t="s">
        <v>51</v>
      </c>
      <c r="J2420" s="41">
        <v>44166</v>
      </c>
      <c r="K2420" s="30" t="s">
        <v>22</v>
      </c>
    </row>
    <row r="2421" spans="1:11">
      <c r="A2421" s="33" t="s">
        <v>6002</v>
      </c>
      <c r="B2421" s="33" t="s">
        <v>6003</v>
      </c>
      <c r="C2421" s="33" t="s">
        <v>3555</v>
      </c>
      <c r="D2421" s="33" t="s">
        <v>17</v>
      </c>
      <c r="E2421" s="33" t="s">
        <v>31</v>
      </c>
      <c r="F2421" s="33" t="s">
        <v>32</v>
      </c>
      <c r="G2421" s="33" t="s">
        <v>20</v>
      </c>
      <c r="H2421" s="35">
        <v>101</v>
      </c>
      <c r="I2421" s="33" t="s">
        <v>21</v>
      </c>
      <c r="J2421" s="42">
        <v>43998</v>
      </c>
      <c r="K2421" s="33" t="s">
        <v>22</v>
      </c>
    </row>
    <row r="2422" spans="1:11">
      <c r="A2422" s="30" t="s">
        <v>6004</v>
      </c>
      <c r="B2422" s="30" t="s">
        <v>6005</v>
      </c>
      <c r="C2422" s="30" t="s">
        <v>5429</v>
      </c>
      <c r="D2422" s="30" t="s">
        <v>17</v>
      </c>
      <c r="E2422" s="30" t="s">
        <v>67</v>
      </c>
      <c r="F2422" s="30" t="s">
        <v>68</v>
      </c>
      <c r="G2422" s="30" t="s">
        <v>106</v>
      </c>
      <c r="H2422" s="32">
        <v>4</v>
      </c>
      <c r="I2422" s="30" t="s">
        <v>21</v>
      </c>
      <c r="J2422" s="41">
        <v>43900</v>
      </c>
      <c r="K2422" s="30" t="s">
        <v>22</v>
      </c>
    </row>
    <row r="2423" spans="1:11">
      <c r="A2423" s="33" t="s">
        <v>6006</v>
      </c>
      <c r="B2423" s="33" t="s">
        <v>6007</v>
      </c>
      <c r="C2423" s="33" t="s">
        <v>6008</v>
      </c>
      <c r="D2423" s="33" t="s">
        <v>17</v>
      </c>
      <c r="E2423" s="33" t="s">
        <v>31</v>
      </c>
      <c r="F2423" s="33" t="s">
        <v>32</v>
      </c>
      <c r="G2423" s="33" t="s">
        <v>20</v>
      </c>
      <c r="H2423" s="35">
        <v>152</v>
      </c>
      <c r="I2423" s="33" t="s">
        <v>21</v>
      </c>
      <c r="J2423" s="42">
        <v>44083</v>
      </c>
      <c r="K2423" s="33" t="s">
        <v>22</v>
      </c>
    </row>
    <row r="2424" spans="1:11">
      <c r="A2424" s="30" t="s">
        <v>6009</v>
      </c>
      <c r="B2424" s="30" t="s">
        <v>6010</v>
      </c>
      <c r="C2424" s="30" t="s">
        <v>203</v>
      </c>
      <c r="D2424" s="30" t="s">
        <v>17</v>
      </c>
      <c r="E2424" s="30" t="s">
        <v>31</v>
      </c>
      <c r="F2424" s="30" t="s">
        <v>32</v>
      </c>
      <c r="G2424" s="30" t="s">
        <v>106</v>
      </c>
      <c r="H2424" s="32">
        <v>57</v>
      </c>
      <c r="I2424" s="30" t="s">
        <v>21</v>
      </c>
      <c r="J2424" s="41">
        <v>44130</v>
      </c>
      <c r="K2424" s="30" t="s">
        <v>22</v>
      </c>
    </row>
    <row r="2425" spans="1:11">
      <c r="A2425" s="33" t="s">
        <v>6011</v>
      </c>
      <c r="B2425" s="33" t="s">
        <v>6012</v>
      </c>
      <c r="C2425" s="33" t="s">
        <v>4634</v>
      </c>
      <c r="D2425" s="33" t="s">
        <v>17</v>
      </c>
      <c r="E2425" s="33" t="s">
        <v>26</v>
      </c>
      <c r="F2425" s="33" t="s">
        <v>27</v>
      </c>
      <c r="G2425" s="33" t="s">
        <v>20</v>
      </c>
      <c r="H2425" s="35">
        <v>26</v>
      </c>
      <c r="I2425" s="33" t="s">
        <v>21</v>
      </c>
      <c r="J2425" s="42">
        <v>43901</v>
      </c>
      <c r="K2425" s="33" t="s">
        <v>22</v>
      </c>
    </row>
    <row r="2426" spans="1:11">
      <c r="A2426" s="30" t="s">
        <v>6013</v>
      </c>
      <c r="B2426" s="30" t="s">
        <v>6014</v>
      </c>
      <c r="C2426" s="30" t="s">
        <v>149</v>
      </c>
      <c r="D2426" s="30" t="s">
        <v>17</v>
      </c>
      <c r="E2426" s="30" t="s">
        <v>67</v>
      </c>
      <c r="F2426" s="30" t="s">
        <v>68</v>
      </c>
      <c r="G2426" s="30" t="s">
        <v>20</v>
      </c>
      <c r="H2426" s="32">
        <v>39</v>
      </c>
      <c r="I2426" s="30" t="s">
        <v>21</v>
      </c>
      <c r="J2426" s="41">
        <v>43851</v>
      </c>
      <c r="K2426" s="30" t="s">
        <v>22</v>
      </c>
    </row>
    <row r="2427" spans="1:11">
      <c r="A2427" s="33" t="s">
        <v>6015</v>
      </c>
      <c r="B2427" s="33" t="s">
        <v>6016</v>
      </c>
      <c r="C2427" s="33" t="s">
        <v>6017</v>
      </c>
      <c r="D2427" s="33" t="s">
        <v>17</v>
      </c>
      <c r="E2427" s="33" t="s">
        <v>18</v>
      </c>
      <c r="F2427" s="33" t="s">
        <v>19</v>
      </c>
      <c r="G2427" s="33" t="s">
        <v>2613</v>
      </c>
      <c r="H2427" s="35">
        <v>2000</v>
      </c>
      <c r="I2427" s="33" t="s">
        <v>51</v>
      </c>
      <c r="J2427" s="42">
        <v>44168</v>
      </c>
      <c r="K2427" s="33" t="s">
        <v>22</v>
      </c>
    </row>
    <row r="2428" spans="1:11">
      <c r="A2428" s="30" t="s">
        <v>6018</v>
      </c>
      <c r="B2428" s="30" t="s">
        <v>6019</v>
      </c>
      <c r="C2428" s="30" t="s">
        <v>178</v>
      </c>
      <c r="D2428" s="30" t="s">
        <v>17</v>
      </c>
      <c r="E2428" s="30" t="s">
        <v>31</v>
      </c>
      <c r="F2428" s="30" t="s">
        <v>32</v>
      </c>
      <c r="G2428" s="30" t="s">
        <v>20</v>
      </c>
      <c r="H2428" s="32">
        <v>56</v>
      </c>
      <c r="I2428" s="30" t="s">
        <v>21</v>
      </c>
      <c r="J2428" s="41">
        <v>44181</v>
      </c>
      <c r="K2428" s="30" t="s">
        <v>22</v>
      </c>
    </row>
    <row r="2429" spans="1:11">
      <c r="A2429" s="33" t="s">
        <v>6020</v>
      </c>
      <c r="B2429" s="33" t="s">
        <v>6021</v>
      </c>
      <c r="C2429" s="33" t="s">
        <v>190</v>
      </c>
      <c r="D2429" s="33" t="s">
        <v>17</v>
      </c>
      <c r="E2429" s="33" t="s">
        <v>31</v>
      </c>
      <c r="F2429" s="33" t="s">
        <v>32</v>
      </c>
      <c r="G2429" s="33" t="s">
        <v>20</v>
      </c>
      <c r="H2429" s="35">
        <v>102</v>
      </c>
      <c r="I2429" s="33" t="s">
        <v>21</v>
      </c>
      <c r="J2429" s="42">
        <v>44161</v>
      </c>
      <c r="K2429" s="33" t="s">
        <v>22</v>
      </c>
    </row>
    <row r="2430" spans="1:11">
      <c r="A2430" s="30" t="s">
        <v>6022</v>
      </c>
      <c r="B2430" s="30" t="s">
        <v>6023</v>
      </c>
      <c r="C2430" s="30" t="s">
        <v>157</v>
      </c>
      <c r="D2430" s="30" t="s">
        <v>17</v>
      </c>
      <c r="E2430" s="30" t="s">
        <v>31</v>
      </c>
      <c r="F2430" s="30" t="s">
        <v>32</v>
      </c>
      <c r="G2430" s="30" t="s">
        <v>106</v>
      </c>
      <c r="H2430" s="32">
        <v>97</v>
      </c>
      <c r="I2430" s="30" t="s">
        <v>21</v>
      </c>
      <c r="J2430" s="41">
        <v>43978</v>
      </c>
      <c r="K2430" s="30" t="s">
        <v>22</v>
      </c>
    </row>
    <row r="2431" spans="1:11">
      <c r="A2431" s="33" t="s">
        <v>6024</v>
      </c>
      <c r="B2431" s="33" t="s">
        <v>6025</v>
      </c>
      <c r="C2431" s="33" t="s">
        <v>2029</v>
      </c>
      <c r="D2431" s="33" t="s">
        <v>17</v>
      </c>
      <c r="E2431" s="33" t="s">
        <v>26</v>
      </c>
      <c r="F2431" s="33" t="s">
        <v>27</v>
      </c>
      <c r="G2431" s="33" t="s">
        <v>20</v>
      </c>
      <c r="H2431" s="35">
        <v>80</v>
      </c>
      <c r="I2431" s="33" t="s">
        <v>21</v>
      </c>
      <c r="J2431" s="42">
        <v>43997</v>
      </c>
      <c r="K2431" s="33" t="s">
        <v>22</v>
      </c>
    </row>
    <row r="2432" spans="1:11">
      <c r="A2432" s="30" t="s">
        <v>6026</v>
      </c>
      <c r="B2432" s="30" t="s">
        <v>6027</v>
      </c>
      <c r="C2432" s="30" t="s">
        <v>203</v>
      </c>
      <c r="D2432" s="30" t="s">
        <v>17</v>
      </c>
      <c r="E2432" s="30" t="s">
        <v>212</v>
      </c>
      <c r="F2432" s="30" t="s">
        <v>213</v>
      </c>
      <c r="G2432" s="30" t="s">
        <v>106</v>
      </c>
      <c r="H2432" s="32">
        <v>50</v>
      </c>
      <c r="I2432" s="30" t="s">
        <v>21</v>
      </c>
      <c r="J2432" s="41">
        <v>43966</v>
      </c>
      <c r="K2432" s="30" t="s">
        <v>22</v>
      </c>
    </row>
    <row r="2433" spans="1:11">
      <c r="A2433" s="33" t="s">
        <v>6028</v>
      </c>
      <c r="B2433" s="33" t="s">
        <v>6029</v>
      </c>
      <c r="C2433" s="33" t="s">
        <v>96</v>
      </c>
      <c r="D2433" s="33" t="s">
        <v>17</v>
      </c>
      <c r="E2433" s="33" t="s">
        <v>31</v>
      </c>
      <c r="F2433" s="33" t="s">
        <v>32</v>
      </c>
      <c r="G2433" s="33" t="s">
        <v>140</v>
      </c>
      <c r="H2433" s="35">
        <v>320</v>
      </c>
      <c r="I2433" s="33" t="s">
        <v>51</v>
      </c>
      <c r="J2433" s="42">
        <v>44151</v>
      </c>
      <c r="K2433" s="33" t="s">
        <v>22</v>
      </c>
    </row>
    <row r="2434" spans="1:11">
      <c r="A2434" s="30" t="s">
        <v>6030</v>
      </c>
      <c r="B2434" s="30" t="s">
        <v>6031</v>
      </c>
      <c r="C2434" s="30" t="s">
        <v>6032</v>
      </c>
      <c r="D2434" s="30" t="s">
        <v>17</v>
      </c>
      <c r="E2434" s="30" t="s">
        <v>31</v>
      </c>
      <c r="F2434" s="30" t="s">
        <v>32</v>
      </c>
      <c r="G2434" s="30" t="s">
        <v>20</v>
      </c>
      <c r="H2434" s="32">
        <v>35</v>
      </c>
      <c r="I2434" s="30" t="s">
        <v>21</v>
      </c>
      <c r="J2434" s="41">
        <v>43993</v>
      </c>
      <c r="K2434" s="30" t="s">
        <v>22</v>
      </c>
    </row>
    <row r="2435" spans="1:11">
      <c r="A2435" s="33" t="s">
        <v>6033</v>
      </c>
      <c r="B2435" s="33" t="s">
        <v>6034</v>
      </c>
      <c r="C2435" s="33" t="s">
        <v>318</v>
      </c>
      <c r="D2435" s="33" t="s">
        <v>17</v>
      </c>
      <c r="E2435" s="33" t="s">
        <v>18</v>
      </c>
      <c r="F2435" s="33" t="s">
        <v>19</v>
      </c>
      <c r="G2435" s="33" t="s">
        <v>158</v>
      </c>
      <c r="H2435" s="35">
        <v>145</v>
      </c>
      <c r="I2435" s="33" t="s">
        <v>21</v>
      </c>
      <c r="J2435" s="42">
        <v>43887</v>
      </c>
      <c r="K2435" s="33" t="s">
        <v>22</v>
      </c>
    </row>
    <row r="2436" spans="1:11">
      <c r="A2436" s="30" t="s">
        <v>6035</v>
      </c>
      <c r="B2436" s="30" t="s">
        <v>6036</v>
      </c>
      <c r="C2436" s="30" t="s">
        <v>3480</v>
      </c>
      <c r="D2436" s="30" t="s">
        <v>17</v>
      </c>
      <c r="E2436" s="30" t="s">
        <v>31</v>
      </c>
      <c r="F2436" s="30" t="s">
        <v>32</v>
      </c>
      <c r="G2436" s="30" t="s">
        <v>20</v>
      </c>
      <c r="H2436" s="32">
        <v>42</v>
      </c>
      <c r="I2436" s="30" t="s">
        <v>21</v>
      </c>
      <c r="J2436" s="41">
        <v>44014</v>
      </c>
      <c r="K2436" s="30" t="s">
        <v>22</v>
      </c>
    </row>
    <row r="2437" spans="1:11">
      <c r="A2437" s="33" t="s">
        <v>6037</v>
      </c>
      <c r="B2437" s="33" t="s">
        <v>6038</v>
      </c>
      <c r="C2437" s="33" t="s">
        <v>109</v>
      </c>
      <c r="D2437" s="33" t="s">
        <v>17</v>
      </c>
      <c r="E2437" s="33" t="s">
        <v>18</v>
      </c>
      <c r="F2437" s="33" t="s">
        <v>19</v>
      </c>
      <c r="G2437" s="33" t="s">
        <v>106</v>
      </c>
      <c r="H2437" s="35">
        <v>275</v>
      </c>
      <c r="I2437" s="33" t="s">
        <v>21</v>
      </c>
      <c r="J2437" s="42">
        <v>44019</v>
      </c>
      <c r="K2437" s="33" t="s">
        <v>22</v>
      </c>
    </row>
    <row r="2438" spans="1:11">
      <c r="A2438" s="30" t="s">
        <v>6039</v>
      </c>
      <c r="B2438" s="30" t="s">
        <v>6040</v>
      </c>
      <c r="C2438" s="30" t="s">
        <v>6041</v>
      </c>
      <c r="D2438" s="30" t="s">
        <v>17</v>
      </c>
      <c r="E2438" s="30" t="s">
        <v>18</v>
      </c>
      <c r="F2438" s="30" t="s">
        <v>19</v>
      </c>
      <c r="G2438" s="30" t="s">
        <v>20</v>
      </c>
      <c r="H2438" s="32">
        <v>110</v>
      </c>
      <c r="I2438" s="30" t="s">
        <v>21</v>
      </c>
      <c r="J2438" s="41">
        <v>43913</v>
      </c>
      <c r="K2438" s="30" t="s">
        <v>22</v>
      </c>
    </row>
    <row r="2439" spans="1:11">
      <c r="A2439" s="33" t="s">
        <v>6042</v>
      </c>
      <c r="B2439" s="33" t="s">
        <v>6043</v>
      </c>
      <c r="C2439" s="33" t="s">
        <v>2609</v>
      </c>
      <c r="D2439" s="33" t="s">
        <v>17</v>
      </c>
      <c r="E2439" s="33" t="s">
        <v>26</v>
      </c>
      <c r="F2439" s="33" t="s">
        <v>27</v>
      </c>
      <c r="G2439" s="33" t="s">
        <v>20</v>
      </c>
      <c r="H2439" s="35">
        <v>36</v>
      </c>
      <c r="I2439" s="33" t="s">
        <v>21</v>
      </c>
      <c r="J2439" s="42">
        <v>44124</v>
      </c>
      <c r="K2439" s="33" t="s">
        <v>22</v>
      </c>
    </row>
    <row r="2440" spans="1:11">
      <c r="A2440" s="30" t="s">
        <v>6044</v>
      </c>
      <c r="B2440" s="30" t="s">
        <v>6045</v>
      </c>
      <c r="C2440" s="30" t="s">
        <v>6046</v>
      </c>
      <c r="D2440" s="30" t="s">
        <v>17</v>
      </c>
      <c r="E2440" s="30" t="s">
        <v>45</v>
      </c>
      <c r="F2440" s="30" t="s">
        <v>46</v>
      </c>
      <c r="G2440" s="30" t="s">
        <v>20</v>
      </c>
      <c r="H2440" s="32">
        <v>814</v>
      </c>
      <c r="I2440" s="30" t="s">
        <v>21</v>
      </c>
      <c r="J2440" s="41">
        <v>44040</v>
      </c>
      <c r="K2440" s="30" t="s">
        <v>22</v>
      </c>
    </row>
    <row r="2441" spans="1:11">
      <c r="A2441" s="33" t="s">
        <v>6047</v>
      </c>
      <c r="B2441" s="33" t="s">
        <v>6048</v>
      </c>
      <c r="C2441" s="33" t="s">
        <v>6049</v>
      </c>
      <c r="D2441" s="33" t="s">
        <v>17</v>
      </c>
      <c r="E2441" s="33" t="s">
        <v>31</v>
      </c>
      <c r="F2441" s="33" t="s">
        <v>32</v>
      </c>
      <c r="G2441" s="33" t="s">
        <v>20</v>
      </c>
      <c r="H2441" s="35">
        <v>11</v>
      </c>
      <c r="I2441" s="33" t="s">
        <v>21</v>
      </c>
      <c r="J2441" s="42">
        <v>44089</v>
      </c>
      <c r="K2441" s="33" t="s">
        <v>22</v>
      </c>
    </row>
    <row r="2442" spans="1:11">
      <c r="A2442" s="30" t="s">
        <v>6050</v>
      </c>
      <c r="B2442" s="30" t="s">
        <v>6051</v>
      </c>
      <c r="C2442" s="30" t="s">
        <v>6052</v>
      </c>
      <c r="D2442" s="30" t="s">
        <v>17</v>
      </c>
      <c r="E2442" s="30" t="s">
        <v>26</v>
      </c>
      <c r="F2442" s="30" t="s">
        <v>27</v>
      </c>
      <c r="G2442" s="30" t="s">
        <v>20</v>
      </c>
      <c r="H2442" s="32">
        <v>21</v>
      </c>
      <c r="I2442" s="30" t="s">
        <v>21</v>
      </c>
      <c r="J2442" s="41">
        <v>44125</v>
      </c>
      <c r="K2442" s="30" t="s">
        <v>22</v>
      </c>
    </row>
    <row r="2443" spans="1:11">
      <c r="A2443" s="33" t="s">
        <v>6053</v>
      </c>
      <c r="B2443" s="33" t="s">
        <v>6054</v>
      </c>
      <c r="C2443" s="33" t="s">
        <v>2609</v>
      </c>
      <c r="D2443" s="33" t="s">
        <v>17</v>
      </c>
      <c r="E2443" s="33" t="s">
        <v>45</v>
      </c>
      <c r="F2443" s="33" t="s">
        <v>46</v>
      </c>
      <c r="G2443" s="33" t="s">
        <v>106</v>
      </c>
      <c r="H2443" s="35">
        <v>56</v>
      </c>
      <c r="I2443" s="33" t="s">
        <v>21</v>
      </c>
      <c r="J2443" s="42">
        <v>43956</v>
      </c>
      <c r="K2443" s="33" t="s">
        <v>22</v>
      </c>
    </row>
    <row r="2444" spans="1:11">
      <c r="A2444" s="30" t="s">
        <v>6055</v>
      </c>
      <c r="B2444" s="30" t="s">
        <v>6056</v>
      </c>
      <c r="C2444" s="30" t="s">
        <v>6057</v>
      </c>
      <c r="D2444" s="30" t="s">
        <v>17</v>
      </c>
      <c r="E2444" s="30" t="s">
        <v>18</v>
      </c>
      <c r="F2444" s="30" t="s">
        <v>19</v>
      </c>
      <c r="G2444" s="30" t="s">
        <v>20</v>
      </c>
      <c r="H2444" s="32">
        <v>302</v>
      </c>
      <c r="I2444" s="30" t="s">
        <v>21</v>
      </c>
      <c r="J2444" s="41">
        <v>43862</v>
      </c>
      <c r="K2444" s="30" t="s">
        <v>22</v>
      </c>
    </row>
    <row r="2445" spans="1:11">
      <c r="A2445" s="33" t="s">
        <v>6058</v>
      </c>
      <c r="B2445" s="33" t="s">
        <v>6059</v>
      </c>
      <c r="C2445" s="33" t="s">
        <v>178</v>
      </c>
      <c r="D2445" s="33" t="s">
        <v>17</v>
      </c>
      <c r="E2445" s="33" t="s">
        <v>31</v>
      </c>
      <c r="F2445" s="33" t="s">
        <v>32</v>
      </c>
      <c r="G2445" s="33" t="s">
        <v>20</v>
      </c>
      <c r="H2445" s="35">
        <v>221</v>
      </c>
      <c r="I2445" s="33" t="s">
        <v>21</v>
      </c>
      <c r="J2445" s="42">
        <v>44078</v>
      </c>
      <c r="K2445" s="33" t="s">
        <v>22</v>
      </c>
    </row>
    <row r="2446" spans="1:11">
      <c r="A2446" s="30" t="s">
        <v>6060</v>
      </c>
      <c r="B2446" s="30" t="s">
        <v>6061</v>
      </c>
      <c r="C2446" s="30" t="s">
        <v>2490</v>
      </c>
      <c r="D2446" s="30" t="s">
        <v>17</v>
      </c>
      <c r="E2446" s="30" t="s">
        <v>18</v>
      </c>
      <c r="F2446" s="30" t="s">
        <v>19</v>
      </c>
      <c r="G2446" s="30" t="s">
        <v>50</v>
      </c>
      <c r="H2446" s="32">
        <v>416</v>
      </c>
      <c r="I2446" s="30" t="s">
        <v>51</v>
      </c>
      <c r="J2446" s="41">
        <v>44136</v>
      </c>
      <c r="K2446" s="30" t="s">
        <v>22</v>
      </c>
    </row>
    <row r="2447" spans="1:11">
      <c r="A2447" s="33" t="s">
        <v>6062</v>
      </c>
      <c r="B2447" s="33" t="s">
        <v>6063</v>
      </c>
      <c r="C2447" s="33" t="s">
        <v>6064</v>
      </c>
      <c r="D2447" s="33" t="s">
        <v>17</v>
      </c>
      <c r="E2447" s="33" t="s">
        <v>18</v>
      </c>
      <c r="F2447" s="33" t="s">
        <v>19</v>
      </c>
      <c r="G2447" s="33" t="s">
        <v>20</v>
      </c>
      <c r="H2447" s="35">
        <v>390</v>
      </c>
      <c r="I2447" s="33" t="s">
        <v>21</v>
      </c>
      <c r="J2447" s="42">
        <v>44044</v>
      </c>
      <c r="K2447" s="33" t="s">
        <v>22</v>
      </c>
    </row>
    <row r="2448" spans="1:11">
      <c r="A2448" s="30" t="s">
        <v>6065</v>
      </c>
      <c r="B2448" s="30" t="s">
        <v>6066</v>
      </c>
      <c r="C2448" s="30" t="s">
        <v>318</v>
      </c>
      <c r="D2448" s="30" t="s">
        <v>17</v>
      </c>
      <c r="E2448" s="30" t="s">
        <v>26</v>
      </c>
      <c r="F2448" s="30" t="s">
        <v>27</v>
      </c>
      <c r="G2448" s="30" t="s">
        <v>20</v>
      </c>
      <c r="H2448" s="32">
        <v>14</v>
      </c>
      <c r="I2448" s="30" t="s">
        <v>21</v>
      </c>
      <c r="J2448" s="41">
        <v>43836</v>
      </c>
      <c r="K2448" s="30" t="s">
        <v>22</v>
      </c>
    </row>
    <row r="2449" spans="1:11">
      <c r="A2449" s="33" t="s">
        <v>6067</v>
      </c>
      <c r="B2449" s="33" t="s">
        <v>6068</v>
      </c>
      <c r="C2449" s="33" t="s">
        <v>75</v>
      </c>
      <c r="D2449" s="33" t="s">
        <v>17</v>
      </c>
      <c r="E2449" s="33" t="s">
        <v>26</v>
      </c>
      <c r="F2449" s="33" t="s">
        <v>27</v>
      </c>
      <c r="G2449" s="33" t="s">
        <v>20</v>
      </c>
      <c r="H2449" s="35">
        <v>40</v>
      </c>
      <c r="I2449" s="33" t="s">
        <v>21</v>
      </c>
      <c r="J2449" s="42">
        <v>43846</v>
      </c>
      <c r="K2449" s="33" t="s">
        <v>22</v>
      </c>
    </row>
    <row r="2450" spans="1:11">
      <c r="A2450" s="30" t="s">
        <v>6069</v>
      </c>
      <c r="B2450" s="30" t="s">
        <v>6070</v>
      </c>
      <c r="C2450" s="30" t="s">
        <v>6071</v>
      </c>
      <c r="D2450" s="30" t="s">
        <v>17</v>
      </c>
      <c r="E2450" s="30" t="s">
        <v>26</v>
      </c>
      <c r="F2450" s="30" t="s">
        <v>27</v>
      </c>
      <c r="G2450" s="30" t="s">
        <v>50</v>
      </c>
      <c r="H2450" s="32">
        <v>96</v>
      </c>
      <c r="I2450" s="30" t="s">
        <v>51</v>
      </c>
      <c r="J2450" s="41">
        <v>44019</v>
      </c>
      <c r="K2450" s="30" t="s">
        <v>22</v>
      </c>
    </row>
    <row r="2451" spans="1:11">
      <c r="A2451" s="33" t="s">
        <v>6072</v>
      </c>
      <c r="B2451" s="33" t="s">
        <v>6073</v>
      </c>
      <c r="C2451" s="33" t="s">
        <v>6074</v>
      </c>
      <c r="D2451" s="33" t="s">
        <v>17</v>
      </c>
      <c r="E2451" s="33" t="s">
        <v>31</v>
      </c>
      <c r="F2451" s="33" t="s">
        <v>32</v>
      </c>
      <c r="G2451" s="33" t="s">
        <v>20</v>
      </c>
      <c r="H2451" s="35">
        <v>28</v>
      </c>
      <c r="I2451" s="33" t="s">
        <v>21</v>
      </c>
      <c r="J2451" s="42">
        <v>44042</v>
      </c>
      <c r="K2451" s="33" t="s">
        <v>22</v>
      </c>
    </row>
    <row r="2452" spans="1:11">
      <c r="A2452" s="30" t="s">
        <v>6075</v>
      </c>
      <c r="B2452" s="30" t="s">
        <v>6076</v>
      </c>
      <c r="C2452" s="30" t="s">
        <v>44</v>
      </c>
      <c r="D2452" s="30" t="s">
        <v>17</v>
      </c>
      <c r="E2452" s="30" t="s">
        <v>26</v>
      </c>
      <c r="F2452" s="30" t="s">
        <v>27</v>
      </c>
      <c r="G2452" s="30" t="s">
        <v>20</v>
      </c>
      <c r="H2452" s="32">
        <v>19</v>
      </c>
      <c r="I2452" s="30" t="s">
        <v>21</v>
      </c>
      <c r="J2452" s="41">
        <v>44151</v>
      </c>
      <c r="K2452" s="30" t="s">
        <v>22</v>
      </c>
    </row>
    <row r="2453" spans="1:11">
      <c r="A2453" s="33" t="s">
        <v>6077</v>
      </c>
      <c r="B2453" s="33" t="s">
        <v>6078</v>
      </c>
      <c r="C2453" s="33" t="s">
        <v>2772</v>
      </c>
      <c r="D2453" s="33" t="s">
        <v>17</v>
      </c>
      <c r="E2453" s="33" t="s">
        <v>18</v>
      </c>
      <c r="F2453" s="33" t="s">
        <v>19</v>
      </c>
      <c r="G2453" s="33" t="s">
        <v>20</v>
      </c>
      <c r="H2453" s="35">
        <v>24</v>
      </c>
      <c r="I2453" s="33" t="s">
        <v>21</v>
      </c>
      <c r="J2453" s="42">
        <v>43934</v>
      </c>
      <c r="K2453" s="33" t="s">
        <v>22</v>
      </c>
    </row>
    <row r="2454" spans="1:11">
      <c r="A2454" s="30" t="s">
        <v>6079</v>
      </c>
      <c r="B2454" s="30" t="s">
        <v>6080</v>
      </c>
      <c r="C2454" s="30" t="s">
        <v>549</v>
      </c>
      <c r="D2454" s="30" t="s">
        <v>17</v>
      </c>
      <c r="E2454" s="30" t="s">
        <v>26</v>
      </c>
      <c r="F2454" s="30" t="s">
        <v>27</v>
      </c>
      <c r="G2454" s="30" t="s">
        <v>158</v>
      </c>
      <c r="H2454" s="32">
        <v>19</v>
      </c>
      <c r="I2454" s="30" t="s">
        <v>21</v>
      </c>
      <c r="J2454" s="41">
        <v>44151</v>
      </c>
      <c r="K2454" s="30" t="s">
        <v>22</v>
      </c>
    </row>
    <row r="2455" spans="1:11">
      <c r="A2455" s="33" t="s">
        <v>6081</v>
      </c>
      <c r="B2455" s="33" t="s">
        <v>6082</v>
      </c>
      <c r="C2455" s="33" t="s">
        <v>647</v>
      </c>
      <c r="D2455" s="33" t="s">
        <v>17</v>
      </c>
      <c r="E2455" s="33" t="s">
        <v>31</v>
      </c>
      <c r="F2455" s="33" t="s">
        <v>32</v>
      </c>
      <c r="G2455" s="33" t="s">
        <v>106</v>
      </c>
      <c r="H2455" s="35">
        <v>85</v>
      </c>
      <c r="I2455" s="33" t="s">
        <v>21</v>
      </c>
      <c r="J2455" s="42">
        <v>43987</v>
      </c>
      <c r="K2455" s="33" t="s">
        <v>22</v>
      </c>
    </row>
    <row r="2456" spans="1:11">
      <c r="A2456" s="30" t="s">
        <v>6083</v>
      </c>
      <c r="B2456" s="30" t="s">
        <v>6084</v>
      </c>
      <c r="C2456" s="30" t="s">
        <v>6085</v>
      </c>
      <c r="D2456" s="30" t="s">
        <v>17</v>
      </c>
      <c r="E2456" s="30" t="s">
        <v>26</v>
      </c>
      <c r="F2456" s="30" t="s">
        <v>27</v>
      </c>
      <c r="G2456" s="30" t="s">
        <v>20</v>
      </c>
      <c r="H2456" s="32">
        <v>24</v>
      </c>
      <c r="I2456" s="30" t="s">
        <v>21</v>
      </c>
      <c r="J2456" s="41">
        <v>44114</v>
      </c>
      <c r="K2456" s="30" t="s">
        <v>22</v>
      </c>
    </row>
    <row r="2457" spans="1:11">
      <c r="A2457" s="33" t="s">
        <v>6086</v>
      </c>
      <c r="B2457" s="33" t="s">
        <v>6087</v>
      </c>
      <c r="C2457" s="33" t="s">
        <v>96</v>
      </c>
      <c r="D2457" s="33" t="s">
        <v>17</v>
      </c>
      <c r="E2457" s="33" t="s">
        <v>212</v>
      </c>
      <c r="F2457" s="33" t="s">
        <v>213</v>
      </c>
      <c r="G2457" s="33" t="s">
        <v>20</v>
      </c>
      <c r="H2457" s="35">
        <v>25</v>
      </c>
      <c r="I2457" s="33" t="s">
        <v>21</v>
      </c>
      <c r="J2457" s="42">
        <v>43871</v>
      </c>
      <c r="K2457" s="33" t="s">
        <v>22</v>
      </c>
    </row>
    <row r="2458" spans="1:11">
      <c r="A2458" s="30" t="s">
        <v>6088</v>
      </c>
      <c r="B2458" s="30" t="s">
        <v>6089</v>
      </c>
      <c r="C2458" s="30" t="s">
        <v>894</v>
      </c>
      <c r="D2458" s="30" t="s">
        <v>17</v>
      </c>
      <c r="E2458" s="30" t="s">
        <v>26</v>
      </c>
      <c r="F2458" s="30" t="s">
        <v>27</v>
      </c>
      <c r="G2458" s="30" t="s">
        <v>20</v>
      </c>
      <c r="H2458" s="32">
        <v>12</v>
      </c>
      <c r="I2458" s="30" t="s">
        <v>21</v>
      </c>
      <c r="J2458" s="41">
        <v>43938</v>
      </c>
      <c r="K2458" s="30" t="s">
        <v>22</v>
      </c>
    </row>
    <row r="2459" spans="1:11">
      <c r="A2459" s="33" t="s">
        <v>6090</v>
      </c>
      <c r="B2459" s="33" t="s">
        <v>6091</v>
      </c>
      <c r="C2459" s="33" t="s">
        <v>6092</v>
      </c>
      <c r="D2459" s="33" t="s">
        <v>17</v>
      </c>
      <c r="E2459" s="33" t="s">
        <v>26</v>
      </c>
      <c r="F2459" s="33" t="s">
        <v>27</v>
      </c>
      <c r="G2459" s="33" t="s">
        <v>20</v>
      </c>
      <c r="H2459" s="35">
        <v>32</v>
      </c>
      <c r="I2459" s="33" t="s">
        <v>21</v>
      </c>
      <c r="J2459" s="42">
        <v>44018</v>
      </c>
      <c r="K2459" s="33" t="s">
        <v>22</v>
      </c>
    </row>
    <row r="2460" spans="1:11">
      <c r="A2460" s="30" t="s">
        <v>6093</v>
      </c>
      <c r="B2460" s="30" t="s">
        <v>6094</v>
      </c>
      <c r="C2460" s="30" t="s">
        <v>2807</v>
      </c>
      <c r="D2460" s="30" t="s">
        <v>17</v>
      </c>
      <c r="E2460" s="30" t="s">
        <v>26</v>
      </c>
      <c r="F2460" s="30" t="s">
        <v>27</v>
      </c>
      <c r="G2460" s="30" t="s">
        <v>20</v>
      </c>
      <c r="H2460" s="32">
        <v>32</v>
      </c>
      <c r="I2460" s="30" t="s">
        <v>21</v>
      </c>
      <c r="J2460" s="41">
        <v>44112</v>
      </c>
      <c r="K2460" s="30" t="s">
        <v>22</v>
      </c>
    </row>
    <row r="2461" spans="1:11">
      <c r="A2461" s="33" t="s">
        <v>6095</v>
      </c>
      <c r="B2461" s="33" t="s">
        <v>6096</v>
      </c>
      <c r="C2461" s="33" t="s">
        <v>6097</v>
      </c>
      <c r="D2461" s="33" t="s">
        <v>17</v>
      </c>
      <c r="E2461" s="33" t="s">
        <v>31</v>
      </c>
      <c r="F2461" s="33" t="s">
        <v>32</v>
      </c>
      <c r="G2461" s="33" t="s">
        <v>50</v>
      </c>
      <c r="H2461" s="35">
        <v>121</v>
      </c>
      <c r="I2461" s="33" t="s">
        <v>51</v>
      </c>
      <c r="J2461" s="42">
        <v>44126</v>
      </c>
      <c r="K2461" s="33" t="s">
        <v>22</v>
      </c>
    </row>
    <row r="2462" spans="1:11">
      <c r="A2462" s="30" t="s">
        <v>6098</v>
      </c>
      <c r="B2462" s="30" t="s">
        <v>6099</v>
      </c>
      <c r="C2462" s="30" t="s">
        <v>6100</v>
      </c>
      <c r="D2462" s="30" t="s">
        <v>17</v>
      </c>
      <c r="E2462" s="30" t="s">
        <v>26</v>
      </c>
      <c r="F2462" s="30" t="s">
        <v>27</v>
      </c>
      <c r="G2462" s="30" t="s">
        <v>112</v>
      </c>
      <c r="H2462" s="32">
        <v>0</v>
      </c>
      <c r="I2462" s="30" t="s">
        <v>21</v>
      </c>
      <c r="J2462" s="41">
        <v>43862</v>
      </c>
      <c r="K2462" s="30" t="s">
        <v>22</v>
      </c>
    </row>
    <row r="2463" spans="1:11">
      <c r="A2463" s="33" t="s">
        <v>6101</v>
      </c>
      <c r="B2463" s="33" t="s">
        <v>6102</v>
      </c>
      <c r="C2463" s="33" t="s">
        <v>6103</v>
      </c>
      <c r="D2463" s="33" t="s">
        <v>17</v>
      </c>
      <c r="E2463" s="33" t="s">
        <v>31</v>
      </c>
      <c r="F2463" s="33" t="s">
        <v>32</v>
      </c>
      <c r="G2463" s="33" t="s">
        <v>106</v>
      </c>
      <c r="H2463" s="35">
        <v>16</v>
      </c>
      <c r="I2463" s="33" t="s">
        <v>21</v>
      </c>
      <c r="J2463" s="42">
        <v>44083</v>
      </c>
      <c r="K2463" s="33" t="s">
        <v>22</v>
      </c>
    </row>
    <row r="2464" spans="1:11">
      <c r="A2464" s="30" t="s">
        <v>6104</v>
      </c>
      <c r="B2464" s="30" t="s">
        <v>6105</v>
      </c>
      <c r="C2464" s="30" t="s">
        <v>93</v>
      </c>
      <c r="D2464" s="30" t="s">
        <v>17</v>
      </c>
      <c r="E2464" s="30" t="s">
        <v>26</v>
      </c>
      <c r="F2464" s="30" t="s">
        <v>27</v>
      </c>
      <c r="G2464" s="30" t="s">
        <v>106</v>
      </c>
      <c r="H2464" s="32">
        <v>3</v>
      </c>
      <c r="I2464" s="30" t="s">
        <v>21</v>
      </c>
      <c r="J2464" s="41">
        <v>43852</v>
      </c>
      <c r="K2464" s="30" t="s">
        <v>22</v>
      </c>
    </row>
    <row r="2465" spans="1:11">
      <c r="A2465" s="33" t="s">
        <v>6106</v>
      </c>
      <c r="B2465" s="33" t="s">
        <v>6107</v>
      </c>
      <c r="C2465" s="33" t="s">
        <v>995</v>
      </c>
      <c r="D2465" s="33" t="s">
        <v>17</v>
      </c>
      <c r="E2465" s="33" t="s">
        <v>31</v>
      </c>
      <c r="F2465" s="33" t="s">
        <v>32</v>
      </c>
      <c r="G2465" s="33" t="s">
        <v>20</v>
      </c>
      <c r="H2465" s="35">
        <v>207</v>
      </c>
      <c r="I2465" s="33" t="s">
        <v>21</v>
      </c>
      <c r="J2465" s="42">
        <v>44029</v>
      </c>
      <c r="K2465" s="33" t="s">
        <v>22</v>
      </c>
    </row>
    <row r="2466" spans="1:11">
      <c r="A2466" s="30" t="s">
        <v>6108</v>
      </c>
      <c r="B2466" s="30" t="s">
        <v>6109</v>
      </c>
      <c r="C2466" s="30" t="s">
        <v>6110</v>
      </c>
      <c r="D2466" s="30" t="s">
        <v>17</v>
      </c>
      <c r="E2466" s="30" t="s">
        <v>18</v>
      </c>
      <c r="F2466" s="30" t="s">
        <v>19</v>
      </c>
      <c r="G2466" s="30" t="s">
        <v>20</v>
      </c>
      <c r="H2466" s="32">
        <v>27</v>
      </c>
      <c r="I2466" s="30" t="s">
        <v>21</v>
      </c>
      <c r="J2466" s="41">
        <v>44147</v>
      </c>
      <c r="K2466" s="30" t="s">
        <v>22</v>
      </c>
    </row>
    <row r="2467" spans="1:11">
      <c r="A2467" s="33" t="s">
        <v>6111</v>
      </c>
      <c r="B2467" s="33" t="s">
        <v>6112</v>
      </c>
      <c r="C2467" s="33" t="s">
        <v>6113</v>
      </c>
      <c r="D2467" s="33" t="s">
        <v>17</v>
      </c>
      <c r="E2467" s="33" t="s">
        <v>31</v>
      </c>
      <c r="F2467" s="33" t="s">
        <v>32</v>
      </c>
      <c r="G2467" s="33" t="s">
        <v>20</v>
      </c>
      <c r="H2467" s="35">
        <v>50</v>
      </c>
      <c r="I2467" s="33" t="s">
        <v>21</v>
      </c>
      <c r="J2467" s="42">
        <v>43959</v>
      </c>
      <c r="K2467" s="33" t="s">
        <v>22</v>
      </c>
    </row>
    <row r="2468" spans="1:11">
      <c r="A2468" s="30" t="s">
        <v>6114</v>
      </c>
      <c r="B2468" s="30" t="s">
        <v>6115</v>
      </c>
      <c r="C2468" s="30" t="s">
        <v>3504</v>
      </c>
      <c r="D2468" s="30" t="s">
        <v>17</v>
      </c>
      <c r="E2468" s="30" t="s">
        <v>18</v>
      </c>
      <c r="F2468" s="30" t="s">
        <v>19</v>
      </c>
      <c r="G2468" s="30" t="s">
        <v>50</v>
      </c>
      <c r="H2468" s="32">
        <v>4000</v>
      </c>
      <c r="I2468" s="30" t="s">
        <v>51</v>
      </c>
      <c r="J2468" s="41">
        <v>44012</v>
      </c>
      <c r="K2468" s="30" t="s">
        <v>22</v>
      </c>
    </row>
    <row r="2469" spans="1:11">
      <c r="A2469" s="33" t="s">
        <v>6116</v>
      </c>
      <c r="B2469" s="33" t="s">
        <v>6117</v>
      </c>
      <c r="C2469" s="33" t="s">
        <v>6118</v>
      </c>
      <c r="D2469" s="33" t="s">
        <v>17</v>
      </c>
      <c r="E2469" s="33" t="s">
        <v>212</v>
      </c>
      <c r="F2469" s="33" t="s">
        <v>213</v>
      </c>
      <c r="G2469" s="33" t="s">
        <v>20</v>
      </c>
      <c r="H2469" s="35">
        <v>32</v>
      </c>
      <c r="I2469" s="33" t="s">
        <v>21</v>
      </c>
      <c r="J2469" s="42">
        <v>44165</v>
      </c>
      <c r="K2469" s="33" t="s">
        <v>22</v>
      </c>
    </row>
    <row r="2470" spans="1:11">
      <c r="A2470" s="30" t="s">
        <v>6119</v>
      </c>
      <c r="B2470" s="30" t="s">
        <v>6120</v>
      </c>
      <c r="C2470" s="30" t="s">
        <v>136</v>
      </c>
      <c r="D2470" s="30" t="s">
        <v>17</v>
      </c>
      <c r="E2470" s="30" t="s">
        <v>26</v>
      </c>
      <c r="F2470" s="30" t="s">
        <v>27</v>
      </c>
      <c r="G2470" s="30" t="s">
        <v>20</v>
      </c>
      <c r="H2470" s="32">
        <v>245</v>
      </c>
      <c r="I2470" s="30" t="s">
        <v>21</v>
      </c>
      <c r="J2470" s="41">
        <v>43866</v>
      </c>
      <c r="K2470" s="30" t="s">
        <v>22</v>
      </c>
    </row>
    <row r="2471" spans="1:11">
      <c r="A2471" s="33" t="s">
        <v>6121</v>
      </c>
      <c r="B2471" s="33" t="s">
        <v>6122</v>
      </c>
      <c r="C2471" s="33" t="s">
        <v>1498</v>
      </c>
      <c r="D2471" s="33" t="s">
        <v>17</v>
      </c>
      <c r="E2471" s="33" t="s">
        <v>26</v>
      </c>
      <c r="F2471" s="33" t="s">
        <v>27</v>
      </c>
      <c r="G2471" s="33" t="s">
        <v>20</v>
      </c>
      <c r="H2471" s="35">
        <v>176</v>
      </c>
      <c r="I2471" s="33" t="s">
        <v>21</v>
      </c>
      <c r="J2471" s="42">
        <v>43979</v>
      </c>
      <c r="K2471" s="33" t="s">
        <v>22</v>
      </c>
    </row>
    <row r="2472" spans="1:11">
      <c r="A2472" s="30" t="s">
        <v>6123</v>
      </c>
      <c r="B2472" s="30" t="s">
        <v>6124</v>
      </c>
      <c r="C2472" s="30" t="s">
        <v>178</v>
      </c>
      <c r="D2472" s="30" t="s">
        <v>17</v>
      </c>
      <c r="E2472" s="30" t="s">
        <v>31</v>
      </c>
      <c r="F2472" s="30" t="s">
        <v>32</v>
      </c>
      <c r="G2472" s="30" t="s">
        <v>20</v>
      </c>
      <c r="H2472" s="32">
        <v>139</v>
      </c>
      <c r="I2472" s="30" t="s">
        <v>21</v>
      </c>
      <c r="J2472" s="41">
        <v>43987</v>
      </c>
      <c r="K2472" s="30" t="s">
        <v>22</v>
      </c>
    </row>
    <row r="2473" spans="1:11">
      <c r="A2473" s="33" t="s">
        <v>6125</v>
      </c>
      <c r="B2473" s="33" t="s">
        <v>6126</v>
      </c>
      <c r="C2473" s="33" t="s">
        <v>6127</v>
      </c>
      <c r="D2473" s="33" t="s">
        <v>17</v>
      </c>
      <c r="E2473" s="33" t="s">
        <v>26</v>
      </c>
      <c r="F2473" s="33" t="s">
        <v>27</v>
      </c>
      <c r="G2473" s="33" t="s">
        <v>106</v>
      </c>
      <c r="H2473" s="35">
        <v>6</v>
      </c>
      <c r="I2473" s="33" t="s">
        <v>21</v>
      </c>
      <c r="J2473" s="42">
        <v>44113</v>
      </c>
      <c r="K2473" s="33" t="s">
        <v>22</v>
      </c>
    </row>
    <row r="2474" spans="1:11">
      <c r="A2474" s="30" t="s">
        <v>6128</v>
      </c>
      <c r="B2474" s="30" t="s">
        <v>6129</v>
      </c>
      <c r="C2474" s="30" t="s">
        <v>57</v>
      </c>
      <c r="D2474" s="30" t="s">
        <v>17</v>
      </c>
      <c r="E2474" s="30" t="s">
        <v>26</v>
      </c>
      <c r="F2474" s="30" t="s">
        <v>27</v>
      </c>
      <c r="G2474" s="30" t="s">
        <v>20</v>
      </c>
      <c r="H2474" s="32">
        <v>24</v>
      </c>
      <c r="I2474" s="30" t="s">
        <v>21</v>
      </c>
      <c r="J2474" s="41">
        <v>44156</v>
      </c>
      <c r="K2474" s="30" t="s">
        <v>22</v>
      </c>
    </row>
    <row r="2475" spans="1:11">
      <c r="A2475" s="33" t="s">
        <v>6130</v>
      </c>
      <c r="B2475" s="33" t="s">
        <v>6131</v>
      </c>
      <c r="C2475" s="33" t="s">
        <v>57</v>
      </c>
      <c r="D2475" s="33" t="s">
        <v>17</v>
      </c>
      <c r="E2475" s="33" t="s">
        <v>26</v>
      </c>
      <c r="F2475" s="33" t="s">
        <v>27</v>
      </c>
      <c r="G2475" s="33" t="s">
        <v>50</v>
      </c>
      <c r="H2475" s="35">
        <v>28</v>
      </c>
      <c r="I2475" s="33" t="s">
        <v>51</v>
      </c>
      <c r="J2475" s="42">
        <v>44049</v>
      </c>
      <c r="K2475" s="33" t="s">
        <v>22</v>
      </c>
    </row>
    <row r="2476" spans="1:11">
      <c r="A2476" s="30" t="s">
        <v>6132</v>
      </c>
      <c r="B2476" s="30" t="s">
        <v>6133</v>
      </c>
      <c r="C2476" s="30" t="s">
        <v>6134</v>
      </c>
      <c r="D2476" s="30" t="s">
        <v>17</v>
      </c>
      <c r="E2476" s="30" t="s">
        <v>31</v>
      </c>
      <c r="F2476" s="30" t="s">
        <v>32</v>
      </c>
      <c r="G2476" s="30" t="s">
        <v>20</v>
      </c>
      <c r="H2476" s="32">
        <v>32</v>
      </c>
      <c r="I2476" s="30" t="s">
        <v>21</v>
      </c>
      <c r="J2476" s="41">
        <v>43952</v>
      </c>
      <c r="K2476" s="30" t="s">
        <v>22</v>
      </c>
    </row>
    <row r="2477" spans="1:11">
      <c r="A2477" s="33" t="s">
        <v>6135</v>
      </c>
      <c r="B2477" s="33" t="s">
        <v>6136</v>
      </c>
      <c r="C2477" s="33" t="s">
        <v>644</v>
      </c>
      <c r="D2477" s="33" t="s">
        <v>17</v>
      </c>
      <c r="E2477" s="33" t="s">
        <v>18</v>
      </c>
      <c r="F2477" s="33" t="s">
        <v>19</v>
      </c>
      <c r="G2477" s="33" t="s">
        <v>50</v>
      </c>
      <c r="H2477" s="35">
        <v>366</v>
      </c>
      <c r="I2477" s="33" t="s">
        <v>51</v>
      </c>
      <c r="J2477" s="42">
        <v>44103</v>
      </c>
      <c r="K2477" s="33" t="s">
        <v>22</v>
      </c>
    </row>
    <row r="2478" spans="1:11">
      <c r="A2478" s="30" t="s">
        <v>6137</v>
      </c>
      <c r="B2478" s="30" t="s">
        <v>6138</v>
      </c>
      <c r="C2478" s="30" t="s">
        <v>6139</v>
      </c>
      <c r="D2478" s="30" t="s">
        <v>17</v>
      </c>
      <c r="E2478" s="30" t="s">
        <v>31</v>
      </c>
      <c r="F2478" s="30" t="s">
        <v>32</v>
      </c>
      <c r="G2478" s="30" t="s">
        <v>50</v>
      </c>
      <c r="H2478" s="32">
        <v>210</v>
      </c>
      <c r="I2478" s="30" t="s">
        <v>51</v>
      </c>
      <c r="J2478" s="41">
        <v>44136</v>
      </c>
      <c r="K2478" s="30" t="s">
        <v>22</v>
      </c>
    </row>
    <row r="2479" spans="1:11">
      <c r="A2479" s="33" t="s">
        <v>6140</v>
      </c>
      <c r="B2479" s="33" t="s">
        <v>6141</v>
      </c>
      <c r="C2479" s="33" t="s">
        <v>102</v>
      </c>
      <c r="D2479" s="33" t="s">
        <v>17</v>
      </c>
      <c r="E2479" s="33" t="s">
        <v>31</v>
      </c>
      <c r="F2479" s="33" t="s">
        <v>32</v>
      </c>
      <c r="G2479" s="33" t="s">
        <v>112</v>
      </c>
      <c r="H2479" s="35">
        <v>0</v>
      </c>
      <c r="I2479" s="33" t="s">
        <v>21</v>
      </c>
      <c r="J2479" s="42">
        <v>44040</v>
      </c>
      <c r="K2479" s="33" t="s">
        <v>22</v>
      </c>
    </row>
    <row r="2480" spans="1:11">
      <c r="A2480" s="30" t="s">
        <v>6142</v>
      </c>
      <c r="B2480" s="30" t="s">
        <v>6143</v>
      </c>
      <c r="C2480" s="30" t="s">
        <v>44</v>
      </c>
      <c r="D2480" s="30" t="s">
        <v>17</v>
      </c>
      <c r="E2480" s="30" t="s">
        <v>45</v>
      </c>
      <c r="F2480" s="30" t="s">
        <v>46</v>
      </c>
      <c r="G2480" s="30" t="s">
        <v>20</v>
      </c>
      <c r="H2480" s="32">
        <v>106</v>
      </c>
      <c r="I2480" s="30" t="s">
        <v>21</v>
      </c>
      <c r="J2480" s="41">
        <v>44132</v>
      </c>
      <c r="K2480" s="30" t="s">
        <v>22</v>
      </c>
    </row>
    <row r="2481" spans="1:11">
      <c r="A2481" s="33" t="s">
        <v>6144</v>
      </c>
      <c r="B2481" s="33" t="s">
        <v>6145</v>
      </c>
      <c r="C2481" s="33" t="s">
        <v>1674</v>
      </c>
      <c r="D2481" s="33" t="s">
        <v>17</v>
      </c>
      <c r="E2481" s="33" t="s">
        <v>67</v>
      </c>
      <c r="F2481" s="33" t="s">
        <v>68</v>
      </c>
      <c r="G2481" s="33" t="s">
        <v>106</v>
      </c>
      <c r="H2481" s="35">
        <v>8</v>
      </c>
      <c r="I2481" s="33" t="s">
        <v>21</v>
      </c>
      <c r="J2481" s="42">
        <v>44026</v>
      </c>
      <c r="K2481" s="33" t="s">
        <v>22</v>
      </c>
    </row>
    <row r="2482" spans="1:11">
      <c r="A2482" s="30" t="s">
        <v>6146</v>
      </c>
      <c r="B2482" s="30" t="s">
        <v>6147</v>
      </c>
      <c r="C2482" s="30" t="s">
        <v>6148</v>
      </c>
      <c r="D2482" s="30" t="s">
        <v>17</v>
      </c>
      <c r="E2482" s="30" t="s">
        <v>67</v>
      </c>
      <c r="F2482" s="30" t="s">
        <v>68</v>
      </c>
      <c r="G2482" s="30" t="s">
        <v>50</v>
      </c>
      <c r="H2482" s="32">
        <v>237</v>
      </c>
      <c r="I2482" s="30" t="s">
        <v>51</v>
      </c>
      <c r="J2482" s="41">
        <v>44123</v>
      </c>
      <c r="K2482" s="30" t="s">
        <v>22</v>
      </c>
    </row>
    <row r="2483" spans="1:11">
      <c r="A2483" s="33" t="s">
        <v>6149</v>
      </c>
      <c r="B2483" s="33" t="s">
        <v>6150</v>
      </c>
      <c r="C2483" s="33" t="s">
        <v>6151</v>
      </c>
      <c r="D2483" s="33" t="s">
        <v>17</v>
      </c>
      <c r="E2483" s="33" t="s">
        <v>26</v>
      </c>
      <c r="F2483" s="33" t="s">
        <v>27</v>
      </c>
      <c r="G2483" s="33" t="s">
        <v>106</v>
      </c>
      <c r="H2483" s="35">
        <v>272</v>
      </c>
      <c r="I2483" s="33" t="s">
        <v>21</v>
      </c>
      <c r="J2483" s="42">
        <v>44097</v>
      </c>
      <c r="K2483" s="33" t="s">
        <v>22</v>
      </c>
    </row>
    <row r="2484" spans="1:11">
      <c r="A2484" s="30" t="s">
        <v>6152</v>
      </c>
      <c r="B2484" s="30" t="s">
        <v>6153</v>
      </c>
      <c r="C2484" s="30" t="s">
        <v>3655</v>
      </c>
      <c r="D2484" s="30" t="s">
        <v>17</v>
      </c>
      <c r="E2484" s="30" t="s">
        <v>67</v>
      </c>
      <c r="F2484" s="30" t="s">
        <v>68</v>
      </c>
      <c r="G2484" s="30" t="s">
        <v>20</v>
      </c>
      <c r="H2484" s="32">
        <v>512</v>
      </c>
      <c r="I2484" s="30" t="s">
        <v>21</v>
      </c>
      <c r="J2484" s="41">
        <v>43944</v>
      </c>
      <c r="K2484" s="30" t="s">
        <v>22</v>
      </c>
    </row>
    <row r="2485" spans="1:11">
      <c r="A2485" s="33" t="s">
        <v>6154</v>
      </c>
      <c r="B2485" s="33" t="s">
        <v>6155</v>
      </c>
      <c r="C2485" s="33" t="s">
        <v>178</v>
      </c>
      <c r="D2485" s="33" t="s">
        <v>17</v>
      </c>
      <c r="E2485" s="33" t="s">
        <v>18</v>
      </c>
      <c r="F2485" s="33" t="s">
        <v>19</v>
      </c>
      <c r="G2485" s="33" t="s">
        <v>20</v>
      </c>
      <c r="H2485" s="35">
        <v>152</v>
      </c>
      <c r="I2485" s="33" t="s">
        <v>21</v>
      </c>
      <c r="J2485" s="42">
        <v>44068</v>
      </c>
      <c r="K2485" s="33" t="s">
        <v>22</v>
      </c>
    </row>
    <row r="2486" spans="1:11">
      <c r="A2486" s="30" t="s">
        <v>6156</v>
      </c>
      <c r="B2486" s="30" t="s">
        <v>6157</v>
      </c>
      <c r="C2486" s="30" t="s">
        <v>6158</v>
      </c>
      <c r="D2486" s="30" t="s">
        <v>17</v>
      </c>
      <c r="E2486" s="30" t="s">
        <v>26</v>
      </c>
      <c r="F2486" s="30" t="s">
        <v>27</v>
      </c>
      <c r="G2486" s="30" t="s">
        <v>20</v>
      </c>
      <c r="H2486" s="32">
        <v>32</v>
      </c>
      <c r="I2486" s="30" t="s">
        <v>21</v>
      </c>
      <c r="J2486" s="41">
        <v>44042</v>
      </c>
      <c r="K2486" s="30" t="s">
        <v>22</v>
      </c>
    </row>
    <row r="2487" spans="1:11">
      <c r="A2487" s="33" t="s">
        <v>6159</v>
      </c>
      <c r="B2487" s="33" t="s">
        <v>6160</v>
      </c>
      <c r="C2487" s="33" t="s">
        <v>413</v>
      </c>
      <c r="D2487" s="33" t="s">
        <v>17</v>
      </c>
      <c r="E2487" s="33" t="s">
        <v>31</v>
      </c>
      <c r="F2487" s="33" t="s">
        <v>32</v>
      </c>
      <c r="G2487" s="33" t="s">
        <v>20</v>
      </c>
      <c r="H2487" s="35">
        <v>16</v>
      </c>
      <c r="I2487" s="33" t="s">
        <v>21</v>
      </c>
      <c r="J2487" s="42">
        <v>44125</v>
      </c>
      <c r="K2487" s="33" t="s">
        <v>22</v>
      </c>
    </row>
    <row r="2488" spans="1:11">
      <c r="A2488" s="30" t="s">
        <v>6161</v>
      </c>
      <c r="B2488" s="30" t="s">
        <v>6162</v>
      </c>
      <c r="C2488" s="30" t="s">
        <v>6163</v>
      </c>
      <c r="D2488" s="30" t="s">
        <v>17</v>
      </c>
      <c r="E2488" s="30" t="s">
        <v>31</v>
      </c>
      <c r="F2488" s="30" t="s">
        <v>32</v>
      </c>
      <c r="G2488" s="30" t="s">
        <v>106</v>
      </c>
      <c r="H2488" s="32">
        <v>50</v>
      </c>
      <c r="I2488" s="30" t="s">
        <v>21</v>
      </c>
      <c r="J2488" s="41">
        <v>44194</v>
      </c>
      <c r="K2488" s="30" t="s">
        <v>22</v>
      </c>
    </row>
    <row r="2489" spans="1:11">
      <c r="A2489" s="33" t="s">
        <v>6164</v>
      </c>
      <c r="B2489" s="33" t="s">
        <v>6165</v>
      </c>
      <c r="C2489" s="33" t="s">
        <v>1598</v>
      </c>
      <c r="D2489" s="33" t="s">
        <v>17</v>
      </c>
      <c r="E2489" s="33" t="s">
        <v>26</v>
      </c>
      <c r="F2489" s="33" t="s">
        <v>27</v>
      </c>
      <c r="G2489" s="33" t="s">
        <v>20</v>
      </c>
      <c r="H2489" s="35">
        <v>97</v>
      </c>
      <c r="I2489" s="33" t="s">
        <v>21</v>
      </c>
      <c r="J2489" s="42">
        <v>43998</v>
      </c>
      <c r="K2489" s="33" t="s">
        <v>22</v>
      </c>
    </row>
    <row r="2490" spans="1:11">
      <c r="A2490" s="30" t="s">
        <v>6166</v>
      </c>
      <c r="B2490" s="30" t="s">
        <v>6167</v>
      </c>
      <c r="C2490" s="30" t="s">
        <v>1598</v>
      </c>
      <c r="D2490" s="30" t="s">
        <v>17</v>
      </c>
      <c r="E2490" s="30" t="s">
        <v>31</v>
      </c>
      <c r="F2490" s="30" t="s">
        <v>32</v>
      </c>
      <c r="G2490" s="30" t="s">
        <v>20</v>
      </c>
      <c r="H2490" s="32">
        <v>34</v>
      </c>
      <c r="I2490" s="30" t="s">
        <v>21</v>
      </c>
      <c r="J2490" s="41">
        <v>43893</v>
      </c>
      <c r="K2490" s="30" t="s">
        <v>22</v>
      </c>
    </row>
    <row r="2491" spans="1:11">
      <c r="A2491" s="33" t="s">
        <v>6168</v>
      </c>
      <c r="B2491" s="33" t="s">
        <v>6169</v>
      </c>
      <c r="C2491" s="33" t="s">
        <v>450</v>
      </c>
      <c r="D2491" s="33" t="s">
        <v>17</v>
      </c>
      <c r="E2491" s="33" t="s">
        <v>18</v>
      </c>
      <c r="F2491" s="33" t="s">
        <v>19</v>
      </c>
      <c r="G2491" s="33" t="s">
        <v>20</v>
      </c>
      <c r="H2491" s="35">
        <v>25</v>
      </c>
      <c r="I2491" s="33" t="s">
        <v>21</v>
      </c>
      <c r="J2491" s="42">
        <v>44148</v>
      </c>
      <c r="K2491" s="33" t="s">
        <v>22</v>
      </c>
    </row>
    <row r="2492" spans="1:11">
      <c r="A2492" s="30" t="s">
        <v>6170</v>
      </c>
      <c r="B2492" s="30" t="s">
        <v>6171</v>
      </c>
      <c r="C2492" s="30" t="s">
        <v>1136</v>
      </c>
      <c r="D2492" s="30" t="s">
        <v>17</v>
      </c>
      <c r="E2492" s="30" t="s">
        <v>26</v>
      </c>
      <c r="F2492" s="30" t="s">
        <v>27</v>
      </c>
      <c r="G2492" s="30" t="s">
        <v>20</v>
      </c>
      <c r="H2492" s="32">
        <v>210</v>
      </c>
      <c r="I2492" s="30" t="s">
        <v>21</v>
      </c>
      <c r="J2492" s="41">
        <v>44014</v>
      </c>
      <c r="K2492" s="30" t="s">
        <v>22</v>
      </c>
    </row>
    <row r="2493" spans="1:11">
      <c r="A2493" s="33" t="s">
        <v>6172</v>
      </c>
      <c r="B2493" s="33" t="s">
        <v>6173</v>
      </c>
      <c r="C2493" s="33" t="s">
        <v>2472</v>
      </c>
      <c r="D2493" s="33" t="s">
        <v>17</v>
      </c>
      <c r="E2493" s="33" t="s">
        <v>31</v>
      </c>
      <c r="F2493" s="33" t="s">
        <v>32</v>
      </c>
      <c r="G2493" s="33" t="s">
        <v>20</v>
      </c>
      <c r="H2493" s="35">
        <v>315</v>
      </c>
      <c r="I2493" s="33" t="s">
        <v>21</v>
      </c>
      <c r="J2493" s="42">
        <v>43839</v>
      </c>
      <c r="K2493" s="33" t="s">
        <v>22</v>
      </c>
    </row>
    <row r="2494" spans="1:11">
      <c r="A2494" s="30" t="s">
        <v>6174</v>
      </c>
      <c r="B2494" s="30" t="s">
        <v>6175</v>
      </c>
      <c r="C2494" s="30" t="s">
        <v>6176</v>
      </c>
      <c r="D2494" s="30" t="s">
        <v>17</v>
      </c>
      <c r="E2494" s="30" t="s">
        <v>31</v>
      </c>
      <c r="F2494" s="30" t="s">
        <v>32</v>
      </c>
      <c r="G2494" s="30" t="s">
        <v>20</v>
      </c>
      <c r="H2494" s="32">
        <v>323</v>
      </c>
      <c r="I2494" s="30" t="s">
        <v>21</v>
      </c>
      <c r="J2494" s="41">
        <v>44182</v>
      </c>
      <c r="K2494" s="30" t="s">
        <v>22</v>
      </c>
    </row>
    <row r="2495" spans="1:11">
      <c r="A2495" s="33" t="s">
        <v>6177</v>
      </c>
      <c r="B2495" s="33" t="s">
        <v>6178</v>
      </c>
      <c r="C2495" s="33" t="s">
        <v>6179</v>
      </c>
      <c r="D2495" s="33" t="s">
        <v>17</v>
      </c>
      <c r="E2495" s="33" t="s">
        <v>31</v>
      </c>
      <c r="F2495" s="33" t="s">
        <v>32</v>
      </c>
      <c r="G2495" s="33" t="s">
        <v>20</v>
      </c>
      <c r="H2495" s="35">
        <v>123</v>
      </c>
      <c r="I2495" s="33" t="s">
        <v>21</v>
      </c>
      <c r="J2495" s="42">
        <v>44061</v>
      </c>
      <c r="K2495" s="33" t="s">
        <v>22</v>
      </c>
    </row>
    <row r="2496" spans="1:11">
      <c r="A2496" s="30" t="s">
        <v>6180</v>
      </c>
      <c r="B2496" s="30" t="s">
        <v>6181</v>
      </c>
      <c r="C2496" s="30" t="s">
        <v>6182</v>
      </c>
      <c r="D2496" s="30" t="s">
        <v>17</v>
      </c>
      <c r="E2496" s="30" t="s">
        <v>26</v>
      </c>
      <c r="F2496" s="30" t="s">
        <v>27</v>
      </c>
      <c r="G2496" s="30" t="s">
        <v>106</v>
      </c>
      <c r="H2496" s="32">
        <v>93</v>
      </c>
      <c r="I2496" s="30" t="s">
        <v>21</v>
      </c>
      <c r="J2496" s="41">
        <v>43977</v>
      </c>
      <c r="K2496" s="30" t="s">
        <v>22</v>
      </c>
    </row>
    <row r="2497" spans="1:11">
      <c r="A2497" s="33" t="s">
        <v>6183</v>
      </c>
      <c r="B2497" s="33" t="s">
        <v>6184</v>
      </c>
      <c r="C2497" s="33" t="s">
        <v>995</v>
      </c>
      <c r="D2497" s="33" t="s">
        <v>17</v>
      </c>
      <c r="E2497" s="33" t="s">
        <v>26</v>
      </c>
      <c r="F2497" s="33" t="s">
        <v>27</v>
      </c>
      <c r="G2497" s="33" t="s">
        <v>20</v>
      </c>
      <c r="H2497" s="35">
        <v>12</v>
      </c>
      <c r="I2497" s="33" t="s">
        <v>21</v>
      </c>
      <c r="J2497" s="42">
        <v>44144</v>
      </c>
      <c r="K2497" s="33" t="s">
        <v>22</v>
      </c>
    </row>
    <row r="2498" spans="1:11">
      <c r="A2498" s="30" t="s">
        <v>6185</v>
      </c>
      <c r="B2498" s="30" t="s">
        <v>6186</v>
      </c>
      <c r="C2498" s="30" t="s">
        <v>6187</v>
      </c>
      <c r="D2498" s="30" t="s">
        <v>17</v>
      </c>
      <c r="E2498" s="30" t="s">
        <v>18</v>
      </c>
      <c r="F2498" s="30" t="s">
        <v>19</v>
      </c>
      <c r="G2498" s="30" t="s">
        <v>20</v>
      </c>
      <c r="H2498" s="32">
        <v>891</v>
      </c>
      <c r="I2498" s="30" t="s">
        <v>21</v>
      </c>
      <c r="J2498" s="41">
        <v>44075</v>
      </c>
      <c r="K2498" s="30" t="s">
        <v>22</v>
      </c>
    </row>
    <row r="2499" spans="1:11">
      <c r="A2499" s="33" t="s">
        <v>6188</v>
      </c>
      <c r="B2499" s="33" t="s">
        <v>6189</v>
      </c>
      <c r="C2499" s="33" t="s">
        <v>6190</v>
      </c>
      <c r="D2499" s="33" t="s">
        <v>17</v>
      </c>
      <c r="E2499" s="33" t="s">
        <v>212</v>
      </c>
      <c r="F2499" s="33" t="s">
        <v>213</v>
      </c>
      <c r="G2499" s="33" t="s">
        <v>20</v>
      </c>
      <c r="H2499" s="35">
        <v>538</v>
      </c>
      <c r="I2499" s="33" t="s">
        <v>21</v>
      </c>
      <c r="J2499" s="42">
        <v>44091</v>
      </c>
      <c r="K2499" s="33" t="s">
        <v>22</v>
      </c>
    </row>
    <row r="2500" spans="1:11">
      <c r="A2500" s="30" t="s">
        <v>6191</v>
      </c>
      <c r="B2500" s="30" t="s">
        <v>6192</v>
      </c>
      <c r="C2500" s="30" t="s">
        <v>6193</v>
      </c>
      <c r="D2500" s="30" t="s">
        <v>17</v>
      </c>
      <c r="E2500" s="30" t="s">
        <v>31</v>
      </c>
      <c r="F2500" s="30" t="s">
        <v>32</v>
      </c>
      <c r="G2500" s="30" t="s">
        <v>20</v>
      </c>
      <c r="H2500" s="32">
        <v>388</v>
      </c>
      <c r="I2500" s="30" t="s">
        <v>21</v>
      </c>
      <c r="J2500" s="41">
        <v>44067</v>
      </c>
      <c r="K2500" s="30" t="s">
        <v>22</v>
      </c>
    </row>
    <row r="2501" spans="1:11">
      <c r="A2501" s="33" t="s">
        <v>6194</v>
      </c>
      <c r="B2501" s="33" t="s">
        <v>6195</v>
      </c>
      <c r="C2501" s="33" t="s">
        <v>4450</v>
      </c>
      <c r="D2501" s="33" t="s">
        <v>17</v>
      </c>
      <c r="E2501" s="33" t="s">
        <v>18</v>
      </c>
      <c r="F2501" s="33" t="s">
        <v>19</v>
      </c>
      <c r="G2501" s="33" t="s">
        <v>20</v>
      </c>
      <c r="H2501" s="35">
        <v>216</v>
      </c>
      <c r="I2501" s="33" t="s">
        <v>21</v>
      </c>
      <c r="J2501" s="42">
        <v>44160</v>
      </c>
      <c r="K2501" s="33" t="s">
        <v>22</v>
      </c>
    </row>
    <row r="2502" spans="1:11">
      <c r="A2502" s="30" t="s">
        <v>6196</v>
      </c>
      <c r="B2502" s="30" t="s">
        <v>6197</v>
      </c>
      <c r="C2502" s="30" t="s">
        <v>157</v>
      </c>
      <c r="D2502" s="30" t="s">
        <v>17</v>
      </c>
      <c r="E2502" s="30" t="s">
        <v>31</v>
      </c>
      <c r="F2502" s="30" t="s">
        <v>32</v>
      </c>
      <c r="G2502" s="30" t="s">
        <v>20</v>
      </c>
      <c r="H2502" s="32">
        <v>36</v>
      </c>
      <c r="I2502" s="30" t="s">
        <v>21</v>
      </c>
      <c r="J2502" s="41">
        <v>43844</v>
      </c>
      <c r="K2502" s="30" t="s">
        <v>22</v>
      </c>
    </row>
    <row r="2503" spans="1:11">
      <c r="A2503" s="33" t="s">
        <v>6198</v>
      </c>
      <c r="B2503" s="33" t="s">
        <v>6199</v>
      </c>
      <c r="C2503" s="33" t="s">
        <v>546</v>
      </c>
      <c r="D2503" s="33" t="s">
        <v>17</v>
      </c>
      <c r="E2503" s="33" t="s">
        <v>26</v>
      </c>
      <c r="F2503" s="33" t="s">
        <v>27</v>
      </c>
      <c r="G2503" s="33" t="s">
        <v>50</v>
      </c>
      <c r="H2503" s="35">
        <v>30</v>
      </c>
      <c r="I2503" s="33" t="s">
        <v>51</v>
      </c>
      <c r="J2503" s="42">
        <v>43862</v>
      </c>
      <c r="K2503" s="33" t="s">
        <v>22</v>
      </c>
    </row>
    <row r="2504" spans="1:11">
      <c r="A2504" s="30" t="s">
        <v>6200</v>
      </c>
      <c r="B2504" s="30" t="s">
        <v>6201</v>
      </c>
      <c r="C2504" s="30" t="s">
        <v>6202</v>
      </c>
      <c r="D2504" s="30" t="s">
        <v>17</v>
      </c>
      <c r="E2504" s="30" t="s">
        <v>18</v>
      </c>
      <c r="F2504" s="30" t="s">
        <v>19</v>
      </c>
      <c r="G2504" s="30" t="s">
        <v>20</v>
      </c>
      <c r="H2504" s="32">
        <v>220</v>
      </c>
      <c r="I2504" s="30" t="s">
        <v>21</v>
      </c>
      <c r="J2504" s="41">
        <v>44117</v>
      </c>
      <c r="K2504" s="30" t="s">
        <v>22</v>
      </c>
    </row>
    <row r="2505" spans="1:11">
      <c r="A2505" s="33" t="s">
        <v>6203</v>
      </c>
      <c r="B2505" s="33" t="s">
        <v>6204</v>
      </c>
      <c r="C2505" s="33" t="s">
        <v>6205</v>
      </c>
      <c r="D2505" s="33" t="s">
        <v>17</v>
      </c>
      <c r="E2505" s="33" t="s">
        <v>67</v>
      </c>
      <c r="F2505" s="33" t="s">
        <v>68</v>
      </c>
      <c r="G2505" s="33" t="s">
        <v>20</v>
      </c>
      <c r="H2505" s="35">
        <v>422</v>
      </c>
      <c r="I2505" s="33" t="s">
        <v>21</v>
      </c>
      <c r="J2505" s="42">
        <v>43973</v>
      </c>
      <c r="K2505" s="33" t="s">
        <v>22</v>
      </c>
    </row>
    <row r="2506" spans="1:11">
      <c r="A2506" s="30" t="s">
        <v>6206</v>
      </c>
      <c r="B2506" s="30" t="s">
        <v>6207</v>
      </c>
      <c r="C2506" s="30" t="s">
        <v>136</v>
      </c>
      <c r="D2506" s="30" t="s">
        <v>17</v>
      </c>
      <c r="E2506" s="30" t="s">
        <v>26</v>
      </c>
      <c r="F2506" s="30" t="s">
        <v>27</v>
      </c>
      <c r="G2506" s="30" t="s">
        <v>20</v>
      </c>
      <c r="H2506" s="32">
        <v>25</v>
      </c>
      <c r="I2506" s="30" t="s">
        <v>21</v>
      </c>
      <c r="J2506" s="41">
        <v>44076</v>
      </c>
      <c r="K2506" s="30" t="s">
        <v>22</v>
      </c>
    </row>
    <row r="2507" spans="1:11">
      <c r="A2507" s="33" t="s">
        <v>6208</v>
      </c>
      <c r="B2507" s="33" t="s">
        <v>6209</v>
      </c>
      <c r="C2507" s="33" t="s">
        <v>5093</v>
      </c>
      <c r="D2507" s="33" t="s">
        <v>17</v>
      </c>
      <c r="E2507" s="33" t="s">
        <v>18</v>
      </c>
      <c r="F2507" s="33" t="s">
        <v>19</v>
      </c>
      <c r="G2507" s="33" t="s">
        <v>20</v>
      </c>
      <c r="H2507" s="35">
        <v>392</v>
      </c>
      <c r="I2507" s="33" t="s">
        <v>21</v>
      </c>
      <c r="J2507" s="42">
        <v>43834</v>
      </c>
      <c r="K2507" s="33" t="s">
        <v>22</v>
      </c>
    </row>
    <row r="2508" spans="1:11">
      <c r="A2508" s="30" t="s">
        <v>6210</v>
      </c>
      <c r="B2508" s="30" t="s">
        <v>6211</v>
      </c>
      <c r="C2508" s="30" t="s">
        <v>6212</v>
      </c>
      <c r="D2508" s="30" t="s">
        <v>17</v>
      </c>
      <c r="E2508" s="30" t="s">
        <v>67</v>
      </c>
      <c r="F2508" s="30" t="s">
        <v>68</v>
      </c>
      <c r="G2508" s="30" t="s">
        <v>140</v>
      </c>
      <c r="H2508" s="32">
        <v>300</v>
      </c>
      <c r="I2508" s="30" t="s">
        <v>51</v>
      </c>
      <c r="J2508" s="41">
        <v>44133</v>
      </c>
      <c r="K2508" s="30" t="s">
        <v>22</v>
      </c>
    </row>
    <row r="2509" spans="1:11">
      <c r="A2509" s="33" t="s">
        <v>6213</v>
      </c>
      <c r="B2509" s="33" t="s">
        <v>6214</v>
      </c>
      <c r="C2509" s="33" t="s">
        <v>6215</v>
      </c>
      <c r="D2509" s="33" t="s">
        <v>17</v>
      </c>
      <c r="E2509" s="33" t="s">
        <v>18</v>
      </c>
      <c r="F2509" s="33" t="s">
        <v>19</v>
      </c>
      <c r="G2509" s="33" t="s">
        <v>20</v>
      </c>
      <c r="H2509" s="35">
        <v>310</v>
      </c>
      <c r="I2509" s="33" t="s">
        <v>21</v>
      </c>
      <c r="J2509" s="42">
        <v>44180</v>
      </c>
      <c r="K2509" s="33" t="s">
        <v>22</v>
      </c>
    </row>
    <row r="2510" spans="1:11">
      <c r="A2510" s="30" t="s">
        <v>6216</v>
      </c>
      <c r="B2510" s="30" t="s">
        <v>6217</v>
      </c>
      <c r="C2510" s="30" t="s">
        <v>4328</v>
      </c>
      <c r="D2510" s="30" t="s">
        <v>17</v>
      </c>
      <c r="E2510" s="30" t="s">
        <v>26</v>
      </c>
      <c r="F2510" s="30" t="s">
        <v>27</v>
      </c>
      <c r="G2510" s="30" t="s">
        <v>106</v>
      </c>
      <c r="H2510" s="32">
        <v>5</v>
      </c>
      <c r="I2510" s="30" t="s">
        <v>21</v>
      </c>
      <c r="J2510" s="41">
        <v>44035</v>
      </c>
      <c r="K2510" s="30" t="s">
        <v>22</v>
      </c>
    </row>
    <row r="2511" spans="1:11">
      <c r="A2511" s="33" t="s">
        <v>6218</v>
      </c>
      <c r="B2511" s="33" t="s">
        <v>6219</v>
      </c>
      <c r="C2511" s="33" t="s">
        <v>136</v>
      </c>
      <c r="D2511" s="33" t="s">
        <v>17</v>
      </c>
      <c r="E2511" s="33" t="s">
        <v>26</v>
      </c>
      <c r="F2511" s="33" t="s">
        <v>27</v>
      </c>
      <c r="G2511" s="33" t="s">
        <v>20</v>
      </c>
      <c r="H2511" s="35">
        <v>65</v>
      </c>
      <c r="I2511" s="33" t="s">
        <v>21</v>
      </c>
      <c r="J2511" s="42">
        <v>44119</v>
      </c>
      <c r="K2511" s="33" t="s">
        <v>22</v>
      </c>
    </row>
    <row r="2512" spans="1:11">
      <c r="A2512" s="30" t="s">
        <v>6220</v>
      </c>
      <c r="B2512" s="30" t="s">
        <v>6221</v>
      </c>
      <c r="C2512" s="30" t="s">
        <v>387</v>
      </c>
      <c r="D2512" s="30" t="s">
        <v>17</v>
      </c>
      <c r="E2512" s="30" t="s">
        <v>26</v>
      </c>
      <c r="F2512" s="30" t="s">
        <v>27</v>
      </c>
      <c r="G2512" s="30" t="s">
        <v>20</v>
      </c>
      <c r="H2512" s="32">
        <v>18</v>
      </c>
      <c r="I2512" s="30" t="s">
        <v>21</v>
      </c>
      <c r="J2512" s="41">
        <v>43922</v>
      </c>
      <c r="K2512" s="30" t="s">
        <v>22</v>
      </c>
    </row>
    <row r="2513" spans="1:11">
      <c r="A2513" s="33" t="s">
        <v>6222</v>
      </c>
      <c r="B2513" s="33" t="s">
        <v>6223</v>
      </c>
      <c r="C2513" s="33" t="s">
        <v>5369</v>
      </c>
      <c r="D2513" s="33" t="s">
        <v>17</v>
      </c>
      <c r="E2513" s="33" t="s">
        <v>26</v>
      </c>
      <c r="F2513" s="33" t="s">
        <v>27</v>
      </c>
      <c r="G2513" s="33" t="s">
        <v>20</v>
      </c>
      <c r="H2513" s="35">
        <v>20</v>
      </c>
      <c r="I2513" s="33" t="s">
        <v>21</v>
      </c>
      <c r="J2513" s="42">
        <v>44137</v>
      </c>
      <c r="K2513" s="33" t="s">
        <v>22</v>
      </c>
    </row>
    <row r="2514" spans="1:11">
      <c r="A2514" s="30" t="s">
        <v>6224</v>
      </c>
      <c r="B2514" s="30" t="s">
        <v>6225</v>
      </c>
      <c r="C2514" s="30" t="s">
        <v>6226</v>
      </c>
      <c r="D2514" s="30" t="s">
        <v>17</v>
      </c>
      <c r="E2514" s="30" t="s">
        <v>330</v>
      </c>
      <c r="F2514" s="30" t="s">
        <v>331</v>
      </c>
      <c r="G2514" s="30" t="s">
        <v>20</v>
      </c>
      <c r="H2514" s="32">
        <v>276</v>
      </c>
      <c r="I2514" s="30" t="s">
        <v>21</v>
      </c>
      <c r="J2514" s="41">
        <v>44176</v>
      </c>
      <c r="K2514" s="30" t="s">
        <v>22</v>
      </c>
    </row>
    <row r="2515" spans="1:11">
      <c r="A2515" s="33" t="s">
        <v>6227</v>
      </c>
      <c r="B2515" s="33" t="s">
        <v>6228</v>
      </c>
      <c r="C2515" s="33" t="s">
        <v>318</v>
      </c>
      <c r="D2515" s="33" t="s">
        <v>17</v>
      </c>
      <c r="E2515" s="33" t="s">
        <v>26</v>
      </c>
      <c r="F2515" s="33" t="s">
        <v>27</v>
      </c>
      <c r="G2515" s="33" t="s">
        <v>20</v>
      </c>
      <c r="H2515" s="35">
        <v>17</v>
      </c>
      <c r="I2515" s="33" t="s">
        <v>21</v>
      </c>
      <c r="J2515" s="42">
        <v>44106</v>
      </c>
      <c r="K2515" s="33" t="s">
        <v>22</v>
      </c>
    </row>
    <row r="2516" spans="1:11">
      <c r="A2516" s="30" t="s">
        <v>6229</v>
      </c>
      <c r="B2516" s="30" t="s">
        <v>6230</v>
      </c>
      <c r="C2516" s="30" t="s">
        <v>4717</v>
      </c>
      <c r="D2516" s="30" t="s">
        <v>17</v>
      </c>
      <c r="E2516" s="30" t="s">
        <v>26</v>
      </c>
      <c r="F2516" s="30" t="s">
        <v>27</v>
      </c>
      <c r="G2516" s="30" t="s">
        <v>106</v>
      </c>
      <c r="H2516" s="32">
        <v>24</v>
      </c>
      <c r="I2516" s="30" t="s">
        <v>21</v>
      </c>
      <c r="J2516" s="41">
        <v>43836</v>
      </c>
      <c r="K2516" s="30" t="s">
        <v>22</v>
      </c>
    </row>
    <row r="2517" spans="1:11">
      <c r="A2517" s="33" t="s">
        <v>6231</v>
      </c>
      <c r="B2517" s="33" t="s">
        <v>6232</v>
      </c>
      <c r="C2517" s="33" t="s">
        <v>6233</v>
      </c>
      <c r="D2517" s="33" t="s">
        <v>17</v>
      </c>
      <c r="E2517" s="33" t="s">
        <v>31</v>
      </c>
      <c r="F2517" s="33" t="s">
        <v>32</v>
      </c>
      <c r="G2517" s="33" t="s">
        <v>20</v>
      </c>
      <c r="H2517" s="35">
        <v>52</v>
      </c>
      <c r="I2517" s="33" t="s">
        <v>21</v>
      </c>
      <c r="J2517" s="42">
        <v>44013</v>
      </c>
      <c r="K2517" s="33" t="s">
        <v>22</v>
      </c>
    </row>
    <row r="2518" spans="1:11">
      <c r="A2518" s="30" t="s">
        <v>6234</v>
      </c>
      <c r="B2518" s="30" t="s">
        <v>6235</v>
      </c>
      <c r="C2518" s="30" t="s">
        <v>149</v>
      </c>
      <c r="D2518" s="30" t="s">
        <v>17</v>
      </c>
      <c r="E2518" s="30" t="s">
        <v>26</v>
      </c>
      <c r="F2518" s="30" t="s">
        <v>27</v>
      </c>
      <c r="G2518" s="30" t="s">
        <v>20</v>
      </c>
      <c r="H2518" s="32">
        <v>18</v>
      </c>
      <c r="I2518" s="30" t="s">
        <v>21</v>
      </c>
      <c r="J2518" s="41">
        <v>43902</v>
      </c>
      <c r="K2518" s="30" t="s">
        <v>22</v>
      </c>
    </row>
    <row r="2519" spans="1:11">
      <c r="A2519" s="33" t="s">
        <v>6236</v>
      </c>
      <c r="B2519" s="33" t="s">
        <v>6237</v>
      </c>
      <c r="C2519" s="33" t="s">
        <v>1006</v>
      </c>
      <c r="D2519" s="33" t="s">
        <v>17</v>
      </c>
      <c r="E2519" s="33" t="s">
        <v>31</v>
      </c>
      <c r="F2519" s="33" t="s">
        <v>32</v>
      </c>
      <c r="G2519" s="33" t="s">
        <v>50</v>
      </c>
      <c r="H2519" s="35">
        <v>130</v>
      </c>
      <c r="I2519" s="33" t="s">
        <v>51</v>
      </c>
      <c r="J2519" s="42">
        <v>44044</v>
      </c>
      <c r="K2519" s="33" t="s">
        <v>22</v>
      </c>
    </row>
    <row r="2520" spans="1:11">
      <c r="A2520" s="30" t="s">
        <v>6238</v>
      </c>
      <c r="B2520" s="30" t="s">
        <v>6239</v>
      </c>
      <c r="C2520" s="30" t="s">
        <v>822</v>
      </c>
      <c r="D2520" s="30" t="s">
        <v>17</v>
      </c>
      <c r="E2520" s="30" t="s">
        <v>18</v>
      </c>
      <c r="F2520" s="30" t="s">
        <v>19</v>
      </c>
      <c r="G2520" s="30" t="s">
        <v>20</v>
      </c>
      <c r="H2520" s="32">
        <v>644</v>
      </c>
      <c r="I2520" s="30" t="s">
        <v>21</v>
      </c>
      <c r="J2520" s="41">
        <v>44140</v>
      </c>
      <c r="K2520" s="30" t="s">
        <v>22</v>
      </c>
    </row>
    <row r="2521" spans="1:11">
      <c r="A2521" s="33" t="s">
        <v>6240</v>
      </c>
      <c r="B2521" s="33" t="s">
        <v>6241</v>
      </c>
      <c r="C2521" s="33" t="s">
        <v>5916</v>
      </c>
      <c r="D2521" s="33" t="s">
        <v>17</v>
      </c>
      <c r="E2521" s="33" t="s">
        <v>18</v>
      </c>
      <c r="F2521" s="33" t="s">
        <v>19</v>
      </c>
      <c r="G2521" s="33" t="s">
        <v>20</v>
      </c>
      <c r="H2521" s="35">
        <v>380</v>
      </c>
      <c r="I2521" s="33" t="s">
        <v>21</v>
      </c>
      <c r="J2521" s="42">
        <v>43854</v>
      </c>
      <c r="K2521" s="33" t="s">
        <v>22</v>
      </c>
    </row>
    <row r="2522" spans="1:11">
      <c r="A2522" s="30" t="s">
        <v>6242</v>
      </c>
      <c r="B2522" s="30" t="s">
        <v>6243</v>
      </c>
      <c r="C2522" s="30" t="s">
        <v>4064</v>
      </c>
      <c r="D2522" s="30" t="s">
        <v>17</v>
      </c>
      <c r="E2522" s="30" t="s">
        <v>67</v>
      </c>
      <c r="F2522" s="30" t="s">
        <v>68</v>
      </c>
      <c r="G2522" s="30" t="s">
        <v>20</v>
      </c>
      <c r="H2522" s="32">
        <v>153</v>
      </c>
      <c r="I2522" s="30" t="s">
        <v>21</v>
      </c>
      <c r="J2522" s="41">
        <v>43944</v>
      </c>
      <c r="K2522" s="30" t="s">
        <v>22</v>
      </c>
    </row>
    <row r="2523" spans="1:11">
      <c r="A2523" s="33" t="s">
        <v>6244</v>
      </c>
      <c r="B2523" s="33" t="s">
        <v>6245</v>
      </c>
      <c r="C2523" s="33" t="s">
        <v>1216</v>
      </c>
      <c r="D2523" s="33" t="s">
        <v>17</v>
      </c>
      <c r="E2523" s="33" t="s">
        <v>26</v>
      </c>
      <c r="F2523" s="33" t="s">
        <v>27</v>
      </c>
      <c r="G2523" s="33" t="s">
        <v>50</v>
      </c>
      <c r="H2523" s="35">
        <v>8</v>
      </c>
      <c r="I2523" s="33" t="s">
        <v>51</v>
      </c>
      <c r="J2523" s="42">
        <v>44044</v>
      </c>
      <c r="K2523" s="33" t="s">
        <v>22</v>
      </c>
    </row>
    <row r="2524" spans="1:11">
      <c r="A2524" s="30" t="s">
        <v>6246</v>
      </c>
      <c r="B2524" s="30" t="s">
        <v>6247</v>
      </c>
      <c r="C2524" s="30" t="s">
        <v>6248</v>
      </c>
      <c r="D2524" s="30" t="s">
        <v>17</v>
      </c>
      <c r="E2524" s="30" t="s">
        <v>31</v>
      </c>
      <c r="F2524" s="30" t="s">
        <v>32</v>
      </c>
      <c r="G2524" s="30" t="s">
        <v>20</v>
      </c>
      <c r="H2524" s="32">
        <v>96</v>
      </c>
      <c r="I2524" s="30" t="s">
        <v>21</v>
      </c>
      <c r="J2524" s="41">
        <v>43840</v>
      </c>
      <c r="K2524" s="30" t="s">
        <v>22</v>
      </c>
    </row>
    <row r="2525" spans="1:11">
      <c r="A2525" s="33" t="s">
        <v>6249</v>
      </c>
      <c r="B2525" s="33" t="s">
        <v>6250</v>
      </c>
      <c r="C2525" s="33" t="s">
        <v>187</v>
      </c>
      <c r="D2525" s="33" t="s">
        <v>17</v>
      </c>
      <c r="E2525" s="33" t="s">
        <v>31</v>
      </c>
      <c r="F2525" s="33" t="s">
        <v>32</v>
      </c>
      <c r="G2525" s="33" t="s">
        <v>50</v>
      </c>
      <c r="H2525" s="35">
        <v>59</v>
      </c>
      <c r="I2525" s="33" t="s">
        <v>51</v>
      </c>
      <c r="J2525" s="42">
        <v>43891</v>
      </c>
      <c r="K2525" s="33" t="s">
        <v>22</v>
      </c>
    </row>
    <row r="2526" spans="1:11">
      <c r="A2526" s="30" t="s">
        <v>6251</v>
      </c>
      <c r="B2526" s="30" t="s">
        <v>6252</v>
      </c>
      <c r="C2526" s="30" t="s">
        <v>184</v>
      </c>
      <c r="D2526" s="30" t="s">
        <v>17</v>
      </c>
      <c r="E2526" s="30" t="s">
        <v>18</v>
      </c>
      <c r="F2526" s="30" t="s">
        <v>19</v>
      </c>
      <c r="G2526" s="30" t="s">
        <v>50</v>
      </c>
      <c r="H2526" s="32">
        <v>360</v>
      </c>
      <c r="I2526" s="30" t="s">
        <v>51</v>
      </c>
      <c r="J2526" s="41">
        <v>44034</v>
      </c>
      <c r="K2526" s="30" t="s">
        <v>22</v>
      </c>
    </row>
    <row r="2527" spans="1:11">
      <c r="A2527" s="33" t="s">
        <v>6253</v>
      </c>
      <c r="B2527" s="33" t="s">
        <v>6254</v>
      </c>
      <c r="C2527" s="33" t="s">
        <v>6255</v>
      </c>
      <c r="D2527" s="33" t="s">
        <v>17</v>
      </c>
      <c r="E2527" s="33" t="s">
        <v>26</v>
      </c>
      <c r="F2527" s="33" t="s">
        <v>27</v>
      </c>
      <c r="G2527" s="33" t="s">
        <v>158</v>
      </c>
      <c r="H2527" s="35">
        <v>80</v>
      </c>
      <c r="I2527" s="33" t="s">
        <v>51</v>
      </c>
      <c r="J2527" s="42">
        <v>43979</v>
      </c>
      <c r="K2527" s="33" t="s">
        <v>22</v>
      </c>
    </row>
    <row r="2528" spans="1:11">
      <c r="A2528" s="30" t="s">
        <v>6256</v>
      </c>
      <c r="B2528" s="30" t="s">
        <v>6257</v>
      </c>
      <c r="C2528" s="30" t="s">
        <v>1583</v>
      </c>
      <c r="D2528" s="30" t="s">
        <v>17</v>
      </c>
      <c r="E2528" s="30" t="s">
        <v>31</v>
      </c>
      <c r="F2528" s="30" t="s">
        <v>32</v>
      </c>
      <c r="G2528" s="30" t="s">
        <v>158</v>
      </c>
      <c r="H2528" s="32">
        <v>40</v>
      </c>
      <c r="I2528" s="30" t="s">
        <v>21</v>
      </c>
      <c r="J2528" s="41">
        <v>44089</v>
      </c>
      <c r="K2528" s="30" t="s">
        <v>22</v>
      </c>
    </row>
    <row r="2529" spans="1:11">
      <c r="A2529" s="33" t="s">
        <v>6258</v>
      </c>
      <c r="B2529" s="33" t="s">
        <v>6259</v>
      </c>
      <c r="C2529" s="33" t="s">
        <v>2922</v>
      </c>
      <c r="D2529" s="33" t="s">
        <v>17</v>
      </c>
      <c r="E2529" s="33" t="s">
        <v>67</v>
      </c>
      <c r="F2529" s="33" t="s">
        <v>68</v>
      </c>
      <c r="G2529" s="33" t="s">
        <v>158</v>
      </c>
      <c r="H2529" s="35">
        <v>21</v>
      </c>
      <c r="I2529" s="33" t="s">
        <v>21</v>
      </c>
      <c r="J2529" s="42">
        <v>43991</v>
      </c>
      <c r="K2529" s="33" t="s">
        <v>22</v>
      </c>
    </row>
    <row r="2530" spans="1:11">
      <c r="A2530" s="30" t="s">
        <v>6260</v>
      </c>
      <c r="B2530" s="30" t="s">
        <v>6261</v>
      </c>
      <c r="C2530" s="30" t="s">
        <v>249</v>
      </c>
      <c r="D2530" s="30" t="s">
        <v>17</v>
      </c>
      <c r="E2530" s="30" t="s">
        <v>18</v>
      </c>
      <c r="F2530" s="30" t="s">
        <v>19</v>
      </c>
      <c r="G2530" s="30" t="s">
        <v>106</v>
      </c>
      <c r="H2530" s="32">
        <v>372</v>
      </c>
      <c r="I2530" s="30" t="s">
        <v>21</v>
      </c>
      <c r="J2530" s="41">
        <v>44104</v>
      </c>
      <c r="K2530" s="30" t="s">
        <v>22</v>
      </c>
    </row>
    <row r="2531" spans="1:11">
      <c r="A2531" s="33" t="s">
        <v>6262</v>
      </c>
      <c r="B2531" s="33" t="s">
        <v>6263</v>
      </c>
      <c r="C2531" s="33" t="s">
        <v>178</v>
      </c>
      <c r="D2531" s="33" t="s">
        <v>17</v>
      </c>
      <c r="E2531" s="33" t="s">
        <v>26</v>
      </c>
      <c r="F2531" s="33" t="s">
        <v>27</v>
      </c>
      <c r="G2531" s="33" t="s">
        <v>20</v>
      </c>
      <c r="H2531" s="35">
        <v>20</v>
      </c>
      <c r="I2531" s="33" t="s">
        <v>21</v>
      </c>
      <c r="J2531" s="42">
        <v>44132</v>
      </c>
      <c r="K2531" s="33" t="s">
        <v>22</v>
      </c>
    </row>
    <row r="2532" spans="1:11">
      <c r="A2532" s="30" t="s">
        <v>6264</v>
      </c>
      <c r="B2532" s="30" t="s">
        <v>6265</v>
      </c>
      <c r="C2532" s="30" t="s">
        <v>3302</v>
      </c>
      <c r="D2532" s="30" t="s">
        <v>17</v>
      </c>
      <c r="E2532" s="30" t="s">
        <v>45</v>
      </c>
      <c r="F2532" s="30" t="s">
        <v>46</v>
      </c>
      <c r="G2532" s="30" t="s">
        <v>50</v>
      </c>
      <c r="H2532" s="32">
        <v>500</v>
      </c>
      <c r="I2532" s="30" t="s">
        <v>51</v>
      </c>
      <c r="J2532" s="41">
        <v>44074</v>
      </c>
      <c r="K2532" s="30" t="s">
        <v>22</v>
      </c>
    </row>
    <row r="2533" spans="1:11">
      <c r="A2533" s="33" t="s">
        <v>6266</v>
      </c>
      <c r="B2533" s="33" t="s">
        <v>6267</v>
      </c>
      <c r="C2533" s="33" t="s">
        <v>5401</v>
      </c>
      <c r="D2533" s="33" t="s">
        <v>17</v>
      </c>
      <c r="E2533" s="33" t="s">
        <v>26</v>
      </c>
      <c r="F2533" s="33" t="s">
        <v>27</v>
      </c>
      <c r="G2533" s="33" t="s">
        <v>20</v>
      </c>
      <c r="H2533" s="35">
        <v>96</v>
      </c>
      <c r="I2533" s="33" t="s">
        <v>21</v>
      </c>
      <c r="J2533" s="42">
        <v>43881</v>
      </c>
      <c r="K2533" s="33" t="s">
        <v>22</v>
      </c>
    </row>
    <row r="2534" spans="1:11">
      <c r="A2534" s="30" t="s">
        <v>6268</v>
      </c>
      <c r="B2534" s="30" t="s">
        <v>6269</v>
      </c>
      <c r="C2534" s="30" t="s">
        <v>136</v>
      </c>
      <c r="D2534" s="30" t="s">
        <v>17</v>
      </c>
      <c r="E2534" s="30" t="s">
        <v>18</v>
      </c>
      <c r="F2534" s="30" t="s">
        <v>19</v>
      </c>
      <c r="G2534" s="30" t="s">
        <v>20</v>
      </c>
      <c r="H2534" s="32">
        <v>13299</v>
      </c>
      <c r="I2534" s="30" t="s">
        <v>21</v>
      </c>
      <c r="J2534" s="41">
        <v>43980</v>
      </c>
      <c r="K2534" s="30" t="s">
        <v>22</v>
      </c>
    </row>
    <row r="2535" spans="1:11">
      <c r="A2535" s="33" t="s">
        <v>6270</v>
      </c>
      <c r="B2535" s="33" t="s">
        <v>6271</v>
      </c>
      <c r="C2535" s="33" t="s">
        <v>5443</v>
      </c>
      <c r="D2535" s="33" t="s">
        <v>17</v>
      </c>
      <c r="E2535" s="33" t="s">
        <v>31</v>
      </c>
      <c r="F2535" s="33" t="s">
        <v>32</v>
      </c>
      <c r="G2535" s="33" t="s">
        <v>140</v>
      </c>
      <c r="H2535" s="35">
        <v>100</v>
      </c>
      <c r="I2535" s="33" t="s">
        <v>51</v>
      </c>
      <c r="J2535" s="42">
        <v>44189</v>
      </c>
      <c r="K2535" s="33" t="s">
        <v>22</v>
      </c>
    </row>
    <row r="2536" spans="1:11">
      <c r="A2536" s="30" t="s">
        <v>6272</v>
      </c>
      <c r="B2536" s="30" t="s">
        <v>6273</v>
      </c>
      <c r="C2536" s="30" t="s">
        <v>96</v>
      </c>
      <c r="D2536" s="30" t="s">
        <v>17</v>
      </c>
      <c r="E2536" s="30" t="s">
        <v>31</v>
      </c>
      <c r="F2536" s="30" t="s">
        <v>32</v>
      </c>
      <c r="G2536" s="30" t="s">
        <v>158</v>
      </c>
      <c r="H2536" s="32">
        <v>362</v>
      </c>
      <c r="I2536" s="30" t="s">
        <v>21</v>
      </c>
      <c r="J2536" s="41">
        <v>44097</v>
      </c>
      <c r="K2536" s="30" t="s">
        <v>22</v>
      </c>
    </row>
    <row r="2537" spans="1:11">
      <c r="A2537" s="33" t="s">
        <v>6274</v>
      </c>
      <c r="B2537" s="33" t="s">
        <v>6275</v>
      </c>
      <c r="C2537" s="33" t="s">
        <v>6276</v>
      </c>
      <c r="D2537" s="33" t="s">
        <v>17</v>
      </c>
      <c r="E2537" s="33" t="s">
        <v>26</v>
      </c>
      <c r="F2537" s="33" t="s">
        <v>27</v>
      </c>
      <c r="G2537" s="33" t="s">
        <v>20</v>
      </c>
      <c r="H2537" s="35">
        <v>7</v>
      </c>
      <c r="I2537" s="33" t="s">
        <v>21</v>
      </c>
      <c r="J2537" s="42">
        <v>43880</v>
      </c>
      <c r="K2537" s="33" t="s">
        <v>22</v>
      </c>
    </row>
    <row r="2538" spans="1:11">
      <c r="A2538" s="30" t="s">
        <v>6277</v>
      </c>
      <c r="B2538" s="30" t="s">
        <v>6278</v>
      </c>
      <c r="C2538" s="30" t="s">
        <v>6279</v>
      </c>
      <c r="D2538" s="30" t="s">
        <v>17</v>
      </c>
      <c r="E2538" s="30" t="s">
        <v>330</v>
      </c>
      <c r="F2538" s="30" t="s">
        <v>331</v>
      </c>
      <c r="G2538" s="30" t="s">
        <v>20</v>
      </c>
      <c r="H2538" s="32">
        <v>12</v>
      </c>
      <c r="I2538" s="30" t="s">
        <v>21</v>
      </c>
      <c r="J2538" s="41">
        <v>43998</v>
      </c>
      <c r="K2538" s="30" t="s">
        <v>22</v>
      </c>
    </row>
    <row r="2539" spans="1:11">
      <c r="A2539" s="33" t="s">
        <v>6280</v>
      </c>
      <c r="B2539" s="33" t="s">
        <v>6281</v>
      </c>
      <c r="C2539" s="33" t="s">
        <v>6282</v>
      </c>
      <c r="D2539" s="33" t="s">
        <v>17</v>
      </c>
      <c r="E2539" s="33" t="s">
        <v>26</v>
      </c>
      <c r="F2539" s="33" t="s">
        <v>27</v>
      </c>
      <c r="G2539" s="33" t="s">
        <v>20</v>
      </c>
      <c r="H2539" s="35">
        <v>12</v>
      </c>
      <c r="I2539" s="33" t="s">
        <v>21</v>
      </c>
      <c r="J2539" s="42">
        <v>43987</v>
      </c>
      <c r="K2539" s="33" t="s">
        <v>22</v>
      </c>
    </row>
    <row r="2540" spans="1:11">
      <c r="A2540" s="30" t="s">
        <v>6283</v>
      </c>
      <c r="B2540" s="30" t="s">
        <v>6284</v>
      </c>
      <c r="C2540" s="30" t="s">
        <v>701</v>
      </c>
      <c r="D2540" s="30" t="s">
        <v>17</v>
      </c>
      <c r="E2540" s="30" t="s">
        <v>26</v>
      </c>
      <c r="F2540" s="30" t="s">
        <v>27</v>
      </c>
      <c r="G2540" s="30" t="s">
        <v>20</v>
      </c>
      <c r="H2540" s="32">
        <v>30</v>
      </c>
      <c r="I2540" s="30" t="s">
        <v>21</v>
      </c>
      <c r="J2540" s="41">
        <v>43978</v>
      </c>
      <c r="K2540" s="30" t="s">
        <v>22</v>
      </c>
    </row>
    <row r="2541" spans="1:11">
      <c r="A2541" s="33" t="s">
        <v>6285</v>
      </c>
      <c r="B2541" s="33" t="s">
        <v>6286</v>
      </c>
      <c r="C2541" s="33" t="s">
        <v>6287</v>
      </c>
      <c r="D2541" s="33" t="s">
        <v>17</v>
      </c>
      <c r="E2541" s="33" t="s">
        <v>67</v>
      </c>
      <c r="F2541" s="33" t="s">
        <v>68</v>
      </c>
      <c r="G2541" s="33" t="s">
        <v>140</v>
      </c>
      <c r="H2541" s="35">
        <v>220</v>
      </c>
      <c r="I2541" s="33" t="s">
        <v>51</v>
      </c>
      <c r="J2541" s="42">
        <v>44071</v>
      </c>
      <c r="K2541" s="33" t="s">
        <v>22</v>
      </c>
    </row>
    <row r="2542" spans="1:11">
      <c r="A2542" s="30" t="s">
        <v>6288</v>
      </c>
      <c r="B2542" s="30" t="s">
        <v>6289</v>
      </c>
      <c r="C2542" s="30" t="s">
        <v>190</v>
      </c>
      <c r="D2542" s="30" t="s">
        <v>17</v>
      </c>
      <c r="E2542" s="30" t="s">
        <v>31</v>
      </c>
      <c r="F2542" s="30" t="s">
        <v>32</v>
      </c>
      <c r="G2542" s="30" t="s">
        <v>20</v>
      </c>
      <c r="H2542" s="32">
        <v>46</v>
      </c>
      <c r="I2542" s="30" t="s">
        <v>21</v>
      </c>
      <c r="J2542" s="41">
        <v>44161</v>
      </c>
      <c r="K2542" s="30" t="s">
        <v>22</v>
      </c>
    </row>
    <row r="2543" spans="1:11">
      <c r="A2543" s="33" t="s">
        <v>6290</v>
      </c>
      <c r="B2543" s="33" t="s">
        <v>6291</v>
      </c>
      <c r="C2543" s="33" t="s">
        <v>6292</v>
      </c>
      <c r="D2543" s="33" t="s">
        <v>17</v>
      </c>
      <c r="E2543" s="33" t="s">
        <v>330</v>
      </c>
      <c r="F2543" s="33" t="s">
        <v>331</v>
      </c>
      <c r="G2543" s="33" t="s">
        <v>50</v>
      </c>
      <c r="H2543" s="35">
        <v>15</v>
      </c>
      <c r="I2543" s="33" t="s">
        <v>51</v>
      </c>
      <c r="J2543" s="42">
        <v>44174</v>
      </c>
      <c r="K2543" s="33" t="s">
        <v>22</v>
      </c>
    </row>
    <row r="2544" spans="1:11">
      <c r="A2544" s="30" t="s">
        <v>6293</v>
      </c>
      <c r="B2544" s="30" t="s">
        <v>6294</v>
      </c>
      <c r="C2544" s="30" t="s">
        <v>96</v>
      </c>
      <c r="D2544" s="30" t="s">
        <v>17</v>
      </c>
      <c r="E2544" s="30" t="s">
        <v>26</v>
      </c>
      <c r="F2544" s="30" t="s">
        <v>27</v>
      </c>
      <c r="G2544" s="30" t="s">
        <v>106</v>
      </c>
      <c r="H2544" s="32">
        <v>37</v>
      </c>
      <c r="I2544" s="30" t="s">
        <v>21</v>
      </c>
      <c r="J2544" s="41">
        <v>44181</v>
      </c>
      <c r="K2544" s="30" t="s">
        <v>22</v>
      </c>
    </row>
    <row r="2545" spans="1:11">
      <c r="A2545" s="33" t="s">
        <v>6295</v>
      </c>
      <c r="B2545" s="33" t="s">
        <v>6296</v>
      </c>
      <c r="C2545" s="33" t="s">
        <v>6297</v>
      </c>
      <c r="D2545" s="33" t="s">
        <v>17</v>
      </c>
      <c r="E2545" s="33" t="s">
        <v>26</v>
      </c>
      <c r="F2545" s="33" t="s">
        <v>27</v>
      </c>
      <c r="G2545" s="33" t="s">
        <v>20</v>
      </c>
      <c r="H2545" s="35">
        <v>103</v>
      </c>
      <c r="I2545" s="33" t="s">
        <v>21</v>
      </c>
      <c r="J2545" s="42">
        <v>43889</v>
      </c>
      <c r="K2545" s="33" t="s">
        <v>22</v>
      </c>
    </row>
    <row r="2546" spans="1:11">
      <c r="A2546" s="30" t="s">
        <v>6298</v>
      </c>
      <c r="B2546" s="30" t="s">
        <v>6299</v>
      </c>
      <c r="C2546" s="30" t="s">
        <v>6300</v>
      </c>
      <c r="D2546" s="30" t="s">
        <v>17</v>
      </c>
      <c r="E2546" s="30" t="s">
        <v>67</v>
      </c>
      <c r="F2546" s="30" t="s">
        <v>68</v>
      </c>
      <c r="G2546" s="30" t="s">
        <v>106</v>
      </c>
      <c r="H2546" s="32">
        <v>3</v>
      </c>
      <c r="I2546" s="30" t="s">
        <v>21</v>
      </c>
      <c r="J2546" s="41">
        <v>43878</v>
      </c>
      <c r="K2546" s="30" t="s">
        <v>22</v>
      </c>
    </row>
    <row r="2547" spans="1:11">
      <c r="A2547" s="33" t="s">
        <v>6301</v>
      </c>
      <c r="B2547" s="33" t="s">
        <v>6302</v>
      </c>
      <c r="C2547" s="33" t="s">
        <v>6303</v>
      </c>
      <c r="D2547" s="33" t="s">
        <v>17</v>
      </c>
      <c r="E2547" s="33" t="s">
        <v>26</v>
      </c>
      <c r="F2547" s="33" t="s">
        <v>27</v>
      </c>
      <c r="G2547" s="33" t="s">
        <v>20</v>
      </c>
      <c r="H2547" s="35">
        <v>60</v>
      </c>
      <c r="I2547" s="33" t="s">
        <v>21</v>
      </c>
      <c r="J2547" s="42">
        <v>44132</v>
      </c>
      <c r="K2547" s="33" t="s">
        <v>22</v>
      </c>
    </row>
    <row r="2548" spans="1:11">
      <c r="A2548" s="30" t="s">
        <v>6304</v>
      </c>
      <c r="B2548" s="30" t="s">
        <v>6305</v>
      </c>
      <c r="C2548" s="30" t="s">
        <v>6306</v>
      </c>
      <c r="D2548" s="30" t="s">
        <v>17</v>
      </c>
      <c r="E2548" s="30" t="s">
        <v>31</v>
      </c>
      <c r="F2548" s="30" t="s">
        <v>32</v>
      </c>
      <c r="G2548" s="30" t="s">
        <v>20</v>
      </c>
      <c r="H2548" s="32">
        <v>117</v>
      </c>
      <c r="I2548" s="30" t="s">
        <v>21</v>
      </c>
      <c r="J2548" s="41">
        <v>44028</v>
      </c>
      <c r="K2548" s="30" t="s">
        <v>22</v>
      </c>
    </row>
    <row r="2549" spans="1:11">
      <c r="A2549" s="33" t="s">
        <v>6307</v>
      </c>
      <c r="B2549" s="33" t="s">
        <v>6308</v>
      </c>
      <c r="C2549" s="33" t="s">
        <v>6309</v>
      </c>
      <c r="D2549" s="33" t="s">
        <v>17</v>
      </c>
      <c r="E2549" s="33" t="s">
        <v>45</v>
      </c>
      <c r="F2549" s="33" t="s">
        <v>46</v>
      </c>
      <c r="G2549" s="33" t="s">
        <v>50</v>
      </c>
      <c r="H2549" s="35">
        <v>135</v>
      </c>
      <c r="I2549" s="33" t="s">
        <v>51</v>
      </c>
      <c r="J2549" s="42">
        <v>44008</v>
      </c>
      <c r="K2549" s="33" t="s">
        <v>22</v>
      </c>
    </row>
    <row r="2550" spans="1:11">
      <c r="A2550" s="30" t="s">
        <v>6310</v>
      </c>
      <c r="B2550" s="30" t="s">
        <v>6311</v>
      </c>
      <c r="C2550" s="30" t="s">
        <v>2807</v>
      </c>
      <c r="D2550" s="30" t="s">
        <v>17</v>
      </c>
      <c r="E2550" s="30" t="s">
        <v>26</v>
      </c>
      <c r="F2550" s="30" t="s">
        <v>27</v>
      </c>
      <c r="G2550" s="30" t="s">
        <v>20</v>
      </c>
      <c r="H2550" s="32">
        <v>64</v>
      </c>
      <c r="I2550" s="30" t="s">
        <v>21</v>
      </c>
      <c r="J2550" s="41">
        <v>44172</v>
      </c>
      <c r="K2550" s="30" t="s">
        <v>22</v>
      </c>
    </row>
    <row r="2551" spans="1:11">
      <c r="A2551" s="33" t="s">
        <v>6312</v>
      </c>
      <c r="B2551" s="33" t="s">
        <v>6313</v>
      </c>
      <c r="C2551" s="33" t="s">
        <v>44</v>
      </c>
      <c r="D2551" s="33" t="s">
        <v>17</v>
      </c>
      <c r="E2551" s="33" t="s">
        <v>26</v>
      </c>
      <c r="F2551" s="33" t="s">
        <v>27</v>
      </c>
      <c r="G2551" s="33" t="s">
        <v>106</v>
      </c>
      <c r="H2551" s="35">
        <v>38</v>
      </c>
      <c r="I2551" s="33" t="s">
        <v>21</v>
      </c>
      <c r="J2551" s="42">
        <v>44109</v>
      </c>
      <c r="K2551" s="33" t="s">
        <v>22</v>
      </c>
    </row>
    <row r="2552" spans="1:11">
      <c r="A2552" s="30" t="s">
        <v>6314</v>
      </c>
      <c r="B2552" s="30" t="s">
        <v>6315</v>
      </c>
      <c r="C2552" s="30" t="s">
        <v>6316</v>
      </c>
      <c r="D2552" s="30" t="s">
        <v>17</v>
      </c>
      <c r="E2552" s="30" t="s">
        <v>26</v>
      </c>
      <c r="F2552" s="30" t="s">
        <v>27</v>
      </c>
      <c r="G2552" s="30" t="s">
        <v>50</v>
      </c>
      <c r="H2552" s="32">
        <v>102</v>
      </c>
      <c r="I2552" s="30" t="s">
        <v>51</v>
      </c>
      <c r="J2552" s="41">
        <v>44136</v>
      </c>
      <c r="K2552" s="30" t="s">
        <v>22</v>
      </c>
    </row>
    <row r="2553" spans="1:11">
      <c r="A2553" s="33" t="s">
        <v>6317</v>
      </c>
      <c r="B2553" s="33" t="s">
        <v>6318</v>
      </c>
      <c r="C2553" s="33" t="s">
        <v>154</v>
      </c>
      <c r="D2553" s="33" t="s">
        <v>17</v>
      </c>
      <c r="E2553" s="33" t="s">
        <v>31</v>
      </c>
      <c r="F2553" s="33" t="s">
        <v>32</v>
      </c>
      <c r="G2553" s="33" t="s">
        <v>20</v>
      </c>
      <c r="H2553" s="35">
        <v>181</v>
      </c>
      <c r="I2553" s="33" t="s">
        <v>21</v>
      </c>
      <c r="J2553" s="42">
        <v>44167</v>
      </c>
      <c r="K2553" s="33" t="s">
        <v>22</v>
      </c>
    </row>
    <row r="2554" spans="1:11">
      <c r="A2554" s="30" t="s">
        <v>6319</v>
      </c>
      <c r="B2554" s="30" t="s">
        <v>6320</v>
      </c>
      <c r="C2554" s="30" t="s">
        <v>647</v>
      </c>
      <c r="D2554" s="30" t="s">
        <v>17</v>
      </c>
      <c r="E2554" s="30" t="s">
        <v>26</v>
      </c>
      <c r="F2554" s="30" t="s">
        <v>27</v>
      </c>
      <c r="G2554" s="30" t="s">
        <v>20</v>
      </c>
      <c r="H2554" s="32">
        <v>12</v>
      </c>
      <c r="I2554" s="30" t="s">
        <v>21</v>
      </c>
      <c r="J2554" s="41">
        <v>44000</v>
      </c>
      <c r="K2554" s="30" t="s">
        <v>22</v>
      </c>
    </row>
    <row r="2555" spans="1:11">
      <c r="A2555" s="33" t="s">
        <v>6321</v>
      </c>
      <c r="B2555" s="33" t="s">
        <v>6322</v>
      </c>
      <c r="C2555" s="33" t="s">
        <v>5050</v>
      </c>
      <c r="D2555" s="33" t="s">
        <v>17</v>
      </c>
      <c r="E2555" s="33" t="s">
        <v>18</v>
      </c>
      <c r="F2555" s="33" t="s">
        <v>19</v>
      </c>
      <c r="G2555" s="33" t="s">
        <v>20</v>
      </c>
      <c r="H2555" s="35">
        <v>393</v>
      </c>
      <c r="I2555" s="33" t="s">
        <v>21</v>
      </c>
      <c r="J2555" s="42">
        <v>43874</v>
      </c>
      <c r="K2555" s="33" t="s">
        <v>22</v>
      </c>
    </row>
    <row r="2556" spans="1:11">
      <c r="A2556" s="30" t="s">
        <v>6323</v>
      </c>
      <c r="B2556" s="30" t="s">
        <v>6324</v>
      </c>
      <c r="C2556" s="30" t="s">
        <v>6325</v>
      </c>
      <c r="D2556" s="30" t="s">
        <v>17</v>
      </c>
      <c r="E2556" s="30" t="s">
        <v>31</v>
      </c>
      <c r="F2556" s="30" t="s">
        <v>32</v>
      </c>
      <c r="G2556" s="30" t="s">
        <v>20</v>
      </c>
      <c r="H2556" s="32">
        <v>192</v>
      </c>
      <c r="I2556" s="30" t="s">
        <v>21</v>
      </c>
      <c r="J2556" s="41">
        <v>44077</v>
      </c>
      <c r="K2556" s="30" t="s">
        <v>22</v>
      </c>
    </row>
    <row r="2557" spans="1:11">
      <c r="A2557" s="33" t="s">
        <v>6326</v>
      </c>
      <c r="B2557" s="33" t="s">
        <v>6327</v>
      </c>
      <c r="C2557" s="33" t="s">
        <v>2022</v>
      </c>
      <c r="D2557" s="33" t="s">
        <v>17</v>
      </c>
      <c r="E2557" s="33" t="s">
        <v>26</v>
      </c>
      <c r="F2557" s="33" t="s">
        <v>27</v>
      </c>
      <c r="G2557" s="33" t="s">
        <v>20</v>
      </c>
      <c r="H2557" s="35">
        <v>47</v>
      </c>
      <c r="I2557" s="33" t="s">
        <v>21</v>
      </c>
      <c r="J2557" s="42">
        <v>43844</v>
      </c>
      <c r="K2557" s="33" t="s">
        <v>22</v>
      </c>
    </row>
    <row r="2558" spans="1:11">
      <c r="A2558" s="30" t="s">
        <v>6328</v>
      </c>
      <c r="B2558" s="30" t="s">
        <v>6329</v>
      </c>
      <c r="C2558" s="30" t="s">
        <v>1148</v>
      </c>
      <c r="D2558" s="30" t="s">
        <v>17</v>
      </c>
      <c r="E2558" s="30" t="s">
        <v>18</v>
      </c>
      <c r="F2558" s="30" t="s">
        <v>19</v>
      </c>
      <c r="G2558" s="30" t="s">
        <v>112</v>
      </c>
      <c r="H2558" s="32">
        <v>0</v>
      </c>
      <c r="I2558" s="30" t="s">
        <v>21</v>
      </c>
      <c r="J2558" s="41">
        <v>43864</v>
      </c>
      <c r="K2558" s="30" t="s">
        <v>22</v>
      </c>
    </row>
    <row r="2559" spans="1:11">
      <c r="A2559" s="33" t="s">
        <v>6330</v>
      </c>
      <c r="B2559" s="33" t="s">
        <v>6331</v>
      </c>
      <c r="C2559" s="33" t="s">
        <v>96</v>
      </c>
      <c r="D2559" s="33" t="s">
        <v>17</v>
      </c>
      <c r="E2559" s="33" t="s">
        <v>31</v>
      </c>
      <c r="F2559" s="33" t="s">
        <v>32</v>
      </c>
      <c r="G2559" s="33" t="s">
        <v>20</v>
      </c>
      <c r="H2559" s="35">
        <v>256</v>
      </c>
      <c r="I2559" s="33" t="s">
        <v>21</v>
      </c>
      <c r="J2559" s="42">
        <v>43997</v>
      </c>
      <c r="K2559" s="33" t="s">
        <v>22</v>
      </c>
    </row>
    <row r="2560" spans="1:11">
      <c r="A2560" s="30" t="s">
        <v>6332</v>
      </c>
      <c r="B2560" s="30" t="s">
        <v>6333</v>
      </c>
      <c r="C2560" s="30" t="s">
        <v>4568</v>
      </c>
      <c r="D2560" s="30" t="s">
        <v>17</v>
      </c>
      <c r="E2560" s="30" t="s">
        <v>31</v>
      </c>
      <c r="F2560" s="30" t="s">
        <v>32</v>
      </c>
      <c r="G2560" s="30" t="s">
        <v>20</v>
      </c>
      <c r="H2560" s="32">
        <v>69</v>
      </c>
      <c r="I2560" s="30" t="s">
        <v>21</v>
      </c>
      <c r="J2560" s="41">
        <v>43970</v>
      </c>
      <c r="K2560" s="30" t="s">
        <v>22</v>
      </c>
    </row>
    <row r="2561" spans="1:11">
      <c r="A2561" s="33" t="s">
        <v>6334</v>
      </c>
      <c r="B2561" s="33" t="s">
        <v>6335</v>
      </c>
      <c r="C2561" s="33" t="s">
        <v>6336</v>
      </c>
      <c r="D2561" s="33" t="s">
        <v>17</v>
      </c>
      <c r="E2561" s="33" t="s">
        <v>31</v>
      </c>
      <c r="F2561" s="33" t="s">
        <v>32</v>
      </c>
      <c r="G2561" s="33" t="s">
        <v>20</v>
      </c>
      <c r="H2561" s="35">
        <v>136</v>
      </c>
      <c r="I2561" s="33" t="s">
        <v>21</v>
      </c>
      <c r="J2561" s="42">
        <v>44106</v>
      </c>
      <c r="K2561" s="33" t="s">
        <v>22</v>
      </c>
    </row>
    <row r="2562" spans="1:11">
      <c r="A2562" s="30" t="s">
        <v>6337</v>
      </c>
      <c r="B2562" s="30" t="s">
        <v>6338</v>
      </c>
      <c r="C2562" s="30" t="s">
        <v>6339</v>
      </c>
      <c r="D2562" s="30" t="s">
        <v>17</v>
      </c>
      <c r="E2562" s="30" t="s">
        <v>26</v>
      </c>
      <c r="F2562" s="30" t="s">
        <v>27</v>
      </c>
      <c r="G2562" s="30" t="s">
        <v>20</v>
      </c>
      <c r="H2562" s="32">
        <v>30</v>
      </c>
      <c r="I2562" s="30" t="s">
        <v>21</v>
      </c>
      <c r="J2562" s="41">
        <v>43858</v>
      </c>
      <c r="K2562" s="30" t="s">
        <v>22</v>
      </c>
    </row>
    <row r="2563" spans="1:11">
      <c r="A2563" s="33" t="s">
        <v>6340</v>
      </c>
      <c r="B2563" s="33" t="s">
        <v>6341</v>
      </c>
      <c r="C2563" s="33" t="s">
        <v>190</v>
      </c>
      <c r="D2563" s="33" t="s">
        <v>17</v>
      </c>
      <c r="E2563" s="33" t="s">
        <v>67</v>
      </c>
      <c r="F2563" s="33" t="s">
        <v>68</v>
      </c>
      <c r="G2563" s="33" t="s">
        <v>20</v>
      </c>
      <c r="H2563" s="35">
        <v>256</v>
      </c>
      <c r="I2563" s="33" t="s">
        <v>21</v>
      </c>
      <c r="J2563" s="42">
        <v>44066</v>
      </c>
      <c r="K2563" s="33" t="s">
        <v>22</v>
      </c>
    </row>
    <row r="2564" spans="1:11">
      <c r="A2564" s="30" t="s">
        <v>6342</v>
      </c>
      <c r="B2564" s="30" t="s">
        <v>6343</v>
      </c>
      <c r="C2564" s="30" t="s">
        <v>6344</v>
      </c>
      <c r="D2564" s="30" t="s">
        <v>17</v>
      </c>
      <c r="E2564" s="30" t="s">
        <v>31</v>
      </c>
      <c r="F2564" s="30" t="s">
        <v>32</v>
      </c>
      <c r="G2564" s="30" t="s">
        <v>20</v>
      </c>
      <c r="H2564" s="32">
        <v>282</v>
      </c>
      <c r="I2564" s="30" t="s">
        <v>21</v>
      </c>
      <c r="J2564" s="41">
        <v>44172</v>
      </c>
      <c r="K2564" s="30" t="s">
        <v>22</v>
      </c>
    </row>
    <row r="2565" spans="1:11">
      <c r="A2565" s="33" t="s">
        <v>6345</v>
      </c>
      <c r="B2565" s="33" t="s">
        <v>6346</v>
      </c>
      <c r="C2565" s="33" t="s">
        <v>44</v>
      </c>
      <c r="D2565" s="33" t="s">
        <v>17</v>
      </c>
      <c r="E2565" s="33" t="s">
        <v>67</v>
      </c>
      <c r="F2565" s="33" t="s">
        <v>68</v>
      </c>
      <c r="G2565" s="33" t="s">
        <v>20</v>
      </c>
      <c r="H2565" s="35">
        <v>2252</v>
      </c>
      <c r="I2565" s="33" t="s">
        <v>21</v>
      </c>
      <c r="J2565" s="42">
        <v>43992</v>
      </c>
      <c r="K2565" s="33" t="s">
        <v>22</v>
      </c>
    </row>
    <row r="2566" spans="1:11">
      <c r="A2566" s="30" t="s">
        <v>6347</v>
      </c>
      <c r="B2566" s="30" t="s">
        <v>6348</v>
      </c>
      <c r="C2566" s="30" t="s">
        <v>1701</v>
      </c>
      <c r="D2566" s="30" t="s">
        <v>17</v>
      </c>
      <c r="E2566" s="30" t="s">
        <v>26</v>
      </c>
      <c r="F2566" s="30" t="s">
        <v>27</v>
      </c>
      <c r="G2566" s="30" t="s">
        <v>20</v>
      </c>
      <c r="H2566" s="32">
        <v>85</v>
      </c>
      <c r="I2566" s="30" t="s">
        <v>21</v>
      </c>
      <c r="J2566" s="41">
        <v>43906</v>
      </c>
      <c r="K2566" s="30" t="s">
        <v>22</v>
      </c>
    </row>
    <row r="2567" spans="1:11">
      <c r="A2567" s="33" t="s">
        <v>6349</v>
      </c>
      <c r="B2567" s="33" t="s">
        <v>6350</v>
      </c>
      <c r="C2567" s="33" t="s">
        <v>6351</v>
      </c>
      <c r="D2567" s="33" t="s">
        <v>17</v>
      </c>
      <c r="E2567" s="33" t="s">
        <v>26</v>
      </c>
      <c r="F2567" s="33" t="s">
        <v>27</v>
      </c>
      <c r="G2567" s="33" t="s">
        <v>50</v>
      </c>
      <c r="H2567" s="35">
        <v>80</v>
      </c>
      <c r="I2567" s="33" t="s">
        <v>51</v>
      </c>
      <c r="J2567" s="42">
        <v>44159</v>
      </c>
      <c r="K2567" s="33" t="s">
        <v>22</v>
      </c>
    </row>
    <row r="2568" spans="1:11">
      <c r="A2568" s="30" t="s">
        <v>6352</v>
      </c>
      <c r="B2568" s="30" t="s">
        <v>6353</v>
      </c>
      <c r="C2568" s="30" t="s">
        <v>5312</v>
      </c>
      <c r="D2568" s="30" t="s">
        <v>17</v>
      </c>
      <c r="E2568" s="30" t="s">
        <v>31</v>
      </c>
      <c r="F2568" s="30" t="s">
        <v>32</v>
      </c>
      <c r="G2568" s="30" t="s">
        <v>158</v>
      </c>
      <c r="H2568" s="32">
        <v>43</v>
      </c>
      <c r="I2568" s="30" t="s">
        <v>21</v>
      </c>
      <c r="J2568" s="41">
        <v>43859</v>
      </c>
      <c r="K2568" s="30" t="s">
        <v>22</v>
      </c>
    </row>
    <row r="2569" spans="1:11">
      <c r="A2569" s="33" t="s">
        <v>6354</v>
      </c>
      <c r="B2569" s="33" t="s">
        <v>6355</v>
      </c>
      <c r="C2569" s="33" t="s">
        <v>3465</v>
      </c>
      <c r="D2569" s="33" t="s">
        <v>17</v>
      </c>
      <c r="E2569" s="33" t="s">
        <v>18</v>
      </c>
      <c r="F2569" s="33" t="s">
        <v>19</v>
      </c>
      <c r="G2569" s="33" t="s">
        <v>20</v>
      </c>
      <c r="H2569" s="35">
        <v>691</v>
      </c>
      <c r="I2569" s="33" t="s">
        <v>21</v>
      </c>
      <c r="J2569" s="42">
        <v>43983</v>
      </c>
      <c r="K2569" s="33" t="s">
        <v>22</v>
      </c>
    </row>
    <row r="2570" spans="1:11">
      <c r="A2570" s="30" t="s">
        <v>6356</v>
      </c>
      <c r="B2570" s="30" t="s">
        <v>6357</v>
      </c>
      <c r="C2570" s="30" t="s">
        <v>6358</v>
      </c>
      <c r="D2570" s="30" t="s">
        <v>17</v>
      </c>
      <c r="E2570" s="30" t="s">
        <v>26</v>
      </c>
      <c r="F2570" s="30" t="s">
        <v>27</v>
      </c>
      <c r="G2570" s="30" t="s">
        <v>20</v>
      </c>
      <c r="H2570" s="32">
        <v>10</v>
      </c>
      <c r="I2570" s="30" t="s">
        <v>21</v>
      </c>
      <c r="J2570" s="41">
        <v>44149</v>
      </c>
      <c r="K2570" s="30" t="s">
        <v>22</v>
      </c>
    </row>
    <row r="2571" spans="1:11">
      <c r="A2571" s="33" t="s">
        <v>6359</v>
      </c>
      <c r="B2571" s="33" t="s">
        <v>6360</v>
      </c>
      <c r="C2571" s="33" t="s">
        <v>6361</v>
      </c>
      <c r="D2571" s="33" t="s">
        <v>17</v>
      </c>
      <c r="E2571" s="33" t="s">
        <v>330</v>
      </c>
      <c r="F2571" s="33" t="s">
        <v>331</v>
      </c>
      <c r="G2571" s="33" t="s">
        <v>50</v>
      </c>
      <c r="H2571" s="35">
        <v>24</v>
      </c>
      <c r="I2571" s="33" t="s">
        <v>51</v>
      </c>
      <c r="J2571" s="42">
        <v>43895</v>
      </c>
      <c r="K2571" s="33" t="s">
        <v>22</v>
      </c>
    </row>
    <row r="2572" spans="1:11">
      <c r="A2572" s="30" t="s">
        <v>6362</v>
      </c>
      <c r="B2572" s="30" t="s">
        <v>6363</v>
      </c>
      <c r="C2572" s="30" t="s">
        <v>203</v>
      </c>
      <c r="D2572" s="30" t="s">
        <v>17</v>
      </c>
      <c r="E2572" s="30" t="s">
        <v>18</v>
      </c>
      <c r="F2572" s="30" t="s">
        <v>19</v>
      </c>
      <c r="G2572" s="30" t="s">
        <v>20</v>
      </c>
      <c r="H2572" s="32">
        <v>1131</v>
      </c>
      <c r="I2572" s="30" t="s">
        <v>21</v>
      </c>
      <c r="J2572" s="41">
        <v>44098</v>
      </c>
      <c r="K2572" s="30" t="s">
        <v>22</v>
      </c>
    </row>
    <row r="2573" spans="1:11">
      <c r="A2573" s="33" t="s">
        <v>6364</v>
      </c>
      <c r="B2573" s="33" t="s">
        <v>6365</v>
      </c>
      <c r="C2573" s="33" t="s">
        <v>96</v>
      </c>
      <c r="D2573" s="33" t="s">
        <v>17</v>
      </c>
      <c r="E2573" s="33" t="s">
        <v>45</v>
      </c>
      <c r="F2573" s="33" t="s">
        <v>46</v>
      </c>
      <c r="G2573" s="33" t="s">
        <v>20</v>
      </c>
      <c r="H2573" s="35">
        <v>974</v>
      </c>
      <c r="I2573" s="33" t="s">
        <v>21</v>
      </c>
      <c r="J2573" s="42">
        <v>44011</v>
      </c>
      <c r="K2573" s="33" t="s">
        <v>22</v>
      </c>
    </row>
    <row r="2574" spans="1:11">
      <c r="A2574" s="30" t="s">
        <v>6366</v>
      </c>
      <c r="B2574" s="30" t="s">
        <v>6367</v>
      </c>
      <c r="C2574" s="30" t="s">
        <v>190</v>
      </c>
      <c r="D2574" s="30" t="s">
        <v>17</v>
      </c>
      <c r="E2574" s="30" t="s">
        <v>18</v>
      </c>
      <c r="F2574" s="30" t="s">
        <v>19</v>
      </c>
      <c r="G2574" s="30" t="s">
        <v>20</v>
      </c>
      <c r="H2574" s="32">
        <v>166</v>
      </c>
      <c r="I2574" s="30" t="s">
        <v>21</v>
      </c>
      <c r="J2574" s="41">
        <v>44172</v>
      </c>
      <c r="K2574" s="30" t="s">
        <v>22</v>
      </c>
    </row>
    <row r="2575" spans="1:11">
      <c r="A2575" s="33" t="s">
        <v>6368</v>
      </c>
      <c r="B2575" s="33" t="s">
        <v>6369</v>
      </c>
      <c r="C2575" s="33" t="s">
        <v>567</v>
      </c>
      <c r="D2575" s="33" t="s">
        <v>17</v>
      </c>
      <c r="E2575" s="33" t="s">
        <v>31</v>
      </c>
      <c r="F2575" s="33" t="s">
        <v>32</v>
      </c>
      <c r="G2575" s="33" t="s">
        <v>112</v>
      </c>
      <c r="H2575" s="35">
        <v>0</v>
      </c>
      <c r="I2575" s="33" t="s">
        <v>21</v>
      </c>
      <c r="J2575" s="42">
        <v>43854</v>
      </c>
      <c r="K2575" s="33" t="s">
        <v>22</v>
      </c>
    </row>
    <row r="2576" spans="1:11">
      <c r="A2576" s="30" t="s">
        <v>6370</v>
      </c>
      <c r="B2576" s="30" t="s">
        <v>6371</v>
      </c>
      <c r="C2576" s="30" t="s">
        <v>2472</v>
      </c>
      <c r="D2576" s="30" t="s">
        <v>17</v>
      </c>
      <c r="E2576" s="30" t="s">
        <v>45</v>
      </c>
      <c r="F2576" s="30" t="s">
        <v>46</v>
      </c>
      <c r="G2576" s="30" t="s">
        <v>20</v>
      </c>
      <c r="H2576" s="32">
        <v>4328</v>
      </c>
      <c r="I2576" s="30" t="s">
        <v>21</v>
      </c>
      <c r="J2576" s="41">
        <v>44174</v>
      </c>
      <c r="K2576" s="30" t="s">
        <v>22</v>
      </c>
    </row>
    <row r="2577" spans="1:11">
      <c r="A2577" s="33" t="s">
        <v>6372</v>
      </c>
      <c r="B2577" s="33" t="s">
        <v>6373</v>
      </c>
      <c r="C2577" s="33" t="s">
        <v>359</v>
      </c>
      <c r="D2577" s="33" t="s">
        <v>17</v>
      </c>
      <c r="E2577" s="33" t="s">
        <v>31</v>
      </c>
      <c r="F2577" s="33" t="s">
        <v>32</v>
      </c>
      <c r="G2577" s="33" t="s">
        <v>20</v>
      </c>
      <c r="H2577" s="35">
        <v>34</v>
      </c>
      <c r="I2577" s="33" t="s">
        <v>21</v>
      </c>
      <c r="J2577" s="42">
        <v>44179</v>
      </c>
      <c r="K2577" s="33" t="s">
        <v>22</v>
      </c>
    </row>
    <row r="2578" spans="1:11">
      <c r="A2578" s="30" t="s">
        <v>6374</v>
      </c>
      <c r="B2578" s="30" t="s">
        <v>6375</v>
      </c>
      <c r="C2578" s="30" t="s">
        <v>6376</v>
      </c>
      <c r="D2578" s="30" t="s">
        <v>17</v>
      </c>
      <c r="E2578" s="30" t="s">
        <v>18</v>
      </c>
      <c r="F2578" s="30" t="s">
        <v>19</v>
      </c>
      <c r="G2578" s="30" t="s">
        <v>106</v>
      </c>
      <c r="H2578" s="32">
        <v>172</v>
      </c>
      <c r="I2578" s="30" t="s">
        <v>21</v>
      </c>
      <c r="J2578" s="41">
        <v>43978</v>
      </c>
      <c r="K2578" s="30" t="s">
        <v>22</v>
      </c>
    </row>
    <row r="2579" spans="1:11">
      <c r="A2579" s="33" t="s">
        <v>6377</v>
      </c>
      <c r="B2579" s="33" t="s">
        <v>6378</v>
      </c>
      <c r="C2579" s="33" t="s">
        <v>6379</v>
      </c>
      <c r="D2579" s="33" t="s">
        <v>17</v>
      </c>
      <c r="E2579" s="33" t="s">
        <v>26</v>
      </c>
      <c r="F2579" s="33" t="s">
        <v>27</v>
      </c>
      <c r="G2579" s="33" t="s">
        <v>20</v>
      </c>
      <c r="H2579" s="35">
        <v>6</v>
      </c>
      <c r="I2579" s="33" t="s">
        <v>21</v>
      </c>
      <c r="J2579" s="42">
        <v>43878</v>
      </c>
      <c r="K2579" s="33" t="s">
        <v>22</v>
      </c>
    </row>
    <row r="2580" spans="1:11">
      <c r="A2580" s="30" t="s">
        <v>6380</v>
      </c>
      <c r="B2580" s="30" t="s">
        <v>6381</v>
      </c>
      <c r="C2580" s="30" t="s">
        <v>1136</v>
      </c>
      <c r="D2580" s="30" t="s">
        <v>17</v>
      </c>
      <c r="E2580" s="30" t="s">
        <v>67</v>
      </c>
      <c r="F2580" s="30" t="s">
        <v>68</v>
      </c>
      <c r="G2580" s="30" t="s">
        <v>20</v>
      </c>
      <c r="H2580" s="32">
        <v>259</v>
      </c>
      <c r="I2580" s="30" t="s">
        <v>21</v>
      </c>
      <c r="J2580" s="41">
        <v>44091</v>
      </c>
      <c r="K2580" s="30" t="s">
        <v>22</v>
      </c>
    </row>
    <row r="2581" spans="1:11">
      <c r="A2581" s="33" t="s">
        <v>6382</v>
      </c>
      <c r="B2581" s="33" t="s">
        <v>6383</v>
      </c>
      <c r="C2581" s="33" t="s">
        <v>1469</v>
      </c>
      <c r="D2581" s="33" t="s">
        <v>17</v>
      </c>
      <c r="E2581" s="33" t="s">
        <v>18</v>
      </c>
      <c r="F2581" s="33" t="s">
        <v>19</v>
      </c>
      <c r="G2581" s="33" t="s">
        <v>20</v>
      </c>
      <c r="H2581" s="35">
        <v>286</v>
      </c>
      <c r="I2581" s="33" t="s">
        <v>21</v>
      </c>
      <c r="J2581" s="42">
        <v>44085</v>
      </c>
      <c r="K2581" s="33" t="s">
        <v>22</v>
      </c>
    </row>
    <row r="2582" spans="1:11">
      <c r="A2582" s="30" t="s">
        <v>6384</v>
      </c>
      <c r="B2582" s="30" t="s">
        <v>6385</v>
      </c>
      <c r="C2582" s="30" t="s">
        <v>6386</v>
      </c>
      <c r="D2582" s="30" t="s">
        <v>17</v>
      </c>
      <c r="E2582" s="30" t="s">
        <v>67</v>
      </c>
      <c r="F2582" s="30" t="s">
        <v>68</v>
      </c>
      <c r="G2582" s="30" t="s">
        <v>50</v>
      </c>
      <c r="H2582" s="32">
        <v>18</v>
      </c>
      <c r="I2582" s="30" t="s">
        <v>51</v>
      </c>
      <c r="J2582" s="41">
        <v>44131</v>
      </c>
      <c r="K2582" s="30" t="s">
        <v>22</v>
      </c>
    </row>
    <row r="2583" spans="1:11">
      <c r="A2583" s="33" t="s">
        <v>6387</v>
      </c>
      <c r="B2583" s="33" t="s">
        <v>6388</v>
      </c>
      <c r="C2583" s="33" t="s">
        <v>925</v>
      </c>
      <c r="D2583" s="33" t="s">
        <v>17</v>
      </c>
      <c r="E2583" s="33" t="s">
        <v>26</v>
      </c>
      <c r="F2583" s="33" t="s">
        <v>27</v>
      </c>
      <c r="G2583" s="33" t="s">
        <v>106</v>
      </c>
      <c r="H2583" s="35">
        <v>9</v>
      </c>
      <c r="I2583" s="33" t="s">
        <v>21</v>
      </c>
      <c r="J2583" s="42">
        <v>44152</v>
      </c>
      <c r="K2583" s="33" t="s">
        <v>22</v>
      </c>
    </row>
    <row r="2584" spans="1:11">
      <c r="A2584" s="30" t="s">
        <v>6389</v>
      </c>
      <c r="B2584" s="30" t="s">
        <v>6390</v>
      </c>
      <c r="C2584" s="30" t="s">
        <v>6391</v>
      </c>
      <c r="D2584" s="30" t="s">
        <v>17</v>
      </c>
      <c r="E2584" s="30" t="s">
        <v>18</v>
      </c>
      <c r="F2584" s="30" t="s">
        <v>19</v>
      </c>
      <c r="G2584" s="30" t="s">
        <v>20</v>
      </c>
      <c r="H2584" s="32">
        <v>1000</v>
      </c>
      <c r="I2584" s="30" t="s">
        <v>21</v>
      </c>
      <c r="J2584" s="41">
        <v>44097</v>
      </c>
      <c r="K2584" s="30" t="s">
        <v>22</v>
      </c>
    </row>
    <row r="2585" spans="1:11">
      <c r="A2585" s="33" t="s">
        <v>6392</v>
      </c>
      <c r="B2585" s="33" t="s">
        <v>6393</v>
      </c>
      <c r="C2585" s="33" t="s">
        <v>96</v>
      </c>
      <c r="D2585" s="33" t="s">
        <v>17</v>
      </c>
      <c r="E2585" s="33" t="s">
        <v>26</v>
      </c>
      <c r="F2585" s="33" t="s">
        <v>27</v>
      </c>
      <c r="G2585" s="33" t="s">
        <v>106</v>
      </c>
      <c r="H2585" s="35">
        <v>1</v>
      </c>
      <c r="I2585" s="33" t="s">
        <v>21</v>
      </c>
      <c r="J2585" s="42">
        <v>43844</v>
      </c>
      <c r="K2585" s="33" t="s">
        <v>22</v>
      </c>
    </row>
    <row r="2586" spans="1:11">
      <c r="A2586" s="30" t="s">
        <v>6394</v>
      </c>
      <c r="B2586" s="30" t="s">
        <v>6395</v>
      </c>
      <c r="C2586" s="30" t="s">
        <v>6396</v>
      </c>
      <c r="D2586" s="30" t="s">
        <v>17</v>
      </c>
      <c r="E2586" s="30" t="s">
        <v>212</v>
      </c>
      <c r="F2586" s="30" t="s">
        <v>213</v>
      </c>
      <c r="G2586" s="30" t="s">
        <v>20</v>
      </c>
      <c r="H2586" s="32">
        <v>96</v>
      </c>
      <c r="I2586" s="30" t="s">
        <v>21</v>
      </c>
      <c r="J2586" s="41">
        <v>44068</v>
      </c>
      <c r="K2586" s="30" t="s">
        <v>22</v>
      </c>
    </row>
    <row r="2587" spans="1:11">
      <c r="A2587" s="33" t="s">
        <v>6397</v>
      </c>
      <c r="B2587" s="33" t="s">
        <v>6398</v>
      </c>
      <c r="C2587" s="33" t="s">
        <v>6399</v>
      </c>
      <c r="D2587" s="33" t="s">
        <v>17</v>
      </c>
      <c r="E2587" s="33" t="s">
        <v>67</v>
      </c>
      <c r="F2587" s="33" t="s">
        <v>68</v>
      </c>
      <c r="G2587" s="33" t="s">
        <v>158</v>
      </c>
      <c r="H2587" s="35">
        <v>240</v>
      </c>
      <c r="I2587" s="33" t="s">
        <v>51</v>
      </c>
      <c r="J2587" s="42">
        <v>44179</v>
      </c>
      <c r="K2587" s="33" t="s">
        <v>22</v>
      </c>
    </row>
    <row r="2588" spans="1:11">
      <c r="A2588" s="30" t="s">
        <v>6400</v>
      </c>
      <c r="B2588" s="30" t="s">
        <v>6401</v>
      </c>
      <c r="C2588" s="30" t="s">
        <v>118</v>
      </c>
      <c r="D2588" s="30" t="s">
        <v>17</v>
      </c>
      <c r="E2588" s="30" t="s">
        <v>31</v>
      </c>
      <c r="F2588" s="30" t="s">
        <v>32</v>
      </c>
      <c r="G2588" s="30" t="s">
        <v>20</v>
      </c>
      <c r="H2588" s="32">
        <v>1808</v>
      </c>
      <c r="I2588" s="30" t="s">
        <v>21</v>
      </c>
      <c r="J2588" s="41">
        <v>43997</v>
      </c>
      <c r="K2588" s="30" t="s">
        <v>22</v>
      </c>
    </row>
    <row r="2589" spans="1:11">
      <c r="A2589" s="33" t="s">
        <v>6402</v>
      </c>
      <c r="B2589" s="33" t="s">
        <v>6403</v>
      </c>
      <c r="C2589" s="33" t="s">
        <v>6351</v>
      </c>
      <c r="D2589" s="33" t="s">
        <v>17</v>
      </c>
      <c r="E2589" s="33" t="s">
        <v>18</v>
      </c>
      <c r="F2589" s="33" t="s">
        <v>19</v>
      </c>
      <c r="G2589" s="33" t="s">
        <v>20</v>
      </c>
      <c r="H2589" s="35">
        <v>210</v>
      </c>
      <c r="I2589" s="33" t="s">
        <v>21</v>
      </c>
      <c r="J2589" s="42">
        <v>43972</v>
      </c>
      <c r="K2589" s="33" t="s">
        <v>22</v>
      </c>
    </row>
    <row r="2590" spans="1:11">
      <c r="A2590" s="30" t="s">
        <v>6404</v>
      </c>
      <c r="B2590" s="30" t="s">
        <v>6405</v>
      </c>
      <c r="C2590" s="30" t="s">
        <v>450</v>
      </c>
      <c r="D2590" s="30" t="s">
        <v>17</v>
      </c>
      <c r="E2590" s="30" t="s">
        <v>18</v>
      </c>
      <c r="F2590" s="30" t="s">
        <v>19</v>
      </c>
      <c r="G2590" s="30" t="s">
        <v>158</v>
      </c>
      <c r="H2590" s="32">
        <v>125</v>
      </c>
      <c r="I2590" s="30" t="s">
        <v>21</v>
      </c>
      <c r="J2590" s="41">
        <v>44068</v>
      </c>
      <c r="K2590" s="30" t="s">
        <v>22</v>
      </c>
    </row>
    <row r="2591" spans="1:11">
      <c r="A2591" s="33" t="s">
        <v>6406</v>
      </c>
      <c r="B2591" s="33" t="s">
        <v>6407</v>
      </c>
      <c r="C2591" s="33" t="s">
        <v>4468</v>
      </c>
      <c r="D2591" s="33" t="s">
        <v>17</v>
      </c>
      <c r="E2591" s="33" t="s">
        <v>31</v>
      </c>
      <c r="F2591" s="33" t="s">
        <v>32</v>
      </c>
      <c r="G2591" s="33" t="s">
        <v>106</v>
      </c>
      <c r="H2591" s="35">
        <v>35</v>
      </c>
      <c r="I2591" s="33" t="s">
        <v>21</v>
      </c>
      <c r="J2591" s="42">
        <v>43965</v>
      </c>
      <c r="K2591" s="33" t="s">
        <v>22</v>
      </c>
    </row>
    <row r="2592" spans="1:11">
      <c r="A2592" s="30" t="s">
        <v>6408</v>
      </c>
      <c r="B2592" s="30" t="s">
        <v>6409</v>
      </c>
      <c r="C2592" s="30" t="s">
        <v>222</v>
      </c>
      <c r="D2592" s="30" t="s">
        <v>17</v>
      </c>
      <c r="E2592" s="30" t="s">
        <v>26</v>
      </c>
      <c r="F2592" s="30" t="s">
        <v>27</v>
      </c>
      <c r="G2592" s="30" t="s">
        <v>106</v>
      </c>
      <c r="H2592" s="32">
        <v>34</v>
      </c>
      <c r="I2592" s="30" t="s">
        <v>21</v>
      </c>
      <c r="J2592" s="41">
        <v>43959</v>
      </c>
      <c r="K2592" s="30" t="s">
        <v>22</v>
      </c>
    </row>
    <row r="2593" spans="1:11">
      <c r="A2593" s="33" t="s">
        <v>6410</v>
      </c>
      <c r="B2593" s="33" t="s">
        <v>6411</v>
      </c>
      <c r="C2593" s="33" t="s">
        <v>6412</v>
      </c>
      <c r="D2593" s="33" t="s">
        <v>17</v>
      </c>
      <c r="E2593" s="33" t="s">
        <v>31</v>
      </c>
      <c r="F2593" s="33" t="s">
        <v>32</v>
      </c>
      <c r="G2593" s="33" t="s">
        <v>112</v>
      </c>
      <c r="H2593" s="35">
        <v>0</v>
      </c>
      <c r="I2593" s="33" t="s">
        <v>21</v>
      </c>
      <c r="J2593" s="42">
        <v>43952</v>
      </c>
      <c r="K2593" s="33" t="s">
        <v>22</v>
      </c>
    </row>
    <row r="2594" spans="1:11">
      <c r="A2594" s="30" t="s">
        <v>6413</v>
      </c>
      <c r="B2594" s="30" t="s">
        <v>6414</v>
      </c>
      <c r="C2594" s="30" t="s">
        <v>60</v>
      </c>
      <c r="D2594" s="30" t="s">
        <v>17</v>
      </c>
      <c r="E2594" s="30" t="s">
        <v>18</v>
      </c>
      <c r="F2594" s="30" t="s">
        <v>19</v>
      </c>
      <c r="G2594" s="30" t="s">
        <v>20</v>
      </c>
      <c r="H2594" s="32">
        <v>121</v>
      </c>
      <c r="I2594" s="30" t="s">
        <v>21</v>
      </c>
      <c r="J2594" s="41">
        <v>44001</v>
      </c>
      <c r="K2594" s="30" t="s">
        <v>22</v>
      </c>
    </row>
    <row r="2595" spans="1:11">
      <c r="A2595" s="33" t="s">
        <v>6415</v>
      </c>
      <c r="B2595" s="33" t="s">
        <v>6416</v>
      </c>
      <c r="C2595" s="33" t="s">
        <v>6417</v>
      </c>
      <c r="D2595" s="33" t="s">
        <v>17</v>
      </c>
      <c r="E2595" s="33" t="s">
        <v>67</v>
      </c>
      <c r="F2595" s="33" t="s">
        <v>68</v>
      </c>
      <c r="G2595" s="33" t="s">
        <v>158</v>
      </c>
      <c r="H2595" s="35">
        <v>125</v>
      </c>
      <c r="I2595" s="33" t="s">
        <v>51</v>
      </c>
      <c r="J2595" s="42">
        <v>44111</v>
      </c>
      <c r="K2595" s="33" t="s">
        <v>22</v>
      </c>
    </row>
    <row r="2596" spans="1:11">
      <c r="A2596" s="30" t="s">
        <v>6418</v>
      </c>
      <c r="B2596" s="30" t="s">
        <v>6419</v>
      </c>
      <c r="C2596" s="30" t="s">
        <v>1210</v>
      </c>
      <c r="D2596" s="30" t="s">
        <v>17</v>
      </c>
      <c r="E2596" s="30" t="s">
        <v>26</v>
      </c>
      <c r="F2596" s="30" t="s">
        <v>27</v>
      </c>
      <c r="G2596" s="30" t="s">
        <v>20</v>
      </c>
      <c r="H2596" s="32">
        <v>7</v>
      </c>
      <c r="I2596" s="30" t="s">
        <v>21</v>
      </c>
      <c r="J2596" s="41">
        <v>44040</v>
      </c>
      <c r="K2596" s="30" t="s">
        <v>22</v>
      </c>
    </row>
    <row r="2597" spans="1:11">
      <c r="A2597" s="33" t="s">
        <v>6420</v>
      </c>
      <c r="B2597" s="33" t="s">
        <v>6421</v>
      </c>
      <c r="C2597" s="33" t="s">
        <v>6422</v>
      </c>
      <c r="D2597" s="33" t="s">
        <v>17</v>
      </c>
      <c r="E2597" s="33" t="s">
        <v>26</v>
      </c>
      <c r="F2597" s="33" t="s">
        <v>27</v>
      </c>
      <c r="G2597" s="33" t="s">
        <v>20</v>
      </c>
      <c r="H2597" s="35">
        <v>42</v>
      </c>
      <c r="I2597" s="33" t="s">
        <v>21</v>
      </c>
      <c r="J2597" s="42">
        <v>43865</v>
      </c>
      <c r="K2597" s="33" t="s">
        <v>22</v>
      </c>
    </row>
    <row r="2598" spans="1:11">
      <c r="A2598" s="30" t="s">
        <v>6423</v>
      </c>
      <c r="B2598" s="30" t="s">
        <v>6424</v>
      </c>
      <c r="C2598" s="30" t="s">
        <v>93</v>
      </c>
      <c r="D2598" s="30" t="s">
        <v>17</v>
      </c>
      <c r="E2598" s="30" t="s">
        <v>18</v>
      </c>
      <c r="F2598" s="30" t="s">
        <v>19</v>
      </c>
      <c r="G2598" s="30" t="s">
        <v>106</v>
      </c>
      <c r="H2598" s="32">
        <v>465</v>
      </c>
      <c r="I2598" s="30" t="s">
        <v>21</v>
      </c>
      <c r="J2598" s="41">
        <v>43887</v>
      </c>
      <c r="K2598" s="30" t="s">
        <v>22</v>
      </c>
    </row>
    <row r="2599" spans="1:11">
      <c r="A2599" s="33" t="s">
        <v>6425</v>
      </c>
      <c r="B2599" s="33" t="s">
        <v>6426</v>
      </c>
      <c r="C2599" s="33" t="s">
        <v>157</v>
      </c>
      <c r="D2599" s="33" t="s">
        <v>17</v>
      </c>
      <c r="E2599" s="33" t="s">
        <v>31</v>
      </c>
      <c r="F2599" s="33" t="s">
        <v>32</v>
      </c>
      <c r="G2599" s="33" t="s">
        <v>140</v>
      </c>
      <c r="H2599" s="35">
        <v>160</v>
      </c>
      <c r="I2599" s="33" t="s">
        <v>51</v>
      </c>
      <c r="J2599" s="42">
        <v>44062</v>
      </c>
      <c r="K2599" s="33" t="s">
        <v>22</v>
      </c>
    </row>
    <row r="2600" spans="1:11">
      <c r="A2600" s="30" t="s">
        <v>6427</v>
      </c>
      <c r="B2600" s="30" t="s">
        <v>6428</v>
      </c>
      <c r="C2600" s="30" t="s">
        <v>93</v>
      </c>
      <c r="D2600" s="30" t="s">
        <v>17</v>
      </c>
      <c r="E2600" s="30" t="s">
        <v>18</v>
      </c>
      <c r="F2600" s="30" t="s">
        <v>19</v>
      </c>
      <c r="G2600" s="30" t="s">
        <v>158</v>
      </c>
      <c r="H2600" s="32">
        <v>531</v>
      </c>
      <c r="I2600" s="30" t="s">
        <v>21</v>
      </c>
      <c r="J2600" s="41">
        <v>44084</v>
      </c>
      <c r="K2600" s="30" t="s">
        <v>22</v>
      </c>
    </row>
    <row r="2601" spans="1:11">
      <c r="A2601" s="33" t="s">
        <v>6429</v>
      </c>
      <c r="B2601" s="33" t="s">
        <v>6430</v>
      </c>
      <c r="C2601" s="33" t="s">
        <v>3665</v>
      </c>
      <c r="D2601" s="33" t="s">
        <v>17</v>
      </c>
      <c r="E2601" s="33" t="s">
        <v>18</v>
      </c>
      <c r="F2601" s="33" t="s">
        <v>19</v>
      </c>
      <c r="G2601" s="33" t="s">
        <v>50</v>
      </c>
      <c r="H2601" s="35">
        <v>140</v>
      </c>
      <c r="I2601" s="33" t="s">
        <v>51</v>
      </c>
      <c r="J2601" s="42">
        <v>44013</v>
      </c>
      <c r="K2601" s="33" t="s">
        <v>22</v>
      </c>
    </row>
    <row r="2602" spans="1:11">
      <c r="A2602" s="30" t="s">
        <v>6431</v>
      </c>
      <c r="B2602" s="30" t="s">
        <v>6432</v>
      </c>
      <c r="C2602" s="30" t="s">
        <v>399</v>
      </c>
      <c r="D2602" s="30" t="s">
        <v>17</v>
      </c>
      <c r="E2602" s="30" t="s">
        <v>31</v>
      </c>
      <c r="F2602" s="30" t="s">
        <v>32</v>
      </c>
      <c r="G2602" s="30" t="s">
        <v>20</v>
      </c>
      <c r="H2602" s="32">
        <v>155</v>
      </c>
      <c r="I2602" s="30" t="s">
        <v>21</v>
      </c>
      <c r="J2602" s="41">
        <v>44032</v>
      </c>
      <c r="K2602" s="30" t="s">
        <v>22</v>
      </c>
    </row>
    <row r="2603" spans="1:11">
      <c r="A2603" s="33" t="s">
        <v>6433</v>
      </c>
      <c r="B2603" s="33" t="s">
        <v>6434</v>
      </c>
      <c r="C2603" s="33" t="s">
        <v>4504</v>
      </c>
      <c r="D2603" s="33" t="s">
        <v>17</v>
      </c>
      <c r="E2603" s="33" t="s">
        <v>26</v>
      </c>
      <c r="F2603" s="33" t="s">
        <v>27</v>
      </c>
      <c r="G2603" s="33" t="s">
        <v>20</v>
      </c>
      <c r="H2603" s="35">
        <v>54</v>
      </c>
      <c r="I2603" s="33" t="s">
        <v>21</v>
      </c>
      <c r="J2603" s="42">
        <v>44152</v>
      </c>
      <c r="K2603" s="33" t="s">
        <v>22</v>
      </c>
    </row>
    <row r="2604" spans="1:11">
      <c r="A2604" s="30" t="s">
        <v>6435</v>
      </c>
      <c r="B2604" s="30" t="s">
        <v>6436</v>
      </c>
      <c r="C2604" s="30" t="s">
        <v>6437</v>
      </c>
      <c r="D2604" s="30" t="s">
        <v>17</v>
      </c>
      <c r="E2604" s="30" t="s">
        <v>26</v>
      </c>
      <c r="F2604" s="30" t="s">
        <v>27</v>
      </c>
      <c r="G2604" s="30" t="s">
        <v>20</v>
      </c>
      <c r="H2604" s="32">
        <v>14</v>
      </c>
      <c r="I2604" s="30" t="s">
        <v>21</v>
      </c>
      <c r="J2604" s="41">
        <v>44118</v>
      </c>
      <c r="K2604" s="30" t="s">
        <v>22</v>
      </c>
    </row>
    <row r="2605" spans="1:11">
      <c r="A2605" s="33" t="s">
        <v>6438</v>
      </c>
      <c r="B2605" s="33" t="s">
        <v>6439</v>
      </c>
      <c r="C2605" s="33" t="s">
        <v>1826</v>
      </c>
      <c r="D2605" s="33" t="s">
        <v>17</v>
      </c>
      <c r="E2605" s="33" t="s">
        <v>18</v>
      </c>
      <c r="F2605" s="33" t="s">
        <v>19</v>
      </c>
      <c r="G2605" s="33" t="s">
        <v>20</v>
      </c>
      <c r="H2605" s="35">
        <v>159</v>
      </c>
      <c r="I2605" s="33" t="s">
        <v>21</v>
      </c>
      <c r="J2605" s="42">
        <v>43853</v>
      </c>
      <c r="K2605" s="33" t="s">
        <v>22</v>
      </c>
    </row>
    <row r="2606" spans="1:11">
      <c r="A2606" s="30" t="s">
        <v>6440</v>
      </c>
      <c r="B2606" s="30" t="s">
        <v>6441</v>
      </c>
      <c r="C2606" s="30" t="s">
        <v>6442</v>
      </c>
      <c r="D2606" s="30" t="s">
        <v>17</v>
      </c>
      <c r="E2606" s="30" t="s">
        <v>18</v>
      </c>
      <c r="F2606" s="30" t="s">
        <v>19</v>
      </c>
      <c r="G2606" s="30" t="s">
        <v>158</v>
      </c>
      <c r="H2606" s="32">
        <v>575</v>
      </c>
      <c r="I2606" s="30" t="s">
        <v>21</v>
      </c>
      <c r="J2606" s="41">
        <v>44123</v>
      </c>
      <c r="K2606" s="30" t="s">
        <v>22</v>
      </c>
    </row>
    <row r="2607" spans="1:11">
      <c r="A2607" s="33" t="s">
        <v>6443</v>
      </c>
      <c r="B2607" s="33" t="s">
        <v>6444</v>
      </c>
      <c r="C2607" s="33" t="s">
        <v>6445</v>
      </c>
      <c r="D2607" s="33" t="s">
        <v>17</v>
      </c>
      <c r="E2607" s="33" t="s">
        <v>31</v>
      </c>
      <c r="F2607" s="33" t="s">
        <v>32</v>
      </c>
      <c r="G2607" s="33" t="s">
        <v>106</v>
      </c>
      <c r="H2607" s="35">
        <v>200</v>
      </c>
      <c r="I2607" s="33" t="s">
        <v>21</v>
      </c>
      <c r="J2607" s="42">
        <v>43973</v>
      </c>
      <c r="K2607" s="33" t="s">
        <v>22</v>
      </c>
    </row>
    <row r="2608" spans="1:11">
      <c r="A2608" s="30" t="s">
        <v>6446</v>
      </c>
      <c r="B2608" s="30" t="s">
        <v>6447</v>
      </c>
      <c r="C2608" s="30" t="s">
        <v>701</v>
      </c>
      <c r="D2608" s="30" t="s">
        <v>17</v>
      </c>
      <c r="E2608" s="30" t="s">
        <v>26</v>
      </c>
      <c r="F2608" s="30" t="s">
        <v>27</v>
      </c>
      <c r="G2608" s="30" t="s">
        <v>20</v>
      </c>
      <c r="H2608" s="32">
        <v>160</v>
      </c>
      <c r="I2608" s="30" t="s">
        <v>21</v>
      </c>
      <c r="J2608" s="41">
        <v>44125</v>
      </c>
      <c r="K2608" s="30" t="s">
        <v>22</v>
      </c>
    </row>
    <row r="2609" spans="1:11">
      <c r="A2609" s="33" t="s">
        <v>6448</v>
      </c>
      <c r="B2609" s="33" t="s">
        <v>6449</v>
      </c>
      <c r="C2609" s="33" t="s">
        <v>3296</v>
      </c>
      <c r="D2609" s="33" t="s">
        <v>17</v>
      </c>
      <c r="E2609" s="33" t="s">
        <v>26</v>
      </c>
      <c r="F2609" s="33" t="s">
        <v>27</v>
      </c>
      <c r="G2609" s="33" t="s">
        <v>50</v>
      </c>
      <c r="H2609" s="35">
        <v>49</v>
      </c>
      <c r="I2609" s="33" t="s">
        <v>21</v>
      </c>
      <c r="J2609" s="42">
        <v>44040</v>
      </c>
      <c r="K2609" s="33" t="s">
        <v>22</v>
      </c>
    </row>
    <row r="2610" spans="1:11">
      <c r="A2610" s="30" t="s">
        <v>6450</v>
      </c>
      <c r="B2610" s="30" t="s">
        <v>6451</v>
      </c>
      <c r="C2610" s="30" t="s">
        <v>136</v>
      </c>
      <c r="D2610" s="30" t="s">
        <v>17</v>
      </c>
      <c r="E2610" s="30" t="s">
        <v>26</v>
      </c>
      <c r="F2610" s="30" t="s">
        <v>27</v>
      </c>
      <c r="G2610" s="30" t="s">
        <v>20</v>
      </c>
      <c r="H2610" s="32">
        <v>240</v>
      </c>
      <c r="I2610" s="30" t="s">
        <v>21</v>
      </c>
      <c r="J2610" s="41">
        <v>44137</v>
      </c>
      <c r="K2610" s="30" t="s">
        <v>22</v>
      </c>
    </row>
    <row r="2611" spans="1:11">
      <c r="A2611" s="33" t="s">
        <v>6452</v>
      </c>
      <c r="B2611" s="33" t="s">
        <v>6453</v>
      </c>
      <c r="C2611" s="33" t="s">
        <v>2346</v>
      </c>
      <c r="D2611" s="33" t="s">
        <v>17</v>
      </c>
      <c r="E2611" s="33" t="s">
        <v>26</v>
      </c>
      <c r="F2611" s="33" t="s">
        <v>27</v>
      </c>
      <c r="G2611" s="33" t="s">
        <v>106</v>
      </c>
      <c r="H2611" s="35">
        <v>27</v>
      </c>
      <c r="I2611" s="33" t="s">
        <v>21</v>
      </c>
      <c r="J2611" s="42">
        <v>43902</v>
      </c>
      <c r="K2611" s="33" t="s">
        <v>22</v>
      </c>
    </row>
    <row r="2612" spans="1:11">
      <c r="A2612" s="30" t="s">
        <v>6454</v>
      </c>
      <c r="B2612" s="30" t="s">
        <v>6455</v>
      </c>
      <c r="C2612" s="30" t="s">
        <v>3892</v>
      </c>
      <c r="D2612" s="30" t="s">
        <v>17</v>
      </c>
      <c r="E2612" s="30" t="s">
        <v>26</v>
      </c>
      <c r="F2612" s="30" t="s">
        <v>27</v>
      </c>
      <c r="G2612" s="30" t="s">
        <v>20</v>
      </c>
      <c r="H2612" s="32">
        <v>35</v>
      </c>
      <c r="I2612" s="30" t="s">
        <v>21</v>
      </c>
      <c r="J2612" s="41">
        <v>43944</v>
      </c>
      <c r="K2612" s="30" t="s">
        <v>22</v>
      </c>
    </row>
    <row r="2613" spans="1:11">
      <c r="A2613" s="33" t="s">
        <v>6456</v>
      </c>
      <c r="B2613" s="33" t="s">
        <v>6457</v>
      </c>
      <c r="C2613" s="33" t="s">
        <v>2054</v>
      </c>
      <c r="D2613" s="33" t="s">
        <v>17</v>
      </c>
      <c r="E2613" s="33" t="s">
        <v>45</v>
      </c>
      <c r="F2613" s="33" t="s">
        <v>46</v>
      </c>
      <c r="G2613" s="33" t="s">
        <v>106</v>
      </c>
      <c r="H2613" s="35">
        <v>189</v>
      </c>
      <c r="I2613" s="33" t="s">
        <v>21</v>
      </c>
      <c r="J2613" s="42">
        <v>44021</v>
      </c>
      <c r="K2613" s="33" t="s">
        <v>22</v>
      </c>
    </row>
    <row r="2614" spans="1:11">
      <c r="A2614" s="30" t="s">
        <v>6458</v>
      </c>
      <c r="B2614" s="30" t="s">
        <v>6459</v>
      </c>
      <c r="C2614" s="30" t="s">
        <v>6460</v>
      </c>
      <c r="D2614" s="30" t="s">
        <v>17</v>
      </c>
      <c r="E2614" s="30" t="s">
        <v>67</v>
      </c>
      <c r="F2614" s="30" t="s">
        <v>68</v>
      </c>
      <c r="G2614" s="30" t="s">
        <v>158</v>
      </c>
      <c r="H2614" s="32">
        <v>153</v>
      </c>
      <c r="I2614" s="30" t="s">
        <v>21</v>
      </c>
      <c r="J2614" s="41">
        <v>43985</v>
      </c>
      <c r="K2614" s="30" t="s">
        <v>22</v>
      </c>
    </row>
    <row r="2615" spans="1:11">
      <c r="A2615" s="33" t="s">
        <v>6461</v>
      </c>
      <c r="B2615" s="33" t="s">
        <v>6462</v>
      </c>
      <c r="C2615" s="33" t="s">
        <v>6463</v>
      </c>
      <c r="D2615" s="33" t="s">
        <v>17</v>
      </c>
      <c r="E2615" s="33" t="s">
        <v>31</v>
      </c>
      <c r="F2615" s="33" t="s">
        <v>32</v>
      </c>
      <c r="G2615" s="33" t="s">
        <v>20</v>
      </c>
      <c r="H2615" s="35">
        <v>100</v>
      </c>
      <c r="I2615" s="33" t="s">
        <v>21</v>
      </c>
      <c r="J2615" s="42">
        <v>43985</v>
      </c>
      <c r="K2615" s="33" t="s">
        <v>22</v>
      </c>
    </row>
    <row r="2616" spans="1:11">
      <c r="A2616" s="30" t="s">
        <v>6464</v>
      </c>
      <c r="B2616" s="30" t="s">
        <v>6465</v>
      </c>
      <c r="C2616" s="30" t="s">
        <v>2156</v>
      </c>
      <c r="D2616" s="30" t="s">
        <v>17</v>
      </c>
      <c r="E2616" s="30" t="s">
        <v>26</v>
      </c>
      <c r="F2616" s="30" t="s">
        <v>27</v>
      </c>
      <c r="G2616" s="30" t="s">
        <v>20</v>
      </c>
      <c r="H2616" s="32">
        <v>75</v>
      </c>
      <c r="I2616" s="30" t="s">
        <v>21</v>
      </c>
      <c r="J2616" s="41">
        <v>43885</v>
      </c>
      <c r="K2616" s="30" t="s">
        <v>22</v>
      </c>
    </row>
    <row r="2617" spans="1:11">
      <c r="A2617" s="33" t="s">
        <v>6466</v>
      </c>
      <c r="B2617" s="33" t="s">
        <v>6467</v>
      </c>
      <c r="C2617" s="33" t="s">
        <v>3647</v>
      </c>
      <c r="D2617" s="33" t="s">
        <v>17</v>
      </c>
      <c r="E2617" s="33" t="s">
        <v>31</v>
      </c>
      <c r="F2617" s="33" t="s">
        <v>32</v>
      </c>
      <c r="G2617" s="33" t="s">
        <v>106</v>
      </c>
      <c r="H2617" s="35">
        <v>7</v>
      </c>
      <c r="I2617" s="33" t="s">
        <v>21</v>
      </c>
      <c r="J2617" s="42">
        <v>44183</v>
      </c>
      <c r="K2617" s="33" t="s">
        <v>22</v>
      </c>
    </row>
    <row r="2618" spans="1:11">
      <c r="A2618" s="30" t="s">
        <v>6468</v>
      </c>
      <c r="B2618" s="30" t="s">
        <v>6469</v>
      </c>
      <c r="C2618" s="30" t="s">
        <v>6470</v>
      </c>
      <c r="D2618" s="30" t="s">
        <v>17</v>
      </c>
      <c r="E2618" s="30" t="s">
        <v>18</v>
      </c>
      <c r="F2618" s="30" t="s">
        <v>19</v>
      </c>
      <c r="G2618" s="30" t="s">
        <v>20</v>
      </c>
      <c r="H2618" s="32">
        <v>252</v>
      </c>
      <c r="I2618" s="30" t="s">
        <v>21</v>
      </c>
      <c r="J2618" s="41">
        <v>44181</v>
      </c>
      <c r="K2618" s="30" t="s">
        <v>22</v>
      </c>
    </row>
    <row r="2619" spans="1:11">
      <c r="A2619" s="33" t="s">
        <v>6471</v>
      </c>
      <c r="B2619" s="33" t="s">
        <v>6472</v>
      </c>
      <c r="C2619" s="33" t="s">
        <v>6473</v>
      </c>
      <c r="D2619" s="33" t="s">
        <v>17</v>
      </c>
      <c r="E2619" s="33" t="s">
        <v>26</v>
      </c>
      <c r="F2619" s="33" t="s">
        <v>27</v>
      </c>
      <c r="G2619" s="33" t="s">
        <v>50</v>
      </c>
      <c r="H2619" s="35">
        <v>22</v>
      </c>
      <c r="I2619" s="33" t="s">
        <v>51</v>
      </c>
      <c r="J2619" s="42">
        <v>44136</v>
      </c>
      <c r="K2619" s="33" t="s">
        <v>22</v>
      </c>
    </row>
    <row r="2620" spans="1:11">
      <c r="A2620" s="30" t="s">
        <v>6474</v>
      </c>
      <c r="B2620" s="30" t="s">
        <v>6475</v>
      </c>
      <c r="C2620" s="30" t="s">
        <v>102</v>
      </c>
      <c r="D2620" s="30" t="s">
        <v>17</v>
      </c>
      <c r="E2620" s="30" t="s">
        <v>26</v>
      </c>
      <c r="F2620" s="30" t="s">
        <v>27</v>
      </c>
      <c r="G2620" s="30" t="s">
        <v>20</v>
      </c>
      <c r="H2620" s="32">
        <v>82</v>
      </c>
      <c r="I2620" s="30" t="s">
        <v>21</v>
      </c>
      <c r="J2620" s="41">
        <v>44022</v>
      </c>
      <c r="K2620" s="30" t="s">
        <v>22</v>
      </c>
    </row>
    <row r="2621" spans="1:11">
      <c r="A2621" s="33" t="s">
        <v>6476</v>
      </c>
      <c r="B2621" s="33" t="s">
        <v>6477</v>
      </c>
      <c r="C2621" s="33" t="s">
        <v>1090</v>
      </c>
      <c r="D2621" s="33" t="s">
        <v>17</v>
      </c>
      <c r="E2621" s="33" t="s">
        <v>26</v>
      </c>
      <c r="F2621" s="33" t="s">
        <v>27</v>
      </c>
      <c r="G2621" s="33" t="s">
        <v>50</v>
      </c>
      <c r="H2621" s="35">
        <v>186</v>
      </c>
      <c r="I2621" s="33" t="s">
        <v>51</v>
      </c>
      <c r="J2621" s="42">
        <v>43928</v>
      </c>
      <c r="K2621" s="33" t="s">
        <v>22</v>
      </c>
    </row>
    <row r="2622" spans="1:11">
      <c r="A2622" s="30" t="s">
        <v>6478</v>
      </c>
      <c r="B2622" s="30" t="s">
        <v>6479</v>
      </c>
      <c r="C2622" s="30" t="s">
        <v>2663</v>
      </c>
      <c r="D2622" s="30" t="s">
        <v>17</v>
      </c>
      <c r="E2622" s="30" t="s">
        <v>26</v>
      </c>
      <c r="F2622" s="30" t="s">
        <v>27</v>
      </c>
      <c r="G2622" s="30" t="s">
        <v>20</v>
      </c>
      <c r="H2622" s="32">
        <v>50</v>
      </c>
      <c r="I2622" s="30" t="s">
        <v>21</v>
      </c>
      <c r="J2622" s="41">
        <v>44023</v>
      </c>
      <c r="K2622" s="30" t="s">
        <v>22</v>
      </c>
    </row>
    <row r="2623" spans="1:11">
      <c r="A2623" s="33" t="s">
        <v>6480</v>
      </c>
      <c r="B2623" s="33" t="s">
        <v>6481</v>
      </c>
      <c r="C2623" s="33" t="s">
        <v>2446</v>
      </c>
      <c r="D2623" s="33" t="s">
        <v>17</v>
      </c>
      <c r="E2623" s="33" t="s">
        <v>31</v>
      </c>
      <c r="F2623" s="33" t="s">
        <v>32</v>
      </c>
      <c r="G2623" s="33" t="s">
        <v>106</v>
      </c>
      <c r="H2623" s="35">
        <v>5</v>
      </c>
      <c r="I2623" s="33" t="s">
        <v>21</v>
      </c>
      <c r="J2623" s="42">
        <v>44180</v>
      </c>
      <c r="K2623" s="33" t="s">
        <v>22</v>
      </c>
    </row>
    <row r="2624" spans="1:11">
      <c r="A2624" s="30" t="s">
        <v>6482</v>
      </c>
      <c r="B2624" s="30" t="s">
        <v>6483</v>
      </c>
      <c r="C2624" s="30" t="s">
        <v>109</v>
      </c>
      <c r="D2624" s="30" t="s">
        <v>17</v>
      </c>
      <c r="E2624" s="30" t="s">
        <v>26</v>
      </c>
      <c r="F2624" s="30" t="s">
        <v>27</v>
      </c>
      <c r="G2624" s="30" t="s">
        <v>106</v>
      </c>
      <c r="H2624" s="32">
        <v>122</v>
      </c>
      <c r="I2624" s="30" t="s">
        <v>21</v>
      </c>
      <c r="J2624" s="41">
        <v>44034</v>
      </c>
      <c r="K2624" s="30" t="s">
        <v>22</v>
      </c>
    </row>
    <row r="2625" spans="1:11">
      <c r="A2625" s="33" t="s">
        <v>6484</v>
      </c>
      <c r="B2625" s="33" t="s">
        <v>6485</v>
      </c>
      <c r="C2625" s="33" t="s">
        <v>6486</v>
      </c>
      <c r="D2625" s="33" t="s">
        <v>17</v>
      </c>
      <c r="E2625" s="33" t="s">
        <v>18</v>
      </c>
      <c r="F2625" s="33" t="s">
        <v>19</v>
      </c>
      <c r="G2625" s="33" t="s">
        <v>20</v>
      </c>
      <c r="H2625" s="35">
        <v>362</v>
      </c>
      <c r="I2625" s="33" t="s">
        <v>21</v>
      </c>
      <c r="J2625" s="42">
        <v>44097</v>
      </c>
      <c r="K2625" s="33" t="s">
        <v>22</v>
      </c>
    </row>
    <row r="2626" spans="1:11">
      <c r="A2626" s="30" t="s">
        <v>6487</v>
      </c>
      <c r="B2626" s="30" t="s">
        <v>6488</v>
      </c>
      <c r="C2626" s="30" t="s">
        <v>6489</v>
      </c>
      <c r="D2626" s="30" t="s">
        <v>17</v>
      </c>
      <c r="E2626" s="30" t="s">
        <v>26</v>
      </c>
      <c r="F2626" s="30" t="s">
        <v>27</v>
      </c>
      <c r="G2626" s="30" t="s">
        <v>20</v>
      </c>
      <c r="H2626" s="32">
        <v>62</v>
      </c>
      <c r="I2626" s="30" t="s">
        <v>21</v>
      </c>
      <c r="J2626" s="41">
        <v>43986</v>
      </c>
      <c r="K2626" s="30" t="s">
        <v>22</v>
      </c>
    </row>
    <row r="2627" spans="1:11">
      <c r="A2627" s="33" t="s">
        <v>6490</v>
      </c>
      <c r="B2627" s="33" t="s">
        <v>6491</v>
      </c>
      <c r="C2627" s="33" t="s">
        <v>6486</v>
      </c>
      <c r="D2627" s="33" t="s">
        <v>17</v>
      </c>
      <c r="E2627" s="33" t="s">
        <v>18</v>
      </c>
      <c r="F2627" s="33" t="s">
        <v>19</v>
      </c>
      <c r="G2627" s="33" t="s">
        <v>20</v>
      </c>
      <c r="H2627" s="35">
        <v>368</v>
      </c>
      <c r="I2627" s="33" t="s">
        <v>21</v>
      </c>
      <c r="J2627" s="42">
        <v>44147</v>
      </c>
      <c r="K2627" s="33" t="s">
        <v>22</v>
      </c>
    </row>
    <row r="2628" spans="1:11">
      <c r="A2628" s="30" t="s">
        <v>6492</v>
      </c>
      <c r="B2628" s="30" t="s">
        <v>6493</v>
      </c>
      <c r="C2628" s="30" t="s">
        <v>149</v>
      </c>
      <c r="D2628" s="30" t="s">
        <v>17</v>
      </c>
      <c r="E2628" s="30" t="s">
        <v>26</v>
      </c>
      <c r="F2628" s="30" t="s">
        <v>27</v>
      </c>
      <c r="G2628" s="30" t="s">
        <v>20</v>
      </c>
      <c r="H2628" s="32">
        <v>24</v>
      </c>
      <c r="I2628" s="30" t="s">
        <v>21</v>
      </c>
      <c r="J2628" s="41">
        <v>44178</v>
      </c>
      <c r="K2628" s="30" t="s">
        <v>22</v>
      </c>
    </row>
    <row r="2629" spans="1:11">
      <c r="A2629" s="33" t="s">
        <v>6494</v>
      </c>
      <c r="B2629" s="33" t="s">
        <v>6495</v>
      </c>
      <c r="C2629" s="33" t="s">
        <v>1523</v>
      </c>
      <c r="D2629" s="33" t="s">
        <v>17</v>
      </c>
      <c r="E2629" s="33" t="s">
        <v>31</v>
      </c>
      <c r="F2629" s="33" t="s">
        <v>32</v>
      </c>
      <c r="G2629" s="33" t="s">
        <v>20</v>
      </c>
      <c r="H2629" s="35">
        <v>120</v>
      </c>
      <c r="I2629" s="33" t="s">
        <v>21</v>
      </c>
      <c r="J2629" s="42">
        <v>43955</v>
      </c>
      <c r="K2629" s="33" t="s">
        <v>22</v>
      </c>
    </row>
    <row r="2630" spans="1:11">
      <c r="A2630" s="30" t="s">
        <v>6496</v>
      </c>
      <c r="B2630" s="30" t="s">
        <v>6497</v>
      </c>
      <c r="C2630" s="30" t="s">
        <v>6498</v>
      </c>
      <c r="D2630" s="30" t="s">
        <v>17</v>
      </c>
      <c r="E2630" s="30" t="s">
        <v>18</v>
      </c>
      <c r="F2630" s="30" t="s">
        <v>19</v>
      </c>
      <c r="G2630" s="30" t="s">
        <v>20</v>
      </c>
      <c r="H2630" s="32">
        <v>602</v>
      </c>
      <c r="I2630" s="30" t="s">
        <v>21</v>
      </c>
      <c r="J2630" s="41">
        <v>43962</v>
      </c>
      <c r="K2630" s="30" t="s">
        <v>22</v>
      </c>
    </row>
    <row r="2631" spans="1:11">
      <c r="A2631" s="33" t="s">
        <v>6499</v>
      </c>
      <c r="B2631" s="33" t="s">
        <v>6500</v>
      </c>
      <c r="C2631" s="33" t="s">
        <v>96</v>
      </c>
      <c r="D2631" s="33" t="s">
        <v>17</v>
      </c>
      <c r="E2631" s="33" t="s">
        <v>18</v>
      </c>
      <c r="F2631" s="33" t="s">
        <v>19</v>
      </c>
      <c r="G2631" s="33" t="s">
        <v>20</v>
      </c>
      <c r="H2631" s="35">
        <v>1648</v>
      </c>
      <c r="I2631" s="33" t="s">
        <v>21</v>
      </c>
      <c r="J2631" s="42">
        <v>44126</v>
      </c>
      <c r="K2631" s="33" t="s">
        <v>22</v>
      </c>
    </row>
    <row r="2632" spans="1:11">
      <c r="A2632" s="30" t="s">
        <v>6501</v>
      </c>
      <c r="B2632" s="30" t="s">
        <v>6502</v>
      </c>
      <c r="C2632" s="30" t="s">
        <v>4105</v>
      </c>
      <c r="D2632" s="30" t="s">
        <v>17</v>
      </c>
      <c r="E2632" s="30" t="s">
        <v>31</v>
      </c>
      <c r="F2632" s="30" t="s">
        <v>32</v>
      </c>
      <c r="G2632" s="30" t="s">
        <v>20</v>
      </c>
      <c r="H2632" s="32">
        <v>49</v>
      </c>
      <c r="I2632" s="30" t="s">
        <v>21</v>
      </c>
      <c r="J2632" s="41">
        <v>44158</v>
      </c>
      <c r="K2632" s="30" t="s">
        <v>22</v>
      </c>
    </row>
    <row r="2633" spans="1:11">
      <c r="A2633" s="33" t="s">
        <v>6503</v>
      </c>
      <c r="B2633" s="33" t="s">
        <v>6504</v>
      </c>
      <c r="C2633" s="33" t="s">
        <v>6505</v>
      </c>
      <c r="D2633" s="33" t="s">
        <v>17</v>
      </c>
      <c r="E2633" s="33" t="s">
        <v>31</v>
      </c>
      <c r="F2633" s="33" t="s">
        <v>32</v>
      </c>
      <c r="G2633" s="33" t="s">
        <v>20</v>
      </c>
      <c r="H2633" s="35">
        <v>32</v>
      </c>
      <c r="I2633" s="33" t="s">
        <v>21</v>
      </c>
      <c r="J2633" s="42">
        <v>44193</v>
      </c>
      <c r="K2633" s="33" t="s">
        <v>22</v>
      </c>
    </row>
    <row r="2634" spans="1:11">
      <c r="A2634" s="30" t="s">
        <v>6506</v>
      </c>
      <c r="B2634" s="30" t="s">
        <v>6507</v>
      </c>
      <c r="C2634" s="30" t="s">
        <v>6508</v>
      </c>
      <c r="D2634" s="30" t="s">
        <v>17</v>
      </c>
      <c r="E2634" s="30" t="s">
        <v>26</v>
      </c>
      <c r="F2634" s="30" t="s">
        <v>27</v>
      </c>
      <c r="G2634" s="30" t="s">
        <v>20</v>
      </c>
      <c r="H2634" s="32">
        <v>80</v>
      </c>
      <c r="I2634" s="30" t="s">
        <v>21</v>
      </c>
      <c r="J2634" s="41">
        <v>44195</v>
      </c>
      <c r="K2634" s="30" t="s">
        <v>22</v>
      </c>
    </row>
    <row r="2635" spans="1:11">
      <c r="A2635" s="33" t="s">
        <v>6509</v>
      </c>
      <c r="B2635" s="33" t="s">
        <v>6510</v>
      </c>
      <c r="C2635" s="33" t="s">
        <v>6511</v>
      </c>
      <c r="D2635" s="33" t="s">
        <v>17</v>
      </c>
      <c r="E2635" s="33" t="s">
        <v>31</v>
      </c>
      <c r="F2635" s="33" t="s">
        <v>32</v>
      </c>
      <c r="G2635" s="33" t="s">
        <v>20</v>
      </c>
      <c r="H2635" s="35">
        <v>42</v>
      </c>
      <c r="I2635" s="33" t="s">
        <v>21</v>
      </c>
      <c r="J2635" s="42">
        <v>44099</v>
      </c>
      <c r="K2635" s="33" t="s">
        <v>22</v>
      </c>
    </row>
    <row r="2636" spans="1:11">
      <c r="A2636" s="30" t="s">
        <v>6512</v>
      </c>
      <c r="B2636" s="30" t="s">
        <v>6513</v>
      </c>
      <c r="C2636" s="30" t="s">
        <v>2022</v>
      </c>
      <c r="D2636" s="30" t="s">
        <v>17</v>
      </c>
      <c r="E2636" s="30" t="s">
        <v>330</v>
      </c>
      <c r="F2636" s="30" t="s">
        <v>331</v>
      </c>
      <c r="G2636" s="30" t="s">
        <v>20</v>
      </c>
      <c r="H2636" s="32">
        <v>86</v>
      </c>
      <c r="I2636" s="30" t="s">
        <v>21</v>
      </c>
      <c r="J2636" s="41">
        <v>44176</v>
      </c>
      <c r="K2636" s="30" t="s">
        <v>22</v>
      </c>
    </row>
    <row r="2637" spans="1:11">
      <c r="A2637" s="33" t="s">
        <v>6514</v>
      </c>
      <c r="B2637" s="33" t="s">
        <v>6515</v>
      </c>
      <c r="C2637" s="33" t="s">
        <v>698</v>
      </c>
      <c r="D2637" s="33" t="s">
        <v>17</v>
      </c>
      <c r="E2637" s="33" t="s">
        <v>26</v>
      </c>
      <c r="F2637" s="33" t="s">
        <v>27</v>
      </c>
      <c r="G2637" s="33" t="s">
        <v>50</v>
      </c>
      <c r="H2637" s="35">
        <v>48</v>
      </c>
      <c r="I2637" s="33" t="s">
        <v>51</v>
      </c>
      <c r="J2637" s="42">
        <v>44011</v>
      </c>
      <c r="K2637" s="33" t="s">
        <v>22</v>
      </c>
    </row>
    <row r="2638" spans="1:11">
      <c r="A2638" s="30" t="s">
        <v>6516</v>
      </c>
      <c r="B2638" s="30" t="s">
        <v>6517</v>
      </c>
      <c r="C2638" s="30" t="s">
        <v>1112</v>
      </c>
      <c r="D2638" s="30" t="s">
        <v>17</v>
      </c>
      <c r="E2638" s="30" t="s">
        <v>18</v>
      </c>
      <c r="F2638" s="30" t="s">
        <v>19</v>
      </c>
      <c r="G2638" s="30" t="s">
        <v>20</v>
      </c>
      <c r="H2638" s="32">
        <v>279</v>
      </c>
      <c r="I2638" s="30" t="s">
        <v>21</v>
      </c>
      <c r="J2638" s="41">
        <v>44018</v>
      </c>
      <c r="K2638" s="30" t="s">
        <v>22</v>
      </c>
    </row>
    <row r="2639" spans="1:11">
      <c r="A2639" s="33" t="s">
        <v>6518</v>
      </c>
      <c r="B2639" s="33" t="s">
        <v>6519</v>
      </c>
      <c r="C2639" s="33" t="s">
        <v>2329</v>
      </c>
      <c r="D2639" s="33" t="s">
        <v>17</v>
      </c>
      <c r="E2639" s="33" t="s">
        <v>26</v>
      </c>
      <c r="F2639" s="33" t="s">
        <v>27</v>
      </c>
      <c r="G2639" s="33" t="s">
        <v>106</v>
      </c>
      <c r="H2639" s="35">
        <v>1</v>
      </c>
      <c r="I2639" s="33" t="s">
        <v>21</v>
      </c>
      <c r="J2639" s="42">
        <v>44154</v>
      </c>
      <c r="K2639" s="33" t="s">
        <v>22</v>
      </c>
    </row>
    <row r="2640" spans="1:11">
      <c r="A2640" s="30" t="s">
        <v>6520</v>
      </c>
      <c r="B2640" s="30" t="s">
        <v>6521</v>
      </c>
      <c r="C2640" s="30" t="s">
        <v>3302</v>
      </c>
      <c r="D2640" s="30" t="s">
        <v>17</v>
      </c>
      <c r="E2640" s="30" t="s">
        <v>18</v>
      </c>
      <c r="F2640" s="30" t="s">
        <v>19</v>
      </c>
      <c r="G2640" s="30" t="s">
        <v>50</v>
      </c>
      <c r="H2640" s="32">
        <v>372</v>
      </c>
      <c r="I2640" s="30" t="s">
        <v>51</v>
      </c>
      <c r="J2640" s="41">
        <v>44189</v>
      </c>
      <c r="K2640" s="30" t="s">
        <v>22</v>
      </c>
    </row>
    <row r="2641" spans="1:11">
      <c r="A2641" s="33" t="s">
        <v>6522</v>
      </c>
      <c r="B2641" s="33" t="s">
        <v>6523</v>
      </c>
      <c r="C2641" s="33" t="s">
        <v>63</v>
      </c>
      <c r="D2641" s="33" t="s">
        <v>17</v>
      </c>
      <c r="E2641" s="33" t="s">
        <v>31</v>
      </c>
      <c r="F2641" s="33" t="s">
        <v>32</v>
      </c>
      <c r="G2641" s="33" t="s">
        <v>20</v>
      </c>
      <c r="H2641" s="35">
        <v>668</v>
      </c>
      <c r="I2641" s="33" t="s">
        <v>21</v>
      </c>
      <c r="J2641" s="42">
        <v>44095</v>
      </c>
      <c r="K2641" s="33" t="s">
        <v>22</v>
      </c>
    </row>
    <row r="2642" spans="1:11">
      <c r="A2642" s="30" t="s">
        <v>6524</v>
      </c>
      <c r="B2642" s="30" t="s">
        <v>6525</v>
      </c>
      <c r="C2642" s="30" t="s">
        <v>450</v>
      </c>
      <c r="D2642" s="30" t="s">
        <v>17</v>
      </c>
      <c r="E2642" s="30" t="s">
        <v>26</v>
      </c>
      <c r="F2642" s="30" t="s">
        <v>27</v>
      </c>
      <c r="G2642" s="30" t="s">
        <v>20</v>
      </c>
      <c r="H2642" s="32">
        <v>17</v>
      </c>
      <c r="I2642" s="30" t="s">
        <v>21</v>
      </c>
      <c r="J2642" s="41">
        <v>44013</v>
      </c>
      <c r="K2642" s="30" t="s">
        <v>22</v>
      </c>
    </row>
    <row r="2643" spans="1:11">
      <c r="A2643" s="33" t="s">
        <v>6526</v>
      </c>
      <c r="B2643" s="33" t="s">
        <v>6527</v>
      </c>
      <c r="C2643" s="33" t="s">
        <v>6528</v>
      </c>
      <c r="D2643" s="33" t="s">
        <v>17</v>
      </c>
      <c r="E2643" s="33" t="s">
        <v>31</v>
      </c>
      <c r="F2643" s="33" t="s">
        <v>32</v>
      </c>
      <c r="G2643" s="33" t="s">
        <v>20</v>
      </c>
      <c r="H2643" s="35">
        <v>106</v>
      </c>
      <c r="I2643" s="33" t="s">
        <v>21</v>
      </c>
      <c r="J2643" s="42">
        <v>43967</v>
      </c>
      <c r="K2643" s="33" t="s">
        <v>22</v>
      </c>
    </row>
    <row r="2644" spans="1:11">
      <c r="A2644" s="30" t="s">
        <v>6529</v>
      </c>
      <c r="B2644" s="30" t="s">
        <v>6530</v>
      </c>
      <c r="C2644" s="30" t="s">
        <v>6531</v>
      </c>
      <c r="D2644" s="30" t="s">
        <v>17</v>
      </c>
      <c r="E2644" s="30" t="s">
        <v>26</v>
      </c>
      <c r="F2644" s="30" t="s">
        <v>27</v>
      </c>
      <c r="G2644" s="30" t="s">
        <v>20</v>
      </c>
      <c r="H2644" s="32">
        <v>48</v>
      </c>
      <c r="I2644" s="30" t="s">
        <v>21</v>
      </c>
      <c r="J2644" s="41">
        <v>43895</v>
      </c>
      <c r="K2644" s="30" t="s">
        <v>22</v>
      </c>
    </row>
    <row r="2645" spans="1:11">
      <c r="A2645" s="33" t="s">
        <v>6532</v>
      </c>
      <c r="B2645" s="33" t="s">
        <v>6533</v>
      </c>
      <c r="C2645" s="33" t="s">
        <v>6534</v>
      </c>
      <c r="D2645" s="33" t="s">
        <v>17</v>
      </c>
      <c r="E2645" s="33" t="s">
        <v>26</v>
      </c>
      <c r="F2645" s="33" t="s">
        <v>27</v>
      </c>
      <c r="G2645" s="33" t="s">
        <v>50</v>
      </c>
      <c r="H2645" s="35">
        <v>36</v>
      </c>
      <c r="I2645" s="33" t="s">
        <v>51</v>
      </c>
      <c r="J2645" s="42">
        <v>44096</v>
      </c>
      <c r="K2645" s="33" t="s">
        <v>22</v>
      </c>
    </row>
    <row r="2646" spans="1:11">
      <c r="A2646" s="30" t="s">
        <v>6535</v>
      </c>
      <c r="B2646" s="30" t="s">
        <v>6536</v>
      </c>
      <c r="C2646" s="30" t="s">
        <v>231</v>
      </c>
      <c r="D2646" s="30" t="s">
        <v>17</v>
      </c>
      <c r="E2646" s="30" t="s">
        <v>67</v>
      </c>
      <c r="F2646" s="30" t="s">
        <v>68</v>
      </c>
      <c r="G2646" s="30" t="s">
        <v>20</v>
      </c>
      <c r="H2646" s="32">
        <v>45</v>
      </c>
      <c r="I2646" s="30" t="s">
        <v>21</v>
      </c>
      <c r="J2646" s="41">
        <v>43994</v>
      </c>
      <c r="K2646" s="30" t="s">
        <v>22</v>
      </c>
    </row>
    <row r="2647" spans="1:11">
      <c r="A2647" s="33" t="s">
        <v>6537</v>
      </c>
      <c r="B2647" s="33" t="s">
        <v>6538</v>
      </c>
      <c r="C2647" s="33" t="s">
        <v>6539</v>
      </c>
      <c r="D2647" s="33" t="s">
        <v>17</v>
      </c>
      <c r="E2647" s="33" t="s">
        <v>26</v>
      </c>
      <c r="F2647" s="33" t="s">
        <v>27</v>
      </c>
      <c r="G2647" s="33" t="s">
        <v>20</v>
      </c>
      <c r="H2647" s="35">
        <v>34</v>
      </c>
      <c r="I2647" s="33" t="s">
        <v>21</v>
      </c>
      <c r="J2647" s="42">
        <v>43848</v>
      </c>
      <c r="K2647" s="33" t="s">
        <v>22</v>
      </c>
    </row>
    <row r="2648" spans="1:11">
      <c r="A2648" s="30" t="s">
        <v>6540</v>
      </c>
      <c r="B2648" s="30" t="s">
        <v>6541</v>
      </c>
      <c r="C2648" s="30" t="s">
        <v>6542</v>
      </c>
      <c r="D2648" s="30" t="s">
        <v>17</v>
      </c>
      <c r="E2648" s="30" t="s">
        <v>26</v>
      </c>
      <c r="F2648" s="30" t="s">
        <v>27</v>
      </c>
      <c r="G2648" s="30" t="s">
        <v>112</v>
      </c>
      <c r="H2648" s="32">
        <v>0</v>
      </c>
      <c r="I2648" s="30" t="s">
        <v>21</v>
      </c>
      <c r="J2648" s="41">
        <v>44105</v>
      </c>
      <c r="K2648" s="30" t="s">
        <v>22</v>
      </c>
    </row>
    <row r="2649" spans="1:11">
      <c r="A2649" s="33" t="s">
        <v>6543</v>
      </c>
      <c r="B2649" s="33" t="s">
        <v>6544</v>
      </c>
      <c r="C2649" s="33" t="s">
        <v>684</v>
      </c>
      <c r="D2649" s="33" t="s">
        <v>17</v>
      </c>
      <c r="E2649" s="33" t="s">
        <v>26</v>
      </c>
      <c r="F2649" s="33" t="s">
        <v>27</v>
      </c>
      <c r="G2649" s="33" t="s">
        <v>20</v>
      </c>
      <c r="H2649" s="35">
        <v>40</v>
      </c>
      <c r="I2649" s="33" t="s">
        <v>21</v>
      </c>
      <c r="J2649" s="42">
        <v>44148</v>
      </c>
      <c r="K2649" s="33" t="s">
        <v>22</v>
      </c>
    </row>
    <row r="2650" spans="1:11">
      <c r="A2650" s="30" t="s">
        <v>6545</v>
      </c>
      <c r="B2650" s="30" t="s">
        <v>6546</v>
      </c>
      <c r="C2650" s="30" t="s">
        <v>154</v>
      </c>
      <c r="D2650" s="30" t="s">
        <v>17</v>
      </c>
      <c r="E2650" s="30" t="s">
        <v>31</v>
      </c>
      <c r="F2650" s="30" t="s">
        <v>32</v>
      </c>
      <c r="G2650" s="30" t="s">
        <v>20</v>
      </c>
      <c r="H2650" s="32">
        <v>46</v>
      </c>
      <c r="I2650" s="30" t="s">
        <v>21</v>
      </c>
      <c r="J2650" s="41">
        <v>44063</v>
      </c>
      <c r="K2650" s="30" t="s">
        <v>22</v>
      </c>
    </row>
    <row r="2651" spans="1:11">
      <c r="A2651" s="33" t="s">
        <v>6547</v>
      </c>
      <c r="B2651" s="33" t="s">
        <v>6548</v>
      </c>
      <c r="C2651" s="33" t="s">
        <v>635</v>
      </c>
      <c r="D2651" s="33" t="s">
        <v>17</v>
      </c>
      <c r="E2651" s="33" t="s">
        <v>26</v>
      </c>
      <c r="F2651" s="33" t="s">
        <v>27</v>
      </c>
      <c r="G2651" s="33" t="s">
        <v>20</v>
      </c>
      <c r="H2651" s="35">
        <v>37</v>
      </c>
      <c r="I2651" s="33" t="s">
        <v>21</v>
      </c>
      <c r="J2651" s="42">
        <v>43962</v>
      </c>
      <c r="K2651" s="33" t="s">
        <v>22</v>
      </c>
    </row>
    <row r="2652" spans="1:11">
      <c r="A2652" s="30" t="s">
        <v>6549</v>
      </c>
      <c r="B2652" s="30" t="s">
        <v>6550</v>
      </c>
      <c r="C2652" s="30" t="s">
        <v>6551</v>
      </c>
      <c r="D2652" s="30" t="s">
        <v>17</v>
      </c>
      <c r="E2652" s="30" t="s">
        <v>26</v>
      </c>
      <c r="F2652" s="30" t="s">
        <v>27</v>
      </c>
      <c r="G2652" s="30" t="s">
        <v>106</v>
      </c>
      <c r="H2652" s="32">
        <v>5</v>
      </c>
      <c r="I2652" s="30" t="s">
        <v>21</v>
      </c>
      <c r="J2652" s="41">
        <v>44186</v>
      </c>
      <c r="K2652" s="30" t="s">
        <v>22</v>
      </c>
    </row>
    <row r="2653" spans="1:11">
      <c r="A2653" s="33" t="s">
        <v>6552</v>
      </c>
      <c r="B2653" s="33" t="s">
        <v>6553</v>
      </c>
      <c r="C2653" s="33" t="s">
        <v>6554</v>
      </c>
      <c r="D2653" s="33" t="s">
        <v>17</v>
      </c>
      <c r="E2653" s="33" t="s">
        <v>26</v>
      </c>
      <c r="F2653" s="33" t="s">
        <v>27</v>
      </c>
      <c r="G2653" s="33" t="s">
        <v>20</v>
      </c>
      <c r="H2653" s="35">
        <v>80</v>
      </c>
      <c r="I2653" s="33" t="s">
        <v>21</v>
      </c>
      <c r="J2653" s="42">
        <v>44010</v>
      </c>
      <c r="K2653" s="33" t="s">
        <v>22</v>
      </c>
    </row>
    <row r="2654" spans="1:11">
      <c r="A2654" s="30" t="s">
        <v>6555</v>
      </c>
      <c r="B2654" s="30" t="s">
        <v>6556</v>
      </c>
      <c r="C2654" s="30" t="s">
        <v>93</v>
      </c>
      <c r="D2654" s="30" t="s">
        <v>17</v>
      </c>
      <c r="E2654" s="30" t="s">
        <v>18</v>
      </c>
      <c r="F2654" s="30" t="s">
        <v>19</v>
      </c>
      <c r="G2654" s="30" t="s">
        <v>20</v>
      </c>
      <c r="H2654" s="32">
        <v>112</v>
      </c>
      <c r="I2654" s="30" t="s">
        <v>21</v>
      </c>
      <c r="J2654" s="41">
        <v>43916</v>
      </c>
      <c r="K2654" s="30" t="s">
        <v>22</v>
      </c>
    </row>
    <row r="2655" spans="1:11">
      <c r="A2655" s="33" t="s">
        <v>6557</v>
      </c>
      <c r="B2655" s="33" t="s">
        <v>6558</v>
      </c>
      <c r="C2655" s="33" t="s">
        <v>187</v>
      </c>
      <c r="D2655" s="33" t="s">
        <v>17</v>
      </c>
      <c r="E2655" s="33" t="s">
        <v>31</v>
      </c>
      <c r="F2655" s="33" t="s">
        <v>32</v>
      </c>
      <c r="G2655" s="33" t="s">
        <v>50</v>
      </c>
      <c r="H2655" s="35">
        <v>80</v>
      </c>
      <c r="I2655" s="33" t="s">
        <v>51</v>
      </c>
      <c r="J2655" s="42">
        <v>43971</v>
      </c>
      <c r="K2655" s="33" t="s">
        <v>22</v>
      </c>
    </row>
    <row r="2656" spans="1:11">
      <c r="A2656" s="30" t="s">
        <v>6559</v>
      </c>
      <c r="B2656" s="30" t="s">
        <v>6560</v>
      </c>
      <c r="C2656" s="30" t="s">
        <v>3229</v>
      </c>
      <c r="D2656" s="30" t="s">
        <v>17</v>
      </c>
      <c r="E2656" s="30" t="s">
        <v>45</v>
      </c>
      <c r="F2656" s="30" t="s">
        <v>46</v>
      </c>
      <c r="G2656" s="30" t="s">
        <v>106</v>
      </c>
      <c r="H2656" s="32">
        <v>1307</v>
      </c>
      <c r="I2656" s="30" t="s">
        <v>21</v>
      </c>
      <c r="J2656" s="41">
        <v>44165</v>
      </c>
      <c r="K2656" s="30" t="s">
        <v>22</v>
      </c>
    </row>
    <row r="2657" spans="1:11">
      <c r="A2657" s="33" t="s">
        <v>6561</v>
      </c>
      <c r="B2657" s="33" t="s">
        <v>6562</v>
      </c>
      <c r="C2657" s="33" t="s">
        <v>701</v>
      </c>
      <c r="D2657" s="33" t="s">
        <v>17</v>
      </c>
      <c r="E2657" s="33" t="s">
        <v>31</v>
      </c>
      <c r="F2657" s="33" t="s">
        <v>32</v>
      </c>
      <c r="G2657" s="33" t="s">
        <v>50</v>
      </c>
      <c r="H2657" s="35">
        <v>900</v>
      </c>
      <c r="I2657" s="33" t="s">
        <v>21</v>
      </c>
      <c r="J2657" s="42">
        <v>44024</v>
      </c>
      <c r="K2657" s="33" t="s">
        <v>22</v>
      </c>
    </row>
    <row r="2658" spans="1:11">
      <c r="A2658" s="30" t="s">
        <v>6563</v>
      </c>
      <c r="B2658" s="30" t="s">
        <v>6564</v>
      </c>
      <c r="C2658" s="30" t="s">
        <v>6118</v>
      </c>
      <c r="D2658" s="30" t="s">
        <v>17</v>
      </c>
      <c r="E2658" s="30" t="s">
        <v>212</v>
      </c>
      <c r="F2658" s="30" t="s">
        <v>213</v>
      </c>
      <c r="G2658" s="30" t="s">
        <v>20</v>
      </c>
      <c r="H2658" s="32">
        <v>26</v>
      </c>
      <c r="I2658" s="30" t="s">
        <v>21</v>
      </c>
      <c r="J2658" s="41">
        <v>43853</v>
      </c>
      <c r="K2658" s="30" t="s">
        <v>22</v>
      </c>
    </row>
    <row r="2659" spans="1:11">
      <c r="A2659" s="33" t="s">
        <v>6565</v>
      </c>
      <c r="B2659" s="33" t="s">
        <v>6566</v>
      </c>
      <c r="C2659" s="33" t="s">
        <v>2822</v>
      </c>
      <c r="D2659" s="33" t="s">
        <v>17</v>
      </c>
      <c r="E2659" s="33" t="s">
        <v>31</v>
      </c>
      <c r="F2659" s="33" t="s">
        <v>32</v>
      </c>
      <c r="G2659" s="33" t="s">
        <v>20</v>
      </c>
      <c r="H2659" s="35">
        <v>25</v>
      </c>
      <c r="I2659" s="33" t="s">
        <v>21</v>
      </c>
      <c r="J2659" s="42">
        <v>43906</v>
      </c>
      <c r="K2659" s="33" t="s">
        <v>22</v>
      </c>
    </row>
    <row r="2660" spans="1:11">
      <c r="A2660" s="30" t="s">
        <v>6567</v>
      </c>
      <c r="B2660" s="30" t="s">
        <v>6568</v>
      </c>
      <c r="C2660" s="30" t="s">
        <v>491</v>
      </c>
      <c r="D2660" s="30" t="s">
        <v>17</v>
      </c>
      <c r="E2660" s="30" t="s">
        <v>18</v>
      </c>
      <c r="F2660" s="30" t="s">
        <v>19</v>
      </c>
      <c r="G2660" s="30" t="s">
        <v>20</v>
      </c>
      <c r="H2660" s="32">
        <v>5</v>
      </c>
      <c r="I2660" s="30" t="s">
        <v>21</v>
      </c>
      <c r="J2660" s="41">
        <v>44075</v>
      </c>
      <c r="K2660" s="30" t="s">
        <v>22</v>
      </c>
    </row>
    <row r="2661" spans="1:11">
      <c r="A2661" s="33" t="s">
        <v>6569</v>
      </c>
      <c r="B2661" s="33" t="s">
        <v>6570</v>
      </c>
      <c r="C2661" s="33" t="s">
        <v>6571</v>
      </c>
      <c r="D2661" s="33" t="s">
        <v>17</v>
      </c>
      <c r="E2661" s="33" t="s">
        <v>212</v>
      </c>
      <c r="F2661" s="33" t="s">
        <v>213</v>
      </c>
      <c r="G2661" s="33" t="s">
        <v>50</v>
      </c>
      <c r="H2661" s="35">
        <v>360</v>
      </c>
      <c r="I2661" s="33" t="s">
        <v>51</v>
      </c>
      <c r="J2661" s="42">
        <v>43833</v>
      </c>
      <c r="K2661" s="33" t="s">
        <v>22</v>
      </c>
    </row>
    <row r="2662" spans="1:11">
      <c r="A2662" s="30" t="s">
        <v>6572</v>
      </c>
      <c r="B2662" s="30" t="s">
        <v>6573</v>
      </c>
      <c r="C2662" s="30" t="s">
        <v>2736</v>
      </c>
      <c r="D2662" s="30" t="s">
        <v>17</v>
      </c>
      <c r="E2662" s="30" t="s">
        <v>31</v>
      </c>
      <c r="F2662" s="30" t="s">
        <v>32</v>
      </c>
      <c r="G2662" s="30" t="s">
        <v>20</v>
      </c>
      <c r="H2662" s="32">
        <v>87</v>
      </c>
      <c r="I2662" s="30" t="s">
        <v>21</v>
      </c>
      <c r="J2662" s="41">
        <v>44040</v>
      </c>
      <c r="K2662" s="30" t="s">
        <v>22</v>
      </c>
    </row>
    <row r="2663" spans="1:11">
      <c r="A2663" s="33" t="s">
        <v>6574</v>
      </c>
      <c r="B2663" s="33" t="s">
        <v>6575</v>
      </c>
      <c r="C2663" s="33" t="s">
        <v>6576</v>
      </c>
      <c r="D2663" s="33" t="s">
        <v>17</v>
      </c>
      <c r="E2663" s="33" t="s">
        <v>330</v>
      </c>
      <c r="F2663" s="33" t="s">
        <v>331</v>
      </c>
      <c r="G2663" s="33" t="s">
        <v>20</v>
      </c>
      <c r="H2663" s="35">
        <v>46</v>
      </c>
      <c r="I2663" s="33" t="s">
        <v>21</v>
      </c>
      <c r="J2663" s="42">
        <v>44164</v>
      </c>
      <c r="K2663" s="33" t="s">
        <v>22</v>
      </c>
    </row>
    <row r="2664" spans="1:11">
      <c r="A2664" s="30" t="s">
        <v>6577</v>
      </c>
      <c r="B2664" s="30" t="s">
        <v>6578</v>
      </c>
      <c r="C2664" s="30" t="s">
        <v>647</v>
      </c>
      <c r="D2664" s="30" t="s">
        <v>17</v>
      </c>
      <c r="E2664" s="30" t="s">
        <v>26</v>
      </c>
      <c r="F2664" s="30" t="s">
        <v>27</v>
      </c>
      <c r="G2664" s="30" t="s">
        <v>106</v>
      </c>
      <c r="H2664" s="32">
        <v>232</v>
      </c>
      <c r="I2664" s="30" t="s">
        <v>21</v>
      </c>
      <c r="J2664" s="41">
        <v>44133</v>
      </c>
      <c r="K2664" s="30" t="s">
        <v>22</v>
      </c>
    </row>
    <row r="2665" spans="1:11">
      <c r="A2665" s="33" t="s">
        <v>6579</v>
      </c>
      <c r="B2665" s="33" t="s">
        <v>6580</v>
      </c>
      <c r="C2665" s="33" t="s">
        <v>1207</v>
      </c>
      <c r="D2665" s="33" t="s">
        <v>17</v>
      </c>
      <c r="E2665" s="33" t="s">
        <v>18</v>
      </c>
      <c r="F2665" s="33" t="s">
        <v>19</v>
      </c>
      <c r="G2665" s="33" t="s">
        <v>20</v>
      </c>
      <c r="H2665" s="35">
        <v>172</v>
      </c>
      <c r="I2665" s="33" t="s">
        <v>21</v>
      </c>
      <c r="J2665" s="42">
        <v>44010</v>
      </c>
      <c r="K2665" s="33" t="s">
        <v>22</v>
      </c>
    </row>
    <row r="2666" spans="1:11">
      <c r="A2666" s="30" t="s">
        <v>6581</v>
      </c>
      <c r="B2666" s="30" t="s">
        <v>6582</v>
      </c>
      <c r="C2666" s="30" t="s">
        <v>5916</v>
      </c>
      <c r="D2666" s="30" t="s">
        <v>17</v>
      </c>
      <c r="E2666" s="30" t="s">
        <v>18</v>
      </c>
      <c r="F2666" s="30" t="s">
        <v>19</v>
      </c>
      <c r="G2666" s="30" t="s">
        <v>20</v>
      </c>
      <c r="H2666" s="32">
        <v>380</v>
      </c>
      <c r="I2666" s="30" t="s">
        <v>21</v>
      </c>
      <c r="J2666" s="41">
        <v>43885</v>
      </c>
      <c r="K2666" s="30" t="s">
        <v>22</v>
      </c>
    </row>
    <row r="2667" spans="1:11">
      <c r="A2667" s="33" t="s">
        <v>6583</v>
      </c>
      <c r="B2667" s="33" t="s">
        <v>6584</v>
      </c>
      <c r="C2667" s="33" t="s">
        <v>6585</v>
      </c>
      <c r="D2667" s="33" t="s">
        <v>17</v>
      </c>
      <c r="E2667" s="33" t="s">
        <v>31</v>
      </c>
      <c r="F2667" s="33" t="s">
        <v>32</v>
      </c>
      <c r="G2667" s="33" t="s">
        <v>20</v>
      </c>
      <c r="H2667" s="35">
        <v>68</v>
      </c>
      <c r="I2667" s="33" t="s">
        <v>21</v>
      </c>
      <c r="J2667" s="42">
        <v>44106</v>
      </c>
      <c r="K2667" s="33" t="s">
        <v>22</v>
      </c>
    </row>
    <row r="2668" spans="1:11">
      <c r="A2668" s="30" t="s">
        <v>6586</v>
      </c>
      <c r="B2668" s="30" t="s">
        <v>6587</v>
      </c>
      <c r="C2668" s="30" t="s">
        <v>78</v>
      </c>
      <c r="D2668" s="30" t="s">
        <v>17</v>
      </c>
      <c r="E2668" s="30" t="s">
        <v>26</v>
      </c>
      <c r="F2668" s="30" t="s">
        <v>27</v>
      </c>
      <c r="G2668" s="30" t="s">
        <v>50</v>
      </c>
      <c r="H2668" s="32">
        <v>74</v>
      </c>
      <c r="I2668" s="30" t="s">
        <v>51</v>
      </c>
      <c r="J2668" s="41">
        <v>43972</v>
      </c>
      <c r="K2668" s="30" t="s">
        <v>22</v>
      </c>
    </row>
    <row r="2669" spans="1:11">
      <c r="A2669" s="33" t="s">
        <v>6588</v>
      </c>
      <c r="B2669" s="33" t="s">
        <v>6589</v>
      </c>
      <c r="C2669" s="33" t="s">
        <v>647</v>
      </c>
      <c r="D2669" s="33" t="s">
        <v>17</v>
      </c>
      <c r="E2669" s="33" t="s">
        <v>18</v>
      </c>
      <c r="F2669" s="33" t="s">
        <v>19</v>
      </c>
      <c r="G2669" s="33" t="s">
        <v>20</v>
      </c>
      <c r="H2669" s="35">
        <v>131</v>
      </c>
      <c r="I2669" s="33" t="s">
        <v>21</v>
      </c>
      <c r="J2669" s="42">
        <v>44026</v>
      </c>
      <c r="K2669" s="33" t="s">
        <v>22</v>
      </c>
    </row>
    <row r="2670" spans="1:11">
      <c r="A2670" s="30" t="s">
        <v>6590</v>
      </c>
      <c r="B2670" s="30" t="s">
        <v>6591</v>
      </c>
      <c r="C2670" s="30" t="s">
        <v>6592</v>
      </c>
      <c r="D2670" s="30" t="s">
        <v>17</v>
      </c>
      <c r="E2670" s="30" t="s">
        <v>26</v>
      </c>
      <c r="F2670" s="30" t="s">
        <v>27</v>
      </c>
      <c r="G2670" s="30" t="s">
        <v>20</v>
      </c>
      <c r="H2670" s="32">
        <v>36</v>
      </c>
      <c r="I2670" s="30" t="s">
        <v>21</v>
      </c>
      <c r="J2670" s="41">
        <v>44099</v>
      </c>
      <c r="K2670" s="30" t="s">
        <v>22</v>
      </c>
    </row>
    <row r="2671" spans="1:11">
      <c r="A2671" s="33" t="s">
        <v>6593</v>
      </c>
      <c r="B2671" s="33" t="s">
        <v>6594</v>
      </c>
      <c r="C2671" s="33" t="s">
        <v>6595</v>
      </c>
      <c r="D2671" s="33" t="s">
        <v>17</v>
      </c>
      <c r="E2671" s="33" t="s">
        <v>67</v>
      </c>
      <c r="F2671" s="33" t="s">
        <v>68</v>
      </c>
      <c r="G2671" s="33" t="s">
        <v>20</v>
      </c>
      <c r="H2671" s="35">
        <v>15</v>
      </c>
      <c r="I2671" s="33" t="s">
        <v>21</v>
      </c>
      <c r="J2671" s="42">
        <v>44075</v>
      </c>
      <c r="K2671" s="33" t="s">
        <v>22</v>
      </c>
    </row>
    <row r="2672" spans="1:11">
      <c r="A2672" s="30" t="s">
        <v>6596</v>
      </c>
      <c r="B2672" s="30" t="s">
        <v>6597</v>
      </c>
      <c r="C2672" s="30" t="s">
        <v>1422</v>
      </c>
      <c r="D2672" s="30" t="s">
        <v>17</v>
      </c>
      <c r="E2672" s="30" t="s">
        <v>31</v>
      </c>
      <c r="F2672" s="30" t="s">
        <v>32</v>
      </c>
      <c r="G2672" s="30" t="s">
        <v>20</v>
      </c>
      <c r="H2672" s="32">
        <v>1980</v>
      </c>
      <c r="I2672" s="30" t="s">
        <v>21</v>
      </c>
      <c r="J2672" s="41">
        <v>43845</v>
      </c>
      <c r="K2672" s="30" t="s">
        <v>22</v>
      </c>
    </row>
    <row r="2673" spans="1:11">
      <c r="A2673" s="33" t="s">
        <v>6598</v>
      </c>
      <c r="B2673" s="33" t="s">
        <v>6599</v>
      </c>
      <c r="C2673" s="33" t="s">
        <v>6600</v>
      </c>
      <c r="D2673" s="33" t="s">
        <v>17</v>
      </c>
      <c r="E2673" s="33" t="s">
        <v>31</v>
      </c>
      <c r="F2673" s="33" t="s">
        <v>32</v>
      </c>
      <c r="G2673" s="33" t="s">
        <v>50</v>
      </c>
      <c r="H2673" s="35">
        <v>24</v>
      </c>
      <c r="I2673" s="33" t="s">
        <v>51</v>
      </c>
      <c r="J2673" s="42">
        <v>44105</v>
      </c>
      <c r="K2673" s="33" t="s">
        <v>22</v>
      </c>
    </row>
    <row r="2674" spans="1:11">
      <c r="A2674" s="30" t="s">
        <v>6601</v>
      </c>
      <c r="B2674" s="30" t="s">
        <v>6602</v>
      </c>
      <c r="C2674" s="30" t="s">
        <v>606</v>
      </c>
      <c r="D2674" s="30" t="s">
        <v>17</v>
      </c>
      <c r="E2674" s="30" t="s">
        <v>26</v>
      </c>
      <c r="F2674" s="30" t="s">
        <v>27</v>
      </c>
      <c r="G2674" s="30" t="s">
        <v>20</v>
      </c>
      <c r="H2674" s="32">
        <v>36</v>
      </c>
      <c r="I2674" s="30" t="s">
        <v>21</v>
      </c>
      <c r="J2674" s="41">
        <v>44044</v>
      </c>
      <c r="K2674" s="30" t="s">
        <v>22</v>
      </c>
    </row>
    <row r="2675" spans="1:11">
      <c r="A2675" s="33" t="s">
        <v>6603</v>
      </c>
      <c r="B2675" s="33" t="s">
        <v>6604</v>
      </c>
      <c r="C2675" s="33" t="s">
        <v>102</v>
      </c>
      <c r="D2675" s="33" t="s">
        <v>17</v>
      </c>
      <c r="E2675" s="33" t="s">
        <v>18</v>
      </c>
      <c r="F2675" s="33" t="s">
        <v>19</v>
      </c>
      <c r="G2675" s="33" t="s">
        <v>106</v>
      </c>
      <c r="H2675" s="35">
        <v>1284</v>
      </c>
      <c r="I2675" s="33" t="s">
        <v>21</v>
      </c>
      <c r="J2675" s="42">
        <v>44056</v>
      </c>
      <c r="K2675" s="33" t="s">
        <v>22</v>
      </c>
    </row>
    <row r="2676" spans="1:11">
      <c r="A2676" s="30" t="s">
        <v>6605</v>
      </c>
      <c r="B2676" s="30" t="s">
        <v>6606</v>
      </c>
      <c r="C2676" s="30" t="s">
        <v>6607</v>
      </c>
      <c r="D2676" s="30" t="s">
        <v>17</v>
      </c>
      <c r="E2676" s="30" t="s">
        <v>26</v>
      </c>
      <c r="F2676" s="30" t="s">
        <v>27</v>
      </c>
      <c r="G2676" s="30" t="s">
        <v>20</v>
      </c>
      <c r="H2676" s="32">
        <v>29</v>
      </c>
      <c r="I2676" s="30" t="s">
        <v>21</v>
      </c>
      <c r="J2676" s="41">
        <v>43942</v>
      </c>
      <c r="K2676" s="30" t="s">
        <v>22</v>
      </c>
    </row>
    <row r="2677" spans="1:11">
      <c r="A2677" s="33" t="s">
        <v>6608</v>
      </c>
      <c r="B2677" s="33" t="s">
        <v>6609</v>
      </c>
      <c r="C2677" s="33" t="s">
        <v>6610</v>
      </c>
      <c r="D2677" s="33" t="s">
        <v>17</v>
      </c>
      <c r="E2677" s="33" t="s">
        <v>18</v>
      </c>
      <c r="F2677" s="33" t="s">
        <v>19</v>
      </c>
      <c r="G2677" s="33" t="s">
        <v>158</v>
      </c>
      <c r="H2677" s="35">
        <v>46</v>
      </c>
      <c r="I2677" s="33" t="s">
        <v>21</v>
      </c>
      <c r="J2677" s="42">
        <v>43839</v>
      </c>
      <c r="K2677" s="33" t="s">
        <v>22</v>
      </c>
    </row>
    <row r="2678" spans="1:11">
      <c r="A2678" s="30" t="s">
        <v>6611</v>
      </c>
      <c r="B2678" s="30" t="s">
        <v>6612</v>
      </c>
      <c r="C2678" s="30" t="s">
        <v>399</v>
      </c>
      <c r="D2678" s="30" t="s">
        <v>17</v>
      </c>
      <c r="E2678" s="30" t="s">
        <v>31</v>
      </c>
      <c r="F2678" s="30" t="s">
        <v>32</v>
      </c>
      <c r="G2678" s="30" t="s">
        <v>106</v>
      </c>
      <c r="H2678" s="32">
        <v>3</v>
      </c>
      <c r="I2678" s="30" t="s">
        <v>21</v>
      </c>
      <c r="J2678" s="41">
        <v>43886</v>
      </c>
      <c r="K2678" s="30" t="s">
        <v>22</v>
      </c>
    </row>
    <row r="2679" spans="1:11">
      <c r="A2679" s="33" t="s">
        <v>6613</v>
      </c>
      <c r="B2679" s="33" t="s">
        <v>6614</v>
      </c>
      <c r="C2679" s="33" t="s">
        <v>6615</v>
      </c>
      <c r="D2679" s="33" t="s">
        <v>17</v>
      </c>
      <c r="E2679" s="33" t="s">
        <v>31</v>
      </c>
      <c r="F2679" s="33" t="s">
        <v>32</v>
      </c>
      <c r="G2679" s="33" t="s">
        <v>20</v>
      </c>
      <c r="H2679" s="35">
        <v>12</v>
      </c>
      <c r="I2679" s="33" t="s">
        <v>21</v>
      </c>
      <c r="J2679" s="42">
        <v>43867</v>
      </c>
      <c r="K2679" s="33" t="s">
        <v>22</v>
      </c>
    </row>
    <row r="2680" spans="1:11">
      <c r="A2680" s="30" t="s">
        <v>6616</v>
      </c>
      <c r="B2680" s="30" t="s">
        <v>6617</v>
      </c>
      <c r="C2680" s="30" t="s">
        <v>5093</v>
      </c>
      <c r="D2680" s="30" t="s">
        <v>17</v>
      </c>
      <c r="E2680" s="30" t="s">
        <v>31</v>
      </c>
      <c r="F2680" s="30" t="s">
        <v>32</v>
      </c>
      <c r="G2680" s="30" t="s">
        <v>106</v>
      </c>
      <c r="H2680" s="32">
        <v>7</v>
      </c>
      <c r="I2680" s="30" t="s">
        <v>21</v>
      </c>
      <c r="J2680" s="41">
        <v>44054</v>
      </c>
      <c r="K2680" s="30" t="s">
        <v>22</v>
      </c>
    </row>
    <row r="2681" spans="1:11">
      <c r="A2681" s="33" t="s">
        <v>6618</v>
      </c>
      <c r="B2681" s="33" t="s">
        <v>6619</v>
      </c>
      <c r="C2681" s="33" t="s">
        <v>96</v>
      </c>
      <c r="D2681" s="33" t="s">
        <v>17</v>
      </c>
      <c r="E2681" s="33" t="s">
        <v>26</v>
      </c>
      <c r="F2681" s="33" t="s">
        <v>27</v>
      </c>
      <c r="G2681" s="33" t="s">
        <v>20</v>
      </c>
      <c r="H2681" s="35">
        <v>26</v>
      </c>
      <c r="I2681" s="33" t="s">
        <v>21</v>
      </c>
      <c r="J2681" s="42">
        <v>44083</v>
      </c>
      <c r="K2681" s="33" t="s">
        <v>22</v>
      </c>
    </row>
    <row r="2682" spans="1:11">
      <c r="A2682" s="30" t="s">
        <v>6620</v>
      </c>
      <c r="B2682" s="30" t="s">
        <v>6621</v>
      </c>
      <c r="C2682" s="30" t="s">
        <v>6622</v>
      </c>
      <c r="D2682" s="30" t="s">
        <v>17</v>
      </c>
      <c r="E2682" s="30" t="s">
        <v>18</v>
      </c>
      <c r="F2682" s="30" t="s">
        <v>19</v>
      </c>
      <c r="G2682" s="30" t="s">
        <v>20</v>
      </c>
      <c r="H2682" s="32">
        <v>124</v>
      </c>
      <c r="I2682" s="30" t="s">
        <v>21</v>
      </c>
      <c r="J2682" s="41">
        <v>44046</v>
      </c>
      <c r="K2682" s="30" t="s">
        <v>22</v>
      </c>
    </row>
    <row r="2683" spans="1:11">
      <c r="A2683" s="33" t="s">
        <v>6623</v>
      </c>
      <c r="B2683" s="33" t="s">
        <v>6624</v>
      </c>
      <c r="C2683" s="33" t="s">
        <v>6625</v>
      </c>
      <c r="D2683" s="33" t="s">
        <v>17</v>
      </c>
      <c r="E2683" s="33" t="s">
        <v>31</v>
      </c>
      <c r="F2683" s="33" t="s">
        <v>32</v>
      </c>
      <c r="G2683" s="33" t="s">
        <v>20</v>
      </c>
      <c r="H2683" s="35">
        <v>20</v>
      </c>
      <c r="I2683" s="33" t="s">
        <v>21</v>
      </c>
      <c r="J2683" s="42">
        <v>43867</v>
      </c>
      <c r="K2683" s="33" t="s">
        <v>22</v>
      </c>
    </row>
    <row r="2684" spans="1:11">
      <c r="A2684" s="30" t="s">
        <v>6626</v>
      </c>
      <c r="B2684" s="30" t="s">
        <v>6627</v>
      </c>
      <c r="C2684" s="30" t="s">
        <v>5058</v>
      </c>
      <c r="D2684" s="30" t="s">
        <v>17</v>
      </c>
      <c r="E2684" s="30" t="s">
        <v>67</v>
      </c>
      <c r="F2684" s="30" t="s">
        <v>68</v>
      </c>
      <c r="G2684" s="30" t="s">
        <v>20</v>
      </c>
      <c r="H2684" s="32">
        <v>13</v>
      </c>
      <c r="I2684" s="30" t="s">
        <v>21</v>
      </c>
      <c r="J2684" s="41">
        <v>44117</v>
      </c>
      <c r="K2684" s="30" t="s">
        <v>22</v>
      </c>
    </row>
    <row r="2685" spans="1:11">
      <c r="A2685" s="33" t="s">
        <v>6628</v>
      </c>
      <c r="B2685" s="33" t="s">
        <v>6629</v>
      </c>
      <c r="C2685" s="33" t="s">
        <v>5401</v>
      </c>
      <c r="D2685" s="33" t="s">
        <v>17</v>
      </c>
      <c r="E2685" s="33" t="s">
        <v>67</v>
      </c>
      <c r="F2685" s="33" t="s">
        <v>68</v>
      </c>
      <c r="G2685" s="33" t="s">
        <v>158</v>
      </c>
      <c r="H2685" s="35">
        <v>47</v>
      </c>
      <c r="I2685" s="33" t="s">
        <v>21</v>
      </c>
      <c r="J2685" s="42">
        <v>44028</v>
      </c>
      <c r="K2685" s="33" t="s">
        <v>22</v>
      </c>
    </row>
    <row r="2686" spans="1:11">
      <c r="A2686" s="30" t="s">
        <v>6630</v>
      </c>
      <c r="B2686" s="30" t="s">
        <v>6631</v>
      </c>
      <c r="C2686" s="30" t="s">
        <v>429</v>
      </c>
      <c r="D2686" s="30" t="s">
        <v>17</v>
      </c>
      <c r="E2686" s="30" t="s">
        <v>26</v>
      </c>
      <c r="F2686" s="30" t="s">
        <v>27</v>
      </c>
      <c r="G2686" s="30" t="s">
        <v>20</v>
      </c>
      <c r="H2686" s="32">
        <v>39</v>
      </c>
      <c r="I2686" s="30" t="s">
        <v>21</v>
      </c>
      <c r="J2686" s="41">
        <v>43878</v>
      </c>
      <c r="K2686" s="30" t="s">
        <v>22</v>
      </c>
    </row>
    <row r="2687" spans="1:11">
      <c r="A2687" s="33" t="s">
        <v>6632</v>
      </c>
      <c r="B2687" s="33" t="s">
        <v>6633</v>
      </c>
      <c r="C2687" s="33" t="s">
        <v>190</v>
      </c>
      <c r="D2687" s="33" t="s">
        <v>17</v>
      </c>
      <c r="E2687" s="33" t="s">
        <v>26</v>
      </c>
      <c r="F2687" s="33" t="s">
        <v>27</v>
      </c>
      <c r="G2687" s="33" t="s">
        <v>20</v>
      </c>
      <c r="H2687" s="35">
        <v>18</v>
      </c>
      <c r="I2687" s="33" t="s">
        <v>21</v>
      </c>
      <c r="J2687" s="42">
        <v>44004</v>
      </c>
      <c r="K2687" s="33" t="s">
        <v>22</v>
      </c>
    </row>
    <row r="2688" spans="1:11">
      <c r="A2688" s="30" t="s">
        <v>6634</v>
      </c>
      <c r="B2688" s="30" t="s">
        <v>6635</v>
      </c>
      <c r="C2688" s="30" t="s">
        <v>6636</v>
      </c>
      <c r="D2688" s="30" t="s">
        <v>17</v>
      </c>
      <c r="E2688" s="30" t="s">
        <v>67</v>
      </c>
      <c r="F2688" s="30" t="s">
        <v>68</v>
      </c>
      <c r="G2688" s="30" t="s">
        <v>50</v>
      </c>
      <c r="H2688" s="32">
        <v>20</v>
      </c>
      <c r="I2688" s="30" t="s">
        <v>51</v>
      </c>
      <c r="J2688" s="41">
        <v>43966</v>
      </c>
      <c r="K2688" s="30" t="s">
        <v>22</v>
      </c>
    </row>
    <row r="2689" spans="1:11">
      <c r="A2689" s="33" t="s">
        <v>6637</v>
      </c>
      <c r="B2689" s="33" t="s">
        <v>6638</v>
      </c>
      <c r="C2689" s="33" t="s">
        <v>190</v>
      </c>
      <c r="D2689" s="33" t="s">
        <v>17</v>
      </c>
      <c r="E2689" s="33" t="s">
        <v>31</v>
      </c>
      <c r="F2689" s="33" t="s">
        <v>32</v>
      </c>
      <c r="G2689" s="33" t="s">
        <v>20</v>
      </c>
      <c r="H2689" s="35">
        <v>119</v>
      </c>
      <c r="I2689" s="33" t="s">
        <v>21</v>
      </c>
      <c r="J2689" s="42">
        <v>44132</v>
      </c>
      <c r="K2689" s="33" t="s">
        <v>22</v>
      </c>
    </row>
    <row r="2690" spans="1:11">
      <c r="A2690" s="30" t="s">
        <v>6639</v>
      </c>
      <c r="B2690" s="30" t="s">
        <v>6640</v>
      </c>
      <c r="C2690" s="30" t="s">
        <v>93</v>
      </c>
      <c r="D2690" s="30" t="s">
        <v>17</v>
      </c>
      <c r="E2690" s="30" t="s">
        <v>31</v>
      </c>
      <c r="F2690" s="30" t="s">
        <v>32</v>
      </c>
      <c r="G2690" s="30" t="s">
        <v>112</v>
      </c>
      <c r="H2690" s="32">
        <v>0</v>
      </c>
      <c r="I2690" s="30" t="s">
        <v>21</v>
      </c>
      <c r="J2690" s="41">
        <v>43896</v>
      </c>
      <c r="K2690" s="30" t="s">
        <v>22</v>
      </c>
    </row>
    <row r="2691" spans="1:11">
      <c r="A2691" s="33" t="s">
        <v>6641</v>
      </c>
      <c r="B2691" s="33" t="s">
        <v>6642</v>
      </c>
      <c r="C2691" s="33" t="s">
        <v>6643</v>
      </c>
      <c r="D2691" s="33" t="s">
        <v>17</v>
      </c>
      <c r="E2691" s="33" t="s">
        <v>26</v>
      </c>
      <c r="F2691" s="33" t="s">
        <v>27</v>
      </c>
      <c r="G2691" s="33" t="s">
        <v>106</v>
      </c>
      <c r="H2691" s="35">
        <v>32</v>
      </c>
      <c r="I2691" s="33" t="s">
        <v>21</v>
      </c>
      <c r="J2691" s="42">
        <v>43858</v>
      </c>
      <c r="K2691" s="33" t="s">
        <v>22</v>
      </c>
    </row>
    <row r="2692" spans="1:11">
      <c r="A2692" s="30" t="s">
        <v>6644</v>
      </c>
      <c r="B2692" s="30" t="s">
        <v>6645</v>
      </c>
      <c r="C2692" s="30" t="s">
        <v>6610</v>
      </c>
      <c r="D2692" s="30" t="s">
        <v>17</v>
      </c>
      <c r="E2692" s="30" t="s">
        <v>18</v>
      </c>
      <c r="F2692" s="30" t="s">
        <v>19</v>
      </c>
      <c r="G2692" s="30" t="s">
        <v>20</v>
      </c>
      <c r="H2692" s="32">
        <v>104</v>
      </c>
      <c r="I2692" s="30" t="s">
        <v>21</v>
      </c>
      <c r="J2692" s="41">
        <v>44026</v>
      </c>
      <c r="K2692" s="30" t="s">
        <v>22</v>
      </c>
    </row>
    <row r="2693" spans="1:11">
      <c r="A2693" s="33" t="s">
        <v>6646</v>
      </c>
      <c r="B2693" s="33" t="s">
        <v>6647</v>
      </c>
      <c r="C2693" s="33" t="s">
        <v>2900</v>
      </c>
      <c r="D2693" s="33" t="s">
        <v>17</v>
      </c>
      <c r="E2693" s="33" t="s">
        <v>26</v>
      </c>
      <c r="F2693" s="33" t="s">
        <v>27</v>
      </c>
      <c r="G2693" s="33" t="s">
        <v>20</v>
      </c>
      <c r="H2693" s="35">
        <v>72</v>
      </c>
      <c r="I2693" s="33" t="s">
        <v>21</v>
      </c>
      <c r="J2693" s="42">
        <v>44090</v>
      </c>
      <c r="K2693" s="33" t="s">
        <v>22</v>
      </c>
    </row>
    <row r="2694" spans="1:11">
      <c r="A2694" s="30" t="s">
        <v>6648</v>
      </c>
      <c r="B2694" s="30" t="s">
        <v>6649</v>
      </c>
      <c r="C2694" s="30" t="s">
        <v>6650</v>
      </c>
      <c r="D2694" s="30" t="s">
        <v>17</v>
      </c>
      <c r="E2694" s="30" t="s">
        <v>330</v>
      </c>
      <c r="F2694" s="30" t="s">
        <v>331</v>
      </c>
      <c r="G2694" s="30" t="s">
        <v>50</v>
      </c>
      <c r="H2694" s="32">
        <v>6</v>
      </c>
      <c r="I2694" s="30" t="s">
        <v>51</v>
      </c>
      <c r="J2694" s="41">
        <v>43831</v>
      </c>
      <c r="K2694" s="30" t="s">
        <v>22</v>
      </c>
    </row>
    <row r="2695" spans="1:11">
      <c r="A2695" s="33" t="s">
        <v>6651</v>
      </c>
      <c r="B2695" s="33" t="s">
        <v>6652</v>
      </c>
      <c r="C2695" s="33" t="s">
        <v>6653</v>
      </c>
      <c r="D2695" s="33" t="s">
        <v>17</v>
      </c>
      <c r="E2695" s="33" t="s">
        <v>31</v>
      </c>
      <c r="F2695" s="33" t="s">
        <v>32</v>
      </c>
      <c r="G2695" s="33" t="s">
        <v>20</v>
      </c>
      <c r="H2695" s="35">
        <v>63</v>
      </c>
      <c r="I2695" s="33" t="s">
        <v>21</v>
      </c>
      <c r="J2695" s="42">
        <v>43979</v>
      </c>
      <c r="K2695" s="33" t="s">
        <v>22</v>
      </c>
    </row>
    <row r="2696" spans="1:11">
      <c r="A2696" s="30" t="s">
        <v>6654</v>
      </c>
      <c r="B2696" s="30" t="s">
        <v>6655</v>
      </c>
      <c r="C2696" s="30" t="s">
        <v>5158</v>
      </c>
      <c r="D2696" s="30" t="s">
        <v>17</v>
      </c>
      <c r="E2696" s="30" t="s">
        <v>26</v>
      </c>
      <c r="F2696" s="30" t="s">
        <v>27</v>
      </c>
      <c r="G2696" s="30" t="s">
        <v>106</v>
      </c>
      <c r="H2696" s="32">
        <v>116</v>
      </c>
      <c r="I2696" s="30" t="s">
        <v>21</v>
      </c>
      <c r="J2696" s="41">
        <v>44090</v>
      </c>
      <c r="K2696" s="30" t="s">
        <v>22</v>
      </c>
    </row>
    <row r="2697" spans="1:11">
      <c r="A2697" s="33" t="s">
        <v>6656</v>
      </c>
      <c r="B2697" s="33" t="s">
        <v>6657</v>
      </c>
      <c r="C2697" s="33" t="s">
        <v>6658</v>
      </c>
      <c r="D2697" s="33" t="s">
        <v>17</v>
      </c>
      <c r="E2697" s="33" t="s">
        <v>67</v>
      </c>
      <c r="F2697" s="33" t="s">
        <v>68</v>
      </c>
      <c r="G2697" s="33" t="s">
        <v>106</v>
      </c>
      <c r="H2697" s="35">
        <v>15</v>
      </c>
      <c r="I2697" s="33" t="s">
        <v>21</v>
      </c>
      <c r="J2697" s="42">
        <v>43847</v>
      </c>
      <c r="K2697" s="33" t="s">
        <v>22</v>
      </c>
    </row>
    <row r="2698" spans="1:11">
      <c r="A2698" s="30" t="s">
        <v>6659</v>
      </c>
      <c r="B2698" s="30" t="s">
        <v>6660</v>
      </c>
      <c r="C2698" s="30" t="s">
        <v>603</v>
      </c>
      <c r="D2698" s="30" t="s">
        <v>17</v>
      </c>
      <c r="E2698" s="30" t="s">
        <v>26</v>
      </c>
      <c r="F2698" s="30" t="s">
        <v>27</v>
      </c>
      <c r="G2698" s="30" t="s">
        <v>20</v>
      </c>
      <c r="H2698" s="32">
        <v>34</v>
      </c>
      <c r="I2698" s="30" t="s">
        <v>21</v>
      </c>
      <c r="J2698" s="41">
        <v>44053</v>
      </c>
      <c r="K2698" s="30" t="s">
        <v>22</v>
      </c>
    </row>
    <row r="2699" spans="1:11">
      <c r="A2699" s="33" t="s">
        <v>6661</v>
      </c>
      <c r="B2699" s="33" t="s">
        <v>6662</v>
      </c>
      <c r="C2699" s="33" t="s">
        <v>6663</v>
      </c>
      <c r="D2699" s="33" t="s">
        <v>17</v>
      </c>
      <c r="E2699" s="33" t="s">
        <v>26</v>
      </c>
      <c r="F2699" s="33" t="s">
        <v>27</v>
      </c>
      <c r="G2699" s="33" t="s">
        <v>20</v>
      </c>
      <c r="H2699" s="35">
        <v>79</v>
      </c>
      <c r="I2699" s="33" t="s">
        <v>21</v>
      </c>
      <c r="J2699" s="42">
        <v>43963</v>
      </c>
      <c r="K2699" s="33" t="s">
        <v>22</v>
      </c>
    </row>
    <row r="2700" spans="1:11">
      <c r="A2700" s="30" t="s">
        <v>6664</v>
      </c>
      <c r="B2700" s="30" t="s">
        <v>6665</v>
      </c>
      <c r="C2700" s="30" t="s">
        <v>656</v>
      </c>
      <c r="D2700" s="30" t="s">
        <v>17</v>
      </c>
      <c r="E2700" s="30" t="s">
        <v>31</v>
      </c>
      <c r="F2700" s="30" t="s">
        <v>32</v>
      </c>
      <c r="G2700" s="30" t="s">
        <v>50</v>
      </c>
      <c r="H2700" s="32">
        <v>110</v>
      </c>
      <c r="I2700" s="30" t="s">
        <v>51</v>
      </c>
      <c r="J2700" s="41">
        <v>44099</v>
      </c>
      <c r="K2700" s="30" t="s">
        <v>22</v>
      </c>
    </row>
    <row r="2701" spans="1:11">
      <c r="A2701" s="33" t="s">
        <v>6666</v>
      </c>
      <c r="B2701" s="33" t="s">
        <v>6667</v>
      </c>
      <c r="C2701" s="33" t="s">
        <v>4634</v>
      </c>
      <c r="D2701" s="33" t="s">
        <v>17</v>
      </c>
      <c r="E2701" s="33" t="s">
        <v>26</v>
      </c>
      <c r="F2701" s="33" t="s">
        <v>27</v>
      </c>
      <c r="G2701" s="33" t="s">
        <v>20</v>
      </c>
      <c r="H2701" s="35">
        <v>30</v>
      </c>
      <c r="I2701" s="33" t="s">
        <v>21</v>
      </c>
      <c r="J2701" s="42">
        <v>43841</v>
      </c>
      <c r="K2701" s="33" t="s">
        <v>22</v>
      </c>
    </row>
    <row r="2702" spans="1:11">
      <c r="A2702" s="30" t="s">
        <v>6668</v>
      </c>
      <c r="B2702" s="30" t="s">
        <v>6669</v>
      </c>
      <c r="C2702" s="30" t="s">
        <v>874</v>
      </c>
      <c r="D2702" s="30" t="s">
        <v>17</v>
      </c>
      <c r="E2702" s="30" t="s">
        <v>26</v>
      </c>
      <c r="F2702" s="30" t="s">
        <v>27</v>
      </c>
      <c r="G2702" s="30" t="s">
        <v>106</v>
      </c>
      <c r="H2702" s="32">
        <v>20</v>
      </c>
      <c r="I2702" s="30" t="s">
        <v>21</v>
      </c>
      <c r="J2702" s="41">
        <v>44186</v>
      </c>
      <c r="K2702" s="30" t="s">
        <v>22</v>
      </c>
    </row>
    <row r="2703" spans="1:11">
      <c r="A2703" s="33" t="s">
        <v>6670</v>
      </c>
      <c r="B2703" s="33" t="s">
        <v>6671</v>
      </c>
      <c r="C2703" s="33" t="s">
        <v>136</v>
      </c>
      <c r="D2703" s="33" t="s">
        <v>17</v>
      </c>
      <c r="E2703" s="33" t="s">
        <v>18</v>
      </c>
      <c r="F2703" s="33" t="s">
        <v>19</v>
      </c>
      <c r="G2703" s="33" t="s">
        <v>158</v>
      </c>
      <c r="H2703" s="35">
        <v>261</v>
      </c>
      <c r="I2703" s="33" t="s">
        <v>21</v>
      </c>
      <c r="J2703" s="42">
        <v>43878</v>
      </c>
      <c r="K2703" s="33" t="s">
        <v>22</v>
      </c>
    </row>
    <row r="2704" spans="1:11">
      <c r="A2704" s="30" t="s">
        <v>6672</v>
      </c>
      <c r="B2704" s="30" t="s">
        <v>6673</v>
      </c>
      <c r="C2704" s="30" t="s">
        <v>310</v>
      </c>
      <c r="D2704" s="30" t="s">
        <v>17</v>
      </c>
      <c r="E2704" s="30" t="s">
        <v>26</v>
      </c>
      <c r="F2704" s="30" t="s">
        <v>27</v>
      </c>
      <c r="G2704" s="30" t="s">
        <v>20</v>
      </c>
      <c r="H2704" s="32">
        <v>25</v>
      </c>
      <c r="I2704" s="30" t="s">
        <v>21</v>
      </c>
      <c r="J2704" s="41">
        <v>44105</v>
      </c>
      <c r="K2704" s="30" t="s">
        <v>22</v>
      </c>
    </row>
    <row r="2705" spans="1:11">
      <c r="A2705" s="33" t="s">
        <v>6674</v>
      </c>
      <c r="B2705" s="33" t="s">
        <v>6675</v>
      </c>
      <c r="C2705" s="33" t="s">
        <v>3489</v>
      </c>
      <c r="D2705" s="33" t="s">
        <v>17</v>
      </c>
      <c r="E2705" s="33" t="s">
        <v>67</v>
      </c>
      <c r="F2705" s="33" t="s">
        <v>68</v>
      </c>
      <c r="G2705" s="33" t="s">
        <v>158</v>
      </c>
      <c r="H2705" s="35">
        <v>100</v>
      </c>
      <c r="I2705" s="33" t="s">
        <v>51</v>
      </c>
      <c r="J2705" s="42">
        <v>44098</v>
      </c>
      <c r="K2705" s="33" t="s">
        <v>22</v>
      </c>
    </row>
    <row r="2706" spans="1:11">
      <c r="A2706" s="30" t="s">
        <v>6676</v>
      </c>
      <c r="B2706" s="30" t="s">
        <v>6677</v>
      </c>
      <c r="C2706" s="30" t="s">
        <v>149</v>
      </c>
      <c r="D2706" s="30" t="s">
        <v>17</v>
      </c>
      <c r="E2706" s="30" t="s">
        <v>18</v>
      </c>
      <c r="F2706" s="30" t="s">
        <v>19</v>
      </c>
      <c r="G2706" s="30" t="s">
        <v>106</v>
      </c>
      <c r="H2706" s="32">
        <v>80</v>
      </c>
      <c r="I2706" s="30" t="s">
        <v>21</v>
      </c>
      <c r="J2706" s="41">
        <v>44026</v>
      </c>
      <c r="K2706" s="30" t="s">
        <v>22</v>
      </c>
    </row>
    <row r="2707" spans="1:11">
      <c r="A2707" s="33" t="s">
        <v>6678</v>
      </c>
      <c r="B2707" s="33" t="s">
        <v>6679</v>
      </c>
      <c r="C2707" s="33" t="s">
        <v>1862</v>
      </c>
      <c r="D2707" s="33" t="s">
        <v>17</v>
      </c>
      <c r="E2707" s="33" t="s">
        <v>26</v>
      </c>
      <c r="F2707" s="33" t="s">
        <v>27</v>
      </c>
      <c r="G2707" s="33" t="s">
        <v>20</v>
      </c>
      <c r="H2707" s="35">
        <v>6</v>
      </c>
      <c r="I2707" s="33" t="s">
        <v>21</v>
      </c>
      <c r="J2707" s="42">
        <v>43977</v>
      </c>
      <c r="K2707" s="33" t="s">
        <v>22</v>
      </c>
    </row>
    <row r="2708" spans="1:11">
      <c r="A2708" s="30" t="s">
        <v>6680</v>
      </c>
      <c r="B2708" s="30" t="s">
        <v>6681</v>
      </c>
      <c r="C2708" s="30" t="s">
        <v>5341</v>
      </c>
      <c r="D2708" s="30" t="s">
        <v>17</v>
      </c>
      <c r="E2708" s="30" t="s">
        <v>212</v>
      </c>
      <c r="F2708" s="30" t="s">
        <v>213</v>
      </c>
      <c r="G2708" s="30" t="s">
        <v>20</v>
      </c>
      <c r="H2708" s="32">
        <v>21</v>
      </c>
      <c r="I2708" s="30" t="s">
        <v>21</v>
      </c>
      <c r="J2708" s="41">
        <v>44028</v>
      </c>
      <c r="K2708" s="30" t="s">
        <v>22</v>
      </c>
    </row>
    <row r="2709" spans="1:11">
      <c r="A2709" s="33" t="s">
        <v>6682</v>
      </c>
      <c r="B2709" s="33" t="s">
        <v>6683</v>
      </c>
      <c r="C2709" s="33" t="s">
        <v>549</v>
      </c>
      <c r="D2709" s="33" t="s">
        <v>17</v>
      </c>
      <c r="E2709" s="33" t="s">
        <v>18</v>
      </c>
      <c r="F2709" s="33" t="s">
        <v>19</v>
      </c>
      <c r="G2709" s="33" t="s">
        <v>20</v>
      </c>
      <c r="H2709" s="35">
        <v>321</v>
      </c>
      <c r="I2709" s="33" t="s">
        <v>21</v>
      </c>
      <c r="J2709" s="42">
        <v>44055</v>
      </c>
      <c r="K2709" s="33" t="s">
        <v>22</v>
      </c>
    </row>
    <row r="2710" spans="1:11">
      <c r="A2710" s="30" t="s">
        <v>6684</v>
      </c>
      <c r="B2710" s="30" t="s">
        <v>6685</v>
      </c>
      <c r="C2710" s="30" t="s">
        <v>1261</v>
      </c>
      <c r="D2710" s="30" t="s">
        <v>17</v>
      </c>
      <c r="E2710" s="30" t="s">
        <v>31</v>
      </c>
      <c r="F2710" s="30" t="s">
        <v>32</v>
      </c>
      <c r="G2710" s="30" t="s">
        <v>106</v>
      </c>
      <c r="H2710" s="32">
        <v>27</v>
      </c>
      <c r="I2710" s="30" t="s">
        <v>21</v>
      </c>
      <c r="J2710" s="41">
        <v>44047</v>
      </c>
      <c r="K2710" s="30" t="s">
        <v>22</v>
      </c>
    </row>
    <row r="2711" spans="1:11">
      <c r="A2711" s="33" t="s">
        <v>6686</v>
      </c>
      <c r="B2711" s="33" t="s">
        <v>6687</v>
      </c>
      <c r="C2711" s="33" t="s">
        <v>96</v>
      </c>
      <c r="D2711" s="33" t="s">
        <v>17</v>
      </c>
      <c r="E2711" s="33" t="s">
        <v>26</v>
      </c>
      <c r="F2711" s="33" t="s">
        <v>27</v>
      </c>
      <c r="G2711" s="33" t="s">
        <v>20</v>
      </c>
      <c r="H2711" s="35">
        <v>16</v>
      </c>
      <c r="I2711" s="33" t="s">
        <v>21</v>
      </c>
      <c r="J2711" s="42">
        <v>44127</v>
      </c>
      <c r="K2711" s="33" t="s">
        <v>22</v>
      </c>
    </row>
    <row r="2712" spans="1:11">
      <c r="A2712" s="30" t="s">
        <v>6688</v>
      </c>
      <c r="B2712" s="30" t="s">
        <v>6689</v>
      </c>
      <c r="C2712" s="30" t="s">
        <v>6690</v>
      </c>
      <c r="D2712" s="30" t="s">
        <v>17</v>
      </c>
      <c r="E2712" s="30" t="s">
        <v>31</v>
      </c>
      <c r="F2712" s="30" t="s">
        <v>32</v>
      </c>
      <c r="G2712" s="30" t="s">
        <v>20</v>
      </c>
      <c r="H2712" s="32">
        <v>21</v>
      </c>
      <c r="I2712" s="30" t="s">
        <v>21</v>
      </c>
      <c r="J2712" s="41">
        <v>44028</v>
      </c>
      <c r="K2712" s="30" t="s">
        <v>22</v>
      </c>
    </row>
    <row r="2713" spans="1:11">
      <c r="A2713" s="33" t="s">
        <v>6691</v>
      </c>
      <c r="B2713" s="33" t="s">
        <v>6692</v>
      </c>
      <c r="C2713" s="33" t="s">
        <v>149</v>
      </c>
      <c r="D2713" s="33" t="s">
        <v>17</v>
      </c>
      <c r="E2713" s="33" t="s">
        <v>26</v>
      </c>
      <c r="F2713" s="33" t="s">
        <v>27</v>
      </c>
      <c r="G2713" s="33" t="s">
        <v>50</v>
      </c>
      <c r="H2713" s="35">
        <v>130</v>
      </c>
      <c r="I2713" s="33" t="s">
        <v>51</v>
      </c>
      <c r="J2713" s="42">
        <v>44063</v>
      </c>
      <c r="K2713" s="33" t="s">
        <v>22</v>
      </c>
    </row>
    <row r="2714" spans="1:11">
      <c r="A2714" s="30" t="s">
        <v>6693</v>
      </c>
      <c r="B2714" s="30" t="s">
        <v>6694</v>
      </c>
      <c r="C2714" s="30" t="s">
        <v>6695</v>
      </c>
      <c r="D2714" s="30" t="s">
        <v>17</v>
      </c>
      <c r="E2714" s="30" t="s">
        <v>26</v>
      </c>
      <c r="F2714" s="30" t="s">
        <v>27</v>
      </c>
      <c r="G2714" s="30" t="s">
        <v>106</v>
      </c>
      <c r="H2714" s="32">
        <v>87</v>
      </c>
      <c r="I2714" s="30" t="s">
        <v>21</v>
      </c>
      <c r="J2714" s="41">
        <v>43872</v>
      </c>
      <c r="K2714" s="30" t="s">
        <v>22</v>
      </c>
    </row>
    <row r="2715" spans="1:11">
      <c r="A2715" s="33" t="s">
        <v>6696</v>
      </c>
      <c r="B2715" s="33" t="s">
        <v>6697</v>
      </c>
      <c r="C2715" s="33" t="s">
        <v>6698</v>
      </c>
      <c r="D2715" s="33" t="s">
        <v>17</v>
      </c>
      <c r="E2715" s="33" t="s">
        <v>31</v>
      </c>
      <c r="F2715" s="33" t="s">
        <v>32</v>
      </c>
      <c r="G2715" s="33" t="s">
        <v>20</v>
      </c>
      <c r="H2715" s="35">
        <v>135</v>
      </c>
      <c r="I2715" s="33" t="s">
        <v>21</v>
      </c>
      <c r="J2715" s="42">
        <v>44043</v>
      </c>
      <c r="K2715" s="33" t="s">
        <v>22</v>
      </c>
    </row>
    <row r="2716" spans="1:11">
      <c r="A2716" s="30" t="s">
        <v>6699</v>
      </c>
      <c r="B2716" s="30" t="s">
        <v>6700</v>
      </c>
      <c r="C2716" s="30" t="s">
        <v>178</v>
      </c>
      <c r="D2716" s="30" t="s">
        <v>17</v>
      </c>
      <c r="E2716" s="30" t="s">
        <v>31</v>
      </c>
      <c r="F2716" s="30" t="s">
        <v>32</v>
      </c>
      <c r="G2716" s="30" t="s">
        <v>20</v>
      </c>
      <c r="H2716" s="32">
        <v>97</v>
      </c>
      <c r="I2716" s="30" t="s">
        <v>21</v>
      </c>
      <c r="J2716" s="41">
        <v>43956</v>
      </c>
      <c r="K2716" s="30" t="s">
        <v>22</v>
      </c>
    </row>
    <row r="2717" spans="1:11">
      <c r="A2717" s="33" t="s">
        <v>6701</v>
      </c>
      <c r="B2717" s="33" t="s">
        <v>6702</v>
      </c>
      <c r="C2717" s="33" t="s">
        <v>6703</v>
      </c>
      <c r="D2717" s="33" t="s">
        <v>17</v>
      </c>
      <c r="E2717" s="33" t="s">
        <v>18</v>
      </c>
      <c r="F2717" s="33" t="s">
        <v>19</v>
      </c>
      <c r="G2717" s="33" t="s">
        <v>112</v>
      </c>
      <c r="H2717" s="35">
        <v>0</v>
      </c>
      <c r="I2717" s="33" t="s">
        <v>21</v>
      </c>
      <c r="J2717" s="42">
        <v>44136</v>
      </c>
      <c r="K2717" s="33" t="s">
        <v>22</v>
      </c>
    </row>
    <row r="2718" spans="1:11">
      <c r="A2718" s="30" t="s">
        <v>6704</v>
      </c>
      <c r="B2718" s="30" t="s">
        <v>6705</v>
      </c>
      <c r="C2718" s="30" t="s">
        <v>925</v>
      </c>
      <c r="D2718" s="30" t="s">
        <v>17</v>
      </c>
      <c r="E2718" s="30" t="s">
        <v>212</v>
      </c>
      <c r="F2718" s="30" t="s">
        <v>213</v>
      </c>
      <c r="G2718" s="30" t="s">
        <v>20</v>
      </c>
      <c r="H2718" s="32">
        <v>25</v>
      </c>
      <c r="I2718" s="30" t="s">
        <v>21</v>
      </c>
      <c r="J2718" s="41">
        <v>44047</v>
      </c>
      <c r="K2718" s="30" t="s">
        <v>22</v>
      </c>
    </row>
    <row r="2719" spans="1:11">
      <c r="A2719" s="33" t="s">
        <v>6706</v>
      </c>
      <c r="B2719" s="33" t="s">
        <v>6707</v>
      </c>
      <c r="C2719" s="33" t="s">
        <v>957</v>
      </c>
      <c r="D2719" s="33" t="s">
        <v>17</v>
      </c>
      <c r="E2719" s="33" t="s">
        <v>26</v>
      </c>
      <c r="F2719" s="33" t="s">
        <v>27</v>
      </c>
      <c r="G2719" s="33" t="s">
        <v>20</v>
      </c>
      <c r="H2719" s="35">
        <v>30</v>
      </c>
      <c r="I2719" s="33" t="s">
        <v>21</v>
      </c>
      <c r="J2719" s="42">
        <v>44093</v>
      </c>
      <c r="K2719" s="33" t="s">
        <v>22</v>
      </c>
    </row>
    <row r="2720" spans="1:11">
      <c r="A2720" s="30" t="s">
        <v>6708</v>
      </c>
      <c r="B2720" s="30" t="s">
        <v>6709</v>
      </c>
      <c r="C2720" s="30" t="s">
        <v>2739</v>
      </c>
      <c r="D2720" s="30" t="s">
        <v>17</v>
      </c>
      <c r="E2720" s="30" t="s">
        <v>18</v>
      </c>
      <c r="F2720" s="30" t="s">
        <v>19</v>
      </c>
      <c r="G2720" s="30" t="s">
        <v>50</v>
      </c>
      <c r="H2720" s="32">
        <v>120</v>
      </c>
      <c r="I2720" s="30" t="s">
        <v>51</v>
      </c>
      <c r="J2720" s="41">
        <v>44104</v>
      </c>
      <c r="K2720" s="30" t="s">
        <v>22</v>
      </c>
    </row>
    <row r="2721" spans="1:11">
      <c r="A2721" s="33" t="s">
        <v>6710</v>
      </c>
      <c r="B2721" s="33" t="s">
        <v>6711</v>
      </c>
      <c r="C2721" s="33" t="s">
        <v>3698</v>
      </c>
      <c r="D2721" s="33" t="s">
        <v>17</v>
      </c>
      <c r="E2721" s="33" t="s">
        <v>45</v>
      </c>
      <c r="F2721" s="33" t="s">
        <v>46</v>
      </c>
      <c r="G2721" s="33" t="s">
        <v>106</v>
      </c>
      <c r="H2721" s="35">
        <v>16</v>
      </c>
      <c r="I2721" s="33" t="s">
        <v>21</v>
      </c>
      <c r="J2721" s="42">
        <v>43923</v>
      </c>
      <c r="K2721" s="33" t="s">
        <v>22</v>
      </c>
    </row>
    <row r="2722" spans="1:11">
      <c r="A2722" s="30" t="s">
        <v>6712</v>
      </c>
      <c r="B2722" s="30" t="s">
        <v>6713</v>
      </c>
      <c r="C2722" s="30" t="s">
        <v>109</v>
      </c>
      <c r="D2722" s="30" t="s">
        <v>17</v>
      </c>
      <c r="E2722" s="30" t="s">
        <v>31</v>
      </c>
      <c r="F2722" s="30" t="s">
        <v>32</v>
      </c>
      <c r="G2722" s="30" t="s">
        <v>106</v>
      </c>
      <c r="H2722" s="32">
        <v>31</v>
      </c>
      <c r="I2722" s="30" t="s">
        <v>21</v>
      </c>
      <c r="J2722" s="41">
        <v>44062</v>
      </c>
      <c r="K2722" s="30" t="s">
        <v>22</v>
      </c>
    </row>
    <row r="2723" spans="1:11">
      <c r="A2723" s="33" t="s">
        <v>6714</v>
      </c>
      <c r="B2723" s="33" t="s">
        <v>6715</v>
      </c>
      <c r="C2723" s="33" t="s">
        <v>6716</v>
      </c>
      <c r="D2723" s="33" t="s">
        <v>17</v>
      </c>
      <c r="E2723" s="33" t="s">
        <v>26</v>
      </c>
      <c r="F2723" s="33" t="s">
        <v>27</v>
      </c>
      <c r="G2723" s="33" t="s">
        <v>158</v>
      </c>
      <c r="H2723" s="35">
        <v>61</v>
      </c>
      <c r="I2723" s="33" t="s">
        <v>21</v>
      </c>
      <c r="J2723" s="42">
        <v>44095</v>
      </c>
      <c r="K2723" s="33" t="s">
        <v>22</v>
      </c>
    </row>
    <row r="2724" spans="1:11">
      <c r="A2724" s="30" t="s">
        <v>6717</v>
      </c>
      <c r="B2724" s="30" t="s">
        <v>6718</v>
      </c>
      <c r="C2724" s="30" t="s">
        <v>190</v>
      </c>
      <c r="D2724" s="30" t="s">
        <v>17</v>
      </c>
      <c r="E2724" s="30" t="s">
        <v>26</v>
      </c>
      <c r="F2724" s="30" t="s">
        <v>27</v>
      </c>
      <c r="G2724" s="30" t="s">
        <v>112</v>
      </c>
      <c r="H2724" s="32">
        <v>0</v>
      </c>
      <c r="I2724" s="30" t="s">
        <v>21</v>
      </c>
      <c r="J2724" s="41">
        <v>44012</v>
      </c>
      <c r="K2724" s="30" t="s">
        <v>22</v>
      </c>
    </row>
    <row r="2725" spans="1:11">
      <c r="A2725" s="33" t="s">
        <v>6719</v>
      </c>
      <c r="B2725" s="33" t="s">
        <v>6720</v>
      </c>
      <c r="C2725" s="33" t="s">
        <v>6721</v>
      </c>
      <c r="D2725" s="33" t="s">
        <v>17</v>
      </c>
      <c r="E2725" s="33" t="s">
        <v>26</v>
      </c>
      <c r="F2725" s="33" t="s">
        <v>27</v>
      </c>
      <c r="G2725" s="33" t="s">
        <v>20</v>
      </c>
      <c r="H2725" s="35">
        <v>58</v>
      </c>
      <c r="I2725" s="33" t="s">
        <v>21</v>
      </c>
      <c r="J2725" s="42">
        <v>44072</v>
      </c>
      <c r="K2725" s="33" t="s">
        <v>22</v>
      </c>
    </row>
    <row r="2726" spans="1:11">
      <c r="A2726" s="30" t="s">
        <v>6722</v>
      </c>
      <c r="B2726" s="30" t="s">
        <v>6723</v>
      </c>
      <c r="C2726" s="30" t="s">
        <v>2703</v>
      </c>
      <c r="D2726" s="30" t="s">
        <v>17</v>
      </c>
      <c r="E2726" s="30" t="s">
        <v>18</v>
      </c>
      <c r="F2726" s="30" t="s">
        <v>19</v>
      </c>
      <c r="G2726" s="30" t="s">
        <v>20</v>
      </c>
      <c r="H2726" s="32">
        <v>162</v>
      </c>
      <c r="I2726" s="30" t="s">
        <v>21</v>
      </c>
      <c r="J2726" s="41">
        <v>44155</v>
      </c>
      <c r="K2726" s="30" t="s">
        <v>22</v>
      </c>
    </row>
    <row r="2727" spans="1:11">
      <c r="A2727" s="33" t="s">
        <v>6724</v>
      </c>
      <c r="B2727" s="33" t="s">
        <v>6725</v>
      </c>
      <c r="C2727" s="33" t="s">
        <v>549</v>
      </c>
      <c r="D2727" s="33" t="s">
        <v>17</v>
      </c>
      <c r="E2727" s="33" t="s">
        <v>18</v>
      </c>
      <c r="F2727" s="33" t="s">
        <v>19</v>
      </c>
      <c r="G2727" s="33" t="s">
        <v>106</v>
      </c>
      <c r="H2727" s="35">
        <v>30</v>
      </c>
      <c r="I2727" s="33" t="s">
        <v>21</v>
      </c>
      <c r="J2727" s="42">
        <v>43985</v>
      </c>
      <c r="K2727" s="33" t="s">
        <v>22</v>
      </c>
    </row>
    <row r="2728" spans="1:11">
      <c r="A2728" s="30" t="s">
        <v>6726</v>
      </c>
      <c r="B2728" s="30" t="s">
        <v>6727</v>
      </c>
      <c r="C2728" s="30" t="s">
        <v>149</v>
      </c>
      <c r="D2728" s="30" t="s">
        <v>17</v>
      </c>
      <c r="E2728" s="30" t="s">
        <v>26</v>
      </c>
      <c r="F2728" s="30" t="s">
        <v>27</v>
      </c>
      <c r="G2728" s="30" t="s">
        <v>20</v>
      </c>
      <c r="H2728" s="32">
        <v>19</v>
      </c>
      <c r="I2728" s="30" t="s">
        <v>21</v>
      </c>
      <c r="J2728" s="41">
        <v>44039</v>
      </c>
      <c r="K2728" s="30" t="s">
        <v>22</v>
      </c>
    </row>
    <row r="2729" spans="1:11">
      <c r="A2729" s="33" t="s">
        <v>6728</v>
      </c>
      <c r="B2729" s="33" t="s">
        <v>6729</v>
      </c>
      <c r="C2729" s="33" t="s">
        <v>969</v>
      </c>
      <c r="D2729" s="33" t="s">
        <v>17</v>
      </c>
      <c r="E2729" s="33" t="s">
        <v>26</v>
      </c>
      <c r="F2729" s="33" t="s">
        <v>27</v>
      </c>
      <c r="G2729" s="33" t="s">
        <v>20</v>
      </c>
      <c r="H2729" s="35">
        <v>64</v>
      </c>
      <c r="I2729" s="33" t="s">
        <v>21</v>
      </c>
      <c r="J2729" s="42">
        <v>44057</v>
      </c>
      <c r="K2729" s="33" t="s">
        <v>22</v>
      </c>
    </row>
    <row r="2730" spans="1:11">
      <c r="A2730" s="30" t="s">
        <v>6730</v>
      </c>
      <c r="B2730" s="30" t="s">
        <v>6731</v>
      </c>
      <c r="C2730" s="30" t="s">
        <v>6732</v>
      </c>
      <c r="D2730" s="30" t="s">
        <v>17</v>
      </c>
      <c r="E2730" s="30" t="s">
        <v>67</v>
      </c>
      <c r="F2730" s="30" t="s">
        <v>68</v>
      </c>
      <c r="G2730" s="30" t="s">
        <v>20</v>
      </c>
      <c r="H2730" s="32">
        <v>16</v>
      </c>
      <c r="I2730" s="30" t="s">
        <v>21</v>
      </c>
      <c r="J2730" s="41">
        <v>43862</v>
      </c>
      <c r="K2730" s="30" t="s">
        <v>22</v>
      </c>
    </row>
    <row r="2731" spans="1:11">
      <c r="A2731" s="33" t="s">
        <v>6733</v>
      </c>
      <c r="B2731" s="33" t="s">
        <v>6734</v>
      </c>
      <c r="C2731" s="33" t="s">
        <v>6735</v>
      </c>
      <c r="D2731" s="33" t="s">
        <v>17</v>
      </c>
      <c r="E2731" s="33" t="s">
        <v>31</v>
      </c>
      <c r="F2731" s="33" t="s">
        <v>32</v>
      </c>
      <c r="G2731" s="33" t="s">
        <v>20</v>
      </c>
      <c r="H2731" s="35">
        <v>13</v>
      </c>
      <c r="I2731" s="33" t="s">
        <v>21</v>
      </c>
      <c r="J2731" s="42">
        <v>44110</v>
      </c>
      <c r="K2731" s="33" t="s">
        <v>22</v>
      </c>
    </row>
    <row r="2732" spans="1:11">
      <c r="A2732" s="30" t="s">
        <v>6736</v>
      </c>
      <c r="B2732" s="30" t="s">
        <v>6737</v>
      </c>
      <c r="C2732" s="30" t="s">
        <v>136</v>
      </c>
      <c r="D2732" s="30" t="s">
        <v>17</v>
      </c>
      <c r="E2732" s="30" t="s">
        <v>26</v>
      </c>
      <c r="F2732" s="30" t="s">
        <v>27</v>
      </c>
      <c r="G2732" s="30" t="s">
        <v>20</v>
      </c>
      <c r="H2732" s="32">
        <v>60</v>
      </c>
      <c r="I2732" s="30" t="s">
        <v>21</v>
      </c>
      <c r="J2732" s="41">
        <v>44085</v>
      </c>
      <c r="K2732" s="30" t="s">
        <v>22</v>
      </c>
    </row>
    <row r="2733" spans="1:11">
      <c r="A2733" s="33" t="s">
        <v>6738</v>
      </c>
      <c r="B2733" s="33" t="s">
        <v>6739</v>
      </c>
      <c r="C2733" s="33" t="s">
        <v>124</v>
      </c>
      <c r="D2733" s="33" t="s">
        <v>17</v>
      </c>
      <c r="E2733" s="33" t="s">
        <v>18</v>
      </c>
      <c r="F2733" s="33" t="s">
        <v>19</v>
      </c>
      <c r="G2733" s="33" t="s">
        <v>20</v>
      </c>
      <c r="H2733" s="35">
        <v>129</v>
      </c>
      <c r="I2733" s="33" t="s">
        <v>21</v>
      </c>
      <c r="J2733" s="42">
        <v>44159</v>
      </c>
      <c r="K2733" s="33" t="s">
        <v>22</v>
      </c>
    </row>
    <row r="2734" spans="1:11">
      <c r="A2734" s="30" t="s">
        <v>6740</v>
      </c>
      <c r="B2734" s="30" t="s">
        <v>6741</v>
      </c>
      <c r="C2734" s="30" t="s">
        <v>1813</v>
      </c>
      <c r="D2734" s="30" t="s">
        <v>17</v>
      </c>
      <c r="E2734" s="30" t="s">
        <v>67</v>
      </c>
      <c r="F2734" s="30" t="s">
        <v>68</v>
      </c>
      <c r="G2734" s="30" t="s">
        <v>50</v>
      </c>
      <c r="H2734" s="32">
        <v>42</v>
      </c>
      <c r="I2734" s="30" t="s">
        <v>51</v>
      </c>
      <c r="J2734" s="41">
        <v>43952</v>
      </c>
      <c r="K2734" s="30" t="s">
        <v>22</v>
      </c>
    </row>
    <row r="2735" spans="1:11">
      <c r="A2735" s="33" t="s">
        <v>6742</v>
      </c>
      <c r="B2735" s="33" t="s">
        <v>6743</v>
      </c>
      <c r="C2735" s="33" t="s">
        <v>6744</v>
      </c>
      <c r="D2735" s="33" t="s">
        <v>17</v>
      </c>
      <c r="E2735" s="33" t="s">
        <v>26</v>
      </c>
      <c r="F2735" s="33" t="s">
        <v>27</v>
      </c>
      <c r="G2735" s="33" t="s">
        <v>20</v>
      </c>
      <c r="H2735" s="35">
        <v>16</v>
      </c>
      <c r="I2735" s="33" t="s">
        <v>21</v>
      </c>
      <c r="J2735" s="42">
        <v>44076</v>
      </c>
      <c r="K2735" s="33" t="s">
        <v>22</v>
      </c>
    </row>
    <row r="2736" spans="1:11">
      <c r="A2736" s="30" t="s">
        <v>6745</v>
      </c>
      <c r="B2736" s="30" t="s">
        <v>6746</v>
      </c>
      <c r="C2736" s="30" t="s">
        <v>3004</v>
      </c>
      <c r="D2736" s="30" t="s">
        <v>17</v>
      </c>
      <c r="E2736" s="30" t="s">
        <v>18</v>
      </c>
      <c r="F2736" s="30" t="s">
        <v>19</v>
      </c>
      <c r="G2736" s="30" t="s">
        <v>158</v>
      </c>
      <c r="H2736" s="32">
        <v>291</v>
      </c>
      <c r="I2736" s="30" t="s">
        <v>21</v>
      </c>
      <c r="J2736" s="41">
        <v>43872</v>
      </c>
      <c r="K2736" s="30" t="s">
        <v>22</v>
      </c>
    </row>
    <row r="2737" spans="1:11">
      <c r="A2737" s="33" t="s">
        <v>6747</v>
      </c>
      <c r="B2737" s="33" t="s">
        <v>6748</v>
      </c>
      <c r="C2737" s="33" t="s">
        <v>149</v>
      </c>
      <c r="D2737" s="33" t="s">
        <v>17</v>
      </c>
      <c r="E2737" s="33" t="s">
        <v>26</v>
      </c>
      <c r="F2737" s="33" t="s">
        <v>27</v>
      </c>
      <c r="G2737" s="33" t="s">
        <v>50</v>
      </c>
      <c r="H2737" s="35">
        <v>12</v>
      </c>
      <c r="I2737" s="33" t="s">
        <v>51</v>
      </c>
      <c r="J2737" s="42">
        <v>43931</v>
      </c>
      <c r="K2737" s="33" t="s">
        <v>22</v>
      </c>
    </row>
    <row r="2738" spans="1:11">
      <c r="A2738" s="30" t="s">
        <v>6749</v>
      </c>
      <c r="B2738" s="30" t="s">
        <v>6750</v>
      </c>
      <c r="C2738" s="30" t="s">
        <v>109</v>
      </c>
      <c r="D2738" s="30" t="s">
        <v>17</v>
      </c>
      <c r="E2738" s="30" t="s">
        <v>31</v>
      </c>
      <c r="F2738" s="30" t="s">
        <v>32</v>
      </c>
      <c r="G2738" s="30" t="s">
        <v>20</v>
      </c>
      <c r="H2738" s="32">
        <v>40</v>
      </c>
      <c r="I2738" s="30" t="s">
        <v>21</v>
      </c>
      <c r="J2738" s="41">
        <v>44062</v>
      </c>
      <c r="K2738" s="30" t="s">
        <v>22</v>
      </c>
    </row>
    <row r="2739" spans="1:11">
      <c r="A2739" s="33" t="s">
        <v>6751</v>
      </c>
      <c r="B2739" s="33" t="s">
        <v>6752</v>
      </c>
      <c r="C2739" s="33" t="s">
        <v>6753</v>
      </c>
      <c r="D2739" s="33" t="s">
        <v>17</v>
      </c>
      <c r="E2739" s="33" t="s">
        <v>26</v>
      </c>
      <c r="F2739" s="33" t="s">
        <v>27</v>
      </c>
      <c r="G2739" s="33" t="s">
        <v>20</v>
      </c>
      <c r="H2739" s="35">
        <v>38</v>
      </c>
      <c r="I2739" s="33" t="s">
        <v>21</v>
      </c>
      <c r="J2739" s="42">
        <v>44136</v>
      </c>
      <c r="K2739" s="33" t="s">
        <v>22</v>
      </c>
    </row>
    <row r="2740" spans="1:11">
      <c r="A2740" s="30" t="s">
        <v>6754</v>
      </c>
      <c r="B2740" s="30" t="s">
        <v>6755</v>
      </c>
      <c r="C2740" s="30" t="s">
        <v>6756</v>
      </c>
      <c r="D2740" s="30" t="s">
        <v>17</v>
      </c>
      <c r="E2740" s="30" t="s">
        <v>45</v>
      </c>
      <c r="F2740" s="30" t="s">
        <v>46</v>
      </c>
      <c r="G2740" s="30" t="s">
        <v>106</v>
      </c>
      <c r="H2740" s="32">
        <v>238</v>
      </c>
      <c r="I2740" s="30" t="s">
        <v>21</v>
      </c>
      <c r="J2740" s="41">
        <v>44069</v>
      </c>
      <c r="K2740" s="30" t="s">
        <v>22</v>
      </c>
    </row>
    <row r="2741" spans="1:11">
      <c r="A2741" s="33" t="s">
        <v>6757</v>
      </c>
      <c r="B2741" s="33" t="s">
        <v>6758</v>
      </c>
      <c r="C2741" s="33" t="s">
        <v>38</v>
      </c>
      <c r="D2741" s="33" t="s">
        <v>17</v>
      </c>
      <c r="E2741" s="33" t="s">
        <v>26</v>
      </c>
      <c r="F2741" s="33" t="s">
        <v>27</v>
      </c>
      <c r="G2741" s="33" t="s">
        <v>20</v>
      </c>
      <c r="H2741" s="35">
        <v>32</v>
      </c>
      <c r="I2741" s="33" t="s">
        <v>21</v>
      </c>
      <c r="J2741" s="42">
        <v>44004</v>
      </c>
      <c r="K2741" s="33" t="s">
        <v>22</v>
      </c>
    </row>
    <row r="2742" spans="1:11">
      <c r="A2742" s="30" t="s">
        <v>6759</v>
      </c>
      <c r="B2742" s="30" t="s">
        <v>6760</v>
      </c>
      <c r="C2742" s="30" t="s">
        <v>3459</v>
      </c>
      <c r="D2742" s="30" t="s">
        <v>17</v>
      </c>
      <c r="E2742" s="30" t="s">
        <v>26</v>
      </c>
      <c r="F2742" s="30" t="s">
        <v>27</v>
      </c>
      <c r="G2742" s="30" t="s">
        <v>20</v>
      </c>
      <c r="H2742" s="32">
        <v>36</v>
      </c>
      <c r="I2742" s="30" t="s">
        <v>21</v>
      </c>
      <c r="J2742" s="41">
        <v>43900</v>
      </c>
      <c r="K2742" s="30" t="s">
        <v>22</v>
      </c>
    </row>
    <row r="2743" spans="1:11">
      <c r="A2743" s="33" t="s">
        <v>6761</v>
      </c>
      <c r="B2743" s="33" t="s">
        <v>6762</v>
      </c>
      <c r="C2743" s="33" t="s">
        <v>4348</v>
      </c>
      <c r="D2743" s="33" t="s">
        <v>17</v>
      </c>
      <c r="E2743" s="33" t="s">
        <v>26</v>
      </c>
      <c r="F2743" s="33" t="s">
        <v>27</v>
      </c>
      <c r="G2743" s="33" t="s">
        <v>158</v>
      </c>
      <c r="H2743" s="35">
        <v>60</v>
      </c>
      <c r="I2743" s="33" t="s">
        <v>21</v>
      </c>
      <c r="J2743" s="42">
        <v>44145</v>
      </c>
      <c r="K2743" s="33" t="s">
        <v>22</v>
      </c>
    </row>
    <row r="2744" spans="1:11">
      <c r="A2744" s="30" t="s">
        <v>6763</v>
      </c>
      <c r="B2744" s="30" t="s">
        <v>6764</v>
      </c>
      <c r="C2744" s="30" t="s">
        <v>1000</v>
      </c>
      <c r="D2744" s="30" t="s">
        <v>17</v>
      </c>
      <c r="E2744" s="30" t="s">
        <v>26</v>
      </c>
      <c r="F2744" s="30" t="s">
        <v>27</v>
      </c>
      <c r="G2744" s="30" t="s">
        <v>20</v>
      </c>
      <c r="H2744" s="32">
        <v>57</v>
      </c>
      <c r="I2744" s="30" t="s">
        <v>21</v>
      </c>
      <c r="J2744" s="41">
        <v>43893</v>
      </c>
      <c r="K2744" s="30" t="s">
        <v>22</v>
      </c>
    </row>
    <row r="2745" spans="1:11">
      <c r="A2745" s="33" t="s">
        <v>6765</v>
      </c>
      <c r="B2745" s="33" t="s">
        <v>6766</v>
      </c>
      <c r="C2745" s="33" t="s">
        <v>6721</v>
      </c>
      <c r="D2745" s="33" t="s">
        <v>17</v>
      </c>
      <c r="E2745" s="33" t="s">
        <v>18</v>
      </c>
      <c r="F2745" s="33" t="s">
        <v>19</v>
      </c>
      <c r="G2745" s="33" t="s">
        <v>20</v>
      </c>
      <c r="H2745" s="35">
        <v>421</v>
      </c>
      <c r="I2745" s="33" t="s">
        <v>21</v>
      </c>
      <c r="J2745" s="42">
        <v>43845</v>
      </c>
      <c r="K2745" s="33" t="s">
        <v>22</v>
      </c>
    </row>
    <row r="2746" spans="1:11">
      <c r="A2746" s="30" t="s">
        <v>6767</v>
      </c>
      <c r="B2746" s="30" t="s">
        <v>6768</v>
      </c>
      <c r="C2746" s="30" t="s">
        <v>1165</v>
      </c>
      <c r="D2746" s="30" t="s">
        <v>17</v>
      </c>
      <c r="E2746" s="30" t="s">
        <v>31</v>
      </c>
      <c r="F2746" s="30" t="s">
        <v>32</v>
      </c>
      <c r="G2746" s="30" t="s">
        <v>20</v>
      </c>
      <c r="H2746" s="32">
        <v>322</v>
      </c>
      <c r="I2746" s="30" t="s">
        <v>21</v>
      </c>
      <c r="J2746" s="41">
        <v>43936</v>
      </c>
      <c r="K2746" s="30" t="s">
        <v>22</v>
      </c>
    </row>
    <row r="2747" spans="1:11">
      <c r="A2747" s="33" t="s">
        <v>6769</v>
      </c>
      <c r="B2747" s="33" t="s">
        <v>6770</v>
      </c>
      <c r="C2747" s="33" t="s">
        <v>6771</v>
      </c>
      <c r="D2747" s="33" t="s">
        <v>17</v>
      </c>
      <c r="E2747" s="33" t="s">
        <v>26</v>
      </c>
      <c r="F2747" s="33" t="s">
        <v>27</v>
      </c>
      <c r="G2747" s="33" t="s">
        <v>20</v>
      </c>
      <c r="H2747" s="35">
        <v>37</v>
      </c>
      <c r="I2747" s="33" t="s">
        <v>21</v>
      </c>
      <c r="J2747" s="42">
        <v>43997</v>
      </c>
      <c r="K2747" s="33" t="s">
        <v>22</v>
      </c>
    </row>
    <row r="2748" spans="1:11">
      <c r="A2748" s="30" t="s">
        <v>6772</v>
      </c>
      <c r="B2748" s="30" t="s">
        <v>6773</v>
      </c>
      <c r="C2748" s="30" t="s">
        <v>6625</v>
      </c>
      <c r="D2748" s="30" t="s">
        <v>17</v>
      </c>
      <c r="E2748" s="30" t="s">
        <v>26</v>
      </c>
      <c r="F2748" s="30" t="s">
        <v>27</v>
      </c>
      <c r="G2748" s="30" t="s">
        <v>106</v>
      </c>
      <c r="H2748" s="32">
        <v>21</v>
      </c>
      <c r="I2748" s="30" t="s">
        <v>21</v>
      </c>
      <c r="J2748" s="41">
        <v>44071</v>
      </c>
      <c r="K2748" s="30" t="s">
        <v>22</v>
      </c>
    </row>
    <row r="2749" spans="1:11">
      <c r="A2749" s="33" t="s">
        <v>6774</v>
      </c>
      <c r="B2749" s="33" t="s">
        <v>6775</v>
      </c>
      <c r="C2749" s="33" t="s">
        <v>93</v>
      </c>
      <c r="D2749" s="33" t="s">
        <v>17</v>
      </c>
      <c r="E2749" s="33" t="s">
        <v>26</v>
      </c>
      <c r="F2749" s="33" t="s">
        <v>27</v>
      </c>
      <c r="G2749" s="33" t="s">
        <v>20</v>
      </c>
      <c r="H2749" s="35">
        <v>24</v>
      </c>
      <c r="I2749" s="33" t="s">
        <v>21</v>
      </c>
      <c r="J2749" s="42">
        <v>44008</v>
      </c>
      <c r="K2749" s="33" t="s">
        <v>22</v>
      </c>
    </row>
    <row r="2750" spans="1:11">
      <c r="A2750" s="30" t="s">
        <v>6776</v>
      </c>
      <c r="B2750" s="30" t="s">
        <v>6777</v>
      </c>
      <c r="C2750" s="30" t="s">
        <v>3480</v>
      </c>
      <c r="D2750" s="30" t="s">
        <v>17</v>
      </c>
      <c r="E2750" s="30" t="s">
        <v>45</v>
      </c>
      <c r="F2750" s="30" t="s">
        <v>46</v>
      </c>
      <c r="G2750" s="30" t="s">
        <v>20</v>
      </c>
      <c r="H2750" s="32">
        <v>475</v>
      </c>
      <c r="I2750" s="30" t="s">
        <v>21</v>
      </c>
      <c r="J2750" s="41">
        <v>44064</v>
      </c>
      <c r="K2750" s="30" t="s">
        <v>22</v>
      </c>
    </row>
    <row r="2751" spans="1:11">
      <c r="A2751" s="33" t="s">
        <v>6778</v>
      </c>
      <c r="B2751" s="33" t="s">
        <v>6779</v>
      </c>
      <c r="C2751" s="33" t="s">
        <v>549</v>
      </c>
      <c r="D2751" s="33" t="s">
        <v>17</v>
      </c>
      <c r="E2751" s="33" t="s">
        <v>18</v>
      </c>
      <c r="F2751" s="33" t="s">
        <v>19</v>
      </c>
      <c r="G2751" s="33" t="s">
        <v>158</v>
      </c>
      <c r="H2751" s="35">
        <v>508</v>
      </c>
      <c r="I2751" s="33" t="s">
        <v>21</v>
      </c>
      <c r="J2751" s="42">
        <v>43998</v>
      </c>
      <c r="K2751" s="33" t="s">
        <v>22</v>
      </c>
    </row>
    <row r="2752" spans="1:11">
      <c r="A2752" s="30" t="s">
        <v>6780</v>
      </c>
      <c r="B2752" s="30" t="s">
        <v>6781</v>
      </c>
      <c r="C2752" s="30" t="s">
        <v>118</v>
      </c>
      <c r="D2752" s="30" t="s">
        <v>17</v>
      </c>
      <c r="E2752" s="30" t="s">
        <v>26</v>
      </c>
      <c r="F2752" s="30" t="s">
        <v>27</v>
      </c>
      <c r="G2752" s="30" t="s">
        <v>20</v>
      </c>
      <c r="H2752" s="32">
        <v>46</v>
      </c>
      <c r="I2752" s="30" t="s">
        <v>21</v>
      </c>
      <c r="J2752" s="41">
        <v>44151</v>
      </c>
      <c r="K2752" s="30" t="s">
        <v>22</v>
      </c>
    </row>
    <row r="2753" spans="1:11">
      <c r="A2753" s="33" t="s">
        <v>6782</v>
      </c>
      <c r="B2753" s="33" t="s">
        <v>6783</v>
      </c>
      <c r="C2753" s="33" t="s">
        <v>6784</v>
      </c>
      <c r="D2753" s="33" t="s">
        <v>17</v>
      </c>
      <c r="E2753" s="33" t="s">
        <v>26</v>
      </c>
      <c r="F2753" s="33" t="s">
        <v>27</v>
      </c>
      <c r="G2753" s="33" t="s">
        <v>20</v>
      </c>
      <c r="H2753" s="35">
        <v>28</v>
      </c>
      <c r="I2753" s="33" t="s">
        <v>21</v>
      </c>
      <c r="J2753" s="42">
        <v>43980</v>
      </c>
      <c r="K2753" s="33" t="s">
        <v>22</v>
      </c>
    </row>
    <row r="2754" spans="1:11">
      <c r="A2754" s="30" t="s">
        <v>6785</v>
      </c>
      <c r="B2754" s="30" t="s">
        <v>6786</v>
      </c>
      <c r="C2754" s="30" t="s">
        <v>647</v>
      </c>
      <c r="D2754" s="30" t="s">
        <v>17</v>
      </c>
      <c r="E2754" s="30" t="s">
        <v>67</v>
      </c>
      <c r="F2754" s="30" t="s">
        <v>68</v>
      </c>
      <c r="G2754" s="30" t="s">
        <v>20</v>
      </c>
      <c r="H2754" s="32">
        <v>335</v>
      </c>
      <c r="I2754" s="30" t="s">
        <v>21</v>
      </c>
      <c r="J2754" s="41">
        <v>44013</v>
      </c>
      <c r="K2754" s="30" t="s">
        <v>22</v>
      </c>
    </row>
    <row r="2755" spans="1:11">
      <c r="A2755" s="33" t="s">
        <v>6787</v>
      </c>
      <c r="B2755" s="33" t="s">
        <v>6788</v>
      </c>
      <c r="C2755" s="33" t="s">
        <v>231</v>
      </c>
      <c r="D2755" s="33" t="s">
        <v>17</v>
      </c>
      <c r="E2755" s="33" t="s">
        <v>18</v>
      </c>
      <c r="F2755" s="33" t="s">
        <v>19</v>
      </c>
      <c r="G2755" s="33" t="s">
        <v>20</v>
      </c>
      <c r="H2755" s="35">
        <v>530</v>
      </c>
      <c r="I2755" s="33" t="s">
        <v>21</v>
      </c>
      <c r="J2755" s="42">
        <v>43969</v>
      </c>
      <c r="K2755" s="33" t="s">
        <v>22</v>
      </c>
    </row>
    <row r="2756" spans="1:11">
      <c r="A2756" s="30" t="s">
        <v>6789</v>
      </c>
      <c r="B2756" s="30" t="s">
        <v>6790</v>
      </c>
      <c r="C2756" s="30" t="s">
        <v>75</v>
      </c>
      <c r="D2756" s="30" t="s">
        <v>17</v>
      </c>
      <c r="E2756" s="30" t="s">
        <v>26</v>
      </c>
      <c r="F2756" s="30" t="s">
        <v>27</v>
      </c>
      <c r="G2756" s="30" t="s">
        <v>20</v>
      </c>
      <c r="H2756" s="32">
        <v>30</v>
      </c>
      <c r="I2756" s="30" t="s">
        <v>21</v>
      </c>
      <c r="J2756" s="41">
        <v>44085</v>
      </c>
      <c r="K2756" s="30" t="s">
        <v>22</v>
      </c>
    </row>
    <row r="2757" spans="1:11">
      <c r="A2757" s="33" t="s">
        <v>6791</v>
      </c>
      <c r="B2757" s="33" t="s">
        <v>6792</v>
      </c>
      <c r="C2757" s="33" t="s">
        <v>3757</v>
      </c>
      <c r="D2757" s="33" t="s">
        <v>17</v>
      </c>
      <c r="E2757" s="33" t="s">
        <v>26</v>
      </c>
      <c r="F2757" s="33" t="s">
        <v>27</v>
      </c>
      <c r="G2757" s="33" t="s">
        <v>20</v>
      </c>
      <c r="H2757" s="35">
        <v>70</v>
      </c>
      <c r="I2757" s="33" t="s">
        <v>21</v>
      </c>
      <c r="J2757" s="42">
        <v>44011</v>
      </c>
      <c r="K2757" s="33" t="s">
        <v>22</v>
      </c>
    </row>
    <row r="2758" spans="1:11">
      <c r="A2758" s="30" t="s">
        <v>6793</v>
      </c>
      <c r="B2758" s="30" t="s">
        <v>6794</v>
      </c>
      <c r="C2758" s="30" t="s">
        <v>310</v>
      </c>
      <c r="D2758" s="30" t="s">
        <v>17</v>
      </c>
      <c r="E2758" s="30" t="s">
        <v>18</v>
      </c>
      <c r="F2758" s="30" t="s">
        <v>19</v>
      </c>
      <c r="G2758" s="30" t="s">
        <v>20</v>
      </c>
      <c r="H2758" s="32">
        <v>132</v>
      </c>
      <c r="I2758" s="30" t="s">
        <v>21</v>
      </c>
      <c r="J2758" s="41">
        <v>44137</v>
      </c>
      <c r="K2758" s="30" t="s">
        <v>22</v>
      </c>
    </row>
    <row r="2759" spans="1:11">
      <c r="A2759" s="33" t="s">
        <v>6795</v>
      </c>
      <c r="B2759" s="33" t="s">
        <v>6796</v>
      </c>
      <c r="C2759" s="33" t="s">
        <v>102</v>
      </c>
      <c r="D2759" s="33" t="s">
        <v>17</v>
      </c>
      <c r="E2759" s="33" t="s">
        <v>31</v>
      </c>
      <c r="F2759" s="33" t="s">
        <v>32</v>
      </c>
      <c r="G2759" s="33" t="s">
        <v>106</v>
      </c>
      <c r="H2759" s="35">
        <v>33</v>
      </c>
      <c r="I2759" s="33" t="s">
        <v>21</v>
      </c>
      <c r="J2759" s="42">
        <v>44089</v>
      </c>
      <c r="K2759" s="33" t="s">
        <v>22</v>
      </c>
    </row>
    <row r="2760" spans="1:11">
      <c r="A2760" s="30" t="s">
        <v>6797</v>
      </c>
      <c r="B2760" s="30" t="s">
        <v>6798</v>
      </c>
      <c r="C2760" s="30" t="s">
        <v>2117</v>
      </c>
      <c r="D2760" s="30" t="s">
        <v>17</v>
      </c>
      <c r="E2760" s="30" t="s">
        <v>18</v>
      </c>
      <c r="F2760" s="30" t="s">
        <v>19</v>
      </c>
      <c r="G2760" s="30" t="s">
        <v>158</v>
      </c>
      <c r="H2760" s="32">
        <v>17</v>
      </c>
      <c r="I2760" s="30" t="s">
        <v>21</v>
      </c>
      <c r="J2760" s="41">
        <v>44176</v>
      </c>
      <c r="K2760" s="30" t="s">
        <v>22</v>
      </c>
    </row>
    <row r="2761" spans="1:11">
      <c r="A2761" s="33" t="s">
        <v>6799</v>
      </c>
      <c r="B2761" s="33" t="s">
        <v>6800</v>
      </c>
      <c r="C2761" s="33" t="s">
        <v>1380</v>
      </c>
      <c r="D2761" s="33" t="s">
        <v>17</v>
      </c>
      <c r="E2761" s="33" t="s">
        <v>26</v>
      </c>
      <c r="F2761" s="33" t="s">
        <v>27</v>
      </c>
      <c r="G2761" s="33" t="s">
        <v>20</v>
      </c>
      <c r="H2761" s="35">
        <v>32</v>
      </c>
      <c r="I2761" s="33" t="s">
        <v>21</v>
      </c>
      <c r="J2761" s="42">
        <v>44015</v>
      </c>
      <c r="K2761" s="33" t="s">
        <v>22</v>
      </c>
    </row>
    <row r="2762" spans="1:11">
      <c r="A2762" s="30" t="s">
        <v>6801</v>
      </c>
      <c r="B2762" s="30" t="s">
        <v>6802</v>
      </c>
      <c r="C2762" s="30" t="s">
        <v>6803</v>
      </c>
      <c r="D2762" s="30" t="s">
        <v>17</v>
      </c>
      <c r="E2762" s="30" t="s">
        <v>67</v>
      </c>
      <c r="F2762" s="30" t="s">
        <v>68</v>
      </c>
      <c r="G2762" s="30" t="s">
        <v>158</v>
      </c>
      <c r="H2762" s="32">
        <v>11</v>
      </c>
      <c r="I2762" s="30" t="s">
        <v>21</v>
      </c>
      <c r="J2762" s="41">
        <v>44131</v>
      </c>
      <c r="K2762" s="30" t="s">
        <v>22</v>
      </c>
    </row>
    <row r="2763" spans="1:11">
      <c r="A2763" s="33" t="s">
        <v>6804</v>
      </c>
      <c r="B2763" s="33" t="s">
        <v>6805</v>
      </c>
      <c r="C2763" s="33" t="s">
        <v>1228</v>
      </c>
      <c r="D2763" s="33" t="s">
        <v>17</v>
      </c>
      <c r="E2763" s="33" t="s">
        <v>18</v>
      </c>
      <c r="F2763" s="33" t="s">
        <v>19</v>
      </c>
      <c r="G2763" s="33" t="s">
        <v>20</v>
      </c>
      <c r="H2763" s="35">
        <v>400</v>
      </c>
      <c r="I2763" s="33" t="s">
        <v>21</v>
      </c>
      <c r="J2763" s="42">
        <v>44011</v>
      </c>
      <c r="K2763" s="33" t="s">
        <v>22</v>
      </c>
    </row>
    <row r="2764" spans="1:11">
      <c r="A2764" s="30" t="s">
        <v>6806</v>
      </c>
      <c r="B2764" s="30" t="s">
        <v>6807</v>
      </c>
      <c r="C2764" s="30" t="s">
        <v>6808</v>
      </c>
      <c r="D2764" s="30" t="s">
        <v>17</v>
      </c>
      <c r="E2764" s="30" t="s">
        <v>31</v>
      </c>
      <c r="F2764" s="30" t="s">
        <v>32</v>
      </c>
      <c r="G2764" s="30" t="s">
        <v>20</v>
      </c>
      <c r="H2764" s="32">
        <v>29</v>
      </c>
      <c r="I2764" s="30" t="s">
        <v>21</v>
      </c>
      <c r="J2764" s="41">
        <v>44103</v>
      </c>
      <c r="K2764" s="30" t="s">
        <v>22</v>
      </c>
    </row>
    <row r="2765" spans="1:11">
      <c r="A2765" s="33" t="s">
        <v>6809</v>
      </c>
      <c r="B2765" s="33" t="s">
        <v>6810</v>
      </c>
      <c r="C2765" s="33" t="s">
        <v>6811</v>
      </c>
      <c r="D2765" s="33" t="s">
        <v>17</v>
      </c>
      <c r="E2765" s="33" t="s">
        <v>31</v>
      </c>
      <c r="F2765" s="33" t="s">
        <v>32</v>
      </c>
      <c r="G2765" s="33" t="s">
        <v>20</v>
      </c>
      <c r="H2765" s="35">
        <v>19</v>
      </c>
      <c r="I2765" s="33" t="s">
        <v>21</v>
      </c>
      <c r="J2765" s="42">
        <v>44117</v>
      </c>
      <c r="K2765" s="33" t="s">
        <v>22</v>
      </c>
    </row>
    <row r="2766" spans="1:11">
      <c r="A2766" s="30" t="s">
        <v>6812</v>
      </c>
      <c r="B2766" s="30" t="s">
        <v>6813</v>
      </c>
      <c r="C2766" s="30" t="s">
        <v>6814</v>
      </c>
      <c r="D2766" s="30" t="s">
        <v>17</v>
      </c>
      <c r="E2766" s="30" t="s">
        <v>31</v>
      </c>
      <c r="F2766" s="30" t="s">
        <v>32</v>
      </c>
      <c r="G2766" s="30" t="s">
        <v>20</v>
      </c>
      <c r="H2766" s="32">
        <v>33</v>
      </c>
      <c r="I2766" s="30" t="s">
        <v>21</v>
      </c>
      <c r="J2766" s="41">
        <v>44154</v>
      </c>
      <c r="K2766" s="30" t="s">
        <v>22</v>
      </c>
    </row>
    <row r="2767" spans="1:11">
      <c r="A2767" s="33" t="s">
        <v>6815</v>
      </c>
      <c r="B2767" s="33" t="s">
        <v>6816</v>
      </c>
      <c r="C2767" s="33" t="s">
        <v>318</v>
      </c>
      <c r="D2767" s="33" t="s">
        <v>17</v>
      </c>
      <c r="E2767" s="33" t="s">
        <v>18</v>
      </c>
      <c r="F2767" s="33" t="s">
        <v>19</v>
      </c>
      <c r="G2767" s="33" t="s">
        <v>20</v>
      </c>
      <c r="H2767" s="35">
        <v>515</v>
      </c>
      <c r="I2767" s="33" t="s">
        <v>21</v>
      </c>
      <c r="J2767" s="42">
        <v>44159</v>
      </c>
      <c r="K2767" s="33" t="s">
        <v>22</v>
      </c>
    </row>
    <row r="2768" spans="1:11">
      <c r="A2768" s="30" t="s">
        <v>6817</v>
      </c>
      <c r="B2768" s="30" t="s">
        <v>6818</v>
      </c>
      <c r="C2768" s="30" t="s">
        <v>93</v>
      </c>
      <c r="D2768" s="30" t="s">
        <v>17</v>
      </c>
      <c r="E2768" s="30" t="s">
        <v>212</v>
      </c>
      <c r="F2768" s="30" t="s">
        <v>213</v>
      </c>
      <c r="G2768" s="30" t="s">
        <v>20</v>
      </c>
      <c r="H2768" s="32">
        <v>246</v>
      </c>
      <c r="I2768" s="30" t="s">
        <v>21</v>
      </c>
      <c r="J2768" s="41">
        <v>43963</v>
      </c>
      <c r="K2768" s="30" t="s">
        <v>22</v>
      </c>
    </row>
    <row r="2769" spans="1:11">
      <c r="A2769" s="33" t="s">
        <v>6819</v>
      </c>
      <c r="B2769" s="33" t="s">
        <v>6820</v>
      </c>
      <c r="C2769" s="33" t="s">
        <v>6386</v>
      </c>
      <c r="D2769" s="33" t="s">
        <v>17</v>
      </c>
      <c r="E2769" s="33" t="s">
        <v>67</v>
      </c>
      <c r="F2769" s="33" t="s">
        <v>68</v>
      </c>
      <c r="G2769" s="33" t="s">
        <v>50</v>
      </c>
      <c r="H2769" s="35">
        <v>35</v>
      </c>
      <c r="I2769" s="33" t="s">
        <v>51</v>
      </c>
      <c r="J2769" s="42">
        <v>43965</v>
      </c>
      <c r="K2769" s="33" t="s">
        <v>22</v>
      </c>
    </row>
    <row r="2770" spans="1:11">
      <c r="A2770" s="30" t="s">
        <v>6821</v>
      </c>
      <c r="B2770" s="30" t="s">
        <v>6822</v>
      </c>
      <c r="C2770" s="30" t="s">
        <v>6610</v>
      </c>
      <c r="D2770" s="30" t="s">
        <v>17</v>
      </c>
      <c r="E2770" s="30" t="s">
        <v>31</v>
      </c>
      <c r="F2770" s="30" t="s">
        <v>32</v>
      </c>
      <c r="G2770" s="30" t="s">
        <v>50</v>
      </c>
      <c r="H2770" s="32">
        <v>64</v>
      </c>
      <c r="I2770" s="30" t="s">
        <v>51</v>
      </c>
      <c r="J2770" s="41">
        <v>44082</v>
      </c>
      <c r="K2770" s="30" t="s">
        <v>22</v>
      </c>
    </row>
    <row r="2771" spans="1:11">
      <c r="A2771" s="33" t="s">
        <v>6823</v>
      </c>
      <c r="B2771" s="33" t="s">
        <v>6824</v>
      </c>
      <c r="C2771" s="33" t="s">
        <v>733</v>
      </c>
      <c r="D2771" s="33" t="s">
        <v>17</v>
      </c>
      <c r="E2771" s="33" t="s">
        <v>212</v>
      </c>
      <c r="F2771" s="33" t="s">
        <v>213</v>
      </c>
      <c r="G2771" s="33" t="s">
        <v>20</v>
      </c>
      <c r="H2771" s="35">
        <v>333</v>
      </c>
      <c r="I2771" s="33" t="s">
        <v>21</v>
      </c>
      <c r="J2771" s="42">
        <v>44130</v>
      </c>
      <c r="K2771" s="33" t="s">
        <v>22</v>
      </c>
    </row>
    <row r="2772" spans="1:11">
      <c r="A2772" s="30" t="s">
        <v>6825</v>
      </c>
      <c r="B2772" s="30" t="s">
        <v>6826</v>
      </c>
      <c r="C2772" s="30" t="s">
        <v>6827</v>
      </c>
      <c r="D2772" s="30" t="s">
        <v>17</v>
      </c>
      <c r="E2772" s="30" t="s">
        <v>26</v>
      </c>
      <c r="F2772" s="30" t="s">
        <v>27</v>
      </c>
      <c r="G2772" s="30" t="s">
        <v>20</v>
      </c>
      <c r="H2772" s="32">
        <v>44</v>
      </c>
      <c r="I2772" s="30" t="s">
        <v>21</v>
      </c>
      <c r="J2772" s="41">
        <v>43837</v>
      </c>
      <c r="K2772" s="30" t="s">
        <v>22</v>
      </c>
    </row>
    <row r="2773" spans="1:11">
      <c r="A2773" s="33" t="s">
        <v>6828</v>
      </c>
      <c r="B2773" s="33" t="s">
        <v>6829</v>
      </c>
      <c r="C2773" s="33" t="s">
        <v>6830</v>
      </c>
      <c r="D2773" s="33" t="s">
        <v>17</v>
      </c>
      <c r="E2773" s="33" t="s">
        <v>212</v>
      </c>
      <c r="F2773" s="33" t="s">
        <v>213</v>
      </c>
      <c r="G2773" s="33" t="s">
        <v>20</v>
      </c>
      <c r="H2773" s="35">
        <v>167</v>
      </c>
      <c r="I2773" s="33" t="s">
        <v>21</v>
      </c>
      <c r="J2773" s="42">
        <v>44147</v>
      </c>
      <c r="K2773" s="33" t="s">
        <v>22</v>
      </c>
    </row>
    <row r="2774" spans="1:11">
      <c r="A2774" s="30" t="s">
        <v>6831</v>
      </c>
      <c r="B2774" s="30" t="s">
        <v>6832</v>
      </c>
      <c r="C2774" s="30" t="s">
        <v>6833</v>
      </c>
      <c r="D2774" s="30" t="s">
        <v>17</v>
      </c>
      <c r="E2774" s="30" t="s">
        <v>18</v>
      </c>
      <c r="F2774" s="30" t="s">
        <v>19</v>
      </c>
      <c r="G2774" s="30" t="s">
        <v>140</v>
      </c>
      <c r="H2774" s="32">
        <v>150</v>
      </c>
      <c r="I2774" s="30" t="s">
        <v>51</v>
      </c>
      <c r="J2774" s="41">
        <v>44089</v>
      </c>
      <c r="K2774" s="30" t="s">
        <v>22</v>
      </c>
    </row>
    <row r="2775" spans="1:11">
      <c r="A2775" s="33" t="s">
        <v>6834</v>
      </c>
      <c r="B2775" s="33" t="s">
        <v>6835</v>
      </c>
      <c r="C2775" s="33" t="s">
        <v>3986</v>
      </c>
      <c r="D2775" s="33" t="s">
        <v>17</v>
      </c>
      <c r="E2775" s="33" t="s">
        <v>26</v>
      </c>
      <c r="F2775" s="33" t="s">
        <v>27</v>
      </c>
      <c r="G2775" s="33" t="s">
        <v>20</v>
      </c>
      <c r="H2775" s="35">
        <v>8</v>
      </c>
      <c r="I2775" s="33" t="s">
        <v>21</v>
      </c>
      <c r="J2775" s="42">
        <v>43980</v>
      </c>
      <c r="K2775" s="33" t="s">
        <v>22</v>
      </c>
    </row>
    <row r="2776" spans="1:11">
      <c r="A2776" s="30" t="s">
        <v>6836</v>
      </c>
      <c r="B2776" s="30" t="s">
        <v>6837</v>
      </c>
      <c r="C2776" s="30" t="s">
        <v>44</v>
      </c>
      <c r="D2776" s="30" t="s">
        <v>17</v>
      </c>
      <c r="E2776" s="30" t="s">
        <v>26</v>
      </c>
      <c r="F2776" s="30" t="s">
        <v>27</v>
      </c>
      <c r="G2776" s="30" t="s">
        <v>106</v>
      </c>
      <c r="H2776" s="32">
        <v>19</v>
      </c>
      <c r="I2776" s="30" t="s">
        <v>21</v>
      </c>
      <c r="J2776" s="41">
        <v>44153</v>
      </c>
      <c r="K2776" s="30" t="s">
        <v>22</v>
      </c>
    </row>
    <row r="2777" spans="1:11">
      <c r="A2777" s="33" t="s">
        <v>6838</v>
      </c>
      <c r="B2777" s="33" t="s">
        <v>6839</v>
      </c>
      <c r="C2777" s="33" t="s">
        <v>109</v>
      </c>
      <c r="D2777" s="33" t="s">
        <v>17</v>
      </c>
      <c r="E2777" s="33" t="s">
        <v>26</v>
      </c>
      <c r="F2777" s="33" t="s">
        <v>27</v>
      </c>
      <c r="G2777" s="33" t="s">
        <v>112</v>
      </c>
      <c r="H2777" s="35">
        <v>0</v>
      </c>
      <c r="I2777" s="33" t="s">
        <v>21</v>
      </c>
      <c r="J2777" s="42">
        <v>44165</v>
      </c>
      <c r="K2777" s="33" t="s">
        <v>22</v>
      </c>
    </row>
    <row r="2778" spans="1:11">
      <c r="A2778" s="30" t="s">
        <v>6840</v>
      </c>
      <c r="B2778" s="30" t="s">
        <v>6841</v>
      </c>
      <c r="C2778" s="30" t="s">
        <v>549</v>
      </c>
      <c r="D2778" s="30" t="s">
        <v>17</v>
      </c>
      <c r="E2778" s="30" t="s">
        <v>18</v>
      </c>
      <c r="F2778" s="30" t="s">
        <v>19</v>
      </c>
      <c r="G2778" s="30" t="s">
        <v>20</v>
      </c>
      <c r="H2778" s="32">
        <v>48</v>
      </c>
      <c r="I2778" s="30" t="s">
        <v>21</v>
      </c>
      <c r="J2778" s="41">
        <v>44193</v>
      </c>
      <c r="K2778" s="30" t="s">
        <v>22</v>
      </c>
    </row>
    <row r="2779" spans="1:11">
      <c r="A2779" s="33" t="s">
        <v>6842</v>
      </c>
      <c r="B2779" s="33" t="s">
        <v>6843</v>
      </c>
      <c r="C2779" s="33" t="s">
        <v>6844</v>
      </c>
      <c r="D2779" s="33" t="s">
        <v>17</v>
      </c>
      <c r="E2779" s="33" t="s">
        <v>31</v>
      </c>
      <c r="F2779" s="33" t="s">
        <v>32</v>
      </c>
      <c r="G2779" s="33" t="s">
        <v>20</v>
      </c>
      <c r="H2779" s="35">
        <v>73</v>
      </c>
      <c r="I2779" s="33" t="s">
        <v>21</v>
      </c>
      <c r="J2779" s="42">
        <v>44082</v>
      </c>
      <c r="K2779" s="33" t="s">
        <v>22</v>
      </c>
    </row>
    <row r="2780" spans="1:11">
      <c r="A2780" s="30" t="s">
        <v>6845</v>
      </c>
      <c r="B2780" s="30" t="s">
        <v>6846</v>
      </c>
      <c r="C2780" s="30" t="s">
        <v>6847</v>
      </c>
      <c r="D2780" s="30" t="s">
        <v>17</v>
      </c>
      <c r="E2780" s="30" t="s">
        <v>26</v>
      </c>
      <c r="F2780" s="30" t="s">
        <v>27</v>
      </c>
      <c r="G2780" s="30" t="s">
        <v>20</v>
      </c>
      <c r="H2780" s="32">
        <v>16</v>
      </c>
      <c r="I2780" s="30" t="s">
        <v>21</v>
      </c>
      <c r="J2780" s="41">
        <v>44032</v>
      </c>
      <c r="K2780" s="30" t="s">
        <v>22</v>
      </c>
    </row>
    <row r="2781" spans="1:11">
      <c r="A2781" s="33" t="s">
        <v>6848</v>
      </c>
      <c r="B2781" s="33" t="s">
        <v>6849</v>
      </c>
      <c r="C2781" s="33" t="s">
        <v>1813</v>
      </c>
      <c r="D2781" s="33" t="s">
        <v>17</v>
      </c>
      <c r="E2781" s="33" t="s">
        <v>45</v>
      </c>
      <c r="F2781" s="33" t="s">
        <v>46</v>
      </c>
      <c r="G2781" s="33" t="s">
        <v>112</v>
      </c>
      <c r="H2781" s="35">
        <v>0</v>
      </c>
      <c r="I2781" s="33" t="s">
        <v>21</v>
      </c>
      <c r="J2781" s="42">
        <v>44013</v>
      </c>
      <c r="K2781" s="33" t="s">
        <v>22</v>
      </c>
    </row>
    <row r="2782" spans="1:11">
      <c r="A2782" s="30" t="s">
        <v>6850</v>
      </c>
      <c r="B2782" s="30" t="s">
        <v>6851</v>
      </c>
      <c r="C2782" s="30" t="s">
        <v>190</v>
      </c>
      <c r="D2782" s="30" t="s">
        <v>17</v>
      </c>
      <c r="E2782" s="30" t="s">
        <v>18</v>
      </c>
      <c r="F2782" s="30" t="s">
        <v>19</v>
      </c>
      <c r="G2782" s="30" t="s">
        <v>158</v>
      </c>
      <c r="H2782" s="32">
        <v>134</v>
      </c>
      <c r="I2782" s="30" t="s">
        <v>21</v>
      </c>
      <c r="J2782" s="41">
        <v>44032</v>
      </c>
      <c r="K2782" s="30" t="s">
        <v>22</v>
      </c>
    </row>
    <row r="2783" spans="1:11">
      <c r="A2783" s="33" t="s">
        <v>6852</v>
      </c>
      <c r="B2783" s="33" t="s">
        <v>6853</v>
      </c>
      <c r="C2783" s="33" t="s">
        <v>3927</v>
      </c>
      <c r="D2783" s="33" t="s">
        <v>17</v>
      </c>
      <c r="E2783" s="33" t="s">
        <v>31</v>
      </c>
      <c r="F2783" s="33" t="s">
        <v>32</v>
      </c>
      <c r="G2783" s="33" t="s">
        <v>106</v>
      </c>
      <c r="H2783" s="35">
        <v>23</v>
      </c>
      <c r="I2783" s="33" t="s">
        <v>21</v>
      </c>
      <c r="J2783" s="42">
        <v>44123</v>
      </c>
      <c r="K2783" s="33" t="s">
        <v>22</v>
      </c>
    </row>
    <row r="2784" spans="1:11">
      <c r="A2784" s="30" t="s">
        <v>6854</v>
      </c>
      <c r="B2784" s="30" t="s">
        <v>6855</v>
      </c>
      <c r="C2784" s="30" t="s">
        <v>684</v>
      </c>
      <c r="D2784" s="30" t="s">
        <v>17</v>
      </c>
      <c r="E2784" s="30" t="s">
        <v>26</v>
      </c>
      <c r="F2784" s="30" t="s">
        <v>27</v>
      </c>
      <c r="G2784" s="30" t="s">
        <v>20</v>
      </c>
      <c r="H2784" s="32">
        <v>13</v>
      </c>
      <c r="I2784" s="30" t="s">
        <v>21</v>
      </c>
      <c r="J2784" s="41">
        <v>43978</v>
      </c>
      <c r="K2784" s="30" t="s">
        <v>22</v>
      </c>
    </row>
    <row r="2785" spans="1:11">
      <c r="A2785" s="33" t="s">
        <v>6856</v>
      </c>
      <c r="B2785" s="33" t="s">
        <v>6857</v>
      </c>
      <c r="C2785" s="33" t="s">
        <v>6858</v>
      </c>
      <c r="D2785" s="33" t="s">
        <v>17</v>
      </c>
      <c r="E2785" s="33" t="s">
        <v>18</v>
      </c>
      <c r="F2785" s="33" t="s">
        <v>19</v>
      </c>
      <c r="G2785" s="33" t="s">
        <v>20</v>
      </c>
      <c r="H2785" s="35">
        <v>309</v>
      </c>
      <c r="I2785" s="33" t="s">
        <v>21</v>
      </c>
      <c r="J2785" s="42">
        <v>44122</v>
      </c>
      <c r="K2785" s="33" t="s">
        <v>22</v>
      </c>
    </row>
    <row r="2786" spans="1:11">
      <c r="A2786" s="30" t="s">
        <v>6859</v>
      </c>
      <c r="B2786" s="30" t="s">
        <v>6860</v>
      </c>
      <c r="C2786" s="30" t="s">
        <v>4348</v>
      </c>
      <c r="D2786" s="30" t="s">
        <v>17</v>
      </c>
      <c r="E2786" s="30" t="s">
        <v>26</v>
      </c>
      <c r="F2786" s="30" t="s">
        <v>27</v>
      </c>
      <c r="G2786" s="30" t="s">
        <v>158</v>
      </c>
      <c r="H2786" s="32">
        <v>47</v>
      </c>
      <c r="I2786" s="30" t="s">
        <v>21</v>
      </c>
      <c r="J2786" s="41">
        <v>44139</v>
      </c>
      <c r="K2786" s="30" t="s">
        <v>22</v>
      </c>
    </row>
    <row r="2787" spans="1:11">
      <c r="A2787" s="33" t="s">
        <v>6861</v>
      </c>
      <c r="B2787" s="33" t="s">
        <v>6862</v>
      </c>
      <c r="C2787" s="33" t="s">
        <v>756</v>
      </c>
      <c r="D2787" s="33" t="s">
        <v>17</v>
      </c>
      <c r="E2787" s="33" t="s">
        <v>330</v>
      </c>
      <c r="F2787" s="33" t="s">
        <v>331</v>
      </c>
      <c r="G2787" s="33" t="s">
        <v>20</v>
      </c>
      <c r="H2787" s="35">
        <v>20</v>
      </c>
      <c r="I2787" s="33" t="s">
        <v>21</v>
      </c>
      <c r="J2787" s="42">
        <v>44071</v>
      </c>
      <c r="K2787" s="33" t="s">
        <v>22</v>
      </c>
    </row>
    <row r="2788" spans="1:11">
      <c r="A2788" s="30" t="s">
        <v>6863</v>
      </c>
      <c r="B2788" s="30" t="s">
        <v>6864</v>
      </c>
      <c r="C2788" s="30" t="s">
        <v>178</v>
      </c>
      <c r="D2788" s="30" t="s">
        <v>17</v>
      </c>
      <c r="E2788" s="30" t="s">
        <v>18</v>
      </c>
      <c r="F2788" s="30" t="s">
        <v>19</v>
      </c>
      <c r="G2788" s="30" t="s">
        <v>20</v>
      </c>
      <c r="H2788" s="32">
        <v>452</v>
      </c>
      <c r="I2788" s="30" t="s">
        <v>21</v>
      </c>
      <c r="J2788" s="41">
        <v>43924</v>
      </c>
      <c r="K2788" s="30" t="s">
        <v>22</v>
      </c>
    </row>
    <row r="2789" spans="1:11">
      <c r="A2789" s="33" t="s">
        <v>6865</v>
      </c>
      <c r="B2789" s="33" t="s">
        <v>6866</v>
      </c>
      <c r="C2789" s="33" t="s">
        <v>2449</v>
      </c>
      <c r="D2789" s="33" t="s">
        <v>17</v>
      </c>
      <c r="E2789" s="33" t="s">
        <v>18</v>
      </c>
      <c r="F2789" s="33" t="s">
        <v>19</v>
      </c>
      <c r="G2789" s="33" t="s">
        <v>20</v>
      </c>
      <c r="H2789" s="35">
        <v>106</v>
      </c>
      <c r="I2789" s="33" t="s">
        <v>21</v>
      </c>
      <c r="J2789" s="42">
        <v>44155</v>
      </c>
      <c r="K2789" s="33" t="s">
        <v>22</v>
      </c>
    </row>
    <row r="2790" spans="1:11">
      <c r="A2790" s="30" t="s">
        <v>6867</v>
      </c>
      <c r="B2790" s="30" t="s">
        <v>6868</v>
      </c>
      <c r="C2790" s="30" t="s">
        <v>1583</v>
      </c>
      <c r="D2790" s="30" t="s">
        <v>17</v>
      </c>
      <c r="E2790" s="30" t="s">
        <v>31</v>
      </c>
      <c r="F2790" s="30" t="s">
        <v>32</v>
      </c>
      <c r="G2790" s="30" t="s">
        <v>20</v>
      </c>
      <c r="H2790" s="32">
        <v>70</v>
      </c>
      <c r="I2790" s="30" t="s">
        <v>21</v>
      </c>
      <c r="J2790" s="41">
        <v>44166</v>
      </c>
      <c r="K2790" s="30" t="s">
        <v>22</v>
      </c>
    </row>
    <row r="2791" spans="1:11">
      <c r="A2791" s="33" t="s">
        <v>6869</v>
      </c>
      <c r="B2791" s="33" t="s">
        <v>6870</v>
      </c>
      <c r="C2791" s="33" t="s">
        <v>957</v>
      </c>
      <c r="D2791" s="33" t="s">
        <v>17</v>
      </c>
      <c r="E2791" s="33" t="s">
        <v>26</v>
      </c>
      <c r="F2791" s="33" t="s">
        <v>27</v>
      </c>
      <c r="G2791" s="33" t="s">
        <v>20</v>
      </c>
      <c r="H2791" s="35">
        <v>30</v>
      </c>
      <c r="I2791" s="33" t="s">
        <v>21</v>
      </c>
      <c r="J2791" s="42">
        <v>43836</v>
      </c>
      <c r="K2791" s="33" t="s">
        <v>22</v>
      </c>
    </row>
    <row r="2792" spans="1:11">
      <c r="A2792" s="30" t="s">
        <v>6871</v>
      </c>
      <c r="B2792" s="30" t="s">
        <v>6872</v>
      </c>
      <c r="C2792" s="30" t="s">
        <v>136</v>
      </c>
      <c r="D2792" s="30" t="s">
        <v>17</v>
      </c>
      <c r="E2792" s="30" t="s">
        <v>31</v>
      </c>
      <c r="F2792" s="30" t="s">
        <v>32</v>
      </c>
      <c r="G2792" s="30" t="s">
        <v>20</v>
      </c>
      <c r="H2792" s="32">
        <v>31</v>
      </c>
      <c r="I2792" s="30" t="s">
        <v>21</v>
      </c>
      <c r="J2792" s="41">
        <v>44134</v>
      </c>
      <c r="K2792" s="30" t="s">
        <v>22</v>
      </c>
    </row>
    <row r="2793" spans="1:11">
      <c r="A2793" s="33" t="s">
        <v>6873</v>
      </c>
      <c r="B2793" s="33" t="s">
        <v>6874</v>
      </c>
      <c r="C2793" s="33" t="s">
        <v>96</v>
      </c>
      <c r="D2793" s="33" t="s">
        <v>17</v>
      </c>
      <c r="E2793" s="33" t="s">
        <v>18</v>
      </c>
      <c r="F2793" s="33" t="s">
        <v>19</v>
      </c>
      <c r="G2793" s="33" t="s">
        <v>106</v>
      </c>
      <c r="H2793" s="35">
        <v>236</v>
      </c>
      <c r="I2793" s="33" t="s">
        <v>21</v>
      </c>
      <c r="J2793" s="42">
        <v>44146</v>
      </c>
      <c r="K2793" s="33" t="s">
        <v>22</v>
      </c>
    </row>
    <row r="2794" spans="1:11">
      <c r="A2794" s="30" t="s">
        <v>6875</v>
      </c>
      <c r="B2794" s="30" t="s">
        <v>6876</v>
      </c>
      <c r="C2794" s="30" t="s">
        <v>6877</v>
      </c>
      <c r="D2794" s="30" t="s">
        <v>17</v>
      </c>
      <c r="E2794" s="30" t="s">
        <v>67</v>
      </c>
      <c r="F2794" s="30" t="s">
        <v>68</v>
      </c>
      <c r="G2794" s="30" t="s">
        <v>112</v>
      </c>
      <c r="H2794" s="32">
        <v>0</v>
      </c>
      <c r="I2794" s="30" t="s">
        <v>21</v>
      </c>
      <c r="J2794" s="41">
        <v>44033</v>
      </c>
      <c r="K2794" s="30" t="s">
        <v>22</v>
      </c>
    </row>
    <row r="2795" spans="1:11">
      <c r="A2795" s="33" t="s">
        <v>6878</v>
      </c>
      <c r="B2795" s="33" t="s">
        <v>6879</v>
      </c>
      <c r="C2795" s="33" t="s">
        <v>78</v>
      </c>
      <c r="D2795" s="33" t="s">
        <v>17</v>
      </c>
      <c r="E2795" s="33" t="s">
        <v>26</v>
      </c>
      <c r="F2795" s="33" t="s">
        <v>27</v>
      </c>
      <c r="G2795" s="33" t="s">
        <v>50</v>
      </c>
      <c r="H2795" s="35">
        <v>26</v>
      </c>
      <c r="I2795" s="33" t="s">
        <v>51</v>
      </c>
      <c r="J2795" s="42">
        <v>43859</v>
      </c>
      <c r="K2795" s="33" t="s">
        <v>22</v>
      </c>
    </row>
    <row r="2796" spans="1:11">
      <c r="A2796" s="30" t="s">
        <v>6880</v>
      </c>
      <c r="B2796" s="30" t="s">
        <v>6881</v>
      </c>
      <c r="C2796" s="30" t="s">
        <v>517</v>
      </c>
      <c r="D2796" s="30" t="s">
        <v>17</v>
      </c>
      <c r="E2796" s="30" t="s">
        <v>26</v>
      </c>
      <c r="F2796" s="30" t="s">
        <v>27</v>
      </c>
      <c r="G2796" s="30" t="s">
        <v>20</v>
      </c>
      <c r="H2796" s="32">
        <v>24</v>
      </c>
      <c r="I2796" s="30" t="s">
        <v>21</v>
      </c>
      <c r="J2796" s="41">
        <v>43833</v>
      </c>
      <c r="K2796" s="30" t="s">
        <v>22</v>
      </c>
    </row>
    <row r="2797" spans="1:11">
      <c r="A2797" s="33" t="s">
        <v>6882</v>
      </c>
      <c r="B2797" s="33" t="s">
        <v>6883</v>
      </c>
      <c r="C2797" s="33" t="s">
        <v>178</v>
      </c>
      <c r="D2797" s="33" t="s">
        <v>17</v>
      </c>
      <c r="E2797" s="33" t="s">
        <v>26</v>
      </c>
      <c r="F2797" s="33" t="s">
        <v>27</v>
      </c>
      <c r="G2797" s="33" t="s">
        <v>106</v>
      </c>
      <c r="H2797" s="35">
        <v>6</v>
      </c>
      <c r="I2797" s="33" t="s">
        <v>21</v>
      </c>
      <c r="J2797" s="42">
        <v>44021</v>
      </c>
      <c r="K2797" s="33" t="s">
        <v>22</v>
      </c>
    </row>
    <row r="2798" spans="1:11">
      <c r="A2798" s="30" t="s">
        <v>6884</v>
      </c>
      <c r="B2798" s="30" t="s">
        <v>6885</v>
      </c>
      <c r="C2798" s="30" t="s">
        <v>1498</v>
      </c>
      <c r="D2798" s="30" t="s">
        <v>17</v>
      </c>
      <c r="E2798" s="30" t="s">
        <v>26</v>
      </c>
      <c r="F2798" s="30" t="s">
        <v>27</v>
      </c>
      <c r="G2798" s="30" t="s">
        <v>106</v>
      </c>
      <c r="H2798" s="32">
        <v>23</v>
      </c>
      <c r="I2798" s="30" t="s">
        <v>21</v>
      </c>
      <c r="J2798" s="41">
        <v>44127</v>
      </c>
      <c r="K2798" s="30" t="s">
        <v>22</v>
      </c>
    </row>
    <row r="2799" spans="1:11">
      <c r="A2799" s="33" t="s">
        <v>6886</v>
      </c>
      <c r="B2799" s="33" t="s">
        <v>6887</v>
      </c>
      <c r="C2799" s="33" t="s">
        <v>5251</v>
      </c>
      <c r="D2799" s="33" t="s">
        <v>17</v>
      </c>
      <c r="E2799" s="33" t="s">
        <v>26</v>
      </c>
      <c r="F2799" s="33" t="s">
        <v>27</v>
      </c>
      <c r="G2799" s="33" t="s">
        <v>50</v>
      </c>
      <c r="H2799" s="35">
        <v>52</v>
      </c>
      <c r="I2799" s="33" t="s">
        <v>51</v>
      </c>
      <c r="J2799" s="42">
        <v>43994</v>
      </c>
      <c r="K2799" s="33" t="s">
        <v>22</v>
      </c>
    </row>
    <row r="2800" spans="1:11">
      <c r="A2800" s="30" t="s">
        <v>6888</v>
      </c>
      <c r="B2800" s="30" t="s">
        <v>6889</v>
      </c>
      <c r="C2800" s="30" t="s">
        <v>118</v>
      </c>
      <c r="D2800" s="30" t="s">
        <v>17</v>
      </c>
      <c r="E2800" s="30" t="s">
        <v>212</v>
      </c>
      <c r="F2800" s="30" t="s">
        <v>213</v>
      </c>
      <c r="G2800" s="30" t="s">
        <v>20</v>
      </c>
      <c r="H2800" s="32">
        <v>221</v>
      </c>
      <c r="I2800" s="30" t="s">
        <v>21</v>
      </c>
      <c r="J2800" s="41">
        <v>43902</v>
      </c>
      <c r="K2800" s="30" t="s">
        <v>22</v>
      </c>
    </row>
    <row r="2801" spans="1:11">
      <c r="A2801" s="33" t="s">
        <v>6890</v>
      </c>
      <c r="B2801" s="33" t="s">
        <v>6891</v>
      </c>
      <c r="C2801" s="33" t="s">
        <v>6892</v>
      </c>
      <c r="D2801" s="33" t="s">
        <v>17</v>
      </c>
      <c r="E2801" s="33" t="s">
        <v>31</v>
      </c>
      <c r="F2801" s="33" t="s">
        <v>32</v>
      </c>
      <c r="G2801" s="33" t="s">
        <v>106</v>
      </c>
      <c r="H2801" s="35">
        <v>17</v>
      </c>
      <c r="I2801" s="33" t="s">
        <v>21</v>
      </c>
      <c r="J2801" s="42">
        <v>43838</v>
      </c>
      <c r="K2801" s="33" t="s">
        <v>22</v>
      </c>
    </row>
    <row r="2802" spans="1:11">
      <c r="A2802" s="30" t="s">
        <v>6893</v>
      </c>
      <c r="B2802" s="30" t="s">
        <v>6894</v>
      </c>
      <c r="C2802" s="30" t="s">
        <v>6636</v>
      </c>
      <c r="D2802" s="30" t="s">
        <v>17</v>
      </c>
      <c r="E2802" s="30" t="s">
        <v>31</v>
      </c>
      <c r="F2802" s="30" t="s">
        <v>32</v>
      </c>
      <c r="G2802" s="30" t="s">
        <v>50</v>
      </c>
      <c r="H2802" s="32">
        <v>20</v>
      </c>
      <c r="I2802" s="30" t="s">
        <v>51</v>
      </c>
      <c r="J2802" s="41">
        <v>43998</v>
      </c>
      <c r="K2802" s="30" t="s">
        <v>22</v>
      </c>
    </row>
    <row r="2803" spans="1:11">
      <c r="A2803" s="33" t="s">
        <v>6895</v>
      </c>
      <c r="B2803" s="33" t="s">
        <v>6896</v>
      </c>
      <c r="C2803" s="33" t="s">
        <v>102</v>
      </c>
      <c r="D2803" s="33" t="s">
        <v>17</v>
      </c>
      <c r="E2803" s="33" t="s">
        <v>26</v>
      </c>
      <c r="F2803" s="33" t="s">
        <v>27</v>
      </c>
      <c r="G2803" s="33" t="s">
        <v>106</v>
      </c>
      <c r="H2803" s="35">
        <v>25</v>
      </c>
      <c r="I2803" s="33" t="s">
        <v>21</v>
      </c>
      <c r="J2803" s="42">
        <v>44060</v>
      </c>
      <c r="K2803" s="33" t="s">
        <v>22</v>
      </c>
    </row>
    <row r="2804" spans="1:11">
      <c r="A2804" s="30" t="s">
        <v>6897</v>
      </c>
      <c r="B2804" s="30" t="s">
        <v>6898</v>
      </c>
      <c r="C2804" s="30" t="s">
        <v>136</v>
      </c>
      <c r="D2804" s="30" t="s">
        <v>17</v>
      </c>
      <c r="E2804" s="30" t="s">
        <v>18</v>
      </c>
      <c r="F2804" s="30" t="s">
        <v>19</v>
      </c>
      <c r="G2804" s="30" t="s">
        <v>20</v>
      </c>
      <c r="H2804" s="32">
        <v>291</v>
      </c>
      <c r="I2804" s="30" t="s">
        <v>21</v>
      </c>
      <c r="J2804" s="41">
        <v>44172</v>
      </c>
      <c r="K2804" s="30" t="s">
        <v>22</v>
      </c>
    </row>
    <row r="2805" spans="1:11">
      <c r="A2805" s="33" t="s">
        <v>6899</v>
      </c>
      <c r="B2805" s="33" t="s">
        <v>6900</v>
      </c>
      <c r="C2805" s="33" t="s">
        <v>96</v>
      </c>
      <c r="D2805" s="33" t="s">
        <v>17</v>
      </c>
      <c r="E2805" s="33" t="s">
        <v>18</v>
      </c>
      <c r="F2805" s="33" t="s">
        <v>19</v>
      </c>
      <c r="G2805" s="33" t="s">
        <v>20</v>
      </c>
      <c r="H2805" s="35">
        <v>1796</v>
      </c>
      <c r="I2805" s="33" t="s">
        <v>21</v>
      </c>
      <c r="J2805" s="42">
        <v>44075</v>
      </c>
      <c r="K2805" s="33" t="s">
        <v>22</v>
      </c>
    </row>
    <row r="2806" spans="1:11">
      <c r="A2806" s="30" t="s">
        <v>6901</v>
      </c>
      <c r="B2806" s="30" t="s">
        <v>6902</v>
      </c>
      <c r="C2806" s="30" t="s">
        <v>6903</v>
      </c>
      <c r="D2806" s="30" t="s">
        <v>17</v>
      </c>
      <c r="E2806" s="30" t="s">
        <v>31</v>
      </c>
      <c r="F2806" s="30" t="s">
        <v>32</v>
      </c>
      <c r="G2806" s="30" t="s">
        <v>20</v>
      </c>
      <c r="H2806" s="32">
        <v>314</v>
      </c>
      <c r="I2806" s="30" t="s">
        <v>21</v>
      </c>
      <c r="J2806" s="41">
        <v>43929</v>
      </c>
      <c r="K2806" s="30" t="s">
        <v>22</v>
      </c>
    </row>
    <row r="2807" spans="1:11">
      <c r="A2807" s="33" t="s">
        <v>6904</v>
      </c>
      <c r="B2807" s="33" t="s">
        <v>6905</v>
      </c>
      <c r="C2807" s="33" t="s">
        <v>6643</v>
      </c>
      <c r="D2807" s="33" t="s">
        <v>17</v>
      </c>
      <c r="E2807" s="33" t="s">
        <v>26</v>
      </c>
      <c r="F2807" s="33" t="s">
        <v>27</v>
      </c>
      <c r="G2807" s="33" t="s">
        <v>106</v>
      </c>
      <c r="H2807" s="35">
        <v>16</v>
      </c>
      <c r="I2807" s="33" t="s">
        <v>21</v>
      </c>
      <c r="J2807" s="42">
        <v>44158</v>
      </c>
      <c r="K2807" s="33" t="s">
        <v>22</v>
      </c>
    </row>
    <row r="2808" spans="1:11">
      <c r="A2808" s="30" t="s">
        <v>6906</v>
      </c>
      <c r="B2808" s="30" t="s">
        <v>6907</v>
      </c>
      <c r="C2808" s="30" t="s">
        <v>6379</v>
      </c>
      <c r="D2808" s="30" t="s">
        <v>17</v>
      </c>
      <c r="E2808" s="30" t="s">
        <v>18</v>
      </c>
      <c r="F2808" s="30" t="s">
        <v>19</v>
      </c>
      <c r="G2808" s="30" t="s">
        <v>158</v>
      </c>
      <c r="H2808" s="32">
        <v>182</v>
      </c>
      <c r="I2808" s="30" t="s">
        <v>21</v>
      </c>
      <c r="J2808" s="41">
        <v>44181</v>
      </c>
      <c r="K2808" s="30" t="s">
        <v>22</v>
      </c>
    </row>
    <row r="2809" spans="1:11">
      <c r="A2809" s="33" t="s">
        <v>6908</v>
      </c>
      <c r="B2809" s="33" t="s">
        <v>6909</v>
      </c>
      <c r="C2809" s="33" t="s">
        <v>1048</v>
      </c>
      <c r="D2809" s="33" t="s">
        <v>17</v>
      </c>
      <c r="E2809" s="33" t="s">
        <v>212</v>
      </c>
      <c r="F2809" s="33" t="s">
        <v>213</v>
      </c>
      <c r="G2809" s="33" t="s">
        <v>20</v>
      </c>
      <c r="H2809" s="35">
        <v>356</v>
      </c>
      <c r="I2809" s="33" t="s">
        <v>21</v>
      </c>
      <c r="J2809" s="42">
        <v>44056</v>
      </c>
      <c r="K2809" s="33" t="s">
        <v>22</v>
      </c>
    </row>
    <row r="2810" spans="1:11">
      <c r="A2810" s="30" t="s">
        <v>6910</v>
      </c>
      <c r="B2810" s="30" t="s">
        <v>6911</v>
      </c>
      <c r="C2810" s="30" t="s">
        <v>96</v>
      </c>
      <c r="D2810" s="30" t="s">
        <v>17</v>
      </c>
      <c r="E2810" s="30" t="s">
        <v>26</v>
      </c>
      <c r="F2810" s="30" t="s">
        <v>27</v>
      </c>
      <c r="G2810" s="30" t="s">
        <v>20</v>
      </c>
      <c r="H2810" s="32">
        <v>6</v>
      </c>
      <c r="I2810" s="30" t="s">
        <v>21</v>
      </c>
      <c r="J2810" s="41">
        <v>44034</v>
      </c>
      <c r="K2810" s="30" t="s">
        <v>22</v>
      </c>
    </row>
    <row r="2811" spans="1:11">
      <c r="A2811" s="33" t="s">
        <v>6912</v>
      </c>
      <c r="B2811" s="33" t="s">
        <v>6913</v>
      </c>
      <c r="C2811" s="33" t="s">
        <v>6914</v>
      </c>
      <c r="D2811" s="33" t="s">
        <v>17</v>
      </c>
      <c r="E2811" s="33" t="s">
        <v>67</v>
      </c>
      <c r="F2811" s="33" t="s">
        <v>68</v>
      </c>
      <c r="G2811" s="33" t="s">
        <v>20</v>
      </c>
      <c r="H2811" s="35">
        <v>276</v>
      </c>
      <c r="I2811" s="33" t="s">
        <v>21</v>
      </c>
      <c r="J2811" s="42">
        <v>44034</v>
      </c>
      <c r="K2811" s="33" t="s">
        <v>22</v>
      </c>
    </row>
    <row r="2812" spans="1:11">
      <c r="A2812" s="30" t="s">
        <v>6915</v>
      </c>
      <c r="B2812" s="30" t="s">
        <v>6916</v>
      </c>
      <c r="C2812" s="30" t="s">
        <v>6917</v>
      </c>
      <c r="D2812" s="30" t="s">
        <v>17</v>
      </c>
      <c r="E2812" s="30" t="s">
        <v>26</v>
      </c>
      <c r="F2812" s="30" t="s">
        <v>27</v>
      </c>
      <c r="G2812" s="30" t="s">
        <v>20</v>
      </c>
      <c r="H2812" s="32">
        <v>30</v>
      </c>
      <c r="I2812" s="30" t="s">
        <v>21</v>
      </c>
      <c r="J2812" s="41">
        <v>43985</v>
      </c>
      <c r="K2812" s="30" t="s">
        <v>22</v>
      </c>
    </row>
    <row r="2813" spans="1:11">
      <c r="A2813" s="33" t="s">
        <v>6918</v>
      </c>
      <c r="B2813" s="33" t="s">
        <v>6919</v>
      </c>
      <c r="C2813" s="33" t="s">
        <v>1219</v>
      </c>
      <c r="D2813" s="33" t="s">
        <v>17</v>
      </c>
      <c r="E2813" s="33" t="s">
        <v>26</v>
      </c>
      <c r="F2813" s="33" t="s">
        <v>27</v>
      </c>
      <c r="G2813" s="33" t="s">
        <v>20</v>
      </c>
      <c r="H2813" s="35">
        <v>8</v>
      </c>
      <c r="I2813" s="33" t="s">
        <v>21</v>
      </c>
      <c r="J2813" s="42">
        <v>43836</v>
      </c>
      <c r="K2813" s="33" t="s">
        <v>22</v>
      </c>
    </row>
    <row r="2814" spans="1:11">
      <c r="A2814" s="30" t="s">
        <v>6920</v>
      </c>
      <c r="B2814" s="30" t="s">
        <v>6921</v>
      </c>
      <c r="C2814" s="30" t="s">
        <v>157</v>
      </c>
      <c r="D2814" s="30" t="s">
        <v>17</v>
      </c>
      <c r="E2814" s="30" t="s">
        <v>31</v>
      </c>
      <c r="F2814" s="30" t="s">
        <v>32</v>
      </c>
      <c r="G2814" s="30" t="s">
        <v>20</v>
      </c>
      <c r="H2814" s="32">
        <v>64</v>
      </c>
      <c r="I2814" s="30" t="s">
        <v>21</v>
      </c>
      <c r="J2814" s="41">
        <v>44125</v>
      </c>
      <c r="K2814" s="30" t="s">
        <v>22</v>
      </c>
    </row>
    <row r="2815" spans="1:11">
      <c r="A2815" s="33" t="s">
        <v>6922</v>
      </c>
      <c r="B2815" s="33" t="s">
        <v>6923</v>
      </c>
      <c r="C2815" s="33" t="s">
        <v>1683</v>
      </c>
      <c r="D2815" s="33" t="s">
        <v>17</v>
      </c>
      <c r="E2815" s="33" t="s">
        <v>26</v>
      </c>
      <c r="F2815" s="33" t="s">
        <v>27</v>
      </c>
      <c r="G2815" s="33" t="s">
        <v>140</v>
      </c>
      <c r="H2815" s="35">
        <v>83</v>
      </c>
      <c r="I2815" s="33" t="s">
        <v>51</v>
      </c>
      <c r="J2815" s="42">
        <v>44158</v>
      </c>
      <c r="K2815" s="33" t="s">
        <v>22</v>
      </c>
    </row>
    <row r="2816" spans="1:11">
      <c r="A2816" s="30" t="s">
        <v>6924</v>
      </c>
      <c r="B2816" s="30" t="s">
        <v>6925</v>
      </c>
      <c r="C2816" s="30" t="s">
        <v>96</v>
      </c>
      <c r="D2816" s="30" t="s">
        <v>17</v>
      </c>
      <c r="E2816" s="30" t="s">
        <v>45</v>
      </c>
      <c r="F2816" s="30" t="s">
        <v>46</v>
      </c>
      <c r="G2816" s="30" t="s">
        <v>106</v>
      </c>
      <c r="H2816" s="32">
        <v>47</v>
      </c>
      <c r="I2816" s="30" t="s">
        <v>21</v>
      </c>
      <c r="J2816" s="41">
        <v>43946</v>
      </c>
      <c r="K2816" s="30" t="s">
        <v>22</v>
      </c>
    </row>
    <row r="2817" spans="1:11">
      <c r="A2817" s="33" t="s">
        <v>6926</v>
      </c>
      <c r="B2817" s="33" t="s">
        <v>6927</v>
      </c>
      <c r="C2817" s="33" t="s">
        <v>3489</v>
      </c>
      <c r="D2817" s="33" t="s">
        <v>17</v>
      </c>
      <c r="E2817" s="33" t="s">
        <v>67</v>
      </c>
      <c r="F2817" s="33" t="s">
        <v>68</v>
      </c>
      <c r="G2817" s="33" t="s">
        <v>20</v>
      </c>
      <c r="H2817" s="35">
        <v>10</v>
      </c>
      <c r="I2817" s="33" t="s">
        <v>21</v>
      </c>
      <c r="J2817" s="42">
        <v>44175</v>
      </c>
      <c r="K2817" s="33" t="s">
        <v>22</v>
      </c>
    </row>
    <row r="2818" spans="1:11">
      <c r="A2818" s="30" t="s">
        <v>6928</v>
      </c>
      <c r="B2818" s="30" t="s">
        <v>6929</v>
      </c>
      <c r="C2818" s="30" t="s">
        <v>995</v>
      </c>
      <c r="D2818" s="30" t="s">
        <v>17</v>
      </c>
      <c r="E2818" s="30" t="s">
        <v>26</v>
      </c>
      <c r="F2818" s="30" t="s">
        <v>27</v>
      </c>
      <c r="G2818" s="30" t="s">
        <v>20</v>
      </c>
      <c r="H2818" s="32">
        <v>60</v>
      </c>
      <c r="I2818" s="30" t="s">
        <v>21</v>
      </c>
      <c r="J2818" s="41">
        <v>44090</v>
      </c>
      <c r="K2818" s="30" t="s">
        <v>22</v>
      </c>
    </row>
    <row r="2819" spans="1:11">
      <c r="A2819" s="33" t="s">
        <v>6930</v>
      </c>
      <c r="B2819" s="33" t="s">
        <v>6931</v>
      </c>
      <c r="C2819" s="33" t="s">
        <v>6932</v>
      </c>
      <c r="D2819" s="33" t="s">
        <v>17</v>
      </c>
      <c r="E2819" s="33" t="s">
        <v>67</v>
      </c>
      <c r="F2819" s="33" t="s">
        <v>68</v>
      </c>
      <c r="G2819" s="33" t="s">
        <v>158</v>
      </c>
      <c r="H2819" s="35">
        <v>170</v>
      </c>
      <c r="I2819" s="33" t="s">
        <v>51</v>
      </c>
      <c r="J2819" s="42">
        <v>44074</v>
      </c>
      <c r="K2819" s="33" t="s">
        <v>22</v>
      </c>
    </row>
    <row r="2820" spans="1:11">
      <c r="A2820" s="30" t="s">
        <v>6933</v>
      </c>
      <c r="B2820" s="30" t="s">
        <v>6934</v>
      </c>
      <c r="C2820" s="30" t="s">
        <v>149</v>
      </c>
      <c r="D2820" s="30" t="s">
        <v>17</v>
      </c>
      <c r="E2820" s="30" t="s">
        <v>18</v>
      </c>
      <c r="F2820" s="30" t="s">
        <v>19</v>
      </c>
      <c r="G2820" s="30" t="s">
        <v>50</v>
      </c>
      <c r="H2820" s="32">
        <v>396</v>
      </c>
      <c r="I2820" s="30" t="s">
        <v>21</v>
      </c>
      <c r="J2820" s="41">
        <v>44012</v>
      </c>
      <c r="K2820" s="30" t="s">
        <v>22</v>
      </c>
    </row>
    <row r="2821" spans="1:11">
      <c r="A2821" s="33" t="s">
        <v>6935</v>
      </c>
      <c r="B2821" s="33" t="s">
        <v>6936</v>
      </c>
      <c r="C2821" s="33" t="s">
        <v>3114</v>
      </c>
      <c r="D2821" s="33" t="s">
        <v>17</v>
      </c>
      <c r="E2821" s="33" t="s">
        <v>26</v>
      </c>
      <c r="F2821" s="33" t="s">
        <v>27</v>
      </c>
      <c r="G2821" s="33" t="s">
        <v>20</v>
      </c>
      <c r="H2821" s="35">
        <v>20</v>
      </c>
      <c r="I2821" s="33" t="s">
        <v>21</v>
      </c>
      <c r="J2821" s="42">
        <v>44105</v>
      </c>
      <c r="K2821" s="33" t="s">
        <v>22</v>
      </c>
    </row>
    <row r="2822" spans="1:11">
      <c r="A2822" s="30" t="s">
        <v>6937</v>
      </c>
      <c r="B2822" s="30" t="s">
        <v>6938</v>
      </c>
      <c r="C2822" s="30" t="s">
        <v>1469</v>
      </c>
      <c r="D2822" s="30" t="s">
        <v>17</v>
      </c>
      <c r="E2822" s="30" t="s">
        <v>18</v>
      </c>
      <c r="F2822" s="30" t="s">
        <v>19</v>
      </c>
      <c r="G2822" s="30" t="s">
        <v>20</v>
      </c>
      <c r="H2822" s="32">
        <v>413</v>
      </c>
      <c r="I2822" s="30" t="s">
        <v>21</v>
      </c>
      <c r="J2822" s="41">
        <v>43871</v>
      </c>
      <c r="K2822" s="30" t="s">
        <v>22</v>
      </c>
    </row>
    <row r="2823" spans="1:11">
      <c r="A2823" s="33" t="s">
        <v>6939</v>
      </c>
      <c r="B2823" s="33" t="s">
        <v>6940</v>
      </c>
      <c r="C2823" s="33" t="s">
        <v>6941</v>
      </c>
      <c r="D2823" s="33" t="s">
        <v>17</v>
      </c>
      <c r="E2823" s="33" t="s">
        <v>31</v>
      </c>
      <c r="F2823" s="33" t="s">
        <v>32</v>
      </c>
      <c r="G2823" s="33" t="s">
        <v>106</v>
      </c>
      <c r="H2823" s="35">
        <v>170</v>
      </c>
      <c r="I2823" s="33" t="s">
        <v>21</v>
      </c>
      <c r="J2823" s="42">
        <v>43879</v>
      </c>
      <c r="K2823" s="33" t="s">
        <v>22</v>
      </c>
    </row>
    <row r="2824" spans="1:11">
      <c r="A2824" s="30" t="s">
        <v>6942</v>
      </c>
      <c r="B2824" s="30" t="s">
        <v>6943</v>
      </c>
      <c r="C2824" s="30" t="s">
        <v>6944</v>
      </c>
      <c r="D2824" s="30" t="s">
        <v>17</v>
      </c>
      <c r="E2824" s="30" t="s">
        <v>26</v>
      </c>
      <c r="F2824" s="30" t="s">
        <v>27</v>
      </c>
      <c r="G2824" s="30" t="s">
        <v>20</v>
      </c>
      <c r="H2824" s="32">
        <v>21</v>
      </c>
      <c r="I2824" s="30" t="s">
        <v>21</v>
      </c>
      <c r="J2824" s="41">
        <v>43990</v>
      </c>
      <c r="K2824" s="30" t="s">
        <v>22</v>
      </c>
    </row>
    <row r="2825" spans="1:11">
      <c r="A2825" s="33" t="s">
        <v>6945</v>
      </c>
      <c r="B2825" s="33" t="s">
        <v>6946</v>
      </c>
      <c r="C2825" s="33" t="s">
        <v>149</v>
      </c>
      <c r="D2825" s="33" t="s">
        <v>17</v>
      </c>
      <c r="E2825" s="33" t="s">
        <v>26</v>
      </c>
      <c r="F2825" s="33" t="s">
        <v>27</v>
      </c>
      <c r="G2825" s="33" t="s">
        <v>20</v>
      </c>
      <c r="H2825" s="35">
        <v>58</v>
      </c>
      <c r="I2825" s="33" t="s">
        <v>21</v>
      </c>
      <c r="J2825" s="42">
        <v>44092</v>
      </c>
      <c r="K2825" s="33" t="s">
        <v>22</v>
      </c>
    </row>
    <row r="2826" spans="1:11">
      <c r="A2826" s="30" t="s">
        <v>6947</v>
      </c>
      <c r="B2826" s="30" t="s">
        <v>6948</v>
      </c>
      <c r="C2826" s="30" t="s">
        <v>3698</v>
      </c>
      <c r="D2826" s="30" t="s">
        <v>17</v>
      </c>
      <c r="E2826" s="30" t="s">
        <v>18</v>
      </c>
      <c r="F2826" s="30" t="s">
        <v>19</v>
      </c>
      <c r="G2826" s="30" t="s">
        <v>20</v>
      </c>
      <c r="H2826" s="32">
        <v>153</v>
      </c>
      <c r="I2826" s="30" t="s">
        <v>21</v>
      </c>
      <c r="J2826" s="41">
        <v>44165</v>
      </c>
      <c r="K2826" s="30" t="s">
        <v>22</v>
      </c>
    </row>
    <row r="2827" spans="1:11">
      <c r="A2827" s="33" t="s">
        <v>6949</v>
      </c>
      <c r="B2827" s="33" t="s">
        <v>6950</v>
      </c>
      <c r="C2827" s="33" t="s">
        <v>178</v>
      </c>
      <c r="D2827" s="33" t="s">
        <v>17</v>
      </c>
      <c r="E2827" s="33" t="s">
        <v>67</v>
      </c>
      <c r="F2827" s="33" t="s">
        <v>68</v>
      </c>
      <c r="G2827" s="33" t="s">
        <v>106</v>
      </c>
      <c r="H2827" s="35">
        <v>1</v>
      </c>
      <c r="I2827" s="33" t="s">
        <v>21</v>
      </c>
      <c r="J2827" s="42">
        <v>44097</v>
      </c>
      <c r="K2827" s="33" t="s">
        <v>22</v>
      </c>
    </row>
    <row r="2828" spans="1:11">
      <c r="A2828" s="30" t="s">
        <v>6951</v>
      </c>
      <c r="B2828" s="30" t="s">
        <v>6952</v>
      </c>
      <c r="C2828" s="30" t="s">
        <v>136</v>
      </c>
      <c r="D2828" s="30" t="s">
        <v>17</v>
      </c>
      <c r="E2828" s="30" t="s">
        <v>67</v>
      </c>
      <c r="F2828" s="30" t="s">
        <v>68</v>
      </c>
      <c r="G2828" s="30" t="s">
        <v>106</v>
      </c>
      <c r="H2828" s="32">
        <v>23</v>
      </c>
      <c r="I2828" s="30" t="s">
        <v>21</v>
      </c>
      <c r="J2828" s="41">
        <v>43894</v>
      </c>
      <c r="K2828" s="30" t="s">
        <v>22</v>
      </c>
    </row>
    <row r="2829" spans="1:11">
      <c r="A2829" s="33" t="s">
        <v>6953</v>
      </c>
      <c r="B2829" s="33" t="s">
        <v>6954</v>
      </c>
      <c r="C2829" s="33" t="s">
        <v>6955</v>
      </c>
      <c r="D2829" s="33" t="s">
        <v>17</v>
      </c>
      <c r="E2829" s="33" t="s">
        <v>212</v>
      </c>
      <c r="F2829" s="33" t="s">
        <v>213</v>
      </c>
      <c r="G2829" s="33" t="s">
        <v>20</v>
      </c>
      <c r="H2829" s="35">
        <v>58</v>
      </c>
      <c r="I2829" s="33" t="s">
        <v>21</v>
      </c>
      <c r="J2829" s="42">
        <v>44118</v>
      </c>
      <c r="K2829" s="33" t="s">
        <v>22</v>
      </c>
    </row>
    <row r="2830" spans="1:11">
      <c r="A2830" s="30" t="s">
        <v>6956</v>
      </c>
      <c r="B2830" s="30" t="s">
        <v>6957</v>
      </c>
      <c r="C2830" s="30" t="s">
        <v>2807</v>
      </c>
      <c r="D2830" s="30" t="s">
        <v>17</v>
      </c>
      <c r="E2830" s="30" t="s">
        <v>31</v>
      </c>
      <c r="F2830" s="30" t="s">
        <v>32</v>
      </c>
      <c r="G2830" s="30" t="s">
        <v>112</v>
      </c>
      <c r="H2830" s="32">
        <v>0</v>
      </c>
      <c r="I2830" s="30" t="s">
        <v>21</v>
      </c>
      <c r="J2830" s="41">
        <v>44075</v>
      </c>
      <c r="K2830" s="30" t="s">
        <v>22</v>
      </c>
    </row>
    <row r="2831" spans="1:11">
      <c r="A2831" s="33" t="s">
        <v>6958</v>
      </c>
      <c r="B2831" s="33" t="s">
        <v>6959</v>
      </c>
      <c r="C2831" s="33" t="s">
        <v>1159</v>
      </c>
      <c r="D2831" s="33" t="s">
        <v>17</v>
      </c>
      <c r="E2831" s="33" t="s">
        <v>26</v>
      </c>
      <c r="F2831" s="33" t="s">
        <v>27</v>
      </c>
      <c r="G2831" s="33" t="s">
        <v>20</v>
      </c>
      <c r="H2831" s="35">
        <v>32</v>
      </c>
      <c r="I2831" s="33" t="s">
        <v>21</v>
      </c>
      <c r="J2831" s="42">
        <v>44125</v>
      </c>
      <c r="K2831" s="33" t="s">
        <v>22</v>
      </c>
    </row>
    <row r="2832" spans="1:11">
      <c r="A2832" s="30" t="s">
        <v>6960</v>
      </c>
      <c r="B2832" s="30" t="s">
        <v>6961</v>
      </c>
      <c r="C2832" s="30" t="s">
        <v>6962</v>
      </c>
      <c r="D2832" s="30" t="s">
        <v>17</v>
      </c>
      <c r="E2832" s="30" t="s">
        <v>26</v>
      </c>
      <c r="F2832" s="30" t="s">
        <v>27</v>
      </c>
      <c r="G2832" s="30" t="s">
        <v>20</v>
      </c>
      <c r="H2832" s="32">
        <v>6</v>
      </c>
      <c r="I2832" s="30" t="s">
        <v>21</v>
      </c>
      <c r="J2832" s="41">
        <v>44068</v>
      </c>
      <c r="K2832" s="30" t="s">
        <v>22</v>
      </c>
    </row>
    <row r="2833" spans="1:11">
      <c r="A2833" s="33" t="s">
        <v>6963</v>
      </c>
      <c r="B2833" s="33" t="s">
        <v>6964</v>
      </c>
      <c r="C2833" s="33" t="s">
        <v>231</v>
      </c>
      <c r="D2833" s="33" t="s">
        <v>17</v>
      </c>
      <c r="E2833" s="33" t="s">
        <v>26</v>
      </c>
      <c r="F2833" s="33" t="s">
        <v>27</v>
      </c>
      <c r="G2833" s="33" t="s">
        <v>20</v>
      </c>
      <c r="H2833" s="35">
        <v>74</v>
      </c>
      <c r="I2833" s="33" t="s">
        <v>21</v>
      </c>
      <c r="J2833" s="42">
        <v>44148</v>
      </c>
      <c r="K2833" s="33" t="s">
        <v>22</v>
      </c>
    </row>
    <row r="2834" spans="1:11">
      <c r="A2834" s="30" t="s">
        <v>6965</v>
      </c>
      <c r="B2834" s="30" t="s">
        <v>6966</v>
      </c>
      <c r="C2834" s="30" t="s">
        <v>638</v>
      </c>
      <c r="D2834" s="30" t="s">
        <v>17</v>
      </c>
      <c r="E2834" s="30" t="s">
        <v>31</v>
      </c>
      <c r="F2834" s="30" t="s">
        <v>32</v>
      </c>
      <c r="G2834" s="30" t="s">
        <v>20</v>
      </c>
      <c r="H2834" s="32">
        <v>459</v>
      </c>
      <c r="I2834" s="30" t="s">
        <v>21</v>
      </c>
      <c r="J2834" s="41">
        <v>44028</v>
      </c>
      <c r="K2834" s="30" t="s">
        <v>22</v>
      </c>
    </row>
    <row r="2835" spans="1:11">
      <c r="A2835" s="33" t="s">
        <v>6967</v>
      </c>
      <c r="B2835" s="33" t="s">
        <v>6968</v>
      </c>
      <c r="C2835" s="33" t="s">
        <v>6969</v>
      </c>
      <c r="D2835" s="33" t="s">
        <v>17</v>
      </c>
      <c r="E2835" s="33" t="s">
        <v>18</v>
      </c>
      <c r="F2835" s="33" t="s">
        <v>19</v>
      </c>
      <c r="G2835" s="33" t="s">
        <v>20</v>
      </c>
      <c r="H2835" s="35">
        <v>154</v>
      </c>
      <c r="I2835" s="33" t="s">
        <v>21</v>
      </c>
      <c r="J2835" s="42">
        <v>44018</v>
      </c>
      <c r="K2835" s="33" t="s">
        <v>22</v>
      </c>
    </row>
    <row r="2836" spans="1:11">
      <c r="A2836" s="30" t="s">
        <v>6970</v>
      </c>
      <c r="B2836" s="30" t="s">
        <v>6971</v>
      </c>
      <c r="C2836" s="30" t="s">
        <v>6972</v>
      </c>
      <c r="D2836" s="30" t="s">
        <v>17</v>
      </c>
      <c r="E2836" s="30" t="s">
        <v>26</v>
      </c>
      <c r="F2836" s="30" t="s">
        <v>27</v>
      </c>
      <c r="G2836" s="30" t="s">
        <v>50</v>
      </c>
      <c r="H2836" s="32">
        <v>84</v>
      </c>
      <c r="I2836" s="30" t="s">
        <v>51</v>
      </c>
      <c r="J2836" s="41">
        <v>44082</v>
      </c>
      <c r="K2836" s="30" t="s">
        <v>22</v>
      </c>
    </row>
    <row r="2837" spans="1:11">
      <c r="A2837" s="33" t="s">
        <v>6973</v>
      </c>
      <c r="B2837" s="33" t="s">
        <v>6974</v>
      </c>
      <c r="C2837" s="33" t="s">
        <v>6975</v>
      </c>
      <c r="D2837" s="33" t="s">
        <v>17</v>
      </c>
      <c r="E2837" s="33" t="s">
        <v>212</v>
      </c>
      <c r="F2837" s="33" t="s">
        <v>213</v>
      </c>
      <c r="G2837" s="33" t="s">
        <v>50</v>
      </c>
      <c r="H2837" s="35">
        <v>90</v>
      </c>
      <c r="I2837" s="33" t="s">
        <v>51</v>
      </c>
      <c r="J2837" s="42">
        <v>44021</v>
      </c>
      <c r="K2837" s="33" t="s">
        <v>22</v>
      </c>
    </row>
    <row r="2838" spans="1:11">
      <c r="A2838" s="30" t="s">
        <v>6976</v>
      </c>
      <c r="B2838" s="30" t="s">
        <v>6977</v>
      </c>
      <c r="C2838" s="30" t="s">
        <v>3253</v>
      </c>
      <c r="D2838" s="30" t="s">
        <v>17</v>
      </c>
      <c r="E2838" s="30" t="s">
        <v>26</v>
      </c>
      <c r="F2838" s="30" t="s">
        <v>27</v>
      </c>
      <c r="G2838" s="30" t="s">
        <v>106</v>
      </c>
      <c r="H2838" s="32">
        <v>62</v>
      </c>
      <c r="I2838" s="30" t="s">
        <v>21</v>
      </c>
      <c r="J2838" s="41">
        <v>43984</v>
      </c>
      <c r="K2838" s="30" t="s">
        <v>22</v>
      </c>
    </row>
    <row r="2839" spans="1:11">
      <c r="A2839" s="33" t="s">
        <v>6978</v>
      </c>
      <c r="B2839" s="33" t="s">
        <v>6979</v>
      </c>
      <c r="C2839" s="33" t="s">
        <v>647</v>
      </c>
      <c r="D2839" s="33" t="s">
        <v>17</v>
      </c>
      <c r="E2839" s="33" t="s">
        <v>26</v>
      </c>
      <c r="F2839" s="33" t="s">
        <v>27</v>
      </c>
      <c r="G2839" s="33" t="s">
        <v>20</v>
      </c>
      <c r="H2839" s="35">
        <v>14</v>
      </c>
      <c r="I2839" s="33" t="s">
        <v>21</v>
      </c>
      <c r="J2839" s="42">
        <v>44120</v>
      </c>
      <c r="K2839" s="33" t="s">
        <v>22</v>
      </c>
    </row>
    <row r="2840" spans="1:11">
      <c r="A2840" s="30" t="s">
        <v>6980</v>
      </c>
      <c r="B2840" s="30" t="s">
        <v>6981</v>
      </c>
      <c r="C2840" s="30" t="s">
        <v>647</v>
      </c>
      <c r="D2840" s="30" t="s">
        <v>17</v>
      </c>
      <c r="E2840" s="30" t="s">
        <v>18</v>
      </c>
      <c r="F2840" s="30" t="s">
        <v>19</v>
      </c>
      <c r="G2840" s="30" t="s">
        <v>20</v>
      </c>
      <c r="H2840" s="32">
        <v>7119</v>
      </c>
      <c r="I2840" s="30" t="s">
        <v>21</v>
      </c>
      <c r="J2840" s="41">
        <v>44086</v>
      </c>
      <c r="K2840" s="30" t="s">
        <v>22</v>
      </c>
    </row>
    <row r="2841" spans="1:11">
      <c r="A2841" s="33" t="s">
        <v>6982</v>
      </c>
      <c r="B2841" s="33" t="s">
        <v>6983</v>
      </c>
      <c r="C2841" s="33" t="s">
        <v>407</v>
      </c>
      <c r="D2841" s="33" t="s">
        <v>17</v>
      </c>
      <c r="E2841" s="33" t="s">
        <v>26</v>
      </c>
      <c r="F2841" s="33" t="s">
        <v>27</v>
      </c>
      <c r="G2841" s="33" t="s">
        <v>20</v>
      </c>
      <c r="H2841" s="35">
        <v>24</v>
      </c>
      <c r="I2841" s="33" t="s">
        <v>21</v>
      </c>
      <c r="J2841" s="42">
        <v>43852</v>
      </c>
      <c r="K2841" s="33" t="s">
        <v>22</v>
      </c>
    </row>
    <row r="2842" spans="1:11">
      <c r="A2842" s="30" t="s">
        <v>6984</v>
      </c>
      <c r="B2842" s="30" t="s">
        <v>6985</v>
      </c>
      <c r="C2842" s="30" t="s">
        <v>1165</v>
      </c>
      <c r="D2842" s="30" t="s">
        <v>17</v>
      </c>
      <c r="E2842" s="30" t="s">
        <v>18</v>
      </c>
      <c r="F2842" s="30" t="s">
        <v>19</v>
      </c>
      <c r="G2842" s="30" t="s">
        <v>20</v>
      </c>
      <c r="H2842" s="32">
        <v>101</v>
      </c>
      <c r="I2842" s="30" t="s">
        <v>21</v>
      </c>
      <c r="J2842" s="41">
        <v>43984</v>
      </c>
      <c r="K2842" s="30" t="s">
        <v>22</v>
      </c>
    </row>
    <row r="2843" spans="1:11">
      <c r="A2843" s="33" t="s">
        <v>6986</v>
      </c>
      <c r="B2843" s="33" t="s">
        <v>6987</v>
      </c>
      <c r="C2843" s="33" t="s">
        <v>3182</v>
      </c>
      <c r="D2843" s="33" t="s">
        <v>17</v>
      </c>
      <c r="E2843" s="33" t="s">
        <v>26</v>
      </c>
      <c r="F2843" s="33" t="s">
        <v>27</v>
      </c>
      <c r="G2843" s="33" t="s">
        <v>20</v>
      </c>
      <c r="H2843" s="35">
        <v>38</v>
      </c>
      <c r="I2843" s="33" t="s">
        <v>21</v>
      </c>
      <c r="J2843" s="42">
        <v>43963</v>
      </c>
      <c r="K2843" s="33" t="s">
        <v>22</v>
      </c>
    </row>
    <row r="2844" spans="1:11">
      <c r="A2844" s="30" t="s">
        <v>6988</v>
      </c>
      <c r="B2844" s="30" t="s">
        <v>6989</v>
      </c>
      <c r="C2844" s="30" t="s">
        <v>5093</v>
      </c>
      <c r="D2844" s="30" t="s">
        <v>17</v>
      </c>
      <c r="E2844" s="30" t="s">
        <v>31</v>
      </c>
      <c r="F2844" s="30" t="s">
        <v>32</v>
      </c>
      <c r="G2844" s="30" t="s">
        <v>20</v>
      </c>
      <c r="H2844" s="32">
        <v>24</v>
      </c>
      <c r="I2844" s="30" t="s">
        <v>21</v>
      </c>
      <c r="J2844" s="41">
        <v>44037</v>
      </c>
      <c r="K2844" s="30" t="s">
        <v>22</v>
      </c>
    </row>
    <row r="2845" spans="1:11">
      <c r="A2845" s="33" t="s">
        <v>6990</v>
      </c>
      <c r="B2845" s="33" t="s">
        <v>6991</v>
      </c>
      <c r="C2845" s="33" t="s">
        <v>1846</v>
      </c>
      <c r="D2845" s="33" t="s">
        <v>17</v>
      </c>
      <c r="E2845" s="33" t="s">
        <v>18</v>
      </c>
      <c r="F2845" s="33" t="s">
        <v>19</v>
      </c>
      <c r="G2845" s="33" t="s">
        <v>106</v>
      </c>
      <c r="H2845" s="35">
        <v>100</v>
      </c>
      <c r="I2845" s="33" t="s">
        <v>21</v>
      </c>
      <c r="J2845" s="42">
        <v>44020</v>
      </c>
      <c r="K2845" s="33" t="s">
        <v>22</v>
      </c>
    </row>
    <row r="2846" spans="1:11">
      <c r="A2846" s="30" t="s">
        <v>6992</v>
      </c>
      <c r="B2846" s="30" t="s">
        <v>6993</v>
      </c>
      <c r="C2846" s="30" t="s">
        <v>6994</v>
      </c>
      <c r="D2846" s="30" t="s">
        <v>17</v>
      </c>
      <c r="E2846" s="30" t="s">
        <v>18</v>
      </c>
      <c r="F2846" s="30" t="s">
        <v>19</v>
      </c>
      <c r="G2846" s="30" t="s">
        <v>20</v>
      </c>
      <c r="H2846" s="32">
        <v>45</v>
      </c>
      <c r="I2846" s="30" t="s">
        <v>21</v>
      </c>
      <c r="J2846" s="41">
        <v>43840</v>
      </c>
      <c r="K2846" s="30" t="s">
        <v>22</v>
      </c>
    </row>
    <row r="2847" spans="1:11">
      <c r="A2847" s="33" t="s">
        <v>6995</v>
      </c>
      <c r="B2847" s="33" t="s">
        <v>6996</v>
      </c>
      <c r="C2847" s="33" t="s">
        <v>524</v>
      </c>
      <c r="D2847" s="33" t="s">
        <v>17</v>
      </c>
      <c r="E2847" s="33" t="s">
        <v>26</v>
      </c>
      <c r="F2847" s="33" t="s">
        <v>27</v>
      </c>
      <c r="G2847" s="33" t="s">
        <v>20</v>
      </c>
      <c r="H2847" s="35">
        <v>89</v>
      </c>
      <c r="I2847" s="33" t="s">
        <v>21</v>
      </c>
      <c r="J2847" s="42">
        <v>44020</v>
      </c>
      <c r="K2847" s="33" t="s">
        <v>22</v>
      </c>
    </row>
    <row r="2848" spans="1:11">
      <c r="A2848" s="30" t="s">
        <v>6997</v>
      </c>
      <c r="B2848" s="30" t="s">
        <v>6998</v>
      </c>
      <c r="C2848" s="30" t="s">
        <v>6999</v>
      </c>
      <c r="D2848" s="30" t="s">
        <v>17</v>
      </c>
      <c r="E2848" s="30" t="s">
        <v>26</v>
      </c>
      <c r="F2848" s="30" t="s">
        <v>27</v>
      </c>
      <c r="G2848" s="30" t="s">
        <v>20</v>
      </c>
      <c r="H2848" s="32">
        <v>56</v>
      </c>
      <c r="I2848" s="30" t="s">
        <v>21</v>
      </c>
      <c r="J2848" s="41">
        <v>44022</v>
      </c>
      <c r="K2848" s="30" t="s">
        <v>22</v>
      </c>
    </row>
    <row r="2849" spans="1:11">
      <c r="A2849" s="33" t="s">
        <v>7000</v>
      </c>
      <c r="B2849" s="33" t="s">
        <v>7001</v>
      </c>
      <c r="C2849" s="33" t="s">
        <v>2292</v>
      </c>
      <c r="D2849" s="33" t="s">
        <v>17</v>
      </c>
      <c r="E2849" s="33" t="s">
        <v>26</v>
      </c>
      <c r="F2849" s="33" t="s">
        <v>27</v>
      </c>
      <c r="G2849" s="33" t="s">
        <v>20</v>
      </c>
      <c r="H2849" s="35">
        <v>36</v>
      </c>
      <c r="I2849" s="33" t="s">
        <v>21</v>
      </c>
      <c r="J2849" s="42">
        <v>43966</v>
      </c>
      <c r="K2849" s="33" t="s">
        <v>22</v>
      </c>
    </row>
    <row r="2850" spans="1:11">
      <c r="A2850" s="30" t="s">
        <v>7002</v>
      </c>
      <c r="B2850" s="30" t="s">
        <v>7003</v>
      </c>
      <c r="C2850" s="30" t="s">
        <v>7004</v>
      </c>
      <c r="D2850" s="30" t="s">
        <v>17</v>
      </c>
      <c r="E2850" s="30" t="s">
        <v>18</v>
      </c>
      <c r="F2850" s="30" t="s">
        <v>19</v>
      </c>
      <c r="G2850" s="30" t="s">
        <v>20</v>
      </c>
      <c r="H2850" s="32">
        <v>264</v>
      </c>
      <c r="I2850" s="30" t="s">
        <v>21</v>
      </c>
      <c r="J2850" s="41">
        <v>44168</v>
      </c>
      <c r="K2850" s="30" t="s">
        <v>22</v>
      </c>
    </row>
    <row r="2851" spans="1:11">
      <c r="A2851" s="33" t="s">
        <v>7005</v>
      </c>
      <c r="B2851" s="33" t="s">
        <v>7006</v>
      </c>
      <c r="C2851" s="33" t="s">
        <v>874</v>
      </c>
      <c r="D2851" s="33" t="s">
        <v>17</v>
      </c>
      <c r="E2851" s="33" t="s">
        <v>26</v>
      </c>
      <c r="F2851" s="33" t="s">
        <v>27</v>
      </c>
      <c r="G2851" s="33" t="s">
        <v>106</v>
      </c>
      <c r="H2851" s="35">
        <v>68</v>
      </c>
      <c r="I2851" s="33" t="s">
        <v>21</v>
      </c>
      <c r="J2851" s="42">
        <v>43994</v>
      </c>
      <c r="K2851" s="33" t="s">
        <v>22</v>
      </c>
    </row>
    <row r="2852" spans="1:11">
      <c r="A2852" s="30" t="s">
        <v>7007</v>
      </c>
      <c r="B2852" s="30" t="s">
        <v>7008</v>
      </c>
      <c r="C2852" s="30" t="s">
        <v>7009</v>
      </c>
      <c r="D2852" s="30" t="s">
        <v>17</v>
      </c>
      <c r="E2852" s="30" t="s">
        <v>31</v>
      </c>
      <c r="F2852" s="30" t="s">
        <v>32</v>
      </c>
      <c r="G2852" s="30" t="s">
        <v>158</v>
      </c>
      <c r="H2852" s="32">
        <v>87</v>
      </c>
      <c r="I2852" s="30" t="s">
        <v>51</v>
      </c>
      <c r="J2852" s="41">
        <v>43945</v>
      </c>
      <c r="K2852" s="30" t="s">
        <v>22</v>
      </c>
    </row>
    <row r="2853" spans="1:11">
      <c r="A2853" s="33" t="s">
        <v>7010</v>
      </c>
      <c r="B2853" s="33" t="s">
        <v>7011</v>
      </c>
      <c r="C2853" s="33" t="s">
        <v>7012</v>
      </c>
      <c r="D2853" s="33" t="s">
        <v>17</v>
      </c>
      <c r="E2853" s="33" t="s">
        <v>18</v>
      </c>
      <c r="F2853" s="33" t="s">
        <v>19</v>
      </c>
      <c r="G2853" s="33" t="s">
        <v>20</v>
      </c>
      <c r="H2853" s="35">
        <v>41</v>
      </c>
      <c r="I2853" s="33" t="s">
        <v>21</v>
      </c>
      <c r="J2853" s="42">
        <v>44082</v>
      </c>
      <c r="K2853" s="33" t="s">
        <v>22</v>
      </c>
    </row>
    <row r="2854" spans="1:11">
      <c r="A2854" s="30" t="s">
        <v>7013</v>
      </c>
      <c r="B2854" s="30" t="s">
        <v>7014</v>
      </c>
      <c r="C2854" s="30" t="s">
        <v>7015</v>
      </c>
      <c r="D2854" s="30" t="s">
        <v>17</v>
      </c>
      <c r="E2854" s="30" t="s">
        <v>212</v>
      </c>
      <c r="F2854" s="30" t="s">
        <v>213</v>
      </c>
      <c r="G2854" s="30" t="s">
        <v>20</v>
      </c>
      <c r="H2854" s="32">
        <v>209</v>
      </c>
      <c r="I2854" s="30" t="s">
        <v>21</v>
      </c>
      <c r="J2854" s="41">
        <v>44127</v>
      </c>
      <c r="K2854" s="30" t="s">
        <v>22</v>
      </c>
    </row>
    <row r="2855" spans="1:11">
      <c r="A2855" s="33" t="s">
        <v>7016</v>
      </c>
      <c r="B2855" s="33" t="s">
        <v>7017</v>
      </c>
      <c r="C2855" s="33" t="s">
        <v>2739</v>
      </c>
      <c r="D2855" s="33" t="s">
        <v>17</v>
      </c>
      <c r="E2855" s="33" t="s">
        <v>18</v>
      </c>
      <c r="F2855" s="33" t="s">
        <v>19</v>
      </c>
      <c r="G2855" s="33" t="s">
        <v>20</v>
      </c>
      <c r="H2855" s="35">
        <v>332</v>
      </c>
      <c r="I2855" s="33" t="s">
        <v>21</v>
      </c>
      <c r="J2855" s="42">
        <v>44160</v>
      </c>
      <c r="K2855" s="33" t="s">
        <v>22</v>
      </c>
    </row>
    <row r="2856" spans="1:11">
      <c r="A2856" s="30" t="s">
        <v>7018</v>
      </c>
      <c r="B2856" s="30" t="s">
        <v>7019</v>
      </c>
      <c r="C2856" s="30" t="s">
        <v>7020</v>
      </c>
      <c r="D2856" s="30" t="s">
        <v>17</v>
      </c>
      <c r="E2856" s="30" t="s">
        <v>31</v>
      </c>
      <c r="F2856" s="30" t="s">
        <v>32</v>
      </c>
      <c r="G2856" s="30" t="s">
        <v>20</v>
      </c>
      <c r="H2856" s="32">
        <v>52</v>
      </c>
      <c r="I2856" s="30" t="s">
        <v>21</v>
      </c>
      <c r="J2856" s="41">
        <v>44148</v>
      </c>
      <c r="K2856" s="30" t="s">
        <v>22</v>
      </c>
    </row>
    <row r="2857" spans="1:11">
      <c r="A2857" s="33" t="s">
        <v>7021</v>
      </c>
      <c r="B2857" s="33" t="s">
        <v>7022</v>
      </c>
      <c r="C2857" s="33" t="s">
        <v>102</v>
      </c>
      <c r="D2857" s="33" t="s">
        <v>17</v>
      </c>
      <c r="E2857" s="33" t="s">
        <v>31</v>
      </c>
      <c r="F2857" s="33" t="s">
        <v>32</v>
      </c>
      <c r="G2857" s="33" t="s">
        <v>158</v>
      </c>
      <c r="H2857" s="35">
        <v>220</v>
      </c>
      <c r="I2857" s="33" t="s">
        <v>21</v>
      </c>
      <c r="J2857" s="42">
        <v>44183</v>
      </c>
      <c r="K2857" s="33" t="s">
        <v>22</v>
      </c>
    </row>
    <row r="2858" spans="1:11">
      <c r="A2858" s="30" t="s">
        <v>7023</v>
      </c>
      <c r="B2858" s="30" t="s">
        <v>7024</v>
      </c>
      <c r="C2858" s="30" t="s">
        <v>157</v>
      </c>
      <c r="D2858" s="30" t="s">
        <v>17</v>
      </c>
      <c r="E2858" s="30" t="s">
        <v>26</v>
      </c>
      <c r="F2858" s="30" t="s">
        <v>27</v>
      </c>
      <c r="G2858" s="30" t="s">
        <v>20</v>
      </c>
      <c r="H2858" s="32">
        <v>12</v>
      </c>
      <c r="I2858" s="30" t="s">
        <v>21</v>
      </c>
      <c r="J2858" s="41">
        <v>44053</v>
      </c>
      <c r="K2858" s="30" t="s">
        <v>22</v>
      </c>
    </row>
    <row r="2859" spans="1:11">
      <c r="A2859" s="33" t="s">
        <v>7025</v>
      </c>
      <c r="B2859" s="33" t="s">
        <v>7026</v>
      </c>
      <c r="C2859" s="33" t="s">
        <v>1003</v>
      </c>
      <c r="D2859" s="33" t="s">
        <v>17</v>
      </c>
      <c r="E2859" s="33" t="s">
        <v>31</v>
      </c>
      <c r="F2859" s="33" t="s">
        <v>32</v>
      </c>
      <c r="G2859" s="33" t="s">
        <v>20</v>
      </c>
      <c r="H2859" s="35">
        <v>91</v>
      </c>
      <c r="I2859" s="33" t="s">
        <v>21</v>
      </c>
      <c r="J2859" s="42">
        <v>44082</v>
      </c>
      <c r="K2859" s="33" t="s">
        <v>22</v>
      </c>
    </row>
    <row r="2860" spans="1:11">
      <c r="A2860" s="30" t="s">
        <v>7027</v>
      </c>
      <c r="B2860" s="30" t="s">
        <v>7028</v>
      </c>
      <c r="C2860" s="30" t="s">
        <v>4742</v>
      </c>
      <c r="D2860" s="30" t="s">
        <v>17</v>
      </c>
      <c r="E2860" s="30" t="s">
        <v>18</v>
      </c>
      <c r="F2860" s="30" t="s">
        <v>19</v>
      </c>
      <c r="G2860" s="30" t="s">
        <v>20</v>
      </c>
      <c r="H2860" s="32">
        <v>1040</v>
      </c>
      <c r="I2860" s="30" t="s">
        <v>21</v>
      </c>
      <c r="J2860" s="41">
        <v>44135</v>
      </c>
      <c r="K2860" s="30" t="s">
        <v>22</v>
      </c>
    </row>
    <row r="2861" spans="1:11">
      <c r="A2861" s="33" t="s">
        <v>7029</v>
      </c>
      <c r="B2861" s="33" t="s">
        <v>7030</v>
      </c>
      <c r="C2861" s="33" t="s">
        <v>1666</v>
      </c>
      <c r="D2861" s="33" t="s">
        <v>17</v>
      </c>
      <c r="E2861" s="33" t="s">
        <v>26</v>
      </c>
      <c r="F2861" s="33" t="s">
        <v>27</v>
      </c>
      <c r="G2861" s="33" t="s">
        <v>20</v>
      </c>
      <c r="H2861" s="35">
        <v>40</v>
      </c>
      <c r="I2861" s="33" t="s">
        <v>21</v>
      </c>
      <c r="J2861" s="42">
        <v>43945</v>
      </c>
      <c r="K2861" s="33" t="s">
        <v>22</v>
      </c>
    </row>
    <row r="2862" spans="1:11">
      <c r="A2862" s="30" t="s">
        <v>7031</v>
      </c>
      <c r="B2862" s="30" t="s">
        <v>7032</v>
      </c>
      <c r="C2862" s="30" t="s">
        <v>6097</v>
      </c>
      <c r="D2862" s="30" t="s">
        <v>17</v>
      </c>
      <c r="E2862" s="30" t="s">
        <v>26</v>
      </c>
      <c r="F2862" s="30" t="s">
        <v>27</v>
      </c>
      <c r="G2862" s="30" t="s">
        <v>20</v>
      </c>
      <c r="H2862" s="32">
        <v>7</v>
      </c>
      <c r="I2862" s="30" t="s">
        <v>21</v>
      </c>
      <c r="J2862" s="41">
        <v>44021</v>
      </c>
      <c r="K2862" s="30" t="s">
        <v>22</v>
      </c>
    </row>
    <row r="2863" spans="1:11">
      <c r="A2863" s="33" t="s">
        <v>7033</v>
      </c>
      <c r="B2863" s="33" t="s">
        <v>7034</v>
      </c>
      <c r="C2863" s="33" t="s">
        <v>7035</v>
      </c>
      <c r="D2863" s="33" t="s">
        <v>17</v>
      </c>
      <c r="E2863" s="33" t="s">
        <v>26</v>
      </c>
      <c r="F2863" s="33" t="s">
        <v>27</v>
      </c>
      <c r="G2863" s="33" t="s">
        <v>20</v>
      </c>
      <c r="H2863" s="35">
        <v>42</v>
      </c>
      <c r="I2863" s="33" t="s">
        <v>21</v>
      </c>
      <c r="J2863" s="42">
        <v>44091</v>
      </c>
      <c r="K2863" s="33" t="s">
        <v>22</v>
      </c>
    </row>
    <row r="2864" spans="1:11">
      <c r="A2864" s="30" t="s">
        <v>7036</v>
      </c>
      <c r="B2864" s="30" t="s">
        <v>7037</v>
      </c>
      <c r="C2864" s="30" t="s">
        <v>154</v>
      </c>
      <c r="D2864" s="30" t="s">
        <v>17</v>
      </c>
      <c r="E2864" s="30" t="s">
        <v>67</v>
      </c>
      <c r="F2864" s="30" t="s">
        <v>68</v>
      </c>
      <c r="G2864" s="30" t="s">
        <v>20</v>
      </c>
      <c r="H2864" s="32">
        <v>55</v>
      </c>
      <c r="I2864" s="30" t="s">
        <v>21</v>
      </c>
      <c r="J2864" s="41">
        <v>43859</v>
      </c>
      <c r="K2864" s="30" t="s">
        <v>22</v>
      </c>
    </row>
    <row r="2865" spans="1:11">
      <c r="A2865" s="33" t="s">
        <v>7038</v>
      </c>
      <c r="B2865" s="33" t="s">
        <v>7039</v>
      </c>
      <c r="C2865" s="33" t="s">
        <v>7040</v>
      </c>
      <c r="D2865" s="33" t="s">
        <v>17</v>
      </c>
      <c r="E2865" s="33" t="s">
        <v>31</v>
      </c>
      <c r="F2865" s="33" t="s">
        <v>32</v>
      </c>
      <c r="G2865" s="33" t="s">
        <v>20</v>
      </c>
      <c r="H2865" s="35">
        <v>13</v>
      </c>
      <c r="I2865" s="33" t="s">
        <v>21</v>
      </c>
      <c r="J2865" s="42">
        <v>44094</v>
      </c>
      <c r="K2865" s="33" t="s">
        <v>22</v>
      </c>
    </row>
    <row r="2866" spans="1:11">
      <c r="A2866" s="30" t="s">
        <v>7041</v>
      </c>
      <c r="B2866" s="30" t="s">
        <v>7042</v>
      </c>
      <c r="C2866" s="30" t="s">
        <v>3655</v>
      </c>
      <c r="D2866" s="30" t="s">
        <v>17</v>
      </c>
      <c r="E2866" s="30" t="s">
        <v>45</v>
      </c>
      <c r="F2866" s="30" t="s">
        <v>46</v>
      </c>
      <c r="G2866" s="30" t="s">
        <v>20</v>
      </c>
      <c r="H2866" s="32">
        <v>46969</v>
      </c>
      <c r="I2866" s="30" t="s">
        <v>21</v>
      </c>
      <c r="J2866" s="41">
        <v>43950</v>
      </c>
      <c r="K2866" s="30" t="s">
        <v>22</v>
      </c>
    </row>
    <row r="2867" spans="1:11">
      <c r="A2867" s="33" t="s">
        <v>7043</v>
      </c>
      <c r="B2867" s="33" t="s">
        <v>7044</v>
      </c>
      <c r="C2867" s="33" t="s">
        <v>136</v>
      </c>
      <c r="D2867" s="33" t="s">
        <v>17</v>
      </c>
      <c r="E2867" s="33" t="s">
        <v>18</v>
      </c>
      <c r="F2867" s="33" t="s">
        <v>19</v>
      </c>
      <c r="G2867" s="33" t="s">
        <v>20</v>
      </c>
      <c r="H2867" s="35">
        <v>147</v>
      </c>
      <c r="I2867" s="33" t="s">
        <v>21</v>
      </c>
      <c r="J2867" s="42">
        <v>43931</v>
      </c>
      <c r="K2867" s="33" t="s">
        <v>22</v>
      </c>
    </row>
    <row r="2868" spans="1:11">
      <c r="A2868" s="30" t="s">
        <v>7045</v>
      </c>
      <c r="B2868" s="30" t="s">
        <v>7046</v>
      </c>
      <c r="C2868" s="30" t="s">
        <v>75</v>
      </c>
      <c r="D2868" s="30" t="s">
        <v>17</v>
      </c>
      <c r="E2868" s="30" t="s">
        <v>18</v>
      </c>
      <c r="F2868" s="30" t="s">
        <v>19</v>
      </c>
      <c r="G2868" s="30" t="s">
        <v>20</v>
      </c>
      <c r="H2868" s="32">
        <v>112</v>
      </c>
      <c r="I2868" s="30" t="s">
        <v>21</v>
      </c>
      <c r="J2868" s="41">
        <v>44018</v>
      </c>
      <c r="K2868" s="30" t="s">
        <v>22</v>
      </c>
    </row>
    <row r="2869" spans="1:11">
      <c r="A2869" s="33" t="s">
        <v>7047</v>
      </c>
      <c r="B2869" s="33" t="s">
        <v>7048</v>
      </c>
      <c r="C2869" s="33" t="s">
        <v>149</v>
      </c>
      <c r="D2869" s="33" t="s">
        <v>17</v>
      </c>
      <c r="E2869" s="33" t="s">
        <v>31</v>
      </c>
      <c r="F2869" s="33" t="s">
        <v>32</v>
      </c>
      <c r="G2869" s="33" t="s">
        <v>50</v>
      </c>
      <c r="H2869" s="35">
        <v>54</v>
      </c>
      <c r="I2869" s="33" t="s">
        <v>51</v>
      </c>
      <c r="J2869" s="42">
        <v>43952</v>
      </c>
      <c r="K2869" s="33" t="s">
        <v>22</v>
      </c>
    </row>
    <row r="2870" spans="1:11">
      <c r="A2870" s="30" t="s">
        <v>7049</v>
      </c>
      <c r="B2870" s="30" t="s">
        <v>7050</v>
      </c>
      <c r="C2870" s="30" t="s">
        <v>7051</v>
      </c>
      <c r="D2870" s="30" t="s">
        <v>17</v>
      </c>
      <c r="E2870" s="30" t="s">
        <v>67</v>
      </c>
      <c r="F2870" s="30" t="s">
        <v>68</v>
      </c>
      <c r="G2870" s="30" t="s">
        <v>140</v>
      </c>
      <c r="H2870" s="32">
        <v>37</v>
      </c>
      <c r="I2870" s="30" t="s">
        <v>51</v>
      </c>
      <c r="J2870" s="41">
        <v>43845</v>
      </c>
      <c r="K2870" s="30" t="s">
        <v>22</v>
      </c>
    </row>
    <row r="2871" spans="1:11">
      <c r="A2871" s="33" t="s">
        <v>7052</v>
      </c>
      <c r="B2871" s="33" t="s">
        <v>7053</v>
      </c>
      <c r="C2871" s="33" t="s">
        <v>93</v>
      </c>
      <c r="D2871" s="33" t="s">
        <v>17</v>
      </c>
      <c r="E2871" s="33" t="s">
        <v>26</v>
      </c>
      <c r="F2871" s="33" t="s">
        <v>27</v>
      </c>
      <c r="G2871" s="33" t="s">
        <v>106</v>
      </c>
      <c r="H2871" s="35">
        <v>8</v>
      </c>
      <c r="I2871" s="33" t="s">
        <v>21</v>
      </c>
      <c r="J2871" s="42">
        <v>43970</v>
      </c>
      <c r="K2871" s="33" t="s">
        <v>22</v>
      </c>
    </row>
    <row r="2872" spans="1:11">
      <c r="A2872" s="30" t="s">
        <v>7054</v>
      </c>
      <c r="B2872" s="30" t="s">
        <v>7055</v>
      </c>
      <c r="C2872" s="30" t="s">
        <v>136</v>
      </c>
      <c r="D2872" s="30" t="s">
        <v>17</v>
      </c>
      <c r="E2872" s="30" t="s">
        <v>26</v>
      </c>
      <c r="F2872" s="30" t="s">
        <v>27</v>
      </c>
      <c r="G2872" s="30" t="s">
        <v>20</v>
      </c>
      <c r="H2872" s="32">
        <v>55</v>
      </c>
      <c r="I2872" s="30" t="s">
        <v>21</v>
      </c>
      <c r="J2872" s="41">
        <v>44021</v>
      </c>
      <c r="K2872" s="30" t="s">
        <v>22</v>
      </c>
    </row>
    <row r="2873" spans="1:11">
      <c r="A2873" s="33" t="s">
        <v>7056</v>
      </c>
      <c r="B2873" s="33" t="s">
        <v>7057</v>
      </c>
      <c r="C2873" s="33" t="s">
        <v>1228</v>
      </c>
      <c r="D2873" s="33" t="s">
        <v>17</v>
      </c>
      <c r="E2873" s="33" t="s">
        <v>212</v>
      </c>
      <c r="F2873" s="33" t="s">
        <v>213</v>
      </c>
      <c r="G2873" s="33" t="s">
        <v>20</v>
      </c>
      <c r="H2873" s="35">
        <v>75</v>
      </c>
      <c r="I2873" s="33" t="s">
        <v>21</v>
      </c>
      <c r="J2873" s="42">
        <v>43971</v>
      </c>
      <c r="K2873" s="33" t="s">
        <v>22</v>
      </c>
    </row>
    <row r="2874" spans="1:11">
      <c r="A2874" s="30" t="s">
        <v>7058</v>
      </c>
      <c r="B2874" s="30" t="s">
        <v>7059</v>
      </c>
      <c r="C2874" s="30" t="s">
        <v>7060</v>
      </c>
      <c r="D2874" s="30" t="s">
        <v>17</v>
      </c>
      <c r="E2874" s="30" t="s">
        <v>26</v>
      </c>
      <c r="F2874" s="30" t="s">
        <v>27</v>
      </c>
      <c r="G2874" s="30" t="s">
        <v>50</v>
      </c>
      <c r="H2874" s="32">
        <v>10</v>
      </c>
      <c r="I2874" s="30" t="s">
        <v>21</v>
      </c>
      <c r="J2874" s="41">
        <v>43966</v>
      </c>
      <c r="K2874" s="30" t="s">
        <v>22</v>
      </c>
    </row>
    <row r="2875" spans="1:11">
      <c r="A2875" s="33" t="s">
        <v>7061</v>
      </c>
      <c r="B2875" s="33" t="s">
        <v>7062</v>
      </c>
      <c r="C2875" s="33" t="s">
        <v>1598</v>
      </c>
      <c r="D2875" s="33" t="s">
        <v>17</v>
      </c>
      <c r="E2875" s="33" t="s">
        <v>26</v>
      </c>
      <c r="F2875" s="33" t="s">
        <v>27</v>
      </c>
      <c r="G2875" s="33" t="s">
        <v>20</v>
      </c>
      <c r="H2875" s="35">
        <v>46</v>
      </c>
      <c r="I2875" s="33" t="s">
        <v>21</v>
      </c>
      <c r="J2875" s="42">
        <v>44070</v>
      </c>
      <c r="K2875" s="33" t="s">
        <v>22</v>
      </c>
    </row>
    <row r="2876" spans="1:11">
      <c r="A2876" s="30" t="s">
        <v>7063</v>
      </c>
      <c r="B2876" s="30" t="s">
        <v>7064</v>
      </c>
      <c r="C2876" s="30" t="s">
        <v>1677</v>
      </c>
      <c r="D2876" s="30" t="s">
        <v>17</v>
      </c>
      <c r="E2876" s="30" t="s">
        <v>18</v>
      </c>
      <c r="F2876" s="30" t="s">
        <v>19</v>
      </c>
      <c r="G2876" s="30" t="s">
        <v>20</v>
      </c>
      <c r="H2876" s="32">
        <v>1004</v>
      </c>
      <c r="I2876" s="30" t="s">
        <v>21</v>
      </c>
      <c r="J2876" s="41">
        <v>44180</v>
      </c>
      <c r="K2876" s="30" t="s">
        <v>22</v>
      </c>
    </row>
    <row r="2877" spans="1:11">
      <c r="A2877" s="33" t="s">
        <v>7065</v>
      </c>
      <c r="B2877" s="33" t="s">
        <v>7066</v>
      </c>
      <c r="C2877" s="33" t="s">
        <v>7067</v>
      </c>
      <c r="D2877" s="33" t="s">
        <v>17</v>
      </c>
      <c r="E2877" s="33" t="s">
        <v>26</v>
      </c>
      <c r="F2877" s="33" t="s">
        <v>27</v>
      </c>
      <c r="G2877" s="33" t="s">
        <v>20</v>
      </c>
      <c r="H2877" s="35">
        <v>5</v>
      </c>
      <c r="I2877" s="33" t="s">
        <v>21</v>
      </c>
      <c r="J2877" s="42">
        <v>43976</v>
      </c>
      <c r="K2877" s="33" t="s">
        <v>22</v>
      </c>
    </row>
    <row r="2878" spans="1:11">
      <c r="A2878" s="30" t="s">
        <v>7068</v>
      </c>
      <c r="B2878" s="30" t="s">
        <v>7069</v>
      </c>
      <c r="C2878" s="30" t="s">
        <v>203</v>
      </c>
      <c r="D2878" s="30" t="s">
        <v>17</v>
      </c>
      <c r="E2878" s="30" t="s">
        <v>67</v>
      </c>
      <c r="F2878" s="30" t="s">
        <v>68</v>
      </c>
      <c r="G2878" s="30" t="s">
        <v>106</v>
      </c>
      <c r="H2878" s="32">
        <v>65</v>
      </c>
      <c r="I2878" s="30" t="s">
        <v>21</v>
      </c>
      <c r="J2878" s="41">
        <v>43991</v>
      </c>
      <c r="K2878" s="30" t="s">
        <v>22</v>
      </c>
    </row>
    <row r="2879" spans="1:11">
      <c r="A2879" s="33" t="s">
        <v>7070</v>
      </c>
      <c r="B2879" s="33" t="s">
        <v>7071</v>
      </c>
      <c r="C2879" s="33" t="s">
        <v>7072</v>
      </c>
      <c r="D2879" s="33" t="s">
        <v>17</v>
      </c>
      <c r="E2879" s="33" t="s">
        <v>18</v>
      </c>
      <c r="F2879" s="33" t="s">
        <v>19</v>
      </c>
      <c r="G2879" s="33" t="s">
        <v>20</v>
      </c>
      <c r="H2879" s="35">
        <v>688</v>
      </c>
      <c r="I2879" s="33" t="s">
        <v>21</v>
      </c>
      <c r="J2879" s="42">
        <v>44196</v>
      </c>
      <c r="K2879" s="33" t="s">
        <v>22</v>
      </c>
    </row>
    <row r="2880" spans="1:11">
      <c r="A2880" s="30" t="s">
        <v>7073</v>
      </c>
      <c r="B2880" s="30" t="s">
        <v>7074</v>
      </c>
      <c r="C2880" s="30" t="s">
        <v>5672</v>
      </c>
      <c r="D2880" s="30" t="s">
        <v>17</v>
      </c>
      <c r="E2880" s="30" t="s">
        <v>18</v>
      </c>
      <c r="F2880" s="30" t="s">
        <v>19</v>
      </c>
      <c r="G2880" s="30" t="s">
        <v>20</v>
      </c>
      <c r="H2880" s="32">
        <v>2038</v>
      </c>
      <c r="I2880" s="30" t="s">
        <v>21</v>
      </c>
      <c r="J2880" s="41">
        <v>44000</v>
      </c>
      <c r="K2880" s="30" t="s">
        <v>22</v>
      </c>
    </row>
    <row r="2881" spans="1:11">
      <c r="A2881" s="33" t="s">
        <v>7075</v>
      </c>
      <c r="B2881" s="33" t="s">
        <v>7076</v>
      </c>
      <c r="C2881" s="33" t="s">
        <v>246</v>
      </c>
      <c r="D2881" s="33" t="s">
        <v>17</v>
      </c>
      <c r="E2881" s="33" t="s">
        <v>67</v>
      </c>
      <c r="F2881" s="33" t="s">
        <v>68</v>
      </c>
      <c r="G2881" s="33" t="s">
        <v>50</v>
      </c>
      <c r="H2881" s="35">
        <v>28</v>
      </c>
      <c r="I2881" s="33" t="s">
        <v>51</v>
      </c>
      <c r="J2881" s="42">
        <v>44063</v>
      </c>
      <c r="K2881" s="33" t="s">
        <v>22</v>
      </c>
    </row>
    <row r="2882" spans="1:11">
      <c r="A2882" s="30" t="s">
        <v>7077</v>
      </c>
      <c r="B2882" s="30" t="s">
        <v>7078</v>
      </c>
      <c r="C2882" s="30" t="s">
        <v>1498</v>
      </c>
      <c r="D2882" s="30" t="s">
        <v>17</v>
      </c>
      <c r="E2882" s="30" t="s">
        <v>26</v>
      </c>
      <c r="F2882" s="30" t="s">
        <v>27</v>
      </c>
      <c r="G2882" s="30" t="s">
        <v>20</v>
      </c>
      <c r="H2882" s="32">
        <v>32</v>
      </c>
      <c r="I2882" s="30" t="s">
        <v>21</v>
      </c>
      <c r="J2882" s="41">
        <v>44030</v>
      </c>
      <c r="K2882" s="30" t="s">
        <v>22</v>
      </c>
    </row>
    <row r="2883" spans="1:11">
      <c r="A2883" s="33" t="s">
        <v>7079</v>
      </c>
      <c r="B2883" s="33" t="s">
        <v>7080</v>
      </c>
      <c r="C2883" s="33" t="s">
        <v>7081</v>
      </c>
      <c r="D2883" s="33" t="s">
        <v>17</v>
      </c>
      <c r="E2883" s="33" t="s">
        <v>67</v>
      </c>
      <c r="F2883" s="33" t="s">
        <v>68</v>
      </c>
      <c r="G2883" s="33" t="s">
        <v>158</v>
      </c>
      <c r="H2883" s="35">
        <v>12</v>
      </c>
      <c r="I2883" s="33" t="s">
        <v>21</v>
      </c>
      <c r="J2883" s="42">
        <v>43838</v>
      </c>
      <c r="K2883" s="33" t="s">
        <v>22</v>
      </c>
    </row>
    <row r="2884" spans="1:11">
      <c r="A2884" s="30" t="s">
        <v>7082</v>
      </c>
      <c r="B2884" s="30" t="s">
        <v>7083</v>
      </c>
      <c r="C2884" s="30" t="s">
        <v>2842</v>
      </c>
      <c r="D2884" s="30" t="s">
        <v>17</v>
      </c>
      <c r="E2884" s="30" t="s">
        <v>26</v>
      </c>
      <c r="F2884" s="30" t="s">
        <v>27</v>
      </c>
      <c r="G2884" s="30" t="s">
        <v>20</v>
      </c>
      <c r="H2884" s="32">
        <v>48</v>
      </c>
      <c r="I2884" s="30" t="s">
        <v>21</v>
      </c>
      <c r="J2884" s="41">
        <v>44188</v>
      </c>
      <c r="K2884" s="30" t="s">
        <v>22</v>
      </c>
    </row>
    <row r="2885" spans="1:11">
      <c r="A2885" s="33" t="s">
        <v>7084</v>
      </c>
      <c r="B2885" s="33" t="s">
        <v>7085</v>
      </c>
      <c r="C2885" s="33" t="s">
        <v>178</v>
      </c>
      <c r="D2885" s="33" t="s">
        <v>17</v>
      </c>
      <c r="E2885" s="33" t="s">
        <v>67</v>
      </c>
      <c r="F2885" s="33" t="s">
        <v>68</v>
      </c>
      <c r="G2885" s="33" t="s">
        <v>158</v>
      </c>
      <c r="H2885" s="35">
        <v>177</v>
      </c>
      <c r="I2885" s="33" t="s">
        <v>21</v>
      </c>
      <c r="J2885" s="42">
        <v>44132</v>
      </c>
      <c r="K2885" s="33" t="s">
        <v>22</v>
      </c>
    </row>
    <row r="2886" spans="1:11">
      <c r="A2886" s="30" t="s">
        <v>7086</v>
      </c>
      <c r="B2886" s="30" t="s">
        <v>7087</v>
      </c>
      <c r="C2886" s="30" t="s">
        <v>109</v>
      </c>
      <c r="D2886" s="30" t="s">
        <v>17</v>
      </c>
      <c r="E2886" s="30" t="s">
        <v>18</v>
      </c>
      <c r="F2886" s="30" t="s">
        <v>19</v>
      </c>
      <c r="G2886" s="30" t="s">
        <v>20</v>
      </c>
      <c r="H2886" s="32">
        <v>454</v>
      </c>
      <c r="I2886" s="30" t="s">
        <v>21</v>
      </c>
      <c r="J2886" s="41">
        <v>43951</v>
      </c>
      <c r="K2886" s="30" t="s">
        <v>22</v>
      </c>
    </row>
    <row r="2887" spans="1:11">
      <c r="A2887" s="33" t="s">
        <v>7088</v>
      </c>
      <c r="B2887" s="33" t="s">
        <v>7089</v>
      </c>
      <c r="C2887" s="33" t="s">
        <v>1504</v>
      </c>
      <c r="D2887" s="33" t="s">
        <v>17</v>
      </c>
      <c r="E2887" s="33" t="s">
        <v>26</v>
      </c>
      <c r="F2887" s="33" t="s">
        <v>27</v>
      </c>
      <c r="G2887" s="33" t="s">
        <v>20</v>
      </c>
      <c r="H2887" s="35">
        <v>120</v>
      </c>
      <c r="I2887" s="33" t="s">
        <v>21</v>
      </c>
      <c r="J2887" s="42">
        <v>43984</v>
      </c>
      <c r="K2887" s="33" t="s">
        <v>22</v>
      </c>
    </row>
    <row r="2888" spans="1:11">
      <c r="A2888" s="30" t="s">
        <v>7090</v>
      </c>
      <c r="B2888" s="30" t="s">
        <v>7091</v>
      </c>
      <c r="C2888" s="30" t="s">
        <v>1391</v>
      </c>
      <c r="D2888" s="30" t="s">
        <v>17</v>
      </c>
      <c r="E2888" s="30" t="s">
        <v>67</v>
      </c>
      <c r="F2888" s="30" t="s">
        <v>68</v>
      </c>
      <c r="G2888" s="30" t="s">
        <v>20</v>
      </c>
      <c r="H2888" s="32">
        <v>1419</v>
      </c>
      <c r="I2888" s="30" t="s">
        <v>21</v>
      </c>
      <c r="J2888" s="41">
        <v>43976</v>
      </c>
      <c r="K2888" s="30" t="s">
        <v>22</v>
      </c>
    </row>
    <row r="2889" spans="1:11">
      <c r="A2889" s="33" t="s">
        <v>7092</v>
      </c>
      <c r="B2889" s="33" t="s">
        <v>7093</v>
      </c>
      <c r="C2889" s="33" t="s">
        <v>7094</v>
      </c>
      <c r="D2889" s="33" t="s">
        <v>17</v>
      </c>
      <c r="E2889" s="33" t="s">
        <v>31</v>
      </c>
      <c r="F2889" s="33" t="s">
        <v>32</v>
      </c>
      <c r="G2889" s="33" t="s">
        <v>20</v>
      </c>
      <c r="H2889" s="35">
        <v>118</v>
      </c>
      <c r="I2889" s="33" t="s">
        <v>21</v>
      </c>
      <c r="J2889" s="42">
        <v>43888</v>
      </c>
      <c r="K2889" s="33" t="s">
        <v>22</v>
      </c>
    </row>
    <row r="2890" spans="1:11">
      <c r="A2890" s="30" t="s">
        <v>7095</v>
      </c>
      <c r="B2890" s="30" t="s">
        <v>7096</v>
      </c>
      <c r="C2890" s="30" t="s">
        <v>318</v>
      </c>
      <c r="D2890" s="30" t="s">
        <v>17</v>
      </c>
      <c r="E2890" s="30" t="s">
        <v>212</v>
      </c>
      <c r="F2890" s="30" t="s">
        <v>213</v>
      </c>
      <c r="G2890" s="30" t="s">
        <v>20</v>
      </c>
      <c r="H2890" s="32">
        <v>512</v>
      </c>
      <c r="I2890" s="30" t="s">
        <v>21</v>
      </c>
      <c r="J2890" s="41">
        <v>44089</v>
      </c>
      <c r="K2890" s="30" t="s">
        <v>22</v>
      </c>
    </row>
    <row r="2891" spans="1:11">
      <c r="A2891" s="33" t="s">
        <v>7097</v>
      </c>
      <c r="B2891" s="33" t="s">
        <v>7098</v>
      </c>
      <c r="C2891" s="33" t="s">
        <v>1469</v>
      </c>
      <c r="D2891" s="33" t="s">
        <v>17</v>
      </c>
      <c r="E2891" s="33" t="s">
        <v>18</v>
      </c>
      <c r="F2891" s="33" t="s">
        <v>19</v>
      </c>
      <c r="G2891" s="33" t="s">
        <v>20</v>
      </c>
      <c r="H2891" s="35">
        <v>300</v>
      </c>
      <c r="I2891" s="33" t="s">
        <v>21</v>
      </c>
      <c r="J2891" s="42">
        <v>43871</v>
      </c>
      <c r="K2891" s="33" t="s">
        <v>22</v>
      </c>
    </row>
    <row r="2892" spans="1:11">
      <c r="A2892" s="30" t="s">
        <v>7099</v>
      </c>
      <c r="B2892" s="30" t="s">
        <v>7100</v>
      </c>
      <c r="C2892" s="30" t="s">
        <v>118</v>
      </c>
      <c r="D2892" s="30" t="s">
        <v>17</v>
      </c>
      <c r="E2892" s="30" t="s">
        <v>26</v>
      </c>
      <c r="F2892" s="30" t="s">
        <v>27</v>
      </c>
      <c r="G2892" s="30" t="s">
        <v>106</v>
      </c>
      <c r="H2892" s="32">
        <v>8</v>
      </c>
      <c r="I2892" s="30" t="s">
        <v>21</v>
      </c>
      <c r="J2892" s="41">
        <v>43896</v>
      </c>
      <c r="K2892" s="30" t="s">
        <v>22</v>
      </c>
    </row>
    <row r="2893" spans="1:11">
      <c r="A2893" s="33" t="s">
        <v>7101</v>
      </c>
      <c r="B2893" s="33" t="s">
        <v>7102</v>
      </c>
      <c r="C2893" s="33" t="s">
        <v>1324</v>
      </c>
      <c r="D2893" s="33" t="s">
        <v>17</v>
      </c>
      <c r="E2893" s="33" t="s">
        <v>31</v>
      </c>
      <c r="F2893" s="33" t="s">
        <v>32</v>
      </c>
      <c r="G2893" s="33" t="s">
        <v>106</v>
      </c>
      <c r="H2893" s="35">
        <v>5</v>
      </c>
      <c r="I2893" s="33" t="s">
        <v>21</v>
      </c>
      <c r="J2893" s="42">
        <v>44011</v>
      </c>
      <c r="K2893" s="33" t="s">
        <v>22</v>
      </c>
    </row>
    <row r="2894" spans="1:11">
      <c r="A2894" s="30" t="s">
        <v>7103</v>
      </c>
      <c r="B2894" s="30" t="s">
        <v>7104</v>
      </c>
      <c r="C2894" s="30" t="s">
        <v>203</v>
      </c>
      <c r="D2894" s="30" t="s">
        <v>17</v>
      </c>
      <c r="E2894" s="30" t="s">
        <v>18</v>
      </c>
      <c r="F2894" s="30" t="s">
        <v>19</v>
      </c>
      <c r="G2894" s="30" t="s">
        <v>20</v>
      </c>
      <c r="H2894" s="32">
        <v>935</v>
      </c>
      <c r="I2894" s="30" t="s">
        <v>21</v>
      </c>
      <c r="J2894" s="41">
        <v>44018</v>
      </c>
      <c r="K2894" s="30" t="s">
        <v>22</v>
      </c>
    </row>
    <row r="2895" spans="1:11">
      <c r="A2895" s="33" t="s">
        <v>7105</v>
      </c>
      <c r="B2895" s="33" t="s">
        <v>7106</v>
      </c>
      <c r="C2895" s="33" t="s">
        <v>7107</v>
      </c>
      <c r="D2895" s="33" t="s">
        <v>17</v>
      </c>
      <c r="E2895" s="33" t="s">
        <v>31</v>
      </c>
      <c r="F2895" s="33" t="s">
        <v>32</v>
      </c>
      <c r="G2895" s="33" t="s">
        <v>50</v>
      </c>
      <c r="H2895" s="35">
        <v>44</v>
      </c>
      <c r="I2895" s="33" t="s">
        <v>51</v>
      </c>
      <c r="J2895" s="42">
        <v>43845</v>
      </c>
      <c r="K2895" s="33" t="s">
        <v>22</v>
      </c>
    </row>
    <row r="2896" spans="1:11">
      <c r="A2896" s="30" t="s">
        <v>7108</v>
      </c>
      <c r="B2896" s="30" t="s">
        <v>7109</v>
      </c>
      <c r="C2896" s="30" t="s">
        <v>7110</v>
      </c>
      <c r="D2896" s="30" t="s">
        <v>17</v>
      </c>
      <c r="E2896" s="30" t="s">
        <v>31</v>
      </c>
      <c r="F2896" s="30" t="s">
        <v>32</v>
      </c>
      <c r="G2896" s="30" t="s">
        <v>50</v>
      </c>
      <c r="H2896" s="32">
        <v>120</v>
      </c>
      <c r="I2896" s="30" t="s">
        <v>21</v>
      </c>
      <c r="J2896" s="41">
        <v>44180</v>
      </c>
      <c r="K2896" s="30" t="s">
        <v>22</v>
      </c>
    </row>
    <row r="2897" spans="1:11">
      <c r="A2897" s="33" t="s">
        <v>7111</v>
      </c>
      <c r="B2897" s="33" t="s">
        <v>7112</v>
      </c>
      <c r="C2897" s="33" t="s">
        <v>124</v>
      </c>
      <c r="D2897" s="33" t="s">
        <v>17</v>
      </c>
      <c r="E2897" s="33" t="s">
        <v>26</v>
      </c>
      <c r="F2897" s="33" t="s">
        <v>27</v>
      </c>
      <c r="G2897" s="33" t="s">
        <v>20</v>
      </c>
      <c r="H2897" s="35">
        <v>31</v>
      </c>
      <c r="I2897" s="33" t="s">
        <v>21</v>
      </c>
      <c r="J2897" s="42">
        <v>44188</v>
      </c>
      <c r="K2897" s="33" t="s">
        <v>22</v>
      </c>
    </row>
    <row r="2898" spans="1:11">
      <c r="A2898" s="30" t="s">
        <v>7113</v>
      </c>
      <c r="B2898" s="30" t="s">
        <v>7114</v>
      </c>
      <c r="C2898" s="30" t="s">
        <v>7115</v>
      </c>
      <c r="D2898" s="30" t="s">
        <v>17</v>
      </c>
      <c r="E2898" s="30" t="s">
        <v>31</v>
      </c>
      <c r="F2898" s="30" t="s">
        <v>32</v>
      </c>
      <c r="G2898" s="30" t="s">
        <v>50</v>
      </c>
      <c r="H2898" s="32">
        <v>80</v>
      </c>
      <c r="I2898" s="30" t="s">
        <v>51</v>
      </c>
      <c r="J2898" s="41">
        <v>44166</v>
      </c>
      <c r="K2898" s="30" t="s">
        <v>22</v>
      </c>
    </row>
    <row r="2899" spans="1:11">
      <c r="A2899" s="33" t="s">
        <v>7116</v>
      </c>
      <c r="B2899" s="33" t="s">
        <v>7117</v>
      </c>
      <c r="C2899" s="33" t="s">
        <v>5122</v>
      </c>
      <c r="D2899" s="33" t="s">
        <v>17</v>
      </c>
      <c r="E2899" s="33" t="s">
        <v>31</v>
      </c>
      <c r="F2899" s="33" t="s">
        <v>32</v>
      </c>
      <c r="G2899" s="33" t="s">
        <v>20</v>
      </c>
      <c r="H2899" s="35">
        <v>200</v>
      </c>
      <c r="I2899" s="33" t="s">
        <v>21</v>
      </c>
      <c r="J2899" s="42">
        <v>43950</v>
      </c>
      <c r="K2899" s="33" t="s">
        <v>22</v>
      </c>
    </row>
    <row r="2900" spans="1:11">
      <c r="A2900" s="30" t="s">
        <v>7118</v>
      </c>
      <c r="B2900" s="30" t="s">
        <v>7119</v>
      </c>
      <c r="C2900" s="30" t="s">
        <v>7120</v>
      </c>
      <c r="D2900" s="30" t="s">
        <v>17</v>
      </c>
      <c r="E2900" s="30" t="s">
        <v>31</v>
      </c>
      <c r="F2900" s="30" t="s">
        <v>32</v>
      </c>
      <c r="G2900" s="30" t="s">
        <v>112</v>
      </c>
      <c r="H2900" s="32">
        <v>0</v>
      </c>
      <c r="I2900" s="30" t="s">
        <v>21</v>
      </c>
      <c r="J2900" s="41">
        <v>44027</v>
      </c>
      <c r="K2900" s="30" t="s">
        <v>22</v>
      </c>
    </row>
    <row r="2901" spans="1:11">
      <c r="A2901" s="33" t="s">
        <v>7121</v>
      </c>
      <c r="B2901" s="33" t="s">
        <v>7122</v>
      </c>
      <c r="C2901" s="33" t="s">
        <v>154</v>
      </c>
      <c r="D2901" s="33" t="s">
        <v>17</v>
      </c>
      <c r="E2901" s="33" t="s">
        <v>31</v>
      </c>
      <c r="F2901" s="33" t="s">
        <v>32</v>
      </c>
      <c r="G2901" s="33" t="s">
        <v>20</v>
      </c>
      <c r="H2901" s="35">
        <v>63</v>
      </c>
      <c r="I2901" s="33" t="s">
        <v>21</v>
      </c>
      <c r="J2901" s="42">
        <v>44018</v>
      </c>
      <c r="K2901" s="33" t="s">
        <v>22</v>
      </c>
    </row>
    <row r="2902" spans="1:11">
      <c r="A2902" s="30" t="s">
        <v>7123</v>
      </c>
      <c r="B2902" s="30" t="s">
        <v>7124</v>
      </c>
      <c r="C2902" s="30" t="s">
        <v>4676</v>
      </c>
      <c r="D2902" s="30" t="s">
        <v>17</v>
      </c>
      <c r="E2902" s="30" t="s">
        <v>31</v>
      </c>
      <c r="F2902" s="30" t="s">
        <v>32</v>
      </c>
      <c r="G2902" s="30" t="s">
        <v>20</v>
      </c>
      <c r="H2902" s="32">
        <v>204</v>
      </c>
      <c r="I2902" s="30" t="s">
        <v>21</v>
      </c>
      <c r="J2902" s="41">
        <v>44001</v>
      </c>
      <c r="K2902" s="30" t="s">
        <v>22</v>
      </c>
    </row>
    <row r="2903" spans="1:11">
      <c r="A2903" s="33" t="s">
        <v>7125</v>
      </c>
      <c r="B2903" s="33" t="s">
        <v>7126</v>
      </c>
      <c r="C2903" s="33" t="s">
        <v>7127</v>
      </c>
      <c r="D2903" s="33" t="s">
        <v>17</v>
      </c>
      <c r="E2903" s="33" t="s">
        <v>31</v>
      </c>
      <c r="F2903" s="33" t="s">
        <v>32</v>
      </c>
      <c r="G2903" s="33" t="s">
        <v>20</v>
      </c>
      <c r="H2903" s="35">
        <v>24</v>
      </c>
      <c r="I2903" s="33" t="s">
        <v>21</v>
      </c>
      <c r="J2903" s="42">
        <v>43952</v>
      </c>
      <c r="K2903" s="33" t="s">
        <v>22</v>
      </c>
    </row>
    <row r="2904" spans="1:11">
      <c r="A2904" s="30" t="s">
        <v>7128</v>
      </c>
      <c r="B2904" s="30" t="s">
        <v>7129</v>
      </c>
      <c r="C2904" s="30" t="s">
        <v>157</v>
      </c>
      <c r="D2904" s="30" t="s">
        <v>17</v>
      </c>
      <c r="E2904" s="30" t="s">
        <v>26</v>
      </c>
      <c r="F2904" s="30" t="s">
        <v>27</v>
      </c>
      <c r="G2904" s="30" t="s">
        <v>20</v>
      </c>
      <c r="H2904" s="32">
        <v>6</v>
      </c>
      <c r="I2904" s="30" t="s">
        <v>21</v>
      </c>
      <c r="J2904" s="41">
        <v>44021</v>
      </c>
      <c r="K2904" s="30" t="s">
        <v>22</v>
      </c>
    </row>
    <row r="2905" spans="1:11">
      <c r="A2905" s="33" t="s">
        <v>7130</v>
      </c>
      <c r="B2905" s="33" t="s">
        <v>7131</v>
      </c>
      <c r="C2905" s="33" t="s">
        <v>7132</v>
      </c>
      <c r="D2905" s="33" t="s">
        <v>17</v>
      </c>
      <c r="E2905" s="33" t="s">
        <v>31</v>
      </c>
      <c r="F2905" s="33" t="s">
        <v>32</v>
      </c>
      <c r="G2905" s="33" t="s">
        <v>50</v>
      </c>
      <c r="H2905" s="35">
        <v>207</v>
      </c>
      <c r="I2905" s="33" t="s">
        <v>21</v>
      </c>
      <c r="J2905" s="42">
        <v>44174</v>
      </c>
      <c r="K2905" s="33" t="s">
        <v>22</v>
      </c>
    </row>
    <row r="2906" spans="1:11">
      <c r="A2906" s="30" t="s">
        <v>7133</v>
      </c>
      <c r="B2906" s="30" t="s">
        <v>7134</v>
      </c>
      <c r="C2906" s="30" t="s">
        <v>7035</v>
      </c>
      <c r="D2906" s="30" t="s">
        <v>17</v>
      </c>
      <c r="E2906" s="30" t="s">
        <v>18</v>
      </c>
      <c r="F2906" s="30" t="s">
        <v>19</v>
      </c>
      <c r="G2906" s="30" t="s">
        <v>20</v>
      </c>
      <c r="H2906" s="32">
        <v>1767</v>
      </c>
      <c r="I2906" s="30" t="s">
        <v>21</v>
      </c>
      <c r="J2906" s="41">
        <v>44166</v>
      </c>
      <c r="K2906" s="30" t="s">
        <v>22</v>
      </c>
    </row>
    <row r="2907" spans="1:11">
      <c r="A2907" s="33" t="s">
        <v>7135</v>
      </c>
      <c r="B2907" s="33" t="s">
        <v>7136</v>
      </c>
      <c r="C2907" s="33" t="s">
        <v>149</v>
      </c>
      <c r="D2907" s="33" t="s">
        <v>17</v>
      </c>
      <c r="E2907" s="33" t="s">
        <v>26</v>
      </c>
      <c r="F2907" s="33" t="s">
        <v>27</v>
      </c>
      <c r="G2907" s="33" t="s">
        <v>50</v>
      </c>
      <c r="H2907" s="35">
        <v>91</v>
      </c>
      <c r="I2907" s="33" t="s">
        <v>21</v>
      </c>
      <c r="J2907" s="42">
        <v>43917</v>
      </c>
      <c r="K2907" s="33" t="s">
        <v>22</v>
      </c>
    </row>
    <row r="2908" spans="1:11">
      <c r="A2908" s="30" t="s">
        <v>7137</v>
      </c>
      <c r="B2908" s="30" t="s">
        <v>7138</v>
      </c>
      <c r="C2908" s="30" t="s">
        <v>2900</v>
      </c>
      <c r="D2908" s="30" t="s">
        <v>17</v>
      </c>
      <c r="E2908" s="30" t="s">
        <v>31</v>
      </c>
      <c r="F2908" s="30" t="s">
        <v>32</v>
      </c>
      <c r="G2908" s="30" t="s">
        <v>20</v>
      </c>
      <c r="H2908" s="32">
        <v>63</v>
      </c>
      <c r="I2908" s="30" t="s">
        <v>21</v>
      </c>
      <c r="J2908" s="41">
        <v>44182</v>
      </c>
      <c r="K2908" s="30" t="s">
        <v>22</v>
      </c>
    </row>
    <row r="2909" spans="1:11">
      <c r="A2909" s="33" t="s">
        <v>7139</v>
      </c>
      <c r="B2909" s="33" t="s">
        <v>7140</v>
      </c>
      <c r="C2909" s="33" t="s">
        <v>96</v>
      </c>
      <c r="D2909" s="33" t="s">
        <v>17</v>
      </c>
      <c r="E2909" s="33" t="s">
        <v>26</v>
      </c>
      <c r="F2909" s="33" t="s">
        <v>27</v>
      </c>
      <c r="G2909" s="33" t="s">
        <v>20</v>
      </c>
      <c r="H2909" s="35">
        <v>23</v>
      </c>
      <c r="I2909" s="33" t="s">
        <v>21</v>
      </c>
      <c r="J2909" s="42">
        <v>43851</v>
      </c>
      <c r="K2909" s="33" t="s">
        <v>22</v>
      </c>
    </row>
    <row r="2910" spans="1:11">
      <c r="A2910" s="30" t="s">
        <v>7141</v>
      </c>
      <c r="B2910" s="30" t="s">
        <v>7142</v>
      </c>
      <c r="C2910" s="30" t="s">
        <v>3084</v>
      </c>
      <c r="D2910" s="30" t="s">
        <v>17</v>
      </c>
      <c r="E2910" s="30" t="s">
        <v>18</v>
      </c>
      <c r="F2910" s="30" t="s">
        <v>19</v>
      </c>
      <c r="G2910" s="30" t="s">
        <v>106</v>
      </c>
      <c r="H2910" s="32">
        <v>353</v>
      </c>
      <c r="I2910" s="30" t="s">
        <v>21</v>
      </c>
      <c r="J2910" s="41">
        <v>44065</v>
      </c>
      <c r="K2910" s="30" t="s">
        <v>22</v>
      </c>
    </row>
    <row r="2911" spans="1:11">
      <c r="A2911" s="33" t="s">
        <v>7143</v>
      </c>
      <c r="B2911" s="33" t="s">
        <v>7144</v>
      </c>
      <c r="C2911" s="33" t="s">
        <v>549</v>
      </c>
      <c r="D2911" s="33" t="s">
        <v>17</v>
      </c>
      <c r="E2911" s="33" t="s">
        <v>67</v>
      </c>
      <c r="F2911" s="33" t="s">
        <v>68</v>
      </c>
      <c r="G2911" s="33" t="s">
        <v>20</v>
      </c>
      <c r="H2911" s="35">
        <v>93</v>
      </c>
      <c r="I2911" s="33" t="s">
        <v>21</v>
      </c>
      <c r="J2911" s="42">
        <v>44021</v>
      </c>
      <c r="K2911" s="33" t="s">
        <v>22</v>
      </c>
    </row>
    <row r="2912" spans="1:11">
      <c r="A2912" s="30" t="s">
        <v>7145</v>
      </c>
      <c r="B2912" s="30" t="s">
        <v>7146</v>
      </c>
      <c r="C2912" s="30" t="s">
        <v>2585</v>
      </c>
      <c r="D2912" s="30" t="s">
        <v>17</v>
      </c>
      <c r="E2912" s="30" t="s">
        <v>26</v>
      </c>
      <c r="F2912" s="30" t="s">
        <v>27</v>
      </c>
      <c r="G2912" s="30" t="s">
        <v>20</v>
      </c>
      <c r="H2912" s="32">
        <v>71</v>
      </c>
      <c r="I2912" s="30" t="s">
        <v>21</v>
      </c>
      <c r="J2912" s="41">
        <v>43850</v>
      </c>
      <c r="K2912" s="30" t="s">
        <v>22</v>
      </c>
    </row>
    <row r="2913" spans="1:11">
      <c r="A2913" s="33" t="s">
        <v>7147</v>
      </c>
      <c r="B2913" s="33" t="s">
        <v>7148</v>
      </c>
      <c r="C2913" s="33" t="s">
        <v>570</v>
      </c>
      <c r="D2913" s="33" t="s">
        <v>17</v>
      </c>
      <c r="E2913" s="33" t="s">
        <v>26</v>
      </c>
      <c r="F2913" s="33" t="s">
        <v>27</v>
      </c>
      <c r="G2913" s="33" t="s">
        <v>20</v>
      </c>
      <c r="H2913" s="35">
        <v>6</v>
      </c>
      <c r="I2913" s="33" t="s">
        <v>21</v>
      </c>
      <c r="J2913" s="42">
        <v>43936</v>
      </c>
      <c r="K2913" s="33" t="s">
        <v>22</v>
      </c>
    </row>
    <row r="2914" spans="1:11">
      <c r="A2914" s="30" t="s">
        <v>7149</v>
      </c>
      <c r="B2914" s="30" t="s">
        <v>7150</v>
      </c>
      <c r="C2914" s="30" t="s">
        <v>102</v>
      </c>
      <c r="D2914" s="30" t="s">
        <v>17</v>
      </c>
      <c r="E2914" s="30" t="s">
        <v>26</v>
      </c>
      <c r="F2914" s="30" t="s">
        <v>27</v>
      </c>
      <c r="G2914" s="30" t="s">
        <v>20</v>
      </c>
      <c r="H2914" s="32">
        <v>66</v>
      </c>
      <c r="I2914" s="30" t="s">
        <v>21</v>
      </c>
      <c r="J2914" s="41">
        <v>43847</v>
      </c>
      <c r="K2914" s="30" t="s">
        <v>22</v>
      </c>
    </row>
    <row r="2915" spans="1:11">
      <c r="A2915" s="33" t="s">
        <v>7151</v>
      </c>
      <c r="B2915" s="33" t="s">
        <v>7152</v>
      </c>
      <c r="C2915" s="33" t="s">
        <v>7153</v>
      </c>
      <c r="D2915" s="33" t="s">
        <v>17</v>
      </c>
      <c r="E2915" s="33" t="s">
        <v>31</v>
      </c>
      <c r="F2915" s="33" t="s">
        <v>32</v>
      </c>
      <c r="G2915" s="33" t="s">
        <v>20</v>
      </c>
      <c r="H2915" s="35">
        <v>77</v>
      </c>
      <c r="I2915" s="33" t="s">
        <v>21</v>
      </c>
      <c r="J2915" s="42">
        <v>44158</v>
      </c>
      <c r="K2915" s="33" t="s">
        <v>22</v>
      </c>
    </row>
    <row r="2916" spans="1:11">
      <c r="A2916" s="30" t="s">
        <v>7154</v>
      </c>
      <c r="B2916" s="30" t="s">
        <v>7155</v>
      </c>
      <c r="C2916" s="30" t="s">
        <v>2490</v>
      </c>
      <c r="D2916" s="30" t="s">
        <v>17</v>
      </c>
      <c r="E2916" s="30" t="s">
        <v>18</v>
      </c>
      <c r="F2916" s="30" t="s">
        <v>19</v>
      </c>
      <c r="G2916" s="30" t="s">
        <v>20</v>
      </c>
      <c r="H2916" s="32">
        <v>294</v>
      </c>
      <c r="I2916" s="30" t="s">
        <v>21</v>
      </c>
      <c r="J2916" s="41">
        <v>43962</v>
      </c>
      <c r="K2916" s="30" t="s">
        <v>22</v>
      </c>
    </row>
    <row r="2917" spans="1:11">
      <c r="A2917" s="33" t="s">
        <v>7156</v>
      </c>
      <c r="B2917" s="33" t="s">
        <v>7157</v>
      </c>
      <c r="C2917" s="33" t="s">
        <v>7158</v>
      </c>
      <c r="D2917" s="33" t="s">
        <v>17</v>
      </c>
      <c r="E2917" s="33" t="s">
        <v>26</v>
      </c>
      <c r="F2917" s="33" t="s">
        <v>27</v>
      </c>
      <c r="G2917" s="33" t="s">
        <v>20</v>
      </c>
      <c r="H2917" s="35">
        <v>40</v>
      </c>
      <c r="I2917" s="33" t="s">
        <v>21</v>
      </c>
      <c r="J2917" s="42">
        <v>44012</v>
      </c>
      <c r="K2917" s="33" t="s">
        <v>22</v>
      </c>
    </row>
    <row r="2918" spans="1:11">
      <c r="A2918" s="30" t="s">
        <v>7159</v>
      </c>
      <c r="B2918" s="30" t="s">
        <v>7160</v>
      </c>
      <c r="C2918" s="30" t="s">
        <v>407</v>
      </c>
      <c r="D2918" s="30" t="s">
        <v>17</v>
      </c>
      <c r="E2918" s="30" t="s">
        <v>18</v>
      </c>
      <c r="F2918" s="30" t="s">
        <v>19</v>
      </c>
      <c r="G2918" s="30" t="s">
        <v>50</v>
      </c>
      <c r="H2918" s="32">
        <v>468</v>
      </c>
      <c r="I2918" s="30" t="s">
        <v>51</v>
      </c>
      <c r="J2918" s="41">
        <v>44012</v>
      </c>
      <c r="K2918" s="30" t="s">
        <v>22</v>
      </c>
    </row>
    <row r="2919" spans="1:11">
      <c r="A2919" s="33" t="s">
        <v>7161</v>
      </c>
      <c r="B2919" s="33" t="s">
        <v>7162</v>
      </c>
      <c r="C2919" s="33" t="s">
        <v>7163</v>
      </c>
      <c r="D2919" s="33" t="s">
        <v>17</v>
      </c>
      <c r="E2919" s="33" t="s">
        <v>212</v>
      </c>
      <c r="F2919" s="33" t="s">
        <v>213</v>
      </c>
      <c r="G2919" s="33" t="s">
        <v>50</v>
      </c>
      <c r="H2919" s="35">
        <v>72</v>
      </c>
      <c r="I2919" s="33" t="s">
        <v>51</v>
      </c>
      <c r="J2919" s="42">
        <v>44094</v>
      </c>
      <c r="K2919" s="33" t="s">
        <v>22</v>
      </c>
    </row>
    <row r="2920" spans="1:11">
      <c r="A2920" s="30" t="s">
        <v>7164</v>
      </c>
      <c r="B2920" s="30" t="s">
        <v>7165</v>
      </c>
      <c r="C2920" s="30" t="s">
        <v>684</v>
      </c>
      <c r="D2920" s="30" t="s">
        <v>17</v>
      </c>
      <c r="E2920" s="30" t="s">
        <v>26</v>
      </c>
      <c r="F2920" s="30" t="s">
        <v>27</v>
      </c>
      <c r="G2920" s="30" t="s">
        <v>20</v>
      </c>
      <c r="H2920" s="32">
        <v>52</v>
      </c>
      <c r="I2920" s="30" t="s">
        <v>21</v>
      </c>
      <c r="J2920" s="41">
        <v>44004</v>
      </c>
      <c r="K2920" s="30" t="s">
        <v>22</v>
      </c>
    </row>
    <row r="2921" spans="1:11">
      <c r="A2921" s="33" t="s">
        <v>7166</v>
      </c>
      <c r="B2921" s="33" t="s">
        <v>7167</v>
      </c>
      <c r="C2921" s="33" t="s">
        <v>2346</v>
      </c>
      <c r="D2921" s="33" t="s">
        <v>17</v>
      </c>
      <c r="E2921" s="33" t="s">
        <v>26</v>
      </c>
      <c r="F2921" s="33" t="s">
        <v>27</v>
      </c>
      <c r="G2921" s="33" t="s">
        <v>50</v>
      </c>
      <c r="H2921" s="35">
        <v>29</v>
      </c>
      <c r="I2921" s="33" t="s">
        <v>51</v>
      </c>
      <c r="J2921" s="42">
        <v>43963</v>
      </c>
      <c r="K2921" s="33" t="s">
        <v>22</v>
      </c>
    </row>
    <row r="2922" spans="1:11">
      <c r="A2922" s="30" t="s">
        <v>7168</v>
      </c>
      <c r="B2922" s="30" t="s">
        <v>7169</v>
      </c>
      <c r="C2922" s="30" t="s">
        <v>96</v>
      </c>
      <c r="D2922" s="30" t="s">
        <v>17</v>
      </c>
      <c r="E2922" s="30" t="s">
        <v>31</v>
      </c>
      <c r="F2922" s="30" t="s">
        <v>32</v>
      </c>
      <c r="G2922" s="30" t="s">
        <v>20</v>
      </c>
      <c r="H2922" s="32">
        <v>75</v>
      </c>
      <c r="I2922" s="30" t="s">
        <v>21</v>
      </c>
      <c r="J2922" s="41">
        <v>44053</v>
      </c>
      <c r="K2922" s="30" t="s">
        <v>22</v>
      </c>
    </row>
    <row r="2923" spans="1:11">
      <c r="A2923" s="33" t="s">
        <v>7170</v>
      </c>
      <c r="B2923" s="33" t="s">
        <v>7171</v>
      </c>
      <c r="C2923" s="33" t="s">
        <v>7172</v>
      </c>
      <c r="D2923" s="33" t="s">
        <v>17</v>
      </c>
      <c r="E2923" s="33" t="s">
        <v>26</v>
      </c>
      <c r="F2923" s="33" t="s">
        <v>27</v>
      </c>
      <c r="G2923" s="33" t="s">
        <v>20</v>
      </c>
      <c r="H2923" s="35">
        <v>105</v>
      </c>
      <c r="I2923" s="33" t="s">
        <v>21</v>
      </c>
      <c r="J2923" s="42">
        <v>43853</v>
      </c>
      <c r="K2923" s="33" t="s">
        <v>22</v>
      </c>
    </row>
    <row r="2924" spans="1:11">
      <c r="A2924" s="30" t="s">
        <v>7173</v>
      </c>
      <c r="B2924" s="30" t="s">
        <v>7174</v>
      </c>
      <c r="C2924" s="30" t="s">
        <v>756</v>
      </c>
      <c r="D2924" s="30" t="s">
        <v>17</v>
      </c>
      <c r="E2924" s="30" t="s">
        <v>26</v>
      </c>
      <c r="F2924" s="30" t="s">
        <v>27</v>
      </c>
      <c r="G2924" s="30" t="s">
        <v>106</v>
      </c>
      <c r="H2924" s="32">
        <v>8</v>
      </c>
      <c r="I2924" s="30" t="s">
        <v>21</v>
      </c>
      <c r="J2924" s="41">
        <v>43843</v>
      </c>
      <c r="K2924" s="30" t="s">
        <v>22</v>
      </c>
    </row>
    <row r="2925" spans="1:11">
      <c r="A2925" s="33" t="s">
        <v>7175</v>
      </c>
      <c r="B2925" s="33" t="s">
        <v>7176</v>
      </c>
      <c r="C2925" s="33" t="s">
        <v>1136</v>
      </c>
      <c r="D2925" s="33" t="s">
        <v>17</v>
      </c>
      <c r="E2925" s="33" t="s">
        <v>18</v>
      </c>
      <c r="F2925" s="33" t="s">
        <v>19</v>
      </c>
      <c r="G2925" s="33" t="s">
        <v>20</v>
      </c>
      <c r="H2925" s="35">
        <v>403</v>
      </c>
      <c r="I2925" s="33" t="s">
        <v>21</v>
      </c>
      <c r="J2925" s="42">
        <v>44047</v>
      </c>
      <c r="K2925" s="33" t="s">
        <v>22</v>
      </c>
    </row>
    <row r="2926" spans="1:11">
      <c r="A2926" s="30" t="s">
        <v>7177</v>
      </c>
      <c r="B2926" s="30" t="s">
        <v>7178</v>
      </c>
      <c r="C2926" s="30" t="s">
        <v>222</v>
      </c>
      <c r="D2926" s="30" t="s">
        <v>17</v>
      </c>
      <c r="E2926" s="30" t="s">
        <v>18</v>
      </c>
      <c r="F2926" s="30" t="s">
        <v>19</v>
      </c>
      <c r="G2926" s="30" t="s">
        <v>158</v>
      </c>
      <c r="H2926" s="32">
        <v>605</v>
      </c>
      <c r="I2926" s="30" t="s">
        <v>21</v>
      </c>
      <c r="J2926" s="41">
        <v>44186</v>
      </c>
      <c r="K2926" s="30" t="s">
        <v>22</v>
      </c>
    </row>
    <row r="2927" spans="1:11">
      <c r="A2927" s="33" t="s">
        <v>7179</v>
      </c>
      <c r="B2927" s="33" t="s">
        <v>7180</v>
      </c>
      <c r="C2927" s="33" t="s">
        <v>1658</v>
      </c>
      <c r="D2927" s="33" t="s">
        <v>17</v>
      </c>
      <c r="E2927" s="33" t="s">
        <v>26</v>
      </c>
      <c r="F2927" s="33" t="s">
        <v>27</v>
      </c>
      <c r="G2927" s="33" t="s">
        <v>20</v>
      </c>
      <c r="H2927" s="35">
        <v>60</v>
      </c>
      <c r="I2927" s="33" t="s">
        <v>21</v>
      </c>
      <c r="J2927" s="42">
        <v>43979</v>
      </c>
      <c r="K2927" s="33" t="s">
        <v>22</v>
      </c>
    </row>
    <row r="2928" spans="1:11">
      <c r="A2928" s="30" t="s">
        <v>7181</v>
      </c>
      <c r="B2928" s="30" t="s">
        <v>3396</v>
      </c>
      <c r="C2928" s="30" t="s">
        <v>379</v>
      </c>
      <c r="D2928" s="30" t="s">
        <v>17</v>
      </c>
      <c r="E2928" s="30" t="s">
        <v>26</v>
      </c>
      <c r="F2928" s="30" t="s">
        <v>27</v>
      </c>
      <c r="G2928" s="30" t="s">
        <v>112</v>
      </c>
      <c r="H2928" s="32">
        <v>0</v>
      </c>
      <c r="I2928" s="30" t="s">
        <v>21</v>
      </c>
      <c r="J2928" s="41">
        <v>44174</v>
      </c>
      <c r="K2928" s="30" t="s">
        <v>22</v>
      </c>
    </row>
    <row r="2929" spans="1:11">
      <c r="A2929" s="33" t="s">
        <v>7182</v>
      </c>
      <c r="B2929" s="33" t="s">
        <v>7183</v>
      </c>
      <c r="C2929" s="33" t="s">
        <v>7184</v>
      </c>
      <c r="D2929" s="33" t="s">
        <v>17</v>
      </c>
      <c r="E2929" s="33" t="s">
        <v>67</v>
      </c>
      <c r="F2929" s="33" t="s">
        <v>68</v>
      </c>
      <c r="G2929" s="33" t="s">
        <v>20</v>
      </c>
      <c r="H2929" s="35">
        <v>60</v>
      </c>
      <c r="I2929" s="33" t="s">
        <v>21</v>
      </c>
      <c r="J2929" s="42">
        <v>43951</v>
      </c>
      <c r="K2929" s="33" t="s">
        <v>22</v>
      </c>
    </row>
    <row r="2930" spans="1:11">
      <c r="A2930" s="30" t="s">
        <v>7185</v>
      </c>
      <c r="B2930" s="30" t="s">
        <v>7186</v>
      </c>
      <c r="C2930" s="30" t="s">
        <v>7187</v>
      </c>
      <c r="D2930" s="30" t="s">
        <v>17</v>
      </c>
      <c r="E2930" s="30" t="s">
        <v>330</v>
      </c>
      <c r="F2930" s="30" t="s">
        <v>331</v>
      </c>
      <c r="G2930" s="30" t="s">
        <v>20</v>
      </c>
      <c r="H2930" s="32">
        <v>30</v>
      </c>
      <c r="I2930" s="30" t="s">
        <v>21</v>
      </c>
      <c r="J2930" s="41">
        <v>44130</v>
      </c>
      <c r="K2930" s="30" t="s">
        <v>22</v>
      </c>
    </row>
    <row r="2931" spans="1:11">
      <c r="A2931" s="33" t="s">
        <v>7188</v>
      </c>
      <c r="B2931" s="33" t="s">
        <v>7189</v>
      </c>
      <c r="C2931" s="33" t="s">
        <v>7190</v>
      </c>
      <c r="D2931" s="33" t="s">
        <v>17</v>
      </c>
      <c r="E2931" s="33" t="s">
        <v>26</v>
      </c>
      <c r="F2931" s="33" t="s">
        <v>27</v>
      </c>
      <c r="G2931" s="33" t="s">
        <v>20</v>
      </c>
      <c r="H2931" s="35">
        <v>55</v>
      </c>
      <c r="I2931" s="33" t="s">
        <v>21</v>
      </c>
      <c r="J2931" s="42">
        <v>43990</v>
      </c>
      <c r="K2931" s="33" t="s">
        <v>22</v>
      </c>
    </row>
    <row r="2932" spans="1:11">
      <c r="A2932" s="30" t="s">
        <v>7191</v>
      </c>
      <c r="B2932" s="30" t="s">
        <v>7192</v>
      </c>
      <c r="C2932" s="30" t="s">
        <v>7193</v>
      </c>
      <c r="D2932" s="30" t="s">
        <v>17</v>
      </c>
      <c r="E2932" s="30" t="s">
        <v>26</v>
      </c>
      <c r="F2932" s="30" t="s">
        <v>27</v>
      </c>
      <c r="G2932" s="30" t="s">
        <v>112</v>
      </c>
      <c r="H2932" s="32">
        <v>0</v>
      </c>
      <c r="I2932" s="30" t="s">
        <v>21</v>
      </c>
      <c r="J2932" s="41">
        <v>43831</v>
      </c>
      <c r="K2932" s="30" t="s">
        <v>22</v>
      </c>
    </row>
    <row r="2933" spans="1:11">
      <c r="A2933" s="33" t="s">
        <v>7194</v>
      </c>
      <c r="B2933" s="33" t="s">
        <v>7195</v>
      </c>
      <c r="C2933" s="33" t="s">
        <v>7196</v>
      </c>
      <c r="D2933" s="33" t="s">
        <v>17</v>
      </c>
      <c r="E2933" s="33" t="s">
        <v>26</v>
      </c>
      <c r="F2933" s="33" t="s">
        <v>27</v>
      </c>
      <c r="G2933" s="33" t="s">
        <v>20</v>
      </c>
      <c r="H2933" s="35">
        <v>13</v>
      </c>
      <c r="I2933" s="33" t="s">
        <v>21</v>
      </c>
      <c r="J2933" s="42">
        <v>44014</v>
      </c>
      <c r="K2933" s="33" t="s">
        <v>22</v>
      </c>
    </row>
    <row r="2934" spans="1:11">
      <c r="A2934" s="30" t="s">
        <v>7197</v>
      </c>
      <c r="B2934" s="30" t="s">
        <v>7198</v>
      </c>
      <c r="C2934" s="30" t="s">
        <v>1598</v>
      </c>
      <c r="D2934" s="30" t="s">
        <v>17</v>
      </c>
      <c r="E2934" s="30" t="s">
        <v>26</v>
      </c>
      <c r="F2934" s="30" t="s">
        <v>27</v>
      </c>
      <c r="G2934" s="30" t="s">
        <v>69</v>
      </c>
      <c r="H2934" s="32">
        <v>120</v>
      </c>
      <c r="I2934" s="30" t="s">
        <v>51</v>
      </c>
      <c r="J2934" s="41">
        <v>44104</v>
      </c>
      <c r="K2934" s="30" t="s">
        <v>22</v>
      </c>
    </row>
    <row r="2935" spans="1:11">
      <c r="A2935" s="33" t="s">
        <v>7199</v>
      </c>
      <c r="B2935" s="33" t="s">
        <v>7200</v>
      </c>
      <c r="C2935" s="33" t="s">
        <v>7201</v>
      </c>
      <c r="D2935" s="33" t="s">
        <v>17</v>
      </c>
      <c r="E2935" s="33" t="s">
        <v>45</v>
      </c>
      <c r="F2935" s="33" t="s">
        <v>46</v>
      </c>
      <c r="G2935" s="33" t="s">
        <v>106</v>
      </c>
      <c r="H2935" s="35">
        <v>75</v>
      </c>
      <c r="I2935" s="33" t="s">
        <v>21</v>
      </c>
      <c r="J2935" s="42">
        <v>43859</v>
      </c>
      <c r="K2935" s="33" t="s">
        <v>22</v>
      </c>
    </row>
    <row r="2936" spans="1:11">
      <c r="A2936" s="30" t="s">
        <v>7202</v>
      </c>
      <c r="B2936" s="30" t="s">
        <v>7203</v>
      </c>
      <c r="C2936" s="30" t="s">
        <v>2022</v>
      </c>
      <c r="D2936" s="30" t="s">
        <v>17</v>
      </c>
      <c r="E2936" s="30" t="s">
        <v>212</v>
      </c>
      <c r="F2936" s="30" t="s">
        <v>213</v>
      </c>
      <c r="G2936" s="30" t="s">
        <v>20</v>
      </c>
      <c r="H2936" s="32">
        <v>17</v>
      </c>
      <c r="I2936" s="30" t="s">
        <v>21</v>
      </c>
      <c r="J2936" s="41">
        <v>43923</v>
      </c>
      <c r="K2936" s="30" t="s">
        <v>22</v>
      </c>
    </row>
    <row r="2937" spans="1:11">
      <c r="A2937" s="33" t="s">
        <v>7204</v>
      </c>
      <c r="B2937" s="33" t="s">
        <v>7205</v>
      </c>
      <c r="C2937" s="33" t="s">
        <v>1498</v>
      </c>
      <c r="D2937" s="33" t="s">
        <v>17</v>
      </c>
      <c r="E2937" s="33" t="s">
        <v>26</v>
      </c>
      <c r="F2937" s="33" t="s">
        <v>27</v>
      </c>
      <c r="G2937" s="33" t="s">
        <v>20</v>
      </c>
      <c r="H2937" s="35">
        <v>271</v>
      </c>
      <c r="I2937" s="33" t="s">
        <v>21</v>
      </c>
      <c r="J2937" s="42">
        <v>44046</v>
      </c>
      <c r="K2937" s="33" t="s">
        <v>22</v>
      </c>
    </row>
    <row r="2938" spans="1:11">
      <c r="A2938" s="30" t="s">
        <v>7206</v>
      </c>
      <c r="B2938" s="30" t="s">
        <v>7207</v>
      </c>
      <c r="C2938" s="30" t="s">
        <v>4345</v>
      </c>
      <c r="D2938" s="30" t="s">
        <v>17</v>
      </c>
      <c r="E2938" s="30" t="s">
        <v>31</v>
      </c>
      <c r="F2938" s="30" t="s">
        <v>32</v>
      </c>
      <c r="G2938" s="30" t="s">
        <v>20</v>
      </c>
      <c r="H2938" s="32">
        <v>23</v>
      </c>
      <c r="I2938" s="30" t="s">
        <v>21</v>
      </c>
      <c r="J2938" s="41">
        <v>43837</v>
      </c>
      <c r="K2938" s="30" t="s">
        <v>22</v>
      </c>
    </row>
    <row r="2939" spans="1:11">
      <c r="A2939" s="33" t="s">
        <v>7208</v>
      </c>
      <c r="B2939" s="33" t="s">
        <v>4094</v>
      </c>
      <c r="C2939" s="33" t="s">
        <v>549</v>
      </c>
      <c r="D2939" s="33" t="s">
        <v>17</v>
      </c>
      <c r="E2939" s="33" t="s">
        <v>18</v>
      </c>
      <c r="F2939" s="33" t="s">
        <v>19</v>
      </c>
      <c r="G2939" s="33" t="s">
        <v>20</v>
      </c>
      <c r="H2939" s="35">
        <v>509</v>
      </c>
      <c r="I2939" s="33" t="s">
        <v>21</v>
      </c>
      <c r="J2939" s="42">
        <v>43892</v>
      </c>
      <c r="K2939" s="33" t="s">
        <v>22</v>
      </c>
    </row>
    <row r="2940" spans="1:11">
      <c r="A2940" s="30" t="s">
        <v>7209</v>
      </c>
      <c r="B2940" s="30" t="s">
        <v>7210</v>
      </c>
      <c r="C2940" s="30" t="s">
        <v>93</v>
      </c>
      <c r="D2940" s="30" t="s">
        <v>17</v>
      </c>
      <c r="E2940" s="30" t="s">
        <v>18</v>
      </c>
      <c r="F2940" s="30" t="s">
        <v>19</v>
      </c>
      <c r="G2940" s="30" t="s">
        <v>20</v>
      </c>
      <c r="H2940" s="32">
        <v>304</v>
      </c>
      <c r="I2940" s="30" t="s">
        <v>21</v>
      </c>
      <c r="J2940" s="41">
        <v>43836</v>
      </c>
      <c r="K2940" s="30" t="s">
        <v>22</v>
      </c>
    </row>
    <row r="2941" spans="1:11">
      <c r="A2941" s="33" t="s">
        <v>7211</v>
      </c>
      <c r="B2941" s="33" t="s">
        <v>7212</v>
      </c>
      <c r="C2941" s="33" t="s">
        <v>78</v>
      </c>
      <c r="D2941" s="33" t="s">
        <v>17</v>
      </c>
      <c r="E2941" s="33" t="s">
        <v>26</v>
      </c>
      <c r="F2941" s="33" t="s">
        <v>27</v>
      </c>
      <c r="G2941" s="33" t="s">
        <v>20</v>
      </c>
      <c r="H2941" s="35">
        <v>62</v>
      </c>
      <c r="I2941" s="33" t="s">
        <v>21</v>
      </c>
      <c r="J2941" s="42">
        <v>44119</v>
      </c>
      <c r="K2941" s="33" t="s">
        <v>22</v>
      </c>
    </row>
    <row r="2942" spans="1:11">
      <c r="A2942" s="30" t="s">
        <v>7213</v>
      </c>
      <c r="B2942" s="30" t="s">
        <v>7214</v>
      </c>
      <c r="C2942" s="30" t="s">
        <v>647</v>
      </c>
      <c r="D2942" s="30" t="s">
        <v>17</v>
      </c>
      <c r="E2942" s="30" t="s">
        <v>26</v>
      </c>
      <c r="F2942" s="30" t="s">
        <v>27</v>
      </c>
      <c r="G2942" s="30" t="s">
        <v>20</v>
      </c>
      <c r="H2942" s="32">
        <v>41</v>
      </c>
      <c r="I2942" s="30" t="s">
        <v>21</v>
      </c>
      <c r="J2942" s="41">
        <v>43938</v>
      </c>
      <c r="K2942" s="30" t="s">
        <v>22</v>
      </c>
    </row>
    <row r="2943" spans="1:11">
      <c r="A2943" s="33" t="s">
        <v>7215</v>
      </c>
      <c r="B2943" s="33" t="s">
        <v>7216</v>
      </c>
      <c r="C2943" s="33" t="s">
        <v>6041</v>
      </c>
      <c r="D2943" s="33" t="s">
        <v>17</v>
      </c>
      <c r="E2943" s="33" t="s">
        <v>18</v>
      </c>
      <c r="F2943" s="33" t="s">
        <v>19</v>
      </c>
      <c r="G2943" s="33" t="s">
        <v>20</v>
      </c>
      <c r="H2943" s="35">
        <v>293</v>
      </c>
      <c r="I2943" s="33" t="s">
        <v>21</v>
      </c>
      <c r="J2943" s="42">
        <v>43923</v>
      </c>
      <c r="K2943" s="33" t="s">
        <v>22</v>
      </c>
    </row>
    <row r="2944" spans="1:11">
      <c r="A2944" s="30" t="s">
        <v>7217</v>
      </c>
      <c r="B2944" s="30" t="s">
        <v>7218</v>
      </c>
      <c r="C2944" s="30" t="s">
        <v>318</v>
      </c>
      <c r="D2944" s="30" t="s">
        <v>17</v>
      </c>
      <c r="E2944" s="30" t="s">
        <v>26</v>
      </c>
      <c r="F2944" s="30" t="s">
        <v>27</v>
      </c>
      <c r="G2944" s="30" t="s">
        <v>20</v>
      </c>
      <c r="H2944" s="32">
        <v>34</v>
      </c>
      <c r="I2944" s="30" t="s">
        <v>21</v>
      </c>
      <c r="J2944" s="41">
        <v>44089</v>
      </c>
      <c r="K2944" s="30" t="s">
        <v>22</v>
      </c>
    </row>
    <row r="2945" spans="1:11">
      <c r="A2945" s="33" t="s">
        <v>7219</v>
      </c>
      <c r="B2945" s="33" t="s">
        <v>7220</v>
      </c>
      <c r="C2945" s="33" t="s">
        <v>2150</v>
      </c>
      <c r="D2945" s="33" t="s">
        <v>17</v>
      </c>
      <c r="E2945" s="33" t="s">
        <v>31</v>
      </c>
      <c r="F2945" s="33" t="s">
        <v>32</v>
      </c>
      <c r="G2945" s="33" t="s">
        <v>20</v>
      </c>
      <c r="H2945" s="35">
        <v>60</v>
      </c>
      <c r="I2945" s="33" t="s">
        <v>21</v>
      </c>
      <c r="J2945" s="42">
        <v>43930</v>
      </c>
      <c r="K2945" s="33" t="s">
        <v>22</v>
      </c>
    </row>
    <row r="2946" spans="1:11">
      <c r="A2946" s="30" t="s">
        <v>7221</v>
      </c>
      <c r="B2946" s="30" t="s">
        <v>7222</v>
      </c>
      <c r="C2946" s="30" t="s">
        <v>1019</v>
      </c>
      <c r="D2946" s="30" t="s">
        <v>17</v>
      </c>
      <c r="E2946" s="30" t="s">
        <v>18</v>
      </c>
      <c r="F2946" s="30" t="s">
        <v>19</v>
      </c>
      <c r="G2946" s="30" t="s">
        <v>20</v>
      </c>
      <c r="H2946" s="32">
        <v>250</v>
      </c>
      <c r="I2946" s="30" t="s">
        <v>21</v>
      </c>
      <c r="J2946" s="41">
        <v>43992</v>
      </c>
      <c r="K2946" s="30" t="s">
        <v>22</v>
      </c>
    </row>
    <row r="2947" spans="1:11">
      <c r="A2947" s="33" t="s">
        <v>7223</v>
      </c>
      <c r="B2947" s="33" t="s">
        <v>7224</v>
      </c>
      <c r="C2947" s="33" t="s">
        <v>3361</v>
      </c>
      <c r="D2947" s="33" t="s">
        <v>17</v>
      </c>
      <c r="E2947" s="33" t="s">
        <v>31</v>
      </c>
      <c r="F2947" s="33" t="s">
        <v>32</v>
      </c>
      <c r="G2947" s="33" t="s">
        <v>20</v>
      </c>
      <c r="H2947" s="35">
        <v>55</v>
      </c>
      <c r="I2947" s="33" t="s">
        <v>21</v>
      </c>
      <c r="J2947" s="42">
        <v>43928</v>
      </c>
      <c r="K2947" s="33" t="s">
        <v>22</v>
      </c>
    </row>
    <row r="2948" spans="1:11">
      <c r="A2948" s="30" t="s">
        <v>7225</v>
      </c>
      <c r="B2948" s="30" t="s">
        <v>7226</v>
      </c>
      <c r="C2948" s="30" t="s">
        <v>7227</v>
      </c>
      <c r="D2948" s="30" t="s">
        <v>17</v>
      </c>
      <c r="E2948" s="30" t="s">
        <v>31</v>
      </c>
      <c r="F2948" s="30" t="s">
        <v>32</v>
      </c>
      <c r="G2948" s="30" t="s">
        <v>106</v>
      </c>
      <c r="H2948" s="32">
        <v>83</v>
      </c>
      <c r="I2948" s="30" t="s">
        <v>21</v>
      </c>
      <c r="J2948" s="41">
        <v>43846</v>
      </c>
      <c r="K2948" s="30" t="s">
        <v>22</v>
      </c>
    </row>
    <row r="2949" spans="1:11">
      <c r="A2949" s="33" t="s">
        <v>7228</v>
      </c>
      <c r="B2949" s="33" t="s">
        <v>7229</v>
      </c>
      <c r="C2949" s="33" t="s">
        <v>3459</v>
      </c>
      <c r="D2949" s="33" t="s">
        <v>17</v>
      </c>
      <c r="E2949" s="33" t="s">
        <v>26</v>
      </c>
      <c r="F2949" s="33" t="s">
        <v>27</v>
      </c>
      <c r="G2949" s="33" t="s">
        <v>50</v>
      </c>
      <c r="H2949" s="35">
        <v>48</v>
      </c>
      <c r="I2949" s="33" t="s">
        <v>21</v>
      </c>
      <c r="J2949" s="42">
        <v>44034</v>
      </c>
      <c r="K2949" s="33" t="s">
        <v>22</v>
      </c>
    </row>
    <row r="2950" spans="1:11">
      <c r="A2950" s="30" t="s">
        <v>7230</v>
      </c>
      <c r="B2950" s="30" t="s">
        <v>7231</v>
      </c>
      <c r="C2950" s="30" t="s">
        <v>1956</v>
      </c>
      <c r="D2950" s="30" t="s">
        <v>17</v>
      </c>
      <c r="E2950" s="30" t="s">
        <v>18</v>
      </c>
      <c r="F2950" s="30" t="s">
        <v>19</v>
      </c>
      <c r="G2950" s="30" t="s">
        <v>20</v>
      </c>
      <c r="H2950" s="32">
        <v>3000</v>
      </c>
      <c r="I2950" s="30" t="s">
        <v>21</v>
      </c>
      <c r="J2950" s="41">
        <v>44090</v>
      </c>
      <c r="K2950" s="30" t="s">
        <v>22</v>
      </c>
    </row>
    <row r="2951" spans="1:11">
      <c r="A2951" s="33" t="s">
        <v>7232</v>
      </c>
      <c r="B2951" s="33" t="s">
        <v>7233</v>
      </c>
      <c r="C2951" s="33" t="s">
        <v>7234</v>
      </c>
      <c r="D2951" s="33" t="s">
        <v>17</v>
      </c>
      <c r="E2951" s="33" t="s">
        <v>67</v>
      </c>
      <c r="F2951" s="33" t="s">
        <v>68</v>
      </c>
      <c r="G2951" s="33" t="s">
        <v>140</v>
      </c>
      <c r="H2951" s="35">
        <v>122</v>
      </c>
      <c r="I2951" s="33" t="s">
        <v>51</v>
      </c>
      <c r="J2951" s="42">
        <v>44055</v>
      </c>
      <c r="K2951" s="33" t="s">
        <v>22</v>
      </c>
    </row>
    <row r="2952" spans="1:11">
      <c r="A2952" s="30" t="s">
        <v>7235</v>
      </c>
      <c r="B2952" s="30" t="s">
        <v>7236</v>
      </c>
      <c r="C2952" s="30" t="s">
        <v>7237</v>
      </c>
      <c r="D2952" s="30" t="s">
        <v>17</v>
      </c>
      <c r="E2952" s="30" t="s">
        <v>67</v>
      </c>
      <c r="F2952" s="30" t="s">
        <v>68</v>
      </c>
      <c r="G2952" s="30" t="s">
        <v>20</v>
      </c>
      <c r="H2952" s="32">
        <v>18</v>
      </c>
      <c r="I2952" s="30" t="s">
        <v>21</v>
      </c>
      <c r="J2952" s="41">
        <v>44075</v>
      </c>
      <c r="K2952" s="30" t="s">
        <v>22</v>
      </c>
    </row>
    <row r="2953" spans="1:11">
      <c r="A2953" s="33" t="s">
        <v>7238</v>
      </c>
      <c r="B2953" s="33" t="s">
        <v>7239</v>
      </c>
      <c r="C2953" s="33" t="s">
        <v>6551</v>
      </c>
      <c r="D2953" s="33" t="s">
        <v>17</v>
      </c>
      <c r="E2953" s="33" t="s">
        <v>26</v>
      </c>
      <c r="F2953" s="33" t="s">
        <v>27</v>
      </c>
      <c r="G2953" s="33" t="s">
        <v>106</v>
      </c>
      <c r="H2953" s="35">
        <v>12</v>
      </c>
      <c r="I2953" s="33" t="s">
        <v>21</v>
      </c>
      <c r="J2953" s="42">
        <v>44186</v>
      </c>
      <c r="K2953" s="33" t="s">
        <v>22</v>
      </c>
    </row>
    <row r="2954" spans="1:11">
      <c r="A2954" s="30" t="s">
        <v>7240</v>
      </c>
      <c r="B2954" s="30" t="s">
        <v>7241</v>
      </c>
      <c r="C2954" s="30" t="s">
        <v>527</v>
      </c>
      <c r="D2954" s="30" t="s">
        <v>17</v>
      </c>
      <c r="E2954" s="30" t="s">
        <v>67</v>
      </c>
      <c r="F2954" s="30" t="s">
        <v>68</v>
      </c>
      <c r="G2954" s="30" t="s">
        <v>106</v>
      </c>
      <c r="H2954" s="32">
        <v>1</v>
      </c>
      <c r="I2954" s="30" t="s">
        <v>21</v>
      </c>
      <c r="J2954" s="41">
        <v>44195</v>
      </c>
      <c r="K2954" s="30" t="s">
        <v>22</v>
      </c>
    </row>
    <row r="2955" spans="1:11">
      <c r="A2955" s="33" t="s">
        <v>7242</v>
      </c>
      <c r="B2955" s="33" t="s">
        <v>7243</v>
      </c>
      <c r="C2955" s="33" t="s">
        <v>969</v>
      </c>
      <c r="D2955" s="33" t="s">
        <v>17</v>
      </c>
      <c r="E2955" s="33" t="s">
        <v>26</v>
      </c>
      <c r="F2955" s="33" t="s">
        <v>27</v>
      </c>
      <c r="G2955" s="33" t="s">
        <v>20</v>
      </c>
      <c r="H2955" s="35">
        <v>38</v>
      </c>
      <c r="I2955" s="33" t="s">
        <v>21</v>
      </c>
      <c r="J2955" s="42">
        <v>44174</v>
      </c>
      <c r="K2955" s="33" t="s">
        <v>22</v>
      </c>
    </row>
    <row r="2956" spans="1:11">
      <c r="A2956" s="30" t="s">
        <v>7244</v>
      </c>
      <c r="B2956" s="30" t="s">
        <v>7245</v>
      </c>
      <c r="C2956" s="30" t="s">
        <v>7246</v>
      </c>
      <c r="D2956" s="30" t="s">
        <v>17</v>
      </c>
      <c r="E2956" s="30" t="s">
        <v>26</v>
      </c>
      <c r="F2956" s="30" t="s">
        <v>27</v>
      </c>
      <c r="G2956" s="30" t="s">
        <v>112</v>
      </c>
      <c r="H2956" s="32">
        <v>0</v>
      </c>
      <c r="I2956" s="30" t="s">
        <v>21</v>
      </c>
      <c r="J2956" s="41">
        <v>44104</v>
      </c>
      <c r="K2956" s="30" t="s">
        <v>22</v>
      </c>
    </row>
    <row r="2957" spans="1:11">
      <c r="A2957" s="33" t="s">
        <v>7247</v>
      </c>
      <c r="B2957" s="33" t="s">
        <v>7248</v>
      </c>
      <c r="C2957" s="33" t="s">
        <v>4105</v>
      </c>
      <c r="D2957" s="33" t="s">
        <v>17</v>
      </c>
      <c r="E2957" s="33" t="s">
        <v>31</v>
      </c>
      <c r="F2957" s="33" t="s">
        <v>32</v>
      </c>
      <c r="G2957" s="33" t="s">
        <v>20</v>
      </c>
      <c r="H2957" s="35">
        <v>32</v>
      </c>
      <c r="I2957" s="33" t="s">
        <v>21</v>
      </c>
      <c r="J2957" s="42">
        <v>44159</v>
      </c>
      <c r="K2957" s="33" t="s">
        <v>22</v>
      </c>
    </row>
    <row r="2958" spans="1:11">
      <c r="A2958" s="30" t="s">
        <v>7249</v>
      </c>
      <c r="B2958" s="30" t="s">
        <v>7250</v>
      </c>
      <c r="C2958" s="30" t="s">
        <v>78</v>
      </c>
      <c r="D2958" s="30" t="s">
        <v>17</v>
      </c>
      <c r="E2958" s="30" t="s">
        <v>26</v>
      </c>
      <c r="F2958" s="30" t="s">
        <v>27</v>
      </c>
      <c r="G2958" s="30" t="s">
        <v>50</v>
      </c>
      <c r="H2958" s="32">
        <v>51</v>
      </c>
      <c r="I2958" s="30" t="s">
        <v>51</v>
      </c>
      <c r="J2958" s="41">
        <v>44146</v>
      </c>
      <c r="K2958" s="30" t="s">
        <v>22</v>
      </c>
    </row>
    <row r="2959" spans="1:11">
      <c r="A2959" s="33" t="s">
        <v>7251</v>
      </c>
      <c r="B2959" s="33" t="s">
        <v>7252</v>
      </c>
      <c r="C2959" s="33" t="s">
        <v>2660</v>
      </c>
      <c r="D2959" s="33" t="s">
        <v>17</v>
      </c>
      <c r="E2959" s="33" t="s">
        <v>67</v>
      </c>
      <c r="F2959" s="33" t="s">
        <v>68</v>
      </c>
      <c r="G2959" s="33" t="s">
        <v>106</v>
      </c>
      <c r="H2959" s="35">
        <v>47</v>
      </c>
      <c r="I2959" s="33" t="s">
        <v>21</v>
      </c>
      <c r="J2959" s="42">
        <v>44110</v>
      </c>
      <c r="K2959" s="33" t="s">
        <v>22</v>
      </c>
    </row>
    <row r="2960" spans="1:11">
      <c r="A2960" s="30" t="s">
        <v>7253</v>
      </c>
      <c r="B2960" s="30" t="s">
        <v>7254</v>
      </c>
      <c r="C2960" s="30" t="s">
        <v>7255</v>
      </c>
      <c r="D2960" s="30" t="s">
        <v>17</v>
      </c>
      <c r="E2960" s="30" t="s">
        <v>31</v>
      </c>
      <c r="F2960" s="30" t="s">
        <v>32</v>
      </c>
      <c r="G2960" s="30" t="s">
        <v>106</v>
      </c>
      <c r="H2960" s="32">
        <v>92</v>
      </c>
      <c r="I2960" s="30" t="s">
        <v>21</v>
      </c>
      <c r="J2960" s="41">
        <v>44118</v>
      </c>
      <c r="K2960" s="30" t="s">
        <v>22</v>
      </c>
    </row>
    <row r="2961" spans="1:11">
      <c r="A2961" s="33" t="s">
        <v>7256</v>
      </c>
      <c r="B2961" s="33" t="s">
        <v>7257</v>
      </c>
      <c r="C2961" s="33" t="s">
        <v>1112</v>
      </c>
      <c r="D2961" s="33" t="s">
        <v>17</v>
      </c>
      <c r="E2961" s="33" t="s">
        <v>31</v>
      </c>
      <c r="F2961" s="33" t="s">
        <v>32</v>
      </c>
      <c r="G2961" s="33" t="s">
        <v>158</v>
      </c>
      <c r="H2961" s="35">
        <v>215</v>
      </c>
      <c r="I2961" s="33" t="s">
        <v>21</v>
      </c>
      <c r="J2961" s="42">
        <v>44043</v>
      </c>
      <c r="K2961" s="33" t="s">
        <v>22</v>
      </c>
    </row>
    <row r="2962" spans="1:11">
      <c r="A2962" s="30" t="s">
        <v>7258</v>
      </c>
      <c r="B2962" s="30" t="s">
        <v>7259</v>
      </c>
      <c r="C2962" s="30" t="s">
        <v>190</v>
      </c>
      <c r="D2962" s="30" t="s">
        <v>17</v>
      </c>
      <c r="E2962" s="30" t="s">
        <v>31</v>
      </c>
      <c r="F2962" s="30" t="s">
        <v>32</v>
      </c>
      <c r="G2962" s="30" t="s">
        <v>20</v>
      </c>
      <c r="H2962" s="32">
        <v>345</v>
      </c>
      <c r="I2962" s="30" t="s">
        <v>21</v>
      </c>
      <c r="J2962" s="41">
        <v>44167</v>
      </c>
      <c r="K2962" s="30" t="s">
        <v>22</v>
      </c>
    </row>
    <row r="2963" spans="1:11">
      <c r="A2963" s="33" t="s">
        <v>7260</v>
      </c>
      <c r="B2963" s="33" t="s">
        <v>7261</v>
      </c>
      <c r="C2963" s="33" t="s">
        <v>178</v>
      </c>
      <c r="D2963" s="33" t="s">
        <v>17</v>
      </c>
      <c r="E2963" s="33" t="s">
        <v>18</v>
      </c>
      <c r="F2963" s="33" t="s">
        <v>19</v>
      </c>
      <c r="G2963" s="33" t="s">
        <v>158</v>
      </c>
      <c r="H2963" s="35">
        <v>992</v>
      </c>
      <c r="I2963" s="33" t="s">
        <v>21</v>
      </c>
      <c r="J2963" s="42">
        <v>44113</v>
      </c>
      <c r="K2963" s="33" t="s">
        <v>22</v>
      </c>
    </row>
    <row r="2964" spans="1:11">
      <c r="A2964" s="30" t="s">
        <v>7262</v>
      </c>
      <c r="B2964" s="30" t="s">
        <v>7263</v>
      </c>
      <c r="C2964" s="30" t="s">
        <v>5845</v>
      </c>
      <c r="D2964" s="30" t="s">
        <v>17</v>
      </c>
      <c r="E2964" s="30" t="s">
        <v>26</v>
      </c>
      <c r="F2964" s="30" t="s">
        <v>27</v>
      </c>
      <c r="G2964" s="30" t="s">
        <v>20</v>
      </c>
      <c r="H2964" s="32">
        <v>12</v>
      </c>
      <c r="I2964" s="30" t="s">
        <v>21</v>
      </c>
      <c r="J2964" s="41">
        <v>43865</v>
      </c>
      <c r="K2964" s="30" t="s">
        <v>22</v>
      </c>
    </row>
    <row r="2965" spans="1:11">
      <c r="A2965" s="33" t="s">
        <v>7264</v>
      </c>
      <c r="B2965" s="33" t="s">
        <v>7265</v>
      </c>
      <c r="C2965" s="33" t="s">
        <v>190</v>
      </c>
      <c r="D2965" s="33" t="s">
        <v>17</v>
      </c>
      <c r="E2965" s="33" t="s">
        <v>31</v>
      </c>
      <c r="F2965" s="33" t="s">
        <v>32</v>
      </c>
      <c r="G2965" s="33" t="s">
        <v>112</v>
      </c>
      <c r="H2965" s="35">
        <v>0</v>
      </c>
      <c r="I2965" s="33" t="s">
        <v>21</v>
      </c>
      <c r="J2965" s="42">
        <v>44050</v>
      </c>
      <c r="K2965" s="33" t="s">
        <v>22</v>
      </c>
    </row>
    <row r="2966" spans="1:11">
      <c r="A2966" s="30" t="s">
        <v>7266</v>
      </c>
      <c r="B2966" s="30" t="s">
        <v>7267</v>
      </c>
      <c r="C2966" s="30" t="s">
        <v>96</v>
      </c>
      <c r="D2966" s="30" t="s">
        <v>17</v>
      </c>
      <c r="E2966" s="30" t="s">
        <v>18</v>
      </c>
      <c r="F2966" s="30" t="s">
        <v>19</v>
      </c>
      <c r="G2966" s="30" t="s">
        <v>20</v>
      </c>
      <c r="H2966" s="32">
        <v>668</v>
      </c>
      <c r="I2966" s="30" t="s">
        <v>21</v>
      </c>
      <c r="J2966" s="41">
        <v>44090</v>
      </c>
      <c r="K2966" s="30" t="s">
        <v>22</v>
      </c>
    </row>
    <row r="2967" spans="1:11">
      <c r="A2967" s="33" t="s">
        <v>7268</v>
      </c>
      <c r="B2967" s="33" t="s">
        <v>7269</v>
      </c>
      <c r="C2967" s="33" t="s">
        <v>109</v>
      </c>
      <c r="D2967" s="33" t="s">
        <v>17</v>
      </c>
      <c r="E2967" s="33" t="s">
        <v>26</v>
      </c>
      <c r="F2967" s="33" t="s">
        <v>27</v>
      </c>
      <c r="G2967" s="33" t="s">
        <v>20</v>
      </c>
      <c r="H2967" s="35">
        <v>21</v>
      </c>
      <c r="I2967" s="33" t="s">
        <v>21</v>
      </c>
      <c r="J2967" s="42">
        <v>44175</v>
      </c>
      <c r="K2967" s="33" t="s">
        <v>22</v>
      </c>
    </row>
    <row r="2968" spans="1:11">
      <c r="A2968" s="30" t="s">
        <v>7270</v>
      </c>
      <c r="B2968" s="30" t="s">
        <v>7271</v>
      </c>
      <c r="C2968" s="30" t="s">
        <v>647</v>
      </c>
      <c r="D2968" s="30" t="s">
        <v>17</v>
      </c>
      <c r="E2968" s="30" t="s">
        <v>18</v>
      </c>
      <c r="F2968" s="30" t="s">
        <v>19</v>
      </c>
      <c r="G2968" s="30" t="s">
        <v>158</v>
      </c>
      <c r="H2968" s="32">
        <v>870</v>
      </c>
      <c r="I2968" s="30" t="s">
        <v>51</v>
      </c>
      <c r="J2968" s="41">
        <v>44018</v>
      </c>
      <c r="K2968" s="30" t="s">
        <v>22</v>
      </c>
    </row>
    <row r="2969" spans="1:11">
      <c r="A2969" s="33" t="s">
        <v>7272</v>
      </c>
      <c r="B2969" s="33" t="s">
        <v>7273</v>
      </c>
      <c r="C2969" s="33" t="s">
        <v>353</v>
      </c>
      <c r="D2969" s="33" t="s">
        <v>17</v>
      </c>
      <c r="E2969" s="33" t="s">
        <v>26</v>
      </c>
      <c r="F2969" s="33" t="s">
        <v>27</v>
      </c>
      <c r="G2969" s="33" t="s">
        <v>20</v>
      </c>
      <c r="H2969" s="35">
        <v>19</v>
      </c>
      <c r="I2969" s="33" t="s">
        <v>21</v>
      </c>
      <c r="J2969" s="42">
        <v>43844</v>
      </c>
      <c r="K2969" s="33" t="s">
        <v>22</v>
      </c>
    </row>
    <row r="2970" spans="1:11">
      <c r="A2970" s="30" t="s">
        <v>7274</v>
      </c>
      <c r="B2970" s="30" t="s">
        <v>7275</v>
      </c>
      <c r="C2970" s="30" t="s">
        <v>93</v>
      </c>
      <c r="D2970" s="30" t="s">
        <v>17</v>
      </c>
      <c r="E2970" s="30" t="s">
        <v>18</v>
      </c>
      <c r="F2970" s="30" t="s">
        <v>19</v>
      </c>
      <c r="G2970" s="30" t="s">
        <v>158</v>
      </c>
      <c r="H2970" s="32">
        <v>56</v>
      </c>
      <c r="I2970" s="30" t="s">
        <v>51</v>
      </c>
      <c r="J2970" s="41">
        <v>43865</v>
      </c>
      <c r="K2970" s="30" t="s">
        <v>22</v>
      </c>
    </row>
    <row r="2971" spans="1:11">
      <c r="A2971" s="33" t="s">
        <v>7276</v>
      </c>
      <c r="B2971" s="33" t="s">
        <v>7277</v>
      </c>
      <c r="C2971" s="33" t="s">
        <v>93</v>
      </c>
      <c r="D2971" s="33" t="s">
        <v>17</v>
      </c>
      <c r="E2971" s="33" t="s">
        <v>26</v>
      </c>
      <c r="F2971" s="33" t="s">
        <v>27</v>
      </c>
      <c r="G2971" s="33" t="s">
        <v>106</v>
      </c>
      <c r="H2971" s="35">
        <v>65</v>
      </c>
      <c r="I2971" s="33" t="s">
        <v>21</v>
      </c>
      <c r="J2971" s="42">
        <v>43874</v>
      </c>
      <c r="K2971" s="33" t="s">
        <v>22</v>
      </c>
    </row>
    <row r="2972" spans="1:11">
      <c r="A2972" s="30" t="s">
        <v>7278</v>
      </c>
      <c r="B2972" s="30" t="s">
        <v>7279</v>
      </c>
      <c r="C2972" s="30" t="s">
        <v>7280</v>
      </c>
      <c r="D2972" s="30" t="s">
        <v>17</v>
      </c>
      <c r="E2972" s="30" t="s">
        <v>31</v>
      </c>
      <c r="F2972" s="30" t="s">
        <v>32</v>
      </c>
      <c r="G2972" s="30" t="s">
        <v>140</v>
      </c>
      <c r="H2972" s="32">
        <v>23</v>
      </c>
      <c r="I2972" s="30" t="s">
        <v>51</v>
      </c>
      <c r="J2972" s="41">
        <v>44074</v>
      </c>
      <c r="K2972" s="30" t="s">
        <v>22</v>
      </c>
    </row>
    <row r="2973" spans="1:11">
      <c r="A2973" s="33" t="s">
        <v>7281</v>
      </c>
      <c r="B2973" s="33" t="s">
        <v>7282</v>
      </c>
      <c r="C2973" s="33" t="s">
        <v>5246</v>
      </c>
      <c r="D2973" s="33" t="s">
        <v>17</v>
      </c>
      <c r="E2973" s="33" t="s">
        <v>18</v>
      </c>
      <c r="F2973" s="33" t="s">
        <v>19</v>
      </c>
      <c r="G2973" s="33" t="s">
        <v>20</v>
      </c>
      <c r="H2973" s="35">
        <v>750</v>
      </c>
      <c r="I2973" s="33" t="s">
        <v>21</v>
      </c>
      <c r="J2973" s="42">
        <v>44193</v>
      </c>
      <c r="K2973" s="33" t="s">
        <v>22</v>
      </c>
    </row>
    <row r="2974" spans="1:11">
      <c r="A2974" s="30" t="s">
        <v>7283</v>
      </c>
      <c r="B2974" s="30" t="s">
        <v>7284</v>
      </c>
      <c r="C2974" s="30" t="s">
        <v>899</v>
      </c>
      <c r="D2974" s="30" t="s">
        <v>17</v>
      </c>
      <c r="E2974" s="30" t="s">
        <v>26</v>
      </c>
      <c r="F2974" s="30" t="s">
        <v>27</v>
      </c>
      <c r="G2974" s="30" t="s">
        <v>20</v>
      </c>
      <c r="H2974" s="32">
        <v>74</v>
      </c>
      <c r="I2974" s="30" t="s">
        <v>21</v>
      </c>
      <c r="J2974" s="41">
        <v>43922</v>
      </c>
      <c r="K2974" s="30" t="s">
        <v>22</v>
      </c>
    </row>
    <row r="2975" spans="1:11">
      <c r="A2975" s="33" t="s">
        <v>7285</v>
      </c>
      <c r="B2975" s="33" t="s">
        <v>7286</v>
      </c>
      <c r="C2975" s="33" t="s">
        <v>3594</v>
      </c>
      <c r="D2975" s="33" t="s">
        <v>17</v>
      </c>
      <c r="E2975" s="33" t="s">
        <v>26</v>
      </c>
      <c r="F2975" s="33" t="s">
        <v>27</v>
      </c>
      <c r="G2975" s="33" t="s">
        <v>20</v>
      </c>
      <c r="H2975" s="35">
        <v>32</v>
      </c>
      <c r="I2975" s="33" t="s">
        <v>21</v>
      </c>
      <c r="J2975" s="42">
        <v>43999</v>
      </c>
      <c r="K2975" s="33" t="s">
        <v>22</v>
      </c>
    </row>
    <row r="2976" spans="1:11">
      <c r="A2976" s="30" t="s">
        <v>7287</v>
      </c>
      <c r="B2976" s="30" t="s">
        <v>7288</v>
      </c>
      <c r="C2976" s="30" t="s">
        <v>16</v>
      </c>
      <c r="D2976" s="30" t="s">
        <v>17</v>
      </c>
      <c r="E2976" s="30" t="s">
        <v>18</v>
      </c>
      <c r="F2976" s="30" t="s">
        <v>19</v>
      </c>
      <c r="G2976" s="30" t="s">
        <v>106</v>
      </c>
      <c r="H2976" s="32">
        <v>30</v>
      </c>
      <c r="I2976" s="30" t="s">
        <v>21</v>
      </c>
      <c r="J2976" s="41">
        <v>43913</v>
      </c>
      <c r="K2976" s="30" t="s">
        <v>22</v>
      </c>
    </row>
    <row r="2977" spans="1:11">
      <c r="A2977" s="33" t="s">
        <v>7289</v>
      </c>
      <c r="B2977" s="33" t="s">
        <v>7290</v>
      </c>
      <c r="C2977" s="33" t="s">
        <v>7291</v>
      </c>
      <c r="D2977" s="33" t="s">
        <v>17</v>
      </c>
      <c r="E2977" s="33" t="s">
        <v>26</v>
      </c>
      <c r="F2977" s="33" t="s">
        <v>27</v>
      </c>
      <c r="G2977" s="33" t="s">
        <v>20</v>
      </c>
      <c r="H2977" s="35">
        <v>36</v>
      </c>
      <c r="I2977" s="33" t="s">
        <v>21</v>
      </c>
      <c r="J2977" s="42">
        <v>44151</v>
      </c>
      <c r="K2977" s="33" t="s">
        <v>22</v>
      </c>
    </row>
    <row r="2978" spans="1:11">
      <c r="A2978" s="30" t="s">
        <v>7292</v>
      </c>
      <c r="B2978" s="30" t="s">
        <v>7293</v>
      </c>
      <c r="C2978" s="30" t="s">
        <v>353</v>
      </c>
      <c r="D2978" s="30" t="s">
        <v>17</v>
      </c>
      <c r="E2978" s="30" t="s">
        <v>26</v>
      </c>
      <c r="F2978" s="30" t="s">
        <v>27</v>
      </c>
      <c r="G2978" s="30" t="s">
        <v>50</v>
      </c>
      <c r="H2978" s="32">
        <v>42</v>
      </c>
      <c r="I2978" s="30" t="s">
        <v>51</v>
      </c>
      <c r="J2978" s="41">
        <v>44056</v>
      </c>
      <c r="K2978" s="30" t="s">
        <v>22</v>
      </c>
    </row>
    <row r="2979" spans="1:11">
      <c r="A2979" s="33" t="s">
        <v>7294</v>
      </c>
      <c r="B2979" s="33" t="s">
        <v>7295</v>
      </c>
      <c r="C2979" s="33" t="s">
        <v>7296</v>
      </c>
      <c r="D2979" s="33" t="s">
        <v>17</v>
      </c>
      <c r="E2979" s="33" t="s">
        <v>18</v>
      </c>
      <c r="F2979" s="33" t="s">
        <v>19</v>
      </c>
      <c r="G2979" s="33" t="s">
        <v>20</v>
      </c>
      <c r="H2979" s="35">
        <v>514</v>
      </c>
      <c r="I2979" s="33" t="s">
        <v>21</v>
      </c>
      <c r="J2979" s="42">
        <v>44034</v>
      </c>
      <c r="K2979" s="33" t="s">
        <v>22</v>
      </c>
    </row>
    <row r="2980" spans="1:11">
      <c r="A2980" s="30" t="s">
        <v>7297</v>
      </c>
      <c r="B2980" s="30" t="s">
        <v>7298</v>
      </c>
      <c r="C2980" s="30" t="s">
        <v>3459</v>
      </c>
      <c r="D2980" s="30" t="s">
        <v>17</v>
      </c>
      <c r="E2980" s="30" t="s">
        <v>67</v>
      </c>
      <c r="F2980" s="30" t="s">
        <v>68</v>
      </c>
      <c r="G2980" s="30" t="s">
        <v>50</v>
      </c>
      <c r="H2980" s="32">
        <v>36</v>
      </c>
      <c r="I2980" s="30" t="s">
        <v>51</v>
      </c>
      <c r="J2980" s="41">
        <v>44119</v>
      </c>
      <c r="K2980" s="30" t="s">
        <v>22</v>
      </c>
    </row>
    <row r="2981" spans="1:11">
      <c r="A2981" s="33" t="s">
        <v>7299</v>
      </c>
      <c r="B2981" s="33" t="s">
        <v>7300</v>
      </c>
      <c r="C2981" s="33" t="s">
        <v>7301</v>
      </c>
      <c r="D2981" s="33" t="s">
        <v>17</v>
      </c>
      <c r="E2981" s="33" t="s">
        <v>26</v>
      </c>
      <c r="F2981" s="33" t="s">
        <v>27</v>
      </c>
      <c r="G2981" s="33" t="s">
        <v>106</v>
      </c>
      <c r="H2981" s="35">
        <v>36</v>
      </c>
      <c r="I2981" s="33" t="s">
        <v>21</v>
      </c>
      <c r="J2981" s="42">
        <v>44058</v>
      </c>
      <c r="K2981" s="33" t="s">
        <v>22</v>
      </c>
    </row>
    <row r="2982" spans="1:11">
      <c r="A2982" s="30" t="s">
        <v>7302</v>
      </c>
      <c r="B2982" s="30" t="s">
        <v>7303</v>
      </c>
      <c r="C2982" s="30" t="s">
        <v>7304</v>
      </c>
      <c r="D2982" s="30" t="s">
        <v>17</v>
      </c>
      <c r="E2982" s="30" t="s">
        <v>31</v>
      </c>
      <c r="F2982" s="30" t="s">
        <v>32</v>
      </c>
      <c r="G2982" s="30" t="s">
        <v>20</v>
      </c>
      <c r="H2982" s="32">
        <v>115</v>
      </c>
      <c r="I2982" s="30" t="s">
        <v>21</v>
      </c>
      <c r="J2982" s="41">
        <v>44154</v>
      </c>
      <c r="K2982" s="30" t="s">
        <v>22</v>
      </c>
    </row>
    <row r="2983" spans="1:11">
      <c r="A2983" s="33" t="s">
        <v>7305</v>
      </c>
      <c r="B2983" s="33" t="s">
        <v>7306</v>
      </c>
      <c r="C2983" s="33" t="s">
        <v>739</v>
      </c>
      <c r="D2983" s="33" t="s">
        <v>17</v>
      </c>
      <c r="E2983" s="33" t="s">
        <v>26</v>
      </c>
      <c r="F2983" s="33" t="s">
        <v>27</v>
      </c>
      <c r="G2983" s="33" t="s">
        <v>112</v>
      </c>
      <c r="H2983" s="35">
        <v>0</v>
      </c>
      <c r="I2983" s="33" t="s">
        <v>21</v>
      </c>
      <c r="J2983" s="42">
        <v>44109</v>
      </c>
      <c r="K2983" s="33" t="s">
        <v>22</v>
      </c>
    </row>
    <row r="2984" spans="1:11">
      <c r="A2984" s="30" t="s">
        <v>7307</v>
      </c>
      <c r="B2984" s="30" t="s">
        <v>7308</v>
      </c>
      <c r="C2984" s="30" t="s">
        <v>3084</v>
      </c>
      <c r="D2984" s="30" t="s">
        <v>17</v>
      </c>
      <c r="E2984" s="30" t="s">
        <v>45</v>
      </c>
      <c r="F2984" s="30" t="s">
        <v>46</v>
      </c>
      <c r="G2984" s="30" t="s">
        <v>50</v>
      </c>
      <c r="H2984" s="32">
        <v>1600</v>
      </c>
      <c r="I2984" s="30" t="s">
        <v>21</v>
      </c>
      <c r="J2984" s="41">
        <v>44165</v>
      </c>
      <c r="K2984" s="30" t="s">
        <v>22</v>
      </c>
    </row>
    <row r="2985" spans="1:11">
      <c r="A2985" s="33" t="s">
        <v>7309</v>
      </c>
      <c r="B2985" s="33" t="s">
        <v>7310</v>
      </c>
      <c r="C2985" s="33" t="s">
        <v>2629</v>
      </c>
      <c r="D2985" s="33" t="s">
        <v>17</v>
      </c>
      <c r="E2985" s="33" t="s">
        <v>31</v>
      </c>
      <c r="F2985" s="33" t="s">
        <v>32</v>
      </c>
      <c r="G2985" s="33" t="s">
        <v>20</v>
      </c>
      <c r="H2985" s="35">
        <v>319</v>
      </c>
      <c r="I2985" s="33" t="s">
        <v>21</v>
      </c>
      <c r="J2985" s="42">
        <v>44077</v>
      </c>
      <c r="K2985" s="33" t="s">
        <v>22</v>
      </c>
    </row>
    <row r="2986" spans="1:11">
      <c r="A2986" s="30" t="s">
        <v>7311</v>
      </c>
      <c r="B2986" s="30" t="s">
        <v>7312</v>
      </c>
      <c r="C2986" s="30" t="s">
        <v>2313</v>
      </c>
      <c r="D2986" s="30" t="s">
        <v>17</v>
      </c>
      <c r="E2986" s="30" t="s">
        <v>212</v>
      </c>
      <c r="F2986" s="30" t="s">
        <v>213</v>
      </c>
      <c r="G2986" s="30" t="s">
        <v>20</v>
      </c>
      <c r="H2986" s="32">
        <v>179</v>
      </c>
      <c r="I2986" s="30" t="s">
        <v>21</v>
      </c>
      <c r="J2986" s="41">
        <v>44042</v>
      </c>
      <c r="K2986" s="30" t="s">
        <v>22</v>
      </c>
    </row>
    <row r="2987" spans="1:11">
      <c r="A2987" s="33" t="s">
        <v>7313</v>
      </c>
      <c r="B2987" s="33" t="s">
        <v>7314</v>
      </c>
      <c r="C2987" s="33" t="s">
        <v>93</v>
      </c>
      <c r="D2987" s="33" t="s">
        <v>17</v>
      </c>
      <c r="E2987" s="33" t="s">
        <v>31</v>
      </c>
      <c r="F2987" s="33" t="s">
        <v>32</v>
      </c>
      <c r="G2987" s="33" t="s">
        <v>20</v>
      </c>
      <c r="H2987" s="35">
        <v>68</v>
      </c>
      <c r="I2987" s="33" t="s">
        <v>21</v>
      </c>
      <c r="J2987" s="42">
        <v>44026</v>
      </c>
      <c r="K2987" s="33" t="s">
        <v>22</v>
      </c>
    </row>
    <row r="2988" spans="1:11">
      <c r="A2988" s="30" t="s">
        <v>7315</v>
      </c>
      <c r="B2988" s="30" t="s">
        <v>7316</v>
      </c>
      <c r="C2988" s="30" t="s">
        <v>7317</v>
      </c>
      <c r="D2988" s="30" t="s">
        <v>17</v>
      </c>
      <c r="E2988" s="30" t="s">
        <v>26</v>
      </c>
      <c r="F2988" s="30" t="s">
        <v>27</v>
      </c>
      <c r="G2988" s="30" t="s">
        <v>20</v>
      </c>
      <c r="H2988" s="32">
        <v>28</v>
      </c>
      <c r="I2988" s="30" t="s">
        <v>21</v>
      </c>
      <c r="J2988" s="41">
        <v>43866</v>
      </c>
      <c r="K2988" s="30" t="s">
        <v>22</v>
      </c>
    </row>
    <row r="2989" spans="1:11">
      <c r="A2989" s="33" t="s">
        <v>7318</v>
      </c>
      <c r="B2989" s="33" t="s">
        <v>7319</v>
      </c>
      <c r="C2989" s="33" t="s">
        <v>6732</v>
      </c>
      <c r="D2989" s="33" t="s">
        <v>17</v>
      </c>
      <c r="E2989" s="33" t="s">
        <v>67</v>
      </c>
      <c r="F2989" s="33" t="s">
        <v>68</v>
      </c>
      <c r="G2989" s="33" t="s">
        <v>20</v>
      </c>
      <c r="H2989" s="35">
        <v>37</v>
      </c>
      <c r="I2989" s="33" t="s">
        <v>21</v>
      </c>
      <c r="J2989" s="42">
        <v>43862</v>
      </c>
      <c r="K2989" s="33" t="s">
        <v>22</v>
      </c>
    </row>
    <row r="2990" spans="1:11">
      <c r="A2990" s="30" t="s">
        <v>7320</v>
      </c>
      <c r="B2990" s="30" t="s">
        <v>7321</v>
      </c>
      <c r="C2990" s="30" t="s">
        <v>149</v>
      </c>
      <c r="D2990" s="30" t="s">
        <v>17</v>
      </c>
      <c r="E2990" s="30" t="s">
        <v>67</v>
      </c>
      <c r="F2990" s="30" t="s">
        <v>68</v>
      </c>
      <c r="G2990" s="30" t="s">
        <v>20</v>
      </c>
      <c r="H2990" s="32">
        <v>56</v>
      </c>
      <c r="I2990" s="30" t="s">
        <v>21</v>
      </c>
      <c r="J2990" s="41">
        <v>44159</v>
      </c>
      <c r="K2990" s="30" t="s">
        <v>22</v>
      </c>
    </row>
    <row r="2991" spans="1:11">
      <c r="A2991" s="33" t="s">
        <v>7322</v>
      </c>
      <c r="B2991" s="33" t="s">
        <v>7323</v>
      </c>
      <c r="C2991" s="33" t="s">
        <v>231</v>
      </c>
      <c r="D2991" s="33" t="s">
        <v>17</v>
      </c>
      <c r="E2991" s="33" t="s">
        <v>31</v>
      </c>
      <c r="F2991" s="33" t="s">
        <v>32</v>
      </c>
      <c r="G2991" s="33" t="s">
        <v>112</v>
      </c>
      <c r="H2991" s="35">
        <v>0</v>
      </c>
      <c r="I2991" s="33" t="s">
        <v>21</v>
      </c>
      <c r="J2991" s="42">
        <v>44088</v>
      </c>
      <c r="K2991" s="33" t="s">
        <v>22</v>
      </c>
    </row>
    <row r="2992" spans="1:11">
      <c r="A2992" s="30" t="s">
        <v>7324</v>
      </c>
      <c r="B2992" s="30" t="s">
        <v>7325</v>
      </c>
      <c r="C2992" s="30" t="s">
        <v>7035</v>
      </c>
      <c r="D2992" s="30" t="s">
        <v>17</v>
      </c>
      <c r="E2992" s="30" t="s">
        <v>18</v>
      </c>
      <c r="F2992" s="30" t="s">
        <v>19</v>
      </c>
      <c r="G2992" s="30" t="s">
        <v>20</v>
      </c>
      <c r="H2992" s="32">
        <v>99</v>
      </c>
      <c r="I2992" s="30" t="s">
        <v>21</v>
      </c>
      <c r="J2992" s="41">
        <v>44187</v>
      </c>
      <c r="K2992" s="30" t="s">
        <v>22</v>
      </c>
    </row>
    <row r="2993" spans="1:11">
      <c r="A2993" s="33" t="s">
        <v>7326</v>
      </c>
      <c r="B2993" s="33" t="s">
        <v>7327</v>
      </c>
      <c r="C2993" s="33" t="s">
        <v>7328</v>
      </c>
      <c r="D2993" s="33" t="s">
        <v>17</v>
      </c>
      <c r="E2993" s="33" t="s">
        <v>31</v>
      </c>
      <c r="F2993" s="33" t="s">
        <v>32</v>
      </c>
      <c r="G2993" s="33" t="s">
        <v>106</v>
      </c>
      <c r="H2993" s="35">
        <v>255</v>
      </c>
      <c r="I2993" s="33" t="s">
        <v>21</v>
      </c>
      <c r="J2993" s="42">
        <v>44102</v>
      </c>
      <c r="K2993" s="33" t="s">
        <v>22</v>
      </c>
    </row>
    <row r="2994" spans="1:11">
      <c r="A2994" s="30" t="s">
        <v>7329</v>
      </c>
      <c r="B2994" s="30" t="s">
        <v>7330</v>
      </c>
      <c r="C2994" s="30" t="s">
        <v>936</v>
      </c>
      <c r="D2994" s="30" t="s">
        <v>17</v>
      </c>
      <c r="E2994" s="30" t="s">
        <v>31</v>
      </c>
      <c r="F2994" s="30" t="s">
        <v>32</v>
      </c>
      <c r="G2994" s="30" t="s">
        <v>20</v>
      </c>
      <c r="H2994" s="32">
        <v>51</v>
      </c>
      <c r="I2994" s="30" t="s">
        <v>21</v>
      </c>
      <c r="J2994" s="41">
        <v>43992</v>
      </c>
      <c r="K2994" s="30" t="s">
        <v>22</v>
      </c>
    </row>
    <row r="2995" spans="1:11">
      <c r="A2995" s="33" t="s">
        <v>7331</v>
      </c>
      <c r="B2995" s="33" t="s">
        <v>7332</v>
      </c>
      <c r="C2995" s="33" t="s">
        <v>3302</v>
      </c>
      <c r="D2995" s="33" t="s">
        <v>17</v>
      </c>
      <c r="E2995" s="33" t="s">
        <v>212</v>
      </c>
      <c r="F2995" s="33" t="s">
        <v>213</v>
      </c>
      <c r="G2995" s="33" t="s">
        <v>50</v>
      </c>
      <c r="H2995" s="35">
        <v>771</v>
      </c>
      <c r="I2995" s="33" t="s">
        <v>51</v>
      </c>
      <c r="J2995" s="42">
        <v>44194</v>
      </c>
      <c r="K2995" s="33" t="s">
        <v>22</v>
      </c>
    </row>
    <row r="2996" spans="1:11">
      <c r="A2996" s="30" t="s">
        <v>7333</v>
      </c>
      <c r="B2996" s="30" t="s">
        <v>7334</v>
      </c>
      <c r="C2996" s="30" t="s">
        <v>715</v>
      </c>
      <c r="D2996" s="30" t="s">
        <v>17</v>
      </c>
      <c r="E2996" s="30" t="s">
        <v>26</v>
      </c>
      <c r="F2996" s="30" t="s">
        <v>27</v>
      </c>
      <c r="G2996" s="30" t="s">
        <v>20</v>
      </c>
      <c r="H2996" s="32">
        <v>27</v>
      </c>
      <c r="I2996" s="30" t="s">
        <v>21</v>
      </c>
      <c r="J2996" s="41">
        <v>44053</v>
      </c>
      <c r="K2996" s="30" t="s">
        <v>22</v>
      </c>
    </row>
    <row r="2997" spans="1:11">
      <c r="A2997" s="33" t="s">
        <v>7335</v>
      </c>
      <c r="B2997" s="33" t="s">
        <v>7336</v>
      </c>
      <c r="C2997" s="33" t="s">
        <v>149</v>
      </c>
      <c r="D2997" s="33" t="s">
        <v>17</v>
      </c>
      <c r="E2997" s="33" t="s">
        <v>26</v>
      </c>
      <c r="F2997" s="33" t="s">
        <v>27</v>
      </c>
      <c r="G2997" s="33" t="s">
        <v>20</v>
      </c>
      <c r="H2997" s="35">
        <v>18</v>
      </c>
      <c r="I2997" s="33" t="s">
        <v>21</v>
      </c>
      <c r="J2997" s="42">
        <v>44005</v>
      </c>
      <c r="K2997" s="33" t="s">
        <v>22</v>
      </c>
    </row>
    <row r="2998" spans="1:11">
      <c r="A2998" s="30" t="s">
        <v>7337</v>
      </c>
      <c r="B2998" s="30" t="s">
        <v>7338</v>
      </c>
      <c r="C2998" s="30" t="s">
        <v>2733</v>
      </c>
      <c r="D2998" s="30" t="s">
        <v>17</v>
      </c>
      <c r="E2998" s="30" t="s">
        <v>31</v>
      </c>
      <c r="F2998" s="30" t="s">
        <v>32</v>
      </c>
      <c r="G2998" s="30" t="s">
        <v>158</v>
      </c>
      <c r="H2998" s="32">
        <v>60</v>
      </c>
      <c r="I2998" s="30" t="s">
        <v>51</v>
      </c>
      <c r="J2998" s="41">
        <v>44117</v>
      </c>
      <c r="K2998" s="30" t="s">
        <v>22</v>
      </c>
    </row>
    <row r="2999" spans="1:11">
      <c r="A2999" s="33" t="s">
        <v>7339</v>
      </c>
      <c r="B2999" s="33" t="s">
        <v>7340</v>
      </c>
      <c r="C2999" s="33" t="s">
        <v>178</v>
      </c>
      <c r="D2999" s="33" t="s">
        <v>17</v>
      </c>
      <c r="E2999" s="33" t="s">
        <v>18</v>
      </c>
      <c r="F2999" s="33" t="s">
        <v>19</v>
      </c>
      <c r="G2999" s="33" t="s">
        <v>20</v>
      </c>
      <c r="H2999" s="35">
        <v>1479</v>
      </c>
      <c r="I2999" s="33" t="s">
        <v>21</v>
      </c>
      <c r="J2999" s="42">
        <v>44048</v>
      </c>
      <c r="K2999" s="33" t="s">
        <v>22</v>
      </c>
    </row>
    <row r="3000" spans="1:11">
      <c r="A3000" s="30" t="s">
        <v>7341</v>
      </c>
      <c r="B3000" s="30" t="s">
        <v>7342</v>
      </c>
      <c r="C3000" s="30" t="s">
        <v>178</v>
      </c>
      <c r="D3000" s="30" t="s">
        <v>17</v>
      </c>
      <c r="E3000" s="30" t="s">
        <v>18</v>
      </c>
      <c r="F3000" s="30" t="s">
        <v>19</v>
      </c>
      <c r="G3000" s="30" t="s">
        <v>106</v>
      </c>
      <c r="H3000" s="32">
        <v>223</v>
      </c>
      <c r="I3000" s="30" t="s">
        <v>21</v>
      </c>
      <c r="J3000" s="41">
        <v>44036</v>
      </c>
      <c r="K3000" s="30" t="s">
        <v>22</v>
      </c>
    </row>
    <row r="3001" spans="1:11">
      <c r="A3001" s="33" t="s">
        <v>7343</v>
      </c>
      <c r="B3001" s="33" t="s">
        <v>7344</v>
      </c>
      <c r="C3001" s="33" t="s">
        <v>7345</v>
      </c>
      <c r="D3001" s="33" t="s">
        <v>17</v>
      </c>
      <c r="E3001" s="33" t="s">
        <v>31</v>
      </c>
      <c r="F3001" s="33" t="s">
        <v>32</v>
      </c>
      <c r="G3001" s="33" t="s">
        <v>20</v>
      </c>
      <c r="H3001" s="35">
        <v>780</v>
      </c>
      <c r="I3001" s="33" t="s">
        <v>21</v>
      </c>
      <c r="J3001" s="42">
        <v>43974</v>
      </c>
      <c r="K3001" s="33" t="s">
        <v>22</v>
      </c>
    </row>
    <row r="3002" spans="1:11">
      <c r="A3002" s="30" t="s">
        <v>7346</v>
      </c>
      <c r="B3002" s="30" t="s">
        <v>7347</v>
      </c>
      <c r="C3002" s="30" t="s">
        <v>2511</v>
      </c>
      <c r="D3002" s="30" t="s">
        <v>17</v>
      </c>
      <c r="E3002" s="30" t="s">
        <v>31</v>
      </c>
      <c r="F3002" s="30" t="s">
        <v>32</v>
      </c>
      <c r="G3002" s="30" t="s">
        <v>20</v>
      </c>
      <c r="H3002" s="32">
        <v>80</v>
      </c>
      <c r="I3002" s="30" t="s">
        <v>21</v>
      </c>
      <c r="J3002" s="41">
        <v>44069</v>
      </c>
      <c r="K3002" s="30" t="s">
        <v>22</v>
      </c>
    </row>
    <row r="3003" spans="1:11">
      <c r="A3003" s="33" t="s">
        <v>7348</v>
      </c>
      <c r="B3003" s="33" t="s">
        <v>7349</v>
      </c>
      <c r="C3003" s="33" t="s">
        <v>1019</v>
      </c>
      <c r="D3003" s="33" t="s">
        <v>17</v>
      </c>
      <c r="E3003" s="33" t="s">
        <v>18</v>
      </c>
      <c r="F3003" s="33" t="s">
        <v>19</v>
      </c>
      <c r="G3003" s="33" t="s">
        <v>20</v>
      </c>
      <c r="H3003" s="35">
        <v>215</v>
      </c>
      <c r="I3003" s="33" t="s">
        <v>21</v>
      </c>
      <c r="J3003" s="42">
        <v>43986</v>
      </c>
      <c r="K3003" s="33" t="s">
        <v>22</v>
      </c>
    </row>
    <row r="3004" spans="1:11">
      <c r="A3004" s="30" t="s">
        <v>7350</v>
      </c>
      <c r="B3004" s="30" t="s">
        <v>7351</v>
      </c>
      <c r="C3004" s="30" t="s">
        <v>948</v>
      </c>
      <c r="D3004" s="30" t="s">
        <v>17</v>
      </c>
      <c r="E3004" s="30" t="s">
        <v>67</v>
      </c>
      <c r="F3004" s="30" t="s">
        <v>68</v>
      </c>
      <c r="G3004" s="30" t="s">
        <v>140</v>
      </c>
      <c r="H3004" s="32">
        <v>244</v>
      </c>
      <c r="I3004" s="30" t="s">
        <v>51</v>
      </c>
      <c r="J3004" s="41">
        <v>44181</v>
      </c>
      <c r="K3004" s="30" t="s">
        <v>22</v>
      </c>
    </row>
    <row r="3005" spans="1:11">
      <c r="A3005" s="33" t="s">
        <v>7352</v>
      </c>
      <c r="B3005" s="33" t="s">
        <v>7353</v>
      </c>
      <c r="C3005" s="33" t="s">
        <v>102</v>
      </c>
      <c r="D3005" s="33" t="s">
        <v>17</v>
      </c>
      <c r="E3005" s="33" t="s">
        <v>18</v>
      </c>
      <c r="F3005" s="33" t="s">
        <v>19</v>
      </c>
      <c r="G3005" s="33" t="s">
        <v>106</v>
      </c>
      <c r="H3005" s="35">
        <v>212</v>
      </c>
      <c r="I3005" s="33" t="s">
        <v>21</v>
      </c>
      <c r="J3005" s="42">
        <v>44089</v>
      </c>
      <c r="K3005" s="33" t="s">
        <v>22</v>
      </c>
    </row>
    <row r="3006" spans="1:11">
      <c r="A3006" s="30" t="s">
        <v>7354</v>
      </c>
      <c r="B3006" s="30" t="s">
        <v>7355</v>
      </c>
      <c r="C3006" s="30" t="s">
        <v>96</v>
      </c>
      <c r="D3006" s="30" t="s">
        <v>17</v>
      </c>
      <c r="E3006" s="30" t="s">
        <v>26</v>
      </c>
      <c r="F3006" s="30" t="s">
        <v>27</v>
      </c>
      <c r="G3006" s="30" t="s">
        <v>20</v>
      </c>
      <c r="H3006" s="32">
        <v>11</v>
      </c>
      <c r="I3006" s="30" t="s">
        <v>21</v>
      </c>
      <c r="J3006" s="41">
        <v>44053</v>
      </c>
      <c r="K3006" s="30" t="s">
        <v>22</v>
      </c>
    </row>
    <row r="3007" spans="1:11">
      <c r="A3007" s="33" t="s">
        <v>7356</v>
      </c>
      <c r="B3007" s="33" t="s">
        <v>7357</v>
      </c>
      <c r="C3007" s="33" t="s">
        <v>6163</v>
      </c>
      <c r="D3007" s="33" t="s">
        <v>17</v>
      </c>
      <c r="E3007" s="33" t="s">
        <v>31</v>
      </c>
      <c r="F3007" s="33" t="s">
        <v>32</v>
      </c>
      <c r="G3007" s="33" t="s">
        <v>106</v>
      </c>
      <c r="H3007" s="35">
        <v>62</v>
      </c>
      <c r="I3007" s="33" t="s">
        <v>21</v>
      </c>
      <c r="J3007" s="42">
        <v>44042</v>
      </c>
      <c r="K3007" s="33" t="s">
        <v>22</v>
      </c>
    </row>
    <row r="3008" spans="1:11">
      <c r="A3008" s="30" t="s">
        <v>7358</v>
      </c>
      <c r="B3008" s="30" t="s">
        <v>7359</v>
      </c>
      <c r="C3008" s="30" t="s">
        <v>7360</v>
      </c>
      <c r="D3008" s="30" t="s">
        <v>17</v>
      </c>
      <c r="E3008" s="30" t="s">
        <v>67</v>
      </c>
      <c r="F3008" s="30" t="s">
        <v>68</v>
      </c>
      <c r="G3008" s="30" t="s">
        <v>20</v>
      </c>
      <c r="H3008" s="32">
        <v>34</v>
      </c>
      <c r="I3008" s="30" t="s">
        <v>21</v>
      </c>
      <c r="J3008" s="41">
        <v>44083</v>
      </c>
      <c r="K3008" s="30" t="s">
        <v>22</v>
      </c>
    </row>
    <row r="3009" spans="1:11">
      <c r="A3009" s="33" t="s">
        <v>7361</v>
      </c>
      <c r="B3009" s="33" t="s">
        <v>7362</v>
      </c>
      <c r="C3009" s="33" t="s">
        <v>7363</v>
      </c>
      <c r="D3009" s="33" t="s">
        <v>17</v>
      </c>
      <c r="E3009" s="33" t="s">
        <v>212</v>
      </c>
      <c r="F3009" s="33" t="s">
        <v>213</v>
      </c>
      <c r="G3009" s="33" t="s">
        <v>112</v>
      </c>
      <c r="H3009" s="35">
        <v>0</v>
      </c>
      <c r="I3009" s="33" t="s">
        <v>21</v>
      </c>
      <c r="J3009" s="42">
        <v>43993</v>
      </c>
      <c r="K3009" s="33" t="s">
        <v>22</v>
      </c>
    </row>
    <row r="3010" spans="1:11">
      <c r="A3010" s="30" t="s">
        <v>7364</v>
      </c>
      <c r="B3010" s="30" t="s">
        <v>7365</v>
      </c>
      <c r="C3010" s="30" t="s">
        <v>7366</v>
      </c>
      <c r="D3010" s="30" t="s">
        <v>17</v>
      </c>
      <c r="E3010" s="30" t="s">
        <v>31</v>
      </c>
      <c r="F3010" s="30" t="s">
        <v>32</v>
      </c>
      <c r="G3010" s="30" t="s">
        <v>20</v>
      </c>
      <c r="H3010" s="32">
        <v>248</v>
      </c>
      <c r="I3010" s="30" t="s">
        <v>21</v>
      </c>
      <c r="J3010" s="41">
        <v>44110</v>
      </c>
      <c r="K3010" s="30" t="s">
        <v>22</v>
      </c>
    </row>
    <row r="3011" spans="1:11">
      <c r="A3011" s="33" t="s">
        <v>7367</v>
      </c>
      <c r="B3011" s="33" t="s">
        <v>7368</v>
      </c>
      <c r="C3011" s="33" t="s">
        <v>7369</v>
      </c>
      <c r="D3011" s="33" t="s">
        <v>17</v>
      </c>
      <c r="E3011" s="33" t="s">
        <v>26</v>
      </c>
      <c r="F3011" s="33" t="s">
        <v>27</v>
      </c>
      <c r="G3011" s="33" t="s">
        <v>20</v>
      </c>
      <c r="H3011" s="35">
        <v>72</v>
      </c>
      <c r="I3011" s="33" t="s">
        <v>21</v>
      </c>
      <c r="J3011" s="42">
        <v>43962</v>
      </c>
      <c r="K3011" s="33" t="s">
        <v>22</v>
      </c>
    </row>
    <row r="3012" spans="1:11">
      <c r="A3012" s="30" t="s">
        <v>7370</v>
      </c>
      <c r="B3012" s="30" t="s">
        <v>7371</v>
      </c>
      <c r="C3012" s="30" t="s">
        <v>969</v>
      </c>
      <c r="D3012" s="30" t="s">
        <v>17</v>
      </c>
      <c r="E3012" s="30" t="s">
        <v>18</v>
      </c>
      <c r="F3012" s="30" t="s">
        <v>19</v>
      </c>
      <c r="G3012" s="30" t="s">
        <v>20</v>
      </c>
      <c r="H3012" s="32">
        <v>3657</v>
      </c>
      <c r="I3012" s="30" t="s">
        <v>21</v>
      </c>
      <c r="J3012" s="41">
        <v>44057</v>
      </c>
      <c r="K3012" s="30" t="s">
        <v>22</v>
      </c>
    </row>
    <row r="3013" spans="1:11">
      <c r="A3013" s="33" t="s">
        <v>7372</v>
      </c>
      <c r="B3013" s="33" t="s">
        <v>7373</v>
      </c>
      <c r="C3013" s="33" t="s">
        <v>7374</v>
      </c>
      <c r="D3013" s="33" t="s">
        <v>17</v>
      </c>
      <c r="E3013" s="33" t="s">
        <v>26</v>
      </c>
      <c r="F3013" s="33" t="s">
        <v>27</v>
      </c>
      <c r="G3013" s="33" t="s">
        <v>50</v>
      </c>
      <c r="H3013" s="35">
        <v>180</v>
      </c>
      <c r="I3013" s="33" t="s">
        <v>21</v>
      </c>
      <c r="J3013" s="42">
        <v>44111</v>
      </c>
      <c r="K3013" s="33" t="s">
        <v>22</v>
      </c>
    </row>
    <row r="3014" spans="1:11">
      <c r="A3014" s="30" t="s">
        <v>7375</v>
      </c>
      <c r="B3014" s="30" t="s">
        <v>7376</v>
      </c>
      <c r="C3014" s="30" t="s">
        <v>271</v>
      </c>
      <c r="D3014" s="30" t="s">
        <v>17</v>
      </c>
      <c r="E3014" s="30" t="s">
        <v>31</v>
      </c>
      <c r="F3014" s="30" t="s">
        <v>32</v>
      </c>
      <c r="G3014" s="30" t="s">
        <v>140</v>
      </c>
      <c r="H3014" s="32">
        <v>127</v>
      </c>
      <c r="I3014" s="30" t="s">
        <v>51</v>
      </c>
      <c r="J3014" s="41">
        <v>44013</v>
      </c>
      <c r="K3014" s="30" t="s">
        <v>22</v>
      </c>
    </row>
    <row r="3015" spans="1:11">
      <c r="A3015" s="33" t="s">
        <v>7377</v>
      </c>
      <c r="B3015" s="33" t="s">
        <v>7378</v>
      </c>
      <c r="C3015" s="33" t="s">
        <v>2313</v>
      </c>
      <c r="D3015" s="33" t="s">
        <v>17</v>
      </c>
      <c r="E3015" s="33" t="s">
        <v>31</v>
      </c>
      <c r="F3015" s="33" t="s">
        <v>32</v>
      </c>
      <c r="G3015" s="33" t="s">
        <v>106</v>
      </c>
      <c r="H3015" s="35">
        <v>46</v>
      </c>
      <c r="I3015" s="33" t="s">
        <v>21</v>
      </c>
      <c r="J3015" s="42">
        <v>44104</v>
      </c>
      <c r="K3015" s="33" t="s">
        <v>22</v>
      </c>
    </row>
    <row r="3016" spans="1:11">
      <c r="A3016" s="30" t="s">
        <v>7379</v>
      </c>
      <c r="B3016" s="30" t="s">
        <v>7380</v>
      </c>
      <c r="C3016" s="30" t="s">
        <v>96</v>
      </c>
      <c r="D3016" s="30" t="s">
        <v>17</v>
      </c>
      <c r="E3016" s="30" t="s">
        <v>31</v>
      </c>
      <c r="F3016" s="30" t="s">
        <v>32</v>
      </c>
      <c r="G3016" s="30" t="s">
        <v>20</v>
      </c>
      <c r="H3016" s="32">
        <v>151</v>
      </c>
      <c r="I3016" s="30" t="s">
        <v>21</v>
      </c>
      <c r="J3016" s="41">
        <v>43872</v>
      </c>
      <c r="K3016" s="30" t="s">
        <v>22</v>
      </c>
    </row>
    <row r="3017" spans="1:11">
      <c r="A3017" s="33" t="s">
        <v>7381</v>
      </c>
      <c r="B3017" s="33" t="s">
        <v>7382</v>
      </c>
      <c r="C3017" s="33" t="s">
        <v>7383</v>
      </c>
      <c r="D3017" s="33" t="s">
        <v>17</v>
      </c>
      <c r="E3017" s="33" t="s">
        <v>26</v>
      </c>
      <c r="F3017" s="33" t="s">
        <v>27</v>
      </c>
      <c r="G3017" s="33" t="s">
        <v>50</v>
      </c>
      <c r="H3017" s="35">
        <v>30</v>
      </c>
      <c r="I3017" s="33" t="s">
        <v>51</v>
      </c>
      <c r="J3017" s="42">
        <v>43872</v>
      </c>
      <c r="K3017" s="33" t="s">
        <v>22</v>
      </c>
    </row>
    <row r="3018" spans="1:11">
      <c r="A3018" s="30" t="s">
        <v>7384</v>
      </c>
      <c r="B3018" s="30" t="s">
        <v>7385</v>
      </c>
      <c r="C3018" s="30" t="s">
        <v>1498</v>
      </c>
      <c r="D3018" s="30" t="s">
        <v>17</v>
      </c>
      <c r="E3018" s="30" t="s">
        <v>45</v>
      </c>
      <c r="F3018" s="30" t="s">
        <v>46</v>
      </c>
      <c r="G3018" s="30" t="s">
        <v>20</v>
      </c>
      <c r="H3018" s="32">
        <v>1642</v>
      </c>
      <c r="I3018" s="30" t="s">
        <v>21</v>
      </c>
      <c r="J3018" s="41">
        <v>44109</v>
      </c>
      <c r="K3018" s="30" t="s">
        <v>22</v>
      </c>
    </row>
    <row r="3019" spans="1:11">
      <c r="A3019" s="33" t="s">
        <v>7386</v>
      </c>
      <c r="B3019" s="33" t="s">
        <v>7387</v>
      </c>
      <c r="C3019" s="33" t="s">
        <v>7388</v>
      </c>
      <c r="D3019" s="33" t="s">
        <v>17</v>
      </c>
      <c r="E3019" s="33" t="s">
        <v>26</v>
      </c>
      <c r="F3019" s="33" t="s">
        <v>27</v>
      </c>
      <c r="G3019" s="33" t="s">
        <v>20</v>
      </c>
      <c r="H3019" s="35">
        <v>42</v>
      </c>
      <c r="I3019" s="33" t="s">
        <v>21</v>
      </c>
      <c r="J3019" s="42">
        <v>44194</v>
      </c>
      <c r="K3019" s="33" t="s">
        <v>22</v>
      </c>
    </row>
    <row r="3020" spans="1:11">
      <c r="A3020" s="30" t="s">
        <v>7389</v>
      </c>
      <c r="B3020" s="30" t="s">
        <v>7390</v>
      </c>
      <c r="C3020" s="30" t="s">
        <v>3496</v>
      </c>
      <c r="D3020" s="30" t="s">
        <v>17</v>
      </c>
      <c r="E3020" s="30" t="s">
        <v>18</v>
      </c>
      <c r="F3020" s="30" t="s">
        <v>19</v>
      </c>
      <c r="G3020" s="30" t="s">
        <v>20</v>
      </c>
      <c r="H3020" s="32">
        <v>356</v>
      </c>
      <c r="I3020" s="30" t="s">
        <v>21</v>
      </c>
      <c r="J3020" s="41">
        <v>43892</v>
      </c>
      <c r="K3020" s="30" t="s">
        <v>22</v>
      </c>
    </row>
    <row r="3021" spans="1:11">
      <c r="A3021" s="33" t="s">
        <v>7391</v>
      </c>
      <c r="B3021" s="33" t="s">
        <v>7392</v>
      </c>
      <c r="C3021" s="33" t="s">
        <v>7393</v>
      </c>
      <c r="D3021" s="33" t="s">
        <v>17</v>
      </c>
      <c r="E3021" s="33" t="s">
        <v>31</v>
      </c>
      <c r="F3021" s="33" t="s">
        <v>32</v>
      </c>
      <c r="G3021" s="33" t="s">
        <v>112</v>
      </c>
      <c r="H3021" s="35">
        <v>0</v>
      </c>
      <c r="I3021" s="33" t="s">
        <v>21</v>
      </c>
      <c r="J3021" s="42">
        <v>43861</v>
      </c>
      <c r="K3021" s="33" t="s">
        <v>22</v>
      </c>
    </row>
    <row r="3022" spans="1:11">
      <c r="A3022" s="30" t="s">
        <v>7394</v>
      </c>
      <c r="B3022" s="30" t="s">
        <v>7395</v>
      </c>
      <c r="C3022" s="30" t="s">
        <v>7396</v>
      </c>
      <c r="D3022" s="30" t="s">
        <v>17</v>
      </c>
      <c r="E3022" s="30" t="s">
        <v>31</v>
      </c>
      <c r="F3022" s="30" t="s">
        <v>32</v>
      </c>
      <c r="G3022" s="30" t="s">
        <v>20</v>
      </c>
      <c r="H3022" s="32">
        <v>110</v>
      </c>
      <c r="I3022" s="30" t="s">
        <v>21</v>
      </c>
      <c r="J3022" s="41">
        <v>43846</v>
      </c>
      <c r="K3022" s="30" t="s">
        <v>22</v>
      </c>
    </row>
    <row r="3023" spans="1:11">
      <c r="A3023" s="33" t="s">
        <v>7397</v>
      </c>
      <c r="B3023" s="33" t="s">
        <v>7398</v>
      </c>
      <c r="C3023" s="33" t="s">
        <v>7399</v>
      </c>
      <c r="D3023" s="33" t="s">
        <v>17</v>
      </c>
      <c r="E3023" s="33" t="s">
        <v>18</v>
      </c>
      <c r="F3023" s="33" t="s">
        <v>19</v>
      </c>
      <c r="G3023" s="33" t="s">
        <v>50</v>
      </c>
      <c r="H3023" s="35">
        <v>200</v>
      </c>
      <c r="I3023" s="33" t="s">
        <v>51</v>
      </c>
      <c r="J3023" s="42">
        <v>44166</v>
      </c>
      <c r="K3023" s="33" t="s">
        <v>22</v>
      </c>
    </row>
    <row r="3024" spans="1:11">
      <c r="A3024" s="30" t="s">
        <v>7400</v>
      </c>
      <c r="B3024" s="30" t="s">
        <v>7401</v>
      </c>
      <c r="C3024" s="30" t="s">
        <v>7402</v>
      </c>
      <c r="D3024" s="30" t="s">
        <v>17</v>
      </c>
      <c r="E3024" s="30" t="s">
        <v>26</v>
      </c>
      <c r="F3024" s="30" t="s">
        <v>27</v>
      </c>
      <c r="G3024" s="30" t="s">
        <v>20</v>
      </c>
      <c r="H3024" s="32">
        <v>15</v>
      </c>
      <c r="I3024" s="30" t="s">
        <v>21</v>
      </c>
      <c r="J3024" s="41">
        <v>44113</v>
      </c>
      <c r="K3024" s="30" t="s">
        <v>22</v>
      </c>
    </row>
    <row r="3025" spans="1:11">
      <c r="A3025" s="33" t="s">
        <v>7403</v>
      </c>
      <c r="B3025" s="33" t="s">
        <v>7404</v>
      </c>
      <c r="C3025" s="33" t="s">
        <v>2739</v>
      </c>
      <c r="D3025" s="33" t="s">
        <v>17</v>
      </c>
      <c r="E3025" s="33" t="s">
        <v>26</v>
      </c>
      <c r="F3025" s="33" t="s">
        <v>27</v>
      </c>
      <c r="G3025" s="33" t="s">
        <v>20</v>
      </c>
      <c r="H3025" s="35">
        <v>38</v>
      </c>
      <c r="I3025" s="33" t="s">
        <v>21</v>
      </c>
      <c r="J3025" s="42">
        <v>44058</v>
      </c>
      <c r="K3025" s="33" t="s">
        <v>22</v>
      </c>
    </row>
    <row r="3026" spans="1:11">
      <c r="A3026" s="30" t="s">
        <v>7405</v>
      </c>
      <c r="B3026" s="30" t="s">
        <v>7406</v>
      </c>
      <c r="C3026" s="30" t="s">
        <v>7407</v>
      </c>
      <c r="D3026" s="30" t="s">
        <v>17</v>
      </c>
      <c r="E3026" s="30" t="s">
        <v>67</v>
      </c>
      <c r="F3026" s="30" t="s">
        <v>68</v>
      </c>
      <c r="G3026" s="30" t="s">
        <v>20</v>
      </c>
      <c r="H3026" s="32">
        <v>661</v>
      </c>
      <c r="I3026" s="30" t="s">
        <v>21</v>
      </c>
      <c r="J3026" s="41">
        <v>44013</v>
      </c>
      <c r="K3026" s="30" t="s">
        <v>22</v>
      </c>
    </row>
    <row r="3027" spans="1:11">
      <c r="A3027" s="33" t="s">
        <v>7408</v>
      </c>
      <c r="B3027" s="33" t="s">
        <v>7409</v>
      </c>
      <c r="C3027" s="33" t="s">
        <v>5050</v>
      </c>
      <c r="D3027" s="33" t="s">
        <v>17</v>
      </c>
      <c r="E3027" s="33" t="s">
        <v>212</v>
      </c>
      <c r="F3027" s="33" t="s">
        <v>213</v>
      </c>
      <c r="G3027" s="33" t="s">
        <v>20</v>
      </c>
      <c r="H3027" s="35">
        <v>130</v>
      </c>
      <c r="I3027" s="33" t="s">
        <v>21</v>
      </c>
      <c r="J3027" s="42">
        <v>43963</v>
      </c>
      <c r="K3027" s="33" t="s">
        <v>22</v>
      </c>
    </row>
    <row r="3028" spans="1:11">
      <c r="A3028" s="30" t="s">
        <v>7410</v>
      </c>
      <c r="B3028" s="30" t="s">
        <v>7411</v>
      </c>
      <c r="C3028" s="30" t="s">
        <v>5139</v>
      </c>
      <c r="D3028" s="30" t="s">
        <v>17</v>
      </c>
      <c r="E3028" s="30" t="s">
        <v>18</v>
      </c>
      <c r="F3028" s="30" t="s">
        <v>19</v>
      </c>
      <c r="G3028" s="30" t="s">
        <v>106</v>
      </c>
      <c r="H3028" s="32">
        <v>52</v>
      </c>
      <c r="I3028" s="30" t="s">
        <v>21</v>
      </c>
      <c r="J3028" s="41">
        <v>44071</v>
      </c>
      <c r="K3028" s="30" t="s">
        <v>22</v>
      </c>
    </row>
    <row r="3029" spans="1:11">
      <c r="A3029" s="33" t="s">
        <v>7412</v>
      </c>
      <c r="B3029" s="33" t="s">
        <v>7413</v>
      </c>
      <c r="C3029" s="33" t="s">
        <v>75</v>
      </c>
      <c r="D3029" s="33" t="s">
        <v>17</v>
      </c>
      <c r="E3029" s="33" t="s">
        <v>26</v>
      </c>
      <c r="F3029" s="33" t="s">
        <v>27</v>
      </c>
      <c r="G3029" s="33" t="s">
        <v>20</v>
      </c>
      <c r="H3029" s="35">
        <v>22</v>
      </c>
      <c r="I3029" s="33" t="s">
        <v>21</v>
      </c>
      <c r="J3029" s="42">
        <v>44045</v>
      </c>
      <c r="K3029" s="33" t="s">
        <v>22</v>
      </c>
    </row>
    <row r="3030" spans="1:11">
      <c r="A3030" s="30" t="s">
        <v>7414</v>
      </c>
      <c r="B3030" s="30" t="s">
        <v>7415</v>
      </c>
      <c r="C3030" s="30" t="s">
        <v>2663</v>
      </c>
      <c r="D3030" s="30" t="s">
        <v>17</v>
      </c>
      <c r="E3030" s="30" t="s">
        <v>18</v>
      </c>
      <c r="F3030" s="30" t="s">
        <v>19</v>
      </c>
      <c r="G3030" s="30" t="s">
        <v>112</v>
      </c>
      <c r="H3030" s="32">
        <v>0</v>
      </c>
      <c r="I3030" s="30" t="s">
        <v>21</v>
      </c>
      <c r="J3030" s="41">
        <v>43831</v>
      </c>
      <c r="K3030" s="30" t="s">
        <v>22</v>
      </c>
    </row>
    <row r="3031" spans="1:11">
      <c r="A3031" s="33" t="s">
        <v>7416</v>
      </c>
      <c r="B3031" s="33" t="s">
        <v>7417</v>
      </c>
      <c r="C3031" s="33" t="s">
        <v>1228</v>
      </c>
      <c r="D3031" s="33" t="s">
        <v>17</v>
      </c>
      <c r="E3031" s="33" t="s">
        <v>212</v>
      </c>
      <c r="F3031" s="33" t="s">
        <v>213</v>
      </c>
      <c r="G3031" s="33" t="s">
        <v>20</v>
      </c>
      <c r="H3031" s="35">
        <v>168</v>
      </c>
      <c r="I3031" s="33" t="s">
        <v>21</v>
      </c>
      <c r="J3031" s="42">
        <v>43970</v>
      </c>
      <c r="K3031" s="33" t="s">
        <v>22</v>
      </c>
    </row>
    <row r="3032" spans="1:11">
      <c r="A3032" s="30" t="s">
        <v>7418</v>
      </c>
      <c r="B3032" s="30" t="s">
        <v>7419</v>
      </c>
      <c r="C3032" s="30" t="s">
        <v>7420</v>
      </c>
      <c r="D3032" s="30" t="s">
        <v>17</v>
      </c>
      <c r="E3032" s="30" t="s">
        <v>45</v>
      </c>
      <c r="F3032" s="30" t="s">
        <v>46</v>
      </c>
      <c r="G3032" s="30" t="s">
        <v>69</v>
      </c>
      <c r="H3032" s="32">
        <v>644</v>
      </c>
      <c r="I3032" s="30" t="s">
        <v>51</v>
      </c>
      <c r="J3032" s="41">
        <v>44160</v>
      </c>
      <c r="K3032" s="30" t="s">
        <v>22</v>
      </c>
    </row>
    <row r="3033" spans="1:11">
      <c r="A3033" s="33" t="s">
        <v>7421</v>
      </c>
      <c r="B3033" s="33" t="s">
        <v>7422</v>
      </c>
      <c r="C3033" s="33" t="s">
        <v>7423</v>
      </c>
      <c r="D3033" s="33" t="s">
        <v>17</v>
      </c>
      <c r="E3033" s="33" t="s">
        <v>26</v>
      </c>
      <c r="F3033" s="33" t="s">
        <v>27</v>
      </c>
      <c r="G3033" s="33" t="s">
        <v>106</v>
      </c>
      <c r="H3033" s="35">
        <v>24</v>
      </c>
      <c r="I3033" s="33" t="s">
        <v>21</v>
      </c>
      <c r="J3033" s="42">
        <v>44165</v>
      </c>
      <c r="K3033" s="33" t="s">
        <v>22</v>
      </c>
    </row>
    <row r="3034" spans="1:11">
      <c r="A3034" s="30" t="s">
        <v>7424</v>
      </c>
      <c r="B3034" s="30" t="s">
        <v>7425</v>
      </c>
      <c r="C3034" s="30" t="s">
        <v>318</v>
      </c>
      <c r="D3034" s="30" t="s">
        <v>17</v>
      </c>
      <c r="E3034" s="30" t="s">
        <v>26</v>
      </c>
      <c r="F3034" s="30" t="s">
        <v>27</v>
      </c>
      <c r="G3034" s="30" t="s">
        <v>20</v>
      </c>
      <c r="H3034" s="32">
        <v>12</v>
      </c>
      <c r="I3034" s="30" t="s">
        <v>21</v>
      </c>
      <c r="J3034" s="41">
        <v>43949</v>
      </c>
      <c r="K3034" s="30" t="s">
        <v>22</v>
      </c>
    </row>
    <row r="3035" spans="1:11">
      <c r="A3035" s="33" t="s">
        <v>7426</v>
      </c>
      <c r="B3035" s="33" t="s">
        <v>7427</v>
      </c>
      <c r="C3035" s="33" t="s">
        <v>7428</v>
      </c>
      <c r="D3035" s="33" t="s">
        <v>17</v>
      </c>
      <c r="E3035" s="33" t="s">
        <v>18</v>
      </c>
      <c r="F3035" s="33" t="s">
        <v>19</v>
      </c>
      <c r="G3035" s="33" t="s">
        <v>20</v>
      </c>
      <c r="H3035" s="35">
        <v>576</v>
      </c>
      <c r="I3035" s="33" t="s">
        <v>21</v>
      </c>
      <c r="J3035" s="42">
        <v>44056</v>
      </c>
      <c r="K3035" s="33" t="s">
        <v>22</v>
      </c>
    </row>
    <row r="3036" spans="1:11">
      <c r="A3036" s="30" t="s">
        <v>7429</v>
      </c>
      <c r="B3036" s="30" t="s">
        <v>7430</v>
      </c>
      <c r="C3036" s="30" t="s">
        <v>190</v>
      </c>
      <c r="D3036" s="30" t="s">
        <v>17</v>
      </c>
      <c r="E3036" s="30" t="s">
        <v>18</v>
      </c>
      <c r="F3036" s="30" t="s">
        <v>19</v>
      </c>
      <c r="G3036" s="30" t="s">
        <v>112</v>
      </c>
      <c r="H3036" s="32">
        <v>0</v>
      </c>
      <c r="I3036" s="30" t="s">
        <v>21</v>
      </c>
      <c r="J3036" s="41">
        <v>44076</v>
      </c>
      <c r="K3036" s="30" t="s">
        <v>22</v>
      </c>
    </row>
    <row r="3037" spans="1:11">
      <c r="A3037" s="33" t="s">
        <v>7431</v>
      </c>
      <c r="B3037" s="33" t="s">
        <v>7432</v>
      </c>
      <c r="C3037" s="33" t="s">
        <v>96</v>
      </c>
      <c r="D3037" s="33" t="s">
        <v>17</v>
      </c>
      <c r="E3037" s="33" t="s">
        <v>212</v>
      </c>
      <c r="F3037" s="33" t="s">
        <v>213</v>
      </c>
      <c r="G3037" s="33" t="s">
        <v>20</v>
      </c>
      <c r="H3037" s="35">
        <v>100</v>
      </c>
      <c r="I3037" s="33" t="s">
        <v>21</v>
      </c>
      <c r="J3037" s="42">
        <v>44070</v>
      </c>
      <c r="K3037" s="33" t="s">
        <v>22</v>
      </c>
    </row>
    <row r="3038" spans="1:11">
      <c r="A3038" s="30" t="s">
        <v>7433</v>
      </c>
      <c r="B3038" s="30" t="s">
        <v>7434</v>
      </c>
      <c r="C3038" s="30" t="s">
        <v>7435</v>
      </c>
      <c r="D3038" s="30" t="s">
        <v>17</v>
      </c>
      <c r="E3038" s="30" t="s">
        <v>31</v>
      </c>
      <c r="F3038" s="30" t="s">
        <v>32</v>
      </c>
      <c r="G3038" s="30" t="s">
        <v>20</v>
      </c>
      <c r="H3038" s="32">
        <v>50</v>
      </c>
      <c r="I3038" s="30" t="s">
        <v>21</v>
      </c>
      <c r="J3038" s="41">
        <v>43881</v>
      </c>
      <c r="K3038" s="30" t="s">
        <v>22</v>
      </c>
    </row>
    <row r="3039" spans="1:11">
      <c r="A3039" s="33" t="s">
        <v>7436</v>
      </c>
      <c r="B3039" s="33" t="s">
        <v>7437</v>
      </c>
      <c r="C3039" s="33" t="s">
        <v>178</v>
      </c>
      <c r="D3039" s="33" t="s">
        <v>17</v>
      </c>
      <c r="E3039" s="33" t="s">
        <v>18</v>
      </c>
      <c r="F3039" s="33" t="s">
        <v>19</v>
      </c>
      <c r="G3039" s="33" t="s">
        <v>20</v>
      </c>
      <c r="H3039" s="35">
        <v>829</v>
      </c>
      <c r="I3039" s="33" t="s">
        <v>21</v>
      </c>
      <c r="J3039" s="42">
        <v>44067</v>
      </c>
      <c r="K3039" s="33" t="s">
        <v>22</v>
      </c>
    </row>
    <row r="3040" spans="1:11">
      <c r="A3040" s="30" t="s">
        <v>7438</v>
      </c>
      <c r="B3040" s="30" t="s">
        <v>7439</v>
      </c>
      <c r="C3040" s="30" t="s">
        <v>149</v>
      </c>
      <c r="D3040" s="30" t="s">
        <v>17</v>
      </c>
      <c r="E3040" s="30" t="s">
        <v>26</v>
      </c>
      <c r="F3040" s="30" t="s">
        <v>27</v>
      </c>
      <c r="G3040" s="30" t="s">
        <v>20</v>
      </c>
      <c r="H3040" s="32">
        <v>18</v>
      </c>
      <c r="I3040" s="30" t="s">
        <v>21</v>
      </c>
      <c r="J3040" s="41">
        <v>43997</v>
      </c>
      <c r="K3040" s="30" t="s">
        <v>22</v>
      </c>
    </row>
    <row r="3041" spans="1:11">
      <c r="A3041" s="33" t="s">
        <v>7440</v>
      </c>
      <c r="B3041" s="33" t="s">
        <v>7441</v>
      </c>
      <c r="C3041" s="33" t="s">
        <v>7442</v>
      </c>
      <c r="D3041" s="33" t="s">
        <v>17</v>
      </c>
      <c r="E3041" s="33" t="s">
        <v>31</v>
      </c>
      <c r="F3041" s="33" t="s">
        <v>32</v>
      </c>
      <c r="G3041" s="33" t="s">
        <v>112</v>
      </c>
      <c r="H3041" s="35">
        <v>0</v>
      </c>
      <c r="I3041" s="33" t="s">
        <v>21</v>
      </c>
      <c r="J3041" s="42">
        <v>44044</v>
      </c>
      <c r="K3041" s="33" t="s">
        <v>22</v>
      </c>
    </row>
    <row r="3042" spans="1:11">
      <c r="A3042" s="30" t="s">
        <v>7443</v>
      </c>
      <c r="B3042" s="30" t="s">
        <v>7444</v>
      </c>
      <c r="C3042" s="30" t="s">
        <v>647</v>
      </c>
      <c r="D3042" s="30" t="s">
        <v>17</v>
      </c>
      <c r="E3042" s="30" t="s">
        <v>31</v>
      </c>
      <c r="F3042" s="30" t="s">
        <v>32</v>
      </c>
      <c r="G3042" s="30" t="s">
        <v>158</v>
      </c>
      <c r="H3042" s="32">
        <v>154</v>
      </c>
      <c r="I3042" s="30" t="s">
        <v>21</v>
      </c>
      <c r="J3042" s="41">
        <v>44087</v>
      </c>
      <c r="K3042" s="30" t="s">
        <v>22</v>
      </c>
    </row>
    <row r="3043" spans="1:11">
      <c r="A3043" s="33" t="s">
        <v>7445</v>
      </c>
      <c r="B3043" s="33" t="s">
        <v>7446</v>
      </c>
      <c r="C3043" s="33" t="s">
        <v>1598</v>
      </c>
      <c r="D3043" s="33" t="s">
        <v>17</v>
      </c>
      <c r="E3043" s="33" t="s">
        <v>67</v>
      </c>
      <c r="F3043" s="33" t="s">
        <v>68</v>
      </c>
      <c r="G3043" s="33" t="s">
        <v>106</v>
      </c>
      <c r="H3043" s="35">
        <v>15</v>
      </c>
      <c r="I3043" s="33" t="s">
        <v>21</v>
      </c>
      <c r="J3043" s="42">
        <v>44166</v>
      </c>
      <c r="K3043" s="33" t="s">
        <v>22</v>
      </c>
    </row>
    <row r="3044" spans="1:11">
      <c r="A3044" s="30" t="s">
        <v>7447</v>
      </c>
      <c r="B3044" s="30" t="s">
        <v>7448</v>
      </c>
      <c r="C3044" s="30" t="s">
        <v>7449</v>
      </c>
      <c r="D3044" s="30" t="s">
        <v>17</v>
      </c>
      <c r="E3044" s="30" t="s">
        <v>26</v>
      </c>
      <c r="F3044" s="30" t="s">
        <v>27</v>
      </c>
      <c r="G3044" s="30" t="s">
        <v>106</v>
      </c>
      <c r="H3044" s="32">
        <v>6</v>
      </c>
      <c r="I3044" s="30" t="s">
        <v>21</v>
      </c>
      <c r="J3044" s="41">
        <v>43977</v>
      </c>
      <c r="K3044" s="30" t="s">
        <v>22</v>
      </c>
    </row>
    <row r="3045" spans="1:11">
      <c r="A3045" s="33" t="s">
        <v>7450</v>
      </c>
      <c r="B3045" s="33" t="s">
        <v>7451</v>
      </c>
      <c r="C3045" s="33" t="s">
        <v>190</v>
      </c>
      <c r="D3045" s="33" t="s">
        <v>17</v>
      </c>
      <c r="E3045" s="33" t="s">
        <v>31</v>
      </c>
      <c r="F3045" s="33" t="s">
        <v>32</v>
      </c>
      <c r="G3045" s="33" t="s">
        <v>20</v>
      </c>
      <c r="H3045" s="35">
        <v>100</v>
      </c>
      <c r="I3045" s="33" t="s">
        <v>21</v>
      </c>
      <c r="J3045" s="42">
        <v>44062</v>
      </c>
      <c r="K3045" s="33" t="s">
        <v>22</v>
      </c>
    </row>
    <row r="3046" spans="1:11">
      <c r="A3046" s="30" t="s">
        <v>7452</v>
      </c>
      <c r="B3046" s="30" t="s">
        <v>7453</v>
      </c>
      <c r="C3046" s="30" t="s">
        <v>7454</v>
      </c>
      <c r="D3046" s="30" t="s">
        <v>17</v>
      </c>
      <c r="E3046" s="30" t="s">
        <v>26</v>
      </c>
      <c r="F3046" s="30" t="s">
        <v>27</v>
      </c>
      <c r="G3046" s="30" t="s">
        <v>20</v>
      </c>
      <c r="H3046" s="32">
        <v>10</v>
      </c>
      <c r="I3046" s="30" t="s">
        <v>21</v>
      </c>
      <c r="J3046" s="41">
        <v>43952</v>
      </c>
      <c r="K3046" s="30" t="s">
        <v>22</v>
      </c>
    </row>
    <row r="3047" spans="1:11">
      <c r="A3047" s="33" t="s">
        <v>7455</v>
      </c>
      <c r="B3047" s="33" t="s">
        <v>7456</v>
      </c>
      <c r="C3047" s="33" t="s">
        <v>136</v>
      </c>
      <c r="D3047" s="33" t="s">
        <v>17</v>
      </c>
      <c r="E3047" s="33" t="s">
        <v>26</v>
      </c>
      <c r="F3047" s="33" t="s">
        <v>27</v>
      </c>
      <c r="G3047" s="33" t="s">
        <v>20</v>
      </c>
      <c r="H3047" s="35">
        <v>33</v>
      </c>
      <c r="I3047" s="33" t="s">
        <v>21</v>
      </c>
      <c r="J3047" s="42">
        <v>43840</v>
      </c>
      <c r="K3047" s="33" t="s">
        <v>22</v>
      </c>
    </row>
    <row r="3048" spans="1:11">
      <c r="A3048" s="30" t="s">
        <v>7457</v>
      </c>
      <c r="B3048" s="30" t="s">
        <v>7458</v>
      </c>
      <c r="C3048" s="30" t="s">
        <v>7459</v>
      </c>
      <c r="D3048" s="30" t="s">
        <v>17</v>
      </c>
      <c r="E3048" s="30" t="s">
        <v>26</v>
      </c>
      <c r="F3048" s="30" t="s">
        <v>27</v>
      </c>
      <c r="G3048" s="30" t="s">
        <v>20</v>
      </c>
      <c r="H3048" s="32">
        <v>60</v>
      </c>
      <c r="I3048" s="30" t="s">
        <v>21</v>
      </c>
      <c r="J3048" s="41">
        <v>44099</v>
      </c>
      <c r="K3048" s="30" t="s">
        <v>22</v>
      </c>
    </row>
    <row r="3049" spans="1:11">
      <c r="A3049" s="33" t="s">
        <v>7460</v>
      </c>
      <c r="B3049" s="33" t="s">
        <v>7461</v>
      </c>
      <c r="C3049" s="33" t="s">
        <v>4087</v>
      </c>
      <c r="D3049" s="33" t="s">
        <v>17</v>
      </c>
      <c r="E3049" s="33" t="s">
        <v>18</v>
      </c>
      <c r="F3049" s="33" t="s">
        <v>19</v>
      </c>
      <c r="G3049" s="33" t="s">
        <v>106</v>
      </c>
      <c r="H3049" s="35">
        <v>190</v>
      </c>
      <c r="I3049" s="33" t="s">
        <v>21</v>
      </c>
      <c r="J3049" s="42">
        <v>43963</v>
      </c>
      <c r="K3049" s="33" t="s">
        <v>22</v>
      </c>
    </row>
    <row r="3050" spans="1:11">
      <c r="A3050" s="30" t="s">
        <v>7462</v>
      </c>
      <c r="B3050" s="30" t="s">
        <v>7463</v>
      </c>
      <c r="C3050" s="30" t="s">
        <v>1598</v>
      </c>
      <c r="D3050" s="30" t="s">
        <v>17</v>
      </c>
      <c r="E3050" s="30" t="s">
        <v>67</v>
      </c>
      <c r="F3050" s="30" t="s">
        <v>68</v>
      </c>
      <c r="G3050" s="30" t="s">
        <v>69</v>
      </c>
      <c r="H3050" s="32">
        <v>222</v>
      </c>
      <c r="I3050" s="30" t="s">
        <v>51</v>
      </c>
      <c r="J3050" s="41">
        <v>44099</v>
      </c>
      <c r="K3050" s="30" t="s">
        <v>22</v>
      </c>
    </row>
    <row r="3051" spans="1:11">
      <c r="A3051" s="33" t="s">
        <v>7464</v>
      </c>
      <c r="B3051" s="33" t="s">
        <v>7465</v>
      </c>
      <c r="C3051" s="33" t="s">
        <v>93</v>
      </c>
      <c r="D3051" s="33" t="s">
        <v>17</v>
      </c>
      <c r="E3051" s="33" t="s">
        <v>67</v>
      </c>
      <c r="F3051" s="33" t="s">
        <v>68</v>
      </c>
      <c r="G3051" s="33" t="s">
        <v>158</v>
      </c>
      <c r="H3051" s="35">
        <v>100</v>
      </c>
      <c r="I3051" s="33" t="s">
        <v>21</v>
      </c>
      <c r="J3051" s="42">
        <v>44151</v>
      </c>
      <c r="K3051" s="33" t="s">
        <v>22</v>
      </c>
    </row>
    <row r="3052" spans="1:11">
      <c r="A3052" s="30" t="s">
        <v>7466</v>
      </c>
      <c r="B3052" s="30" t="s">
        <v>7467</v>
      </c>
      <c r="C3052" s="30" t="s">
        <v>7468</v>
      </c>
      <c r="D3052" s="30" t="s">
        <v>17</v>
      </c>
      <c r="E3052" s="30" t="s">
        <v>26</v>
      </c>
      <c r="F3052" s="30" t="s">
        <v>27</v>
      </c>
      <c r="G3052" s="30" t="s">
        <v>20</v>
      </c>
      <c r="H3052" s="32">
        <v>41</v>
      </c>
      <c r="I3052" s="30" t="s">
        <v>21</v>
      </c>
      <c r="J3052" s="41">
        <v>43851</v>
      </c>
      <c r="K3052" s="30" t="s">
        <v>22</v>
      </c>
    </row>
    <row r="3053" spans="1:11">
      <c r="A3053" s="33" t="s">
        <v>7469</v>
      </c>
      <c r="B3053" s="33" t="s">
        <v>7470</v>
      </c>
      <c r="C3053" s="33" t="s">
        <v>149</v>
      </c>
      <c r="D3053" s="33" t="s">
        <v>17</v>
      </c>
      <c r="E3053" s="33" t="s">
        <v>26</v>
      </c>
      <c r="F3053" s="33" t="s">
        <v>27</v>
      </c>
      <c r="G3053" s="33" t="s">
        <v>20</v>
      </c>
      <c r="H3053" s="35">
        <v>118</v>
      </c>
      <c r="I3053" s="33" t="s">
        <v>21</v>
      </c>
      <c r="J3053" s="42">
        <v>44085</v>
      </c>
      <c r="K3053" s="33" t="s">
        <v>22</v>
      </c>
    </row>
    <row r="3054" spans="1:11">
      <c r="A3054" s="30" t="s">
        <v>7471</v>
      </c>
      <c r="B3054" s="30" t="s">
        <v>7472</v>
      </c>
      <c r="C3054" s="30" t="s">
        <v>7473</v>
      </c>
      <c r="D3054" s="30" t="s">
        <v>17</v>
      </c>
      <c r="E3054" s="30" t="s">
        <v>31</v>
      </c>
      <c r="F3054" s="30" t="s">
        <v>32</v>
      </c>
      <c r="G3054" s="30" t="s">
        <v>20</v>
      </c>
      <c r="H3054" s="32">
        <v>77</v>
      </c>
      <c r="I3054" s="30" t="s">
        <v>21</v>
      </c>
      <c r="J3054" s="41">
        <v>44105</v>
      </c>
      <c r="K3054" s="30" t="s">
        <v>22</v>
      </c>
    </row>
    <row r="3055" spans="1:11">
      <c r="A3055" s="33" t="s">
        <v>7474</v>
      </c>
      <c r="B3055" s="33" t="s">
        <v>7475</v>
      </c>
      <c r="C3055" s="33" t="s">
        <v>154</v>
      </c>
      <c r="D3055" s="33" t="s">
        <v>17</v>
      </c>
      <c r="E3055" s="33" t="s">
        <v>18</v>
      </c>
      <c r="F3055" s="33" t="s">
        <v>19</v>
      </c>
      <c r="G3055" s="33" t="s">
        <v>106</v>
      </c>
      <c r="H3055" s="35">
        <v>3</v>
      </c>
      <c r="I3055" s="33" t="s">
        <v>21</v>
      </c>
      <c r="J3055" s="42">
        <v>44179</v>
      </c>
      <c r="K3055" s="33" t="s">
        <v>22</v>
      </c>
    </row>
    <row r="3056" spans="1:11">
      <c r="A3056" s="30" t="s">
        <v>7476</v>
      </c>
      <c r="B3056" s="30" t="s">
        <v>7477</v>
      </c>
      <c r="C3056" s="30" t="s">
        <v>190</v>
      </c>
      <c r="D3056" s="30" t="s">
        <v>17</v>
      </c>
      <c r="E3056" s="30" t="s">
        <v>26</v>
      </c>
      <c r="F3056" s="30" t="s">
        <v>27</v>
      </c>
      <c r="G3056" s="30" t="s">
        <v>20</v>
      </c>
      <c r="H3056" s="32">
        <v>8</v>
      </c>
      <c r="I3056" s="30" t="s">
        <v>21</v>
      </c>
      <c r="J3056" s="41">
        <v>44186</v>
      </c>
      <c r="K3056" s="30" t="s">
        <v>22</v>
      </c>
    </row>
    <row r="3057" spans="1:11">
      <c r="A3057" s="33" t="s">
        <v>7478</v>
      </c>
      <c r="B3057" s="33" t="s">
        <v>7479</v>
      </c>
      <c r="C3057" s="33" t="s">
        <v>6134</v>
      </c>
      <c r="D3057" s="33" t="s">
        <v>17</v>
      </c>
      <c r="E3057" s="33" t="s">
        <v>18</v>
      </c>
      <c r="F3057" s="33" t="s">
        <v>19</v>
      </c>
      <c r="G3057" s="33" t="s">
        <v>112</v>
      </c>
      <c r="H3057" s="35">
        <v>0</v>
      </c>
      <c r="I3057" s="33" t="s">
        <v>21</v>
      </c>
      <c r="J3057" s="42">
        <v>44136</v>
      </c>
      <c r="K3057" s="33" t="s">
        <v>22</v>
      </c>
    </row>
    <row r="3058" spans="1:11">
      <c r="A3058" s="30" t="s">
        <v>7480</v>
      </c>
      <c r="B3058" s="30" t="s">
        <v>7481</v>
      </c>
      <c r="C3058" s="30" t="s">
        <v>136</v>
      </c>
      <c r="D3058" s="30" t="s">
        <v>17</v>
      </c>
      <c r="E3058" s="30" t="s">
        <v>26</v>
      </c>
      <c r="F3058" s="30" t="s">
        <v>27</v>
      </c>
      <c r="G3058" s="30" t="s">
        <v>20</v>
      </c>
      <c r="H3058" s="32">
        <v>40</v>
      </c>
      <c r="I3058" s="30" t="s">
        <v>21</v>
      </c>
      <c r="J3058" s="41">
        <v>43887</v>
      </c>
      <c r="K3058" s="30" t="s">
        <v>22</v>
      </c>
    </row>
    <row r="3059" spans="1:11">
      <c r="A3059" s="33" t="s">
        <v>7482</v>
      </c>
      <c r="B3059" s="33" t="s">
        <v>7483</v>
      </c>
      <c r="C3059" s="33" t="s">
        <v>136</v>
      </c>
      <c r="D3059" s="33" t="s">
        <v>17</v>
      </c>
      <c r="E3059" s="33" t="s">
        <v>31</v>
      </c>
      <c r="F3059" s="33" t="s">
        <v>32</v>
      </c>
      <c r="G3059" s="33" t="s">
        <v>20</v>
      </c>
      <c r="H3059" s="35">
        <v>125</v>
      </c>
      <c r="I3059" s="33" t="s">
        <v>21</v>
      </c>
      <c r="J3059" s="42">
        <v>44027</v>
      </c>
      <c r="K3059" s="33" t="s">
        <v>22</v>
      </c>
    </row>
    <row r="3060" spans="1:11">
      <c r="A3060" s="30" t="s">
        <v>7484</v>
      </c>
      <c r="B3060" s="30" t="s">
        <v>7485</v>
      </c>
      <c r="C3060" s="30" t="s">
        <v>231</v>
      </c>
      <c r="D3060" s="30" t="s">
        <v>17</v>
      </c>
      <c r="E3060" s="30" t="s">
        <v>26</v>
      </c>
      <c r="F3060" s="30" t="s">
        <v>27</v>
      </c>
      <c r="G3060" s="30" t="s">
        <v>106</v>
      </c>
      <c r="H3060" s="32">
        <v>7</v>
      </c>
      <c r="I3060" s="30" t="s">
        <v>21</v>
      </c>
      <c r="J3060" s="41">
        <v>43879</v>
      </c>
      <c r="K3060" s="30" t="s">
        <v>22</v>
      </c>
    </row>
    <row r="3061" spans="1:11">
      <c r="A3061" s="33" t="s">
        <v>7486</v>
      </c>
      <c r="B3061" s="33" t="s">
        <v>7487</v>
      </c>
      <c r="C3061" s="33" t="s">
        <v>7488</v>
      </c>
      <c r="D3061" s="33" t="s">
        <v>17</v>
      </c>
      <c r="E3061" s="33" t="s">
        <v>26</v>
      </c>
      <c r="F3061" s="33" t="s">
        <v>27</v>
      </c>
      <c r="G3061" s="33" t="s">
        <v>20</v>
      </c>
      <c r="H3061" s="35">
        <v>30</v>
      </c>
      <c r="I3061" s="33" t="s">
        <v>21</v>
      </c>
      <c r="J3061" s="42">
        <v>44013</v>
      </c>
      <c r="K3061" s="33" t="s">
        <v>22</v>
      </c>
    </row>
    <row r="3062" spans="1:11">
      <c r="A3062" s="30" t="s">
        <v>7489</v>
      </c>
      <c r="B3062" s="30" t="s">
        <v>7490</v>
      </c>
      <c r="C3062" s="30" t="s">
        <v>756</v>
      </c>
      <c r="D3062" s="30" t="s">
        <v>17</v>
      </c>
      <c r="E3062" s="30" t="s">
        <v>18</v>
      </c>
      <c r="F3062" s="30" t="s">
        <v>19</v>
      </c>
      <c r="G3062" s="30" t="s">
        <v>158</v>
      </c>
      <c r="H3062" s="32">
        <v>40</v>
      </c>
      <c r="I3062" s="30" t="s">
        <v>21</v>
      </c>
      <c r="J3062" s="41">
        <v>44099</v>
      </c>
      <c r="K3062" s="30" t="s">
        <v>22</v>
      </c>
    </row>
    <row r="3063" spans="1:11">
      <c r="A3063" s="33" t="s">
        <v>7491</v>
      </c>
      <c r="B3063" s="33" t="s">
        <v>7492</v>
      </c>
      <c r="C3063" s="33" t="s">
        <v>6489</v>
      </c>
      <c r="D3063" s="33" t="s">
        <v>17</v>
      </c>
      <c r="E3063" s="33" t="s">
        <v>67</v>
      </c>
      <c r="F3063" s="33" t="s">
        <v>68</v>
      </c>
      <c r="G3063" s="33" t="s">
        <v>158</v>
      </c>
      <c r="H3063" s="35">
        <v>110</v>
      </c>
      <c r="I3063" s="33" t="s">
        <v>51</v>
      </c>
      <c r="J3063" s="42">
        <v>44127</v>
      </c>
      <c r="K3063" s="33" t="s">
        <v>22</v>
      </c>
    </row>
    <row r="3064" spans="1:11">
      <c r="A3064" s="30" t="s">
        <v>7493</v>
      </c>
      <c r="B3064" s="30" t="s">
        <v>7494</v>
      </c>
      <c r="C3064" s="30" t="s">
        <v>530</v>
      </c>
      <c r="D3064" s="30" t="s">
        <v>17</v>
      </c>
      <c r="E3064" s="30" t="s">
        <v>67</v>
      </c>
      <c r="F3064" s="30" t="s">
        <v>68</v>
      </c>
      <c r="G3064" s="30" t="s">
        <v>20</v>
      </c>
      <c r="H3064" s="32">
        <v>48</v>
      </c>
      <c r="I3064" s="30" t="s">
        <v>21</v>
      </c>
      <c r="J3064" s="41">
        <v>44074</v>
      </c>
      <c r="K3064" s="30" t="s">
        <v>22</v>
      </c>
    </row>
    <row r="3065" spans="1:11">
      <c r="A3065" s="33" t="s">
        <v>7495</v>
      </c>
      <c r="B3065" s="33" t="s">
        <v>7496</v>
      </c>
      <c r="C3065" s="33" t="s">
        <v>7497</v>
      </c>
      <c r="D3065" s="33" t="s">
        <v>17</v>
      </c>
      <c r="E3065" s="33" t="s">
        <v>31</v>
      </c>
      <c r="F3065" s="33" t="s">
        <v>32</v>
      </c>
      <c r="G3065" s="33" t="s">
        <v>20</v>
      </c>
      <c r="H3065" s="35">
        <v>40</v>
      </c>
      <c r="I3065" s="33" t="s">
        <v>21</v>
      </c>
      <c r="J3065" s="42">
        <v>44138</v>
      </c>
      <c r="K3065" s="33" t="s">
        <v>22</v>
      </c>
    </row>
    <row r="3066" spans="1:11">
      <c r="A3066" s="30" t="s">
        <v>7498</v>
      </c>
      <c r="B3066" s="30" t="s">
        <v>7499</v>
      </c>
      <c r="C3066" s="30" t="s">
        <v>102</v>
      </c>
      <c r="D3066" s="30" t="s">
        <v>17</v>
      </c>
      <c r="E3066" s="30" t="s">
        <v>31</v>
      </c>
      <c r="F3066" s="30" t="s">
        <v>32</v>
      </c>
      <c r="G3066" s="30" t="s">
        <v>20</v>
      </c>
      <c r="H3066" s="32">
        <v>107</v>
      </c>
      <c r="I3066" s="30" t="s">
        <v>21</v>
      </c>
      <c r="J3066" s="41">
        <v>43889</v>
      </c>
      <c r="K3066" s="30" t="s">
        <v>22</v>
      </c>
    </row>
    <row r="3067" spans="1:11">
      <c r="A3067" s="33" t="s">
        <v>7500</v>
      </c>
      <c r="B3067" s="33" t="s">
        <v>7501</v>
      </c>
      <c r="C3067" s="33" t="s">
        <v>7502</v>
      </c>
      <c r="D3067" s="33" t="s">
        <v>17</v>
      </c>
      <c r="E3067" s="33" t="s">
        <v>26</v>
      </c>
      <c r="F3067" s="33" t="s">
        <v>27</v>
      </c>
      <c r="G3067" s="33" t="s">
        <v>106</v>
      </c>
      <c r="H3067" s="35">
        <v>22</v>
      </c>
      <c r="I3067" s="33" t="s">
        <v>21</v>
      </c>
      <c r="J3067" s="42">
        <v>43986</v>
      </c>
      <c r="K3067" s="33" t="s">
        <v>22</v>
      </c>
    </row>
    <row r="3068" spans="1:11">
      <c r="A3068" s="30" t="s">
        <v>7503</v>
      </c>
      <c r="B3068" s="30" t="s">
        <v>7504</v>
      </c>
      <c r="C3068" s="30" t="s">
        <v>7505</v>
      </c>
      <c r="D3068" s="30" t="s">
        <v>17</v>
      </c>
      <c r="E3068" s="30" t="s">
        <v>26</v>
      </c>
      <c r="F3068" s="30" t="s">
        <v>27</v>
      </c>
      <c r="G3068" s="30" t="s">
        <v>112</v>
      </c>
      <c r="H3068" s="32">
        <v>0</v>
      </c>
      <c r="I3068" s="30" t="s">
        <v>21</v>
      </c>
      <c r="J3068" s="41">
        <v>44014</v>
      </c>
      <c r="K3068" s="30" t="s">
        <v>22</v>
      </c>
    </row>
    <row r="3069" spans="1:11">
      <c r="A3069" s="33" t="s">
        <v>7506</v>
      </c>
      <c r="B3069" s="33" t="s">
        <v>7507</v>
      </c>
      <c r="C3069" s="33" t="s">
        <v>1583</v>
      </c>
      <c r="D3069" s="33" t="s">
        <v>17</v>
      </c>
      <c r="E3069" s="33" t="s">
        <v>26</v>
      </c>
      <c r="F3069" s="33" t="s">
        <v>27</v>
      </c>
      <c r="G3069" s="33" t="s">
        <v>140</v>
      </c>
      <c r="H3069" s="35">
        <v>178</v>
      </c>
      <c r="I3069" s="33" t="s">
        <v>51</v>
      </c>
      <c r="J3069" s="42">
        <v>44050</v>
      </c>
      <c r="K3069" s="33" t="s">
        <v>22</v>
      </c>
    </row>
    <row r="3070" spans="1:11">
      <c r="A3070" s="30" t="s">
        <v>7508</v>
      </c>
      <c r="B3070" s="30" t="s">
        <v>7509</v>
      </c>
      <c r="C3070" s="30" t="s">
        <v>753</v>
      </c>
      <c r="D3070" s="30" t="s">
        <v>17</v>
      </c>
      <c r="E3070" s="30" t="s">
        <v>45</v>
      </c>
      <c r="F3070" s="30" t="s">
        <v>46</v>
      </c>
      <c r="G3070" s="30" t="s">
        <v>20</v>
      </c>
      <c r="H3070" s="32">
        <v>277</v>
      </c>
      <c r="I3070" s="30" t="s">
        <v>21</v>
      </c>
      <c r="J3070" s="41">
        <v>44018</v>
      </c>
      <c r="K3070" s="30" t="s">
        <v>22</v>
      </c>
    </row>
    <row r="3071" spans="1:11">
      <c r="A3071" s="33" t="s">
        <v>7510</v>
      </c>
      <c r="B3071" s="33" t="s">
        <v>7511</v>
      </c>
      <c r="C3071" s="33" t="s">
        <v>96</v>
      </c>
      <c r="D3071" s="33" t="s">
        <v>17</v>
      </c>
      <c r="E3071" s="33" t="s">
        <v>18</v>
      </c>
      <c r="F3071" s="33" t="s">
        <v>19</v>
      </c>
      <c r="G3071" s="33" t="s">
        <v>20</v>
      </c>
      <c r="H3071" s="35">
        <v>1258</v>
      </c>
      <c r="I3071" s="33" t="s">
        <v>21</v>
      </c>
      <c r="J3071" s="42">
        <v>44083</v>
      </c>
      <c r="K3071" s="33" t="s">
        <v>22</v>
      </c>
    </row>
    <row r="3072" spans="1:11">
      <c r="A3072" s="30" t="s">
        <v>7512</v>
      </c>
      <c r="B3072" s="30" t="s">
        <v>7513</v>
      </c>
      <c r="C3072" s="30" t="s">
        <v>7020</v>
      </c>
      <c r="D3072" s="30" t="s">
        <v>17</v>
      </c>
      <c r="E3072" s="30" t="s">
        <v>31</v>
      </c>
      <c r="F3072" s="30" t="s">
        <v>32</v>
      </c>
      <c r="G3072" s="30" t="s">
        <v>20</v>
      </c>
      <c r="H3072" s="32">
        <v>20</v>
      </c>
      <c r="I3072" s="30" t="s">
        <v>21</v>
      </c>
      <c r="J3072" s="41">
        <v>43833</v>
      </c>
      <c r="K3072" s="30" t="s">
        <v>22</v>
      </c>
    </row>
    <row r="3073" spans="1:11">
      <c r="A3073" s="33" t="s">
        <v>7514</v>
      </c>
      <c r="B3073" s="33" t="s">
        <v>7515</v>
      </c>
      <c r="C3073" s="33" t="s">
        <v>684</v>
      </c>
      <c r="D3073" s="33" t="s">
        <v>17</v>
      </c>
      <c r="E3073" s="33" t="s">
        <v>26</v>
      </c>
      <c r="F3073" s="33" t="s">
        <v>27</v>
      </c>
      <c r="G3073" s="33" t="s">
        <v>106</v>
      </c>
      <c r="H3073" s="35">
        <v>184</v>
      </c>
      <c r="I3073" s="33" t="s">
        <v>21</v>
      </c>
      <c r="J3073" s="42">
        <v>44022</v>
      </c>
      <c r="K3073" s="33" t="s">
        <v>22</v>
      </c>
    </row>
    <row r="3074" spans="1:11">
      <c r="A3074" s="30" t="s">
        <v>7516</v>
      </c>
      <c r="B3074" s="30" t="s">
        <v>7517</v>
      </c>
      <c r="C3074" s="30" t="s">
        <v>7518</v>
      </c>
      <c r="D3074" s="30" t="s">
        <v>17</v>
      </c>
      <c r="E3074" s="30" t="s">
        <v>330</v>
      </c>
      <c r="F3074" s="30" t="s">
        <v>331</v>
      </c>
      <c r="G3074" s="30" t="s">
        <v>20</v>
      </c>
      <c r="H3074" s="32">
        <v>23</v>
      </c>
      <c r="I3074" s="30" t="s">
        <v>21</v>
      </c>
      <c r="J3074" s="41">
        <v>44119</v>
      </c>
      <c r="K3074" s="30" t="s">
        <v>22</v>
      </c>
    </row>
    <row r="3075" spans="1:11">
      <c r="A3075" s="33" t="s">
        <v>7519</v>
      </c>
      <c r="B3075" s="33" t="s">
        <v>7520</v>
      </c>
      <c r="C3075" s="33" t="s">
        <v>1571</v>
      </c>
      <c r="D3075" s="33" t="s">
        <v>17</v>
      </c>
      <c r="E3075" s="33" t="s">
        <v>26</v>
      </c>
      <c r="F3075" s="33" t="s">
        <v>27</v>
      </c>
      <c r="G3075" s="33" t="s">
        <v>20</v>
      </c>
      <c r="H3075" s="35">
        <v>13</v>
      </c>
      <c r="I3075" s="33" t="s">
        <v>21</v>
      </c>
      <c r="J3075" s="42">
        <v>44082</v>
      </c>
      <c r="K3075" s="33" t="s">
        <v>22</v>
      </c>
    </row>
    <row r="3076" spans="1:11">
      <c r="A3076" s="30" t="s">
        <v>7521</v>
      </c>
      <c r="B3076" s="30" t="s">
        <v>7522</v>
      </c>
      <c r="C3076" s="30" t="s">
        <v>429</v>
      </c>
      <c r="D3076" s="30" t="s">
        <v>17</v>
      </c>
      <c r="E3076" s="30" t="s">
        <v>18</v>
      </c>
      <c r="F3076" s="30" t="s">
        <v>19</v>
      </c>
      <c r="G3076" s="30" t="s">
        <v>106</v>
      </c>
      <c r="H3076" s="32">
        <v>1166</v>
      </c>
      <c r="I3076" s="30" t="s">
        <v>21</v>
      </c>
      <c r="J3076" s="41">
        <v>44014</v>
      </c>
      <c r="K3076" s="30" t="s">
        <v>22</v>
      </c>
    </row>
    <row r="3077" spans="1:11">
      <c r="A3077" s="33" t="s">
        <v>7523</v>
      </c>
      <c r="B3077" s="33" t="s">
        <v>7524</v>
      </c>
      <c r="C3077" s="33" t="s">
        <v>109</v>
      </c>
      <c r="D3077" s="33" t="s">
        <v>17</v>
      </c>
      <c r="E3077" s="33" t="s">
        <v>31</v>
      </c>
      <c r="F3077" s="33" t="s">
        <v>32</v>
      </c>
      <c r="G3077" s="33" t="s">
        <v>20</v>
      </c>
      <c r="H3077" s="35">
        <v>36</v>
      </c>
      <c r="I3077" s="33" t="s">
        <v>21</v>
      </c>
      <c r="J3077" s="42">
        <v>44139</v>
      </c>
      <c r="K3077" s="33" t="s">
        <v>22</v>
      </c>
    </row>
    <row r="3078" spans="1:11">
      <c r="A3078" s="30" t="s">
        <v>7525</v>
      </c>
      <c r="B3078" s="30" t="s">
        <v>7526</v>
      </c>
      <c r="C3078" s="30" t="s">
        <v>7527</v>
      </c>
      <c r="D3078" s="30" t="s">
        <v>17</v>
      </c>
      <c r="E3078" s="30" t="s">
        <v>67</v>
      </c>
      <c r="F3078" s="30" t="s">
        <v>68</v>
      </c>
      <c r="G3078" s="30" t="s">
        <v>20</v>
      </c>
      <c r="H3078" s="32">
        <v>76</v>
      </c>
      <c r="I3078" s="30" t="s">
        <v>21</v>
      </c>
      <c r="J3078" s="41">
        <v>43955</v>
      </c>
      <c r="K3078" s="30" t="s">
        <v>22</v>
      </c>
    </row>
    <row r="3079" spans="1:11">
      <c r="A3079" s="33" t="s">
        <v>7528</v>
      </c>
      <c r="B3079" s="33" t="s">
        <v>7529</v>
      </c>
      <c r="C3079" s="33" t="s">
        <v>190</v>
      </c>
      <c r="D3079" s="33" t="s">
        <v>17</v>
      </c>
      <c r="E3079" s="33" t="s">
        <v>18</v>
      </c>
      <c r="F3079" s="33" t="s">
        <v>19</v>
      </c>
      <c r="G3079" s="33" t="s">
        <v>158</v>
      </c>
      <c r="H3079" s="35">
        <v>155</v>
      </c>
      <c r="I3079" s="33" t="s">
        <v>21</v>
      </c>
      <c r="J3079" s="42">
        <v>43850</v>
      </c>
      <c r="K3079" s="33" t="s">
        <v>22</v>
      </c>
    </row>
    <row r="3080" spans="1:11">
      <c r="A3080" s="30" t="s">
        <v>7530</v>
      </c>
      <c r="B3080" s="30" t="s">
        <v>7531</v>
      </c>
      <c r="C3080" s="30" t="s">
        <v>190</v>
      </c>
      <c r="D3080" s="30" t="s">
        <v>17</v>
      </c>
      <c r="E3080" s="30" t="s">
        <v>31</v>
      </c>
      <c r="F3080" s="30" t="s">
        <v>32</v>
      </c>
      <c r="G3080" s="30" t="s">
        <v>20</v>
      </c>
      <c r="H3080" s="32">
        <v>423</v>
      </c>
      <c r="I3080" s="30" t="s">
        <v>21</v>
      </c>
      <c r="J3080" s="41">
        <v>44139</v>
      </c>
      <c r="K3080" s="30" t="s">
        <v>22</v>
      </c>
    </row>
    <row r="3081" spans="1:11">
      <c r="A3081" s="33" t="s">
        <v>7532</v>
      </c>
      <c r="B3081" s="33" t="s">
        <v>7533</v>
      </c>
      <c r="C3081" s="33" t="s">
        <v>2728</v>
      </c>
      <c r="D3081" s="33" t="s">
        <v>17</v>
      </c>
      <c r="E3081" s="33" t="s">
        <v>18</v>
      </c>
      <c r="F3081" s="33" t="s">
        <v>19</v>
      </c>
      <c r="G3081" s="33" t="s">
        <v>20</v>
      </c>
      <c r="H3081" s="35">
        <v>333</v>
      </c>
      <c r="I3081" s="33" t="s">
        <v>21</v>
      </c>
      <c r="J3081" s="42">
        <v>43873</v>
      </c>
      <c r="K3081" s="33" t="s">
        <v>22</v>
      </c>
    </row>
    <row r="3082" spans="1:11">
      <c r="A3082" s="30" t="s">
        <v>7534</v>
      </c>
      <c r="B3082" s="30" t="s">
        <v>7535</v>
      </c>
      <c r="C3082" s="30" t="s">
        <v>353</v>
      </c>
      <c r="D3082" s="30" t="s">
        <v>17</v>
      </c>
      <c r="E3082" s="30" t="s">
        <v>26</v>
      </c>
      <c r="F3082" s="30" t="s">
        <v>27</v>
      </c>
      <c r="G3082" s="30" t="s">
        <v>20</v>
      </c>
      <c r="H3082" s="32">
        <v>60</v>
      </c>
      <c r="I3082" s="30" t="s">
        <v>21</v>
      </c>
      <c r="J3082" s="41">
        <v>43988</v>
      </c>
      <c r="K3082" s="30" t="s">
        <v>22</v>
      </c>
    </row>
    <row r="3083" spans="1:11">
      <c r="A3083" s="33" t="s">
        <v>7536</v>
      </c>
      <c r="B3083" s="33" t="s">
        <v>7537</v>
      </c>
      <c r="C3083" s="33" t="s">
        <v>706</v>
      </c>
      <c r="D3083" s="33" t="s">
        <v>17</v>
      </c>
      <c r="E3083" s="33" t="s">
        <v>45</v>
      </c>
      <c r="F3083" s="33" t="s">
        <v>46</v>
      </c>
      <c r="G3083" s="33" t="s">
        <v>20</v>
      </c>
      <c r="H3083" s="35">
        <v>149</v>
      </c>
      <c r="I3083" s="33" t="s">
        <v>21</v>
      </c>
      <c r="J3083" s="42">
        <v>43932</v>
      </c>
      <c r="K3083" s="33" t="s">
        <v>22</v>
      </c>
    </row>
    <row r="3084" spans="1:11">
      <c r="A3084" s="30" t="s">
        <v>7538</v>
      </c>
      <c r="B3084" s="30" t="s">
        <v>7539</v>
      </c>
      <c r="C3084" s="30" t="s">
        <v>1136</v>
      </c>
      <c r="D3084" s="30" t="s">
        <v>17</v>
      </c>
      <c r="E3084" s="30" t="s">
        <v>31</v>
      </c>
      <c r="F3084" s="30" t="s">
        <v>32</v>
      </c>
      <c r="G3084" s="30" t="s">
        <v>20</v>
      </c>
      <c r="H3084" s="32">
        <v>852</v>
      </c>
      <c r="I3084" s="30" t="s">
        <v>21</v>
      </c>
      <c r="J3084" s="41">
        <v>43973</v>
      </c>
      <c r="K3084" s="30" t="s">
        <v>22</v>
      </c>
    </row>
    <row r="3085" spans="1:11">
      <c r="A3085" s="33" t="s">
        <v>7540</v>
      </c>
      <c r="B3085" s="33" t="s">
        <v>7541</v>
      </c>
      <c r="C3085" s="33" t="s">
        <v>149</v>
      </c>
      <c r="D3085" s="33" t="s">
        <v>17</v>
      </c>
      <c r="E3085" s="33" t="s">
        <v>31</v>
      </c>
      <c r="F3085" s="33" t="s">
        <v>32</v>
      </c>
      <c r="G3085" s="33" t="s">
        <v>112</v>
      </c>
      <c r="H3085" s="35">
        <v>0</v>
      </c>
      <c r="I3085" s="33" t="s">
        <v>21</v>
      </c>
      <c r="J3085" s="42">
        <v>44053</v>
      </c>
      <c r="K3085" s="33" t="s">
        <v>22</v>
      </c>
    </row>
    <row r="3086" spans="1:11">
      <c r="A3086" s="30" t="s">
        <v>7542</v>
      </c>
      <c r="B3086" s="30" t="s">
        <v>7543</v>
      </c>
      <c r="C3086" s="30" t="s">
        <v>7544</v>
      </c>
      <c r="D3086" s="30" t="s">
        <v>17</v>
      </c>
      <c r="E3086" s="30" t="s">
        <v>18</v>
      </c>
      <c r="F3086" s="30" t="s">
        <v>19</v>
      </c>
      <c r="G3086" s="30" t="s">
        <v>20</v>
      </c>
      <c r="H3086" s="32">
        <v>253</v>
      </c>
      <c r="I3086" s="30" t="s">
        <v>21</v>
      </c>
      <c r="J3086" s="41">
        <v>44097</v>
      </c>
      <c r="K3086" s="30" t="s">
        <v>22</v>
      </c>
    </row>
    <row r="3087" spans="1:11">
      <c r="A3087" s="33" t="s">
        <v>7545</v>
      </c>
      <c r="B3087" s="33" t="s">
        <v>7546</v>
      </c>
      <c r="C3087" s="33" t="s">
        <v>178</v>
      </c>
      <c r="D3087" s="33" t="s">
        <v>17</v>
      </c>
      <c r="E3087" s="33" t="s">
        <v>26</v>
      </c>
      <c r="F3087" s="33" t="s">
        <v>27</v>
      </c>
      <c r="G3087" s="33" t="s">
        <v>20</v>
      </c>
      <c r="H3087" s="35">
        <v>23</v>
      </c>
      <c r="I3087" s="33" t="s">
        <v>21</v>
      </c>
      <c r="J3087" s="42">
        <v>43986</v>
      </c>
      <c r="K3087" s="33" t="s">
        <v>22</v>
      </c>
    </row>
    <row r="3088" spans="1:11">
      <c r="A3088" s="30" t="s">
        <v>7547</v>
      </c>
      <c r="B3088" s="30" t="s">
        <v>7548</v>
      </c>
      <c r="C3088" s="30" t="s">
        <v>5117</v>
      </c>
      <c r="D3088" s="30" t="s">
        <v>17</v>
      </c>
      <c r="E3088" s="30" t="s">
        <v>67</v>
      </c>
      <c r="F3088" s="30" t="s">
        <v>68</v>
      </c>
      <c r="G3088" s="30" t="s">
        <v>158</v>
      </c>
      <c r="H3088" s="32">
        <v>35</v>
      </c>
      <c r="I3088" s="30" t="s">
        <v>51</v>
      </c>
      <c r="J3088" s="41">
        <v>44144</v>
      </c>
      <c r="K3088" s="30" t="s">
        <v>22</v>
      </c>
    </row>
    <row r="3089" spans="1:11">
      <c r="A3089" s="33" t="s">
        <v>7549</v>
      </c>
      <c r="B3089" s="33" t="s">
        <v>7550</v>
      </c>
      <c r="C3089" s="33" t="s">
        <v>7551</v>
      </c>
      <c r="D3089" s="33" t="s">
        <v>17</v>
      </c>
      <c r="E3089" s="33" t="s">
        <v>212</v>
      </c>
      <c r="F3089" s="33" t="s">
        <v>213</v>
      </c>
      <c r="G3089" s="33" t="s">
        <v>20</v>
      </c>
      <c r="H3089" s="35">
        <v>67</v>
      </c>
      <c r="I3089" s="33" t="s">
        <v>21</v>
      </c>
      <c r="J3089" s="42">
        <v>44036</v>
      </c>
      <c r="K3089" s="33" t="s">
        <v>22</v>
      </c>
    </row>
    <row r="3090" spans="1:11">
      <c r="A3090" s="30" t="s">
        <v>7552</v>
      </c>
      <c r="B3090" s="30" t="s">
        <v>7553</v>
      </c>
      <c r="C3090" s="30" t="s">
        <v>136</v>
      </c>
      <c r="D3090" s="30" t="s">
        <v>17</v>
      </c>
      <c r="E3090" s="30" t="s">
        <v>18</v>
      </c>
      <c r="F3090" s="30" t="s">
        <v>19</v>
      </c>
      <c r="G3090" s="30" t="s">
        <v>158</v>
      </c>
      <c r="H3090" s="32">
        <v>996</v>
      </c>
      <c r="I3090" s="30" t="s">
        <v>21</v>
      </c>
      <c r="J3090" s="41">
        <v>44004</v>
      </c>
      <c r="K3090" s="30" t="s">
        <v>22</v>
      </c>
    </row>
    <row r="3091" spans="1:11">
      <c r="A3091" s="33" t="s">
        <v>7554</v>
      </c>
      <c r="B3091" s="33" t="s">
        <v>7555</v>
      </c>
      <c r="C3091" s="33" t="s">
        <v>7556</v>
      </c>
      <c r="D3091" s="33" t="s">
        <v>17</v>
      </c>
      <c r="E3091" s="33" t="s">
        <v>26</v>
      </c>
      <c r="F3091" s="33" t="s">
        <v>27</v>
      </c>
      <c r="G3091" s="33" t="s">
        <v>20</v>
      </c>
      <c r="H3091" s="35">
        <v>13</v>
      </c>
      <c r="I3091" s="33" t="s">
        <v>21</v>
      </c>
      <c r="J3091" s="42">
        <v>43921</v>
      </c>
      <c r="K3091" s="33" t="s">
        <v>22</v>
      </c>
    </row>
    <row r="3092" spans="1:11">
      <c r="A3092" s="30" t="s">
        <v>7557</v>
      </c>
      <c r="B3092" s="30" t="s">
        <v>7558</v>
      </c>
      <c r="C3092" s="30" t="s">
        <v>6962</v>
      </c>
      <c r="D3092" s="30" t="s">
        <v>17</v>
      </c>
      <c r="E3092" s="30" t="s">
        <v>31</v>
      </c>
      <c r="F3092" s="30" t="s">
        <v>32</v>
      </c>
      <c r="G3092" s="30" t="s">
        <v>20</v>
      </c>
      <c r="H3092" s="32">
        <v>142</v>
      </c>
      <c r="I3092" s="30" t="s">
        <v>21</v>
      </c>
      <c r="J3092" s="41">
        <v>44174</v>
      </c>
      <c r="K3092" s="30" t="s">
        <v>22</v>
      </c>
    </row>
    <row r="3093" spans="1:11">
      <c r="A3093" s="33" t="s">
        <v>7559</v>
      </c>
      <c r="B3093" s="33" t="s">
        <v>7560</v>
      </c>
      <c r="C3093" s="33" t="s">
        <v>102</v>
      </c>
      <c r="D3093" s="33" t="s">
        <v>17</v>
      </c>
      <c r="E3093" s="33" t="s">
        <v>18</v>
      </c>
      <c r="F3093" s="33" t="s">
        <v>19</v>
      </c>
      <c r="G3093" s="33" t="s">
        <v>20</v>
      </c>
      <c r="H3093" s="35">
        <v>757</v>
      </c>
      <c r="I3093" s="33" t="s">
        <v>21</v>
      </c>
      <c r="J3093" s="42">
        <v>44089</v>
      </c>
      <c r="K3093" s="33" t="s">
        <v>22</v>
      </c>
    </row>
    <row r="3094" spans="1:11">
      <c r="A3094" s="30" t="s">
        <v>7561</v>
      </c>
      <c r="B3094" s="30" t="s">
        <v>7562</v>
      </c>
      <c r="C3094" s="30" t="s">
        <v>5369</v>
      </c>
      <c r="D3094" s="30" t="s">
        <v>17</v>
      </c>
      <c r="E3094" s="30" t="s">
        <v>26</v>
      </c>
      <c r="F3094" s="30" t="s">
        <v>27</v>
      </c>
      <c r="G3094" s="30" t="s">
        <v>20</v>
      </c>
      <c r="H3094" s="32">
        <v>35</v>
      </c>
      <c r="I3094" s="30" t="s">
        <v>21</v>
      </c>
      <c r="J3094" s="41">
        <v>43833</v>
      </c>
      <c r="K3094" s="30" t="s">
        <v>22</v>
      </c>
    </row>
    <row r="3095" spans="1:11">
      <c r="A3095" s="33" t="s">
        <v>7563</v>
      </c>
      <c r="B3095" s="33" t="s">
        <v>7564</v>
      </c>
      <c r="C3095" s="33" t="s">
        <v>2123</v>
      </c>
      <c r="D3095" s="33" t="s">
        <v>17</v>
      </c>
      <c r="E3095" s="33" t="s">
        <v>67</v>
      </c>
      <c r="F3095" s="33" t="s">
        <v>68</v>
      </c>
      <c r="G3095" s="33" t="s">
        <v>20</v>
      </c>
      <c r="H3095" s="35">
        <v>36</v>
      </c>
      <c r="I3095" s="33" t="s">
        <v>21</v>
      </c>
      <c r="J3095" s="42">
        <v>44070</v>
      </c>
      <c r="K3095" s="33" t="s">
        <v>22</v>
      </c>
    </row>
    <row r="3096" spans="1:11">
      <c r="A3096" s="30" t="s">
        <v>7565</v>
      </c>
      <c r="B3096" s="30" t="s">
        <v>7566</v>
      </c>
      <c r="C3096" s="30" t="s">
        <v>222</v>
      </c>
      <c r="D3096" s="30" t="s">
        <v>17</v>
      </c>
      <c r="E3096" s="30" t="s">
        <v>26</v>
      </c>
      <c r="F3096" s="30" t="s">
        <v>27</v>
      </c>
      <c r="G3096" s="30" t="s">
        <v>158</v>
      </c>
      <c r="H3096" s="32">
        <v>115</v>
      </c>
      <c r="I3096" s="30" t="s">
        <v>51</v>
      </c>
      <c r="J3096" s="41">
        <v>43871</v>
      </c>
      <c r="K3096" s="30" t="s">
        <v>22</v>
      </c>
    </row>
    <row r="3097" spans="1:11">
      <c r="A3097" s="33" t="s">
        <v>7567</v>
      </c>
      <c r="B3097" s="33" t="s">
        <v>7568</v>
      </c>
      <c r="C3097" s="33" t="s">
        <v>1698</v>
      </c>
      <c r="D3097" s="33" t="s">
        <v>17</v>
      </c>
      <c r="E3097" s="33" t="s">
        <v>31</v>
      </c>
      <c r="F3097" s="33" t="s">
        <v>32</v>
      </c>
      <c r="G3097" s="33" t="s">
        <v>20</v>
      </c>
      <c r="H3097" s="35">
        <v>28</v>
      </c>
      <c r="I3097" s="33" t="s">
        <v>21</v>
      </c>
      <c r="J3097" s="42">
        <v>43886</v>
      </c>
      <c r="K3097" s="33" t="s">
        <v>22</v>
      </c>
    </row>
    <row r="3098" spans="1:11">
      <c r="A3098" s="30" t="s">
        <v>7569</v>
      </c>
      <c r="B3098" s="30" t="s">
        <v>7570</v>
      </c>
      <c r="C3098" s="30" t="s">
        <v>7571</v>
      </c>
      <c r="D3098" s="30" t="s">
        <v>17</v>
      </c>
      <c r="E3098" s="30" t="s">
        <v>212</v>
      </c>
      <c r="F3098" s="30" t="s">
        <v>213</v>
      </c>
      <c r="G3098" s="30" t="s">
        <v>20</v>
      </c>
      <c r="H3098" s="32">
        <v>122</v>
      </c>
      <c r="I3098" s="30" t="s">
        <v>21</v>
      </c>
      <c r="J3098" s="41">
        <v>44155</v>
      </c>
      <c r="K3098" s="30" t="s">
        <v>22</v>
      </c>
    </row>
    <row r="3099" spans="1:11">
      <c r="A3099" s="33" t="s">
        <v>7572</v>
      </c>
      <c r="B3099" s="33" t="s">
        <v>7573</v>
      </c>
      <c r="C3099" s="33" t="s">
        <v>203</v>
      </c>
      <c r="D3099" s="33" t="s">
        <v>17</v>
      </c>
      <c r="E3099" s="33" t="s">
        <v>212</v>
      </c>
      <c r="F3099" s="33" t="s">
        <v>213</v>
      </c>
      <c r="G3099" s="33" t="s">
        <v>20</v>
      </c>
      <c r="H3099" s="35">
        <v>202</v>
      </c>
      <c r="I3099" s="33" t="s">
        <v>21</v>
      </c>
      <c r="J3099" s="42">
        <v>44053</v>
      </c>
      <c r="K3099" s="33" t="s">
        <v>22</v>
      </c>
    </row>
    <row r="3100" spans="1:11">
      <c r="A3100" s="30" t="s">
        <v>7574</v>
      </c>
      <c r="B3100" s="30" t="s">
        <v>7575</v>
      </c>
      <c r="C3100" s="30" t="s">
        <v>450</v>
      </c>
      <c r="D3100" s="30" t="s">
        <v>17</v>
      </c>
      <c r="E3100" s="30" t="s">
        <v>18</v>
      </c>
      <c r="F3100" s="30" t="s">
        <v>19</v>
      </c>
      <c r="G3100" s="30" t="s">
        <v>106</v>
      </c>
      <c r="H3100" s="32">
        <v>202</v>
      </c>
      <c r="I3100" s="30" t="s">
        <v>21</v>
      </c>
      <c r="J3100" s="41">
        <v>43961</v>
      </c>
      <c r="K3100" s="30" t="s">
        <v>22</v>
      </c>
    </row>
    <row r="3101" spans="1:11">
      <c r="A3101" s="33" t="s">
        <v>7576</v>
      </c>
      <c r="B3101" s="33" t="s">
        <v>7577</v>
      </c>
      <c r="C3101" s="33" t="s">
        <v>7578</v>
      </c>
      <c r="D3101" s="33" t="s">
        <v>17</v>
      </c>
      <c r="E3101" s="33" t="s">
        <v>212</v>
      </c>
      <c r="F3101" s="33" t="s">
        <v>213</v>
      </c>
      <c r="G3101" s="33" t="s">
        <v>20</v>
      </c>
      <c r="H3101" s="35">
        <v>16</v>
      </c>
      <c r="I3101" s="33" t="s">
        <v>21</v>
      </c>
      <c r="J3101" s="42">
        <v>44060</v>
      </c>
      <c r="K3101" s="33" t="s">
        <v>22</v>
      </c>
    </row>
    <row r="3102" spans="1:11">
      <c r="A3102" s="30" t="s">
        <v>7579</v>
      </c>
      <c r="B3102" s="30" t="s">
        <v>7580</v>
      </c>
      <c r="C3102" s="30" t="s">
        <v>7581</v>
      </c>
      <c r="D3102" s="30" t="s">
        <v>17</v>
      </c>
      <c r="E3102" s="30" t="s">
        <v>31</v>
      </c>
      <c r="F3102" s="30" t="s">
        <v>32</v>
      </c>
      <c r="G3102" s="30" t="s">
        <v>20</v>
      </c>
      <c r="H3102" s="32">
        <v>204</v>
      </c>
      <c r="I3102" s="30" t="s">
        <v>21</v>
      </c>
      <c r="J3102" s="41">
        <v>43833</v>
      </c>
      <c r="K3102" s="30" t="s">
        <v>22</v>
      </c>
    </row>
    <row r="3103" spans="1:11">
      <c r="A3103" s="33" t="s">
        <v>7582</v>
      </c>
      <c r="B3103" s="33" t="s">
        <v>7583</v>
      </c>
      <c r="C3103" s="33" t="s">
        <v>109</v>
      </c>
      <c r="D3103" s="33" t="s">
        <v>17</v>
      </c>
      <c r="E3103" s="33" t="s">
        <v>18</v>
      </c>
      <c r="F3103" s="33" t="s">
        <v>19</v>
      </c>
      <c r="G3103" s="33" t="s">
        <v>20</v>
      </c>
      <c r="H3103" s="35">
        <v>20</v>
      </c>
      <c r="I3103" s="33" t="s">
        <v>21</v>
      </c>
      <c r="J3103" s="42">
        <v>43952</v>
      </c>
      <c r="K3103" s="33" t="s">
        <v>22</v>
      </c>
    </row>
    <row r="3104" spans="1:11">
      <c r="A3104" s="30" t="s">
        <v>7584</v>
      </c>
      <c r="B3104" s="30" t="s">
        <v>7585</v>
      </c>
      <c r="C3104" s="30" t="s">
        <v>4345</v>
      </c>
      <c r="D3104" s="30" t="s">
        <v>17</v>
      </c>
      <c r="E3104" s="30" t="s">
        <v>31</v>
      </c>
      <c r="F3104" s="30" t="s">
        <v>32</v>
      </c>
      <c r="G3104" s="30" t="s">
        <v>20</v>
      </c>
      <c r="H3104" s="32">
        <v>20</v>
      </c>
      <c r="I3104" s="30" t="s">
        <v>21</v>
      </c>
      <c r="J3104" s="41">
        <v>43921</v>
      </c>
      <c r="K3104" s="30" t="s">
        <v>22</v>
      </c>
    </row>
    <row r="3105" spans="1:11">
      <c r="A3105" s="33" t="s">
        <v>7586</v>
      </c>
      <c r="B3105" s="33" t="s">
        <v>7587</v>
      </c>
      <c r="C3105" s="33" t="s">
        <v>7588</v>
      </c>
      <c r="D3105" s="33" t="s">
        <v>17</v>
      </c>
      <c r="E3105" s="33" t="s">
        <v>26</v>
      </c>
      <c r="F3105" s="33" t="s">
        <v>27</v>
      </c>
      <c r="G3105" s="33" t="s">
        <v>20</v>
      </c>
      <c r="H3105" s="35">
        <v>13</v>
      </c>
      <c r="I3105" s="33" t="s">
        <v>21</v>
      </c>
      <c r="J3105" s="42">
        <v>43838</v>
      </c>
      <c r="K3105" s="33" t="s">
        <v>22</v>
      </c>
    </row>
    <row r="3106" spans="1:11">
      <c r="A3106" s="30" t="s">
        <v>7589</v>
      </c>
      <c r="B3106" s="30" t="s">
        <v>7590</v>
      </c>
      <c r="C3106" s="30" t="s">
        <v>149</v>
      </c>
      <c r="D3106" s="30" t="s">
        <v>17</v>
      </c>
      <c r="E3106" s="30" t="s">
        <v>31</v>
      </c>
      <c r="F3106" s="30" t="s">
        <v>32</v>
      </c>
      <c r="G3106" s="30" t="s">
        <v>20</v>
      </c>
      <c r="H3106" s="32">
        <v>233</v>
      </c>
      <c r="I3106" s="30" t="s">
        <v>21</v>
      </c>
      <c r="J3106" s="41">
        <v>43987</v>
      </c>
      <c r="K3106" s="30" t="s">
        <v>22</v>
      </c>
    </row>
    <row r="3107" spans="1:11">
      <c r="A3107" s="33" t="s">
        <v>7591</v>
      </c>
      <c r="B3107" s="33" t="s">
        <v>7592</v>
      </c>
      <c r="C3107" s="33" t="s">
        <v>178</v>
      </c>
      <c r="D3107" s="33" t="s">
        <v>17</v>
      </c>
      <c r="E3107" s="33" t="s">
        <v>18</v>
      </c>
      <c r="F3107" s="33" t="s">
        <v>19</v>
      </c>
      <c r="G3107" s="33" t="s">
        <v>158</v>
      </c>
      <c r="H3107" s="35">
        <v>985</v>
      </c>
      <c r="I3107" s="33" t="s">
        <v>21</v>
      </c>
      <c r="J3107" s="42">
        <v>44130</v>
      </c>
      <c r="K3107" s="33" t="s">
        <v>22</v>
      </c>
    </row>
    <row r="3108" spans="1:11">
      <c r="A3108" s="30" t="s">
        <v>7593</v>
      </c>
      <c r="B3108" s="30" t="s">
        <v>7594</v>
      </c>
      <c r="C3108" s="30" t="s">
        <v>96</v>
      </c>
      <c r="D3108" s="30" t="s">
        <v>17</v>
      </c>
      <c r="E3108" s="30" t="s">
        <v>26</v>
      </c>
      <c r="F3108" s="30" t="s">
        <v>27</v>
      </c>
      <c r="G3108" s="30" t="s">
        <v>20</v>
      </c>
      <c r="H3108" s="32">
        <v>9</v>
      </c>
      <c r="I3108" s="30" t="s">
        <v>21</v>
      </c>
      <c r="J3108" s="41">
        <v>44119</v>
      </c>
      <c r="K3108" s="30" t="s">
        <v>22</v>
      </c>
    </row>
    <row r="3109" spans="1:11">
      <c r="A3109" s="33" t="s">
        <v>7595</v>
      </c>
      <c r="B3109" s="33" t="s">
        <v>7596</v>
      </c>
      <c r="C3109" s="33" t="s">
        <v>3264</v>
      </c>
      <c r="D3109" s="33" t="s">
        <v>17</v>
      </c>
      <c r="E3109" s="33" t="s">
        <v>18</v>
      </c>
      <c r="F3109" s="33" t="s">
        <v>19</v>
      </c>
      <c r="G3109" s="33" t="s">
        <v>20</v>
      </c>
      <c r="H3109" s="35">
        <v>247</v>
      </c>
      <c r="I3109" s="33" t="s">
        <v>21</v>
      </c>
      <c r="J3109" s="42">
        <v>44109</v>
      </c>
      <c r="K3109" s="33" t="s">
        <v>22</v>
      </c>
    </row>
    <row r="3110" spans="1:11">
      <c r="A3110" s="30" t="s">
        <v>7597</v>
      </c>
      <c r="B3110" s="30" t="s">
        <v>7598</v>
      </c>
      <c r="C3110" s="30" t="s">
        <v>109</v>
      </c>
      <c r="D3110" s="30" t="s">
        <v>17</v>
      </c>
      <c r="E3110" s="30" t="s">
        <v>31</v>
      </c>
      <c r="F3110" s="30" t="s">
        <v>32</v>
      </c>
      <c r="G3110" s="30" t="s">
        <v>106</v>
      </c>
      <c r="H3110" s="32">
        <v>76</v>
      </c>
      <c r="I3110" s="30" t="s">
        <v>21</v>
      </c>
      <c r="J3110" s="41">
        <v>43852</v>
      </c>
      <c r="K3110" s="30" t="s">
        <v>22</v>
      </c>
    </row>
    <row r="3111" spans="1:11">
      <c r="A3111" s="33" t="s">
        <v>7599</v>
      </c>
      <c r="B3111" s="33" t="s">
        <v>7600</v>
      </c>
      <c r="C3111" s="33" t="s">
        <v>7301</v>
      </c>
      <c r="D3111" s="33" t="s">
        <v>17</v>
      </c>
      <c r="E3111" s="33" t="s">
        <v>26</v>
      </c>
      <c r="F3111" s="33" t="s">
        <v>27</v>
      </c>
      <c r="G3111" s="33" t="s">
        <v>106</v>
      </c>
      <c r="H3111" s="35">
        <v>20</v>
      </c>
      <c r="I3111" s="33" t="s">
        <v>21</v>
      </c>
      <c r="J3111" s="42">
        <v>43934</v>
      </c>
      <c r="K3111" s="33" t="s">
        <v>22</v>
      </c>
    </row>
    <row r="3112" spans="1:11">
      <c r="A3112" s="30" t="s">
        <v>7601</v>
      </c>
      <c r="B3112" s="30" t="s">
        <v>7602</v>
      </c>
      <c r="C3112" s="30" t="s">
        <v>715</v>
      </c>
      <c r="D3112" s="30" t="s">
        <v>17</v>
      </c>
      <c r="E3112" s="30" t="s">
        <v>26</v>
      </c>
      <c r="F3112" s="30" t="s">
        <v>27</v>
      </c>
      <c r="G3112" s="30" t="s">
        <v>20</v>
      </c>
      <c r="H3112" s="32">
        <v>22</v>
      </c>
      <c r="I3112" s="30" t="s">
        <v>21</v>
      </c>
      <c r="J3112" s="41">
        <v>43881</v>
      </c>
      <c r="K3112" s="30" t="s">
        <v>22</v>
      </c>
    </row>
    <row r="3113" spans="1:11">
      <c r="A3113" s="33" t="s">
        <v>7603</v>
      </c>
      <c r="B3113" s="33" t="s">
        <v>7604</v>
      </c>
      <c r="C3113" s="33" t="s">
        <v>2313</v>
      </c>
      <c r="D3113" s="33" t="s">
        <v>17</v>
      </c>
      <c r="E3113" s="33" t="s">
        <v>31</v>
      </c>
      <c r="F3113" s="33" t="s">
        <v>32</v>
      </c>
      <c r="G3113" s="33" t="s">
        <v>140</v>
      </c>
      <c r="H3113" s="35">
        <v>99</v>
      </c>
      <c r="I3113" s="33" t="s">
        <v>51</v>
      </c>
      <c r="J3113" s="42">
        <v>44141</v>
      </c>
      <c r="K3113" s="33" t="s">
        <v>22</v>
      </c>
    </row>
    <row r="3114" spans="1:11">
      <c r="A3114" s="30" t="s">
        <v>7605</v>
      </c>
      <c r="B3114" s="30" t="s">
        <v>7606</v>
      </c>
      <c r="C3114" s="30" t="s">
        <v>93</v>
      </c>
      <c r="D3114" s="30" t="s">
        <v>17</v>
      </c>
      <c r="E3114" s="30" t="s">
        <v>18</v>
      </c>
      <c r="F3114" s="30" t="s">
        <v>19</v>
      </c>
      <c r="G3114" s="30" t="s">
        <v>158</v>
      </c>
      <c r="H3114" s="32">
        <v>800</v>
      </c>
      <c r="I3114" s="30" t="s">
        <v>51</v>
      </c>
      <c r="J3114" s="41">
        <v>44053</v>
      </c>
      <c r="K3114" s="30" t="s">
        <v>22</v>
      </c>
    </row>
    <row r="3115" spans="1:11">
      <c r="A3115" s="33" t="s">
        <v>7607</v>
      </c>
      <c r="B3115" s="33" t="s">
        <v>7608</v>
      </c>
      <c r="C3115" s="33" t="s">
        <v>647</v>
      </c>
      <c r="D3115" s="33" t="s">
        <v>17</v>
      </c>
      <c r="E3115" s="33" t="s">
        <v>18</v>
      </c>
      <c r="F3115" s="33" t="s">
        <v>19</v>
      </c>
      <c r="G3115" s="33" t="s">
        <v>20</v>
      </c>
      <c r="H3115" s="35">
        <v>643</v>
      </c>
      <c r="I3115" s="33" t="s">
        <v>21</v>
      </c>
      <c r="J3115" s="42">
        <v>43879</v>
      </c>
      <c r="K3115" s="33" t="s">
        <v>22</v>
      </c>
    </row>
    <row r="3116" spans="1:11">
      <c r="A3116" s="30" t="s">
        <v>7609</v>
      </c>
      <c r="B3116" s="30" t="s">
        <v>7610</v>
      </c>
      <c r="C3116" s="30" t="s">
        <v>96</v>
      </c>
      <c r="D3116" s="30" t="s">
        <v>17</v>
      </c>
      <c r="E3116" s="30" t="s">
        <v>26</v>
      </c>
      <c r="F3116" s="30" t="s">
        <v>27</v>
      </c>
      <c r="G3116" s="30" t="s">
        <v>20</v>
      </c>
      <c r="H3116" s="32">
        <v>36</v>
      </c>
      <c r="I3116" s="30" t="s">
        <v>21</v>
      </c>
      <c r="J3116" s="41">
        <v>44106</v>
      </c>
      <c r="K3116" s="30" t="s">
        <v>22</v>
      </c>
    </row>
    <row r="3117" spans="1:11">
      <c r="A3117" s="33" t="s">
        <v>7611</v>
      </c>
      <c r="B3117" s="33" t="s">
        <v>7612</v>
      </c>
      <c r="C3117" s="33" t="s">
        <v>57</v>
      </c>
      <c r="D3117" s="33" t="s">
        <v>17</v>
      </c>
      <c r="E3117" s="33" t="s">
        <v>26</v>
      </c>
      <c r="F3117" s="33" t="s">
        <v>27</v>
      </c>
      <c r="G3117" s="33" t="s">
        <v>112</v>
      </c>
      <c r="H3117" s="35">
        <v>0</v>
      </c>
      <c r="I3117" s="33" t="s">
        <v>21</v>
      </c>
      <c r="J3117" s="42">
        <v>43979</v>
      </c>
      <c r="K3117" s="33" t="s">
        <v>22</v>
      </c>
    </row>
    <row r="3118" spans="1:11">
      <c r="A3118" s="30" t="s">
        <v>7613</v>
      </c>
      <c r="B3118" s="30" t="s">
        <v>7614</v>
      </c>
      <c r="C3118" s="30" t="s">
        <v>7020</v>
      </c>
      <c r="D3118" s="30" t="s">
        <v>17</v>
      </c>
      <c r="E3118" s="30" t="s">
        <v>31</v>
      </c>
      <c r="F3118" s="30" t="s">
        <v>32</v>
      </c>
      <c r="G3118" s="30" t="s">
        <v>20</v>
      </c>
      <c r="H3118" s="32">
        <v>206</v>
      </c>
      <c r="I3118" s="30" t="s">
        <v>21</v>
      </c>
      <c r="J3118" s="41">
        <v>44033</v>
      </c>
      <c r="K3118" s="30" t="s">
        <v>22</v>
      </c>
    </row>
    <row r="3119" spans="1:11">
      <c r="A3119" s="33" t="s">
        <v>7615</v>
      </c>
      <c r="B3119" s="33" t="s">
        <v>7616</v>
      </c>
      <c r="C3119" s="33" t="s">
        <v>5805</v>
      </c>
      <c r="D3119" s="33" t="s">
        <v>17</v>
      </c>
      <c r="E3119" s="33" t="s">
        <v>26</v>
      </c>
      <c r="F3119" s="33" t="s">
        <v>27</v>
      </c>
      <c r="G3119" s="33" t="s">
        <v>20</v>
      </c>
      <c r="H3119" s="35">
        <v>27</v>
      </c>
      <c r="I3119" s="33" t="s">
        <v>21</v>
      </c>
      <c r="J3119" s="42">
        <v>44047</v>
      </c>
      <c r="K3119" s="33" t="s">
        <v>22</v>
      </c>
    </row>
    <row r="3120" spans="1:11">
      <c r="A3120" s="30" t="s">
        <v>7617</v>
      </c>
      <c r="B3120" s="30" t="s">
        <v>7618</v>
      </c>
      <c r="C3120" s="30" t="s">
        <v>136</v>
      </c>
      <c r="D3120" s="30" t="s">
        <v>17</v>
      </c>
      <c r="E3120" s="30" t="s">
        <v>18</v>
      </c>
      <c r="F3120" s="30" t="s">
        <v>19</v>
      </c>
      <c r="G3120" s="30" t="s">
        <v>20</v>
      </c>
      <c r="H3120" s="32">
        <v>1428</v>
      </c>
      <c r="I3120" s="30" t="s">
        <v>21</v>
      </c>
      <c r="J3120" s="41">
        <v>44123</v>
      </c>
      <c r="K3120" s="30" t="s">
        <v>22</v>
      </c>
    </row>
    <row r="3121" spans="1:11">
      <c r="A3121" s="33" t="s">
        <v>7619</v>
      </c>
      <c r="B3121" s="33" t="s">
        <v>7620</v>
      </c>
      <c r="C3121" s="33" t="s">
        <v>78</v>
      </c>
      <c r="D3121" s="33" t="s">
        <v>17</v>
      </c>
      <c r="E3121" s="33" t="s">
        <v>26</v>
      </c>
      <c r="F3121" s="33" t="s">
        <v>27</v>
      </c>
      <c r="G3121" s="33" t="s">
        <v>50</v>
      </c>
      <c r="H3121" s="35">
        <v>48</v>
      </c>
      <c r="I3121" s="33" t="s">
        <v>51</v>
      </c>
      <c r="J3121" s="42">
        <v>44099</v>
      </c>
      <c r="K3121" s="33" t="s">
        <v>22</v>
      </c>
    </row>
    <row r="3122" spans="1:11">
      <c r="A3122" s="30" t="s">
        <v>7621</v>
      </c>
      <c r="B3122" s="30" t="s">
        <v>7622</v>
      </c>
      <c r="C3122" s="30" t="s">
        <v>5762</v>
      </c>
      <c r="D3122" s="30" t="s">
        <v>17</v>
      </c>
      <c r="E3122" s="30" t="s">
        <v>26</v>
      </c>
      <c r="F3122" s="30" t="s">
        <v>27</v>
      </c>
      <c r="G3122" s="30" t="s">
        <v>20</v>
      </c>
      <c r="H3122" s="32">
        <v>30</v>
      </c>
      <c r="I3122" s="30" t="s">
        <v>21</v>
      </c>
      <c r="J3122" s="41">
        <v>43951</v>
      </c>
      <c r="K3122" s="30" t="s">
        <v>22</v>
      </c>
    </row>
    <row r="3123" spans="1:11">
      <c r="A3123" s="33" t="s">
        <v>7623</v>
      </c>
      <c r="B3123" s="33" t="s">
        <v>7624</v>
      </c>
      <c r="C3123" s="33" t="s">
        <v>75</v>
      </c>
      <c r="D3123" s="33" t="s">
        <v>17</v>
      </c>
      <c r="E3123" s="33" t="s">
        <v>26</v>
      </c>
      <c r="F3123" s="33" t="s">
        <v>27</v>
      </c>
      <c r="G3123" s="33" t="s">
        <v>112</v>
      </c>
      <c r="H3123" s="35">
        <v>0</v>
      </c>
      <c r="I3123" s="33" t="s">
        <v>21</v>
      </c>
      <c r="J3123" s="42">
        <v>43899</v>
      </c>
      <c r="K3123" s="33" t="s">
        <v>22</v>
      </c>
    </row>
    <row r="3124" spans="1:11">
      <c r="A3124" s="30" t="s">
        <v>7625</v>
      </c>
      <c r="B3124" s="30" t="s">
        <v>7626</v>
      </c>
      <c r="C3124" s="30" t="s">
        <v>157</v>
      </c>
      <c r="D3124" s="30" t="s">
        <v>17</v>
      </c>
      <c r="E3124" s="30" t="s">
        <v>26</v>
      </c>
      <c r="F3124" s="30" t="s">
        <v>27</v>
      </c>
      <c r="G3124" s="30" t="s">
        <v>112</v>
      </c>
      <c r="H3124" s="32">
        <v>0</v>
      </c>
      <c r="I3124" s="30" t="s">
        <v>21</v>
      </c>
      <c r="J3124" s="41">
        <v>44099</v>
      </c>
      <c r="K3124" s="30" t="s">
        <v>22</v>
      </c>
    </row>
    <row r="3125" spans="1:11">
      <c r="A3125" s="33" t="s">
        <v>7627</v>
      </c>
      <c r="B3125" s="33" t="s">
        <v>7628</v>
      </c>
      <c r="C3125" s="33" t="s">
        <v>7629</v>
      </c>
      <c r="D3125" s="33" t="s">
        <v>17</v>
      </c>
      <c r="E3125" s="33" t="s">
        <v>26</v>
      </c>
      <c r="F3125" s="33" t="s">
        <v>27</v>
      </c>
      <c r="G3125" s="33" t="s">
        <v>140</v>
      </c>
      <c r="H3125" s="35">
        <v>151</v>
      </c>
      <c r="I3125" s="33" t="s">
        <v>51</v>
      </c>
      <c r="J3125" s="42">
        <v>44012</v>
      </c>
      <c r="K3125" s="33" t="s">
        <v>22</v>
      </c>
    </row>
    <row r="3126" spans="1:11">
      <c r="A3126" s="30" t="s">
        <v>7630</v>
      </c>
      <c r="B3126" s="30" t="s">
        <v>7631</v>
      </c>
      <c r="C3126" s="30" t="s">
        <v>6139</v>
      </c>
      <c r="D3126" s="30" t="s">
        <v>17</v>
      </c>
      <c r="E3126" s="30" t="s">
        <v>18</v>
      </c>
      <c r="F3126" s="30" t="s">
        <v>19</v>
      </c>
      <c r="G3126" s="30" t="s">
        <v>20</v>
      </c>
      <c r="H3126" s="32">
        <v>391</v>
      </c>
      <c r="I3126" s="30" t="s">
        <v>21</v>
      </c>
      <c r="J3126" s="41">
        <v>44014</v>
      </c>
      <c r="K3126" s="30" t="s">
        <v>22</v>
      </c>
    </row>
    <row r="3127" spans="1:11">
      <c r="A3127" s="33" t="s">
        <v>7632</v>
      </c>
      <c r="B3127" s="33" t="s">
        <v>7633</v>
      </c>
      <c r="C3127" s="33" t="s">
        <v>1908</v>
      </c>
      <c r="D3127" s="33" t="s">
        <v>17</v>
      </c>
      <c r="E3127" s="33" t="s">
        <v>31</v>
      </c>
      <c r="F3127" s="33" t="s">
        <v>32</v>
      </c>
      <c r="G3127" s="33" t="s">
        <v>20</v>
      </c>
      <c r="H3127" s="35">
        <v>255</v>
      </c>
      <c r="I3127" s="33" t="s">
        <v>21</v>
      </c>
      <c r="J3127" s="42">
        <v>44035</v>
      </c>
      <c r="K3127" s="33" t="s">
        <v>22</v>
      </c>
    </row>
    <row r="3128" spans="1:11">
      <c r="A3128" s="30" t="s">
        <v>7634</v>
      </c>
      <c r="B3128" s="30" t="s">
        <v>7635</v>
      </c>
      <c r="C3128" s="30" t="s">
        <v>6202</v>
      </c>
      <c r="D3128" s="30" t="s">
        <v>17</v>
      </c>
      <c r="E3128" s="30" t="s">
        <v>18</v>
      </c>
      <c r="F3128" s="30" t="s">
        <v>19</v>
      </c>
      <c r="G3128" s="30" t="s">
        <v>20</v>
      </c>
      <c r="H3128" s="32">
        <v>3071</v>
      </c>
      <c r="I3128" s="30" t="s">
        <v>21</v>
      </c>
      <c r="J3128" s="41">
        <v>43892</v>
      </c>
      <c r="K3128" s="30" t="s">
        <v>22</v>
      </c>
    </row>
    <row r="3129" spans="1:11">
      <c r="A3129" s="33" t="s">
        <v>7636</v>
      </c>
      <c r="B3129" s="33" t="s">
        <v>7637</v>
      </c>
      <c r="C3129" s="33" t="s">
        <v>2277</v>
      </c>
      <c r="D3129" s="33" t="s">
        <v>17</v>
      </c>
      <c r="E3129" s="33" t="s">
        <v>26</v>
      </c>
      <c r="F3129" s="33" t="s">
        <v>27</v>
      </c>
      <c r="G3129" s="33" t="s">
        <v>20</v>
      </c>
      <c r="H3129" s="35">
        <v>58</v>
      </c>
      <c r="I3129" s="33" t="s">
        <v>21</v>
      </c>
      <c r="J3129" s="42">
        <v>43872</v>
      </c>
      <c r="K3129" s="33" t="s">
        <v>22</v>
      </c>
    </row>
    <row r="3130" spans="1:11">
      <c r="A3130" s="30" t="s">
        <v>7638</v>
      </c>
      <c r="B3130" s="30" t="s">
        <v>7639</v>
      </c>
      <c r="C3130" s="30" t="s">
        <v>7640</v>
      </c>
      <c r="D3130" s="30" t="s">
        <v>17</v>
      </c>
      <c r="E3130" s="30" t="s">
        <v>31</v>
      </c>
      <c r="F3130" s="30" t="s">
        <v>32</v>
      </c>
      <c r="G3130" s="30" t="s">
        <v>158</v>
      </c>
      <c r="H3130" s="32">
        <v>13</v>
      </c>
      <c r="I3130" s="30" t="s">
        <v>21</v>
      </c>
      <c r="J3130" s="41">
        <v>44048</v>
      </c>
      <c r="K3130" s="30" t="s">
        <v>22</v>
      </c>
    </row>
    <row r="3131" spans="1:11">
      <c r="A3131" s="33" t="s">
        <v>7641</v>
      </c>
      <c r="B3131" s="33" t="s">
        <v>7642</v>
      </c>
      <c r="C3131" s="33" t="s">
        <v>271</v>
      </c>
      <c r="D3131" s="33" t="s">
        <v>17</v>
      </c>
      <c r="E3131" s="33" t="s">
        <v>31</v>
      </c>
      <c r="F3131" s="33" t="s">
        <v>32</v>
      </c>
      <c r="G3131" s="33" t="s">
        <v>112</v>
      </c>
      <c r="H3131" s="35">
        <v>0</v>
      </c>
      <c r="I3131" s="33" t="s">
        <v>21</v>
      </c>
      <c r="J3131" s="42">
        <v>43951</v>
      </c>
      <c r="K3131" s="33" t="s">
        <v>22</v>
      </c>
    </row>
    <row r="3132" spans="1:11">
      <c r="A3132" s="30" t="s">
        <v>7643</v>
      </c>
      <c r="B3132" s="30" t="s">
        <v>7644</v>
      </c>
      <c r="C3132" s="30" t="s">
        <v>1862</v>
      </c>
      <c r="D3132" s="30" t="s">
        <v>17</v>
      </c>
      <c r="E3132" s="30" t="s">
        <v>45</v>
      </c>
      <c r="F3132" s="30" t="s">
        <v>46</v>
      </c>
      <c r="G3132" s="30" t="s">
        <v>158</v>
      </c>
      <c r="H3132" s="32">
        <v>32</v>
      </c>
      <c r="I3132" s="30" t="s">
        <v>21</v>
      </c>
      <c r="J3132" s="41">
        <v>43858</v>
      </c>
      <c r="K3132" s="30" t="s">
        <v>22</v>
      </c>
    </row>
    <row r="3133" spans="1:11">
      <c r="A3133" s="33" t="s">
        <v>7645</v>
      </c>
      <c r="B3133" s="33" t="s">
        <v>7646</v>
      </c>
      <c r="C3133" s="33" t="s">
        <v>318</v>
      </c>
      <c r="D3133" s="33" t="s">
        <v>17</v>
      </c>
      <c r="E3133" s="33" t="s">
        <v>18</v>
      </c>
      <c r="F3133" s="33" t="s">
        <v>19</v>
      </c>
      <c r="G3133" s="33" t="s">
        <v>20</v>
      </c>
      <c r="H3133" s="35">
        <v>563</v>
      </c>
      <c r="I3133" s="33" t="s">
        <v>21</v>
      </c>
      <c r="J3133" s="42">
        <v>44146</v>
      </c>
      <c r="K3133" s="33" t="s">
        <v>22</v>
      </c>
    </row>
    <row r="3134" spans="1:11">
      <c r="A3134" s="30" t="s">
        <v>7647</v>
      </c>
      <c r="B3134" s="30" t="s">
        <v>7648</v>
      </c>
      <c r="C3134" s="30" t="s">
        <v>7649</v>
      </c>
      <c r="D3134" s="30" t="s">
        <v>17</v>
      </c>
      <c r="E3134" s="30" t="s">
        <v>26</v>
      </c>
      <c r="F3134" s="30" t="s">
        <v>27</v>
      </c>
      <c r="G3134" s="30" t="s">
        <v>20</v>
      </c>
      <c r="H3134" s="32">
        <v>72</v>
      </c>
      <c r="I3134" s="30" t="s">
        <v>21</v>
      </c>
      <c r="J3134" s="41">
        <v>44140</v>
      </c>
      <c r="K3134" s="30" t="s">
        <v>22</v>
      </c>
    </row>
    <row r="3135" spans="1:11">
      <c r="A3135" s="33" t="s">
        <v>7650</v>
      </c>
      <c r="B3135" s="33" t="s">
        <v>7651</v>
      </c>
      <c r="C3135" s="33" t="s">
        <v>118</v>
      </c>
      <c r="D3135" s="33" t="s">
        <v>17</v>
      </c>
      <c r="E3135" s="33" t="s">
        <v>31</v>
      </c>
      <c r="F3135" s="33" t="s">
        <v>32</v>
      </c>
      <c r="G3135" s="33" t="s">
        <v>20</v>
      </c>
      <c r="H3135" s="35">
        <v>704</v>
      </c>
      <c r="I3135" s="33" t="s">
        <v>21</v>
      </c>
      <c r="J3135" s="42">
        <v>44071</v>
      </c>
      <c r="K3135" s="33" t="s">
        <v>22</v>
      </c>
    </row>
    <row r="3136" spans="1:11">
      <c r="A3136" s="30" t="s">
        <v>7652</v>
      </c>
      <c r="B3136" s="30" t="s">
        <v>7653</v>
      </c>
      <c r="C3136" s="30" t="s">
        <v>149</v>
      </c>
      <c r="D3136" s="30" t="s">
        <v>17</v>
      </c>
      <c r="E3136" s="30" t="s">
        <v>31</v>
      </c>
      <c r="F3136" s="30" t="s">
        <v>32</v>
      </c>
      <c r="G3136" s="30" t="s">
        <v>112</v>
      </c>
      <c r="H3136" s="32">
        <v>0</v>
      </c>
      <c r="I3136" s="30" t="s">
        <v>21</v>
      </c>
      <c r="J3136" s="41">
        <v>44136</v>
      </c>
      <c r="K3136" s="30" t="s">
        <v>22</v>
      </c>
    </row>
    <row r="3137" spans="1:11">
      <c r="A3137" s="33" t="s">
        <v>7654</v>
      </c>
      <c r="B3137" s="33" t="s">
        <v>7655</v>
      </c>
      <c r="C3137" s="33" t="s">
        <v>149</v>
      </c>
      <c r="D3137" s="33" t="s">
        <v>17</v>
      </c>
      <c r="E3137" s="33" t="s">
        <v>26</v>
      </c>
      <c r="F3137" s="33" t="s">
        <v>27</v>
      </c>
      <c r="G3137" s="33" t="s">
        <v>50</v>
      </c>
      <c r="H3137" s="35">
        <v>18</v>
      </c>
      <c r="I3137" s="33" t="s">
        <v>51</v>
      </c>
      <c r="J3137" s="42">
        <v>43983</v>
      </c>
      <c r="K3137" s="33" t="s">
        <v>22</v>
      </c>
    </row>
    <row r="3138" spans="1:11">
      <c r="A3138" s="30" t="s">
        <v>7656</v>
      </c>
      <c r="B3138" s="30" t="s">
        <v>7657</v>
      </c>
      <c r="C3138" s="30" t="s">
        <v>190</v>
      </c>
      <c r="D3138" s="30" t="s">
        <v>17</v>
      </c>
      <c r="E3138" s="30" t="s">
        <v>212</v>
      </c>
      <c r="F3138" s="30" t="s">
        <v>213</v>
      </c>
      <c r="G3138" s="30" t="s">
        <v>20</v>
      </c>
      <c r="H3138" s="32">
        <v>202</v>
      </c>
      <c r="I3138" s="30" t="s">
        <v>21</v>
      </c>
      <c r="J3138" s="41">
        <v>43976</v>
      </c>
      <c r="K3138" s="30" t="s">
        <v>22</v>
      </c>
    </row>
    <row r="3139" spans="1:11">
      <c r="A3139" s="33" t="s">
        <v>7658</v>
      </c>
      <c r="B3139" s="33" t="s">
        <v>7659</v>
      </c>
      <c r="C3139" s="33" t="s">
        <v>75</v>
      </c>
      <c r="D3139" s="33" t="s">
        <v>17</v>
      </c>
      <c r="E3139" s="33" t="s">
        <v>26</v>
      </c>
      <c r="F3139" s="33" t="s">
        <v>27</v>
      </c>
      <c r="G3139" s="33" t="s">
        <v>20</v>
      </c>
      <c r="H3139" s="35">
        <v>18</v>
      </c>
      <c r="I3139" s="33" t="s">
        <v>21</v>
      </c>
      <c r="J3139" s="42">
        <v>43867</v>
      </c>
      <c r="K3139" s="33" t="s">
        <v>22</v>
      </c>
    </row>
    <row r="3140" spans="1:11">
      <c r="A3140" s="30" t="s">
        <v>7660</v>
      </c>
      <c r="B3140" s="30" t="s">
        <v>7661</v>
      </c>
      <c r="C3140" s="30" t="s">
        <v>7662</v>
      </c>
      <c r="D3140" s="30" t="s">
        <v>17</v>
      </c>
      <c r="E3140" s="30" t="s">
        <v>26</v>
      </c>
      <c r="F3140" s="30" t="s">
        <v>27</v>
      </c>
      <c r="G3140" s="30" t="s">
        <v>20</v>
      </c>
      <c r="H3140" s="32">
        <v>77</v>
      </c>
      <c r="I3140" s="30" t="s">
        <v>21</v>
      </c>
      <c r="J3140" s="41">
        <v>44144</v>
      </c>
      <c r="K3140" s="30" t="s">
        <v>22</v>
      </c>
    </row>
    <row r="3141" spans="1:11">
      <c r="A3141" s="33" t="s">
        <v>7663</v>
      </c>
      <c r="B3141" s="33" t="s">
        <v>7664</v>
      </c>
      <c r="C3141" s="33" t="s">
        <v>1006</v>
      </c>
      <c r="D3141" s="33" t="s">
        <v>17</v>
      </c>
      <c r="E3141" s="33" t="s">
        <v>26</v>
      </c>
      <c r="F3141" s="33" t="s">
        <v>27</v>
      </c>
      <c r="G3141" s="33" t="s">
        <v>20</v>
      </c>
      <c r="H3141" s="35">
        <v>6</v>
      </c>
      <c r="I3141" s="33" t="s">
        <v>21</v>
      </c>
      <c r="J3141" s="42">
        <v>43964</v>
      </c>
      <c r="K3141" s="33" t="s">
        <v>22</v>
      </c>
    </row>
    <row r="3142" spans="1:11">
      <c r="A3142" s="30" t="s">
        <v>7665</v>
      </c>
      <c r="B3142" s="30" t="s">
        <v>7666</v>
      </c>
      <c r="C3142" s="30" t="s">
        <v>7667</v>
      </c>
      <c r="D3142" s="30" t="s">
        <v>17</v>
      </c>
      <c r="E3142" s="30" t="s">
        <v>26</v>
      </c>
      <c r="F3142" s="30" t="s">
        <v>27</v>
      </c>
      <c r="G3142" s="30" t="s">
        <v>140</v>
      </c>
      <c r="H3142" s="32">
        <v>172</v>
      </c>
      <c r="I3142" s="30" t="s">
        <v>51</v>
      </c>
      <c r="J3142" s="41">
        <v>44130</v>
      </c>
      <c r="K3142" s="30" t="s">
        <v>22</v>
      </c>
    </row>
    <row r="3143" spans="1:11">
      <c r="A3143" s="33" t="s">
        <v>7668</v>
      </c>
      <c r="B3143" s="33" t="s">
        <v>7669</v>
      </c>
      <c r="C3143" s="33" t="s">
        <v>1016</v>
      </c>
      <c r="D3143" s="33" t="s">
        <v>17</v>
      </c>
      <c r="E3143" s="33" t="s">
        <v>26</v>
      </c>
      <c r="F3143" s="33" t="s">
        <v>27</v>
      </c>
      <c r="G3143" s="33" t="s">
        <v>20</v>
      </c>
      <c r="H3143" s="35">
        <v>30</v>
      </c>
      <c r="I3143" s="33" t="s">
        <v>21</v>
      </c>
      <c r="J3143" s="42">
        <v>43983</v>
      </c>
      <c r="K3143" s="33" t="s">
        <v>22</v>
      </c>
    </row>
    <row r="3144" spans="1:11">
      <c r="A3144" s="30" t="s">
        <v>7670</v>
      </c>
      <c r="B3144" s="30" t="s">
        <v>7671</v>
      </c>
      <c r="C3144" s="30" t="s">
        <v>779</v>
      </c>
      <c r="D3144" s="30" t="s">
        <v>17</v>
      </c>
      <c r="E3144" s="30" t="s">
        <v>18</v>
      </c>
      <c r="F3144" s="30" t="s">
        <v>19</v>
      </c>
      <c r="G3144" s="30" t="s">
        <v>20</v>
      </c>
      <c r="H3144" s="32">
        <v>17</v>
      </c>
      <c r="I3144" s="30" t="s">
        <v>21</v>
      </c>
      <c r="J3144" s="41">
        <v>44054</v>
      </c>
      <c r="K3144" s="30" t="s">
        <v>22</v>
      </c>
    </row>
    <row r="3145" spans="1:11">
      <c r="A3145" s="33" t="s">
        <v>7672</v>
      </c>
      <c r="B3145" s="33" t="s">
        <v>7673</v>
      </c>
      <c r="C3145" s="33" t="s">
        <v>7674</v>
      </c>
      <c r="D3145" s="33" t="s">
        <v>17</v>
      </c>
      <c r="E3145" s="33" t="s">
        <v>18</v>
      </c>
      <c r="F3145" s="33" t="s">
        <v>19</v>
      </c>
      <c r="G3145" s="33" t="s">
        <v>20</v>
      </c>
      <c r="H3145" s="35">
        <v>195</v>
      </c>
      <c r="I3145" s="33" t="s">
        <v>21</v>
      </c>
      <c r="J3145" s="42">
        <v>44105</v>
      </c>
      <c r="K3145" s="33" t="s">
        <v>22</v>
      </c>
    </row>
    <row r="3146" spans="1:11">
      <c r="A3146" s="30" t="s">
        <v>7675</v>
      </c>
      <c r="B3146" s="30" t="s">
        <v>7676</v>
      </c>
      <c r="C3146" s="30" t="s">
        <v>178</v>
      </c>
      <c r="D3146" s="30" t="s">
        <v>17</v>
      </c>
      <c r="E3146" s="30" t="s">
        <v>26</v>
      </c>
      <c r="F3146" s="30" t="s">
        <v>27</v>
      </c>
      <c r="G3146" s="30" t="s">
        <v>20</v>
      </c>
      <c r="H3146" s="32">
        <v>124</v>
      </c>
      <c r="I3146" s="30" t="s">
        <v>21</v>
      </c>
      <c r="J3146" s="41">
        <v>44172</v>
      </c>
      <c r="K3146" s="30" t="s">
        <v>22</v>
      </c>
    </row>
    <row r="3147" spans="1:11">
      <c r="A3147" s="33" t="s">
        <v>7677</v>
      </c>
      <c r="B3147" s="33" t="s">
        <v>7678</v>
      </c>
      <c r="C3147" s="33" t="s">
        <v>7679</v>
      </c>
      <c r="D3147" s="33" t="s">
        <v>17</v>
      </c>
      <c r="E3147" s="33" t="s">
        <v>31</v>
      </c>
      <c r="F3147" s="33" t="s">
        <v>32</v>
      </c>
      <c r="G3147" s="33" t="s">
        <v>20</v>
      </c>
      <c r="H3147" s="35">
        <v>41</v>
      </c>
      <c r="I3147" s="33" t="s">
        <v>21</v>
      </c>
      <c r="J3147" s="42">
        <v>43926</v>
      </c>
      <c r="K3147" s="33" t="s">
        <v>22</v>
      </c>
    </row>
    <row r="3148" spans="1:11">
      <c r="A3148" s="30" t="s">
        <v>7680</v>
      </c>
      <c r="B3148" s="30" t="s">
        <v>7681</v>
      </c>
      <c r="C3148" s="30" t="s">
        <v>203</v>
      </c>
      <c r="D3148" s="30" t="s">
        <v>17</v>
      </c>
      <c r="E3148" s="30" t="s">
        <v>212</v>
      </c>
      <c r="F3148" s="30" t="s">
        <v>213</v>
      </c>
      <c r="G3148" s="30" t="s">
        <v>20</v>
      </c>
      <c r="H3148" s="32">
        <v>52</v>
      </c>
      <c r="I3148" s="30" t="s">
        <v>21</v>
      </c>
      <c r="J3148" s="41">
        <v>44028</v>
      </c>
      <c r="K3148" s="30" t="s">
        <v>22</v>
      </c>
    </row>
    <row r="3149" spans="1:11">
      <c r="A3149" s="33" t="s">
        <v>7682</v>
      </c>
      <c r="B3149" s="33" t="s">
        <v>7683</v>
      </c>
      <c r="C3149" s="33" t="s">
        <v>3489</v>
      </c>
      <c r="D3149" s="33" t="s">
        <v>17</v>
      </c>
      <c r="E3149" s="33" t="s">
        <v>31</v>
      </c>
      <c r="F3149" s="33" t="s">
        <v>32</v>
      </c>
      <c r="G3149" s="33" t="s">
        <v>158</v>
      </c>
      <c r="H3149" s="35">
        <v>20</v>
      </c>
      <c r="I3149" s="33" t="s">
        <v>21</v>
      </c>
      <c r="J3149" s="42">
        <v>44114</v>
      </c>
      <c r="K3149" s="33" t="s">
        <v>22</v>
      </c>
    </row>
    <row r="3150" spans="1:11">
      <c r="A3150" s="30" t="s">
        <v>7684</v>
      </c>
      <c r="B3150" s="30" t="s">
        <v>7685</v>
      </c>
      <c r="C3150" s="30" t="s">
        <v>96</v>
      </c>
      <c r="D3150" s="30" t="s">
        <v>17</v>
      </c>
      <c r="E3150" s="30" t="s">
        <v>18</v>
      </c>
      <c r="F3150" s="30" t="s">
        <v>19</v>
      </c>
      <c r="G3150" s="30" t="s">
        <v>20</v>
      </c>
      <c r="H3150" s="32">
        <v>455</v>
      </c>
      <c r="I3150" s="30" t="s">
        <v>21</v>
      </c>
      <c r="J3150" s="41">
        <v>43843</v>
      </c>
      <c r="K3150" s="30" t="s">
        <v>22</v>
      </c>
    </row>
    <row r="3151" spans="1:11">
      <c r="A3151" s="33" t="s">
        <v>7686</v>
      </c>
      <c r="B3151" s="33" t="s">
        <v>7687</v>
      </c>
      <c r="C3151" s="33" t="s">
        <v>7688</v>
      </c>
      <c r="D3151" s="33" t="s">
        <v>17</v>
      </c>
      <c r="E3151" s="33" t="s">
        <v>26</v>
      </c>
      <c r="F3151" s="33" t="s">
        <v>27</v>
      </c>
      <c r="G3151" s="33" t="s">
        <v>140</v>
      </c>
      <c r="H3151" s="35">
        <v>240</v>
      </c>
      <c r="I3151" s="33" t="s">
        <v>51</v>
      </c>
      <c r="J3151" s="42">
        <v>44026</v>
      </c>
      <c r="K3151" s="33" t="s">
        <v>22</v>
      </c>
    </row>
    <row r="3152" spans="1:11">
      <c r="A3152" s="30" t="s">
        <v>7689</v>
      </c>
      <c r="B3152" s="30" t="s">
        <v>7690</v>
      </c>
      <c r="C3152" s="30" t="s">
        <v>7691</v>
      </c>
      <c r="D3152" s="30" t="s">
        <v>17</v>
      </c>
      <c r="E3152" s="30" t="s">
        <v>18</v>
      </c>
      <c r="F3152" s="30" t="s">
        <v>19</v>
      </c>
      <c r="G3152" s="30" t="s">
        <v>20</v>
      </c>
      <c r="H3152" s="32">
        <v>516</v>
      </c>
      <c r="I3152" s="30" t="s">
        <v>21</v>
      </c>
      <c r="J3152" s="41">
        <v>44179</v>
      </c>
      <c r="K3152" s="30" t="s">
        <v>22</v>
      </c>
    </row>
    <row r="3153" spans="1:11">
      <c r="A3153" s="33" t="s">
        <v>7692</v>
      </c>
      <c r="B3153" s="33" t="s">
        <v>7693</v>
      </c>
      <c r="C3153" s="33" t="s">
        <v>297</v>
      </c>
      <c r="D3153" s="33" t="s">
        <v>17</v>
      </c>
      <c r="E3153" s="33" t="s">
        <v>31</v>
      </c>
      <c r="F3153" s="33" t="s">
        <v>32</v>
      </c>
      <c r="G3153" s="33" t="s">
        <v>20</v>
      </c>
      <c r="H3153" s="35">
        <v>86</v>
      </c>
      <c r="I3153" s="33" t="s">
        <v>21</v>
      </c>
      <c r="J3153" s="42">
        <v>43922</v>
      </c>
      <c r="K3153" s="33" t="s">
        <v>22</v>
      </c>
    </row>
    <row r="3154" spans="1:11">
      <c r="A3154" s="30" t="s">
        <v>7694</v>
      </c>
      <c r="B3154" s="30" t="s">
        <v>7695</v>
      </c>
      <c r="C3154" s="30" t="s">
        <v>575</v>
      </c>
      <c r="D3154" s="30" t="s">
        <v>17</v>
      </c>
      <c r="E3154" s="30" t="s">
        <v>31</v>
      </c>
      <c r="F3154" s="30" t="s">
        <v>32</v>
      </c>
      <c r="G3154" s="30" t="s">
        <v>20</v>
      </c>
      <c r="H3154" s="32">
        <v>27</v>
      </c>
      <c r="I3154" s="30" t="s">
        <v>21</v>
      </c>
      <c r="J3154" s="41">
        <v>44065</v>
      </c>
      <c r="K3154" s="30" t="s">
        <v>22</v>
      </c>
    </row>
    <row r="3155" spans="1:11">
      <c r="A3155" s="33" t="s">
        <v>7696</v>
      </c>
      <c r="B3155" s="33" t="s">
        <v>7697</v>
      </c>
      <c r="C3155" s="33" t="s">
        <v>3775</v>
      </c>
      <c r="D3155" s="33" t="s">
        <v>17</v>
      </c>
      <c r="E3155" s="33" t="s">
        <v>330</v>
      </c>
      <c r="F3155" s="33" t="s">
        <v>331</v>
      </c>
      <c r="G3155" s="33" t="s">
        <v>20</v>
      </c>
      <c r="H3155" s="35">
        <v>18</v>
      </c>
      <c r="I3155" s="33" t="s">
        <v>21</v>
      </c>
      <c r="J3155" s="42">
        <v>43987</v>
      </c>
      <c r="K3155" s="33" t="s">
        <v>22</v>
      </c>
    </row>
    <row r="3156" spans="1:11">
      <c r="A3156" s="30" t="s">
        <v>7698</v>
      </c>
      <c r="B3156" s="30" t="s">
        <v>7699</v>
      </c>
      <c r="C3156" s="30" t="s">
        <v>231</v>
      </c>
      <c r="D3156" s="30" t="s">
        <v>17</v>
      </c>
      <c r="E3156" s="30" t="s">
        <v>31</v>
      </c>
      <c r="F3156" s="30" t="s">
        <v>32</v>
      </c>
      <c r="G3156" s="30" t="s">
        <v>20</v>
      </c>
      <c r="H3156" s="32">
        <v>390</v>
      </c>
      <c r="I3156" s="30" t="s">
        <v>21</v>
      </c>
      <c r="J3156" s="41">
        <v>44148</v>
      </c>
      <c r="K3156" s="30" t="s">
        <v>22</v>
      </c>
    </row>
    <row r="3157" spans="1:11">
      <c r="A3157" s="33" t="s">
        <v>7700</v>
      </c>
      <c r="B3157" s="33" t="s">
        <v>7701</v>
      </c>
      <c r="C3157" s="33" t="s">
        <v>7702</v>
      </c>
      <c r="D3157" s="33" t="s">
        <v>17</v>
      </c>
      <c r="E3157" s="33" t="s">
        <v>26</v>
      </c>
      <c r="F3157" s="33" t="s">
        <v>27</v>
      </c>
      <c r="G3157" s="33" t="s">
        <v>106</v>
      </c>
      <c r="H3157" s="35">
        <v>25</v>
      </c>
      <c r="I3157" s="33" t="s">
        <v>21</v>
      </c>
      <c r="J3157" s="42">
        <v>44183</v>
      </c>
      <c r="K3157" s="33" t="s">
        <v>22</v>
      </c>
    </row>
    <row r="3158" spans="1:11">
      <c r="A3158" s="30" t="s">
        <v>7703</v>
      </c>
      <c r="B3158" s="30" t="s">
        <v>7704</v>
      </c>
      <c r="C3158" s="30" t="s">
        <v>609</v>
      </c>
      <c r="D3158" s="30" t="s">
        <v>17</v>
      </c>
      <c r="E3158" s="30" t="s">
        <v>31</v>
      </c>
      <c r="F3158" s="30" t="s">
        <v>32</v>
      </c>
      <c r="G3158" s="30" t="s">
        <v>20</v>
      </c>
      <c r="H3158" s="32">
        <v>30</v>
      </c>
      <c r="I3158" s="30" t="s">
        <v>21</v>
      </c>
      <c r="J3158" s="41">
        <v>44035</v>
      </c>
      <c r="K3158" s="30" t="s">
        <v>22</v>
      </c>
    </row>
    <row r="3159" spans="1:11">
      <c r="A3159" s="33" t="s">
        <v>7705</v>
      </c>
      <c r="B3159" s="33" t="s">
        <v>7706</v>
      </c>
      <c r="C3159" s="33" t="s">
        <v>190</v>
      </c>
      <c r="D3159" s="33" t="s">
        <v>17</v>
      </c>
      <c r="E3159" s="33" t="s">
        <v>31</v>
      </c>
      <c r="F3159" s="33" t="s">
        <v>32</v>
      </c>
      <c r="G3159" s="33" t="s">
        <v>158</v>
      </c>
      <c r="H3159" s="35">
        <v>240</v>
      </c>
      <c r="I3159" s="33" t="s">
        <v>21</v>
      </c>
      <c r="J3159" s="42">
        <v>43943</v>
      </c>
      <c r="K3159" s="33" t="s">
        <v>22</v>
      </c>
    </row>
    <row r="3160" spans="1:11">
      <c r="A3160" s="30" t="s">
        <v>7707</v>
      </c>
      <c r="B3160" s="30" t="s">
        <v>7708</v>
      </c>
      <c r="C3160" s="30" t="s">
        <v>2852</v>
      </c>
      <c r="D3160" s="30" t="s">
        <v>17</v>
      </c>
      <c r="E3160" s="30" t="s">
        <v>18</v>
      </c>
      <c r="F3160" s="30" t="s">
        <v>19</v>
      </c>
      <c r="G3160" s="30" t="s">
        <v>20</v>
      </c>
      <c r="H3160" s="32">
        <v>19</v>
      </c>
      <c r="I3160" s="30" t="s">
        <v>21</v>
      </c>
      <c r="J3160" s="41">
        <v>43861</v>
      </c>
      <c r="K3160" s="30" t="s">
        <v>22</v>
      </c>
    </row>
    <row r="3161" spans="1:11">
      <c r="A3161" s="33" t="s">
        <v>7709</v>
      </c>
      <c r="B3161" s="33" t="s">
        <v>7710</v>
      </c>
      <c r="C3161" s="33" t="s">
        <v>936</v>
      </c>
      <c r="D3161" s="33" t="s">
        <v>17</v>
      </c>
      <c r="E3161" s="33" t="s">
        <v>212</v>
      </c>
      <c r="F3161" s="33" t="s">
        <v>213</v>
      </c>
      <c r="G3161" s="33" t="s">
        <v>112</v>
      </c>
      <c r="H3161" s="35">
        <v>0</v>
      </c>
      <c r="I3161" s="33" t="s">
        <v>21</v>
      </c>
      <c r="J3161" s="42">
        <v>44105</v>
      </c>
      <c r="K3161" s="33" t="s">
        <v>22</v>
      </c>
    </row>
    <row r="3162" spans="1:11">
      <c r="A3162" s="30" t="s">
        <v>7711</v>
      </c>
      <c r="B3162" s="30" t="s">
        <v>7712</v>
      </c>
      <c r="C3162" s="30" t="s">
        <v>136</v>
      </c>
      <c r="D3162" s="30" t="s">
        <v>17</v>
      </c>
      <c r="E3162" s="30" t="s">
        <v>45</v>
      </c>
      <c r="F3162" s="30" t="s">
        <v>46</v>
      </c>
      <c r="G3162" s="30" t="s">
        <v>20</v>
      </c>
      <c r="H3162" s="32">
        <v>3307</v>
      </c>
      <c r="I3162" s="30" t="s">
        <v>21</v>
      </c>
      <c r="J3162" s="41">
        <v>43999</v>
      </c>
      <c r="K3162" s="30" t="s">
        <v>22</v>
      </c>
    </row>
    <row r="3163" spans="1:11">
      <c r="A3163" s="33" t="s">
        <v>7713</v>
      </c>
      <c r="B3163" s="33" t="s">
        <v>7714</v>
      </c>
      <c r="C3163" s="33" t="s">
        <v>340</v>
      </c>
      <c r="D3163" s="33" t="s">
        <v>17</v>
      </c>
      <c r="E3163" s="33" t="s">
        <v>18</v>
      </c>
      <c r="F3163" s="33" t="s">
        <v>19</v>
      </c>
      <c r="G3163" s="33" t="s">
        <v>140</v>
      </c>
      <c r="H3163" s="35">
        <v>348</v>
      </c>
      <c r="I3163" s="33" t="s">
        <v>51</v>
      </c>
      <c r="J3163" s="42">
        <v>44118</v>
      </c>
      <c r="K3163" s="33" t="s">
        <v>22</v>
      </c>
    </row>
    <row r="3164" spans="1:11">
      <c r="A3164" s="30" t="s">
        <v>7715</v>
      </c>
      <c r="B3164" s="30" t="s">
        <v>7716</v>
      </c>
      <c r="C3164" s="30" t="s">
        <v>2177</v>
      </c>
      <c r="D3164" s="30" t="s">
        <v>17</v>
      </c>
      <c r="E3164" s="30" t="s">
        <v>67</v>
      </c>
      <c r="F3164" s="30" t="s">
        <v>68</v>
      </c>
      <c r="G3164" s="30" t="s">
        <v>20</v>
      </c>
      <c r="H3164" s="32">
        <v>215</v>
      </c>
      <c r="I3164" s="30" t="s">
        <v>21</v>
      </c>
      <c r="J3164" s="41">
        <v>43992</v>
      </c>
      <c r="K3164" s="30" t="s">
        <v>22</v>
      </c>
    </row>
    <row r="3165" spans="1:11">
      <c r="A3165" s="33" t="s">
        <v>7717</v>
      </c>
      <c r="B3165" s="33" t="s">
        <v>7718</v>
      </c>
      <c r="C3165" s="33" t="s">
        <v>310</v>
      </c>
      <c r="D3165" s="33" t="s">
        <v>17</v>
      </c>
      <c r="E3165" s="33" t="s">
        <v>26</v>
      </c>
      <c r="F3165" s="33" t="s">
        <v>27</v>
      </c>
      <c r="G3165" s="33" t="s">
        <v>20</v>
      </c>
      <c r="H3165" s="35">
        <v>86</v>
      </c>
      <c r="I3165" s="33" t="s">
        <v>21</v>
      </c>
      <c r="J3165" s="42">
        <v>44125</v>
      </c>
      <c r="K3165" s="33" t="s">
        <v>22</v>
      </c>
    </row>
    <row r="3166" spans="1:11">
      <c r="A3166" s="30" t="s">
        <v>7719</v>
      </c>
      <c r="B3166" s="30" t="s">
        <v>7720</v>
      </c>
      <c r="C3166" s="30" t="s">
        <v>7721</v>
      </c>
      <c r="D3166" s="30" t="s">
        <v>17</v>
      </c>
      <c r="E3166" s="30" t="s">
        <v>26</v>
      </c>
      <c r="F3166" s="30" t="s">
        <v>27</v>
      </c>
      <c r="G3166" s="30" t="s">
        <v>20</v>
      </c>
      <c r="H3166" s="32">
        <v>16</v>
      </c>
      <c r="I3166" s="30" t="s">
        <v>21</v>
      </c>
      <c r="J3166" s="41">
        <v>44173</v>
      </c>
      <c r="K3166" s="30" t="s">
        <v>22</v>
      </c>
    </row>
    <row r="3167" spans="1:11">
      <c r="A3167" s="33" t="s">
        <v>7722</v>
      </c>
      <c r="B3167" s="33" t="s">
        <v>7723</v>
      </c>
      <c r="C3167" s="33" t="s">
        <v>2292</v>
      </c>
      <c r="D3167" s="33" t="s">
        <v>17</v>
      </c>
      <c r="E3167" s="33" t="s">
        <v>26</v>
      </c>
      <c r="F3167" s="33" t="s">
        <v>27</v>
      </c>
      <c r="G3167" s="33" t="s">
        <v>20</v>
      </c>
      <c r="H3167" s="35">
        <v>24</v>
      </c>
      <c r="I3167" s="33" t="s">
        <v>21</v>
      </c>
      <c r="J3167" s="42">
        <v>43903</v>
      </c>
      <c r="K3167" s="33" t="s">
        <v>22</v>
      </c>
    </row>
    <row r="3168" spans="1:11">
      <c r="A3168" s="30" t="s">
        <v>7724</v>
      </c>
      <c r="B3168" s="30" t="s">
        <v>7725</v>
      </c>
      <c r="C3168" s="30" t="s">
        <v>7726</v>
      </c>
      <c r="D3168" s="30" t="s">
        <v>17</v>
      </c>
      <c r="E3168" s="30" t="s">
        <v>26</v>
      </c>
      <c r="F3168" s="30" t="s">
        <v>27</v>
      </c>
      <c r="G3168" s="30" t="s">
        <v>69</v>
      </c>
      <c r="H3168" s="32">
        <v>36</v>
      </c>
      <c r="I3168" s="30" t="s">
        <v>51</v>
      </c>
      <c r="J3168" s="41">
        <v>44119</v>
      </c>
      <c r="K3168" s="30" t="s">
        <v>22</v>
      </c>
    </row>
    <row r="3169" spans="1:11">
      <c r="A3169" s="33" t="s">
        <v>7727</v>
      </c>
      <c r="B3169" s="33" t="s">
        <v>7728</v>
      </c>
      <c r="C3169" s="33" t="s">
        <v>1090</v>
      </c>
      <c r="D3169" s="33" t="s">
        <v>17</v>
      </c>
      <c r="E3169" s="33" t="s">
        <v>26</v>
      </c>
      <c r="F3169" s="33" t="s">
        <v>27</v>
      </c>
      <c r="G3169" s="33" t="s">
        <v>50</v>
      </c>
      <c r="H3169" s="35">
        <v>100</v>
      </c>
      <c r="I3169" s="33" t="s">
        <v>51</v>
      </c>
      <c r="J3169" s="42">
        <v>43945</v>
      </c>
      <c r="K3169" s="33" t="s">
        <v>22</v>
      </c>
    </row>
    <row r="3170" spans="1:11">
      <c r="A3170" s="30" t="s">
        <v>7729</v>
      </c>
      <c r="B3170" s="30" t="s">
        <v>7730</v>
      </c>
      <c r="C3170" s="30" t="s">
        <v>7731</v>
      </c>
      <c r="D3170" s="30" t="s">
        <v>17</v>
      </c>
      <c r="E3170" s="30" t="s">
        <v>67</v>
      </c>
      <c r="F3170" s="30" t="s">
        <v>68</v>
      </c>
      <c r="G3170" s="30" t="s">
        <v>20</v>
      </c>
      <c r="H3170" s="32">
        <v>490</v>
      </c>
      <c r="I3170" s="30" t="s">
        <v>21</v>
      </c>
      <c r="J3170" s="41">
        <v>44076</v>
      </c>
      <c r="K3170" s="30" t="s">
        <v>22</v>
      </c>
    </row>
    <row r="3171" spans="1:11">
      <c r="A3171" s="33" t="s">
        <v>7732</v>
      </c>
      <c r="B3171" s="33" t="s">
        <v>7733</v>
      </c>
      <c r="C3171" s="33" t="s">
        <v>1529</v>
      </c>
      <c r="D3171" s="33" t="s">
        <v>17</v>
      </c>
      <c r="E3171" s="33" t="s">
        <v>67</v>
      </c>
      <c r="F3171" s="33" t="s">
        <v>68</v>
      </c>
      <c r="G3171" s="33" t="s">
        <v>20</v>
      </c>
      <c r="H3171" s="35">
        <v>31</v>
      </c>
      <c r="I3171" s="33" t="s">
        <v>21</v>
      </c>
      <c r="J3171" s="42">
        <v>44046</v>
      </c>
      <c r="K3171" s="33" t="s">
        <v>22</v>
      </c>
    </row>
    <row r="3172" spans="1:11">
      <c r="A3172" s="30" t="s">
        <v>7734</v>
      </c>
      <c r="B3172" s="30" t="s">
        <v>7735</v>
      </c>
      <c r="C3172" s="30" t="s">
        <v>7736</v>
      </c>
      <c r="D3172" s="30" t="s">
        <v>17</v>
      </c>
      <c r="E3172" s="30" t="s">
        <v>26</v>
      </c>
      <c r="F3172" s="30" t="s">
        <v>27</v>
      </c>
      <c r="G3172" s="30" t="s">
        <v>20</v>
      </c>
      <c r="H3172" s="32">
        <v>12</v>
      </c>
      <c r="I3172" s="30" t="s">
        <v>21</v>
      </c>
      <c r="J3172" s="41">
        <v>44024</v>
      </c>
      <c r="K3172" s="30" t="s">
        <v>22</v>
      </c>
    </row>
    <row r="3173" spans="1:11">
      <c r="A3173" s="33" t="s">
        <v>7737</v>
      </c>
      <c r="B3173" s="33" t="s">
        <v>7738</v>
      </c>
      <c r="C3173" s="33" t="s">
        <v>187</v>
      </c>
      <c r="D3173" s="33" t="s">
        <v>17</v>
      </c>
      <c r="E3173" s="33" t="s">
        <v>18</v>
      </c>
      <c r="F3173" s="33" t="s">
        <v>19</v>
      </c>
      <c r="G3173" s="33" t="s">
        <v>50</v>
      </c>
      <c r="H3173" s="35">
        <v>424</v>
      </c>
      <c r="I3173" s="33" t="s">
        <v>51</v>
      </c>
      <c r="J3173" s="42">
        <v>43950</v>
      </c>
      <c r="K3173" s="33" t="s">
        <v>22</v>
      </c>
    </row>
    <row r="3174" spans="1:11">
      <c r="A3174" s="30" t="s">
        <v>7739</v>
      </c>
      <c r="B3174" s="30" t="s">
        <v>7740</v>
      </c>
      <c r="C3174" s="30" t="s">
        <v>894</v>
      </c>
      <c r="D3174" s="30" t="s">
        <v>17</v>
      </c>
      <c r="E3174" s="30" t="s">
        <v>26</v>
      </c>
      <c r="F3174" s="30" t="s">
        <v>27</v>
      </c>
      <c r="G3174" s="30" t="s">
        <v>20</v>
      </c>
      <c r="H3174" s="32">
        <v>40</v>
      </c>
      <c r="I3174" s="30" t="s">
        <v>21</v>
      </c>
      <c r="J3174" s="41">
        <v>44147</v>
      </c>
      <c r="K3174" s="30" t="s">
        <v>22</v>
      </c>
    </row>
    <row r="3175" spans="1:11">
      <c r="A3175" s="33" t="s">
        <v>7741</v>
      </c>
      <c r="B3175" s="33" t="s">
        <v>7742</v>
      </c>
      <c r="C3175" s="33" t="s">
        <v>102</v>
      </c>
      <c r="D3175" s="33" t="s">
        <v>17</v>
      </c>
      <c r="E3175" s="33" t="s">
        <v>26</v>
      </c>
      <c r="F3175" s="33" t="s">
        <v>27</v>
      </c>
      <c r="G3175" s="33" t="s">
        <v>20</v>
      </c>
      <c r="H3175" s="35">
        <v>63</v>
      </c>
      <c r="I3175" s="33" t="s">
        <v>21</v>
      </c>
      <c r="J3175" s="42">
        <v>44028</v>
      </c>
      <c r="K3175" s="33" t="s">
        <v>22</v>
      </c>
    </row>
    <row r="3176" spans="1:11">
      <c r="A3176" s="30" t="s">
        <v>7743</v>
      </c>
      <c r="B3176" s="30" t="s">
        <v>7744</v>
      </c>
      <c r="C3176" s="30" t="s">
        <v>284</v>
      </c>
      <c r="D3176" s="30" t="s">
        <v>17</v>
      </c>
      <c r="E3176" s="30" t="s">
        <v>26</v>
      </c>
      <c r="F3176" s="30" t="s">
        <v>27</v>
      </c>
      <c r="G3176" s="30" t="s">
        <v>20</v>
      </c>
      <c r="H3176" s="32">
        <v>78</v>
      </c>
      <c r="I3176" s="30" t="s">
        <v>21</v>
      </c>
      <c r="J3176" s="41">
        <v>44116</v>
      </c>
      <c r="K3176" s="30" t="s">
        <v>22</v>
      </c>
    </row>
    <row r="3177" spans="1:11">
      <c r="A3177" s="33" t="s">
        <v>7745</v>
      </c>
      <c r="B3177" s="33" t="s">
        <v>7746</v>
      </c>
      <c r="C3177" s="33" t="s">
        <v>187</v>
      </c>
      <c r="D3177" s="33" t="s">
        <v>17</v>
      </c>
      <c r="E3177" s="33" t="s">
        <v>26</v>
      </c>
      <c r="F3177" s="33" t="s">
        <v>27</v>
      </c>
      <c r="G3177" s="33" t="s">
        <v>50</v>
      </c>
      <c r="H3177" s="35">
        <v>57</v>
      </c>
      <c r="I3177" s="33" t="s">
        <v>51</v>
      </c>
      <c r="J3177" s="42">
        <v>44116</v>
      </c>
      <c r="K3177" s="33" t="s">
        <v>22</v>
      </c>
    </row>
    <row r="3178" spans="1:11">
      <c r="A3178" s="30" t="s">
        <v>7747</v>
      </c>
      <c r="B3178" s="30" t="s">
        <v>7748</v>
      </c>
      <c r="C3178" s="30" t="s">
        <v>7749</v>
      </c>
      <c r="D3178" s="30" t="s">
        <v>17</v>
      </c>
      <c r="E3178" s="30" t="s">
        <v>26</v>
      </c>
      <c r="F3178" s="30" t="s">
        <v>27</v>
      </c>
      <c r="G3178" s="30" t="s">
        <v>20</v>
      </c>
      <c r="H3178" s="32">
        <v>50</v>
      </c>
      <c r="I3178" s="30" t="s">
        <v>21</v>
      </c>
      <c r="J3178" s="41">
        <v>43952</v>
      </c>
      <c r="K3178" s="30" t="s">
        <v>22</v>
      </c>
    </row>
    <row r="3179" spans="1:11">
      <c r="A3179" s="33" t="s">
        <v>7750</v>
      </c>
      <c r="B3179" s="33" t="s">
        <v>7751</v>
      </c>
      <c r="C3179" s="33" t="s">
        <v>3270</v>
      </c>
      <c r="D3179" s="33" t="s">
        <v>17</v>
      </c>
      <c r="E3179" s="33" t="s">
        <v>26</v>
      </c>
      <c r="F3179" s="33" t="s">
        <v>27</v>
      </c>
      <c r="G3179" s="33" t="s">
        <v>106</v>
      </c>
      <c r="H3179" s="35">
        <v>42</v>
      </c>
      <c r="I3179" s="33" t="s">
        <v>21</v>
      </c>
      <c r="J3179" s="42">
        <v>44121</v>
      </c>
      <c r="K3179" s="33" t="s">
        <v>22</v>
      </c>
    </row>
    <row r="3180" spans="1:11">
      <c r="A3180" s="30" t="s">
        <v>7752</v>
      </c>
      <c r="B3180" s="30" t="s">
        <v>7753</v>
      </c>
      <c r="C3180" s="30" t="s">
        <v>3655</v>
      </c>
      <c r="D3180" s="30" t="s">
        <v>17</v>
      </c>
      <c r="E3180" s="30" t="s">
        <v>31</v>
      </c>
      <c r="F3180" s="30" t="s">
        <v>32</v>
      </c>
      <c r="G3180" s="30" t="s">
        <v>20</v>
      </c>
      <c r="H3180" s="32">
        <v>960</v>
      </c>
      <c r="I3180" s="30" t="s">
        <v>21</v>
      </c>
      <c r="J3180" s="41">
        <v>44169</v>
      </c>
      <c r="K3180" s="30" t="s">
        <v>22</v>
      </c>
    </row>
    <row r="3181" spans="1:11">
      <c r="A3181" s="33" t="s">
        <v>7754</v>
      </c>
      <c r="B3181" s="33" t="s">
        <v>7755</v>
      </c>
      <c r="C3181" s="33" t="s">
        <v>7756</v>
      </c>
      <c r="D3181" s="33" t="s">
        <v>17</v>
      </c>
      <c r="E3181" s="33" t="s">
        <v>18</v>
      </c>
      <c r="F3181" s="33" t="s">
        <v>19</v>
      </c>
      <c r="G3181" s="33" t="s">
        <v>20</v>
      </c>
      <c r="H3181" s="35">
        <v>60</v>
      </c>
      <c r="I3181" s="33" t="s">
        <v>21</v>
      </c>
      <c r="J3181" s="42">
        <v>43845</v>
      </c>
      <c r="K3181" s="33" t="s">
        <v>22</v>
      </c>
    </row>
    <row r="3182" spans="1:11">
      <c r="A3182" s="30" t="s">
        <v>7757</v>
      </c>
      <c r="B3182" s="30" t="s">
        <v>7758</v>
      </c>
      <c r="C3182" s="30" t="s">
        <v>7759</v>
      </c>
      <c r="D3182" s="30" t="s">
        <v>17</v>
      </c>
      <c r="E3182" s="30" t="s">
        <v>67</v>
      </c>
      <c r="F3182" s="30" t="s">
        <v>68</v>
      </c>
      <c r="G3182" s="30" t="s">
        <v>158</v>
      </c>
      <c r="H3182" s="32">
        <v>23</v>
      </c>
      <c r="I3182" s="30" t="s">
        <v>21</v>
      </c>
      <c r="J3182" s="41">
        <v>44186</v>
      </c>
      <c r="K3182" s="30" t="s">
        <v>22</v>
      </c>
    </row>
    <row r="3183" spans="1:11">
      <c r="A3183" s="33" t="s">
        <v>7760</v>
      </c>
      <c r="B3183" s="33" t="s">
        <v>7761</v>
      </c>
      <c r="C3183" s="33" t="s">
        <v>7762</v>
      </c>
      <c r="D3183" s="33" t="s">
        <v>17</v>
      </c>
      <c r="E3183" s="33" t="s">
        <v>67</v>
      </c>
      <c r="F3183" s="33" t="s">
        <v>68</v>
      </c>
      <c r="G3183" s="33" t="s">
        <v>20</v>
      </c>
      <c r="H3183" s="35">
        <v>27</v>
      </c>
      <c r="I3183" s="33" t="s">
        <v>21</v>
      </c>
      <c r="J3183" s="42">
        <v>44180</v>
      </c>
      <c r="K3183" s="33" t="s">
        <v>22</v>
      </c>
    </row>
    <row r="3184" spans="1:11">
      <c r="A3184" s="30" t="s">
        <v>7763</v>
      </c>
      <c r="B3184" s="30" t="s">
        <v>7764</v>
      </c>
      <c r="C3184" s="30" t="s">
        <v>7765</v>
      </c>
      <c r="D3184" s="30" t="s">
        <v>17</v>
      </c>
      <c r="E3184" s="30" t="s">
        <v>26</v>
      </c>
      <c r="F3184" s="30" t="s">
        <v>27</v>
      </c>
      <c r="G3184" s="30" t="s">
        <v>20</v>
      </c>
      <c r="H3184" s="32">
        <v>82</v>
      </c>
      <c r="I3184" s="30" t="s">
        <v>21</v>
      </c>
      <c r="J3184" s="41">
        <v>44159</v>
      </c>
      <c r="K3184" s="30" t="s">
        <v>22</v>
      </c>
    </row>
    <row r="3185" spans="1:11">
      <c r="A3185" s="33" t="s">
        <v>7766</v>
      </c>
      <c r="B3185" s="33" t="s">
        <v>7767</v>
      </c>
      <c r="C3185" s="33" t="s">
        <v>7768</v>
      </c>
      <c r="D3185" s="33" t="s">
        <v>17</v>
      </c>
      <c r="E3185" s="33" t="s">
        <v>26</v>
      </c>
      <c r="F3185" s="33" t="s">
        <v>27</v>
      </c>
      <c r="G3185" s="33" t="s">
        <v>50</v>
      </c>
      <c r="H3185" s="35">
        <v>36</v>
      </c>
      <c r="I3185" s="33" t="s">
        <v>51</v>
      </c>
      <c r="J3185" s="42">
        <v>44137</v>
      </c>
      <c r="K3185" s="33" t="s">
        <v>22</v>
      </c>
    </row>
    <row r="3186" spans="1:11">
      <c r="A3186" s="30" t="s">
        <v>7769</v>
      </c>
      <c r="B3186" s="30" t="s">
        <v>7770</v>
      </c>
      <c r="C3186" s="30" t="s">
        <v>2323</v>
      </c>
      <c r="D3186" s="30" t="s">
        <v>17</v>
      </c>
      <c r="E3186" s="30" t="s">
        <v>26</v>
      </c>
      <c r="F3186" s="30" t="s">
        <v>27</v>
      </c>
      <c r="G3186" s="30" t="s">
        <v>140</v>
      </c>
      <c r="H3186" s="32">
        <v>207</v>
      </c>
      <c r="I3186" s="30" t="s">
        <v>51</v>
      </c>
      <c r="J3186" s="41">
        <v>44078</v>
      </c>
      <c r="K3186" s="30" t="s">
        <v>22</v>
      </c>
    </row>
    <row r="3187" spans="1:11">
      <c r="A3187" s="33" t="s">
        <v>7771</v>
      </c>
      <c r="B3187" s="33" t="s">
        <v>7772</v>
      </c>
      <c r="C3187" s="33" t="s">
        <v>7773</v>
      </c>
      <c r="D3187" s="33" t="s">
        <v>17</v>
      </c>
      <c r="E3187" s="33" t="s">
        <v>31</v>
      </c>
      <c r="F3187" s="33" t="s">
        <v>32</v>
      </c>
      <c r="G3187" s="33" t="s">
        <v>50</v>
      </c>
      <c r="H3187" s="35">
        <v>150</v>
      </c>
      <c r="I3187" s="33" t="s">
        <v>51</v>
      </c>
      <c r="J3187" s="42">
        <v>43952</v>
      </c>
      <c r="K3187" s="33" t="s">
        <v>22</v>
      </c>
    </row>
    <row r="3188" spans="1:11">
      <c r="A3188" s="30" t="s">
        <v>7774</v>
      </c>
      <c r="B3188" s="30" t="s">
        <v>7775</v>
      </c>
      <c r="C3188" s="30" t="s">
        <v>2728</v>
      </c>
      <c r="D3188" s="30" t="s">
        <v>17</v>
      </c>
      <c r="E3188" s="30" t="s">
        <v>26</v>
      </c>
      <c r="F3188" s="30" t="s">
        <v>27</v>
      </c>
      <c r="G3188" s="30" t="s">
        <v>20</v>
      </c>
      <c r="H3188" s="32">
        <v>26</v>
      </c>
      <c r="I3188" s="30" t="s">
        <v>21</v>
      </c>
      <c r="J3188" s="41">
        <v>43900</v>
      </c>
      <c r="K3188" s="30" t="s">
        <v>22</v>
      </c>
    </row>
    <row r="3189" spans="1:11">
      <c r="A3189" s="33" t="s">
        <v>7776</v>
      </c>
      <c r="B3189" s="33" t="s">
        <v>7777</v>
      </c>
      <c r="C3189" s="33" t="s">
        <v>102</v>
      </c>
      <c r="D3189" s="33" t="s">
        <v>17</v>
      </c>
      <c r="E3189" s="33" t="s">
        <v>26</v>
      </c>
      <c r="F3189" s="33" t="s">
        <v>27</v>
      </c>
      <c r="G3189" s="33" t="s">
        <v>20</v>
      </c>
      <c r="H3189" s="35">
        <v>8</v>
      </c>
      <c r="I3189" s="33" t="s">
        <v>21</v>
      </c>
      <c r="J3189" s="42">
        <v>44026</v>
      </c>
      <c r="K3189" s="33" t="s">
        <v>22</v>
      </c>
    </row>
    <row r="3190" spans="1:11">
      <c r="A3190" s="30" t="s">
        <v>7778</v>
      </c>
      <c r="B3190" s="30" t="s">
        <v>7779</v>
      </c>
      <c r="C3190" s="30" t="s">
        <v>379</v>
      </c>
      <c r="D3190" s="30" t="s">
        <v>17</v>
      </c>
      <c r="E3190" s="30" t="s">
        <v>18</v>
      </c>
      <c r="F3190" s="30" t="s">
        <v>19</v>
      </c>
      <c r="G3190" s="30" t="s">
        <v>7780</v>
      </c>
      <c r="H3190" s="32">
        <v>522</v>
      </c>
      <c r="I3190" s="30" t="s">
        <v>51</v>
      </c>
      <c r="J3190" s="41">
        <v>43938</v>
      </c>
      <c r="K3190" s="30" t="s">
        <v>22</v>
      </c>
    </row>
    <row r="3191" spans="1:11">
      <c r="A3191" s="33" t="s">
        <v>7781</v>
      </c>
      <c r="B3191" s="33" t="s">
        <v>7782</v>
      </c>
      <c r="C3191" s="33" t="s">
        <v>2466</v>
      </c>
      <c r="D3191" s="33" t="s">
        <v>17</v>
      </c>
      <c r="E3191" s="33" t="s">
        <v>67</v>
      </c>
      <c r="F3191" s="33" t="s">
        <v>68</v>
      </c>
      <c r="G3191" s="33" t="s">
        <v>20</v>
      </c>
      <c r="H3191" s="35">
        <v>20</v>
      </c>
      <c r="I3191" s="33" t="s">
        <v>21</v>
      </c>
      <c r="J3191" s="42">
        <v>44139</v>
      </c>
      <c r="K3191" s="33" t="s">
        <v>22</v>
      </c>
    </row>
    <row r="3192" spans="1:11">
      <c r="A3192" s="30" t="s">
        <v>7783</v>
      </c>
      <c r="B3192" s="30" t="s">
        <v>7784</v>
      </c>
      <c r="C3192" s="30" t="s">
        <v>6282</v>
      </c>
      <c r="D3192" s="30" t="s">
        <v>17</v>
      </c>
      <c r="E3192" s="30" t="s">
        <v>31</v>
      </c>
      <c r="F3192" s="30" t="s">
        <v>32</v>
      </c>
      <c r="G3192" s="30" t="s">
        <v>158</v>
      </c>
      <c r="H3192" s="32">
        <v>23</v>
      </c>
      <c r="I3192" s="30" t="s">
        <v>21</v>
      </c>
      <c r="J3192" s="41">
        <v>44131</v>
      </c>
      <c r="K3192" s="30" t="s">
        <v>22</v>
      </c>
    </row>
    <row r="3193" spans="1:11">
      <c r="A3193" s="33" t="s">
        <v>7785</v>
      </c>
      <c r="B3193" s="33" t="s">
        <v>7786</v>
      </c>
      <c r="C3193" s="33" t="s">
        <v>7787</v>
      </c>
      <c r="D3193" s="33" t="s">
        <v>17</v>
      </c>
      <c r="E3193" s="33" t="s">
        <v>26</v>
      </c>
      <c r="F3193" s="33" t="s">
        <v>27</v>
      </c>
      <c r="G3193" s="33" t="s">
        <v>20</v>
      </c>
      <c r="H3193" s="35">
        <v>73</v>
      </c>
      <c r="I3193" s="33" t="s">
        <v>21</v>
      </c>
      <c r="J3193" s="42">
        <v>44018</v>
      </c>
      <c r="K3193" s="33" t="s">
        <v>22</v>
      </c>
    </row>
    <row r="3194" spans="1:11">
      <c r="A3194" s="30" t="s">
        <v>7788</v>
      </c>
      <c r="B3194" s="30" t="s">
        <v>7789</v>
      </c>
      <c r="C3194" s="30" t="s">
        <v>96</v>
      </c>
      <c r="D3194" s="30" t="s">
        <v>17</v>
      </c>
      <c r="E3194" s="30" t="s">
        <v>18</v>
      </c>
      <c r="F3194" s="30" t="s">
        <v>19</v>
      </c>
      <c r="G3194" s="30" t="s">
        <v>20</v>
      </c>
      <c r="H3194" s="32">
        <v>727</v>
      </c>
      <c r="I3194" s="30" t="s">
        <v>21</v>
      </c>
      <c r="J3194" s="41">
        <v>43993</v>
      </c>
      <c r="K3194" s="30" t="s">
        <v>22</v>
      </c>
    </row>
    <row r="3195" spans="1:11">
      <c r="A3195" s="33" t="s">
        <v>7790</v>
      </c>
      <c r="B3195" s="33" t="s">
        <v>7791</v>
      </c>
      <c r="C3195" s="33" t="s">
        <v>96</v>
      </c>
      <c r="D3195" s="33" t="s">
        <v>17</v>
      </c>
      <c r="E3195" s="33" t="s">
        <v>26</v>
      </c>
      <c r="F3195" s="33" t="s">
        <v>27</v>
      </c>
      <c r="G3195" s="33" t="s">
        <v>20</v>
      </c>
      <c r="H3195" s="35">
        <v>12</v>
      </c>
      <c r="I3195" s="33" t="s">
        <v>21</v>
      </c>
      <c r="J3195" s="42">
        <v>44007</v>
      </c>
      <c r="K3195" s="33" t="s">
        <v>22</v>
      </c>
    </row>
    <row r="3196" spans="1:11">
      <c r="A3196" s="30" t="s">
        <v>7792</v>
      </c>
      <c r="B3196" s="30" t="s">
        <v>7793</v>
      </c>
      <c r="C3196" s="30" t="s">
        <v>7794</v>
      </c>
      <c r="D3196" s="30" t="s">
        <v>17</v>
      </c>
      <c r="E3196" s="30" t="s">
        <v>31</v>
      </c>
      <c r="F3196" s="30" t="s">
        <v>32</v>
      </c>
      <c r="G3196" s="30" t="s">
        <v>20</v>
      </c>
      <c r="H3196" s="32">
        <v>547</v>
      </c>
      <c r="I3196" s="30" t="s">
        <v>21</v>
      </c>
      <c r="J3196" s="41">
        <v>44006</v>
      </c>
      <c r="K3196" s="30" t="s">
        <v>22</v>
      </c>
    </row>
    <row r="3197" spans="1:11">
      <c r="A3197" s="33" t="s">
        <v>7795</v>
      </c>
      <c r="B3197" s="33" t="s">
        <v>7796</v>
      </c>
      <c r="C3197" s="33" t="s">
        <v>318</v>
      </c>
      <c r="D3197" s="33" t="s">
        <v>17</v>
      </c>
      <c r="E3197" s="33" t="s">
        <v>31</v>
      </c>
      <c r="F3197" s="33" t="s">
        <v>32</v>
      </c>
      <c r="G3197" s="33" t="s">
        <v>20</v>
      </c>
      <c r="H3197" s="35">
        <v>54</v>
      </c>
      <c r="I3197" s="33" t="s">
        <v>21</v>
      </c>
      <c r="J3197" s="42">
        <v>44049</v>
      </c>
      <c r="K3197" s="33" t="s">
        <v>22</v>
      </c>
    </row>
    <row r="3198" spans="1:11">
      <c r="A3198" s="30" t="s">
        <v>7797</v>
      </c>
      <c r="B3198" s="30" t="s">
        <v>7798</v>
      </c>
      <c r="C3198" s="30" t="s">
        <v>57</v>
      </c>
      <c r="D3198" s="30" t="s">
        <v>17</v>
      </c>
      <c r="E3198" s="30" t="s">
        <v>26</v>
      </c>
      <c r="F3198" s="30" t="s">
        <v>27</v>
      </c>
      <c r="G3198" s="30" t="s">
        <v>50</v>
      </c>
      <c r="H3198" s="32">
        <v>110</v>
      </c>
      <c r="I3198" s="30" t="s">
        <v>51</v>
      </c>
      <c r="J3198" s="41">
        <v>44001</v>
      </c>
      <c r="K3198" s="30" t="s">
        <v>22</v>
      </c>
    </row>
    <row r="3199" spans="1:11">
      <c r="A3199" s="33" t="s">
        <v>7799</v>
      </c>
      <c r="B3199" s="33" t="s">
        <v>7800</v>
      </c>
      <c r="C3199" s="33" t="s">
        <v>149</v>
      </c>
      <c r="D3199" s="33" t="s">
        <v>17</v>
      </c>
      <c r="E3199" s="33" t="s">
        <v>26</v>
      </c>
      <c r="F3199" s="33" t="s">
        <v>27</v>
      </c>
      <c r="G3199" s="33" t="s">
        <v>50</v>
      </c>
      <c r="H3199" s="35">
        <v>24</v>
      </c>
      <c r="I3199" s="33" t="s">
        <v>51</v>
      </c>
      <c r="J3199" s="42">
        <v>43987</v>
      </c>
      <c r="K3199" s="33" t="s">
        <v>22</v>
      </c>
    </row>
    <row r="3200" spans="1:11">
      <c r="A3200" s="30" t="s">
        <v>7801</v>
      </c>
      <c r="B3200" s="30" t="s">
        <v>7802</v>
      </c>
      <c r="C3200" s="30" t="s">
        <v>7803</v>
      </c>
      <c r="D3200" s="30" t="s">
        <v>17</v>
      </c>
      <c r="E3200" s="30" t="s">
        <v>18</v>
      </c>
      <c r="F3200" s="30" t="s">
        <v>19</v>
      </c>
      <c r="G3200" s="30" t="s">
        <v>50</v>
      </c>
      <c r="H3200" s="32">
        <v>8</v>
      </c>
      <c r="I3200" s="30" t="s">
        <v>21</v>
      </c>
      <c r="J3200" s="41">
        <v>43862</v>
      </c>
      <c r="K3200" s="30" t="s">
        <v>22</v>
      </c>
    </row>
    <row r="3201" spans="1:11">
      <c r="A3201" s="33" t="s">
        <v>7804</v>
      </c>
      <c r="B3201" s="33" t="s">
        <v>7805</v>
      </c>
      <c r="C3201" s="33" t="s">
        <v>96</v>
      </c>
      <c r="D3201" s="33" t="s">
        <v>17</v>
      </c>
      <c r="E3201" s="33" t="s">
        <v>26</v>
      </c>
      <c r="F3201" s="33" t="s">
        <v>27</v>
      </c>
      <c r="G3201" s="33" t="s">
        <v>20</v>
      </c>
      <c r="H3201" s="35">
        <v>37</v>
      </c>
      <c r="I3201" s="33" t="s">
        <v>21</v>
      </c>
      <c r="J3201" s="42">
        <v>44008</v>
      </c>
      <c r="K3201" s="33" t="s">
        <v>22</v>
      </c>
    </row>
    <row r="3202" spans="1:11">
      <c r="A3202" s="30" t="s">
        <v>7806</v>
      </c>
      <c r="B3202" s="30" t="s">
        <v>7807</v>
      </c>
      <c r="C3202" s="30" t="s">
        <v>7588</v>
      </c>
      <c r="D3202" s="30" t="s">
        <v>17</v>
      </c>
      <c r="E3202" s="30" t="s">
        <v>26</v>
      </c>
      <c r="F3202" s="30" t="s">
        <v>27</v>
      </c>
      <c r="G3202" s="30" t="s">
        <v>20</v>
      </c>
      <c r="H3202" s="32">
        <v>37</v>
      </c>
      <c r="I3202" s="30" t="s">
        <v>21</v>
      </c>
      <c r="J3202" s="41">
        <v>44053</v>
      </c>
      <c r="K3202" s="30" t="s">
        <v>22</v>
      </c>
    </row>
    <row r="3203" spans="1:11">
      <c r="A3203" s="33" t="s">
        <v>7808</v>
      </c>
      <c r="B3203" s="33" t="s">
        <v>7809</v>
      </c>
      <c r="C3203" s="33" t="s">
        <v>2289</v>
      </c>
      <c r="D3203" s="33" t="s">
        <v>17</v>
      </c>
      <c r="E3203" s="33" t="s">
        <v>18</v>
      </c>
      <c r="F3203" s="33" t="s">
        <v>19</v>
      </c>
      <c r="G3203" s="33" t="s">
        <v>20</v>
      </c>
      <c r="H3203" s="35">
        <v>242</v>
      </c>
      <c r="I3203" s="33" t="s">
        <v>21</v>
      </c>
      <c r="J3203" s="42">
        <v>44182</v>
      </c>
      <c r="K3203" s="33" t="s">
        <v>22</v>
      </c>
    </row>
    <row r="3204" spans="1:11">
      <c r="A3204" s="30" t="s">
        <v>7810</v>
      </c>
      <c r="B3204" s="30" t="s">
        <v>7811</v>
      </c>
      <c r="C3204" s="30" t="s">
        <v>925</v>
      </c>
      <c r="D3204" s="30" t="s">
        <v>17</v>
      </c>
      <c r="E3204" s="30" t="s">
        <v>18</v>
      </c>
      <c r="F3204" s="30" t="s">
        <v>19</v>
      </c>
      <c r="G3204" s="30" t="s">
        <v>112</v>
      </c>
      <c r="H3204" s="32">
        <v>0</v>
      </c>
      <c r="I3204" s="30" t="s">
        <v>21</v>
      </c>
      <c r="J3204" s="41">
        <v>44166</v>
      </c>
      <c r="K3204" s="30" t="s">
        <v>22</v>
      </c>
    </row>
    <row r="3205" spans="1:11">
      <c r="A3205" s="33" t="s">
        <v>7812</v>
      </c>
      <c r="B3205" s="33" t="s">
        <v>7813</v>
      </c>
      <c r="C3205" s="33" t="s">
        <v>1813</v>
      </c>
      <c r="D3205" s="33" t="s">
        <v>17</v>
      </c>
      <c r="E3205" s="33" t="s">
        <v>31</v>
      </c>
      <c r="F3205" s="33" t="s">
        <v>32</v>
      </c>
      <c r="G3205" s="33" t="s">
        <v>20</v>
      </c>
      <c r="H3205" s="35">
        <v>90</v>
      </c>
      <c r="I3205" s="33" t="s">
        <v>21</v>
      </c>
      <c r="J3205" s="42">
        <v>44012</v>
      </c>
      <c r="K3205" s="33" t="s">
        <v>22</v>
      </c>
    </row>
    <row r="3206" spans="1:11">
      <c r="A3206" s="30" t="s">
        <v>7814</v>
      </c>
      <c r="B3206" s="30" t="s">
        <v>7815</v>
      </c>
      <c r="C3206" s="30" t="s">
        <v>2728</v>
      </c>
      <c r="D3206" s="30" t="s">
        <v>17</v>
      </c>
      <c r="E3206" s="30" t="s">
        <v>31</v>
      </c>
      <c r="F3206" s="30" t="s">
        <v>32</v>
      </c>
      <c r="G3206" s="30" t="s">
        <v>20</v>
      </c>
      <c r="H3206" s="32">
        <v>408</v>
      </c>
      <c r="I3206" s="30" t="s">
        <v>21</v>
      </c>
      <c r="J3206" s="41">
        <v>43994</v>
      </c>
      <c r="K3206" s="30" t="s">
        <v>22</v>
      </c>
    </row>
    <row r="3207" spans="1:11">
      <c r="A3207" s="33" t="s">
        <v>7816</v>
      </c>
      <c r="B3207" s="33" t="s">
        <v>7817</v>
      </c>
      <c r="C3207" s="33" t="s">
        <v>187</v>
      </c>
      <c r="D3207" s="33" t="s">
        <v>17</v>
      </c>
      <c r="E3207" s="33" t="s">
        <v>31</v>
      </c>
      <c r="F3207" s="33" t="s">
        <v>32</v>
      </c>
      <c r="G3207" s="33" t="s">
        <v>50</v>
      </c>
      <c r="H3207" s="35">
        <v>150</v>
      </c>
      <c r="I3207" s="33" t="s">
        <v>51</v>
      </c>
      <c r="J3207" s="42">
        <v>43985</v>
      </c>
      <c r="K3207" s="33" t="s">
        <v>22</v>
      </c>
    </row>
    <row r="3208" spans="1:11">
      <c r="A3208" s="30" t="s">
        <v>7818</v>
      </c>
      <c r="B3208" s="30" t="s">
        <v>7819</v>
      </c>
      <c r="C3208" s="30" t="s">
        <v>3182</v>
      </c>
      <c r="D3208" s="30" t="s">
        <v>17</v>
      </c>
      <c r="E3208" s="30" t="s">
        <v>31</v>
      </c>
      <c r="F3208" s="30" t="s">
        <v>32</v>
      </c>
      <c r="G3208" s="30" t="s">
        <v>20</v>
      </c>
      <c r="H3208" s="32">
        <v>80</v>
      </c>
      <c r="I3208" s="30" t="s">
        <v>21</v>
      </c>
      <c r="J3208" s="41">
        <v>43978</v>
      </c>
      <c r="K3208" s="30" t="s">
        <v>22</v>
      </c>
    </row>
    <row r="3209" spans="1:11">
      <c r="A3209" s="33" t="s">
        <v>7820</v>
      </c>
      <c r="B3209" s="33" t="s">
        <v>7821</v>
      </c>
      <c r="C3209" s="33" t="s">
        <v>5125</v>
      </c>
      <c r="D3209" s="33" t="s">
        <v>17</v>
      </c>
      <c r="E3209" s="33" t="s">
        <v>18</v>
      </c>
      <c r="F3209" s="33" t="s">
        <v>19</v>
      </c>
      <c r="G3209" s="33" t="s">
        <v>20</v>
      </c>
      <c r="H3209" s="35">
        <v>1200</v>
      </c>
      <c r="I3209" s="33" t="s">
        <v>21</v>
      </c>
      <c r="J3209" s="42">
        <v>44093</v>
      </c>
      <c r="K3209" s="33" t="s">
        <v>22</v>
      </c>
    </row>
    <row r="3210" spans="1:11">
      <c r="A3210" s="30" t="s">
        <v>7822</v>
      </c>
      <c r="B3210" s="30" t="s">
        <v>7823</v>
      </c>
      <c r="C3210" s="30" t="s">
        <v>231</v>
      </c>
      <c r="D3210" s="30" t="s">
        <v>17</v>
      </c>
      <c r="E3210" s="30" t="s">
        <v>31</v>
      </c>
      <c r="F3210" s="30" t="s">
        <v>32</v>
      </c>
      <c r="G3210" s="30" t="s">
        <v>20</v>
      </c>
      <c r="H3210" s="32">
        <v>147</v>
      </c>
      <c r="I3210" s="30" t="s">
        <v>21</v>
      </c>
      <c r="J3210" s="41">
        <v>44040</v>
      </c>
      <c r="K3210" s="30" t="s">
        <v>22</v>
      </c>
    </row>
    <row r="3211" spans="1:11">
      <c r="A3211" s="33" t="s">
        <v>7824</v>
      </c>
      <c r="B3211" s="33" t="s">
        <v>7825</v>
      </c>
      <c r="C3211" s="33" t="s">
        <v>136</v>
      </c>
      <c r="D3211" s="33" t="s">
        <v>17</v>
      </c>
      <c r="E3211" s="33" t="s">
        <v>212</v>
      </c>
      <c r="F3211" s="33" t="s">
        <v>213</v>
      </c>
      <c r="G3211" s="33" t="s">
        <v>20</v>
      </c>
      <c r="H3211" s="35">
        <v>65</v>
      </c>
      <c r="I3211" s="33" t="s">
        <v>21</v>
      </c>
      <c r="J3211" s="42">
        <v>44110</v>
      </c>
      <c r="K3211" s="33" t="s">
        <v>22</v>
      </c>
    </row>
    <row r="3212" spans="1:11">
      <c r="A3212" s="30" t="s">
        <v>7826</v>
      </c>
      <c r="B3212" s="30" t="s">
        <v>7827</v>
      </c>
      <c r="C3212" s="30" t="s">
        <v>7828</v>
      </c>
      <c r="D3212" s="30" t="s">
        <v>17</v>
      </c>
      <c r="E3212" s="30" t="s">
        <v>31</v>
      </c>
      <c r="F3212" s="30" t="s">
        <v>32</v>
      </c>
      <c r="G3212" s="30" t="s">
        <v>20</v>
      </c>
      <c r="H3212" s="32">
        <v>21</v>
      </c>
      <c r="I3212" s="30" t="s">
        <v>21</v>
      </c>
      <c r="J3212" s="41">
        <v>44018</v>
      </c>
      <c r="K3212" s="30" t="s">
        <v>22</v>
      </c>
    </row>
    <row r="3213" spans="1:11">
      <c r="A3213" s="33" t="s">
        <v>7829</v>
      </c>
      <c r="B3213" s="33" t="s">
        <v>7830</v>
      </c>
      <c r="C3213" s="33" t="s">
        <v>7831</v>
      </c>
      <c r="D3213" s="33" t="s">
        <v>17</v>
      </c>
      <c r="E3213" s="33" t="s">
        <v>67</v>
      </c>
      <c r="F3213" s="33" t="s">
        <v>68</v>
      </c>
      <c r="G3213" s="33" t="s">
        <v>140</v>
      </c>
      <c r="H3213" s="35">
        <v>60</v>
      </c>
      <c r="I3213" s="33" t="s">
        <v>51</v>
      </c>
      <c r="J3213" s="42">
        <v>44166</v>
      </c>
      <c r="K3213" s="33" t="s">
        <v>22</v>
      </c>
    </row>
    <row r="3214" spans="1:11">
      <c r="A3214" s="30" t="s">
        <v>7832</v>
      </c>
      <c r="B3214" s="30" t="s">
        <v>7833</v>
      </c>
      <c r="C3214" s="30" t="s">
        <v>7834</v>
      </c>
      <c r="D3214" s="30" t="s">
        <v>17</v>
      </c>
      <c r="E3214" s="30" t="s">
        <v>67</v>
      </c>
      <c r="F3214" s="30" t="s">
        <v>68</v>
      </c>
      <c r="G3214" s="30" t="s">
        <v>20</v>
      </c>
      <c r="H3214" s="32">
        <v>60</v>
      </c>
      <c r="I3214" s="30" t="s">
        <v>21</v>
      </c>
      <c r="J3214" s="41">
        <v>44166</v>
      </c>
      <c r="K3214" s="30" t="s">
        <v>22</v>
      </c>
    </row>
    <row r="3215" spans="1:11">
      <c r="A3215" s="33" t="s">
        <v>7835</v>
      </c>
      <c r="B3215" s="33" t="s">
        <v>7836</v>
      </c>
      <c r="C3215" s="33" t="s">
        <v>554</v>
      </c>
      <c r="D3215" s="33" t="s">
        <v>17</v>
      </c>
      <c r="E3215" s="33" t="s">
        <v>26</v>
      </c>
      <c r="F3215" s="33" t="s">
        <v>27</v>
      </c>
      <c r="G3215" s="33" t="s">
        <v>20</v>
      </c>
      <c r="H3215" s="35">
        <v>32</v>
      </c>
      <c r="I3215" s="33" t="s">
        <v>21</v>
      </c>
      <c r="J3215" s="42">
        <v>44181</v>
      </c>
      <c r="K3215" s="33" t="s">
        <v>22</v>
      </c>
    </row>
    <row r="3216" spans="1:11">
      <c r="A3216" s="30" t="s">
        <v>7837</v>
      </c>
      <c r="B3216" s="30" t="s">
        <v>7838</v>
      </c>
      <c r="C3216" s="30" t="s">
        <v>1598</v>
      </c>
      <c r="D3216" s="30" t="s">
        <v>17</v>
      </c>
      <c r="E3216" s="30" t="s">
        <v>67</v>
      </c>
      <c r="F3216" s="30" t="s">
        <v>68</v>
      </c>
      <c r="G3216" s="30" t="s">
        <v>20</v>
      </c>
      <c r="H3216" s="32">
        <v>42</v>
      </c>
      <c r="I3216" s="30" t="s">
        <v>21</v>
      </c>
      <c r="J3216" s="41">
        <v>44086</v>
      </c>
      <c r="K3216" s="30" t="s">
        <v>22</v>
      </c>
    </row>
    <row r="3217" spans="1:11">
      <c r="A3217" s="33" t="s">
        <v>7839</v>
      </c>
      <c r="B3217" s="33" t="s">
        <v>7840</v>
      </c>
      <c r="C3217" s="33" t="s">
        <v>1165</v>
      </c>
      <c r="D3217" s="33" t="s">
        <v>17</v>
      </c>
      <c r="E3217" s="33" t="s">
        <v>26</v>
      </c>
      <c r="F3217" s="33" t="s">
        <v>27</v>
      </c>
      <c r="G3217" s="33" t="s">
        <v>20</v>
      </c>
      <c r="H3217" s="35">
        <v>110</v>
      </c>
      <c r="I3217" s="33" t="s">
        <v>21</v>
      </c>
      <c r="J3217" s="42">
        <v>44046</v>
      </c>
      <c r="K3217" s="33" t="s">
        <v>22</v>
      </c>
    </row>
    <row r="3218" spans="1:11">
      <c r="A3218" s="30" t="s">
        <v>7841</v>
      </c>
      <c r="B3218" s="30" t="s">
        <v>7842</v>
      </c>
      <c r="C3218" s="30" t="s">
        <v>2346</v>
      </c>
      <c r="D3218" s="30" t="s">
        <v>17</v>
      </c>
      <c r="E3218" s="30" t="s">
        <v>26</v>
      </c>
      <c r="F3218" s="30" t="s">
        <v>27</v>
      </c>
      <c r="G3218" s="30" t="s">
        <v>106</v>
      </c>
      <c r="H3218" s="32">
        <v>3</v>
      </c>
      <c r="I3218" s="30" t="s">
        <v>21</v>
      </c>
      <c r="J3218" s="41">
        <v>44105</v>
      </c>
      <c r="K3218" s="30" t="s">
        <v>22</v>
      </c>
    </row>
    <row r="3219" spans="1:11">
      <c r="A3219" s="33" t="s">
        <v>7843</v>
      </c>
      <c r="B3219" s="33" t="s">
        <v>7844</v>
      </c>
      <c r="C3219" s="33" t="s">
        <v>154</v>
      </c>
      <c r="D3219" s="33" t="s">
        <v>17</v>
      </c>
      <c r="E3219" s="33" t="s">
        <v>26</v>
      </c>
      <c r="F3219" s="33" t="s">
        <v>27</v>
      </c>
      <c r="G3219" s="33" t="s">
        <v>20</v>
      </c>
      <c r="H3219" s="35">
        <v>26</v>
      </c>
      <c r="I3219" s="33" t="s">
        <v>21</v>
      </c>
      <c r="J3219" s="42">
        <v>44150</v>
      </c>
      <c r="K3219" s="33" t="s">
        <v>22</v>
      </c>
    </row>
    <row r="3220" spans="1:11">
      <c r="A3220" s="30" t="s">
        <v>7845</v>
      </c>
      <c r="B3220" s="30" t="s">
        <v>7846</v>
      </c>
      <c r="C3220" s="30" t="s">
        <v>7847</v>
      </c>
      <c r="D3220" s="30" t="s">
        <v>17</v>
      </c>
      <c r="E3220" s="30" t="s">
        <v>31</v>
      </c>
      <c r="F3220" s="30" t="s">
        <v>32</v>
      </c>
      <c r="G3220" s="30" t="s">
        <v>112</v>
      </c>
      <c r="H3220" s="32">
        <v>0</v>
      </c>
      <c r="I3220" s="30" t="s">
        <v>21</v>
      </c>
      <c r="J3220" s="41">
        <v>43983</v>
      </c>
      <c r="K3220" s="30" t="s">
        <v>22</v>
      </c>
    </row>
    <row r="3221" spans="1:11">
      <c r="A3221" s="33" t="s">
        <v>7848</v>
      </c>
      <c r="B3221" s="33" t="s">
        <v>7849</v>
      </c>
      <c r="C3221" s="33" t="s">
        <v>7850</v>
      </c>
      <c r="D3221" s="33" t="s">
        <v>17</v>
      </c>
      <c r="E3221" s="33" t="s">
        <v>31</v>
      </c>
      <c r="F3221" s="33" t="s">
        <v>32</v>
      </c>
      <c r="G3221" s="33" t="s">
        <v>112</v>
      </c>
      <c r="H3221" s="35">
        <v>0</v>
      </c>
      <c r="I3221" s="33" t="s">
        <v>21</v>
      </c>
      <c r="J3221" s="42">
        <v>44013</v>
      </c>
      <c r="K3221" s="33" t="s">
        <v>22</v>
      </c>
    </row>
    <row r="3222" spans="1:11">
      <c r="A3222" s="30" t="s">
        <v>7851</v>
      </c>
      <c r="B3222" s="30" t="s">
        <v>7852</v>
      </c>
      <c r="C3222" s="30" t="s">
        <v>4967</v>
      </c>
      <c r="D3222" s="30" t="s">
        <v>17</v>
      </c>
      <c r="E3222" s="30" t="s">
        <v>26</v>
      </c>
      <c r="F3222" s="30" t="s">
        <v>27</v>
      </c>
      <c r="G3222" s="30" t="s">
        <v>106</v>
      </c>
      <c r="H3222" s="32">
        <v>48</v>
      </c>
      <c r="I3222" s="30" t="s">
        <v>21</v>
      </c>
      <c r="J3222" s="41">
        <v>43951</v>
      </c>
      <c r="K3222" s="30" t="s">
        <v>22</v>
      </c>
    </row>
    <row r="3223" spans="1:11">
      <c r="A3223" s="33" t="s">
        <v>7853</v>
      </c>
      <c r="B3223" s="33" t="s">
        <v>7854</v>
      </c>
      <c r="C3223" s="33" t="s">
        <v>966</v>
      </c>
      <c r="D3223" s="33" t="s">
        <v>17</v>
      </c>
      <c r="E3223" s="33" t="s">
        <v>26</v>
      </c>
      <c r="F3223" s="33" t="s">
        <v>27</v>
      </c>
      <c r="G3223" s="33" t="s">
        <v>20</v>
      </c>
      <c r="H3223" s="35">
        <v>24</v>
      </c>
      <c r="I3223" s="33" t="s">
        <v>21</v>
      </c>
      <c r="J3223" s="42">
        <v>44113</v>
      </c>
      <c r="K3223" s="33" t="s">
        <v>22</v>
      </c>
    </row>
    <row r="3224" spans="1:11">
      <c r="A3224" s="30" t="s">
        <v>7855</v>
      </c>
      <c r="B3224" s="30" t="s">
        <v>7856</v>
      </c>
      <c r="C3224" s="30" t="s">
        <v>647</v>
      </c>
      <c r="D3224" s="30" t="s">
        <v>17</v>
      </c>
      <c r="E3224" s="30" t="s">
        <v>18</v>
      </c>
      <c r="F3224" s="30" t="s">
        <v>19</v>
      </c>
      <c r="G3224" s="30" t="s">
        <v>158</v>
      </c>
      <c r="H3224" s="32">
        <v>520</v>
      </c>
      <c r="I3224" s="30" t="s">
        <v>51</v>
      </c>
      <c r="J3224" s="41">
        <v>43970</v>
      </c>
      <c r="K3224" s="30" t="s">
        <v>22</v>
      </c>
    </row>
    <row r="3225" spans="1:11">
      <c r="A3225" s="33" t="s">
        <v>7857</v>
      </c>
      <c r="B3225" s="33" t="s">
        <v>7858</v>
      </c>
      <c r="C3225" s="33" t="s">
        <v>2913</v>
      </c>
      <c r="D3225" s="33" t="s">
        <v>17</v>
      </c>
      <c r="E3225" s="33" t="s">
        <v>31</v>
      </c>
      <c r="F3225" s="33" t="s">
        <v>32</v>
      </c>
      <c r="G3225" s="33" t="s">
        <v>112</v>
      </c>
      <c r="H3225" s="35">
        <v>0</v>
      </c>
      <c r="I3225" s="33" t="s">
        <v>21</v>
      </c>
      <c r="J3225" s="42">
        <v>44166</v>
      </c>
      <c r="K3225" s="33" t="s">
        <v>22</v>
      </c>
    </row>
    <row r="3226" spans="1:11">
      <c r="A3226" s="30" t="s">
        <v>7859</v>
      </c>
      <c r="B3226" s="30" t="s">
        <v>7860</v>
      </c>
      <c r="C3226" s="30" t="s">
        <v>7861</v>
      </c>
      <c r="D3226" s="30" t="s">
        <v>17</v>
      </c>
      <c r="E3226" s="30" t="s">
        <v>26</v>
      </c>
      <c r="F3226" s="30" t="s">
        <v>27</v>
      </c>
      <c r="G3226" s="30" t="s">
        <v>20</v>
      </c>
      <c r="H3226" s="32">
        <v>36</v>
      </c>
      <c r="I3226" s="30" t="s">
        <v>21</v>
      </c>
      <c r="J3226" s="41">
        <v>43889</v>
      </c>
      <c r="K3226" s="30" t="s">
        <v>22</v>
      </c>
    </row>
    <row r="3227" spans="1:11">
      <c r="A3227" s="33" t="s">
        <v>7862</v>
      </c>
      <c r="B3227" s="33" t="s">
        <v>7863</v>
      </c>
      <c r="C3227" s="33" t="s">
        <v>93</v>
      </c>
      <c r="D3227" s="33" t="s">
        <v>17</v>
      </c>
      <c r="E3227" s="33" t="s">
        <v>31</v>
      </c>
      <c r="F3227" s="33" t="s">
        <v>32</v>
      </c>
      <c r="G3227" s="33" t="s">
        <v>158</v>
      </c>
      <c r="H3227" s="35">
        <v>139</v>
      </c>
      <c r="I3227" s="33" t="s">
        <v>21</v>
      </c>
      <c r="J3227" s="42">
        <v>44155</v>
      </c>
      <c r="K3227" s="33" t="s">
        <v>22</v>
      </c>
    </row>
    <row r="3228" spans="1:11">
      <c r="A3228" s="30" t="s">
        <v>7864</v>
      </c>
      <c r="B3228" s="30" t="s">
        <v>7865</v>
      </c>
      <c r="C3228" s="30" t="s">
        <v>7866</v>
      </c>
      <c r="D3228" s="30" t="s">
        <v>17</v>
      </c>
      <c r="E3228" s="30" t="s">
        <v>212</v>
      </c>
      <c r="F3228" s="30" t="s">
        <v>213</v>
      </c>
      <c r="G3228" s="30" t="s">
        <v>20</v>
      </c>
      <c r="H3228" s="32">
        <v>50</v>
      </c>
      <c r="I3228" s="30" t="s">
        <v>21</v>
      </c>
      <c r="J3228" s="41">
        <v>44104</v>
      </c>
      <c r="K3228" s="30" t="s">
        <v>22</v>
      </c>
    </row>
    <row r="3229" spans="1:11">
      <c r="A3229" s="33" t="s">
        <v>7867</v>
      </c>
      <c r="B3229" s="33" t="s">
        <v>7868</v>
      </c>
      <c r="C3229" s="33" t="s">
        <v>4345</v>
      </c>
      <c r="D3229" s="33" t="s">
        <v>17</v>
      </c>
      <c r="E3229" s="33" t="s">
        <v>31</v>
      </c>
      <c r="F3229" s="33" t="s">
        <v>32</v>
      </c>
      <c r="G3229" s="33" t="s">
        <v>106</v>
      </c>
      <c r="H3229" s="35">
        <v>29</v>
      </c>
      <c r="I3229" s="33" t="s">
        <v>21</v>
      </c>
      <c r="J3229" s="42">
        <v>44098</v>
      </c>
      <c r="K3229" s="33" t="s">
        <v>22</v>
      </c>
    </row>
    <row r="3230" spans="1:11">
      <c r="A3230" s="30" t="s">
        <v>7869</v>
      </c>
      <c r="B3230" s="30" t="s">
        <v>7870</v>
      </c>
      <c r="C3230" s="30" t="s">
        <v>6202</v>
      </c>
      <c r="D3230" s="30" t="s">
        <v>17</v>
      </c>
      <c r="E3230" s="30" t="s">
        <v>18</v>
      </c>
      <c r="F3230" s="30" t="s">
        <v>19</v>
      </c>
      <c r="G3230" s="30" t="s">
        <v>20</v>
      </c>
      <c r="H3230" s="32">
        <v>1620</v>
      </c>
      <c r="I3230" s="30" t="s">
        <v>21</v>
      </c>
      <c r="J3230" s="41">
        <v>44053</v>
      </c>
      <c r="K3230" s="30" t="s">
        <v>22</v>
      </c>
    </row>
    <row r="3231" spans="1:11">
      <c r="A3231" s="33" t="s">
        <v>7871</v>
      </c>
      <c r="B3231" s="33" t="s">
        <v>7872</v>
      </c>
      <c r="C3231" s="33" t="s">
        <v>7873</v>
      </c>
      <c r="D3231" s="33" t="s">
        <v>17</v>
      </c>
      <c r="E3231" s="33" t="s">
        <v>31</v>
      </c>
      <c r="F3231" s="33" t="s">
        <v>32</v>
      </c>
      <c r="G3231" s="33" t="s">
        <v>20</v>
      </c>
      <c r="H3231" s="35">
        <v>295</v>
      </c>
      <c r="I3231" s="33" t="s">
        <v>21</v>
      </c>
      <c r="J3231" s="42">
        <v>44144</v>
      </c>
      <c r="K3231" s="33" t="s">
        <v>22</v>
      </c>
    </row>
    <row r="3232" spans="1:11">
      <c r="A3232" s="30" t="s">
        <v>7874</v>
      </c>
      <c r="B3232" s="30" t="s">
        <v>7875</v>
      </c>
      <c r="C3232" s="30" t="s">
        <v>2660</v>
      </c>
      <c r="D3232" s="30" t="s">
        <v>17</v>
      </c>
      <c r="E3232" s="30" t="s">
        <v>26</v>
      </c>
      <c r="F3232" s="30" t="s">
        <v>27</v>
      </c>
      <c r="G3232" s="30" t="s">
        <v>20</v>
      </c>
      <c r="H3232" s="32">
        <v>36</v>
      </c>
      <c r="I3232" s="30" t="s">
        <v>21</v>
      </c>
      <c r="J3232" s="41">
        <v>44039</v>
      </c>
      <c r="K3232" s="30" t="s">
        <v>22</v>
      </c>
    </row>
    <row r="3233" spans="1:11">
      <c r="A3233" s="33" t="s">
        <v>7876</v>
      </c>
      <c r="B3233" s="33" t="s">
        <v>7877</v>
      </c>
      <c r="C3233" s="33" t="s">
        <v>2363</v>
      </c>
      <c r="D3233" s="33" t="s">
        <v>17</v>
      </c>
      <c r="E3233" s="33" t="s">
        <v>45</v>
      </c>
      <c r="F3233" s="33" t="s">
        <v>46</v>
      </c>
      <c r="G3233" s="33" t="s">
        <v>20</v>
      </c>
      <c r="H3233" s="35">
        <v>168</v>
      </c>
      <c r="I3233" s="33" t="s">
        <v>21</v>
      </c>
      <c r="J3233" s="42">
        <v>44048</v>
      </c>
      <c r="K3233" s="33" t="s">
        <v>22</v>
      </c>
    </row>
    <row r="3234" spans="1:11">
      <c r="A3234" s="30" t="s">
        <v>7878</v>
      </c>
      <c r="B3234" s="30" t="s">
        <v>7879</v>
      </c>
      <c r="C3234" s="30" t="s">
        <v>7880</v>
      </c>
      <c r="D3234" s="30" t="s">
        <v>17</v>
      </c>
      <c r="E3234" s="30" t="s">
        <v>67</v>
      </c>
      <c r="F3234" s="30" t="s">
        <v>68</v>
      </c>
      <c r="G3234" s="30" t="s">
        <v>50</v>
      </c>
      <c r="H3234" s="32">
        <v>132</v>
      </c>
      <c r="I3234" s="30" t="s">
        <v>51</v>
      </c>
      <c r="J3234" s="41">
        <v>43922</v>
      </c>
      <c r="K3234" s="30" t="s">
        <v>22</v>
      </c>
    </row>
    <row r="3235" spans="1:11">
      <c r="A3235" s="33" t="s">
        <v>7881</v>
      </c>
      <c r="B3235" s="33" t="s">
        <v>7882</v>
      </c>
      <c r="C3235" s="33" t="s">
        <v>109</v>
      </c>
      <c r="D3235" s="33" t="s">
        <v>17</v>
      </c>
      <c r="E3235" s="33" t="s">
        <v>31</v>
      </c>
      <c r="F3235" s="33" t="s">
        <v>32</v>
      </c>
      <c r="G3235" s="33" t="s">
        <v>20</v>
      </c>
      <c r="H3235" s="35">
        <v>62</v>
      </c>
      <c r="I3235" s="33" t="s">
        <v>21</v>
      </c>
      <c r="J3235" s="42">
        <v>44097</v>
      </c>
      <c r="K3235" s="33" t="s">
        <v>22</v>
      </c>
    </row>
    <row r="3236" spans="1:11">
      <c r="A3236" s="30" t="s">
        <v>7883</v>
      </c>
      <c r="B3236" s="30" t="s">
        <v>7884</v>
      </c>
      <c r="C3236" s="30" t="s">
        <v>1216</v>
      </c>
      <c r="D3236" s="30" t="s">
        <v>17</v>
      </c>
      <c r="E3236" s="30" t="s">
        <v>31</v>
      </c>
      <c r="F3236" s="30" t="s">
        <v>32</v>
      </c>
      <c r="G3236" s="30" t="s">
        <v>50</v>
      </c>
      <c r="H3236" s="32">
        <v>300</v>
      </c>
      <c r="I3236" s="30" t="s">
        <v>51</v>
      </c>
      <c r="J3236" s="41">
        <v>44012</v>
      </c>
      <c r="K3236" s="30" t="s">
        <v>22</v>
      </c>
    </row>
    <row r="3237" spans="1:11">
      <c r="A3237" s="33" t="s">
        <v>7885</v>
      </c>
      <c r="B3237" s="33" t="s">
        <v>7886</v>
      </c>
      <c r="C3237" s="33" t="s">
        <v>7887</v>
      </c>
      <c r="D3237" s="33" t="s">
        <v>17</v>
      </c>
      <c r="E3237" s="33" t="s">
        <v>45</v>
      </c>
      <c r="F3237" s="33" t="s">
        <v>46</v>
      </c>
      <c r="G3237" s="33" t="s">
        <v>20</v>
      </c>
      <c r="H3237" s="35">
        <v>120</v>
      </c>
      <c r="I3237" s="33" t="s">
        <v>21</v>
      </c>
      <c r="J3237" s="42">
        <v>43952</v>
      </c>
      <c r="K3237" s="33" t="s">
        <v>22</v>
      </c>
    </row>
    <row r="3238" spans="1:11">
      <c r="A3238" s="30" t="s">
        <v>7888</v>
      </c>
      <c r="B3238" s="30" t="s">
        <v>7889</v>
      </c>
      <c r="C3238" s="30" t="s">
        <v>2234</v>
      </c>
      <c r="D3238" s="30" t="s">
        <v>17</v>
      </c>
      <c r="E3238" s="30" t="s">
        <v>212</v>
      </c>
      <c r="F3238" s="30" t="s">
        <v>213</v>
      </c>
      <c r="G3238" s="30" t="s">
        <v>158</v>
      </c>
      <c r="H3238" s="32">
        <v>150</v>
      </c>
      <c r="I3238" s="30" t="s">
        <v>51</v>
      </c>
      <c r="J3238" s="41">
        <v>44119</v>
      </c>
      <c r="K3238" s="30" t="s">
        <v>22</v>
      </c>
    </row>
    <row r="3239" spans="1:11">
      <c r="A3239" s="33" t="s">
        <v>7890</v>
      </c>
      <c r="B3239" s="33" t="s">
        <v>7891</v>
      </c>
      <c r="C3239" s="33" t="s">
        <v>7892</v>
      </c>
      <c r="D3239" s="33" t="s">
        <v>17</v>
      </c>
      <c r="E3239" s="33" t="s">
        <v>18</v>
      </c>
      <c r="F3239" s="33" t="s">
        <v>19</v>
      </c>
      <c r="G3239" s="33" t="s">
        <v>50</v>
      </c>
      <c r="H3239" s="35">
        <v>217</v>
      </c>
      <c r="I3239" s="33" t="s">
        <v>21</v>
      </c>
      <c r="J3239" s="42">
        <v>44019</v>
      </c>
      <c r="K3239" s="33" t="s">
        <v>22</v>
      </c>
    </row>
    <row r="3240" spans="1:11">
      <c r="A3240" s="30" t="s">
        <v>7893</v>
      </c>
      <c r="B3240" s="30" t="s">
        <v>7894</v>
      </c>
      <c r="C3240" s="30" t="s">
        <v>1136</v>
      </c>
      <c r="D3240" s="30" t="s">
        <v>17</v>
      </c>
      <c r="E3240" s="30" t="s">
        <v>18</v>
      </c>
      <c r="F3240" s="30" t="s">
        <v>19</v>
      </c>
      <c r="G3240" s="30" t="s">
        <v>20</v>
      </c>
      <c r="H3240" s="32">
        <v>460</v>
      </c>
      <c r="I3240" s="30" t="s">
        <v>21</v>
      </c>
      <c r="J3240" s="41">
        <v>44010</v>
      </c>
      <c r="K3240" s="30" t="s">
        <v>22</v>
      </c>
    </row>
    <row r="3241" spans="1:11">
      <c r="A3241" s="33" t="s">
        <v>7895</v>
      </c>
      <c r="B3241" s="33" t="s">
        <v>7896</v>
      </c>
      <c r="C3241" s="33" t="s">
        <v>7897</v>
      </c>
      <c r="D3241" s="33" t="s">
        <v>17</v>
      </c>
      <c r="E3241" s="33" t="s">
        <v>67</v>
      </c>
      <c r="F3241" s="33" t="s">
        <v>68</v>
      </c>
      <c r="G3241" s="33" t="s">
        <v>20</v>
      </c>
      <c r="H3241" s="35">
        <v>6</v>
      </c>
      <c r="I3241" s="33" t="s">
        <v>21</v>
      </c>
      <c r="J3241" s="42">
        <v>43917</v>
      </c>
      <c r="K3241" s="33" t="s">
        <v>22</v>
      </c>
    </row>
    <row r="3242" spans="1:11">
      <c r="A3242" s="30" t="s">
        <v>7898</v>
      </c>
      <c r="B3242" s="30" t="s">
        <v>7899</v>
      </c>
      <c r="C3242" s="30" t="s">
        <v>7900</v>
      </c>
      <c r="D3242" s="30" t="s">
        <v>17</v>
      </c>
      <c r="E3242" s="30" t="s">
        <v>26</v>
      </c>
      <c r="F3242" s="30" t="s">
        <v>27</v>
      </c>
      <c r="G3242" s="30" t="s">
        <v>20</v>
      </c>
      <c r="H3242" s="32">
        <v>12</v>
      </c>
      <c r="I3242" s="30" t="s">
        <v>21</v>
      </c>
      <c r="J3242" s="41">
        <v>43839</v>
      </c>
      <c r="K3242" s="30" t="s">
        <v>22</v>
      </c>
    </row>
    <row r="3243" spans="1:11">
      <c r="A3243" s="33" t="s">
        <v>7901</v>
      </c>
      <c r="B3243" s="33" t="s">
        <v>7902</v>
      </c>
      <c r="C3243" s="33" t="s">
        <v>899</v>
      </c>
      <c r="D3243" s="33" t="s">
        <v>17</v>
      </c>
      <c r="E3243" s="33" t="s">
        <v>26</v>
      </c>
      <c r="F3243" s="33" t="s">
        <v>27</v>
      </c>
      <c r="G3243" s="33" t="s">
        <v>20</v>
      </c>
      <c r="H3243" s="35">
        <v>50</v>
      </c>
      <c r="I3243" s="33" t="s">
        <v>21</v>
      </c>
      <c r="J3243" s="42">
        <v>44004</v>
      </c>
      <c r="K3243" s="33" t="s">
        <v>22</v>
      </c>
    </row>
    <row r="3244" spans="1:11">
      <c r="A3244" s="30" t="s">
        <v>7903</v>
      </c>
      <c r="B3244" s="30" t="s">
        <v>7904</v>
      </c>
      <c r="C3244" s="30" t="s">
        <v>318</v>
      </c>
      <c r="D3244" s="30" t="s">
        <v>17</v>
      </c>
      <c r="E3244" s="30" t="s">
        <v>26</v>
      </c>
      <c r="F3244" s="30" t="s">
        <v>27</v>
      </c>
      <c r="G3244" s="30" t="s">
        <v>20</v>
      </c>
      <c r="H3244" s="32">
        <v>14</v>
      </c>
      <c r="I3244" s="30" t="s">
        <v>21</v>
      </c>
      <c r="J3244" s="41">
        <v>44029</v>
      </c>
      <c r="K3244" s="30" t="s">
        <v>22</v>
      </c>
    </row>
    <row r="3245" spans="1:11">
      <c r="A3245" s="33" t="s">
        <v>7905</v>
      </c>
      <c r="B3245" s="33" t="s">
        <v>7906</v>
      </c>
      <c r="C3245" s="33" t="s">
        <v>549</v>
      </c>
      <c r="D3245" s="33" t="s">
        <v>17</v>
      </c>
      <c r="E3245" s="33" t="s">
        <v>26</v>
      </c>
      <c r="F3245" s="33" t="s">
        <v>27</v>
      </c>
      <c r="G3245" s="33" t="s">
        <v>112</v>
      </c>
      <c r="H3245" s="35">
        <v>0</v>
      </c>
      <c r="I3245" s="33" t="s">
        <v>21</v>
      </c>
      <c r="J3245" s="42">
        <v>43885</v>
      </c>
      <c r="K3245" s="33" t="s">
        <v>22</v>
      </c>
    </row>
    <row r="3246" spans="1:11">
      <c r="A3246" s="30" t="s">
        <v>7907</v>
      </c>
      <c r="B3246" s="30" t="s">
        <v>7908</v>
      </c>
      <c r="C3246" s="30" t="s">
        <v>178</v>
      </c>
      <c r="D3246" s="30" t="s">
        <v>17</v>
      </c>
      <c r="E3246" s="30" t="s">
        <v>18</v>
      </c>
      <c r="F3246" s="30" t="s">
        <v>19</v>
      </c>
      <c r="G3246" s="30" t="s">
        <v>158</v>
      </c>
      <c r="H3246" s="32">
        <v>864</v>
      </c>
      <c r="I3246" s="30" t="s">
        <v>21</v>
      </c>
      <c r="J3246" s="41">
        <v>44161</v>
      </c>
      <c r="K3246" s="30" t="s">
        <v>22</v>
      </c>
    </row>
    <row r="3247" spans="1:11">
      <c r="A3247" s="33" t="s">
        <v>7909</v>
      </c>
      <c r="B3247" s="33" t="s">
        <v>7910</v>
      </c>
      <c r="C3247" s="33" t="s">
        <v>7911</v>
      </c>
      <c r="D3247" s="33" t="s">
        <v>17</v>
      </c>
      <c r="E3247" s="33" t="s">
        <v>26</v>
      </c>
      <c r="F3247" s="33" t="s">
        <v>27</v>
      </c>
      <c r="G3247" s="33" t="s">
        <v>106</v>
      </c>
      <c r="H3247" s="35">
        <v>18</v>
      </c>
      <c r="I3247" s="33" t="s">
        <v>21</v>
      </c>
      <c r="J3247" s="42">
        <v>44130</v>
      </c>
      <c r="K3247" s="33" t="s">
        <v>22</v>
      </c>
    </row>
    <row r="3248" spans="1:11">
      <c r="A3248" s="30" t="s">
        <v>7912</v>
      </c>
      <c r="B3248" s="30" t="s">
        <v>7913</v>
      </c>
      <c r="C3248" s="30" t="s">
        <v>178</v>
      </c>
      <c r="D3248" s="30" t="s">
        <v>17</v>
      </c>
      <c r="E3248" s="30" t="s">
        <v>18</v>
      </c>
      <c r="F3248" s="30" t="s">
        <v>19</v>
      </c>
      <c r="G3248" s="30" t="s">
        <v>20</v>
      </c>
      <c r="H3248" s="32">
        <v>490</v>
      </c>
      <c r="I3248" s="30" t="s">
        <v>21</v>
      </c>
      <c r="J3248" s="41">
        <v>43865</v>
      </c>
      <c r="K3248" s="30" t="s">
        <v>22</v>
      </c>
    </row>
    <row r="3249" spans="1:11">
      <c r="A3249" s="33" t="s">
        <v>7914</v>
      </c>
      <c r="B3249" s="33" t="s">
        <v>7915</v>
      </c>
      <c r="C3249" s="33" t="s">
        <v>7916</v>
      </c>
      <c r="D3249" s="33" t="s">
        <v>17</v>
      </c>
      <c r="E3249" s="33" t="s">
        <v>18</v>
      </c>
      <c r="F3249" s="33" t="s">
        <v>19</v>
      </c>
      <c r="G3249" s="33" t="s">
        <v>50</v>
      </c>
      <c r="H3249" s="35">
        <v>282</v>
      </c>
      <c r="I3249" s="33" t="s">
        <v>51</v>
      </c>
      <c r="J3249" s="42">
        <v>44110</v>
      </c>
      <c r="K3249" s="33" t="s">
        <v>22</v>
      </c>
    </row>
    <row r="3250" spans="1:11">
      <c r="A3250" s="30" t="s">
        <v>7917</v>
      </c>
      <c r="B3250" s="30" t="s">
        <v>7918</v>
      </c>
      <c r="C3250" s="30" t="s">
        <v>774</v>
      </c>
      <c r="D3250" s="30" t="s">
        <v>17</v>
      </c>
      <c r="E3250" s="30" t="s">
        <v>26</v>
      </c>
      <c r="F3250" s="30" t="s">
        <v>27</v>
      </c>
      <c r="G3250" s="30" t="s">
        <v>158</v>
      </c>
      <c r="H3250" s="32">
        <v>72</v>
      </c>
      <c r="I3250" s="30" t="s">
        <v>21</v>
      </c>
      <c r="J3250" s="41">
        <v>43892</v>
      </c>
      <c r="K3250" s="30" t="s">
        <v>22</v>
      </c>
    </row>
    <row r="3251" spans="1:11">
      <c r="A3251" s="33" t="s">
        <v>7919</v>
      </c>
      <c r="B3251" s="33" t="s">
        <v>7920</v>
      </c>
      <c r="C3251" s="33" t="s">
        <v>1102</v>
      </c>
      <c r="D3251" s="33" t="s">
        <v>17</v>
      </c>
      <c r="E3251" s="33" t="s">
        <v>26</v>
      </c>
      <c r="F3251" s="33" t="s">
        <v>27</v>
      </c>
      <c r="G3251" s="33" t="s">
        <v>50</v>
      </c>
      <c r="H3251" s="35">
        <v>75</v>
      </c>
      <c r="I3251" s="33" t="s">
        <v>51</v>
      </c>
      <c r="J3251" s="42">
        <v>43965</v>
      </c>
      <c r="K3251" s="33" t="s">
        <v>22</v>
      </c>
    </row>
    <row r="3252" spans="1:11">
      <c r="A3252" s="30" t="s">
        <v>7921</v>
      </c>
      <c r="B3252" s="30" t="s">
        <v>7922</v>
      </c>
      <c r="C3252" s="30" t="s">
        <v>1469</v>
      </c>
      <c r="D3252" s="30" t="s">
        <v>17</v>
      </c>
      <c r="E3252" s="30" t="s">
        <v>31</v>
      </c>
      <c r="F3252" s="30" t="s">
        <v>32</v>
      </c>
      <c r="G3252" s="30" t="s">
        <v>20</v>
      </c>
      <c r="H3252" s="32">
        <v>242</v>
      </c>
      <c r="I3252" s="30" t="s">
        <v>21</v>
      </c>
      <c r="J3252" s="41">
        <v>43895</v>
      </c>
      <c r="K3252" s="30" t="s">
        <v>22</v>
      </c>
    </row>
    <row r="3253" spans="1:11">
      <c r="A3253" s="33" t="s">
        <v>7923</v>
      </c>
      <c r="B3253" s="33" t="s">
        <v>7924</v>
      </c>
      <c r="C3253" s="33" t="s">
        <v>118</v>
      </c>
      <c r="D3253" s="33" t="s">
        <v>17</v>
      </c>
      <c r="E3253" s="33" t="s">
        <v>31</v>
      </c>
      <c r="F3253" s="33" t="s">
        <v>32</v>
      </c>
      <c r="G3253" s="33" t="s">
        <v>106</v>
      </c>
      <c r="H3253" s="35">
        <v>90</v>
      </c>
      <c r="I3253" s="33" t="s">
        <v>21</v>
      </c>
      <c r="J3253" s="42">
        <v>44019</v>
      </c>
      <c r="K3253" s="33" t="s">
        <v>22</v>
      </c>
    </row>
    <row r="3254" spans="1:11">
      <c r="A3254" s="30" t="s">
        <v>7925</v>
      </c>
      <c r="B3254" s="30" t="s">
        <v>7926</v>
      </c>
      <c r="C3254" s="30" t="s">
        <v>1598</v>
      </c>
      <c r="D3254" s="30" t="s">
        <v>17</v>
      </c>
      <c r="E3254" s="30" t="s">
        <v>31</v>
      </c>
      <c r="F3254" s="30" t="s">
        <v>32</v>
      </c>
      <c r="G3254" s="30" t="s">
        <v>20</v>
      </c>
      <c r="H3254" s="32">
        <v>205</v>
      </c>
      <c r="I3254" s="30" t="s">
        <v>21</v>
      </c>
      <c r="J3254" s="41">
        <v>44173</v>
      </c>
      <c r="K3254" s="30" t="s">
        <v>22</v>
      </c>
    </row>
    <row r="3255" spans="1:11">
      <c r="A3255" s="33" t="s">
        <v>7927</v>
      </c>
      <c r="B3255" s="33" t="s">
        <v>7928</v>
      </c>
      <c r="C3255" s="33" t="s">
        <v>96</v>
      </c>
      <c r="D3255" s="33" t="s">
        <v>17</v>
      </c>
      <c r="E3255" s="33" t="s">
        <v>26</v>
      </c>
      <c r="F3255" s="33" t="s">
        <v>27</v>
      </c>
      <c r="G3255" s="33" t="s">
        <v>106</v>
      </c>
      <c r="H3255" s="35">
        <v>1</v>
      </c>
      <c r="I3255" s="33" t="s">
        <v>21</v>
      </c>
      <c r="J3255" s="42">
        <v>44046</v>
      </c>
      <c r="K3255" s="33" t="s">
        <v>22</v>
      </c>
    </row>
    <row r="3256" spans="1:11">
      <c r="A3256" s="30" t="s">
        <v>7929</v>
      </c>
      <c r="B3256" s="30" t="s">
        <v>7930</v>
      </c>
      <c r="C3256" s="30" t="s">
        <v>362</v>
      </c>
      <c r="D3256" s="30" t="s">
        <v>17</v>
      </c>
      <c r="E3256" s="30" t="s">
        <v>31</v>
      </c>
      <c r="F3256" s="30" t="s">
        <v>32</v>
      </c>
      <c r="G3256" s="30" t="s">
        <v>20</v>
      </c>
      <c r="H3256" s="32">
        <v>28</v>
      </c>
      <c r="I3256" s="30" t="s">
        <v>21</v>
      </c>
      <c r="J3256" s="41">
        <v>44116</v>
      </c>
      <c r="K3256" s="30" t="s">
        <v>22</v>
      </c>
    </row>
    <row r="3257" spans="1:11">
      <c r="A3257" s="33" t="s">
        <v>7931</v>
      </c>
      <c r="B3257" s="33" t="s">
        <v>7932</v>
      </c>
      <c r="C3257" s="33" t="s">
        <v>118</v>
      </c>
      <c r="D3257" s="33" t="s">
        <v>17</v>
      </c>
      <c r="E3257" s="33" t="s">
        <v>26</v>
      </c>
      <c r="F3257" s="33" t="s">
        <v>27</v>
      </c>
      <c r="G3257" s="33" t="s">
        <v>20</v>
      </c>
      <c r="H3257" s="35">
        <v>36</v>
      </c>
      <c r="I3257" s="33" t="s">
        <v>21</v>
      </c>
      <c r="J3257" s="42">
        <v>43876</v>
      </c>
      <c r="K3257" s="33" t="s">
        <v>22</v>
      </c>
    </row>
    <row r="3258" spans="1:11">
      <c r="A3258" s="30" t="s">
        <v>7933</v>
      </c>
      <c r="B3258" s="30" t="s">
        <v>7934</v>
      </c>
      <c r="C3258" s="30" t="s">
        <v>7935</v>
      </c>
      <c r="D3258" s="30" t="s">
        <v>17</v>
      </c>
      <c r="E3258" s="30" t="s">
        <v>31</v>
      </c>
      <c r="F3258" s="30" t="s">
        <v>32</v>
      </c>
      <c r="G3258" s="30" t="s">
        <v>20</v>
      </c>
      <c r="H3258" s="32">
        <v>150</v>
      </c>
      <c r="I3258" s="30" t="s">
        <v>21</v>
      </c>
      <c r="J3258" s="41">
        <v>43991</v>
      </c>
      <c r="K3258" s="30" t="s">
        <v>22</v>
      </c>
    </row>
    <row r="3259" spans="1:11">
      <c r="A3259" s="33" t="s">
        <v>7936</v>
      </c>
      <c r="B3259" s="33" t="s">
        <v>7937</v>
      </c>
      <c r="C3259" s="33" t="s">
        <v>7938</v>
      </c>
      <c r="D3259" s="33" t="s">
        <v>17</v>
      </c>
      <c r="E3259" s="33" t="s">
        <v>31</v>
      </c>
      <c r="F3259" s="33" t="s">
        <v>32</v>
      </c>
      <c r="G3259" s="33" t="s">
        <v>20</v>
      </c>
      <c r="H3259" s="35">
        <v>166</v>
      </c>
      <c r="I3259" s="33" t="s">
        <v>21</v>
      </c>
      <c r="J3259" s="42">
        <v>44110</v>
      </c>
      <c r="K3259" s="33" t="s">
        <v>22</v>
      </c>
    </row>
    <row r="3260" spans="1:11">
      <c r="A3260" s="30" t="s">
        <v>7939</v>
      </c>
      <c r="B3260" s="30" t="s">
        <v>7940</v>
      </c>
      <c r="C3260" s="30" t="s">
        <v>6148</v>
      </c>
      <c r="D3260" s="30" t="s">
        <v>17</v>
      </c>
      <c r="E3260" s="30" t="s">
        <v>26</v>
      </c>
      <c r="F3260" s="30" t="s">
        <v>27</v>
      </c>
      <c r="G3260" s="30" t="s">
        <v>140</v>
      </c>
      <c r="H3260" s="32">
        <v>40</v>
      </c>
      <c r="I3260" s="30" t="s">
        <v>51</v>
      </c>
      <c r="J3260" s="41">
        <v>44185</v>
      </c>
      <c r="K3260" s="30" t="s">
        <v>22</v>
      </c>
    </row>
    <row r="3261" spans="1:11">
      <c r="A3261" s="33" t="s">
        <v>7941</v>
      </c>
      <c r="B3261" s="33" t="s">
        <v>7942</v>
      </c>
      <c r="C3261" s="33" t="s">
        <v>252</v>
      </c>
      <c r="D3261" s="33" t="s">
        <v>17</v>
      </c>
      <c r="E3261" s="33" t="s">
        <v>67</v>
      </c>
      <c r="F3261" s="33" t="s">
        <v>68</v>
      </c>
      <c r="G3261" s="33" t="s">
        <v>20</v>
      </c>
      <c r="H3261" s="35">
        <v>114</v>
      </c>
      <c r="I3261" s="33" t="s">
        <v>21</v>
      </c>
      <c r="J3261" s="42">
        <v>44153</v>
      </c>
      <c r="K3261" s="33" t="s">
        <v>22</v>
      </c>
    </row>
    <row r="3262" spans="1:11">
      <c r="A3262" s="30" t="s">
        <v>7943</v>
      </c>
      <c r="B3262" s="30" t="s">
        <v>7944</v>
      </c>
      <c r="C3262" s="30" t="s">
        <v>951</v>
      </c>
      <c r="D3262" s="30" t="s">
        <v>17</v>
      </c>
      <c r="E3262" s="30" t="s">
        <v>67</v>
      </c>
      <c r="F3262" s="30" t="s">
        <v>68</v>
      </c>
      <c r="G3262" s="30" t="s">
        <v>20</v>
      </c>
      <c r="H3262" s="32">
        <v>36</v>
      </c>
      <c r="I3262" s="30" t="s">
        <v>21</v>
      </c>
      <c r="J3262" s="41">
        <v>44095</v>
      </c>
      <c r="K3262" s="30" t="s">
        <v>22</v>
      </c>
    </row>
    <row r="3263" spans="1:11">
      <c r="A3263" s="33" t="s">
        <v>7945</v>
      </c>
      <c r="B3263" s="33" t="s">
        <v>7946</v>
      </c>
      <c r="C3263" s="33" t="s">
        <v>2156</v>
      </c>
      <c r="D3263" s="33" t="s">
        <v>17</v>
      </c>
      <c r="E3263" s="33" t="s">
        <v>26</v>
      </c>
      <c r="F3263" s="33" t="s">
        <v>27</v>
      </c>
      <c r="G3263" s="33" t="s">
        <v>20</v>
      </c>
      <c r="H3263" s="35">
        <v>6</v>
      </c>
      <c r="I3263" s="33" t="s">
        <v>21</v>
      </c>
      <c r="J3263" s="42">
        <v>44150</v>
      </c>
      <c r="K3263" s="33" t="s">
        <v>22</v>
      </c>
    </row>
    <row r="3264" spans="1:11">
      <c r="A3264" s="30" t="s">
        <v>7947</v>
      </c>
      <c r="B3264" s="30" t="s">
        <v>7948</v>
      </c>
      <c r="C3264" s="30" t="s">
        <v>7949</v>
      </c>
      <c r="D3264" s="30" t="s">
        <v>17</v>
      </c>
      <c r="E3264" s="30" t="s">
        <v>26</v>
      </c>
      <c r="F3264" s="30" t="s">
        <v>27</v>
      </c>
      <c r="G3264" s="30" t="s">
        <v>20</v>
      </c>
      <c r="H3264" s="32">
        <v>36</v>
      </c>
      <c r="I3264" s="30" t="s">
        <v>21</v>
      </c>
      <c r="J3264" s="41">
        <v>43977</v>
      </c>
      <c r="K3264" s="30" t="s">
        <v>22</v>
      </c>
    </row>
    <row r="3265" spans="1:11">
      <c r="A3265" s="33" t="s">
        <v>7950</v>
      </c>
      <c r="B3265" s="33" t="s">
        <v>7951</v>
      </c>
      <c r="C3265" s="33" t="s">
        <v>549</v>
      </c>
      <c r="D3265" s="33" t="s">
        <v>17</v>
      </c>
      <c r="E3265" s="33" t="s">
        <v>26</v>
      </c>
      <c r="F3265" s="33" t="s">
        <v>27</v>
      </c>
      <c r="G3265" s="33" t="s">
        <v>20</v>
      </c>
      <c r="H3265" s="35">
        <v>22</v>
      </c>
      <c r="I3265" s="33" t="s">
        <v>21</v>
      </c>
      <c r="J3265" s="42">
        <v>44001</v>
      </c>
      <c r="K3265" s="33" t="s">
        <v>22</v>
      </c>
    </row>
    <row r="3266" spans="1:11">
      <c r="A3266" s="30" t="s">
        <v>7952</v>
      </c>
      <c r="B3266" s="30" t="s">
        <v>7953</v>
      </c>
      <c r="C3266" s="30" t="s">
        <v>733</v>
      </c>
      <c r="D3266" s="30" t="s">
        <v>17</v>
      </c>
      <c r="E3266" s="30" t="s">
        <v>18</v>
      </c>
      <c r="F3266" s="30" t="s">
        <v>19</v>
      </c>
      <c r="G3266" s="30" t="s">
        <v>20</v>
      </c>
      <c r="H3266" s="32">
        <v>292</v>
      </c>
      <c r="I3266" s="30" t="s">
        <v>21</v>
      </c>
      <c r="J3266" s="41">
        <v>44098</v>
      </c>
      <c r="K3266" s="30" t="s">
        <v>22</v>
      </c>
    </row>
    <row r="3267" spans="1:11">
      <c r="A3267" s="33" t="s">
        <v>7954</v>
      </c>
      <c r="B3267" s="33" t="s">
        <v>7955</v>
      </c>
      <c r="C3267" s="33" t="s">
        <v>1598</v>
      </c>
      <c r="D3267" s="33" t="s">
        <v>17</v>
      </c>
      <c r="E3267" s="33" t="s">
        <v>18</v>
      </c>
      <c r="F3267" s="33" t="s">
        <v>19</v>
      </c>
      <c r="G3267" s="33" t="s">
        <v>106</v>
      </c>
      <c r="H3267" s="35">
        <v>136</v>
      </c>
      <c r="I3267" s="33" t="s">
        <v>21</v>
      </c>
      <c r="J3267" s="42">
        <v>43938</v>
      </c>
      <c r="K3267" s="33" t="s">
        <v>22</v>
      </c>
    </row>
    <row r="3268" spans="1:11">
      <c r="A3268" s="30" t="s">
        <v>7956</v>
      </c>
      <c r="B3268" s="30" t="s">
        <v>7957</v>
      </c>
      <c r="C3268" s="30" t="s">
        <v>7958</v>
      </c>
      <c r="D3268" s="30" t="s">
        <v>17</v>
      </c>
      <c r="E3268" s="30" t="s">
        <v>31</v>
      </c>
      <c r="F3268" s="30" t="s">
        <v>32</v>
      </c>
      <c r="G3268" s="30" t="s">
        <v>20</v>
      </c>
      <c r="H3268" s="32">
        <v>284</v>
      </c>
      <c r="I3268" s="30" t="s">
        <v>21</v>
      </c>
      <c r="J3268" s="41">
        <v>43873</v>
      </c>
      <c r="K3268" s="30" t="s">
        <v>22</v>
      </c>
    </row>
    <row r="3269" spans="1:11">
      <c r="A3269" s="33" t="s">
        <v>7959</v>
      </c>
      <c r="B3269" s="33" t="s">
        <v>7960</v>
      </c>
      <c r="C3269" s="33" t="s">
        <v>7304</v>
      </c>
      <c r="D3269" s="33" t="s">
        <v>17</v>
      </c>
      <c r="E3269" s="33" t="s">
        <v>67</v>
      </c>
      <c r="F3269" s="33" t="s">
        <v>68</v>
      </c>
      <c r="G3269" s="33" t="s">
        <v>20</v>
      </c>
      <c r="H3269" s="35">
        <v>25</v>
      </c>
      <c r="I3269" s="33" t="s">
        <v>21</v>
      </c>
      <c r="J3269" s="42">
        <v>44062</v>
      </c>
      <c r="K3269" s="33" t="s">
        <v>22</v>
      </c>
    </row>
    <row r="3270" spans="1:11">
      <c r="A3270" s="30" t="s">
        <v>7961</v>
      </c>
      <c r="B3270" s="30" t="s">
        <v>7962</v>
      </c>
      <c r="C3270" s="30" t="s">
        <v>3757</v>
      </c>
      <c r="D3270" s="30" t="s">
        <v>17</v>
      </c>
      <c r="E3270" s="30" t="s">
        <v>26</v>
      </c>
      <c r="F3270" s="30" t="s">
        <v>27</v>
      </c>
      <c r="G3270" s="30" t="s">
        <v>20</v>
      </c>
      <c r="H3270" s="32">
        <v>36</v>
      </c>
      <c r="I3270" s="30" t="s">
        <v>21</v>
      </c>
      <c r="J3270" s="41">
        <v>44095</v>
      </c>
      <c r="K3270" s="30" t="s">
        <v>22</v>
      </c>
    </row>
    <row r="3271" spans="1:11">
      <c r="A3271" s="33" t="s">
        <v>7963</v>
      </c>
      <c r="B3271" s="33" t="s">
        <v>7964</v>
      </c>
      <c r="C3271" s="33" t="s">
        <v>7965</v>
      </c>
      <c r="D3271" s="33" t="s">
        <v>17</v>
      </c>
      <c r="E3271" s="33" t="s">
        <v>31</v>
      </c>
      <c r="F3271" s="33" t="s">
        <v>32</v>
      </c>
      <c r="G3271" s="33" t="s">
        <v>20</v>
      </c>
      <c r="H3271" s="35">
        <v>20</v>
      </c>
      <c r="I3271" s="33" t="s">
        <v>21</v>
      </c>
      <c r="J3271" s="42">
        <v>43976</v>
      </c>
      <c r="K3271" s="33" t="s">
        <v>22</v>
      </c>
    </row>
    <row r="3272" spans="1:11">
      <c r="A3272" s="30" t="s">
        <v>7966</v>
      </c>
      <c r="B3272" s="30" t="s">
        <v>7967</v>
      </c>
      <c r="C3272" s="30" t="s">
        <v>1897</v>
      </c>
      <c r="D3272" s="30" t="s">
        <v>17</v>
      </c>
      <c r="E3272" s="30" t="s">
        <v>26</v>
      </c>
      <c r="F3272" s="30" t="s">
        <v>27</v>
      </c>
      <c r="G3272" s="30" t="s">
        <v>20</v>
      </c>
      <c r="H3272" s="32">
        <v>28</v>
      </c>
      <c r="I3272" s="30" t="s">
        <v>21</v>
      </c>
      <c r="J3272" s="41">
        <v>44013</v>
      </c>
      <c r="K3272" s="30" t="s">
        <v>22</v>
      </c>
    </row>
    <row r="3273" spans="1:11">
      <c r="A3273" s="33" t="s">
        <v>7968</v>
      </c>
      <c r="B3273" s="33" t="s">
        <v>7969</v>
      </c>
      <c r="C3273" s="33" t="s">
        <v>7291</v>
      </c>
      <c r="D3273" s="33" t="s">
        <v>17</v>
      </c>
      <c r="E3273" s="33" t="s">
        <v>26</v>
      </c>
      <c r="F3273" s="33" t="s">
        <v>27</v>
      </c>
      <c r="G3273" s="33" t="s">
        <v>20</v>
      </c>
      <c r="H3273" s="35">
        <v>52</v>
      </c>
      <c r="I3273" s="33" t="s">
        <v>21</v>
      </c>
      <c r="J3273" s="42">
        <v>44151</v>
      </c>
      <c r="K3273" s="33" t="s">
        <v>22</v>
      </c>
    </row>
    <row r="3274" spans="1:11">
      <c r="A3274" s="30" t="s">
        <v>7970</v>
      </c>
      <c r="B3274" s="30" t="s">
        <v>7971</v>
      </c>
      <c r="C3274" s="30" t="s">
        <v>78</v>
      </c>
      <c r="D3274" s="30" t="s">
        <v>17</v>
      </c>
      <c r="E3274" s="30" t="s">
        <v>26</v>
      </c>
      <c r="F3274" s="30" t="s">
        <v>27</v>
      </c>
      <c r="G3274" s="30" t="s">
        <v>20</v>
      </c>
      <c r="H3274" s="32">
        <v>87</v>
      </c>
      <c r="I3274" s="30" t="s">
        <v>21</v>
      </c>
      <c r="J3274" s="41">
        <v>43844</v>
      </c>
      <c r="K3274" s="30" t="s">
        <v>22</v>
      </c>
    </row>
    <row r="3275" spans="1:11">
      <c r="A3275" s="33" t="s">
        <v>7972</v>
      </c>
      <c r="B3275" s="33" t="s">
        <v>7973</v>
      </c>
      <c r="C3275" s="33" t="s">
        <v>75</v>
      </c>
      <c r="D3275" s="33" t="s">
        <v>17</v>
      </c>
      <c r="E3275" s="33" t="s">
        <v>18</v>
      </c>
      <c r="F3275" s="33" t="s">
        <v>19</v>
      </c>
      <c r="G3275" s="33" t="s">
        <v>106</v>
      </c>
      <c r="H3275" s="35">
        <v>13</v>
      </c>
      <c r="I3275" s="33" t="s">
        <v>21</v>
      </c>
      <c r="J3275" s="42">
        <v>43845</v>
      </c>
      <c r="K3275" s="33" t="s">
        <v>22</v>
      </c>
    </row>
    <row r="3276" spans="1:11">
      <c r="A3276" s="30" t="s">
        <v>7974</v>
      </c>
      <c r="B3276" s="30" t="s">
        <v>7975</v>
      </c>
      <c r="C3276" s="30" t="s">
        <v>7976</v>
      </c>
      <c r="D3276" s="30" t="s">
        <v>17</v>
      </c>
      <c r="E3276" s="30" t="s">
        <v>18</v>
      </c>
      <c r="F3276" s="30" t="s">
        <v>19</v>
      </c>
      <c r="G3276" s="30" t="s">
        <v>112</v>
      </c>
      <c r="H3276" s="32">
        <v>0</v>
      </c>
      <c r="I3276" s="30" t="s">
        <v>21</v>
      </c>
      <c r="J3276" s="41">
        <v>44013</v>
      </c>
      <c r="K3276" s="30" t="s">
        <v>22</v>
      </c>
    </row>
    <row r="3277" spans="1:11">
      <c r="A3277" s="33" t="s">
        <v>7977</v>
      </c>
      <c r="B3277" s="33" t="s">
        <v>7978</v>
      </c>
      <c r="C3277" s="33" t="s">
        <v>231</v>
      </c>
      <c r="D3277" s="33" t="s">
        <v>17</v>
      </c>
      <c r="E3277" s="33" t="s">
        <v>31</v>
      </c>
      <c r="F3277" s="33" t="s">
        <v>32</v>
      </c>
      <c r="G3277" s="33" t="s">
        <v>106</v>
      </c>
      <c r="H3277" s="35">
        <v>12</v>
      </c>
      <c r="I3277" s="33" t="s">
        <v>21</v>
      </c>
      <c r="J3277" s="42">
        <v>43966</v>
      </c>
      <c r="K3277" s="33" t="s">
        <v>22</v>
      </c>
    </row>
    <row r="3278" spans="1:11">
      <c r="A3278" s="30" t="s">
        <v>7979</v>
      </c>
      <c r="B3278" s="30" t="s">
        <v>7980</v>
      </c>
      <c r="C3278" s="30" t="s">
        <v>570</v>
      </c>
      <c r="D3278" s="30" t="s">
        <v>17</v>
      </c>
      <c r="E3278" s="30" t="s">
        <v>26</v>
      </c>
      <c r="F3278" s="30" t="s">
        <v>27</v>
      </c>
      <c r="G3278" s="30" t="s">
        <v>20</v>
      </c>
      <c r="H3278" s="32">
        <v>40</v>
      </c>
      <c r="I3278" s="30" t="s">
        <v>21</v>
      </c>
      <c r="J3278" s="41">
        <v>44112</v>
      </c>
      <c r="K3278" s="30" t="s">
        <v>22</v>
      </c>
    </row>
    <row r="3279" spans="1:11">
      <c r="A3279" s="33" t="s">
        <v>7981</v>
      </c>
      <c r="B3279" s="33" t="s">
        <v>7982</v>
      </c>
      <c r="C3279" s="33" t="s">
        <v>5251</v>
      </c>
      <c r="D3279" s="33" t="s">
        <v>17</v>
      </c>
      <c r="E3279" s="33" t="s">
        <v>26</v>
      </c>
      <c r="F3279" s="33" t="s">
        <v>27</v>
      </c>
      <c r="G3279" s="33" t="s">
        <v>20</v>
      </c>
      <c r="H3279" s="35">
        <v>40</v>
      </c>
      <c r="I3279" s="33" t="s">
        <v>21</v>
      </c>
      <c r="J3279" s="42">
        <v>44083</v>
      </c>
      <c r="K3279" s="33" t="s">
        <v>22</v>
      </c>
    </row>
    <row r="3280" spans="1:11">
      <c r="A3280" s="30" t="s">
        <v>7983</v>
      </c>
      <c r="B3280" s="30" t="s">
        <v>7984</v>
      </c>
      <c r="C3280" s="30" t="s">
        <v>936</v>
      </c>
      <c r="D3280" s="30" t="s">
        <v>17</v>
      </c>
      <c r="E3280" s="30" t="s">
        <v>26</v>
      </c>
      <c r="F3280" s="30" t="s">
        <v>27</v>
      </c>
      <c r="G3280" s="30" t="s">
        <v>140</v>
      </c>
      <c r="H3280" s="32">
        <v>102</v>
      </c>
      <c r="I3280" s="30" t="s">
        <v>51</v>
      </c>
      <c r="J3280" s="41">
        <v>44130</v>
      </c>
      <c r="K3280" s="30" t="s">
        <v>22</v>
      </c>
    </row>
    <row r="3281" spans="1:11">
      <c r="A3281" s="33" t="s">
        <v>7985</v>
      </c>
      <c r="B3281" s="33" t="s">
        <v>7986</v>
      </c>
      <c r="C3281" s="33" t="s">
        <v>102</v>
      </c>
      <c r="D3281" s="33" t="s">
        <v>17</v>
      </c>
      <c r="E3281" s="33" t="s">
        <v>18</v>
      </c>
      <c r="F3281" s="33" t="s">
        <v>19</v>
      </c>
      <c r="G3281" s="33" t="s">
        <v>158</v>
      </c>
      <c r="H3281" s="35">
        <v>1074</v>
      </c>
      <c r="I3281" s="33" t="s">
        <v>21</v>
      </c>
      <c r="J3281" s="42">
        <v>44104</v>
      </c>
      <c r="K3281" s="33" t="s">
        <v>22</v>
      </c>
    </row>
    <row r="3282" spans="1:11">
      <c r="A3282" s="30" t="s">
        <v>7987</v>
      </c>
      <c r="B3282" s="30" t="s">
        <v>7988</v>
      </c>
      <c r="C3282" s="30" t="s">
        <v>178</v>
      </c>
      <c r="D3282" s="30" t="s">
        <v>17</v>
      </c>
      <c r="E3282" s="30" t="s">
        <v>31</v>
      </c>
      <c r="F3282" s="30" t="s">
        <v>32</v>
      </c>
      <c r="G3282" s="30" t="s">
        <v>158</v>
      </c>
      <c r="H3282" s="32">
        <v>23</v>
      </c>
      <c r="I3282" s="30" t="s">
        <v>21</v>
      </c>
      <c r="J3282" s="41">
        <v>43839</v>
      </c>
      <c r="K3282" s="30" t="s">
        <v>22</v>
      </c>
    </row>
    <row r="3283" spans="1:11">
      <c r="A3283" s="33" t="s">
        <v>7989</v>
      </c>
      <c r="B3283" s="33" t="s">
        <v>7990</v>
      </c>
      <c r="C3283" s="33" t="s">
        <v>4742</v>
      </c>
      <c r="D3283" s="33" t="s">
        <v>17</v>
      </c>
      <c r="E3283" s="33" t="s">
        <v>67</v>
      </c>
      <c r="F3283" s="33" t="s">
        <v>68</v>
      </c>
      <c r="G3283" s="33" t="s">
        <v>20</v>
      </c>
      <c r="H3283" s="35">
        <v>744</v>
      </c>
      <c r="I3283" s="33" t="s">
        <v>21</v>
      </c>
      <c r="J3283" s="42">
        <v>43937</v>
      </c>
      <c r="K3283" s="33" t="s">
        <v>22</v>
      </c>
    </row>
    <row r="3284" spans="1:11">
      <c r="A3284" s="30" t="s">
        <v>7991</v>
      </c>
      <c r="B3284" s="30" t="s">
        <v>7992</v>
      </c>
      <c r="C3284" s="30" t="s">
        <v>2852</v>
      </c>
      <c r="D3284" s="30" t="s">
        <v>17</v>
      </c>
      <c r="E3284" s="30" t="s">
        <v>31</v>
      </c>
      <c r="F3284" s="30" t="s">
        <v>32</v>
      </c>
      <c r="G3284" s="30" t="s">
        <v>158</v>
      </c>
      <c r="H3284" s="32">
        <v>182</v>
      </c>
      <c r="I3284" s="30" t="s">
        <v>21</v>
      </c>
      <c r="J3284" s="41">
        <v>44183</v>
      </c>
      <c r="K3284" s="30" t="s">
        <v>22</v>
      </c>
    </row>
    <row r="3285" spans="1:11">
      <c r="A3285" s="33" t="s">
        <v>7993</v>
      </c>
      <c r="B3285" s="33" t="s">
        <v>7994</v>
      </c>
      <c r="C3285" s="33" t="s">
        <v>102</v>
      </c>
      <c r="D3285" s="33" t="s">
        <v>17</v>
      </c>
      <c r="E3285" s="33" t="s">
        <v>26</v>
      </c>
      <c r="F3285" s="33" t="s">
        <v>27</v>
      </c>
      <c r="G3285" s="33" t="s">
        <v>20</v>
      </c>
      <c r="H3285" s="35">
        <v>16</v>
      </c>
      <c r="I3285" s="33" t="s">
        <v>21</v>
      </c>
      <c r="J3285" s="42">
        <v>43872</v>
      </c>
      <c r="K3285" s="33" t="s">
        <v>22</v>
      </c>
    </row>
    <row r="3286" spans="1:11">
      <c r="A3286" s="30" t="s">
        <v>7995</v>
      </c>
      <c r="B3286" s="30" t="s">
        <v>7996</v>
      </c>
      <c r="C3286" s="30" t="s">
        <v>187</v>
      </c>
      <c r="D3286" s="30" t="s">
        <v>17</v>
      </c>
      <c r="E3286" s="30" t="s">
        <v>67</v>
      </c>
      <c r="F3286" s="30" t="s">
        <v>68</v>
      </c>
      <c r="G3286" s="30" t="s">
        <v>50</v>
      </c>
      <c r="H3286" s="32">
        <v>56</v>
      </c>
      <c r="I3286" s="30" t="s">
        <v>51</v>
      </c>
      <c r="J3286" s="41">
        <v>44032</v>
      </c>
      <c r="K3286" s="30" t="s">
        <v>22</v>
      </c>
    </row>
    <row r="3287" spans="1:11">
      <c r="A3287" s="33" t="s">
        <v>7997</v>
      </c>
      <c r="B3287" s="33" t="s">
        <v>7998</v>
      </c>
      <c r="C3287" s="33" t="s">
        <v>187</v>
      </c>
      <c r="D3287" s="33" t="s">
        <v>17</v>
      </c>
      <c r="E3287" s="33" t="s">
        <v>26</v>
      </c>
      <c r="F3287" s="33" t="s">
        <v>27</v>
      </c>
      <c r="G3287" s="33" t="s">
        <v>50</v>
      </c>
      <c r="H3287" s="35">
        <v>70</v>
      </c>
      <c r="I3287" s="33" t="s">
        <v>51</v>
      </c>
      <c r="J3287" s="42">
        <v>44007</v>
      </c>
      <c r="K3287" s="33" t="s">
        <v>22</v>
      </c>
    </row>
    <row r="3288" spans="1:11">
      <c r="A3288" s="30" t="s">
        <v>7999</v>
      </c>
      <c r="B3288" s="30" t="s">
        <v>8000</v>
      </c>
      <c r="C3288" s="30" t="s">
        <v>8001</v>
      </c>
      <c r="D3288" s="30" t="s">
        <v>17</v>
      </c>
      <c r="E3288" s="30" t="s">
        <v>26</v>
      </c>
      <c r="F3288" s="30" t="s">
        <v>27</v>
      </c>
      <c r="G3288" s="30" t="s">
        <v>140</v>
      </c>
      <c r="H3288" s="32">
        <v>18</v>
      </c>
      <c r="I3288" s="30" t="s">
        <v>51</v>
      </c>
      <c r="J3288" s="41">
        <v>44046</v>
      </c>
      <c r="K3288" s="30" t="s">
        <v>22</v>
      </c>
    </row>
    <row r="3289" spans="1:11">
      <c r="A3289" s="33" t="s">
        <v>8002</v>
      </c>
      <c r="B3289" s="33" t="s">
        <v>8003</v>
      </c>
      <c r="C3289" s="33" t="s">
        <v>8004</v>
      </c>
      <c r="D3289" s="33" t="s">
        <v>17</v>
      </c>
      <c r="E3289" s="33" t="s">
        <v>31</v>
      </c>
      <c r="F3289" s="33" t="s">
        <v>32</v>
      </c>
      <c r="G3289" s="33" t="s">
        <v>20</v>
      </c>
      <c r="H3289" s="35">
        <v>84</v>
      </c>
      <c r="I3289" s="33" t="s">
        <v>21</v>
      </c>
      <c r="J3289" s="42">
        <v>44104</v>
      </c>
      <c r="K3289" s="33" t="s">
        <v>22</v>
      </c>
    </row>
    <row r="3290" spans="1:11">
      <c r="A3290" s="30" t="s">
        <v>8005</v>
      </c>
      <c r="B3290" s="30" t="s">
        <v>8006</v>
      </c>
      <c r="C3290" s="30" t="s">
        <v>8007</v>
      </c>
      <c r="D3290" s="30" t="s">
        <v>17</v>
      </c>
      <c r="E3290" s="30" t="s">
        <v>212</v>
      </c>
      <c r="F3290" s="30" t="s">
        <v>213</v>
      </c>
      <c r="G3290" s="30" t="s">
        <v>20</v>
      </c>
      <c r="H3290" s="32">
        <v>74</v>
      </c>
      <c r="I3290" s="30" t="s">
        <v>21</v>
      </c>
      <c r="J3290" s="41">
        <v>43929</v>
      </c>
      <c r="K3290" s="30" t="s">
        <v>22</v>
      </c>
    </row>
    <row r="3291" spans="1:11">
      <c r="A3291" s="33" t="s">
        <v>8008</v>
      </c>
      <c r="B3291" s="33" t="s">
        <v>8009</v>
      </c>
      <c r="C3291" s="33" t="s">
        <v>957</v>
      </c>
      <c r="D3291" s="33" t="s">
        <v>17</v>
      </c>
      <c r="E3291" s="33" t="s">
        <v>31</v>
      </c>
      <c r="F3291" s="33" t="s">
        <v>32</v>
      </c>
      <c r="G3291" s="33" t="s">
        <v>20</v>
      </c>
      <c r="H3291" s="35">
        <v>150</v>
      </c>
      <c r="I3291" s="33" t="s">
        <v>21</v>
      </c>
      <c r="J3291" s="42">
        <v>44083</v>
      </c>
      <c r="K3291" s="33" t="s">
        <v>22</v>
      </c>
    </row>
    <row r="3292" spans="1:11">
      <c r="A3292" s="30" t="s">
        <v>8010</v>
      </c>
      <c r="B3292" s="30" t="s">
        <v>8011</v>
      </c>
      <c r="C3292" s="30" t="s">
        <v>7965</v>
      </c>
      <c r="D3292" s="30" t="s">
        <v>17</v>
      </c>
      <c r="E3292" s="30" t="s">
        <v>31</v>
      </c>
      <c r="F3292" s="30" t="s">
        <v>32</v>
      </c>
      <c r="G3292" s="30" t="s">
        <v>106</v>
      </c>
      <c r="H3292" s="32">
        <v>26</v>
      </c>
      <c r="I3292" s="30" t="s">
        <v>21</v>
      </c>
      <c r="J3292" s="41">
        <v>43963</v>
      </c>
      <c r="K3292" s="30" t="s">
        <v>22</v>
      </c>
    </row>
    <row r="3293" spans="1:11">
      <c r="A3293" s="33" t="s">
        <v>8012</v>
      </c>
      <c r="B3293" s="33" t="s">
        <v>8013</v>
      </c>
      <c r="C3293" s="33" t="s">
        <v>44</v>
      </c>
      <c r="D3293" s="33" t="s">
        <v>17</v>
      </c>
      <c r="E3293" s="33" t="s">
        <v>67</v>
      </c>
      <c r="F3293" s="33" t="s">
        <v>68</v>
      </c>
      <c r="G3293" s="33" t="s">
        <v>140</v>
      </c>
      <c r="H3293" s="35">
        <v>612</v>
      </c>
      <c r="I3293" s="33" t="s">
        <v>51</v>
      </c>
      <c r="J3293" s="42">
        <v>44173</v>
      </c>
      <c r="K3293" s="33" t="s">
        <v>22</v>
      </c>
    </row>
    <row r="3294" spans="1:11">
      <c r="A3294" s="30" t="s">
        <v>8014</v>
      </c>
      <c r="B3294" s="30" t="s">
        <v>8015</v>
      </c>
      <c r="C3294" s="30" t="s">
        <v>310</v>
      </c>
      <c r="D3294" s="30" t="s">
        <v>17</v>
      </c>
      <c r="E3294" s="30" t="s">
        <v>18</v>
      </c>
      <c r="F3294" s="30" t="s">
        <v>19</v>
      </c>
      <c r="G3294" s="30" t="s">
        <v>20</v>
      </c>
      <c r="H3294" s="32">
        <v>331</v>
      </c>
      <c r="I3294" s="30" t="s">
        <v>21</v>
      </c>
      <c r="J3294" s="41">
        <v>44113</v>
      </c>
      <c r="K3294" s="30" t="s">
        <v>22</v>
      </c>
    </row>
    <row r="3295" spans="1:11">
      <c r="A3295" s="33" t="s">
        <v>8016</v>
      </c>
      <c r="B3295" s="33" t="s">
        <v>8017</v>
      </c>
      <c r="C3295" s="33" t="s">
        <v>1598</v>
      </c>
      <c r="D3295" s="33" t="s">
        <v>17</v>
      </c>
      <c r="E3295" s="33" t="s">
        <v>26</v>
      </c>
      <c r="F3295" s="33" t="s">
        <v>27</v>
      </c>
      <c r="G3295" s="33" t="s">
        <v>106</v>
      </c>
      <c r="H3295" s="35">
        <v>10</v>
      </c>
      <c r="I3295" s="33" t="s">
        <v>21</v>
      </c>
      <c r="J3295" s="42">
        <v>44189</v>
      </c>
      <c r="K3295" s="33" t="s">
        <v>22</v>
      </c>
    </row>
    <row r="3296" spans="1:11">
      <c r="A3296" s="30" t="s">
        <v>8018</v>
      </c>
      <c r="B3296" s="30" t="s">
        <v>8019</v>
      </c>
      <c r="C3296" s="30" t="s">
        <v>8020</v>
      </c>
      <c r="D3296" s="30" t="s">
        <v>17</v>
      </c>
      <c r="E3296" s="30" t="s">
        <v>31</v>
      </c>
      <c r="F3296" s="30" t="s">
        <v>32</v>
      </c>
      <c r="G3296" s="30" t="s">
        <v>106</v>
      </c>
      <c r="H3296" s="32">
        <v>44</v>
      </c>
      <c r="I3296" s="30" t="s">
        <v>21</v>
      </c>
      <c r="J3296" s="41">
        <v>43998</v>
      </c>
      <c r="K3296" s="30" t="s">
        <v>22</v>
      </c>
    </row>
    <row r="3297" spans="1:11">
      <c r="A3297" s="33" t="s">
        <v>8021</v>
      </c>
      <c r="B3297" s="33" t="s">
        <v>8022</v>
      </c>
      <c r="C3297" s="33" t="s">
        <v>1498</v>
      </c>
      <c r="D3297" s="33" t="s">
        <v>17</v>
      </c>
      <c r="E3297" s="33" t="s">
        <v>26</v>
      </c>
      <c r="F3297" s="33" t="s">
        <v>27</v>
      </c>
      <c r="G3297" s="33" t="s">
        <v>20</v>
      </c>
      <c r="H3297" s="35">
        <v>18</v>
      </c>
      <c r="I3297" s="33" t="s">
        <v>21</v>
      </c>
      <c r="J3297" s="42">
        <v>44078</v>
      </c>
      <c r="K3297" s="33" t="s">
        <v>22</v>
      </c>
    </row>
    <row r="3298" spans="1:11">
      <c r="A3298" s="30" t="s">
        <v>8023</v>
      </c>
      <c r="B3298" s="30" t="s">
        <v>8024</v>
      </c>
      <c r="C3298" s="30" t="s">
        <v>190</v>
      </c>
      <c r="D3298" s="30" t="s">
        <v>17</v>
      </c>
      <c r="E3298" s="30" t="s">
        <v>31</v>
      </c>
      <c r="F3298" s="30" t="s">
        <v>32</v>
      </c>
      <c r="G3298" s="30" t="s">
        <v>140</v>
      </c>
      <c r="H3298" s="32">
        <v>450</v>
      </c>
      <c r="I3298" s="30" t="s">
        <v>51</v>
      </c>
      <c r="J3298" s="41">
        <v>43985</v>
      </c>
      <c r="K3298" s="30" t="s">
        <v>22</v>
      </c>
    </row>
    <row r="3299" spans="1:11">
      <c r="A3299" s="33" t="s">
        <v>8025</v>
      </c>
      <c r="B3299" s="33" t="s">
        <v>8026</v>
      </c>
      <c r="C3299" s="33" t="s">
        <v>847</v>
      </c>
      <c r="D3299" s="33" t="s">
        <v>17</v>
      </c>
      <c r="E3299" s="33" t="s">
        <v>330</v>
      </c>
      <c r="F3299" s="33" t="s">
        <v>331</v>
      </c>
      <c r="G3299" s="33" t="s">
        <v>50</v>
      </c>
      <c r="H3299" s="35">
        <v>8</v>
      </c>
      <c r="I3299" s="33" t="s">
        <v>51</v>
      </c>
      <c r="J3299" s="42">
        <v>43985</v>
      </c>
      <c r="K3299" s="33" t="s">
        <v>22</v>
      </c>
    </row>
    <row r="3300" spans="1:11">
      <c r="A3300" s="30" t="s">
        <v>8027</v>
      </c>
      <c r="B3300" s="30" t="s">
        <v>8028</v>
      </c>
      <c r="C3300" s="30" t="s">
        <v>936</v>
      </c>
      <c r="D3300" s="30" t="s">
        <v>17</v>
      </c>
      <c r="E3300" s="30" t="s">
        <v>31</v>
      </c>
      <c r="F3300" s="30" t="s">
        <v>32</v>
      </c>
      <c r="G3300" s="30" t="s">
        <v>106</v>
      </c>
      <c r="H3300" s="32">
        <v>1</v>
      </c>
      <c r="I3300" s="30" t="s">
        <v>21</v>
      </c>
      <c r="J3300" s="41">
        <v>43837</v>
      </c>
      <c r="K3300" s="30" t="s">
        <v>22</v>
      </c>
    </row>
    <row r="3301" spans="1:11">
      <c r="A3301" s="33" t="s">
        <v>8029</v>
      </c>
      <c r="B3301" s="33" t="s">
        <v>8030</v>
      </c>
      <c r="C3301" s="33" t="s">
        <v>387</v>
      </c>
      <c r="D3301" s="33" t="s">
        <v>17</v>
      </c>
      <c r="E3301" s="33" t="s">
        <v>212</v>
      </c>
      <c r="F3301" s="33" t="s">
        <v>213</v>
      </c>
      <c r="G3301" s="33" t="s">
        <v>20</v>
      </c>
      <c r="H3301" s="35">
        <v>82</v>
      </c>
      <c r="I3301" s="33" t="s">
        <v>21</v>
      </c>
      <c r="J3301" s="42">
        <v>43889</v>
      </c>
      <c r="K3301" s="33" t="s">
        <v>22</v>
      </c>
    </row>
    <row r="3302" spans="1:11">
      <c r="A3302" s="30" t="s">
        <v>8031</v>
      </c>
      <c r="B3302" s="30" t="s">
        <v>8032</v>
      </c>
      <c r="C3302" s="30" t="s">
        <v>130</v>
      </c>
      <c r="D3302" s="30" t="s">
        <v>17</v>
      </c>
      <c r="E3302" s="30" t="s">
        <v>31</v>
      </c>
      <c r="F3302" s="30" t="s">
        <v>32</v>
      </c>
      <c r="G3302" s="30" t="s">
        <v>20</v>
      </c>
      <c r="H3302" s="32">
        <v>112</v>
      </c>
      <c r="I3302" s="30" t="s">
        <v>21</v>
      </c>
      <c r="J3302" s="41">
        <v>43868</v>
      </c>
      <c r="K3302" s="30" t="s">
        <v>22</v>
      </c>
    </row>
    <row r="3303" spans="1:11">
      <c r="A3303" s="33" t="s">
        <v>8033</v>
      </c>
      <c r="B3303" s="33" t="s">
        <v>8034</v>
      </c>
      <c r="C3303" s="33" t="s">
        <v>149</v>
      </c>
      <c r="D3303" s="33" t="s">
        <v>17</v>
      </c>
      <c r="E3303" s="33" t="s">
        <v>31</v>
      </c>
      <c r="F3303" s="33" t="s">
        <v>32</v>
      </c>
      <c r="G3303" s="33" t="s">
        <v>20</v>
      </c>
      <c r="H3303" s="35">
        <v>187</v>
      </c>
      <c r="I3303" s="33" t="s">
        <v>21</v>
      </c>
      <c r="J3303" s="42">
        <v>44173</v>
      </c>
      <c r="K3303" s="33" t="s">
        <v>22</v>
      </c>
    </row>
    <row r="3304" spans="1:11">
      <c r="A3304" s="30" t="s">
        <v>8035</v>
      </c>
      <c r="B3304" s="30" t="s">
        <v>8036</v>
      </c>
      <c r="C3304" s="30" t="s">
        <v>8037</v>
      </c>
      <c r="D3304" s="30" t="s">
        <v>17</v>
      </c>
      <c r="E3304" s="30" t="s">
        <v>26</v>
      </c>
      <c r="F3304" s="30" t="s">
        <v>27</v>
      </c>
      <c r="G3304" s="30" t="s">
        <v>20</v>
      </c>
      <c r="H3304" s="32">
        <v>19</v>
      </c>
      <c r="I3304" s="30" t="s">
        <v>21</v>
      </c>
      <c r="J3304" s="41">
        <v>44062</v>
      </c>
      <c r="K3304" s="30" t="s">
        <v>22</v>
      </c>
    </row>
    <row r="3305" spans="1:11">
      <c r="A3305" s="33" t="s">
        <v>8038</v>
      </c>
      <c r="B3305" s="33" t="s">
        <v>8039</v>
      </c>
      <c r="C3305" s="33" t="s">
        <v>647</v>
      </c>
      <c r="D3305" s="33" t="s">
        <v>17</v>
      </c>
      <c r="E3305" s="33" t="s">
        <v>31</v>
      </c>
      <c r="F3305" s="33" t="s">
        <v>32</v>
      </c>
      <c r="G3305" s="33" t="s">
        <v>20</v>
      </c>
      <c r="H3305" s="35">
        <v>128</v>
      </c>
      <c r="I3305" s="33" t="s">
        <v>21</v>
      </c>
      <c r="J3305" s="42">
        <v>43851</v>
      </c>
      <c r="K3305" s="33" t="s">
        <v>22</v>
      </c>
    </row>
    <row r="3306" spans="1:11">
      <c r="A3306" s="30" t="s">
        <v>8040</v>
      </c>
      <c r="B3306" s="30" t="s">
        <v>8041</v>
      </c>
      <c r="C3306" s="30" t="s">
        <v>2006</v>
      </c>
      <c r="D3306" s="30" t="s">
        <v>17</v>
      </c>
      <c r="E3306" s="30" t="s">
        <v>26</v>
      </c>
      <c r="F3306" s="30" t="s">
        <v>27</v>
      </c>
      <c r="G3306" s="30" t="s">
        <v>20</v>
      </c>
      <c r="H3306" s="32">
        <v>30</v>
      </c>
      <c r="I3306" s="30" t="s">
        <v>21</v>
      </c>
      <c r="J3306" s="41">
        <v>43871</v>
      </c>
      <c r="K3306" s="30" t="s">
        <v>22</v>
      </c>
    </row>
    <row r="3307" spans="1:11">
      <c r="A3307" s="33" t="s">
        <v>8042</v>
      </c>
      <c r="B3307" s="33" t="s">
        <v>8043</v>
      </c>
      <c r="C3307" s="33" t="s">
        <v>7640</v>
      </c>
      <c r="D3307" s="33" t="s">
        <v>17</v>
      </c>
      <c r="E3307" s="33" t="s">
        <v>31</v>
      </c>
      <c r="F3307" s="33" t="s">
        <v>32</v>
      </c>
      <c r="G3307" s="33" t="s">
        <v>20</v>
      </c>
      <c r="H3307" s="35">
        <v>55</v>
      </c>
      <c r="I3307" s="33" t="s">
        <v>21</v>
      </c>
      <c r="J3307" s="42">
        <v>44150</v>
      </c>
      <c r="K3307" s="33" t="s">
        <v>22</v>
      </c>
    </row>
    <row r="3308" spans="1:11">
      <c r="A3308" s="30" t="s">
        <v>8044</v>
      </c>
      <c r="B3308" s="30" t="s">
        <v>8045</v>
      </c>
      <c r="C3308" s="30" t="s">
        <v>8046</v>
      </c>
      <c r="D3308" s="30" t="s">
        <v>17</v>
      </c>
      <c r="E3308" s="30" t="s">
        <v>26</v>
      </c>
      <c r="F3308" s="30" t="s">
        <v>27</v>
      </c>
      <c r="G3308" s="30" t="s">
        <v>20</v>
      </c>
      <c r="H3308" s="32">
        <v>50</v>
      </c>
      <c r="I3308" s="30" t="s">
        <v>21</v>
      </c>
      <c r="J3308" s="41">
        <v>44001</v>
      </c>
      <c r="K3308" s="30" t="s">
        <v>22</v>
      </c>
    </row>
    <row r="3309" spans="1:11">
      <c r="A3309" s="33" t="s">
        <v>8047</v>
      </c>
      <c r="B3309" s="33" t="s">
        <v>8048</v>
      </c>
      <c r="C3309" s="33" t="s">
        <v>8049</v>
      </c>
      <c r="D3309" s="33" t="s">
        <v>17</v>
      </c>
      <c r="E3309" s="33" t="s">
        <v>212</v>
      </c>
      <c r="F3309" s="33" t="s">
        <v>213</v>
      </c>
      <c r="G3309" s="33" t="s">
        <v>20</v>
      </c>
      <c r="H3309" s="35">
        <v>260</v>
      </c>
      <c r="I3309" s="33" t="s">
        <v>21</v>
      </c>
      <c r="J3309" s="42">
        <v>44188</v>
      </c>
      <c r="K3309" s="33" t="s">
        <v>22</v>
      </c>
    </row>
    <row r="3310" spans="1:11">
      <c r="A3310" s="30" t="s">
        <v>8050</v>
      </c>
      <c r="B3310" s="30" t="s">
        <v>8051</v>
      </c>
      <c r="C3310" s="30" t="s">
        <v>8052</v>
      </c>
      <c r="D3310" s="30" t="s">
        <v>17</v>
      </c>
      <c r="E3310" s="30" t="s">
        <v>26</v>
      </c>
      <c r="F3310" s="30" t="s">
        <v>27</v>
      </c>
      <c r="G3310" s="30" t="s">
        <v>106</v>
      </c>
      <c r="H3310" s="32">
        <v>103</v>
      </c>
      <c r="I3310" s="30" t="s">
        <v>21</v>
      </c>
      <c r="J3310" s="41">
        <v>44060</v>
      </c>
      <c r="K3310" s="30" t="s">
        <v>22</v>
      </c>
    </row>
    <row r="3311" spans="1:11">
      <c r="A3311" s="33" t="s">
        <v>8053</v>
      </c>
      <c r="B3311" s="33" t="s">
        <v>8054</v>
      </c>
      <c r="C3311" s="33" t="s">
        <v>2156</v>
      </c>
      <c r="D3311" s="33" t="s">
        <v>17</v>
      </c>
      <c r="E3311" s="33" t="s">
        <v>212</v>
      </c>
      <c r="F3311" s="33" t="s">
        <v>213</v>
      </c>
      <c r="G3311" s="33" t="s">
        <v>20</v>
      </c>
      <c r="H3311" s="35">
        <v>73</v>
      </c>
      <c r="I3311" s="33" t="s">
        <v>21</v>
      </c>
      <c r="J3311" s="42">
        <v>43925</v>
      </c>
      <c r="K3311" s="33" t="s">
        <v>22</v>
      </c>
    </row>
    <row r="3312" spans="1:11">
      <c r="A3312" s="30" t="s">
        <v>8055</v>
      </c>
      <c r="B3312" s="30" t="s">
        <v>8056</v>
      </c>
      <c r="C3312" s="30" t="s">
        <v>3264</v>
      </c>
      <c r="D3312" s="30" t="s">
        <v>17</v>
      </c>
      <c r="E3312" s="30" t="s">
        <v>212</v>
      </c>
      <c r="F3312" s="30" t="s">
        <v>213</v>
      </c>
      <c r="G3312" s="30" t="s">
        <v>106</v>
      </c>
      <c r="H3312" s="32">
        <v>6</v>
      </c>
      <c r="I3312" s="30" t="s">
        <v>21</v>
      </c>
      <c r="J3312" s="41">
        <v>43851</v>
      </c>
      <c r="K3312" s="30" t="s">
        <v>22</v>
      </c>
    </row>
    <row r="3313" spans="1:11">
      <c r="A3313" s="33" t="s">
        <v>8057</v>
      </c>
      <c r="B3313" s="33" t="s">
        <v>8058</v>
      </c>
      <c r="C3313" s="33" t="s">
        <v>8059</v>
      </c>
      <c r="D3313" s="33" t="s">
        <v>17</v>
      </c>
      <c r="E3313" s="33" t="s">
        <v>67</v>
      </c>
      <c r="F3313" s="33" t="s">
        <v>68</v>
      </c>
      <c r="G3313" s="33" t="s">
        <v>20</v>
      </c>
      <c r="H3313" s="35">
        <v>33</v>
      </c>
      <c r="I3313" s="33" t="s">
        <v>21</v>
      </c>
      <c r="J3313" s="42">
        <v>43920</v>
      </c>
      <c r="K3313" s="33" t="s">
        <v>22</v>
      </c>
    </row>
    <row r="3314" spans="1:11">
      <c r="A3314" s="30" t="s">
        <v>8060</v>
      </c>
      <c r="B3314" s="30" t="s">
        <v>8061</v>
      </c>
      <c r="C3314" s="30" t="s">
        <v>1571</v>
      </c>
      <c r="D3314" s="30" t="s">
        <v>17</v>
      </c>
      <c r="E3314" s="30" t="s">
        <v>26</v>
      </c>
      <c r="F3314" s="30" t="s">
        <v>27</v>
      </c>
      <c r="G3314" s="30" t="s">
        <v>140</v>
      </c>
      <c r="H3314" s="32">
        <v>276</v>
      </c>
      <c r="I3314" s="30" t="s">
        <v>51</v>
      </c>
      <c r="J3314" s="41">
        <v>43850</v>
      </c>
      <c r="K3314" s="30" t="s">
        <v>22</v>
      </c>
    </row>
    <row r="3315" spans="1:11">
      <c r="A3315" s="33" t="s">
        <v>8062</v>
      </c>
      <c r="B3315" s="33" t="s">
        <v>8063</v>
      </c>
      <c r="C3315" s="33" t="s">
        <v>93</v>
      </c>
      <c r="D3315" s="33" t="s">
        <v>17</v>
      </c>
      <c r="E3315" s="33" t="s">
        <v>31</v>
      </c>
      <c r="F3315" s="33" t="s">
        <v>32</v>
      </c>
      <c r="G3315" s="33" t="s">
        <v>20</v>
      </c>
      <c r="H3315" s="35">
        <v>60</v>
      </c>
      <c r="I3315" s="33" t="s">
        <v>21</v>
      </c>
      <c r="J3315" s="42">
        <v>44080</v>
      </c>
      <c r="K3315" s="33" t="s">
        <v>22</v>
      </c>
    </row>
    <row r="3316" spans="1:11">
      <c r="A3316" s="30" t="s">
        <v>8064</v>
      </c>
      <c r="B3316" s="30" t="s">
        <v>8065</v>
      </c>
      <c r="C3316" s="30" t="s">
        <v>8066</v>
      </c>
      <c r="D3316" s="30" t="s">
        <v>17</v>
      </c>
      <c r="E3316" s="30" t="s">
        <v>18</v>
      </c>
      <c r="F3316" s="30" t="s">
        <v>19</v>
      </c>
      <c r="G3316" s="30" t="s">
        <v>20</v>
      </c>
      <c r="H3316" s="32">
        <v>119</v>
      </c>
      <c r="I3316" s="30" t="s">
        <v>21</v>
      </c>
      <c r="J3316" s="41">
        <v>44152</v>
      </c>
      <c r="K3316" s="30" t="s">
        <v>22</v>
      </c>
    </row>
    <row r="3317" spans="1:11">
      <c r="A3317" s="33" t="s">
        <v>8067</v>
      </c>
      <c r="B3317" s="33" t="s">
        <v>8068</v>
      </c>
      <c r="C3317" s="33" t="s">
        <v>8069</v>
      </c>
      <c r="D3317" s="33" t="s">
        <v>17</v>
      </c>
      <c r="E3317" s="33" t="s">
        <v>26</v>
      </c>
      <c r="F3317" s="33" t="s">
        <v>27</v>
      </c>
      <c r="G3317" s="33" t="s">
        <v>20</v>
      </c>
      <c r="H3317" s="35">
        <v>17</v>
      </c>
      <c r="I3317" s="33" t="s">
        <v>21</v>
      </c>
      <c r="J3317" s="42">
        <v>44095</v>
      </c>
      <c r="K3317" s="33" t="s">
        <v>22</v>
      </c>
    </row>
    <row r="3318" spans="1:11">
      <c r="A3318" s="30" t="s">
        <v>8070</v>
      </c>
      <c r="B3318" s="30" t="s">
        <v>8071</v>
      </c>
      <c r="C3318" s="30" t="s">
        <v>8072</v>
      </c>
      <c r="D3318" s="30" t="s">
        <v>17</v>
      </c>
      <c r="E3318" s="30" t="s">
        <v>18</v>
      </c>
      <c r="F3318" s="30" t="s">
        <v>19</v>
      </c>
      <c r="G3318" s="30" t="s">
        <v>20</v>
      </c>
      <c r="H3318" s="32">
        <v>112</v>
      </c>
      <c r="I3318" s="30" t="s">
        <v>21</v>
      </c>
      <c r="J3318" s="41">
        <v>43916</v>
      </c>
      <c r="K3318" s="30" t="s">
        <v>22</v>
      </c>
    </row>
    <row r="3319" spans="1:11">
      <c r="A3319" s="33" t="s">
        <v>8073</v>
      </c>
      <c r="B3319" s="33" t="s">
        <v>8074</v>
      </c>
      <c r="C3319" s="33" t="s">
        <v>118</v>
      </c>
      <c r="D3319" s="33" t="s">
        <v>17</v>
      </c>
      <c r="E3319" s="33" t="s">
        <v>18</v>
      </c>
      <c r="F3319" s="33" t="s">
        <v>19</v>
      </c>
      <c r="G3319" s="33" t="s">
        <v>20</v>
      </c>
      <c r="H3319" s="35">
        <v>6016</v>
      </c>
      <c r="I3319" s="33" t="s">
        <v>21</v>
      </c>
      <c r="J3319" s="42">
        <v>44088</v>
      </c>
      <c r="K3319" s="33" t="s">
        <v>22</v>
      </c>
    </row>
    <row r="3320" spans="1:11">
      <c r="A3320" s="30" t="s">
        <v>8075</v>
      </c>
      <c r="B3320" s="30" t="s">
        <v>8076</v>
      </c>
      <c r="C3320" s="30" t="s">
        <v>154</v>
      </c>
      <c r="D3320" s="30" t="s">
        <v>17</v>
      </c>
      <c r="E3320" s="30" t="s">
        <v>26</v>
      </c>
      <c r="F3320" s="30" t="s">
        <v>27</v>
      </c>
      <c r="G3320" s="30" t="s">
        <v>20</v>
      </c>
      <c r="H3320" s="32">
        <v>13</v>
      </c>
      <c r="I3320" s="30" t="s">
        <v>21</v>
      </c>
      <c r="J3320" s="41">
        <v>44041</v>
      </c>
      <c r="K3320" s="30" t="s">
        <v>22</v>
      </c>
    </row>
    <row r="3321" spans="1:11">
      <c r="A3321" s="33" t="s">
        <v>8077</v>
      </c>
      <c r="B3321" s="33" t="s">
        <v>8078</v>
      </c>
      <c r="C3321" s="33" t="s">
        <v>8079</v>
      </c>
      <c r="D3321" s="33" t="s">
        <v>17</v>
      </c>
      <c r="E3321" s="33" t="s">
        <v>45</v>
      </c>
      <c r="F3321" s="33" t="s">
        <v>46</v>
      </c>
      <c r="G3321" s="33" t="s">
        <v>20</v>
      </c>
      <c r="H3321" s="35">
        <v>886</v>
      </c>
      <c r="I3321" s="33" t="s">
        <v>21</v>
      </c>
      <c r="J3321" s="42">
        <v>44000</v>
      </c>
      <c r="K3321" s="33" t="s">
        <v>22</v>
      </c>
    </row>
    <row r="3322" spans="1:11">
      <c r="A3322" s="30" t="s">
        <v>8080</v>
      </c>
      <c r="B3322" s="30" t="s">
        <v>8081</v>
      </c>
      <c r="C3322" s="30" t="s">
        <v>136</v>
      </c>
      <c r="D3322" s="30" t="s">
        <v>17</v>
      </c>
      <c r="E3322" s="30" t="s">
        <v>26</v>
      </c>
      <c r="F3322" s="30" t="s">
        <v>27</v>
      </c>
      <c r="G3322" s="30" t="s">
        <v>20</v>
      </c>
      <c r="H3322" s="32">
        <v>18</v>
      </c>
      <c r="I3322" s="30" t="s">
        <v>21</v>
      </c>
      <c r="J3322" s="41">
        <v>44137</v>
      </c>
      <c r="K3322" s="30" t="s">
        <v>22</v>
      </c>
    </row>
    <row r="3323" spans="1:11">
      <c r="A3323" s="33" t="s">
        <v>8082</v>
      </c>
      <c r="B3323" s="33" t="s">
        <v>8083</v>
      </c>
      <c r="C3323" s="33" t="s">
        <v>7900</v>
      </c>
      <c r="D3323" s="33" t="s">
        <v>17</v>
      </c>
      <c r="E3323" s="33" t="s">
        <v>26</v>
      </c>
      <c r="F3323" s="33" t="s">
        <v>27</v>
      </c>
      <c r="G3323" s="33" t="s">
        <v>20</v>
      </c>
      <c r="H3323" s="35">
        <v>31</v>
      </c>
      <c r="I3323" s="33" t="s">
        <v>21</v>
      </c>
      <c r="J3323" s="42">
        <v>44137</v>
      </c>
      <c r="K3323" s="33" t="s">
        <v>22</v>
      </c>
    </row>
    <row r="3324" spans="1:11">
      <c r="A3324" s="30" t="s">
        <v>8084</v>
      </c>
      <c r="B3324" s="30" t="s">
        <v>8085</v>
      </c>
      <c r="C3324" s="30" t="s">
        <v>118</v>
      </c>
      <c r="D3324" s="30" t="s">
        <v>17</v>
      </c>
      <c r="E3324" s="30" t="s">
        <v>18</v>
      </c>
      <c r="F3324" s="30" t="s">
        <v>19</v>
      </c>
      <c r="G3324" s="30" t="s">
        <v>20</v>
      </c>
      <c r="H3324" s="32">
        <v>1011</v>
      </c>
      <c r="I3324" s="30" t="s">
        <v>21</v>
      </c>
      <c r="J3324" s="41">
        <v>44054</v>
      </c>
      <c r="K3324" s="30" t="s">
        <v>22</v>
      </c>
    </row>
    <row r="3325" spans="1:11">
      <c r="A3325" s="33" t="s">
        <v>8086</v>
      </c>
      <c r="B3325" s="33" t="s">
        <v>8087</v>
      </c>
      <c r="C3325" s="33" t="s">
        <v>379</v>
      </c>
      <c r="D3325" s="33" t="s">
        <v>17</v>
      </c>
      <c r="E3325" s="33" t="s">
        <v>18</v>
      </c>
      <c r="F3325" s="33" t="s">
        <v>19</v>
      </c>
      <c r="G3325" s="33" t="s">
        <v>112</v>
      </c>
      <c r="H3325" s="35">
        <v>0</v>
      </c>
      <c r="I3325" s="33" t="s">
        <v>21</v>
      </c>
      <c r="J3325" s="42">
        <v>44105</v>
      </c>
      <c r="K3325" s="33" t="s">
        <v>22</v>
      </c>
    </row>
    <row r="3326" spans="1:11">
      <c r="A3326" s="30" t="s">
        <v>8088</v>
      </c>
      <c r="B3326" s="30" t="s">
        <v>8089</v>
      </c>
      <c r="C3326" s="30" t="s">
        <v>203</v>
      </c>
      <c r="D3326" s="30" t="s">
        <v>17</v>
      </c>
      <c r="E3326" s="30" t="s">
        <v>26</v>
      </c>
      <c r="F3326" s="30" t="s">
        <v>27</v>
      </c>
      <c r="G3326" s="30" t="s">
        <v>20</v>
      </c>
      <c r="H3326" s="32">
        <v>71</v>
      </c>
      <c r="I3326" s="30" t="s">
        <v>21</v>
      </c>
      <c r="J3326" s="41">
        <v>44053</v>
      </c>
      <c r="K3326" s="30" t="s">
        <v>22</v>
      </c>
    </row>
    <row r="3327" spans="1:11">
      <c r="A3327" s="33" t="s">
        <v>8090</v>
      </c>
      <c r="B3327" s="33" t="s">
        <v>8091</v>
      </c>
      <c r="C3327" s="33" t="s">
        <v>8092</v>
      </c>
      <c r="D3327" s="33" t="s">
        <v>17</v>
      </c>
      <c r="E3327" s="33" t="s">
        <v>26</v>
      </c>
      <c r="F3327" s="33" t="s">
        <v>27</v>
      </c>
      <c r="G3327" s="33" t="s">
        <v>20</v>
      </c>
      <c r="H3327" s="35">
        <v>40</v>
      </c>
      <c r="I3327" s="33" t="s">
        <v>21</v>
      </c>
      <c r="J3327" s="42">
        <v>44082</v>
      </c>
      <c r="K3327" s="33" t="s">
        <v>22</v>
      </c>
    </row>
    <row r="3328" spans="1:11">
      <c r="A3328" s="30" t="s">
        <v>8093</v>
      </c>
      <c r="B3328" s="30" t="s">
        <v>8094</v>
      </c>
      <c r="C3328" s="30" t="s">
        <v>8066</v>
      </c>
      <c r="D3328" s="30" t="s">
        <v>17</v>
      </c>
      <c r="E3328" s="30" t="s">
        <v>26</v>
      </c>
      <c r="F3328" s="30" t="s">
        <v>27</v>
      </c>
      <c r="G3328" s="30" t="s">
        <v>20</v>
      </c>
      <c r="H3328" s="32">
        <v>64</v>
      </c>
      <c r="I3328" s="30" t="s">
        <v>21</v>
      </c>
      <c r="J3328" s="41">
        <v>44006</v>
      </c>
      <c r="K3328" s="30" t="s">
        <v>22</v>
      </c>
    </row>
    <row r="3329" spans="1:11">
      <c r="A3329" s="33" t="s">
        <v>8095</v>
      </c>
      <c r="B3329" s="33" t="s">
        <v>8096</v>
      </c>
      <c r="C3329" s="33" t="s">
        <v>334</v>
      </c>
      <c r="D3329" s="33" t="s">
        <v>17</v>
      </c>
      <c r="E3329" s="33" t="s">
        <v>26</v>
      </c>
      <c r="F3329" s="33" t="s">
        <v>27</v>
      </c>
      <c r="G3329" s="33" t="s">
        <v>20</v>
      </c>
      <c r="H3329" s="35">
        <v>58</v>
      </c>
      <c r="I3329" s="33" t="s">
        <v>21</v>
      </c>
      <c r="J3329" s="42">
        <v>44120</v>
      </c>
      <c r="K3329" s="33" t="s">
        <v>22</v>
      </c>
    </row>
    <row r="3330" spans="1:11">
      <c r="A3330" s="30" t="s">
        <v>8097</v>
      </c>
      <c r="B3330" s="30" t="s">
        <v>8098</v>
      </c>
      <c r="C3330" s="30" t="s">
        <v>2756</v>
      </c>
      <c r="D3330" s="30" t="s">
        <v>17</v>
      </c>
      <c r="E3330" s="30" t="s">
        <v>67</v>
      </c>
      <c r="F3330" s="30" t="s">
        <v>68</v>
      </c>
      <c r="G3330" s="30" t="s">
        <v>20</v>
      </c>
      <c r="H3330" s="32">
        <v>44</v>
      </c>
      <c r="I3330" s="30" t="s">
        <v>21</v>
      </c>
      <c r="J3330" s="41">
        <v>44180</v>
      </c>
      <c r="K3330" s="30" t="s">
        <v>22</v>
      </c>
    </row>
    <row r="3331" spans="1:11">
      <c r="A3331" s="33" t="s">
        <v>8099</v>
      </c>
      <c r="B3331" s="33" t="s">
        <v>8100</v>
      </c>
      <c r="C3331" s="33" t="s">
        <v>510</v>
      </c>
      <c r="D3331" s="33" t="s">
        <v>17</v>
      </c>
      <c r="E3331" s="33" t="s">
        <v>26</v>
      </c>
      <c r="F3331" s="33" t="s">
        <v>27</v>
      </c>
      <c r="G3331" s="33" t="s">
        <v>20</v>
      </c>
      <c r="H3331" s="35">
        <v>40</v>
      </c>
      <c r="I3331" s="33" t="s">
        <v>21</v>
      </c>
      <c r="J3331" s="42">
        <v>44014</v>
      </c>
      <c r="K3331" s="33" t="s">
        <v>22</v>
      </c>
    </row>
    <row r="3332" spans="1:11">
      <c r="A3332" s="30" t="s">
        <v>8101</v>
      </c>
      <c r="B3332" s="30" t="s">
        <v>8102</v>
      </c>
      <c r="C3332" s="30" t="s">
        <v>190</v>
      </c>
      <c r="D3332" s="30" t="s">
        <v>17</v>
      </c>
      <c r="E3332" s="30" t="s">
        <v>26</v>
      </c>
      <c r="F3332" s="30" t="s">
        <v>27</v>
      </c>
      <c r="G3332" s="30" t="s">
        <v>20</v>
      </c>
      <c r="H3332" s="32">
        <v>12</v>
      </c>
      <c r="I3332" s="30" t="s">
        <v>21</v>
      </c>
      <c r="J3332" s="41">
        <v>44034</v>
      </c>
      <c r="K3332" s="30" t="s">
        <v>22</v>
      </c>
    </row>
    <row r="3333" spans="1:11">
      <c r="A3333" s="33" t="s">
        <v>8103</v>
      </c>
      <c r="B3333" s="33" t="s">
        <v>8104</v>
      </c>
      <c r="C3333" s="33" t="s">
        <v>8105</v>
      </c>
      <c r="D3333" s="33" t="s">
        <v>17</v>
      </c>
      <c r="E3333" s="33" t="s">
        <v>31</v>
      </c>
      <c r="F3333" s="33" t="s">
        <v>32</v>
      </c>
      <c r="G3333" s="33" t="s">
        <v>50</v>
      </c>
      <c r="H3333" s="35">
        <v>30</v>
      </c>
      <c r="I3333" s="33" t="s">
        <v>51</v>
      </c>
      <c r="J3333" s="42">
        <v>44013</v>
      </c>
      <c r="K3333" s="33" t="s">
        <v>22</v>
      </c>
    </row>
    <row r="3334" spans="1:11">
      <c r="A3334" s="30" t="s">
        <v>8106</v>
      </c>
      <c r="B3334" s="30" t="s">
        <v>8107</v>
      </c>
      <c r="C3334" s="30" t="s">
        <v>8108</v>
      </c>
      <c r="D3334" s="30" t="s">
        <v>17</v>
      </c>
      <c r="E3334" s="30" t="s">
        <v>26</v>
      </c>
      <c r="F3334" s="30" t="s">
        <v>27</v>
      </c>
      <c r="G3334" s="30" t="s">
        <v>106</v>
      </c>
      <c r="H3334" s="32">
        <v>12</v>
      </c>
      <c r="I3334" s="30" t="s">
        <v>21</v>
      </c>
      <c r="J3334" s="41">
        <v>43840</v>
      </c>
      <c r="K3334" s="30" t="s">
        <v>22</v>
      </c>
    </row>
    <row r="3335" spans="1:11">
      <c r="A3335" s="33" t="s">
        <v>8109</v>
      </c>
      <c r="B3335" s="33" t="s">
        <v>8110</v>
      </c>
      <c r="C3335" s="33" t="s">
        <v>554</v>
      </c>
      <c r="D3335" s="33" t="s">
        <v>17</v>
      </c>
      <c r="E3335" s="33" t="s">
        <v>26</v>
      </c>
      <c r="F3335" s="33" t="s">
        <v>27</v>
      </c>
      <c r="G3335" s="33" t="s">
        <v>20</v>
      </c>
      <c r="H3335" s="35">
        <v>45</v>
      </c>
      <c r="I3335" s="33" t="s">
        <v>21</v>
      </c>
      <c r="J3335" s="42">
        <v>44088</v>
      </c>
      <c r="K3335" s="33" t="s">
        <v>22</v>
      </c>
    </row>
    <row r="3336" spans="1:11">
      <c r="A3336" s="30" t="s">
        <v>8111</v>
      </c>
      <c r="B3336" s="30" t="s">
        <v>8112</v>
      </c>
      <c r="C3336" s="30" t="s">
        <v>647</v>
      </c>
      <c r="D3336" s="30" t="s">
        <v>17</v>
      </c>
      <c r="E3336" s="30" t="s">
        <v>18</v>
      </c>
      <c r="F3336" s="30" t="s">
        <v>19</v>
      </c>
      <c r="G3336" s="30" t="s">
        <v>158</v>
      </c>
      <c r="H3336" s="32">
        <v>755</v>
      </c>
      <c r="I3336" s="30" t="s">
        <v>21</v>
      </c>
      <c r="J3336" s="41">
        <v>43888</v>
      </c>
      <c r="K3336" s="30" t="s">
        <v>22</v>
      </c>
    </row>
    <row r="3337" spans="1:11">
      <c r="A3337" s="33" t="s">
        <v>8113</v>
      </c>
      <c r="B3337" s="33" t="s">
        <v>8114</v>
      </c>
      <c r="C3337" s="33" t="s">
        <v>8115</v>
      </c>
      <c r="D3337" s="33" t="s">
        <v>17</v>
      </c>
      <c r="E3337" s="33" t="s">
        <v>31</v>
      </c>
      <c r="F3337" s="33" t="s">
        <v>32</v>
      </c>
      <c r="G3337" s="33" t="s">
        <v>106</v>
      </c>
      <c r="H3337" s="35">
        <v>89</v>
      </c>
      <c r="I3337" s="33" t="s">
        <v>21</v>
      </c>
      <c r="J3337" s="42">
        <v>44165</v>
      </c>
      <c r="K3337" s="33" t="s">
        <v>22</v>
      </c>
    </row>
    <row r="3338" spans="1:11">
      <c r="A3338" s="30" t="s">
        <v>8116</v>
      </c>
      <c r="B3338" s="30" t="s">
        <v>8117</v>
      </c>
      <c r="C3338" s="30" t="s">
        <v>5144</v>
      </c>
      <c r="D3338" s="30" t="s">
        <v>17</v>
      </c>
      <c r="E3338" s="30" t="s">
        <v>67</v>
      </c>
      <c r="F3338" s="30" t="s">
        <v>68</v>
      </c>
      <c r="G3338" s="30" t="s">
        <v>20</v>
      </c>
      <c r="H3338" s="32">
        <v>185</v>
      </c>
      <c r="I3338" s="30" t="s">
        <v>21</v>
      </c>
      <c r="J3338" s="41">
        <v>44195</v>
      </c>
      <c r="K3338" s="30" t="s">
        <v>22</v>
      </c>
    </row>
    <row r="3339" spans="1:11">
      <c r="A3339" s="33" t="s">
        <v>8118</v>
      </c>
      <c r="B3339" s="33" t="s">
        <v>8119</v>
      </c>
      <c r="C3339" s="33" t="s">
        <v>136</v>
      </c>
      <c r="D3339" s="33" t="s">
        <v>17</v>
      </c>
      <c r="E3339" s="33" t="s">
        <v>26</v>
      </c>
      <c r="F3339" s="33" t="s">
        <v>27</v>
      </c>
      <c r="G3339" s="33" t="s">
        <v>20</v>
      </c>
      <c r="H3339" s="35">
        <v>6</v>
      </c>
      <c r="I3339" s="33" t="s">
        <v>21</v>
      </c>
      <c r="J3339" s="42">
        <v>44040</v>
      </c>
      <c r="K3339" s="33" t="s">
        <v>22</v>
      </c>
    </row>
    <row r="3340" spans="1:11">
      <c r="A3340" s="30" t="s">
        <v>8120</v>
      </c>
      <c r="B3340" s="30" t="s">
        <v>8121</v>
      </c>
      <c r="C3340" s="30" t="s">
        <v>2500</v>
      </c>
      <c r="D3340" s="30" t="s">
        <v>17</v>
      </c>
      <c r="E3340" s="30" t="s">
        <v>26</v>
      </c>
      <c r="F3340" s="30" t="s">
        <v>27</v>
      </c>
      <c r="G3340" s="30" t="s">
        <v>20</v>
      </c>
      <c r="H3340" s="32">
        <v>7</v>
      </c>
      <c r="I3340" s="30" t="s">
        <v>21</v>
      </c>
      <c r="J3340" s="41">
        <v>43885</v>
      </c>
      <c r="K3340" s="30" t="s">
        <v>22</v>
      </c>
    </row>
    <row r="3341" spans="1:11">
      <c r="A3341" s="33" t="s">
        <v>8122</v>
      </c>
      <c r="B3341" s="33" t="s">
        <v>8123</v>
      </c>
      <c r="C3341" s="33" t="s">
        <v>647</v>
      </c>
      <c r="D3341" s="33" t="s">
        <v>17</v>
      </c>
      <c r="E3341" s="33" t="s">
        <v>18</v>
      </c>
      <c r="F3341" s="33" t="s">
        <v>19</v>
      </c>
      <c r="G3341" s="33" t="s">
        <v>158</v>
      </c>
      <c r="H3341" s="35">
        <v>6033</v>
      </c>
      <c r="I3341" s="33" t="s">
        <v>21</v>
      </c>
      <c r="J3341" s="42">
        <v>43888</v>
      </c>
      <c r="K3341" s="33" t="s">
        <v>22</v>
      </c>
    </row>
    <row r="3342" spans="1:11">
      <c r="A3342" s="30" t="s">
        <v>8124</v>
      </c>
      <c r="B3342" s="30" t="s">
        <v>8125</v>
      </c>
      <c r="C3342" s="30" t="s">
        <v>8126</v>
      </c>
      <c r="D3342" s="30" t="s">
        <v>17</v>
      </c>
      <c r="E3342" s="30" t="s">
        <v>31</v>
      </c>
      <c r="F3342" s="30" t="s">
        <v>32</v>
      </c>
      <c r="G3342" s="30" t="s">
        <v>106</v>
      </c>
      <c r="H3342" s="32">
        <v>12</v>
      </c>
      <c r="I3342" s="30" t="s">
        <v>21</v>
      </c>
      <c r="J3342" s="41">
        <v>43939</v>
      </c>
      <c r="K3342" s="30" t="s">
        <v>22</v>
      </c>
    </row>
    <row r="3343" spans="1:11">
      <c r="A3343" s="33" t="s">
        <v>8127</v>
      </c>
      <c r="B3343" s="33" t="s">
        <v>8128</v>
      </c>
      <c r="C3343" s="33" t="s">
        <v>647</v>
      </c>
      <c r="D3343" s="33" t="s">
        <v>17</v>
      </c>
      <c r="E3343" s="33" t="s">
        <v>18</v>
      </c>
      <c r="F3343" s="33" t="s">
        <v>19</v>
      </c>
      <c r="G3343" s="33" t="s">
        <v>20</v>
      </c>
      <c r="H3343" s="35">
        <v>120</v>
      </c>
      <c r="I3343" s="33" t="s">
        <v>21</v>
      </c>
      <c r="J3343" s="42">
        <v>44041</v>
      </c>
      <c r="K3343" s="33" t="s">
        <v>22</v>
      </c>
    </row>
    <row r="3344" spans="1:11">
      <c r="A3344" s="30" t="s">
        <v>8129</v>
      </c>
      <c r="B3344" s="30" t="s">
        <v>8130</v>
      </c>
      <c r="C3344" s="30" t="s">
        <v>1905</v>
      </c>
      <c r="D3344" s="30" t="s">
        <v>17</v>
      </c>
      <c r="E3344" s="30" t="s">
        <v>45</v>
      </c>
      <c r="F3344" s="30" t="s">
        <v>46</v>
      </c>
      <c r="G3344" s="30" t="s">
        <v>20</v>
      </c>
      <c r="H3344" s="32">
        <v>32</v>
      </c>
      <c r="I3344" s="30" t="s">
        <v>21</v>
      </c>
      <c r="J3344" s="41">
        <v>44026</v>
      </c>
      <c r="K3344" s="30" t="s">
        <v>22</v>
      </c>
    </row>
    <row r="3345" spans="1:11">
      <c r="A3345" s="33" t="s">
        <v>8131</v>
      </c>
      <c r="B3345" s="33" t="s">
        <v>8132</v>
      </c>
      <c r="C3345" s="33" t="s">
        <v>75</v>
      </c>
      <c r="D3345" s="33" t="s">
        <v>17</v>
      </c>
      <c r="E3345" s="33" t="s">
        <v>26</v>
      </c>
      <c r="F3345" s="33" t="s">
        <v>27</v>
      </c>
      <c r="G3345" s="33" t="s">
        <v>20</v>
      </c>
      <c r="H3345" s="35">
        <v>56</v>
      </c>
      <c r="I3345" s="33" t="s">
        <v>21</v>
      </c>
      <c r="J3345" s="42">
        <v>44084</v>
      </c>
      <c r="K3345" s="33" t="s">
        <v>22</v>
      </c>
    </row>
    <row r="3346" spans="1:11">
      <c r="A3346" s="30" t="s">
        <v>8133</v>
      </c>
      <c r="B3346" s="30" t="s">
        <v>8134</v>
      </c>
      <c r="C3346" s="30" t="s">
        <v>3400</v>
      </c>
      <c r="D3346" s="30" t="s">
        <v>17</v>
      </c>
      <c r="E3346" s="30" t="s">
        <v>18</v>
      </c>
      <c r="F3346" s="30" t="s">
        <v>19</v>
      </c>
      <c r="G3346" s="30" t="s">
        <v>20</v>
      </c>
      <c r="H3346" s="32">
        <v>319</v>
      </c>
      <c r="I3346" s="30" t="s">
        <v>21</v>
      </c>
      <c r="J3346" s="41">
        <v>43978</v>
      </c>
      <c r="K3346" s="30" t="s">
        <v>22</v>
      </c>
    </row>
    <row r="3347" spans="1:11">
      <c r="A3347" s="33" t="s">
        <v>8135</v>
      </c>
      <c r="B3347" s="33" t="s">
        <v>8136</v>
      </c>
      <c r="C3347" s="33" t="s">
        <v>8137</v>
      </c>
      <c r="D3347" s="33" t="s">
        <v>17</v>
      </c>
      <c r="E3347" s="33" t="s">
        <v>26</v>
      </c>
      <c r="F3347" s="33" t="s">
        <v>27</v>
      </c>
      <c r="G3347" s="33" t="s">
        <v>20</v>
      </c>
      <c r="H3347" s="35">
        <v>15</v>
      </c>
      <c r="I3347" s="33" t="s">
        <v>21</v>
      </c>
      <c r="J3347" s="42">
        <v>43841</v>
      </c>
      <c r="K3347" s="33" t="s">
        <v>22</v>
      </c>
    </row>
    <row r="3348" spans="1:11">
      <c r="A3348" s="30" t="s">
        <v>8138</v>
      </c>
      <c r="B3348" s="30" t="s">
        <v>8139</v>
      </c>
      <c r="C3348" s="30" t="s">
        <v>1313</v>
      </c>
      <c r="D3348" s="30" t="s">
        <v>17</v>
      </c>
      <c r="E3348" s="30" t="s">
        <v>18</v>
      </c>
      <c r="F3348" s="30" t="s">
        <v>19</v>
      </c>
      <c r="G3348" s="30" t="s">
        <v>112</v>
      </c>
      <c r="H3348" s="32">
        <v>0</v>
      </c>
      <c r="I3348" s="30" t="s">
        <v>21</v>
      </c>
      <c r="J3348" s="41">
        <v>44166</v>
      </c>
      <c r="K3348" s="30" t="s">
        <v>22</v>
      </c>
    </row>
    <row r="3349" spans="1:11">
      <c r="A3349" s="33" t="s">
        <v>8140</v>
      </c>
      <c r="B3349" s="33" t="s">
        <v>8141</v>
      </c>
      <c r="C3349" s="33" t="s">
        <v>8142</v>
      </c>
      <c r="D3349" s="33" t="s">
        <v>17</v>
      </c>
      <c r="E3349" s="33" t="s">
        <v>18</v>
      </c>
      <c r="F3349" s="33" t="s">
        <v>19</v>
      </c>
      <c r="G3349" s="33" t="s">
        <v>20</v>
      </c>
      <c r="H3349" s="35">
        <v>763</v>
      </c>
      <c r="I3349" s="33" t="s">
        <v>21</v>
      </c>
      <c r="J3349" s="42">
        <v>44103</v>
      </c>
      <c r="K3349" s="33" t="s">
        <v>22</v>
      </c>
    </row>
    <row r="3350" spans="1:11">
      <c r="A3350" s="30" t="s">
        <v>8143</v>
      </c>
      <c r="B3350" s="30" t="s">
        <v>8144</v>
      </c>
      <c r="C3350" s="30" t="s">
        <v>93</v>
      </c>
      <c r="D3350" s="30" t="s">
        <v>17</v>
      </c>
      <c r="E3350" s="30" t="s">
        <v>212</v>
      </c>
      <c r="F3350" s="30" t="s">
        <v>213</v>
      </c>
      <c r="G3350" s="30" t="s">
        <v>106</v>
      </c>
      <c r="H3350" s="32">
        <v>1</v>
      </c>
      <c r="I3350" s="30" t="s">
        <v>21</v>
      </c>
      <c r="J3350" s="41">
        <v>43886</v>
      </c>
      <c r="K3350" s="30" t="s">
        <v>22</v>
      </c>
    </row>
    <row r="3351" spans="1:11">
      <c r="A3351" s="33" t="s">
        <v>8145</v>
      </c>
      <c r="B3351" s="33" t="s">
        <v>8146</v>
      </c>
      <c r="C3351" s="33" t="s">
        <v>102</v>
      </c>
      <c r="D3351" s="33" t="s">
        <v>17</v>
      </c>
      <c r="E3351" s="33" t="s">
        <v>26</v>
      </c>
      <c r="F3351" s="33" t="s">
        <v>27</v>
      </c>
      <c r="G3351" s="33" t="s">
        <v>20</v>
      </c>
      <c r="H3351" s="35">
        <v>32</v>
      </c>
      <c r="I3351" s="33" t="s">
        <v>21</v>
      </c>
      <c r="J3351" s="42">
        <v>44088</v>
      </c>
      <c r="K3351" s="33" t="s">
        <v>22</v>
      </c>
    </row>
    <row r="3352" spans="1:11">
      <c r="A3352" s="30" t="s">
        <v>8147</v>
      </c>
      <c r="B3352" s="30" t="s">
        <v>8148</v>
      </c>
      <c r="C3352" s="30" t="s">
        <v>5960</v>
      </c>
      <c r="D3352" s="30" t="s">
        <v>17</v>
      </c>
      <c r="E3352" s="30" t="s">
        <v>31</v>
      </c>
      <c r="F3352" s="30" t="s">
        <v>32</v>
      </c>
      <c r="G3352" s="30" t="s">
        <v>106</v>
      </c>
      <c r="H3352" s="32">
        <v>29</v>
      </c>
      <c r="I3352" s="30" t="s">
        <v>21</v>
      </c>
      <c r="J3352" s="41">
        <v>43927</v>
      </c>
      <c r="K3352" s="30" t="s">
        <v>22</v>
      </c>
    </row>
    <row r="3353" spans="1:11">
      <c r="A3353" s="33" t="s">
        <v>8149</v>
      </c>
      <c r="B3353" s="33" t="s">
        <v>8150</v>
      </c>
      <c r="C3353" s="33" t="s">
        <v>8151</v>
      </c>
      <c r="D3353" s="33" t="s">
        <v>17</v>
      </c>
      <c r="E3353" s="33" t="s">
        <v>31</v>
      </c>
      <c r="F3353" s="33" t="s">
        <v>32</v>
      </c>
      <c r="G3353" s="33" t="s">
        <v>20</v>
      </c>
      <c r="H3353" s="35">
        <v>47</v>
      </c>
      <c r="I3353" s="33" t="s">
        <v>21</v>
      </c>
      <c r="J3353" s="42">
        <v>44156</v>
      </c>
      <c r="K3353" s="33" t="s">
        <v>22</v>
      </c>
    </row>
    <row r="3354" spans="1:11">
      <c r="A3354" s="30" t="s">
        <v>8152</v>
      </c>
      <c r="B3354" s="30" t="s">
        <v>8153</v>
      </c>
      <c r="C3354" s="30" t="s">
        <v>178</v>
      </c>
      <c r="D3354" s="30" t="s">
        <v>17</v>
      </c>
      <c r="E3354" s="30" t="s">
        <v>18</v>
      </c>
      <c r="F3354" s="30" t="s">
        <v>19</v>
      </c>
      <c r="G3354" s="30" t="s">
        <v>158</v>
      </c>
      <c r="H3354" s="32">
        <v>769</v>
      </c>
      <c r="I3354" s="30" t="s">
        <v>21</v>
      </c>
      <c r="J3354" s="41">
        <v>44168</v>
      </c>
      <c r="K3354" s="30" t="s">
        <v>22</v>
      </c>
    </row>
    <row r="3355" spans="1:11">
      <c r="A3355" s="33" t="s">
        <v>8154</v>
      </c>
      <c r="B3355" s="33" t="s">
        <v>8155</v>
      </c>
      <c r="C3355" s="33" t="s">
        <v>109</v>
      </c>
      <c r="D3355" s="33" t="s">
        <v>17</v>
      </c>
      <c r="E3355" s="33" t="s">
        <v>31</v>
      </c>
      <c r="F3355" s="33" t="s">
        <v>32</v>
      </c>
      <c r="G3355" s="33" t="s">
        <v>158</v>
      </c>
      <c r="H3355" s="35">
        <v>134</v>
      </c>
      <c r="I3355" s="33" t="s">
        <v>21</v>
      </c>
      <c r="J3355" s="42">
        <v>44134</v>
      </c>
      <c r="K3355" s="33" t="s">
        <v>22</v>
      </c>
    </row>
    <row r="3356" spans="1:11">
      <c r="A3356" s="30" t="s">
        <v>8156</v>
      </c>
      <c r="B3356" s="30" t="s">
        <v>8157</v>
      </c>
      <c r="C3356" s="30" t="s">
        <v>5535</v>
      </c>
      <c r="D3356" s="30" t="s">
        <v>17</v>
      </c>
      <c r="E3356" s="30" t="s">
        <v>26</v>
      </c>
      <c r="F3356" s="30" t="s">
        <v>27</v>
      </c>
      <c r="G3356" s="30" t="s">
        <v>20</v>
      </c>
      <c r="H3356" s="32">
        <v>24</v>
      </c>
      <c r="I3356" s="30" t="s">
        <v>21</v>
      </c>
      <c r="J3356" s="41">
        <v>43861</v>
      </c>
      <c r="K3356" s="30" t="s">
        <v>22</v>
      </c>
    </row>
    <row r="3357" spans="1:11">
      <c r="A3357" s="33" t="s">
        <v>8158</v>
      </c>
      <c r="B3357" s="33" t="s">
        <v>8159</v>
      </c>
      <c r="C3357" s="33" t="s">
        <v>313</v>
      </c>
      <c r="D3357" s="33" t="s">
        <v>17</v>
      </c>
      <c r="E3357" s="33" t="s">
        <v>26</v>
      </c>
      <c r="F3357" s="33" t="s">
        <v>27</v>
      </c>
      <c r="G3357" s="33" t="s">
        <v>20</v>
      </c>
      <c r="H3357" s="35">
        <v>38</v>
      </c>
      <c r="I3357" s="33" t="s">
        <v>21</v>
      </c>
      <c r="J3357" s="42">
        <v>43998</v>
      </c>
      <c r="K3357" s="33" t="s">
        <v>22</v>
      </c>
    </row>
    <row r="3358" spans="1:11">
      <c r="A3358" s="30" t="s">
        <v>8160</v>
      </c>
      <c r="B3358" s="30" t="s">
        <v>8161</v>
      </c>
      <c r="C3358" s="30" t="s">
        <v>178</v>
      </c>
      <c r="D3358" s="30" t="s">
        <v>17</v>
      </c>
      <c r="E3358" s="30" t="s">
        <v>18</v>
      </c>
      <c r="F3358" s="30" t="s">
        <v>19</v>
      </c>
      <c r="G3358" s="30" t="s">
        <v>158</v>
      </c>
      <c r="H3358" s="32">
        <v>210</v>
      </c>
      <c r="I3358" s="30" t="s">
        <v>21</v>
      </c>
      <c r="J3358" s="41">
        <v>44112</v>
      </c>
      <c r="K3358" s="30" t="s">
        <v>22</v>
      </c>
    </row>
    <row r="3359" spans="1:11">
      <c r="A3359" s="33" t="s">
        <v>8162</v>
      </c>
      <c r="B3359" s="33" t="s">
        <v>8163</v>
      </c>
      <c r="C3359" s="33" t="s">
        <v>8164</v>
      </c>
      <c r="D3359" s="33" t="s">
        <v>17</v>
      </c>
      <c r="E3359" s="33" t="s">
        <v>18</v>
      </c>
      <c r="F3359" s="33" t="s">
        <v>19</v>
      </c>
      <c r="G3359" s="33" t="s">
        <v>20</v>
      </c>
      <c r="H3359" s="35">
        <v>260</v>
      </c>
      <c r="I3359" s="33" t="s">
        <v>21</v>
      </c>
      <c r="J3359" s="42">
        <v>44181</v>
      </c>
      <c r="K3359" s="33" t="s">
        <v>22</v>
      </c>
    </row>
    <row r="3360" spans="1:11">
      <c r="A3360" s="30" t="s">
        <v>8165</v>
      </c>
      <c r="B3360" s="30" t="s">
        <v>8166</v>
      </c>
      <c r="C3360" s="30" t="s">
        <v>78</v>
      </c>
      <c r="D3360" s="30" t="s">
        <v>17</v>
      </c>
      <c r="E3360" s="30" t="s">
        <v>31</v>
      </c>
      <c r="F3360" s="30" t="s">
        <v>32</v>
      </c>
      <c r="G3360" s="30" t="s">
        <v>20</v>
      </c>
      <c r="H3360" s="32">
        <v>104</v>
      </c>
      <c r="I3360" s="30" t="s">
        <v>21</v>
      </c>
      <c r="J3360" s="41">
        <v>44099</v>
      </c>
      <c r="K3360" s="30" t="s">
        <v>22</v>
      </c>
    </row>
    <row r="3361" spans="1:11">
      <c r="A3361" s="33" t="s">
        <v>8167</v>
      </c>
      <c r="B3361" s="33" t="s">
        <v>8168</v>
      </c>
      <c r="C3361" s="33" t="s">
        <v>8169</v>
      </c>
      <c r="D3361" s="33" t="s">
        <v>17</v>
      </c>
      <c r="E3361" s="33" t="s">
        <v>212</v>
      </c>
      <c r="F3361" s="33" t="s">
        <v>213</v>
      </c>
      <c r="G3361" s="33" t="s">
        <v>20</v>
      </c>
      <c r="H3361" s="35">
        <v>163</v>
      </c>
      <c r="I3361" s="33" t="s">
        <v>21</v>
      </c>
      <c r="J3361" s="42">
        <v>44155</v>
      </c>
      <c r="K3361" s="33" t="s">
        <v>22</v>
      </c>
    </row>
    <row r="3362" spans="1:11">
      <c r="A3362" s="30" t="s">
        <v>8170</v>
      </c>
      <c r="B3362" s="30" t="s">
        <v>8171</v>
      </c>
      <c r="C3362" s="30" t="s">
        <v>2461</v>
      </c>
      <c r="D3362" s="30" t="s">
        <v>17</v>
      </c>
      <c r="E3362" s="30" t="s">
        <v>18</v>
      </c>
      <c r="F3362" s="30" t="s">
        <v>19</v>
      </c>
      <c r="G3362" s="30" t="s">
        <v>112</v>
      </c>
      <c r="H3362" s="32">
        <v>0</v>
      </c>
      <c r="I3362" s="30" t="s">
        <v>21</v>
      </c>
      <c r="J3362" s="41">
        <v>43831</v>
      </c>
      <c r="K3362" s="30" t="s">
        <v>22</v>
      </c>
    </row>
    <row r="3363" spans="1:11">
      <c r="A3363" s="33" t="s">
        <v>8172</v>
      </c>
      <c r="B3363" s="33" t="s">
        <v>8173</v>
      </c>
      <c r="C3363" s="33" t="s">
        <v>8174</v>
      </c>
      <c r="D3363" s="33" t="s">
        <v>17</v>
      </c>
      <c r="E3363" s="33" t="s">
        <v>26</v>
      </c>
      <c r="F3363" s="33" t="s">
        <v>27</v>
      </c>
      <c r="G3363" s="33" t="s">
        <v>20</v>
      </c>
      <c r="H3363" s="35">
        <v>6</v>
      </c>
      <c r="I3363" s="33" t="s">
        <v>21</v>
      </c>
      <c r="J3363" s="42">
        <v>43999</v>
      </c>
      <c r="K3363" s="33" t="s">
        <v>22</v>
      </c>
    </row>
    <row r="3364" spans="1:11">
      <c r="A3364" s="30" t="s">
        <v>8175</v>
      </c>
      <c r="B3364" s="30" t="s">
        <v>8176</v>
      </c>
      <c r="C3364" s="30" t="s">
        <v>149</v>
      </c>
      <c r="D3364" s="30" t="s">
        <v>17</v>
      </c>
      <c r="E3364" s="30" t="s">
        <v>18</v>
      </c>
      <c r="F3364" s="30" t="s">
        <v>19</v>
      </c>
      <c r="G3364" s="30" t="s">
        <v>50</v>
      </c>
      <c r="H3364" s="32">
        <v>474</v>
      </c>
      <c r="I3364" s="30" t="s">
        <v>51</v>
      </c>
      <c r="J3364" s="41">
        <v>44025</v>
      </c>
      <c r="K3364" s="30" t="s">
        <v>22</v>
      </c>
    </row>
    <row r="3365" spans="1:11">
      <c r="A3365" s="33" t="s">
        <v>8177</v>
      </c>
      <c r="B3365" s="33" t="s">
        <v>8178</v>
      </c>
      <c r="C3365" s="33" t="s">
        <v>3944</v>
      </c>
      <c r="D3365" s="33" t="s">
        <v>17</v>
      </c>
      <c r="E3365" s="33" t="s">
        <v>26</v>
      </c>
      <c r="F3365" s="33" t="s">
        <v>27</v>
      </c>
      <c r="G3365" s="33" t="s">
        <v>50</v>
      </c>
      <c r="H3365" s="35">
        <v>18</v>
      </c>
      <c r="I3365" s="33" t="s">
        <v>51</v>
      </c>
      <c r="J3365" s="42">
        <v>44130</v>
      </c>
      <c r="K3365" s="33" t="s">
        <v>22</v>
      </c>
    </row>
    <row r="3366" spans="1:11">
      <c r="A3366" s="30" t="s">
        <v>8179</v>
      </c>
      <c r="B3366" s="30" t="s">
        <v>8180</v>
      </c>
      <c r="C3366" s="30" t="s">
        <v>2022</v>
      </c>
      <c r="D3366" s="30" t="s">
        <v>17</v>
      </c>
      <c r="E3366" s="30" t="s">
        <v>18</v>
      </c>
      <c r="F3366" s="30" t="s">
        <v>19</v>
      </c>
      <c r="G3366" s="30" t="s">
        <v>158</v>
      </c>
      <c r="H3366" s="32">
        <v>935</v>
      </c>
      <c r="I3366" s="30" t="s">
        <v>21</v>
      </c>
      <c r="J3366" s="41">
        <v>44012</v>
      </c>
      <c r="K3366" s="30" t="s">
        <v>22</v>
      </c>
    </row>
    <row r="3367" spans="1:11">
      <c r="A3367" s="33" t="s">
        <v>8181</v>
      </c>
      <c r="B3367" s="33" t="s">
        <v>8182</v>
      </c>
      <c r="C3367" s="33" t="s">
        <v>2825</v>
      </c>
      <c r="D3367" s="33" t="s">
        <v>17</v>
      </c>
      <c r="E3367" s="33" t="s">
        <v>31</v>
      </c>
      <c r="F3367" s="33" t="s">
        <v>32</v>
      </c>
      <c r="G3367" s="33" t="s">
        <v>106</v>
      </c>
      <c r="H3367" s="35">
        <v>16</v>
      </c>
      <c r="I3367" s="33" t="s">
        <v>21</v>
      </c>
      <c r="J3367" s="42">
        <v>44069</v>
      </c>
      <c r="K3367" s="33" t="s">
        <v>22</v>
      </c>
    </row>
    <row r="3368" spans="1:11">
      <c r="A3368" s="30" t="s">
        <v>8183</v>
      </c>
      <c r="B3368" s="30" t="s">
        <v>8184</v>
      </c>
      <c r="C3368" s="30" t="s">
        <v>109</v>
      </c>
      <c r="D3368" s="30" t="s">
        <v>17</v>
      </c>
      <c r="E3368" s="30" t="s">
        <v>18</v>
      </c>
      <c r="F3368" s="30" t="s">
        <v>19</v>
      </c>
      <c r="G3368" s="30" t="s">
        <v>158</v>
      </c>
      <c r="H3368" s="32">
        <v>703</v>
      </c>
      <c r="I3368" s="30" t="s">
        <v>21</v>
      </c>
      <c r="J3368" s="41">
        <v>43908</v>
      </c>
      <c r="K3368" s="30" t="s">
        <v>22</v>
      </c>
    </row>
    <row r="3369" spans="1:11">
      <c r="A3369" s="33" t="s">
        <v>8185</v>
      </c>
      <c r="B3369" s="33" t="s">
        <v>8186</v>
      </c>
      <c r="C3369" s="33" t="s">
        <v>6721</v>
      </c>
      <c r="D3369" s="33" t="s">
        <v>17</v>
      </c>
      <c r="E3369" s="33" t="s">
        <v>26</v>
      </c>
      <c r="F3369" s="33" t="s">
        <v>27</v>
      </c>
      <c r="G3369" s="33" t="s">
        <v>20</v>
      </c>
      <c r="H3369" s="35">
        <v>40</v>
      </c>
      <c r="I3369" s="33" t="s">
        <v>21</v>
      </c>
      <c r="J3369" s="42">
        <v>43952</v>
      </c>
      <c r="K3369" s="33" t="s">
        <v>22</v>
      </c>
    </row>
    <row r="3370" spans="1:11">
      <c r="A3370" s="30" t="s">
        <v>8187</v>
      </c>
      <c r="B3370" s="30" t="s">
        <v>8188</v>
      </c>
      <c r="C3370" s="30" t="s">
        <v>798</v>
      </c>
      <c r="D3370" s="30" t="s">
        <v>17</v>
      </c>
      <c r="E3370" s="30" t="s">
        <v>31</v>
      </c>
      <c r="F3370" s="30" t="s">
        <v>32</v>
      </c>
      <c r="G3370" s="30" t="s">
        <v>20</v>
      </c>
      <c r="H3370" s="32">
        <v>120</v>
      </c>
      <c r="I3370" s="30" t="s">
        <v>21</v>
      </c>
      <c r="J3370" s="41">
        <v>43893</v>
      </c>
      <c r="K3370" s="30" t="s">
        <v>22</v>
      </c>
    </row>
    <row r="3371" spans="1:11">
      <c r="A3371" s="33" t="s">
        <v>8189</v>
      </c>
      <c r="B3371" s="33" t="s">
        <v>8190</v>
      </c>
      <c r="C3371" s="33" t="s">
        <v>178</v>
      </c>
      <c r="D3371" s="33" t="s">
        <v>17</v>
      </c>
      <c r="E3371" s="33" t="s">
        <v>18</v>
      </c>
      <c r="F3371" s="33" t="s">
        <v>19</v>
      </c>
      <c r="G3371" s="33" t="s">
        <v>20</v>
      </c>
      <c r="H3371" s="35">
        <v>174</v>
      </c>
      <c r="I3371" s="33" t="s">
        <v>21</v>
      </c>
      <c r="J3371" s="42">
        <v>44053</v>
      </c>
      <c r="K3371" s="33" t="s">
        <v>22</v>
      </c>
    </row>
    <row r="3372" spans="1:11">
      <c r="A3372" s="30" t="s">
        <v>8191</v>
      </c>
      <c r="B3372" s="30" t="s">
        <v>8192</v>
      </c>
      <c r="C3372" s="30" t="s">
        <v>3904</v>
      </c>
      <c r="D3372" s="30" t="s">
        <v>17</v>
      </c>
      <c r="E3372" s="30" t="s">
        <v>26</v>
      </c>
      <c r="F3372" s="30" t="s">
        <v>27</v>
      </c>
      <c r="G3372" s="30" t="s">
        <v>20</v>
      </c>
      <c r="H3372" s="32">
        <v>6</v>
      </c>
      <c r="I3372" s="30" t="s">
        <v>21</v>
      </c>
      <c r="J3372" s="41">
        <v>43885</v>
      </c>
      <c r="K3372" s="30" t="s">
        <v>22</v>
      </c>
    </row>
    <row r="3373" spans="1:11">
      <c r="A3373" s="33" t="s">
        <v>8193</v>
      </c>
      <c r="B3373" s="33" t="s">
        <v>8194</v>
      </c>
      <c r="C3373" s="33" t="s">
        <v>118</v>
      </c>
      <c r="D3373" s="33" t="s">
        <v>17</v>
      </c>
      <c r="E3373" s="33" t="s">
        <v>26</v>
      </c>
      <c r="F3373" s="33" t="s">
        <v>27</v>
      </c>
      <c r="G3373" s="33" t="s">
        <v>20</v>
      </c>
      <c r="H3373" s="35">
        <v>32</v>
      </c>
      <c r="I3373" s="33" t="s">
        <v>21</v>
      </c>
      <c r="J3373" s="42">
        <v>44055</v>
      </c>
      <c r="K3373" s="33" t="s">
        <v>22</v>
      </c>
    </row>
    <row r="3374" spans="1:11">
      <c r="A3374" s="30" t="s">
        <v>8195</v>
      </c>
      <c r="B3374" s="30" t="s">
        <v>8196</v>
      </c>
      <c r="C3374" s="30" t="s">
        <v>7081</v>
      </c>
      <c r="D3374" s="30" t="s">
        <v>17</v>
      </c>
      <c r="E3374" s="30" t="s">
        <v>31</v>
      </c>
      <c r="F3374" s="30" t="s">
        <v>32</v>
      </c>
      <c r="G3374" s="30" t="s">
        <v>140</v>
      </c>
      <c r="H3374" s="32">
        <v>170</v>
      </c>
      <c r="I3374" s="30" t="s">
        <v>51</v>
      </c>
      <c r="J3374" s="41">
        <v>43850</v>
      </c>
      <c r="K3374" s="30" t="s">
        <v>22</v>
      </c>
    </row>
    <row r="3375" spans="1:11">
      <c r="A3375" s="33" t="s">
        <v>8197</v>
      </c>
      <c r="B3375" s="33" t="s">
        <v>8198</v>
      </c>
      <c r="C3375" s="33" t="s">
        <v>891</v>
      </c>
      <c r="D3375" s="33" t="s">
        <v>17</v>
      </c>
      <c r="E3375" s="33" t="s">
        <v>31</v>
      </c>
      <c r="F3375" s="33" t="s">
        <v>32</v>
      </c>
      <c r="G3375" s="33" t="s">
        <v>50</v>
      </c>
      <c r="H3375" s="35">
        <v>40</v>
      </c>
      <c r="I3375" s="33" t="s">
        <v>51</v>
      </c>
      <c r="J3375" s="42">
        <v>44076</v>
      </c>
      <c r="K3375" s="33" t="s">
        <v>22</v>
      </c>
    </row>
    <row r="3376" spans="1:11">
      <c r="A3376" s="30" t="s">
        <v>8199</v>
      </c>
      <c r="B3376" s="30" t="s">
        <v>8200</v>
      </c>
      <c r="C3376" s="30" t="s">
        <v>8201</v>
      </c>
      <c r="D3376" s="30" t="s">
        <v>17</v>
      </c>
      <c r="E3376" s="30" t="s">
        <v>26</v>
      </c>
      <c r="F3376" s="30" t="s">
        <v>27</v>
      </c>
      <c r="G3376" s="30" t="s">
        <v>106</v>
      </c>
      <c r="H3376" s="32">
        <v>127</v>
      </c>
      <c r="I3376" s="30" t="s">
        <v>21</v>
      </c>
      <c r="J3376" s="41">
        <v>44145</v>
      </c>
      <c r="K3376" s="30" t="s">
        <v>22</v>
      </c>
    </row>
    <row r="3377" spans="1:11">
      <c r="A3377" s="33" t="s">
        <v>8202</v>
      </c>
      <c r="B3377" s="33" t="s">
        <v>8203</v>
      </c>
      <c r="C3377" s="33" t="s">
        <v>8204</v>
      </c>
      <c r="D3377" s="33" t="s">
        <v>17</v>
      </c>
      <c r="E3377" s="33" t="s">
        <v>26</v>
      </c>
      <c r="F3377" s="33" t="s">
        <v>27</v>
      </c>
      <c r="G3377" s="33" t="s">
        <v>106</v>
      </c>
      <c r="H3377" s="35">
        <v>133</v>
      </c>
      <c r="I3377" s="33" t="s">
        <v>21</v>
      </c>
      <c r="J3377" s="42">
        <v>43980</v>
      </c>
      <c r="K3377" s="33" t="s">
        <v>22</v>
      </c>
    </row>
    <row r="3378" spans="1:11">
      <c r="A3378" s="30" t="s">
        <v>8205</v>
      </c>
      <c r="B3378" s="30" t="s">
        <v>8206</v>
      </c>
      <c r="C3378" s="30" t="s">
        <v>136</v>
      </c>
      <c r="D3378" s="30" t="s">
        <v>17</v>
      </c>
      <c r="E3378" s="30" t="s">
        <v>31</v>
      </c>
      <c r="F3378" s="30" t="s">
        <v>32</v>
      </c>
      <c r="G3378" s="30" t="s">
        <v>140</v>
      </c>
      <c r="H3378" s="32">
        <v>10000</v>
      </c>
      <c r="I3378" s="30" t="s">
        <v>51</v>
      </c>
      <c r="J3378" s="41">
        <v>43860</v>
      </c>
      <c r="K3378" s="30" t="s">
        <v>22</v>
      </c>
    </row>
    <row r="3379" spans="1:11">
      <c r="A3379" s="33" t="s">
        <v>8207</v>
      </c>
      <c r="B3379" s="33" t="s">
        <v>8208</v>
      </c>
      <c r="C3379" s="33" t="s">
        <v>1313</v>
      </c>
      <c r="D3379" s="33" t="s">
        <v>17</v>
      </c>
      <c r="E3379" s="33" t="s">
        <v>31</v>
      </c>
      <c r="F3379" s="33" t="s">
        <v>32</v>
      </c>
      <c r="G3379" s="33" t="s">
        <v>20</v>
      </c>
      <c r="H3379" s="35">
        <v>96</v>
      </c>
      <c r="I3379" s="33" t="s">
        <v>21</v>
      </c>
      <c r="J3379" s="42">
        <v>44113</v>
      </c>
      <c r="K3379" s="33" t="s">
        <v>22</v>
      </c>
    </row>
    <row r="3380" spans="1:11">
      <c r="A3380" s="30" t="s">
        <v>8209</v>
      </c>
      <c r="B3380" s="30" t="s">
        <v>8210</v>
      </c>
      <c r="C3380" s="30" t="s">
        <v>8211</v>
      </c>
      <c r="D3380" s="30" t="s">
        <v>17</v>
      </c>
      <c r="E3380" s="30" t="s">
        <v>67</v>
      </c>
      <c r="F3380" s="30" t="s">
        <v>68</v>
      </c>
      <c r="G3380" s="30" t="s">
        <v>50</v>
      </c>
      <c r="H3380" s="32">
        <v>20</v>
      </c>
      <c r="I3380" s="30" t="s">
        <v>51</v>
      </c>
      <c r="J3380" s="41">
        <v>43870</v>
      </c>
      <c r="K3380" s="30" t="s">
        <v>22</v>
      </c>
    </row>
    <row r="3381" spans="1:11">
      <c r="A3381" s="33" t="s">
        <v>8212</v>
      </c>
      <c r="B3381" s="33" t="s">
        <v>8213</v>
      </c>
      <c r="C3381" s="33" t="s">
        <v>136</v>
      </c>
      <c r="D3381" s="33" t="s">
        <v>17</v>
      </c>
      <c r="E3381" s="33" t="s">
        <v>18</v>
      </c>
      <c r="F3381" s="33" t="s">
        <v>19</v>
      </c>
      <c r="G3381" s="33" t="s">
        <v>106</v>
      </c>
      <c r="H3381" s="35">
        <v>851</v>
      </c>
      <c r="I3381" s="33" t="s">
        <v>21</v>
      </c>
      <c r="J3381" s="42">
        <v>43997</v>
      </c>
      <c r="K3381" s="33" t="s">
        <v>22</v>
      </c>
    </row>
    <row r="3382" spans="1:11">
      <c r="A3382" s="30" t="s">
        <v>8214</v>
      </c>
      <c r="B3382" s="30" t="s">
        <v>8215</v>
      </c>
      <c r="C3382" s="30" t="s">
        <v>93</v>
      </c>
      <c r="D3382" s="30" t="s">
        <v>17</v>
      </c>
      <c r="E3382" s="30" t="s">
        <v>18</v>
      </c>
      <c r="F3382" s="30" t="s">
        <v>19</v>
      </c>
      <c r="G3382" s="30" t="s">
        <v>20</v>
      </c>
      <c r="H3382" s="32">
        <v>14</v>
      </c>
      <c r="I3382" s="30" t="s">
        <v>21</v>
      </c>
      <c r="J3382" s="41">
        <v>44109</v>
      </c>
      <c r="K3382" s="30" t="s">
        <v>22</v>
      </c>
    </row>
    <row r="3383" spans="1:11">
      <c r="A3383" s="33" t="s">
        <v>8216</v>
      </c>
      <c r="B3383" s="33" t="s">
        <v>8217</v>
      </c>
      <c r="C3383" s="33" t="s">
        <v>187</v>
      </c>
      <c r="D3383" s="33" t="s">
        <v>17</v>
      </c>
      <c r="E3383" s="33" t="s">
        <v>31</v>
      </c>
      <c r="F3383" s="33" t="s">
        <v>32</v>
      </c>
      <c r="G3383" s="33" t="s">
        <v>50</v>
      </c>
      <c r="H3383" s="35">
        <v>102</v>
      </c>
      <c r="I3383" s="33" t="s">
        <v>51</v>
      </c>
      <c r="J3383" s="42">
        <v>44032</v>
      </c>
      <c r="K3383" s="33" t="s">
        <v>22</v>
      </c>
    </row>
    <row r="3384" spans="1:11">
      <c r="A3384" s="30" t="s">
        <v>8218</v>
      </c>
      <c r="B3384" s="30" t="s">
        <v>8219</v>
      </c>
      <c r="C3384" s="30" t="s">
        <v>5701</v>
      </c>
      <c r="D3384" s="30" t="s">
        <v>17</v>
      </c>
      <c r="E3384" s="30" t="s">
        <v>18</v>
      </c>
      <c r="F3384" s="30" t="s">
        <v>19</v>
      </c>
      <c r="G3384" s="30" t="s">
        <v>106</v>
      </c>
      <c r="H3384" s="32">
        <v>276</v>
      </c>
      <c r="I3384" s="30" t="s">
        <v>21</v>
      </c>
      <c r="J3384" s="41">
        <v>44068</v>
      </c>
      <c r="K3384" s="30" t="s">
        <v>22</v>
      </c>
    </row>
    <row r="3385" spans="1:11">
      <c r="A3385" s="33" t="s">
        <v>8220</v>
      </c>
      <c r="B3385" s="33" t="s">
        <v>8221</v>
      </c>
      <c r="C3385" s="33" t="s">
        <v>8222</v>
      </c>
      <c r="D3385" s="33" t="s">
        <v>17</v>
      </c>
      <c r="E3385" s="33" t="s">
        <v>26</v>
      </c>
      <c r="F3385" s="33" t="s">
        <v>27</v>
      </c>
      <c r="G3385" s="33" t="s">
        <v>50</v>
      </c>
      <c r="H3385" s="35">
        <v>60</v>
      </c>
      <c r="I3385" s="33" t="s">
        <v>51</v>
      </c>
      <c r="J3385" s="42">
        <v>44089</v>
      </c>
      <c r="K3385" s="33" t="s">
        <v>22</v>
      </c>
    </row>
    <row r="3386" spans="1:11">
      <c r="A3386" s="30" t="s">
        <v>8223</v>
      </c>
      <c r="B3386" s="30" t="s">
        <v>8224</v>
      </c>
      <c r="C3386" s="30" t="s">
        <v>109</v>
      </c>
      <c r="D3386" s="30" t="s">
        <v>17</v>
      </c>
      <c r="E3386" s="30" t="s">
        <v>212</v>
      </c>
      <c r="F3386" s="30" t="s">
        <v>213</v>
      </c>
      <c r="G3386" s="30" t="s">
        <v>140</v>
      </c>
      <c r="H3386" s="32">
        <v>30</v>
      </c>
      <c r="I3386" s="30" t="s">
        <v>51</v>
      </c>
      <c r="J3386" s="41">
        <v>44116</v>
      </c>
      <c r="K3386" s="30" t="s">
        <v>22</v>
      </c>
    </row>
    <row r="3387" spans="1:11">
      <c r="A3387" s="33" t="s">
        <v>8225</v>
      </c>
      <c r="B3387" s="33" t="s">
        <v>8226</v>
      </c>
      <c r="C3387" s="33" t="s">
        <v>109</v>
      </c>
      <c r="D3387" s="33" t="s">
        <v>17</v>
      </c>
      <c r="E3387" s="33" t="s">
        <v>26</v>
      </c>
      <c r="F3387" s="33" t="s">
        <v>27</v>
      </c>
      <c r="G3387" s="33" t="s">
        <v>106</v>
      </c>
      <c r="H3387" s="35">
        <v>60</v>
      </c>
      <c r="I3387" s="33" t="s">
        <v>21</v>
      </c>
      <c r="J3387" s="42">
        <v>43888</v>
      </c>
      <c r="K3387" s="33" t="s">
        <v>22</v>
      </c>
    </row>
    <row r="3388" spans="1:11">
      <c r="A3388" s="30" t="s">
        <v>8227</v>
      </c>
      <c r="B3388" s="30" t="s">
        <v>8228</v>
      </c>
      <c r="C3388" s="30" t="s">
        <v>190</v>
      </c>
      <c r="D3388" s="30" t="s">
        <v>17</v>
      </c>
      <c r="E3388" s="30" t="s">
        <v>26</v>
      </c>
      <c r="F3388" s="30" t="s">
        <v>27</v>
      </c>
      <c r="G3388" s="30" t="s">
        <v>20</v>
      </c>
      <c r="H3388" s="32">
        <v>14</v>
      </c>
      <c r="I3388" s="30" t="s">
        <v>21</v>
      </c>
      <c r="J3388" s="41">
        <v>43901</v>
      </c>
      <c r="K3388" s="30" t="s">
        <v>22</v>
      </c>
    </row>
    <row r="3389" spans="1:11">
      <c r="A3389" s="33" t="s">
        <v>8229</v>
      </c>
      <c r="B3389" s="33" t="s">
        <v>8230</v>
      </c>
      <c r="C3389" s="33" t="s">
        <v>8231</v>
      </c>
      <c r="D3389" s="33" t="s">
        <v>17</v>
      </c>
      <c r="E3389" s="33" t="s">
        <v>26</v>
      </c>
      <c r="F3389" s="33" t="s">
        <v>27</v>
      </c>
      <c r="G3389" s="33" t="s">
        <v>50</v>
      </c>
      <c r="H3389" s="35">
        <v>91</v>
      </c>
      <c r="I3389" s="33" t="s">
        <v>51</v>
      </c>
      <c r="J3389" s="42">
        <v>44068</v>
      </c>
      <c r="K3389" s="33" t="s">
        <v>22</v>
      </c>
    </row>
    <row r="3390" spans="1:11">
      <c r="A3390" s="30" t="s">
        <v>8232</v>
      </c>
      <c r="B3390" s="30" t="s">
        <v>8233</v>
      </c>
      <c r="C3390" s="30" t="s">
        <v>8234</v>
      </c>
      <c r="D3390" s="30" t="s">
        <v>17</v>
      </c>
      <c r="E3390" s="30" t="s">
        <v>26</v>
      </c>
      <c r="F3390" s="30" t="s">
        <v>27</v>
      </c>
      <c r="G3390" s="30" t="s">
        <v>20</v>
      </c>
      <c r="H3390" s="32">
        <v>14</v>
      </c>
      <c r="I3390" s="30" t="s">
        <v>21</v>
      </c>
      <c r="J3390" s="41">
        <v>44042</v>
      </c>
      <c r="K3390" s="30" t="s">
        <v>22</v>
      </c>
    </row>
    <row r="3391" spans="1:11">
      <c r="A3391" s="33" t="s">
        <v>8235</v>
      </c>
      <c r="B3391" s="33" t="s">
        <v>8236</v>
      </c>
      <c r="C3391" s="33" t="s">
        <v>271</v>
      </c>
      <c r="D3391" s="33" t="s">
        <v>17</v>
      </c>
      <c r="E3391" s="33" t="s">
        <v>67</v>
      </c>
      <c r="F3391" s="33" t="s">
        <v>68</v>
      </c>
      <c r="G3391" s="33" t="s">
        <v>20</v>
      </c>
      <c r="H3391" s="35">
        <v>126</v>
      </c>
      <c r="I3391" s="33" t="s">
        <v>21</v>
      </c>
      <c r="J3391" s="42">
        <v>43844</v>
      </c>
      <c r="K3391" s="33" t="s">
        <v>22</v>
      </c>
    </row>
    <row r="3392" spans="1:11">
      <c r="A3392" s="30" t="s">
        <v>8237</v>
      </c>
      <c r="B3392" s="30" t="s">
        <v>8238</v>
      </c>
      <c r="C3392" s="30" t="s">
        <v>5842</v>
      </c>
      <c r="D3392" s="30" t="s">
        <v>17</v>
      </c>
      <c r="E3392" s="30" t="s">
        <v>26</v>
      </c>
      <c r="F3392" s="30" t="s">
        <v>27</v>
      </c>
      <c r="G3392" s="30" t="s">
        <v>20</v>
      </c>
      <c r="H3392" s="32">
        <v>16</v>
      </c>
      <c r="I3392" s="30" t="s">
        <v>21</v>
      </c>
      <c r="J3392" s="41">
        <v>43845</v>
      </c>
      <c r="K3392" s="30" t="s">
        <v>22</v>
      </c>
    </row>
    <row r="3393" spans="1:11">
      <c r="A3393" s="33" t="s">
        <v>8239</v>
      </c>
      <c r="B3393" s="33" t="s">
        <v>8240</v>
      </c>
      <c r="C3393" s="33" t="s">
        <v>2156</v>
      </c>
      <c r="D3393" s="33" t="s">
        <v>17</v>
      </c>
      <c r="E3393" s="33" t="s">
        <v>26</v>
      </c>
      <c r="F3393" s="33" t="s">
        <v>27</v>
      </c>
      <c r="G3393" s="33" t="s">
        <v>112</v>
      </c>
      <c r="H3393" s="35">
        <v>0</v>
      </c>
      <c r="I3393" s="33" t="s">
        <v>21</v>
      </c>
      <c r="J3393" s="42">
        <v>43920</v>
      </c>
      <c r="K3393" s="33" t="s">
        <v>22</v>
      </c>
    </row>
    <row r="3394" spans="1:11">
      <c r="A3394" s="30" t="s">
        <v>8241</v>
      </c>
      <c r="B3394" s="30" t="s">
        <v>8242</v>
      </c>
      <c r="C3394" s="30" t="s">
        <v>96</v>
      </c>
      <c r="D3394" s="30" t="s">
        <v>17</v>
      </c>
      <c r="E3394" s="30" t="s">
        <v>31</v>
      </c>
      <c r="F3394" s="30" t="s">
        <v>32</v>
      </c>
      <c r="G3394" s="30" t="s">
        <v>112</v>
      </c>
      <c r="H3394" s="32">
        <v>0</v>
      </c>
      <c r="I3394" s="30" t="s">
        <v>21</v>
      </c>
      <c r="J3394" s="41">
        <v>44104</v>
      </c>
      <c r="K3394" s="30" t="s">
        <v>22</v>
      </c>
    </row>
    <row r="3395" spans="1:11">
      <c r="A3395" s="33" t="s">
        <v>8243</v>
      </c>
      <c r="B3395" s="33" t="s">
        <v>8244</v>
      </c>
      <c r="C3395" s="33" t="s">
        <v>252</v>
      </c>
      <c r="D3395" s="33" t="s">
        <v>17</v>
      </c>
      <c r="E3395" s="33" t="s">
        <v>67</v>
      </c>
      <c r="F3395" s="33" t="s">
        <v>68</v>
      </c>
      <c r="G3395" s="33" t="s">
        <v>20</v>
      </c>
      <c r="H3395" s="35">
        <v>59</v>
      </c>
      <c r="I3395" s="33" t="s">
        <v>21</v>
      </c>
      <c r="J3395" s="42">
        <v>44019</v>
      </c>
      <c r="K3395" s="33" t="s">
        <v>22</v>
      </c>
    </row>
    <row r="3396" spans="1:11">
      <c r="A3396" s="30" t="s">
        <v>8245</v>
      </c>
      <c r="B3396" s="30" t="s">
        <v>8246</v>
      </c>
      <c r="C3396" s="30" t="s">
        <v>8247</v>
      </c>
      <c r="D3396" s="30" t="s">
        <v>17</v>
      </c>
      <c r="E3396" s="30" t="s">
        <v>26</v>
      </c>
      <c r="F3396" s="30" t="s">
        <v>27</v>
      </c>
      <c r="G3396" s="30" t="s">
        <v>20</v>
      </c>
      <c r="H3396" s="32">
        <v>27</v>
      </c>
      <c r="I3396" s="30" t="s">
        <v>21</v>
      </c>
      <c r="J3396" s="41">
        <v>44043</v>
      </c>
      <c r="K3396" s="30" t="s">
        <v>22</v>
      </c>
    </row>
    <row r="3397" spans="1:11">
      <c r="A3397" s="33" t="s">
        <v>8248</v>
      </c>
      <c r="B3397" s="33" t="s">
        <v>8249</v>
      </c>
      <c r="C3397" s="33" t="s">
        <v>8250</v>
      </c>
      <c r="D3397" s="33" t="s">
        <v>17</v>
      </c>
      <c r="E3397" s="33" t="s">
        <v>26</v>
      </c>
      <c r="F3397" s="33" t="s">
        <v>27</v>
      </c>
      <c r="G3397" s="33" t="s">
        <v>106</v>
      </c>
      <c r="H3397" s="35">
        <v>33</v>
      </c>
      <c r="I3397" s="33" t="s">
        <v>21</v>
      </c>
      <c r="J3397" s="42">
        <v>44082</v>
      </c>
      <c r="K3397" s="33" t="s">
        <v>22</v>
      </c>
    </row>
    <row r="3398" spans="1:11">
      <c r="A3398" s="30" t="s">
        <v>8251</v>
      </c>
      <c r="B3398" s="30" t="s">
        <v>8252</v>
      </c>
      <c r="C3398" s="30" t="s">
        <v>203</v>
      </c>
      <c r="D3398" s="30" t="s">
        <v>17</v>
      </c>
      <c r="E3398" s="30" t="s">
        <v>18</v>
      </c>
      <c r="F3398" s="30" t="s">
        <v>19</v>
      </c>
      <c r="G3398" s="30" t="s">
        <v>20</v>
      </c>
      <c r="H3398" s="32">
        <v>899</v>
      </c>
      <c r="I3398" s="30" t="s">
        <v>21</v>
      </c>
      <c r="J3398" s="41">
        <v>43993</v>
      </c>
      <c r="K3398" s="30" t="s">
        <v>22</v>
      </c>
    </row>
    <row r="3399" spans="1:11">
      <c r="A3399" s="33" t="s">
        <v>8253</v>
      </c>
      <c r="B3399" s="33" t="s">
        <v>8254</v>
      </c>
      <c r="C3399" s="33" t="s">
        <v>8255</v>
      </c>
      <c r="D3399" s="33" t="s">
        <v>17</v>
      </c>
      <c r="E3399" s="33" t="s">
        <v>18</v>
      </c>
      <c r="F3399" s="33" t="s">
        <v>19</v>
      </c>
      <c r="G3399" s="33" t="s">
        <v>20</v>
      </c>
      <c r="H3399" s="35">
        <v>118</v>
      </c>
      <c r="I3399" s="33" t="s">
        <v>21</v>
      </c>
      <c r="J3399" s="42">
        <v>44037</v>
      </c>
      <c r="K3399" s="33" t="s">
        <v>22</v>
      </c>
    </row>
    <row r="3400" spans="1:11">
      <c r="A3400" s="30" t="s">
        <v>8256</v>
      </c>
      <c r="B3400" s="30" t="s">
        <v>8257</v>
      </c>
      <c r="C3400" s="30" t="s">
        <v>154</v>
      </c>
      <c r="D3400" s="30" t="s">
        <v>17</v>
      </c>
      <c r="E3400" s="30" t="s">
        <v>67</v>
      </c>
      <c r="F3400" s="30" t="s">
        <v>68</v>
      </c>
      <c r="G3400" s="30" t="s">
        <v>20</v>
      </c>
      <c r="H3400" s="32">
        <v>97</v>
      </c>
      <c r="I3400" s="30" t="s">
        <v>21</v>
      </c>
      <c r="J3400" s="41">
        <v>43950</v>
      </c>
      <c r="K3400" s="30" t="s">
        <v>22</v>
      </c>
    </row>
    <row r="3401" spans="1:11">
      <c r="A3401" s="33" t="s">
        <v>8258</v>
      </c>
      <c r="B3401" s="33" t="s">
        <v>8259</v>
      </c>
      <c r="C3401" s="33" t="s">
        <v>1343</v>
      </c>
      <c r="D3401" s="33" t="s">
        <v>17</v>
      </c>
      <c r="E3401" s="33" t="s">
        <v>18</v>
      </c>
      <c r="F3401" s="33" t="s">
        <v>19</v>
      </c>
      <c r="G3401" s="33" t="s">
        <v>158</v>
      </c>
      <c r="H3401" s="35">
        <v>296</v>
      </c>
      <c r="I3401" s="33" t="s">
        <v>21</v>
      </c>
      <c r="J3401" s="42">
        <v>44013</v>
      </c>
      <c r="K3401" s="33" t="s">
        <v>22</v>
      </c>
    </row>
    <row r="3402" spans="1:11">
      <c r="A3402" s="30" t="s">
        <v>8260</v>
      </c>
      <c r="B3402" s="30" t="s">
        <v>8261</v>
      </c>
      <c r="C3402" s="30" t="s">
        <v>8262</v>
      </c>
      <c r="D3402" s="30" t="s">
        <v>17</v>
      </c>
      <c r="E3402" s="30" t="s">
        <v>26</v>
      </c>
      <c r="F3402" s="30" t="s">
        <v>27</v>
      </c>
      <c r="G3402" s="30" t="s">
        <v>20</v>
      </c>
      <c r="H3402" s="32">
        <v>42</v>
      </c>
      <c r="I3402" s="30" t="s">
        <v>21</v>
      </c>
      <c r="J3402" s="41">
        <v>44013</v>
      </c>
      <c r="K3402" s="30" t="s">
        <v>22</v>
      </c>
    </row>
    <row r="3403" spans="1:11">
      <c r="A3403" s="33" t="s">
        <v>8263</v>
      </c>
      <c r="B3403" s="33" t="s">
        <v>8264</v>
      </c>
      <c r="C3403" s="33" t="s">
        <v>379</v>
      </c>
      <c r="D3403" s="33" t="s">
        <v>17</v>
      </c>
      <c r="E3403" s="33" t="s">
        <v>31</v>
      </c>
      <c r="F3403" s="33" t="s">
        <v>32</v>
      </c>
      <c r="G3403" s="33" t="s">
        <v>50</v>
      </c>
      <c r="H3403" s="35">
        <v>131</v>
      </c>
      <c r="I3403" s="33" t="s">
        <v>51</v>
      </c>
      <c r="J3403" s="42">
        <v>44041</v>
      </c>
      <c r="K3403" s="33" t="s">
        <v>22</v>
      </c>
    </row>
    <row r="3404" spans="1:11">
      <c r="A3404" s="30" t="s">
        <v>8265</v>
      </c>
      <c r="B3404" s="30" t="s">
        <v>8266</v>
      </c>
      <c r="C3404" s="30" t="s">
        <v>5591</v>
      </c>
      <c r="D3404" s="30" t="s">
        <v>17</v>
      </c>
      <c r="E3404" s="30" t="s">
        <v>45</v>
      </c>
      <c r="F3404" s="30" t="s">
        <v>46</v>
      </c>
      <c r="G3404" s="30" t="s">
        <v>50</v>
      </c>
      <c r="H3404" s="32">
        <v>400</v>
      </c>
      <c r="I3404" s="30" t="s">
        <v>51</v>
      </c>
      <c r="J3404" s="41">
        <v>43949</v>
      </c>
      <c r="K3404" s="30" t="s">
        <v>22</v>
      </c>
    </row>
    <row r="3405" spans="1:11">
      <c r="A3405" s="33" t="s">
        <v>8267</v>
      </c>
      <c r="B3405" s="33" t="s">
        <v>8268</v>
      </c>
      <c r="C3405" s="33" t="s">
        <v>1598</v>
      </c>
      <c r="D3405" s="33" t="s">
        <v>17</v>
      </c>
      <c r="E3405" s="33" t="s">
        <v>26</v>
      </c>
      <c r="F3405" s="33" t="s">
        <v>27</v>
      </c>
      <c r="G3405" s="33" t="s">
        <v>69</v>
      </c>
      <c r="H3405" s="35">
        <v>32</v>
      </c>
      <c r="I3405" s="33" t="s">
        <v>51</v>
      </c>
      <c r="J3405" s="42">
        <v>44067</v>
      </c>
      <c r="K3405" s="33" t="s">
        <v>22</v>
      </c>
    </row>
    <row r="3406" spans="1:11">
      <c r="A3406" s="30" t="s">
        <v>8269</v>
      </c>
      <c r="B3406" s="30" t="s">
        <v>8270</v>
      </c>
      <c r="C3406" s="30" t="s">
        <v>8271</v>
      </c>
      <c r="D3406" s="30" t="s">
        <v>17</v>
      </c>
      <c r="E3406" s="30" t="s">
        <v>31</v>
      </c>
      <c r="F3406" s="30" t="s">
        <v>32</v>
      </c>
      <c r="G3406" s="30" t="s">
        <v>20</v>
      </c>
      <c r="H3406" s="32">
        <v>90</v>
      </c>
      <c r="I3406" s="30" t="s">
        <v>21</v>
      </c>
      <c r="J3406" s="41">
        <v>43851</v>
      </c>
      <c r="K3406" s="30" t="s">
        <v>22</v>
      </c>
    </row>
    <row r="3407" spans="1:11">
      <c r="A3407" s="33" t="s">
        <v>8272</v>
      </c>
      <c r="B3407" s="33" t="s">
        <v>8273</v>
      </c>
      <c r="C3407" s="33" t="s">
        <v>1090</v>
      </c>
      <c r="D3407" s="33" t="s">
        <v>17</v>
      </c>
      <c r="E3407" s="33" t="s">
        <v>18</v>
      </c>
      <c r="F3407" s="33" t="s">
        <v>19</v>
      </c>
      <c r="G3407" s="33" t="s">
        <v>20</v>
      </c>
      <c r="H3407" s="35">
        <v>766</v>
      </c>
      <c r="I3407" s="33" t="s">
        <v>21</v>
      </c>
      <c r="J3407" s="42">
        <v>43832</v>
      </c>
      <c r="K3407" s="33" t="s">
        <v>22</v>
      </c>
    </row>
    <row r="3408" spans="1:11">
      <c r="A3408" s="30" t="s">
        <v>8274</v>
      </c>
      <c r="B3408" s="30" t="s">
        <v>8275</v>
      </c>
      <c r="C3408" s="30" t="s">
        <v>4622</v>
      </c>
      <c r="D3408" s="30" t="s">
        <v>17</v>
      </c>
      <c r="E3408" s="30" t="s">
        <v>31</v>
      </c>
      <c r="F3408" s="30" t="s">
        <v>32</v>
      </c>
      <c r="G3408" s="30" t="s">
        <v>106</v>
      </c>
      <c r="H3408" s="32">
        <v>126</v>
      </c>
      <c r="I3408" s="30" t="s">
        <v>21</v>
      </c>
      <c r="J3408" s="41">
        <v>44058</v>
      </c>
      <c r="K3408" s="30" t="s">
        <v>22</v>
      </c>
    </row>
    <row r="3409" spans="1:11">
      <c r="A3409" s="33" t="s">
        <v>8276</v>
      </c>
      <c r="B3409" s="33" t="s">
        <v>8277</v>
      </c>
      <c r="C3409" s="33" t="s">
        <v>8278</v>
      </c>
      <c r="D3409" s="33" t="s">
        <v>17</v>
      </c>
      <c r="E3409" s="33" t="s">
        <v>18</v>
      </c>
      <c r="F3409" s="33" t="s">
        <v>19</v>
      </c>
      <c r="G3409" s="33" t="s">
        <v>50</v>
      </c>
      <c r="H3409" s="35">
        <v>500</v>
      </c>
      <c r="I3409" s="33" t="s">
        <v>51</v>
      </c>
      <c r="J3409" s="42">
        <v>44196</v>
      </c>
      <c r="K3409" s="33" t="s">
        <v>22</v>
      </c>
    </row>
    <row r="3410" spans="1:11">
      <c r="A3410" s="30" t="s">
        <v>8279</v>
      </c>
      <c r="B3410" s="30" t="s">
        <v>8280</v>
      </c>
      <c r="C3410" s="30" t="s">
        <v>8281</v>
      </c>
      <c r="D3410" s="30" t="s">
        <v>17</v>
      </c>
      <c r="E3410" s="30" t="s">
        <v>212</v>
      </c>
      <c r="F3410" s="30" t="s">
        <v>213</v>
      </c>
      <c r="G3410" s="30" t="s">
        <v>20</v>
      </c>
      <c r="H3410" s="32">
        <v>103</v>
      </c>
      <c r="I3410" s="30" t="s">
        <v>21</v>
      </c>
      <c r="J3410" s="41">
        <v>44013</v>
      </c>
      <c r="K3410" s="30" t="s">
        <v>22</v>
      </c>
    </row>
    <row r="3411" spans="1:11">
      <c r="A3411" s="33" t="s">
        <v>8282</v>
      </c>
      <c r="B3411" s="33" t="s">
        <v>8283</v>
      </c>
      <c r="C3411" s="33" t="s">
        <v>8284</v>
      </c>
      <c r="D3411" s="33" t="s">
        <v>17</v>
      </c>
      <c r="E3411" s="33" t="s">
        <v>26</v>
      </c>
      <c r="F3411" s="33" t="s">
        <v>27</v>
      </c>
      <c r="G3411" s="33" t="s">
        <v>20</v>
      </c>
      <c r="H3411" s="35">
        <v>12</v>
      </c>
      <c r="I3411" s="33" t="s">
        <v>21</v>
      </c>
      <c r="J3411" s="42">
        <v>44006</v>
      </c>
      <c r="K3411" s="33" t="s">
        <v>22</v>
      </c>
    </row>
    <row r="3412" spans="1:11">
      <c r="A3412" s="30" t="s">
        <v>8285</v>
      </c>
      <c r="B3412" s="30" t="s">
        <v>8286</v>
      </c>
      <c r="C3412" s="30" t="s">
        <v>1598</v>
      </c>
      <c r="D3412" s="30" t="s">
        <v>17</v>
      </c>
      <c r="E3412" s="30" t="s">
        <v>67</v>
      </c>
      <c r="F3412" s="30" t="s">
        <v>68</v>
      </c>
      <c r="G3412" s="30" t="s">
        <v>106</v>
      </c>
      <c r="H3412" s="32">
        <v>9</v>
      </c>
      <c r="I3412" s="30" t="s">
        <v>21</v>
      </c>
      <c r="J3412" s="41">
        <v>44159</v>
      </c>
      <c r="K3412" s="30" t="s">
        <v>22</v>
      </c>
    </row>
    <row r="3413" spans="1:11">
      <c r="A3413" s="33" t="s">
        <v>8287</v>
      </c>
      <c r="B3413" s="33" t="s">
        <v>8288</v>
      </c>
      <c r="C3413" s="33" t="s">
        <v>3013</v>
      </c>
      <c r="D3413" s="33" t="s">
        <v>17</v>
      </c>
      <c r="E3413" s="33" t="s">
        <v>26</v>
      </c>
      <c r="F3413" s="33" t="s">
        <v>27</v>
      </c>
      <c r="G3413" s="33" t="s">
        <v>20</v>
      </c>
      <c r="H3413" s="35">
        <v>20</v>
      </c>
      <c r="I3413" s="33" t="s">
        <v>21</v>
      </c>
      <c r="J3413" s="42">
        <v>44181</v>
      </c>
      <c r="K3413" s="33" t="s">
        <v>22</v>
      </c>
    </row>
    <row r="3414" spans="1:11">
      <c r="A3414" s="30" t="s">
        <v>8289</v>
      </c>
      <c r="B3414" s="30" t="s">
        <v>8290</v>
      </c>
      <c r="C3414" s="30" t="s">
        <v>310</v>
      </c>
      <c r="D3414" s="30" t="s">
        <v>17</v>
      </c>
      <c r="E3414" s="30" t="s">
        <v>26</v>
      </c>
      <c r="F3414" s="30" t="s">
        <v>27</v>
      </c>
      <c r="G3414" s="30" t="s">
        <v>20</v>
      </c>
      <c r="H3414" s="32">
        <v>152</v>
      </c>
      <c r="I3414" s="30" t="s">
        <v>21</v>
      </c>
      <c r="J3414" s="41">
        <v>43878</v>
      </c>
      <c r="K3414" s="30" t="s">
        <v>22</v>
      </c>
    </row>
    <row r="3415" spans="1:11">
      <c r="A3415" s="33" t="s">
        <v>8291</v>
      </c>
      <c r="B3415" s="33" t="s">
        <v>8292</v>
      </c>
      <c r="C3415" s="33" t="s">
        <v>894</v>
      </c>
      <c r="D3415" s="33" t="s">
        <v>17</v>
      </c>
      <c r="E3415" s="33" t="s">
        <v>26</v>
      </c>
      <c r="F3415" s="33" t="s">
        <v>27</v>
      </c>
      <c r="G3415" s="33" t="s">
        <v>20</v>
      </c>
      <c r="H3415" s="35">
        <v>42</v>
      </c>
      <c r="I3415" s="33" t="s">
        <v>21</v>
      </c>
      <c r="J3415" s="42">
        <v>44136</v>
      </c>
      <c r="K3415" s="33" t="s">
        <v>22</v>
      </c>
    </row>
    <row r="3416" spans="1:11">
      <c r="A3416" s="30" t="s">
        <v>8293</v>
      </c>
      <c r="B3416" s="30" t="s">
        <v>8294</v>
      </c>
      <c r="C3416" s="30" t="s">
        <v>136</v>
      </c>
      <c r="D3416" s="30" t="s">
        <v>17</v>
      </c>
      <c r="E3416" s="30" t="s">
        <v>26</v>
      </c>
      <c r="F3416" s="30" t="s">
        <v>27</v>
      </c>
      <c r="G3416" s="30" t="s">
        <v>20</v>
      </c>
      <c r="H3416" s="32">
        <v>28</v>
      </c>
      <c r="I3416" s="30" t="s">
        <v>21</v>
      </c>
      <c r="J3416" s="41">
        <v>43889</v>
      </c>
      <c r="K3416" s="30" t="s">
        <v>22</v>
      </c>
    </row>
    <row r="3417" spans="1:11">
      <c r="A3417" s="33" t="s">
        <v>8295</v>
      </c>
      <c r="B3417" s="33" t="s">
        <v>8296</v>
      </c>
      <c r="C3417" s="33" t="s">
        <v>2234</v>
      </c>
      <c r="D3417" s="33" t="s">
        <v>17</v>
      </c>
      <c r="E3417" s="33" t="s">
        <v>18</v>
      </c>
      <c r="F3417" s="33" t="s">
        <v>19</v>
      </c>
      <c r="G3417" s="33" t="s">
        <v>20</v>
      </c>
      <c r="H3417" s="35">
        <v>75</v>
      </c>
      <c r="I3417" s="33" t="s">
        <v>21</v>
      </c>
      <c r="J3417" s="42">
        <v>43845</v>
      </c>
      <c r="K3417" s="33" t="s">
        <v>22</v>
      </c>
    </row>
    <row r="3418" spans="1:11">
      <c r="A3418" s="30" t="s">
        <v>8297</v>
      </c>
      <c r="B3418" s="30" t="s">
        <v>8298</v>
      </c>
      <c r="C3418" s="30" t="s">
        <v>801</v>
      </c>
      <c r="D3418" s="30" t="s">
        <v>17</v>
      </c>
      <c r="E3418" s="30" t="s">
        <v>67</v>
      </c>
      <c r="F3418" s="30" t="s">
        <v>68</v>
      </c>
      <c r="G3418" s="30" t="s">
        <v>106</v>
      </c>
      <c r="H3418" s="32">
        <v>99</v>
      </c>
      <c r="I3418" s="30" t="s">
        <v>21</v>
      </c>
      <c r="J3418" s="41">
        <v>44102</v>
      </c>
      <c r="K3418" s="30" t="s">
        <v>22</v>
      </c>
    </row>
    <row r="3419" spans="1:11">
      <c r="A3419" s="33" t="s">
        <v>8299</v>
      </c>
      <c r="B3419" s="33" t="s">
        <v>8300</v>
      </c>
      <c r="C3419" s="33" t="s">
        <v>190</v>
      </c>
      <c r="D3419" s="33" t="s">
        <v>17</v>
      </c>
      <c r="E3419" s="33" t="s">
        <v>18</v>
      </c>
      <c r="F3419" s="33" t="s">
        <v>19</v>
      </c>
      <c r="G3419" s="33" t="s">
        <v>112</v>
      </c>
      <c r="H3419" s="35">
        <v>0</v>
      </c>
      <c r="I3419" s="33" t="s">
        <v>21</v>
      </c>
      <c r="J3419" s="42">
        <v>44012</v>
      </c>
      <c r="K3419" s="33" t="s">
        <v>22</v>
      </c>
    </row>
    <row r="3420" spans="1:11">
      <c r="A3420" s="30" t="s">
        <v>8301</v>
      </c>
      <c r="B3420" s="30" t="s">
        <v>8302</v>
      </c>
      <c r="C3420" s="30" t="s">
        <v>1102</v>
      </c>
      <c r="D3420" s="30" t="s">
        <v>17</v>
      </c>
      <c r="E3420" s="30" t="s">
        <v>18</v>
      </c>
      <c r="F3420" s="30" t="s">
        <v>19</v>
      </c>
      <c r="G3420" s="30" t="s">
        <v>20</v>
      </c>
      <c r="H3420" s="32">
        <v>691</v>
      </c>
      <c r="I3420" s="30" t="s">
        <v>21</v>
      </c>
      <c r="J3420" s="41">
        <v>44055</v>
      </c>
      <c r="K3420" s="30" t="s">
        <v>22</v>
      </c>
    </row>
    <row r="3421" spans="1:11">
      <c r="A3421" s="33" t="s">
        <v>8303</v>
      </c>
      <c r="B3421" s="33" t="s">
        <v>8304</v>
      </c>
      <c r="C3421" s="33" t="s">
        <v>216</v>
      </c>
      <c r="D3421" s="33" t="s">
        <v>17</v>
      </c>
      <c r="E3421" s="33" t="s">
        <v>67</v>
      </c>
      <c r="F3421" s="33" t="s">
        <v>68</v>
      </c>
      <c r="G3421" s="33" t="s">
        <v>20</v>
      </c>
      <c r="H3421" s="35">
        <v>60</v>
      </c>
      <c r="I3421" s="33" t="s">
        <v>21</v>
      </c>
      <c r="J3421" s="42">
        <v>44120</v>
      </c>
      <c r="K3421" s="33" t="s">
        <v>22</v>
      </c>
    </row>
    <row r="3422" spans="1:11">
      <c r="A3422" s="30" t="s">
        <v>8305</v>
      </c>
      <c r="B3422" s="30" t="s">
        <v>8306</v>
      </c>
      <c r="C3422" s="30" t="s">
        <v>5355</v>
      </c>
      <c r="D3422" s="30" t="s">
        <v>17</v>
      </c>
      <c r="E3422" s="30" t="s">
        <v>26</v>
      </c>
      <c r="F3422" s="30" t="s">
        <v>27</v>
      </c>
      <c r="G3422" s="30" t="s">
        <v>20</v>
      </c>
      <c r="H3422" s="32">
        <v>32</v>
      </c>
      <c r="I3422" s="30" t="s">
        <v>21</v>
      </c>
      <c r="J3422" s="41">
        <v>43991</v>
      </c>
      <c r="K3422" s="30" t="s">
        <v>22</v>
      </c>
    </row>
    <row r="3423" spans="1:11">
      <c r="A3423" s="33" t="s">
        <v>8307</v>
      </c>
      <c r="B3423" s="33" t="s">
        <v>8308</v>
      </c>
      <c r="C3423" s="33" t="s">
        <v>810</v>
      </c>
      <c r="D3423" s="33" t="s">
        <v>17</v>
      </c>
      <c r="E3423" s="33" t="s">
        <v>18</v>
      </c>
      <c r="F3423" s="33" t="s">
        <v>19</v>
      </c>
      <c r="G3423" s="33" t="s">
        <v>20</v>
      </c>
      <c r="H3423" s="35">
        <v>109</v>
      </c>
      <c r="I3423" s="33" t="s">
        <v>21</v>
      </c>
      <c r="J3423" s="42">
        <v>44032</v>
      </c>
      <c r="K3423" s="33" t="s">
        <v>22</v>
      </c>
    </row>
    <row r="3424" spans="1:11">
      <c r="A3424" s="30" t="s">
        <v>8309</v>
      </c>
      <c r="B3424" s="30" t="s">
        <v>8310</v>
      </c>
      <c r="C3424" s="30" t="s">
        <v>8311</v>
      </c>
      <c r="D3424" s="30" t="s">
        <v>17</v>
      </c>
      <c r="E3424" s="30" t="s">
        <v>31</v>
      </c>
      <c r="F3424" s="30" t="s">
        <v>32</v>
      </c>
      <c r="G3424" s="30" t="s">
        <v>20</v>
      </c>
      <c r="H3424" s="32">
        <v>46</v>
      </c>
      <c r="I3424" s="30" t="s">
        <v>21</v>
      </c>
      <c r="J3424" s="41">
        <v>44123</v>
      </c>
      <c r="K3424" s="30" t="s">
        <v>22</v>
      </c>
    </row>
    <row r="3425" spans="1:11">
      <c r="A3425" s="33" t="s">
        <v>8312</v>
      </c>
      <c r="B3425" s="33" t="s">
        <v>8313</v>
      </c>
      <c r="C3425" s="33" t="s">
        <v>8314</v>
      </c>
      <c r="D3425" s="33" t="s">
        <v>17</v>
      </c>
      <c r="E3425" s="33" t="s">
        <v>18</v>
      </c>
      <c r="F3425" s="33" t="s">
        <v>19</v>
      </c>
      <c r="G3425" s="33" t="s">
        <v>20</v>
      </c>
      <c r="H3425" s="35">
        <v>21</v>
      </c>
      <c r="I3425" s="33" t="s">
        <v>21</v>
      </c>
      <c r="J3425" s="42">
        <v>43846</v>
      </c>
      <c r="K3425" s="33" t="s">
        <v>22</v>
      </c>
    </row>
    <row r="3426" spans="1:11">
      <c r="A3426" s="30" t="s">
        <v>8315</v>
      </c>
      <c r="B3426" s="30" t="s">
        <v>8316</v>
      </c>
      <c r="C3426" s="30" t="s">
        <v>8317</v>
      </c>
      <c r="D3426" s="30" t="s">
        <v>17</v>
      </c>
      <c r="E3426" s="30" t="s">
        <v>31</v>
      </c>
      <c r="F3426" s="30" t="s">
        <v>32</v>
      </c>
      <c r="G3426" s="30" t="s">
        <v>158</v>
      </c>
      <c r="H3426" s="32">
        <v>48</v>
      </c>
      <c r="I3426" s="30" t="s">
        <v>21</v>
      </c>
      <c r="J3426" s="41">
        <v>43992</v>
      </c>
      <c r="K3426" s="30" t="s">
        <v>22</v>
      </c>
    </row>
    <row r="3427" spans="1:11">
      <c r="A3427" s="33" t="s">
        <v>8318</v>
      </c>
      <c r="B3427" s="33" t="s">
        <v>8319</v>
      </c>
      <c r="C3427" s="33" t="s">
        <v>252</v>
      </c>
      <c r="D3427" s="33" t="s">
        <v>17</v>
      </c>
      <c r="E3427" s="33" t="s">
        <v>67</v>
      </c>
      <c r="F3427" s="33" t="s">
        <v>68</v>
      </c>
      <c r="G3427" s="33" t="s">
        <v>20</v>
      </c>
      <c r="H3427" s="35">
        <v>59</v>
      </c>
      <c r="I3427" s="33" t="s">
        <v>21</v>
      </c>
      <c r="J3427" s="42">
        <v>44125</v>
      </c>
      <c r="K3427" s="33" t="s">
        <v>22</v>
      </c>
    </row>
    <row r="3428" spans="1:11">
      <c r="A3428" s="30" t="s">
        <v>8320</v>
      </c>
      <c r="B3428" s="30" t="s">
        <v>8321</v>
      </c>
      <c r="C3428" s="30" t="s">
        <v>5805</v>
      </c>
      <c r="D3428" s="30" t="s">
        <v>17</v>
      </c>
      <c r="E3428" s="30" t="s">
        <v>26</v>
      </c>
      <c r="F3428" s="30" t="s">
        <v>27</v>
      </c>
      <c r="G3428" s="30" t="s">
        <v>20</v>
      </c>
      <c r="H3428" s="32">
        <v>45</v>
      </c>
      <c r="I3428" s="30" t="s">
        <v>21</v>
      </c>
      <c r="J3428" s="41">
        <v>44098</v>
      </c>
      <c r="K3428" s="30" t="s">
        <v>22</v>
      </c>
    </row>
    <row r="3429" spans="1:11">
      <c r="A3429" s="33" t="s">
        <v>8322</v>
      </c>
      <c r="B3429" s="33" t="s">
        <v>8323</v>
      </c>
      <c r="C3429" s="33" t="s">
        <v>5125</v>
      </c>
      <c r="D3429" s="33" t="s">
        <v>17</v>
      </c>
      <c r="E3429" s="33" t="s">
        <v>18</v>
      </c>
      <c r="F3429" s="33" t="s">
        <v>19</v>
      </c>
      <c r="G3429" s="33" t="s">
        <v>140</v>
      </c>
      <c r="H3429" s="35">
        <v>8000</v>
      </c>
      <c r="I3429" s="33" t="s">
        <v>51</v>
      </c>
      <c r="J3429" s="42">
        <v>43949</v>
      </c>
      <c r="K3429" s="33" t="s">
        <v>22</v>
      </c>
    </row>
    <row r="3430" spans="1:11">
      <c r="A3430" s="30" t="s">
        <v>8324</v>
      </c>
      <c r="B3430" s="30" t="s">
        <v>8325</v>
      </c>
      <c r="C3430" s="30" t="s">
        <v>801</v>
      </c>
      <c r="D3430" s="30" t="s">
        <v>17</v>
      </c>
      <c r="E3430" s="30" t="s">
        <v>26</v>
      </c>
      <c r="F3430" s="30" t="s">
        <v>27</v>
      </c>
      <c r="G3430" s="30" t="s">
        <v>106</v>
      </c>
      <c r="H3430" s="32">
        <v>75</v>
      </c>
      <c r="I3430" s="30" t="s">
        <v>21</v>
      </c>
      <c r="J3430" s="41">
        <v>43949</v>
      </c>
      <c r="K3430" s="30" t="s">
        <v>22</v>
      </c>
    </row>
    <row r="3431" spans="1:11">
      <c r="A3431" s="33" t="s">
        <v>8326</v>
      </c>
      <c r="B3431" s="33" t="s">
        <v>8327</v>
      </c>
      <c r="C3431" s="33" t="s">
        <v>78</v>
      </c>
      <c r="D3431" s="33" t="s">
        <v>17</v>
      </c>
      <c r="E3431" s="33" t="s">
        <v>26</v>
      </c>
      <c r="F3431" s="33" t="s">
        <v>27</v>
      </c>
      <c r="G3431" s="33" t="s">
        <v>20</v>
      </c>
      <c r="H3431" s="35">
        <v>47</v>
      </c>
      <c r="I3431" s="33" t="s">
        <v>21</v>
      </c>
      <c r="J3431" s="42">
        <v>44151</v>
      </c>
      <c r="K3431" s="33" t="s">
        <v>22</v>
      </c>
    </row>
    <row r="3432" spans="1:11">
      <c r="A3432" s="30" t="s">
        <v>8328</v>
      </c>
      <c r="B3432" s="30" t="s">
        <v>8329</v>
      </c>
      <c r="C3432" s="30" t="s">
        <v>318</v>
      </c>
      <c r="D3432" s="30" t="s">
        <v>17</v>
      </c>
      <c r="E3432" s="30" t="s">
        <v>18</v>
      </c>
      <c r="F3432" s="30" t="s">
        <v>19</v>
      </c>
      <c r="G3432" s="30" t="s">
        <v>158</v>
      </c>
      <c r="H3432" s="32">
        <v>345</v>
      </c>
      <c r="I3432" s="30" t="s">
        <v>21</v>
      </c>
      <c r="J3432" s="41">
        <v>43986</v>
      </c>
      <c r="K3432" s="30" t="s">
        <v>22</v>
      </c>
    </row>
    <row r="3433" spans="1:11">
      <c r="A3433" s="33" t="s">
        <v>8330</v>
      </c>
      <c r="B3433" s="33" t="s">
        <v>8331</v>
      </c>
      <c r="C3433" s="33" t="s">
        <v>5243</v>
      </c>
      <c r="D3433" s="33" t="s">
        <v>17</v>
      </c>
      <c r="E3433" s="33" t="s">
        <v>26</v>
      </c>
      <c r="F3433" s="33" t="s">
        <v>27</v>
      </c>
      <c r="G3433" s="33" t="s">
        <v>106</v>
      </c>
      <c r="H3433" s="35">
        <v>49</v>
      </c>
      <c r="I3433" s="33" t="s">
        <v>21</v>
      </c>
      <c r="J3433" s="42">
        <v>44043</v>
      </c>
      <c r="K3433" s="33" t="s">
        <v>22</v>
      </c>
    </row>
    <row r="3434" spans="1:11">
      <c r="A3434" s="30" t="s">
        <v>8332</v>
      </c>
      <c r="B3434" s="30" t="s">
        <v>8333</v>
      </c>
      <c r="C3434" s="30" t="s">
        <v>3848</v>
      </c>
      <c r="D3434" s="30" t="s">
        <v>17</v>
      </c>
      <c r="E3434" s="30" t="s">
        <v>330</v>
      </c>
      <c r="F3434" s="30" t="s">
        <v>331</v>
      </c>
      <c r="G3434" s="30" t="s">
        <v>50</v>
      </c>
      <c r="H3434" s="32">
        <v>9</v>
      </c>
      <c r="I3434" s="30" t="s">
        <v>51</v>
      </c>
      <c r="J3434" s="41">
        <v>43937</v>
      </c>
      <c r="K3434" s="30" t="s">
        <v>22</v>
      </c>
    </row>
    <row r="3435" spans="1:11">
      <c r="A3435" s="33" t="s">
        <v>8334</v>
      </c>
      <c r="B3435" s="33" t="s">
        <v>8335</v>
      </c>
      <c r="C3435" s="33" t="s">
        <v>178</v>
      </c>
      <c r="D3435" s="33" t="s">
        <v>17</v>
      </c>
      <c r="E3435" s="33" t="s">
        <v>67</v>
      </c>
      <c r="F3435" s="33" t="s">
        <v>68</v>
      </c>
      <c r="G3435" s="33" t="s">
        <v>158</v>
      </c>
      <c r="H3435" s="35">
        <v>237</v>
      </c>
      <c r="I3435" s="33" t="s">
        <v>51</v>
      </c>
      <c r="J3435" s="42">
        <v>44055</v>
      </c>
      <c r="K3435" s="33" t="s">
        <v>22</v>
      </c>
    </row>
    <row r="3436" spans="1:11">
      <c r="A3436" s="30" t="s">
        <v>8336</v>
      </c>
      <c r="B3436" s="30" t="s">
        <v>8337</v>
      </c>
      <c r="C3436" s="30" t="s">
        <v>570</v>
      </c>
      <c r="D3436" s="30" t="s">
        <v>17</v>
      </c>
      <c r="E3436" s="30" t="s">
        <v>26</v>
      </c>
      <c r="F3436" s="30" t="s">
        <v>27</v>
      </c>
      <c r="G3436" s="30" t="s">
        <v>50</v>
      </c>
      <c r="H3436" s="32">
        <v>99</v>
      </c>
      <c r="I3436" s="30" t="s">
        <v>21</v>
      </c>
      <c r="J3436" s="41">
        <v>43921</v>
      </c>
      <c r="K3436" s="30" t="s">
        <v>22</v>
      </c>
    </row>
    <row r="3437" spans="1:11">
      <c r="A3437" s="33" t="s">
        <v>8338</v>
      </c>
      <c r="B3437" s="33" t="s">
        <v>8339</v>
      </c>
      <c r="C3437" s="33" t="s">
        <v>5050</v>
      </c>
      <c r="D3437" s="33" t="s">
        <v>17</v>
      </c>
      <c r="E3437" s="33" t="s">
        <v>212</v>
      </c>
      <c r="F3437" s="33" t="s">
        <v>213</v>
      </c>
      <c r="G3437" s="33" t="s">
        <v>20</v>
      </c>
      <c r="H3437" s="35">
        <v>148</v>
      </c>
      <c r="I3437" s="33" t="s">
        <v>21</v>
      </c>
      <c r="J3437" s="42">
        <v>44153</v>
      </c>
      <c r="K3437" s="33" t="s">
        <v>22</v>
      </c>
    </row>
    <row r="3438" spans="1:11">
      <c r="A3438" s="30" t="s">
        <v>8340</v>
      </c>
      <c r="B3438" s="30" t="s">
        <v>8341</v>
      </c>
      <c r="C3438" s="30" t="s">
        <v>5243</v>
      </c>
      <c r="D3438" s="30" t="s">
        <v>17</v>
      </c>
      <c r="E3438" s="30" t="s">
        <v>26</v>
      </c>
      <c r="F3438" s="30" t="s">
        <v>27</v>
      </c>
      <c r="G3438" s="30" t="s">
        <v>106</v>
      </c>
      <c r="H3438" s="32">
        <v>19</v>
      </c>
      <c r="I3438" s="30" t="s">
        <v>21</v>
      </c>
      <c r="J3438" s="41">
        <v>43998</v>
      </c>
      <c r="K3438" s="30" t="s">
        <v>22</v>
      </c>
    </row>
    <row r="3439" spans="1:11">
      <c r="A3439" s="33" t="s">
        <v>8342</v>
      </c>
      <c r="B3439" s="33" t="s">
        <v>8343</v>
      </c>
      <c r="C3439" s="33" t="s">
        <v>6193</v>
      </c>
      <c r="D3439" s="33" t="s">
        <v>17</v>
      </c>
      <c r="E3439" s="33" t="s">
        <v>31</v>
      </c>
      <c r="F3439" s="33" t="s">
        <v>32</v>
      </c>
      <c r="G3439" s="33" t="s">
        <v>20</v>
      </c>
      <c r="H3439" s="35">
        <v>6</v>
      </c>
      <c r="I3439" s="33" t="s">
        <v>21</v>
      </c>
      <c r="J3439" s="42">
        <v>43887</v>
      </c>
      <c r="K3439" s="33" t="s">
        <v>22</v>
      </c>
    </row>
    <row r="3440" spans="1:11">
      <c r="A3440" s="30" t="s">
        <v>8344</v>
      </c>
      <c r="B3440" s="30" t="s">
        <v>8345</v>
      </c>
      <c r="C3440" s="30" t="s">
        <v>6625</v>
      </c>
      <c r="D3440" s="30" t="s">
        <v>17</v>
      </c>
      <c r="E3440" s="30" t="s">
        <v>31</v>
      </c>
      <c r="F3440" s="30" t="s">
        <v>32</v>
      </c>
      <c r="G3440" s="30" t="s">
        <v>50</v>
      </c>
      <c r="H3440" s="32">
        <v>99</v>
      </c>
      <c r="I3440" s="30" t="s">
        <v>21</v>
      </c>
      <c r="J3440" s="41">
        <v>43900</v>
      </c>
      <c r="K3440" s="30" t="s">
        <v>22</v>
      </c>
    </row>
    <row r="3441" spans="1:11">
      <c r="A3441" s="33" t="s">
        <v>8346</v>
      </c>
      <c r="B3441" s="33" t="s">
        <v>8347</v>
      </c>
      <c r="C3441" s="33" t="s">
        <v>1000</v>
      </c>
      <c r="D3441" s="33" t="s">
        <v>17</v>
      </c>
      <c r="E3441" s="33" t="s">
        <v>26</v>
      </c>
      <c r="F3441" s="33" t="s">
        <v>27</v>
      </c>
      <c r="G3441" s="33" t="s">
        <v>158</v>
      </c>
      <c r="H3441" s="35">
        <v>67</v>
      </c>
      <c r="I3441" s="33" t="s">
        <v>21</v>
      </c>
      <c r="J3441" s="42">
        <v>44048</v>
      </c>
      <c r="K3441" s="33" t="s">
        <v>22</v>
      </c>
    </row>
    <row r="3442" spans="1:11">
      <c r="A3442" s="30" t="s">
        <v>8348</v>
      </c>
      <c r="B3442" s="30" t="s">
        <v>8349</v>
      </c>
      <c r="C3442" s="30" t="s">
        <v>8350</v>
      </c>
      <c r="D3442" s="30" t="s">
        <v>17</v>
      </c>
      <c r="E3442" s="30" t="s">
        <v>45</v>
      </c>
      <c r="F3442" s="30" t="s">
        <v>46</v>
      </c>
      <c r="G3442" s="30" t="s">
        <v>20</v>
      </c>
      <c r="H3442" s="32">
        <v>90</v>
      </c>
      <c r="I3442" s="30" t="s">
        <v>21</v>
      </c>
      <c r="J3442" s="41">
        <v>44120</v>
      </c>
      <c r="K3442" s="30" t="s">
        <v>22</v>
      </c>
    </row>
    <row r="3443" spans="1:11">
      <c r="A3443" s="33" t="s">
        <v>8351</v>
      </c>
      <c r="B3443" s="33" t="s">
        <v>8352</v>
      </c>
      <c r="C3443" s="33" t="s">
        <v>387</v>
      </c>
      <c r="D3443" s="33" t="s">
        <v>17</v>
      </c>
      <c r="E3443" s="33" t="s">
        <v>26</v>
      </c>
      <c r="F3443" s="33" t="s">
        <v>27</v>
      </c>
      <c r="G3443" s="33" t="s">
        <v>106</v>
      </c>
      <c r="H3443" s="35">
        <v>6</v>
      </c>
      <c r="I3443" s="33" t="s">
        <v>21</v>
      </c>
      <c r="J3443" s="42">
        <v>43853</v>
      </c>
      <c r="K3443" s="33" t="s">
        <v>22</v>
      </c>
    </row>
    <row r="3444" spans="1:11">
      <c r="A3444" s="30" t="s">
        <v>8353</v>
      </c>
      <c r="B3444" s="30" t="s">
        <v>8354</v>
      </c>
      <c r="C3444" s="30" t="s">
        <v>154</v>
      </c>
      <c r="D3444" s="30" t="s">
        <v>17</v>
      </c>
      <c r="E3444" s="30" t="s">
        <v>31</v>
      </c>
      <c r="F3444" s="30" t="s">
        <v>32</v>
      </c>
      <c r="G3444" s="30" t="s">
        <v>20</v>
      </c>
      <c r="H3444" s="32">
        <v>177</v>
      </c>
      <c r="I3444" s="30" t="s">
        <v>21</v>
      </c>
      <c r="J3444" s="41">
        <v>44187</v>
      </c>
      <c r="K3444" s="30" t="s">
        <v>22</v>
      </c>
    </row>
    <row r="3445" spans="1:11">
      <c r="A3445" s="33" t="s">
        <v>8355</v>
      </c>
      <c r="B3445" s="33" t="s">
        <v>8356</v>
      </c>
      <c r="C3445" s="33" t="s">
        <v>203</v>
      </c>
      <c r="D3445" s="33" t="s">
        <v>17</v>
      </c>
      <c r="E3445" s="33" t="s">
        <v>26</v>
      </c>
      <c r="F3445" s="33" t="s">
        <v>27</v>
      </c>
      <c r="G3445" s="33" t="s">
        <v>20</v>
      </c>
      <c r="H3445" s="35">
        <v>84</v>
      </c>
      <c r="I3445" s="33" t="s">
        <v>21</v>
      </c>
      <c r="J3445" s="42">
        <v>44165</v>
      </c>
      <c r="K3445" s="33" t="s">
        <v>22</v>
      </c>
    </row>
    <row r="3446" spans="1:11">
      <c r="A3446" s="30" t="s">
        <v>8357</v>
      </c>
      <c r="B3446" s="30" t="s">
        <v>8358</v>
      </c>
      <c r="C3446" s="30" t="s">
        <v>178</v>
      </c>
      <c r="D3446" s="30" t="s">
        <v>17</v>
      </c>
      <c r="E3446" s="30" t="s">
        <v>45</v>
      </c>
      <c r="F3446" s="30" t="s">
        <v>46</v>
      </c>
      <c r="G3446" s="30" t="s">
        <v>158</v>
      </c>
      <c r="H3446" s="32">
        <v>325</v>
      </c>
      <c r="I3446" s="30" t="s">
        <v>21</v>
      </c>
      <c r="J3446" s="41">
        <v>43859</v>
      </c>
      <c r="K3446" s="30" t="s">
        <v>22</v>
      </c>
    </row>
    <row r="3447" spans="1:11">
      <c r="A3447" s="33" t="s">
        <v>8359</v>
      </c>
      <c r="B3447" s="33" t="s">
        <v>8360</v>
      </c>
      <c r="C3447" s="33" t="s">
        <v>3013</v>
      </c>
      <c r="D3447" s="33" t="s">
        <v>17</v>
      </c>
      <c r="E3447" s="33" t="s">
        <v>31</v>
      </c>
      <c r="F3447" s="33" t="s">
        <v>32</v>
      </c>
      <c r="G3447" s="33" t="s">
        <v>106</v>
      </c>
      <c r="H3447" s="35">
        <v>161</v>
      </c>
      <c r="I3447" s="33" t="s">
        <v>21</v>
      </c>
      <c r="J3447" s="42">
        <v>44153</v>
      </c>
      <c r="K3447" s="33" t="s">
        <v>22</v>
      </c>
    </row>
    <row r="3448" spans="1:11">
      <c r="A3448" s="30" t="s">
        <v>8361</v>
      </c>
      <c r="B3448" s="30" t="s">
        <v>8362</v>
      </c>
      <c r="C3448" s="30" t="s">
        <v>7153</v>
      </c>
      <c r="D3448" s="30" t="s">
        <v>17</v>
      </c>
      <c r="E3448" s="30" t="s">
        <v>45</v>
      </c>
      <c r="F3448" s="30" t="s">
        <v>46</v>
      </c>
      <c r="G3448" s="30" t="s">
        <v>20</v>
      </c>
      <c r="H3448" s="32">
        <v>554</v>
      </c>
      <c r="I3448" s="30" t="s">
        <v>21</v>
      </c>
      <c r="J3448" s="41">
        <v>44102</v>
      </c>
      <c r="K3448" s="30" t="s">
        <v>22</v>
      </c>
    </row>
    <row r="3449" spans="1:11">
      <c r="A3449" s="33" t="s">
        <v>8363</v>
      </c>
      <c r="B3449" s="33" t="s">
        <v>8364</v>
      </c>
      <c r="C3449" s="33" t="s">
        <v>75</v>
      </c>
      <c r="D3449" s="33" t="s">
        <v>17</v>
      </c>
      <c r="E3449" s="33" t="s">
        <v>26</v>
      </c>
      <c r="F3449" s="33" t="s">
        <v>27</v>
      </c>
      <c r="G3449" s="33" t="s">
        <v>20</v>
      </c>
      <c r="H3449" s="35">
        <v>40</v>
      </c>
      <c r="I3449" s="33" t="s">
        <v>21</v>
      </c>
      <c r="J3449" s="42">
        <v>44074</v>
      </c>
      <c r="K3449" s="33" t="s">
        <v>22</v>
      </c>
    </row>
    <row r="3450" spans="1:11">
      <c r="A3450" s="30" t="s">
        <v>8365</v>
      </c>
      <c r="B3450" s="30" t="s">
        <v>8366</v>
      </c>
      <c r="C3450" s="30" t="s">
        <v>8367</v>
      </c>
      <c r="D3450" s="30" t="s">
        <v>17</v>
      </c>
      <c r="E3450" s="30" t="s">
        <v>31</v>
      </c>
      <c r="F3450" s="30" t="s">
        <v>32</v>
      </c>
      <c r="G3450" s="30" t="s">
        <v>20</v>
      </c>
      <c r="H3450" s="32">
        <v>60</v>
      </c>
      <c r="I3450" s="30" t="s">
        <v>21</v>
      </c>
      <c r="J3450" s="41">
        <v>44181</v>
      </c>
      <c r="K3450" s="30" t="s">
        <v>22</v>
      </c>
    </row>
    <row r="3451" spans="1:11">
      <c r="A3451" s="33" t="s">
        <v>8368</v>
      </c>
      <c r="B3451" s="33" t="s">
        <v>8369</v>
      </c>
      <c r="C3451" s="33" t="s">
        <v>109</v>
      </c>
      <c r="D3451" s="33" t="s">
        <v>17</v>
      </c>
      <c r="E3451" s="33" t="s">
        <v>31</v>
      </c>
      <c r="F3451" s="33" t="s">
        <v>32</v>
      </c>
      <c r="G3451" s="33" t="s">
        <v>20</v>
      </c>
      <c r="H3451" s="35">
        <v>46</v>
      </c>
      <c r="I3451" s="33" t="s">
        <v>21</v>
      </c>
      <c r="J3451" s="42">
        <v>43838</v>
      </c>
      <c r="K3451" s="33" t="s">
        <v>22</v>
      </c>
    </row>
    <row r="3452" spans="1:11">
      <c r="A3452" s="30" t="s">
        <v>8370</v>
      </c>
      <c r="B3452" s="30" t="s">
        <v>8371</v>
      </c>
      <c r="C3452" s="30" t="s">
        <v>96</v>
      </c>
      <c r="D3452" s="30" t="s">
        <v>17</v>
      </c>
      <c r="E3452" s="30" t="s">
        <v>18</v>
      </c>
      <c r="F3452" s="30" t="s">
        <v>19</v>
      </c>
      <c r="G3452" s="30" t="s">
        <v>20</v>
      </c>
      <c r="H3452" s="32">
        <v>14727</v>
      </c>
      <c r="I3452" s="30" t="s">
        <v>21</v>
      </c>
      <c r="J3452" s="41">
        <v>43999</v>
      </c>
      <c r="K3452" s="30" t="s">
        <v>22</v>
      </c>
    </row>
    <row r="3453" spans="1:11">
      <c r="A3453" s="33" t="s">
        <v>8372</v>
      </c>
      <c r="B3453" s="33" t="s">
        <v>8373</v>
      </c>
      <c r="C3453" s="33" t="s">
        <v>8374</v>
      </c>
      <c r="D3453" s="33" t="s">
        <v>17</v>
      </c>
      <c r="E3453" s="33" t="s">
        <v>67</v>
      </c>
      <c r="F3453" s="33" t="s">
        <v>68</v>
      </c>
      <c r="G3453" s="33" t="s">
        <v>20</v>
      </c>
      <c r="H3453" s="35">
        <v>49</v>
      </c>
      <c r="I3453" s="33" t="s">
        <v>21</v>
      </c>
      <c r="J3453" s="42">
        <v>44130</v>
      </c>
      <c r="K3453" s="33" t="s">
        <v>22</v>
      </c>
    </row>
    <row r="3454" spans="1:11">
      <c r="A3454" s="30" t="s">
        <v>8375</v>
      </c>
      <c r="B3454" s="30" t="s">
        <v>8376</v>
      </c>
      <c r="C3454" s="30" t="s">
        <v>6607</v>
      </c>
      <c r="D3454" s="30" t="s">
        <v>17</v>
      </c>
      <c r="E3454" s="30" t="s">
        <v>67</v>
      </c>
      <c r="F3454" s="30" t="s">
        <v>68</v>
      </c>
      <c r="G3454" s="30" t="s">
        <v>20</v>
      </c>
      <c r="H3454" s="32">
        <v>26</v>
      </c>
      <c r="I3454" s="30" t="s">
        <v>21</v>
      </c>
      <c r="J3454" s="41">
        <v>44047</v>
      </c>
      <c r="K3454" s="30" t="s">
        <v>22</v>
      </c>
    </row>
    <row r="3455" spans="1:11">
      <c r="A3455" s="33" t="s">
        <v>8377</v>
      </c>
      <c r="B3455" s="33" t="s">
        <v>8378</v>
      </c>
      <c r="C3455" s="33" t="s">
        <v>190</v>
      </c>
      <c r="D3455" s="33" t="s">
        <v>17</v>
      </c>
      <c r="E3455" s="33" t="s">
        <v>31</v>
      </c>
      <c r="F3455" s="33" t="s">
        <v>32</v>
      </c>
      <c r="G3455" s="33" t="s">
        <v>20</v>
      </c>
      <c r="H3455" s="35">
        <v>137</v>
      </c>
      <c r="I3455" s="33" t="s">
        <v>21</v>
      </c>
      <c r="J3455" s="42">
        <v>44179</v>
      </c>
      <c r="K3455" s="33" t="s">
        <v>22</v>
      </c>
    </row>
    <row r="3456" spans="1:11">
      <c r="A3456" s="30" t="s">
        <v>8379</v>
      </c>
      <c r="B3456" s="30" t="s">
        <v>8380</v>
      </c>
      <c r="C3456" s="30" t="s">
        <v>1191</v>
      </c>
      <c r="D3456" s="30" t="s">
        <v>17</v>
      </c>
      <c r="E3456" s="30" t="s">
        <v>212</v>
      </c>
      <c r="F3456" s="30" t="s">
        <v>213</v>
      </c>
      <c r="G3456" s="30" t="s">
        <v>20</v>
      </c>
      <c r="H3456" s="32">
        <v>1224</v>
      </c>
      <c r="I3456" s="30" t="s">
        <v>21</v>
      </c>
      <c r="J3456" s="41">
        <v>44085</v>
      </c>
      <c r="K3456" s="30" t="s">
        <v>22</v>
      </c>
    </row>
    <row r="3457" spans="1:11">
      <c r="A3457" s="33" t="s">
        <v>8381</v>
      </c>
      <c r="B3457" s="33" t="s">
        <v>8382</v>
      </c>
      <c r="C3457" s="33" t="s">
        <v>8383</v>
      </c>
      <c r="D3457" s="33" t="s">
        <v>17</v>
      </c>
      <c r="E3457" s="33" t="s">
        <v>26</v>
      </c>
      <c r="F3457" s="33" t="s">
        <v>27</v>
      </c>
      <c r="G3457" s="33" t="s">
        <v>20</v>
      </c>
      <c r="H3457" s="35">
        <v>32</v>
      </c>
      <c r="I3457" s="33" t="s">
        <v>21</v>
      </c>
      <c r="J3457" s="42">
        <v>44102</v>
      </c>
      <c r="K3457" s="33" t="s">
        <v>22</v>
      </c>
    </row>
    <row r="3458" spans="1:11">
      <c r="A3458" s="30" t="s">
        <v>8384</v>
      </c>
      <c r="B3458" s="30" t="s">
        <v>8385</v>
      </c>
      <c r="C3458" s="30" t="s">
        <v>187</v>
      </c>
      <c r="D3458" s="30" t="s">
        <v>17</v>
      </c>
      <c r="E3458" s="30" t="s">
        <v>18</v>
      </c>
      <c r="F3458" s="30" t="s">
        <v>19</v>
      </c>
      <c r="G3458" s="30" t="s">
        <v>50</v>
      </c>
      <c r="H3458" s="32">
        <v>315</v>
      </c>
      <c r="I3458" s="30" t="s">
        <v>51</v>
      </c>
      <c r="J3458" s="41">
        <v>43978</v>
      </c>
      <c r="K3458" s="30" t="s">
        <v>22</v>
      </c>
    </row>
    <row r="3459" spans="1:11">
      <c r="A3459" s="33" t="s">
        <v>8386</v>
      </c>
      <c r="B3459" s="33" t="s">
        <v>8387</v>
      </c>
      <c r="C3459" s="33" t="s">
        <v>2807</v>
      </c>
      <c r="D3459" s="33" t="s">
        <v>17</v>
      </c>
      <c r="E3459" s="33" t="s">
        <v>18</v>
      </c>
      <c r="F3459" s="33" t="s">
        <v>19</v>
      </c>
      <c r="G3459" s="33" t="s">
        <v>20</v>
      </c>
      <c r="H3459" s="35">
        <v>136</v>
      </c>
      <c r="I3459" s="33" t="s">
        <v>21</v>
      </c>
      <c r="J3459" s="42">
        <v>43839</v>
      </c>
      <c r="K3459" s="33" t="s">
        <v>22</v>
      </c>
    </row>
    <row r="3460" spans="1:11">
      <c r="A3460" s="30" t="s">
        <v>8388</v>
      </c>
      <c r="B3460" s="30" t="s">
        <v>8389</v>
      </c>
      <c r="C3460" s="30" t="s">
        <v>1380</v>
      </c>
      <c r="D3460" s="30" t="s">
        <v>17</v>
      </c>
      <c r="E3460" s="30" t="s">
        <v>26</v>
      </c>
      <c r="F3460" s="30" t="s">
        <v>27</v>
      </c>
      <c r="G3460" s="30" t="s">
        <v>20</v>
      </c>
      <c r="H3460" s="32">
        <v>30</v>
      </c>
      <c r="I3460" s="30" t="s">
        <v>21</v>
      </c>
      <c r="J3460" s="41">
        <v>44109</v>
      </c>
      <c r="K3460" s="30" t="s">
        <v>22</v>
      </c>
    </row>
    <row r="3461" spans="1:11">
      <c r="A3461" s="33" t="s">
        <v>8390</v>
      </c>
      <c r="B3461" s="33" t="s">
        <v>8391</v>
      </c>
      <c r="C3461" s="33" t="s">
        <v>249</v>
      </c>
      <c r="D3461" s="33" t="s">
        <v>17</v>
      </c>
      <c r="E3461" s="33" t="s">
        <v>31</v>
      </c>
      <c r="F3461" s="33" t="s">
        <v>32</v>
      </c>
      <c r="G3461" s="33" t="s">
        <v>106</v>
      </c>
      <c r="H3461" s="35">
        <v>22</v>
      </c>
      <c r="I3461" s="33" t="s">
        <v>21</v>
      </c>
      <c r="J3461" s="42">
        <v>44002</v>
      </c>
      <c r="K3461" s="33" t="s">
        <v>22</v>
      </c>
    </row>
    <row r="3462" spans="1:11">
      <c r="A3462" s="30" t="s">
        <v>8392</v>
      </c>
      <c r="B3462" s="30" t="s">
        <v>8393</v>
      </c>
      <c r="C3462" s="30" t="s">
        <v>8394</v>
      </c>
      <c r="D3462" s="30" t="s">
        <v>17</v>
      </c>
      <c r="E3462" s="30" t="s">
        <v>67</v>
      </c>
      <c r="F3462" s="30" t="s">
        <v>68</v>
      </c>
      <c r="G3462" s="30" t="s">
        <v>20</v>
      </c>
      <c r="H3462" s="32">
        <v>18</v>
      </c>
      <c r="I3462" s="30" t="s">
        <v>21</v>
      </c>
      <c r="J3462" s="41">
        <v>43937</v>
      </c>
      <c r="K3462" s="30" t="s">
        <v>22</v>
      </c>
    </row>
    <row r="3463" spans="1:11">
      <c r="A3463" s="33" t="s">
        <v>8395</v>
      </c>
      <c r="B3463" s="33" t="s">
        <v>8396</v>
      </c>
      <c r="C3463" s="33" t="s">
        <v>410</v>
      </c>
      <c r="D3463" s="33" t="s">
        <v>17</v>
      </c>
      <c r="E3463" s="33" t="s">
        <v>31</v>
      </c>
      <c r="F3463" s="33" t="s">
        <v>32</v>
      </c>
      <c r="G3463" s="33" t="s">
        <v>20</v>
      </c>
      <c r="H3463" s="35">
        <v>160</v>
      </c>
      <c r="I3463" s="33" t="s">
        <v>21</v>
      </c>
      <c r="J3463" s="42">
        <v>43913</v>
      </c>
      <c r="K3463" s="33" t="s">
        <v>22</v>
      </c>
    </row>
    <row r="3464" spans="1:11">
      <c r="A3464" s="30" t="s">
        <v>8397</v>
      </c>
      <c r="B3464" s="30" t="s">
        <v>8398</v>
      </c>
      <c r="C3464" s="30" t="s">
        <v>5392</v>
      </c>
      <c r="D3464" s="30" t="s">
        <v>17</v>
      </c>
      <c r="E3464" s="30" t="s">
        <v>67</v>
      </c>
      <c r="F3464" s="30" t="s">
        <v>68</v>
      </c>
      <c r="G3464" s="30" t="s">
        <v>112</v>
      </c>
      <c r="H3464" s="32">
        <v>0</v>
      </c>
      <c r="I3464" s="30" t="s">
        <v>21</v>
      </c>
      <c r="J3464" s="41">
        <v>44166</v>
      </c>
      <c r="K3464" s="30" t="s">
        <v>22</v>
      </c>
    </row>
    <row r="3465" spans="1:11">
      <c r="A3465" s="33" t="s">
        <v>8399</v>
      </c>
      <c r="B3465" s="33" t="s">
        <v>8400</v>
      </c>
      <c r="C3465" s="33" t="s">
        <v>715</v>
      </c>
      <c r="D3465" s="33" t="s">
        <v>17</v>
      </c>
      <c r="E3465" s="33" t="s">
        <v>26</v>
      </c>
      <c r="F3465" s="33" t="s">
        <v>27</v>
      </c>
      <c r="G3465" s="33" t="s">
        <v>20</v>
      </c>
      <c r="H3465" s="35">
        <v>24</v>
      </c>
      <c r="I3465" s="33" t="s">
        <v>21</v>
      </c>
      <c r="J3465" s="42">
        <v>43857</v>
      </c>
      <c r="K3465" s="33" t="s">
        <v>22</v>
      </c>
    </row>
    <row r="3466" spans="1:11">
      <c r="A3466" s="30" t="s">
        <v>8401</v>
      </c>
      <c r="B3466" s="30" t="s">
        <v>8402</v>
      </c>
      <c r="C3466" s="30" t="s">
        <v>423</v>
      </c>
      <c r="D3466" s="30" t="s">
        <v>17</v>
      </c>
      <c r="E3466" s="30" t="s">
        <v>67</v>
      </c>
      <c r="F3466" s="30" t="s">
        <v>68</v>
      </c>
      <c r="G3466" s="30" t="s">
        <v>50</v>
      </c>
      <c r="H3466" s="32">
        <v>45</v>
      </c>
      <c r="I3466" s="30" t="s">
        <v>51</v>
      </c>
      <c r="J3466" s="41">
        <v>43832</v>
      </c>
      <c r="K3466" s="30" t="s">
        <v>22</v>
      </c>
    </row>
    <row r="3467" spans="1:11">
      <c r="A3467" s="33" t="s">
        <v>8403</v>
      </c>
      <c r="B3467" s="33" t="s">
        <v>8404</v>
      </c>
      <c r="C3467" s="33" t="s">
        <v>8405</v>
      </c>
      <c r="D3467" s="33" t="s">
        <v>17</v>
      </c>
      <c r="E3467" s="33" t="s">
        <v>31</v>
      </c>
      <c r="F3467" s="33" t="s">
        <v>32</v>
      </c>
      <c r="G3467" s="33" t="s">
        <v>140</v>
      </c>
      <c r="H3467" s="35">
        <v>85</v>
      </c>
      <c r="I3467" s="33" t="s">
        <v>51</v>
      </c>
      <c r="J3467" s="42">
        <v>44158</v>
      </c>
      <c r="K3467" s="33" t="s">
        <v>22</v>
      </c>
    </row>
    <row r="3468" spans="1:11">
      <c r="A3468" s="30" t="s">
        <v>8406</v>
      </c>
      <c r="B3468" s="30" t="s">
        <v>8407</v>
      </c>
      <c r="C3468" s="30" t="s">
        <v>75</v>
      </c>
      <c r="D3468" s="30" t="s">
        <v>17</v>
      </c>
      <c r="E3468" s="30" t="s">
        <v>31</v>
      </c>
      <c r="F3468" s="30" t="s">
        <v>32</v>
      </c>
      <c r="G3468" s="30" t="s">
        <v>20</v>
      </c>
      <c r="H3468" s="32">
        <v>403</v>
      </c>
      <c r="I3468" s="30" t="s">
        <v>21</v>
      </c>
      <c r="J3468" s="41">
        <v>44041</v>
      </c>
      <c r="K3468" s="30" t="s">
        <v>22</v>
      </c>
    </row>
    <row r="3469" spans="1:11">
      <c r="A3469" s="33" t="s">
        <v>8408</v>
      </c>
      <c r="B3469" s="33" t="s">
        <v>8409</v>
      </c>
      <c r="C3469" s="33" t="s">
        <v>8410</v>
      </c>
      <c r="D3469" s="33" t="s">
        <v>17</v>
      </c>
      <c r="E3469" s="33" t="s">
        <v>330</v>
      </c>
      <c r="F3469" s="33" t="s">
        <v>331</v>
      </c>
      <c r="G3469" s="33" t="s">
        <v>20</v>
      </c>
      <c r="H3469" s="35">
        <v>6</v>
      </c>
      <c r="I3469" s="33" t="s">
        <v>21</v>
      </c>
      <c r="J3469" s="42">
        <v>43843</v>
      </c>
      <c r="K3469" s="33" t="s">
        <v>22</v>
      </c>
    </row>
    <row r="3470" spans="1:11">
      <c r="A3470" s="30" t="s">
        <v>8411</v>
      </c>
      <c r="B3470" s="30" t="s">
        <v>8412</v>
      </c>
      <c r="C3470" s="30" t="s">
        <v>6127</v>
      </c>
      <c r="D3470" s="30" t="s">
        <v>17</v>
      </c>
      <c r="E3470" s="30" t="s">
        <v>18</v>
      </c>
      <c r="F3470" s="30" t="s">
        <v>19</v>
      </c>
      <c r="G3470" s="30" t="s">
        <v>20</v>
      </c>
      <c r="H3470" s="32">
        <v>21</v>
      </c>
      <c r="I3470" s="30" t="s">
        <v>21</v>
      </c>
      <c r="J3470" s="41">
        <v>43851</v>
      </c>
      <c r="K3470" s="30" t="s">
        <v>22</v>
      </c>
    </row>
    <row r="3471" spans="1:11">
      <c r="A3471" s="33" t="s">
        <v>8413</v>
      </c>
      <c r="B3471" s="33" t="s">
        <v>8414</v>
      </c>
      <c r="C3471" s="33" t="s">
        <v>93</v>
      </c>
      <c r="D3471" s="33" t="s">
        <v>17</v>
      </c>
      <c r="E3471" s="33" t="s">
        <v>26</v>
      </c>
      <c r="F3471" s="33" t="s">
        <v>27</v>
      </c>
      <c r="G3471" s="33" t="s">
        <v>106</v>
      </c>
      <c r="H3471" s="35">
        <v>2</v>
      </c>
      <c r="I3471" s="33" t="s">
        <v>21</v>
      </c>
      <c r="J3471" s="42">
        <v>44012</v>
      </c>
      <c r="K3471" s="33" t="s">
        <v>22</v>
      </c>
    </row>
    <row r="3472" spans="1:11">
      <c r="A3472" s="30" t="s">
        <v>8415</v>
      </c>
      <c r="B3472" s="30" t="s">
        <v>8416</v>
      </c>
      <c r="C3472" s="30" t="s">
        <v>78</v>
      </c>
      <c r="D3472" s="30" t="s">
        <v>17</v>
      </c>
      <c r="E3472" s="30" t="s">
        <v>18</v>
      </c>
      <c r="F3472" s="30" t="s">
        <v>19</v>
      </c>
      <c r="G3472" s="30" t="s">
        <v>20</v>
      </c>
      <c r="H3472" s="32">
        <v>283</v>
      </c>
      <c r="I3472" s="30" t="s">
        <v>21</v>
      </c>
      <c r="J3472" s="41">
        <v>44096</v>
      </c>
      <c r="K3472" s="30" t="s">
        <v>22</v>
      </c>
    </row>
    <row r="3473" spans="1:11">
      <c r="A3473" s="33" t="s">
        <v>8417</v>
      </c>
      <c r="B3473" s="33" t="s">
        <v>8418</v>
      </c>
      <c r="C3473" s="33" t="s">
        <v>3077</v>
      </c>
      <c r="D3473" s="33" t="s">
        <v>17</v>
      </c>
      <c r="E3473" s="33" t="s">
        <v>26</v>
      </c>
      <c r="F3473" s="33" t="s">
        <v>27</v>
      </c>
      <c r="G3473" s="33" t="s">
        <v>106</v>
      </c>
      <c r="H3473" s="35">
        <v>40</v>
      </c>
      <c r="I3473" s="33" t="s">
        <v>21</v>
      </c>
      <c r="J3473" s="42">
        <v>43987</v>
      </c>
      <c r="K3473" s="33" t="s">
        <v>22</v>
      </c>
    </row>
    <row r="3474" spans="1:11">
      <c r="A3474" s="30" t="s">
        <v>8419</v>
      </c>
      <c r="B3474" s="30" t="s">
        <v>8420</v>
      </c>
      <c r="C3474" s="30" t="s">
        <v>8421</v>
      </c>
      <c r="D3474" s="30" t="s">
        <v>17</v>
      </c>
      <c r="E3474" s="30" t="s">
        <v>31</v>
      </c>
      <c r="F3474" s="30" t="s">
        <v>32</v>
      </c>
      <c r="G3474" s="30" t="s">
        <v>20</v>
      </c>
      <c r="H3474" s="32">
        <v>129</v>
      </c>
      <c r="I3474" s="30" t="s">
        <v>21</v>
      </c>
      <c r="J3474" s="41">
        <v>43831</v>
      </c>
      <c r="K3474" s="30" t="s">
        <v>22</v>
      </c>
    </row>
    <row r="3475" spans="1:11">
      <c r="A3475" s="33" t="s">
        <v>8422</v>
      </c>
      <c r="B3475" s="33" t="s">
        <v>8423</v>
      </c>
      <c r="C3475" s="33" t="s">
        <v>1270</v>
      </c>
      <c r="D3475" s="33" t="s">
        <v>17</v>
      </c>
      <c r="E3475" s="33" t="s">
        <v>26</v>
      </c>
      <c r="F3475" s="33" t="s">
        <v>27</v>
      </c>
      <c r="G3475" s="33" t="s">
        <v>20</v>
      </c>
      <c r="H3475" s="35">
        <v>30</v>
      </c>
      <c r="I3475" s="33" t="s">
        <v>21</v>
      </c>
      <c r="J3475" s="42">
        <v>44179</v>
      </c>
      <c r="K3475" s="33" t="s">
        <v>22</v>
      </c>
    </row>
    <row r="3476" spans="1:11">
      <c r="A3476" s="30" t="s">
        <v>8424</v>
      </c>
      <c r="B3476" s="30" t="s">
        <v>8425</v>
      </c>
      <c r="C3476" s="30" t="s">
        <v>8426</v>
      </c>
      <c r="D3476" s="30" t="s">
        <v>17</v>
      </c>
      <c r="E3476" s="30" t="s">
        <v>26</v>
      </c>
      <c r="F3476" s="30" t="s">
        <v>27</v>
      </c>
      <c r="G3476" s="30" t="s">
        <v>20</v>
      </c>
      <c r="H3476" s="32">
        <v>64</v>
      </c>
      <c r="I3476" s="30" t="s">
        <v>21</v>
      </c>
      <c r="J3476" s="41">
        <v>44011</v>
      </c>
      <c r="K3476" s="30" t="s">
        <v>22</v>
      </c>
    </row>
    <row r="3477" spans="1:11">
      <c r="A3477" s="33" t="s">
        <v>8427</v>
      </c>
      <c r="B3477" s="33" t="s">
        <v>8428</v>
      </c>
      <c r="C3477" s="33" t="s">
        <v>801</v>
      </c>
      <c r="D3477" s="33" t="s">
        <v>17</v>
      </c>
      <c r="E3477" s="33" t="s">
        <v>18</v>
      </c>
      <c r="F3477" s="33" t="s">
        <v>19</v>
      </c>
      <c r="G3477" s="33" t="s">
        <v>20</v>
      </c>
      <c r="H3477" s="35">
        <v>440</v>
      </c>
      <c r="I3477" s="33" t="s">
        <v>21</v>
      </c>
      <c r="J3477" s="42">
        <v>44144</v>
      </c>
      <c r="K3477" s="33" t="s">
        <v>22</v>
      </c>
    </row>
    <row r="3478" spans="1:11">
      <c r="A3478" s="30" t="s">
        <v>8429</v>
      </c>
      <c r="B3478" s="30" t="s">
        <v>8430</v>
      </c>
      <c r="C3478" s="30" t="s">
        <v>136</v>
      </c>
      <c r="D3478" s="30" t="s">
        <v>17</v>
      </c>
      <c r="E3478" s="30" t="s">
        <v>26</v>
      </c>
      <c r="F3478" s="30" t="s">
        <v>27</v>
      </c>
      <c r="G3478" s="30" t="s">
        <v>20</v>
      </c>
      <c r="H3478" s="32">
        <v>85</v>
      </c>
      <c r="I3478" s="30" t="s">
        <v>21</v>
      </c>
      <c r="J3478" s="41">
        <v>44158</v>
      </c>
      <c r="K3478" s="30" t="s">
        <v>22</v>
      </c>
    </row>
    <row r="3479" spans="1:11">
      <c r="A3479" s="33" t="s">
        <v>8431</v>
      </c>
      <c r="B3479" s="33" t="s">
        <v>8432</v>
      </c>
      <c r="C3479" s="33" t="s">
        <v>969</v>
      </c>
      <c r="D3479" s="33" t="s">
        <v>17</v>
      </c>
      <c r="E3479" s="33" t="s">
        <v>26</v>
      </c>
      <c r="F3479" s="33" t="s">
        <v>27</v>
      </c>
      <c r="G3479" s="33" t="s">
        <v>20</v>
      </c>
      <c r="H3479" s="35">
        <v>56</v>
      </c>
      <c r="I3479" s="33" t="s">
        <v>21</v>
      </c>
      <c r="J3479" s="42">
        <v>44116</v>
      </c>
      <c r="K3479" s="33" t="s">
        <v>22</v>
      </c>
    </row>
    <row r="3480" spans="1:11">
      <c r="A3480" s="30" t="s">
        <v>8433</v>
      </c>
      <c r="B3480" s="30" t="s">
        <v>8434</v>
      </c>
      <c r="C3480" s="30" t="s">
        <v>1753</v>
      </c>
      <c r="D3480" s="30" t="s">
        <v>17</v>
      </c>
      <c r="E3480" s="30" t="s">
        <v>212</v>
      </c>
      <c r="F3480" s="30" t="s">
        <v>213</v>
      </c>
      <c r="G3480" s="30" t="s">
        <v>140</v>
      </c>
      <c r="H3480" s="32">
        <v>162</v>
      </c>
      <c r="I3480" s="30" t="s">
        <v>51</v>
      </c>
      <c r="J3480" s="41">
        <v>43878</v>
      </c>
      <c r="K3480" s="30" t="s">
        <v>22</v>
      </c>
    </row>
    <row r="3481" spans="1:11">
      <c r="A3481" s="33" t="s">
        <v>8435</v>
      </c>
      <c r="B3481" s="33" t="s">
        <v>8436</v>
      </c>
      <c r="C3481" s="33" t="s">
        <v>517</v>
      </c>
      <c r="D3481" s="33" t="s">
        <v>17</v>
      </c>
      <c r="E3481" s="33" t="s">
        <v>26</v>
      </c>
      <c r="F3481" s="33" t="s">
        <v>27</v>
      </c>
      <c r="G3481" s="33" t="s">
        <v>20</v>
      </c>
      <c r="H3481" s="35">
        <v>30</v>
      </c>
      <c r="I3481" s="33" t="s">
        <v>21</v>
      </c>
      <c r="J3481" s="42">
        <v>43981</v>
      </c>
      <c r="K3481" s="33" t="s">
        <v>22</v>
      </c>
    </row>
    <row r="3482" spans="1:11">
      <c r="A3482" s="30" t="s">
        <v>8437</v>
      </c>
      <c r="B3482" s="30" t="s">
        <v>8438</v>
      </c>
      <c r="C3482" s="30" t="s">
        <v>379</v>
      </c>
      <c r="D3482" s="30" t="s">
        <v>17</v>
      </c>
      <c r="E3482" s="30" t="s">
        <v>26</v>
      </c>
      <c r="F3482" s="30" t="s">
        <v>27</v>
      </c>
      <c r="G3482" s="30" t="s">
        <v>20</v>
      </c>
      <c r="H3482" s="32">
        <v>160</v>
      </c>
      <c r="I3482" s="30" t="s">
        <v>21</v>
      </c>
      <c r="J3482" s="41">
        <v>44013</v>
      </c>
      <c r="K3482" s="30" t="s">
        <v>22</v>
      </c>
    </row>
    <row r="3483" spans="1:11">
      <c r="A3483" s="33" t="s">
        <v>8439</v>
      </c>
      <c r="B3483" s="33" t="s">
        <v>8440</v>
      </c>
      <c r="C3483" s="33" t="s">
        <v>96</v>
      </c>
      <c r="D3483" s="33" t="s">
        <v>17</v>
      </c>
      <c r="E3483" s="33" t="s">
        <v>18</v>
      </c>
      <c r="F3483" s="33" t="s">
        <v>19</v>
      </c>
      <c r="G3483" s="33" t="s">
        <v>20</v>
      </c>
      <c r="H3483" s="35">
        <v>839</v>
      </c>
      <c r="I3483" s="33" t="s">
        <v>21</v>
      </c>
      <c r="J3483" s="42">
        <v>44169</v>
      </c>
      <c r="K3483" s="33" t="s">
        <v>22</v>
      </c>
    </row>
    <row r="3484" spans="1:11">
      <c r="A3484" s="30" t="s">
        <v>8441</v>
      </c>
      <c r="B3484" s="30" t="s">
        <v>8442</v>
      </c>
      <c r="C3484" s="30" t="s">
        <v>8443</v>
      </c>
      <c r="D3484" s="30" t="s">
        <v>17</v>
      </c>
      <c r="E3484" s="30" t="s">
        <v>330</v>
      </c>
      <c r="F3484" s="30" t="s">
        <v>331</v>
      </c>
      <c r="G3484" s="30" t="s">
        <v>50</v>
      </c>
      <c r="H3484" s="32">
        <v>10</v>
      </c>
      <c r="I3484" s="30" t="s">
        <v>51</v>
      </c>
      <c r="J3484" s="41">
        <v>43916</v>
      </c>
      <c r="K3484" s="30" t="s">
        <v>22</v>
      </c>
    </row>
    <row r="3485" spans="1:11">
      <c r="A3485" s="33" t="s">
        <v>8444</v>
      </c>
      <c r="B3485" s="33" t="s">
        <v>8445</v>
      </c>
      <c r="C3485" s="33" t="s">
        <v>2313</v>
      </c>
      <c r="D3485" s="33" t="s">
        <v>17</v>
      </c>
      <c r="E3485" s="33" t="s">
        <v>18</v>
      </c>
      <c r="F3485" s="33" t="s">
        <v>19</v>
      </c>
      <c r="G3485" s="33" t="s">
        <v>20</v>
      </c>
      <c r="H3485" s="35">
        <v>377</v>
      </c>
      <c r="I3485" s="33" t="s">
        <v>21</v>
      </c>
      <c r="J3485" s="42">
        <v>43965</v>
      </c>
      <c r="K3485" s="33" t="s">
        <v>22</v>
      </c>
    </row>
    <row r="3486" spans="1:11">
      <c r="A3486" s="30" t="s">
        <v>8446</v>
      </c>
      <c r="B3486" s="30" t="s">
        <v>8447</v>
      </c>
      <c r="C3486" s="30" t="s">
        <v>8448</v>
      </c>
      <c r="D3486" s="30" t="s">
        <v>17</v>
      </c>
      <c r="E3486" s="30" t="s">
        <v>31</v>
      </c>
      <c r="F3486" s="30" t="s">
        <v>32</v>
      </c>
      <c r="G3486" s="30" t="s">
        <v>106</v>
      </c>
      <c r="H3486" s="32">
        <v>761</v>
      </c>
      <c r="I3486" s="30" t="s">
        <v>21</v>
      </c>
      <c r="J3486" s="41">
        <v>44112</v>
      </c>
      <c r="K3486" s="30" t="s">
        <v>22</v>
      </c>
    </row>
    <row r="3487" spans="1:11">
      <c r="A3487" s="33" t="s">
        <v>8449</v>
      </c>
      <c r="B3487" s="33" t="s">
        <v>8450</v>
      </c>
      <c r="C3487" s="33" t="s">
        <v>8451</v>
      </c>
      <c r="D3487" s="33" t="s">
        <v>17</v>
      </c>
      <c r="E3487" s="33" t="s">
        <v>26</v>
      </c>
      <c r="F3487" s="33" t="s">
        <v>27</v>
      </c>
      <c r="G3487" s="33" t="s">
        <v>20</v>
      </c>
      <c r="H3487" s="35">
        <v>14</v>
      </c>
      <c r="I3487" s="33" t="s">
        <v>21</v>
      </c>
      <c r="J3487" s="42">
        <v>43838</v>
      </c>
      <c r="K3487" s="33" t="s">
        <v>22</v>
      </c>
    </row>
    <row r="3488" spans="1:11">
      <c r="A3488" s="30" t="s">
        <v>8452</v>
      </c>
      <c r="B3488" s="30" t="s">
        <v>8453</v>
      </c>
      <c r="C3488" s="30" t="s">
        <v>8454</v>
      </c>
      <c r="D3488" s="30" t="s">
        <v>17</v>
      </c>
      <c r="E3488" s="30" t="s">
        <v>26</v>
      </c>
      <c r="F3488" s="30" t="s">
        <v>27</v>
      </c>
      <c r="G3488" s="30" t="s">
        <v>20</v>
      </c>
      <c r="H3488" s="32">
        <v>8</v>
      </c>
      <c r="I3488" s="30" t="s">
        <v>21</v>
      </c>
      <c r="J3488" s="41">
        <v>43909</v>
      </c>
      <c r="K3488" s="30" t="s">
        <v>22</v>
      </c>
    </row>
    <row r="3489" spans="1:11">
      <c r="A3489" s="33" t="s">
        <v>8455</v>
      </c>
      <c r="B3489" s="33" t="s">
        <v>8456</v>
      </c>
      <c r="C3489" s="33" t="s">
        <v>8457</v>
      </c>
      <c r="D3489" s="33" t="s">
        <v>17</v>
      </c>
      <c r="E3489" s="33" t="s">
        <v>31</v>
      </c>
      <c r="F3489" s="33" t="s">
        <v>32</v>
      </c>
      <c r="G3489" s="33" t="s">
        <v>7780</v>
      </c>
      <c r="H3489" s="35">
        <v>14</v>
      </c>
      <c r="I3489" s="33" t="s">
        <v>51</v>
      </c>
      <c r="J3489" s="42">
        <v>43978</v>
      </c>
      <c r="K3489" s="33" t="s">
        <v>22</v>
      </c>
    </row>
    <row r="3490" spans="1:11">
      <c r="A3490" s="30" t="s">
        <v>8458</v>
      </c>
      <c r="B3490" s="30" t="s">
        <v>8459</v>
      </c>
      <c r="C3490" s="30" t="s">
        <v>8460</v>
      </c>
      <c r="D3490" s="30" t="s">
        <v>17</v>
      </c>
      <c r="E3490" s="30" t="s">
        <v>31</v>
      </c>
      <c r="F3490" s="30" t="s">
        <v>32</v>
      </c>
      <c r="G3490" s="30" t="s">
        <v>20</v>
      </c>
      <c r="H3490" s="32">
        <v>438</v>
      </c>
      <c r="I3490" s="30" t="s">
        <v>21</v>
      </c>
      <c r="J3490" s="41">
        <v>44113</v>
      </c>
      <c r="K3490" s="30" t="s">
        <v>22</v>
      </c>
    </row>
    <row r="3491" spans="1:11">
      <c r="A3491" s="33" t="s">
        <v>8461</v>
      </c>
      <c r="B3491" s="33" t="s">
        <v>8462</v>
      </c>
      <c r="C3491" s="33" t="s">
        <v>1846</v>
      </c>
      <c r="D3491" s="33" t="s">
        <v>17</v>
      </c>
      <c r="E3491" s="33" t="s">
        <v>31</v>
      </c>
      <c r="F3491" s="33" t="s">
        <v>32</v>
      </c>
      <c r="G3491" s="33" t="s">
        <v>20</v>
      </c>
      <c r="H3491" s="35">
        <v>87</v>
      </c>
      <c r="I3491" s="33" t="s">
        <v>21</v>
      </c>
      <c r="J3491" s="42">
        <v>43983</v>
      </c>
      <c r="K3491" s="33" t="s">
        <v>22</v>
      </c>
    </row>
    <row r="3492" spans="1:11">
      <c r="A3492" s="30" t="s">
        <v>8463</v>
      </c>
      <c r="B3492" s="30" t="s">
        <v>8464</v>
      </c>
      <c r="C3492" s="30" t="s">
        <v>1295</v>
      </c>
      <c r="D3492" s="30" t="s">
        <v>17</v>
      </c>
      <c r="E3492" s="30" t="s">
        <v>26</v>
      </c>
      <c r="F3492" s="30" t="s">
        <v>27</v>
      </c>
      <c r="G3492" s="30" t="s">
        <v>106</v>
      </c>
      <c r="H3492" s="32">
        <v>52</v>
      </c>
      <c r="I3492" s="30" t="s">
        <v>21</v>
      </c>
      <c r="J3492" s="41">
        <v>43905</v>
      </c>
      <c r="K3492" s="30" t="s">
        <v>22</v>
      </c>
    </row>
    <row r="3493" spans="1:11">
      <c r="A3493" s="33" t="s">
        <v>8465</v>
      </c>
      <c r="B3493" s="33" t="s">
        <v>8466</v>
      </c>
      <c r="C3493" s="33" t="s">
        <v>96</v>
      </c>
      <c r="D3493" s="33" t="s">
        <v>17</v>
      </c>
      <c r="E3493" s="33" t="s">
        <v>26</v>
      </c>
      <c r="F3493" s="33" t="s">
        <v>27</v>
      </c>
      <c r="G3493" s="33" t="s">
        <v>20</v>
      </c>
      <c r="H3493" s="35">
        <v>24</v>
      </c>
      <c r="I3493" s="33" t="s">
        <v>21</v>
      </c>
      <c r="J3493" s="42">
        <v>44195</v>
      </c>
      <c r="K3493" s="33" t="s">
        <v>22</v>
      </c>
    </row>
    <row r="3494" spans="1:11">
      <c r="A3494" s="30" t="s">
        <v>8467</v>
      </c>
      <c r="B3494" s="30" t="s">
        <v>8468</v>
      </c>
      <c r="C3494" s="30" t="s">
        <v>130</v>
      </c>
      <c r="D3494" s="30" t="s">
        <v>17</v>
      </c>
      <c r="E3494" s="30" t="s">
        <v>18</v>
      </c>
      <c r="F3494" s="30" t="s">
        <v>19</v>
      </c>
      <c r="G3494" s="30" t="s">
        <v>106</v>
      </c>
      <c r="H3494" s="32">
        <v>211</v>
      </c>
      <c r="I3494" s="30" t="s">
        <v>21</v>
      </c>
      <c r="J3494" s="41">
        <v>43975</v>
      </c>
      <c r="K3494" s="30" t="s">
        <v>22</v>
      </c>
    </row>
    <row r="3495" spans="1:11">
      <c r="A3495" s="33" t="s">
        <v>8469</v>
      </c>
      <c r="B3495" s="33" t="s">
        <v>8470</v>
      </c>
      <c r="C3495" s="33" t="s">
        <v>149</v>
      </c>
      <c r="D3495" s="33" t="s">
        <v>17</v>
      </c>
      <c r="E3495" s="33" t="s">
        <v>26</v>
      </c>
      <c r="F3495" s="33" t="s">
        <v>27</v>
      </c>
      <c r="G3495" s="33" t="s">
        <v>20</v>
      </c>
      <c r="H3495" s="35">
        <v>20</v>
      </c>
      <c r="I3495" s="33" t="s">
        <v>21</v>
      </c>
      <c r="J3495" s="42">
        <v>44159</v>
      </c>
      <c r="K3495" s="33" t="s">
        <v>22</v>
      </c>
    </row>
    <row r="3496" spans="1:11">
      <c r="A3496" s="30" t="s">
        <v>8471</v>
      </c>
      <c r="B3496" s="30" t="s">
        <v>8472</v>
      </c>
      <c r="C3496" s="30" t="s">
        <v>149</v>
      </c>
      <c r="D3496" s="30" t="s">
        <v>17</v>
      </c>
      <c r="E3496" s="30" t="s">
        <v>26</v>
      </c>
      <c r="F3496" s="30" t="s">
        <v>27</v>
      </c>
      <c r="G3496" s="30" t="s">
        <v>50</v>
      </c>
      <c r="H3496" s="32">
        <v>74</v>
      </c>
      <c r="I3496" s="30" t="s">
        <v>51</v>
      </c>
      <c r="J3496" s="41">
        <v>44182</v>
      </c>
      <c r="K3496" s="30" t="s">
        <v>22</v>
      </c>
    </row>
    <row r="3497" spans="1:11">
      <c r="A3497" s="33" t="s">
        <v>8473</v>
      </c>
      <c r="B3497" s="33" t="s">
        <v>8474</v>
      </c>
      <c r="C3497" s="33" t="s">
        <v>136</v>
      </c>
      <c r="D3497" s="33" t="s">
        <v>17</v>
      </c>
      <c r="E3497" s="33" t="s">
        <v>31</v>
      </c>
      <c r="F3497" s="33" t="s">
        <v>32</v>
      </c>
      <c r="G3497" s="33" t="s">
        <v>158</v>
      </c>
      <c r="H3497" s="35">
        <v>77</v>
      </c>
      <c r="I3497" s="33" t="s">
        <v>21</v>
      </c>
      <c r="J3497" s="42">
        <v>43906</v>
      </c>
      <c r="K3497" s="33" t="s">
        <v>22</v>
      </c>
    </row>
    <row r="3498" spans="1:11">
      <c r="A3498" s="30" t="s">
        <v>8475</v>
      </c>
      <c r="B3498" s="30" t="s">
        <v>8476</v>
      </c>
      <c r="C3498" s="30" t="s">
        <v>5774</v>
      </c>
      <c r="D3498" s="30" t="s">
        <v>17</v>
      </c>
      <c r="E3498" s="30" t="s">
        <v>330</v>
      </c>
      <c r="F3498" s="30" t="s">
        <v>331</v>
      </c>
      <c r="G3498" s="30" t="s">
        <v>20</v>
      </c>
      <c r="H3498" s="32">
        <v>24</v>
      </c>
      <c r="I3498" s="30" t="s">
        <v>21</v>
      </c>
      <c r="J3498" s="41">
        <v>44077</v>
      </c>
      <c r="K3498" s="30" t="s">
        <v>22</v>
      </c>
    </row>
    <row r="3499" spans="1:11">
      <c r="A3499" s="33" t="s">
        <v>8477</v>
      </c>
      <c r="B3499" s="33" t="s">
        <v>8478</v>
      </c>
      <c r="C3499" s="33" t="s">
        <v>203</v>
      </c>
      <c r="D3499" s="33" t="s">
        <v>17</v>
      </c>
      <c r="E3499" s="33" t="s">
        <v>212</v>
      </c>
      <c r="F3499" s="33" t="s">
        <v>213</v>
      </c>
      <c r="G3499" s="33" t="s">
        <v>20</v>
      </c>
      <c r="H3499" s="35">
        <v>50</v>
      </c>
      <c r="I3499" s="33" t="s">
        <v>21</v>
      </c>
      <c r="J3499" s="42">
        <v>43965</v>
      </c>
      <c r="K3499" s="33" t="s">
        <v>22</v>
      </c>
    </row>
    <row r="3500" spans="1:11">
      <c r="A3500" s="30" t="s">
        <v>8479</v>
      </c>
      <c r="B3500" s="30" t="s">
        <v>8480</v>
      </c>
      <c r="C3500" s="30" t="s">
        <v>517</v>
      </c>
      <c r="D3500" s="30" t="s">
        <v>17</v>
      </c>
      <c r="E3500" s="30" t="s">
        <v>31</v>
      </c>
      <c r="F3500" s="30" t="s">
        <v>32</v>
      </c>
      <c r="G3500" s="30" t="s">
        <v>20</v>
      </c>
      <c r="H3500" s="32">
        <v>176</v>
      </c>
      <c r="I3500" s="30" t="s">
        <v>21</v>
      </c>
      <c r="J3500" s="41">
        <v>43886</v>
      </c>
      <c r="K3500" s="30" t="s">
        <v>22</v>
      </c>
    </row>
    <row r="3501" spans="1:11">
      <c r="A3501" s="33" t="s">
        <v>8481</v>
      </c>
      <c r="B3501" s="33" t="s">
        <v>8482</v>
      </c>
      <c r="C3501" s="33" t="s">
        <v>146</v>
      </c>
      <c r="D3501" s="33" t="s">
        <v>17</v>
      </c>
      <c r="E3501" s="33" t="s">
        <v>26</v>
      </c>
      <c r="F3501" s="33" t="s">
        <v>27</v>
      </c>
      <c r="G3501" s="33" t="s">
        <v>20</v>
      </c>
      <c r="H3501" s="35">
        <v>12</v>
      </c>
      <c r="I3501" s="33" t="s">
        <v>21</v>
      </c>
      <c r="J3501" s="42">
        <v>44070</v>
      </c>
      <c r="K3501" s="33" t="s">
        <v>22</v>
      </c>
    </row>
    <row r="3502" spans="1:11">
      <c r="A3502" s="30" t="s">
        <v>8483</v>
      </c>
      <c r="B3502" s="30" t="s">
        <v>8484</v>
      </c>
      <c r="C3502" s="30" t="s">
        <v>231</v>
      </c>
      <c r="D3502" s="30" t="s">
        <v>17</v>
      </c>
      <c r="E3502" s="30" t="s">
        <v>26</v>
      </c>
      <c r="F3502" s="30" t="s">
        <v>27</v>
      </c>
      <c r="G3502" s="30" t="s">
        <v>20</v>
      </c>
      <c r="H3502" s="32">
        <v>64</v>
      </c>
      <c r="I3502" s="30" t="s">
        <v>21</v>
      </c>
      <c r="J3502" s="41">
        <v>44056</v>
      </c>
      <c r="K3502" s="30" t="s">
        <v>22</v>
      </c>
    </row>
    <row r="3503" spans="1:11">
      <c r="A3503" s="33" t="s">
        <v>8485</v>
      </c>
      <c r="B3503" s="33" t="s">
        <v>8486</v>
      </c>
      <c r="C3503" s="33" t="s">
        <v>8487</v>
      </c>
      <c r="D3503" s="33" t="s">
        <v>17</v>
      </c>
      <c r="E3503" s="33" t="s">
        <v>67</v>
      </c>
      <c r="F3503" s="33" t="s">
        <v>68</v>
      </c>
      <c r="G3503" s="33" t="s">
        <v>50</v>
      </c>
      <c r="H3503" s="35">
        <v>90</v>
      </c>
      <c r="I3503" s="33" t="s">
        <v>51</v>
      </c>
      <c r="J3503" s="42">
        <v>44013</v>
      </c>
      <c r="K3503" s="33" t="s">
        <v>22</v>
      </c>
    </row>
    <row r="3504" spans="1:11">
      <c r="A3504" s="30" t="s">
        <v>8488</v>
      </c>
      <c r="B3504" s="30" t="s">
        <v>8489</v>
      </c>
      <c r="C3504" s="30" t="s">
        <v>8490</v>
      </c>
      <c r="D3504" s="30" t="s">
        <v>17</v>
      </c>
      <c r="E3504" s="30" t="s">
        <v>31</v>
      </c>
      <c r="F3504" s="30" t="s">
        <v>32</v>
      </c>
      <c r="G3504" s="30" t="s">
        <v>50</v>
      </c>
      <c r="H3504" s="32">
        <v>162</v>
      </c>
      <c r="I3504" s="30" t="s">
        <v>21</v>
      </c>
      <c r="J3504" s="41">
        <v>44154</v>
      </c>
      <c r="K3504" s="30" t="s">
        <v>22</v>
      </c>
    </row>
    <row r="3505" spans="1:11">
      <c r="A3505" s="33" t="s">
        <v>8491</v>
      </c>
      <c r="B3505" s="33" t="s">
        <v>8492</v>
      </c>
      <c r="C3505" s="33" t="s">
        <v>450</v>
      </c>
      <c r="D3505" s="33" t="s">
        <v>17</v>
      </c>
      <c r="E3505" s="33" t="s">
        <v>26</v>
      </c>
      <c r="F3505" s="33" t="s">
        <v>27</v>
      </c>
      <c r="G3505" s="33" t="s">
        <v>20</v>
      </c>
      <c r="H3505" s="35">
        <v>9</v>
      </c>
      <c r="I3505" s="33" t="s">
        <v>21</v>
      </c>
      <c r="J3505" s="42">
        <v>44060</v>
      </c>
      <c r="K3505" s="33" t="s">
        <v>22</v>
      </c>
    </row>
    <row r="3506" spans="1:11">
      <c r="A3506" s="30" t="s">
        <v>8493</v>
      </c>
      <c r="B3506" s="30" t="s">
        <v>8494</v>
      </c>
      <c r="C3506" s="30" t="s">
        <v>249</v>
      </c>
      <c r="D3506" s="30" t="s">
        <v>17</v>
      </c>
      <c r="E3506" s="30" t="s">
        <v>18</v>
      </c>
      <c r="F3506" s="30" t="s">
        <v>19</v>
      </c>
      <c r="G3506" s="30" t="s">
        <v>20</v>
      </c>
      <c r="H3506" s="32">
        <v>203</v>
      </c>
      <c r="I3506" s="30" t="s">
        <v>21</v>
      </c>
      <c r="J3506" s="41">
        <v>43977</v>
      </c>
      <c r="K3506" s="30" t="s">
        <v>22</v>
      </c>
    </row>
    <row r="3507" spans="1:11">
      <c r="A3507" s="33" t="s">
        <v>8495</v>
      </c>
      <c r="B3507" s="33" t="s">
        <v>8496</v>
      </c>
      <c r="C3507" s="33" t="s">
        <v>8497</v>
      </c>
      <c r="D3507" s="33" t="s">
        <v>17</v>
      </c>
      <c r="E3507" s="33" t="s">
        <v>26</v>
      </c>
      <c r="F3507" s="33" t="s">
        <v>27</v>
      </c>
      <c r="G3507" s="33" t="s">
        <v>20</v>
      </c>
      <c r="H3507" s="35">
        <v>64</v>
      </c>
      <c r="I3507" s="33" t="s">
        <v>21</v>
      </c>
      <c r="J3507" s="42">
        <v>44173</v>
      </c>
      <c r="K3507" s="33" t="s">
        <v>22</v>
      </c>
    </row>
    <row r="3508" spans="1:11">
      <c r="A3508" s="30" t="s">
        <v>8498</v>
      </c>
      <c r="B3508" s="30" t="s">
        <v>8499</v>
      </c>
      <c r="C3508" s="30" t="s">
        <v>2822</v>
      </c>
      <c r="D3508" s="30" t="s">
        <v>17</v>
      </c>
      <c r="E3508" s="30" t="s">
        <v>31</v>
      </c>
      <c r="F3508" s="30" t="s">
        <v>32</v>
      </c>
      <c r="G3508" s="30" t="s">
        <v>106</v>
      </c>
      <c r="H3508" s="32">
        <v>1</v>
      </c>
      <c r="I3508" s="30" t="s">
        <v>21</v>
      </c>
      <c r="J3508" s="41">
        <v>44127</v>
      </c>
      <c r="K3508" s="30" t="s">
        <v>22</v>
      </c>
    </row>
    <row r="3509" spans="1:11">
      <c r="A3509" s="33" t="s">
        <v>8500</v>
      </c>
      <c r="B3509" s="33" t="s">
        <v>8501</v>
      </c>
      <c r="C3509" s="33" t="s">
        <v>5372</v>
      </c>
      <c r="D3509" s="33" t="s">
        <v>17</v>
      </c>
      <c r="E3509" s="33" t="s">
        <v>31</v>
      </c>
      <c r="F3509" s="33" t="s">
        <v>32</v>
      </c>
      <c r="G3509" s="33" t="s">
        <v>20</v>
      </c>
      <c r="H3509" s="35">
        <v>84</v>
      </c>
      <c r="I3509" s="33" t="s">
        <v>21</v>
      </c>
      <c r="J3509" s="42">
        <v>44015</v>
      </c>
      <c r="K3509" s="33" t="s">
        <v>22</v>
      </c>
    </row>
    <row r="3510" spans="1:11">
      <c r="A3510" s="30" t="s">
        <v>8502</v>
      </c>
      <c r="B3510" s="30" t="s">
        <v>8503</v>
      </c>
      <c r="C3510" s="30" t="s">
        <v>399</v>
      </c>
      <c r="D3510" s="30" t="s">
        <v>17</v>
      </c>
      <c r="E3510" s="30" t="s">
        <v>18</v>
      </c>
      <c r="F3510" s="30" t="s">
        <v>19</v>
      </c>
      <c r="G3510" s="30" t="s">
        <v>106</v>
      </c>
      <c r="H3510" s="32">
        <v>241</v>
      </c>
      <c r="I3510" s="30" t="s">
        <v>21</v>
      </c>
      <c r="J3510" s="41">
        <v>44085</v>
      </c>
      <c r="K3510" s="30" t="s">
        <v>22</v>
      </c>
    </row>
    <row r="3511" spans="1:11">
      <c r="A3511" s="33" t="s">
        <v>8504</v>
      </c>
      <c r="B3511" s="33" t="s">
        <v>8505</v>
      </c>
      <c r="C3511" s="33" t="s">
        <v>925</v>
      </c>
      <c r="D3511" s="33" t="s">
        <v>17</v>
      </c>
      <c r="E3511" s="33" t="s">
        <v>18</v>
      </c>
      <c r="F3511" s="33" t="s">
        <v>19</v>
      </c>
      <c r="G3511" s="33" t="s">
        <v>106</v>
      </c>
      <c r="H3511" s="35">
        <v>584</v>
      </c>
      <c r="I3511" s="33" t="s">
        <v>21</v>
      </c>
      <c r="J3511" s="42">
        <v>44092</v>
      </c>
      <c r="K3511" s="33" t="s">
        <v>22</v>
      </c>
    </row>
    <row r="3512" spans="1:11">
      <c r="A3512" s="30" t="s">
        <v>8506</v>
      </c>
      <c r="B3512" s="30" t="s">
        <v>8507</v>
      </c>
      <c r="C3512" s="30" t="s">
        <v>8508</v>
      </c>
      <c r="D3512" s="30" t="s">
        <v>17</v>
      </c>
      <c r="E3512" s="30" t="s">
        <v>31</v>
      </c>
      <c r="F3512" s="30" t="s">
        <v>32</v>
      </c>
      <c r="G3512" s="30" t="s">
        <v>50</v>
      </c>
      <c r="H3512" s="32">
        <v>105</v>
      </c>
      <c r="I3512" s="30" t="s">
        <v>21</v>
      </c>
      <c r="J3512" s="41">
        <v>44069</v>
      </c>
      <c r="K3512" s="30" t="s">
        <v>22</v>
      </c>
    </row>
    <row r="3513" spans="1:11">
      <c r="A3513" s="33" t="s">
        <v>8509</v>
      </c>
      <c r="B3513" s="33" t="s">
        <v>8510</v>
      </c>
      <c r="C3513" s="33" t="s">
        <v>4018</v>
      </c>
      <c r="D3513" s="33" t="s">
        <v>17</v>
      </c>
      <c r="E3513" s="33" t="s">
        <v>31</v>
      </c>
      <c r="F3513" s="33" t="s">
        <v>32</v>
      </c>
      <c r="G3513" s="33" t="s">
        <v>50</v>
      </c>
      <c r="H3513" s="35">
        <v>30</v>
      </c>
      <c r="I3513" s="33" t="s">
        <v>51</v>
      </c>
      <c r="J3513" s="42">
        <v>43941</v>
      </c>
      <c r="K3513" s="33" t="s">
        <v>22</v>
      </c>
    </row>
    <row r="3514" spans="1:11">
      <c r="A3514" s="30" t="s">
        <v>8511</v>
      </c>
      <c r="B3514" s="30" t="s">
        <v>8512</v>
      </c>
      <c r="C3514" s="30" t="s">
        <v>310</v>
      </c>
      <c r="D3514" s="30" t="s">
        <v>17</v>
      </c>
      <c r="E3514" s="30" t="s">
        <v>31</v>
      </c>
      <c r="F3514" s="30" t="s">
        <v>32</v>
      </c>
      <c r="G3514" s="30" t="s">
        <v>20</v>
      </c>
      <c r="H3514" s="32">
        <v>36</v>
      </c>
      <c r="I3514" s="30" t="s">
        <v>21</v>
      </c>
      <c r="J3514" s="41">
        <v>44126</v>
      </c>
      <c r="K3514" s="30" t="s">
        <v>22</v>
      </c>
    </row>
    <row r="3515" spans="1:11">
      <c r="A3515" s="33" t="s">
        <v>8513</v>
      </c>
      <c r="B3515" s="33" t="s">
        <v>8514</v>
      </c>
      <c r="C3515" s="33" t="s">
        <v>1764</v>
      </c>
      <c r="D3515" s="33" t="s">
        <v>17</v>
      </c>
      <c r="E3515" s="33" t="s">
        <v>18</v>
      </c>
      <c r="F3515" s="33" t="s">
        <v>19</v>
      </c>
      <c r="G3515" s="33" t="s">
        <v>20</v>
      </c>
      <c r="H3515" s="35">
        <v>80</v>
      </c>
      <c r="I3515" s="33" t="s">
        <v>21</v>
      </c>
      <c r="J3515" s="42">
        <v>44061</v>
      </c>
      <c r="K3515" s="33" t="s">
        <v>22</v>
      </c>
    </row>
    <row r="3516" spans="1:11">
      <c r="A3516" s="30" t="s">
        <v>8515</v>
      </c>
      <c r="B3516" s="30" t="s">
        <v>8516</v>
      </c>
      <c r="C3516" s="30" t="s">
        <v>96</v>
      </c>
      <c r="D3516" s="30" t="s">
        <v>17</v>
      </c>
      <c r="E3516" s="30" t="s">
        <v>31</v>
      </c>
      <c r="F3516" s="30" t="s">
        <v>32</v>
      </c>
      <c r="G3516" s="30" t="s">
        <v>20</v>
      </c>
      <c r="H3516" s="32">
        <v>104</v>
      </c>
      <c r="I3516" s="30" t="s">
        <v>21</v>
      </c>
      <c r="J3516" s="41">
        <v>44186</v>
      </c>
      <c r="K3516" s="30" t="s">
        <v>22</v>
      </c>
    </row>
    <row r="3517" spans="1:11">
      <c r="A3517" s="33" t="s">
        <v>8517</v>
      </c>
      <c r="B3517" s="33" t="s">
        <v>8518</v>
      </c>
      <c r="C3517" s="33" t="s">
        <v>8519</v>
      </c>
      <c r="D3517" s="33" t="s">
        <v>17</v>
      </c>
      <c r="E3517" s="33" t="s">
        <v>26</v>
      </c>
      <c r="F3517" s="33" t="s">
        <v>27</v>
      </c>
      <c r="G3517" s="33" t="s">
        <v>20</v>
      </c>
      <c r="H3517" s="35">
        <v>28</v>
      </c>
      <c r="I3517" s="33" t="s">
        <v>21</v>
      </c>
      <c r="J3517" s="42">
        <v>44189</v>
      </c>
      <c r="K3517" s="33" t="s">
        <v>22</v>
      </c>
    </row>
    <row r="3518" spans="1:11">
      <c r="A3518" s="30" t="s">
        <v>8520</v>
      </c>
      <c r="B3518" s="30" t="s">
        <v>8521</v>
      </c>
      <c r="C3518" s="30" t="s">
        <v>684</v>
      </c>
      <c r="D3518" s="30" t="s">
        <v>17</v>
      </c>
      <c r="E3518" s="30" t="s">
        <v>31</v>
      </c>
      <c r="F3518" s="30" t="s">
        <v>32</v>
      </c>
      <c r="G3518" s="30" t="s">
        <v>158</v>
      </c>
      <c r="H3518" s="32">
        <v>276</v>
      </c>
      <c r="I3518" s="30" t="s">
        <v>51</v>
      </c>
      <c r="J3518" s="41">
        <v>44026</v>
      </c>
      <c r="K3518" s="30" t="s">
        <v>22</v>
      </c>
    </row>
    <row r="3519" spans="1:11">
      <c r="A3519" s="33" t="s">
        <v>8522</v>
      </c>
      <c r="B3519" s="33" t="s">
        <v>8523</v>
      </c>
      <c r="C3519" s="33" t="s">
        <v>2663</v>
      </c>
      <c r="D3519" s="33" t="s">
        <v>17</v>
      </c>
      <c r="E3519" s="33" t="s">
        <v>26</v>
      </c>
      <c r="F3519" s="33" t="s">
        <v>27</v>
      </c>
      <c r="G3519" s="33" t="s">
        <v>20</v>
      </c>
      <c r="H3519" s="35">
        <v>48</v>
      </c>
      <c r="I3519" s="33" t="s">
        <v>21</v>
      </c>
      <c r="J3519" s="42">
        <v>43844</v>
      </c>
      <c r="K3519" s="33" t="s">
        <v>22</v>
      </c>
    </row>
    <row r="3520" spans="1:11">
      <c r="A3520" s="30" t="s">
        <v>8524</v>
      </c>
      <c r="B3520" s="30" t="s">
        <v>8525</v>
      </c>
      <c r="C3520" s="30" t="s">
        <v>118</v>
      </c>
      <c r="D3520" s="30" t="s">
        <v>17</v>
      </c>
      <c r="E3520" s="30" t="s">
        <v>18</v>
      </c>
      <c r="F3520" s="30" t="s">
        <v>19</v>
      </c>
      <c r="G3520" s="30" t="s">
        <v>20</v>
      </c>
      <c r="H3520" s="32">
        <v>110</v>
      </c>
      <c r="I3520" s="30" t="s">
        <v>21</v>
      </c>
      <c r="J3520" s="41">
        <v>43864</v>
      </c>
      <c r="K3520" s="30" t="s">
        <v>22</v>
      </c>
    </row>
    <row r="3521" spans="1:11">
      <c r="A3521" s="33" t="s">
        <v>8526</v>
      </c>
      <c r="B3521" s="33" t="s">
        <v>8527</v>
      </c>
      <c r="C3521" s="33" t="s">
        <v>8528</v>
      </c>
      <c r="D3521" s="33" t="s">
        <v>17</v>
      </c>
      <c r="E3521" s="33" t="s">
        <v>18</v>
      </c>
      <c r="F3521" s="33" t="s">
        <v>19</v>
      </c>
      <c r="G3521" s="33" t="s">
        <v>20</v>
      </c>
      <c r="H3521" s="35">
        <v>108</v>
      </c>
      <c r="I3521" s="33" t="s">
        <v>21</v>
      </c>
      <c r="J3521" s="42">
        <v>44132</v>
      </c>
      <c r="K3521" s="33" t="s">
        <v>22</v>
      </c>
    </row>
    <row r="3522" spans="1:11">
      <c r="A3522" s="30" t="s">
        <v>8529</v>
      </c>
      <c r="B3522" s="30" t="s">
        <v>8530</v>
      </c>
      <c r="C3522" s="30" t="s">
        <v>190</v>
      </c>
      <c r="D3522" s="30" t="s">
        <v>17</v>
      </c>
      <c r="E3522" s="30" t="s">
        <v>31</v>
      </c>
      <c r="F3522" s="30" t="s">
        <v>32</v>
      </c>
      <c r="G3522" s="30" t="s">
        <v>106</v>
      </c>
      <c r="H3522" s="32">
        <v>57</v>
      </c>
      <c r="I3522" s="30" t="s">
        <v>21</v>
      </c>
      <c r="J3522" s="41">
        <v>43893</v>
      </c>
      <c r="K3522" s="30" t="s">
        <v>22</v>
      </c>
    </row>
    <row r="3523" spans="1:11">
      <c r="A3523" s="33" t="s">
        <v>8531</v>
      </c>
      <c r="B3523" s="33" t="s">
        <v>8532</v>
      </c>
      <c r="C3523" s="33" t="s">
        <v>1598</v>
      </c>
      <c r="D3523" s="33" t="s">
        <v>17</v>
      </c>
      <c r="E3523" s="33" t="s">
        <v>67</v>
      </c>
      <c r="F3523" s="33" t="s">
        <v>68</v>
      </c>
      <c r="G3523" s="33" t="s">
        <v>20</v>
      </c>
      <c r="H3523" s="35">
        <v>60</v>
      </c>
      <c r="I3523" s="33" t="s">
        <v>21</v>
      </c>
      <c r="J3523" s="42">
        <v>43998</v>
      </c>
      <c r="K3523" s="33" t="s">
        <v>22</v>
      </c>
    </row>
    <row r="3524" spans="1:11">
      <c r="A3524" s="30" t="s">
        <v>8533</v>
      </c>
      <c r="B3524" s="30" t="s">
        <v>8534</v>
      </c>
      <c r="C3524" s="30" t="s">
        <v>187</v>
      </c>
      <c r="D3524" s="30" t="s">
        <v>17</v>
      </c>
      <c r="E3524" s="30" t="s">
        <v>26</v>
      </c>
      <c r="F3524" s="30" t="s">
        <v>27</v>
      </c>
      <c r="G3524" s="30" t="s">
        <v>50</v>
      </c>
      <c r="H3524" s="32">
        <v>50</v>
      </c>
      <c r="I3524" s="30" t="s">
        <v>51</v>
      </c>
      <c r="J3524" s="41">
        <v>43931</v>
      </c>
      <c r="K3524" s="30" t="s">
        <v>22</v>
      </c>
    </row>
    <row r="3525" spans="1:11">
      <c r="A3525" s="33" t="s">
        <v>8535</v>
      </c>
      <c r="B3525" s="33" t="s">
        <v>8536</v>
      </c>
      <c r="C3525" s="33" t="s">
        <v>2490</v>
      </c>
      <c r="D3525" s="33" t="s">
        <v>17</v>
      </c>
      <c r="E3525" s="33" t="s">
        <v>26</v>
      </c>
      <c r="F3525" s="33" t="s">
        <v>27</v>
      </c>
      <c r="G3525" s="33" t="s">
        <v>50</v>
      </c>
      <c r="H3525" s="35">
        <v>168</v>
      </c>
      <c r="I3525" s="33" t="s">
        <v>21</v>
      </c>
      <c r="J3525" s="42">
        <v>44174</v>
      </c>
      <c r="K3525" s="33" t="s">
        <v>22</v>
      </c>
    </row>
    <row r="3526" spans="1:11">
      <c r="A3526" s="30" t="s">
        <v>8537</v>
      </c>
      <c r="B3526" s="30" t="s">
        <v>8538</v>
      </c>
      <c r="C3526" s="30" t="s">
        <v>109</v>
      </c>
      <c r="D3526" s="30" t="s">
        <v>17</v>
      </c>
      <c r="E3526" s="30" t="s">
        <v>31</v>
      </c>
      <c r="F3526" s="30" t="s">
        <v>32</v>
      </c>
      <c r="G3526" s="30" t="s">
        <v>20</v>
      </c>
      <c r="H3526" s="32">
        <v>140</v>
      </c>
      <c r="I3526" s="30" t="s">
        <v>21</v>
      </c>
      <c r="J3526" s="41">
        <v>43993</v>
      </c>
      <c r="K3526" s="30" t="s">
        <v>22</v>
      </c>
    </row>
    <row r="3527" spans="1:11">
      <c r="A3527" s="33" t="s">
        <v>8539</v>
      </c>
      <c r="B3527" s="33" t="s">
        <v>8540</v>
      </c>
      <c r="C3527" s="33" t="s">
        <v>7578</v>
      </c>
      <c r="D3527" s="33" t="s">
        <v>17</v>
      </c>
      <c r="E3527" s="33" t="s">
        <v>212</v>
      </c>
      <c r="F3527" s="33" t="s">
        <v>213</v>
      </c>
      <c r="G3527" s="33" t="s">
        <v>20</v>
      </c>
      <c r="H3527" s="35">
        <v>14</v>
      </c>
      <c r="I3527" s="33" t="s">
        <v>21</v>
      </c>
      <c r="J3527" s="42">
        <v>43995</v>
      </c>
      <c r="K3527" s="33" t="s">
        <v>22</v>
      </c>
    </row>
    <row r="3528" spans="1:11">
      <c r="A3528" s="30" t="s">
        <v>8541</v>
      </c>
      <c r="B3528" s="30" t="s">
        <v>8542</v>
      </c>
      <c r="C3528" s="30" t="s">
        <v>8543</v>
      </c>
      <c r="D3528" s="30" t="s">
        <v>17</v>
      </c>
      <c r="E3528" s="30" t="s">
        <v>31</v>
      </c>
      <c r="F3528" s="30" t="s">
        <v>32</v>
      </c>
      <c r="G3528" s="30" t="s">
        <v>20</v>
      </c>
      <c r="H3528" s="32">
        <v>20</v>
      </c>
      <c r="I3528" s="30" t="s">
        <v>21</v>
      </c>
      <c r="J3528" s="41">
        <v>44165</v>
      </c>
      <c r="K3528" s="30" t="s">
        <v>22</v>
      </c>
    </row>
    <row r="3529" spans="1:11">
      <c r="A3529" s="33" t="s">
        <v>8544</v>
      </c>
      <c r="B3529" s="33" t="s">
        <v>8545</v>
      </c>
      <c r="C3529" s="33" t="s">
        <v>647</v>
      </c>
      <c r="D3529" s="33" t="s">
        <v>17</v>
      </c>
      <c r="E3529" s="33" t="s">
        <v>67</v>
      </c>
      <c r="F3529" s="33" t="s">
        <v>68</v>
      </c>
      <c r="G3529" s="33" t="s">
        <v>20</v>
      </c>
      <c r="H3529" s="35">
        <v>100</v>
      </c>
      <c r="I3529" s="33" t="s">
        <v>21</v>
      </c>
      <c r="J3529" s="42">
        <v>44008</v>
      </c>
      <c r="K3529" s="33" t="s">
        <v>22</v>
      </c>
    </row>
    <row r="3530" spans="1:11">
      <c r="A3530" s="30" t="s">
        <v>8546</v>
      </c>
      <c r="B3530" s="30" t="s">
        <v>8547</v>
      </c>
      <c r="C3530" s="30" t="s">
        <v>3013</v>
      </c>
      <c r="D3530" s="30" t="s">
        <v>17</v>
      </c>
      <c r="E3530" s="30" t="s">
        <v>26</v>
      </c>
      <c r="F3530" s="30" t="s">
        <v>27</v>
      </c>
      <c r="G3530" s="30" t="s">
        <v>20</v>
      </c>
      <c r="H3530" s="32">
        <v>138</v>
      </c>
      <c r="I3530" s="30" t="s">
        <v>21</v>
      </c>
      <c r="J3530" s="41">
        <v>44043</v>
      </c>
      <c r="K3530" s="30" t="s">
        <v>22</v>
      </c>
    </row>
    <row r="3531" spans="1:11">
      <c r="A3531" s="33" t="s">
        <v>8548</v>
      </c>
      <c r="B3531" s="33" t="s">
        <v>8549</v>
      </c>
      <c r="C3531" s="33" t="s">
        <v>4676</v>
      </c>
      <c r="D3531" s="33" t="s">
        <v>17</v>
      </c>
      <c r="E3531" s="33" t="s">
        <v>31</v>
      </c>
      <c r="F3531" s="33" t="s">
        <v>32</v>
      </c>
      <c r="G3531" s="33" t="s">
        <v>20</v>
      </c>
      <c r="H3531" s="35">
        <v>71</v>
      </c>
      <c r="I3531" s="33" t="s">
        <v>21</v>
      </c>
      <c r="J3531" s="42">
        <v>43998</v>
      </c>
      <c r="K3531" s="33" t="s">
        <v>22</v>
      </c>
    </row>
    <row r="3532" spans="1:11">
      <c r="A3532" s="30" t="s">
        <v>8550</v>
      </c>
      <c r="B3532" s="30" t="s">
        <v>8551</v>
      </c>
      <c r="C3532" s="30" t="s">
        <v>1270</v>
      </c>
      <c r="D3532" s="30" t="s">
        <v>17</v>
      </c>
      <c r="E3532" s="30" t="s">
        <v>26</v>
      </c>
      <c r="F3532" s="30" t="s">
        <v>27</v>
      </c>
      <c r="G3532" s="30" t="s">
        <v>50</v>
      </c>
      <c r="H3532" s="32">
        <v>154</v>
      </c>
      <c r="I3532" s="30" t="s">
        <v>51</v>
      </c>
      <c r="J3532" s="41">
        <v>44075</v>
      </c>
      <c r="K3532" s="30" t="s">
        <v>22</v>
      </c>
    </row>
    <row r="3533" spans="1:11">
      <c r="A3533" s="33" t="s">
        <v>8552</v>
      </c>
      <c r="B3533" s="33" t="s">
        <v>8553</v>
      </c>
      <c r="C3533" s="33" t="s">
        <v>8554</v>
      </c>
      <c r="D3533" s="33" t="s">
        <v>17</v>
      </c>
      <c r="E3533" s="33" t="s">
        <v>31</v>
      </c>
      <c r="F3533" s="33" t="s">
        <v>32</v>
      </c>
      <c r="G3533" s="33" t="s">
        <v>20</v>
      </c>
      <c r="H3533" s="35">
        <v>160</v>
      </c>
      <c r="I3533" s="33" t="s">
        <v>21</v>
      </c>
      <c r="J3533" s="42">
        <v>44081</v>
      </c>
      <c r="K3533" s="33" t="s">
        <v>22</v>
      </c>
    </row>
    <row r="3534" spans="1:11">
      <c r="A3534" s="30" t="s">
        <v>8555</v>
      </c>
      <c r="B3534" s="30" t="s">
        <v>8556</v>
      </c>
      <c r="C3534" s="30" t="s">
        <v>1428</v>
      </c>
      <c r="D3534" s="30" t="s">
        <v>17</v>
      </c>
      <c r="E3534" s="30" t="s">
        <v>67</v>
      </c>
      <c r="F3534" s="30" t="s">
        <v>68</v>
      </c>
      <c r="G3534" s="30" t="s">
        <v>50</v>
      </c>
      <c r="H3534" s="32">
        <v>66</v>
      </c>
      <c r="I3534" s="30" t="s">
        <v>51</v>
      </c>
      <c r="J3534" s="41">
        <v>44141</v>
      </c>
      <c r="K3534" s="30" t="s">
        <v>22</v>
      </c>
    </row>
    <row r="3535" spans="1:11">
      <c r="A3535" s="33" t="s">
        <v>8557</v>
      </c>
      <c r="B3535" s="33" t="s">
        <v>8558</v>
      </c>
      <c r="C3535" s="33" t="s">
        <v>426</v>
      </c>
      <c r="D3535" s="33" t="s">
        <v>17</v>
      </c>
      <c r="E3535" s="33" t="s">
        <v>67</v>
      </c>
      <c r="F3535" s="33" t="s">
        <v>68</v>
      </c>
      <c r="G3535" s="33" t="s">
        <v>140</v>
      </c>
      <c r="H3535" s="35">
        <v>123</v>
      </c>
      <c r="I3535" s="33" t="s">
        <v>51</v>
      </c>
      <c r="J3535" s="42">
        <v>44074</v>
      </c>
      <c r="K3535" s="33" t="s">
        <v>22</v>
      </c>
    </row>
    <row r="3536" spans="1:11">
      <c r="A3536" s="30" t="s">
        <v>8559</v>
      </c>
      <c r="B3536" s="30" t="s">
        <v>8560</v>
      </c>
      <c r="C3536" s="30" t="s">
        <v>8561</v>
      </c>
      <c r="D3536" s="30" t="s">
        <v>17</v>
      </c>
      <c r="E3536" s="30" t="s">
        <v>31</v>
      </c>
      <c r="F3536" s="30" t="s">
        <v>32</v>
      </c>
      <c r="G3536" s="30" t="s">
        <v>20</v>
      </c>
      <c r="H3536" s="32">
        <v>60</v>
      </c>
      <c r="I3536" s="30" t="s">
        <v>21</v>
      </c>
      <c r="J3536" s="41">
        <v>43859</v>
      </c>
      <c r="K3536" s="30" t="s">
        <v>22</v>
      </c>
    </row>
    <row r="3537" spans="1:11">
      <c r="A3537" s="33" t="s">
        <v>8562</v>
      </c>
      <c r="B3537" s="33" t="s">
        <v>8563</v>
      </c>
      <c r="C3537" s="33" t="s">
        <v>387</v>
      </c>
      <c r="D3537" s="33" t="s">
        <v>17</v>
      </c>
      <c r="E3537" s="33" t="s">
        <v>26</v>
      </c>
      <c r="F3537" s="33" t="s">
        <v>27</v>
      </c>
      <c r="G3537" s="33" t="s">
        <v>20</v>
      </c>
      <c r="H3537" s="35">
        <v>15</v>
      </c>
      <c r="I3537" s="33" t="s">
        <v>21</v>
      </c>
      <c r="J3537" s="42">
        <v>44173</v>
      </c>
      <c r="K3537" s="33" t="s">
        <v>22</v>
      </c>
    </row>
    <row r="3538" spans="1:11">
      <c r="A3538" s="30" t="s">
        <v>8564</v>
      </c>
      <c r="B3538" s="30" t="s">
        <v>8565</v>
      </c>
      <c r="C3538" s="30" t="s">
        <v>8566</v>
      </c>
      <c r="D3538" s="30" t="s">
        <v>17</v>
      </c>
      <c r="E3538" s="30" t="s">
        <v>18</v>
      </c>
      <c r="F3538" s="30" t="s">
        <v>19</v>
      </c>
      <c r="G3538" s="30" t="s">
        <v>20</v>
      </c>
      <c r="H3538" s="32">
        <v>121</v>
      </c>
      <c r="I3538" s="30" t="s">
        <v>21</v>
      </c>
      <c r="J3538" s="41">
        <v>44076</v>
      </c>
      <c r="K3538" s="30" t="s">
        <v>22</v>
      </c>
    </row>
    <row r="3539" spans="1:11">
      <c r="A3539" s="33" t="s">
        <v>8567</v>
      </c>
      <c r="B3539" s="33" t="s">
        <v>8568</v>
      </c>
      <c r="C3539" s="33" t="s">
        <v>653</v>
      </c>
      <c r="D3539" s="33" t="s">
        <v>17</v>
      </c>
      <c r="E3539" s="33" t="s">
        <v>31</v>
      </c>
      <c r="F3539" s="33" t="s">
        <v>32</v>
      </c>
      <c r="G3539" s="33" t="s">
        <v>20</v>
      </c>
      <c r="H3539" s="35">
        <v>62</v>
      </c>
      <c r="I3539" s="33" t="s">
        <v>21</v>
      </c>
      <c r="J3539" s="42">
        <v>44027</v>
      </c>
      <c r="K3539" s="33" t="s">
        <v>22</v>
      </c>
    </row>
    <row r="3540" spans="1:11">
      <c r="A3540" s="30" t="s">
        <v>8569</v>
      </c>
      <c r="B3540" s="30" t="s">
        <v>8570</v>
      </c>
      <c r="C3540" s="30" t="s">
        <v>178</v>
      </c>
      <c r="D3540" s="30" t="s">
        <v>17</v>
      </c>
      <c r="E3540" s="30" t="s">
        <v>18</v>
      </c>
      <c r="F3540" s="30" t="s">
        <v>19</v>
      </c>
      <c r="G3540" s="30" t="s">
        <v>20</v>
      </c>
      <c r="H3540" s="32">
        <v>200</v>
      </c>
      <c r="I3540" s="30" t="s">
        <v>21</v>
      </c>
      <c r="J3540" s="41">
        <v>43866</v>
      </c>
      <c r="K3540" s="30" t="s">
        <v>22</v>
      </c>
    </row>
    <row r="3541" spans="1:11">
      <c r="A3541" s="33" t="s">
        <v>8571</v>
      </c>
      <c r="B3541" s="33" t="s">
        <v>8572</v>
      </c>
      <c r="C3541" s="33" t="s">
        <v>8573</v>
      </c>
      <c r="D3541" s="33" t="s">
        <v>17</v>
      </c>
      <c r="E3541" s="33" t="s">
        <v>26</v>
      </c>
      <c r="F3541" s="33" t="s">
        <v>27</v>
      </c>
      <c r="G3541" s="33" t="s">
        <v>20</v>
      </c>
      <c r="H3541" s="35">
        <v>30</v>
      </c>
      <c r="I3541" s="33" t="s">
        <v>21</v>
      </c>
      <c r="J3541" s="42">
        <v>44112</v>
      </c>
      <c r="K3541" s="33" t="s">
        <v>22</v>
      </c>
    </row>
    <row r="3542" spans="1:11">
      <c r="A3542" s="30" t="s">
        <v>8574</v>
      </c>
      <c r="B3542" s="30" t="s">
        <v>8575</v>
      </c>
      <c r="C3542" s="30" t="s">
        <v>5443</v>
      </c>
      <c r="D3542" s="30" t="s">
        <v>17</v>
      </c>
      <c r="E3542" s="30" t="s">
        <v>26</v>
      </c>
      <c r="F3542" s="30" t="s">
        <v>27</v>
      </c>
      <c r="G3542" s="30" t="s">
        <v>20</v>
      </c>
      <c r="H3542" s="32">
        <v>10</v>
      </c>
      <c r="I3542" s="30" t="s">
        <v>21</v>
      </c>
      <c r="J3542" s="41">
        <v>43903</v>
      </c>
      <c r="K3542" s="30" t="s">
        <v>22</v>
      </c>
    </row>
    <row r="3543" spans="1:11">
      <c r="A3543" s="33" t="s">
        <v>8576</v>
      </c>
      <c r="B3543" s="33" t="s">
        <v>8577</v>
      </c>
      <c r="C3543" s="33" t="s">
        <v>4634</v>
      </c>
      <c r="D3543" s="33" t="s">
        <v>17</v>
      </c>
      <c r="E3543" s="33" t="s">
        <v>26</v>
      </c>
      <c r="F3543" s="33" t="s">
        <v>27</v>
      </c>
      <c r="G3543" s="33" t="s">
        <v>20</v>
      </c>
      <c r="H3543" s="35">
        <v>10</v>
      </c>
      <c r="I3543" s="33" t="s">
        <v>21</v>
      </c>
      <c r="J3543" s="42">
        <v>44156</v>
      </c>
      <c r="K3543" s="33" t="s">
        <v>22</v>
      </c>
    </row>
    <row r="3544" spans="1:11">
      <c r="A3544" s="30" t="s">
        <v>8578</v>
      </c>
      <c r="B3544" s="30" t="s">
        <v>8579</v>
      </c>
      <c r="C3544" s="30" t="s">
        <v>57</v>
      </c>
      <c r="D3544" s="30" t="s">
        <v>17</v>
      </c>
      <c r="E3544" s="30" t="s">
        <v>18</v>
      </c>
      <c r="F3544" s="30" t="s">
        <v>19</v>
      </c>
      <c r="G3544" s="30" t="s">
        <v>20</v>
      </c>
      <c r="H3544" s="32">
        <v>473</v>
      </c>
      <c r="I3544" s="30" t="s">
        <v>21</v>
      </c>
      <c r="J3544" s="41">
        <v>44055</v>
      </c>
      <c r="K3544" s="30" t="s">
        <v>22</v>
      </c>
    </row>
    <row r="3545" spans="1:11">
      <c r="A3545" s="33" t="s">
        <v>8580</v>
      </c>
      <c r="B3545" s="33" t="s">
        <v>8581</v>
      </c>
      <c r="C3545" s="33" t="s">
        <v>8582</v>
      </c>
      <c r="D3545" s="33" t="s">
        <v>17</v>
      </c>
      <c r="E3545" s="33" t="s">
        <v>26</v>
      </c>
      <c r="F3545" s="33" t="s">
        <v>27</v>
      </c>
      <c r="G3545" s="33" t="s">
        <v>106</v>
      </c>
      <c r="H3545" s="35">
        <v>22</v>
      </c>
      <c r="I3545" s="33" t="s">
        <v>21</v>
      </c>
      <c r="J3545" s="42">
        <v>44166</v>
      </c>
      <c r="K3545" s="33" t="s">
        <v>22</v>
      </c>
    </row>
    <row r="3546" spans="1:11">
      <c r="A3546" s="30" t="s">
        <v>8583</v>
      </c>
      <c r="B3546" s="30" t="s">
        <v>8584</v>
      </c>
      <c r="C3546" s="30" t="s">
        <v>2156</v>
      </c>
      <c r="D3546" s="30" t="s">
        <v>17</v>
      </c>
      <c r="E3546" s="30" t="s">
        <v>18</v>
      </c>
      <c r="F3546" s="30" t="s">
        <v>19</v>
      </c>
      <c r="G3546" s="30" t="s">
        <v>20</v>
      </c>
      <c r="H3546" s="32">
        <v>476</v>
      </c>
      <c r="I3546" s="30" t="s">
        <v>21</v>
      </c>
      <c r="J3546" s="41">
        <v>44103</v>
      </c>
      <c r="K3546" s="30" t="s">
        <v>22</v>
      </c>
    </row>
    <row r="3547" spans="1:11">
      <c r="A3547" s="33" t="s">
        <v>8585</v>
      </c>
      <c r="B3547" s="33" t="s">
        <v>8586</v>
      </c>
      <c r="C3547" s="33" t="s">
        <v>3114</v>
      </c>
      <c r="D3547" s="33" t="s">
        <v>17</v>
      </c>
      <c r="E3547" s="33" t="s">
        <v>26</v>
      </c>
      <c r="F3547" s="33" t="s">
        <v>27</v>
      </c>
      <c r="G3547" s="33" t="s">
        <v>50</v>
      </c>
      <c r="H3547" s="35">
        <v>30</v>
      </c>
      <c r="I3547" s="33" t="s">
        <v>51</v>
      </c>
      <c r="J3547" s="42">
        <v>44044</v>
      </c>
      <c r="K3547" s="33" t="s">
        <v>22</v>
      </c>
    </row>
    <row r="3548" spans="1:11">
      <c r="A3548" s="30" t="s">
        <v>8587</v>
      </c>
      <c r="B3548" s="30" t="s">
        <v>8588</v>
      </c>
      <c r="C3548" s="30" t="s">
        <v>1422</v>
      </c>
      <c r="D3548" s="30" t="s">
        <v>17</v>
      </c>
      <c r="E3548" s="30" t="s">
        <v>26</v>
      </c>
      <c r="F3548" s="30" t="s">
        <v>27</v>
      </c>
      <c r="G3548" s="30" t="s">
        <v>20</v>
      </c>
      <c r="H3548" s="32">
        <v>50</v>
      </c>
      <c r="I3548" s="30" t="s">
        <v>21</v>
      </c>
      <c r="J3548" s="41">
        <v>44019</v>
      </c>
      <c r="K3548" s="30" t="s">
        <v>22</v>
      </c>
    </row>
    <row r="3549" spans="1:11">
      <c r="A3549" s="33" t="s">
        <v>8589</v>
      </c>
      <c r="B3549" s="33" t="s">
        <v>8590</v>
      </c>
      <c r="C3549" s="33" t="s">
        <v>899</v>
      </c>
      <c r="D3549" s="33" t="s">
        <v>17</v>
      </c>
      <c r="E3549" s="33" t="s">
        <v>26</v>
      </c>
      <c r="F3549" s="33" t="s">
        <v>27</v>
      </c>
      <c r="G3549" s="33" t="s">
        <v>20</v>
      </c>
      <c r="H3549" s="35">
        <v>64</v>
      </c>
      <c r="I3549" s="33" t="s">
        <v>21</v>
      </c>
      <c r="J3549" s="42">
        <v>43833</v>
      </c>
      <c r="K3549" s="33" t="s">
        <v>22</v>
      </c>
    </row>
    <row r="3550" spans="1:11">
      <c r="A3550" s="30" t="s">
        <v>8591</v>
      </c>
      <c r="B3550" s="30" t="s">
        <v>8592</v>
      </c>
      <c r="C3550" s="30" t="s">
        <v>779</v>
      </c>
      <c r="D3550" s="30" t="s">
        <v>17</v>
      </c>
      <c r="E3550" s="30" t="s">
        <v>67</v>
      </c>
      <c r="F3550" s="30" t="s">
        <v>68</v>
      </c>
      <c r="G3550" s="30" t="s">
        <v>106</v>
      </c>
      <c r="H3550" s="32">
        <v>2</v>
      </c>
      <c r="I3550" s="30" t="s">
        <v>21</v>
      </c>
      <c r="J3550" s="41">
        <v>43964</v>
      </c>
      <c r="K3550" s="30" t="s">
        <v>22</v>
      </c>
    </row>
    <row r="3551" spans="1:11">
      <c r="A3551" s="33" t="s">
        <v>8593</v>
      </c>
      <c r="B3551" s="33" t="s">
        <v>8594</v>
      </c>
      <c r="C3551" s="33" t="s">
        <v>925</v>
      </c>
      <c r="D3551" s="33" t="s">
        <v>17</v>
      </c>
      <c r="E3551" s="33" t="s">
        <v>18</v>
      </c>
      <c r="F3551" s="33" t="s">
        <v>19</v>
      </c>
      <c r="G3551" s="33" t="s">
        <v>20</v>
      </c>
      <c r="H3551" s="35">
        <v>87</v>
      </c>
      <c r="I3551" s="33" t="s">
        <v>21</v>
      </c>
      <c r="J3551" s="42">
        <v>43833</v>
      </c>
      <c r="K3551" s="33" t="s">
        <v>22</v>
      </c>
    </row>
    <row r="3552" spans="1:11">
      <c r="A3552" s="30" t="s">
        <v>8595</v>
      </c>
      <c r="B3552" s="30" t="s">
        <v>8596</v>
      </c>
      <c r="C3552" s="30" t="s">
        <v>157</v>
      </c>
      <c r="D3552" s="30" t="s">
        <v>17</v>
      </c>
      <c r="E3552" s="30" t="s">
        <v>18</v>
      </c>
      <c r="F3552" s="30" t="s">
        <v>19</v>
      </c>
      <c r="G3552" s="30" t="s">
        <v>20</v>
      </c>
      <c r="H3552" s="32">
        <v>510</v>
      </c>
      <c r="I3552" s="30" t="s">
        <v>21</v>
      </c>
      <c r="J3552" s="41">
        <v>43951</v>
      </c>
      <c r="K3552" s="30" t="s">
        <v>22</v>
      </c>
    </row>
    <row r="3553" spans="1:11">
      <c r="A3553" s="33" t="s">
        <v>8597</v>
      </c>
      <c r="B3553" s="33" t="s">
        <v>8598</v>
      </c>
      <c r="C3553" s="33" t="s">
        <v>8599</v>
      </c>
      <c r="D3553" s="33" t="s">
        <v>17</v>
      </c>
      <c r="E3553" s="33" t="s">
        <v>26</v>
      </c>
      <c r="F3553" s="33" t="s">
        <v>27</v>
      </c>
      <c r="G3553" s="33" t="s">
        <v>20</v>
      </c>
      <c r="H3553" s="35">
        <v>24</v>
      </c>
      <c r="I3553" s="33" t="s">
        <v>21</v>
      </c>
      <c r="J3553" s="42">
        <v>43958</v>
      </c>
      <c r="K3553" s="33" t="s">
        <v>22</v>
      </c>
    </row>
    <row r="3554" spans="1:11">
      <c r="A3554" s="30" t="s">
        <v>8600</v>
      </c>
      <c r="B3554" s="30" t="s">
        <v>8601</v>
      </c>
      <c r="C3554" s="30" t="s">
        <v>8602</v>
      </c>
      <c r="D3554" s="30" t="s">
        <v>17</v>
      </c>
      <c r="E3554" s="30" t="s">
        <v>31</v>
      </c>
      <c r="F3554" s="30" t="s">
        <v>32</v>
      </c>
      <c r="G3554" s="30" t="s">
        <v>20</v>
      </c>
      <c r="H3554" s="32">
        <v>43</v>
      </c>
      <c r="I3554" s="30" t="s">
        <v>21</v>
      </c>
      <c r="J3554" s="41">
        <v>43857</v>
      </c>
      <c r="K3554" s="30" t="s">
        <v>22</v>
      </c>
    </row>
    <row r="3555" spans="1:11">
      <c r="A3555" s="33" t="s">
        <v>8603</v>
      </c>
      <c r="B3555" s="33" t="s">
        <v>8604</v>
      </c>
      <c r="C3555" s="33" t="s">
        <v>118</v>
      </c>
      <c r="D3555" s="33" t="s">
        <v>17</v>
      </c>
      <c r="E3555" s="33" t="s">
        <v>26</v>
      </c>
      <c r="F3555" s="33" t="s">
        <v>27</v>
      </c>
      <c r="G3555" s="33" t="s">
        <v>20</v>
      </c>
      <c r="H3555" s="35">
        <v>48</v>
      </c>
      <c r="I3555" s="33" t="s">
        <v>21</v>
      </c>
      <c r="J3555" s="42">
        <v>44055</v>
      </c>
      <c r="K3555" s="33" t="s">
        <v>22</v>
      </c>
    </row>
    <row r="3556" spans="1:11">
      <c r="A3556" s="30" t="s">
        <v>8605</v>
      </c>
      <c r="B3556" s="30" t="s">
        <v>8606</v>
      </c>
      <c r="C3556" s="30" t="s">
        <v>5443</v>
      </c>
      <c r="D3556" s="30" t="s">
        <v>17</v>
      </c>
      <c r="E3556" s="30" t="s">
        <v>31</v>
      </c>
      <c r="F3556" s="30" t="s">
        <v>32</v>
      </c>
      <c r="G3556" s="30" t="s">
        <v>140</v>
      </c>
      <c r="H3556" s="32">
        <v>60</v>
      </c>
      <c r="I3556" s="30" t="s">
        <v>51</v>
      </c>
      <c r="J3556" s="41">
        <v>44130</v>
      </c>
      <c r="K3556" s="30" t="s">
        <v>22</v>
      </c>
    </row>
    <row r="3557" spans="1:11">
      <c r="A3557" s="33" t="s">
        <v>8607</v>
      </c>
      <c r="B3557" s="33" t="s">
        <v>8608</v>
      </c>
      <c r="C3557" s="33" t="s">
        <v>154</v>
      </c>
      <c r="D3557" s="33" t="s">
        <v>17</v>
      </c>
      <c r="E3557" s="33" t="s">
        <v>67</v>
      </c>
      <c r="F3557" s="33" t="s">
        <v>68</v>
      </c>
      <c r="G3557" s="33" t="s">
        <v>20</v>
      </c>
      <c r="H3557" s="35">
        <v>71</v>
      </c>
      <c r="I3557" s="33" t="s">
        <v>21</v>
      </c>
      <c r="J3557" s="42">
        <v>43916</v>
      </c>
      <c r="K3557" s="33" t="s">
        <v>22</v>
      </c>
    </row>
    <row r="3558" spans="1:11">
      <c r="A3558" s="30" t="s">
        <v>8609</v>
      </c>
      <c r="B3558" s="30" t="s">
        <v>8610</v>
      </c>
      <c r="C3558" s="30" t="s">
        <v>8611</v>
      </c>
      <c r="D3558" s="30" t="s">
        <v>17</v>
      </c>
      <c r="E3558" s="30" t="s">
        <v>67</v>
      </c>
      <c r="F3558" s="30" t="s">
        <v>68</v>
      </c>
      <c r="G3558" s="30" t="s">
        <v>20</v>
      </c>
      <c r="H3558" s="32">
        <v>55</v>
      </c>
      <c r="I3558" s="30" t="s">
        <v>21</v>
      </c>
      <c r="J3558" s="41">
        <v>44187</v>
      </c>
      <c r="K3558" s="30" t="s">
        <v>22</v>
      </c>
    </row>
    <row r="3559" spans="1:11">
      <c r="A3559" s="33" t="s">
        <v>8612</v>
      </c>
      <c r="B3559" s="33" t="s">
        <v>8613</v>
      </c>
      <c r="C3559" s="33" t="s">
        <v>6962</v>
      </c>
      <c r="D3559" s="33" t="s">
        <v>17</v>
      </c>
      <c r="E3559" s="33" t="s">
        <v>31</v>
      </c>
      <c r="F3559" s="33" t="s">
        <v>32</v>
      </c>
      <c r="G3559" s="33" t="s">
        <v>20</v>
      </c>
      <c r="H3559" s="35">
        <v>310</v>
      </c>
      <c r="I3559" s="33" t="s">
        <v>21</v>
      </c>
      <c r="J3559" s="42">
        <v>44172</v>
      </c>
      <c r="K3559" s="33" t="s">
        <v>22</v>
      </c>
    </row>
    <row r="3560" spans="1:11">
      <c r="A3560" s="30" t="s">
        <v>8614</v>
      </c>
      <c r="B3560" s="30" t="s">
        <v>8615</v>
      </c>
      <c r="C3560" s="30" t="s">
        <v>2387</v>
      </c>
      <c r="D3560" s="30" t="s">
        <v>17</v>
      </c>
      <c r="E3560" s="30" t="s">
        <v>18</v>
      </c>
      <c r="F3560" s="30" t="s">
        <v>19</v>
      </c>
      <c r="G3560" s="30" t="s">
        <v>20</v>
      </c>
      <c r="H3560" s="32">
        <v>307</v>
      </c>
      <c r="I3560" s="30" t="s">
        <v>21</v>
      </c>
      <c r="J3560" s="41">
        <v>43998</v>
      </c>
      <c r="K3560" s="30" t="s">
        <v>22</v>
      </c>
    </row>
    <row r="3561" spans="1:11">
      <c r="A3561" s="33" t="s">
        <v>8616</v>
      </c>
      <c r="B3561" s="33" t="s">
        <v>8617</v>
      </c>
      <c r="C3561" s="33" t="s">
        <v>190</v>
      </c>
      <c r="D3561" s="33" t="s">
        <v>17</v>
      </c>
      <c r="E3561" s="33" t="s">
        <v>26</v>
      </c>
      <c r="F3561" s="33" t="s">
        <v>27</v>
      </c>
      <c r="G3561" s="33" t="s">
        <v>20</v>
      </c>
      <c r="H3561" s="35">
        <v>6</v>
      </c>
      <c r="I3561" s="33" t="s">
        <v>21</v>
      </c>
      <c r="J3561" s="42">
        <v>44006</v>
      </c>
      <c r="K3561" s="33" t="s">
        <v>22</v>
      </c>
    </row>
    <row r="3562" spans="1:11">
      <c r="A3562" s="30" t="s">
        <v>8618</v>
      </c>
      <c r="B3562" s="30" t="s">
        <v>8619</v>
      </c>
      <c r="C3562" s="30" t="s">
        <v>2313</v>
      </c>
      <c r="D3562" s="30" t="s">
        <v>17</v>
      </c>
      <c r="E3562" s="30" t="s">
        <v>31</v>
      </c>
      <c r="F3562" s="30" t="s">
        <v>32</v>
      </c>
      <c r="G3562" s="30" t="s">
        <v>106</v>
      </c>
      <c r="H3562" s="32">
        <v>144</v>
      </c>
      <c r="I3562" s="30" t="s">
        <v>21</v>
      </c>
      <c r="J3562" s="41">
        <v>44151</v>
      </c>
      <c r="K3562" s="30" t="s">
        <v>22</v>
      </c>
    </row>
    <row r="3563" spans="1:11">
      <c r="A3563" s="33" t="s">
        <v>8620</v>
      </c>
      <c r="B3563" s="33" t="s">
        <v>8621</v>
      </c>
      <c r="C3563" s="33" t="s">
        <v>8622</v>
      </c>
      <c r="D3563" s="33" t="s">
        <v>17</v>
      </c>
      <c r="E3563" s="33" t="s">
        <v>67</v>
      </c>
      <c r="F3563" s="33" t="s">
        <v>68</v>
      </c>
      <c r="G3563" s="33" t="s">
        <v>50</v>
      </c>
      <c r="H3563" s="35">
        <v>20</v>
      </c>
      <c r="I3563" s="33" t="s">
        <v>21</v>
      </c>
      <c r="J3563" s="42">
        <v>44167</v>
      </c>
      <c r="K3563" s="33" t="s">
        <v>22</v>
      </c>
    </row>
    <row r="3564" spans="1:11">
      <c r="A3564" s="30" t="s">
        <v>8623</v>
      </c>
      <c r="B3564" s="30" t="s">
        <v>8624</v>
      </c>
      <c r="C3564" s="30" t="s">
        <v>149</v>
      </c>
      <c r="D3564" s="30" t="s">
        <v>17</v>
      </c>
      <c r="E3564" s="30" t="s">
        <v>26</v>
      </c>
      <c r="F3564" s="30" t="s">
        <v>27</v>
      </c>
      <c r="G3564" s="30" t="s">
        <v>20</v>
      </c>
      <c r="H3564" s="32">
        <v>14</v>
      </c>
      <c r="I3564" s="30" t="s">
        <v>21</v>
      </c>
      <c r="J3564" s="41">
        <v>43836</v>
      </c>
      <c r="K3564" s="30" t="s">
        <v>22</v>
      </c>
    </row>
    <row r="3565" spans="1:11">
      <c r="A3565" s="33" t="s">
        <v>8625</v>
      </c>
      <c r="B3565" s="33" t="s">
        <v>8626</v>
      </c>
      <c r="C3565" s="33" t="s">
        <v>5144</v>
      </c>
      <c r="D3565" s="33" t="s">
        <v>17</v>
      </c>
      <c r="E3565" s="33" t="s">
        <v>26</v>
      </c>
      <c r="F3565" s="33" t="s">
        <v>27</v>
      </c>
      <c r="G3565" s="33" t="s">
        <v>20</v>
      </c>
      <c r="H3565" s="35">
        <v>24</v>
      </c>
      <c r="I3565" s="33" t="s">
        <v>21</v>
      </c>
      <c r="J3565" s="42">
        <v>44054</v>
      </c>
      <c r="K3565" s="33" t="s">
        <v>22</v>
      </c>
    </row>
    <row r="3566" spans="1:11">
      <c r="A3566" s="30" t="s">
        <v>8627</v>
      </c>
      <c r="B3566" s="30" t="s">
        <v>8628</v>
      </c>
      <c r="C3566" s="30" t="s">
        <v>969</v>
      </c>
      <c r="D3566" s="30" t="s">
        <v>17</v>
      </c>
      <c r="E3566" s="30" t="s">
        <v>18</v>
      </c>
      <c r="F3566" s="30" t="s">
        <v>19</v>
      </c>
      <c r="G3566" s="30" t="s">
        <v>112</v>
      </c>
      <c r="H3566" s="32">
        <v>0</v>
      </c>
      <c r="I3566" s="30" t="s">
        <v>21</v>
      </c>
      <c r="J3566" s="41">
        <v>44108</v>
      </c>
      <c r="K3566" s="30" t="s">
        <v>22</v>
      </c>
    </row>
    <row r="3567" spans="1:11">
      <c r="A3567" s="33" t="s">
        <v>8629</v>
      </c>
      <c r="B3567" s="33" t="s">
        <v>8630</v>
      </c>
      <c r="C3567" s="33" t="s">
        <v>1270</v>
      </c>
      <c r="D3567" s="33" t="s">
        <v>17</v>
      </c>
      <c r="E3567" s="33" t="s">
        <v>26</v>
      </c>
      <c r="F3567" s="33" t="s">
        <v>27</v>
      </c>
      <c r="G3567" s="33" t="s">
        <v>20</v>
      </c>
      <c r="H3567" s="35">
        <v>30</v>
      </c>
      <c r="I3567" s="33" t="s">
        <v>21</v>
      </c>
      <c r="J3567" s="42">
        <v>44175</v>
      </c>
      <c r="K3567" s="33" t="s">
        <v>22</v>
      </c>
    </row>
    <row r="3568" spans="1:11">
      <c r="A3568" s="30" t="s">
        <v>8631</v>
      </c>
      <c r="B3568" s="30" t="s">
        <v>8632</v>
      </c>
      <c r="C3568" s="30" t="s">
        <v>329</v>
      </c>
      <c r="D3568" s="30" t="s">
        <v>17</v>
      </c>
      <c r="E3568" s="30" t="s">
        <v>18</v>
      </c>
      <c r="F3568" s="30" t="s">
        <v>19</v>
      </c>
      <c r="G3568" s="30" t="s">
        <v>20</v>
      </c>
      <c r="H3568" s="32">
        <v>44247</v>
      </c>
      <c r="I3568" s="30" t="s">
        <v>21</v>
      </c>
      <c r="J3568" s="41">
        <v>44089</v>
      </c>
      <c r="K3568" s="30" t="s">
        <v>22</v>
      </c>
    </row>
    <row r="3569" spans="1:11">
      <c r="A3569" s="33" t="s">
        <v>8633</v>
      </c>
      <c r="B3569" s="33" t="s">
        <v>8634</v>
      </c>
      <c r="C3569" s="33" t="s">
        <v>6814</v>
      </c>
      <c r="D3569" s="33" t="s">
        <v>17</v>
      </c>
      <c r="E3569" s="33" t="s">
        <v>31</v>
      </c>
      <c r="F3569" s="33" t="s">
        <v>32</v>
      </c>
      <c r="G3569" s="33" t="s">
        <v>106</v>
      </c>
      <c r="H3569" s="35">
        <v>35</v>
      </c>
      <c r="I3569" s="33" t="s">
        <v>21</v>
      </c>
      <c r="J3569" s="42">
        <v>44012</v>
      </c>
      <c r="K3569" s="33" t="s">
        <v>22</v>
      </c>
    </row>
    <row r="3570" spans="1:11">
      <c r="A3570" s="30" t="s">
        <v>8635</v>
      </c>
      <c r="B3570" s="30" t="s">
        <v>8636</v>
      </c>
      <c r="C3570" s="30" t="s">
        <v>966</v>
      </c>
      <c r="D3570" s="30" t="s">
        <v>17</v>
      </c>
      <c r="E3570" s="30" t="s">
        <v>26</v>
      </c>
      <c r="F3570" s="30" t="s">
        <v>27</v>
      </c>
      <c r="G3570" s="30" t="s">
        <v>20</v>
      </c>
      <c r="H3570" s="32">
        <v>6</v>
      </c>
      <c r="I3570" s="30" t="s">
        <v>21</v>
      </c>
      <c r="J3570" s="41">
        <v>44042</v>
      </c>
      <c r="K3570" s="30" t="s">
        <v>22</v>
      </c>
    </row>
    <row r="3571" spans="1:11">
      <c r="A3571" s="33" t="s">
        <v>8637</v>
      </c>
      <c r="B3571" s="33" t="s">
        <v>8638</v>
      </c>
      <c r="C3571" s="33" t="s">
        <v>8639</v>
      </c>
      <c r="D3571" s="33" t="s">
        <v>17</v>
      </c>
      <c r="E3571" s="33" t="s">
        <v>26</v>
      </c>
      <c r="F3571" s="33" t="s">
        <v>27</v>
      </c>
      <c r="G3571" s="33" t="s">
        <v>106</v>
      </c>
      <c r="H3571" s="35">
        <v>30</v>
      </c>
      <c r="I3571" s="33" t="s">
        <v>21</v>
      </c>
      <c r="J3571" s="42">
        <v>44153</v>
      </c>
      <c r="K3571" s="33" t="s">
        <v>22</v>
      </c>
    </row>
    <row r="3572" spans="1:11">
      <c r="A3572" s="30" t="s">
        <v>8640</v>
      </c>
      <c r="B3572" s="30" t="s">
        <v>8641</v>
      </c>
      <c r="C3572" s="30" t="s">
        <v>57</v>
      </c>
      <c r="D3572" s="30" t="s">
        <v>17</v>
      </c>
      <c r="E3572" s="30" t="s">
        <v>18</v>
      </c>
      <c r="F3572" s="30" t="s">
        <v>19</v>
      </c>
      <c r="G3572" s="30" t="s">
        <v>20</v>
      </c>
      <c r="H3572" s="32">
        <v>270</v>
      </c>
      <c r="I3572" s="30" t="s">
        <v>21</v>
      </c>
      <c r="J3572" s="41">
        <v>44195</v>
      </c>
      <c r="K3572" s="30" t="s">
        <v>22</v>
      </c>
    </row>
    <row r="3573" spans="1:11">
      <c r="A3573" s="33" t="s">
        <v>8642</v>
      </c>
      <c r="B3573" s="33" t="s">
        <v>8643</v>
      </c>
      <c r="C3573" s="33" t="s">
        <v>178</v>
      </c>
      <c r="D3573" s="33" t="s">
        <v>17</v>
      </c>
      <c r="E3573" s="33" t="s">
        <v>26</v>
      </c>
      <c r="F3573" s="33" t="s">
        <v>27</v>
      </c>
      <c r="G3573" s="33" t="s">
        <v>20</v>
      </c>
      <c r="H3573" s="35">
        <v>12</v>
      </c>
      <c r="I3573" s="33" t="s">
        <v>21</v>
      </c>
      <c r="J3573" s="42">
        <v>44138</v>
      </c>
      <c r="K3573" s="33" t="s">
        <v>22</v>
      </c>
    </row>
    <row r="3574" spans="1:11">
      <c r="A3574" s="30" t="s">
        <v>8644</v>
      </c>
      <c r="B3574" s="30" t="s">
        <v>8645</v>
      </c>
      <c r="C3574" s="30" t="s">
        <v>8646</v>
      </c>
      <c r="D3574" s="30" t="s">
        <v>17</v>
      </c>
      <c r="E3574" s="30" t="s">
        <v>26</v>
      </c>
      <c r="F3574" s="30" t="s">
        <v>27</v>
      </c>
      <c r="G3574" s="30" t="s">
        <v>106</v>
      </c>
      <c r="H3574" s="32">
        <v>45</v>
      </c>
      <c r="I3574" s="30" t="s">
        <v>21</v>
      </c>
      <c r="J3574" s="41">
        <v>44110</v>
      </c>
      <c r="K3574" s="30" t="s">
        <v>22</v>
      </c>
    </row>
    <row r="3575" spans="1:11">
      <c r="A3575" s="33" t="s">
        <v>8647</v>
      </c>
      <c r="B3575" s="33" t="s">
        <v>8648</v>
      </c>
      <c r="C3575" s="33" t="s">
        <v>5424</v>
      </c>
      <c r="D3575" s="33" t="s">
        <v>17</v>
      </c>
      <c r="E3575" s="33" t="s">
        <v>26</v>
      </c>
      <c r="F3575" s="33" t="s">
        <v>27</v>
      </c>
      <c r="G3575" s="33" t="s">
        <v>50</v>
      </c>
      <c r="H3575" s="35">
        <v>39</v>
      </c>
      <c r="I3575" s="33" t="s">
        <v>51</v>
      </c>
      <c r="J3575" s="42">
        <v>43839</v>
      </c>
      <c r="K3575" s="33" t="s">
        <v>22</v>
      </c>
    </row>
    <row r="3576" spans="1:11">
      <c r="A3576" s="30" t="s">
        <v>8649</v>
      </c>
      <c r="B3576" s="30" t="s">
        <v>8650</v>
      </c>
      <c r="C3576" s="30" t="s">
        <v>2728</v>
      </c>
      <c r="D3576" s="30" t="s">
        <v>17</v>
      </c>
      <c r="E3576" s="30" t="s">
        <v>31</v>
      </c>
      <c r="F3576" s="30" t="s">
        <v>32</v>
      </c>
      <c r="G3576" s="30" t="s">
        <v>20</v>
      </c>
      <c r="H3576" s="32">
        <v>20</v>
      </c>
      <c r="I3576" s="30" t="s">
        <v>21</v>
      </c>
      <c r="J3576" s="41">
        <v>44165</v>
      </c>
      <c r="K3576" s="30" t="s">
        <v>22</v>
      </c>
    </row>
    <row r="3577" spans="1:11">
      <c r="A3577" s="33" t="s">
        <v>8651</v>
      </c>
      <c r="B3577" s="33" t="s">
        <v>8652</v>
      </c>
      <c r="C3577" s="33" t="s">
        <v>8653</v>
      </c>
      <c r="D3577" s="33" t="s">
        <v>17</v>
      </c>
      <c r="E3577" s="33" t="s">
        <v>26</v>
      </c>
      <c r="F3577" s="33" t="s">
        <v>27</v>
      </c>
      <c r="G3577" s="33" t="s">
        <v>20</v>
      </c>
      <c r="H3577" s="35">
        <v>29</v>
      </c>
      <c r="I3577" s="33" t="s">
        <v>21</v>
      </c>
      <c r="J3577" s="42">
        <v>44153</v>
      </c>
      <c r="K3577" s="33" t="s">
        <v>22</v>
      </c>
    </row>
    <row r="3578" spans="1:11">
      <c r="A3578" s="30" t="s">
        <v>8654</v>
      </c>
      <c r="B3578" s="30" t="s">
        <v>8655</v>
      </c>
      <c r="C3578" s="30" t="s">
        <v>190</v>
      </c>
      <c r="D3578" s="30" t="s">
        <v>17</v>
      </c>
      <c r="E3578" s="30" t="s">
        <v>26</v>
      </c>
      <c r="F3578" s="30" t="s">
        <v>27</v>
      </c>
      <c r="G3578" s="30" t="s">
        <v>20</v>
      </c>
      <c r="H3578" s="32">
        <v>14</v>
      </c>
      <c r="I3578" s="30" t="s">
        <v>21</v>
      </c>
      <c r="J3578" s="41">
        <v>44084</v>
      </c>
      <c r="K3578" s="30" t="s">
        <v>22</v>
      </c>
    </row>
    <row r="3579" spans="1:11">
      <c r="A3579" s="33" t="s">
        <v>8656</v>
      </c>
      <c r="B3579" s="33" t="s">
        <v>8657</v>
      </c>
      <c r="C3579" s="33" t="s">
        <v>149</v>
      </c>
      <c r="D3579" s="33" t="s">
        <v>17</v>
      </c>
      <c r="E3579" s="33" t="s">
        <v>26</v>
      </c>
      <c r="F3579" s="33" t="s">
        <v>27</v>
      </c>
      <c r="G3579" s="33" t="s">
        <v>50</v>
      </c>
      <c r="H3579" s="35">
        <v>64</v>
      </c>
      <c r="I3579" s="33" t="s">
        <v>51</v>
      </c>
      <c r="J3579" s="42">
        <v>44105</v>
      </c>
      <c r="K3579" s="33" t="s">
        <v>22</v>
      </c>
    </row>
    <row r="3580" spans="1:11">
      <c r="A3580" s="30" t="s">
        <v>8658</v>
      </c>
      <c r="B3580" s="30" t="s">
        <v>8659</v>
      </c>
      <c r="C3580" s="30" t="s">
        <v>635</v>
      </c>
      <c r="D3580" s="30" t="s">
        <v>17</v>
      </c>
      <c r="E3580" s="30" t="s">
        <v>26</v>
      </c>
      <c r="F3580" s="30" t="s">
        <v>27</v>
      </c>
      <c r="G3580" s="30" t="s">
        <v>106</v>
      </c>
      <c r="H3580" s="32">
        <v>60</v>
      </c>
      <c r="I3580" s="30" t="s">
        <v>21</v>
      </c>
      <c r="J3580" s="41">
        <v>43864</v>
      </c>
      <c r="K3580" s="30" t="s">
        <v>22</v>
      </c>
    </row>
    <row r="3581" spans="1:11">
      <c r="A3581" s="33" t="s">
        <v>8660</v>
      </c>
      <c r="B3581" s="33" t="s">
        <v>8661</v>
      </c>
      <c r="C3581" s="33" t="s">
        <v>321</v>
      </c>
      <c r="D3581" s="33" t="s">
        <v>17</v>
      </c>
      <c r="E3581" s="33" t="s">
        <v>26</v>
      </c>
      <c r="F3581" s="33" t="s">
        <v>27</v>
      </c>
      <c r="G3581" s="33" t="s">
        <v>20</v>
      </c>
      <c r="H3581" s="35">
        <v>24</v>
      </c>
      <c r="I3581" s="33" t="s">
        <v>21</v>
      </c>
      <c r="J3581" s="42">
        <v>44141</v>
      </c>
      <c r="K3581" s="33" t="s">
        <v>22</v>
      </c>
    </row>
    <row r="3582" spans="1:11">
      <c r="A3582" s="30" t="s">
        <v>8662</v>
      </c>
      <c r="B3582" s="30" t="s">
        <v>8663</v>
      </c>
      <c r="C3582" s="30" t="s">
        <v>1598</v>
      </c>
      <c r="D3582" s="30" t="s">
        <v>17</v>
      </c>
      <c r="E3582" s="30" t="s">
        <v>31</v>
      </c>
      <c r="F3582" s="30" t="s">
        <v>32</v>
      </c>
      <c r="G3582" s="30" t="s">
        <v>20</v>
      </c>
      <c r="H3582" s="32">
        <v>81</v>
      </c>
      <c r="I3582" s="30" t="s">
        <v>21</v>
      </c>
      <c r="J3582" s="41">
        <v>43928</v>
      </c>
      <c r="K3582" s="30" t="s">
        <v>22</v>
      </c>
    </row>
    <row r="3583" spans="1:11">
      <c r="A3583" s="33" t="s">
        <v>8664</v>
      </c>
      <c r="B3583" s="33" t="s">
        <v>8665</v>
      </c>
      <c r="C3583" s="33" t="s">
        <v>8666</v>
      </c>
      <c r="D3583" s="33" t="s">
        <v>17</v>
      </c>
      <c r="E3583" s="33" t="s">
        <v>67</v>
      </c>
      <c r="F3583" s="33" t="s">
        <v>68</v>
      </c>
      <c r="G3583" s="33" t="s">
        <v>20</v>
      </c>
      <c r="H3583" s="35">
        <v>32</v>
      </c>
      <c r="I3583" s="33" t="s">
        <v>21</v>
      </c>
      <c r="J3583" s="42">
        <v>44090</v>
      </c>
      <c r="K3583" s="33" t="s">
        <v>22</v>
      </c>
    </row>
    <row r="3584" spans="1:11">
      <c r="A3584" s="30" t="s">
        <v>8667</v>
      </c>
      <c r="B3584" s="30" t="s">
        <v>8668</v>
      </c>
      <c r="C3584" s="30" t="s">
        <v>203</v>
      </c>
      <c r="D3584" s="30" t="s">
        <v>17</v>
      </c>
      <c r="E3584" s="30" t="s">
        <v>26</v>
      </c>
      <c r="F3584" s="30" t="s">
        <v>27</v>
      </c>
      <c r="G3584" s="30" t="s">
        <v>20</v>
      </c>
      <c r="H3584" s="32">
        <v>9</v>
      </c>
      <c r="I3584" s="30" t="s">
        <v>21</v>
      </c>
      <c r="J3584" s="41">
        <v>44000</v>
      </c>
      <c r="K3584" s="30" t="s">
        <v>22</v>
      </c>
    </row>
    <row r="3585" spans="1:11">
      <c r="A3585" s="33" t="s">
        <v>8669</v>
      </c>
      <c r="B3585" s="33" t="s">
        <v>8670</v>
      </c>
      <c r="C3585" s="33" t="s">
        <v>684</v>
      </c>
      <c r="D3585" s="33" t="s">
        <v>17</v>
      </c>
      <c r="E3585" s="33" t="s">
        <v>26</v>
      </c>
      <c r="F3585" s="33" t="s">
        <v>27</v>
      </c>
      <c r="G3585" s="33" t="s">
        <v>20</v>
      </c>
      <c r="H3585" s="35">
        <v>56</v>
      </c>
      <c r="I3585" s="33" t="s">
        <v>21</v>
      </c>
      <c r="J3585" s="42">
        <v>44111</v>
      </c>
      <c r="K3585" s="33" t="s">
        <v>22</v>
      </c>
    </row>
    <row r="3586" spans="1:11">
      <c r="A3586" s="30" t="s">
        <v>8671</v>
      </c>
      <c r="B3586" s="30" t="s">
        <v>8672</v>
      </c>
      <c r="C3586" s="30" t="s">
        <v>647</v>
      </c>
      <c r="D3586" s="30" t="s">
        <v>17</v>
      </c>
      <c r="E3586" s="30" t="s">
        <v>18</v>
      </c>
      <c r="F3586" s="30" t="s">
        <v>19</v>
      </c>
      <c r="G3586" s="30" t="s">
        <v>20</v>
      </c>
      <c r="H3586" s="32">
        <v>1060</v>
      </c>
      <c r="I3586" s="30" t="s">
        <v>21</v>
      </c>
      <c r="J3586" s="41">
        <v>43963</v>
      </c>
      <c r="K3586" s="30" t="s">
        <v>22</v>
      </c>
    </row>
    <row r="3587" spans="1:11">
      <c r="A3587" s="33" t="s">
        <v>8673</v>
      </c>
      <c r="B3587" s="33" t="s">
        <v>8674</v>
      </c>
      <c r="C3587" s="33" t="s">
        <v>8675</v>
      </c>
      <c r="D3587" s="33" t="s">
        <v>17</v>
      </c>
      <c r="E3587" s="33" t="s">
        <v>31</v>
      </c>
      <c r="F3587" s="33" t="s">
        <v>32</v>
      </c>
      <c r="G3587" s="33" t="s">
        <v>20</v>
      </c>
      <c r="H3587" s="35">
        <v>48</v>
      </c>
      <c r="I3587" s="33" t="s">
        <v>21</v>
      </c>
      <c r="J3587" s="42">
        <v>44064</v>
      </c>
      <c r="K3587" s="33" t="s">
        <v>22</v>
      </c>
    </row>
    <row r="3588" spans="1:11">
      <c r="A3588" s="30" t="s">
        <v>8676</v>
      </c>
      <c r="B3588" s="30" t="s">
        <v>8677</v>
      </c>
      <c r="C3588" s="30" t="s">
        <v>187</v>
      </c>
      <c r="D3588" s="30" t="s">
        <v>17</v>
      </c>
      <c r="E3588" s="30" t="s">
        <v>26</v>
      </c>
      <c r="F3588" s="30" t="s">
        <v>27</v>
      </c>
      <c r="G3588" s="30" t="s">
        <v>50</v>
      </c>
      <c r="H3588" s="32">
        <v>24</v>
      </c>
      <c r="I3588" s="30" t="s">
        <v>51</v>
      </c>
      <c r="J3588" s="41">
        <v>44166</v>
      </c>
      <c r="K3588" s="30" t="s">
        <v>22</v>
      </c>
    </row>
    <row r="3589" spans="1:11">
      <c r="A3589" s="33" t="s">
        <v>8678</v>
      </c>
      <c r="B3589" s="33" t="s">
        <v>8679</v>
      </c>
      <c r="C3589" s="33" t="s">
        <v>1191</v>
      </c>
      <c r="D3589" s="33" t="s">
        <v>17</v>
      </c>
      <c r="E3589" s="33" t="s">
        <v>18</v>
      </c>
      <c r="F3589" s="33" t="s">
        <v>19</v>
      </c>
      <c r="G3589" s="33" t="s">
        <v>20</v>
      </c>
      <c r="H3589" s="35">
        <v>44101</v>
      </c>
      <c r="I3589" s="33" t="s">
        <v>21</v>
      </c>
      <c r="J3589" s="42">
        <v>44028</v>
      </c>
      <c r="K3589" s="33" t="s">
        <v>22</v>
      </c>
    </row>
    <row r="3590" spans="1:11">
      <c r="A3590" s="30" t="s">
        <v>8680</v>
      </c>
      <c r="B3590" s="30" t="s">
        <v>8681</v>
      </c>
      <c r="C3590" s="30" t="s">
        <v>154</v>
      </c>
      <c r="D3590" s="30" t="s">
        <v>17</v>
      </c>
      <c r="E3590" s="30" t="s">
        <v>26</v>
      </c>
      <c r="F3590" s="30" t="s">
        <v>27</v>
      </c>
      <c r="G3590" s="30" t="s">
        <v>20</v>
      </c>
      <c r="H3590" s="32">
        <v>66</v>
      </c>
      <c r="I3590" s="30" t="s">
        <v>21</v>
      </c>
      <c r="J3590" s="41">
        <v>44085</v>
      </c>
      <c r="K3590" s="30" t="s">
        <v>22</v>
      </c>
    </row>
    <row r="3591" spans="1:11">
      <c r="A3591" s="33" t="s">
        <v>8682</v>
      </c>
      <c r="B3591" s="33" t="s">
        <v>8683</v>
      </c>
      <c r="C3591" s="33" t="s">
        <v>8684</v>
      </c>
      <c r="D3591" s="33" t="s">
        <v>17</v>
      </c>
      <c r="E3591" s="33" t="s">
        <v>31</v>
      </c>
      <c r="F3591" s="33" t="s">
        <v>32</v>
      </c>
      <c r="G3591" s="33" t="s">
        <v>20</v>
      </c>
      <c r="H3591" s="35">
        <v>167</v>
      </c>
      <c r="I3591" s="33" t="s">
        <v>21</v>
      </c>
      <c r="J3591" s="42">
        <v>44144</v>
      </c>
      <c r="K3591" s="33" t="s">
        <v>22</v>
      </c>
    </row>
    <row r="3592" spans="1:11">
      <c r="A3592" s="30" t="s">
        <v>8685</v>
      </c>
      <c r="B3592" s="30" t="s">
        <v>8686</v>
      </c>
      <c r="C3592" s="30" t="s">
        <v>3617</v>
      </c>
      <c r="D3592" s="30" t="s">
        <v>17</v>
      </c>
      <c r="E3592" s="30" t="s">
        <v>31</v>
      </c>
      <c r="F3592" s="30" t="s">
        <v>32</v>
      </c>
      <c r="G3592" s="30" t="s">
        <v>20</v>
      </c>
      <c r="H3592" s="32">
        <v>42</v>
      </c>
      <c r="I3592" s="30" t="s">
        <v>21</v>
      </c>
      <c r="J3592" s="41">
        <v>44195</v>
      </c>
      <c r="K3592" s="30" t="s">
        <v>22</v>
      </c>
    </row>
    <row r="3593" spans="1:11">
      <c r="A3593" s="33" t="s">
        <v>8687</v>
      </c>
      <c r="B3593" s="33" t="s">
        <v>8688</v>
      </c>
      <c r="C3593" s="33" t="s">
        <v>96</v>
      </c>
      <c r="D3593" s="33" t="s">
        <v>17</v>
      </c>
      <c r="E3593" s="33" t="s">
        <v>212</v>
      </c>
      <c r="F3593" s="33" t="s">
        <v>213</v>
      </c>
      <c r="G3593" s="33" t="s">
        <v>112</v>
      </c>
      <c r="H3593" s="35">
        <v>0</v>
      </c>
      <c r="I3593" s="33" t="s">
        <v>21</v>
      </c>
      <c r="J3593" s="42">
        <v>43920</v>
      </c>
      <c r="K3593" s="33" t="s">
        <v>22</v>
      </c>
    </row>
    <row r="3594" spans="1:11">
      <c r="A3594" s="30" t="s">
        <v>8689</v>
      </c>
      <c r="B3594" s="30" t="s">
        <v>8690</v>
      </c>
      <c r="C3594" s="30" t="s">
        <v>109</v>
      </c>
      <c r="D3594" s="30" t="s">
        <v>17</v>
      </c>
      <c r="E3594" s="30" t="s">
        <v>45</v>
      </c>
      <c r="F3594" s="30" t="s">
        <v>46</v>
      </c>
      <c r="G3594" s="30" t="s">
        <v>106</v>
      </c>
      <c r="H3594" s="32">
        <v>28</v>
      </c>
      <c r="I3594" s="30" t="s">
        <v>21</v>
      </c>
      <c r="J3594" s="41">
        <v>44186</v>
      </c>
      <c r="K3594" s="30" t="s">
        <v>22</v>
      </c>
    </row>
    <row r="3595" spans="1:11">
      <c r="A3595" s="33" t="s">
        <v>8691</v>
      </c>
      <c r="B3595" s="33" t="s">
        <v>8692</v>
      </c>
      <c r="C3595" s="33" t="s">
        <v>7201</v>
      </c>
      <c r="D3595" s="33" t="s">
        <v>17</v>
      </c>
      <c r="E3595" s="33" t="s">
        <v>31</v>
      </c>
      <c r="F3595" s="33" t="s">
        <v>32</v>
      </c>
      <c r="G3595" s="33" t="s">
        <v>20</v>
      </c>
      <c r="H3595" s="35">
        <v>94</v>
      </c>
      <c r="I3595" s="33" t="s">
        <v>21</v>
      </c>
      <c r="J3595" s="42">
        <v>43964</v>
      </c>
      <c r="K3595" s="33" t="s">
        <v>22</v>
      </c>
    </row>
    <row r="3596" spans="1:11">
      <c r="A3596" s="30" t="s">
        <v>8693</v>
      </c>
      <c r="B3596" s="30" t="s">
        <v>8694</v>
      </c>
      <c r="C3596" s="30" t="s">
        <v>310</v>
      </c>
      <c r="D3596" s="30" t="s">
        <v>17</v>
      </c>
      <c r="E3596" s="30" t="s">
        <v>26</v>
      </c>
      <c r="F3596" s="30" t="s">
        <v>27</v>
      </c>
      <c r="G3596" s="30" t="s">
        <v>20</v>
      </c>
      <c r="H3596" s="32">
        <v>156</v>
      </c>
      <c r="I3596" s="30" t="s">
        <v>21</v>
      </c>
      <c r="J3596" s="41">
        <v>44071</v>
      </c>
      <c r="K3596" s="30" t="s">
        <v>22</v>
      </c>
    </row>
    <row r="3597" spans="1:11">
      <c r="A3597" s="33" t="s">
        <v>8695</v>
      </c>
      <c r="B3597" s="33" t="s">
        <v>8696</v>
      </c>
      <c r="C3597" s="33" t="s">
        <v>925</v>
      </c>
      <c r="D3597" s="33" t="s">
        <v>17</v>
      </c>
      <c r="E3597" s="33" t="s">
        <v>26</v>
      </c>
      <c r="F3597" s="33" t="s">
        <v>27</v>
      </c>
      <c r="G3597" s="33" t="s">
        <v>20</v>
      </c>
      <c r="H3597" s="35">
        <v>27</v>
      </c>
      <c r="I3597" s="33" t="s">
        <v>21</v>
      </c>
      <c r="J3597" s="42">
        <v>44139</v>
      </c>
      <c r="K3597" s="33" t="s">
        <v>22</v>
      </c>
    </row>
    <row r="3598" spans="1:11">
      <c r="A3598" s="30" t="s">
        <v>8697</v>
      </c>
      <c r="B3598" s="30" t="s">
        <v>8698</v>
      </c>
      <c r="C3598" s="30" t="s">
        <v>75</v>
      </c>
      <c r="D3598" s="30" t="s">
        <v>17</v>
      </c>
      <c r="E3598" s="30" t="s">
        <v>31</v>
      </c>
      <c r="F3598" s="30" t="s">
        <v>32</v>
      </c>
      <c r="G3598" s="30" t="s">
        <v>106</v>
      </c>
      <c r="H3598" s="32">
        <v>41</v>
      </c>
      <c r="I3598" s="30" t="s">
        <v>21</v>
      </c>
      <c r="J3598" s="41">
        <v>44047</v>
      </c>
      <c r="K3598" s="30" t="s">
        <v>22</v>
      </c>
    </row>
    <row r="3599" spans="1:11">
      <c r="A3599" s="33" t="s">
        <v>8699</v>
      </c>
      <c r="B3599" s="33" t="s">
        <v>8700</v>
      </c>
      <c r="C3599" s="33" t="s">
        <v>6255</v>
      </c>
      <c r="D3599" s="33" t="s">
        <v>17</v>
      </c>
      <c r="E3599" s="33" t="s">
        <v>26</v>
      </c>
      <c r="F3599" s="33" t="s">
        <v>27</v>
      </c>
      <c r="G3599" s="33" t="s">
        <v>20</v>
      </c>
      <c r="H3599" s="35">
        <v>20</v>
      </c>
      <c r="I3599" s="33" t="s">
        <v>21</v>
      </c>
      <c r="J3599" s="42">
        <v>44089</v>
      </c>
      <c r="K3599" s="33" t="s">
        <v>22</v>
      </c>
    </row>
    <row r="3600" spans="1:11">
      <c r="A3600" s="30" t="s">
        <v>8701</v>
      </c>
      <c r="B3600" s="30" t="s">
        <v>8702</v>
      </c>
      <c r="C3600" s="30" t="s">
        <v>2220</v>
      </c>
      <c r="D3600" s="30" t="s">
        <v>17</v>
      </c>
      <c r="E3600" s="30" t="s">
        <v>18</v>
      </c>
      <c r="F3600" s="30" t="s">
        <v>19</v>
      </c>
      <c r="G3600" s="30" t="s">
        <v>20</v>
      </c>
      <c r="H3600" s="32">
        <v>154</v>
      </c>
      <c r="I3600" s="30" t="s">
        <v>21</v>
      </c>
      <c r="J3600" s="41">
        <v>43859</v>
      </c>
      <c r="K3600" s="30" t="s">
        <v>22</v>
      </c>
    </row>
    <row r="3601" spans="1:11">
      <c r="A3601" s="33" t="s">
        <v>8703</v>
      </c>
      <c r="B3601" s="33" t="s">
        <v>8704</v>
      </c>
      <c r="C3601" s="33" t="s">
        <v>3302</v>
      </c>
      <c r="D3601" s="33" t="s">
        <v>17</v>
      </c>
      <c r="E3601" s="33" t="s">
        <v>45</v>
      </c>
      <c r="F3601" s="33" t="s">
        <v>46</v>
      </c>
      <c r="G3601" s="33" t="s">
        <v>20</v>
      </c>
      <c r="H3601" s="35">
        <v>80</v>
      </c>
      <c r="I3601" s="33" t="s">
        <v>21</v>
      </c>
      <c r="J3601" s="42">
        <v>44134</v>
      </c>
      <c r="K3601" s="33" t="s">
        <v>22</v>
      </c>
    </row>
    <row r="3602" spans="1:11">
      <c r="A3602" s="30" t="s">
        <v>8705</v>
      </c>
      <c r="B3602" s="30" t="s">
        <v>8706</v>
      </c>
      <c r="C3602" s="30" t="s">
        <v>310</v>
      </c>
      <c r="D3602" s="30" t="s">
        <v>17</v>
      </c>
      <c r="E3602" s="30" t="s">
        <v>26</v>
      </c>
      <c r="F3602" s="30" t="s">
        <v>27</v>
      </c>
      <c r="G3602" s="30" t="s">
        <v>106</v>
      </c>
      <c r="H3602" s="32">
        <v>25</v>
      </c>
      <c r="I3602" s="30" t="s">
        <v>21</v>
      </c>
      <c r="J3602" s="41">
        <v>44195</v>
      </c>
      <c r="K3602" s="30" t="s">
        <v>22</v>
      </c>
    </row>
    <row r="3603" spans="1:11">
      <c r="A3603" s="33" t="s">
        <v>8707</v>
      </c>
      <c r="B3603" s="33" t="s">
        <v>8708</v>
      </c>
      <c r="C3603" s="33" t="s">
        <v>196</v>
      </c>
      <c r="D3603" s="33" t="s">
        <v>17</v>
      </c>
      <c r="E3603" s="33" t="s">
        <v>18</v>
      </c>
      <c r="F3603" s="33" t="s">
        <v>19</v>
      </c>
      <c r="G3603" s="33" t="s">
        <v>50</v>
      </c>
      <c r="H3603" s="35">
        <v>448</v>
      </c>
      <c r="I3603" s="33" t="s">
        <v>51</v>
      </c>
      <c r="J3603" s="42">
        <v>43850</v>
      </c>
      <c r="K3603" s="33" t="s">
        <v>22</v>
      </c>
    </row>
    <row r="3604" spans="1:11">
      <c r="A3604" s="30" t="s">
        <v>8709</v>
      </c>
      <c r="B3604" s="30" t="s">
        <v>8710</v>
      </c>
      <c r="C3604" s="30" t="s">
        <v>3296</v>
      </c>
      <c r="D3604" s="30" t="s">
        <v>17</v>
      </c>
      <c r="E3604" s="30" t="s">
        <v>26</v>
      </c>
      <c r="F3604" s="30" t="s">
        <v>27</v>
      </c>
      <c r="G3604" s="30" t="s">
        <v>20</v>
      </c>
      <c r="H3604" s="32">
        <v>17</v>
      </c>
      <c r="I3604" s="30" t="s">
        <v>21</v>
      </c>
      <c r="J3604" s="41">
        <v>44022</v>
      </c>
      <c r="K3604" s="30" t="s">
        <v>22</v>
      </c>
    </row>
    <row r="3605" spans="1:11">
      <c r="A3605" s="33" t="s">
        <v>8711</v>
      </c>
      <c r="B3605" s="33" t="s">
        <v>8712</v>
      </c>
      <c r="C3605" s="33" t="s">
        <v>7396</v>
      </c>
      <c r="D3605" s="33" t="s">
        <v>17</v>
      </c>
      <c r="E3605" s="33" t="s">
        <v>31</v>
      </c>
      <c r="F3605" s="33" t="s">
        <v>32</v>
      </c>
      <c r="G3605" s="33" t="s">
        <v>20</v>
      </c>
      <c r="H3605" s="35">
        <v>107</v>
      </c>
      <c r="I3605" s="33" t="s">
        <v>21</v>
      </c>
      <c r="J3605" s="42">
        <v>43858</v>
      </c>
      <c r="K3605" s="33" t="s">
        <v>22</v>
      </c>
    </row>
    <row r="3606" spans="1:11">
      <c r="A3606" s="30" t="s">
        <v>8713</v>
      </c>
      <c r="B3606" s="30" t="s">
        <v>8714</v>
      </c>
      <c r="C3606" s="30" t="s">
        <v>2289</v>
      </c>
      <c r="D3606" s="30" t="s">
        <v>17</v>
      </c>
      <c r="E3606" s="30" t="s">
        <v>31</v>
      </c>
      <c r="F3606" s="30" t="s">
        <v>32</v>
      </c>
      <c r="G3606" s="30" t="s">
        <v>20</v>
      </c>
      <c r="H3606" s="32">
        <v>28</v>
      </c>
      <c r="I3606" s="30" t="s">
        <v>21</v>
      </c>
      <c r="J3606" s="41">
        <v>44060</v>
      </c>
      <c r="K3606" s="30" t="s">
        <v>22</v>
      </c>
    </row>
    <row r="3607" spans="1:11">
      <c r="A3607" s="33" t="s">
        <v>8715</v>
      </c>
      <c r="B3607" s="33" t="s">
        <v>8716</v>
      </c>
      <c r="C3607" s="33" t="s">
        <v>154</v>
      </c>
      <c r="D3607" s="33" t="s">
        <v>17</v>
      </c>
      <c r="E3607" s="33" t="s">
        <v>31</v>
      </c>
      <c r="F3607" s="33" t="s">
        <v>32</v>
      </c>
      <c r="G3607" s="33" t="s">
        <v>20</v>
      </c>
      <c r="H3607" s="35">
        <v>64</v>
      </c>
      <c r="I3607" s="33" t="s">
        <v>21</v>
      </c>
      <c r="J3607" s="42">
        <v>44078</v>
      </c>
      <c r="K3607" s="33" t="s">
        <v>22</v>
      </c>
    </row>
    <row r="3608" spans="1:11">
      <c r="A3608" s="30" t="s">
        <v>8717</v>
      </c>
      <c r="B3608" s="30" t="s">
        <v>8718</v>
      </c>
      <c r="C3608" s="30" t="s">
        <v>3170</v>
      </c>
      <c r="D3608" s="30" t="s">
        <v>17</v>
      </c>
      <c r="E3608" s="30" t="s">
        <v>26</v>
      </c>
      <c r="F3608" s="30" t="s">
        <v>27</v>
      </c>
      <c r="G3608" s="30" t="s">
        <v>112</v>
      </c>
      <c r="H3608" s="32">
        <v>0</v>
      </c>
      <c r="I3608" s="30" t="s">
        <v>21</v>
      </c>
      <c r="J3608" s="41">
        <v>43876</v>
      </c>
      <c r="K3608" s="30" t="s">
        <v>22</v>
      </c>
    </row>
    <row r="3609" spans="1:11">
      <c r="A3609" s="33" t="s">
        <v>8719</v>
      </c>
      <c r="B3609" s="33" t="s">
        <v>8720</v>
      </c>
      <c r="C3609" s="33" t="s">
        <v>715</v>
      </c>
      <c r="D3609" s="33" t="s">
        <v>17</v>
      </c>
      <c r="E3609" s="33" t="s">
        <v>26</v>
      </c>
      <c r="F3609" s="33" t="s">
        <v>27</v>
      </c>
      <c r="G3609" s="33" t="s">
        <v>158</v>
      </c>
      <c r="H3609" s="35">
        <v>28</v>
      </c>
      <c r="I3609" s="33" t="s">
        <v>21</v>
      </c>
      <c r="J3609" s="42">
        <v>44083</v>
      </c>
      <c r="K3609" s="33" t="s">
        <v>22</v>
      </c>
    </row>
    <row r="3610" spans="1:11">
      <c r="A3610" s="30" t="s">
        <v>8721</v>
      </c>
      <c r="B3610" s="30" t="s">
        <v>8722</v>
      </c>
      <c r="C3610" s="30" t="s">
        <v>387</v>
      </c>
      <c r="D3610" s="30" t="s">
        <v>17</v>
      </c>
      <c r="E3610" s="30" t="s">
        <v>18</v>
      </c>
      <c r="F3610" s="30" t="s">
        <v>19</v>
      </c>
      <c r="G3610" s="30" t="s">
        <v>20</v>
      </c>
      <c r="H3610" s="32">
        <v>892</v>
      </c>
      <c r="I3610" s="30" t="s">
        <v>21</v>
      </c>
      <c r="J3610" s="41">
        <v>43983</v>
      </c>
      <c r="K3610" s="30" t="s">
        <v>22</v>
      </c>
    </row>
    <row r="3611" spans="1:11">
      <c r="A3611" s="33" t="s">
        <v>8723</v>
      </c>
      <c r="B3611" s="33" t="s">
        <v>8724</v>
      </c>
      <c r="C3611" s="33" t="s">
        <v>115</v>
      </c>
      <c r="D3611" s="33" t="s">
        <v>17</v>
      </c>
      <c r="E3611" s="33" t="s">
        <v>67</v>
      </c>
      <c r="F3611" s="33" t="s">
        <v>68</v>
      </c>
      <c r="G3611" s="33" t="s">
        <v>158</v>
      </c>
      <c r="H3611" s="35">
        <v>72</v>
      </c>
      <c r="I3611" s="33" t="s">
        <v>21</v>
      </c>
      <c r="J3611" s="42">
        <v>44180</v>
      </c>
      <c r="K3611" s="33" t="s">
        <v>22</v>
      </c>
    </row>
    <row r="3612" spans="1:11">
      <c r="A3612" s="30" t="s">
        <v>8725</v>
      </c>
      <c r="B3612" s="30" t="s">
        <v>8726</v>
      </c>
      <c r="C3612" s="30" t="s">
        <v>136</v>
      </c>
      <c r="D3612" s="30" t="s">
        <v>17</v>
      </c>
      <c r="E3612" s="30" t="s">
        <v>31</v>
      </c>
      <c r="F3612" s="30" t="s">
        <v>32</v>
      </c>
      <c r="G3612" s="30" t="s">
        <v>20</v>
      </c>
      <c r="H3612" s="32">
        <v>266</v>
      </c>
      <c r="I3612" s="30" t="s">
        <v>21</v>
      </c>
      <c r="J3612" s="41">
        <v>44018</v>
      </c>
      <c r="K3612" s="30" t="s">
        <v>22</v>
      </c>
    </row>
    <row r="3613" spans="1:11">
      <c r="A3613" s="33" t="s">
        <v>8727</v>
      </c>
      <c r="B3613" s="33" t="s">
        <v>8728</v>
      </c>
      <c r="C3613" s="33" t="s">
        <v>136</v>
      </c>
      <c r="D3613" s="33" t="s">
        <v>17</v>
      </c>
      <c r="E3613" s="33" t="s">
        <v>18</v>
      </c>
      <c r="F3613" s="33" t="s">
        <v>19</v>
      </c>
      <c r="G3613" s="33" t="s">
        <v>20</v>
      </c>
      <c r="H3613" s="35">
        <v>228</v>
      </c>
      <c r="I3613" s="33" t="s">
        <v>21</v>
      </c>
      <c r="J3613" s="42">
        <v>43864</v>
      </c>
      <c r="K3613" s="33" t="s">
        <v>22</v>
      </c>
    </row>
    <row r="3614" spans="1:11">
      <c r="A3614" s="30" t="s">
        <v>8729</v>
      </c>
      <c r="B3614" s="30" t="s">
        <v>8730</v>
      </c>
      <c r="C3614" s="30" t="s">
        <v>6202</v>
      </c>
      <c r="D3614" s="30" t="s">
        <v>17</v>
      </c>
      <c r="E3614" s="30" t="s">
        <v>18</v>
      </c>
      <c r="F3614" s="30" t="s">
        <v>19</v>
      </c>
      <c r="G3614" s="30" t="s">
        <v>20</v>
      </c>
      <c r="H3614" s="32">
        <v>1400</v>
      </c>
      <c r="I3614" s="30" t="s">
        <v>21</v>
      </c>
      <c r="J3614" s="41">
        <v>44134</v>
      </c>
      <c r="K3614" s="30" t="s">
        <v>22</v>
      </c>
    </row>
    <row r="3615" spans="1:11">
      <c r="A3615" s="33" t="s">
        <v>8731</v>
      </c>
      <c r="B3615" s="33" t="s">
        <v>8732</v>
      </c>
      <c r="C3615" s="33" t="s">
        <v>3531</v>
      </c>
      <c r="D3615" s="33" t="s">
        <v>17</v>
      </c>
      <c r="E3615" s="33" t="s">
        <v>18</v>
      </c>
      <c r="F3615" s="33" t="s">
        <v>19</v>
      </c>
      <c r="G3615" s="33" t="s">
        <v>158</v>
      </c>
      <c r="H3615" s="35">
        <v>611</v>
      </c>
      <c r="I3615" s="33" t="s">
        <v>21</v>
      </c>
      <c r="J3615" s="42">
        <v>44112</v>
      </c>
      <c r="K3615" s="33" t="s">
        <v>22</v>
      </c>
    </row>
    <row r="3616" spans="1:11">
      <c r="A3616" s="30" t="s">
        <v>8733</v>
      </c>
      <c r="B3616" s="30" t="s">
        <v>8734</v>
      </c>
      <c r="C3616" s="30" t="s">
        <v>93</v>
      </c>
      <c r="D3616" s="30" t="s">
        <v>17</v>
      </c>
      <c r="E3616" s="30" t="s">
        <v>26</v>
      </c>
      <c r="F3616" s="30" t="s">
        <v>27</v>
      </c>
      <c r="G3616" s="30" t="s">
        <v>112</v>
      </c>
      <c r="H3616" s="32">
        <v>0</v>
      </c>
      <c r="I3616" s="30" t="s">
        <v>21</v>
      </c>
      <c r="J3616" s="41">
        <v>43893</v>
      </c>
      <c r="K3616" s="30" t="s">
        <v>22</v>
      </c>
    </row>
    <row r="3617" spans="1:11">
      <c r="A3617" s="33" t="s">
        <v>8735</v>
      </c>
      <c r="B3617" s="33" t="s">
        <v>8736</v>
      </c>
      <c r="C3617" s="33" t="s">
        <v>4345</v>
      </c>
      <c r="D3617" s="33" t="s">
        <v>17</v>
      </c>
      <c r="E3617" s="33" t="s">
        <v>26</v>
      </c>
      <c r="F3617" s="33" t="s">
        <v>27</v>
      </c>
      <c r="G3617" s="33" t="s">
        <v>20</v>
      </c>
      <c r="H3617" s="35">
        <v>24</v>
      </c>
      <c r="I3617" s="33" t="s">
        <v>21</v>
      </c>
      <c r="J3617" s="42">
        <v>43944</v>
      </c>
      <c r="K3617" s="33" t="s">
        <v>22</v>
      </c>
    </row>
    <row r="3618" spans="1:11">
      <c r="A3618" s="30" t="s">
        <v>8737</v>
      </c>
      <c r="B3618" s="30" t="s">
        <v>8738</v>
      </c>
      <c r="C3618" s="30" t="s">
        <v>7366</v>
      </c>
      <c r="D3618" s="30" t="s">
        <v>17</v>
      </c>
      <c r="E3618" s="30" t="s">
        <v>26</v>
      </c>
      <c r="F3618" s="30" t="s">
        <v>27</v>
      </c>
      <c r="G3618" s="30" t="s">
        <v>20</v>
      </c>
      <c r="H3618" s="32">
        <v>90</v>
      </c>
      <c r="I3618" s="30" t="s">
        <v>21</v>
      </c>
      <c r="J3618" s="41">
        <v>44053</v>
      </c>
      <c r="K3618" s="30" t="s">
        <v>22</v>
      </c>
    </row>
    <row r="3619" spans="1:11">
      <c r="A3619" s="33" t="s">
        <v>8739</v>
      </c>
      <c r="B3619" s="33" t="s">
        <v>8740</v>
      </c>
      <c r="C3619" s="33" t="s">
        <v>252</v>
      </c>
      <c r="D3619" s="33" t="s">
        <v>17</v>
      </c>
      <c r="E3619" s="33" t="s">
        <v>31</v>
      </c>
      <c r="F3619" s="33" t="s">
        <v>32</v>
      </c>
      <c r="G3619" s="33" t="s">
        <v>20</v>
      </c>
      <c r="H3619" s="35">
        <v>262</v>
      </c>
      <c r="I3619" s="33" t="s">
        <v>21</v>
      </c>
      <c r="J3619" s="42">
        <v>43964</v>
      </c>
      <c r="K3619" s="33" t="s">
        <v>22</v>
      </c>
    </row>
    <row r="3620" spans="1:11">
      <c r="A3620" s="30" t="s">
        <v>8741</v>
      </c>
      <c r="B3620" s="30" t="s">
        <v>8742</v>
      </c>
      <c r="C3620" s="30" t="s">
        <v>136</v>
      </c>
      <c r="D3620" s="30" t="s">
        <v>17</v>
      </c>
      <c r="E3620" s="30" t="s">
        <v>26</v>
      </c>
      <c r="F3620" s="30" t="s">
        <v>27</v>
      </c>
      <c r="G3620" s="30" t="s">
        <v>20</v>
      </c>
      <c r="H3620" s="32">
        <v>139</v>
      </c>
      <c r="I3620" s="30" t="s">
        <v>21</v>
      </c>
      <c r="J3620" s="41">
        <v>44019</v>
      </c>
      <c r="K3620" s="30" t="s">
        <v>22</v>
      </c>
    </row>
    <row r="3621" spans="1:11">
      <c r="A3621" s="33" t="s">
        <v>8743</v>
      </c>
      <c r="B3621" s="33" t="s">
        <v>8744</v>
      </c>
      <c r="C3621" s="33" t="s">
        <v>1674</v>
      </c>
      <c r="D3621" s="33" t="s">
        <v>17</v>
      </c>
      <c r="E3621" s="33" t="s">
        <v>18</v>
      </c>
      <c r="F3621" s="33" t="s">
        <v>19</v>
      </c>
      <c r="G3621" s="33" t="s">
        <v>20</v>
      </c>
      <c r="H3621" s="35">
        <v>71</v>
      </c>
      <c r="I3621" s="33" t="s">
        <v>21</v>
      </c>
      <c r="J3621" s="42">
        <v>43999</v>
      </c>
      <c r="K3621" s="33" t="s">
        <v>22</v>
      </c>
    </row>
    <row r="3622" spans="1:11">
      <c r="A3622" s="30" t="s">
        <v>8745</v>
      </c>
      <c r="B3622" s="30" t="s">
        <v>8746</v>
      </c>
      <c r="C3622" s="30" t="s">
        <v>136</v>
      </c>
      <c r="D3622" s="30" t="s">
        <v>17</v>
      </c>
      <c r="E3622" s="30" t="s">
        <v>26</v>
      </c>
      <c r="F3622" s="30" t="s">
        <v>27</v>
      </c>
      <c r="G3622" s="30" t="s">
        <v>20</v>
      </c>
      <c r="H3622" s="32">
        <v>16</v>
      </c>
      <c r="I3622" s="30" t="s">
        <v>21</v>
      </c>
      <c r="J3622" s="41">
        <v>44172</v>
      </c>
      <c r="K3622" s="30" t="s">
        <v>22</v>
      </c>
    </row>
    <row r="3623" spans="1:11">
      <c r="A3623" s="33" t="s">
        <v>8747</v>
      </c>
      <c r="B3623" s="33" t="s">
        <v>8748</v>
      </c>
      <c r="C3623" s="33" t="s">
        <v>203</v>
      </c>
      <c r="D3623" s="33" t="s">
        <v>17</v>
      </c>
      <c r="E3623" s="33" t="s">
        <v>18</v>
      </c>
      <c r="F3623" s="33" t="s">
        <v>19</v>
      </c>
      <c r="G3623" s="33" t="s">
        <v>20</v>
      </c>
      <c r="H3623" s="35">
        <v>62</v>
      </c>
      <c r="I3623" s="33" t="s">
        <v>21</v>
      </c>
      <c r="J3623" s="42">
        <v>44166</v>
      </c>
      <c r="K3623" s="33" t="s">
        <v>22</v>
      </c>
    </row>
    <row r="3624" spans="1:11">
      <c r="A3624" s="30" t="s">
        <v>8749</v>
      </c>
      <c r="B3624" s="30" t="s">
        <v>8750</v>
      </c>
      <c r="C3624" s="30" t="s">
        <v>795</v>
      </c>
      <c r="D3624" s="30" t="s">
        <v>17</v>
      </c>
      <c r="E3624" s="30" t="s">
        <v>67</v>
      </c>
      <c r="F3624" s="30" t="s">
        <v>68</v>
      </c>
      <c r="G3624" s="30" t="s">
        <v>158</v>
      </c>
      <c r="H3624" s="32">
        <v>194</v>
      </c>
      <c r="I3624" s="30" t="s">
        <v>21</v>
      </c>
      <c r="J3624" s="41">
        <v>44160</v>
      </c>
      <c r="K3624" s="30" t="s">
        <v>22</v>
      </c>
    </row>
    <row r="3625" spans="1:11">
      <c r="A3625" s="33" t="s">
        <v>8751</v>
      </c>
      <c r="B3625" s="33" t="s">
        <v>8752</v>
      </c>
      <c r="C3625" s="33" t="s">
        <v>1228</v>
      </c>
      <c r="D3625" s="33" t="s">
        <v>17</v>
      </c>
      <c r="E3625" s="33" t="s">
        <v>26</v>
      </c>
      <c r="F3625" s="33" t="s">
        <v>27</v>
      </c>
      <c r="G3625" s="33" t="s">
        <v>20</v>
      </c>
      <c r="H3625" s="35">
        <v>172</v>
      </c>
      <c r="I3625" s="33" t="s">
        <v>21</v>
      </c>
      <c r="J3625" s="42">
        <v>44151</v>
      </c>
      <c r="K3625" s="33" t="s">
        <v>22</v>
      </c>
    </row>
    <row r="3626" spans="1:11">
      <c r="A3626" s="30" t="s">
        <v>8753</v>
      </c>
      <c r="B3626" s="30" t="s">
        <v>8754</v>
      </c>
      <c r="C3626" s="30" t="s">
        <v>8755</v>
      </c>
      <c r="D3626" s="30" t="s">
        <v>17</v>
      </c>
      <c r="E3626" s="30" t="s">
        <v>26</v>
      </c>
      <c r="F3626" s="30" t="s">
        <v>27</v>
      </c>
      <c r="G3626" s="30" t="s">
        <v>20</v>
      </c>
      <c r="H3626" s="32">
        <v>20</v>
      </c>
      <c r="I3626" s="30" t="s">
        <v>21</v>
      </c>
      <c r="J3626" s="41">
        <v>44090</v>
      </c>
      <c r="K3626" s="30" t="s">
        <v>22</v>
      </c>
    </row>
    <row r="3627" spans="1:11">
      <c r="A3627" s="33" t="s">
        <v>8756</v>
      </c>
      <c r="B3627" s="33" t="s">
        <v>8757</v>
      </c>
      <c r="C3627" s="33" t="s">
        <v>154</v>
      </c>
      <c r="D3627" s="33" t="s">
        <v>17</v>
      </c>
      <c r="E3627" s="33" t="s">
        <v>18</v>
      </c>
      <c r="F3627" s="33" t="s">
        <v>19</v>
      </c>
      <c r="G3627" s="33" t="s">
        <v>158</v>
      </c>
      <c r="H3627" s="35">
        <v>955</v>
      </c>
      <c r="I3627" s="33" t="s">
        <v>21</v>
      </c>
      <c r="J3627" s="42">
        <v>43846</v>
      </c>
      <c r="K3627" s="33" t="s">
        <v>22</v>
      </c>
    </row>
    <row r="3628" spans="1:11">
      <c r="A3628" s="30" t="s">
        <v>8758</v>
      </c>
      <c r="B3628" s="30" t="s">
        <v>8759</v>
      </c>
      <c r="C3628" s="30" t="s">
        <v>78</v>
      </c>
      <c r="D3628" s="30" t="s">
        <v>17</v>
      </c>
      <c r="E3628" s="30" t="s">
        <v>26</v>
      </c>
      <c r="F3628" s="30" t="s">
        <v>27</v>
      </c>
      <c r="G3628" s="30" t="s">
        <v>50</v>
      </c>
      <c r="H3628" s="32">
        <v>24</v>
      </c>
      <c r="I3628" s="30" t="s">
        <v>51</v>
      </c>
      <c r="J3628" s="41">
        <v>44133</v>
      </c>
      <c r="K3628" s="30" t="s">
        <v>22</v>
      </c>
    </row>
    <row r="3629" spans="1:11">
      <c r="A3629" s="33" t="s">
        <v>8760</v>
      </c>
      <c r="B3629" s="33" t="s">
        <v>8761</v>
      </c>
      <c r="C3629" s="33" t="s">
        <v>810</v>
      </c>
      <c r="D3629" s="33" t="s">
        <v>17</v>
      </c>
      <c r="E3629" s="33" t="s">
        <v>18</v>
      </c>
      <c r="F3629" s="33" t="s">
        <v>19</v>
      </c>
      <c r="G3629" s="33" t="s">
        <v>50</v>
      </c>
      <c r="H3629" s="35">
        <v>156</v>
      </c>
      <c r="I3629" s="33" t="s">
        <v>51</v>
      </c>
      <c r="J3629" s="42">
        <v>44027</v>
      </c>
      <c r="K3629" s="33" t="s">
        <v>22</v>
      </c>
    </row>
    <row r="3630" spans="1:11">
      <c r="A3630" s="30" t="s">
        <v>8762</v>
      </c>
      <c r="B3630" s="30" t="s">
        <v>8763</v>
      </c>
      <c r="C3630" s="30" t="s">
        <v>1764</v>
      </c>
      <c r="D3630" s="30" t="s">
        <v>17</v>
      </c>
      <c r="E3630" s="30" t="s">
        <v>18</v>
      </c>
      <c r="F3630" s="30" t="s">
        <v>19</v>
      </c>
      <c r="G3630" s="30" t="s">
        <v>20</v>
      </c>
      <c r="H3630" s="32">
        <v>80</v>
      </c>
      <c r="I3630" s="30" t="s">
        <v>21</v>
      </c>
      <c r="J3630" s="41">
        <v>44039</v>
      </c>
      <c r="K3630" s="30" t="s">
        <v>22</v>
      </c>
    </row>
    <row r="3631" spans="1:11">
      <c r="A3631" s="33" t="s">
        <v>8764</v>
      </c>
      <c r="B3631" s="33" t="s">
        <v>8765</v>
      </c>
      <c r="C3631" s="33" t="s">
        <v>187</v>
      </c>
      <c r="D3631" s="33" t="s">
        <v>17</v>
      </c>
      <c r="E3631" s="33" t="s">
        <v>31</v>
      </c>
      <c r="F3631" s="33" t="s">
        <v>32</v>
      </c>
      <c r="G3631" s="33" t="s">
        <v>50</v>
      </c>
      <c r="H3631" s="35">
        <v>71</v>
      </c>
      <c r="I3631" s="33" t="s">
        <v>51</v>
      </c>
      <c r="J3631" s="42">
        <v>44054</v>
      </c>
      <c r="K3631" s="33" t="s">
        <v>22</v>
      </c>
    </row>
    <row r="3632" spans="1:11">
      <c r="A3632" s="30" t="s">
        <v>8766</v>
      </c>
      <c r="B3632" s="30" t="s">
        <v>8767</v>
      </c>
      <c r="C3632" s="30" t="s">
        <v>8768</v>
      </c>
      <c r="D3632" s="30" t="s">
        <v>17</v>
      </c>
      <c r="E3632" s="30" t="s">
        <v>26</v>
      </c>
      <c r="F3632" s="30" t="s">
        <v>27</v>
      </c>
      <c r="G3632" s="30" t="s">
        <v>20</v>
      </c>
      <c r="H3632" s="32">
        <v>6</v>
      </c>
      <c r="I3632" s="30" t="s">
        <v>21</v>
      </c>
      <c r="J3632" s="41">
        <v>44044</v>
      </c>
      <c r="K3632" s="30" t="s">
        <v>22</v>
      </c>
    </row>
    <row r="3633" spans="1:11">
      <c r="A3633" s="33" t="s">
        <v>8769</v>
      </c>
      <c r="B3633" s="33" t="s">
        <v>8770</v>
      </c>
      <c r="C3633" s="33" t="s">
        <v>6103</v>
      </c>
      <c r="D3633" s="33" t="s">
        <v>17</v>
      </c>
      <c r="E3633" s="33" t="s">
        <v>67</v>
      </c>
      <c r="F3633" s="33" t="s">
        <v>68</v>
      </c>
      <c r="G3633" s="33" t="s">
        <v>106</v>
      </c>
      <c r="H3633" s="35">
        <v>47</v>
      </c>
      <c r="I3633" s="33" t="s">
        <v>21</v>
      </c>
      <c r="J3633" s="42">
        <v>44122</v>
      </c>
      <c r="K3633" s="33" t="s">
        <v>22</v>
      </c>
    </row>
    <row r="3634" spans="1:11">
      <c r="A3634" s="30" t="s">
        <v>8771</v>
      </c>
      <c r="B3634" s="30" t="s">
        <v>8772</v>
      </c>
      <c r="C3634" s="30" t="s">
        <v>154</v>
      </c>
      <c r="D3634" s="30" t="s">
        <v>17</v>
      </c>
      <c r="E3634" s="30" t="s">
        <v>26</v>
      </c>
      <c r="F3634" s="30" t="s">
        <v>27</v>
      </c>
      <c r="G3634" s="30" t="s">
        <v>20</v>
      </c>
      <c r="H3634" s="32">
        <v>25</v>
      </c>
      <c r="I3634" s="30" t="s">
        <v>21</v>
      </c>
      <c r="J3634" s="41">
        <v>44174</v>
      </c>
      <c r="K3634" s="30" t="s">
        <v>22</v>
      </c>
    </row>
    <row r="3635" spans="1:11">
      <c r="A3635" s="33" t="s">
        <v>8773</v>
      </c>
      <c r="B3635" s="33" t="s">
        <v>8774</v>
      </c>
      <c r="C3635" s="33" t="s">
        <v>8775</v>
      </c>
      <c r="D3635" s="33" t="s">
        <v>17</v>
      </c>
      <c r="E3635" s="33" t="s">
        <v>26</v>
      </c>
      <c r="F3635" s="33" t="s">
        <v>27</v>
      </c>
      <c r="G3635" s="33" t="s">
        <v>69</v>
      </c>
      <c r="H3635" s="35">
        <v>12</v>
      </c>
      <c r="I3635" s="33" t="s">
        <v>51</v>
      </c>
      <c r="J3635" s="42">
        <v>44028</v>
      </c>
      <c r="K3635" s="33" t="s">
        <v>22</v>
      </c>
    </row>
    <row r="3636" spans="1:11">
      <c r="A3636" s="30" t="s">
        <v>8776</v>
      </c>
      <c r="B3636" s="30" t="s">
        <v>8777</v>
      </c>
      <c r="C3636" s="30" t="s">
        <v>4246</v>
      </c>
      <c r="D3636" s="30" t="s">
        <v>17</v>
      </c>
      <c r="E3636" s="30" t="s">
        <v>67</v>
      </c>
      <c r="F3636" s="30" t="s">
        <v>68</v>
      </c>
      <c r="G3636" s="30" t="s">
        <v>20</v>
      </c>
      <c r="H3636" s="32">
        <v>56</v>
      </c>
      <c r="I3636" s="30" t="s">
        <v>21</v>
      </c>
      <c r="J3636" s="41">
        <v>44133</v>
      </c>
      <c r="K3636" s="30" t="s">
        <v>22</v>
      </c>
    </row>
    <row r="3637" spans="1:11">
      <c r="A3637" s="33" t="s">
        <v>8778</v>
      </c>
      <c r="B3637" s="33" t="s">
        <v>8779</v>
      </c>
      <c r="C3637" s="33" t="s">
        <v>7749</v>
      </c>
      <c r="D3637" s="33" t="s">
        <v>17</v>
      </c>
      <c r="E3637" s="33" t="s">
        <v>26</v>
      </c>
      <c r="F3637" s="33" t="s">
        <v>27</v>
      </c>
      <c r="G3637" s="33" t="s">
        <v>20</v>
      </c>
      <c r="H3637" s="35">
        <v>30</v>
      </c>
      <c r="I3637" s="33" t="s">
        <v>21</v>
      </c>
      <c r="J3637" s="42">
        <v>43997</v>
      </c>
      <c r="K3637" s="33" t="s">
        <v>22</v>
      </c>
    </row>
    <row r="3638" spans="1:11">
      <c r="A3638" s="30" t="s">
        <v>8780</v>
      </c>
      <c r="B3638" s="30" t="s">
        <v>8781</v>
      </c>
      <c r="C3638" s="30" t="s">
        <v>149</v>
      </c>
      <c r="D3638" s="30" t="s">
        <v>17</v>
      </c>
      <c r="E3638" s="30" t="s">
        <v>18</v>
      </c>
      <c r="F3638" s="30" t="s">
        <v>19</v>
      </c>
      <c r="G3638" s="30" t="s">
        <v>106</v>
      </c>
      <c r="H3638" s="32">
        <v>185</v>
      </c>
      <c r="I3638" s="30" t="s">
        <v>21</v>
      </c>
      <c r="J3638" s="41">
        <v>44086</v>
      </c>
      <c r="K3638" s="30" t="s">
        <v>22</v>
      </c>
    </row>
    <row r="3639" spans="1:11">
      <c r="A3639" s="33" t="s">
        <v>8782</v>
      </c>
      <c r="B3639" s="33" t="s">
        <v>8783</v>
      </c>
      <c r="C3639" s="33" t="s">
        <v>334</v>
      </c>
      <c r="D3639" s="33" t="s">
        <v>17</v>
      </c>
      <c r="E3639" s="33" t="s">
        <v>26</v>
      </c>
      <c r="F3639" s="33" t="s">
        <v>27</v>
      </c>
      <c r="G3639" s="33" t="s">
        <v>20</v>
      </c>
      <c r="H3639" s="35">
        <v>31</v>
      </c>
      <c r="I3639" s="33" t="s">
        <v>21</v>
      </c>
      <c r="J3639" s="42">
        <v>43843</v>
      </c>
      <c r="K3639" s="33" t="s">
        <v>22</v>
      </c>
    </row>
    <row r="3640" spans="1:11">
      <c r="A3640" s="30" t="s">
        <v>8784</v>
      </c>
      <c r="B3640" s="30" t="s">
        <v>8785</v>
      </c>
      <c r="C3640" s="30" t="s">
        <v>4817</v>
      </c>
      <c r="D3640" s="30" t="s">
        <v>17</v>
      </c>
      <c r="E3640" s="30" t="s">
        <v>31</v>
      </c>
      <c r="F3640" s="30" t="s">
        <v>32</v>
      </c>
      <c r="G3640" s="30" t="s">
        <v>20</v>
      </c>
      <c r="H3640" s="32">
        <v>60</v>
      </c>
      <c r="I3640" s="30" t="s">
        <v>21</v>
      </c>
      <c r="J3640" s="41">
        <v>44194</v>
      </c>
      <c r="K3640" s="30" t="s">
        <v>22</v>
      </c>
    </row>
    <row r="3641" spans="1:11">
      <c r="A3641" s="33" t="s">
        <v>8786</v>
      </c>
      <c r="B3641" s="33" t="s">
        <v>8787</v>
      </c>
      <c r="C3641" s="33" t="s">
        <v>75</v>
      </c>
      <c r="D3641" s="33" t="s">
        <v>17</v>
      </c>
      <c r="E3641" s="33" t="s">
        <v>26</v>
      </c>
      <c r="F3641" s="33" t="s">
        <v>27</v>
      </c>
      <c r="G3641" s="33" t="s">
        <v>20</v>
      </c>
      <c r="H3641" s="35">
        <v>48</v>
      </c>
      <c r="I3641" s="33" t="s">
        <v>21</v>
      </c>
      <c r="J3641" s="42">
        <v>44005</v>
      </c>
      <c r="K3641" s="33" t="s">
        <v>22</v>
      </c>
    </row>
    <row r="3642" spans="1:11">
      <c r="A3642" s="30" t="s">
        <v>8788</v>
      </c>
      <c r="B3642" s="30" t="s">
        <v>8789</v>
      </c>
      <c r="C3642" s="30" t="s">
        <v>387</v>
      </c>
      <c r="D3642" s="30" t="s">
        <v>17</v>
      </c>
      <c r="E3642" s="30" t="s">
        <v>26</v>
      </c>
      <c r="F3642" s="30" t="s">
        <v>27</v>
      </c>
      <c r="G3642" s="30" t="s">
        <v>20</v>
      </c>
      <c r="H3642" s="32">
        <v>57</v>
      </c>
      <c r="I3642" s="30" t="s">
        <v>21</v>
      </c>
      <c r="J3642" s="41">
        <v>43887</v>
      </c>
      <c r="K3642" s="30" t="s">
        <v>22</v>
      </c>
    </row>
    <row r="3643" spans="1:11">
      <c r="A3643" s="33" t="s">
        <v>8790</v>
      </c>
      <c r="B3643" s="33" t="s">
        <v>8791</v>
      </c>
      <c r="C3643" s="33" t="s">
        <v>102</v>
      </c>
      <c r="D3643" s="33" t="s">
        <v>17</v>
      </c>
      <c r="E3643" s="33" t="s">
        <v>26</v>
      </c>
      <c r="F3643" s="33" t="s">
        <v>27</v>
      </c>
      <c r="G3643" s="33" t="s">
        <v>20</v>
      </c>
      <c r="H3643" s="35">
        <v>17</v>
      </c>
      <c r="I3643" s="33" t="s">
        <v>21</v>
      </c>
      <c r="J3643" s="42">
        <v>43879</v>
      </c>
      <c r="K3643" s="33" t="s">
        <v>22</v>
      </c>
    </row>
    <row r="3644" spans="1:11">
      <c r="A3644" s="30" t="s">
        <v>8792</v>
      </c>
      <c r="B3644" s="30" t="s">
        <v>8793</v>
      </c>
      <c r="C3644" s="30" t="s">
        <v>4468</v>
      </c>
      <c r="D3644" s="30" t="s">
        <v>17</v>
      </c>
      <c r="E3644" s="30" t="s">
        <v>31</v>
      </c>
      <c r="F3644" s="30" t="s">
        <v>32</v>
      </c>
      <c r="G3644" s="30" t="s">
        <v>106</v>
      </c>
      <c r="H3644" s="32">
        <v>34</v>
      </c>
      <c r="I3644" s="30" t="s">
        <v>21</v>
      </c>
      <c r="J3644" s="41">
        <v>43990</v>
      </c>
      <c r="K3644" s="30" t="s">
        <v>22</v>
      </c>
    </row>
    <row r="3645" spans="1:11">
      <c r="A3645" s="33" t="s">
        <v>8794</v>
      </c>
      <c r="B3645" s="33" t="s">
        <v>8795</v>
      </c>
      <c r="C3645" s="33" t="s">
        <v>8796</v>
      </c>
      <c r="D3645" s="33" t="s">
        <v>17</v>
      </c>
      <c r="E3645" s="33" t="s">
        <v>26</v>
      </c>
      <c r="F3645" s="33" t="s">
        <v>27</v>
      </c>
      <c r="G3645" s="33" t="s">
        <v>20</v>
      </c>
      <c r="H3645" s="35">
        <v>6</v>
      </c>
      <c r="I3645" s="33" t="s">
        <v>21</v>
      </c>
      <c r="J3645" s="42">
        <v>44064</v>
      </c>
      <c r="K3645" s="33" t="s">
        <v>22</v>
      </c>
    </row>
    <row r="3646" spans="1:11">
      <c r="A3646" s="30" t="s">
        <v>8797</v>
      </c>
      <c r="B3646" s="30" t="s">
        <v>8798</v>
      </c>
      <c r="C3646" s="30" t="s">
        <v>374</v>
      </c>
      <c r="D3646" s="30" t="s">
        <v>17</v>
      </c>
      <c r="E3646" s="30" t="s">
        <v>45</v>
      </c>
      <c r="F3646" s="30" t="s">
        <v>46</v>
      </c>
      <c r="G3646" s="30" t="s">
        <v>140</v>
      </c>
      <c r="H3646" s="32">
        <v>626</v>
      </c>
      <c r="I3646" s="30" t="s">
        <v>51</v>
      </c>
      <c r="J3646" s="41">
        <v>44167</v>
      </c>
      <c r="K3646" s="30" t="s">
        <v>22</v>
      </c>
    </row>
    <row r="3647" spans="1:11">
      <c r="A3647" s="33" t="s">
        <v>8799</v>
      </c>
      <c r="B3647" s="33" t="s">
        <v>8800</v>
      </c>
      <c r="C3647" s="33" t="s">
        <v>5842</v>
      </c>
      <c r="D3647" s="33" t="s">
        <v>17</v>
      </c>
      <c r="E3647" s="33" t="s">
        <v>26</v>
      </c>
      <c r="F3647" s="33" t="s">
        <v>27</v>
      </c>
      <c r="G3647" s="33" t="s">
        <v>20</v>
      </c>
      <c r="H3647" s="35">
        <v>33</v>
      </c>
      <c r="I3647" s="33" t="s">
        <v>21</v>
      </c>
      <c r="J3647" s="42">
        <v>43902</v>
      </c>
      <c r="K3647" s="33" t="s">
        <v>22</v>
      </c>
    </row>
    <row r="3648" spans="1:11">
      <c r="A3648" s="30" t="s">
        <v>8801</v>
      </c>
      <c r="B3648" s="30" t="s">
        <v>8802</v>
      </c>
      <c r="C3648" s="30" t="s">
        <v>136</v>
      </c>
      <c r="D3648" s="30" t="s">
        <v>17</v>
      </c>
      <c r="E3648" s="30" t="s">
        <v>26</v>
      </c>
      <c r="F3648" s="30" t="s">
        <v>27</v>
      </c>
      <c r="G3648" s="30" t="s">
        <v>158</v>
      </c>
      <c r="H3648" s="32">
        <v>71</v>
      </c>
      <c r="I3648" s="30" t="s">
        <v>51</v>
      </c>
      <c r="J3648" s="41">
        <v>43993</v>
      </c>
      <c r="K3648" s="30" t="s">
        <v>22</v>
      </c>
    </row>
    <row r="3649" spans="1:11">
      <c r="A3649" s="33" t="s">
        <v>8803</v>
      </c>
      <c r="B3649" s="33" t="s">
        <v>8804</v>
      </c>
      <c r="C3649" s="33" t="s">
        <v>75</v>
      </c>
      <c r="D3649" s="33" t="s">
        <v>17</v>
      </c>
      <c r="E3649" s="33" t="s">
        <v>26</v>
      </c>
      <c r="F3649" s="33" t="s">
        <v>27</v>
      </c>
      <c r="G3649" s="33" t="s">
        <v>20</v>
      </c>
      <c r="H3649" s="35">
        <v>13</v>
      </c>
      <c r="I3649" s="33" t="s">
        <v>21</v>
      </c>
      <c r="J3649" s="42">
        <v>44069</v>
      </c>
      <c r="K3649" s="33" t="s">
        <v>22</v>
      </c>
    </row>
    <row r="3650" spans="1:11">
      <c r="A3650" s="30" t="s">
        <v>8805</v>
      </c>
      <c r="B3650" s="30" t="s">
        <v>8806</v>
      </c>
      <c r="C3650" s="30" t="s">
        <v>231</v>
      </c>
      <c r="D3650" s="30" t="s">
        <v>17</v>
      </c>
      <c r="E3650" s="30" t="s">
        <v>26</v>
      </c>
      <c r="F3650" s="30" t="s">
        <v>27</v>
      </c>
      <c r="G3650" s="30" t="s">
        <v>20</v>
      </c>
      <c r="H3650" s="32">
        <v>37</v>
      </c>
      <c r="I3650" s="30" t="s">
        <v>21</v>
      </c>
      <c r="J3650" s="41">
        <v>43983</v>
      </c>
      <c r="K3650" s="30" t="s">
        <v>22</v>
      </c>
    </row>
    <row r="3651" spans="1:11">
      <c r="A3651" s="33" t="s">
        <v>8807</v>
      </c>
      <c r="B3651" s="33" t="s">
        <v>8808</v>
      </c>
      <c r="C3651" s="33" t="s">
        <v>149</v>
      </c>
      <c r="D3651" s="33" t="s">
        <v>17</v>
      </c>
      <c r="E3651" s="33" t="s">
        <v>26</v>
      </c>
      <c r="F3651" s="33" t="s">
        <v>27</v>
      </c>
      <c r="G3651" s="33" t="s">
        <v>20</v>
      </c>
      <c r="H3651" s="35">
        <v>28</v>
      </c>
      <c r="I3651" s="33" t="s">
        <v>21</v>
      </c>
      <c r="J3651" s="42">
        <v>44010</v>
      </c>
      <c r="K3651" s="33" t="s">
        <v>22</v>
      </c>
    </row>
    <row r="3652" spans="1:11">
      <c r="A3652" s="30" t="s">
        <v>8809</v>
      </c>
      <c r="B3652" s="30" t="s">
        <v>8810</v>
      </c>
      <c r="C3652" s="30" t="s">
        <v>7731</v>
      </c>
      <c r="D3652" s="30" t="s">
        <v>17</v>
      </c>
      <c r="E3652" s="30" t="s">
        <v>31</v>
      </c>
      <c r="F3652" s="30" t="s">
        <v>32</v>
      </c>
      <c r="G3652" s="30" t="s">
        <v>106</v>
      </c>
      <c r="H3652" s="32">
        <v>80</v>
      </c>
      <c r="I3652" s="30" t="s">
        <v>21</v>
      </c>
      <c r="J3652" s="41">
        <v>43852</v>
      </c>
      <c r="K3652" s="30" t="s">
        <v>22</v>
      </c>
    </row>
    <row r="3653" spans="1:11">
      <c r="A3653" s="33" t="s">
        <v>8811</v>
      </c>
      <c r="B3653" s="33" t="s">
        <v>8812</v>
      </c>
      <c r="C3653" s="33" t="s">
        <v>1835</v>
      </c>
      <c r="D3653" s="33" t="s">
        <v>17</v>
      </c>
      <c r="E3653" s="33" t="s">
        <v>45</v>
      </c>
      <c r="F3653" s="33" t="s">
        <v>46</v>
      </c>
      <c r="G3653" s="33" t="s">
        <v>112</v>
      </c>
      <c r="H3653" s="35">
        <v>0</v>
      </c>
      <c r="I3653" s="33" t="s">
        <v>21</v>
      </c>
      <c r="J3653" s="42">
        <v>44180</v>
      </c>
      <c r="K3653" s="33" t="s">
        <v>22</v>
      </c>
    </row>
    <row r="3654" spans="1:11">
      <c r="A3654" s="30" t="s">
        <v>8813</v>
      </c>
      <c r="B3654" s="30" t="s">
        <v>8814</v>
      </c>
      <c r="C3654" s="30" t="s">
        <v>6379</v>
      </c>
      <c r="D3654" s="30" t="s">
        <v>17</v>
      </c>
      <c r="E3654" s="30" t="s">
        <v>18</v>
      </c>
      <c r="F3654" s="30" t="s">
        <v>19</v>
      </c>
      <c r="G3654" s="30" t="s">
        <v>20</v>
      </c>
      <c r="H3654" s="32">
        <v>154</v>
      </c>
      <c r="I3654" s="30" t="s">
        <v>21</v>
      </c>
      <c r="J3654" s="41">
        <v>44092</v>
      </c>
      <c r="K3654" s="30" t="s">
        <v>22</v>
      </c>
    </row>
    <row r="3655" spans="1:11">
      <c r="A3655" s="33" t="s">
        <v>8815</v>
      </c>
      <c r="B3655" s="33" t="s">
        <v>8816</v>
      </c>
      <c r="C3655" s="33" t="s">
        <v>6607</v>
      </c>
      <c r="D3655" s="33" t="s">
        <v>17</v>
      </c>
      <c r="E3655" s="33" t="s">
        <v>26</v>
      </c>
      <c r="F3655" s="33" t="s">
        <v>27</v>
      </c>
      <c r="G3655" s="33" t="s">
        <v>20</v>
      </c>
      <c r="H3655" s="35">
        <v>15</v>
      </c>
      <c r="I3655" s="33" t="s">
        <v>21</v>
      </c>
      <c r="J3655" s="42">
        <v>43943</v>
      </c>
      <c r="K3655" s="33" t="s">
        <v>22</v>
      </c>
    </row>
    <row r="3656" spans="1:11">
      <c r="A3656" s="30" t="s">
        <v>8817</v>
      </c>
      <c r="B3656" s="30" t="s">
        <v>8818</v>
      </c>
      <c r="C3656" s="30" t="s">
        <v>8819</v>
      </c>
      <c r="D3656" s="30" t="s">
        <v>17</v>
      </c>
      <c r="E3656" s="30" t="s">
        <v>67</v>
      </c>
      <c r="F3656" s="30" t="s">
        <v>68</v>
      </c>
      <c r="G3656" s="30" t="s">
        <v>20</v>
      </c>
      <c r="H3656" s="32">
        <v>91</v>
      </c>
      <c r="I3656" s="30" t="s">
        <v>21</v>
      </c>
      <c r="J3656" s="41">
        <v>43900</v>
      </c>
      <c r="K3656" s="30" t="s">
        <v>22</v>
      </c>
    </row>
    <row r="3657" spans="1:11">
      <c r="A3657" s="33" t="s">
        <v>8820</v>
      </c>
      <c r="B3657" s="33" t="s">
        <v>8821</v>
      </c>
      <c r="C3657" s="33" t="s">
        <v>102</v>
      </c>
      <c r="D3657" s="33" t="s">
        <v>17</v>
      </c>
      <c r="E3657" s="33" t="s">
        <v>26</v>
      </c>
      <c r="F3657" s="33" t="s">
        <v>27</v>
      </c>
      <c r="G3657" s="33" t="s">
        <v>20</v>
      </c>
      <c r="H3657" s="35">
        <v>62</v>
      </c>
      <c r="I3657" s="33" t="s">
        <v>21</v>
      </c>
      <c r="J3657" s="42">
        <v>43847</v>
      </c>
      <c r="K3657" s="33" t="s">
        <v>22</v>
      </c>
    </row>
    <row r="3658" spans="1:11">
      <c r="A3658" s="30" t="s">
        <v>8822</v>
      </c>
      <c r="B3658" s="30" t="s">
        <v>8823</v>
      </c>
      <c r="C3658" s="30" t="s">
        <v>5535</v>
      </c>
      <c r="D3658" s="30" t="s">
        <v>17</v>
      </c>
      <c r="E3658" s="30" t="s">
        <v>31</v>
      </c>
      <c r="F3658" s="30" t="s">
        <v>32</v>
      </c>
      <c r="G3658" s="30" t="s">
        <v>20</v>
      </c>
      <c r="H3658" s="32">
        <v>24</v>
      </c>
      <c r="I3658" s="30" t="s">
        <v>21</v>
      </c>
      <c r="J3658" s="41">
        <v>43857</v>
      </c>
      <c r="K3658" s="30" t="s">
        <v>22</v>
      </c>
    </row>
    <row r="3659" spans="1:11">
      <c r="A3659" s="33" t="s">
        <v>8824</v>
      </c>
      <c r="B3659" s="33" t="s">
        <v>8825</v>
      </c>
      <c r="C3659" s="33" t="s">
        <v>190</v>
      </c>
      <c r="D3659" s="33" t="s">
        <v>17</v>
      </c>
      <c r="E3659" s="33" t="s">
        <v>18</v>
      </c>
      <c r="F3659" s="33" t="s">
        <v>19</v>
      </c>
      <c r="G3659" s="33" t="s">
        <v>20</v>
      </c>
      <c r="H3659" s="35">
        <v>4017</v>
      </c>
      <c r="I3659" s="33" t="s">
        <v>21</v>
      </c>
      <c r="J3659" s="42">
        <v>44187</v>
      </c>
      <c r="K3659" s="33" t="s">
        <v>22</v>
      </c>
    </row>
    <row r="3660" spans="1:11">
      <c r="A3660" s="30" t="s">
        <v>8826</v>
      </c>
      <c r="B3660" s="30" t="s">
        <v>8827</v>
      </c>
      <c r="C3660" s="30" t="s">
        <v>549</v>
      </c>
      <c r="D3660" s="30" t="s">
        <v>17</v>
      </c>
      <c r="E3660" s="30" t="s">
        <v>26</v>
      </c>
      <c r="F3660" s="30" t="s">
        <v>27</v>
      </c>
      <c r="G3660" s="30" t="s">
        <v>106</v>
      </c>
      <c r="H3660" s="32">
        <v>40</v>
      </c>
      <c r="I3660" s="30" t="s">
        <v>21</v>
      </c>
      <c r="J3660" s="41">
        <v>44012</v>
      </c>
      <c r="K3660" s="30" t="s">
        <v>22</v>
      </c>
    </row>
    <row r="3661" spans="1:11">
      <c r="A3661" s="33" t="s">
        <v>8828</v>
      </c>
      <c r="B3661" s="33" t="s">
        <v>8829</v>
      </c>
      <c r="C3661" s="33" t="s">
        <v>801</v>
      </c>
      <c r="D3661" s="33" t="s">
        <v>17</v>
      </c>
      <c r="E3661" s="33" t="s">
        <v>18</v>
      </c>
      <c r="F3661" s="33" t="s">
        <v>19</v>
      </c>
      <c r="G3661" s="33" t="s">
        <v>20</v>
      </c>
      <c r="H3661" s="35">
        <v>145</v>
      </c>
      <c r="I3661" s="33" t="s">
        <v>21</v>
      </c>
      <c r="J3661" s="42">
        <v>43916</v>
      </c>
      <c r="K3661" s="33" t="s">
        <v>22</v>
      </c>
    </row>
    <row r="3662" spans="1:11">
      <c r="A3662" s="30" t="s">
        <v>8830</v>
      </c>
      <c r="B3662" s="30" t="s">
        <v>8831</v>
      </c>
      <c r="C3662" s="30" t="s">
        <v>756</v>
      </c>
      <c r="D3662" s="30" t="s">
        <v>17</v>
      </c>
      <c r="E3662" s="30" t="s">
        <v>31</v>
      </c>
      <c r="F3662" s="30" t="s">
        <v>32</v>
      </c>
      <c r="G3662" s="30" t="s">
        <v>158</v>
      </c>
      <c r="H3662" s="32">
        <v>25</v>
      </c>
      <c r="I3662" s="30" t="s">
        <v>51</v>
      </c>
      <c r="J3662" s="41">
        <v>44020</v>
      </c>
      <c r="K3662" s="30" t="s">
        <v>22</v>
      </c>
    </row>
    <row r="3663" spans="1:11">
      <c r="A3663" s="33" t="s">
        <v>8832</v>
      </c>
      <c r="B3663" s="33" t="s">
        <v>8833</v>
      </c>
      <c r="C3663" s="33" t="s">
        <v>1730</v>
      </c>
      <c r="D3663" s="33" t="s">
        <v>17</v>
      </c>
      <c r="E3663" s="33" t="s">
        <v>26</v>
      </c>
      <c r="F3663" s="33" t="s">
        <v>27</v>
      </c>
      <c r="G3663" s="33" t="s">
        <v>20</v>
      </c>
      <c r="H3663" s="35">
        <v>23</v>
      </c>
      <c r="I3663" s="33" t="s">
        <v>21</v>
      </c>
      <c r="J3663" s="42">
        <v>43878</v>
      </c>
      <c r="K3663" s="33" t="s">
        <v>22</v>
      </c>
    </row>
    <row r="3664" spans="1:11">
      <c r="A3664" s="30" t="s">
        <v>8834</v>
      </c>
      <c r="B3664" s="30" t="s">
        <v>8835</v>
      </c>
      <c r="C3664" s="30" t="s">
        <v>8142</v>
      </c>
      <c r="D3664" s="30" t="s">
        <v>17</v>
      </c>
      <c r="E3664" s="30" t="s">
        <v>18</v>
      </c>
      <c r="F3664" s="30" t="s">
        <v>19</v>
      </c>
      <c r="G3664" s="30" t="s">
        <v>20</v>
      </c>
      <c r="H3664" s="32">
        <v>790</v>
      </c>
      <c r="I3664" s="30" t="s">
        <v>21</v>
      </c>
      <c r="J3664" s="41">
        <v>44096</v>
      </c>
      <c r="K3664" s="30" t="s">
        <v>22</v>
      </c>
    </row>
    <row r="3665" spans="1:11">
      <c r="A3665" s="33" t="s">
        <v>8836</v>
      </c>
      <c r="B3665" s="33" t="s">
        <v>8837</v>
      </c>
      <c r="C3665" s="33" t="s">
        <v>747</v>
      </c>
      <c r="D3665" s="33" t="s">
        <v>17</v>
      </c>
      <c r="E3665" s="33" t="s">
        <v>31</v>
      </c>
      <c r="F3665" s="33" t="s">
        <v>32</v>
      </c>
      <c r="G3665" s="33" t="s">
        <v>50</v>
      </c>
      <c r="H3665" s="35">
        <v>104</v>
      </c>
      <c r="I3665" s="33" t="s">
        <v>51</v>
      </c>
      <c r="J3665" s="42">
        <v>44180</v>
      </c>
      <c r="K3665" s="33" t="s">
        <v>22</v>
      </c>
    </row>
    <row r="3666" spans="1:11">
      <c r="A3666" s="30" t="s">
        <v>8838</v>
      </c>
      <c r="B3666" s="30" t="s">
        <v>8839</v>
      </c>
      <c r="C3666" s="30" t="s">
        <v>149</v>
      </c>
      <c r="D3666" s="30" t="s">
        <v>17</v>
      </c>
      <c r="E3666" s="30" t="s">
        <v>26</v>
      </c>
      <c r="F3666" s="30" t="s">
        <v>27</v>
      </c>
      <c r="G3666" s="30" t="s">
        <v>20</v>
      </c>
      <c r="H3666" s="32">
        <v>14</v>
      </c>
      <c r="I3666" s="30" t="s">
        <v>21</v>
      </c>
      <c r="J3666" s="41">
        <v>43875</v>
      </c>
      <c r="K3666" s="30" t="s">
        <v>22</v>
      </c>
    </row>
    <row r="3667" spans="1:11">
      <c r="A3667" s="33" t="s">
        <v>8840</v>
      </c>
      <c r="B3667" s="33" t="s">
        <v>8841</v>
      </c>
      <c r="C3667" s="33" t="s">
        <v>6858</v>
      </c>
      <c r="D3667" s="33" t="s">
        <v>17</v>
      </c>
      <c r="E3667" s="33" t="s">
        <v>18</v>
      </c>
      <c r="F3667" s="33" t="s">
        <v>19</v>
      </c>
      <c r="G3667" s="33" t="s">
        <v>20</v>
      </c>
      <c r="H3667" s="35">
        <v>304</v>
      </c>
      <c r="I3667" s="33" t="s">
        <v>21</v>
      </c>
      <c r="J3667" s="42">
        <v>44130</v>
      </c>
      <c r="K3667" s="33" t="s">
        <v>22</v>
      </c>
    </row>
    <row r="3668" spans="1:11">
      <c r="A3668" s="30" t="s">
        <v>8842</v>
      </c>
      <c r="B3668" s="30" t="s">
        <v>8843</v>
      </c>
      <c r="C3668" s="30" t="s">
        <v>3465</v>
      </c>
      <c r="D3668" s="30" t="s">
        <v>17</v>
      </c>
      <c r="E3668" s="30" t="s">
        <v>31</v>
      </c>
      <c r="F3668" s="30" t="s">
        <v>32</v>
      </c>
      <c r="G3668" s="30" t="s">
        <v>20</v>
      </c>
      <c r="H3668" s="32">
        <v>224</v>
      </c>
      <c r="I3668" s="30" t="s">
        <v>21</v>
      </c>
      <c r="J3668" s="41">
        <v>44179</v>
      </c>
      <c r="K3668" s="30" t="s">
        <v>22</v>
      </c>
    </row>
    <row r="3669" spans="1:11">
      <c r="A3669" s="33" t="s">
        <v>8844</v>
      </c>
      <c r="B3669" s="33" t="s">
        <v>8845</v>
      </c>
      <c r="C3669" s="33" t="s">
        <v>127</v>
      </c>
      <c r="D3669" s="33" t="s">
        <v>17</v>
      </c>
      <c r="E3669" s="33" t="s">
        <v>26</v>
      </c>
      <c r="F3669" s="33" t="s">
        <v>27</v>
      </c>
      <c r="G3669" s="33" t="s">
        <v>158</v>
      </c>
      <c r="H3669" s="35">
        <v>51</v>
      </c>
      <c r="I3669" s="33" t="s">
        <v>51</v>
      </c>
      <c r="J3669" s="42">
        <v>44113</v>
      </c>
      <c r="K3669" s="33" t="s">
        <v>22</v>
      </c>
    </row>
    <row r="3670" spans="1:11">
      <c r="A3670" s="30" t="s">
        <v>8846</v>
      </c>
      <c r="B3670" s="30" t="s">
        <v>8847</v>
      </c>
      <c r="C3670" s="30" t="s">
        <v>8848</v>
      </c>
      <c r="D3670" s="30" t="s">
        <v>17</v>
      </c>
      <c r="E3670" s="30" t="s">
        <v>26</v>
      </c>
      <c r="F3670" s="30" t="s">
        <v>27</v>
      </c>
      <c r="G3670" s="30" t="s">
        <v>20</v>
      </c>
      <c r="H3670" s="32">
        <v>30</v>
      </c>
      <c r="I3670" s="30" t="s">
        <v>21</v>
      </c>
      <c r="J3670" s="41">
        <v>43987</v>
      </c>
      <c r="K3670" s="30" t="s">
        <v>22</v>
      </c>
    </row>
    <row r="3671" spans="1:11">
      <c r="A3671" s="33" t="s">
        <v>8849</v>
      </c>
      <c r="B3671" s="33" t="s">
        <v>8850</v>
      </c>
      <c r="C3671" s="33" t="s">
        <v>8851</v>
      </c>
      <c r="D3671" s="33" t="s">
        <v>17</v>
      </c>
      <c r="E3671" s="33" t="s">
        <v>26</v>
      </c>
      <c r="F3671" s="33" t="s">
        <v>27</v>
      </c>
      <c r="G3671" s="33" t="s">
        <v>106</v>
      </c>
      <c r="H3671" s="35">
        <v>5</v>
      </c>
      <c r="I3671" s="33" t="s">
        <v>21</v>
      </c>
      <c r="J3671" s="42">
        <v>43990</v>
      </c>
      <c r="K3671" s="33" t="s">
        <v>22</v>
      </c>
    </row>
    <row r="3672" spans="1:11">
      <c r="A3672" s="30" t="s">
        <v>8852</v>
      </c>
      <c r="B3672" s="30" t="s">
        <v>8853</v>
      </c>
      <c r="C3672" s="30" t="s">
        <v>3892</v>
      </c>
      <c r="D3672" s="30" t="s">
        <v>17</v>
      </c>
      <c r="E3672" s="30" t="s">
        <v>18</v>
      </c>
      <c r="F3672" s="30" t="s">
        <v>19</v>
      </c>
      <c r="G3672" s="30" t="s">
        <v>20</v>
      </c>
      <c r="H3672" s="32">
        <v>106</v>
      </c>
      <c r="I3672" s="30" t="s">
        <v>21</v>
      </c>
      <c r="J3672" s="41">
        <v>44131</v>
      </c>
      <c r="K3672" s="30" t="s">
        <v>22</v>
      </c>
    </row>
    <row r="3673" spans="1:11">
      <c r="A3673" s="33" t="s">
        <v>8854</v>
      </c>
      <c r="B3673" s="33" t="s">
        <v>8855</v>
      </c>
      <c r="C3673" s="33" t="s">
        <v>810</v>
      </c>
      <c r="D3673" s="33" t="s">
        <v>17</v>
      </c>
      <c r="E3673" s="33" t="s">
        <v>31</v>
      </c>
      <c r="F3673" s="33" t="s">
        <v>32</v>
      </c>
      <c r="G3673" s="33" t="s">
        <v>50</v>
      </c>
      <c r="H3673" s="35">
        <v>87</v>
      </c>
      <c r="I3673" s="33" t="s">
        <v>51</v>
      </c>
      <c r="J3673" s="42">
        <v>44136</v>
      </c>
      <c r="K3673" s="33" t="s">
        <v>22</v>
      </c>
    </row>
    <row r="3674" spans="1:11">
      <c r="A3674" s="30" t="s">
        <v>8856</v>
      </c>
      <c r="B3674" s="30" t="s">
        <v>8857</v>
      </c>
      <c r="C3674" s="30" t="s">
        <v>6489</v>
      </c>
      <c r="D3674" s="30" t="s">
        <v>17</v>
      </c>
      <c r="E3674" s="30" t="s">
        <v>67</v>
      </c>
      <c r="F3674" s="30" t="s">
        <v>68</v>
      </c>
      <c r="G3674" s="30" t="s">
        <v>158</v>
      </c>
      <c r="H3674" s="32">
        <v>192</v>
      </c>
      <c r="I3674" s="30" t="s">
        <v>51</v>
      </c>
      <c r="J3674" s="41">
        <v>44127</v>
      </c>
      <c r="K3674" s="30" t="s">
        <v>22</v>
      </c>
    </row>
    <row r="3675" spans="1:11">
      <c r="A3675" s="33" t="s">
        <v>8858</v>
      </c>
      <c r="B3675" s="33" t="s">
        <v>8859</v>
      </c>
      <c r="C3675" s="33" t="s">
        <v>102</v>
      </c>
      <c r="D3675" s="33" t="s">
        <v>17</v>
      </c>
      <c r="E3675" s="33" t="s">
        <v>18</v>
      </c>
      <c r="F3675" s="33" t="s">
        <v>19</v>
      </c>
      <c r="G3675" s="33" t="s">
        <v>112</v>
      </c>
      <c r="H3675" s="35">
        <v>0</v>
      </c>
      <c r="I3675" s="33" t="s">
        <v>21</v>
      </c>
      <c r="J3675" s="42">
        <v>44026</v>
      </c>
      <c r="K3675" s="33" t="s">
        <v>22</v>
      </c>
    </row>
    <row r="3676" spans="1:11">
      <c r="A3676" s="30" t="s">
        <v>8860</v>
      </c>
      <c r="B3676" s="30" t="s">
        <v>8861</v>
      </c>
      <c r="C3676" s="30" t="s">
        <v>609</v>
      </c>
      <c r="D3676" s="30" t="s">
        <v>17</v>
      </c>
      <c r="E3676" s="30" t="s">
        <v>26</v>
      </c>
      <c r="F3676" s="30" t="s">
        <v>27</v>
      </c>
      <c r="G3676" s="30" t="s">
        <v>20</v>
      </c>
      <c r="H3676" s="32">
        <v>9</v>
      </c>
      <c r="I3676" s="30" t="s">
        <v>21</v>
      </c>
      <c r="J3676" s="41">
        <v>43921</v>
      </c>
      <c r="K3676" s="30" t="s">
        <v>22</v>
      </c>
    </row>
    <row r="3677" spans="1:11">
      <c r="A3677" s="33" t="s">
        <v>8862</v>
      </c>
      <c r="B3677" s="33" t="s">
        <v>8863</v>
      </c>
      <c r="C3677" s="33" t="s">
        <v>647</v>
      </c>
      <c r="D3677" s="33" t="s">
        <v>17</v>
      </c>
      <c r="E3677" s="33" t="s">
        <v>26</v>
      </c>
      <c r="F3677" s="33" t="s">
        <v>27</v>
      </c>
      <c r="G3677" s="33" t="s">
        <v>20</v>
      </c>
      <c r="H3677" s="35">
        <v>12</v>
      </c>
      <c r="I3677" s="33" t="s">
        <v>21</v>
      </c>
      <c r="J3677" s="42">
        <v>44140</v>
      </c>
      <c r="K3677" s="33" t="s">
        <v>22</v>
      </c>
    </row>
    <row r="3678" spans="1:11">
      <c r="A3678" s="30" t="s">
        <v>8864</v>
      </c>
      <c r="B3678" s="30" t="s">
        <v>8865</v>
      </c>
      <c r="C3678" s="30" t="s">
        <v>8866</v>
      </c>
      <c r="D3678" s="30" t="s">
        <v>17</v>
      </c>
      <c r="E3678" s="30" t="s">
        <v>212</v>
      </c>
      <c r="F3678" s="30" t="s">
        <v>213</v>
      </c>
      <c r="G3678" s="30" t="s">
        <v>20</v>
      </c>
      <c r="H3678" s="32">
        <v>40</v>
      </c>
      <c r="I3678" s="30" t="s">
        <v>21</v>
      </c>
      <c r="J3678" s="41">
        <v>44166</v>
      </c>
      <c r="K3678" s="30" t="s">
        <v>22</v>
      </c>
    </row>
    <row r="3679" spans="1:11">
      <c r="A3679" s="33" t="s">
        <v>8867</v>
      </c>
      <c r="B3679" s="33" t="s">
        <v>8868</v>
      </c>
      <c r="C3679" s="33" t="s">
        <v>8869</v>
      </c>
      <c r="D3679" s="33" t="s">
        <v>17</v>
      </c>
      <c r="E3679" s="33" t="s">
        <v>31</v>
      </c>
      <c r="F3679" s="33" t="s">
        <v>32</v>
      </c>
      <c r="G3679" s="33" t="s">
        <v>20</v>
      </c>
      <c r="H3679" s="35">
        <v>117</v>
      </c>
      <c r="I3679" s="33" t="s">
        <v>21</v>
      </c>
      <c r="J3679" s="42">
        <v>44075</v>
      </c>
      <c r="K3679" s="33" t="s">
        <v>22</v>
      </c>
    </row>
    <row r="3680" spans="1:11">
      <c r="A3680" s="30" t="s">
        <v>8870</v>
      </c>
      <c r="B3680" s="30" t="s">
        <v>8871</v>
      </c>
      <c r="C3680" s="30" t="s">
        <v>2094</v>
      </c>
      <c r="D3680" s="30" t="s">
        <v>17</v>
      </c>
      <c r="E3680" s="30" t="s">
        <v>26</v>
      </c>
      <c r="F3680" s="30" t="s">
        <v>27</v>
      </c>
      <c r="G3680" s="30" t="s">
        <v>20</v>
      </c>
      <c r="H3680" s="32">
        <v>21</v>
      </c>
      <c r="I3680" s="30" t="s">
        <v>21</v>
      </c>
      <c r="J3680" s="41">
        <v>43991</v>
      </c>
      <c r="K3680" s="30" t="s">
        <v>22</v>
      </c>
    </row>
    <row r="3681" spans="1:11">
      <c r="A3681" s="33" t="s">
        <v>8872</v>
      </c>
      <c r="B3681" s="33" t="s">
        <v>8873</v>
      </c>
      <c r="C3681" s="33" t="s">
        <v>5701</v>
      </c>
      <c r="D3681" s="33" t="s">
        <v>17</v>
      </c>
      <c r="E3681" s="33" t="s">
        <v>26</v>
      </c>
      <c r="F3681" s="33" t="s">
        <v>27</v>
      </c>
      <c r="G3681" s="33" t="s">
        <v>20</v>
      </c>
      <c r="H3681" s="35">
        <v>40</v>
      </c>
      <c r="I3681" s="33" t="s">
        <v>21</v>
      </c>
      <c r="J3681" s="42">
        <v>44117</v>
      </c>
      <c r="K3681" s="33" t="s">
        <v>22</v>
      </c>
    </row>
    <row r="3682" spans="1:11">
      <c r="A3682" s="30" t="s">
        <v>8874</v>
      </c>
      <c r="B3682" s="30" t="s">
        <v>8875</v>
      </c>
      <c r="C3682" s="30" t="s">
        <v>8876</v>
      </c>
      <c r="D3682" s="30" t="s">
        <v>17</v>
      </c>
      <c r="E3682" s="30" t="s">
        <v>26</v>
      </c>
      <c r="F3682" s="30" t="s">
        <v>27</v>
      </c>
      <c r="G3682" s="30" t="s">
        <v>50</v>
      </c>
      <c r="H3682" s="32">
        <v>52</v>
      </c>
      <c r="I3682" s="30" t="s">
        <v>51</v>
      </c>
      <c r="J3682" s="41">
        <v>44166</v>
      </c>
      <c r="K3682" s="30" t="s">
        <v>22</v>
      </c>
    </row>
    <row r="3683" spans="1:11">
      <c r="A3683" s="33" t="s">
        <v>8877</v>
      </c>
      <c r="B3683" s="33" t="s">
        <v>8878</v>
      </c>
      <c r="C3683" s="33" t="s">
        <v>2313</v>
      </c>
      <c r="D3683" s="33" t="s">
        <v>17</v>
      </c>
      <c r="E3683" s="33" t="s">
        <v>26</v>
      </c>
      <c r="F3683" s="33" t="s">
        <v>27</v>
      </c>
      <c r="G3683" s="33" t="s">
        <v>20</v>
      </c>
      <c r="H3683" s="35">
        <v>27</v>
      </c>
      <c r="I3683" s="33" t="s">
        <v>21</v>
      </c>
      <c r="J3683" s="42">
        <v>44020</v>
      </c>
      <c r="K3683" s="33" t="s">
        <v>22</v>
      </c>
    </row>
    <row r="3684" spans="1:11">
      <c r="A3684" s="30" t="s">
        <v>8879</v>
      </c>
      <c r="B3684" s="30" t="s">
        <v>8880</v>
      </c>
      <c r="C3684" s="30" t="s">
        <v>8881</v>
      </c>
      <c r="D3684" s="30" t="s">
        <v>17</v>
      </c>
      <c r="E3684" s="30" t="s">
        <v>67</v>
      </c>
      <c r="F3684" s="30" t="s">
        <v>68</v>
      </c>
      <c r="G3684" s="30" t="s">
        <v>20</v>
      </c>
      <c r="H3684" s="32">
        <v>75</v>
      </c>
      <c r="I3684" s="30" t="s">
        <v>21</v>
      </c>
      <c r="J3684" s="41">
        <v>44057</v>
      </c>
      <c r="K3684" s="30" t="s">
        <v>22</v>
      </c>
    </row>
    <row r="3685" spans="1:11">
      <c r="A3685" s="33" t="s">
        <v>8882</v>
      </c>
      <c r="B3685" s="33" t="s">
        <v>8883</v>
      </c>
      <c r="C3685" s="33" t="s">
        <v>231</v>
      </c>
      <c r="D3685" s="33" t="s">
        <v>17</v>
      </c>
      <c r="E3685" s="33" t="s">
        <v>26</v>
      </c>
      <c r="F3685" s="33" t="s">
        <v>27</v>
      </c>
      <c r="G3685" s="33" t="s">
        <v>106</v>
      </c>
      <c r="H3685" s="35">
        <v>15</v>
      </c>
      <c r="I3685" s="33" t="s">
        <v>21</v>
      </c>
      <c r="J3685" s="42">
        <v>44158</v>
      </c>
      <c r="K3685" s="33" t="s">
        <v>22</v>
      </c>
    </row>
    <row r="3686" spans="1:11">
      <c r="A3686" s="30" t="s">
        <v>8884</v>
      </c>
      <c r="B3686" s="30" t="s">
        <v>8885</v>
      </c>
      <c r="C3686" s="30" t="s">
        <v>5817</v>
      </c>
      <c r="D3686" s="30" t="s">
        <v>17</v>
      </c>
      <c r="E3686" s="30" t="s">
        <v>31</v>
      </c>
      <c r="F3686" s="30" t="s">
        <v>32</v>
      </c>
      <c r="G3686" s="30" t="s">
        <v>20</v>
      </c>
      <c r="H3686" s="32">
        <v>43</v>
      </c>
      <c r="I3686" s="30" t="s">
        <v>21</v>
      </c>
      <c r="J3686" s="41">
        <v>43864</v>
      </c>
      <c r="K3686" s="30" t="s">
        <v>22</v>
      </c>
    </row>
    <row r="3687" spans="1:11">
      <c r="A3687" s="33" t="s">
        <v>8886</v>
      </c>
      <c r="B3687" s="33" t="s">
        <v>8887</v>
      </c>
      <c r="C3687" s="33" t="s">
        <v>8888</v>
      </c>
      <c r="D3687" s="33" t="s">
        <v>17</v>
      </c>
      <c r="E3687" s="33" t="s">
        <v>18</v>
      </c>
      <c r="F3687" s="33" t="s">
        <v>19</v>
      </c>
      <c r="G3687" s="33" t="s">
        <v>50</v>
      </c>
      <c r="H3687" s="35">
        <v>264</v>
      </c>
      <c r="I3687" s="33" t="s">
        <v>51</v>
      </c>
      <c r="J3687" s="42">
        <v>43850</v>
      </c>
      <c r="K3687" s="33" t="s">
        <v>22</v>
      </c>
    </row>
    <row r="3688" spans="1:11">
      <c r="A3688" s="30" t="s">
        <v>8889</v>
      </c>
      <c r="B3688" s="30" t="s">
        <v>8890</v>
      </c>
      <c r="C3688" s="30" t="s">
        <v>936</v>
      </c>
      <c r="D3688" s="30" t="s">
        <v>17</v>
      </c>
      <c r="E3688" s="30" t="s">
        <v>31</v>
      </c>
      <c r="F3688" s="30" t="s">
        <v>32</v>
      </c>
      <c r="G3688" s="30" t="s">
        <v>106</v>
      </c>
      <c r="H3688" s="32">
        <v>95</v>
      </c>
      <c r="I3688" s="30" t="s">
        <v>21</v>
      </c>
      <c r="J3688" s="41">
        <v>44061</v>
      </c>
      <c r="K3688" s="30" t="s">
        <v>22</v>
      </c>
    </row>
    <row r="3689" spans="1:11">
      <c r="A3689" s="33" t="s">
        <v>8891</v>
      </c>
      <c r="B3689" s="33" t="s">
        <v>8892</v>
      </c>
      <c r="C3689" s="33" t="s">
        <v>2156</v>
      </c>
      <c r="D3689" s="33" t="s">
        <v>17</v>
      </c>
      <c r="E3689" s="33" t="s">
        <v>18</v>
      </c>
      <c r="F3689" s="33" t="s">
        <v>19</v>
      </c>
      <c r="G3689" s="33" t="s">
        <v>20</v>
      </c>
      <c r="H3689" s="35">
        <v>465</v>
      </c>
      <c r="I3689" s="33" t="s">
        <v>21</v>
      </c>
      <c r="J3689" s="42">
        <v>44148</v>
      </c>
      <c r="K3689" s="33" t="s">
        <v>22</v>
      </c>
    </row>
    <row r="3690" spans="1:11">
      <c r="A3690" s="30" t="s">
        <v>8893</v>
      </c>
      <c r="B3690" s="30" t="s">
        <v>8894</v>
      </c>
      <c r="C3690" s="30" t="s">
        <v>4130</v>
      </c>
      <c r="D3690" s="30" t="s">
        <v>17</v>
      </c>
      <c r="E3690" s="30" t="s">
        <v>26</v>
      </c>
      <c r="F3690" s="30" t="s">
        <v>27</v>
      </c>
      <c r="G3690" s="30" t="s">
        <v>20</v>
      </c>
      <c r="H3690" s="32">
        <v>26</v>
      </c>
      <c r="I3690" s="30" t="s">
        <v>21</v>
      </c>
      <c r="J3690" s="41">
        <v>44096</v>
      </c>
      <c r="K3690" s="30" t="s">
        <v>22</v>
      </c>
    </row>
    <row r="3691" spans="1:11">
      <c r="A3691" s="33" t="s">
        <v>8895</v>
      </c>
      <c r="B3691" s="33" t="s">
        <v>8896</v>
      </c>
      <c r="C3691" s="33" t="s">
        <v>8897</v>
      </c>
      <c r="D3691" s="33" t="s">
        <v>17</v>
      </c>
      <c r="E3691" s="33" t="s">
        <v>31</v>
      </c>
      <c r="F3691" s="33" t="s">
        <v>32</v>
      </c>
      <c r="G3691" s="33" t="s">
        <v>106</v>
      </c>
      <c r="H3691" s="35">
        <v>16</v>
      </c>
      <c r="I3691" s="33" t="s">
        <v>21</v>
      </c>
      <c r="J3691" s="42">
        <v>43936</v>
      </c>
      <c r="K3691" s="33" t="s">
        <v>22</v>
      </c>
    </row>
    <row r="3692" spans="1:11">
      <c r="A3692" s="30" t="s">
        <v>8898</v>
      </c>
      <c r="B3692" s="30" t="s">
        <v>8899</v>
      </c>
      <c r="C3692" s="30" t="s">
        <v>8900</v>
      </c>
      <c r="D3692" s="30" t="s">
        <v>17</v>
      </c>
      <c r="E3692" s="30" t="s">
        <v>31</v>
      </c>
      <c r="F3692" s="30" t="s">
        <v>32</v>
      </c>
      <c r="G3692" s="30" t="s">
        <v>20</v>
      </c>
      <c r="H3692" s="32">
        <v>36</v>
      </c>
      <c r="I3692" s="30" t="s">
        <v>21</v>
      </c>
      <c r="J3692" s="41">
        <v>43986</v>
      </c>
      <c r="K3692" s="30" t="s">
        <v>22</v>
      </c>
    </row>
    <row r="3693" spans="1:11">
      <c r="A3693" s="33" t="s">
        <v>8901</v>
      </c>
      <c r="B3693" s="33" t="s">
        <v>8902</v>
      </c>
      <c r="C3693" s="33" t="s">
        <v>8903</v>
      </c>
      <c r="D3693" s="33" t="s">
        <v>17</v>
      </c>
      <c r="E3693" s="33" t="s">
        <v>67</v>
      </c>
      <c r="F3693" s="33" t="s">
        <v>68</v>
      </c>
      <c r="G3693" s="33" t="s">
        <v>106</v>
      </c>
      <c r="H3693" s="35">
        <v>85</v>
      </c>
      <c r="I3693" s="33" t="s">
        <v>21</v>
      </c>
      <c r="J3693" s="42">
        <v>43928</v>
      </c>
      <c r="K3693" s="33" t="s">
        <v>22</v>
      </c>
    </row>
    <row r="3694" spans="1:11">
      <c r="A3694" s="30" t="s">
        <v>8904</v>
      </c>
      <c r="B3694" s="30" t="s">
        <v>8905</v>
      </c>
      <c r="C3694" s="30" t="s">
        <v>109</v>
      </c>
      <c r="D3694" s="30" t="s">
        <v>17</v>
      </c>
      <c r="E3694" s="30" t="s">
        <v>18</v>
      </c>
      <c r="F3694" s="30" t="s">
        <v>19</v>
      </c>
      <c r="G3694" s="30" t="s">
        <v>20</v>
      </c>
      <c r="H3694" s="32">
        <v>689</v>
      </c>
      <c r="I3694" s="30" t="s">
        <v>21</v>
      </c>
      <c r="J3694" s="41">
        <v>44154</v>
      </c>
      <c r="K3694" s="30" t="s">
        <v>22</v>
      </c>
    </row>
    <row r="3695" spans="1:11">
      <c r="A3695" s="33" t="s">
        <v>8906</v>
      </c>
      <c r="B3695" s="33" t="s">
        <v>8907</v>
      </c>
      <c r="C3695" s="33" t="s">
        <v>554</v>
      </c>
      <c r="D3695" s="33" t="s">
        <v>17</v>
      </c>
      <c r="E3695" s="33" t="s">
        <v>26</v>
      </c>
      <c r="F3695" s="33" t="s">
        <v>27</v>
      </c>
      <c r="G3695" s="33" t="s">
        <v>106</v>
      </c>
      <c r="H3695" s="35">
        <v>24</v>
      </c>
      <c r="I3695" s="33" t="s">
        <v>21</v>
      </c>
      <c r="J3695" s="42">
        <v>43885</v>
      </c>
      <c r="K3695" s="33" t="s">
        <v>22</v>
      </c>
    </row>
    <row r="3696" spans="1:11">
      <c r="A3696" s="30" t="s">
        <v>8908</v>
      </c>
      <c r="B3696" s="30" t="s">
        <v>8909</v>
      </c>
      <c r="C3696" s="30" t="s">
        <v>1764</v>
      </c>
      <c r="D3696" s="30" t="s">
        <v>17</v>
      </c>
      <c r="E3696" s="30" t="s">
        <v>18</v>
      </c>
      <c r="F3696" s="30" t="s">
        <v>19</v>
      </c>
      <c r="G3696" s="30" t="s">
        <v>20</v>
      </c>
      <c r="H3696" s="32">
        <v>46</v>
      </c>
      <c r="I3696" s="30" t="s">
        <v>21</v>
      </c>
      <c r="J3696" s="41">
        <v>44193</v>
      </c>
      <c r="K3696" s="30" t="s">
        <v>22</v>
      </c>
    </row>
    <row r="3697" spans="1:11">
      <c r="A3697" s="33" t="s">
        <v>8910</v>
      </c>
      <c r="B3697" s="33" t="s">
        <v>8911</v>
      </c>
      <c r="C3697" s="33" t="s">
        <v>49</v>
      </c>
      <c r="D3697" s="33" t="s">
        <v>17</v>
      </c>
      <c r="E3697" s="33" t="s">
        <v>18</v>
      </c>
      <c r="F3697" s="33" t="s">
        <v>19</v>
      </c>
      <c r="G3697" s="33" t="s">
        <v>50</v>
      </c>
      <c r="H3697" s="35">
        <v>362</v>
      </c>
      <c r="I3697" s="33" t="s">
        <v>51</v>
      </c>
      <c r="J3697" s="42">
        <v>43983</v>
      </c>
      <c r="K3697" s="33" t="s">
        <v>22</v>
      </c>
    </row>
    <row r="3698" spans="1:11">
      <c r="A3698" s="30" t="s">
        <v>8912</v>
      </c>
      <c r="B3698" s="30" t="s">
        <v>8913</v>
      </c>
      <c r="C3698" s="30" t="s">
        <v>6001</v>
      </c>
      <c r="D3698" s="30" t="s">
        <v>17</v>
      </c>
      <c r="E3698" s="30" t="s">
        <v>26</v>
      </c>
      <c r="F3698" s="30" t="s">
        <v>27</v>
      </c>
      <c r="G3698" s="30" t="s">
        <v>50</v>
      </c>
      <c r="H3698" s="32">
        <v>20</v>
      </c>
      <c r="I3698" s="30" t="s">
        <v>51</v>
      </c>
      <c r="J3698" s="41">
        <v>44166</v>
      </c>
      <c r="K3698" s="30" t="s">
        <v>22</v>
      </c>
    </row>
    <row r="3699" spans="1:11">
      <c r="A3699" s="33" t="s">
        <v>8914</v>
      </c>
      <c r="B3699" s="33" t="s">
        <v>8915</v>
      </c>
      <c r="C3699" s="33" t="s">
        <v>149</v>
      </c>
      <c r="D3699" s="33" t="s">
        <v>17</v>
      </c>
      <c r="E3699" s="33" t="s">
        <v>45</v>
      </c>
      <c r="F3699" s="33" t="s">
        <v>46</v>
      </c>
      <c r="G3699" s="33" t="s">
        <v>50</v>
      </c>
      <c r="H3699" s="35">
        <v>201</v>
      </c>
      <c r="I3699" s="33" t="s">
        <v>21</v>
      </c>
      <c r="J3699" s="42">
        <v>43982</v>
      </c>
      <c r="K3699" s="33" t="s">
        <v>22</v>
      </c>
    </row>
    <row r="3700" spans="1:11">
      <c r="A3700" s="30" t="s">
        <v>8916</v>
      </c>
      <c r="B3700" s="30" t="s">
        <v>8917</v>
      </c>
      <c r="C3700" s="30" t="s">
        <v>450</v>
      </c>
      <c r="D3700" s="30" t="s">
        <v>17</v>
      </c>
      <c r="E3700" s="30" t="s">
        <v>26</v>
      </c>
      <c r="F3700" s="30" t="s">
        <v>27</v>
      </c>
      <c r="G3700" s="30" t="s">
        <v>20</v>
      </c>
      <c r="H3700" s="32">
        <v>39</v>
      </c>
      <c r="I3700" s="30" t="s">
        <v>21</v>
      </c>
      <c r="J3700" s="41">
        <v>44177</v>
      </c>
      <c r="K3700" s="30" t="s">
        <v>22</v>
      </c>
    </row>
    <row r="3701" spans="1:11">
      <c r="A3701" s="33" t="s">
        <v>8918</v>
      </c>
      <c r="B3701" s="33" t="s">
        <v>8919</v>
      </c>
      <c r="C3701" s="33" t="s">
        <v>709</v>
      </c>
      <c r="D3701" s="33" t="s">
        <v>17</v>
      </c>
      <c r="E3701" s="33" t="s">
        <v>26</v>
      </c>
      <c r="F3701" s="33" t="s">
        <v>27</v>
      </c>
      <c r="G3701" s="33" t="s">
        <v>20</v>
      </c>
      <c r="H3701" s="35">
        <v>42</v>
      </c>
      <c r="I3701" s="33" t="s">
        <v>21</v>
      </c>
      <c r="J3701" s="42">
        <v>43866</v>
      </c>
      <c r="K3701" s="33" t="s">
        <v>22</v>
      </c>
    </row>
    <row r="3702" spans="1:11">
      <c r="A3702" s="30" t="s">
        <v>8920</v>
      </c>
      <c r="B3702" s="30" t="s">
        <v>8921</v>
      </c>
      <c r="C3702" s="30" t="s">
        <v>109</v>
      </c>
      <c r="D3702" s="30" t="s">
        <v>17</v>
      </c>
      <c r="E3702" s="30" t="s">
        <v>18</v>
      </c>
      <c r="F3702" s="30" t="s">
        <v>19</v>
      </c>
      <c r="G3702" s="30" t="s">
        <v>106</v>
      </c>
      <c r="H3702" s="32">
        <v>530</v>
      </c>
      <c r="I3702" s="30" t="s">
        <v>21</v>
      </c>
      <c r="J3702" s="41">
        <v>43990</v>
      </c>
      <c r="K3702" s="30" t="s">
        <v>22</v>
      </c>
    </row>
    <row r="3703" spans="1:11">
      <c r="A3703" s="33" t="s">
        <v>8922</v>
      </c>
      <c r="B3703" s="33" t="s">
        <v>8923</v>
      </c>
      <c r="C3703" s="33" t="s">
        <v>5771</v>
      </c>
      <c r="D3703" s="33" t="s">
        <v>17</v>
      </c>
      <c r="E3703" s="33" t="s">
        <v>26</v>
      </c>
      <c r="F3703" s="33" t="s">
        <v>27</v>
      </c>
      <c r="G3703" s="33" t="s">
        <v>50</v>
      </c>
      <c r="H3703" s="35">
        <v>18</v>
      </c>
      <c r="I3703" s="33" t="s">
        <v>21</v>
      </c>
      <c r="J3703" s="42">
        <v>44021</v>
      </c>
      <c r="K3703" s="33" t="s">
        <v>22</v>
      </c>
    </row>
    <row r="3704" spans="1:11">
      <c r="A3704" s="30" t="s">
        <v>8924</v>
      </c>
      <c r="B3704" s="30" t="s">
        <v>8925</v>
      </c>
      <c r="C3704" s="30" t="s">
        <v>8926</v>
      </c>
      <c r="D3704" s="30" t="s">
        <v>17</v>
      </c>
      <c r="E3704" s="30" t="s">
        <v>67</v>
      </c>
      <c r="F3704" s="30" t="s">
        <v>68</v>
      </c>
      <c r="G3704" s="30" t="s">
        <v>20</v>
      </c>
      <c r="H3704" s="32">
        <v>62</v>
      </c>
      <c r="I3704" s="30" t="s">
        <v>21</v>
      </c>
      <c r="J3704" s="41">
        <v>44011</v>
      </c>
      <c r="K3704" s="30" t="s">
        <v>22</v>
      </c>
    </row>
    <row r="3705" spans="1:11">
      <c r="A3705" s="33" t="s">
        <v>8927</v>
      </c>
      <c r="B3705" s="33" t="s">
        <v>8928</v>
      </c>
      <c r="C3705" s="33" t="s">
        <v>3480</v>
      </c>
      <c r="D3705" s="33" t="s">
        <v>17</v>
      </c>
      <c r="E3705" s="33" t="s">
        <v>67</v>
      </c>
      <c r="F3705" s="33" t="s">
        <v>68</v>
      </c>
      <c r="G3705" s="33" t="s">
        <v>112</v>
      </c>
      <c r="H3705" s="35">
        <v>0</v>
      </c>
      <c r="I3705" s="33" t="s">
        <v>21</v>
      </c>
      <c r="J3705" s="42">
        <v>44044</v>
      </c>
      <c r="K3705" s="33" t="s">
        <v>22</v>
      </c>
    </row>
    <row r="3706" spans="1:11">
      <c r="A3706" s="30" t="s">
        <v>8929</v>
      </c>
      <c r="B3706" s="30" t="s">
        <v>8930</v>
      </c>
      <c r="C3706" s="30" t="s">
        <v>8931</v>
      </c>
      <c r="D3706" s="30" t="s">
        <v>17</v>
      </c>
      <c r="E3706" s="30" t="s">
        <v>26</v>
      </c>
      <c r="F3706" s="30" t="s">
        <v>27</v>
      </c>
      <c r="G3706" s="30" t="s">
        <v>20</v>
      </c>
      <c r="H3706" s="32">
        <v>51</v>
      </c>
      <c r="I3706" s="30" t="s">
        <v>21</v>
      </c>
      <c r="J3706" s="41">
        <v>44153</v>
      </c>
      <c r="K3706" s="30" t="s">
        <v>22</v>
      </c>
    </row>
    <row r="3707" spans="1:11">
      <c r="A3707" s="33" t="s">
        <v>8932</v>
      </c>
      <c r="B3707" s="33" t="s">
        <v>8933</v>
      </c>
      <c r="C3707" s="33" t="s">
        <v>8934</v>
      </c>
      <c r="D3707" s="33" t="s">
        <v>17</v>
      </c>
      <c r="E3707" s="33" t="s">
        <v>31</v>
      </c>
      <c r="F3707" s="33" t="s">
        <v>32</v>
      </c>
      <c r="G3707" s="33" t="s">
        <v>106</v>
      </c>
      <c r="H3707" s="35">
        <v>11</v>
      </c>
      <c r="I3707" s="33" t="s">
        <v>21</v>
      </c>
      <c r="J3707" s="42">
        <v>44182</v>
      </c>
      <c r="K3707" s="33" t="s">
        <v>22</v>
      </c>
    </row>
    <row r="3708" spans="1:11">
      <c r="A3708" s="30" t="s">
        <v>8935</v>
      </c>
      <c r="B3708" s="30" t="s">
        <v>8936</v>
      </c>
      <c r="C3708" s="30" t="s">
        <v>8937</v>
      </c>
      <c r="D3708" s="30" t="s">
        <v>17</v>
      </c>
      <c r="E3708" s="30" t="s">
        <v>26</v>
      </c>
      <c r="F3708" s="30" t="s">
        <v>27</v>
      </c>
      <c r="G3708" s="30" t="s">
        <v>20</v>
      </c>
      <c r="H3708" s="32">
        <v>15</v>
      </c>
      <c r="I3708" s="30" t="s">
        <v>21</v>
      </c>
      <c r="J3708" s="41">
        <v>44054</v>
      </c>
      <c r="K3708" s="30" t="s">
        <v>22</v>
      </c>
    </row>
    <row r="3709" spans="1:11">
      <c r="A3709" s="33" t="s">
        <v>8938</v>
      </c>
      <c r="B3709" s="33" t="s">
        <v>8939</v>
      </c>
      <c r="C3709" s="33" t="s">
        <v>231</v>
      </c>
      <c r="D3709" s="33" t="s">
        <v>17</v>
      </c>
      <c r="E3709" s="33" t="s">
        <v>45</v>
      </c>
      <c r="F3709" s="33" t="s">
        <v>46</v>
      </c>
      <c r="G3709" s="33" t="s">
        <v>20</v>
      </c>
      <c r="H3709" s="35">
        <v>104</v>
      </c>
      <c r="I3709" s="33" t="s">
        <v>21</v>
      </c>
      <c r="J3709" s="42">
        <v>44181</v>
      </c>
      <c r="K3709" s="33" t="s">
        <v>22</v>
      </c>
    </row>
    <row r="3710" spans="1:11">
      <c r="A3710" s="30" t="s">
        <v>8940</v>
      </c>
      <c r="B3710" s="30" t="s">
        <v>8941</v>
      </c>
      <c r="C3710" s="30" t="s">
        <v>2972</v>
      </c>
      <c r="D3710" s="30" t="s">
        <v>17</v>
      </c>
      <c r="E3710" s="30" t="s">
        <v>26</v>
      </c>
      <c r="F3710" s="30" t="s">
        <v>27</v>
      </c>
      <c r="G3710" s="30" t="s">
        <v>112</v>
      </c>
      <c r="H3710" s="32">
        <v>0</v>
      </c>
      <c r="I3710" s="30" t="s">
        <v>21</v>
      </c>
      <c r="J3710" s="41">
        <v>44055</v>
      </c>
      <c r="K3710" s="30" t="s">
        <v>22</v>
      </c>
    </row>
    <row r="3711" spans="1:11">
      <c r="A3711" s="33" t="s">
        <v>8942</v>
      </c>
      <c r="B3711" s="33" t="s">
        <v>8943</v>
      </c>
      <c r="C3711" s="33" t="s">
        <v>387</v>
      </c>
      <c r="D3711" s="33" t="s">
        <v>17</v>
      </c>
      <c r="E3711" s="33" t="s">
        <v>26</v>
      </c>
      <c r="F3711" s="33" t="s">
        <v>27</v>
      </c>
      <c r="G3711" s="33" t="s">
        <v>20</v>
      </c>
      <c r="H3711" s="35">
        <v>28</v>
      </c>
      <c r="I3711" s="33" t="s">
        <v>21</v>
      </c>
      <c r="J3711" s="42">
        <v>44047</v>
      </c>
      <c r="K3711" s="33" t="s">
        <v>22</v>
      </c>
    </row>
    <row r="3712" spans="1:11">
      <c r="A3712" s="30" t="s">
        <v>8944</v>
      </c>
      <c r="B3712" s="30" t="s">
        <v>8945</v>
      </c>
      <c r="C3712" s="30" t="s">
        <v>647</v>
      </c>
      <c r="D3712" s="30" t="s">
        <v>17</v>
      </c>
      <c r="E3712" s="30" t="s">
        <v>18</v>
      </c>
      <c r="F3712" s="30" t="s">
        <v>19</v>
      </c>
      <c r="G3712" s="30" t="s">
        <v>20</v>
      </c>
      <c r="H3712" s="32">
        <v>158</v>
      </c>
      <c r="I3712" s="30" t="s">
        <v>21</v>
      </c>
      <c r="J3712" s="41">
        <v>44022</v>
      </c>
      <c r="K3712" s="30" t="s">
        <v>22</v>
      </c>
    </row>
    <row r="3713" spans="1:11">
      <c r="A3713" s="33" t="s">
        <v>8946</v>
      </c>
      <c r="B3713" s="33" t="s">
        <v>8947</v>
      </c>
      <c r="C3713" s="33" t="s">
        <v>5845</v>
      </c>
      <c r="D3713" s="33" t="s">
        <v>17</v>
      </c>
      <c r="E3713" s="33" t="s">
        <v>26</v>
      </c>
      <c r="F3713" s="33" t="s">
        <v>27</v>
      </c>
      <c r="G3713" s="33" t="s">
        <v>20</v>
      </c>
      <c r="H3713" s="35">
        <v>24</v>
      </c>
      <c r="I3713" s="33" t="s">
        <v>21</v>
      </c>
      <c r="J3713" s="42">
        <v>43838</v>
      </c>
      <c r="K3713" s="33" t="s">
        <v>22</v>
      </c>
    </row>
    <row r="3714" spans="1:11">
      <c r="A3714" s="30" t="s">
        <v>8948</v>
      </c>
      <c r="B3714" s="30" t="s">
        <v>8949</v>
      </c>
      <c r="C3714" s="30" t="s">
        <v>149</v>
      </c>
      <c r="D3714" s="30" t="s">
        <v>17</v>
      </c>
      <c r="E3714" s="30" t="s">
        <v>26</v>
      </c>
      <c r="F3714" s="30" t="s">
        <v>27</v>
      </c>
      <c r="G3714" s="30" t="s">
        <v>50</v>
      </c>
      <c r="H3714" s="32">
        <v>24</v>
      </c>
      <c r="I3714" s="30" t="s">
        <v>51</v>
      </c>
      <c r="J3714" s="41">
        <v>44105</v>
      </c>
      <c r="K3714" s="30" t="s">
        <v>22</v>
      </c>
    </row>
    <row r="3715" spans="1:11">
      <c r="A3715" s="33" t="s">
        <v>8950</v>
      </c>
      <c r="B3715" s="33" t="s">
        <v>8951</v>
      </c>
      <c r="C3715" s="33" t="s">
        <v>570</v>
      </c>
      <c r="D3715" s="33" t="s">
        <v>17</v>
      </c>
      <c r="E3715" s="33" t="s">
        <v>26</v>
      </c>
      <c r="F3715" s="33" t="s">
        <v>27</v>
      </c>
      <c r="G3715" s="33" t="s">
        <v>50</v>
      </c>
      <c r="H3715" s="35">
        <v>71</v>
      </c>
      <c r="I3715" s="33" t="s">
        <v>21</v>
      </c>
      <c r="J3715" s="42">
        <v>44032</v>
      </c>
      <c r="K3715" s="33" t="s">
        <v>22</v>
      </c>
    </row>
    <row r="3716" spans="1:11">
      <c r="A3716" s="30" t="s">
        <v>8952</v>
      </c>
      <c r="B3716" s="30" t="s">
        <v>8953</v>
      </c>
      <c r="C3716" s="30" t="s">
        <v>1498</v>
      </c>
      <c r="D3716" s="30" t="s">
        <v>17</v>
      </c>
      <c r="E3716" s="30" t="s">
        <v>26</v>
      </c>
      <c r="F3716" s="30" t="s">
        <v>27</v>
      </c>
      <c r="G3716" s="30" t="s">
        <v>20</v>
      </c>
      <c r="H3716" s="32">
        <v>30</v>
      </c>
      <c r="I3716" s="30" t="s">
        <v>21</v>
      </c>
      <c r="J3716" s="41">
        <v>44124</v>
      </c>
      <c r="K3716" s="30" t="s">
        <v>22</v>
      </c>
    </row>
    <row r="3717" spans="1:11">
      <c r="A3717" s="33" t="s">
        <v>8954</v>
      </c>
      <c r="B3717" s="33" t="s">
        <v>8955</v>
      </c>
      <c r="C3717" s="33" t="s">
        <v>7345</v>
      </c>
      <c r="D3717" s="33" t="s">
        <v>17</v>
      </c>
      <c r="E3717" s="33" t="s">
        <v>18</v>
      </c>
      <c r="F3717" s="33" t="s">
        <v>19</v>
      </c>
      <c r="G3717" s="33" t="s">
        <v>50</v>
      </c>
      <c r="H3717" s="35">
        <v>12000</v>
      </c>
      <c r="I3717" s="33" t="s">
        <v>21</v>
      </c>
      <c r="J3717" s="42">
        <v>44170</v>
      </c>
      <c r="K3717" s="33" t="s">
        <v>22</v>
      </c>
    </row>
    <row r="3718" spans="1:11">
      <c r="A3718" s="30" t="s">
        <v>8956</v>
      </c>
      <c r="B3718" s="30" t="s">
        <v>8957</v>
      </c>
      <c r="C3718" s="30" t="s">
        <v>5842</v>
      </c>
      <c r="D3718" s="30" t="s">
        <v>17</v>
      </c>
      <c r="E3718" s="30" t="s">
        <v>45</v>
      </c>
      <c r="F3718" s="30" t="s">
        <v>46</v>
      </c>
      <c r="G3718" s="30" t="s">
        <v>106</v>
      </c>
      <c r="H3718" s="32">
        <v>369</v>
      </c>
      <c r="I3718" s="30" t="s">
        <v>21</v>
      </c>
      <c r="J3718" s="41">
        <v>44035</v>
      </c>
      <c r="K3718" s="30" t="s">
        <v>22</v>
      </c>
    </row>
    <row r="3719" spans="1:11">
      <c r="A3719" s="33" t="s">
        <v>8958</v>
      </c>
      <c r="B3719" s="33" t="s">
        <v>8959</v>
      </c>
      <c r="C3719" s="33" t="s">
        <v>149</v>
      </c>
      <c r="D3719" s="33" t="s">
        <v>17</v>
      </c>
      <c r="E3719" s="33" t="s">
        <v>26</v>
      </c>
      <c r="F3719" s="33" t="s">
        <v>27</v>
      </c>
      <c r="G3719" s="33" t="s">
        <v>20</v>
      </c>
      <c r="H3719" s="35">
        <v>6</v>
      </c>
      <c r="I3719" s="33" t="s">
        <v>21</v>
      </c>
      <c r="J3719" s="42">
        <v>43909</v>
      </c>
      <c r="K3719" s="33" t="s">
        <v>22</v>
      </c>
    </row>
    <row r="3720" spans="1:11">
      <c r="A3720" s="30" t="s">
        <v>8960</v>
      </c>
      <c r="B3720" s="30" t="s">
        <v>8961</v>
      </c>
      <c r="C3720" s="30" t="s">
        <v>1003</v>
      </c>
      <c r="D3720" s="30" t="s">
        <v>17</v>
      </c>
      <c r="E3720" s="30" t="s">
        <v>31</v>
      </c>
      <c r="F3720" s="30" t="s">
        <v>32</v>
      </c>
      <c r="G3720" s="30" t="s">
        <v>106</v>
      </c>
      <c r="H3720" s="32">
        <v>4</v>
      </c>
      <c r="I3720" s="30" t="s">
        <v>21</v>
      </c>
      <c r="J3720" s="41">
        <v>43851</v>
      </c>
      <c r="K3720" s="30" t="s">
        <v>22</v>
      </c>
    </row>
    <row r="3721" spans="1:11">
      <c r="A3721" s="33" t="s">
        <v>8962</v>
      </c>
      <c r="B3721" s="33" t="s">
        <v>8963</v>
      </c>
      <c r="C3721" s="33" t="s">
        <v>75</v>
      </c>
      <c r="D3721" s="33" t="s">
        <v>17</v>
      </c>
      <c r="E3721" s="33" t="s">
        <v>26</v>
      </c>
      <c r="F3721" s="33" t="s">
        <v>27</v>
      </c>
      <c r="G3721" s="33" t="s">
        <v>20</v>
      </c>
      <c r="H3721" s="35">
        <v>36</v>
      </c>
      <c r="I3721" s="33" t="s">
        <v>21</v>
      </c>
      <c r="J3721" s="42">
        <v>44183</v>
      </c>
      <c r="K3721" s="33" t="s">
        <v>22</v>
      </c>
    </row>
    <row r="3722" spans="1:11">
      <c r="A3722" s="30" t="s">
        <v>8964</v>
      </c>
      <c r="B3722" s="30" t="s">
        <v>8965</v>
      </c>
      <c r="C3722" s="30" t="s">
        <v>1880</v>
      </c>
      <c r="D3722" s="30" t="s">
        <v>17</v>
      </c>
      <c r="E3722" s="30" t="s">
        <v>67</v>
      </c>
      <c r="F3722" s="30" t="s">
        <v>68</v>
      </c>
      <c r="G3722" s="30" t="s">
        <v>106</v>
      </c>
      <c r="H3722" s="32">
        <v>37</v>
      </c>
      <c r="I3722" s="30" t="s">
        <v>21</v>
      </c>
      <c r="J3722" s="41">
        <v>44054</v>
      </c>
      <c r="K3722" s="30" t="s">
        <v>22</v>
      </c>
    </row>
    <row r="3723" spans="1:11">
      <c r="A3723" s="33" t="s">
        <v>8966</v>
      </c>
      <c r="B3723" s="33" t="s">
        <v>8967</v>
      </c>
      <c r="C3723" s="33" t="s">
        <v>271</v>
      </c>
      <c r="D3723" s="33" t="s">
        <v>17</v>
      </c>
      <c r="E3723" s="33" t="s">
        <v>31</v>
      </c>
      <c r="F3723" s="33" t="s">
        <v>32</v>
      </c>
      <c r="G3723" s="33" t="s">
        <v>20</v>
      </c>
      <c r="H3723" s="35">
        <v>190</v>
      </c>
      <c r="I3723" s="33" t="s">
        <v>21</v>
      </c>
      <c r="J3723" s="42">
        <v>43938</v>
      </c>
      <c r="K3723" s="33" t="s">
        <v>22</v>
      </c>
    </row>
    <row r="3724" spans="1:11">
      <c r="A3724" s="30" t="s">
        <v>8968</v>
      </c>
      <c r="B3724" s="30" t="s">
        <v>8969</v>
      </c>
      <c r="C3724" s="30" t="s">
        <v>706</v>
      </c>
      <c r="D3724" s="30" t="s">
        <v>17</v>
      </c>
      <c r="E3724" s="30" t="s">
        <v>26</v>
      </c>
      <c r="F3724" s="30" t="s">
        <v>27</v>
      </c>
      <c r="G3724" s="30" t="s">
        <v>20</v>
      </c>
      <c r="H3724" s="32">
        <v>16</v>
      </c>
      <c r="I3724" s="30" t="s">
        <v>21</v>
      </c>
      <c r="J3724" s="41">
        <v>44182</v>
      </c>
      <c r="K3724" s="30" t="s">
        <v>22</v>
      </c>
    </row>
    <row r="3725" spans="1:11">
      <c r="A3725" s="33" t="s">
        <v>8970</v>
      </c>
      <c r="B3725" s="33" t="s">
        <v>8971</v>
      </c>
      <c r="C3725" s="33" t="s">
        <v>190</v>
      </c>
      <c r="D3725" s="33" t="s">
        <v>17</v>
      </c>
      <c r="E3725" s="33" t="s">
        <v>26</v>
      </c>
      <c r="F3725" s="33" t="s">
        <v>27</v>
      </c>
      <c r="G3725" s="33" t="s">
        <v>20</v>
      </c>
      <c r="H3725" s="35">
        <v>103</v>
      </c>
      <c r="I3725" s="33" t="s">
        <v>21</v>
      </c>
      <c r="J3725" s="42">
        <v>44119</v>
      </c>
      <c r="K3725" s="33" t="s">
        <v>22</v>
      </c>
    </row>
    <row r="3726" spans="1:11">
      <c r="A3726" s="30" t="s">
        <v>8972</v>
      </c>
      <c r="B3726" s="30" t="s">
        <v>8973</v>
      </c>
      <c r="C3726" s="30" t="s">
        <v>216</v>
      </c>
      <c r="D3726" s="30" t="s">
        <v>17</v>
      </c>
      <c r="E3726" s="30" t="s">
        <v>31</v>
      </c>
      <c r="F3726" s="30" t="s">
        <v>32</v>
      </c>
      <c r="G3726" s="30" t="s">
        <v>20</v>
      </c>
      <c r="H3726" s="32">
        <v>48</v>
      </c>
      <c r="I3726" s="30" t="s">
        <v>21</v>
      </c>
      <c r="J3726" s="41">
        <v>44069</v>
      </c>
      <c r="K3726" s="30" t="s">
        <v>22</v>
      </c>
    </row>
    <row r="3727" spans="1:11">
      <c r="A3727" s="33" t="s">
        <v>8974</v>
      </c>
      <c r="B3727" s="33" t="s">
        <v>8975</v>
      </c>
      <c r="C3727" s="33" t="s">
        <v>8976</v>
      </c>
      <c r="D3727" s="33" t="s">
        <v>17</v>
      </c>
      <c r="E3727" s="33" t="s">
        <v>67</v>
      </c>
      <c r="F3727" s="33" t="s">
        <v>68</v>
      </c>
      <c r="G3727" s="33" t="s">
        <v>20</v>
      </c>
      <c r="H3727" s="35">
        <v>25</v>
      </c>
      <c r="I3727" s="33" t="s">
        <v>21</v>
      </c>
      <c r="J3727" s="42">
        <v>44084</v>
      </c>
      <c r="K3727" s="33" t="s">
        <v>22</v>
      </c>
    </row>
    <row r="3728" spans="1:11">
      <c r="A3728" s="30" t="s">
        <v>8977</v>
      </c>
      <c r="B3728" s="30" t="s">
        <v>8978</v>
      </c>
      <c r="C3728" s="30" t="s">
        <v>8979</v>
      </c>
      <c r="D3728" s="30" t="s">
        <v>17</v>
      </c>
      <c r="E3728" s="30" t="s">
        <v>18</v>
      </c>
      <c r="F3728" s="30" t="s">
        <v>19</v>
      </c>
      <c r="G3728" s="30" t="s">
        <v>20</v>
      </c>
      <c r="H3728" s="32">
        <v>406</v>
      </c>
      <c r="I3728" s="30" t="s">
        <v>21</v>
      </c>
      <c r="J3728" s="41">
        <v>44168</v>
      </c>
      <c r="K3728" s="30" t="s">
        <v>22</v>
      </c>
    </row>
    <row r="3729" spans="1:11">
      <c r="A3729" s="33" t="s">
        <v>8980</v>
      </c>
      <c r="B3729" s="33" t="s">
        <v>8981</v>
      </c>
      <c r="C3729" s="33" t="s">
        <v>5372</v>
      </c>
      <c r="D3729" s="33" t="s">
        <v>17</v>
      </c>
      <c r="E3729" s="33" t="s">
        <v>26</v>
      </c>
      <c r="F3729" s="33" t="s">
        <v>27</v>
      </c>
      <c r="G3729" s="33" t="s">
        <v>20</v>
      </c>
      <c r="H3729" s="35">
        <v>27</v>
      </c>
      <c r="I3729" s="33" t="s">
        <v>21</v>
      </c>
      <c r="J3729" s="42">
        <v>44193</v>
      </c>
      <c r="K3729" s="33" t="s">
        <v>22</v>
      </c>
    </row>
    <row r="3730" spans="1:11">
      <c r="A3730" s="30" t="s">
        <v>8982</v>
      </c>
      <c r="B3730" s="30" t="s">
        <v>8983</v>
      </c>
      <c r="C3730" s="30" t="s">
        <v>8984</v>
      </c>
      <c r="D3730" s="30" t="s">
        <v>17</v>
      </c>
      <c r="E3730" s="30" t="s">
        <v>31</v>
      </c>
      <c r="F3730" s="30" t="s">
        <v>32</v>
      </c>
      <c r="G3730" s="30" t="s">
        <v>50</v>
      </c>
      <c r="H3730" s="32">
        <v>200</v>
      </c>
      <c r="I3730" s="30" t="s">
        <v>51</v>
      </c>
      <c r="J3730" s="41">
        <v>44027</v>
      </c>
      <c r="K3730" s="30" t="s">
        <v>22</v>
      </c>
    </row>
    <row r="3731" spans="1:11">
      <c r="A3731" s="33" t="s">
        <v>8985</v>
      </c>
      <c r="B3731" s="33" t="s">
        <v>8986</v>
      </c>
      <c r="C3731" s="33" t="s">
        <v>8987</v>
      </c>
      <c r="D3731" s="33" t="s">
        <v>17</v>
      </c>
      <c r="E3731" s="33" t="s">
        <v>45</v>
      </c>
      <c r="F3731" s="33" t="s">
        <v>46</v>
      </c>
      <c r="G3731" s="33" t="s">
        <v>20</v>
      </c>
      <c r="H3731" s="35">
        <v>19</v>
      </c>
      <c r="I3731" s="33" t="s">
        <v>21</v>
      </c>
      <c r="J3731" s="42">
        <v>44041</v>
      </c>
      <c r="K3731" s="33" t="s">
        <v>22</v>
      </c>
    </row>
    <row r="3732" spans="1:11">
      <c r="A3732" s="30" t="s">
        <v>8988</v>
      </c>
      <c r="B3732" s="30" t="s">
        <v>8989</v>
      </c>
      <c r="C3732" s="30" t="s">
        <v>1391</v>
      </c>
      <c r="D3732" s="30" t="s">
        <v>17</v>
      </c>
      <c r="E3732" s="30" t="s">
        <v>18</v>
      </c>
      <c r="F3732" s="30" t="s">
        <v>19</v>
      </c>
      <c r="G3732" s="30" t="s">
        <v>20</v>
      </c>
      <c r="H3732" s="32">
        <v>33000</v>
      </c>
      <c r="I3732" s="30" t="s">
        <v>21</v>
      </c>
      <c r="J3732" s="41">
        <v>44192</v>
      </c>
      <c r="K3732" s="30" t="s">
        <v>22</v>
      </c>
    </row>
    <row r="3733" spans="1:11">
      <c r="A3733" s="33" t="s">
        <v>8990</v>
      </c>
      <c r="B3733" s="33" t="s">
        <v>8991</v>
      </c>
      <c r="C3733" s="33" t="s">
        <v>8992</v>
      </c>
      <c r="D3733" s="33" t="s">
        <v>17</v>
      </c>
      <c r="E3733" s="33" t="s">
        <v>67</v>
      </c>
      <c r="F3733" s="33" t="s">
        <v>68</v>
      </c>
      <c r="G3733" s="33" t="s">
        <v>50</v>
      </c>
      <c r="H3733" s="35">
        <v>42</v>
      </c>
      <c r="I3733" s="33" t="s">
        <v>51</v>
      </c>
      <c r="J3733" s="42">
        <v>44136</v>
      </c>
      <c r="K3733" s="33" t="s">
        <v>22</v>
      </c>
    </row>
    <row r="3734" spans="1:11">
      <c r="A3734" s="30" t="s">
        <v>8993</v>
      </c>
      <c r="B3734" s="30" t="s">
        <v>8994</v>
      </c>
      <c r="C3734" s="30" t="s">
        <v>190</v>
      </c>
      <c r="D3734" s="30" t="s">
        <v>17</v>
      </c>
      <c r="E3734" s="30" t="s">
        <v>26</v>
      </c>
      <c r="F3734" s="30" t="s">
        <v>27</v>
      </c>
      <c r="G3734" s="30" t="s">
        <v>106</v>
      </c>
      <c r="H3734" s="32">
        <v>10</v>
      </c>
      <c r="I3734" s="30" t="s">
        <v>21</v>
      </c>
      <c r="J3734" s="41">
        <v>44029</v>
      </c>
      <c r="K3734" s="30" t="s">
        <v>22</v>
      </c>
    </row>
    <row r="3735" spans="1:11">
      <c r="A3735" s="33" t="s">
        <v>8995</v>
      </c>
      <c r="B3735" s="33" t="s">
        <v>8996</v>
      </c>
      <c r="C3735" s="33" t="s">
        <v>2313</v>
      </c>
      <c r="D3735" s="33" t="s">
        <v>17</v>
      </c>
      <c r="E3735" s="33" t="s">
        <v>26</v>
      </c>
      <c r="F3735" s="33" t="s">
        <v>27</v>
      </c>
      <c r="G3735" s="33" t="s">
        <v>20</v>
      </c>
      <c r="H3735" s="35">
        <v>18</v>
      </c>
      <c r="I3735" s="33" t="s">
        <v>21</v>
      </c>
      <c r="J3735" s="42">
        <v>44154</v>
      </c>
      <c r="K3735" s="33" t="s">
        <v>22</v>
      </c>
    </row>
    <row r="3736" spans="1:11">
      <c r="A3736" s="30" t="s">
        <v>8997</v>
      </c>
      <c r="B3736" s="30" t="s">
        <v>8998</v>
      </c>
      <c r="C3736" s="30" t="s">
        <v>1343</v>
      </c>
      <c r="D3736" s="30" t="s">
        <v>17</v>
      </c>
      <c r="E3736" s="30" t="s">
        <v>45</v>
      </c>
      <c r="F3736" s="30" t="s">
        <v>46</v>
      </c>
      <c r="G3736" s="30" t="s">
        <v>158</v>
      </c>
      <c r="H3736" s="32">
        <v>135</v>
      </c>
      <c r="I3736" s="30" t="s">
        <v>21</v>
      </c>
      <c r="J3736" s="41">
        <v>43845</v>
      </c>
      <c r="K3736" s="30" t="s">
        <v>22</v>
      </c>
    </row>
    <row r="3737" spans="1:11">
      <c r="A3737" s="33" t="s">
        <v>8999</v>
      </c>
      <c r="B3737" s="33" t="s">
        <v>9000</v>
      </c>
      <c r="C3737" s="33" t="s">
        <v>1877</v>
      </c>
      <c r="D3737" s="33" t="s">
        <v>17</v>
      </c>
      <c r="E3737" s="33" t="s">
        <v>26</v>
      </c>
      <c r="F3737" s="33" t="s">
        <v>27</v>
      </c>
      <c r="G3737" s="33" t="s">
        <v>20</v>
      </c>
      <c r="H3737" s="35">
        <v>27</v>
      </c>
      <c r="I3737" s="33" t="s">
        <v>21</v>
      </c>
      <c r="J3737" s="42">
        <v>44011</v>
      </c>
      <c r="K3737" s="33" t="s">
        <v>22</v>
      </c>
    </row>
    <row r="3738" spans="1:11">
      <c r="A3738" s="30" t="s">
        <v>9001</v>
      </c>
      <c r="B3738" s="30" t="s">
        <v>9002</v>
      </c>
      <c r="C3738" s="30" t="s">
        <v>2609</v>
      </c>
      <c r="D3738" s="30" t="s">
        <v>17</v>
      </c>
      <c r="E3738" s="30" t="s">
        <v>212</v>
      </c>
      <c r="F3738" s="30" t="s">
        <v>213</v>
      </c>
      <c r="G3738" s="30" t="s">
        <v>20</v>
      </c>
      <c r="H3738" s="32">
        <v>37</v>
      </c>
      <c r="I3738" s="30" t="s">
        <v>21</v>
      </c>
      <c r="J3738" s="41">
        <v>44083</v>
      </c>
      <c r="K3738" s="30" t="s">
        <v>22</v>
      </c>
    </row>
    <row r="3739" spans="1:11">
      <c r="A3739" s="33" t="s">
        <v>9003</v>
      </c>
      <c r="B3739" s="33" t="s">
        <v>9004</v>
      </c>
      <c r="C3739" s="33" t="s">
        <v>9005</v>
      </c>
      <c r="D3739" s="33" t="s">
        <v>17</v>
      </c>
      <c r="E3739" s="33" t="s">
        <v>26</v>
      </c>
      <c r="F3739" s="33" t="s">
        <v>27</v>
      </c>
      <c r="G3739" s="33" t="s">
        <v>20</v>
      </c>
      <c r="H3739" s="35">
        <v>26</v>
      </c>
      <c r="I3739" s="33" t="s">
        <v>21</v>
      </c>
      <c r="J3739" s="42">
        <v>44051</v>
      </c>
      <c r="K3739" s="33" t="s">
        <v>22</v>
      </c>
    </row>
    <row r="3740" spans="1:11">
      <c r="A3740" s="30" t="s">
        <v>9006</v>
      </c>
      <c r="B3740" s="30" t="s">
        <v>9007</v>
      </c>
      <c r="C3740" s="30" t="s">
        <v>187</v>
      </c>
      <c r="D3740" s="30" t="s">
        <v>17</v>
      </c>
      <c r="E3740" s="30" t="s">
        <v>26</v>
      </c>
      <c r="F3740" s="30" t="s">
        <v>27</v>
      </c>
      <c r="G3740" s="30" t="s">
        <v>50</v>
      </c>
      <c r="H3740" s="32">
        <v>40</v>
      </c>
      <c r="I3740" s="30" t="s">
        <v>51</v>
      </c>
      <c r="J3740" s="41">
        <v>43979</v>
      </c>
      <c r="K3740" s="30" t="s">
        <v>22</v>
      </c>
    </row>
    <row r="3741" spans="1:11">
      <c r="A3741" s="33" t="s">
        <v>9008</v>
      </c>
      <c r="B3741" s="33" t="s">
        <v>9009</v>
      </c>
      <c r="C3741" s="33" t="s">
        <v>9010</v>
      </c>
      <c r="D3741" s="33" t="s">
        <v>17</v>
      </c>
      <c r="E3741" s="33" t="s">
        <v>31</v>
      </c>
      <c r="F3741" s="33" t="s">
        <v>32</v>
      </c>
      <c r="G3741" s="33" t="s">
        <v>20</v>
      </c>
      <c r="H3741" s="35">
        <v>22</v>
      </c>
      <c r="I3741" s="33" t="s">
        <v>21</v>
      </c>
      <c r="J3741" s="42">
        <v>44105</v>
      </c>
      <c r="K3741" s="33" t="s">
        <v>22</v>
      </c>
    </row>
    <row r="3742" spans="1:11">
      <c r="A3742" s="30" t="s">
        <v>9011</v>
      </c>
      <c r="B3742" s="30" t="s">
        <v>9012</v>
      </c>
      <c r="C3742" s="30" t="s">
        <v>647</v>
      </c>
      <c r="D3742" s="30" t="s">
        <v>17</v>
      </c>
      <c r="E3742" s="30" t="s">
        <v>18</v>
      </c>
      <c r="F3742" s="30" t="s">
        <v>19</v>
      </c>
      <c r="G3742" s="30" t="s">
        <v>20</v>
      </c>
      <c r="H3742" s="32">
        <v>694</v>
      </c>
      <c r="I3742" s="30" t="s">
        <v>21</v>
      </c>
      <c r="J3742" s="41">
        <v>44013</v>
      </c>
      <c r="K3742" s="30" t="s">
        <v>22</v>
      </c>
    </row>
    <row r="3743" spans="1:11">
      <c r="A3743" s="33" t="s">
        <v>9013</v>
      </c>
      <c r="B3743" s="33" t="s">
        <v>9014</v>
      </c>
      <c r="C3743" s="33" t="s">
        <v>443</v>
      </c>
      <c r="D3743" s="33" t="s">
        <v>17</v>
      </c>
      <c r="E3743" s="33" t="s">
        <v>18</v>
      </c>
      <c r="F3743" s="33" t="s">
        <v>19</v>
      </c>
      <c r="G3743" s="33" t="s">
        <v>20</v>
      </c>
      <c r="H3743" s="35">
        <v>1300</v>
      </c>
      <c r="I3743" s="33" t="s">
        <v>21</v>
      </c>
      <c r="J3743" s="42">
        <v>43962</v>
      </c>
      <c r="K3743" s="33" t="s">
        <v>22</v>
      </c>
    </row>
    <row r="3744" spans="1:11">
      <c r="A3744" s="30" t="s">
        <v>9015</v>
      </c>
      <c r="B3744" s="30" t="s">
        <v>9016</v>
      </c>
      <c r="C3744" s="30" t="s">
        <v>9017</v>
      </c>
      <c r="D3744" s="30" t="s">
        <v>17</v>
      </c>
      <c r="E3744" s="30" t="s">
        <v>31</v>
      </c>
      <c r="F3744" s="30" t="s">
        <v>32</v>
      </c>
      <c r="G3744" s="30" t="s">
        <v>20</v>
      </c>
      <c r="H3744" s="32">
        <v>41</v>
      </c>
      <c r="I3744" s="30" t="s">
        <v>21</v>
      </c>
      <c r="J3744" s="41">
        <v>43999</v>
      </c>
      <c r="K3744" s="30" t="s">
        <v>22</v>
      </c>
    </row>
    <row r="3745" spans="1:11">
      <c r="A3745" s="33" t="s">
        <v>9018</v>
      </c>
      <c r="B3745" s="33" t="s">
        <v>9019</v>
      </c>
      <c r="C3745" s="33" t="s">
        <v>9020</v>
      </c>
      <c r="D3745" s="33" t="s">
        <v>17</v>
      </c>
      <c r="E3745" s="33" t="s">
        <v>67</v>
      </c>
      <c r="F3745" s="33" t="s">
        <v>68</v>
      </c>
      <c r="G3745" s="33" t="s">
        <v>50</v>
      </c>
      <c r="H3745" s="35">
        <v>100</v>
      </c>
      <c r="I3745" s="33" t="s">
        <v>51</v>
      </c>
      <c r="J3745" s="42">
        <v>43862</v>
      </c>
      <c r="K3745" s="33" t="s">
        <v>22</v>
      </c>
    </row>
    <row r="3746" spans="1:11">
      <c r="A3746" s="30" t="s">
        <v>9021</v>
      </c>
      <c r="B3746" s="30" t="s">
        <v>9022</v>
      </c>
      <c r="C3746" s="30" t="s">
        <v>9023</v>
      </c>
      <c r="D3746" s="30" t="s">
        <v>17</v>
      </c>
      <c r="E3746" s="30" t="s">
        <v>26</v>
      </c>
      <c r="F3746" s="30" t="s">
        <v>27</v>
      </c>
      <c r="G3746" s="30" t="s">
        <v>20</v>
      </c>
      <c r="H3746" s="32">
        <v>6</v>
      </c>
      <c r="I3746" s="30" t="s">
        <v>21</v>
      </c>
      <c r="J3746" s="41">
        <v>43983</v>
      </c>
      <c r="K3746" s="30" t="s">
        <v>22</v>
      </c>
    </row>
    <row r="3747" spans="1:11">
      <c r="A3747" s="33" t="s">
        <v>9024</v>
      </c>
      <c r="B3747" s="33" t="s">
        <v>9025</v>
      </c>
      <c r="C3747" s="33" t="s">
        <v>9026</v>
      </c>
      <c r="D3747" s="33" t="s">
        <v>17</v>
      </c>
      <c r="E3747" s="33" t="s">
        <v>26</v>
      </c>
      <c r="F3747" s="33" t="s">
        <v>27</v>
      </c>
      <c r="G3747" s="33" t="s">
        <v>20</v>
      </c>
      <c r="H3747" s="35">
        <v>53</v>
      </c>
      <c r="I3747" s="33" t="s">
        <v>21</v>
      </c>
      <c r="J3747" s="42">
        <v>44007</v>
      </c>
      <c r="K3747" s="33" t="s">
        <v>22</v>
      </c>
    </row>
    <row r="3748" spans="1:11">
      <c r="A3748" s="30" t="s">
        <v>9027</v>
      </c>
      <c r="B3748" s="30" t="s">
        <v>9028</v>
      </c>
      <c r="C3748" s="30" t="s">
        <v>318</v>
      </c>
      <c r="D3748" s="30" t="s">
        <v>17</v>
      </c>
      <c r="E3748" s="30" t="s">
        <v>31</v>
      </c>
      <c r="F3748" s="30" t="s">
        <v>32</v>
      </c>
      <c r="G3748" s="30" t="s">
        <v>20</v>
      </c>
      <c r="H3748" s="32">
        <v>72</v>
      </c>
      <c r="I3748" s="30" t="s">
        <v>21</v>
      </c>
      <c r="J3748" s="41">
        <v>43852</v>
      </c>
      <c r="K3748" s="30" t="s">
        <v>22</v>
      </c>
    </row>
    <row r="3749" spans="1:11">
      <c r="A3749" s="33" t="s">
        <v>9029</v>
      </c>
      <c r="B3749" s="33" t="s">
        <v>9030</v>
      </c>
      <c r="C3749" s="33" t="s">
        <v>75</v>
      </c>
      <c r="D3749" s="33" t="s">
        <v>17</v>
      </c>
      <c r="E3749" s="33" t="s">
        <v>26</v>
      </c>
      <c r="F3749" s="33" t="s">
        <v>27</v>
      </c>
      <c r="G3749" s="33" t="s">
        <v>20</v>
      </c>
      <c r="H3749" s="35">
        <v>9</v>
      </c>
      <c r="I3749" s="33" t="s">
        <v>21</v>
      </c>
      <c r="J3749" s="42">
        <v>44119</v>
      </c>
      <c r="K3749" s="33" t="s">
        <v>22</v>
      </c>
    </row>
    <row r="3750" spans="1:11">
      <c r="A3750" s="30" t="s">
        <v>9031</v>
      </c>
      <c r="B3750" s="30" t="s">
        <v>9032</v>
      </c>
      <c r="C3750" s="30" t="s">
        <v>7488</v>
      </c>
      <c r="D3750" s="30" t="s">
        <v>17</v>
      </c>
      <c r="E3750" s="30" t="s">
        <v>26</v>
      </c>
      <c r="F3750" s="30" t="s">
        <v>27</v>
      </c>
      <c r="G3750" s="30" t="s">
        <v>20</v>
      </c>
      <c r="H3750" s="32">
        <v>7</v>
      </c>
      <c r="I3750" s="30" t="s">
        <v>21</v>
      </c>
      <c r="J3750" s="41">
        <v>43881</v>
      </c>
      <c r="K3750" s="30" t="s">
        <v>22</v>
      </c>
    </row>
    <row r="3751" spans="1:11">
      <c r="A3751" s="33" t="s">
        <v>9033</v>
      </c>
      <c r="B3751" s="33" t="s">
        <v>9034</v>
      </c>
      <c r="C3751" s="33" t="s">
        <v>252</v>
      </c>
      <c r="D3751" s="33" t="s">
        <v>17</v>
      </c>
      <c r="E3751" s="33" t="s">
        <v>31</v>
      </c>
      <c r="F3751" s="33" t="s">
        <v>32</v>
      </c>
      <c r="G3751" s="33" t="s">
        <v>106</v>
      </c>
      <c r="H3751" s="35">
        <v>6</v>
      </c>
      <c r="I3751" s="33" t="s">
        <v>21</v>
      </c>
      <c r="J3751" s="42">
        <v>43945</v>
      </c>
      <c r="K3751" s="33" t="s">
        <v>22</v>
      </c>
    </row>
    <row r="3752" spans="1:11">
      <c r="A3752" s="30" t="s">
        <v>9035</v>
      </c>
      <c r="B3752" s="30" t="s">
        <v>9036</v>
      </c>
      <c r="C3752" s="30" t="s">
        <v>6944</v>
      </c>
      <c r="D3752" s="30" t="s">
        <v>17</v>
      </c>
      <c r="E3752" s="30" t="s">
        <v>67</v>
      </c>
      <c r="F3752" s="30" t="s">
        <v>68</v>
      </c>
      <c r="G3752" s="30" t="s">
        <v>20</v>
      </c>
      <c r="H3752" s="32">
        <v>47</v>
      </c>
      <c r="I3752" s="30" t="s">
        <v>21</v>
      </c>
      <c r="J3752" s="41">
        <v>43978</v>
      </c>
      <c r="K3752" s="30" t="s">
        <v>22</v>
      </c>
    </row>
    <row r="3753" spans="1:11">
      <c r="A3753" s="33" t="s">
        <v>9037</v>
      </c>
      <c r="B3753" s="33" t="s">
        <v>9038</v>
      </c>
      <c r="C3753" s="33" t="s">
        <v>187</v>
      </c>
      <c r="D3753" s="33" t="s">
        <v>17</v>
      </c>
      <c r="E3753" s="33" t="s">
        <v>31</v>
      </c>
      <c r="F3753" s="33" t="s">
        <v>32</v>
      </c>
      <c r="G3753" s="33" t="s">
        <v>50</v>
      </c>
      <c r="H3753" s="35">
        <v>140</v>
      </c>
      <c r="I3753" s="33" t="s">
        <v>51</v>
      </c>
      <c r="J3753" s="42">
        <v>43960</v>
      </c>
      <c r="K3753" s="33" t="s">
        <v>22</v>
      </c>
    </row>
    <row r="3754" spans="1:11">
      <c r="A3754" s="30" t="s">
        <v>9039</v>
      </c>
      <c r="B3754" s="30" t="s">
        <v>9040</v>
      </c>
      <c r="C3754" s="30" t="s">
        <v>44</v>
      </c>
      <c r="D3754" s="30" t="s">
        <v>17</v>
      </c>
      <c r="E3754" s="30" t="s">
        <v>18</v>
      </c>
      <c r="F3754" s="30" t="s">
        <v>19</v>
      </c>
      <c r="G3754" s="30" t="s">
        <v>106</v>
      </c>
      <c r="H3754" s="32">
        <v>10078</v>
      </c>
      <c r="I3754" s="30" t="s">
        <v>21</v>
      </c>
      <c r="J3754" s="41">
        <v>43998</v>
      </c>
      <c r="K3754" s="30" t="s">
        <v>22</v>
      </c>
    </row>
    <row r="3755" spans="1:11">
      <c r="A3755" s="33" t="s">
        <v>9041</v>
      </c>
      <c r="B3755" s="33" t="s">
        <v>9042</v>
      </c>
      <c r="C3755" s="33" t="s">
        <v>8052</v>
      </c>
      <c r="D3755" s="33" t="s">
        <v>17</v>
      </c>
      <c r="E3755" s="33" t="s">
        <v>26</v>
      </c>
      <c r="F3755" s="33" t="s">
        <v>27</v>
      </c>
      <c r="G3755" s="33" t="s">
        <v>20</v>
      </c>
      <c r="H3755" s="35">
        <v>165</v>
      </c>
      <c r="I3755" s="33" t="s">
        <v>21</v>
      </c>
      <c r="J3755" s="42">
        <v>44126</v>
      </c>
      <c r="K3755" s="33" t="s">
        <v>22</v>
      </c>
    </row>
    <row r="3756" spans="1:11">
      <c r="A3756" s="30" t="s">
        <v>9043</v>
      </c>
      <c r="B3756" s="30" t="s">
        <v>9044</v>
      </c>
      <c r="C3756" s="30" t="s">
        <v>149</v>
      </c>
      <c r="D3756" s="30" t="s">
        <v>17</v>
      </c>
      <c r="E3756" s="30" t="s">
        <v>31</v>
      </c>
      <c r="F3756" s="30" t="s">
        <v>32</v>
      </c>
      <c r="G3756" s="30" t="s">
        <v>50</v>
      </c>
      <c r="H3756" s="32">
        <v>8</v>
      </c>
      <c r="I3756" s="30" t="s">
        <v>51</v>
      </c>
      <c r="J3756" s="41">
        <v>44075</v>
      </c>
      <c r="K3756" s="30" t="s">
        <v>22</v>
      </c>
    </row>
    <row r="3757" spans="1:11">
      <c r="A3757" s="33" t="s">
        <v>9045</v>
      </c>
      <c r="B3757" s="33" t="s">
        <v>9046</v>
      </c>
      <c r="C3757" s="33" t="s">
        <v>1102</v>
      </c>
      <c r="D3757" s="33" t="s">
        <v>17</v>
      </c>
      <c r="E3757" s="33" t="s">
        <v>26</v>
      </c>
      <c r="F3757" s="33" t="s">
        <v>27</v>
      </c>
      <c r="G3757" s="33" t="s">
        <v>20</v>
      </c>
      <c r="H3757" s="35">
        <v>13</v>
      </c>
      <c r="I3757" s="33" t="s">
        <v>21</v>
      </c>
      <c r="J3757" s="42">
        <v>44021</v>
      </c>
      <c r="K3757" s="33" t="s">
        <v>22</v>
      </c>
    </row>
    <row r="3758" spans="1:11">
      <c r="A3758" s="30" t="s">
        <v>9047</v>
      </c>
      <c r="B3758" s="30" t="s">
        <v>9048</v>
      </c>
      <c r="C3758" s="30" t="s">
        <v>2927</v>
      </c>
      <c r="D3758" s="30" t="s">
        <v>17</v>
      </c>
      <c r="E3758" s="30" t="s">
        <v>67</v>
      </c>
      <c r="F3758" s="30" t="s">
        <v>68</v>
      </c>
      <c r="G3758" s="30" t="s">
        <v>20</v>
      </c>
      <c r="H3758" s="32">
        <v>168</v>
      </c>
      <c r="I3758" s="30" t="s">
        <v>21</v>
      </c>
      <c r="J3758" s="41">
        <v>43893</v>
      </c>
      <c r="K3758" s="30" t="s">
        <v>22</v>
      </c>
    </row>
    <row r="3759" spans="1:11">
      <c r="A3759" s="33" t="s">
        <v>9049</v>
      </c>
      <c r="B3759" s="33" t="s">
        <v>9050</v>
      </c>
      <c r="C3759" s="33" t="s">
        <v>136</v>
      </c>
      <c r="D3759" s="33" t="s">
        <v>17</v>
      </c>
      <c r="E3759" s="33" t="s">
        <v>26</v>
      </c>
      <c r="F3759" s="33" t="s">
        <v>27</v>
      </c>
      <c r="G3759" s="33" t="s">
        <v>20</v>
      </c>
      <c r="H3759" s="35">
        <v>24</v>
      </c>
      <c r="I3759" s="33" t="s">
        <v>21</v>
      </c>
      <c r="J3759" s="42">
        <v>44125</v>
      </c>
      <c r="K3759" s="33" t="s">
        <v>22</v>
      </c>
    </row>
    <row r="3760" spans="1:11">
      <c r="A3760" s="30" t="s">
        <v>9051</v>
      </c>
      <c r="B3760" s="30" t="s">
        <v>9052</v>
      </c>
      <c r="C3760" s="30" t="s">
        <v>407</v>
      </c>
      <c r="D3760" s="30" t="s">
        <v>17</v>
      </c>
      <c r="E3760" s="30" t="s">
        <v>26</v>
      </c>
      <c r="F3760" s="30" t="s">
        <v>27</v>
      </c>
      <c r="G3760" s="30" t="s">
        <v>20</v>
      </c>
      <c r="H3760" s="32">
        <v>6</v>
      </c>
      <c r="I3760" s="30" t="s">
        <v>21</v>
      </c>
      <c r="J3760" s="41">
        <v>43887</v>
      </c>
      <c r="K3760" s="30" t="s">
        <v>22</v>
      </c>
    </row>
    <row r="3761" spans="1:11">
      <c r="A3761" s="33" t="s">
        <v>9053</v>
      </c>
      <c r="B3761" s="33" t="s">
        <v>9054</v>
      </c>
      <c r="C3761" s="33" t="s">
        <v>718</v>
      </c>
      <c r="D3761" s="33" t="s">
        <v>17</v>
      </c>
      <c r="E3761" s="33" t="s">
        <v>31</v>
      </c>
      <c r="F3761" s="33" t="s">
        <v>32</v>
      </c>
      <c r="G3761" s="33" t="s">
        <v>50</v>
      </c>
      <c r="H3761" s="35">
        <v>43</v>
      </c>
      <c r="I3761" s="33" t="s">
        <v>51</v>
      </c>
      <c r="J3761" s="42">
        <v>44136</v>
      </c>
      <c r="K3761" s="33" t="s">
        <v>22</v>
      </c>
    </row>
    <row r="3762" spans="1:11">
      <c r="A3762" s="30" t="s">
        <v>9055</v>
      </c>
      <c r="B3762" s="30" t="s">
        <v>9056</v>
      </c>
      <c r="C3762" s="30" t="s">
        <v>9057</v>
      </c>
      <c r="D3762" s="30" t="s">
        <v>17</v>
      </c>
      <c r="E3762" s="30" t="s">
        <v>26</v>
      </c>
      <c r="F3762" s="30" t="s">
        <v>27</v>
      </c>
      <c r="G3762" s="30" t="s">
        <v>20</v>
      </c>
      <c r="H3762" s="32">
        <v>69</v>
      </c>
      <c r="I3762" s="30" t="s">
        <v>21</v>
      </c>
      <c r="J3762" s="41">
        <v>44180</v>
      </c>
      <c r="K3762" s="30" t="s">
        <v>22</v>
      </c>
    </row>
    <row r="3763" spans="1:11">
      <c r="A3763" s="33" t="s">
        <v>9058</v>
      </c>
      <c r="B3763" s="33" t="s">
        <v>9059</v>
      </c>
      <c r="C3763" s="33" t="s">
        <v>2618</v>
      </c>
      <c r="D3763" s="33" t="s">
        <v>17</v>
      </c>
      <c r="E3763" s="33" t="s">
        <v>18</v>
      </c>
      <c r="F3763" s="33" t="s">
        <v>19</v>
      </c>
      <c r="G3763" s="33" t="s">
        <v>106</v>
      </c>
      <c r="H3763" s="35">
        <v>730</v>
      </c>
      <c r="I3763" s="33" t="s">
        <v>21</v>
      </c>
      <c r="J3763" s="42">
        <v>44050</v>
      </c>
      <c r="K3763" s="33" t="s">
        <v>22</v>
      </c>
    </row>
    <row r="3764" spans="1:11">
      <c r="A3764" s="30" t="s">
        <v>9060</v>
      </c>
      <c r="B3764" s="30" t="s">
        <v>9061</v>
      </c>
      <c r="C3764" s="30" t="s">
        <v>96</v>
      </c>
      <c r="D3764" s="30" t="s">
        <v>17</v>
      </c>
      <c r="E3764" s="30" t="s">
        <v>31</v>
      </c>
      <c r="F3764" s="30" t="s">
        <v>32</v>
      </c>
      <c r="G3764" s="30" t="s">
        <v>20</v>
      </c>
      <c r="H3764" s="32">
        <v>286</v>
      </c>
      <c r="I3764" s="30" t="s">
        <v>21</v>
      </c>
      <c r="J3764" s="41">
        <v>44102</v>
      </c>
      <c r="K3764" s="30" t="s">
        <v>22</v>
      </c>
    </row>
    <row r="3765" spans="1:11">
      <c r="A3765" s="33" t="s">
        <v>9062</v>
      </c>
      <c r="B3765" s="33" t="s">
        <v>9063</v>
      </c>
      <c r="C3765" s="33" t="s">
        <v>701</v>
      </c>
      <c r="D3765" s="33" t="s">
        <v>17</v>
      </c>
      <c r="E3765" s="33" t="s">
        <v>18</v>
      </c>
      <c r="F3765" s="33" t="s">
        <v>19</v>
      </c>
      <c r="G3765" s="33" t="s">
        <v>50</v>
      </c>
      <c r="H3765" s="35">
        <v>28904</v>
      </c>
      <c r="I3765" s="33" t="s">
        <v>21</v>
      </c>
      <c r="J3765" s="42">
        <v>44181</v>
      </c>
      <c r="K3765" s="33" t="s">
        <v>22</v>
      </c>
    </row>
    <row r="3766" spans="1:11">
      <c r="A3766" s="30" t="s">
        <v>9064</v>
      </c>
      <c r="B3766" s="30" t="s">
        <v>9065</v>
      </c>
      <c r="C3766" s="30" t="s">
        <v>9066</v>
      </c>
      <c r="D3766" s="30" t="s">
        <v>17</v>
      </c>
      <c r="E3766" s="30" t="s">
        <v>67</v>
      </c>
      <c r="F3766" s="30" t="s">
        <v>68</v>
      </c>
      <c r="G3766" s="30" t="s">
        <v>20</v>
      </c>
      <c r="H3766" s="32">
        <v>60</v>
      </c>
      <c r="I3766" s="30" t="s">
        <v>21</v>
      </c>
      <c r="J3766" s="41">
        <v>44175</v>
      </c>
      <c r="K3766" s="30" t="s">
        <v>22</v>
      </c>
    </row>
    <row r="3767" spans="1:11">
      <c r="A3767" s="33" t="s">
        <v>9067</v>
      </c>
      <c r="B3767" s="33" t="s">
        <v>9068</v>
      </c>
      <c r="C3767" s="33" t="s">
        <v>44</v>
      </c>
      <c r="D3767" s="33" t="s">
        <v>17</v>
      </c>
      <c r="E3767" s="33" t="s">
        <v>18</v>
      </c>
      <c r="F3767" s="33" t="s">
        <v>19</v>
      </c>
      <c r="G3767" s="33" t="s">
        <v>20</v>
      </c>
      <c r="H3767" s="35">
        <v>20</v>
      </c>
      <c r="I3767" s="33" t="s">
        <v>21</v>
      </c>
      <c r="J3767" s="42">
        <v>44011</v>
      </c>
      <c r="K3767" s="33" t="s">
        <v>22</v>
      </c>
    </row>
    <row r="3768" spans="1:11">
      <c r="A3768" s="30" t="s">
        <v>9069</v>
      </c>
      <c r="B3768" s="30" t="s">
        <v>9070</v>
      </c>
      <c r="C3768" s="30" t="s">
        <v>3258</v>
      </c>
      <c r="D3768" s="30" t="s">
        <v>17</v>
      </c>
      <c r="E3768" s="30" t="s">
        <v>18</v>
      </c>
      <c r="F3768" s="30" t="s">
        <v>19</v>
      </c>
      <c r="G3768" s="30" t="s">
        <v>20</v>
      </c>
      <c r="H3768" s="32">
        <v>256</v>
      </c>
      <c r="I3768" s="30" t="s">
        <v>21</v>
      </c>
      <c r="J3768" s="41">
        <v>44098</v>
      </c>
      <c r="K3768" s="30" t="s">
        <v>22</v>
      </c>
    </row>
    <row r="3769" spans="1:11">
      <c r="A3769" s="33" t="s">
        <v>9071</v>
      </c>
      <c r="B3769" s="33" t="s">
        <v>9072</v>
      </c>
      <c r="C3769" s="33" t="s">
        <v>9073</v>
      </c>
      <c r="D3769" s="33" t="s">
        <v>17</v>
      </c>
      <c r="E3769" s="33" t="s">
        <v>31</v>
      </c>
      <c r="F3769" s="33" t="s">
        <v>32</v>
      </c>
      <c r="G3769" s="33" t="s">
        <v>20</v>
      </c>
      <c r="H3769" s="35">
        <v>36</v>
      </c>
      <c r="I3769" s="33" t="s">
        <v>21</v>
      </c>
      <c r="J3769" s="42">
        <v>43979</v>
      </c>
      <c r="K3769" s="33" t="s">
        <v>22</v>
      </c>
    </row>
    <row r="3770" spans="1:11">
      <c r="A3770" s="30" t="s">
        <v>9074</v>
      </c>
      <c r="B3770" s="30" t="s">
        <v>9075</v>
      </c>
      <c r="C3770" s="30" t="s">
        <v>178</v>
      </c>
      <c r="D3770" s="30" t="s">
        <v>17</v>
      </c>
      <c r="E3770" s="30" t="s">
        <v>18</v>
      </c>
      <c r="F3770" s="30" t="s">
        <v>19</v>
      </c>
      <c r="G3770" s="30" t="s">
        <v>106</v>
      </c>
      <c r="H3770" s="32">
        <v>522</v>
      </c>
      <c r="I3770" s="30" t="s">
        <v>21</v>
      </c>
      <c r="J3770" s="41">
        <v>44040</v>
      </c>
      <c r="K3770" s="30" t="s">
        <v>22</v>
      </c>
    </row>
    <row r="3771" spans="1:11">
      <c r="A3771" s="33" t="s">
        <v>9076</v>
      </c>
      <c r="B3771" s="33" t="s">
        <v>9077</v>
      </c>
      <c r="C3771" s="33" t="s">
        <v>9078</v>
      </c>
      <c r="D3771" s="33" t="s">
        <v>17</v>
      </c>
      <c r="E3771" s="33" t="s">
        <v>26</v>
      </c>
      <c r="F3771" s="33" t="s">
        <v>27</v>
      </c>
      <c r="G3771" s="33" t="s">
        <v>20</v>
      </c>
      <c r="H3771" s="35">
        <v>9</v>
      </c>
      <c r="I3771" s="33" t="s">
        <v>21</v>
      </c>
      <c r="J3771" s="42">
        <v>43840</v>
      </c>
      <c r="K3771" s="33" t="s">
        <v>22</v>
      </c>
    </row>
    <row r="3772" spans="1:11">
      <c r="A3772" s="30" t="s">
        <v>9079</v>
      </c>
      <c r="B3772" s="30" t="s">
        <v>9080</v>
      </c>
      <c r="C3772" s="30" t="s">
        <v>9081</v>
      </c>
      <c r="D3772" s="30" t="s">
        <v>17</v>
      </c>
      <c r="E3772" s="30" t="s">
        <v>45</v>
      </c>
      <c r="F3772" s="30" t="s">
        <v>46</v>
      </c>
      <c r="G3772" s="30" t="s">
        <v>20</v>
      </c>
      <c r="H3772" s="32">
        <v>399</v>
      </c>
      <c r="I3772" s="30" t="s">
        <v>21</v>
      </c>
      <c r="J3772" s="41">
        <v>43921</v>
      </c>
      <c r="K3772" s="30" t="s">
        <v>22</v>
      </c>
    </row>
    <row r="3773" spans="1:11">
      <c r="A3773" s="33" t="s">
        <v>9082</v>
      </c>
      <c r="B3773" s="33" t="s">
        <v>9083</v>
      </c>
      <c r="C3773" s="33" t="s">
        <v>2660</v>
      </c>
      <c r="D3773" s="33" t="s">
        <v>17</v>
      </c>
      <c r="E3773" s="33" t="s">
        <v>31</v>
      </c>
      <c r="F3773" s="33" t="s">
        <v>32</v>
      </c>
      <c r="G3773" s="33" t="s">
        <v>106</v>
      </c>
      <c r="H3773" s="35">
        <v>21</v>
      </c>
      <c r="I3773" s="33" t="s">
        <v>21</v>
      </c>
      <c r="J3773" s="42">
        <v>43834</v>
      </c>
      <c r="K3773" s="33" t="s">
        <v>22</v>
      </c>
    </row>
    <row r="3774" spans="1:11">
      <c r="A3774" s="30" t="s">
        <v>9084</v>
      </c>
      <c r="B3774" s="30" t="s">
        <v>9085</v>
      </c>
      <c r="C3774" s="30" t="s">
        <v>9086</v>
      </c>
      <c r="D3774" s="30" t="s">
        <v>17</v>
      </c>
      <c r="E3774" s="30" t="s">
        <v>26</v>
      </c>
      <c r="F3774" s="30" t="s">
        <v>27</v>
      </c>
      <c r="G3774" s="30" t="s">
        <v>20</v>
      </c>
      <c r="H3774" s="32">
        <v>7</v>
      </c>
      <c r="I3774" s="30" t="s">
        <v>21</v>
      </c>
      <c r="J3774" s="41">
        <v>44068</v>
      </c>
      <c r="K3774" s="30" t="s">
        <v>22</v>
      </c>
    </row>
    <row r="3775" spans="1:11">
      <c r="A3775" s="33" t="s">
        <v>9087</v>
      </c>
      <c r="B3775" s="33" t="s">
        <v>9088</v>
      </c>
      <c r="C3775" s="33" t="s">
        <v>170</v>
      </c>
      <c r="D3775" s="33" t="s">
        <v>17</v>
      </c>
      <c r="E3775" s="33" t="s">
        <v>26</v>
      </c>
      <c r="F3775" s="33" t="s">
        <v>27</v>
      </c>
      <c r="G3775" s="33" t="s">
        <v>20</v>
      </c>
      <c r="H3775" s="35">
        <v>33</v>
      </c>
      <c r="I3775" s="33" t="s">
        <v>21</v>
      </c>
      <c r="J3775" s="42">
        <v>44070</v>
      </c>
      <c r="K3775" s="33" t="s">
        <v>22</v>
      </c>
    </row>
    <row r="3776" spans="1:11">
      <c r="A3776" s="30" t="s">
        <v>9089</v>
      </c>
      <c r="B3776" s="30" t="s">
        <v>9090</v>
      </c>
      <c r="C3776" s="30" t="s">
        <v>4345</v>
      </c>
      <c r="D3776" s="30" t="s">
        <v>17</v>
      </c>
      <c r="E3776" s="30" t="s">
        <v>31</v>
      </c>
      <c r="F3776" s="30" t="s">
        <v>32</v>
      </c>
      <c r="G3776" s="30" t="s">
        <v>106</v>
      </c>
      <c r="H3776" s="32">
        <v>60</v>
      </c>
      <c r="I3776" s="30" t="s">
        <v>21</v>
      </c>
      <c r="J3776" s="41">
        <v>44187</v>
      </c>
      <c r="K3776" s="30" t="s">
        <v>22</v>
      </c>
    </row>
    <row r="3777" spans="1:11">
      <c r="A3777" s="33" t="s">
        <v>9091</v>
      </c>
      <c r="B3777" s="33" t="s">
        <v>9092</v>
      </c>
      <c r="C3777" s="33" t="s">
        <v>656</v>
      </c>
      <c r="D3777" s="33" t="s">
        <v>17</v>
      </c>
      <c r="E3777" s="33" t="s">
        <v>18</v>
      </c>
      <c r="F3777" s="33" t="s">
        <v>19</v>
      </c>
      <c r="G3777" s="33" t="s">
        <v>50</v>
      </c>
      <c r="H3777" s="35">
        <v>560</v>
      </c>
      <c r="I3777" s="33" t="s">
        <v>51</v>
      </c>
      <c r="J3777" s="42">
        <v>44090</v>
      </c>
      <c r="K3777" s="33" t="s">
        <v>22</v>
      </c>
    </row>
    <row r="3778" spans="1:11">
      <c r="A3778" s="30" t="s">
        <v>9093</v>
      </c>
      <c r="B3778" s="30" t="s">
        <v>9094</v>
      </c>
      <c r="C3778" s="30" t="s">
        <v>9095</v>
      </c>
      <c r="D3778" s="30" t="s">
        <v>17</v>
      </c>
      <c r="E3778" s="30" t="s">
        <v>26</v>
      </c>
      <c r="F3778" s="30" t="s">
        <v>27</v>
      </c>
      <c r="G3778" s="30" t="s">
        <v>20</v>
      </c>
      <c r="H3778" s="32">
        <v>56</v>
      </c>
      <c r="I3778" s="30" t="s">
        <v>21</v>
      </c>
      <c r="J3778" s="41">
        <v>44018</v>
      </c>
      <c r="K3778" s="30" t="s">
        <v>22</v>
      </c>
    </row>
    <row r="3779" spans="1:11">
      <c r="A3779" s="33" t="s">
        <v>9096</v>
      </c>
      <c r="B3779" s="33" t="s">
        <v>9097</v>
      </c>
      <c r="C3779" s="33" t="s">
        <v>93</v>
      </c>
      <c r="D3779" s="33" t="s">
        <v>17</v>
      </c>
      <c r="E3779" s="33" t="s">
        <v>26</v>
      </c>
      <c r="F3779" s="33" t="s">
        <v>27</v>
      </c>
      <c r="G3779" s="33" t="s">
        <v>106</v>
      </c>
      <c r="H3779" s="35">
        <v>4</v>
      </c>
      <c r="I3779" s="33" t="s">
        <v>21</v>
      </c>
      <c r="J3779" s="42">
        <v>44140</v>
      </c>
      <c r="K3779" s="33" t="s">
        <v>22</v>
      </c>
    </row>
    <row r="3780" spans="1:11">
      <c r="A3780" s="30" t="s">
        <v>9098</v>
      </c>
      <c r="B3780" s="30" t="s">
        <v>9099</v>
      </c>
      <c r="C3780" s="30" t="s">
        <v>2156</v>
      </c>
      <c r="D3780" s="30" t="s">
        <v>17</v>
      </c>
      <c r="E3780" s="30" t="s">
        <v>26</v>
      </c>
      <c r="F3780" s="30" t="s">
        <v>27</v>
      </c>
      <c r="G3780" s="30" t="s">
        <v>20</v>
      </c>
      <c r="H3780" s="32">
        <v>24</v>
      </c>
      <c r="I3780" s="30" t="s">
        <v>21</v>
      </c>
      <c r="J3780" s="41">
        <v>43835</v>
      </c>
      <c r="K3780" s="30" t="s">
        <v>22</v>
      </c>
    </row>
    <row r="3781" spans="1:11">
      <c r="A3781" s="33" t="s">
        <v>9100</v>
      </c>
      <c r="B3781" s="33" t="s">
        <v>9101</v>
      </c>
      <c r="C3781" s="33" t="s">
        <v>3392</v>
      </c>
      <c r="D3781" s="33" t="s">
        <v>17</v>
      </c>
      <c r="E3781" s="33" t="s">
        <v>67</v>
      </c>
      <c r="F3781" s="33" t="s">
        <v>68</v>
      </c>
      <c r="G3781" s="33" t="s">
        <v>112</v>
      </c>
      <c r="H3781" s="35">
        <v>0</v>
      </c>
      <c r="I3781" s="33" t="s">
        <v>21</v>
      </c>
      <c r="J3781" s="42">
        <v>43891</v>
      </c>
      <c r="K3781" s="33" t="s">
        <v>22</v>
      </c>
    </row>
    <row r="3782" spans="1:11">
      <c r="A3782" s="30" t="s">
        <v>9102</v>
      </c>
      <c r="B3782" s="30" t="s">
        <v>9103</v>
      </c>
      <c r="C3782" s="30" t="s">
        <v>9104</v>
      </c>
      <c r="D3782" s="30" t="s">
        <v>17</v>
      </c>
      <c r="E3782" s="30" t="s">
        <v>26</v>
      </c>
      <c r="F3782" s="30" t="s">
        <v>27</v>
      </c>
      <c r="G3782" s="30" t="s">
        <v>20</v>
      </c>
      <c r="H3782" s="32">
        <v>12</v>
      </c>
      <c r="I3782" s="30" t="s">
        <v>21</v>
      </c>
      <c r="J3782" s="41">
        <v>44172</v>
      </c>
      <c r="K3782" s="30" t="s">
        <v>22</v>
      </c>
    </row>
    <row r="3783" spans="1:11">
      <c r="A3783" s="33" t="s">
        <v>9105</v>
      </c>
      <c r="B3783" s="33" t="s">
        <v>9106</v>
      </c>
      <c r="C3783" s="33" t="s">
        <v>1136</v>
      </c>
      <c r="D3783" s="33" t="s">
        <v>17</v>
      </c>
      <c r="E3783" s="33" t="s">
        <v>18</v>
      </c>
      <c r="F3783" s="33" t="s">
        <v>19</v>
      </c>
      <c r="G3783" s="33" t="s">
        <v>20</v>
      </c>
      <c r="H3783" s="35">
        <v>201</v>
      </c>
      <c r="I3783" s="33" t="s">
        <v>21</v>
      </c>
      <c r="J3783" s="42">
        <v>44115</v>
      </c>
      <c r="K3783" s="33" t="s">
        <v>22</v>
      </c>
    </row>
    <row r="3784" spans="1:11">
      <c r="A3784" s="30" t="s">
        <v>9107</v>
      </c>
      <c r="B3784" s="30" t="s">
        <v>9108</v>
      </c>
      <c r="C3784" s="30" t="s">
        <v>1897</v>
      </c>
      <c r="D3784" s="30" t="s">
        <v>17</v>
      </c>
      <c r="E3784" s="30" t="s">
        <v>26</v>
      </c>
      <c r="F3784" s="30" t="s">
        <v>27</v>
      </c>
      <c r="G3784" s="30" t="s">
        <v>50</v>
      </c>
      <c r="H3784" s="32">
        <v>21</v>
      </c>
      <c r="I3784" s="30" t="s">
        <v>21</v>
      </c>
      <c r="J3784" s="41">
        <v>44063</v>
      </c>
      <c r="K3784" s="30" t="s">
        <v>22</v>
      </c>
    </row>
    <row r="3785" spans="1:11">
      <c r="A3785" s="33" t="s">
        <v>9109</v>
      </c>
      <c r="B3785" s="33" t="s">
        <v>9110</v>
      </c>
      <c r="C3785" s="33" t="s">
        <v>9111</v>
      </c>
      <c r="D3785" s="33" t="s">
        <v>17</v>
      </c>
      <c r="E3785" s="33" t="s">
        <v>26</v>
      </c>
      <c r="F3785" s="33" t="s">
        <v>27</v>
      </c>
      <c r="G3785" s="33" t="s">
        <v>69</v>
      </c>
      <c r="H3785" s="35">
        <v>24</v>
      </c>
      <c r="I3785" s="33" t="s">
        <v>51</v>
      </c>
      <c r="J3785" s="42">
        <v>43929</v>
      </c>
      <c r="K3785" s="33" t="s">
        <v>22</v>
      </c>
    </row>
    <row r="3786" spans="1:11">
      <c r="A3786" s="30" t="s">
        <v>9112</v>
      </c>
      <c r="B3786" s="30" t="s">
        <v>9113</v>
      </c>
      <c r="C3786" s="30" t="s">
        <v>9114</v>
      </c>
      <c r="D3786" s="30" t="s">
        <v>17</v>
      </c>
      <c r="E3786" s="30" t="s">
        <v>26</v>
      </c>
      <c r="F3786" s="30" t="s">
        <v>27</v>
      </c>
      <c r="G3786" s="30" t="s">
        <v>20</v>
      </c>
      <c r="H3786" s="32">
        <v>30</v>
      </c>
      <c r="I3786" s="30" t="s">
        <v>21</v>
      </c>
      <c r="J3786" s="41">
        <v>44189</v>
      </c>
      <c r="K3786" s="30" t="s">
        <v>22</v>
      </c>
    </row>
    <row r="3787" spans="1:11">
      <c r="A3787" s="33" t="s">
        <v>9115</v>
      </c>
      <c r="B3787" s="33" t="s">
        <v>9116</v>
      </c>
      <c r="C3787" s="33" t="s">
        <v>7374</v>
      </c>
      <c r="D3787" s="33" t="s">
        <v>17</v>
      </c>
      <c r="E3787" s="33" t="s">
        <v>31</v>
      </c>
      <c r="F3787" s="33" t="s">
        <v>32</v>
      </c>
      <c r="G3787" s="33" t="s">
        <v>50</v>
      </c>
      <c r="H3787" s="35">
        <v>1000</v>
      </c>
      <c r="I3787" s="33" t="s">
        <v>21</v>
      </c>
      <c r="J3787" s="42">
        <v>44131</v>
      </c>
      <c r="K3787" s="33" t="s">
        <v>22</v>
      </c>
    </row>
    <row r="3788" spans="1:11">
      <c r="A3788" s="30" t="s">
        <v>9117</v>
      </c>
      <c r="B3788" s="30" t="s">
        <v>9118</v>
      </c>
      <c r="C3788" s="30" t="s">
        <v>9119</v>
      </c>
      <c r="D3788" s="30" t="s">
        <v>17</v>
      </c>
      <c r="E3788" s="30" t="s">
        <v>26</v>
      </c>
      <c r="F3788" s="30" t="s">
        <v>27</v>
      </c>
      <c r="G3788" s="30" t="s">
        <v>20</v>
      </c>
      <c r="H3788" s="32">
        <v>192</v>
      </c>
      <c r="I3788" s="30" t="s">
        <v>21</v>
      </c>
      <c r="J3788" s="41">
        <v>43879</v>
      </c>
      <c r="K3788" s="30" t="s">
        <v>22</v>
      </c>
    </row>
    <row r="3789" spans="1:11">
      <c r="A3789" s="33" t="s">
        <v>9120</v>
      </c>
      <c r="B3789" s="33" t="s">
        <v>9121</v>
      </c>
      <c r="C3789" s="33" t="s">
        <v>9122</v>
      </c>
      <c r="D3789" s="33" t="s">
        <v>17</v>
      </c>
      <c r="E3789" s="33" t="s">
        <v>26</v>
      </c>
      <c r="F3789" s="33" t="s">
        <v>27</v>
      </c>
      <c r="G3789" s="33" t="s">
        <v>158</v>
      </c>
      <c r="H3789" s="35">
        <v>90</v>
      </c>
      <c r="I3789" s="33" t="s">
        <v>21</v>
      </c>
      <c r="J3789" s="42">
        <v>44180</v>
      </c>
      <c r="K3789" s="33" t="s">
        <v>22</v>
      </c>
    </row>
    <row r="3790" spans="1:11">
      <c r="A3790" s="30" t="s">
        <v>9123</v>
      </c>
      <c r="B3790" s="30" t="s">
        <v>9124</v>
      </c>
      <c r="C3790" s="30" t="s">
        <v>7396</v>
      </c>
      <c r="D3790" s="30" t="s">
        <v>17</v>
      </c>
      <c r="E3790" s="30" t="s">
        <v>31</v>
      </c>
      <c r="F3790" s="30" t="s">
        <v>32</v>
      </c>
      <c r="G3790" s="30" t="s">
        <v>106</v>
      </c>
      <c r="H3790" s="32">
        <v>6</v>
      </c>
      <c r="I3790" s="30" t="s">
        <v>21</v>
      </c>
      <c r="J3790" s="41">
        <v>43860</v>
      </c>
      <c r="K3790" s="30" t="s">
        <v>22</v>
      </c>
    </row>
    <row r="3791" spans="1:11">
      <c r="A3791" s="33" t="s">
        <v>9125</v>
      </c>
      <c r="B3791" s="33" t="s">
        <v>9126</v>
      </c>
      <c r="C3791" s="33" t="s">
        <v>130</v>
      </c>
      <c r="D3791" s="33" t="s">
        <v>17</v>
      </c>
      <c r="E3791" s="33" t="s">
        <v>31</v>
      </c>
      <c r="F3791" s="33" t="s">
        <v>32</v>
      </c>
      <c r="G3791" s="33" t="s">
        <v>106</v>
      </c>
      <c r="H3791" s="35">
        <v>7</v>
      </c>
      <c r="I3791" s="33" t="s">
        <v>21</v>
      </c>
      <c r="J3791" s="42">
        <v>43965</v>
      </c>
      <c r="K3791" s="33" t="s">
        <v>22</v>
      </c>
    </row>
    <row r="3792" spans="1:11">
      <c r="A3792" s="30" t="s">
        <v>9127</v>
      </c>
      <c r="B3792" s="30" t="s">
        <v>9128</v>
      </c>
      <c r="C3792" s="30" t="s">
        <v>130</v>
      </c>
      <c r="D3792" s="30" t="s">
        <v>17</v>
      </c>
      <c r="E3792" s="30" t="s">
        <v>31</v>
      </c>
      <c r="F3792" s="30" t="s">
        <v>32</v>
      </c>
      <c r="G3792" s="30" t="s">
        <v>20</v>
      </c>
      <c r="H3792" s="32">
        <v>209</v>
      </c>
      <c r="I3792" s="30" t="s">
        <v>21</v>
      </c>
      <c r="J3792" s="41">
        <v>44068</v>
      </c>
      <c r="K3792" s="30" t="s">
        <v>22</v>
      </c>
    </row>
    <row r="3793" spans="1:11">
      <c r="A3793" s="33" t="s">
        <v>9129</v>
      </c>
      <c r="B3793" s="33" t="s">
        <v>9130</v>
      </c>
      <c r="C3793" s="33" t="s">
        <v>60</v>
      </c>
      <c r="D3793" s="33" t="s">
        <v>17</v>
      </c>
      <c r="E3793" s="33" t="s">
        <v>18</v>
      </c>
      <c r="F3793" s="33" t="s">
        <v>19</v>
      </c>
      <c r="G3793" s="33" t="s">
        <v>20</v>
      </c>
      <c r="H3793" s="35">
        <v>52</v>
      </c>
      <c r="I3793" s="33" t="s">
        <v>21</v>
      </c>
      <c r="J3793" s="42">
        <v>43885</v>
      </c>
      <c r="K3793" s="33" t="s">
        <v>22</v>
      </c>
    </row>
    <row r="3794" spans="1:11">
      <c r="A3794" s="30" t="s">
        <v>9131</v>
      </c>
      <c r="B3794" s="30" t="s">
        <v>9132</v>
      </c>
      <c r="C3794" s="30" t="s">
        <v>8151</v>
      </c>
      <c r="D3794" s="30" t="s">
        <v>17</v>
      </c>
      <c r="E3794" s="30" t="s">
        <v>18</v>
      </c>
      <c r="F3794" s="30" t="s">
        <v>19</v>
      </c>
      <c r="G3794" s="30" t="s">
        <v>140</v>
      </c>
      <c r="H3794" s="32">
        <v>70</v>
      </c>
      <c r="I3794" s="30" t="s">
        <v>51</v>
      </c>
      <c r="J3794" s="41">
        <v>44174</v>
      </c>
      <c r="K3794" s="30" t="s">
        <v>22</v>
      </c>
    </row>
    <row r="3795" spans="1:11">
      <c r="A3795" s="33" t="s">
        <v>9133</v>
      </c>
      <c r="B3795" s="33" t="s">
        <v>9134</v>
      </c>
      <c r="C3795" s="33" t="s">
        <v>6248</v>
      </c>
      <c r="D3795" s="33" t="s">
        <v>17</v>
      </c>
      <c r="E3795" s="33" t="s">
        <v>18</v>
      </c>
      <c r="F3795" s="33" t="s">
        <v>19</v>
      </c>
      <c r="G3795" s="33" t="s">
        <v>112</v>
      </c>
      <c r="H3795" s="35">
        <v>0</v>
      </c>
      <c r="I3795" s="33" t="s">
        <v>21</v>
      </c>
      <c r="J3795" s="42">
        <v>44183</v>
      </c>
      <c r="K3795" s="33" t="s">
        <v>22</v>
      </c>
    </row>
    <row r="3796" spans="1:11">
      <c r="A3796" s="30" t="s">
        <v>9135</v>
      </c>
      <c r="B3796" s="30" t="s">
        <v>9136</v>
      </c>
      <c r="C3796" s="30" t="s">
        <v>3655</v>
      </c>
      <c r="D3796" s="30" t="s">
        <v>17</v>
      </c>
      <c r="E3796" s="30" t="s">
        <v>212</v>
      </c>
      <c r="F3796" s="30" t="s">
        <v>213</v>
      </c>
      <c r="G3796" s="30" t="s">
        <v>20</v>
      </c>
      <c r="H3796" s="32">
        <v>160</v>
      </c>
      <c r="I3796" s="30" t="s">
        <v>21</v>
      </c>
      <c r="J3796" s="41">
        <v>44125</v>
      </c>
      <c r="K3796" s="30" t="s">
        <v>22</v>
      </c>
    </row>
    <row r="3797" spans="1:11">
      <c r="A3797" s="33" t="s">
        <v>9137</v>
      </c>
      <c r="B3797" s="33" t="s">
        <v>9138</v>
      </c>
      <c r="C3797" s="33" t="s">
        <v>102</v>
      </c>
      <c r="D3797" s="33" t="s">
        <v>17</v>
      </c>
      <c r="E3797" s="33" t="s">
        <v>26</v>
      </c>
      <c r="F3797" s="33" t="s">
        <v>27</v>
      </c>
      <c r="G3797" s="33" t="s">
        <v>20</v>
      </c>
      <c r="H3797" s="35">
        <v>147</v>
      </c>
      <c r="I3797" s="33" t="s">
        <v>21</v>
      </c>
      <c r="J3797" s="42">
        <v>44155</v>
      </c>
      <c r="K3797" s="33" t="s">
        <v>22</v>
      </c>
    </row>
    <row r="3798" spans="1:11">
      <c r="A3798" s="30" t="s">
        <v>9139</v>
      </c>
      <c r="B3798" s="30" t="s">
        <v>9140</v>
      </c>
      <c r="C3798" s="30" t="s">
        <v>6571</v>
      </c>
      <c r="D3798" s="30" t="s">
        <v>17</v>
      </c>
      <c r="E3798" s="30" t="s">
        <v>212</v>
      </c>
      <c r="F3798" s="30" t="s">
        <v>213</v>
      </c>
      <c r="G3798" s="30" t="s">
        <v>50</v>
      </c>
      <c r="H3798" s="32">
        <v>20</v>
      </c>
      <c r="I3798" s="30" t="s">
        <v>51</v>
      </c>
      <c r="J3798" s="41">
        <v>44046</v>
      </c>
      <c r="K3798" s="30" t="s">
        <v>22</v>
      </c>
    </row>
    <row r="3799" spans="1:11">
      <c r="A3799" s="33" t="s">
        <v>9141</v>
      </c>
      <c r="B3799" s="33" t="s">
        <v>9142</v>
      </c>
      <c r="C3799" s="33" t="s">
        <v>96</v>
      </c>
      <c r="D3799" s="33" t="s">
        <v>17</v>
      </c>
      <c r="E3799" s="33" t="s">
        <v>31</v>
      </c>
      <c r="F3799" s="33" t="s">
        <v>32</v>
      </c>
      <c r="G3799" s="33" t="s">
        <v>20</v>
      </c>
      <c r="H3799" s="35">
        <v>46</v>
      </c>
      <c r="I3799" s="33" t="s">
        <v>21</v>
      </c>
      <c r="J3799" s="42">
        <v>44000</v>
      </c>
      <c r="K3799" s="33" t="s">
        <v>22</v>
      </c>
    </row>
    <row r="3800" spans="1:11">
      <c r="A3800" s="30" t="s">
        <v>9143</v>
      </c>
      <c r="B3800" s="30" t="s">
        <v>9144</v>
      </c>
      <c r="C3800" s="30" t="s">
        <v>1210</v>
      </c>
      <c r="D3800" s="30" t="s">
        <v>17</v>
      </c>
      <c r="E3800" s="30" t="s">
        <v>26</v>
      </c>
      <c r="F3800" s="30" t="s">
        <v>27</v>
      </c>
      <c r="G3800" s="30" t="s">
        <v>20</v>
      </c>
      <c r="H3800" s="32">
        <v>80</v>
      </c>
      <c r="I3800" s="30" t="s">
        <v>21</v>
      </c>
      <c r="J3800" s="41">
        <v>44022</v>
      </c>
      <c r="K3800" s="30" t="s">
        <v>22</v>
      </c>
    </row>
    <row r="3801" spans="1:11">
      <c r="A3801" s="33" t="s">
        <v>9145</v>
      </c>
      <c r="B3801" s="33" t="s">
        <v>9146</v>
      </c>
      <c r="C3801" s="33" t="s">
        <v>5246</v>
      </c>
      <c r="D3801" s="33" t="s">
        <v>17</v>
      </c>
      <c r="E3801" s="33" t="s">
        <v>67</v>
      </c>
      <c r="F3801" s="33" t="s">
        <v>68</v>
      </c>
      <c r="G3801" s="33" t="s">
        <v>20</v>
      </c>
      <c r="H3801" s="35">
        <v>37</v>
      </c>
      <c r="I3801" s="33" t="s">
        <v>21</v>
      </c>
      <c r="J3801" s="42">
        <v>44005</v>
      </c>
      <c r="K3801" s="33" t="s">
        <v>22</v>
      </c>
    </row>
    <row r="3802" spans="1:11">
      <c r="A3802" s="30" t="s">
        <v>9147</v>
      </c>
      <c r="B3802" s="30" t="s">
        <v>9148</v>
      </c>
      <c r="C3802" s="30" t="s">
        <v>437</v>
      </c>
      <c r="D3802" s="30" t="s">
        <v>17</v>
      </c>
      <c r="E3802" s="30" t="s">
        <v>18</v>
      </c>
      <c r="F3802" s="30" t="s">
        <v>19</v>
      </c>
      <c r="G3802" s="30" t="s">
        <v>20</v>
      </c>
      <c r="H3802" s="32">
        <v>457</v>
      </c>
      <c r="I3802" s="30" t="s">
        <v>21</v>
      </c>
      <c r="J3802" s="41">
        <v>44161</v>
      </c>
      <c r="K3802" s="30" t="s">
        <v>22</v>
      </c>
    </row>
    <row r="3803" spans="1:11">
      <c r="A3803" s="33" t="s">
        <v>9149</v>
      </c>
      <c r="B3803" s="33" t="s">
        <v>9150</v>
      </c>
      <c r="C3803" s="33" t="s">
        <v>190</v>
      </c>
      <c r="D3803" s="33" t="s">
        <v>17</v>
      </c>
      <c r="E3803" s="33" t="s">
        <v>18</v>
      </c>
      <c r="F3803" s="33" t="s">
        <v>19</v>
      </c>
      <c r="G3803" s="33" t="s">
        <v>158</v>
      </c>
      <c r="H3803" s="35">
        <v>818</v>
      </c>
      <c r="I3803" s="33" t="s">
        <v>21</v>
      </c>
      <c r="J3803" s="42">
        <v>43937</v>
      </c>
      <c r="K3803" s="33" t="s">
        <v>22</v>
      </c>
    </row>
    <row r="3804" spans="1:11">
      <c r="A3804" s="30" t="s">
        <v>9151</v>
      </c>
      <c r="B3804" s="30" t="s">
        <v>9152</v>
      </c>
      <c r="C3804" s="30" t="s">
        <v>149</v>
      </c>
      <c r="D3804" s="30" t="s">
        <v>17</v>
      </c>
      <c r="E3804" s="30" t="s">
        <v>26</v>
      </c>
      <c r="F3804" s="30" t="s">
        <v>27</v>
      </c>
      <c r="G3804" s="30" t="s">
        <v>20</v>
      </c>
      <c r="H3804" s="32">
        <v>26</v>
      </c>
      <c r="I3804" s="30" t="s">
        <v>21</v>
      </c>
      <c r="J3804" s="41">
        <v>44077</v>
      </c>
      <c r="K3804" s="30" t="s">
        <v>22</v>
      </c>
    </row>
    <row r="3805" spans="1:11">
      <c r="A3805" s="33" t="s">
        <v>9153</v>
      </c>
      <c r="B3805" s="33" t="s">
        <v>9154</v>
      </c>
      <c r="C3805" s="33" t="s">
        <v>190</v>
      </c>
      <c r="D3805" s="33" t="s">
        <v>17</v>
      </c>
      <c r="E3805" s="33" t="s">
        <v>26</v>
      </c>
      <c r="F3805" s="33" t="s">
        <v>27</v>
      </c>
      <c r="G3805" s="33" t="s">
        <v>20</v>
      </c>
      <c r="H3805" s="35">
        <v>14</v>
      </c>
      <c r="I3805" s="33" t="s">
        <v>21</v>
      </c>
      <c r="J3805" s="42">
        <v>44042</v>
      </c>
      <c r="K3805" s="33" t="s">
        <v>22</v>
      </c>
    </row>
    <row r="3806" spans="1:11">
      <c r="A3806" s="30" t="s">
        <v>9155</v>
      </c>
      <c r="B3806" s="30" t="s">
        <v>9156</v>
      </c>
      <c r="C3806" s="30" t="s">
        <v>3594</v>
      </c>
      <c r="D3806" s="30" t="s">
        <v>17</v>
      </c>
      <c r="E3806" s="30" t="s">
        <v>26</v>
      </c>
      <c r="F3806" s="30" t="s">
        <v>27</v>
      </c>
      <c r="G3806" s="30" t="s">
        <v>20</v>
      </c>
      <c r="H3806" s="32">
        <v>122</v>
      </c>
      <c r="I3806" s="30" t="s">
        <v>21</v>
      </c>
      <c r="J3806" s="41">
        <v>44022</v>
      </c>
      <c r="K3806" s="30" t="s">
        <v>22</v>
      </c>
    </row>
    <row r="3807" spans="1:11">
      <c r="A3807" s="33" t="s">
        <v>9157</v>
      </c>
      <c r="B3807" s="33" t="s">
        <v>9158</v>
      </c>
      <c r="C3807" s="33" t="s">
        <v>6049</v>
      </c>
      <c r="D3807" s="33" t="s">
        <v>17</v>
      </c>
      <c r="E3807" s="33" t="s">
        <v>31</v>
      </c>
      <c r="F3807" s="33" t="s">
        <v>32</v>
      </c>
      <c r="G3807" s="33" t="s">
        <v>20</v>
      </c>
      <c r="H3807" s="35">
        <v>261</v>
      </c>
      <c r="I3807" s="33" t="s">
        <v>21</v>
      </c>
      <c r="J3807" s="42">
        <v>43894</v>
      </c>
      <c r="K3807" s="33" t="s">
        <v>22</v>
      </c>
    </row>
    <row r="3808" spans="1:11">
      <c r="A3808" s="30" t="s">
        <v>9159</v>
      </c>
      <c r="B3808" s="30" t="s">
        <v>9160</v>
      </c>
      <c r="C3808" s="30" t="s">
        <v>6551</v>
      </c>
      <c r="D3808" s="30" t="s">
        <v>17</v>
      </c>
      <c r="E3808" s="30" t="s">
        <v>31</v>
      </c>
      <c r="F3808" s="30" t="s">
        <v>32</v>
      </c>
      <c r="G3808" s="30" t="s">
        <v>112</v>
      </c>
      <c r="H3808" s="32">
        <v>0</v>
      </c>
      <c r="I3808" s="30" t="s">
        <v>21</v>
      </c>
      <c r="J3808" s="41">
        <v>44014</v>
      </c>
      <c r="K3808" s="30" t="s">
        <v>22</v>
      </c>
    </row>
    <row r="3809" spans="1:11">
      <c r="A3809" s="33" t="s">
        <v>9161</v>
      </c>
      <c r="B3809" s="33" t="s">
        <v>9162</v>
      </c>
      <c r="C3809" s="33" t="s">
        <v>9163</v>
      </c>
      <c r="D3809" s="33" t="s">
        <v>17</v>
      </c>
      <c r="E3809" s="33" t="s">
        <v>67</v>
      </c>
      <c r="F3809" s="33" t="s">
        <v>68</v>
      </c>
      <c r="G3809" s="33" t="s">
        <v>20</v>
      </c>
      <c r="H3809" s="35">
        <v>3</v>
      </c>
      <c r="I3809" s="33" t="s">
        <v>21</v>
      </c>
      <c r="J3809" s="42">
        <v>44082</v>
      </c>
      <c r="K3809" s="33" t="s">
        <v>22</v>
      </c>
    </row>
    <row r="3810" spans="1:11">
      <c r="A3810" s="30" t="s">
        <v>9164</v>
      </c>
      <c r="B3810" s="30" t="s">
        <v>9165</v>
      </c>
      <c r="C3810" s="30" t="s">
        <v>9166</v>
      </c>
      <c r="D3810" s="30" t="s">
        <v>17</v>
      </c>
      <c r="E3810" s="30" t="s">
        <v>67</v>
      </c>
      <c r="F3810" s="30" t="s">
        <v>68</v>
      </c>
      <c r="G3810" s="30" t="s">
        <v>140</v>
      </c>
      <c r="H3810" s="32">
        <v>144</v>
      </c>
      <c r="I3810" s="30" t="s">
        <v>51</v>
      </c>
      <c r="J3810" s="41">
        <v>44141</v>
      </c>
      <c r="K3810" s="30" t="s">
        <v>22</v>
      </c>
    </row>
    <row r="3811" spans="1:11">
      <c r="A3811" s="33" t="s">
        <v>9167</v>
      </c>
      <c r="B3811" s="33" t="s">
        <v>9168</v>
      </c>
      <c r="C3811" s="33" t="s">
        <v>4082</v>
      </c>
      <c r="D3811" s="33" t="s">
        <v>17</v>
      </c>
      <c r="E3811" s="33" t="s">
        <v>45</v>
      </c>
      <c r="F3811" s="33" t="s">
        <v>46</v>
      </c>
      <c r="G3811" s="33" t="s">
        <v>106</v>
      </c>
      <c r="H3811" s="35">
        <v>79</v>
      </c>
      <c r="I3811" s="33" t="s">
        <v>21</v>
      </c>
      <c r="J3811" s="42">
        <v>44125</v>
      </c>
      <c r="K3811" s="33" t="s">
        <v>22</v>
      </c>
    </row>
    <row r="3812" spans="1:11">
      <c r="A3812" s="30" t="s">
        <v>9169</v>
      </c>
      <c r="B3812" s="30" t="s">
        <v>9170</v>
      </c>
      <c r="C3812" s="30" t="s">
        <v>9171</v>
      </c>
      <c r="D3812" s="30" t="s">
        <v>17</v>
      </c>
      <c r="E3812" s="30" t="s">
        <v>31</v>
      </c>
      <c r="F3812" s="30" t="s">
        <v>32</v>
      </c>
      <c r="G3812" s="30" t="s">
        <v>20</v>
      </c>
      <c r="H3812" s="32">
        <v>88</v>
      </c>
      <c r="I3812" s="30" t="s">
        <v>21</v>
      </c>
      <c r="J3812" s="41">
        <v>44029</v>
      </c>
      <c r="K3812" s="30" t="s">
        <v>22</v>
      </c>
    </row>
    <row r="3813" spans="1:11">
      <c r="A3813" s="33" t="s">
        <v>9172</v>
      </c>
      <c r="B3813" s="33" t="s">
        <v>9173</v>
      </c>
      <c r="C3813" s="33" t="s">
        <v>5993</v>
      </c>
      <c r="D3813" s="33" t="s">
        <v>17</v>
      </c>
      <c r="E3813" s="33" t="s">
        <v>18</v>
      </c>
      <c r="F3813" s="33" t="s">
        <v>19</v>
      </c>
      <c r="G3813" s="33" t="s">
        <v>20</v>
      </c>
      <c r="H3813" s="35">
        <v>975</v>
      </c>
      <c r="I3813" s="33" t="s">
        <v>21</v>
      </c>
      <c r="J3813" s="42">
        <v>44180</v>
      </c>
      <c r="K3813" s="33" t="s">
        <v>22</v>
      </c>
    </row>
    <row r="3814" spans="1:11">
      <c r="A3814" s="30" t="s">
        <v>9174</v>
      </c>
      <c r="B3814" s="30" t="s">
        <v>9175</v>
      </c>
      <c r="C3814" s="30" t="s">
        <v>75</v>
      </c>
      <c r="D3814" s="30" t="s">
        <v>17</v>
      </c>
      <c r="E3814" s="30" t="s">
        <v>26</v>
      </c>
      <c r="F3814" s="30" t="s">
        <v>27</v>
      </c>
      <c r="G3814" s="30" t="s">
        <v>20</v>
      </c>
      <c r="H3814" s="32">
        <v>8</v>
      </c>
      <c r="I3814" s="30" t="s">
        <v>21</v>
      </c>
      <c r="J3814" s="41">
        <v>43879</v>
      </c>
      <c r="K3814" s="30" t="s">
        <v>22</v>
      </c>
    </row>
    <row r="3815" spans="1:11">
      <c r="A3815" s="33" t="s">
        <v>9176</v>
      </c>
      <c r="B3815" s="33" t="s">
        <v>9177</v>
      </c>
      <c r="C3815" s="33" t="s">
        <v>231</v>
      </c>
      <c r="D3815" s="33" t="s">
        <v>17</v>
      </c>
      <c r="E3815" s="33" t="s">
        <v>31</v>
      </c>
      <c r="F3815" s="33" t="s">
        <v>32</v>
      </c>
      <c r="G3815" s="33" t="s">
        <v>20</v>
      </c>
      <c r="H3815" s="35">
        <v>123</v>
      </c>
      <c r="I3815" s="33" t="s">
        <v>21</v>
      </c>
      <c r="J3815" s="42">
        <v>43986</v>
      </c>
      <c r="K3815" s="33" t="s">
        <v>22</v>
      </c>
    </row>
    <row r="3816" spans="1:11">
      <c r="A3816" s="30" t="s">
        <v>9178</v>
      </c>
      <c r="B3816" s="30" t="s">
        <v>9179</v>
      </c>
      <c r="C3816" s="30" t="s">
        <v>371</v>
      </c>
      <c r="D3816" s="30" t="s">
        <v>17</v>
      </c>
      <c r="E3816" s="30" t="s">
        <v>31</v>
      </c>
      <c r="F3816" s="30" t="s">
        <v>32</v>
      </c>
      <c r="G3816" s="30" t="s">
        <v>20</v>
      </c>
      <c r="H3816" s="32">
        <v>18</v>
      </c>
      <c r="I3816" s="30" t="s">
        <v>21</v>
      </c>
      <c r="J3816" s="41">
        <v>44139</v>
      </c>
      <c r="K3816" s="30" t="s">
        <v>22</v>
      </c>
    </row>
    <row r="3817" spans="1:11">
      <c r="A3817" s="33" t="s">
        <v>9180</v>
      </c>
      <c r="B3817" s="33" t="s">
        <v>9181</v>
      </c>
      <c r="C3817" s="33" t="s">
        <v>149</v>
      </c>
      <c r="D3817" s="33" t="s">
        <v>17</v>
      </c>
      <c r="E3817" s="33" t="s">
        <v>26</v>
      </c>
      <c r="F3817" s="33" t="s">
        <v>27</v>
      </c>
      <c r="G3817" s="33" t="s">
        <v>50</v>
      </c>
      <c r="H3817" s="35">
        <v>30</v>
      </c>
      <c r="I3817" s="33" t="s">
        <v>51</v>
      </c>
      <c r="J3817" s="42">
        <v>43928</v>
      </c>
      <c r="K3817" s="33" t="s">
        <v>22</v>
      </c>
    </row>
    <row r="3818" spans="1:11">
      <c r="A3818" s="30" t="s">
        <v>9182</v>
      </c>
      <c r="B3818" s="30" t="s">
        <v>9183</v>
      </c>
      <c r="C3818" s="30" t="s">
        <v>653</v>
      </c>
      <c r="D3818" s="30" t="s">
        <v>17</v>
      </c>
      <c r="E3818" s="30" t="s">
        <v>31</v>
      </c>
      <c r="F3818" s="30" t="s">
        <v>32</v>
      </c>
      <c r="G3818" s="30" t="s">
        <v>20</v>
      </c>
      <c r="H3818" s="32">
        <v>32</v>
      </c>
      <c r="I3818" s="30" t="s">
        <v>21</v>
      </c>
      <c r="J3818" s="41">
        <v>44187</v>
      </c>
      <c r="K3818" s="30" t="s">
        <v>22</v>
      </c>
    </row>
    <row r="3819" spans="1:11">
      <c r="A3819" s="33" t="s">
        <v>9184</v>
      </c>
      <c r="B3819" s="33" t="s">
        <v>9185</v>
      </c>
      <c r="C3819" s="33" t="s">
        <v>109</v>
      </c>
      <c r="D3819" s="33" t="s">
        <v>17</v>
      </c>
      <c r="E3819" s="33" t="s">
        <v>18</v>
      </c>
      <c r="F3819" s="33" t="s">
        <v>19</v>
      </c>
      <c r="G3819" s="33" t="s">
        <v>20</v>
      </c>
      <c r="H3819" s="35">
        <v>295</v>
      </c>
      <c r="I3819" s="33" t="s">
        <v>21</v>
      </c>
      <c r="J3819" s="42">
        <v>44179</v>
      </c>
      <c r="K3819" s="33" t="s">
        <v>22</v>
      </c>
    </row>
    <row r="3820" spans="1:11">
      <c r="A3820" s="30" t="s">
        <v>9186</v>
      </c>
      <c r="B3820" s="30" t="s">
        <v>9187</v>
      </c>
      <c r="C3820" s="30" t="s">
        <v>1112</v>
      </c>
      <c r="D3820" s="30" t="s">
        <v>17</v>
      </c>
      <c r="E3820" s="30" t="s">
        <v>26</v>
      </c>
      <c r="F3820" s="30" t="s">
        <v>27</v>
      </c>
      <c r="G3820" s="30" t="s">
        <v>20</v>
      </c>
      <c r="H3820" s="32">
        <v>57</v>
      </c>
      <c r="I3820" s="30" t="s">
        <v>21</v>
      </c>
      <c r="J3820" s="41">
        <v>44155</v>
      </c>
      <c r="K3820" s="30" t="s">
        <v>22</v>
      </c>
    </row>
    <row r="3821" spans="1:11">
      <c r="A3821" s="33" t="s">
        <v>9188</v>
      </c>
      <c r="B3821" s="33" t="s">
        <v>9189</v>
      </c>
      <c r="C3821" s="33" t="s">
        <v>9190</v>
      </c>
      <c r="D3821" s="33" t="s">
        <v>17</v>
      </c>
      <c r="E3821" s="33" t="s">
        <v>31</v>
      </c>
      <c r="F3821" s="33" t="s">
        <v>32</v>
      </c>
      <c r="G3821" s="33" t="s">
        <v>106</v>
      </c>
      <c r="H3821" s="35">
        <v>15</v>
      </c>
      <c r="I3821" s="33" t="s">
        <v>21</v>
      </c>
      <c r="J3821" s="42">
        <v>44147</v>
      </c>
      <c r="K3821" s="33" t="s">
        <v>22</v>
      </c>
    </row>
    <row r="3822" spans="1:11">
      <c r="A3822" s="30" t="s">
        <v>9191</v>
      </c>
      <c r="B3822" s="30" t="s">
        <v>9192</v>
      </c>
      <c r="C3822" s="30" t="s">
        <v>1343</v>
      </c>
      <c r="D3822" s="30" t="s">
        <v>17</v>
      </c>
      <c r="E3822" s="30" t="s">
        <v>212</v>
      </c>
      <c r="F3822" s="30" t="s">
        <v>213</v>
      </c>
      <c r="G3822" s="30" t="s">
        <v>20</v>
      </c>
      <c r="H3822" s="32">
        <v>135</v>
      </c>
      <c r="I3822" s="30" t="s">
        <v>21</v>
      </c>
      <c r="J3822" s="41">
        <v>44011</v>
      </c>
      <c r="K3822" s="30" t="s">
        <v>22</v>
      </c>
    </row>
    <row r="3823" spans="1:11">
      <c r="A3823" s="33" t="s">
        <v>9193</v>
      </c>
      <c r="B3823" s="33" t="s">
        <v>9194</v>
      </c>
      <c r="C3823" s="33" t="s">
        <v>4796</v>
      </c>
      <c r="D3823" s="33" t="s">
        <v>17</v>
      </c>
      <c r="E3823" s="33" t="s">
        <v>67</v>
      </c>
      <c r="F3823" s="33" t="s">
        <v>68</v>
      </c>
      <c r="G3823" s="33" t="s">
        <v>20</v>
      </c>
      <c r="H3823" s="35">
        <v>126</v>
      </c>
      <c r="I3823" s="33" t="s">
        <v>21</v>
      </c>
      <c r="J3823" s="42">
        <v>44166</v>
      </c>
      <c r="K3823" s="33" t="s">
        <v>22</v>
      </c>
    </row>
    <row r="3824" spans="1:11">
      <c r="A3824" s="30" t="s">
        <v>9195</v>
      </c>
      <c r="B3824" s="30" t="s">
        <v>9196</v>
      </c>
      <c r="C3824" s="30" t="s">
        <v>801</v>
      </c>
      <c r="D3824" s="30" t="s">
        <v>17</v>
      </c>
      <c r="E3824" s="30" t="s">
        <v>18</v>
      </c>
      <c r="F3824" s="30" t="s">
        <v>19</v>
      </c>
      <c r="G3824" s="30" t="s">
        <v>106</v>
      </c>
      <c r="H3824" s="32">
        <v>1696</v>
      </c>
      <c r="I3824" s="30" t="s">
        <v>21</v>
      </c>
      <c r="J3824" s="41">
        <v>43892</v>
      </c>
      <c r="K3824" s="30" t="s">
        <v>22</v>
      </c>
    </row>
    <row r="3825" spans="1:11">
      <c r="A3825" s="33" t="s">
        <v>9197</v>
      </c>
      <c r="B3825" s="33" t="s">
        <v>9198</v>
      </c>
      <c r="C3825" s="33" t="s">
        <v>157</v>
      </c>
      <c r="D3825" s="33" t="s">
        <v>17</v>
      </c>
      <c r="E3825" s="33" t="s">
        <v>31</v>
      </c>
      <c r="F3825" s="33" t="s">
        <v>32</v>
      </c>
      <c r="G3825" s="33" t="s">
        <v>106</v>
      </c>
      <c r="H3825" s="35">
        <v>34</v>
      </c>
      <c r="I3825" s="33" t="s">
        <v>21</v>
      </c>
      <c r="J3825" s="42">
        <v>44047</v>
      </c>
      <c r="K3825" s="33" t="s">
        <v>22</v>
      </c>
    </row>
    <row r="3826" spans="1:11">
      <c r="A3826" s="30" t="s">
        <v>9199</v>
      </c>
      <c r="B3826" s="30" t="s">
        <v>9200</v>
      </c>
      <c r="C3826" s="30" t="s">
        <v>647</v>
      </c>
      <c r="D3826" s="30" t="s">
        <v>17</v>
      </c>
      <c r="E3826" s="30" t="s">
        <v>18</v>
      </c>
      <c r="F3826" s="30" t="s">
        <v>19</v>
      </c>
      <c r="G3826" s="30" t="s">
        <v>20</v>
      </c>
      <c r="H3826" s="32">
        <v>376</v>
      </c>
      <c r="I3826" s="30" t="s">
        <v>21</v>
      </c>
      <c r="J3826" s="41">
        <v>43961</v>
      </c>
      <c r="K3826" s="30" t="s">
        <v>22</v>
      </c>
    </row>
    <row r="3827" spans="1:11">
      <c r="A3827" s="33" t="s">
        <v>9201</v>
      </c>
      <c r="B3827" s="33" t="s">
        <v>9202</v>
      </c>
      <c r="C3827" s="33" t="s">
        <v>124</v>
      </c>
      <c r="D3827" s="33" t="s">
        <v>17</v>
      </c>
      <c r="E3827" s="33" t="s">
        <v>26</v>
      </c>
      <c r="F3827" s="33" t="s">
        <v>27</v>
      </c>
      <c r="G3827" s="33" t="s">
        <v>20</v>
      </c>
      <c r="H3827" s="35">
        <v>40</v>
      </c>
      <c r="I3827" s="33" t="s">
        <v>21</v>
      </c>
      <c r="J3827" s="42">
        <v>43993</v>
      </c>
      <c r="K3827" s="33" t="s">
        <v>22</v>
      </c>
    </row>
    <row r="3828" spans="1:11">
      <c r="A3828" s="30" t="s">
        <v>9203</v>
      </c>
      <c r="B3828" s="30" t="s">
        <v>9204</v>
      </c>
      <c r="C3828" s="30" t="s">
        <v>78</v>
      </c>
      <c r="D3828" s="30" t="s">
        <v>17</v>
      </c>
      <c r="E3828" s="30" t="s">
        <v>31</v>
      </c>
      <c r="F3828" s="30" t="s">
        <v>32</v>
      </c>
      <c r="G3828" s="30" t="s">
        <v>50</v>
      </c>
      <c r="H3828" s="32">
        <v>100</v>
      </c>
      <c r="I3828" s="30" t="s">
        <v>51</v>
      </c>
      <c r="J3828" s="41">
        <v>43993</v>
      </c>
      <c r="K3828" s="30" t="s">
        <v>22</v>
      </c>
    </row>
    <row r="3829" spans="1:11">
      <c r="A3829" s="33" t="s">
        <v>9205</v>
      </c>
      <c r="B3829" s="33" t="s">
        <v>9206</v>
      </c>
      <c r="C3829" s="33" t="s">
        <v>7201</v>
      </c>
      <c r="D3829" s="33" t="s">
        <v>17</v>
      </c>
      <c r="E3829" s="33" t="s">
        <v>45</v>
      </c>
      <c r="F3829" s="33" t="s">
        <v>46</v>
      </c>
      <c r="G3829" s="33" t="s">
        <v>50</v>
      </c>
      <c r="H3829" s="35">
        <v>645</v>
      </c>
      <c r="I3829" s="33" t="s">
        <v>21</v>
      </c>
      <c r="J3829" s="42">
        <v>44195</v>
      </c>
      <c r="K3829" s="33" t="s">
        <v>22</v>
      </c>
    </row>
    <row r="3830" spans="1:11">
      <c r="A3830" s="30" t="s">
        <v>9207</v>
      </c>
      <c r="B3830" s="30" t="s">
        <v>9208</v>
      </c>
      <c r="C3830" s="30" t="s">
        <v>203</v>
      </c>
      <c r="D3830" s="30" t="s">
        <v>17</v>
      </c>
      <c r="E3830" s="30" t="s">
        <v>26</v>
      </c>
      <c r="F3830" s="30" t="s">
        <v>27</v>
      </c>
      <c r="G3830" s="30" t="s">
        <v>20</v>
      </c>
      <c r="H3830" s="32">
        <v>47</v>
      </c>
      <c r="I3830" s="30" t="s">
        <v>21</v>
      </c>
      <c r="J3830" s="41">
        <v>44036</v>
      </c>
      <c r="K3830" s="30" t="s">
        <v>22</v>
      </c>
    </row>
    <row r="3831" spans="1:11">
      <c r="A3831" s="33" t="s">
        <v>9209</v>
      </c>
      <c r="B3831" s="33" t="s">
        <v>9210</v>
      </c>
      <c r="C3831" s="33" t="s">
        <v>2490</v>
      </c>
      <c r="D3831" s="33" t="s">
        <v>17</v>
      </c>
      <c r="E3831" s="33" t="s">
        <v>26</v>
      </c>
      <c r="F3831" s="33" t="s">
        <v>27</v>
      </c>
      <c r="G3831" s="33" t="s">
        <v>50</v>
      </c>
      <c r="H3831" s="35">
        <v>42</v>
      </c>
      <c r="I3831" s="33" t="s">
        <v>21</v>
      </c>
      <c r="J3831" s="42">
        <v>44145</v>
      </c>
      <c r="K3831" s="33" t="s">
        <v>22</v>
      </c>
    </row>
    <row r="3832" spans="1:11">
      <c r="A3832" s="30" t="s">
        <v>9211</v>
      </c>
      <c r="B3832" s="30" t="s">
        <v>9212</v>
      </c>
      <c r="C3832" s="30" t="s">
        <v>231</v>
      </c>
      <c r="D3832" s="30" t="s">
        <v>17</v>
      </c>
      <c r="E3832" s="30" t="s">
        <v>26</v>
      </c>
      <c r="F3832" s="30" t="s">
        <v>27</v>
      </c>
      <c r="G3832" s="30" t="s">
        <v>106</v>
      </c>
      <c r="H3832" s="32">
        <v>68</v>
      </c>
      <c r="I3832" s="30" t="s">
        <v>21</v>
      </c>
      <c r="J3832" s="41">
        <v>44033</v>
      </c>
      <c r="K3832" s="30" t="s">
        <v>22</v>
      </c>
    </row>
    <row r="3833" spans="1:11">
      <c r="A3833" s="33" t="s">
        <v>9213</v>
      </c>
      <c r="B3833" s="33" t="s">
        <v>9214</v>
      </c>
      <c r="C3833" s="33" t="s">
        <v>3296</v>
      </c>
      <c r="D3833" s="33" t="s">
        <v>17</v>
      </c>
      <c r="E3833" s="33" t="s">
        <v>212</v>
      </c>
      <c r="F3833" s="33" t="s">
        <v>213</v>
      </c>
      <c r="G3833" s="33" t="s">
        <v>50</v>
      </c>
      <c r="H3833" s="35">
        <v>54</v>
      </c>
      <c r="I3833" s="33" t="s">
        <v>51</v>
      </c>
      <c r="J3833" s="42">
        <v>44166</v>
      </c>
      <c r="K3833" s="33" t="s">
        <v>22</v>
      </c>
    </row>
    <row r="3834" spans="1:11">
      <c r="A3834" s="30" t="s">
        <v>9215</v>
      </c>
      <c r="B3834" s="30" t="s">
        <v>9216</v>
      </c>
      <c r="C3834" s="30" t="s">
        <v>899</v>
      </c>
      <c r="D3834" s="30" t="s">
        <v>17</v>
      </c>
      <c r="E3834" s="30" t="s">
        <v>26</v>
      </c>
      <c r="F3834" s="30" t="s">
        <v>27</v>
      </c>
      <c r="G3834" s="30" t="s">
        <v>20</v>
      </c>
      <c r="H3834" s="32">
        <v>16</v>
      </c>
      <c r="I3834" s="30" t="s">
        <v>21</v>
      </c>
      <c r="J3834" s="41">
        <v>44123</v>
      </c>
      <c r="K3834" s="30" t="s">
        <v>22</v>
      </c>
    </row>
    <row r="3835" spans="1:11">
      <c r="A3835" s="33" t="s">
        <v>9217</v>
      </c>
      <c r="B3835" s="33" t="s">
        <v>9218</v>
      </c>
      <c r="C3835" s="33" t="s">
        <v>1287</v>
      </c>
      <c r="D3835" s="33" t="s">
        <v>17</v>
      </c>
      <c r="E3835" s="33" t="s">
        <v>26</v>
      </c>
      <c r="F3835" s="33" t="s">
        <v>27</v>
      </c>
      <c r="G3835" s="33" t="s">
        <v>20</v>
      </c>
      <c r="H3835" s="35">
        <v>12</v>
      </c>
      <c r="I3835" s="33" t="s">
        <v>21</v>
      </c>
      <c r="J3835" s="42">
        <v>44088</v>
      </c>
      <c r="K3835" s="33" t="s">
        <v>22</v>
      </c>
    </row>
    <row r="3836" spans="1:11">
      <c r="A3836" s="30" t="s">
        <v>9219</v>
      </c>
      <c r="B3836" s="30" t="s">
        <v>9220</v>
      </c>
      <c r="C3836" s="30" t="s">
        <v>969</v>
      </c>
      <c r="D3836" s="30" t="s">
        <v>17</v>
      </c>
      <c r="E3836" s="30" t="s">
        <v>18</v>
      </c>
      <c r="F3836" s="30" t="s">
        <v>19</v>
      </c>
      <c r="G3836" s="30" t="s">
        <v>106</v>
      </c>
      <c r="H3836" s="32">
        <v>11194</v>
      </c>
      <c r="I3836" s="30" t="s">
        <v>21</v>
      </c>
      <c r="J3836" s="41">
        <v>44155</v>
      </c>
      <c r="K3836" s="30" t="s">
        <v>22</v>
      </c>
    </row>
    <row r="3837" spans="1:11">
      <c r="A3837" s="33" t="s">
        <v>9221</v>
      </c>
      <c r="B3837" s="33" t="s">
        <v>9222</v>
      </c>
      <c r="C3837" s="33" t="s">
        <v>450</v>
      </c>
      <c r="D3837" s="33" t="s">
        <v>17</v>
      </c>
      <c r="E3837" s="33" t="s">
        <v>26</v>
      </c>
      <c r="F3837" s="33" t="s">
        <v>27</v>
      </c>
      <c r="G3837" s="33" t="s">
        <v>20</v>
      </c>
      <c r="H3837" s="35">
        <v>54</v>
      </c>
      <c r="I3837" s="33" t="s">
        <v>21</v>
      </c>
      <c r="J3837" s="42">
        <v>44125</v>
      </c>
      <c r="K3837" s="33" t="s">
        <v>22</v>
      </c>
    </row>
    <row r="3838" spans="1:11">
      <c r="A3838" s="30" t="s">
        <v>9223</v>
      </c>
      <c r="B3838" s="30" t="s">
        <v>9224</v>
      </c>
      <c r="C3838" s="30" t="s">
        <v>9225</v>
      </c>
      <c r="D3838" s="30" t="s">
        <v>17</v>
      </c>
      <c r="E3838" s="30" t="s">
        <v>67</v>
      </c>
      <c r="F3838" s="30" t="s">
        <v>68</v>
      </c>
      <c r="G3838" s="30" t="s">
        <v>50</v>
      </c>
      <c r="H3838" s="32">
        <v>38</v>
      </c>
      <c r="I3838" s="30" t="s">
        <v>51</v>
      </c>
      <c r="J3838" s="41">
        <v>43845</v>
      </c>
      <c r="K3838" s="30" t="s">
        <v>22</v>
      </c>
    </row>
    <row r="3839" spans="1:11">
      <c r="A3839" s="33" t="s">
        <v>9226</v>
      </c>
      <c r="B3839" s="33" t="s">
        <v>9227</v>
      </c>
      <c r="C3839" s="33" t="s">
        <v>8126</v>
      </c>
      <c r="D3839" s="33" t="s">
        <v>17</v>
      </c>
      <c r="E3839" s="33" t="s">
        <v>31</v>
      </c>
      <c r="F3839" s="33" t="s">
        <v>32</v>
      </c>
      <c r="G3839" s="33" t="s">
        <v>20</v>
      </c>
      <c r="H3839" s="35">
        <v>90</v>
      </c>
      <c r="I3839" s="33" t="s">
        <v>21</v>
      </c>
      <c r="J3839" s="42">
        <v>44102</v>
      </c>
      <c r="K3839" s="33" t="s">
        <v>22</v>
      </c>
    </row>
    <row r="3840" spans="1:11">
      <c r="A3840" s="30" t="s">
        <v>9228</v>
      </c>
      <c r="B3840" s="30" t="s">
        <v>9229</v>
      </c>
      <c r="C3840" s="30" t="s">
        <v>6103</v>
      </c>
      <c r="D3840" s="30" t="s">
        <v>17</v>
      </c>
      <c r="E3840" s="30" t="s">
        <v>31</v>
      </c>
      <c r="F3840" s="30" t="s">
        <v>32</v>
      </c>
      <c r="G3840" s="30" t="s">
        <v>20</v>
      </c>
      <c r="H3840" s="32">
        <v>38</v>
      </c>
      <c r="I3840" s="30" t="s">
        <v>21</v>
      </c>
      <c r="J3840" s="41">
        <v>44012</v>
      </c>
      <c r="K3840" s="30" t="s">
        <v>22</v>
      </c>
    </row>
    <row r="3841" spans="1:11">
      <c r="A3841" s="33" t="s">
        <v>9230</v>
      </c>
      <c r="B3841" s="33" t="s">
        <v>9231</v>
      </c>
      <c r="C3841" s="33" t="s">
        <v>5229</v>
      </c>
      <c r="D3841" s="33" t="s">
        <v>17</v>
      </c>
      <c r="E3841" s="33" t="s">
        <v>26</v>
      </c>
      <c r="F3841" s="33" t="s">
        <v>27</v>
      </c>
      <c r="G3841" s="33" t="s">
        <v>20</v>
      </c>
      <c r="H3841" s="35">
        <v>14</v>
      </c>
      <c r="I3841" s="33" t="s">
        <v>21</v>
      </c>
      <c r="J3841" s="42">
        <v>44111</v>
      </c>
      <c r="K3841" s="33" t="s">
        <v>22</v>
      </c>
    </row>
    <row r="3842" spans="1:11">
      <c r="A3842" s="30" t="s">
        <v>9232</v>
      </c>
      <c r="B3842" s="30" t="s">
        <v>9233</v>
      </c>
      <c r="C3842" s="30" t="s">
        <v>9234</v>
      </c>
      <c r="D3842" s="30" t="s">
        <v>17</v>
      </c>
      <c r="E3842" s="30" t="s">
        <v>26</v>
      </c>
      <c r="F3842" s="30" t="s">
        <v>27</v>
      </c>
      <c r="G3842" s="30" t="s">
        <v>20</v>
      </c>
      <c r="H3842" s="32">
        <v>6</v>
      </c>
      <c r="I3842" s="30" t="s">
        <v>21</v>
      </c>
      <c r="J3842" s="41">
        <v>43854</v>
      </c>
      <c r="K3842" s="30" t="s">
        <v>22</v>
      </c>
    </row>
    <row r="3843" spans="1:11">
      <c r="A3843" s="33" t="s">
        <v>9235</v>
      </c>
      <c r="B3843" s="33" t="s">
        <v>9236</v>
      </c>
      <c r="C3843" s="33" t="s">
        <v>149</v>
      </c>
      <c r="D3843" s="33" t="s">
        <v>17</v>
      </c>
      <c r="E3843" s="33" t="s">
        <v>26</v>
      </c>
      <c r="F3843" s="33" t="s">
        <v>27</v>
      </c>
      <c r="G3843" s="33" t="s">
        <v>20</v>
      </c>
      <c r="H3843" s="35">
        <v>48</v>
      </c>
      <c r="I3843" s="33" t="s">
        <v>21</v>
      </c>
      <c r="J3843" s="42">
        <v>43836</v>
      </c>
      <c r="K3843" s="33" t="s">
        <v>22</v>
      </c>
    </row>
    <row r="3844" spans="1:11">
      <c r="A3844" s="30" t="s">
        <v>9237</v>
      </c>
      <c r="B3844" s="30" t="s">
        <v>9238</v>
      </c>
      <c r="C3844" s="30" t="s">
        <v>684</v>
      </c>
      <c r="D3844" s="30" t="s">
        <v>17</v>
      </c>
      <c r="E3844" s="30" t="s">
        <v>26</v>
      </c>
      <c r="F3844" s="30" t="s">
        <v>27</v>
      </c>
      <c r="G3844" s="30" t="s">
        <v>106</v>
      </c>
      <c r="H3844" s="32">
        <v>22</v>
      </c>
      <c r="I3844" s="30" t="s">
        <v>21</v>
      </c>
      <c r="J3844" s="41">
        <v>44048</v>
      </c>
      <c r="K3844" s="30" t="s">
        <v>22</v>
      </c>
    </row>
    <row r="3845" spans="1:11">
      <c r="A3845" s="33" t="s">
        <v>9239</v>
      </c>
      <c r="B3845" s="33" t="s">
        <v>9240</v>
      </c>
      <c r="C3845" s="33" t="s">
        <v>1598</v>
      </c>
      <c r="D3845" s="33" t="s">
        <v>17</v>
      </c>
      <c r="E3845" s="33" t="s">
        <v>26</v>
      </c>
      <c r="F3845" s="33" t="s">
        <v>27</v>
      </c>
      <c r="G3845" s="33" t="s">
        <v>106</v>
      </c>
      <c r="H3845" s="35">
        <v>8</v>
      </c>
      <c r="I3845" s="33" t="s">
        <v>21</v>
      </c>
      <c r="J3845" s="42">
        <v>44011</v>
      </c>
      <c r="K3845" s="33" t="s">
        <v>22</v>
      </c>
    </row>
    <row r="3846" spans="1:11">
      <c r="A3846" s="30" t="s">
        <v>9241</v>
      </c>
      <c r="B3846" s="30" t="s">
        <v>9242</v>
      </c>
      <c r="C3846" s="30" t="s">
        <v>2132</v>
      </c>
      <c r="D3846" s="30" t="s">
        <v>17</v>
      </c>
      <c r="E3846" s="30" t="s">
        <v>31</v>
      </c>
      <c r="F3846" s="30" t="s">
        <v>32</v>
      </c>
      <c r="G3846" s="30" t="s">
        <v>20</v>
      </c>
      <c r="H3846" s="32">
        <v>60</v>
      </c>
      <c r="I3846" s="30" t="s">
        <v>21</v>
      </c>
      <c r="J3846" s="41">
        <v>43955</v>
      </c>
      <c r="K3846" s="30" t="s">
        <v>22</v>
      </c>
    </row>
    <row r="3847" spans="1:11">
      <c r="A3847" s="33" t="s">
        <v>9243</v>
      </c>
      <c r="B3847" s="33" t="s">
        <v>9244</v>
      </c>
      <c r="C3847" s="33" t="s">
        <v>136</v>
      </c>
      <c r="D3847" s="33" t="s">
        <v>17</v>
      </c>
      <c r="E3847" s="33" t="s">
        <v>26</v>
      </c>
      <c r="F3847" s="33" t="s">
        <v>27</v>
      </c>
      <c r="G3847" s="33" t="s">
        <v>20</v>
      </c>
      <c r="H3847" s="35">
        <v>86</v>
      </c>
      <c r="I3847" s="33" t="s">
        <v>21</v>
      </c>
      <c r="J3847" s="42">
        <v>44061</v>
      </c>
      <c r="K3847" s="33" t="s">
        <v>22</v>
      </c>
    </row>
    <row r="3848" spans="1:11">
      <c r="A3848" s="30" t="s">
        <v>9245</v>
      </c>
      <c r="B3848" s="30" t="s">
        <v>9246</v>
      </c>
      <c r="C3848" s="30" t="s">
        <v>136</v>
      </c>
      <c r="D3848" s="30" t="s">
        <v>17</v>
      </c>
      <c r="E3848" s="30" t="s">
        <v>26</v>
      </c>
      <c r="F3848" s="30" t="s">
        <v>27</v>
      </c>
      <c r="G3848" s="30" t="s">
        <v>20</v>
      </c>
      <c r="H3848" s="32">
        <v>56</v>
      </c>
      <c r="I3848" s="30" t="s">
        <v>21</v>
      </c>
      <c r="J3848" s="41">
        <v>44068</v>
      </c>
      <c r="K3848" s="30" t="s">
        <v>22</v>
      </c>
    </row>
    <row r="3849" spans="1:11">
      <c r="A3849" s="33" t="s">
        <v>9247</v>
      </c>
      <c r="B3849" s="33" t="s">
        <v>9248</v>
      </c>
      <c r="C3849" s="33" t="s">
        <v>5808</v>
      </c>
      <c r="D3849" s="33" t="s">
        <v>17</v>
      </c>
      <c r="E3849" s="33" t="s">
        <v>67</v>
      </c>
      <c r="F3849" s="33" t="s">
        <v>68</v>
      </c>
      <c r="G3849" s="33" t="s">
        <v>20</v>
      </c>
      <c r="H3849" s="35">
        <v>102</v>
      </c>
      <c r="I3849" s="33" t="s">
        <v>21</v>
      </c>
      <c r="J3849" s="42">
        <v>44195</v>
      </c>
      <c r="K3849" s="33" t="s">
        <v>22</v>
      </c>
    </row>
    <row r="3850" spans="1:11">
      <c r="A3850" s="30" t="s">
        <v>9249</v>
      </c>
      <c r="B3850" s="30" t="s">
        <v>9250</v>
      </c>
      <c r="C3850" s="30" t="s">
        <v>102</v>
      </c>
      <c r="D3850" s="30" t="s">
        <v>17</v>
      </c>
      <c r="E3850" s="30" t="s">
        <v>26</v>
      </c>
      <c r="F3850" s="30" t="s">
        <v>27</v>
      </c>
      <c r="G3850" s="30" t="s">
        <v>20</v>
      </c>
      <c r="H3850" s="32">
        <v>78</v>
      </c>
      <c r="I3850" s="30" t="s">
        <v>21</v>
      </c>
      <c r="J3850" s="41">
        <v>44117</v>
      </c>
      <c r="K3850" s="30" t="s">
        <v>22</v>
      </c>
    </row>
    <row r="3851" spans="1:11">
      <c r="A3851" s="33" t="s">
        <v>9251</v>
      </c>
      <c r="B3851" s="33" t="s">
        <v>9252</v>
      </c>
      <c r="C3851" s="33" t="s">
        <v>3989</v>
      </c>
      <c r="D3851" s="33" t="s">
        <v>17</v>
      </c>
      <c r="E3851" s="33" t="s">
        <v>67</v>
      </c>
      <c r="F3851" s="33" t="s">
        <v>68</v>
      </c>
      <c r="G3851" s="33" t="s">
        <v>20</v>
      </c>
      <c r="H3851" s="35">
        <v>209</v>
      </c>
      <c r="I3851" s="33" t="s">
        <v>21</v>
      </c>
      <c r="J3851" s="42">
        <v>44137</v>
      </c>
      <c r="K3851" s="33" t="s">
        <v>22</v>
      </c>
    </row>
    <row r="3852" spans="1:11">
      <c r="A3852" s="30" t="s">
        <v>9253</v>
      </c>
      <c r="B3852" s="30" t="s">
        <v>9254</v>
      </c>
      <c r="C3852" s="30" t="s">
        <v>9255</v>
      </c>
      <c r="D3852" s="30" t="s">
        <v>17</v>
      </c>
      <c r="E3852" s="30" t="s">
        <v>45</v>
      </c>
      <c r="F3852" s="30" t="s">
        <v>46</v>
      </c>
      <c r="G3852" s="30" t="s">
        <v>20</v>
      </c>
      <c r="H3852" s="32">
        <v>220</v>
      </c>
      <c r="I3852" s="30" t="s">
        <v>21</v>
      </c>
      <c r="J3852" s="41">
        <v>43845</v>
      </c>
      <c r="K3852" s="30" t="s">
        <v>22</v>
      </c>
    </row>
    <row r="3853" spans="1:11">
      <c r="A3853" s="33" t="s">
        <v>9256</v>
      </c>
      <c r="B3853" s="33" t="s">
        <v>9257</v>
      </c>
      <c r="C3853" s="33" t="s">
        <v>517</v>
      </c>
      <c r="D3853" s="33" t="s">
        <v>17</v>
      </c>
      <c r="E3853" s="33" t="s">
        <v>26</v>
      </c>
      <c r="F3853" s="33" t="s">
        <v>27</v>
      </c>
      <c r="G3853" s="33" t="s">
        <v>20</v>
      </c>
      <c r="H3853" s="35">
        <v>25</v>
      </c>
      <c r="I3853" s="33" t="s">
        <v>21</v>
      </c>
      <c r="J3853" s="42">
        <v>44151</v>
      </c>
      <c r="K3853" s="33" t="s">
        <v>22</v>
      </c>
    </row>
    <row r="3854" spans="1:11">
      <c r="A3854" s="30" t="s">
        <v>9258</v>
      </c>
      <c r="B3854" s="30" t="s">
        <v>9259</v>
      </c>
      <c r="C3854" s="30" t="s">
        <v>1504</v>
      </c>
      <c r="D3854" s="30" t="s">
        <v>17</v>
      </c>
      <c r="E3854" s="30" t="s">
        <v>31</v>
      </c>
      <c r="F3854" s="30" t="s">
        <v>32</v>
      </c>
      <c r="G3854" s="30" t="s">
        <v>50</v>
      </c>
      <c r="H3854" s="32">
        <v>150</v>
      </c>
      <c r="I3854" s="30" t="s">
        <v>51</v>
      </c>
      <c r="J3854" s="41">
        <v>44194</v>
      </c>
      <c r="K3854" s="30" t="s">
        <v>22</v>
      </c>
    </row>
    <row r="3855" spans="1:11">
      <c r="A3855" s="33" t="s">
        <v>9260</v>
      </c>
      <c r="B3855" s="33" t="s">
        <v>9261</v>
      </c>
      <c r="C3855" s="33" t="s">
        <v>9262</v>
      </c>
      <c r="D3855" s="33" t="s">
        <v>17</v>
      </c>
      <c r="E3855" s="33" t="s">
        <v>18</v>
      </c>
      <c r="F3855" s="33" t="s">
        <v>19</v>
      </c>
      <c r="G3855" s="33" t="s">
        <v>20</v>
      </c>
      <c r="H3855" s="35">
        <v>810</v>
      </c>
      <c r="I3855" s="33" t="s">
        <v>21</v>
      </c>
      <c r="J3855" s="42">
        <v>44117</v>
      </c>
      <c r="K3855" s="33" t="s">
        <v>22</v>
      </c>
    </row>
    <row r="3856" spans="1:11">
      <c r="A3856" s="30" t="s">
        <v>9263</v>
      </c>
      <c r="B3856" s="30" t="s">
        <v>9264</v>
      </c>
      <c r="C3856" s="30" t="s">
        <v>109</v>
      </c>
      <c r="D3856" s="30" t="s">
        <v>17</v>
      </c>
      <c r="E3856" s="30" t="s">
        <v>26</v>
      </c>
      <c r="F3856" s="30" t="s">
        <v>27</v>
      </c>
      <c r="G3856" s="30" t="s">
        <v>106</v>
      </c>
      <c r="H3856" s="32">
        <v>11</v>
      </c>
      <c r="I3856" s="30" t="s">
        <v>21</v>
      </c>
      <c r="J3856" s="41">
        <v>44048</v>
      </c>
      <c r="K3856" s="30" t="s">
        <v>22</v>
      </c>
    </row>
    <row r="3857" spans="1:11">
      <c r="A3857" s="33" t="s">
        <v>9265</v>
      </c>
      <c r="B3857" s="33" t="s">
        <v>9266</v>
      </c>
      <c r="C3857" s="33" t="s">
        <v>701</v>
      </c>
      <c r="D3857" s="33" t="s">
        <v>17</v>
      </c>
      <c r="E3857" s="33" t="s">
        <v>26</v>
      </c>
      <c r="F3857" s="33" t="s">
        <v>27</v>
      </c>
      <c r="G3857" s="33" t="s">
        <v>20</v>
      </c>
      <c r="H3857" s="35">
        <v>80</v>
      </c>
      <c r="I3857" s="33" t="s">
        <v>21</v>
      </c>
      <c r="J3857" s="42">
        <v>44125</v>
      </c>
      <c r="K3857" s="33" t="s">
        <v>22</v>
      </c>
    </row>
    <row r="3858" spans="1:11">
      <c r="A3858" s="30" t="s">
        <v>9267</v>
      </c>
      <c r="B3858" s="30" t="s">
        <v>9268</v>
      </c>
      <c r="C3858" s="30" t="s">
        <v>109</v>
      </c>
      <c r="D3858" s="30" t="s">
        <v>17</v>
      </c>
      <c r="E3858" s="30" t="s">
        <v>18</v>
      </c>
      <c r="F3858" s="30" t="s">
        <v>19</v>
      </c>
      <c r="G3858" s="30" t="s">
        <v>20</v>
      </c>
      <c r="H3858" s="32">
        <v>111</v>
      </c>
      <c r="I3858" s="30" t="s">
        <v>21</v>
      </c>
      <c r="J3858" s="41">
        <v>44123</v>
      </c>
      <c r="K3858" s="30" t="s">
        <v>22</v>
      </c>
    </row>
    <row r="3859" spans="1:11">
      <c r="A3859" s="33" t="s">
        <v>9269</v>
      </c>
      <c r="B3859" s="33" t="s">
        <v>9270</v>
      </c>
      <c r="C3859" s="33" t="s">
        <v>9271</v>
      </c>
      <c r="D3859" s="33" t="s">
        <v>17</v>
      </c>
      <c r="E3859" s="33" t="s">
        <v>31</v>
      </c>
      <c r="F3859" s="33" t="s">
        <v>32</v>
      </c>
      <c r="G3859" s="33" t="s">
        <v>20</v>
      </c>
      <c r="H3859" s="35">
        <v>145</v>
      </c>
      <c r="I3859" s="33" t="s">
        <v>21</v>
      </c>
      <c r="J3859" s="42">
        <v>43847</v>
      </c>
      <c r="K3859" s="33" t="s">
        <v>22</v>
      </c>
    </row>
    <row r="3860" spans="1:11">
      <c r="A3860" s="30" t="s">
        <v>9272</v>
      </c>
      <c r="B3860" s="30" t="s">
        <v>9273</v>
      </c>
      <c r="C3860" s="30" t="s">
        <v>136</v>
      </c>
      <c r="D3860" s="30" t="s">
        <v>17</v>
      </c>
      <c r="E3860" s="30" t="s">
        <v>31</v>
      </c>
      <c r="F3860" s="30" t="s">
        <v>32</v>
      </c>
      <c r="G3860" s="30" t="s">
        <v>20</v>
      </c>
      <c r="H3860" s="32">
        <v>202</v>
      </c>
      <c r="I3860" s="30" t="s">
        <v>21</v>
      </c>
      <c r="J3860" s="41">
        <v>44147</v>
      </c>
      <c r="K3860" s="30" t="s">
        <v>22</v>
      </c>
    </row>
    <row r="3861" spans="1:11">
      <c r="A3861" s="33" t="s">
        <v>9274</v>
      </c>
      <c r="B3861" s="33" t="s">
        <v>9275</v>
      </c>
      <c r="C3861" s="33" t="s">
        <v>969</v>
      </c>
      <c r="D3861" s="33" t="s">
        <v>17</v>
      </c>
      <c r="E3861" s="33" t="s">
        <v>31</v>
      </c>
      <c r="F3861" s="33" t="s">
        <v>32</v>
      </c>
      <c r="G3861" s="33" t="s">
        <v>20</v>
      </c>
      <c r="H3861" s="35">
        <v>1156</v>
      </c>
      <c r="I3861" s="33" t="s">
        <v>21</v>
      </c>
      <c r="J3861" s="42">
        <v>43979</v>
      </c>
      <c r="K3861" s="33" t="s">
        <v>22</v>
      </c>
    </row>
    <row r="3862" spans="1:11">
      <c r="A3862" s="30" t="s">
        <v>9276</v>
      </c>
      <c r="B3862" s="30" t="s">
        <v>9277</v>
      </c>
      <c r="C3862" s="30" t="s">
        <v>3285</v>
      </c>
      <c r="D3862" s="30" t="s">
        <v>17</v>
      </c>
      <c r="E3862" s="30" t="s">
        <v>31</v>
      </c>
      <c r="F3862" s="30" t="s">
        <v>32</v>
      </c>
      <c r="G3862" s="30" t="s">
        <v>50</v>
      </c>
      <c r="H3862" s="32">
        <v>69</v>
      </c>
      <c r="I3862" s="30" t="s">
        <v>51</v>
      </c>
      <c r="J3862" s="41">
        <v>44195</v>
      </c>
      <c r="K3862" s="30" t="s">
        <v>22</v>
      </c>
    </row>
    <row r="3863" spans="1:11">
      <c r="A3863" s="33" t="s">
        <v>9278</v>
      </c>
      <c r="B3863" s="33" t="s">
        <v>9279</v>
      </c>
      <c r="C3863" s="33" t="s">
        <v>1064</v>
      </c>
      <c r="D3863" s="33" t="s">
        <v>17</v>
      </c>
      <c r="E3863" s="33" t="s">
        <v>67</v>
      </c>
      <c r="F3863" s="33" t="s">
        <v>68</v>
      </c>
      <c r="G3863" s="33" t="s">
        <v>106</v>
      </c>
      <c r="H3863" s="35">
        <v>70</v>
      </c>
      <c r="I3863" s="33" t="s">
        <v>21</v>
      </c>
      <c r="J3863" s="42">
        <v>44035</v>
      </c>
      <c r="K3863" s="33" t="s">
        <v>22</v>
      </c>
    </row>
    <row r="3864" spans="1:11">
      <c r="A3864" s="30" t="s">
        <v>9280</v>
      </c>
      <c r="B3864" s="30" t="s">
        <v>9281</v>
      </c>
      <c r="C3864" s="30" t="s">
        <v>4596</v>
      </c>
      <c r="D3864" s="30" t="s">
        <v>17</v>
      </c>
      <c r="E3864" s="30" t="s">
        <v>67</v>
      </c>
      <c r="F3864" s="30" t="s">
        <v>68</v>
      </c>
      <c r="G3864" s="30" t="s">
        <v>106</v>
      </c>
      <c r="H3864" s="32">
        <v>41</v>
      </c>
      <c r="I3864" s="30" t="s">
        <v>21</v>
      </c>
      <c r="J3864" s="41">
        <v>44004</v>
      </c>
      <c r="K3864" s="30" t="s">
        <v>22</v>
      </c>
    </row>
    <row r="3865" spans="1:11">
      <c r="A3865" s="33" t="s">
        <v>9282</v>
      </c>
      <c r="B3865" s="33" t="s">
        <v>9283</v>
      </c>
      <c r="C3865" s="33" t="s">
        <v>2054</v>
      </c>
      <c r="D3865" s="33" t="s">
        <v>17</v>
      </c>
      <c r="E3865" s="33" t="s">
        <v>45</v>
      </c>
      <c r="F3865" s="33" t="s">
        <v>46</v>
      </c>
      <c r="G3865" s="33" t="s">
        <v>20</v>
      </c>
      <c r="H3865" s="35">
        <v>146</v>
      </c>
      <c r="I3865" s="33" t="s">
        <v>21</v>
      </c>
      <c r="J3865" s="42">
        <v>44182</v>
      </c>
      <c r="K3865" s="33" t="s">
        <v>22</v>
      </c>
    </row>
    <row r="3866" spans="1:11">
      <c r="A3866" s="30" t="s">
        <v>9284</v>
      </c>
      <c r="B3866" s="30" t="s">
        <v>9285</v>
      </c>
      <c r="C3866" s="30" t="s">
        <v>9286</v>
      </c>
      <c r="D3866" s="30" t="s">
        <v>17</v>
      </c>
      <c r="E3866" s="30" t="s">
        <v>26</v>
      </c>
      <c r="F3866" s="30" t="s">
        <v>27</v>
      </c>
      <c r="G3866" s="30" t="s">
        <v>20</v>
      </c>
      <c r="H3866" s="32">
        <v>67</v>
      </c>
      <c r="I3866" s="30" t="s">
        <v>21</v>
      </c>
      <c r="J3866" s="41">
        <v>44088</v>
      </c>
      <c r="K3866" s="30" t="s">
        <v>22</v>
      </c>
    </row>
    <row r="3867" spans="1:11">
      <c r="A3867" s="33" t="s">
        <v>9287</v>
      </c>
      <c r="B3867" s="33" t="s">
        <v>9288</v>
      </c>
      <c r="C3867" s="33" t="s">
        <v>8151</v>
      </c>
      <c r="D3867" s="33" t="s">
        <v>17</v>
      </c>
      <c r="E3867" s="33" t="s">
        <v>18</v>
      </c>
      <c r="F3867" s="33" t="s">
        <v>19</v>
      </c>
      <c r="G3867" s="33" t="s">
        <v>2613</v>
      </c>
      <c r="H3867" s="35">
        <v>300</v>
      </c>
      <c r="I3867" s="33" t="s">
        <v>51</v>
      </c>
      <c r="J3867" s="42">
        <v>43934</v>
      </c>
      <c r="K3867" s="33" t="s">
        <v>22</v>
      </c>
    </row>
    <row r="3868" spans="1:11">
      <c r="A3868" s="30" t="s">
        <v>9289</v>
      </c>
      <c r="B3868" s="30" t="s">
        <v>9290</v>
      </c>
      <c r="C3868" s="30" t="s">
        <v>7246</v>
      </c>
      <c r="D3868" s="30" t="s">
        <v>17</v>
      </c>
      <c r="E3868" s="30" t="s">
        <v>26</v>
      </c>
      <c r="F3868" s="30" t="s">
        <v>27</v>
      </c>
      <c r="G3868" s="30" t="s">
        <v>20</v>
      </c>
      <c r="H3868" s="32">
        <v>20</v>
      </c>
      <c r="I3868" s="30" t="s">
        <v>21</v>
      </c>
      <c r="J3868" s="41">
        <v>44089</v>
      </c>
      <c r="K3868" s="30" t="s">
        <v>22</v>
      </c>
    </row>
    <row r="3869" spans="1:11">
      <c r="A3869" s="33" t="s">
        <v>9291</v>
      </c>
      <c r="B3869" s="33" t="s">
        <v>9292</v>
      </c>
      <c r="C3869" s="33" t="s">
        <v>93</v>
      </c>
      <c r="D3869" s="33" t="s">
        <v>17</v>
      </c>
      <c r="E3869" s="33" t="s">
        <v>18</v>
      </c>
      <c r="F3869" s="33" t="s">
        <v>19</v>
      </c>
      <c r="G3869" s="33" t="s">
        <v>20</v>
      </c>
      <c r="H3869" s="35">
        <v>186</v>
      </c>
      <c r="I3869" s="33" t="s">
        <v>21</v>
      </c>
      <c r="J3869" s="42">
        <v>44000</v>
      </c>
      <c r="K3869" s="33" t="s">
        <v>22</v>
      </c>
    </row>
    <row r="3870" spans="1:11">
      <c r="A3870" s="30" t="s">
        <v>9293</v>
      </c>
      <c r="B3870" s="30" t="s">
        <v>9294</v>
      </c>
      <c r="C3870" s="30" t="s">
        <v>483</v>
      </c>
      <c r="D3870" s="30" t="s">
        <v>17</v>
      </c>
      <c r="E3870" s="30" t="s">
        <v>18</v>
      </c>
      <c r="F3870" s="30" t="s">
        <v>19</v>
      </c>
      <c r="G3870" s="30" t="s">
        <v>20</v>
      </c>
      <c r="H3870" s="32">
        <v>434</v>
      </c>
      <c r="I3870" s="30" t="s">
        <v>21</v>
      </c>
      <c r="J3870" s="41">
        <v>44033</v>
      </c>
      <c r="K3870" s="30" t="s">
        <v>22</v>
      </c>
    </row>
    <row r="3871" spans="1:11">
      <c r="A3871" s="33" t="s">
        <v>9295</v>
      </c>
      <c r="B3871" s="33" t="s">
        <v>9296</v>
      </c>
      <c r="C3871" s="33" t="s">
        <v>9297</v>
      </c>
      <c r="D3871" s="33" t="s">
        <v>17</v>
      </c>
      <c r="E3871" s="33" t="s">
        <v>18</v>
      </c>
      <c r="F3871" s="33" t="s">
        <v>19</v>
      </c>
      <c r="G3871" s="33" t="s">
        <v>20</v>
      </c>
      <c r="H3871" s="35">
        <v>77</v>
      </c>
      <c r="I3871" s="33" t="s">
        <v>21</v>
      </c>
      <c r="J3871" s="42">
        <v>43935</v>
      </c>
      <c r="K3871" s="33" t="s">
        <v>22</v>
      </c>
    </row>
    <row r="3872" spans="1:11">
      <c r="A3872" s="30" t="s">
        <v>9298</v>
      </c>
      <c r="B3872" s="30" t="s">
        <v>9299</v>
      </c>
      <c r="C3872" s="30" t="s">
        <v>1058</v>
      </c>
      <c r="D3872" s="30" t="s">
        <v>17</v>
      </c>
      <c r="E3872" s="30" t="s">
        <v>26</v>
      </c>
      <c r="F3872" s="30" t="s">
        <v>27</v>
      </c>
      <c r="G3872" s="30" t="s">
        <v>50</v>
      </c>
      <c r="H3872" s="32">
        <v>30</v>
      </c>
      <c r="I3872" s="30" t="s">
        <v>51</v>
      </c>
      <c r="J3872" s="41">
        <v>43960</v>
      </c>
      <c r="K3872" s="30" t="s">
        <v>22</v>
      </c>
    </row>
    <row r="3873" spans="1:11">
      <c r="A3873" s="33" t="s">
        <v>9300</v>
      </c>
      <c r="B3873" s="33" t="s">
        <v>9301</v>
      </c>
      <c r="C3873" s="33" t="s">
        <v>231</v>
      </c>
      <c r="D3873" s="33" t="s">
        <v>17</v>
      </c>
      <c r="E3873" s="33" t="s">
        <v>26</v>
      </c>
      <c r="F3873" s="33" t="s">
        <v>27</v>
      </c>
      <c r="G3873" s="33" t="s">
        <v>20</v>
      </c>
      <c r="H3873" s="35">
        <v>42</v>
      </c>
      <c r="I3873" s="33" t="s">
        <v>21</v>
      </c>
      <c r="J3873" s="42">
        <v>44046</v>
      </c>
      <c r="K3873" s="33" t="s">
        <v>22</v>
      </c>
    </row>
    <row r="3874" spans="1:11">
      <c r="A3874" s="30" t="s">
        <v>9302</v>
      </c>
      <c r="B3874" s="30" t="s">
        <v>9303</v>
      </c>
      <c r="C3874" s="30" t="s">
        <v>450</v>
      </c>
      <c r="D3874" s="30" t="s">
        <v>17</v>
      </c>
      <c r="E3874" s="30" t="s">
        <v>26</v>
      </c>
      <c r="F3874" s="30" t="s">
        <v>27</v>
      </c>
      <c r="G3874" s="30" t="s">
        <v>20</v>
      </c>
      <c r="H3874" s="32">
        <v>27</v>
      </c>
      <c r="I3874" s="30" t="s">
        <v>21</v>
      </c>
      <c r="J3874" s="41">
        <v>43882</v>
      </c>
      <c r="K3874" s="30" t="s">
        <v>22</v>
      </c>
    </row>
    <row r="3875" spans="1:11">
      <c r="A3875" s="33" t="s">
        <v>9304</v>
      </c>
      <c r="B3875" s="33" t="s">
        <v>9305</v>
      </c>
      <c r="C3875" s="33" t="s">
        <v>9306</v>
      </c>
      <c r="D3875" s="33" t="s">
        <v>17</v>
      </c>
      <c r="E3875" s="33" t="s">
        <v>67</v>
      </c>
      <c r="F3875" s="33" t="s">
        <v>68</v>
      </c>
      <c r="G3875" s="33" t="s">
        <v>20</v>
      </c>
      <c r="H3875" s="35">
        <v>123</v>
      </c>
      <c r="I3875" s="33" t="s">
        <v>21</v>
      </c>
      <c r="J3875" s="42">
        <v>44118</v>
      </c>
      <c r="K3875" s="33" t="s">
        <v>22</v>
      </c>
    </row>
    <row r="3876" spans="1:11">
      <c r="A3876" s="30" t="s">
        <v>9307</v>
      </c>
      <c r="B3876" s="30" t="s">
        <v>9308</v>
      </c>
      <c r="C3876" s="30" t="s">
        <v>3922</v>
      </c>
      <c r="D3876" s="30" t="s">
        <v>17</v>
      </c>
      <c r="E3876" s="30" t="s">
        <v>26</v>
      </c>
      <c r="F3876" s="30" t="s">
        <v>27</v>
      </c>
      <c r="G3876" s="30" t="s">
        <v>20</v>
      </c>
      <c r="H3876" s="32">
        <v>59</v>
      </c>
      <c r="I3876" s="30" t="s">
        <v>21</v>
      </c>
      <c r="J3876" s="41">
        <v>44182</v>
      </c>
      <c r="K3876" s="30" t="s">
        <v>22</v>
      </c>
    </row>
    <row r="3877" spans="1:11">
      <c r="A3877" s="33" t="s">
        <v>9309</v>
      </c>
      <c r="B3877" s="33" t="s">
        <v>9310</v>
      </c>
      <c r="C3877" s="33" t="s">
        <v>3757</v>
      </c>
      <c r="D3877" s="33" t="s">
        <v>17</v>
      </c>
      <c r="E3877" s="33" t="s">
        <v>31</v>
      </c>
      <c r="F3877" s="33" t="s">
        <v>32</v>
      </c>
      <c r="G3877" s="33" t="s">
        <v>20</v>
      </c>
      <c r="H3877" s="35">
        <v>78</v>
      </c>
      <c r="I3877" s="33" t="s">
        <v>21</v>
      </c>
      <c r="J3877" s="42">
        <v>44036</v>
      </c>
      <c r="K3877" s="33" t="s">
        <v>22</v>
      </c>
    </row>
    <row r="3878" spans="1:11">
      <c r="A3878" s="30" t="s">
        <v>9311</v>
      </c>
      <c r="B3878" s="30" t="s">
        <v>9312</v>
      </c>
      <c r="C3878" s="30" t="s">
        <v>3770</v>
      </c>
      <c r="D3878" s="30" t="s">
        <v>17</v>
      </c>
      <c r="E3878" s="30" t="s">
        <v>31</v>
      </c>
      <c r="F3878" s="30" t="s">
        <v>32</v>
      </c>
      <c r="G3878" s="30" t="s">
        <v>20</v>
      </c>
      <c r="H3878" s="32">
        <v>86</v>
      </c>
      <c r="I3878" s="30" t="s">
        <v>21</v>
      </c>
      <c r="J3878" s="41">
        <v>44147</v>
      </c>
      <c r="K3878" s="30" t="s">
        <v>22</v>
      </c>
    </row>
    <row r="3879" spans="1:11">
      <c r="A3879" s="33" t="s">
        <v>9313</v>
      </c>
      <c r="B3879" s="33" t="s">
        <v>9314</v>
      </c>
      <c r="C3879" s="33" t="s">
        <v>75</v>
      </c>
      <c r="D3879" s="33" t="s">
        <v>17</v>
      </c>
      <c r="E3879" s="33" t="s">
        <v>31</v>
      </c>
      <c r="F3879" s="33" t="s">
        <v>32</v>
      </c>
      <c r="G3879" s="33" t="s">
        <v>20</v>
      </c>
      <c r="H3879" s="35">
        <v>25</v>
      </c>
      <c r="I3879" s="33" t="s">
        <v>21</v>
      </c>
      <c r="J3879" s="42">
        <v>44141</v>
      </c>
      <c r="K3879" s="33" t="s">
        <v>22</v>
      </c>
    </row>
    <row r="3880" spans="1:11">
      <c r="A3880" s="30" t="s">
        <v>9315</v>
      </c>
      <c r="B3880" s="30" t="s">
        <v>9316</v>
      </c>
      <c r="C3880" s="30" t="s">
        <v>136</v>
      </c>
      <c r="D3880" s="30" t="s">
        <v>17</v>
      </c>
      <c r="E3880" s="30" t="s">
        <v>26</v>
      </c>
      <c r="F3880" s="30" t="s">
        <v>27</v>
      </c>
      <c r="G3880" s="30" t="s">
        <v>20</v>
      </c>
      <c r="H3880" s="32">
        <v>67</v>
      </c>
      <c r="I3880" s="30" t="s">
        <v>21</v>
      </c>
      <c r="J3880" s="41">
        <v>44160</v>
      </c>
      <c r="K3880" s="30" t="s">
        <v>22</v>
      </c>
    </row>
    <row r="3881" spans="1:11">
      <c r="A3881" s="33" t="s">
        <v>9317</v>
      </c>
      <c r="B3881" s="33" t="s">
        <v>9318</v>
      </c>
      <c r="C3881" s="33" t="s">
        <v>187</v>
      </c>
      <c r="D3881" s="33" t="s">
        <v>17</v>
      </c>
      <c r="E3881" s="33" t="s">
        <v>26</v>
      </c>
      <c r="F3881" s="33" t="s">
        <v>27</v>
      </c>
      <c r="G3881" s="33" t="s">
        <v>50</v>
      </c>
      <c r="H3881" s="35">
        <v>96</v>
      </c>
      <c r="I3881" s="33" t="s">
        <v>51</v>
      </c>
      <c r="J3881" s="42">
        <v>44067</v>
      </c>
      <c r="K3881" s="33" t="s">
        <v>22</v>
      </c>
    </row>
    <row r="3882" spans="1:11">
      <c r="A3882" s="30" t="s">
        <v>9319</v>
      </c>
      <c r="B3882" s="30" t="s">
        <v>9320</v>
      </c>
      <c r="C3882" s="30" t="s">
        <v>3504</v>
      </c>
      <c r="D3882" s="30" t="s">
        <v>17</v>
      </c>
      <c r="E3882" s="30" t="s">
        <v>18</v>
      </c>
      <c r="F3882" s="30" t="s">
        <v>19</v>
      </c>
      <c r="G3882" s="30" t="s">
        <v>20</v>
      </c>
      <c r="H3882" s="32">
        <v>355</v>
      </c>
      <c r="I3882" s="30" t="s">
        <v>21</v>
      </c>
      <c r="J3882" s="41">
        <v>43856</v>
      </c>
      <c r="K3882" s="30" t="s">
        <v>22</v>
      </c>
    </row>
    <row r="3883" spans="1:11">
      <c r="A3883" s="33" t="s">
        <v>9321</v>
      </c>
      <c r="B3883" s="33" t="s">
        <v>9322</v>
      </c>
      <c r="C3883" s="33" t="s">
        <v>2313</v>
      </c>
      <c r="D3883" s="33" t="s">
        <v>17</v>
      </c>
      <c r="E3883" s="33" t="s">
        <v>26</v>
      </c>
      <c r="F3883" s="33" t="s">
        <v>27</v>
      </c>
      <c r="G3883" s="33" t="s">
        <v>20</v>
      </c>
      <c r="H3883" s="35">
        <v>18</v>
      </c>
      <c r="I3883" s="33" t="s">
        <v>21</v>
      </c>
      <c r="J3883" s="42">
        <v>43896</v>
      </c>
      <c r="K3883" s="33" t="s">
        <v>22</v>
      </c>
    </row>
    <row r="3884" spans="1:11">
      <c r="A3884" s="30" t="s">
        <v>9323</v>
      </c>
      <c r="B3884" s="30" t="s">
        <v>9324</v>
      </c>
      <c r="C3884" s="30" t="s">
        <v>5907</v>
      </c>
      <c r="D3884" s="30" t="s">
        <v>17</v>
      </c>
      <c r="E3884" s="30" t="s">
        <v>67</v>
      </c>
      <c r="F3884" s="30" t="s">
        <v>68</v>
      </c>
      <c r="G3884" s="30" t="s">
        <v>20</v>
      </c>
      <c r="H3884" s="32">
        <v>23</v>
      </c>
      <c r="I3884" s="30" t="s">
        <v>21</v>
      </c>
      <c r="J3884" s="41">
        <v>44007</v>
      </c>
      <c r="K3884" s="30" t="s">
        <v>22</v>
      </c>
    </row>
    <row r="3885" spans="1:11">
      <c r="A3885" s="33" t="s">
        <v>9325</v>
      </c>
      <c r="B3885" s="33" t="s">
        <v>9326</v>
      </c>
      <c r="C3885" s="33" t="s">
        <v>9327</v>
      </c>
      <c r="D3885" s="33" t="s">
        <v>17</v>
      </c>
      <c r="E3885" s="33" t="s">
        <v>31</v>
      </c>
      <c r="F3885" s="33" t="s">
        <v>32</v>
      </c>
      <c r="G3885" s="33" t="s">
        <v>50</v>
      </c>
      <c r="H3885" s="35">
        <v>105</v>
      </c>
      <c r="I3885" s="33" t="s">
        <v>51</v>
      </c>
      <c r="J3885" s="42">
        <v>43891</v>
      </c>
      <c r="K3885" s="33" t="s">
        <v>22</v>
      </c>
    </row>
    <row r="3886" spans="1:11">
      <c r="A3886" s="30" t="s">
        <v>9328</v>
      </c>
      <c r="B3886" s="30" t="s">
        <v>9329</v>
      </c>
      <c r="C3886" s="30" t="s">
        <v>2883</v>
      </c>
      <c r="D3886" s="30" t="s">
        <v>17</v>
      </c>
      <c r="E3886" s="30" t="s">
        <v>18</v>
      </c>
      <c r="F3886" s="30" t="s">
        <v>19</v>
      </c>
      <c r="G3886" s="30" t="s">
        <v>50</v>
      </c>
      <c r="H3886" s="32">
        <v>104</v>
      </c>
      <c r="I3886" s="30" t="s">
        <v>51</v>
      </c>
      <c r="J3886" s="41">
        <v>43909</v>
      </c>
      <c r="K3886" s="30" t="s">
        <v>22</v>
      </c>
    </row>
    <row r="3887" spans="1:11">
      <c r="A3887" s="33" t="s">
        <v>9330</v>
      </c>
      <c r="B3887" s="33" t="s">
        <v>9331</v>
      </c>
      <c r="C3887" s="33" t="s">
        <v>570</v>
      </c>
      <c r="D3887" s="33" t="s">
        <v>17</v>
      </c>
      <c r="E3887" s="33" t="s">
        <v>26</v>
      </c>
      <c r="F3887" s="33" t="s">
        <v>27</v>
      </c>
      <c r="G3887" s="33" t="s">
        <v>50</v>
      </c>
      <c r="H3887" s="35">
        <v>300</v>
      </c>
      <c r="I3887" s="33" t="s">
        <v>51</v>
      </c>
      <c r="J3887" s="42">
        <v>44141</v>
      </c>
      <c r="K3887" s="33" t="s">
        <v>22</v>
      </c>
    </row>
    <row r="3888" spans="1:11">
      <c r="A3888" s="30" t="s">
        <v>9332</v>
      </c>
      <c r="B3888" s="30" t="s">
        <v>9333</v>
      </c>
      <c r="C3888" s="30" t="s">
        <v>6325</v>
      </c>
      <c r="D3888" s="30" t="s">
        <v>17</v>
      </c>
      <c r="E3888" s="30" t="s">
        <v>31</v>
      </c>
      <c r="F3888" s="30" t="s">
        <v>32</v>
      </c>
      <c r="G3888" s="30" t="s">
        <v>20</v>
      </c>
      <c r="H3888" s="32">
        <v>113</v>
      </c>
      <c r="I3888" s="30" t="s">
        <v>21</v>
      </c>
      <c r="J3888" s="41">
        <v>44021</v>
      </c>
      <c r="K3888" s="30" t="s">
        <v>22</v>
      </c>
    </row>
    <row r="3889" spans="1:11">
      <c r="A3889" s="33" t="s">
        <v>9334</v>
      </c>
      <c r="B3889" s="33" t="s">
        <v>9335</v>
      </c>
      <c r="C3889" s="33" t="s">
        <v>9336</v>
      </c>
      <c r="D3889" s="33" t="s">
        <v>17</v>
      </c>
      <c r="E3889" s="33" t="s">
        <v>67</v>
      </c>
      <c r="F3889" s="33" t="s">
        <v>68</v>
      </c>
      <c r="G3889" s="33" t="s">
        <v>20</v>
      </c>
      <c r="H3889" s="35">
        <v>17</v>
      </c>
      <c r="I3889" s="33" t="s">
        <v>21</v>
      </c>
      <c r="J3889" s="42">
        <v>44188</v>
      </c>
      <c r="K3889" s="33" t="s">
        <v>22</v>
      </c>
    </row>
    <row r="3890" spans="1:11">
      <c r="A3890" s="30" t="s">
        <v>9337</v>
      </c>
      <c r="B3890" s="30" t="s">
        <v>9338</v>
      </c>
      <c r="C3890" s="30" t="s">
        <v>2022</v>
      </c>
      <c r="D3890" s="30" t="s">
        <v>17</v>
      </c>
      <c r="E3890" s="30" t="s">
        <v>26</v>
      </c>
      <c r="F3890" s="30" t="s">
        <v>27</v>
      </c>
      <c r="G3890" s="30" t="s">
        <v>20</v>
      </c>
      <c r="H3890" s="32">
        <v>24</v>
      </c>
      <c r="I3890" s="30" t="s">
        <v>21</v>
      </c>
      <c r="J3890" s="41">
        <v>43853</v>
      </c>
      <c r="K3890" s="30" t="s">
        <v>22</v>
      </c>
    </row>
    <row r="3891" spans="1:11">
      <c r="A3891" s="33" t="s">
        <v>9339</v>
      </c>
      <c r="B3891" s="33" t="s">
        <v>9340</v>
      </c>
      <c r="C3891" s="33" t="s">
        <v>2354</v>
      </c>
      <c r="D3891" s="33" t="s">
        <v>17</v>
      </c>
      <c r="E3891" s="33" t="s">
        <v>31</v>
      </c>
      <c r="F3891" s="33" t="s">
        <v>32</v>
      </c>
      <c r="G3891" s="33" t="s">
        <v>20</v>
      </c>
      <c r="H3891" s="35">
        <v>35</v>
      </c>
      <c r="I3891" s="33" t="s">
        <v>21</v>
      </c>
      <c r="J3891" s="42">
        <v>44105</v>
      </c>
      <c r="K3891" s="33" t="s">
        <v>22</v>
      </c>
    </row>
    <row r="3892" spans="1:11">
      <c r="A3892" s="30" t="s">
        <v>9341</v>
      </c>
      <c r="B3892" s="30" t="s">
        <v>9342</v>
      </c>
      <c r="C3892" s="30" t="s">
        <v>9343</v>
      </c>
      <c r="D3892" s="30" t="s">
        <v>17</v>
      </c>
      <c r="E3892" s="30" t="s">
        <v>26</v>
      </c>
      <c r="F3892" s="30" t="s">
        <v>27</v>
      </c>
      <c r="G3892" s="30" t="s">
        <v>20</v>
      </c>
      <c r="H3892" s="32">
        <v>57</v>
      </c>
      <c r="I3892" s="30" t="s">
        <v>21</v>
      </c>
      <c r="J3892" s="41">
        <v>43874</v>
      </c>
      <c r="K3892" s="30" t="s">
        <v>22</v>
      </c>
    </row>
    <row r="3893" spans="1:11">
      <c r="A3893" s="33" t="s">
        <v>9344</v>
      </c>
      <c r="B3893" s="33" t="s">
        <v>9345</v>
      </c>
      <c r="C3893" s="33" t="s">
        <v>329</v>
      </c>
      <c r="D3893" s="33" t="s">
        <v>17</v>
      </c>
      <c r="E3893" s="33" t="s">
        <v>26</v>
      </c>
      <c r="F3893" s="33" t="s">
        <v>27</v>
      </c>
      <c r="G3893" s="33" t="s">
        <v>20</v>
      </c>
      <c r="H3893" s="35">
        <v>237</v>
      </c>
      <c r="I3893" s="33" t="s">
        <v>21</v>
      </c>
      <c r="J3893" s="42">
        <v>43969</v>
      </c>
      <c r="K3893" s="33" t="s">
        <v>22</v>
      </c>
    </row>
    <row r="3894" spans="1:11">
      <c r="A3894" s="30" t="s">
        <v>9346</v>
      </c>
      <c r="B3894" s="30" t="s">
        <v>9347</v>
      </c>
      <c r="C3894" s="30" t="s">
        <v>9348</v>
      </c>
      <c r="D3894" s="30" t="s">
        <v>17</v>
      </c>
      <c r="E3894" s="30" t="s">
        <v>26</v>
      </c>
      <c r="F3894" s="30" t="s">
        <v>27</v>
      </c>
      <c r="G3894" s="30" t="s">
        <v>20</v>
      </c>
      <c r="H3894" s="32">
        <v>17</v>
      </c>
      <c r="I3894" s="30" t="s">
        <v>21</v>
      </c>
      <c r="J3894" s="41">
        <v>44194</v>
      </c>
      <c r="K3894" s="30" t="s">
        <v>22</v>
      </c>
    </row>
    <row r="3895" spans="1:11">
      <c r="A3895" s="33" t="s">
        <v>9349</v>
      </c>
      <c r="B3895" s="33" t="s">
        <v>9350</v>
      </c>
      <c r="C3895" s="33" t="s">
        <v>9351</v>
      </c>
      <c r="D3895" s="33" t="s">
        <v>17</v>
      </c>
      <c r="E3895" s="33" t="s">
        <v>26</v>
      </c>
      <c r="F3895" s="33" t="s">
        <v>27</v>
      </c>
      <c r="G3895" s="33" t="s">
        <v>20</v>
      </c>
      <c r="H3895" s="35">
        <v>98</v>
      </c>
      <c r="I3895" s="33" t="s">
        <v>21</v>
      </c>
      <c r="J3895" s="42">
        <v>44053</v>
      </c>
      <c r="K3895" s="33" t="s">
        <v>22</v>
      </c>
    </row>
    <row r="3896" spans="1:11">
      <c r="A3896" s="30" t="s">
        <v>9352</v>
      </c>
      <c r="B3896" s="30" t="s">
        <v>9353</v>
      </c>
      <c r="C3896" s="30" t="s">
        <v>149</v>
      </c>
      <c r="D3896" s="30" t="s">
        <v>17</v>
      </c>
      <c r="E3896" s="30" t="s">
        <v>31</v>
      </c>
      <c r="F3896" s="30" t="s">
        <v>32</v>
      </c>
      <c r="G3896" s="30" t="s">
        <v>50</v>
      </c>
      <c r="H3896" s="32">
        <v>108</v>
      </c>
      <c r="I3896" s="30" t="s">
        <v>21</v>
      </c>
      <c r="J3896" s="41">
        <v>44182</v>
      </c>
      <c r="K3896" s="30" t="s">
        <v>22</v>
      </c>
    </row>
    <row r="3897" spans="1:11">
      <c r="A3897" s="33" t="s">
        <v>9354</v>
      </c>
      <c r="B3897" s="33" t="s">
        <v>9355</v>
      </c>
      <c r="C3897" s="33" t="s">
        <v>9356</v>
      </c>
      <c r="D3897" s="33" t="s">
        <v>17</v>
      </c>
      <c r="E3897" s="33" t="s">
        <v>31</v>
      </c>
      <c r="F3897" s="33" t="s">
        <v>32</v>
      </c>
      <c r="G3897" s="33" t="s">
        <v>20</v>
      </c>
      <c r="H3897" s="35">
        <v>3</v>
      </c>
      <c r="I3897" s="33" t="s">
        <v>21</v>
      </c>
      <c r="J3897" s="42">
        <v>43864</v>
      </c>
      <c r="K3897" s="33" t="s">
        <v>22</v>
      </c>
    </row>
    <row r="3898" spans="1:11">
      <c r="A3898" s="30" t="s">
        <v>9357</v>
      </c>
      <c r="B3898" s="30" t="s">
        <v>9358</v>
      </c>
      <c r="C3898" s="30" t="s">
        <v>1165</v>
      </c>
      <c r="D3898" s="30" t="s">
        <v>17</v>
      </c>
      <c r="E3898" s="30" t="s">
        <v>18</v>
      </c>
      <c r="F3898" s="30" t="s">
        <v>19</v>
      </c>
      <c r="G3898" s="30" t="s">
        <v>20</v>
      </c>
      <c r="H3898" s="32">
        <v>222</v>
      </c>
      <c r="I3898" s="30" t="s">
        <v>21</v>
      </c>
      <c r="J3898" s="41">
        <v>44166</v>
      </c>
      <c r="K3898" s="30" t="s">
        <v>22</v>
      </c>
    </row>
    <row r="3899" spans="1:11">
      <c r="A3899" s="33" t="s">
        <v>9359</v>
      </c>
      <c r="B3899" s="33" t="s">
        <v>9360</v>
      </c>
      <c r="C3899" s="33" t="s">
        <v>4468</v>
      </c>
      <c r="D3899" s="33" t="s">
        <v>17</v>
      </c>
      <c r="E3899" s="33" t="s">
        <v>31</v>
      </c>
      <c r="F3899" s="33" t="s">
        <v>32</v>
      </c>
      <c r="G3899" s="33" t="s">
        <v>106</v>
      </c>
      <c r="H3899" s="35">
        <v>10</v>
      </c>
      <c r="I3899" s="33" t="s">
        <v>21</v>
      </c>
      <c r="J3899" s="42">
        <v>44185</v>
      </c>
      <c r="K3899" s="33" t="s">
        <v>22</v>
      </c>
    </row>
    <row r="3900" spans="1:11">
      <c r="A3900" s="30" t="s">
        <v>9361</v>
      </c>
      <c r="B3900" s="30" t="s">
        <v>9362</v>
      </c>
      <c r="C3900" s="30" t="s">
        <v>1250</v>
      </c>
      <c r="D3900" s="30" t="s">
        <v>17</v>
      </c>
      <c r="E3900" s="30" t="s">
        <v>31</v>
      </c>
      <c r="F3900" s="30" t="s">
        <v>32</v>
      </c>
      <c r="G3900" s="30" t="s">
        <v>106</v>
      </c>
      <c r="H3900" s="32">
        <v>2</v>
      </c>
      <c r="I3900" s="30" t="s">
        <v>21</v>
      </c>
      <c r="J3900" s="41">
        <v>44146</v>
      </c>
      <c r="K3900" s="30" t="s">
        <v>22</v>
      </c>
    </row>
    <row r="3901" spans="1:11">
      <c r="A3901" s="33" t="s">
        <v>9363</v>
      </c>
      <c r="B3901" s="33" t="s">
        <v>9364</v>
      </c>
      <c r="C3901" s="33" t="s">
        <v>718</v>
      </c>
      <c r="D3901" s="33" t="s">
        <v>17</v>
      </c>
      <c r="E3901" s="33" t="s">
        <v>31</v>
      </c>
      <c r="F3901" s="33" t="s">
        <v>32</v>
      </c>
      <c r="G3901" s="33" t="s">
        <v>50</v>
      </c>
      <c r="H3901" s="35">
        <v>105</v>
      </c>
      <c r="I3901" s="33" t="s">
        <v>51</v>
      </c>
      <c r="J3901" s="42">
        <v>44136</v>
      </c>
      <c r="K3901" s="33" t="s">
        <v>22</v>
      </c>
    </row>
    <row r="3902" spans="1:11">
      <c r="A3902" s="30" t="s">
        <v>9365</v>
      </c>
      <c r="B3902" s="30" t="s">
        <v>9366</v>
      </c>
      <c r="C3902" s="30" t="s">
        <v>9367</v>
      </c>
      <c r="D3902" s="30" t="s">
        <v>17</v>
      </c>
      <c r="E3902" s="30" t="s">
        <v>31</v>
      </c>
      <c r="F3902" s="30" t="s">
        <v>32</v>
      </c>
      <c r="G3902" s="30" t="s">
        <v>20</v>
      </c>
      <c r="H3902" s="32">
        <v>208</v>
      </c>
      <c r="I3902" s="30" t="s">
        <v>21</v>
      </c>
      <c r="J3902" s="41">
        <v>44006</v>
      </c>
      <c r="K3902" s="30" t="s">
        <v>22</v>
      </c>
    </row>
    <row r="3903" spans="1:11">
      <c r="A3903" s="33" t="s">
        <v>9368</v>
      </c>
      <c r="B3903" s="33" t="s">
        <v>9369</v>
      </c>
      <c r="C3903" s="33" t="s">
        <v>1583</v>
      </c>
      <c r="D3903" s="33" t="s">
        <v>17</v>
      </c>
      <c r="E3903" s="33" t="s">
        <v>18</v>
      </c>
      <c r="F3903" s="33" t="s">
        <v>19</v>
      </c>
      <c r="G3903" s="33" t="s">
        <v>158</v>
      </c>
      <c r="H3903" s="35">
        <v>239</v>
      </c>
      <c r="I3903" s="33" t="s">
        <v>21</v>
      </c>
      <c r="J3903" s="42">
        <v>44063</v>
      </c>
      <c r="K3903" s="33" t="s">
        <v>22</v>
      </c>
    </row>
    <row r="3904" spans="1:11">
      <c r="A3904" s="30" t="s">
        <v>9370</v>
      </c>
      <c r="B3904" s="30" t="s">
        <v>9371</v>
      </c>
      <c r="C3904" s="30" t="s">
        <v>8115</v>
      </c>
      <c r="D3904" s="30" t="s">
        <v>17</v>
      </c>
      <c r="E3904" s="30" t="s">
        <v>31</v>
      </c>
      <c r="F3904" s="30" t="s">
        <v>32</v>
      </c>
      <c r="G3904" s="30" t="s">
        <v>20</v>
      </c>
      <c r="H3904" s="32">
        <v>148</v>
      </c>
      <c r="I3904" s="30" t="s">
        <v>21</v>
      </c>
      <c r="J3904" s="41">
        <v>43945</v>
      </c>
      <c r="K3904" s="30" t="s">
        <v>22</v>
      </c>
    </row>
    <row r="3905" spans="1:11">
      <c r="A3905" s="33" t="s">
        <v>9372</v>
      </c>
      <c r="B3905" s="33" t="s">
        <v>9373</v>
      </c>
      <c r="C3905" s="33" t="s">
        <v>9374</v>
      </c>
      <c r="D3905" s="33" t="s">
        <v>17</v>
      </c>
      <c r="E3905" s="33" t="s">
        <v>26</v>
      </c>
      <c r="F3905" s="33" t="s">
        <v>27</v>
      </c>
      <c r="G3905" s="33" t="s">
        <v>20</v>
      </c>
      <c r="H3905" s="35">
        <v>72</v>
      </c>
      <c r="I3905" s="33" t="s">
        <v>21</v>
      </c>
      <c r="J3905" s="42">
        <v>43945</v>
      </c>
      <c r="K3905" s="33" t="s">
        <v>22</v>
      </c>
    </row>
    <row r="3906" spans="1:11">
      <c r="A3906" s="30" t="s">
        <v>9375</v>
      </c>
      <c r="B3906" s="30" t="s">
        <v>9376</v>
      </c>
      <c r="C3906" s="30" t="s">
        <v>178</v>
      </c>
      <c r="D3906" s="30" t="s">
        <v>17</v>
      </c>
      <c r="E3906" s="30" t="s">
        <v>26</v>
      </c>
      <c r="F3906" s="30" t="s">
        <v>27</v>
      </c>
      <c r="G3906" s="30" t="s">
        <v>20</v>
      </c>
      <c r="H3906" s="32">
        <v>56</v>
      </c>
      <c r="I3906" s="30" t="s">
        <v>21</v>
      </c>
      <c r="J3906" s="41">
        <v>43865</v>
      </c>
      <c r="K3906" s="30" t="s">
        <v>22</v>
      </c>
    </row>
    <row r="3907" spans="1:11">
      <c r="A3907" s="33" t="s">
        <v>9377</v>
      </c>
      <c r="B3907" s="33" t="s">
        <v>9378</v>
      </c>
      <c r="C3907" s="33" t="s">
        <v>5050</v>
      </c>
      <c r="D3907" s="33" t="s">
        <v>17</v>
      </c>
      <c r="E3907" s="33" t="s">
        <v>26</v>
      </c>
      <c r="F3907" s="33" t="s">
        <v>27</v>
      </c>
      <c r="G3907" s="33" t="s">
        <v>20</v>
      </c>
      <c r="H3907" s="35">
        <v>30</v>
      </c>
      <c r="I3907" s="33" t="s">
        <v>21</v>
      </c>
      <c r="J3907" s="42">
        <v>43932</v>
      </c>
      <c r="K3907" s="33" t="s">
        <v>22</v>
      </c>
    </row>
    <row r="3908" spans="1:11">
      <c r="A3908" s="30" t="s">
        <v>9379</v>
      </c>
      <c r="B3908" s="30" t="s">
        <v>9380</v>
      </c>
      <c r="C3908" s="30" t="s">
        <v>149</v>
      </c>
      <c r="D3908" s="30" t="s">
        <v>17</v>
      </c>
      <c r="E3908" s="30" t="s">
        <v>18</v>
      </c>
      <c r="F3908" s="30" t="s">
        <v>19</v>
      </c>
      <c r="G3908" s="30" t="s">
        <v>20</v>
      </c>
      <c r="H3908" s="32">
        <v>566</v>
      </c>
      <c r="I3908" s="30" t="s">
        <v>21</v>
      </c>
      <c r="J3908" s="41">
        <v>44043</v>
      </c>
      <c r="K3908" s="30" t="s">
        <v>22</v>
      </c>
    </row>
    <row r="3909" spans="1:11">
      <c r="A3909" s="33" t="s">
        <v>9381</v>
      </c>
      <c r="B3909" s="33" t="s">
        <v>9382</v>
      </c>
      <c r="C3909" s="33" t="s">
        <v>1267</v>
      </c>
      <c r="D3909" s="33" t="s">
        <v>17</v>
      </c>
      <c r="E3909" s="33" t="s">
        <v>31</v>
      </c>
      <c r="F3909" s="33" t="s">
        <v>32</v>
      </c>
      <c r="G3909" s="33" t="s">
        <v>20</v>
      </c>
      <c r="H3909" s="35">
        <v>151</v>
      </c>
      <c r="I3909" s="33" t="s">
        <v>21</v>
      </c>
      <c r="J3909" s="42">
        <v>43979</v>
      </c>
      <c r="K3909" s="33" t="s">
        <v>22</v>
      </c>
    </row>
    <row r="3910" spans="1:11">
      <c r="A3910" s="30" t="s">
        <v>9383</v>
      </c>
      <c r="B3910" s="30" t="s">
        <v>9384</v>
      </c>
      <c r="C3910" s="30" t="s">
        <v>9385</v>
      </c>
      <c r="D3910" s="30" t="s">
        <v>17</v>
      </c>
      <c r="E3910" s="30" t="s">
        <v>31</v>
      </c>
      <c r="F3910" s="30" t="s">
        <v>32</v>
      </c>
      <c r="G3910" s="30" t="s">
        <v>20</v>
      </c>
      <c r="H3910" s="32">
        <v>57</v>
      </c>
      <c r="I3910" s="30" t="s">
        <v>21</v>
      </c>
      <c r="J3910" s="41">
        <v>43994</v>
      </c>
      <c r="K3910" s="30" t="s">
        <v>22</v>
      </c>
    </row>
    <row r="3911" spans="1:11">
      <c r="A3911" s="33" t="s">
        <v>9386</v>
      </c>
      <c r="B3911" s="33" t="s">
        <v>9387</v>
      </c>
      <c r="C3911" s="33" t="s">
        <v>118</v>
      </c>
      <c r="D3911" s="33" t="s">
        <v>17</v>
      </c>
      <c r="E3911" s="33" t="s">
        <v>212</v>
      </c>
      <c r="F3911" s="33" t="s">
        <v>213</v>
      </c>
      <c r="G3911" s="33" t="s">
        <v>20</v>
      </c>
      <c r="H3911" s="35">
        <v>45</v>
      </c>
      <c r="I3911" s="33" t="s">
        <v>21</v>
      </c>
      <c r="J3911" s="42">
        <v>44096</v>
      </c>
      <c r="K3911" s="33" t="s">
        <v>22</v>
      </c>
    </row>
    <row r="3912" spans="1:11">
      <c r="A3912" s="30" t="s">
        <v>9388</v>
      </c>
      <c r="B3912" s="30" t="s">
        <v>9389</v>
      </c>
      <c r="C3912" s="30" t="s">
        <v>8979</v>
      </c>
      <c r="D3912" s="30" t="s">
        <v>17</v>
      </c>
      <c r="E3912" s="30" t="s">
        <v>18</v>
      </c>
      <c r="F3912" s="30" t="s">
        <v>19</v>
      </c>
      <c r="G3912" s="30" t="s">
        <v>20</v>
      </c>
      <c r="H3912" s="32">
        <v>363</v>
      </c>
      <c r="I3912" s="30" t="s">
        <v>21</v>
      </c>
      <c r="J3912" s="41">
        <v>44155</v>
      </c>
      <c r="K3912" s="30" t="s">
        <v>22</v>
      </c>
    </row>
    <row r="3913" spans="1:11">
      <c r="A3913" s="33" t="s">
        <v>9390</v>
      </c>
      <c r="B3913" s="33" t="s">
        <v>9391</v>
      </c>
      <c r="C3913" s="33" t="s">
        <v>96</v>
      </c>
      <c r="D3913" s="33" t="s">
        <v>17</v>
      </c>
      <c r="E3913" s="33" t="s">
        <v>18</v>
      </c>
      <c r="F3913" s="33" t="s">
        <v>19</v>
      </c>
      <c r="G3913" s="33" t="s">
        <v>20</v>
      </c>
      <c r="H3913" s="35">
        <v>189</v>
      </c>
      <c r="I3913" s="33" t="s">
        <v>21</v>
      </c>
      <c r="J3913" s="42">
        <v>43899</v>
      </c>
      <c r="K3913" s="33" t="s">
        <v>22</v>
      </c>
    </row>
    <row r="3914" spans="1:11">
      <c r="A3914" s="30" t="s">
        <v>9392</v>
      </c>
      <c r="B3914" s="30" t="s">
        <v>9393</v>
      </c>
      <c r="C3914" s="30" t="s">
        <v>969</v>
      </c>
      <c r="D3914" s="30" t="s">
        <v>17</v>
      </c>
      <c r="E3914" s="30" t="s">
        <v>26</v>
      </c>
      <c r="F3914" s="30" t="s">
        <v>27</v>
      </c>
      <c r="G3914" s="30" t="s">
        <v>20</v>
      </c>
      <c r="H3914" s="32">
        <v>259</v>
      </c>
      <c r="I3914" s="30" t="s">
        <v>21</v>
      </c>
      <c r="J3914" s="41">
        <v>44183</v>
      </c>
      <c r="K3914" s="30" t="s">
        <v>22</v>
      </c>
    </row>
    <row r="3915" spans="1:11">
      <c r="A3915" s="33" t="s">
        <v>9394</v>
      </c>
      <c r="B3915" s="33" t="s">
        <v>9395</v>
      </c>
      <c r="C3915" s="33" t="s">
        <v>1148</v>
      </c>
      <c r="D3915" s="33" t="s">
        <v>17</v>
      </c>
      <c r="E3915" s="33" t="s">
        <v>212</v>
      </c>
      <c r="F3915" s="33" t="s">
        <v>213</v>
      </c>
      <c r="G3915" s="33" t="s">
        <v>158</v>
      </c>
      <c r="H3915" s="35">
        <v>2</v>
      </c>
      <c r="I3915" s="33" t="s">
        <v>21</v>
      </c>
      <c r="J3915" s="42">
        <v>43854</v>
      </c>
      <c r="K3915" s="33" t="s">
        <v>22</v>
      </c>
    </row>
    <row r="3916" spans="1:11">
      <c r="A3916" s="30" t="s">
        <v>9396</v>
      </c>
      <c r="B3916" s="30" t="s">
        <v>9397</v>
      </c>
      <c r="C3916" s="30" t="s">
        <v>936</v>
      </c>
      <c r="D3916" s="30" t="s">
        <v>17</v>
      </c>
      <c r="E3916" s="30" t="s">
        <v>18</v>
      </c>
      <c r="F3916" s="30" t="s">
        <v>19</v>
      </c>
      <c r="G3916" s="30" t="s">
        <v>20</v>
      </c>
      <c r="H3916" s="32">
        <v>68</v>
      </c>
      <c r="I3916" s="30" t="s">
        <v>21</v>
      </c>
      <c r="J3916" s="41">
        <v>44186</v>
      </c>
      <c r="K3916" s="30" t="s">
        <v>22</v>
      </c>
    </row>
    <row r="3917" spans="1:11">
      <c r="A3917" s="33" t="s">
        <v>9398</v>
      </c>
      <c r="B3917" s="33" t="s">
        <v>9399</v>
      </c>
      <c r="C3917" s="33" t="s">
        <v>9400</v>
      </c>
      <c r="D3917" s="33" t="s">
        <v>17</v>
      </c>
      <c r="E3917" s="33" t="s">
        <v>26</v>
      </c>
      <c r="F3917" s="33" t="s">
        <v>27</v>
      </c>
      <c r="G3917" s="33" t="s">
        <v>106</v>
      </c>
      <c r="H3917" s="35">
        <v>69</v>
      </c>
      <c r="I3917" s="33" t="s">
        <v>21</v>
      </c>
      <c r="J3917" s="42">
        <v>44046</v>
      </c>
      <c r="K3917" s="33" t="s">
        <v>22</v>
      </c>
    </row>
    <row r="3918" spans="1:11">
      <c r="A3918" s="30" t="s">
        <v>9401</v>
      </c>
      <c r="B3918" s="30" t="s">
        <v>9402</v>
      </c>
      <c r="C3918" s="30" t="s">
        <v>8201</v>
      </c>
      <c r="D3918" s="30" t="s">
        <v>17</v>
      </c>
      <c r="E3918" s="30" t="s">
        <v>26</v>
      </c>
      <c r="F3918" s="30" t="s">
        <v>27</v>
      </c>
      <c r="G3918" s="30" t="s">
        <v>106</v>
      </c>
      <c r="H3918" s="32">
        <v>86</v>
      </c>
      <c r="I3918" s="30" t="s">
        <v>21</v>
      </c>
      <c r="J3918" s="41">
        <v>44133</v>
      </c>
      <c r="K3918" s="30" t="s">
        <v>22</v>
      </c>
    </row>
    <row r="3919" spans="1:11">
      <c r="A3919" s="33" t="s">
        <v>9403</v>
      </c>
      <c r="B3919" s="33" t="s">
        <v>9404</v>
      </c>
      <c r="C3919" s="33" t="s">
        <v>7081</v>
      </c>
      <c r="D3919" s="33" t="s">
        <v>17</v>
      </c>
      <c r="E3919" s="33" t="s">
        <v>31</v>
      </c>
      <c r="F3919" s="33" t="s">
        <v>32</v>
      </c>
      <c r="G3919" s="33" t="s">
        <v>158</v>
      </c>
      <c r="H3919" s="35">
        <v>87</v>
      </c>
      <c r="I3919" s="33" t="s">
        <v>21</v>
      </c>
      <c r="J3919" s="42">
        <v>43943</v>
      </c>
      <c r="K3919" s="33" t="s">
        <v>22</v>
      </c>
    </row>
    <row r="3920" spans="1:11">
      <c r="A3920" s="30" t="s">
        <v>9405</v>
      </c>
      <c r="B3920" s="30" t="s">
        <v>9406</v>
      </c>
      <c r="C3920" s="30" t="s">
        <v>9407</v>
      </c>
      <c r="D3920" s="30" t="s">
        <v>17</v>
      </c>
      <c r="E3920" s="30" t="s">
        <v>67</v>
      </c>
      <c r="F3920" s="30" t="s">
        <v>68</v>
      </c>
      <c r="G3920" s="30" t="s">
        <v>106</v>
      </c>
      <c r="H3920" s="32">
        <v>53</v>
      </c>
      <c r="I3920" s="30" t="s">
        <v>21</v>
      </c>
      <c r="J3920" s="41">
        <v>44044</v>
      </c>
      <c r="K3920" s="30" t="s">
        <v>22</v>
      </c>
    </row>
    <row r="3921" spans="1:11">
      <c r="A3921" s="33" t="s">
        <v>9408</v>
      </c>
      <c r="B3921" s="33" t="s">
        <v>9409</v>
      </c>
      <c r="C3921" s="33" t="s">
        <v>96</v>
      </c>
      <c r="D3921" s="33" t="s">
        <v>17</v>
      </c>
      <c r="E3921" s="33" t="s">
        <v>26</v>
      </c>
      <c r="F3921" s="33" t="s">
        <v>27</v>
      </c>
      <c r="G3921" s="33" t="s">
        <v>20</v>
      </c>
      <c r="H3921" s="35">
        <v>129</v>
      </c>
      <c r="I3921" s="33" t="s">
        <v>21</v>
      </c>
      <c r="J3921" s="42">
        <v>44174</v>
      </c>
      <c r="K3921" s="33" t="s">
        <v>22</v>
      </c>
    </row>
    <row r="3922" spans="1:11">
      <c r="A3922" s="30" t="s">
        <v>9410</v>
      </c>
      <c r="B3922" s="30" t="s">
        <v>9411</v>
      </c>
      <c r="C3922" s="30" t="s">
        <v>96</v>
      </c>
      <c r="D3922" s="30" t="s">
        <v>17</v>
      </c>
      <c r="E3922" s="30" t="s">
        <v>31</v>
      </c>
      <c r="F3922" s="30" t="s">
        <v>32</v>
      </c>
      <c r="G3922" s="30" t="s">
        <v>20</v>
      </c>
      <c r="H3922" s="32">
        <v>80</v>
      </c>
      <c r="I3922" s="30" t="s">
        <v>21</v>
      </c>
      <c r="J3922" s="41">
        <v>44041</v>
      </c>
      <c r="K3922" s="30" t="s">
        <v>22</v>
      </c>
    </row>
    <row r="3923" spans="1:11">
      <c r="A3923" s="33" t="s">
        <v>9412</v>
      </c>
      <c r="B3923" s="33" t="s">
        <v>9413</v>
      </c>
      <c r="C3923" s="33" t="s">
        <v>78</v>
      </c>
      <c r="D3923" s="33" t="s">
        <v>17</v>
      </c>
      <c r="E3923" s="33" t="s">
        <v>26</v>
      </c>
      <c r="F3923" s="33" t="s">
        <v>27</v>
      </c>
      <c r="G3923" s="33" t="s">
        <v>50</v>
      </c>
      <c r="H3923" s="35">
        <v>30</v>
      </c>
      <c r="I3923" s="33" t="s">
        <v>51</v>
      </c>
      <c r="J3923" s="42">
        <v>43862</v>
      </c>
      <c r="K3923" s="33" t="s">
        <v>22</v>
      </c>
    </row>
    <row r="3924" spans="1:11">
      <c r="A3924" s="30" t="s">
        <v>9414</v>
      </c>
      <c r="B3924" s="30" t="s">
        <v>9415</v>
      </c>
      <c r="C3924" s="30" t="s">
        <v>5122</v>
      </c>
      <c r="D3924" s="30" t="s">
        <v>17</v>
      </c>
      <c r="E3924" s="30" t="s">
        <v>31</v>
      </c>
      <c r="F3924" s="30" t="s">
        <v>32</v>
      </c>
      <c r="G3924" s="30" t="s">
        <v>20</v>
      </c>
      <c r="H3924" s="32">
        <v>100</v>
      </c>
      <c r="I3924" s="30" t="s">
        <v>21</v>
      </c>
      <c r="J3924" s="41">
        <v>44041</v>
      </c>
      <c r="K3924" s="30" t="s">
        <v>22</v>
      </c>
    </row>
    <row r="3925" spans="1:11">
      <c r="A3925" s="33" t="s">
        <v>9416</v>
      </c>
      <c r="B3925" s="33" t="s">
        <v>9417</v>
      </c>
      <c r="C3925" s="33" t="s">
        <v>222</v>
      </c>
      <c r="D3925" s="33" t="s">
        <v>17</v>
      </c>
      <c r="E3925" s="33" t="s">
        <v>31</v>
      </c>
      <c r="F3925" s="33" t="s">
        <v>32</v>
      </c>
      <c r="G3925" s="33" t="s">
        <v>106</v>
      </c>
      <c r="H3925" s="35">
        <v>40</v>
      </c>
      <c r="I3925" s="33" t="s">
        <v>21</v>
      </c>
      <c r="J3925" s="42">
        <v>44088</v>
      </c>
      <c r="K3925" s="33" t="s">
        <v>22</v>
      </c>
    </row>
    <row r="3926" spans="1:11">
      <c r="A3926" s="30" t="s">
        <v>9418</v>
      </c>
      <c r="B3926" s="30" t="s">
        <v>9419</v>
      </c>
      <c r="C3926" s="30" t="s">
        <v>9420</v>
      </c>
      <c r="D3926" s="30" t="s">
        <v>17</v>
      </c>
      <c r="E3926" s="30" t="s">
        <v>26</v>
      </c>
      <c r="F3926" s="30" t="s">
        <v>27</v>
      </c>
      <c r="G3926" s="30" t="s">
        <v>106</v>
      </c>
      <c r="H3926" s="32">
        <v>72</v>
      </c>
      <c r="I3926" s="30" t="s">
        <v>21</v>
      </c>
      <c r="J3926" s="41">
        <v>44147</v>
      </c>
      <c r="K3926" s="30" t="s">
        <v>22</v>
      </c>
    </row>
    <row r="3927" spans="1:11">
      <c r="A3927" s="33" t="s">
        <v>9421</v>
      </c>
      <c r="B3927" s="33" t="s">
        <v>9422</v>
      </c>
      <c r="C3927" s="33" t="s">
        <v>57</v>
      </c>
      <c r="D3927" s="33" t="s">
        <v>17</v>
      </c>
      <c r="E3927" s="33" t="s">
        <v>18</v>
      </c>
      <c r="F3927" s="33" t="s">
        <v>19</v>
      </c>
      <c r="G3927" s="33" t="s">
        <v>20</v>
      </c>
      <c r="H3927" s="35">
        <v>200</v>
      </c>
      <c r="I3927" s="33" t="s">
        <v>21</v>
      </c>
      <c r="J3927" s="42">
        <v>44153</v>
      </c>
      <c r="K3927" s="33" t="s">
        <v>22</v>
      </c>
    </row>
    <row r="3928" spans="1:11">
      <c r="A3928" s="30" t="s">
        <v>9423</v>
      </c>
      <c r="B3928" s="30" t="s">
        <v>9424</v>
      </c>
      <c r="C3928" s="30" t="s">
        <v>3264</v>
      </c>
      <c r="D3928" s="30" t="s">
        <v>17</v>
      </c>
      <c r="E3928" s="30" t="s">
        <v>18</v>
      </c>
      <c r="F3928" s="30" t="s">
        <v>19</v>
      </c>
      <c r="G3928" s="30" t="s">
        <v>20</v>
      </c>
      <c r="H3928" s="32">
        <v>43</v>
      </c>
      <c r="I3928" s="30" t="s">
        <v>21</v>
      </c>
      <c r="J3928" s="41">
        <v>44000</v>
      </c>
      <c r="K3928" s="30" t="s">
        <v>22</v>
      </c>
    </row>
    <row r="3929" spans="1:11">
      <c r="A3929" s="33" t="s">
        <v>9425</v>
      </c>
      <c r="B3929" s="33" t="s">
        <v>9426</v>
      </c>
      <c r="C3929" s="33" t="s">
        <v>5395</v>
      </c>
      <c r="D3929" s="33" t="s">
        <v>17</v>
      </c>
      <c r="E3929" s="33" t="s">
        <v>67</v>
      </c>
      <c r="F3929" s="33" t="s">
        <v>68</v>
      </c>
      <c r="G3929" s="33" t="s">
        <v>140</v>
      </c>
      <c r="H3929" s="35">
        <v>30</v>
      </c>
      <c r="I3929" s="33" t="s">
        <v>51</v>
      </c>
      <c r="J3929" s="42">
        <v>44091</v>
      </c>
      <c r="K3929" s="33" t="s">
        <v>22</v>
      </c>
    </row>
    <row r="3930" spans="1:11">
      <c r="A3930" s="30" t="s">
        <v>9427</v>
      </c>
      <c r="B3930" s="30" t="s">
        <v>9428</v>
      </c>
      <c r="C3930" s="30" t="s">
        <v>9429</v>
      </c>
      <c r="D3930" s="30" t="s">
        <v>17</v>
      </c>
      <c r="E3930" s="30" t="s">
        <v>18</v>
      </c>
      <c r="F3930" s="30" t="s">
        <v>19</v>
      </c>
      <c r="G3930" s="30" t="s">
        <v>20</v>
      </c>
      <c r="H3930" s="32">
        <v>366</v>
      </c>
      <c r="I3930" s="30" t="s">
        <v>21</v>
      </c>
      <c r="J3930" s="41">
        <v>44315</v>
      </c>
      <c r="K3930" s="30" t="s">
        <v>22</v>
      </c>
    </row>
    <row r="3931" spans="1:11">
      <c r="A3931" s="33" t="s">
        <v>9430</v>
      </c>
      <c r="B3931" s="33" t="s">
        <v>9431</v>
      </c>
      <c r="C3931" s="33" t="s">
        <v>3964</v>
      </c>
      <c r="D3931" s="33" t="s">
        <v>17</v>
      </c>
      <c r="E3931" s="33" t="s">
        <v>31</v>
      </c>
      <c r="F3931" s="33" t="s">
        <v>32</v>
      </c>
      <c r="G3931" s="33" t="s">
        <v>50</v>
      </c>
      <c r="H3931" s="35">
        <v>58</v>
      </c>
      <c r="I3931" s="33" t="s">
        <v>51</v>
      </c>
      <c r="J3931" s="42">
        <v>44306</v>
      </c>
      <c r="K3931" s="33" t="s">
        <v>22</v>
      </c>
    </row>
    <row r="3932" spans="1:11">
      <c r="A3932" s="30" t="s">
        <v>9432</v>
      </c>
      <c r="B3932" s="30" t="s">
        <v>9433</v>
      </c>
      <c r="C3932" s="30" t="s">
        <v>318</v>
      </c>
      <c r="D3932" s="30" t="s">
        <v>17</v>
      </c>
      <c r="E3932" s="30" t="s">
        <v>26</v>
      </c>
      <c r="F3932" s="30" t="s">
        <v>27</v>
      </c>
      <c r="G3932" s="30" t="s">
        <v>20</v>
      </c>
      <c r="H3932" s="32">
        <v>11</v>
      </c>
      <c r="I3932" s="30" t="s">
        <v>21</v>
      </c>
      <c r="J3932" s="41">
        <v>44315</v>
      </c>
      <c r="K3932" s="30" t="s">
        <v>22</v>
      </c>
    </row>
    <row r="3933" spans="1:11">
      <c r="A3933" s="33" t="s">
        <v>9434</v>
      </c>
      <c r="B3933" s="33" t="s">
        <v>9435</v>
      </c>
      <c r="C3933" s="33" t="s">
        <v>1305</v>
      </c>
      <c r="D3933" s="33" t="s">
        <v>17</v>
      </c>
      <c r="E3933" s="33" t="s">
        <v>67</v>
      </c>
      <c r="F3933" s="33" t="s">
        <v>68</v>
      </c>
      <c r="G3933" s="33" t="s">
        <v>158</v>
      </c>
      <c r="H3933" s="35">
        <v>727</v>
      </c>
      <c r="I3933" s="33" t="s">
        <v>51</v>
      </c>
      <c r="J3933" s="42">
        <v>44292</v>
      </c>
      <c r="K3933" s="33" t="s">
        <v>22</v>
      </c>
    </row>
    <row r="3934" spans="1:11">
      <c r="A3934" s="30" t="s">
        <v>9436</v>
      </c>
      <c r="B3934" s="30" t="s">
        <v>9437</v>
      </c>
      <c r="C3934" s="30" t="s">
        <v>9438</v>
      </c>
      <c r="D3934" s="30" t="s">
        <v>17</v>
      </c>
      <c r="E3934" s="30" t="s">
        <v>26</v>
      </c>
      <c r="F3934" s="30" t="s">
        <v>27</v>
      </c>
      <c r="G3934" s="30" t="s">
        <v>50</v>
      </c>
      <c r="H3934" s="32">
        <v>66</v>
      </c>
      <c r="I3934" s="30" t="s">
        <v>51</v>
      </c>
      <c r="J3934" s="41">
        <v>44337</v>
      </c>
      <c r="K3934" s="30" t="s">
        <v>22</v>
      </c>
    </row>
    <row r="3935" spans="1:11">
      <c r="A3935" s="33" t="s">
        <v>9439</v>
      </c>
      <c r="B3935" s="33" t="s">
        <v>9440</v>
      </c>
      <c r="C3935" s="33" t="s">
        <v>2894</v>
      </c>
      <c r="D3935" s="33" t="s">
        <v>17</v>
      </c>
      <c r="E3935" s="33" t="s">
        <v>31</v>
      </c>
      <c r="F3935" s="33" t="s">
        <v>32</v>
      </c>
      <c r="G3935" s="33" t="s">
        <v>106</v>
      </c>
      <c r="H3935" s="35">
        <v>57</v>
      </c>
      <c r="I3935" s="33" t="s">
        <v>21</v>
      </c>
      <c r="J3935" s="42">
        <v>44225</v>
      </c>
      <c r="K3935" s="33" t="s">
        <v>22</v>
      </c>
    </row>
    <row r="3936" spans="1:11">
      <c r="A3936" s="30" t="s">
        <v>9441</v>
      </c>
      <c r="B3936" s="30" t="s">
        <v>9442</v>
      </c>
      <c r="C3936" s="30" t="s">
        <v>9443</v>
      </c>
      <c r="D3936" s="30" t="s">
        <v>17</v>
      </c>
      <c r="E3936" s="30" t="s">
        <v>31</v>
      </c>
      <c r="F3936" s="30" t="s">
        <v>32</v>
      </c>
      <c r="G3936" s="30" t="s">
        <v>20</v>
      </c>
      <c r="H3936" s="32">
        <v>25</v>
      </c>
      <c r="I3936" s="30" t="s">
        <v>21</v>
      </c>
      <c r="J3936" s="41">
        <v>44427</v>
      </c>
      <c r="K3936" s="30" t="s">
        <v>22</v>
      </c>
    </row>
    <row r="3937" spans="1:11">
      <c r="A3937" s="33" t="s">
        <v>9444</v>
      </c>
      <c r="B3937" s="33" t="s">
        <v>9445</v>
      </c>
      <c r="C3937" s="33" t="s">
        <v>9446</v>
      </c>
      <c r="D3937" s="33" t="s">
        <v>17</v>
      </c>
      <c r="E3937" s="33" t="s">
        <v>26</v>
      </c>
      <c r="F3937" s="33" t="s">
        <v>27</v>
      </c>
      <c r="G3937" s="33" t="s">
        <v>20</v>
      </c>
      <c r="H3937" s="35">
        <v>64</v>
      </c>
      <c r="I3937" s="33" t="s">
        <v>21</v>
      </c>
      <c r="J3937" s="42">
        <v>44434</v>
      </c>
      <c r="K3937" s="33" t="s">
        <v>22</v>
      </c>
    </row>
    <row r="3938" spans="1:11">
      <c r="A3938" s="30" t="s">
        <v>9447</v>
      </c>
      <c r="B3938" s="30" t="s">
        <v>9448</v>
      </c>
      <c r="C3938" s="30" t="s">
        <v>9449</v>
      </c>
      <c r="D3938" s="30" t="s">
        <v>17</v>
      </c>
      <c r="E3938" s="30" t="s">
        <v>26</v>
      </c>
      <c r="F3938" s="30" t="s">
        <v>27</v>
      </c>
      <c r="G3938" s="30" t="s">
        <v>106</v>
      </c>
      <c r="H3938" s="32">
        <v>52</v>
      </c>
      <c r="I3938" s="30" t="s">
        <v>21</v>
      </c>
      <c r="J3938" s="41">
        <v>44300</v>
      </c>
      <c r="K3938" s="30" t="s">
        <v>22</v>
      </c>
    </row>
    <row r="3939" spans="1:11">
      <c r="A3939" s="33" t="s">
        <v>9450</v>
      </c>
      <c r="B3939" s="33" t="s">
        <v>9451</v>
      </c>
      <c r="C3939" s="33" t="s">
        <v>96</v>
      </c>
      <c r="D3939" s="33" t="s">
        <v>17</v>
      </c>
      <c r="E3939" s="33" t="s">
        <v>18</v>
      </c>
      <c r="F3939" s="33" t="s">
        <v>19</v>
      </c>
      <c r="G3939" s="33" t="s">
        <v>158</v>
      </c>
      <c r="H3939" s="35">
        <v>257</v>
      </c>
      <c r="I3939" s="33" t="s">
        <v>21</v>
      </c>
      <c r="J3939" s="42">
        <v>44211</v>
      </c>
      <c r="K3939" s="33" t="s">
        <v>22</v>
      </c>
    </row>
    <row r="3940" spans="1:11">
      <c r="A3940" s="30" t="s">
        <v>9452</v>
      </c>
      <c r="B3940" s="30" t="s">
        <v>9453</v>
      </c>
      <c r="C3940" s="30" t="s">
        <v>9454</v>
      </c>
      <c r="D3940" s="30" t="s">
        <v>17</v>
      </c>
      <c r="E3940" s="30" t="s">
        <v>26</v>
      </c>
      <c r="F3940" s="30" t="s">
        <v>27</v>
      </c>
      <c r="G3940" s="30" t="s">
        <v>20</v>
      </c>
      <c r="H3940" s="32">
        <v>46</v>
      </c>
      <c r="I3940" s="30" t="s">
        <v>21</v>
      </c>
      <c r="J3940" s="41">
        <v>44489</v>
      </c>
      <c r="K3940" s="30" t="s">
        <v>22</v>
      </c>
    </row>
    <row r="3941" spans="1:11">
      <c r="A3941" s="33" t="s">
        <v>9455</v>
      </c>
      <c r="B3941" s="33" t="s">
        <v>9456</v>
      </c>
      <c r="C3941" s="33" t="s">
        <v>6972</v>
      </c>
      <c r="D3941" s="33" t="s">
        <v>17</v>
      </c>
      <c r="E3941" s="33" t="s">
        <v>18</v>
      </c>
      <c r="F3941" s="33" t="s">
        <v>19</v>
      </c>
      <c r="G3941" s="33" t="s">
        <v>50</v>
      </c>
      <c r="H3941" s="35">
        <v>390</v>
      </c>
      <c r="I3941" s="33" t="s">
        <v>51</v>
      </c>
      <c r="J3941" s="42">
        <v>44301</v>
      </c>
      <c r="K3941" s="33" t="s">
        <v>22</v>
      </c>
    </row>
    <row r="3942" spans="1:11">
      <c r="A3942" s="30" t="s">
        <v>9457</v>
      </c>
      <c r="B3942" s="30" t="s">
        <v>9458</v>
      </c>
      <c r="C3942" s="30" t="s">
        <v>9459</v>
      </c>
      <c r="D3942" s="30" t="s">
        <v>17</v>
      </c>
      <c r="E3942" s="30" t="s">
        <v>31</v>
      </c>
      <c r="F3942" s="30" t="s">
        <v>32</v>
      </c>
      <c r="G3942" s="30" t="s">
        <v>106</v>
      </c>
      <c r="H3942" s="32">
        <v>4</v>
      </c>
      <c r="I3942" s="30" t="s">
        <v>21</v>
      </c>
      <c r="J3942" s="41">
        <v>44298</v>
      </c>
      <c r="K3942" s="30" t="s">
        <v>22</v>
      </c>
    </row>
    <row r="3943" spans="1:11">
      <c r="A3943" s="33" t="s">
        <v>9460</v>
      </c>
      <c r="B3943" s="33" t="s">
        <v>9461</v>
      </c>
      <c r="C3943" s="33" t="s">
        <v>644</v>
      </c>
      <c r="D3943" s="33" t="s">
        <v>17</v>
      </c>
      <c r="E3943" s="33" t="s">
        <v>26</v>
      </c>
      <c r="F3943" s="33" t="s">
        <v>27</v>
      </c>
      <c r="G3943" s="33" t="s">
        <v>20</v>
      </c>
      <c r="H3943" s="35">
        <v>7</v>
      </c>
      <c r="I3943" s="33" t="s">
        <v>21</v>
      </c>
      <c r="J3943" s="42">
        <v>44529</v>
      </c>
      <c r="K3943" s="33" t="s">
        <v>22</v>
      </c>
    </row>
    <row r="3944" spans="1:11">
      <c r="A3944" s="30" t="s">
        <v>9462</v>
      </c>
      <c r="B3944" s="30" t="s">
        <v>9463</v>
      </c>
      <c r="C3944" s="30" t="s">
        <v>9464</v>
      </c>
      <c r="D3944" s="30" t="s">
        <v>17</v>
      </c>
      <c r="E3944" s="30" t="s">
        <v>26</v>
      </c>
      <c r="F3944" s="30" t="s">
        <v>27</v>
      </c>
      <c r="G3944" s="30" t="s">
        <v>50</v>
      </c>
      <c r="H3944" s="32">
        <v>112</v>
      </c>
      <c r="I3944" s="30" t="s">
        <v>51</v>
      </c>
      <c r="J3944" s="41">
        <v>44347</v>
      </c>
      <c r="K3944" s="30" t="s">
        <v>22</v>
      </c>
    </row>
    <row r="3945" spans="1:11">
      <c r="A3945" s="33" t="s">
        <v>9465</v>
      </c>
      <c r="B3945" s="33" t="s">
        <v>9466</v>
      </c>
      <c r="C3945" s="33" t="s">
        <v>8903</v>
      </c>
      <c r="D3945" s="33" t="s">
        <v>17</v>
      </c>
      <c r="E3945" s="33" t="s">
        <v>67</v>
      </c>
      <c r="F3945" s="33" t="s">
        <v>68</v>
      </c>
      <c r="G3945" s="33" t="s">
        <v>106</v>
      </c>
      <c r="H3945" s="35">
        <v>112</v>
      </c>
      <c r="I3945" s="33" t="s">
        <v>21</v>
      </c>
      <c r="J3945" s="42">
        <v>44519</v>
      </c>
      <c r="K3945" s="33" t="s">
        <v>22</v>
      </c>
    </row>
    <row r="3946" spans="1:11">
      <c r="A3946" s="30" t="s">
        <v>9467</v>
      </c>
      <c r="B3946" s="30" t="s">
        <v>9468</v>
      </c>
      <c r="C3946" s="30" t="s">
        <v>154</v>
      </c>
      <c r="D3946" s="30" t="s">
        <v>17</v>
      </c>
      <c r="E3946" s="30" t="s">
        <v>31</v>
      </c>
      <c r="F3946" s="30" t="s">
        <v>32</v>
      </c>
      <c r="G3946" s="30" t="s">
        <v>20</v>
      </c>
      <c r="H3946" s="32">
        <v>65</v>
      </c>
      <c r="I3946" s="30" t="s">
        <v>21</v>
      </c>
      <c r="J3946" s="41">
        <v>44419</v>
      </c>
      <c r="K3946" s="30" t="s">
        <v>22</v>
      </c>
    </row>
    <row r="3947" spans="1:11">
      <c r="A3947" s="33" t="s">
        <v>9469</v>
      </c>
      <c r="B3947" s="33" t="s">
        <v>9470</v>
      </c>
      <c r="C3947" s="33" t="s">
        <v>3989</v>
      </c>
      <c r="D3947" s="33" t="s">
        <v>17</v>
      </c>
      <c r="E3947" s="33" t="s">
        <v>18</v>
      </c>
      <c r="F3947" s="33" t="s">
        <v>19</v>
      </c>
      <c r="G3947" s="33" t="s">
        <v>112</v>
      </c>
      <c r="H3947" s="35">
        <v>0</v>
      </c>
      <c r="I3947" s="33" t="s">
        <v>21</v>
      </c>
      <c r="J3947" s="42">
        <v>44522</v>
      </c>
      <c r="K3947" s="33" t="s">
        <v>22</v>
      </c>
    </row>
    <row r="3948" spans="1:11">
      <c r="A3948" s="30" t="s">
        <v>9471</v>
      </c>
      <c r="B3948" s="30" t="s">
        <v>9472</v>
      </c>
      <c r="C3948" s="30" t="s">
        <v>957</v>
      </c>
      <c r="D3948" s="30" t="s">
        <v>17</v>
      </c>
      <c r="E3948" s="30" t="s">
        <v>26</v>
      </c>
      <c r="F3948" s="30" t="s">
        <v>27</v>
      </c>
      <c r="G3948" s="30" t="s">
        <v>20</v>
      </c>
      <c r="H3948" s="32">
        <v>36</v>
      </c>
      <c r="I3948" s="30" t="s">
        <v>21</v>
      </c>
      <c r="J3948" s="41">
        <v>44218</v>
      </c>
      <c r="K3948" s="30" t="s">
        <v>22</v>
      </c>
    </row>
    <row r="3949" spans="1:11">
      <c r="A3949" s="33" t="s">
        <v>9473</v>
      </c>
      <c r="B3949" s="33" t="s">
        <v>9474</v>
      </c>
      <c r="C3949" s="33" t="s">
        <v>9475</v>
      </c>
      <c r="D3949" s="33" t="s">
        <v>17</v>
      </c>
      <c r="E3949" s="33" t="s">
        <v>31</v>
      </c>
      <c r="F3949" s="33" t="s">
        <v>32</v>
      </c>
      <c r="G3949" s="33" t="s">
        <v>50</v>
      </c>
      <c r="H3949" s="35">
        <v>480</v>
      </c>
      <c r="I3949" s="33" t="s">
        <v>51</v>
      </c>
      <c r="J3949" s="42">
        <v>44440</v>
      </c>
      <c r="K3949" s="33" t="s">
        <v>22</v>
      </c>
    </row>
    <row r="3950" spans="1:11">
      <c r="A3950" s="30" t="s">
        <v>9476</v>
      </c>
      <c r="B3950" s="30" t="s">
        <v>9477</v>
      </c>
      <c r="C3950" s="30" t="s">
        <v>1090</v>
      </c>
      <c r="D3950" s="30" t="s">
        <v>17</v>
      </c>
      <c r="E3950" s="30" t="s">
        <v>26</v>
      </c>
      <c r="F3950" s="30" t="s">
        <v>27</v>
      </c>
      <c r="G3950" s="30" t="s">
        <v>106</v>
      </c>
      <c r="H3950" s="32">
        <v>31</v>
      </c>
      <c r="I3950" s="30" t="s">
        <v>21</v>
      </c>
      <c r="J3950" s="41">
        <v>44419</v>
      </c>
      <c r="K3950" s="30" t="s">
        <v>22</v>
      </c>
    </row>
    <row r="3951" spans="1:11">
      <c r="A3951" s="33" t="s">
        <v>9478</v>
      </c>
      <c r="B3951" s="33" t="s">
        <v>9479</v>
      </c>
      <c r="C3951" s="33" t="s">
        <v>102</v>
      </c>
      <c r="D3951" s="33" t="s">
        <v>17</v>
      </c>
      <c r="E3951" s="33" t="s">
        <v>26</v>
      </c>
      <c r="F3951" s="33" t="s">
        <v>27</v>
      </c>
      <c r="G3951" s="33" t="s">
        <v>20</v>
      </c>
      <c r="H3951" s="35">
        <v>40</v>
      </c>
      <c r="I3951" s="33" t="s">
        <v>21</v>
      </c>
      <c r="J3951" s="42">
        <v>44263</v>
      </c>
      <c r="K3951" s="33" t="s">
        <v>22</v>
      </c>
    </row>
    <row r="3952" spans="1:11">
      <c r="A3952" s="30" t="s">
        <v>9480</v>
      </c>
      <c r="B3952" s="30" t="s">
        <v>9481</v>
      </c>
      <c r="C3952" s="30" t="s">
        <v>231</v>
      </c>
      <c r="D3952" s="30" t="s">
        <v>17</v>
      </c>
      <c r="E3952" s="30" t="s">
        <v>45</v>
      </c>
      <c r="F3952" s="30" t="s">
        <v>46</v>
      </c>
      <c r="G3952" s="30" t="s">
        <v>106</v>
      </c>
      <c r="H3952" s="32">
        <v>5</v>
      </c>
      <c r="I3952" s="30" t="s">
        <v>21</v>
      </c>
      <c r="J3952" s="41">
        <v>44307</v>
      </c>
      <c r="K3952" s="30" t="s">
        <v>22</v>
      </c>
    </row>
    <row r="3953" spans="1:11">
      <c r="A3953" s="33" t="s">
        <v>9482</v>
      </c>
      <c r="B3953" s="33" t="s">
        <v>9483</v>
      </c>
      <c r="C3953" s="33" t="s">
        <v>9484</v>
      </c>
      <c r="D3953" s="33" t="s">
        <v>17</v>
      </c>
      <c r="E3953" s="33" t="s">
        <v>18</v>
      </c>
      <c r="F3953" s="33" t="s">
        <v>19</v>
      </c>
      <c r="G3953" s="33" t="s">
        <v>106</v>
      </c>
      <c r="H3953" s="35">
        <v>104</v>
      </c>
      <c r="I3953" s="33" t="s">
        <v>21</v>
      </c>
      <c r="J3953" s="42">
        <v>44270</v>
      </c>
      <c r="K3953" s="33" t="s">
        <v>22</v>
      </c>
    </row>
    <row r="3954" spans="1:11">
      <c r="A3954" s="30" t="s">
        <v>9485</v>
      </c>
      <c r="B3954" s="30" t="s">
        <v>9486</v>
      </c>
      <c r="C3954" s="30" t="s">
        <v>9487</v>
      </c>
      <c r="D3954" s="30" t="s">
        <v>17</v>
      </c>
      <c r="E3954" s="30" t="s">
        <v>18</v>
      </c>
      <c r="F3954" s="30" t="s">
        <v>19</v>
      </c>
      <c r="G3954" s="30" t="s">
        <v>106</v>
      </c>
      <c r="H3954" s="32">
        <v>228</v>
      </c>
      <c r="I3954" s="30" t="s">
        <v>21</v>
      </c>
      <c r="J3954" s="41">
        <v>44438</v>
      </c>
      <c r="K3954" s="30" t="s">
        <v>22</v>
      </c>
    </row>
    <row r="3955" spans="1:11">
      <c r="A3955" s="33" t="s">
        <v>9488</v>
      </c>
      <c r="B3955" s="33" t="s">
        <v>9489</v>
      </c>
      <c r="C3955" s="33" t="s">
        <v>9490</v>
      </c>
      <c r="D3955" s="33" t="s">
        <v>17</v>
      </c>
      <c r="E3955" s="33" t="s">
        <v>31</v>
      </c>
      <c r="F3955" s="33" t="s">
        <v>32</v>
      </c>
      <c r="G3955" s="33" t="s">
        <v>20</v>
      </c>
      <c r="H3955" s="35">
        <v>42</v>
      </c>
      <c r="I3955" s="33" t="s">
        <v>21</v>
      </c>
      <c r="J3955" s="42">
        <v>44495</v>
      </c>
      <c r="K3955" s="33" t="s">
        <v>22</v>
      </c>
    </row>
    <row r="3956" spans="1:11">
      <c r="A3956" s="30" t="s">
        <v>9491</v>
      </c>
      <c r="B3956" s="30" t="s">
        <v>9492</v>
      </c>
      <c r="C3956" s="30" t="s">
        <v>9493</v>
      </c>
      <c r="D3956" s="30" t="s">
        <v>17</v>
      </c>
      <c r="E3956" s="30" t="s">
        <v>26</v>
      </c>
      <c r="F3956" s="30" t="s">
        <v>27</v>
      </c>
      <c r="G3956" s="30" t="s">
        <v>20</v>
      </c>
      <c r="H3956" s="32">
        <v>39</v>
      </c>
      <c r="I3956" s="30" t="s">
        <v>21</v>
      </c>
      <c r="J3956" s="41">
        <v>44248</v>
      </c>
      <c r="K3956" s="30" t="s">
        <v>22</v>
      </c>
    </row>
    <row r="3957" spans="1:11">
      <c r="A3957" s="33" t="s">
        <v>9494</v>
      </c>
      <c r="B3957" s="33" t="s">
        <v>9495</v>
      </c>
      <c r="C3957" s="33" t="s">
        <v>1718</v>
      </c>
      <c r="D3957" s="33" t="s">
        <v>17</v>
      </c>
      <c r="E3957" s="33" t="s">
        <v>18</v>
      </c>
      <c r="F3957" s="33" t="s">
        <v>19</v>
      </c>
      <c r="G3957" s="33" t="s">
        <v>20</v>
      </c>
      <c r="H3957" s="35">
        <v>581</v>
      </c>
      <c r="I3957" s="33" t="s">
        <v>21</v>
      </c>
      <c r="J3957" s="42">
        <v>44350</v>
      </c>
      <c r="K3957" s="33" t="s">
        <v>22</v>
      </c>
    </row>
    <row r="3958" spans="1:11">
      <c r="A3958" s="30" t="s">
        <v>9496</v>
      </c>
      <c r="B3958" s="30" t="s">
        <v>9497</v>
      </c>
      <c r="C3958" s="30" t="s">
        <v>102</v>
      </c>
      <c r="D3958" s="30" t="s">
        <v>17</v>
      </c>
      <c r="E3958" s="30" t="s">
        <v>26</v>
      </c>
      <c r="F3958" s="30" t="s">
        <v>27</v>
      </c>
      <c r="G3958" s="30" t="s">
        <v>20</v>
      </c>
      <c r="H3958" s="32">
        <v>127</v>
      </c>
      <c r="I3958" s="30" t="s">
        <v>21</v>
      </c>
      <c r="J3958" s="41">
        <v>44547</v>
      </c>
      <c r="K3958" s="30" t="s">
        <v>22</v>
      </c>
    </row>
    <row r="3959" spans="1:11">
      <c r="A3959" s="33" t="s">
        <v>9498</v>
      </c>
      <c r="B3959" s="33" t="s">
        <v>9499</v>
      </c>
      <c r="C3959" s="33" t="s">
        <v>44</v>
      </c>
      <c r="D3959" s="33" t="s">
        <v>17</v>
      </c>
      <c r="E3959" s="33" t="s">
        <v>31</v>
      </c>
      <c r="F3959" s="33" t="s">
        <v>32</v>
      </c>
      <c r="G3959" s="33" t="s">
        <v>106</v>
      </c>
      <c r="H3959" s="35">
        <v>77</v>
      </c>
      <c r="I3959" s="33" t="s">
        <v>21</v>
      </c>
      <c r="J3959" s="42">
        <v>44530</v>
      </c>
      <c r="K3959" s="33" t="s">
        <v>22</v>
      </c>
    </row>
    <row r="3960" spans="1:11">
      <c r="A3960" s="30" t="s">
        <v>9500</v>
      </c>
      <c r="B3960" s="30" t="s">
        <v>9501</v>
      </c>
      <c r="C3960" s="30" t="s">
        <v>1583</v>
      </c>
      <c r="D3960" s="30" t="s">
        <v>17</v>
      </c>
      <c r="E3960" s="30" t="s">
        <v>31</v>
      </c>
      <c r="F3960" s="30" t="s">
        <v>32</v>
      </c>
      <c r="G3960" s="30" t="s">
        <v>20</v>
      </c>
      <c r="H3960" s="32">
        <v>161</v>
      </c>
      <c r="I3960" s="30" t="s">
        <v>21</v>
      </c>
      <c r="J3960" s="41">
        <v>44222</v>
      </c>
      <c r="K3960" s="30" t="s">
        <v>22</v>
      </c>
    </row>
    <row r="3961" spans="1:11">
      <c r="A3961" s="33" t="s">
        <v>9502</v>
      </c>
      <c r="B3961" s="33" t="s">
        <v>9503</v>
      </c>
      <c r="C3961" s="33" t="s">
        <v>203</v>
      </c>
      <c r="D3961" s="33" t="s">
        <v>17</v>
      </c>
      <c r="E3961" s="33" t="s">
        <v>67</v>
      </c>
      <c r="F3961" s="33" t="s">
        <v>68</v>
      </c>
      <c r="G3961" s="33" t="s">
        <v>140</v>
      </c>
      <c r="H3961" s="35">
        <v>258</v>
      </c>
      <c r="I3961" s="33" t="s">
        <v>51</v>
      </c>
      <c r="J3961" s="42">
        <v>44221</v>
      </c>
      <c r="K3961" s="33" t="s">
        <v>22</v>
      </c>
    </row>
    <row r="3962" spans="1:11">
      <c r="A3962" s="30" t="s">
        <v>9504</v>
      </c>
      <c r="B3962" s="30" t="s">
        <v>9505</v>
      </c>
      <c r="C3962" s="30" t="s">
        <v>9506</v>
      </c>
      <c r="D3962" s="30" t="s">
        <v>17</v>
      </c>
      <c r="E3962" s="30" t="s">
        <v>45</v>
      </c>
      <c r="F3962" s="30" t="s">
        <v>46</v>
      </c>
      <c r="G3962" s="30" t="s">
        <v>20</v>
      </c>
      <c r="H3962" s="32">
        <v>101</v>
      </c>
      <c r="I3962" s="30" t="s">
        <v>21</v>
      </c>
      <c r="J3962" s="41">
        <v>44537</v>
      </c>
      <c r="K3962" s="30" t="s">
        <v>22</v>
      </c>
    </row>
    <row r="3963" spans="1:11">
      <c r="A3963" s="33" t="s">
        <v>9507</v>
      </c>
      <c r="B3963" s="33" t="s">
        <v>9508</v>
      </c>
      <c r="C3963" s="33" t="s">
        <v>2599</v>
      </c>
      <c r="D3963" s="33" t="s">
        <v>17</v>
      </c>
      <c r="E3963" s="33" t="s">
        <v>26</v>
      </c>
      <c r="F3963" s="33" t="s">
        <v>27</v>
      </c>
      <c r="G3963" s="33" t="s">
        <v>20</v>
      </c>
      <c r="H3963" s="35">
        <v>52</v>
      </c>
      <c r="I3963" s="33" t="s">
        <v>21</v>
      </c>
      <c r="J3963" s="42">
        <v>44336</v>
      </c>
      <c r="K3963" s="33" t="s">
        <v>22</v>
      </c>
    </row>
    <row r="3964" spans="1:11">
      <c r="A3964" s="30" t="s">
        <v>9509</v>
      </c>
      <c r="B3964" s="30" t="s">
        <v>9510</v>
      </c>
      <c r="C3964" s="30" t="s">
        <v>647</v>
      </c>
      <c r="D3964" s="30" t="s">
        <v>17</v>
      </c>
      <c r="E3964" s="30" t="s">
        <v>18</v>
      </c>
      <c r="F3964" s="30" t="s">
        <v>19</v>
      </c>
      <c r="G3964" s="30" t="s">
        <v>20</v>
      </c>
      <c r="H3964" s="32">
        <v>186</v>
      </c>
      <c r="I3964" s="30" t="s">
        <v>21</v>
      </c>
      <c r="J3964" s="41">
        <v>44341</v>
      </c>
      <c r="K3964" s="30" t="s">
        <v>22</v>
      </c>
    </row>
    <row r="3965" spans="1:11">
      <c r="A3965" s="33" t="s">
        <v>9511</v>
      </c>
      <c r="B3965" s="33" t="s">
        <v>9512</v>
      </c>
      <c r="C3965" s="33" t="s">
        <v>5842</v>
      </c>
      <c r="D3965" s="33" t="s">
        <v>17</v>
      </c>
      <c r="E3965" s="33" t="s">
        <v>67</v>
      </c>
      <c r="F3965" s="33" t="s">
        <v>68</v>
      </c>
      <c r="G3965" s="33" t="s">
        <v>20</v>
      </c>
      <c r="H3965" s="35">
        <v>77</v>
      </c>
      <c r="I3965" s="33" t="s">
        <v>21</v>
      </c>
      <c r="J3965" s="42">
        <v>44481</v>
      </c>
      <c r="K3965" s="33" t="s">
        <v>22</v>
      </c>
    </row>
    <row r="3966" spans="1:11">
      <c r="A3966" s="30" t="s">
        <v>9513</v>
      </c>
      <c r="B3966" s="30" t="s">
        <v>9514</v>
      </c>
      <c r="C3966" s="30" t="s">
        <v>193</v>
      </c>
      <c r="D3966" s="30" t="s">
        <v>17</v>
      </c>
      <c r="E3966" s="30" t="s">
        <v>26</v>
      </c>
      <c r="F3966" s="30" t="s">
        <v>27</v>
      </c>
      <c r="G3966" s="30" t="s">
        <v>20</v>
      </c>
      <c r="H3966" s="32">
        <v>26</v>
      </c>
      <c r="I3966" s="30" t="s">
        <v>21</v>
      </c>
      <c r="J3966" s="41">
        <v>44419</v>
      </c>
      <c r="K3966" s="30" t="s">
        <v>22</v>
      </c>
    </row>
    <row r="3967" spans="1:11">
      <c r="A3967" s="33" t="s">
        <v>9515</v>
      </c>
      <c r="B3967" s="33" t="s">
        <v>9516</v>
      </c>
      <c r="C3967" s="33" t="s">
        <v>647</v>
      </c>
      <c r="D3967" s="33" t="s">
        <v>17</v>
      </c>
      <c r="E3967" s="33" t="s">
        <v>31</v>
      </c>
      <c r="F3967" s="33" t="s">
        <v>32</v>
      </c>
      <c r="G3967" s="33" t="s">
        <v>20</v>
      </c>
      <c r="H3967" s="35">
        <v>145</v>
      </c>
      <c r="I3967" s="33" t="s">
        <v>21</v>
      </c>
      <c r="J3967" s="42">
        <v>44412</v>
      </c>
      <c r="K3967" s="33" t="s">
        <v>22</v>
      </c>
    </row>
    <row r="3968" spans="1:11">
      <c r="A3968" s="30" t="s">
        <v>9517</v>
      </c>
      <c r="B3968" s="30" t="s">
        <v>9518</v>
      </c>
      <c r="C3968" s="30" t="s">
        <v>9519</v>
      </c>
      <c r="D3968" s="30" t="s">
        <v>17</v>
      </c>
      <c r="E3968" s="30" t="s">
        <v>26</v>
      </c>
      <c r="F3968" s="30" t="s">
        <v>27</v>
      </c>
      <c r="G3968" s="30" t="s">
        <v>50</v>
      </c>
      <c r="H3968" s="32">
        <v>110</v>
      </c>
      <c r="I3968" s="30" t="s">
        <v>51</v>
      </c>
      <c r="J3968" s="41">
        <v>44515</v>
      </c>
      <c r="K3968" s="30" t="s">
        <v>22</v>
      </c>
    </row>
    <row r="3969" spans="1:11">
      <c r="A3969" s="33" t="s">
        <v>9520</v>
      </c>
      <c r="B3969" s="33" t="s">
        <v>9521</v>
      </c>
      <c r="C3969" s="33" t="s">
        <v>109</v>
      </c>
      <c r="D3969" s="33" t="s">
        <v>17</v>
      </c>
      <c r="E3969" s="33" t="s">
        <v>212</v>
      </c>
      <c r="F3969" s="33" t="s">
        <v>213</v>
      </c>
      <c r="G3969" s="33" t="s">
        <v>140</v>
      </c>
      <c r="H3969" s="35">
        <v>130</v>
      </c>
      <c r="I3969" s="33" t="s">
        <v>51</v>
      </c>
      <c r="J3969" s="42">
        <v>44357</v>
      </c>
      <c r="K3969" s="33" t="s">
        <v>22</v>
      </c>
    </row>
    <row r="3970" spans="1:11">
      <c r="A3970" s="30" t="s">
        <v>9522</v>
      </c>
      <c r="B3970" s="30" t="s">
        <v>9523</v>
      </c>
      <c r="C3970" s="30" t="s">
        <v>54</v>
      </c>
      <c r="D3970" s="30" t="s">
        <v>17</v>
      </c>
      <c r="E3970" s="30" t="s">
        <v>31</v>
      </c>
      <c r="F3970" s="30" t="s">
        <v>32</v>
      </c>
      <c r="G3970" s="30" t="s">
        <v>20</v>
      </c>
      <c r="H3970" s="32">
        <v>76</v>
      </c>
      <c r="I3970" s="30" t="s">
        <v>21</v>
      </c>
      <c r="J3970" s="41">
        <v>44232</v>
      </c>
      <c r="K3970" s="30" t="s">
        <v>22</v>
      </c>
    </row>
    <row r="3971" spans="1:11">
      <c r="A3971" s="33" t="s">
        <v>9524</v>
      </c>
      <c r="B3971" s="33" t="s">
        <v>9525</v>
      </c>
      <c r="C3971" s="33" t="s">
        <v>178</v>
      </c>
      <c r="D3971" s="33" t="s">
        <v>17</v>
      </c>
      <c r="E3971" s="33" t="s">
        <v>18</v>
      </c>
      <c r="F3971" s="33" t="s">
        <v>19</v>
      </c>
      <c r="G3971" s="33" t="s">
        <v>20</v>
      </c>
      <c r="H3971" s="35">
        <v>553</v>
      </c>
      <c r="I3971" s="33" t="s">
        <v>21</v>
      </c>
      <c r="J3971" s="42">
        <v>44257</v>
      </c>
      <c r="K3971" s="33" t="s">
        <v>22</v>
      </c>
    </row>
    <row r="3972" spans="1:11">
      <c r="A3972" s="30" t="s">
        <v>9526</v>
      </c>
      <c r="B3972" s="30" t="s">
        <v>9527</v>
      </c>
      <c r="C3972" s="30" t="s">
        <v>9528</v>
      </c>
      <c r="D3972" s="30" t="s">
        <v>17</v>
      </c>
      <c r="E3972" s="30" t="s">
        <v>31</v>
      </c>
      <c r="F3972" s="30" t="s">
        <v>32</v>
      </c>
      <c r="G3972" s="30" t="s">
        <v>106</v>
      </c>
      <c r="H3972" s="32">
        <v>92</v>
      </c>
      <c r="I3972" s="30" t="s">
        <v>21</v>
      </c>
      <c r="J3972" s="41">
        <v>44351</v>
      </c>
      <c r="K3972" s="30" t="s">
        <v>22</v>
      </c>
    </row>
    <row r="3973" spans="1:11">
      <c r="A3973" s="33" t="s">
        <v>9529</v>
      </c>
      <c r="B3973" s="33" t="s">
        <v>9530</v>
      </c>
      <c r="C3973" s="33" t="s">
        <v>136</v>
      </c>
      <c r="D3973" s="33" t="s">
        <v>17</v>
      </c>
      <c r="E3973" s="33" t="s">
        <v>26</v>
      </c>
      <c r="F3973" s="33" t="s">
        <v>27</v>
      </c>
      <c r="G3973" s="33" t="s">
        <v>20</v>
      </c>
      <c r="H3973" s="35">
        <v>42</v>
      </c>
      <c r="I3973" s="33" t="s">
        <v>21</v>
      </c>
      <c r="J3973" s="42">
        <v>44251</v>
      </c>
      <c r="K3973" s="33" t="s">
        <v>22</v>
      </c>
    </row>
    <row r="3974" spans="1:11">
      <c r="A3974" s="30" t="s">
        <v>9531</v>
      </c>
      <c r="B3974" s="30" t="s">
        <v>9532</v>
      </c>
      <c r="C3974" s="30" t="s">
        <v>3989</v>
      </c>
      <c r="D3974" s="30" t="s">
        <v>17</v>
      </c>
      <c r="E3974" s="30" t="s">
        <v>67</v>
      </c>
      <c r="F3974" s="30" t="s">
        <v>68</v>
      </c>
      <c r="G3974" s="30" t="s">
        <v>106</v>
      </c>
      <c r="H3974" s="32">
        <v>128</v>
      </c>
      <c r="I3974" s="30" t="s">
        <v>21</v>
      </c>
      <c r="J3974" s="41">
        <v>44471</v>
      </c>
      <c r="K3974" s="30" t="s">
        <v>22</v>
      </c>
    </row>
    <row r="3975" spans="1:11">
      <c r="A3975" s="33" t="s">
        <v>9533</v>
      </c>
      <c r="B3975" s="33" t="s">
        <v>9534</v>
      </c>
      <c r="C3975" s="33" t="s">
        <v>3655</v>
      </c>
      <c r="D3975" s="33" t="s">
        <v>17</v>
      </c>
      <c r="E3975" s="33" t="s">
        <v>45</v>
      </c>
      <c r="F3975" s="33" t="s">
        <v>46</v>
      </c>
      <c r="G3975" s="33" t="s">
        <v>20</v>
      </c>
      <c r="H3975" s="35">
        <v>726</v>
      </c>
      <c r="I3975" s="33" t="s">
        <v>21</v>
      </c>
      <c r="J3975" s="42">
        <v>44243</v>
      </c>
      <c r="K3975" s="33" t="s">
        <v>22</v>
      </c>
    </row>
    <row r="3976" spans="1:11">
      <c r="A3976" s="30" t="s">
        <v>9535</v>
      </c>
      <c r="B3976" s="30" t="s">
        <v>9536</v>
      </c>
      <c r="C3976" s="30" t="s">
        <v>2500</v>
      </c>
      <c r="D3976" s="30" t="s">
        <v>17</v>
      </c>
      <c r="E3976" s="30" t="s">
        <v>330</v>
      </c>
      <c r="F3976" s="30" t="s">
        <v>331</v>
      </c>
      <c r="G3976" s="30" t="s">
        <v>158</v>
      </c>
      <c r="H3976" s="32">
        <v>39</v>
      </c>
      <c r="I3976" s="30" t="s">
        <v>51</v>
      </c>
      <c r="J3976" s="41">
        <v>44447</v>
      </c>
      <c r="K3976" s="30" t="s">
        <v>22</v>
      </c>
    </row>
    <row r="3977" spans="1:11">
      <c r="A3977" s="33" t="s">
        <v>9537</v>
      </c>
      <c r="B3977" s="33" t="s">
        <v>9538</v>
      </c>
      <c r="C3977" s="33" t="s">
        <v>9539</v>
      </c>
      <c r="D3977" s="33" t="s">
        <v>17</v>
      </c>
      <c r="E3977" s="33" t="s">
        <v>67</v>
      </c>
      <c r="F3977" s="33" t="s">
        <v>68</v>
      </c>
      <c r="G3977" s="33" t="s">
        <v>106</v>
      </c>
      <c r="H3977" s="35">
        <v>16</v>
      </c>
      <c r="I3977" s="33" t="s">
        <v>21</v>
      </c>
      <c r="J3977" s="42">
        <v>44440</v>
      </c>
      <c r="K3977" s="33" t="s">
        <v>22</v>
      </c>
    </row>
    <row r="3978" spans="1:11">
      <c r="A3978" s="30" t="s">
        <v>9540</v>
      </c>
      <c r="B3978" s="30" t="s">
        <v>9541</v>
      </c>
      <c r="C3978" s="30" t="s">
        <v>6041</v>
      </c>
      <c r="D3978" s="30" t="s">
        <v>17</v>
      </c>
      <c r="E3978" s="30" t="s">
        <v>18</v>
      </c>
      <c r="F3978" s="30" t="s">
        <v>19</v>
      </c>
      <c r="G3978" s="30" t="s">
        <v>20</v>
      </c>
      <c r="H3978" s="32">
        <v>353</v>
      </c>
      <c r="I3978" s="30" t="s">
        <v>21</v>
      </c>
      <c r="J3978" s="41">
        <v>44456</v>
      </c>
      <c r="K3978" s="30" t="s">
        <v>22</v>
      </c>
    </row>
    <row r="3979" spans="1:11">
      <c r="A3979" s="33" t="s">
        <v>9542</v>
      </c>
      <c r="B3979" s="33" t="s">
        <v>9543</v>
      </c>
      <c r="C3979" s="33" t="s">
        <v>9544</v>
      </c>
      <c r="D3979" s="33" t="s">
        <v>17</v>
      </c>
      <c r="E3979" s="33" t="s">
        <v>26</v>
      </c>
      <c r="F3979" s="33" t="s">
        <v>27</v>
      </c>
      <c r="G3979" s="33" t="s">
        <v>20</v>
      </c>
      <c r="H3979" s="35">
        <v>130</v>
      </c>
      <c r="I3979" s="33" t="s">
        <v>21</v>
      </c>
      <c r="J3979" s="42">
        <v>44422</v>
      </c>
      <c r="K3979" s="33" t="s">
        <v>22</v>
      </c>
    </row>
    <row r="3980" spans="1:11">
      <c r="A3980" s="30" t="s">
        <v>9545</v>
      </c>
      <c r="B3980" s="30" t="s">
        <v>9546</v>
      </c>
      <c r="C3980" s="30" t="s">
        <v>2017</v>
      </c>
      <c r="D3980" s="30" t="s">
        <v>17</v>
      </c>
      <c r="E3980" s="30" t="s">
        <v>18</v>
      </c>
      <c r="F3980" s="30" t="s">
        <v>19</v>
      </c>
      <c r="G3980" s="30" t="s">
        <v>20</v>
      </c>
      <c r="H3980" s="32">
        <v>407</v>
      </c>
      <c r="I3980" s="30" t="s">
        <v>21</v>
      </c>
      <c r="J3980" s="41">
        <v>44488</v>
      </c>
      <c r="K3980" s="30" t="s">
        <v>22</v>
      </c>
    </row>
    <row r="3981" spans="1:11">
      <c r="A3981" s="33" t="s">
        <v>9547</v>
      </c>
      <c r="B3981" s="33" t="s">
        <v>9548</v>
      </c>
      <c r="C3981" s="33" t="s">
        <v>899</v>
      </c>
      <c r="D3981" s="33" t="s">
        <v>17</v>
      </c>
      <c r="E3981" s="33" t="s">
        <v>26</v>
      </c>
      <c r="F3981" s="33" t="s">
        <v>27</v>
      </c>
      <c r="G3981" s="33" t="s">
        <v>20</v>
      </c>
      <c r="H3981" s="35">
        <v>126</v>
      </c>
      <c r="I3981" s="33" t="s">
        <v>21</v>
      </c>
      <c r="J3981" s="42">
        <v>44522</v>
      </c>
      <c r="K3981" s="33" t="s">
        <v>22</v>
      </c>
    </row>
    <row r="3982" spans="1:11">
      <c r="A3982" s="30" t="s">
        <v>9549</v>
      </c>
      <c r="B3982" s="30" t="s">
        <v>9550</v>
      </c>
      <c r="C3982" s="30" t="s">
        <v>1637</v>
      </c>
      <c r="D3982" s="30" t="s">
        <v>17</v>
      </c>
      <c r="E3982" s="30" t="s">
        <v>26</v>
      </c>
      <c r="F3982" s="30" t="s">
        <v>27</v>
      </c>
      <c r="G3982" s="30" t="s">
        <v>20</v>
      </c>
      <c r="H3982" s="32">
        <v>30</v>
      </c>
      <c r="I3982" s="30" t="s">
        <v>21</v>
      </c>
      <c r="J3982" s="41">
        <v>44456</v>
      </c>
      <c r="K3982" s="30" t="s">
        <v>22</v>
      </c>
    </row>
    <row r="3983" spans="1:11">
      <c r="A3983" s="33" t="s">
        <v>9551</v>
      </c>
      <c r="B3983" s="33" t="s">
        <v>9552</v>
      </c>
      <c r="C3983" s="33" t="s">
        <v>7035</v>
      </c>
      <c r="D3983" s="33" t="s">
        <v>17</v>
      </c>
      <c r="E3983" s="33" t="s">
        <v>18</v>
      </c>
      <c r="F3983" s="33" t="s">
        <v>19</v>
      </c>
      <c r="G3983" s="33" t="s">
        <v>20</v>
      </c>
      <c r="H3983" s="35">
        <v>425</v>
      </c>
      <c r="I3983" s="33" t="s">
        <v>21</v>
      </c>
      <c r="J3983" s="42">
        <v>44287</v>
      </c>
      <c r="K3983" s="33" t="s">
        <v>22</v>
      </c>
    </row>
    <row r="3984" spans="1:11">
      <c r="A3984" s="30" t="s">
        <v>9553</v>
      </c>
      <c r="B3984" s="30" t="s">
        <v>9554</v>
      </c>
      <c r="C3984" s="30" t="s">
        <v>524</v>
      </c>
      <c r="D3984" s="30" t="s">
        <v>17</v>
      </c>
      <c r="E3984" s="30" t="s">
        <v>26</v>
      </c>
      <c r="F3984" s="30" t="s">
        <v>27</v>
      </c>
      <c r="G3984" s="30" t="s">
        <v>106</v>
      </c>
      <c r="H3984" s="32">
        <v>26</v>
      </c>
      <c r="I3984" s="30" t="s">
        <v>21</v>
      </c>
      <c r="J3984" s="41">
        <v>44410</v>
      </c>
      <c r="K3984" s="30" t="s">
        <v>22</v>
      </c>
    </row>
    <row r="3985" spans="1:11">
      <c r="A3985" s="33" t="s">
        <v>9555</v>
      </c>
      <c r="B3985" s="33" t="s">
        <v>9556</v>
      </c>
      <c r="C3985" s="33" t="s">
        <v>96</v>
      </c>
      <c r="D3985" s="33" t="s">
        <v>17</v>
      </c>
      <c r="E3985" s="33" t="s">
        <v>26</v>
      </c>
      <c r="F3985" s="33" t="s">
        <v>27</v>
      </c>
      <c r="G3985" s="33" t="s">
        <v>20</v>
      </c>
      <c r="H3985" s="35">
        <v>4</v>
      </c>
      <c r="I3985" s="33" t="s">
        <v>21</v>
      </c>
      <c r="J3985" s="42">
        <v>44277</v>
      </c>
      <c r="K3985" s="33" t="s">
        <v>22</v>
      </c>
    </row>
    <row r="3986" spans="1:11">
      <c r="A3986" s="30" t="s">
        <v>9557</v>
      </c>
      <c r="B3986" s="30" t="s">
        <v>9558</v>
      </c>
      <c r="C3986" s="30" t="s">
        <v>638</v>
      </c>
      <c r="D3986" s="30" t="s">
        <v>17</v>
      </c>
      <c r="E3986" s="30" t="s">
        <v>18</v>
      </c>
      <c r="F3986" s="30" t="s">
        <v>19</v>
      </c>
      <c r="G3986" s="30" t="s">
        <v>20</v>
      </c>
      <c r="H3986" s="32">
        <v>755</v>
      </c>
      <c r="I3986" s="30" t="s">
        <v>21</v>
      </c>
      <c r="J3986" s="41">
        <v>44501</v>
      </c>
      <c r="K3986" s="30" t="s">
        <v>22</v>
      </c>
    </row>
    <row r="3987" spans="1:11">
      <c r="A3987" s="33" t="s">
        <v>9559</v>
      </c>
      <c r="B3987" s="33" t="s">
        <v>9560</v>
      </c>
      <c r="C3987" s="33" t="s">
        <v>78</v>
      </c>
      <c r="D3987" s="33" t="s">
        <v>17</v>
      </c>
      <c r="E3987" s="33" t="s">
        <v>26</v>
      </c>
      <c r="F3987" s="33" t="s">
        <v>27</v>
      </c>
      <c r="G3987" s="33" t="s">
        <v>20</v>
      </c>
      <c r="H3987" s="35">
        <v>26</v>
      </c>
      <c r="I3987" s="33" t="s">
        <v>21</v>
      </c>
      <c r="J3987" s="42">
        <v>44281</v>
      </c>
      <c r="K3987" s="33" t="s">
        <v>22</v>
      </c>
    </row>
    <row r="3988" spans="1:11">
      <c r="A3988" s="30" t="s">
        <v>9561</v>
      </c>
      <c r="B3988" s="30" t="s">
        <v>9562</v>
      </c>
      <c r="C3988" s="30" t="s">
        <v>96</v>
      </c>
      <c r="D3988" s="30" t="s">
        <v>17</v>
      </c>
      <c r="E3988" s="30" t="s">
        <v>26</v>
      </c>
      <c r="F3988" s="30" t="s">
        <v>27</v>
      </c>
      <c r="G3988" s="30" t="s">
        <v>20</v>
      </c>
      <c r="H3988" s="32">
        <v>35</v>
      </c>
      <c r="I3988" s="30" t="s">
        <v>21</v>
      </c>
      <c r="J3988" s="41">
        <v>44362</v>
      </c>
      <c r="K3988" s="30" t="s">
        <v>22</v>
      </c>
    </row>
    <row r="3989" spans="1:11">
      <c r="A3989" s="33" t="s">
        <v>9563</v>
      </c>
      <c r="B3989" s="33" t="s">
        <v>9564</v>
      </c>
      <c r="C3989" s="33" t="s">
        <v>9565</v>
      </c>
      <c r="D3989" s="33" t="s">
        <v>17</v>
      </c>
      <c r="E3989" s="33" t="s">
        <v>67</v>
      </c>
      <c r="F3989" s="33" t="s">
        <v>68</v>
      </c>
      <c r="G3989" s="33" t="s">
        <v>20</v>
      </c>
      <c r="H3989" s="35">
        <v>21</v>
      </c>
      <c r="I3989" s="33" t="s">
        <v>21</v>
      </c>
      <c r="J3989" s="42">
        <v>44482</v>
      </c>
      <c r="K3989" s="33" t="s">
        <v>22</v>
      </c>
    </row>
    <row r="3990" spans="1:11">
      <c r="A3990" s="30" t="s">
        <v>9566</v>
      </c>
      <c r="B3990" s="30" t="s">
        <v>9567</v>
      </c>
      <c r="C3990" s="30" t="s">
        <v>96</v>
      </c>
      <c r="D3990" s="30" t="s">
        <v>17</v>
      </c>
      <c r="E3990" s="30" t="s">
        <v>26</v>
      </c>
      <c r="F3990" s="30" t="s">
        <v>27</v>
      </c>
      <c r="G3990" s="30" t="s">
        <v>106</v>
      </c>
      <c r="H3990" s="32">
        <v>22</v>
      </c>
      <c r="I3990" s="30" t="s">
        <v>21</v>
      </c>
      <c r="J3990" s="41">
        <v>44285</v>
      </c>
      <c r="K3990" s="30" t="s">
        <v>22</v>
      </c>
    </row>
    <row r="3991" spans="1:11">
      <c r="A3991" s="33" t="s">
        <v>9568</v>
      </c>
      <c r="B3991" s="33" t="s">
        <v>9569</v>
      </c>
      <c r="C3991" s="33" t="s">
        <v>337</v>
      </c>
      <c r="D3991" s="33" t="s">
        <v>17</v>
      </c>
      <c r="E3991" s="33" t="s">
        <v>18</v>
      </c>
      <c r="F3991" s="33" t="s">
        <v>19</v>
      </c>
      <c r="G3991" s="33" t="s">
        <v>20</v>
      </c>
      <c r="H3991" s="35">
        <v>6</v>
      </c>
      <c r="I3991" s="33" t="s">
        <v>21</v>
      </c>
      <c r="J3991" s="42">
        <v>44469</v>
      </c>
      <c r="K3991" s="33" t="s">
        <v>22</v>
      </c>
    </row>
    <row r="3992" spans="1:11">
      <c r="A3992" s="30" t="s">
        <v>9570</v>
      </c>
      <c r="B3992" s="30" t="s">
        <v>9571</v>
      </c>
      <c r="C3992" s="30" t="s">
        <v>8255</v>
      </c>
      <c r="D3992" s="30" t="s">
        <v>17</v>
      </c>
      <c r="E3992" s="30" t="s">
        <v>18</v>
      </c>
      <c r="F3992" s="30" t="s">
        <v>19</v>
      </c>
      <c r="G3992" s="30" t="s">
        <v>20</v>
      </c>
      <c r="H3992" s="32">
        <v>274</v>
      </c>
      <c r="I3992" s="30" t="s">
        <v>21</v>
      </c>
      <c r="J3992" s="41">
        <v>44373</v>
      </c>
      <c r="K3992" s="30" t="s">
        <v>22</v>
      </c>
    </row>
    <row r="3993" spans="1:11">
      <c r="A3993" s="33" t="s">
        <v>9572</v>
      </c>
      <c r="B3993" s="33" t="s">
        <v>9573</v>
      </c>
      <c r="C3993" s="33" t="s">
        <v>9574</v>
      </c>
      <c r="D3993" s="33" t="s">
        <v>17</v>
      </c>
      <c r="E3993" s="33" t="s">
        <v>330</v>
      </c>
      <c r="F3993" s="33" t="s">
        <v>331</v>
      </c>
      <c r="G3993" s="33" t="s">
        <v>20</v>
      </c>
      <c r="H3993" s="35">
        <v>6</v>
      </c>
      <c r="I3993" s="33" t="s">
        <v>21</v>
      </c>
      <c r="J3993" s="42">
        <v>44252</v>
      </c>
      <c r="K3993" s="33" t="s">
        <v>22</v>
      </c>
    </row>
    <row r="3994" spans="1:11">
      <c r="A3994" s="30" t="s">
        <v>9575</v>
      </c>
      <c r="B3994" s="30" t="s">
        <v>9576</v>
      </c>
      <c r="C3994" s="30" t="s">
        <v>9577</v>
      </c>
      <c r="D3994" s="30" t="s">
        <v>17</v>
      </c>
      <c r="E3994" s="30" t="s">
        <v>31</v>
      </c>
      <c r="F3994" s="30" t="s">
        <v>32</v>
      </c>
      <c r="G3994" s="30" t="s">
        <v>140</v>
      </c>
      <c r="H3994" s="32">
        <v>80</v>
      </c>
      <c r="I3994" s="30" t="s">
        <v>51</v>
      </c>
      <c r="J3994" s="41">
        <v>44301</v>
      </c>
      <c r="K3994" s="30" t="s">
        <v>22</v>
      </c>
    </row>
    <row r="3995" spans="1:11">
      <c r="A3995" s="33" t="s">
        <v>9578</v>
      </c>
      <c r="B3995" s="33" t="s">
        <v>9579</v>
      </c>
      <c r="C3995" s="33" t="s">
        <v>9580</v>
      </c>
      <c r="D3995" s="33" t="s">
        <v>17</v>
      </c>
      <c r="E3995" s="33" t="s">
        <v>31</v>
      </c>
      <c r="F3995" s="33" t="s">
        <v>32</v>
      </c>
      <c r="G3995" s="33" t="s">
        <v>20</v>
      </c>
      <c r="H3995" s="35">
        <v>6</v>
      </c>
      <c r="I3995" s="33" t="s">
        <v>21</v>
      </c>
      <c r="J3995" s="42">
        <v>44350</v>
      </c>
      <c r="K3995" s="33" t="s">
        <v>22</v>
      </c>
    </row>
    <row r="3996" spans="1:11">
      <c r="A3996" s="30" t="s">
        <v>9581</v>
      </c>
      <c r="B3996" s="30" t="s">
        <v>9582</v>
      </c>
      <c r="C3996" s="30" t="s">
        <v>231</v>
      </c>
      <c r="D3996" s="30" t="s">
        <v>17</v>
      </c>
      <c r="E3996" s="30" t="s">
        <v>26</v>
      </c>
      <c r="F3996" s="30" t="s">
        <v>27</v>
      </c>
      <c r="G3996" s="30" t="s">
        <v>106</v>
      </c>
      <c r="H3996" s="32">
        <v>20</v>
      </c>
      <c r="I3996" s="30" t="s">
        <v>21</v>
      </c>
      <c r="J3996" s="41">
        <v>44286</v>
      </c>
      <c r="K3996" s="30" t="s">
        <v>22</v>
      </c>
    </row>
    <row r="3997" spans="1:11">
      <c r="A3997" s="33" t="s">
        <v>9583</v>
      </c>
      <c r="B3997" s="33" t="s">
        <v>9584</v>
      </c>
      <c r="C3997" s="33" t="s">
        <v>1219</v>
      </c>
      <c r="D3997" s="33" t="s">
        <v>17</v>
      </c>
      <c r="E3997" s="33" t="s">
        <v>26</v>
      </c>
      <c r="F3997" s="33" t="s">
        <v>27</v>
      </c>
      <c r="G3997" s="33" t="s">
        <v>20</v>
      </c>
      <c r="H3997" s="35">
        <v>72</v>
      </c>
      <c r="I3997" s="33" t="s">
        <v>21</v>
      </c>
      <c r="J3997" s="42">
        <v>44376</v>
      </c>
      <c r="K3997" s="33" t="s">
        <v>22</v>
      </c>
    </row>
    <row r="3998" spans="1:11">
      <c r="A3998" s="30" t="s">
        <v>9585</v>
      </c>
      <c r="B3998" s="30" t="s">
        <v>9586</v>
      </c>
      <c r="C3998" s="30" t="s">
        <v>1422</v>
      </c>
      <c r="D3998" s="30" t="s">
        <v>17</v>
      </c>
      <c r="E3998" s="30" t="s">
        <v>212</v>
      </c>
      <c r="F3998" s="30" t="s">
        <v>213</v>
      </c>
      <c r="G3998" s="30" t="s">
        <v>20</v>
      </c>
      <c r="H3998" s="32">
        <v>1068</v>
      </c>
      <c r="I3998" s="30" t="s">
        <v>21</v>
      </c>
      <c r="J3998" s="41">
        <v>44553</v>
      </c>
      <c r="K3998" s="30" t="s">
        <v>22</v>
      </c>
    </row>
    <row r="3999" spans="1:11">
      <c r="A3999" s="33" t="s">
        <v>9587</v>
      </c>
      <c r="B3999" s="33" t="s">
        <v>9588</v>
      </c>
      <c r="C3999" s="33" t="s">
        <v>96</v>
      </c>
      <c r="D3999" s="33" t="s">
        <v>17</v>
      </c>
      <c r="E3999" s="33" t="s">
        <v>31</v>
      </c>
      <c r="F3999" s="33" t="s">
        <v>32</v>
      </c>
      <c r="G3999" s="33" t="s">
        <v>20</v>
      </c>
      <c r="H3999" s="35">
        <v>628</v>
      </c>
      <c r="I3999" s="33" t="s">
        <v>21</v>
      </c>
      <c r="J3999" s="42">
        <v>44225</v>
      </c>
      <c r="K3999" s="33" t="s">
        <v>22</v>
      </c>
    </row>
    <row r="4000" spans="1:11">
      <c r="A4000" s="30" t="s">
        <v>9589</v>
      </c>
      <c r="B4000" s="30" t="s">
        <v>9590</v>
      </c>
      <c r="C4000" s="30" t="s">
        <v>450</v>
      </c>
      <c r="D4000" s="30" t="s">
        <v>17</v>
      </c>
      <c r="E4000" s="30" t="s">
        <v>45</v>
      </c>
      <c r="F4000" s="30" t="s">
        <v>46</v>
      </c>
      <c r="G4000" s="30" t="s">
        <v>106</v>
      </c>
      <c r="H4000" s="32">
        <v>38</v>
      </c>
      <c r="I4000" s="30" t="s">
        <v>21</v>
      </c>
      <c r="J4000" s="41">
        <v>44519</v>
      </c>
      <c r="K4000" s="30" t="s">
        <v>22</v>
      </c>
    </row>
    <row r="4001" spans="1:11">
      <c r="A4001" s="33" t="s">
        <v>9591</v>
      </c>
      <c r="B4001" s="33" t="s">
        <v>9592</v>
      </c>
      <c r="C4001" s="33" t="s">
        <v>1191</v>
      </c>
      <c r="D4001" s="33" t="s">
        <v>17</v>
      </c>
      <c r="E4001" s="33" t="s">
        <v>212</v>
      </c>
      <c r="F4001" s="33" t="s">
        <v>213</v>
      </c>
      <c r="G4001" s="33" t="s">
        <v>20</v>
      </c>
      <c r="H4001" s="35">
        <v>331</v>
      </c>
      <c r="I4001" s="33" t="s">
        <v>21</v>
      </c>
      <c r="J4001" s="42">
        <v>44285</v>
      </c>
      <c r="K4001" s="33" t="s">
        <v>22</v>
      </c>
    </row>
    <row r="4002" spans="1:11">
      <c r="A4002" s="30" t="s">
        <v>9593</v>
      </c>
      <c r="B4002" s="30" t="s">
        <v>9594</v>
      </c>
      <c r="C4002" s="30" t="s">
        <v>9595</v>
      </c>
      <c r="D4002" s="30" t="s">
        <v>17</v>
      </c>
      <c r="E4002" s="30" t="s">
        <v>31</v>
      </c>
      <c r="F4002" s="30" t="s">
        <v>32</v>
      </c>
      <c r="G4002" s="30" t="s">
        <v>50</v>
      </c>
      <c r="H4002" s="32">
        <v>180</v>
      </c>
      <c r="I4002" s="30" t="s">
        <v>51</v>
      </c>
      <c r="J4002" s="41">
        <v>44560</v>
      </c>
      <c r="K4002" s="30" t="s">
        <v>22</v>
      </c>
    </row>
    <row r="4003" spans="1:11">
      <c r="A4003" s="33" t="s">
        <v>9596</v>
      </c>
      <c r="B4003" s="33" t="s">
        <v>9597</v>
      </c>
      <c r="C4003" s="33" t="s">
        <v>93</v>
      </c>
      <c r="D4003" s="33" t="s">
        <v>17</v>
      </c>
      <c r="E4003" s="33" t="s">
        <v>31</v>
      </c>
      <c r="F4003" s="33" t="s">
        <v>32</v>
      </c>
      <c r="G4003" s="33" t="s">
        <v>20</v>
      </c>
      <c r="H4003" s="35">
        <v>20</v>
      </c>
      <c r="I4003" s="33" t="s">
        <v>21</v>
      </c>
      <c r="J4003" s="42">
        <v>44508</v>
      </c>
      <c r="K4003" s="33" t="s">
        <v>22</v>
      </c>
    </row>
    <row r="4004" spans="1:11">
      <c r="A4004" s="30" t="s">
        <v>9598</v>
      </c>
      <c r="B4004" s="30" t="s">
        <v>9599</v>
      </c>
      <c r="C4004" s="30" t="s">
        <v>1112</v>
      </c>
      <c r="D4004" s="30" t="s">
        <v>17</v>
      </c>
      <c r="E4004" s="30" t="s">
        <v>18</v>
      </c>
      <c r="F4004" s="30" t="s">
        <v>19</v>
      </c>
      <c r="G4004" s="30" t="s">
        <v>20</v>
      </c>
      <c r="H4004" s="32">
        <v>166</v>
      </c>
      <c r="I4004" s="30" t="s">
        <v>21</v>
      </c>
      <c r="J4004" s="41">
        <v>44517</v>
      </c>
      <c r="K4004" s="30" t="s">
        <v>22</v>
      </c>
    </row>
    <row r="4005" spans="1:11">
      <c r="A4005" s="33" t="s">
        <v>9600</v>
      </c>
      <c r="B4005" s="33" t="s">
        <v>9601</v>
      </c>
      <c r="C4005" s="33" t="s">
        <v>9602</v>
      </c>
      <c r="D4005" s="33" t="s">
        <v>17</v>
      </c>
      <c r="E4005" s="33" t="s">
        <v>26</v>
      </c>
      <c r="F4005" s="33" t="s">
        <v>27</v>
      </c>
      <c r="G4005" s="33" t="s">
        <v>20</v>
      </c>
      <c r="H4005" s="35">
        <v>43</v>
      </c>
      <c r="I4005" s="33" t="s">
        <v>21</v>
      </c>
      <c r="J4005" s="42">
        <v>44202</v>
      </c>
      <c r="K4005" s="33" t="s">
        <v>22</v>
      </c>
    </row>
    <row r="4006" spans="1:11">
      <c r="A4006" s="30" t="s">
        <v>9603</v>
      </c>
      <c r="B4006" s="30" t="s">
        <v>9604</v>
      </c>
      <c r="C4006" s="30" t="s">
        <v>9605</v>
      </c>
      <c r="D4006" s="30" t="s">
        <v>17</v>
      </c>
      <c r="E4006" s="30" t="s">
        <v>26</v>
      </c>
      <c r="F4006" s="30" t="s">
        <v>27</v>
      </c>
      <c r="G4006" s="30" t="s">
        <v>106</v>
      </c>
      <c r="H4006" s="32">
        <v>18</v>
      </c>
      <c r="I4006" s="30" t="s">
        <v>21</v>
      </c>
      <c r="J4006" s="41">
        <v>44322</v>
      </c>
      <c r="K4006" s="30" t="s">
        <v>22</v>
      </c>
    </row>
    <row r="4007" spans="1:11">
      <c r="A4007" s="33" t="s">
        <v>9606</v>
      </c>
      <c r="B4007" s="33" t="s">
        <v>9607</v>
      </c>
      <c r="C4007" s="33" t="s">
        <v>899</v>
      </c>
      <c r="D4007" s="33" t="s">
        <v>17</v>
      </c>
      <c r="E4007" s="33" t="s">
        <v>26</v>
      </c>
      <c r="F4007" s="33" t="s">
        <v>27</v>
      </c>
      <c r="G4007" s="33" t="s">
        <v>20</v>
      </c>
      <c r="H4007" s="35">
        <v>28</v>
      </c>
      <c r="I4007" s="33" t="s">
        <v>21</v>
      </c>
      <c r="J4007" s="42">
        <v>44206</v>
      </c>
      <c r="K4007" s="33" t="s">
        <v>22</v>
      </c>
    </row>
    <row r="4008" spans="1:11">
      <c r="A4008" s="30" t="s">
        <v>9608</v>
      </c>
      <c r="B4008" s="30" t="s">
        <v>9609</v>
      </c>
      <c r="C4008" s="30" t="s">
        <v>8250</v>
      </c>
      <c r="D4008" s="30" t="s">
        <v>17</v>
      </c>
      <c r="E4008" s="30" t="s">
        <v>26</v>
      </c>
      <c r="F4008" s="30" t="s">
        <v>27</v>
      </c>
      <c r="G4008" s="30" t="s">
        <v>20</v>
      </c>
      <c r="H4008" s="32">
        <v>3</v>
      </c>
      <c r="I4008" s="30" t="s">
        <v>21</v>
      </c>
      <c r="J4008" s="41">
        <v>44466</v>
      </c>
      <c r="K4008" s="30" t="s">
        <v>22</v>
      </c>
    </row>
    <row r="4009" spans="1:11">
      <c r="A4009" s="33" t="s">
        <v>9610</v>
      </c>
      <c r="B4009" s="33" t="s">
        <v>9611</v>
      </c>
      <c r="C4009" s="33" t="s">
        <v>1090</v>
      </c>
      <c r="D4009" s="33" t="s">
        <v>17</v>
      </c>
      <c r="E4009" s="33" t="s">
        <v>26</v>
      </c>
      <c r="F4009" s="33" t="s">
        <v>27</v>
      </c>
      <c r="G4009" s="33" t="s">
        <v>50</v>
      </c>
      <c r="H4009" s="35">
        <v>264</v>
      </c>
      <c r="I4009" s="33" t="s">
        <v>51</v>
      </c>
      <c r="J4009" s="42">
        <v>44558</v>
      </c>
      <c r="K4009" s="33" t="s">
        <v>22</v>
      </c>
    </row>
    <row r="4010" spans="1:11">
      <c r="A4010" s="30" t="s">
        <v>9612</v>
      </c>
      <c r="B4010" s="30" t="s">
        <v>9613</v>
      </c>
      <c r="C4010" s="30" t="s">
        <v>7020</v>
      </c>
      <c r="D4010" s="30" t="s">
        <v>17</v>
      </c>
      <c r="E4010" s="30" t="s">
        <v>18</v>
      </c>
      <c r="F4010" s="30" t="s">
        <v>19</v>
      </c>
      <c r="G4010" s="30" t="s">
        <v>20</v>
      </c>
      <c r="H4010" s="32">
        <v>272</v>
      </c>
      <c r="I4010" s="30" t="s">
        <v>21</v>
      </c>
      <c r="J4010" s="41">
        <v>44455</v>
      </c>
      <c r="K4010" s="30" t="s">
        <v>22</v>
      </c>
    </row>
    <row r="4011" spans="1:11">
      <c r="A4011" s="33" t="s">
        <v>9614</v>
      </c>
      <c r="B4011" s="33" t="s">
        <v>9615</v>
      </c>
      <c r="C4011" s="33" t="s">
        <v>374</v>
      </c>
      <c r="D4011" s="33" t="s">
        <v>17</v>
      </c>
      <c r="E4011" s="33" t="s">
        <v>45</v>
      </c>
      <c r="F4011" s="33" t="s">
        <v>46</v>
      </c>
      <c r="G4011" s="33" t="s">
        <v>20</v>
      </c>
      <c r="H4011" s="35">
        <v>52</v>
      </c>
      <c r="I4011" s="33" t="s">
        <v>21</v>
      </c>
      <c r="J4011" s="42">
        <v>44376</v>
      </c>
      <c r="K4011" s="33" t="s">
        <v>22</v>
      </c>
    </row>
    <row r="4012" spans="1:11">
      <c r="A4012" s="30" t="s">
        <v>9616</v>
      </c>
      <c r="B4012" s="30" t="s">
        <v>9617</v>
      </c>
      <c r="C4012" s="30" t="s">
        <v>9618</v>
      </c>
      <c r="D4012" s="30" t="s">
        <v>17</v>
      </c>
      <c r="E4012" s="30" t="s">
        <v>26</v>
      </c>
      <c r="F4012" s="30" t="s">
        <v>27</v>
      </c>
      <c r="G4012" s="30" t="s">
        <v>106</v>
      </c>
      <c r="H4012" s="32">
        <v>79</v>
      </c>
      <c r="I4012" s="30" t="s">
        <v>21</v>
      </c>
      <c r="J4012" s="41">
        <v>44280</v>
      </c>
      <c r="K4012" s="30" t="s">
        <v>22</v>
      </c>
    </row>
    <row r="4013" spans="1:11">
      <c r="A4013" s="33" t="s">
        <v>9619</v>
      </c>
      <c r="B4013" s="33" t="s">
        <v>9620</v>
      </c>
      <c r="C4013" s="33" t="s">
        <v>9621</v>
      </c>
      <c r="D4013" s="33" t="s">
        <v>17</v>
      </c>
      <c r="E4013" s="33" t="s">
        <v>45</v>
      </c>
      <c r="F4013" s="33" t="s">
        <v>46</v>
      </c>
      <c r="G4013" s="33" t="s">
        <v>20</v>
      </c>
      <c r="H4013" s="35">
        <v>424</v>
      </c>
      <c r="I4013" s="33" t="s">
        <v>21</v>
      </c>
      <c r="J4013" s="42">
        <v>44384</v>
      </c>
      <c r="K4013" s="33" t="s">
        <v>22</v>
      </c>
    </row>
    <row r="4014" spans="1:11">
      <c r="A4014" s="30" t="s">
        <v>9622</v>
      </c>
      <c r="B4014" s="30" t="s">
        <v>9623</v>
      </c>
      <c r="C4014" s="30" t="s">
        <v>9624</v>
      </c>
      <c r="D4014" s="30" t="s">
        <v>17</v>
      </c>
      <c r="E4014" s="30" t="s">
        <v>212</v>
      </c>
      <c r="F4014" s="30" t="s">
        <v>213</v>
      </c>
      <c r="G4014" s="30" t="s">
        <v>20</v>
      </c>
      <c r="H4014" s="32">
        <v>60</v>
      </c>
      <c r="I4014" s="30" t="s">
        <v>21</v>
      </c>
      <c r="J4014" s="41">
        <v>44270</v>
      </c>
      <c r="K4014" s="30" t="s">
        <v>22</v>
      </c>
    </row>
    <row r="4015" spans="1:11">
      <c r="A4015" s="33" t="s">
        <v>9625</v>
      </c>
      <c r="B4015" s="33" t="s">
        <v>9626</v>
      </c>
      <c r="C4015" s="33" t="s">
        <v>187</v>
      </c>
      <c r="D4015" s="33" t="s">
        <v>17</v>
      </c>
      <c r="E4015" s="33" t="s">
        <v>26</v>
      </c>
      <c r="F4015" s="33" t="s">
        <v>27</v>
      </c>
      <c r="G4015" s="33" t="s">
        <v>20</v>
      </c>
      <c r="H4015" s="35">
        <v>16</v>
      </c>
      <c r="I4015" s="33" t="s">
        <v>21</v>
      </c>
      <c r="J4015" s="42">
        <v>44383</v>
      </c>
      <c r="K4015" s="33" t="s">
        <v>22</v>
      </c>
    </row>
    <row r="4016" spans="1:11">
      <c r="A4016" s="30" t="s">
        <v>9627</v>
      </c>
      <c r="B4016" s="30" t="s">
        <v>9628</v>
      </c>
      <c r="C4016" s="30" t="s">
        <v>9629</v>
      </c>
      <c r="D4016" s="30" t="s">
        <v>17</v>
      </c>
      <c r="E4016" s="30" t="s">
        <v>67</v>
      </c>
      <c r="F4016" s="30" t="s">
        <v>68</v>
      </c>
      <c r="G4016" s="30" t="s">
        <v>140</v>
      </c>
      <c r="H4016" s="32">
        <v>380</v>
      </c>
      <c r="I4016" s="30" t="s">
        <v>51</v>
      </c>
      <c r="J4016" s="41">
        <v>44264</v>
      </c>
      <c r="K4016" s="30" t="s">
        <v>22</v>
      </c>
    </row>
    <row r="4017" spans="1:11">
      <c r="A4017" s="33" t="s">
        <v>9630</v>
      </c>
      <c r="B4017" s="33" t="s">
        <v>9631</v>
      </c>
      <c r="C4017" s="33" t="s">
        <v>9632</v>
      </c>
      <c r="D4017" s="33" t="s">
        <v>17</v>
      </c>
      <c r="E4017" s="33" t="s">
        <v>26</v>
      </c>
      <c r="F4017" s="33" t="s">
        <v>27</v>
      </c>
      <c r="G4017" s="33" t="s">
        <v>50</v>
      </c>
      <c r="H4017" s="35">
        <v>70</v>
      </c>
      <c r="I4017" s="33" t="s">
        <v>51</v>
      </c>
      <c r="J4017" s="42">
        <v>44299</v>
      </c>
      <c r="K4017" s="33" t="s">
        <v>22</v>
      </c>
    </row>
    <row r="4018" spans="1:11">
      <c r="A4018" s="30" t="s">
        <v>9633</v>
      </c>
      <c r="B4018" s="30" t="s">
        <v>9634</v>
      </c>
      <c r="C4018" s="30" t="s">
        <v>4345</v>
      </c>
      <c r="D4018" s="30" t="s">
        <v>17</v>
      </c>
      <c r="E4018" s="30" t="s">
        <v>31</v>
      </c>
      <c r="F4018" s="30" t="s">
        <v>32</v>
      </c>
      <c r="G4018" s="30" t="s">
        <v>20</v>
      </c>
      <c r="H4018" s="32">
        <v>50</v>
      </c>
      <c r="I4018" s="30" t="s">
        <v>21</v>
      </c>
      <c r="J4018" s="41">
        <v>44560</v>
      </c>
      <c r="K4018" s="30" t="s">
        <v>22</v>
      </c>
    </row>
    <row r="4019" spans="1:11">
      <c r="A4019" s="33" t="s">
        <v>9635</v>
      </c>
      <c r="B4019" s="33" t="s">
        <v>9636</v>
      </c>
      <c r="C4019" s="33" t="s">
        <v>4348</v>
      </c>
      <c r="D4019" s="33" t="s">
        <v>17</v>
      </c>
      <c r="E4019" s="33" t="s">
        <v>31</v>
      </c>
      <c r="F4019" s="33" t="s">
        <v>32</v>
      </c>
      <c r="G4019" s="33" t="s">
        <v>158</v>
      </c>
      <c r="H4019" s="35">
        <v>42</v>
      </c>
      <c r="I4019" s="33" t="s">
        <v>21</v>
      </c>
      <c r="J4019" s="42">
        <v>44552</v>
      </c>
      <c r="K4019" s="33" t="s">
        <v>22</v>
      </c>
    </row>
    <row r="4020" spans="1:11">
      <c r="A4020" s="30" t="s">
        <v>9637</v>
      </c>
      <c r="B4020" s="30" t="s">
        <v>9638</v>
      </c>
      <c r="C4020" s="30" t="s">
        <v>9639</v>
      </c>
      <c r="D4020" s="30" t="s">
        <v>17</v>
      </c>
      <c r="E4020" s="30" t="s">
        <v>45</v>
      </c>
      <c r="F4020" s="30" t="s">
        <v>46</v>
      </c>
      <c r="G4020" s="30" t="s">
        <v>112</v>
      </c>
      <c r="H4020" s="32">
        <v>0</v>
      </c>
      <c r="I4020" s="30" t="s">
        <v>21</v>
      </c>
      <c r="J4020" s="41">
        <v>44531</v>
      </c>
      <c r="K4020" s="30" t="s">
        <v>22</v>
      </c>
    </row>
    <row r="4021" spans="1:11">
      <c r="A4021" s="33" t="s">
        <v>9640</v>
      </c>
      <c r="B4021" s="33" t="s">
        <v>9641</v>
      </c>
      <c r="C4021" s="33" t="s">
        <v>1042</v>
      </c>
      <c r="D4021" s="33" t="s">
        <v>17</v>
      </c>
      <c r="E4021" s="33" t="s">
        <v>31</v>
      </c>
      <c r="F4021" s="33" t="s">
        <v>32</v>
      </c>
      <c r="G4021" s="33" t="s">
        <v>20</v>
      </c>
      <c r="H4021" s="35">
        <v>8</v>
      </c>
      <c r="I4021" s="33" t="s">
        <v>21</v>
      </c>
      <c r="J4021" s="42">
        <v>44205</v>
      </c>
      <c r="K4021" s="33" t="s">
        <v>22</v>
      </c>
    </row>
    <row r="4022" spans="1:11">
      <c r="A4022" s="30" t="s">
        <v>9642</v>
      </c>
      <c r="B4022" s="30" t="s">
        <v>9643</v>
      </c>
      <c r="C4022" s="30" t="s">
        <v>2753</v>
      </c>
      <c r="D4022" s="30" t="s">
        <v>17</v>
      </c>
      <c r="E4022" s="30" t="s">
        <v>67</v>
      </c>
      <c r="F4022" s="30" t="s">
        <v>68</v>
      </c>
      <c r="G4022" s="30" t="s">
        <v>140</v>
      </c>
      <c r="H4022" s="32">
        <v>260</v>
      </c>
      <c r="I4022" s="30" t="s">
        <v>51</v>
      </c>
      <c r="J4022" s="41">
        <v>44340</v>
      </c>
      <c r="K4022" s="30" t="s">
        <v>22</v>
      </c>
    </row>
    <row r="4023" spans="1:11">
      <c r="A4023" s="33" t="s">
        <v>9644</v>
      </c>
      <c r="B4023" s="33" t="s">
        <v>9645</v>
      </c>
      <c r="C4023" s="33" t="s">
        <v>9646</v>
      </c>
      <c r="D4023" s="33" t="s">
        <v>17</v>
      </c>
      <c r="E4023" s="33" t="s">
        <v>212</v>
      </c>
      <c r="F4023" s="33" t="s">
        <v>213</v>
      </c>
      <c r="G4023" s="33" t="s">
        <v>50</v>
      </c>
      <c r="H4023" s="35">
        <v>60</v>
      </c>
      <c r="I4023" s="33" t="s">
        <v>51</v>
      </c>
      <c r="J4023" s="42">
        <v>44313</v>
      </c>
      <c r="K4023" s="33" t="s">
        <v>22</v>
      </c>
    </row>
    <row r="4024" spans="1:11">
      <c r="A4024" s="30" t="s">
        <v>9647</v>
      </c>
      <c r="B4024" s="30" t="s">
        <v>9648</v>
      </c>
      <c r="C4024" s="30" t="s">
        <v>7649</v>
      </c>
      <c r="D4024" s="30" t="s">
        <v>17</v>
      </c>
      <c r="E4024" s="30" t="s">
        <v>67</v>
      </c>
      <c r="F4024" s="30" t="s">
        <v>68</v>
      </c>
      <c r="G4024" s="30" t="s">
        <v>158</v>
      </c>
      <c r="H4024" s="32">
        <v>37</v>
      </c>
      <c r="I4024" s="30" t="s">
        <v>21</v>
      </c>
      <c r="J4024" s="41">
        <v>44540</v>
      </c>
      <c r="K4024" s="30" t="s">
        <v>22</v>
      </c>
    </row>
    <row r="4025" spans="1:11">
      <c r="A4025" s="33" t="s">
        <v>9649</v>
      </c>
      <c r="B4025" s="33" t="s">
        <v>9650</v>
      </c>
      <c r="C4025" s="33" t="s">
        <v>9651</v>
      </c>
      <c r="D4025" s="33" t="s">
        <v>17</v>
      </c>
      <c r="E4025" s="33" t="s">
        <v>26</v>
      </c>
      <c r="F4025" s="33" t="s">
        <v>27</v>
      </c>
      <c r="G4025" s="33" t="s">
        <v>50</v>
      </c>
      <c r="H4025" s="35">
        <v>62</v>
      </c>
      <c r="I4025" s="33" t="s">
        <v>51</v>
      </c>
      <c r="J4025" s="42">
        <v>44307</v>
      </c>
      <c r="K4025" s="33" t="s">
        <v>22</v>
      </c>
    </row>
    <row r="4026" spans="1:11">
      <c r="A4026" s="30" t="s">
        <v>9652</v>
      </c>
      <c r="B4026" s="30" t="s">
        <v>9653</v>
      </c>
      <c r="C4026" s="30" t="s">
        <v>9654</v>
      </c>
      <c r="D4026" s="30" t="s">
        <v>17</v>
      </c>
      <c r="E4026" s="30" t="s">
        <v>26</v>
      </c>
      <c r="F4026" s="30" t="s">
        <v>27</v>
      </c>
      <c r="G4026" s="30" t="s">
        <v>140</v>
      </c>
      <c r="H4026" s="32">
        <v>94</v>
      </c>
      <c r="I4026" s="30" t="s">
        <v>51</v>
      </c>
      <c r="J4026" s="41">
        <v>44462</v>
      </c>
      <c r="K4026" s="30" t="s">
        <v>22</v>
      </c>
    </row>
    <row r="4027" spans="1:11">
      <c r="A4027" s="33" t="s">
        <v>9655</v>
      </c>
      <c r="B4027" s="33" t="s">
        <v>9656</v>
      </c>
      <c r="C4027" s="33" t="s">
        <v>231</v>
      </c>
      <c r="D4027" s="33" t="s">
        <v>17</v>
      </c>
      <c r="E4027" s="33" t="s">
        <v>26</v>
      </c>
      <c r="F4027" s="33" t="s">
        <v>27</v>
      </c>
      <c r="G4027" s="33" t="s">
        <v>20</v>
      </c>
      <c r="H4027" s="35">
        <v>80</v>
      </c>
      <c r="I4027" s="33" t="s">
        <v>21</v>
      </c>
      <c r="J4027" s="42">
        <v>44487</v>
      </c>
      <c r="K4027" s="33" t="s">
        <v>22</v>
      </c>
    </row>
    <row r="4028" spans="1:11">
      <c r="A4028" s="30" t="s">
        <v>9657</v>
      </c>
      <c r="B4028" s="30" t="s">
        <v>9658</v>
      </c>
      <c r="C4028" s="30" t="s">
        <v>3655</v>
      </c>
      <c r="D4028" s="30" t="s">
        <v>17</v>
      </c>
      <c r="E4028" s="30" t="s">
        <v>18</v>
      </c>
      <c r="F4028" s="30" t="s">
        <v>19</v>
      </c>
      <c r="G4028" s="30" t="s">
        <v>20</v>
      </c>
      <c r="H4028" s="32">
        <v>1574</v>
      </c>
      <c r="I4028" s="30" t="s">
        <v>21</v>
      </c>
      <c r="J4028" s="41">
        <v>44242</v>
      </c>
      <c r="K4028" s="30" t="s">
        <v>22</v>
      </c>
    </row>
    <row r="4029" spans="1:11">
      <c r="A4029" s="33" t="s">
        <v>9659</v>
      </c>
      <c r="B4029" s="33" t="s">
        <v>9660</v>
      </c>
      <c r="C4029" s="33" t="s">
        <v>5605</v>
      </c>
      <c r="D4029" s="33" t="s">
        <v>17</v>
      </c>
      <c r="E4029" s="33" t="s">
        <v>18</v>
      </c>
      <c r="F4029" s="33" t="s">
        <v>19</v>
      </c>
      <c r="G4029" s="33" t="s">
        <v>50</v>
      </c>
      <c r="H4029" s="35">
        <v>351</v>
      </c>
      <c r="I4029" s="33" t="s">
        <v>51</v>
      </c>
      <c r="J4029" s="42">
        <v>44551</v>
      </c>
      <c r="K4029" s="33" t="s">
        <v>22</v>
      </c>
    </row>
    <row r="4030" spans="1:11">
      <c r="A4030" s="30" t="s">
        <v>9661</v>
      </c>
      <c r="B4030" s="30" t="s">
        <v>9662</v>
      </c>
      <c r="C4030" s="30" t="s">
        <v>2168</v>
      </c>
      <c r="D4030" s="30" t="s">
        <v>17</v>
      </c>
      <c r="E4030" s="30" t="s">
        <v>18</v>
      </c>
      <c r="F4030" s="30" t="s">
        <v>19</v>
      </c>
      <c r="G4030" s="30" t="s">
        <v>106</v>
      </c>
      <c r="H4030" s="32">
        <v>12</v>
      </c>
      <c r="I4030" s="30" t="s">
        <v>21</v>
      </c>
      <c r="J4030" s="41">
        <v>44497</v>
      </c>
      <c r="K4030" s="30" t="s">
        <v>22</v>
      </c>
    </row>
    <row r="4031" spans="1:11">
      <c r="A4031" s="33" t="s">
        <v>9663</v>
      </c>
      <c r="B4031" s="33" t="s">
        <v>9664</v>
      </c>
      <c r="C4031" s="33" t="s">
        <v>2778</v>
      </c>
      <c r="D4031" s="33" t="s">
        <v>17</v>
      </c>
      <c r="E4031" s="33" t="s">
        <v>26</v>
      </c>
      <c r="F4031" s="33" t="s">
        <v>27</v>
      </c>
      <c r="G4031" s="33" t="s">
        <v>20</v>
      </c>
      <c r="H4031" s="35">
        <v>18</v>
      </c>
      <c r="I4031" s="33" t="s">
        <v>21</v>
      </c>
      <c r="J4031" s="42">
        <v>44546</v>
      </c>
      <c r="K4031" s="33" t="s">
        <v>22</v>
      </c>
    </row>
    <row r="4032" spans="1:11">
      <c r="A4032" s="30" t="s">
        <v>9665</v>
      </c>
      <c r="B4032" s="30" t="s">
        <v>9666</v>
      </c>
      <c r="C4032" s="30" t="s">
        <v>1313</v>
      </c>
      <c r="D4032" s="30" t="s">
        <v>17</v>
      </c>
      <c r="E4032" s="30" t="s">
        <v>31</v>
      </c>
      <c r="F4032" s="30" t="s">
        <v>32</v>
      </c>
      <c r="G4032" s="30" t="s">
        <v>112</v>
      </c>
      <c r="H4032" s="32">
        <v>0</v>
      </c>
      <c r="I4032" s="30" t="s">
        <v>21</v>
      </c>
      <c r="J4032" s="41">
        <v>44287</v>
      </c>
      <c r="K4032" s="30" t="s">
        <v>22</v>
      </c>
    </row>
    <row r="4033" spans="1:11">
      <c r="A4033" s="33" t="s">
        <v>9667</v>
      </c>
      <c r="B4033" s="33" t="s">
        <v>9668</v>
      </c>
      <c r="C4033" s="33" t="s">
        <v>190</v>
      </c>
      <c r="D4033" s="33" t="s">
        <v>17</v>
      </c>
      <c r="E4033" s="33" t="s">
        <v>212</v>
      </c>
      <c r="F4033" s="33" t="s">
        <v>213</v>
      </c>
      <c r="G4033" s="33" t="s">
        <v>20</v>
      </c>
      <c r="H4033" s="35">
        <v>103</v>
      </c>
      <c r="I4033" s="33" t="s">
        <v>21</v>
      </c>
      <c r="J4033" s="42">
        <v>44391</v>
      </c>
      <c r="K4033" s="33" t="s">
        <v>22</v>
      </c>
    </row>
    <row r="4034" spans="1:11">
      <c r="A4034" s="30" t="s">
        <v>9669</v>
      </c>
      <c r="B4034" s="30" t="s">
        <v>9670</v>
      </c>
      <c r="C4034" s="30" t="s">
        <v>149</v>
      </c>
      <c r="D4034" s="30" t="s">
        <v>17</v>
      </c>
      <c r="E4034" s="30" t="s">
        <v>26</v>
      </c>
      <c r="F4034" s="30" t="s">
        <v>27</v>
      </c>
      <c r="G4034" s="30" t="s">
        <v>106</v>
      </c>
      <c r="H4034" s="32">
        <v>13</v>
      </c>
      <c r="I4034" s="30" t="s">
        <v>21</v>
      </c>
      <c r="J4034" s="41">
        <v>44494</v>
      </c>
      <c r="K4034" s="30" t="s">
        <v>22</v>
      </c>
    </row>
    <row r="4035" spans="1:11">
      <c r="A4035" s="33" t="s">
        <v>9671</v>
      </c>
      <c r="B4035" s="33" t="s">
        <v>9672</v>
      </c>
      <c r="C4035" s="33" t="s">
        <v>252</v>
      </c>
      <c r="D4035" s="33" t="s">
        <v>17</v>
      </c>
      <c r="E4035" s="33" t="s">
        <v>31</v>
      </c>
      <c r="F4035" s="33" t="s">
        <v>32</v>
      </c>
      <c r="G4035" s="33" t="s">
        <v>158</v>
      </c>
      <c r="H4035" s="35">
        <v>265</v>
      </c>
      <c r="I4035" s="33" t="s">
        <v>21</v>
      </c>
      <c r="J4035" s="42">
        <v>44228</v>
      </c>
      <c r="K4035" s="33" t="s">
        <v>22</v>
      </c>
    </row>
    <row r="4036" spans="1:11">
      <c r="A4036" s="30" t="s">
        <v>9673</v>
      </c>
      <c r="B4036" s="30" t="s">
        <v>9674</v>
      </c>
      <c r="C4036" s="30" t="s">
        <v>575</v>
      </c>
      <c r="D4036" s="30" t="s">
        <v>17</v>
      </c>
      <c r="E4036" s="30" t="s">
        <v>31</v>
      </c>
      <c r="F4036" s="30" t="s">
        <v>32</v>
      </c>
      <c r="G4036" s="30" t="s">
        <v>20</v>
      </c>
      <c r="H4036" s="32">
        <v>39</v>
      </c>
      <c r="I4036" s="30" t="s">
        <v>21</v>
      </c>
      <c r="J4036" s="41">
        <v>44421</v>
      </c>
      <c r="K4036" s="30" t="s">
        <v>22</v>
      </c>
    </row>
    <row r="4037" spans="1:11">
      <c r="A4037" s="33" t="s">
        <v>9675</v>
      </c>
      <c r="B4037" s="33" t="s">
        <v>9676</v>
      </c>
      <c r="C4037" s="33" t="s">
        <v>3775</v>
      </c>
      <c r="D4037" s="33" t="s">
        <v>17</v>
      </c>
      <c r="E4037" s="33" t="s">
        <v>26</v>
      </c>
      <c r="F4037" s="33" t="s">
        <v>27</v>
      </c>
      <c r="G4037" s="33" t="s">
        <v>20</v>
      </c>
      <c r="H4037" s="35">
        <v>31</v>
      </c>
      <c r="I4037" s="33" t="s">
        <v>21</v>
      </c>
      <c r="J4037" s="42">
        <v>44424</v>
      </c>
      <c r="K4037" s="33" t="s">
        <v>22</v>
      </c>
    </row>
    <row r="4038" spans="1:11">
      <c r="A4038" s="30" t="s">
        <v>9677</v>
      </c>
      <c r="B4038" s="30" t="s">
        <v>9678</v>
      </c>
      <c r="C4038" s="30" t="s">
        <v>5452</v>
      </c>
      <c r="D4038" s="30" t="s">
        <v>17</v>
      </c>
      <c r="E4038" s="30" t="s">
        <v>26</v>
      </c>
      <c r="F4038" s="30" t="s">
        <v>27</v>
      </c>
      <c r="G4038" s="30" t="s">
        <v>20</v>
      </c>
      <c r="H4038" s="32">
        <v>62</v>
      </c>
      <c r="I4038" s="30" t="s">
        <v>21</v>
      </c>
      <c r="J4038" s="41">
        <v>44223</v>
      </c>
      <c r="K4038" s="30" t="s">
        <v>22</v>
      </c>
    </row>
    <row r="4039" spans="1:11">
      <c r="A4039" s="33" t="s">
        <v>9679</v>
      </c>
      <c r="B4039" s="33" t="s">
        <v>9680</v>
      </c>
      <c r="C4039" s="33" t="s">
        <v>190</v>
      </c>
      <c r="D4039" s="33" t="s">
        <v>17</v>
      </c>
      <c r="E4039" s="33" t="s">
        <v>18</v>
      </c>
      <c r="F4039" s="33" t="s">
        <v>19</v>
      </c>
      <c r="G4039" s="33" t="s">
        <v>20</v>
      </c>
      <c r="H4039" s="35">
        <v>270</v>
      </c>
      <c r="I4039" s="33" t="s">
        <v>21</v>
      </c>
      <c r="J4039" s="42">
        <v>44322</v>
      </c>
      <c r="K4039" s="33" t="s">
        <v>22</v>
      </c>
    </row>
    <row r="4040" spans="1:11">
      <c r="A4040" s="30" t="s">
        <v>9681</v>
      </c>
      <c r="B4040" s="30" t="s">
        <v>9682</v>
      </c>
      <c r="C4040" s="30" t="s">
        <v>9683</v>
      </c>
      <c r="D4040" s="30" t="s">
        <v>17</v>
      </c>
      <c r="E4040" s="30" t="s">
        <v>18</v>
      </c>
      <c r="F4040" s="30" t="s">
        <v>19</v>
      </c>
      <c r="G4040" s="30" t="s">
        <v>112</v>
      </c>
      <c r="H4040" s="32">
        <v>0</v>
      </c>
      <c r="I4040" s="30" t="s">
        <v>21</v>
      </c>
      <c r="J4040" s="41">
        <v>44348</v>
      </c>
      <c r="K4040" s="30" t="s">
        <v>22</v>
      </c>
    </row>
    <row r="4041" spans="1:11">
      <c r="A4041" s="33" t="s">
        <v>9684</v>
      </c>
      <c r="B4041" s="33" t="s">
        <v>9685</v>
      </c>
      <c r="C4041" s="33" t="s">
        <v>1908</v>
      </c>
      <c r="D4041" s="33" t="s">
        <v>17</v>
      </c>
      <c r="E4041" s="33" t="s">
        <v>26</v>
      </c>
      <c r="F4041" s="33" t="s">
        <v>27</v>
      </c>
      <c r="G4041" s="33" t="s">
        <v>20</v>
      </c>
      <c r="H4041" s="35">
        <v>24</v>
      </c>
      <c r="I4041" s="33" t="s">
        <v>21</v>
      </c>
      <c r="J4041" s="42">
        <v>44546</v>
      </c>
      <c r="K4041" s="33" t="s">
        <v>22</v>
      </c>
    </row>
    <row r="4042" spans="1:11">
      <c r="A4042" s="30" t="s">
        <v>9686</v>
      </c>
      <c r="B4042" s="30" t="s">
        <v>9687</v>
      </c>
      <c r="C4042" s="30" t="s">
        <v>9688</v>
      </c>
      <c r="D4042" s="30" t="s">
        <v>17</v>
      </c>
      <c r="E4042" s="30" t="s">
        <v>18</v>
      </c>
      <c r="F4042" s="30" t="s">
        <v>19</v>
      </c>
      <c r="G4042" s="30" t="s">
        <v>20</v>
      </c>
      <c r="H4042" s="32">
        <v>1037</v>
      </c>
      <c r="I4042" s="30" t="s">
        <v>21</v>
      </c>
      <c r="J4042" s="41">
        <v>44547</v>
      </c>
      <c r="K4042" s="30" t="s">
        <v>22</v>
      </c>
    </row>
    <row r="4043" spans="1:11">
      <c r="A4043" s="33" t="s">
        <v>9689</v>
      </c>
      <c r="B4043" s="33" t="s">
        <v>9690</v>
      </c>
      <c r="C4043" s="33" t="s">
        <v>1415</v>
      </c>
      <c r="D4043" s="33" t="s">
        <v>17</v>
      </c>
      <c r="E4043" s="33" t="s">
        <v>18</v>
      </c>
      <c r="F4043" s="33" t="s">
        <v>19</v>
      </c>
      <c r="G4043" s="33" t="s">
        <v>106</v>
      </c>
      <c r="H4043" s="35">
        <v>380</v>
      </c>
      <c r="I4043" s="33" t="s">
        <v>21</v>
      </c>
      <c r="J4043" s="42">
        <v>44412</v>
      </c>
      <c r="K4043" s="33" t="s">
        <v>22</v>
      </c>
    </row>
    <row r="4044" spans="1:11">
      <c r="A4044" s="30" t="s">
        <v>9691</v>
      </c>
      <c r="B4044" s="30" t="s">
        <v>9692</v>
      </c>
      <c r="C4044" s="30" t="s">
        <v>149</v>
      </c>
      <c r="D4044" s="30" t="s">
        <v>17</v>
      </c>
      <c r="E4044" s="30" t="s">
        <v>31</v>
      </c>
      <c r="F4044" s="30" t="s">
        <v>32</v>
      </c>
      <c r="G4044" s="30" t="s">
        <v>20</v>
      </c>
      <c r="H4044" s="32">
        <v>60</v>
      </c>
      <c r="I4044" s="30" t="s">
        <v>21</v>
      </c>
      <c r="J4044" s="41">
        <v>44298</v>
      </c>
      <c r="K4044" s="30" t="s">
        <v>22</v>
      </c>
    </row>
    <row r="4045" spans="1:11">
      <c r="A4045" s="33" t="s">
        <v>9693</v>
      </c>
      <c r="B4045" s="33" t="s">
        <v>9694</v>
      </c>
      <c r="C4045" s="33" t="s">
        <v>102</v>
      </c>
      <c r="D4045" s="33" t="s">
        <v>17</v>
      </c>
      <c r="E4045" s="33" t="s">
        <v>26</v>
      </c>
      <c r="F4045" s="33" t="s">
        <v>27</v>
      </c>
      <c r="G4045" s="33" t="s">
        <v>20</v>
      </c>
      <c r="H4045" s="35">
        <v>109</v>
      </c>
      <c r="I4045" s="33" t="s">
        <v>21</v>
      </c>
      <c r="J4045" s="42">
        <v>44313</v>
      </c>
      <c r="K4045" s="33" t="s">
        <v>22</v>
      </c>
    </row>
    <row r="4046" spans="1:11">
      <c r="A4046" s="30" t="s">
        <v>9695</v>
      </c>
      <c r="B4046" s="30" t="s">
        <v>9696</v>
      </c>
      <c r="C4046" s="30" t="s">
        <v>1504</v>
      </c>
      <c r="D4046" s="30" t="s">
        <v>17</v>
      </c>
      <c r="E4046" s="30" t="s">
        <v>26</v>
      </c>
      <c r="F4046" s="30" t="s">
        <v>27</v>
      </c>
      <c r="G4046" s="30" t="s">
        <v>20</v>
      </c>
      <c r="H4046" s="32">
        <v>24</v>
      </c>
      <c r="I4046" s="30" t="s">
        <v>21</v>
      </c>
      <c r="J4046" s="41">
        <v>44253</v>
      </c>
      <c r="K4046" s="30" t="s">
        <v>22</v>
      </c>
    </row>
    <row r="4047" spans="1:11">
      <c r="A4047" s="33" t="s">
        <v>9697</v>
      </c>
      <c r="B4047" s="33" t="s">
        <v>9698</v>
      </c>
      <c r="C4047" s="33" t="s">
        <v>178</v>
      </c>
      <c r="D4047" s="33" t="s">
        <v>17</v>
      </c>
      <c r="E4047" s="33" t="s">
        <v>31</v>
      </c>
      <c r="F4047" s="33" t="s">
        <v>32</v>
      </c>
      <c r="G4047" s="33" t="s">
        <v>20</v>
      </c>
      <c r="H4047" s="35">
        <v>104</v>
      </c>
      <c r="I4047" s="33" t="s">
        <v>21</v>
      </c>
      <c r="J4047" s="42">
        <v>44286</v>
      </c>
      <c r="K4047" s="33" t="s">
        <v>22</v>
      </c>
    </row>
    <row r="4048" spans="1:11">
      <c r="A4048" s="30" t="s">
        <v>9699</v>
      </c>
      <c r="B4048" s="30" t="s">
        <v>9700</v>
      </c>
      <c r="C4048" s="30" t="s">
        <v>1816</v>
      </c>
      <c r="D4048" s="30" t="s">
        <v>17</v>
      </c>
      <c r="E4048" s="30" t="s">
        <v>31</v>
      </c>
      <c r="F4048" s="30" t="s">
        <v>32</v>
      </c>
      <c r="G4048" s="30" t="s">
        <v>158</v>
      </c>
      <c r="H4048" s="32">
        <v>93</v>
      </c>
      <c r="I4048" s="30" t="s">
        <v>21</v>
      </c>
      <c r="J4048" s="41">
        <v>44480</v>
      </c>
      <c r="K4048" s="30" t="s">
        <v>22</v>
      </c>
    </row>
    <row r="4049" spans="1:11">
      <c r="A4049" s="33" t="s">
        <v>9701</v>
      </c>
      <c r="B4049" s="33" t="s">
        <v>9702</v>
      </c>
      <c r="C4049" s="33" t="s">
        <v>1571</v>
      </c>
      <c r="D4049" s="33" t="s">
        <v>17</v>
      </c>
      <c r="E4049" s="33" t="s">
        <v>26</v>
      </c>
      <c r="F4049" s="33" t="s">
        <v>27</v>
      </c>
      <c r="G4049" s="33" t="s">
        <v>50</v>
      </c>
      <c r="H4049" s="35">
        <v>60</v>
      </c>
      <c r="I4049" s="33" t="s">
        <v>51</v>
      </c>
      <c r="J4049" s="42">
        <v>44439</v>
      </c>
      <c r="K4049" s="33" t="s">
        <v>22</v>
      </c>
    </row>
    <row r="4050" spans="1:11">
      <c r="A4050" s="30" t="s">
        <v>9703</v>
      </c>
      <c r="B4050" s="30" t="s">
        <v>9704</v>
      </c>
      <c r="C4050" s="30" t="s">
        <v>231</v>
      </c>
      <c r="D4050" s="30" t="s">
        <v>17</v>
      </c>
      <c r="E4050" s="30" t="s">
        <v>26</v>
      </c>
      <c r="F4050" s="30" t="s">
        <v>27</v>
      </c>
      <c r="G4050" s="30" t="s">
        <v>20</v>
      </c>
      <c r="H4050" s="32">
        <v>30</v>
      </c>
      <c r="I4050" s="30" t="s">
        <v>21</v>
      </c>
      <c r="J4050" s="41">
        <v>44287</v>
      </c>
      <c r="K4050" s="30" t="s">
        <v>22</v>
      </c>
    </row>
    <row r="4051" spans="1:11">
      <c r="A4051" s="33" t="s">
        <v>9705</v>
      </c>
      <c r="B4051" s="33" t="s">
        <v>9706</v>
      </c>
      <c r="C4051" s="33" t="s">
        <v>190</v>
      </c>
      <c r="D4051" s="33" t="s">
        <v>17</v>
      </c>
      <c r="E4051" s="33" t="s">
        <v>26</v>
      </c>
      <c r="F4051" s="33" t="s">
        <v>27</v>
      </c>
      <c r="G4051" s="33" t="s">
        <v>20</v>
      </c>
      <c r="H4051" s="35">
        <v>8</v>
      </c>
      <c r="I4051" s="33" t="s">
        <v>21</v>
      </c>
      <c r="J4051" s="42">
        <v>44518</v>
      </c>
      <c r="K4051" s="33" t="s">
        <v>22</v>
      </c>
    </row>
    <row r="4052" spans="1:11">
      <c r="A4052" s="30" t="s">
        <v>9707</v>
      </c>
      <c r="B4052" s="30" t="s">
        <v>9708</v>
      </c>
      <c r="C4052" s="30" t="s">
        <v>1604</v>
      </c>
      <c r="D4052" s="30" t="s">
        <v>17</v>
      </c>
      <c r="E4052" s="30" t="s">
        <v>67</v>
      </c>
      <c r="F4052" s="30" t="s">
        <v>68</v>
      </c>
      <c r="G4052" s="30" t="s">
        <v>20</v>
      </c>
      <c r="H4052" s="32">
        <v>38</v>
      </c>
      <c r="I4052" s="30" t="s">
        <v>21</v>
      </c>
      <c r="J4052" s="41">
        <v>44350</v>
      </c>
      <c r="K4052" s="30" t="s">
        <v>22</v>
      </c>
    </row>
    <row r="4053" spans="1:11">
      <c r="A4053" s="33" t="s">
        <v>9709</v>
      </c>
      <c r="B4053" s="33" t="s">
        <v>9710</v>
      </c>
      <c r="C4053" s="33" t="s">
        <v>9711</v>
      </c>
      <c r="D4053" s="33" t="s">
        <v>17</v>
      </c>
      <c r="E4053" s="33" t="s">
        <v>67</v>
      </c>
      <c r="F4053" s="33" t="s">
        <v>68</v>
      </c>
      <c r="G4053" s="33" t="s">
        <v>140</v>
      </c>
      <c r="H4053" s="35">
        <v>434</v>
      </c>
      <c r="I4053" s="33" t="s">
        <v>51</v>
      </c>
      <c r="J4053" s="42">
        <v>44279</v>
      </c>
      <c r="K4053" s="33" t="s">
        <v>22</v>
      </c>
    </row>
    <row r="4054" spans="1:11">
      <c r="A4054" s="30" t="s">
        <v>9712</v>
      </c>
      <c r="B4054" s="30" t="s">
        <v>9713</v>
      </c>
      <c r="C4054" s="30" t="s">
        <v>9714</v>
      </c>
      <c r="D4054" s="30" t="s">
        <v>17</v>
      </c>
      <c r="E4054" s="30" t="s">
        <v>212</v>
      </c>
      <c r="F4054" s="30" t="s">
        <v>213</v>
      </c>
      <c r="G4054" s="30" t="s">
        <v>140</v>
      </c>
      <c r="H4054" s="32">
        <v>2076</v>
      </c>
      <c r="I4054" s="30" t="s">
        <v>51</v>
      </c>
      <c r="J4054" s="41">
        <v>44279</v>
      </c>
      <c r="K4054" s="30" t="s">
        <v>22</v>
      </c>
    </row>
    <row r="4055" spans="1:11">
      <c r="A4055" s="33" t="s">
        <v>9715</v>
      </c>
      <c r="B4055" s="33" t="s">
        <v>9716</v>
      </c>
      <c r="C4055" s="33" t="s">
        <v>6625</v>
      </c>
      <c r="D4055" s="33" t="s">
        <v>17</v>
      </c>
      <c r="E4055" s="33" t="s">
        <v>31</v>
      </c>
      <c r="F4055" s="33" t="s">
        <v>32</v>
      </c>
      <c r="G4055" s="33" t="s">
        <v>20</v>
      </c>
      <c r="H4055" s="35">
        <v>21</v>
      </c>
      <c r="I4055" s="33" t="s">
        <v>21</v>
      </c>
      <c r="J4055" s="42">
        <v>44469</v>
      </c>
      <c r="K4055" s="33" t="s">
        <v>22</v>
      </c>
    </row>
    <row r="4056" spans="1:11">
      <c r="A4056" s="30" t="s">
        <v>9717</v>
      </c>
      <c r="B4056" s="30" t="s">
        <v>9718</v>
      </c>
      <c r="C4056" s="30" t="s">
        <v>9719</v>
      </c>
      <c r="D4056" s="30" t="s">
        <v>17</v>
      </c>
      <c r="E4056" s="30" t="s">
        <v>31</v>
      </c>
      <c r="F4056" s="30" t="s">
        <v>32</v>
      </c>
      <c r="G4056" s="30" t="s">
        <v>20</v>
      </c>
      <c r="H4056" s="32">
        <v>73</v>
      </c>
      <c r="I4056" s="30" t="s">
        <v>21</v>
      </c>
      <c r="J4056" s="41">
        <v>44441</v>
      </c>
      <c r="K4056" s="30" t="s">
        <v>22</v>
      </c>
    </row>
    <row r="4057" spans="1:11">
      <c r="A4057" s="33" t="s">
        <v>9720</v>
      </c>
      <c r="B4057" s="33" t="s">
        <v>9721</v>
      </c>
      <c r="C4057" s="33" t="s">
        <v>9722</v>
      </c>
      <c r="D4057" s="33" t="s">
        <v>17</v>
      </c>
      <c r="E4057" s="33" t="s">
        <v>26</v>
      </c>
      <c r="F4057" s="33" t="s">
        <v>27</v>
      </c>
      <c r="G4057" s="33" t="s">
        <v>20</v>
      </c>
      <c r="H4057" s="35">
        <v>2</v>
      </c>
      <c r="I4057" s="33" t="s">
        <v>21</v>
      </c>
      <c r="J4057" s="42">
        <v>44313</v>
      </c>
      <c r="K4057" s="33" t="s">
        <v>22</v>
      </c>
    </row>
    <row r="4058" spans="1:11">
      <c r="A4058" s="30" t="s">
        <v>9723</v>
      </c>
      <c r="B4058" s="30" t="s">
        <v>9724</v>
      </c>
      <c r="C4058" s="30" t="s">
        <v>9725</v>
      </c>
      <c r="D4058" s="30" t="s">
        <v>17</v>
      </c>
      <c r="E4058" s="30" t="s">
        <v>31</v>
      </c>
      <c r="F4058" s="30" t="s">
        <v>32</v>
      </c>
      <c r="G4058" s="30" t="s">
        <v>50</v>
      </c>
      <c r="H4058" s="32">
        <v>24</v>
      </c>
      <c r="I4058" s="30" t="s">
        <v>51</v>
      </c>
      <c r="J4058" s="41">
        <v>44317</v>
      </c>
      <c r="K4058" s="30" t="s">
        <v>22</v>
      </c>
    </row>
    <row r="4059" spans="1:11">
      <c r="A4059" s="33" t="s">
        <v>9726</v>
      </c>
      <c r="B4059" s="33" t="s">
        <v>9727</v>
      </c>
      <c r="C4059" s="33" t="s">
        <v>9728</v>
      </c>
      <c r="D4059" s="33" t="s">
        <v>17</v>
      </c>
      <c r="E4059" s="33" t="s">
        <v>67</v>
      </c>
      <c r="F4059" s="33" t="s">
        <v>68</v>
      </c>
      <c r="G4059" s="33" t="s">
        <v>50</v>
      </c>
      <c r="H4059" s="35">
        <v>97</v>
      </c>
      <c r="I4059" s="33" t="s">
        <v>51</v>
      </c>
      <c r="J4059" s="42">
        <v>44372</v>
      </c>
      <c r="K4059" s="33" t="s">
        <v>22</v>
      </c>
    </row>
    <row r="4060" spans="1:11">
      <c r="A4060" s="30" t="s">
        <v>9729</v>
      </c>
      <c r="B4060" s="30" t="s">
        <v>9730</v>
      </c>
      <c r="C4060" s="30" t="s">
        <v>187</v>
      </c>
      <c r="D4060" s="30" t="s">
        <v>17</v>
      </c>
      <c r="E4060" s="30" t="s">
        <v>31</v>
      </c>
      <c r="F4060" s="30" t="s">
        <v>32</v>
      </c>
      <c r="G4060" s="30" t="s">
        <v>106</v>
      </c>
      <c r="H4060" s="32">
        <v>21</v>
      </c>
      <c r="I4060" s="30" t="s">
        <v>21</v>
      </c>
      <c r="J4060" s="41">
        <v>44426</v>
      </c>
      <c r="K4060" s="30" t="s">
        <v>22</v>
      </c>
    </row>
    <row r="4061" spans="1:11">
      <c r="A4061" s="33" t="s">
        <v>9731</v>
      </c>
      <c r="B4061" s="33" t="s">
        <v>9732</v>
      </c>
      <c r="C4061" s="33" t="s">
        <v>6732</v>
      </c>
      <c r="D4061" s="33" t="s">
        <v>17</v>
      </c>
      <c r="E4061" s="33" t="s">
        <v>18</v>
      </c>
      <c r="F4061" s="33" t="s">
        <v>19</v>
      </c>
      <c r="G4061" s="33" t="s">
        <v>20</v>
      </c>
      <c r="H4061" s="35">
        <v>142</v>
      </c>
      <c r="I4061" s="33" t="s">
        <v>21</v>
      </c>
      <c r="J4061" s="42">
        <v>44459</v>
      </c>
      <c r="K4061" s="33" t="s">
        <v>22</v>
      </c>
    </row>
    <row r="4062" spans="1:11">
      <c r="A4062" s="30" t="s">
        <v>9733</v>
      </c>
      <c r="B4062" s="30" t="s">
        <v>9734</v>
      </c>
      <c r="C4062" s="30" t="s">
        <v>190</v>
      </c>
      <c r="D4062" s="30" t="s">
        <v>17</v>
      </c>
      <c r="E4062" s="30" t="s">
        <v>26</v>
      </c>
      <c r="F4062" s="30" t="s">
        <v>27</v>
      </c>
      <c r="G4062" s="30" t="s">
        <v>20</v>
      </c>
      <c r="H4062" s="32">
        <v>39</v>
      </c>
      <c r="I4062" s="30" t="s">
        <v>21</v>
      </c>
      <c r="J4062" s="41">
        <v>44431</v>
      </c>
      <c r="K4062" s="30" t="s">
        <v>22</v>
      </c>
    </row>
    <row r="4063" spans="1:11">
      <c r="A4063" s="33" t="s">
        <v>9735</v>
      </c>
      <c r="B4063" s="33" t="s">
        <v>9736</v>
      </c>
      <c r="C4063" s="33" t="s">
        <v>9737</v>
      </c>
      <c r="D4063" s="33" t="s">
        <v>17</v>
      </c>
      <c r="E4063" s="33" t="s">
        <v>26</v>
      </c>
      <c r="F4063" s="33" t="s">
        <v>27</v>
      </c>
      <c r="G4063" s="33" t="s">
        <v>20</v>
      </c>
      <c r="H4063" s="35">
        <v>12</v>
      </c>
      <c r="I4063" s="33" t="s">
        <v>21</v>
      </c>
      <c r="J4063" s="42">
        <v>44347</v>
      </c>
      <c r="K4063" s="33" t="s">
        <v>22</v>
      </c>
    </row>
    <row r="4064" spans="1:11">
      <c r="A4064" s="30" t="s">
        <v>9738</v>
      </c>
      <c r="B4064" s="30" t="s">
        <v>9739</v>
      </c>
      <c r="C4064" s="30" t="s">
        <v>187</v>
      </c>
      <c r="D4064" s="30" t="s">
        <v>17</v>
      </c>
      <c r="E4064" s="30" t="s">
        <v>31</v>
      </c>
      <c r="F4064" s="30" t="s">
        <v>32</v>
      </c>
      <c r="G4064" s="30" t="s">
        <v>20</v>
      </c>
      <c r="H4064" s="32">
        <v>122</v>
      </c>
      <c r="I4064" s="30" t="s">
        <v>21</v>
      </c>
      <c r="J4064" s="41">
        <v>44231</v>
      </c>
      <c r="K4064" s="30" t="s">
        <v>22</v>
      </c>
    </row>
    <row r="4065" spans="1:11">
      <c r="A4065" s="33" t="s">
        <v>9740</v>
      </c>
      <c r="B4065" s="33" t="s">
        <v>9741</v>
      </c>
      <c r="C4065" s="33" t="s">
        <v>7388</v>
      </c>
      <c r="D4065" s="33" t="s">
        <v>17</v>
      </c>
      <c r="E4065" s="33" t="s">
        <v>26</v>
      </c>
      <c r="F4065" s="33" t="s">
        <v>27</v>
      </c>
      <c r="G4065" s="33" t="s">
        <v>20</v>
      </c>
      <c r="H4065" s="35">
        <v>23</v>
      </c>
      <c r="I4065" s="33" t="s">
        <v>21</v>
      </c>
      <c r="J4065" s="42">
        <v>44474</v>
      </c>
      <c r="K4065" s="33" t="s">
        <v>22</v>
      </c>
    </row>
    <row r="4066" spans="1:11">
      <c r="A4066" s="30" t="s">
        <v>9742</v>
      </c>
      <c r="B4066" s="30" t="s">
        <v>9743</v>
      </c>
      <c r="C4066" s="30" t="s">
        <v>3641</v>
      </c>
      <c r="D4066" s="30" t="s">
        <v>17</v>
      </c>
      <c r="E4066" s="30" t="s">
        <v>67</v>
      </c>
      <c r="F4066" s="30" t="s">
        <v>68</v>
      </c>
      <c r="G4066" s="30" t="s">
        <v>50</v>
      </c>
      <c r="H4066" s="32">
        <v>36</v>
      </c>
      <c r="I4066" s="30" t="s">
        <v>51</v>
      </c>
      <c r="J4066" s="41">
        <v>44224</v>
      </c>
      <c r="K4066" s="30" t="s">
        <v>22</v>
      </c>
    </row>
    <row r="4067" spans="1:11">
      <c r="A4067" s="33" t="s">
        <v>9744</v>
      </c>
      <c r="B4067" s="33" t="s">
        <v>9745</v>
      </c>
      <c r="C4067" s="33" t="s">
        <v>96</v>
      </c>
      <c r="D4067" s="33" t="s">
        <v>17</v>
      </c>
      <c r="E4067" s="33" t="s">
        <v>18</v>
      </c>
      <c r="F4067" s="33" t="s">
        <v>19</v>
      </c>
      <c r="G4067" s="33" t="s">
        <v>20</v>
      </c>
      <c r="H4067" s="35">
        <v>149</v>
      </c>
      <c r="I4067" s="33" t="s">
        <v>21</v>
      </c>
      <c r="J4067" s="42">
        <v>44295</v>
      </c>
      <c r="K4067" s="33" t="s">
        <v>22</v>
      </c>
    </row>
    <row r="4068" spans="1:11">
      <c r="A4068" s="30" t="s">
        <v>9746</v>
      </c>
      <c r="B4068" s="30" t="s">
        <v>9747</v>
      </c>
      <c r="C4068" s="30" t="s">
        <v>190</v>
      </c>
      <c r="D4068" s="30" t="s">
        <v>17</v>
      </c>
      <c r="E4068" s="30" t="s">
        <v>18</v>
      </c>
      <c r="F4068" s="30" t="s">
        <v>19</v>
      </c>
      <c r="G4068" s="30" t="s">
        <v>20</v>
      </c>
      <c r="H4068" s="32">
        <v>70</v>
      </c>
      <c r="I4068" s="30" t="s">
        <v>21</v>
      </c>
      <c r="J4068" s="41">
        <v>44431</v>
      </c>
      <c r="K4068" s="30" t="s">
        <v>22</v>
      </c>
    </row>
    <row r="4069" spans="1:11">
      <c r="A4069" s="33" t="s">
        <v>9748</v>
      </c>
      <c r="B4069" s="33" t="s">
        <v>9749</v>
      </c>
      <c r="C4069" s="33" t="s">
        <v>5084</v>
      </c>
      <c r="D4069" s="33" t="s">
        <v>17</v>
      </c>
      <c r="E4069" s="33" t="s">
        <v>26</v>
      </c>
      <c r="F4069" s="33" t="s">
        <v>27</v>
      </c>
      <c r="G4069" s="33" t="s">
        <v>20</v>
      </c>
      <c r="H4069" s="35">
        <v>119</v>
      </c>
      <c r="I4069" s="33" t="s">
        <v>21</v>
      </c>
      <c r="J4069" s="42">
        <v>44347</v>
      </c>
      <c r="K4069" s="33" t="s">
        <v>22</v>
      </c>
    </row>
    <row r="4070" spans="1:11">
      <c r="A4070" s="30" t="s">
        <v>9750</v>
      </c>
      <c r="B4070" s="30" t="s">
        <v>9751</v>
      </c>
      <c r="C4070" s="30" t="s">
        <v>136</v>
      </c>
      <c r="D4070" s="30" t="s">
        <v>17</v>
      </c>
      <c r="E4070" s="30" t="s">
        <v>18</v>
      </c>
      <c r="F4070" s="30" t="s">
        <v>19</v>
      </c>
      <c r="G4070" s="30" t="s">
        <v>20</v>
      </c>
      <c r="H4070" s="32">
        <v>267</v>
      </c>
      <c r="I4070" s="30" t="s">
        <v>21</v>
      </c>
      <c r="J4070" s="41">
        <v>44326</v>
      </c>
      <c r="K4070" s="30" t="s">
        <v>22</v>
      </c>
    </row>
    <row r="4071" spans="1:11">
      <c r="A4071" s="33" t="s">
        <v>9752</v>
      </c>
      <c r="B4071" s="33" t="s">
        <v>9753</v>
      </c>
      <c r="C4071" s="33" t="s">
        <v>4345</v>
      </c>
      <c r="D4071" s="33" t="s">
        <v>17</v>
      </c>
      <c r="E4071" s="33" t="s">
        <v>26</v>
      </c>
      <c r="F4071" s="33" t="s">
        <v>27</v>
      </c>
      <c r="G4071" s="33" t="s">
        <v>20</v>
      </c>
      <c r="H4071" s="35">
        <v>40</v>
      </c>
      <c r="I4071" s="33" t="s">
        <v>21</v>
      </c>
      <c r="J4071" s="42">
        <v>44253</v>
      </c>
      <c r="K4071" s="33" t="s">
        <v>22</v>
      </c>
    </row>
    <row r="4072" spans="1:11">
      <c r="A4072" s="30" t="s">
        <v>9754</v>
      </c>
      <c r="B4072" s="30" t="s">
        <v>9755</v>
      </c>
      <c r="C4072" s="30" t="s">
        <v>2978</v>
      </c>
      <c r="D4072" s="30" t="s">
        <v>17</v>
      </c>
      <c r="E4072" s="30" t="s">
        <v>26</v>
      </c>
      <c r="F4072" s="30" t="s">
        <v>27</v>
      </c>
      <c r="G4072" s="30" t="s">
        <v>50</v>
      </c>
      <c r="H4072" s="32">
        <v>80</v>
      </c>
      <c r="I4072" s="30" t="s">
        <v>51</v>
      </c>
      <c r="J4072" s="41">
        <v>44432</v>
      </c>
      <c r="K4072" s="30" t="s">
        <v>22</v>
      </c>
    </row>
    <row r="4073" spans="1:11">
      <c r="A4073" s="33" t="s">
        <v>9756</v>
      </c>
      <c r="B4073" s="33" t="s">
        <v>9757</v>
      </c>
      <c r="C4073" s="33" t="s">
        <v>925</v>
      </c>
      <c r="D4073" s="33" t="s">
        <v>17</v>
      </c>
      <c r="E4073" s="33" t="s">
        <v>31</v>
      </c>
      <c r="F4073" s="33" t="s">
        <v>32</v>
      </c>
      <c r="G4073" s="33" t="s">
        <v>112</v>
      </c>
      <c r="H4073" s="35">
        <v>0</v>
      </c>
      <c r="I4073" s="33" t="s">
        <v>21</v>
      </c>
      <c r="J4073" s="42">
        <v>44378</v>
      </c>
      <c r="K4073" s="33" t="s">
        <v>22</v>
      </c>
    </row>
    <row r="4074" spans="1:11">
      <c r="A4074" s="30" t="s">
        <v>9758</v>
      </c>
      <c r="B4074" s="30" t="s">
        <v>9759</v>
      </c>
      <c r="C4074" s="30" t="s">
        <v>9760</v>
      </c>
      <c r="D4074" s="30" t="s">
        <v>17</v>
      </c>
      <c r="E4074" s="30" t="s">
        <v>67</v>
      </c>
      <c r="F4074" s="30" t="s">
        <v>68</v>
      </c>
      <c r="G4074" s="30" t="s">
        <v>106</v>
      </c>
      <c r="H4074" s="32">
        <v>120</v>
      </c>
      <c r="I4074" s="30" t="s">
        <v>21</v>
      </c>
      <c r="J4074" s="41">
        <v>44495</v>
      </c>
      <c r="K4074" s="30" t="s">
        <v>22</v>
      </c>
    </row>
    <row r="4075" spans="1:11">
      <c r="A4075" s="33" t="s">
        <v>9761</v>
      </c>
      <c r="B4075" s="33" t="s">
        <v>9762</v>
      </c>
      <c r="C4075" s="33" t="s">
        <v>9763</v>
      </c>
      <c r="D4075" s="33" t="s">
        <v>17</v>
      </c>
      <c r="E4075" s="33" t="s">
        <v>212</v>
      </c>
      <c r="F4075" s="33" t="s">
        <v>213</v>
      </c>
      <c r="G4075" s="33" t="s">
        <v>20</v>
      </c>
      <c r="H4075" s="35">
        <v>40</v>
      </c>
      <c r="I4075" s="33" t="s">
        <v>21</v>
      </c>
      <c r="J4075" s="42">
        <v>44317</v>
      </c>
      <c r="K4075" s="33" t="s">
        <v>22</v>
      </c>
    </row>
    <row r="4076" spans="1:11">
      <c r="A4076" s="30" t="s">
        <v>9764</v>
      </c>
      <c r="B4076" s="30" t="s">
        <v>9765</v>
      </c>
      <c r="C4076" s="30" t="s">
        <v>647</v>
      </c>
      <c r="D4076" s="30" t="s">
        <v>17</v>
      </c>
      <c r="E4076" s="30" t="s">
        <v>26</v>
      </c>
      <c r="F4076" s="30" t="s">
        <v>27</v>
      </c>
      <c r="G4076" s="30" t="s">
        <v>20</v>
      </c>
      <c r="H4076" s="32">
        <v>102</v>
      </c>
      <c r="I4076" s="30" t="s">
        <v>21</v>
      </c>
      <c r="J4076" s="41">
        <v>44231</v>
      </c>
      <c r="K4076" s="30" t="s">
        <v>22</v>
      </c>
    </row>
    <row r="4077" spans="1:11">
      <c r="A4077" s="33" t="s">
        <v>9766</v>
      </c>
      <c r="B4077" s="33" t="s">
        <v>9767</v>
      </c>
      <c r="C4077" s="33" t="s">
        <v>8543</v>
      </c>
      <c r="D4077" s="33" t="s">
        <v>17</v>
      </c>
      <c r="E4077" s="33" t="s">
        <v>26</v>
      </c>
      <c r="F4077" s="33" t="s">
        <v>27</v>
      </c>
      <c r="G4077" s="33" t="s">
        <v>140</v>
      </c>
      <c r="H4077" s="35">
        <v>52</v>
      </c>
      <c r="I4077" s="33" t="s">
        <v>51</v>
      </c>
      <c r="J4077" s="42">
        <v>44447</v>
      </c>
      <c r="K4077" s="33" t="s">
        <v>22</v>
      </c>
    </row>
    <row r="4078" spans="1:11">
      <c r="A4078" s="30" t="s">
        <v>9768</v>
      </c>
      <c r="B4078" s="30" t="s">
        <v>9769</v>
      </c>
      <c r="C4078" s="30" t="s">
        <v>310</v>
      </c>
      <c r="D4078" s="30" t="s">
        <v>17</v>
      </c>
      <c r="E4078" s="30" t="s">
        <v>31</v>
      </c>
      <c r="F4078" s="30" t="s">
        <v>32</v>
      </c>
      <c r="G4078" s="30" t="s">
        <v>20</v>
      </c>
      <c r="H4078" s="32">
        <v>698</v>
      </c>
      <c r="I4078" s="30" t="s">
        <v>21</v>
      </c>
      <c r="J4078" s="41">
        <v>44439</v>
      </c>
      <c r="K4078" s="30" t="s">
        <v>22</v>
      </c>
    </row>
    <row r="4079" spans="1:11">
      <c r="A4079" s="33" t="s">
        <v>9770</v>
      </c>
      <c r="B4079" s="33" t="s">
        <v>9771</v>
      </c>
      <c r="C4079" s="33" t="s">
        <v>252</v>
      </c>
      <c r="D4079" s="33" t="s">
        <v>17</v>
      </c>
      <c r="E4079" s="33" t="s">
        <v>31</v>
      </c>
      <c r="F4079" s="33" t="s">
        <v>32</v>
      </c>
      <c r="G4079" s="33" t="s">
        <v>20</v>
      </c>
      <c r="H4079" s="35">
        <v>50</v>
      </c>
      <c r="I4079" s="33" t="s">
        <v>21</v>
      </c>
      <c r="J4079" s="42">
        <v>44287</v>
      </c>
      <c r="K4079" s="33" t="s">
        <v>22</v>
      </c>
    </row>
    <row r="4080" spans="1:11">
      <c r="A4080" s="30" t="s">
        <v>9772</v>
      </c>
      <c r="B4080" s="30" t="s">
        <v>9773</v>
      </c>
      <c r="C4080" s="30" t="s">
        <v>9774</v>
      </c>
      <c r="D4080" s="30" t="s">
        <v>17</v>
      </c>
      <c r="E4080" s="30" t="s">
        <v>330</v>
      </c>
      <c r="F4080" s="30" t="s">
        <v>331</v>
      </c>
      <c r="G4080" s="30" t="s">
        <v>50</v>
      </c>
      <c r="H4080" s="32">
        <v>15</v>
      </c>
      <c r="I4080" s="30" t="s">
        <v>51</v>
      </c>
      <c r="J4080" s="41">
        <v>44501</v>
      </c>
      <c r="K4080" s="30" t="s">
        <v>22</v>
      </c>
    </row>
    <row r="4081" spans="1:11">
      <c r="A4081" s="33" t="s">
        <v>9775</v>
      </c>
      <c r="B4081" s="33" t="s">
        <v>9776</v>
      </c>
      <c r="C4081" s="33" t="s">
        <v>279</v>
      </c>
      <c r="D4081" s="33" t="s">
        <v>17</v>
      </c>
      <c r="E4081" s="33" t="s">
        <v>31</v>
      </c>
      <c r="F4081" s="33" t="s">
        <v>32</v>
      </c>
      <c r="G4081" s="33" t="s">
        <v>20</v>
      </c>
      <c r="H4081" s="35">
        <v>60</v>
      </c>
      <c r="I4081" s="33" t="s">
        <v>21</v>
      </c>
      <c r="J4081" s="42">
        <v>44393</v>
      </c>
      <c r="K4081" s="33" t="s">
        <v>22</v>
      </c>
    </row>
    <row r="4082" spans="1:11">
      <c r="A4082" s="30" t="s">
        <v>9777</v>
      </c>
      <c r="B4082" s="30" t="s">
        <v>9778</v>
      </c>
      <c r="C4082" s="30" t="s">
        <v>6316</v>
      </c>
      <c r="D4082" s="30" t="s">
        <v>17</v>
      </c>
      <c r="E4082" s="30" t="s">
        <v>26</v>
      </c>
      <c r="F4082" s="30" t="s">
        <v>27</v>
      </c>
      <c r="G4082" s="30" t="s">
        <v>50</v>
      </c>
      <c r="H4082" s="32">
        <v>144</v>
      </c>
      <c r="I4082" s="30" t="s">
        <v>51</v>
      </c>
      <c r="J4082" s="41">
        <v>44249</v>
      </c>
      <c r="K4082" s="30" t="s">
        <v>22</v>
      </c>
    </row>
    <row r="4083" spans="1:11">
      <c r="A4083" s="33" t="s">
        <v>9779</v>
      </c>
      <c r="B4083" s="33" t="s">
        <v>9780</v>
      </c>
      <c r="C4083" s="33" t="s">
        <v>1869</v>
      </c>
      <c r="D4083" s="33" t="s">
        <v>17</v>
      </c>
      <c r="E4083" s="33" t="s">
        <v>26</v>
      </c>
      <c r="F4083" s="33" t="s">
        <v>27</v>
      </c>
      <c r="G4083" s="33" t="s">
        <v>106</v>
      </c>
      <c r="H4083" s="35">
        <v>1</v>
      </c>
      <c r="I4083" s="33" t="s">
        <v>21</v>
      </c>
      <c r="J4083" s="42">
        <v>44225</v>
      </c>
      <c r="K4083" s="33" t="s">
        <v>22</v>
      </c>
    </row>
    <row r="4084" spans="1:11">
      <c r="A4084" s="30" t="s">
        <v>9781</v>
      </c>
      <c r="B4084" s="30" t="s">
        <v>9782</v>
      </c>
      <c r="C4084" s="30" t="s">
        <v>334</v>
      </c>
      <c r="D4084" s="30" t="s">
        <v>17</v>
      </c>
      <c r="E4084" s="30" t="s">
        <v>26</v>
      </c>
      <c r="F4084" s="30" t="s">
        <v>27</v>
      </c>
      <c r="G4084" s="30" t="s">
        <v>20</v>
      </c>
      <c r="H4084" s="32">
        <v>72</v>
      </c>
      <c r="I4084" s="30" t="s">
        <v>21</v>
      </c>
      <c r="J4084" s="41">
        <v>44214</v>
      </c>
      <c r="K4084" s="30" t="s">
        <v>22</v>
      </c>
    </row>
    <row r="4085" spans="1:11">
      <c r="A4085" s="33" t="s">
        <v>9783</v>
      </c>
      <c r="B4085" s="33" t="s">
        <v>9784</v>
      </c>
      <c r="C4085" s="33" t="s">
        <v>9785</v>
      </c>
      <c r="D4085" s="33" t="s">
        <v>17</v>
      </c>
      <c r="E4085" s="33" t="s">
        <v>31</v>
      </c>
      <c r="F4085" s="33" t="s">
        <v>32</v>
      </c>
      <c r="G4085" s="33" t="s">
        <v>112</v>
      </c>
      <c r="H4085" s="35">
        <v>0</v>
      </c>
      <c r="I4085" s="33" t="s">
        <v>21</v>
      </c>
      <c r="J4085" s="42">
        <v>44228</v>
      </c>
      <c r="K4085" s="33" t="s">
        <v>22</v>
      </c>
    </row>
    <row r="4086" spans="1:11">
      <c r="A4086" s="30" t="s">
        <v>9786</v>
      </c>
      <c r="B4086" s="30" t="s">
        <v>9787</v>
      </c>
      <c r="C4086" s="30" t="s">
        <v>102</v>
      </c>
      <c r="D4086" s="30" t="s">
        <v>17</v>
      </c>
      <c r="E4086" s="30" t="s">
        <v>31</v>
      </c>
      <c r="F4086" s="30" t="s">
        <v>32</v>
      </c>
      <c r="G4086" s="30" t="s">
        <v>112</v>
      </c>
      <c r="H4086" s="32">
        <v>0</v>
      </c>
      <c r="I4086" s="30" t="s">
        <v>21</v>
      </c>
      <c r="J4086" s="41">
        <v>44258</v>
      </c>
      <c r="K4086" s="30" t="s">
        <v>22</v>
      </c>
    </row>
    <row r="4087" spans="1:11">
      <c r="A4087" s="33" t="s">
        <v>9788</v>
      </c>
      <c r="B4087" s="33" t="s">
        <v>9789</v>
      </c>
      <c r="C4087" s="33" t="s">
        <v>1090</v>
      </c>
      <c r="D4087" s="33" t="s">
        <v>17</v>
      </c>
      <c r="E4087" s="33" t="s">
        <v>31</v>
      </c>
      <c r="F4087" s="33" t="s">
        <v>32</v>
      </c>
      <c r="G4087" s="33" t="s">
        <v>50</v>
      </c>
      <c r="H4087" s="35">
        <v>135</v>
      </c>
      <c r="I4087" s="33" t="s">
        <v>51</v>
      </c>
      <c r="J4087" s="42">
        <v>44561</v>
      </c>
      <c r="K4087" s="33" t="s">
        <v>22</v>
      </c>
    </row>
    <row r="4088" spans="1:11">
      <c r="A4088" s="30" t="s">
        <v>9790</v>
      </c>
      <c r="B4088" s="30" t="s">
        <v>9791</v>
      </c>
      <c r="C4088" s="30" t="s">
        <v>647</v>
      </c>
      <c r="D4088" s="30" t="s">
        <v>17</v>
      </c>
      <c r="E4088" s="30" t="s">
        <v>31</v>
      </c>
      <c r="F4088" s="30" t="s">
        <v>32</v>
      </c>
      <c r="G4088" s="30" t="s">
        <v>20</v>
      </c>
      <c r="H4088" s="32">
        <v>160</v>
      </c>
      <c r="I4088" s="30" t="s">
        <v>21</v>
      </c>
      <c r="J4088" s="41">
        <v>44250</v>
      </c>
      <c r="K4088" s="30" t="s">
        <v>22</v>
      </c>
    </row>
    <row r="4089" spans="1:11">
      <c r="A4089" s="33" t="s">
        <v>9792</v>
      </c>
      <c r="B4089" s="33" t="s">
        <v>9793</v>
      </c>
      <c r="C4089" s="33" t="s">
        <v>6744</v>
      </c>
      <c r="D4089" s="33" t="s">
        <v>17</v>
      </c>
      <c r="E4089" s="33" t="s">
        <v>26</v>
      </c>
      <c r="F4089" s="33" t="s">
        <v>27</v>
      </c>
      <c r="G4089" s="33" t="s">
        <v>20</v>
      </c>
      <c r="H4089" s="35">
        <v>73</v>
      </c>
      <c r="I4089" s="33" t="s">
        <v>21</v>
      </c>
      <c r="J4089" s="42">
        <v>44511</v>
      </c>
      <c r="K4089" s="33" t="s">
        <v>22</v>
      </c>
    </row>
    <row r="4090" spans="1:11">
      <c r="A4090" s="30" t="s">
        <v>9794</v>
      </c>
      <c r="B4090" s="30" t="s">
        <v>9795</v>
      </c>
      <c r="C4090" s="30" t="s">
        <v>203</v>
      </c>
      <c r="D4090" s="30" t="s">
        <v>17</v>
      </c>
      <c r="E4090" s="30" t="s">
        <v>212</v>
      </c>
      <c r="F4090" s="30" t="s">
        <v>213</v>
      </c>
      <c r="G4090" s="30" t="s">
        <v>20</v>
      </c>
      <c r="H4090" s="32">
        <v>54</v>
      </c>
      <c r="I4090" s="30" t="s">
        <v>21</v>
      </c>
      <c r="J4090" s="41">
        <v>44308</v>
      </c>
      <c r="K4090" s="30" t="s">
        <v>22</v>
      </c>
    </row>
    <row r="4091" spans="1:11">
      <c r="A4091" s="33" t="s">
        <v>9796</v>
      </c>
      <c r="B4091" s="33" t="s">
        <v>9797</v>
      </c>
      <c r="C4091" s="33" t="s">
        <v>3013</v>
      </c>
      <c r="D4091" s="33" t="s">
        <v>17</v>
      </c>
      <c r="E4091" s="33" t="s">
        <v>212</v>
      </c>
      <c r="F4091" s="33" t="s">
        <v>213</v>
      </c>
      <c r="G4091" s="33" t="s">
        <v>20</v>
      </c>
      <c r="H4091" s="35">
        <v>44</v>
      </c>
      <c r="I4091" s="33" t="s">
        <v>21</v>
      </c>
      <c r="J4091" s="42">
        <v>44518</v>
      </c>
      <c r="K4091" s="33" t="s">
        <v>22</v>
      </c>
    </row>
    <row r="4092" spans="1:11">
      <c r="A4092" s="30" t="s">
        <v>9798</v>
      </c>
      <c r="B4092" s="30" t="s">
        <v>9799</v>
      </c>
      <c r="C4092" s="30" t="s">
        <v>9800</v>
      </c>
      <c r="D4092" s="30" t="s">
        <v>17</v>
      </c>
      <c r="E4092" s="30" t="s">
        <v>31</v>
      </c>
      <c r="F4092" s="30" t="s">
        <v>32</v>
      </c>
      <c r="G4092" s="30" t="s">
        <v>50</v>
      </c>
      <c r="H4092" s="32">
        <v>90</v>
      </c>
      <c r="I4092" s="30" t="s">
        <v>51</v>
      </c>
      <c r="J4092" s="41">
        <v>44432</v>
      </c>
      <c r="K4092" s="30" t="s">
        <v>22</v>
      </c>
    </row>
    <row r="4093" spans="1:11">
      <c r="A4093" s="33" t="s">
        <v>9801</v>
      </c>
      <c r="B4093" s="33" t="s">
        <v>9802</v>
      </c>
      <c r="C4093" s="33" t="s">
        <v>1509</v>
      </c>
      <c r="D4093" s="33" t="s">
        <v>17</v>
      </c>
      <c r="E4093" s="33" t="s">
        <v>18</v>
      </c>
      <c r="F4093" s="33" t="s">
        <v>19</v>
      </c>
      <c r="G4093" s="33" t="s">
        <v>106</v>
      </c>
      <c r="H4093" s="35">
        <v>17</v>
      </c>
      <c r="I4093" s="33" t="s">
        <v>21</v>
      </c>
      <c r="J4093" s="42">
        <v>44558</v>
      </c>
      <c r="K4093" s="33" t="s">
        <v>22</v>
      </c>
    </row>
    <row r="4094" spans="1:11">
      <c r="A4094" s="30" t="s">
        <v>9803</v>
      </c>
      <c r="B4094" s="30" t="s">
        <v>9804</v>
      </c>
      <c r="C4094" s="30" t="s">
        <v>443</v>
      </c>
      <c r="D4094" s="30" t="s">
        <v>17</v>
      </c>
      <c r="E4094" s="30" t="s">
        <v>212</v>
      </c>
      <c r="F4094" s="30" t="s">
        <v>213</v>
      </c>
      <c r="G4094" s="30" t="s">
        <v>20</v>
      </c>
      <c r="H4094" s="32">
        <v>600</v>
      </c>
      <c r="I4094" s="30" t="s">
        <v>21</v>
      </c>
      <c r="J4094" s="41">
        <v>44449</v>
      </c>
      <c r="K4094" s="30" t="s">
        <v>22</v>
      </c>
    </row>
    <row r="4095" spans="1:11">
      <c r="A4095" s="33" t="s">
        <v>9805</v>
      </c>
      <c r="B4095" s="33" t="s">
        <v>9806</v>
      </c>
      <c r="C4095" s="33" t="s">
        <v>9807</v>
      </c>
      <c r="D4095" s="33" t="s">
        <v>17</v>
      </c>
      <c r="E4095" s="33" t="s">
        <v>18</v>
      </c>
      <c r="F4095" s="33" t="s">
        <v>19</v>
      </c>
      <c r="G4095" s="33" t="s">
        <v>106</v>
      </c>
      <c r="H4095" s="35">
        <v>15</v>
      </c>
      <c r="I4095" s="33" t="s">
        <v>21</v>
      </c>
      <c r="J4095" s="42">
        <v>44524</v>
      </c>
      <c r="K4095" s="33" t="s">
        <v>22</v>
      </c>
    </row>
    <row r="4096" spans="1:11">
      <c r="A4096" s="30" t="s">
        <v>9808</v>
      </c>
      <c r="B4096" s="30" t="s">
        <v>9809</v>
      </c>
      <c r="C4096" s="30" t="s">
        <v>75</v>
      </c>
      <c r="D4096" s="30" t="s">
        <v>17</v>
      </c>
      <c r="E4096" s="30" t="s">
        <v>26</v>
      </c>
      <c r="F4096" s="30" t="s">
        <v>27</v>
      </c>
      <c r="G4096" s="30" t="s">
        <v>106</v>
      </c>
      <c r="H4096" s="32">
        <v>11</v>
      </c>
      <c r="I4096" s="30" t="s">
        <v>21</v>
      </c>
      <c r="J4096" s="41">
        <v>44539</v>
      </c>
      <c r="K4096" s="30" t="s">
        <v>22</v>
      </c>
    </row>
    <row r="4097" spans="1:11">
      <c r="A4097" s="33" t="s">
        <v>9810</v>
      </c>
      <c r="B4097" s="33" t="s">
        <v>9811</v>
      </c>
      <c r="C4097" s="33" t="s">
        <v>252</v>
      </c>
      <c r="D4097" s="33" t="s">
        <v>17</v>
      </c>
      <c r="E4097" s="33" t="s">
        <v>26</v>
      </c>
      <c r="F4097" s="33" t="s">
        <v>27</v>
      </c>
      <c r="G4097" s="33" t="s">
        <v>20</v>
      </c>
      <c r="H4097" s="35">
        <v>49</v>
      </c>
      <c r="I4097" s="33" t="s">
        <v>21</v>
      </c>
      <c r="J4097" s="42">
        <v>44278</v>
      </c>
      <c r="K4097" s="33" t="s">
        <v>22</v>
      </c>
    </row>
    <row r="4098" spans="1:11">
      <c r="A4098" s="30" t="s">
        <v>9812</v>
      </c>
      <c r="B4098" s="30" t="s">
        <v>9813</v>
      </c>
      <c r="C4098" s="30" t="s">
        <v>343</v>
      </c>
      <c r="D4098" s="30" t="s">
        <v>17</v>
      </c>
      <c r="E4098" s="30" t="s">
        <v>18</v>
      </c>
      <c r="F4098" s="30" t="s">
        <v>19</v>
      </c>
      <c r="G4098" s="30" t="s">
        <v>20</v>
      </c>
      <c r="H4098" s="32">
        <v>485</v>
      </c>
      <c r="I4098" s="30" t="s">
        <v>21</v>
      </c>
      <c r="J4098" s="41">
        <v>44328</v>
      </c>
      <c r="K4098" s="30" t="s">
        <v>22</v>
      </c>
    </row>
    <row r="4099" spans="1:11">
      <c r="A4099" s="33" t="s">
        <v>9814</v>
      </c>
      <c r="B4099" s="33" t="s">
        <v>9815</v>
      </c>
      <c r="C4099" s="33" t="s">
        <v>9816</v>
      </c>
      <c r="D4099" s="33" t="s">
        <v>17</v>
      </c>
      <c r="E4099" s="33" t="s">
        <v>26</v>
      </c>
      <c r="F4099" s="33" t="s">
        <v>27</v>
      </c>
      <c r="G4099" s="33" t="s">
        <v>20</v>
      </c>
      <c r="H4099" s="35">
        <v>60</v>
      </c>
      <c r="I4099" s="33" t="s">
        <v>21</v>
      </c>
      <c r="J4099" s="42">
        <v>44210</v>
      </c>
      <c r="K4099" s="33" t="s">
        <v>22</v>
      </c>
    </row>
    <row r="4100" spans="1:11">
      <c r="A4100" s="30" t="s">
        <v>9817</v>
      </c>
      <c r="B4100" s="30" t="s">
        <v>9818</v>
      </c>
      <c r="C4100" s="30" t="s">
        <v>57</v>
      </c>
      <c r="D4100" s="30" t="s">
        <v>17</v>
      </c>
      <c r="E4100" s="30" t="s">
        <v>26</v>
      </c>
      <c r="F4100" s="30" t="s">
        <v>27</v>
      </c>
      <c r="G4100" s="30" t="s">
        <v>50</v>
      </c>
      <c r="H4100" s="32">
        <v>36</v>
      </c>
      <c r="I4100" s="30" t="s">
        <v>51</v>
      </c>
      <c r="J4100" s="41">
        <v>44216</v>
      </c>
      <c r="K4100" s="30" t="s">
        <v>22</v>
      </c>
    </row>
    <row r="4101" spans="1:11">
      <c r="A4101" s="33" t="s">
        <v>9819</v>
      </c>
      <c r="B4101" s="33" t="s">
        <v>9820</v>
      </c>
      <c r="C4101" s="33" t="s">
        <v>9487</v>
      </c>
      <c r="D4101" s="33" t="s">
        <v>17</v>
      </c>
      <c r="E4101" s="33" t="s">
        <v>31</v>
      </c>
      <c r="F4101" s="33" t="s">
        <v>32</v>
      </c>
      <c r="G4101" s="33" t="s">
        <v>20</v>
      </c>
      <c r="H4101" s="35">
        <v>41</v>
      </c>
      <c r="I4101" s="33" t="s">
        <v>21</v>
      </c>
      <c r="J4101" s="42">
        <v>44481</v>
      </c>
      <c r="K4101" s="33" t="s">
        <v>22</v>
      </c>
    </row>
    <row r="4102" spans="1:11">
      <c r="A4102" s="30" t="s">
        <v>9821</v>
      </c>
      <c r="B4102" s="30" t="s">
        <v>9822</v>
      </c>
      <c r="C4102" s="30" t="s">
        <v>3622</v>
      </c>
      <c r="D4102" s="30" t="s">
        <v>17</v>
      </c>
      <c r="E4102" s="30" t="s">
        <v>26</v>
      </c>
      <c r="F4102" s="30" t="s">
        <v>27</v>
      </c>
      <c r="G4102" s="30" t="s">
        <v>20</v>
      </c>
      <c r="H4102" s="32">
        <v>94</v>
      </c>
      <c r="I4102" s="30" t="s">
        <v>21</v>
      </c>
      <c r="J4102" s="41">
        <v>44465</v>
      </c>
      <c r="K4102" s="30" t="s">
        <v>22</v>
      </c>
    </row>
    <row r="4103" spans="1:11">
      <c r="A4103" s="33" t="s">
        <v>9823</v>
      </c>
      <c r="B4103" s="33" t="s">
        <v>9824</v>
      </c>
      <c r="C4103" s="33" t="s">
        <v>9825</v>
      </c>
      <c r="D4103" s="33" t="s">
        <v>17</v>
      </c>
      <c r="E4103" s="33" t="s">
        <v>26</v>
      </c>
      <c r="F4103" s="33" t="s">
        <v>27</v>
      </c>
      <c r="G4103" s="33" t="s">
        <v>20</v>
      </c>
      <c r="H4103" s="35">
        <v>52</v>
      </c>
      <c r="I4103" s="33" t="s">
        <v>21</v>
      </c>
      <c r="J4103" s="42">
        <v>44501</v>
      </c>
      <c r="K4103" s="33" t="s">
        <v>22</v>
      </c>
    </row>
    <row r="4104" spans="1:11">
      <c r="A4104" s="30" t="s">
        <v>9826</v>
      </c>
      <c r="B4104" s="30" t="s">
        <v>9827</v>
      </c>
      <c r="C4104" s="30" t="s">
        <v>109</v>
      </c>
      <c r="D4104" s="30" t="s">
        <v>17</v>
      </c>
      <c r="E4104" s="30" t="s">
        <v>18</v>
      </c>
      <c r="F4104" s="30" t="s">
        <v>19</v>
      </c>
      <c r="G4104" s="30" t="s">
        <v>20</v>
      </c>
      <c r="H4104" s="32">
        <v>455</v>
      </c>
      <c r="I4104" s="30" t="s">
        <v>21</v>
      </c>
      <c r="J4104" s="41">
        <v>44531</v>
      </c>
      <c r="K4104" s="30" t="s">
        <v>22</v>
      </c>
    </row>
    <row r="4105" spans="1:11">
      <c r="A4105" s="33" t="s">
        <v>9828</v>
      </c>
      <c r="B4105" s="33" t="s">
        <v>9829</v>
      </c>
      <c r="C4105" s="33" t="s">
        <v>9830</v>
      </c>
      <c r="D4105" s="33" t="s">
        <v>17</v>
      </c>
      <c r="E4105" s="33" t="s">
        <v>45</v>
      </c>
      <c r="F4105" s="33" t="s">
        <v>46</v>
      </c>
      <c r="G4105" s="33" t="s">
        <v>20</v>
      </c>
      <c r="H4105" s="35">
        <v>56</v>
      </c>
      <c r="I4105" s="33" t="s">
        <v>21</v>
      </c>
      <c r="J4105" s="42">
        <v>44258</v>
      </c>
      <c r="K4105" s="33" t="s">
        <v>22</v>
      </c>
    </row>
    <row r="4106" spans="1:11">
      <c r="A4106" s="30" t="s">
        <v>9831</v>
      </c>
      <c r="B4106" s="30" t="s">
        <v>9832</v>
      </c>
      <c r="C4106" s="30" t="s">
        <v>4056</v>
      </c>
      <c r="D4106" s="30" t="s">
        <v>17</v>
      </c>
      <c r="E4106" s="30" t="s">
        <v>26</v>
      </c>
      <c r="F4106" s="30" t="s">
        <v>27</v>
      </c>
      <c r="G4106" s="30" t="s">
        <v>20</v>
      </c>
      <c r="H4106" s="32">
        <v>6</v>
      </c>
      <c r="I4106" s="30" t="s">
        <v>21</v>
      </c>
      <c r="J4106" s="41">
        <v>44440</v>
      </c>
      <c r="K4106" s="30" t="s">
        <v>22</v>
      </c>
    </row>
    <row r="4107" spans="1:11">
      <c r="A4107" s="33" t="s">
        <v>9833</v>
      </c>
      <c r="B4107" s="33" t="s">
        <v>9834</v>
      </c>
      <c r="C4107" s="33" t="s">
        <v>9835</v>
      </c>
      <c r="D4107" s="33" t="s">
        <v>17</v>
      </c>
      <c r="E4107" s="33" t="s">
        <v>26</v>
      </c>
      <c r="F4107" s="33" t="s">
        <v>27</v>
      </c>
      <c r="G4107" s="33" t="s">
        <v>20</v>
      </c>
      <c r="H4107" s="35">
        <v>28</v>
      </c>
      <c r="I4107" s="33" t="s">
        <v>21</v>
      </c>
      <c r="J4107" s="42">
        <v>44430</v>
      </c>
      <c r="K4107" s="33" t="s">
        <v>22</v>
      </c>
    </row>
    <row r="4108" spans="1:11">
      <c r="A4108" s="30" t="s">
        <v>9836</v>
      </c>
      <c r="B4108" s="30" t="s">
        <v>9837</v>
      </c>
      <c r="C4108" s="30" t="s">
        <v>9838</v>
      </c>
      <c r="D4108" s="30" t="s">
        <v>17</v>
      </c>
      <c r="E4108" s="30" t="s">
        <v>26</v>
      </c>
      <c r="F4108" s="30" t="s">
        <v>27</v>
      </c>
      <c r="G4108" s="30" t="s">
        <v>158</v>
      </c>
      <c r="H4108" s="32">
        <v>20</v>
      </c>
      <c r="I4108" s="30" t="s">
        <v>51</v>
      </c>
      <c r="J4108" s="41">
        <v>44494</v>
      </c>
      <c r="K4108" s="30" t="s">
        <v>22</v>
      </c>
    </row>
    <row r="4109" spans="1:11">
      <c r="A4109" s="33" t="s">
        <v>9839</v>
      </c>
      <c r="B4109" s="33" t="s">
        <v>9840</v>
      </c>
      <c r="C4109" s="33" t="s">
        <v>9841</v>
      </c>
      <c r="D4109" s="33" t="s">
        <v>17</v>
      </c>
      <c r="E4109" s="33" t="s">
        <v>18</v>
      </c>
      <c r="F4109" s="33" t="s">
        <v>19</v>
      </c>
      <c r="G4109" s="33" t="s">
        <v>20</v>
      </c>
      <c r="H4109" s="35">
        <v>474</v>
      </c>
      <c r="I4109" s="33" t="s">
        <v>21</v>
      </c>
      <c r="J4109" s="42">
        <v>44302</v>
      </c>
      <c r="K4109" s="33" t="s">
        <v>22</v>
      </c>
    </row>
    <row r="4110" spans="1:11">
      <c r="A4110" s="30" t="s">
        <v>9842</v>
      </c>
      <c r="B4110" s="30" t="s">
        <v>9843</v>
      </c>
      <c r="C4110" s="30" t="s">
        <v>9844</v>
      </c>
      <c r="D4110" s="30" t="s">
        <v>17</v>
      </c>
      <c r="E4110" s="30" t="s">
        <v>26</v>
      </c>
      <c r="F4110" s="30" t="s">
        <v>27</v>
      </c>
      <c r="G4110" s="30" t="s">
        <v>20</v>
      </c>
      <c r="H4110" s="32">
        <v>46</v>
      </c>
      <c r="I4110" s="30" t="s">
        <v>21</v>
      </c>
      <c r="J4110" s="41">
        <v>44300</v>
      </c>
      <c r="K4110" s="30" t="s">
        <v>22</v>
      </c>
    </row>
    <row r="4111" spans="1:11">
      <c r="A4111" s="33" t="s">
        <v>9845</v>
      </c>
      <c r="B4111" s="33" t="s">
        <v>9846</v>
      </c>
      <c r="C4111" s="33" t="s">
        <v>4345</v>
      </c>
      <c r="D4111" s="33" t="s">
        <v>17</v>
      </c>
      <c r="E4111" s="33" t="s">
        <v>31</v>
      </c>
      <c r="F4111" s="33" t="s">
        <v>32</v>
      </c>
      <c r="G4111" s="33" t="s">
        <v>20</v>
      </c>
      <c r="H4111" s="35">
        <v>160</v>
      </c>
      <c r="I4111" s="33" t="s">
        <v>21</v>
      </c>
      <c r="J4111" s="42">
        <v>44364</v>
      </c>
      <c r="K4111" s="33" t="s">
        <v>22</v>
      </c>
    </row>
    <row r="4112" spans="1:11">
      <c r="A4112" s="30" t="s">
        <v>9847</v>
      </c>
      <c r="B4112" s="30" t="s">
        <v>9848</v>
      </c>
      <c r="C4112" s="30" t="s">
        <v>157</v>
      </c>
      <c r="D4112" s="30" t="s">
        <v>17</v>
      </c>
      <c r="E4112" s="30" t="s">
        <v>26</v>
      </c>
      <c r="F4112" s="30" t="s">
        <v>27</v>
      </c>
      <c r="G4112" s="30" t="s">
        <v>112</v>
      </c>
      <c r="H4112" s="32">
        <v>0</v>
      </c>
      <c r="I4112" s="30" t="s">
        <v>21</v>
      </c>
      <c r="J4112" s="41">
        <v>44517</v>
      </c>
      <c r="K4112" s="30" t="s">
        <v>22</v>
      </c>
    </row>
    <row r="4113" spans="1:11">
      <c r="A4113" s="33" t="s">
        <v>9849</v>
      </c>
      <c r="B4113" s="33" t="s">
        <v>9850</v>
      </c>
      <c r="C4113" s="33" t="s">
        <v>136</v>
      </c>
      <c r="D4113" s="33" t="s">
        <v>17</v>
      </c>
      <c r="E4113" s="33" t="s">
        <v>212</v>
      </c>
      <c r="F4113" s="33" t="s">
        <v>213</v>
      </c>
      <c r="G4113" s="33" t="s">
        <v>112</v>
      </c>
      <c r="H4113" s="35">
        <v>0</v>
      </c>
      <c r="I4113" s="33" t="s">
        <v>21</v>
      </c>
      <c r="J4113" s="42">
        <v>44424</v>
      </c>
      <c r="K4113" s="33" t="s">
        <v>22</v>
      </c>
    </row>
    <row r="4114" spans="1:11">
      <c r="A4114" s="30" t="s">
        <v>9851</v>
      </c>
      <c r="B4114" s="30" t="s">
        <v>9852</v>
      </c>
      <c r="C4114" s="30" t="s">
        <v>9853</v>
      </c>
      <c r="D4114" s="30" t="s">
        <v>17</v>
      </c>
      <c r="E4114" s="30" t="s">
        <v>26</v>
      </c>
      <c r="F4114" s="30" t="s">
        <v>27</v>
      </c>
      <c r="G4114" s="30" t="s">
        <v>50</v>
      </c>
      <c r="H4114" s="32">
        <v>15</v>
      </c>
      <c r="I4114" s="30" t="s">
        <v>51</v>
      </c>
      <c r="J4114" s="41">
        <v>44417</v>
      </c>
      <c r="K4114" s="30" t="s">
        <v>22</v>
      </c>
    </row>
    <row r="4115" spans="1:11">
      <c r="A4115" s="33" t="s">
        <v>9854</v>
      </c>
      <c r="B4115" s="33" t="s">
        <v>9855</v>
      </c>
      <c r="C4115" s="33" t="s">
        <v>9856</v>
      </c>
      <c r="D4115" s="33" t="s">
        <v>17</v>
      </c>
      <c r="E4115" s="33" t="s">
        <v>31</v>
      </c>
      <c r="F4115" s="33" t="s">
        <v>32</v>
      </c>
      <c r="G4115" s="33" t="s">
        <v>20</v>
      </c>
      <c r="H4115" s="35">
        <v>42</v>
      </c>
      <c r="I4115" s="33" t="s">
        <v>21</v>
      </c>
      <c r="J4115" s="42">
        <v>44542</v>
      </c>
      <c r="K4115" s="33" t="s">
        <v>22</v>
      </c>
    </row>
    <row r="4116" spans="1:11">
      <c r="A4116" s="30" t="s">
        <v>9857</v>
      </c>
      <c r="B4116" s="30" t="s">
        <v>9858</v>
      </c>
      <c r="C4116" s="30" t="s">
        <v>4742</v>
      </c>
      <c r="D4116" s="30" t="s">
        <v>17</v>
      </c>
      <c r="E4116" s="30" t="s">
        <v>212</v>
      </c>
      <c r="F4116" s="30" t="s">
        <v>213</v>
      </c>
      <c r="G4116" s="30" t="s">
        <v>50</v>
      </c>
      <c r="H4116" s="32">
        <v>2520</v>
      </c>
      <c r="I4116" s="30" t="s">
        <v>51</v>
      </c>
      <c r="J4116" s="41">
        <v>44404</v>
      </c>
      <c r="K4116" s="30" t="s">
        <v>22</v>
      </c>
    </row>
    <row r="4117" spans="1:11">
      <c r="A4117" s="33" t="s">
        <v>9859</v>
      </c>
      <c r="B4117" s="33" t="s">
        <v>9860</v>
      </c>
      <c r="C4117" s="33" t="s">
        <v>187</v>
      </c>
      <c r="D4117" s="33" t="s">
        <v>17</v>
      </c>
      <c r="E4117" s="33" t="s">
        <v>26</v>
      </c>
      <c r="F4117" s="33" t="s">
        <v>27</v>
      </c>
      <c r="G4117" s="33" t="s">
        <v>50</v>
      </c>
      <c r="H4117" s="35">
        <v>30</v>
      </c>
      <c r="I4117" s="33" t="s">
        <v>51</v>
      </c>
      <c r="J4117" s="42">
        <v>44309</v>
      </c>
      <c r="K4117" s="33" t="s">
        <v>22</v>
      </c>
    </row>
    <row r="4118" spans="1:11">
      <c r="A4118" s="30" t="s">
        <v>9861</v>
      </c>
      <c r="B4118" s="30" t="s">
        <v>9862</v>
      </c>
      <c r="C4118" s="30" t="s">
        <v>1072</v>
      </c>
      <c r="D4118" s="30" t="s">
        <v>17</v>
      </c>
      <c r="E4118" s="30" t="s">
        <v>26</v>
      </c>
      <c r="F4118" s="30" t="s">
        <v>27</v>
      </c>
      <c r="G4118" s="30" t="s">
        <v>20</v>
      </c>
      <c r="H4118" s="32">
        <v>20</v>
      </c>
      <c r="I4118" s="30" t="s">
        <v>21</v>
      </c>
      <c r="J4118" s="41">
        <v>44325</v>
      </c>
      <c r="K4118" s="30" t="s">
        <v>22</v>
      </c>
    </row>
    <row r="4119" spans="1:11">
      <c r="A4119" s="33" t="s">
        <v>9863</v>
      </c>
      <c r="B4119" s="33" t="s">
        <v>9864</v>
      </c>
      <c r="C4119" s="33" t="s">
        <v>2449</v>
      </c>
      <c r="D4119" s="33" t="s">
        <v>17</v>
      </c>
      <c r="E4119" s="33" t="s">
        <v>31</v>
      </c>
      <c r="F4119" s="33" t="s">
        <v>32</v>
      </c>
      <c r="G4119" s="33" t="s">
        <v>20</v>
      </c>
      <c r="H4119" s="35">
        <v>90</v>
      </c>
      <c r="I4119" s="33" t="s">
        <v>21</v>
      </c>
      <c r="J4119" s="42">
        <v>44536</v>
      </c>
      <c r="K4119" s="33" t="s">
        <v>22</v>
      </c>
    </row>
    <row r="4120" spans="1:11">
      <c r="A4120" s="30" t="s">
        <v>9865</v>
      </c>
      <c r="B4120" s="30" t="s">
        <v>9866</v>
      </c>
      <c r="C4120" s="30" t="s">
        <v>2094</v>
      </c>
      <c r="D4120" s="30" t="s">
        <v>17</v>
      </c>
      <c r="E4120" s="30" t="s">
        <v>26</v>
      </c>
      <c r="F4120" s="30" t="s">
        <v>27</v>
      </c>
      <c r="G4120" s="30" t="s">
        <v>20</v>
      </c>
      <c r="H4120" s="32">
        <v>22</v>
      </c>
      <c r="I4120" s="30" t="s">
        <v>21</v>
      </c>
      <c r="J4120" s="41">
        <v>44335</v>
      </c>
      <c r="K4120" s="30" t="s">
        <v>22</v>
      </c>
    </row>
    <row r="4121" spans="1:11">
      <c r="A4121" s="33" t="s">
        <v>9867</v>
      </c>
      <c r="B4121" s="33" t="s">
        <v>9868</v>
      </c>
      <c r="C4121" s="33" t="s">
        <v>9869</v>
      </c>
      <c r="D4121" s="33" t="s">
        <v>17</v>
      </c>
      <c r="E4121" s="33" t="s">
        <v>67</v>
      </c>
      <c r="F4121" s="33" t="s">
        <v>68</v>
      </c>
      <c r="G4121" s="33" t="s">
        <v>69</v>
      </c>
      <c r="H4121" s="35">
        <v>10</v>
      </c>
      <c r="I4121" s="33" t="s">
        <v>51</v>
      </c>
      <c r="J4121" s="42">
        <v>44400</v>
      </c>
      <c r="K4121" s="33" t="s">
        <v>22</v>
      </c>
    </row>
    <row r="4122" spans="1:11">
      <c r="A4122" s="30" t="s">
        <v>9870</v>
      </c>
      <c r="B4122" s="30" t="s">
        <v>9871</v>
      </c>
      <c r="C4122" s="30" t="s">
        <v>9872</v>
      </c>
      <c r="D4122" s="30" t="s">
        <v>17</v>
      </c>
      <c r="E4122" s="30" t="s">
        <v>26</v>
      </c>
      <c r="F4122" s="30" t="s">
        <v>27</v>
      </c>
      <c r="G4122" s="30" t="s">
        <v>20</v>
      </c>
      <c r="H4122" s="32">
        <v>80</v>
      </c>
      <c r="I4122" s="30" t="s">
        <v>21</v>
      </c>
      <c r="J4122" s="41">
        <v>44264</v>
      </c>
      <c r="K4122" s="30" t="s">
        <v>22</v>
      </c>
    </row>
    <row r="4123" spans="1:11">
      <c r="A4123" s="33" t="s">
        <v>9873</v>
      </c>
      <c r="B4123" s="33" t="s">
        <v>9874</v>
      </c>
      <c r="C4123" s="33" t="s">
        <v>9875</v>
      </c>
      <c r="D4123" s="33" t="s">
        <v>17</v>
      </c>
      <c r="E4123" s="33" t="s">
        <v>18</v>
      </c>
      <c r="F4123" s="33" t="s">
        <v>19</v>
      </c>
      <c r="G4123" s="33" t="s">
        <v>50</v>
      </c>
      <c r="H4123" s="35">
        <v>308</v>
      </c>
      <c r="I4123" s="33" t="s">
        <v>51</v>
      </c>
      <c r="J4123" s="42">
        <v>44376</v>
      </c>
      <c r="K4123" s="33" t="s">
        <v>22</v>
      </c>
    </row>
    <row r="4124" spans="1:11">
      <c r="A4124" s="30" t="s">
        <v>9876</v>
      </c>
      <c r="B4124" s="30" t="s">
        <v>9877</v>
      </c>
      <c r="C4124" s="30" t="s">
        <v>1498</v>
      </c>
      <c r="D4124" s="30" t="s">
        <v>17</v>
      </c>
      <c r="E4124" s="30" t="s">
        <v>18</v>
      </c>
      <c r="F4124" s="30" t="s">
        <v>19</v>
      </c>
      <c r="G4124" s="30" t="s">
        <v>20</v>
      </c>
      <c r="H4124" s="32">
        <v>479</v>
      </c>
      <c r="I4124" s="30" t="s">
        <v>21</v>
      </c>
      <c r="J4124" s="41">
        <v>44364</v>
      </c>
      <c r="K4124" s="30" t="s">
        <v>22</v>
      </c>
    </row>
    <row r="4125" spans="1:11">
      <c r="A4125" s="33" t="s">
        <v>9878</v>
      </c>
      <c r="B4125" s="33" t="s">
        <v>9879</v>
      </c>
      <c r="C4125" s="33" t="s">
        <v>102</v>
      </c>
      <c r="D4125" s="33" t="s">
        <v>17</v>
      </c>
      <c r="E4125" s="33" t="s">
        <v>26</v>
      </c>
      <c r="F4125" s="33" t="s">
        <v>27</v>
      </c>
      <c r="G4125" s="33" t="s">
        <v>20</v>
      </c>
      <c r="H4125" s="35">
        <v>55</v>
      </c>
      <c r="I4125" s="33" t="s">
        <v>21</v>
      </c>
      <c r="J4125" s="42">
        <v>44315</v>
      </c>
      <c r="K4125" s="33" t="s">
        <v>22</v>
      </c>
    </row>
    <row r="4126" spans="1:11">
      <c r="A4126" s="30" t="s">
        <v>9880</v>
      </c>
      <c r="B4126" s="30" t="s">
        <v>9881</v>
      </c>
      <c r="C4126" s="30" t="s">
        <v>9882</v>
      </c>
      <c r="D4126" s="30" t="s">
        <v>17</v>
      </c>
      <c r="E4126" s="30" t="s">
        <v>26</v>
      </c>
      <c r="F4126" s="30" t="s">
        <v>27</v>
      </c>
      <c r="G4126" s="30" t="s">
        <v>106</v>
      </c>
      <c r="H4126" s="32">
        <v>110</v>
      </c>
      <c r="I4126" s="30" t="s">
        <v>21</v>
      </c>
      <c r="J4126" s="41">
        <v>44372</v>
      </c>
      <c r="K4126" s="30" t="s">
        <v>22</v>
      </c>
    </row>
    <row r="4127" spans="1:11">
      <c r="A4127" s="33" t="s">
        <v>9883</v>
      </c>
      <c r="B4127" s="33" t="s">
        <v>9884</v>
      </c>
      <c r="C4127" s="33" t="s">
        <v>9885</v>
      </c>
      <c r="D4127" s="33" t="s">
        <v>17</v>
      </c>
      <c r="E4127" s="33" t="s">
        <v>18</v>
      </c>
      <c r="F4127" s="33" t="s">
        <v>19</v>
      </c>
      <c r="G4127" s="33" t="s">
        <v>106</v>
      </c>
      <c r="H4127" s="35">
        <v>97</v>
      </c>
      <c r="I4127" s="33" t="s">
        <v>21</v>
      </c>
      <c r="J4127" s="42">
        <v>44273</v>
      </c>
      <c r="K4127" s="33" t="s">
        <v>22</v>
      </c>
    </row>
    <row r="4128" spans="1:11">
      <c r="A4128" s="30" t="s">
        <v>9886</v>
      </c>
      <c r="B4128" s="30" t="s">
        <v>9887</v>
      </c>
      <c r="C4128" s="30" t="s">
        <v>1090</v>
      </c>
      <c r="D4128" s="30" t="s">
        <v>17</v>
      </c>
      <c r="E4128" s="30" t="s">
        <v>67</v>
      </c>
      <c r="F4128" s="30" t="s">
        <v>68</v>
      </c>
      <c r="G4128" s="30" t="s">
        <v>7780</v>
      </c>
      <c r="H4128" s="32">
        <v>312</v>
      </c>
      <c r="I4128" s="30" t="s">
        <v>51</v>
      </c>
      <c r="J4128" s="41">
        <v>44559</v>
      </c>
      <c r="K4128" s="30" t="s">
        <v>22</v>
      </c>
    </row>
    <row r="4129" spans="1:11">
      <c r="A4129" s="33" t="s">
        <v>9888</v>
      </c>
      <c r="B4129" s="33" t="s">
        <v>9889</v>
      </c>
      <c r="C4129" s="33" t="s">
        <v>9890</v>
      </c>
      <c r="D4129" s="33" t="s">
        <v>17</v>
      </c>
      <c r="E4129" s="33" t="s">
        <v>26</v>
      </c>
      <c r="F4129" s="33" t="s">
        <v>27</v>
      </c>
      <c r="G4129" s="33" t="s">
        <v>20</v>
      </c>
      <c r="H4129" s="35">
        <v>31</v>
      </c>
      <c r="I4129" s="33" t="s">
        <v>21</v>
      </c>
      <c r="J4129" s="42">
        <v>44249</v>
      </c>
      <c r="K4129" s="33" t="s">
        <v>22</v>
      </c>
    </row>
    <row r="4130" spans="1:11">
      <c r="A4130" s="30" t="s">
        <v>9891</v>
      </c>
      <c r="B4130" s="30" t="s">
        <v>9892</v>
      </c>
      <c r="C4130" s="30" t="s">
        <v>647</v>
      </c>
      <c r="D4130" s="30" t="s">
        <v>17</v>
      </c>
      <c r="E4130" s="30" t="s">
        <v>31</v>
      </c>
      <c r="F4130" s="30" t="s">
        <v>32</v>
      </c>
      <c r="G4130" s="30" t="s">
        <v>20</v>
      </c>
      <c r="H4130" s="32">
        <v>506</v>
      </c>
      <c r="I4130" s="30" t="s">
        <v>21</v>
      </c>
      <c r="J4130" s="41">
        <v>44456</v>
      </c>
      <c r="K4130" s="30" t="s">
        <v>22</v>
      </c>
    </row>
    <row r="4131" spans="1:11">
      <c r="A4131" s="33" t="s">
        <v>9893</v>
      </c>
      <c r="B4131" s="33" t="s">
        <v>9894</v>
      </c>
      <c r="C4131" s="33" t="s">
        <v>9895</v>
      </c>
      <c r="D4131" s="33" t="s">
        <v>17</v>
      </c>
      <c r="E4131" s="33" t="s">
        <v>31</v>
      </c>
      <c r="F4131" s="33" t="s">
        <v>32</v>
      </c>
      <c r="G4131" s="33" t="s">
        <v>20</v>
      </c>
      <c r="H4131" s="35">
        <v>13</v>
      </c>
      <c r="I4131" s="33" t="s">
        <v>21</v>
      </c>
      <c r="J4131" s="42">
        <v>44342</v>
      </c>
      <c r="K4131" s="33" t="s">
        <v>22</v>
      </c>
    </row>
    <row r="4132" spans="1:11">
      <c r="A4132" s="30" t="s">
        <v>9896</v>
      </c>
      <c r="B4132" s="30" t="s">
        <v>9897</v>
      </c>
      <c r="C4132" s="30" t="s">
        <v>3964</v>
      </c>
      <c r="D4132" s="30" t="s">
        <v>17</v>
      </c>
      <c r="E4132" s="30" t="s">
        <v>31</v>
      </c>
      <c r="F4132" s="30" t="s">
        <v>32</v>
      </c>
      <c r="G4132" s="30" t="s">
        <v>50</v>
      </c>
      <c r="H4132" s="32">
        <v>80</v>
      </c>
      <c r="I4132" s="30" t="s">
        <v>51</v>
      </c>
      <c r="J4132" s="41">
        <v>44314</v>
      </c>
      <c r="K4132" s="30" t="s">
        <v>22</v>
      </c>
    </row>
    <row r="4133" spans="1:11">
      <c r="A4133" s="33" t="s">
        <v>9898</v>
      </c>
      <c r="B4133" s="33" t="s">
        <v>9899</v>
      </c>
      <c r="C4133" s="33" t="s">
        <v>9900</v>
      </c>
      <c r="D4133" s="33" t="s">
        <v>17</v>
      </c>
      <c r="E4133" s="33" t="s">
        <v>26</v>
      </c>
      <c r="F4133" s="33" t="s">
        <v>27</v>
      </c>
      <c r="G4133" s="33" t="s">
        <v>20</v>
      </c>
      <c r="H4133" s="35">
        <v>60</v>
      </c>
      <c r="I4133" s="33" t="s">
        <v>21</v>
      </c>
      <c r="J4133" s="42">
        <v>44510</v>
      </c>
      <c r="K4133" s="33" t="s">
        <v>22</v>
      </c>
    </row>
    <row r="4134" spans="1:11">
      <c r="A4134" s="30" t="s">
        <v>9901</v>
      </c>
      <c r="B4134" s="30" t="s">
        <v>9902</v>
      </c>
      <c r="C4134" s="30" t="s">
        <v>1112</v>
      </c>
      <c r="D4134" s="30" t="s">
        <v>17</v>
      </c>
      <c r="E4134" s="30" t="s">
        <v>18</v>
      </c>
      <c r="F4134" s="30" t="s">
        <v>19</v>
      </c>
      <c r="G4134" s="30" t="s">
        <v>20</v>
      </c>
      <c r="H4134" s="32">
        <v>326</v>
      </c>
      <c r="I4134" s="30" t="s">
        <v>21</v>
      </c>
      <c r="J4134" s="41">
        <v>44417</v>
      </c>
      <c r="K4134" s="30" t="s">
        <v>22</v>
      </c>
    </row>
    <row r="4135" spans="1:11">
      <c r="A4135" s="33" t="s">
        <v>9903</v>
      </c>
      <c r="B4135" s="33" t="s">
        <v>9904</v>
      </c>
      <c r="C4135" s="33" t="s">
        <v>9905</v>
      </c>
      <c r="D4135" s="33" t="s">
        <v>17</v>
      </c>
      <c r="E4135" s="33" t="s">
        <v>26</v>
      </c>
      <c r="F4135" s="33" t="s">
        <v>27</v>
      </c>
      <c r="G4135" s="33" t="s">
        <v>20</v>
      </c>
      <c r="H4135" s="35">
        <v>40</v>
      </c>
      <c r="I4135" s="33" t="s">
        <v>21</v>
      </c>
      <c r="J4135" s="42">
        <v>44487</v>
      </c>
      <c r="K4135" s="33" t="s">
        <v>22</v>
      </c>
    </row>
    <row r="4136" spans="1:11">
      <c r="A4136" s="30" t="s">
        <v>9906</v>
      </c>
      <c r="B4136" s="30" t="s">
        <v>9907</v>
      </c>
      <c r="C4136" s="30" t="s">
        <v>9908</v>
      </c>
      <c r="D4136" s="30" t="s">
        <v>17</v>
      </c>
      <c r="E4136" s="30" t="s">
        <v>26</v>
      </c>
      <c r="F4136" s="30" t="s">
        <v>27</v>
      </c>
      <c r="G4136" s="30" t="s">
        <v>140</v>
      </c>
      <c r="H4136" s="32">
        <v>44</v>
      </c>
      <c r="I4136" s="30" t="s">
        <v>51</v>
      </c>
      <c r="J4136" s="41">
        <v>44271</v>
      </c>
      <c r="K4136" s="30" t="s">
        <v>22</v>
      </c>
    </row>
    <row r="4137" spans="1:11">
      <c r="A4137" s="33" t="s">
        <v>9909</v>
      </c>
      <c r="B4137" s="33" t="s">
        <v>9910</v>
      </c>
      <c r="C4137" s="33" t="s">
        <v>9911</v>
      </c>
      <c r="D4137" s="33" t="s">
        <v>17</v>
      </c>
      <c r="E4137" s="33" t="s">
        <v>26</v>
      </c>
      <c r="F4137" s="33" t="s">
        <v>27</v>
      </c>
      <c r="G4137" s="33" t="s">
        <v>20</v>
      </c>
      <c r="H4137" s="35">
        <v>24</v>
      </c>
      <c r="I4137" s="33" t="s">
        <v>21</v>
      </c>
      <c r="J4137" s="42">
        <v>44350</v>
      </c>
      <c r="K4137" s="33" t="s">
        <v>22</v>
      </c>
    </row>
    <row r="4138" spans="1:11">
      <c r="A4138" s="30" t="s">
        <v>9912</v>
      </c>
      <c r="B4138" s="30" t="s">
        <v>9913</v>
      </c>
      <c r="C4138" s="30" t="s">
        <v>9914</v>
      </c>
      <c r="D4138" s="30" t="s">
        <v>17</v>
      </c>
      <c r="E4138" s="30" t="s">
        <v>26</v>
      </c>
      <c r="F4138" s="30" t="s">
        <v>27</v>
      </c>
      <c r="G4138" s="30" t="s">
        <v>20</v>
      </c>
      <c r="H4138" s="32">
        <v>51</v>
      </c>
      <c r="I4138" s="30" t="s">
        <v>21</v>
      </c>
      <c r="J4138" s="41">
        <v>44526</v>
      </c>
      <c r="K4138" s="30" t="s">
        <v>22</v>
      </c>
    </row>
    <row r="4139" spans="1:11">
      <c r="A4139" s="33" t="s">
        <v>9915</v>
      </c>
      <c r="B4139" s="33" t="s">
        <v>9916</v>
      </c>
      <c r="C4139" s="33" t="s">
        <v>9917</v>
      </c>
      <c r="D4139" s="33" t="s">
        <v>17</v>
      </c>
      <c r="E4139" s="33" t="s">
        <v>31</v>
      </c>
      <c r="F4139" s="33" t="s">
        <v>32</v>
      </c>
      <c r="G4139" s="33" t="s">
        <v>158</v>
      </c>
      <c r="H4139" s="35">
        <v>72</v>
      </c>
      <c r="I4139" s="33" t="s">
        <v>21</v>
      </c>
      <c r="J4139" s="42">
        <v>44495</v>
      </c>
      <c r="K4139" s="33" t="s">
        <v>22</v>
      </c>
    </row>
    <row r="4140" spans="1:11">
      <c r="A4140" s="30" t="s">
        <v>9918</v>
      </c>
      <c r="B4140" s="30" t="s">
        <v>9919</v>
      </c>
      <c r="C4140" s="30" t="s">
        <v>157</v>
      </c>
      <c r="D4140" s="30" t="s">
        <v>17</v>
      </c>
      <c r="E4140" s="30" t="s">
        <v>45</v>
      </c>
      <c r="F4140" s="30" t="s">
        <v>46</v>
      </c>
      <c r="G4140" s="30" t="s">
        <v>20</v>
      </c>
      <c r="H4140" s="32">
        <v>5</v>
      </c>
      <c r="I4140" s="30" t="s">
        <v>21</v>
      </c>
      <c r="J4140" s="41">
        <v>44295</v>
      </c>
      <c r="K4140" s="30" t="s">
        <v>22</v>
      </c>
    </row>
    <row r="4141" spans="1:11">
      <c r="A4141" s="33" t="s">
        <v>9920</v>
      </c>
      <c r="B4141" s="33" t="s">
        <v>9921</v>
      </c>
      <c r="C4141" s="33" t="s">
        <v>5169</v>
      </c>
      <c r="D4141" s="33" t="s">
        <v>17</v>
      </c>
      <c r="E4141" s="33" t="s">
        <v>26</v>
      </c>
      <c r="F4141" s="33" t="s">
        <v>27</v>
      </c>
      <c r="G4141" s="33" t="s">
        <v>20</v>
      </c>
      <c r="H4141" s="35">
        <v>43</v>
      </c>
      <c r="I4141" s="33" t="s">
        <v>21</v>
      </c>
      <c r="J4141" s="42">
        <v>44312</v>
      </c>
      <c r="K4141" s="33" t="s">
        <v>22</v>
      </c>
    </row>
    <row r="4142" spans="1:11">
      <c r="A4142" s="30" t="s">
        <v>9922</v>
      </c>
      <c r="B4142" s="30" t="s">
        <v>9923</v>
      </c>
      <c r="C4142" s="30" t="s">
        <v>109</v>
      </c>
      <c r="D4142" s="30" t="s">
        <v>17</v>
      </c>
      <c r="E4142" s="30" t="s">
        <v>31</v>
      </c>
      <c r="F4142" s="30" t="s">
        <v>32</v>
      </c>
      <c r="G4142" s="30" t="s">
        <v>106</v>
      </c>
      <c r="H4142" s="32">
        <v>19</v>
      </c>
      <c r="I4142" s="30" t="s">
        <v>21</v>
      </c>
      <c r="J4142" s="41">
        <v>44551</v>
      </c>
      <c r="K4142" s="30" t="s">
        <v>22</v>
      </c>
    </row>
    <row r="4143" spans="1:11">
      <c r="A4143" s="33" t="s">
        <v>9924</v>
      </c>
      <c r="B4143" s="33" t="s">
        <v>9925</v>
      </c>
      <c r="C4143" s="33" t="s">
        <v>1305</v>
      </c>
      <c r="D4143" s="33" t="s">
        <v>17</v>
      </c>
      <c r="E4143" s="33" t="s">
        <v>26</v>
      </c>
      <c r="F4143" s="33" t="s">
        <v>27</v>
      </c>
      <c r="G4143" s="33" t="s">
        <v>112</v>
      </c>
      <c r="H4143" s="35">
        <v>0</v>
      </c>
      <c r="I4143" s="33" t="s">
        <v>21</v>
      </c>
      <c r="J4143" s="42">
        <v>44267</v>
      </c>
      <c r="K4143" s="33" t="s">
        <v>22</v>
      </c>
    </row>
    <row r="4144" spans="1:11">
      <c r="A4144" s="30" t="s">
        <v>9926</v>
      </c>
      <c r="B4144" s="30" t="s">
        <v>9927</v>
      </c>
      <c r="C4144" s="30" t="s">
        <v>1237</v>
      </c>
      <c r="D4144" s="30" t="s">
        <v>17</v>
      </c>
      <c r="E4144" s="30" t="s">
        <v>26</v>
      </c>
      <c r="F4144" s="30" t="s">
        <v>27</v>
      </c>
      <c r="G4144" s="30" t="s">
        <v>50</v>
      </c>
      <c r="H4144" s="32">
        <v>42</v>
      </c>
      <c r="I4144" s="30" t="s">
        <v>51</v>
      </c>
      <c r="J4144" s="41">
        <v>44267</v>
      </c>
      <c r="K4144" s="30" t="s">
        <v>22</v>
      </c>
    </row>
    <row r="4145" spans="1:11">
      <c r="A4145" s="33" t="s">
        <v>9928</v>
      </c>
      <c r="B4145" s="33" t="s">
        <v>9929</v>
      </c>
      <c r="C4145" s="33" t="s">
        <v>9464</v>
      </c>
      <c r="D4145" s="33" t="s">
        <v>17</v>
      </c>
      <c r="E4145" s="33" t="s">
        <v>67</v>
      </c>
      <c r="F4145" s="33" t="s">
        <v>68</v>
      </c>
      <c r="G4145" s="33" t="s">
        <v>140</v>
      </c>
      <c r="H4145" s="35">
        <v>360</v>
      </c>
      <c r="I4145" s="33" t="s">
        <v>51</v>
      </c>
      <c r="J4145" s="42">
        <v>44536</v>
      </c>
      <c r="K4145" s="33" t="s">
        <v>22</v>
      </c>
    </row>
    <row r="4146" spans="1:11">
      <c r="A4146" s="30" t="s">
        <v>9930</v>
      </c>
      <c r="B4146" s="30" t="s">
        <v>9931</v>
      </c>
      <c r="C4146" s="30" t="s">
        <v>1956</v>
      </c>
      <c r="D4146" s="30" t="s">
        <v>17</v>
      </c>
      <c r="E4146" s="30" t="s">
        <v>18</v>
      </c>
      <c r="F4146" s="30" t="s">
        <v>19</v>
      </c>
      <c r="G4146" s="30" t="s">
        <v>140</v>
      </c>
      <c r="H4146" s="32">
        <v>300</v>
      </c>
      <c r="I4146" s="30" t="s">
        <v>51</v>
      </c>
      <c r="J4146" s="41">
        <v>44405</v>
      </c>
      <c r="K4146" s="30" t="s">
        <v>22</v>
      </c>
    </row>
    <row r="4147" spans="1:11">
      <c r="A4147" s="33" t="s">
        <v>9932</v>
      </c>
      <c r="B4147" s="33" t="s">
        <v>9933</v>
      </c>
      <c r="C4147" s="33" t="s">
        <v>4923</v>
      </c>
      <c r="D4147" s="33" t="s">
        <v>17</v>
      </c>
      <c r="E4147" s="33" t="s">
        <v>67</v>
      </c>
      <c r="F4147" s="33" t="s">
        <v>68</v>
      </c>
      <c r="G4147" s="33" t="s">
        <v>106</v>
      </c>
      <c r="H4147" s="35">
        <v>16</v>
      </c>
      <c r="I4147" s="33" t="s">
        <v>21</v>
      </c>
      <c r="J4147" s="42">
        <v>44357</v>
      </c>
      <c r="K4147" s="33" t="s">
        <v>22</v>
      </c>
    </row>
    <row r="4148" spans="1:11">
      <c r="A4148" s="30" t="s">
        <v>9934</v>
      </c>
      <c r="B4148" s="30" t="s">
        <v>9935</v>
      </c>
      <c r="C4148" s="30" t="s">
        <v>310</v>
      </c>
      <c r="D4148" s="30" t="s">
        <v>17</v>
      </c>
      <c r="E4148" s="30" t="s">
        <v>26</v>
      </c>
      <c r="F4148" s="30" t="s">
        <v>27</v>
      </c>
      <c r="G4148" s="30" t="s">
        <v>106</v>
      </c>
      <c r="H4148" s="32">
        <v>60</v>
      </c>
      <c r="I4148" s="30" t="s">
        <v>21</v>
      </c>
      <c r="J4148" s="41">
        <v>44509</v>
      </c>
      <c r="K4148" s="30" t="s">
        <v>22</v>
      </c>
    </row>
    <row r="4149" spans="1:11">
      <c r="A4149" s="33" t="s">
        <v>9936</v>
      </c>
      <c r="B4149" s="33" t="s">
        <v>9937</v>
      </c>
      <c r="C4149" s="33" t="s">
        <v>9938</v>
      </c>
      <c r="D4149" s="33" t="s">
        <v>17</v>
      </c>
      <c r="E4149" s="33" t="s">
        <v>31</v>
      </c>
      <c r="F4149" s="33" t="s">
        <v>32</v>
      </c>
      <c r="G4149" s="33" t="s">
        <v>50</v>
      </c>
      <c r="H4149" s="35">
        <v>55</v>
      </c>
      <c r="I4149" s="33" t="s">
        <v>51</v>
      </c>
      <c r="J4149" s="42">
        <v>44348</v>
      </c>
      <c r="K4149" s="33" t="s">
        <v>22</v>
      </c>
    </row>
    <row r="4150" spans="1:11">
      <c r="A4150" s="30" t="s">
        <v>9939</v>
      </c>
      <c r="B4150" s="30" t="s">
        <v>9940</v>
      </c>
      <c r="C4150" s="30" t="s">
        <v>3459</v>
      </c>
      <c r="D4150" s="30" t="s">
        <v>17</v>
      </c>
      <c r="E4150" s="30" t="s">
        <v>18</v>
      </c>
      <c r="F4150" s="30" t="s">
        <v>19</v>
      </c>
      <c r="G4150" s="30" t="s">
        <v>50</v>
      </c>
      <c r="H4150" s="32">
        <v>244</v>
      </c>
      <c r="I4150" s="30" t="s">
        <v>51</v>
      </c>
      <c r="J4150" s="41">
        <v>44442</v>
      </c>
      <c r="K4150" s="30" t="s">
        <v>22</v>
      </c>
    </row>
    <row r="4151" spans="1:11">
      <c r="A4151" s="33" t="s">
        <v>9941</v>
      </c>
      <c r="B4151" s="33" t="s">
        <v>9942</v>
      </c>
      <c r="C4151" s="33" t="s">
        <v>9943</v>
      </c>
      <c r="D4151" s="33" t="s">
        <v>17</v>
      </c>
      <c r="E4151" s="33" t="s">
        <v>26</v>
      </c>
      <c r="F4151" s="33" t="s">
        <v>27</v>
      </c>
      <c r="G4151" s="33" t="s">
        <v>50</v>
      </c>
      <c r="H4151" s="35">
        <v>72</v>
      </c>
      <c r="I4151" s="33" t="s">
        <v>51</v>
      </c>
      <c r="J4151" s="42">
        <v>44342</v>
      </c>
      <c r="K4151" s="33" t="s">
        <v>22</v>
      </c>
    </row>
    <row r="4152" spans="1:11">
      <c r="A4152" s="30" t="s">
        <v>9944</v>
      </c>
      <c r="B4152" s="30" t="s">
        <v>9945</v>
      </c>
      <c r="C4152" s="30" t="s">
        <v>5990</v>
      </c>
      <c r="D4152" s="30" t="s">
        <v>17</v>
      </c>
      <c r="E4152" s="30" t="s">
        <v>26</v>
      </c>
      <c r="F4152" s="30" t="s">
        <v>27</v>
      </c>
      <c r="G4152" s="30" t="s">
        <v>50</v>
      </c>
      <c r="H4152" s="32">
        <v>43</v>
      </c>
      <c r="I4152" s="30" t="s">
        <v>51</v>
      </c>
      <c r="J4152" s="41">
        <v>44561</v>
      </c>
      <c r="K4152" s="30" t="s">
        <v>22</v>
      </c>
    </row>
    <row r="4153" spans="1:11">
      <c r="A4153" s="33" t="s">
        <v>9946</v>
      </c>
      <c r="B4153" s="33" t="s">
        <v>9947</v>
      </c>
      <c r="C4153" s="33" t="s">
        <v>450</v>
      </c>
      <c r="D4153" s="33" t="s">
        <v>17</v>
      </c>
      <c r="E4153" s="33" t="s">
        <v>26</v>
      </c>
      <c r="F4153" s="33" t="s">
        <v>27</v>
      </c>
      <c r="G4153" s="33" t="s">
        <v>106</v>
      </c>
      <c r="H4153" s="35">
        <v>34</v>
      </c>
      <c r="I4153" s="33" t="s">
        <v>21</v>
      </c>
      <c r="J4153" s="42">
        <v>44272</v>
      </c>
      <c r="K4153" s="33" t="s">
        <v>22</v>
      </c>
    </row>
    <row r="4154" spans="1:11">
      <c r="A4154" s="30" t="s">
        <v>9948</v>
      </c>
      <c r="B4154" s="30" t="s">
        <v>9949</v>
      </c>
      <c r="C4154" s="30" t="s">
        <v>353</v>
      </c>
      <c r="D4154" s="30" t="s">
        <v>17</v>
      </c>
      <c r="E4154" s="30" t="s">
        <v>26</v>
      </c>
      <c r="F4154" s="30" t="s">
        <v>27</v>
      </c>
      <c r="G4154" s="30" t="s">
        <v>20</v>
      </c>
      <c r="H4154" s="32">
        <v>48</v>
      </c>
      <c r="I4154" s="30" t="s">
        <v>21</v>
      </c>
      <c r="J4154" s="41">
        <v>44214</v>
      </c>
      <c r="K4154" s="30" t="s">
        <v>22</v>
      </c>
    </row>
    <row r="4155" spans="1:11">
      <c r="A4155" s="33" t="s">
        <v>9950</v>
      </c>
      <c r="B4155" s="33" t="s">
        <v>9951</v>
      </c>
      <c r="C4155" s="33" t="s">
        <v>9952</v>
      </c>
      <c r="D4155" s="33" t="s">
        <v>17</v>
      </c>
      <c r="E4155" s="33" t="s">
        <v>31</v>
      </c>
      <c r="F4155" s="33" t="s">
        <v>32</v>
      </c>
      <c r="G4155" s="33" t="s">
        <v>140</v>
      </c>
      <c r="H4155" s="35">
        <v>126</v>
      </c>
      <c r="I4155" s="33" t="s">
        <v>51</v>
      </c>
      <c r="J4155" s="42">
        <v>44414</v>
      </c>
      <c r="K4155" s="33" t="s">
        <v>22</v>
      </c>
    </row>
    <row r="4156" spans="1:11">
      <c r="A4156" s="30" t="s">
        <v>9953</v>
      </c>
      <c r="B4156" s="30" t="s">
        <v>9954</v>
      </c>
      <c r="C4156" s="30" t="s">
        <v>9955</v>
      </c>
      <c r="D4156" s="30" t="s">
        <v>17</v>
      </c>
      <c r="E4156" s="30" t="s">
        <v>45</v>
      </c>
      <c r="F4156" s="30" t="s">
        <v>46</v>
      </c>
      <c r="G4156" s="30" t="s">
        <v>112</v>
      </c>
      <c r="H4156" s="32">
        <v>0</v>
      </c>
      <c r="I4156" s="30" t="s">
        <v>21</v>
      </c>
      <c r="J4156" s="41">
        <v>44440</v>
      </c>
      <c r="K4156" s="30" t="s">
        <v>22</v>
      </c>
    </row>
    <row r="4157" spans="1:11">
      <c r="A4157" s="33" t="s">
        <v>9956</v>
      </c>
      <c r="B4157" s="33" t="s">
        <v>9957</v>
      </c>
      <c r="C4157" s="33" t="s">
        <v>9958</v>
      </c>
      <c r="D4157" s="33" t="s">
        <v>17</v>
      </c>
      <c r="E4157" s="33" t="s">
        <v>26</v>
      </c>
      <c r="F4157" s="33" t="s">
        <v>27</v>
      </c>
      <c r="G4157" s="33" t="s">
        <v>50</v>
      </c>
      <c r="H4157" s="35">
        <v>72</v>
      </c>
      <c r="I4157" s="33" t="s">
        <v>51</v>
      </c>
      <c r="J4157" s="42">
        <v>44287</v>
      </c>
      <c r="K4157" s="33" t="s">
        <v>22</v>
      </c>
    </row>
    <row r="4158" spans="1:11">
      <c r="A4158" s="30" t="s">
        <v>9959</v>
      </c>
      <c r="B4158" s="30" t="s">
        <v>9960</v>
      </c>
      <c r="C4158" s="30" t="s">
        <v>9961</v>
      </c>
      <c r="D4158" s="30" t="s">
        <v>17</v>
      </c>
      <c r="E4158" s="30" t="s">
        <v>26</v>
      </c>
      <c r="F4158" s="30" t="s">
        <v>27</v>
      </c>
      <c r="G4158" s="30" t="s">
        <v>20</v>
      </c>
      <c r="H4158" s="32">
        <v>58</v>
      </c>
      <c r="I4158" s="30" t="s">
        <v>21</v>
      </c>
      <c r="J4158" s="41">
        <v>44434</v>
      </c>
      <c r="K4158" s="30" t="s">
        <v>22</v>
      </c>
    </row>
    <row r="4159" spans="1:11">
      <c r="A4159" s="33" t="s">
        <v>9962</v>
      </c>
      <c r="B4159" s="33" t="s">
        <v>9963</v>
      </c>
      <c r="C4159" s="33" t="s">
        <v>9964</v>
      </c>
      <c r="D4159" s="33" t="s">
        <v>17</v>
      </c>
      <c r="E4159" s="33" t="s">
        <v>26</v>
      </c>
      <c r="F4159" s="33" t="s">
        <v>27</v>
      </c>
      <c r="G4159" s="33" t="s">
        <v>20</v>
      </c>
      <c r="H4159" s="35">
        <v>96</v>
      </c>
      <c r="I4159" s="33" t="s">
        <v>21</v>
      </c>
      <c r="J4159" s="42">
        <v>44453</v>
      </c>
      <c r="K4159" s="33" t="s">
        <v>22</v>
      </c>
    </row>
    <row r="4160" spans="1:11">
      <c r="A4160" s="30" t="s">
        <v>9965</v>
      </c>
      <c r="B4160" s="30" t="s">
        <v>9966</v>
      </c>
      <c r="C4160" s="30" t="s">
        <v>3775</v>
      </c>
      <c r="D4160" s="30" t="s">
        <v>17</v>
      </c>
      <c r="E4160" s="30" t="s">
        <v>26</v>
      </c>
      <c r="F4160" s="30" t="s">
        <v>27</v>
      </c>
      <c r="G4160" s="30" t="s">
        <v>20</v>
      </c>
      <c r="H4160" s="32">
        <v>57</v>
      </c>
      <c r="I4160" s="30" t="s">
        <v>21</v>
      </c>
      <c r="J4160" s="41">
        <v>44445</v>
      </c>
      <c r="K4160" s="30" t="s">
        <v>22</v>
      </c>
    </row>
    <row r="4161" spans="1:11">
      <c r="A4161" s="33" t="s">
        <v>9967</v>
      </c>
      <c r="B4161" s="33" t="s">
        <v>9968</v>
      </c>
      <c r="C4161" s="33" t="s">
        <v>399</v>
      </c>
      <c r="D4161" s="33" t="s">
        <v>17</v>
      </c>
      <c r="E4161" s="33" t="s">
        <v>26</v>
      </c>
      <c r="F4161" s="33" t="s">
        <v>27</v>
      </c>
      <c r="G4161" s="33" t="s">
        <v>20</v>
      </c>
      <c r="H4161" s="35">
        <v>21</v>
      </c>
      <c r="I4161" s="33" t="s">
        <v>21</v>
      </c>
      <c r="J4161" s="42">
        <v>44328</v>
      </c>
      <c r="K4161" s="33" t="s">
        <v>22</v>
      </c>
    </row>
    <row r="4162" spans="1:11">
      <c r="A4162" s="30" t="s">
        <v>9969</v>
      </c>
      <c r="B4162" s="30" t="s">
        <v>9970</v>
      </c>
      <c r="C4162" s="30" t="s">
        <v>9528</v>
      </c>
      <c r="D4162" s="30" t="s">
        <v>17</v>
      </c>
      <c r="E4162" s="30" t="s">
        <v>18</v>
      </c>
      <c r="F4162" s="30" t="s">
        <v>19</v>
      </c>
      <c r="G4162" s="30" t="s">
        <v>20</v>
      </c>
      <c r="H4162" s="32">
        <v>194</v>
      </c>
      <c r="I4162" s="30" t="s">
        <v>21</v>
      </c>
      <c r="J4162" s="41">
        <v>44330</v>
      </c>
      <c r="K4162" s="30" t="s">
        <v>22</v>
      </c>
    </row>
    <row r="4163" spans="1:11">
      <c r="A4163" s="33" t="s">
        <v>9971</v>
      </c>
      <c r="B4163" s="33" t="s">
        <v>9972</v>
      </c>
      <c r="C4163" s="33" t="s">
        <v>4668</v>
      </c>
      <c r="D4163" s="33" t="s">
        <v>17</v>
      </c>
      <c r="E4163" s="33" t="s">
        <v>26</v>
      </c>
      <c r="F4163" s="33" t="s">
        <v>27</v>
      </c>
      <c r="G4163" s="33" t="s">
        <v>20</v>
      </c>
      <c r="H4163" s="35">
        <v>57</v>
      </c>
      <c r="I4163" s="33" t="s">
        <v>21</v>
      </c>
      <c r="J4163" s="42">
        <v>44197</v>
      </c>
      <c r="K4163" s="33" t="s">
        <v>22</v>
      </c>
    </row>
    <row r="4164" spans="1:11">
      <c r="A4164" s="30" t="s">
        <v>9973</v>
      </c>
      <c r="B4164" s="30" t="s">
        <v>9974</v>
      </c>
      <c r="C4164" s="30" t="s">
        <v>206</v>
      </c>
      <c r="D4164" s="30" t="s">
        <v>17</v>
      </c>
      <c r="E4164" s="30" t="s">
        <v>18</v>
      </c>
      <c r="F4164" s="30" t="s">
        <v>19</v>
      </c>
      <c r="G4164" s="30" t="s">
        <v>106</v>
      </c>
      <c r="H4164" s="32">
        <v>11</v>
      </c>
      <c r="I4164" s="30" t="s">
        <v>21</v>
      </c>
      <c r="J4164" s="41">
        <v>44201</v>
      </c>
      <c r="K4164" s="30" t="s">
        <v>22</v>
      </c>
    </row>
    <row r="4165" spans="1:11">
      <c r="A4165" s="33" t="s">
        <v>9975</v>
      </c>
      <c r="B4165" s="33" t="s">
        <v>9976</v>
      </c>
      <c r="C4165" s="33" t="s">
        <v>178</v>
      </c>
      <c r="D4165" s="33" t="s">
        <v>17</v>
      </c>
      <c r="E4165" s="33" t="s">
        <v>18</v>
      </c>
      <c r="F4165" s="33" t="s">
        <v>19</v>
      </c>
      <c r="G4165" s="33" t="s">
        <v>158</v>
      </c>
      <c r="H4165" s="35">
        <v>270</v>
      </c>
      <c r="I4165" s="33" t="s">
        <v>51</v>
      </c>
      <c r="J4165" s="42">
        <v>44250</v>
      </c>
      <c r="K4165" s="33" t="s">
        <v>22</v>
      </c>
    </row>
    <row r="4166" spans="1:11">
      <c r="A4166" s="30" t="s">
        <v>9977</v>
      </c>
      <c r="B4166" s="30" t="s">
        <v>9978</v>
      </c>
      <c r="C4166" s="30" t="s">
        <v>57</v>
      </c>
      <c r="D4166" s="30" t="s">
        <v>17</v>
      </c>
      <c r="E4166" s="30" t="s">
        <v>212</v>
      </c>
      <c r="F4166" s="30" t="s">
        <v>213</v>
      </c>
      <c r="G4166" s="30" t="s">
        <v>20</v>
      </c>
      <c r="H4166" s="32">
        <v>260</v>
      </c>
      <c r="I4166" s="30" t="s">
        <v>21</v>
      </c>
      <c r="J4166" s="41">
        <v>44469</v>
      </c>
      <c r="K4166" s="30" t="s">
        <v>22</v>
      </c>
    </row>
    <row r="4167" spans="1:11">
      <c r="A4167" s="33" t="s">
        <v>9979</v>
      </c>
      <c r="B4167" s="33" t="s">
        <v>9980</v>
      </c>
      <c r="C4167" s="33" t="s">
        <v>9981</v>
      </c>
      <c r="D4167" s="33" t="s">
        <v>17</v>
      </c>
      <c r="E4167" s="33" t="s">
        <v>26</v>
      </c>
      <c r="F4167" s="33" t="s">
        <v>27</v>
      </c>
      <c r="G4167" s="33" t="s">
        <v>140</v>
      </c>
      <c r="H4167" s="35">
        <v>18</v>
      </c>
      <c r="I4167" s="33" t="s">
        <v>51</v>
      </c>
      <c r="J4167" s="42">
        <v>44449</v>
      </c>
      <c r="K4167" s="33" t="s">
        <v>22</v>
      </c>
    </row>
    <row r="4168" spans="1:11">
      <c r="A4168" s="30" t="s">
        <v>9982</v>
      </c>
      <c r="B4168" s="30" t="s">
        <v>9983</v>
      </c>
      <c r="C4168" s="30" t="s">
        <v>8848</v>
      </c>
      <c r="D4168" s="30" t="s">
        <v>17</v>
      </c>
      <c r="E4168" s="30" t="s">
        <v>26</v>
      </c>
      <c r="F4168" s="30" t="s">
        <v>27</v>
      </c>
      <c r="G4168" s="30" t="s">
        <v>50</v>
      </c>
      <c r="H4168" s="32">
        <v>38</v>
      </c>
      <c r="I4168" s="30" t="s">
        <v>51</v>
      </c>
      <c r="J4168" s="41">
        <v>44274</v>
      </c>
      <c r="K4168" s="30" t="s">
        <v>22</v>
      </c>
    </row>
    <row r="4169" spans="1:11">
      <c r="A4169" s="33" t="s">
        <v>9984</v>
      </c>
      <c r="B4169" s="33" t="s">
        <v>9985</v>
      </c>
      <c r="C4169" s="33" t="s">
        <v>9986</v>
      </c>
      <c r="D4169" s="33" t="s">
        <v>17</v>
      </c>
      <c r="E4169" s="33" t="s">
        <v>18</v>
      </c>
      <c r="F4169" s="33" t="s">
        <v>19</v>
      </c>
      <c r="G4169" s="33" t="s">
        <v>20</v>
      </c>
      <c r="H4169" s="35">
        <v>193</v>
      </c>
      <c r="I4169" s="33" t="s">
        <v>21</v>
      </c>
      <c r="J4169" s="42">
        <v>44326</v>
      </c>
      <c r="K4169" s="33" t="s">
        <v>22</v>
      </c>
    </row>
    <row r="4170" spans="1:11">
      <c r="A4170" s="30" t="s">
        <v>9987</v>
      </c>
      <c r="B4170" s="30" t="s">
        <v>9988</v>
      </c>
      <c r="C4170" s="30" t="s">
        <v>9989</v>
      </c>
      <c r="D4170" s="30" t="s">
        <v>17</v>
      </c>
      <c r="E4170" s="30" t="s">
        <v>26</v>
      </c>
      <c r="F4170" s="30" t="s">
        <v>27</v>
      </c>
      <c r="G4170" s="30" t="s">
        <v>106</v>
      </c>
      <c r="H4170" s="32">
        <v>34</v>
      </c>
      <c r="I4170" s="30" t="s">
        <v>21</v>
      </c>
      <c r="J4170" s="41">
        <v>44279</v>
      </c>
      <c r="K4170" s="30" t="s">
        <v>22</v>
      </c>
    </row>
    <row r="4171" spans="1:11">
      <c r="A4171" s="33" t="s">
        <v>9990</v>
      </c>
      <c r="B4171" s="33" t="s">
        <v>9991</v>
      </c>
      <c r="C4171" s="33" t="s">
        <v>9992</v>
      </c>
      <c r="D4171" s="33" t="s">
        <v>17</v>
      </c>
      <c r="E4171" s="33" t="s">
        <v>18</v>
      </c>
      <c r="F4171" s="33" t="s">
        <v>19</v>
      </c>
      <c r="G4171" s="33" t="s">
        <v>158</v>
      </c>
      <c r="H4171" s="35">
        <v>127</v>
      </c>
      <c r="I4171" s="33" t="s">
        <v>21</v>
      </c>
      <c r="J4171" s="42">
        <v>44235</v>
      </c>
      <c r="K4171" s="33" t="s">
        <v>22</v>
      </c>
    </row>
    <row r="4172" spans="1:11">
      <c r="A4172" s="30" t="s">
        <v>9993</v>
      </c>
      <c r="B4172" s="30" t="s">
        <v>9994</v>
      </c>
      <c r="C4172" s="30" t="s">
        <v>5835</v>
      </c>
      <c r="D4172" s="30" t="s">
        <v>17</v>
      </c>
      <c r="E4172" s="30" t="s">
        <v>18</v>
      </c>
      <c r="F4172" s="30" t="s">
        <v>19</v>
      </c>
      <c r="G4172" s="30" t="s">
        <v>106</v>
      </c>
      <c r="H4172" s="32">
        <v>419</v>
      </c>
      <c r="I4172" s="30" t="s">
        <v>21</v>
      </c>
      <c r="J4172" s="41">
        <v>44413</v>
      </c>
      <c r="K4172" s="30" t="s">
        <v>22</v>
      </c>
    </row>
    <row r="4173" spans="1:11">
      <c r="A4173" s="33" t="s">
        <v>9995</v>
      </c>
      <c r="B4173" s="33" t="s">
        <v>9996</v>
      </c>
      <c r="C4173" s="33" t="s">
        <v>6113</v>
      </c>
      <c r="D4173" s="33" t="s">
        <v>17</v>
      </c>
      <c r="E4173" s="33" t="s">
        <v>18</v>
      </c>
      <c r="F4173" s="33" t="s">
        <v>19</v>
      </c>
      <c r="G4173" s="33" t="s">
        <v>50</v>
      </c>
      <c r="H4173" s="35">
        <v>252</v>
      </c>
      <c r="I4173" s="33" t="s">
        <v>51</v>
      </c>
      <c r="J4173" s="42">
        <v>44358</v>
      </c>
      <c r="K4173" s="33" t="s">
        <v>22</v>
      </c>
    </row>
    <row r="4174" spans="1:11">
      <c r="A4174" s="30" t="s">
        <v>9997</v>
      </c>
      <c r="B4174" s="30" t="s">
        <v>9998</v>
      </c>
      <c r="C4174" s="30" t="s">
        <v>9999</v>
      </c>
      <c r="D4174" s="30" t="s">
        <v>17</v>
      </c>
      <c r="E4174" s="30" t="s">
        <v>18</v>
      </c>
      <c r="F4174" s="30" t="s">
        <v>19</v>
      </c>
      <c r="G4174" s="30" t="s">
        <v>106</v>
      </c>
      <c r="H4174" s="32">
        <v>171</v>
      </c>
      <c r="I4174" s="30" t="s">
        <v>21</v>
      </c>
      <c r="J4174" s="41">
        <v>44524</v>
      </c>
      <c r="K4174" s="30" t="s">
        <v>22</v>
      </c>
    </row>
    <row r="4175" spans="1:11">
      <c r="A4175" s="33" t="s">
        <v>10000</v>
      </c>
      <c r="B4175" s="33" t="s">
        <v>10001</v>
      </c>
      <c r="C4175" s="33" t="s">
        <v>1750</v>
      </c>
      <c r="D4175" s="33" t="s">
        <v>17</v>
      </c>
      <c r="E4175" s="33" t="s">
        <v>67</v>
      </c>
      <c r="F4175" s="33" t="s">
        <v>68</v>
      </c>
      <c r="G4175" s="33" t="s">
        <v>106</v>
      </c>
      <c r="H4175" s="35">
        <v>6</v>
      </c>
      <c r="I4175" s="33" t="s">
        <v>21</v>
      </c>
      <c r="J4175" s="42">
        <v>44353</v>
      </c>
      <c r="K4175" s="33" t="s">
        <v>22</v>
      </c>
    </row>
    <row r="4176" spans="1:11">
      <c r="A4176" s="30" t="s">
        <v>10002</v>
      </c>
      <c r="B4176" s="30" t="s">
        <v>10003</v>
      </c>
      <c r="C4176" s="30" t="s">
        <v>10004</v>
      </c>
      <c r="D4176" s="30" t="s">
        <v>17</v>
      </c>
      <c r="E4176" s="30" t="s">
        <v>26</v>
      </c>
      <c r="F4176" s="30" t="s">
        <v>27</v>
      </c>
      <c r="G4176" s="30" t="s">
        <v>20</v>
      </c>
      <c r="H4176" s="32">
        <v>14</v>
      </c>
      <c r="I4176" s="30" t="s">
        <v>21</v>
      </c>
      <c r="J4176" s="41">
        <v>44264</v>
      </c>
      <c r="K4176" s="30" t="s">
        <v>22</v>
      </c>
    </row>
    <row r="4177" spans="1:11">
      <c r="A4177" s="33" t="s">
        <v>10005</v>
      </c>
      <c r="B4177" s="33" t="s">
        <v>10006</v>
      </c>
      <c r="C4177" s="33" t="s">
        <v>801</v>
      </c>
      <c r="D4177" s="33" t="s">
        <v>17</v>
      </c>
      <c r="E4177" s="33" t="s">
        <v>26</v>
      </c>
      <c r="F4177" s="33" t="s">
        <v>27</v>
      </c>
      <c r="G4177" s="33" t="s">
        <v>20</v>
      </c>
      <c r="H4177" s="35">
        <v>7</v>
      </c>
      <c r="I4177" s="33" t="s">
        <v>21</v>
      </c>
      <c r="J4177" s="42">
        <v>44435</v>
      </c>
      <c r="K4177" s="33" t="s">
        <v>22</v>
      </c>
    </row>
    <row r="4178" spans="1:11">
      <c r="A4178" s="30" t="s">
        <v>10007</v>
      </c>
      <c r="B4178" s="30" t="s">
        <v>10008</v>
      </c>
      <c r="C4178" s="30" t="s">
        <v>10009</v>
      </c>
      <c r="D4178" s="30" t="s">
        <v>17</v>
      </c>
      <c r="E4178" s="30" t="s">
        <v>45</v>
      </c>
      <c r="F4178" s="30" t="s">
        <v>46</v>
      </c>
      <c r="G4178" s="30" t="s">
        <v>20</v>
      </c>
      <c r="H4178" s="32">
        <v>552</v>
      </c>
      <c r="I4178" s="30" t="s">
        <v>21</v>
      </c>
      <c r="J4178" s="41">
        <v>44488</v>
      </c>
      <c r="K4178" s="30" t="s">
        <v>22</v>
      </c>
    </row>
    <row r="4179" spans="1:11">
      <c r="A4179" s="33" t="s">
        <v>10010</v>
      </c>
      <c r="B4179" s="33" t="s">
        <v>10011</v>
      </c>
      <c r="C4179" s="33" t="s">
        <v>7649</v>
      </c>
      <c r="D4179" s="33" t="s">
        <v>17</v>
      </c>
      <c r="E4179" s="33" t="s">
        <v>67</v>
      </c>
      <c r="F4179" s="33" t="s">
        <v>68</v>
      </c>
      <c r="G4179" s="33" t="s">
        <v>106</v>
      </c>
      <c r="H4179" s="35">
        <v>6</v>
      </c>
      <c r="I4179" s="33" t="s">
        <v>21</v>
      </c>
      <c r="J4179" s="42">
        <v>44547</v>
      </c>
      <c r="K4179" s="33" t="s">
        <v>22</v>
      </c>
    </row>
    <row r="4180" spans="1:11">
      <c r="A4180" s="30" t="s">
        <v>10012</v>
      </c>
      <c r="B4180" s="30" t="s">
        <v>10013</v>
      </c>
      <c r="C4180" s="30" t="s">
        <v>10014</v>
      </c>
      <c r="D4180" s="30" t="s">
        <v>17</v>
      </c>
      <c r="E4180" s="30" t="s">
        <v>18</v>
      </c>
      <c r="F4180" s="30" t="s">
        <v>19</v>
      </c>
      <c r="G4180" s="30" t="s">
        <v>50</v>
      </c>
      <c r="H4180" s="32">
        <v>110</v>
      </c>
      <c r="I4180" s="30" t="s">
        <v>51</v>
      </c>
      <c r="J4180" s="41">
        <v>44501</v>
      </c>
      <c r="K4180" s="30" t="s">
        <v>22</v>
      </c>
    </row>
    <row r="4181" spans="1:11">
      <c r="A4181" s="33" t="s">
        <v>10015</v>
      </c>
      <c r="B4181" s="33" t="s">
        <v>10016</v>
      </c>
      <c r="C4181" s="33" t="s">
        <v>570</v>
      </c>
      <c r="D4181" s="33" t="s">
        <v>17</v>
      </c>
      <c r="E4181" s="33" t="s">
        <v>26</v>
      </c>
      <c r="F4181" s="33" t="s">
        <v>27</v>
      </c>
      <c r="G4181" s="33" t="s">
        <v>50</v>
      </c>
      <c r="H4181" s="35">
        <v>40</v>
      </c>
      <c r="I4181" s="33" t="s">
        <v>51</v>
      </c>
      <c r="J4181" s="42">
        <v>44509</v>
      </c>
      <c r="K4181" s="33" t="s">
        <v>22</v>
      </c>
    </row>
    <row r="4182" spans="1:11">
      <c r="A4182" s="30" t="s">
        <v>10017</v>
      </c>
      <c r="B4182" s="30" t="s">
        <v>10018</v>
      </c>
      <c r="C4182" s="30" t="s">
        <v>10019</v>
      </c>
      <c r="D4182" s="30" t="s">
        <v>17</v>
      </c>
      <c r="E4182" s="30" t="s">
        <v>67</v>
      </c>
      <c r="F4182" s="30" t="s">
        <v>68</v>
      </c>
      <c r="G4182" s="30" t="s">
        <v>140</v>
      </c>
      <c r="H4182" s="32">
        <v>316</v>
      </c>
      <c r="I4182" s="30" t="s">
        <v>51</v>
      </c>
      <c r="J4182" s="41">
        <v>44414</v>
      </c>
      <c r="K4182" s="30" t="s">
        <v>22</v>
      </c>
    </row>
    <row r="4183" spans="1:11">
      <c r="A4183" s="33" t="s">
        <v>10020</v>
      </c>
      <c r="B4183" s="33" t="s">
        <v>10021</v>
      </c>
      <c r="C4183" s="33" t="s">
        <v>2927</v>
      </c>
      <c r="D4183" s="33" t="s">
        <v>17</v>
      </c>
      <c r="E4183" s="33" t="s">
        <v>31</v>
      </c>
      <c r="F4183" s="33" t="s">
        <v>32</v>
      </c>
      <c r="G4183" s="33" t="s">
        <v>106</v>
      </c>
      <c r="H4183" s="35">
        <v>12</v>
      </c>
      <c r="I4183" s="33" t="s">
        <v>21</v>
      </c>
      <c r="J4183" s="42">
        <v>44495</v>
      </c>
      <c r="K4183" s="33" t="s">
        <v>22</v>
      </c>
    </row>
    <row r="4184" spans="1:11">
      <c r="A4184" s="30" t="s">
        <v>10022</v>
      </c>
      <c r="B4184" s="30" t="s">
        <v>10023</v>
      </c>
      <c r="C4184" s="30" t="s">
        <v>2269</v>
      </c>
      <c r="D4184" s="30" t="s">
        <v>17</v>
      </c>
      <c r="E4184" s="30" t="s">
        <v>45</v>
      </c>
      <c r="F4184" s="30" t="s">
        <v>46</v>
      </c>
      <c r="G4184" s="30" t="s">
        <v>140</v>
      </c>
      <c r="H4184" s="32">
        <v>170</v>
      </c>
      <c r="I4184" s="30" t="s">
        <v>51</v>
      </c>
      <c r="J4184" s="41">
        <v>44440</v>
      </c>
      <c r="K4184" s="30" t="s">
        <v>22</v>
      </c>
    </row>
    <row r="4185" spans="1:11">
      <c r="A4185" s="33" t="s">
        <v>10024</v>
      </c>
      <c r="B4185" s="33" t="s">
        <v>10025</v>
      </c>
      <c r="C4185" s="33" t="s">
        <v>149</v>
      </c>
      <c r="D4185" s="33" t="s">
        <v>17</v>
      </c>
      <c r="E4185" s="33" t="s">
        <v>26</v>
      </c>
      <c r="F4185" s="33" t="s">
        <v>27</v>
      </c>
      <c r="G4185" s="33" t="s">
        <v>20</v>
      </c>
      <c r="H4185" s="35">
        <v>18</v>
      </c>
      <c r="I4185" s="33" t="s">
        <v>21</v>
      </c>
      <c r="J4185" s="42">
        <v>44375</v>
      </c>
      <c r="K4185" s="33" t="s">
        <v>22</v>
      </c>
    </row>
    <row r="4186" spans="1:11">
      <c r="A4186" s="30" t="s">
        <v>10026</v>
      </c>
      <c r="B4186" s="30" t="s">
        <v>10027</v>
      </c>
      <c r="C4186" s="30" t="s">
        <v>10028</v>
      </c>
      <c r="D4186" s="30" t="s">
        <v>17</v>
      </c>
      <c r="E4186" s="30" t="s">
        <v>26</v>
      </c>
      <c r="F4186" s="30" t="s">
        <v>27</v>
      </c>
      <c r="G4186" s="30" t="s">
        <v>20</v>
      </c>
      <c r="H4186" s="32">
        <v>7</v>
      </c>
      <c r="I4186" s="30" t="s">
        <v>21</v>
      </c>
      <c r="J4186" s="41">
        <v>44399</v>
      </c>
      <c r="K4186" s="30" t="s">
        <v>22</v>
      </c>
    </row>
    <row r="4187" spans="1:11">
      <c r="A4187" s="33" t="s">
        <v>10029</v>
      </c>
      <c r="B4187" s="33" t="s">
        <v>10030</v>
      </c>
      <c r="C4187" s="33" t="s">
        <v>10031</v>
      </c>
      <c r="D4187" s="33" t="s">
        <v>17</v>
      </c>
      <c r="E4187" s="33" t="s">
        <v>31</v>
      </c>
      <c r="F4187" s="33" t="s">
        <v>32</v>
      </c>
      <c r="G4187" s="33" t="s">
        <v>20</v>
      </c>
      <c r="H4187" s="35">
        <v>12</v>
      </c>
      <c r="I4187" s="33" t="s">
        <v>21</v>
      </c>
      <c r="J4187" s="42">
        <v>44307</v>
      </c>
      <c r="K4187" s="33" t="s">
        <v>22</v>
      </c>
    </row>
    <row r="4188" spans="1:11">
      <c r="A4188" s="30" t="s">
        <v>10032</v>
      </c>
      <c r="B4188" s="30" t="s">
        <v>10033</v>
      </c>
      <c r="C4188" s="30" t="s">
        <v>3157</v>
      </c>
      <c r="D4188" s="30" t="s">
        <v>17</v>
      </c>
      <c r="E4188" s="30" t="s">
        <v>31</v>
      </c>
      <c r="F4188" s="30" t="s">
        <v>32</v>
      </c>
      <c r="G4188" s="30" t="s">
        <v>106</v>
      </c>
      <c r="H4188" s="32">
        <v>29</v>
      </c>
      <c r="I4188" s="30" t="s">
        <v>21</v>
      </c>
      <c r="J4188" s="41">
        <v>44307</v>
      </c>
      <c r="K4188" s="30" t="s">
        <v>22</v>
      </c>
    </row>
    <row r="4189" spans="1:11">
      <c r="A4189" s="33" t="s">
        <v>10034</v>
      </c>
      <c r="B4189" s="33" t="s">
        <v>10035</v>
      </c>
      <c r="C4189" s="33" t="s">
        <v>5139</v>
      </c>
      <c r="D4189" s="33" t="s">
        <v>17</v>
      </c>
      <c r="E4189" s="33" t="s">
        <v>26</v>
      </c>
      <c r="F4189" s="33" t="s">
        <v>27</v>
      </c>
      <c r="G4189" s="33" t="s">
        <v>20</v>
      </c>
      <c r="H4189" s="35">
        <v>18</v>
      </c>
      <c r="I4189" s="33" t="s">
        <v>21</v>
      </c>
      <c r="J4189" s="42">
        <v>44427</v>
      </c>
      <c r="K4189" s="33" t="s">
        <v>22</v>
      </c>
    </row>
    <row r="4190" spans="1:11">
      <c r="A4190" s="30" t="s">
        <v>10036</v>
      </c>
      <c r="B4190" s="30" t="s">
        <v>10037</v>
      </c>
      <c r="C4190" s="30" t="s">
        <v>10038</v>
      </c>
      <c r="D4190" s="30" t="s">
        <v>17</v>
      </c>
      <c r="E4190" s="30" t="s">
        <v>26</v>
      </c>
      <c r="F4190" s="30" t="s">
        <v>27</v>
      </c>
      <c r="G4190" s="30" t="s">
        <v>106</v>
      </c>
      <c r="H4190" s="32">
        <v>4</v>
      </c>
      <c r="I4190" s="30" t="s">
        <v>21</v>
      </c>
      <c r="J4190" s="41">
        <v>44419</v>
      </c>
      <c r="K4190" s="30" t="s">
        <v>22</v>
      </c>
    </row>
    <row r="4191" spans="1:11">
      <c r="A4191" s="33" t="s">
        <v>10039</v>
      </c>
      <c r="B4191" s="33" t="s">
        <v>10040</v>
      </c>
      <c r="C4191" s="33" t="s">
        <v>10041</v>
      </c>
      <c r="D4191" s="33" t="s">
        <v>17</v>
      </c>
      <c r="E4191" s="33" t="s">
        <v>18</v>
      </c>
      <c r="F4191" s="33" t="s">
        <v>19</v>
      </c>
      <c r="G4191" s="33" t="s">
        <v>106</v>
      </c>
      <c r="H4191" s="35">
        <v>10</v>
      </c>
      <c r="I4191" s="33" t="s">
        <v>21</v>
      </c>
      <c r="J4191" s="42">
        <v>44228</v>
      </c>
      <c r="K4191" s="33" t="s">
        <v>22</v>
      </c>
    </row>
    <row r="4192" spans="1:11">
      <c r="A4192" s="30" t="s">
        <v>10042</v>
      </c>
      <c r="B4192" s="30" t="s">
        <v>10043</v>
      </c>
      <c r="C4192" s="30" t="s">
        <v>6212</v>
      </c>
      <c r="D4192" s="30" t="s">
        <v>17</v>
      </c>
      <c r="E4192" s="30" t="s">
        <v>26</v>
      </c>
      <c r="F4192" s="30" t="s">
        <v>27</v>
      </c>
      <c r="G4192" s="30" t="s">
        <v>20</v>
      </c>
      <c r="H4192" s="32">
        <v>34</v>
      </c>
      <c r="I4192" s="30" t="s">
        <v>21</v>
      </c>
      <c r="J4192" s="41">
        <v>44550</v>
      </c>
      <c r="K4192" s="30" t="s">
        <v>22</v>
      </c>
    </row>
    <row r="4193" spans="1:11">
      <c r="A4193" s="33" t="s">
        <v>10044</v>
      </c>
      <c r="B4193" s="33" t="s">
        <v>10045</v>
      </c>
      <c r="C4193" s="33" t="s">
        <v>10046</v>
      </c>
      <c r="D4193" s="33" t="s">
        <v>17</v>
      </c>
      <c r="E4193" s="33" t="s">
        <v>31</v>
      </c>
      <c r="F4193" s="33" t="s">
        <v>32</v>
      </c>
      <c r="G4193" s="33" t="s">
        <v>106</v>
      </c>
      <c r="H4193" s="35">
        <v>10</v>
      </c>
      <c r="I4193" s="33" t="s">
        <v>21</v>
      </c>
      <c r="J4193" s="42">
        <v>44475</v>
      </c>
      <c r="K4193" s="33" t="s">
        <v>22</v>
      </c>
    </row>
    <row r="4194" spans="1:11">
      <c r="A4194" s="30" t="s">
        <v>10047</v>
      </c>
      <c r="B4194" s="30" t="s">
        <v>10048</v>
      </c>
      <c r="C4194" s="30" t="s">
        <v>3296</v>
      </c>
      <c r="D4194" s="30" t="s">
        <v>17</v>
      </c>
      <c r="E4194" s="30" t="s">
        <v>18</v>
      </c>
      <c r="F4194" s="30" t="s">
        <v>19</v>
      </c>
      <c r="G4194" s="30" t="s">
        <v>20</v>
      </c>
      <c r="H4194" s="32">
        <v>598</v>
      </c>
      <c r="I4194" s="30" t="s">
        <v>21</v>
      </c>
      <c r="J4194" s="41">
        <v>44314</v>
      </c>
      <c r="K4194" s="30" t="s">
        <v>22</v>
      </c>
    </row>
    <row r="4195" spans="1:11">
      <c r="A4195" s="33" t="s">
        <v>10049</v>
      </c>
      <c r="B4195" s="33" t="s">
        <v>10050</v>
      </c>
      <c r="C4195" s="33" t="s">
        <v>374</v>
      </c>
      <c r="D4195" s="33" t="s">
        <v>17</v>
      </c>
      <c r="E4195" s="33" t="s">
        <v>26</v>
      </c>
      <c r="F4195" s="33" t="s">
        <v>27</v>
      </c>
      <c r="G4195" s="33" t="s">
        <v>20</v>
      </c>
      <c r="H4195" s="35">
        <v>36</v>
      </c>
      <c r="I4195" s="33" t="s">
        <v>21</v>
      </c>
      <c r="J4195" s="42">
        <v>44270</v>
      </c>
      <c r="K4195" s="33" t="s">
        <v>22</v>
      </c>
    </row>
    <row r="4196" spans="1:11">
      <c r="A4196" s="30" t="s">
        <v>10051</v>
      </c>
      <c r="B4196" s="30" t="s">
        <v>10052</v>
      </c>
      <c r="C4196" s="30" t="s">
        <v>10053</v>
      </c>
      <c r="D4196" s="30" t="s">
        <v>17</v>
      </c>
      <c r="E4196" s="30" t="s">
        <v>31</v>
      </c>
      <c r="F4196" s="30" t="s">
        <v>32</v>
      </c>
      <c r="G4196" s="30" t="s">
        <v>20</v>
      </c>
      <c r="H4196" s="32">
        <v>41</v>
      </c>
      <c r="I4196" s="30" t="s">
        <v>21</v>
      </c>
      <c r="J4196" s="41">
        <v>44545</v>
      </c>
      <c r="K4196" s="30" t="s">
        <v>22</v>
      </c>
    </row>
    <row r="4197" spans="1:11">
      <c r="A4197" s="33" t="s">
        <v>10054</v>
      </c>
      <c r="B4197" s="33" t="s">
        <v>10055</v>
      </c>
      <c r="C4197" s="33" t="s">
        <v>3655</v>
      </c>
      <c r="D4197" s="33" t="s">
        <v>17</v>
      </c>
      <c r="E4197" s="33" t="s">
        <v>31</v>
      </c>
      <c r="F4197" s="33" t="s">
        <v>32</v>
      </c>
      <c r="G4197" s="33" t="s">
        <v>158</v>
      </c>
      <c r="H4197" s="35">
        <v>327</v>
      </c>
      <c r="I4197" s="33" t="s">
        <v>51</v>
      </c>
      <c r="J4197" s="42">
        <v>44263</v>
      </c>
      <c r="K4197" s="33" t="s">
        <v>22</v>
      </c>
    </row>
    <row r="4198" spans="1:11">
      <c r="A4198" s="30" t="s">
        <v>10056</v>
      </c>
      <c r="B4198" s="30" t="s">
        <v>10057</v>
      </c>
      <c r="C4198" s="30" t="s">
        <v>310</v>
      </c>
      <c r="D4198" s="30" t="s">
        <v>17</v>
      </c>
      <c r="E4198" s="30" t="s">
        <v>18</v>
      </c>
      <c r="F4198" s="30" t="s">
        <v>19</v>
      </c>
      <c r="G4198" s="30" t="s">
        <v>20</v>
      </c>
      <c r="H4198" s="32">
        <v>1085</v>
      </c>
      <c r="I4198" s="30" t="s">
        <v>21</v>
      </c>
      <c r="J4198" s="41">
        <v>44256</v>
      </c>
      <c r="K4198" s="30" t="s">
        <v>22</v>
      </c>
    </row>
    <row r="4199" spans="1:11">
      <c r="A4199" s="33" t="s">
        <v>10058</v>
      </c>
      <c r="B4199" s="33" t="s">
        <v>10059</v>
      </c>
      <c r="C4199" s="33" t="s">
        <v>1210</v>
      </c>
      <c r="D4199" s="33" t="s">
        <v>17</v>
      </c>
      <c r="E4199" s="33" t="s">
        <v>26</v>
      </c>
      <c r="F4199" s="33" t="s">
        <v>27</v>
      </c>
      <c r="G4199" s="33" t="s">
        <v>158</v>
      </c>
      <c r="H4199" s="35">
        <v>40</v>
      </c>
      <c r="I4199" s="33" t="s">
        <v>21</v>
      </c>
      <c r="J4199" s="42">
        <v>44209</v>
      </c>
      <c r="K4199" s="33" t="s">
        <v>22</v>
      </c>
    </row>
    <row r="4200" spans="1:11">
      <c r="A4200" s="30" t="s">
        <v>10060</v>
      </c>
      <c r="B4200" s="30" t="s">
        <v>10061</v>
      </c>
      <c r="C4200" s="30" t="s">
        <v>2722</v>
      </c>
      <c r="D4200" s="30" t="s">
        <v>17</v>
      </c>
      <c r="E4200" s="30" t="s">
        <v>18</v>
      </c>
      <c r="F4200" s="30" t="s">
        <v>19</v>
      </c>
      <c r="G4200" s="30" t="s">
        <v>158</v>
      </c>
      <c r="H4200" s="32">
        <v>2463</v>
      </c>
      <c r="I4200" s="30" t="s">
        <v>21</v>
      </c>
      <c r="J4200" s="41">
        <v>44310</v>
      </c>
      <c r="K4200" s="30" t="s">
        <v>22</v>
      </c>
    </row>
    <row r="4201" spans="1:11">
      <c r="A4201" s="33" t="s">
        <v>10062</v>
      </c>
      <c r="B4201" s="33" t="s">
        <v>10063</v>
      </c>
      <c r="C4201" s="33" t="s">
        <v>1796</v>
      </c>
      <c r="D4201" s="33" t="s">
        <v>17</v>
      </c>
      <c r="E4201" s="33" t="s">
        <v>26</v>
      </c>
      <c r="F4201" s="33" t="s">
        <v>27</v>
      </c>
      <c r="G4201" s="33" t="s">
        <v>20</v>
      </c>
      <c r="H4201" s="35">
        <v>24</v>
      </c>
      <c r="I4201" s="33" t="s">
        <v>21</v>
      </c>
      <c r="J4201" s="42">
        <v>44257</v>
      </c>
      <c r="K4201" s="33" t="s">
        <v>22</v>
      </c>
    </row>
    <row r="4202" spans="1:11">
      <c r="A4202" s="30" t="s">
        <v>10064</v>
      </c>
      <c r="B4202" s="30" t="s">
        <v>10065</v>
      </c>
      <c r="C4202" s="30" t="s">
        <v>647</v>
      </c>
      <c r="D4202" s="30" t="s">
        <v>17</v>
      </c>
      <c r="E4202" s="30" t="s">
        <v>26</v>
      </c>
      <c r="F4202" s="30" t="s">
        <v>27</v>
      </c>
      <c r="G4202" s="30" t="s">
        <v>20</v>
      </c>
      <c r="H4202" s="32">
        <v>44</v>
      </c>
      <c r="I4202" s="30" t="s">
        <v>21</v>
      </c>
      <c r="J4202" s="41">
        <v>44278</v>
      </c>
      <c r="K4202" s="30" t="s">
        <v>22</v>
      </c>
    </row>
    <row r="4203" spans="1:11">
      <c r="A4203" s="33" t="s">
        <v>10066</v>
      </c>
      <c r="B4203" s="33" t="s">
        <v>10067</v>
      </c>
      <c r="C4203" s="33" t="s">
        <v>3647</v>
      </c>
      <c r="D4203" s="33" t="s">
        <v>17</v>
      </c>
      <c r="E4203" s="33" t="s">
        <v>31</v>
      </c>
      <c r="F4203" s="33" t="s">
        <v>32</v>
      </c>
      <c r="G4203" s="33" t="s">
        <v>106</v>
      </c>
      <c r="H4203" s="35">
        <v>22</v>
      </c>
      <c r="I4203" s="33" t="s">
        <v>21</v>
      </c>
      <c r="J4203" s="42">
        <v>44202</v>
      </c>
      <c r="K4203" s="33" t="s">
        <v>22</v>
      </c>
    </row>
    <row r="4204" spans="1:11">
      <c r="A4204" s="30" t="s">
        <v>10068</v>
      </c>
      <c r="B4204" s="30" t="s">
        <v>10069</v>
      </c>
      <c r="C4204" s="30" t="s">
        <v>6972</v>
      </c>
      <c r="D4204" s="30" t="s">
        <v>17</v>
      </c>
      <c r="E4204" s="30" t="s">
        <v>26</v>
      </c>
      <c r="F4204" s="30" t="s">
        <v>27</v>
      </c>
      <c r="G4204" s="30" t="s">
        <v>50</v>
      </c>
      <c r="H4204" s="32">
        <v>16</v>
      </c>
      <c r="I4204" s="30" t="s">
        <v>51</v>
      </c>
      <c r="J4204" s="41">
        <v>44531</v>
      </c>
      <c r="K4204" s="30" t="s">
        <v>22</v>
      </c>
    </row>
    <row r="4205" spans="1:11">
      <c r="A4205" s="33" t="s">
        <v>10070</v>
      </c>
      <c r="B4205" s="33" t="s">
        <v>10071</v>
      </c>
      <c r="C4205" s="33" t="s">
        <v>318</v>
      </c>
      <c r="D4205" s="33" t="s">
        <v>17</v>
      </c>
      <c r="E4205" s="33" t="s">
        <v>31</v>
      </c>
      <c r="F4205" s="33" t="s">
        <v>32</v>
      </c>
      <c r="G4205" s="33" t="s">
        <v>106</v>
      </c>
      <c r="H4205" s="35">
        <v>301</v>
      </c>
      <c r="I4205" s="33" t="s">
        <v>21</v>
      </c>
      <c r="J4205" s="42">
        <v>44505</v>
      </c>
      <c r="K4205" s="33" t="s">
        <v>22</v>
      </c>
    </row>
    <row r="4206" spans="1:11">
      <c r="A4206" s="30" t="s">
        <v>10072</v>
      </c>
      <c r="B4206" s="30" t="s">
        <v>10073</v>
      </c>
      <c r="C4206" s="30" t="s">
        <v>10074</v>
      </c>
      <c r="D4206" s="30" t="s">
        <v>17</v>
      </c>
      <c r="E4206" s="30" t="s">
        <v>26</v>
      </c>
      <c r="F4206" s="30" t="s">
        <v>27</v>
      </c>
      <c r="G4206" s="30" t="s">
        <v>20</v>
      </c>
      <c r="H4206" s="32">
        <v>28</v>
      </c>
      <c r="I4206" s="30" t="s">
        <v>21</v>
      </c>
      <c r="J4206" s="41">
        <v>44488</v>
      </c>
      <c r="K4206" s="30" t="s">
        <v>22</v>
      </c>
    </row>
    <row r="4207" spans="1:11">
      <c r="A4207" s="33" t="s">
        <v>10075</v>
      </c>
      <c r="B4207" s="33" t="s">
        <v>10076</v>
      </c>
      <c r="C4207" s="33" t="s">
        <v>8069</v>
      </c>
      <c r="D4207" s="33" t="s">
        <v>17</v>
      </c>
      <c r="E4207" s="33" t="s">
        <v>26</v>
      </c>
      <c r="F4207" s="33" t="s">
        <v>27</v>
      </c>
      <c r="G4207" s="33" t="s">
        <v>20</v>
      </c>
      <c r="H4207" s="35">
        <v>84</v>
      </c>
      <c r="I4207" s="33" t="s">
        <v>21</v>
      </c>
      <c r="J4207" s="42">
        <v>44447</v>
      </c>
      <c r="K4207" s="33" t="s">
        <v>22</v>
      </c>
    </row>
    <row r="4208" spans="1:11">
      <c r="A4208" s="30" t="s">
        <v>10077</v>
      </c>
      <c r="B4208" s="30" t="s">
        <v>10078</v>
      </c>
      <c r="C4208" s="30" t="s">
        <v>10079</v>
      </c>
      <c r="D4208" s="30" t="s">
        <v>17</v>
      </c>
      <c r="E4208" s="30" t="s">
        <v>26</v>
      </c>
      <c r="F4208" s="30" t="s">
        <v>27</v>
      </c>
      <c r="G4208" s="30" t="s">
        <v>20</v>
      </c>
      <c r="H4208" s="32">
        <v>48</v>
      </c>
      <c r="I4208" s="30" t="s">
        <v>21</v>
      </c>
      <c r="J4208" s="41">
        <v>44550</v>
      </c>
      <c r="K4208" s="30" t="s">
        <v>22</v>
      </c>
    </row>
    <row r="4209" spans="1:11">
      <c r="A4209" s="33" t="s">
        <v>10080</v>
      </c>
      <c r="B4209" s="33" t="s">
        <v>10081</v>
      </c>
      <c r="C4209" s="33" t="s">
        <v>969</v>
      </c>
      <c r="D4209" s="33" t="s">
        <v>17</v>
      </c>
      <c r="E4209" s="33" t="s">
        <v>18</v>
      </c>
      <c r="F4209" s="33" t="s">
        <v>19</v>
      </c>
      <c r="G4209" s="33" t="s">
        <v>158</v>
      </c>
      <c r="H4209" s="35">
        <v>72</v>
      </c>
      <c r="I4209" s="33" t="s">
        <v>21</v>
      </c>
      <c r="J4209" s="42">
        <v>44405</v>
      </c>
      <c r="K4209" s="33" t="s">
        <v>22</v>
      </c>
    </row>
    <row r="4210" spans="1:11">
      <c r="A4210" s="30" t="s">
        <v>10082</v>
      </c>
      <c r="B4210" s="30" t="s">
        <v>10083</v>
      </c>
      <c r="C4210" s="30" t="s">
        <v>2472</v>
      </c>
      <c r="D4210" s="30" t="s">
        <v>17</v>
      </c>
      <c r="E4210" s="30" t="s">
        <v>18</v>
      </c>
      <c r="F4210" s="30" t="s">
        <v>19</v>
      </c>
      <c r="G4210" s="30" t="s">
        <v>106</v>
      </c>
      <c r="H4210" s="32">
        <v>7454</v>
      </c>
      <c r="I4210" s="30" t="s">
        <v>21</v>
      </c>
      <c r="J4210" s="41">
        <v>44495</v>
      </c>
      <c r="K4210" s="30" t="s">
        <v>22</v>
      </c>
    </row>
    <row r="4211" spans="1:11">
      <c r="A4211" s="33" t="s">
        <v>10084</v>
      </c>
      <c r="B4211" s="33" t="s">
        <v>10085</v>
      </c>
      <c r="C4211" s="33" t="s">
        <v>9989</v>
      </c>
      <c r="D4211" s="33" t="s">
        <v>17</v>
      </c>
      <c r="E4211" s="33" t="s">
        <v>26</v>
      </c>
      <c r="F4211" s="33" t="s">
        <v>27</v>
      </c>
      <c r="G4211" s="33" t="s">
        <v>112</v>
      </c>
      <c r="H4211" s="35">
        <v>0</v>
      </c>
      <c r="I4211" s="33" t="s">
        <v>21</v>
      </c>
      <c r="J4211" s="42">
        <v>44470</v>
      </c>
      <c r="K4211" s="33" t="s">
        <v>22</v>
      </c>
    </row>
    <row r="4212" spans="1:11">
      <c r="A4212" s="30" t="s">
        <v>10086</v>
      </c>
      <c r="B4212" s="30" t="s">
        <v>10087</v>
      </c>
      <c r="C4212" s="30" t="s">
        <v>1745</v>
      </c>
      <c r="D4212" s="30" t="s">
        <v>17</v>
      </c>
      <c r="E4212" s="30" t="s">
        <v>26</v>
      </c>
      <c r="F4212" s="30" t="s">
        <v>27</v>
      </c>
      <c r="G4212" s="30" t="s">
        <v>20</v>
      </c>
      <c r="H4212" s="32">
        <v>25</v>
      </c>
      <c r="I4212" s="30" t="s">
        <v>21</v>
      </c>
      <c r="J4212" s="41">
        <v>44396</v>
      </c>
      <c r="K4212" s="30" t="s">
        <v>22</v>
      </c>
    </row>
    <row r="4213" spans="1:11">
      <c r="A4213" s="33" t="s">
        <v>10088</v>
      </c>
      <c r="B4213" s="33" t="s">
        <v>10089</v>
      </c>
      <c r="C4213" s="33" t="s">
        <v>1753</v>
      </c>
      <c r="D4213" s="33" t="s">
        <v>17</v>
      </c>
      <c r="E4213" s="33" t="s">
        <v>212</v>
      </c>
      <c r="F4213" s="33" t="s">
        <v>213</v>
      </c>
      <c r="G4213" s="33" t="s">
        <v>106</v>
      </c>
      <c r="H4213" s="35">
        <v>6</v>
      </c>
      <c r="I4213" s="33" t="s">
        <v>21</v>
      </c>
      <c r="J4213" s="42">
        <v>44221</v>
      </c>
      <c r="K4213" s="33" t="s">
        <v>22</v>
      </c>
    </row>
    <row r="4214" spans="1:11">
      <c r="A4214" s="30" t="s">
        <v>10090</v>
      </c>
      <c r="B4214" s="30" t="s">
        <v>10091</v>
      </c>
      <c r="C4214" s="30" t="s">
        <v>16</v>
      </c>
      <c r="D4214" s="30" t="s">
        <v>17</v>
      </c>
      <c r="E4214" s="30" t="s">
        <v>31</v>
      </c>
      <c r="F4214" s="30" t="s">
        <v>32</v>
      </c>
      <c r="G4214" s="30" t="s">
        <v>20</v>
      </c>
      <c r="H4214" s="32">
        <v>7</v>
      </c>
      <c r="I4214" s="30" t="s">
        <v>21</v>
      </c>
      <c r="J4214" s="41">
        <v>44331</v>
      </c>
      <c r="K4214" s="30" t="s">
        <v>22</v>
      </c>
    </row>
    <row r="4215" spans="1:11">
      <c r="A4215" s="33" t="s">
        <v>10092</v>
      </c>
      <c r="B4215" s="33" t="s">
        <v>10093</v>
      </c>
      <c r="C4215" s="33" t="s">
        <v>310</v>
      </c>
      <c r="D4215" s="33" t="s">
        <v>17</v>
      </c>
      <c r="E4215" s="33" t="s">
        <v>18</v>
      </c>
      <c r="F4215" s="33" t="s">
        <v>19</v>
      </c>
      <c r="G4215" s="33" t="s">
        <v>20</v>
      </c>
      <c r="H4215" s="35">
        <v>588</v>
      </c>
      <c r="I4215" s="33" t="s">
        <v>21</v>
      </c>
      <c r="J4215" s="42">
        <v>44279</v>
      </c>
      <c r="K4215" s="33" t="s">
        <v>22</v>
      </c>
    </row>
    <row r="4216" spans="1:11">
      <c r="A4216" s="30" t="s">
        <v>10094</v>
      </c>
      <c r="B4216" s="30" t="s">
        <v>10095</v>
      </c>
      <c r="C4216" s="30" t="s">
        <v>10096</v>
      </c>
      <c r="D4216" s="30" t="s">
        <v>17</v>
      </c>
      <c r="E4216" s="30" t="s">
        <v>31</v>
      </c>
      <c r="F4216" s="30" t="s">
        <v>32</v>
      </c>
      <c r="G4216" s="30" t="s">
        <v>158</v>
      </c>
      <c r="H4216" s="32">
        <v>180</v>
      </c>
      <c r="I4216" s="30" t="s">
        <v>51</v>
      </c>
      <c r="J4216" s="41">
        <v>44409</v>
      </c>
      <c r="K4216" s="30" t="s">
        <v>22</v>
      </c>
    </row>
    <row r="4217" spans="1:11">
      <c r="A4217" s="33" t="s">
        <v>10097</v>
      </c>
      <c r="B4217" s="33" t="s">
        <v>10098</v>
      </c>
      <c r="C4217" s="33" t="s">
        <v>2472</v>
      </c>
      <c r="D4217" s="33" t="s">
        <v>17</v>
      </c>
      <c r="E4217" s="33" t="s">
        <v>26</v>
      </c>
      <c r="F4217" s="33" t="s">
        <v>27</v>
      </c>
      <c r="G4217" s="33" t="s">
        <v>20</v>
      </c>
      <c r="H4217" s="35">
        <v>18</v>
      </c>
      <c r="I4217" s="33" t="s">
        <v>21</v>
      </c>
      <c r="J4217" s="42">
        <v>44405</v>
      </c>
      <c r="K4217" s="33" t="s">
        <v>22</v>
      </c>
    </row>
    <row r="4218" spans="1:11">
      <c r="A4218" s="30" t="s">
        <v>10099</v>
      </c>
      <c r="B4218" s="30" t="s">
        <v>10100</v>
      </c>
      <c r="C4218" s="30" t="s">
        <v>9882</v>
      </c>
      <c r="D4218" s="30" t="s">
        <v>17</v>
      </c>
      <c r="E4218" s="30" t="s">
        <v>31</v>
      </c>
      <c r="F4218" s="30" t="s">
        <v>32</v>
      </c>
      <c r="G4218" s="30" t="s">
        <v>20</v>
      </c>
      <c r="H4218" s="32">
        <v>43</v>
      </c>
      <c r="I4218" s="30" t="s">
        <v>21</v>
      </c>
      <c r="J4218" s="41">
        <v>44498</v>
      </c>
      <c r="K4218" s="30" t="s">
        <v>22</v>
      </c>
    </row>
    <row r="4219" spans="1:11">
      <c r="A4219" s="33" t="s">
        <v>10101</v>
      </c>
      <c r="B4219" s="33" t="s">
        <v>10102</v>
      </c>
      <c r="C4219" s="33" t="s">
        <v>2472</v>
      </c>
      <c r="D4219" s="33" t="s">
        <v>17</v>
      </c>
      <c r="E4219" s="33" t="s">
        <v>67</v>
      </c>
      <c r="F4219" s="33" t="s">
        <v>68</v>
      </c>
      <c r="G4219" s="33" t="s">
        <v>106</v>
      </c>
      <c r="H4219" s="35">
        <v>18</v>
      </c>
      <c r="I4219" s="33" t="s">
        <v>21</v>
      </c>
      <c r="J4219" s="42">
        <v>44414</v>
      </c>
      <c r="K4219" s="33" t="s">
        <v>22</v>
      </c>
    </row>
    <row r="4220" spans="1:11">
      <c r="A4220" s="30" t="s">
        <v>10103</v>
      </c>
      <c r="B4220" s="30" t="s">
        <v>10104</v>
      </c>
      <c r="C4220" s="30" t="s">
        <v>10105</v>
      </c>
      <c r="D4220" s="30" t="s">
        <v>17</v>
      </c>
      <c r="E4220" s="30" t="s">
        <v>26</v>
      </c>
      <c r="F4220" s="30" t="s">
        <v>27</v>
      </c>
      <c r="G4220" s="30" t="s">
        <v>20</v>
      </c>
      <c r="H4220" s="32">
        <v>40</v>
      </c>
      <c r="I4220" s="30" t="s">
        <v>21</v>
      </c>
      <c r="J4220" s="41">
        <v>44356</v>
      </c>
      <c r="K4220" s="30" t="s">
        <v>22</v>
      </c>
    </row>
    <row r="4221" spans="1:11">
      <c r="A4221" s="33" t="s">
        <v>10106</v>
      </c>
      <c r="B4221" s="33" t="s">
        <v>10107</v>
      </c>
      <c r="C4221" s="33" t="s">
        <v>817</v>
      </c>
      <c r="D4221" s="33" t="s">
        <v>17</v>
      </c>
      <c r="E4221" s="33" t="s">
        <v>26</v>
      </c>
      <c r="F4221" s="33" t="s">
        <v>27</v>
      </c>
      <c r="G4221" s="33" t="s">
        <v>20</v>
      </c>
      <c r="H4221" s="35">
        <v>30</v>
      </c>
      <c r="I4221" s="33" t="s">
        <v>21</v>
      </c>
      <c r="J4221" s="42">
        <v>44200</v>
      </c>
      <c r="K4221" s="33" t="s">
        <v>22</v>
      </c>
    </row>
    <row r="4222" spans="1:11">
      <c r="A4222" s="30" t="s">
        <v>10108</v>
      </c>
      <c r="B4222" s="30" t="s">
        <v>10109</v>
      </c>
      <c r="C4222" s="30" t="s">
        <v>9297</v>
      </c>
      <c r="D4222" s="30" t="s">
        <v>17</v>
      </c>
      <c r="E4222" s="30" t="s">
        <v>212</v>
      </c>
      <c r="F4222" s="30" t="s">
        <v>213</v>
      </c>
      <c r="G4222" s="30" t="s">
        <v>158</v>
      </c>
      <c r="H4222" s="32">
        <v>9</v>
      </c>
      <c r="I4222" s="30" t="s">
        <v>21</v>
      </c>
      <c r="J4222" s="41">
        <v>44357</v>
      </c>
      <c r="K4222" s="30" t="s">
        <v>22</v>
      </c>
    </row>
    <row r="4223" spans="1:11">
      <c r="A4223" s="33" t="s">
        <v>10110</v>
      </c>
      <c r="B4223" s="33" t="s">
        <v>10111</v>
      </c>
      <c r="C4223" s="33" t="s">
        <v>96</v>
      </c>
      <c r="D4223" s="33" t="s">
        <v>17</v>
      </c>
      <c r="E4223" s="33" t="s">
        <v>31</v>
      </c>
      <c r="F4223" s="33" t="s">
        <v>32</v>
      </c>
      <c r="G4223" s="33" t="s">
        <v>20</v>
      </c>
      <c r="H4223" s="35">
        <v>625</v>
      </c>
      <c r="I4223" s="33" t="s">
        <v>21</v>
      </c>
      <c r="J4223" s="42">
        <v>44263</v>
      </c>
      <c r="K4223" s="33" t="s">
        <v>22</v>
      </c>
    </row>
    <row r="4224" spans="1:11">
      <c r="A4224" s="30" t="s">
        <v>10112</v>
      </c>
      <c r="B4224" s="30" t="s">
        <v>10113</v>
      </c>
      <c r="C4224" s="30" t="s">
        <v>2609</v>
      </c>
      <c r="D4224" s="30" t="s">
        <v>17</v>
      </c>
      <c r="E4224" s="30" t="s">
        <v>31</v>
      </c>
      <c r="F4224" s="30" t="s">
        <v>32</v>
      </c>
      <c r="G4224" s="30" t="s">
        <v>112</v>
      </c>
      <c r="H4224" s="32">
        <v>0</v>
      </c>
      <c r="I4224" s="30" t="s">
        <v>21</v>
      </c>
      <c r="J4224" s="41">
        <v>44469</v>
      </c>
      <c r="K4224" s="30" t="s">
        <v>22</v>
      </c>
    </row>
    <row r="4225" spans="1:11">
      <c r="A4225" s="33" t="s">
        <v>10114</v>
      </c>
      <c r="B4225" s="33" t="s">
        <v>10115</v>
      </c>
      <c r="C4225" s="33" t="s">
        <v>1191</v>
      </c>
      <c r="D4225" s="33" t="s">
        <v>17</v>
      </c>
      <c r="E4225" s="33" t="s">
        <v>212</v>
      </c>
      <c r="F4225" s="33" t="s">
        <v>213</v>
      </c>
      <c r="G4225" s="33" t="s">
        <v>20</v>
      </c>
      <c r="H4225" s="35">
        <v>330</v>
      </c>
      <c r="I4225" s="33" t="s">
        <v>21</v>
      </c>
      <c r="J4225" s="42">
        <v>44276</v>
      </c>
      <c r="K4225" s="33" t="s">
        <v>22</v>
      </c>
    </row>
    <row r="4226" spans="1:11">
      <c r="A4226" s="30" t="s">
        <v>10116</v>
      </c>
      <c r="B4226" s="30" t="s">
        <v>10117</v>
      </c>
      <c r="C4226" s="30" t="s">
        <v>450</v>
      </c>
      <c r="D4226" s="30" t="s">
        <v>17</v>
      </c>
      <c r="E4226" s="30" t="s">
        <v>26</v>
      </c>
      <c r="F4226" s="30" t="s">
        <v>27</v>
      </c>
      <c r="G4226" s="30" t="s">
        <v>20</v>
      </c>
      <c r="H4226" s="32">
        <v>15</v>
      </c>
      <c r="I4226" s="30" t="s">
        <v>21</v>
      </c>
      <c r="J4226" s="41">
        <v>44467</v>
      </c>
      <c r="K4226" s="30" t="s">
        <v>22</v>
      </c>
    </row>
    <row r="4227" spans="1:11">
      <c r="A4227" s="33" t="s">
        <v>10118</v>
      </c>
      <c r="B4227" s="33" t="s">
        <v>10119</v>
      </c>
      <c r="C4227" s="33" t="s">
        <v>10120</v>
      </c>
      <c r="D4227" s="33" t="s">
        <v>17</v>
      </c>
      <c r="E4227" s="33" t="s">
        <v>31</v>
      </c>
      <c r="F4227" s="33" t="s">
        <v>32</v>
      </c>
      <c r="G4227" s="33" t="s">
        <v>20</v>
      </c>
      <c r="H4227" s="35">
        <v>50</v>
      </c>
      <c r="I4227" s="33" t="s">
        <v>21</v>
      </c>
      <c r="J4227" s="42">
        <v>44558</v>
      </c>
      <c r="K4227" s="33" t="s">
        <v>22</v>
      </c>
    </row>
    <row r="4228" spans="1:11">
      <c r="A4228" s="30" t="s">
        <v>10121</v>
      </c>
      <c r="B4228" s="30" t="s">
        <v>10122</v>
      </c>
      <c r="C4228" s="30" t="s">
        <v>10123</v>
      </c>
      <c r="D4228" s="30" t="s">
        <v>17</v>
      </c>
      <c r="E4228" s="30" t="s">
        <v>26</v>
      </c>
      <c r="F4228" s="30" t="s">
        <v>27</v>
      </c>
      <c r="G4228" s="30" t="s">
        <v>50</v>
      </c>
      <c r="H4228" s="32">
        <v>20</v>
      </c>
      <c r="I4228" s="30" t="s">
        <v>51</v>
      </c>
      <c r="J4228" s="41">
        <v>44228</v>
      </c>
      <c r="K4228" s="30" t="s">
        <v>22</v>
      </c>
    </row>
    <row r="4229" spans="1:11">
      <c r="A4229" s="33" t="s">
        <v>10124</v>
      </c>
      <c r="B4229" s="33" t="s">
        <v>10125</v>
      </c>
      <c r="C4229" s="33" t="s">
        <v>178</v>
      </c>
      <c r="D4229" s="33" t="s">
        <v>17</v>
      </c>
      <c r="E4229" s="33" t="s">
        <v>31</v>
      </c>
      <c r="F4229" s="33" t="s">
        <v>32</v>
      </c>
      <c r="G4229" s="33" t="s">
        <v>158</v>
      </c>
      <c r="H4229" s="35">
        <v>586</v>
      </c>
      <c r="I4229" s="33" t="s">
        <v>21</v>
      </c>
      <c r="J4229" s="42">
        <v>44321</v>
      </c>
      <c r="K4229" s="33" t="s">
        <v>22</v>
      </c>
    </row>
    <row r="4230" spans="1:11">
      <c r="A4230" s="30" t="s">
        <v>10126</v>
      </c>
      <c r="B4230" s="30" t="s">
        <v>10127</v>
      </c>
      <c r="C4230" s="30" t="s">
        <v>10128</v>
      </c>
      <c r="D4230" s="30" t="s">
        <v>17</v>
      </c>
      <c r="E4230" s="30" t="s">
        <v>26</v>
      </c>
      <c r="F4230" s="30" t="s">
        <v>27</v>
      </c>
      <c r="G4230" s="30" t="s">
        <v>20</v>
      </c>
      <c r="H4230" s="32">
        <v>84</v>
      </c>
      <c r="I4230" s="30" t="s">
        <v>21</v>
      </c>
      <c r="J4230" s="41">
        <v>44285</v>
      </c>
      <c r="K4230" s="30" t="s">
        <v>22</v>
      </c>
    </row>
    <row r="4231" spans="1:11">
      <c r="A4231" s="33" t="s">
        <v>10129</v>
      </c>
      <c r="B4231" s="33" t="s">
        <v>10130</v>
      </c>
      <c r="C4231" s="33" t="s">
        <v>136</v>
      </c>
      <c r="D4231" s="33" t="s">
        <v>17</v>
      </c>
      <c r="E4231" s="33" t="s">
        <v>26</v>
      </c>
      <c r="F4231" s="33" t="s">
        <v>27</v>
      </c>
      <c r="G4231" s="33" t="s">
        <v>20</v>
      </c>
      <c r="H4231" s="35">
        <v>26</v>
      </c>
      <c r="I4231" s="33" t="s">
        <v>21</v>
      </c>
      <c r="J4231" s="42">
        <v>44455</v>
      </c>
      <c r="K4231" s="33" t="s">
        <v>22</v>
      </c>
    </row>
    <row r="4232" spans="1:11">
      <c r="A4232" s="30" t="s">
        <v>10131</v>
      </c>
      <c r="B4232" s="30" t="s">
        <v>10132</v>
      </c>
      <c r="C4232" s="30" t="s">
        <v>1801</v>
      </c>
      <c r="D4232" s="30" t="s">
        <v>17</v>
      </c>
      <c r="E4232" s="30" t="s">
        <v>31</v>
      </c>
      <c r="F4232" s="30" t="s">
        <v>32</v>
      </c>
      <c r="G4232" s="30" t="s">
        <v>50</v>
      </c>
      <c r="H4232" s="32">
        <v>144</v>
      </c>
      <c r="I4232" s="30" t="s">
        <v>51</v>
      </c>
      <c r="J4232" s="41">
        <v>44277</v>
      </c>
      <c r="K4232" s="30" t="s">
        <v>22</v>
      </c>
    </row>
    <row r="4233" spans="1:11">
      <c r="A4233" s="33" t="s">
        <v>10133</v>
      </c>
      <c r="B4233" s="33" t="s">
        <v>10134</v>
      </c>
      <c r="C4233" s="33" t="s">
        <v>10135</v>
      </c>
      <c r="D4233" s="33" t="s">
        <v>17</v>
      </c>
      <c r="E4233" s="33" t="s">
        <v>31</v>
      </c>
      <c r="F4233" s="33" t="s">
        <v>32</v>
      </c>
      <c r="G4233" s="33" t="s">
        <v>158</v>
      </c>
      <c r="H4233" s="35">
        <v>60</v>
      </c>
      <c r="I4233" s="33" t="s">
        <v>51</v>
      </c>
      <c r="J4233" s="42">
        <v>44368</v>
      </c>
      <c r="K4233" s="33" t="s">
        <v>22</v>
      </c>
    </row>
    <row r="4234" spans="1:11">
      <c r="A4234" s="30" t="s">
        <v>10136</v>
      </c>
      <c r="B4234" s="30" t="s">
        <v>10137</v>
      </c>
      <c r="C4234" s="30" t="s">
        <v>3267</v>
      </c>
      <c r="D4234" s="30" t="s">
        <v>17</v>
      </c>
      <c r="E4234" s="30" t="s">
        <v>18</v>
      </c>
      <c r="F4234" s="30" t="s">
        <v>19</v>
      </c>
      <c r="G4234" s="30" t="s">
        <v>106</v>
      </c>
      <c r="H4234" s="32">
        <v>772</v>
      </c>
      <c r="I4234" s="30" t="s">
        <v>21</v>
      </c>
      <c r="J4234" s="41">
        <v>44285</v>
      </c>
      <c r="K4234" s="30" t="s">
        <v>22</v>
      </c>
    </row>
    <row r="4235" spans="1:11">
      <c r="A4235" s="33" t="s">
        <v>10138</v>
      </c>
      <c r="B4235" s="33" t="s">
        <v>10139</v>
      </c>
      <c r="C4235" s="33" t="s">
        <v>4105</v>
      </c>
      <c r="D4235" s="33" t="s">
        <v>17</v>
      </c>
      <c r="E4235" s="33" t="s">
        <v>18</v>
      </c>
      <c r="F4235" s="33" t="s">
        <v>19</v>
      </c>
      <c r="G4235" s="33" t="s">
        <v>106</v>
      </c>
      <c r="H4235" s="35">
        <v>346</v>
      </c>
      <c r="I4235" s="33" t="s">
        <v>21</v>
      </c>
      <c r="J4235" s="42">
        <v>44271</v>
      </c>
      <c r="K4235" s="33" t="s">
        <v>22</v>
      </c>
    </row>
    <row r="4236" spans="1:11">
      <c r="A4236" s="30" t="s">
        <v>10140</v>
      </c>
      <c r="B4236" s="30" t="s">
        <v>10141</v>
      </c>
      <c r="C4236" s="30" t="s">
        <v>203</v>
      </c>
      <c r="D4236" s="30" t="s">
        <v>17</v>
      </c>
      <c r="E4236" s="30" t="s">
        <v>26</v>
      </c>
      <c r="F4236" s="30" t="s">
        <v>27</v>
      </c>
      <c r="G4236" s="30" t="s">
        <v>106</v>
      </c>
      <c r="H4236" s="32">
        <v>44</v>
      </c>
      <c r="I4236" s="30" t="s">
        <v>21</v>
      </c>
      <c r="J4236" s="41">
        <v>44424</v>
      </c>
      <c r="K4236" s="30" t="s">
        <v>22</v>
      </c>
    </row>
    <row r="4237" spans="1:11">
      <c r="A4237" s="33" t="s">
        <v>10142</v>
      </c>
      <c r="B4237" s="33" t="s">
        <v>10143</v>
      </c>
      <c r="C4237" s="33" t="s">
        <v>6336</v>
      </c>
      <c r="D4237" s="33" t="s">
        <v>17</v>
      </c>
      <c r="E4237" s="33" t="s">
        <v>26</v>
      </c>
      <c r="F4237" s="33" t="s">
        <v>27</v>
      </c>
      <c r="G4237" s="33" t="s">
        <v>50</v>
      </c>
      <c r="H4237" s="35">
        <v>48</v>
      </c>
      <c r="I4237" s="33" t="s">
        <v>51</v>
      </c>
      <c r="J4237" s="42">
        <v>44342</v>
      </c>
      <c r="K4237" s="33" t="s">
        <v>22</v>
      </c>
    </row>
    <row r="4238" spans="1:11">
      <c r="A4238" s="30" t="s">
        <v>10144</v>
      </c>
      <c r="B4238" s="30" t="s">
        <v>10145</v>
      </c>
      <c r="C4238" s="30" t="s">
        <v>149</v>
      </c>
      <c r="D4238" s="30" t="s">
        <v>17</v>
      </c>
      <c r="E4238" s="30" t="s">
        <v>26</v>
      </c>
      <c r="F4238" s="30" t="s">
        <v>27</v>
      </c>
      <c r="G4238" s="30" t="s">
        <v>20</v>
      </c>
      <c r="H4238" s="32">
        <v>36</v>
      </c>
      <c r="I4238" s="30" t="s">
        <v>21</v>
      </c>
      <c r="J4238" s="41">
        <v>44204</v>
      </c>
      <c r="K4238" s="30" t="s">
        <v>22</v>
      </c>
    </row>
    <row r="4239" spans="1:11">
      <c r="A4239" s="33" t="s">
        <v>10146</v>
      </c>
      <c r="B4239" s="33" t="s">
        <v>10147</v>
      </c>
      <c r="C4239" s="33" t="s">
        <v>1598</v>
      </c>
      <c r="D4239" s="33" t="s">
        <v>17</v>
      </c>
      <c r="E4239" s="33" t="s">
        <v>26</v>
      </c>
      <c r="F4239" s="33" t="s">
        <v>27</v>
      </c>
      <c r="G4239" s="33" t="s">
        <v>20</v>
      </c>
      <c r="H4239" s="35">
        <v>19</v>
      </c>
      <c r="I4239" s="33" t="s">
        <v>21</v>
      </c>
      <c r="J4239" s="42">
        <v>44221</v>
      </c>
      <c r="K4239" s="33" t="s">
        <v>22</v>
      </c>
    </row>
    <row r="4240" spans="1:11">
      <c r="A4240" s="30" t="s">
        <v>10148</v>
      </c>
      <c r="B4240" s="30" t="s">
        <v>10149</v>
      </c>
      <c r="C4240" s="30" t="s">
        <v>7765</v>
      </c>
      <c r="D4240" s="30" t="s">
        <v>17</v>
      </c>
      <c r="E4240" s="30" t="s">
        <v>26</v>
      </c>
      <c r="F4240" s="30" t="s">
        <v>27</v>
      </c>
      <c r="G4240" s="30" t="s">
        <v>20</v>
      </c>
      <c r="H4240" s="32">
        <v>75</v>
      </c>
      <c r="I4240" s="30" t="s">
        <v>21</v>
      </c>
      <c r="J4240" s="41">
        <v>44299</v>
      </c>
      <c r="K4240" s="30" t="s">
        <v>22</v>
      </c>
    </row>
    <row r="4241" spans="1:11">
      <c r="A4241" s="33" t="s">
        <v>10150</v>
      </c>
      <c r="B4241" s="33" t="s">
        <v>10151</v>
      </c>
      <c r="C4241" s="33" t="s">
        <v>4468</v>
      </c>
      <c r="D4241" s="33" t="s">
        <v>17</v>
      </c>
      <c r="E4241" s="33" t="s">
        <v>31</v>
      </c>
      <c r="F4241" s="33" t="s">
        <v>32</v>
      </c>
      <c r="G4241" s="33" t="s">
        <v>106</v>
      </c>
      <c r="H4241" s="35">
        <v>4</v>
      </c>
      <c r="I4241" s="33" t="s">
        <v>21</v>
      </c>
      <c r="J4241" s="42">
        <v>44256</v>
      </c>
      <c r="K4241" s="33" t="s">
        <v>22</v>
      </c>
    </row>
    <row r="4242" spans="1:11">
      <c r="A4242" s="30" t="s">
        <v>10152</v>
      </c>
      <c r="B4242" s="30" t="s">
        <v>10153</v>
      </c>
      <c r="C4242" s="30" t="s">
        <v>109</v>
      </c>
      <c r="D4242" s="30" t="s">
        <v>17</v>
      </c>
      <c r="E4242" s="30" t="s">
        <v>31</v>
      </c>
      <c r="F4242" s="30" t="s">
        <v>32</v>
      </c>
      <c r="G4242" s="30" t="s">
        <v>106</v>
      </c>
      <c r="H4242" s="32">
        <v>34</v>
      </c>
      <c r="I4242" s="30" t="s">
        <v>21</v>
      </c>
      <c r="J4242" s="41">
        <v>44497</v>
      </c>
      <c r="K4242" s="30" t="s">
        <v>22</v>
      </c>
    </row>
    <row r="4243" spans="1:11">
      <c r="A4243" s="33" t="s">
        <v>10154</v>
      </c>
      <c r="B4243" s="33" t="s">
        <v>10155</v>
      </c>
      <c r="C4243" s="33" t="s">
        <v>2905</v>
      </c>
      <c r="D4243" s="33" t="s">
        <v>17</v>
      </c>
      <c r="E4243" s="33" t="s">
        <v>212</v>
      </c>
      <c r="F4243" s="33" t="s">
        <v>213</v>
      </c>
      <c r="G4243" s="33" t="s">
        <v>20</v>
      </c>
      <c r="H4243" s="35">
        <v>238</v>
      </c>
      <c r="I4243" s="33" t="s">
        <v>21</v>
      </c>
      <c r="J4243" s="42">
        <v>44197</v>
      </c>
      <c r="K4243" s="33" t="s">
        <v>22</v>
      </c>
    </row>
    <row r="4244" spans="1:11">
      <c r="A4244" s="30" t="s">
        <v>10156</v>
      </c>
      <c r="B4244" s="30" t="s">
        <v>10157</v>
      </c>
      <c r="C4244" s="30" t="s">
        <v>3387</v>
      </c>
      <c r="D4244" s="30" t="s">
        <v>17</v>
      </c>
      <c r="E4244" s="30" t="s">
        <v>26</v>
      </c>
      <c r="F4244" s="30" t="s">
        <v>27</v>
      </c>
      <c r="G4244" s="30" t="s">
        <v>106</v>
      </c>
      <c r="H4244" s="32">
        <v>2</v>
      </c>
      <c r="I4244" s="30" t="s">
        <v>21</v>
      </c>
      <c r="J4244" s="41">
        <v>44285</v>
      </c>
      <c r="K4244" s="30" t="s">
        <v>22</v>
      </c>
    </row>
    <row r="4245" spans="1:11">
      <c r="A4245" s="33" t="s">
        <v>10158</v>
      </c>
      <c r="B4245" s="33" t="s">
        <v>10159</v>
      </c>
      <c r="C4245" s="33" t="s">
        <v>10160</v>
      </c>
      <c r="D4245" s="33" t="s">
        <v>17</v>
      </c>
      <c r="E4245" s="33" t="s">
        <v>31</v>
      </c>
      <c r="F4245" s="33" t="s">
        <v>32</v>
      </c>
      <c r="G4245" s="33" t="s">
        <v>50</v>
      </c>
      <c r="H4245" s="35">
        <v>766</v>
      </c>
      <c r="I4245" s="33" t="s">
        <v>21</v>
      </c>
      <c r="J4245" s="42">
        <v>44418</v>
      </c>
      <c r="K4245" s="33" t="s">
        <v>22</v>
      </c>
    </row>
    <row r="4246" spans="1:11">
      <c r="A4246" s="30" t="s">
        <v>10161</v>
      </c>
      <c r="B4246" s="30" t="s">
        <v>10162</v>
      </c>
      <c r="C4246" s="30" t="s">
        <v>96</v>
      </c>
      <c r="D4246" s="30" t="s">
        <v>17</v>
      </c>
      <c r="E4246" s="30" t="s">
        <v>18</v>
      </c>
      <c r="F4246" s="30" t="s">
        <v>19</v>
      </c>
      <c r="G4246" s="30" t="s">
        <v>158</v>
      </c>
      <c r="H4246" s="32">
        <v>599</v>
      </c>
      <c r="I4246" s="30" t="s">
        <v>21</v>
      </c>
      <c r="J4246" s="41">
        <v>44328</v>
      </c>
      <c r="K4246" s="30" t="s">
        <v>22</v>
      </c>
    </row>
    <row r="4247" spans="1:11">
      <c r="A4247" s="33" t="s">
        <v>10163</v>
      </c>
      <c r="B4247" s="33" t="s">
        <v>10164</v>
      </c>
      <c r="C4247" s="33" t="s">
        <v>10165</v>
      </c>
      <c r="D4247" s="33" t="s">
        <v>17</v>
      </c>
      <c r="E4247" s="33" t="s">
        <v>31</v>
      </c>
      <c r="F4247" s="33" t="s">
        <v>32</v>
      </c>
      <c r="G4247" s="33" t="s">
        <v>20</v>
      </c>
      <c r="H4247" s="35">
        <v>422</v>
      </c>
      <c r="I4247" s="33" t="s">
        <v>21</v>
      </c>
      <c r="J4247" s="42">
        <v>44350</v>
      </c>
      <c r="K4247" s="33" t="s">
        <v>22</v>
      </c>
    </row>
    <row r="4248" spans="1:11">
      <c r="A4248" s="30" t="s">
        <v>10166</v>
      </c>
      <c r="B4248" s="30" t="s">
        <v>10167</v>
      </c>
      <c r="C4248" s="30" t="s">
        <v>9629</v>
      </c>
      <c r="D4248" s="30" t="s">
        <v>17</v>
      </c>
      <c r="E4248" s="30" t="s">
        <v>67</v>
      </c>
      <c r="F4248" s="30" t="s">
        <v>68</v>
      </c>
      <c r="G4248" s="30" t="s">
        <v>50</v>
      </c>
      <c r="H4248" s="32">
        <v>285</v>
      </c>
      <c r="I4248" s="30" t="s">
        <v>51</v>
      </c>
      <c r="J4248" s="41">
        <v>44446</v>
      </c>
      <c r="K4248" s="30" t="s">
        <v>22</v>
      </c>
    </row>
    <row r="4249" spans="1:11">
      <c r="A4249" s="33" t="s">
        <v>10168</v>
      </c>
      <c r="B4249" s="33" t="s">
        <v>10169</v>
      </c>
      <c r="C4249" s="33" t="s">
        <v>10170</v>
      </c>
      <c r="D4249" s="33" t="s">
        <v>17</v>
      </c>
      <c r="E4249" s="33" t="s">
        <v>26</v>
      </c>
      <c r="F4249" s="33" t="s">
        <v>27</v>
      </c>
      <c r="G4249" s="33" t="s">
        <v>20</v>
      </c>
      <c r="H4249" s="35">
        <v>18</v>
      </c>
      <c r="I4249" s="33" t="s">
        <v>21</v>
      </c>
      <c r="J4249" s="42">
        <v>44225</v>
      </c>
      <c r="K4249" s="33" t="s">
        <v>22</v>
      </c>
    </row>
    <row r="4250" spans="1:11">
      <c r="A4250" s="30" t="s">
        <v>10171</v>
      </c>
      <c r="B4250" s="30" t="s">
        <v>10172</v>
      </c>
      <c r="C4250" s="30" t="s">
        <v>1003</v>
      </c>
      <c r="D4250" s="30" t="s">
        <v>17</v>
      </c>
      <c r="E4250" s="30" t="s">
        <v>31</v>
      </c>
      <c r="F4250" s="30" t="s">
        <v>32</v>
      </c>
      <c r="G4250" s="30" t="s">
        <v>20</v>
      </c>
      <c r="H4250" s="32">
        <v>123</v>
      </c>
      <c r="I4250" s="30" t="s">
        <v>21</v>
      </c>
      <c r="J4250" s="41">
        <v>44266</v>
      </c>
      <c r="K4250" s="30" t="s">
        <v>22</v>
      </c>
    </row>
    <row r="4251" spans="1:11">
      <c r="A4251" s="33" t="s">
        <v>10173</v>
      </c>
      <c r="B4251" s="33" t="s">
        <v>10174</v>
      </c>
      <c r="C4251" s="33" t="s">
        <v>10175</v>
      </c>
      <c r="D4251" s="33" t="s">
        <v>17</v>
      </c>
      <c r="E4251" s="33" t="s">
        <v>31</v>
      </c>
      <c r="F4251" s="33" t="s">
        <v>32</v>
      </c>
      <c r="G4251" s="33" t="s">
        <v>20</v>
      </c>
      <c r="H4251" s="35">
        <v>280</v>
      </c>
      <c r="I4251" s="33" t="s">
        <v>21</v>
      </c>
      <c r="J4251" s="42">
        <v>44508</v>
      </c>
      <c r="K4251" s="33" t="s">
        <v>22</v>
      </c>
    </row>
    <row r="4252" spans="1:11">
      <c r="A4252" s="30" t="s">
        <v>10176</v>
      </c>
      <c r="B4252" s="30" t="s">
        <v>10177</v>
      </c>
      <c r="C4252" s="30" t="s">
        <v>10178</v>
      </c>
      <c r="D4252" s="30" t="s">
        <v>17</v>
      </c>
      <c r="E4252" s="30" t="s">
        <v>212</v>
      </c>
      <c r="F4252" s="30" t="s">
        <v>213</v>
      </c>
      <c r="G4252" s="30" t="s">
        <v>50</v>
      </c>
      <c r="H4252" s="32">
        <v>250</v>
      </c>
      <c r="I4252" s="30" t="s">
        <v>51</v>
      </c>
      <c r="J4252" s="41">
        <v>44536</v>
      </c>
      <c r="K4252" s="30" t="s">
        <v>22</v>
      </c>
    </row>
    <row r="4253" spans="1:11">
      <c r="A4253" s="33" t="s">
        <v>10179</v>
      </c>
      <c r="B4253" s="33" t="s">
        <v>10180</v>
      </c>
      <c r="C4253" s="33" t="s">
        <v>1302</v>
      </c>
      <c r="D4253" s="33" t="s">
        <v>17</v>
      </c>
      <c r="E4253" s="33" t="s">
        <v>18</v>
      </c>
      <c r="F4253" s="33" t="s">
        <v>19</v>
      </c>
      <c r="G4253" s="33" t="s">
        <v>20</v>
      </c>
      <c r="H4253" s="35">
        <v>66</v>
      </c>
      <c r="I4253" s="33" t="s">
        <v>21</v>
      </c>
      <c r="J4253" s="42">
        <v>44525</v>
      </c>
      <c r="K4253" s="33" t="s">
        <v>22</v>
      </c>
    </row>
    <row r="4254" spans="1:11">
      <c r="A4254" s="30" t="s">
        <v>10181</v>
      </c>
      <c r="B4254" s="30" t="s">
        <v>10182</v>
      </c>
      <c r="C4254" s="30" t="s">
        <v>10183</v>
      </c>
      <c r="D4254" s="30" t="s">
        <v>17</v>
      </c>
      <c r="E4254" s="30" t="s">
        <v>26</v>
      </c>
      <c r="F4254" s="30" t="s">
        <v>27</v>
      </c>
      <c r="G4254" s="30" t="s">
        <v>106</v>
      </c>
      <c r="H4254" s="32">
        <v>20</v>
      </c>
      <c r="I4254" s="30" t="s">
        <v>21</v>
      </c>
      <c r="J4254" s="41">
        <v>44274</v>
      </c>
      <c r="K4254" s="30" t="s">
        <v>22</v>
      </c>
    </row>
    <row r="4255" spans="1:11">
      <c r="A4255" s="33" t="s">
        <v>10184</v>
      </c>
      <c r="B4255" s="33" t="s">
        <v>10185</v>
      </c>
      <c r="C4255" s="33" t="s">
        <v>638</v>
      </c>
      <c r="D4255" s="33" t="s">
        <v>17</v>
      </c>
      <c r="E4255" s="33" t="s">
        <v>31</v>
      </c>
      <c r="F4255" s="33" t="s">
        <v>32</v>
      </c>
      <c r="G4255" s="33" t="s">
        <v>20</v>
      </c>
      <c r="H4255" s="35">
        <v>1541</v>
      </c>
      <c r="I4255" s="33" t="s">
        <v>21</v>
      </c>
      <c r="J4255" s="42">
        <v>44414</v>
      </c>
      <c r="K4255" s="33" t="s">
        <v>22</v>
      </c>
    </row>
    <row r="4256" spans="1:11">
      <c r="A4256" s="30" t="s">
        <v>10186</v>
      </c>
      <c r="B4256" s="30" t="s">
        <v>10187</v>
      </c>
      <c r="C4256" s="30" t="s">
        <v>10188</v>
      </c>
      <c r="D4256" s="30" t="s">
        <v>17</v>
      </c>
      <c r="E4256" s="30" t="s">
        <v>26</v>
      </c>
      <c r="F4256" s="30" t="s">
        <v>27</v>
      </c>
      <c r="G4256" s="30" t="s">
        <v>20</v>
      </c>
      <c r="H4256" s="32">
        <v>92</v>
      </c>
      <c r="I4256" s="30" t="s">
        <v>21</v>
      </c>
      <c r="J4256" s="41">
        <v>44389</v>
      </c>
      <c r="K4256" s="30" t="s">
        <v>22</v>
      </c>
    </row>
    <row r="4257" spans="1:11">
      <c r="A4257" s="33" t="s">
        <v>10189</v>
      </c>
      <c r="B4257" s="33" t="s">
        <v>10190</v>
      </c>
      <c r="C4257" s="33" t="s">
        <v>1305</v>
      </c>
      <c r="D4257" s="33" t="s">
        <v>17</v>
      </c>
      <c r="E4257" s="33" t="s">
        <v>26</v>
      </c>
      <c r="F4257" s="33" t="s">
        <v>27</v>
      </c>
      <c r="G4257" s="33" t="s">
        <v>20</v>
      </c>
      <c r="H4257" s="35">
        <v>45</v>
      </c>
      <c r="I4257" s="33" t="s">
        <v>21</v>
      </c>
      <c r="J4257" s="42">
        <v>44383</v>
      </c>
      <c r="K4257" s="33" t="s">
        <v>22</v>
      </c>
    </row>
    <row r="4258" spans="1:11">
      <c r="A4258" s="30" t="s">
        <v>10191</v>
      </c>
      <c r="B4258" s="30" t="s">
        <v>10192</v>
      </c>
      <c r="C4258" s="30" t="s">
        <v>178</v>
      </c>
      <c r="D4258" s="30" t="s">
        <v>17</v>
      </c>
      <c r="E4258" s="30" t="s">
        <v>18</v>
      </c>
      <c r="F4258" s="30" t="s">
        <v>19</v>
      </c>
      <c r="G4258" s="30" t="s">
        <v>106</v>
      </c>
      <c r="H4258" s="32">
        <v>665</v>
      </c>
      <c r="I4258" s="30" t="s">
        <v>21</v>
      </c>
      <c r="J4258" s="41">
        <v>44274</v>
      </c>
      <c r="K4258" s="30" t="s">
        <v>22</v>
      </c>
    </row>
    <row r="4259" spans="1:11">
      <c r="A4259" s="33" t="s">
        <v>10193</v>
      </c>
      <c r="B4259" s="33" t="s">
        <v>10194</v>
      </c>
      <c r="C4259" s="33" t="s">
        <v>118</v>
      </c>
      <c r="D4259" s="33" t="s">
        <v>17</v>
      </c>
      <c r="E4259" s="33" t="s">
        <v>26</v>
      </c>
      <c r="F4259" s="33" t="s">
        <v>27</v>
      </c>
      <c r="G4259" s="33" t="s">
        <v>20</v>
      </c>
      <c r="H4259" s="35">
        <v>16</v>
      </c>
      <c r="I4259" s="33" t="s">
        <v>21</v>
      </c>
      <c r="J4259" s="42">
        <v>44445</v>
      </c>
      <c r="K4259" s="33" t="s">
        <v>22</v>
      </c>
    </row>
    <row r="4260" spans="1:11">
      <c r="A4260" s="30" t="s">
        <v>10195</v>
      </c>
      <c r="B4260" s="30" t="s">
        <v>10196</v>
      </c>
      <c r="C4260" s="30" t="s">
        <v>109</v>
      </c>
      <c r="D4260" s="30" t="s">
        <v>17</v>
      </c>
      <c r="E4260" s="30" t="s">
        <v>26</v>
      </c>
      <c r="F4260" s="30" t="s">
        <v>27</v>
      </c>
      <c r="G4260" s="30" t="s">
        <v>106</v>
      </c>
      <c r="H4260" s="32">
        <v>37</v>
      </c>
      <c r="I4260" s="30" t="s">
        <v>21</v>
      </c>
      <c r="J4260" s="41">
        <v>44370</v>
      </c>
      <c r="K4260" s="30" t="s">
        <v>22</v>
      </c>
    </row>
    <row r="4261" spans="1:11">
      <c r="A4261" s="33" t="s">
        <v>10197</v>
      </c>
      <c r="B4261" s="33" t="s">
        <v>10198</v>
      </c>
      <c r="C4261" s="33" t="s">
        <v>10199</v>
      </c>
      <c r="D4261" s="33" t="s">
        <v>17</v>
      </c>
      <c r="E4261" s="33" t="s">
        <v>18</v>
      </c>
      <c r="F4261" s="33" t="s">
        <v>19</v>
      </c>
      <c r="G4261" s="33" t="s">
        <v>158</v>
      </c>
      <c r="H4261" s="35">
        <v>275</v>
      </c>
      <c r="I4261" s="33" t="s">
        <v>21</v>
      </c>
      <c r="J4261" s="42">
        <v>44561</v>
      </c>
      <c r="K4261" s="33" t="s">
        <v>22</v>
      </c>
    </row>
    <row r="4262" spans="1:11">
      <c r="A4262" s="30" t="s">
        <v>10200</v>
      </c>
      <c r="B4262" s="30" t="s">
        <v>10201</v>
      </c>
      <c r="C4262" s="30" t="s">
        <v>6607</v>
      </c>
      <c r="D4262" s="30" t="s">
        <v>17</v>
      </c>
      <c r="E4262" s="30" t="s">
        <v>26</v>
      </c>
      <c r="F4262" s="30" t="s">
        <v>27</v>
      </c>
      <c r="G4262" s="30" t="s">
        <v>20</v>
      </c>
      <c r="H4262" s="32">
        <v>10</v>
      </c>
      <c r="I4262" s="30" t="s">
        <v>21</v>
      </c>
      <c r="J4262" s="41">
        <v>44434</v>
      </c>
      <c r="K4262" s="30" t="s">
        <v>22</v>
      </c>
    </row>
    <row r="4263" spans="1:11">
      <c r="A4263" s="33" t="s">
        <v>10202</v>
      </c>
      <c r="B4263" s="33" t="s">
        <v>10203</v>
      </c>
      <c r="C4263" s="33" t="s">
        <v>549</v>
      </c>
      <c r="D4263" s="33" t="s">
        <v>17</v>
      </c>
      <c r="E4263" s="33" t="s">
        <v>31</v>
      </c>
      <c r="F4263" s="33" t="s">
        <v>32</v>
      </c>
      <c r="G4263" s="33" t="s">
        <v>20</v>
      </c>
      <c r="H4263" s="35">
        <v>41</v>
      </c>
      <c r="I4263" s="33" t="s">
        <v>21</v>
      </c>
      <c r="J4263" s="42">
        <v>44292</v>
      </c>
      <c r="K4263" s="33" t="s">
        <v>22</v>
      </c>
    </row>
    <row r="4264" spans="1:11">
      <c r="A4264" s="30" t="s">
        <v>10204</v>
      </c>
      <c r="B4264" s="30" t="s">
        <v>10205</v>
      </c>
      <c r="C4264" s="30" t="s">
        <v>1526</v>
      </c>
      <c r="D4264" s="30" t="s">
        <v>17</v>
      </c>
      <c r="E4264" s="30" t="s">
        <v>31</v>
      </c>
      <c r="F4264" s="30" t="s">
        <v>32</v>
      </c>
      <c r="G4264" s="30" t="s">
        <v>106</v>
      </c>
      <c r="H4264" s="32">
        <v>12</v>
      </c>
      <c r="I4264" s="30" t="s">
        <v>21</v>
      </c>
      <c r="J4264" s="41">
        <v>44361</v>
      </c>
      <c r="K4264" s="30" t="s">
        <v>22</v>
      </c>
    </row>
    <row r="4265" spans="1:11">
      <c r="A4265" s="33" t="s">
        <v>10206</v>
      </c>
      <c r="B4265" s="33" t="s">
        <v>10207</v>
      </c>
      <c r="C4265" s="33" t="s">
        <v>6955</v>
      </c>
      <c r="D4265" s="33" t="s">
        <v>17</v>
      </c>
      <c r="E4265" s="33" t="s">
        <v>26</v>
      </c>
      <c r="F4265" s="33" t="s">
        <v>27</v>
      </c>
      <c r="G4265" s="33" t="s">
        <v>20</v>
      </c>
      <c r="H4265" s="35">
        <v>61</v>
      </c>
      <c r="I4265" s="33" t="s">
        <v>21</v>
      </c>
      <c r="J4265" s="42">
        <v>44431</v>
      </c>
      <c r="K4265" s="33" t="s">
        <v>22</v>
      </c>
    </row>
    <row r="4266" spans="1:11">
      <c r="A4266" s="30" t="s">
        <v>10208</v>
      </c>
      <c r="B4266" s="30" t="s">
        <v>10209</v>
      </c>
      <c r="C4266" s="30" t="s">
        <v>8151</v>
      </c>
      <c r="D4266" s="30" t="s">
        <v>17</v>
      </c>
      <c r="E4266" s="30" t="s">
        <v>67</v>
      </c>
      <c r="F4266" s="30" t="s">
        <v>68</v>
      </c>
      <c r="G4266" s="30" t="s">
        <v>20</v>
      </c>
      <c r="H4266" s="32">
        <v>27</v>
      </c>
      <c r="I4266" s="30" t="s">
        <v>21</v>
      </c>
      <c r="J4266" s="41">
        <v>44228</v>
      </c>
      <c r="K4266" s="30" t="s">
        <v>22</v>
      </c>
    </row>
    <row r="4267" spans="1:11">
      <c r="A4267" s="33" t="s">
        <v>10210</v>
      </c>
      <c r="B4267" s="33" t="s">
        <v>10211</v>
      </c>
      <c r="C4267" s="33" t="s">
        <v>1571</v>
      </c>
      <c r="D4267" s="33" t="s">
        <v>17</v>
      </c>
      <c r="E4267" s="33" t="s">
        <v>67</v>
      </c>
      <c r="F4267" s="33" t="s">
        <v>68</v>
      </c>
      <c r="G4267" s="33" t="s">
        <v>50</v>
      </c>
      <c r="H4267" s="35">
        <v>24</v>
      </c>
      <c r="I4267" s="33" t="s">
        <v>51</v>
      </c>
      <c r="J4267" s="42">
        <v>44398</v>
      </c>
      <c r="K4267" s="33" t="s">
        <v>22</v>
      </c>
    </row>
    <row r="4268" spans="1:11">
      <c r="A4268" s="30" t="s">
        <v>10212</v>
      </c>
      <c r="B4268" s="30" t="s">
        <v>10213</v>
      </c>
      <c r="C4268" s="30" t="s">
        <v>2807</v>
      </c>
      <c r="D4268" s="30" t="s">
        <v>17</v>
      </c>
      <c r="E4268" s="30" t="s">
        <v>18</v>
      </c>
      <c r="F4268" s="30" t="s">
        <v>19</v>
      </c>
      <c r="G4268" s="30" t="s">
        <v>20</v>
      </c>
      <c r="H4268" s="32">
        <v>64</v>
      </c>
      <c r="I4268" s="30" t="s">
        <v>21</v>
      </c>
      <c r="J4268" s="41">
        <v>44223</v>
      </c>
      <c r="K4268" s="30" t="s">
        <v>22</v>
      </c>
    </row>
    <row r="4269" spans="1:11">
      <c r="A4269" s="33" t="s">
        <v>10214</v>
      </c>
      <c r="B4269" s="33" t="s">
        <v>10215</v>
      </c>
      <c r="C4269" s="33" t="s">
        <v>10216</v>
      </c>
      <c r="D4269" s="33" t="s">
        <v>17</v>
      </c>
      <c r="E4269" s="33" t="s">
        <v>31</v>
      </c>
      <c r="F4269" s="33" t="s">
        <v>32</v>
      </c>
      <c r="G4269" s="33" t="s">
        <v>20</v>
      </c>
      <c r="H4269" s="35">
        <v>154</v>
      </c>
      <c r="I4269" s="33" t="s">
        <v>21</v>
      </c>
      <c r="J4269" s="42">
        <v>44545</v>
      </c>
      <c r="K4269" s="33" t="s">
        <v>22</v>
      </c>
    </row>
    <row r="4270" spans="1:11">
      <c r="A4270" s="30" t="s">
        <v>10217</v>
      </c>
      <c r="B4270" s="30" t="s">
        <v>10218</v>
      </c>
      <c r="C4270" s="30" t="s">
        <v>10219</v>
      </c>
      <c r="D4270" s="30" t="s">
        <v>17</v>
      </c>
      <c r="E4270" s="30" t="s">
        <v>45</v>
      </c>
      <c r="F4270" s="30" t="s">
        <v>46</v>
      </c>
      <c r="G4270" s="30" t="s">
        <v>50</v>
      </c>
      <c r="H4270" s="32">
        <v>706</v>
      </c>
      <c r="I4270" s="30" t="s">
        <v>51</v>
      </c>
      <c r="J4270" s="41">
        <v>44382</v>
      </c>
      <c r="K4270" s="30" t="s">
        <v>22</v>
      </c>
    </row>
    <row r="4271" spans="1:11">
      <c r="A4271" s="33" t="s">
        <v>10220</v>
      </c>
      <c r="B4271" s="33" t="s">
        <v>10221</v>
      </c>
      <c r="C4271" s="33" t="s">
        <v>4796</v>
      </c>
      <c r="D4271" s="33" t="s">
        <v>17</v>
      </c>
      <c r="E4271" s="33" t="s">
        <v>18</v>
      </c>
      <c r="F4271" s="33" t="s">
        <v>19</v>
      </c>
      <c r="G4271" s="33" t="s">
        <v>20</v>
      </c>
      <c r="H4271" s="35">
        <v>509</v>
      </c>
      <c r="I4271" s="33" t="s">
        <v>21</v>
      </c>
      <c r="J4271" s="42">
        <v>44340</v>
      </c>
      <c r="K4271" s="33" t="s">
        <v>22</v>
      </c>
    </row>
    <row r="4272" spans="1:11">
      <c r="A4272" s="30" t="s">
        <v>10222</v>
      </c>
      <c r="B4272" s="30" t="s">
        <v>10223</v>
      </c>
      <c r="C4272" s="30" t="s">
        <v>203</v>
      </c>
      <c r="D4272" s="30" t="s">
        <v>17</v>
      </c>
      <c r="E4272" s="30" t="s">
        <v>31</v>
      </c>
      <c r="F4272" s="30" t="s">
        <v>32</v>
      </c>
      <c r="G4272" s="30" t="s">
        <v>106</v>
      </c>
      <c r="H4272" s="32">
        <v>8</v>
      </c>
      <c r="I4272" s="30" t="s">
        <v>21</v>
      </c>
      <c r="J4272" s="41">
        <v>44448</v>
      </c>
      <c r="K4272" s="30" t="s">
        <v>22</v>
      </c>
    </row>
    <row r="4273" spans="1:11">
      <c r="A4273" s="33" t="s">
        <v>10224</v>
      </c>
      <c r="B4273" s="33" t="s">
        <v>10225</v>
      </c>
      <c r="C4273" s="33" t="s">
        <v>154</v>
      </c>
      <c r="D4273" s="33" t="s">
        <v>17</v>
      </c>
      <c r="E4273" s="33" t="s">
        <v>18</v>
      </c>
      <c r="F4273" s="33" t="s">
        <v>19</v>
      </c>
      <c r="G4273" s="33" t="s">
        <v>106</v>
      </c>
      <c r="H4273" s="35">
        <v>377</v>
      </c>
      <c r="I4273" s="33" t="s">
        <v>21</v>
      </c>
      <c r="J4273" s="42">
        <v>44404</v>
      </c>
      <c r="K4273" s="33" t="s">
        <v>22</v>
      </c>
    </row>
    <row r="4274" spans="1:11">
      <c r="A4274" s="30" t="s">
        <v>10226</v>
      </c>
      <c r="B4274" s="30" t="s">
        <v>10227</v>
      </c>
      <c r="C4274" s="30" t="s">
        <v>3459</v>
      </c>
      <c r="D4274" s="30" t="s">
        <v>17</v>
      </c>
      <c r="E4274" s="30" t="s">
        <v>18</v>
      </c>
      <c r="F4274" s="30" t="s">
        <v>19</v>
      </c>
      <c r="G4274" s="30" t="s">
        <v>20</v>
      </c>
      <c r="H4274" s="32">
        <v>160</v>
      </c>
      <c r="I4274" s="30" t="s">
        <v>21</v>
      </c>
      <c r="J4274" s="41">
        <v>44448</v>
      </c>
      <c r="K4274" s="30" t="s">
        <v>22</v>
      </c>
    </row>
    <row r="4275" spans="1:11">
      <c r="A4275" s="33" t="s">
        <v>10228</v>
      </c>
      <c r="B4275" s="33" t="s">
        <v>10229</v>
      </c>
      <c r="C4275" s="33" t="s">
        <v>1308</v>
      </c>
      <c r="D4275" s="33" t="s">
        <v>17</v>
      </c>
      <c r="E4275" s="33" t="s">
        <v>67</v>
      </c>
      <c r="F4275" s="33" t="s">
        <v>68</v>
      </c>
      <c r="G4275" s="33" t="s">
        <v>106</v>
      </c>
      <c r="H4275" s="35">
        <v>5</v>
      </c>
      <c r="I4275" s="33" t="s">
        <v>21</v>
      </c>
      <c r="J4275" s="42">
        <v>44265</v>
      </c>
      <c r="K4275" s="33" t="s">
        <v>22</v>
      </c>
    </row>
    <row r="4276" spans="1:11">
      <c r="A4276" s="30" t="s">
        <v>10230</v>
      </c>
      <c r="B4276" s="30" t="s">
        <v>10231</v>
      </c>
      <c r="C4276" s="30" t="s">
        <v>190</v>
      </c>
      <c r="D4276" s="30" t="s">
        <v>17</v>
      </c>
      <c r="E4276" s="30" t="s">
        <v>26</v>
      </c>
      <c r="F4276" s="30" t="s">
        <v>27</v>
      </c>
      <c r="G4276" s="30" t="s">
        <v>20</v>
      </c>
      <c r="H4276" s="32">
        <v>170</v>
      </c>
      <c r="I4276" s="30" t="s">
        <v>21</v>
      </c>
      <c r="J4276" s="41">
        <v>44546</v>
      </c>
      <c r="K4276" s="30" t="s">
        <v>22</v>
      </c>
    </row>
    <row r="4277" spans="1:11">
      <c r="A4277" s="33" t="s">
        <v>10232</v>
      </c>
      <c r="B4277" s="33" t="s">
        <v>10233</v>
      </c>
      <c r="C4277" s="33" t="s">
        <v>462</v>
      </c>
      <c r="D4277" s="33" t="s">
        <v>17</v>
      </c>
      <c r="E4277" s="33" t="s">
        <v>31</v>
      </c>
      <c r="F4277" s="33" t="s">
        <v>32</v>
      </c>
      <c r="G4277" s="33" t="s">
        <v>20</v>
      </c>
      <c r="H4277" s="35">
        <v>399</v>
      </c>
      <c r="I4277" s="33" t="s">
        <v>21</v>
      </c>
      <c r="J4277" s="42">
        <v>44410</v>
      </c>
      <c r="K4277" s="33" t="s">
        <v>22</v>
      </c>
    </row>
    <row r="4278" spans="1:11">
      <c r="A4278" s="30" t="s">
        <v>10234</v>
      </c>
      <c r="B4278" s="30" t="s">
        <v>10235</v>
      </c>
      <c r="C4278" s="30" t="s">
        <v>644</v>
      </c>
      <c r="D4278" s="30" t="s">
        <v>17</v>
      </c>
      <c r="E4278" s="30" t="s">
        <v>18</v>
      </c>
      <c r="F4278" s="30" t="s">
        <v>19</v>
      </c>
      <c r="G4278" s="30" t="s">
        <v>50</v>
      </c>
      <c r="H4278" s="32">
        <v>351</v>
      </c>
      <c r="I4278" s="30" t="s">
        <v>51</v>
      </c>
      <c r="J4278" s="41">
        <v>44279</v>
      </c>
      <c r="K4278" s="30" t="s">
        <v>22</v>
      </c>
    </row>
    <row r="4279" spans="1:11">
      <c r="A4279" s="33" t="s">
        <v>10236</v>
      </c>
      <c r="B4279" s="33" t="s">
        <v>10237</v>
      </c>
      <c r="C4279" s="33" t="s">
        <v>10238</v>
      </c>
      <c r="D4279" s="33" t="s">
        <v>17</v>
      </c>
      <c r="E4279" s="33" t="s">
        <v>26</v>
      </c>
      <c r="F4279" s="33" t="s">
        <v>27</v>
      </c>
      <c r="G4279" s="33" t="s">
        <v>50</v>
      </c>
      <c r="H4279" s="35">
        <v>30</v>
      </c>
      <c r="I4279" s="33" t="s">
        <v>51</v>
      </c>
      <c r="J4279" s="42">
        <v>44287</v>
      </c>
      <c r="K4279" s="33" t="s">
        <v>22</v>
      </c>
    </row>
    <row r="4280" spans="1:11">
      <c r="A4280" s="30" t="s">
        <v>10239</v>
      </c>
      <c r="B4280" s="30" t="s">
        <v>10240</v>
      </c>
      <c r="C4280" s="30" t="s">
        <v>190</v>
      </c>
      <c r="D4280" s="30" t="s">
        <v>17</v>
      </c>
      <c r="E4280" s="30" t="s">
        <v>26</v>
      </c>
      <c r="F4280" s="30" t="s">
        <v>27</v>
      </c>
      <c r="G4280" s="30" t="s">
        <v>106</v>
      </c>
      <c r="H4280" s="32">
        <v>3</v>
      </c>
      <c r="I4280" s="30" t="s">
        <v>21</v>
      </c>
      <c r="J4280" s="41">
        <v>44452</v>
      </c>
      <c r="K4280" s="30" t="s">
        <v>22</v>
      </c>
    </row>
    <row r="4281" spans="1:11">
      <c r="A4281" s="33" t="s">
        <v>10241</v>
      </c>
      <c r="B4281" s="33" t="s">
        <v>10242</v>
      </c>
      <c r="C4281" s="33" t="s">
        <v>899</v>
      </c>
      <c r="D4281" s="33" t="s">
        <v>17</v>
      </c>
      <c r="E4281" s="33" t="s">
        <v>26</v>
      </c>
      <c r="F4281" s="33" t="s">
        <v>27</v>
      </c>
      <c r="G4281" s="33" t="s">
        <v>20</v>
      </c>
      <c r="H4281" s="35">
        <v>33</v>
      </c>
      <c r="I4281" s="33" t="s">
        <v>21</v>
      </c>
      <c r="J4281" s="42">
        <v>44376</v>
      </c>
      <c r="K4281" s="33" t="s">
        <v>22</v>
      </c>
    </row>
    <row r="4282" spans="1:11">
      <c r="A4282" s="30" t="s">
        <v>10243</v>
      </c>
      <c r="B4282" s="30" t="s">
        <v>10244</v>
      </c>
      <c r="C4282" s="30" t="s">
        <v>10245</v>
      </c>
      <c r="D4282" s="30" t="s">
        <v>17</v>
      </c>
      <c r="E4282" s="30" t="s">
        <v>26</v>
      </c>
      <c r="F4282" s="30" t="s">
        <v>27</v>
      </c>
      <c r="G4282" s="30" t="s">
        <v>20</v>
      </c>
      <c r="H4282" s="32">
        <v>78</v>
      </c>
      <c r="I4282" s="30" t="s">
        <v>21</v>
      </c>
      <c r="J4282" s="41">
        <v>44446</v>
      </c>
      <c r="K4282" s="30" t="s">
        <v>22</v>
      </c>
    </row>
    <row r="4283" spans="1:11">
      <c r="A4283" s="33" t="s">
        <v>10246</v>
      </c>
      <c r="B4283" s="33" t="s">
        <v>10247</v>
      </c>
      <c r="C4283" s="33" t="s">
        <v>4306</v>
      </c>
      <c r="D4283" s="33" t="s">
        <v>17</v>
      </c>
      <c r="E4283" s="33" t="s">
        <v>67</v>
      </c>
      <c r="F4283" s="33" t="s">
        <v>68</v>
      </c>
      <c r="G4283" s="33" t="s">
        <v>140</v>
      </c>
      <c r="H4283" s="35">
        <v>26</v>
      </c>
      <c r="I4283" s="33" t="s">
        <v>51</v>
      </c>
      <c r="J4283" s="42">
        <v>44467</v>
      </c>
      <c r="K4283" s="33" t="s">
        <v>22</v>
      </c>
    </row>
    <row r="4284" spans="1:11">
      <c r="A4284" s="30" t="s">
        <v>10248</v>
      </c>
      <c r="B4284" s="30" t="s">
        <v>10249</v>
      </c>
      <c r="C4284" s="30" t="s">
        <v>1228</v>
      </c>
      <c r="D4284" s="30" t="s">
        <v>17</v>
      </c>
      <c r="E4284" s="30" t="s">
        <v>31</v>
      </c>
      <c r="F4284" s="30" t="s">
        <v>32</v>
      </c>
      <c r="G4284" s="30" t="s">
        <v>20</v>
      </c>
      <c r="H4284" s="32">
        <v>92</v>
      </c>
      <c r="I4284" s="30" t="s">
        <v>21</v>
      </c>
      <c r="J4284" s="41">
        <v>44440</v>
      </c>
      <c r="K4284" s="30" t="s">
        <v>22</v>
      </c>
    </row>
    <row r="4285" spans="1:11">
      <c r="A4285" s="33" t="s">
        <v>10250</v>
      </c>
      <c r="B4285" s="33" t="s">
        <v>10251</v>
      </c>
      <c r="C4285" s="33" t="s">
        <v>10252</v>
      </c>
      <c r="D4285" s="33" t="s">
        <v>17</v>
      </c>
      <c r="E4285" s="33" t="s">
        <v>67</v>
      </c>
      <c r="F4285" s="33" t="s">
        <v>68</v>
      </c>
      <c r="G4285" s="33" t="s">
        <v>140</v>
      </c>
      <c r="H4285" s="35">
        <v>415</v>
      </c>
      <c r="I4285" s="33" t="s">
        <v>51</v>
      </c>
      <c r="J4285" s="42">
        <v>44512</v>
      </c>
      <c r="K4285" s="33" t="s">
        <v>22</v>
      </c>
    </row>
    <row r="4286" spans="1:11">
      <c r="A4286" s="30" t="s">
        <v>10253</v>
      </c>
      <c r="B4286" s="30" t="s">
        <v>10254</v>
      </c>
      <c r="C4286" s="30" t="s">
        <v>271</v>
      </c>
      <c r="D4286" s="30" t="s">
        <v>17</v>
      </c>
      <c r="E4286" s="30" t="s">
        <v>18</v>
      </c>
      <c r="F4286" s="30" t="s">
        <v>19</v>
      </c>
      <c r="G4286" s="30" t="s">
        <v>158</v>
      </c>
      <c r="H4286" s="32">
        <v>353</v>
      </c>
      <c r="I4286" s="30" t="s">
        <v>21</v>
      </c>
      <c r="J4286" s="41">
        <v>44266</v>
      </c>
      <c r="K4286" s="30" t="s">
        <v>22</v>
      </c>
    </row>
    <row r="4287" spans="1:11">
      <c r="A4287" s="33" t="s">
        <v>10255</v>
      </c>
      <c r="B4287" s="33" t="s">
        <v>10256</v>
      </c>
      <c r="C4287" s="33" t="s">
        <v>6814</v>
      </c>
      <c r="D4287" s="33" t="s">
        <v>17</v>
      </c>
      <c r="E4287" s="33" t="s">
        <v>31</v>
      </c>
      <c r="F4287" s="33" t="s">
        <v>32</v>
      </c>
      <c r="G4287" s="33" t="s">
        <v>20</v>
      </c>
      <c r="H4287" s="35">
        <v>210</v>
      </c>
      <c r="I4287" s="33" t="s">
        <v>21</v>
      </c>
      <c r="J4287" s="42">
        <v>44265</v>
      </c>
      <c r="K4287" s="33" t="s">
        <v>22</v>
      </c>
    </row>
    <row r="4288" spans="1:11">
      <c r="A4288" s="30" t="s">
        <v>10257</v>
      </c>
      <c r="B4288" s="30" t="s">
        <v>10258</v>
      </c>
      <c r="C4288" s="30" t="s">
        <v>10259</v>
      </c>
      <c r="D4288" s="30" t="s">
        <v>17</v>
      </c>
      <c r="E4288" s="30" t="s">
        <v>31</v>
      </c>
      <c r="F4288" s="30" t="s">
        <v>32</v>
      </c>
      <c r="G4288" s="30" t="s">
        <v>20</v>
      </c>
      <c r="H4288" s="32">
        <v>112</v>
      </c>
      <c r="I4288" s="30" t="s">
        <v>21</v>
      </c>
      <c r="J4288" s="41">
        <v>44372</v>
      </c>
      <c r="K4288" s="30" t="s">
        <v>22</v>
      </c>
    </row>
    <row r="4289" spans="1:11">
      <c r="A4289" s="33" t="s">
        <v>10260</v>
      </c>
      <c r="B4289" s="33" t="s">
        <v>10261</v>
      </c>
      <c r="C4289" s="33" t="s">
        <v>2719</v>
      </c>
      <c r="D4289" s="33" t="s">
        <v>17</v>
      </c>
      <c r="E4289" s="33" t="s">
        <v>18</v>
      </c>
      <c r="F4289" s="33" t="s">
        <v>19</v>
      </c>
      <c r="G4289" s="33" t="s">
        <v>20</v>
      </c>
      <c r="H4289" s="35">
        <v>557</v>
      </c>
      <c r="I4289" s="33" t="s">
        <v>21</v>
      </c>
      <c r="J4289" s="42">
        <v>44370</v>
      </c>
      <c r="K4289" s="33" t="s">
        <v>22</v>
      </c>
    </row>
    <row r="4290" spans="1:11">
      <c r="A4290" s="30" t="s">
        <v>10262</v>
      </c>
      <c r="B4290" s="30" t="s">
        <v>10263</v>
      </c>
      <c r="C4290" s="30" t="s">
        <v>437</v>
      </c>
      <c r="D4290" s="30" t="s">
        <v>17</v>
      </c>
      <c r="E4290" s="30" t="s">
        <v>26</v>
      </c>
      <c r="F4290" s="30" t="s">
        <v>27</v>
      </c>
      <c r="G4290" s="30" t="s">
        <v>20</v>
      </c>
      <c r="H4290" s="32">
        <v>201</v>
      </c>
      <c r="I4290" s="30" t="s">
        <v>21</v>
      </c>
      <c r="J4290" s="41">
        <v>44231</v>
      </c>
      <c r="K4290" s="30" t="s">
        <v>22</v>
      </c>
    </row>
    <row r="4291" spans="1:11">
      <c r="A4291" s="33" t="s">
        <v>10264</v>
      </c>
      <c r="B4291" s="33" t="s">
        <v>10265</v>
      </c>
      <c r="C4291" s="33" t="s">
        <v>5757</v>
      </c>
      <c r="D4291" s="33" t="s">
        <v>17</v>
      </c>
      <c r="E4291" s="33" t="s">
        <v>18</v>
      </c>
      <c r="F4291" s="33" t="s">
        <v>19</v>
      </c>
      <c r="G4291" s="33" t="s">
        <v>20</v>
      </c>
      <c r="H4291" s="35">
        <v>331</v>
      </c>
      <c r="I4291" s="33" t="s">
        <v>21</v>
      </c>
      <c r="J4291" s="42">
        <v>44553</v>
      </c>
      <c r="K4291" s="33" t="s">
        <v>22</v>
      </c>
    </row>
    <row r="4292" spans="1:11">
      <c r="A4292" s="30" t="s">
        <v>10266</v>
      </c>
      <c r="B4292" s="30" t="s">
        <v>10267</v>
      </c>
      <c r="C4292" s="30" t="s">
        <v>10268</v>
      </c>
      <c r="D4292" s="30" t="s">
        <v>17</v>
      </c>
      <c r="E4292" s="30" t="s">
        <v>18</v>
      </c>
      <c r="F4292" s="30" t="s">
        <v>19</v>
      </c>
      <c r="G4292" s="30" t="s">
        <v>20</v>
      </c>
      <c r="H4292" s="32">
        <v>627</v>
      </c>
      <c r="I4292" s="30" t="s">
        <v>21</v>
      </c>
      <c r="J4292" s="41">
        <v>44287</v>
      </c>
      <c r="K4292" s="30" t="s">
        <v>22</v>
      </c>
    </row>
    <row r="4293" spans="1:11">
      <c r="A4293" s="33" t="s">
        <v>10269</v>
      </c>
      <c r="B4293" s="33" t="s">
        <v>10270</v>
      </c>
      <c r="C4293" s="33" t="s">
        <v>801</v>
      </c>
      <c r="D4293" s="33" t="s">
        <v>17</v>
      </c>
      <c r="E4293" s="33" t="s">
        <v>18</v>
      </c>
      <c r="F4293" s="33" t="s">
        <v>19</v>
      </c>
      <c r="G4293" s="33" t="s">
        <v>20</v>
      </c>
      <c r="H4293" s="35">
        <v>136</v>
      </c>
      <c r="I4293" s="33" t="s">
        <v>21</v>
      </c>
      <c r="J4293" s="42">
        <v>44518</v>
      </c>
      <c r="K4293" s="33" t="s">
        <v>22</v>
      </c>
    </row>
    <row r="4294" spans="1:11">
      <c r="A4294" s="30" t="s">
        <v>10271</v>
      </c>
      <c r="B4294" s="30" t="s">
        <v>10272</v>
      </c>
      <c r="C4294" s="30" t="s">
        <v>10273</v>
      </c>
      <c r="D4294" s="30" t="s">
        <v>17</v>
      </c>
      <c r="E4294" s="30" t="s">
        <v>26</v>
      </c>
      <c r="F4294" s="30" t="s">
        <v>27</v>
      </c>
      <c r="G4294" s="30" t="s">
        <v>50</v>
      </c>
      <c r="H4294" s="32">
        <v>68</v>
      </c>
      <c r="I4294" s="30" t="s">
        <v>51</v>
      </c>
      <c r="J4294" s="41">
        <v>44553</v>
      </c>
      <c r="K4294" s="30" t="s">
        <v>22</v>
      </c>
    </row>
    <row r="4295" spans="1:11">
      <c r="A4295" s="33" t="s">
        <v>10274</v>
      </c>
      <c r="B4295" s="33" t="s">
        <v>10275</v>
      </c>
      <c r="C4295" s="33" t="s">
        <v>4788</v>
      </c>
      <c r="D4295" s="33" t="s">
        <v>17</v>
      </c>
      <c r="E4295" s="33" t="s">
        <v>26</v>
      </c>
      <c r="F4295" s="33" t="s">
        <v>27</v>
      </c>
      <c r="G4295" s="33" t="s">
        <v>20</v>
      </c>
      <c r="H4295" s="35">
        <v>32</v>
      </c>
      <c r="I4295" s="33" t="s">
        <v>21</v>
      </c>
      <c r="J4295" s="42">
        <v>44207</v>
      </c>
      <c r="K4295" s="33" t="s">
        <v>22</v>
      </c>
    </row>
    <row r="4296" spans="1:11">
      <c r="A4296" s="30" t="s">
        <v>10276</v>
      </c>
      <c r="B4296" s="30" t="s">
        <v>10277</v>
      </c>
      <c r="C4296" s="30" t="s">
        <v>527</v>
      </c>
      <c r="D4296" s="30" t="s">
        <v>17</v>
      </c>
      <c r="E4296" s="30" t="s">
        <v>67</v>
      </c>
      <c r="F4296" s="30" t="s">
        <v>68</v>
      </c>
      <c r="G4296" s="30" t="s">
        <v>140</v>
      </c>
      <c r="H4296" s="32">
        <v>37</v>
      </c>
      <c r="I4296" s="30" t="s">
        <v>51</v>
      </c>
      <c r="J4296" s="41">
        <v>44409</v>
      </c>
      <c r="K4296" s="30" t="s">
        <v>22</v>
      </c>
    </row>
    <row r="4297" spans="1:11">
      <c r="A4297" s="33" t="s">
        <v>10278</v>
      </c>
      <c r="B4297" s="33" t="s">
        <v>10279</v>
      </c>
      <c r="C4297" s="33" t="s">
        <v>231</v>
      </c>
      <c r="D4297" s="33" t="s">
        <v>17</v>
      </c>
      <c r="E4297" s="33" t="s">
        <v>26</v>
      </c>
      <c r="F4297" s="33" t="s">
        <v>27</v>
      </c>
      <c r="G4297" s="33" t="s">
        <v>20</v>
      </c>
      <c r="H4297" s="35">
        <v>66</v>
      </c>
      <c r="I4297" s="33" t="s">
        <v>21</v>
      </c>
      <c r="J4297" s="42">
        <v>44342</v>
      </c>
      <c r="K4297" s="33" t="s">
        <v>22</v>
      </c>
    </row>
    <row r="4298" spans="1:11">
      <c r="A4298" s="30" t="s">
        <v>10280</v>
      </c>
      <c r="B4298" s="30" t="s">
        <v>10281</v>
      </c>
      <c r="C4298" s="30" t="s">
        <v>462</v>
      </c>
      <c r="D4298" s="30" t="s">
        <v>17</v>
      </c>
      <c r="E4298" s="30" t="s">
        <v>18</v>
      </c>
      <c r="F4298" s="30" t="s">
        <v>19</v>
      </c>
      <c r="G4298" s="30" t="s">
        <v>20</v>
      </c>
      <c r="H4298" s="32">
        <v>1030</v>
      </c>
      <c r="I4298" s="30" t="s">
        <v>21</v>
      </c>
      <c r="J4298" s="41">
        <v>44477</v>
      </c>
      <c r="K4298" s="30" t="s">
        <v>22</v>
      </c>
    </row>
    <row r="4299" spans="1:11">
      <c r="A4299" s="33" t="s">
        <v>10282</v>
      </c>
      <c r="B4299" s="33" t="s">
        <v>10283</v>
      </c>
      <c r="C4299" s="33" t="s">
        <v>44</v>
      </c>
      <c r="D4299" s="33" t="s">
        <v>17</v>
      </c>
      <c r="E4299" s="33" t="s">
        <v>31</v>
      </c>
      <c r="F4299" s="33" t="s">
        <v>32</v>
      </c>
      <c r="G4299" s="33" t="s">
        <v>20</v>
      </c>
      <c r="H4299" s="35">
        <v>295</v>
      </c>
      <c r="I4299" s="33" t="s">
        <v>21</v>
      </c>
      <c r="J4299" s="42">
        <v>44315</v>
      </c>
      <c r="K4299" s="33" t="s">
        <v>22</v>
      </c>
    </row>
    <row r="4300" spans="1:11">
      <c r="A4300" s="30" t="s">
        <v>10284</v>
      </c>
      <c r="B4300" s="30" t="s">
        <v>10285</v>
      </c>
      <c r="C4300" s="30" t="s">
        <v>96</v>
      </c>
      <c r="D4300" s="30" t="s">
        <v>17</v>
      </c>
      <c r="E4300" s="30" t="s">
        <v>212</v>
      </c>
      <c r="F4300" s="30" t="s">
        <v>213</v>
      </c>
      <c r="G4300" s="30" t="s">
        <v>20</v>
      </c>
      <c r="H4300" s="32">
        <v>60</v>
      </c>
      <c r="I4300" s="30" t="s">
        <v>21</v>
      </c>
      <c r="J4300" s="41">
        <v>44434</v>
      </c>
      <c r="K4300" s="30" t="s">
        <v>22</v>
      </c>
    </row>
    <row r="4301" spans="1:11">
      <c r="A4301" s="33" t="s">
        <v>10286</v>
      </c>
      <c r="B4301" s="33" t="s">
        <v>10287</v>
      </c>
      <c r="C4301" s="33" t="s">
        <v>10288</v>
      </c>
      <c r="D4301" s="33" t="s">
        <v>17</v>
      </c>
      <c r="E4301" s="33" t="s">
        <v>18</v>
      </c>
      <c r="F4301" s="33" t="s">
        <v>19</v>
      </c>
      <c r="G4301" s="33" t="s">
        <v>20</v>
      </c>
      <c r="H4301" s="35">
        <v>1100</v>
      </c>
      <c r="I4301" s="33" t="s">
        <v>21</v>
      </c>
      <c r="J4301" s="42">
        <v>44306</v>
      </c>
      <c r="K4301" s="33" t="s">
        <v>22</v>
      </c>
    </row>
    <row r="4302" spans="1:11">
      <c r="A4302" s="30" t="s">
        <v>10289</v>
      </c>
      <c r="B4302" s="30" t="s">
        <v>10290</v>
      </c>
      <c r="C4302" s="30" t="s">
        <v>3647</v>
      </c>
      <c r="D4302" s="30" t="s">
        <v>17</v>
      </c>
      <c r="E4302" s="30" t="s">
        <v>26</v>
      </c>
      <c r="F4302" s="30" t="s">
        <v>27</v>
      </c>
      <c r="G4302" s="30" t="s">
        <v>20</v>
      </c>
      <c r="H4302" s="32">
        <v>8</v>
      </c>
      <c r="I4302" s="30" t="s">
        <v>21</v>
      </c>
      <c r="J4302" s="41">
        <v>44265</v>
      </c>
      <c r="K4302" s="30" t="s">
        <v>22</v>
      </c>
    </row>
    <row r="4303" spans="1:11">
      <c r="A4303" s="33" t="s">
        <v>10291</v>
      </c>
      <c r="B4303" s="33" t="s">
        <v>10292</v>
      </c>
      <c r="C4303" s="33" t="s">
        <v>10293</v>
      </c>
      <c r="D4303" s="33" t="s">
        <v>17</v>
      </c>
      <c r="E4303" s="33" t="s">
        <v>26</v>
      </c>
      <c r="F4303" s="33" t="s">
        <v>27</v>
      </c>
      <c r="G4303" s="33" t="s">
        <v>106</v>
      </c>
      <c r="H4303" s="35">
        <v>6</v>
      </c>
      <c r="I4303" s="33" t="s">
        <v>21</v>
      </c>
      <c r="J4303" s="42">
        <v>44546</v>
      </c>
      <c r="K4303" s="33" t="s">
        <v>22</v>
      </c>
    </row>
    <row r="4304" spans="1:11">
      <c r="A4304" s="30" t="s">
        <v>10294</v>
      </c>
      <c r="B4304" s="30" t="s">
        <v>10295</v>
      </c>
      <c r="C4304" s="30" t="s">
        <v>969</v>
      </c>
      <c r="D4304" s="30" t="s">
        <v>17</v>
      </c>
      <c r="E4304" s="30" t="s">
        <v>18</v>
      </c>
      <c r="F4304" s="30" t="s">
        <v>19</v>
      </c>
      <c r="G4304" s="30" t="s">
        <v>20</v>
      </c>
      <c r="H4304" s="32">
        <v>238</v>
      </c>
      <c r="I4304" s="30" t="s">
        <v>21</v>
      </c>
      <c r="J4304" s="41">
        <v>44435</v>
      </c>
      <c r="K4304" s="30" t="s">
        <v>22</v>
      </c>
    </row>
    <row r="4305" spans="1:11">
      <c r="A4305" s="33" t="s">
        <v>10296</v>
      </c>
      <c r="B4305" s="33" t="s">
        <v>10297</v>
      </c>
      <c r="C4305" s="33" t="s">
        <v>57</v>
      </c>
      <c r="D4305" s="33" t="s">
        <v>17</v>
      </c>
      <c r="E4305" s="33" t="s">
        <v>18</v>
      </c>
      <c r="F4305" s="33" t="s">
        <v>19</v>
      </c>
      <c r="G4305" s="33" t="s">
        <v>20</v>
      </c>
      <c r="H4305" s="35">
        <v>159</v>
      </c>
      <c r="I4305" s="33" t="s">
        <v>21</v>
      </c>
      <c r="J4305" s="42">
        <v>44341</v>
      </c>
      <c r="K4305" s="33" t="s">
        <v>22</v>
      </c>
    </row>
    <row r="4306" spans="1:11">
      <c r="A4306" s="30" t="s">
        <v>10298</v>
      </c>
      <c r="B4306" s="30" t="s">
        <v>10299</v>
      </c>
      <c r="C4306" s="30" t="s">
        <v>10300</v>
      </c>
      <c r="D4306" s="30" t="s">
        <v>17</v>
      </c>
      <c r="E4306" s="30" t="s">
        <v>18</v>
      </c>
      <c r="F4306" s="30" t="s">
        <v>19</v>
      </c>
      <c r="G4306" s="30" t="s">
        <v>20</v>
      </c>
      <c r="H4306" s="32">
        <v>233</v>
      </c>
      <c r="I4306" s="30" t="s">
        <v>21</v>
      </c>
      <c r="J4306" s="41">
        <v>44475</v>
      </c>
      <c r="K4306" s="30" t="s">
        <v>22</v>
      </c>
    </row>
    <row r="4307" spans="1:11">
      <c r="A4307" s="33" t="s">
        <v>10301</v>
      </c>
      <c r="B4307" s="33" t="s">
        <v>10302</v>
      </c>
      <c r="C4307" s="33" t="s">
        <v>109</v>
      </c>
      <c r="D4307" s="33" t="s">
        <v>17</v>
      </c>
      <c r="E4307" s="33" t="s">
        <v>18</v>
      </c>
      <c r="F4307" s="33" t="s">
        <v>19</v>
      </c>
      <c r="G4307" s="33" t="s">
        <v>158</v>
      </c>
      <c r="H4307" s="35">
        <v>1000</v>
      </c>
      <c r="I4307" s="33" t="s">
        <v>21</v>
      </c>
      <c r="J4307" s="42">
        <v>44546</v>
      </c>
      <c r="K4307" s="33" t="s">
        <v>22</v>
      </c>
    </row>
    <row r="4308" spans="1:11">
      <c r="A4308" s="30" t="s">
        <v>10303</v>
      </c>
      <c r="B4308" s="30" t="s">
        <v>10304</v>
      </c>
      <c r="C4308" s="30" t="s">
        <v>157</v>
      </c>
      <c r="D4308" s="30" t="s">
        <v>17</v>
      </c>
      <c r="E4308" s="30" t="s">
        <v>18</v>
      </c>
      <c r="F4308" s="30" t="s">
        <v>19</v>
      </c>
      <c r="G4308" s="30" t="s">
        <v>20</v>
      </c>
      <c r="H4308" s="32">
        <v>144</v>
      </c>
      <c r="I4308" s="30" t="s">
        <v>21</v>
      </c>
      <c r="J4308" s="41">
        <v>44497</v>
      </c>
      <c r="K4308" s="30" t="s">
        <v>22</v>
      </c>
    </row>
    <row r="4309" spans="1:11">
      <c r="A4309" s="33" t="s">
        <v>10305</v>
      </c>
      <c r="B4309" s="33" t="s">
        <v>10306</v>
      </c>
      <c r="C4309" s="33" t="s">
        <v>450</v>
      </c>
      <c r="D4309" s="33" t="s">
        <v>17</v>
      </c>
      <c r="E4309" s="33" t="s">
        <v>18</v>
      </c>
      <c r="F4309" s="33" t="s">
        <v>19</v>
      </c>
      <c r="G4309" s="33" t="s">
        <v>106</v>
      </c>
      <c r="H4309" s="35">
        <v>40</v>
      </c>
      <c r="I4309" s="33" t="s">
        <v>21</v>
      </c>
      <c r="J4309" s="42">
        <v>44452</v>
      </c>
      <c r="K4309" s="33" t="s">
        <v>22</v>
      </c>
    </row>
    <row r="4310" spans="1:11">
      <c r="A4310" s="30" t="s">
        <v>10307</v>
      </c>
      <c r="B4310" s="30" t="s">
        <v>10308</v>
      </c>
      <c r="C4310" s="30" t="s">
        <v>178</v>
      </c>
      <c r="D4310" s="30" t="s">
        <v>17</v>
      </c>
      <c r="E4310" s="30" t="s">
        <v>67</v>
      </c>
      <c r="F4310" s="30" t="s">
        <v>68</v>
      </c>
      <c r="G4310" s="30" t="s">
        <v>140</v>
      </c>
      <c r="H4310" s="32">
        <v>316</v>
      </c>
      <c r="I4310" s="30" t="s">
        <v>51</v>
      </c>
      <c r="J4310" s="41">
        <v>44369</v>
      </c>
      <c r="K4310" s="30" t="s">
        <v>22</v>
      </c>
    </row>
    <row r="4311" spans="1:11">
      <c r="A4311" s="33" t="s">
        <v>10309</v>
      </c>
      <c r="B4311" s="33" t="s">
        <v>10310</v>
      </c>
      <c r="C4311" s="33" t="s">
        <v>10311</v>
      </c>
      <c r="D4311" s="33" t="s">
        <v>17</v>
      </c>
      <c r="E4311" s="33" t="s">
        <v>26</v>
      </c>
      <c r="F4311" s="33" t="s">
        <v>27</v>
      </c>
      <c r="G4311" s="33" t="s">
        <v>20</v>
      </c>
      <c r="H4311" s="35">
        <v>10</v>
      </c>
      <c r="I4311" s="33" t="s">
        <v>21</v>
      </c>
      <c r="J4311" s="42">
        <v>44278</v>
      </c>
      <c r="K4311" s="33" t="s">
        <v>22</v>
      </c>
    </row>
    <row r="4312" spans="1:11">
      <c r="A4312" s="30" t="s">
        <v>10312</v>
      </c>
      <c r="B4312" s="30" t="s">
        <v>10313</v>
      </c>
      <c r="C4312" s="30" t="s">
        <v>231</v>
      </c>
      <c r="D4312" s="30" t="s">
        <v>17</v>
      </c>
      <c r="E4312" s="30" t="s">
        <v>26</v>
      </c>
      <c r="F4312" s="30" t="s">
        <v>27</v>
      </c>
      <c r="G4312" s="30" t="s">
        <v>20</v>
      </c>
      <c r="H4312" s="32">
        <v>28</v>
      </c>
      <c r="I4312" s="30" t="s">
        <v>21</v>
      </c>
      <c r="J4312" s="41">
        <v>44211</v>
      </c>
      <c r="K4312" s="30" t="s">
        <v>22</v>
      </c>
    </row>
    <row r="4313" spans="1:11">
      <c r="A4313" s="33" t="s">
        <v>10314</v>
      </c>
      <c r="B4313" s="33" t="s">
        <v>10315</v>
      </c>
      <c r="C4313" s="33" t="s">
        <v>5554</v>
      </c>
      <c r="D4313" s="33" t="s">
        <v>17</v>
      </c>
      <c r="E4313" s="33" t="s">
        <v>18</v>
      </c>
      <c r="F4313" s="33" t="s">
        <v>19</v>
      </c>
      <c r="G4313" s="33" t="s">
        <v>20</v>
      </c>
      <c r="H4313" s="35">
        <v>145</v>
      </c>
      <c r="I4313" s="33" t="s">
        <v>21</v>
      </c>
      <c r="J4313" s="42">
        <v>44503</v>
      </c>
      <c r="K4313" s="33" t="s">
        <v>22</v>
      </c>
    </row>
    <row r="4314" spans="1:11">
      <c r="A4314" s="30" t="s">
        <v>10316</v>
      </c>
      <c r="B4314" s="30" t="s">
        <v>10317</v>
      </c>
      <c r="C4314" s="30" t="s">
        <v>310</v>
      </c>
      <c r="D4314" s="30" t="s">
        <v>17</v>
      </c>
      <c r="E4314" s="30" t="s">
        <v>18</v>
      </c>
      <c r="F4314" s="30" t="s">
        <v>19</v>
      </c>
      <c r="G4314" s="30" t="s">
        <v>20</v>
      </c>
      <c r="H4314" s="32">
        <v>106</v>
      </c>
      <c r="I4314" s="30" t="s">
        <v>21</v>
      </c>
      <c r="J4314" s="41">
        <v>44314</v>
      </c>
      <c r="K4314" s="30" t="s">
        <v>22</v>
      </c>
    </row>
    <row r="4315" spans="1:11">
      <c r="A4315" s="33" t="s">
        <v>10318</v>
      </c>
      <c r="B4315" s="33" t="s">
        <v>10319</v>
      </c>
      <c r="C4315" s="33" t="s">
        <v>10320</v>
      </c>
      <c r="D4315" s="33" t="s">
        <v>17</v>
      </c>
      <c r="E4315" s="33" t="s">
        <v>67</v>
      </c>
      <c r="F4315" s="33" t="s">
        <v>68</v>
      </c>
      <c r="G4315" s="33" t="s">
        <v>50</v>
      </c>
      <c r="H4315" s="35">
        <v>110</v>
      </c>
      <c r="I4315" s="33" t="s">
        <v>51</v>
      </c>
      <c r="J4315" s="42">
        <v>44347</v>
      </c>
      <c r="K4315" s="33" t="s">
        <v>22</v>
      </c>
    </row>
    <row r="4316" spans="1:11">
      <c r="A4316" s="30" t="s">
        <v>10321</v>
      </c>
      <c r="B4316" s="30" t="s">
        <v>10322</v>
      </c>
      <c r="C4316" s="30" t="s">
        <v>3202</v>
      </c>
      <c r="D4316" s="30" t="s">
        <v>17</v>
      </c>
      <c r="E4316" s="30" t="s">
        <v>31</v>
      </c>
      <c r="F4316" s="30" t="s">
        <v>32</v>
      </c>
      <c r="G4316" s="30" t="s">
        <v>106</v>
      </c>
      <c r="H4316" s="32">
        <v>213</v>
      </c>
      <c r="I4316" s="30" t="s">
        <v>21</v>
      </c>
      <c r="J4316" s="41">
        <v>44530</v>
      </c>
      <c r="K4316" s="30" t="s">
        <v>22</v>
      </c>
    </row>
    <row r="4317" spans="1:11">
      <c r="A4317" s="33" t="s">
        <v>10323</v>
      </c>
      <c r="B4317" s="33" t="s">
        <v>10324</v>
      </c>
      <c r="C4317" s="33" t="s">
        <v>10325</v>
      </c>
      <c r="D4317" s="33" t="s">
        <v>17</v>
      </c>
      <c r="E4317" s="33" t="s">
        <v>67</v>
      </c>
      <c r="F4317" s="33" t="s">
        <v>68</v>
      </c>
      <c r="G4317" s="33" t="s">
        <v>20</v>
      </c>
      <c r="H4317" s="35">
        <v>162</v>
      </c>
      <c r="I4317" s="33" t="s">
        <v>21</v>
      </c>
      <c r="J4317" s="42">
        <v>44468</v>
      </c>
      <c r="K4317" s="33" t="s">
        <v>22</v>
      </c>
    </row>
    <row r="4318" spans="1:11">
      <c r="A4318" s="30" t="s">
        <v>10326</v>
      </c>
      <c r="B4318" s="30" t="s">
        <v>10327</v>
      </c>
      <c r="C4318" s="30" t="s">
        <v>2177</v>
      </c>
      <c r="D4318" s="30" t="s">
        <v>17</v>
      </c>
      <c r="E4318" s="30" t="s">
        <v>26</v>
      </c>
      <c r="F4318" s="30" t="s">
        <v>27</v>
      </c>
      <c r="G4318" s="30" t="s">
        <v>20</v>
      </c>
      <c r="H4318" s="32">
        <v>17</v>
      </c>
      <c r="I4318" s="30" t="s">
        <v>21</v>
      </c>
      <c r="J4318" s="41">
        <v>44414</v>
      </c>
      <c r="K4318" s="30" t="s">
        <v>22</v>
      </c>
    </row>
    <row r="4319" spans="1:11">
      <c r="A4319" s="33" t="s">
        <v>10328</v>
      </c>
      <c r="B4319" s="33" t="s">
        <v>10329</v>
      </c>
      <c r="C4319" s="33" t="s">
        <v>10330</v>
      </c>
      <c r="D4319" s="33" t="s">
        <v>17</v>
      </c>
      <c r="E4319" s="33" t="s">
        <v>67</v>
      </c>
      <c r="F4319" s="33" t="s">
        <v>68</v>
      </c>
      <c r="G4319" s="33" t="s">
        <v>20</v>
      </c>
      <c r="H4319" s="35">
        <v>40</v>
      </c>
      <c r="I4319" s="33" t="s">
        <v>21</v>
      </c>
      <c r="J4319" s="42">
        <v>44361</v>
      </c>
      <c r="K4319" s="33" t="s">
        <v>22</v>
      </c>
    </row>
    <row r="4320" spans="1:11">
      <c r="A4320" s="30" t="s">
        <v>10331</v>
      </c>
      <c r="B4320" s="30" t="s">
        <v>10332</v>
      </c>
      <c r="C4320" s="30" t="s">
        <v>3647</v>
      </c>
      <c r="D4320" s="30" t="s">
        <v>17</v>
      </c>
      <c r="E4320" s="30" t="s">
        <v>18</v>
      </c>
      <c r="F4320" s="30" t="s">
        <v>19</v>
      </c>
      <c r="G4320" s="30" t="s">
        <v>106</v>
      </c>
      <c r="H4320" s="32">
        <v>3973</v>
      </c>
      <c r="I4320" s="30" t="s">
        <v>21</v>
      </c>
      <c r="J4320" s="41">
        <v>44389</v>
      </c>
      <c r="K4320" s="30" t="s">
        <v>22</v>
      </c>
    </row>
    <row r="4321" spans="1:11">
      <c r="A4321" s="33" t="s">
        <v>10333</v>
      </c>
      <c r="B4321" s="33" t="s">
        <v>10334</v>
      </c>
      <c r="C4321" s="33" t="s">
        <v>1090</v>
      </c>
      <c r="D4321" s="33" t="s">
        <v>17</v>
      </c>
      <c r="E4321" s="33" t="s">
        <v>26</v>
      </c>
      <c r="F4321" s="33" t="s">
        <v>27</v>
      </c>
      <c r="G4321" s="33" t="s">
        <v>20</v>
      </c>
      <c r="H4321" s="35">
        <v>40</v>
      </c>
      <c r="I4321" s="33" t="s">
        <v>21</v>
      </c>
      <c r="J4321" s="42">
        <v>44477</v>
      </c>
      <c r="K4321" s="33" t="s">
        <v>22</v>
      </c>
    </row>
    <row r="4322" spans="1:11">
      <c r="A4322" s="30" t="s">
        <v>10335</v>
      </c>
      <c r="B4322" s="30" t="s">
        <v>10336</v>
      </c>
      <c r="C4322" s="30" t="s">
        <v>3934</v>
      </c>
      <c r="D4322" s="30" t="s">
        <v>17</v>
      </c>
      <c r="E4322" s="30" t="s">
        <v>45</v>
      </c>
      <c r="F4322" s="30" t="s">
        <v>46</v>
      </c>
      <c r="G4322" s="30" t="s">
        <v>20</v>
      </c>
      <c r="H4322" s="32">
        <v>216</v>
      </c>
      <c r="I4322" s="30" t="s">
        <v>21</v>
      </c>
      <c r="J4322" s="41">
        <v>44285</v>
      </c>
      <c r="K4322" s="30" t="s">
        <v>22</v>
      </c>
    </row>
    <row r="4323" spans="1:11">
      <c r="A4323" s="33" t="s">
        <v>10337</v>
      </c>
      <c r="B4323" s="33" t="s">
        <v>10338</v>
      </c>
      <c r="C4323" s="33" t="s">
        <v>84</v>
      </c>
      <c r="D4323" s="33" t="s">
        <v>17</v>
      </c>
      <c r="E4323" s="33" t="s">
        <v>212</v>
      </c>
      <c r="F4323" s="33" t="s">
        <v>213</v>
      </c>
      <c r="G4323" s="33" t="s">
        <v>158</v>
      </c>
      <c r="H4323" s="35">
        <v>2500</v>
      </c>
      <c r="I4323" s="33" t="s">
        <v>21</v>
      </c>
      <c r="J4323" s="42">
        <v>44349</v>
      </c>
      <c r="K4323" s="33" t="s">
        <v>22</v>
      </c>
    </row>
    <row r="4324" spans="1:11">
      <c r="A4324" s="30" t="s">
        <v>10339</v>
      </c>
      <c r="B4324" s="30" t="s">
        <v>10340</v>
      </c>
      <c r="C4324" s="30" t="s">
        <v>4453</v>
      </c>
      <c r="D4324" s="30" t="s">
        <v>17</v>
      </c>
      <c r="E4324" s="30" t="s">
        <v>31</v>
      </c>
      <c r="F4324" s="30" t="s">
        <v>32</v>
      </c>
      <c r="G4324" s="30" t="s">
        <v>106</v>
      </c>
      <c r="H4324" s="32">
        <v>40</v>
      </c>
      <c r="I4324" s="30" t="s">
        <v>21</v>
      </c>
      <c r="J4324" s="41">
        <v>44363</v>
      </c>
      <c r="K4324" s="30" t="s">
        <v>22</v>
      </c>
    </row>
    <row r="4325" spans="1:11">
      <c r="A4325" s="33" t="s">
        <v>10341</v>
      </c>
      <c r="B4325" s="33" t="s">
        <v>10342</v>
      </c>
      <c r="C4325" s="33" t="s">
        <v>587</v>
      </c>
      <c r="D4325" s="33" t="s">
        <v>17</v>
      </c>
      <c r="E4325" s="33" t="s">
        <v>26</v>
      </c>
      <c r="F4325" s="33" t="s">
        <v>27</v>
      </c>
      <c r="G4325" s="33" t="s">
        <v>20</v>
      </c>
      <c r="H4325" s="35">
        <v>56</v>
      </c>
      <c r="I4325" s="33" t="s">
        <v>21</v>
      </c>
      <c r="J4325" s="42">
        <v>44396</v>
      </c>
      <c r="K4325" s="33" t="s">
        <v>22</v>
      </c>
    </row>
    <row r="4326" spans="1:11">
      <c r="A4326" s="30" t="s">
        <v>10343</v>
      </c>
      <c r="B4326" s="30" t="s">
        <v>10344</v>
      </c>
      <c r="C4326" s="30" t="s">
        <v>10300</v>
      </c>
      <c r="D4326" s="30" t="s">
        <v>17</v>
      </c>
      <c r="E4326" s="30" t="s">
        <v>31</v>
      </c>
      <c r="F4326" s="30" t="s">
        <v>32</v>
      </c>
      <c r="G4326" s="30" t="s">
        <v>20</v>
      </c>
      <c r="H4326" s="32">
        <v>255</v>
      </c>
      <c r="I4326" s="30" t="s">
        <v>21</v>
      </c>
      <c r="J4326" s="41">
        <v>44470</v>
      </c>
      <c r="K4326" s="30" t="s">
        <v>22</v>
      </c>
    </row>
    <row r="4327" spans="1:11">
      <c r="A4327" s="33" t="s">
        <v>10345</v>
      </c>
      <c r="B4327" s="33" t="s">
        <v>10346</v>
      </c>
      <c r="C4327" s="33" t="s">
        <v>2196</v>
      </c>
      <c r="D4327" s="33" t="s">
        <v>17</v>
      </c>
      <c r="E4327" s="33" t="s">
        <v>26</v>
      </c>
      <c r="F4327" s="33" t="s">
        <v>27</v>
      </c>
      <c r="G4327" s="33" t="s">
        <v>20</v>
      </c>
      <c r="H4327" s="35">
        <v>47</v>
      </c>
      <c r="I4327" s="33" t="s">
        <v>21</v>
      </c>
      <c r="J4327" s="42">
        <v>44343</v>
      </c>
      <c r="K4327" s="33" t="s">
        <v>22</v>
      </c>
    </row>
    <row r="4328" spans="1:11">
      <c r="A4328" s="30" t="s">
        <v>10347</v>
      </c>
      <c r="B4328" s="30" t="s">
        <v>10348</v>
      </c>
      <c r="C4328" s="30" t="s">
        <v>149</v>
      </c>
      <c r="D4328" s="30" t="s">
        <v>17</v>
      </c>
      <c r="E4328" s="30" t="s">
        <v>31</v>
      </c>
      <c r="F4328" s="30" t="s">
        <v>32</v>
      </c>
      <c r="G4328" s="30" t="s">
        <v>20</v>
      </c>
      <c r="H4328" s="32">
        <v>93</v>
      </c>
      <c r="I4328" s="30" t="s">
        <v>21</v>
      </c>
      <c r="J4328" s="41">
        <v>44396</v>
      </c>
      <c r="K4328" s="30" t="s">
        <v>22</v>
      </c>
    </row>
    <row r="4329" spans="1:11">
      <c r="A4329" s="33" t="s">
        <v>10349</v>
      </c>
      <c r="B4329" s="33" t="s">
        <v>10350</v>
      </c>
      <c r="C4329" s="33" t="s">
        <v>8004</v>
      </c>
      <c r="D4329" s="33" t="s">
        <v>17</v>
      </c>
      <c r="E4329" s="33" t="s">
        <v>18</v>
      </c>
      <c r="F4329" s="33" t="s">
        <v>19</v>
      </c>
      <c r="G4329" s="33" t="s">
        <v>20</v>
      </c>
      <c r="H4329" s="35">
        <v>325</v>
      </c>
      <c r="I4329" s="33" t="s">
        <v>21</v>
      </c>
      <c r="J4329" s="42">
        <v>44335</v>
      </c>
      <c r="K4329" s="33" t="s">
        <v>22</v>
      </c>
    </row>
    <row r="4330" spans="1:11">
      <c r="A4330" s="30" t="s">
        <v>10351</v>
      </c>
      <c r="B4330" s="30" t="s">
        <v>10352</v>
      </c>
      <c r="C4330" s="30" t="s">
        <v>638</v>
      </c>
      <c r="D4330" s="30" t="s">
        <v>17</v>
      </c>
      <c r="E4330" s="30" t="s">
        <v>18</v>
      </c>
      <c r="F4330" s="30" t="s">
        <v>19</v>
      </c>
      <c r="G4330" s="30" t="s">
        <v>20</v>
      </c>
      <c r="H4330" s="32">
        <v>1124</v>
      </c>
      <c r="I4330" s="30" t="s">
        <v>21</v>
      </c>
      <c r="J4330" s="41">
        <v>44468</v>
      </c>
      <c r="K4330" s="30" t="s">
        <v>22</v>
      </c>
    </row>
    <row r="4331" spans="1:11">
      <c r="A4331" s="33" t="s">
        <v>10353</v>
      </c>
      <c r="B4331" s="33" t="s">
        <v>10354</v>
      </c>
      <c r="C4331" s="33" t="s">
        <v>178</v>
      </c>
      <c r="D4331" s="33" t="s">
        <v>17</v>
      </c>
      <c r="E4331" s="33" t="s">
        <v>18</v>
      </c>
      <c r="F4331" s="33" t="s">
        <v>19</v>
      </c>
      <c r="G4331" s="33" t="s">
        <v>158</v>
      </c>
      <c r="H4331" s="35">
        <v>557</v>
      </c>
      <c r="I4331" s="33" t="s">
        <v>21</v>
      </c>
      <c r="J4331" s="42">
        <v>44312</v>
      </c>
      <c r="K4331" s="33" t="s">
        <v>22</v>
      </c>
    </row>
    <row r="4332" spans="1:11">
      <c r="A4332" s="30" t="s">
        <v>10355</v>
      </c>
      <c r="B4332" s="30" t="s">
        <v>10356</v>
      </c>
      <c r="C4332" s="30" t="s">
        <v>1210</v>
      </c>
      <c r="D4332" s="30" t="s">
        <v>17</v>
      </c>
      <c r="E4332" s="30" t="s">
        <v>26</v>
      </c>
      <c r="F4332" s="30" t="s">
        <v>27</v>
      </c>
      <c r="G4332" s="30" t="s">
        <v>20</v>
      </c>
      <c r="H4332" s="32">
        <v>78</v>
      </c>
      <c r="I4332" s="30" t="s">
        <v>21</v>
      </c>
      <c r="J4332" s="41">
        <v>44414</v>
      </c>
      <c r="K4332" s="30" t="s">
        <v>22</v>
      </c>
    </row>
    <row r="4333" spans="1:11">
      <c r="A4333" s="33" t="s">
        <v>10357</v>
      </c>
      <c r="B4333" s="33" t="s">
        <v>10358</v>
      </c>
      <c r="C4333" s="33" t="s">
        <v>10359</v>
      </c>
      <c r="D4333" s="33" t="s">
        <v>17</v>
      </c>
      <c r="E4333" s="33" t="s">
        <v>18</v>
      </c>
      <c r="F4333" s="33" t="s">
        <v>19</v>
      </c>
      <c r="G4333" s="33" t="s">
        <v>158</v>
      </c>
      <c r="H4333" s="35">
        <v>123</v>
      </c>
      <c r="I4333" s="33" t="s">
        <v>21</v>
      </c>
      <c r="J4333" s="42">
        <v>44483</v>
      </c>
      <c r="K4333" s="33" t="s">
        <v>22</v>
      </c>
    </row>
    <row r="4334" spans="1:11">
      <c r="A4334" s="30" t="s">
        <v>10360</v>
      </c>
      <c r="B4334" s="30" t="s">
        <v>10361</v>
      </c>
      <c r="C4334" s="30" t="s">
        <v>1270</v>
      </c>
      <c r="D4334" s="30" t="s">
        <v>17</v>
      </c>
      <c r="E4334" s="30" t="s">
        <v>67</v>
      </c>
      <c r="F4334" s="30" t="s">
        <v>68</v>
      </c>
      <c r="G4334" s="30" t="s">
        <v>50</v>
      </c>
      <c r="H4334" s="32">
        <v>306</v>
      </c>
      <c r="I4334" s="30" t="s">
        <v>51</v>
      </c>
      <c r="J4334" s="41">
        <v>44509</v>
      </c>
      <c r="K4334" s="30" t="s">
        <v>22</v>
      </c>
    </row>
    <row r="4335" spans="1:11">
      <c r="A4335" s="33" t="s">
        <v>10362</v>
      </c>
      <c r="B4335" s="33" t="s">
        <v>10363</v>
      </c>
      <c r="C4335" s="33" t="s">
        <v>10364</v>
      </c>
      <c r="D4335" s="33" t="s">
        <v>17</v>
      </c>
      <c r="E4335" s="33" t="s">
        <v>31</v>
      </c>
      <c r="F4335" s="33" t="s">
        <v>32</v>
      </c>
      <c r="G4335" s="33" t="s">
        <v>20</v>
      </c>
      <c r="H4335" s="35">
        <v>125</v>
      </c>
      <c r="I4335" s="33" t="s">
        <v>21</v>
      </c>
      <c r="J4335" s="42">
        <v>44340</v>
      </c>
      <c r="K4335" s="33" t="s">
        <v>22</v>
      </c>
    </row>
    <row r="4336" spans="1:11">
      <c r="A4336" s="30" t="s">
        <v>10365</v>
      </c>
      <c r="B4336" s="30" t="s">
        <v>10366</v>
      </c>
      <c r="C4336" s="30" t="s">
        <v>109</v>
      </c>
      <c r="D4336" s="30" t="s">
        <v>17</v>
      </c>
      <c r="E4336" s="30" t="s">
        <v>18</v>
      </c>
      <c r="F4336" s="30" t="s">
        <v>19</v>
      </c>
      <c r="G4336" s="30" t="s">
        <v>20</v>
      </c>
      <c r="H4336" s="32">
        <v>450</v>
      </c>
      <c r="I4336" s="30" t="s">
        <v>21</v>
      </c>
      <c r="J4336" s="41">
        <v>44372</v>
      </c>
      <c r="K4336" s="30" t="s">
        <v>22</v>
      </c>
    </row>
    <row r="4337" spans="1:11">
      <c r="A4337" s="33" t="s">
        <v>10367</v>
      </c>
      <c r="B4337" s="33" t="s">
        <v>10368</v>
      </c>
      <c r="C4337" s="33" t="s">
        <v>10369</v>
      </c>
      <c r="D4337" s="33" t="s">
        <v>17</v>
      </c>
      <c r="E4337" s="33" t="s">
        <v>31</v>
      </c>
      <c r="F4337" s="33" t="s">
        <v>32</v>
      </c>
      <c r="G4337" s="33" t="s">
        <v>140</v>
      </c>
      <c r="H4337" s="35">
        <v>102</v>
      </c>
      <c r="I4337" s="33" t="s">
        <v>51</v>
      </c>
      <c r="J4337" s="42">
        <v>44365</v>
      </c>
      <c r="K4337" s="33" t="s">
        <v>22</v>
      </c>
    </row>
    <row r="4338" spans="1:11">
      <c r="A4338" s="30" t="s">
        <v>10370</v>
      </c>
      <c r="B4338" s="30" t="s">
        <v>10371</v>
      </c>
      <c r="C4338" s="30" t="s">
        <v>5312</v>
      </c>
      <c r="D4338" s="30" t="s">
        <v>17</v>
      </c>
      <c r="E4338" s="30" t="s">
        <v>18</v>
      </c>
      <c r="F4338" s="30" t="s">
        <v>19</v>
      </c>
      <c r="G4338" s="30" t="s">
        <v>158</v>
      </c>
      <c r="H4338" s="32">
        <v>58</v>
      </c>
      <c r="I4338" s="30" t="s">
        <v>21</v>
      </c>
      <c r="J4338" s="41">
        <v>44328</v>
      </c>
      <c r="K4338" s="30" t="s">
        <v>22</v>
      </c>
    </row>
    <row r="4339" spans="1:11">
      <c r="A4339" s="33" t="s">
        <v>10372</v>
      </c>
      <c r="B4339" s="33" t="s">
        <v>10373</v>
      </c>
      <c r="C4339" s="33" t="s">
        <v>899</v>
      </c>
      <c r="D4339" s="33" t="s">
        <v>17</v>
      </c>
      <c r="E4339" s="33" t="s">
        <v>26</v>
      </c>
      <c r="F4339" s="33" t="s">
        <v>27</v>
      </c>
      <c r="G4339" s="33" t="s">
        <v>20</v>
      </c>
      <c r="H4339" s="35">
        <v>46</v>
      </c>
      <c r="I4339" s="33" t="s">
        <v>21</v>
      </c>
      <c r="J4339" s="42">
        <v>44477</v>
      </c>
      <c r="K4339" s="33" t="s">
        <v>22</v>
      </c>
    </row>
    <row r="4340" spans="1:11">
      <c r="A4340" s="30" t="s">
        <v>10374</v>
      </c>
      <c r="B4340" s="30" t="s">
        <v>10375</v>
      </c>
      <c r="C4340" s="30" t="s">
        <v>6017</v>
      </c>
      <c r="D4340" s="30" t="s">
        <v>17</v>
      </c>
      <c r="E4340" s="30" t="s">
        <v>18</v>
      </c>
      <c r="F4340" s="30" t="s">
        <v>19</v>
      </c>
      <c r="G4340" s="30" t="s">
        <v>50</v>
      </c>
      <c r="H4340" s="32">
        <v>900</v>
      </c>
      <c r="I4340" s="30" t="s">
        <v>51</v>
      </c>
      <c r="J4340" s="41">
        <v>44308</v>
      </c>
      <c r="K4340" s="30" t="s">
        <v>22</v>
      </c>
    </row>
    <row r="4341" spans="1:11">
      <c r="A4341" s="33" t="s">
        <v>10376</v>
      </c>
      <c r="B4341" s="33" t="s">
        <v>10377</v>
      </c>
      <c r="C4341" s="33" t="s">
        <v>4345</v>
      </c>
      <c r="D4341" s="33" t="s">
        <v>17</v>
      </c>
      <c r="E4341" s="33" t="s">
        <v>67</v>
      </c>
      <c r="F4341" s="33" t="s">
        <v>68</v>
      </c>
      <c r="G4341" s="33" t="s">
        <v>140</v>
      </c>
      <c r="H4341" s="35">
        <v>70</v>
      </c>
      <c r="I4341" s="33" t="s">
        <v>51</v>
      </c>
      <c r="J4341" s="42">
        <v>44552</v>
      </c>
      <c r="K4341" s="33" t="s">
        <v>22</v>
      </c>
    </row>
    <row r="4342" spans="1:11">
      <c r="A4342" s="30" t="s">
        <v>10378</v>
      </c>
      <c r="B4342" s="30" t="s">
        <v>10379</v>
      </c>
      <c r="C4342" s="30" t="s">
        <v>1469</v>
      </c>
      <c r="D4342" s="30" t="s">
        <v>17</v>
      </c>
      <c r="E4342" s="30" t="s">
        <v>212</v>
      </c>
      <c r="F4342" s="30" t="s">
        <v>213</v>
      </c>
      <c r="G4342" s="30" t="s">
        <v>20</v>
      </c>
      <c r="H4342" s="32">
        <v>123</v>
      </c>
      <c r="I4342" s="30" t="s">
        <v>21</v>
      </c>
      <c r="J4342" s="41">
        <v>44552</v>
      </c>
      <c r="K4342" s="30" t="s">
        <v>22</v>
      </c>
    </row>
    <row r="4343" spans="1:11">
      <c r="A4343" s="33" t="s">
        <v>10380</v>
      </c>
      <c r="B4343" s="33" t="s">
        <v>10381</v>
      </c>
      <c r="C4343" s="33" t="s">
        <v>5169</v>
      </c>
      <c r="D4343" s="33" t="s">
        <v>17</v>
      </c>
      <c r="E4343" s="33" t="s">
        <v>212</v>
      </c>
      <c r="F4343" s="33" t="s">
        <v>213</v>
      </c>
      <c r="G4343" s="33" t="s">
        <v>20</v>
      </c>
      <c r="H4343" s="35">
        <v>158</v>
      </c>
      <c r="I4343" s="33" t="s">
        <v>21</v>
      </c>
      <c r="J4343" s="42">
        <v>44370</v>
      </c>
      <c r="K4343" s="33" t="s">
        <v>22</v>
      </c>
    </row>
    <row r="4344" spans="1:11">
      <c r="A4344" s="30" t="s">
        <v>10382</v>
      </c>
      <c r="B4344" s="30" t="s">
        <v>10383</v>
      </c>
      <c r="C4344" s="30" t="s">
        <v>3378</v>
      </c>
      <c r="D4344" s="30" t="s">
        <v>17</v>
      </c>
      <c r="E4344" s="30" t="s">
        <v>26</v>
      </c>
      <c r="F4344" s="30" t="s">
        <v>27</v>
      </c>
      <c r="G4344" s="30" t="s">
        <v>20</v>
      </c>
      <c r="H4344" s="32">
        <v>47</v>
      </c>
      <c r="I4344" s="30" t="s">
        <v>21</v>
      </c>
      <c r="J4344" s="41">
        <v>44446</v>
      </c>
      <c r="K4344" s="30" t="s">
        <v>22</v>
      </c>
    </row>
    <row r="4345" spans="1:11">
      <c r="A4345" s="33" t="s">
        <v>10384</v>
      </c>
      <c r="B4345" s="33" t="s">
        <v>10385</v>
      </c>
      <c r="C4345" s="33" t="s">
        <v>102</v>
      </c>
      <c r="D4345" s="33" t="s">
        <v>17</v>
      </c>
      <c r="E4345" s="33" t="s">
        <v>26</v>
      </c>
      <c r="F4345" s="33" t="s">
        <v>27</v>
      </c>
      <c r="G4345" s="33" t="s">
        <v>20</v>
      </c>
      <c r="H4345" s="35">
        <v>12</v>
      </c>
      <c r="I4345" s="33" t="s">
        <v>21</v>
      </c>
      <c r="J4345" s="42">
        <v>44407</v>
      </c>
      <c r="K4345" s="33" t="s">
        <v>22</v>
      </c>
    </row>
    <row r="4346" spans="1:11">
      <c r="A4346" s="30" t="s">
        <v>10386</v>
      </c>
      <c r="B4346" s="30" t="s">
        <v>10387</v>
      </c>
      <c r="C4346" s="30" t="s">
        <v>899</v>
      </c>
      <c r="D4346" s="30" t="s">
        <v>17</v>
      </c>
      <c r="E4346" s="30" t="s">
        <v>26</v>
      </c>
      <c r="F4346" s="30" t="s">
        <v>27</v>
      </c>
      <c r="G4346" s="30" t="s">
        <v>20</v>
      </c>
      <c r="H4346" s="32">
        <v>6</v>
      </c>
      <c r="I4346" s="30" t="s">
        <v>21</v>
      </c>
      <c r="J4346" s="41">
        <v>44539</v>
      </c>
      <c r="K4346" s="30" t="s">
        <v>22</v>
      </c>
    </row>
    <row r="4347" spans="1:11">
      <c r="A4347" s="33" t="s">
        <v>10388</v>
      </c>
      <c r="B4347" s="33" t="s">
        <v>10389</v>
      </c>
      <c r="C4347" s="33" t="s">
        <v>6127</v>
      </c>
      <c r="D4347" s="33" t="s">
        <v>17</v>
      </c>
      <c r="E4347" s="33" t="s">
        <v>31</v>
      </c>
      <c r="F4347" s="33" t="s">
        <v>32</v>
      </c>
      <c r="G4347" s="33" t="s">
        <v>20</v>
      </c>
      <c r="H4347" s="35">
        <v>394</v>
      </c>
      <c r="I4347" s="33" t="s">
        <v>21</v>
      </c>
      <c r="J4347" s="42">
        <v>44384</v>
      </c>
      <c r="K4347" s="33" t="s">
        <v>22</v>
      </c>
    </row>
    <row r="4348" spans="1:11">
      <c r="A4348" s="30" t="s">
        <v>10390</v>
      </c>
      <c r="B4348" s="30" t="s">
        <v>10391</v>
      </c>
      <c r="C4348" s="30" t="s">
        <v>2905</v>
      </c>
      <c r="D4348" s="30" t="s">
        <v>17</v>
      </c>
      <c r="E4348" s="30" t="s">
        <v>212</v>
      </c>
      <c r="F4348" s="30" t="s">
        <v>213</v>
      </c>
      <c r="G4348" s="30" t="s">
        <v>140</v>
      </c>
      <c r="H4348" s="32">
        <v>2000</v>
      </c>
      <c r="I4348" s="30" t="s">
        <v>51</v>
      </c>
      <c r="J4348" s="41">
        <v>44287</v>
      </c>
      <c r="K4348" s="30" t="s">
        <v>22</v>
      </c>
    </row>
    <row r="4349" spans="1:11">
      <c r="A4349" s="33" t="s">
        <v>10392</v>
      </c>
      <c r="B4349" s="33" t="s">
        <v>10393</v>
      </c>
      <c r="C4349" s="33" t="s">
        <v>96</v>
      </c>
      <c r="D4349" s="33" t="s">
        <v>17</v>
      </c>
      <c r="E4349" s="33" t="s">
        <v>18</v>
      </c>
      <c r="F4349" s="33" t="s">
        <v>19</v>
      </c>
      <c r="G4349" s="33" t="s">
        <v>20</v>
      </c>
      <c r="H4349" s="35">
        <v>14</v>
      </c>
      <c r="I4349" s="33" t="s">
        <v>21</v>
      </c>
      <c r="J4349" s="42">
        <v>44333</v>
      </c>
      <c r="K4349" s="33" t="s">
        <v>22</v>
      </c>
    </row>
    <row r="4350" spans="1:11">
      <c r="A4350" s="30" t="s">
        <v>10394</v>
      </c>
      <c r="B4350" s="30" t="s">
        <v>10395</v>
      </c>
      <c r="C4350" s="30" t="s">
        <v>995</v>
      </c>
      <c r="D4350" s="30" t="s">
        <v>17</v>
      </c>
      <c r="E4350" s="30" t="s">
        <v>26</v>
      </c>
      <c r="F4350" s="30" t="s">
        <v>27</v>
      </c>
      <c r="G4350" s="30" t="s">
        <v>20</v>
      </c>
      <c r="H4350" s="32">
        <v>24</v>
      </c>
      <c r="I4350" s="30" t="s">
        <v>21</v>
      </c>
      <c r="J4350" s="41">
        <v>44290</v>
      </c>
      <c r="K4350" s="30" t="s">
        <v>22</v>
      </c>
    </row>
    <row r="4351" spans="1:11">
      <c r="A4351" s="33" t="s">
        <v>10396</v>
      </c>
      <c r="B4351" s="33" t="s">
        <v>10397</v>
      </c>
      <c r="C4351" s="33" t="s">
        <v>10074</v>
      </c>
      <c r="D4351" s="33" t="s">
        <v>17</v>
      </c>
      <c r="E4351" s="33" t="s">
        <v>26</v>
      </c>
      <c r="F4351" s="33" t="s">
        <v>27</v>
      </c>
      <c r="G4351" s="33" t="s">
        <v>20</v>
      </c>
      <c r="H4351" s="35">
        <v>57</v>
      </c>
      <c r="I4351" s="33" t="s">
        <v>21</v>
      </c>
      <c r="J4351" s="42">
        <v>44477</v>
      </c>
      <c r="K4351" s="33" t="s">
        <v>22</v>
      </c>
    </row>
    <row r="4352" spans="1:11">
      <c r="A4352" s="30" t="s">
        <v>10398</v>
      </c>
      <c r="B4352" s="30" t="s">
        <v>10399</v>
      </c>
      <c r="C4352" s="30" t="s">
        <v>10400</v>
      </c>
      <c r="D4352" s="30" t="s">
        <v>17</v>
      </c>
      <c r="E4352" s="30" t="s">
        <v>31</v>
      </c>
      <c r="F4352" s="30" t="s">
        <v>32</v>
      </c>
      <c r="G4352" s="30" t="s">
        <v>20</v>
      </c>
      <c r="H4352" s="32">
        <v>19</v>
      </c>
      <c r="I4352" s="30" t="s">
        <v>21</v>
      </c>
      <c r="J4352" s="41">
        <v>44558</v>
      </c>
      <c r="K4352" s="30" t="s">
        <v>22</v>
      </c>
    </row>
    <row r="4353" spans="1:11">
      <c r="A4353" s="33" t="s">
        <v>10401</v>
      </c>
      <c r="B4353" s="33" t="s">
        <v>10402</v>
      </c>
      <c r="C4353" s="33" t="s">
        <v>109</v>
      </c>
      <c r="D4353" s="33" t="s">
        <v>17</v>
      </c>
      <c r="E4353" s="33" t="s">
        <v>26</v>
      </c>
      <c r="F4353" s="33" t="s">
        <v>27</v>
      </c>
      <c r="G4353" s="33" t="s">
        <v>112</v>
      </c>
      <c r="H4353" s="35">
        <v>0</v>
      </c>
      <c r="I4353" s="33" t="s">
        <v>21</v>
      </c>
      <c r="J4353" s="42">
        <v>44398</v>
      </c>
      <c r="K4353" s="33" t="s">
        <v>22</v>
      </c>
    </row>
    <row r="4354" spans="1:11">
      <c r="A4354" s="30" t="s">
        <v>10403</v>
      </c>
      <c r="B4354" s="30" t="s">
        <v>10404</v>
      </c>
      <c r="C4354" s="30" t="s">
        <v>822</v>
      </c>
      <c r="D4354" s="30" t="s">
        <v>17</v>
      </c>
      <c r="E4354" s="30" t="s">
        <v>31</v>
      </c>
      <c r="F4354" s="30" t="s">
        <v>32</v>
      </c>
      <c r="G4354" s="30" t="s">
        <v>20</v>
      </c>
      <c r="H4354" s="32">
        <v>28</v>
      </c>
      <c r="I4354" s="30" t="s">
        <v>21</v>
      </c>
      <c r="J4354" s="41">
        <v>44454</v>
      </c>
      <c r="K4354" s="30" t="s">
        <v>22</v>
      </c>
    </row>
    <row r="4355" spans="1:11">
      <c r="A4355" s="33" t="s">
        <v>10405</v>
      </c>
      <c r="B4355" s="33" t="s">
        <v>10406</v>
      </c>
      <c r="C4355" s="33" t="s">
        <v>2039</v>
      </c>
      <c r="D4355" s="33" t="s">
        <v>17</v>
      </c>
      <c r="E4355" s="33" t="s">
        <v>31</v>
      </c>
      <c r="F4355" s="33" t="s">
        <v>32</v>
      </c>
      <c r="G4355" s="33" t="s">
        <v>20</v>
      </c>
      <c r="H4355" s="35">
        <v>76</v>
      </c>
      <c r="I4355" s="33" t="s">
        <v>21</v>
      </c>
      <c r="J4355" s="42">
        <v>44497</v>
      </c>
      <c r="K4355" s="33" t="s">
        <v>22</v>
      </c>
    </row>
    <row r="4356" spans="1:11">
      <c r="A4356" s="30" t="s">
        <v>10407</v>
      </c>
      <c r="B4356" s="30" t="s">
        <v>10408</v>
      </c>
      <c r="C4356" s="30" t="s">
        <v>6351</v>
      </c>
      <c r="D4356" s="30" t="s">
        <v>17</v>
      </c>
      <c r="E4356" s="30" t="s">
        <v>26</v>
      </c>
      <c r="F4356" s="30" t="s">
        <v>27</v>
      </c>
      <c r="G4356" s="30" t="s">
        <v>20</v>
      </c>
      <c r="H4356" s="32">
        <v>42</v>
      </c>
      <c r="I4356" s="30" t="s">
        <v>21</v>
      </c>
      <c r="J4356" s="41">
        <v>44268</v>
      </c>
      <c r="K4356" s="30" t="s">
        <v>22</v>
      </c>
    </row>
    <row r="4357" spans="1:11">
      <c r="A4357" s="33" t="s">
        <v>10409</v>
      </c>
      <c r="B4357" s="33" t="s">
        <v>10410</v>
      </c>
      <c r="C4357" s="33" t="s">
        <v>10411</v>
      </c>
      <c r="D4357" s="33" t="s">
        <v>17</v>
      </c>
      <c r="E4357" s="33" t="s">
        <v>212</v>
      </c>
      <c r="F4357" s="33" t="s">
        <v>213</v>
      </c>
      <c r="G4357" s="33" t="s">
        <v>20</v>
      </c>
      <c r="H4357" s="35">
        <v>61</v>
      </c>
      <c r="I4357" s="33" t="s">
        <v>21</v>
      </c>
      <c r="J4357" s="42">
        <v>44561</v>
      </c>
      <c r="K4357" s="33" t="s">
        <v>22</v>
      </c>
    </row>
    <row r="4358" spans="1:11">
      <c r="A4358" s="30" t="s">
        <v>10412</v>
      </c>
      <c r="B4358" s="30" t="s">
        <v>10413</v>
      </c>
      <c r="C4358" s="30" t="s">
        <v>149</v>
      </c>
      <c r="D4358" s="30" t="s">
        <v>17</v>
      </c>
      <c r="E4358" s="30" t="s">
        <v>31</v>
      </c>
      <c r="F4358" s="30" t="s">
        <v>32</v>
      </c>
      <c r="G4358" s="30" t="s">
        <v>20</v>
      </c>
      <c r="H4358" s="32">
        <v>108</v>
      </c>
      <c r="I4358" s="30" t="s">
        <v>21</v>
      </c>
      <c r="J4358" s="41">
        <v>44323</v>
      </c>
      <c r="K4358" s="30" t="s">
        <v>22</v>
      </c>
    </row>
    <row r="4359" spans="1:11">
      <c r="A4359" s="33" t="s">
        <v>10414</v>
      </c>
      <c r="B4359" s="33" t="s">
        <v>10415</v>
      </c>
      <c r="C4359" s="33" t="s">
        <v>925</v>
      </c>
      <c r="D4359" s="33" t="s">
        <v>17</v>
      </c>
      <c r="E4359" s="33" t="s">
        <v>26</v>
      </c>
      <c r="F4359" s="33" t="s">
        <v>27</v>
      </c>
      <c r="G4359" s="33" t="s">
        <v>106</v>
      </c>
      <c r="H4359" s="35">
        <v>13</v>
      </c>
      <c r="I4359" s="33" t="s">
        <v>21</v>
      </c>
      <c r="J4359" s="42">
        <v>44280</v>
      </c>
      <c r="K4359" s="33" t="s">
        <v>22</v>
      </c>
    </row>
    <row r="4360" spans="1:11">
      <c r="A4360" s="30" t="s">
        <v>10416</v>
      </c>
      <c r="B4360" s="30" t="s">
        <v>10417</v>
      </c>
      <c r="C4360" s="30" t="s">
        <v>2382</v>
      </c>
      <c r="D4360" s="30" t="s">
        <v>17</v>
      </c>
      <c r="E4360" s="30" t="s">
        <v>67</v>
      </c>
      <c r="F4360" s="30" t="s">
        <v>68</v>
      </c>
      <c r="G4360" s="30" t="s">
        <v>20</v>
      </c>
      <c r="H4360" s="32">
        <v>29</v>
      </c>
      <c r="I4360" s="30" t="s">
        <v>21</v>
      </c>
      <c r="J4360" s="41">
        <v>44442</v>
      </c>
      <c r="K4360" s="30" t="s">
        <v>22</v>
      </c>
    </row>
    <row r="4361" spans="1:11">
      <c r="A4361" s="33" t="s">
        <v>10418</v>
      </c>
      <c r="B4361" s="33" t="s">
        <v>10419</v>
      </c>
      <c r="C4361" s="33" t="s">
        <v>1469</v>
      </c>
      <c r="D4361" s="33" t="s">
        <v>17</v>
      </c>
      <c r="E4361" s="33" t="s">
        <v>31</v>
      </c>
      <c r="F4361" s="33" t="s">
        <v>32</v>
      </c>
      <c r="G4361" s="33" t="s">
        <v>20</v>
      </c>
      <c r="H4361" s="35">
        <v>17</v>
      </c>
      <c r="I4361" s="33" t="s">
        <v>21</v>
      </c>
      <c r="J4361" s="42">
        <v>44538</v>
      </c>
      <c r="K4361" s="33" t="s">
        <v>22</v>
      </c>
    </row>
    <row r="4362" spans="1:11">
      <c r="A4362" s="30" t="s">
        <v>10420</v>
      </c>
      <c r="B4362" s="30" t="s">
        <v>10421</v>
      </c>
      <c r="C4362" s="30" t="s">
        <v>10422</v>
      </c>
      <c r="D4362" s="30" t="s">
        <v>17</v>
      </c>
      <c r="E4362" s="30" t="s">
        <v>67</v>
      </c>
      <c r="F4362" s="30" t="s">
        <v>68</v>
      </c>
      <c r="G4362" s="30" t="s">
        <v>20</v>
      </c>
      <c r="H4362" s="32">
        <v>60</v>
      </c>
      <c r="I4362" s="30" t="s">
        <v>21</v>
      </c>
      <c r="J4362" s="41">
        <v>44409</v>
      </c>
      <c r="K4362" s="30" t="s">
        <v>22</v>
      </c>
    </row>
    <row r="4363" spans="1:11">
      <c r="A4363" s="33" t="s">
        <v>10423</v>
      </c>
      <c r="B4363" s="33" t="s">
        <v>10424</v>
      </c>
      <c r="C4363" s="33" t="s">
        <v>10425</v>
      </c>
      <c r="D4363" s="33" t="s">
        <v>17</v>
      </c>
      <c r="E4363" s="33" t="s">
        <v>31</v>
      </c>
      <c r="F4363" s="33" t="s">
        <v>32</v>
      </c>
      <c r="G4363" s="33" t="s">
        <v>106</v>
      </c>
      <c r="H4363" s="35">
        <v>13</v>
      </c>
      <c r="I4363" s="33" t="s">
        <v>21</v>
      </c>
      <c r="J4363" s="42">
        <v>44531</v>
      </c>
      <c r="K4363" s="33" t="s">
        <v>22</v>
      </c>
    </row>
    <row r="4364" spans="1:11">
      <c r="A4364" s="30" t="s">
        <v>10426</v>
      </c>
      <c r="B4364" s="30" t="s">
        <v>10427</v>
      </c>
      <c r="C4364" s="30" t="s">
        <v>10428</v>
      </c>
      <c r="D4364" s="30" t="s">
        <v>17</v>
      </c>
      <c r="E4364" s="30" t="s">
        <v>26</v>
      </c>
      <c r="F4364" s="30" t="s">
        <v>27</v>
      </c>
      <c r="G4364" s="30" t="s">
        <v>20</v>
      </c>
      <c r="H4364" s="32">
        <v>33</v>
      </c>
      <c r="I4364" s="30" t="s">
        <v>21</v>
      </c>
      <c r="J4364" s="41">
        <v>44211</v>
      </c>
      <c r="K4364" s="30" t="s">
        <v>22</v>
      </c>
    </row>
    <row r="4365" spans="1:11">
      <c r="A4365" s="33" t="s">
        <v>10429</v>
      </c>
      <c r="B4365" s="33" t="s">
        <v>10430</v>
      </c>
      <c r="C4365" s="33" t="s">
        <v>750</v>
      </c>
      <c r="D4365" s="33" t="s">
        <v>17</v>
      </c>
      <c r="E4365" s="33" t="s">
        <v>26</v>
      </c>
      <c r="F4365" s="33" t="s">
        <v>27</v>
      </c>
      <c r="G4365" s="33" t="s">
        <v>20</v>
      </c>
      <c r="H4365" s="35">
        <v>12</v>
      </c>
      <c r="I4365" s="33" t="s">
        <v>21</v>
      </c>
      <c r="J4365" s="42">
        <v>44244</v>
      </c>
      <c r="K4365" s="33" t="s">
        <v>22</v>
      </c>
    </row>
    <row r="4366" spans="1:11">
      <c r="A4366" s="30" t="s">
        <v>10431</v>
      </c>
      <c r="B4366" s="30" t="s">
        <v>10432</v>
      </c>
      <c r="C4366" s="30" t="s">
        <v>10433</v>
      </c>
      <c r="D4366" s="30" t="s">
        <v>17</v>
      </c>
      <c r="E4366" s="30" t="s">
        <v>31</v>
      </c>
      <c r="F4366" s="30" t="s">
        <v>32</v>
      </c>
      <c r="G4366" s="30" t="s">
        <v>20</v>
      </c>
      <c r="H4366" s="32">
        <v>95</v>
      </c>
      <c r="I4366" s="30" t="s">
        <v>21</v>
      </c>
      <c r="J4366" s="41">
        <v>44284</v>
      </c>
      <c r="K4366" s="30" t="s">
        <v>22</v>
      </c>
    </row>
    <row r="4367" spans="1:11">
      <c r="A4367" s="33" t="s">
        <v>10434</v>
      </c>
      <c r="B4367" s="33" t="s">
        <v>10435</v>
      </c>
      <c r="C4367" s="33" t="s">
        <v>1112</v>
      </c>
      <c r="D4367" s="33" t="s">
        <v>17</v>
      </c>
      <c r="E4367" s="33" t="s">
        <v>26</v>
      </c>
      <c r="F4367" s="33" t="s">
        <v>27</v>
      </c>
      <c r="G4367" s="33" t="s">
        <v>20</v>
      </c>
      <c r="H4367" s="35">
        <v>56</v>
      </c>
      <c r="I4367" s="33" t="s">
        <v>21</v>
      </c>
      <c r="J4367" s="42">
        <v>44408</v>
      </c>
      <c r="K4367" s="33" t="s">
        <v>22</v>
      </c>
    </row>
    <row r="4368" spans="1:11">
      <c r="A4368" s="30" t="s">
        <v>10436</v>
      </c>
      <c r="B4368" s="30" t="s">
        <v>10437</v>
      </c>
      <c r="C4368" s="30" t="s">
        <v>109</v>
      </c>
      <c r="D4368" s="30" t="s">
        <v>17</v>
      </c>
      <c r="E4368" s="30" t="s">
        <v>31</v>
      </c>
      <c r="F4368" s="30" t="s">
        <v>32</v>
      </c>
      <c r="G4368" s="30" t="s">
        <v>20</v>
      </c>
      <c r="H4368" s="32">
        <v>312</v>
      </c>
      <c r="I4368" s="30" t="s">
        <v>21</v>
      </c>
      <c r="J4368" s="41">
        <v>44225</v>
      </c>
      <c r="K4368" s="30" t="s">
        <v>22</v>
      </c>
    </row>
    <row r="4369" spans="1:11">
      <c r="A4369" s="33" t="s">
        <v>10438</v>
      </c>
      <c r="B4369" s="33" t="s">
        <v>10439</v>
      </c>
      <c r="C4369" s="33" t="s">
        <v>756</v>
      </c>
      <c r="D4369" s="33" t="s">
        <v>17</v>
      </c>
      <c r="E4369" s="33" t="s">
        <v>26</v>
      </c>
      <c r="F4369" s="33" t="s">
        <v>27</v>
      </c>
      <c r="G4369" s="33" t="s">
        <v>20</v>
      </c>
      <c r="H4369" s="35">
        <v>48</v>
      </c>
      <c r="I4369" s="33" t="s">
        <v>21</v>
      </c>
      <c r="J4369" s="42">
        <v>44287</v>
      </c>
      <c r="K4369" s="33" t="s">
        <v>22</v>
      </c>
    </row>
    <row r="4370" spans="1:11">
      <c r="A4370" s="30" t="s">
        <v>10440</v>
      </c>
      <c r="B4370" s="30" t="s">
        <v>10441</v>
      </c>
      <c r="C4370" s="30" t="s">
        <v>644</v>
      </c>
      <c r="D4370" s="30" t="s">
        <v>17</v>
      </c>
      <c r="E4370" s="30" t="s">
        <v>26</v>
      </c>
      <c r="F4370" s="30" t="s">
        <v>27</v>
      </c>
      <c r="G4370" s="30" t="s">
        <v>20</v>
      </c>
      <c r="H4370" s="32">
        <v>67</v>
      </c>
      <c r="I4370" s="30" t="s">
        <v>21</v>
      </c>
      <c r="J4370" s="41">
        <v>44265</v>
      </c>
      <c r="K4370" s="30" t="s">
        <v>22</v>
      </c>
    </row>
    <row r="4371" spans="1:11">
      <c r="A4371" s="33" t="s">
        <v>10442</v>
      </c>
      <c r="B4371" s="33" t="s">
        <v>10443</v>
      </c>
      <c r="C4371" s="33" t="s">
        <v>10444</v>
      </c>
      <c r="D4371" s="33" t="s">
        <v>17</v>
      </c>
      <c r="E4371" s="33" t="s">
        <v>31</v>
      </c>
      <c r="F4371" s="33" t="s">
        <v>32</v>
      </c>
      <c r="G4371" s="33" t="s">
        <v>50</v>
      </c>
      <c r="H4371" s="35">
        <v>100</v>
      </c>
      <c r="I4371" s="33" t="s">
        <v>51</v>
      </c>
      <c r="J4371" s="42">
        <v>44531</v>
      </c>
      <c r="K4371" s="33" t="s">
        <v>22</v>
      </c>
    </row>
    <row r="4372" spans="1:11">
      <c r="A4372" s="30" t="s">
        <v>10445</v>
      </c>
      <c r="B4372" s="30" t="s">
        <v>10446</v>
      </c>
      <c r="C4372" s="30" t="s">
        <v>647</v>
      </c>
      <c r="D4372" s="30" t="s">
        <v>17</v>
      </c>
      <c r="E4372" s="30" t="s">
        <v>18</v>
      </c>
      <c r="F4372" s="30" t="s">
        <v>19</v>
      </c>
      <c r="G4372" s="30" t="s">
        <v>20</v>
      </c>
      <c r="H4372" s="32">
        <v>58</v>
      </c>
      <c r="I4372" s="30" t="s">
        <v>21</v>
      </c>
      <c r="J4372" s="41">
        <v>44237</v>
      </c>
      <c r="K4372" s="30" t="s">
        <v>22</v>
      </c>
    </row>
    <row r="4373" spans="1:11">
      <c r="A4373" s="33" t="s">
        <v>10447</v>
      </c>
      <c r="B4373" s="33" t="s">
        <v>10448</v>
      </c>
      <c r="C4373" s="33" t="s">
        <v>102</v>
      </c>
      <c r="D4373" s="33" t="s">
        <v>17</v>
      </c>
      <c r="E4373" s="33" t="s">
        <v>26</v>
      </c>
      <c r="F4373" s="33" t="s">
        <v>27</v>
      </c>
      <c r="G4373" s="33" t="s">
        <v>112</v>
      </c>
      <c r="H4373" s="35">
        <v>0</v>
      </c>
      <c r="I4373" s="33" t="s">
        <v>21</v>
      </c>
      <c r="J4373" s="42">
        <v>44364</v>
      </c>
      <c r="K4373" s="33" t="s">
        <v>22</v>
      </c>
    </row>
    <row r="4374" spans="1:11">
      <c r="A4374" s="30" t="s">
        <v>10449</v>
      </c>
      <c r="B4374" s="30" t="s">
        <v>10450</v>
      </c>
      <c r="C4374" s="30" t="s">
        <v>10451</v>
      </c>
      <c r="D4374" s="30" t="s">
        <v>17</v>
      </c>
      <c r="E4374" s="30" t="s">
        <v>67</v>
      </c>
      <c r="F4374" s="30" t="s">
        <v>68</v>
      </c>
      <c r="G4374" s="30" t="s">
        <v>20</v>
      </c>
      <c r="H4374" s="32">
        <v>20</v>
      </c>
      <c r="I4374" s="30" t="s">
        <v>21</v>
      </c>
      <c r="J4374" s="41">
        <v>44277</v>
      </c>
      <c r="K4374" s="30" t="s">
        <v>22</v>
      </c>
    </row>
    <row r="4375" spans="1:11">
      <c r="A4375" s="33" t="s">
        <v>10452</v>
      </c>
      <c r="B4375" s="33" t="s">
        <v>10453</v>
      </c>
      <c r="C4375" s="33" t="s">
        <v>10454</v>
      </c>
      <c r="D4375" s="33" t="s">
        <v>17</v>
      </c>
      <c r="E4375" s="33" t="s">
        <v>18</v>
      </c>
      <c r="F4375" s="33" t="s">
        <v>19</v>
      </c>
      <c r="G4375" s="33" t="s">
        <v>20</v>
      </c>
      <c r="H4375" s="35">
        <v>447</v>
      </c>
      <c r="I4375" s="33" t="s">
        <v>21</v>
      </c>
      <c r="J4375" s="42">
        <v>44344</v>
      </c>
      <c r="K4375" s="33" t="s">
        <v>22</v>
      </c>
    </row>
    <row r="4376" spans="1:11">
      <c r="A4376" s="30" t="s">
        <v>10455</v>
      </c>
      <c r="B4376" s="30" t="s">
        <v>10456</v>
      </c>
      <c r="C4376" s="30" t="s">
        <v>432</v>
      </c>
      <c r="D4376" s="30" t="s">
        <v>17</v>
      </c>
      <c r="E4376" s="30" t="s">
        <v>26</v>
      </c>
      <c r="F4376" s="30" t="s">
        <v>27</v>
      </c>
      <c r="G4376" s="30" t="s">
        <v>50</v>
      </c>
      <c r="H4376" s="32">
        <v>50</v>
      </c>
      <c r="I4376" s="30" t="s">
        <v>21</v>
      </c>
      <c r="J4376" s="41">
        <v>44214</v>
      </c>
      <c r="K4376" s="30" t="s">
        <v>22</v>
      </c>
    </row>
    <row r="4377" spans="1:11">
      <c r="A4377" s="33" t="s">
        <v>10457</v>
      </c>
      <c r="B4377" s="33" t="s">
        <v>10458</v>
      </c>
      <c r="C4377" s="33" t="s">
        <v>10459</v>
      </c>
      <c r="D4377" s="33" t="s">
        <v>17</v>
      </c>
      <c r="E4377" s="33" t="s">
        <v>330</v>
      </c>
      <c r="F4377" s="33" t="s">
        <v>331</v>
      </c>
      <c r="G4377" s="33" t="s">
        <v>140</v>
      </c>
      <c r="H4377" s="35">
        <v>20</v>
      </c>
      <c r="I4377" s="33" t="s">
        <v>51</v>
      </c>
      <c r="J4377" s="42">
        <v>44308</v>
      </c>
      <c r="K4377" s="33" t="s">
        <v>22</v>
      </c>
    </row>
    <row r="4378" spans="1:11">
      <c r="A4378" s="30" t="s">
        <v>10460</v>
      </c>
      <c r="B4378" s="30" t="s">
        <v>10461</v>
      </c>
      <c r="C4378" s="30" t="s">
        <v>10462</v>
      </c>
      <c r="D4378" s="30" t="s">
        <v>17</v>
      </c>
      <c r="E4378" s="30" t="s">
        <v>26</v>
      </c>
      <c r="F4378" s="30" t="s">
        <v>27</v>
      </c>
      <c r="G4378" s="30" t="s">
        <v>50</v>
      </c>
      <c r="H4378" s="32">
        <v>1500</v>
      </c>
      <c r="I4378" s="30" t="s">
        <v>51</v>
      </c>
      <c r="J4378" s="41">
        <v>44501</v>
      </c>
      <c r="K4378" s="30" t="s">
        <v>22</v>
      </c>
    </row>
    <row r="4379" spans="1:11">
      <c r="A4379" s="33" t="s">
        <v>10463</v>
      </c>
      <c r="B4379" s="33" t="s">
        <v>10464</v>
      </c>
      <c r="C4379" s="33" t="s">
        <v>1753</v>
      </c>
      <c r="D4379" s="33" t="s">
        <v>17</v>
      </c>
      <c r="E4379" s="33" t="s">
        <v>212</v>
      </c>
      <c r="F4379" s="33" t="s">
        <v>213</v>
      </c>
      <c r="G4379" s="33" t="s">
        <v>140</v>
      </c>
      <c r="H4379" s="35">
        <v>88</v>
      </c>
      <c r="I4379" s="33" t="s">
        <v>51</v>
      </c>
      <c r="J4379" s="42">
        <v>44218</v>
      </c>
      <c r="K4379" s="33" t="s">
        <v>22</v>
      </c>
    </row>
    <row r="4380" spans="1:11">
      <c r="A4380" s="30" t="s">
        <v>10465</v>
      </c>
      <c r="B4380" s="30" t="s">
        <v>10466</v>
      </c>
      <c r="C4380" s="30" t="s">
        <v>638</v>
      </c>
      <c r="D4380" s="30" t="s">
        <v>17</v>
      </c>
      <c r="E4380" s="30" t="s">
        <v>18</v>
      </c>
      <c r="F4380" s="30" t="s">
        <v>19</v>
      </c>
      <c r="G4380" s="30" t="s">
        <v>20</v>
      </c>
      <c r="H4380" s="32">
        <v>250</v>
      </c>
      <c r="I4380" s="30" t="s">
        <v>21</v>
      </c>
      <c r="J4380" s="41">
        <v>44477</v>
      </c>
      <c r="K4380" s="30" t="s">
        <v>22</v>
      </c>
    </row>
    <row r="4381" spans="1:11">
      <c r="A4381" s="33" t="s">
        <v>10467</v>
      </c>
      <c r="B4381" s="33" t="s">
        <v>10468</v>
      </c>
      <c r="C4381" s="33" t="s">
        <v>102</v>
      </c>
      <c r="D4381" s="33" t="s">
        <v>17</v>
      </c>
      <c r="E4381" s="33" t="s">
        <v>31</v>
      </c>
      <c r="F4381" s="33" t="s">
        <v>32</v>
      </c>
      <c r="G4381" s="33" t="s">
        <v>20</v>
      </c>
      <c r="H4381" s="35">
        <v>24</v>
      </c>
      <c r="I4381" s="33" t="s">
        <v>21</v>
      </c>
      <c r="J4381" s="42">
        <v>44266</v>
      </c>
      <c r="K4381" s="33" t="s">
        <v>22</v>
      </c>
    </row>
    <row r="4382" spans="1:11">
      <c r="A4382" s="30" t="s">
        <v>10469</v>
      </c>
      <c r="B4382" s="30" t="s">
        <v>10470</v>
      </c>
      <c r="C4382" s="30" t="s">
        <v>5535</v>
      </c>
      <c r="D4382" s="30" t="s">
        <v>17</v>
      </c>
      <c r="E4382" s="30" t="s">
        <v>26</v>
      </c>
      <c r="F4382" s="30" t="s">
        <v>27</v>
      </c>
      <c r="G4382" s="30" t="s">
        <v>20</v>
      </c>
      <c r="H4382" s="32">
        <v>65</v>
      </c>
      <c r="I4382" s="30" t="s">
        <v>21</v>
      </c>
      <c r="J4382" s="41">
        <v>44276</v>
      </c>
      <c r="K4382" s="30" t="s">
        <v>22</v>
      </c>
    </row>
    <row r="4383" spans="1:11">
      <c r="A4383" s="33" t="s">
        <v>10471</v>
      </c>
      <c r="B4383" s="33" t="s">
        <v>10472</v>
      </c>
      <c r="C4383" s="33" t="s">
        <v>2346</v>
      </c>
      <c r="D4383" s="33" t="s">
        <v>17</v>
      </c>
      <c r="E4383" s="33" t="s">
        <v>67</v>
      </c>
      <c r="F4383" s="33" t="s">
        <v>68</v>
      </c>
      <c r="G4383" s="33" t="s">
        <v>112</v>
      </c>
      <c r="H4383" s="35">
        <v>0</v>
      </c>
      <c r="I4383" s="33" t="s">
        <v>21</v>
      </c>
      <c r="J4383" s="42">
        <v>44440</v>
      </c>
      <c r="K4383" s="33" t="s">
        <v>22</v>
      </c>
    </row>
    <row r="4384" spans="1:11">
      <c r="A4384" s="30" t="s">
        <v>10473</v>
      </c>
      <c r="B4384" s="30" t="s">
        <v>10474</v>
      </c>
      <c r="C4384" s="30" t="s">
        <v>10475</v>
      </c>
      <c r="D4384" s="30" t="s">
        <v>17</v>
      </c>
      <c r="E4384" s="30" t="s">
        <v>31</v>
      </c>
      <c r="F4384" s="30" t="s">
        <v>32</v>
      </c>
      <c r="G4384" s="30" t="s">
        <v>20</v>
      </c>
      <c r="H4384" s="32">
        <v>43</v>
      </c>
      <c r="I4384" s="30" t="s">
        <v>21</v>
      </c>
      <c r="J4384" s="41">
        <v>44265</v>
      </c>
      <c r="K4384" s="30" t="s">
        <v>22</v>
      </c>
    </row>
    <row r="4385" spans="1:11">
      <c r="A4385" s="33" t="s">
        <v>10476</v>
      </c>
      <c r="B4385" s="33" t="s">
        <v>10477</v>
      </c>
      <c r="C4385" s="33" t="s">
        <v>795</v>
      </c>
      <c r="D4385" s="33" t="s">
        <v>17</v>
      </c>
      <c r="E4385" s="33" t="s">
        <v>67</v>
      </c>
      <c r="F4385" s="33" t="s">
        <v>68</v>
      </c>
      <c r="G4385" s="33" t="s">
        <v>106</v>
      </c>
      <c r="H4385" s="35">
        <v>179</v>
      </c>
      <c r="I4385" s="33" t="s">
        <v>21</v>
      </c>
      <c r="J4385" s="42">
        <v>44543</v>
      </c>
      <c r="K4385" s="33" t="s">
        <v>22</v>
      </c>
    </row>
    <row r="4386" spans="1:11">
      <c r="A4386" s="30" t="s">
        <v>10478</v>
      </c>
      <c r="B4386" s="30" t="s">
        <v>10479</v>
      </c>
      <c r="C4386" s="30" t="s">
        <v>684</v>
      </c>
      <c r="D4386" s="30" t="s">
        <v>17</v>
      </c>
      <c r="E4386" s="30" t="s">
        <v>26</v>
      </c>
      <c r="F4386" s="30" t="s">
        <v>27</v>
      </c>
      <c r="G4386" s="30" t="s">
        <v>106</v>
      </c>
      <c r="H4386" s="32">
        <v>45</v>
      </c>
      <c r="I4386" s="30" t="s">
        <v>21</v>
      </c>
      <c r="J4386" s="41">
        <v>44363</v>
      </c>
      <c r="K4386" s="30" t="s">
        <v>22</v>
      </c>
    </row>
    <row r="4387" spans="1:11">
      <c r="A4387" s="33" t="s">
        <v>10480</v>
      </c>
      <c r="B4387" s="33" t="s">
        <v>10481</v>
      </c>
      <c r="C4387" s="33" t="s">
        <v>10482</v>
      </c>
      <c r="D4387" s="33" t="s">
        <v>17</v>
      </c>
      <c r="E4387" s="33" t="s">
        <v>45</v>
      </c>
      <c r="F4387" s="33" t="s">
        <v>46</v>
      </c>
      <c r="G4387" s="33" t="s">
        <v>20</v>
      </c>
      <c r="H4387" s="35">
        <v>19474</v>
      </c>
      <c r="I4387" s="33" t="s">
        <v>21</v>
      </c>
      <c r="J4387" s="42">
        <v>44423</v>
      </c>
      <c r="K4387" s="33" t="s">
        <v>22</v>
      </c>
    </row>
    <row r="4388" spans="1:11">
      <c r="A4388" s="30" t="s">
        <v>10483</v>
      </c>
      <c r="B4388" s="30" t="s">
        <v>10484</v>
      </c>
      <c r="C4388" s="30" t="s">
        <v>10485</v>
      </c>
      <c r="D4388" s="30" t="s">
        <v>17</v>
      </c>
      <c r="E4388" s="30" t="s">
        <v>45</v>
      </c>
      <c r="F4388" s="30" t="s">
        <v>46</v>
      </c>
      <c r="G4388" s="30" t="s">
        <v>50</v>
      </c>
      <c r="H4388" s="32">
        <v>44</v>
      </c>
      <c r="I4388" s="30" t="s">
        <v>21</v>
      </c>
      <c r="J4388" s="41">
        <v>44301</v>
      </c>
      <c r="K4388" s="30" t="s">
        <v>22</v>
      </c>
    </row>
    <row r="4389" spans="1:11">
      <c r="A4389" s="33" t="s">
        <v>10486</v>
      </c>
      <c r="B4389" s="33" t="s">
        <v>10487</v>
      </c>
      <c r="C4389" s="33" t="s">
        <v>2703</v>
      </c>
      <c r="D4389" s="33" t="s">
        <v>17</v>
      </c>
      <c r="E4389" s="33" t="s">
        <v>31</v>
      </c>
      <c r="F4389" s="33" t="s">
        <v>32</v>
      </c>
      <c r="G4389" s="33" t="s">
        <v>20</v>
      </c>
      <c r="H4389" s="35">
        <v>18</v>
      </c>
      <c r="I4389" s="33" t="s">
        <v>21</v>
      </c>
      <c r="J4389" s="42">
        <v>44264</v>
      </c>
      <c r="K4389" s="33" t="s">
        <v>22</v>
      </c>
    </row>
    <row r="4390" spans="1:11">
      <c r="A4390" s="30" t="s">
        <v>10488</v>
      </c>
      <c r="B4390" s="30" t="s">
        <v>10489</v>
      </c>
      <c r="C4390" s="30" t="s">
        <v>10490</v>
      </c>
      <c r="D4390" s="30" t="s">
        <v>17</v>
      </c>
      <c r="E4390" s="30" t="s">
        <v>45</v>
      </c>
      <c r="F4390" s="30" t="s">
        <v>46</v>
      </c>
      <c r="G4390" s="30" t="s">
        <v>50</v>
      </c>
      <c r="H4390" s="32">
        <v>140</v>
      </c>
      <c r="I4390" s="30" t="s">
        <v>51</v>
      </c>
      <c r="J4390" s="41">
        <v>44342</v>
      </c>
      <c r="K4390" s="30" t="s">
        <v>22</v>
      </c>
    </row>
    <row r="4391" spans="1:11">
      <c r="A4391" s="33" t="s">
        <v>10491</v>
      </c>
      <c r="B4391" s="33" t="s">
        <v>10492</v>
      </c>
      <c r="C4391" s="33" t="s">
        <v>2927</v>
      </c>
      <c r="D4391" s="33" t="s">
        <v>17</v>
      </c>
      <c r="E4391" s="33" t="s">
        <v>18</v>
      </c>
      <c r="F4391" s="33" t="s">
        <v>19</v>
      </c>
      <c r="G4391" s="33" t="s">
        <v>2613</v>
      </c>
      <c r="H4391" s="35">
        <v>139</v>
      </c>
      <c r="I4391" s="33" t="s">
        <v>51</v>
      </c>
      <c r="J4391" s="42">
        <v>44400</v>
      </c>
      <c r="K4391" s="33" t="s">
        <v>22</v>
      </c>
    </row>
    <row r="4392" spans="1:11">
      <c r="A4392" s="30" t="s">
        <v>10493</v>
      </c>
      <c r="B4392" s="30" t="s">
        <v>10494</v>
      </c>
      <c r="C4392" s="30" t="s">
        <v>894</v>
      </c>
      <c r="D4392" s="30" t="s">
        <v>17</v>
      </c>
      <c r="E4392" s="30" t="s">
        <v>26</v>
      </c>
      <c r="F4392" s="30" t="s">
        <v>27</v>
      </c>
      <c r="G4392" s="30" t="s">
        <v>20</v>
      </c>
      <c r="H4392" s="32">
        <v>50</v>
      </c>
      <c r="I4392" s="30" t="s">
        <v>21</v>
      </c>
      <c r="J4392" s="41">
        <v>44250</v>
      </c>
      <c r="K4392" s="30" t="s">
        <v>22</v>
      </c>
    </row>
    <row r="4393" spans="1:11">
      <c r="A4393" s="33" t="s">
        <v>10495</v>
      </c>
      <c r="B4393" s="33" t="s">
        <v>10496</v>
      </c>
      <c r="C4393" s="33" t="s">
        <v>4476</v>
      </c>
      <c r="D4393" s="33" t="s">
        <v>17</v>
      </c>
      <c r="E4393" s="33" t="s">
        <v>26</v>
      </c>
      <c r="F4393" s="33" t="s">
        <v>27</v>
      </c>
      <c r="G4393" s="33" t="s">
        <v>20</v>
      </c>
      <c r="H4393" s="35">
        <v>15</v>
      </c>
      <c r="I4393" s="33" t="s">
        <v>21</v>
      </c>
      <c r="J4393" s="42">
        <v>44197</v>
      </c>
      <c r="K4393" s="33" t="s">
        <v>22</v>
      </c>
    </row>
    <row r="4394" spans="1:11">
      <c r="A4394" s="30" t="s">
        <v>10497</v>
      </c>
      <c r="B4394" s="30" t="s">
        <v>10498</v>
      </c>
      <c r="C4394" s="30" t="s">
        <v>109</v>
      </c>
      <c r="D4394" s="30" t="s">
        <v>17</v>
      </c>
      <c r="E4394" s="30" t="s">
        <v>18</v>
      </c>
      <c r="F4394" s="30" t="s">
        <v>19</v>
      </c>
      <c r="G4394" s="30" t="s">
        <v>20</v>
      </c>
      <c r="H4394" s="32">
        <v>199</v>
      </c>
      <c r="I4394" s="30" t="s">
        <v>21</v>
      </c>
      <c r="J4394" s="41">
        <v>44482</v>
      </c>
      <c r="K4394" s="30" t="s">
        <v>22</v>
      </c>
    </row>
    <row r="4395" spans="1:11">
      <c r="A4395" s="33" t="s">
        <v>10499</v>
      </c>
      <c r="B4395" s="33" t="s">
        <v>10500</v>
      </c>
      <c r="C4395" s="33" t="s">
        <v>2618</v>
      </c>
      <c r="D4395" s="33" t="s">
        <v>17</v>
      </c>
      <c r="E4395" s="33" t="s">
        <v>26</v>
      </c>
      <c r="F4395" s="33" t="s">
        <v>27</v>
      </c>
      <c r="G4395" s="33" t="s">
        <v>20</v>
      </c>
      <c r="H4395" s="35">
        <v>23</v>
      </c>
      <c r="I4395" s="33" t="s">
        <v>21</v>
      </c>
      <c r="J4395" s="42">
        <v>44209</v>
      </c>
      <c r="K4395" s="33" t="s">
        <v>22</v>
      </c>
    </row>
    <row r="4396" spans="1:11">
      <c r="A4396" s="30" t="s">
        <v>10501</v>
      </c>
      <c r="B4396" s="30" t="s">
        <v>10502</v>
      </c>
      <c r="C4396" s="30" t="s">
        <v>10503</v>
      </c>
      <c r="D4396" s="30" t="s">
        <v>17</v>
      </c>
      <c r="E4396" s="30" t="s">
        <v>67</v>
      </c>
      <c r="F4396" s="30" t="s">
        <v>68</v>
      </c>
      <c r="G4396" s="30" t="s">
        <v>20</v>
      </c>
      <c r="H4396" s="32">
        <v>40</v>
      </c>
      <c r="I4396" s="30" t="s">
        <v>21</v>
      </c>
      <c r="J4396" s="41">
        <v>44460</v>
      </c>
      <c r="K4396" s="30" t="s">
        <v>22</v>
      </c>
    </row>
    <row r="4397" spans="1:11">
      <c r="A4397" s="33" t="s">
        <v>10504</v>
      </c>
      <c r="B4397" s="33" t="s">
        <v>10505</v>
      </c>
      <c r="C4397" s="33" t="s">
        <v>7237</v>
      </c>
      <c r="D4397" s="33" t="s">
        <v>17</v>
      </c>
      <c r="E4397" s="33" t="s">
        <v>67</v>
      </c>
      <c r="F4397" s="33" t="s">
        <v>68</v>
      </c>
      <c r="G4397" s="33" t="s">
        <v>20</v>
      </c>
      <c r="H4397" s="35">
        <v>14</v>
      </c>
      <c r="I4397" s="33" t="s">
        <v>21</v>
      </c>
      <c r="J4397" s="42">
        <v>44497</v>
      </c>
      <c r="K4397" s="33" t="s">
        <v>22</v>
      </c>
    </row>
    <row r="4398" spans="1:11">
      <c r="A4398" s="30" t="s">
        <v>10506</v>
      </c>
      <c r="B4398" s="30" t="s">
        <v>10507</v>
      </c>
      <c r="C4398" s="30" t="s">
        <v>10508</v>
      </c>
      <c r="D4398" s="30" t="s">
        <v>17</v>
      </c>
      <c r="E4398" s="30" t="s">
        <v>45</v>
      </c>
      <c r="F4398" s="30" t="s">
        <v>46</v>
      </c>
      <c r="G4398" s="30" t="s">
        <v>20</v>
      </c>
      <c r="H4398" s="32">
        <v>22</v>
      </c>
      <c r="I4398" s="30" t="s">
        <v>21</v>
      </c>
      <c r="J4398" s="41">
        <v>44313</v>
      </c>
      <c r="K4398" s="30" t="s">
        <v>22</v>
      </c>
    </row>
    <row r="4399" spans="1:11">
      <c r="A4399" s="33" t="s">
        <v>10509</v>
      </c>
      <c r="B4399" s="33" t="s">
        <v>10510</v>
      </c>
      <c r="C4399" s="33" t="s">
        <v>78</v>
      </c>
      <c r="D4399" s="33" t="s">
        <v>17</v>
      </c>
      <c r="E4399" s="33" t="s">
        <v>26</v>
      </c>
      <c r="F4399" s="33" t="s">
        <v>27</v>
      </c>
      <c r="G4399" s="33" t="s">
        <v>20</v>
      </c>
      <c r="H4399" s="35">
        <v>27</v>
      </c>
      <c r="I4399" s="33" t="s">
        <v>21</v>
      </c>
      <c r="J4399" s="42">
        <v>44302</v>
      </c>
      <c r="K4399" s="33" t="s">
        <v>22</v>
      </c>
    </row>
    <row r="4400" spans="1:11">
      <c r="A4400" s="30" t="s">
        <v>10511</v>
      </c>
      <c r="B4400" s="30" t="s">
        <v>10512</v>
      </c>
      <c r="C4400" s="30" t="s">
        <v>8926</v>
      </c>
      <c r="D4400" s="30" t="s">
        <v>17</v>
      </c>
      <c r="E4400" s="30" t="s">
        <v>31</v>
      </c>
      <c r="F4400" s="30" t="s">
        <v>32</v>
      </c>
      <c r="G4400" s="30" t="s">
        <v>158</v>
      </c>
      <c r="H4400" s="32">
        <v>60</v>
      </c>
      <c r="I4400" s="30" t="s">
        <v>51</v>
      </c>
      <c r="J4400" s="41">
        <v>44216</v>
      </c>
      <c r="K4400" s="30" t="s">
        <v>22</v>
      </c>
    </row>
    <row r="4401" spans="1:11">
      <c r="A4401" s="33" t="s">
        <v>10513</v>
      </c>
      <c r="B4401" s="33" t="s">
        <v>10514</v>
      </c>
      <c r="C4401" s="33" t="s">
        <v>10515</v>
      </c>
      <c r="D4401" s="33" t="s">
        <v>17</v>
      </c>
      <c r="E4401" s="33" t="s">
        <v>31</v>
      </c>
      <c r="F4401" s="33" t="s">
        <v>32</v>
      </c>
      <c r="G4401" s="33" t="s">
        <v>106</v>
      </c>
      <c r="H4401" s="35">
        <v>23</v>
      </c>
      <c r="I4401" s="33" t="s">
        <v>21</v>
      </c>
      <c r="J4401" s="42">
        <v>44392</v>
      </c>
      <c r="K4401" s="33" t="s">
        <v>22</v>
      </c>
    </row>
    <row r="4402" spans="1:11">
      <c r="A4402" s="30" t="s">
        <v>10516</v>
      </c>
      <c r="B4402" s="30" t="s">
        <v>10517</v>
      </c>
      <c r="C4402" s="30" t="s">
        <v>2421</v>
      </c>
      <c r="D4402" s="30" t="s">
        <v>17</v>
      </c>
      <c r="E4402" s="30" t="s">
        <v>31</v>
      </c>
      <c r="F4402" s="30" t="s">
        <v>32</v>
      </c>
      <c r="G4402" s="30" t="s">
        <v>20</v>
      </c>
      <c r="H4402" s="32">
        <v>132</v>
      </c>
      <c r="I4402" s="30" t="s">
        <v>21</v>
      </c>
      <c r="J4402" s="41">
        <v>44323</v>
      </c>
      <c r="K4402" s="30" t="s">
        <v>22</v>
      </c>
    </row>
    <row r="4403" spans="1:11">
      <c r="A4403" s="33" t="s">
        <v>10518</v>
      </c>
      <c r="B4403" s="33" t="s">
        <v>10519</v>
      </c>
      <c r="C4403" s="33" t="s">
        <v>2709</v>
      </c>
      <c r="D4403" s="33" t="s">
        <v>17</v>
      </c>
      <c r="E4403" s="33" t="s">
        <v>67</v>
      </c>
      <c r="F4403" s="33" t="s">
        <v>68</v>
      </c>
      <c r="G4403" s="33" t="s">
        <v>50</v>
      </c>
      <c r="H4403" s="35">
        <v>72</v>
      </c>
      <c r="I4403" s="33" t="s">
        <v>51</v>
      </c>
      <c r="J4403" s="42">
        <v>44540</v>
      </c>
      <c r="K4403" s="33" t="s">
        <v>22</v>
      </c>
    </row>
    <row r="4404" spans="1:11">
      <c r="A4404" s="30" t="s">
        <v>10520</v>
      </c>
      <c r="B4404" s="30" t="s">
        <v>10521</v>
      </c>
      <c r="C4404" s="30" t="s">
        <v>10522</v>
      </c>
      <c r="D4404" s="30" t="s">
        <v>17</v>
      </c>
      <c r="E4404" s="30" t="s">
        <v>31</v>
      </c>
      <c r="F4404" s="30" t="s">
        <v>32</v>
      </c>
      <c r="G4404" s="30" t="s">
        <v>20</v>
      </c>
      <c r="H4404" s="32">
        <v>134</v>
      </c>
      <c r="I4404" s="30" t="s">
        <v>21</v>
      </c>
      <c r="J4404" s="41">
        <v>44207</v>
      </c>
      <c r="K4404" s="30" t="s">
        <v>22</v>
      </c>
    </row>
    <row r="4405" spans="1:11">
      <c r="A4405" s="33" t="s">
        <v>10523</v>
      </c>
      <c r="B4405" s="33" t="s">
        <v>10524</v>
      </c>
      <c r="C4405" s="33" t="s">
        <v>1305</v>
      </c>
      <c r="D4405" s="33" t="s">
        <v>17</v>
      </c>
      <c r="E4405" s="33" t="s">
        <v>18</v>
      </c>
      <c r="F4405" s="33" t="s">
        <v>19</v>
      </c>
      <c r="G4405" s="33" t="s">
        <v>20</v>
      </c>
      <c r="H4405" s="35">
        <v>32</v>
      </c>
      <c r="I4405" s="33" t="s">
        <v>21</v>
      </c>
      <c r="J4405" s="42">
        <v>44282</v>
      </c>
      <c r="K4405" s="33" t="s">
        <v>22</v>
      </c>
    </row>
    <row r="4406" spans="1:11">
      <c r="A4406" s="30" t="s">
        <v>10525</v>
      </c>
      <c r="B4406" s="30" t="s">
        <v>10526</v>
      </c>
      <c r="C4406" s="30" t="s">
        <v>10527</v>
      </c>
      <c r="D4406" s="30" t="s">
        <v>17</v>
      </c>
      <c r="E4406" s="30" t="s">
        <v>31</v>
      </c>
      <c r="F4406" s="30" t="s">
        <v>32</v>
      </c>
      <c r="G4406" s="30" t="s">
        <v>158</v>
      </c>
      <c r="H4406" s="32">
        <v>80</v>
      </c>
      <c r="I4406" s="30" t="s">
        <v>51</v>
      </c>
      <c r="J4406" s="41">
        <v>44501</v>
      </c>
      <c r="K4406" s="30" t="s">
        <v>22</v>
      </c>
    </row>
    <row r="4407" spans="1:11">
      <c r="A4407" s="33" t="s">
        <v>10528</v>
      </c>
      <c r="B4407" s="33" t="s">
        <v>10529</v>
      </c>
      <c r="C4407" s="33" t="s">
        <v>10530</v>
      </c>
      <c r="D4407" s="33" t="s">
        <v>17</v>
      </c>
      <c r="E4407" s="33" t="s">
        <v>26</v>
      </c>
      <c r="F4407" s="33" t="s">
        <v>27</v>
      </c>
      <c r="G4407" s="33" t="s">
        <v>20</v>
      </c>
      <c r="H4407" s="35">
        <v>25</v>
      </c>
      <c r="I4407" s="33" t="s">
        <v>21</v>
      </c>
      <c r="J4407" s="42">
        <v>44320</v>
      </c>
      <c r="K4407" s="33" t="s">
        <v>22</v>
      </c>
    </row>
    <row r="4408" spans="1:11">
      <c r="A4408" s="30" t="s">
        <v>10531</v>
      </c>
      <c r="B4408" s="30" t="s">
        <v>10532</v>
      </c>
      <c r="C4408" s="30" t="s">
        <v>5857</v>
      </c>
      <c r="D4408" s="30" t="s">
        <v>17</v>
      </c>
      <c r="E4408" s="30" t="s">
        <v>26</v>
      </c>
      <c r="F4408" s="30" t="s">
        <v>27</v>
      </c>
      <c r="G4408" s="30" t="s">
        <v>20</v>
      </c>
      <c r="H4408" s="32">
        <v>54</v>
      </c>
      <c r="I4408" s="30" t="s">
        <v>21</v>
      </c>
      <c r="J4408" s="41">
        <v>44480</v>
      </c>
      <c r="K4408" s="30" t="s">
        <v>22</v>
      </c>
    </row>
    <row r="4409" spans="1:11">
      <c r="A4409" s="33" t="s">
        <v>10533</v>
      </c>
      <c r="B4409" s="33" t="s">
        <v>10534</v>
      </c>
      <c r="C4409" s="33" t="s">
        <v>10535</v>
      </c>
      <c r="D4409" s="33" t="s">
        <v>17</v>
      </c>
      <c r="E4409" s="33" t="s">
        <v>26</v>
      </c>
      <c r="F4409" s="33" t="s">
        <v>27</v>
      </c>
      <c r="G4409" s="33" t="s">
        <v>50</v>
      </c>
      <c r="H4409" s="35">
        <v>48</v>
      </c>
      <c r="I4409" s="33" t="s">
        <v>51</v>
      </c>
      <c r="J4409" s="42">
        <v>44229</v>
      </c>
      <c r="K4409" s="33" t="s">
        <v>22</v>
      </c>
    </row>
    <row r="4410" spans="1:11">
      <c r="A4410" s="30" t="s">
        <v>10536</v>
      </c>
      <c r="B4410" s="30" t="s">
        <v>10537</v>
      </c>
      <c r="C4410" s="30" t="s">
        <v>4863</v>
      </c>
      <c r="D4410" s="30" t="s">
        <v>17</v>
      </c>
      <c r="E4410" s="30" t="s">
        <v>18</v>
      </c>
      <c r="F4410" s="30" t="s">
        <v>19</v>
      </c>
      <c r="G4410" s="30" t="s">
        <v>112</v>
      </c>
      <c r="H4410" s="32">
        <v>0</v>
      </c>
      <c r="I4410" s="30" t="s">
        <v>21</v>
      </c>
      <c r="J4410" s="41">
        <v>44442</v>
      </c>
      <c r="K4410" s="30" t="s">
        <v>22</v>
      </c>
    </row>
    <row r="4411" spans="1:11">
      <c r="A4411" s="33" t="s">
        <v>10538</v>
      </c>
      <c r="B4411" s="33" t="s">
        <v>10539</v>
      </c>
      <c r="C4411" s="33" t="s">
        <v>9895</v>
      </c>
      <c r="D4411" s="33" t="s">
        <v>17</v>
      </c>
      <c r="E4411" s="33" t="s">
        <v>31</v>
      </c>
      <c r="F4411" s="33" t="s">
        <v>32</v>
      </c>
      <c r="G4411" s="33" t="s">
        <v>106</v>
      </c>
      <c r="H4411" s="35">
        <v>33</v>
      </c>
      <c r="I4411" s="33" t="s">
        <v>21</v>
      </c>
      <c r="J4411" s="42">
        <v>44353</v>
      </c>
      <c r="K4411" s="33" t="s">
        <v>22</v>
      </c>
    </row>
    <row r="4412" spans="1:11">
      <c r="A4412" s="30" t="s">
        <v>10540</v>
      </c>
      <c r="B4412" s="30" t="s">
        <v>10541</v>
      </c>
      <c r="C4412" s="30" t="s">
        <v>203</v>
      </c>
      <c r="D4412" s="30" t="s">
        <v>17</v>
      </c>
      <c r="E4412" s="30" t="s">
        <v>31</v>
      </c>
      <c r="F4412" s="30" t="s">
        <v>32</v>
      </c>
      <c r="G4412" s="30" t="s">
        <v>158</v>
      </c>
      <c r="H4412" s="32">
        <v>129</v>
      </c>
      <c r="I4412" s="30" t="s">
        <v>21</v>
      </c>
      <c r="J4412" s="41">
        <v>44354</v>
      </c>
      <c r="K4412" s="30" t="s">
        <v>22</v>
      </c>
    </row>
    <row r="4413" spans="1:11">
      <c r="A4413" s="33" t="s">
        <v>10542</v>
      </c>
      <c r="B4413" s="33" t="s">
        <v>10543</v>
      </c>
      <c r="C4413" s="33" t="s">
        <v>187</v>
      </c>
      <c r="D4413" s="33" t="s">
        <v>17</v>
      </c>
      <c r="E4413" s="33" t="s">
        <v>67</v>
      </c>
      <c r="F4413" s="33" t="s">
        <v>68</v>
      </c>
      <c r="G4413" s="33" t="s">
        <v>20</v>
      </c>
      <c r="H4413" s="35">
        <v>12</v>
      </c>
      <c r="I4413" s="33" t="s">
        <v>21</v>
      </c>
      <c r="J4413" s="42">
        <v>44506</v>
      </c>
      <c r="K4413" s="33" t="s">
        <v>22</v>
      </c>
    </row>
    <row r="4414" spans="1:11">
      <c r="A4414" s="30" t="s">
        <v>10544</v>
      </c>
      <c r="B4414" s="30" t="s">
        <v>10545</v>
      </c>
      <c r="C4414" s="30" t="s">
        <v>10546</v>
      </c>
      <c r="D4414" s="30" t="s">
        <v>17</v>
      </c>
      <c r="E4414" s="30" t="s">
        <v>26</v>
      </c>
      <c r="F4414" s="30" t="s">
        <v>27</v>
      </c>
      <c r="G4414" s="30" t="s">
        <v>20</v>
      </c>
      <c r="H4414" s="32">
        <v>24</v>
      </c>
      <c r="I4414" s="30" t="s">
        <v>21</v>
      </c>
      <c r="J4414" s="41">
        <v>44203</v>
      </c>
      <c r="K4414" s="30" t="s">
        <v>22</v>
      </c>
    </row>
    <row r="4415" spans="1:11">
      <c r="A4415" s="33" t="s">
        <v>10547</v>
      </c>
      <c r="B4415" s="33" t="s">
        <v>10548</v>
      </c>
      <c r="C4415" s="33" t="s">
        <v>10549</v>
      </c>
      <c r="D4415" s="33" t="s">
        <v>17</v>
      </c>
      <c r="E4415" s="33" t="s">
        <v>45</v>
      </c>
      <c r="F4415" s="33" t="s">
        <v>46</v>
      </c>
      <c r="G4415" s="33" t="s">
        <v>50</v>
      </c>
      <c r="H4415" s="35">
        <v>15</v>
      </c>
      <c r="I4415" s="33" t="s">
        <v>51</v>
      </c>
      <c r="J4415" s="42">
        <v>44278</v>
      </c>
      <c r="K4415" s="33" t="s">
        <v>22</v>
      </c>
    </row>
    <row r="4416" spans="1:11">
      <c r="A4416" s="30" t="s">
        <v>10550</v>
      </c>
      <c r="B4416" s="30" t="s">
        <v>10551</v>
      </c>
      <c r="C4416" s="30" t="s">
        <v>4817</v>
      </c>
      <c r="D4416" s="30" t="s">
        <v>17</v>
      </c>
      <c r="E4416" s="30" t="s">
        <v>26</v>
      </c>
      <c r="F4416" s="30" t="s">
        <v>27</v>
      </c>
      <c r="G4416" s="30" t="s">
        <v>50</v>
      </c>
      <c r="H4416" s="32">
        <v>130</v>
      </c>
      <c r="I4416" s="30" t="s">
        <v>51</v>
      </c>
      <c r="J4416" s="41">
        <v>44298</v>
      </c>
      <c r="K4416" s="30" t="s">
        <v>22</v>
      </c>
    </row>
    <row r="4417" spans="1:11">
      <c r="A4417" s="33" t="s">
        <v>10552</v>
      </c>
      <c r="B4417" s="33" t="s">
        <v>10553</v>
      </c>
      <c r="C4417" s="33" t="s">
        <v>1042</v>
      </c>
      <c r="D4417" s="33" t="s">
        <v>17</v>
      </c>
      <c r="E4417" s="33" t="s">
        <v>18</v>
      </c>
      <c r="F4417" s="33" t="s">
        <v>19</v>
      </c>
      <c r="G4417" s="33" t="s">
        <v>20</v>
      </c>
      <c r="H4417" s="35">
        <v>361</v>
      </c>
      <c r="I4417" s="33" t="s">
        <v>21</v>
      </c>
      <c r="J4417" s="42">
        <v>44436</v>
      </c>
      <c r="K4417" s="33" t="s">
        <v>22</v>
      </c>
    </row>
    <row r="4418" spans="1:11">
      <c r="A4418" s="30" t="s">
        <v>10554</v>
      </c>
      <c r="B4418" s="30" t="s">
        <v>10555</v>
      </c>
      <c r="C4418" s="30" t="s">
        <v>10556</v>
      </c>
      <c r="D4418" s="30" t="s">
        <v>17</v>
      </c>
      <c r="E4418" s="30" t="s">
        <v>31</v>
      </c>
      <c r="F4418" s="30" t="s">
        <v>32</v>
      </c>
      <c r="G4418" s="30" t="s">
        <v>158</v>
      </c>
      <c r="H4418" s="32">
        <v>1287</v>
      </c>
      <c r="I4418" s="30" t="s">
        <v>21</v>
      </c>
      <c r="J4418" s="41">
        <v>44229</v>
      </c>
      <c r="K4418" s="30" t="s">
        <v>22</v>
      </c>
    </row>
    <row r="4419" spans="1:11">
      <c r="A4419" s="33" t="s">
        <v>10557</v>
      </c>
      <c r="B4419" s="33" t="s">
        <v>10558</v>
      </c>
      <c r="C4419" s="33" t="s">
        <v>3655</v>
      </c>
      <c r="D4419" s="33" t="s">
        <v>17</v>
      </c>
      <c r="E4419" s="33" t="s">
        <v>18</v>
      </c>
      <c r="F4419" s="33" t="s">
        <v>19</v>
      </c>
      <c r="G4419" s="33" t="s">
        <v>20</v>
      </c>
      <c r="H4419" s="35">
        <v>629</v>
      </c>
      <c r="I4419" s="33" t="s">
        <v>21</v>
      </c>
      <c r="J4419" s="42">
        <v>44287</v>
      </c>
      <c r="K4419" s="33" t="s">
        <v>22</v>
      </c>
    </row>
    <row r="4420" spans="1:11">
      <c r="A4420" s="30" t="s">
        <v>10559</v>
      </c>
      <c r="B4420" s="30" t="s">
        <v>10560</v>
      </c>
      <c r="C4420" s="30" t="s">
        <v>6658</v>
      </c>
      <c r="D4420" s="30" t="s">
        <v>17</v>
      </c>
      <c r="E4420" s="30" t="s">
        <v>67</v>
      </c>
      <c r="F4420" s="30" t="s">
        <v>68</v>
      </c>
      <c r="G4420" s="30" t="s">
        <v>106</v>
      </c>
      <c r="H4420" s="32">
        <v>31</v>
      </c>
      <c r="I4420" s="30" t="s">
        <v>21</v>
      </c>
      <c r="J4420" s="41">
        <v>44252</v>
      </c>
      <c r="K4420" s="30" t="s">
        <v>22</v>
      </c>
    </row>
    <row r="4421" spans="1:11">
      <c r="A4421" s="33" t="s">
        <v>10561</v>
      </c>
      <c r="B4421" s="33" t="s">
        <v>10562</v>
      </c>
      <c r="C4421" s="33" t="s">
        <v>96</v>
      </c>
      <c r="D4421" s="33" t="s">
        <v>17</v>
      </c>
      <c r="E4421" s="33" t="s">
        <v>26</v>
      </c>
      <c r="F4421" s="33" t="s">
        <v>27</v>
      </c>
      <c r="G4421" s="33" t="s">
        <v>20</v>
      </c>
      <c r="H4421" s="35">
        <v>29</v>
      </c>
      <c r="I4421" s="33" t="s">
        <v>21</v>
      </c>
      <c r="J4421" s="42">
        <v>44426</v>
      </c>
      <c r="K4421" s="33" t="s">
        <v>22</v>
      </c>
    </row>
    <row r="4422" spans="1:11">
      <c r="A4422" s="30" t="s">
        <v>10563</v>
      </c>
      <c r="B4422" s="30" t="s">
        <v>10564</v>
      </c>
      <c r="C4422" s="30" t="s">
        <v>93</v>
      </c>
      <c r="D4422" s="30" t="s">
        <v>17</v>
      </c>
      <c r="E4422" s="30" t="s">
        <v>31</v>
      </c>
      <c r="F4422" s="30" t="s">
        <v>32</v>
      </c>
      <c r="G4422" s="30" t="s">
        <v>20</v>
      </c>
      <c r="H4422" s="32">
        <v>79</v>
      </c>
      <c r="I4422" s="30" t="s">
        <v>21</v>
      </c>
      <c r="J4422" s="41">
        <v>44488</v>
      </c>
      <c r="K4422" s="30" t="s">
        <v>22</v>
      </c>
    </row>
    <row r="4423" spans="1:11">
      <c r="A4423" s="33" t="s">
        <v>10565</v>
      </c>
      <c r="B4423" s="33" t="s">
        <v>10566</v>
      </c>
      <c r="C4423" s="33" t="s">
        <v>2490</v>
      </c>
      <c r="D4423" s="33" t="s">
        <v>17</v>
      </c>
      <c r="E4423" s="33" t="s">
        <v>26</v>
      </c>
      <c r="F4423" s="33" t="s">
        <v>27</v>
      </c>
      <c r="G4423" s="33" t="s">
        <v>20</v>
      </c>
      <c r="H4423" s="35">
        <v>89</v>
      </c>
      <c r="I4423" s="33" t="s">
        <v>21</v>
      </c>
      <c r="J4423" s="42">
        <v>44447</v>
      </c>
      <c r="K4423" s="33" t="s">
        <v>22</v>
      </c>
    </row>
    <row r="4424" spans="1:11">
      <c r="A4424" s="30" t="s">
        <v>10567</v>
      </c>
      <c r="B4424" s="30" t="s">
        <v>10568</v>
      </c>
      <c r="C4424" s="30" t="s">
        <v>10569</v>
      </c>
      <c r="D4424" s="30" t="s">
        <v>17</v>
      </c>
      <c r="E4424" s="30" t="s">
        <v>31</v>
      </c>
      <c r="F4424" s="30" t="s">
        <v>32</v>
      </c>
      <c r="G4424" s="30" t="s">
        <v>20</v>
      </c>
      <c r="H4424" s="32">
        <v>887</v>
      </c>
      <c r="I4424" s="30" t="s">
        <v>21</v>
      </c>
      <c r="J4424" s="41">
        <v>44516</v>
      </c>
      <c r="K4424" s="30" t="s">
        <v>22</v>
      </c>
    </row>
    <row r="4425" spans="1:11">
      <c r="A4425" s="33" t="s">
        <v>10570</v>
      </c>
      <c r="B4425" s="33" t="s">
        <v>10571</v>
      </c>
      <c r="C4425" s="33" t="s">
        <v>54</v>
      </c>
      <c r="D4425" s="33" t="s">
        <v>17</v>
      </c>
      <c r="E4425" s="33" t="s">
        <v>18</v>
      </c>
      <c r="F4425" s="33" t="s">
        <v>19</v>
      </c>
      <c r="G4425" s="33" t="s">
        <v>140</v>
      </c>
      <c r="H4425" s="35">
        <v>301</v>
      </c>
      <c r="I4425" s="33" t="s">
        <v>51</v>
      </c>
      <c r="J4425" s="42">
        <v>44418</v>
      </c>
      <c r="K4425" s="33" t="s">
        <v>22</v>
      </c>
    </row>
    <row r="4426" spans="1:11">
      <c r="A4426" s="30" t="s">
        <v>10572</v>
      </c>
      <c r="B4426" s="30" t="s">
        <v>10573</v>
      </c>
      <c r="C4426" s="30" t="s">
        <v>7938</v>
      </c>
      <c r="D4426" s="30" t="s">
        <v>17</v>
      </c>
      <c r="E4426" s="30" t="s">
        <v>18</v>
      </c>
      <c r="F4426" s="30" t="s">
        <v>19</v>
      </c>
      <c r="G4426" s="30" t="s">
        <v>106</v>
      </c>
      <c r="H4426" s="32">
        <v>48</v>
      </c>
      <c r="I4426" s="30" t="s">
        <v>21</v>
      </c>
      <c r="J4426" s="41">
        <v>44517</v>
      </c>
      <c r="K4426" s="30" t="s">
        <v>22</v>
      </c>
    </row>
    <row r="4427" spans="1:11">
      <c r="A4427" s="33" t="s">
        <v>10574</v>
      </c>
      <c r="B4427" s="33" t="s">
        <v>10575</v>
      </c>
      <c r="C4427" s="33" t="s">
        <v>231</v>
      </c>
      <c r="D4427" s="33" t="s">
        <v>17</v>
      </c>
      <c r="E4427" s="33" t="s">
        <v>26</v>
      </c>
      <c r="F4427" s="33" t="s">
        <v>27</v>
      </c>
      <c r="G4427" s="33" t="s">
        <v>20</v>
      </c>
      <c r="H4427" s="35">
        <v>24</v>
      </c>
      <c r="I4427" s="33" t="s">
        <v>21</v>
      </c>
      <c r="J4427" s="42">
        <v>44203</v>
      </c>
      <c r="K4427" s="33" t="s">
        <v>22</v>
      </c>
    </row>
    <row r="4428" spans="1:11">
      <c r="A4428" s="30" t="s">
        <v>10576</v>
      </c>
      <c r="B4428" s="30" t="s">
        <v>10577</v>
      </c>
      <c r="C4428" s="30" t="s">
        <v>570</v>
      </c>
      <c r="D4428" s="30" t="s">
        <v>17</v>
      </c>
      <c r="E4428" s="30" t="s">
        <v>18</v>
      </c>
      <c r="F4428" s="30" t="s">
        <v>19</v>
      </c>
      <c r="G4428" s="30" t="s">
        <v>50</v>
      </c>
      <c r="H4428" s="32">
        <v>53</v>
      </c>
      <c r="I4428" s="30" t="s">
        <v>51</v>
      </c>
      <c r="J4428" s="41">
        <v>44278</v>
      </c>
      <c r="K4428" s="30" t="s">
        <v>22</v>
      </c>
    </row>
    <row r="4429" spans="1:11">
      <c r="A4429" s="33" t="s">
        <v>10578</v>
      </c>
      <c r="B4429" s="33" t="s">
        <v>10579</v>
      </c>
      <c r="C4429" s="33" t="s">
        <v>10580</v>
      </c>
      <c r="D4429" s="33" t="s">
        <v>17</v>
      </c>
      <c r="E4429" s="33" t="s">
        <v>26</v>
      </c>
      <c r="F4429" s="33" t="s">
        <v>27</v>
      </c>
      <c r="G4429" s="33" t="s">
        <v>20</v>
      </c>
      <c r="H4429" s="35">
        <v>48</v>
      </c>
      <c r="I4429" s="33" t="s">
        <v>21</v>
      </c>
      <c r="J4429" s="42">
        <v>44371</v>
      </c>
      <c r="K4429" s="33" t="s">
        <v>22</v>
      </c>
    </row>
    <row r="4430" spans="1:11">
      <c r="A4430" s="30" t="s">
        <v>10581</v>
      </c>
      <c r="B4430" s="30" t="s">
        <v>10582</v>
      </c>
      <c r="C4430" s="30" t="s">
        <v>8367</v>
      </c>
      <c r="D4430" s="30" t="s">
        <v>17</v>
      </c>
      <c r="E4430" s="30" t="s">
        <v>45</v>
      </c>
      <c r="F4430" s="30" t="s">
        <v>46</v>
      </c>
      <c r="G4430" s="30" t="s">
        <v>20</v>
      </c>
      <c r="H4430" s="32">
        <v>438</v>
      </c>
      <c r="I4430" s="30" t="s">
        <v>21</v>
      </c>
      <c r="J4430" s="41">
        <v>44462</v>
      </c>
      <c r="K4430" s="30" t="s">
        <v>22</v>
      </c>
    </row>
    <row r="4431" spans="1:11">
      <c r="A4431" s="33" t="s">
        <v>10583</v>
      </c>
      <c r="B4431" s="33" t="s">
        <v>10584</v>
      </c>
      <c r="C4431" s="33" t="s">
        <v>899</v>
      </c>
      <c r="D4431" s="33" t="s">
        <v>17</v>
      </c>
      <c r="E4431" s="33" t="s">
        <v>26</v>
      </c>
      <c r="F4431" s="33" t="s">
        <v>27</v>
      </c>
      <c r="G4431" s="33" t="s">
        <v>106</v>
      </c>
      <c r="H4431" s="35">
        <v>5</v>
      </c>
      <c r="I4431" s="33" t="s">
        <v>21</v>
      </c>
      <c r="J4431" s="42">
        <v>44287</v>
      </c>
      <c r="K4431" s="33" t="s">
        <v>22</v>
      </c>
    </row>
    <row r="4432" spans="1:11">
      <c r="A4432" s="30" t="s">
        <v>10585</v>
      </c>
      <c r="B4432" s="30" t="s">
        <v>10586</v>
      </c>
      <c r="C4432" s="30" t="s">
        <v>3205</v>
      </c>
      <c r="D4432" s="30" t="s">
        <v>17</v>
      </c>
      <c r="E4432" s="30" t="s">
        <v>31</v>
      </c>
      <c r="F4432" s="30" t="s">
        <v>32</v>
      </c>
      <c r="G4432" s="30" t="s">
        <v>20</v>
      </c>
      <c r="H4432" s="32">
        <v>142</v>
      </c>
      <c r="I4432" s="30" t="s">
        <v>21</v>
      </c>
      <c r="J4432" s="41">
        <v>44481</v>
      </c>
      <c r="K4432" s="30" t="s">
        <v>22</v>
      </c>
    </row>
    <row r="4433" spans="1:11">
      <c r="A4433" s="33" t="s">
        <v>10587</v>
      </c>
      <c r="B4433" s="33" t="s">
        <v>10588</v>
      </c>
      <c r="C4433" s="33" t="s">
        <v>10589</v>
      </c>
      <c r="D4433" s="33" t="s">
        <v>17</v>
      </c>
      <c r="E4433" s="33" t="s">
        <v>212</v>
      </c>
      <c r="F4433" s="33" t="s">
        <v>213</v>
      </c>
      <c r="G4433" s="33" t="s">
        <v>20</v>
      </c>
      <c r="H4433" s="35">
        <v>2</v>
      </c>
      <c r="I4433" s="33" t="s">
        <v>21</v>
      </c>
      <c r="J4433" s="42">
        <v>44337</v>
      </c>
      <c r="K4433" s="33" t="s">
        <v>22</v>
      </c>
    </row>
    <row r="4434" spans="1:11">
      <c r="A4434" s="30" t="s">
        <v>10590</v>
      </c>
      <c r="B4434" s="30" t="s">
        <v>10591</v>
      </c>
      <c r="C4434" s="30" t="s">
        <v>10592</v>
      </c>
      <c r="D4434" s="30" t="s">
        <v>17</v>
      </c>
      <c r="E4434" s="30" t="s">
        <v>45</v>
      </c>
      <c r="F4434" s="30" t="s">
        <v>46</v>
      </c>
      <c r="G4434" s="30" t="s">
        <v>106</v>
      </c>
      <c r="H4434" s="32">
        <v>202</v>
      </c>
      <c r="I4434" s="30" t="s">
        <v>21</v>
      </c>
      <c r="J4434" s="41">
        <v>44532</v>
      </c>
      <c r="K4434" s="30" t="s">
        <v>22</v>
      </c>
    </row>
    <row r="4435" spans="1:11">
      <c r="A4435" s="33" t="s">
        <v>10593</v>
      </c>
      <c r="B4435" s="33" t="s">
        <v>10594</v>
      </c>
      <c r="C4435" s="33" t="s">
        <v>510</v>
      </c>
      <c r="D4435" s="33" t="s">
        <v>17</v>
      </c>
      <c r="E4435" s="33" t="s">
        <v>18</v>
      </c>
      <c r="F4435" s="33" t="s">
        <v>19</v>
      </c>
      <c r="G4435" s="33" t="s">
        <v>20</v>
      </c>
      <c r="H4435" s="35">
        <v>957</v>
      </c>
      <c r="I4435" s="33" t="s">
        <v>21</v>
      </c>
      <c r="J4435" s="42">
        <v>44357</v>
      </c>
      <c r="K4435" s="33" t="s">
        <v>22</v>
      </c>
    </row>
    <row r="4436" spans="1:11">
      <c r="A4436" s="30" t="s">
        <v>10595</v>
      </c>
      <c r="B4436" s="30" t="s">
        <v>10596</v>
      </c>
      <c r="C4436" s="30" t="s">
        <v>4742</v>
      </c>
      <c r="D4436" s="30" t="s">
        <v>17</v>
      </c>
      <c r="E4436" s="30" t="s">
        <v>18</v>
      </c>
      <c r="F4436" s="30" t="s">
        <v>19</v>
      </c>
      <c r="G4436" s="30" t="s">
        <v>20</v>
      </c>
      <c r="H4436" s="32">
        <v>1000</v>
      </c>
      <c r="I4436" s="30" t="s">
        <v>21</v>
      </c>
      <c r="J4436" s="41">
        <v>44527</v>
      </c>
      <c r="K4436" s="30" t="s">
        <v>22</v>
      </c>
    </row>
    <row r="4437" spans="1:11">
      <c r="A4437" s="33" t="s">
        <v>10597</v>
      </c>
      <c r="B4437" s="33" t="s">
        <v>10598</v>
      </c>
      <c r="C4437" s="33" t="s">
        <v>75</v>
      </c>
      <c r="D4437" s="33" t="s">
        <v>17</v>
      </c>
      <c r="E4437" s="33" t="s">
        <v>26</v>
      </c>
      <c r="F4437" s="33" t="s">
        <v>27</v>
      </c>
      <c r="G4437" s="33" t="s">
        <v>112</v>
      </c>
      <c r="H4437" s="35">
        <v>0</v>
      </c>
      <c r="I4437" s="33" t="s">
        <v>21</v>
      </c>
      <c r="J4437" s="42">
        <v>44368</v>
      </c>
      <c r="K4437" s="33" t="s">
        <v>22</v>
      </c>
    </row>
    <row r="4438" spans="1:11">
      <c r="A4438" s="30" t="s">
        <v>10599</v>
      </c>
      <c r="B4438" s="30" t="s">
        <v>10600</v>
      </c>
      <c r="C4438" s="30" t="s">
        <v>1090</v>
      </c>
      <c r="D4438" s="30" t="s">
        <v>17</v>
      </c>
      <c r="E4438" s="30" t="s">
        <v>26</v>
      </c>
      <c r="F4438" s="30" t="s">
        <v>27</v>
      </c>
      <c r="G4438" s="30" t="s">
        <v>20</v>
      </c>
      <c r="H4438" s="32">
        <v>28</v>
      </c>
      <c r="I4438" s="30" t="s">
        <v>21</v>
      </c>
      <c r="J4438" s="41">
        <v>44489</v>
      </c>
      <c r="K4438" s="30" t="s">
        <v>22</v>
      </c>
    </row>
    <row r="4439" spans="1:11">
      <c r="A4439" s="33" t="s">
        <v>10601</v>
      </c>
      <c r="B4439" s="33" t="s">
        <v>10602</v>
      </c>
      <c r="C4439" s="33" t="s">
        <v>925</v>
      </c>
      <c r="D4439" s="33" t="s">
        <v>17</v>
      </c>
      <c r="E4439" s="33" t="s">
        <v>18</v>
      </c>
      <c r="F4439" s="33" t="s">
        <v>19</v>
      </c>
      <c r="G4439" s="33" t="s">
        <v>158</v>
      </c>
      <c r="H4439" s="35">
        <v>3292</v>
      </c>
      <c r="I4439" s="33" t="s">
        <v>21</v>
      </c>
      <c r="J4439" s="42">
        <v>44375</v>
      </c>
      <c r="K4439" s="33" t="s">
        <v>22</v>
      </c>
    </row>
    <row r="4440" spans="1:11">
      <c r="A4440" s="30" t="s">
        <v>10603</v>
      </c>
      <c r="B4440" s="30" t="s">
        <v>10604</v>
      </c>
      <c r="C4440" s="30" t="s">
        <v>517</v>
      </c>
      <c r="D4440" s="30" t="s">
        <v>17</v>
      </c>
      <c r="E4440" s="30" t="s">
        <v>26</v>
      </c>
      <c r="F4440" s="30" t="s">
        <v>27</v>
      </c>
      <c r="G4440" s="30" t="s">
        <v>20</v>
      </c>
      <c r="H4440" s="32">
        <v>40</v>
      </c>
      <c r="I4440" s="30" t="s">
        <v>21</v>
      </c>
      <c r="J4440" s="41">
        <v>44276</v>
      </c>
      <c r="K4440" s="30" t="s">
        <v>22</v>
      </c>
    </row>
    <row r="4441" spans="1:11">
      <c r="A4441" s="33" t="s">
        <v>10605</v>
      </c>
      <c r="B4441" s="33" t="s">
        <v>10606</v>
      </c>
      <c r="C4441" s="33" t="s">
        <v>609</v>
      </c>
      <c r="D4441" s="33" t="s">
        <v>17</v>
      </c>
      <c r="E4441" s="33" t="s">
        <v>26</v>
      </c>
      <c r="F4441" s="33" t="s">
        <v>27</v>
      </c>
      <c r="G4441" s="33" t="s">
        <v>50</v>
      </c>
      <c r="H4441" s="35">
        <v>66</v>
      </c>
      <c r="I4441" s="33" t="s">
        <v>51</v>
      </c>
      <c r="J4441" s="42">
        <v>44361</v>
      </c>
      <c r="K4441" s="33" t="s">
        <v>22</v>
      </c>
    </row>
    <row r="4442" spans="1:11">
      <c r="A4442" s="30" t="s">
        <v>10607</v>
      </c>
      <c r="B4442" s="30" t="s">
        <v>10608</v>
      </c>
      <c r="C4442" s="30" t="s">
        <v>252</v>
      </c>
      <c r="D4442" s="30" t="s">
        <v>17</v>
      </c>
      <c r="E4442" s="30" t="s">
        <v>67</v>
      </c>
      <c r="F4442" s="30" t="s">
        <v>68</v>
      </c>
      <c r="G4442" s="30" t="s">
        <v>158</v>
      </c>
      <c r="H4442" s="32">
        <v>136</v>
      </c>
      <c r="I4442" s="30" t="s">
        <v>21</v>
      </c>
      <c r="J4442" s="41">
        <v>44365</v>
      </c>
      <c r="K4442" s="30" t="s">
        <v>22</v>
      </c>
    </row>
    <row r="4443" spans="1:11">
      <c r="A4443" s="33" t="s">
        <v>10609</v>
      </c>
      <c r="B4443" s="33" t="s">
        <v>10610</v>
      </c>
      <c r="C4443" s="33" t="s">
        <v>429</v>
      </c>
      <c r="D4443" s="33" t="s">
        <v>17</v>
      </c>
      <c r="E4443" s="33" t="s">
        <v>26</v>
      </c>
      <c r="F4443" s="33" t="s">
        <v>27</v>
      </c>
      <c r="G4443" s="33" t="s">
        <v>20</v>
      </c>
      <c r="H4443" s="35">
        <v>72</v>
      </c>
      <c r="I4443" s="33" t="s">
        <v>21</v>
      </c>
      <c r="J4443" s="42">
        <v>44324</v>
      </c>
      <c r="K4443" s="33" t="s">
        <v>22</v>
      </c>
    </row>
    <row r="4444" spans="1:11">
      <c r="A4444" s="30" t="s">
        <v>10611</v>
      </c>
      <c r="B4444" s="30" t="s">
        <v>10612</v>
      </c>
      <c r="C4444" s="30" t="s">
        <v>10613</v>
      </c>
      <c r="D4444" s="30" t="s">
        <v>17</v>
      </c>
      <c r="E4444" s="30" t="s">
        <v>67</v>
      </c>
      <c r="F4444" s="30" t="s">
        <v>68</v>
      </c>
      <c r="G4444" s="30" t="s">
        <v>112</v>
      </c>
      <c r="H4444" s="32">
        <v>0</v>
      </c>
      <c r="I4444" s="30" t="s">
        <v>21</v>
      </c>
      <c r="J4444" s="41">
        <v>44378</v>
      </c>
      <c r="K4444" s="30" t="s">
        <v>22</v>
      </c>
    </row>
    <row r="4445" spans="1:11">
      <c r="A4445" s="33" t="s">
        <v>10614</v>
      </c>
      <c r="B4445" s="33" t="s">
        <v>10615</v>
      </c>
      <c r="C4445" s="33" t="s">
        <v>10616</v>
      </c>
      <c r="D4445" s="33" t="s">
        <v>17</v>
      </c>
      <c r="E4445" s="33" t="s">
        <v>31</v>
      </c>
      <c r="F4445" s="33" t="s">
        <v>32</v>
      </c>
      <c r="G4445" s="33" t="s">
        <v>20</v>
      </c>
      <c r="H4445" s="35">
        <v>400</v>
      </c>
      <c r="I4445" s="33" t="s">
        <v>21</v>
      </c>
      <c r="J4445" s="42">
        <v>44346</v>
      </c>
      <c r="K4445" s="33" t="s">
        <v>22</v>
      </c>
    </row>
    <row r="4446" spans="1:11">
      <c r="A4446" s="30" t="s">
        <v>10617</v>
      </c>
      <c r="B4446" s="30" t="s">
        <v>10618</v>
      </c>
      <c r="C4446" s="30" t="s">
        <v>787</v>
      </c>
      <c r="D4446" s="30" t="s">
        <v>17</v>
      </c>
      <c r="E4446" s="30" t="s">
        <v>31</v>
      </c>
      <c r="F4446" s="30" t="s">
        <v>32</v>
      </c>
      <c r="G4446" s="30" t="s">
        <v>50</v>
      </c>
      <c r="H4446" s="32">
        <v>200</v>
      </c>
      <c r="I4446" s="30" t="s">
        <v>51</v>
      </c>
      <c r="J4446" s="41">
        <v>44545</v>
      </c>
      <c r="K4446" s="30" t="s">
        <v>22</v>
      </c>
    </row>
    <row r="4447" spans="1:11">
      <c r="A4447" s="33" t="s">
        <v>10619</v>
      </c>
      <c r="B4447" s="33" t="s">
        <v>10620</v>
      </c>
      <c r="C4447" s="33" t="s">
        <v>149</v>
      </c>
      <c r="D4447" s="33" t="s">
        <v>17</v>
      </c>
      <c r="E4447" s="33" t="s">
        <v>31</v>
      </c>
      <c r="F4447" s="33" t="s">
        <v>32</v>
      </c>
      <c r="G4447" s="33" t="s">
        <v>20</v>
      </c>
      <c r="H4447" s="35">
        <v>316</v>
      </c>
      <c r="I4447" s="33" t="s">
        <v>21</v>
      </c>
      <c r="J4447" s="42">
        <v>44448</v>
      </c>
      <c r="K4447" s="33" t="s">
        <v>22</v>
      </c>
    </row>
    <row r="4448" spans="1:11">
      <c r="A4448" s="30" t="s">
        <v>10621</v>
      </c>
      <c r="B4448" s="30" t="s">
        <v>10622</v>
      </c>
      <c r="C4448" s="30" t="s">
        <v>44</v>
      </c>
      <c r="D4448" s="30" t="s">
        <v>17</v>
      </c>
      <c r="E4448" s="30" t="s">
        <v>18</v>
      </c>
      <c r="F4448" s="30" t="s">
        <v>19</v>
      </c>
      <c r="G4448" s="30" t="s">
        <v>106</v>
      </c>
      <c r="H4448" s="32">
        <v>446</v>
      </c>
      <c r="I4448" s="30" t="s">
        <v>21</v>
      </c>
      <c r="J4448" s="41">
        <v>44407</v>
      </c>
      <c r="K4448" s="30" t="s">
        <v>22</v>
      </c>
    </row>
    <row r="4449" spans="1:11">
      <c r="A4449" s="33" t="s">
        <v>10623</v>
      </c>
      <c r="B4449" s="33" t="s">
        <v>10624</v>
      </c>
      <c r="C4449" s="33" t="s">
        <v>252</v>
      </c>
      <c r="D4449" s="33" t="s">
        <v>17</v>
      </c>
      <c r="E4449" s="33" t="s">
        <v>31</v>
      </c>
      <c r="F4449" s="33" t="s">
        <v>32</v>
      </c>
      <c r="G4449" s="33" t="s">
        <v>20</v>
      </c>
      <c r="H4449" s="35">
        <v>28</v>
      </c>
      <c r="I4449" s="33" t="s">
        <v>21</v>
      </c>
      <c r="J4449" s="42">
        <v>44252</v>
      </c>
      <c r="K4449" s="33" t="s">
        <v>22</v>
      </c>
    </row>
    <row r="4450" spans="1:11">
      <c r="A4450" s="30" t="s">
        <v>10625</v>
      </c>
      <c r="B4450" s="30" t="s">
        <v>10626</v>
      </c>
      <c r="C4450" s="30" t="s">
        <v>5050</v>
      </c>
      <c r="D4450" s="30" t="s">
        <v>17</v>
      </c>
      <c r="E4450" s="30" t="s">
        <v>26</v>
      </c>
      <c r="F4450" s="30" t="s">
        <v>27</v>
      </c>
      <c r="G4450" s="30" t="s">
        <v>20</v>
      </c>
      <c r="H4450" s="32">
        <v>68</v>
      </c>
      <c r="I4450" s="30" t="s">
        <v>21</v>
      </c>
      <c r="J4450" s="41">
        <v>44465</v>
      </c>
      <c r="K4450" s="30" t="s">
        <v>22</v>
      </c>
    </row>
    <row r="4451" spans="1:11">
      <c r="A4451" s="33" t="s">
        <v>10627</v>
      </c>
      <c r="B4451" s="33" t="s">
        <v>10628</v>
      </c>
      <c r="C4451" s="33" t="s">
        <v>75</v>
      </c>
      <c r="D4451" s="33" t="s">
        <v>17</v>
      </c>
      <c r="E4451" s="33" t="s">
        <v>26</v>
      </c>
      <c r="F4451" s="33" t="s">
        <v>27</v>
      </c>
      <c r="G4451" s="33" t="s">
        <v>20</v>
      </c>
      <c r="H4451" s="35">
        <v>30</v>
      </c>
      <c r="I4451" s="33" t="s">
        <v>21</v>
      </c>
      <c r="J4451" s="42">
        <v>44545</v>
      </c>
      <c r="K4451" s="33" t="s">
        <v>22</v>
      </c>
    </row>
    <row r="4452" spans="1:11">
      <c r="A4452" s="30" t="s">
        <v>10629</v>
      </c>
      <c r="B4452" s="30" t="s">
        <v>10630</v>
      </c>
      <c r="C4452" s="30" t="s">
        <v>10631</v>
      </c>
      <c r="D4452" s="30" t="s">
        <v>17</v>
      </c>
      <c r="E4452" s="30" t="s">
        <v>31</v>
      </c>
      <c r="F4452" s="30" t="s">
        <v>32</v>
      </c>
      <c r="G4452" s="30" t="s">
        <v>106</v>
      </c>
      <c r="H4452" s="32">
        <v>442</v>
      </c>
      <c r="I4452" s="30" t="s">
        <v>21</v>
      </c>
      <c r="J4452" s="41">
        <v>44256</v>
      </c>
      <c r="K4452" s="30" t="s">
        <v>22</v>
      </c>
    </row>
    <row r="4453" spans="1:11">
      <c r="A4453" s="33" t="s">
        <v>10632</v>
      </c>
      <c r="B4453" s="33" t="s">
        <v>10633</v>
      </c>
      <c r="C4453" s="33" t="s">
        <v>190</v>
      </c>
      <c r="D4453" s="33" t="s">
        <v>17</v>
      </c>
      <c r="E4453" s="33" t="s">
        <v>31</v>
      </c>
      <c r="F4453" s="33" t="s">
        <v>32</v>
      </c>
      <c r="G4453" s="33" t="s">
        <v>158</v>
      </c>
      <c r="H4453" s="35">
        <v>126</v>
      </c>
      <c r="I4453" s="33" t="s">
        <v>21</v>
      </c>
      <c r="J4453" s="42">
        <v>44540</v>
      </c>
      <c r="K4453" s="33" t="s">
        <v>22</v>
      </c>
    </row>
    <row r="4454" spans="1:11">
      <c r="A4454" s="30" t="s">
        <v>10634</v>
      </c>
      <c r="B4454" s="30" t="s">
        <v>10635</v>
      </c>
      <c r="C4454" s="30" t="s">
        <v>190</v>
      </c>
      <c r="D4454" s="30" t="s">
        <v>17</v>
      </c>
      <c r="E4454" s="30" t="s">
        <v>26</v>
      </c>
      <c r="F4454" s="30" t="s">
        <v>27</v>
      </c>
      <c r="G4454" s="30" t="s">
        <v>20</v>
      </c>
      <c r="H4454" s="32">
        <v>40</v>
      </c>
      <c r="I4454" s="30" t="s">
        <v>21</v>
      </c>
      <c r="J4454" s="41">
        <v>44271</v>
      </c>
      <c r="K4454" s="30" t="s">
        <v>22</v>
      </c>
    </row>
    <row r="4455" spans="1:11">
      <c r="A4455" s="33" t="s">
        <v>10636</v>
      </c>
      <c r="B4455" s="33" t="s">
        <v>10637</v>
      </c>
      <c r="C4455" s="33" t="s">
        <v>96</v>
      </c>
      <c r="D4455" s="33" t="s">
        <v>17</v>
      </c>
      <c r="E4455" s="33" t="s">
        <v>212</v>
      </c>
      <c r="F4455" s="33" t="s">
        <v>213</v>
      </c>
      <c r="G4455" s="33" t="s">
        <v>158</v>
      </c>
      <c r="H4455" s="35">
        <v>27</v>
      </c>
      <c r="I4455" s="33" t="s">
        <v>21</v>
      </c>
      <c r="J4455" s="42">
        <v>44557</v>
      </c>
      <c r="K4455" s="33" t="s">
        <v>22</v>
      </c>
    </row>
    <row r="4456" spans="1:11">
      <c r="A4456" s="30" t="s">
        <v>10638</v>
      </c>
      <c r="B4456" s="30" t="s">
        <v>10639</v>
      </c>
      <c r="C4456" s="30" t="s">
        <v>10300</v>
      </c>
      <c r="D4456" s="30" t="s">
        <v>17</v>
      </c>
      <c r="E4456" s="30" t="s">
        <v>31</v>
      </c>
      <c r="F4456" s="30" t="s">
        <v>32</v>
      </c>
      <c r="G4456" s="30" t="s">
        <v>20</v>
      </c>
      <c r="H4456" s="32">
        <v>160</v>
      </c>
      <c r="I4456" s="30" t="s">
        <v>21</v>
      </c>
      <c r="J4456" s="41">
        <v>44312</v>
      </c>
      <c r="K4456" s="30" t="s">
        <v>22</v>
      </c>
    </row>
    <row r="4457" spans="1:11">
      <c r="A4457" s="33" t="s">
        <v>10640</v>
      </c>
      <c r="B4457" s="33" t="s">
        <v>10641</v>
      </c>
      <c r="C4457" s="33" t="s">
        <v>5246</v>
      </c>
      <c r="D4457" s="33" t="s">
        <v>17</v>
      </c>
      <c r="E4457" s="33" t="s">
        <v>67</v>
      </c>
      <c r="F4457" s="33" t="s">
        <v>68</v>
      </c>
      <c r="G4457" s="33" t="s">
        <v>20</v>
      </c>
      <c r="H4457" s="35">
        <v>15</v>
      </c>
      <c r="I4457" s="33" t="s">
        <v>21</v>
      </c>
      <c r="J4457" s="42">
        <v>44490</v>
      </c>
      <c r="K4457" s="33" t="s">
        <v>22</v>
      </c>
    </row>
    <row r="4458" spans="1:11">
      <c r="A4458" s="30" t="s">
        <v>10642</v>
      </c>
      <c r="B4458" s="30" t="s">
        <v>10643</v>
      </c>
      <c r="C4458" s="30" t="s">
        <v>925</v>
      </c>
      <c r="D4458" s="30" t="s">
        <v>17</v>
      </c>
      <c r="E4458" s="30" t="s">
        <v>31</v>
      </c>
      <c r="F4458" s="30" t="s">
        <v>32</v>
      </c>
      <c r="G4458" s="30" t="s">
        <v>20</v>
      </c>
      <c r="H4458" s="32">
        <v>103</v>
      </c>
      <c r="I4458" s="30" t="s">
        <v>21</v>
      </c>
      <c r="J4458" s="41">
        <v>44422</v>
      </c>
      <c r="K4458" s="30" t="s">
        <v>22</v>
      </c>
    </row>
    <row r="4459" spans="1:11">
      <c r="A4459" s="33" t="s">
        <v>10644</v>
      </c>
      <c r="B4459" s="33" t="s">
        <v>10645</v>
      </c>
      <c r="C4459" s="33" t="s">
        <v>10646</v>
      </c>
      <c r="D4459" s="33" t="s">
        <v>17</v>
      </c>
      <c r="E4459" s="33" t="s">
        <v>212</v>
      </c>
      <c r="F4459" s="33" t="s">
        <v>213</v>
      </c>
      <c r="G4459" s="33" t="s">
        <v>20</v>
      </c>
      <c r="H4459" s="35">
        <v>20</v>
      </c>
      <c r="I4459" s="33" t="s">
        <v>21</v>
      </c>
      <c r="J4459" s="42">
        <v>44295</v>
      </c>
      <c r="K4459" s="33" t="s">
        <v>22</v>
      </c>
    </row>
    <row r="4460" spans="1:11">
      <c r="A4460" s="30" t="s">
        <v>10647</v>
      </c>
      <c r="B4460" s="30" t="s">
        <v>10648</v>
      </c>
      <c r="C4460" s="30" t="s">
        <v>203</v>
      </c>
      <c r="D4460" s="30" t="s">
        <v>17</v>
      </c>
      <c r="E4460" s="30" t="s">
        <v>26</v>
      </c>
      <c r="F4460" s="30" t="s">
        <v>27</v>
      </c>
      <c r="G4460" s="30" t="s">
        <v>106</v>
      </c>
      <c r="H4460" s="32">
        <v>13</v>
      </c>
      <c r="I4460" s="30" t="s">
        <v>21</v>
      </c>
      <c r="J4460" s="41">
        <v>44515</v>
      </c>
      <c r="K4460" s="30" t="s">
        <v>22</v>
      </c>
    </row>
    <row r="4461" spans="1:11">
      <c r="A4461" s="33" t="s">
        <v>10649</v>
      </c>
      <c r="B4461" s="33" t="s">
        <v>10650</v>
      </c>
      <c r="C4461" s="33" t="s">
        <v>10651</v>
      </c>
      <c r="D4461" s="33" t="s">
        <v>17</v>
      </c>
      <c r="E4461" s="33" t="s">
        <v>31</v>
      </c>
      <c r="F4461" s="33" t="s">
        <v>32</v>
      </c>
      <c r="G4461" s="33" t="s">
        <v>20</v>
      </c>
      <c r="H4461" s="35">
        <v>85</v>
      </c>
      <c r="I4461" s="33" t="s">
        <v>21</v>
      </c>
      <c r="J4461" s="42">
        <v>44272</v>
      </c>
      <c r="K4461" s="33" t="s">
        <v>22</v>
      </c>
    </row>
    <row r="4462" spans="1:11">
      <c r="A4462" s="30" t="s">
        <v>10652</v>
      </c>
      <c r="B4462" s="30" t="s">
        <v>10653</v>
      </c>
      <c r="C4462" s="30" t="s">
        <v>4742</v>
      </c>
      <c r="D4462" s="30" t="s">
        <v>17</v>
      </c>
      <c r="E4462" s="30" t="s">
        <v>212</v>
      </c>
      <c r="F4462" s="30" t="s">
        <v>213</v>
      </c>
      <c r="G4462" s="30" t="s">
        <v>20</v>
      </c>
      <c r="H4462" s="32">
        <v>270</v>
      </c>
      <c r="I4462" s="30" t="s">
        <v>21</v>
      </c>
      <c r="J4462" s="41">
        <v>44386</v>
      </c>
      <c r="K4462" s="30" t="s">
        <v>22</v>
      </c>
    </row>
    <row r="4463" spans="1:11">
      <c r="A4463" s="33" t="s">
        <v>10654</v>
      </c>
      <c r="B4463" s="33" t="s">
        <v>10655</v>
      </c>
      <c r="C4463" s="33" t="s">
        <v>1148</v>
      </c>
      <c r="D4463" s="33" t="s">
        <v>17</v>
      </c>
      <c r="E4463" s="33" t="s">
        <v>26</v>
      </c>
      <c r="F4463" s="33" t="s">
        <v>27</v>
      </c>
      <c r="G4463" s="33" t="s">
        <v>20</v>
      </c>
      <c r="H4463" s="35">
        <v>32</v>
      </c>
      <c r="I4463" s="33" t="s">
        <v>21</v>
      </c>
      <c r="J4463" s="42">
        <v>44267</v>
      </c>
      <c r="K4463" s="33" t="s">
        <v>22</v>
      </c>
    </row>
    <row r="4464" spans="1:11">
      <c r="A4464" s="30" t="s">
        <v>10656</v>
      </c>
      <c r="B4464" s="30" t="s">
        <v>10657</v>
      </c>
      <c r="C4464" s="30" t="s">
        <v>10658</v>
      </c>
      <c r="D4464" s="30" t="s">
        <v>17</v>
      </c>
      <c r="E4464" s="30" t="s">
        <v>26</v>
      </c>
      <c r="F4464" s="30" t="s">
        <v>27</v>
      </c>
      <c r="G4464" s="30" t="s">
        <v>50</v>
      </c>
      <c r="H4464" s="32">
        <v>40</v>
      </c>
      <c r="I4464" s="30" t="s">
        <v>51</v>
      </c>
      <c r="J4464" s="41">
        <v>44552</v>
      </c>
      <c r="K4464" s="30" t="s">
        <v>22</v>
      </c>
    </row>
    <row r="4465" spans="1:11">
      <c r="A4465" s="33" t="s">
        <v>10659</v>
      </c>
      <c r="B4465" s="33" t="s">
        <v>10660</v>
      </c>
      <c r="C4465" s="33" t="s">
        <v>10661</v>
      </c>
      <c r="D4465" s="33" t="s">
        <v>17</v>
      </c>
      <c r="E4465" s="33" t="s">
        <v>67</v>
      </c>
      <c r="F4465" s="33" t="s">
        <v>68</v>
      </c>
      <c r="G4465" s="33" t="s">
        <v>106</v>
      </c>
      <c r="H4465" s="35">
        <v>45</v>
      </c>
      <c r="I4465" s="33" t="s">
        <v>21</v>
      </c>
      <c r="J4465" s="42">
        <v>44288</v>
      </c>
      <c r="K4465" s="33" t="s">
        <v>22</v>
      </c>
    </row>
    <row r="4466" spans="1:11">
      <c r="A4466" s="30" t="s">
        <v>10662</v>
      </c>
      <c r="B4466" s="30" t="s">
        <v>10663</v>
      </c>
      <c r="C4466" s="30" t="s">
        <v>10664</v>
      </c>
      <c r="D4466" s="30" t="s">
        <v>17</v>
      </c>
      <c r="E4466" s="30" t="s">
        <v>18</v>
      </c>
      <c r="F4466" s="30" t="s">
        <v>19</v>
      </c>
      <c r="G4466" s="30" t="s">
        <v>20</v>
      </c>
      <c r="H4466" s="32">
        <v>176</v>
      </c>
      <c r="I4466" s="30" t="s">
        <v>21</v>
      </c>
      <c r="J4466" s="41">
        <v>44467</v>
      </c>
      <c r="K4466" s="30" t="s">
        <v>22</v>
      </c>
    </row>
    <row r="4467" spans="1:11">
      <c r="A4467" s="33" t="s">
        <v>10665</v>
      </c>
      <c r="B4467" s="33" t="s">
        <v>10666</v>
      </c>
      <c r="C4467" s="33" t="s">
        <v>9487</v>
      </c>
      <c r="D4467" s="33" t="s">
        <v>17</v>
      </c>
      <c r="E4467" s="33" t="s">
        <v>26</v>
      </c>
      <c r="F4467" s="33" t="s">
        <v>27</v>
      </c>
      <c r="G4467" s="33" t="s">
        <v>50</v>
      </c>
      <c r="H4467" s="35">
        <v>24</v>
      </c>
      <c r="I4467" s="33" t="s">
        <v>51</v>
      </c>
      <c r="J4467" s="42">
        <v>44553</v>
      </c>
      <c r="K4467" s="33" t="s">
        <v>22</v>
      </c>
    </row>
    <row r="4468" spans="1:11">
      <c r="A4468" s="30" t="s">
        <v>10667</v>
      </c>
      <c r="B4468" s="30" t="s">
        <v>10668</v>
      </c>
      <c r="C4468" s="30" t="s">
        <v>10669</v>
      </c>
      <c r="D4468" s="30" t="s">
        <v>17</v>
      </c>
      <c r="E4468" s="30" t="s">
        <v>330</v>
      </c>
      <c r="F4468" s="30" t="s">
        <v>331</v>
      </c>
      <c r="G4468" s="30" t="s">
        <v>106</v>
      </c>
      <c r="H4468" s="32">
        <v>10</v>
      </c>
      <c r="I4468" s="30" t="s">
        <v>21</v>
      </c>
      <c r="J4468" s="41">
        <v>44405</v>
      </c>
      <c r="K4468" s="30" t="s">
        <v>22</v>
      </c>
    </row>
    <row r="4469" spans="1:11">
      <c r="A4469" s="33" t="s">
        <v>10670</v>
      </c>
      <c r="B4469" s="33" t="s">
        <v>10671</v>
      </c>
      <c r="C4469" s="33" t="s">
        <v>6585</v>
      </c>
      <c r="D4469" s="33" t="s">
        <v>17</v>
      </c>
      <c r="E4469" s="33" t="s">
        <v>26</v>
      </c>
      <c r="F4469" s="33" t="s">
        <v>27</v>
      </c>
      <c r="G4469" s="33" t="s">
        <v>20</v>
      </c>
      <c r="H4469" s="35">
        <v>38</v>
      </c>
      <c r="I4469" s="33" t="s">
        <v>21</v>
      </c>
      <c r="J4469" s="42">
        <v>44329</v>
      </c>
      <c r="K4469" s="33" t="s">
        <v>22</v>
      </c>
    </row>
    <row r="4470" spans="1:11">
      <c r="A4470" s="30" t="s">
        <v>10672</v>
      </c>
      <c r="B4470" s="30" t="s">
        <v>10673</v>
      </c>
      <c r="C4470" s="30" t="s">
        <v>10674</v>
      </c>
      <c r="D4470" s="30" t="s">
        <v>17</v>
      </c>
      <c r="E4470" s="30" t="s">
        <v>18</v>
      </c>
      <c r="F4470" s="30" t="s">
        <v>19</v>
      </c>
      <c r="G4470" s="30" t="s">
        <v>158</v>
      </c>
      <c r="H4470" s="32">
        <v>250</v>
      </c>
      <c r="I4470" s="30" t="s">
        <v>51</v>
      </c>
      <c r="J4470" s="41">
        <v>44378</v>
      </c>
      <c r="K4470" s="30" t="s">
        <v>22</v>
      </c>
    </row>
    <row r="4471" spans="1:11">
      <c r="A4471" s="33" t="s">
        <v>10675</v>
      </c>
      <c r="B4471" s="33" t="s">
        <v>10676</v>
      </c>
      <c r="C4471" s="33" t="s">
        <v>149</v>
      </c>
      <c r="D4471" s="33" t="s">
        <v>17</v>
      </c>
      <c r="E4471" s="33" t="s">
        <v>26</v>
      </c>
      <c r="F4471" s="33" t="s">
        <v>27</v>
      </c>
      <c r="G4471" s="33" t="s">
        <v>20</v>
      </c>
      <c r="H4471" s="35">
        <v>6</v>
      </c>
      <c r="I4471" s="33" t="s">
        <v>21</v>
      </c>
      <c r="J4471" s="42">
        <v>44446</v>
      </c>
      <c r="K4471" s="33" t="s">
        <v>22</v>
      </c>
    </row>
    <row r="4472" spans="1:11">
      <c r="A4472" s="30" t="s">
        <v>10677</v>
      </c>
      <c r="B4472" s="30" t="s">
        <v>10678</v>
      </c>
      <c r="C4472" s="30" t="s">
        <v>3698</v>
      </c>
      <c r="D4472" s="30" t="s">
        <v>17</v>
      </c>
      <c r="E4472" s="30" t="s">
        <v>18</v>
      </c>
      <c r="F4472" s="30" t="s">
        <v>19</v>
      </c>
      <c r="G4472" s="30" t="s">
        <v>20</v>
      </c>
      <c r="H4472" s="32">
        <v>33</v>
      </c>
      <c r="I4472" s="30" t="s">
        <v>21</v>
      </c>
      <c r="J4472" s="41">
        <v>44545</v>
      </c>
      <c r="K4472" s="30" t="s">
        <v>22</v>
      </c>
    </row>
    <row r="4473" spans="1:11">
      <c r="A4473" s="33" t="s">
        <v>10679</v>
      </c>
      <c r="B4473" s="33" t="s">
        <v>10680</v>
      </c>
      <c r="C4473" s="33" t="s">
        <v>10681</v>
      </c>
      <c r="D4473" s="33" t="s">
        <v>17</v>
      </c>
      <c r="E4473" s="33" t="s">
        <v>31</v>
      </c>
      <c r="F4473" s="33" t="s">
        <v>32</v>
      </c>
      <c r="G4473" s="33" t="s">
        <v>112</v>
      </c>
      <c r="H4473" s="35">
        <v>0</v>
      </c>
      <c r="I4473" s="33" t="s">
        <v>21</v>
      </c>
      <c r="J4473" s="42">
        <v>44558</v>
      </c>
      <c r="K4473" s="33" t="s">
        <v>22</v>
      </c>
    </row>
    <row r="4474" spans="1:11">
      <c r="A4474" s="30" t="s">
        <v>10682</v>
      </c>
      <c r="B4474" s="30" t="s">
        <v>10683</v>
      </c>
      <c r="C4474" s="30" t="s">
        <v>6653</v>
      </c>
      <c r="D4474" s="30" t="s">
        <v>17</v>
      </c>
      <c r="E4474" s="30" t="s">
        <v>31</v>
      </c>
      <c r="F4474" s="30" t="s">
        <v>32</v>
      </c>
      <c r="G4474" s="30" t="s">
        <v>50</v>
      </c>
      <c r="H4474" s="32">
        <v>60</v>
      </c>
      <c r="I4474" s="30" t="s">
        <v>51</v>
      </c>
      <c r="J4474" s="41">
        <v>44316</v>
      </c>
      <c r="K4474" s="30" t="s">
        <v>22</v>
      </c>
    </row>
    <row r="4475" spans="1:11">
      <c r="A4475" s="33" t="s">
        <v>10684</v>
      </c>
      <c r="B4475" s="33" t="s">
        <v>10685</v>
      </c>
      <c r="C4475" s="33" t="s">
        <v>10686</v>
      </c>
      <c r="D4475" s="33" t="s">
        <v>17</v>
      </c>
      <c r="E4475" s="33" t="s">
        <v>26</v>
      </c>
      <c r="F4475" s="33" t="s">
        <v>27</v>
      </c>
      <c r="G4475" s="33" t="s">
        <v>20</v>
      </c>
      <c r="H4475" s="35">
        <v>6</v>
      </c>
      <c r="I4475" s="33" t="s">
        <v>21</v>
      </c>
      <c r="J4475" s="42">
        <v>44463</v>
      </c>
      <c r="K4475" s="33" t="s">
        <v>22</v>
      </c>
    </row>
    <row r="4476" spans="1:11">
      <c r="A4476" s="30" t="s">
        <v>10687</v>
      </c>
      <c r="B4476" s="30" t="s">
        <v>10688</v>
      </c>
      <c r="C4476" s="30" t="s">
        <v>10689</v>
      </c>
      <c r="D4476" s="30" t="s">
        <v>17</v>
      </c>
      <c r="E4476" s="30" t="s">
        <v>26</v>
      </c>
      <c r="F4476" s="30" t="s">
        <v>27</v>
      </c>
      <c r="G4476" s="30" t="s">
        <v>20</v>
      </c>
      <c r="H4476" s="32">
        <v>13</v>
      </c>
      <c r="I4476" s="30" t="s">
        <v>21</v>
      </c>
      <c r="J4476" s="41">
        <v>44256</v>
      </c>
      <c r="K4476" s="30" t="s">
        <v>22</v>
      </c>
    </row>
    <row r="4477" spans="1:11">
      <c r="A4477" s="33" t="s">
        <v>10690</v>
      </c>
      <c r="B4477" s="33" t="s">
        <v>10691</v>
      </c>
      <c r="C4477" s="33" t="s">
        <v>1480</v>
      </c>
      <c r="D4477" s="33" t="s">
        <v>17</v>
      </c>
      <c r="E4477" s="33" t="s">
        <v>18</v>
      </c>
      <c r="F4477" s="33" t="s">
        <v>19</v>
      </c>
      <c r="G4477" s="33" t="s">
        <v>20</v>
      </c>
      <c r="H4477" s="35">
        <v>728</v>
      </c>
      <c r="I4477" s="33" t="s">
        <v>21</v>
      </c>
      <c r="J4477" s="42">
        <v>44497</v>
      </c>
      <c r="K4477" s="33" t="s">
        <v>22</v>
      </c>
    </row>
    <row r="4478" spans="1:11">
      <c r="A4478" s="30" t="s">
        <v>10692</v>
      </c>
      <c r="B4478" s="30" t="s">
        <v>10693</v>
      </c>
      <c r="C4478" s="30" t="s">
        <v>118</v>
      </c>
      <c r="D4478" s="30" t="s">
        <v>17</v>
      </c>
      <c r="E4478" s="30" t="s">
        <v>18</v>
      </c>
      <c r="F4478" s="30" t="s">
        <v>19</v>
      </c>
      <c r="G4478" s="30" t="s">
        <v>20</v>
      </c>
      <c r="H4478" s="32">
        <v>400</v>
      </c>
      <c r="I4478" s="30" t="s">
        <v>21</v>
      </c>
      <c r="J4478" s="41">
        <v>44498</v>
      </c>
      <c r="K4478" s="30" t="s">
        <v>22</v>
      </c>
    </row>
    <row r="4479" spans="1:11">
      <c r="A4479" s="33" t="s">
        <v>10694</v>
      </c>
      <c r="B4479" s="33" t="s">
        <v>10695</v>
      </c>
      <c r="C4479" s="33" t="s">
        <v>10696</v>
      </c>
      <c r="D4479" s="33" t="s">
        <v>17</v>
      </c>
      <c r="E4479" s="33" t="s">
        <v>26</v>
      </c>
      <c r="F4479" s="33" t="s">
        <v>27</v>
      </c>
      <c r="G4479" s="33" t="s">
        <v>50</v>
      </c>
      <c r="H4479" s="35">
        <v>8</v>
      </c>
      <c r="I4479" s="33" t="s">
        <v>51</v>
      </c>
      <c r="J4479" s="42">
        <v>44409</v>
      </c>
      <c r="K4479" s="33" t="s">
        <v>22</v>
      </c>
    </row>
    <row r="4480" spans="1:11">
      <c r="A4480" s="30" t="s">
        <v>10697</v>
      </c>
      <c r="B4480" s="30" t="s">
        <v>10698</v>
      </c>
      <c r="C4480" s="30" t="s">
        <v>10699</v>
      </c>
      <c r="D4480" s="30" t="s">
        <v>17</v>
      </c>
      <c r="E4480" s="30" t="s">
        <v>26</v>
      </c>
      <c r="F4480" s="30" t="s">
        <v>27</v>
      </c>
      <c r="G4480" s="30" t="s">
        <v>50</v>
      </c>
      <c r="H4480" s="32">
        <v>44</v>
      </c>
      <c r="I4480" s="30" t="s">
        <v>51</v>
      </c>
      <c r="J4480" s="41">
        <v>44326</v>
      </c>
      <c r="K4480" s="30" t="s">
        <v>22</v>
      </c>
    </row>
    <row r="4481" spans="1:11">
      <c r="A4481" s="33" t="s">
        <v>10700</v>
      </c>
      <c r="B4481" s="33" t="s">
        <v>10701</v>
      </c>
      <c r="C4481" s="33" t="s">
        <v>570</v>
      </c>
      <c r="D4481" s="33" t="s">
        <v>17</v>
      </c>
      <c r="E4481" s="33" t="s">
        <v>26</v>
      </c>
      <c r="F4481" s="33" t="s">
        <v>27</v>
      </c>
      <c r="G4481" s="33" t="s">
        <v>20</v>
      </c>
      <c r="H4481" s="35">
        <v>240</v>
      </c>
      <c r="I4481" s="33" t="s">
        <v>21</v>
      </c>
      <c r="J4481" s="42">
        <v>44363</v>
      </c>
      <c r="K4481" s="33" t="s">
        <v>22</v>
      </c>
    </row>
    <row r="4482" spans="1:11">
      <c r="A4482" s="30" t="s">
        <v>10702</v>
      </c>
      <c r="B4482" s="30" t="s">
        <v>10703</v>
      </c>
      <c r="C4482" s="30" t="s">
        <v>130</v>
      </c>
      <c r="D4482" s="30" t="s">
        <v>17</v>
      </c>
      <c r="E4482" s="30" t="s">
        <v>31</v>
      </c>
      <c r="F4482" s="30" t="s">
        <v>32</v>
      </c>
      <c r="G4482" s="30" t="s">
        <v>106</v>
      </c>
      <c r="H4482" s="32">
        <v>10</v>
      </c>
      <c r="I4482" s="30" t="s">
        <v>21</v>
      </c>
      <c r="J4482" s="41">
        <v>44385</v>
      </c>
      <c r="K4482" s="30" t="s">
        <v>22</v>
      </c>
    </row>
    <row r="4483" spans="1:11">
      <c r="A4483" s="33" t="s">
        <v>10704</v>
      </c>
      <c r="B4483" s="33" t="s">
        <v>10705</v>
      </c>
      <c r="C4483" s="33" t="s">
        <v>8976</v>
      </c>
      <c r="D4483" s="33" t="s">
        <v>17</v>
      </c>
      <c r="E4483" s="33" t="s">
        <v>26</v>
      </c>
      <c r="F4483" s="33" t="s">
        <v>27</v>
      </c>
      <c r="G4483" s="33" t="s">
        <v>20</v>
      </c>
      <c r="H4483" s="35">
        <v>30</v>
      </c>
      <c r="I4483" s="33" t="s">
        <v>21</v>
      </c>
      <c r="J4483" s="42">
        <v>44509</v>
      </c>
      <c r="K4483" s="33" t="s">
        <v>22</v>
      </c>
    </row>
    <row r="4484" spans="1:11">
      <c r="A4484" s="30" t="s">
        <v>10706</v>
      </c>
      <c r="B4484" s="30" t="s">
        <v>10707</v>
      </c>
      <c r="C4484" s="30" t="s">
        <v>1090</v>
      </c>
      <c r="D4484" s="30" t="s">
        <v>17</v>
      </c>
      <c r="E4484" s="30" t="s">
        <v>67</v>
      </c>
      <c r="F4484" s="30" t="s">
        <v>68</v>
      </c>
      <c r="G4484" s="30" t="s">
        <v>50</v>
      </c>
      <c r="H4484" s="32">
        <v>58</v>
      </c>
      <c r="I4484" s="30" t="s">
        <v>51</v>
      </c>
      <c r="J4484" s="41">
        <v>44531</v>
      </c>
      <c r="K4484" s="30" t="s">
        <v>22</v>
      </c>
    </row>
    <row r="4485" spans="1:11">
      <c r="A4485" s="33" t="s">
        <v>10708</v>
      </c>
      <c r="B4485" s="33" t="s">
        <v>10709</v>
      </c>
      <c r="C4485" s="33" t="s">
        <v>2807</v>
      </c>
      <c r="D4485" s="33" t="s">
        <v>17</v>
      </c>
      <c r="E4485" s="33" t="s">
        <v>26</v>
      </c>
      <c r="F4485" s="33" t="s">
        <v>27</v>
      </c>
      <c r="G4485" s="33" t="s">
        <v>20</v>
      </c>
      <c r="H4485" s="35">
        <v>28</v>
      </c>
      <c r="I4485" s="33" t="s">
        <v>21</v>
      </c>
      <c r="J4485" s="42">
        <v>44336</v>
      </c>
      <c r="K4485" s="33" t="s">
        <v>22</v>
      </c>
    </row>
    <row r="4486" spans="1:11">
      <c r="A4486" s="30" t="s">
        <v>10710</v>
      </c>
      <c r="B4486" s="30" t="s">
        <v>10711</v>
      </c>
      <c r="C4486" s="30" t="s">
        <v>10712</v>
      </c>
      <c r="D4486" s="30" t="s">
        <v>17</v>
      </c>
      <c r="E4486" s="30" t="s">
        <v>212</v>
      </c>
      <c r="F4486" s="30" t="s">
        <v>213</v>
      </c>
      <c r="G4486" s="30" t="s">
        <v>20</v>
      </c>
      <c r="H4486" s="32">
        <v>414</v>
      </c>
      <c r="I4486" s="30" t="s">
        <v>21</v>
      </c>
      <c r="J4486" s="41">
        <v>44228</v>
      </c>
      <c r="K4486" s="30" t="s">
        <v>22</v>
      </c>
    </row>
    <row r="4487" spans="1:11">
      <c r="A4487" s="33" t="s">
        <v>10713</v>
      </c>
      <c r="B4487" s="33" t="s">
        <v>10714</v>
      </c>
      <c r="C4487" s="33" t="s">
        <v>609</v>
      </c>
      <c r="D4487" s="33" t="s">
        <v>17</v>
      </c>
      <c r="E4487" s="33" t="s">
        <v>26</v>
      </c>
      <c r="F4487" s="33" t="s">
        <v>27</v>
      </c>
      <c r="G4487" s="33" t="s">
        <v>50</v>
      </c>
      <c r="H4487" s="35">
        <v>67</v>
      </c>
      <c r="I4487" s="33" t="s">
        <v>51</v>
      </c>
      <c r="J4487" s="42">
        <v>44550</v>
      </c>
      <c r="K4487" s="33" t="s">
        <v>22</v>
      </c>
    </row>
    <row r="4488" spans="1:11">
      <c r="A4488" s="30" t="s">
        <v>10715</v>
      </c>
      <c r="B4488" s="30" t="s">
        <v>10716</v>
      </c>
      <c r="C4488" s="30" t="s">
        <v>136</v>
      </c>
      <c r="D4488" s="30" t="s">
        <v>17</v>
      </c>
      <c r="E4488" s="30" t="s">
        <v>26</v>
      </c>
      <c r="F4488" s="30" t="s">
        <v>27</v>
      </c>
      <c r="G4488" s="30" t="s">
        <v>20</v>
      </c>
      <c r="H4488" s="32">
        <v>50</v>
      </c>
      <c r="I4488" s="30" t="s">
        <v>21</v>
      </c>
      <c r="J4488" s="41">
        <v>44258</v>
      </c>
      <c r="K4488" s="30" t="s">
        <v>22</v>
      </c>
    </row>
    <row r="4489" spans="1:11">
      <c r="A4489" s="33" t="s">
        <v>10717</v>
      </c>
      <c r="B4489" s="33" t="s">
        <v>10718</v>
      </c>
      <c r="C4489" s="33" t="s">
        <v>310</v>
      </c>
      <c r="D4489" s="33" t="s">
        <v>17</v>
      </c>
      <c r="E4489" s="33" t="s">
        <v>212</v>
      </c>
      <c r="F4489" s="33" t="s">
        <v>213</v>
      </c>
      <c r="G4489" s="33" t="s">
        <v>20</v>
      </c>
      <c r="H4489" s="35">
        <v>1020</v>
      </c>
      <c r="I4489" s="33" t="s">
        <v>21</v>
      </c>
      <c r="J4489" s="42">
        <v>44440</v>
      </c>
      <c r="K4489" s="33" t="s">
        <v>22</v>
      </c>
    </row>
    <row r="4490" spans="1:11">
      <c r="A4490" s="30" t="s">
        <v>10719</v>
      </c>
      <c r="B4490" s="30" t="s">
        <v>10720</v>
      </c>
      <c r="C4490" s="30" t="s">
        <v>7449</v>
      </c>
      <c r="D4490" s="30" t="s">
        <v>17</v>
      </c>
      <c r="E4490" s="30" t="s">
        <v>67</v>
      </c>
      <c r="F4490" s="30" t="s">
        <v>68</v>
      </c>
      <c r="G4490" s="30" t="s">
        <v>140</v>
      </c>
      <c r="H4490" s="32">
        <v>247</v>
      </c>
      <c r="I4490" s="30" t="s">
        <v>51</v>
      </c>
      <c r="J4490" s="41">
        <v>44496</v>
      </c>
      <c r="K4490" s="30" t="s">
        <v>22</v>
      </c>
    </row>
    <row r="4491" spans="1:11">
      <c r="A4491" s="33" t="s">
        <v>10721</v>
      </c>
      <c r="B4491" s="33" t="s">
        <v>10722</v>
      </c>
      <c r="C4491" s="33" t="s">
        <v>2039</v>
      </c>
      <c r="D4491" s="33" t="s">
        <v>17</v>
      </c>
      <c r="E4491" s="33" t="s">
        <v>26</v>
      </c>
      <c r="F4491" s="33" t="s">
        <v>27</v>
      </c>
      <c r="G4491" s="33" t="s">
        <v>20</v>
      </c>
      <c r="H4491" s="35">
        <v>25</v>
      </c>
      <c r="I4491" s="33" t="s">
        <v>21</v>
      </c>
      <c r="J4491" s="42">
        <v>44210</v>
      </c>
      <c r="K4491" s="33" t="s">
        <v>22</v>
      </c>
    </row>
    <row r="4492" spans="1:11">
      <c r="A4492" s="30" t="s">
        <v>10723</v>
      </c>
      <c r="B4492" s="30" t="s">
        <v>10724</v>
      </c>
      <c r="C4492" s="30" t="s">
        <v>190</v>
      </c>
      <c r="D4492" s="30" t="s">
        <v>17</v>
      </c>
      <c r="E4492" s="30" t="s">
        <v>31</v>
      </c>
      <c r="F4492" s="30" t="s">
        <v>32</v>
      </c>
      <c r="G4492" s="30" t="s">
        <v>158</v>
      </c>
      <c r="H4492" s="32">
        <v>31</v>
      </c>
      <c r="I4492" s="30" t="s">
        <v>21</v>
      </c>
      <c r="J4492" s="41">
        <v>44250</v>
      </c>
      <c r="K4492" s="30" t="s">
        <v>22</v>
      </c>
    </row>
    <row r="4493" spans="1:11">
      <c r="A4493" s="33" t="s">
        <v>10725</v>
      </c>
      <c r="B4493" s="33" t="s">
        <v>10726</v>
      </c>
      <c r="C4493" s="33" t="s">
        <v>10727</v>
      </c>
      <c r="D4493" s="33" t="s">
        <v>17</v>
      </c>
      <c r="E4493" s="33" t="s">
        <v>31</v>
      </c>
      <c r="F4493" s="33" t="s">
        <v>32</v>
      </c>
      <c r="G4493" s="33" t="s">
        <v>20</v>
      </c>
      <c r="H4493" s="35">
        <v>86</v>
      </c>
      <c r="I4493" s="33" t="s">
        <v>21</v>
      </c>
      <c r="J4493" s="42">
        <v>44427</v>
      </c>
      <c r="K4493" s="33" t="s">
        <v>22</v>
      </c>
    </row>
    <row r="4494" spans="1:11">
      <c r="A4494" s="30" t="s">
        <v>10728</v>
      </c>
      <c r="B4494" s="30" t="s">
        <v>10729</v>
      </c>
      <c r="C4494" s="30" t="s">
        <v>157</v>
      </c>
      <c r="D4494" s="30" t="s">
        <v>17</v>
      </c>
      <c r="E4494" s="30" t="s">
        <v>67</v>
      </c>
      <c r="F4494" s="30" t="s">
        <v>68</v>
      </c>
      <c r="G4494" s="30" t="s">
        <v>20</v>
      </c>
      <c r="H4494" s="32">
        <v>200</v>
      </c>
      <c r="I4494" s="30" t="s">
        <v>21</v>
      </c>
      <c r="J4494" s="41">
        <v>44239</v>
      </c>
      <c r="K4494" s="30" t="s">
        <v>22</v>
      </c>
    </row>
    <row r="4495" spans="1:11">
      <c r="A4495" s="33" t="s">
        <v>10730</v>
      </c>
      <c r="B4495" s="33" t="s">
        <v>10731</v>
      </c>
      <c r="C4495" s="33" t="s">
        <v>10732</v>
      </c>
      <c r="D4495" s="33" t="s">
        <v>17</v>
      </c>
      <c r="E4495" s="33" t="s">
        <v>45</v>
      </c>
      <c r="F4495" s="33" t="s">
        <v>46</v>
      </c>
      <c r="G4495" s="33" t="s">
        <v>106</v>
      </c>
      <c r="H4495" s="35">
        <v>17</v>
      </c>
      <c r="I4495" s="33" t="s">
        <v>21</v>
      </c>
      <c r="J4495" s="42">
        <v>44494</v>
      </c>
      <c r="K4495" s="33" t="s">
        <v>22</v>
      </c>
    </row>
    <row r="4496" spans="1:11">
      <c r="A4496" s="30" t="s">
        <v>10733</v>
      </c>
      <c r="B4496" s="30" t="s">
        <v>10734</v>
      </c>
      <c r="C4496" s="30" t="s">
        <v>102</v>
      </c>
      <c r="D4496" s="30" t="s">
        <v>17</v>
      </c>
      <c r="E4496" s="30" t="s">
        <v>330</v>
      </c>
      <c r="F4496" s="30" t="s">
        <v>331</v>
      </c>
      <c r="G4496" s="30" t="s">
        <v>20</v>
      </c>
      <c r="H4496" s="32">
        <v>245</v>
      </c>
      <c r="I4496" s="30" t="s">
        <v>21</v>
      </c>
      <c r="J4496" s="41">
        <v>44550</v>
      </c>
      <c r="K4496" s="30" t="s">
        <v>22</v>
      </c>
    </row>
    <row r="4497" spans="1:11">
      <c r="A4497" s="33" t="s">
        <v>10735</v>
      </c>
      <c r="B4497" s="33" t="s">
        <v>10736</v>
      </c>
      <c r="C4497" s="33" t="s">
        <v>847</v>
      </c>
      <c r="D4497" s="33" t="s">
        <v>17</v>
      </c>
      <c r="E4497" s="33" t="s">
        <v>26</v>
      </c>
      <c r="F4497" s="33" t="s">
        <v>27</v>
      </c>
      <c r="G4497" s="33" t="s">
        <v>50</v>
      </c>
      <c r="H4497" s="35">
        <v>18</v>
      </c>
      <c r="I4497" s="33" t="s">
        <v>51</v>
      </c>
      <c r="J4497" s="42">
        <v>44348</v>
      </c>
      <c r="K4497" s="33" t="s">
        <v>22</v>
      </c>
    </row>
    <row r="4498" spans="1:11">
      <c r="A4498" s="30" t="s">
        <v>10737</v>
      </c>
      <c r="B4498" s="30" t="s">
        <v>10738</v>
      </c>
      <c r="C4498" s="30" t="s">
        <v>8426</v>
      </c>
      <c r="D4498" s="30" t="s">
        <v>17</v>
      </c>
      <c r="E4498" s="30" t="s">
        <v>31</v>
      </c>
      <c r="F4498" s="30" t="s">
        <v>32</v>
      </c>
      <c r="G4498" s="30" t="s">
        <v>106</v>
      </c>
      <c r="H4498" s="32">
        <v>4</v>
      </c>
      <c r="I4498" s="30" t="s">
        <v>21</v>
      </c>
      <c r="J4498" s="41">
        <v>44442</v>
      </c>
      <c r="K4498" s="30" t="s">
        <v>22</v>
      </c>
    </row>
    <row r="4499" spans="1:11">
      <c r="A4499" s="33" t="s">
        <v>10739</v>
      </c>
      <c r="B4499" s="33" t="s">
        <v>10740</v>
      </c>
      <c r="C4499" s="33" t="s">
        <v>647</v>
      </c>
      <c r="D4499" s="33" t="s">
        <v>17</v>
      </c>
      <c r="E4499" s="33" t="s">
        <v>31</v>
      </c>
      <c r="F4499" s="33" t="s">
        <v>32</v>
      </c>
      <c r="G4499" s="33" t="s">
        <v>20</v>
      </c>
      <c r="H4499" s="35">
        <v>146</v>
      </c>
      <c r="I4499" s="33" t="s">
        <v>21</v>
      </c>
      <c r="J4499" s="42">
        <v>44476</v>
      </c>
      <c r="K4499" s="33" t="s">
        <v>22</v>
      </c>
    </row>
    <row r="4500" spans="1:11">
      <c r="A4500" s="30" t="s">
        <v>10741</v>
      </c>
      <c r="B4500" s="30" t="s">
        <v>10742</v>
      </c>
      <c r="C4500" s="30" t="s">
        <v>429</v>
      </c>
      <c r="D4500" s="30" t="s">
        <v>17</v>
      </c>
      <c r="E4500" s="30" t="s">
        <v>26</v>
      </c>
      <c r="F4500" s="30" t="s">
        <v>27</v>
      </c>
      <c r="G4500" s="30" t="s">
        <v>20</v>
      </c>
      <c r="H4500" s="32">
        <v>7</v>
      </c>
      <c r="I4500" s="30" t="s">
        <v>21</v>
      </c>
      <c r="J4500" s="41">
        <v>44505</v>
      </c>
      <c r="K4500" s="30" t="s">
        <v>22</v>
      </c>
    </row>
    <row r="4501" spans="1:11">
      <c r="A4501" s="33" t="s">
        <v>10743</v>
      </c>
      <c r="B4501" s="33" t="s">
        <v>10744</v>
      </c>
      <c r="C4501" s="33" t="s">
        <v>10745</v>
      </c>
      <c r="D4501" s="33" t="s">
        <v>17</v>
      </c>
      <c r="E4501" s="33" t="s">
        <v>67</v>
      </c>
      <c r="F4501" s="33" t="s">
        <v>68</v>
      </c>
      <c r="G4501" s="33" t="s">
        <v>140</v>
      </c>
      <c r="H4501" s="35">
        <v>57</v>
      </c>
      <c r="I4501" s="33" t="s">
        <v>51</v>
      </c>
      <c r="J4501" s="42">
        <v>44462</v>
      </c>
      <c r="K4501" s="33" t="s">
        <v>22</v>
      </c>
    </row>
    <row r="4502" spans="1:11">
      <c r="A4502" s="30" t="s">
        <v>10746</v>
      </c>
      <c r="B4502" s="30" t="s">
        <v>10747</v>
      </c>
      <c r="C4502" s="30" t="s">
        <v>96</v>
      </c>
      <c r="D4502" s="30" t="s">
        <v>17</v>
      </c>
      <c r="E4502" s="30" t="s">
        <v>18</v>
      </c>
      <c r="F4502" s="30" t="s">
        <v>19</v>
      </c>
      <c r="G4502" s="30" t="s">
        <v>20</v>
      </c>
      <c r="H4502" s="32">
        <v>570</v>
      </c>
      <c r="I4502" s="30" t="s">
        <v>21</v>
      </c>
      <c r="J4502" s="41">
        <v>44336</v>
      </c>
      <c r="K4502" s="30" t="s">
        <v>22</v>
      </c>
    </row>
    <row r="4503" spans="1:11">
      <c r="A4503" s="33" t="s">
        <v>10748</v>
      </c>
      <c r="B4503" s="33" t="s">
        <v>10749</v>
      </c>
      <c r="C4503" s="33" t="s">
        <v>7544</v>
      </c>
      <c r="D4503" s="33" t="s">
        <v>17</v>
      </c>
      <c r="E4503" s="33" t="s">
        <v>18</v>
      </c>
      <c r="F4503" s="33" t="s">
        <v>19</v>
      </c>
      <c r="G4503" s="33" t="s">
        <v>20</v>
      </c>
      <c r="H4503" s="35">
        <v>952</v>
      </c>
      <c r="I4503" s="33" t="s">
        <v>21</v>
      </c>
      <c r="J4503" s="42">
        <v>44293</v>
      </c>
      <c r="K4503" s="33" t="s">
        <v>22</v>
      </c>
    </row>
    <row r="4504" spans="1:11">
      <c r="A4504" s="30" t="s">
        <v>10750</v>
      </c>
      <c r="B4504" s="30" t="s">
        <v>10751</v>
      </c>
      <c r="C4504" s="30" t="s">
        <v>10752</v>
      </c>
      <c r="D4504" s="30" t="s">
        <v>17</v>
      </c>
      <c r="E4504" s="30" t="s">
        <v>26</v>
      </c>
      <c r="F4504" s="30" t="s">
        <v>27</v>
      </c>
      <c r="G4504" s="30" t="s">
        <v>20</v>
      </c>
      <c r="H4504" s="32">
        <v>74</v>
      </c>
      <c r="I4504" s="30" t="s">
        <v>21</v>
      </c>
      <c r="J4504" s="41">
        <v>44382</v>
      </c>
      <c r="K4504" s="30" t="s">
        <v>22</v>
      </c>
    </row>
    <row r="4505" spans="1:11">
      <c r="A4505" s="33" t="s">
        <v>10753</v>
      </c>
      <c r="B4505" s="33" t="s">
        <v>10754</v>
      </c>
      <c r="C4505" s="33" t="s">
        <v>157</v>
      </c>
      <c r="D4505" s="33" t="s">
        <v>17</v>
      </c>
      <c r="E4505" s="33" t="s">
        <v>31</v>
      </c>
      <c r="F4505" s="33" t="s">
        <v>32</v>
      </c>
      <c r="G4505" s="33" t="s">
        <v>20</v>
      </c>
      <c r="H4505" s="35">
        <v>259</v>
      </c>
      <c r="I4505" s="33" t="s">
        <v>21</v>
      </c>
      <c r="J4505" s="42">
        <v>44419</v>
      </c>
      <c r="K4505" s="33" t="s">
        <v>22</v>
      </c>
    </row>
    <row r="4506" spans="1:11">
      <c r="A4506" s="30" t="s">
        <v>10755</v>
      </c>
      <c r="B4506" s="30" t="s">
        <v>10756</v>
      </c>
      <c r="C4506" s="30" t="s">
        <v>10757</v>
      </c>
      <c r="D4506" s="30" t="s">
        <v>17</v>
      </c>
      <c r="E4506" s="30" t="s">
        <v>31</v>
      </c>
      <c r="F4506" s="30" t="s">
        <v>32</v>
      </c>
      <c r="G4506" s="30" t="s">
        <v>20</v>
      </c>
      <c r="H4506" s="32">
        <v>25</v>
      </c>
      <c r="I4506" s="30" t="s">
        <v>21</v>
      </c>
      <c r="J4506" s="41">
        <v>44435</v>
      </c>
      <c r="K4506" s="30" t="s">
        <v>22</v>
      </c>
    </row>
    <row r="4507" spans="1:11">
      <c r="A4507" s="33" t="s">
        <v>10758</v>
      </c>
      <c r="B4507" s="33" t="s">
        <v>10759</v>
      </c>
      <c r="C4507" s="33" t="s">
        <v>1090</v>
      </c>
      <c r="D4507" s="33" t="s">
        <v>17</v>
      </c>
      <c r="E4507" s="33" t="s">
        <v>26</v>
      </c>
      <c r="F4507" s="33" t="s">
        <v>27</v>
      </c>
      <c r="G4507" s="33" t="s">
        <v>50</v>
      </c>
      <c r="H4507" s="35">
        <v>98</v>
      </c>
      <c r="I4507" s="33" t="s">
        <v>51</v>
      </c>
      <c r="J4507" s="42">
        <v>44470</v>
      </c>
      <c r="K4507" s="33" t="s">
        <v>22</v>
      </c>
    </row>
    <row r="4508" spans="1:11">
      <c r="A4508" s="30" t="s">
        <v>10760</v>
      </c>
      <c r="B4508" s="30" t="s">
        <v>10761</v>
      </c>
      <c r="C4508" s="30" t="s">
        <v>5117</v>
      </c>
      <c r="D4508" s="30" t="s">
        <v>17</v>
      </c>
      <c r="E4508" s="30" t="s">
        <v>67</v>
      </c>
      <c r="F4508" s="30" t="s">
        <v>68</v>
      </c>
      <c r="G4508" s="30" t="s">
        <v>158</v>
      </c>
      <c r="H4508" s="32">
        <v>7</v>
      </c>
      <c r="I4508" s="30" t="s">
        <v>21</v>
      </c>
      <c r="J4508" s="41">
        <v>44376</v>
      </c>
      <c r="K4508" s="30" t="s">
        <v>22</v>
      </c>
    </row>
    <row r="4509" spans="1:11">
      <c r="A4509" s="33" t="s">
        <v>10762</v>
      </c>
      <c r="B4509" s="33" t="s">
        <v>10763</v>
      </c>
      <c r="C4509" s="33" t="s">
        <v>105</v>
      </c>
      <c r="D4509" s="33" t="s">
        <v>17</v>
      </c>
      <c r="E4509" s="33" t="s">
        <v>18</v>
      </c>
      <c r="F4509" s="33" t="s">
        <v>19</v>
      </c>
      <c r="G4509" s="33" t="s">
        <v>20</v>
      </c>
      <c r="H4509" s="35">
        <v>792</v>
      </c>
      <c r="I4509" s="33" t="s">
        <v>21</v>
      </c>
      <c r="J4509" s="42">
        <v>44259</v>
      </c>
      <c r="K4509" s="33" t="s">
        <v>22</v>
      </c>
    </row>
    <row r="4510" spans="1:11">
      <c r="A4510" s="30" t="s">
        <v>10764</v>
      </c>
      <c r="B4510" s="30" t="s">
        <v>10765</v>
      </c>
      <c r="C4510" s="30" t="s">
        <v>3578</v>
      </c>
      <c r="D4510" s="30" t="s">
        <v>17</v>
      </c>
      <c r="E4510" s="30" t="s">
        <v>18</v>
      </c>
      <c r="F4510" s="30" t="s">
        <v>19</v>
      </c>
      <c r="G4510" s="30" t="s">
        <v>106</v>
      </c>
      <c r="H4510" s="32">
        <v>1389</v>
      </c>
      <c r="I4510" s="30" t="s">
        <v>21</v>
      </c>
      <c r="J4510" s="41">
        <v>44520</v>
      </c>
      <c r="K4510" s="30" t="s">
        <v>22</v>
      </c>
    </row>
    <row r="4511" spans="1:11">
      <c r="A4511" s="33" t="s">
        <v>10766</v>
      </c>
      <c r="B4511" s="33" t="s">
        <v>10767</v>
      </c>
      <c r="C4511" s="33" t="s">
        <v>3622</v>
      </c>
      <c r="D4511" s="33" t="s">
        <v>17</v>
      </c>
      <c r="E4511" s="33" t="s">
        <v>26</v>
      </c>
      <c r="F4511" s="33" t="s">
        <v>27</v>
      </c>
      <c r="G4511" s="33" t="s">
        <v>20</v>
      </c>
      <c r="H4511" s="35">
        <v>55</v>
      </c>
      <c r="I4511" s="33" t="s">
        <v>21</v>
      </c>
      <c r="J4511" s="42">
        <v>44350</v>
      </c>
      <c r="K4511" s="33" t="s">
        <v>22</v>
      </c>
    </row>
    <row r="4512" spans="1:11">
      <c r="A4512" s="30" t="s">
        <v>10768</v>
      </c>
      <c r="B4512" s="30" t="s">
        <v>10769</v>
      </c>
      <c r="C4512" s="30" t="s">
        <v>1090</v>
      </c>
      <c r="D4512" s="30" t="s">
        <v>17</v>
      </c>
      <c r="E4512" s="30" t="s">
        <v>31</v>
      </c>
      <c r="F4512" s="30" t="s">
        <v>32</v>
      </c>
      <c r="G4512" s="30" t="s">
        <v>50</v>
      </c>
      <c r="H4512" s="32">
        <v>240</v>
      </c>
      <c r="I4512" s="30" t="s">
        <v>51</v>
      </c>
      <c r="J4512" s="41">
        <v>44429</v>
      </c>
      <c r="K4512" s="30" t="s">
        <v>22</v>
      </c>
    </row>
    <row r="4513" spans="1:11">
      <c r="A4513" s="33" t="s">
        <v>10770</v>
      </c>
      <c r="B4513" s="33" t="s">
        <v>10771</v>
      </c>
      <c r="C4513" s="33" t="s">
        <v>801</v>
      </c>
      <c r="D4513" s="33" t="s">
        <v>17</v>
      </c>
      <c r="E4513" s="33" t="s">
        <v>18</v>
      </c>
      <c r="F4513" s="33" t="s">
        <v>19</v>
      </c>
      <c r="G4513" s="33" t="s">
        <v>158</v>
      </c>
      <c r="H4513" s="35">
        <v>158</v>
      </c>
      <c r="I4513" s="33" t="s">
        <v>21</v>
      </c>
      <c r="J4513" s="42">
        <v>44333</v>
      </c>
      <c r="K4513" s="33" t="s">
        <v>22</v>
      </c>
    </row>
    <row r="4514" spans="1:11">
      <c r="A4514" s="30" t="s">
        <v>10772</v>
      </c>
      <c r="B4514" s="30" t="s">
        <v>10773</v>
      </c>
      <c r="C4514" s="30" t="s">
        <v>10774</v>
      </c>
      <c r="D4514" s="30" t="s">
        <v>17</v>
      </c>
      <c r="E4514" s="30" t="s">
        <v>31</v>
      </c>
      <c r="F4514" s="30" t="s">
        <v>32</v>
      </c>
      <c r="G4514" s="30" t="s">
        <v>140</v>
      </c>
      <c r="H4514" s="32">
        <v>213</v>
      </c>
      <c r="I4514" s="30" t="s">
        <v>51</v>
      </c>
      <c r="J4514" s="41">
        <v>44426</v>
      </c>
      <c r="K4514" s="30" t="s">
        <v>22</v>
      </c>
    </row>
    <row r="4515" spans="1:11">
      <c r="A4515" s="33" t="s">
        <v>10775</v>
      </c>
      <c r="B4515" s="33" t="s">
        <v>10776</v>
      </c>
      <c r="C4515" s="33" t="s">
        <v>2292</v>
      </c>
      <c r="D4515" s="33" t="s">
        <v>17</v>
      </c>
      <c r="E4515" s="33" t="s">
        <v>26</v>
      </c>
      <c r="F4515" s="33" t="s">
        <v>27</v>
      </c>
      <c r="G4515" s="33" t="s">
        <v>20</v>
      </c>
      <c r="H4515" s="35">
        <v>15</v>
      </c>
      <c r="I4515" s="33" t="s">
        <v>21</v>
      </c>
      <c r="J4515" s="42">
        <v>44336</v>
      </c>
      <c r="K4515" s="33" t="s">
        <v>22</v>
      </c>
    </row>
    <row r="4516" spans="1:11">
      <c r="A4516" s="30" t="s">
        <v>10777</v>
      </c>
      <c r="B4516" s="30" t="s">
        <v>10778</v>
      </c>
      <c r="C4516" s="30" t="s">
        <v>190</v>
      </c>
      <c r="D4516" s="30" t="s">
        <v>17</v>
      </c>
      <c r="E4516" s="30" t="s">
        <v>26</v>
      </c>
      <c r="F4516" s="30" t="s">
        <v>27</v>
      </c>
      <c r="G4516" s="30" t="s">
        <v>106</v>
      </c>
      <c r="H4516" s="32">
        <v>18</v>
      </c>
      <c r="I4516" s="30" t="s">
        <v>21</v>
      </c>
      <c r="J4516" s="41">
        <v>44375</v>
      </c>
      <c r="K4516" s="30" t="s">
        <v>22</v>
      </c>
    </row>
    <row r="4517" spans="1:11">
      <c r="A4517" s="33" t="s">
        <v>10779</v>
      </c>
      <c r="B4517" s="33" t="s">
        <v>10780</v>
      </c>
      <c r="C4517" s="33" t="s">
        <v>1295</v>
      </c>
      <c r="D4517" s="33" t="s">
        <v>17</v>
      </c>
      <c r="E4517" s="33" t="s">
        <v>31</v>
      </c>
      <c r="F4517" s="33" t="s">
        <v>32</v>
      </c>
      <c r="G4517" s="33" t="s">
        <v>106</v>
      </c>
      <c r="H4517" s="35">
        <v>43</v>
      </c>
      <c r="I4517" s="33" t="s">
        <v>21</v>
      </c>
      <c r="J4517" s="42">
        <v>44203</v>
      </c>
      <c r="K4517" s="33" t="s">
        <v>22</v>
      </c>
    </row>
    <row r="4518" spans="1:11">
      <c r="A4518" s="30" t="s">
        <v>10781</v>
      </c>
      <c r="B4518" s="30" t="s">
        <v>10782</v>
      </c>
      <c r="C4518" s="30" t="s">
        <v>387</v>
      </c>
      <c r="D4518" s="30" t="s">
        <v>17</v>
      </c>
      <c r="E4518" s="30" t="s">
        <v>26</v>
      </c>
      <c r="F4518" s="30" t="s">
        <v>27</v>
      </c>
      <c r="G4518" s="30" t="s">
        <v>106</v>
      </c>
      <c r="H4518" s="32">
        <v>37</v>
      </c>
      <c r="I4518" s="30" t="s">
        <v>21</v>
      </c>
      <c r="J4518" s="41">
        <v>44466</v>
      </c>
      <c r="K4518" s="30" t="s">
        <v>22</v>
      </c>
    </row>
    <row r="4519" spans="1:11">
      <c r="A4519" s="33" t="s">
        <v>10783</v>
      </c>
      <c r="B4519" s="33" t="s">
        <v>10784</v>
      </c>
      <c r="C4519" s="33" t="s">
        <v>10785</v>
      </c>
      <c r="D4519" s="33" t="s">
        <v>17</v>
      </c>
      <c r="E4519" s="33" t="s">
        <v>45</v>
      </c>
      <c r="F4519" s="33" t="s">
        <v>46</v>
      </c>
      <c r="G4519" s="33" t="s">
        <v>50</v>
      </c>
      <c r="H4519" s="35">
        <v>60</v>
      </c>
      <c r="I4519" s="33" t="s">
        <v>51</v>
      </c>
      <c r="J4519" s="42">
        <v>44242</v>
      </c>
      <c r="K4519" s="33" t="s">
        <v>22</v>
      </c>
    </row>
    <row r="4520" spans="1:11">
      <c r="A4520" s="30" t="s">
        <v>10786</v>
      </c>
      <c r="B4520" s="30" t="s">
        <v>10787</v>
      </c>
      <c r="C4520" s="30" t="s">
        <v>10788</v>
      </c>
      <c r="D4520" s="30" t="s">
        <v>17</v>
      </c>
      <c r="E4520" s="30" t="s">
        <v>67</v>
      </c>
      <c r="F4520" s="30" t="s">
        <v>68</v>
      </c>
      <c r="G4520" s="30" t="s">
        <v>2613</v>
      </c>
      <c r="H4520" s="32">
        <v>24</v>
      </c>
      <c r="I4520" s="30" t="s">
        <v>51</v>
      </c>
      <c r="J4520" s="41">
        <v>44287</v>
      </c>
      <c r="K4520" s="30" t="s">
        <v>22</v>
      </c>
    </row>
    <row r="4521" spans="1:11">
      <c r="A4521" s="33" t="s">
        <v>10789</v>
      </c>
      <c r="B4521" s="33" t="s">
        <v>10790</v>
      </c>
      <c r="C4521" s="33" t="s">
        <v>6279</v>
      </c>
      <c r="D4521" s="33" t="s">
        <v>17</v>
      </c>
      <c r="E4521" s="33" t="s">
        <v>31</v>
      </c>
      <c r="F4521" s="33" t="s">
        <v>32</v>
      </c>
      <c r="G4521" s="33" t="s">
        <v>20</v>
      </c>
      <c r="H4521" s="35">
        <v>78</v>
      </c>
      <c r="I4521" s="33" t="s">
        <v>21</v>
      </c>
      <c r="J4521" s="42">
        <v>44323</v>
      </c>
      <c r="K4521" s="33" t="s">
        <v>22</v>
      </c>
    </row>
    <row r="4522" spans="1:11">
      <c r="A4522" s="30" t="s">
        <v>10791</v>
      </c>
      <c r="B4522" s="30" t="s">
        <v>10792</v>
      </c>
      <c r="C4522" s="30" t="s">
        <v>96</v>
      </c>
      <c r="D4522" s="30" t="s">
        <v>17</v>
      </c>
      <c r="E4522" s="30" t="s">
        <v>18</v>
      </c>
      <c r="F4522" s="30" t="s">
        <v>19</v>
      </c>
      <c r="G4522" s="30" t="s">
        <v>158</v>
      </c>
      <c r="H4522" s="32">
        <v>38861</v>
      </c>
      <c r="I4522" s="30" t="s">
        <v>21</v>
      </c>
      <c r="J4522" s="41">
        <v>44439</v>
      </c>
      <c r="K4522" s="30" t="s">
        <v>22</v>
      </c>
    </row>
    <row r="4523" spans="1:11">
      <c r="A4523" s="33" t="s">
        <v>10793</v>
      </c>
      <c r="B4523" s="33" t="s">
        <v>10794</v>
      </c>
      <c r="C4523" s="33" t="s">
        <v>109</v>
      </c>
      <c r="D4523" s="33" t="s">
        <v>17</v>
      </c>
      <c r="E4523" s="33" t="s">
        <v>31</v>
      </c>
      <c r="F4523" s="33" t="s">
        <v>32</v>
      </c>
      <c r="G4523" s="33" t="s">
        <v>158</v>
      </c>
      <c r="H4523" s="35">
        <v>24</v>
      </c>
      <c r="I4523" s="33" t="s">
        <v>21</v>
      </c>
      <c r="J4523" s="42">
        <v>44204</v>
      </c>
      <c r="K4523" s="33" t="s">
        <v>22</v>
      </c>
    </row>
    <row r="4524" spans="1:11">
      <c r="A4524" s="30" t="s">
        <v>10795</v>
      </c>
      <c r="B4524" s="30" t="s">
        <v>10796</v>
      </c>
      <c r="C4524" s="30" t="s">
        <v>10797</v>
      </c>
      <c r="D4524" s="30" t="s">
        <v>17</v>
      </c>
      <c r="E4524" s="30" t="s">
        <v>31</v>
      </c>
      <c r="F4524" s="30" t="s">
        <v>32</v>
      </c>
      <c r="G4524" s="30" t="s">
        <v>50</v>
      </c>
      <c r="H4524" s="32">
        <v>90</v>
      </c>
      <c r="I4524" s="30" t="s">
        <v>51</v>
      </c>
      <c r="J4524" s="41">
        <v>44378</v>
      </c>
      <c r="K4524" s="30" t="s">
        <v>22</v>
      </c>
    </row>
    <row r="4525" spans="1:11">
      <c r="A4525" s="33" t="s">
        <v>10798</v>
      </c>
      <c r="B4525" s="33" t="s">
        <v>10799</v>
      </c>
      <c r="C4525" s="33" t="s">
        <v>10800</v>
      </c>
      <c r="D4525" s="33" t="s">
        <v>17</v>
      </c>
      <c r="E4525" s="33" t="s">
        <v>26</v>
      </c>
      <c r="F4525" s="33" t="s">
        <v>27</v>
      </c>
      <c r="G4525" s="33" t="s">
        <v>20</v>
      </c>
      <c r="H4525" s="35">
        <v>36</v>
      </c>
      <c r="I4525" s="33" t="s">
        <v>21</v>
      </c>
      <c r="J4525" s="42">
        <v>44378</v>
      </c>
      <c r="K4525" s="33" t="s">
        <v>22</v>
      </c>
    </row>
    <row r="4526" spans="1:11">
      <c r="A4526" s="30" t="s">
        <v>10801</v>
      </c>
      <c r="B4526" s="30" t="s">
        <v>10802</v>
      </c>
      <c r="C4526" s="30" t="s">
        <v>656</v>
      </c>
      <c r="D4526" s="30" t="s">
        <v>17</v>
      </c>
      <c r="E4526" s="30" t="s">
        <v>31</v>
      </c>
      <c r="F4526" s="30" t="s">
        <v>32</v>
      </c>
      <c r="G4526" s="30" t="s">
        <v>50</v>
      </c>
      <c r="H4526" s="32">
        <v>72</v>
      </c>
      <c r="I4526" s="30" t="s">
        <v>51</v>
      </c>
      <c r="J4526" s="41">
        <v>44203</v>
      </c>
      <c r="K4526" s="30" t="s">
        <v>22</v>
      </c>
    </row>
    <row r="4527" spans="1:11">
      <c r="A4527" s="33" t="s">
        <v>10803</v>
      </c>
      <c r="B4527" s="33" t="s">
        <v>10804</v>
      </c>
      <c r="C4527" s="33" t="s">
        <v>1112</v>
      </c>
      <c r="D4527" s="33" t="s">
        <v>17</v>
      </c>
      <c r="E4527" s="33" t="s">
        <v>26</v>
      </c>
      <c r="F4527" s="33" t="s">
        <v>27</v>
      </c>
      <c r="G4527" s="33" t="s">
        <v>20</v>
      </c>
      <c r="H4527" s="35">
        <v>48</v>
      </c>
      <c r="I4527" s="33" t="s">
        <v>21</v>
      </c>
      <c r="J4527" s="42">
        <v>44389</v>
      </c>
      <c r="K4527" s="33" t="s">
        <v>22</v>
      </c>
    </row>
    <row r="4528" spans="1:11">
      <c r="A4528" s="30" t="s">
        <v>10805</v>
      </c>
      <c r="B4528" s="30" t="s">
        <v>10806</v>
      </c>
      <c r="C4528" s="30" t="s">
        <v>9841</v>
      </c>
      <c r="D4528" s="30" t="s">
        <v>17</v>
      </c>
      <c r="E4528" s="30" t="s">
        <v>18</v>
      </c>
      <c r="F4528" s="30" t="s">
        <v>19</v>
      </c>
      <c r="G4528" s="30" t="s">
        <v>20</v>
      </c>
      <c r="H4528" s="32">
        <v>464</v>
      </c>
      <c r="I4528" s="30" t="s">
        <v>21</v>
      </c>
      <c r="J4528" s="41">
        <v>44343</v>
      </c>
      <c r="K4528" s="30" t="s">
        <v>22</v>
      </c>
    </row>
    <row r="4529" spans="1:11">
      <c r="A4529" s="33" t="s">
        <v>10807</v>
      </c>
      <c r="B4529" s="33" t="s">
        <v>10808</v>
      </c>
      <c r="C4529" s="33" t="s">
        <v>1428</v>
      </c>
      <c r="D4529" s="33" t="s">
        <v>17</v>
      </c>
      <c r="E4529" s="33" t="s">
        <v>45</v>
      </c>
      <c r="F4529" s="33" t="s">
        <v>46</v>
      </c>
      <c r="G4529" s="33" t="s">
        <v>50</v>
      </c>
      <c r="H4529" s="35">
        <v>560</v>
      </c>
      <c r="I4529" s="33" t="s">
        <v>51</v>
      </c>
      <c r="J4529" s="42">
        <v>44252</v>
      </c>
      <c r="K4529" s="33" t="s">
        <v>22</v>
      </c>
    </row>
    <row r="4530" spans="1:11">
      <c r="A4530" s="30" t="s">
        <v>10809</v>
      </c>
      <c r="B4530" s="30" t="s">
        <v>10810</v>
      </c>
      <c r="C4530" s="30" t="s">
        <v>8052</v>
      </c>
      <c r="D4530" s="30" t="s">
        <v>17</v>
      </c>
      <c r="E4530" s="30" t="s">
        <v>26</v>
      </c>
      <c r="F4530" s="30" t="s">
        <v>27</v>
      </c>
      <c r="G4530" s="30" t="s">
        <v>20</v>
      </c>
      <c r="H4530" s="32">
        <v>98</v>
      </c>
      <c r="I4530" s="30" t="s">
        <v>21</v>
      </c>
      <c r="J4530" s="41">
        <v>44531</v>
      </c>
      <c r="K4530" s="30" t="s">
        <v>22</v>
      </c>
    </row>
    <row r="4531" spans="1:11">
      <c r="A4531" s="33" t="s">
        <v>10811</v>
      </c>
      <c r="B4531" s="33" t="s">
        <v>10812</v>
      </c>
      <c r="C4531" s="33" t="s">
        <v>2839</v>
      </c>
      <c r="D4531" s="33" t="s">
        <v>17</v>
      </c>
      <c r="E4531" s="33" t="s">
        <v>26</v>
      </c>
      <c r="F4531" s="33" t="s">
        <v>27</v>
      </c>
      <c r="G4531" s="33" t="s">
        <v>50</v>
      </c>
      <c r="H4531" s="35">
        <v>76</v>
      </c>
      <c r="I4531" s="33" t="s">
        <v>51</v>
      </c>
      <c r="J4531" s="42">
        <v>44403</v>
      </c>
      <c r="K4531" s="33" t="s">
        <v>22</v>
      </c>
    </row>
    <row r="4532" spans="1:11">
      <c r="A4532" s="30" t="s">
        <v>10813</v>
      </c>
      <c r="B4532" s="30" t="s">
        <v>10814</v>
      </c>
      <c r="C4532" s="30" t="s">
        <v>1683</v>
      </c>
      <c r="D4532" s="30" t="s">
        <v>17</v>
      </c>
      <c r="E4532" s="30" t="s">
        <v>18</v>
      </c>
      <c r="F4532" s="30" t="s">
        <v>19</v>
      </c>
      <c r="G4532" s="30" t="s">
        <v>20</v>
      </c>
      <c r="H4532" s="32">
        <v>126</v>
      </c>
      <c r="I4532" s="30" t="s">
        <v>21</v>
      </c>
      <c r="J4532" s="41">
        <v>44496</v>
      </c>
      <c r="K4532" s="30" t="s">
        <v>22</v>
      </c>
    </row>
    <row r="4533" spans="1:11">
      <c r="A4533" s="33" t="s">
        <v>10815</v>
      </c>
      <c r="B4533" s="33" t="s">
        <v>10816</v>
      </c>
      <c r="C4533" s="33" t="s">
        <v>701</v>
      </c>
      <c r="D4533" s="33" t="s">
        <v>17</v>
      </c>
      <c r="E4533" s="33" t="s">
        <v>18</v>
      </c>
      <c r="F4533" s="33" t="s">
        <v>19</v>
      </c>
      <c r="G4533" s="33" t="s">
        <v>50</v>
      </c>
      <c r="H4533" s="35">
        <v>1680</v>
      </c>
      <c r="I4533" s="33" t="s">
        <v>51</v>
      </c>
      <c r="J4533" s="42">
        <v>44448</v>
      </c>
      <c r="K4533" s="33" t="s">
        <v>22</v>
      </c>
    </row>
    <row r="4534" spans="1:11">
      <c r="A4534" s="30" t="s">
        <v>10817</v>
      </c>
      <c r="B4534" s="30" t="s">
        <v>10818</v>
      </c>
      <c r="C4534" s="30" t="s">
        <v>1415</v>
      </c>
      <c r="D4534" s="30" t="s">
        <v>17</v>
      </c>
      <c r="E4534" s="30" t="s">
        <v>18</v>
      </c>
      <c r="F4534" s="30" t="s">
        <v>19</v>
      </c>
      <c r="G4534" s="30" t="s">
        <v>106</v>
      </c>
      <c r="H4534" s="32">
        <v>139</v>
      </c>
      <c r="I4534" s="30" t="s">
        <v>21</v>
      </c>
      <c r="J4534" s="41">
        <v>44469</v>
      </c>
      <c r="K4534" s="30" t="s">
        <v>22</v>
      </c>
    </row>
    <row r="4535" spans="1:11">
      <c r="A4535" s="33" t="s">
        <v>10819</v>
      </c>
      <c r="B4535" s="33" t="s">
        <v>10820</v>
      </c>
      <c r="C4535" s="33" t="s">
        <v>10821</v>
      </c>
      <c r="D4535" s="33" t="s">
        <v>17</v>
      </c>
      <c r="E4535" s="33" t="s">
        <v>26</v>
      </c>
      <c r="F4535" s="33" t="s">
        <v>27</v>
      </c>
      <c r="G4535" s="33" t="s">
        <v>20</v>
      </c>
      <c r="H4535" s="35">
        <v>28</v>
      </c>
      <c r="I4535" s="33" t="s">
        <v>21</v>
      </c>
      <c r="J4535" s="42">
        <v>44491</v>
      </c>
      <c r="K4535" s="33" t="s">
        <v>22</v>
      </c>
    </row>
    <row r="4536" spans="1:11">
      <c r="A4536" s="30" t="s">
        <v>10822</v>
      </c>
      <c r="B4536" s="30" t="s">
        <v>10823</v>
      </c>
      <c r="C4536" s="30" t="s">
        <v>969</v>
      </c>
      <c r="D4536" s="30" t="s">
        <v>17</v>
      </c>
      <c r="E4536" s="30" t="s">
        <v>18</v>
      </c>
      <c r="F4536" s="30" t="s">
        <v>19</v>
      </c>
      <c r="G4536" s="30" t="s">
        <v>20</v>
      </c>
      <c r="H4536" s="32">
        <v>359</v>
      </c>
      <c r="I4536" s="30" t="s">
        <v>21</v>
      </c>
      <c r="J4536" s="41">
        <v>44406</v>
      </c>
      <c r="K4536" s="30" t="s">
        <v>22</v>
      </c>
    </row>
    <row r="4537" spans="1:11">
      <c r="A4537" s="33" t="s">
        <v>10824</v>
      </c>
      <c r="B4537" s="33" t="s">
        <v>10825</v>
      </c>
      <c r="C4537" s="33" t="s">
        <v>5683</v>
      </c>
      <c r="D4537" s="33" t="s">
        <v>17</v>
      </c>
      <c r="E4537" s="33" t="s">
        <v>26</v>
      </c>
      <c r="F4537" s="33" t="s">
        <v>27</v>
      </c>
      <c r="G4537" s="33" t="s">
        <v>20</v>
      </c>
      <c r="H4537" s="35">
        <v>20</v>
      </c>
      <c r="I4537" s="33" t="s">
        <v>21</v>
      </c>
      <c r="J4537" s="42">
        <v>44322</v>
      </c>
      <c r="K4537" s="33" t="s">
        <v>22</v>
      </c>
    </row>
    <row r="4538" spans="1:11">
      <c r="A4538" s="30" t="s">
        <v>10826</v>
      </c>
      <c r="B4538" s="30" t="s">
        <v>10827</v>
      </c>
      <c r="C4538" s="30" t="s">
        <v>2208</v>
      </c>
      <c r="D4538" s="30" t="s">
        <v>17</v>
      </c>
      <c r="E4538" s="30" t="s">
        <v>26</v>
      </c>
      <c r="F4538" s="30" t="s">
        <v>27</v>
      </c>
      <c r="G4538" s="30" t="s">
        <v>20</v>
      </c>
      <c r="H4538" s="32">
        <v>24</v>
      </c>
      <c r="I4538" s="30" t="s">
        <v>21</v>
      </c>
      <c r="J4538" s="41">
        <v>44356</v>
      </c>
      <c r="K4538" s="30" t="s">
        <v>22</v>
      </c>
    </row>
    <row r="4539" spans="1:11">
      <c r="A4539" s="33" t="s">
        <v>10828</v>
      </c>
      <c r="B4539" s="33" t="s">
        <v>10829</v>
      </c>
      <c r="C4539" s="33" t="s">
        <v>102</v>
      </c>
      <c r="D4539" s="33" t="s">
        <v>17</v>
      </c>
      <c r="E4539" s="33" t="s">
        <v>26</v>
      </c>
      <c r="F4539" s="33" t="s">
        <v>27</v>
      </c>
      <c r="G4539" s="33" t="s">
        <v>20</v>
      </c>
      <c r="H4539" s="35">
        <v>45</v>
      </c>
      <c r="I4539" s="33" t="s">
        <v>21</v>
      </c>
      <c r="J4539" s="42">
        <v>44405</v>
      </c>
      <c r="K4539" s="33" t="s">
        <v>22</v>
      </c>
    </row>
    <row r="4540" spans="1:11">
      <c r="A4540" s="30" t="s">
        <v>10830</v>
      </c>
      <c r="B4540" s="30" t="s">
        <v>10831</v>
      </c>
      <c r="C4540" s="30" t="s">
        <v>10832</v>
      </c>
      <c r="D4540" s="30" t="s">
        <v>17</v>
      </c>
      <c r="E4540" s="30" t="s">
        <v>67</v>
      </c>
      <c r="F4540" s="30" t="s">
        <v>68</v>
      </c>
      <c r="G4540" s="30" t="s">
        <v>50</v>
      </c>
      <c r="H4540" s="32">
        <v>79</v>
      </c>
      <c r="I4540" s="30" t="s">
        <v>51</v>
      </c>
      <c r="J4540" s="41">
        <v>44558</v>
      </c>
      <c r="K4540" s="30" t="s">
        <v>22</v>
      </c>
    </row>
    <row r="4541" spans="1:11">
      <c r="A4541" s="33" t="s">
        <v>10833</v>
      </c>
      <c r="B4541" s="33" t="s">
        <v>10834</v>
      </c>
      <c r="C4541" s="33" t="s">
        <v>10835</v>
      </c>
      <c r="D4541" s="33" t="s">
        <v>17</v>
      </c>
      <c r="E4541" s="33" t="s">
        <v>31</v>
      </c>
      <c r="F4541" s="33" t="s">
        <v>32</v>
      </c>
      <c r="G4541" s="33" t="s">
        <v>20</v>
      </c>
      <c r="H4541" s="35">
        <v>58</v>
      </c>
      <c r="I4541" s="33" t="s">
        <v>21</v>
      </c>
      <c r="J4541" s="42">
        <v>44468</v>
      </c>
      <c r="K4541" s="33" t="s">
        <v>22</v>
      </c>
    </row>
    <row r="4542" spans="1:11">
      <c r="A4542" s="30" t="s">
        <v>10836</v>
      </c>
      <c r="B4542" s="30" t="s">
        <v>10837</v>
      </c>
      <c r="C4542" s="30" t="s">
        <v>124</v>
      </c>
      <c r="D4542" s="30" t="s">
        <v>17</v>
      </c>
      <c r="E4542" s="30" t="s">
        <v>31</v>
      </c>
      <c r="F4542" s="30" t="s">
        <v>32</v>
      </c>
      <c r="G4542" s="30" t="s">
        <v>20</v>
      </c>
      <c r="H4542" s="32">
        <v>20</v>
      </c>
      <c r="I4542" s="30" t="s">
        <v>21</v>
      </c>
      <c r="J4542" s="41">
        <v>44264</v>
      </c>
      <c r="K4542" s="30" t="s">
        <v>22</v>
      </c>
    </row>
    <row r="4543" spans="1:11">
      <c r="A4543" s="33" t="s">
        <v>10838</v>
      </c>
      <c r="B4543" s="33" t="s">
        <v>10839</v>
      </c>
      <c r="C4543" s="33" t="s">
        <v>10840</v>
      </c>
      <c r="D4543" s="33" t="s">
        <v>17</v>
      </c>
      <c r="E4543" s="33" t="s">
        <v>212</v>
      </c>
      <c r="F4543" s="33" t="s">
        <v>213</v>
      </c>
      <c r="G4543" s="33" t="s">
        <v>20</v>
      </c>
      <c r="H4543" s="35">
        <v>263</v>
      </c>
      <c r="I4543" s="33" t="s">
        <v>21</v>
      </c>
      <c r="J4543" s="42">
        <v>44497</v>
      </c>
      <c r="K4543" s="33" t="s">
        <v>22</v>
      </c>
    </row>
    <row r="4544" spans="1:11">
      <c r="A4544" s="30" t="s">
        <v>10841</v>
      </c>
      <c r="B4544" s="30" t="s">
        <v>10842</v>
      </c>
      <c r="C4544" s="30" t="s">
        <v>715</v>
      </c>
      <c r="D4544" s="30" t="s">
        <v>17</v>
      </c>
      <c r="E4544" s="30" t="s">
        <v>26</v>
      </c>
      <c r="F4544" s="30" t="s">
        <v>27</v>
      </c>
      <c r="G4544" s="30" t="s">
        <v>140</v>
      </c>
      <c r="H4544" s="32">
        <v>174</v>
      </c>
      <c r="I4544" s="30" t="s">
        <v>51</v>
      </c>
      <c r="J4544" s="41">
        <v>44361</v>
      </c>
      <c r="K4544" s="30" t="s">
        <v>22</v>
      </c>
    </row>
    <row r="4545" spans="1:11">
      <c r="A4545" s="33" t="s">
        <v>10843</v>
      </c>
      <c r="B4545" s="33" t="s">
        <v>10844</v>
      </c>
      <c r="C4545" s="33" t="s">
        <v>10613</v>
      </c>
      <c r="D4545" s="33" t="s">
        <v>17</v>
      </c>
      <c r="E4545" s="33" t="s">
        <v>26</v>
      </c>
      <c r="F4545" s="33" t="s">
        <v>27</v>
      </c>
      <c r="G4545" s="33" t="s">
        <v>20</v>
      </c>
      <c r="H4545" s="35">
        <v>30</v>
      </c>
      <c r="I4545" s="33" t="s">
        <v>21</v>
      </c>
      <c r="J4545" s="42">
        <v>44484</v>
      </c>
      <c r="K4545" s="33" t="s">
        <v>22</v>
      </c>
    </row>
    <row r="4546" spans="1:11">
      <c r="A4546" s="30" t="s">
        <v>10845</v>
      </c>
      <c r="B4546" s="30" t="s">
        <v>10846</v>
      </c>
      <c r="C4546" s="30" t="s">
        <v>1598</v>
      </c>
      <c r="D4546" s="30" t="s">
        <v>17</v>
      </c>
      <c r="E4546" s="30" t="s">
        <v>26</v>
      </c>
      <c r="F4546" s="30" t="s">
        <v>27</v>
      </c>
      <c r="G4546" s="30" t="s">
        <v>20</v>
      </c>
      <c r="H4546" s="32">
        <v>7</v>
      </c>
      <c r="I4546" s="30" t="s">
        <v>21</v>
      </c>
      <c r="J4546" s="41">
        <v>44543</v>
      </c>
      <c r="K4546" s="30" t="s">
        <v>22</v>
      </c>
    </row>
    <row r="4547" spans="1:11">
      <c r="A4547" s="33" t="s">
        <v>10847</v>
      </c>
      <c r="B4547" s="33" t="s">
        <v>10848</v>
      </c>
      <c r="C4547" s="33" t="s">
        <v>149</v>
      </c>
      <c r="D4547" s="33" t="s">
        <v>17</v>
      </c>
      <c r="E4547" s="33" t="s">
        <v>18</v>
      </c>
      <c r="F4547" s="33" t="s">
        <v>19</v>
      </c>
      <c r="G4547" s="33" t="s">
        <v>50</v>
      </c>
      <c r="H4547" s="35">
        <v>322</v>
      </c>
      <c r="I4547" s="33" t="s">
        <v>21</v>
      </c>
      <c r="J4547" s="42">
        <v>44310</v>
      </c>
      <c r="K4547" s="33" t="s">
        <v>22</v>
      </c>
    </row>
    <row r="4548" spans="1:11">
      <c r="A4548" s="30" t="s">
        <v>10849</v>
      </c>
      <c r="B4548" s="30" t="s">
        <v>10850</v>
      </c>
      <c r="C4548" s="30" t="s">
        <v>1228</v>
      </c>
      <c r="D4548" s="30" t="s">
        <v>17</v>
      </c>
      <c r="E4548" s="30" t="s">
        <v>212</v>
      </c>
      <c r="F4548" s="30" t="s">
        <v>213</v>
      </c>
      <c r="G4548" s="30" t="s">
        <v>20</v>
      </c>
      <c r="H4548" s="32">
        <v>110</v>
      </c>
      <c r="I4548" s="30" t="s">
        <v>21</v>
      </c>
      <c r="J4548" s="41">
        <v>44334</v>
      </c>
      <c r="K4548" s="30" t="s">
        <v>22</v>
      </c>
    </row>
    <row r="4549" spans="1:11">
      <c r="A4549" s="33" t="s">
        <v>10851</v>
      </c>
      <c r="B4549" s="33" t="s">
        <v>10852</v>
      </c>
      <c r="C4549" s="33" t="s">
        <v>187</v>
      </c>
      <c r="D4549" s="33" t="s">
        <v>17</v>
      </c>
      <c r="E4549" s="33" t="s">
        <v>26</v>
      </c>
      <c r="F4549" s="33" t="s">
        <v>27</v>
      </c>
      <c r="G4549" s="33" t="s">
        <v>106</v>
      </c>
      <c r="H4549" s="35">
        <v>192</v>
      </c>
      <c r="I4549" s="33" t="s">
        <v>21</v>
      </c>
      <c r="J4549" s="42">
        <v>44356</v>
      </c>
      <c r="K4549" s="33" t="s">
        <v>22</v>
      </c>
    </row>
    <row r="4550" spans="1:11">
      <c r="A4550" s="30" t="s">
        <v>10853</v>
      </c>
      <c r="B4550" s="30" t="s">
        <v>10854</v>
      </c>
      <c r="C4550" s="30" t="s">
        <v>10855</v>
      </c>
      <c r="D4550" s="30" t="s">
        <v>17</v>
      </c>
      <c r="E4550" s="30" t="s">
        <v>26</v>
      </c>
      <c r="F4550" s="30" t="s">
        <v>27</v>
      </c>
      <c r="G4550" s="30" t="s">
        <v>20</v>
      </c>
      <c r="H4550" s="32">
        <v>13</v>
      </c>
      <c r="I4550" s="30" t="s">
        <v>21</v>
      </c>
      <c r="J4550" s="41">
        <v>44530</v>
      </c>
      <c r="K4550" s="30" t="s">
        <v>22</v>
      </c>
    </row>
    <row r="4551" spans="1:11">
      <c r="A4551" s="33" t="s">
        <v>10856</v>
      </c>
      <c r="B4551" s="33" t="s">
        <v>10857</v>
      </c>
      <c r="C4551" s="33" t="s">
        <v>203</v>
      </c>
      <c r="D4551" s="33" t="s">
        <v>17</v>
      </c>
      <c r="E4551" s="33" t="s">
        <v>26</v>
      </c>
      <c r="F4551" s="33" t="s">
        <v>27</v>
      </c>
      <c r="G4551" s="33" t="s">
        <v>20</v>
      </c>
      <c r="H4551" s="35">
        <v>54</v>
      </c>
      <c r="I4551" s="33" t="s">
        <v>21</v>
      </c>
      <c r="J4551" s="42">
        <v>44480</v>
      </c>
      <c r="K4551" s="33" t="s">
        <v>22</v>
      </c>
    </row>
    <row r="4552" spans="1:11">
      <c r="A4552" s="30" t="s">
        <v>10858</v>
      </c>
      <c r="B4552" s="30" t="s">
        <v>10859</v>
      </c>
      <c r="C4552" s="30" t="s">
        <v>10860</v>
      </c>
      <c r="D4552" s="30" t="s">
        <v>17</v>
      </c>
      <c r="E4552" s="30" t="s">
        <v>26</v>
      </c>
      <c r="F4552" s="30" t="s">
        <v>27</v>
      </c>
      <c r="G4552" s="30" t="s">
        <v>20</v>
      </c>
      <c r="H4552" s="32">
        <v>12</v>
      </c>
      <c r="I4552" s="30" t="s">
        <v>21</v>
      </c>
      <c r="J4552" s="41">
        <v>44346</v>
      </c>
      <c r="K4552" s="30" t="s">
        <v>22</v>
      </c>
    </row>
    <row r="4553" spans="1:11">
      <c r="A4553" s="33" t="s">
        <v>10861</v>
      </c>
      <c r="B4553" s="33" t="s">
        <v>10862</v>
      </c>
      <c r="C4553" s="33" t="s">
        <v>10863</v>
      </c>
      <c r="D4553" s="33" t="s">
        <v>17</v>
      </c>
      <c r="E4553" s="33" t="s">
        <v>18</v>
      </c>
      <c r="F4553" s="33" t="s">
        <v>19</v>
      </c>
      <c r="G4553" s="33" t="s">
        <v>158</v>
      </c>
      <c r="H4553" s="35">
        <v>57</v>
      </c>
      <c r="I4553" s="33" t="s">
        <v>51</v>
      </c>
      <c r="J4553" s="42">
        <v>44371</v>
      </c>
      <c r="K4553" s="33" t="s">
        <v>22</v>
      </c>
    </row>
    <row r="4554" spans="1:11">
      <c r="A4554" s="30" t="s">
        <v>10864</v>
      </c>
      <c r="B4554" s="30" t="s">
        <v>10865</v>
      </c>
      <c r="C4554" s="30" t="s">
        <v>190</v>
      </c>
      <c r="D4554" s="30" t="s">
        <v>17</v>
      </c>
      <c r="E4554" s="30" t="s">
        <v>26</v>
      </c>
      <c r="F4554" s="30" t="s">
        <v>27</v>
      </c>
      <c r="G4554" s="30" t="s">
        <v>20</v>
      </c>
      <c r="H4554" s="32">
        <v>27</v>
      </c>
      <c r="I4554" s="30" t="s">
        <v>21</v>
      </c>
      <c r="J4554" s="41">
        <v>44406</v>
      </c>
      <c r="K4554" s="30" t="s">
        <v>22</v>
      </c>
    </row>
    <row r="4555" spans="1:11">
      <c r="A4555" s="33" t="s">
        <v>10866</v>
      </c>
      <c r="B4555" s="33" t="s">
        <v>10867</v>
      </c>
      <c r="C4555" s="33" t="s">
        <v>1415</v>
      </c>
      <c r="D4555" s="33" t="s">
        <v>17</v>
      </c>
      <c r="E4555" s="33" t="s">
        <v>18</v>
      </c>
      <c r="F4555" s="33" t="s">
        <v>19</v>
      </c>
      <c r="G4555" s="33" t="s">
        <v>20</v>
      </c>
      <c r="H4555" s="35">
        <v>733</v>
      </c>
      <c r="I4555" s="33" t="s">
        <v>21</v>
      </c>
      <c r="J4555" s="42">
        <v>44260</v>
      </c>
      <c r="K4555" s="33" t="s">
        <v>22</v>
      </c>
    </row>
    <row r="4556" spans="1:11">
      <c r="A4556" s="30" t="s">
        <v>10868</v>
      </c>
      <c r="B4556" s="30" t="s">
        <v>10869</v>
      </c>
      <c r="C4556" s="30" t="s">
        <v>139</v>
      </c>
      <c r="D4556" s="30" t="s">
        <v>17</v>
      </c>
      <c r="E4556" s="30" t="s">
        <v>67</v>
      </c>
      <c r="F4556" s="30" t="s">
        <v>68</v>
      </c>
      <c r="G4556" s="30" t="s">
        <v>140</v>
      </c>
      <c r="H4556" s="32">
        <v>176</v>
      </c>
      <c r="I4556" s="30" t="s">
        <v>51</v>
      </c>
      <c r="J4556" s="41">
        <v>44221</v>
      </c>
      <c r="K4556" s="30" t="s">
        <v>22</v>
      </c>
    </row>
    <row r="4557" spans="1:11">
      <c r="A4557" s="33" t="s">
        <v>10870</v>
      </c>
      <c r="B4557" s="33" t="s">
        <v>10871</v>
      </c>
      <c r="C4557" s="33" t="s">
        <v>326</v>
      </c>
      <c r="D4557" s="33" t="s">
        <v>17</v>
      </c>
      <c r="E4557" s="33" t="s">
        <v>26</v>
      </c>
      <c r="F4557" s="33" t="s">
        <v>27</v>
      </c>
      <c r="G4557" s="33" t="s">
        <v>158</v>
      </c>
      <c r="H4557" s="35">
        <v>50</v>
      </c>
      <c r="I4557" s="33" t="s">
        <v>51</v>
      </c>
      <c r="J4557" s="42">
        <v>44368</v>
      </c>
      <c r="K4557" s="33" t="s">
        <v>22</v>
      </c>
    </row>
    <row r="4558" spans="1:11">
      <c r="A4558" s="30" t="s">
        <v>10872</v>
      </c>
      <c r="B4558" s="30" t="s">
        <v>10873</v>
      </c>
      <c r="C4558" s="30" t="s">
        <v>10874</v>
      </c>
      <c r="D4558" s="30" t="s">
        <v>17</v>
      </c>
      <c r="E4558" s="30" t="s">
        <v>18</v>
      </c>
      <c r="F4558" s="30" t="s">
        <v>19</v>
      </c>
      <c r="G4558" s="30" t="s">
        <v>50</v>
      </c>
      <c r="H4558" s="32">
        <v>914</v>
      </c>
      <c r="I4558" s="30" t="s">
        <v>51</v>
      </c>
      <c r="J4558" s="41">
        <v>44357</v>
      </c>
      <c r="K4558" s="30" t="s">
        <v>22</v>
      </c>
    </row>
    <row r="4559" spans="1:11">
      <c r="A4559" s="33" t="s">
        <v>10875</v>
      </c>
      <c r="B4559" s="33" t="s">
        <v>10876</v>
      </c>
      <c r="C4559" s="33" t="s">
        <v>96</v>
      </c>
      <c r="D4559" s="33" t="s">
        <v>17</v>
      </c>
      <c r="E4559" s="33" t="s">
        <v>26</v>
      </c>
      <c r="F4559" s="33" t="s">
        <v>27</v>
      </c>
      <c r="G4559" s="33" t="s">
        <v>20</v>
      </c>
      <c r="H4559" s="35">
        <v>34</v>
      </c>
      <c r="I4559" s="33" t="s">
        <v>21</v>
      </c>
      <c r="J4559" s="42">
        <v>44552</v>
      </c>
      <c r="K4559" s="33" t="s">
        <v>22</v>
      </c>
    </row>
    <row r="4560" spans="1:11">
      <c r="A4560" s="30" t="s">
        <v>10877</v>
      </c>
      <c r="B4560" s="30" t="s">
        <v>10878</v>
      </c>
      <c r="C4560" s="30" t="s">
        <v>318</v>
      </c>
      <c r="D4560" s="30" t="s">
        <v>17</v>
      </c>
      <c r="E4560" s="30" t="s">
        <v>26</v>
      </c>
      <c r="F4560" s="30" t="s">
        <v>27</v>
      </c>
      <c r="G4560" s="30" t="s">
        <v>20</v>
      </c>
      <c r="H4560" s="32">
        <v>145</v>
      </c>
      <c r="I4560" s="30" t="s">
        <v>21</v>
      </c>
      <c r="J4560" s="41">
        <v>44424</v>
      </c>
      <c r="K4560" s="30" t="s">
        <v>22</v>
      </c>
    </row>
    <row r="4561" spans="1:11">
      <c r="A4561" s="33" t="s">
        <v>10879</v>
      </c>
      <c r="B4561" s="33" t="s">
        <v>10880</v>
      </c>
      <c r="C4561" s="33" t="s">
        <v>78</v>
      </c>
      <c r="D4561" s="33" t="s">
        <v>17</v>
      </c>
      <c r="E4561" s="33" t="s">
        <v>212</v>
      </c>
      <c r="F4561" s="33" t="s">
        <v>213</v>
      </c>
      <c r="G4561" s="33" t="s">
        <v>50</v>
      </c>
      <c r="H4561" s="35">
        <v>418</v>
      </c>
      <c r="I4561" s="33" t="s">
        <v>51</v>
      </c>
      <c r="J4561" s="42">
        <v>44440</v>
      </c>
      <c r="K4561" s="33" t="s">
        <v>22</v>
      </c>
    </row>
    <row r="4562" spans="1:11">
      <c r="A4562" s="30" t="s">
        <v>10881</v>
      </c>
      <c r="B4562" s="30" t="s">
        <v>10882</v>
      </c>
      <c r="C4562" s="30" t="s">
        <v>10038</v>
      </c>
      <c r="D4562" s="30" t="s">
        <v>17</v>
      </c>
      <c r="E4562" s="30" t="s">
        <v>26</v>
      </c>
      <c r="F4562" s="30" t="s">
        <v>27</v>
      </c>
      <c r="G4562" s="30" t="s">
        <v>20</v>
      </c>
      <c r="H4562" s="32">
        <v>36</v>
      </c>
      <c r="I4562" s="30" t="s">
        <v>21</v>
      </c>
      <c r="J4562" s="41">
        <v>44461</v>
      </c>
      <c r="K4562" s="30" t="s">
        <v>22</v>
      </c>
    </row>
    <row r="4563" spans="1:11">
      <c r="A4563" s="33" t="s">
        <v>10883</v>
      </c>
      <c r="B4563" s="33" t="s">
        <v>10884</v>
      </c>
      <c r="C4563" s="33" t="s">
        <v>10885</v>
      </c>
      <c r="D4563" s="33" t="s">
        <v>17</v>
      </c>
      <c r="E4563" s="33" t="s">
        <v>26</v>
      </c>
      <c r="F4563" s="33" t="s">
        <v>27</v>
      </c>
      <c r="G4563" s="33" t="s">
        <v>50</v>
      </c>
      <c r="H4563" s="35">
        <v>58</v>
      </c>
      <c r="I4563" s="33" t="s">
        <v>51</v>
      </c>
      <c r="J4563" s="42">
        <v>44438</v>
      </c>
      <c r="K4563" s="33" t="s">
        <v>22</v>
      </c>
    </row>
    <row r="4564" spans="1:11">
      <c r="A4564" s="30" t="s">
        <v>10886</v>
      </c>
      <c r="B4564" s="30" t="s">
        <v>10887</v>
      </c>
      <c r="C4564" s="30" t="s">
        <v>109</v>
      </c>
      <c r="D4564" s="30" t="s">
        <v>17</v>
      </c>
      <c r="E4564" s="30" t="s">
        <v>212</v>
      </c>
      <c r="F4564" s="30" t="s">
        <v>213</v>
      </c>
      <c r="G4564" s="30" t="s">
        <v>20</v>
      </c>
      <c r="H4564" s="32">
        <v>34</v>
      </c>
      <c r="I4564" s="30" t="s">
        <v>21</v>
      </c>
      <c r="J4564" s="41">
        <v>44343</v>
      </c>
      <c r="K4564" s="30" t="s">
        <v>22</v>
      </c>
    </row>
    <row r="4565" spans="1:11">
      <c r="A4565" s="33" t="s">
        <v>10888</v>
      </c>
      <c r="B4565" s="33" t="s">
        <v>10889</v>
      </c>
      <c r="C4565" s="33" t="s">
        <v>925</v>
      </c>
      <c r="D4565" s="33" t="s">
        <v>17</v>
      </c>
      <c r="E4565" s="33" t="s">
        <v>26</v>
      </c>
      <c r="F4565" s="33" t="s">
        <v>27</v>
      </c>
      <c r="G4565" s="33" t="s">
        <v>20</v>
      </c>
      <c r="H4565" s="35">
        <v>24</v>
      </c>
      <c r="I4565" s="33" t="s">
        <v>21</v>
      </c>
      <c r="J4565" s="42">
        <v>44516</v>
      </c>
      <c r="K4565" s="33" t="s">
        <v>22</v>
      </c>
    </row>
    <row r="4566" spans="1:11">
      <c r="A4566" s="30" t="s">
        <v>10890</v>
      </c>
      <c r="B4566" s="30" t="s">
        <v>10891</v>
      </c>
      <c r="C4566" s="30" t="s">
        <v>10892</v>
      </c>
      <c r="D4566" s="30" t="s">
        <v>17</v>
      </c>
      <c r="E4566" s="30" t="s">
        <v>31</v>
      </c>
      <c r="F4566" s="30" t="s">
        <v>32</v>
      </c>
      <c r="G4566" s="30" t="s">
        <v>20</v>
      </c>
      <c r="H4566" s="32">
        <v>213</v>
      </c>
      <c r="I4566" s="30" t="s">
        <v>21</v>
      </c>
      <c r="J4566" s="41">
        <v>44337</v>
      </c>
      <c r="K4566" s="30" t="s">
        <v>22</v>
      </c>
    </row>
    <row r="4567" spans="1:11">
      <c r="A4567" s="33" t="s">
        <v>10893</v>
      </c>
      <c r="B4567" s="33" t="s">
        <v>10894</v>
      </c>
      <c r="C4567" s="33" t="s">
        <v>647</v>
      </c>
      <c r="D4567" s="33" t="s">
        <v>17</v>
      </c>
      <c r="E4567" s="33" t="s">
        <v>26</v>
      </c>
      <c r="F4567" s="33" t="s">
        <v>27</v>
      </c>
      <c r="G4567" s="33" t="s">
        <v>158</v>
      </c>
      <c r="H4567" s="35">
        <v>45</v>
      </c>
      <c r="I4567" s="33" t="s">
        <v>51</v>
      </c>
      <c r="J4567" s="42">
        <v>44482</v>
      </c>
      <c r="K4567" s="33" t="s">
        <v>22</v>
      </c>
    </row>
    <row r="4568" spans="1:11">
      <c r="A4568" s="30" t="s">
        <v>10895</v>
      </c>
      <c r="B4568" s="30" t="s">
        <v>10896</v>
      </c>
      <c r="C4568" s="30" t="s">
        <v>10897</v>
      </c>
      <c r="D4568" s="30" t="s">
        <v>17</v>
      </c>
      <c r="E4568" s="30" t="s">
        <v>26</v>
      </c>
      <c r="F4568" s="30" t="s">
        <v>27</v>
      </c>
      <c r="G4568" s="30" t="s">
        <v>50</v>
      </c>
      <c r="H4568" s="32">
        <v>36</v>
      </c>
      <c r="I4568" s="30" t="s">
        <v>51</v>
      </c>
      <c r="J4568" s="41">
        <v>44519</v>
      </c>
      <c r="K4568" s="30" t="s">
        <v>22</v>
      </c>
    </row>
    <row r="4569" spans="1:11">
      <c r="A4569" s="33" t="s">
        <v>10898</v>
      </c>
      <c r="B4569" s="33" t="s">
        <v>10899</v>
      </c>
      <c r="C4569" s="33" t="s">
        <v>1801</v>
      </c>
      <c r="D4569" s="33" t="s">
        <v>17</v>
      </c>
      <c r="E4569" s="33" t="s">
        <v>18</v>
      </c>
      <c r="F4569" s="33" t="s">
        <v>19</v>
      </c>
      <c r="G4569" s="33" t="s">
        <v>20</v>
      </c>
      <c r="H4569" s="35">
        <v>421</v>
      </c>
      <c r="I4569" s="33" t="s">
        <v>21</v>
      </c>
      <c r="J4569" s="42">
        <v>44358</v>
      </c>
      <c r="K4569" s="33" t="s">
        <v>22</v>
      </c>
    </row>
    <row r="4570" spans="1:11">
      <c r="A4570" s="30" t="s">
        <v>10900</v>
      </c>
      <c r="B4570" s="30" t="s">
        <v>10901</v>
      </c>
      <c r="C4570" s="30" t="s">
        <v>5643</v>
      </c>
      <c r="D4570" s="30" t="s">
        <v>17</v>
      </c>
      <c r="E4570" s="30" t="s">
        <v>18</v>
      </c>
      <c r="F4570" s="30" t="s">
        <v>19</v>
      </c>
      <c r="G4570" s="30" t="s">
        <v>20</v>
      </c>
      <c r="H4570" s="32">
        <v>1110</v>
      </c>
      <c r="I4570" s="30" t="s">
        <v>21</v>
      </c>
      <c r="J4570" s="41">
        <v>44455</v>
      </c>
      <c r="K4570" s="30" t="s">
        <v>22</v>
      </c>
    </row>
    <row r="4571" spans="1:11">
      <c r="A4571" s="33" t="s">
        <v>10902</v>
      </c>
      <c r="B4571" s="33" t="s">
        <v>10903</v>
      </c>
      <c r="C4571" s="33" t="s">
        <v>118</v>
      </c>
      <c r="D4571" s="33" t="s">
        <v>17</v>
      </c>
      <c r="E4571" s="33" t="s">
        <v>18</v>
      </c>
      <c r="F4571" s="33" t="s">
        <v>19</v>
      </c>
      <c r="G4571" s="33" t="s">
        <v>20</v>
      </c>
      <c r="H4571" s="35">
        <v>2020</v>
      </c>
      <c r="I4571" s="33" t="s">
        <v>21</v>
      </c>
      <c r="J4571" s="42">
        <v>44523</v>
      </c>
      <c r="K4571" s="33" t="s">
        <v>22</v>
      </c>
    </row>
    <row r="4572" spans="1:11">
      <c r="A4572" s="30" t="s">
        <v>10904</v>
      </c>
      <c r="B4572" s="30" t="s">
        <v>10905</v>
      </c>
      <c r="C4572" s="30" t="s">
        <v>102</v>
      </c>
      <c r="D4572" s="30" t="s">
        <v>17</v>
      </c>
      <c r="E4572" s="30" t="s">
        <v>26</v>
      </c>
      <c r="F4572" s="30" t="s">
        <v>27</v>
      </c>
      <c r="G4572" s="30" t="s">
        <v>20</v>
      </c>
      <c r="H4572" s="32">
        <v>22</v>
      </c>
      <c r="I4572" s="30" t="s">
        <v>21</v>
      </c>
      <c r="J4572" s="41">
        <v>44222</v>
      </c>
      <c r="K4572" s="30" t="s">
        <v>22</v>
      </c>
    </row>
    <row r="4573" spans="1:11">
      <c r="A4573" s="33" t="s">
        <v>10906</v>
      </c>
      <c r="B4573" s="33" t="s">
        <v>10907</v>
      </c>
      <c r="C4573" s="33" t="s">
        <v>109</v>
      </c>
      <c r="D4573" s="33" t="s">
        <v>17</v>
      </c>
      <c r="E4573" s="33" t="s">
        <v>31</v>
      </c>
      <c r="F4573" s="33" t="s">
        <v>32</v>
      </c>
      <c r="G4573" s="33" t="s">
        <v>106</v>
      </c>
      <c r="H4573" s="35">
        <v>199</v>
      </c>
      <c r="I4573" s="33" t="s">
        <v>21</v>
      </c>
      <c r="J4573" s="42">
        <v>44397</v>
      </c>
      <c r="K4573" s="33" t="s">
        <v>22</v>
      </c>
    </row>
    <row r="4574" spans="1:11">
      <c r="A4574" s="30" t="s">
        <v>10908</v>
      </c>
      <c r="B4574" s="30" t="s">
        <v>10909</v>
      </c>
      <c r="C4574" s="30" t="s">
        <v>3387</v>
      </c>
      <c r="D4574" s="30" t="s">
        <v>17</v>
      </c>
      <c r="E4574" s="30" t="s">
        <v>26</v>
      </c>
      <c r="F4574" s="30" t="s">
        <v>27</v>
      </c>
      <c r="G4574" s="30" t="s">
        <v>106</v>
      </c>
      <c r="H4574" s="32">
        <v>3</v>
      </c>
      <c r="I4574" s="30" t="s">
        <v>21</v>
      </c>
      <c r="J4574" s="41">
        <v>44368</v>
      </c>
      <c r="K4574" s="30" t="s">
        <v>22</v>
      </c>
    </row>
    <row r="4575" spans="1:11">
      <c r="A4575" s="33" t="s">
        <v>10910</v>
      </c>
      <c r="B4575" s="33" t="s">
        <v>10911</v>
      </c>
      <c r="C4575" s="33" t="s">
        <v>3302</v>
      </c>
      <c r="D4575" s="33" t="s">
        <v>17</v>
      </c>
      <c r="E4575" s="33" t="s">
        <v>330</v>
      </c>
      <c r="F4575" s="33" t="s">
        <v>331</v>
      </c>
      <c r="G4575" s="33" t="s">
        <v>50</v>
      </c>
      <c r="H4575" s="35">
        <v>230</v>
      </c>
      <c r="I4575" s="33" t="s">
        <v>51</v>
      </c>
      <c r="J4575" s="42">
        <v>44470</v>
      </c>
      <c r="K4575" s="33" t="s">
        <v>22</v>
      </c>
    </row>
    <row r="4576" spans="1:11">
      <c r="A4576" s="30" t="s">
        <v>10912</v>
      </c>
      <c r="B4576" s="30" t="s">
        <v>10913</v>
      </c>
      <c r="C4576" s="30" t="s">
        <v>10914</v>
      </c>
      <c r="D4576" s="30" t="s">
        <v>17</v>
      </c>
      <c r="E4576" s="30" t="s">
        <v>26</v>
      </c>
      <c r="F4576" s="30" t="s">
        <v>27</v>
      </c>
      <c r="G4576" s="30" t="s">
        <v>106</v>
      </c>
      <c r="H4576" s="32">
        <v>26</v>
      </c>
      <c r="I4576" s="30" t="s">
        <v>21</v>
      </c>
      <c r="J4576" s="41">
        <v>44477</v>
      </c>
      <c r="K4576" s="30" t="s">
        <v>22</v>
      </c>
    </row>
    <row r="4577" spans="1:11">
      <c r="A4577" s="33" t="s">
        <v>10915</v>
      </c>
      <c r="B4577" s="33" t="s">
        <v>10916</v>
      </c>
      <c r="C4577" s="33" t="s">
        <v>93</v>
      </c>
      <c r="D4577" s="33" t="s">
        <v>17</v>
      </c>
      <c r="E4577" s="33" t="s">
        <v>18</v>
      </c>
      <c r="F4577" s="33" t="s">
        <v>19</v>
      </c>
      <c r="G4577" s="33" t="s">
        <v>158</v>
      </c>
      <c r="H4577" s="35">
        <v>132</v>
      </c>
      <c r="I4577" s="33" t="s">
        <v>51</v>
      </c>
      <c r="J4577" s="42">
        <v>44401</v>
      </c>
      <c r="K4577" s="33" t="s">
        <v>22</v>
      </c>
    </row>
    <row r="4578" spans="1:11">
      <c r="A4578" s="30" t="s">
        <v>10917</v>
      </c>
      <c r="B4578" s="30" t="s">
        <v>10918</v>
      </c>
      <c r="C4578" s="30" t="s">
        <v>2313</v>
      </c>
      <c r="D4578" s="30" t="s">
        <v>17</v>
      </c>
      <c r="E4578" s="30" t="s">
        <v>31</v>
      </c>
      <c r="F4578" s="30" t="s">
        <v>32</v>
      </c>
      <c r="G4578" s="30" t="s">
        <v>20</v>
      </c>
      <c r="H4578" s="32">
        <v>1334</v>
      </c>
      <c r="I4578" s="30" t="s">
        <v>21</v>
      </c>
      <c r="J4578" s="41">
        <v>44474</v>
      </c>
      <c r="K4578" s="30" t="s">
        <v>22</v>
      </c>
    </row>
    <row r="4579" spans="1:11">
      <c r="A4579" s="33" t="s">
        <v>10919</v>
      </c>
      <c r="B4579" s="33" t="s">
        <v>10920</v>
      </c>
      <c r="C4579" s="33" t="s">
        <v>3610</v>
      </c>
      <c r="D4579" s="33" t="s">
        <v>17</v>
      </c>
      <c r="E4579" s="33" t="s">
        <v>26</v>
      </c>
      <c r="F4579" s="33" t="s">
        <v>27</v>
      </c>
      <c r="G4579" s="33" t="s">
        <v>20</v>
      </c>
      <c r="H4579" s="35">
        <v>78</v>
      </c>
      <c r="I4579" s="33" t="s">
        <v>21</v>
      </c>
      <c r="J4579" s="42">
        <v>44518</v>
      </c>
      <c r="K4579" s="33" t="s">
        <v>22</v>
      </c>
    </row>
    <row r="4580" spans="1:11">
      <c r="A4580" s="30" t="s">
        <v>10921</v>
      </c>
      <c r="B4580" s="30" t="s">
        <v>10922</v>
      </c>
      <c r="C4580" s="30" t="s">
        <v>2387</v>
      </c>
      <c r="D4580" s="30" t="s">
        <v>17</v>
      </c>
      <c r="E4580" s="30" t="s">
        <v>67</v>
      </c>
      <c r="F4580" s="30" t="s">
        <v>68</v>
      </c>
      <c r="G4580" s="30" t="s">
        <v>20</v>
      </c>
      <c r="H4580" s="32">
        <v>17</v>
      </c>
      <c r="I4580" s="30" t="s">
        <v>21</v>
      </c>
      <c r="J4580" s="41">
        <v>44522</v>
      </c>
      <c r="K4580" s="30" t="s">
        <v>22</v>
      </c>
    </row>
    <row r="4581" spans="1:11">
      <c r="A4581" s="33" t="s">
        <v>10923</v>
      </c>
      <c r="B4581" s="33" t="s">
        <v>10924</v>
      </c>
      <c r="C4581" s="33" t="s">
        <v>10925</v>
      </c>
      <c r="D4581" s="33" t="s">
        <v>17</v>
      </c>
      <c r="E4581" s="33" t="s">
        <v>26</v>
      </c>
      <c r="F4581" s="33" t="s">
        <v>27</v>
      </c>
      <c r="G4581" s="33" t="s">
        <v>20</v>
      </c>
      <c r="H4581" s="35">
        <v>59</v>
      </c>
      <c r="I4581" s="33" t="s">
        <v>21</v>
      </c>
      <c r="J4581" s="42">
        <v>44312</v>
      </c>
      <c r="K4581" s="33" t="s">
        <v>22</v>
      </c>
    </row>
    <row r="4582" spans="1:11">
      <c r="A4582" s="30" t="s">
        <v>10926</v>
      </c>
      <c r="B4582" s="30" t="s">
        <v>10927</v>
      </c>
      <c r="C4582" s="30" t="s">
        <v>4668</v>
      </c>
      <c r="D4582" s="30" t="s">
        <v>17</v>
      </c>
      <c r="E4582" s="30" t="s">
        <v>26</v>
      </c>
      <c r="F4582" s="30" t="s">
        <v>27</v>
      </c>
      <c r="G4582" s="30" t="s">
        <v>20</v>
      </c>
      <c r="H4582" s="32">
        <v>30</v>
      </c>
      <c r="I4582" s="30" t="s">
        <v>21</v>
      </c>
      <c r="J4582" s="41">
        <v>44378</v>
      </c>
      <c r="K4582" s="30" t="s">
        <v>22</v>
      </c>
    </row>
    <row r="4583" spans="1:11">
      <c r="A4583" s="33" t="s">
        <v>10928</v>
      </c>
      <c r="B4583" s="33" t="s">
        <v>10929</v>
      </c>
      <c r="C4583" s="33" t="s">
        <v>9917</v>
      </c>
      <c r="D4583" s="33" t="s">
        <v>17</v>
      </c>
      <c r="E4583" s="33" t="s">
        <v>31</v>
      </c>
      <c r="F4583" s="33" t="s">
        <v>32</v>
      </c>
      <c r="G4583" s="33" t="s">
        <v>112</v>
      </c>
      <c r="H4583" s="35">
        <v>0</v>
      </c>
      <c r="I4583" s="33" t="s">
        <v>21</v>
      </c>
      <c r="J4583" s="42">
        <v>44505</v>
      </c>
      <c r="K4583" s="33" t="s">
        <v>22</v>
      </c>
    </row>
    <row r="4584" spans="1:11">
      <c r="A4584" s="30" t="s">
        <v>10930</v>
      </c>
      <c r="B4584" s="30" t="s">
        <v>10931</v>
      </c>
      <c r="C4584" s="30" t="s">
        <v>1480</v>
      </c>
      <c r="D4584" s="30" t="s">
        <v>17</v>
      </c>
      <c r="E4584" s="30" t="s">
        <v>18</v>
      </c>
      <c r="F4584" s="30" t="s">
        <v>19</v>
      </c>
      <c r="G4584" s="30" t="s">
        <v>20</v>
      </c>
      <c r="H4584" s="32">
        <v>406</v>
      </c>
      <c r="I4584" s="30" t="s">
        <v>21</v>
      </c>
      <c r="J4584" s="41">
        <v>44462</v>
      </c>
      <c r="K4584" s="30" t="s">
        <v>22</v>
      </c>
    </row>
    <row r="4585" spans="1:11">
      <c r="A4585" s="33" t="s">
        <v>10932</v>
      </c>
      <c r="B4585" s="33" t="s">
        <v>10933</v>
      </c>
      <c r="C4585" s="33" t="s">
        <v>10934</v>
      </c>
      <c r="D4585" s="33" t="s">
        <v>17</v>
      </c>
      <c r="E4585" s="33" t="s">
        <v>31</v>
      </c>
      <c r="F4585" s="33" t="s">
        <v>32</v>
      </c>
      <c r="G4585" s="33" t="s">
        <v>20</v>
      </c>
      <c r="H4585" s="35">
        <v>38</v>
      </c>
      <c r="I4585" s="33" t="s">
        <v>21</v>
      </c>
      <c r="J4585" s="42">
        <v>44317</v>
      </c>
      <c r="K4585" s="33" t="s">
        <v>22</v>
      </c>
    </row>
    <row r="4586" spans="1:11">
      <c r="A4586" s="30" t="s">
        <v>10935</v>
      </c>
      <c r="B4586" s="30" t="s">
        <v>10936</v>
      </c>
      <c r="C4586" s="30" t="s">
        <v>1598</v>
      </c>
      <c r="D4586" s="30" t="s">
        <v>17</v>
      </c>
      <c r="E4586" s="30" t="s">
        <v>67</v>
      </c>
      <c r="F4586" s="30" t="s">
        <v>68</v>
      </c>
      <c r="G4586" s="30" t="s">
        <v>106</v>
      </c>
      <c r="H4586" s="32">
        <v>222</v>
      </c>
      <c r="I4586" s="30" t="s">
        <v>21</v>
      </c>
      <c r="J4586" s="41">
        <v>44561</v>
      </c>
      <c r="K4586" s="30" t="s">
        <v>22</v>
      </c>
    </row>
    <row r="4587" spans="1:11">
      <c r="A4587" s="33" t="s">
        <v>10937</v>
      </c>
      <c r="B4587" s="33" t="s">
        <v>10938</v>
      </c>
      <c r="C4587" s="33" t="s">
        <v>5251</v>
      </c>
      <c r="D4587" s="33" t="s">
        <v>17</v>
      </c>
      <c r="E4587" s="33" t="s">
        <v>26</v>
      </c>
      <c r="F4587" s="33" t="s">
        <v>27</v>
      </c>
      <c r="G4587" s="33" t="s">
        <v>50</v>
      </c>
      <c r="H4587" s="35">
        <v>34</v>
      </c>
      <c r="I4587" s="33" t="s">
        <v>51</v>
      </c>
      <c r="J4587" s="42">
        <v>44421</v>
      </c>
      <c r="K4587" s="33" t="s">
        <v>22</v>
      </c>
    </row>
    <row r="4588" spans="1:11">
      <c r="A4588" s="30" t="s">
        <v>10939</v>
      </c>
      <c r="B4588" s="30" t="s">
        <v>10940</v>
      </c>
      <c r="C4588" s="30" t="s">
        <v>10941</v>
      </c>
      <c r="D4588" s="30" t="s">
        <v>17</v>
      </c>
      <c r="E4588" s="30" t="s">
        <v>26</v>
      </c>
      <c r="F4588" s="30" t="s">
        <v>27</v>
      </c>
      <c r="G4588" s="30" t="s">
        <v>20</v>
      </c>
      <c r="H4588" s="32">
        <v>196</v>
      </c>
      <c r="I4588" s="30" t="s">
        <v>21</v>
      </c>
      <c r="J4588" s="41">
        <v>44375</v>
      </c>
      <c r="K4588" s="30" t="s">
        <v>22</v>
      </c>
    </row>
    <row r="4589" spans="1:11">
      <c r="A4589" s="33" t="s">
        <v>10942</v>
      </c>
      <c r="B4589" s="33" t="s">
        <v>10943</v>
      </c>
      <c r="C4589" s="33" t="s">
        <v>25</v>
      </c>
      <c r="D4589" s="33" t="s">
        <v>17</v>
      </c>
      <c r="E4589" s="33" t="s">
        <v>31</v>
      </c>
      <c r="F4589" s="33" t="s">
        <v>32</v>
      </c>
      <c r="G4589" s="33" t="s">
        <v>20</v>
      </c>
      <c r="H4589" s="35">
        <v>189</v>
      </c>
      <c r="I4589" s="33" t="s">
        <v>21</v>
      </c>
      <c r="J4589" s="42">
        <v>44426</v>
      </c>
      <c r="K4589" s="33" t="s">
        <v>22</v>
      </c>
    </row>
    <row r="4590" spans="1:11">
      <c r="A4590" s="30" t="s">
        <v>10944</v>
      </c>
      <c r="B4590" s="30" t="s">
        <v>10945</v>
      </c>
      <c r="C4590" s="30" t="s">
        <v>9714</v>
      </c>
      <c r="D4590" s="30" t="s">
        <v>17</v>
      </c>
      <c r="E4590" s="30" t="s">
        <v>26</v>
      </c>
      <c r="F4590" s="30" t="s">
        <v>27</v>
      </c>
      <c r="G4590" s="30" t="s">
        <v>20</v>
      </c>
      <c r="H4590" s="32">
        <v>27</v>
      </c>
      <c r="I4590" s="30" t="s">
        <v>21</v>
      </c>
      <c r="J4590" s="41">
        <v>44326</v>
      </c>
      <c r="K4590" s="30" t="s">
        <v>22</v>
      </c>
    </row>
    <row r="4591" spans="1:11">
      <c r="A4591" s="33" t="s">
        <v>10946</v>
      </c>
      <c r="B4591" s="33" t="s">
        <v>10947</v>
      </c>
      <c r="C4591" s="33" t="s">
        <v>184</v>
      </c>
      <c r="D4591" s="33" t="s">
        <v>17</v>
      </c>
      <c r="E4591" s="33" t="s">
        <v>18</v>
      </c>
      <c r="F4591" s="33" t="s">
        <v>19</v>
      </c>
      <c r="G4591" s="33" t="s">
        <v>50</v>
      </c>
      <c r="H4591" s="35">
        <v>412</v>
      </c>
      <c r="I4591" s="33" t="s">
        <v>51</v>
      </c>
      <c r="J4591" s="42">
        <v>44501</v>
      </c>
      <c r="K4591" s="33" t="s">
        <v>22</v>
      </c>
    </row>
    <row r="4592" spans="1:11">
      <c r="A4592" s="30" t="s">
        <v>10948</v>
      </c>
      <c r="B4592" s="30" t="s">
        <v>10949</v>
      </c>
      <c r="C4592" s="30" t="s">
        <v>10950</v>
      </c>
      <c r="D4592" s="30" t="s">
        <v>17</v>
      </c>
      <c r="E4592" s="30" t="s">
        <v>18</v>
      </c>
      <c r="F4592" s="30" t="s">
        <v>19</v>
      </c>
      <c r="G4592" s="30" t="s">
        <v>140</v>
      </c>
      <c r="H4592" s="32">
        <v>408</v>
      </c>
      <c r="I4592" s="30" t="s">
        <v>51</v>
      </c>
      <c r="J4592" s="41">
        <v>44446</v>
      </c>
      <c r="K4592" s="30" t="s">
        <v>22</v>
      </c>
    </row>
    <row r="4593" spans="1:11">
      <c r="A4593" s="33" t="s">
        <v>10951</v>
      </c>
      <c r="B4593" s="33" t="s">
        <v>10952</v>
      </c>
      <c r="C4593" s="33" t="s">
        <v>190</v>
      </c>
      <c r="D4593" s="33" t="s">
        <v>17</v>
      </c>
      <c r="E4593" s="33" t="s">
        <v>26</v>
      </c>
      <c r="F4593" s="33" t="s">
        <v>27</v>
      </c>
      <c r="G4593" s="33" t="s">
        <v>158</v>
      </c>
      <c r="H4593" s="35">
        <v>155</v>
      </c>
      <c r="I4593" s="33" t="s">
        <v>21</v>
      </c>
      <c r="J4593" s="42">
        <v>44229</v>
      </c>
      <c r="K4593" s="33" t="s">
        <v>22</v>
      </c>
    </row>
    <row r="4594" spans="1:11">
      <c r="A4594" s="30" t="s">
        <v>10953</v>
      </c>
      <c r="B4594" s="30" t="s">
        <v>10954</v>
      </c>
      <c r="C4594" s="30" t="s">
        <v>178</v>
      </c>
      <c r="D4594" s="30" t="s">
        <v>17</v>
      </c>
      <c r="E4594" s="30" t="s">
        <v>18</v>
      </c>
      <c r="F4594" s="30" t="s">
        <v>19</v>
      </c>
      <c r="G4594" s="30" t="s">
        <v>20</v>
      </c>
      <c r="H4594" s="32">
        <v>729</v>
      </c>
      <c r="I4594" s="30" t="s">
        <v>21</v>
      </c>
      <c r="J4594" s="41">
        <v>44257</v>
      </c>
      <c r="K4594" s="30" t="s">
        <v>22</v>
      </c>
    </row>
    <row r="4595" spans="1:11">
      <c r="A4595" s="33" t="s">
        <v>10955</v>
      </c>
      <c r="B4595" s="33" t="s">
        <v>10956</v>
      </c>
      <c r="C4595" s="33" t="s">
        <v>443</v>
      </c>
      <c r="D4595" s="33" t="s">
        <v>17</v>
      </c>
      <c r="E4595" s="33" t="s">
        <v>18</v>
      </c>
      <c r="F4595" s="33" t="s">
        <v>19</v>
      </c>
      <c r="G4595" s="33" t="s">
        <v>20</v>
      </c>
      <c r="H4595" s="35">
        <v>2040</v>
      </c>
      <c r="I4595" s="33" t="s">
        <v>21</v>
      </c>
      <c r="J4595" s="42">
        <v>44435</v>
      </c>
      <c r="K4595" s="33" t="s">
        <v>22</v>
      </c>
    </row>
    <row r="4596" spans="1:11">
      <c r="A4596" s="30" t="s">
        <v>10957</v>
      </c>
      <c r="B4596" s="30" t="s">
        <v>10958</v>
      </c>
      <c r="C4596" s="30" t="s">
        <v>178</v>
      </c>
      <c r="D4596" s="30" t="s">
        <v>17</v>
      </c>
      <c r="E4596" s="30" t="s">
        <v>31</v>
      </c>
      <c r="F4596" s="30" t="s">
        <v>32</v>
      </c>
      <c r="G4596" s="30" t="s">
        <v>106</v>
      </c>
      <c r="H4596" s="32">
        <v>50</v>
      </c>
      <c r="I4596" s="30" t="s">
        <v>21</v>
      </c>
      <c r="J4596" s="41">
        <v>44309</v>
      </c>
      <c r="K4596" s="30" t="s">
        <v>22</v>
      </c>
    </row>
    <row r="4597" spans="1:11">
      <c r="A4597" s="33" t="s">
        <v>10959</v>
      </c>
      <c r="B4597" s="33" t="s">
        <v>10960</v>
      </c>
      <c r="C4597" s="33" t="s">
        <v>318</v>
      </c>
      <c r="D4597" s="33" t="s">
        <v>17</v>
      </c>
      <c r="E4597" s="33" t="s">
        <v>26</v>
      </c>
      <c r="F4597" s="33" t="s">
        <v>27</v>
      </c>
      <c r="G4597" s="33" t="s">
        <v>20</v>
      </c>
      <c r="H4597" s="35">
        <v>25</v>
      </c>
      <c r="I4597" s="33" t="s">
        <v>21</v>
      </c>
      <c r="J4597" s="42">
        <v>44217</v>
      </c>
      <c r="K4597" s="33" t="s">
        <v>22</v>
      </c>
    </row>
    <row r="4598" spans="1:11">
      <c r="A4598" s="30" t="s">
        <v>10961</v>
      </c>
      <c r="B4598" s="30" t="s">
        <v>10962</v>
      </c>
      <c r="C4598" s="30" t="s">
        <v>10963</v>
      </c>
      <c r="D4598" s="30" t="s">
        <v>17</v>
      </c>
      <c r="E4598" s="30" t="s">
        <v>31</v>
      </c>
      <c r="F4598" s="30" t="s">
        <v>32</v>
      </c>
      <c r="G4598" s="30" t="s">
        <v>20</v>
      </c>
      <c r="H4598" s="32">
        <v>51</v>
      </c>
      <c r="I4598" s="30" t="s">
        <v>21</v>
      </c>
      <c r="J4598" s="41">
        <v>44404</v>
      </c>
      <c r="K4598" s="30" t="s">
        <v>22</v>
      </c>
    </row>
    <row r="4599" spans="1:11">
      <c r="A4599" s="33" t="s">
        <v>10964</v>
      </c>
      <c r="B4599" s="33" t="s">
        <v>10965</v>
      </c>
      <c r="C4599" s="33" t="s">
        <v>9487</v>
      </c>
      <c r="D4599" s="33" t="s">
        <v>17</v>
      </c>
      <c r="E4599" s="33" t="s">
        <v>18</v>
      </c>
      <c r="F4599" s="33" t="s">
        <v>19</v>
      </c>
      <c r="G4599" s="33" t="s">
        <v>20</v>
      </c>
      <c r="H4599" s="35">
        <v>224</v>
      </c>
      <c r="I4599" s="33" t="s">
        <v>21</v>
      </c>
      <c r="J4599" s="42">
        <v>44340</v>
      </c>
      <c r="K4599" s="33" t="s">
        <v>22</v>
      </c>
    </row>
    <row r="4600" spans="1:11">
      <c r="A4600" s="30" t="s">
        <v>10966</v>
      </c>
      <c r="B4600" s="30" t="s">
        <v>10967</v>
      </c>
      <c r="C4600" s="30" t="s">
        <v>310</v>
      </c>
      <c r="D4600" s="30" t="s">
        <v>17</v>
      </c>
      <c r="E4600" s="30" t="s">
        <v>31</v>
      </c>
      <c r="F4600" s="30" t="s">
        <v>32</v>
      </c>
      <c r="G4600" s="30" t="s">
        <v>20</v>
      </c>
      <c r="H4600" s="32">
        <v>92</v>
      </c>
      <c r="I4600" s="30" t="s">
        <v>21</v>
      </c>
      <c r="J4600" s="41">
        <v>44410</v>
      </c>
      <c r="K4600" s="30" t="s">
        <v>22</v>
      </c>
    </row>
    <row r="4601" spans="1:11">
      <c r="A4601" s="33" t="s">
        <v>10968</v>
      </c>
      <c r="B4601" s="33" t="s">
        <v>10969</v>
      </c>
      <c r="C4601" s="33" t="s">
        <v>925</v>
      </c>
      <c r="D4601" s="33" t="s">
        <v>17</v>
      </c>
      <c r="E4601" s="33" t="s">
        <v>26</v>
      </c>
      <c r="F4601" s="33" t="s">
        <v>27</v>
      </c>
      <c r="G4601" s="33" t="s">
        <v>106</v>
      </c>
      <c r="H4601" s="35">
        <v>3</v>
      </c>
      <c r="I4601" s="33" t="s">
        <v>21</v>
      </c>
      <c r="J4601" s="42">
        <v>44440</v>
      </c>
      <c r="K4601" s="33" t="s">
        <v>22</v>
      </c>
    </row>
    <row r="4602" spans="1:11">
      <c r="A4602" s="30" t="s">
        <v>10970</v>
      </c>
      <c r="B4602" s="30" t="s">
        <v>10971</v>
      </c>
      <c r="C4602" s="30" t="s">
        <v>379</v>
      </c>
      <c r="D4602" s="30" t="s">
        <v>17</v>
      </c>
      <c r="E4602" s="30" t="s">
        <v>67</v>
      </c>
      <c r="F4602" s="30" t="s">
        <v>68</v>
      </c>
      <c r="G4602" s="30" t="s">
        <v>20</v>
      </c>
      <c r="H4602" s="32">
        <v>20</v>
      </c>
      <c r="I4602" s="30" t="s">
        <v>21</v>
      </c>
      <c r="J4602" s="41">
        <v>44392</v>
      </c>
      <c r="K4602" s="30" t="s">
        <v>22</v>
      </c>
    </row>
    <row r="4603" spans="1:11">
      <c r="A4603" s="33" t="s">
        <v>10972</v>
      </c>
      <c r="B4603" s="33" t="s">
        <v>10973</v>
      </c>
      <c r="C4603" s="33" t="s">
        <v>10974</v>
      </c>
      <c r="D4603" s="33" t="s">
        <v>17</v>
      </c>
      <c r="E4603" s="33" t="s">
        <v>18</v>
      </c>
      <c r="F4603" s="33" t="s">
        <v>19</v>
      </c>
      <c r="G4603" s="33" t="s">
        <v>20</v>
      </c>
      <c r="H4603" s="35">
        <v>598</v>
      </c>
      <c r="I4603" s="33" t="s">
        <v>21</v>
      </c>
      <c r="J4603" s="42">
        <v>44348</v>
      </c>
      <c r="K4603" s="33" t="s">
        <v>22</v>
      </c>
    </row>
    <row r="4604" spans="1:11">
      <c r="A4604" s="30" t="s">
        <v>10975</v>
      </c>
      <c r="B4604" s="30" t="s">
        <v>10976</v>
      </c>
      <c r="C4604" s="30" t="s">
        <v>5401</v>
      </c>
      <c r="D4604" s="30" t="s">
        <v>17</v>
      </c>
      <c r="E4604" s="30" t="s">
        <v>26</v>
      </c>
      <c r="F4604" s="30" t="s">
        <v>27</v>
      </c>
      <c r="G4604" s="30" t="s">
        <v>20</v>
      </c>
      <c r="H4604" s="32">
        <v>29</v>
      </c>
      <c r="I4604" s="30" t="s">
        <v>21</v>
      </c>
      <c r="J4604" s="41">
        <v>44419</v>
      </c>
      <c r="K4604" s="30" t="s">
        <v>22</v>
      </c>
    </row>
    <row r="4605" spans="1:11">
      <c r="A4605" s="33" t="s">
        <v>10977</v>
      </c>
      <c r="B4605" s="33" t="s">
        <v>10978</v>
      </c>
      <c r="C4605" s="33" t="s">
        <v>925</v>
      </c>
      <c r="D4605" s="33" t="s">
        <v>17</v>
      </c>
      <c r="E4605" s="33" t="s">
        <v>31</v>
      </c>
      <c r="F4605" s="33" t="s">
        <v>32</v>
      </c>
      <c r="G4605" s="33" t="s">
        <v>106</v>
      </c>
      <c r="H4605" s="35">
        <v>54</v>
      </c>
      <c r="I4605" s="33" t="s">
        <v>21</v>
      </c>
      <c r="J4605" s="42">
        <v>44375</v>
      </c>
      <c r="K4605" s="33" t="s">
        <v>22</v>
      </c>
    </row>
    <row r="4606" spans="1:11">
      <c r="A4606" s="30" t="s">
        <v>10979</v>
      </c>
      <c r="B4606" s="30" t="s">
        <v>10980</v>
      </c>
      <c r="C4606" s="30" t="s">
        <v>157</v>
      </c>
      <c r="D4606" s="30" t="s">
        <v>17</v>
      </c>
      <c r="E4606" s="30" t="s">
        <v>18</v>
      </c>
      <c r="F4606" s="30" t="s">
        <v>19</v>
      </c>
      <c r="G4606" s="30" t="s">
        <v>20</v>
      </c>
      <c r="H4606" s="32">
        <v>12</v>
      </c>
      <c r="I4606" s="30" t="s">
        <v>21</v>
      </c>
      <c r="J4606" s="41">
        <v>44313</v>
      </c>
      <c r="K4606" s="30" t="s">
        <v>22</v>
      </c>
    </row>
    <row r="4607" spans="1:11">
      <c r="A4607" s="33" t="s">
        <v>10981</v>
      </c>
      <c r="B4607" s="33" t="s">
        <v>10982</v>
      </c>
      <c r="C4607" s="33" t="s">
        <v>2370</v>
      </c>
      <c r="D4607" s="33" t="s">
        <v>17</v>
      </c>
      <c r="E4607" s="33" t="s">
        <v>26</v>
      </c>
      <c r="F4607" s="33" t="s">
        <v>27</v>
      </c>
      <c r="G4607" s="33" t="s">
        <v>20</v>
      </c>
      <c r="H4607" s="35">
        <v>21</v>
      </c>
      <c r="I4607" s="33" t="s">
        <v>21</v>
      </c>
      <c r="J4607" s="42">
        <v>44208</v>
      </c>
      <c r="K4607" s="33" t="s">
        <v>22</v>
      </c>
    </row>
    <row r="4608" spans="1:11">
      <c r="A4608" s="30" t="s">
        <v>10983</v>
      </c>
      <c r="B4608" s="30" t="s">
        <v>10984</v>
      </c>
      <c r="C4608" s="30" t="s">
        <v>3400</v>
      </c>
      <c r="D4608" s="30" t="s">
        <v>17</v>
      </c>
      <c r="E4608" s="30" t="s">
        <v>18</v>
      </c>
      <c r="F4608" s="30" t="s">
        <v>19</v>
      </c>
      <c r="G4608" s="30" t="s">
        <v>20</v>
      </c>
      <c r="H4608" s="32">
        <v>456</v>
      </c>
      <c r="I4608" s="30" t="s">
        <v>21</v>
      </c>
      <c r="J4608" s="41">
        <v>44365</v>
      </c>
      <c r="K4608" s="30" t="s">
        <v>22</v>
      </c>
    </row>
    <row r="4609" spans="1:11">
      <c r="A4609" s="33" t="s">
        <v>10985</v>
      </c>
      <c r="B4609" s="33" t="s">
        <v>10986</v>
      </c>
      <c r="C4609" s="33" t="s">
        <v>407</v>
      </c>
      <c r="D4609" s="33" t="s">
        <v>17</v>
      </c>
      <c r="E4609" s="33" t="s">
        <v>26</v>
      </c>
      <c r="F4609" s="33" t="s">
        <v>27</v>
      </c>
      <c r="G4609" s="33" t="s">
        <v>20</v>
      </c>
      <c r="H4609" s="35">
        <v>23</v>
      </c>
      <c r="I4609" s="33" t="s">
        <v>21</v>
      </c>
      <c r="J4609" s="42">
        <v>44408</v>
      </c>
      <c r="K4609" s="33" t="s">
        <v>22</v>
      </c>
    </row>
    <row r="4610" spans="1:11">
      <c r="A4610" s="30" t="s">
        <v>10987</v>
      </c>
      <c r="B4610" s="30" t="s">
        <v>10988</v>
      </c>
      <c r="C4610" s="30" t="s">
        <v>154</v>
      </c>
      <c r="D4610" s="30" t="s">
        <v>17</v>
      </c>
      <c r="E4610" s="30" t="s">
        <v>31</v>
      </c>
      <c r="F4610" s="30" t="s">
        <v>32</v>
      </c>
      <c r="G4610" s="30" t="s">
        <v>20</v>
      </c>
      <c r="H4610" s="32">
        <v>126</v>
      </c>
      <c r="I4610" s="30" t="s">
        <v>21</v>
      </c>
      <c r="J4610" s="41">
        <v>44392</v>
      </c>
      <c r="K4610" s="30" t="s">
        <v>22</v>
      </c>
    </row>
    <row r="4611" spans="1:11">
      <c r="A4611" s="33" t="s">
        <v>10989</v>
      </c>
      <c r="B4611" s="33" t="s">
        <v>10990</v>
      </c>
      <c r="C4611" s="33" t="s">
        <v>231</v>
      </c>
      <c r="D4611" s="33" t="s">
        <v>17</v>
      </c>
      <c r="E4611" s="33" t="s">
        <v>31</v>
      </c>
      <c r="F4611" s="33" t="s">
        <v>32</v>
      </c>
      <c r="G4611" s="33" t="s">
        <v>106</v>
      </c>
      <c r="H4611" s="35">
        <v>223</v>
      </c>
      <c r="I4611" s="33" t="s">
        <v>21</v>
      </c>
      <c r="J4611" s="42">
        <v>44455</v>
      </c>
      <c r="K4611" s="33" t="s">
        <v>22</v>
      </c>
    </row>
    <row r="4612" spans="1:11">
      <c r="A4612" s="30" t="s">
        <v>10991</v>
      </c>
      <c r="B4612" s="30" t="s">
        <v>10992</v>
      </c>
      <c r="C4612" s="30" t="s">
        <v>1857</v>
      </c>
      <c r="D4612" s="30" t="s">
        <v>17</v>
      </c>
      <c r="E4612" s="30" t="s">
        <v>67</v>
      </c>
      <c r="F4612" s="30" t="s">
        <v>68</v>
      </c>
      <c r="G4612" s="30" t="s">
        <v>50</v>
      </c>
      <c r="H4612" s="32">
        <v>68</v>
      </c>
      <c r="I4612" s="30" t="s">
        <v>51</v>
      </c>
      <c r="J4612" s="41">
        <v>44561</v>
      </c>
      <c r="K4612" s="30" t="s">
        <v>22</v>
      </c>
    </row>
    <row r="4613" spans="1:11">
      <c r="A4613" s="33" t="s">
        <v>10993</v>
      </c>
      <c r="B4613" s="33" t="s">
        <v>10994</v>
      </c>
      <c r="C4613" s="33" t="s">
        <v>3229</v>
      </c>
      <c r="D4613" s="33" t="s">
        <v>17</v>
      </c>
      <c r="E4613" s="33" t="s">
        <v>26</v>
      </c>
      <c r="F4613" s="33" t="s">
        <v>27</v>
      </c>
      <c r="G4613" s="33" t="s">
        <v>20</v>
      </c>
      <c r="H4613" s="35">
        <v>220</v>
      </c>
      <c r="I4613" s="33" t="s">
        <v>21</v>
      </c>
      <c r="J4613" s="42">
        <v>44223</v>
      </c>
      <c r="K4613" s="33" t="s">
        <v>22</v>
      </c>
    </row>
    <row r="4614" spans="1:11">
      <c r="A4614" s="30" t="s">
        <v>10995</v>
      </c>
      <c r="B4614" s="30" t="s">
        <v>10996</v>
      </c>
      <c r="C4614" s="30" t="s">
        <v>246</v>
      </c>
      <c r="D4614" s="30" t="s">
        <v>17</v>
      </c>
      <c r="E4614" s="30" t="s">
        <v>31</v>
      </c>
      <c r="F4614" s="30" t="s">
        <v>32</v>
      </c>
      <c r="G4614" s="30" t="s">
        <v>50</v>
      </c>
      <c r="H4614" s="32">
        <v>90</v>
      </c>
      <c r="I4614" s="30" t="s">
        <v>51</v>
      </c>
      <c r="J4614" s="41">
        <v>44287</v>
      </c>
      <c r="K4614" s="30" t="s">
        <v>22</v>
      </c>
    </row>
    <row r="4615" spans="1:11">
      <c r="A4615" s="33" t="s">
        <v>10997</v>
      </c>
      <c r="B4615" s="33" t="s">
        <v>10998</v>
      </c>
      <c r="C4615" s="33" t="s">
        <v>310</v>
      </c>
      <c r="D4615" s="33" t="s">
        <v>17</v>
      </c>
      <c r="E4615" s="33" t="s">
        <v>18</v>
      </c>
      <c r="F4615" s="33" t="s">
        <v>19</v>
      </c>
      <c r="G4615" s="33" t="s">
        <v>20</v>
      </c>
      <c r="H4615" s="35">
        <v>201</v>
      </c>
      <c r="I4615" s="33" t="s">
        <v>21</v>
      </c>
      <c r="J4615" s="42">
        <v>44516</v>
      </c>
      <c r="K4615" s="33" t="s">
        <v>22</v>
      </c>
    </row>
    <row r="4616" spans="1:11">
      <c r="A4616" s="30" t="s">
        <v>10999</v>
      </c>
      <c r="B4616" s="30" t="s">
        <v>11000</v>
      </c>
      <c r="C4616" s="30" t="s">
        <v>11001</v>
      </c>
      <c r="D4616" s="30" t="s">
        <v>17</v>
      </c>
      <c r="E4616" s="30" t="s">
        <v>26</v>
      </c>
      <c r="F4616" s="30" t="s">
        <v>27</v>
      </c>
      <c r="G4616" s="30" t="s">
        <v>20</v>
      </c>
      <c r="H4616" s="32">
        <v>43</v>
      </c>
      <c r="I4616" s="30" t="s">
        <v>21</v>
      </c>
      <c r="J4616" s="41">
        <v>44415</v>
      </c>
      <c r="K4616" s="30" t="s">
        <v>22</v>
      </c>
    </row>
    <row r="4617" spans="1:11">
      <c r="A4617" s="33" t="s">
        <v>11002</v>
      </c>
      <c r="B4617" s="33" t="s">
        <v>11003</v>
      </c>
      <c r="C4617" s="33" t="s">
        <v>1136</v>
      </c>
      <c r="D4617" s="33" t="s">
        <v>17</v>
      </c>
      <c r="E4617" s="33" t="s">
        <v>212</v>
      </c>
      <c r="F4617" s="33" t="s">
        <v>213</v>
      </c>
      <c r="G4617" s="33" t="s">
        <v>20</v>
      </c>
      <c r="H4617" s="35">
        <v>90</v>
      </c>
      <c r="I4617" s="33" t="s">
        <v>21</v>
      </c>
      <c r="J4617" s="42">
        <v>44447</v>
      </c>
      <c r="K4617" s="33" t="s">
        <v>22</v>
      </c>
    </row>
    <row r="4618" spans="1:11">
      <c r="A4618" s="30" t="s">
        <v>11004</v>
      </c>
      <c r="B4618" s="30" t="s">
        <v>11005</v>
      </c>
      <c r="C4618" s="30" t="s">
        <v>2472</v>
      </c>
      <c r="D4618" s="30" t="s">
        <v>17</v>
      </c>
      <c r="E4618" s="30" t="s">
        <v>18</v>
      </c>
      <c r="F4618" s="30" t="s">
        <v>19</v>
      </c>
      <c r="G4618" s="30" t="s">
        <v>20</v>
      </c>
      <c r="H4618" s="32">
        <v>234</v>
      </c>
      <c r="I4618" s="30" t="s">
        <v>21</v>
      </c>
      <c r="J4618" s="41">
        <v>44302</v>
      </c>
      <c r="K4618" s="30" t="s">
        <v>22</v>
      </c>
    </row>
    <row r="4619" spans="1:11">
      <c r="A4619" s="33" t="s">
        <v>11006</v>
      </c>
      <c r="B4619" s="33" t="s">
        <v>11007</v>
      </c>
      <c r="C4619" s="33" t="s">
        <v>11008</v>
      </c>
      <c r="D4619" s="33" t="s">
        <v>17</v>
      </c>
      <c r="E4619" s="33" t="s">
        <v>26</v>
      </c>
      <c r="F4619" s="33" t="s">
        <v>27</v>
      </c>
      <c r="G4619" s="33" t="s">
        <v>20</v>
      </c>
      <c r="H4619" s="35">
        <v>32</v>
      </c>
      <c r="I4619" s="33" t="s">
        <v>21</v>
      </c>
      <c r="J4619" s="42">
        <v>44496</v>
      </c>
      <c r="K4619" s="33" t="s">
        <v>22</v>
      </c>
    </row>
    <row r="4620" spans="1:11">
      <c r="A4620" s="30" t="s">
        <v>11009</v>
      </c>
      <c r="B4620" s="30" t="s">
        <v>11010</v>
      </c>
      <c r="C4620" s="30" t="s">
        <v>362</v>
      </c>
      <c r="D4620" s="30" t="s">
        <v>17</v>
      </c>
      <c r="E4620" s="30" t="s">
        <v>31</v>
      </c>
      <c r="F4620" s="30" t="s">
        <v>32</v>
      </c>
      <c r="G4620" s="30" t="s">
        <v>106</v>
      </c>
      <c r="H4620" s="32">
        <v>31</v>
      </c>
      <c r="I4620" s="30" t="s">
        <v>21</v>
      </c>
      <c r="J4620" s="41">
        <v>44224</v>
      </c>
      <c r="K4620" s="30" t="s">
        <v>22</v>
      </c>
    </row>
    <row r="4621" spans="1:11">
      <c r="A4621" s="33" t="s">
        <v>11011</v>
      </c>
      <c r="B4621" s="33" t="s">
        <v>11012</v>
      </c>
      <c r="C4621" s="33" t="s">
        <v>11013</v>
      </c>
      <c r="D4621" s="33" t="s">
        <v>17</v>
      </c>
      <c r="E4621" s="33" t="s">
        <v>31</v>
      </c>
      <c r="F4621" s="33" t="s">
        <v>32</v>
      </c>
      <c r="G4621" s="33" t="s">
        <v>20</v>
      </c>
      <c r="H4621" s="35">
        <v>36</v>
      </c>
      <c r="I4621" s="33" t="s">
        <v>21</v>
      </c>
      <c r="J4621" s="42">
        <v>44548</v>
      </c>
      <c r="K4621" s="33" t="s">
        <v>22</v>
      </c>
    </row>
    <row r="4622" spans="1:11">
      <c r="A4622" s="30" t="s">
        <v>11014</v>
      </c>
      <c r="B4622" s="30" t="s">
        <v>11015</v>
      </c>
      <c r="C4622" s="30" t="s">
        <v>1275</v>
      </c>
      <c r="D4622" s="30" t="s">
        <v>17</v>
      </c>
      <c r="E4622" s="30" t="s">
        <v>31</v>
      </c>
      <c r="F4622" s="30" t="s">
        <v>32</v>
      </c>
      <c r="G4622" s="30" t="s">
        <v>20</v>
      </c>
      <c r="H4622" s="32">
        <v>100</v>
      </c>
      <c r="I4622" s="30" t="s">
        <v>21</v>
      </c>
      <c r="J4622" s="41">
        <v>44260</v>
      </c>
      <c r="K4622" s="30" t="s">
        <v>22</v>
      </c>
    </row>
    <row r="4623" spans="1:11">
      <c r="A4623" s="33" t="s">
        <v>11016</v>
      </c>
      <c r="B4623" s="33" t="s">
        <v>11017</v>
      </c>
      <c r="C4623" s="33" t="s">
        <v>11018</v>
      </c>
      <c r="D4623" s="33" t="s">
        <v>17</v>
      </c>
      <c r="E4623" s="33" t="s">
        <v>26</v>
      </c>
      <c r="F4623" s="33" t="s">
        <v>27</v>
      </c>
      <c r="G4623" s="33" t="s">
        <v>20</v>
      </c>
      <c r="H4623" s="35">
        <v>6</v>
      </c>
      <c r="I4623" s="33" t="s">
        <v>21</v>
      </c>
      <c r="J4623" s="42">
        <v>44426</v>
      </c>
      <c r="K4623" s="33" t="s">
        <v>22</v>
      </c>
    </row>
    <row r="4624" spans="1:11">
      <c r="A4624" s="30" t="s">
        <v>11019</v>
      </c>
      <c r="B4624" s="30" t="s">
        <v>11020</v>
      </c>
      <c r="C4624" s="30" t="s">
        <v>2269</v>
      </c>
      <c r="D4624" s="30" t="s">
        <v>17</v>
      </c>
      <c r="E4624" s="30" t="s">
        <v>67</v>
      </c>
      <c r="F4624" s="30" t="s">
        <v>68</v>
      </c>
      <c r="G4624" s="30" t="s">
        <v>106</v>
      </c>
      <c r="H4624" s="32">
        <v>10</v>
      </c>
      <c r="I4624" s="30" t="s">
        <v>21</v>
      </c>
      <c r="J4624" s="41">
        <v>44449</v>
      </c>
      <c r="K4624" s="30" t="s">
        <v>22</v>
      </c>
    </row>
    <row r="4625" spans="1:11">
      <c r="A4625" s="33" t="s">
        <v>11021</v>
      </c>
      <c r="B4625" s="33" t="s">
        <v>11022</v>
      </c>
      <c r="C4625" s="33" t="s">
        <v>11023</v>
      </c>
      <c r="D4625" s="33" t="s">
        <v>17</v>
      </c>
      <c r="E4625" s="33" t="s">
        <v>67</v>
      </c>
      <c r="F4625" s="33" t="s">
        <v>68</v>
      </c>
      <c r="G4625" s="33" t="s">
        <v>106</v>
      </c>
      <c r="H4625" s="35">
        <v>6</v>
      </c>
      <c r="I4625" s="33" t="s">
        <v>21</v>
      </c>
      <c r="J4625" s="42">
        <v>44321</v>
      </c>
      <c r="K4625" s="33" t="s">
        <v>22</v>
      </c>
    </row>
    <row r="4626" spans="1:11">
      <c r="A4626" s="30" t="s">
        <v>11024</v>
      </c>
      <c r="B4626" s="30" t="s">
        <v>11025</v>
      </c>
      <c r="C4626" s="30" t="s">
        <v>11026</v>
      </c>
      <c r="D4626" s="30" t="s">
        <v>17</v>
      </c>
      <c r="E4626" s="30" t="s">
        <v>26</v>
      </c>
      <c r="F4626" s="30" t="s">
        <v>27</v>
      </c>
      <c r="G4626" s="30" t="s">
        <v>20</v>
      </c>
      <c r="H4626" s="32">
        <v>28</v>
      </c>
      <c r="I4626" s="30" t="s">
        <v>21</v>
      </c>
      <c r="J4626" s="41">
        <v>44399</v>
      </c>
      <c r="K4626" s="30" t="s">
        <v>22</v>
      </c>
    </row>
    <row r="4627" spans="1:11">
      <c r="A4627" s="33" t="s">
        <v>11027</v>
      </c>
      <c r="B4627" s="33" t="s">
        <v>11028</v>
      </c>
      <c r="C4627" s="33" t="s">
        <v>587</v>
      </c>
      <c r="D4627" s="33" t="s">
        <v>17</v>
      </c>
      <c r="E4627" s="33" t="s">
        <v>31</v>
      </c>
      <c r="F4627" s="33" t="s">
        <v>32</v>
      </c>
      <c r="G4627" s="33" t="s">
        <v>106</v>
      </c>
      <c r="H4627" s="35">
        <v>14</v>
      </c>
      <c r="I4627" s="33" t="s">
        <v>21</v>
      </c>
      <c r="J4627" s="42">
        <v>44348</v>
      </c>
      <c r="K4627" s="33" t="s">
        <v>22</v>
      </c>
    </row>
    <row r="4628" spans="1:11">
      <c r="A4628" s="30" t="s">
        <v>11029</v>
      </c>
      <c r="B4628" s="30" t="s">
        <v>11030</v>
      </c>
      <c r="C4628" s="30" t="s">
        <v>925</v>
      </c>
      <c r="D4628" s="30" t="s">
        <v>17</v>
      </c>
      <c r="E4628" s="30" t="s">
        <v>31</v>
      </c>
      <c r="F4628" s="30" t="s">
        <v>32</v>
      </c>
      <c r="G4628" s="30" t="s">
        <v>106</v>
      </c>
      <c r="H4628" s="32">
        <v>36</v>
      </c>
      <c r="I4628" s="30" t="s">
        <v>21</v>
      </c>
      <c r="J4628" s="41">
        <v>44509</v>
      </c>
      <c r="K4628" s="30" t="s">
        <v>22</v>
      </c>
    </row>
    <row r="4629" spans="1:11">
      <c r="A4629" s="33" t="s">
        <v>11031</v>
      </c>
      <c r="B4629" s="33" t="s">
        <v>11032</v>
      </c>
      <c r="C4629" s="33" t="s">
        <v>839</v>
      </c>
      <c r="D4629" s="33" t="s">
        <v>17</v>
      </c>
      <c r="E4629" s="33" t="s">
        <v>31</v>
      </c>
      <c r="F4629" s="33" t="s">
        <v>32</v>
      </c>
      <c r="G4629" s="33" t="s">
        <v>140</v>
      </c>
      <c r="H4629" s="35">
        <v>67</v>
      </c>
      <c r="I4629" s="33" t="s">
        <v>51</v>
      </c>
      <c r="J4629" s="42">
        <v>44420</v>
      </c>
      <c r="K4629" s="33" t="s">
        <v>22</v>
      </c>
    </row>
    <row r="4630" spans="1:11">
      <c r="A4630" s="30" t="s">
        <v>11033</v>
      </c>
      <c r="B4630" s="30" t="s">
        <v>11034</v>
      </c>
      <c r="C4630" s="30" t="s">
        <v>11035</v>
      </c>
      <c r="D4630" s="30" t="s">
        <v>17</v>
      </c>
      <c r="E4630" s="30" t="s">
        <v>31</v>
      </c>
      <c r="F4630" s="30" t="s">
        <v>32</v>
      </c>
      <c r="G4630" s="30" t="s">
        <v>20</v>
      </c>
      <c r="H4630" s="32">
        <v>76</v>
      </c>
      <c r="I4630" s="30" t="s">
        <v>21</v>
      </c>
      <c r="J4630" s="41">
        <v>44369</v>
      </c>
      <c r="K4630" s="30" t="s">
        <v>22</v>
      </c>
    </row>
    <row r="4631" spans="1:11">
      <c r="A4631" s="33" t="s">
        <v>11036</v>
      </c>
      <c r="B4631" s="33" t="s">
        <v>11037</v>
      </c>
      <c r="C4631" s="33" t="s">
        <v>1826</v>
      </c>
      <c r="D4631" s="33" t="s">
        <v>17</v>
      </c>
      <c r="E4631" s="33" t="s">
        <v>212</v>
      </c>
      <c r="F4631" s="33" t="s">
        <v>213</v>
      </c>
      <c r="G4631" s="33" t="s">
        <v>20</v>
      </c>
      <c r="H4631" s="35">
        <v>96</v>
      </c>
      <c r="I4631" s="33" t="s">
        <v>21</v>
      </c>
      <c r="J4631" s="42">
        <v>44404</v>
      </c>
      <c r="K4631" s="33" t="s">
        <v>22</v>
      </c>
    </row>
    <row r="4632" spans="1:11">
      <c r="A4632" s="30" t="s">
        <v>11038</v>
      </c>
      <c r="B4632" s="30" t="s">
        <v>11039</v>
      </c>
      <c r="C4632" s="30" t="s">
        <v>11040</v>
      </c>
      <c r="D4632" s="30" t="s">
        <v>17</v>
      </c>
      <c r="E4632" s="30" t="s">
        <v>212</v>
      </c>
      <c r="F4632" s="30" t="s">
        <v>213</v>
      </c>
      <c r="G4632" s="30" t="s">
        <v>20</v>
      </c>
      <c r="H4632" s="32">
        <v>144</v>
      </c>
      <c r="I4632" s="30" t="s">
        <v>21</v>
      </c>
      <c r="J4632" s="41">
        <v>44252</v>
      </c>
      <c r="K4632" s="30" t="s">
        <v>22</v>
      </c>
    </row>
    <row r="4633" spans="1:11">
      <c r="A4633" s="33" t="s">
        <v>11041</v>
      </c>
      <c r="B4633" s="33" t="s">
        <v>11042</v>
      </c>
      <c r="C4633" s="33" t="s">
        <v>75</v>
      </c>
      <c r="D4633" s="33" t="s">
        <v>17</v>
      </c>
      <c r="E4633" s="33" t="s">
        <v>31</v>
      </c>
      <c r="F4633" s="33" t="s">
        <v>32</v>
      </c>
      <c r="G4633" s="33" t="s">
        <v>20</v>
      </c>
      <c r="H4633" s="35">
        <v>135</v>
      </c>
      <c r="I4633" s="33" t="s">
        <v>21</v>
      </c>
      <c r="J4633" s="42">
        <v>44272</v>
      </c>
      <c r="K4633" s="33" t="s">
        <v>22</v>
      </c>
    </row>
    <row r="4634" spans="1:11">
      <c r="A4634" s="30" t="s">
        <v>11043</v>
      </c>
      <c r="B4634" s="30" t="s">
        <v>11044</v>
      </c>
      <c r="C4634" s="30" t="s">
        <v>157</v>
      </c>
      <c r="D4634" s="30" t="s">
        <v>17</v>
      </c>
      <c r="E4634" s="30" t="s">
        <v>26</v>
      </c>
      <c r="F4634" s="30" t="s">
        <v>27</v>
      </c>
      <c r="G4634" s="30" t="s">
        <v>20</v>
      </c>
      <c r="H4634" s="32">
        <v>44</v>
      </c>
      <c r="I4634" s="30" t="s">
        <v>21</v>
      </c>
      <c r="J4634" s="41">
        <v>44292</v>
      </c>
      <c r="K4634" s="30" t="s">
        <v>22</v>
      </c>
    </row>
    <row r="4635" spans="1:11">
      <c r="A4635" s="33" t="s">
        <v>11045</v>
      </c>
      <c r="B4635" s="33" t="s">
        <v>11046</v>
      </c>
      <c r="C4635" s="33" t="s">
        <v>11047</v>
      </c>
      <c r="D4635" s="33" t="s">
        <v>17</v>
      </c>
      <c r="E4635" s="33" t="s">
        <v>26</v>
      </c>
      <c r="F4635" s="33" t="s">
        <v>27</v>
      </c>
      <c r="G4635" s="33" t="s">
        <v>20</v>
      </c>
      <c r="H4635" s="35">
        <v>48</v>
      </c>
      <c r="I4635" s="33" t="s">
        <v>21</v>
      </c>
      <c r="J4635" s="42">
        <v>44203</v>
      </c>
      <c r="K4635" s="33" t="s">
        <v>22</v>
      </c>
    </row>
    <row r="4636" spans="1:11">
      <c r="A4636" s="30" t="s">
        <v>11048</v>
      </c>
      <c r="B4636" s="30" t="s">
        <v>11049</v>
      </c>
      <c r="C4636" s="30" t="s">
        <v>3655</v>
      </c>
      <c r="D4636" s="30" t="s">
        <v>17</v>
      </c>
      <c r="E4636" s="30" t="s">
        <v>45</v>
      </c>
      <c r="F4636" s="30" t="s">
        <v>46</v>
      </c>
      <c r="G4636" s="30" t="s">
        <v>140</v>
      </c>
      <c r="H4636" s="32">
        <v>350</v>
      </c>
      <c r="I4636" s="30" t="s">
        <v>51</v>
      </c>
      <c r="J4636" s="41">
        <v>44203</v>
      </c>
      <c r="K4636" s="30" t="s">
        <v>22</v>
      </c>
    </row>
    <row r="4637" spans="1:11">
      <c r="A4637" s="33" t="s">
        <v>11050</v>
      </c>
      <c r="B4637" s="33" t="s">
        <v>11051</v>
      </c>
      <c r="C4637" s="33" t="s">
        <v>11052</v>
      </c>
      <c r="D4637" s="33" t="s">
        <v>17</v>
      </c>
      <c r="E4637" s="33" t="s">
        <v>330</v>
      </c>
      <c r="F4637" s="33" t="s">
        <v>331</v>
      </c>
      <c r="G4637" s="33" t="s">
        <v>20</v>
      </c>
      <c r="H4637" s="35">
        <v>8</v>
      </c>
      <c r="I4637" s="33" t="s">
        <v>21</v>
      </c>
      <c r="J4637" s="42">
        <v>44418</v>
      </c>
      <c r="K4637" s="33" t="s">
        <v>22</v>
      </c>
    </row>
    <row r="4638" spans="1:11">
      <c r="A4638" s="30" t="s">
        <v>11053</v>
      </c>
      <c r="B4638" s="30" t="s">
        <v>11054</v>
      </c>
      <c r="C4638" s="30" t="s">
        <v>3754</v>
      </c>
      <c r="D4638" s="30" t="s">
        <v>17</v>
      </c>
      <c r="E4638" s="30" t="s">
        <v>26</v>
      </c>
      <c r="F4638" s="30" t="s">
        <v>27</v>
      </c>
      <c r="G4638" s="30" t="s">
        <v>20</v>
      </c>
      <c r="H4638" s="32">
        <v>36</v>
      </c>
      <c r="I4638" s="30" t="s">
        <v>21</v>
      </c>
      <c r="J4638" s="41">
        <v>44260</v>
      </c>
      <c r="K4638" s="30" t="s">
        <v>22</v>
      </c>
    </row>
    <row r="4639" spans="1:11">
      <c r="A4639" s="33" t="s">
        <v>11055</v>
      </c>
      <c r="B4639" s="33" t="s">
        <v>11056</v>
      </c>
      <c r="C4639" s="33" t="s">
        <v>969</v>
      </c>
      <c r="D4639" s="33" t="s">
        <v>17</v>
      </c>
      <c r="E4639" s="33" t="s">
        <v>18</v>
      </c>
      <c r="F4639" s="33" t="s">
        <v>19</v>
      </c>
      <c r="G4639" s="33" t="s">
        <v>20</v>
      </c>
      <c r="H4639" s="35">
        <v>169</v>
      </c>
      <c r="I4639" s="33" t="s">
        <v>21</v>
      </c>
      <c r="J4639" s="42">
        <v>44308</v>
      </c>
      <c r="K4639" s="33" t="s">
        <v>22</v>
      </c>
    </row>
    <row r="4640" spans="1:11">
      <c r="A4640" s="30" t="s">
        <v>11057</v>
      </c>
      <c r="B4640" s="30" t="s">
        <v>11058</v>
      </c>
      <c r="C4640" s="30" t="s">
        <v>10549</v>
      </c>
      <c r="D4640" s="30" t="s">
        <v>17</v>
      </c>
      <c r="E4640" s="30" t="s">
        <v>26</v>
      </c>
      <c r="F4640" s="30" t="s">
        <v>27</v>
      </c>
      <c r="G4640" s="30" t="s">
        <v>112</v>
      </c>
      <c r="H4640" s="32">
        <v>0</v>
      </c>
      <c r="I4640" s="30" t="s">
        <v>21</v>
      </c>
      <c r="J4640" s="41">
        <v>44418</v>
      </c>
      <c r="K4640" s="30" t="s">
        <v>22</v>
      </c>
    </row>
    <row r="4641" spans="1:11">
      <c r="A4641" s="33" t="s">
        <v>11059</v>
      </c>
      <c r="B4641" s="33" t="s">
        <v>11060</v>
      </c>
      <c r="C4641" s="33" t="s">
        <v>549</v>
      </c>
      <c r="D4641" s="33" t="s">
        <v>17</v>
      </c>
      <c r="E4641" s="33" t="s">
        <v>18</v>
      </c>
      <c r="F4641" s="33" t="s">
        <v>19</v>
      </c>
      <c r="G4641" s="33" t="s">
        <v>2613</v>
      </c>
      <c r="H4641" s="35">
        <v>760</v>
      </c>
      <c r="I4641" s="33" t="s">
        <v>51</v>
      </c>
      <c r="J4641" s="42">
        <v>44404</v>
      </c>
      <c r="K4641" s="33" t="s">
        <v>22</v>
      </c>
    </row>
    <row r="4642" spans="1:11">
      <c r="A4642" s="30" t="s">
        <v>11061</v>
      </c>
      <c r="B4642" s="30" t="s">
        <v>11062</v>
      </c>
      <c r="C4642" s="30" t="s">
        <v>3264</v>
      </c>
      <c r="D4642" s="30" t="s">
        <v>17</v>
      </c>
      <c r="E4642" s="30" t="s">
        <v>18</v>
      </c>
      <c r="F4642" s="30" t="s">
        <v>19</v>
      </c>
      <c r="G4642" s="30" t="s">
        <v>158</v>
      </c>
      <c r="H4642" s="32">
        <v>50</v>
      </c>
      <c r="I4642" s="30" t="s">
        <v>21</v>
      </c>
      <c r="J4642" s="41">
        <v>44412</v>
      </c>
      <c r="K4642" s="30" t="s">
        <v>22</v>
      </c>
    </row>
    <row r="4643" spans="1:11">
      <c r="A4643" s="33" t="s">
        <v>11063</v>
      </c>
      <c r="B4643" s="33" t="s">
        <v>11064</v>
      </c>
      <c r="C4643" s="33" t="s">
        <v>11065</v>
      </c>
      <c r="D4643" s="33" t="s">
        <v>17</v>
      </c>
      <c r="E4643" s="33" t="s">
        <v>31</v>
      </c>
      <c r="F4643" s="33" t="s">
        <v>32</v>
      </c>
      <c r="G4643" s="33" t="s">
        <v>106</v>
      </c>
      <c r="H4643" s="35">
        <v>100</v>
      </c>
      <c r="I4643" s="33" t="s">
        <v>21</v>
      </c>
      <c r="J4643" s="42">
        <v>44551</v>
      </c>
      <c r="K4643" s="33" t="s">
        <v>22</v>
      </c>
    </row>
    <row r="4644" spans="1:11">
      <c r="A4644" s="30" t="s">
        <v>11066</v>
      </c>
      <c r="B4644" s="30" t="s">
        <v>11067</v>
      </c>
      <c r="C4644" s="30" t="s">
        <v>11068</v>
      </c>
      <c r="D4644" s="30" t="s">
        <v>17</v>
      </c>
      <c r="E4644" s="30" t="s">
        <v>18</v>
      </c>
      <c r="F4644" s="30" t="s">
        <v>19</v>
      </c>
      <c r="G4644" s="30" t="s">
        <v>20</v>
      </c>
      <c r="H4644" s="32">
        <v>670</v>
      </c>
      <c r="I4644" s="30" t="s">
        <v>21</v>
      </c>
      <c r="J4644" s="41">
        <v>44252</v>
      </c>
      <c r="K4644" s="30" t="s">
        <v>22</v>
      </c>
    </row>
    <row r="4645" spans="1:11">
      <c r="A4645" s="33" t="s">
        <v>11069</v>
      </c>
      <c r="B4645" s="33" t="s">
        <v>11070</v>
      </c>
      <c r="C4645" s="33" t="s">
        <v>925</v>
      </c>
      <c r="D4645" s="33" t="s">
        <v>17</v>
      </c>
      <c r="E4645" s="33" t="s">
        <v>31</v>
      </c>
      <c r="F4645" s="33" t="s">
        <v>32</v>
      </c>
      <c r="G4645" s="33" t="s">
        <v>158</v>
      </c>
      <c r="H4645" s="35">
        <v>142</v>
      </c>
      <c r="I4645" s="33" t="s">
        <v>21</v>
      </c>
      <c r="J4645" s="42">
        <v>44474</v>
      </c>
      <c r="K4645" s="33" t="s">
        <v>22</v>
      </c>
    </row>
    <row r="4646" spans="1:11">
      <c r="A4646" s="30" t="s">
        <v>11071</v>
      </c>
      <c r="B4646" s="30" t="s">
        <v>11072</v>
      </c>
      <c r="C4646" s="30" t="s">
        <v>11073</v>
      </c>
      <c r="D4646" s="30" t="s">
        <v>17</v>
      </c>
      <c r="E4646" s="30" t="s">
        <v>18</v>
      </c>
      <c r="F4646" s="30" t="s">
        <v>19</v>
      </c>
      <c r="G4646" s="30" t="s">
        <v>20</v>
      </c>
      <c r="H4646" s="32">
        <v>275</v>
      </c>
      <c r="I4646" s="30" t="s">
        <v>21</v>
      </c>
      <c r="J4646" s="41">
        <v>44449</v>
      </c>
      <c r="K4646" s="30" t="s">
        <v>22</v>
      </c>
    </row>
    <row r="4647" spans="1:11">
      <c r="A4647" s="33" t="s">
        <v>11074</v>
      </c>
      <c r="B4647" s="33" t="s">
        <v>11075</v>
      </c>
      <c r="C4647" s="33" t="s">
        <v>136</v>
      </c>
      <c r="D4647" s="33" t="s">
        <v>17</v>
      </c>
      <c r="E4647" s="33" t="s">
        <v>18</v>
      </c>
      <c r="F4647" s="33" t="s">
        <v>19</v>
      </c>
      <c r="G4647" s="33" t="s">
        <v>20</v>
      </c>
      <c r="H4647" s="35">
        <v>591</v>
      </c>
      <c r="I4647" s="33" t="s">
        <v>21</v>
      </c>
      <c r="J4647" s="42">
        <v>44299</v>
      </c>
      <c r="K4647" s="33" t="s">
        <v>22</v>
      </c>
    </row>
    <row r="4648" spans="1:11">
      <c r="A4648" s="30" t="s">
        <v>11076</v>
      </c>
      <c r="B4648" s="30" t="s">
        <v>11077</v>
      </c>
      <c r="C4648" s="30" t="s">
        <v>1796</v>
      </c>
      <c r="D4648" s="30" t="s">
        <v>17</v>
      </c>
      <c r="E4648" s="30" t="s">
        <v>26</v>
      </c>
      <c r="F4648" s="30" t="s">
        <v>27</v>
      </c>
      <c r="G4648" s="30" t="s">
        <v>20</v>
      </c>
      <c r="H4648" s="32">
        <v>39</v>
      </c>
      <c r="I4648" s="30" t="s">
        <v>21</v>
      </c>
      <c r="J4648" s="41">
        <v>44252</v>
      </c>
      <c r="K4648" s="30" t="s">
        <v>22</v>
      </c>
    </row>
    <row r="4649" spans="1:11">
      <c r="A4649" s="33" t="s">
        <v>11078</v>
      </c>
      <c r="B4649" s="33" t="s">
        <v>11079</v>
      </c>
      <c r="C4649" s="33" t="s">
        <v>4405</v>
      </c>
      <c r="D4649" s="33" t="s">
        <v>17</v>
      </c>
      <c r="E4649" s="33" t="s">
        <v>18</v>
      </c>
      <c r="F4649" s="33" t="s">
        <v>19</v>
      </c>
      <c r="G4649" s="33" t="s">
        <v>158</v>
      </c>
      <c r="H4649" s="35">
        <v>389</v>
      </c>
      <c r="I4649" s="33" t="s">
        <v>21</v>
      </c>
      <c r="J4649" s="42">
        <v>44496</v>
      </c>
      <c r="K4649" s="33" t="s">
        <v>22</v>
      </c>
    </row>
    <row r="4650" spans="1:11">
      <c r="A4650" s="30" t="s">
        <v>11080</v>
      </c>
      <c r="B4650" s="30" t="s">
        <v>11081</v>
      </c>
      <c r="C4650" s="30" t="s">
        <v>638</v>
      </c>
      <c r="D4650" s="30" t="s">
        <v>17</v>
      </c>
      <c r="E4650" s="30" t="s">
        <v>18</v>
      </c>
      <c r="F4650" s="30" t="s">
        <v>19</v>
      </c>
      <c r="G4650" s="30" t="s">
        <v>20</v>
      </c>
      <c r="H4650" s="32">
        <v>1609</v>
      </c>
      <c r="I4650" s="30" t="s">
        <v>21</v>
      </c>
      <c r="J4650" s="41">
        <v>44365</v>
      </c>
      <c r="K4650" s="30" t="s">
        <v>22</v>
      </c>
    </row>
    <row r="4651" spans="1:11">
      <c r="A4651" s="33" t="s">
        <v>11082</v>
      </c>
      <c r="B4651" s="33" t="s">
        <v>11083</v>
      </c>
      <c r="C4651" s="33" t="s">
        <v>8204</v>
      </c>
      <c r="D4651" s="33" t="s">
        <v>17</v>
      </c>
      <c r="E4651" s="33" t="s">
        <v>45</v>
      </c>
      <c r="F4651" s="33" t="s">
        <v>46</v>
      </c>
      <c r="G4651" s="33" t="s">
        <v>20</v>
      </c>
      <c r="H4651" s="35">
        <v>17</v>
      </c>
      <c r="I4651" s="33" t="s">
        <v>21</v>
      </c>
      <c r="J4651" s="42">
        <v>44277</v>
      </c>
      <c r="K4651" s="33" t="s">
        <v>22</v>
      </c>
    </row>
    <row r="4652" spans="1:11">
      <c r="A4652" s="30" t="s">
        <v>11084</v>
      </c>
      <c r="B4652" s="30" t="s">
        <v>11085</v>
      </c>
      <c r="C4652" s="30" t="s">
        <v>6735</v>
      </c>
      <c r="D4652" s="30" t="s">
        <v>17</v>
      </c>
      <c r="E4652" s="30" t="s">
        <v>26</v>
      </c>
      <c r="F4652" s="30" t="s">
        <v>27</v>
      </c>
      <c r="G4652" s="30" t="s">
        <v>20</v>
      </c>
      <c r="H4652" s="32">
        <v>12</v>
      </c>
      <c r="I4652" s="30" t="s">
        <v>21</v>
      </c>
      <c r="J4652" s="41">
        <v>44349</v>
      </c>
      <c r="K4652" s="30" t="s">
        <v>22</v>
      </c>
    </row>
    <row r="4653" spans="1:11">
      <c r="A4653" s="33" t="s">
        <v>11086</v>
      </c>
      <c r="B4653" s="33" t="s">
        <v>11087</v>
      </c>
      <c r="C4653" s="33" t="s">
        <v>11088</v>
      </c>
      <c r="D4653" s="33" t="s">
        <v>17</v>
      </c>
      <c r="E4653" s="33" t="s">
        <v>45</v>
      </c>
      <c r="F4653" s="33" t="s">
        <v>46</v>
      </c>
      <c r="G4653" s="33" t="s">
        <v>140</v>
      </c>
      <c r="H4653" s="35">
        <v>62</v>
      </c>
      <c r="I4653" s="33" t="s">
        <v>51</v>
      </c>
      <c r="J4653" s="42">
        <v>44319</v>
      </c>
      <c r="K4653" s="33" t="s">
        <v>22</v>
      </c>
    </row>
    <row r="4654" spans="1:11">
      <c r="A4654" s="30" t="s">
        <v>11089</v>
      </c>
      <c r="B4654" s="30" t="s">
        <v>11090</v>
      </c>
      <c r="C4654" s="30" t="s">
        <v>1897</v>
      </c>
      <c r="D4654" s="30" t="s">
        <v>17</v>
      </c>
      <c r="E4654" s="30" t="s">
        <v>31</v>
      </c>
      <c r="F4654" s="30" t="s">
        <v>32</v>
      </c>
      <c r="G4654" s="30" t="s">
        <v>20</v>
      </c>
      <c r="H4654" s="32">
        <v>62</v>
      </c>
      <c r="I4654" s="30" t="s">
        <v>21</v>
      </c>
      <c r="J4654" s="41">
        <v>44370</v>
      </c>
      <c r="K4654" s="30" t="s">
        <v>22</v>
      </c>
    </row>
    <row r="4655" spans="1:11">
      <c r="A4655" s="33" t="s">
        <v>11091</v>
      </c>
      <c r="B4655" s="33" t="s">
        <v>11092</v>
      </c>
      <c r="C4655" s="33" t="s">
        <v>11093</v>
      </c>
      <c r="D4655" s="33" t="s">
        <v>17</v>
      </c>
      <c r="E4655" s="33" t="s">
        <v>67</v>
      </c>
      <c r="F4655" s="33" t="s">
        <v>68</v>
      </c>
      <c r="G4655" s="33" t="s">
        <v>20</v>
      </c>
      <c r="H4655" s="35">
        <v>69</v>
      </c>
      <c r="I4655" s="33" t="s">
        <v>21</v>
      </c>
      <c r="J4655" s="42">
        <v>44512</v>
      </c>
      <c r="K4655" s="33" t="s">
        <v>22</v>
      </c>
    </row>
    <row r="4656" spans="1:11">
      <c r="A4656" s="30" t="s">
        <v>11094</v>
      </c>
      <c r="B4656" s="30" t="s">
        <v>11095</v>
      </c>
      <c r="C4656" s="30" t="s">
        <v>10459</v>
      </c>
      <c r="D4656" s="30" t="s">
        <v>17</v>
      </c>
      <c r="E4656" s="30" t="s">
        <v>330</v>
      </c>
      <c r="F4656" s="30" t="s">
        <v>331</v>
      </c>
      <c r="G4656" s="30" t="s">
        <v>140</v>
      </c>
      <c r="H4656" s="32">
        <v>50</v>
      </c>
      <c r="I4656" s="30" t="s">
        <v>51</v>
      </c>
      <c r="J4656" s="41">
        <v>44519</v>
      </c>
      <c r="K4656" s="30" t="s">
        <v>22</v>
      </c>
    </row>
    <row r="4657" spans="1:11">
      <c r="A4657" s="33" t="s">
        <v>11096</v>
      </c>
      <c r="B4657" s="33" t="s">
        <v>11097</v>
      </c>
      <c r="C4657" s="33" t="s">
        <v>178</v>
      </c>
      <c r="D4657" s="33" t="s">
        <v>17</v>
      </c>
      <c r="E4657" s="33" t="s">
        <v>26</v>
      </c>
      <c r="F4657" s="33" t="s">
        <v>27</v>
      </c>
      <c r="G4657" s="33" t="s">
        <v>20</v>
      </c>
      <c r="H4657" s="35">
        <v>22</v>
      </c>
      <c r="I4657" s="33" t="s">
        <v>21</v>
      </c>
      <c r="J4657" s="42">
        <v>44286</v>
      </c>
      <c r="K4657" s="33" t="s">
        <v>22</v>
      </c>
    </row>
    <row r="4658" spans="1:11">
      <c r="A4658" s="30" t="s">
        <v>11098</v>
      </c>
      <c r="B4658" s="30" t="s">
        <v>11099</v>
      </c>
      <c r="C4658" s="30" t="s">
        <v>96</v>
      </c>
      <c r="D4658" s="30" t="s">
        <v>17</v>
      </c>
      <c r="E4658" s="30" t="s">
        <v>26</v>
      </c>
      <c r="F4658" s="30" t="s">
        <v>27</v>
      </c>
      <c r="G4658" s="30" t="s">
        <v>20</v>
      </c>
      <c r="H4658" s="32">
        <v>13</v>
      </c>
      <c r="I4658" s="30" t="s">
        <v>21</v>
      </c>
      <c r="J4658" s="41">
        <v>44467</v>
      </c>
      <c r="K4658" s="30" t="s">
        <v>22</v>
      </c>
    </row>
    <row r="4659" spans="1:11">
      <c r="A4659" s="33" t="s">
        <v>11100</v>
      </c>
      <c r="B4659" s="33" t="s">
        <v>11101</v>
      </c>
      <c r="C4659" s="33" t="s">
        <v>1275</v>
      </c>
      <c r="D4659" s="33" t="s">
        <v>17</v>
      </c>
      <c r="E4659" s="33" t="s">
        <v>67</v>
      </c>
      <c r="F4659" s="33" t="s">
        <v>68</v>
      </c>
      <c r="G4659" s="33" t="s">
        <v>20</v>
      </c>
      <c r="H4659" s="35">
        <v>100</v>
      </c>
      <c r="I4659" s="33" t="s">
        <v>21</v>
      </c>
      <c r="J4659" s="42">
        <v>44390</v>
      </c>
      <c r="K4659" s="33" t="s">
        <v>22</v>
      </c>
    </row>
    <row r="4660" spans="1:11">
      <c r="A4660" s="30" t="s">
        <v>11102</v>
      </c>
      <c r="B4660" s="30" t="s">
        <v>11103</v>
      </c>
      <c r="C4660" s="30" t="s">
        <v>5429</v>
      </c>
      <c r="D4660" s="30" t="s">
        <v>17</v>
      </c>
      <c r="E4660" s="30" t="s">
        <v>67</v>
      </c>
      <c r="F4660" s="30" t="s">
        <v>68</v>
      </c>
      <c r="G4660" s="30" t="s">
        <v>20</v>
      </c>
      <c r="H4660" s="32">
        <v>190</v>
      </c>
      <c r="I4660" s="30" t="s">
        <v>21</v>
      </c>
      <c r="J4660" s="41">
        <v>44208</v>
      </c>
      <c r="K4660" s="30" t="s">
        <v>22</v>
      </c>
    </row>
    <row r="4661" spans="1:11">
      <c r="A4661" s="33" t="s">
        <v>11104</v>
      </c>
      <c r="B4661" s="33" t="s">
        <v>11105</v>
      </c>
      <c r="C4661" s="33" t="s">
        <v>570</v>
      </c>
      <c r="D4661" s="33" t="s">
        <v>17</v>
      </c>
      <c r="E4661" s="33" t="s">
        <v>18</v>
      </c>
      <c r="F4661" s="33" t="s">
        <v>19</v>
      </c>
      <c r="G4661" s="33" t="s">
        <v>50</v>
      </c>
      <c r="H4661" s="35">
        <v>85</v>
      </c>
      <c r="I4661" s="33" t="s">
        <v>21</v>
      </c>
      <c r="J4661" s="42">
        <v>44200</v>
      </c>
      <c r="K4661" s="33" t="s">
        <v>22</v>
      </c>
    </row>
    <row r="4662" spans="1:11">
      <c r="A4662" s="30" t="s">
        <v>11106</v>
      </c>
      <c r="B4662" s="30" t="s">
        <v>11107</v>
      </c>
      <c r="C4662" s="30" t="s">
        <v>2006</v>
      </c>
      <c r="D4662" s="30" t="s">
        <v>17</v>
      </c>
      <c r="E4662" s="30" t="s">
        <v>26</v>
      </c>
      <c r="F4662" s="30" t="s">
        <v>27</v>
      </c>
      <c r="G4662" s="30" t="s">
        <v>20</v>
      </c>
      <c r="H4662" s="32">
        <v>34</v>
      </c>
      <c r="I4662" s="30" t="s">
        <v>21</v>
      </c>
      <c r="J4662" s="41">
        <v>44350</v>
      </c>
      <c r="K4662" s="30" t="s">
        <v>22</v>
      </c>
    </row>
    <row r="4663" spans="1:11">
      <c r="A4663" s="33" t="s">
        <v>11108</v>
      </c>
      <c r="B4663" s="33" t="s">
        <v>11109</v>
      </c>
      <c r="C4663" s="33" t="s">
        <v>2220</v>
      </c>
      <c r="D4663" s="33" t="s">
        <v>17</v>
      </c>
      <c r="E4663" s="33" t="s">
        <v>45</v>
      </c>
      <c r="F4663" s="33" t="s">
        <v>46</v>
      </c>
      <c r="G4663" s="33" t="s">
        <v>106</v>
      </c>
      <c r="H4663" s="35">
        <v>15</v>
      </c>
      <c r="I4663" s="33" t="s">
        <v>21</v>
      </c>
      <c r="J4663" s="42">
        <v>44461</v>
      </c>
      <c r="K4663" s="33" t="s">
        <v>22</v>
      </c>
    </row>
    <row r="4664" spans="1:11">
      <c r="A4664" s="30" t="s">
        <v>11110</v>
      </c>
      <c r="B4664" s="30" t="s">
        <v>11111</v>
      </c>
      <c r="C4664" s="30" t="s">
        <v>2292</v>
      </c>
      <c r="D4664" s="30" t="s">
        <v>17</v>
      </c>
      <c r="E4664" s="30" t="s">
        <v>67</v>
      </c>
      <c r="F4664" s="30" t="s">
        <v>68</v>
      </c>
      <c r="G4664" s="30" t="s">
        <v>20</v>
      </c>
      <c r="H4664" s="32">
        <v>40</v>
      </c>
      <c r="I4664" s="30" t="s">
        <v>21</v>
      </c>
      <c r="J4664" s="41">
        <v>44249</v>
      </c>
      <c r="K4664" s="30" t="s">
        <v>22</v>
      </c>
    </row>
    <row r="4665" spans="1:11">
      <c r="A4665" s="33" t="s">
        <v>11112</v>
      </c>
      <c r="B4665" s="33" t="s">
        <v>11113</v>
      </c>
      <c r="C4665" s="33" t="s">
        <v>443</v>
      </c>
      <c r="D4665" s="33" t="s">
        <v>17</v>
      </c>
      <c r="E4665" s="33" t="s">
        <v>212</v>
      </c>
      <c r="F4665" s="33" t="s">
        <v>213</v>
      </c>
      <c r="G4665" s="33" t="s">
        <v>20</v>
      </c>
      <c r="H4665" s="35">
        <v>600</v>
      </c>
      <c r="I4665" s="33" t="s">
        <v>21</v>
      </c>
      <c r="J4665" s="42">
        <v>44479</v>
      </c>
      <c r="K4665" s="33" t="s">
        <v>22</v>
      </c>
    </row>
    <row r="4666" spans="1:11">
      <c r="A4666" s="30" t="s">
        <v>11114</v>
      </c>
      <c r="B4666" s="30" t="s">
        <v>11115</v>
      </c>
      <c r="C4666" s="30" t="s">
        <v>695</v>
      </c>
      <c r="D4666" s="30" t="s">
        <v>17</v>
      </c>
      <c r="E4666" s="30" t="s">
        <v>26</v>
      </c>
      <c r="F4666" s="30" t="s">
        <v>27</v>
      </c>
      <c r="G4666" s="30" t="s">
        <v>20</v>
      </c>
      <c r="H4666" s="32">
        <v>23</v>
      </c>
      <c r="I4666" s="30" t="s">
        <v>21</v>
      </c>
      <c r="J4666" s="41">
        <v>44354</v>
      </c>
      <c r="K4666" s="30" t="s">
        <v>22</v>
      </c>
    </row>
    <row r="4667" spans="1:11">
      <c r="A4667" s="33" t="s">
        <v>11116</v>
      </c>
      <c r="B4667" s="33" t="s">
        <v>11117</v>
      </c>
      <c r="C4667" s="33" t="s">
        <v>75</v>
      </c>
      <c r="D4667" s="33" t="s">
        <v>17</v>
      </c>
      <c r="E4667" s="33" t="s">
        <v>31</v>
      </c>
      <c r="F4667" s="33" t="s">
        <v>32</v>
      </c>
      <c r="G4667" s="33" t="s">
        <v>112</v>
      </c>
      <c r="H4667" s="35">
        <v>0</v>
      </c>
      <c r="I4667" s="33" t="s">
        <v>21</v>
      </c>
      <c r="J4667" s="42">
        <v>44211</v>
      </c>
      <c r="K4667" s="33" t="s">
        <v>22</v>
      </c>
    </row>
    <row r="4668" spans="1:11">
      <c r="A4668" s="30" t="s">
        <v>11118</v>
      </c>
      <c r="B4668" s="30" t="s">
        <v>11119</v>
      </c>
      <c r="C4668" s="30" t="s">
        <v>178</v>
      </c>
      <c r="D4668" s="30" t="s">
        <v>17</v>
      </c>
      <c r="E4668" s="30" t="s">
        <v>31</v>
      </c>
      <c r="F4668" s="30" t="s">
        <v>32</v>
      </c>
      <c r="G4668" s="30" t="s">
        <v>20</v>
      </c>
      <c r="H4668" s="32">
        <v>394</v>
      </c>
      <c r="I4668" s="30" t="s">
        <v>21</v>
      </c>
      <c r="J4668" s="41">
        <v>44561</v>
      </c>
      <c r="K4668" s="30" t="s">
        <v>22</v>
      </c>
    </row>
    <row r="4669" spans="1:11">
      <c r="A4669" s="33" t="s">
        <v>11120</v>
      </c>
      <c r="B4669" s="33" t="s">
        <v>11121</v>
      </c>
      <c r="C4669" s="33" t="s">
        <v>2739</v>
      </c>
      <c r="D4669" s="33" t="s">
        <v>17</v>
      </c>
      <c r="E4669" s="33" t="s">
        <v>18</v>
      </c>
      <c r="F4669" s="33" t="s">
        <v>19</v>
      </c>
      <c r="G4669" s="33" t="s">
        <v>20</v>
      </c>
      <c r="H4669" s="35">
        <v>186</v>
      </c>
      <c r="I4669" s="33" t="s">
        <v>21</v>
      </c>
      <c r="J4669" s="42">
        <v>44526</v>
      </c>
      <c r="K4669" s="33" t="s">
        <v>22</v>
      </c>
    </row>
    <row r="4670" spans="1:11">
      <c r="A4670" s="30" t="s">
        <v>11122</v>
      </c>
      <c r="B4670" s="30" t="s">
        <v>11123</v>
      </c>
      <c r="C4670" s="30" t="s">
        <v>443</v>
      </c>
      <c r="D4670" s="30" t="s">
        <v>17</v>
      </c>
      <c r="E4670" s="30" t="s">
        <v>212</v>
      </c>
      <c r="F4670" s="30" t="s">
        <v>213</v>
      </c>
      <c r="G4670" s="30" t="s">
        <v>20</v>
      </c>
      <c r="H4670" s="32">
        <v>3000</v>
      </c>
      <c r="I4670" s="30" t="s">
        <v>21</v>
      </c>
      <c r="J4670" s="41">
        <v>44484</v>
      </c>
      <c r="K4670" s="30" t="s">
        <v>22</v>
      </c>
    </row>
    <row r="4671" spans="1:11">
      <c r="A4671" s="33" t="s">
        <v>11124</v>
      </c>
      <c r="B4671" s="33" t="s">
        <v>11125</v>
      </c>
      <c r="C4671" s="33" t="s">
        <v>190</v>
      </c>
      <c r="D4671" s="33" t="s">
        <v>17</v>
      </c>
      <c r="E4671" s="33" t="s">
        <v>18</v>
      </c>
      <c r="F4671" s="33" t="s">
        <v>19</v>
      </c>
      <c r="G4671" s="33" t="s">
        <v>158</v>
      </c>
      <c r="H4671" s="35">
        <v>927</v>
      </c>
      <c r="I4671" s="33" t="s">
        <v>21</v>
      </c>
      <c r="J4671" s="42">
        <v>44494</v>
      </c>
      <c r="K4671" s="33" t="s">
        <v>22</v>
      </c>
    </row>
    <row r="4672" spans="1:11">
      <c r="A4672" s="30" t="s">
        <v>11126</v>
      </c>
      <c r="B4672" s="30" t="s">
        <v>11127</v>
      </c>
      <c r="C4672" s="30" t="s">
        <v>11128</v>
      </c>
      <c r="D4672" s="30" t="s">
        <v>17</v>
      </c>
      <c r="E4672" s="30" t="s">
        <v>330</v>
      </c>
      <c r="F4672" s="30" t="s">
        <v>331</v>
      </c>
      <c r="G4672" s="30" t="s">
        <v>50</v>
      </c>
      <c r="H4672" s="32">
        <v>25</v>
      </c>
      <c r="I4672" s="30" t="s">
        <v>51</v>
      </c>
      <c r="J4672" s="41">
        <v>44258</v>
      </c>
      <c r="K4672" s="30" t="s">
        <v>22</v>
      </c>
    </row>
    <row r="4673" spans="1:11">
      <c r="A4673" s="33" t="s">
        <v>11129</v>
      </c>
      <c r="B4673" s="33" t="s">
        <v>11130</v>
      </c>
      <c r="C4673" s="33" t="s">
        <v>379</v>
      </c>
      <c r="D4673" s="33" t="s">
        <v>17</v>
      </c>
      <c r="E4673" s="33" t="s">
        <v>31</v>
      </c>
      <c r="F4673" s="33" t="s">
        <v>32</v>
      </c>
      <c r="G4673" s="33" t="s">
        <v>50</v>
      </c>
      <c r="H4673" s="35">
        <v>40</v>
      </c>
      <c r="I4673" s="33" t="s">
        <v>51</v>
      </c>
      <c r="J4673" s="42">
        <v>44553</v>
      </c>
      <c r="K4673" s="33" t="s">
        <v>22</v>
      </c>
    </row>
    <row r="4674" spans="1:11">
      <c r="A4674" s="30" t="s">
        <v>11131</v>
      </c>
      <c r="B4674" s="30" t="s">
        <v>11132</v>
      </c>
      <c r="C4674" s="30" t="s">
        <v>93</v>
      </c>
      <c r="D4674" s="30" t="s">
        <v>17</v>
      </c>
      <c r="E4674" s="30" t="s">
        <v>18</v>
      </c>
      <c r="F4674" s="30" t="s">
        <v>19</v>
      </c>
      <c r="G4674" s="30" t="s">
        <v>20</v>
      </c>
      <c r="H4674" s="32">
        <v>118</v>
      </c>
      <c r="I4674" s="30" t="s">
        <v>21</v>
      </c>
      <c r="J4674" s="41">
        <v>44245</v>
      </c>
      <c r="K4674" s="30" t="s">
        <v>22</v>
      </c>
    </row>
    <row r="4675" spans="1:11">
      <c r="A4675" s="33" t="s">
        <v>11133</v>
      </c>
      <c r="B4675" s="33" t="s">
        <v>11134</v>
      </c>
      <c r="C4675" s="33" t="s">
        <v>387</v>
      </c>
      <c r="D4675" s="33" t="s">
        <v>17</v>
      </c>
      <c r="E4675" s="33" t="s">
        <v>31</v>
      </c>
      <c r="F4675" s="33" t="s">
        <v>32</v>
      </c>
      <c r="G4675" s="33" t="s">
        <v>158</v>
      </c>
      <c r="H4675" s="35">
        <v>64</v>
      </c>
      <c r="I4675" s="33" t="s">
        <v>21</v>
      </c>
      <c r="J4675" s="42">
        <v>44516</v>
      </c>
      <c r="K4675" s="33" t="s">
        <v>22</v>
      </c>
    </row>
    <row r="4676" spans="1:11">
      <c r="A4676" s="30" t="s">
        <v>11135</v>
      </c>
      <c r="B4676" s="30" t="s">
        <v>11136</v>
      </c>
      <c r="C4676" s="30" t="s">
        <v>1151</v>
      </c>
      <c r="D4676" s="30" t="s">
        <v>17</v>
      </c>
      <c r="E4676" s="30" t="s">
        <v>31</v>
      </c>
      <c r="F4676" s="30" t="s">
        <v>32</v>
      </c>
      <c r="G4676" s="30" t="s">
        <v>20</v>
      </c>
      <c r="H4676" s="32">
        <v>204</v>
      </c>
      <c r="I4676" s="30" t="s">
        <v>21</v>
      </c>
      <c r="J4676" s="41">
        <v>44375</v>
      </c>
      <c r="K4676" s="30" t="s">
        <v>22</v>
      </c>
    </row>
    <row r="4677" spans="1:11">
      <c r="A4677" s="33" t="s">
        <v>11137</v>
      </c>
      <c r="B4677" s="33" t="s">
        <v>11138</v>
      </c>
      <c r="C4677" s="33" t="s">
        <v>6554</v>
      </c>
      <c r="D4677" s="33" t="s">
        <v>17</v>
      </c>
      <c r="E4677" s="33" t="s">
        <v>67</v>
      </c>
      <c r="F4677" s="33" t="s">
        <v>68</v>
      </c>
      <c r="G4677" s="33" t="s">
        <v>20</v>
      </c>
      <c r="H4677" s="35">
        <v>36</v>
      </c>
      <c r="I4677" s="33" t="s">
        <v>21</v>
      </c>
      <c r="J4677" s="42">
        <v>44456</v>
      </c>
      <c r="K4677" s="33" t="s">
        <v>22</v>
      </c>
    </row>
    <row r="4678" spans="1:11">
      <c r="A4678" s="30" t="s">
        <v>11139</v>
      </c>
      <c r="B4678" s="30" t="s">
        <v>11140</v>
      </c>
      <c r="C4678" s="30" t="s">
        <v>109</v>
      </c>
      <c r="D4678" s="30" t="s">
        <v>17</v>
      </c>
      <c r="E4678" s="30" t="s">
        <v>18</v>
      </c>
      <c r="F4678" s="30" t="s">
        <v>19</v>
      </c>
      <c r="G4678" s="30" t="s">
        <v>106</v>
      </c>
      <c r="H4678" s="32">
        <v>39</v>
      </c>
      <c r="I4678" s="30" t="s">
        <v>21</v>
      </c>
      <c r="J4678" s="41">
        <v>44516</v>
      </c>
      <c r="K4678" s="30" t="s">
        <v>22</v>
      </c>
    </row>
    <row r="4679" spans="1:11">
      <c r="A4679" s="33" t="s">
        <v>11141</v>
      </c>
      <c r="B4679" s="33" t="s">
        <v>11142</v>
      </c>
      <c r="C4679" s="33" t="s">
        <v>136</v>
      </c>
      <c r="D4679" s="33" t="s">
        <v>17</v>
      </c>
      <c r="E4679" s="33" t="s">
        <v>67</v>
      </c>
      <c r="F4679" s="33" t="s">
        <v>68</v>
      </c>
      <c r="G4679" s="33" t="s">
        <v>158</v>
      </c>
      <c r="H4679" s="35">
        <v>540</v>
      </c>
      <c r="I4679" s="33" t="s">
        <v>51</v>
      </c>
      <c r="J4679" s="42">
        <v>44396</v>
      </c>
      <c r="K4679" s="33" t="s">
        <v>22</v>
      </c>
    </row>
    <row r="4680" spans="1:11">
      <c r="A4680" s="30" t="s">
        <v>11143</v>
      </c>
      <c r="B4680" s="30" t="s">
        <v>11144</v>
      </c>
      <c r="C4680" s="30" t="s">
        <v>11145</v>
      </c>
      <c r="D4680" s="30" t="s">
        <v>17</v>
      </c>
      <c r="E4680" s="30" t="s">
        <v>212</v>
      </c>
      <c r="F4680" s="30" t="s">
        <v>213</v>
      </c>
      <c r="G4680" s="30" t="s">
        <v>20</v>
      </c>
      <c r="H4680" s="32">
        <v>60</v>
      </c>
      <c r="I4680" s="30" t="s">
        <v>21</v>
      </c>
      <c r="J4680" s="41">
        <v>44404</v>
      </c>
      <c r="K4680" s="30" t="s">
        <v>22</v>
      </c>
    </row>
    <row r="4681" spans="1:11">
      <c r="A4681" s="33" t="s">
        <v>11146</v>
      </c>
      <c r="B4681" s="33" t="s">
        <v>11147</v>
      </c>
      <c r="C4681" s="33" t="s">
        <v>11148</v>
      </c>
      <c r="D4681" s="33" t="s">
        <v>17</v>
      </c>
      <c r="E4681" s="33" t="s">
        <v>67</v>
      </c>
      <c r="F4681" s="33" t="s">
        <v>68</v>
      </c>
      <c r="G4681" s="33" t="s">
        <v>20</v>
      </c>
      <c r="H4681" s="35">
        <v>50</v>
      </c>
      <c r="I4681" s="33" t="s">
        <v>21</v>
      </c>
      <c r="J4681" s="42">
        <v>44399</v>
      </c>
      <c r="K4681" s="33" t="s">
        <v>22</v>
      </c>
    </row>
    <row r="4682" spans="1:11">
      <c r="A4682" s="30" t="s">
        <v>11149</v>
      </c>
      <c r="B4682" s="30" t="s">
        <v>11150</v>
      </c>
      <c r="C4682" s="30" t="s">
        <v>1165</v>
      </c>
      <c r="D4682" s="30" t="s">
        <v>17</v>
      </c>
      <c r="E4682" s="30" t="s">
        <v>18</v>
      </c>
      <c r="F4682" s="30" t="s">
        <v>19</v>
      </c>
      <c r="G4682" s="30" t="s">
        <v>158</v>
      </c>
      <c r="H4682" s="32">
        <v>173</v>
      </c>
      <c r="I4682" s="30" t="s">
        <v>21</v>
      </c>
      <c r="J4682" s="41">
        <v>44517</v>
      </c>
      <c r="K4682" s="30" t="s">
        <v>22</v>
      </c>
    </row>
    <row r="4683" spans="1:11">
      <c r="A4683" s="33" t="s">
        <v>11151</v>
      </c>
      <c r="B4683" s="33" t="s">
        <v>11152</v>
      </c>
      <c r="C4683" s="33" t="s">
        <v>11153</v>
      </c>
      <c r="D4683" s="33" t="s">
        <v>17</v>
      </c>
      <c r="E4683" s="33" t="s">
        <v>18</v>
      </c>
      <c r="F4683" s="33" t="s">
        <v>19</v>
      </c>
      <c r="G4683" s="33" t="s">
        <v>158</v>
      </c>
      <c r="H4683" s="35">
        <v>455</v>
      </c>
      <c r="I4683" s="33" t="s">
        <v>21</v>
      </c>
      <c r="J4683" s="42">
        <v>44252</v>
      </c>
      <c r="K4683" s="33" t="s">
        <v>22</v>
      </c>
    </row>
    <row r="4684" spans="1:11">
      <c r="A4684" s="30" t="s">
        <v>11154</v>
      </c>
      <c r="B4684" s="30" t="s">
        <v>11155</v>
      </c>
      <c r="C4684" s="30" t="s">
        <v>2812</v>
      </c>
      <c r="D4684" s="30" t="s">
        <v>17</v>
      </c>
      <c r="E4684" s="30" t="s">
        <v>31</v>
      </c>
      <c r="F4684" s="30" t="s">
        <v>32</v>
      </c>
      <c r="G4684" s="30" t="s">
        <v>50</v>
      </c>
      <c r="H4684" s="32">
        <v>312</v>
      </c>
      <c r="I4684" s="30" t="s">
        <v>51</v>
      </c>
      <c r="J4684" s="41">
        <v>44300</v>
      </c>
      <c r="K4684" s="30" t="s">
        <v>22</v>
      </c>
    </row>
    <row r="4685" spans="1:11">
      <c r="A4685" s="33" t="s">
        <v>11156</v>
      </c>
      <c r="B4685" s="33" t="s">
        <v>11157</v>
      </c>
      <c r="C4685" s="33" t="s">
        <v>7094</v>
      </c>
      <c r="D4685" s="33" t="s">
        <v>17</v>
      </c>
      <c r="E4685" s="33" t="s">
        <v>18</v>
      </c>
      <c r="F4685" s="33" t="s">
        <v>19</v>
      </c>
      <c r="G4685" s="33" t="s">
        <v>112</v>
      </c>
      <c r="H4685" s="35">
        <v>0</v>
      </c>
      <c r="I4685" s="33" t="s">
        <v>21</v>
      </c>
      <c r="J4685" s="42">
        <v>44531</v>
      </c>
      <c r="K4685" s="33" t="s">
        <v>22</v>
      </c>
    </row>
    <row r="4686" spans="1:11">
      <c r="A4686" s="30" t="s">
        <v>11158</v>
      </c>
      <c r="B4686" s="30" t="s">
        <v>11159</v>
      </c>
      <c r="C4686" s="30" t="s">
        <v>1428</v>
      </c>
      <c r="D4686" s="30" t="s">
        <v>17</v>
      </c>
      <c r="E4686" s="30" t="s">
        <v>67</v>
      </c>
      <c r="F4686" s="30" t="s">
        <v>68</v>
      </c>
      <c r="G4686" s="30" t="s">
        <v>20</v>
      </c>
      <c r="H4686" s="32">
        <v>478</v>
      </c>
      <c r="I4686" s="30" t="s">
        <v>21</v>
      </c>
      <c r="J4686" s="41">
        <v>44531</v>
      </c>
      <c r="K4686" s="30" t="s">
        <v>22</v>
      </c>
    </row>
    <row r="4687" spans="1:11">
      <c r="A4687" s="33" t="s">
        <v>11160</v>
      </c>
      <c r="B4687" s="33" t="s">
        <v>11161</v>
      </c>
      <c r="C4687" s="33" t="s">
        <v>157</v>
      </c>
      <c r="D4687" s="33" t="s">
        <v>17</v>
      </c>
      <c r="E4687" s="33" t="s">
        <v>18</v>
      </c>
      <c r="F4687" s="33" t="s">
        <v>19</v>
      </c>
      <c r="G4687" s="33" t="s">
        <v>20</v>
      </c>
      <c r="H4687" s="35">
        <v>614</v>
      </c>
      <c r="I4687" s="33" t="s">
        <v>21</v>
      </c>
      <c r="J4687" s="42">
        <v>44331</v>
      </c>
      <c r="K4687" s="33" t="s">
        <v>22</v>
      </c>
    </row>
    <row r="4688" spans="1:11">
      <c r="A4688" s="30" t="s">
        <v>11162</v>
      </c>
      <c r="B4688" s="30" t="s">
        <v>11163</v>
      </c>
      <c r="C4688" s="30" t="s">
        <v>2094</v>
      </c>
      <c r="D4688" s="30" t="s">
        <v>17</v>
      </c>
      <c r="E4688" s="30" t="s">
        <v>26</v>
      </c>
      <c r="F4688" s="30" t="s">
        <v>27</v>
      </c>
      <c r="G4688" s="30" t="s">
        <v>20</v>
      </c>
      <c r="H4688" s="32">
        <v>22</v>
      </c>
      <c r="I4688" s="30" t="s">
        <v>21</v>
      </c>
      <c r="J4688" s="41">
        <v>44257</v>
      </c>
      <c r="K4688" s="30" t="s">
        <v>22</v>
      </c>
    </row>
    <row r="4689" spans="1:11">
      <c r="A4689" s="33" t="s">
        <v>11164</v>
      </c>
      <c r="B4689" s="33" t="s">
        <v>11165</v>
      </c>
      <c r="C4689" s="33" t="s">
        <v>11166</v>
      </c>
      <c r="D4689" s="33" t="s">
        <v>17</v>
      </c>
      <c r="E4689" s="33" t="s">
        <v>31</v>
      </c>
      <c r="F4689" s="33" t="s">
        <v>32</v>
      </c>
      <c r="G4689" s="33" t="s">
        <v>50</v>
      </c>
      <c r="H4689" s="35">
        <v>52</v>
      </c>
      <c r="I4689" s="33" t="s">
        <v>51</v>
      </c>
      <c r="J4689" s="42">
        <v>44317</v>
      </c>
      <c r="K4689" s="33" t="s">
        <v>22</v>
      </c>
    </row>
    <row r="4690" spans="1:11">
      <c r="A4690" s="30" t="s">
        <v>11167</v>
      </c>
      <c r="B4690" s="30" t="s">
        <v>11168</v>
      </c>
      <c r="C4690" s="30" t="s">
        <v>130</v>
      </c>
      <c r="D4690" s="30" t="s">
        <v>17</v>
      </c>
      <c r="E4690" s="30" t="s">
        <v>26</v>
      </c>
      <c r="F4690" s="30" t="s">
        <v>27</v>
      </c>
      <c r="G4690" s="30" t="s">
        <v>106</v>
      </c>
      <c r="H4690" s="32">
        <v>57</v>
      </c>
      <c r="I4690" s="30" t="s">
        <v>21</v>
      </c>
      <c r="J4690" s="41">
        <v>44473</v>
      </c>
      <c r="K4690" s="30" t="s">
        <v>22</v>
      </c>
    </row>
    <row r="4691" spans="1:11">
      <c r="A4691" s="33" t="s">
        <v>11169</v>
      </c>
      <c r="B4691" s="33" t="s">
        <v>11170</v>
      </c>
      <c r="C4691" s="33" t="s">
        <v>149</v>
      </c>
      <c r="D4691" s="33" t="s">
        <v>17</v>
      </c>
      <c r="E4691" s="33" t="s">
        <v>18</v>
      </c>
      <c r="F4691" s="33" t="s">
        <v>19</v>
      </c>
      <c r="G4691" s="33" t="s">
        <v>158</v>
      </c>
      <c r="H4691" s="35">
        <v>496</v>
      </c>
      <c r="I4691" s="33" t="s">
        <v>21</v>
      </c>
      <c r="J4691" s="42">
        <v>44273</v>
      </c>
      <c r="K4691" s="33" t="s">
        <v>22</v>
      </c>
    </row>
    <row r="4692" spans="1:11">
      <c r="A4692" s="30" t="s">
        <v>11171</v>
      </c>
      <c r="B4692" s="30" t="s">
        <v>11172</v>
      </c>
      <c r="C4692" s="30" t="s">
        <v>1469</v>
      </c>
      <c r="D4692" s="30" t="s">
        <v>17</v>
      </c>
      <c r="E4692" s="30" t="s">
        <v>212</v>
      </c>
      <c r="F4692" s="30" t="s">
        <v>213</v>
      </c>
      <c r="G4692" s="30" t="s">
        <v>20</v>
      </c>
      <c r="H4692" s="32">
        <v>121</v>
      </c>
      <c r="I4692" s="30" t="s">
        <v>21</v>
      </c>
      <c r="J4692" s="41">
        <v>44344</v>
      </c>
      <c r="K4692" s="30" t="s">
        <v>22</v>
      </c>
    </row>
    <row r="4693" spans="1:11">
      <c r="A4693" s="33" t="s">
        <v>11173</v>
      </c>
      <c r="B4693" s="33" t="s">
        <v>11174</v>
      </c>
      <c r="C4693" s="33" t="s">
        <v>587</v>
      </c>
      <c r="D4693" s="33" t="s">
        <v>17</v>
      </c>
      <c r="E4693" s="33" t="s">
        <v>31</v>
      </c>
      <c r="F4693" s="33" t="s">
        <v>32</v>
      </c>
      <c r="G4693" s="33" t="s">
        <v>158</v>
      </c>
      <c r="H4693" s="35">
        <v>217</v>
      </c>
      <c r="I4693" s="33" t="s">
        <v>21</v>
      </c>
      <c r="J4693" s="42">
        <v>44440</v>
      </c>
      <c r="K4693" s="33" t="s">
        <v>22</v>
      </c>
    </row>
    <row r="4694" spans="1:11">
      <c r="A4694" s="30" t="s">
        <v>11175</v>
      </c>
      <c r="B4694" s="30" t="s">
        <v>11176</v>
      </c>
      <c r="C4694" s="30" t="s">
        <v>11177</v>
      </c>
      <c r="D4694" s="30" t="s">
        <v>17</v>
      </c>
      <c r="E4694" s="30" t="s">
        <v>26</v>
      </c>
      <c r="F4694" s="30" t="s">
        <v>27</v>
      </c>
      <c r="G4694" s="30" t="s">
        <v>158</v>
      </c>
      <c r="H4694" s="32">
        <v>101</v>
      </c>
      <c r="I4694" s="30" t="s">
        <v>21</v>
      </c>
      <c r="J4694" s="41">
        <v>44287</v>
      </c>
      <c r="K4694" s="30" t="s">
        <v>22</v>
      </c>
    </row>
    <row r="4695" spans="1:11">
      <c r="A4695" s="33" t="s">
        <v>11178</v>
      </c>
      <c r="B4695" s="33" t="s">
        <v>11179</v>
      </c>
      <c r="C4695" s="33" t="s">
        <v>4218</v>
      </c>
      <c r="D4695" s="33" t="s">
        <v>17</v>
      </c>
      <c r="E4695" s="33" t="s">
        <v>26</v>
      </c>
      <c r="F4695" s="33" t="s">
        <v>27</v>
      </c>
      <c r="G4695" s="33" t="s">
        <v>106</v>
      </c>
      <c r="H4695" s="35">
        <v>14</v>
      </c>
      <c r="I4695" s="33" t="s">
        <v>21</v>
      </c>
      <c r="J4695" s="42">
        <v>44321</v>
      </c>
      <c r="K4695" s="33" t="s">
        <v>22</v>
      </c>
    </row>
    <row r="4696" spans="1:11">
      <c r="A4696" s="30" t="s">
        <v>11180</v>
      </c>
      <c r="B4696" s="30" t="s">
        <v>11181</v>
      </c>
      <c r="C4696" s="30" t="s">
        <v>2017</v>
      </c>
      <c r="D4696" s="30" t="s">
        <v>17</v>
      </c>
      <c r="E4696" s="30" t="s">
        <v>330</v>
      </c>
      <c r="F4696" s="30" t="s">
        <v>331</v>
      </c>
      <c r="G4696" s="30" t="s">
        <v>20</v>
      </c>
      <c r="H4696" s="32">
        <v>402</v>
      </c>
      <c r="I4696" s="30" t="s">
        <v>21</v>
      </c>
      <c r="J4696" s="41">
        <v>44302</v>
      </c>
      <c r="K4696" s="30" t="s">
        <v>22</v>
      </c>
    </row>
    <row r="4697" spans="1:11">
      <c r="A4697" s="33" t="s">
        <v>11182</v>
      </c>
      <c r="B4697" s="33" t="s">
        <v>11183</v>
      </c>
      <c r="C4697" s="33" t="s">
        <v>252</v>
      </c>
      <c r="D4697" s="33" t="s">
        <v>17</v>
      </c>
      <c r="E4697" s="33" t="s">
        <v>31</v>
      </c>
      <c r="F4697" s="33" t="s">
        <v>32</v>
      </c>
      <c r="G4697" s="33" t="s">
        <v>20</v>
      </c>
      <c r="H4697" s="35">
        <v>32</v>
      </c>
      <c r="I4697" s="33" t="s">
        <v>21</v>
      </c>
      <c r="J4697" s="42">
        <v>44223</v>
      </c>
      <c r="K4697" s="33" t="s">
        <v>22</v>
      </c>
    </row>
    <row r="4698" spans="1:11">
      <c r="A4698" s="30" t="s">
        <v>11184</v>
      </c>
      <c r="B4698" s="30" t="s">
        <v>11185</v>
      </c>
      <c r="C4698" s="30" t="s">
        <v>2514</v>
      </c>
      <c r="D4698" s="30" t="s">
        <v>17</v>
      </c>
      <c r="E4698" s="30" t="s">
        <v>26</v>
      </c>
      <c r="F4698" s="30" t="s">
        <v>27</v>
      </c>
      <c r="G4698" s="30" t="s">
        <v>50</v>
      </c>
      <c r="H4698" s="32">
        <v>18</v>
      </c>
      <c r="I4698" s="30" t="s">
        <v>51</v>
      </c>
      <c r="J4698" s="41">
        <v>44531</v>
      </c>
      <c r="K4698" s="30" t="s">
        <v>22</v>
      </c>
    </row>
    <row r="4699" spans="1:11">
      <c r="A4699" s="33" t="s">
        <v>11186</v>
      </c>
      <c r="B4699" s="33" t="s">
        <v>11187</v>
      </c>
      <c r="C4699" s="33" t="s">
        <v>11188</v>
      </c>
      <c r="D4699" s="33" t="s">
        <v>17</v>
      </c>
      <c r="E4699" s="33" t="s">
        <v>26</v>
      </c>
      <c r="F4699" s="33" t="s">
        <v>27</v>
      </c>
      <c r="G4699" s="33" t="s">
        <v>20</v>
      </c>
      <c r="H4699" s="35">
        <v>54</v>
      </c>
      <c r="I4699" s="33" t="s">
        <v>21</v>
      </c>
      <c r="J4699" s="42">
        <v>44483</v>
      </c>
      <c r="K4699" s="33" t="s">
        <v>22</v>
      </c>
    </row>
    <row r="4700" spans="1:11">
      <c r="A4700" s="30" t="s">
        <v>11189</v>
      </c>
      <c r="B4700" s="30" t="s">
        <v>11190</v>
      </c>
      <c r="C4700" s="30" t="s">
        <v>985</v>
      </c>
      <c r="D4700" s="30" t="s">
        <v>17</v>
      </c>
      <c r="E4700" s="30" t="s">
        <v>67</v>
      </c>
      <c r="F4700" s="30" t="s">
        <v>68</v>
      </c>
      <c r="G4700" s="30" t="s">
        <v>112</v>
      </c>
      <c r="H4700" s="32">
        <v>0</v>
      </c>
      <c r="I4700" s="30" t="s">
        <v>21</v>
      </c>
      <c r="J4700" s="41">
        <v>44470</v>
      </c>
      <c r="K4700" s="30" t="s">
        <v>22</v>
      </c>
    </row>
    <row r="4701" spans="1:11">
      <c r="A4701" s="33" t="s">
        <v>11191</v>
      </c>
      <c r="B4701" s="33" t="s">
        <v>11192</v>
      </c>
      <c r="C4701" s="33" t="s">
        <v>7153</v>
      </c>
      <c r="D4701" s="33" t="s">
        <v>17</v>
      </c>
      <c r="E4701" s="33" t="s">
        <v>45</v>
      </c>
      <c r="F4701" s="33" t="s">
        <v>46</v>
      </c>
      <c r="G4701" s="33" t="s">
        <v>106</v>
      </c>
      <c r="H4701" s="35">
        <v>423</v>
      </c>
      <c r="I4701" s="33" t="s">
        <v>21</v>
      </c>
      <c r="J4701" s="42">
        <v>44377</v>
      </c>
      <c r="K4701" s="33" t="s">
        <v>22</v>
      </c>
    </row>
    <row r="4702" spans="1:11">
      <c r="A4702" s="30" t="s">
        <v>11193</v>
      </c>
      <c r="B4702" s="30" t="s">
        <v>11194</v>
      </c>
      <c r="C4702" s="30" t="s">
        <v>3275</v>
      </c>
      <c r="D4702" s="30" t="s">
        <v>17</v>
      </c>
      <c r="E4702" s="30" t="s">
        <v>67</v>
      </c>
      <c r="F4702" s="30" t="s">
        <v>68</v>
      </c>
      <c r="G4702" s="30" t="s">
        <v>106</v>
      </c>
      <c r="H4702" s="32">
        <v>3</v>
      </c>
      <c r="I4702" s="30" t="s">
        <v>21</v>
      </c>
      <c r="J4702" s="41">
        <v>44228</v>
      </c>
      <c r="K4702" s="30" t="s">
        <v>22</v>
      </c>
    </row>
    <row r="4703" spans="1:11">
      <c r="A4703" s="33" t="s">
        <v>11195</v>
      </c>
      <c r="B4703" s="33" t="s">
        <v>11196</v>
      </c>
      <c r="C4703" s="33" t="s">
        <v>8508</v>
      </c>
      <c r="D4703" s="33" t="s">
        <v>17</v>
      </c>
      <c r="E4703" s="33" t="s">
        <v>31</v>
      </c>
      <c r="F4703" s="33" t="s">
        <v>32</v>
      </c>
      <c r="G4703" s="33" t="s">
        <v>20</v>
      </c>
      <c r="H4703" s="35">
        <v>22</v>
      </c>
      <c r="I4703" s="33" t="s">
        <v>21</v>
      </c>
      <c r="J4703" s="42">
        <v>44232</v>
      </c>
      <c r="K4703" s="33" t="s">
        <v>22</v>
      </c>
    </row>
    <row r="4704" spans="1:11">
      <c r="A4704" s="30" t="s">
        <v>11197</v>
      </c>
      <c r="B4704" s="30" t="s">
        <v>11198</v>
      </c>
      <c r="C4704" s="30" t="s">
        <v>387</v>
      </c>
      <c r="D4704" s="30" t="s">
        <v>17</v>
      </c>
      <c r="E4704" s="30" t="s">
        <v>18</v>
      </c>
      <c r="F4704" s="30" t="s">
        <v>19</v>
      </c>
      <c r="G4704" s="30" t="s">
        <v>20</v>
      </c>
      <c r="H4704" s="32">
        <v>160</v>
      </c>
      <c r="I4704" s="30" t="s">
        <v>21</v>
      </c>
      <c r="J4704" s="41">
        <v>44460</v>
      </c>
      <c r="K4704" s="30" t="s">
        <v>22</v>
      </c>
    </row>
    <row r="4705" spans="1:11">
      <c r="A4705" s="33" t="s">
        <v>11199</v>
      </c>
      <c r="B4705" s="33" t="s">
        <v>11200</v>
      </c>
      <c r="C4705" s="33" t="s">
        <v>310</v>
      </c>
      <c r="D4705" s="33" t="s">
        <v>17</v>
      </c>
      <c r="E4705" s="33" t="s">
        <v>31</v>
      </c>
      <c r="F4705" s="33" t="s">
        <v>32</v>
      </c>
      <c r="G4705" s="33" t="s">
        <v>20</v>
      </c>
      <c r="H4705" s="35">
        <v>500</v>
      </c>
      <c r="I4705" s="33" t="s">
        <v>21</v>
      </c>
      <c r="J4705" s="42">
        <v>44529</v>
      </c>
      <c r="K4705" s="33" t="s">
        <v>22</v>
      </c>
    </row>
    <row r="4706" spans="1:11">
      <c r="A4706" s="30" t="s">
        <v>11201</v>
      </c>
      <c r="B4706" s="30" t="s">
        <v>11202</v>
      </c>
      <c r="C4706" s="30" t="s">
        <v>1778</v>
      </c>
      <c r="D4706" s="30" t="s">
        <v>17</v>
      </c>
      <c r="E4706" s="30" t="s">
        <v>26</v>
      </c>
      <c r="F4706" s="30" t="s">
        <v>27</v>
      </c>
      <c r="G4706" s="30" t="s">
        <v>20</v>
      </c>
      <c r="H4706" s="32">
        <v>46</v>
      </c>
      <c r="I4706" s="30" t="s">
        <v>21</v>
      </c>
      <c r="J4706" s="41">
        <v>44251</v>
      </c>
      <c r="K4706" s="30" t="s">
        <v>22</v>
      </c>
    </row>
    <row r="4707" spans="1:11">
      <c r="A4707" s="33" t="s">
        <v>11203</v>
      </c>
      <c r="B4707" s="33" t="s">
        <v>11204</v>
      </c>
      <c r="C4707" s="33" t="s">
        <v>203</v>
      </c>
      <c r="D4707" s="33" t="s">
        <v>17</v>
      </c>
      <c r="E4707" s="33" t="s">
        <v>26</v>
      </c>
      <c r="F4707" s="33" t="s">
        <v>27</v>
      </c>
      <c r="G4707" s="33" t="s">
        <v>20</v>
      </c>
      <c r="H4707" s="35">
        <v>182</v>
      </c>
      <c r="I4707" s="33" t="s">
        <v>21</v>
      </c>
      <c r="J4707" s="42">
        <v>44355</v>
      </c>
      <c r="K4707" s="33" t="s">
        <v>22</v>
      </c>
    </row>
    <row r="4708" spans="1:11">
      <c r="A4708" s="30" t="s">
        <v>11205</v>
      </c>
      <c r="B4708" s="30" t="s">
        <v>11206</v>
      </c>
      <c r="C4708" s="30" t="s">
        <v>10832</v>
      </c>
      <c r="D4708" s="30" t="s">
        <v>17</v>
      </c>
      <c r="E4708" s="30" t="s">
        <v>18</v>
      </c>
      <c r="F4708" s="30" t="s">
        <v>19</v>
      </c>
      <c r="G4708" s="30" t="s">
        <v>50</v>
      </c>
      <c r="H4708" s="32">
        <v>800</v>
      </c>
      <c r="I4708" s="30" t="s">
        <v>51</v>
      </c>
      <c r="J4708" s="41">
        <v>44468</v>
      </c>
      <c r="K4708" s="30" t="s">
        <v>22</v>
      </c>
    </row>
    <row r="4709" spans="1:11">
      <c r="A4709" s="33" t="s">
        <v>11207</v>
      </c>
      <c r="B4709" s="33" t="s">
        <v>11208</v>
      </c>
      <c r="C4709" s="33" t="s">
        <v>698</v>
      </c>
      <c r="D4709" s="33" t="s">
        <v>17</v>
      </c>
      <c r="E4709" s="33" t="s">
        <v>31</v>
      </c>
      <c r="F4709" s="33" t="s">
        <v>32</v>
      </c>
      <c r="G4709" s="33" t="s">
        <v>50</v>
      </c>
      <c r="H4709" s="35">
        <v>155</v>
      </c>
      <c r="I4709" s="33" t="s">
        <v>51</v>
      </c>
      <c r="J4709" s="42">
        <v>44520</v>
      </c>
      <c r="K4709" s="33" t="s">
        <v>22</v>
      </c>
    </row>
    <row r="4710" spans="1:11">
      <c r="A4710" s="30" t="s">
        <v>11209</v>
      </c>
      <c r="B4710" s="30" t="s">
        <v>11210</v>
      </c>
      <c r="C4710" s="30" t="s">
        <v>11211</v>
      </c>
      <c r="D4710" s="30" t="s">
        <v>17</v>
      </c>
      <c r="E4710" s="30" t="s">
        <v>67</v>
      </c>
      <c r="F4710" s="30" t="s">
        <v>68</v>
      </c>
      <c r="G4710" s="30" t="s">
        <v>20</v>
      </c>
      <c r="H4710" s="32">
        <v>73</v>
      </c>
      <c r="I4710" s="30" t="s">
        <v>21</v>
      </c>
      <c r="J4710" s="41">
        <v>44306</v>
      </c>
      <c r="K4710" s="30" t="s">
        <v>22</v>
      </c>
    </row>
    <row r="4711" spans="1:11">
      <c r="A4711" s="33" t="s">
        <v>11212</v>
      </c>
      <c r="B4711" s="33" t="s">
        <v>11213</v>
      </c>
      <c r="C4711" s="33" t="s">
        <v>11214</v>
      </c>
      <c r="D4711" s="33" t="s">
        <v>17</v>
      </c>
      <c r="E4711" s="33" t="s">
        <v>26</v>
      </c>
      <c r="F4711" s="33" t="s">
        <v>27</v>
      </c>
      <c r="G4711" s="33" t="s">
        <v>20</v>
      </c>
      <c r="H4711" s="35">
        <v>40</v>
      </c>
      <c r="I4711" s="33" t="s">
        <v>21</v>
      </c>
      <c r="J4711" s="42">
        <v>44256</v>
      </c>
      <c r="K4711" s="33" t="s">
        <v>22</v>
      </c>
    </row>
    <row r="4712" spans="1:11">
      <c r="A4712" s="30" t="s">
        <v>11215</v>
      </c>
      <c r="B4712" s="30" t="s">
        <v>11216</v>
      </c>
      <c r="C4712" s="30" t="s">
        <v>1598</v>
      </c>
      <c r="D4712" s="30" t="s">
        <v>17</v>
      </c>
      <c r="E4712" s="30" t="s">
        <v>26</v>
      </c>
      <c r="F4712" s="30" t="s">
        <v>27</v>
      </c>
      <c r="G4712" s="30" t="s">
        <v>20</v>
      </c>
      <c r="H4712" s="32">
        <v>36</v>
      </c>
      <c r="I4712" s="30" t="s">
        <v>21</v>
      </c>
      <c r="J4712" s="41">
        <v>44371</v>
      </c>
      <c r="K4712" s="30" t="s">
        <v>22</v>
      </c>
    </row>
    <row r="4713" spans="1:11">
      <c r="A4713" s="33" t="s">
        <v>11217</v>
      </c>
      <c r="B4713" s="33" t="s">
        <v>11218</v>
      </c>
      <c r="C4713" s="33" t="s">
        <v>11219</v>
      </c>
      <c r="D4713" s="33" t="s">
        <v>17</v>
      </c>
      <c r="E4713" s="33" t="s">
        <v>18</v>
      </c>
      <c r="F4713" s="33" t="s">
        <v>19</v>
      </c>
      <c r="G4713" s="33" t="s">
        <v>20</v>
      </c>
      <c r="H4713" s="35">
        <v>372</v>
      </c>
      <c r="I4713" s="33" t="s">
        <v>21</v>
      </c>
      <c r="J4713" s="42">
        <v>44456</v>
      </c>
      <c r="K4713" s="33" t="s">
        <v>22</v>
      </c>
    </row>
    <row r="4714" spans="1:11">
      <c r="A4714" s="30" t="s">
        <v>11220</v>
      </c>
      <c r="B4714" s="30" t="s">
        <v>11221</v>
      </c>
      <c r="C4714" s="30" t="s">
        <v>190</v>
      </c>
      <c r="D4714" s="30" t="s">
        <v>17</v>
      </c>
      <c r="E4714" s="30" t="s">
        <v>26</v>
      </c>
      <c r="F4714" s="30" t="s">
        <v>27</v>
      </c>
      <c r="G4714" s="30" t="s">
        <v>20</v>
      </c>
      <c r="H4714" s="32">
        <v>12</v>
      </c>
      <c r="I4714" s="30" t="s">
        <v>21</v>
      </c>
      <c r="J4714" s="41">
        <v>44510</v>
      </c>
      <c r="K4714" s="30" t="s">
        <v>22</v>
      </c>
    </row>
    <row r="4715" spans="1:11">
      <c r="A4715" s="33" t="s">
        <v>11222</v>
      </c>
      <c r="B4715" s="33" t="s">
        <v>11223</v>
      </c>
      <c r="C4715" s="33" t="s">
        <v>1313</v>
      </c>
      <c r="D4715" s="33" t="s">
        <v>17</v>
      </c>
      <c r="E4715" s="33" t="s">
        <v>26</v>
      </c>
      <c r="F4715" s="33" t="s">
        <v>27</v>
      </c>
      <c r="G4715" s="33" t="s">
        <v>50</v>
      </c>
      <c r="H4715" s="35">
        <v>100</v>
      </c>
      <c r="I4715" s="33" t="s">
        <v>51</v>
      </c>
      <c r="J4715" s="42">
        <v>44524</v>
      </c>
      <c r="K4715" s="33" t="s">
        <v>22</v>
      </c>
    </row>
    <row r="4716" spans="1:11">
      <c r="A4716" s="30" t="s">
        <v>11224</v>
      </c>
      <c r="B4716" s="30" t="s">
        <v>11225</v>
      </c>
      <c r="C4716" s="30" t="s">
        <v>11226</v>
      </c>
      <c r="D4716" s="30" t="s">
        <v>17</v>
      </c>
      <c r="E4716" s="30" t="s">
        <v>67</v>
      </c>
      <c r="F4716" s="30" t="s">
        <v>68</v>
      </c>
      <c r="G4716" s="30" t="s">
        <v>20</v>
      </c>
      <c r="H4716" s="32">
        <v>64</v>
      </c>
      <c r="I4716" s="30" t="s">
        <v>21</v>
      </c>
      <c r="J4716" s="41">
        <v>44350</v>
      </c>
      <c r="K4716" s="30" t="s">
        <v>22</v>
      </c>
    </row>
    <row r="4717" spans="1:11">
      <c r="A4717" s="33" t="s">
        <v>11227</v>
      </c>
      <c r="B4717" s="33" t="s">
        <v>11228</v>
      </c>
      <c r="C4717" s="33" t="s">
        <v>93</v>
      </c>
      <c r="D4717" s="33" t="s">
        <v>17</v>
      </c>
      <c r="E4717" s="33" t="s">
        <v>18</v>
      </c>
      <c r="F4717" s="33" t="s">
        <v>19</v>
      </c>
      <c r="G4717" s="33" t="s">
        <v>20</v>
      </c>
      <c r="H4717" s="35">
        <v>310</v>
      </c>
      <c r="I4717" s="33" t="s">
        <v>21</v>
      </c>
      <c r="J4717" s="42">
        <v>44228</v>
      </c>
      <c r="K4717" s="33" t="s">
        <v>22</v>
      </c>
    </row>
    <row r="4718" spans="1:11">
      <c r="A4718" s="30" t="s">
        <v>11229</v>
      </c>
      <c r="B4718" s="30" t="s">
        <v>11230</v>
      </c>
      <c r="C4718" s="30" t="s">
        <v>1343</v>
      </c>
      <c r="D4718" s="30" t="s">
        <v>17</v>
      </c>
      <c r="E4718" s="30" t="s">
        <v>18</v>
      </c>
      <c r="F4718" s="30" t="s">
        <v>19</v>
      </c>
      <c r="G4718" s="30" t="s">
        <v>20</v>
      </c>
      <c r="H4718" s="32">
        <v>99</v>
      </c>
      <c r="I4718" s="30" t="s">
        <v>21</v>
      </c>
      <c r="J4718" s="41">
        <v>44329</v>
      </c>
      <c r="K4718" s="30" t="s">
        <v>22</v>
      </c>
    </row>
    <row r="4719" spans="1:11">
      <c r="A4719" s="33" t="s">
        <v>11231</v>
      </c>
      <c r="B4719" s="33" t="s">
        <v>11232</v>
      </c>
      <c r="C4719" s="33" t="s">
        <v>203</v>
      </c>
      <c r="D4719" s="33" t="s">
        <v>17</v>
      </c>
      <c r="E4719" s="33" t="s">
        <v>26</v>
      </c>
      <c r="F4719" s="33" t="s">
        <v>27</v>
      </c>
      <c r="G4719" s="33" t="s">
        <v>20</v>
      </c>
      <c r="H4719" s="35">
        <v>18</v>
      </c>
      <c r="I4719" s="33" t="s">
        <v>21</v>
      </c>
      <c r="J4719" s="42">
        <v>44405</v>
      </c>
      <c r="K4719" s="33" t="s">
        <v>22</v>
      </c>
    </row>
    <row r="4720" spans="1:11">
      <c r="A4720" s="30" t="s">
        <v>11233</v>
      </c>
      <c r="B4720" s="30" t="s">
        <v>11234</v>
      </c>
      <c r="C4720" s="30" t="s">
        <v>1090</v>
      </c>
      <c r="D4720" s="30" t="s">
        <v>17</v>
      </c>
      <c r="E4720" s="30" t="s">
        <v>26</v>
      </c>
      <c r="F4720" s="30" t="s">
        <v>27</v>
      </c>
      <c r="G4720" s="30" t="s">
        <v>50</v>
      </c>
      <c r="H4720" s="32">
        <v>272</v>
      </c>
      <c r="I4720" s="30" t="s">
        <v>51</v>
      </c>
      <c r="J4720" s="41">
        <v>44455</v>
      </c>
      <c r="K4720" s="30" t="s">
        <v>22</v>
      </c>
    </row>
    <row r="4721" spans="1:11">
      <c r="A4721" s="33" t="s">
        <v>11235</v>
      </c>
      <c r="B4721" s="33" t="s">
        <v>11236</v>
      </c>
      <c r="C4721" s="33" t="s">
        <v>948</v>
      </c>
      <c r="D4721" s="33" t="s">
        <v>17</v>
      </c>
      <c r="E4721" s="33" t="s">
        <v>26</v>
      </c>
      <c r="F4721" s="33" t="s">
        <v>27</v>
      </c>
      <c r="G4721" s="33" t="s">
        <v>20</v>
      </c>
      <c r="H4721" s="35">
        <v>6</v>
      </c>
      <c r="I4721" s="33" t="s">
        <v>21</v>
      </c>
      <c r="J4721" s="42">
        <v>44277</v>
      </c>
      <c r="K4721" s="33" t="s">
        <v>22</v>
      </c>
    </row>
    <row r="4722" spans="1:11">
      <c r="A4722" s="30" t="s">
        <v>11237</v>
      </c>
      <c r="B4722" s="30" t="s">
        <v>11238</v>
      </c>
      <c r="C4722" s="30" t="s">
        <v>11239</v>
      </c>
      <c r="D4722" s="30" t="s">
        <v>17</v>
      </c>
      <c r="E4722" s="30" t="s">
        <v>45</v>
      </c>
      <c r="F4722" s="30" t="s">
        <v>46</v>
      </c>
      <c r="G4722" s="30" t="s">
        <v>20</v>
      </c>
      <c r="H4722" s="32">
        <v>174</v>
      </c>
      <c r="I4722" s="30" t="s">
        <v>21</v>
      </c>
      <c r="J4722" s="41">
        <v>44242</v>
      </c>
      <c r="K4722" s="30" t="s">
        <v>22</v>
      </c>
    </row>
    <row r="4723" spans="1:11">
      <c r="A4723" s="33" t="s">
        <v>11240</v>
      </c>
      <c r="B4723" s="33" t="s">
        <v>11241</v>
      </c>
      <c r="C4723" s="33" t="s">
        <v>3106</v>
      </c>
      <c r="D4723" s="33" t="s">
        <v>17</v>
      </c>
      <c r="E4723" s="33" t="s">
        <v>31</v>
      </c>
      <c r="F4723" s="33" t="s">
        <v>32</v>
      </c>
      <c r="G4723" s="33" t="s">
        <v>20</v>
      </c>
      <c r="H4723" s="35">
        <v>206</v>
      </c>
      <c r="I4723" s="33" t="s">
        <v>21</v>
      </c>
      <c r="J4723" s="42">
        <v>44530</v>
      </c>
      <c r="K4723" s="33" t="s">
        <v>22</v>
      </c>
    </row>
    <row r="4724" spans="1:11">
      <c r="A4724" s="30" t="s">
        <v>11242</v>
      </c>
      <c r="B4724" s="30" t="s">
        <v>11243</v>
      </c>
      <c r="C4724" s="30" t="s">
        <v>310</v>
      </c>
      <c r="D4724" s="30" t="s">
        <v>17</v>
      </c>
      <c r="E4724" s="30" t="s">
        <v>26</v>
      </c>
      <c r="F4724" s="30" t="s">
        <v>27</v>
      </c>
      <c r="G4724" s="30" t="s">
        <v>20</v>
      </c>
      <c r="H4724" s="32">
        <v>42</v>
      </c>
      <c r="I4724" s="30" t="s">
        <v>21</v>
      </c>
      <c r="J4724" s="41">
        <v>44229</v>
      </c>
      <c r="K4724" s="30" t="s">
        <v>22</v>
      </c>
    </row>
    <row r="4725" spans="1:11">
      <c r="A4725" s="33" t="s">
        <v>11244</v>
      </c>
      <c r="B4725" s="33" t="s">
        <v>11245</v>
      </c>
      <c r="C4725" s="33" t="s">
        <v>1835</v>
      </c>
      <c r="D4725" s="33" t="s">
        <v>17</v>
      </c>
      <c r="E4725" s="33" t="s">
        <v>18</v>
      </c>
      <c r="F4725" s="33" t="s">
        <v>19</v>
      </c>
      <c r="G4725" s="33" t="s">
        <v>20</v>
      </c>
      <c r="H4725" s="35">
        <v>2044</v>
      </c>
      <c r="I4725" s="33" t="s">
        <v>21</v>
      </c>
      <c r="J4725" s="42">
        <v>44469</v>
      </c>
      <c r="K4725" s="33" t="s">
        <v>22</v>
      </c>
    </row>
    <row r="4726" spans="1:11">
      <c r="A4726" s="30" t="s">
        <v>11246</v>
      </c>
      <c r="B4726" s="30" t="s">
        <v>11247</v>
      </c>
      <c r="C4726" s="30" t="s">
        <v>11248</v>
      </c>
      <c r="D4726" s="30" t="s">
        <v>17</v>
      </c>
      <c r="E4726" s="30" t="s">
        <v>26</v>
      </c>
      <c r="F4726" s="30" t="s">
        <v>27</v>
      </c>
      <c r="G4726" s="30" t="s">
        <v>106</v>
      </c>
      <c r="H4726" s="32">
        <v>10</v>
      </c>
      <c r="I4726" s="30" t="s">
        <v>21</v>
      </c>
      <c r="J4726" s="41">
        <v>44202</v>
      </c>
      <c r="K4726" s="30" t="s">
        <v>22</v>
      </c>
    </row>
    <row r="4727" spans="1:11">
      <c r="A4727" s="33" t="s">
        <v>11249</v>
      </c>
      <c r="B4727" s="33" t="s">
        <v>11250</v>
      </c>
      <c r="C4727" s="33" t="s">
        <v>387</v>
      </c>
      <c r="D4727" s="33" t="s">
        <v>17</v>
      </c>
      <c r="E4727" s="33" t="s">
        <v>18</v>
      </c>
      <c r="F4727" s="33" t="s">
        <v>19</v>
      </c>
      <c r="G4727" s="33" t="s">
        <v>140</v>
      </c>
      <c r="H4727" s="35">
        <v>285</v>
      </c>
      <c r="I4727" s="33" t="s">
        <v>51</v>
      </c>
      <c r="J4727" s="42">
        <v>44377</v>
      </c>
      <c r="K4727" s="33" t="s">
        <v>22</v>
      </c>
    </row>
    <row r="4728" spans="1:11">
      <c r="A4728" s="30" t="s">
        <v>11251</v>
      </c>
      <c r="B4728" s="30" t="s">
        <v>11252</v>
      </c>
      <c r="C4728" s="30" t="s">
        <v>450</v>
      </c>
      <c r="D4728" s="30" t="s">
        <v>17</v>
      </c>
      <c r="E4728" s="30" t="s">
        <v>31</v>
      </c>
      <c r="F4728" s="30" t="s">
        <v>32</v>
      </c>
      <c r="G4728" s="30" t="s">
        <v>106</v>
      </c>
      <c r="H4728" s="32">
        <v>123</v>
      </c>
      <c r="I4728" s="30" t="s">
        <v>21</v>
      </c>
      <c r="J4728" s="41">
        <v>44215</v>
      </c>
      <c r="K4728" s="30" t="s">
        <v>22</v>
      </c>
    </row>
    <row r="4729" spans="1:11">
      <c r="A4729" s="33" t="s">
        <v>11253</v>
      </c>
      <c r="B4729" s="33" t="s">
        <v>11254</v>
      </c>
      <c r="C4729" s="33" t="s">
        <v>124</v>
      </c>
      <c r="D4729" s="33" t="s">
        <v>17</v>
      </c>
      <c r="E4729" s="33" t="s">
        <v>18</v>
      </c>
      <c r="F4729" s="33" t="s">
        <v>19</v>
      </c>
      <c r="G4729" s="33" t="s">
        <v>20</v>
      </c>
      <c r="H4729" s="35">
        <v>276</v>
      </c>
      <c r="I4729" s="33" t="s">
        <v>21</v>
      </c>
      <c r="J4729" s="42">
        <v>44279</v>
      </c>
      <c r="K4729" s="33" t="s">
        <v>22</v>
      </c>
    </row>
    <row r="4730" spans="1:11">
      <c r="A4730" s="30" t="s">
        <v>11255</v>
      </c>
      <c r="B4730" s="30" t="s">
        <v>11256</v>
      </c>
      <c r="C4730" s="30" t="s">
        <v>1275</v>
      </c>
      <c r="D4730" s="30" t="s">
        <v>17</v>
      </c>
      <c r="E4730" s="30" t="s">
        <v>18</v>
      </c>
      <c r="F4730" s="30" t="s">
        <v>19</v>
      </c>
      <c r="G4730" s="30" t="s">
        <v>50</v>
      </c>
      <c r="H4730" s="32">
        <v>198</v>
      </c>
      <c r="I4730" s="30" t="s">
        <v>21</v>
      </c>
      <c r="J4730" s="41">
        <v>44385</v>
      </c>
      <c r="K4730" s="30" t="s">
        <v>22</v>
      </c>
    </row>
    <row r="4731" spans="1:11">
      <c r="A4731" s="33" t="s">
        <v>11257</v>
      </c>
      <c r="B4731" s="33" t="s">
        <v>11258</v>
      </c>
      <c r="C4731" s="33" t="s">
        <v>216</v>
      </c>
      <c r="D4731" s="33" t="s">
        <v>17</v>
      </c>
      <c r="E4731" s="33" t="s">
        <v>26</v>
      </c>
      <c r="F4731" s="33" t="s">
        <v>27</v>
      </c>
      <c r="G4731" s="33" t="s">
        <v>106</v>
      </c>
      <c r="H4731" s="35">
        <v>13</v>
      </c>
      <c r="I4731" s="33" t="s">
        <v>21</v>
      </c>
      <c r="J4731" s="42">
        <v>44498</v>
      </c>
      <c r="K4731" s="33" t="s">
        <v>22</v>
      </c>
    </row>
    <row r="4732" spans="1:11">
      <c r="A4732" s="30" t="s">
        <v>11259</v>
      </c>
      <c r="B4732" s="30" t="s">
        <v>11260</v>
      </c>
      <c r="C4732" s="30" t="s">
        <v>801</v>
      </c>
      <c r="D4732" s="30" t="s">
        <v>17</v>
      </c>
      <c r="E4732" s="30" t="s">
        <v>212</v>
      </c>
      <c r="F4732" s="30" t="s">
        <v>213</v>
      </c>
      <c r="G4732" s="30" t="s">
        <v>20</v>
      </c>
      <c r="H4732" s="32">
        <v>46</v>
      </c>
      <c r="I4732" s="30" t="s">
        <v>21</v>
      </c>
      <c r="J4732" s="41">
        <v>44200</v>
      </c>
      <c r="K4732" s="30" t="s">
        <v>22</v>
      </c>
    </row>
    <row r="4733" spans="1:11">
      <c r="A4733" s="33" t="s">
        <v>11261</v>
      </c>
      <c r="B4733" s="33" t="s">
        <v>11262</v>
      </c>
      <c r="C4733" s="33" t="s">
        <v>554</v>
      </c>
      <c r="D4733" s="33" t="s">
        <v>17</v>
      </c>
      <c r="E4733" s="33" t="s">
        <v>67</v>
      </c>
      <c r="F4733" s="33" t="s">
        <v>68</v>
      </c>
      <c r="G4733" s="33" t="s">
        <v>20</v>
      </c>
      <c r="H4733" s="35">
        <v>8</v>
      </c>
      <c r="I4733" s="33" t="s">
        <v>21</v>
      </c>
      <c r="J4733" s="42">
        <v>44375</v>
      </c>
      <c r="K4733" s="33" t="s">
        <v>22</v>
      </c>
    </row>
    <row r="4734" spans="1:11">
      <c r="A4734" s="30" t="s">
        <v>11263</v>
      </c>
      <c r="B4734" s="30" t="s">
        <v>11264</v>
      </c>
      <c r="C4734" s="30" t="s">
        <v>11265</v>
      </c>
      <c r="D4734" s="30" t="s">
        <v>17</v>
      </c>
      <c r="E4734" s="30" t="s">
        <v>31</v>
      </c>
      <c r="F4734" s="30" t="s">
        <v>32</v>
      </c>
      <c r="G4734" s="30" t="s">
        <v>20</v>
      </c>
      <c r="H4734" s="32">
        <v>63</v>
      </c>
      <c r="I4734" s="30" t="s">
        <v>21</v>
      </c>
      <c r="J4734" s="41">
        <v>44214</v>
      </c>
      <c r="K4734" s="30" t="s">
        <v>22</v>
      </c>
    </row>
    <row r="4735" spans="1:11">
      <c r="A4735" s="33" t="s">
        <v>11266</v>
      </c>
      <c r="B4735" s="33" t="s">
        <v>11267</v>
      </c>
      <c r="C4735" s="33" t="s">
        <v>11268</v>
      </c>
      <c r="D4735" s="33" t="s">
        <v>17</v>
      </c>
      <c r="E4735" s="33" t="s">
        <v>26</v>
      </c>
      <c r="F4735" s="33" t="s">
        <v>27</v>
      </c>
      <c r="G4735" s="33" t="s">
        <v>50</v>
      </c>
      <c r="H4735" s="35">
        <v>70</v>
      </c>
      <c r="I4735" s="33" t="s">
        <v>51</v>
      </c>
      <c r="J4735" s="42">
        <v>44504</v>
      </c>
      <c r="K4735" s="33" t="s">
        <v>22</v>
      </c>
    </row>
    <row r="4736" spans="1:11">
      <c r="A4736" s="30" t="s">
        <v>11269</v>
      </c>
      <c r="B4736" s="30" t="s">
        <v>11270</v>
      </c>
      <c r="C4736" s="30" t="s">
        <v>149</v>
      </c>
      <c r="D4736" s="30" t="s">
        <v>17</v>
      </c>
      <c r="E4736" s="30" t="s">
        <v>18</v>
      </c>
      <c r="F4736" s="30" t="s">
        <v>19</v>
      </c>
      <c r="G4736" s="30" t="s">
        <v>158</v>
      </c>
      <c r="H4736" s="32">
        <v>443</v>
      </c>
      <c r="I4736" s="30" t="s">
        <v>21</v>
      </c>
      <c r="J4736" s="41">
        <v>44400</v>
      </c>
      <c r="K4736" s="30" t="s">
        <v>22</v>
      </c>
    </row>
    <row r="4737" spans="1:11">
      <c r="A4737" s="33" t="s">
        <v>11271</v>
      </c>
      <c r="B4737" s="33" t="s">
        <v>11272</v>
      </c>
      <c r="C4737" s="33" t="s">
        <v>118</v>
      </c>
      <c r="D4737" s="33" t="s">
        <v>17</v>
      </c>
      <c r="E4737" s="33" t="s">
        <v>26</v>
      </c>
      <c r="F4737" s="33" t="s">
        <v>27</v>
      </c>
      <c r="G4737" s="33" t="s">
        <v>20</v>
      </c>
      <c r="H4737" s="35">
        <v>36</v>
      </c>
      <c r="I4737" s="33" t="s">
        <v>21</v>
      </c>
      <c r="J4737" s="42">
        <v>44481</v>
      </c>
      <c r="K4737" s="33" t="s">
        <v>22</v>
      </c>
    </row>
    <row r="4738" spans="1:11">
      <c r="A4738" s="30" t="s">
        <v>11273</v>
      </c>
      <c r="B4738" s="30" t="s">
        <v>11274</v>
      </c>
      <c r="C4738" s="30" t="s">
        <v>11275</v>
      </c>
      <c r="D4738" s="30" t="s">
        <v>17</v>
      </c>
      <c r="E4738" s="30" t="s">
        <v>31</v>
      </c>
      <c r="F4738" s="30" t="s">
        <v>32</v>
      </c>
      <c r="G4738" s="30" t="s">
        <v>112</v>
      </c>
      <c r="H4738" s="32">
        <v>0</v>
      </c>
      <c r="I4738" s="30" t="s">
        <v>21</v>
      </c>
      <c r="J4738" s="41">
        <v>44483</v>
      </c>
      <c r="K4738" s="30" t="s">
        <v>22</v>
      </c>
    </row>
    <row r="4739" spans="1:11">
      <c r="A4739" s="33" t="s">
        <v>11276</v>
      </c>
      <c r="B4739" s="33" t="s">
        <v>11277</v>
      </c>
      <c r="C4739" s="33" t="s">
        <v>4282</v>
      </c>
      <c r="D4739" s="33" t="s">
        <v>17</v>
      </c>
      <c r="E4739" s="33" t="s">
        <v>31</v>
      </c>
      <c r="F4739" s="33" t="s">
        <v>32</v>
      </c>
      <c r="G4739" s="33" t="s">
        <v>50</v>
      </c>
      <c r="H4739" s="35">
        <v>15</v>
      </c>
      <c r="I4739" s="33" t="s">
        <v>51</v>
      </c>
      <c r="J4739" s="42">
        <v>44341</v>
      </c>
      <c r="K4739" s="33" t="s">
        <v>22</v>
      </c>
    </row>
    <row r="4740" spans="1:11">
      <c r="A4740" s="30" t="s">
        <v>11278</v>
      </c>
      <c r="B4740" s="30" t="s">
        <v>11279</v>
      </c>
      <c r="C4740" s="30" t="s">
        <v>11280</v>
      </c>
      <c r="D4740" s="30" t="s">
        <v>17</v>
      </c>
      <c r="E4740" s="30" t="s">
        <v>67</v>
      </c>
      <c r="F4740" s="30" t="s">
        <v>68</v>
      </c>
      <c r="G4740" s="30" t="s">
        <v>140</v>
      </c>
      <c r="H4740" s="32">
        <v>158</v>
      </c>
      <c r="I4740" s="30" t="s">
        <v>51</v>
      </c>
      <c r="J4740" s="41">
        <v>44442</v>
      </c>
      <c r="K4740" s="30" t="s">
        <v>22</v>
      </c>
    </row>
    <row r="4741" spans="1:11">
      <c r="A4741" s="33" t="s">
        <v>11281</v>
      </c>
      <c r="B4741" s="33" t="s">
        <v>11282</v>
      </c>
      <c r="C4741" s="33" t="s">
        <v>747</v>
      </c>
      <c r="D4741" s="33" t="s">
        <v>17</v>
      </c>
      <c r="E4741" s="33" t="s">
        <v>18</v>
      </c>
      <c r="F4741" s="33" t="s">
        <v>19</v>
      </c>
      <c r="G4741" s="33" t="s">
        <v>20</v>
      </c>
      <c r="H4741" s="35">
        <v>141</v>
      </c>
      <c r="I4741" s="33" t="s">
        <v>21</v>
      </c>
      <c r="J4741" s="42">
        <v>44234</v>
      </c>
      <c r="K4741" s="33" t="s">
        <v>22</v>
      </c>
    </row>
    <row r="4742" spans="1:11">
      <c r="A4742" s="30" t="s">
        <v>11283</v>
      </c>
      <c r="B4742" s="30" t="s">
        <v>11284</v>
      </c>
      <c r="C4742" s="30" t="s">
        <v>136</v>
      </c>
      <c r="D4742" s="30" t="s">
        <v>17</v>
      </c>
      <c r="E4742" s="30" t="s">
        <v>26</v>
      </c>
      <c r="F4742" s="30" t="s">
        <v>27</v>
      </c>
      <c r="G4742" s="30" t="s">
        <v>20</v>
      </c>
      <c r="H4742" s="32">
        <v>87</v>
      </c>
      <c r="I4742" s="30" t="s">
        <v>21</v>
      </c>
      <c r="J4742" s="41">
        <v>44307</v>
      </c>
      <c r="K4742" s="30" t="s">
        <v>22</v>
      </c>
    </row>
    <row r="4743" spans="1:11">
      <c r="A4743" s="33" t="s">
        <v>11285</v>
      </c>
      <c r="B4743" s="33" t="s">
        <v>11286</v>
      </c>
      <c r="C4743" s="33" t="s">
        <v>2934</v>
      </c>
      <c r="D4743" s="33" t="s">
        <v>17</v>
      </c>
      <c r="E4743" s="33" t="s">
        <v>26</v>
      </c>
      <c r="F4743" s="33" t="s">
        <v>27</v>
      </c>
      <c r="G4743" s="33" t="s">
        <v>50</v>
      </c>
      <c r="H4743" s="35">
        <v>16</v>
      </c>
      <c r="I4743" s="33" t="s">
        <v>51</v>
      </c>
      <c r="J4743" s="42">
        <v>44378</v>
      </c>
      <c r="K4743" s="33" t="s">
        <v>22</v>
      </c>
    </row>
    <row r="4744" spans="1:11">
      <c r="A4744" s="30" t="s">
        <v>11287</v>
      </c>
      <c r="B4744" s="30" t="s">
        <v>11288</v>
      </c>
      <c r="C4744" s="30" t="s">
        <v>149</v>
      </c>
      <c r="D4744" s="30" t="s">
        <v>17</v>
      </c>
      <c r="E4744" s="30" t="s">
        <v>26</v>
      </c>
      <c r="F4744" s="30" t="s">
        <v>27</v>
      </c>
      <c r="G4744" s="30" t="s">
        <v>50</v>
      </c>
      <c r="H4744" s="32">
        <v>96</v>
      </c>
      <c r="I4744" s="30" t="s">
        <v>51</v>
      </c>
      <c r="J4744" s="41">
        <v>44431</v>
      </c>
      <c r="K4744" s="30" t="s">
        <v>22</v>
      </c>
    </row>
    <row r="4745" spans="1:11">
      <c r="A4745" s="33" t="s">
        <v>11289</v>
      </c>
      <c r="B4745" s="33" t="s">
        <v>11290</v>
      </c>
      <c r="C4745" s="33" t="s">
        <v>1090</v>
      </c>
      <c r="D4745" s="33" t="s">
        <v>17</v>
      </c>
      <c r="E4745" s="33" t="s">
        <v>26</v>
      </c>
      <c r="F4745" s="33" t="s">
        <v>27</v>
      </c>
      <c r="G4745" s="33" t="s">
        <v>20</v>
      </c>
      <c r="H4745" s="35">
        <v>26</v>
      </c>
      <c r="I4745" s="33" t="s">
        <v>21</v>
      </c>
      <c r="J4745" s="42">
        <v>44300</v>
      </c>
      <c r="K4745" s="33" t="s">
        <v>22</v>
      </c>
    </row>
    <row r="4746" spans="1:11">
      <c r="A4746" s="30" t="s">
        <v>11291</v>
      </c>
      <c r="B4746" s="30" t="s">
        <v>11292</v>
      </c>
      <c r="C4746" s="30" t="s">
        <v>6325</v>
      </c>
      <c r="D4746" s="30" t="s">
        <v>17</v>
      </c>
      <c r="E4746" s="30" t="s">
        <v>18</v>
      </c>
      <c r="F4746" s="30" t="s">
        <v>19</v>
      </c>
      <c r="G4746" s="30" t="s">
        <v>20</v>
      </c>
      <c r="H4746" s="32">
        <v>1807</v>
      </c>
      <c r="I4746" s="30" t="s">
        <v>21</v>
      </c>
      <c r="J4746" s="41">
        <v>44487</v>
      </c>
      <c r="K4746" s="30" t="s">
        <v>22</v>
      </c>
    </row>
    <row r="4747" spans="1:11">
      <c r="A4747" s="33" t="s">
        <v>11293</v>
      </c>
      <c r="B4747" s="33" t="s">
        <v>11294</v>
      </c>
      <c r="C4747" s="33" t="s">
        <v>11295</v>
      </c>
      <c r="D4747" s="33" t="s">
        <v>17</v>
      </c>
      <c r="E4747" s="33" t="s">
        <v>26</v>
      </c>
      <c r="F4747" s="33" t="s">
        <v>27</v>
      </c>
      <c r="G4747" s="33" t="s">
        <v>50</v>
      </c>
      <c r="H4747" s="35">
        <v>48</v>
      </c>
      <c r="I4747" s="33" t="s">
        <v>51</v>
      </c>
      <c r="J4747" s="42">
        <v>44305</v>
      </c>
      <c r="K4747" s="33" t="s">
        <v>22</v>
      </c>
    </row>
    <row r="4748" spans="1:11">
      <c r="A4748" s="30" t="s">
        <v>11296</v>
      </c>
      <c r="B4748" s="30" t="s">
        <v>11297</v>
      </c>
      <c r="C4748" s="30" t="s">
        <v>2612</v>
      </c>
      <c r="D4748" s="30" t="s">
        <v>17</v>
      </c>
      <c r="E4748" s="30" t="s">
        <v>18</v>
      </c>
      <c r="F4748" s="30" t="s">
        <v>19</v>
      </c>
      <c r="G4748" s="30" t="s">
        <v>20</v>
      </c>
      <c r="H4748" s="32">
        <v>49</v>
      </c>
      <c r="I4748" s="30" t="s">
        <v>21</v>
      </c>
      <c r="J4748" s="41">
        <v>44508</v>
      </c>
      <c r="K4748" s="30" t="s">
        <v>22</v>
      </c>
    </row>
    <row r="4749" spans="1:11">
      <c r="A4749" s="33" t="s">
        <v>11298</v>
      </c>
      <c r="B4749" s="33" t="s">
        <v>11299</v>
      </c>
      <c r="C4749" s="33" t="s">
        <v>549</v>
      </c>
      <c r="D4749" s="33" t="s">
        <v>17</v>
      </c>
      <c r="E4749" s="33" t="s">
        <v>18</v>
      </c>
      <c r="F4749" s="33" t="s">
        <v>19</v>
      </c>
      <c r="G4749" s="33" t="s">
        <v>140</v>
      </c>
      <c r="H4749" s="35">
        <v>350</v>
      </c>
      <c r="I4749" s="33" t="s">
        <v>51</v>
      </c>
      <c r="J4749" s="42">
        <v>44537</v>
      </c>
      <c r="K4749" s="33" t="s">
        <v>22</v>
      </c>
    </row>
    <row r="4750" spans="1:11">
      <c r="A4750" s="30" t="s">
        <v>11300</v>
      </c>
      <c r="B4750" s="30" t="s">
        <v>11301</v>
      </c>
      <c r="C4750" s="30" t="s">
        <v>310</v>
      </c>
      <c r="D4750" s="30" t="s">
        <v>17</v>
      </c>
      <c r="E4750" s="30" t="s">
        <v>26</v>
      </c>
      <c r="F4750" s="30" t="s">
        <v>27</v>
      </c>
      <c r="G4750" s="30" t="s">
        <v>20</v>
      </c>
      <c r="H4750" s="32">
        <v>27</v>
      </c>
      <c r="I4750" s="30" t="s">
        <v>21</v>
      </c>
      <c r="J4750" s="41">
        <v>44543</v>
      </c>
      <c r="K4750" s="30" t="s">
        <v>22</v>
      </c>
    </row>
    <row r="4751" spans="1:11">
      <c r="A4751" s="33" t="s">
        <v>11302</v>
      </c>
      <c r="B4751" s="33" t="s">
        <v>11303</v>
      </c>
      <c r="C4751" s="33" t="s">
        <v>11304</v>
      </c>
      <c r="D4751" s="33" t="s">
        <v>17</v>
      </c>
      <c r="E4751" s="33" t="s">
        <v>26</v>
      </c>
      <c r="F4751" s="33" t="s">
        <v>27</v>
      </c>
      <c r="G4751" s="33" t="s">
        <v>50</v>
      </c>
      <c r="H4751" s="35">
        <v>12</v>
      </c>
      <c r="I4751" s="33" t="s">
        <v>51</v>
      </c>
      <c r="J4751" s="42">
        <v>44370</v>
      </c>
      <c r="K4751" s="33" t="s">
        <v>22</v>
      </c>
    </row>
    <row r="4752" spans="1:11">
      <c r="A4752" s="30" t="s">
        <v>11305</v>
      </c>
      <c r="B4752" s="30" t="s">
        <v>11306</v>
      </c>
      <c r="C4752" s="30" t="s">
        <v>1816</v>
      </c>
      <c r="D4752" s="30" t="s">
        <v>17</v>
      </c>
      <c r="E4752" s="30" t="s">
        <v>26</v>
      </c>
      <c r="F4752" s="30" t="s">
        <v>27</v>
      </c>
      <c r="G4752" s="30" t="s">
        <v>50</v>
      </c>
      <c r="H4752" s="32">
        <v>228</v>
      </c>
      <c r="I4752" s="30" t="s">
        <v>51</v>
      </c>
      <c r="J4752" s="41">
        <v>44287</v>
      </c>
      <c r="K4752" s="30" t="s">
        <v>22</v>
      </c>
    </row>
    <row r="4753" spans="1:11">
      <c r="A4753" s="33" t="s">
        <v>11307</v>
      </c>
      <c r="B4753" s="33" t="s">
        <v>11308</v>
      </c>
      <c r="C4753" s="33" t="s">
        <v>11309</v>
      </c>
      <c r="D4753" s="33" t="s">
        <v>17</v>
      </c>
      <c r="E4753" s="33" t="s">
        <v>26</v>
      </c>
      <c r="F4753" s="33" t="s">
        <v>27</v>
      </c>
      <c r="G4753" s="33" t="s">
        <v>20</v>
      </c>
      <c r="H4753" s="35">
        <v>12</v>
      </c>
      <c r="I4753" s="33" t="s">
        <v>21</v>
      </c>
      <c r="J4753" s="42">
        <v>44379</v>
      </c>
      <c r="K4753" s="33" t="s">
        <v>22</v>
      </c>
    </row>
    <row r="4754" spans="1:11">
      <c r="A4754" s="30" t="s">
        <v>11310</v>
      </c>
      <c r="B4754" s="30" t="s">
        <v>11311</v>
      </c>
      <c r="C4754" s="30" t="s">
        <v>118</v>
      </c>
      <c r="D4754" s="30" t="s">
        <v>17</v>
      </c>
      <c r="E4754" s="30" t="s">
        <v>31</v>
      </c>
      <c r="F4754" s="30" t="s">
        <v>32</v>
      </c>
      <c r="G4754" s="30" t="s">
        <v>20</v>
      </c>
      <c r="H4754" s="32">
        <v>76</v>
      </c>
      <c r="I4754" s="30" t="s">
        <v>21</v>
      </c>
      <c r="J4754" s="41">
        <v>44416</v>
      </c>
      <c r="K4754" s="30" t="s">
        <v>22</v>
      </c>
    </row>
    <row r="4755" spans="1:11">
      <c r="A4755" s="33" t="s">
        <v>11312</v>
      </c>
      <c r="B4755" s="33" t="s">
        <v>11313</v>
      </c>
      <c r="C4755" s="33" t="s">
        <v>190</v>
      </c>
      <c r="D4755" s="33" t="s">
        <v>17</v>
      </c>
      <c r="E4755" s="33" t="s">
        <v>212</v>
      </c>
      <c r="F4755" s="33" t="s">
        <v>213</v>
      </c>
      <c r="G4755" s="33" t="s">
        <v>106</v>
      </c>
      <c r="H4755" s="35">
        <v>3</v>
      </c>
      <c r="I4755" s="33" t="s">
        <v>21</v>
      </c>
      <c r="J4755" s="42">
        <v>44425</v>
      </c>
      <c r="K4755" s="33" t="s">
        <v>22</v>
      </c>
    </row>
    <row r="4756" spans="1:11">
      <c r="A4756" s="30" t="s">
        <v>11314</v>
      </c>
      <c r="B4756" s="30" t="s">
        <v>11315</v>
      </c>
      <c r="C4756" s="30" t="s">
        <v>203</v>
      </c>
      <c r="D4756" s="30" t="s">
        <v>17</v>
      </c>
      <c r="E4756" s="30" t="s">
        <v>212</v>
      </c>
      <c r="F4756" s="30" t="s">
        <v>213</v>
      </c>
      <c r="G4756" s="30" t="s">
        <v>20</v>
      </c>
      <c r="H4756" s="32">
        <v>228</v>
      </c>
      <c r="I4756" s="30" t="s">
        <v>21</v>
      </c>
      <c r="J4756" s="41">
        <v>44354</v>
      </c>
      <c r="K4756" s="30" t="s">
        <v>22</v>
      </c>
    </row>
    <row r="4757" spans="1:11">
      <c r="A4757" s="33" t="s">
        <v>11316</v>
      </c>
      <c r="B4757" s="33" t="s">
        <v>11317</v>
      </c>
      <c r="C4757" s="33" t="s">
        <v>2354</v>
      </c>
      <c r="D4757" s="33" t="s">
        <v>17</v>
      </c>
      <c r="E4757" s="33" t="s">
        <v>31</v>
      </c>
      <c r="F4757" s="33" t="s">
        <v>32</v>
      </c>
      <c r="G4757" s="33" t="s">
        <v>20</v>
      </c>
      <c r="H4757" s="35">
        <v>176</v>
      </c>
      <c r="I4757" s="33" t="s">
        <v>21</v>
      </c>
      <c r="J4757" s="42">
        <v>44529</v>
      </c>
      <c r="K4757" s="33" t="s">
        <v>22</v>
      </c>
    </row>
    <row r="4758" spans="1:11">
      <c r="A4758" s="30" t="s">
        <v>11318</v>
      </c>
      <c r="B4758" s="30" t="s">
        <v>11319</v>
      </c>
      <c r="C4758" s="30" t="s">
        <v>11320</v>
      </c>
      <c r="D4758" s="30" t="s">
        <v>17</v>
      </c>
      <c r="E4758" s="30" t="s">
        <v>26</v>
      </c>
      <c r="F4758" s="30" t="s">
        <v>27</v>
      </c>
      <c r="G4758" s="30" t="s">
        <v>112</v>
      </c>
      <c r="H4758" s="32">
        <v>0</v>
      </c>
      <c r="I4758" s="30" t="s">
        <v>21</v>
      </c>
      <c r="J4758" s="41">
        <v>44197</v>
      </c>
      <c r="K4758" s="30" t="s">
        <v>22</v>
      </c>
    </row>
    <row r="4759" spans="1:11">
      <c r="A4759" s="33" t="s">
        <v>11321</v>
      </c>
      <c r="B4759" s="33" t="s">
        <v>11322</v>
      </c>
      <c r="C4759" s="33" t="s">
        <v>11323</v>
      </c>
      <c r="D4759" s="33" t="s">
        <v>17</v>
      </c>
      <c r="E4759" s="33" t="s">
        <v>26</v>
      </c>
      <c r="F4759" s="33" t="s">
        <v>27</v>
      </c>
      <c r="G4759" s="33" t="s">
        <v>106</v>
      </c>
      <c r="H4759" s="35">
        <v>5</v>
      </c>
      <c r="I4759" s="33" t="s">
        <v>21</v>
      </c>
      <c r="J4759" s="42">
        <v>44462</v>
      </c>
      <c r="K4759" s="33" t="s">
        <v>22</v>
      </c>
    </row>
    <row r="4760" spans="1:11">
      <c r="A4760" s="30" t="s">
        <v>11324</v>
      </c>
      <c r="B4760" s="30" t="s">
        <v>11325</v>
      </c>
      <c r="C4760" s="30" t="s">
        <v>252</v>
      </c>
      <c r="D4760" s="30" t="s">
        <v>17</v>
      </c>
      <c r="E4760" s="30" t="s">
        <v>67</v>
      </c>
      <c r="F4760" s="30" t="s">
        <v>68</v>
      </c>
      <c r="G4760" s="30" t="s">
        <v>20</v>
      </c>
      <c r="H4760" s="32">
        <v>427</v>
      </c>
      <c r="I4760" s="30" t="s">
        <v>21</v>
      </c>
      <c r="J4760" s="41">
        <v>44503</v>
      </c>
      <c r="K4760" s="30" t="s">
        <v>22</v>
      </c>
    </row>
    <row r="4761" spans="1:11">
      <c r="A4761" s="33" t="s">
        <v>11326</v>
      </c>
      <c r="B4761" s="33" t="s">
        <v>11327</v>
      </c>
      <c r="C4761" s="33" t="s">
        <v>231</v>
      </c>
      <c r="D4761" s="33" t="s">
        <v>17</v>
      </c>
      <c r="E4761" s="33" t="s">
        <v>26</v>
      </c>
      <c r="F4761" s="33" t="s">
        <v>27</v>
      </c>
      <c r="G4761" s="33" t="s">
        <v>20</v>
      </c>
      <c r="H4761" s="35">
        <v>14</v>
      </c>
      <c r="I4761" s="33" t="s">
        <v>21</v>
      </c>
      <c r="J4761" s="42">
        <v>44228</v>
      </c>
      <c r="K4761" s="33" t="s">
        <v>22</v>
      </c>
    </row>
    <row r="4762" spans="1:11">
      <c r="A4762" s="30" t="s">
        <v>11328</v>
      </c>
      <c r="B4762" s="30" t="s">
        <v>11329</v>
      </c>
      <c r="C4762" s="30" t="s">
        <v>5916</v>
      </c>
      <c r="D4762" s="30" t="s">
        <v>17</v>
      </c>
      <c r="E4762" s="30" t="s">
        <v>31</v>
      </c>
      <c r="F4762" s="30" t="s">
        <v>32</v>
      </c>
      <c r="G4762" s="30" t="s">
        <v>112</v>
      </c>
      <c r="H4762" s="32">
        <v>0</v>
      </c>
      <c r="I4762" s="30" t="s">
        <v>21</v>
      </c>
      <c r="J4762" s="41">
        <v>44250</v>
      </c>
      <c r="K4762" s="30" t="s">
        <v>22</v>
      </c>
    </row>
    <row r="4763" spans="1:11">
      <c r="A4763" s="33" t="s">
        <v>11330</v>
      </c>
      <c r="B4763" s="33" t="s">
        <v>11331</v>
      </c>
      <c r="C4763" s="33" t="s">
        <v>11332</v>
      </c>
      <c r="D4763" s="33" t="s">
        <v>17</v>
      </c>
      <c r="E4763" s="33" t="s">
        <v>212</v>
      </c>
      <c r="F4763" s="33" t="s">
        <v>213</v>
      </c>
      <c r="G4763" s="33" t="s">
        <v>158</v>
      </c>
      <c r="H4763" s="35">
        <v>544</v>
      </c>
      <c r="I4763" s="33" t="s">
        <v>21</v>
      </c>
      <c r="J4763" s="42">
        <v>44410</v>
      </c>
      <c r="K4763" s="33" t="s">
        <v>22</v>
      </c>
    </row>
    <row r="4764" spans="1:11">
      <c r="A4764" s="30" t="s">
        <v>11333</v>
      </c>
      <c r="B4764" s="30" t="s">
        <v>11334</v>
      </c>
      <c r="C4764" s="30" t="s">
        <v>426</v>
      </c>
      <c r="D4764" s="30" t="s">
        <v>17</v>
      </c>
      <c r="E4764" s="30" t="s">
        <v>67</v>
      </c>
      <c r="F4764" s="30" t="s">
        <v>68</v>
      </c>
      <c r="G4764" s="30" t="s">
        <v>106</v>
      </c>
      <c r="H4764" s="32">
        <v>21</v>
      </c>
      <c r="I4764" s="30" t="s">
        <v>21</v>
      </c>
      <c r="J4764" s="41">
        <v>44272</v>
      </c>
      <c r="K4764" s="30" t="s">
        <v>22</v>
      </c>
    </row>
    <row r="4765" spans="1:11">
      <c r="A4765" s="33" t="s">
        <v>11335</v>
      </c>
      <c r="B4765" s="33" t="s">
        <v>11336</v>
      </c>
      <c r="C4765" s="33" t="s">
        <v>11337</v>
      </c>
      <c r="D4765" s="33" t="s">
        <v>17</v>
      </c>
      <c r="E4765" s="33" t="s">
        <v>67</v>
      </c>
      <c r="F4765" s="33" t="s">
        <v>68</v>
      </c>
      <c r="G4765" s="33" t="s">
        <v>106</v>
      </c>
      <c r="H4765" s="35">
        <v>1</v>
      </c>
      <c r="I4765" s="33" t="s">
        <v>21</v>
      </c>
      <c r="J4765" s="42">
        <v>44526</v>
      </c>
      <c r="K4765" s="33" t="s">
        <v>22</v>
      </c>
    </row>
    <row r="4766" spans="1:11">
      <c r="A4766" s="30" t="s">
        <v>11338</v>
      </c>
      <c r="B4766" s="30" t="s">
        <v>11339</v>
      </c>
      <c r="C4766" s="30" t="s">
        <v>1598</v>
      </c>
      <c r="D4766" s="30" t="s">
        <v>17</v>
      </c>
      <c r="E4766" s="30" t="s">
        <v>26</v>
      </c>
      <c r="F4766" s="30" t="s">
        <v>27</v>
      </c>
      <c r="G4766" s="30" t="s">
        <v>20</v>
      </c>
      <c r="H4766" s="32">
        <v>42</v>
      </c>
      <c r="I4766" s="30" t="s">
        <v>21</v>
      </c>
      <c r="J4766" s="41">
        <v>44353</v>
      </c>
      <c r="K4766" s="30" t="s">
        <v>22</v>
      </c>
    </row>
    <row r="4767" spans="1:11">
      <c r="A4767" s="33" t="s">
        <v>11340</v>
      </c>
      <c r="B4767" s="33" t="s">
        <v>11341</v>
      </c>
      <c r="C4767" s="33" t="s">
        <v>96</v>
      </c>
      <c r="D4767" s="33" t="s">
        <v>17</v>
      </c>
      <c r="E4767" s="33" t="s">
        <v>26</v>
      </c>
      <c r="F4767" s="33" t="s">
        <v>27</v>
      </c>
      <c r="G4767" s="33" t="s">
        <v>20</v>
      </c>
      <c r="H4767" s="35">
        <v>120</v>
      </c>
      <c r="I4767" s="33" t="s">
        <v>21</v>
      </c>
      <c r="J4767" s="42">
        <v>44508</v>
      </c>
      <c r="K4767" s="33" t="s">
        <v>22</v>
      </c>
    </row>
    <row r="4768" spans="1:11">
      <c r="A4768" s="30" t="s">
        <v>11342</v>
      </c>
      <c r="B4768" s="30" t="s">
        <v>11343</v>
      </c>
      <c r="C4768" s="30" t="s">
        <v>6844</v>
      </c>
      <c r="D4768" s="30" t="s">
        <v>17</v>
      </c>
      <c r="E4768" s="30" t="s">
        <v>31</v>
      </c>
      <c r="F4768" s="30" t="s">
        <v>32</v>
      </c>
      <c r="G4768" s="30" t="s">
        <v>20</v>
      </c>
      <c r="H4768" s="32">
        <v>81</v>
      </c>
      <c r="I4768" s="30" t="s">
        <v>21</v>
      </c>
      <c r="J4768" s="41">
        <v>44545</v>
      </c>
      <c r="K4768" s="30" t="s">
        <v>22</v>
      </c>
    </row>
    <row r="4769" spans="1:11">
      <c r="A4769" s="33" t="s">
        <v>11344</v>
      </c>
      <c r="B4769" s="33" t="s">
        <v>11345</v>
      </c>
      <c r="C4769" s="33" t="s">
        <v>11346</v>
      </c>
      <c r="D4769" s="33" t="s">
        <v>17</v>
      </c>
      <c r="E4769" s="33" t="s">
        <v>26</v>
      </c>
      <c r="F4769" s="33" t="s">
        <v>27</v>
      </c>
      <c r="G4769" s="33" t="s">
        <v>20</v>
      </c>
      <c r="H4769" s="35">
        <v>15</v>
      </c>
      <c r="I4769" s="33" t="s">
        <v>21</v>
      </c>
      <c r="J4769" s="42">
        <v>44249</v>
      </c>
      <c r="K4769" s="33" t="s">
        <v>22</v>
      </c>
    </row>
    <row r="4770" spans="1:11">
      <c r="A4770" s="30" t="s">
        <v>11347</v>
      </c>
      <c r="B4770" s="30" t="s">
        <v>11348</v>
      </c>
      <c r="C4770" s="30" t="s">
        <v>2208</v>
      </c>
      <c r="D4770" s="30" t="s">
        <v>17</v>
      </c>
      <c r="E4770" s="30" t="s">
        <v>26</v>
      </c>
      <c r="F4770" s="30" t="s">
        <v>27</v>
      </c>
      <c r="G4770" s="30" t="s">
        <v>20</v>
      </c>
      <c r="H4770" s="32">
        <v>24</v>
      </c>
      <c r="I4770" s="30" t="s">
        <v>21</v>
      </c>
      <c r="J4770" s="41">
        <v>44279</v>
      </c>
      <c r="K4770" s="30" t="s">
        <v>22</v>
      </c>
    </row>
    <row r="4771" spans="1:11">
      <c r="A4771" s="33" t="s">
        <v>11349</v>
      </c>
      <c r="B4771" s="33" t="s">
        <v>11350</v>
      </c>
      <c r="C4771" s="33" t="s">
        <v>1278</v>
      </c>
      <c r="D4771" s="33" t="s">
        <v>17</v>
      </c>
      <c r="E4771" s="33" t="s">
        <v>18</v>
      </c>
      <c r="F4771" s="33" t="s">
        <v>19</v>
      </c>
      <c r="G4771" s="33" t="s">
        <v>20</v>
      </c>
      <c r="H4771" s="35">
        <v>306</v>
      </c>
      <c r="I4771" s="33" t="s">
        <v>21</v>
      </c>
      <c r="J4771" s="42">
        <v>44417</v>
      </c>
      <c r="K4771" s="33" t="s">
        <v>22</v>
      </c>
    </row>
    <row r="4772" spans="1:11">
      <c r="A4772" s="30" t="s">
        <v>11351</v>
      </c>
      <c r="B4772" s="30" t="s">
        <v>11352</v>
      </c>
      <c r="C4772" s="30" t="s">
        <v>11353</v>
      </c>
      <c r="D4772" s="30" t="s">
        <v>17</v>
      </c>
      <c r="E4772" s="30" t="s">
        <v>45</v>
      </c>
      <c r="F4772" s="30" t="s">
        <v>46</v>
      </c>
      <c r="G4772" s="30" t="s">
        <v>112</v>
      </c>
      <c r="H4772" s="32">
        <v>0</v>
      </c>
      <c r="I4772" s="30" t="s">
        <v>21</v>
      </c>
      <c r="J4772" s="41">
        <v>44228</v>
      </c>
      <c r="K4772" s="30" t="s">
        <v>22</v>
      </c>
    </row>
    <row r="4773" spans="1:11">
      <c r="A4773" s="33" t="s">
        <v>11354</v>
      </c>
      <c r="B4773" s="33" t="s">
        <v>11355</v>
      </c>
      <c r="C4773" s="33" t="s">
        <v>11356</v>
      </c>
      <c r="D4773" s="33" t="s">
        <v>17</v>
      </c>
      <c r="E4773" s="33" t="s">
        <v>26</v>
      </c>
      <c r="F4773" s="33" t="s">
        <v>27</v>
      </c>
      <c r="G4773" s="33" t="s">
        <v>20</v>
      </c>
      <c r="H4773" s="35">
        <v>65</v>
      </c>
      <c r="I4773" s="33" t="s">
        <v>21</v>
      </c>
      <c r="J4773" s="42">
        <v>44368</v>
      </c>
      <c r="K4773" s="33" t="s">
        <v>22</v>
      </c>
    </row>
    <row r="4774" spans="1:11">
      <c r="A4774" s="30" t="s">
        <v>11357</v>
      </c>
      <c r="B4774" s="30" t="s">
        <v>11358</v>
      </c>
      <c r="C4774" s="30" t="s">
        <v>75</v>
      </c>
      <c r="D4774" s="30" t="s">
        <v>17</v>
      </c>
      <c r="E4774" s="30" t="s">
        <v>31</v>
      </c>
      <c r="F4774" s="30" t="s">
        <v>32</v>
      </c>
      <c r="G4774" s="30" t="s">
        <v>158</v>
      </c>
      <c r="H4774" s="32">
        <v>268</v>
      </c>
      <c r="I4774" s="30" t="s">
        <v>51</v>
      </c>
      <c r="J4774" s="41">
        <v>44480</v>
      </c>
      <c r="K4774" s="30" t="s">
        <v>22</v>
      </c>
    </row>
    <row r="4775" spans="1:11">
      <c r="A4775" s="33" t="s">
        <v>11359</v>
      </c>
      <c r="B4775" s="33" t="s">
        <v>11360</v>
      </c>
      <c r="C4775" s="33" t="s">
        <v>203</v>
      </c>
      <c r="D4775" s="33" t="s">
        <v>17</v>
      </c>
      <c r="E4775" s="33" t="s">
        <v>18</v>
      </c>
      <c r="F4775" s="33" t="s">
        <v>19</v>
      </c>
      <c r="G4775" s="33" t="s">
        <v>106</v>
      </c>
      <c r="H4775" s="35">
        <v>6</v>
      </c>
      <c r="I4775" s="33" t="s">
        <v>21</v>
      </c>
      <c r="J4775" s="42">
        <v>44533</v>
      </c>
      <c r="K4775" s="33" t="s">
        <v>22</v>
      </c>
    </row>
    <row r="4776" spans="1:11">
      <c r="A4776" s="30" t="s">
        <v>11361</v>
      </c>
      <c r="B4776" s="30" t="s">
        <v>11362</v>
      </c>
      <c r="C4776" s="30" t="s">
        <v>11363</v>
      </c>
      <c r="D4776" s="30" t="s">
        <v>17</v>
      </c>
      <c r="E4776" s="30" t="s">
        <v>26</v>
      </c>
      <c r="F4776" s="30" t="s">
        <v>27</v>
      </c>
      <c r="G4776" s="30" t="s">
        <v>20</v>
      </c>
      <c r="H4776" s="32">
        <v>1</v>
      </c>
      <c r="I4776" s="30" t="s">
        <v>21</v>
      </c>
      <c r="J4776" s="41">
        <v>44369</v>
      </c>
      <c r="K4776" s="30" t="s">
        <v>22</v>
      </c>
    </row>
    <row r="4777" spans="1:11">
      <c r="A4777" s="33" t="s">
        <v>11364</v>
      </c>
      <c r="B4777" s="33" t="s">
        <v>11365</v>
      </c>
      <c r="C4777" s="33" t="s">
        <v>11366</v>
      </c>
      <c r="D4777" s="33" t="s">
        <v>17</v>
      </c>
      <c r="E4777" s="33" t="s">
        <v>31</v>
      </c>
      <c r="F4777" s="33" t="s">
        <v>32</v>
      </c>
      <c r="G4777" s="33" t="s">
        <v>106</v>
      </c>
      <c r="H4777" s="35">
        <v>4</v>
      </c>
      <c r="I4777" s="33" t="s">
        <v>21</v>
      </c>
      <c r="J4777" s="42">
        <v>44344</v>
      </c>
      <c r="K4777" s="33" t="s">
        <v>22</v>
      </c>
    </row>
    <row r="4778" spans="1:11">
      <c r="A4778" s="30" t="s">
        <v>11367</v>
      </c>
      <c r="B4778" s="30" t="s">
        <v>11368</v>
      </c>
      <c r="C4778" s="30" t="s">
        <v>9725</v>
      </c>
      <c r="D4778" s="30" t="s">
        <v>17</v>
      </c>
      <c r="E4778" s="30" t="s">
        <v>26</v>
      </c>
      <c r="F4778" s="30" t="s">
        <v>27</v>
      </c>
      <c r="G4778" s="30" t="s">
        <v>20</v>
      </c>
      <c r="H4778" s="32">
        <v>40</v>
      </c>
      <c r="I4778" s="30" t="s">
        <v>21</v>
      </c>
      <c r="J4778" s="41">
        <v>44559</v>
      </c>
      <c r="K4778" s="30" t="s">
        <v>22</v>
      </c>
    </row>
    <row r="4779" spans="1:11">
      <c r="A4779" s="33" t="s">
        <v>11369</v>
      </c>
      <c r="B4779" s="33" t="s">
        <v>11370</v>
      </c>
      <c r="C4779" s="33" t="s">
        <v>136</v>
      </c>
      <c r="D4779" s="33" t="s">
        <v>17</v>
      </c>
      <c r="E4779" s="33" t="s">
        <v>212</v>
      </c>
      <c r="F4779" s="33" t="s">
        <v>213</v>
      </c>
      <c r="G4779" s="33" t="s">
        <v>20</v>
      </c>
      <c r="H4779" s="35">
        <v>200</v>
      </c>
      <c r="I4779" s="33" t="s">
        <v>21</v>
      </c>
      <c r="J4779" s="42">
        <v>44249</v>
      </c>
      <c r="K4779" s="33" t="s">
        <v>22</v>
      </c>
    </row>
    <row r="4780" spans="1:11">
      <c r="A4780" s="30" t="s">
        <v>11371</v>
      </c>
      <c r="B4780" s="30" t="s">
        <v>11372</v>
      </c>
      <c r="C4780" s="30" t="s">
        <v>7756</v>
      </c>
      <c r="D4780" s="30" t="s">
        <v>17</v>
      </c>
      <c r="E4780" s="30" t="s">
        <v>26</v>
      </c>
      <c r="F4780" s="30" t="s">
        <v>27</v>
      </c>
      <c r="G4780" s="30" t="s">
        <v>20</v>
      </c>
      <c r="H4780" s="32">
        <v>12</v>
      </c>
      <c r="I4780" s="30" t="s">
        <v>21</v>
      </c>
      <c r="J4780" s="41">
        <v>44322</v>
      </c>
      <c r="K4780" s="30" t="s">
        <v>22</v>
      </c>
    </row>
    <row r="4781" spans="1:11">
      <c r="A4781" s="33" t="s">
        <v>11373</v>
      </c>
      <c r="B4781" s="33" t="s">
        <v>11374</v>
      </c>
      <c r="C4781" s="33" t="s">
        <v>11375</v>
      </c>
      <c r="D4781" s="33" t="s">
        <v>17</v>
      </c>
      <c r="E4781" s="33" t="s">
        <v>26</v>
      </c>
      <c r="F4781" s="33" t="s">
        <v>27</v>
      </c>
      <c r="G4781" s="33" t="s">
        <v>20</v>
      </c>
      <c r="H4781" s="35">
        <v>12</v>
      </c>
      <c r="I4781" s="33" t="s">
        <v>21</v>
      </c>
      <c r="J4781" s="42">
        <v>44400</v>
      </c>
      <c r="K4781" s="33" t="s">
        <v>22</v>
      </c>
    </row>
    <row r="4782" spans="1:11">
      <c r="A4782" s="30" t="s">
        <v>11376</v>
      </c>
      <c r="B4782" s="30" t="s">
        <v>11377</v>
      </c>
      <c r="C4782" s="30" t="s">
        <v>11378</v>
      </c>
      <c r="D4782" s="30" t="s">
        <v>17</v>
      </c>
      <c r="E4782" s="30" t="s">
        <v>31</v>
      </c>
      <c r="F4782" s="30" t="s">
        <v>32</v>
      </c>
      <c r="G4782" s="30" t="s">
        <v>112</v>
      </c>
      <c r="H4782" s="32">
        <v>0</v>
      </c>
      <c r="I4782" s="30" t="s">
        <v>21</v>
      </c>
      <c r="J4782" s="41">
        <v>44470</v>
      </c>
      <c r="K4782" s="30" t="s">
        <v>22</v>
      </c>
    </row>
    <row r="4783" spans="1:11">
      <c r="A4783" s="33" t="s">
        <v>11379</v>
      </c>
      <c r="B4783" s="33" t="s">
        <v>11380</v>
      </c>
      <c r="C4783" s="33" t="s">
        <v>1270</v>
      </c>
      <c r="D4783" s="33" t="s">
        <v>17</v>
      </c>
      <c r="E4783" s="33" t="s">
        <v>18</v>
      </c>
      <c r="F4783" s="33" t="s">
        <v>19</v>
      </c>
      <c r="G4783" s="33" t="s">
        <v>50</v>
      </c>
      <c r="H4783" s="35">
        <v>220</v>
      </c>
      <c r="I4783" s="33" t="s">
        <v>51</v>
      </c>
      <c r="J4783" s="42">
        <v>44392</v>
      </c>
      <c r="K4783" s="33" t="s">
        <v>22</v>
      </c>
    </row>
    <row r="4784" spans="1:11">
      <c r="A4784" s="30" t="s">
        <v>11381</v>
      </c>
      <c r="B4784" s="30" t="s">
        <v>11382</v>
      </c>
      <c r="C4784" s="30" t="s">
        <v>510</v>
      </c>
      <c r="D4784" s="30" t="s">
        <v>17</v>
      </c>
      <c r="E4784" s="30" t="s">
        <v>67</v>
      </c>
      <c r="F4784" s="30" t="s">
        <v>68</v>
      </c>
      <c r="G4784" s="30" t="s">
        <v>20</v>
      </c>
      <c r="H4784" s="32">
        <v>40</v>
      </c>
      <c r="I4784" s="30" t="s">
        <v>21</v>
      </c>
      <c r="J4784" s="41">
        <v>44543</v>
      </c>
      <c r="K4784" s="30" t="s">
        <v>22</v>
      </c>
    </row>
    <row r="4785" spans="1:11">
      <c r="A4785" s="33" t="s">
        <v>11383</v>
      </c>
      <c r="B4785" s="33" t="s">
        <v>11384</v>
      </c>
      <c r="C4785" s="33" t="s">
        <v>6625</v>
      </c>
      <c r="D4785" s="33" t="s">
        <v>17</v>
      </c>
      <c r="E4785" s="33" t="s">
        <v>212</v>
      </c>
      <c r="F4785" s="33" t="s">
        <v>213</v>
      </c>
      <c r="G4785" s="33" t="s">
        <v>106</v>
      </c>
      <c r="H4785" s="35">
        <v>9</v>
      </c>
      <c r="I4785" s="33" t="s">
        <v>21</v>
      </c>
      <c r="J4785" s="42">
        <v>44370</v>
      </c>
      <c r="K4785" s="33" t="s">
        <v>22</v>
      </c>
    </row>
    <row r="4786" spans="1:11">
      <c r="A4786" s="30" t="s">
        <v>11385</v>
      </c>
      <c r="B4786" s="30" t="s">
        <v>11386</v>
      </c>
      <c r="C4786" s="30" t="s">
        <v>318</v>
      </c>
      <c r="D4786" s="30" t="s">
        <v>17</v>
      </c>
      <c r="E4786" s="30" t="s">
        <v>18</v>
      </c>
      <c r="F4786" s="30" t="s">
        <v>19</v>
      </c>
      <c r="G4786" s="30" t="s">
        <v>20</v>
      </c>
      <c r="H4786" s="32">
        <v>425</v>
      </c>
      <c r="I4786" s="30" t="s">
        <v>21</v>
      </c>
      <c r="J4786" s="41">
        <v>44473</v>
      </c>
      <c r="K4786" s="30" t="s">
        <v>22</v>
      </c>
    </row>
    <row r="4787" spans="1:11">
      <c r="A4787" s="33" t="s">
        <v>11387</v>
      </c>
      <c r="B4787" s="33" t="s">
        <v>11388</v>
      </c>
      <c r="C4787" s="33" t="s">
        <v>96</v>
      </c>
      <c r="D4787" s="33" t="s">
        <v>17</v>
      </c>
      <c r="E4787" s="33" t="s">
        <v>26</v>
      </c>
      <c r="F4787" s="33" t="s">
        <v>27</v>
      </c>
      <c r="G4787" s="33" t="s">
        <v>20</v>
      </c>
      <c r="H4787" s="35">
        <v>16</v>
      </c>
      <c r="I4787" s="33" t="s">
        <v>21</v>
      </c>
      <c r="J4787" s="42">
        <v>44491</v>
      </c>
      <c r="K4787" s="33" t="s">
        <v>22</v>
      </c>
    </row>
    <row r="4788" spans="1:11">
      <c r="A4788" s="30" t="s">
        <v>11389</v>
      </c>
      <c r="B4788" s="30" t="s">
        <v>11390</v>
      </c>
      <c r="C4788" s="30" t="s">
        <v>11391</v>
      </c>
      <c r="D4788" s="30" t="s">
        <v>17</v>
      </c>
      <c r="E4788" s="30" t="s">
        <v>45</v>
      </c>
      <c r="F4788" s="30" t="s">
        <v>46</v>
      </c>
      <c r="G4788" s="30" t="s">
        <v>158</v>
      </c>
      <c r="H4788" s="32">
        <v>100</v>
      </c>
      <c r="I4788" s="30" t="s">
        <v>51</v>
      </c>
      <c r="J4788" s="41">
        <v>44515</v>
      </c>
      <c r="K4788" s="30" t="s">
        <v>22</v>
      </c>
    </row>
    <row r="4789" spans="1:11">
      <c r="A4789" s="33" t="s">
        <v>11392</v>
      </c>
      <c r="B4789" s="33" t="s">
        <v>11393</v>
      </c>
      <c r="C4789" s="33" t="s">
        <v>2272</v>
      </c>
      <c r="D4789" s="33" t="s">
        <v>17</v>
      </c>
      <c r="E4789" s="33" t="s">
        <v>26</v>
      </c>
      <c r="F4789" s="33" t="s">
        <v>27</v>
      </c>
      <c r="G4789" s="33" t="s">
        <v>20</v>
      </c>
      <c r="H4789" s="35">
        <v>16</v>
      </c>
      <c r="I4789" s="33" t="s">
        <v>21</v>
      </c>
      <c r="J4789" s="42">
        <v>44279</v>
      </c>
      <c r="K4789" s="33" t="s">
        <v>22</v>
      </c>
    </row>
    <row r="4790" spans="1:11">
      <c r="A4790" s="30" t="s">
        <v>11394</v>
      </c>
      <c r="B4790" s="30" t="s">
        <v>11395</v>
      </c>
      <c r="C4790" s="30" t="s">
        <v>9459</v>
      </c>
      <c r="D4790" s="30" t="s">
        <v>17</v>
      </c>
      <c r="E4790" s="30" t="s">
        <v>26</v>
      </c>
      <c r="F4790" s="30" t="s">
        <v>27</v>
      </c>
      <c r="G4790" s="30" t="s">
        <v>20</v>
      </c>
      <c r="H4790" s="32">
        <v>23</v>
      </c>
      <c r="I4790" s="30" t="s">
        <v>21</v>
      </c>
      <c r="J4790" s="41">
        <v>44365</v>
      </c>
      <c r="K4790" s="30" t="s">
        <v>22</v>
      </c>
    </row>
    <row r="4791" spans="1:11">
      <c r="A4791" s="33" t="s">
        <v>11396</v>
      </c>
      <c r="B4791" s="33" t="s">
        <v>11397</v>
      </c>
      <c r="C4791" s="33" t="s">
        <v>118</v>
      </c>
      <c r="D4791" s="33" t="s">
        <v>17</v>
      </c>
      <c r="E4791" s="33" t="s">
        <v>31</v>
      </c>
      <c r="F4791" s="33" t="s">
        <v>32</v>
      </c>
      <c r="G4791" s="33" t="s">
        <v>20</v>
      </c>
      <c r="H4791" s="35">
        <v>109</v>
      </c>
      <c r="I4791" s="33" t="s">
        <v>21</v>
      </c>
      <c r="J4791" s="42">
        <v>44272</v>
      </c>
      <c r="K4791" s="33" t="s">
        <v>22</v>
      </c>
    </row>
    <row r="4792" spans="1:11">
      <c r="A4792" s="30" t="s">
        <v>11398</v>
      </c>
      <c r="B4792" s="30" t="s">
        <v>11399</v>
      </c>
      <c r="C4792" s="30" t="s">
        <v>387</v>
      </c>
      <c r="D4792" s="30" t="s">
        <v>17</v>
      </c>
      <c r="E4792" s="30" t="s">
        <v>18</v>
      </c>
      <c r="F4792" s="30" t="s">
        <v>19</v>
      </c>
      <c r="G4792" s="30" t="s">
        <v>20</v>
      </c>
      <c r="H4792" s="32">
        <v>131</v>
      </c>
      <c r="I4792" s="30" t="s">
        <v>21</v>
      </c>
      <c r="J4792" s="41">
        <v>44456</v>
      </c>
      <c r="K4792" s="30" t="s">
        <v>22</v>
      </c>
    </row>
    <row r="4793" spans="1:11">
      <c r="A4793" s="33" t="s">
        <v>11400</v>
      </c>
      <c r="B4793" s="33" t="s">
        <v>11401</v>
      </c>
      <c r="C4793" s="33" t="s">
        <v>11402</v>
      </c>
      <c r="D4793" s="33" t="s">
        <v>17</v>
      </c>
      <c r="E4793" s="33" t="s">
        <v>26</v>
      </c>
      <c r="F4793" s="33" t="s">
        <v>27</v>
      </c>
      <c r="G4793" s="33" t="s">
        <v>106</v>
      </c>
      <c r="H4793" s="35">
        <v>8</v>
      </c>
      <c r="I4793" s="33" t="s">
        <v>21</v>
      </c>
      <c r="J4793" s="42">
        <v>44300</v>
      </c>
      <c r="K4793" s="33" t="s">
        <v>22</v>
      </c>
    </row>
    <row r="4794" spans="1:11">
      <c r="A4794" s="30" t="s">
        <v>11403</v>
      </c>
      <c r="B4794" s="30" t="s">
        <v>11404</v>
      </c>
      <c r="C4794" s="30" t="s">
        <v>3660</v>
      </c>
      <c r="D4794" s="30" t="s">
        <v>17</v>
      </c>
      <c r="E4794" s="30" t="s">
        <v>26</v>
      </c>
      <c r="F4794" s="30" t="s">
        <v>27</v>
      </c>
      <c r="G4794" s="30" t="s">
        <v>20</v>
      </c>
      <c r="H4794" s="32">
        <v>17</v>
      </c>
      <c r="I4794" s="30" t="s">
        <v>21</v>
      </c>
      <c r="J4794" s="41">
        <v>44216</v>
      </c>
      <c r="K4794" s="30" t="s">
        <v>22</v>
      </c>
    </row>
    <row r="4795" spans="1:11">
      <c r="A4795" s="33" t="s">
        <v>11405</v>
      </c>
      <c r="B4795" s="33" t="s">
        <v>11406</v>
      </c>
      <c r="C4795" s="33" t="s">
        <v>11407</v>
      </c>
      <c r="D4795" s="33" t="s">
        <v>17</v>
      </c>
      <c r="E4795" s="33" t="s">
        <v>26</v>
      </c>
      <c r="F4795" s="33" t="s">
        <v>27</v>
      </c>
      <c r="G4795" s="33" t="s">
        <v>20</v>
      </c>
      <c r="H4795" s="35">
        <v>12</v>
      </c>
      <c r="I4795" s="33" t="s">
        <v>21</v>
      </c>
      <c r="J4795" s="42">
        <v>44410</v>
      </c>
      <c r="K4795" s="33" t="s">
        <v>22</v>
      </c>
    </row>
    <row r="4796" spans="1:11">
      <c r="A4796" s="30" t="s">
        <v>11408</v>
      </c>
      <c r="B4796" s="30" t="s">
        <v>11409</v>
      </c>
      <c r="C4796" s="30" t="s">
        <v>1228</v>
      </c>
      <c r="D4796" s="30" t="s">
        <v>17</v>
      </c>
      <c r="E4796" s="30" t="s">
        <v>18</v>
      </c>
      <c r="F4796" s="30" t="s">
        <v>19</v>
      </c>
      <c r="G4796" s="30" t="s">
        <v>20</v>
      </c>
      <c r="H4796" s="32">
        <v>160</v>
      </c>
      <c r="I4796" s="30" t="s">
        <v>21</v>
      </c>
      <c r="J4796" s="41">
        <v>44488</v>
      </c>
      <c r="K4796" s="30" t="s">
        <v>22</v>
      </c>
    </row>
    <row r="4797" spans="1:11">
      <c r="A4797" s="33" t="s">
        <v>11410</v>
      </c>
      <c r="B4797" s="33" t="s">
        <v>11411</v>
      </c>
      <c r="C4797" s="33" t="s">
        <v>3754</v>
      </c>
      <c r="D4797" s="33" t="s">
        <v>17</v>
      </c>
      <c r="E4797" s="33" t="s">
        <v>18</v>
      </c>
      <c r="F4797" s="33" t="s">
        <v>19</v>
      </c>
      <c r="G4797" s="33" t="s">
        <v>20</v>
      </c>
      <c r="H4797" s="35">
        <v>1591</v>
      </c>
      <c r="I4797" s="33" t="s">
        <v>21</v>
      </c>
      <c r="J4797" s="42">
        <v>44377</v>
      </c>
      <c r="K4797" s="33" t="s">
        <v>22</v>
      </c>
    </row>
    <row r="4798" spans="1:11">
      <c r="A4798" s="30" t="s">
        <v>11412</v>
      </c>
      <c r="B4798" s="30" t="s">
        <v>11413</v>
      </c>
      <c r="C4798" s="30" t="s">
        <v>774</v>
      </c>
      <c r="D4798" s="30" t="s">
        <v>17</v>
      </c>
      <c r="E4798" s="30" t="s">
        <v>26</v>
      </c>
      <c r="F4798" s="30" t="s">
        <v>27</v>
      </c>
      <c r="G4798" s="30" t="s">
        <v>20</v>
      </c>
      <c r="H4798" s="32">
        <v>85</v>
      </c>
      <c r="I4798" s="30" t="s">
        <v>21</v>
      </c>
      <c r="J4798" s="41">
        <v>44270</v>
      </c>
      <c r="K4798" s="30" t="s">
        <v>22</v>
      </c>
    </row>
    <row r="4799" spans="1:11">
      <c r="A4799" s="33" t="s">
        <v>11414</v>
      </c>
      <c r="B4799" s="33" t="s">
        <v>11415</v>
      </c>
      <c r="C4799" s="33" t="s">
        <v>7035</v>
      </c>
      <c r="D4799" s="33" t="s">
        <v>17</v>
      </c>
      <c r="E4799" s="33" t="s">
        <v>26</v>
      </c>
      <c r="F4799" s="33" t="s">
        <v>27</v>
      </c>
      <c r="G4799" s="33" t="s">
        <v>20</v>
      </c>
      <c r="H4799" s="35">
        <v>7</v>
      </c>
      <c r="I4799" s="33" t="s">
        <v>21</v>
      </c>
      <c r="J4799" s="42">
        <v>44421</v>
      </c>
      <c r="K4799" s="33" t="s">
        <v>22</v>
      </c>
    </row>
    <row r="4800" spans="1:11">
      <c r="A4800" s="30" t="s">
        <v>11416</v>
      </c>
      <c r="B4800" s="30" t="s">
        <v>11417</v>
      </c>
      <c r="C4800" s="30" t="s">
        <v>10459</v>
      </c>
      <c r="D4800" s="30" t="s">
        <v>17</v>
      </c>
      <c r="E4800" s="30" t="s">
        <v>330</v>
      </c>
      <c r="F4800" s="30" t="s">
        <v>331</v>
      </c>
      <c r="G4800" s="30" t="s">
        <v>140</v>
      </c>
      <c r="H4800" s="32">
        <v>50</v>
      </c>
      <c r="I4800" s="30" t="s">
        <v>51</v>
      </c>
      <c r="J4800" s="41">
        <v>44465</v>
      </c>
      <c r="K4800" s="30" t="s">
        <v>22</v>
      </c>
    </row>
    <row r="4801" spans="1:11">
      <c r="A4801" s="33" t="s">
        <v>11418</v>
      </c>
      <c r="B4801" s="33" t="s">
        <v>11419</v>
      </c>
      <c r="C4801" s="33" t="s">
        <v>96</v>
      </c>
      <c r="D4801" s="33" t="s">
        <v>17</v>
      </c>
      <c r="E4801" s="33" t="s">
        <v>26</v>
      </c>
      <c r="F4801" s="33" t="s">
        <v>27</v>
      </c>
      <c r="G4801" s="33" t="s">
        <v>20</v>
      </c>
      <c r="H4801" s="35">
        <v>72</v>
      </c>
      <c r="I4801" s="33" t="s">
        <v>21</v>
      </c>
      <c r="J4801" s="42">
        <v>44461</v>
      </c>
      <c r="K4801" s="33" t="s">
        <v>22</v>
      </c>
    </row>
    <row r="4802" spans="1:11">
      <c r="A4802" s="30" t="s">
        <v>11420</v>
      </c>
      <c r="B4802" s="30" t="s">
        <v>11421</v>
      </c>
      <c r="C4802" s="30" t="s">
        <v>96</v>
      </c>
      <c r="D4802" s="30" t="s">
        <v>17</v>
      </c>
      <c r="E4802" s="30" t="s">
        <v>18</v>
      </c>
      <c r="F4802" s="30" t="s">
        <v>19</v>
      </c>
      <c r="G4802" s="30" t="s">
        <v>20</v>
      </c>
      <c r="H4802" s="32">
        <v>1028</v>
      </c>
      <c r="I4802" s="30" t="s">
        <v>21</v>
      </c>
      <c r="J4802" s="41">
        <v>44490</v>
      </c>
      <c r="K4802" s="30" t="s">
        <v>22</v>
      </c>
    </row>
    <row r="4803" spans="1:11">
      <c r="A4803" s="33" t="s">
        <v>11422</v>
      </c>
      <c r="B4803" s="33" t="s">
        <v>11423</v>
      </c>
      <c r="C4803" s="33" t="s">
        <v>5701</v>
      </c>
      <c r="D4803" s="33" t="s">
        <v>17</v>
      </c>
      <c r="E4803" s="33" t="s">
        <v>18</v>
      </c>
      <c r="F4803" s="33" t="s">
        <v>19</v>
      </c>
      <c r="G4803" s="33" t="s">
        <v>106</v>
      </c>
      <c r="H4803" s="35">
        <v>72</v>
      </c>
      <c r="I4803" s="33" t="s">
        <v>21</v>
      </c>
      <c r="J4803" s="42">
        <v>44392</v>
      </c>
      <c r="K4803" s="33" t="s">
        <v>22</v>
      </c>
    </row>
    <row r="4804" spans="1:11">
      <c r="A4804" s="30" t="s">
        <v>11424</v>
      </c>
      <c r="B4804" s="30" t="s">
        <v>11425</v>
      </c>
      <c r="C4804" s="30" t="s">
        <v>3013</v>
      </c>
      <c r="D4804" s="30" t="s">
        <v>17</v>
      </c>
      <c r="E4804" s="30" t="s">
        <v>26</v>
      </c>
      <c r="F4804" s="30" t="s">
        <v>27</v>
      </c>
      <c r="G4804" s="30" t="s">
        <v>20</v>
      </c>
      <c r="H4804" s="32">
        <v>33</v>
      </c>
      <c r="I4804" s="30" t="s">
        <v>21</v>
      </c>
      <c r="J4804" s="41">
        <v>44323</v>
      </c>
      <c r="K4804" s="30" t="s">
        <v>22</v>
      </c>
    </row>
    <row r="4805" spans="1:11">
      <c r="A4805" s="33" t="s">
        <v>11426</v>
      </c>
      <c r="B4805" s="33" t="s">
        <v>11427</v>
      </c>
      <c r="C4805" s="33" t="s">
        <v>190</v>
      </c>
      <c r="D4805" s="33" t="s">
        <v>17</v>
      </c>
      <c r="E4805" s="33" t="s">
        <v>26</v>
      </c>
      <c r="F4805" s="33" t="s">
        <v>27</v>
      </c>
      <c r="G4805" s="33" t="s">
        <v>112</v>
      </c>
      <c r="H4805" s="35">
        <v>0</v>
      </c>
      <c r="I4805" s="33" t="s">
        <v>21</v>
      </c>
      <c r="J4805" s="42">
        <v>44523</v>
      </c>
      <c r="K4805" s="33" t="s">
        <v>22</v>
      </c>
    </row>
    <row r="4806" spans="1:11">
      <c r="A4806" s="30" t="s">
        <v>11428</v>
      </c>
      <c r="B4806" s="30" t="s">
        <v>11429</v>
      </c>
      <c r="C4806" s="30" t="s">
        <v>2067</v>
      </c>
      <c r="D4806" s="30" t="s">
        <v>17</v>
      </c>
      <c r="E4806" s="30" t="s">
        <v>31</v>
      </c>
      <c r="F4806" s="30" t="s">
        <v>32</v>
      </c>
      <c r="G4806" s="30" t="s">
        <v>50</v>
      </c>
      <c r="H4806" s="32">
        <v>20</v>
      </c>
      <c r="I4806" s="30" t="s">
        <v>51</v>
      </c>
      <c r="J4806" s="41">
        <v>44342</v>
      </c>
      <c r="K4806" s="30" t="s">
        <v>22</v>
      </c>
    </row>
    <row r="4807" spans="1:11">
      <c r="A4807" s="33" t="s">
        <v>11430</v>
      </c>
      <c r="B4807" s="33" t="s">
        <v>11431</v>
      </c>
      <c r="C4807" s="33" t="s">
        <v>11145</v>
      </c>
      <c r="D4807" s="33" t="s">
        <v>17</v>
      </c>
      <c r="E4807" s="33" t="s">
        <v>212</v>
      </c>
      <c r="F4807" s="33" t="s">
        <v>213</v>
      </c>
      <c r="G4807" s="33" t="s">
        <v>20</v>
      </c>
      <c r="H4807" s="35">
        <v>52</v>
      </c>
      <c r="I4807" s="33" t="s">
        <v>21</v>
      </c>
      <c r="J4807" s="42">
        <v>44284</v>
      </c>
      <c r="K4807" s="33" t="s">
        <v>22</v>
      </c>
    </row>
    <row r="4808" spans="1:11">
      <c r="A4808" s="30" t="s">
        <v>11432</v>
      </c>
      <c r="B4808" s="30" t="s">
        <v>11433</v>
      </c>
      <c r="C4808" s="30" t="s">
        <v>11434</v>
      </c>
      <c r="D4808" s="30" t="s">
        <v>17</v>
      </c>
      <c r="E4808" s="30" t="s">
        <v>26</v>
      </c>
      <c r="F4808" s="30" t="s">
        <v>27</v>
      </c>
      <c r="G4808" s="30" t="s">
        <v>20</v>
      </c>
      <c r="H4808" s="32">
        <v>66</v>
      </c>
      <c r="I4808" s="30" t="s">
        <v>21</v>
      </c>
      <c r="J4808" s="41">
        <v>44531</v>
      </c>
      <c r="K4808" s="30" t="s">
        <v>22</v>
      </c>
    </row>
    <row r="4809" spans="1:11">
      <c r="A4809" s="33" t="s">
        <v>11435</v>
      </c>
      <c r="B4809" s="33" t="s">
        <v>11436</v>
      </c>
      <c r="C4809" s="33" t="s">
        <v>102</v>
      </c>
      <c r="D4809" s="33" t="s">
        <v>17</v>
      </c>
      <c r="E4809" s="33" t="s">
        <v>31</v>
      </c>
      <c r="F4809" s="33" t="s">
        <v>32</v>
      </c>
      <c r="G4809" s="33" t="s">
        <v>140</v>
      </c>
      <c r="H4809" s="35">
        <v>510</v>
      </c>
      <c r="I4809" s="33" t="s">
        <v>51</v>
      </c>
      <c r="J4809" s="42">
        <v>44228</v>
      </c>
      <c r="K4809" s="33" t="s">
        <v>22</v>
      </c>
    </row>
    <row r="4810" spans="1:11">
      <c r="A4810" s="30" t="s">
        <v>11437</v>
      </c>
      <c r="B4810" s="30" t="s">
        <v>11438</v>
      </c>
      <c r="C4810" s="30" t="s">
        <v>4634</v>
      </c>
      <c r="D4810" s="30" t="s">
        <v>17</v>
      </c>
      <c r="E4810" s="30" t="s">
        <v>26</v>
      </c>
      <c r="F4810" s="30" t="s">
        <v>27</v>
      </c>
      <c r="G4810" s="30" t="s">
        <v>20</v>
      </c>
      <c r="H4810" s="32">
        <v>36</v>
      </c>
      <c r="I4810" s="30" t="s">
        <v>21</v>
      </c>
      <c r="J4810" s="41">
        <v>44219</v>
      </c>
      <c r="K4810" s="30" t="s">
        <v>22</v>
      </c>
    </row>
    <row r="4811" spans="1:11">
      <c r="A4811" s="33" t="s">
        <v>11439</v>
      </c>
      <c r="B4811" s="33" t="s">
        <v>11440</v>
      </c>
      <c r="C4811" s="33" t="s">
        <v>11441</v>
      </c>
      <c r="D4811" s="33" t="s">
        <v>17</v>
      </c>
      <c r="E4811" s="33" t="s">
        <v>31</v>
      </c>
      <c r="F4811" s="33" t="s">
        <v>32</v>
      </c>
      <c r="G4811" s="33" t="s">
        <v>20</v>
      </c>
      <c r="H4811" s="35">
        <v>23</v>
      </c>
      <c r="I4811" s="33" t="s">
        <v>21</v>
      </c>
      <c r="J4811" s="42">
        <v>44497</v>
      </c>
      <c r="K4811" s="33" t="s">
        <v>22</v>
      </c>
    </row>
    <row r="4812" spans="1:11">
      <c r="A4812" s="30" t="s">
        <v>11442</v>
      </c>
      <c r="B4812" s="30" t="s">
        <v>11443</v>
      </c>
      <c r="C4812" s="30" t="s">
        <v>4634</v>
      </c>
      <c r="D4812" s="30" t="s">
        <v>17</v>
      </c>
      <c r="E4812" s="30" t="s">
        <v>26</v>
      </c>
      <c r="F4812" s="30" t="s">
        <v>27</v>
      </c>
      <c r="G4812" s="30" t="s">
        <v>20</v>
      </c>
      <c r="H4812" s="32">
        <v>38</v>
      </c>
      <c r="I4812" s="30" t="s">
        <v>21</v>
      </c>
      <c r="J4812" s="41">
        <v>44212</v>
      </c>
      <c r="K4812" s="30" t="s">
        <v>22</v>
      </c>
    </row>
    <row r="4813" spans="1:11">
      <c r="A4813" s="33" t="s">
        <v>11444</v>
      </c>
      <c r="B4813" s="33" t="s">
        <v>11445</v>
      </c>
      <c r="C4813" s="33" t="s">
        <v>6625</v>
      </c>
      <c r="D4813" s="33" t="s">
        <v>17</v>
      </c>
      <c r="E4813" s="33" t="s">
        <v>18</v>
      </c>
      <c r="F4813" s="33" t="s">
        <v>19</v>
      </c>
      <c r="G4813" s="33" t="s">
        <v>106</v>
      </c>
      <c r="H4813" s="35">
        <v>12</v>
      </c>
      <c r="I4813" s="33" t="s">
        <v>21</v>
      </c>
      <c r="J4813" s="42">
        <v>44404</v>
      </c>
      <c r="K4813" s="33" t="s">
        <v>22</v>
      </c>
    </row>
    <row r="4814" spans="1:11">
      <c r="A4814" s="30" t="s">
        <v>11446</v>
      </c>
      <c r="B4814" s="30" t="s">
        <v>11447</v>
      </c>
      <c r="C4814" s="30" t="s">
        <v>102</v>
      </c>
      <c r="D4814" s="30" t="s">
        <v>17</v>
      </c>
      <c r="E4814" s="30" t="s">
        <v>26</v>
      </c>
      <c r="F4814" s="30" t="s">
        <v>27</v>
      </c>
      <c r="G4814" s="30" t="s">
        <v>20</v>
      </c>
      <c r="H4814" s="32">
        <v>20</v>
      </c>
      <c r="I4814" s="30" t="s">
        <v>21</v>
      </c>
      <c r="J4814" s="41">
        <v>44456</v>
      </c>
      <c r="K4814" s="30" t="s">
        <v>22</v>
      </c>
    </row>
    <row r="4815" spans="1:11">
      <c r="A4815" s="33" t="s">
        <v>11448</v>
      </c>
      <c r="B4815" s="33" t="s">
        <v>11449</v>
      </c>
      <c r="C4815" s="33" t="s">
        <v>190</v>
      </c>
      <c r="D4815" s="33" t="s">
        <v>17</v>
      </c>
      <c r="E4815" s="33" t="s">
        <v>26</v>
      </c>
      <c r="F4815" s="33" t="s">
        <v>27</v>
      </c>
      <c r="G4815" s="33" t="s">
        <v>20</v>
      </c>
      <c r="H4815" s="35">
        <v>16</v>
      </c>
      <c r="I4815" s="33" t="s">
        <v>21</v>
      </c>
      <c r="J4815" s="42">
        <v>44228</v>
      </c>
      <c r="K4815" s="33" t="s">
        <v>22</v>
      </c>
    </row>
    <row r="4816" spans="1:11">
      <c r="A4816" s="30" t="s">
        <v>11450</v>
      </c>
      <c r="B4816" s="30" t="s">
        <v>11451</v>
      </c>
      <c r="C4816" s="30" t="s">
        <v>109</v>
      </c>
      <c r="D4816" s="30" t="s">
        <v>17</v>
      </c>
      <c r="E4816" s="30" t="s">
        <v>26</v>
      </c>
      <c r="F4816" s="30" t="s">
        <v>27</v>
      </c>
      <c r="G4816" s="30" t="s">
        <v>20</v>
      </c>
      <c r="H4816" s="32">
        <v>54</v>
      </c>
      <c r="I4816" s="30" t="s">
        <v>21</v>
      </c>
      <c r="J4816" s="41">
        <v>44540</v>
      </c>
      <c r="K4816" s="30" t="s">
        <v>22</v>
      </c>
    </row>
    <row r="4817" spans="1:11">
      <c r="A4817" s="33" t="s">
        <v>11452</v>
      </c>
      <c r="B4817" s="33" t="s">
        <v>11453</v>
      </c>
      <c r="C4817" s="33" t="s">
        <v>11454</v>
      </c>
      <c r="D4817" s="33" t="s">
        <v>17</v>
      </c>
      <c r="E4817" s="33" t="s">
        <v>67</v>
      </c>
      <c r="F4817" s="33" t="s">
        <v>68</v>
      </c>
      <c r="G4817" s="33" t="s">
        <v>106</v>
      </c>
      <c r="H4817" s="35">
        <v>12</v>
      </c>
      <c r="I4817" s="33" t="s">
        <v>21</v>
      </c>
      <c r="J4817" s="42">
        <v>44433</v>
      </c>
      <c r="K4817" s="33" t="s">
        <v>22</v>
      </c>
    </row>
    <row r="4818" spans="1:11">
      <c r="A4818" s="30" t="s">
        <v>11455</v>
      </c>
      <c r="B4818" s="30" t="s">
        <v>11456</v>
      </c>
      <c r="C4818" s="30" t="s">
        <v>11457</v>
      </c>
      <c r="D4818" s="30" t="s">
        <v>17</v>
      </c>
      <c r="E4818" s="30" t="s">
        <v>67</v>
      </c>
      <c r="F4818" s="30" t="s">
        <v>68</v>
      </c>
      <c r="G4818" s="30" t="s">
        <v>20</v>
      </c>
      <c r="H4818" s="32">
        <v>25</v>
      </c>
      <c r="I4818" s="30" t="s">
        <v>21</v>
      </c>
      <c r="J4818" s="41">
        <v>44350</v>
      </c>
      <c r="K4818" s="30" t="s">
        <v>22</v>
      </c>
    </row>
    <row r="4819" spans="1:11">
      <c r="A4819" s="33" t="s">
        <v>11458</v>
      </c>
      <c r="B4819" s="33" t="s">
        <v>11459</v>
      </c>
      <c r="C4819" s="33" t="s">
        <v>109</v>
      </c>
      <c r="D4819" s="33" t="s">
        <v>17</v>
      </c>
      <c r="E4819" s="33" t="s">
        <v>212</v>
      </c>
      <c r="F4819" s="33" t="s">
        <v>213</v>
      </c>
      <c r="G4819" s="33" t="s">
        <v>106</v>
      </c>
      <c r="H4819" s="35">
        <v>24</v>
      </c>
      <c r="I4819" s="33" t="s">
        <v>21</v>
      </c>
      <c r="J4819" s="42">
        <v>44357</v>
      </c>
      <c r="K4819" s="33" t="s">
        <v>22</v>
      </c>
    </row>
    <row r="4820" spans="1:11">
      <c r="A4820" s="30" t="s">
        <v>11460</v>
      </c>
      <c r="B4820" s="30" t="s">
        <v>11461</v>
      </c>
      <c r="C4820" s="30" t="s">
        <v>11462</v>
      </c>
      <c r="D4820" s="30" t="s">
        <v>17</v>
      </c>
      <c r="E4820" s="30" t="s">
        <v>18</v>
      </c>
      <c r="F4820" s="30" t="s">
        <v>19</v>
      </c>
      <c r="G4820" s="30" t="s">
        <v>20</v>
      </c>
      <c r="H4820" s="32">
        <v>123</v>
      </c>
      <c r="I4820" s="30" t="s">
        <v>21</v>
      </c>
      <c r="J4820" s="41">
        <v>44251</v>
      </c>
      <c r="K4820" s="30" t="s">
        <v>22</v>
      </c>
    </row>
    <row r="4821" spans="1:11">
      <c r="A4821" s="33" t="s">
        <v>11463</v>
      </c>
      <c r="B4821" s="33" t="s">
        <v>11464</v>
      </c>
      <c r="C4821" s="33" t="s">
        <v>7383</v>
      </c>
      <c r="D4821" s="33" t="s">
        <v>17</v>
      </c>
      <c r="E4821" s="33" t="s">
        <v>67</v>
      </c>
      <c r="F4821" s="33" t="s">
        <v>68</v>
      </c>
      <c r="G4821" s="33" t="s">
        <v>50</v>
      </c>
      <c r="H4821" s="35">
        <v>100</v>
      </c>
      <c r="I4821" s="33" t="s">
        <v>51</v>
      </c>
      <c r="J4821" s="42">
        <v>44455</v>
      </c>
      <c r="K4821" s="33" t="s">
        <v>22</v>
      </c>
    </row>
    <row r="4822" spans="1:11">
      <c r="A4822" s="30" t="s">
        <v>11465</v>
      </c>
      <c r="B4822" s="30" t="s">
        <v>11466</v>
      </c>
      <c r="C4822" s="30" t="s">
        <v>11467</v>
      </c>
      <c r="D4822" s="30" t="s">
        <v>17</v>
      </c>
      <c r="E4822" s="30" t="s">
        <v>31</v>
      </c>
      <c r="F4822" s="30" t="s">
        <v>32</v>
      </c>
      <c r="G4822" s="30" t="s">
        <v>158</v>
      </c>
      <c r="H4822" s="32">
        <v>14</v>
      </c>
      <c r="I4822" s="30" t="s">
        <v>21</v>
      </c>
      <c r="J4822" s="41">
        <v>44299</v>
      </c>
      <c r="K4822" s="30" t="s">
        <v>22</v>
      </c>
    </row>
    <row r="4823" spans="1:11">
      <c r="A4823" s="33" t="s">
        <v>11468</v>
      </c>
      <c r="B4823" s="33" t="s">
        <v>11469</v>
      </c>
      <c r="C4823" s="33" t="s">
        <v>157</v>
      </c>
      <c r="D4823" s="33" t="s">
        <v>17</v>
      </c>
      <c r="E4823" s="33" t="s">
        <v>26</v>
      </c>
      <c r="F4823" s="33" t="s">
        <v>27</v>
      </c>
      <c r="G4823" s="33" t="s">
        <v>20</v>
      </c>
      <c r="H4823" s="35">
        <v>6</v>
      </c>
      <c r="I4823" s="33" t="s">
        <v>21</v>
      </c>
      <c r="J4823" s="42">
        <v>44300</v>
      </c>
      <c r="K4823" s="33" t="s">
        <v>22</v>
      </c>
    </row>
    <row r="4824" spans="1:11">
      <c r="A4824" s="30" t="s">
        <v>11470</v>
      </c>
      <c r="B4824" s="30" t="s">
        <v>11471</v>
      </c>
      <c r="C4824" s="30" t="s">
        <v>1517</v>
      </c>
      <c r="D4824" s="30" t="s">
        <v>17</v>
      </c>
      <c r="E4824" s="30" t="s">
        <v>18</v>
      </c>
      <c r="F4824" s="30" t="s">
        <v>19</v>
      </c>
      <c r="G4824" s="30" t="s">
        <v>20</v>
      </c>
      <c r="H4824" s="32">
        <v>608</v>
      </c>
      <c r="I4824" s="30" t="s">
        <v>21</v>
      </c>
      <c r="J4824" s="41">
        <v>44438</v>
      </c>
      <c r="K4824" s="30" t="s">
        <v>22</v>
      </c>
    </row>
    <row r="4825" spans="1:11">
      <c r="A4825" s="33" t="s">
        <v>11472</v>
      </c>
      <c r="B4825" s="33" t="s">
        <v>11473</v>
      </c>
      <c r="C4825" s="33" t="s">
        <v>136</v>
      </c>
      <c r="D4825" s="33" t="s">
        <v>17</v>
      </c>
      <c r="E4825" s="33" t="s">
        <v>26</v>
      </c>
      <c r="F4825" s="33" t="s">
        <v>27</v>
      </c>
      <c r="G4825" s="33" t="s">
        <v>106</v>
      </c>
      <c r="H4825" s="35">
        <v>3</v>
      </c>
      <c r="I4825" s="33" t="s">
        <v>21</v>
      </c>
      <c r="J4825" s="42">
        <v>44250</v>
      </c>
      <c r="K4825" s="33" t="s">
        <v>22</v>
      </c>
    </row>
    <row r="4826" spans="1:11">
      <c r="A4826" s="30" t="s">
        <v>11474</v>
      </c>
      <c r="B4826" s="30" t="s">
        <v>11475</v>
      </c>
      <c r="C4826" s="30" t="s">
        <v>11476</v>
      </c>
      <c r="D4826" s="30" t="s">
        <v>17</v>
      </c>
      <c r="E4826" s="30" t="s">
        <v>31</v>
      </c>
      <c r="F4826" s="30" t="s">
        <v>32</v>
      </c>
      <c r="G4826" s="30" t="s">
        <v>50</v>
      </c>
      <c r="H4826" s="32">
        <v>15</v>
      </c>
      <c r="I4826" s="30" t="s">
        <v>51</v>
      </c>
      <c r="J4826" s="41">
        <v>44468</v>
      </c>
      <c r="K4826" s="30" t="s">
        <v>22</v>
      </c>
    </row>
    <row r="4827" spans="1:11">
      <c r="A4827" s="33" t="s">
        <v>11477</v>
      </c>
      <c r="B4827" s="33" t="s">
        <v>11478</v>
      </c>
      <c r="C4827" s="33" t="s">
        <v>11479</v>
      </c>
      <c r="D4827" s="33" t="s">
        <v>17</v>
      </c>
      <c r="E4827" s="33" t="s">
        <v>67</v>
      </c>
      <c r="F4827" s="33" t="s">
        <v>68</v>
      </c>
      <c r="G4827" s="33" t="s">
        <v>20</v>
      </c>
      <c r="H4827" s="35">
        <v>9</v>
      </c>
      <c r="I4827" s="33" t="s">
        <v>21</v>
      </c>
      <c r="J4827" s="42">
        <v>44537</v>
      </c>
      <c r="K4827" s="33" t="s">
        <v>22</v>
      </c>
    </row>
    <row r="4828" spans="1:11">
      <c r="A4828" s="30" t="s">
        <v>11480</v>
      </c>
      <c r="B4828" s="30" t="s">
        <v>11481</v>
      </c>
      <c r="C4828" s="30" t="s">
        <v>75</v>
      </c>
      <c r="D4828" s="30" t="s">
        <v>17</v>
      </c>
      <c r="E4828" s="30" t="s">
        <v>67</v>
      </c>
      <c r="F4828" s="30" t="s">
        <v>68</v>
      </c>
      <c r="G4828" s="30" t="s">
        <v>158</v>
      </c>
      <c r="H4828" s="32">
        <v>216</v>
      </c>
      <c r="I4828" s="30" t="s">
        <v>51</v>
      </c>
      <c r="J4828" s="41">
        <v>44277</v>
      </c>
      <c r="K4828" s="30" t="s">
        <v>22</v>
      </c>
    </row>
    <row r="4829" spans="1:11">
      <c r="A4829" s="33" t="s">
        <v>11482</v>
      </c>
      <c r="B4829" s="33" t="s">
        <v>11483</v>
      </c>
      <c r="C4829" s="33" t="s">
        <v>178</v>
      </c>
      <c r="D4829" s="33" t="s">
        <v>17</v>
      </c>
      <c r="E4829" s="33" t="s">
        <v>18</v>
      </c>
      <c r="F4829" s="33" t="s">
        <v>19</v>
      </c>
      <c r="G4829" s="33" t="s">
        <v>158</v>
      </c>
      <c r="H4829" s="35">
        <v>761</v>
      </c>
      <c r="I4829" s="33" t="s">
        <v>21</v>
      </c>
      <c r="J4829" s="42">
        <v>44319</v>
      </c>
      <c r="K4829" s="33" t="s">
        <v>22</v>
      </c>
    </row>
    <row r="4830" spans="1:11">
      <c r="A4830" s="30" t="s">
        <v>11484</v>
      </c>
      <c r="B4830" s="30" t="s">
        <v>11485</v>
      </c>
      <c r="C4830" s="30" t="s">
        <v>149</v>
      </c>
      <c r="D4830" s="30" t="s">
        <v>17</v>
      </c>
      <c r="E4830" s="30" t="s">
        <v>18</v>
      </c>
      <c r="F4830" s="30" t="s">
        <v>19</v>
      </c>
      <c r="G4830" s="30" t="s">
        <v>106</v>
      </c>
      <c r="H4830" s="32">
        <v>48</v>
      </c>
      <c r="I4830" s="30" t="s">
        <v>21</v>
      </c>
      <c r="J4830" s="41">
        <v>44228</v>
      </c>
      <c r="K4830" s="30" t="s">
        <v>22</v>
      </c>
    </row>
    <row r="4831" spans="1:11">
      <c r="A4831" s="33" t="s">
        <v>11486</v>
      </c>
      <c r="B4831" s="33" t="s">
        <v>11487</v>
      </c>
      <c r="C4831" s="33" t="s">
        <v>2117</v>
      </c>
      <c r="D4831" s="33" t="s">
        <v>17</v>
      </c>
      <c r="E4831" s="33" t="s">
        <v>26</v>
      </c>
      <c r="F4831" s="33" t="s">
        <v>27</v>
      </c>
      <c r="G4831" s="33" t="s">
        <v>20</v>
      </c>
      <c r="H4831" s="35">
        <v>17</v>
      </c>
      <c r="I4831" s="33" t="s">
        <v>21</v>
      </c>
      <c r="J4831" s="42">
        <v>44516</v>
      </c>
      <c r="K4831" s="33" t="s">
        <v>22</v>
      </c>
    </row>
    <row r="4832" spans="1:11">
      <c r="A4832" s="30" t="s">
        <v>11488</v>
      </c>
      <c r="B4832" s="30" t="s">
        <v>11489</v>
      </c>
      <c r="C4832" s="30" t="s">
        <v>2772</v>
      </c>
      <c r="D4832" s="30" t="s">
        <v>17</v>
      </c>
      <c r="E4832" s="30" t="s">
        <v>67</v>
      </c>
      <c r="F4832" s="30" t="s">
        <v>68</v>
      </c>
      <c r="G4832" s="30" t="s">
        <v>106</v>
      </c>
      <c r="H4832" s="32">
        <v>50</v>
      </c>
      <c r="I4832" s="30" t="s">
        <v>21</v>
      </c>
      <c r="J4832" s="41">
        <v>44418</v>
      </c>
      <c r="K4832" s="30" t="s">
        <v>22</v>
      </c>
    </row>
    <row r="4833" spans="1:11">
      <c r="A4833" s="33" t="s">
        <v>11490</v>
      </c>
      <c r="B4833" s="33" t="s">
        <v>11491</v>
      </c>
      <c r="C4833" s="33" t="s">
        <v>2812</v>
      </c>
      <c r="D4833" s="33" t="s">
        <v>17</v>
      </c>
      <c r="E4833" s="33" t="s">
        <v>18</v>
      </c>
      <c r="F4833" s="33" t="s">
        <v>19</v>
      </c>
      <c r="G4833" s="33" t="s">
        <v>20</v>
      </c>
      <c r="H4833" s="35">
        <v>456</v>
      </c>
      <c r="I4833" s="33" t="s">
        <v>21</v>
      </c>
      <c r="J4833" s="42">
        <v>44364</v>
      </c>
      <c r="K4833" s="33" t="s">
        <v>22</v>
      </c>
    </row>
    <row r="4834" spans="1:11">
      <c r="A4834" s="30" t="s">
        <v>11492</v>
      </c>
      <c r="B4834" s="30" t="s">
        <v>11493</v>
      </c>
      <c r="C4834" s="30" t="s">
        <v>1710</v>
      </c>
      <c r="D4834" s="30" t="s">
        <v>17</v>
      </c>
      <c r="E4834" s="30" t="s">
        <v>31</v>
      </c>
      <c r="F4834" s="30" t="s">
        <v>32</v>
      </c>
      <c r="G4834" s="30" t="s">
        <v>20</v>
      </c>
      <c r="H4834" s="32">
        <v>58</v>
      </c>
      <c r="I4834" s="30" t="s">
        <v>21</v>
      </c>
      <c r="J4834" s="41">
        <v>44309</v>
      </c>
      <c r="K4834" s="30" t="s">
        <v>22</v>
      </c>
    </row>
    <row r="4835" spans="1:11">
      <c r="A4835" s="33" t="s">
        <v>11494</v>
      </c>
      <c r="B4835" s="33" t="s">
        <v>11495</v>
      </c>
      <c r="C4835" s="33" t="s">
        <v>157</v>
      </c>
      <c r="D4835" s="33" t="s">
        <v>17</v>
      </c>
      <c r="E4835" s="33" t="s">
        <v>18</v>
      </c>
      <c r="F4835" s="33" t="s">
        <v>19</v>
      </c>
      <c r="G4835" s="33" t="s">
        <v>20</v>
      </c>
      <c r="H4835" s="35">
        <v>2</v>
      </c>
      <c r="I4835" s="33" t="s">
        <v>21</v>
      </c>
      <c r="J4835" s="42">
        <v>44211</v>
      </c>
      <c r="K4835" s="33" t="s">
        <v>22</v>
      </c>
    </row>
    <row r="4836" spans="1:11">
      <c r="A4836" s="30" t="s">
        <v>11496</v>
      </c>
      <c r="B4836" s="30" t="s">
        <v>11497</v>
      </c>
      <c r="C4836" s="30" t="s">
        <v>318</v>
      </c>
      <c r="D4836" s="30" t="s">
        <v>17</v>
      </c>
      <c r="E4836" s="30" t="s">
        <v>67</v>
      </c>
      <c r="F4836" s="30" t="s">
        <v>68</v>
      </c>
      <c r="G4836" s="30" t="s">
        <v>158</v>
      </c>
      <c r="H4836" s="32">
        <v>181</v>
      </c>
      <c r="I4836" s="30" t="s">
        <v>21</v>
      </c>
      <c r="J4836" s="41">
        <v>44200</v>
      </c>
      <c r="K4836" s="30" t="s">
        <v>22</v>
      </c>
    </row>
    <row r="4837" spans="1:11">
      <c r="A4837" s="33" t="s">
        <v>11498</v>
      </c>
      <c r="B4837" s="33" t="s">
        <v>11499</v>
      </c>
      <c r="C4837" s="33" t="s">
        <v>2292</v>
      </c>
      <c r="D4837" s="33" t="s">
        <v>17</v>
      </c>
      <c r="E4837" s="33" t="s">
        <v>26</v>
      </c>
      <c r="F4837" s="33" t="s">
        <v>27</v>
      </c>
      <c r="G4837" s="33" t="s">
        <v>20</v>
      </c>
      <c r="H4837" s="35">
        <v>24</v>
      </c>
      <c r="I4837" s="33" t="s">
        <v>21</v>
      </c>
      <c r="J4837" s="42">
        <v>44225</v>
      </c>
      <c r="K4837" s="33" t="s">
        <v>22</v>
      </c>
    </row>
    <row r="4838" spans="1:11">
      <c r="A4838" s="30" t="s">
        <v>11500</v>
      </c>
      <c r="B4838" s="30" t="s">
        <v>11501</v>
      </c>
      <c r="C4838" s="30" t="s">
        <v>1090</v>
      </c>
      <c r="D4838" s="30" t="s">
        <v>17</v>
      </c>
      <c r="E4838" s="30" t="s">
        <v>31</v>
      </c>
      <c r="F4838" s="30" t="s">
        <v>32</v>
      </c>
      <c r="G4838" s="30" t="s">
        <v>50</v>
      </c>
      <c r="H4838" s="32">
        <v>196</v>
      </c>
      <c r="I4838" s="30" t="s">
        <v>51</v>
      </c>
      <c r="J4838" s="41">
        <v>44409</v>
      </c>
      <c r="K4838" s="30" t="s">
        <v>22</v>
      </c>
    </row>
    <row r="4839" spans="1:11">
      <c r="A4839" s="33" t="s">
        <v>11502</v>
      </c>
      <c r="B4839" s="33" t="s">
        <v>11503</v>
      </c>
      <c r="C4839" s="33" t="s">
        <v>969</v>
      </c>
      <c r="D4839" s="33" t="s">
        <v>17</v>
      </c>
      <c r="E4839" s="33" t="s">
        <v>31</v>
      </c>
      <c r="F4839" s="33" t="s">
        <v>32</v>
      </c>
      <c r="G4839" s="33" t="s">
        <v>158</v>
      </c>
      <c r="H4839" s="35">
        <v>312</v>
      </c>
      <c r="I4839" s="33" t="s">
        <v>21</v>
      </c>
      <c r="J4839" s="42">
        <v>44518</v>
      </c>
      <c r="K4839" s="33" t="s">
        <v>22</v>
      </c>
    </row>
    <row r="4840" spans="1:11">
      <c r="A4840" s="30" t="s">
        <v>11504</v>
      </c>
      <c r="B4840" s="30" t="s">
        <v>11505</v>
      </c>
      <c r="C4840" s="30" t="s">
        <v>75</v>
      </c>
      <c r="D4840" s="30" t="s">
        <v>17</v>
      </c>
      <c r="E4840" s="30" t="s">
        <v>31</v>
      </c>
      <c r="F4840" s="30" t="s">
        <v>32</v>
      </c>
      <c r="G4840" s="30" t="s">
        <v>20</v>
      </c>
      <c r="H4840" s="32">
        <v>468</v>
      </c>
      <c r="I4840" s="30" t="s">
        <v>21</v>
      </c>
      <c r="J4840" s="41">
        <v>44244</v>
      </c>
      <c r="K4840" s="30" t="s">
        <v>22</v>
      </c>
    </row>
    <row r="4841" spans="1:11">
      <c r="A4841" s="33" t="s">
        <v>11506</v>
      </c>
      <c r="B4841" s="33" t="s">
        <v>11507</v>
      </c>
      <c r="C4841" s="33" t="s">
        <v>271</v>
      </c>
      <c r="D4841" s="33" t="s">
        <v>17</v>
      </c>
      <c r="E4841" s="33" t="s">
        <v>31</v>
      </c>
      <c r="F4841" s="33" t="s">
        <v>32</v>
      </c>
      <c r="G4841" s="33" t="s">
        <v>106</v>
      </c>
      <c r="H4841" s="35">
        <v>15</v>
      </c>
      <c r="I4841" s="33" t="s">
        <v>21</v>
      </c>
      <c r="J4841" s="42">
        <v>44328</v>
      </c>
      <c r="K4841" s="33" t="s">
        <v>22</v>
      </c>
    </row>
    <row r="4842" spans="1:11">
      <c r="A4842" s="30" t="s">
        <v>11508</v>
      </c>
      <c r="B4842" s="30" t="s">
        <v>11509</v>
      </c>
      <c r="C4842" s="30" t="s">
        <v>178</v>
      </c>
      <c r="D4842" s="30" t="s">
        <v>17</v>
      </c>
      <c r="E4842" s="30" t="s">
        <v>18</v>
      </c>
      <c r="F4842" s="30" t="s">
        <v>19</v>
      </c>
      <c r="G4842" s="30" t="s">
        <v>106</v>
      </c>
      <c r="H4842" s="32">
        <v>117</v>
      </c>
      <c r="I4842" s="30" t="s">
        <v>21</v>
      </c>
      <c r="J4842" s="41">
        <v>44438</v>
      </c>
      <c r="K4842" s="30" t="s">
        <v>22</v>
      </c>
    </row>
    <row r="4843" spans="1:11">
      <c r="A4843" s="33" t="s">
        <v>11510</v>
      </c>
      <c r="B4843" s="33" t="s">
        <v>11511</v>
      </c>
      <c r="C4843" s="33" t="s">
        <v>10028</v>
      </c>
      <c r="D4843" s="33" t="s">
        <v>17</v>
      </c>
      <c r="E4843" s="33" t="s">
        <v>26</v>
      </c>
      <c r="F4843" s="33" t="s">
        <v>27</v>
      </c>
      <c r="G4843" s="33" t="s">
        <v>106</v>
      </c>
      <c r="H4843" s="35">
        <v>20</v>
      </c>
      <c r="I4843" s="33" t="s">
        <v>21</v>
      </c>
      <c r="J4843" s="42">
        <v>44482</v>
      </c>
      <c r="K4843" s="33" t="s">
        <v>22</v>
      </c>
    </row>
    <row r="4844" spans="1:11">
      <c r="A4844" s="30" t="s">
        <v>11512</v>
      </c>
      <c r="B4844" s="30" t="s">
        <v>11513</v>
      </c>
      <c r="C4844" s="30" t="s">
        <v>6576</v>
      </c>
      <c r="D4844" s="30" t="s">
        <v>17</v>
      </c>
      <c r="E4844" s="30" t="s">
        <v>31</v>
      </c>
      <c r="F4844" s="30" t="s">
        <v>32</v>
      </c>
      <c r="G4844" s="30" t="s">
        <v>112</v>
      </c>
      <c r="H4844" s="32">
        <v>0</v>
      </c>
      <c r="I4844" s="30" t="s">
        <v>21</v>
      </c>
      <c r="J4844" s="41">
        <v>44501</v>
      </c>
      <c r="K4844" s="30" t="s">
        <v>22</v>
      </c>
    </row>
    <row r="4845" spans="1:11">
      <c r="A4845" s="33" t="s">
        <v>11514</v>
      </c>
      <c r="B4845" s="33" t="s">
        <v>11515</v>
      </c>
      <c r="C4845" s="33" t="s">
        <v>102</v>
      </c>
      <c r="D4845" s="33" t="s">
        <v>17</v>
      </c>
      <c r="E4845" s="33" t="s">
        <v>18</v>
      </c>
      <c r="F4845" s="33" t="s">
        <v>19</v>
      </c>
      <c r="G4845" s="33" t="s">
        <v>140</v>
      </c>
      <c r="H4845" s="35">
        <v>199</v>
      </c>
      <c r="I4845" s="33" t="s">
        <v>51</v>
      </c>
      <c r="J4845" s="42">
        <v>44392</v>
      </c>
      <c r="K4845" s="33" t="s">
        <v>22</v>
      </c>
    </row>
    <row r="4846" spans="1:11">
      <c r="A4846" s="30" t="s">
        <v>11516</v>
      </c>
      <c r="B4846" s="30" t="s">
        <v>11517</v>
      </c>
      <c r="C4846" s="30" t="s">
        <v>190</v>
      </c>
      <c r="D4846" s="30" t="s">
        <v>17</v>
      </c>
      <c r="E4846" s="30" t="s">
        <v>26</v>
      </c>
      <c r="F4846" s="30" t="s">
        <v>27</v>
      </c>
      <c r="G4846" s="30" t="s">
        <v>106</v>
      </c>
      <c r="H4846" s="32">
        <v>5</v>
      </c>
      <c r="I4846" s="30" t="s">
        <v>21</v>
      </c>
      <c r="J4846" s="41">
        <v>44375</v>
      </c>
      <c r="K4846" s="30" t="s">
        <v>22</v>
      </c>
    </row>
    <row r="4847" spans="1:11">
      <c r="A4847" s="33" t="s">
        <v>11518</v>
      </c>
      <c r="B4847" s="33" t="s">
        <v>11519</v>
      </c>
      <c r="C4847" s="33" t="s">
        <v>96</v>
      </c>
      <c r="D4847" s="33" t="s">
        <v>17</v>
      </c>
      <c r="E4847" s="33" t="s">
        <v>26</v>
      </c>
      <c r="F4847" s="33" t="s">
        <v>27</v>
      </c>
      <c r="G4847" s="33" t="s">
        <v>20</v>
      </c>
      <c r="H4847" s="35">
        <v>18</v>
      </c>
      <c r="I4847" s="33" t="s">
        <v>21</v>
      </c>
      <c r="J4847" s="42">
        <v>44327</v>
      </c>
      <c r="K4847" s="33" t="s">
        <v>22</v>
      </c>
    </row>
    <row r="4848" spans="1:11">
      <c r="A4848" s="30" t="s">
        <v>11520</v>
      </c>
      <c r="B4848" s="30" t="s">
        <v>11521</v>
      </c>
      <c r="C4848" s="30" t="s">
        <v>379</v>
      </c>
      <c r="D4848" s="30" t="s">
        <v>17</v>
      </c>
      <c r="E4848" s="30" t="s">
        <v>45</v>
      </c>
      <c r="F4848" s="30" t="s">
        <v>46</v>
      </c>
      <c r="G4848" s="30" t="s">
        <v>140</v>
      </c>
      <c r="H4848" s="32">
        <v>568</v>
      </c>
      <c r="I4848" s="30" t="s">
        <v>51</v>
      </c>
      <c r="J4848" s="41">
        <v>44265</v>
      </c>
      <c r="K4848" s="30" t="s">
        <v>22</v>
      </c>
    </row>
    <row r="4849" spans="1:11">
      <c r="A4849" s="33" t="s">
        <v>11522</v>
      </c>
      <c r="B4849" s="33" t="s">
        <v>11523</v>
      </c>
      <c r="C4849" s="33" t="s">
        <v>190</v>
      </c>
      <c r="D4849" s="33" t="s">
        <v>17</v>
      </c>
      <c r="E4849" s="33" t="s">
        <v>26</v>
      </c>
      <c r="F4849" s="33" t="s">
        <v>27</v>
      </c>
      <c r="G4849" s="33" t="s">
        <v>20</v>
      </c>
      <c r="H4849" s="35">
        <v>56</v>
      </c>
      <c r="I4849" s="33" t="s">
        <v>21</v>
      </c>
      <c r="J4849" s="42">
        <v>44536</v>
      </c>
      <c r="K4849" s="33" t="s">
        <v>22</v>
      </c>
    </row>
    <row r="4850" spans="1:11">
      <c r="A4850" s="30" t="s">
        <v>11524</v>
      </c>
      <c r="B4850" s="30" t="s">
        <v>11525</v>
      </c>
      <c r="C4850" s="30" t="s">
        <v>4260</v>
      </c>
      <c r="D4850" s="30" t="s">
        <v>17</v>
      </c>
      <c r="E4850" s="30" t="s">
        <v>18</v>
      </c>
      <c r="F4850" s="30" t="s">
        <v>19</v>
      </c>
      <c r="G4850" s="30" t="s">
        <v>69</v>
      </c>
      <c r="H4850" s="32">
        <v>500</v>
      </c>
      <c r="I4850" s="30" t="s">
        <v>51</v>
      </c>
      <c r="J4850" s="41">
        <v>44409</v>
      </c>
      <c r="K4850" s="30" t="s">
        <v>22</v>
      </c>
    </row>
    <row r="4851" spans="1:11">
      <c r="A4851" s="33" t="s">
        <v>11526</v>
      </c>
      <c r="B4851" s="33" t="s">
        <v>11527</v>
      </c>
      <c r="C4851" s="33" t="s">
        <v>78</v>
      </c>
      <c r="D4851" s="33" t="s">
        <v>17</v>
      </c>
      <c r="E4851" s="33" t="s">
        <v>26</v>
      </c>
      <c r="F4851" s="33" t="s">
        <v>27</v>
      </c>
      <c r="G4851" s="33" t="s">
        <v>20</v>
      </c>
      <c r="H4851" s="35">
        <v>66</v>
      </c>
      <c r="I4851" s="33" t="s">
        <v>21</v>
      </c>
      <c r="J4851" s="42">
        <v>44213</v>
      </c>
      <c r="K4851" s="33" t="s">
        <v>22</v>
      </c>
    </row>
    <row r="4852" spans="1:11">
      <c r="A4852" s="30" t="s">
        <v>11528</v>
      </c>
      <c r="B4852" s="30" t="s">
        <v>11529</v>
      </c>
      <c r="C4852" s="30" t="s">
        <v>11530</v>
      </c>
      <c r="D4852" s="30" t="s">
        <v>17</v>
      </c>
      <c r="E4852" s="30" t="s">
        <v>31</v>
      </c>
      <c r="F4852" s="30" t="s">
        <v>32</v>
      </c>
      <c r="G4852" s="30" t="s">
        <v>20</v>
      </c>
      <c r="H4852" s="32">
        <v>120</v>
      </c>
      <c r="I4852" s="30" t="s">
        <v>21</v>
      </c>
      <c r="J4852" s="41">
        <v>44540</v>
      </c>
      <c r="K4852" s="30" t="s">
        <v>22</v>
      </c>
    </row>
    <row r="4853" spans="1:11">
      <c r="A4853" s="33" t="s">
        <v>11531</v>
      </c>
      <c r="B4853" s="33" t="s">
        <v>11532</v>
      </c>
      <c r="C4853" s="33" t="s">
        <v>109</v>
      </c>
      <c r="D4853" s="33" t="s">
        <v>17</v>
      </c>
      <c r="E4853" s="33" t="s">
        <v>26</v>
      </c>
      <c r="F4853" s="33" t="s">
        <v>27</v>
      </c>
      <c r="G4853" s="33" t="s">
        <v>106</v>
      </c>
      <c r="H4853" s="35">
        <v>64</v>
      </c>
      <c r="I4853" s="33" t="s">
        <v>21</v>
      </c>
      <c r="J4853" s="42">
        <v>44329</v>
      </c>
      <c r="K4853" s="33" t="s">
        <v>22</v>
      </c>
    </row>
    <row r="4854" spans="1:11">
      <c r="A4854" s="30" t="s">
        <v>11533</v>
      </c>
      <c r="B4854" s="30" t="s">
        <v>11534</v>
      </c>
      <c r="C4854" s="30" t="s">
        <v>7787</v>
      </c>
      <c r="D4854" s="30" t="s">
        <v>17</v>
      </c>
      <c r="E4854" s="30" t="s">
        <v>212</v>
      </c>
      <c r="F4854" s="30" t="s">
        <v>213</v>
      </c>
      <c r="G4854" s="30" t="s">
        <v>20</v>
      </c>
      <c r="H4854" s="32">
        <v>785</v>
      </c>
      <c r="I4854" s="30" t="s">
        <v>21</v>
      </c>
      <c r="J4854" s="41">
        <v>44495</v>
      </c>
      <c r="K4854" s="30" t="s">
        <v>22</v>
      </c>
    </row>
    <row r="4855" spans="1:11">
      <c r="A4855" s="33" t="s">
        <v>11535</v>
      </c>
      <c r="B4855" s="33" t="s">
        <v>11536</v>
      </c>
      <c r="C4855" s="33" t="s">
        <v>11537</v>
      </c>
      <c r="D4855" s="33" t="s">
        <v>17</v>
      </c>
      <c r="E4855" s="33" t="s">
        <v>26</v>
      </c>
      <c r="F4855" s="33" t="s">
        <v>27</v>
      </c>
      <c r="G4855" s="33" t="s">
        <v>20</v>
      </c>
      <c r="H4855" s="35">
        <v>6</v>
      </c>
      <c r="I4855" s="33" t="s">
        <v>21</v>
      </c>
      <c r="J4855" s="42">
        <v>44436</v>
      </c>
      <c r="K4855" s="33" t="s">
        <v>22</v>
      </c>
    </row>
    <row r="4856" spans="1:11">
      <c r="A4856" s="30" t="s">
        <v>11538</v>
      </c>
      <c r="B4856" s="30" t="s">
        <v>11539</v>
      </c>
      <c r="C4856" s="30" t="s">
        <v>231</v>
      </c>
      <c r="D4856" s="30" t="s">
        <v>17</v>
      </c>
      <c r="E4856" s="30" t="s">
        <v>31</v>
      </c>
      <c r="F4856" s="30" t="s">
        <v>32</v>
      </c>
      <c r="G4856" s="30" t="s">
        <v>20</v>
      </c>
      <c r="H4856" s="32">
        <v>318</v>
      </c>
      <c r="I4856" s="30" t="s">
        <v>21</v>
      </c>
      <c r="J4856" s="41">
        <v>44537</v>
      </c>
      <c r="K4856" s="30" t="s">
        <v>22</v>
      </c>
    </row>
    <row r="4857" spans="1:11">
      <c r="A4857" s="33" t="s">
        <v>11540</v>
      </c>
      <c r="B4857" s="33" t="s">
        <v>11541</v>
      </c>
      <c r="C4857" s="33" t="s">
        <v>11542</v>
      </c>
      <c r="D4857" s="33" t="s">
        <v>17</v>
      </c>
      <c r="E4857" s="33" t="s">
        <v>67</v>
      </c>
      <c r="F4857" s="33" t="s">
        <v>68</v>
      </c>
      <c r="G4857" s="33" t="s">
        <v>158</v>
      </c>
      <c r="H4857" s="35">
        <v>26</v>
      </c>
      <c r="I4857" s="33" t="s">
        <v>51</v>
      </c>
      <c r="J4857" s="42">
        <v>44272</v>
      </c>
      <c r="K4857" s="33" t="s">
        <v>22</v>
      </c>
    </row>
    <row r="4858" spans="1:11">
      <c r="A4858" s="30" t="s">
        <v>11543</v>
      </c>
      <c r="B4858" s="30" t="s">
        <v>11544</v>
      </c>
      <c r="C4858" s="30" t="s">
        <v>109</v>
      </c>
      <c r="D4858" s="30" t="s">
        <v>17</v>
      </c>
      <c r="E4858" s="30" t="s">
        <v>26</v>
      </c>
      <c r="F4858" s="30" t="s">
        <v>27</v>
      </c>
      <c r="G4858" s="30" t="s">
        <v>106</v>
      </c>
      <c r="H4858" s="32">
        <v>33</v>
      </c>
      <c r="I4858" s="30" t="s">
        <v>21</v>
      </c>
      <c r="J4858" s="41">
        <v>44365</v>
      </c>
      <c r="K4858" s="30" t="s">
        <v>22</v>
      </c>
    </row>
    <row r="4859" spans="1:11">
      <c r="A4859" s="33" t="s">
        <v>11545</v>
      </c>
      <c r="B4859" s="33" t="s">
        <v>11546</v>
      </c>
      <c r="C4859" s="33" t="s">
        <v>11547</v>
      </c>
      <c r="D4859" s="33" t="s">
        <v>17</v>
      </c>
      <c r="E4859" s="33" t="s">
        <v>31</v>
      </c>
      <c r="F4859" s="33" t="s">
        <v>32</v>
      </c>
      <c r="G4859" s="33" t="s">
        <v>106</v>
      </c>
      <c r="H4859" s="35">
        <v>1</v>
      </c>
      <c r="I4859" s="33" t="s">
        <v>21</v>
      </c>
      <c r="J4859" s="42">
        <v>44222</v>
      </c>
      <c r="K4859" s="33" t="s">
        <v>22</v>
      </c>
    </row>
    <row r="4860" spans="1:11">
      <c r="A4860" s="30" t="s">
        <v>11548</v>
      </c>
      <c r="B4860" s="30" t="s">
        <v>11549</v>
      </c>
      <c r="C4860" s="30" t="s">
        <v>96</v>
      </c>
      <c r="D4860" s="30" t="s">
        <v>17</v>
      </c>
      <c r="E4860" s="30" t="s">
        <v>26</v>
      </c>
      <c r="F4860" s="30" t="s">
        <v>27</v>
      </c>
      <c r="G4860" s="30" t="s">
        <v>20</v>
      </c>
      <c r="H4860" s="32">
        <v>12</v>
      </c>
      <c r="I4860" s="30" t="s">
        <v>21</v>
      </c>
      <c r="J4860" s="41">
        <v>44519</v>
      </c>
      <c r="K4860" s="30" t="s">
        <v>22</v>
      </c>
    </row>
    <row r="4861" spans="1:11">
      <c r="A4861" s="33" t="s">
        <v>11550</v>
      </c>
      <c r="B4861" s="33" t="s">
        <v>11551</v>
      </c>
      <c r="C4861" s="33" t="s">
        <v>318</v>
      </c>
      <c r="D4861" s="33" t="s">
        <v>17</v>
      </c>
      <c r="E4861" s="33" t="s">
        <v>26</v>
      </c>
      <c r="F4861" s="33" t="s">
        <v>27</v>
      </c>
      <c r="G4861" s="33" t="s">
        <v>106</v>
      </c>
      <c r="H4861" s="35">
        <v>42</v>
      </c>
      <c r="I4861" s="33" t="s">
        <v>21</v>
      </c>
      <c r="J4861" s="42">
        <v>44315</v>
      </c>
      <c r="K4861" s="33" t="s">
        <v>22</v>
      </c>
    </row>
    <row r="4862" spans="1:11">
      <c r="A4862" s="30" t="s">
        <v>11552</v>
      </c>
      <c r="B4862" s="30" t="s">
        <v>11553</v>
      </c>
      <c r="C4862" s="30" t="s">
        <v>3459</v>
      </c>
      <c r="D4862" s="30" t="s">
        <v>17</v>
      </c>
      <c r="E4862" s="30" t="s">
        <v>45</v>
      </c>
      <c r="F4862" s="30" t="s">
        <v>46</v>
      </c>
      <c r="G4862" s="30" t="s">
        <v>112</v>
      </c>
      <c r="H4862" s="32">
        <v>0</v>
      </c>
      <c r="I4862" s="30" t="s">
        <v>21</v>
      </c>
      <c r="J4862" s="41">
        <v>44531</v>
      </c>
      <c r="K4862" s="30" t="s">
        <v>22</v>
      </c>
    </row>
    <row r="4863" spans="1:11">
      <c r="A4863" s="33" t="s">
        <v>11554</v>
      </c>
      <c r="B4863" s="33" t="s">
        <v>11555</v>
      </c>
      <c r="C4863" s="33" t="s">
        <v>407</v>
      </c>
      <c r="D4863" s="33" t="s">
        <v>17</v>
      </c>
      <c r="E4863" s="33" t="s">
        <v>212</v>
      </c>
      <c r="F4863" s="33" t="s">
        <v>213</v>
      </c>
      <c r="G4863" s="33" t="s">
        <v>20</v>
      </c>
      <c r="H4863" s="35">
        <v>104</v>
      </c>
      <c r="I4863" s="33" t="s">
        <v>21</v>
      </c>
      <c r="J4863" s="42">
        <v>44490</v>
      </c>
      <c r="K4863" s="33" t="s">
        <v>22</v>
      </c>
    </row>
    <row r="4864" spans="1:11">
      <c r="A4864" s="30" t="s">
        <v>11556</v>
      </c>
      <c r="B4864" s="30" t="s">
        <v>11557</v>
      </c>
      <c r="C4864" s="30" t="s">
        <v>8410</v>
      </c>
      <c r="D4864" s="30" t="s">
        <v>17</v>
      </c>
      <c r="E4864" s="30" t="s">
        <v>26</v>
      </c>
      <c r="F4864" s="30" t="s">
        <v>27</v>
      </c>
      <c r="G4864" s="30" t="s">
        <v>20</v>
      </c>
      <c r="H4864" s="32">
        <v>56</v>
      </c>
      <c r="I4864" s="30" t="s">
        <v>21</v>
      </c>
      <c r="J4864" s="41">
        <v>44242</v>
      </c>
      <c r="K4864" s="30" t="s">
        <v>22</v>
      </c>
    </row>
    <row r="4865" spans="1:11">
      <c r="A4865" s="33" t="s">
        <v>11558</v>
      </c>
      <c r="B4865" s="33" t="s">
        <v>11559</v>
      </c>
      <c r="C4865" s="33" t="s">
        <v>136</v>
      </c>
      <c r="D4865" s="33" t="s">
        <v>17</v>
      </c>
      <c r="E4865" s="33" t="s">
        <v>26</v>
      </c>
      <c r="F4865" s="33" t="s">
        <v>27</v>
      </c>
      <c r="G4865" s="33" t="s">
        <v>20</v>
      </c>
      <c r="H4865" s="35">
        <v>21</v>
      </c>
      <c r="I4865" s="33" t="s">
        <v>21</v>
      </c>
      <c r="J4865" s="42">
        <v>44404</v>
      </c>
      <c r="K4865" s="33" t="s">
        <v>22</v>
      </c>
    </row>
    <row r="4866" spans="1:11">
      <c r="A4866" s="30" t="s">
        <v>11560</v>
      </c>
      <c r="B4866" s="30" t="s">
        <v>11561</v>
      </c>
      <c r="C4866" s="30" t="s">
        <v>925</v>
      </c>
      <c r="D4866" s="30" t="s">
        <v>17</v>
      </c>
      <c r="E4866" s="30" t="s">
        <v>31</v>
      </c>
      <c r="F4866" s="30" t="s">
        <v>32</v>
      </c>
      <c r="G4866" s="30" t="s">
        <v>158</v>
      </c>
      <c r="H4866" s="32">
        <v>53</v>
      </c>
      <c r="I4866" s="30" t="s">
        <v>21</v>
      </c>
      <c r="J4866" s="41">
        <v>44481</v>
      </c>
      <c r="K4866" s="30" t="s">
        <v>22</v>
      </c>
    </row>
    <row r="4867" spans="1:11">
      <c r="A4867" s="33" t="s">
        <v>11562</v>
      </c>
      <c r="B4867" s="33" t="s">
        <v>11563</v>
      </c>
      <c r="C4867" s="33" t="s">
        <v>190</v>
      </c>
      <c r="D4867" s="33" t="s">
        <v>17</v>
      </c>
      <c r="E4867" s="33" t="s">
        <v>67</v>
      </c>
      <c r="F4867" s="33" t="s">
        <v>68</v>
      </c>
      <c r="G4867" s="33" t="s">
        <v>20</v>
      </c>
      <c r="H4867" s="35">
        <v>87</v>
      </c>
      <c r="I4867" s="33" t="s">
        <v>21</v>
      </c>
      <c r="J4867" s="42">
        <v>44216</v>
      </c>
      <c r="K4867" s="33" t="s">
        <v>22</v>
      </c>
    </row>
    <row r="4868" spans="1:11">
      <c r="A4868" s="30" t="s">
        <v>11564</v>
      </c>
      <c r="B4868" s="30" t="s">
        <v>11565</v>
      </c>
      <c r="C4868" s="30" t="s">
        <v>1267</v>
      </c>
      <c r="D4868" s="30" t="s">
        <v>17</v>
      </c>
      <c r="E4868" s="30" t="s">
        <v>26</v>
      </c>
      <c r="F4868" s="30" t="s">
        <v>27</v>
      </c>
      <c r="G4868" s="30" t="s">
        <v>20</v>
      </c>
      <c r="H4868" s="32">
        <v>70</v>
      </c>
      <c r="I4868" s="30" t="s">
        <v>21</v>
      </c>
      <c r="J4868" s="41">
        <v>44509</v>
      </c>
      <c r="K4868" s="30" t="s">
        <v>22</v>
      </c>
    </row>
    <row r="4869" spans="1:11">
      <c r="A4869" s="33" t="s">
        <v>11566</v>
      </c>
      <c r="B4869" s="33" t="s">
        <v>11567</v>
      </c>
      <c r="C4869" s="33" t="s">
        <v>2812</v>
      </c>
      <c r="D4869" s="33" t="s">
        <v>17</v>
      </c>
      <c r="E4869" s="33" t="s">
        <v>18</v>
      </c>
      <c r="F4869" s="33" t="s">
        <v>19</v>
      </c>
      <c r="G4869" s="33" t="s">
        <v>20</v>
      </c>
      <c r="H4869" s="35">
        <v>68</v>
      </c>
      <c r="I4869" s="33" t="s">
        <v>21</v>
      </c>
      <c r="J4869" s="42">
        <v>44489</v>
      </c>
      <c r="K4869" s="33" t="s">
        <v>22</v>
      </c>
    </row>
    <row r="4870" spans="1:11">
      <c r="A4870" s="30" t="s">
        <v>11568</v>
      </c>
      <c r="B4870" s="30" t="s">
        <v>11569</v>
      </c>
      <c r="C4870" s="30" t="s">
        <v>187</v>
      </c>
      <c r="D4870" s="30" t="s">
        <v>17</v>
      </c>
      <c r="E4870" s="30" t="s">
        <v>18</v>
      </c>
      <c r="F4870" s="30" t="s">
        <v>19</v>
      </c>
      <c r="G4870" s="30" t="s">
        <v>50</v>
      </c>
      <c r="H4870" s="32">
        <v>392</v>
      </c>
      <c r="I4870" s="30" t="s">
        <v>51</v>
      </c>
      <c r="J4870" s="41">
        <v>44231</v>
      </c>
      <c r="K4870" s="30" t="s">
        <v>22</v>
      </c>
    </row>
    <row r="4871" spans="1:11">
      <c r="A4871" s="33" t="s">
        <v>11570</v>
      </c>
      <c r="B4871" s="33" t="s">
        <v>11571</v>
      </c>
      <c r="C4871" s="33" t="s">
        <v>222</v>
      </c>
      <c r="D4871" s="33" t="s">
        <v>17</v>
      </c>
      <c r="E4871" s="33" t="s">
        <v>26</v>
      </c>
      <c r="F4871" s="33" t="s">
        <v>27</v>
      </c>
      <c r="G4871" s="33" t="s">
        <v>20</v>
      </c>
      <c r="H4871" s="35">
        <v>8</v>
      </c>
      <c r="I4871" s="33" t="s">
        <v>21</v>
      </c>
      <c r="J4871" s="42">
        <v>44312</v>
      </c>
      <c r="K4871" s="33" t="s">
        <v>22</v>
      </c>
    </row>
    <row r="4872" spans="1:11">
      <c r="A4872" s="30" t="s">
        <v>11572</v>
      </c>
      <c r="B4872" s="30" t="s">
        <v>11573</v>
      </c>
      <c r="C4872" s="30" t="s">
        <v>1287</v>
      </c>
      <c r="D4872" s="30" t="s">
        <v>17</v>
      </c>
      <c r="E4872" s="30" t="s">
        <v>31</v>
      </c>
      <c r="F4872" s="30" t="s">
        <v>32</v>
      </c>
      <c r="G4872" s="30" t="s">
        <v>20</v>
      </c>
      <c r="H4872" s="32">
        <v>20</v>
      </c>
      <c r="I4872" s="30" t="s">
        <v>21</v>
      </c>
      <c r="J4872" s="41">
        <v>44229</v>
      </c>
      <c r="K4872" s="30" t="s">
        <v>22</v>
      </c>
    </row>
    <row r="4873" spans="1:11">
      <c r="A4873" s="33" t="s">
        <v>11574</v>
      </c>
      <c r="B4873" s="33" t="s">
        <v>11575</v>
      </c>
      <c r="C4873" s="33" t="s">
        <v>11576</v>
      </c>
      <c r="D4873" s="33" t="s">
        <v>17</v>
      </c>
      <c r="E4873" s="33" t="s">
        <v>26</v>
      </c>
      <c r="F4873" s="33" t="s">
        <v>27</v>
      </c>
      <c r="G4873" s="33" t="s">
        <v>20</v>
      </c>
      <c r="H4873" s="35">
        <v>72</v>
      </c>
      <c r="I4873" s="33" t="s">
        <v>21</v>
      </c>
      <c r="J4873" s="42">
        <v>44275</v>
      </c>
      <c r="K4873" s="33" t="s">
        <v>22</v>
      </c>
    </row>
    <row r="4874" spans="1:11">
      <c r="A4874" s="30" t="s">
        <v>11577</v>
      </c>
      <c r="B4874" s="30" t="s">
        <v>11578</v>
      </c>
      <c r="C4874" s="30" t="s">
        <v>300</v>
      </c>
      <c r="D4874" s="30" t="s">
        <v>17</v>
      </c>
      <c r="E4874" s="30" t="s">
        <v>31</v>
      </c>
      <c r="F4874" s="30" t="s">
        <v>32</v>
      </c>
      <c r="G4874" s="30" t="s">
        <v>20</v>
      </c>
      <c r="H4874" s="32">
        <v>249</v>
      </c>
      <c r="I4874" s="30" t="s">
        <v>21</v>
      </c>
      <c r="J4874" s="41">
        <v>44537</v>
      </c>
      <c r="K4874" s="30" t="s">
        <v>22</v>
      </c>
    </row>
    <row r="4875" spans="1:11">
      <c r="A4875" s="33" t="s">
        <v>11579</v>
      </c>
      <c r="B4875" s="33" t="s">
        <v>11580</v>
      </c>
      <c r="C4875" s="33" t="s">
        <v>362</v>
      </c>
      <c r="D4875" s="33" t="s">
        <v>17</v>
      </c>
      <c r="E4875" s="33" t="s">
        <v>26</v>
      </c>
      <c r="F4875" s="33" t="s">
        <v>27</v>
      </c>
      <c r="G4875" s="33" t="s">
        <v>20</v>
      </c>
      <c r="H4875" s="35">
        <v>58</v>
      </c>
      <c r="I4875" s="33" t="s">
        <v>21</v>
      </c>
      <c r="J4875" s="42">
        <v>44396</v>
      </c>
      <c r="K4875" s="33" t="s">
        <v>22</v>
      </c>
    </row>
    <row r="4876" spans="1:11">
      <c r="A4876" s="30" t="s">
        <v>11581</v>
      </c>
      <c r="B4876" s="30" t="s">
        <v>11582</v>
      </c>
      <c r="C4876" s="30" t="s">
        <v>795</v>
      </c>
      <c r="D4876" s="30" t="s">
        <v>17</v>
      </c>
      <c r="E4876" s="30" t="s">
        <v>18</v>
      </c>
      <c r="F4876" s="30" t="s">
        <v>19</v>
      </c>
      <c r="G4876" s="30" t="s">
        <v>158</v>
      </c>
      <c r="H4876" s="32">
        <v>483</v>
      </c>
      <c r="I4876" s="30" t="s">
        <v>21</v>
      </c>
      <c r="J4876" s="41">
        <v>44209</v>
      </c>
      <c r="K4876" s="30" t="s">
        <v>22</v>
      </c>
    </row>
    <row r="4877" spans="1:11">
      <c r="A4877" s="33" t="s">
        <v>11583</v>
      </c>
      <c r="B4877" s="33" t="s">
        <v>11584</v>
      </c>
      <c r="C4877" s="33" t="s">
        <v>5811</v>
      </c>
      <c r="D4877" s="33" t="s">
        <v>17</v>
      </c>
      <c r="E4877" s="33" t="s">
        <v>18</v>
      </c>
      <c r="F4877" s="33" t="s">
        <v>19</v>
      </c>
      <c r="G4877" s="33" t="s">
        <v>20</v>
      </c>
      <c r="H4877" s="35">
        <v>553</v>
      </c>
      <c r="I4877" s="33" t="s">
        <v>21</v>
      </c>
      <c r="J4877" s="42">
        <v>44363</v>
      </c>
      <c r="K4877" s="33" t="s">
        <v>22</v>
      </c>
    </row>
    <row r="4878" spans="1:11">
      <c r="A4878" s="30" t="s">
        <v>11585</v>
      </c>
      <c r="B4878" s="30" t="s">
        <v>11586</v>
      </c>
      <c r="C4878" s="30" t="s">
        <v>157</v>
      </c>
      <c r="D4878" s="30" t="s">
        <v>17</v>
      </c>
      <c r="E4878" s="30" t="s">
        <v>26</v>
      </c>
      <c r="F4878" s="30" t="s">
        <v>27</v>
      </c>
      <c r="G4878" s="30" t="s">
        <v>20</v>
      </c>
      <c r="H4878" s="32">
        <v>24</v>
      </c>
      <c r="I4878" s="30" t="s">
        <v>21</v>
      </c>
      <c r="J4878" s="41">
        <v>44481</v>
      </c>
      <c r="K4878" s="30" t="s">
        <v>22</v>
      </c>
    </row>
    <row r="4879" spans="1:11">
      <c r="A4879" s="33" t="s">
        <v>11587</v>
      </c>
      <c r="B4879" s="33" t="s">
        <v>11588</v>
      </c>
      <c r="C4879" s="33" t="s">
        <v>715</v>
      </c>
      <c r="D4879" s="33" t="s">
        <v>17</v>
      </c>
      <c r="E4879" s="33" t="s">
        <v>67</v>
      </c>
      <c r="F4879" s="33" t="s">
        <v>68</v>
      </c>
      <c r="G4879" s="33" t="s">
        <v>20</v>
      </c>
      <c r="H4879" s="35">
        <v>24</v>
      </c>
      <c r="I4879" s="33" t="s">
        <v>21</v>
      </c>
      <c r="J4879" s="42">
        <v>44511</v>
      </c>
      <c r="K4879" s="33" t="s">
        <v>22</v>
      </c>
    </row>
    <row r="4880" spans="1:11">
      <c r="A4880" s="30" t="s">
        <v>11589</v>
      </c>
      <c r="B4880" s="30" t="s">
        <v>11590</v>
      </c>
      <c r="C4880" s="30" t="s">
        <v>178</v>
      </c>
      <c r="D4880" s="30" t="s">
        <v>17</v>
      </c>
      <c r="E4880" s="30" t="s">
        <v>18</v>
      </c>
      <c r="F4880" s="30" t="s">
        <v>19</v>
      </c>
      <c r="G4880" s="30" t="s">
        <v>158</v>
      </c>
      <c r="H4880" s="32">
        <v>1188</v>
      </c>
      <c r="I4880" s="30" t="s">
        <v>21</v>
      </c>
      <c r="J4880" s="41">
        <v>44320</v>
      </c>
      <c r="K4880" s="30" t="s">
        <v>22</v>
      </c>
    </row>
    <row r="4881" spans="1:11">
      <c r="A4881" s="33" t="s">
        <v>11591</v>
      </c>
      <c r="B4881" s="33" t="s">
        <v>11592</v>
      </c>
      <c r="C4881" s="33" t="s">
        <v>136</v>
      </c>
      <c r="D4881" s="33" t="s">
        <v>17</v>
      </c>
      <c r="E4881" s="33" t="s">
        <v>26</v>
      </c>
      <c r="F4881" s="33" t="s">
        <v>27</v>
      </c>
      <c r="G4881" s="33" t="s">
        <v>20</v>
      </c>
      <c r="H4881" s="35">
        <v>20</v>
      </c>
      <c r="I4881" s="33" t="s">
        <v>21</v>
      </c>
      <c r="J4881" s="42">
        <v>44200</v>
      </c>
      <c r="K4881" s="33" t="s">
        <v>22</v>
      </c>
    </row>
    <row r="4882" spans="1:11">
      <c r="A4882" s="30" t="s">
        <v>11593</v>
      </c>
      <c r="B4882" s="30" t="s">
        <v>11594</v>
      </c>
      <c r="C4882" s="30" t="s">
        <v>969</v>
      </c>
      <c r="D4882" s="30" t="s">
        <v>17</v>
      </c>
      <c r="E4882" s="30" t="s">
        <v>67</v>
      </c>
      <c r="F4882" s="30" t="s">
        <v>68</v>
      </c>
      <c r="G4882" s="30" t="s">
        <v>20</v>
      </c>
      <c r="H4882" s="32">
        <v>1440</v>
      </c>
      <c r="I4882" s="30" t="s">
        <v>21</v>
      </c>
      <c r="J4882" s="41">
        <v>44361</v>
      </c>
      <c r="K4882" s="30" t="s">
        <v>22</v>
      </c>
    </row>
    <row r="4883" spans="1:11">
      <c r="A4883" s="33" t="s">
        <v>11595</v>
      </c>
      <c r="B4883" s="33" t="s">
        <v>11596</v>
      </c>
      <c r="C4883" s="33" t="s">
        <v>10885</v>
      </c>
      <c r="D4883" s="33" t="s">
        <v>17</v>
      </c>
      <c r="E4883" s="33" t="s">
        <v>26</v>
      </c>
      <c r="F4883" s="33" t="s">
        <v>27</v>
      </c>
      <c r="G4883" s="33" t="s">
        <v>50</v>
      </c>
      <c r="H4883" s="35">
        <v>48</v>
      </c>
      <c r="I4883" s="33" t="s">
        <v>51</v>
      </c>
      <c r="J4883" s="42">
        <v>44333</v>
      </c>
      <c r="K4883" s="33" t="s">
        <v>22</v>
      </c>
    </row>
    <row r="4884" spans="1:11">
      <c r="A4884" s="30" t="s">
        <v>11597</v>
      </c>
      <c r="B4884" s="30" t="s">
        <v>11598</v>
      </c>
      <c r="C4884" s="30" t="s">
        <v>11599</v>
      </c>
      <c r="D4884" s="30" t="s">
        <v>17</v>
      </c>
      <c r="E4884" s="30" t="s">
        <v>45</v>
      </c>
      <c r="F4884" s="30" t="s">
        <v>46</v>
      </c>
      <c r="G4884" s="30" t="s">
        <v>20</v>
      </c>
      <c r="H4884" s="32">
        <v>72</v>
      </c>
      <c r="I4884" s="30" t="s">
        <v>21</v>
      </c>
      <c r="J4884" s="41">
        <v>44529</v>
      </c>
      <c r="K4884" s="30" t="s">
        <v>22</v>
      </c>
    </row>
    <row r="4885" spans="1:11">
      <c r="A4885" s="33" t="s">
        <v>11600</v>
      </c>
      <c r="B4885" s="33" t="s">
        <v>11601</v>
      </c>
      <c r="C4885" s="33" t="s">
        <v>1191</v>
      </c>
      <c r="D4885" s="33" t="s">
        <v>17</v>
      </c>
      <c r="E4885" s="33" t="s">
        <v>212</v>
      </c>
      <c r="F4885" s="33" t="s">
        <v>213</v>
      </c>
      <c r="G4885" s="33" t="s">
        <v>50</v>
      </c>
      <c r="H4885" s="35">
        <v>400</v>
      </c>
      <c r="I4885" s="33" t="s">
        <v>51</v>
      </c>
      <c r="J4885" s="42">
        <v>44477</v>
      </c>
      <c r="K4885" s="33" t="s">
        <v>22</v>
      </c>
    </row>
    <row r="4886" spans="1:11">
      <c r="A4886" s="30" t="s">
        <v>11602</v>
      </c>
      <c r="B4886" s="30" t="s">
        <v>11603</v>
      </c>
      <c r="C4886" s="30" t="s">
        <v>136</v>
      </c>
      <c r="D4886" s="30" t="s">
        <v>17</v>
      </c>
      <c r="E4886" s="30" t="s">
        <v>26</v>
      </c>
      <c r="F4886" s="30" t="s">
        <v>27</v>
      </c>
      <c r="G4886" s="30" t="s">
        <v>20</v>
      </c>
      <c r="H4886" s="32">
        <v>242</v>
      </c>
      <c r="I4886" s="30" t="s">
        <v>21</v>
      </c>
      <c r="J4886" s="41">
        <v>44349</v>
      </c>
      <c r="K4886" s="30" t="s">
        <v>22</v>
      </c>
    </row>
    <row r="4887" spans="1:11">
      <c r="A4887" s="33" t="s">
        <v>11604</v>
      </c>
      <c r="B4887" s="33" t="s">
        <v>11605</v>
      </c>
      <c r="C4887" s="33" t="s">
        <v>11606</v>
      </c>
      <c r="D4887" s="33" t="s">
        <v>17</v>
      </c>
      <c r="E4887" s="33" t="s">
        <v>18</v>
      </c>
      <c r="F4887" s="33" t="s">
        <v>19</v>
      </c>
      <c r="G4887" s="33" t="s">
        <v>158</v>
      </c>
      <c r="H4887" s="35">
        <v>450</v>
      </c>
      <c r="I4887" s="33" t="s">
        <v>51</v>
      </c>
      <c r="J4887" s="42">
        <v>44225</v>
      </c>
      <c r="K4887" s="33" t="s">
        <v>22</v>
      </c>
    </row>
    <row r="4888" spans="1:11">
      <c r="A4888" s="30" t="s">
        <v>11607</v>
      </c>
      <c r="B4888" s="30" t="s">
        <v>11608</v>
      </c>
      <c r="C4888" s="30" t="s">
        <v>11609</v>
      </c>
      <c r="D4888" s="30" t="s">
        <v>17</v>
      </c>
      <c r="E4888" s="30" t="s">
        <v>26</v>
      </c>
      <c r="F4888" s="30" t="s">
        <v>27</v>
      </c>
      <c r="G4888" s="30" t="s">
        <v>20</v>
      </c>
      <c r="H4888" s="32">
        <v>81</v>
      </c>
      <c r="I4888" s="30" t="s">
        <v>21</v>
      </c>
      <c r="J4888" s="41">
        <v>44199</v>
      </c>
      <c r="K4888" s="30" t="s">
        <v>22</v>
      </c>
    </row>
    <row r="4889" spans="1:11">
      <c r="A4889" s="33" t="s">
        <v>11610</v>
      </c>
      <c r="B4889" s="33" t="s">
        <v>11611</v>
      </c>
      <c r="C4889" s="33" t="s">
        <v>2472</v>
      </c>
      <c r="D4889" s="33" t="s">
        <v>17</v>
      </c>
      <c r="E4889" s="33" t="s">
        <v>67</v>
      </c>
      <c r="F4889" s="33" t="s">
        <v>68</v>
      </c>
      <c r="G4889" s="33" t="s">
        <v>140</v>
      </c>
      <c r="H4889" s="35">
        <v>50</v>
      </c>
      <c r="I4889" s="33" t="s">
        <v>51</v>
      </c>
      <c r="J4889" s="42">
        <v>44509</v>
      </c>
      <c r="K4889" s="33" t="s">
        <v>22</v>
      </c>
    </row>
    <row r="4890" spans="1:11">
      <c r="A4890" s="30" t="s">
        <v>11612</v>
      </c>
      <c r="B4890" s="30" t="s">
        <v>11613</v>
      </c>
      <c r="C4890" s="30" t="s">
        <v>10359</v>
      </c>
      <c r="D4890" s="30" t="s">
        <v>17</v>
      </c>
      <c r="E4890" s="30" t="s">
        <v>26</v>
      </c>
      <c r="F4890" s="30" t="s">
        <v>27</v>
      </c>
      <c r="G4890" s="30" t="s">
        <v>20</v>
      </c>
      <c r="H4890" s="32">
        <v>13</v>
      </c>
      <c r="I4890" s="30" t="s">
        <v>21</v>
      </c>
      <c r="J4890" s="41">
        <v>44461</v>
      </c>
      <c r="K4890" s="30" t="s">
        <v>22</v>
      </c>
    </row>
    <row r="4891" spans="1:11">
      <c r="A4891" s="33" t="s">
        <v>11614</v>
      </c>
      <c r="B4891" s="33" t="s">
        <v>11615</v>
      </c>
      <c r="C4891" s="33" t="s">
        <v>11616</v>
      </c>
      <c r="D4891" s="33" t="s">
        <v>17</v>
      </c>
      <c r="E4891" s="33" t="s">
        <v>31</v>
      </c>
      <c r="F4891" s="33" t="s">
        <v>32</v>
      </c>
      <c r="G4891" s="33" t="s">
        <v>140</v>
      </c>
      <c r="H4891" s="35">
        <v>110</v>
      </c>
      <c r="I4891" s="33" t="s">
        <v>51</v>
      </c>
      <c r="J4891" s="42">
        <v>44336</v>
      </c>
      <c r="K4891" s="33" t="s">
        <v>22</v>
      </c>
    </row>
    <row r="4892" spans="1:11">
      <c r="A4892" s="30" t="s">
        <v>11617</v>
      </c>
      <c r="B4892" s="30" t="s">
        <v>11618</v>
      </c>
      <c r="C4892" s="30" t="s">
        <v>4453</v>
      </c>
      <c r="D4892" s="30" t="s">
        <v>17</v>
      </c>
      <c r="E4892" s="30" t="s">
        <v>26</v>
      </c>
      <c r="F4892" s="30" t="s">
        <v>27</v>
      </c>
      <c r="G4892" s="30" t="s">
        <v>20</v>
      </c>
      <c r="H4892" s="32">
        <v>6</v>
      </c>
      <c r="I4892" s="30" t="s">
        <v>21</v>
      </c>
      <c r="J4892" s="41">
        <v>44443</v>
      </c>
      <c r="K4892" s="30" t="s">
        <v>22</v>
      </c>
    </row>
    <row r="4893" spans="1:11">
      <c r="A4893" s="33" t="s">
        <v>11619</v>
      </c>
      <c r="B4893" s="33" t="s">
        <v>11620</v>
      </c>
      <c r="C4893" s="33" t="s">
        <v>190</v>
      </c>
      <c r="D4893" s="33" t="s">
        <v>17</v>
      </c>
      <c r="E4893" s="33" t="s">
        <v>26</v>
      </c>
      <c r="F4893" s="33" t="s">
        <v>27</v>
      </c>
      <c r="G4893" s="33" t="s">
        <v>106</v>
      </c>
      <c r="H4893" s="35">
        <v>2</v>
      </c>
      <c r="I4893" s="33" t="s">
        <v>21</v>
      </c>
      <c r="J4893" s="42">
        <v>44470</v>
      </c>
      <c r="K4893" s="33" t="s">
        <v>22</v>
      </c>
    </row>
    <row r="4894" spans="1:11">
      <c r="A4894" s="30" t="s">
        <v>11621</v>
      </c>
      <c r="B4894" s="30" t="s">
        <v>11622</v>
      </c>
      <c r="C4894" s="30" t="s">
        <v>11623</v>
      </c>
      <c r="D4894" s="30" t="s">
        <v>17</v>
      </c>
      <c r="E4894" s="30" t="s">
        <v>31</v>
      </c>
      <c r="F4894" s="30" t="s">
        <v>32</v>
      </c>
      <c r="G4894" s="30" t="s">
        <v>106</v>
      </c>
      <c r="H4894" s="32">
        <v>18</v>
      </c>
      <c r="I4894" s="30" t="s">
        <v>21</v>
      </c>
      <c r="J4894" s="41">
        <v>44377</v>
      </c>
      <c r="K4894" s="30" t="s">
        <v>22</v>
      </c>
    </row>
    <row r="4895" spans="1:11">
      <c r="A4895" s="33" t="s">
        <v>11624</v>
      </c>
      <c r="B4895" s="33" t="s">
        <v>11625</v>
      </c>
      <c r="C4895" s="33" t="s">
        <v>11626</v>
      </c>
      <c r="D4895" s="33" t="s">
        <v>17</v>
      </c>
      <c r="E4895" s="33" t="s">
        <v>26</v>
      </c>
      <c r="F4895" s="33" t="s">
        <v>27</v>
      </c>
      <c r="G4895" s="33" t="s">
        <v>112</v>
      </c>
      <c r="H4895" s="35">
        <v>0</v>
      </c>
      <c r="I4895" s="33" t="s">
        <v>21</v>
      </c>
      <c r="J4895" s="42">
        <v>44287</v>
      </c>
      <c r="K4895" s="33" t="s">
        <v>22</v>
      </c>
    </row>
    <row r="4896" spans="1:11">
      <c r="A4896" s="30" t="s">
        <v>11627</v>
      </c>
      <c r="B4896" s="30" t="s">
        <v>11628</v>
      </c>
      <c r="C4896" s="30" t="s">
        <v>7588</v>
      </c>
      <c r="D4896" s="30" t="s">
        <v>17</v>
      </c>
      <c r="E4896" s="30" t="s">
        <v>18</v>
      </c>
      <c r="F4896" s="30" t="s">
        <v>19</v>
      </c>
      <c r="G4896" s="30" t="s">
        <v>20</v>
      </c>
      <c r="H4896" s="32">
        <v>3258</v>
      </c>
      <c r="I4896" s="30" t="s">
        <v>21</v>
      </c>
      <c r="J4896" s="41">
        <v>44468</v>
      </c>
      <c r="K4896" s="30" t="s">
        <v>22</v>
      </c>
    </row>
    <row r="4897" spans="1:11">
      <c r="A4897" s="33" t="s">
        <v>11629</v>
      </c>
      <c r="B4897" s="33" t="s">
        <v>11630</v>
      </c>
      <c r="C4897" s="33" t="s">
        <v>118</v>
      </c>
      <c r="D4897" s="33" t="s">
        <v>17</v>
      </c>
      <c r="E4897" s="33" t="s">
        <v>18</v>
      </c>
      <c r="F4897" s="33" t="s">
        <v>19</v>
      </c>
      <c r="G4897" s="33" t="s">
        <v>20</v>
      </c>
      <c r="H4897" s="35">
        <v>396</v>
      </c>
      <c r="I4897" s="33" t="s">
        <v>21</v>
      </c>
      <c r="J4897" s="42">
        <v>44435</v>
      </c>
      <c r="K4897" s="33" t="s">
        <v>22</v>
      </c>
    </row>
    <row r="4898" spans="1:11">
      <c r="A4898" s="30" t="s">
        <v>11631</v>
      </c>
      <c r="B4898" s="30" t="s">
        <v>11632</v>
      </c>
      <c r="C4898" s="30" t="s">
        <v>11633</v>
      </c>
      <c r="D4898" s="30" t="s">
        <v>17</v>
      </c>
      <c r="E4898" s="30" t="s">
        <v>67</v>
      </c>
      <c r="F4898" s="30" t="s">
        <v>68</v>
      </c>
      <c r="G4898" s="30" t="s">
        <v>112</v>
      </c>
      <c r="H4898" s="32">
        <v>0</v>
      </c>
      <c r="I4898" s="30" t="s">
        <v>21</v>
      </c>
      <c r="J4898" s="41">
        <v>44479</v>
      </c>
      <c r="K4898" s="30" t="s">
        <v>22</v>
      </c>
    </row>
    <row r="4899" spans="1:11">
      <c r="A4899" s="33" t="s">
        <v>11634</v>
      </c>
      <c r="B4899" s="33" t="s">
        <v>11635</v>
      </c>
      <c r="C4899" s="33" t="s">
        <v>78</v>
      </c>
      <c r="D4899" s="33" t="s">
        <v>17</v>
      </c>
      <c r="E4899" s="33" t="s">
        <v>26</v>
      </c>
      <c r="F4899" s="33" t="s">
        <v>27</v>
      </c>
      <c r="G4899" s="33" t="s">
        <v>50</v>
      </c>
      <c r="H4899" s="35">
        <v>26</v>
      </c>
      <c r="I4899" s="33" t="s">
        <v>51</v>
      </c>
      <c r="J4899" s="42">
        <v>44245</v>
      </c>
      <c r="K4899" s="33" t="s">
        <v>22</v>
      </c>
    </row>
    <row r="4900" spans="1:11">
      <c r="A4900" s="30" t="s">
        <v>11636</v>
      </c>
      <c r="B4900" s="30" t="s">
        <v>11637</v>
      </c>
      <c r="C4900" s="30" t="s">
        <v>11638</v>
      </c>
      <c r="D4900" s="30" t="s">
        <v>17</v>
      </c>
      <c r="E4900" s="30" t="s">
        <v>26</v>
      </c>
      <c r="F4900" s="30" t="s">
        <v>27</v>
      </c>
      <c r="G4900" s="30" t="s">
        <v>20</v>
      </c>
      <c r="H4900" s="32">
        <v>74</v>
      </c>
      <c r="I4900" s="30" t="s">
        <v>21</v>
      </c>
      <c r="J4900" s="41">
        <v>44340</v>
      </c>
      <c r="K4900" s="30" t="s">
        <v>22</v>
      </c>
    </row>
    <row r="4901" spans="1:11">
      <c r="A4901" s="33" t="s">
        <v>11639</v>
      </c>
      <c r="B4901" s="33" t="s">
        <v>11640</v>
      </c>
      <c r="C4901" s="33" t="s">
        <v>1219</v>
      </c>
      <c r="D4901" s="33" t="s">
        <v>17</v>
      </c>
      <c r="E4901" s="33" t="s">
        <v>26</v>
      </c>
      <c r="F4901" s="33" t="s">
        <v>27</v>
      </c>
      <c r="G4901" s="33" t="s">
        <v>20</v>
      </c>
      <c r="H4901" s="35">
        <v>8</v>
      </c>
      <c r="I4901" s="33" t="s">
        <v>21</v>
      </c>
      <c r="J4901" s="42">
        <v>44463</v>
      </c>
      <c r="K4901" s="33" t="s">
        <v>22</v>
      </c>
    </row>
    <row r="4902" spans="1:11">
      <c r="A4902" s="30" t="s">
        <v>11641</v>
      </c>
      <c r="B4902" s="30" t="s">
        <v>11642</v>
      </c>
      <c r="C4902" s="30" t="s">
        <v>11643</v>
      </c>
      <c r="D4902" s="30" t="s">
        <v>17</v>
      </c>
      <c r="E4902" s="30" t="s">
        <v>26</v>
      </c>
      <c r="F4902" s="30" t="s">
        <v>27</v>
      </c>
      <c r="G4902" s="30" t="s">
        <v>20</v>
      </c>
      <c r="H4902" s="32">
        <v>40</v>
      </c>
      <c r="I4902" s="30" t="s">
        <v>21</v>
      </c>
      <c r="J4902" s="41">
        <v>44257</v>
      </c>
      <c r="K4902" s="30" t="s">
        <v>22</v>
      </c>
    </row>
    <row r="4903" spans="1:11">
      <c r="A4903" s="33" t="s">
        <v>11644</v>
      </c>
      <c r="B4903" s="33" t="s">
        <v>11645</v>
      </c>
      <c r="C4903" s="33" t="s">
        <v>11646</v>
      </c>
      <c r="D4903" s="33" t="s">
        <v>17</v>
      </c>
      <c r="E4903" s="33" t="s">
        <v>31</v>
      </c>
      <c r="F4903" s="33" t="s">
        <v>32</v>
      </c>
      <c r="G4903" s="33" t="s">
        <v>106</v>
      </c>
      <c r="H4903" s="35">
        <v>21</v>
      </c>
      <c r="I4903" s="33" t="s">
        <v>21</v>
      </c>
      <c r="J4903" s="42">
        <v>44404</v>
      </c>
      <c r="K4903" s="33" t="s">
        <v>22</v>
      </c>
    </row>
    <row r="4904" spans="1:11">
      <c r="A4904" s="30" t="s">
        <v>11647</v>
      </c>
      <c r="B4904" s="30" t="s">
        <v>11648</v>
      </c>
      <c r="C4904" s="30" t="s">
        <v>11649</v>
      </c>
      <c r="D4904" s="30" t="s">
        <v>17</v>
      </c>
      <c r="E4904" s="30" t="s">
        <v>26</v>
      </c>
      <c r="F4904" s="30" t="s">
        <v>27</v>
      </c>
      <c r="G4904" s="30" t="s">
        <v>20</v>
      </c>
      <c r="H4904" s="32">
        <v>6</v>
      </c>
      <c r="I4904" s="30" t="s">
        <v>21</v>
      </c>
      <c r="J4904" s="41">
        <v>44511</v>
      </c>
      <c r="K4904" s="30" t="s">
        <v>22</v>
      </c>
    </row>
    <row r="4905" spans="1:11">
      <c r="A4905" s="33" t="s">
        <v>11650</v>
      </c>
      <c r="B4905" s="33" t="s">
        <v>11651</v>
      </c>
      <c r="C4905" s="33" t="s">
        <v>3944</v>
      </c>
      <c r="D4905" s="33" t="s">
        <v>17</v>
      </c>
      <c r="E4905" s="33" t="s">
        <v>26</v>
      </c>
      <c r="F4905" s="33" t="s">
        <v>27</v>
      </c>
      <c r="G4905" s="33" t="s">
        <v>50</v>
      </c>
      <c r="H4905" s="35">
        <v>18</v>
      </c>
      <c r="I4905" s="33" t="s">
        <v>51</v>
      </c>
      <c r="J4905" s="42">
        <v>44363</v>
      </c>
      <c r="K4905" s="33" t="s">
        <v>22</v>
      </c>
    </row>
    <row r="4906" spans="1:11">
      <c r="A4906" s="30" t="s">
        <v>11652</v>
      </c>
      <c r="B4906" s="30" t="s">
        <v>11653</v>
      </c>
      <c r="C4906" s="30" t="s">
        <v>178</v>
      </c>
      <c r="D4906" s="30" t="s">
        <v>17</v>
      </c>
      <c r="E4906" s="30" t="s">
        <v>18</v>
      </c>
      <c r="F4906" s="30" t="s">
        <v>19</v>
      </c>
      <c r="G4906" s="30" t="s">
        <v>158</v>
      </c>
      <c r="H4906" s="32">
        <v>303</v>
      </c>
      <c r="I4906" s="30" t="s">
        <v>21</v>
      </c>
      <c r="J4906" s="41">
        <v>44495</v>
      </c>
      <c r="K4906" s="30" t="s">
        <v>22</v>
      </c>
    </row>
    <row r="4907" spans="1:11">
      <c r="A4907" s="33" t="s">
        <v>11654</v>
      </c>
      <c r="B4907" s="33" t="s">
        <v>11655</v>
      </c>
      <c r="C4907" s="33" t="s">
        <v>149</v>
      </c>
      <c r="D4907" s="33" t="s">
        <v>17</v>
      </c>
      <c r="E4907" s="33" t="s">
        <v>18</v>
      </c>
      <c r="F4907" s="33" t="s">
        <v>19</v>
      </c>
      <c r="G4907" s="33" t="s">
        <v>158</v>
      </c>
      <c r="H4907" s="35">
        <v>687</v>
      </c>
      <c r="I4907" s="33" t="s">
        <v>21</v>
      </c>
      <c r="J4907" s="42">
        <v>44287</v>
      </c>
      <c r="K4907" s="33" t="s">
        <v>22</v>
      </c>
    </row>
    <row r="4908" spans="1:11">
      <c r="A4908" s="30" t="s">
        <v>11656</v>
      </c>
      <c r="B4908" s="30" t="s">
        <v>11657</v>
      </c>
      <c r="C4908" s="30" t="s">
        <v>10699</v>
      </c>
      <c r="D4908" s="30" t="s">
        <v>17</v>
      </c>
      <c r="E4908" s="30" t="s">
        <v>26</v>
      </c>
      <c r="F4908" s="30" t="s">
        <v>27</v>
      </c>
      <c r="G4908" s="30" t="s">
        <v>50</v>
      </c>
      <c r="H4908" s="32">
        <v>34</v>
      </c>
      <c r="I4908" s="30" t="s">
        <v>51</v>
      </c>
      <c r="J4908" s="41">
        <v>44296</v>
      </c>
      <c r="K4908" s="30" t="s">
        <v>22</v>
      </c>
    </row>
    <row r="4909" spans="1:11">
      <c r="A4909" s="33" t="s">
        <v>11658</v>
      </c>
      <c r="B4909" s="33" t="s">
        <v>11659</v>
      </c>
      <c r="C4909" s="33" t="s">
        <v>109</v>
      </c>
      <c r="D4909" s="33" t="s">
        <v>17</v>
      </c>
      <c r="E4909" s="33" t="s">
        <v>31</v>
      </c>
      <c r="F4909" s="33" t="s">
        <v>32</v>
      </c>
      <c r="G4909" s="33" t="s">
        <v>20</v>
      </c>
      <c r="H4909" s="35">
        <v>38</v>
      </c>
      <c r="I4909" s="33" t="s">
        <v>21</v>
      </c>
      <c r="J4909" s="42">
        <v>44463</v>
      </c>
      <c r="K4909" s="33" t="s">
        <v>22</v>
      </c>
    </row>
    <row r="4910" spans="1:11">
      <c r="A4910" s="30" t="s">
        <v>11660</v>
      </c>
      <c r="B4910" s="30" t="s">
        <v>11661</v>
      </c>
      <c r="C4910" s="30" t="s">
        <v>102</v>
      </c>
      <c r="D4910" s="30" t="s">
        <v>17</v>
      </c>
      <c r="E4910" s="30" t="s">
        <v>26</v>
      </c>
      <c r="F4910" s="30" t="s">
        <v>27</v>
      </c>
      <c r="G4910" s="30" t="s">
        <v>20</v>
      </c>
      <c r="H4910" s="32">
        <v>115</v>
      </c>
      <c r="I4910" s="30" t="s">
        <v>21</v>
      </c>
      <c r="J4910" s="41">
        <v>44300</v>
      </c>
      <c r="K4910" s="30" t="s">
        <v>22</v>
      </c>
    </row>
    <row r="4911" spans="1:11">
      <c r="A4911" s="33" t="s">
        <v>11662</v>
      </c>
      <c r="B4911" s="33" t="s">
        <v>11663</v>
      </c>
      <c r="C4911" s="33" t="s">
        <v>5842</v>
      </c>
      <c r="D4911" s="33" t="s">
        <v>17</v>
      </c>
      <c r="E4911" s="33" t="s">
        <v>67</v>
      </c>
      <c r="F4911" s="33" t="s">
        <v>68</v>
      </c>
      <c r="G4911" s="33" t="s">
        <v>20</v>
      </c>
      <c r="H4911" s="35">
        <v>50</v>
      </c>
      <c r="I4911" s="33" t="s">
        <v>21</v>
      </c>
      <c r="J4911" s="42">
        <v>44371</v>
      </c>
      <c r="K4911" s="33" t="s">
        <v>22</v>
      </c>
    </row>
    <row r="4912" spans="1:11">
      <c r="A4912" s="30" t="s">
        <v>11664</v>
      </c>
      <c r="B4912" s="30" t="s">
        <v>11665</v>
      </c>
      <c r="C4912" s="30" t="s">
        <v>1691</v>
      </c>
      <c r="D4912" s="30" t="s">
        <v>17</v>
      </c>
      <c r="E4912" s="30" t="s">
        <v>26</v>
      </c>
      <c r="F4912" s="30" t="s">
        <v>27</v>
      </c>
      <c r="G4912" s="30" t="s">
        <v>20</v>
      </c>
      <c r="H4912" s="32">
        <v>34</v>
      </c>
      <c r="I4912" s="30" t="s">
        <v>21</v>
      </c>
      <c r="J4912" s="41">
        <v>44323</v>
      </c>
      <c r="K4912" s="30" t="s">
        <v>22</v>
      </c>
    </row>
    <row r="4913" spans="1:11">
      <c r="A4913" s="33" t="s">
        <v>11666</v>
      </c>
      <c r="B4913" s="33" t="s">
        <v>11667</v>
      </c>
      <c r="C4913" s="33" t="s">
        <v>11668</v>
      </c>
      <c r="D4913" s="33" t="s">
        <v>17</v>
      </c>
      <c r="E4913" s="33" t="s">
        <v>67</v>
      </c>
      <c r="F4913" s="33" t="s">
        <v>68</v>
      </c>
      <c r="G4913" s="33" t="s">
        <v>106</v>
      </c>
      <c r="H4913" s="35">
        <v>79</v>
      </c>
      <c r="I4913" s="33" t="s">
        <v>21</v>
      </c>
      <c r="J4913" s="42">
        <v>44452</v>
      </c>
      <c r="K4913" s="33" t="s">
        <v>22</v>
      </c>
    </row>
    <row r="4914" spans="1:11">
      <c r="A4914" s="30" t="s">
        <v>11669</v>
      </c>
      <c r="B4914" s="30" t="s">
        <v>11670</v>
      </c>
      <c r="C4914" s="30" t="s">
        <v>8262</v>
      </c>
      <c r="D4914" s="30" t="s">
        <v>17</v>
      </c>
      <c r="E4914" s="30" t="s">
        <v>18</v>
      </c>
      <c r="F4914" s="30" t="s">
        <v>19</v>
      </c>
      <c r="G4914" s="30" t="s">
        <v>20</v>
      </c>
      <c r="H4914" s="32">
        <v>278</v>
      </c>
      <c r="I4914" s="30" t="s">
        <v>21</v>
      </c>
      <c r="J4914" s="41">
        <v>44224</v>
      </c>
      <c r="K4914" s="30" t="s">
        <v>22</v>
      </c>
    </row>
    <row r="4915" spans="1:11">
      <c r="A4915" s="33" t="s">
        <v>11671</v>
      </c>
      <c r="B4915" s="33" t="s">
        <v>11672</v>
      </c>
      <c r="C4915" s="33" t="s">
        <v>11673</v>
      </c>
      <c r="D4915" s="33" t="s">
        <v>17</v>
      </c>
      <c r="E4915" s="33" t="s">
        <v>26</v>
      </c>
      <c r="F4915" s="33" t="s">
        <v>27</v>
      </c>
      <c r="G4915" s="33" t="s">
        <v>50</v>
      </c>
      <c r="H4915" s="35">
        <v>24</v>
      </c>
      <c r="I4915" s="33" t="s">
        <v>51</v>
      </c>
      <c r="J4915" s="42">
        <v>44535</v>
      </c>
      <c r="K4915" s="33" t="s">
        <v>22</v>
      </c>
    </row>
    <row r="4916" spans="1:11">
      <c r="A4916" s="30" t="s">
        <v>11674</v>
      </c>
      <c r="B4916" s="30" t="s">
        <v>11675</v>
      </c>
      <c r="C4916" s="30" t="s">
        <v>592</v>
      </c>
      <c r="D4916" s="30" t="s">
        <v>17</v>
      </c>
      <c r="E4916" s="30" t="s">
        <v>18</v>
      </c>
      <c r="F4916" s="30" t="s">
        <v>19</v>
      </c>
      <c r="G4916" s="30" t="s">
        <v>20</v>
      </c>
      <c r="H4916" s="32">
        <v>202</v>
      </c>
      <c r="I4916" s="30" t="s">
        <v>21</v>
      </c>
      <c r="J4916" s="41">
        <v>44200</v>
      </c>
      <c r="K4916" s="30" t="s">
        <v>22</v>
      </c>
    </row>
    <row r="4917" spans="1:11">
      <c r="A4917" s="33" t="s">
        <v>11676</v>
      </c>
      <c r="B4917" s="33" t="s">
        <v>11677</v>
      </c>
      <c r="C4917" s="33" t="s">
        <v>969</v>
      </c>
      <c r="D4917" s="33" t="s">
        <v>17</v>
      </c>
      <c r="E4917" s="33" t="s">
        <v>31</v>
      </c>
      <c r="F4917" s="33" t="s">
        <v>32</v>
      </c>
      <c r="G4917" s="33" t="s">
        <v>20</v>
      </c>
      <c r="H4917" s="35">
        <v>231</v>
      </c>
      <c r="I4917" s="33" t="s">
        <v>21</v>
      </c>
      <c r="J4917" s="42">
        <v>44469</v>
      </c>
      <c r="K4917" s="33" t="s">
        <v>22</v>
      </c>
    </row>
    <row r="4918" spans="1:11">
      <c r="A4918" s="30" t="s">
        <v>11678</v>
      </c>
      <c r="B4918" s="30" t="s">
        <v>11679</v>
      </c>
      <c r="C4918" s="30" t="s">
        <v>4767</v>
      </c>
      <c r="D4918" s="30" t="s">
        <v>17</v>
      </c>
      <c r="E4918" s="30" t="s">
        <v>212</v>
      </c>
      <c r="F4918" s="30" t="s">
        <v>213</v>
      </c>
      <c r="G4918" s="30" t="s">
        <v>20</v>
      </c>
      <c r="H4918" s="32">
        <v>93</v>
      </c>
      <c r="I4918" s="30" t="s">
        <v>21</v>
      </c>
      <c r="J4918" s="41">
        <v>44399</v>
      </c>
      <c r="K4918" s="30" t="s">
        <v>22</v>
      </c>
    </row>
    <row r="4919" spans="1:11">
      <c r="A4919" s="33" t="s">
        <v>11680</v>
      </c>
      <c r="B4919" s="33" t="s">
        <v>11681</v>
      </c>
      <c r="C4919" s="33" t="s">
        <v>109</v>
      </c>
      <c r="D4919" s="33" t="s">
        <v>17</v>
      </c>
      <c r="E4919" s="33" t="s">
        <v>18</v>
      </c>
      <c r="F4919" s="33" t="s">
        <v>19</v>
      </c>
      <c r="G4919" s="33" t="s">
        <v>20</v>
      </c>
      <c r="H4919" s="35">
        <v>511</v>
      </c>
      <c r="I4919" s="33" t="s">
        <v>21</v>
      </c>
      <c r="J4919" s="42">
        <v>44469</v>
      </c>
      <c r="K4919" s="33" t="s">
        <v>22</v>
      </c>
    </row>
    <row r="4920" spans="1:11">
      <c r="A4920" s="30" t="s">
        <v>11682</v>
      </c>
      <c r="B4920" s="30" t="s">
        <v>11683</v>
      </c>
      <c r="C4920" s="30" t="s">
        <v>6041</v>
      </c>
      <c r="D4920" s="30" t="s">
        <v>17</v>
      </c>
      <c r="E4920" s="30" t="s">
        <v>18</v>
      </c>
      <c r="F4920" s="30" t="s">
        <v>19</v>
      </c>
      <c r="G4920" s="30" t="s">
        <v>20</v>
      </c>
      <c r="H4920" s="32">
        <v>356</v>
      </c>
      <c r="I4920" s="30" t="s">
        <v>21</v>
      </c>
      <c r="J4920" s="41">
        <v>44228</v>
      </c>
      <c r="K4920" s="30" t="s">
        <v>22</v>
      </c>
    </row>
    <row r="4921" spans="1:11">
      <c r="A4921" s="33" t="s">
        <v>11684</v>
      </c>
      <c r="B4921" s="33" t="s">
        <v>11685</v>
      </c>
      <c r="C4921" s="33" t="s">
        <v>4751</v>
      </c>
      <c r="D4921" s="33" t="s">
        <v>17</v>
      </c>
      <c r="E4921" s="33" t="s">
        <v>26</v>
      </c>
      <c r="F4921" s="33" t="s">
        <v>27</v>
      </c>
      <c r="G4921" s="33" t="s">
        <v>20</v>
      </c>
      <c r="H4921" s="35">
        <v>66</v>
      </c>
      <c r="I4921" s="33" t="s">
        <v>21</v>
      </c>
      <c r="J4921" s="42">
        <v>44550</v>
      </c>
      <c r="K4921" s="33" t="s">
        <v>22</v>
      </c>
    </row>
    <row r="4922" spans="1:11">
      <c r="A4922" s="30" t="s">
        <v>11686</v>
      </c>
      <c r="B4922" s="30" t="s">
        <v>11687</v>
      </c>
      <c r="C4922" s="30" t="s">
        <v>190</v>
      </c>
      <c r="D4922" s="30" t="s">
        <v>17</v>
      </c>
      <c r="E4922" s="30" t="s">
        <v>26</v>
      </c>
      <c r="F4922" s="30" t="s">
        <v>27</v>
      </c>
      <c r="G4922" s="30" t="s">
        <v>20</v>
      </c>
      <c r="H4922" s="32">
        <v>224</v>
      </c>
      <c r="I4922" s="30" t="s">
        <v>21</v>
      </c>
      <c r="J4922" s="41">
        <v>44530</v>
      </c>
      <c r="K4922" s="30" t="s">
        <v>22</v>
      </c>
    </row>
    <row r="4923" spans="1:11">
      <c r="A4923" s="33" t="s">
        <v>11688</v>
      </c>
      <c r="B4923" s="33" t="s">
        <v>11689</v>
      </c>
      <c r="C4923" s="33" t="s">
        <v>11690</v>
      </c>
      <c r="D4923" s="33" t="s">
        <v>17</v>
      </c>
      <c r="E4923" s="33" t="s">
        <v>26</v>
      </c>
      <c r="F4923" s="33" t="s">
        <v>27</v>
      </c>
      <c r="G4923" s="33" t="s">
        <v>158</v>
      </c>
      <c r="H4923" s="35">
        <v>56</v>
      </c>
      <c r="I4923" s="33" t="s">
        <v>51</v>
      </c>
      <c r="J4923" s="42">
        <v>44228</v>
      </c>
      <c r="K4923" s="33" t="s">
        <v>22</v>
      </c>
    </row>
    <row r="4924" spans="1:11">
      <c r="A4924" s="30" t="s">
        <v>11691</v>
      </c>
      <c r="B4924" s="30" t="s">
        <v>11692</v>
      </c>
      <c r="C4924" s="30" t="s">
        <v>8566</v>
      </c>
      <c r="D4924" s="30" t="s">
        <v>17</v>
      </c>
      <c r="E4924" s="30" t="s">
        <v>31</v>
      </c>
      <c r="F4924" s="30" t="s">
        <v>32</v>
      </c>
      <c r="G4924" s="30" t="s">
        <v>106</v>
      </c>
      <c r="H4924" s="32">
        <v>26</v>
      </c>
      <c r="I4924" s="30" t="s">
        <v>21</v>
      </c>
      <c r="J4924" s="41">
        <v>44508</v>
      </c>
      <c r="K4924" s="30" t="s">
        <v>22</v>
      </c>
    </row>
    <row r="4925" spans="1:11">
      <c r="A4925" s="33" t="s">
        <v>11693</v>
      </c>
      <c r="B4925" s="33" t="s">
        <v>11694</v>
      </c>
      <c r="C4925" s="33" t="s">
        <v>2256</v>
      </c>
      <c r="D4925" s="33" t="s">
        <v>17</v>
      </c>
      <c r="E4925" s="33" t="s">
        <v>330</v>
      </c>
      <c r="F4925" s="33" t="s">
        <v>331</v>
      </c>
      <c r="G4925" s="33" t="s">
        <v>158</v>
      </c>
      <c r="H4925" s="35">
        <v>15</v>
      </c>
      <c r="I4925" s="33" t="s">
        <v>51</v>
      </c>
      <c r="J4925" s="42">
        <v>44403</v>
      </c>
      <c r="K4925" s="33" t="s">
        <v>22</v>
      </c>
    </row>
    <row r="4926" spans="1:11">
      <c r="A4926" s="30" t="s">
        <v>11695</v>
      </c>
      <c r="B4926" s="30" t="s">
        <v>11696</v>
      </c>
      <c r="C4926" s="30" t="s">
        <v>4345</v>
      </c>
      <c r="D4926" s="30" t="s">
        <v>17</v>
      </c>
      <c r="E4926" s="30" t="s">
        <v>26</v>
      </c>
      <c r="F4926" s="30" t="s">
        <v>27</v>
      </c>
      <c r="G4926" s="30" t="s">
        <v>20</v>
      </c>
      <c r="H4926" s="32">
        <v>48</v>
      </c>
      <c r="I4926" s="30" t="s">
        <v>21</v>
      </c>
      <c r="J4926" s="41">
        <v>44279</v>
      </c>
      <c r="K4926" s="30" t="s">
        <v>22</v>
      </c>
    </row>
    <row r="4927" spans="1:11">
      <c r="A4927" s="33" t="s">
        <v>11697</v>
      </c>
      <c r="B4927" s="33" t="s">
        <v>11698</v>
      </c>
      <c r="C4927" s="33" t="s">
        <v>684</v>
      </c>
      <c r="D4927" s="33" t="s">
        <v>17</v>
      </c>
      <c r="E4927" s="33" t="s">
        <v>67</v>
      </c>
      <c r="F4927" s="33" t="s">
        <v>68</v>
      </c>
      <c r="G4927" s="33" t="s">
        <v>112</v>
      </c>
      <c r="H4927" s="35">
        <v>0</v>
      </c>
      <c r="I4927" s="33" t="s">
        <v>21</v>
      </c>
      <c r="J4927" s="42">
        <v>44479</v>
      </c>
      <c r="K4927" s="33" t="s">
        <v>22</v>
      </c>
    </row>
    <row r="4928" spans="1:11">
      <c r="A4928" s="30" t="s">
        <v>11699</v>
      </c>
      <c r="B4928" s="30" t="s">
        <v>11700</v>
      </c>
      <c r="C4928" s="30" t="s">
        <v>109</v>
      </c>
      <c r="D4928" s="30" t="s">
        <v>17</v>
      </c>
      <c r="E4928" s="30" t="s">
        <v>18</v>
      </c>
      <c r="F4928" s="30" t="s">
        <v>19</v>
      </c>
      <c r="G4928" s="30" t="s">
        <v>158</v>
      </c>
      <c r="H4928" s="32">
        <v>405</v>
      </c>
      <c r="I4928" s="30" t="s">
        <v>21</v>
      </c>
      <c r="J4928" s="41">
        <v>44475</v>
      </c>
      <c r="K4928" s="30" t="s">
        <v>22</v>
      </c>
    </row>
    <row r="4929" spans="1:11">
      <c r="A4929" s="33" t="s">
        <v>11701</v>
      </c>
      <c r="B4929" s="33" t="s">
        <v>11702</v>
      </c>
      <c r="C4929" s="33" t="s">
        <v>11703</v>
      </c>
      <c r="D4929" s="33" t="s">
        <v>17</v>
      </c>
      <c r="E4929" s="33" t="s">
        <v>31</v>
      </c>
      <c r="F4929" s="33" t="s">
        <v>32</v>
      </c>
      <c r="G4929" s="33" t="s">
        <v>20</v>
      </c>
      <c r="H4929" s="35">
        <v>26</v>
      </c>
      <c r="I4929" s="33" t="s">
        <v>21</v>
      </c>
      <c r="J4929" s="42">
        <v>44509</v>
      </c>
      <c r="K4929" s="33" t="s">
        <v>22</v>
      </c>
    </row>
    <row r="4930" spans="1:11">
      <c r="A4930" s="30" t="s">
        <v>11704</v>
      </c>
      <c r="B4930" s="30" t="s">
        <v>11705</v>
      </c>
      <c r="C4930" s="30" t="s">
        <v>1373</v>
      </c>
      <c r="D4930" s="30" t="s">
        <v>17</v>
      </c>
      <c r="E4930" s="30" t="s">
        <v>18</v>
      </c>
      <c r="F4930" s="30" t="s">
        <v>19</v>
      </c>
      <c r="G4930" s="30" t="s">
        <v>20</v>
      </c>
      <c r="H4930" s="32">
        <v>101</v>
      </c>
      <c r="I4930" s="30" t="s">
        <v>21</v>
      </c>
      <c r="J4930" s="41">
        <v>44302</v>
      </c>
      <c r="K4930" s="30" t="s">
        <v>22</v>
      </c>
    </row>
    <row r="4931" spans="1:11">
      <c r="A4931" s="33" t="s">
        <v>11706</v>
      </c>
      <c r="B4931" s="33" t="s">
        <v>11707</v>
      </c>
      <c r="C4931" s="33" t="s">
        <v>11708</v>
      </c>
      <c r="D4931" s="33" t="s">
        <v>17</v>
      </c>
      <c r="E4931" s="33" t="s">
        <v>18</v>
      </c>
      <c r="F4931" s="33" t="s">
        <v>19</v>
      </c>
      <c r="G4931" s="33" t="s">
        <v>50</v>
      </c>
      <c r="H4931" s="35">
        <v>284</v>
      </c>
      <c r="I4931" s="33" t="s">
        <v>51</v>
      </c>
      <c r="J4931" s="42">
        <v>44204</v>
      </c>
      <c r="K4931" s="33" t="s">
        <v>22</v>
      </c>
    </row>
    <row r="4932" spans="1:11">
      <c r="A4932" s="30" t="s">
        <v>11709</v>
      </c>
      <c r="B4932" s="30" t="s">
        <v>11710</v>
      </c>
      <c r="C4932" s="30" t="s">
        <v>118</v>
      </c>
      <c r="D4932" s="30" t="s">
        <v>17</v>
      </c>
      <c r="E4932" s="30" t="s">
        <v>31</v>
      </c>
      <c r="F4932" s="30" t="s">
        <v>32</v>
      </c>
      <c r="G4932" s="30" t="s">
        <v>20</v>
      </c>
      <c r="H4932" s="32">
        <v>78</v>
      </c>
      <c r="I4932" s="30" t="s">
        <v>21</v>
      </c>
      <c r="J4932" s="41">
        <v>44530</v>
      </c>
      <c r="K4932" s="30" t="s">
        <v>22</v>
      </c>
    </row>
    <row r="4933" spans="1:11">
      <c r="A4933" s="33" t="s">
        <v>11711</v>
      </c>
      <c r="B4933" s="33" t="s">
        <v>11712</v>
      </c>
      <c r="C4933" s="33" t="s">
        <v>203</v>
      </c>
      <c r="D4933" s="33" t="s">
        <v>17</v>
      </c>
      <c r="E4933" s="33" t="s">
        <v>212</v>
      </c>
      <c r="F4933" s="33" t="s">
        <v>213</v>
      </c>
      <c r="G4933" s="33" t="s">
        <v>20</v>
      </c>
      <c r="H4933" s="35">
        <v>360</v>
      </c>
      <c r="I4933" s="33" t="s">
        <v>21</v>
      </c>
      <c r="J4933" s="42">
        <v>44466</v>
      </c>
      <c r="K4933" s="33" t="s">
        <v>22</v>
      </c>
    </row>
    <row r="4934" spans="1:11">
      <c r="A4934" s="30" t="s">
        <v>11713</v>
      </c>
      <c r="B4934" s="30" t="s">
        <v>11714</v>
      </c>
      <c r="C4934" s="30" t="s">
        <v>130</v>
      </c>
      <c r="D4934" s="30" t="s">
        <v>17</v>
      </c>
      <c r="E4934" s="30" t="s">
        <v>18</v>
      </c>
      <c r="F4934" s="30" t="s">
        <v>19</v>
      </c>
      <c r="G4934" s="30" t="s">
        <v>158</v>
      </c>
      <c r="H4934" s="32">
        <v>654</v>
      </c>
      <c r="I4934" s="30" t="s">
        <v>21</v>
      </c>
      <c r="J4934" s="41">
        <v>44301</v>
      </c>
      <c r="K4934" s="30" t="s">
        <v>22</v>
      </c>
    </row>
    <row r="4935" spans="1:11">
      <c r="A4935" s="33" t="s">
        <v>11715</v>
      </c>
      <c r="B4935" s="33" t="s">
        <v>11716</v>
      </c>
      <c r="C4935" s="33" t="s">
        <v>3004</v>
      </c>
      <c r="D4935" s="33" t="s">
        <v>17</v>
      </c>
      <c r="E4935" s="33" t="s">
        <v>18</v>
      </c>
      <c r="F4935" s="33" t="s">
        <v>19</v>
      </c>
      <c r="G4935" s="33" t="s">
        <v>158</v>
      </c>
      <c r="H4935" s="35">
        <v>238</v>
      </c>
      <c r="I4935" s="33" t="s">
        <v>21</v>
      </c>
      <c r="J4935" s="42">
        <v>44264</v>
      </c>
      <c r="K4935" s="33" t="s">
        <v>22</v>
      </c>
    </row>
    <row r="4936" spans="1:11">
      <c r="A4936" s="30" t="s">
        <v>11717</v>
      </c>
      <c r="B4936" s="30" t="s">
        <v>11718</v>
      </c>
      <c r="C4936" s="30" t="s">
        <v>11719</v>
      </c>
      <c r="D4936" s="30" t="s">
        <v>17</v>
      </c>
      <c r="E4936" s="30" t="s">
        <v>26</v>
      </c>
      <c r="F4936" s="30" t="s">
        <v>27</v>
      </c>
      <c r="G4936" s="30" t="s">
        <v>50</v>
      </c>
      <c r="H4936" s="32">
        <v>60</v>
      </c>
      <c r="I4936" s="30" t="s">
        <v>51</v>
      </c>
      <c r="J4936" s="41">
        <v>44257</v>
      </c>
      <c r="K4936" s="30" t="s">
        <v>22</v>
      </c>
    </row>
    <row r="4937" spans="1:11">
      <c r="A4937" s="33" t="s">
        <v>11720</v>
      </c>
      <c r="B4937" s="33" t="s">
        <v>11721</v>
      </c>
      <c r="C4937" s="33" t="s">
        <v>3892</v>
      </c>
      <c r="D4937" s="33" t="s">
        <v>17</v>
      </c>
      <c r="E4937" s="33" t="s">
        <v>26</v>
      </c>
      <c r="F4937" s="33" t="s">
        <v>27</v>
      </c>
      <c r="G4937" s="33" t="s">
        <v>20</v>
      </c>
      <c r="H4937" s="35">
        <v>101</v>
      </c>
      <c r="I4937" s="33" t="s">
        <v>21</v>
      </c>
      <c r="J4937" s="42">
        <v>44235</v>
      </c>
      <c r="K4937" s="33" t="s">
        <v>22</v>
      </c>
    </row>
    <row r="4938" spans="1:11">
      <c r="A4938" s="30" t="s">
        <v>11722</v>
      </c>
      <c r="B4938" s="30" t="s">
        <v>11723</v>
      </c>
      <c r="C4938" s="30" t="s">
        <v>2978</v>
      </c>
      <c r="D4938" s="30" t="s">
        <v>17</v>
      </c>
      <c r="E4938" s="30" t="s">
        <v>26</v>
      </c>
      <c r="F4938" s="30" t="s">
        <v>27</v>
      </c>
      <c r="G4938" s="30" t="s">
        <v>50</v>
      </c>
      <c r="H4938" s="32">
        <v>40</v>
      </c>
      <c r="I4938" s="30" t="s">
        <v>51</v>
      </c>
      <c r="J4938" s="41">
        <v>44277</v>
      </c>
      <c r="K4938" s="30" t="s">
        <v>22</v>
      </c>
    </row>
    <row r="4939" spans="1:11">
      <c r="A4939" s="33" t="s">
        <v>11724</v>
      </c>
      <c r="B4939" s="33" t="s">
        <v>11725</v>
      </c>
      <c r="C4939" s="33" t="s">
        <v>1415</v>
      </c>
      <c r="D4939" s="33" t="s">
        <v>17</v>
      </c>
      <c r="E4939" s="33" t="s">
        <v>31</v>
      </c>
      <c r="F4939" s="33" t="s">
        <v>32</v>
      </c>
      <c r="G4939" s="33" t="s">
        <v>50</v>
      </c>
      <c r="H4939" s="35">
        <v>5</v>
      </c>
      <c r="I4939" s="33" t="s">
        <v>21</v>
      </c>
      <c r="J4939" s="42">
        <v>44409</v>
      </c>
      <c r="K4939" s="33" t="s">
        <v>22</v>
      </c>
    </row>
    <row r="4940" spans="1:11">
      <c r="A4940" s="30" t="s">
        <v>11726</v>
      </c>
      <c r="B4940" s="30" t="s">
        <v>11727</v>
      </c>
      <c r="C4940" s="30" t="s">
        <v>11728</v>
      </c>
      <c r="D4940" s="30" t="s">
        <v>17</v>
      </c>
      <c r="E4940" s="30" t="s">
        <v>31</v>
      </c>
      <c r="F4940" s="30" t="s">
        <v>32</v>
      </c>
      <c r="G4940" s="30" t="s">
        <v>20</v>
      </c>
      <c r="H4940" s="32">
        <v>17</v>
      </c>
      <c r="I4940" s="30" t="s">
        <v>21</v>
      </c>
      <c r="J4940" s="41">
        <v>44363</v>
      </c>
      <c r="K4940" s="30" t="s">
        <v>22</v>
      </c>
    </row>
    <row r="4941" spans="1:11">
      <c r="A4941" s="33" t="s">
        <v>11729</v>
      </c>
      <c r="B4941" s="33" t="s">
        <v>11730</v>
      </c>
      <c r="C4941" s="33" t="s">
        <v>11040</v>
      </c>
      <c r="D4941" s="33" t="s">
        <v>17</v>
      </c>
      <c r="E4941" s="33" t="s">
        <v>212</v>
      </c>
      <c r="F4941" s="33" t="s">
        <v>213</v>
      </c>
      <c r="G4941" s="33" t="s">
        <v>20</v>
      </c>
      <c r="H4941" s="35">
        <v>106</v>
      </c>
      <c r="I4941" s="33" t="s">
        <v>21</v>
      </c>
      <c r="J4941" s="42">
        <v>44529</v>
      </c>
      <c r="K4941" s="33" t="s">
        <v>22</v>
      </c>
    </row>
    <row r="4942" spans="1:11">
      <c r="A4942" s="30" t="s">
        <v>11731</v>
      </c>
      <c r="B4942" s="30" t="s">
        <v>11732</v>
      </c>
      <c r="C4942" s="30" t="s">
        <v>102</v>
      </c>
      <c r="D4942" s="30" t="s">
        <v>17</v>
      </c>
      <c r="E4942" s="30" t="s">
        <v>26</v>
      </c>
      <c r="F4942" s="30" t="s">
        <v>27</v>
      </c>
      <c r="G4942" s="30" t="s">
        <v>20</v>
      </c>
      <c r="H4942" s="32">
        <v>14</v>
      </c>
      <c r="I4942" s="30" t="s">
        <v>21</v>
      </c>
      <c r="J4942" s="41">
        <v>44230</v>
      </c>
      <c r="K4942" s="30" t="s">
        <v>22</v>
      </c>
    </row>
    <row r="4943" spans="1:11">
      <c r="A4943" s="33" t="s">
        <v>11733</v>
      </c>
      <c r="B4943" s="33" t="s">
        <v>11734</v>
      </c>
      <c r="C4943" s="33" t="s">
        <v>149</v>
      </c>
      <c r="D4943" s="33" t="s">
        <v>17</v>
      </c>
      <c r="E4943" s="33" t="s">
        <v>45</v>
      </c>
      <c r="F4943" s="33" t="s">
        <v>46</v>
      </c>
      <c r="G4943" s="33" t="s">
        <v>50</v>
      </c>
      <c r="H4943" s="35">
        <v>192</v>
      </c>
      <c r="I4943" s="33" t="s">
        <v>51</v>
      </c>
      <c r="J4943" s="42">
        <v>44304</v>
      </c>
      <c r="K4943" s="33" t="s">
        <v>22</v>
      </c>
    </row>
    <row r="4944" spans="1:11">
      <c r="A4944" s="30" t="s">
        <v>11735</v>
      </c>
      <c r="B4944" s="30" t="s">
        <v>11736</v>
      </c>
      <c r="C4944" s="30" t="s">
        <v>11737</v>
      </c>
      <c r="D4944" s="30" t="s">
        <v>17</v>
      </c>
      <c r="E4944" s="30" t="s">
        <v>26</v>
      </c>
      <c r="F4944" s="30" t="s">
        <v>27</v>
      </c>
      <c r="G4944" s="30" t="s">
        <v>50</v>
      </c>
      <c r="H4944" s="32">
        <v>30</v>
      </c>
      <c r="I4944" s="30" t="s">
        <v>51</v>
      </c>
      <c r="J4944" s="41">
        <v>44197</v>
      </c>
      <c r="K4944" s="30" t="s">
        <v>22</v>
      </c>
    </row>
    <row r="4945" spans="1:11">
      <c r="A4945" s="33" t="s">
        <v>11738</v>
      </c>
      <c r="B4945" s="33" t="s">
        <v>11739</v>
      </c>
      <c r="C4945" s="33" t="s">
        <v>1003</v>
      </c>
      <c r="D4945" s="33" t="s">
        <v>17</v>
      </c>
      <c r="E4945" s="33" t="s">
        <v>31</v>
      </c>
      <c r="F4945" s="33" t="s">
        <v>32</v>
      </c>
      <c r="G4945" s="33" t="s">
        <v>20</v>
      </c>
      <c r="H4945" s="35">
        <v>34</v>
      </c>
      <c r="I4945" s="33" t="s">
        <v>21</v>
      </c>
      <c r="J4945" s="42">
        <v>44405</v>
      </c>
      <c r="K4945" s="33" t="s">
        <v>22</v>
      </c>
    </row>
    <row r="4946" spans="1:11">
      <c r="A4946" s="30" t="s">
        <v>11740</v>
      </c>
      <c r="B4946" s="30" t="s">
        <v>11741</v>
      </c>
      <c r="C4946" s="30" t="s">
        <v>11742</v>
      </c>
      <c r="D4946" s="30" t="s">
        <v>17</v>
      </c>
      <c r="E4946" s="30" t="s">
        <v>26</v>
      </c>
      <c r="F4946" s="30" t="s">
        <v>27</v>
      </c>
      <c r="G4946" s="30" t="s">
        <v>106</v>
      </c>
      <c r="H4946" s="32">
        <v>18</v>
      </c>
      <c r="I4946" s="30" t="s">
        <v>21</v>
      </c>
      <c r="J4946" s="41">
        <v>44354</v>
      </c>
      <c r="K4946" s="30" t="s">
        <v>22</v>
      </c>
    </row>
    <row r="4947" spans="1:11">
      <c r="A4947" s="33" t="s">
        <v>11743</v>
      </c>
      <c r="B4947" s="33" t="s">
        <v>11744</v>
      </c>
      <c r="C4947" s="33" t="s">
        <v>2429</v>
      </c>
      <c r="D4947" s="33" t="s">
        <v>17</v>
      </c>
      <c r="E4947" s="33" t="s">
        <v>31</v>
      </c>
      <c r="F4947" s="33" t="s">
        <v>32</v>
      </c>
      <c r="G4947" s="33" t="s">
        <v>20</v>
      </c>
      <c r="H4947" s="35">
        <v>338</v>
      </c>
      <c r="I4947" s="33" t="s">
        <v>21</v>
      </c>
      <c r="J4947" s="42">
        <v>44397</v>
      </c>
      <c r="K4947" s="33" t="s">
        <v>22</v>
      </c>
    </row>
    <row r="4948" spans="1:11">
      <c r="A4948" s="30" t="s">
        <v>11745</v>
      </c>
      <c r="B4948" s="30" t="s">
        <v>11746</v>
      </c>
      <c r="C4948" s="30" t="s">
        <v>93</v>
      </c>
      <c r="D4948" s="30" t="s">
        <v>17</v>
      </c>
      <c r="E4948" s="30" t="s">
        <v>212</v>
      </c>
      <c r="F4948" s="30" t="s">
        <v>213</v>
      </c>
      <c r="G4948" s="30" t="s">
        <v>20</v>
      </c>
      <c r="H4948" s="32">
        <v>30</v>
      </c>
      <c r="I4948" s="30" t="s">
        <v>21</v>
      </c>
      <c r="J4948" s="41">
        <v>44483</v>
      </c>
      <c r="K4948" s="30" t="s">
        <v>22</v>
      </c>
    </row>
    <row r="4949" spans="1:11">
      <c r="A4949" s="33" t="s">
        <v>11747</v>
      </c>
      <c r="B4949" s="33" t="s">
        <v>11748</v>
      </c>
      <c r="C4949" s="33" t="s">
        <v>11749</v>
      </c>
      <c r="D4949" s="33" t="s">
        <v>17</v>
      </c>
      <c r="E4949" s="33" t="s">
        <v>18</v>
      </c>
      <c r="F4949" s="33" t="s">
        <v>19</v>
      </c>
      <c r="G4949" s="33" t="s">
        <v>140</v>
      </c>
      <c r="H4949" s="35">
        <v>1276</v>
      </c>
      <c r="I4949" s="33" t="s">
        <v>51</v>
      </c>
      <c r="J4949" s="42">
        <v>44517</v>
      </c>
      <c r="K4949" s="33" t="s">
        <v>22</v>
      </c>
    </row>
    <row r="4950" spans="1:11">
      <c r="A4950" s="30" t="s">
        <v>11750</v>
      </c>
      <c r="B4950" s="30" t="s">
        <v>11751</v>
      </c>
      <c r="C4950" s="30" t="s">
        <v>11752</v>
      </c>
      <c r="D4950" s="30" t="s">
        <v>17</v>
      </c>
      <c r="E4950" s="30" t="s">
        <v>212</v>
      </c>
      <c r="F4950" s="30" t="s">
        <v>213</v>
      </c>
      <c r="G4950" s="30" t="s">
        <v>50</v>
      </c>
      <c r="H4950" s="32">
        <v>100</v>
      </c>
      <c r="I4950" s="30" t="s">
        <v>51</v>
      </c>
      <c r="J4950" s="41">
        <v>44317</v>
      </c>
      <c r="K4950" s="30" t="s">
        <v>22</v>
      </c>
    </row>
    <row r="4951" spans="1:11">
      <c r="A4951" s="33" t="s">
        <v>11753</v>
      </c>
      <c r="B4951" s="33" t="s">
        <v>11754</v>
      </c>
      <c r="C4951" s="33" t="s">
        <v>11755</v>
      </c>
      <c r="D4951" s="33" t="s">
        <v>17</v>
      </c>
      <c r="E4951" s="33" t="s">
        <v>26</v>
      </c>
      <c r="F4951" s="33" t="s">
        <v>27</v>
      </c>
      <c r="G4951" s="33" t="s">
        <v>112</v>
      </c>
      <c r="H4951" s="35">
        <v>0</v>
      </c>
      <c r="I4951" s="33" t="s">
        <v>21</v>
      </c>
      <c r="J4951" s="42">
        <v>44226</v>
      </c>
      <c r="K4951" s="33" t="s">
        <v>22</v>
      </c>
    </row>
    <row r="4952" spans="1:11">
      <c r="A4952" s="30" t="s">
        <v>11756</v>
      </c>
      <c r="B4952" s="30" t="s">
        <v>11757</v>
      </c>
      <c r="C4952" s="30" t="s">
        <v>488</v>
      </c>
      <c r="D4952" s="30" t="s">
        <v>17</v>
      </c>
      <c r="E4952" s="30" t="s">
        <v>18</v>
      </c>
      <c r="F4952" s="30" t="s">
        <v>19</v>
      </c>
      <c r="G4952" s="30" t="s">
        <v>20</v>
      </c>
      <c r="H4952" s="32">
        <v>47</v>
      </c>
      <c r="I4952" s="30" t="s">
        <v>21</v>
      </c>
      <c r="J4952" s="41">
        <v>44341</v>
      </c>
      <c r="K4952" s="30" t="s">
        <v>22</v>
      </c>
    </row>
    <row r="4953" spans="1:11">
      <c r="A4953" s="33" t="s">
        <v>11758</v>
      </c>
      <c r="B4953" s="33" t="s">
        <v>11759</v>
      </c>
      <c r="C4953" s="33" t="s">
        <v>75</v>
      </c>
      <c r="D4953" s="33" t="s">
        <v>17</v>
      </c>
      <c r="E4953" s="33" t="s">
        <v>31</v>
      </c>
      <c r="F4953" s="33" t="s">
        <v>32</v>
      </c>
      <c r="G4953" s="33" t="s">
        <v>20</v>
      </c>
      <c r="H4953" s="35">
        <v>38</v>
      </c>
      <c r="I4953" s="33" t="s">
        <v>21</v>
      </c>
      <c r="J4953" s="42">
        <v>44270</v>
      </c>
      <c r="K4953" s="33" t="s">
        <v>22</v>
      </c>
    </row>
    <row r="4954" spans="1:11">
      <c r="A4954" s="30" t="s">
        <v>11760</v>
      </c>
      <c r="B4954" s="30" t="s">
        <v>11761</v>
      </c>
      <c r="C4954" s="30" t="s">
        <v>6914</v>
      </c>
      <c r="D4954" s="30" t="s">
        <v>17</v>
      </c>
      <c r="E4954" s="30" t="s">
        <v>67</v>
      </c>
      <c r="F4954" s="30" t="s">
        <v>68</v>
      </c>
      <c r="G4954" s="30" t="s">
        <v>106</v>
      </c>
      <c r="H4954" s="32">
        <v>156</v>
      </c>
      <c r="I4954" s="30" t="s">
        <v>21</v>
      </c>
      <c r="J4954" s="41">
        <v>44398</v>
      </c>
      <c r="K4954" s="30" t="s">
        <v>22</v>
      </c>
    </row>
    <row r="4955" spans="1:11">
      <c r="A4955" s="33" t="s">
        <v>11762</v>
      </c>
      <c r="B4955" s="33" t="s">
        <v>11763</v>
      </c>
      <c r="C4955" s="33" t="s">
        <v>11764</v>
      </c>
      <c r="D4955" s="33" t="s">
        <v>17</v>
      </c>
      <c r="E4955" s="33" t="s">
        <v>26</v>
      </c>
      <c r="F4955" s="33" t="s">
        <v>27</v>
      </c>
      <c r="G4955" s="33" t="s">
        <v>20</v>
      </c>
      <c r="H4955" s="35">
        <v>40</v>
      </c>
      <c r="I4955" s="33" t="s">
        <v>21</v>
      </c>
      <c r="J4955" s="42">
        <v>44411</v>
      </c>
      <c r="K4955" s="33" t="s">
        <v>22</v>
      </c>
    </row>
    <row r="4956" spans="1:11">
      <c r="A4956" s="30" t="s">
        <v>11765</v>
      </c>
      <c r="B4956" s="30" t="s">
        <v>11766</v>
      </c>
      <c r="C4956" s="30" t="s">
        <v>11767</v>
      </c>
      <c r="D4956" s="30" t="s">
        <v>17</v>
      </c>
      <c r="E4956" s="30" t="s">
        <v>31</v>
      </c>
      <c r="F4956" s="30" t="s">
        <v>32</v>
      </c>
      <c r="G4956" s="30" t="s">
        <v>20</v>
      </c>
      <c r="H4956" s="32">
        <v>159</v>
      </c>
      <c r="I4956" s="30" t="s">
        <v>21</v>
      </c>
      <c r="J4956" s="41">
        <v>44426</v>
      </c>
      <c r="K4956" s="30" t="s">
        <v>22</v>
      </c>
    </row>
    <row r="4957" spans="1:11">
      <c r="A4957" s="33" t="s">
        <v>11768</v>
      </c>
      <c r="B4957" s="33" t="s">
        <v>11769</v>
      </c>
      <c r="C4957" s="33" t="s">
        <v>985</v>
      </c>
      <c r="D4957" s="33" t="s">
        <v>17</v>
      </c>
      <c r="E4957" s="33" t="s">
        <v>26</v>
      </c>
      <c r="F4957" s="33" t="s">
        <v>27</v>
      </c>
      <c r="G4957" s="33" t="s">
        <v>20</v>
      </c>
      <c r="H4957" s="35">
        <v>24</v>
      </c>
      <c r="I4957" s="33" t="s">
        <v>21</v>
      </c>
      <c r="J4957" s="42">
        <v>44311</v>
      </c>
      <c r="K4957" s="33" t="s">
        <v>22</v>
      </c>
    </row>
    <row r="4958" spans="1:11">
      <c r="A4958" s="30" t="s">
        <v>11770</v>
      </c>
      <c r="B4958" s="30" t="s">
        <v>11771</v>
      </c>
      <c r="C4958" s="30" t="s">
        <v>11772</v>
      </c>
      <c r="D4958" s="30" t="s">
        <v>17</v>
      </c>
      <c r="E4958" s="30" t="s">
        <v>26</v>
      </c>
      <c r="F4958" s="30" t="s">
        <v>27</v>
      </c>
      <c r="G4958" s="30" t="s">
        <v>20</v>
      </c>
      <c r="H4958" s="32">
        <v>78</v>
      </c>
      <c r="I4958" s="30" t="s">
        <v>21</v>
      </c>
      <c r="J4958" s="41">
        <v>44291</v>
      </c>
      <c r="K4958" s="30" t="s">
        <v>22</v>
      </c>
    </row>
    <row r="4959" spans="1:11">
      <c r="A4959" s="33" t="s">
        <v>11773</v>
      </c>
      <c r="B4959" s="33" t="s">
        <v>11774</v>
      </c>
      <c r="C4959" s="33" t="s">
        <v>11599</v>
      </c>
      <c r="D4959" s="33" t="s">
        <v>17</v>
      </c>
      <c r="E4959" s="33" t="s">
        <v>18</v>
      </c>
      <c r="F4959" s="33" t="s">
        <v>19</v>
      </c>
      <c r="G4959" s="33" t="s">
        <v>20</v>
      </c>
      <c r="H4959" s="35">
        <v>80</v>
      </c>
      <c r="I4959" s="33" t="s">
        <v>21</v>
      </c>
      <c r="J4959" s="42">
        <v>44440</v>
      </c>
      <c r="K4959" s="33" t="s">
        <v>22</v>
      </c>
    </row>
    <row r="4960" spans="1:11">
      <c r="A4960" s="30" t="s">
        <v>11775</v>
      </c>
      <c r="B4960" s="30" t="s">
        <v>11776</v>
      </c>
      <c r="C4960" s="30" t="s">
        <v>2500</v>
      </c>
      <c r="D4960" s="30" t="s">
        <v>17</v>
      </c>
      <c r="E4960" s="30" t="s">
        <v>26</v>
      </c>
      <c r="F4960" s="30" t="s">
        <v>27</v>
      </c>
      <c r="G4960" s="30" t="s">
        <v>20</v>
      </c>
      <c r="H4960" s="32">
        <v>48</v>
      </c>
      <c r="I4960" s="30" t="s">
        <v>21</v>
      </c>
      <c r="J4960" s="41">
        <v>44245</v>
      </c>
      <c r="K4960" s="30" t="s">
        <v>22</v>
      </c>
    </row>
    <row r="4961" spans="1:11">
      <c r="A4961" s="33" t="s">
        <v>11777</v>
      </c>
      <c r="B4961" s="33" t="s">
        <v>11778</v>
      </c>
      <c r="C4961" s="33" t="s">
        <v>11363</v>
      </c>
      <c r="D4961" s="33" t="s">
        <v>17</v>
      </c>
      <c r="E4961" s="33" t="s">
        <v>31</v>
      </c>
      <c r="F4961" s="33" t="s">
        <v>32</v>
      </c>
      <c r="G4961" s="33" t="s">
        <v>20</v>
      </c>
      <c r="H4961" s="35">
        <v>1</v>
      </c>
      <c r="I4961" s="33" t="s">
        <v>21</v>
      </c>
      <c r="J4961" s="42">
        <v>44438</v>
      </c>
      <c r="K4961" s="33" t="s">
        <v>22</v>
      </c>
    </row>
    <row r="4962" spans="1:11">
      <c r="A4962" s="30" t="s">
        <v>11779</v>
      </c>
      <c r="B4962" s="30" t="s">
        <v>11780</v>
      </c>
      <c r="C4962" s="30" t="s">
        <v>102</v>
      </c>
      <c r="D4962" s="30" t="s">
        <v>17</v>
      </c>
      <c r="E4962" s="30" t="s">
        <v>330</v>
      </c>
      <c r="F4962" s="30" t="s">
        <v>331</v>
      </c>
      <c r="G4962" s="30" t="s">
        <v>20</v>
      </c>
      <c r="H4962" s="32">
        <v>24</v>
      </c>
      <c r="I4962" s="30" t="s">
        <v>21</v>
      </c>
      <c r="J4962" s="41">
        <v>44391</v>
      </c>
      <c r="K4962" s="30" t="s">
        <v>22</v>
      </c>
    </row>
    <row r="4963" spans="1:11">
      <c r="A4963" s="33" t="s">
        <v>11781</v>
      </c>
      <c r="B4963" s="33" t="s">
        <v>11782</v>
      </c>
      <c r="C4963" s="33" t="s">
        <v>11783</v>
      </c>
      <c r="D4963" s="33" t="s">
        <v>17</v>
      </c>
      <c r="E4963" s="33" t="s">
        <v>26</v>
      </c>
      <c r="F4963" s="33" t="s">
        <v>27</v>
      </c>
      <c r="G4963" s="33" t="s">
        <v>20</v>
      </c>
      <c r="H4963" s="35">
        <v>52</v>
      </c>
      <c r="I4963" s="33" t="s">
        <v>21</v>
      </c>
      <c r="J4963" s="42">
        <v>44473</v>
      </c>
      <c r="K4963" s="33" t="s">
        <v>22</v>
      </c>
    </row>
    <row r="4964" spans="1:11">
      <c r="A4964" s="30" t="s">
        <v>11784</v>
      </c>
      <c r="B4964" s="30" t="s">
        <v>11785</v>
      </c>
      <c r="C4964" s="30" t="s">
        <v>11786</v>
      </c>
      <c r="D4964" s="30" t="s">
        <v>17</v>
      </c>
      <c r="E4964" s="30" t="s">
        <v>26</v>
      </c>
      <c r="F4964" s="30" t="s">
        <v>27</v>
      </c>
      <c r="G4964" s="30" t="s">
        <v>69</v>
      </c>
      <c r="H4964" s="32">
        <v>30</v>
      </c>
      <c r="I4964" s="30" t="s">
        <v>51</v>
      </c>
      <c r="J4964" s="41">
        <v>44410</v>
      </c>
      <c r="K4964" s="30" t="s">
        <v>22</v>
      </c>
    </row>
    <row r="4965" spans="1:11">
      <c r="A4965" s="33" t="s">
        <v>11787</v>
      </c>
      <c r="B4965" s="33" t="s">
        <v>11788</v>
      </c>
      <c r="C4965" s="33" t="s">
        <v>2225</v>
      </c>
      <c r="D4965" s="33" t="s">
        <v>17</v>
      </c>
      <c r="E4965" s="33" t="s">
        <v>26</v>
      </c>
      <c r="F4965" s="33" t="s">
        <v>27</v>
      </c>
      <c r="G4965" s="33" t="s">
        <v>106</v>
      </c>
      <c r="H4965" s="35">
        <v>9</v>
      </c>
      <c r="I4965" s="33" t="s">
        <v>21</v>
      </c>
      <c r="J4965" s="42">
        <v>44294</v>
      </c>
      <c r="K4965" s="33" t="s">
        <v>22</v>
      </c>
    </row>
    <row r="4966" spans="1:11">
      <c r="A4966" s="30" t="s">
        <v>11789</v>
      </c>
      <c r="B4966" s="30" t="s">
        <v>11790</v>
      </c>
      <c r="C4966" s="30" t="s">
        <v>190</v>
      </c>
      <c r="D4966" s="30" t="s">
        <v>17</v>
      </c>
      <c r="E4966" s="30" t="s">
        <v>26</v>
      </c>
      <c r="F4966" s="30" t="s">
        <v>27</v>
      </c>
      <c r="G4966" s="30" t="s">
        <v>106</v>
      </c>
      <c r="H4966" s="32">
        <v>46</v>
      </c>
      <c r="I4966" s="30" t="s">
        <v>21</v>
      </c>
      <c r="J4966" s="41">
        <v>44358</v>
      </c>
      <c r="K4966" s="30" t="s">
        <v>22</v>
      </c>
    </row>
    <row r="4967" spans="1:11">
      <c r="A4967" s="33" t="s">
        <v>11791</v>
      </c>
      <c r="B4967" s="33" t="s">
        <v>11792</v>
      </c>
      <c r="C4967" s="33" t="s">
        <v>11793</v>
      </c>
      <c r="D4967" s="33" t="s">
        <v>17</v>
      </c>
      <c r="E4967" s="33" t="s">
        <v>31</v>
      </c>
      <c r="F4967" s="33" t="s">
        <v>32</v>
      </c>
      <c r="G4967" s="33" t="s">
        <v>140</v>
      </c>
      <c r="H4967" s="35">
        <v>100</v>
      </c>
      <c r="I4967" s="33" t="s">
        <v>51</v>
      </c>
      <c r="J4967" s="42">
        <v>44417</v>
      </c>
      <c r="K4967" s="33" t="s">
        <v>22</v>
      </c>
    </row>
    <row r="4968" spans="1:11">
      <c r="A4968" s="30" t="s">
        <v>11794</v>
      </c>
      <c r="B4968" s="30" t="s">
        <v>11795</v>
      </c>
      <c r="C4968" s="30" t="s">
        <v>11796</v>
      </c>
      <c r="D4968" s="30" t="s">
        <v>17</v>
      </c>
      <c r="E4968" s="30" t="s">
        <v>31</v>
      </c>
      <c r="F4968" s="30" t="s">
        <v>32</v>
      </c>
      <c r="G4968" s="30" t="s">
        <v>20</v>
      </c>
      <c r="H4968" s="32">
        <v>108</v>
      </c>
      <c r="I4968" s="30" t="s">
        <v>21</v>
      </c>
      <c r="J4968" s="41">
        <v>44270</v>
      </c>
      <c r="K4968" s="30" t="s">
        <v>22</v>
      </c>
    </row>
    <row r="4969" spans="1:11">
      <c r="A4969" s="33" t="s">
        <v>11797</v>
      </c>
      <c r="B4969" s="33" t="s">
        <v>11798</v>
      </c>
      <c r="C4969" s="33" t="s">
        <v>109</v>
      </c>
      <c r="D4969" s="33" t="s">
        <v>17</v>
      </c>
      <c r="E4969" s="33" t="s">
        <v>18</v>
      </c>
      <c r="F4969" s="33" t="s">
        <v>19</v>
      </c>
      <c r="G4969" s="33" t="s">
        <v>112</v>
      </c>
      <c r="H4969" s="35">
        <v>0</v>
      </c>
      <c r="I4969" s="33" t="s">
        <v>21</v>
      </c>
      <c r="J4969" s="42">
        <v>44347</v>
      </c>
      <c r="K4969" s="33" t="s">
        <v>22</v>
      </c>
    </row>
    <row r="4970" spans="1:11">
      <c r="A4970" s="30" t="s">
        <v>11799</v>
      </c>
      <c r="B4970" s="30" t="s">
        <v>11800</v>
      </c>
      <c r="C4970" s="30" t="s">
        <v>11801</v>
      </c>
      <c r="D4970" s="30" t="s">
        <v>17</v>
      </c>
      <c r="E4970" s="30" t="s">
        <v>18</v>
      </c>
      <c r="F4970" s="30" t="s">
        <v>19</v>
      </c>
      <c r="G4970" s="30" t="s">
        <v>20</v>
      </c>
      <c r="H4970" s="32">
        <v>155</v>
      </c>
      <c r="I4970" s="30" t="s">
        <v>21</v>
      </c>
      <c r="J4970" s="41">
        <v>44378</v>
      </c>
      <c r="K4970" s="30" t="s">
        <v>22</v>
      </c>
    </row>
    <row r="4971" spans="1:11">
      <c r="A4971" s="33" t="s">
        <v>11802</v>
      </c>
      <c r="B4971" s="33" t="s">
        <v>11803</v>
      </c>
      <c r="C4971" s="33" t="s">
        <v>1918</v>
      </c>
      <c r="D4971" s="33" t="s">
        <v>17</v>
      </c>
      <c r="E4971" s="33" t="s">
        <v>31</v>
      </c>
      <c r="F4971" s="33" t="s">
        <v>32</v>
      </c>
      <c r="G4971" s="33" t="s">
        <v>20</v>
      </c>
      <c r="H4971" s="35">
        <v>18</v>
      </c>
      <c r="I4971" s="33" t="s">
        <v>21</v>
      </c>
      <c r="J4971" s="42">
        <v>44300</v>
      </c>
      <c r="K4971" s="33" t="s">
        <v>22</v>
      </c>
    </row>
    <row r="4972" spans="1:11">
      <c r="A4972" s="30" t="s">
        <v>11804</v>
      </c>
      <c r="B4972" s="30" t="s">
        <v>11805</v>
      </c>
      <c r="C4972" s="30" t="s">
        <v>11806</v>
      </c>
      <c r="D4972" s="30" t="s">
        <v>17</v>
      </c>
      <c r="E4972" s="30" t="s">
        <v>67</v>
      </c>
      <c r="F4972" s="30" t="s">
        <v>68</v>
      </c>
      <c r="G4972" s="30" t="s">
        <v>106</v>
      </c>
      <c r="H4972" s="32">
        <v>2</v>
      </c>
      <c r="I4972" s="30" t="s">
        <v>21</v>
      </c>
      <c r="J4972" s="41">
        <v>44417</v>
      </c>
      <c r="K4972" s="30" t="s">
        <v>22</v>
      </c>
    </row>
    <row r="4973" spans="1:11">
      <c r="A4973" s="33" t="s">
        <v>11807</v>
      </c>
      <c r="B4973" s="33" t="s">
        <v>11808</v>
      </c>
      <c r="C4973" s="33" t="s">
        <v>10885</v>
      </c>
      <c r="D4973" s="33" t="s">
        <v>17</v>
      </c>
      <c r="E4973" s="33" t="s">
        <v>26</v>
      </c>
      <c r="F4973" s="33" t="s">
        <v>27</v>
      </c>
      <c r="G4973" s="33" t="s">
        <v>50</v>
      </c>
      <c r="H4973" s="35">
        <v>76</v>
      </c>
      <c r="I4973" s="33" t="s">
        <v>51</v>
      </c>
      <c r="J4973" s="42">
        <v>44234</v>
      </c>
      <c r="K4973" s="33" t="s">
        <v>22</v>
      </c>
    </row>
    <row r="4974" spans="1:11">
      <c r="A4974" s="30" t="s">
        <v>11809</v>
      </c>
      <c r="B4974" s="30" t="s">
        <v>11810</v>
      </c>
      <c r="C4974" s="30" t="s">
        <v>10268</v>
      </c>
      <c r="D4974" s="30" t="s">
        <v>17</v>
      </c>
      <c r="E4974" s="30" t="s">
        <v>18</v>
      </c>
      <c r="F4974" s="30" t="s">
        <v>19</v>
      </c>
      <c r="G4974" s="30" t="s">
        <v>20</v>
      </c>
      <c r="H4974" s="32">
        <v>232</v>
      </c>
      <c r="I4974" s="30" t="s">
        <v>21</v>
      </c>
      <c r="J4974" s="41">
        <v>44349</v>
      </c>
      <c r="K4974" s="30" t="s">
        <v>22</v>
      </c>
    </row>
    <row r="4975" spans="1:11">
      <c r="A4975" s="33" t="s">
        <v>11811</v>
      </c>
      <c r="B4975" s="33" t="s">
        <v>11812</v>
      </c>
      <c r="C4975" s="33" t="s">
        <v>102</v>
      </c>
      <c r="D4975" s="33" t="s">
        <v>17</v>
      </c>
      <c r="E4975" s="33" t="s">
        <v>31</v>
      </c>
      <c r="F4975" s="33" t="s">
        <v>32</v>
      </c>
      <c r="G4975" s="33" t="s">
        <v>106</v>
      </c>
      <c r="H4975" s="35">
        <v>151</v>
      </c>
      <c r="I4975" s="33" t="s">
        <v>21</v>
      </c>
      <c r="J4975" s="42">
        <v>44481</v>
      </c>
      <c r="K4975" s="33" t="s">
        <v>22</v>
      </c>
    </row>
    <row r="4976" spans="1:11">
      <c r="A4976" s="30" t="s">
        <v>11813</v>
      </c>
      <c r="B4976" s="30" t="s">
        <v>11814</v>
      </c>
      <c r="C4976" s="30" t="s">
        <v>1024</v>
      </c>
      <c r="D4976" s="30" t="s">
        <v>17</v>
      </c>
      <c r="E4976" s="30" t="s">
        <v>18</v>
      </c>
      <c r="F4976" s="30" t="s">
        <v>19</v>
      </c>
      <c r="G4976" s="30" t="s">
        <v>158</v>
      </c>
      <c r="H4976" s="32">
        <v>129</v>
      </c>
      <c r="I4976" s="30" t="s">
        <v>51</v>
      </c>
      <c r="J4976" s="41">
        <v>44363</v>
      </c>
      <c r="K4976" s="30" t="s">
        <v>22</v>
      </c>
    </row>
    <row r="4977" spans="1:11">
      <c r="A4977" s="33" t="s">
        <v>11815</v>
      </c>
      <c r="B4977" s="33" t="s">
        <v>11816</v>
      </c>
      <c r="C4977" s="33" t="s">
        <v>5000</v>
      </c>
      <c r="D4977" s="33" t="s">
        <v>17</v>
      </c>
      <c r="E4977" s="33" t="s">
        <v>31</v>
      </c>
      <c r="F4977" s="33" t="s">
        <v>32</v>
      </c>
      <c r="G4977" s="33" t="s">
        <v>20</v>
      </c>
      <c r="H4977" s="35">
        <v>30</v>
      </c>
      <c r="I4977" s="33" t="s">
        <v>21</v>
      </c>
      <c r="J4977" s="42">
        <v>44530</v>
      </c>
      <c r="K4977" s="33" t="s">
        <v>22</v>
      </c>
    </row>
    <row r="4978" spans="1:11">
      <c r="A4978" s="30" t="s">
        <v>11817</v>
      </c>
      <c r="B4978" s="30" t="s">
        <v>11818</v>
      </c>
      <c r="C4978" s="30" t="s">
        <v>11819</v>
      </c>
      <c r="D4978" s="30" t="s">
        <v>17</v>
      </c>
      <c r="E4978" s="30" t="s">
        <v>67</v>
      </c>
      <c r="F4978" s="30" t="s">
        <v>68</v>
      </c>
      <c r="G4978" s="30" t="s">
        <v>20</v>
      </c>
      <c r="H4978" s="32">
        <v>281</v>
      </c>
      <c r="I4978" s="30" t="s">
        <v>21</v>
      </c>
      <c r="J4978" s="41">
        <v>44335</v>
      </c>
      <c r="K4978" s="30" t="s">
        <v>22</v>
      </c>
    </row>
    <row r="4979" spans="1:11">
      <c r="A4979" s="33" t="s">
        <v>11820</v>
      </c>
      <c r="B4979" s="33" t="s">
        <v>11821</v>
      </c>
      <c r="C4979" s="33" t="s">
        <v>6721</v>
      </c>
      <c r="D4979" s="33" t="s">
        <v>17</v>
      </c>
      <c r="E4979" s="33" t="s">
        <v>26</v>
      </c>
      <c r="F4979" s="33" t="s">
        <v>27</v>
      </c>
      <c r="G4979" s="33" t="s">
        <v>20</v>
      </c>
      <c r="H4979" s="35">
        <v>50</v>
      </c>
      <c r="I4979" s="33" t="s">
        <v>21</v>
      </c>
      <c r="J4979" s="42">
        <v>44559</v>
      </c>
      <c r="K4979" s="33" t="s">
        <v>22</v>
      </c>
    </row>
    <row r="4980" spans="1:11">
      <c r="A4980" s="30" t="s">
        <v>11822</v>
      </c>
      <c r="B4980" s="30" t="s">
        <v>11823</v>
      </c>
      <c r="C4980" s="30" t="s">
        <v>11824</v>
      </c>
      <c r="D4980" s="30" t="s">
        <v>17</v>
      </c>
      <c r="E4980" s="30" t="s">
        <v>67</v>
      </c>
      <c r="F4980" s="30" t="s">
        <v>68</v>
      </c>
      <c r="G4980" s="30" t="s">
        <v>50</v>
      </c>
      <c r="H4980" s="32">
        <v>330</v>
      </c>
      <c r="I4980" s="30" t="s">
        <v>51</v>
      </c>
      <c r="J4980" s="41">
        <v>44389</v>
      </c>
      <c r="K4980" s="30" t="s">
        <v>22</v>
      </c>
    </row>
    <row r="4981" spans="1:11">
      <c r="A4981" s="33" t="s">
        <v>11825</v>
      </c>
      <c r="B4981" s="33" t="s">
        <v>11826</v>
      </c>
      <c r="C4981" s="33" t="s">
        <v>10300</v>
      </c>
      <c r="D4981" s="33" t="s">
        <v>17</v>
      </c>
      <c r="E4981" s="33" t="s">
        <v>18</v>
      </c>
      <c r="F4981" s="33" t="s">
        <v>19</v>
      </c>
      <c r="G4981" s="33" t="s">
        <v>20</v>
      </c>
      <c r="H4981" s="35">
        <v>240</v>
      </c>
      <c r="I4981" s="33" t="s">
        <v>21</v>
      </c>
      <c r="J4981" s="42">
        <v>44462</v>
      </c>
      <c r="K4981" s="33" t="s">
        <v>22</v>
      </c>
    </row>
    <row r="4982" spans="1:11">
      <c r="A4982" s="30" t="s">
        <v>11827</v>
      </c>
      <c r="B4982" s="30" t="s">
        <v>11828</v>
      </c>
      <c r="C4982" s="30" t="s">
        <v>190</v>
      </c>
      <c r="D4982" s="30" t="s">
        <v>17</v>
      </c>
      <c r="E4982" s="30" t="s">
        <v>26</v>
      </c>
      <c r="F4982" s="30" t="s">
        <v>27</v>
      </c>
      <c r="G4982" s="30" t="s">
        <v>20</v>
      </c>
      <c r="H4982" s="32">
        <v>20</v>
      </c>
      <c r="I4982" s="30" t="s">
        <v>21</v>
      </c>
      <c r="J4982" s="41">
        <v>44418</v>
      </c>
      <c r="K4982" s="30" t="s">
        <v>22</v>
      </c>
    </row>
    <row r="4983" spans="1:11">
      <c r="A4983" s="33" t="s">
        <v>11829</v>
      </c>
      <c r="B4983" s="33" t="s">
        <v>11830</v>
      </c>
      <c r="C4983" s="33" t="s">
        <v>11831</v>
      </c>
      <c r="D4983" s="33" t="s">
        <v>17</v>
      </c>
      <c r="E4983" s="33" t="s">
        <v>31</v>
      </c>
      <c r="F4983" s="33" t="s">
        <v>32</v>
      </c>
      <c r="G4983" s="33" t="s">
        <v>20</v>
      </c>
      <c r="H4983" s="35">
        <v>153</v>
      </c>
      <c r="I4983" s="33" t="s">
        <v>21</v>
      </c>
      <c r="J4983" s="42">
        <v>44277</v>
      </c>
      <c r="K4983" s="33" t="s">
        <v>22</v>
      </c>
    </row>
    <row r="4984" spans="1:11">
      <c r="A4984" s="30" t="s">
        <v>11832</v>
      </c>
      <c r="B4984" s="30" t="s">
        <v>11833</v>
      </c>
      <c r="C4984" s="30" t="s">
        <v>9856</v>
      </c>
      <c r="D4984" s="30" t="s">
        <v>17</v>
      </c>
      <c r="E4984" s="30" t="s">
        <v>31</v>
      </c>
      <c r="F4984" s="30" t="s">
        <v>32</v>
      </c>
      <c r="G4984" s="30" t="s">
        <v>20</v>
      </c>
      <c r="H4984" s="32">
        <v>42</v>
      </c>
      <c r="I4984" s="30" t="s">
        <v>21</v>
      </c>
      <c r="J4984" s="41">
        <v>44470</v>
      </c>
      <c r="K4984" s="30" t="s">
        <v>22</v>
      </c>
    </row>
    <row r="4985" spans="1:11">
      <c r="A4985" s="33" t="s">
        <v>11834</v>
      </c>
      <c r="B4985" s="33" t="s">
        <v>11835</v>
      </c>
      <c r="C4985" s="33" t="s">
        <v>1686</v>
      </c>
      <c r="D4985" s="33" t="s">
        <v>17</v>
      </c>
      <c r="E4985" s="33" t="s">
        <v>26</v>
      </c>
      <c r="F4985" s="33" t="s">
        <v>27</v>
      </c>
      <c r="G4985" s="33" t="s">
        <v>20</v>
      </c>
      <c r="H4985" s="35">
        <v>56</v>
      </c>
      <c r="I4985" s="33" t="s">
        <v>21</v>
      </c>
      <c r="J4985" s="42">
        <v>44389</v>
      </c>
      <c r="K4985" s="33" t="s">
        <v>22</v>
      </c>
    </row>
    <row r="4986" spans="1:11">
      <c r="A4986" s="30" t="s">
        <v>11836</v>
      </c>
      <c r="B4986" s="30" t="s">
        <v>11837</v>
      </c>
      <c r="C4986" s="30" t="s">
        <v>9493</v>
      </c>
      <c r="D4986" s="30" t="s">
        <v>17</v>
      </c>
      <c r="E4986" s="30" t="s">
        <v>31</v>
      </c>
      <c r="F4986" s="30" t="s">
        <v>32</v>
      </c>
      <c r="G4986" s="30" t="s">
        <v>158</v>
      </c>
      <c r="H4986" s="32">
        <v>150</v>
      </c>
      <c r="I4986" s="30" t="s">
        <v>51</v>
      </c>
      <c r="J4986" s="41">
        <v>44348</v>
      </c>
      <c r="K4986" s="30" t="s">
        <v>22</v>
      </c>
    </row>
    <row r="4987" spans="1:11">
      <c r="A4987" s="33" t="s">
        <v>11838</v>
      </c>
      <c r="B4987" s="33" t="s">
        <v>11839</v>
      </c>
      <c r="C4987" s="33" t="s">
        <v>11840</v>
      </c>
      <c r="D4987" s="33" t="s">
        <v>17</v>
      </c>
      <c r="E4987" s="33" t="s">
        <v>31</v>
      </c>
      <c r="F4987" s="33" t="s">
        <v>32</v>
      </c>
      <c r="G4987" s="33" t="s">
        <v>106</v>
      </c>
      <c r="H4987" s="35">
        <v>19</v>
      </c>
      <c r="I4987" s="33" t="s">
        <v>21</v>
      </c>
      <c r="J4987" s="42">
        <v>44469</v>
      </c>
      <c r="K4987" s="33" t="s">
        <v>22</v>
      </c>
    </row>
    <row r="4988" spans="1:11">
      <c r="A4988" s="30" t="s">
        <v>11841</v>
      </c>
      <c r="B4988" s="30" t="s">
        <v>11842</v>
      </c>
      <c r="C4988" s="30" t="s">
        <v>822</v>
      </c>
      <c r="D4988" s="30" t="s">
        <v>17</v>
      </c>
      <c r="E4988" s="30" t="s">
        <v>26</v>
      </c>
      <c r="F4988" s="30" t="s">
        <v>27</v>
      </c>
      <c r="G4988" s="30" t="s">
        <v>20</v>
      </c>
      <c r="H4988" s="32">
        <v>106</v>
      </c>
      <c r="I4988" s="30" t="s">
        <v>21</v>
      </c>
      <c r="J4988" s="41">
        <v>44295</v>
      </c>
      <c r="K4988" s="30" t="s">
        <v>22</v>
      </c>
    </row>
    <row r="4989" spans="1:11">
      <c r="A4989" s="33" t="s">
        <v>11843</v>
      </c>
      <c r="B4989" s="33" t="s">
        <v>11844</v>
      </c>
      <c r="C4989" s="33" t="s">
        <v>2609</v>
      </c>
      <c r="D4989" s="33" t="s">
        <v>17</v>
      </c>
      <c r="E4989" s="33" t="s">
        <v>18</v>
      </c>
      <c r="F4989" s="33" t="s">
        <v>19</v>
      </c>
      <c r="G4989" s="33" t="s">
        <v>20</v>
      </c>
      <c r="H4989" s="35">
        <v>287</v>
      </c>
      <c r="I4989" s="33" t="s">
        <v>21</v>
      </c>
      <c r="J4989" s="42">
        <v>44241</v>
      </c>
      <c r="K4989" s="33" t="s">
        <v>22</v>
      </c>
    </row>
    <row r="4990" spans="1:11">
      <c r="A4990" s="30" t="s">
        <v>11845</v>
      </c>
      <c r="B4990" s="30" t="s">
        <v>11846</v>
      </c>
      <c r="C4990" s="30" t="s">
        <v>11847</v>
      </c>
      <c r="D4990" s="30" t="s">
        <v>17</v>
      </c>
      <c r="E4990" s="30" t="s">
        <v>26</v>
      </c>
      <c r="F4990" s="30" t="s">
        <v>27</v>
      </c>
      <c r="G4990" s="30" t="s">
        <v>20</v>
      </c>
      <c r="H4990" s="32">
        <v>46</v>
      </c>
      <c r="I4990" s="30" t="s">
        <v>21</v>
      </c>
      <c r="J4990" s="41">
        <v>44219</v>
      </c>
      <c r="K4990" s="30" t="s">
        <v>22</v>
      </c>
    </row>
    <row r="4991" spans="1:11">
      <c r="A4991" s="33" t="s">
        <v>11848</v>
      </c>
      <c r="B4991" s="33" t="s">
        <v>11849</v>
      </c>
      <c r="C4991" s="33" t="s">
        <v>11850</v>
      </c>
      <c r="D4991" s="33" t="s">
        <v>17</v>
      </c>
      <c r="E4991" s="33" t="s">
        <v>26</v>
      </c>
      <c r="F4991" s="33" t="s">
        <v>27</v>
      </c>
      <c r="G4991" s="33" t="s">
        <v>20</v>
      </c>
      <c r="H4991" s="35">
        <v>12</v>
      </c>
      <c r="I4991" s="33" t="s">
        <v>21</v>
      </c>
      <c r="J4991" s="42">
        <v>44319</v>
      </c>
      <c r="K4991" s="33" t="s">
        <v>22</v>
      </c>
    </row>
    <row r="4992" spans="1:11">
      <c r="A4992" s="30" t="s">
        <v>11851</v>
      </c>
      <c r="B4992" s="30" t="s">
        <v>11852</v>
      </c>
      <c r="C4992" s="30" t="s">
        <v>6663</v>
      </c>
      <c r="D4992" s="30" t="s">
        <v>17</v>
      </c>
      <c r="E4992" s="30" t="s">
        <v>67</v>
      </c>
      <c r="F4992" s="30" t="s">
        <v>68</v>
      </c>
      <c r="G4992" s="30" t="s">
        <v>20</v>
      </c>
      <c r="H4992" s="32">
        <v>80</v>
      </c>
      <c r="I4992" s="30" t="s">
        <v>21</v>
      </c>
      <c r="J4992" s="41">
        <v>44530</v>
      </c>
      <c r="K4992" s="30" t="s">
        <v>22</v>
      </c>
    </row>
    <row r="4993" spans="1:11">
      <c r="A4993" s="33" t="s">
        <v>11853</v>
      </c>
      <c r="B4993" s="33" t="s">
        <v>11854</v>
      </c>
      <c r="C4993" s="33" t="s">
        <v>109</v>
      </c>
      <c r="D4993" s="33" t="s">
        <v>17</v>
      </c>
      <c r="E4993" s="33" t="s">
        <v>18</v>
      </c>
      <c r="F4993" s="33" t="s">
        <v>19</v>
      </c>
      <c r="G4993" s="33" t="s">
        <v>158</v>
      </c>
      <c r="H4993" s="35">
        <v>153</v>
      </c>
      <c r="I4993" s="33" t="s">
        <v>21</v>
      </c>
      <c r="J4993" s="42">
        <v>44515</v>
      </c>
      <c r="K4993" s="33" t="s">
        <v>22</v>
      </c>
    </row>
    <row r="4994" spans="1:11">
      <c r="A4994" s="30" t="s">
        <v>11855</v>
      </c>
      <c r="B4994" s="30" t="s">
        <v>11856</v>
      </c>
      <c r="C4994" s="30" t="s">
        <v>7094</v>
      </c>
      <c r="D4994" s="30" t="s">
        <v>17</v>
      </c>
      <c r="E4994" s="30" t="s">
        <v>18</v>
      </c>
      <c r="F4994" s="30" t="s">
        <v>19</v>
      </c>
      <c r="G4994" s="30" t="s">
        <v>20</v>
      </c>
      <c r="H4994" s="32">
        <v>406</v>
      </c>
      <c r="I4994" s="30" t="s">
        <v>21</v>
      </c>
      <c r="J4994" s="41">
        <v>44257</v>
      </c>
      <c r="K4994" s="30" t="s">
        <v>22</v>
      </c>
    </row>
    <row r="4995" spans="1:11">
      <c r="A4995" s="33" t="s">
        <v>11857</v>
      </c>
      <c r="B4995" s="33" t="s">
        <v>11858</v>
      </c>
      <c r="C4995" s="33" t="s">
        <v>149</v>
      </c>
      <c r="D4995" s="33" t="s">
        <v>17</v>
      </c>
      <c r="E4995" s="33" t="s">
        <v>18</v>
      </c>
      <c r="F4995" s="33" t="s">
        <v>19</v>
      </c>
      <c r="G4995" s="33" t="s">
        <v>50</v>
      </c>
      <c r="H4995" s="35">
        <v>760</v>
      </c>
      <c r="I4995" s="33" t="s">
        <v>51</v>
      </c>
      <c r="J4995" s="42">
        <v>44197</v>
      </c>
      <c r="K4995" s="33" t="s">
        <v>22</v>
      </c>
    </row>
    <row r="4996" spans="1:11">
      <c r="A4996" s="30" t="s">
        <v>11859</v>
      </c>
      <c r="B4996" s="30" t="s">
        <v>11860</v>
      </c>
      <c r="C4996" s="30" t="s">
        <v>318</v>
      </c>
      <c r="D4996" s="30" t="s">
        <v>17</v>
      </c>
      <c r="E4996" s="30" t="s">
        <v>26</v>
      </c>
      <c r="F4996" s="30" t="s">
        <v>27</v>
      </c>
      <c r="G4996" s="30" t="s">
        <v>106</v>
      </c>
      <c r="H4996" s="32">
        <v>3</v>
      </c>
      <c r="I4996" s="30" t="s">
        <v>21</v>
      </c>
      <c r="J4996" s="41">
        <v>44439</v>
      </c>
      <c r="K4996" s="30" t="s">
        <v>22</v>
      </c>
    </row>
    <row r="4997" spans="1:11">
      <c r="A4997" s="33" t="s">
        <v>11861</v>
      </c>
      <c r="B4997" s="33" t="s">
        <v>11862</v>
      </c>
      <c r="C4997" s="33" t="s">
        <v>11863</v>
      </c>
      <c r="D4997" s="33" t="s">
        <v>17</v>
      </c>
      <c r="E4997" s="33" t="s">
        <v>67</v>
      </c>
      <c r="F4997" s="33" t="s">
        <v>68</v>
      </c>
      <c r="G4997" s="33" t="s">
        <v>20</v>
      </c>
      <c r="H4997" s="35">
        <v>15</v>
      </c>
      <c r="I4997" s="33" t="s">
        <v>21</v>
      </c>
      <c r="J4997" s="42">
        <v>44249</v>
      </c>
      <c r="K4997" s="33" t="s">
        <v>22</v>
      </c>
    </row>
    <row r="4998" spans="1:11">
      <c r="A4998" s="30" t="s">
        <v>11864</v>
      </c>
      <c r="B4998" s="30" t="s">
        <v>11865</v>
      </c>
      <c r="C4998" s="30" t="s">
        <v>6955</v>
      </c>
      <c r="D4998" s="30" t="s">
        <v>17</v>
      </c>
      <c r="E4998" s="30" t="s">
        <v>26</v>
      </c>
      <c r="F4998" s="30" t="s">
        <v>27</v>
      </c>
      <c r="G4998" s="30" t="s">
        <v>20</v>
      </c>
      <c r="H4998" s="32">
        <v>22</v>
      </c>
      <c r="I4998" s="30" t="s">
        <v>21</v>
      </c>
      <c r="J4998" s="41">
        <v>44440</v>
      </c>
      <c r="K4998" s="30" t="s">
        <v>22</v>
      </c>
    </row>
    <row r="4999" spans="1:11">
      <c r="A4999" s="33" t="s">
        <v>11866</v>
      </c>
      <c r="B4999" s="33" t="s">
        <v>11867</v>
      </c>
      <c r="C4999" s="33" t="s">
        <v>11868</v>
      </c>
      <c r="D4999" s="33" t="s">
        <v>17</v>
      </c>
      <c r="E4999" s="33" t="s">
        <v>67</v>
      </c>
      <c r="F4999" s="33" t="s">
        <v>68</v>
      </c>
      <c r="G4999" s="33" t="s">
        <v>20</v>
      </c>
      <c r="H4999" s="35">
        <v>50</v>
      </c>
      <c r="I4999" s="33" t="s">
        <v>21</v>
      </c>
      <c r="J4999" s="42">
        <v>44210</v>
      </c>
      <c r="K4999" s="33" t="s">
        <v>22</v>
      </c>
    </row>
    <row r="5000" spans="1:11">
      <c r="A5000" s="30" t="s">
        <v>11869</v>
      </c>
      <c r="B5000" s="30" t="s">
        <v>11870</v>
      </c>
      <c r="C5000" s="30" t="s">
        <v>190</v>
      </c>
      <c r="D5000" s="30" t="s">
        <v>17</v>
      </c>
      <c r="E5000" s="30" t="s">
        <v>18</v>
      </c>
      <c r="F5000" s="30" t="s">
        <v>19</v>
      </c>
      <c r="G5000" s="30" t="s">
        <v>20</v>
      </c>
      <c r="H5000" s="32">
        <v>277</v>
      </c>
      <c r="I5000" s="30" t="s">
        <v>21</v>
      </c>
      <c r="J5000" s="41">
        <v>44452</v>
      </c>
      <c r="K5000" s="30" t="s">
        <v>22</v>
      </c>
    </row>
    <row r="5001" spans="1:11">
      <c r="A5001" s="33" t="s">
        <v>11871</v>
      </c>
      <c r="B5001" s="33" t="s">
        <v>11872</v>
      </c>
      <c r="C5001" s="33" t="s">
        <v>847</v>
      </c>
      <c r="D5001" s="33" t="s">
        <v>17</v>
      </c>
      <c r="E5001" s="33" t="s">
        <v>330</v>
      </c>
      <c r="F5001" s="33" t="s">
        <v>331</v>
      </c>
      <c r="G5001" s="33" t="s">
        <v>50</v>
      </c>
      <c r="H5001" s="35">
        <v>24</v>
      </c>
      <c r="I5001" s="33" t="s">
        <v>51</v>
      </c>
      <c r="J5001" s="42">
        <v>44330</v>
      </c>
      <c r="K5001" s="33" t="s">
        <v>22</v>
      </c>
    </row>
    <row r="5002" spans="1:11">
      <c r="A5002" s="30" t="s">
        <v>11873</v>
      </c>
      <c r="B5002" s="30" t="s">
        <v>11874</v>
      </c>
      <c r="C5002" s="30" t="s">
        <v>8421</v>
      </c>
      <c r="D5002" s="30" t="s">
        <v>17</v>
      </c>
      <c r="E5002" s="30" t="s">
        <v>31</v>
      </c>
      <c r="F5002" s="30" t="s">
        <v>32</v>
      </c>
      <c r="G5002" s="30" t="s">
        <v>20</v>
      </c>
      <c r="H5002" s="32">
        <v>36</v>
      </c>
      <c r="I5002" s="30" t="s">
        <v>21</v>
      </c>
      <c r="J5002" s="41">
        <v>44224</v>
      </c>
      <c r="K5002" s="30" t="s">
        <v>22</v>
      </c>
    </row>
    <row r="5003" spans="1:11">
      <c r="A5003" s="33" t="s">
        <v>11875</v>
      </c>
      <c r="B5003" s="33" t="s">
        <v>11876</v>
      </c>
      <c r="C5003" s="33" t="s">
        <v>925</v>
      </c>
      <c r="D5003" s="33" t="s">
        <v>17</v>
      </c>
      <c r="E5003" s="33" t="s">
        <v>31</v>
      </c>
      <c r="F5003" s="33" t="s">
        <v>32</v>
      </c>
      <c r="G5003" s="33" t="s">
        <v>106</v>
      </c>
      <c r="H5003" s="35">
        <v>106</v>
      </c>
      <c r="I5003" s="33" t="s">
        <v>21</v>
      </c>
      <c r="J5003" s="42">
        <v>44470</v>
      </c>
      <c r="K5003" s="33" t="s">
        <v>22</v>
      </c>
    </row>
    <row r="5004" spans="1:11">
      <c r="A5004" s="30" t="s">
        <v>11877</v>
      </c>
      <c r="B5004" s="30" t="s">
        <v>11878</v>
      </c>
      <c r="C5004" s="30" t="s">
        <v>11879</v>
      </c>
      <c r="D5004" s="30" t="s">
        <v>17</v>
      </c>
      <c r="E5004" s="30" t="s">
        <v>212</v>
      </c>
      <c r="F5004" s="30" t="s">
        <v>213</v>
      </c>
      <c r="G5004" s="30" t="s">
        <v>50</v>
      </c>
      <c r="H5004" s="32">
        <v>328</v>
      </c>
      <c r="I5004" s="30" t="s">
        <v>51</v>
      </c>
      <c r="J5004" s="41">
        <v>44494</v>
      </c>
      <c r="K5004" s="30" t="s">
        <v>22</v>
      </c>
    </row>
    <row r="5005" spans="1:11">
      <c r="A5005" s="33" t="s">
        <v>11880</v>
      </c>
      <c r="B5005" s="33" t="s">
        <v>11881</v>
      </c>
      <c r="C5005" s="33" t="s">
        <v>9078</v>
      </c>
      <c r="D5005" s="33" t="s">
        <v>17</v>
      </c>
      <c r="E5005" s="33" t="s">
        <v>26</v>
      </c>
      <c r="F5005" s="33" t="s">
        <v>27</v>
      </c>
      <c r="G5005" s="33" t="s">
        <v>20</v>
      </c>
      <c r="H5005" s="35">
        <v>11</v>
      </c>
      <c r="I5005" s="33" t="s">
        <v>21</v>
      </c>
      <c r="J5005" s="42">
        <v>44208</v>
      </c>
      <c r="K5005" s="33" t="s">
        <v>22</v>
      </c>
    </row>
    <row r="5006" spans="1:11">
      <c r="A5006" s="30" t="s">
        <v>11882</v>
      </c>
      <c r="B5006" s="30" t="s">
        <v>3881</v>
      </c>
      <c r="C5006" s="30" t="s">
        <v>78</v>
      </c>
      <c r="D5006" s="30" t="s">
        <v>17</v>
      </c>
      <c r="E5006" s="30" t="s">
        <v>26</v>
      </c>
      <c r="F5006" s="30" t="s">
        <v>27</v>
      </c>
      <c r="G5006" s="30" t="s">
        <v>50</v>
      </c>
      <c r="H5006" s="32">
        <v>52</v>
      </c>
      <c r="I5006" s="30" t="s">
        <v>51</v>
      </c>
      <c r="J5006" s="41">
        <v>44351</v>
      </c>
      <c r="K5006" s="30" t="s">
        <v>22</v>
      </c>
    </row>
    <row r="5007" spans="1:11">
      <c r="A5007" s="33" t="s">
        <v>11883</v>
      </c>
      <c r="B5007" s="33" t="s">
        <v>11884</v>
      </c>
      <c r="C5007" s="33" t="s">
        <v>7900</v>
      </c>
      <c r="D5007" s="33" t="s">
        <v>17</v>
      </c>
      <c r="E5007" s="33" t="s">
        <v>26</v>
      </c>
      <c r="F5007" s="33" t="s">
        <v>27</v>
      </c>
      <c r="G5007" s="33" t="s">
        <v>20</v>
      </c>
      <c r="H5007" s="35">
        <v>28</v>
      </c>
      <c r="I5007" s="33" t="s">
        <v>21</v>
      </c>
      <c r="J5007" s="42">
        <v>44529</v>
      </c>
      <c r="K5007" s="33" t="s">
        <v>22</v>
      </c>
    </row>
    <row r="5008" spans="1:11">
      <c r="A5008" s="30" t="s">
        <v>11885</v>
      </c>
      <c r="B5008" s="30" t="s">
        <v>11886</v>
      </c>
      <c r="C5008" s="30" t="s">
        <v>11887</v>
      </c>
      <c r="D5008" s="30" t="s">
        <v>17</v>
      </c>
      <c r="E5008" s="30" t="s">
        <v>26</v>
      </c>
      <c r="F5008" s="30" t="s">
        <v>27</v>
      </c>
      <c r="G5008" s="30" t="s">
        <v>106</v>
      </c>
      <c r="H5008" s="32">
        <v>25</v>
      </c>
      <c r="I5008" s="30" t="s">
        <v>21</v>
      </c>
      <c r="J5008" s="41">
        <v>44470</v>
      </c>
      <c r="K5008" s="30" t="s">
        <v>22</v>
      </c>
    </row>
    <row r="5009" spans="1:11">
      <c r="A5009" s="33" t="s">
        <v>11888</v>
      </c>
      <c r="B5009" s="33" t="s">
        <v>11889</v>
      </c>
      <c r="C5009" s="33" t="s">
        <v>190</v>
      </c>
      <c r="D5009" s="33" t="s">
        <v>17</v>
      </c>
      <c r="E5009" s="33" t="s">
        <v>212</v>
      </c>
      <c r="F5009" s="33" t="s">
        <v>213</v>
      </c>
      <c r="G5009" s="33" t="s">
        <v>106</v>
      </c>
      <c r="H5009" s="35">
        <v>9</v>
      </c>
      <c r="I5009" s="33" t="s">
        <v>21</v>
      </c>
      <c r="J5009" s="42">
        <v>44224</v>
      </c>
      <c r="K5009" s="33" t="s">
        <v>22</v>
      </c>
    </row>
    <row r="5010" spans="1:11">
      <c r="A5010" s="30" t="s">
        <v>11890</v>
      </c>
      <c r="B5010" s="30" t="s">
        <v>11891</v>
      </c>
      <c r="C5010" s="30" t="s">
        <v>118</v>
      </c>
      <c r="D5010" s="30" t="s">
        <v>17</v>
      </c>
      <c r="E5010" s="30" t="s">
        <v>26</v>
      </c>
      <c r="F5010" s="30" t="s">
        <v>27</v>
      </c>
      <c r="G5010" s="30" t="s">
        <v>20</v>
      </c>
      <c r="H5010" s="32">
        <v>39</v>
      </c>
      <c r="I5010" s="30" t="s">
        <v>21</v>
      </c>
      <c r="J5010" s="41">
        <v>44288</v>
      </c>
      <c r="K5010" s="30" t="s">
        <v>22</v>
      </c>
    </row>
    <row r="5011" spans="1:11">
      <c r="A5011" s="33" t="s">
        <v>11892</v>
      </c>
      <c r="B5011" s="33" t="s">
        <v>11893</v>
      </c>
      <c r="C5011" s="33" t="s">
        <v>11894</v>
      </c>
      <c r="D5011" s="33" t="s">
        <v>17</v>
      </c>
      <c r="E5011" s="33" t="s">
        <v>26</v>
      </c>
      <c r="F5011" s="33" t="s">
        <v>27</v>
      </c>
      <c r="G5011" s="33" t="s">
        <v>50</v>
      </c>
      <c r="H5011" s="35">
        <v>152</v>
      </c>
      <c r="I5011" s="33" t="s">
        <v>51</v>
      </c>
      <c r="J5011" s="42">
        <v>44358</v>
      </c>
      <c r="K5011" s="33" t="s">
        <v>22</v>
      </c>
    </row>
    <row r="5012" spans="1:11">
      <c r="A5012" s="30" t="s">
        <v>11895</v>
      </c>
      <c r="B5012" s="30" t="s">
        <v>11896</v>
      </c>
      <c r="C5012" s="30" t="s">
        <v>5125</v>
      </c>
      <c r="D5012" s="30" t="s">
        <v>17</v>
      </c>
      <c r="E5012" s="30" t="s">
        <v>18</v>
      </c>
      <c r="F5012" s="30" t="s">
        <v>19</v>
      </c>
      <c r="G5012" s="30" t="s">
        <v>50</v>
      </c>
      <c r="H5012" s="32">
        <v>1200</v>
      </c>
      <c r="I5012" s="30" t="s">
        <v>51</v>
      </c>
      <c r="J5012" s="41">
        <v>44344</v>
      </c>
      <c r="K5012" s="30" t="s">
        <v>22</v>
      </c>
    </row>
    <row r="5013" spans="1:11">
      <c r="A5013" s="33" t="s">
        <v>11897</v>
      </c>
      <c r="B5013" s="33" t="s">
        <v>11898</v>
      </c>
      <c r="C5013" s="33" t="s">
        <v>11899</v>
      </c>
      <c r="D5013" s="33" t="s">
        <v>17</v>
      </c>
      <c r="E5013" s="33" t="s">
        <v>45</v>
      </c>
      <c r="F5013" s="33" t="s">
        <v>46</v>
      </c>
      <c r="G5013" s="33" t="s">
        <v>20</v>
      </c>
      <c r="H5013" s="35">
        <v>548</v>
      </c>
      <c r="I5013" s="33" t="s">
        <v>21</v>
      </c>
      <c r="J5013" s="42">
        <v>44356</v>
      </c>
      <c r="K5013" s="33" t="s">
        <v>22</v>
      </c>
    </row>
    <row r="5014" spans="1:11">
      <c r="A5014" s="30" t="s">
        <v>11900</v>
      </c>
      <c r="B5014" s="30" t="s">
        <v>11901</v>
      </c>
      <c r="C5014" s="30" t="s">
        <v>11902</v>
      </c>
      <c r="D5014" s="30" t="s">
        <v>17</v>
      </c>
      <c r="E5014" s="30" t="s">
        <v>31</v>
      </c>
      <c r="F5014" s="30" t="s">
        <v>32</v>
      </c>
      <c r="G5014" s="30" t="s">
        <v>106</v>
      </c>
      <c r="H5014" s="32">
        <v>20</v>
      </c>
      <c r="I5014" s="30" t="s">
        <v>21</v>
      </c>
      <c r="J5014" s="41">
        <v>44453</v>
      </c>
      <c r="K5014" s="30" t="s">
        <v>22</v>
      </c>
    </row>
    <row r="5015" spans="1:11">
      <c r="A5015" s="33" t="s">
        <v>11903</v>
      </c>
      <c r="B5015" s="33" t="s">
        <v>11904</v>
      </c>
      <c r="C5015" s="33" t="s">
        <v>11905</v>
      </c>
      <c r="D5015" s="33" t="s">
        <v>17</v>
      </c>
      <c r="E5015" s="33" t="s">
        <v>31</v>
      </c>
      <c r="F5015" s="33" t="s">
        <v>32</v>
      </c>
      <c r="G5015" s="33" t="s">
        <v>20</v>
      </c>
      <c r="H5015" s="35">
        <v>142</v>
      </c>
      <c r="I5015" s="33" t="s">
        <v>21</v>
      </c>
      <c r="J5015" s="42">
        <v>44480</v>
      </c>
      <c r="K5015" s="33" t="s">
        <v>22</v>
      </c>
    </row>
    <row r="5016" spans="1:11">
      <c r="A5016" s="30" t="s">
        <v>11906</v>
      </c>
      <c r="B5016" s="30" t="s">
        <v>11907</v>
      </c>
      <c r="C5016" s="30" t="s">
        <v>756</v>
      </c>
      <c r="D5016" s="30" t="s">
        <v>17</v>
      </c>
      <c r="E5016" s="30" t="s">
        <v>67</v>
      </c>
      <c r="F5016" s="30" t="s">
        <v>68</v>
      </c>
      <c r="G5016" s="30" t="s">
        <v>20</v>
      </c>
      <c r="H5016" s="32">
        <v>142</v>
      </c>
      <c r="I5016" s="30" t="s">
        <v>21</v>
      </c>
      <c r="J5016" s="41">
        <v>44270</v>
      </c>
      <c r="K5016" s="30" t="s">
        <v>22</v>
      </c>
    </row>
    <row r="5017" spans="1:11">
      <c r="A5017" s="33" t="s">
        <v>11908</v>
      </c>
      <c r="B5017" s="33" t="s">
        <v>11909</v>
      </c>
      <c r="C5017" s="33" t="s">
        <v>2852</v>
      </c>
      <c r="D5017" s="33" t="s">
        <v>17</v>
      </c>
      <c r="E5017" s="33" t="s">
        <v>31</v>
      </c>
      <c r="F5017" s="33" t="s">
        <v>32</v>
      </c>
      <c r="G5017" s="33" t="s">
        <v>20</v>
      </c>
      <c r="H5017" s="35">
        <v>75</v>
      </c>
      <c r="I5017" s="33" t="s">
        <v>21</v>
      </c>
      <c r="J5017" s="42">
        <v>44385</v>
      </c>
      <c r="K5017" s="33" t="s">
        <v>22</v>
      </c>
    </row>
    <row r="5018" spans="1:11">
      <c r="A5018" s="30" t="s">
        <v>11910</v>
      </c>
      <c r="B5018" s="30" t="s">
        <v>11911</v>
      </c>
      <c r="C5018" s="30" t="s">
        <v>11912</v>
      </c>
      <c r="D5018" s="30" t="s">
        <v>17</v>
      </c>
      <c r="E5018" s="30" t="s">
        <v>31</v>
      </c>
      <c r="F5018" s="30" t="s">
        <v>32</v>
      </c>
      <c r="G5018" s="30" t="s">
        <v>140</v>
      </c>
      <c r="H5018" s="32">
        <v>220</v>
      </c>
      <c r="I5018" s="30" t="s">
        <v>51</v>
      </c>
      <c r="J5018" s="41">
        <v>44277</v>
      </c>
      <c r="K5018" s="30" t="s">
        <v>22</v>
      </c>
    </row>
    <row r="5019" spans="1:11">
      <c r="A5019" s="33" t="s">
        <v>11913</v>
      </c>
      <c r="B5019" s="33" t="s">
        <v>11914</v>
      </c>
      <c r="C5019" s="33" t="s">
        <v>11915</v>
      </c>
      <c r="D5019" s="33" t="s">
        <v>17</v>
      </c>
      <c r="E5019" s="33" t="s">
        <v>67</v>
      </c>
      <c r="F5019" s="33" t="s">
        <v>68</v>
      </c>
      <c r="G5019" s="33" t="s">
        <v>158</v>
      </c>
      <c r="H5019" s="35">
        <v>38</v>
      </c>
      <c r="I5019" s="33" t="s">
        <v>21</v>
      </c>
      <c r="J5019" s="42">
        <v>44271</v>
      </c>
      <c r="K5019" s="33" t="s">
        <v>22</v>
      </c>
    </row>
    <row r="5020" spans="1:11">
      <c r="A5020" s="30" t="s">
        <v>11916</v>
      </c>
      <c r="B5020" s="30" t="s">
        <v>11917</v>
      </c>
      <c r="C5020" s="30" t="s">
        <v>11918</v>
      </c>
      <c r="D5020" s="30" t="s">
        <v>17</v>
      </c>
      <c r="E5020" s="30" t="s">
        <v>31</v>
      </c>
      <c r="F5020" s="30" t="s">
        <v>32</v>
      </c>
      <c r="G5020" s="30" t="s">
        <v>106</v>
      </c>
      <c r="H5020" s="32">
        <v>104</v>
      </c>
      <c r="I5020" s="30" t="s">
        <v>21</v>
      </c>
      <c r="J5020" s="41">
        <v>44203</v>
      </c>
      <c r="K5020" s="30" t="s">
        <v>22</v>
      </c>
    </row>
    <row r="5021" spans="1:11">
      <c r="A5021" s="33" t="s">
        <v>11919</v>
      </c>
      <c r="B5021" s="33" t="s">
        <v>11920</v>
      </c>
      <c r="C5021" s="33" t="s">
        <v>787</v>
      </c>
      <c r="D5021" s="33" t="s">
        <v>17</v>
      </c>
      <c r="E5021" s="33" t="s">
        <v>67</v>
      </c>
      <c r="F5021" s="33" t="s">
        <v>68</v>
      </c>
      <c r="G5021" s="33" t="s">
        <v>158</v>
      </c>
      <c r="H5021" s="35">
        <v>184</v>
      </c>
      <c r="I5021" s="33" t="s">
        <v>51</v>
      </c>
      <c r="J5021" s="42">
        <v>44516</v>
      </c>
      <c r="K5021" s="33" t="s">
        <v>22</v>
      </c>
    </row>
    <row r="5022" spans="1:11">
      <c r="A5022" s="30" t="s">
        <v>11921</v>
      </c>
      <c r="B5022" s="30" t="s">
        <v>11922</v>
      </c>
      <c r="C5022" s="30" t="s">
        <v>2609</v>
      </c>
      <c r="D5022" s="30" t="s">
        <v>17</v>
      </c>
      <c r="E5022" s="30" t="s">
        <v>45</v>
      </c>
      <c r="F5022" s="30" t="s">
        <v>46</v>
      </c>
      <c r="G5022" s="30" t="s">
        <v>20</v>
      </c>
      <c r="H5022" s="32">
        <v>61</v>
      </c>
      <c r="I5022" s="30" t="s">
        <v>21</v>
      </c>
      <c r="J5022" s="41">
        <v>44218</v>
      </c>
      <c r="K5022" s="30" t="s">
        <v>22</v>
      </c>
    </row>
    <row r="5023" spans="1:11">
      <c r="A5023" s="33" t="s">
        <v>11923</v>
      </c>
      <c r="B5023" s="33" t="s">
        <v>11924</v>
      </c>
      <c r="C5023" s="33" t="s">
        <v>11925</v>
      </c>
      <c r="D5023" s="33" t="s">
        <v>17</v>
      </c>
      <c r="E5023" s="33" t="s">
        <v>31</v>
      </c>
      <c r="F5023" s="33" t="s">
        <v>32</v>
      </c>
      <c r="G5023" s="33" t="s">
        <v>20</v>
      </c>
      <c r="H5023" s="35">
        <v>145</v>
      </c>
      <c r="I5023" s="33" t="s">
        <v>21</v>
      </c>
      <c r="J5023" s="42">
        <v>44544</v>
      </c>
      <c r="K5023" s="33" t="s">
        <v>22</v>
      </c>
    </row>
    <row r="5024" spans="1:11">
      <c r="A5024" s="30" t="s">
        <v>11926</v>
      </c>
      <c r="B5024" s="30" t="s">
        <v>11927</v>
      </c>
      <c r="C5024" s="30" t="s">
        <v>647</v>
      </c>
      <c r="D5024" s="30" t="s">
        <v>17</v>
      </c>
      <c r="E5024" s="30" t="s">
        <v>18</v>
      </c>
      <c r="F5024" s="30" t="s">
        <v>19</v>
      </c>
      <c r="G5024" s="30" t="s">
        <v>20</v>
      </c>
      <c r="H5024" s="32">
        <v>808</v>
      </c>
      <c r="I5024" s="30" t="s">
        <v>21</v>
      </c>
      <c r="J5024" s="41">
        <v>44307</v>
      </c>
      <c r="K5024" s="30" t="s">
        <v>22</v>
      </c>
    </row>
    <row r="5025" spans="1:11">
      <c r="A5025" s="33" t="s">
        <v>11928</v>
      </c>
      <c r="B5025" s="33" t="s">
        <v>11929</v>
      </c>
      <c r="C5025" s="33" t="s">
        <v>647</v>
      </c>
      <c r="D5025" s="33" t="s">
        <v>17</v>
      </c>
      <c r="E5025" s="33" t="s">
        <v>26</v>
      </c>
      <c r="F5025" s="33" t="s">
        <v>27</v>
      </c>
      <c r="G5025" s="33" t="s">
        <v>20</v>
      </c>
      <c r="H5025" s="35">
        <v>14</v>
      </c>
      <c r="I5025" s="33" t="s">
        <v>21</v>
      </c>
      <c r="J5025" s="42">
        <v>44272</v>
      </c>
      <c r="K5025" s="33" t="s">
        <v>22</v>
      </c>
    </row>
    <row r="5026" spans="1:11">
      <c r="A5026" s="30" t="s">
        <v>11930</v>
      </c>
      <c r="B5026" s="30" t="s">
        <v>11931</v>
      </c>
      <c r="C5026" s="30" t="s">
        <v>231</v>
      </c>
      <c r="D5026" s="30" t="s">
        <v>17</v>
      </c>
      <c r="E5026" s="30" t="s">
        <v>18</v>
      </c>
      <c r="F5026" s="30" t="s">
        <v>19</v>
      </c>
      <c r="G5026" s="30" t="s">
        <v>20</v>
      </c>
      <c r="H5026" s="32">
        <v>620</v>
      </c>
      <c r="I5026" s="30" t="s">
        <v>21</v>
      </c>
      <c r="J5026" s="41">
        <v>44447</v>
      </c>
      <c r="K5026" s="30" t="s">
        <v>22</v>
      </c>
    </row>
    <row r="5027" spans="1:11">
      <c r="A5027" s="33" t="s">
        <v>11932</v>
      </c>
      <c r="B5027" s="33" t="s">
        <v>11933</v>
      </c>
      <c r="C5027" s="33" t="s">
        <v>3647</v>
      </c>
      <c r="D5027" s="33" t="s">
        <v>17</v>
      </c>
      <c r="E5027" s="33" t="s">
        <v>26</v>
      </c>
      <c r="F5027" s="33" t="s">
        <v>27</v>
      </c>
      <c r="G5027" s="33" t="s">
        <v>20</v>
      </c>
      <c r="H5027" s="35">
        <v>24</v>
      </c>
      <c r="I5027" s="33" t="s">
        <v>21</v>
      </c>
      <c r="J5027" s="42">
        <v>44249</v>
      </c>
      <c r="K5027" s="33" t="s">
        <v>22</v>
      </c>
    </row>
    <row r="5028" spans="1:11">
      <c r="A5028" s="30" t="s">
        <v>11934</v>
      </c>
      <c r="B5028" s="30" t="s">
        <v>11935</v>
      </c>
      <c r="C5028" s="30" t="s">
        <v>3892</v>
      </c>
      <c r="D5028" s="30" t="s">
        <v>17</v>
      </c>
      <c r="E5028" s="30" t="s">
        <v>330</v>
      </c>
      <c r="F5028" s="30" t="s">
        <v>331</v>
      </c>
      <c r="G5028" s="30" t="s">
        <v>20</v>
      </c>
      <c r="H5028" s="32">
        <v>40</v>
      </c>
      <c r="I5028" s="30" t="s">
        <v>21</v>
      </c>
      <c r="J5028" s="41">
        <v>44468</v>
      </c>
      <c r="K5028" s="30" t="s">
        <v>22</v>
      </c>
    </row>
    <row r="5029" spans="1:11">
      <c r="A5029" s="33" t="s">
        <v>11936</v>
      </c>
      <c r="B5029" s="33" t="s">
        <v>11937</v>
      </c>
      <c r="C5029" s="33" t="s">
        <v>7072</v>
      </c>
      <c r="D5029" s="33" t="s">
        <v>17</v>
      </c>
      <c r="E5029" s="33" t="s">
        <v>67</v>
      </c>
      <c r="F5029" s="33" t="s">
        <v>68</v>
      </c>
      <c r="G5029" s="33" t="s">
        <v>158</v>
      </c>
      <c r="H5029" s="35">
        <v>414</v>
      </c>
      <c r="I5029" s="33" t="s">
        <v>51</v>
      </c>
      <c r="J5029" s="42">
        <v>44454</v>
      </c>
      <c r="K5029" s="33" t="s">
        <v>22</v>
      </c>
    </row>
    <row r="5030" spans="1:11">
      <c r="A5030" s="30" t="s">
        <v>11938</v>
      </c>
      <c r="B5030" s="30" t="s">
        <v>11939</v>
      </c>
      <c r="C5030" s="30" t="s">
        <v>190</v>
      </c>
      <c r="D5030" s="30" t="s">
        <v>17</v>
      </c>
      <c r="E5030" s="30" t="s">
        <v>67</v>
      </c>
      <c r="F5030" s="30" t="s">
        <v>68</v>
      </c>
      <c r="G5030" s="30" t="s">
        <v>140</v>
      </c>
      <c r="H5030" s="32">
        <v>460</v>
      </c>
      <c r="I5030" s="30" t="s">
        <v>51</v>
      </c>
      <c r="J5030" s="41">
        <v>44487</v>
      </c>
      <c r="K5030" s="30" t="s">
        <v>22</v>
      </c>
    </row>
    <row r="5031" spans="1:11">
      <c r="A5031" s="33" t="s">
        <v>11940</v>
      </c>
      <c r="B5031" s="33" t="s">
        <v>11941</v>
      </c>
      <c r="C5031" s="33" t="s">
        <v>11942</v>
      </c>
      <c r="D5031" s="33" t="s">
        <v>17</v>
      </c>
      <c r="E5031" s="33" t="s">
        <v>67</v>
      </c>
      <c r="F5031" s="33" t="s">
        <v>68</v>
      </c>
      <c r="G5031" s="33" t="s">
        <v>50</v>
      </c>
      <c r="H5031" s="35">
        <v>30</v>
      </c>
      <c r="I5031" s="33" t="s">
        <v>51</v>
      </c>
      <c r="J5031" s="42">
        <v>44431</v>
      </c>
      <c r="K5031" s="33" t="s">
        <v>22</v>
      </c>
    </row>
    <row r="5032" spans="1:11">
      <c r="A5032" s="30" t="s">
        <v>11943</v>
      </c>
      <c r="B5032" s="30" t="s">
        <v>11944</v>
      </c>
      <c r="C5032" s="30" t="s">
        <v>252</v>
      </c>
      <c r="D5032" s="30" t="s">
        <v>17</v>
      </c>
      <c r="E5032" s="30" t="s">
        <v>67</v>
      </c>
      <c r="F5032" s="30" t="s">
        <v>68</v>
      </c>
      <c r="G5032" s="30" t="s">
        <v>140</v>
      </c>
      <c r="H5032" s="32">
        <v>198</v>
      </c>
      <c r="I5032" s="30" t="s">
        <v>51</v>
      </c>
      <c r="J5032" s="41">
        <v>44503</v>
      </c>
      <c r="K5032" s="30" t="s">
        <v>22</v>
      </c>
    </row>
    <row r="5033" spans="1:11">
      <c r="A5033" s="33" t="s">
        <v>11945</v>
      </c>
      <c r="B5033" s="33" t="s">
        <v>11946</v>
      </c>
      <c r="C5033" s="33" t="s">
        <v>969</v>
      </c>
      <c r="D5033" s="33" t="s">
        <v>17</v>
      </c>
      <c r="E5033" s="33" t="s">
        <v>31</v>
      </c>
      <c r="F5033" s="33" t="s">
        <v>32</v>
      </c>
      <c r="G5033" s="33" t="s">
        <v>112</v>
      </c>
      <c r="H5033" s="35">
        <v>0</v>
      </c>
      <c r="I5033" s="33" t="s">
        <v>21</v>
      </c>
      <c r="J5033" s="42">
        <v>44291</v>
      </c>
      <c r="K5033" s="33" t="s">
        <v>22</v>
      </c>
    </row>
    <row r="5034" spans="1:11">
      <c r="A5034" s="30" t="s">
        <v>11947</v>
      </c>
      <c r="B5034" s="30" t="s">
        <v>11948</v>
      </c>
      <c r="C5034" s="30" t="s">
        <v>109</v>
      </c>
      <c r="D5034" s="30" t="s">
        <v>17</v>
      </c>
      <c r="E5034" s="30" t="s">
        <v>31</v>
      </c>
      <c r="F5034" s="30" t="s">
        <v>32</v>
      </c>
      <c r="G5034" s="30" t="s">
        <v>158</v>
      </c>
      <c r="H5034" s="32">
        <v>69</v>
      </c>
      <c r="I5034" s="30" t="s">
        <v>21</v>
      </c>
      <c r="J5034" s="41">
        <v>44216</v>
      </c>
      <c r="K5034" s="30" t="s">
        <v>22</v>
      </c>
    </row>
    <row r="5035" spans="1:11">
      <c r="A5035" s="33" t="s">
        <v>11949</v>
      </c>
      <c r="B5035" s="33" t="s">
        <v>11950</v>
      </c>
      <c r="C5035" s="33" t="s">
        <v>2256</v>
      </c>
      <c r="D5035" s="33" t="s">
        <v>17</v>
      </c>
      <c r="E5035" s="33" t="s">
        <v>330</v>
      </c>
      <c r="F5035" s="33" t="s">
        <v>331</v>
      </c>
      <c r="G5035" s="33" t="s">
        <v>112</v>
      </c>
      <c r="H5035" s="35">
        <v>0</v>
      </c>
      <c r="I5035" s="33" t="s">
        <v>21</v>
      </c>
      <c r="J5035" s="42">
        <v>44454</v>
      </c>
      <c r="K5035" s="33" t="s">
        <v>22</v>
      </c>
    </row>
    <row r="5036" spans="1:11">
      <c r="A5036" s="30" t="s">
        <v>11951</v>
      </c>
      <c r="B5036" s="30" t="s">
        <v>11952</v>
      </c>
      <c r="C5036" s="30" t="s">
        <v>1598</v>
      </c>
      <c r="D5036" s="30" t="s">
        <v>17</v>
      </c>
      <c r="E5036" s="30" t="s">
        <v>26</v>
      </c>
      <c r="F5036" s="30" t="s">
        <v>27</v>
      </c>
      <c r="G5036" s="30" t="s">
        <v>20</v>
      </c>
      <c r="H5036" s="32">
        <v>148</v>
      </c>
      <c r="I5036" s="30" t="s">
        <v>21</v>
      </c>
      <c r="J5036" s="41">
        <v>44347</v>
      </c>
      <c r="K5036" s="30" t="s">
        <v>22</v>
      </c>
    </row>
    <row r="5037" spans="1:11">
      <c r="A5037" s="33" t="s">
        <v>11953</v>
      </c>
      <c r="B5037" s="33" t="s">
        <v>11954</v>
      </c>
      <c r="C5037" s="33" t="s">
        <v>603</v>
      </c>
      <c r="D5037" s="33" t="s">
        <v>17</v>
      </c>
      <c r="E5037" s="33" t="s">
        <v>26</v>
      </c>
      <c r="F5037" s="33" t="s">
        <v>27</v>
      </c>
      <c r="G5037" s="33" t="s">
        <v>20</v>
      </c>
      <c r="H5037" s="35">
        <v>30</v>
      </c>
      <c r="I5037" s="33" t="s">
        <v>21</v>
      </c>
      <c r="J5037" s="42">
        <v>44224</v>
      </c>
      <c r="K5037" s="33" t="s">
        <v>22</v>
      </c>
    </row>
    <row r="5038" spans="1:11">
      <c r="A5038" s="30" t="s">
        <v>11955</v>
      </c>
      <c r="B5038" s="30" t="s">
        <v>11956</v>
      </c>
      <c r="C5038" s="30" t="s">
        <v>11957</v>
      </c>
      <c r="D5038" s="30" t="s">
        <v>17</v>
      </c>
      <c r="E5038" s="30" t="s">
        <v>67</v>
      </c>
      <c r="F5038" s="30" t="s">
        <v>68</v>
      </c>
      <c r="G5038" s="30" t="s">
        <v>158</v>
      </c>
      <c r="H5038" s="32">
        <v>91</v>
      </c>
      <c r="I5038" s="30" t="s">
        <v>21</v>
      </c>
      <c r="J5038" s="41">
        <v>44298</v>
      </c>
      <c r="K5038" s="30" t="s">
        <v>22</v>
      </c>
    </row>
    <row r="5039" spans="1:11">
      <c r="A5039" s="33" t="s">
        <v>11958</v>
      </c>
      <c r="B5039" s="33" t="s">
        <v>11959</v>
      </c>
      <c r="C5039" s="33" t="s">
        <v>75</v>
      </c>
      <c r="D5039" s="33" t="s">
        <v>17</v>
      </c>
      <c r="E5039" s="33" t="s">
        <v>18</v>
      </c>
      <c r="F5039" s="33" t="s">
        <v>19</v>
      </c>
      <c r="G5039" s="33" t="s">
        <v>158</v>
      </c>
      <c r="H5039" s="35">
        <v>729</v>
      </c>
      <c r="I5039" s="33" t="s">
        <v>21</v>
      </c>
      <c r="J5039" s="42">
        <v>44392</v>
      </c>
      <c r="K5039" s="33" t="s">
        <v>22</v>
      </c>
    </row>
    <row r="5040" spans="1:11">
      <c r="A5040" s="30" t="s">
        <v>11960</v>
      </c>
      <c r="B5040" s="30" t="s">
        <v>11961</v>
      </c>
      <c r="C5040" s="30" t="s">
        <v>2472</v>
      </c>
      <c r="D5040" s="30" t="s">
        <v>17</v>
      </c>
      <c r="E5040" s="30" t="s">
        <v>67</v>
      </c>
      <c r="F5040" s="30" t="s">
        <v>68</v>
      </c>
      <c r="G5040" s="30" t="s">
        <v>140</v>
      </c>
      <c r="H5040" s="32">
        <v>77</v>
      </c>
      <c r="I5040" s="30" t="s">
        <v>51</v>
      </c>
      <c r="J5040" s="41">
        <v>44301</v>
      </c>
      <c r="K5040" s="30" t="s">
        <v>22</v>
      </c>
    </row>
    <row r="5041" spans="1:11">
      <c r="A5041" s="33" t="s">
        <v>11962</v>
      </c>
      <c r="B5041" s="33" t="s">
        <v>11963</v>
      </c>
      <c r="C5041" s="33" t="s">
        <v>6215</v>
      </c>
      <c r="D5041" s="33" t="s">
        <v>17</v>
      </c>
      <c r="E5041" s="33" t="s">
        <v>45</v>
      </c>
      <c r="F5041" s="33" t="s">
        <v>46</v>
      </c>
      <c r="G5041" s="33" t="s">
        <v>106</v>
      </c>
      <c r="H5041" s="35">
        <v>4</v>
      </c>
      <c r="I5041" s="33" t="s">
        <v>21</v>
      </c>
      <c r="J5041" s="42">
        <v>44557</v>
      </c>
      <c r="K5041" s="33" t="s">
        <v>22</v>
      </c>
    </row>
    <row r="5042" spans="1:11">
      <c r="A5042" s="30" t="s">
        <v>11964</v>
      </c>
      <c r="B5042" s="30" t="s">
        <v>11965</v>
      </c>
      <c r="C5042" s="30" t="s">
        <v>11966</v>
      </c>
      <c r="D5042" s="30" t="s">
        <v>17</v>
      </c>
      <c r="E5042" s="30" t="s">
        <v>31</v>
      </c>
      <c r="F5042" s="30" t="s">
        <v>32</v>
      </c>
      <c r="G5042" s="30" t="s">
        <v>20</v>
      </c>
      <c r="H5042" s="32">
        <v>41</v>
      </c>
      <c r="I5042" s="30" t="s">
        <v>21</v>
      </c>
      <c r="J5042" s="41">
        <v>44341</v>
      </c>
      <c r="K5042" s="30" t="s">
        <v>22</v>
      </c>
    </row>
    <row r="5043" spans="1:11">
      <c r="A5043" s="33" t="s">
        <v>11967</v>
      </c>
      <c r="B5043" s="33" t="s">
        <v>11968</v>
      </c>
      <c r="C5043" s="33" t="s">
        <v>11899</v>
      </c>
      <c r="D5043" s="33" t="s">
        <v>17</v>
      </c>
      <c r="E5043" s="33" t="s">
        <v>31</v>
      </c>
      <c r="F5043" s="33" t="s">
        <v>32</v>
      </c>
      <c r="G5043" s="33" t="s">
        <v>50</v>
      </c>
      <c r="H5043" s="35">
        <v>60</v>
      </c>
      <c r="I5043" s="33" t="s">
        <v>51</v>
      </c>
      <c r="J5043" s="42">
        <v>44375</v>
      </c>
      <c r="K5043" s="33" t="s">
        <v>22</v>
      </c>
    </row>
    <row r="5044" spans="1:11">
      <c r="A5044" s="30" t="s">
        <v>11969</v>
      </c>
      <c r="B5044" s="30" t="s">
        <v>11970</v>
      </c>
      <c r="C5044" s="30" t="s">
        <v>2395</v>
      </c>
      <c r="D5044" s="30" t="s">
        <v>17</v>
      </c>
      <c r="E5044" s="30" t="s">
        <v>212</v>
      </c>
      <c r="F5044" s="30" t="s">
        <v>213</v>
      </c>
      <c r="G5044" s="30" t="s">
        <v>106</v>
      </c>
      <c r="H5044" s="32">
        <v>103</v>
      </c>
      <c r="I5044" s="30" t="s">
        <v>21</v>
      </c>
      <c r="J5044" s="41">
        <v>44411</v>
      </c>
      <c r="K5044" s="30" t="s">
        <v>22</v>
      </c>
    </row>
    <row r="5045" spans="1:11">
      <c r="A5045" s="33" t="s">
        <v>11971</v>
      </c>
      <c r="B5045" s="33" t="s">
        <v>11972</v>
      </c>
      <c r="C5045" s="33" t="s">
        <v>11973</v>
      </c>
      <c r="D5045" s="33" t="s">
        <v>17</v>
      </c>
      <c r="E5045" s="33" t="s">
        <v>67</v>
      </c>
      <c r="F5045" s="33" t="s">
        <v>68</v>
      </c>
      <c r="G5045" s="33" t="s">
        <v>106</v>
      </c>
      <c r="H5045" s="35">
        <v>68</v>
      </c>
      <c r="I5045" s="33" t="s">
        <v>21</v>
      </c>
      <c r="J5045" s="42">
        <v>44252</v>
      </c>
      <c r="K5045" s="33" t="s">
        <v>22</v>
      </c>
    </row>
    <row r="5046" spans="1:11">
      <c r="A5046" s="30" t="s">
        <v>11974</v>
      </c>
      <c r="B5046" s="30" t="s">
        <v>11975</v>
      </c>
      <c r="C5046" s="30" t="s">
        <v>149</v>
      </c>
      <c r="D5046" s="30" t="s">
        <v>17</v>
      </c>
      <c r="E5046" s="30" t="s">
        <v>26</v>
      </c>
      <c r="F5046" s="30" t="s">
        <v>27</v>
      </c>
      <c r="G5046" s="30" t="s">
        <v>20</v>
      </c>
      <c r="H5046" s="32">
        <v>62</v>
      </c>
      <c r="I5046" s="30" t="s">
        <v>21</v>
      </c>
      <c r="J5046" s="41">
        <v>44526</v>
      </c>
      <c r="K5046" s="30" t="s">
        <v>22</v>
      </c>
    </row>
    <row r="5047" spans="1:11">
      <c r="A5047" s="33" t="s">
        <v>11976</v>
      </c>
      <c r="B5047" s="33" t="s">
        <v>11977</v>
      </c>
      <c r="C5047" s="33" t="s">
        <v>638</v>
      </c>
      <c r="D5047" s="33" t="s">
        <v>17</v>
      </c>
      <c r="E5047" s="33" t="s">
        <v>31</v>
      </c>
      <c r="F5047" s="33" t="s">
        <v>32</v>
      </c>
      <c r="G5047" s="33" t="s">
        <v>20</v>
      </c>
      <c r="H5047" s="35">
        <v>304</v>
      </c>
      <c r="I5047" s="33" t="s">
        <v>21</v>
      </c>
      <c r="J5047" s="42">
        <v>44466</v>
      </c>
      <c r="K5047" s="33" t="s">
        <v>22</v>
      </c>
    </row>
    <row r="5048" spans="1:11">
      <c r="A5048" s="30" t="s">
        <v>11978</v>
      </c>
      <c r="B5048" s="30" t="s">
        <v>11979</v>
      </c>
      <c r="C5048" s="30" t="s">
        <v>936</v>
      </c>
      <c r="D5048" s="30" t="s">
        <v>17</v>
      </c>
      <c r="E5048" s="30" t="s">
        <v>212</v>
      </c>
      <c r="F5048" s="30" t="s">
        <v>213</v>
      </c>
      <c r="G5048" s="30" t="s">
        <v>20</v>
      </c>
      <c r="H5048" s="32">
        <v>62</v>
      </c>
      <c r="I5048" s="30" t="s">
        <v>21</v>
      </c>
      <c r="J5048" s="41">
        <v>44277</v>
      </c>
      <c r="K5048" s="30" t="s">
        <v>22</v>
      </c>
    </row>
    <row r="5049" spans="1:11">
      <c r="A5049" s="33" t="s">
        <v>11980</v>
      </c>
      <c r="B5049" s="33" t="s">
        <v>11981</v>
      </c>
      <c r="C5049" s="33" t="s">
        <v>49</v>
      </c>
      <c r="D5049" s="33" t="s">
        <v>17</v>
      </c>
      <c r="E5049" s="33" t="s">
        <v>67</v>
      </c>
      <c r="F5049" s="33" t="s">
        <v>68</v>
      </c>
      <c r="G5049" s="33" t="s">
        <v>50</v>
      </c>
      <c r="H5049" s="35">
        <v>54</v>
      </c>
      <c r="I5049" s="33" t="s">
        <v>51</v>
      </c>
      <c r="J5049" s="42">
        <v>44434</v>
      </c>
      <c r="K5049" s="33" t="s">
        <v>22</v>
      </c>
    </row>
    <row r="5050" spans="1:11">
      <c r="A5050" s="30" t="s">
        <v>11982</v>
      </c>
      <c r="B5050" s="30" t="s">
        <v>11983</v>
      </c>
      <c r="C5050" s="30" t="s">
        <v>11984</v>
      </c>
      <c r="D5050" s="30" t="s">
        <v>17</v>
      </c>
      <c r="E5050" s="30" t="s">
        <v>31</v>
      </c>
      <c r="F5050" s="30" t="s">
        <v>32</v>
      </c>
      <c r="G5050" s="30" t="s">
        <v>50</v>
      </c>
      <c r="H5050" s="32">
        <v>40</v>
      </c>
      <c r="I5050" s="30" t="s">
        <v>51</v>
      </c>
      <c r="J5050" s="41">
        <v>44531</v>
      </c>
      <c r="K5050" s="30" t="s">
        <v>22</v>
      </c>
    </row>
    <row r="5051" spans="1:11">
      <c r="A5051" s="33" t="s">
        <v>11985</v>
      </c>
      <c r="B5051" s="33" t="s">
        <v>11986</v>
      </c>
      <c r="C5051" s="33" t="s">
        <v>10009</v>
      </c>
      <c r="D5051" s="33" t="s">
        <v>17</v>
      </c>
      <c r="E5051" s="33" t="s">
        <v>31</v>
      </c>
      <c r="F5051" s="33" t="s">
        <v>32</v>
      </c>
      <c r="G5051" s="33" t="s">
        <v>20</v>
      </c>
      <c r="H5051" s="35">
        <v>36</v>
      </c>
      <c r="I5051" s="33" t="s">
        <v>21</v>
      </c>
      <c r="J5051" s="42">
        <v>44237</v>
      </c>
      <c r="K5051" s="33" t="s">
        <v>22</v>
      </c>
    </row>
    <row r="5052" spans="1:11">
      <c r="A5052" s="30" t="s">
        <v>11987</v>
      </c>
      <c r="B5052" s="30" t="s">
        <v>11988</v>
      </c>
      <c r="C5052" s="30" t="s">
        <v>93</v>
      </c>
      <c r="D5052" s="30" t="s">
        <v>17</v>
      </c>
      <c r="E5052" s="30" t="s">
        <v>31</v>
      </c>
      <c r="F5052" s="30" t="s">
        <v>32</v>
      </c>
      <c r="G5052" s="30" t="s">
        <v>106</v>
      </c>
      <c r="H5052" s="32">
        <v>153</v>
      </c>
      <c r="I5052" s="30" t="s">
        <v>21</v>
      </c>
      <c r="J5052" s="41">
        <v>44338</v>
      </c>
      <c r="K5052" s="30" t="s">
        <v>22</v>
      </c>
    </row>
    <row r="5053" spans="1:11">
      <c r="A5053" s="33" t="s">
        <v>11989</v>
      </c>
      <c r="B5053" s="33" t="s">
        <v>11990</v>
      </c>
      <c r="C5053" s="33" t="s">
        <v>6233</v>
      </c>
      <c r="D5053" s="33" t="s">
        <v>17</v>
      </c>
      <c r="E5053" s="33" t="s">
        <v>67</v>
      </c>
      <c r="F5053" s="33" t="s">
        <v>68</v>
      </c>
      <c r="G5053" s="33" t="s">
        <v>20</v>
      </c>
      <c r="H5053" s="35">
        <v>68</v>
      </c>
      <c r="I5053" s="33" t="s">
        <v>21</v>
      </c>
      <c r="J5053" s="42">
        <v>44501</v>
      </c>
      <c r="K5053" s="33" t="s">
        <v>22</v>
      </c>
    </row>
    <row r="5054" spans="1:11">
      <c r="A5054" s="30" t="s">
        <v>11991</v>
      </c>
      <c r="B5054" s="30" t="s">
        <v>11992</v>
      </c>
      <c r="C5054" s="30" t="s">
        <v>11993</v>
      </c>
      <c r="D5054" s="30" t="s">
        <v>17</v>
      </c>
      <c r="E5054" s="30" t="s">
        <v>26</v>
      </c>
      <c r="F5054" s="30" t="s">
        <v>27</v>
      </c>
      <c r="G5054" s="30" t="s">
        <v>158</v>
      </c>
      <c r="H5054" s="32">
        <v>70</v>
      </c>
      <c r="I5054" s="30" t="s">
        <v>51</v>
      </c>
      <c r="J5054" s="41">
        <v>44259</v>
      </c>
      <c r="K5054" s="30" t="s">
        <v>22</v>
      </c>
    </row>
    <row r="5055" spans="1:11">
      <c r="A5055" s="33" t="s">
        <v>11994</v>
      </c>
      <c r="B5055" s="33" t="s">
        <v>11995</v>
      </c>
      <c r="C5055" s="33" t="s">
        <v>11040</v>
      </c>
      <c r="D5055" s="33" t="s">
        <v>17</v>
      </c>
      <c r="E5055" s="33" t="s">
        <v>18</v>
      </c>
      <c r="F5055" s="33" t="s">
        <v>19</v>
      </c>
      <c r="G5055" s="33" t="s">
        <v>20</v>
      </c>
      <c r="H5055" s="35">
        <v>410</v>
      </c>
      <c r="I5055" s="33" t="s">
        <v>21</v>
      </c>
      <c r="J5055" s="42">
        <v>44347</v>
      </c>
      <c r="K5055" s="33" t="s">
        <v>22</v>
      </c>
    </row>
    <row r="5056" spans="1:11">
      <c r="A5056" s="30" t="s">
        <v>11996</v>
      </c>
      <c r="B5056" s="30" t="s">
        <v>11997</v>
      </c>
      <c r="C5056" s="30" t="s">
        <v>102</v>
      </c>
      <c r="D5056" s="30" t="s">
        <v>17</v>
      </c>
      <c r="E5056" s="30" t="s">
        <v>31</v>
      </c>
      <c r="F5056" s="30" t="s">
        <v>32</v>
      </c>
      <c r="G5056" s="30" t="s">
        <v>20</v>
      </c>
      <c r="H5056" s="32">
        <v>110</v>
      </c>
      <c r="I5056" s="30" t="s">
        <v>21</v>
      </c>
      <c r="J5056" s="41">
        <v>44334</v>
      </c>
      <c r="K5056" s="30" t="s">
        <v>22</v>
      </c>
    </row>
    <row r="5057" spans="1:11">
      <c r="A5057" s="33" t="s">
        <v>11998</v>
      </c>
      <c r="B5057" s="33" t="s">
        <v>11999</v>
      </c>
      <c r="C5057" s="33" t="s">
        <v>7544</v>
      </c>
      <c r="D5057" s="33" t="s">
        <v>17</v>
      </c>
      <c r="E5057" s="33" t="s">
        <v>18</v>
      </c>
      <c r="F5057" s="33" t="s">
        <v>19</v>
      </c>
      <c r="G5057" s="33" t="s">
        <v>20</v>
      </c>
      <c r="H5057" s="35">
        <v>445</v>
      </c>
      <c r="I5057" s="33" t="s">
        <v>21</v>
      </c>
      <c r="J5057" s="42">
        <v>44326</v>
      </c>
      <c r="K5057" s="33" t="s">
        <v>22</v>
      </c>
    </row>
    <row r="5058" spans="1:11">
      <c r="A5058" s="30" t="s">
        <v>12000</v>
      </c>
      <c r="B5058" s="30" t="s">
        <v>12001</v>
      </c>
      <c r="C5058" s="30" t="s">
        <v>12002</v>
      </c>
      <c r="D5058" s="30" t="s">
        <v>17</v>
      </c>
      <c r="E5058" s="30" t="s">
        <v>31</v>
      </c>
      <c r="F5058" s="30" t="s">
        <v>32</v>
      </c>
      <c r="G5058" s="30" t="s">
        <v>50</v>
      </c>
      <c r="H5058" s="32">
        <v>99</v>
      </c>
      <c r="I5058" s="30" t="s">
        <v>51</v>
      </c>
      <c r="J5058" s="41">
        <v>44287</v>
      </c>
      <c r="K5058" s="30" t="s">
        <v>22</v>
      </c>
    </row>
    <row r="5059" spans="1:11">
      <c r="A5059" s="33" t="s">
        <v>12003</v>
      </c>
      <c r="B5059" s="33" t="s">
        <v>12004</v>
      </c>
      <c r="C5059" s="33" t="s">
        <v>8350</v>
      </c>
      <c r="D5059" s="33" t="s">
        <v>17</v>
      </c>
      <c r="E5059" s="33" t="s">
        <v>31</v>
      </c>
      <c r="F5059" s="33" t="s">
        <v>32</v>
      </c>
      <c r="G5059" s="33" t="s">
        <v>20</v>
      </c>
      <c r="H5059" s="35">
        <v>70</v>
      </c>
      <c r="I5059" s="33" t="s">
        <v>21</v>
      </c>
      <c r="J5059" s="42">
        <v>44481</v>
      </c>
      <c r="K5059" s="33" t="s">
        <v>22</v>
      </c>
    </row>
    <row r="5060" spans="1:11">
      <c r="A5060" s="30" t="s">
        <v>12005</v>
      </c>
      <c r="B5060" s="30" t="s">
        <v>12006</v>
      </c>
      <c r="C5060" s="30" t="s">
        <v>6827</v>
      </c>
      <c r="D5060" s="30" t="s">
        <v>17</v>
      </c>
      <c r="E5060" s="30" t="s">
        <v>18</v>
      </c>
      <c r="F5060" s="30" t="s">
        <v>19</v>
      </c>
      <c r="G5060" s="30" t="s">
        <v>20</v>
      </c>
      <c r="H5060" s="32">
        <v>400</v>
      </c>
      <c r="I5060" s="30" t="s">
        <v>21</v>
      </c>
      <c r="J5060" s="41">
        <v>44487</v>
      </c>
      <c r="K5060" s="30" t="s">
        <v>22</v>
      </c>
    </row>
    <row r="5061" spans="1:11">
      <c r="A5061" s="33" t="s">
        <v>12007</v>
      </c>
      <c r="B5061" s="33" t="s">
        <v>12008</v>
      </c>
      <c r="C5061" s="33" t="s">
        <v>570</v>
      </c>
      <c r="D5061" s="33" t="s">
        <v>17</v>
      </c>
      <c r="E5061" s="33" t="s">
        <v>31</v>
      </c>
      <c r="F5061" s="33" t="s">
        <v>32</v>
      </c>
      <c r="G5061" s="33" t="s">
        <v>50</v>
      </c>
      <c r="H5061" s="35">
        <v>150</v>
      </c>
      <c r="I5061" s="33" t="s">
        <v>51</v>
      </c>
      <c r="J5061" s="42">
        <v>44477</v>
      </c>
      <c r="K5061" s="33" t="s">
        <v>22</v>
      </c>
    </row>
    <row r="5062" spans="1:11">
      <c r="A5062" s="30" t="s">
        <v>12009</v>
      </c>
      <c r="B5062" s="30" t="s">
        <v>12010</v>
      </c>
      <c r="C5062" s="30" t="s">
        <v>1090</v>
      </c>
      <c r="D5062" s="30" t="s">
        <v>17</v>
      </c>
      <c r="E5062" s="30" t="s">
        <v>26</v>
      </c>
      <c r="F5062" s="30" t="s">
        <v>27</v>
      </c>
      <c r="G5062" s="30" t="s">
        <v>20</v>
      </c>
      <c r="H5062" s="32">
        <v>6</v>
      </c>
      <c r="I5062" s="30" t="s">
        <v>21</v>
      </c>
      <c r="J5062" s="41">
        <v>44516</v>
      </c>
      <c r="K5062" s="30" t="s">
        <v>22</v>
      </c>
    </row>
    <row r="5063" spans="1:11">
      <c r="A5063" s="33" t="s">
        <v>12011</v>
      </c>
      <c r="B5063" s="33" t="s">
        <v>12012</v>
      </c>
      <c r="C5063" s="33" t="s">
        <v>1598</v>
      </c>
      <c r="D5063" s="33" t="s">
        <v>17</v>
      </c>
      <c r="E5063" s="33" t="s">
        <v>26</v>
      </c>
      <c r="F5063" s="33" t="s">
        <v>27</v>
      </c>
      <c r="G5063" s="33" t="s">
        <v>20</v>
      </c>
      <c r="H5063" s="35">
        <v>61</v>
      </c>
      <c r="I5063" s="33" t="s">
        <v>21</v>
      </c>
      <c r="J5063" s="42">
        <v>44398</v>
      </c>
      <c r="K5063" s="33" t="s">
        <v>22</v>
      </c>
    </row>
    <row r="5064" spans="1:11">
      <c r="A5064" s="30" t="s">
        <v>12013</v>
      </c>
      <c r="B5064" s="30" t="s">
        <v>12014</v>
      </c>
      <c r="C5064" s="30" t="s">
        <v>3114</v>
      </c>
      <c r="D5064" s="30" t="s">
        <v>17</v>
      </c>
      <c r="E5064" s="30" t="s">
        <v>330</v>
      </c>
      <c r="F5064" s="30" t="s">
        <v>331</v>
      </c>
      <c r="G5064" s="30" t="s">
        <v>50</v>
      </c>
      <c r="H5064" s="32">
        <v>100</v>
      </c>
      <c r="I5064" s="30" t="s">
        <v>51</v>
      </c>
      <c r="J5064" s="41">
        <v>44423</v>
      </c>
      <c r="K5064" s="30" t="s">
        <v>22</v>
      </c>
    </row>
    <row r="5065" spans="1:11">
      <c r="A5065" s="33" t="s">
        <v>12015</v>
      </c>
      <c r="B5065" s="33" t="s">
        <v>12016</v>
      </c>
      <c r="C5065" s="33" t="s">
        <v>178</v>
      </c>
      <c r="D5065" s="33" t="s">
        <v>17</v>
      </c>
      <c r="E5065" s="33" t="s">
        <v>18</v>
      </c>
      <c r="F5065" s="33" t="s">
        <v>19</v>
      </c>
      <c r="G5065" s="33" t="s">
        <v>106</v>
      </c>
      <c r="H5065" s="35">
        <v>1382</v>
      </c>
      <c r="I5065" s="33" t="s">
        <v>21</v>
      </c>
      <c r="J5065" s="42">
        <v>44222</v>
      </c>
      <c r="K5065" s="33" t="s">
        <v>22</v>
      </c>
    </row>
    <row r="5066" spans="1:11">
      <c r="A5066" s="30" t="s">
        <v>12017</v>
      </c>
      <c r="B5066" s="30" t="s">
        <v>12018</v>
      </c>
      <c r="C5066" s="30" t="s">
        <v>8222</v>
      </c>
      <c r="D5066" s="30" t="s">
        <v>17</v>
      </c>
      <c r="E5066" s="30" t="s">
        <v>26</v>
      </c>
      <c r="F5066" s="30" t="s">
        <v>27</v>
      </c>
      <c r="G5066" s="30" t="s">
        <v>20</v>
      </c>
      <c r="H5066" s="32">
        <v>40</v>
      </c>
      <c r="I5066" s="30" t="s">
        <v>21</v>
      </c>
      <c r="J5066" s="41">
        <v>44250</v>
      </c>
      <c r="K5066" s="30" t="s">
        <v>22</v>
      </c>
    </row>
    <row r="5067" spans="1:11">
      <c r="A5067" s="33" t="s">
        <v>12019</v>
      </c>
      <c r="B5067" s="33" t="s">
        <v>12020</v>
      </c>
      <c r="C5067" s="33" t="s">
        <v>9057</v>
      </c>
      <c r="D5067" s="33" t="s">
        <v>17</v>
      </c>
      <c r="E5067" s="33" t="s">
        <v>31</v>
      </c>
      <c r="F5067" s="33" t="s">
        <v>32</v>
      </c>
      <c r="G5067" s="33" t="s">
        <v>20</v>
      </c>
      <c r="H5067" s="35">
        <v>55</v>
      </c>
      <c r="I5067" s="33" t="s">
        <v>21</v>
      </c>
      <c r="J5067" s="42">
        <v>44405</v>
      </c>
      <c r="K5067" s="33" t="s">
        <v>22</v>
      </c>
    </row>
    <row r="5068" spans="1:11">
      <c r="A5068" s="30" t="s">
        <v>12021</v>
      </c>
      <c r="B5068" s="30" t="s">
        <v>12022</v>
      </c>
      <c r="C5068" s="30" t="s">
        <v>2292</v>
      </c>
      <c r="D5068" s="30" t="s">
        <v>17</v>
      </c>
      <c r="E5068" s="30" t="s">
        <v>26</v>
      </c>
      <c r="F5068" s="30" t="s">
        <v>27</v>
      </c>
      <c r="G5068" s="30" t="s">
        <v>20</v>
      </c>
      <c r="H5068" s="32">
        <v>39</v>
      </c>
      <c r="I5068" s="30" t="s">
        <v>21</v>
      </c>
      <c r="J5068" s="41">
        <v>44225</v>
      </c>
      <c r="K5068" s="30" t="s">
        <v>22</v>
      </c>
    </row>
    <row r="5069" spans="1:11">
      <c r="A5069" s="33" t="s">
        <v>12023</v>
      </c>
      <c r="B5069" s="33" t="s">
        <v>12024</v>
      </c>
      <c r="C5069" s="33" t="s">
        <v>6811</v>
      </c>
      <c r="D5069" s="33" t="s">
        <v>17</v>
      </c>
      <c r="E5069" s="33" t="s">
        <v>31</v>
      </c>
      <c r="F5069" s="33" t="s">
        <v>32</v>
      </c>
      <c r="G5069" s="33" t="s">
        <v>112</v>
      </c>
      <c r="H5069" s="35">
        <v>0</v>
      </c>
      <c r="I5069" s="33" t="s">
        <v>21</v>
      </c>
      <c r="J5069" s="42">
        <v>44501</v>
      </c>
      <c r="K5069" s="33" t="s">
        <v>22</v>
      </c>
    </row>
    <row r="5070" spans="1:11">
      <c r="A5070" s="30" t="s">
        <v>12025</v>
      </c>
      <c r="B5070" s="30" t="s">
        <v>12026</v>
      </c>
      <c r="C5070" s="30" t="s">
        <v>5043</v>
      </c>
      <c r="D5070" s="30" t="s">
        <v>17</v>
      </c>
      <c r="E5070" s="30" t="s">
        <v>31</v>
      </c>
      <c r="F5070" s="30" t="s">
        <v>32</v>
      </c>
      <c r="G5070" s="30" t="s">
        <v>20</v>
      </c>
      <c r="H5070" s="32">
        <v>164</v>
      </c>
      <c r="I5070" s="30" t="s">
        <v>21</v>
      </c>
      <c r="J5070" s="41">
        <v>44530</v>
      </c>
      <c r="K5070" s="30" t="s">
        <v>22</v>
      </c>
    </row>
    <row r="5071" spans="1:11">
      <c r="A5071" s="33" t="s">
        <v>12027</v>
      </c>
      <c r="B5071" s="33" t="s">
        <v>12028</v>
      </c>
      <c r="C5071" s="33" t="s">
        <v>8976</v>
      </c>
      <c r="D5071" s="33" t="s">
        <v>17</v>
      </c>
      <c r="E5071" s="33" t="s">
        <v>26</v>
      </c>
      <c r="F5071" s="33" t="s">
        <v>27</v>
      </c>
      <c r="G5071" s="33" t="s">
        <v>20</v>
      </c>
      <c r="H5071" s="35">
        <v>30</v>
      </c>
      <c r="I5071" s="33" t="s">
        <v>21</v>
      </c>
      <c r="J5071" s="42">
        <v>44272</v>
      </c>
      <c r="K5071" s="33" t="s">
        <v>22</v>
      </c>
    </row>
    <row r="5072" spans="1:11">
      <c r="A5072" s="30" t="s">
        <v>12029</v>
      </c>
      <c r="B5072" s="30" t="s">
        <v>12030</v>
      </c>
      <c r="C5072" s="30" t="s">
        <v>12031</v>
      </c>
      <c r="D5072" s="30" t="s">
        <v>17</v>
      </c>
      <c r="E5072" s="30" t="s">
        <v>26</v>
      </c>
      <c r="F5072" s="30" t="s">
        <v>27</v>
      </c>
      <c r="G5072" s="30" t="s">
        <v>20</v>
      </c>
      <c r="H5072" s="32">
        <v>18</v>
      </c>
      <c r="I5072" s="30" t="s">
        <v>21</v>
      </c>
      <c r="J5072" s="41">
        <v>44316</v>
      </c>
      <c r="K5072" s="30" t="s">
        <v>22</v>
      </c>
    </row>
    <row r="5073" spans="1:11">
      <c r="A5073" s="33" t="s">
        <v>12032</v>
      </c>
      <c r="B5073" s="33" t="s">
        <v>12033</v>
      </c>
      <c r="C5073" s="33" t="s">
        <v>807</v>
      </c>
      <c r="D5073" s="33" t="s">
        <v>17</v>
      </c>
      <c r="E5073" s="33" t="s">
        <v>26</v>
      </c>
      <c r="F5073" s="33" t="s">
        <v>27</v>
      </c>
      <c r="G5073" s="33" t="s">
        <v>20</v>
      </c>
      <c r="H5073" s="35">
        <v>25</v>
      </c>
      <c r="I5073" s="33" t="s">
        <v>21</v>
      </c>
      <c r="J5073" s="42">
        <v>44370</v>
      </c>
      <c r="K5073" s="33" t="s">
        <v>22</v>
      </c>
    </row>
    <row r="5074" spans="1:11">
      <c r="A5074" s="30" t="s">
        <v>12034</v>
      </c>
      <c r="B5074" s="30" t="s">
        <v>12035</v>
      </c>
      <c r="C5074" s="30" t="s">
        <v>12036</v>
      </c>
      <c r="D5074" s="30" t="s">
        <v>17</v>
      </c>
      <c r="E5074" s="30" t="s">
        <v>26</v>
      </c>
      <c r="F5074" s="30" t="s">
        <v>27</v>
      </c>
      <c r="G5074" s="30" t="s">
        <v>158</v>
      </c>
      <c r="H5074" s="32">
        <v>20</v>
      </c>
      <c r="I5074" s="30" t="s">
        <v>51</v>
      </c>
      <c r="J5074" s="41">
        <v>44558</v>
      </c>
      <c r="K5074" s="30" t="s">
        <v>22</v>
      </c>
    </row>
    <row r="5075" spans="1:11">
      <c r="A5075" s="33" t="s">
        <v>12037</v>
      </c>
      <c r="B5075" s="33" t="s">
        <v>12038</v>
      </c>
      <c r="C5075" s="33" t="s">
        <v>3182</v>
      </c>
      <c r="D5075" s="33" t="s">
        <v>17</v>
      </c>
      <c r="E5075" s="33" t="s">
        <v>26</v>
      </c>
      <c r="F5075" s="33" t="s">
        <v>27</v>
      </c>
      <c r="G5075" s="33" t="s">
        <v>20</v>
      </c>
      <c r="H5075" s="35">
        <v>38</v>
      </c>
      <c r="I5075" s="33" t="s">
        <v>21</v>
      </c>
      <c r="J5075" s="42">
        <v>44358</v>
      </c>
      <c r="K5075" s="33" t="s">
        <v>22</v>
      </c>
    </row>
    <row r="5076" spans="1:11">
      <c r="A5076" s="30" t="s">
        <v>12039</v>
      </c>
      <c r="B5076" s="30" t="s">
        <v>12040</v>
      </c>
      <c r="C5076" s="30" t="s">
        <v>2618</v>
      </c>
      <c r="D5076" s="30" t="s">
        <v>17</v>
      </c>
      <c r="E5076" s="30" t="s">
        <v>31</v>
      </c>
      <c r="F5076" s="30" t="s">
        <v>32</v>
      </c>
      <c r="G5076" s="30" t="s">
        <v>106</v>
      </c>
      <c r="H5076" s="32">
        <v>3</v>
      </c>
      <c r="I5076" s="30" t="s">
        <v>21</v>
      </c>
      <c r="J5076" s="41">
        <v>44224</v>
      </c>
      <c r="K5076" s="30" t="s">
        <v>22</v>
      </c>
    </row>
    <row r="5077" spans="1:11">
      <c r="A5077" s="33" t="s">
        <v>12041</v>
      </c>
      <c r="B5077" s="33" t="s">
        <v>12042</v>
      </c>
      <c r="C5077" s="33" t="s">
        <v>96</v>
      </c>
      <c r="D5077" s="33" t="s">
        <v>17</v>
      </c>
      <c r="E5077" s="33" t="s">
        <v>26</v>
      </c>
      <c r="F5077" s="33" t="s">
        <v>27</v>
      </c>
      <c r="G5077" s="33" t="s">
        <v>20</v>
      </c>
      <c r="H5077" s="35">
        <v>6</v>
      </c>
      <c r="I5077" s="33" t="s">
        <v>21</v>
      </c>
      <c r="J5077" s="42">
        <v>44302</v>
      </c>
      <c r="K5077" s="33" t="s">
        <v>22</v>
      </c>
    </row>
    <row r="5078" spans="1:11">
      <c r="A5078" s="30" t="s">
        <v>12043</v>
      </c>
      <c r="B5078" s="30" t="s">
        <v>12044</v>
      </c>
      <c r="C5078" s="30" t="s">
        <v>8508</v>
      </c>
      <c r="D5078" s="30" t="s">
        <v>17</v>
      </c>
      <c r="E5078" s="30" t="s">
        <v>26</v>
      </c>
      <c r="F5078" s="30" t="s">
        <v>27</v>
      </c>
      <c r="G5078" s="30" t="s">
        <v>20</v>
      </c>
      <c r="H5078" s="32">
        <v>50</v>
      </c>
      <c r="I5078" s="30" t="s">
        <v>21</v>
      </c>
      <c r="J5078" s="41">
        <v>44253</v>
      </c>
      <c r="K5078" s="30" t="s">
        <v>22</v>
      </c>
    </row>
    <row r="5079" spans="1:11">
      <c r="A5079" s="33" t="s">
        <v>12045</v>
      </c>
      <c r="B5079" s="33" t="s">
        <v>12046</v>
      </c>
      <c r="C5079" s="33" t="s">
        <v>3775</v>
      </c>
      <c r="D5079" s="33" t="s">
        <v>17</v>
      </c>
      <c r="E5079" s="33" t="s">
        <v>26</v>
      </c>
      <c r="F5079" s="33" t="s">
        <v>27</v>
      </c>
      <c r="G5079" s="33" t="s">
        <v>20</v>
      </c>
      <c r="H5079" s="35">
        <v>40</v>
      </c>
      <c r="I5079" s="33" t="s">
        <v>21</v>
      </c>
      <c r="J5079" s="42">
        <v>44301</v>
      </c>
      <c r="K5079" s="33" t="s">
        <v>22</v>
      </c>
    </row>
    <row r="5080" spans="1:11">
      <c r="A5080" s="30" t="s">
        <v>12047</v>
      </c>
      <c r="B5080" s="30" t="s">
        <v>12048</v>
      </c>
      <c r="C5080" s="30" t="s">
        <v>12049</v>
      </c>
      <c r="D5080" s="30" t="s">
        <v>17</v>
      </c>
      <c r="E5080" s="30" t="s">
        <v>26</v>
      </c>
      <c r="F5080" s="30" t="s">
        <v>27</v>
      </c>
      <c r="G5080" s="30" t="s">
        <v>20</v>
      </c>
      <c r="H5080" s="32">
        <v>32</v>
      </c>
      <c r="I5080" s="30" t="s">
        <v>21</v>
      </c>
      <c r="J5080" s="41">
        <v>44312</v>
      </c>
      <c r="K5080" s="30" t="s">
        <v>22</v>
      </c>
    </row>
    <row r="5081" spans="1:11">
      <c r="A5081" s="33" t="s">
        <v>12050</v>
      </c>
      <c r="B5081" s="33" t="s">
        <v>12051</v>
      </c>
      <c r="C5081" s="33" t="s">
        <v>321</v>
      </c>
      <c r="D5081" s="33" t="s">
        <v>17</v>
      </c>
      <c r="E5081" s="33" t="s">
        <v>26</v>
      </c>
      <c r="F5081" s="33" t="s">
        <v>27</v>
      </c>
      <c r="G5081" s="33" t="s">
        <v>20</v>
      </c>
      <c r="H5081" s="35">
        <v>16</v>
      </c>
      <c r="I5081" s="33" t="s">
        <v>21</v>
      </c>
      <c r="J5081" s="42">
        <v>44466</v>
      </c>
      <c r="K5081" s="33" t="s">
        <v>22</v>
      </c>
    </row>
    <row r="5082" spans="1:11">
      <c r="A5082" s="30" t="s">
        <v>12052</v>
      </c>
      <c r="B5082" s="30" t="s">
        <v>12053</v>
      </c>
      <c r="C5082" s="30" t="s">
        <v>2461</v>
      </c>
      <c r="D5082" s="30" t="s">
        <v>17</v>
      </c>
      <c r="E5082" s="30" t="s">
        <v>18</v>
      </c>
      <c r="F5082" s="30" t="s">
        <v>19</v>
      </c>
      <c r="G5082" s="30" t="s">
        <v>50</v>
      </c>
      <c r="H5082" s="32">
        <v>110</v>
      </c>
      <c r="I5082" s="30" t="s">
        <v>51</v>
      </c>
      <c r="J5082" s="41">
        <v>44197</v>
      </c>
      <c r="K5082" s="30" t="s">
        <v>22</v>
      </c>
    </row>
    <row r="5083" spans="1:11">
      <c r="A5083" s="33" t="s">
        <v>12054</v>
      </c>
      <c r="B5083" s="33" t="s">
        <v>12055</v>
      </c>
      <c r="C5083" s="33" t="s">
        <v>12056</v>
      </c>
      <c r="D5083" s="33" t="s">
        <v>17</v>
      </c>
      <c r="E5083" s="33" t="s">
        <v>26</v>
      </c>
      <c r="F5083" s="33" t="s">
        <v>27</v>
      </c>
      <c r="G5083" s="33" t="s">
        <v>140</v>
      </c>
      <c r="H5083" s="35">
        <v>170</v>
      </c>
      <c r="I5083" s="33" t="s">
        <v>51</v>
      </c>
      <c r="J5083" s="42">
        <v>44504</v>
      </c>
      <c r="K5083" s="33" t="s">
        <v>22</v>
      </c>
    </row>
    <row r="5084" spans="1:11">
      <c r="A5084" s="30" t="s">
        <v>12057</v>
      </c>
      <c r="B5084" s="30" t="s">
        <v>12058</v>
      </c>
      <c r="C5084" s="30" t="s">
        <v>10428</v>
      </c>
      <c r="D5084" s="30" t="s">
        <v>17</v>
      </c>
      <c r="E5084" s="30" t="s">
        <v>18</v>
      </c>
      <c r="F5084" s="30" t="s">
        <v>19</v>
      </c>
      <c r="G5084" s="30" t="s">
        <v>50</v>
      </c>
      <c r="H5084" s="32">
        <v>342</v>
      </c>
      <c r="I5084" s="30" t="s">
        <v>51</v>
      </c>
      <c r="J5084" s="41">
        <v>44519</v>
      </c>
      <c r="K5084" s="30" t="s">
        <v>22</v>
      </c>
    </row>
    <row r="5085" spans="1:11">
      <c r="A5085" s="33" t="s">
        <v>12059</v>
      </c>
      <c r="B5085" s="33" t="s">
        <v>12060</v>
      </c>
      <c r="C5085" s="33" t="s">
        <v>1090</v>
      </c>
      <c r="D5085" s="33" t="s">
        <v>17</v>
      </c>
      <c r="E5085" s="33" t="s">
        <v>26</v>
      </c>
      <c r="F5085" s="33" t="s">
        <v>27</v>
      </c>
      <c r="G5085" s="33" t="s">
        <v>20</v>
      </c>
      <c r="H5085" s="35">
        <v>14</v>
      </c>
      <c r="I5085" s="33" t="s">
        <v>21</v>
      </c>
      <c r="J5085" s="42">
        <v>44354</v>
      </c>
      <c r="K5085" s="33" t="s">
        <v>22</v>
      </c>
    </row>
    <row r="5086" spans="1:11">
      <c r="A5086" s="30" t="s">
        <v>12061</v>
      </c>
      <c r="B5086" s="30" t="s">
        <v>12062</v>
      </c>
      <c r="C5086" s="30" t="s">
        <v>12063</v>
      </c>
      <c r="D5086" s="30" t="s">
        <v>17</v>
      </c>
      <c r="E5086" s="30" t="s">
        <v>31</v>
      </c>
      <c r="F5086" s="30" t="s">
        <v>32</v>
      </c>
      <c r="G5086" s="30" t="s">
        <v>158</v>
      </c>
      <c r="H5086" s="32">
        <v>206</v>
      </c>
      <c r="I5086" s="30" t="s">
        <v>21</v>
      </c>
      <c r="J5086" s="41">
        <v>44462</v>
      </c>
      <c r="K5086" s="30" t="s">
        <v>22</v>
      </c>
    </row>
    <row r="5087" spans="1:11">
      <c r="A5087" s="33" t="s">
        <v>12064</v>
      </c>
      <c r="B5087" s="33" t="s">
        <v>12065</v>
      </c>
      <c r="C5087" s="33" t="s">
        <v>2272</v>
      </c>
      <c r="D5087" s="33" t="s">
        <v>17</v>
      </c>
      <c r="E5087" s="33" t="s">
        <v>31</v>
      </c>
      <c r="F5087" s="33" t="s">
        <v>32</v>
      </c>
      <c r="G5087" s="33" t="s">
        <v>20</v>
      </c>
      <c r="H5087" s="35">
        <v>40</v>
      </c>
      <c r="I5087" s="33" t="s">
        <v>21</v>
      </c>
      <c r="J5087" s="42">
        <v>44399</v>
      </c>
      <c r="K5087" s="33" t="s">
        <v>22</v>
      </c>
    </row>
    <row r="5088" spans="1:11">
      <c r="A5088" s="30" t="s">
        <v>12066</v>
      </c>
      <c r="B5088" s="30" t="s">
        <v>12067</v>
      </c>
      <c r="C5088" s="30" t="s">
        <v>12068</v>
      </c>
      <c r="D5088" s="30" t="s">
        <v>17</v>
      </c>
      <c r="E5088" s="30" t="s">
        <v>67</v>
      </c>
      <c r="F5088" s="30" t="s">
        <v>68</v>
      </c>
      <c r="G5088" s="30" t="s">
        <v>50</v>
      </c>
      <c r="H5088" s="32">
        <v>6</v>
      </c>
      <c r="I5088" s="30" t="s">
        <v>51</v>
      </c>
      <c r="J5088" s="41">
        <v>44286</v>
      </c>
      <c r="K5088" s="30" t="s">
        <v>22</v>
      </c>
    </row>
    <row r="5089" spans="1:11">
      <c r="A5089" s="33" t="s">
        <v>12069</v>
      </c>
      <c r="B5089" s="33" t="s">
        <v>12070</v>
      </c>
      <c r="C5089" s="33" t="s">
        <v>12071</v>
      </c>
      <c r="D5089" s="33" t="s">
        <v>17</v>
      </c>
      <c r="E5089" s="33" t="s">
        <v>31</v>
      </c>
      <c r="F5089" s="33" t="s">
        <v>32</v>
      </c>
      <c r="G5089" s="33" t="s">
        <v>112</v>
      </c>
      <c r="H5089" s="35">
        <v>0</v>
      </c>
      <c r="I5089" s="33" t="s">
        <v>21</v>
      </c>
      <c r="J5089" s="42">
        <v>44256</v>
      </c>
      <c r="K5089" s="33" t="s">
        <v>22</v>
      </c>
    </row>
    <row r="5090" spans="1:11">
      <c r="A5090" s="30" t="s">
        <v>12072</v>
      </c>
      <c r="B5090" s="30" t="s">
        <v>12073</v>
      </c>
      <c r="C5090" s="30" t="s">
        <v>11899</v>
      </c>
      <c r="D5090" s="30" t="s">
        <v>17</v>
      </c>
      <c r="E5090" s="30" t="s">
        <v>31</v>
      </c>
      <c r="F5090" s="30" t="s">
        <v>32</v>
      </c>
      <c r="G5090" s="30" t="s">
        <v>50</v>
      </c>
      <c r="H5090" s="32">
        <v>71</v>
      </c>
      <c r="I5090" s="30" t="s">
        <v>51</v>
      </c>
      <c r="J5090" s="41">
        <v>44438</v>
      </c>
      <c r="K5090" s="30" t="s">
        <v>22</v>
      </c>
    </row>
    <row r="5091" spans="1:11">
      <c r="A5091" s="33" t="s">
        <v>12074</v>
      </c>
      <c r="B5091" s="33" t="s">
        <v>12075</v>
      </c>
      <c r="C5091" s="33" t="s">
        <v>190</v>
      </c>
      <c r="D5091" s="33" t="s">
        <v>17</v>
      </c>
      <c r="E5091" s="33" t="s">
        <v>31</v>
      </c>
      <c r="F5091" s="33" t="s">
        <v>32</v>
      </c>
      <c r="G5091" s="33" t="s">
        <v>20</v>
      </c>
      <c r="H5091" s="35">
        <v>411</v>
      </c>
      <c r="I5091" s="33" t="s">
        <v>21</v>
      </c>
      <c r="J5091" s="42">
        <v>44384</v>
      </c>
      <c r="K5091" s="33" t="s">
        <v>22</v>
      </c>
    </row>
    <row r="5092" spans="1:11">
      <c r="A5092" s="30" t="s">
        <v>12076</v>
      </c>
      <c r="B5092" s="30" t="s">
        <v>12077</v>
      </c>
      <c r="C5092" s="30" t="s">
        <v>4668</v>
      </c>
      <c r="D5092" s="30" t="s">
        <v>17</v>
      </c>
      <c r="E5092" s="30" t="s">
        <v>26</v>
      </c>
      <c r="F5092" s="30" t="s">
        <v>27</v>
      </c>
      <c r="G5092" s="30" t="s">
        <v>20</v>
      </c>
      <c r="H5092" s="32">
        <v>70</v>
      </c>
      <c r="I5092" s="30" t="s">
        <v>21</v>
      </c>
      <c r="J5092" s="41">
        <v>44256</v>
      </c>
      <c r="K5092" s="30" t="s">
        <v>22</v>
      </c>
    </row>
    <row r="5093" spans="1:11">
      <c r="A5093" s="33" t="s">
        <v>12078</v>
      </c>
      <c r="B5093" s="33" t="s">
        <v>12079</v>
      </c>
      <c r="C5093" s="33" t="s">
        <v>5725</v>
      </c>
      <c r="D5093" s="33" t="s">
        <v>17</v>
      </c>
      <c r="E5093" s="33" t="s">
        <v>67</v>
      </c>
      <c r="F5093" s="33" t="s">
        <v>68</v>
      </c>
      <c r="G5093" s="33" t="s">
        <v>106</v>
      </c>
      <c r="H5093" s="35">
        <v>40</v>
      </c>
      <c r="I5093" s="33" t="s">
        <v>21</v>
      </c>
      <c r="J5093" s="42">
        <v>44377</v>
      </c>
      <c r="K5093" s="33" t="s">
        <v>22</v>
      </c>
    </row>
    <row r="5094" spans="1:11">
      <c r="A5094" s="30" t="s">
        <v>12080</v>
      </c>
      <c r="B5094" s="30" t="s">
        <v>12081</v>
      </c>
      <c r="C5094" s="30" t="s">
        <v>118</v>
      </c>
      <c r="D5094" s="30" t="s">
        <v>17</v>
      </c>
      <c r="E5094" s="30" t="s">
        <v>18</v>
      </c>
      <c r="F5094" s="30" t="s">
        <v>19</v>
      </c>
      <c r="G5094" s="30" t="s">
        <v>20</v>
      </c>
      <c r="H5094" s="32">
        <v>628</v>
      </c>
      <c r="I5094" s="30" t="s">
        <v>21</v>
      </c>
      <c r="J5094" s="41">
        <v>44435</v>
      </c>
      <c r="K5094" s="30" t="s">
        <v>22</v>
      </c>
    </row>
    <row r="5095" spans="1:11">
      <c r="A5095" s="33" t="s">
        <v>12082</v>
      </c>
      <c r="B5095" s="33" t="s">
        <v>12083</v>
      </c>
      <c r="C5095" s="33" t="s">
        <v>318</v>
      </c>
      <c r="D5095" s="33" t="s">
        <v>17</v>
      </c>
      <c r="E5095" s="33" t="s">
        <v>212</v>
      </c>
      <c r="F5095" s="33" t="s">
        <v>213</v>
      </c>
      <c r="G5095" s="33" t="s">
        <v>20</v>
      </c>
      <c r="H5095" s="35">
        <v>240</v>
      </c>
      <c r="I5095" s="33" t="s">
        <v>21</v>
      </c>
      <c r="J5095" s="42">
        <v>44358</v>
      </c>
      <c r="K5095" s="33" t="s">
        <v>22</v>
      </c>
    </row>
    <row r="5096" spans="1:11">
      <c r="A5096" s="30" t="s">
        <v>12084</v>
      </c>
      <c r="B5096" s="30" t="s">
        <v>12085</v>
      </c>
      <c r="C5096" s="30" t="s">
        <v>1295</v>
      </c>
      <c r="D5096" s="30" t="s">
        <v>17</v>
      </c>
      <c r="E5096" s="30" t="s">
        <v>26</v>
      </c>
      <c r="F5096" s="30" t="s">
        <v>27</v>
      </c>
      <c r="G5096" s="30" t="s">
        <v>106</v>
      </c>
      <c r="H5096" s="32">
        <v>29</v>
      </c>
      <c r="I5096" s="30" t="s">
        <v>21</v>
      </c>
      <c r="J5096" s="41">
        <v>44455</v>
      </c>
      <c r="K5096" s="30" t="s">
        <v>22</v>
      </c>
    </row>
    <row r="5097" spans="1:11">
      <c r="A5097" s="33" t="s">
        <v>12086</v>
      </c>
      <c r="B5097" s="33" t="s">
        <v>12087</v>
      </c>
      <c r="C5097" s="33" t="s">
        <v>517</v>
      </c>
      <c r="D5097" s="33" t="s">
        <v>17</v>
      </c>
      <c r="E5097" s="33" t="s">
        <v>26</v>
      </c>
      <c r="F5097" s="33" t="s">
        <v>27</v>
      </c>
      <c r="G5097" s="33" t="s">
        <v>20</v>
      </c>
      <c r="H5097" s="35">
        <v>41</v>
      </c>
      <c r="I5097" s="33" t="s">
        <v>21</v>
      </c>
      <c r="J5097" s="42">
        <v>44501</v>
      </c>
      <c r="K5097" s="33" t="s">
        <v>22</v>
      </c>
    </row>
    <row r="5098" spans="1:11">
      <c r="A5098" s="30" t="s">
        <v>12088</v>
      </c>
      <c r="B5098" s="30" t="s">
        <v>12089</v>
      </c>
      <c r="C5098" s="30" t="s">
        <v>12090</v>
      </c>
      <c r="D5098" s="30" t="s">
        <v>17</v>
      </c>
      <c r="E5098" s="30" t="s">
        <v>26</v>
      </c>
      <c r="F5098" s="30" t="s">
        <v>27</v>
      </c>
      <c r="G5098" s="30" t="s">
        <v>20</v>
      </c>
      <c r="H5098" s="32">
        <v>12</v>
      </c>
      <c r="I5098" s="30" t="s">
        <v>21</v>
      </c>
      <c r="J5098" s="41">
        <v>44432</v>
      </c>
      <c r="K5098" s="30" t="s">
        <v>22</v>
      </c>
    </row>
    <row r="5099" spans="1:11">
      <c r="A5099" s="33" t="s">
        <v>12091</v>
      </c>
      <c r="B5099" s="33" t="s">
        <v>12092</v>
      </c>
      <c r="C5099" s="33" t="s">
        <v>3934</v>
      </c>
      <c r="D5099" s="33" t="s">
        <v>17</v>
      </c>
      <c r="E5099" s="33" t="s">
        <v>31</v>
      </c>
      <c r="F5099" s="33" t="s">
        <v>32</v>
      </c>
      <c r="G5099" s="33" t="s">
        <v>20</v>
      </c>
      <c r="H5099" s="35">
        <v>133</v>
      </c>
      <c r="I5099" s="33" t="s">
        <v>21</v>
      </c>
      <c r="J5099" s="42">
        <v>44483</v>
      </c>
      <c r="K5099" s="33" t="s">
        <v>22</v>
      </c>
    </row>
    <row r="5100" spans="1:11">
      <c r="A5100" s="30" t="s">
        <v>12093</v>
      </c>
      <c r="B5100" s="30" t="s">
        <v>12094</v>
      </c>
      <c r="C5100" s="30" t="s">
        <v>3757</v>
      </c>
      <c r="D5100" s="30" t="s">
        <v>17</v>
      </c>
      <c r="E5100" s="30" t="s">
        <v>31</v>
      </c>
      <c r="F5100" s="30" t="s">
        <v>32</v>
      </c>
      <c r="G5100" s="30" t="s">
        <v>20</v>
      </c>
      <c r="H5100" s="32">
        <v>225</v>
      </c>
      <c r="I5100" s="30" t="s">
        <v>21</v>
      </c>
      <c r="J5100" s="41">
        <v>44404</v>
      </c>
      <c r="K5100" s="30" t="s">
        <v>22</v>
      </c>
    </row>
    <row r="5101" spans="1:11">
      <c r="A5101" s="33" t="s">
        <v>12095</v>
      </c>
      <c r="B5101" s="33" t="s">
        <v>12096</v>
      </c>
      <c r="C5101" s="33" t="s">
        <v>93</v>
      </c>
      <c r="D5101" s="33" t="s">
        <v>17</v>
      </c>
      <c r="E5101" s="33" t="s">
        <v>26</v>
      </c>
      <c r="F5101" s="33" t="s">
        <v>27</v>
      </c>
      <c r="G5101" s="33" t="s">
        <v>20</v>
      </c>
      <c r="H5101" s="35">
        <v>12</v>
      </c>
      <c r="I5101" s="33" t="s">
        <v>21</v>
      </c>
      <c r="J5101" s="42">
        <v>44385</v>
      </c>
      <c r="K5101" s="33" t="s">
        <v>22</v>
      </c>
    </row>
    <row r="5102" spans="1:11">
      <c r="A5102" s="30" t="s">
        <v>12097</v>
      </c>
      <c r="B5102" s="30" t="s">
        <v>12098</v>
      </c>
      <c r="C5102" s="30" t="s">
        <v>12099</v>
      </c>
      <c r="D5102" s="30" t="s">
        <v>17</v>
      </c>
      <c r="E5102" s="30" t="s">
        <v>18</v>
      </c>
      <c r="F5102" s="30" t="s">
        <v>19</v>
      </c>
      <c r="G5102" s="30" t="s">
        <v>106</v>
      </c>
      <c r="H5102" s="32">
        <v>249</v>
      </c>
      <c r="I5102" s="30" t="s">
        <v>21</v>
      </c>
      <c r="J5102" s="41">
        <v>44214</v>
      </c>
      <c r="K5102" s="30" t="s">
        <v>22</v>
      </c>
    </row>
    <row r="5103" spans="1:11">
      <c r="A5103" s="33" t="s">
        <v>12100</v>
      </c>
      <c r="B5103" s="33" t="s">
        <v>12101</v>
      </c>
      <c r="C5103" s="33" t="s">
        <v>157</v>
      </c>
      <c r="D5103" s="33" t="s">
        <v>17</v>
      </c>
      <c r="E5103" s="33" t="s">
        <v>31</v>
      </c>
      <c r="F5103" s="33" t="s">
        <v>32</v>
      </c>
      <c r="G5103" s="33" t="s">
        <v>158</v>
      </c>
      <c r="H5103" s="35">
        <v>27</v>
      </c>
      <c r="I5103" s="33" t="s">
        <v>21</v>
      </c>
      <c r="J5103" s="42">
        <v>44512</v>
      </c>
      <c r="K5103" s="33" t="s">
        <v>22</v>
      </c>
    </row>
    <row r="5104" spans="1:11">
      <c r="A5104" s="30" t="s">
        <v>12102</v>
      </c>
      <c r="B5104" s="30" t="s">
        <v>12103</v>
      </c>
      <c r="C5104" s="30" t="s">
        <v>2117</v>
      </c>
      <c r="D5104" s="30" t="s">
        <v>17</v>
      </c>
      <c r="E5104" s="30" t="s">
        <v>31</v>
      </c>
      <c r="F5104" s="30" t="s">
        <v>32</v>
      </c>
      <c r="G5104" s="30" t="s">
        <v>158</v>
      </c>
      <c r="H5104" s="32">
        <v>84</v>
      </c>
      <c r="I5104" s="30" t="s">
        <v>51</v>
      </c>
      <c r="J5104" s="41">
        <v>44315</v>
      </c>
      <c r="K5104" s="30" t="s">
        <v>22</v>
      </c>
    </row>
    <row r="5105" spans="1:11">
      <c r="A5105" s="33" t="s">
        <v>12104</v>
      </c>
      <c r="B5105" s="33" t="s">
        <v>12105</v>
      </c>
      <c r="C5105" s="33" t="s">
        <v>5530</v>
      </c>
      <c r="D5105" s="33" t="s">
        <v>17</v>
      </c>
      <c r="E5105" s="33" t="s">
        <v>18</v>
      </c>
      <c r="F5105" s="33" t="s">
        <v>19</v>
      </c>
      <c r="G5105" s="33" t="s">
        <v>20</v>
      </c>
      <c r="H5105" s="35">
        <v>380</v>
      </c>
      <c r="I5105" s="33" t="s">
        <v>21</v>
      </c>
      <c r="J5105" s="42">
        <v>44371</v>
      </c>
      <c r="K5105" s="33" t="s">
        <v>22</v>
      </c>
    </row>
    <row r="5106" spans="1:11">
      <c r="A5106" s="30" t="s">
        <v>12106</v>
      </c>
      <c r="B5106" s="30" t="s">
        <v>12107</v>
      </c>
      <c r="C5106" s="30" t="s">
        <v>9464</v>
      </c>
      <c r="D5106" s="30" t="s">
        <v>17</v>
      </c>
      <c r="E5106" s="30" t="s">
        <v>26</v>
      </c>
      <c r="F5106" s="30" t="s">
        <v>27</v>
      </c>
      <c r="G5106" s="30" t="s">
        <v>50</v>
      </c>
      <c r="H5106" s="32">
        <v>120</v>
      </c>
      <c r="I5106" s="30" t="s">
        <v>51</v>
      </c>
      <c r="J5106" s="41">
        <v>44530</v>
      </c>
      <c r="K5106" s="30" t="s">
        <v>22</v>
      </c>
    </row>
    <row r="5107" spans="1:11">
      <c r="A5107" s="33" t="s">
        <v>12108</v>
      </c>
      <c r="B5107" s="33" t="s">
        <v>12109</v>
      </c>
      <c r="C5107" s="33" t="s">
        <v>1652</v>
      </c>
      <c r="D5107" s="33" t="s">
        <v>17</v>
      </c>
      <c r="E5107" s="33" t="s">
        <v>31</v>
      </c>
      <c r="F5107" s="33" t="s">
        <v>32</v>
      </c>
      <c r="G5107" s="33" t="s">
        <v>20</v>
      </c>
      <c r="H5107" s="35">
        <v>91</v>
      </c>
      <c r="I5107" s="33" t="s">
        <v>21</v>
      </c>
      <c r="J5107" s="42">
        <v>44298</v>
      </c>
      <c r="K5107" s="33" t="s">
        <v>22</v>
      </c>
    </row>
    <row r="5108" spans="1:11">
      <c r="A5108" s="30" t="s">
        <v>12110</v>
      </c>
      <c r="B5108" s="30" t="s">
        <v>12111</v>
      </c>
      <c r="C5108" s="30" t="s">
        <v>12112</v>
      </c>
      <c r="D5108" s="30" t="s">
        <v>17</v>
      </c>
      <c r="E5108" s="30" t="s">
        <v>31</v>
      </c>
      <c r="F5108" s="30" t="s">
        <v>32</v>
      </c>
      <c r="G5108" s="30" t="s">
        <v>50</v>
      </c>
      <c r="H5108" s="32">
        <v>140</v>
      </c>
      <c r="I5108" s="30" t="s">
        <v>51</v>
      </c>
      <c r="J5108" s="41">
        <v>44501</v>
      </c>
      <c r="K5108" s="30" t="s">
        <v>22</v>
      </c>
    </row>
    <row r="5109" spans="1:11">
      <c r="A5109" s="33" t="s">
        <v>12113</v>
      </c>
      <c r="B5109" s="33" t="s">
        <v>12114</v>
      </c>
      <c r="C5109" s="33" t="s">
        <v>549</v>
      </c>
      <c r="D5109" s="33" t="s">
        <v>17</v>
      </c>
      <c r="E5109" s="33" t="s">
        <v>26</v>
      </c>
      <c r="F5109" s="33" t="s">
        <v>27</v>
      </c>
      <c r="G5109" s="33" t="s">
        <v>20</v>
      </c>
      <c r="H5109" s="35">
        <v>33</v>
      </c>
      <c r="I5109" s="33" t="s">
        <v>21</v>
      </c>
      <c r="J5109" s="42">
        <v>44238</v>
      </c>
      <c r="K5109" s="33" t="s">
        <v>22</v>
      </c>
    </row>
    <row r="5110" spans="1:11">
      <c r="A5110" s="30" t="s">
        <v>12115</v>
      </c>
      <c r="B5110" s="30" t="s">
        <v>12116</v>
      </c>
      <c r="C5110" s="30" t="s">
        <v>1136</v>
      </c>
      <c r="D5110" s="30" t="s">
        <v>17</v>
      </c>
      <c r="E5110" s="30" t="s">
        <v>18</v>
      </c>
      <c r="F5110" s="30" t="s">
        <v>19</v>
      </c>
      <c r="G5110" s="30" t="s">
        <v>106</v>
      </c>
      <c r="H5110" s="32">
        <v>23670</v>
      </c>
      <c r="I5110" s="30" t="s">
        <v>21</v>
      </c>
      <c r="J5110" s="41">
        <v>44342</v>
      </c>
      <c r="K5110" s="30" t="s">
        <v>22</v>
      </c>
    </row>
    <row r="5111" spans="1:11">
      <c r="A5111" s="33" t="s">
        <v>12117</v>
      </c>
      <c r="B5111" s="33" t="s">
        <v>12118</v>
      </c>
      <c r="C5111" s="33" t="s">
        <v>231</v>
      </c>
      <c r="D5111" s="33" t="s">
        <v>17</v>
      </c>
      <c r="E5111" s="33" t="s">
        <v>26</v>
      </c>
      <c r="F5111" s="33" t="s">
        <v>27</v>
      </c>
      <c r="G5111" s="33" t="s">
        <v>20</v>
      </c>
      <c r="H5111" s="35">
        <v>32</v>
      </c>
      <c r="I5111" s="33" t="s">
        <v>21</v>
      </c>
      <c r="J5111" s="42">
        <v>44400</v>
      </c>
      <c r="K5111" s="33" t="s">
        <v>22</v>
      </c>
    </row>
    <row r="5112" spans="1:11">
      <c r="A5112" s="30" t="s">
        <v>12119</v>
      </c>
      <c r="B5112" s="30" t="s">
        <v>12120</v>
      </c>
      <c r="C5112" s="30" t="s">
        <v>3439</v>
      </c>
      <c r="D5112" s="30" t="s">
        <v>17</v>
      </c>
      <c r="E5112" s="30" t="s">
        <v>67</v>
      </c>
      <c r="F5112" s="30" t="s">
        <v>68</v>
      </c>
      <c r="G5112" s="30" t="s">
        <v>20</v>
      </c>
      <c r="H5112" s="32">
        <v>58</v>
      </c>
      <c r="I5112" s="30" t="s">
        <v>21</v>
      </c>
      <c r="J5112" s="41">
        <v>44278</v>
      </c>
      <c r="K5112" s="30" t="s">
        <v>22</v>
      </c>
    </row>
    <row r="5113" spans="1:11">
      <c r="A5113" s="33" t="s">
        <v>12121</v>
      </c>
      <c r="B5113" s="33" t="s">
        <v>12122</v>
      </c>
      <c r="C5113" s="33" t="s">
        <v>5643</v>
      </c>
      <c r="D5113" s="33" t="s">
        <v>17</v>
      </c>
      <c r="E5113" s="33" t="s">
        <v>26</v>
      </c>
      <c r="F5113" s="33" t="s">
        <v>27</v>
      </c>
      <c r="G5113" s="33" t="s">
        <v>50</v>
      </c>
      <c r="H5113" s="35">
        <v>375</v>
      </c>
      <c r="I5113" s="33" t="s">
        <v>21</v>
      </c>
      <c r="J5113" s="42">
        <v>44411</v>
      </c>
      <c r="K5113" s="33" t="s">
        <v>22</v>
      </c>
    </row>
    <row r="5114" spans="1:11">
      <c r="A5114" s="30" t="s">
        <v>12123</v>
      </c>
      <c r="B5114" s="30" t="s">
        <v>12124</v>
      </c>
      <c r="C5114" s="30" t="s">
        <v>318</v>
      </c>
      <c r="D5114" s="30" t="s">
        <v>17</v>
      </c>
      <c r="E5114" s="30" t="s">
        <v>31</v>
      </c>
      <c r="F5114" s="30" t="s">
        <v>32</v>
      </c>
      <c r="G5114" s="30" t="s">
        <v>158</v>
      </c>
      <c r="H5114" s="32">
        <v>222</v>
      </c>
      <c r="I5114" s="30" t="s">
        <v>21</v>
      </c>
      <c r="J5114" s="41">
        <v>44531</v>
      </c>
      <c r="K5114" s="30" t="s">
        <v>22</v>
      </c>
    </row>
    <row r="5115" spans="1:11">
      <c r="A5115" s="33" t="s">
        <v>12125</v>
      </c>
      <c r="B5115" s="33" t="s">
        <v>12126</v>
      </c>
      <c r="C5115" s="33" t="s">
        <v>1228</v>
      </c>
      <c r="D5115" s="33" t="s">
        <v>17</v>
      </c>
      <c r="E5115" s="33" t="s">
        <v>18</v>
      </c>
      <c r="F5115" s="33" t="s">
        <v>19</v>
      </c>
      <c r="G5115" s="33" t="s">
        <v>20</v>
      </c>
      <c r="H5115" s="35">
        <v>3</v>
      </c>
      <c r="I5115" s="33" t="s">
        <v>21</v>
      </c>
      <c r="J5115" s="42">
        <v>44410</v>
      </c>
      <c r="K5115" s="33" t="s">
        <v>22</v>
      </c>
    </row>
    <row r="5116" spans="1:11">
      <c r="A5116" s="30" t="s">
        <v>12127</v>
      </c>
      <c r="B5116" s="30" t="s">
        <v>12128</v>
      </c>
      <c r="C5116" s="30" t="s">
        <v>136</v>
      </c>
      <c r="D5116" s="30" t="s">
        <v>17</v>
      </c>
      <c r="E5116" s="30" t="s">
        <v>26</v>
      </c>
      <c r="F5116" s="30" t="s">
        <v>27</v>
      </c>
      <c r="G5116" s="30" t="s">
        <v>20</v>
      </c>
      <c r="H5116" s="32">
        <v>47</v>
      </c>
      <c r="I5116" s="30" t="s">
        <v>21</v>
      </c>
      <c r="J5116" s="41">
        <v>44330</v>
      </c>
      <c r="K5116" s="30" t="s">
        <v>22</v>
      </c>
    </row>
    <row r="5117" spans="1:11">
      <c r="A5117" s="33" t="s">
        <v>12129</v>
      </c>
      <c r="B5117" s="33" t="s">
        <v>12130</v>
      </c>
      <c r="C5117" s="33" t="s">
        <v>3185</v>
      </c>
      <c r="D5117" s="33" t="s">
        <v>17</v>
      </c>
      <c r="E5117" s="33" t="s">
        <v>67</v>
      </c>
      <c r="F5117" s="33" t="s">
        <v>68</v>
      </c>
      <c r="G5117" s="33" t="s">
        <v>50</v>
      </c>
      <c r="H5117" s="35">
        <v>328</v>
      </c>
      <c r="I5117" s="33" t="s">
        <v>21</v>
      </c>
      <c r="J5117" s="42">
        <v>44230</v>
      </c>
      <c r="K5117" s="33" t="s">
        <v>22</v>
      </c>
    </row>
    <row r="5118" spans="1:11">
      <c r="A5118" s="30" t="s">
        <v>12131</v>
      </c>
      <c r="B5118" s="30" t="s">
        <v>12132</v>
      </c>
      <c r="C5118" s="30" t="s">
        <v>4742</v>
      </c>
      <c r="D5118" s="30" t="s">
        <v>17</v>
      </c>
      <c r="E5118" s="30" t="s">
        <v>212</v>
      </c>
      <c r="F5118" s="30" t="s">
        <v>213</v>
      </c>
      <c r="G5118" s="30" t="s">
        <v>50</v>
      </c>
      <c r="H5118" s="32">
        <v>1400</v>
      </c>
      <c r="I5118" s="30" t="s">
        <v>51</v>
      </c>
      <c r="J5118" s="41">
        <v>44366</v>
      </c>
      <c r="K5118" s="30" t="s">
        <v>22</v>
      </c>
    </row>
    <row r="5119" spans="1:11">
      <c r="A5119" s="33" t="s">
        <v>12133</v>
      </c>
      <c r="B5119" s="33" t="s">
        <v>12134</v>
      </c>
      <c r="C5119" s="33" t="s">
        <v>190</v>
      </c>
      <c r="D5119" s="33" t="s">
        <v>17</v>
      </c>
      <c r="E5119" s="33" t="s">
        <v>26</v>
      </c>
      <c r="F5119" s="33" t="s">
        <v>27</v>
      </c>
      <c r="G5119" s="33" t="s">
        <v>20</v>
      </c>
      <c r="H5119" s="35">
        <v>33</v>
      </c>
      <c r="I5119" s="33" t="s">
        <v>21</v>
      </c>
      <c r="J5119" s="42">
        <v>44208</v>
      </c>
      <c r="K5119" s="33" t="s">
        <v>22</v>
      </c>
    </row>
    <row r="5120" spans="1:11">
      <c r="A5120" s="30" t="s">
        <v>12135</v>
      </c>
      <c r="B5120" s="30" t="s">
        <v>12136</v>
      </c>
      <c r="C5120" s="30" t="s">
        <v>5158</v>
      </c>
      <c r="D5120" s="30" t="s">
        <v>17</v>
      </c>
      <c r="E5120" s="30" t="s">
        <v>212</v>
      </c>
      <c r="F5120" s="30" t="s">
        <v>213</v>
      </c>
      <c r="G5120" s="30" t="s">
        <v>20</v>
      </c>
      <c r="H5120" s="32">
        <v>28</v>
      </c>
      <c r="I5120" s="30" t="s">
        <v>21</v>
      </c>
      <c r="J5120" s="41">
        <v>44501</v>
      </c>
      <c r="K5120" s="30" t="s">
        <v>22</v>
      </c>
    </row>
    <row r="5121" spans="1:11">
      <c r="A5121" s="33" t="s">
        <v>12137</v>
      </c>
      <c r="B5121" s="33" t="s">
        <v>12138</v>
      </c>
      <c r="C5121" s="33" t="s">
        <v>318</v>
      </c>
      <c r="D5121" s="33" t="s">
        <v>17</v>
      </c>
      <c r="E5121" s="33" t="s">
        <v>26</v>
      </c>
      <c r="F5121" s="33" t="s">
        <v>27</v>
      </c>
      <c r="G5121" s="33" t="s">
        <v>20</v>
      </c>
      <c r="H5121" s="35">
        <v>23</v>
      </c>
      <c r="I5121" s="33" t="s">
        <v>21</v>
      </c>
      <c r="J5121" s="42">
        <v>44466</v>
      </c>
      <c r="K5121" s="33" t="s">
        <v>22</v>
      </c>
    </row>
    <row r="5122" spans="1:11">
      <c r="A5122" s="30" t="s">
        <v>12139</v>
      </c>
      <c r="B5122" s="30" t="s">
        <v>12140</v>
      </c>
      <c r="C5122" s="30" t="s">
        <v>96</v>
      </c>
      <c r="D5122" s="30" t="s">
        <v>17</v>
      </c>
      <c r="E5122" s="30" t="s">
        <v>31</v>
      </c>
      <c r="F5122" s="30" t="s">
        <v>32</v>
      </c>
      <c r="G5122" s="30" t="s">
        <v>106</v>
      </c>
      <c r="H5122" s="32">
        <v>76</v>
      </c>
      <c r="I5122" s="30" t="s">
        <v>21</v>
      </c>
      <c r="J5122" s="41">
        <v>44369</v>
      </c>
      <c r="K5122" s="30" t="s">
        <v>22</v>
      </c>
    </row>
    <row r="5123" spans="1:11">
      <c r="A5123" s="33" t="s">
        <v>12141</v>
      </c>
      <c r="B5123" s="33" t="s">
        <v>12142</v>
      </c>
      <c r="C5123" s="33" t="s">
        <v>985</v>
      </c>
      <c r="D5123" s="33" t="s">
        <v>17</v>
      </c>
      <c r="E5123" s="33" t="s">
        <v>26</v>
      </c>
      <c r="F5123" s="33" t="s">
        <v>27</v>
      </c>
      <c r="G5123" s="33" t="s">
        <v>20</v>
      </c>
      <c r="H5123" s="35">
        <v>29</v>
      </c>
      <c r="I5123" s="33" t="s">
        <v>21</v>
      </c>
      <c r="J5123" s="42">
        <v>44503</v>
      </c>
      <c r="K5123" s="33" t="s">
        <v>22</v>
      </c>
    </row>
    <row r="5124" spans="1:11">
      <c r="A5124" s="30" t="s">
        <v>12143</v>
      </c>
      <c r="B5124" s="30" t="s">
        <v>12144</v>
      </c>
      <c r="C5124" s="30" t="s">
        <v>4703</v>
      </c>
      <c r="D5124" s="30" t="s">
        <v>17</v>
      </c>
      <c r="E5124" s="30" t="s">
        <v>330</v>
      </c>
      <c r="F5124" s="30" t="s">
        <v>331</v>
      </c>
      <c r="G5124" s="30" t="s">
        <v>20</v>
      </c>
      <c r="H5124" s="32">
        <v>43</v>
      </c>
      <c r="I5124" s="30" t="s">
        <v>21</v>
      </c>
      <c r="J5124" s="41">
        <v>44409</v>
      </c>
      <c r="K5124" s="30" t="s">
        <v>22</v>
      </c>
    </row>
    <row r="5125" spans="1:11">
      <c r="A5125" s="33" t="s">
        <v>12145</v>
      </c>
      <c r="B5125" s="33" t="s">
        <v>12146</v>
      </c>
      <c r="C5125" s="33" t="s">
        <v>6276</v>
      </c>
      <c r="D5125" s="33" t="s">
        <v>17</v>
      </c>
      <c r="E5125" s="33" t="s">
        <v>31</v>
      </c>
      <c r="F5125" s="33" t="s">
        <v>32</v>
      </c>
      <c r="G5125" s="33" t="s">
        <v>140</v>
      </c>
      <c r="H5125" s="35">
        <v>170</v>
      </c>
      <c r="I5125" s="33" t="s">
        <v>51</v>
      </c>
      <c r="J5125" s="42">
        <v>44323</v>
      </c>
      <c r="K5125" s="33" t="s">
        <v>22</v>
      </c>
    </row>
    <row r="5126" spans="1:11">
      <c r="A5126" s="30" t="s">
        <v>12147</v>
      </c>
      <c r="B5126" s="30" t="s">
        <v>12148</v>
      </c>
      <c r="C5126" s="30" t="s">
        <v>1623</v>
      </c>
      <c r="D5126" s="30" t="s">
        <v>17</v>
      </c>
      <c r="E5126" s="30" t="s">
        <v>18</v>
      </c>
      <c r="F5126" s="30" t="s">
        <v>19</v>
      </c>
      <c r="G5126" s="30" t="s">
        <v>20</v>
      </c>
      <c r="H5126" s="32">
        <v>13006</v>
      </c>
      <c r="I5126" s="30" t="s">
        <v>21</v>
      </c>
      <c r="J5126" s="41">
        <v>44354</v>
      </c>
      <c r="K5126" s="30" t="s">
        <v>22</v>
      </c>
    </row>
    <row r="5127" spans="1:11">
      <c r="A5127" s="33" t="s">
        <v>12149</v>
      </c>
      <c r="B5127" s="33" t="s">
        <v>12150</v>
      </c>
      <c r="C5127" s="33" t="s">
        <v>8987</v>
      </c>
      <c r="D5127" s="33" t="s">
        <v>17</v>
      </c>
      <c r="E5127" s="33" t="s">
        <v>45</v>
      </c>
      <c r="F5127" s="33" t="s">
        <v>46</v>
      </c>
      <c r="G5127" s="33" t="s">
        <v>112</v>
      </c>
      <c r="H5127" s="35">
        <v>0</v>
      </c>
      <c r="I5127" s="33" t="s">
        <v>21</v>
      </c>
      <c r="J5127" s="42">
        <v>44440</v>
      </c>
      <c r="K5127" s="33" t="s">
        <v>22</v>
      </c>
    </row>
    <row r="5128" spans="1:11">
      <c r="A5128" s="30" t="s">
        <v>12151</v>
      </c>
      <c r="B5128" s="30" t="s">
        <v>12152</v>
      </c>
      <c r="C5128" s="30" t="s">
        <v>93</v>
      </c>
      <c r="D5128" s="30" t="s">
        <v>17</v>
      </c>
      <c r="E5128" s="30" t="s">
        <v>26</v>
      </c>
      <c r="F5128" s="30" t="s">
        <v>27</v>
      </c>
      <c r="G5128" s="30" t="s">
        <v>106</v>
      </c>
      <c r="H5128" s="32">
        <v>40</v>
      </c>
      <c r="I5128" s="30" t="s">
        <v>21</v>
      </c>
      <c r="J5128" s="41">
        <v>44344</v>
      </c>
      <c r="K5128" s="30" t="s">
        <v>22</v>
      </c>
    </row>
    <row r="5129" spans="1:11">
      <c r="A5129" s="33" t="s">
        <v>12153</v>
      </c>
      <c r="B5129" s="33" t="s">
        <v>12154</v>
      </c>
      <c r="C5129" s="33" t="s">
        <v>8049</v>
      </c>
      <c r="D5129" s="33" t="s">
        <v>17</v>
      </c>
      <c r="E5129" s="33" t="s">
        <v>18</v>
      </c>
      <c r="F5129" s="33" t="s">
        <v>19</v>
      </c>
      <c r="G5129" s="33" t="s">
        <v>50</v>
      </c>
      <c r="H5129" s="35">
        <v>28000</v>
      </c>
      <c r="I5129" s="33" t="s">
        <v>51</v>
      </c>
      <c r="J5129" s="42">
        <v>44399</v>
      </c>
      <c r="K5129" s="33" t="s">
        <v>22</v>
      </c>
    </row>
    <row r="5130" spans="1:11">
      <c r="A5130" s="30" t="s">
        <v>12155</v>
      </c>
      <c r="B5130" s="30" t="s">
        <v>12156</v>
      </c>
      <c r="C5130" s="30" t="s">
        <v>410</v>
      </c>
      <c r="D5130" s="30" t="s">
        <v>17</v>
      </c>
      <c r="E5130" s="30" t="s">
        <v>67</v>
      </c>
      <c r="F5130" s="30" t="s">
        <v>68</v>
      </c>
      <c r="G5130" s="30" t="s">
        <v>50</v>
      </c>
      <c r="H5130" s="32">
        <v>179</v>
      </c>
      <c r="I5130" s="30" t="s">
        <v>51</v>
      </c>
      <c r="J5130" s="41">
        <v>44356</v>
      </c>
      <c r="K5130" s="30" t="s">
        <v>22</v>
      </c>
    </row>
    <row r="5131" spans="1:11">
      <c r="A5131" s="33" t="s">
        <v>12157</v>
      </c>
      <c r="B5131" s="33" t="s">
        <v>12158</v>
      </c>
      <c r="C5131" s="33" t="s">
        <v>11902</v>
      </c>
      <c r="D5131" s="33" t="s">
        <v>17</v>
      </c>
      <c r="E5131" s="33" t="s">
        <v>31</v>
      </c>
      <c r="F5131" s="33" t="s">
        <v>32</v>
      </c>
      <c r="G5131" s="33" t="s">
        <v>20</v>
      </c>
      <c r="H5131" s="35">
        <v>134</v>
      </c>
      <c r="I5131" s="33" t="s">
        <v>21</v>
      </c>
      <c r="J5131" s="42">
        <v>44343</v>
      </c>
      <c r="K5131" s="33" t="s">
        <v>22</v>
      </c>
    </row>
    <row r="5132" spans="1:11">
      <c r="A5132" s="30" t="s">
        <v>12159</v>
      </c>
      <c r="B5132" s="30" t="s">
        <v>12160</v>
      </c>
      <c r="C5132" s="30" t="s">
        <v>12161</v>
      </c>
      <c r="D5132" s="30" t="s">
        <v>17</v>
      </c>
      <c r="E5132" s="30" t="s">
        <v>26</v>
      </c>
      <c r="F5132" s="30" t="s">
        <v>27</v>
      </c>
      <c r="G5132" s="30" t="s">
        <v>106</v>
      </c>
      <c r="H5132" s="32">
        <v>24</v>
      </c>
      <c r="I5132" s="30" t="s">
        <v>21</v>
      </c>
      <c r="J5132" s="41">
        <v>44385</v>
      </c>
      <c r="K5132" s="30" t="s">
        <v>22</v>
      </c>
    </row>
    <row r="5133" spans="1:11">
      <c r="A5133" s="33" t="s">
        <v>12162</v>
      </c>
      <c r="B5133" s="33" t="s">
        <v>12163</v>
      </c>
      <c r="C5133" s="33" t="s">
        <v>12164</v>
      </c>
      <c r="D5133" s="33" t="s">
        <v>17</v>
      </c>
      <c r="E5133" s="33" t="s">
        <v>31</v>
      </c>
      <c r="F5133" s="33" t="s">
        <v>32</v>
      </c>
      <c r="G5133" s="33" t="s">
        <v>106</v>
      </c>
      <c r="H5133" s="35">
        <v>7</v>
      </c>
      <c r="I5133" s="33" t="s">
        <v>21</v>
      </c>
      <c r="J5133" s="42">
        <v>44235</v>
      </c>
      <c r="K5133" s="33" t="s">
        <v>22</v>
      </c>
    </row>
    <row r="5134" spans="1:11">
      <c r="A5134" s="30" t="s">
        <v>12165</v>
      </c>
      <c r="B5134" s="30" t="s">
        <v>12166</v>
      </c>
      <c r="C5134" s="30" t="s">
        <v>5084</v>
      </c>
      <c r="D5134" s="30" t="s">
        <v>17</v>
      </c>
      <c r="E5134" s="30" t="s">
        <v>31</v>
      </c>
      <c r="F5134" s="30" t="s">
        <v>32</v>
      </c>
      <c r="G5134" s="30" t="s">
        <v>20</v>
      </c>
      <c r="H5134" s="32">
        <v>66</v>
      </c>
      <c r="I5134" s="30" t="s">
        <v>21</v>
      </c>
      <c r="J5134" s="41">
        <v>44256</v>
      </c>
      <c r="K5134" s="30" t="s">
        <v>22</v>
      </c>
    </row>
    <row r="5135" spans="1:11">
      <c r="A5135" s="33" t="s">
        <v>12167</v>
      </c>
      <c r="B5135" s="33" t="s">
        <v>12168</v>
      </c>
      <c r="C5135" s="33" t="s">
        <v>12169</v>
      </c>
      <c r="D5135" s="33" t="s">
        <v>17</v>
      </c>
      <c r="E5135" s="33" t="s">
        <v>18</v>
      </c>
      <c r="F5135" s="33" t="s">
        <v>19</v>
      </c>
      <c r="G5135" s="33" t="s">
        <v>106</v>
      </c>
      <c r="H5135" s="35">
        <v>18</v>
      </c>
      <c r="I5135" s="33" t="s">
        <v>21</v>
      </c>
      <c r="J5135" s="42">
        <v>44320</v>
      </c>
      <c r="K5135" s="33" t="s">
        <v>22</v>
      </c>
    </row>
    <row r="5136" spans="1:11">
      <c r="A5136" s="30" t="s">
        <v>12170</v>
      </c>
      <c r="B5136" s="30" t="s">
        <v>12171</v>
      </c>
      <c r="C5136" s="30" t="s">
        <v>12172</v>
      </c>
      <c r="D5136" s="30" t="s">
        <v>17</v>
      </c>
      <c r="E5136" s="30" t="s">
        <v>31</v>
      </c>
      <c r="F5136" s="30" t="s">
        <v>32</v>
      </c>
      <c r="G5136" s="30" t="s">
        <v>20</v>
      </c>
      <c r="H5136" s="32">
        <v>11</v>
      </c>
      <c r="I5136" s="30" t="s">
        <v>21</v>
      </c>
      <c r="J5136" s="41">
        <v>44341</v>
      </c>
      <c r="K5136" s="30" t="s">
        <v>22</v>
      </c>
    </row>
    <row r="5137" spans="1:11">
      <c r="A5137" s="33" t="s">
        <v>12173</v>
      </c>
      <c r="B5137" s="33" t="s">
        <v>12174</v>
      </c>
      <c r="C5137" s="33" t="s">
        <v>4742</v>
      </c>
      <c r="D5137" s="33" t="s">
        <v>17</v>
      </c>
      <c r="E5137" s="33" t="s">
        <v>212</v>
      </c>
      <c r="F5137" s="33" t="s">
        <v>213</v>
      </c>
      <c r="G5137" s="33" t="s">
        <v>20</v>
      </c>
      <c r="H5137" s="35">
        <v>1080</v>
      </c>
      <c r="I5137" s="33" t="s">
        <v>21</v>
      </c>
      <c r="J5137" s="42">
        <v>44327</v>
      </c>
      <c r="K5137" s="33" t="s">
        <v>22</v>
      </c>
    </row>
    <row r="5138" spans="1:11">
      <c r="A5138" s="30" t="s">
        <v>12175</v>
      </c>
      <c r="B5138" s="30" t="s">
        <v>12176</v>
      </c>
      <c r="C5138" s="30" t="s">
        <v>12177</v>
      </c>
      <c r="D5138" s="30" t="s">
        <v>17</v>
      </c>
      <c r="E5138" s="30" t="s">
        <v>18</v>
      </c>
      <c r="F5138" s="30" t="s">
        <v>19</v>
      </c>
      <c r="G5138" s="30" t="s">
        <v>112</v>
      </c>
      <c r="H5138" s="32">
        <v>0</v>
      </c>
      <c r="I5138" s="30" t="s">
        <v>21</v>
      </c>
      <c r="J5138" s="41">
        <v>44550</v>
      </c>
      <c r="K5138" s="30" t="s">
        <v>22</v>
      </c>
    </row>
    <row r="5139" spans="1:11">
      <c r="A5139" s="33" t="s">
        <v>12178</v>
      </c>
      <c r="B5139" s="33" t="s">
        <v>12179</v>
      </c>
      <c r="C5139" s="33" t="s">
        <v>12180</v>
      </c>
      <c r="D5139" s="33" t="s">
        <v>17</v>
      </c>
      <c r="E5139" s="33" t="s">
        <v>18</v>
      </c>
      <c r="F5139" s="33" t="s">
        <v>19</v>
      </c>
      <c r="G5139" s="33" t="s">
        <v>20</v>
      </c>
      <c r="H5139" s="35">
        <v>52</v>
      </c>
      <c r="I5139" s="33" t="s">
        <v>21</v>
      </c>
      <c r="J5139" s="42">
        <v>44274</v>
      </c>
      <c r="K5139" s="33" t="s">
        <v>22</v>
      </c>
    </row>
    <row r="5140" spans="1:11">
      <c r="A5140" s="30" t="s">
        <v>12181</v>
      </c>
      <c r="B5140" s="30" t="s">
        <v>12182</v>
      </c>
      <c r="C5140" s="30" t="s">
        <v>4306</v>
      </c>
      <c r="D5140" s="30" t="s">
        <v>17</v>
      </c>
      <c r="E5140" s="30" t="s">
        <v>67</v>
      </c>
      <c r="F5140" s="30" t="s">
        <v>68</v>
      </c>
      <c r="G5140" s="30" t="s">
        <v>20</v>
      </c>
      <c r="H5140" s="32">
        <v>47</v>
      </c>
      <c r="I5140" s="30" t="s">
        <v>21</v>
      </c>
      <c r="J5140" s="41">
        <v>44445</v>
      </c>
      <c r="K5140" s="30" t="s">
        <v>22</v>
      </c>
    </row>
    <row r="5141" spans="1:11">
      <c r="A5141" s="33" t="s">
        <v>12183</v>
      </c>
      <c r="B5141" s="33" t="s">
        <v>12184</v>
      </c>
      <c r="C5141" s="33" t="s">
        <v>12185</v>
      </c>
      <c r="D5141" s="33" t="s">
        <v>17</v>
      </c>
      <c r="E5141" s="33" t="s">
        <v>18</v>
      </c>
      <c r="F5141" s="33" t="s">
        <v>19</v>
      </c>
      <c r="G5141" s="33" t="s">
        <v>50</v>
      </c>
      <c r="H5141" s="35">
        <v>65</v>
      </c>
      <c r="I5141" s="33" t="s">
        <v>51</v>
      </c>
      <c r="J5141" s="42">
        <v>44470</v>
      </c>
      <c r="K5141" s="33" t="s">
        <v>22</v>
      </c>
    </row>
    <row r="5142" spans="1:11">
      <c r="A5142" s="30" t="s">
        <v>12186</v>
      </c>
      <c r="B5142" s="30" t="s">
        <v>12187</v>
      </c>
      <c r="C5142" s="30" t="s">
        <v>12188</v>
      </c>
      <c r="D5142" s="30" t="s">
        <v>17</v>
      </c>
      <c r="E5142" s="30" t="s">
        <v>18</v>
      </c>
      <c r="F5142" s="30" t="s">
        <v>19</v>
      </c>
      <c r="G5142" s="30" t="s">
        <v>158</v>
      </c>
      <c r="H5142" s="32">
        <v>28</v>
      </c>
      <c r="I5142" s="30" t="s">
        <v>21</v>
      </c>
      <c r="J5142" s="41">
        <v>44409</v>
      </c>
      <c r="K5142" s="30" t="s">
        <v>22</v>
      </c>
    </row>
    <row r="5143" spans="1:11">
      <c r="A5143" s="33" t="s">
        <v>12189</v>
      </c>
      <c r="B5143" s="33" t="s">
        <v>12190</v>
      </c>
      <c r="C5143" s="33" t="s">
        <v>7201</v>
      </c>
      <c r="D5143" s="33" t="s">
        <v>17</v>
      </c>
      <c r="E5143" s="33" t="s">
        <v>31</v>
      </c>
      <c r="F5143" s="33" t="s">
        <v>32</v>
      </c>
      <c r="G5143" s="33" t="s">
        <v>20</v>
      </c>
      <c r="H5143" s="35">
        <v>10</v>
      </c>
      <c r="I5143" s="33" t="s">
        <v>21</v>
      </c>
      <c r="J5143" s="42">
        <v>44216</v>
      </c>
      <c r="K5143" s="33" t="s">
        <v>22</v>
      </c>
    </row>
    <row r="5144" spans="1:11">
      <c r="A5144" s="30" t="s">
        <v>12191</v>
      </c>
      <c r="B5144" s="30" t="s">
        <v>12192</v>
      </c>
      <c r="C5144" s="30" t="s">
        <v>3944</v>
      </c>
      <c r="D5144" s="30" t="s">
        <v>17</v>
      </c>
      <c r="E5144" s="30" t="s">
        <v>26</v>
      </c>
      <c r="F5144" s="30" t="s">
        <v>27</v>
      </c>
      <c r="G5144" s="30" t="s">
        <v>50</v>
      </c>
      <c r="H5144" s="32">
        <v>36</v>
      </c>
      <c r="I5144" s="30" t="s">
        <v>51</v>
      </c>
      <c r="J5144" s="41">
        <v>44561</v>
      </c>
      <c r="K5144" s="30" t="s">
        <v>22</v>
      </c>
    </row>
    <row r="5145" spans="1:11">
      <c r="A5145" s="33" t="s">
        <v>12193</v>
      </c>
      <c r="B5145" s="33" t="s">
        <v>12194</v>
      </c>
      <c r="C5145" s="33" t="s">
        <v>12195</v>
      </c>
      <c r="D5145" s="33" t="s">
        <v>17</v>
      </c>
      <c r="E5145" s="33" t="s">
        <v>26</v>
      </c>
      <c r="F5145" s="33" t="s">
        <v>27</v>
      </c>
      <c r="G5145" s="33" t="s">
        <v>106</v>
      </c>
      <c r="H5145" s="35">
        <v>20</v>
      </c>
      <c r="I5145" s="33" t="s">
        <v>21</v>
      </c>
      <c r="J5145" s="42">
        <v>44377</v>
      </c>
      <c r="K5145" s="33" t="s">
        <v>22</v>
      </c>
    </row>
    <row r="5146" spans="1:11">
      <c r="A5146" s="30" t="s">
        <v>12196</v>
      </c>
      <c r="B5146" s="30" t="s">
        <v>12197</v>
      </c>
      <c r="C5146" s="30" t="s">
        <v>12198</v>
      </c>
      <c r="D5146" s="30" t="s">
        <v>17</v>
      </c>
      <c r="E5146" s="30" t="s">
        <v>18</v>
      </c>
      <c r="F5146" s="30" t="s">
        <v>19</v>
      </c>
      <c r="G5146" s="30" t="s">
        <v>106</v>
      </c>
      <c r="H5146" s="32">
        <v>2</v>
      </c>
      <c r="I5146" s="30" t="s">
        <v>21</v>
      </c>
      <c r="J5146" s="41">
        <v>44335</v>
      </c>
      <c r="K5146" s="30" t="s">
        <v>22</v>
      </c>
    </row>
    <row r="5147" spans="1:11">
      <c r="A5147" s="33" t="s">
        <v>12199</v>
      </c>
      <c r="B5147" s="33" t="s">
        <v>12200</v>
      </c>
      <c r="C5147" s="33" t="s">
        <v>1778</v>
      </c>
      <c r="D5147" s="33" t="s">
        <v>17</v>
      </c>
      <c r="E5147" s="33" t="s">
        <v>26</v>
      </c>
      <c r="F5147" s="33" t="s">
        <v>27</v>
      </c>
      <c r="G5147" s="33" t="s">
        <v>20</v>
      </c>
      <c r="H5147" s="35">
        <v>41</v>
      </c>
      <c r="I5147" s="33" t="s">
        <v>21</v>
      </c>
      <c r="J5147" s="42">
        <v>44424</v>
      </c>
      <c r="K5147" s="33" t="s">
        <v>22</v>
      </c>
    </row>
    <row r="5148" spans="1:11">
      <c r="A5148" s="30" t="s">
        <v>12201</v>
      </c>
      <c r="B5148" s="30" t="s">
        <v>12202</v>
      </c>
      <c r="C5148" s="30" t="s">
        <v>12203</v>
      </c>
      <c r="D5148" s="30" t="s">
        <v>17</v>
      </c>
      <c r="E5148" s="30" t="s">
        <v>31</v>
      </c>
      <c r="F5148" s="30" t="s">
        <v>32</v>
      </c>
      <c r="G5148" s="30" t="s">
        <v>20</v>
      </c>
      <c r="H5148" s="32">
        <v>200</v>
      </c>
      <c r="I5148" s="30" t="s">
        <v>21</v>
      </c>
      <c r="J5148" s="41">
        <v>44336</v>
      </c>
      <c r="K5148" s="30" t="s">
        <v>22</v>
      </c>
    </row>
    <row r="5149" spans="1:11">
      <c r="A5149" s="33" t="s">
        <v>12204</v>
      </c>
      <c r="B5149" s="33" t="s">
        <v>12205</v>
      </c>
      <c r="C5149" s="33" t="s">
        <v>6716</v>
      </c>
      <c r="D5149" s="33" t="s">
        <v>17</v>
      </c>
      <c r="E5149" s="33" t="s">
        <v>26</v>
      </c>
      <c r="F5149" s="33" t="s">
        <v>27</v>
      </c>
      <c r="G5149" s="33" t="s">
        <v>158</v>
      </c>
      <c r="H5149" s="35">
        <v>150</v>
      </c>
      <c r="I5149" s="33" t="s">
        <v>51</v>
      </c>
      <c r="J5149" s="42">
        <v>44428</v>
      </c>
      <c r="K5149" s="33" t="s">
        <v>22</v>
      </c>
    </row>
    <row r="5150" spans="1:11">
      <c r="A5150" s="30" t="s">
        <v>12206</v>
      </c>
      <c r="B5150" s="30" t="s">
        <v>12207</v>
      </c>
      <c r="C5150" s="30" t="s">
        <v>12208</v>
      </c>
      <c r="D5150" s="30" t="s">
        <v>17</v>
      </c>
      <c r="E5150" s="30" t="s">
        <v>31</v>
      </c>
      <c r="F5150" s="30" t="s">
        <v>32</v>
      </c>
      <c r="G5150" s="30" t="s">
        <v>20</v>
      </c>
      <c r="H5150" s="32">
        <v>210</v>
      </c>
      <c r="I5150" s="30" t="s">
        <v>21</v>
      </c>
      <c r="J5150" s="41">
        <v>44202</v>
      </c>
      <c r="K5150" s="30" t="s">
        <v>22</v>
      </c>
    </row>
    <row r="5151" spans="1:11">
      <c r="A5151" s="33" t="s">
        <v>12209</v>
      </c>
      <c r="B5151" s="33" t="s">
        <v>12210</v>
      </c>
      <c r="C5151" s="33" t="s">
        <v>3978</v>
      </c>
      <c r="D5151" s="33" t="s">
        <v>17</v>
      </c>
      <c r="E5151" s="33" t="s">
        <v>18</v>
      </c>
      <c r="F5151" s="33" t="s">
        <v>19</v>
      </c>
      <c r="G5151" s="33" t="s">
        <v>20</v>
      </c>
      <c r="H5151" s="35">
        <v>87</v>
      </c>
      <c r="I5151" s="33" t="s">
        <v>21</v>
      </c>
      <c r="J5151" s="42">
        <v>44529</v>
      </c>
      <c r="K5151" s="33" t="s">
        <v>22</v>
      </c>
    </row>
    <row r="5152" spans="1:11">
      <c r="A5152" s="30" t="s">
        <v>12211</v>
      </c>
      <c r="B5152" s="30" t="s">
        <v>12212</v>
      </c>
      <c r="C5152" s="30" t="s">
        <v>462</v>
      </c>
      <c r="D5152" s="30" t="s">
        <v>17</v>
      </c>
      <c r="E5152" s="30" t="s">
        <v>31</v>
      </c>
      <c r="F5152" s="30" t="s">
        <v>32</v>
      </c>
      <c r="G5152" s="30" t="s">
        <v>20</v>
      </c>
      <c r="H5152" s="32">
        <v>420</v>
      </c>
      <c r="I5152" s="30" t="s">
        <v>21</v>
      </c>
      <c r="J5152" s="41">
        <v>44336</v>
      </c>
      <c r="K5152" s="30" t="s">
        <v>22</v>
      </c>
    </row>
    <row r="5153" spans="1:11">
      <c r="A5153" s="33" t="s">
        <v>12213</v>
      </c>
      <c r="B5153" s="33" t="s">
        <v>12214</v>
      </c>
      <c r="C5153" s="33" t="s">
        <v>12215</v>
      </c>
      <c r="D5153" s="33" t="s">
        <v>17</v>
      </c>
      <c r="E5153" s="33" t="s">
        <v>31</v>
      </c>
      <c r="F5153" s="33" t="s">
        <v>32</v>
      </c>
      <c r="G5153" s="33" t="s">
        <v>50</v>
      </c>
      <c r="H5153" s="35">
        <v>144</v>
      </c>
      <c r="I5153" s="33" t="s">
        <v>51</v>
      </c>
      <c r="J5153" s="42">
        <v>44440</v>
      </c>
      <c r="K5153" s="33" t="s">
        <v>22</v>
      </c>
    </row>
    <row r="5154" spans="1:11">
      <c r="A5154" s="30" t="s">
        <v>12216</v>
      </c>
      <c r="B5154" s="30" t="s">
        <v>12217</v>
      </c>
      <c r="C5154" s="30" t="s">
        <v>75</v>
      </c>
      <c r="D5154" s="30" t="s">
        <v>17</v>
      </c>
      <c r="E5154" s="30" t="s">
        <v>26</v>
      </c>
      <c r="F5154" s="30" t="s">
        <v>27</v>
      </c>
      <c r="G5154" s="30" t="s">
        <v>20</v>
      </c>
      <c r="H5154" s="32">
        <v>40</v>
      </c>
      <c r="I5154" s="30" t="s">
        <v>21</v>
      </c>
      <c r="J5154" s="41">
        <v>44362</v>
      </c>
      <c r="K5154" s="30" t="s">
        <v>22</v>
      </c>
    </row>
    <row r="5155" spans="1:11">
      <c r="A5155" s="33" t="s">
        <v>12218</v>
      </c>
      <c r="B5155" s="33" t="s">
        <v>12219</v>
      </c>
      <c r="C5155" s="33" t="s">
        <v>9830</v>
      </c>
      <c r="D5155" s="33" t="s">
        <v>17</v>
      </c>
      <c r="E5155" s="33" t="s">
        <v>45</v>
      </c>
      <c r="F5155" s="33" t="s">
        <v>46</v>
      </c>
      <c r="G5155" s="33" t="s">
        <v>140</v>
      </c>
      <c r="H5155" s="35">
        <v>76</v>
      </c>
      <c r="I5155" s="33" t="s">
        <v>51</v>
      </c>
      <c r="J5155" s="42">
        <v>44431</v>
      </c>
      <c r="K5155" s="33" t="s">
        <v>22</v>
      </c>
    </row>
    <row r="5156" spans="1:11">
      <c r="A5156" s="30" t="s">
        <v>12220</v>
      </c>
      <c r="B5156" s="30" t="s">
        <v>12221</v>
      </c>
      <c r="C5156" s="30" t="s">
        <v>12222</v>
      </c>
      <c r="D5156" s="30" t="s">
        <v>17</v>
      </c>
      <c r="E5156" s="30" t="s">
        <v>26</v>
      </c>
      <c r="F5156" s="30" t="s">
        <v>27</v>
      </c>
      <c r="G5156" s="30" t="s">
        <v>158</v>
      </c>
      <c r="H5156" s="32">
        <v>24</v>
      </c>
      <c r="I5156" s="30" t="s">
        <v>51</v>
      </c>
      <c r="J5156" s="41">
        <v>44334</v>
      </c>
      <c r="K5156" s="30" t="s">
        <v>22</v>
      </c>
    </row>
    <row r="5157" spans="1:11">
      <c r="A5157" s="33" t="s">
        <v>12223</v>
      </c>
      <c r="B5157" s="33" t="s">
        <v>12224</v>
      </c>
      <c r="C5157" s="33" t="s">
        <v>102</v>
      </c>
      <c r="D5157" s="33" t="s">
        <v>17</v>
      </c>
      <c r="E5157" s="33" t="s">
        <v>26</v>
      </c>
      <c r="F5157" s="33" t="s">
        <v>27</v>
      </c>
      <c r="G5157" s="33" t="s">
        <v>20</v>
      </c>
      <c r="H5157" s="35">
        <v>126</v>
      </c>
      <c r="I5157" s="33" t="s">
        <v>21</v>
      </c>
      <c r="J5157" s="42">
        <v>44516</v>
      </c>
      <c r="K5157" s="33" t="s">
        <v>22</v>
      </c>
    </row>
    <row r="5158" spans="1:11">
      <c r="A5158" s="30" t="s">
        <v>12225</v>
      </c>
      <c r="B5158" s="30" t="s">
        <v>12226</v>
      </c>
      <c r="C5158" s="30" t="s">
        <v>75</v>
      </c>
      <c r="D5158" s="30" t="s">
        <v>17</v>
      </c>
      <c r="E5158" s="30" t="s">
        <v>26</v>
      </c>
      <c r="F5158" s="30" t="s">
        <v>27</v>
      </c>
      <c r="G5158" s="30" t="s">
        <v>112</v>
      </c>
      <c r="H5158" s="32">
        <v>0</v>
      </c>
      <c r="I5158" s="30" t="s">
        <v>21</v>
      </c>
      <c r="J5158" s="41">
        <v>44287</v>
      </c>
      <c r="K5158" s="30" t="s">
        <v>22</v>
      </c>
    </row>
    <row r="5159" spans="1:11">
      <c r="A5159" s="33" t="s">
        <v>12227</v>
      </c>
      <c r="B5159" s="33" t="s">
        <v>12228</v>
      </c>
      <c r="C5159" s="33" t="s">
        <v>44</v>
      </c>
      <c r="D5159" s="33" t="s">
        <v>17</v>
      </c>
      <c r="E5159" s="33" t="s">
        <v>26</v>
      </c>
      <c r="F5159" s="33" t="s">
        <v>27</v>
      </c>
      <c r="G5159" s="33" t="s">
        <v>106</v>
      </c>
      <c r="H5159" s="35">
        <v>2</v>
      </c>
      <c r="I5159" s="33" t="s">
        <v>21</v>
      </c>
      <c r="J5159" s="42">
        <v>44546</v>
      </c>
      <c r="K5159" s="33" t="s">
        <v>22</v>
      </c>
    </row>
    <row r="5160" spans="1:11">
      <c r="A5160" s="30" t="s">
        <v>12229</v>
      </c>
      <c r="B5160" s="30" t="s">
        <v>12230</v>
      </c>
      <c r="C5160" s="30" t="s">
        <v>2709</v>
      </c>
      <c r="D5160" s="30" t="s">
        <v>17</v>
      </c>
      <c r="E5160" s="30" t="s">
        <v>26</v>
      </c>
      <c r="F5160" s="30" t="s">
        <v>27</v>
      </c>
      <c r="G5160" s="30" t="s">
        <v>50</v>
      </c>
      <c r="H5160" s="32">
        <v>160</v>
      </c>
      <c r="I5160" s="30" t="s">
        <v>51</v>
      </c>
      <c r="J5160" s="41">
        <v>44459</v>
      </c>
      <c r="K5160" s="30" t="s">
        <v>22</v>
      </c>
    </row>
    <row r="5161" spans="1:11">
      <c r="A5161" s="33" t="s">
        <v>12231</v>
      </c>
      <c r="B5161" s="33" t="s">
        <v>12232</v>
      </c>
      <c r="C5161" s="33" t="s">
        <v>12233</v>
      </c>
      <c r="D5161" s="33" t="s">
        <v>17</v>
      </c>
      <c r="E5161" s="33" t="s">
        <v>26</v>
      </c>
      <c r="F5161" s="33" t="s">
        <v>27</v>
      </c>
      <c r="G5161" s="33" t="s">
        <v>20</v>
      </c>
      <c r="H5161" s="35">
        <v>16</v>
      </c>
      <c r="I5161" s="33" t="s">
        <v>21</v>
      </c>
      <c r="J5161" s="42">
        <v>44243</v>
      </c>
      <c r="K5161" s="33" t="s">
        <v>22</v>
      </c>
    </row>
    <row r="5162" spans="1:11">
      <c r="A5162" s="30" t="s">
        <v>12234</v>
      </c>
      <c r="B5162" s="30" t="s">
        <v>12235</v>
      </c>
      <c r="C5162" s="30" t="s">
        <v>1350</v>
      </c>
      <c r="D5162" s="30" t="s">
        <v>17</v>
      </c>
      <c r="E5162" s="30" t="s">
        <v>31</v>
      </c>
      <c r="F5162" s="30" t="s">
        <v>32</v>
      </c>
      <c r="G5162" s="30" t="s">
        <v>50</v>
      </c>
      <c r="H5162" s="32">
        <v>30</v>
      </c>
      <c r="I5162" s="30" t="s">
        <v>51</v>
      </c>
      <c r="J5162" s="41">
        <v>44417</v>
      </c>
      <c r="K5162" s="30" t="s">
        <v>22</v>
      </c>
    </row>
    <row r="5163" spans="1:11">
      <c r="A5163" s="33" t="s">
        <v>12236</v>
      </c>
      <c r="B5163" s="33" t="s">
        <v>12237</v>
      </c>
      <c r="C5163" s="33" t="s">
        <v>12238</v>
      </c>
      <c r="D5163" s="33" t="s">
        <v>17</v>
      </c>
      <c r="E5163" s="33" t="s">
        <v>26</v>
      </c>
      <c r="F5163" s="33" t="s">
        <v>27</v>
      </c>
      <c r="G5163" s="33" t="s">
        <v>20</v>
      </c>
      <c r="H5163" s="35">
        <v>41</v>
      </c>
      <c r="I5163" s="33" t="s">
        <v>21</v>
      </c>
      <c r="J5163" s="42">
        <v>44305</v>
      </c>
      <c r="K5163" s="33" t="s">
        <v>22</v>
      </c>
    </row>
    <row r="5164" spans="1:11">
      <c r="A5164" s="30" t="s">
        <v>12239</v>
      </c>
      <c r="B5164" s="30" t="s">
        <v>12240</v>
      </c>
      <c r="C5164" s="30" t="s">
        <v>130</v>
      </c>
      <c r="D5164" s="30" t="s">
        <v>17</v>
      </c>
      <c r="E5164" s="30" t="s">
        <v>18</v>
      </c>
      <c r="F5164" s="30" t="s">
        <v>19</v>
      </c>
      <c r="G5164" s="30" t="s">
        <v>20</v>
      </c>
      <c r="H5164" s="32">
        <v>308</v>
      </c>
      <c r="I5164" s="30" t="s">
        <v>21</v>
      </c>
      <c r="J5164" s="41">
        <v>44208</v>
      </c>
      <c r="K5164" s="30" t="s">
        <v>22</v>
      </c>
    </row>
    <row r="5165" spans="1:11">
      <c r="A5165" s="33" t="s">
        <v>12241</v>
      </c>
      <c r="B5165" s="33" t="s">
        <v>12242</v>
      </c>
      <c r="C5165" s="33" t="s">
        <v>2466</v>
      </c>
      <c r="D5165" s="33" t="s">
        <v>17</v>
      </c>
      <c r="E5165" s="33" t="s">
        <v>67</v>
      </c>
      <c r="F5165" s="33" t="s">
        <v>68</v>
      </c>
      <c r="G5165" s="33" t="s">
        <v>140</v>
      </c>
      <c r="H5165" s="35">
        <v>5</v>
      </c>
      <c r="I5165" s="33" t="s">
        <v>51</v>
      </c>
      <c r="J5165" s="42">
        <v>44462</v>
      </c>
      <c r="K5165" s="33" t="s">
        <v>22</v>
      </c>
    </row>
    <row r="5166" spans="1:11">
      <c r="A5166" s="30" t="s">
        <v>12243</v>
      </c>
      <c r="B5166" s="30" t="s">
        <v>12244</v>
      </c>
      <c r="C5166" s="30" t="s">
        <v>698</v>
      </c>
      <c r="D5166" s="30" t="s">
        <v>17</v>
      </c>
      <c r="E5166" s="30" t="s">
        <v>26</v>
      </c>
      <c r="F5166" s="30" t="s">
        <v>27</v>
      </c>
      <c r="G5166" s="30" t="s">
        <v>140</v>
      </c>
      <c r="H5166" s="32">
        <v>186</v>
      </c>
      <c r="I5166" s="30" t="s">
        <v>51</v>
      </c>
      <c r="J5166" s="41">
        <v>44481</v>
      </c>
      <c r="K5166" s="30" t="s">
        <v>22</v>
      </c>
    </row>
    <row r="5167" spans="1:11">
      <c r="A5167" s="33" t="s">
        <v>12245</v>
      </c>
      <c r="B5167" s="33" t="s">
        <v>12246</v>
      </c>
      <c r="C5167" s="33" t="s">
        <v>1652</v>
      </c>
      <c r="D5167" s="33" t="s">
        <v>17</v>
      </c>
      <c r="E5167" s="33" t="s">
        <v>26</v>
      </c>
      <c r="F5167" s="33" t="s">
        <v>27</v>
      </c>
      <c r="G5167" s="33" t="s">
        <v>20</v>
      </c>
      <c r="H5167" s="35">
        <v>12</v>
      </c>
      <c r="I5167" s="33" t="s">
        <v>21</v>
      </c>
      <c r="J5167" s="42">
        <v>44201</v>
      </c>
      <c r="K5167" s="33" t="s">
        <v>22</v>
      </c>
    </row>
    <row r="5168" spans="1:11">
      <c r="A5168" s="30" t="s">
        <v>12247</v>
      </c>
      <c r="B5168" s="30" t="s">
        <v>12248</v>
      </c>
      <c r="C5168" s="30" t="s">
        <v>96</v>
      </c>
      <c r="D5168" s="30" t="s">
        <v>17</v>
      </c>
      <c r="E5168" s="30" t="s">
        <v>26</v>
      </c>
      <c r="F5168" s="30" t="s">
        <v>27</v>
      </c>
      <c r="G5168" s="30" t="s">
        <v>20</v>
      </c>
      <c r="H5168" s="32">
        <v>18</v>
      </c>
      <c r="I5168" s="30" t="s">
        <v>21</v>
      </c>
      <c r="J5168" s="41">
        <v>44421</v>
      </c>
      <c r="K5168" s="30" t="s">
        <v>22</v>
      </c>
    </row>
    <row r="5169" spans="1:11">
      <c r="A5169" s="33" t="s">
        <v>12249</v>
      </c>
      <c r="B5169" s="33" t="s">
        <v>12250</v>
      </c>
      <c r="C5169" s="33" t="s">
        <v>2264</v>
      </c>
      <c r="D5169" s="33" t="s">
        <v>17</v>
      </c>
      <c r="E5169" s="33" t="s">
        <v>45</v>
      </c>
      <c r="F5169" s="33" t="s">
        <v>46</v>
      </c>
      <c r="G5169" s="33" t="s">
        <v>20</v>
      </c>
      <c r="H5169" s="35">
        <v>31454</v>
      </c>
      <c r="I5169" s="33" t="s">
        <v>21</v>
      </c>
      <c r="J5169" s="42">
        <v>44279</v>
      </c>
      <c r="K5169" s="33" t="s">
        <v>22</v>
      </c>
    </row>
    <row r="5170" spans="1:11">
      <c r="A5170" s="30" t="s">
        <v>12251</v>
      </c>
      <c r="B5170" s="30" t="s">
        <v>12252</v>
      </c>
      <c r="C5170" s="30" t="s">
        <v>12253</v>
      </c>
      <c r="D5170" s="30" t="s">
        <v>17</v>
      </c>
      <c r="E5170" s="30" t="s">
        <v>45</v>
      </c>
      <c r="F5170" s="30" t="s">
        <v>46</v>
      </c>
      <c r="G5170" s="30" t="s">
        <v>20</v>
      </c>
      <c r="H5170" s="32">
        <v>47</v>
      </c>
      <c r="I5170" s="30" t="s">
        <v>21</v>
      </c>
      <c r="J5170" s="41">
        <v>44275</v>
      </c>
      <c r="K5170" s="30" t="s">
        <v>22</v>
      </c>
    </row>
    <row r="5171" spans="1:11">
      <c r="A5171" s="33" t="s">
        <v>12254</v>
      </c>
      <c r="B5171" s="33" t="s">
        <v>12255</v>
      </c>
      <c r="C5171" s="33" t="s">
        <v>12256</v>
      </c>
      <c r="D5171" s="33" t="s">
        <v>17</v>
      </c>
      <c r="E5171" s="33" t="s">
        <v>45</v>
      </c>
      <c r="F5171" s="33" t="s">
        <v>46</v>
      </c>
      <c r="G5171" s="33" t="s">
        <v>158</v>
      </c>
      <c r="H5171" s="35">
        <v>32</v>
      </c>
      <c r="I5171" s="33" t="s">
        <v>21</v>
      </c>
      <c r="J5171" s="42">
        <v>44560</v>
      </c>
      <c r="K5171" s="33" t="s">
        <v>22</v>
      </c>
    </row>
    <row r="5172" spans="1:11">
      <c r="A5172" s="30" t="s">
        <v>12257</v>
      </c>
      <c r="B5172" s="30" t="s">
        <v>12258</v>
      </c>
      <c r="C5172" s="30" t="s">
        <v>44</v>
      </c>
      <c r="D5172" s="30" t="s">
        <v>17</v>
      </c>
      <c r="E5172" s="30" t="s">
        <v>26</v>
      </c>
      <c r="F5172" s="30" t="s">
        <v>27</v>
      </c>
      <c r="G5172" s="30" t="s">
        <v>106</v>
      </c>
      <c r="H5172" s="32">
        <v>17</v>
      </c>
      <c r="I5172" s="30" t="s">
        <v>21</v>
      </c>
      <c r="J5172" s="41">
        <v>44209</v>
      </c>
      <c r="K5172" s="30" t="s">
        <v>22</v>
      </c>
    </row>
    <row r="5173" spans="1:11">
      <c r="A5173" s="33" t="s">
        <v>12259</v>
      </c>
      <c r="B5173" s="33" t="s">
        <v>12260</v>
      </c>
      <c r="C5173" s="33" t="s">
        <v>12261</v>
      </c>
      <c r="D5173" s="33" t="s">
        <v>17</v>
      </c>
      <c r="E5173" s="33" t="s">
        <v>31</v>
      </c>
      <c r="F5173" s="33" t="s">
        <v>32</v>
      </c>
      <c r="G5173" s="33" t="s">
        <v>140</v>
      </c>
      <c r="H5173" s="35">
        <v>200</v>
      </c>
      <c r="I5173" s="33" t="s">
        <v>51</v>
      </c>
      <c r="J5173" s="42">
        <v>44447</v>
      </c>
      <c r="K5173" s="33" t="s">
        <v>22</v>
      </c>
    </row>
    <row r="5174" spans="1:11">
      <c r="A5174" s="30" t="s">
        <v>12262</v>
      </c>
      <c r="B5174" s="30" t="s">
        <v>12263</v>
      </c>
      <c r="C5174" s="30" t="s">
        <v>3892</v>
      </c>
      <c r="D5174" s="30" t="s">
        <v>17</v>
      </c>
      <c r="E5174" s="30" t="s">
        <v>18</v>
      </c>
      <c r="F5174" s="30" t="s">
        <v>19</v>
      </c>
      <c r="G5174" s="30" t="s">
        <v>20</v>
      </c>
      <c r="H5174" s="32">
        <v>801</v>
      </c>
      <c r="I5174" s="30" t="s">
        <v>21</v>
      </c>
      <c r="J5174" s="41">
        <v>44431</v>
      </c>
      <c r="K5174" s="30" t="s">
        <v>22</v>
      </c>
    </row>
    <row r="5175" spans="1:11">
      <c r="A5175" s="33" t="s">
        <v>12264</v>
      </c>
      <c r="B5175" s="33" t="s">
        <v>12265</v>
      </c>
      <c r="C5175" s="33" t="s">
        <v>96</v>
      </c>
      <c r="D5175" s="33" t="s">
        <v>17</v>
      </c>
      <c r="E5175" s="33" t="s">
        <v>18</v>
      </c>
      <c r="F5175" s="33" t="s">
        <v>19</v>
      </c>
      <c r="G5175" s="33" t="s">
        <v>140</v>
      </c>
      <c r="H5175" s="35">
        <v>600</v>
      </c>
      <c r="I5175" s="33" t="s">
        <v>51</v>
      </c>
      <c r="J5175" s="42">
        <v>44314</v>
      </c>
      <c r="K5175" s="33" t="s">
        <v>22</v>
      </c>
    </row>
    <row r="5176" spans="1:11">
      <c r="A5176" s="30" t="s">
        <v>12266</v>
      </c>
      <c r="B5176" s="30" t="s">
        <v>12267</v>
      </c>
      <c r="C5176" s="30" t="s">
        <v>118</v>
      </c>
      <c r="D5176" s="30" t="s">
        <v>17</v>
      </c>
      <c r="E5176" s="30" t="s">
        <v>26</v>
      </c>
      <c r="F5176" s="30" t="s">
        <v>27</v>
      </c>
      <c r="G5176" s="30" t="s">
        <v>106</v>
      </c>
      <c r="H5176" s="32">
        <v>5</v>
      </c>
      <c r="I5176" s="30" t="s">
        <v>21</v>
      </c>
      <c r="J5176" s="41">
        <v>44301</v>
      </c>
      <c r="K5176" s="30" t="s">
        <v>22</v>
      </c>
    </row>
    <row r="5177" spans="1:11">
      <c r="A5177" s="33" t="s">
        <v>12268</v>
      </c>
      <c r="B5177" s="33" t="s">
        <v>12269</v>
      </c>
      <c r="C5177" s="33" t="s">
        <v>379</v>
      </c>
      <c r="D5177" s="33" t="s">
        <v>17</v>
      </c>
      <c r="E5177" s="33" t="s">
        <v>31</v>
      </c>
      <c r="F5177" s="33" t="s">
        <v>32</v>
      </c>
      <c r="G5177" s="33" t="s">
        <v>50</v>
      </c>
      <c r="H5177" s="35">
        <v>150</v>
      </c>
      <c r="I5177" s="33" t="s">
        <v>51</v>
      </c>
      <c r="J5177" s="42">
        <v>44468</v>
      </c>
      <c r="K5177" s="33" t="s">
        <v>22</v>
      </c>
    </row>
    <row r="5178" spans="1:11">
      <c r="A5178" s="30" t="s">
        <v>12270</v>
      </c>
      <c r="B5178" s="30" t="s">
        <v>12271</v>
      </c>
      <c r="C5178" s="30" t="s">
        <v>429</v>
      </c>
      <c r="D5178" s="30" t="s">
        <v>17</v>
      </c>
      <c r="E5178" s="30" t="s">
        <v>212</v>
      </c>
      <c r="F5178" s="30" t="s">
        <v>213</v>
      </c>
      <c r="G5178" s="30" t="s">
        <v>20</v>
      </c>
      <c r="H5178" s="32">
        <v>280</v>
      </c>
      <c r="I5178" s="30" t="s">
        <v>21</v>
      </c>
      <c r="J5178" s="41">
        <v>44250</v>
      </c>
      <c r="K5178" s="30" t="s">
        <v>22</v>
      </c>
    </row>
    <row r="5179" spans="1:11">
      <c r="A5179" s="33" t="s">
        <v>12272</v>
      </c>
      <c r="B5179" s="33" t="s">
        <v>12273</v>
      </c>
      <c r="C5179" s="33" t="s">
        <v>12274</v>
      </c>
      <c r="D5179" s="33" t="s">
        <v>17</v>
      </c>
      <c r="E5179" s="33" t="s">
        <v>26</v>
      </c>
      <c r="F5179" s="33" t="s">
        <v>27</v>
      </c>
      <c r="G5179" s="33" t="s">
        <v>20</v>
      </c>
      <c r="H5179" s="35">
        <v>92</v>
      </c>
      <c r="I5179" s="33" t="s">
        <v>21</v>
      </c>
      <c r="J5179" s="42">
        <v>44315</v>
      </c>
      <c r="K5179" s="33" t="s">
        <v>22</v>
      </c>
    </row>
    <row r="5180" spans="1:11">
      <c r="A5180" s="30" t="s">
        <v>12275</v>
      </c>
      <c r="B5180" s="30" t="s">
        <v>12276</v>
      </c>
      <c r="C5180" s="30" t="s">
        <v>12277</v>
      </c>
      <c r="D5180" s="30" t="s">
        <v>17</v>
      </c>
      <c r="E5180" s="30" t="s">
        <v>31</v>
      </c>
      <c r="F5180" s="30" t="s">
        <v>32</v>
      </c>
      <c r="G5180" s="30" t="s">
        <v>20</v>
      </c>
      <c r="H5180" s="32">
        <v>3</v>
      </c>
      <c r="I5180" s="30" t="s">
        <v>21</v>
      </c>
      <c r="J5180" s="41">
        <v>44488</v>
      </c>
      <c r="K5180" s="30" t="s">
        <v>22</v>
      </c>
    </row>
    <row r="5181" spans="1:11">
      <c r="A5181" s="33" t="s">
        <v>12278</v>
      </c>
      <c r="B5181" s="33" t="s">
        <v>12279</v>
      </c>
      <c r="C5181" s="33" t="s">
        <v>638</v>
      </c>
      <c r="D5181" s="33" t="s">
        <v>17</v>
      </c>
      <c r="E5181" s="33" t="s">
        <v>18</v>
      </c>
      <c r="F5181" s="33" t="s">
        <v>19</v>
      </c>
      <c r="G5181" s="33" t="s">
        <v>20</v>
      </c>
      <c r="H5181" s="35">
        <v>777</v>
      </c>
      <c r="I5181" s="33" t="s">
        <v>21</v>
      </c>
      <c r="J5181" s="42">
        <v>44473</v>
      </c>
      <c r="K5181" s="33" t="s">
        <v>22</v>
      </c>
    </row>
    <row r="5182" spans="1:11">
      <c r="A5182" s="30" t="s">
        <v>12280</v>
      </c>
      <c r="B5182" s="30" t="s">
        <v>12281</v>
      </c>
      <c r="C5182" s="30" t="s">
        <v>12282</v>
      </c>
      <c r="D5182" s="30" t="s">
        <v>17</v>
      </c>
      <c r="E5182" s="30" t="s">
        <v>26</v>
      </c>
      <c r="F5182" s="30" t="s">
        <v>27</v>
      </c>
      <c r="G5182" s="30" t="s">
        <v>20</v>
      </c>
      <c r="H5182" s="32">
        <v>40</v>
      </c>
      <c r="I5182" s="30" t="s">
        <v>21</v>
      </c>
      <c r="J5182" s="41">
        <v>44505</v>
      </c>
      <c r="K5182" s="30" t="s">
        <v>22</v>
      </c>
    </row>
    <row r="5183" spans="1:11">
      <c r="A5183" s="33" t="s">
        <v>12283</v>
      </c>
      <c r="B5183" s="33" t="s">
        <v>12284</v>
      </c>
      <c r="C5183" s="33" t="s">
        <v>5093</v>
      </c>
      <c r="D5183" s="33" t="s">
        <v>17</v>
      </c>
      <c r="E5183" s="33" t="s">
        <v>26</v>
      </c>
      <c r="F5183" s="33" t="s">
        <v>27</v>
      </c>
      <c r="G5183" s="33" t="s">
        <v>20</v>
      </c>
      <c r="H5183" s="35">
        <v>18</v>
      </c>
      <c r="I5183" s="33" t="s">
        <v>21</v>
      </c>
      <c r="J5183" s="42">
        <v>44389</v>
      </c>
      <c r="K5183" s="33" t="s">
        <v>22</v>
      </c>
    </row>
    <row r="5184" spans="1:11">
      <c r="A5184" s="30" t="s">
        <v>12285</v>
      </c>
      <c r="B5184" s="30" t="s">
        <v>12286</v>
      </c>
      <c r="C5184" s="30" t="s">
        <v>10425</v>
      </c>
      <c r="D5184" s="30" t="s">
        <v>17</v>
      </c>
      <c r="E5184" s="30" t="s">
        <v>26</v>
      </c>
      <c r="F5184" s="30" t="s">
        <v>27</v>
      </c>
      <c r="G5184" s="30" t="s">
        <v>106</v>
      </c>
      <c r="H5184" s="32">
        <v>9</v>
      </c>
      <c r="I5184" s="30" t="s">
        <v>21</v>
      </c>
      <c r="J5184" s="41">
        <v>44525</v>
      </c>
      <c r="K5184" s="30" t="s">
        <v>22</v>
      </c>
    </row>
    <row r="5185" spans="1:11">
      <c r="A5185" s="33" t="s">
        <v>12287</v>
      </c>
      <c r="B5185" s="33" t="s">
        <v>12288</v>
      </c>
      <c r="C5185" s="33" t="s">
        <v>118</v>
      </c>
      <c r="D5185" s="33" t="s">
        <v>17</v>
      </c>
      <c r="E5185" s="33" t="s">
        <v>31</v>
      </c>
      <c r="F5185" s="33" t="s">
        <v>32</v>
      </c>
      <c r="G5185" s="33" t="s">
        <v>106</v>
      </c>
      <c r="H5185" s="35">
        <v>215</v>
      </c>
      <c r="I5185" s="33" t="s">
        <v>21</v>
      </c>
      <c r="J5185" s="42">
        <v>44225</v>
      </c>
      <c r="K5185" s="33" t="s">
        <v>22</v>
      </c>
    </row>
    <row r="5186" spans="1:11">
      <c r="A5186" s="30" t="s">
        <v>12289</v>
      </c>
      <c r="B5186" s="30" t="s">
        <v>12290</v>
      </c>
      <c r="C5186" s="30" t="s">
        <v>178</v>
      </c>
      <c r="D5186" s="30" t="s">
        <v>17</v>
      </c>
      <c r="E5186" s="30" t="s">
        <v>31</v>
      </c>
      <c r="F5186" s="30" t="s">
        <v>32</v>
      </c>
      <c r="G5186" s="30" t="s">
        <v>20</v>
      </c>
      <c r="H5186" s="32">
        <v>190</v>
      </c>
      <c r="I5186" s="30" t="s">
        <v>21</v>
      </c>
      <c r="J5186" s="41">
        <v>44372</v>
      </c>
      <c r="K5186" s="30" t="s">
        <v>22</v>
      </c>
    </row>
    <row r="5187" spans="1:11">
      <c r="A5187" s="33" t="s">
        <v>12291</v>
      </c>
      <c r="B5187" s="33" t="s">
        <v>12292</v>
      </c>
      <c r="C5187" s="33" t="s">
        <v>157</v>
      </c>
      <c r="D5187" s="33" t="s">
        <v>17</v>
      </c>
      <c r="E5187" s="33" t="s">
        <v>67</v>
      </c>
      <c r="F5187" s="33" t="s">
        <v>68</v>
      </c>
      <c r="G5187" s="33" t="s">
        <v>20</v>
      </c>
      <c r="H5187" s="35">
        <v>200</v>
      </c>
      <c r="I5187" s="33" t="s">
        <v>21</v>
      </c>
      <c r="J5187" s="42">
        <v>44203</v>
      </c>
      <c r="K5187" s="33" t="s">
        <v>22</v>
      </c>
    </row>
    <row r="5188" spans="1:11">
      <c r="A5188" s="30" t="s">
        <v>12293</v>
      </c>
      <c r="B5188" s="30" t="s">
        <v>12294</v>
      </c>
      <c r="C5188" s="30" t="s">
        <v>12295</v>
      </c>
      <c r="D5188" s="30" t="s">
        <v>17</v>
      </c>
      <c r="E5188" s="30" t="s">
        <v>31</v>
      </c>
      <c r="F5188" s="30" t="s">
        <v>32</v>
      </c>
      <c r="G5188" s="30" t="s">
        <v>20</v>
      </c>
      <c r="H5188" s="32">
        <v>20</v>
      </c>
      <c r="I5188" s="30" t="s">
        <v>21</v>
      </c>
      <c r="J5188" s="41">
        <v>44515</v>
      </c>
      <c r="K5188" s="30" t="s">
        <v>22</v>
      </c>
    </row>
    <row r="5189" spans="1:11">
      <c r="A5189" s="33" t="s">
        <v>12296</v>
      </c>
      <c r="B5189" s="33" t="s">
        <v>12297</v>
      </c>
      <c r="C5189" s="33" t="s">
        <v>2772</v>
      </c>
      <c r="D5189" s="33" t="s">
        <v>17</v>
      </c>
      <c r="E5189" s="33" t="s">
        <v>26</v>
      </c>
      <c r="F5189" s="33" t="s">
        <v>27</v>
      </c>
      <c r="G5189" s="33" t="s">
        <v>20</v>
      </c>
      <c r="H5189" s="35">
        <v>39</v>
      </c>
      <c r="I5189" s="33" t="s">
        <v>21</v>
      </c>
      <c r="J5189" s="42">
        <v>44218</v>
      </c>
      <c r="K5189" s="33" t="s">
        <v>22</v>
      </c>
    </row>
    <row r="5190" spans="1:11">
      <c r="A5190" s="30" t="s">
        <v>12298</v>
      </c>
      <c r="B5190" s="30" t="s">
        <v>12299</v>
      </c>
      <c r="C5190" s="30" t="s">
        <v>10727</v>
      </c>
      <c r="D5190" s="30" t="s">
        <v>17</v>
      </c>
      <c r="E5190" s="30" t="s">
        <v>67</v>
      </c>
      <c r="F5190" s="30" t="s">
        <v>68</v>
      </c>
      <c r="G5190" s="30" t="s">
        <v>140</v>
      </c>
      <c r="H5190" s="32">
        <v>240</v>
      </c>
      <c r="I5190" s="30" t="s">
        <v>51</v>
      </c>
      <c r="J5190" s="41">
        <v>44532</v>
      </c>
      <c r="K5190" s="30" t="s">
        <v>22</v>
      </c>
    </row>
    <row r="5191" spans="1:11">
      <c r="A5191" s="33" t="s">
        <v>12300</v>
      </c>
      <c r="B5191" s="33" t="s">
        <v>12301</v>
      </c>
      <c r="C5191" s="33" t="s">
        <v>10963</v>
      </c>
      <c r="D5191" s="33" t="s">
        <v>17</v>
      </c>
      <c r="E5191" s="33" t="s">
        <v>31</v>
      </c>
      <c r="F5191" s="33" t="s">
        <v>32</v>
      </c>
      <c r="G5191" s="33" t="s">
        <v>106</v>
      </c>
      <c r="H5191" s="35">
        <v>466</v>
      </c>
      <c r="I5191" s="33" t="s">
        <v>21</v>
      </c>
      <c r="J5191" s="42">
        <v>44488</v>
      </c>
      <c r="K5191" s="33" t="s">
        <v>22</v>
      </c>
    </row>
    <row r="5192" spans="1:11">
      <c r="A5192" s="30" t="s">
        <v>12302</v>
      </c>
      <c r="B5192" s="30" t="s">
        <v>12303</v>
      </c>
      <c r="C5192" s="30" t="s">
        <v>12304</v>
      </c>
      <c r="D5192" s="30" t="s">
        <v>17</v>
      </c>
      <c r="E5192" s="30" t="s">
        <v>31</v>
      </c>
      <c r="F5192" s="30" t="s">
        <v>32</v>
      </c>
      <c r="G5192" s="30" t="s">
        <v>20</v>
      </c>
      <c r="H5192" s="32">
        <v>37</v>
      </c>
      <c r="I5192" s="30" t="s">
        <v>21</v>
      </c>
      <c r="J5192" s="41">
        <v>44312</v>
      </c>
      <c r="K5192" s="30" t="s">
        <v>22</v>
      </c>
    </row>
    <row r="5193" spans="1:11">
      <c r="A5193" s="33" t="s">
        <v>12305</v>
      </c>
      <c r="B5193" s="33" t="s">
        <v>12306</v>
      </c>
      <c r="C5193" s="33" t="s">
        <v>3121</v>
      </c>
      <c r="D5193" s="33" t="s">
        <v>17</v>
      </c>
      <c r="E5193" s="33" t="s">
        <v>31</v>
      </c>
      <c r="F5193" s="33" t="s">
        <v>32</v>
      </c>
      <c r="G5193" s="33" t="s">
        <v>158</v>
      </c>
      <c r="H5193" s="35">
        <v>24</v>
      </c>
      <c r="I5193" s="33" t="s">
        <v>51</v>
      </c>
      <c r="J5193" s="42">
        <v>44391</v>
      </c>
      <c r="K5193" s="33" t="s">
        <v>22</v>
      </c>
    </row>
    <row r="5194" spans="1:11">
      <c r="A5194" s="30" t="s">
        <v>12307</v>
      </c>
      <c r="B5194" s="30" t="s">
        <v>12308</v>
      </c>
      <c r="C5194" s="30" t="s">
        <v>187</v>
      </c>
      <c r="D5194" s="30" t="s">
        <v>17</v>
      </c>
      <c r="E5194" s="30" t="s">
        <v>31</v>
      </c>
      <c r="F5194" s="30" t="s">
        <v>32</v>
      </c>
      <c r="G5194" s="30" t="s">
        <v>50</v>
      </c>
      <c r="H5194" s="32">
        <v>93</v>
      </c>
      <c r="I5194" s="30" t="s">
        <v>51</v>
      </c>
      <c r="J5194" s="41">
        <v>44216</v>
      </c>
      <c r="K5194" s="30" t="s">
        <v>22</v>
      </c>
    </row>
    <row r="5195" spans="1:11">
      <c r="A5195" s="33" t="s">
        <v>12309</v>
      </c>
      <c r="B5195" s="33" t="s">
        <v>12310</v>
      </c>
      <c r="C5195" s="33" t="s">
        <v>231</v>
      </c>
      <c r="D5195" s="33" t="s">
        <v>17</v>
      </c>
      <c r="E5195" s="33" t="s">
        <v>31</v>
      </c>
      <c r="F5195" s="33" t="s">
        <v>32</v>
      </c>
      <c r="G5195" s="33" t="s">
        <v>20</v>
      </c>
      <c r="H5195" s="35">
        <v>5</v>
      </c>
      <c r="I5195" s="33" t="s">
        <v>21</v>
      </c>
      <c r="J5195" s="42">
        <v>44294</v>
      </c>
      <c r="K5195" s="33" t="s">
        <v>22</v>
      </c>
    </row>
    <row r="5196" spans="1:11">
      <c r="A5196" s="30" t="s">
        <v>12311</v>
      </c>
      <c r="B5196" s="30" t="s">
        <v>12312</v>
      </c>
      <c r="C5196" s="30" t="s">
        <v>3296</v>
      </c>
      <c r="D5196" s="30" t="s">
        <v>17</v>
      </c>
      <c r="E5196" s="30" t="s">
        <v>26</v>
      </c>
      <c r="F5196" s="30" t="s">
        <v>27</v>
      </c>
      <c r="G5196" s="30" t="s">
        <v>20</v>
      </c>
      <c r="H5196" s="32">
        <v>40</v>
      </c>
      <c r="I5196" s="30" t="s">
        <v>21</v>
      </c>
      <c r="J5196" s="41">
        <v>44551</v>
      </c>
      <c r="K5196" s="30" t="s">
        <v>22</v>
      </c>
    </row>
    <row r="5197" spans="1:11">
      <c r="A5197" s="33" t="s">
        <v>12313</v>
      </c>
      <c r="B5197" s="33" t="s">
        <v>12314</v>
      </c>
      <c r="C5197" s="33" t="s">
        <v>9351</v>
      </c>
      <c r="D5197" s="33" t="s">
        <v>17</v>
      </c>
      <c r="E5197" s="33" t="s">
        <v>45</v>
      </c>
      <c r="F5197" s="33" t="s">
        <v>46</v>
      </c>
      <c r="G5197" s="33" t="s">
        <v>20</v>
      </c>
      <c r="H5197" s="35">
        <v>10300</v>
      </c>
      <c r="I5197" s="33" t="s">
        <v>21</v>
      </c>
      <c r="J5197" s="42">
        <v>44270</v>
      </c>
      <c r="K5197" s="33" t="s">
        <v>22</v>
      </c>
    </row>
    <row r="5198" spans="1:11">
      <c r="A5198" s="30" t="s">
        <v>12315</v>
      </c>
      <c r="B5198" s="30" t="s">
        <v>12316</v>
      </c>
      <c r="C5198" s="30" t="s">
        <v>12277</v>
      </c>
      <c r="D5198" s="30" t="s">
        <v>17</v>
      </c>
      <c r="E5198" s="30" t="s">
        <v>31</v>
      </c>
      <c r="F5198" s="30" t="s">
        <v>32</v>
      </c>
      <c r="G5198" s="30" t="s">
        <v>20</v>
      </c>
      <c r="H5198" s="32">
        <v>30</v>
      </c>
      <c r="I5198" s="30" t="s">
        <v>21</v>
      </c>
      <c r="J5198" s="41">
        <v>44454</v>
      </c>
      <c r="K5198" s="30" t="s">
        <v>22</v>
      </c>
    </row>
    <row r="5199" spans="1:11">
      <c r="A5199" s="33" t="s">
        <v>12317</v>
      </c>
      <c r="B5199" s="33" t="s">
        <v>12318</v>
      </c>
      <c r="C5199" s="33" t="s">
        <v>75</v>
      </c>
      <c r="D5199" s="33" t="s">
        <v>17</v>
      </c>
      <c r="E5199" s="33" t="s">
        <v>26</v>
      </c>
      <c r="F5199" s="33" t="s">
        <v>27</v>
      </c>
      <c r="G5199" s="33" t="s">
        <v>20</v>
      </c>
      <c r="H5199" s="35">
        <v>61</v>
      </c>
      <c r="I5199" s="33" t="s">
        <v>21</v>
      </c>
      <c r="J5199" s="42">
        <v>44397</v>
      </c>
      <c r="K5199" s="33" t="s">
        <v>22</v>
      </c>
    </row>
    <row r="5200" spans="1:11">
      <c r="A5200" s="30" t="s">
        <v>12319</v>
      </c>
      <c r="B5200" s="30" t="s">
        <v>12320</v>
      </c>
      <c r="C5200" s="30" t="s">
        <v>12321</v>
      </c>
      <c r="D5200" s="30" t="s">
        <v>17</v>
      </c>
      <c r="E5200" s="30" t="s">
        <v>26</v>
      </c>
      <c r="F5200" s="30" t="s">
        <v>27</v>
      </c>
      <c r="G5200" s="30" t="s">
        <v>20</v>
      </c>
      <c r="H5200" s="32">
        <v>134</v>
      </c>
      <c r="I5200" s="30" t="s">
        <v>21</v>
      </c>
      <c r="J5200" s="41">
        <v>44383</v>
      </c>
      <c r="K5200" s="30" t="s">
        <v>22</v>
      </c>
    </row>
    <row r="5201" spans="1:11">
      <c r="A5201" s="33" t="s">
        <v>12322</v>
      </c>
      <c r="B5201" s="33" t="s">
        <v>12323</v>
      </c>
      <c r="C5201" s="33" t="s">
        <v>12324</v>
      </c>
      <c r="D5201" s="33" t="s">
        <v>17</v>
      </c>
      <c r="E5201" s="33" t="s">
        <v>26</v>
      </c>
      <c r="F5201" s="33" t="s">
        <v>27</v>
      </c>
      <c r="G5201" s="33" t="s">
        <v>50</v>
      </c>
      <c r="H5201" s="35">
        <v>66</v>
      </c>
      <c r="I5201" s="33" t="s">
        <v>51</v>
      </c>
      <c r="J5201" s="42">
        <v>44197</v>
      </c>
      <c r="K5201" s="33" t="s">
        <v>22</v>
      </c>
    </row>
    <row r="5202" spans="1:11">
      <c r="A5202" s="30" t="s">
        <v>12325</v>
      </c>
      <c r="B5202" s="30" t="s">
        <v>12326</v>
      </c>
      <c r="C5202" s="30" t="s">
        <v>12327</v>
      </c>
      <c r="D5202" s="30" t="s">
        <v>17</v>
      </c>
      <c r="E5202" s="30" t="s">
        <v>67</v>
      </c>
      <c r="F5202" s="30" t="s">
        <v>68</v>
      </c>
      <c r="G5202" s="30" t="s">
        <v>158</v>
      </c>
      <c r="H5202" s="32">
        <v>121</v>
      </c>
      <c r="I5202" s="30" t="s">
        <v>21</v>
      </c>
      <c r="J5202" s="41">
        <v>44537</v>
      </c>
      <c r="K5202" s="30" t="s">
        <v>22</v>
      </c>
    </row>
    <row r="5203" spans="1:11">
      <c r="A5203" s="33" t="s">
        <v>12328</v>
      </c>
      <c r="B5203" s="33" t="s">
        <v>12329</v>
      </c>
      <c r="C5203" s="33" t="s">
        <v>12330</v>
      </c>
      <c r="D5203" s="33" t="s">
        <v>17</v>
      </c>
      <c r="E5203" s="33" t="s">
        <v>26</v>
      </c>
      <c r="F5203" s="33" t="s">
        <v>27</v>
      </c>
      <c r="G5203" s="33" t="s">
        <v>20</v>
      </c>
      <c r="H5203" s="35">
        <v>45</v>
      </c>
      <c r="I5203" s="33" t="s">
        <v>21</v>
      </c>
      <c r="J5203" s="42">
        <v>44455</v>
      </c>
      <c r="K5203" s="33" t="s">
        <v>22</v>
      </c>
    </row>
    <row r="5204" spans="1:11">
      <c r="A5204" s="30" t="s">
        <v>12331</v>
      </c>
      <c r="B5204" s="30" t="s">
        <v>12332</v>
      </c>
      <c r="C5204" s="30" t="s">
        <v>3270</v>
      </c>
      <c r="D5204" s="30" t="s">
        <v>17</v>
      </c>
      <c r="E5204" s="30" t="s">
        <v>26</v>
      </c>
      <c r="F5204" s="30" t="s">
        <v>27</v>
      </c>
      <c r="G5204" s="30" t="s">
        <v>20</v>
      </c>
      <c r="H5204" s="32">
        <v>31</v>
      </c>
      <c r="I5204" s="30" t="s">
        <v>21</v>
      </c>
      <c r="J5204" s="41">
        <v>44510</v>
      </c>
      <c r="K5204" s="30" t="s">
        <v>22</v>
      </c>
    </row>
    <row r="5205" spans="1:11">
      <c r="A5205" s="33" t="s">
        <v>12333</v>
      </c>
      <c r="B5205" s="33" t="s">
        <v>12334</v>
      </c>
      <c r="C5205" s="33" t="s">
        <v>93</v>
      </c>
      <c r="D5205" s="33" t="s">
        <v>17</v>
      </c>
      <c r="E5205" s="33" t="s">
        <v>26</v>
      </c>
      <c r="F5205" s="33" t="s">
        <v>27</v>
      </c>
      <c r="G5205" s="33" t="s">
        <v>158</v>
      </c>
      <c r="H5205" s="35">
        <v>81</v>
      </c>
      <c r="I5205" s="33" t="s">
        <v>21</v>
      </c>
      <c r="J5205" s="42">
        <v>44250</v>
      </c>
      <c r="K5205" s="33" t="s">
        <v>22</v>
      </c>
    </row>
    <row r="5206" spans="1:11">
      <c r="A5206" s="30" t="s">
        <v>12335</v>
      </c>
      <c r="B5206" s="30" t="s">
        <v>12336</v>
      </c>
      <c r="C5206" s="30" t="s">
        <v>44</v>
      </c>
      <c r="D5206" s="30" t="s">
        <v>17</v>
      </c>
      <c r="E5206" s="30" t="s">
        <v>18</v>
      </c>
      <c r="F5206" s="30" t="s">
        <v>19</v>
      </c>
      <c r="G5206" s="30" t="s">
        <v>158</v>
      </c>
      <c r="H5206" s="32">
        <v>288</v>
      </c>
      <c r="I5206" s="30" t="s">
        <v>21</v>
      </c>
      <c r="J5206" s="41">
        <v>44544</v>
      </c>
      <c r="K5206" s="30" t="s">
        <v>22</v>
      </c>
    </row>
    <row r="5207" spans="1:11">
      <c r="A5207" s="33" t="s">
        <v>12337</v>
      </c>
      <c r="B5207" s="33" t="s">
        <v>12338</v>
      </c>
      <c r="C5207" s="33" t="s">
        <v>10914</v>
      </c>
      <c r="D5207" s="33" t="s">
        <v>17</v>
      </c>
      <c r="E5207" s="33" t="s">
        <v>31</v>
      </c>
      <c r="F5207" s="33" t="s">
        <v>32</v>
      </c>
      <c r="G5207" s="33" t="s">
        <v>106</v>
      </c>
      <c r="H5207" s="35">
        <v>102</v>
      </c>
      <c r="I5207" s="33" t="s">
        <v>21</v>
      </c>
      <c r="J5207" s="42">
        <v>44344</v>
      </c>
      <c r="K5207" s="33" t="s">
        <v>22</v>
      </c>
    </row>
    <row r="5208" spans="1:11">
      <c r="A5208" s="30" t="s">
        <v>12339</v>
      </c>
      <c r="B5208" s="30" t="s">
        <v>12340</v>
      </c>
      <c r="C5208" s="30" t="s">
        <v>12112</v>
      </c>
      <c r="D5208" s="30" t="s">
        <v>17</v>
      </c>
      <c r="E5208" s="30" t="s">
        <v>26</v>
      </c>
      <c r="F5208" s="30" t="s">
        <v>27</v>
      </c>
      <c r="G5208" s="30" t="s">
        <v>20</v>
      </c>
      <c r="H5208" s="32">
        <v>41</v>
      </c>
      <c r="I5208" s="30" t="s">
        <v>21</v>
      </c>
      <c r="J5208" s="41">
        <v>44230</v>
      </c>
      <c r="K5208" s="30" t="s">
        <v>22</v>
      </c>
    </row>
    <row r="5209" spans="1:11">
      <c r="A5209" s="33" t="s">
        <v>12341</v>
      </c>
      <c r="B5209" s="33" t="s">
        <v>12342</v>
      </c>
      <c r="C5209" s="33" t="s">
        <v>462</v>
      </c>
      <c r="D5209" s="33" t="s">
        <v>17</v>
      </c>
      <c r="E5209" s="33" t="s">
        <v>31</v>
      </c>
      <c r="F5209" s="33" t="s">
        <v>32</v>
      </c>
      <c r="G5209" s="33" t="s">
        <v>20</v>
      </c>
      <c r="H5209" s="35">
        <v>274</v>
      </c>
      <c r="I5209" s="33" t="s">
        <v>21</v>
      </c>
      <c r="J5209" s="42">
        <v>44396</v>
      </c>
      <c r="K5209" s="33" t="s">
        <v>22</v>
      </c>
    </row>
    <row r="5210" spans="1:11">
      <c r="A5210" s="30" t="s">
        <v>12343</v>
      </c>
      <c r="B5210" s="30" t="s">
        <v>12344</v>
      </c>
      <c r="C5210" s="30" t="s">
        <v>187</v>
      </c>
      <c r="D5210" s="30" t="s">
        <v>17</v>
      </c>
      <c r="E5210" s="30" t="s">
        <v>67</v>
      </c>
      <c r="F5210" s="30" t="s">
        <v>68</v>
      </c>
      <c r="G5210" s="30" t="s">
        <v>158</v>
      </c>
      <c r="H5210" s="32">
        <v>45</v>
      </c>
      <c r="I5210" s="30" t="s">
        <v>21</v>
      </c>
      <c r="J5210" s="41">
        <v>44372</v>
      </c>
      <c r="K5210" s="30" t="s">
        <v>22</v>
      </c>
    </row>
    <row r="5211" spans="1:11">
      <c r="A5211" s="33" t="s">
        <v>12345</v>
      </c>
      <c r="B5211" s="33" t="s">
        <v>12346</v>
      </c>
      <c r="C5211" s="33" t="s">
        <v>353</v>
      </c>
      <c r="D5211" s="33" t="s">
        <v>17</v>
      </c>
      <c r="E5211" s="33" t="s">
        <v>26</v>
      </c>
      <c r="F5211" s="33" t="s">
        <v>27</v>
      </c>
      <c r="G5211" s="33" t="s">
        <v>50</v>
      </c>
      <c r="H5211" s="35">
        <v>12</v>
      </c>
      <c r="I5211" s="33" t="s">
        <v>51</v>
      </c>
      <c r="J5211" s="42">
        <v>44421</v>
      </c>
      <c r="K5211" s="33" t="s">
        <v>22</v>
      </c>
    </row>
    <row r="5212" spans="1:11">
      <c r="A5212" s="30" t="s">
        <v>12347</v>
      </c>
      <c r="B5212" s="30" t="s">
        <v>12348</v>
      </c>
      <c r="C5212" s="30" t="s">
        <v>190</v>
      </c>
      <c r="D5212" s="30" t="s">
        <v>17</v>
      </c>
      <c r="E5212" s="30" t="s">
        <v>212</v>
      </c>
      <c r="F5212" s="30" t="s">
        <v>213</v>
      </c>
      <c r="G5212" s="30" t="s">
        <v>20</v>
      </c>
      <c r="H5212" s="32">
        <v>196</v>
      </c>
      <c r="I5212" s="30" t="s">
        <v>21</v>
      </c>
      <c r="J5212" s="41">
        <v>44293</v>
      </c>
      <c r="K5212" s="30" t="s">
        <v>22</v>
      </c>
    </row>
    <row r="5213" spans="1:11">
      <c r="A5213" s="33" t="s">
        <v>12349</v>
      </c>
      <c r="B5213" s="33" t="s">
        <v>12350</v>
      </c>
      <c r="C5213" s="33" t="s">
        <v>149</v>
      </c>
      <c r="D5213" s="33" t="s">
        <v>17</v>
      </c>
      <c r="E5213" s="33" t="s">
        <v>31</v>
      </c>
      <c r="F5213" s="33" t="s">
        <v>32</v>
      </c>
      <c r="G5213" s="33" t="s">
        <v>50</v>
      </c>
      <c r="H5213" s="35">
        <v>130</v>
      </c>
      <c r="I5213" s="33" t="s">
        <v>51</v>
      </c>
      <c r="J5213" s="42">
        <v>44323</v>
      </c>
      <c r="K5213" s="33" t="s">
        <v>22</v>
      </c>
    </row>
    <row r="5214" spans="1:11">
      <c r="A5214" s="30" t="s">
        <v>12351</v>
      </c>
      <c r="B5214" s="30" t="s">
        <v>12352</v>
      </c>
      <c r="C5214" s="30" t="s">
        <v>1406</v>
      </c>
      <c r="D5214" s="30" t="s">
        <v>17</v>
      </c>
      <c r="E5214" s="30" t="s">
        <v>67</v>
      </c>
      <c r="F5214" s="30" t="s">
        <v>68</v>
      </c>
      <c r="G5214" s="30" t="s">
        <v>140</v>
      </c>
      <c r="H5214" s="32">
        <v>54</v>
      </c>
      <c r="I5214" s="30" t="s">
        <v>51</v>
      </c>
      <c r="J5214" s="41">
        <v>44419</v>
      </c>
      <c r="K5214" s="30" t="s">
        <v>22</v>
      </c>
    </row>
    <row r="5215" spans="1:11">
      <c r="A5215" s="33" t="s">
        <v>12353</v>
      </c>
      <c r="B5215" s="33" t="s">
        <v>12354</v>
      </c>
      <c r="C5215" s="33" t="s">
        <v>1191</v>
      </c>
      <c r="D5215" s="33" t="s">
        <v>17</v>
      </c>
      <c r="E5215" s="33" t="s">
        <v>212</v>
      </c>
      <c r="F5215" s="33" t="s">
        <v>213</v>
      </c>
      <c r="G5215" s="33" t="s">
        <v>50</v>
      </c>
      <c r="H5215" s="35">
        <v>1404</v>
      </c>
      <c r="I5215" s="33" t="s">
        <v>21</v>
      </c>
      <c r="J5215" s="42">
        <v>44322</v>
      </c>
      <c r="K5215" s="33" t="s">
        <v>22</v>
      </c>
    </row>
    <row r="5216" spans="1:11">
      <c r="A5216" s="30" t="s">
        <v>12355</v>
      </c>
      <c r="B5216" s="30" t="s">
        <v>12356</v>
      </c>
      <c r="C5216" s="30" t="s">
        <v>12357</v>
      </c>
      <c r="D5216" s="30" t="s">
        <v>17</v>
      </c>
      <c r="E5216" s="30" t="s">
        <v>26</v>
      </c>
      <c r="F5216" s="30" t="s">
        <v>27</v>
      </c>
      <c r="G5216" s="30" t="s">
        <v>20</v>
      </c>
      <c r="H5216" s="32">
        <v>25</v>
      </c>
      <c r="I5216" s="30" t="s">
        <v>21</v>
      </c>
      <c r="J5216" s="41">
        <v>44505</v>
      </c>
      <c r="K5216" s="30" t="s">
        <v>22</v>
      </c>
    </row>
    <row r="5217" spans="1:11">
      <c r="A5217" s="33" t="s">
        <v>12358</v>
      </c>
      <c r="B5217" s="33" t="s">
        <v>12359</v>
      </c>
      <c r="C5217" s="33" t="s">
        <v>3337</v>
      </c>
      <c r="D5217" s="33" t="s">
        <v>17</v>
      </c>
      <c r="E5217" s="33" t="s">
        <v>31</v>
      </c>
      <c r="F5217" s="33" t="s">
        <v>32</v>
      </c>
      <c r="G5217" s="33" t="s">
        <v>112</v>
      </c>
      <c r="H5217" s="35">
        <v>0</v>
      </c>
      <c r="I5217" s="33" t="s">
        <v>21</v>
      </c>
      <c r="J5217" s="42">
        <v>44246</v>
      </c>
      <c r="K5217" s="33" t="s">
        <v>22</v>
      </c>
    </row>
    <row r="5218" spans="1:11">
      <c r="A5218" s="30" t="s">
        <v>12360</v>
      </c>
      <c r="B5218" s="30" t="s">
        <v>12361</v>
      </c>
      <c r="C5218" s="30" t="s">
        <v>1003</v>
      </c>
      <c r="D5218" s="30" t="s">
        <v>17</v>
      </c>
      <c r="E5218" s="30" t="s">
        <v>26</v>
      </c>
      <c r="F5218" s="30" t="s">
        <v>27</v>
      </c>
      <c r="G5218" s="30" t="s">
        <v>20</v>
      </c>
      <c r="H5218" s="32">
        <v>24</v>
      </c>
      <c r="I5218" s="30" t="s">
        <v>21</v>
      </c>
      <c r="J5218" s="41">
        <v>44435</v>
      </c>
      <c r="K5218" s="30" t="s">
        <v>22</v>
      </c>
    </row>
    <row r="5219" spans="1:11">
      <c r="A5219" s="33" t="s">
        <v>12362</v>
      </c>
      <c r="B5219" s="33" t="s">
        <v>12363</v>
      </c>
      <c r="C5219" s="33" t="s">
        <v>96</v>
      </c>
      <c r="D5219" s="33" t="s">
        <v>17</v>
      </c>
      <c r="E5219" s="33" t="s">
        <v>18</v>
      </c>
      <c r="F5219" s="33" t="s">
        <v>19</v>
      </c>
      <c r="G5219" s="33" t="s">
        <v>106</v>
      </c>
      <c r="H5219" s="35">
        <v>72</v>
      </c>
      <c r="I5219" s="33" t="s">
        <v>21</v>
      </c>
      <c r="J5219" s="42">
        <v>44539</v>
      </c>
      <c r="K5219" s="33" t="s">
        <v>22</v>
      </c>
    </row>
    <row r="5220" spans="1:11">
      <c r="A5220" s="30" t="s">
        <v>12364</v>
      </c>
      <c r="B5220" s="30" t="s">
        <v>12365</v>
      </c>
      <c r="C5220" s="30" t="s">
        <v>12366</v>
      </c>
      <c r="D5220" s="30" t="s">
        <v>17</v>
      </c>
      <c r="E5220" s="30" t="s">
        <v>18</v>
      </c>
      <c r="F5220" s="30" t="s">
        <v>19</v>
      </c>
      <c r="G5220" s="30" t="s">
        <v>158</v>
      </c>
      <c r="H5220" s="32">
        <v>327</v>
      </c>
      <c r="I5220" s="30" t="s">
        <v>21</v>
      </c>
      <c r="J5220" s="41">
        <v>44298</v>
      </c>
      <c r="K5220" s="30" t="s">
        <v>22</v>
      </c>
    </row>
    <row r="5221" spans="1:11">
      <c r="A5221" s="33" t="s">
        <v>12367</v>
      </c>
      <c r="B5221" s="33" t="s">
        <v>12368</v>
      </c>
      <c r="C5221" s="33" t="s">
        <v>252</v>
      </c>
      <c r="D5221" s="33" t="s">
        <v>17</v>
      </c>
      <c r="E5221" s="33" t="s">
        <v>31</v>
      </c>
      <c r="F5221" s="33" t="s">
        <v>32</v>
      </c>
      <c r="G5221" s="33" t="s">
        <v>20</v>
      </c>
      <c r="H5221" s="35">
        <v>125</v>
      </c>
      <c r="I5221" s="33" t="s">
        <v>21</v>
      </c>
      <c r="J5221" s="42">
        <v>44349</v>
      </c>
      <c r="K5221" s="33" t="s">
        <v>22</v>
      </c>
    </row>
    <row r="5222" spans="1:11">
      <c r="A5222" s="30" t="s">
        <v>12369</v>
      </c>
      <c r="B5222" s="30" t="s">
        <v>12370</v>
      </c>
      <c r="C5222" s="30" t="s">
        <v>12371</v>
      </c>
      <c r="D5222" s="30" t="s">
        <v>17</v>
      </c>
      <c r="E5222" s="30" t="s">
        <v>26</v>
      </c>
      <c r="F5222" s="30" t="s">
        <v>27</v>
      </c>
      <c r="G5222" s="30" t="s">
        <v>106</v>
      </c>
      <c r="H5222" s="32">
        <v>34</v>
      </c>
      <c r="I5222" s="30" t="s">
        <v>21</v>
      </c>
      <c r="J5222" s="41">
        <v>44259</v>
      </c>
      <c r="K5222" s="30" t="s">
        <v>22</v>
      </c>
    </row>
    <row r="5223" spans="1:11">
      <c r="A5223" s="33" t="s">
        <v>12372</v>
      </c>
      <c r="B5223" s="33" t="s">
        <v>12373</v>
      </c>
      <c r="C5223" s="33" t="s">
        <v>969</v>
      </c>
      <c r="D5223" s="33" t="s">
        <v>17</v>
      </c>
      <c r="E5223" s="33" t="s">
        <v>212</v>
      </c>
      <c r="F5223" s="33" t="s">
        <v>213</v>
      </c>
      <c r="G5223" s="33" t="s">
        <v>20</v>
      </c>
      <c r="H5223" s="35">
        <v>500</v>
      </c>
      <c r="I5223" s="33" t="s">
        <v>21</v>
      </c>
      <c r="J5223" s="42">
        <v>44342</v>
      </c>
      <c r="K5223" s="33" t="s">
        <v>22</v>
      </c>
    </row>
    <row r="5224" spans="1:11">
      <c r="A5224" s="30" t="s">
        <v>12374</v>
      </c>
      <c r="B5224" s="30" t="s">
        <v>12375</v>
      </c>
      <c r="C5224" s="30" t="s">
        <v>231</v>
      </c>
      <c r="D5224" s="30" t="s">
        <v>17</v>
      </c>
      <c r="E5224" s="30" t="s">
        <v>26</v>
      </c>
      <c r="F5224" s="30" t="s">
        <v>27</v>
      </c>
      <c r="G5224" s="30" t="s">
        <v>106</v>
      </c>
      <c r="H5224" s="32">
        <v>7</v>
      </c>
      <c r="I5224" s="30" t="s">
        <v>21</v>
      </c>
      <c r="J5224" s="41">
        <v>44259</v>
      </c>
      <c r="K5224" s="30" t="s">
        <v>22</v>
      </c>
    </row>
    <row r="5225" spans="1:11">
      <c r="A5225" s="33" t="s">
        <v>12376</v>
      </c>
      <c r="B5225" s="33" t="s">
        <v>12377</v>
      </c>
      <c r="C5225" s="33" t="s">
        <v>3296</v>
      </c>
      <c r="D5225" s="33" t="s">
        <v>17</v>
      </c>
      <c r="E5225" s="33" t="s">
        <v>26</v>
      </c>
      <c r="F5225" s="33" t="s">
        <v>27</v>
      </c>
      <c r="G5225" s="33" t="s">
        <v>20</v>
      </c>
      <c r="H5225" s="35">
        <v>38</v>
      </c>
      <c r="I5225" s="33" t="s">
        <v>21</v>
      </c>
      <c r="J5225" s="42">
        <v>44495</v>
      </c>
      <c r="K5225" s="33" t="s">
        <v>22</v>
      </c>
    </row>
    <row r="5226" spans="1:11">
      <c r="A5226" s="30" t="s">
        <v>12378</v>
      </c>
      <c r="B5226" s="30" t="s">
        <v>12379</v>
      </c>
      <c r="C5226" s="30" t="s">
        <v>3944</v>
      </c>
      <c r="D5226" s="30" t="s">
        <v>17</v>
      </c>
      <c r="E5226" s="30" t="s">
        <v>26</v>
      </c>
      <c r="F5226" s="30" t="s">
        <v>27</v>
      </c>
      <c r="G5226" s="30" t="s">
        <v>50</v>
      </c>
      <c r="H5226" s="32">
        <v>24</v>
      </c>
      <c r="I5226" s="30" t="s">
        <v>51</v>
      </c>
      <c r="J5226" s="41">
        <v>44561</v>
      </c>
      <c r="K5226" s="30" t="s">
        <v>22</v>
      </c>
    </row>
    <row r="5227" spans="1:11">
      <c r="A5227" s="33" t="s">
        <v>12380</v>
      </c>
      <c r="B5227" s="33" t="s">
        <v>12381</v>
      </c>
      <c r="C5227" s="33" t="s">
        <v>426</v>
      </c>
      <c r="D5227" s="33" t="s">
        <v>17</v>
      </c>
      <c r="E5227" s="33" t="s">
        <v>31</v>
      </c>
      <c r="F5227" s="33" t="s">
        <v>32</v>
      </c>
      <c r="G5227" s="33" t="s">
        <v>140</v>
      </c>
      <c r="H5227" s="35">
        <v>75</v>
      </c>
      <c r="I5227" s="33" t="s">
        <v>51</v>
      </c>
      <c r="J5227" s="42">
        <v>44558</v>
      </c>
      <c r="K5227" s="33" t="s">
        <v>22</v>
      </c>
    </row>
    <row r="5228" spans="1:11">
      <c r="A5228" s="30" t="s">
        <v>12382</v>
      </c>
      <c r="B5228" s="30" t="s">
        <v>12383</v>
      </c>
      <c r="C5228" s="30" t="s">
        <v>6585</v>
      </c>
      <c r="D5228" s="30" t="s">
        <v>17</v>
      </c>
      <c r="E5228" s="30" t="s">
        <v>26</v>
      </c>
      <c r="F5228" s="30" t="s">
        <v>27</v>
      </c>
      <c r="G5228" s="30" t="s">
        <v>106</v>
      </c>
      <c r="H5228" s="32">
        <v>30</v>
      </c>
      <c r="I5228" s="30" t="s">
        <v>21</v>
      </c>
      <c r="J5228" s="41">
        <v>44245</v>
      </c>
      <c r="K5228" s="30" t="s">
        <v>22</v>
      </c>
    </row>
    <row r="5229" spans="1:11">
      <c r="A5229" s="33" t="s">
        <v>12384</v>
      </c>
      <c r="B5229" s="33" t="s">
        <v>12385</v>
      </c>
      <c r="C5229" s="33" t="s">
        <v>787</v>
      </c>
      <c r="D5229" s="33" t="s">
        <v>17</v>
      </c>
      <c r="E5229" s="33" t="s">
        <v>31</v>
      </c>
      <c r="F5229" s="33" t="s">
        <v>32</v>
      </c>
      <c r="G5229" s="33" t="s">
        <v>140</v>
      </c>
      <c r="H5229" s="35">
        <v>50</v>
      </c>
      <c r="I5229" s="33" t="s">
        <v>51</v>
      </c>
      <c r="J5229" s="42">
        <v>44445</v>
      </c>
      <c r="K5229" s="33" t="s">
        <v>22</v>
      </c>
    </row>
    <row r="5230" spans="1:11">
      <c r="A5230" s="30" t="s">
        <v>12386</v>
      </c>
      <c r="B5230" s="30" t="s">
        <v>12387</v>
      </c>
      <c r="C5230" s="30" t="s">
        <v>12388</v>
      </c>
      <c r="D5230" s="30" t="s">
        <v>17</v>
      </c>
      <c r="E5230" s="30" t="s">
        <v>31</v>
      </c>
      <c r="F5230" s="30" t="s">
        <v>32</v>
      </c>
      <c r="G5230" s="30" t="s">
        <v>50</v>
      </c>
      <c r="H5230" s="32">
        <v>43</v>
      </c>
      <c r="I5230" s="30" t="s">
        <v>21</v>
      </c>
      <c r="J5230" s="41">
        <v>44439</v>
      </c>
      <c r="K5230" s="30" t="s">
        <v>22</v>
      </c>
    </row>
    <row r="5231" spans="1:11">
      <c r="A5231" s="33" t="s">
        <v>12389</v>
      </c>
      <c r="B5231" s="33" t="s">
        <v>12390</v>
      </c>
      <c r="C5231" s="33" t="s">
        <v>10425</v>
      </c>
      <c r="D5231" s="33" t="s">
        <v>17</v>
      </c>
      <c r="E5231" s="33" t="s">
        <v>31</v>
      </c>
      <c r="F5231" s="33" t="s">
        <v>32</v>
      </c>
      <c r="G5231" s="33" t="s">
        <v>20</v>
      </c>
      <c r="H5231" s="35">
        <v>5</v>
      </c>
      <c r="I5231" s="33" t="s">
        <v>21</v>
      </c>
      <c r="J5231" s="42">
        <v>44251</v>
      </c>
      <c r="K5231" s="33" t="s">
        <v>22</v>
      </c>
    </row>
    <row r="5232" spans="1:11">
      <c r="A5232" s="30" t="s">
        <v>12391</v>
      </c>
      <c r="B5232" s="30" t="s">
        <v>12392</v>
      </c>
      <c r="C5232" s="30" t="s">
        <v>1801</v>
      </c>
      <c r="D5232" s="30" t="s">
        <v>17</v>
      </c>
      <c r="E5232" s="30" t="s">
        <v>31</v>
      </c>
      <c r="F5232" s="30" t="s">
        <v>32</v>
      </c>
      <c r="G5232" s="30" t="s">
        <v>106</v>
      </c>
      <c r="H5232" s="32">
        <v>86</v>
      </c>
      <c r="I5232" s="30" t="s">
        <v>21</v>
      </c>
      <c r="J5232" s="41">
        <v>44552</v>
      </c>
      <c r="K5232" s="30" t="s">
        <v>22</v>
      </c>
    </row>
    <row r="5233" spans="1:11">
      <c r="A5233" s="33" t="s">
        <v>12393</v>
      </c>
      <c r="B5233" s="33" t="s">
        <v>12394</v>
      </c>
      <c r="C5233" s="33" t="s">
        <v>96</v>
      </c>
      <c r="D5233" s="33" t="s">
        <v>17</v>
      </c>
      <c r="E5233" s="33" t="s">
        <v>26</v>
      </c>
      <c r="F5233" s="33" t="s">
        <v>27</v>
      </c>
      <c r="G5233" s="33" t="s">
        <v>20</v>
      </c>
      <c r="H5233" s="35">
        <v>24</v>
      </c>
      <c r="I5233" s="33" t="s">
        <v>21</v>
      </c>
      <c r="J5233" s="42">
        <v>44460</v>
      </c>
      <c r="K5233" s="33" t="s">
        <v>22</v>
      </c>
    </row>
    <row r="5234" spans="1:11">
      <c r="A5234" s="30" t="s">
        <v>12395</v>
      </c>
      <c r="B5234" s="30" t="s">
        <v>12396</v>
      </c>
      <c r="C5234" s="30" t="s">
        <v>4668</v>
      </c>
      <c r="D5234" s="30" t="s">
        <v>17</v>
      </c>
      <c r="E5234" s="30" t="s">
        <v>26</v>
      </c>
      <c r="F5234" s="30" t="s">
        <v>27</v>
      </c>
      <c r="G5234" s="30" t="s">
        <v>20</v>
      </c>
      <c r="H5234" s="32">
        <v>64</v>
      </c>
      <c r="I5234" s="30" t="s">
        <v>21</v>
      </c>
      <c r="J5234" s="41">
        <v>44197</v>
      </c>
      <c r="K5234" s="30" t="s">
        <v>22</v>
      </c>
    </row>
    <row r="5235" spans="1:11">
      <c r="A5235" s="33" t="s">
        <v>12397</v>
      </c>
      <c r="B5235" s="33" t="s">
        <v>12398</v>
      </c>
      <c r="C5235" s="33" t="s">
        <v>1504</v>
      </c>
      <c r="D5235" s="33" t="s">
        <v>17</v>
      </c>
      <c r="E5235" s="33" t="s">
        <v>26</v>
      </c>
      <c r="F5235" s="33" t="s">
        <v>27</v>
      </c>
      <c r="G5235" s="33" t="s">
        <v>20</v>
      </c>
      <c r="H5235" s="35">
        <v>42</v>
      </c>
      <c r="I5235" s="33" t="s">
        <v>21</v>
      </c>
      <c r="J5235" s="42">
        <v>44302</v>
      </c>
      <c r="K5235" s="33" t="s">
        <v>22</v>
      </c>
    </row>
    <row r="5236" spans="1:11">
      <c r="A5236" s="30" t="s">
        <v>12399</v>
      </c>
      <c r="B5236" s="30" t="s">
        <v>12400</v>
      </c>
      <c r="C5236" s="30" t="s">
        <v>10288</v>
      </c>
      <c r="D5236" s="30" t="s">
        <v>17</v>
      </c>
      <c r="E5236" s="30" t="s">
        <v>31</v>
      </c>
      <c r="F5236" s="30" t="s">
        <v>32</v>
      </c>
      <c r="G5236" s="30" t="s">
        <v>50</v>
      </c>
      <c r="H5236" s="32">
        <v>528</v>
      </c>
      <c r="I5236" s="30" t="s">
        <v>21</v>
      </c>
      <c r="J5236" s="41">
        <v>44408</v>
      </c>
      <c r="K5236" s="30" t="s">
        <v>22</v>
      </c>
    </row>
    <row r="5237" spans="1:11">
      <c r="A5237" s="33" t="s">
        <v>12401</v>
      </c>
      <c r="B5237" s="33" t="s">
        <v>12402</v>
      </c>
      <c r="C5237" s="33" t="s">
        <v>4817</v>
      </c>
      <c r="D5237" s="33" t="s">
        <v>17</v>
      </c>
      <c r="E5237" s="33" t="s">
        <v>26</v>
      </c>
      <c r="F5237" s="33" t="s">
        <v>27</v>
      </c>
      <c r="G5237" s="33" t="s">
        <v>50</v>
      </c>
      <c r="H5237" s="35">
        <v>63</v>
      </c>
      <c r="I5237" s="33" t="s">
        <v>51</v>
      </c>
      <c r="J5237" s="42">
        <v>44350</v>
      </c>
      <c r="K5237" s="33" t="s">
        <v>22</v>
      </c>
    </row>
    <row r="5238" spans="1:11">
      <c r="A5238" s="30" t="s">
        <v>12403</v>
      </c>
      <c r="B5238" s="30" t="s">
        <v>12404</v>
      </c>
      <c r="C5238" s="30" t="s">
        <v>310</v>
      </c>
      <c r="D5238" s="30" t="s">
        <v>17</v>
      </c>
      <c r="E5238" s="30" t="s">
        <v>18</v>
      </c>
      <c r="F5238" s="30" t="s">
        <v>19</v>
      </c>
      <c r="G5238" s="30" t="s">
        <v>158</v>
      </c>
      <c r="H5238" s="32">
        <v>1205</v>
      </c>
      <c r="I5238" s="30" t="s">
        <v>21</v>
      </c>
      <c r="J5238" s="41">
        <v>44287</v>
      </c>
      <c r="K5238" s="30" t="s">
        <v>22</v>
      </c>
    </row>
    <row r="5239" spans="1:11">
      <c r="A5239" s="33" t="s">
        <v>12405</v>
      </c>
      <c r="B5239" s="33" t="s">
        <v>12406</v>
      </c>
      <c r="C5239" s="33" t="s">
        <v>2562</v>
      </c>
      <c r="D5239" s="33" t="s">
        <v>17</v>
      </c>
      <c r="E5239" s="33" t="s">
        <v>31</v>
      </c>
      <c r="F5239" s="33" t="s">
        <v>32</v>
      </c>
      <c r="G5239" s="33" t="s">
        <v>20</v>
      </c>
      <c r="H5239" s="35">
        <v>120</v>
      </c>
      <c r="I5239" s="33" t="s">
        <v>21</v>
      </c>
      <c r="J5239" s="42">
        <v>44251</v>
      </c>
      <c r="K5239" s="33" t="s">
        <v>22</v>
      </c>
    </row>
    <row r="5240" spans="1:11">
      <c r="A5240" s="30" t="s">
        <v>12407</v>
      </c>
      <c r="B5240" s="30" t="s">
        <v>12408</v>
      </c>
      <c r="C5240" s="30" t="s">
        <v>149</v>
      </c>
      <c r="D5240" s="30" t="s">
        <v>17</v>
      </c>
      <c r="E5240" s="30" t="s">
        <v>18</v>
      </c>
      <c r="F5240" s="30" t="s">
        <v>19</v>
      </c>
      <c r="G5240" s="30" t="s">
        <v>20</v>
      </c>
      <c r="H5240" s="32">
        <v>528</v>
      </c>
      <c r="I5240" s="30" t="s">
        <v>21</v>
      </c>
      <c r="J5240" s="41">
        <v>44258</v>
      </c>
      <c r="K5240" s="30" t="s">
        <v>22</v>
      </c>
    </row>
    <row r="5241" spans="1:11">
      <c r="A5241" s="33" t="s">
        <v>12409</v>
      </c>
      <c r="B5241" s="33" t="s">
        <v>12410</v>
      </c>
      <c r="C5241" s="33" t="s">
        <v>99</v>
      </c>
      <c r="D5241" s="33" t="s">
        <v>17</v>
      </c>
      <c r="E5241" s="33" t="s">
        <v>18</v>
      </c>
      <c r="F5241" s="33" t="s">
        <v>19</v>
      </c>
      <c r="G5241" s="33" t="s">
        <v>20</v>
      </c>
      <c r="H5241" s="35">
        <v>499</v>
      </c>
      <c r="I5241" s="33" t="s">
        <v>21</v>
      </c>
      <c r="J5241" s="42">
        <v>44315</v>
      </c>
      <c r="K5241" s="33" t="s">
        <v>22</v>
      </c>
    </row>
    <row r="5242" spans="1:11">
      <c r="A5242" s="30" t="s">
        <v>12411</v>
      </c>
      <c r="B5242" s="30" t="s">
        <v>12412</v>
      </c>
      <c r="C5242" s="30" t="s">
        <v>12413</v>
      </c>
      <c r="D5242" s="30" t="s">
        <v>17</v>
      </c>
      <c r="E5242" s="30" t="s">
        <v>31</v>
      </c>
      <c r="F5242" s="30" t="s">
        <v>32</v>
      </c>
      <c r="G5242" s="30" t="s">
        <v>112</v>
      </c>
      <c r="H5242" s="32">
        <v>0</v>
      </c>
      <c r="I5242" s="30" t="s">
        <v>21</v>
      </c>
      <c r="J5242" s="41">
        <v>44352</v>
      </c>
      <c r="K5242" s="30" t="s">
        <v>22</v>
      </c>
    </row>
    <row r="5243" spans="1:11">
      <c r="A5243" s="33" t="s">
        <v>12414</v>
      </c>
      <c r="B5243" s="33" t="s">
        <v>12415</v>
      </c>
      <c r="C5243" s="33" t="s">
        <v>252</v>
      </c>
      <c r="D5243" s="33" t="s">
        <v>17</v>
      </c>
      <c r="E5243" s="33" t="s">
        <v>26</v>
      </c>
      <c r="F5243" s="33" t="s">
        <v>27</v>
      </c>
      <c r="G5243" s="33" t="s">
        <v>20</v>
      </c>
      <c r="H5243" s="35">
        <v>35</v>
      </c>
      <c r="I5243" s="33" t="s">
        <v>21</v>
      </c>
      <c r="J5243" s="42">
        <v>44284</v>
      </c>
      <c r="K5243" s="33" t="s">
        <v>22</v>
      </c>
    </row>
    <row r="5244" spans="1:11">
      <c r="A5244" s="30" t="s">
        <v>12416</v>
      </c>
      <c r="B5244" s="30" t="s">
        <v>12417</v>
      </c>
      <c r="C5244" s="30" t="s">
        <v>1191</v>
      </c>
      <c r="D5244" s="30" t="s">
        <v>17</v>
      </c>
      <c r="E5244" s="30" t="s">
        <v>212</v>
      </c>
      <c r="F5244" s="30" t="s">
        <v>213</v>
      </c>
      <c r="G5244" s="30" t="s">
        <v>50</v>
      </c>
      <c r="H5244" s="32">
        <v>1440</v>
      </c>
      <c r="I5244" s="30" t="s">
        <v>51</v>
      </c>
      <c r="J5244" s="41">
        <v>44470</v>
      </c>
      <c r="K5244" s="30" t="s">
        <v>22</v>
      </c>
    </row>
    <row r="5245" spans="1:11">
      <c r="A5245" s="33" t="s">
        <v>12418</v>
      </c>
      <c r="B5245" s="33" t="s">
        <v>12419</v>
      </c>
      <c r="C5245" s="33" t="s">
        <v>371</v>
      </c>
      <c r="D5245" s="33" t="s">
        <v>17</v>
      </c>
      <c r="E5245" s="33" t="s">
        <v>26</v>
      </c>
      <c r="F5245" s="33" t="s">
        <v>27</v>
      </c>
      <c r="G5245" s="33" t="s">
        <v>106</v>
      </c>
      <c r="H5245" s="35">
        <v>61</v>
      </c>
      <c r="I5245" s="33" t="s">
        <v>21</v>
      </c>
      <c r="J5245" s="42">
        <v>44469</v>
      </c>
      <c r="K5245" s="33" t="s">
        <v>22</v>
      </c>
    </row>
    <row r="5246" spans="1:11">
      <c r="A5246" s="30" t="s">
        <v>12420</v>
      </c>
      <c r="B5246" s="30" t="s">
        <v>12421</v>
      </c>
      <c r="C5246" s="30" t="s">
        <v>10031</v>
      </c>
      <c r="D5246" s="30" t="s">
        <v>17</v>
      </c>
      <c r="E5246" s="30" t="s">
        <v>67</v>
      </c>
      <c r="F5246" s="30" t="s">
        <v>68</v>
      </c>
      <c r="G5246" s="30" t="s">
        <v>140</v>
      </c>
      <c r="H5246" s="32">
        <v>32</v>
      </c>
      <c r="I5246" s="30" t="s">
        <v>51</v>
      </c>
      <c r="J5246" s="41">
        <v>44377</v>
      </c>
      <c r="K5246" s="30" t="s">
        <v>22</v>
      </c>
    </row>
    <row r="5247" spans="1:11">
      <c r="A5247" s="33" t="s">
        <v>12422</v>
      </c>
      <c r="B5247" s="33" t="s">
        <v>12423</v>
      </c>
      <c r="C5247" s="33" t="s">
        <v>4105</v>
      </c>
      <c r="D5247" s="33" t="s">
        <v>17</v>
      </c>
      <c r="E5247" s="33" t="s">
        <v>31</v>
      </c>
      <c r="F5247" s="33" t="s">
        <v>32</v>
      </c>
      <c r="G5247" s="33" t="s">
        <v>20</v>
      </c>
      <c r="H5247" s="35">
        <v>7</v>
      </c>
      <c r="I5247" s="33" t="s">
        <v>21</v>
      </c>
      <c r="J5247" s="42">
        <v>44256</v>
      </c>
      <c r="K5247" s="33" t="s">
        <v>22</v>
      </c>
    </row>
    <row r="5248" spans="1:11">
      <c r="A5248" s="30" t="s">
        <v>12424</v>
      </c>
      <c r="B5248" s="30" t="s">
        <v>12425</v>
      </c>
      <c r="C5248" s="30" t="s">
        <v>12426</v>
      </c>
      <c r="D5248" s="30" t="s">
        <v>17</v>
      </c>
      <c r="E5248" s="30" t="s">
        <v>26</v>
      </c>
      <c r="F5248" s="30" t="s">
        <v>27</v>
      </c>
      <c r="G5248" s="30" t="s">
        <v>106</v>
      </c>
      <c r="H5248" s="32">
        <v>8</v>
      </c>
      <c r="I5248" s="30" t="s">
        <v>21</v>
      </c>
      <c r="J5248" s="41">
        <v>44425</v>
      </c>
      <c r="K5248" s="30" t="s">
        <v>22</v>
      </c>
    </row>
    <row r="5249" spans="1:11">
      <c r="A5249" s="33" t="s">
        <v>12427</v>
      </c>
      <c r="B5249" s="33" t="s">
        <v>12428</v>
      </c>
      <c r="C5249" s="33" t="s">
        <v>7449</v>
      </c>
      <c r="D5249" s="33" t="s">
        <v>17</v>
      </c>
      <c r="E5249" s="33" t="s">
        <v>26</v>
      </c>
      <c r="F5249" s="33" t="s">
        <v>27</v>
      </c>
      <c r="G5249" s="33" t="s">
        <v>106</v>
      </c>
      <c r="H5249" s="35">
        <v>15</v>
      </c>
      <c r="I5249" s="33" t="s">
        <v>21</v>
      </c>
      <c r="J5249" s="42">
        <v>44396</v>
      </c>
      <c r="K5249" s="33" t="s">
        <v>22</v>
      </c>
    </row>
    <row r="5250" spans="1:11">
      <c r="A5250" s="30" t="s">
        <v>12429</v>
      </c>
      <c r="B5250" s="30" t="s">
        <v>12430</v>
      </c>
      <c r="C5250" s="30" t="s">
        <v>12431</v>
      </c>
      <c r="D5250" s="30" t="s">
        <v>17</v>
      </c>
      <c r="E5250" s="30" t="s">
        <v>26</v>
      </c>
      <c r="F5250" s="30" t="s">
        <v>27</v>
      </c>
      <c r="G5250" s="30" t="s">
        <v>50</v>
      </c>
      <c r="H5250" s="32">
        <v>20</v>
      </c>
      <c r="I5250" s="30" t="s">
        <v>51</v>
      </c>
      <c r="J5250" s="41">
        <v>44209</v>
      </c>
      <c r="K5250" s="30" t="s">
        <v>22</v>
      </c>
    </row>
    <row r="5251" spans="1:11">
      <c r="A5251" s="33" t="s">
        <v>12432</v>
      </c>
      <c r="B5251" s="33" t="s">
        <v>12433</v>
      </c>
      <c r="C5251" s="33" t="s">
        <v>2403</v>
      </c>
      <c r="D5251" s="33" t="s">
        <v>17</v>
      </c>
      <c r="E5251" s="33" t="s">
        <v>18</v>
      </c>
      <c r="F5251" s="33" t="s">
        <v>19</v>
      </c>
      <c r="G5251" s="33" t="s">
        <v>20</v>
      </c>
      <c r="H5251" s="35">
        <v>59</v>
      </c>
      <c r="I5251" s="33" t="s">
        <v>21</v>
      </c>
      <c r="J5251" s="42">
        <v>44281</v>
      </c>
      <c r="K5251" s="33" t="s">
        <v>22</v>
      </c>
    </row>
    <row r="5252" spans="1:11">
      <c r="A5252" s="30" t="s">
        <v>12434</v>
      </c>
      <c r="B5252" s="30" t="s">
        <v>12435</v>
      </c>
      <c r="C5252" s="30" t="s">
        <v>969</v>
      </c>
      <c r="D5252" s="30" t="s">
        <v>17</v>
      </c>
      <c r="E5252" s="30" t="s">
        <v>212</v>
      </c>
      <c r="F5252" s="30" t="s">
        <v>213</v>
      </c>
      <c r="G5252" s="30" t="s">
        <v>20</v>
      </c>
      <c r="H5252" s="32">
        <v>6138</v>
      </c>
      <c r="I5252" s="30" t="s">
        <v>21</v>
      </c>
      <c r="J5252" s="41">
        <v>44330</v>
      </c>
      <c r="K5252" s="30" t="s">
        <v>22</v>
      </c>
    </row>
    <row r="5253" spans="1:11">
      <c r="A5253" s="33" t="s">
        <v>12436</v>
      </c>
      <c r="B5253" s="33" t="s">
        <v>12437</v>
      </c>
      <c r="C5253" s="33" t="s">
        <v>118</v>
      </c>
      <c r="D5253" s="33" t="s">
        <v>17</v>
      </c>
      <c r="E5253" s="33" t="s">
        <v>26</v>
      </c>
      <c r="F5253" s="33" t="s">
        <v>27</v>
      </c>
      <c r="G5253" s="33" t="s">
        <v>20</v>
      </c>
      <c r="H5253" s="35">
        <v>52</v>
      </c>
      <c r="I5253" s="33" t="s">
        <v>21</v>
      </c>
      <c r="J5253" s="42">
        <v>44243</v>
      </c>
      <c r="K5253" s="33" t="s">
        <v>22</v>
      </c>
    </row>
    <row r="5254" spans="1:11">
      <c r="A5254" s="30" t="s">
        <v>12438</v>
      </c>
      <c r="B5254" s="30" t="s">
        <v>12439</v>
      </c>
      <c r="C5254" s="30" t="s">
        <v>12440</v>
      </c>
      <c r="D5254" s="30" t="s">
        <v>17</v>
      </c>
      <c r="E5254" s="30" t="s">
        <v>67</v>
      </c>
      <c r="F5254" s="30" t="s">
        <v>68</v>
      </c>
      <c r="G5254" s="30" t="s">
        <v>20</v>
      </c>
      <c r="H5254" s="32">
        <v>125</v>
      </c>
      <c r="I5254" s="30" t="s">
        <v>21</v>
      </c>
      <c r="J5254" s="41">
        <v>44452</v>
      </c>
      <c r="K5254" s="30" t="s">
        <v>22</v>
      </c>
    </row>
    <row r="5255" spans="1:11">
      <c r="A5255" s="33" t="s">
        <v>12441</v>
      </c>
      <c r="B5255" s="33" t="s">
        <v>12442</v>
      </c>
      <c r="C5255" s="33" t="s">
        <v>12443</v>
      </c>
      <c r="D5255" s="33" t="s">
        <v>17</v>
      </c>
      <c r="E5255" s="33" t="s">
        <v>45</v>
      </c>
      <c r="F5255" s="33" t="s">
        <v>46</v>
      </c>
      <c r="G5255" s="33" t="s">
        <v>106</v>
      </c>
      <c r="H5255" s="35">
        <v>190</v>
      </c>
      <c r="I5255" s="33" t="s">
        <v>21</v>
      </c>
      <c r="J5255" s="42">
        <v>44238</v>
      </c>
      <c r="K5255" s="33" t="s">
        <v>22</v>
      </c>
    </row>
    <row r="5256" spans="1:11">
      <c r="A5256" s="30" t="s">
        <v>12444</v>
      </c>
      <c r="B5256" s="30" t="s">
        <v>12445</v>
      </c>
      <c r="C5256" s="30" t="s">
        <v>12446</v>
      </c>
      <c r="D5256" s="30" t="s">
        <v>17</v>
      </c>
      <c r="E5256" s="30" t="s">
        <v>18</v>
      </c>
      <c r="F5256" s="30" t="s">
        <v>19</v>
      </c>
      <c r="G5256" s="30" t="s">
        <v>106</v>
      </c>
      <c r="H5256" s="32">
        <v>366</v>
      </c>
      <c r="I5256" s="30" t="s">
        <v>21</v>
      </c>
      <c r="J5256" s="41">
        <v>44308</v>
      </c>
      <c r="K5256" s="30" t="s">
        <v>22</v>
      </c>
    </row>
    <row r="5257" spans="1:11">
      <c r="A5257" s="33" t="s">
        <v>12447</v>
      </c>
      <c r="B5257" s="33" t="s">
        <v>12448</v>
      </c>
      <c r="C5257" s="33" t="s">
        <v>5600</v>
      </c>
      <c r="D5257" s="33" t="s">
        <v>17</v>
      </c>
      <c r="E5257" s="33" t="s">
        <v>26</v>
      </c>
      <c r="F5257" s="33" t="s">
        <v>27</v>
      </c>
      <c r="G5257" s="33" t="s">
        <v>20</v>
      </c>
      <c r="H5257" s="35">
        <v>106</v>
      </c>
      <c r="I5257" s="33" t="s">
        <v>21</v>
      </c>
      <c r="J5257" s="42">
        <v>44379</v>
      </c>
      <c r="K5257" s="33" t="s">
        <v>22</v>
      </c>
    </row>
    <row r="5258" spans="1:11">
      <c r="A5258" s="30" t="s">
        <v>12449</v>
      </c>
      <c r="B5258" s="30" t="s">
        <v>12450</v>
      </c>
      <c r="C5258" s="30" t="s">
        <v>3917</v>
      </c>
      <c r="D5258" s="30" t="s">
        <v>17</v>
      </c>
      <c r="E5258" s="30" t="s">
        <v>31</v>
      </c>
      <c r="F5258" s="30" t="s">
        <v>32</v>
      </c>
      <c r="G5258" s="30" t="s">
        <v>140</v>
      </c>
      <c r="H5258" s="32">
        <v>296</v>
      </c>
      <c r="I5258" s="30" t="s">
        <v>51</v>
      </c>
      <c r="J5258" s="41">
        <v>44259</v>
      </c>
      <c r="K5258" s="30" t="s">
        <v>22</v>
      </c>
    </row>
    <row r="5259" spans="1:11">
      <c r="A5259" s="33" t="s">
        <v>12451</v>
      </c>
      <c r="B5259" s="33" t="s">
        <v>12452</v>
      </c>
      <c r="C5259" s="33" t="s">
        <v>93</v>
      </c>
      <c r="D5259" s="33" t="s">
        <v>17</v>
      </c>
      <c r="E5259" s="33" t="s">
        <v>31</v>
      </c>
      <c r="F5259" s="33" t="s">
        <v>32</v>
      </c>
      <c r="G5259" s="33" t="s">
        <v>106</v>
      </c>
      <c r="H5259" s="35">
        <v>181</v>
      </c>
      <c r="I5259" s="33" t="s">
        <v>21</v>
      </c>
      <c r="J5259" s="42">
        <v>44448</v>
      </c>
      <c r="K5259" s="33" t="s">
        <v>22</v>
      </c>
    </row>
    <row r="5260" spans="1:11">
      <c r="A5260" s="30" t="s">
        <v>12453</v>
      </c>
      <c r="B5260" s="30" t="s">
        <v>12454</v>
      </c>
      <c r="C5260" s="30" t="s">
        <v>12455</v>
      </c>
      <c r="D5260" s="30" t="s">
        <v>17</v>
      </c>
      <c r="E5260" s="30" t="s">
        <v>31</v>
      </c>
      <c r="F5260" s="30" t="s">
        <v>32</v>
      </c>
      <c r="G5260" s="30" t="s">
        <v>20</v>
      </c>
      <c r="H5260" s="32">
        <v>211</v>
      </c>
      <c r="I5260" s="30" t="s">
        <v>21</v>
      </c>
      <c r="J5260" s="41">
        <v>44281</v>
      </c>
      <c r="K5260" s="30" t="s">
        <v>22</v>
      </c>
    </row>
    <row r="5261" spans="1:11">
      <c r="A5261" s="33" t="s">
        <v>12456</v>
      </c>
      <c r="B5261" s="33" t="s">
        <v>12457</v>
      </c>
      <c r="C5261" s="33" t="s">
        <v>12458</v>
      </c>
      <c r="D5261" s="33" t="s">
        <v>17</v>
      </c>
      <c r="E5261" s="33" t="s">
        <v>26</v>
      </c>
      <c r="F5261" s="33" t="s">
        <v>27</v>
      </c>
      <c r="G5261" s="33" t="s">
        <v>20</v>
      </c>
      <c r="H5261" s="35">
        <v>36</v>
      </c>
      <c r="I5261" s="33" t="s">
        <v>21</v>
      </c>
      <c r="J5261" s="42">
        <v>44483</v>
      </c>
      <c r="K5261" s="33" t="s">
        <v>22</v>
      </c>
    </row>
    <row r="5262" spans="1:11">
      <c r="A5262" s="30" t="s">
        <v>12459</v>
      </c>
      <c r="B5262" s="30" t="s">
        <v>12460</v>
      </c>
      <c r="C5262" s="30" t="s">
        <v>12461</v>
      </c>
      <c r="D5262" s="30" t="s">
        <v>17</v>
      </c>
      <c r="E5262" s="30" t="s">
        <v>26</v>
      </c>
      <c r="F5262" s="30" t="s">
        <v>27</v>
      </c>
      <c r="G5262" s="30" t="s">
        <v>106</v>
      </c>
      <c r="H5262" s="32">
        <v>72</v>
      </c>
      <c r="I5262" s="30" t="s">
        <v>21</v>
      </c>
      <c r="J5262" s="41">
        <v>44292</v>
      </c>
      <c r="K5262" s="30" t="s">
        <v>22</v>
      </c>
    </row>
    <row r="5263" spans="1:11">
      <c r="A5263" s="33" t="s">
        <v>12462</v>
      </c>
      <c r="B5263" s="33" t="s">
        <v>12463</v>
      </c>
      <c r="C5263" s="33" t="s">
        <v>12464</v>
      </c>
      <c r="D5263" s="33" t="s">
        <v>17</v>
      </c>
      <c r="E5263" s="33" t="s">
        <v>31</v>
      </c>
      <c r="F5263" s="33" t="s">
        <v>32</v>
      </c>
      <c r="G5263" s="33" t="s">
        <v>20</v>
      </c>
      <c r="H5263" s="35">
        <v>35</v>
      </c>
      <c r="I5263" s="33" t="s">
        <v>21</v>
      </c>
      <c r="J5263" s="42">
        <v>44250</v>
      </c>
      <c r="K5263" s="33" t="s">
        <v>22</v>
      </c>
    </row>
    <row r="5264" spans="1:11">
      <c r="A5264" s="30" t="s">
        <v>12465</v>
      </c>
      <c r="B5264" s="30" t="s">
        <v>12466</v>
      </c>
      <c r="C5264" s="30" t="s">
        <v>203</v>
      </c>
      <c r="D5264" s="30" t="s">
        <v>17</v>
      </c>
      <c r="E5264" s="30" t="s">
        <v>31</v>
      </c>
      <c r="F5264" s="30" t="s">
        <v>32</v>
      </c>
      <c r="G5264" s="30" t="s">
        <v>106</v>
      </c>
      <c r="H5264" s="32">
        <v>59</v>
      </c>
      <c r="I5264" s="30" t="s">
        <v>21</v>
      </c>
      <c r="J5264" s="41">
        <v>44477</v>
      </c>
      <c r="K5264" s="30" t="s">
        <v>22</v>
      </c>
    </row>
    <row r="5265" spans="1:11">
      <c r="A5265" s="33" t="s">
        <v>12467</v>
      </c>
      <c r="B5265" s="33" t="s">
        <v>12468</v>
      </c>
      <c r="C5265" s="33" t="s">
        <v>12469</v>
      </c>
      <c r="D5265" s="33" t="s">
        <v>17</v>
      </c>
      <c r="E5265" s="33" t="s">
        <v>31</v>
      </c>
      <c r="F5265" s="33" t="s">
        <v>32</v>
      </c>
      <c r="G5265" s="33" t="s">
        <v>20</v>
      </c>
      <c r="H5265" s="35">
        <v>100</v>
      </c>
      <c r="I5265" s="33" t="s">
        <v>21</v>
      </c>
      <c r="J5265" s="42">
        <v>44287</v>
      </c>
      <c r="K5265" s="33" t="s">
        <v>22</v>
      </c>
    </row>
    <row r="5266" spans="1:11">
      <c r="A5266" s="30" t="s">
        <v>12470</v>
      </c>
      <c r="B5266" s="30" t="s">
        <v>12471</v>
      </c>
      <c r="C5266" s="30" t="s">
        <v>203</v>
      </c>
      <c r="D5266" s="30" t="s">
        <v>17</v>
      </c>
      <c r="E5266" s="30" t="s">
        <v>26</v>
      </c>
      <c r="F5266" s="30" t="s">
        <v>27</v>
      </c>
      <c r="G5266" s="30" t="s">
        <v>20</v>
      </c>
      <c r="H5266" s="32">
        <v>13</v>
      </c>
      <c r="I5266" s="30" t="s">
        <v>21</v>
      </c>
      <c r="J5266" s="41">
        <v>44419</v>
      </c>
      <c r="K5266" s="30" t="s">
        <v>22</v>
      </c>
    </row>
    <row r="5267" spans="1:11">
      <c r="A5267" s="33" t="s">
        <v>12472</v>
      </c>
      <c r="B5267" s="33" t="s">
        <v>12473</v>
      </c>
      <c r="C5267" s="33" t="s">
        <v>12474</v>
      </c>
      <c r="D5267" s="33" t="s">
        <v>17</v>
      </c>
      <c r="E5267" s="33" t="s">
        <v>26</v>
      </c>
      <c r="F5267" s="33" t="s">
        <v>27</v>
      </c>
      <c r="G5267" s="33" t="s">
        <v>20</v>
      </c>
      <c r="H5267" s="35">
        <v>17</v>
      </c>
      <c r="I5267" s="33" t="s">
        <v>21</v>
      </c>
      <c r="J5267" s="42">
        <v>44277</v>
      </c>
      <c r="K5267" s="33" t="s">
        <v>22</v>
      </c>
    </row>
    <row r="5268" spans="1:11">
      <c r="A5268" s="30" t="s">
        <v>12475</v>
      </c>
      <c r="B5268" s="30" t="s">
        <v>12476</v>
      </c>
      <c r="C5268" s="30" t="s">
        <v>353</v>
      </c>
      <c r="D5268" s="30" t="s">
        <v>17</v>
      </c>
      <c r="E5268" s="30" t="s">
        <v>18</v>
      </c>
      <c r="F5268" s="30" t="s">
        <v>19</v>
      </c>
      <c r="G5268" s="30" t="s">
        <v>50</v>
      </c>
      <c r="H5268" s="32">
        <v>390</v>
      </c>
      <c r="I5268" s="30" t="s">
        <v>51</v>
      </c>
      <c r="J5268" s="41">
        <v>44323</v>
      </c>
      <c r="K5268" s="30" t="s">
        <v>22</v>
      </c>
    </row>
    <row r="5269" spans="1:11">
      <c r="A5269" s="33" t="s">
        <v>12477</v>
      </c>
      <c r="B5269" s="33" t="s">
        <v>12478</v>
      </c>
      <c r="C5269" s="33" t="s">
        <v>136</v>
      </c>
      <c r="D5269" s="33" t="s">
        <v>17</v>
      </c>
      <c r="E5269" s="33" t="s">
        <v>26</v>
      </c>
      <c r="F5269" s="33" t="s">
        <v>27</v>
      </c>
      <c r="G5269" s="33" t="s">
        <v>20</v>
      </c>
      <c r="H5269" s="35">
        <v>64</v>
      </c>
      <c r="I5269" s="33" t="s">
        <v>21</v>
      </c>
      <c r="J5269" s="42">
        <v>44340</v>
      </c>
      <c r="K5269" s="33" t="s">
        <v>22</v>
      </c>
    </row>
    <row r="5270" spans="1:11">
      <c r="A5270" s="30" t="s">
        <v>12479</v>
      </c>
      <c r="B5270" s="30" t="s">
        <v>12480</v>
      </c>
      <c r="C5270" s="30" t="s">
        <v>2334</v>
      </c>
      <c r="D5270" s="30" t="s">
        <v>17</v>
      </c>
      <c r="E5270" s="30" t="s">
        <v>31</v>
      </c>
      <c r="F5270" s="30" t="s">
        <v>32</v>
      </c>
      <c r="G5270" s="30" t="s">
        <v>2613</v>
      </c>
      <c r="H5270" s="32">
        <v>300</v>
      </c>
      <c r="I5270" s="30" t="s">
        <v>51</v>
      </c>
      <c r="J5270" s="41">
        <v>44536</v>
      </c>
      <c r="K5270" s="30" t="s">
        <v>22</v>
      </c>
    </row>
    <row r="5271" spans="1:11">
      <c r="A5271" s="33" t="s">
        <v>12481</v>
      </c>
      <c r="B5271" s="33" t="s">
        <v>12482</v>
      </c>
      <c r="C5271" s="33" t="s">
        <v>1778</v>
      </c>
      <c r="D5271" s="33" t="s">
        <v>17</v>
      </c>
      <c r="E5271" s="33" t="s">
        <v>26</v>
      </c>
      <c r="F5271" s="33" t="s">
        <v>27</v>
      </c>
      <c r="G5271" s="33" t="s">
        <v>20</v>
      </c>
      <c r="H5271" s="35">
        <v>59</v>
      </c>
      <c r="I5271" s="33" t="s">
        <v>21</v>
      </c>
      <c r="J5271" s="42">
        <v>44354</v>
      </c>
      <c r="K5271" s="33" t="s">
        <v>22</v>
      </c>
    </row>
    <row r="5272" spans="1:11">
      <c r="A5272" s="30" t="s">
        <v>12483</v>
      </c>
      <c r="B5272" s="30" t="s">
        <v>12484</v>
      </c>
      <c r="C5272" s="30" t="s">
        <v>136</v>
      </c>
      <c r="D5272" s="30" t="s">
        <v>17</v>
      </c>
      <c r="E5272" s="30" t="s">
        <v>26</v>
      </c>
      <c r="F5272" s="30" t="s">
        <v>27</v>
      </c>
      <c r="G5272" s="30" t="s">
        <v>20</v>
      </c>
      <c r="H5272" s="32">
        <v>94</v>
      </c>
      <c r="I5272" s="30" t="s">
        <v>21</v>
      </c>
      <c r="J5272" s="41">
        <v>44511</v>
      </c>
      <c r="K5272" s="30" t="s">
        <v>22</v>
      </c>
    </row>
    <row r="5273" spans="1:11">
      <c r="A5273" s="33" t="s">
        <v>12485</v>
      </c>
      <c r="B5273" s="33" t="s">
        <v>12486</v>
      </c>
      <c r="C5273" s="33" t="s">
        <v>9081</v>
      </c>
      <c r="D5273" s="33" t="s">
        <v>17</v>
      </c>
      <c r="E5273" s="33" t="s">
        <v>31</v>
      </c>
      <c r="F5273" s="33" t="s">
        <v>32</v>
      </c>
      <c r="G5273" s="33" t="s">
        <v>106</v>
      </c>
      <c r="H5273" s="35">
        <v>30</v>
      </c>
      <c r="I5273" s="33" t="s">
        <v>21</v>
      </c>
      <c r="J5273" s="42">
        <v>44286</v>
      </c>
      <c r="K5273" s="33" t="s">
        <v>22</v>
      </c>
    </row>
    <row r="5274" spans="1:11">
      <c r="A5274" s="30" t="s">
        <v>12487</v>
      </c>
      <c r="B5274" s="30" t="s">
        <v>12488</v>
      </c>
      <c r="C5274" s="30" t="s">
        <v>4671</v>
      </c>
      <c r="D5274" s="30" t="s">
        <v>17</v>
      </c>
      <c r="E5274" s="30" t="s">
        <v>31</v>
      </c>
      <c r="F5274" s="30" t="s">
        <v>32</v>
      </c>
      <c r="G5274" s="30" t="s">
        <v>20</v>
      </c>
      <c r="H5274" s="32">
        <v>80</v>
      </c>
      <c r="I5274" s="30" t="s">
        <v>21</v>
      </c>
      <c r="J5274" s="41">
        <v>44278</v>
      </c>
      <c r="K5274" s="30" t="s">
        <v>22</v>
      </c>
    </row>
    <row r="5275" spans="1:11">
      <c r="A5275" s="33" t="s">
        <v>12489</v>
      </c>
      <c r="B5275" s="33" t="s">
        <v>12490</v>
      </c>
      <c r="C5275" s="33" t="s">
        <v>9464</v>
      </c>
      <c r="D5275" s="33" t="s">
        <v>17</v>
      </c>
      <c r="E5275" s="33" t="s">
        <v>26</v>
      </c>
      <c r="F5275" s="33" t="s">
        <v>27</v>
      </c>
      <c r="G5275" s="33" t="s">
        <v>50</v>
      </c>
      <c r="H5275" s="35">
        <v>60</v>
      </c>
      <c r="I5275" s="33" t="s">
        <v>51</v>
      </c>
      <c r="J5275" s="42">
        <v>44378</v>
      </c>
      <c r="K5275" s="33" t="s">
        <v>22</v>
      </c>
    </row>
    <row r="5276" spans="1:11">
      <c r="A5276" s="30" t="s">
        <v>12491</v>
      </c>
      <c r="B5276" s="30" t="s">
        <v>12492</v>
      </c>
      <c r="C5276" s="30" t="s">
        <v>1151</v>
      </c>
      <c r="D5276" s="30" t="s">
        <v>17</v>
      </c>
      <c r="E5276" s="30" t="s">
        <v>31</v>
      </c>
      <c r="F5276" s="30" t="s">
        <v>32</v>
      </c>
      <c r="G5276" s="30" t="s">
        <v>20</v>
      </c>
      <c r="H5276" s="32">
        <v>229</v>
      </c>
      <c r="I5276" s="30" t="s">
        <v>21</v>
      </c>
      <c r="J5276" s="41">
        <v>44347</v>
      </c>
      <c r="K5276" s="30" t="s">
        <v>22</v>
      </c>
    </row>
    <row r="5277" spans="1:11">
      <c r="A5277" s="33" t="s">
        <v>12493</v>
      </c>
      <c r="B5277" s="33" t="s">
        <v>12494</v>
      </c>
      <c r="C5277" s="33" t="s">
        <v>629</v>
      </c>
      <c r="D5277" s="33" t="s">
        <v>17</v>
      </c>
      <c r="E5277" s="33" t="s">
        <v>18</v>
      </c>
      <c r="F5277" s="33" t="s">
        <v>19</v>
      </c>
      <c r="G5277" s="33" t="s">
        <v>20</v>
      </c>
      <c r="H5277" s="35">
        <v>204</v>
      </c>
      <c r="I5277" s="33" t="s">
        <v>21</v>
      </c>
      <c r="J5277" s="42">
        <v>44334</v>
      </c>
      <c r="K5277" s="33" t="s">
        <v>22</v>
      </c>
    </row>
    <row r="5278" spans="1:11">
      <c r="A5278" s="30" t="s">
        <v>12495</v>
      </c>
      <c r="B5278" s="30" t="s">
        <v>12496</v>
      </c>
      <c r="C5278" s="30" t="s">
        <v>12497</v>
      </c>
      <c r="D5278" s="30" t="s">
        <v>17</v>
      </c>
      <c r="E5278" s="30" t="s">
        <v>26</v>
      </c>
      <c r="F5278" s="30" t="s">
        <v>27</v>
      </c>
      <c r="G5278" s="30" t="s">
        <v>20</v>
      </c>
      <c r="H5278" s="32">
        <v>15</v>
      </c>
      <c r="I5278" s="30" t="s">
        <v>21</v>
      </c>
      <c r="J5278" s="41">
        <v>44228</v>
      </c>
      <c r="K5278" s="30" t="s">
        <v>22</v>
      </c>
    </row>
    <row r="5279" spans="1:11">
      <c r="A5279" s="33" t="s">
        <v>12498</v>
      </c>
      <c r="B5279" s="33" t="s">
        <v>12499</v>
      </c>
      <c r="C5279" s="33" t="s">
        <v>5229</v>
      </c>
      <c r="D5279" s="33" t="s">
        <v>17</v>
      </c>
      <c r="E5279" s="33" t="s">
        <v>26</v>
      </c>
      <c r="F5279" s="33" t="s">
        <v>27</v>
      </c>
      <c r="G5279" s="33" t="s">
        <v>20</v>
      </c>
      <c r="H5279" s="35">
        <v>11</v>
      </c>
      <c r="I5279" s="33" t="s">
        <v>21</v>
      </c>
      <c r="J5279" s="42">
        <v>44210</v>
      </c>
      <c r="K5279" s="33" t="s">
        <v>22</v>
      </c>
    </row>
    <row r="5280" spans="1:11">
      <c r="A5280" s="30" t="s">
        <v>12500</v>
      </c>
      <c r="B5280" s="30" t="s">
        <v>12501</v>
      </c>
      <c r="C5280" s="30" t="s">
        <v>149</v>
      </c>
      <c r="D5280" s="30" t="s">
        <v>17</v>
      </c>
      <c r="E5280" s="30" t="s">
        <v>18</v>
      </c>
      <c r="F5280" s="30" t="s">
        <v>19</v>
      </c>
      <c r="G5280" s="30" t="s">
        <v>50</v>
      </c>
      <c r="H5280" s="32">
        <v>486</v>
      </c>
      <c r="I5280" s="30" t="s">
        <v>51</v>
      </c>
      <c r="J5280" s="41">
        <v>44218</v>
      </c>
      <c r="K5280" s="30" t="s">
        <v>22</v>
      </c>
    </row>
    <row r="5281" spans="1:11">
      <c r="A5281" s="33" t="s">
        <v>12502</v>
      </c>
      <c r="B5281" s="33" t="s">
        <v>12503</v>
      </c>
      <c r="C5281" s="33" t="s">
        <v>12504</v>
      </c>
      <c r="D5281" s="33" t="s">
        <v>17</v>
      </c>
      <c r="E5281" s="33" t="s">
        <v>26</v>
      </c>
      <c r="F5281" s="33" t="s">
        <v>27</v>
      </c>
      <c r="G5281" s="33" t="s">
        <v>20</v>
      </c>
      <c r="H5281" s="35">
        <v>6</v>
      </c>
      <c r="I5281" s="33" t="s">
        <v>21</v>
      </c>
      <c r="J5281" s="42">
        <v>44201</v>
      </c>
      <c r="K5281" s="33" t="s">
        <v>22</v>
      </c>
    </row>
    <row r="5282" spans="1:11">
      <c r="A5282" s="30" t="s">
        <v>12505</v>
      </c>
      <c r="B5282" s="30" t="s">
        <v>12506</v>
      </c>
      <c r="C5282" s="30" t="s">
        <v>203</v>
      </c>
      <c r="D5282" s="30" t="s">
        <v>17</v>
      </c>
      <c r="E5282" s="30" t="s">
        <v>31</v>
      </c>
      <c r="F5282" s="30" t="s">
        <v>32</v>
      </c>
      <c r="G5282" s="30" t="s">
        <v>20</v>
      </c>
      <c r="H5282" s="32">
        <v>196</v>
      </c>
      <c r="I5282" s="30" t="s">
        <v>21</v>
      </c>
      <c r="J5282" s="41">
        <v>44542</v>
      </c>
      <c r="K5282" s="30" t="s">
        <v>22</v>
      </c>
    </row>
    <row r="5283" spans="1:11">
      <c r="A5283" s="33" t="s">
        <v>12507</v>
      </c>
      <c r="B5283" s="33" t="s">
        <v>12508</v>
      </c>
      <c r="C5283" s="33" t="s">
        <v>580</v>
      </c>
      <c r="D5283" s="33" t="s">
        <v>17</v>
      </c>
      <c r="E5283" s="33" t="s">
        <v>26</v>
      </c>
      <c r="F5283" s="33" t="s">
        <v>27</v>
      </c>
      <c r="G5283" s="33" t="s">
        <v>20</v>
      </c>
      <c r="H5283" s="35">
        <v>12</v>
      </c>
      <c r="I5283" s="33" t="s">
        <v>21</v>
      </c>
      <c r="J5283" s="42">
        <v>44225</v>
      </c>
      <c r="K5283" s="33" t="s">
        <v>22</v>
      </c>
    </row>
    <row r="5284" spans="1:11">
      <c r="A5284" s="30" t="s">
        <v>12509</v>
      </c>
      <c r="B5284" s="30" t="s">
        <v>12510</v>
      </c>
      <c r="C5284" s="30" t="s">
        <v>549</v>
      </c>
      <c r="D5284" s="30" t="s">
        <v>17</v>
      </c>
      <c r="E5284" s="30" t="s">
        <v>18</v>
      </c>
      <c r="F5284" s="30" t="s">
        <v>19</v>
      </c>
      <c r="G5284" s="30" t="s">
        <v>106</v>
      </c>
      <c r="H5284" s="32">
        <v>43</v>
      </c>
      <c r="I5284" s="30" t="s">
        <v>21</v>
      </c>
      <c r="J5284" s="41">
        <v>44202</v>
      </c>
      <c r="K5284" s="30" t="s">
        <v>22</v>
      </c>
    </row>
    <row r="5285" spans="1:11">
      <c r="A5285" s="33" t="s">
        <v>12511</v>
      </c>
      <c r="B5285" s="33" t="s">
        <v>12512</v>
      </c>
      <c r="C5285" s="33" t="s">
        <v>969</v>
      </c>
      <c r="D5285" s="33" t="s">
        <v>17</v>
      </c>
      <c r="E5285" s="33" t="s">
        <v>18</v>
      </c>
      <c r="F5285" s="33" t="s">
        <v>19</v>
      </c>
      <c r="G5285" s="33" t="s">
        <v>20</v>
      </c>
      <c r="H5285" s="35">
        <v>976</v>
      </c>
      <c r="I5285" s="33" t="s">
        <v>21</v>
      </c>
      <c r="J5285" s="42">
        <v>44313</v>
      </c>
      <c r="K5285" s="33" t="s">
        <v>22</v>
      </c>
    </row>
    <row r="5286" spans="1:11">
      <c r="A5286" s="30" t="s">
        <v>12513</v>
      </c>
      <c r="B5286" s="30" t="s">
        <v>12514</v>
      </c>
      <c r="C5286" s="30" t="s">
        <v>3004</v>
      </c>
      <c r="D5286" s="30" t="s">
        <v>17</v>
      </c>
      <c r="E5286" s="30" t="s">
        <v>26</v>
      </c>
      <c r="F5286" s="30" t="s">
        <v>27</v>
      </c>
      <c r="G5286" s="30" t="s">
        <v>20</v>
      </c>
      <c r="H5286" s="32">
        <v>36</v>
      </c>
      <c r="I5286" s="30" t="s">
        <v>21</v>
      </c>
      <c r="J5286" s="41">
        <v>44260</v>
      </c>
      <c r="K5286" s="30" t="s">
        <v>22</v>
      </c>
    </row>
    <row r="5287" spans="1:11">
      <c r="A5287" s="33" t="s">
        <v>12515</v>
      </c>
      <c r="B5287" s="33" t="s">
        <v>12516</v>
      </c>
      <c r="C5287" s="33" t="s">
        <v>8250</v>
      </c>
      <c r="D5287" s="33" t="s">
        <v>17</v>
      </c>
      <c r="E5287" s="33" t="s">
        <v>26</v>
      </c>
      <c r="F5287" s="33" t="s">
        <v>27</v>
      </c>
      <c r="G5287" s="33" t="s">
        <v>112</v>
      </c>
      <c r="H5287" s="35">
        <v>0</v>
      </c>
      <c r="I5287" s="33" t="s">
        <v>21</v>
      </c>
      <c r="J5287" s="42">
        <v>44217</v>
      </c>
      <c r="K5287" s="33" t="s">
        <v>22</v>
      </c>
    </row>
    <row r="5288" spans="1:11">
      <c r="A5288" s="30" t="s">
        <v>12517</v>
      </c>
      <c r="B5288" s="30" t="s">
        <v>12518</v>
      </c>
      <c r="C5288" s="30" t="s">
        <v>96</v>
      </c>
      <c r="D5288" s="30" t="s">
        <v>17</v>
      </c>
      <c r="E5288" s="30" t="s">
        <v>26</v>
      </c>
      <c r="F5288" s="30" t="s">
        <v>27</v>
      </c>
      <c r="G5288" s="30" t="s">
        <v>20</v>
      </c>
      <c r="H5288" s="32">
        <v>70</v>
      </c>
      <c r="I5288" s="30" t="s">
        <v>21</v>
      </c>
      <c r="J5288" s="41">
        <v>44238</v>
      </c>
      <c r="K5288" s="30" t="s">
        <v>22</v>
      </c>
    </row>
    <row r="5289" spans="1:11">
      <c r="A5289" s="33" t="s">
        <v>12519</v>
      </c>
      <c r="B5289" s="33" t="s">
        <v>12520</v>
      </c>
      <c r="C5289" s="33" t="s">
        <v>368</v>
      </c>
      <c r="D5289" s="33" t="s">
        <v>17</v>
      </c>
      <c r="E5289" s="33" t="s">
        <v>26</v>
      </c>
      <c r="F5289" s="33" t="s">
        <v>27</v>
      </c>
      <c r="G5289" s="33" t="s">
        <v>50</v>
      </c>
      <c r="H5289" s="35">
        <v>60</v>
      </c>
      <c r="I5289" s="33" t="s">
        <v>51</v>
      </c>
      <c r="J5289" s="42">
        <v>44463</v>
      </c>
      <c r="K5289" s="33" t="s">
        <v>22</v>
      </c>
    </row>
    <row r="5290" spans="1:11">
      <c r="A5290" s="30" t="s">
        <v>12521</v>
      </c>
      <c r="B5290" s="30" t="s">
        <v>12522</v>
      </c>
      <c r="C5290" s="30" t="s">
        <v>3278</v>
      </c>
      <c r="D5290" s="30" t="s">
        <v>17</v>
      </c>
      <c r="E5290" s="30" t="s">
        <v>330</v>
      </c>
      <c r="F5290" s="30" t="s">
        <v>331</v>
      </c>
      <c r="G5290" s="30" t="s">
        <v>20</v>
      </c>
      <c r="H5290" s="32">
        <v>20</v>
      </c>
      <c r="I5290" s="30" t="s">
        <v>21</v>
      </c>
      <c r="J5290" s="41">
        <v>44501</v>
      </c>
      <c r="K5290" s="30" t="s">
        <v>22</v>
      </c>
    </row>
    <row r="5291" spans="1:11">
      <c r="A5291" s="33" t="s">
        <v>12523</v>
      </c>
      <c r="B5291" s="33" t="s">
        <v>12524</v>
      </c>
      <c r="C5291" s="33" t="s">
        <v>12525</v>
      </c>
      <c r="D5291" s="33" t="s">
        <v>17</v>
      </c>
      <c r="E5291" s="33" t="s">
        <v>31</v>
      </c>
      <c r="F5291" s="33" t="s">
        <v>32</v>
      </c>
      <c r="G5291" s="33" t="s">
        <v>106</v>
      </c>
      <c r="H5291" s="35">
        <v>4</v>
      </c>
      <c r="I5291" s="33" t="s">
        <v>21</v>
      </c>
      <c r="J5291" s="42">
        <v>44372</v>
      </c>
      <c r="K5291" s="33" t="s">
        <v>22</v>
      </c>
    </row>
    <row r="5292" spans="1:11">
      <c r="A5292" s="30" t="s">
        <v>12526</v>
      </c>
      <c r="B5292" s="30" t="s">
        <v>12527</v>
      </c>
      <c r="C5292" s="30" t="s">
        <v>109</v>
      </c>
      <c r="D5292" s="30" t="s">
        <v>17</v>
      </c>
      <c r="E5292" s="30" t="s">
        <v>212</v>
      </c>
      <c r="F5292" s="30" t="s">
        <v>213</v>
      </c>
      <c r="G5292" s="30" t="s">
        <v>20</v>
      </c>
      <c r="H5292" s="32">
        <v>41</v>
      </c>
      <c r="I5292" s="30" t="s">
        <v>21</v>
      </c>
      <c r="J5292" s="41">
        <v>44305</v>
      </c>
      <c r="K5292" s="30" t="s">
        <v>22</v>
      </c>
    </row>
    <row r="5293" spans="1:11">
      <c r="A5293" s="33" t="s">
        <v>12528</v>
      </c>
      <c r="B5293" s="33" t="s">
        <v>12529</v>
      </c>
      <c r="C5293" s="33" t="s">
        <v>6379</v>
      </c>
      <c r="D5293" s="33" t="s">
        <v>17</v>
      </c>
      <c r="E5293" s="33" t="s">
        <v>18</v>
      </c>
      <c r="F5293" s="33" t="s">
        <v>19</v>
      </c>
      <c r="G5293" s="33" t="s">
        <v>158</v>
      </c>
      <c r="H5293" s="35">
        <v>103</v>
      </c>
      <c r="I5293" s="33" t="s">
        <v>21</v>
      </c>
      <c r="J5293" s="42">
        <v>44372</v>
      </c>
      <c r="K5293" s="33" t="s">
        <v>22</v>
      </c>
    </row>
    <row r="5294" spans="1:11">
      <c r="A5294" s="30" t="s">
        <v>12530</v>
      </c>
      <c r="B5294" s="30" t="s">
        <v>12531</v>
      </c>
      <c r="C5294" s="30" t="s">
        <v>1313</v>
      </c>
      <c r="D5294" s="30" t="s">
        <v>17</v>
      </c>
      <c r="E5294" s="30" t="s">
        <v>67</v>
      </c>
      <c r="F5294" s="30" t="s">
        <v>68</v>
      </c>
      <c r="G5294" s="30" t="s">
        <v>112</v>
      </c>
      <c r="H5294" s="32">
        <v>0</v>
      </c>
      <c r="I5294" s="30" t="s">
        <v>21</v>
      </c>
      <c r="J5294" s="41">
        <v>44287</v>
      </c>
      <c r="K5294" s="30" t="s">
        <v>22</v>
      </c>
    </row>
    <row r="5295" spans="1:11">
      <c r="A5295" s="33" t="s">
        <v>12532</v>
      </c>
      <c r="B5295" s="33" t="s">
        <v>12533</v>
      </c>
      <c r="C5295" s="33" t="s">
        <v>5262</v>
      </c>
      <c r="D5295" s="33" t="s">
        <v>17</v>
      </c>
      <c r="E5295" s="33" t="s">
        <v>26</v>
      </c>
      <c r="F5295" s="33" t="s">
        <v>27</v>
      </c>
      <c r="G5295" s="33" t="s">
        <v>20</v>
      </c>
      <c r="H5295" s="35">
        <v>18</v>
      </c>
      <c r="I5295" s="33" t="s">
        <v>21</v>
      </c>
      <c r="J5295" s="42">
        <v>44330</v>
      </c>
      <c r="K5295" s="33" t="s">
        <v>22</v>
      </c>
    </row>
    <row r="5296" spans="1:11">
      <c r="A5296" s="30" t="s">
        <v>12534</v>
      </c>
      <c r="B5296" s="30" t="s">
        <v>12535</v>
      </c>
      <c r="C5296" s="30" t="s">
        <v>12536</v>
      </c>
      <c r="D5296" s="30" t="s">
        <v>17</v>
      </c>
      <c r="E5296" s="30" t="s">
        <v>67</v>
      </c>
      <c r="F5296" s="30" t="s">
        <v>68</v>
      </c>
      <c r="G5296" s="30" t="s">
        <v>20</v>
      </c>
      <c r="H5296" s="32">
        <v>116</v>
      </c>
      <c r="I5296" s="30" t="s">
        <v>21</v>
      </c>
      <c r="J5296" s="41">
        <v>44287</v>
      </c>
      <c r="K5296" s="30" t="s">
        <v>22</v>
      </c>
    </row>
    <row r="5297" spans="1:11">
      <c r="A5297" s="33" t="s">
        <v>12537</v>
      </c>
      <c r="B5297" s="33" t="s">
        <v>12538</v>
      </c>
      <c r="C5297" s="33" t="s">
        <v>969</v>
      </c>
      <c r="D5297" s="33" t="s">
        <v>17</v>
      </c>
      <c r="E5297" s="33" t="s">
        <v>26</v>
      </c>
      <c r="F5297" s="33" t="s">
        <v>27</v>
      </c>
      <c r="G5297" s="33" t="s">
        <v>20</v>
      </c>
      <c r="H5297" s="35">
        <v>24</v>
      </c>
      <c r="I5297" s="33" t="s">
        <v>21</v>
      </c>
      <c r="J5297" s="42">
        <v>44446</v>
      </c>
      <c r="K5297" s="33" t="s">
        <v>22</v>
      </c>
    </row>
    <row r="5298" spans="1:11">
      <c r="A5298" s="30" t="s">
        <v>12539</v>
      </c>
      <c r="B5298" s="30" t="s">
        <v>12540</v>
      </c>
      <c r="C5298" s="30" t="s">
        <v>668</v>
      </c>
      <c r="D5298" s="30" t="s">
        <v>17</v>
      </c>
      <c r="E5298" s="30" t="s">
        <v>26</v>
      </c>
      <c r="F5298" s="30" t="s">
        <v>27</v>
      </c>
      <c r="G5298" s="30" t="s">
        <v>20</v>
      </c>
      <c r="H5298" s="32">
        <v>16</v>
      </c>
      <c r="I5298" s="30" t="s">
        <v>21</v>
      </c>
      <c r="J5298" s="41">
        <v>44201</v>
      </c>
      <c r="K5298" s="30" t="s">
        <v>22</v>
      </c>
    </row>
    <row r="5299" spans="1:11">
      <c r="A5299" s="33" t="s">
        <v>12541</v>
      </c>
      <c r="B5299" s="33" t="s">
        <v>12542</v>
      </c>
      <c r="C5299" s="33" t="s">
        <v>222</v>
      </c>
      <c r="D5299" s="33" t="s">
        <v>17</v>
      </c>
      <c r="E5299" s="33" t="s">
        <v>31</v>
      </c>
      <c r="F5299" s="33" t="s">
        <v>32</v>
      </c>
      <c r="G5299" s="33" t="s">
        <v>20</v>
      </c>
      <c r="H5299" s="35">
        <v>152</v>
      </c>
      <c r="I5299" s="33" t="s">
        <v>21</v>
      </c>
      <c r="J5299" s="42">
        <v>44274</v>
      </c>
      <c r="K5299" s="33" t="s">
        <v>22</v>
      </c>
    </row>
    <row r="5300" spans="1:11">
      <c r="A5300" s="30" t="s">
        <v>12543</v>
      </c>
      <c r="B5300" s="30" t="s">
        <v>12544</v>
      </c>
      <c r="C5300" s="30" t="s">
        <v>5643</v>
      </c>
      <c r="D5300" s="30" t="s">
        <v>17</v>
      </c>
      <c r="E5300" s="30" t="s">
        <v>18</v>
      </c>
      <c r="F5300" s="30" t="s">
        <v>19</v>
      </c>
      <c r="G5300" s="30" t="s">
        <v>50</v>
      </c>
      <c r="H5300" s="32">
        <v>21000</v>
      </c>
      <c r="I5300" s="30" t="s">
        <v>51</v>
      </c>
      <c r="J5300" s="41">
        <v>44541</v>
      </c>
      <c r="K5300" s="30" t="s">
        <v>22</v>
      </c>
    </row>
    <row r="5301" spans="1:11">
      <c r="A5301" s="33" t="s">
        <v>12545</v>
      </c>
      <c r="B5301" s="33" t="s">
        <v>12546</v>
      </c>
      <c r="C5301" s="33" t="s">
        <v>549</v>
      </c>
      <c r="D5301" s="33" t="s">
        <v>17</v>
      </c>
      <c r="E5301" s="33" t="s">
        <v>18</v>
      </c>
      <c r="F5301" s="33" t="s">
        <v>19</v>
      </c>
      <c r="G5301" s="33" t="s">
        <v>20</v>
      </c>
      <c r="H5301" s="35">
        <v>165</v>
      </c>
      <c r="I5301" s="33" t="s">
        <v>21</v>
      </c>
      <c r="J5301" s="42">
        <v>44230</v>
      </c>
      <c r="K5301" s="33" t="s">
        <v>22</v>
      </c>
    </row>
    <row r="5302" spans="1:11">
      <c r="A5302" s="30" t="s">
        <v>12547</v>
      </c>
      <c r="B5302" s="30" t="s">
        <v>12548</v>
      </c>
      <c r="C5302" s="30" t="s">
        <v>12549</v>
      </c>
      <c r="D5302" s="30" t="s">
        <v>17</v>
      </c>
      <c r="E5302" s="30" t="s">
        <v>67</v>
      </c>
      <c r="F5302" s="30" t="s">
        <v>68</v>
      </c>
      <c r="G5302" s="30" t="s">
        <v>112</v>
      </c>
      <c r="H5302" s="32">
        <v>0</v>
      </c>
      <c r="I5302" s="30" t="s">
        <v>21</v>
      </c>
      <c r="J5302" s="41">
        <v>44476</v>
      </c>
      <c r="K5302" s="30" t="s">
        <v>22</v>
      </c>
    </row>
    <row r="5303" spans="1:11">
      <c r="A5303" s="33" t="s">
        <v>12550</v>
      </c>
      <c r="B5303" s="33" t="s">
        <v>12551</v>
      </c>
      <c r="C5303" s="33" t="s">
        <v>546</v>
      </c>
      <c r="D5303" s="33" t="s">
        <v>17</v>
      </c>
      <c r="E5303" s="33" t="s">
        <v>26</v>
      </c>
      <c r="F5303" s="33" t="s">
        <v>27</v>
      </c>
      <c r="G5303" s="33" t="s">
        <v>50</v>
      </c>
      <c r="H5303" s="35">
        <v>94</v>
      </c>
      <c r="I5303" s="33" t="s">
        <v>51</v>
      </c>
      <c r="J5303" s="42">
        <v>44384</v>
      </c>
      <c r="K5303" s="33" t="s">
        <v>22</v>
      </c>
    </row>
    <row r="5304" spans="1:11">
      <c r="A5304" s="30" t="s">
        <v>12552</v>
      </c>
      <c r="B5304" s="30" t="s">
        <v>12553</v>
      </c>
      <c r="C5304" s="30" t="s">
        <v>2117</v>
      </c>
      <c r="D5304" s="30" t="s">
        <v>17</v>
      </c>
      <c r="E5304" s="30" t="s">
        <v>31</v>
      </c>
      <c r="F5304" s="30" t="s">
        <v>32</v>
      </c>
      <c r="G5304" s="30" t="s">
        <v>140</v>
      </c>
      <c r="H5304" s="32">
        <v>60</v>
      </c>
      <c r="I5304" s="30" t="s">
        <v>51</v>
      </c>
      <c r="J5304" s="41">
        <v>44474</v>
      </c>
      <c r="K5304" s="30" t="s">
        <v>22</v>
      </c>
    </row>
    <row r="5305" spans="1:11">
      <c r="A5305" s="33" t="s">
        <v>12554</v>
      </c>
      <c r="B5305" s="33" t="s">
        <v>12555</v>
      </c>
      <c r="C5305" s="33" t="s">
        <v>12556</v>
      </c>
      <c r="D5305" s="33" t="s">
        <v>17</v>
      </c>
      <c r="E5305" s="33" t="s">
        <v>26</v>
      </c>
      <c r="F5305" s="33" t="s">
        <v>27</v>
      </c>
      <c r="G5305" s="33" t="s">
        <v>158</v>
      </c>
      <c r="H5305" s="35">
        <v>18</v>
      </c>
      <c r="I5305" s="33" t="s">
        <v>51</v>
      </c>
      <c r="J5305" s="42">
        <v>44536</v>
      </c>
      <c r="K5305" s="33" t="s">
        <v>22</v>
      </c>
    </row>
    <row r="5306" spans="1:11">
      <c r="A5306" s="30" t="s">
        <v>12557</v>
      </c>
      <c r="B5306" s="30" t="s">
        <v>12558</v>
      </c>
      <c r="C5306" s="30" t="s">
        <v>44</v>
      </c>
      <c r="D5306" s="30" t="s">
        <v>17</v>
      </c>
      <c r="E5306" s="30" t="s">
        <v>26</v>
      </c>
      <c r="F5306" s="30" t="s">
        <v>27</v>
      </c>
      <c r="G5306" s="30" t="s">
        <v>106</v>
      </c>
      <c r="H5306" s="32">
        <v>30</v>
      </c>
      <c r="I5306" s="30" t="s">
        <v>21</v>
      </c>
      <c r="J5306" s="41">
        <v>44509</v>
      </c>
      <c r="K5306" s="30" t="s">
        <v>22</v>
      </c>
    </row>
    <row r="5307" spans="1:11">
      <c r="A5307" s="33" t="s">
        <v>12559</v>
      </c>
      <c r="B5307" s="33" t="s">
        <v>12560</v>
      </c>
      <c r="C5307" s="33" t="s">
        <v>12561</v>
      </c>
      <c r="D5307" s="33" t="s">
        <v>17</v>
      </c>
      <c r="E5307" s="33" t="s">
        <v>26</v>
      </c>
      <c r="F5307" s="33" t="s">
        <v>27</v>
      </c>
      <c r="G5307" s="33" t="s">
        <v>20</v>
      </c>
      <c r="H5307" s="35">
        <v>16</v>
      </c>
      <c r="I5307" s="33" t="s">
        <v>21</v>
      </c>
      <c r="J5307" s="42">
        <v>44275</v>
      </c>
      <c r="K5307" s="33" t="s">
        <v>22</v>
      </c>
    </row>
    <row r="5308" spans="1:11">
      <c r="A5308" s="30" t="s">
        <v>12562</v>
      </c>
      <c r="B5308" s="30" t="s">
        <v>12563</v>
      </c>
      <c r="C5308" s="30" t="s">
        <v>12564</v>
      </c>
      <c r="D5308" s="30" t="s">
        <v>17</v>
      </c>
      <c r="E5308" s="30" t="s">
        <v>31</v>
      </c>
      <c r="F5308" s="30" t="s">
        <v>32</v>
      </c>
      <c r="G5308" s="30" t="s">
        <v>20</v>
      </c>
      <c r="H5308" s="32">
        <v>102</v>
      </c>
      <c r="I5308" s="30" t="s">
        <v>21</v>
      </c>
      <c r="J5308" s="41">
        <v>44519</v>
      </c>
      <c r="K5308" s="30" t="s">
        <v>22</v>
      </c>
    </row>
    <row r="5309" spans="1:11">
      <c r="A5309" s="33" t="s">
        <v>12565</v>
      </c>
      <c r="B5309" s="33" t="s">
        <v>12566</v>
      </c>
      <c r="C5309" s="33" t="s">
        <v>10699</v>
      </c>
      <c r="D5309" s="33" t="s">
        <v>17</v>
      </c>
      <c r="E5309" s="33" t="s">
        <v>26</v>
      </c>
      <c r="F5309" s="33" t="s">
        <v>27</v>
      </c>
      <c r="G5309" s="33" t="s">
        <v>50</v>
      </c>
      <c r="H5309" s="35">
        <v>34</v>
      </c>
      <c r="I5309" s="33" t="s">
        <v>51</v>
      </c>
      <c r="J5309" s="42">
        <v>44240</v>
      </c>
      <c r="K5309" s="33" t="s">
        <v>22</v>
      </c>
    </row>
    <row r="5310" spans="1:11">
      <c r="A5310" s="30" t="s">
        <v>12567</v>
      </c>
      <c r="B5310" s="30" t="s">
        <v>12568</v>
      </c>
      <c r="C5310" s="30" t="s">
        <v>12569</v>
      </c>
      <c r="D5310" s="30" t="s">
        <v>17</v>
      </c>
      <c r="E5310" s="30" t="s">
        <v>26</v>
      </c>
      <c r="F5310" s="30" t="s">
        <v>27</v>
      </c>
      <c r="G5310" s="30" t="s">
        <v>20</v>
      </c>
      <c r="H5310" s="32">
        <v>42</v>
      </c>
      <c r="I5310" s="30" t="s">
        <v>21</v>
      </c>
      <c r="J5310" s="41">
        <v>44418</v>
      </c>
      <c r="K5310" s="30" t="s">
        <v>22</v>
      </c>
    </row>
    <row r="5311" spans="1:11">
      <c r="A5311" s="33" t="s">
        <v>12570</v>
      </c>
      <c r="B5311" s="33" t="s">
        <v>12571</v>
      </c>
      <c r="C5311" s="33" t="s">
        <v>203</v>
      </c>
      <c r="D5311" s="33" t="s">
        <v>17</v>
      </c>
      <c r="E5311" s="33" t="s">
        <v>67</v>
      </c>
      <c r="F5311" s="33" t="s">
        <v>68</v>
      </c>
      <c r="G5311" s="33" t="s">
        <v>106</v>
      </c>
      <c r="H5311" s="35">
        <v>46</v>
      </c>
      <c r="I5311" s="33" t="s">
        <v>21</v>
      </c>
      <c r="J5311" s="42">
        <v>44392</v>
      </c>
      <c r="K5311" s="33" t="s">
        <v>22</v>
      </c>
    </row>
    <row r="5312" spans="1:11">
      <c r="A5312" s="30" t="s">
        <v>12572</v>
      </c>
      <c r="B5312" s="30" t="s">
        <v>12573</v>
      </c>
      <c r="C5312" s="30" t="s">
        <v>1090</v>
      </c>
      <c r="D5312" s="30" t="s">
        <v>17</v>
      </c>
      <c r="E5312" s="30" t="s">
        <v>26</v>
      </c>
      <c r="F5312" s="30" t="s">
        <v>27</v>
      </c>
      <c r="G5312" s="30" t="s">
        <v>20</v>
      </c>
      <c r="H5312" s="32">
        <v>30</v>
      </c>
      <c r="I5312" s="30" t="s">
        <v>21</v>
      </c>
      <c r="J5312" s="41">
        <v>44560</v>
      </c>
      <c r="K5312" s="30" t="s">
        <v>22</v>
      </c>
    </row>
    <row r="5313" spans="1:11">
      <c r="A5313" s="33" t="s">
        <v>12574</v>
      </c>
      <c r="B5313" s="33" t="s">
        <v>12575</v>
      </c>
      <c r="C5313" s="33" t="s">
        <v>12576</v>
      </c>
      <c r="D5313" s="33" t="s">
        <v>17</v>
      </c>
      <c r="E5313" s="33" t="s">
        <v>31</v>
      </c>
      <c r="F5313" s="33" t="s">
        <v>32</v>
      </c>
      <c r="G5313" s="33" t="s">
        <v>20</v>
      </c>
      <c r="H5313" s="35">
        <v>45</v>
      </c>
      <c r="I5313" s="33" t="s">
        <v>21</v>
      </c>
      <c r="J5313" s="42">
        <v>44540</v>
      </c>
      <c r="K5313" s="33" t="s">
        <v>22</v>
      </c>
    </row>
    <row r="5314" spans="1:11">
      <c r="A5314" s="30" t="s">
        <v>12577</v>
      </c>
      <c r="B5314" s="30" t="s">
        <v>12578</v>
      </c>
      <c r="C5314" s="30" t="s">
        <v>136</v>
      </c>
      <c r="D5314" s="30" t="s">
        <v>17</v>
      </c>
      <c r="E5314" s="30" t="s">
        <v>18</v>
      </c>
      <c r="F5314" s="30" t="s">
        <v>19</v>
      </c>
      <c r="G5314" s="30" t="s">
        <v>158</v>
      </c>
      <c r="H5314" s="32">
        <v>2996</v>
      </c>
      <c r="I5314" s="30" t="s">
        <v>51</v>
      </c>
      <c r="J5314" s="41">
        <v>44435</v>
      </c>
      <c r="K5314" s="30" t="s">
        <v>22</v>
      </c>
    </row>
    <row r="5315" spans="1:11">
      <c r="A5315" s="33" t="s">
        <v>12579</v>
      </c>
      <c r="B5315" s="33" t="s">
        <v>12580</v>
      </c>
      <c r="C5315" s="33" t="s">
        <v>387</v>
      </c>
      <c r="D5315" s="33" t="s">
        <v>17</v>
      </c>
      <c r="E5315" s="33" t="s">
        <v>26</v>
      </c>
      <c r="F5315" s="33" t="s">
        <v>27</v>
      </c>
      <c r="G5315" s="33" t="s">
        <v>106</v>
      </c>
      <c r="H5315" s="35">
        <v>3</v>
      </c>
      <c r="I5315" s="33" t="s">
        <v>21</v>
      </c>
      <c r="J5315" s="42">
        <v>44371</v>
      </c>
      <c r="K5315" s="33" t="s">
        <v>22</v>
      </c>
    </row>
    <row r="5316" spans="1:11">
      <c r="A5316" s="30" t="s">
        <v>12581</v>
      </c>
      <c r="B5316" s="30" t="s">
        <v>12582</v>
      </c>
      <c r="C5316" s="30" t="s">
        <v>12583</v>
      </c>
      <c r="D5316" s="30" t="s">
        <v>17</v>
      </c>
      <c r="E5316" s="30" t="s">
        <v>67</v>
      </c>
      <c r="F5316" s="30" t="s">
        <v>68</v>
      </c>
      <c r="G5316" s="30" t="s">
        <v>140</v>
      </c>
      <c r="H5316" s="32">
        <v>26</v>
      </c>
      <c r="I5316" s="30" t="s">
        <v>51</v>
      </c>
      <c r="J5316" s="41">
        <v>44447</v>
      </c>
      <c r="K5316" s="30" t="s">
        <v>22</v>
      </c>
    </row>
    <row r="5317" spans="1:11">
      <c r="A5317" s="33" t="s">
        <v>12584</v>
      </c>
      <c r="B5317" s="33" t="s">
        <v>12585</v>
      </c>
      <c r="C5317" s="33" t="s">
        <v>102</v>
      </c>
      <c r="D5317" s="33" t="s">
        <v>17</v>
      </c>
      <c r="E5317" s="33" t="s">
        <v>26</v>
      </c>
      <c r="F5317" s="33" t="s">
        <v>27</v>
      </c>
      <c r="G5317" s="33" t="s">
        <v>158</v>
      </c>
      <c r="H5317" s="35">
        <v>140</v>
      </c>
      <c r="I5317" s="33" t="s">
        <v>21</v>
      </c>
      <c r="J5317" s="42">
        <v>44267</v>
      </c>
      <c r="K5317" s="33" t="s">
        <v>22</v>
      </c>
    </row>
    <row r="5318" spans="1:11">
      <c r="A5318" s="30" t="s">
        <v>12586</v>
      </c>
      <c r="B5318" s="30" t="s">
        <v>12587</v>
      </c>
      <c r="C5318" s="30" t="s">
        <v>5169</v>
      </c>
      <c r="D5318" s="30" t="s">
        <v>17</v>
      </c>
      <c r="E5318" s="30" t="s">
        <v>212</v>
      </c>
      <c r="F5318" s="30" t="s">
        <v>213</v>
      </c>
      <c r="G5318" s="30" t="s">
        <v>20</v>
      </c>
      <c r="H5318" s="32">
        <v>180</v>
      </c>
      <c r="I5318" s="30" t="s">
        <v>21</v>
      </c>
      <c r="J5318" s="41">
        <v>44511</v>
      </c>
      <c r="K5318" s="30" t="s">
        <v>22</v>
      </c>
    </row>
    <row r="5319" spans="1:11">
      <c r="A5319" s="33" t="s">
        <v>12588</v>
      </c>
      <c r="B5319" s="33" t="s">
        <v>12589</v>
      </c>
      <c r="C5319" s="33" t="s">
        <v>118</v>
      </c>
      <c r="D5319" s="33" t="s">
        <v>17</v>
      </c>
      <c r="E5319" s="33" t="s">
        <v>26</v>
      </c>
      <c r="F5319" s="33" t="s">
        <v>27</v>
      </c>
      <c r="G5319" s="33" t="s">
        <v>20</v>
      </c>
      <c r="H5319" s="35">
        <v>31</v>
      </c>
      <c r="I5319" s="33" t="s">
        <v>21</v>
      </c>
      <c r="J5319" s="42">
        <v>44483</v>
      </c>
      <c r="K5319" s="33" t="s">
        <v>22</v>
      </c>
    </row>
    <row r="5320" spans="1:11">
      <c r="A5320" s="30" t="s">
        <v>12590</v>
      </c>
      <c r="B5320" s="30" t="s">
        <v>12591</v>
      </c>
      <c r="C5320" s="30" t="s">
        <v>382</v>
      </c>
      <c r="D5320" s="30" t="s">
        <v>17</v>
      </c>
      <c r="E5320" s="30" t="s">
        <v>26</v>
      </c>
      <c r="F5320" s="30" t="s">
        <v>27</v>
      </c>
      <c r="G5320" s="30" t="s">
        <v>20</v>
      </c>
      <c r="H5320" s="32">
        <v>40</v>
      </c>
      <c r="I5320" s="30" t="s">
        <v>21</v>
      </c>
      <c r="J5320" s="41">
        <v>44454</v>
      </c>
      <c r="K5320" s="30" t="s">
        <v>22</v>
      </c>
    </row>
    <row r="5321" spans="1:11">
      <c r="A5321" s="33" t="s">
        <v>12592</v>
      </c>
      <c r="B5321" s="33" t="s">
        <v>12593</v>
      </c>
      <c r="C5321" s="33" t="s">
        <v>157</v>
      </c>
      <c r="D5321" s="33" t="s">
        <v>17</v>
      </c>
      <c r="E5321" s="33" t="s">
        <v>31</v>
      </c>
      <c r="F5321" s="33" t="s">
        <v>32</v>
      </c>
      <c r="G5321" s="33" t="s">
        <v>106</v>
      </c>
      <c r="H5321" s="35">
        <v>26</v>
      </c>
      <c r="I5321" s="33" t="s">
        <v>21</v>
      </c>
      <c r="J5321" s="42">
        <v>44316</v>
      </c>
      <c r="K5321" s="33" t="s">
        <v>22</v>
      </c>
    </row>
    <row r="5322" spans="1:11">
      <c r="A5322" s="30" t="s">
        <v>12594</v>
      </c>
      <c r="B5322" s="30" t="s">
        <v>12595</v>
      </c>
      <c r="C5322" s="30" t="s">
        <v>149</v>
      </c>
      <c r="D5322" s="30" t="s">
        <v>17</v>
      </c>
      <c r="E5322" s="30" t="s">
        <v>26</v>
      </c>
      <c r="F5322" s="30" t="s">
        <v>27</v>
      </c>
      <c r="G5322" s="30" t="s">
        <v>50</v>
      </c>
      <c r="H5322" s="32">
        <v>28</v>
      </c>
      <c r="I5322" s="30" t="s">
        <v>21</v>
      </c>
      <c r="J5322" s="41">
        <v>44547</v>
      </c>
      <c r="K5322" s="30" t="s">
        <v>22</v>
      </c>
    </row>
    <row r="5323" spans="1:11">
      <c r="A5323" s="33" t="s">
        <v>12596</v>
      </c>
      <c r="B5323" s="33" t="s">
        <v>12597</v>
      </c>
      <c r="C5323" s="33" t="s">
        <v>4218</v>
      </c>
      <c r="D5323" s="33" t="s">
        <v>17</v>
      </c>
      <c r="E5323" s="33" t="s">
        <v>31</v>
      </c>
      <c r="F5323" s="33" t="s">
        <v>32</v>
      </c>
      <c r="G5323" s="33" t="s">
        <v>158</v>
      </c>
      <c r="H5323" s="35">
        <v>189</v>
      </c>
      <c r="I5323" s="33" t="s">
        <v>21</v>
      </c>
      <c r="J5323" s="42">
        <v>44288</v>
      </c>
      <c r="K5323" s="33" t="s">
        <v>22</v>
      </c>
    </row>
    <row r="5324" spans="1:11">
      <c r="A5324" s="30" t="s">
        <v>12598</v>
      </c>
      <c r="B5324" s="30" t="s">
        <v>12599</v>
      </c>
      <c r="C5324" s="30" t="s">
        <v>109</v>
      </c>
      <c r="D5324" s="30" t="s">
        <v>17</v>
      </c>
      <c r="E5324" s="30" t="s">
        <v>31</v>
      </c>
      <c r="F5324" s="30" t="s">
        <v>32</v>
      </c>
      <c r="G5324" s="30" t="s">
        <v>106</v>
      </c>
      <c r="H5324" s="32">
        <v>42</v>
      </c>
      <c r="I5324" s="30" t="s">
        <v>21</v>
      </c>
      <c r="J5324" s="41">
        <v>44229</v>
      </c>
      <c r="K5324" s="30" t="s">
        <v>22</v>
      </c>
    </row>
    <row r="5325" spans="1:11">
      <c r="A5325" s="33" t="s">
        <v>12600</v>
      </c>
      <c r="B5325" s="33" t="s">
        <v>12601</v>
      </c>
      <c r="C5325" s="33" t="s">
        <v>647</v>
      </c>
      <c r="D5325" s="33" t="s">
        <v>17</v>
      </c>
      <c r="E5325" s="33" t="s">
        <v>18</v>
      </c>
      <c r="F5325" s="33" t="s">
        <v>19</v>
      </c>
      <c r="G5325" s="33" t="s">
        <v>158</v>
      </c>
      <c r="H5325" s="35">
        <v>864</v>
      </c>
      <c r="I5325" s="33" t="s">
        <v>21</v>
      </c>
      <c r="J5325" s="42">
        <v>44405</v>
      </c>
      <c r="K5325" s="33" t="s">
        <v>22</v>
      </c>
    </row>
    <row r="5326" spans="1:11">
      <c r="A5326" s="30" t="s">
        <v>12602</v>
      </c>
      <c r="B5326" s="30" t="s">
        <v>12603</v>
      </c>
      <c r="C5326" s="30" t="s">
        <v>9992</v>
      </c>
      <c r="D5326" s="30" t="s">
        <v>17</v>
      </c>
      <c r="E5326" s="30" t="s">
        <v>67</v>
      </c>
      <c r="F5326" s="30" t="s">
        <v>68</v>
      </c>
      <c r="G5326" s="30" t="s">
        <v>140</v>
      </c>
      <c r="H5326" s="32">
        <v>160</v>
      </c>
      <c r="I5326" s="30" t="s">
        <v>51</v>
      </c>
      <c r="J5326" s="41">
        <v>44326</v>
      </c>
      <c r="K5326" s="30" t="s">
        <v>22</v>
      </c>
    </row>
    <row r="5327" spans="1:11">
      <c r="A5327" s="33" t="s">
        <v>12604</v>
      </c>
      <c r="B5327" s="33" t="s">
        <v>12605</v>
      </c>
      <c r="C5327" s="33" t="s">
        <v>1136</v>
      </c>
      <c r="D5327" s="33" t="s">
        <v>17</v>
      </c>
      <c r="E5327" s="33" t="s">
        <v>67</v>
      </c>
      <c r="F5327" s="33" t="s">
        <v>68</v>
      </c>
      <c r="G5327" s="33" t="s">
        <v>106</v>
      </c>
      <c r="H5327" s="35">
        <v>182</v>
      </c>
      <c r="I5327" s="33" t="s">
        <v>21</v>
      </c>
      <c r="J5327" s="42">
        <v>44267</v>
      </c>
      <c r="K5327" s="33" t="s">
        <v>22</v>
      </c>
    </row>
    <row r="5328" spans="1:11">
      <c r="A5328" s="30" t="s">
        <v>12606</v>
      </c>
      <c r="B5328" s="30" t="s">
        <v>12607</v>
      </c>
      <c r="C5328" s="30" t="s">
        <v>894</v>
      </c>
      <c r="D5328" s="30" t="s">
        <v>17</v>
      </c>
      <c r="E5328" s="30" t="s">
        <v>26</v>
      </c>
      <c r="F5328" s="30" t="s">
        <v>27</v>
      </c>
      <c r="G5328" s="30" t="s">
        <v>20</v>
      </c>
      <c r="H5328" s="32">
        <v>31</v>
      </c>
      <c r="I5328" s="30" t="s">
        <v>21</v>
      </c>
      <c r="J5328" s="41">
        <v>44336</v>
      </c>
      <c r="K5328" s="30" t="s">
        <v>22</v>
      </c>
    </row>
    <row r="5329" spans="1:11">
      <c r="A5329" s="33" t="s">
        <v>12608</v>
      </c>
      <c r="B5329" s="33" t="s">
        <v>12609</v>
      </c>
      <c r="C5329" s="33" t="s">
        <v>310</v>
      </c>
      <c r="D5329" s="33" t="s">
        <v>17</v>
      </c>
      <c r="E5329" s="33" t="s">
        <v>26</v>
      </c>
      <c r="F5329" s="33" t="s">
        <v>27</v>
      </c>
      <c r="G5329" s="33" t="s">
        <v>20</v>
      </c>
      <c r="H5329" s="35">
        <v>42</v>
      </c>
      <c r="I5329" s="33" t="s">
        <v>21</v>
      </c>
      <c r="J5329" s="42">
        <v>44438</v>
      </c>
      <c r="K5329" s="33" t="s">
        <v>22</v>
      </c>
    </row>
    <row r="5330" spans="1:11">
      <c r="A5330" s="30" t="s">
        <v>12610</v>
      </c>
      <c r="B5330" s="30" t="s">
        <v>12611</v>
      </c>
      <c r="C5330" s="30" t="s">
        <v>190</v>
      </c>
      <c r="D5330" s="30" t="s">
        <v>17</v>
      </c>
      <c r="E5330" s="30" t="s">
        <v>212</v>
      </c>
      <c r="F5330" s="30" t="s">
        <v>213</v>
      </c>
      <c r="G5330" s="30" t="s">
        <v>20</v>
      </c>
      <c r="H5330" s="32">
        <v>25</v>
      </c>
      <c r="I5330" s="30" t="s">
        <v>21</v>
      </c>
      <c r="J5330" s="41">
        <v>44249</v>
      </c>
      <c r="K5330" s="30" t="s">
        <v>22</v>
      </c>
    </row>
    <row r="5331" spans="1:11">
      <c r="A5331" s="33" t="s">
        <v>12612</v>
      </c>
      <c r="B5331" s="33" t="s">
        <v>12613</v>
      </c>
      <c r="C5331" s="33" t="s">
        <v>12614</v>
      </c>
      <c r="D5331" s="33" t="s">
        <v>17</v>
      </c>
      <c r="E5331" s="33" t="s">
        <v>31</v>
      </c>
      <c r="F5331" s="33" t="s">
        <v>32</v>
      </c>
      <c r="G5331" s="33" t="s">
        <v>20</v>
      </c>
      <c r="H5331" s="35">
        <v>318</v>
      </c>
      <c r="I5331" s="33" t="s">
        <v>21</v>
      </c>
      <c r="J5331" s="42">
        <v>44449</v>
      </c>
      <c r="K5331" s="33" t="s">
        <v>22</v>
      </c>
    </row>
    <row r="5332" spans="1:11">
      <c r="A5332" s="30" t="s">
        <v>12615</v>
      </c>
      <c r="B5332" s="30" t="s">
        <v>12616</v>
      </c>
      <c r="C5332" s="30" t="s">
        <v>231</v>
      </c>
      <c r="D5332" s="30" t="s">
        <v>17</v>
      </c>
      <c r="E5332" s="30" t="s">
        <v>26</v>
      </c>
      <c r="F5332" s="30" t="s">
        <v>27</v>
      </c>
      <c r="G5332" s="30" t="s">
        <v>20</v>
      </c>
      <c r="H5332" s="32">
        <v>32</v>
      </c>
      <c r="I5332" s="30" t="s">
        <v>21</v>
      </c>
      <c r="J5332" s="41">
        <v>44398</v>
      </c>
      <c r="K5332" s="30" t="s">
        <v>22</v>
      </c>
    </row>
    <row r="5333" spans="1:11">
      <c r="A5333" s="33" t="s">
        <v>12617</v>
      </c>
      <c r="B5333" s="33" t="s">
        <v>12618</v>
      </c>
      <c r="C5333" s="33" t="s">
        <v>102</v>
      </c>
      <c r="D5333" s="33" t="s">
        <v>17</v>
      </c>
      <c r="E5333" s="33" t="s">
        <v>31</v>
      </c>
      <c r="F5333" s="33" t="s">
        <v>32</v>
      </c>
      <c r="G5333" s="33" t="s">
        <v>106</v>
      </c>
      <c r="H5333" s="35">
        <v>5</v>
      </c>
      <c r="I5333" s="33" t="s">
        <v>21</v>
      </c>
      <c r="J5333" s="42">
        <v>44517</v>
      </c>
      <c r="K5333" s="33" t="s">
        <v>22</v>
      </c>
    </row>
    <row r="5334" spans="1:11">
      <c r="A5334" s="30" t="s">
        <v>12619</v>
      </c>
      <c r="B5334" s="30" t="s">
        <v>12620</v>
      </c>
      <c r="C5334" s="30" t="s">
        <v>1295</v>
      </c>
      <c r="D5334" s="30" t="s">
        <v>17</v>
      </c>
      <c r="E5334" s="30" t="s">
        <v>26</v>
      </c>
      <c r="F5334" s="30" t="s">
        <v>27</v>
      </c>
      <c r="G5334" s="30" t="s">
        <v>106</v>
      </c>
      <c r="H5334" s="32">
        <v>17</v>
      </c>
      <c r="I5334" s="30" t="s">
        <v>21</v>
      </c>
      <c r="J5334" s="41">
        <v>44286</v>
      </c>
      <c r="K5334" s="30" t="s">
        <v>22</v>
      </c>
    </row>
    <row r="5335" spans="1:11">
      <c r="A5335" s="33" t="s">
        <v>12621</v>
      </c>
      <c r="B5335" s="33" t="s">
        <v>12622</v>
      </c>
      <c r="C5335" s="33" t="s">
        <v>426</v>
      </c>
      <c r="D5335" s="33" t="s">
        <v>17</v>
      </c>
      <c r="E5335" s="33" t="s">
        <v>67</v>
      </c>
      <c r="F5335" s="33" t="s">
        <v>68</v>
      </c>
      <c r="G5335" s="33" t="s">
        <v>140</v>
      </c>
      <c r="H5335" s="35">
        <v>95</v>
      </c>
      <c r="I5335" s="33" t="s">
        <v>51</v>
      </c>
      <c r="J5335" s="42">
        <v>44342</v>
      </c>
      <c r="K5335" s="33" t="s">
        <v>22</v>
      </c>
    </row>
    <row r="5336" spans="1:11">
      <c r="A5336" s="30" t="s">
        <v>12623</v>
      </c>
      <c r="B5336" s="30" t="s">
        <v>12624</v>
      </c>
      <c r="C5336" s="30" t="s">
        <v>1509</v>
      </c>
      <c r="D5336" s="30" t="s">
        <v>17</v>
      </c>
      <c r="E5336" s="30" t="s">
        <v>212</v>
      </c>
      <c r="F5336" s="30" t="s">
        <v>213</v>
      </c>
      <c r="G5336" s="30" t="s">
        <v>112</v>
      </c>
      <c r="H5336" s="32">
        <v>0</v>
      </c>
      <c r="I5336" s="30" t="s">
        <v>21</v>
      </c>
      <c r="J5336" s="41">
        <v>44263</v>
      </c>
      <c r="K5336" s="30" t="s">
        <v>22</v>
      </c>
    </row>
    <row r="5337" spans="1:11">
      <c r="A5337" s="33" t="s">
        <v>12625</v>
      </c>
      <c r="B5337" s="33" t="s">
        <v>12626</v>
      </c>
      <c r="C5337" s="33" t="s">
        <v>12627</v>
      </c>
      <c r="D5337" s="33" t="s">
        <v>17</v>
      </c>
      <c r="E5337" s="33" t="s">
        <v>67</v>
      </c>
      <c r="F5337" s="33" t="s">
        <v>68</v>
      </c>
      <c r="G5337" s="33" t="s">
        <v>106</v>
      </c>
      <c r="H5337" s="35">
        <v>188</v>
      </c>
      <c r="I5337" s="33" t="s">
        <v>21</v>
      </c>
      <c r="J5337" s="42">
        <v>44273</v>
      </c>
      <c r="K5337" s="33" t="s">
        <v>22</v>
      </c>
    </row>
    <row r="5338" spans="1:11">
      <c r="A5338" s="30" t="s">
        <v>12628</v>
      </c>
      <c r="B5338" s="30" t="s">
        <v>12629</v>
      </c>
      <c r="C5338" s="30" t="s">
        <v>12630</v>
      </c>
      <c r="D5338" s="30" t="s">
        <v>17</v>
      </c>
      <c r="E5338" s="30" t="s">
        <v>31</v>
      </c>
      <c r="F5338" s="30" t="s">
        <v>32</v>
      </c>
      <c r="G5338" s="30" t="s">
        <v>20</v>
      </c>
      <c r="H5338" s="32">
        <v>48</v>
      </c>
      <c r="I5338" s="30" t="s">
        <v>21</v>
      </c>
      <c r="J5338" s="41">
        <v>44523</v>
      </c>
      <c r="K5338" s="30" t="s">
        <v>22</v>
      </c>
    </row>
    <row r="5339" spans="1:11">
      <c r="A5339" s="33" t="s">
        <v>12631</v>
      </c>
      <c r="B5339" s="33" t="s">
        <v>12632</v>
      </c>
      <c r="C5339" s="33" t="s">
        <v>203</v>
      </c>
      <c r="D5339" s="33" t="s">
        <v>17</v>
      </c>
      <c r="E5339" s="33" t="s">
        <v>212</v>
      </c>
      <c r="F5339" s="33" t="s">
        <v>213</v>
      </c>
      <c r="G5339" s="33" t="s">
        <v>20</v>
      </c>
      <c r="H5339" s="35">
        <v>25</v>
      </c>
      <c r="I5339" s="33" t="s">
        <v>21</v>
      </c>
      <c r="J5339" s="42">
        <v>44491</v>
      </c>
      <c r="K5339" s="33" t="s">
        <v>22</v>
      </c>
    </row>
    <row r="5340" spans="1:11">
      <c r="A5340" s="30" t="s">
        <v>12633</v>
      </c>
      <c r="B5340" s="30" t="s">
        <v>12634</v>
      </c>
      <c r="C5340" s="30" t="s">
        <v>203</v>
      </c>
      <c r="D5340" s="30" t="s">
        <v>17</v>
      </c>
      <c r="E5340" s="30" t="s">
        <v>18</v>
      </c>
      <c r="F5340" s="30" t="s">
        <v>19</v>
      </c>
      <c r="G5340" s="30" t="s">
        <v>20</v>
      </c>
      <c r="H5340" s="32">
        <v>7</v>
      </c>
      <c r="I5340" s="30" t="s">
        <v>21</v>
      </c>
      <c r="J5340" s="41">
        <v>44511</v>
      </c>
      <c r="K5340" s="30" t="s">
        <v>22</v>
      </c>
    </row>
    <row r="5341" spans="1:11">
      <c r="A5341" s="33" t="s">
        <v>12635</v>
      </c>
      <c r="B5341" s="33" t="s">
        <v>12636</v>
      </c>
      <c r="C5341" s="33" t="s">
        <v>12637</v>
      </c>
      <c r="D5341" s="33" t="s">
        <v>17</v>
      </c>
      <c r="E5341" s="33" t="s">
        <v>67</v>
      </c>
      <c r="F5341" s="33" t="s">
        <v>68</v>
      </c>
      <c r="G5341" s="33" t="s">
        <v>106</v>
      </c>
      <c r="H5341" s="35">
        <v>16</v>
      </c>
      <c r="I5341" s="33" t="s">
        <v>21</v>
      </c>
      <c r="J5341" s="42">
        <v>44330</v>
      </c>
      <c r="K5341" s="33" t="s">
        <v>22</v>
      </c>
    </row>
    <row r="5342" spans="1:11">
      <c r="A5342" s="30" t="s">
        <v>12638</v>
      </c>
      <c r="B5342" s="30" t="s">
        <v>12639</v>
      </c>
      <c r="C5342" s="30" t="s">
        <v>2373</v>
      </c>
      <c r="D5342" s="30" t="s">
        <v>17</v>
      </c>
      <c r="E5342" s="30" t="s">
        <v>26</v>
      </c>
      <c r="F5342" s="30" t="s">
        <v>27</v>
      </c>
      <c r="G5342" s="30" t="s">
        <v>50</v>
      </c>
      <c r="H5342" s="32">
        <v>20</v>
      </c>
      <c r="I5342" s="30" t="s">
        <v>51</v>
      </c>
      <c r="J5342" s="41">
        <v>44202</v>
      </c>
      <c r="K5342" s="30" t="s">
        <v>22</v>
      </c>
    </row>
    <row r="5343" spans="1:11">
      <c r="A5343" s="33" t="s">
        <v>12640</v>
      </c>
      <c r="B5343" s="33" t="s">
        <v>12641</v>
      </c>
      <c r="C5343" s="33" t="s">
        <v>12642</v>
      </c>
      <c r="D5343" s="33" t="s">
        <v>17</v>
      </c>
      <c r="E5343" s="33" t="s">
        <v>26</v>
      </c>
      <c r="F5343" s="33" t="s">
        <v>27</v>
      </c>
      <c r="G5343" s="33" t="s">
        <v>50</v>
      </c>
      <c r="H5343" s="35">
        <v>24</v>
      </c>
      <c r="I5343" s="33" t="s">
        <v>51</v>
      </c>
      <c r="J5343" s="42">
        <v>44260</v>
      </c>
      <c r="K5343" s="33" t="s">
        <v>22</v>
      </c>
    </row>
    <row r="5344" spans="1:11">
      <c r="A5344" s="30" t="s">
        <v>12643</v>
      </c>
      <c r="B5344" s="30" t="s">
        <v>12644</v>
      </c>
      <c r="C5344" s="30" t="s">
        <v>5797</v>
      </c>
      <c r="D5344" s="30" t="s">
        <v>17</v>
      </c>
      <c r="E5344" s="30" t="s">
        <v>26</v>
      </c>
      <c r="F5344" s="30" t="s">
        <v>27</v>
      </c>
      <c r="G5344" s="30" t="s">
        <v>106</v>
      </c>
      <c r="H5344" s="32">
        <v>9</v>
      </c>
      <c r="I5344" s="30" t="s">
        <v>21</v>
      </c>
      <c r="J5344" s="41">
        <v>44560</v>
      </c>
      <c r="K5344" s="30" t="s">
        <v>22</v>
      </c>
    </row>
    <row r="5345" spans="1:11">
      <c r="A5345" s="33" t="s">
        <v>12645</v>
      </c>
      <c r="B5345" s="33" t="s">
        <v>12646</v>
      </c>
      <c r="C5345" s="33" t="s">
        <v>130</v>
      </c>
      <c r="D5345" s="33" t="s">
        <v>17</v>
      </c>
      <c r="E5345" s="33" t="s">
        <v>26</v>
      </c>
      <c r="F5345" s="33" t="s">
        <v>27</v>
      </c>
      <c r="G5345" s="33" t="s">
        <v>20</v>
      </c>
      <c r="H5345" s="35">
        <v>29</v>
      </c>
      <c r="I5345" s="33" t="s">
        <v>21</v>
      </c>
      <c r="J5345" s="42">
        <v>44546</v>
      </c>
      <c r="K5345" s="33" t="s">
        <v>22</v>
      </c>
    </row>
    <row r="5346" spans="1:11">
      <c r="A5346" s="30" t="s">
        <v>12647</v>
      </c>
      <c r="B5346" s="30" t="s">
        <v>12648</v>
      </c>
      <c r="C5346" s="30" t="s">
        <v>60</v>
      </c>
      <c r="D5346" s="30" t="s">
        <v>17</v>
      </c>
      <c r="E5346" s="30" t="s">
        <v>18</v>
      </c>
      <c r="F5346" s="30" t="s">
        <v>19</v>
      </c>
      <c r="G5346" s="30" t="s">
        <v>140</v>
      </c>
      <c r="H5346" s="32">
        <v>52</v>
      </c>
      <c r="I5346" s="30" t="s">
        <v>51</v>
      </c>
      <c r="J5346" s="41">
        <v>44284</v>
      </c>
      <c r="K5346" s="30" t="s">
        <v>22</v>
      </c>
    </row>
    <row r="5347" spans="1:11">
      <c r="A5347" s="33" t="s">
        <v>12649</v>
      </c>
      <c r="B5347" s="33" t="s">
        <v>12650</v>
      </c>
      <c r="C5347" s="33" t="s">
        <v>609</v>
      </c>
      <c r="D5347" s="33" t="s">
        <v>17</v>
      </c>
      <c r="E5347" s="33" t="s">
        <v>45</v>
      </c>
      <c r="F5347" s="33" t="s">
        <v>46</v>
      </c>
      <c r="G5347" s="33" t="s">
        <v>50</v>
      </c>
      <c r="H5347" s="35">
        <v>36</v>
      </c>
      <c r="I5347" s="33" t="s">
        <v>51</v>
      </c>
      <c r="J5347" s="42">
        <v>44461</v>
      </c>
      <c r="K5347" s="33" t="s">
        <v>22</v>
      </c>
    </row>
    <row r="5348" spans="1:11">
      <c r="A5348" s="30" t="s">
        <v>12651</v>
      </c>
      <c r="B5348" s="30" t="s">
        <v>12652</v>
      </c>
      <c r="C5348" s="30" t="s">
        <v>747</v>
      </c>
      <c r="D5348" s="30" t="s">
        <v>17</v>
      </c>
      <c r="E5348" s="30" t="s">
        <v>26</v>
      </c>
      <c r="F5348" s="30" t="s">
        <v>27</v>
      </c>
      <c r="G5348" s="30" t="s">
        <v>20</v>
      </c>
      <c r="H5348" s="32">
        <v>6</v>
      </c>
      <c r="I5348" s="30" t="s">
        <v>21</v>
      </c>
      <c r="J5348" s="41">
        <v>44495</v>
      </c>
      <c r="K5348" s="30" t="s">
        <v>22</v>
      </c>
    </row>
    <row r="5349" spans="1:11">
      <c r="A5349" s="33" t="s">
        <v>12653</v>
      </c>
      <c r="B5349" s="33" t="s">
        <v>12654</v>
      </c>
      <c r="C5349" s="33" t="s">
        <v>8151</v>
      </c>
      <c r="D5349" s="33" t="s">
        <v>17</v>
      </c>
      <c r="E5349" s="33" t="s">
        <v>31</v>
      </c>
      <c r="F5349" s="33" t="s">
        <v>32</v>
      </c>
      <c r="G5349" s="33" t="s">
        <v>106</v>
      </c>
      <c r="H5349" s="35">
        <v>5</v>
      </c>
      <c r="I5349" s="33" t="s">
        <v>21</v>
      </c>
      <c r="J5349" s="42">
        <v>44221</v>
      </c>
      <c r="K5349" s="33" t="s">
        <v>22</v>
      </c>
    </row>
    <row r="5350" spans="1:11">
      <c r="A5350" s="30" t="s">
        <v>12655</v>
      </c>
      <c r="B5350" s="30" t="s">
        <v>12656</v>
      </c>
      <c r="C5350" s="30" t="s">
        <v>109</v>
      </c>
      <c r="D5350" s="30" t="s">
        <v>17</v>
      </c>
      <c r="E5350" s="30" t="s">
        <v>67</v>
      </c>
      <c r="F5350" s="30" t="s">
        <v>68</v>
      </c>
      <c r="G5350" s="30" t="s">
        <v>140</v>
      </c>
      <c r="H5350" s="32">
        <v>34</v>
      </c>
      <c r="I5350" s="30" t="s">
        <v>51</v>
      </c>
      <c r="J5350" s="41">
        <v>44557</v>
      </c>
      <c r="K5350" s="30" t="s">
        <v>22</v>
      </c>
    </row>
    <row r="5351" spans="1:11">
      <c r="A5351" s="33" t="s">
        <v>12657</v>
      </c>
      <c r="B5351" s="33" t="s">
        <v>12658</v>
      </c>
      <c r="C5351" s="33" t="s">
        <v>12659</v>
      </c>
      <c r="D5351" s="33" t="s">
        <v>17</v>
      </c>
      <c r="E5351" s="33" t="s">
        <v>26</v>
      </c>
      <c r="F5351" s="33" t="s">
        <v>27</v>
      </c>
      <c r="G5351" s="33" t="s">
        <v>50</v>
      </c>
      <c r="H5351" s="35">
        <v>72</v>
      </c>
      <c r="I5351" s="33" t="s">
        <v>51</v>
      </c>
      <c r="J5351" s="42">
        <v>44431</v>
      </c>
      <c r="K5351" s="33" t="s">
        <v>22</v>
      </c>
    </row>
    <row r="5352" spans="1:11">
      <c r="A5352" s="30" t="s">
        <v>12660</v>
      </c>
      <c r="B5352" s="30" t="s">
        <v>12661</v>
      </c>
      <c r="C5352" s="30" t="s">
        <v>12662</v>
      </c>
      <c r="D5352" s="30" t="s">
        <v>17</v>
      </c>
      <c r="E5352" s="30" t="s">
        <v>26</v>
      </c>
      <c r="F5352" s="30" t="s">
        <v>27</v>
      </c>
      <c r="G5352" s="30" t="s">
        <v>50</v>
      </c>
      <c r="H5352" s="32">
        <v>50</v>
      </c>
      <c r="I5352" s="30" t="s">
        <v>51</v>
      </c>
      <c r="J5352" s="41">
        <v>44331</v>
      </c>
      <c r="K5352" s="30" t="s">
        <v>22</v>
      </c>
    </row>
    <row r="5353" spans="1:11">
      <c r="A5353" s="33" t="s">
        <v>12663</v>
      </c>
      <c r="B5353" s="33" t="s">
        <v>12664</v>
      </c>
      <c r="C5353" s="33" t="s">
        <v>136</v>
      </c>
      <c r="D5353" s="33" t="s">
        <v>17</v>
      </c>
      <c r="E5353" s="33" t="s">
        <v>26</v>
      </c>
      <c r="F5353" s="33" t="s">
        <v>27</v>
      </c>
      <c r="G5353" s="33" t="s">
        <v>20</v>
      </c>
      <c r="H5353" s="35">
        <v>24</v>
      </c>
      <c r="I5353" s="33" t="s">
        <v>21</v>
      </c>
      <c r="J5353" s="42">
        <v>44511</v>
      </c>
      <c r="K5353" s="33" t="s">
        <v>22</v>
      </c>
    </row>
    <row r="5354" spans="1:11">
      <c r="A5354" s="30" t="s">
        <v>12665</v>
      </c>
      <c r="B5354" s="30" t="s">
        <v>12666</v>
      </c>
      <c r="C5354" s="30" t="s">
        <v>12667</v>
      </c>
      <c r="D5354" s="30" t="s">
        <v>17</v>
      </c>
      <c r="E5354" s="30" t="s">
        <v>67</v>
      </c>
      <c r="F5354" s="30" t="s">
        <v>68</v>
      </c>
      <c r="G5354" s="30" t="s">
        <v>20</v>
      </c>
      <c r="H5354" s="32">
        <v>268</v>
      </c>
      <c r="I5354" s="30" t="s">
        <v>21</v>
      </c>
      <c r="J5354" s="41">
        <v>44293</v>
      </c>
      <c r="K5354" s="30" t="s">
        <v>22</v>
      </c>
    </row>
    <row r="5355" spans="1:11">
      <c r="A5355" s="33" t="s">
        <v>12668</v>
      </c>
      <c r="B5355" s="33" t="s">
        <v>12669</v>
      </c>
      <c r="C5355" s="33" t="s">
        <v>8222</v>
      </c>
      <c r="D5355" s="33" t="s">
        <v>17</v>
      </c>
      <c r="E5355" s="33" t="s">
        <v>18</v>
      </c>
      <c r="F5355" s="33" t="s">
        <v>19</v>
      </c>
      <c r="G5355" s="33" t="s">
        <v>20</v>
      </c>
      <c r="H5355" s="35">
        <v>306</v>
      </c>
      <c r="I5355" s="33" t="s">
        <v>21</v>
      </c>
      <c r="J5355" s="42">
        <v>44311</v>
      </c>
      <c r="K5355" s="33" t="s">
        <v>22</v>
      </c>
    </row>
    <row r="5356" spans="1:11">
      <c r="A5356" s="30" t="s">
        <v>12670</v>
      </c>
      <c r="B5356" s="30" t="s">
        <v>12671</v>
      </c>
      <c r="C5356" s="30" t="s">
        <v>379</v>
      </c>
      <c r="D5356" s="30" t="s">
        <v>17</v>
      </c>
      <c r="E5356" s="30" t="s">
        <v>18</v>
      </c>
      <c r="F5356" s="30" t="s">
        <v>19</v>
      </c>
      <c r="G5356" s="30" t="s">
        <v>20</v>
      </c>
      <c r="H5356" s="32">
        <v>410</v>
      </c>
      <c r="I5356" s="30" t="s">
        <v>21</v>
      </c>
      <c r="J5356" s="41">
        <v>44378</v>
      </c>
      <c r="K5356" s="30" t="s">
        <v>22</v>
      </c>
    </row>
    <row r="5357" spans="1:11">
      <c r="A5357" s="33" t="s">
        <v>12672</v>
      </c>
      <c r="B5357" s="33" t="s">
        <v>12673</v>
      </c>
      <c r="C5357" s="33" t="s">
        <v>78</v>
      </c>
      <c r="D5357" s="33" t="s">
        <v>17</v>
      </c>
      <c r="E5357" s="33" t="s">
        <v>26</v>
      </c>
      <c r="F5357" s="33" t="s">
        <v>27</v>
      </c>
      <c r="G5357" s="33" t="s">
        <v>20</v>
      </c>
      <c r="H5357" s="35">
        <v>25</v>
      </c>
      <c r="I5357" s="33" t="s">
        <v>21</v>
      </c>
      <c r="J5357" s="42">
        <v>44396</v>
      </c>
      <c r="K5357" s="33" t="s">
        <v>22</v>
      </c>
    </row>
    <row r="5358" spans="1:11">
      <c r="A5358" s="30" t="s">
        <v>12674</v>
      </c>
      <c r="B5358" s="30" t="s">
        <v>12675</v>
      </c>
      <c r="C5358" s="30" t="s">
        <v>1778</v>
      </c>
      <c r="D5358" s="30" t="s">
        <v>17</v>
      </c>
      <c r="E5358" s="30" t="s">
        <v>26</v>
      </c>
      <c r="F5358" s="30" t="s">
        <v>27</v>
      </c>
      <c r="G5358" s="30" t="s">
        <v>20</v>
      </c>
      <c r="H5358" s="32">
        <v>61</v>
      </c>
      <c r="I5358" s="30" t="s">
        <v>21</v>
      </c>
      <c r="J5358" s="41">
        <v>44212</v>
      </c>
      <c r="K5358" s="30" t="s">
        <v>22</v>
      </c>
    </row>
    <row r="5359" spans="1:11">
      <c r="A5359" s="33" t="s">
        <v>12676</v>
      </c>
      <c r="B5359" s="33" t="s">
        <v>12677</v>
      </c>
      <c r="C5359" s="33" t="s">
        <v>10273</v>
      </c>
      <c r="D5359" s="33" t="s">
        <v>17</v>
      </c>
      <c r="E5359" s="33" t="s">
        <v>26</v>
      </c>
      <c r="F5359" s="33" t="s">
        <v>27</v>
      </c>
      <c r="G5359" s="33" t="s">
        <v>106</v>
      </c>
      <c r="H5359" s="35">
        <v>32</v>
      </c>
      <c r="I5359" s="33" t="s">
        <v>21</v>
      </c>
      <c r="J5359" s="42">
        <v>44258</v>
      </c>
      <c r="K5359" s="33" t="s">
        <v>22</v>
      </c>
    </row>
    <row r="5360" spans="1:11">
      <c r="A5360" s="30" t="s">
        <v>12678</v>
      </c>
      <c r="B5360" s="30" t="s">
        <v>12679</v>
      </c>
      <c r="C5360" s="30" t="s">
        <v>96</v>
      </c>
      <c r="D5360" s="30" t="s">
        <v>17</v>
      </c>
      <c r="E5360" s="30" t="s">
        <v>18</v>
      </c>
      <c r="F5360" s="30" t="s">
        <v>19</v>
      </c>
      <c r="G5360" s="30" t="s">
        <v>20</v>
      </c>
      <c r="H5360" s="32">
        <v>60</v>
      </c>
      <c r="I5360" s="30" t="s">
        <v>21</v>
      </c>
      <c r="J5360" s="41">
        <v>44470</v>
      </c>
      <c r="K5360" s="30" t="s">
        <v>22</v>
      </c>
    </row>
    <row r="5361" spans="1:11">
      <c r="A5361" s="33" t="s">
        <v>12680</v>
      </c>
      <c r="B5361" s="33" t="s">
        <v>12681</v>
      </c>
      <c r="C5361" s="33" t="s">
        <v>231</v>
      </c>
      <c r="D5361" s="33" t="s">
        <v>17</v>
      </c>
      <c r="E5361" s="33" t="s">
        <v>26</v>
      </c>
      <c r="F5361" s="33" t="s">
        <v>27</v>
      </c>
      <c r="G5361" s="33" t="s">
        <v>158</v>
      </c>
      <c r="H5361" s="35">
        <v>30</v>
      </c>
      <c r="I5361" s="33" t="s">
        <v>21</v>
      </c>
      <c r="J5361" s="42">
        <v>44448</v>
      </c>
      <c r="K5361" s="33" t="s">
        <v>22</v>
      </c>
    </row>
    <row r="5362" spans="1:11">
      <c r="A5362" s="30" t="s">
        <v>12682</v>
      </c>
      <c r="B5362" s="30" t="s">
        <v>12683</v>
      </c>
      <c r="C5362" s="30" t="s">
        <v>310</v>
      </c>
      <c r="D5362" s="30" t="s">
        <v>17</v>
      </c>
      <c r="E5362" s="30" t="s">
        <v>18</v>
      </c>
      <c r="F5362" s="30" t="s">
        <v>19</v>
      </c>
      <c r="G5362" s="30" t="s">
        <v>20</v>
      </c>
      <c r="H5362" s="32">
        <v>36</v>
      </c>
      <c r="I5362" s="30" t="s">
        <v>21</v>
      </c>
      <c r="J5362" s="41">
        <v>44466</v>
      </c>
      <c r="K5362" s="30" t="s">
        <v>22</v>
      </c>
    </row>
    <row r="5363" spans="1:11">
      <c r="A5363" s="33" t="s">
        <v>12684</v>
      </c>
      <c r="B5363" s="33" t="s">
        <v>12685</v>
      </c>
      <c r="C5363" s="33" t="s">
        <v>684</v>
      </c>
      <c r="D5363" s="33" t="s">
        <v>17</v>
      </c>
      <c r="E5363" s="33" t="s">
        <v>26</v>
      </c>
      <c r="F5363" s="33" t="s">
        <v>27</v>
      </c>
      <c r="G5363" s="33" t="s">
        <v>20</v>
      </c>
      <c r="H5363" s="35">
        <v>128</v>
      </c>
      <c r="I5363" s="33" t="s">
        <v>21</v>
      </c>
      <c r="J5363" s="42">
        <v>44396</v>
      </c>
      <c r="K5363" s="33" t="s">
        <v>22</v>
      </c>
    </row>
    <row r="5364" spans="1:11">
      <c r="A5364" s="30" t="s">
        <v>12686</v>
      </c>
      <c r="B5364" s="30" t="s">
        <v>12687</v>
      </c>
      <c r="C5364" s="30" t="s">
        <v>12688</v>
      </c>
      <c r="D5364" s="30" t="s">
        <v>17</v>
      </c>
      <c r="E5364" s="30" t="s">
        <v>67</v>
      </c>
      <c r="F5364" s="30" t="s">
        <v>68</v>
      </c>
      <c r="G5364" s="30" t="s">
        <v>20</v>
      </c>
      <c r="H5364" s="32">
        <v>166</v>
      </c>
      <c r="I5364" s="30" t="s">
        <v>21</v>
      </c>
      <c r="J5364" s="41">
        <v>44382</v>
      </c>
      <c r="K5364" s="30" t="s">
        <v>22</v>
      </c>
    </row>
    <row r="5365" spans="1:11">
      <c r="A5365" s="33" t="s">
        <v>12689</v>
      </c>
      <c r="B5365" s="33" t="s">
        <v>12690</v>
      </c>
      <c r="C5365" s="33" t="s">
        <v>12691</v>
      </c>
      <c r="D5365" s="33" t="s">
        <v>17</v>
      </c>
      <c r="E5365" s="33" t="s">
        <v>18</v>
      </c>
      <c r="F5365" s="33" t="s">
        <v>19</v>
      </c>
      <c r="G5365" s="33" t="s">
        <v>20</v>
      </c>
      <c r="H5365" s="35">
        <v>68</v>
      </c>
      <c r="I5365" s="33" t="s">
        <v>21</v>
      </c>
      <c r="J5365" s="42">
        <v>44448</v>
      </c>
      <c r="K5365" s="33" t="s">
        <v>22</v>
      </c>
    </row>
    <row r="5366" spans="1:11">
      <c r="A5366" s="30" t="s">
        <v>12692</v>
      </c>
      <c r="B5366" s="30" t="s">
        <v>12693</v>
      </c>
      <c r="C5366" s="30" t="s">
        <v>647</v>
      </c>
      <c r="D5366" s="30" t="s">
        <v>17</v>
      </c>
      <c r="E5366" s="30" t="s">
        <v>31</v>
      </c>
      <c r="F5366" s="30" t="s">
        <v>32</v>
      </c>
      <c r="G5366" s="30" t="s">
        <v>106</v>
      </c>
      <c r="H5366" s="32">
        <v>99</v>
      </c>
      <c r="I5366" s="30" t="s">
        <v>21</v>
      </c>
      <c r="J5366" s="41">
        <v>44336</v>
      </c>
      <c r="K5366" s="30" t="s">
        <v>22</v>
      </c>
    </row>
    <row r="5367" spans="1:11">
      <c r="A5367" s="33" t="s">
        <v>12694</v>
      </c>
      <c r="B5367" s="33" t="s">
        <v>12695</v>
      </c>
      <c r="C5367" s="33" t="s">
        <v>187</v>
      </c>
      <c r="D5367" s="33" t="s">
        <v>17</v>
      </c>
      <c r="E5367" s="33" t="s">
        <v>26</v>
      </c>
      <c r="F5367" s="33" t="s">
        <v>27</v>
      </c>
      <c r="G5367" s="33" t="s">
        <v>50</v>
      </c>
      <c r="H5367" s="35">
        <v>20</v>
      </c>
      <c r="I5367" s="33" t="s">
        <v>51</v>
      </c>
      <c r="J5367" s="42">
        <v>44409</v>
      </c>
      <c r="K5367" s="33" t="s">
        <v>22</v>
      </c>
    </row>
    <row r="5368" spans="1:11">
      <c r="A5368" s="30" t="s">
        <v>12696</v>
      </c>
      <c r="B5368" s="30" t="s">
        <v>12697</v>
      </c>
      <c r="C5368" s="30" t="s">
        <v>203</v>
      </c>
      <c r="D5368" s="30" t="s">
        <v>17</v>
      </c>
      <c r="E5368" s="30" t="s">
        <v>212</v>
      </c>
      <c r="F5368" s="30" t="s">
        <v>213</v>
      </c>
      <c r="G5368" s="30" t="s">
        <v>20</v>
      </c>
      <c r="H5368" s="32">
        <v>12</v>
      </c>
      <c r="I5368" s="30" t="s">
        <v>21</v>
      </c>
      <c r="J5368" s="41">
        <v>44257</v>
      </c>
      <c r="K5368" s="30" t="s">
        <v>22</v>
      </c>
    </row>
    <row r="5369" spans="1:11">
      <c r="A5369" s="33" t="s">
        <v>12698</v>
      </c>
      <c r="B5369" s="33" t="s">
        <v>12699</v>
      </c>
      <c r="C5369" s="33" t="s">
        <v>78</v>
      </c>
      <c r="D5369" s="33" t="s">
        <v>17</v>
      </c>
      <c r="E5369" s="33" t="s">
        <v>26</v>
      </c>
      <c r="F5369" s="33" t="s">
        <v>27</v>
      </c>
      <c r="G5369" s="33" t="s">
        <v>50</v>
      </c>
      <c r="H5369" s="35">
        <v>60</v>
      </c>
      <c r="I5369" s="33" t="s">
        <v>51</v>
      </c>
      <c r="J5369" s="42">
        <v>44313</v>
      </c>
      <c r="K5369" s="33" t="s">
        <v>22</v>
      </c>
    </row>
    <row r="5370" spans="1:11">
      <c r="A5370" s="30" t="s">
        <v>12700</v>
      </c>
      <c r="B5370" s="30" t="s">
        <v>12701</v>
      </c>
      <c r="C5370" s="30" t="s">
        <v>75</v>
      </c>
      <c r="D5370" s="30" t="s">
        <v>17</v>
      </c>
      <c r="E5370" s="30" t="s">
        <v>67</v>
      </c>
      <c r="F5370" s="30" t="s">
        <v>68</v>
      </c>
      <c r="G5370" s="30" t="s">
        <v>106</v>
      </c>
      <c r="H5370" s="32">
        <v>15</v>
      </c>
      <c r="I5370" s="30" t="s">
        <v>21</v>
      </c>
      <c r="J5370" s="41">
        <v>44350</v>
      </c>
      <c r="K5370" s="30" t="s">
        <v>22</v>
      </c>
    </row>
    <row r="5371" spans="1:11">
      <c r="A5371" s="33" t="s">
        <v>12702</v>
      </c>
      <c r="B5371" s="33" t="s">
        <v>12703</v>
      </c>
      <c r="C5371" s="33" t="s">
        <v>374</v>
      </c>
      <c r="D5371" s="33" t="s">
        <v>17</v>
      </c>
      <c r="E5371" s="33" t="s">
        <v>26</v>
      </c>
      <c r="F5371" s="33" t="s">
        <v>27</v>
      </c>
      <c r="G5371" s="33" t="s">
        <v>20</v>
      </c>
      <c r="H5371" s="35">
        <v>15</v>
      </c>
      <c r="I5371" s="33" t="s">
        <v>21</v>
      </c>
      <c r="J5371" s="42">
        <v>44384</v>
      </c>
      <c r="K5371" s="33" t="s">
        <v>22</v>
      </c>
    </row>
    <row r="5372" spans="1:11">
      <c r="A5372" s="30" t="s">
        <v>12704</v>
      </c>
      <c r="B5372" s="30" t="s">
        <v>12705</v>
      </c>
      <c r="C5372" s="30" t="s">
        <v>8211</v>
      </c>
      <c r="D5372" s="30" t="s">
        <v>17</v>
      </c>
      <c r="E5372" s="30" t="s">
        <v>26</v>
      </c>
      <c r="F5372" s="30" t="s">
        <v>27</v>
      </c>
      <c r="G5372" s="30" t="s">
        <v>50</v>
      </c>
      <c r="H5372" s="32">
        <v>22</v>
      </c>
      <c r="I5372" s="30" t="s">
        <v>51</v>
      </c>
      <c r="J5372" s="41">
        <v>44409</v>
      </c>
      <c r="K5372" s="30" t="s">
        <v>22</v>
      </c>
    </row>
    <row r="5373" spans="1:11">
      <c r="A5373" s="33" t="s">
        <v>12706</v>
      </c>
      <c r="B5373" s="33" t="s">
        <v>12707</v>
      </c>
      <c r="C5373" s="33" t="s">
        <v>2660</v>
      </c>
      <c r="D5373" s="33" t="s">
        <v>17</v>
      </c>
      <c r="E5373" s="33" t="s">
        <v>26</v>
      </c>
      <c r="F5373" s="33" t="s">
        <v>27</v>
      </c>
      <c r="G5373" s="33" t="s">
        <v>20</v>
      </c>
      <c r="H5373" s="35">
        <v>18</v>
      </c>
      <c r="I5373" s="33" t="s">
        <v>21</v>
      </c>
      <c r="J5373" s="42">
        <v>44257</v>
      </c>
      <c r="K5373" s="33" t="s">
        <v>22</v>
      </c>
    </row>
    <row r="5374" spans="1:11">
      <c r="A5374" s="30" t="s">
        <v>12708</v>
      </c>
      <c r="B5374" s="30" t="s">
        <v>12709</v>
      </c>
      <c r="C5374" s="30" t="s">
        <v>8796</v>
      </c>
      <c r="D5374" s="30" t="s">
        <v>17</v>
      </c>
      <c r="E5374" s="30" t="s">
        <v>67</v>
      </c>
      <c r="F5374" s="30" t="s">
        <v>68</v>
      </c>
      <c r="G5374" s="30" t="s">
        <v>20</v>
      </c>
      <c r="H5374" s="32">
        <v>6</v>
      </c>
      <c r="I5374" s="30" t="s">
        <v>21</v>
      </c>
      <c r="J5374" s="41">
        <v>44349</v>
      </c>
      <c r="K5374" s="30" t="s">
        <v>22</v>
      </c>
    </row>
    <row r="5375" spans="1:11">
      <c r="A5375" s="33" t="s">
        <v>12710</v>
      </c>
      <c r="B5375" s="33" t="s">
        <v>12711</v>
      </c>
      <c r="C5375" s="33" t="s">
        <v>12712</v>
      </c>
      <c r="D5375" s="33" t="s">
        <v>17</v>
      </c>
      <c r="E5375" s="33" t="s">
        <v>26</v>
      </c>
      <c r="F5375" s="33" t="s">
        <v>27</v>
      </c>
      <c r="G5375" s="33" t="s">
        <v>112</v>
      </c>
      <c r="H5375" s="35">
        <v>0</v>
      </c>
      <c r="I5375" s="33" t="s">
        <v>21</v>
      </c>
      <c r="J5375" s="42">
        <v>44348</v>
      </c>
      <c r="K5375" s="33" t="s">
        <v>22</v>
      </c>
    </row>
    <row r="5376" spans="1:11">
      <c r="A5376" s="30" t="s">
        <v>12713</v>
      </c>
      <c r="B5376" s="30" t="s">
        <v>12714</v>
      </c>
      <c r="C5376" s="30" t="s">
        <v>1305</v>
      </c>
      <c r="D5376" s="30" t="s">
        <v>17</v>
      </c>
      <c r="E5376" s="30" t="s">
        <v>212</v>
      </c>
      <c r="F5376" s="30" t="s">
        <v>213</v>
      </c>
      <c r="G5376" s="30" t="s">
        <v>20</v>
      </c>
      <c r="H5376" s="32">
        <v>464</v>
      </c>
      <c r="I5376" s="30" t="s">
        <v>21</v>
      </c>
      <c r="J5376" s="41">
        <v>44370</v>
      </c>
      <c r="K5376" s="30" t="s">
        <v>22</v>
      </c>
    </row>
    <row r="5377" spans="1:11">
      <c r="A5377" s="33" t="s">
        <v>12715</v>
      </c>
      <c r="B5377" s="33" t="s">
        <v>12716</v>
      </c>
      <c r="C5377" s="33" t="s">
        <v>109</v>
      </c>
      <c r="D5377" s="33" t="s">
        <v>17</v>
      </c>
      <c r="E5377" s="33" t="s">
        <v>31</v>
      </c>
      <c r="F5377" s="33" t="s">
        <v>32</v>
      </c>
      <c r="G5377" s="33" t="s">
        <v>106</v>
      </c>
      <c r="H5377" s="35">
        <v>204</v>
      </c>
      <c r="I5377" s="33" t="s">
        <v>21</v>
      </c>
      <c r="J5377" s="42">
        <v>44515</v>
      </c>
      <c r="K5377" s="33" t="s">
        <v>22</v>
      </c>
    </row>
    <row r="5378" spans="1:11">
      <c r="A5378" s="30" t="s">
        <v>12717</v>
      </c>
      <c r="B5378" s="30" t="s">
        <v>12718</v>
      </c>
      <c r="C5378" s="30" t="s">
        <v>5040</v>
      </c>
      <c r="D5378" s="30" t="s">
        <v>17</v>
      </c>
      <c r="E5378" s="30" t="s">
        <v>212</v>
      </c>
      <c r="F5378" s="30" t="s">
        <v>213</v>
      </c>
      <c r="G5378" s="30" t="s">
        <v>2613</v>
      </c>
      <c r="H5378" s="32">
        <v>703</v>
      </c>
      <c r="I5378" s="30" t="s">
        <v>51</v>
      </c>
      <c r="J5378" s="41">
        <v>44548</v>
      </c>
      <c r="K5378" s="30" t="s">
        <v>22</v>
      </c>
    </row>
    <row r="5379" spans="1:11">
      <c r="A5379" s="33" t="s">
        <v>12719</v>
      </c>
      <c r="B5379" s="33" t="s">
        <v>12720</v>
      </c>
      <c r="C5379" s="33" t="s">
        <v>1571</v>
      </c>
      <c r="D5379" s="33" t="s">
        <v>17</v>
      </c>
      <c r="E5379" s="33" t="s">
        <v>67</v>
      </c>
      <c r="F5379" s="33" t="s">
        <v>68</v>
      </c>
      <c r="G5379" s="33" t="s">
        <v>50</v>
      </c>
      <c r="H5379" s="35">
        <v>108</v>
      </c>
      <c r="I5379" s="33" t="s">
        <v>51</v>
      </c>
      <c r="J5379" s="42">
        <v>44350</v>
      </c>
      <c r="K5379" s="33" t="s">
        <v>22</v>
      </c>
    </row>
    <row r="5380" spans="1:11">
      <c r="A5380" s="30" t="s">
        <v>12721</v>
      </c>
      <c r="B5380" s="30" t="s">
        <v>12722</v>
      </c>
      <c r="C5380" s="30" t="s">
        <v>12723</v>
      </c>
      <c r="D5380" s="30" t="s">
        <v>17</v>
      </c>
      <c r="E5380" s="30" t="s">
        <v>31</v>
      </c>
      <c r="F5380" s="30" t="s">
        <v>32</v>
      </c>
      <c r="G5380" s="30" t="s">
        <v>20</v>
      </c>
      <c r="H5380" s="32">
        <v>22</v>
      </c>
      <c r="I5380" s="30" t="s">
        <v>21</v>
      </c>
      <c r="J5380" s="41">
        <v>44427</v>
      </c>
      <c r="K5380" s="30" t="s">
        <v>22</v>
      </c>
    </row>
    <row r="5381" spans="1:11">
      <c r="A5381" s="33" t="s">
        <v>12724</v>
      </c>
      <c r="B5381" s="33" t="s">
        <v>12725</v>
      </c>
      <c r="C5381" s="33" t="s">
        <v>11407</v>
      </c>
      <c r="D5381" s="33" t="s">
        <v>17</v>
      </c>
      <c r="E5381" s="33" t="s">
        <v>26</v>
      </c>
      <c r="F5381" s="33" t="s">
        <v>27</v>
      </c>
      <c r="G5381" s="33" t="s">
        <v>140</v>
      </c>
      <c r="H5381" s="35">
        <v>464</v>
      </c>
      <c r="I5381" s="33" t="s">
        <v>51</v>
      </c>
      <c r="J5381" s="42">
        <v>44316</v>
      </c>
      <c r="K5381" s="33" t="s">
        <v>22</v>
      </c>
    </row>
    <row r="5382" spans="1:11">
      <c r="A5382" s="30" t="s">
        <v>12726</v>
      </c>
      <c r="B5382" s="30" t="s">
        <v>12727</v>
      </c>
      <c r="C5382" s="30" t="s">
        <v>387</v>
      </c>
      <c r="D5382" s="30" t="s">
        <v>17</v>
      </c>
      <c r="E5382" s="30" t="s">
        <v>18</v>
      </c>
      <c r="F5382" s="30" t="s">
        <v>19</v>
      </c>
      <c r="G5382" s="30" t="s">
        <v>140</v>
      </c>
      <c r="H5382" s="32">
        <v>600</v>
      </c>
      <c r="I5382" s="30" t="s">
        <v>51</v>
      </c>
      <c r="J5382" s="41">
        <v>44531</v>
      </c>
      <c r="K5382" s="30" t="s">
        <v>22</v>
      </c>
    </row>
    <row r="5383" spans="1:11">
      <c r="A5383" s="33" t="s">
        <v>12728</v>
      </c>
      <c r="B5383" s="33" t="s">
        <v>12729</v>
      </c>
      <c r="C5383" s="33" t="s">
        <v>647</v>
      </c>
      <c r="D5383" s="33" t="s">
        <v>17</v>
      </c>
      <c r="E5383" s="33" t="s">
        <v>31</v>
      </c>
      <c r="F5383" s="33" t="s">
        <v>32</v>
      </c>
      <c r="G5383" s="33" t="s">
        <v>20</v>
      </c>
      <c r="H5383" s="35">
        <v>126</v>
      </c>
      <c r="I5383" s="33" t="s">
        <v>21</v>
      </c>
      <c r="J5383" s="42">
        <v>44392</v>
      </c>
      <c r="K5383" s="33" t="s">
        <v>22</v>
      </c>
    </row>
    <row r="5384" spans="1:11">
      <c r="A5384" s="30" t="s">
        <v>12730</v>
      </c>
      <c r="B5384" s="30" t="s">
        <v>12731</v>
      </c>
      <c r="C5384" s="30" t="s">
        <v>368</v>
      </c>
      <c r="D5384" s="30" t="s">
        <v>17</v>
      </c>
      <c r="E5384" s="30" t="s">
        <v>31</v>
      </c>
      <c r="F5384" s="30" t="s">
        <v>32</v>
      </c>
      <c r="G5384" s="30" t="s">
        <v>20</v>
      </c>
      <c r="H5384" s="32">
        <v>99</v>
      </c>
      <c r="I5384" s="30" t="s">
        <v>21</v>
      </c>
      <c r="J5384" s="41">
        <v>44522</v>
      </c>
      <c r="K5384" s="30" t="s">
        <v>22</v>
      </c>
    </row>
    <row r="5385" spans="1:11">
      <c r="A5385" s="33" t="s">
        <v>12732</v>
      </c>
      <c r="B5385" s="33" t="s">
        <v>12733</v>
      </c>
      <c r="C5385" s="33" t="s">
        <v>12734</v>
      </c>
      <c r="D5385" s="33" t="s">
        <v>17</v>
      </c>
      <c r="E5385" s="33" t="s">
        <v>31</v>
      </c>
      <c r="F5385" s="33" t="s">
        <v>32</v>
      </c>
      <c r="G5385" s="33" t="s">
        <v>20</v>
      </c>
      <c r="H5385" s="35">
        <v>171</v>
      </c>
      <c r="I5385" s="33" t="s">
        <v>21</v>
      </c>
      <c r="J5385" s="42">
        <v>44435</v>
      </c>
      <c r="K5385" s="33" t="s">
        <v>22</v>
      </c>
    </row>
    <row r="5386" spans="1:11">
      <c r="A5386" s="30" t="s">
        <v>12735</v>
      </c>
      <c r="B5386" s="30" t="s">
        <v>12736</v>
      </c>
      <c r="C5386" s="30" t="s">
        <v>12737</v>
      </c>
      <c r="D5386" s="30" t="s">
        <v>17</v>
      </c>
      <c r="E5386" s="30" t="s">
        <v>31</v>
      </c>
      <c r="F5386" s="30" t="s">
        <v>32</v>
      </c>
      <c r="G5386" s="30" t="s">
        <v>20</v>
      </c>
      <c r="H5386" s="32">
        <v>29</v>
      </c>
      <c r="I5386" s="30" t="s">
        <v>21</v>
      </c>
      <c r="J5386" s="41">
        <v>44389</v>
      </c>
      <c r="K5386" s="30" t="s">
        <v>22</v>
      </c>
    </row>
    <row r="5387" spans="1:11">
      <c r="A5387" s="33" t="s">
        <v>12738</v>
      </c>
      <c r="B5387" s="33" t="s">
        <v>12739</v>
      </c>
      <c r="C5387" s="33" t="s">
        <v>12740</v>
      </c>
      <c r="D5387" s="33" t="s">
        <v>17</v>
      </c>
      <c r="E5387" s="33" t="s">
        <v>67</v>
      </c>
      <c r="F5387" s="33" t="s">
        <v>68</v>
      </c>
      <c r="G5387" s="33" t="s">
        <v>106</v>
      </c>
      <c r="H5387" s="35">
        <v>27</v>
      </c>
      <c r="I5387" s="33" t="s">
        <v>21</v>
      </c>
      <c r="J5387" s="42">
        <v>44434</v>
      </c>
      <c r="K5387" s="33" t="s">
        <v>22</v>
      </c>
    </row>
    <row r="5388" spans="1:11">
      <c r="A5388" s="30" t="s">
        <v>12741</v>
      </c>
      <c r="B5388" s="30" t="s">
        <v>12742</v>
      </c>
      <c r="C5388" s="30" t="s">
        <v>157</v>
      </c>
      <c r="D5388" s="30" t="s">
        <v>17</v>
      </c>
      <c r="E5388" s="30" t="s">
        <v>212</v>
      </c>
      <c r="F5388" s="30" t="s">
        <v>213</v>
      </c>
      <c r="G5388" s="30" t="s">
        <v>158</v>
      </c>
      <c r="H5388" s="32">
        <v>200</v>
      </c>
      <c r="I5388" s="30" t="s">
        <v>51</v>
      </c>
      <c r="J5388" s="41">
        <v>44372</v>
      </c>
      <c r="K5388" s="30" t="s">
        <v>22</v>
      </c>
    </row>
    <row r="5389" spans="1:11">
      <c r="A5389" s="33" t="s">
        <v>12743</v>
      </c>
      <c r="B5389" s="33" t="s">
        <v>12744</v>
      </c>
      <c r="C5389" s="33" t="s">
        <v>12745</v>
      </c>
      <c r="D5389" s="33" t="s">
        <v>17</v>
      </c>
      <c r="E5389" s="33" t="s">
        <v>26</v>
      </c>
      <c r="F5389" s="33" t="s">
        <v>27</v>
      </c>
      <c r="G5389" s="33" t="s">
        <v>20</v>
      </c>
      <c r="H5389" s="35">
        <v>52</v>
      </c>
      <c r="I5389" s="33" t="s">
        <v>21</v>
      </c>
      <c r="J5389" s="42">
        <v>44425</v>
      </c>
      <c r="K5389" s="33" t="s">
        <v>22</v>
      </c>
    </row>
    <row r="5390" spans="1:11">
      <c r="A5390" s="30" t="s">
        <v>12746</v>
      </c>
      <c r="B5390" s="30" t="s">
        <v>12747</v>
      </c>
      <c r="C5390" s="30" t="s">
        <v>2094</v>
      </c>
      <c r="D5390" s="30" t="s">
        <v>17</v>
      </c>
      <c r="E5390" s="30" t="s">
        <v>31</v>
      </c>
      <c r="F5390" s="30" t="s">
        <v>32</v>
      </c>
      <c r="G5390" s="30" t="s">
        <v>20</v>
      </c>
      <c r="H5390" s="32">
        <v>317</v>
      </c>
      <c r="I5390" s="30" t="s">
        <v>21</v>
      </c>
      <c r="J5390" s="41">
        <v>44253</v>
      </c>
      <c r="K5390" s="30" t="s">
        <v>22</v>
      </c>
    </row>
    <row r="5391" spans="1:11">
      <c r="A5391" s="33" t="s">
        <v>12748</v>
      </c>
      <c r="B5391" s="33" t="s">
        <v>12749</v>
      </c>
      <c r="C5391" s="33" t="s">
        <v>12750</v>
      </c>
      <c r="D5391" s="33" t="s">
        <v>17</v>
      </c>
      <c r="E5391" s="33" t="s">
        <v>18</v>
      </c>
      <c r="F5391" s="33" t="s">
        <v>19</v>
      </c>
      <c r="G5391" s="33" t="s">
        <v>20</v>
      </c>
      <c r="H5391" s="35">
        <v>94</v>
      </c>
      <c r="I5391" s="33" t="s">
        <v>21</v>
      </c>
      <c r="J5391" s="42">
        <v>44210</v>
      </c>
      <c r="K5391" s="33" t="s">
        <v>22</v>
      </c>
    </row>
    <row r="5392" spans="1:11">
      <c r="A5392" s="30" t="s">
        <v>12751</v>
      </c>
      <c r="B5392" s="30" t="s">
        <v>12752</v>
      </c>
      <c r="C5392" s="30" t="s">
        <v>647</v>
      </c>
      <c r="D5392" s="30" t="s">
        <v>17</v>
      </c>
      <c r="E5392" s="30" t="s">
        <v>18</v>
      </c>
      <c r="F5392" s="30" t="s">
        <v>19</v>
      </c>
      <c r="G5392" s="30" t="s">
        <v>158</v>
      </c>
      <c r="H5392" s="32">
        <v>340</v>
      </c>
      <c r="I5392" s="30" t="s">
        <v>51</v>
      </c>
      <c r="J5392" s="41">
        <v>44365</v>
      </c>
      <c r="K5392" s="30" t="s">
        <v>22</v>
      </c>
    </row>
    <row r="5393" spans="1:11">
      <c r="A5393" s="33" t="s">
        <v>12753</v>
      </c>
      <c r="B5393" s="33" t="s">
        <v>12754</v>
      </c>
      <c r="C5393" s="33" t="s">
        <v>12755</v>
      </c>
      <c r="D5393" s="33" t="s">
        <v>17</v>
      </c>
      <c r="E5393" s="33" t="s">
        <v>67</v>
      </c>
      <c r="F5393" s="33" t="s">
        <v>68</v>
      </c>
      <c r="G5393" s="33" t="s">
        <v>106</v>
      </c>
      <c r="H5393" s="35">
        <v>13</v>
      </c>
      <c r="I5393" s="33" t="s">
        <v>21</v>
      </c>
      <c r="J5393" s="42">
        <v>44453</v>
      </c>
      <c r="K5393" s="33" t="s">
        <v>22</v>
      </c>
    </row>
    <row r="5394" spans="1:11">
      <c r="A5394" s="30" t="s">
        <v>12756</v>
      </c>
      <c r="B5394" s="30" t="s">
        <v>12757</v>
      </c>
      <c r="C5394" s="30" t="s">
        <v>5774</v>
      </c>
      <c r="D5394" s="30" t="s">
        <v>17</v>
      </c>
      <c r="E5394" s="30" t="s">
        <v>26</v>
      </c>
      <c r="F5394" s="30" t="s">
        <v>27</v>
      </c>
      <c r="G5394" s="30" t="s">
        <v>20</v>
      </c>
      <c r="H5394" s="32">
        <v>44</v>
      </c>
      <c r="I5394" s="30" t="s">
        <v>21</v>
      </c>
      <c r="J5394" s="41">
        <v>44300</v>
      </c>
      <c r="K5394" s="30" t="s">
        <v>22</v>
      </c>
    </row>
    <row r="5395" spans="1:11">
      <c r="A5395" s="33" t="s">
        <v>12758</v>
      </c>
      <c r="B5395" s="33" t="s">
        <v>12759</v>
      </c>
      <c r="C5395" s="33" t="s">
        <v>535</v>
      </c>
      <c r="D5395" s="33" t="s">
        <v>17</v>
      </c>
      <c r="E5395" s="33" t="s">
        <v>18</v>
      </c>
      <c r="F5395" s="33" t="s">
        <v>19</v>
      </c>
      <c r="G5395" s="33" t="s">
        <v>20</v>
      </c>
      <c r="H5395" s="35">
        <v>9902</v>
      </c>
      <c r="I5395" s="33" t="s">
        <v>21</v>
      </c>
      <c r="J5395" s="42">
        <v>44555</v>
      </c>
      <c r="K5395" s="33" t="s">
        <v>22</v>
      </c>
    </row>
    <row r="5396" spans="1:11">
      <c r="A5396" s="30" t="s">
        <v>12760</v>
      </c>
      <c r="B5396" s="30" t="s">
        <v>12761</v>
      </c>
      <c r="C5396" s="30" t="s">
        <v>3004</v>
      </c>
      <c r="D5396" s="30" t="s">
        <v>17</v>
      </c>
      <c r="E5396" s="30" t="s">
        <v>18</v>
      </c>
      <c r="F5396" s="30" t="s">
        <v>19</v>
      </c>
      <c r="G5396" s="30" t="s">
        <v>158</v>
      </c>
      <c r="H5396" s="32">
        <v>500</v>
      </c>
      <c r="I5396" s="30" t="s">
        <v>51</v>
      </c>
      <c r="J5396" s="41">
        <v>44294</v>
      </c>
      <c r="K5396" s="30" t="s">
        <v>22</v>
      </c>
    </row>
    <row r="5397" spans="1:11">
      <c r="A5397" s="33" t="s">
        <v>12762</v>
      </c>
      <c r="B5397" s="33" t="s">
        <v>12763</v>
      </c>
      <c r="C5397" s="33" t="s">
        <v>3655</v>
      </c>
      <c r="D5397" s="33" t="s">
        <v>17</v>
      </c>
      <c r="E5397" s="33" t="s">
        <v>18</v>
      </c>
      <c r="F5397" s="33" t="s">
        <v>19</v>
      </c>
      <c r="G5397" s="33" t="s">
        <v>20</v>
      </c>
      <c r="H5397" s="35">
        <v>16372</v>
      </c>
      <c r="I5397" s="33" t="s">
        <v>21</v>
      </c>
      <c r="J5397" s="42">
        <v>44378</v>
      </c>
      <c r="K5397" s="33" t="s">
        <v>22</v>
      </c>
    </row>
    <row r="5398" spans="1:11">
      <c r="A5398" s="30" t="s">
        <v>12764</v>
      </c>
      <c r="B5398" s="30" t="s">
        <v>12765</v>
      </c>
      <c r="C5398" s="30" t="s">
        <v>1090</v>
      </c>
      <c r="D5398" s="30" t="s">
        <v>17</v>
      </c>
      <c r="E5398" s="30" t="s">
        <v>26</v>
      </c>
      <c r="F5398" s="30" t="s">
        <v>27</v>
      </c>
      <c r="G5398" s="30" t="s">
        <v>50</v>
      </c>
      <c r="H5398" s="32">
        <v>18</v>
      </c>
      <c r="I5398" s="30" t="s">
        <v>51</v>
      </c>
      <c r="J5398" s="41">
        <v>44352</v>
      </c>
      <c r="K5398" s="30" t="s">
        <v>22</v>
      </c>
    </row>
    <row r="5399" spans="1:11">
      <c r="A5399" s="33" t="s">
        <v>12766</v>
      </c>
      <c r="B5399" s="33" t="s">
        <v>12767</v>
      </c>
      <c r="C5399" s="33" t="s">
        <v>136</v>
      </c>
      <c r="D5399" s="33" t="s">
        <v>17</v>
      </c>
      <c r="E5399" s="33" t="s">
        <v>26</v>
      </c>
      <c r="F5399" s="33" t="s">
        <v>27</v>
      </c>
      <c r="G5399" s="33" t="s">
        <v>20</v>
      </c>
      <c r="H5399" s="35">
        <v>6</v>
      </c>
      <c r="I5399" s="33" t="s">
        <v>21</v>
      </c>
      <c r="J5399" s="42">
        <v>44284</v>
      </c>
      <c r="K5399" s="33" t="s">
        <v>22</v>
      </c>
    </row>
    <row r="5400" spans="1:11">
      <c r="A5400" s="30" t="s">
        <v>12768</v>
      </c>
      <c r="B5400" s="30" t="s">
        <v>12769</v>
      </c>
      <c r="C5400" s="30" t="s">
        <v>3429</v>
      </c>
      <c r="D5400" s="30" t="s">
        <v>17</v>
      </c>
      <c r="E5400" s="30" t="s">
        <v>67</v>
      </c>
      <c r="F5400" s="30" t="s">
        <v>68</v>
      </c>
      <c r="G5400" s="30" t="s">
        <v>20</v>
      </c>
      <c r="H5400" s="32">
        <v>48</v>
      </c>
      <c r="I5400" s="30" t="s">
        <v>21</v>
      </c>
      <c r="J5400" s="41">
        <v>44280</v>
      </c>
      <c r="K5400" s="30" t="s">
        <v>22</v>
      </c>
    </row>
    <row r="5401" spans="1:11">
      <c r="A5401" s="33" t="s">
        <v>12770</v>
      </c>
      <c r="B5401" s="33" t="s">
        <v>12771</v>
      </c>
      <c r="C5401" s="33" t="s">
        <v>12772</v>
      </c>
      <c r="D5401" s="33" t="s">
        <v>17</v>
      </c>
      <c r="E5401" s="33" t="s">
        <v>26</v>
      </c>
      <c r="F5401" s="33" t="s">
        <v>27</v>
      </c>
      <c r="G5401" s="33" t="s">
        <v>158</v>
      </c>
      <c r="H5401" s="35">
        <v>21</v>
      </c>
      <c r="I5401" s="33" t="s">
        <v>51</v>
      </c>
      <c r="J5401" s="42">
        <v>44447</v>
      </c>
      <c r="K5401" s="33" t="s">
        <v>22</v>
      </c>
    </row>
    <row r="5402" spans="1:11">
      <c r="A5402" s="30" t="s">
        <v>12773</v>
      </c>
      <c r="B5402" s="30" t="s">
        <v>12774</v>
      </c>
      <c r="C5402" s="30" t="s">
        <v>3944</v>
      </c>
      <c r="D5402" s="30" t="s">
        <v>17</v>
      </c>
      <c r="E5402" s="30" t="s">
        <v>67</v>
      </c>
      <c r="F5402" s="30" t="s">
        <v>68</v>
      </c>
      <c r="G5402" s="30" t="s">
        <v>140</v>
      </c>
      <c r="H5402" s="32">
        <v>80</v>
      </c>
      <c r="I5402" s="30" t="s">
        <v>51</v>
      </c>
      <c r="J5402" s="41">
        <v>44262</v>
      </c>
      <c r="K5402" s="30" t="s">
        <v>22</v>
      </c>
    </row>
    <row r="5403" spans="1:11">
      <c r="A5403" s="33" t="s">
        <v>12775</v>
      </c>
      <c r="B5403" s="33" t="s">
        <v>12776</v>
      </c>
      <c r="C5403" s="33" t="s">
        <v>3665</v>
      </c>
      <c r="D5403" s="33" t="s">
        <v>17</v>
      </c>
      <c r="E5403" s="33" t="s">
        <v>18</v>
      </c>
      <c r="F5403" s="33" t="s">
        <v>19</v>
      </c>
      <c r="G5403" s="33" t="s">
        <v>140</v>
      </c>
      <c r="H5403" s="35">
        <v>495</v>
      </c>
      <c r="I5403" s="33" t="s">
        <v>51</v>
      </c>
      <c r="J5403" s="42">
        <v>44229</v>
      </c>
      <c r="K5403" s="33" t="s">
        <v>22</v>
      </c>
    </row>
    <row r="5404" spans="1:11">
      <c r="A5404" s="30" t="s">
        <v>12777</v>
      </c>
      <c r="B5404" s="30" t="s">
        <v>12778</v>
      </c>
      <c r="C5404" s="30" t="s">
        <v>44</v>
      </c>
      <c r="D5404" s="30" t="s">
        <v>17</v>
      </c>
      <c r="E5404" s="30" t="s">
        <v>45</v>
      </c>
      <c r="F5404" s="30" t="s">
        <v>46</v>
      </c>
      <c r="G5404" s="30" t="s">
        <v>106</v>
      </c>
      <c r="H5404" s="32">
        <v>20</v>
      </c>
      <c r="I5404" s="30" t="s">
        <v>21</v>
      </c>
      <c r="J5404" s="41">
        <v>44251</v>
      </c>
      <c r="K5404" s="30" t="s">
        <v>22</v>
      </c>
    </row>
    <row r="5405" spans="1:11">
      <c r="A5405" s="33" t="s">
        <v>12779</v>
      </c>
      <c r="B5405" s="33" t="s">
        <v>12780</v>
      </c>
      <c r="C5405" s="33" t="s">
        <v>7172</v>
      </c>
      <c r="D5405" s="33" t="s">
        <v>17</v>
      </c>
      <c r="E5405" s="33" t="s">
        <v>26</v>
      </c>
      <c r="F5405" s="33" t="s">
        <v>27</v>
      </c>
      <c r="G5405" s="33" t="s">
        <v>69</v>
      </c>
      <c r="H5405" s="35">
        <v>16</v>
      </c>
      <c r="I5405" s="33" t="s">
        <v>21</v>
      </c>
      <c r="J5405" s="42">
        <v>44456</v>
      </c>
      <c r="K5405" s="33" t="s">
        <v>22</v>
      </c>
    </row>
    <row r="5406" spans="1:11">
      <c r="A5406" s="30" t="s">
        <v>12781</v>
      </c>
      <c r="B5406" s="30" t="s">
        <v>12782</v>
      </c>
      <c r="C5406" s="30" t="s">
        <v>12783</v>
      </c>
      <c r="D5406" s="30" t="s">
        <v>17</v>
      </c>
      <c r="E5406" s="30" t="s">
        <v>31</v>
      </c>
      <c r="F5406" s="30" t="s">
        <v>32</v>
      </c>
      <c r="G5406" s="30" t="s">
        <v>20</v>
      </c>
      <c r="H5406" s="32">
        <v>126</v>
      </c>
      <c r="I5406" s="30" t="s">
        <v>21</v>
      </c>
      <c r="J5406" s="41">
        <v>44207</v>
      </c>
      <c r="K5406" s="30" t="s">
        <v>22</v>
      </c>
    </row>
    <row r="5407" spans="1:11">
      <c r="A5407" s="33" t="s">
        <v>12784</v>
      </c>
      <c r="B5407" s="33" t="s">
        <v>12785</v>
      </c>
      <c r="C5407" s="33" t="s">
        <v>187</v>
      </c>
      <c r="D5407" s="33" t="s">
        <v>17</v>
      </c>
      <c r="E5407" s="33" t="s">
        <v>26</v>
      </c>
      <c r="F5407" s="33" t="s">
        <v>27</v>
      </c>
      <c r="G5407" s="33" t="s">
        <v>50</v>
      </c>
      <c r="H5407" s="35">
        <v>114</v>
      </c>
      <c r="I5407" s="33" t="s">
        <v>51</v>
      </c>
      <c r="J5407" s="42">
        <v>44487</v>
      </c>
      <c r="K5407" s="33" t="s">
        <v>22</v>
      </c>
    </row>
    <row r="5408" spans="1:11">
      <c r="A5408" s="30" t="s">
        <v>12786</v>
      </c>
      <c r="B5408" s="30" t="s">
        <v>12787</v>
      </c>
      <c r="C5408" s="30" t="s">
        <v>2292</v>
      </c>
      <c r="D5408" s="30" t="s">
        <v>17</v>
      </c>
      <c r="E5408" s="30" t="s">
        <v>26</v>
      </c>
      <c r="F5408" s="30" t="s">
        <v>27</v>
      </c>
      <c r="G5408" s="30" t="s">
        <v>20</v>
      </c>
      <c r="H5408" s="32">
        <v>36</v>
      </c>
      <c r="I5408" s="30" t="s">
        <v>21</v>
      </c>
      <c r="J5408" s="41">
        <v>44494</v>
      </c>
      <c r="K5408" s="30" t="s">
        <v>22</v>
      </c>
    </row>
    <row r="5409" spans="1:11">
      <c r="A5409" s="33" t="s">
        <v>12788</v>
      </c>
      <c r="B5409" s="33" t="s">
        <v>12789</v>
      </c>
      <c r="C5409" s="33" t="s">
        <v>9464</v>
      </c>
      <c r="D5409" s="33" t="s">
        <v>17</v>
      </c>
      <c r="E5409" s="33" t="s">
        <v>26</v>
      </c>
      <c r="F5409" s="33" t="s">
        <v>27</v>
      </c>
      <c r="G5409" s="33" t="s">
        <v>50</v>
      </c>
      <c r="H5409" s="35">
        <v>24</v>
      </c>
      <c r="I5409" s="33" t="s">
        <v>51</v>
      </c>
      <c r="J5409" s="42">
        <v>44409</v>
      </c>
      <c r="K5409" s="33" t="s">
        <v>22</v>
      </c>
    </row>
    <row r="5410" spans="1:11">
      <c r="A5410" s="30" t="s">
        <v>12790</v>
      </c>
      <c r="B5410" s="30" t="s">
        <v>12791</v>
      </c>
      <c r="C5410" s="30" t="s">
        <v>49</v>
      </c>
      <c r="D5410" s="30" t="s">
        <v>17</v>
      </c>
      <c r="E5410" s="30" t="s">
        <v>18</v>
      </c>
      <c r="F5410" s="30" t="s">
        <v>19</v>
      </c>
      <c r="G5410" s="30" t="s">
        <v>20</v>
      </c>
      <c r="H5410" s="32">
        <v>417</v>
      </c>
      <c r="I5410" s="30" t="s">
        <v>21</v>
      </c>
      <c r="J5410" s="41">
        <v>44452</v>
      </c>
      <c r="K5410" s="30" t="s">
        <v>22</v>
      </c>
    </row>
    <row r="5411" spans="1:11">
      <c r="A5411" s="33" t="s">
        <v>12792</v>
      </c>
      <c r="B5411" s="33" t="s">
        <v>12793</v>
      </c>
      <c r="C5411" s="33" t="s">
        <v>4527</v>
      </c>
      <c r="D5411" s="33" t="s">
        <v>17</v>
      </c>
      <c r="E5411" s="33" t="s">
        <v>26</v>
      </c>
      <c r="F5411" s="33" t="s">
        <v>27</v>
      </c>
      <c r="G5411" s="33" t="s">
        <v>20</v>
      </c>
      <c r="H5411" s="35">
        <v>36</v>
      </c>
      <c r="I5411" s="33" t="s">
        <v>21</v>
      </c>
      <c r="J5411" s="42">
        <v>44504</v>
      </c>
      <c r="K5411" s="33" t="s">
        <v>22</v>
      </c>
    </row>
    <row r="5412" spans="1:11">
      <c r="A5412" s="30" t="s">
        <v>12794</v>
      </c>
      <c r="B5412" s="30" t="s">
        <v>12795</v>
      </c>
      <c r="C5412" s="30" t="s">
        <v>12796</v>
      </c>
      <c r="D5412" s="30" t="s">
        <v>17</v>
      </c>
      <c r="E5412" s="30" t="s">
        <v>26</v>
      </c>
      <c r="F5412" s="30" t="s">
        <v>27</v>
      </c>
      <c r="G5412" s="30" t="s">
        <v>50</v>
      </c>
      <c r="H5412" s="32">
        <v>56</v>
      </c>
      <c r="I5412" s="30" t="s">
        <v>51</v>
      </c>
      <c r="J5412" s="41">
        <v>44431</v>
      </c>
      <c r="K5412" s="30" t="s">
        <v>22</v>
      </c>
    </row>
    <row r="5413" spans="1:11">
      <c r="A5413" s="33" t="s">
        <v>12797</v>
      </c>
      <c r="B5413" s="33" t="s">
        <v>12798</v>
      </c>
      <c r="C5413" s="33" t="s">
        <v>12799</v>
      </c>
      <c r="D5413" s="33" t="s">
        <v>17</v>
      </c>
      <c r="E5413" s="33" t="s">
        <v>45</v>
      </c>
      <c r="F5413" s="33" t="s">
        <v>46</v>
      </c>
      <c r="G5413" s="33" t="s">
        <v>106</v>
      </c>
      <c r="H5413" s="35">
        <v>90</v>
      </c>
      <c r="I5413" s="33" t="s">
        <v>21</v>
      </c>
      <c r="J5413" s="42">
        <v>44292</v>
      </c>
      <c r="K5413" s="33" t="s">
        <v>22</v>
      </c>
    </row>
    <row r="5414" spans="1:11">
      <c r="A5414" s="30" t="s">
        <v>12800</v>
      </c>
      <c r="B5414" s="30" t="s">
        <v>12801</v>
      </c>
      <c r="C5414" s="30" t="s">
        <v>1808</v>
      </c>
      <c r="D5414" s="30" t="s">
        <v>17</v>
      </c>
      <c r="E5414" s="30" t="s">
        <v>26</v>
      </c>
      <c r="F5414" s="30" t="s">
        <v>27</v>
      </c>
      <c r="G5414" s="30" t="s">
        <v>20</v>
      </c>
      <c r="H5414" s="32">
        <v>16</v>
      </c>
      <c r="I5414" s="30" t="s">
        <v>21</v>
      </c>
      <c r="J5414" s="41">
        <v>44316</v>
      </c>
      <c r="K5414" s="30" t="s">
        <v>22</v>
      </c>
    </row>
    <row r="5415" spans="1:11">
      <c r="A5415" s="33" t="s">
        <v>12802</v>
      </c>
      <c r="B5415" s="33" t="s">
        <v>12803</v>
      </c>
      <c r="C5415" s="33" t="s">
        <v>1162</v>
      </c>
      <c r="D5415" s="33" t="s">
        <v>17</v>
      </c>
      <c r="E5415" s="33" t="s">
        <v>26</v>
      </c>
      <c r="F5415" s="33" t="s">
        <v>27</v>
      </c>
      <c r="G5415" s="33" t="s">
        <v>20</v>
      </c>
      <c r="H5415" s="35">
        <v>6</v>
      </c>
      <c r="I5415" s="33" t="s">
        <v>21</v>
      </c>
      <c r="J5415" s="42">
        <v>44319</v>
      </c>
      <c r="K5415" s="33" t="s">
        <v>22</v>
      </c>
    </row>
    <row r="5416" spans="1:11">
      <c r="A5416" s="30" t="s">
        <v>12804</v>
      </c>
      <c r="B5416" s="30" t="s">
        <v>12805</v>
      </c>
      <c r="C5416" s="30" t="s">
        <v>136</v>
      </c>
      <c r="D5416" s="30" t="s">
        <v>17</v>
      </c>
      <c r="E5416" s="30" t="s">
        <v>26</v>
      </c>
      <c r="F5416" s="30" t="s">
        <v>27</v>
      </c>
      <c r="G5416" s="30" t="s">
        <v>20</v>
      </c>
      <c r="H5416" s="32">
        <v>16</v>
      </c>
      <c r="I5416" s="30" t="s">
        <v>21</v>
      </c>
      <c r="J5416" s="41">
        <v>44228</v>
      </c>
      <c r="K5416" s="30" t="s">
        <v>22</v>
      </c>
    </row>
    <row r="5417" spans="1:11">
      <c r="A5417" s="33" t="s">
        <v>12806</v>
      </c>
      <c r="B5417" s="33" t="s">
        <v>12807</v>
      </c>
      <c r="C5417" s="33" t="s">
        <v>12808</v>
      </c>
      <c r="D5417" s="33" t="s">
        <v>17</v>
      </c>
      <c r="E5417" s="33" t="s">
        <v>26</v>
      </c>
      <c r="F5417" s="33" t="s">
        <v>27</v>
      </c>
      <c r="G5417" s="33" t="s">
        <v>20</v>
      </c>
      <c r="H5417" s="35">
        <v>16</v>
      </c>
      <c r="I5417" s="33" t="s">
        <v>21</v>
      </c>
      <c r="J5417" s="42">
        <v>44449</v>
      </c>
      <c r="K5417" s="33" t="s">
        <v>22</v>
      </c>
    </row>
    <row r="5418" spans="1:11">
      <c r="A5418" s="30" t="s">
        <v>12809</v>
      </c>
      <c r="B5418" s="30" t="s">
        <v>12810</v>
      </c>
      <c r="C5418" s="30" t="s">
        <v>130</v>
      </c>
      <c r="D5418" s="30" t="s">
        <v>17</v>
      </c>
      <c r="E5418" s="30" t="s">
        <v>26</v>
      </c>
      <c r="F5418" s="30" t="s">
        <v>27</v>
      </c>
      <c r="G5418" s="30" t="s">
        <v>20</v>
      </c>
      <c r="H5418" s="32">
        <v>54</v>
      </c>
      <c r="I5418" s="30" t="s">
        <v>21</v>
      </c>
      <c r="J5418" s="41">
        <v>44230</v>
      </c>
      <c r="K5418" s="30" t="s">
        <v>22</v>
      </c>
    </row>
    <row r="5419" spans="1:11">
      <c r="A5419" s="33" t="s">
        <v>12811</v>
      </c>
      <c r="B5419" s="33" t="s">
        <v>12812</v>
      </c>
      <c r="C5419" s="33" t="s">
        <v>3296</v>
      </c>
      <c r="D5419" s="33" t="s">
        <v>17</v>
      </c>
      <c r="E5419" s="33" t="s">
        <v>26</v>
      </c>
      <c r="F5419" s="33" t="s">
        <v>27</v>
      </c>
      <c r="G5419" s="33" t="s">
        <v>20</v>
      </c>
      <c r="H5419" s="35">
        <v>42</v>
      </c>
      <c r="I5419" s="33" t="s">
        <v>21</v>
      </c>
      <c r="J5419" s="42">
        <v>44548</v>
      </c>
      <c r="K5419" s="33" t="s">
        <v>22</v>
      </c>
    </row>
    <row r="5420" spans="1:11">
      <c r="A5420" s="30" t="s">
        <v>12813</v>
      </c>
      <c r="B5420" s="30" t="s">
        <v>12814</v>
      </c>
      <c r="C5420" s="30" t="s">
        <v>6205</v>
      </c>
      <c r="D5420" s="30" t="s">
        <v>17</v>
      </c>
      <c r="E5420" s="30" t="s">
        <v>212</v>
      </c>
      <c r="F5420" s="30" t="s">
        <v>213</v>
      </c>
      <c r="G5420" s="30" t="s">
        <v>20</v>
      </c>
      <c r="H5420" s="32">
        <v>400</v>
      </c>
      <c r="I5420" s="30" t="s">
        <v>21</v>
      </c>
      <c r="J5420" s="41">
        <v>44536</v>
      </c>
      <c r="K5420" s="30" t="s">
        <v>22</v>
      </c>
    </row>
    <row r="5421" spans="1:11">
      <c r="A5421" s="33" t="s">
        <v>12815</v>
      </c>
      <c r="B5421" s="33" t="s">
        <v>12816</v>
      </c>
      <c r="C5421" s="33" t="s">
        <v>4218</v>
      </c>
      <c r="D5421" s="33" t="s">
        <v>17</v>
      </c>
      <c r="E5421" s="33" t="s">
        <v>31</v>
      </c>
      <c r="F5421" s="33" t="s">
        <v>32</v>
      </c>
      <c r="G5421" s="33" t="s">
        <v>158</v>
      </c>
      <c r="H5421" s="35">
        <v>172</v>
      </c>
      <c r="I5421" s="33" t="s">
        <v>21</v>
      </c>
      <c r="J5421" s="42">
        <v>44326</v>
      </c>
      <c r="K5421" s="33" t="s">
        <v>22</v>
      </c>
    </row>
    <row r="5422" spans="1:11">
      <c r="A5422" s="30" t="s">
        <v>12817</v>
      </c>
      <c r="B5422" s="30" t="s">
        <v>12818</v>
      </c>
      <c r="C5422" s="30" t="s">
        <v>75</v>
      </c>
      <c r="D5422" s="30" t="s">
        <v>17</v>
      </c>
      <c r="E5422" s="30" t="s">
        <v>26</v>
      </c>
      <c r="F5422" s="30" t="s">
        <v>27</v>
      </c>
      <c r="G5422" s="30" t="s">
        <v>20</v>
      </c>
      <c r="H5422" s="32">
        <v>46</v>
      </c>
      <c r="I5422" s="30" t="s">
        <v>21</v>
      </c>
      <c r="J5422" s="41">
        <v>44300</v>
      </c>
      <c r="K5422" s="30" t="s">
        <v>22</v>
      </c>
    </row>
    <row r="5423" spans="1:11">
      <c r="A5423" s="33" t="s">
        <v>12819</v>
      </c>
      <c r="B5423" s="33" t="s">
        <v>12820</v>
      </c>
      <c r="C5423" s="33" t="s">
        <v>429</v>
      </c>
      <c r="D5423" s="33" t="s">
        <v>17</v>
      </c>
      <c r="E5423" s="33" t="s">
        <v>26</v>
      </c>
      <c r="F5423" s="33" t="s">
        <v>27</v>
      </c>
      <c r="G5423" s="33" t="s">
        <v>20</v>
      </c>
      <c r="H5423" s="35">
        <v>16</v>
      </c>
      <c r="I5423" s="33" t="s">
        <v>21</v>
      </c>
      <c r="J5423" s="42">
        <v>44207</v>
      </c>
      <c r="K5423" s="33" t="s">
        <v>22</v>
      </c>
    </row>
    <row r="5424" spans="1:11">
      <c r="A5424" s="30" t="s">
        <v>12821</v>
      </c>
      <c r="B5424" s="30" t="s">
        <v>12822</v>
      </c>
      <c r="C5424" s="30" t="s">
        <v>6190</v>
      </c>
      <c r="D5424" s="30" t="s">
        <v>17</v>
      </c>
      <c r="E5424" s="30" t="s">
        <v>212</v>
      </c>
      <c r="F5424" s="30" t="s">
        <v>213</v>
      </c>
      <c r="G5424" s="30" t="s">
        <v>20</v>
      </c>
      <c r="H5424" s="32">
        <v>277</v>
      </c>
      <c r="I5424" s="30" t="s">
        <v>21</v>
      </c>
      <c r="J5424" s="41">
        <v>44484</v>
      </c>
      <c r="K5424" s="30" t="s">
        <v>22</v>
      </c>
    </row>
    <row r="5425" spans="1:11">
      <c r="A5425" s="33" t="s">
        <v>12823</v>
      </c>
      <c r="B5425" s="33" t="s">
        <v>12824</v>
      </c>
      <c r="C5425" s="33" t="s">
        <v>8979</v>
      </c>
      <c r="D5425" s="33" t="s">
        <v>17</v>
      </c>
      <c r="E5425" s="33" t="s">
        <v>18</v>
      </c>
      <c r="F5425" s="33" t="s">
        <v>19</v>
      </c>
      <c r="G5425" s="33" t="s">
        <v>20</v>
      </c>
      <c r="H5425" s="35">
        <v>435</v>
      </c>
      <c r="I5425" s="33" t="s">
        <v>21</v>
      </c>
      <c r="J5425" s="42">
        <v>44315</v>
      </c>
      <c r="K5425" s="33" t="s">
        <v>22</v>
      </c>
    </row>
    <row r="5426" spans="1:11">
      <c r="A5426" s="30" t="s">
        <v>12825</v>
      </c>
      <c r="B5426" s="30" t="s">
        <v>12826</v>
      </c>
      <c r="C5426" s="30" t="s">
        <v>3224</v>
      </c>
      <c r="D5426" s="30" t="s">
        <v>17</v>
      </c>
      <c r="E5426" s="30" t="s">
        <v>31</v>
      </c>
      <c r="F5426" s="30" t="s">
        <v>32</v>
      </c>
      <c r="G5426" s="30" t="s">
        <v>20</v>
      </c>
      <c r="H5426" s="32">
        <v>240</v>
      </c>
      <c r="I5426" s="30" t="s">
        <v>21</v>
      </c>
      <c r="J5426" s="41">
        <v>44391</v>
      </c>
      <c r="K5426" s="30" t="s">
        <v>22</v>
      </c>
    </row>
    <row r="5427" spans="1:11">
      <c r="A5427" s="33" t="s">
        <v>12827</v>
      </c>
      <c r="B5427" s="33" t="s">
        <v>12828</v>
      </c>
      <c r="C5427" s="33" t="s">
        <v>426</v>
      </c>
      <c r="D5427" s="33" t="s">
        <v>17</v>
      </c>
      <c r="E5427" s="33" t="s">
        <v>31</v>
      </c>
      <c r="F5427" s="33" t="s">
        <v>32</v>
      </c>
      <c r="G5427" s="33" t="s">
        <v>140</v>
      </c>
      <c r="H5427" s="35">
        <v>78</v>
      </c>
      <c r="I5427" s="33" t="s">
        <v>51</v>
      </c>
      <c r="J5427" s="42">
        <v>44389</v>
      </c>
      <c r="K5427" s="33" t="s">
        <v>22</v>
      </c>
    </row>
    <row r="5428" spans="1:11">
      <c r="A5428" s="30" t="s">
        <v>12829</v>
      </c>
      <c r="B5428" s="30" t="s">
        <v>12830</v>
      </c>
      <c r="C5428" s="30" t="s">
        <v>10311</v>
      </c>
      <c r="D5428" s="30" t="s">
        <v>17</v>
      </c>
      <c r="E5428" s="30" t="s">
        <v>330</v>
      </c>
      <c r="F5428" s="30" t="s">
        <v>331</v>
      </c>
      <c r="G5428" s="30" t="s">
        <v>50</v>
      </c>
      <c r="H5428" s="32">
        <v>30</v>
      </c>
      <c r="I5428" s="30" t="s">
        <v>51</v>
      </c>
      <c r="J5428" s="41">
        <v>44317</v>
      </c>
      <c r="K5428" s="30" t="s">
        <v>22</v>
      </c>
    </row>
    <row r="5429" spans="1:11">
      <c r="A5429" s="33" t="s">
        <v>12831</v>
      </c>
      <c r="B5429" s="33" t="s">
        <v>12832</v>
      </c>
      <c r="C5429" s="33" t="s">
        <v>1090</v>
      </c>
      <c r="D5429" s="33" t="s">
        <v>17</v>
      </c>
      <c r="E5429" s="33" t="s">
        <v>26</v>
      </c>
      <c r="F5429" s="33" t="s">
        <v>27</v>
      </c>
      <c r="G5429" s="33" t="s">
        <v>20</v>
      </c>
      <c r="H5429" s="35">
        <v>29</v>
      </c>
      <c r="I5429" s="33" t="s">
        <v>21</v>
      </c>
      <c r="J5429" s="42">
        <v>44407</v>
      </c>
      <c r="K5429" s="33" t="s">
        <v>22</v>
      </c>
    </row>
    <row r="5430" spans="1:11">
      <c r="A5430" s="30" t="s">
        <v>12833</v>
      </c>
      <c r="B5430" s="30" t="s">
        <v>12834</v>
      </c>
      <c r="C5430" s="30" t="s">
        <v>1598</v>
      </c>
      <c r="D5430" s="30" t="s">
        <v>17</v>
      </c>
      <c r="E5430" s="30" t="s">
        <v>67</v>
      </c>
      <c r="F5430" s="30" t="s">
        <v>68</v>
      </c>
      <c r="G5430" s="30" t="s">
        <v>20</v>
      </c>
      <c r="H5430" s="32">
        <v>334</v>
      </c>
      <c r="I5430" s="30" t="s">
        <v>21</v>
      </c>
      <c r="J5430" s="41">
        <v>44452</v>
      </c>
      <c r="K5430" s="30" t="s">
        <v>22</v>
      </c>
    </row>
    <row r="5431" spans="1:11">
      <c r="A5431" s="33" t="s">
        <v>12835</v>
      </c>
      <c r="B5431" s="33" t="s">
        <v>12836</v>
      </c>
      <c r="C5431" s="33" t="s">
        <v>130</v>
      </c>
      <c r="D5431" s="33" t="s">
        <v>17</v>
      </c>
      <c r="E5431" s="33" t="s">
        <v>26</v>
      </c>
      <c r="F5431" s="33" t="s">
        <v>27</v>
      </c>
      <c r="G5431" s="33" t="s">
        <v>158</v>
      </c>
      <c r="H5431" s="35">
        <v>140</v>
      </c>
      <c r="I5431" s="33" t="s">
        <v>21</v>
      </c>
      <c r="J5431" s="42">
        <v>44250</v>
      </c>
      <c r="K5431" s="33" t="s">
        <v>22</v>
      </c>
    </row>
    <row r="5432" spans="1:11">
      <c r="A5432" s="30" t="s">
        <v>12837</v>
      </c>
      <c r="B5432" s="30" t="s">
        <v>12838</v>
      </c>
      <c r="C5432" s="30" t="s">
        <v>190</v>
      </c>
      <c r="D5432" s="30" t="s">
        <v>17</v>
      </c>
      <c r="E5432" s="30" t="s">
        <v>26</v>
      </c>
      <c r="F5432" s="30" t="s">
        <v>27</v>
      </c>
      <c r="G5432" s="30" t="s">
        <v>158</v>
      </c>
      <c r="H5432" s="32">
        <v>24</v>
      </c>
      <c r="I5432" s="30" t="s">
        <v>21</v>
      </c>
      <c r="J5432" s="41">
        <v>44398</v>
      </c>
      <c r="K5432" s="30" t="s">
        <v>22</v>
      </c>
    </row>
    <row r="5433" spans="1:11">
      <c r="A5433" s="33" t="s">
        <v>12839</v>
      </c>
      <c r="B5433" s="33" t="s">
        <v>12840</v>
      </c>
      <c r="C5433" s="33" t="s">
        <v>3578</v>
      </c>
      <c r="D5433" s="33" t="s">
        <v>17</v>
      </c>
      <c r="E5433" s="33" t="s">
        <v>67</v>
      </c>
      <c r="F5433" s="33" t="s">
        <v>68</v>
      </c>
      <c r="G5433" s="33" t="s">
        <v>20</v>
      </c>
      <c r="H5433" s="35">
        <v>40</v>
      </c>
      <c r="I5433" s="33" t="s">
        <v>21</v>
      </c>
      <c r="J5433" s="42">
        <v>44250</v>
      </c>
      <c r="K5433" s="33" t="s">
        <v>22</v>
      </c>
    </row>
    <row r="5434" spans="1:11">
      <c r="A5434" s="30" t="s">
        <v>12841</v>
      </c>
      <c r="B5434" s="30" t="s">
        <v>12842</v>
      </c>
      <c r="C5434" s="30" t="s">
        <v>3775</v>
      </c>
      <c r="D5434" s="30" t="s">
        <v>17</v>
      </c>
      <c r="E5434" s="30" t="s">
        <v>26</v>
      </c>
      <c r="F5434" s="30" t="s">
        <v>27</v>
      </c>
      <c r="G5434" s="30" t="s">
        <v>20</v>
      </c>
      <c r="H5434" s="32">
        <v>27</v>
      </c>
      <c r="I5434" s="30" t="s">
        <v>21</v>
      </c>
      <c r="J5434" s="41">
        <v>44286</v>
      </c>
      <c r="K5434" s="30" t="s">
        <v>22</v>
      </c>
    </row>
    <row r="5435" spans="1:11">
      <c r="A5435" s="33" t="s">
        <v>12843</v>
      </c>
      <c r="B5435" s="33" t="s">
        <v>12844</v>
      </c>
      <c r="C5435" s="33" t="s">
        <v>12845</v>
      </c>
      <c r="D5435" s="33" t="s">
        <v>17</v>
      </c>
      <c r="E5435" s="33" t="s">
        <v>26</v>
      </c>
      <c r="F5435" s="33" t="s">
        <v>27</v>
      </c>
      <c r="G5435" s="33" t="s">
        <v>20</v>
      </c>
      <c r="H5435" s="35">
        <v>24</v>
      </c>
      <c r="I5435" s="33" t="s">
        <v>21</v>
      </c>
      <c r="J5435" s="42">
        <v>44475</v>
      </c>
      <c r="K5435" s="33" t="s">
        <v>22</v>
      </c>
    </row>
    <row r="5436" spans="1:11">
      <c r="A5436" s="30" t="s">
        <v>12846</v>
      </c>
      <c r="B5436" s="30" t="s">
        <v>12847</v>
      </c>
      <c r="C5436" s="30" t="s">
        <v>1136</v>
      </c>
      <c r="D5436" s="30" t="s">
        <v>17</v>
      </c>
      <c r="E5436" s="30" t="s">
        <v>212</v>
      </c>
      <c r="F5436" s="30" t="s">
        <v>213</v>
      </c>
      <c r="G5436" s="30" t="s">
        <v>20</v>
      </c>
      <c r="H5436" s="32">
        <v>273</v>
      </c>
      <c r="I5436" s="30" t="s">
        <v>21</v>
      </c>
      <c r="J5436" s="41">
        <v>44223</v>
      </c>
      <c r="K5436" s="30" t="s">
        <v>22</v>
      </c>
    </row>
    <row r="5437" spans="1:11">
      <c r="A5437" s="33" t="s">
        <v>12848</v>
      </c>
      <c r="B5437" s="33" t="s">
        <v>12849</v>
      </c>
      <c r="C5437" s="33" t="s">
        <v>3302</v>
      </c>
      <c r="D5437" s="33" t="s">
        <v>17</v>
      </c>
      <c r="E5437" s="33" t="s">
        <v>18</v>
      </c>
      <c r="F5437" s="33" t="s">
        <v>19</v>
      </c>
      <c r="G5437" s="33" t="s">
        <v>50</v>
      </c>
      <c r="H5437" s="35">
        <v>120</v>
      </c>
      <c r="I5437" s="33" t="s">
        <v>51</v>
      </c>
      <c r="J5437" s="42">
        <v>44258</v>
      </c>
      <c r="K5437" s="33" t="s">
        <v>22</v>
      </c>
    </row>
    <row r="5438" spans="1:11">
      <c r="A5438" s="30" t="s">
        <v>12850</v>
      </c>
      <c r="B5438" s="30" t="s">
        <v>12851</v>
      </c>
      <c r="C5438" s="30" t="s">
        <v>7388</v>
      </c>
      <c r="D5438" s="30" t="s">
        <v>17</v>
      </c>
      <c r="E5438" s="30" t="s">
        <v>31</v>
      </c>
      <c r="F5438" s="30" t="s">
        <v>32</v>
      </c>
      <c r="G5438" s="30" t="s">
        <v>20</v>
      </c>
      <c r="H5438" s="32">
        <v>163</v>
      </c>
      <c r="I5438" s="30" t="s">
        <v>21</v>
      </c>
      <c r="J5438" s="41">
        <v>44459</v>
      </c>
      <c r="K5438" s="30" t="s">
        <v>22</v>
      </c>
    </row>
    <row r="5439" spans="1:11">
      <c r="A5439" s="33" t="s">
        <v>12852</v>
      </c>
      <c r="B5439" s="33" t="s">
        <v>12853</v>
      </c>
      <c r="C5439" s="33" t="s">
        <v>1428</v>
      </c>
      <c r="D5439" s="33" t="s">
        <v>17</v>
      </c>
      <c r="E5439" s="33" t="s">
        <v>67</v>
      </c>
      <c r="F5439" s="33" t="s">
        <v>68</v>
      </c>
      <c r="G5439" s="33" t="s">
        <v>50</v>
      </c>
      <c r="H5439" s="35">
        <v>300</v>
      </c>
      <c r="I5439" s="33" t="s">
        <v>51</v>
      </c>
      <c r="J5439" s="42">
        <v>44552</v>
      </c>
      <c r="K5439" s="33" t="s">
        <v>22</v>
      </c>
    </row>
    <row r="5440" spans="1:11">
      <c r="A5440" s="30" t="s">
        <v>12854</v>
      </c>
      <c r="B5440" s="30" t="s">
        <v>12855</v>
      </c>
      <c r="C5440" s="30" t="s">
        <v>8151</v>
      </c>
      <c r="D5440" s="30" t="s">
        <v>17</v>
      </c>
      <c r="E5440" s="30" t="s">
        <v>26</v>
      </c>
      <c r="F5440" s="30" t="s">
        <v>27</v>
      </c>
      <c r="G5440" s="30" t="s">
        <v>20</v>
      </c>
      <c r="H5440" s="32">
        <v>25</v>
      </c>
      <c r="I5440" s="30" t="s">
        <v>21</v>
      </c>
      <c r="J5440" s="41">
        <v>44377</v>
      </c>
      <c r="K5440" s="30" t="s">
        <v>22</v>
      </c>
    </row>
    <row r="5441" spans="1:11">
      <c r="A5441" s="33" t="s">
        <v>12856</v>
      </c>
      <c r="B5441" s="33" t="s">
        <v>12857</v>
      </c>
      <c r="C5441" s="33" t="s">
        <v>136</v>
      </c>
      <c r="D5441" s="33" t="s">
        <v>17</v>
      </c>
      <c r="E5441" s="33" t="s">
        <v>31</v>
      </c>
      <c r="F5441" s="33" t="s">
        <v>32</v>
      </c>
      <c r="G5441" s="33" t="s">
        <v>20</v>
      </c>
      <c r="H5441" s="35">
        <v>281</v>
      </c>
      <c r="I5441" s="33" t="s">
        <v>21</v>
      </c>
      <c r="J5441" s="42">
        <v>44329</v>
      </c>
      <c r="K5441" s="33" t="s">
        <v>22</v>
      </c>
    </row>
    <row r="5442" spans="1:11">
      <c r="A5442" s="30" t="s">
        <v>12858</v>
      </c>
      <c r="B5442" s="30" t="s">
        <v>12859</v>
      </c>
      <c r="C5442" s="30" t="s">
        <v>149</v>
      </c>
      <c r="D5442" s="30" t="s">
        <v>17</v>
      </c>
      <c r="E5442" s="30" t="s">
        <v>18</v>
      </c>
      <c r="F5442" s="30" t="s">
        <v>19</v>
      </c>
      <c r="G5442" s="30" t="s">
        <v>20</v>
      </c>
      <c r="H5442" s="32">
        <v>206</v>
      </c>
      <c r="I5442" s="30" t="s">
        <v>21</v>
      </c>
      <c r="J5442" s="41">
        <v>44259</v>
      </c>
      <c r="K5442" s="30" t="s">
        <v>22</v>
      </c>
    </row>
    <row r="5443" spans="1:11">
      <c r="A5443" s="33" t="s">
        <v>12860</v>
      </c>
      <c r="B5443" s="33" t="s">
        <v>12861</v>
      </c>
      <c r="C5443" s="33" t="s">
        <v>985</v>
      </c>
      <c r="D5443" s="33" t="s">
        <v>17</v>
      </c>
      <c r="E5443" s="33" t="s">
        <v>26</v>
      </c>
      <c r="F5443" s="33" t="s">
        <v>27</v>
      </c>
      <c r="G5443" s="33" t="s">
        <v>20</v>
      </c>
      <c r="H5443" s="35">
        <v>6</v>
      </c>
      <c r="I5443" s="33" t="s">
        <v>21</v>
      </c>
      <c r="J5443" s="42">
        <v>44405</v>
      </c>
      <c r="K5443" s="33" t="s">
        <v>22</v>
      </c>
    </row>
    <row r="5444" spans="1:11">
      <c r="A5444" s="30" t="s">
        <v>12862</v>
      </c>
      <c r="B5444" s="30" t="s">
        <v>12863</v>
      </c>
      <c r="C5444" s="30" t="s">
        <v>4108</v>
      </c>
      <c r="D5444" s="30" t="s">
        <v>17</v>
      </c>
      <c r="E5444" s="30" t="s">
        <v>31</v>
      </c>
      <c r="F5444" s="30" t="s">
        <v>32</v>
      </c>
      <c r="G5444" s="30" t="s">
        <v>20</v>
      </c>
      <c r="H5444" s="32">
        <v>245</v>
      </c>
      <c r="I5444" s="30" t="s">
        <v>21</v>
      </c>
      <c r="J5444" s="41">
        <v>44550</v>
      </c>
      <c r="K5444" s="30" t="s">
        <v>22</v>
      </c>
    </row>
    <row r="5445" spans="1:11">
      <c r="A5445" s="33" t="s">
        <v>12864</v>
      </c>
      <c r="B5445" s="33" t="s">
        <v>12865</v>
      </c>
      <c r="C5445" s="33" t="s">
        <v>7765</v>
      </c>
      <c r="D5445" s="33" t="s">
        <v>17</v>
      </c>
      <c r="E5445" s="33" t="s">
        <v>26</v>
      </c>
      <c r="F5445" s="33" t="s">
        <v>27</v>
      </c>
      <c r="G5445" s="33" t="s">
        <v>20</v>
      </c>
      <c r="H5445" s="35">
        <v>104</v>
      </c>
      <c r="I5445" s="33" t="s">
        <v>21</v>
      </c>
      <c r="J5445" s="42">
        <v>44350</v>
      </c>
      <c r="K5445" s="33" t="s">
        <v>22</v>
      </c>
    </row>
    <row r="5446" spans="1:11">
      <c r="A5446" s="30" t="s">
        <v>12866</v>
      </c>
      <c r="B5446" s="30" t="s">
        <v>12867</v>
      </c>
      <c r="C5446" s="30" t="s">
        <v>1801</v>
      </c>
      <c r="D5446" s="30" t="s">
        <v>17</v>
      </c>
      <c r="E5446" s="30" t="s">
        <v>18</v>
      </c>
      <c r="F5446" s="30" t="s">
        <v>19</v>
      </c>
      <c r="G5446" s="30" t="s">
        <v>20</v>
      </c>
      <c r="H5446" s="32">
        <v>95</v>
      </c>
      <c r="I5446" s="30" t="s">
        <v>21</v>
      </c>
      <c r="J5446" s="41">
        <v>44341</v>
      </c>
      <c r="K5446" s="30" t="s">
        <v>22</v>
      </c>
    </row>
    <row r="5447" spans="1:11">
      <c r="A5447" s="33" t="s">
        <v>12868</v>
      </c>
      <c r="B5447" s="33" t="s">
        <v>12869</v>
      </c>
      <c r="C5447" s="33" t="s">
        <v>1598</v>
      </c>
      <c r="D5447" s="33" t="s">
        <v>17</v>
      </c>
      <c r="E5447" s="33" t="s">
        <v>26</v>
      </c>
      <c r="F5447" s="33" t="s">
        <v>27</v>
      </c>
      <c r="G5447" s="33" t="s">
        <v>20</v>
      </c>
      <c r="H5447" s="35">
        <v>30</v>
      </c>
      <c r="I5447" s="33" t="s">
        <v>21</v>
      </c>
      <c r="J5447" s="42">
        <v>44512</v>
      </c>
      <c r="K5447" s="33" t="s">
        <v>22</v>
      </c>
    </row>
    <row r="5448" spans="1:11">
      <c r="A5448" s="30" t="s">
        <v>12870</v>
      </c>
      <c r="B5448" s="30" t="s">
        <v>12871</v>
      </c>
      <c r="C5448" s="30" t="s">
        <v>429</v>
      </c>
      <c r="D5448" s="30" t="s">
        <v>17</v>
      </c>
      <c r="E5448" s="30" t="s">
        <v>26</v>
      </c>
      <c r="F5448" s="30" t="s">
        <v>27</v>
      </c>
      <c r="G5448" s="30" t="s">
        <v>20</v>
      </c>
      <c r="H5448" s="32">
        <v>12</v>
      </c>
      <c r="I5448" s="30" t="s">
        <v>21</v>
      </c>
      <c r="J5448" s="41">
        <v>44210</v>
      </c>
      <c r="K5448" s="30" t="s">
        <v>22</v>
      </c>
    </row>
    <row r="5449" spans="1:11">
      <c r="A5449" s="33" t="s">
        <v>12872</v>
      </c>
      <c r="B5449" s="33" t="s">
        <v>12873</v>
      </c>
      <c r="C5449" s="33" t="s">
        <v>109</v>
      </c>
      <c r="D5449" s="33" t="s">
        <v>17</v>
      </c>
      <c r="E5449" s="33" t="s">
        <v>212</v>
      </c>
      <c r="F5449" s="33" t="s">
        <v>213</v>
      </c>
      <c r="G5449" s="33" t="s">
        <v>20</v>
      </c>
      <c r="H5449" s="35">
        <v>122</v>
      </c>
      <c r="I5449" s="33" t="s">
        <v>21</v>
      </c>
      <c r="J5449" s="42">
        <v>44484</v>
      </c>
      <c r="K5449" s="33" t="s">
        <v>22</v>
      </c>
    </row>
    <row r="5450" spans="1:11">
      <c r="A5450" s="30" t="s">
        <v>12874</v>
      </c>
      <c r="B5450" s="30" t="s">
        <v>12875</v>
      </c>
      <c r="C5450" s="30" t="s">
        <v>12876</v>
      </c>
      <c r="D5450" s="30" t="s">
        <v>17</v>
      </c>
      <c r="E5450" s="30" t="s">
        <v>26</v>
      </c>
      <c r="F5450" s="30" t="s">
        <v>27</v>
      </c>
      <c r="G5450" s="30" t="s">
        <v>106</v>
      </c>
      <c r="H5450" s="32">
        <v>7</v>
      </c>
      <c r="I5450" s="30" t="s">
        <v>21</v>
      </c>
      <c r="J5450" s="41">
        <v>44285</v>
      </c>
      <c r="K5450" s="30" t="s">
        <v>22</v>
      </c>
    </row>
    <row r="5451" spans="1:11">
      <c r="A5451" s="33" t="s">
        <v>12877</v>
      </c>
      <c r="B5451" s="33" t="s">
        <v>12878</v>
      </c>
      <c r="C5451" s="33" t="s">
        <v>12879</v>
      </c>
      <c r="D5451" s="33" t="s">
        <v>17</v>
      </c>
      <c r="E5451" s="33" t="s">
        <v>45</v>
      </c>
      <c r="F5451" s="33" t="s">
        <v>46</v>
      </c>
      <c r="G5451" s="33" t="s">
        <v>106</v>
      </c>
      <c r="H5451" s="35">
        <v>5</v>
      </c>
      <c r="I5451" s="33" t="s">
        <v>21</v>
      </c>
      <c r="J5451" s="42">
        <v>44545</v>
      </c>
      <c r="K5451" s="33" t="s">
        <v>22</v>
      </c>
    </row>
    <row r="5452" spans="1:11">
      <c r="A5452" s="30" t="s">
        <v>12880</v>
      </c>
      <c r="B5452" s="30" t="s">
        <v>12881</v>
      </c>
      <c r="C5452" s="30" t="s">
        <v>12882</v>
      </c>
      <c r="D5452" s="30" t="s">
        <v>17</v>
      </c>
      <c r="E5452" s="30" t="s">
        <v>31</v>
      </c>
      <c r="F5452" s="30" t="s">
        <v>32</v>
      </c>
      <c r="G5452" s="30" t="s">
        <v>112</v>
      </c>
      <c r="H5452" s="32">
        <v>0</v>
      </c>
      <c r="I5452" s="30" t="s">
        <v>21</v>
      </c>
      <c r="J5452" s="41">
        <v>44317</v>
      </c>
      <c r="K5452" s="30" t="s">
        <v>22</v>
      </c>
    </row>
    <row r="5453" spans="1:11">
      <c r="A5453" s="33" t="s">
        <v>12883</v>
      </c>
      <c r="B5453" s="33" t="s">
        <v>12884</v>
      </c>
      <c r="C5453" s="33" t="s">
        <v>57</v>
      </c>
      <c r="D5453" s="33" t="s">
        <v>17</v>
      </c>
      <c r="E5453" s="33" t="s">
        <v>18</v>
      </c>
      <c r="F5453" s="33" t="s">
        <v>19</v>
      </c>
      <c r="G5453" s="33" t="s">
        <v>106</v>
      </c>
      <c r="H5453" s="35">
        <v>240</v>
      </c>
      <c r="I5453" s="33" t="s">
        <v>21</v>
      </c>
      <c r="J5453" s="42">
        <v>44229</v>
      </c>
      <c r="K5453" s="33" t="s">
        <v>22</v>
      </c>
    </row>
    <row r="5454" spans="1:11">
      <c r="A5454" s="30" t="s">
        <v>12885</v>
      </c>
      <c r="B5454" s="30" t="s">
        <v>12886</v>
      </c>
      <c r="C5454" s="30" t="s">
        <v>136</v>
      </c>
      <c r="D5454" s="30" t="s">
        <v>17</v>
      </c>
      <c r="E5454" s="30" t="s">
        <v>26</v>
      </c>
      <c r="F5454" s="30" t="s">
        <v>27</v>
      </c>
      <c r="G5454" s="30" t="s">
        <v>20</v>
      </c>
      <c r="H5454" s="32">
        <v>44</v>
      </c>
      <c r="I5454" s="30" t="s">
        <v>21</v>
      </c>
      <c r="J5454" s="41">
        <v>44524</v>
      </c>
      <c r="K5454" s="30" t="s">
        <v>22</v>
      </c>
    </row>
    <row r="5455" spans="1:11">
      <c r="A5455" s="33" t="s">
        <v>12887</v>
      </c>
      <c r="B5455" s="33" t="s">
        <v>12888</v>
      </c>
      <c r="C5455" s="33" t="s">
        <v>136</v>
      </c>
      <c r="D5455" s="33" t="s">
        <v>17</v>
      </c>
      <c r="E5455" s="33" t="s">
        <v>26</v>
      </c>
      <c r="F5455" s="33" t="s">
        <v>27</v>
      </c>
      <c r="G5455" s="33" t="s">
        <v>20</v>
      </c>
      <c r="H5455" s="35">
        <v>16</v>
      </c>
      <c r="I5455" s="33" t="s">
        <v>21</v>
      </c>
      <c r="J5455" s="42">
        <v>44211</v>
      </c>
      <c r="K5455" s="33" t="s">
        <v>22</v>
      </c>
    </row>
    <row r="5456" spans="1:11">
      <c r="A5456" s="30" t="s">
        <v>12889</v>
      </c>
      <c r="B5456" s="30" t="s">
        <v>12890</v>
      </c>
      <c r="C5456" s="30" t="s">
        <v>3267</v>
      </c>
      <c r="D5456" s="30" t="s">
        <v>17</v>
      </c>
      <c r="E5456" s="30" t="s">
        <v>26</v>
      </c>
      <c r="F5456" s="30" t="s">
        <v>27</v>
      </c>
      <c r="G5456" s="30" t="s">
        <v>20</v>
      </c>
      <c r="H5456" s="32">
        <v>7</v>
      </c>
      <c r="I5456" s="30" t="s">
        <v>21</v>
      </c>
      <c r="J5456" s="41">
        <v>44490</v>
      </c>
      <c r="K5456" s="30" t="s">
        <v>22</v>
      </c>
    </row>
    <row r="5457" spans="1:11">
      <c r="A5457" s="33" t="s">
        <v>12891</v>
      </c>
      <c r="B5457" s="33" t="s">
        <v>12892</v>
      </c>
      <c r="C5457" s="33" t="s">
        <v>2228</v>
      </c>
      <c r="D5457" s="33" t="s">
        <v>17</v>
      </c>
      <c r="E5457" s="33" t="s">
        <v>67</v>
      </c>
      <c r="F5457" s="33" t="s">
        <v>68</v>
      </c>
      <c r="G5457" s="33" t="s">
        <v>20</v>
      </c>
      <c r="H5457" s="35">
        <v>31</v>
      </c>
      <c r="I5457" s="33" t="s">
        <v>21</v>
      </c>
      <c r="J5457" s="42">
        <v>44557</v>
      </c>
      <c r="K5457" s="33" t="s">
        <v>22</v>
      </c>
    </row>
    <row r="5458" spans="1:11">
      <c r="A5458" s="30" t="s">
        <v>12893</v>
      </c>
      <c r="B5458" s="30" t="s">
        <v>12894</v>
      </c>
      <c r="C5458" s="30" t="s">
        <v>7449</v>
      </c>
      <c r="D5458" s="30" t="s">
        <v>17</v>
      </c>
      <c r="E5458" s="30" t="s">
        <v>31</v>
      </c>
      <c r="F5458" s="30" t="s">
        <v>32</v>
      </c>
      <c r="G5458" s="30" t="s">
        <v>20</v>
      </c>
      <c r="H5458" s="32">
        <v>95</v>
      </c>
      <c r="I5458" s="30" t="s">
        <v>21</v>
      </c>
      <c r="J5458" s="41">
        <v>44313</v>
      </c>
      <c r="K5458" s="30" t="s">
        <v>22</v>
      </c>
    </row>
    <row r="5459" spans="1:11">
      <c r="A5459" s="33" t="s">
        <v>12895</v>
      </c>
      <c r="B5459" s="33" t="s">
        <v>12896</v>
      </c>
      <c r="C5459" s="33" t="s">
        <v>12897</v>
      </c>
      <c r="D5459" s="33" t="s">
        <v>17</v>
      </c>
      <c r="E5459" s="33" t="s">
        <v>67</v>
      </c>
      <c r="F5459" s="33" t="s">
        <v>68</v>
      </c>
      <c r="G5459" s="33" t="s">
        <v>50</v>
      </c>
      <c r="H5459" s="35">
        <v>52</v>
      </c>
      <c r="I5459" s="33" t="s">
        <v>51</v>
      </c>
      <c r="J5459" s="42">
        <v>44210</v>
      </c>
      <c r="K5459" s="33" t="s">
        <v>22</v>
      </c>
    </row>
    <row r="5460" spans="1:11">
      <c r="A5460" s="30" t="s">
        <v>12898</v>
      </c>
      <c r="B5460" s="30" t="s">
        <v>12899</v>
      </c>
      <c r="C5460" s="30" t="s">
        <v>109</v>
      </c>
      <c r="D5460" s="30" t="s">
        <v>17</v>
      </c>
      <c r="E5460" s="30" t="s">
        <v>330</v>
      </c>
      <c r="F5460" s="30" t="s">
        <v>331</v>
      </c>
      <c r="G5460" s="30" t="s">
        <v>106</v>
      </c>
      <c r="H5460" s="32">
        <v>14</v>
      </c>
      <c r="I5460" s="30" t="s">
        <v>21</v>
      </c>
      <c r="J5460" s="41">
        <v>44483</v>
      </c>
      <c r="K5460" s="30" t="s">
        <v>22</v>
      </c>
    </row>
    <row r="5461" spans="1:11">
      <c r="A5461" s="33" t="s">
        <v>12900</v>
      </c>
      <c r="B5461" s="33" t="s">
        <v>12901</v>
      </c>
      <c r="C5461" s="33" t="s">
        <v>109</v>
      </c>
      <c r="D5461" s="33" t="s">
        <v>17</v>
      </c>
      <c r="E5461" s="33" t="s">
        <v>212</v>
      </c>
      <c r="F5461" s="33" t="s">
        <v>213</v>
      </c>
      <c r="G5461" s="33" t="s">
        <v>20</v>
      </c>
      <c r="H5461" s="35">
        <v>16</v>
      </c>
      <c r="I5461" s="33" t="s">
        <v>21</v>
      </c>
      <c r="J5461" s="42">
        <v>44504</v>
      </c>
      <c r="K5461" s="33" t="s">
        <v>22</v>
      </c>
    </row>
    <row r="5462" spans="1:11">
      <c r="A5462" s="30" t="s">
        <v>12902</v>
      </c>
      <c r="B5462" s="30" t="s">
        <v>12903</v>
      </c>
      <c r="C5462" s="30" t="s">
        <v>12904</v>
      </c>
      <c r="D5462" s="30" t="s">
        <v>17</v>
      </c>
      <c r="E5462" s="30" t="s">
        <v>26</v>
      </c>
      <c r="F5462" s="30" t="s">
        <v>27</v>
      </c>
      <c r="G5462" s="30" t="s">
        <v>20</v>
      </c>
      <c r="H5462" s="32">
        <v>48</v>
      </c>
      <c r="I5462" s="30" t="s">
        <v>21</v>
      </c>
      <c r="J5462" s="41">
        <v>44450</v>
      </c>
      <c r="K5462" s="30" t="s">
        <v>22</v>
      </c>
    </row>
    <row r="5463" spans="1:11">
      <c r="A5463" s="33" t="s">
        <v>12905</v>
      </c>
      <c r="B5463" s="33" t="s">
        <v>12906</v>
      </c>
      <c r="C5463" s="33" t="s">
        <v>1598</v>
      </c>
      <c r="D5463" s="33" t="s">
        <v>17</v>
      </c>
      <c r="E5463" s="33" t="s">
        <v>26</v>
      </c>
      <c r="F5463" s="33" t="s">
        <v>27</v>
      </c>
      <c r="G5463" s="33" t="s">
        <v>20</v>
      </c>
      <c r="H5463" s="35">
        <v>70</v>
      </c>
      <c r="I5463" s="33" t="s">
        <v>21</v>
      </c>
      <c r="J5463" s="42">
        <v>44323</v>
      </c>
      <c r="K5463" s="33" t="s">
        <v>22</v>
      </c>
    </row>
    <row r="5464" spans="1:11">
      <c r="A5464" s="30" t="s">
        <v>12907</v>
      </c>
      <c r="B5464" s="30" t="s">
        <v>12908</v>
      </c>
      <c r="C5464" s="30" t="s">
        <v>1598</v>
      </c>
      <c r="D5464" s="30" t="s">
        <v>17</v>
      </c>
      <c r="E5464" s="30" t="s">
        <v>18</v>
      </c>
      <c r="F5464" s="30" t="s">
        <v>19</v>
      </c>
      <c r="G5464" s="30" t="s">
        <v>20</v>
      </c>
      <c r="H5464" s="32">
        <v>306</v>
      </c>
      <c r="I5464" s="30" t="s">
        <v>21</v>
      </c>
      <c r="J5464" s="41">
        <v>44236</v>
      </c>
      <c r="K5464" s="30" t="s">
        <v>22</v>
      </c>
    </row>
    <row r="5465" spans="1:11">
      <c r="A5465" s="33" t="s">
        <v>12909</v>
      </c>
      <c r="B5465" s="33" t="s">
        <v>12910</v>
      </c>
      <c r="C5465" s="33" t="s">
        <v>118</v>
      </c>
      <c r="D5465" s="33" t="s">
        <v>17</v>
      </c>
      <c r="E5465" s="33" t="s">
        <v>26</v>
      </c>
      <c r="F5465" s="33" t="s">
        <v>27</v>
      </c>
      <c r="G5465" s="33" t="s">
        <v>20</v>
      </c>
      <c r="H5465" s="35">
        <v>16</v>
      </c>
      <c r="I5465" s="33" t="s">
        <v>21</v>
      </c>
      <c r="J5465" s="42">
        <v>44342</v>
      </c>
      <c r="K5465" s="33" t="s">
        <v>22</v>
      </c>
    </row>
    <row r="5466" spans="1:11">
      <c r="A5466" s="30" t="s">
        <v>12911</v>
      </c>
      <c r="B5466" s="30" t="s">
        <v>12912</v>
      </c>
      <c r="C5466" s="30" t="s">
        <v>6255</v>
      </c>
      <c r="D5466" s="30" t="s">
        <v>17</v>
      </c>
      <c r="E5466" s="30" t="s">
        <v>67</v>
      </c>
      <c r="F5466" s="30" t="s">
        <v>68</v>
      </c>
      <c r="G5466" s="30" t="s">
        <v>20</v>
      </c>
      <c r="H5466" s="32">
        <v>48</v>
      </c>
      <c r="I5466" s="30" t="s">
        <v>21</v>
      </c>
      <c r="J5466" s="41">
        <v>44561</v>
      </c>
      <c r="K5466" s="30" t="s">
        <v>22</v>
      </c>
    </row>
    <row r="5467" spans="1:11">
      <c r="A5467" s="33" t="s">
        <v>12913</v>
      </c>
      <c r="B5467" s="33" t="s">
        <v>12914</v>
      </c>
      <c r="C5467" s="33" t="s">
        <v>899</v>
      </c>
      <c r="D5467" s="33" t="s">
        <v>17</v>
      </c>
      <c r="E5467" s="33" t="s">
        <v>45</v>
      </c>
      <c r="F5467" s="33" t="s">
        <v>46</v>
      </c>
      <c r="G5467" s="33" t="s">
        <v>20</v>
      </c>
      <c r="H5467" s="35">
        <v>514</v>
      </c>
      <c r="I5467" s="33" t="s">
        <v>21</v>
      </c>
      <c r="J5467" s="42">
        <v>44368</v>
      </c>
      <c r="K5467" s="33" t="s">
        <v>22</v>
      </c>
    </row>
    <row r="5468" spans="1:11">
      <c r="A5468" s="30" t="s">
        <v>12915</v>
      </c>
      <c r="B5468" s="30" t="s">
        <v>12916</v>
      </c>
      <c r="C5468" s="30" t="s">
        <v>190</v>
      </c>
      <c r="D5468" s="30" t="s">
        <v>17</v>
      </c>
      <c r="E5468" s="30" t="s">
        <v>26</v>
      </c>
      <c r="F5468" s="30" t="s">
        <v>27</v>
      </c>
      <c r="G5468" s="30" t="s">
        <v>20</v>
      </c>
      <c r="H5468" s="32">
        <v>98</v>
      </c>
      <c r="I5468" s="30" t="s">
        <v>21</v>
      </c>
      <c r="J5468" s="41">
        <v>44404</v>
      </c>
      <c r="K5468" s="30" t="s">
        <v>22</v>
      </c>
    </row>
    <row r="5469" spans="1:11">
      <c r="A5469" s="33" t="s">
        <v>12917</v>
      </c>
      <c r="B5469" s="33" t="s">
        <v>12918</v>
      </c>
      <c r="C5469" s="33" t="s">
        <v>629</v>
      </c>
      <c r="D5469" s="33" t="s">
        <v>17</v>
      </c>
      <c r="E5469" s="33" t="s">
        <v>18</v>
      </c>
      <c r="F5469" s="33" t="s">
        <v>19</v>
      </c>
      <c r="G5469" s="33" t="s">
        <v>106</v>
      </c>
      <c r="H5469" s="35">
        <v>105</v>
      </c>
      <c r="I5469" s="33" t="s">
        <v>21</v>
      </c>
      <c r="J5469" s="42">
        <v>44371</v>
      </c>
      <c r="K5469" s="33" t="s">
        <v>22</v>
      </c>
    </row>
    <row r="5470" spans="1:11">
      <c r="A5470" s="30" t="s">
        <v>12919</v>
      </c>
      <c r="B5470" s="30" t="s">
        <v>12920</v>
      </c>
      <c r="C5470" s="30" t="s">
        <v>12921</v>
      </c>
      <c r="D5470" s="30" t="s">
        <v>17</v>
      </c>
      <c r="E5470" s="30" t="s">
        <v>26</v>
      </c>
      <c r="F5470" s="30" t="s">
        <v>27</v>
      </c>
      <c r="G5470" s="30" t="s">
        <v>106</v>
      </c>
      <c r="H5470" s="32">
        <v>3</v>
      </c>
      <c r="I5470" s="30" t="s">
        <v>21</v>
      </c>
      <c r="J5470" s="41">
        <v>44340</v>
      </c>
      <c r="K5470" s="30" t="s">
        <v>22</v>
      </c>
    </row>
    <row r="5471" spans="1:11">
      <c r="A5471" s="33" t="s">
        <v>12922</v>
      </c>
      <c r="B5471" s="33" t="s">
        <v>12923</v>
      </c>
      <c r="C5471" s="33" t="s">
        <v>2842</v>
      </c>
      <c r="D5471" s="33" t="s">
        <v>17</v>
      </c>
      <c r="E5471" s="33" t="s">
        <v>18</v>
      </c>
      <c r="F5471" s="33" t="s">
        <v>19</v>
      </c>
      <c r="G5471" s="33" t="s">
        <v>20</v>
      </c>
      <c r="H5471" s="35">
        <v>480</v>
      </c>
      <c r="I5471" s="33" t="s">
        <v>21</v>
      </c>
      <c r="J5471" s="42">
        <v>44469</v>
      </c>
      <c r="K5471" s="33" t="s">
        <v>22</v>
      </c>
    </row>
    <row r="5472" spans="1:11">
      <c r="A5472" s="30" t="s">
        <v>12924</v>
      </c>
      <c r="B5472" s="30" t="s">
        <v>12925</v>
      </c>
      <c r="C5472" s="30" t="s">
        <v>12926</v>
      </c>
      <c r="D5472" s="30" t="s">
        <v>17</v>
      </c>
      <c r="E5472" s="30" t="s">
        <v>26</v>
      </c>
      <c r="F5472" s="30" t="s">
        <v>27</v>
      </c>
      <c r="G5472" s="30" t="s">
        <v>140</v>
      </c>
      <c r="H5472" s="32">
        <v>36</v>
      </c>
      <c r="I5472" s="30" t="s">
        <v>51</v>
      </c>
      <c r="J5472" s="41">
        <v>44501</v>
      </c>
      <c r="K5472" s="30" t="s">
        <v>22</v>
      </c>
    </row>
    <row r="5473" spans="1:11">
      <c r="A5473" s="33" t="s">
        <v>12927</v>
      </c>
      <c r="B5473" s="33" t="s">
        <v>12928</v>
      </c>
      <c r="C5473" s="33" t="s">
        <v>925</v>
      </c>
      <c r="D5473" s="33" t="s">
        <v>17</v>
      </c>
      <c r="E5473" s="33" t="s">
        <v>31</v>
      </c>
      <c r="F5473" s="33" t="s">
        <v>32</v>
      </c>
      <c r="G5473" s="33" t="s">
        <v>106</v>
      </c>
      <c r="H5473" s="35">
        <v>193</v>
      </c>
      <c r="I5473" s="33" t="s">
        <v>21</v>
      </c>
      <c r="J5473" s="42">
        <v>44446</v>
      </c>
      <c r="K5473" s="33" t="s">
        <v>22</v>
      </c>
    </row>
    <row r="5474" spans="1:11">
      <c r="A5474" s="30" t="s">
        <v>12929</v>
      </c>
      <c r="B5474" s="30" t="s">
        <v>12930</v>
      </c>
      <c r="C5474" s="30" t="s">
        <v>1191</v>
      </c>
      <c r="D5474" s="30" t="s">
        <v>17</v>
      </c>
      <c r="E5474" s="30" t="s">
        <v>212</v>
      </c>
      <c r="F5474" s="30" t="s">
        <v>213</v>
      </c>
      <c r="G5474" s="30" t="s">
        <v>50</v>
      </c>
      <c r="H5474" s="32">
        <v>4400</v>
      </c>
      <c r="I5474" s="30" t="s">
        <v>21</v>
      </c>
      <c r="J5474" s="41">
        <v>44315</v>
      </c>
      <c r="K5474" s="30" t="s">
        <v>22</v>
      </c>
    </row>
    <row r="5475" spans="1:11">
      <c r="A5475" s="33" t="s">
        <v>12931</v>
      </c>
      <c r="B5475" s="33" t="s">
        <v>12932</v>
      </c>
      <c r="C5475" s="33" t="s">
        <v>1270</v>
      </c>
      <c r="D5475" s="33" t="s">
        <v>17</v>
      </c>
      <c r="E5475" s="33" t="s">
        <v>18</v>
      </c>
      <c r="F5475" s="33" t="s">
        <v>19</v>
      </c>
      <c r="G5475" s="33" t="s">
        <v>140</v>
      </c>
      <c r="H5475" s="35">
        <v>150</v>
      </c>
      <c r="I5475" s="33" t="s">
        <v>51</v>
      </c>
      <c r="J5475" s="42">
        <v>44273</v>
      </c>
      <c r="K5475" s="33" t="s">
        <v>22</v>
      </c>
    </row>
    <row r="5476" spans="1:11">
      <c r="A5476" s="30" t="s">
        <v>12933</v>
      </c>
      <c r="B5476" s="30" t="s">
        <v>12934</v>
      </c>
      <c r="C5476" s="30" t="s">
        <v>252</v>
      </c>
      <c r="D5476" s="30" t="s">
        <v>17</v>
      </c>
      <c r="E5476" s="30" t="s">
        <v>18</v>
      </c>
      <c r="F5476" s="30" t="s">
        <v>19</v>
      </c>
      <c r="G5476" s="30" t="s">
        <v>20</v>
      </c>
      <c r="H5476" s="32">
        <v>122</v>
      </c>
      <c r="I5476" s="30" t="s">
        <v>21</v>
      </c>
      <c r="J5476" s="41">
        <v>44504</v>
      </c>
      <c r="K5476" s="30" t="s">
        <v>22</v>
      </c>
    </row>
    <row r="5477" spans="1:11">
      <c r="A5477" s="33" t="s">
        <v>12935</v>
      </c>
      <c r="B5477" s="33" t="s">
        <v>12936</v>
      </c>
      <c r="C5477" s="33" t="s">
        <v>231</v>
      </c>
      <c r="D5477" s="33" t="s">
        <v>17</v>
      </c>
      <c r="E5477" s="33" t="s">
        <v>26</v>
      </c>
      <c r="F5477" s="33" t="s">
        <v>27</v>
      </c>
      <c r="G5477" s="33" t="s">
        <v>106</v>
      </c>
      <c r="H5477" s="35">
        <v>8</v>
      </c>
      <c r="I5477" s="33" t="s">
        <v>21</v>
      </c>
      <c r="J5477" s="42">
        <v>44306</v>
      </c>
      <c r="K5477" s="33" t="s">
        <v>22</v>
      </c>
    </row>
    <row r="5478" spans="1:11">
      <c r="A5478" s="30" t="s">
        <v>12937</v>
      </c>
      <c r="B5478" s="30" t="s">
        <v>12938</v>
      </c>
      <c r="C5478" s="30" t="s">
        <v>118</v>
      </c>
      <c r="D5478" s="30" t="s">
        <v>17</v>
      </c>
      <c r="E5478" s="30" t="s">
        <v>26</v>
      </c>
      <c r="F5478" s="30" t="s">
        <v>27</v>
      </c>
      <c r="G5478" s="30" t="s">
        <v>20</v>
      </c>
      <c r="H5478" s="32">
        <v>33</v>
      </c>
      <c r="I5478" s="30" t="s">
        <v>21</v>
      </c>
      <c r="J5478" s="41">
        <v>44348</v>
      </c>
      <c r="K5478" s="30" t="s">
        <v>22</v>
      </c>
    </row>
    <row r="5479" spans="1:11">
      <c r="A5479" s="33" t="s">
        <v>12939</v>
      </c>
      <c r="B5479" s="33" t="s">
        <v>12940</v>
      </c>
      <c r="C5479" s="33" t="s">
        <v>57</v>
      </c>
      <c r="D5479" s="33" t="s">
        <v>17</v>
      </c>
      <c r="E5479" s="33" t="s">
        <v>212</v>
      </c>
      <c r="F5479" s="33" t="s">
        <v>213</v>
      </c>
      <c r="G5479" s="33" t="s">
        <v>20</v>
      </c>
      <c r="H5479" s="35">
        <v>431</v>
      </c>
      <c r="I5479" s="33" t="s">
        <v>21</v>
      </c>
      <c r="J5479" s="42">
        <v>44454</v>
      </c>
      <c r="K5479" s="33" t="s">
        <v>22</v>
      </c>
    </row>
    <row r="5480" spans="1:11">
      <c r="A5480" s="30" t="s">
        <v>12941</v>
      </c>
      <c r="B5480" s="30" t="s">
        <v>12942</v>
      </c>
      <c r="C5480" s="30" t="s">
        <v>136</v>
      </c>
      <c r="D5480" s="30" t="s">
        <v>17</v>
      </c>
      <c r="E5480" s="30" t="s">
        <v>26</v>
      </c>
      <c r="F5480" s="30" t="s">
        <v>27</v>
      </c>
      <c r="G5480" s="30" t="s">
        <v>20</v>
      </c>
      <c r="H5480" s="32">
        <v>16</v>
      </c>
      <c r="I5480" s="30" t="s">
        <v>21</v>
      </c>
      <c r="J5480" s="41">
        <v>44266</v>
      </c>
      <c r="K5480" s="30" t="s">
        <v>22</v>
      </c>
    </row>
    <row r="5481" spans="1:11">
      <c r="A5481" s="33" t="s">
        <v>12943</v>
      </c>
      <c r="B5481" s="33" t="s">
        <v>12944</v>
      </c>
      <c r="C5481" s="33" t="s">
        <v>11323</v>
      </c>
      <c r="D5481" s="33" t="s">
        <v>17</v>
      </c>
      <c r="E5481" s="33" t="s">
        <v>26</v>
      </c>
      <c r="F5481" s="33" t="s">
        <v>27</v>
      </c>
      <c r="G5481" s="33" t="s">
        <v>112</v>
      </c>
      <c r="H5481" s="35">
        <v>0</v>
      </c>
      <c r="I5481" s="33" t="s">
        <v>21</v>
      </c>
      <c r="J5481" s="42">
        <v>44455</v>
      </c>
      <c r="K5481" s="33" t="s">
        <v>22</v>
      </c>
    </row>
    <row r="5482" spans="1:11">
      <c r="A5482" s="30" t="s">
        <v>12945</v>
      </c>
      <c r="B5482" s="30" t="s">
        <v>12946</v>
      </c>
      <c r="C5482" s="30" t="s">
        <v>12947</v>
      </c>
      <c r="D5482" s="30" t="s">
        <v>17</v>
      </c>
      <c r="E5482" s="30" t="s">
        <v>26</v>
      </c>
      <c r="F5482" s="30" t="s">
        <v>27</v>
      </c>
      <c r="G5482" s="30" t="s">
        <v>20</v>
      </c>
      <c r="H5482" s="32">
        <v>1</v>
      </c>
      <c r="I5482" s="30" t="s">
        <v>21</v>
      </c>
      <c r="J5482" s="41">
        <v>44197</v>
      </c>
      <c r="K5482" s="30" t="s">
        <v>22</v>
      </c>
    </row>
    <row r="5483" spans="1:11">
      <c r="A5483" s="33" t="s">
        <v>12948</v>
      </c>
      <c r="B5483" s="33" t="s">
        <v>12949</v>
      </c>
      <c r="C5483" s="33" t="s">
        <v>684</v>
      </c>
      <c r="D5483" s="33" t="s">
        <v>17</v>
      </c>
      <c r="E5483" s="33" t="s">
        <v>26</v>
      </c>
      <c r="F5483" s="33" t="s">
        <v>27</v>
      </c>
      <c r="G5483" s="33" t="s">
        <v>106</v>
      </c>
      <c r="H5483" s="35">
        <v>26</v>
      </c>
      <c r="I5483" s="33" t="s">
        <v>21</v>
      </c>
      <c r="J5483" s="42">
        <v>44474</v>
      </c>
      <c r="K5483" s="33" t="s">
        <v>22</v>
      </c>
    </row>
    <row r="5484" spans="1:11">
      <c r="A5484" s="30" t="s">
        <v>12950</v>
      </c>
      <c r="B5484" s="30" t="s">
        <v>12951</v>
      </c>
      <c r="C5484" s="30" t="s">
        <v>136</v>
      </c>
      <c r="D5484" s="30" t="s">
        <v>17</v>
      </c>
      <c r="E5484" s="30" t="s">
        <v>26</v>
      </c>
      <c r="F5484" s="30" t="s">
        <v>27</v>
      </c>
      <c r="G5484" s="30" t="s">
        <v>20</v>
      </c>
      <c r="H5484" s="32">
        <v>97</v>
      </c>
      <c r="I5484" s="30" t="s">
        <v>21</v>
      </c>
      <c r="J5484" s="41">
        <v>44242</v>
      </c>
      <c r="K5484" s="30" t="s">
        <v>22</v>
      </c>
    </row>
    <row r="5485" spans="1:11">
      <c r="A5485" s="33" t="s">
        <v>12952</v>
      </c>
      <c r="B5485" s="33" t="s">
        <v>12953</v>
      </c>
      <c r="C5485" s="33" t="s">
        <v>187</v>
      </c>
      <c r="D5485" s="33" t="s">
        <v>17</v>
      </c>
      <c r="E5485" s="33" t="s">
        <v>31</v>
      </c>
      <c r="F5485" s="33" t="s">
        <v>32</v>
      </c>
      <c r="G5485" s="33" t="s">
        <v>50</v>
      </c>
      <c r="H5485" s="35">
        <v>120</v>
      </c>
      <c r="I5485" s="33" t="s">
        <v>51</v>
      </c>
      <c r="J5485" s="42">
        <v>44477</v>
      </c>
      <c r="K5485" s="33" t="s">
        <v>22</v>
      </c>
    </row>
    <row r="5486" spans="1:11">
      <c r="A5486" s="30" t="s">
        <v>12954</v>
      </c>
      <c r="B5486" s="30" t="s">
        <v>12955</v>
      </c>
      <c r="C5486" s="30" t="s">
        <v>178</v>
      </c>
      <c r="D5486" s="30" t="s">
        <v>17</v>
      </c>
      <c r="E5486" s="30" t="s">
        <v>26</v>
      </c>
      <c r="F5486" s="30" t="s">
        <v>27</v>
      </c>
      <c r="G5486" s="30" t="s">
        <v>106</v>
      </c>
      <c r="H5486" s="32">
        <v>49</v>
      </c>
      <c r="I5486" s="30" t="s">
        <v>21</v>
      </c>
      <c r="J5486" s="41">
        <v>44200</v>
      </c>
      <c r="K5486" s="30" t="s">
        <v>22</v>
      </c>
    </row>
    <row r="5487" spans="1:11">
      <c r="A5487" s="33" t="s">
        <v>12956</v>
      </c>
      <c r="B5487" s="33" t="s">
        <v>12957</v>
      </c>
      <c r="C5487" s="33" t="s">
        <v>1543</v>
      </c>
      <c r="D5487" s="33" t="s">
        <v>17</v>
      </c>
      <c r="E5487" s="33" t="s">
        <v>18</v>
      </c>
      <c r="F5487" s="33" t="s">
        <v>19</v>
      </c>
      <c r="G5487" s="33" t="s">
        <v>20</v>
      </c>
      <c r="H5487" s="35">
        <v>108</v>
      </c>
      <c r="I5487" s="33" t="s">
        <v>21</v>
      </c>
      <c r="J5487" s="42">
        <v>44551</v>
      </c>
      <c r="K5487" s="33" t="s">
        <v>22</v>
      </c>
    </row>
    <row r="5488" spans="1:11">
      <c r="A5488" s="30" t="s">
        <v>12958</v>
      </c>
      <c r="B5488" s="30" t="s">
        <v>12959</v>
      </c>
      <c r="C5488" s="30" t="s">
        <v>12960</v>
      </c>
      <c r="D5488" s="30" t="s">
        <v>17</v>
      </c>
      <c r="E5488" s="30" t="s">
        <v>31</v>
      </c>
      <c r="F5488" s="30" t="s">
        <v>32</v>
      </c>
      <c r="G5488" s="30" t="s">
        <v>50</v>
      </c>
      <c r="H5488" s="32">
        <v>117</v>
      </c>
      <c r="I5488" s="30" t="s">
        <v>51</v>
      </c>
      <c r="J5488" s="41">
        <v>44298</v>
      </c>
      <c r="K5488" s="30" t="s">
        <v>22</v>
      </c>
    </row>
    <row r="5489" spans="1:11">
      <c r="A5489" s="33" t="s">
        <v>12961</v>
      </c>
      <c r="B5489" s="33" t="s">
        <v>12962</v>
      </c>
      <c r="C5489" s="33" t="s">
        <v>8262</v>
      </c>
      <c r="D5489" s="33" t="s">
        <v>17</v>
      </c>
      <c r="E5489" s="33" t="s">
        <v>26</v>
      </c>
      <c r="F5489" s="33" t="s">
        <v>27</v>
      </c>
      <c r="G5489" s="33" t="s">
        <v>20</v>
      </c>
      <c r="H5489" s="35">
        <v>45</v>
      </c>
      <c r="I5489" s="33" t="s">
        <v>21</v>
      </c>
      <c r="J5489" s="42">
        <v>44503</v>
      </c>
      <c r="K5489" s="33" t="s">
        <v>22</v>
      </c>
    </row>
    <row r="5490" spans="1:11">
      <c r="A5490" s="30" t="s">
        <v>12963</v>
      </c>
      <c r="B5490" s="30" t="s">
        <v>12964</v>
      </c>
      <c r="C5490" s="30" t="s">
        <v>5462</v>
      </c>
      <c r="D5490" s="30" t="s">
        <v>17</v>
      </c>
      <c r="E5490" s="30" t="s">
        <v>31</v>
      </c>
      <c r="F5490" s="30" t="s">
        <v>32</v>
      </c>
      <c r="G5490" s="30" t="s">
        <v>106</v>
      </c>
      <c r="H5490" s="32">
        <v>31</v>
      </c>
      <c r="I5490" s="30" t="s">
        <v>21</v>
      </c>
      <c r="J5490" s="41">
        <v>44404</v>
      </c>
      <c r="K5490" s="30" t="s">
        <v>22</v>
      </c>
    </row>
    <row r="5491" spans="1:11">
      <c r="A5491" s="33" t="s">
        <v>12965</v>
      </c>
      <c r="B5491" s="33" t="s">
        <v>12966</v>
      </c>
      <c r="C5491" s="33" t="s">
        <v>49</v>
      </c>
      <c r="D5491" s="33" t="s">
        <v>17</v>
      </c>
      <c r="E5491" s="33" t="s">
        <v>18</v>
      </c>
      <c r="F5491" s="33" t="s">
        <v>19</v>
      </c>
      <c r="G5491" s="33" t="s">
        <v>20</v>
      </c>
      <c r="H5491" s="35">
        <v>498</v>
      </c>
      <c r="I5491" s="33" t="s">
        <v>21</v>
      </c>
      <c r="J5491" s="42">
        <v>44392</v>
      </c>
      <c r="K5491" s="33" t="s">
        <v>22</v>
      </c>
    </row>
    <row r="5492" spans="1:11">
      <c r="A5492" s="30" t="s">
        <v>12967</v>
      </c>
      <c r="B5492" s="30" t="s">
        <v>12968</v>
      </c>
      <c r="C5492" s="30" t="s">
        <v>12969</v>
      </c>
      <c r="D5492" s="30" t="s">
        <v>17</v>
      </c>
      <c r="E5492" s="30" t="s">
        <v>31</v>
      </c>
      <c r="F5492" s="30" t="s">
        <v>32</v>
      </c>
      <c r="G5492" s="30" t="s">
        <v>106</v>
      </c>
      <c r="H5492" s="32">
        <v>29</v>
      </c>
      <c r="I5492" s="30" t="s">
        <v>21</v>
      </c>
      <c r="J5492" s="41">
        <v>44476</v>
      </c>
      <c r="K5492" s="30" t="s">
        <v>22</v>
      </c>
    </row>
    <row r="5493" spans="1:11">
      <c r="A5493" s="33" t="s">
        <v>12970</v>
      </c>
      <c r="B5493" s="33" t="s">
        <v>12971</v>
      </c>
      <c r="C5493" s="33" t="s">
        <v>149</v>
      </c>
      <c r="D5493" s="33" t="s">
        <v>17</v>
      </c>
      <c r="E5493" s="33" t="s">
        <v>18</v>
      </c>
      <c r="F5493" s="33" t="s">
        <v>19</v>
      </c>
      <c r="G5493" s="33" t="s">
        <v>106</v>
      </c>
      <c r="H5493" s="35">
        <v>1</v>
      </c>
      <c r="I5493" s="33" t="s">
        <v>21</v>
      </c>
      <c r="J5493" s="42">
        <v>44465</v>
      </c>
      <c r="K5493" s="33" t="s">
        <v>22</v>
      </c>
    </row>
    <row r="5494" spans="1:11">
      <c r="A5494" s="30" t="s">
        <v>12972</v>
      </c>
      <c r="B5494" s="30" t="s">
        <v>12973</v>
      </c>
      <c r="C5494" s="30" t="s">
        <v>4348</v>
      </c>
      <c r="D5494" s="30" t="s">
        <v>17</v>
      </c>
      <c r="E5494" s="30" t="s">
        <v>31</v>
      </c>
      <c r="F5494" s="30" t="s">
        <v>32</v>
      </c>
      <c r="G5494" s="30" t="s">
        <v>106</v>
      </c>
      <c r="H5494" s="32">
        <v>7</v>
      </c>
      <c r="I5494" s="30" t="s">
        <v>21</v>
      </c>
      <c r="J5494" s="41">
        <v>44530</v>
      </c>
      <c r="K5494" s="30" t="s">
        <v>22</v>
      </c>
    </row>
    <row r="5495" spans="1:11">
      <c r="A5495" s="33" t="s">
        <v>12974</v>
      </c>
      <c r="B5495" s="33" t="s">
        <v>12975</v>
      </c>
      <c r="C5495" s="33" t="s">
        <v>190</v>
      </c>
      <c r="D5495" s="33" t="s">
        <v>17</v>
      </c>
      <c r="E5495" s="33" t="s">
        <v>18</v>
      </c>
      <c r="F5495" s="33" t="s">
        <v>19</v>
      </c>
      <c r="G5495" s="33" t="s">
        <v>158</v>
      </c>
      <c r="H5495" s="35">
        <v>712</v>
      </c>
      <c r="I5495" s="33" t="s">
        <v>21</v>
      </c>
      <c r="J5495" s="42">
        <v>44413</v>
      </c>
      <c r="K5495" s="33" t="s">
        <v>22</v>
      </c>
    </row>
    <row r="5496" spans="1:11">
      <c r="A5496" s="30" t="s">
        <v>12976</v>
      </c>
      <c r="B5496" s="30" t="s">
        <v>12977</v>
      </c>
      <c r="C5496" s="30" t="s">
        <v>3964</v>
      </c>
      <c r="D5496" s="30" t="s">
        <v>17</v>
      </c>
      <c r="E5496" s="30" t="s">
        <v>31</v>
      </c>
      <c r="F5496" s="30" t="s">
        <v>32</v>
      </c>
      <c r="G5496" s="30" t="s">
        <v>50</v>
      </c>
      <c r="H5496" s="32">
        <v>60</v>
      </c>
      <c r="I5496" s="30" t="s">
        <v>51</v>
      </c>
      <c r="J5496" s="41">
        <v>44340</v>
      </c>
      <c r="K5496" s="30" t="s">
        <v>22</v>
      </c>
    </row>
    <row r="5497" spans="1:11">
      <c r="A5497" s="33" t="s">
        <v>12978</v>
      </c>
      <c r="B5497" s="33" t="s">
        <v>12979</v>
      </c>
      <c r="C5497" s="33" t="s">
        <v>12980</v>
      </c>
      <c r="D5497" s="33" t="s">
        <v>17</v>
      </c>
      <c r="E5497" s="33" t="s">
        <v>45</v>
      </c>
      <c r="F5497" s="33" t="s">
        <v>46</v>
      </c>
      <c r="G5497" s="33" t="s">
        <v>158</v>
      </c>
      <c r="H5497" s="35">
        <v>198</v>
      </c>
      <c r="I5497" s="33" t="s">
        <v>21</v>
      </c>
      <c r="J5497" s="42">
        <v>44440</v>
      </c>
      <c r="K5497" s="33" t="s">
        <v>22</v>
      </c>
    </row>
    <row r="5498" spans="1:11">
      <c r="A5498" s="30" t="s">
        <v>12981</v>
      </c>
      <c r="B5498" s="30" t="s">
        <v>12982</v>
      </c>
      <c r="C5498" s="30" t="s">
        <v>709</v>
      </c>
      <c r="D5498" s="30" t="s">
        <v>17</v>
      </c>
      <c r="E5498" s="30" t="s">
        <v>67</v>
      </c>
      <c r="F5498" s="30" t="s">
        <v>68</v>
      </c>
      <c r="G5498" s="30" t="s">
        <v>20</v>
      </c>
      <c r="H5498" s="32">
        <v>203</v>
      </c>
      <c r="I5498" s="30" t="s">
        <v>21</v>
      </c>
      <c r="J5498" s="41">
        <v>44269</v>
      </c>
      <c r="K5498" s="30" t="s">
        <v>22</v>
      </c>
    </row>
    <row r="5499" spans="1:11">
      <c r="A5499" s="33" t="s">
        <v>12983</v>
      </c>
      <c r="B5499" s="33" t="s">
        <v>12984</v>
      </c>
      <c r="C5499" s="33" t="s">
        <v>12985</v>
      </c>
      <c r="D5499" s="33" t="s">
        <v>17</v>
      </c>
      <c r="E5499" s="33" t="s">
        <v>26</v>
      </c>
      <c r="F5499" s="33" t="s">
        <v>27</v>
      </c>
      <c r="G5499" s="33" t="s">
        <v>50</v>
      </c>
      <c r="H5499" s="35">
        <v>80</v>
      </c>
      <c r="I5499" s="33" t="s">
        <v>51</v>
      </c>
      <c r="J5499" s="42">
        <v>44470</v>
      </c>
      <c r="K5499" s="33" t="s">
        <v>22</v>
      </c>
    </row>
    <row r="5500" spans="1:11">
      <c r="A5500" s="30" t="s">
        <v>12986</v>
      </c>
      <c r="B5500" s="30" t="s">
        <v>12987</v>
      </c>
      <c r="C5500" s="30" t="s">
        <v>1162</v>
      </c>
      <c r="D5500" s="30" t="s">
        <v>17</v>
      </c>
      <c r="E5500" s="30" t="s">
        <v>31</v>
      </c>
      <c r="F5500" s="30" t="s">
        <v>32</v>
      </c>
      <c r="G5500" s="30" t="s">
        <v>20</v>
      </c>
      <c r="H5500" s="32">
        <v>98</v>
      </c>
      <c r="I5500" s="30" t="s">
        <v>21</v>
      </c>
      <c r="J5500" s="41">
        <v>44314</v>
      </c>
      <c r="K5500" s="30" t="s">
        <v>22</v>
      </c>
    </row>
    <row r="5501" spans="1:11">
      <c r="A5501" s="33" t="s">
        <v>12988</v>
      </c>
      <c r="B5501" s="33" t="s">
        <v>12989</v>
      </c>
      <c r="C5501" s="33" t="s">
        <v>969</v>
      </c>
      <c r="D5501" s="33" t="s">
        <v>17</v>
      </c>
      <c r="E5501" s="33" t="s">
        <v>18</v>
      </c>
      <c r="F5501" s="33" t="s">
        <v>19</v>
      </c>
      <c r="G5501" s="33" t="s">
        <v>20</v>
      </c>
      <c r="H5501" s="35">
        <v>770</v>
      </c>
      <c r="I5501" s="33" t="s">
        <v>21</v>
      </c>
      <c r="J5501" s="42">
        <v>44470</v>
      </c>
      <c r="K5501" s="33" t="s">
        <v>22</v>
      </c>
    </row>
    <row r="5502" spans="1:11">
      <c r="A5502" s="30" t="s">
        <v>12990</v>
      </c>
      <c r="B5502" s="30" t="s">
        <v>12991</v>
      </c>
      <c r="C5502" s="30" t="s">
        <v>2802</v>
      </c>
      <c r="D5502" s="30" t="s">
        <v>17</v>
      </c>
      <c r="E5502" s="30" t="s">
        <v>18</v>
      </c>
      <c r="F5502" s="30" t="s">
        <v>19</v>
      </c>
      <c r="G5502" s="30" t="s">
        <v>158</v>
      </c>
      <c r="H5502" s="32">
        <v>664</v>
      </c>
      <c r="I5502" s="30" t="s">
        <v>21</v>
      </c>
      <c r="J5502" s="41">
        <v>44497</v>
      </c>
      <c r="K5502" s="30" t="s">
        <v>22</v>
      </c>
    </row>
    <row r="5503" spans="1:11">
      <c r="A5503" s="33" t="s">
        <v>12992</v>
      </c>
      <c r="B5503" s="33" t="s">
        <v>12993</v>
      </c>
      <c r="C5503" s="33" t="s">
        <v>102</v>
      </c>
      <c r="D5503" s="33" t="s">
        <v>17</v>
      </c>
      <c r="E5503" s="33" t="s">
        <v>26</v>
      </c>
      <c r="F5503" s="33" t="s">
        <v>27</v>
      </c>
      <c r="G5503" s="33" t="s">
        <v>158</v>
      </c>
      <c r="H5503" s="35">
        <v>216</v>
      </c>
      <c r="I5503" s="33" t="s">
        <v>21</v>
      </c>
      <c r="J5503" s="42">
        <v>44390</v>
      </c>
      <c r="K5503" s="33" t="s">
        <v>22</v>
      </c>
    </row>
    <row r="5504" spans="1:11">
      <c r="A5504" s="30" t="s">
        <v>12994</v>
      </c>
      <c r="B5504" s="30" t="s">
        <v>12995</v>
      </c>
      <c r="C5504" s="30" t="s">
        <v>701</v>
      </c>
      <c r="D5504" s="30" t="s">
        <v>17</v>
      </c>
      <c r="E5504" s="30" t="s">
        <v>31</v>
      </c>
      <c r="F5504" s="30" t="s">
        <v>32</v>
      </c>
      <c r="G5504" s="30" t="s">
        <v>20</v>
      </c>
      <c r="H5504" s="32">
        <v>400</v>
      </c>
      <c r="I5504" s="30" t="s">
        <v>21</v>
      </c>
      <c r="J5504" s="41">
        <v>44504</v>
      </c>
      <c r="K5504" s="30" t="s">
        <v>22</v>
      </c>
    </row>
    <row r="5505" spans="1:11">
      <c r="A5505" s="33" t="s">
        <v>12996</v>
      </c>
      <c r="B5505" s="33" t="s">
        <v>12997</v>
      </c>
      <c r="C5505" s="33" t="s">
        <v>1598</v>
      </c>
      <c r="D5505" s="33" t="s">
        <v>17</v>
      </c>
      <c r="E5505" s="33" t="s">
        <v>26</v>
      </c>
      <c r="F5505" s="33" t="s">
        <v>27</v>
      </c>
      <c r="G5505" s="33" t="s">
        <v>20</v>
      </c>
      <c r="H5505" s="35">
        <v>30</v>
      </c>
      <c r="I5505" s="33" t="s">
        <v>21</v>
      </c>
      <c r="J5505" s="42">
        <v>44400</v>
      </c>
      <c r="K5505" s="33" t="s">
        <v>22</v>
      </c>
    </row>
    <row r="5506" spans="1:11">
      <c r="A5506" s="30" t="s">
        <v>12998</v>
      </c>
      <c r="B5506" s="30" t="s">
        <v>12999</v>
      </c>
      <c r="C5506" s="30" t="s">
        <v>44</v>
      </c>
      <c r="D5506" s="30" t="s">
        <v>17</v>
      </c>
      <c r="E5506" s="30" t="s">
        <v>26</v>
      </c>
      <c r="F5506" s="30" t="s">
        <v>27</v>
      </c>
      <c r="G5506" s="30" t="s">
        <v>20</v>
      </c>
      <c r="H5506" s="32">
        <v>56</v>
      </c>
      <c r="I5506" s="30" t="s">
        <v>21</v>
      </c>
      <c r="J5506" s="41">
        <v>44496</v>
      </c>
      <c r="K5506" s="30" t="s">
        <v>22</v>
      </c>
    </row>
    <row r="5507" spans="1:11">
      <c r="A5507" s="33" t="s">
        <v>13000</v>
      </c>
      <c r="B5507" s="33" t="s">
        <v>13001</v>
      </c>
      <c r="C5507" s="33" t="s">
        <v>13002</v>
      </c>
      <c r="D5507" s="33" t="s">
        <v>17</v>
      </c>
      <c r="E5507" s="33" t="s">
        <v>31</v>
      </c>
      <c r="F5507" s="33" t="s">
        <v>32</v>
      </c>
      <c r="G5507" s="33" t="s">
        <v>158</v>
      </c>
      <c r="H5507" s="35">
        <v>60</v>
      </c>
      <c r="I5507" s="33" t="s">
        <v>51</v>
      </c>
      <c r="J5507" s="42">
        <v>44452</v>
      </c>
      <c r="K5507" s="33" t="s">
        <v>22</v>
      </c>
    </row>
    <row r="5508" spans="1:11">
      <c r="A5508" s="30" t="s">
        <v>13003</v>
      </c>
      <c r="B5508" s="30" t="s">
        <v>13004</v>
      </c>
      <c r="C5508" s="30" t="s">
        <v>109</v>
      </c>
      <c r="D5508" s="30" t="s">
        <v>17</v>
      </c>
      <c r="E5508" s="30" t="s">
        <v>18</v>
      </c>
      <c r="F5508" s="30" t="s">
        <v>19</v>
      </c>
      <c r="G5508" s="30" t="s">
        <v>158</v>
      </c>
      <c r="H5508" s="32">
        <v>17004</v>
      </c>
      <c r="I5508" s="30" t="s">
        <v>21</v>
      </c>
      <c r="J5508" s="41">
        <v>44523</v>
      </c>
      <c r="K5508" s="30" t="s">
        <v>22</v>
      </c>
    </row>
    <row r="5509" spans="1:11">
      <c r="A5509" s="33" t="s">
        <v>13005</v>
      </c>
      <c r="B5509" s="33" t="s">
        <v>13006</v>
      </c>
      <c r="C5509" s="33" t="s">
        <v>157</v>
      </c>
      <c r="D5509" s="33" t="s">
        <v>17</v>
      </c>
      <c r="E5509" s="33" t="s">
        <v>18</v>
      </c>
      <c r="F5509" s="33" t="s">
        <v>19</v>
      </c>
      <c r="G5509" s="33" t="s">
        <v>20</v>
      </c>
      <c r="H5509" s="35">
        <v>121</v>
      </c>
      <c r="I5509" s="33" t="s">
        <v>21</v>
      </c>
      <c r="J5509" s="42">
        <v>44488</v>
      </c>
      <c r="K5509" s="33" t="s">
        <v>22</v>
      </c>
    </row>
    <row r="5510" spans="1:11">
      <c r="A5510" s="30" t="s">
        <v>13007</v>
      </c>
      <c r="B5510" s="30" t="s">
        <v>13008</v>
      </c>
      <c r="C5510" s="30" t="s">
        <v>13009</v>
      </c>
      <c r="D5510" s="30" t="s">
        <v>17</v>
      </c>
      <c r="E5510" s="30" t="s">
        <v>31</v>
      </c>
      <c r="F5510" s="30" t="s">
        <v>32</v>
      </c>
      <c r="G5510" s="30" t="s">
        <v>158</v>
      </c>
      <c r="H5510" s="32">
        <v>70</v>
      </c>
      <c r="I5510" s="30" t="s">
        <v>21</v>
      </c>
      <c r="J5510" s="41">
        <v>44539</v>
      </c>
      <c r="K5510" s="30" t="s">
        <v>22</v>
      </c>
    </row>
    <row r="5511" spans="1:11">
      <c r="A5511" s="33" t="s">
        <v>13010</v>
      </c>
      <c r="B5511" s="33" t="s">
        <v>13011</v>
      </c>
      <c r="C5511" s="33" t="s">
        <v>13012</v>
      </c>
      <c r="D5511" s="33" t="s">
        <v>17</v>
      </c>
      <c r="E5511" s="33" t="s">
        <v>18</v>
      </c>
      <c r="F5511" s="33" t="s">
        <v>19</v>
      </c>
      <c r="G5511" s="33" t="s">
        <v>20</v>
      </c>
      <c r="H5511" s="35">
        <v>180</v>
      </c>
      <c r="I5511" s="33" t="s">
        <v>21</v>
      </c>
      <c r="J5511" s="42">
        <v>44468</v>
      </c>
      <c r="K5511" s="33" t="s">
        <v>22</v>
      </c>
    </row>
    <row r="5512" spans="1:11">
      <c r="A5512" s="30" t="s">
        <v>13013</v>
      </c>
      <c r="B5512" s="30" t="s">
        <v>13014</v>
      </c>
      <c r="C5512" s="30" t="s">
        <v>2022</v>
      </c>
      <c r="D5512" s="30" t="s">
        <v>17</v>
      </c>
      <c r="E5512" s="30" t="s">
        <v>26</v>
      </c>
      <c r="F5512" s="30" t="s">
        <v>27</v>
      </c>
      <c r="G5512" s="30" t="s">
        <v>20</v>
      </c>
      <c r="H5512" s="32">
        <v>16</v>
      </c>
      <c r="I5512" s="30" t="s">
        <v>21</v>
      </c>
      <c r="J5512" s="41">
        <v>44385</v>
      </c>
      <c r="K5512" s="30" t="s">
        <v>22</v>
      </c>
    </row>
    <row r="5513" spans="1:11">
      <c r="A5513" s="33" t="s">
        <v>13015</v>
      </c>
      <c r="B5513" s="33" t="s">
        <v>13016</v>
      </c>
      <c r="C5513" s="33" t="s">
        <v>387</v>
      </c>
      <c r="D5513" s="33" t="s">
        <v>17</v>
      </c>
      <c r="E5513" s="33" t="s">
        <v>26</v>
      </c>
      <c r="F5513" s="33" t="s">
        <v>27</v>
      </c>
      <c r="G5513" s="33" t="s">
        <v>20</v>
      </c>
      <c r="H5513" s="35">
        <v>20</v>
      </c>
      <c r="I5513" s="33" t="s">
        <v>21</v>
      </c>
      <c r="J5513" s="42">
        <v>44306</v>
      </c>
      <c r="K5513" s="33" t="s">
        <v>22</v>
      </c>
    </row>
    <row r="5514" spans="1:11">
      <c r="A5514" s="30" t="s">
        <v>13017</v>
      </c>
      <c r="B5514" s="30" t="s">
        <v>13018</v>
      </c>
      <c r="C5514" s="30" t="s">
        <v>7459</v>
      </c>
      <c r="D5514" s="30" t="s">
        <v>17</v>
      </c>
      <c r="E5514" s="30" t="s">
        <v>31</v>
      </c>
      <c r="F5514" s="30" t="s">
        <v>32</v>
      </c>
      <c r="G5514" s="30" t="s">
        <v>106</v>
      </c>
      <c r="H5514" s="32">
        <v>3877</v>
      </c>
      <c r="I5514" s="30" t="s">
        <v>21</v>
      </c>
      <c r="J5514" s="41">
        <v>44226</v>
      </c>
      <c r="K5514" s="30" t="s">
        <v>22</v>
      </c>
    </row>
    <row r="5515" spans="1:11">
      <c r="A5515" s="33" t="s">
        <v>13019</v>
      </c>
      <c r="B5515" s="33" t="s">
        <v>13020</v>
      </c>
      <c r="C5515" s="33" t="s">
        <v>13021</v>
      </c>
      <c r="D5515" s="33" t="s">
        <v>17</v>
      </c>
      <c r="E5515" s="33" t="s">
        <v>67</v>
      </c>
      <c r="F5515" s="33" t="s">
        <v>68</v>
      </c>
      <c r="G5515" s="33" t="s">
        <v>158</v>
      </c>
      <c r="H5515" s="35">
        <v>194</v>
      </c>
      <c r="I5515" s="33" t="s">
        <v>21</v>
      </c>
      <c r="J5515" s="42">
        <v>44314</v>
      </c>
      <c r="K5515" s="33" t="s">
        <v>22</v>
      </c>
    </row>
    <row r="5516" spans="1:11">
      <c r="A5516" s="30" t="s">
        <v>13022</v>
      </c>
      <c r="B5516" s="30" t="s">
        <v>13023</v>
      </c>
      <c r="C5516" s="30" t="s">
        <v>2756</v>
      </c>
      <c r="D5516" s="30" t="s">
        <v>17</v>
      </c>
      <c r="E5516" s="30" t="s">
        <v>26</v>
      </c>
      <c r="F5516" s="30" t="s">
        <v>27</v>
      </c>
      <c r="G5516" s="30" t="s">
        <v>20</v>
      </c>
      <c r="H5516" s="32">
        <v>116</v>
      </c>
      <c r="I5516" s="30" t="s">
        <v>21</v>
      </c>
      <c r="J5516" s="41">
        <v>44389</v>
      </c>
      <c r="K5516" s="30" t="s">
        <v>22</v>
      </c>
    </row>
    <row r="5517" spans="1:11">
      <c r="A5517" s="33" t="s">
        <v>13024</v>
      </c>
      <c r="B5517" s="33" t="s">
        <v>13025</v>
      </c>
      <c r="C5517" s="33" t="s">
        <v>13026</v>
      </c>
      <c r="D5517" s="33" t="s">
        <v>17</v>
      </c>
      <c r="E5517" s="33" t="s">
        <v>212</v>
      </c>
      <c r="F5517" s="33" t="s">
        <v>213</v>
      </c>
      <c r="G5517" s="33" t="s">
        <v>50</v>
      </c>
      <c r="H5517" s="35">
        <v>312</v>
      </c>
      <c r="I5517" s="33" t="s">
        <v>51</v>
      </c>
      <c r="J5517" s="42">
        <v>44425</v>
      </c>
      <c r="K5517" s="33" t="s">
        <v>22</v>
      </c>
    </row>
    <row r="5518" spans="1:11">
      <c r="A5518" s="30" t="s">
        <v>13027</v>
      </c>
      <c r="B5518" s="30" t="s">
        <v>13028</v>
      </c>
      <c r="C5518" s="30" t="s">
        <v>12879</v>
      </c>
      <c r="D5518" s="30" t="s">
        <v>17</v>
      </c>
      <c r="E5518" s="30" t="s">
        <v>18</v>
      </c>
      <c r="F5518" s="30" t="s">
        <v>19</v>
      </c>
      <c r="G5518" s="30" t="s">
        <v>20</v>
      </c>
      <c r="H5518" s="32">
        <v>554</v>
      </c>
      <c r="I5518" s="30" t="s">
        <v>21</v>
      </c>
      <c r="J5518" s="41">
        <v>44281</v>
      </c>
      <c r="K5518" s="30" t="s">
        <v>22</v>
      </c>
    </row>
    <row r="5519" spans="1:11">
      <c r="A5519" s="33" t="s">
        <v>13029</v>
      </c>
      <c r="B5519" s="33" t="s">
        <v>13030</v>
      </c>
      <c r="C5519" s="33" t="s">
        <v>178</v>
      </c>
      <c r="D5519" s="33" t="s">
        <v>17</v>
      </c>
      <c r="E5519" s="33" t="s">
        <v>31</v>
      </c>
      <c r="F5519" s="33" t="s">
        <v>32</v>
      </c>
      <c r="G5519" s="33" t="s">
        <v>20</v>
      </c>
      <c r="H5519" s="35">
        <v>50</v>
      </c>
      <c r="I5519" s="33" t="s">
        <v>21</v>
      </c>
      <c r="J5519" s="42">
        <v>44251</v>
      </c>
      <c r="K5519" s="33" t="s">
        <v>22</v>
      </c>
    </row>
    <row r="5520" spans="1:11">
      <c r="A5520" s="30" t="s">
        <v>13031</v>
      </c>
      <c r="B5520" s="30" t="s">
        <v>13032</v>
      </c>
      <c r="C5520" s="30" t="s">
        <v>13033</v>
      </c>
      <c r="D5520" s="30" t="s">
        <v>17</v>
      </c>
      <c r="E5520" s="30" t="s">
        <v>212</v>
      </c>
      <c r="F5520" s="30" t="s">
        <v>213</v>
      </c>
      <c r="G5520" s="30" t="s">
        <v>20</v>
      </c>
      <c r="H5520" s="32">
        <v>240</v>
      </c>
      <c r="I5520" s="30" t="s">
        <v>21</v>
      </c>
      <c r="J5520" s="41">
        <v>44327</v>
      </c>
      <c r="K5520" s="30" t="s">
        <v>22</v>
      </c>
    </row>
    <row r="5521" spans="1:11">
      <c r="A5521" s="33" t="s">
        <v>13034</v>
      </c>
      <c r="B5521" s="33" t="s">
        <v>13035</v>
      </c>
      <c r="C5521" s="33" t="s">
        <v>13036</v>
      </c>
      <c r="D5521" s="33" t="s">
        <v>17</v>
      </c>
      <c r="E5521" s="33" t="s">
        <v>26</v>
      </c>
      <c r="F5521" s="33" t="s">
        <v>27</v>
      </c>
      <c r="G5521" s="33" t="s">
        <v>20</v>
      </c>
      <c r="H5521" s="35">
        <v>69</v>
      </c>
      <c r="I5521" s="33" t="s">
        <v>21</v>
      </c>
      <c r="J5521" s="42">
        <v>44244</v>
      </c>
      <c r="K5521" s="33" t="s">
        <v>22</v>
      </c>
    </row>
    <row r="5522" spans="1:11">
      <c r="A5522" s="30" t="s">
        <v>13037</v>
      </c>
      <c r="B5522" s="30" t="s">
        <v>13038</v>
      </c>
      <c r="C5522" s="30" t="s">
        <v>13039</v>
      </c>
      <c r="D5522" s="30" t="s">
        <v>17</v>
      </c>
      <c r="E5522" s="30" t="s">
        <v>31</v>
      </c>
      <c r="F5522" s="30" t="s">
        <v>32</v>
      </c>
      <c r="G5522" s="30" t="s">
        <v>20</v>
      </c>
      <c r="H5522" s="32">
        <v>318</v>
      </c>
      <c r="I5522" s="30" t="s">
        <v>21</v>
      </c>
      <c r="J5522" s="41">
        <v>44298</v>
      </c>
      <c r="K5522" s="30" t="s">
        <v>22</v>
      </c>
    </row>
    <row r="5523" spans="1:11">
      <c r="A5523" s="33" t="s">
        <v>13040</v>
      </c>
      <c r="B5523" s="33" t="s">
        <v>13041</v>
      </c>
      <c r="C5523" s="33" t="s">
        <v>925</v>
      </c>
      <c r="D5523" s="33" t="s">
        <v>17</v>
      </c>
      <c r="E5523" s="33" t="s">
        <v>18</v>
      </c>
      <c r="F5523" s="33" t="s">
        <v>19</v>
      </c>
      <c r="G5523" s="33" t="s">
        <v>20</v>
      </c>
      <c r="H5523" s="35">
        <v>711</v>
      </c>
      <c r="I5523" s="33" t="s">
        <v>21</v>
      </c>
      <c r="J5523" s="42">
        <v>44209</v>
      </c>
      <c r="K5523" s="33" t="s">
        <v>22</v>
      </c>
    </row>
    <row r="5524" spans="1:11">
      <c r="A5524" s="30" t="s">
        <v>13042</v>
      </c>
      <c r="B5524" s="30" t="s">
        <v>13043</v>
      </c>
      <c r="C5524" s="30" t="s">
        <v>12576</v>
      </c>
      <c r="D5524" s="30" t="s">
        <v>17</v>
      </c>
      <c r="E5524" s="30" t="s">
        <v>26</v>
      </c>
      <c r="F5524" s="30" t="s">
        <v>27</v>
      </c>
      <c r="G5524" s="30" t="s">
        <v>20</v>
      </c>
      <c r="H5524" s="32">
        <v>90</v>
      </c>
      <c r="I5524" s="30" t="s">
        <v>21</v>
      </c>
      <c r="J5524" s="41">
        <v>44329</v>
      </c>
      <c r="K5524" s="30" t="s">
        <v>22</v>
      </c>
    </row>
    <row r="5525" spans="1:11">
      <c r="A5525" s="33" t="s">
        <v>13044</v>
      </c>
      <c r="B5525" s="33" t="s">
        <v>13045</v>
      </c>
      <c r="C5525" s="33" t="s">
        <v>78</v>
      </c>
      <c r="D5525" s="33" t="s">
        <v>17</v>
      </c>
      <c r="E5525" s="33" t="s">
        <v>26</v>
      </c>
      <c r="F5525" s="33" t="s">
        <v>27</v>
      </c>
      <c r="G5525" s="33" t="s">
        <v>50</v>
      </c>
      <c r="H5525" s="35">
        <v>42</v>
      </c>
      <c r="I5525" s="33" t="s">
        <v>51</v>
      </c>
      <c r="J5525" s="42">
        <v>44476</v>
      </c>
      <c r="K5525" s="33" t="s">
        <v>22</v>
      </c>
    </row>
    <row r="5526" spans="1:11">
      <c r="A5526" s="30" t="s">
        <v>13046</v>
      </c>
      <c r="B5526" s="30" t="s">
        <v>13047</v>
      </c>
      <c r="C5526" s="30" t="s">
        <v>5214</v>
      </c>
      <c r="D5526" s="30" t="s">
        <v>17</v>
      </c>
      <c r="E5526" s="30" t="s">
        <v>212</v>
      </c>
      <c r="F5526" s="30" t="s">
        <v>213</v>
      </c>
      <c r="G5526" s="30" t="s">
        <v>20</v>
      </c>
      <c r="H5526" s="32">
        <v>30</v>
      </c>
      <c r="I5526" s="30" t="s">
        <v>21</v>
      </c>
      <c r="J5526" s="41">
        <v>44489</v>
      </c>
      <c r="K5526" s="30" t="s">
        <v>22</v>
      </c>
    </row>
    <row r="5527" spans="1:11">
      <c r="A5527" s="33" t="s">
        <v>13048</v>
      </c>
      <c r="B5527" s="33" t="s">
        <v>13049</v>
      </c>
      <c r="C5527" s="33" t="s">
        <v>13050</v>
      </c>
      <c r="D5527" s="33" t="s">
        <v>17</v>
      </c>
      <c r="E5527" s="33" t="s">
        <v>67</v>
      </c>
      <c r="F5527" s="33" t="s">
        <v>68</v>
      </c>
      <c r="G5527" s="33" t="s">
        <v>50</v>
      </c>
      <c r="H5527" s="35">
        <v>228</v>
      </c>
      <c r="I5527" s="33" t="s">
        <v>51</v>
      </c>
      <c r="J5527" s="42">
        <v>44439</v>
      </c>
      <c r="K5527" s="33" t="s">
        <v>22</v>
      </c>
    </row>
    <row r="5528" spans="1:11">
      <c r="A5528" s="30" t="s">
        <v>13051</v>
      </c>
      <c r="B5528" s="30" t="s">
        <v>13052</v>
      </c>
      <c r="C5528" s="30" t="s">
        <v>6351</v>
      </c>
      <c r="D5528" s="30" t="s">
        <v>17</v>
      </c>
      <c r="E5528" s="30" t="s">
        <v>18</v>
      </c>
      <c r="F5528" s="30" t="s">
        <v>19</v>
      </c>
      <c r="G5528" s="30" t="s">
        <v>50</v>
      </c>
      <c r="H5528" s="32">
        <v>256</v>
      </c>
      <c r="I5528" s="30" t="s">
        <v>51</v>
      </c>
      <c r="J5528" s="41">
        <v>44517</v>
      </c>
      <c r="K5528" s="30" t="s">
        <v>22</v>
      </c>
    </row>
    <row r="5529" spans="1:11">
      <c r="A5529" s="33" t="s">
        <v>13053</v>
      </c>
      <c r="B5529" s="33" t="s">
        <v>13054</v>
      </c>
      <c r="C5529" s="33" t="s">
        <v>78</v>
      </c>
      <c r="D5529" s="33" t="s">
        <v>17</v>
      </c>
      <c r="E5529" s="33" t="s">
        <v>212</v>
      </c>
      <c r="F5529" s="33" t="s">
        <v>213</v>
      </c>
      <c r="G5529" s="33" t="s">
        <v>50</v>
      </c>
      <c r="H5529" s="35">
        <v>418</v>
      </c>
      <c r="I5529" s="33" t="s">
        <v>51</v>
      </c>
      <c r="J5529" s="42">
        <v>44469</v>
      </c>
      <c r="K5529" s="33" t="s">
        <v>22</v>
      </c>
    </row>
    <row r="5530" spans="1:11">
      <c r="A5530" s="30" t="s">
        <v>13055</v>
      </c>
      <c r="B5530" s="30" t="s">
        <v>13056</v>
      </c>
      <c r="C5530" s="30" t="s">
        <v>13057</v>
      </c>
      <c r="D5530" s="30" t="s">
        <v>17</v>
      </c>
      <c r="E5530" s="30" t="s">
        <v>31</v>
      </c>
      <c r="F5530" s="30" t="s">
        <v>32</v>
      </c>
      <c r="G5530" s="30" t="s">
        <v>20</v>
      </c>
      <c r="H5530" s="32">
        <v>43</v>
      </c>
      <c r="I5530" s="30" t="s">
        <v>21</v>
      </c>
      <c r="J5530" s="41">
        <v>44201</v>
      </c>
      <c r="K5530" s="30" t="s">
        <v>22</v>
      </c>
    </row>
    <row r="5531" spans="1:11">
      <c r="A5531" s="33" t="s">
        <v>13058</v>
      </c>
      <c r="B5531" s="33" t="s">
        <v>13059</v>
      </c>
      <c r="C5531" s="33" t="s">
        <v>109</v>
      </c>
      <c r="D5531" s="33" t="s">
        <v>17</v>
      </c>
      <c r="E5531" s="33" t="s">
        <v>31</v>
      </c>
      <c r="F5531" s="33" t="s">
        <v>32</v>
      </c>
      <c r="G5531" s="33" t="s">
        <v>106</v>
      </c>
      <c r="H5531" s="35">
        <v>20</v>
      </c>
      <c r="I5531" s="33" t="s">
        <v>21</v>
      </c>
      <c r="J5531" s="42">
        <v>44347</v>
      </c>
      <c r="K5531" s="33" t="s">
        <v>22</v>
      </c>
    </row>
    <row r="5532" spans="1:11">
      <c r="A5532" s="30" t="s">
        <v>13060</v>
      </c>
      <c r="B5532" s="30" t="s">
        <v>13061</v>
      </c>
      <c r="C5532" s="30" t="s">
        <v>13062</v>
      </c>
      <c r="D5532" s="30" t="s">
        <v>17</v>
      </c>
      <c r="E5532" s="30" t="s">
        <v>45</v>
      </c>
      <c r="F5532" s="30" t="s">
        <v>46</v>
      </c>
      <c r="G5532" s="30" t="s">
        <v>158</v>
      </c>
      <c r="H5532" s="32">
        <v>602</v>
      </c>
      <c r="I5532" s="30" t="s">
        <v>21</v>
      </c>
      <c r="J5532" s="41">
        <v>44488</v>
      </c>
      <c r="K5532" s="30" t="s">
        <v>22</v>
      </c>
    </row>
    <row r="5533" spans="1:11">
      <c r="A5533" s="33" t="s">
        <v>13063</v>
      </c>
      <c r="B5533" s="33" t="s">
        <v>13064</v>
      </c>
      <c r="C5533" s="33" t="s">
        <v>2220</v>
      </c>
      <c r="D5533" s="33" t="s">
        <v>17</v>
      </c>
      <c r="E5533" s="33" t="s">
        <v>31</v>
      </c>
      <c r="F5533" s="33" t="s">
        <v>32</v>
      </c>
      <c r="G5533" s="33" t="s">
        <v>20</v>
      </c>
      <c r="H5533" s="35">
        <v>239</v>
      </c>
      <c r="I5533" s="33" t="s">
        <v>21</v>
      </c>
      <c r="J5533" s="42">
        <v>44284</v>
      </c>
      <c r="K5533" s="33" t="s">
        <v>22</v>
      </c>
    </row>
    <row r="5534" spans="1:11">
      <c r="A5534" s="30" t="s">
        <v>13065</v>
      </c>
      <c r="B5534" s="30" t="s">
        <v>13066</v>
      </c>
      <c r="C5534" s="30" t="s">
        <v>426</v>
      </c>
      <c r="D5534" s="30" t="s">
        <v>17</v>
      </c>
      <c r="E5534" s="30" t="s">
        <v>26</v>
      </c>
      <c r="F5534" s="30" t="s">
        <v>27</v>
      </c>
      <c r="G5534" s="30" t="s">
        <v>20</v>
      </c>
      <c r="H5534" s="32">
        <v>46</v>
      </c>
      <c r="I5534" s="30" t="s">
        <v>21</v>
      </c>
      <c r="J5534" s="41">
        <v>44346</v>
      </c>
      <c r="K5534" s="30" t="s">
        <v>22</v>
      </c>
    </row>
    <row r="5535" spans="1:11">
      <c r="A5535" s="33" t="s">
        <v>13067</v>
      </c>
      <c r="B5535" s="33" t="s">
        <v>13068</v>
      </c>
      <c r="C5535" s="33" t="s">
        <v>118</v>
      </c>
      <c r="D5535" s="33" t="s">
        <v>17</v>
      </c>
      <c r="E5535" s="33" t="s">
        <v>31</v>
      </c>
      <c r="F5535" s="33" t="s">
        <v>32</v>
      </c>
      <c r="G5535" s="33" t="s">
        <v>112</v>
      </c>
      <c r="H5535" s="35">
        <v>0</v>
      </c>
      <c r="I5535" s="33" t="s">
        <v>21</v>
      </c>
      <c r="J5535" s="42">
        <v>44347</v>
      </c>
      <c r="K5535" s="33" t="s">
        <v>22</v>
      </c>
    </row>
    <row r="5536" spans="1:11">
      <c r="A5536" s="30" t="s">
        <v>13069</v>
      </c>
      <c r="B5536" s="30" t="s">
        <v>13070</v>
      </c>
      <c r="C5536" s="30" t="s">
        <v>1148</v>
      </c>
      <c r="D5536" s="30" t="s">
        <v>17</v>
      </c>
      <c r="E5536" s="30" t="s">
        <v>31</v>
      </c>
      <c r="F5536" s="30" t="s">
        <v>32</v>
      </c>
      <c r="G5536" s="30" t="s">
        <v>20</v>
      </c>
      <c r="H5536" s="32">
        <v>686</v>
      </c>
      <c r="I5536" s="30" t="s">
        <v>21</v>
      </c>
      <c r="J5536" s="41">
        <v>44358</v>
      </c>
      <c r="K5536" s="30" t="s">
        <v>22</v>
      </c>
    </row>
    <row r="5537" spans="1:11">
      <c r="A5537" s="33" t="s">
        <v>13071</v>
      </c>
      <c r="B5537" s="33" t="s">
        <v>13072</v>
      </c>
      <c r="C5537" s="33" t="s">
        <v>8151</v>
      </c>
      <c r="D5537" s="33" t="s">
        <v>17</v>
      </c>
      <c r="E5537" s="33" t="s">
        <v>18</v>
      </c>
      <c r="F5537" s="33" t="s">
        <v>19</v>
      </c>
      <c r="G5537" s="33" t="s">
        <v>20</v>
      </c>
      <c r="H5537" s="35">
        <v>417</v>
      </c>
      <c r="I5537" s="33" t="s">
        <v>21</v>
      </c>
      <c r="J5537" s="42">
        <v>44277</v>
      </c>
      <c r="K5537" s="33" t="s">
        <v>22</v>
      </c>
    </row>
    <row r="5538" spans="1:11">
      <c r="A5538" s="30" t="s">
        <v>13073</v>
      </c>
      <c r="B5538" s="30" t="s">
        <v>13074</v>
      </c>
      <c r="C5538" s="30" t="s">
        <v>13075</v>
      </c>
      <c r="D5538" s="30" t="s">
        <v>17</v>
      </c>
      <c r="E5538" s="30" t="s">
        <v>31</v>
      </c>
      <c r="F5538" s="30" t="s">
        <v>32</v>
      </c>
      <c r="G5538" s="30" t="s">
        <v>158</v>
      </c>
      <c r="H5538" s="32">
        <v>39</v>
      </c>
      <c r="I5538" s="30" t="s">
        <v>21</v>
      </c>
      <c r="J5538" s="41">
        <v>44490</v>
      </c>
      <c r="K5538" s="30" t="s">
        <v>22</v>
      </c>
    </row>
    <row r="5539" spans="1:11">
      <c r="A5539" s="33" t="s">
        <v>13076</v>
      </c>
      <c r="B5539" s="33" t="s">
        <v>13077</v>
      </c>
      <c r="C5539" s="33" t="s">
        <v>1136</v>
      </c>
      <c r="D5539" s="33" t="s">
        <v>17</v>
      </c>
      <c r="E5539" s="33" t="s">
        <v>26</v>
      </c>
      <c r="F5539" s="33" t="s">
        <v>27</v>
      </c>
      <c r="G5539" s="33" t="s">
        <v>106</v>
      </c>
      <c r="H5539" s="35">
        <v>576</v>
      </c>
      <c r="I5539" s="33" t="s">
        <v>21</v>
      </c>
      <c r="J5539" s="42">
        <v>44284</v>
      </c>
      <c r="K5539" s="33" t="s">
        <v>22</v>
      </c>
    </row>
    <row r="5540" spans="1:11">
      <c r="A5540" s="30" t="s">
        <v>13078</v>
      </c>
      <c r="B5540" s="30" t="s">
        <v>13079</v>
      </c>
      <c r="C5540" s="30" t="s">
        <v>5845</v>
      </c>
      <c r="D5540" s="30" t="s">
        <v>17</v>
      </c>
      <c r="E5540" s="30" t="s">
        <v>26</v>
      </c>
      <c r="F5540" s="30" t="s">
        <v>27</v>
      </c>
      <c r="G5540" s="30" t="s">
        <v>20</v>
      </c>
      <c r="H5540" s="32">
        <v>12</v>
      </c>
      <c r="I5540" s="30" t="s">
        <v>21</v>
      </c>
      <c r="J5540" s="41">
        <v>44502</v>
      </c>
      <c r="K5540" s="30" t="s">
        <v>22</v>
      </c>
    </row>
    <row r="5541" spans="1:11">
      <c r="A5541" s="33" t="s">
        <v>13080</v>
      </c>
      <c r="B5541" s="33" t="s">
        <v>13081</v>
      </c>
      <c r="C5541" s="33" t="s">
        <v>102</v>
      </c>
      <c r="D5541" s="33" t="s">
        <v>17</v>
      </c>
      <c r="E5541" s="33" t="s">
        <v>31</v>
      </c>
      <c r="F5541" s="33" t="s">
        <v>32</v>
      </c>
      <c r="G5541" s="33" t="s">
        <v>112</v>
      </c>
      <c r="H5541" s="35">
        <v>0</v>
      </c>
      <c r="I5541" s="33" t="s">
        <v>21</v>
      </c>
      <c r="J5541" s="42">
        <v>44279</v>
      </c>
      <c r="K5541" s="33" t="s">
        <v>22</v>
      </c>
    </row>
    <row r="5542" spans="1:11">
      <c r="A5542" s="30" t="s">
        <v>13082</v>
      </c>
      <c r="B5542" s="30" t="s">
        <v>13083</v>
      </c>
      <c r="C5542" s="30" t="s">
        <v>96</v>
      </c>
      <c r="D5542" s="30" t="s">
        <v>17</v>
      </c>
      <c r="E5542" s="30" t="s">
        <v>31</v>
      </c>
      <c r="F5542" s="30" t="s">
        <v>32</v>
      </c>
      <c r="G5542" s="30" t="s">
        <v>106</v>
      </c>
      <c r="H5542" s="32">
        <v>13</v>
      </c>
      <c r="I5542" s="30" t="s">
        <v>21</v>
      </c>
      <c r="J5542" s="41">
        <v>44503</v>
      </c>
      <c r="K5542" s="30" t="s">
        <v>22</v>
      </c>
    </row>
    <row r="5543" spans="1:11">
      <c r="A5543" s="33" t="s">
        <v>13084</v>
      </c>
      <c r="B5543" s="33" t="s">
        <v>13085</v>
      </c>
      <c r="C5543" s="33" t="s">
        <v>1514</v>
      </c>
      <c r="D5543" s="33" t="s">
        <v>17</v>
      </c>
      <c r="E5543" s="33" t="s">
        <v>67</v>
      </c>
      <c r="F5543" s="33" t="s">
        <v>68</v>
      </c>
      <c r="G5543" s="33" t="s">
        <v>106</v>
      </c>
      <c r="H5543" s="35">
        <v>18</v>
      </c>
      <c r="I5543" s="33" t="s">
        <v>21</v>
      </c>
      <c r="J5543" s="42">
        <v>44435</v>
      </c>
      <c r="K5543" s="33" t="s">
        <v>22</v>
      </c>
    </row>
    <row r="5544" spans="1:11">
      <c r="A5544" s="30" t="s">
        <v>13086</v>
      </c>
      <c r="B5544" s="30" t="s">
        <v>13087</v>
      </c>
      <c r="C5544" s="30" t="s">
        <v>13088</v>
      </c>
      <c r="D5544" s="30" t="s">
        <v>17</v>
      </c>
      <c r="E5544" s="30" t="s">
        <v>18</v>
      </c>
      <c r="F5544" s="30" t="s">
        <v>19</v>
      </c>
      <c r="G5544" s="30" t="s">
        <v>158</v>
      </c>
      <c r="H5544" s="32">
        <v>332</v>
      </c>
      <c r="I5544" s="30" t="s">
        <v>21</v>
      </c>
      <c r="J5544" s="41">
        <v>44491</v>
      </c>
      <c r="K5544" s="30" t="s">
        <v>22</v>
      </c>
    </row>
    <row r="5545" spans="1:11">
      <c r="A5545" s="33" t="s">
        <v>13089</v>
      </c>
      <c r="B5545" s="33" t="s">
        <v>13090</v>
      </c>
      <c r="C5545" s="33" t="s">
        <v>954</v>
      </c>
      <c r="D5545" s="33" t="s">
        <v>17</v>
      </c>
      <c r="E5545" s="33" t="s">
        <v>26</v>
      </c>
      <c r="F5545" s="33" t="s">
        <v>27</v>
      </c>
      <c r="G5545" s="33" t="s">
        <v>20</v>
      </c>
      <c r="H5545" s="35">
        <v>130</v>
      </c>
      <c r="I5545" s="33" t="s">
        <v>21</v>
      </c>
      <c r="J5545" s="42">
        <v>44251</v>
      </c>
      <c r="K5545" s="33" t="s">
        <v>22</v>
      </c>
    </row>
    <row r="5546" spans="1:11">
      <c r="A5546" s="30" t="s">
        <v>13091</v>
      </c>
      <c r="B5546" s="30" t="s">
        <v>13092</v>
      </c>
      <c r="C5546" s="30" t="s">
        <v>2261</v>
      </c>
      <c r="D5546" s="30" t="s">
        <v>17</v>
      </c>
      <c r="E5546" s="30" t="s">
        <v>26</v>
      </c>
      <c r="F5546" s="30" t="s">
        <v>27</v>
      </c>
      <c r="G5546" s="30" t="s">
        <v>106</v>
      </c>
      <c r="H5546" s="32">
        <v>1</v>
      </c>
      <c r="I5546" s="30" t="s">
        <v>21</v>
      </c>
      <c r="J5546" s="41">
        <v>44560</v>
      </c>
      <c r="K5546" s="30" t="s">
        <v>22</v>
      </c>
    </row>
    <row r="5547" spans="1:11">
      <c r="A5547" s="33" t="s">
        <v>13093</v>
      </c>
      <c r="B5547" s="33" t="s">
        <v>13094</v>
      </c>
      <c r="C5547" s="33" t="s">
        <v>13095</v>
      </c>
      <c r="D5547" s="33" t="s">
        <v>17</v>
      </c>
      <c r="E5547" s="33" t="s">
        <v>67</v>
      </c>
      <c r="F5547" s="33" t="s">
        <v>68</v>
      </c>
      <c r="G5547" s="33" t="s">
        <v>158</v>
      </c>
      <c r="H5547" s="35">
        <v>9</v>
      </c>
      <c r="I5547" s="33" t="s">
        <v>51</v>
      </c>
      <c r="J5547" s="42">
        <v>44298</v>
      </c>
      <c r="K5547" s="33" t="s">
        <v>22</v>
      </c>
    </row>
    <row r="5548" spans="1:11">
      <c r="A5548" s="30" t="s">
        <v>13096</v>
      </c>
      <c r="B5548" s="30" t="s">
        <v>13097</v>
      </c>
      <c r="C5548" s="30" t="s">
        <v>2272</v>
      </c>
      <c r="D5548" s="30" t="s">
        <v>17</v>
      </c>
      <c r="E5548" s="30" t="s">
        <v>212</v>
      </c>
      <c r="F5548" s="30" t="s">
        <v>213</v>
      </c>
      <c r="G5548" s="30" t="s">
        <v>20</v>
      </c>
      <c r="H5548" s="32">
        <v>249</v>
      </c>
      <c r="I5548" s="30" t="s">
        <v>21</v>
      </c>
      <c r="J5548" s="41">
        <v>44202</v>
      </c>
      <c r="K5548" s="30" t="s">
        <v>22</v>
      </c>
    </row>
    <row r="5549" spans="1:11">
      <c r="A5549" s="33" t="s">
        <v>13098</v>
      </c>
      <c r="B5549" s="33" t="s">
        <v>13099</v>
      </c>
      <c r="C5549" s="33" t="s">
        <v>5040</v>
      </c>
      <c r="D5549" s="33" t="s">
        <v>17</v>
      </c>
      <c r="E5549" s="33" t="s">
        <v>18</v>
      </c>
      <c r="F5549" s="33" t="s">
        <v>19</v>
      </c>
      <c r="G5549" s="33" t="s">
        <v>2613</v>
      </c>
      <c r="H5549" s="35">
        <v>2400</v>
      </c>
      <c r="I5549" s="33" t="s">
        <v>51</v>
      </c>
      <c r="J5549" s="42">
        <v>44469</v>
      </c>
      <c r="K5549" s="33" t="s">
        <v>22</v>
      </c>
    </row>
    <row r="5550" spans="1:11">
      <c r="A5550" s="30" t="s">
        <v>13100</v>
      </c>
      <c r="B5550" s="30" t="s">
        <v>13101</v>
      </c>
      <c r="C5550" s="30" t="s">
        <v>3296</v>
      </c>
      <c r="D5550" s="30" t="s">
        <v>17</v>
      </c>
      <c r="E5550" s="30" t="s">
        <v>26</v>
      </c>
      <c r="F5550" s="30" t="s">
        <v>27</v>
      </c>
      <c r="G5550" s="30" t="s">
        <v>20</v>
      </c>
      <c r="H5550" s="32">
        <v>30</v>
      </c>
      <c r="I5550" s="30" t="s">
        <v>21</v>
      </c>
      <c r="J5550" s="41">
        <v>44385</v>
      </c>
      <c r="K5550" s="30" t="s">
        <v>22</v>
      </c>
    </row>
    <row r="5551" spans="1:11">
      <c r="A5551" s="33" t="s">
        <v>13102</v>
      </c>
      <c r="B5551" s="33" t="s">
        <v>13103</v>
      </c>
      <c r="C5551" s="33" t="s">
        <v>136</v>
      </c>
      <c r="D5551" s="33" t="s">
        <v>17</v>
      </c>
      <c r="E5551" s="33" t="s">
        <v>26</v>
      </c>
      <c r="F5551" s="33" t="s">
        <v>27</v>
      </c>
      <c r="G5551" s="33" t="s">
        <v>20</v>
      </c>
      <c r="H5551" s="35">
        <v>40</v>
      </c>
      <c r="I5551" s="33" t="s">
        <v>21</v>
      </c>
      <c r="J5551" s="42">
        <v>44319</v>
      </c>
      <c r="K5551" s="33" t="s">
        <v>22</v>
      </c>
    </row>
    <row r="5552" spans="1:11">
      <c r="A5552" s="30" t="s">
        <v>13104</v>
      </c>
      <c r="B5552" s="30" t="s">
        <v>13105</v>
      </c>
      <c r="C5552" s="30" t="s">
        <v>102</v>
      </c>
      <c r="D5552" s="30" t="s">
        <v>17</v>
      </c>
      <c r="E5552" s="30" t="s">
        <v>26</v>
      </c>
      <c r="F5552" s="30" t="s">
        <v>27</v>
      </c>
      <c r="G5552" s="30" t="s">
        <v>20</v>
      </c>
      <c r="H5552" s="32">
        <v>16</v>
      </c>
      <c r="I5552" s="30" t="s">
        <v>21</v>
      </c>
      <c r="J5552" s="41">
        <v>44530</v>
      </c>
      <c r="K5552" s="30" t="s">
        <v>22</v>
      </c>
    </row>
    <row r="5553" spans="1:11">
      <c r="A5553" s="33" t="s">
        <v>13106</v>
      </c>
      <c r="B5553" s="33" t="s">
        <v>13107</v>
      </c>
      <c r="C5553" s="33" t="s">
        <v>1498</v>
      </c>
      <c r="D5553" s="33" t="s">
        <v>17</v>
      </c>
      <c r="E5553" s="33" t="s">
        <v>26</v>
      </c>
      <c r="F5553" s="33" t="s">
        <v>27</v>
      </c>
      <c r="G5553" s="33" t="s">
        <v>20</v>
      </c>
      <c r="H5553" s="35">
        <v>37</v>
      </c>
      <c r="I5553" s="33" t="s">
        <v>21</v>
      </c>
      <c r="J5553" s="42">
        <v>44400</v>
      </c>
      <c r="K5553" s="33" t="s">
        <v>22</v>
      </c>
    </row>
    <row r="5554" spans="1:11">
      <c r="A5554" s="30" t="s">
        <v>13108</v>
      </c>
      <c r="B5554" s="30" t="s">
        <v>13109</v>
      </c>
      <c r="C5554" s="30" t="s">
        <v>1165</v>
      </c>
      <c r="D5554" s="30" t="s">
        <v>17</v>
      </c>
      <c r="E5554" s="30" t="s">
        <v>18</v>
      </c>
      <c r="F5554" s="30" t="s">
        <v>19</v>
      </c>
      <c r="G5554" s="30" t="s">
        <v>20</v>
      </c>
      <c r="H5554" s="32">
        <v>110</v>
      </c>
      <c r="I5554" s="30" t="s">
        <v>21</v>
      </c>
      <c r="J5554" s="41">
        <v>44232</v>
      </c>
      <c r="K5554" s="30" t="s">
        <v>22</v>
      </c>
    </row>
    <row r="5555" spans="1:11">
      <c r="A5555" s="33" t="s">
        <v>13110</v>
      </c>
      <c r="B5555" s="33" t="s">
        <v>13111</v>
      </c>
      <c r="C5555" s="33" t="s">
        <v>149</v>
      </c>
      <c r="D5555" s="33" t="s">
        <v>17</v>
      </c>
      <c r="E5555" s="33" t="s">
        <v>31</v>
      </c>
      <c r="F5555" s="33" t="s">
        <v>32</v>
      </c>
      <c r="G5555" s="33" t="s">
        <v>50</v>
      </c>
      <c r="H5555" s="35">
        <v>106</v>
      </c>
      <c r="I5555" s="33" t="s">
        <v>51</v>
      </c>
      <c r="J5555" s="42">
        <v>44347</v>
      </c>
      <c r="K5555" s="33" t="s">
        <v>22</v>
      </c>
    </row>
    <row r="5556" spans="1:11">
      <c r="A5556" s="30" t="s">
        <v>13112</v>
      </c>
      <c r="B5556" s="30" t="s">
        <v>13113</v>
      </c>
      <c r="C5556" s="30" t="s">
        <v>1598</v>
      </c>
      <c r="D5556" s="30" t="s">
        <v>17</v>
      </c>
      <c r="E5556" s="30" t="s">
        <v>26</v>
      </c>
      <c r="F5556" s="30" t="s">
        <v>27</v>
      </c>
      <c r="G5556" s="30" t="s">
        <v>20</v>
      </c>
      <c r="H5556" s="32">
        <v>12</v>
      </c>
      <c r="I5556" s="30" t="s">
        <v>21</v>
      </c>
      <c r="J5556" s="41">
        <v>44496</v>
      </c>
      <c r="K5556" s="30" t="s">
        <v>22</v>
      </c>
    </row>
    <row r="5557" spans="1:11">
      <c r="A5557" s="33" t="s">
        <v>13114</v>
      </c>
      <c r="B5557" s="33" t="s">
        <v>13115</v>
      </c>
      <c r="C5557" s="33" t="s">
        <v>13116</v>
      </c>
      <c r="D5557" s="33" t="s">
        <v>17</v>
      </c>
      <c r="E5557" s="33" t="s">
        <v>31</v>
      </c>
      <c r="F5557" s="33" t="s">
        <v>32</v>
      </c>
      <c r="G5557" s="33" t="s">
        <v>112</v>
      </c>
      <c r="H5557" s="35">
        <v>0</v>
      </c>
      <c r="I5557" s="33" t="s">
        <v>21</v>
      </c>
      <c r="J5557" s="42">
        <v>44470</v>
      </c>
      <c r="K5557" s="33" t="s">
        <v>22</v>
      </c>
    </row>
    <row r="5558" spans="1:11">
      <c r="A5558" s="30" t="s">
        <v>13117</v>
      </c>
      <c r="B5558" s="30" t="s">
        <v>13118</v>
      </c>
      <c r="C5558" s="30" t="s">
        <v>3243</v>
      </c>
      <c r="D5558" s="30" t="s">
        <v>17</v>
      </c>
      <c r="E5558" s="30" t="s">
        <v>31</v>
      </c>
      <c r="F5558" s="30" t="s">
        <v>32</v>
      </c>
      <c r="G5558" s="30" t="s">
        <v>106</v>
      </c>
      <c r="H5558" s="32">
        <v>9</v>
      </c>
      <c r="I5558" s="30" t="s">
        <v>21</v>
      </c>
      <c r="J5558" s="41">
        <v>44505</v>
      </c>
      <c r="K5558" s="30" t="s">
        <v>22</v>
      </c>
    </row>
    <row r="5559" spans="1:11">
      <c r="A5559" s="33" t="s">
        <v>13119</v>
      </c>
      <c r="B5559" s="33" t="s">
        <v>13120</v>
      </c>
      <c r="C5559" s="33" t="s">
        <v>13121</v>
      </c>
      <c r="D5559" s="33" t="s">
        <v>17</v>
      </c>
      <c r="E5559" s="33" t="s">
        <v>26</v>
      </c>
      <c r="F5559" s="33" t="s">
        <v>27</v>
      </c>
      <c r="G5559" s="33" t="s">
        <v>20</v>
      </c>
      <c r="H5559" s="35">
        <v>54</v>
      </c>
      <c r="I5559" s="33" t="s">
        <v>21</v>
      </c>
      <c r="J5559" s="42">
        <v>44211</v>
      </c>
      <c r="K5559" s="33" t="s">
        <v>22</v>
      </c>
    </row>
    <row r="5560" spans="1:11">
      <c r="A5560" s="30" t="s">
        <v>13122</v>
      </c>
      <c r="B5560" s="30" t="s">
        <v>13123</v>
      </c>
      <c r="C5560" s="30" t="s">
        <v>13124</v>
      </c>
      <c r="D5560" s="30" t="s">
        <v>17</v>
      </c>
      <c r="E5560" s="30" t="s">
        <v>26</v>
      </c>
      <c r="F5560" s="30" t="s">
        <v>27</v>
      </c>
      <c r="G5560" s="30" t="s">
        <v>20</v>
      </c>
      <c r="H5560" s="32">
        <v>31</v>
      </c>
      <c r="I5560" s="30" t="s">
        <v>21</v>
      </c>
      <c r="J5560" s="41">
        <v>44299</v>
      </c>
      <c r="K5560" s="30" t="s">
        <v>22</v>
      </c>
    </row>
    <row r="5561" spans="1:11">
      <c r="A5561" s="33" t="s">
        <v>13125</v>
      </c>
      <c r="B5561" s="33" t="s">
        <v>13126</v>
      </c>
      <c r="C5561" s="33" t="s">
        <v>524</v>
      </c>
      <c r="D5561" s="33" t="s">
        <v>17</v>
      </c>
      <c r="E5561" s="33" t="s">
        <v>26</v>
      </c>
      <c r="F5561" s="33" t="s">
        <v>27</v>
      </c>
      <c r="G5561" s="33" t="s">
        <v>20</v>
      </c>
      <c r="H5561" s="35">
        <v>8</v>
      </c>
      <c r="I5561" s="33" t="s">
        <v>21</v>
      </c>
      <c r="J5561" s="42">
        <v>44344</v>
      </c>
      <c r="K5561" s="33" t="s">
        <v>22</v>
      </c>
    </row>
    <row r="5562" spans="1:11">
      <c r="A5562" s="30" t="s">
        <v>13127</v>
      </c>
      <c r="B5562" s="30" t="s">
        <v>13128</v>
      </c>
      <c r="C5562" s="30" t="s">
        <v>11824</v>
      </c>
      <c r="D5562" s="30" t="s">
        <v>17</v>
      </c>
      <c r="E5562" s="30" t="s">
        <v>67</v>
      </c>
      <c r="F5562" s="30" t="s">
        <v>68</v>
      </c>
      <c r="G5562" s="30" t="s">
        <v>69</v>
      </c>
      <c r="H5562" s="32">
        <v>210</v>
      </c>
      <c r="I5562" s="30" t="s">
        <v>51</v>
      </c>
      <c r="J5562" s="41">
        <v>44491</v>
      </c>
      <c r="K5562" s="30" t="s">
        <v>22</v>
      </c>
    </row>
    <row r="5563" spans="1:11">
      <c r="A5563" s="33" t="s">
        <v>13129</v>
      </c>
      <c r="B5563" s="33" t="s">
        <v>13130</v>
      </c>
      <c r="C5563" s="33" t="s">
        <v>1058</v>
      </c>
      <c r="D5563" s="33" t="s">
        <v>17</v>
      </c>
      <c r="E5563" s="33" t="s">
        <v>26</v>
      </c>
      <c r="F5563" s="33" t="s">
        <v>27</v>
      </c>
      <c r="G5563" s="33" t="s">
        <v>50</v>
      </c>
      <c r="H5563" s="35">
        <v>20</v>
      </c>
      <c r="I5563" s="33" t="s">
        <v>51</v>
      </c>
      <c r="J5563" s="42">
        <v>44494</v>
      </c>
      <c r="K5563" s="33" t="s">
        <v>22</v>
      </c>
    </row>
    <row r="5564" spans="1:11">
      <c r="A5564" s="30" t="s">
        <v>13131</v>
      </c>
      <c r="B5564" s="30" t="s">
        <v>13132</v>
      </c>
      <c r="C5564" s="30" t="s">
        <v>13133</v>
      </c>
      <c r="D5564" s="30" t="s">
        <v>17</v>
      </c>
      <c r="E5564" s="30" t="s">
        <v>67</v>
      </c>
      <c r="F5564" s="30" t="s">
        <v>68</v>
      </c>
      <c r="G5564" s="30" t="s">
        <v>140</v>
      </c>
      <c r="H5564" s="32">
        <v>228</v>
      </c>
      <c r="I5564" s="30" t="s">
        <v>51</v>
      </c>
      <c r="J5564" s="41">
        <v>44495</v>
      </c>
      <c r="K5564" s="30" t="s">
        <v>22</v>
      </c>
    </row>
    <row r="5565" spans="1:11">
      <c r="A5565" s="33" t="s">
        <v>13134</v>
      </c>
      <c r="B5565" s="33" t="s">
        <v>13135</v>
      </c>
      <c r="C5565" s="33" t="s">
        <v>1652</v>
      </c>
      <c r="D5565" s="33" t="s">
        <v>17</v>
      </c>
      <c r="E5565" s="33" t="s">
        <v>31</v>
      </c>
      <c r="F5565" s="33" t="s">
        <v>32</v>
      </c>
      <c r="G5565" s="33" t="s">
        <v>20</v>
      </c>
      <c r="H5565" s="35">
        <v>48</v>
      </c>
      <c r="I5565" s="33" t="s">
        <v>21</v>
      </c>
      <c r="J5565" s="42">
        <v>44367</v>
      </c>
      <c r="K5565" s="33" t="s">
        <v>22</v>
      </c>
    </row>
    <row r="5566" spans="1:11">
      <c r="A5566" s="30" t="s">
        <v>13136</v>
      </c>
      <c r="B5566" s="30" t="s">
        <v>13137</v>
      </c>
      <c r="C5566" s="30" t="s">
        <v>13138</v>
      </c>
      <c r="D5566" s="30" t="s">
        <v>17</v>
      </c>
      <c r="E5566" s="30" t="s">
        <v>26</v>
      </c>
      <c r="F5566" s="30" t="s">
        <v>27</v>
      </c>
      <c r="G5566" s="30" t="s">
        <v>50</v>
      </c>
      <c r="H5566" s="32">
        <v>85</v>
      </c>
      <c r="I5566" s="30" t="s">
        <v>51</v>
      </c>
      <c r="J5566" s="41">
        <v>44489</v>
      </c>
      <c r="K5566" s="30" t="s">
        <v>22</v>
      </c>
    </row>
    <row r="5567" spans="1:11">
      <c r="A5567" s="33" t="s">
        <v>13139</v>
      </c>
      <c r="B5567" s="33" t="s">
        <v>13140</v>
      </c>
      <c r="C5567" s="33" t="s">
        <v>7588</v>
      </c>
      <c r="D5567" s="33" t="s">
        <v>17</v>
      </c>
      <c r="E5567" s="33" t="s">
        <v>31</v>
      </c>
      <c r="F5567" s="33" t="s">
        <v>32</v>
      </c>
      <c r="G5567" s="33" t="s">
        <v>20</v>
      </c>
      <c r="H5567" s="35">
        <v>73</v>
      </c>
      <c r="I5567" s="33" t="s">
        <v>21</v>
      </c>
      <c r="J5567" s="42">
        <v>44249</v>
      </c>
      <c r="K5567" s="33" t="s">
        <v>22</v>
      </c>
    </row>
    <row r="5568" spans="1:11">
      <c r="A5568" s="30" t="s">
        <v>13141</v>
      </c>
      <c r="B5568" s="30" t="s">
        <v>13142</v>
      </c>
      <c r="C5568" s="30" t="s">
        <v>96</v>
      </c>
      <c r="D5568" s="30" t="s">
        <v>17</v>
      </c>
      <c r="E5568" s="30" t="s">
        <v>26</v>
      </c>
      <c r="F5568" s="30" t="s">
        <v>27</v>
      </c>
      <c r="G5568" s="30" t="s">
        <v>20</v>
      </c>
      <c r="H5568" s="32">
        <v>67</v>
      </c>
      <c r="I5568" s="30" t="s">
        <v>21</v>
      </c>
      <c r="J5568" s="41">
        <v>44455</v>
      </c>
      <c r="K5568" s="30" t="s">
        <v>22</v>
      </c>
    </row>
    <row r="5569" spans="1:11">
      <c r="A5569" s="33" t="s">
        <v>13143</v>
      </c>
      <c r="B5569" s="33" t="s">
        <v>13144</v>
      </c>
      <c r="C5569" s="33" t="s">
        <v>187</v>
      </c>
      <c r="D5569" s="33" t="s">
        <v>17</v>
      </c>
      <c r="E5569" s="33" t="s">
        <v>26</v>
      </c>
      <c r="F5569" s="33" t="s">
        <v>27</v>
      </c>
      <c r="G5569" s="33" t="s">
        <v>50</v>
      </c>
      <c r="H5569" s="35">
        <v>30</v>
      </c>
      <c r="I5569" s="33" t="s">
        <v>51</v>
      </c>
      <c r="J5569" s="42">
        <v>44530</v>
      </c>
      <c r="K5569" s="33" t="s">
        <v>22</v>
      </c>
    </row>
    <row r="5570" spans="1:11">
      <c r="A5570" s="30" t="s">
        <v>13145</v>
      </c>
      <c r="B5570" s="30" t="s">
        <v>13146</v>
      </c>
      <c r="C5570" s="30" t="s">
        <v>11248</v>
      </c>
      <c r="D5570" s="30" t="s">
        <v>17</v>
      </c>
      <c r="E5570" s="30" t="s">
        <v>67</v>
      </c>
      <c r="F5570" s="30" t="s">
        <v>68</v>
      </c>
      <c r="G5570" s="30" t="s">
        <v>106</v>
      </c>
      <c r="H5570" s="32">
        <v>11</v>
      </c>
      <c r="I5570" s="30" t="s">
        <v>21</v>
      </c>
      <c r="J5570" s="41">
        <v>44503</v>
      </c>
      <c r="K5570" s="30" t="s">
        <v>22</v>
      </c>
    </row>
    <row r="5571" spans="1:11">
      <c r="A5571" s="33" t="s">
        <v>13147</v>
      </c>
      <c r="B5571" s="33" t="s">
        <v>13148</v>
      </c>
      <c r="C5571" s="33" t="s">
        <v>310</v>
      </c>
      <c r="D5571" s="33" t="s">
        <v>17</v>
      </c>
      <c r="E5571" s="33" t="s">
        <v>18</v>
      </c>
      <c r="F5571" s="33" t="s">
        <v>19</v>
      </c>
      <c r="G5571" s="33" t="s">
        <v>20</v>
      </c>
      <c r="H5571" s="35">
        <v>281</v>
      </c>
      <c r="I5571" s="33" t="s">
        <v>21</v>
      </c>
      <c r="J5571" s="42">
        <v>44532</v>
      </c>
      <c r="K5571" s="33" t="s">
        <v>22</v>
      </c>
    </row>
    <row r="5572" spans="1:11">
      <c r="A5572" s="30" t="s">
        <v>13149</v>
      </c>
      <c r="B5572" s="30" t="s">
        <v>13150</v>
      </c>
      <c r="C5572" s="30" t="s">
        <v>379</v>
      </c>
      <c r="D5572" s="30" t="s">
        <v>17</v>
      </c>
      <c r="E5572" s="30" t="s">
        <v>67</v>
      </c>
      <c r="F5572" s="30" t="s">
        <v>68</v>
      </c>
      <c r="G5572" s="30" t="s">
        <v>50</v>
      </c>
      <c r="H5572" s="32">
        <v>25</v>
      </c>
      <c r="I5572" s="30" t="s">
        <v>51</v>
      </c>
      <c r="J5572" s="41">
        <v>44540</v>
      </c>
      <c r="K5572" s="30" t="s">
        <v>22</v>
      </c>
    </row>
    <row r="5573" spans="1:11">
      <c r="A5573" s="33" t="s">
        <v>13151</v>
      </c>
      <c r="B5573" s="33" t="s">
        <v>13152</v>
      </c>
      <c r="C5573" s="33" t="s">
        <v>6092</v>
      </c>
      <c r="D5573" s="33" t="s">
        <v>17</v>
      </c>
      <c r="E5573" s="33" t="s">
        <v>26</v>
      </c>
      <c r="F5573" s="33" t="s">
        <v>27</v>
      </c>
      <c r="G5573" s="33" t="s">
        <v>140</v>
      </c>
      <c r="H5573" s="35">
        <v>60</v>
      </c>
      <c r="I5573" s="33" t="s">
        <v>51</v>
      </c>
      <c r="J5573" s="42">
        <v>44396</v>
      </c>
      <c r="K5573" s="33" t="s">
        <v>22</v>
      </c>
    </row>
    <row r="5574" spans="1:11">
      <c r="A5574" s="30" t="s">
        <v>13153</v>
      </c>
      <c r="B5574" s="30" t="s">
        <v>13154</v>
      </c>
      <c r="C5574" s="30" t="s">
        <v>130</v>
      </c>
      <c r="D5574" s="30" t="s">
        <v>17</v>
      </c>
      <c r="E5574" s="30" t="s">
        <v>26</v>
      </c>
      <c r="F5574" s="30" t="s">
        <v>27</v>
      </c>
      <c r="G5574" s="30" t="s">
        <v>20</v>
      </c>
      <c r="H5574" s="32">
        <v>48</v>
      </c>
      <c r="I5574" s="30" t="s">
        <v>21</v>
      </c>
      <c r="J5574" s="41">
        <v>44544</v>
      </c>
      <c r="K5574" s="30" t="s">
        <v>22</v>
      </c>
    </row>
    <row r="5575" spans="1:11">
      <c r="A5575" s="33" t="s">
        <v>13155</v>
      </c>
      <c r="B5575" s="33" t="s">
        <v>13156</v>
      </c>
      <c r="C5575" s="33" t="s">
        <v>1003</v>
      </c>
      <c r="D5575" s="33" t="s">
        <v>17</v>
      </c>
      <c r="E5575" s="33" t="s">
        <v>26</v>
      </c>
      <c r="F5575" s="33" t="s">
        <v>27</v>
      </c>
      <c r="G5575" s="33" t="s">
        <v>20</v>
      </c>
      <c r="H5575" s="35">
        <v>40</v>
      </c>
      <c r="I5575" s="33" t="s">
        <v>21</v>
      </c>
      <c r="J5575" s="42">
        <v>44496</v>
      </c>
      <c r="K5575" s="33" t="s">
        <v>22</v>
      </c>
    </row>
    <row r="5576" spans="1:11">
      <c r="A5576" s="30" t="s">
        <v>13157</v>
      </c>
      <c r="B5576" s="30" t="s">
        <v>13158</v>
      </c>
      <c r="C5576" s="30" t="s">
        <v>1493</v>
      </c>
      <c r="D5576" s="30" t="s">
        <v>17</v>
      </c>
      <c r="E5576" s="30" t="s">
        <v>26</v>
      </c>
      <c r="F5576" s="30" t="s">
        <v>27</v>
      </c>
      <c r="G5576" s="30" t="s">
        <v>20</v>
      </c>
      <c r="H5576" s="32">
        <v>98</v>
      </c>
      <c r="I5576" s="30" t="s">
        <v>21</v>
      </c>
      <c r="J5576" s="41">
        <v>44358</v>
      </c>
      <c r="K5576" s="30" t="s">
        <v>22</v>
      </c>
    </row>
    <row r="5577" spans="1:11">
      <c r="A5577" s="33" t="s">
        <v>13159</v>
      </c>
      <c r="B5577" s="33" t="s">
        <v>13160</v>
      </c>
      <c r="C5577" s="33" t="s">
        <v>13161</v>
      </c>
      <c r="D5577" s="33" t="s">
        <v>17</v>
      </c>
      <c r="E5577" s="33" t="s">
        <v>26</v>
      </c>
      <c r="F5577" s="33" t="s">
        <v>27</v>
      </c>
      <c r="G5577" s="33" t="s">
        <v>69</v>
      </c>
      <c r="H5577" s="35">
        <v>3</v>
      </c>
      <c r="I5577" s="33" t="s">
        <v>21</v>
      </c>
      <c r="J5577" s="42">
        <v>44440</v>
      </c>
      <c r="K5577" s="33" t="s">
        <v>22</v>
      </c>
    </row>
    <row r="5578" spans="1:11">
      <c r="A5578" s="30" t="s">
        <v>13162</v>
      </c>
      <c r="B5578" s="30" t="s">
        <v>13163</v>
      </c>
      <c r="C5578" s="30" t="s">
        <v>13164</v>
      </c>
      <c r="D5578" s="30" t="s">
        <v>17</v>
      </c>
      <c r="E5578" s="30" t="s">
        <v>45</v>
      </c>
      <c r="F5578" s="30" t="s">
        <v>46</v>
      </c>
      <c r="G5578" s="30" t="s">
        <v>20</v>
      </c>
      <c r="H5578" s="32">
        <v>922</v>
      </c>
      <c r="I5578" s="30" t="s">
        <v>21</v>
      </c>
      <c r="J5578" s="41">
        <v>44335</v>
      </c>
      <c r="K5578" s="30" t="s">
        <v>22</v>
      </c>
    </row>
    <row r="5579" spans="1:11">
      <c r="A5579" s="33" t="s">
        <v>13165</v>
      </c>
      <c r="B5579" s="33" t="s">
        <v>13166</v>
      </c>
      <c r="C5579" s="33" t="s">
        <v>96</v>
      </c>
      <c r="D5579" s="33" t="s">
        <v>17</v>
      </c>
      <c r="E5579" s="33" t="s">
        <v>212</v>
      </c>
      <c r="F5579" s="33" t="s">
        <v>213</v>
      </c>
      <c r="G5579" s="33" t="s">
        <v>158</v>
      </c>
      <c r="H5579" s="35">
        <v>76</v>
      </c>
      <c r="I5579" s="33" t="s">
        <v>21</v>
      </c>
      <c r="J5579" s="42">
        <v>44558</v>
      </c>
      <c r="K5579" s="33" t="s">
        <v>22</v>
      </c>
    </row>
    <row r="5580" spans="1:11">
      <c r="A5580" s="30" t="s">
        <v>13167</v>
      </c>
      <c r="B5580" s="30" t="s">
        <v>13168</v>
      </c>
      <c r="C5580" s="30" t="s">
        <v>4186</v>
      </c>
      <c r="D5580" s="30" t="s">
        <v>17</v>
      </c>
      <c r="E5580" s="30" t="s">
        <v>31</v>
      </c>
      <c r="F5580" s="30" t="s">
        <v>32</v>
      </c>
      <c r="G5580" s="30" t="s">
        <v>20</v>
      </c>
      <c r="H5580" s="32">
        <v>349</v>
      </c>
      <c r="I5580" s="30" t="s">
        <v>21</v>
      </c>
      <c r="J5580" s="41">
        <v>44207</v>
      </c>
      <c r="K5580" s="30" t="s">
        <v>22</v>
      </c>
    </row>
    <row r="5581" spans="1:11">
      <c r="A5581" s="33" t="s">
        <v>13169</v>
      </c>
      <c r="B5581" s="33" t="s">
        <v>13170</v>
      </c>
      <c r="C5581" s="33" t="s">
        <v>9475</v>
      </c>
      <c r="D5581" s="33" t="s">
        <v>17</v>
      </c>
      <c r="E5581" s="33" t="s">
        <v>26</v>
      </c>
      <c r="F5581" s="33" t="s">
        <v>27</v>
      </c>
      <c r="G5581" s="33" t="s">
        <v>50</v>
      </c>
      <c r="H5581" s="35">
        <v>84</v>
      </c>
      <c r="I5581" s="33" t="s">
        <v>51</v>
      </c>
      <c r="J5581" s="42">
        <v>44409</v>
      </c>
      <c r="K5581" s="33" t="s">
        <v>22</v>
      </c>
    </row>
    <row r="5582" spans="1:11">
      <c r="A5582" s="30" t="s">
        <v>13171</v>
      </c>
      <c r="B5582" s="30" t="s">
        <v>13172</v>
      </c>
      <c r="C5582" s="30" t="s">
        <v>1313</v>
      </c>
      <c r="D5582" s="30" t="s">
        <v>17</v>
      </c>
      <c r="E5582" s="30" t="s">
        <v>45</v>
      </c>
      <c r="F5582" s="30" t="s">
        <v>46</v>
      </c>
      <c r="G5582" s="30" t="s">
        <v>112</v>
      </c>
      <c r="H5582" s="32">
        <v>0</v>
      </c>
      <c r="I5582" s="30" t="s">
        <v>21</v>
      </c>
      <c r="J5582" s="41">
        <v>44501</v>
      </c>
      <c r="K5582" s="30" t="s">
        <v>22</v>
      </c>
    </row>
    <row r="5583" spans="1:11">
      <c r="A5583" s="33" t="s">
        <v>13173</v>
      </c>
      <c r="B5583" s="33" t="s">
        <v>13174</v>
      </c>
      <c r="C5583" s="33" t="s">
        <v>549</v>
      </c>
      <c r="D5583" s="33" t="s">
        <v>17</v>
      </c>
      <c r="E5583" s="33" t="s">
        <v>18</v>
      </c>
      <c r="F5583" s="33" t="s">
        <v>19</v>
      </c>
      <c r="G5583" s="33" t="s">
        <v>112</v>
      </c>
      <c r="H5583" s="35">
        <v>0</v>
      </c>
      <c r="I5583" s="33" t="s">
        <v>21</v>
      </c>
      <c r="J5583" s="42">
        <v>44348</v>
      </c>
      <c r="K5583" s="33" t="s">
        <v>22</v>
      </c>
    </row>
    <row r="5584" spans="1:11">
      <c r="A5584" s="30" t="s">
        <v>13175</v>
      </c>
      <c r="B5584" s="30" t="s">
        <v>13176</v>
      </c>
      <c r="C5584" s="30" t="s">
        <v>925</v>
      </c>
      <c r="D5584" s="30" t="s">
        <v>17</v>
      </c>
      <c r="E5584" s="30" t="s">
        <v>18</v>
      </c>
      <c r="F5584" s="30" t="s">
        <v>19</v>
      </c>
      <c r="G5584" s="30" t="s">
        <v>106</v>
      </c>
      <c r="H5584" s="32">
        <v>258</v>
      </c>
      <c r="I5584" s="30" t="s">
        <v>21</v>
      </c>
      <c r="J5584" s="41">
        <v>44378</v>
      </c>
      <c r="K5584" s="30" t="s">
        <v>22</v>
      </c>
    </row>
    <row r="5585" spans="1:11">
      <c r="A5585" s="33" t="s">
        <v>13177</v>
      </c>
      <c r="B5585" s="33" t="s">
        <v>13178</v>
      </c>
      <c r="C5585" s="33" t="s">
        <v>925</v>
      </c>
      <c r="D5585" s="33" t="s">
        <v>17</v>
      </c>
      <c r="E5585" s="33" t="s">
        <v>67</v>
      </c>
      <c r="F5585" s="33" t="s">
        <v>68</v>
      </c>
      <c r="G5585" s="33" t="s">
        <v>158</v>
      </c>
      <c r="H5585" s="35">
        <v>135</v>
      </c>
      <c r="I5585" s="33" t="s">
        <v>21</v>
      </c>
      <c r="J5585" s="42">
        <v>44489</v>
      </c>
      <c r="K5585" s="33" t="s">
        <v>22</v>
      </c>
    </row>
    <row r="5586" spans="1:11">
      <c r="A5586" s="30" t="s">
        <v>13179</v>
      </c>
      <c r="B5586" s="30" t="s">
        <v>13180</v>
      </c>
      <c r="C5586" s="30" t="s">
        <v>13181</v>
      </c>
      <c r="D5586" s="30" t="s">
        <v>17</v>
      </c>
      <c r="E5586" s="30" t="s">
        <v>18</v>
      </c>
      <c r="F5586" s="30" t="s">
        <v>19</v>
      </c>
      <c r="G5586" s="30" t="s">
        <v>20</v>
      </c>
      <c r="H5586" s="32">
        <v>248</v>
      </c>
      <c r="I5586" s="30" t="s">
        <v>21</v>
      </c>
      <c r="J5586" s="41">
        <v>44560</v>
      </c>
      <c r="K5586" s="30" t="s">
        <v>22</v>
      </c>
    </row>
    <row r="5587" spans="1:11">
      <c r="A5587" s="33" t="s">
        <v>13182</v>
      </c>
      <c r="B5587" s="33" t="s">
        <v>13183</v>
      </c>
      <c r="C5587" s="33" t="s">
        <v>795</v>
      </c>
      <c r="D5587" s="33" t="s">
        <v>17</v>
      </c>
      <c r="E5587" s="33" t="s">
        <v>31</v>
      </c>
      <c r="F5587" s="33" t="s">
        <v>32</v>
      </c>
      <c r="G5587" s="33" t="s">
        <v>158</v>
      </c>
      <c r="H5587" s="35">
        <v>125</v>
      </c>
      <c r="I5587" s="33" t="s">
        <v>21</v>
      </c>
      <c r="J5587" s="42">
        <v>44496</v>
      </c>
      <c r="K5587" s="33" t="s">
        <v>22</v>
      </c>
    </row>
    <row r="5588" spans="1:11">
      <c r="A5588" s="30" t="s">
        <v>13184</v>
      </c>
      <c r="B5588" s="30" t="s">
        <v>13185</v>
      </c>
      <c r="C5588" s="30" t="s">
        <v>7588</v>
      </c>
      <c r="D5588" s="30" t="s">
        <v>17</v>
      </c>
      <c r="E5588" s="30" t="s">
        <v>31</v>
      </c>
      <c r="F5588" s="30" t="s">
        <v>32</v>
      </c>
      <c r="G5588" s="30" t="s">
        <v>20</v>
      </c>
      <c r="H5588" s="32">
        <v>25</v>
      </c>
      <c r="I5588" s="30" t="s">
        <v>21</v>
      </c>
      <c r="J5588" s="41">
        <v>44480</v>
      </c>
      <c r="K5588" s="30" t="s">
        <v>22</v>
      </c>
    </row>
    <row r="5589" spans="1:11">
      <c r="A5589" s="33" t="s">
        <v>13186</v>
      </c>
      <c r="B5589" s="33" t="s">
        <v>13187</v>
      </c>
      <c r="C5589" s="33" t="s">
        <v>3641</v>
      </c>
      <c r="D5589" s="33" t="s">
        <v>17</v>
      </c>
      <c r="E5589" s="33" t="s">
        <v>67</v>
      </c>
      <c r="F5589" s="33" t="s">
        <v>68</v>
      </c>
      <c r="G5589" s="33" t="s">
        <v>50</v>
      </c>
      <c r="H5589" s="35">
        <v>84</v>
      </c>
      <c r="I5589" s="33" t="s">
        <v>51</v>
      </c>
      <c r="J5589" s="42">
        <v>44250</v>
      </c>
      <c r="K5589" s="33" t="s">
        <v>22</v>
      </c>
    </row>
    <row r="5590" spans="1:11">
      <c r="A5590" s="30" t="s">
        <v>13188</v>
      </c>
      <c r="B5590" s="30" t="s">
        <v>13189</v>
      </c>
      <c r="C5590" s="30" t="s">
        <v>2484</v>
      </c>
      <c r="D5590" s="30" t="s">
        <v>17</v>
      </c>
      <c r="E5590" s="30" t="s">
        <v>67</v>
      </c>
      <c r="F5590" s="30" t="s">
        <v>68</v>
      </c>
      <c r="G5590" s="30" t="s">
        <v>20</v>
      </c>
      <c r="H5590" s="32">
        <v>13</v>
      </c>
      <c r="I5590" s="30" t="s">
        <v>21</v>
      </c>
      <c r="J5590" s="41">
        <v>44531</v>
      </c>
      <c r="K5590" s="30" t="s">
        <v>22</v>
      </c>
    </row>
    <row r="5591" spans="1:11">
      <c r="A5591" s="33" t="s">
        <v>13190</v>
      </c>
      <c r="B5591" s="33" t="s">
        <v>13191</v>
      </c>
      <c r="C5591" s="33" t="s">
        <v>96</v>
      </c>
      <c r="D5591" s="33" t="s">
        <v>17</v>
      </c>
      <c r="E5591" s="33" t="s">
        <v>31</v>
      </c>
      <c r="F5591" s="33" t="s">
        <v>32</v>
      </c>
      <c r="G5591" s="33" t="s">
        <v>158</v>
      </c>
      <c r="H5591" s="35">
        <v>187</v>
      </c>
      <c r="I5591" s="33" t="s">
        <v>21</v>
      </c>
      <c r="J5591" s="42">
        <v>44229</v>
      </c>
      <c r="K5591" s="33" t="s">
        <v>22</v>
      </c>
    </row>
    <row r="5592" spans="1:11">
      <c r="A5592" s="30" t="s">
        <v>13192</v>
      </c>
      <c r="B5592" s="30" t="s">
        <v>13193</v>
      </c>
      <c r="C5592" s="30" t="s">
        <v>3293</v>
      </c>
      <c r="D5592" s="30" t="s">
        <v>17</v>
      </c>
      <c r="E5592" s="30" t="s">
        <v>31</v>
      </c>
      <c r="F5592" s="30" t="s">
        <v>32</v>
      </c>
      <c r="G5592" s="30" t="s">
        <v>20</v>
      </c>
      <c r="H5592" s="32">
        <v>16</v>
      </c>
      <c r="I5592" s="30" t="s">
        <v>21</v>
      </c>
      <c r="J5592" s="41">
        <v>44393</v>
      </c>
      <c r="K5592" s="30" t="s">
        <v>22</v>
      </c>
    </row>
    <row r="5593" spans="1:11">
      <c r="A5593" s="33" t="s">
        <v>13194</v>
      </c>
      <c r="B5593" s="33" t="s">
        <v>13195</v>
      </c>
      <c r="C5593" s="33" t="s">
        <v>13196</v>
      </c>
      <c r="D5593" s="33" t="s">
        <v>17</v>
      </c>
      <c r="E5593" s="33" t="s">
        <v>26</v>
      </c>
      <c r="F5593" s="33" t="s">
        <v>27</v>
      </c>
      <c r="G5593" s="33" t="s">
        <v>106</v>
      </c>
      <c r="H5593" s="35">
        <v>9</v>
      </c>
      <c r="I5593" s="33" t="s">
        <v>21</v>
      </c>
      <c r="J5593" s="42">
        <v>44209</v>
      </c>
      <c r="K5593" s="33" t="s">
        <v>22</v>
      </c>
    </row>
    <row r="5594" spans="1:11">
      <c r="A5594" s="30" t="s">
        <v>13197</v>
      </c>
      <c r="B5594" s="30" t="s">
        <v>13198</v>
      </c>
      <c r="C5594" s="30" t="s">
        <v>2618</v>
      </c>
      <c r="D5594" s="30" t="s">
        <v>17</v>
      </c>
      <c r="E5594" s="30" t="s">
        <v>31</v>
      </c>
      <c r="F5594" s="30" t="s">
        <v>32</v>
      </c>
      <c r="G5594" s="30" t="s">
        <v>20</v>
      </c>
      <c r="H5594" s="32">
        <v>76</v>
      </c>
      <c r="I5594" s="30" t="s">
        <v>21</v>
      </c>
      <c r="J5594" s="41">
        <v>44284</v>
      </c>
      <c r="K5594" s="30" t="s">
        <v>22</v>
      </c>
    </row>
    <row r="5595" spans="1:11">
      <c r="A5595" s="33" t="s">
        <v>13199</v>
      </c>
      <c r="B5595" s="33" t="s">
        <v>13200</v>
      </c>
      <c r="C5595" s="33" t="s">
        <v>9190</v>
      </c>
      <c r="D5595" s="33" t="s">
        <v>17</v>
      </c>
      <c r="E5595" s="33" t="s">
        <v>18</v>
      </c>
      <c r="F5595" s="33" t="s">
        <v>19</v>
      </c>
      <c r="G5595" s="33" t="s">
        <v>20</v>
      </c>
      <c r="H5595" s="35">
        <v>575</v>
      </c>
      <c r="I5595" s="33" t="s">
        <v>21</v>
      </c>
      <c r="J5595" s="42">
        <v>44560</v>
      </c>
      <c r="K5595" s="33" t="s">
        <v>22</v>
      </c>
    </row>
    <row r="5596" spans="1:11">
      <c r="A5596" s="30" t="s">
        <v>13201</v>
      </c>
      <c r="B5596" s="30" t="s">
        <v>13202</v>
      </c>
      <c r="C5596" s="30" t="s">
        <v>5053</v>
      </c>
      <c r="D5596" s="30" t="s">
        <v>17</v>
      </c>
      <c r="E5596" s="30" t="s">
        <v>18</v>
      </c>
      <c r="F5596" s="30" t="s">
        <v>19</v>
      </c>
      <c r="G5596" s="30" t="s">
        <v>20</v>
      </c>
      <c r="H5596" s="32">
        <v>804</v>
      </c>
      <c r="I5596" s="30" t="s">
        <v>21</v>
      </c>
      <c r="J5596" s="41">
        <v>44503</v>
      </c>
      <c r="K5596" s="30" t="s">
        <v>22</v>
      </c>
    </row>
    <row r="5597" spans="1:11">
      <c r="A5597" s="33" t="s">
        <v>13203</v>
      </c>
      <c r="B5597" s="33" t="s">
        <v>13204</v>
      </c>
      <c r="C5597" s="33" t="s">
        <v>8443</v>
      </c>
      <c r="D5597" s="33" t="s">
        <v>17</v>
      </c>
      <c r="E5597" s="33" t="s">
        <v>26</v>
      </c>
      <c r="F5597" s="33" t="s">
        <v>27</v>
      </c>
      <c r="G5597" s="33" t="s">
        <v>50</v>
      </c>
      <c r="H5597" s="35">
        <v>30</v>
      </c>
      <c r="I5597" s="33" t="s">
        <v>51</v>
      </c>
      <c r="J5597" s="42">
        <v>44530</v>
      </c>
      <c r="K5597" s="33" t="s">
        <v>22</v>
      </c>
    </row>
    <row r="5598" spans="1:11">
      <c r="A5598" s="30" t="s">
        <v>13205</v>
      </c>
      <c r="B5598" s="30" t="s">
        <v>13206</v>
      </c>
      <c r="C5598" s="30" t="s">
        <v>684</v>
      </c>
      <c r="D5598" s="30" t="s">
        <v>17</v>
      </c>
      <c r="E5598" s="30" t="s">
        <v>26</v>
      </c>
      <c r="F5598" s="30" t="s">
        <v>27</v>
      </c>
      <c r="G5598" s="30" t="s">
        <v>20</v>
      </c>
      <c r="H5598" s="32">
        <v>6</v>
      </c>
      <c r="I5598" s="30" t="s">
        <v>21</v>
      </c>
      <c r="J5598" s="41">
        <v>44405</v>
      </c>
      <c r="K5598" s="30" t="s">
        <v>22</v>
      </c>
    </row>
    <row r="5599" spans="1:11">
      <c r="A5599" s="33" t="s">
        <v>13207</v>
      </c>
      <c r="B5599" s="33" t="s">
        <v>13208</v>
      </c>
      <c r="C5599" s="33" t="s">
        <v>75</v>
      </c>
      <c r="D5599" s="33" t="s">
        <v>17</v>
      </c>
      <c r="E5599" s="33" t="s">
        <v>26</v>
      </c>
      <c r="F5599" s="33" t="s">
        <v>27</v>
      </c>
      <c r="G5599" s="33" t="s">
        <v>20</v>
      </c>
      <c r="H5599" s="35">
        <v>25</v>
      </c>
      <c r="I5599" s="33" t="s">
        <v>21</v>
      </c>
      <c r="J5599" s="42">
        <v>44411</v>
      </c>
      <c r="K5599" s="33" t="s">
        <v>22</v>
      </c>
    </row>
    <row r="5600" spans="1:11">
      <c r="A5600" s="30" t="s">
        <v>13209</v>
      </c>
      <c r="B5600" s="30" t="s">
        <v>13210</v>
      </c>
      <c r="C5600" s="30" t="s">
        <v>948</v>
      </c>
      <c r="D5600" s="30" t="s">
        <v>17</v>
      </c>
      <c r="E5600" s="30" t="s">
        <v>26</v>
      </c>
      <c r="F5600" s="30" t="s">
        <v>27</v>
      </c>
      <c r="G5600" s="30" t="s">
        <v>158</v>
      </c>
      <c r="H5600" s="32">
        <v>78</v>
      </c>
      <c r="I5600" s="30" t="s">
        <v>51</v>
      </c>
      <c r="J5600" s="41">
        <v>44531</v>
      </c>
      <c r="K5600" s="30" t="s">
        <v>22</v>
      </c>
    </row>
    <row r="5601" spans="1:11">
      <c r="A5601" s="33" t="s">
        <v>13211</v>
      </c>
      <c r="B5601" s="33" t="s">
        <v>13212</v>
      </c>
      <c r="C5601" s="33" t="s">
        <v>75</v>
      </c>
      <c r="D5601" s="33" t="s">
        <v>17</v>
      </c>
      <c r="E5601" s="33" t="s">
        <v>31</v>
      </c>
      <c r="F5601" s="33" t="s">
        <v>32</v>
      </c>
      <c r="G5601" s="33" t="s">
        <v>20</v>
      </c>
      <c r="H5601" s="35">
        <v>67</v>
      </c>
      <c r="I5601" s="33" t="s">
        <v>21</v>
      </c>
      <c r="J5601" s="42">
        <v>44323</v>
      </c>
      <c r="K5601" s="33" t="s">
        <v>22</v>
      </c>
    </row>
    <row r="5602" spans="1:11">
      <c r="A5602" s="30" t="s">
        <v>13213</v>
      </c>
      <c r="B5602" s="30" t="s">
        <v>13214</v>
      </c>
      <c r="C5602" s="30" t="s">
        <v>11796</v>
      </c>
      <c r="D5602" s="30" t="s">
        <v>17</v>
      </c>
      <c r="E5602" s="30" t="s">
        <v>26</v>
      </c>
      <c r="F5602" s="30" t="s">
        <v>27</v>
      </c>
      <c r="G5602" s="30" t="s">
        <v>20</v>
      </c>
      <c r="H5602" s="32">
        <v>47</v>
      </c>
      <c r="I5602" s="30" t="s">
        <v>21</v>
      </c>
      <c r="J5602" s="41">
        <v>44470</v>
      </c>
      <c r="K5602" s="30" t="s">
        <v>22</v>
      </c>
    </row>
    <row r="5603" spans="1:11">
      <c r="A5603" s="33" t="s">
        <v>13215</v>
      </c>
      <c r="B5603" s="33" t="s">
        <v>13216</v>
      </c>
      <c r="C5603" s="33" t="s">
        <v>554</v>
      </c>
      <c r="D5603" s="33" t="s">
        <v>17</v>
      </c>
      <c r="E5603" s="33" t="s">
        <v>67</v>
      </c>
      <c r="F5603" s="33" t="s">
        <v>68</v>
      </c>
      <c r="G5603" s="33" t="s">
        <v>20</v>
      </c>
      <c r="H5603" s="35">
        <v>89</v>
      </c>
      <c r="I5603" s="33" t="s">
        <v>21</v>
      </c>
      <c r="J5603" s="42">
        <v>44496</v>
      </c>
      <c r="K5603" s="33" t="s">
        <v>22</v>
      </c>
    </row>
    <row r="5604" spans="1:11">
      <c r="A5604" s="30" t="s">
        <v>13217</v>
      </c>
      <c r="B5604" s="30" t="s">
        <v>13218</v>
      </c>
      <c r="C5604" s="30" t="s">
        <v>13219</v>
      </c>
      <c r="D5604" s="30" t="s">
        <v>17</v>
      </c>
      <c r="E5604" s="30" t="s">
        <v>31</v>
      </c>
      <c r="F5604" s="30" t="s">
        <v>32</v>
      </c>
      <c r="G5604" s="30" t="s">
        <v>20</v>
      </c>
      <c r="H5604" s="32">
        <v>24</v>
      </c>
      <c r="I5604" s="30" t="s">
        <v>21</v>
      </c>
      <c r="J5604" s="41">
        <v>44216</v>
      </c>
      <c r="K5604" s="30" t="s">
        <v>22</v>
      </c>
    </row>
    <row r="5605" spans="1:11">
      <c r="A5605" s="33" t="s">
        <v>13220</v>
      </c>
      <c r="B5605" s="33" t="s">
        <v>13221</v>
      </c>
      <c r="C5605" s="33" t="s">
        <v>653</v>
      </c>
      <c r="D5605" s="33" t="s">
        <v>17</v>
      </c>
      <c r="E5605" s="33" t="s">
        <v>31</v>
      </c>
      <c r="F5605" s="33" t="s">
        <v>32</v>
      </c>
      <c r="G5605" s="33" t="s">
        <v>20</v>
      </c>
      <c r="H5605" s="35">
        <v>21</v>
      </c>
      <c r="I5605" s="33" t="s">
        <v>21</v>
      </c>
      <c r="J5605" s="42">
        <v>44408</v>
      </c>
      <c r="K5605" s="33" t="s">
        <v>22</v>
      </c>
    </row>
    <row r="5606" spans="1:11">
      <c r="A5606" s="30" t="s">
        <v>13222</v>
      </c>
      <c r="B5606" s="30" t="s">
        <v>13223</v>
      </c>
      <c r="C5606" s="30" t="s">
        <v>1431</v>
      </c>
      <c r="D5606" s="30" t="s">
        <v>17</v>
      </c>
      <c r="E5606" s="30" t="s">
        <v>26</v>
      </c>
      <c r="F5606" s="30" t="s">
        <v>27</v>
      </c>
      <c r="G5606" s="30" t="s">
        <v>20</v>
      </c>
      <c r="H5606" s="32">
        <v>83</v>
      </c>
      <c r="I5606" s="30" t="s">
        <v>21</v>
      </c>
      <c r="J5606" s="41">
        <v>44498</v>
      </c>
      <c r="K5606" s="30" t="s">
        <v>22</v>
      </c>
    </row>
    <row r="5607" spans="1:11">
      <c r="A5607" s="33" t="s">
        <v>13224</v>
      </c>
      <c r="B5607" s="33" t="s">
        <v>13225</v>
      </c>
      <c r="C5607" s="33" t="s">
        <v>609</v>
      </c>
      <c r="D5607" s="33" t="s">
        <v>17</v>
      </c>
      <c r="E5607" s="33" t="s">
        <v>18</v>
      </c>
      <c r="F5607" s="33" t="s">
        <v>19</v>
      </c>
      <c r="G5607" s="33" t="s">
        <v>20</v>
      </c>
      <c r="H5607" s="35">
        <v>132</v>
      </c>
      <c r="I5607" s="33" t="s">
        <v>21</v>
      </c>
      <c r="J5607" s="42">
        <v>44464</v>
      </c>
      <c r="K5607" s="33" t="s">
        <v>22</v>
      </c>
    </row>
    <row r="5608" spans="1:11">
      <c r="A5608" s="30" t="s">
        <v>13226</v>
      </c>
      <c r="B5608" s="30" t="s">
        <v>13227</v>
      </c>
      <c r="C5608" s="30" t="s">
        <v>203</v>
      </c>
      <c r="D5608" s="30" t="s">
        <v>17</v>
      </c>
      <c r="E5608" s="30" t="s">
        <v>26</v>
      </c>
      <c r="F5608" s="30" t="s">
        <v>27</v>
      </c>
      <c r="G5608" s="30" t="s">
        <v>20</v>
      </c>
      <c r="H5608" s="32">
        <v>14</v>
      </c>
      <c r="I5608" s="30" t="s">
        <v>21</v>
      </c>
      <c r="J5608" s="41">
        <v>44413</v>
      </c>
      <c r="K5608" s="30" t="s">
        <v>22</v>
      </c>
    </row>
    <row r="5609" spans="1:11">
      <c r="A5609" s="33" t="s">
        <v>13228</v>
      </c>
      <c r="B5609" s="33" t="s">
        <v>13229</v>
      </c>
      <c r="C5609" s="33" t="s">
        <v>54</v>
      </c>
      <c r="D5609" s="33" t="s">
        <v>17</v>
      </c>
      <c r="E5609" s="33" t="s">
        <v>31</v>
      </c>
      <c r="F5609" s="33" t="s">
        <v>32</v>
      </c>
      <c r="G5609" s="33" t="s">
        <v>20</v>
      </c>
      <c r="H5609" s="35">
        <v>72</v>
      </c>
      <c r="I5609" s="33" t="s">
        <v>21</v>
      </c>
      <c r="J5609" s="42">
        <v>44435</v>
      </c>
      <c r="K5609" s="33" t="s">
        <v>22</v>
      </c>
    </row>
    <row r="5610" spans="1:11">
      <c r="A5610" s="30" t="s">
        <v>13230</v>
      </c>
      <c r="B5610" s="30" t="s">
        <v>13231</v>
      </c>
      <c r="C5610" s="30" t="s">
        <v>11703</v>
      </c>
      <c r="D5610" s="30" t="s">
        <v>17</v>
      </c>
      <c r="E5610" s="30" t="s">
        <v>26</v>
      </c>
      <c r="F5610" s="30" t="s">
        <v>27</v>
      </c>
      <c r="G5610" s="30" t="s">
        <v>20</v>
      </c>
      <c r="H5610" s="32">
        <v>23</v>
      </c>
      <c r="I5610" s="30" t="s">
        <v>21</v>
      </c>
      <c r="J5610" s="41">
        <v>44355</v>
      </c>
      <c r="K5610" s="30" t="s">
        <v>22</v>
      </c>
    </row>
    <row r="5611" spans="1:11">
      <c r="A5611" s="33" t="s">
        <v>13232</v>
      </c>
      <c r="B5611" s="33" t="s">
        <v>13233</v>
      </c>
      <c r="C5611" s="33" t="s">
        <v>13234</v>
      </c>
      <c r="D5611" s="33" t="s">
        <v>17</v>
      </c>
      <c r="E5611" s="33" t="s">
        <v>26</v>
      </c>
      <c r="F5611" s="33" t="s">
        <v>27</v>
      </c>
      <c r="G5611" s="33" t="s">
        <v>20</v>
      </c>
      <c r="H5611" s="35">
        <v>33</v>
      </c>
      <c r="I5611" s="33" t="s">
        <v>21</v>
      </c>
      <c r="J5611" s="42">
        <v>44469</v>
      </c>
      <c r="K5611" s="33" t="s">
        <v>22</v>
      </c>
    </row>
    <row r="5612" spans="1:11">
      <c r="A5612" s="30" t="s">
        <v>13235</v>
      </c>
      <c r="B5612" s="30" t="s">
        <v>13236</v>
      </c>
      <c r="C5612" s="30" t="s">
        <v>379</v>
      </c>
      <c r="D5612" s="30" t="s">
        <v>17</v>
      </c>
      <c r="E5612" s="30" t="s">
        <v>31</v>
      </c>
      <c r="F5612" s="30" t="s">
        <v>32</v>
      </c>
      <c r="G5612" s="30" t="s">
        <v>50</v>
      </c>
      <c r="H5612" s="32">
        <v>25</v>
      </c>
      <c r="I5612" s="30" t="s">
        <v>51</v>
      </c>
      <c r="J5612" s="41">
        <v>44536</v>
      </c>
      <c r="K5612" s="30" t="s">
        <v>22</v>
      </c>
    </row>
    <row r="5613" spans="1:11">
      <c r="A5613" s="33" t="s">
        <v>13237</v>
      </c>
      <c r="B5613" s="33" t="s">
        <v>13238</v>
      </c>
      <c r="C5613" s="33" t="s">
        <v>136</v>
      </c>
      <c r="D5613" s="33" t="s">
        <v>17</v>
      </c>
      <c r="E5613" s="33" t="s">
        <v>18</v>
      </c>
      <c r="F5613" s="33" t="s">
        <v>19</v>
      </c>
      <c r="G5613" s="33" t="s">
        <v>158</v>
      </c>
      <c r="H5613" s="35">
        <v>874</v>
      </c>
      <c r="I5613" s="33" t="s">
        <v>21</v>
      </c>
      <c r="J5613" s="42">
        <v>44473</v>
      </c>
      <c r="K5613" s="33" t="s">
        <v>22</v>
      </c>
    </row>
    <row r="5614" spans="1:11">
      <c r="A5614" s="30" t="s">
        <v>13239</v>
      </c>
      <c r="B5614" s="30" t="s">
        <v>13240</v>
      </c>
      <c r="C5614" s="30" t="s">
        <v>13241</v>
      </c>
      <c r="D5614" s="30" t="s">
        <v>17</v>
      </c>
      <c r="E5614" s="30" t="s">
        <v>26</v>
      </c>
      <c r="F5614" s="30" t="s">
        <v>27</v>
      </c>
      <c r="G5614" s="30" t="s">
        <v>158</v>
      </c>
      <c r="H5614" s="32">
        <v>107</v>
      </c>
      <c r="I5614" s="30" t="s">
        <v>21</v>
      </c>
      <c r="J5614" s="41">
        <v>44378</v>
      </c>
      <c r="K5614" s="30" t="s">
        <v>22</v>
      </c>
    </row>
    <row r="5615" spans="1:11">
      <c r="A5615" s="33" t="s">
        <v>13242</v>
      </c>
      <c r="B5615" s="33" t="s">
        <v>13243</v>
      </c>
      <c r="C5615" s="33" t="s">
        <v>847</v>
      </c>
      <c r="D5615" s="33" t="s">
        <v>17</v>
      </c>
      <c r="E5615" s="33" t="s">
        <v>26</v>
      </c>
      <c r="F5615" s="33" t="s">
        <v>27</v>
      </c>
      <c r="G5615" s="33" t="s">
        <v>50</v>
      </c>
      <c r="H5615" s="35">
        <v>22</v>
      </c>
      <c r="I5615" s="33" t="s">
        <v>51</v>
      </c>
      <c r="J5615" s="42">
        <v>44531</v>
      </c>
      <c r="K5615" s="33" t="s">
        <v>22</v>
      </c>
    </row>
    <row r="5616" spans="1:11">
      <c r="A5616" s="30" t="s">
        <v>13244</v>
      </c>
      <c r="B5616" s="30" t="s">
        <v>13245</v>
      </c>
      <c r="C5616" s="30" t="s">
        <v>1710</v>
      </c>
      <c r="D5616" s="30" t="s">
        <v>17</v>
      </c>
      <c r="E5616" s="30" t="s">
        <v>31</v>
      </c>
      <c r="F5616" s="30" t="s">
        <v>32</v>
      </c>
      <c r="G5616" s="30" t="s">
        <v>20</v>
      </c>
      <c r="H5616" s="32">
        <v>49</v>
      </c>
      <c r="I5616" s="30" t="s">
        <v>21</v>
      </c>
      <c r="J5616" s="41">
        <v>44307</v>
      </c>
      <c r="K5616" s="30" t="s">
        <v>22</v>
      </c>
    </row>
    <row r="5617" spans="1:11">
      <c r="A5617" s="33" t="s">
        <v>13246</v>
      </c>
      <c r="B5617" s="33" t="s">
        <v>13247</v>
      </c>
      <c r="C5617" s="33" t="s">
        <v>2807</v>
      </c>
      <c r="D5617" s="33" t="s">
        <v>17</v>
      </c>
      <c r="E5617" s="33" t="s">
        <v>18</v>
      </c>
      <c r="F5617" s="33" t="s">
        <v>19</v>
      </c>
      <c r="G5617" s="33" t="s">
        <v>20</v>
      </c>
      <c r="H5617" s="35">
        <v>171</v>
      </c>
      <c r="I5617" s="33" t="s">
        <v>21</v>
      </c>
      <c r="J5617" s="42">
        <v>44284</v>
      </c>
      <c r="K5617" s="33" t="s">
        <v>22</v>
      </c>
    </row>
    <row r="5618" spans="1:11">
      <c r="A5618" s="30" t="s">
        <v>13248</v>
      </c>
      <c r="B5618" s="30" t="s">
        <v>13249</v>
      </c>
      <c r="C5618" s="30" t="s">
        <v>5990</v>
      </c>
      <c r="D5618" s="30" t="s">
        <v>17</v>
      </c>
      <c r="E5618" s="30" t="s">
        <v>26</v>
      </c>
      <c r="F5618" s="30" t="s">
        <v>27</v>
      </c>
      <c r="G5618" s="30" t="s">
        <v>158</v>
      </c>
      <c r="H5618" s="32">
        <v>99</v>
      </c>
      <c r="I5618" s="30" t="s">
        <v>51</v>
      </c>
      <c r="J5618" s="41">
        <v>44329</v>
      </c>
      <c r="K5618" s="30" t="s">
        <v>22</v>
      </c>
    </row>
    <row r="5619" spans="1:11">
      <c r="A5619" s="33" t="s">
        <v>13250</v>
      </c>
      <c r="B5619" s="33" t="s">
        <v>13251</v>
      </c>
      <c r="C5619" s="33" t="s">
        <v>109</v>
      </c>
      <c r="D5619" s="33" t="s">
        <v>17</v>
      </c>
      <c r="E5619" s="33" t="s">
        <v>31</v>
      </c>
      <c r="F5619" s="33" t="s">
        <v>32</v>
      </c>
      <c r="G5619" s="33" t="s">
        <v>20</v>
      </c>
      <c r="H5619" s="35">
        <v>206</v>
      </c>
      <c r="I5619" s="33" t="s">
        <v>21</v>
      </c>
      <c r="J5619" s="42">
        <v>44201</v>
      </c>
      <c r="K5619" s="33" t="s">
        <v>22</v>
      </c>
    </row>
    <row r="5620" spans="1:11">
      <c r="A5620" s="30" t="s">
        <v>13252</v>
      </c>
      <c r="B5620" s="30" t="s">
        <v>13253</v>
      </c>
      <c r="C5620" s="30" t="s">
        <v>9026</v>
      </c>
      <c r="D5620" s="30" t="s">
        <v>17</v>
      </c>
      <c r="E5620" s="30" t="s">
        <v>26</v>
      </c>
      <c r="F5620" s="30" t="s">
        <v>27</v>
      </c>
      <c r="G5620" s="30" t="s">
        <v>20</v>
      </c>
      <c r="H5620" s="32">
        <v>8</v>
      </c>
      <c r="I5620" s="30" t="s">
        <v>21</v>
      </c>
      <c r="J5620" s="41">
        <v>44448</v>
      </c>
      <c r="K5620" s="30" t="s">
        <v>22</v>
      </c>
    </row>
    <row r="5621" spans="1:11">
      <c r="A5621" s="33" t="s">
        <v>13254</v>
      </c>
      <c r="B5621" s="33" t="s">
        <v>13255</v>
      </c>
      <c r="C5621" s="33" t="s">
        <v>13256</v>
      </c>
      <c r="D5621" s="33" t="s">
        <v>17</v>
      </c>
      <c r="E5621" s="33" t="s">
        <v>18</v>
      </c>
      <c r="F5621" s="33" t="s">
        <v>19</v>
      </c>
      <c r="G5621" s="33" t="s">
        <v>50</v>
      </c>
      <c r="H5621" s="35">
        <v>300</v>
      </c>
      <c r="I5621" s="33" t="s">
        <v>51</v>
      </c>
      <c r="J5621" s="42">
        <v>44529</v>
      </c>
      <c r="K5621" s="33" t="s">
        <v>22</v>
      </c>
    </row>
    <row r="5622" spans="1:11">
      <c r="A5622" s="30" t="s">
        <v>13257</v>
      </c>
      <c r="B5622" s="30" t="s">
        <v>13258</v>
      </c>
      <c r="C5622" s="30" t="s">
        <v>638</v>
      </c>
      <c r="D5622" s="30" t="s">
        <v>17</v>
      </c>
      <c r="E5622" s="30" t="s">
        <v>18</v>
      </c>
      <c r="F5622" s="30" t="s">
        <v>19</v>
      </c>
      <c r="G5622" s="30" t="s">
        <v>20</v>
      </c>
      <c r="H5622" s="32">
        <v>861</v>
      </c>
      <c r="I5622" s="30" t="s">
        <v>21</v>
      </c>
      <c r="J5622" s="41">
        <v>44502</v>
      </c>
      <c r="K5622" s="30" t="s">
        <v>22</v>
      </c>
    </row>
    <row r="5623" spans="1:11">
      <c r="A5623" s="33" t="s">
        <v>13259</v>
      </c>
      <c r="B5623" s="33" t="s">
        <v>13260</v>
      </c>
      <c r="C5623" s="33" t="s">
        <v>6190</v>
      </c>
      <c r="D5623" s="33" t="s">
        <v>17</v>
      </c>
      <c r="E5623" s="33" t="s">
        <v>212</v>
      </c>
      <c r="F5623" s="33" t="s">
        <v>213</v>
      </c>
      <c r="G5623" s="33" t="s">
        <v>20</v>
      </c>
      <c r="H5623" s="35">
        <v>283</v>
      </c>
      <c r="I5623" s="33" t="s">
        <v>21</v>
      </c>
      <c r="J5623" s="42">
        <v>44342</v>
      </c>
      <c r="K5623" s="33" t="s">
        <v>22</v>
      </c>
    </row>
    <row r="5624" spans="1:11">
      <c r="A5624" s="30" t="s">
        <v>13261</v>
      </c>
      <c r="B5624" s="30" t="s">
        <v>13262</v>
      </c>
      <c r="C5624" s="30" t="s">
        <v>11899</v>
      </c>
      <c r="D5624" s="30" t="s">
        <v>17</v>
      </c>
      <c r="E5624" s="30" t="s">
        <v>67</v>
      </c>
      <c r="F5624" s="30" t="s">
        <v>68</v>
      </c>
      <c r="G5624" s="30" t="s">
        <v>20</v>
      </c>
      <c r="H5624" s="32">
        <v>81</v>
      </c>
      <c r="I5624" s="30" t="s">
        <v>21</v>
      </c>
      <c r="J5624" s="41">
        <v>44348</v>
      </c>
      <c r="K5624" s="30" t="s">
        <v>22</v>
      </c>
    </row>
    <row r="5625" spans="1:11">
      <c r="A5625" s="33" t="s">
        <v>13263</v>
      </c>
      <c r="B5625" s="33" t="s">
        <v>13264</v>
      </c>
      <c r="C5625" s="33" t="s">
        <v>6017</v>
      </c>
      <c r="D5625" s="33" t="s">
        <v>17</v>
      </c>
      <c r="E5625" s="33" t="s">
        <v>18</v>
      </c>
      <c r="F5625" s="33" t="s">
        <v>19</v>
      </c>
      <c r="G5625" s="33" t="s">
        <v>20</v>
      </c>
      <c r="H5625" s="35">
        <v>204</v>
      </c>
      <c r="I5625" s="33" t="s">
        <v>21</v>
      </c>
      <c r="J5625" s="42">
        <v>44308</v>
      </c>
      <c r="K5625" s="33" t="s">
        <v>22</v>
      </c>
    </row>
    <row r="5626" spans="1:11">
      <c r="A5626" s="30" t="s">
        <v>13265</v>
      </c>
      <c r="B5626" s="30" t="s">
        <v>13266</v>
      </c>
      <c r="C5626" s="30" t="s">
        <v>1090</v>
      </c>
      <c r="D5626" s="30" t="s">
        <v>17</v>
      </c>
      <c r="E5626" s="30" t="s">
        <v>26</v>
      </c>
      <c r="F5626" s="30" t="s">
        <v>27</v>
      </c>
      <c r="G5626" s="30" t="s">
        <v>20</v>
      </c>
      <c r="H5626" s="32">
        <v>24</v>
      </c>
      <c r="I5626" s="30" t="s">
        <v>21</v>
      </c>
      <c r="J5626" s="41">
        <v>44356</v>
      </c>
      <c r="K5626" s="30" t="s">
        <v>22</v>
      </c>
    </row>
    <row r="5627" spans="1:11">
      <c r="A5627" s="33" t="s">
        <v>13267</v>
      </c>
      <c r="B5627" s="33" t="s">
        <v>13268</v>
      </c>
      <c r="C5627" s="33" t="s">
        <v>13269</v>
      </c>
      <c r="D5627" s="33" t="s">
        <v>17</v>
      </c>
      <c r="E5627" s="33" t="s">
        <v>31</v>
      </c>
      <c r="F5627" s="33" t="s">
        <v>32</v>
      </c>
      <c r="G5627" s="33" t="s">
        <v>106</v>
      </c>
      <c r="H5627" s="35">
        <v>194</v>
      </c>
      <c r="I5627" s="33" t="s">
        <v>21</v>
      </c>
      <c r="J5627" s="42">
        <v>44273</v>
      </c>
      <c r="K5627" s="33" t="s">
        <v>22</v>
      </c>
    </row>
    <row r="5628" spans="1:11">
      <c r="A5628" s="30" t="s">
        <v>13270</v>
      </c>
      <c r="B5628" s="30" t="s">
        <v>13271</v>
      </c>
      <c r="C5628" s="30" t="s">
        <v>12169</v>
      </c>
      <c r="D5628" s="30" t="s">
        <v>17</v>
      </c>
      <c r="E5628" s="30" t="s">
        <v>67</v>
      </c>
      <c r="F5628" s="30" t="s">
        <v>68</v>
      </c>
      <c r="G5628" s="30" t="s">
        <v>106</v>
      </c>
      <c r="H5628" s="32">
        <v>19</v>
      </c>
      <c r="I5628" s="30" t="s">
        <v>21</v>
      </c>
      <c r="J5628" s="41">
        <v>44333</v>
      </c>
      <c r="K5628" s="30" t="s">
        <v>22</v>
      </c>
    </row>
    <row r="5629" spans="1:11">
      <c r="A5629" s="33" t="s">
        <v>13272</v>
      </c>
      <c r="B5629" s="33" t="s">
        <v>13273</v>
      </c>
      <c r="C5629" s="33" t="s">
        <v>1425</v>
      </c>
      <c r="D5629" s="33" t="s">
        <v>17</v>
      </c>
      <c r="E5629" s="33" t="s">
        <v>18</v>
      </c>
      <c r="F5629" s="33" t="s">
        <v>19</v>
      </c>
      <c r="G5629" s="33" t="s">
        <v>20</v>
      </c>
      <c r="H5629" s="35">
        <v>623</v>
      </c>
      <c r="I5629" s="33" t="s">
        <v>21</v>
      </c>
      <c r="J5629" s="42">
        <v>44208</v>
      </c>
      <c r="K5629" s="33" t="s">
        <v>22</v>
      </c>
    </row>
    <row r="5630" spans="1:11">
      <c r="A5630" s="30" t="s">
        <v>13274</v>
      </c>
      <c r="B5630" s="30" t="s">
        <v>13275</v>
      </c>
      <c r="C5630" s="30" t="s">
        <v>149</v>
      </c>
      <c r="D5630" s="30" t="s">
        <v>17</v>
      </c>
      <c r="E5630" s="30" t="s">
        <v>67</v>
      </c>
      <c r="F5630" s="30" t="s">
        <v>68</v>
      </c>
      <c r="G5630" s="30" t="s">
        <v>50</v>
      </c>
      <c r="H5630" s="32">
        <v>30</v>
      </c>
      <c r="I5630" s="30" t="s">
        <v>51</v>
      </c>
      <c r="J5630" s="41">
        <v>44440</v>
      </c>
      <c r="K5630" s="30" t="s">
        <v>22</v>
      </c>
    </row>
    <row r="5631" spans="1:11">
      <c r="A5631" s="33" t="s">
        <v>13276</v>
      </c>
      <c r="B5631" s="33" t="s">
        <v>13277</v>
      </c>
      <c r="C5631" s="33" t="s">
        <v>13278</v>
      </c>
      <c r="D5631" s="33" t="s">
        <v>17</v>
      </c>
      <c r="E5631" s="33" t="s">
        <v>330</v>
      </c>
      <c r="F5631" s="33" t="s">
        <v>331</v>
      </c>
      <c r="G5631" s="33" t="s">
        <v>20</v>
      </c>
      <c r="H5631" s="35">
        <v>7</v>
      </c>
      <c r="I5631" s="33" t="s">
        <v>21</v>
      </c>
      <c r="J5631" s="42">
        <v>44267</v>
      </c>
      <c r="K5631" s="33" t="s">
        <v>22</v>
      </c>
    </row>
    <row r="5632" spans="1:11">
      <c r="A5632" s="30" t="s">
        <v>13279</v>
      </c>
      <c r="B5632" s="30" t="s">
        <v>13280</v>
      </c>
      <c r="C5632" s="30" t="s">
        <v>13281</v>
      </c>
      <c r="D5632" s="30" t="s">
        <v>17</v>
      </c>
      <c r="E5632" s="30" t="s">
        <v>67</v>
      </c>
      <c r="F5632" s="30" t="s">
        <v>68</v>
      </c>
      <c r="G5632" s="30" t="s">
        <v>20</v>
      </c>
      <c r="H5632" s="32">
        <v>45</v>
      </c>
      <c r="I5632" s="30" t="s">
        <v>21</v>
      </c>
      <c r="J5632" s="41">
        <v>44284</v>
      </c>
      <c r="K5632" s="30" t="s">
        <v>22</v>
      </c>
    </row>
    <row r="5633" spans="1:11">
      <c r="A5633" s="33" t="s">
        <v>13282</v>
      </c>
      <c r="B5633" s="33" t="s">
        <v>13283</v>
      </c>
      <c r="C5633" s="33" t="s">
        <v>2094</v>
      </c>
      <c r="D5633" s="33" t="s">
        <v>17</v>
      </c>
      <c r="E5633" s="33" t="s">
        <v>18</v>
      </c>
      <c r="F5633" s="33" t="s">
        <v>19</v>
      </c>
      <c r="G5633" s="33" t="s">
        <v>20</v>
      </c>
      <c r="H5633" s="35">
        <v>517</v>
      </c>
      <c r="I5633" s="33" t="s">
        <v>21</v>
      </c>
      <c r="J5633" s="42">
        <v>44357</v>
      </c>
      <c r="K5633" s="33" t="s">
        <v>22</v>
      </c>
    </row>
    <row r="5634" spans="1:11">
      <c r="A5634" s="30" t="s">
        <v>13284</v>
      </c>
      <c r="B5634" s="30" t="s">
        <v>13285</v>
      </c>
      <c r="C5634" s="30" t="s">
        <v>3986</v>
      </c>
      <c r="D5634" s="30" t="s">
        <v>17</v>
      </c>
      <c r="E5634" s="30" t="s">
        <v>31</v>
      </c>
      <c r="F5634" s="30" t="s">
        <v>32</v>
      </c>
      <c r="G5634" s="30" t="s">
        <v>140</v>
      </c>
      <c r="H5634" s="32">
        <v>40</v>
      </c>
      <c r="I5634" s="30" t="s">
        <v>51</v>
      </c>
      <c r="J5634" s="41">
        <v>44336</v>
      </c>
      <c r="K5634" s="30" t="s">
        <v>22</v>
      </c>
    </row>
    <row r="5635" spans="1:11">
      <c r="A5635" s="33" t="s">
        <v>13286</v>
      </c>
      <c r="B5635" s="33" t="s">
        <v>13287</v>
      </c>
      <c r="C5635" s="33" t="s">
        <v>6379</v>
      </c>
      <c r="D5635" s="33" t="s">
        <v>17</v>
      </c>
      <c r="E5635" s="33" t="s">
        <v>31</v>
      </c>
      <c r="F5635" s="33" t="s">
        <v>32</v>
      </c>
      <c r="G5635" s="33" t="s">
        <v>20</v>
      </c>
      <c r="H5635" s="35">
        <v>101</v>
      </c>
      <c r="I5635" s="33" t="s">
        <v>21</v>
      </c>
      <c r="J5635" s="42">
        <v>44508</v>
      </c>
      <c r="K5635" s="33" t="s">
        <v>22</v>
      </c>
    </row>
    <row r="5636" spans="1:11">
      <c r="A5636" s="30" t="s">
        <v>13288</v>
      </c>
      <c r="B5636" s="30" t="s">
        <v>13289</v>
      </c>
      <c r="C5636" s="30" t="s">
        <v>13290</v>
      </c>
      <c r="D5636" s="30" t="s">
        <v>17</v>
      </c>
      <c r="E5636" s="30" t="s">
        <v>67</v>
      </c>
      <c r="F5636" s="30" t="s">
        <v>68</v>
      </c>
      <c r="G5636" s="30" t="s">
        <v>50</v>
      </c>
      <c r="H5636" s="32">
        <v>156</v>
      </c>
      <c r="I5636" s="30" t="s">
        <v>51</v>
      </c>
      <c r="J5636" s="41">
        <v>44390</v>
      </c>
      <c r="K5636" s="30" t="s">
        <v>22</v>
      </c>
    </row>
    <row r="5637" spans="1:11">
      <c r="A5637" s="33" t="s">
        <v>13291</v>
      </c>
      <c r="B5637" s="33" t="s">
        <v>13292</v>
      </c>
      <c r="C5637" s="33" t="s">
        <v>706</v>
      </c>
      <c r="D5637" s="33" t="s">
        <v>17</v>
      </c>
      <c r="E5637" s="33" t="s">
        <v>26</v>
      </c>
      <c r="F5637" s="33" t="s">
        <v>27</v>
      </c>
      <c r="G5637" s="33" t="s">
        <v>140</v>
      </c>
      <c r="H5637" s="35">
        <v>330</v>
      </c>
      <c r="I5637" s="33" t="s">
        <v>51</v>
      </c>
      <c r="J5637" s="42">
        <v>44376</v>
      </c>
      <c r="K5637" s="33" t="s">
        <v>22</v>
      </c>
    </row>
    <row r="5638" spans="1:11">
      <c r="A5638" s="30" t="s">
        <v>13293</v>
      </c>
      <c r="B5638" s="30" t="s">
        <v>13294</v>
      </c>
      <c r="C5638" s="30" t="s">
        <v>12549</v>
      </c>
      <c r="D5638" s="30" t="s">
        <v>17</v>
      </c>
      <c r="E5638" s="30" t="s">
        <v>31</v>
      </c>
      <c r="F5638" s="30" t="s">
        <v>32</v>
      </c>
      <c r="G5638" s="30" t="s">
        <v>106</v>
      </c>
      <c r="H5638" s="32">
        <v>7</v>
      </c>
      <c r="I5638" s="30" t="s">
        <v>21</v>
      </c>
      <c r="J5638" s="41">
        <v>44431</v>
      </c>
      <c r="K5638" s="30" t="s">
        <v>22</v>
      </c>
    </row>
    <row r="5639" spans="1:11">
      <c r="A5639" s="33" t="s">
        <v>13295</v>
      </c>
      <c r="B5639" s="33" t="s">
        <v>13296</v>
      </c>
      <c r="C5639" s="33" t="s">
        <v>13297</v>
      </c>
      <c r="D5639" s="33" t="s">
        <v>17</v>
      </c>
      <c r="E5639" s="33" t="s">
        <v>26</v>
      </c>
      <c r="F5639" s="33" t="s">
        <v>27</v>
      </c>
      <c r="G5639" s="33" t="s">
        <v>20</v>
      </c>
      <c r="H5639" s="35">
        <v>42</v>
      </c>
      <c r="I5639" s="33" t="s">
        <v>21</v>
      </c>
      <c r="J5639" s="42">
        <v>44369</v>
      </c>
      <c r="K5639" s="33" t="s">
        <v>22</v>
      </c>
    </row>
    <row r="5640" spans="1:11">
      <c r="A5640" s="30" t="s">
        <v>13298</v>
      </c>
      <c r="B5640" s="30" t="s">
        <v>13299</v>
      </c>
      <c r="C5640" s="30" t="s">
        <v>13300</v>
      </c>
      <c r="D5640" s="30" t="s">
        <v>17</v>
      </c>
      <c r="E5640" s="30" t="s">
        <v>26</v>
      </c>
      <c r="F5640" s="30" t="s">
        <v>27</v>
      </c>
      <c r="G5640" s="30" t="s">
        <v>20</v>
      </c>
      <c r="H5640" s="32">
        <v>135</v>
      </c>
      <c r="I5640" s="30" t="s">
        <v>21</v>
      </c>
      <c r="J5640" s="41">
        <v>44487</v>
      </c>
      <c r="K5640" s="30" t="s">
        <v>22</v>
      </c>
    </row>
    <row r="5641" spans="1:11">
      <c r="A5641" s="33" t="s">
        <v>13301</v>
      </c>
      <c r="B5641" s="33" t="s">
        <v>13302</v>
      </c>
      <c r="C5641" s="33" t="s">
        <v>684</v>
      </c>
      <c r="D5641" s="33" t="s">
        <v>17</v>
      </c>
      <c r="E5641" s="33" t="s">
        <v>26</v>
      </c>
      <c r="F5641" s="33" t="s">
        <v>27</v>
      </c>
      <c r="G5641" s="33" t="s">
        <v>106</v>
      </c>
      <c r="H5641" s="35">
        <v>21</v>
      </c>
      <c r="I5641" s="33" t="s">
        <v>21</v>
      </c>
      <c r="J5641" s="42">
        <v>44348</v>
      </c>
      <c r="K5641" s="33" t="s">
        <v>22</v>
      </c>
    </row>
    <row r="5642" spans="1:11">
      <c r="A5642" s="30" t="s">
        <v>13303</v>
      </c>
      <c r="B5642" s="30" t="s">
        <v>13304</v>
      </c>
      <c r="C5642" s="30" t="s">
        <v>13305</v>
      </c>
      <c r="D5642" s="30" t="s">
        <v>17</v>
      </c>
      <c r="E5642" s="30" t="s">
        <v>212</v>
      </c>
      <c r="F5642" s="30" t="s">
        <v>213</v>
      </c>
      <c r="G5642" s="30" t="s">
        <v>20</v>
      </c>
      <c r="H5642" s="32">
        <v>30</v>
      </c>
      <c r="I5642" s="30" t="s">
        <v>21</v>
      </c>
      <c r="J5642" s="41">
        <v>44538</v>
      </c>
      <c r="K5642" s="30" t="s">
        <v>22</v>
      </c>
    </row>
    <row r="5643" spans="1:11">
      <c r="A5643" s="33" t="s">
        <v>13306</v>
      </c>
      <c r="B5643" s="33" t="s">
        <v>13307</v>
      </c>
      <c r="C5643" s="33" t="s">
        <v>13308</v>
      </c>
      <c r="D5643" s="33" t="s">
        <v>17</v>
      </c>
      <c r="E5643" s="33" t="s">
        <v>31</v>
      </c>
      <c r="F5643" s="33" t="s">
        <v>32</v>
      </c>
      <c r="G5643" s="33" t="s">
        <v>20</v>
      </c>
      <c r="H5643" s="35">
        <v>43</v>
      </c>
      <c r="I5643" s="33" t="s">
        <v>21</v>
      </c>
      <c r="J5643" s="42">
        <v>44417</v>
      </c>
      <c r="K5643" s="33" t="s">
        <v>22</v>
      </c>
    </row>
    <row r="5644" spans="1:11">
      <c r="A5644" s="30" t="s">
        <v>13309</v>
      </c>
      <c r="B5644" s="30" t="s">
        <v>13310</v>
      </c>
      <c r="C5644" s="30" t="s">
        <v>102</v>
      </c>
      <c r="D5644" s="30" t="s">
        <v>17</v>
      </c>
      <c r="E5644" s="30" t="s">
        <v>26</v>
      </c>
      <c r="F5644" s="30" t="s">
        <v>27</v>
      </c>
      <c r="G5644" s="30" t="s">
        <v>20</v>
      </c>
      <c r="H5644" s="32">
        <v>24</v>
      </c>
      <c r="I5644" s="30" t="s">
        <v>21</v>
      </c>
      <c r="J5644" s="41">
        <v>44536</v>
      </c>
      <c r="K5644" s="30" t="s">
        <v>22</v>
      </c>
    </row>
    <row r="5645" spans="1:11">
      <c r="A5645" s="33" t="s">
        <v>13311</v>
      </c>
      <c r="B5645" s="33" t="s">
        <v>13312</v>
      </c>
      <c r="C5645" s="33" t="s">
        <v>5845</v>
      </c>
      <c r="D5645" s="33" t="s">
        <v>17</v>
      </c>
      <c r="E5645" s="33" t="s">
        <v>26</v>
      </c>
      <c r="F5645" s="33" t="s">
        <v>27</v>
      </c>
      <c r="G5645" s="33" t="s">
        <v>20</v>
      </c>
      <c r="H5645" s="35">
        <v>73</v>
      </c>
      <c r="I5645" s="33" t="s">
        <v>21</v>
      </c>
      <c r="J5645" s="42">
        <v>44487</v>
      </c>
      <c r="K5645" s="33" t="s">
        <v>22</v>
      </c>
    </row>
    <row r="5646" spans="1:11">
      <c r="A5646" s="30" t="s">
        <v>13313</v>
      </c>
      <c r="B5646" s="30" t="s">
        <v>13314</v>
      </c>
      <c r="C5646" s="30" t="s">
        <v>157</v>
      </c>
      <c r="D5646" s="30" t="s">
        <v>17</v>
      </c>
      <c r="E5646" s="30" t="s">
        <v>18</v>
      </c>
      <c r="F5646" s="30" t="s">
        <v>19</v>
      </c>
      <c r="G5646" s="30" t="s">
        <v>20</v>
      </c>
      <c r="H5646" s="32">
        <v>12</v>
      </c>
      <c r="I5646" s="30" t="s">
        <v>21</v>
      </c>
      <c r="J5646" s="41">
        <v>44237</v>
      </c>
      <c r="K5646" s="30" t="s">
        <v>22</v>
      </c>
    </row>
    <row r="5647" spans="1:11">
      <c r="A5647" s="33" t="s">
        <v>13315</v>
      </c>
      <c r="B5647" s="33" t="s">
        <v>13316</v>
      </c>
      <c r="C5647" s="33" t="s">
        <v>13317</v>
      </c>
      <c r="D5647" s="33" t="s">
        <v>17</v>
      </c>
      <c r="E5647" s="33" t="s">
        <v>26</v>
      </c>
      <c r="F5647" s="33" t="s">
        <v>27</v>
      </c>
      <c r="G5647" s="33" t="s">
        <v>20</v>
      </c>
      <c r="H5647" s="35">
        <v>96</v>
      </c>
      <c r="I5647" s="33" t="s">
        <v>21</v>
      </c>
      <c r="J5647" s="42">
        <v>44279</v>
      </c>
      <c r="K5647" s="33" t="s">
        <v>22</v>
      </c>
    </row>
    <row r="5648" spans="1:11">
      <c r="A5648" s="30" t="s">
        <v>13318</v>
      </c>
      <c r="B5648" s="30" t="s">
        <v>13319</v>
      </c>
      <c r="C5648" s="30" t="s">
        <v>96</v>
      </c>
      <c r="D5648" s="30" t="s">
        <v>17</v>
      </c>
      <c r="E5648" s="30" t="s">
        <v>212</v>
      </c>
      <c r="F5648" s="30" t="s">
        <v>213</v>
      </c>
      <c r="G5648" s="30" t="s">
        <v>20</v>
      </c>
      <c r="H5648" s="32">
        <v>53</v>
      </c>
      <c r="I5648" s="30" t="s">
        <v>21</v>
      </c>
      <c r="J5648" s="41">
        <v>44426</v>
      </c>
      <c r="K5648" s="30" t="s">
        <v>22</v>
      </c>
    </row>
    <row r="5649" spans="1:11">
      <c r="A5649" s="33" t="s">
        <v>13320</v>
      </c>
      <c r="B5649" s="33" t="s">
        <v>13321</v>
      </c>
      <c r="C5649" s="33" t="s">
        <v>698</v>
      </c>
      <c r="D5649" s="33" t="s">
        <v>17</v>
      </c>
      <c r="E5649" s="33" t="s">
        <v>31</v>
      </c>
      <c r="F5649" s="33" t="s">
        <v>32</v>
      </c>
      <c r="G5649" s="33" t="s">
        <v>158</v>
      </c>
      <c r="H5649" s="35">
        <v>161</v>
      </c>
      <c r="I5649" s="33" t="s">
        <v>21</v>
      </c>
      <c r="J5649" s="42">
        <v>44521</v>
      </c>
      <c r="K5649" s="33" t="s">
        <v>22</v>
      </c>
    </row>
    <row r="5650" spans="1:11">
      <c r="A5650" s="30" t="s">
        <v>13322</v>
      </c>
      <c r="B5650" s="30" t="s">
        <v>13323</v>
      </c>
      <c r="C5650" s="30" t="s">
        <v>96</v>
      </c>
      <c r="D5650" s="30" t="s">
        <v>17</v>
      </c>
      <c r="E5650" s="30" t="s">
        <v>26</v>
      </c>
      <c r="F5650" s="30" t="s">
        <v>27</v>
      </c>
      <c r="G5650" s="30" t="s">
        <v>20</v>
      </c>
      <c r="H5650" s="32">
        <v>6</v>
      </c>
      <c r="I5650" s="30" t="s">
        <v>21</v>
      </c>
      <c r="J5650" s="41">
        <v>44337</v>
      </c>
      <c r="K5650" s="30" t="s">
        <v>22</v>
      </c>
    </row>
    <row r="5651" spans="1:11">
      <c r="A5651" s="33" t="s">
        <v>13324</v>
      </c>
      <c r="B5651" s="33" t="s">
        <v>13325</v>
      </c>
      <c r="C5651" s="33" t="s">
        <v>87</v>
      </c>
      <c r="D5651" s="33" t="s">
        <v>17</v>
      </c>
      <c r="E5651" s="33" t="s">
        <v>31</v>
      </c>
      <c r="F5651" s="33" t="s">
        <v>32</v>
      </c>
      <c r="G5651" s="33" t="s">
        <v>20</v>
      </c>
      <c r="H5651" s="35">
        <v>126</v>
      </c>
      <c r="I5651" s="33" t="s">
        <v>21</v>
      </c>
      <c r="J5651" s="42">
        <v>44218</v>
      </c>
      <c r="K5651" s="33" t="s">
        <v>22</v>
      </c>
    </row>
    <row r="5652" spans="1:11">
      <c r="A5652" s="30" t="s">
        <v>13326</v>
      </c>
      <c r="B5652" s="30" t="s">
        <v>13327</v>
      </c>
      <c r="C5652" s="30" t="s">
        <v>203</v>
      </c>
      <c r="D5652" s="30" t="s">
        <v>17</v>
      </c>
      <c r="E5652" s="30" t="s">
        <v>212</v>
      </c>
      <c r="F5652" s="30" t="s">
        <v>213</v>
      </c>
      <c r="G5652" s="30" t="s">
        <v>20</v>
      </c>
      <c r="H5652" s="32">
        <v>53</v>
      </c>
      <c r="I5652" s="30" t="s">
        <v>21</v>
      </c>
      <c r="J5652" s="41">
        <v>44491</v>
      </c>
      <c r="K5652" s="30" t="s">
        <v>22</v>
      </c>
    </row>
    <row r="5653" spans="1:11">
      <c r="A5653" s="33" t="s">
        <v>13328</v>
      </c>
      <c r="B5653" s="33" t="s">
        <v>13329</v>
      </c>
      <c r="C5653" s="33" t="s">
        <v>13330</v>
      </c>
      <c r="D5653" s="33" t="s">
        <v>17</v>
      </c>
      <c r="E5653" s="33" t="s">
        <v>67</v>
      </c>
      <c r="F5653" s="33" t="s">
        <v>68</v>
      </c>
      <c r="G5653" s="33" t="s">
        <v>158</v>
      </c>
      <c r="H5653" s="35">
        <v>107</v>
      </c>
      <c r="I5653" s="33" t="s">
        <v>51</v>
      </c>
      <c r="J5653" s="42">
        <v>44523</v>
      </c>
      <c r="K5653" s="33" t="s">
        <v>22</v>
      </c>
    </row>
    <row r="5654" spans="1:11">
      <c r="A5654" s="30" t="s">
        <v>13331</v>
      </c>
      <c r="B5654" s="30" t="s">
        <v>13332</v>
      </c>
      <c r="C5654" s="30" t="s">
        <v>1523</v>
      </c>
      <c r="D5654" s="30" t="s">
        <v>17</v>
      </c>
      <c r="E5654" s="30" t="s">
        <v>26</v>
      </c>
      <c r="F5654" s="30" t="s">
        <v>27</v>
      </c>
      <c r="G5654" s="30" t="s">
        <v>20</v>
      </c>
      <c r="H5654" s="32">
        <v>86</v>
      </c>
      <c r="I5654" s="30" t="s">
        <v>21</v>
      </c>
      <c r="J5654" s="41">
        <v>44484</v>
      </c>
      <c r="K5654" s="30" t="s">
        <v>22</v>
      </c>
    </row>
    <row r="5655" spans="1:11">
      <c r="A5655" s="33" t="s">
        <v>13333</v>
      </c>
      <c r="B5655" s="33" t="s">
        <v>13334</v>
      </c>
      <c r="C5655" s="33" t="s">
        <v>13335</v>
      </c>
      <c r="D5655" s="33" t="s">
        <v>17</v>
      </c>
      <c r="E5655" s="33" t="s">
        <v>26</v>
      </c>
      <c r="F5655" s="33" t="s">
        <v>27</v>
      </c>
      <c r="G5655" s="33" t="s">
        <v>106</v>
      </c>
      <c r="H5655" s="35">
        <v>5</v>
      </c>
      <c r="I5655" s="33" t="s">
        <v>21</v>
      </c>
      <c r="J5655" s="42">
        <v>44280</v>
      </c>
      <c r="K5655" s="33" t="s">
        <v>22</v>
      </c>
    </row>
    <row r="5656" spans="1:11">
      <c r="A5656" s="30" t="s">
        <v>13336</v>
      </c>
      <c r="B5656" s="30" t="s">
        <v>13337</v>
      </c>
      <c r="C5656" s="30" t="s">
        <v>78</v>
      </c>
      <c r="D5656" s="30" t="s">
        <v>17</v>
      </c>
      <c r="E5656" s="30" t="s">
        <v>26</v>
      </c>
      <c r="F5656" s="30" t="s">
        <v>27</v>
      </c>
      <c r="G5656" s="30" t="s">
        <v>20</v>
      </c>
      <c r="H5656" s="32">
        <v>28</v>
      </c>
      <c r="I5656" s="30" t="s">
        <v>21</v>
      </c>
      <c r="J5656" s="41">
        <v>44307</v>
      </c>
      <c r="K5656" s="30" t="s">
        <v>22</v>
      </c>
    </row>
    <row r="5657" spans="1:11">
      <c r="A5657" s="33" t="s">
        <v>13338</v>
      </c>
      <c r="B5657" s="33" t="s">
        <v>13339</v>
      </c>
      <c r="C5657" s="33" t="s">
        <v>157</v>
      </c>
      <c r="D5657" s="33" t="s">
        <v>17</v>
      </c>
      <c r="E5657" s="33" t="s">
        <v>26</v>
      </c>
      <c r="F5657" s="33" t="s">
        <v>27</v>
      </c>
      <c r="G5657" s="33" t="s">
        <v>20</v>
      </c>
      <c r="H5657" s="35">
        <v>96</v>
      </c>
      <c r="I5657" s="33" t="s">
        <v>21</v>
      </c>
      <c r="J5657" s="42">
        <v>44529</v>
      </c>
      <c r="K5657" s="33" t="s">
        <v>22</v>
      </c>
    </row>
    <row r="5658" spans="1:11">
      <c r="A5658" s="30" t="s">
        <v>13340</v>
      </c>
      <c r="B5658" s="30" t="s">
        <v>13341</v>
      </c>
      <c r="C5658" s="30" t="s">
        <v>44</v>
      </c>
      <c r="D5658" s="30" t="s">
        <v>17</v>
      </c>
      <c r="E5658" s="30" t="s">
        <v>31</v>
      </c>
      <c r="F5658" s="30" t="s">
        <v>32</v>
      </c>
      <c r="G5658" s="30" t="s">
        <v>20</v>
      </c>
      <c r="H5658" s="32">
        <v>6</v>
      </c>
      <c r="I5658" s="30" t="s">
        <v>21</v>
      </c>
      <c r="J5658" s="41">
        <v>44385</v>
      </c>
      <c r="K5658" s="30" t="s">
        <v>22</v>
      </c>
    </row>
    <row r="5659" spans="1:11">
      <c r="A5659" s="33" t="s">
        <v>13342</v>
      </c>
      <c r="B5659" s="33" t="s">
        <v>13343</v>
      </c>
      <c r="C5659" s="33" t="s">
        <v>647</v>
      </c>
      <c r="D5659" s="33" t="s">
        <v>17</v>
      </c>
      <c r="E5659" s="33" t="s">
        <v>18</v>
      </c>
      <c r="F5659" s="33" t="s">
        <v>19</v>
      </c>
      <c r="G5659" s="33" t="s">
        <v>106</v>
      </c>
      <c r="H5659" s="35">
        <v>494</v>
      </c>
      <c r="I5659" s="33" t="s">
        <v>21</v>
      </c>
      <c r="J5659" s="42">
        <v>44270</v>
      </c>
      <c r="K5659" s="33" t="s">
        <v>22</v>
      </c>
    </row>
    <row r="5660" spans="1:11">
      <c r="A5660" s="30" t="s">
        <v>13344</v>
      </c>
      <c r="B5660" s="30" t="s">
        <v>13345</v>
      </c>
      <c r="C5660" s="30" t="s">
        <v>75</v>
      </c>
      <c r="D5660" s="30" t="s">
        <v>17</v>
      </c>
      <c r="E5660" s="30" t="s">
        <v>18</v>
      </c>
      <c r="F5660" s="30" t="s">
        <v>19</v>
      </c>
      <c r="G5660" s="30" t="s">
        <v>106</v>
      </c>
      <c r="H5660" s="32">
        <v>1093</v>
      </c>
      <c r="I5660" s="30" t="s">
        <v>21</v>
      </c>
      <c r="J5660" s="41">
        <v>44488</v>
      </c>
      <c r="K5660" s="30" t="s">
        <v>22</v>
      </c>
    </row>
    <row r="5661" spans="1:11">
      <c r="A5661" s="33" t="s">
        <v>13346</v>
      </c>
      <c r="B5661" s="33" t="s">
        <v>13347</v>
      </c>
      <c r="C5661" s="33" t="s">
        <v>13348</v>
      </c>
      <c r="D5661" s="33" t="s">
        <v>17</v>
      </c>
      <c r="E5661" s="33" t="s">
        <v>26</v>
      </c>
      <c r="F5661" s="33" t="s">
        <v>27</v>
      </c>
      <c r="G5661" s="33" t="s">
        <v>20</v>
      </c>
      <c r="H5661" s="35">
        <v>9</v>
      </c>
      <c r="I5661" s="33" t="s">
        <v>21</v>
      </c>
      <c r="J5661" s="42">
        <v>44221</v>
      </c>
      <c r="K5661" s="33" t="s">
        <v>22</v>
      </c>
    </row>
    <row r="5662" spans="1:11">
      <c r="A5662" s="30" t="s">
        <v>13349</v>
      </c>
      <c r="B5662" s="30" t="s">
        <v>13350</v>
      </c>
      <c r="C5662" s="30" t="s">
        <v>11332</v>
      </c>
      <c r="D5662" s="30" t="s">
        <v>17</v>
      </c>
      <c r="E5662" s="30" t="s">
        <v>18</v>
      </c>
      <c r="F5662" s="30" t="s">
        <v>19</v>
      </c>
      <c r="G5662" s="30" t="s">
        <v>158</v>
      </c>
      <c r="H5662" s="32">
        <v>600</v>
      </c>
      <c r="I5662" s="30" t="s">
        <v>21</v>
      </c>
      <c r="J5662" s="41">
        <v>44327</v>
      </c>
      <c r="K5662" s="30" t="s">
        <v>22</v>
      </c>
    </row>
    <row r="5663" spans="1:11">
      <c r="A5663" s="33" t="s">
        <v>13351</v>
      </c>
      <c r="B5663" s="33" t="s">
        <v>13352</v>
      </c>
      <c r="C5663" s="33" t="s">
        <v>13353</v>
      </c>
      <c r="D5663" s="33" t="s">
        <v>17</v>
      </c>
      <c r="E5663" s="33" t="s">
        <v>26</v>
      </c>
      <c r="F5663" s="33" t="s">
        <v>27</v>
      </c>
      <c r="G5663" s="33" t="s">
        <v>20</v>
      </c>
      <c r="H5663" s="35">
        <v>26</v>
      </c>
      <c r="I5663" s="33" t="s">
        <v>21</v>
      </c>
      <c r="J5663" s="42">
        <v>44400</v>
      </c>
      <c r="K5663" s="33" t="s">
        <v>22</v>
      </c>
    </row>
    <row r="5664" spans="1:11">
      <c r="A5664" s="30" t="s">
        <v>13354</v>
      </c>
      <c r="B5664" s="30" t="s">
        <v>13355</v>
      </c>
      <c r="C5664" s="30" t="s">
        <v>16</v>
      </c>
      <c r="D5664" s="30" t="s">
        <v>17</v>
      </c>
      <c r="E5664" s="30" t="s">
        <v>18</v>
      </c>
      <c r="F5664" s="30" t="s">
        <v>19</v>
      </c>
      <c r="G5664" s="30" t="s">
        <v>20</v>
      </c>
      <c r="H5664" s="32">
        <v>178</v>
      </c>
      <c r="I5664" s="30" t="s">
        <v>21</v>
      </c>
      <c r="J5664" s="41">
        <v>44212</v>
      </c>
      <c r="K5664" s="30" t="s">
        <v>22</v>
      </c>
    </row>
    <row r="5665" spans="1:11">
      <c r="A5665" s="33" t="s">
        <v>13356</v>
      </c>
      <c r="B5665" s="33" t="s">
        <v>13357</v>
      </c>
      <c r="C5665" s="33" t="s">
        <v>3610</v>
      </c>
      <c r="D5665" s="33" t="s">
        <v>17</v>
      </c>
      <c r="E5665" s="33" t="s">
        <v>26</v>
      </c>
      <c r="F5665" s="33" t="s">
        <v>27</v>
      </c>
      <c r="G5665" s="33" t="s">
        <v>20</v>
      </c>
      <c r="H5665" s="35">
        <v>24</v>
      </c>
      <c r="I5665" s="33" t="s">
        <v>21</v>
      </c>
      <c r="J5665" s="42">
        <v>44432</v>
      </c>
      <c r="K5665" s="33" t="s">
        <v>22</v>
      </c>
    </row>
    <row r="5666" spans="1:11">
      <c r="A5666" s="30" t="s">
        <v>13358</v>
      </c>
      <c r="B5666" s="30" t="s">
        <v>13359</v>
      </c>
      <c r="C5666" s="30" t="s">
        <v>4450</v>
      </c>
      <c r="D5666" s="30" t="s">
        <v>17</v>
      </c>
      <c r="E5666" s="30" t="s">
        <v>31</v>
      </c>
      <c r="F5666" s="30" t="s">
        <v>32</v>
      </c>
      <c r="G5666" s="30" t="s">
        <v>20</v>
      </c>
      <c r="H5666" s="32">
        <v>140</v>
      </c>
      <c r="I5666" s="30" t="s">
        <v>21</v>
      </c>
      <c r="J5666" s="41">
        <v>44363</v>
      </c>
      <c r="K5666" s="30" t="s">
        <v>22</v>
      </c>
    </row>
    <row r="5667" spans="1:11">
      <c r="A5667" s="33" t="s">
        <v>13360</v>
      </c>
      <c r="B5667" s="33" t="s">
        <v>13361</v>
      </c>
      <c r="C5667" s="33" t="s">
        <v>75</v>
      </c>
      <c r="D5667" s="33" t="s">
        <v>17</v>
      </c>
      <c r="E5667" s="33" t="s">
        <v>18</v>
      </c>
      <c r="F5667" s="33" t="s">
        <v>19</v>
      </c>
      <c r="G5667" s="33" t="s">
        <v>158</v>
      </c>
      <c r="H5667" s="35">
        <v>670</v>
      </c>
      <c r="I5667" s="33" t="s">
        <v>21</v>
      </c>
      <c r="J5667" s="42">
        <v>44390</v>
      </c>
      <c r="K5667" s="33" t="s">
        <v>22</v>
      </c>
    </row>
    <row r="5668" spans="1:11">
      <c r="A5668" s="30" t="s">
        <v>13362</v>
      </c>
      <c r="B5668" s="30" t="s">
        <v>13363</v>
      </c>
      <c r="C5668" s="30" t="s">
        <v>2514</v>
      </c>
      <c r="D5668" s="30" t="s">
        <v>17</v>
      </c>
      <c r="E5668" s="30" t="s">
        <v>31</v>
      </c>
      <c r="F5668" s="30" t="s">
        <v>32</v>
      </c>
      <c r="G5668" s="30" t="s">
        <v>106</v>
      </c>
      <c r="H5668" s="32">
        <v>12</v>
      </c>
      <c r="I5668" s="30" t="s">
        <v>21</v>
      </c>
      <c r="J5668" s="41">
        <v>44440</v>
      </c>
      <c r="K5668" s="30" t="s">
        <v>22</v>
      </c>
    </row>
    <row r="5669" spans="1:11">
      <c r="A5669" s="33" t="s">
        <v>13364</v>
      </c>
      <c r="B5669" s="33" t="s">
        <v>13365</v>
      </c>
      <c r="C5669" s="33" t="s">
        <v>231</v>
      </c>
      <c r="D5669" s="33" t="s">
        <v>17</v>
      </c>
      <c r="E5669" s="33" t="s">
        <v>18</v>
      </c>
      <c r="F5669" s="33" t="s">
        <v>19</v>
      </c>
      <c r="G5669" s="33" t="s">
        <v>20</v>
      </c>
      <c r="H5669" s="35">
        <v>611</v>
      </c>
      <c r="I5669" s="33" t="s">
        <v>21</v>
      </c>
      <c r="J5669" s="42">
        <v>44432</v>
      </c>
      <c r="K5669" s="33" t="s">
        <v>22</v>
      </c>
    </row>
    <row r="5670" spans="1:11">
      <c r="A5670" s="30" t="s">
        <v>13366</v>
      </c>
      <c r="B5670" s="30" t="s">
        <v>13367</v>
      </c>
      <c r="C5670" s="30" t="s">
        <v>13368</v>
      </c>
      <c r="D5670" s="30" t="s">
        <v>17</v>
      </c>
      <c r="E5670" s="30" t="s">
        <v>31</v>
      </c>
      <c r="F5670" s="30" t="s">
        <v>32</v>
      </c>
      <c r="G5670" s="30" t="s">
        <v>112</v>
      </c>
      <c r="H5670" s="32">
        <v>0</v>
      </c>
      <c r="I5670" s="30" t="s">
        <v>21</v>
      </c>
      <c r="J5670" s="41">
        <v>44197</v>
      </c>
      <c r="K5670" s="30" t="s">
        <v>22</v>
      </c>
    </row>
    <row r="5671" spans="1:11">
      <c r="A5671" s="33" t="s">
        <v>13369</v>
      </c>
      <c r="B5671" s="33" t="s">
        <v>13370</v>
      </c>
      <c r="C5671" s="33" t="s">
        <v>310</v>
      </c>
      <c r="D5671" s="33" t="s">
        <v>17</v>
      </c>
      <c r="E5671" s="33" t="s">
        <v>18</v>
      </c>
      <c r="F5671" s="33" t="s">
        <v>19</v>
      </c>
      <c r="G5671" s="33" t="s">
        <v>20</v>
      </c>
      <c r="H5671" s="35">
        <v>679</v>
      </c>
      <c r="I5671" s="33" t="s">
        <v>21</v>
      </c>
      <c r="J5671" s="42">
        <v>44530</v>
      </c>
      <c r="K5671" s="33" t="s">
        <v>22</v>
      </c>
    </row>
    <row r="5672" spans="1:11">
      <c r="A5672" s="30" t="s">
        <v>13371</v>
      </c>
      <c r="B5672" s="30" t="s">
        <v>13372</v>
      </c>
      <c r="C5672" s="30" t="s">
        <v>6205</v>
      </c>
      <c r="D5672" s="30" t="s">
        <v>17</v>
      </c>
      <c r="E5672" s="30" t="s">
        <v>212</v>
      </c>
      <c r="F5672" s="30" t="s">
        <v>213</v>
      </c>
      <c r="G5672" s="30" t="s">
        <v>20</v>
      </c>
      <c r="H5672" s="32">
        <v>340</v>
      </c>
      <c r="I5672" s="30" t="s">
        <v>21</v>
      </c>
      <c r="J5672" s="41">
        <v>44489</v>
      </c>
      <c r="K5672" s="30" t="s">
        <v>22</v>
      </c>
    </row>
    <row r="5673" spans="1:11">
      <c r="A5673" s="33" t="s">
        <v>13373</v>
      </c>
      <c r="B5673" s="33" t="s">
        <v>13374</v>
      </c>
      <c r="C5673" s="33" t="s">
        <v>310</v>
      </c>
      <c r="D5673" s="33" t="s">
        <v>17</v>
      </c>
      <c r="E5673" s="33" t="s">
        <v>18</v>
      </c>
      <c r="F5673" s="33" t="s">
        <v>19</v>
      </c>
      <c r="G5673" s="33" t="s">
        <v>20</v>
      </c>
      <c r="H5673" s="35">
        <v>110</v>
      </c>
      <c r="I5673" s="33" t="s">
        <v>21</v>
      </c>
      <c r="J5673" s="42">
        <v>44399</v>
      </c>
      <c r="K5673" s="33" t="s">
        <v>22</v>
      </c>
    </row>
    <row r="5674" spans="1:11">
      <c r="A5674" s="30" t="s">
        <v>13375</v>
      </c>
      <c r="B5674" s="30" t="s">
        <v>13376</v>
      </c>
      <c r="C5674" s="30" t="s">
        <v>969</v>
      </c>
      <c r="D5674" s="30" t="s">
        <v>17</v>
      </c>
      <c r="E5674" s="30" t="s">
        <v>31</v>
      </c>
      <c r="F5674" s="30" t="s">
        <v>32</v>
      </c>
      <c r="G5674" s="30" t="s">
        <v>106</v>
      </c>
      <c r="H5674" s="32">
        <v>6</v>
      </c>
      <c r="I5674" s="30" t="s">
        <v>21</v>
      </c>
      <c r="J5674" s="41">
        <v>44341</v>
      </c>
      <c r="K5674" s="30" t="s">
        <v>22</v>
      </c>
    </row>
    <row r="5675" spans="1:11">
      <c r="A5675" s="33" t="s">
        <v>13377</v>
      </c>
      <c r="B5675" s="33" t="s">
        <v>13378</v>
      </c>
      <c r="C5675" s="33" t="s">
        <v>13379</v>
      </c>
      <c r="D5675" s="33" t="s">
        <v>17</v>
      </c>
      <c r="E5675" s="33" t="s">
        <v>67</v>
      </c>
      <c r="F5675" s="33" t="s">
        <v>68</v>
      </c>
      <c r="G5675" s="33" t="s">
        <v>112</v>
      </c>
      <c r="H5675" s="35">
        <v>0</v>
      </c>
      <c r="I5675" s="33" t="s">
        <v>21</v>
      </c>
      <c r="J5675" s="42">
        <v>44501</v>
      </c>
      <c r="K5675" s="33" t="s">
        <v>22</v>
      </c>
    </row>
    <row r="5676" spans="1:11">
      <c r="A5676" s="30" t="s">
        <v>13380</v>
      </c>
      <c r="B5676" s="30" t="s">
        <v>13381</v>
      </c>
      <c r="C5676" s="30" t="s">
        <v>13382</v>
      </c>
      <c r="D5676" s="30" t="s">
        <v>17</v>
      </c>
      <c r="E5676" s="30" t="s">
        <v>26</v>
      </c>
      <c r="F5676" s="30" t="s">
        <v>27</v>
      </c>
      <c r="G5676" s="30" t="s">
        <v>20</v>
      </c>
      <c r="H5676" s="32">
        <v>101</v>
      </c>
      <c r="I5676" s="30" t="s">
        <v>21</v>
      </c>
      <c r="J5676" s="41">
        <v>44243</v>
      </c>
      <c r="K5676" s="30" t="s">
        <v>22</v>
      </c>
    </row>
    <row r="5677" spans="1:11">
      <c r="A5677" s="33" t="s">
        <v>13383</v>
      </c>
      <c r="B5677" s="33" t="s">
        <v>13384</v>
      </c>
      <c r="C5677" s="33" t="s">
        <v>9911</v>
      </c>
      <c r="D5677" s="33" t="s">
        <v>17</v>
      </c>
      <c r="E5677" s="33" t="s">
        <v>18</v>
      </c>
      <c r="F5677" s="33" t="s">
        <v>19</v>
      </c>
      <c r="G5677" s="33" t="s">
        <v>20</v>
      </c>
      <c r="H5677" s="35">
        <v>278</v>
      </c>
      <c r="I5677" s="33" t="s">
        <v>21</v>
      </c>
      <c r="J5677" s="42">
        <v>44286</v>
      </c>
      <c r="K5677" s="33" t="s">
        <v>22</v>
      </c>
    </row>
    <row r="5678" spans="1:11">
      <c r="A5678" s="30" t="s">
        <v>13385</v>
      </c>
      <c r="B5678" s="30" t="s">
        <v>13386</v>
      </c>
      <c r="C5678" s="30" t="s">
        <v>75</v>
      </c>
      <c r="D5678" s="30" t="s">
        <v>17</v>
      </c>
      <c r="E5678" s="30" t="s">
        <v>18</v>
      </c>
      <c r="F5678" s="30" t="s">
        <v>19</v>
      </c>
      <c r="G5678" s="30" t="s">
        <v>158</v>
      </c>
      <c r="H5678" s="32">
        <v>338</v>
      </c>
      <c r="I5678" s="30" t="s">
        <v>21</v>
      </c>
      <c r="J5678" s="41">
        <v>44454</v>
      </c>
      <c r="K5678" s="30" t="s">
        <v>22</v>
      </c>
    </row>
    <row r="5679" spans="1:11">
      <c r="A5679" s="33" t="s">
        <v>13387</v>
      </c>
      <c r="B5679" s="33" t="s">
        <v>13388</v>
      </c>
      <c r="C5679" s="33" t="s">
        <v>684</v>
      </c>
      <c r="D5679" s="33" t="s">
        <v>17</v>
      </c>
      <c r="E5679" s="33" t="s">
        <v>26</v>
      </c>
      <c r="F5679" s="33" t="s">
        <v>27</v>
      </c>
      <c r="G5679" s="33" t="s">
        <v>20</v>
      </c>
      <c r="H5679" s="35">
        <v>40</v>
      </c>
      <c r="I5679" s="33" t="s">
        <v>21</v>
      </c>
      <c r="J5679" s="42">
        <v>44215</v>
      </c>
      <c r="K5679" s="33" t="s">
        <v>22</v>
      </c>
    </row>
    <row r="5680" spans="1:11">
      <c r="A5680" s="30" t="s">
        <v>13389</v>
      </c>
      <c r="B5680" s="30" t="s">
        <v>13390</v>
      </c>
      <c r="C5680" s="30" t="s">
        <v>187</v>
      </c>
      <c r="D5680" s="30" t="s">
        <v>17</v>
      </c>
      <c r="E5680" s="30" t="s">
        <v>31</v>
      </c>
      <c r="F5680" s="30" t="s">
        <v>32</v>
      </c>
      <c r="G5680" s="30" t="s">
        <v>50</v>
      </c>
      <c r="H5680" s="32">
        <v>90</v>
      </c>
      <c r="I5680" s="30" t="s">
        <v>51</v>
      </c>
      <c r="J5680" s="41">
        <v>44309</v>
      </c>
      <c r="K5680" s="30" t="s">
        <v>22</v>
      </c>
    </row>
    <row r="5681" spans="1:11">
      <c r="A5681" s="33" t="s">
        <v>13391</v>
      </c>
      <c r="B5681" s="33" t="s">
        <v>13392</v>
      </c>
      <c r="C5681" s="33" t="s">
        <v>10459</v>
      </c>
      <c r="D5681" s="33" t="s">
        <v>17</v>
      </c>
      <c r="E5681" s="33" t="s">
        <v>330</v>
      </c>
      <c r="F5681" s="33" t="s">
        <v>331</v>
      </c>
      <c r="G5681" s="33" t="s">
        <v>140</v>
      </c>
      <c r="H5681" s="35">
        <v>50</v>
      </c>
      <c r="I5681" s="33" t="s">
        <v>51</v>
      </c>
      <c r="J5681" s="42">
        <v>44465</v>
      </c>
      <c r="K5681" s="33" t="s">
        <v>22</v>
      </c>
    </row>
    <row r="5682" spans="1:11">
      <c r="A5682" s="30" t="s">
        <v>13393</v>
      </c>
      <c r="B5682" s="30" t="s">
        <v>13394</v>
      </c>
      <c r="C5682" s="30" t="s">
        <v>154</v>
      </c>
      <c r="D5682" s="30" t="s">
        <v>17</v>
      </c>
      <c r="E5682" s="30" t="s">
        <v>31</v>
      </c>
      <c r="F5682" s="30" t="s">
        <v>32</v>
      </c>
      <c r="G5682" s="30" t="s">
        <v>20</v>
      </c>
      <c r="H5682" s="32">
        <v>84</v>
      </c>
      <c r="I5682" s="30" t="s">
        <v>21</v>
      </c>
      <c r="J5682" s="41">
        <v>44305</v>
      </c>
      <c r="K5682" s="30" t="s">
        <v>22</v>
      </c>
    </row>
    <row r="5683" spans="1:11">
      <c r="A5683" s="33" t="s">
        <v>13395</v>
      </c>
      <c r="B5683" s="33" t="s">
        <v>13396</v>
      </c>
      <c r="C5683" s="33" t="s">
        <v>1219</v>
      </c>
      <c r="D5683" s="33" t="s">
        <v>17</v>
      </c>
      <c r="E5683" s="33" t="s">
        <v>26</v>
      </c>
      <c r="F5683" s="33" t="s">
        <v>27</v>
      </c>
      <c r="G5683" s="33" t="s">
        <v>106</v>
      </c>
      <c r="H5683" s="35">
        <v>16</v>
      </c>
      <c r="I5683" s="33" t="s">
        <v>21</v>
      </c>
      <c r="J5683" s="42">
        <v>44298</v>
      </c>
      <c r="K5683" s="33" t="s">
        <v>22</v>
      </c>
    </row>
    <row r="5684" spans="1:11">
      <c r="A5684" s="30" t="s">
        <v>13397</v>
      </c>
      <c r="B5684" s="30" t="s">
        <v>13398</v>
      </c>
      <c r="C5684" s="30" t="s">
        <v>11001</v>
      </c>
      <c r="D5684" s="30" t="s">
        <v>17</v>
      </c>
      <c r="E5684" s="30" t="s">
        <v>31</v>
      </c>
      <c r="F5684" s="30" t="s">
        <v>32</v>
      </c>
      <c r="G5684" s="30" t="s">
        <v>50</v>
      </c>
      <c r="H5684" s="32">
        <v>34</v>
      </c>
      <c r="I5684" s="30" t="s">
        <v>21</v>
      </c>
      <c r="J5684" s="41">
        <v>44413</v>
      </c>
      <c r="K5684" s="30" t="s">
        <v>22</v>
      </c>
    </row>
    <row r="5685" spans="1:11">
      <c r="A5685" s="33" t="s">
        <v>13399</v>
      </c>
      <c r="B5685" s="33" t="s">
        <v>13400</v>
      </c>
      <c r="C5685" s="33" t="s">
        <v>1523</v>
      </c>
      <c r="D5685" s="33" t="s">
        <v>17</v>
      </c>
      <c r="E5685" s="33" t="s">
        <v>26</v>
      </c>
      <c r="F5685" s="33" t="s">
        <v>27</v>
      </c>
      <c r="G5685" s="33" t="s">
        <v>20</v>
      </c>
      <c r="H5685" s="35">
        <v>34</v>
      </c>
      <c r="I5685" s="33" t="s">
        <v>21</v>
      </c>
      <c r="J5685" s="42">
        <v>44332</v>
      </c>
      <c r="K5685" s="33" t="s">
        <v>22</v>
      </c>
    </row>
    <row r="5686" spans="1:11">
      <c r="A5686" s="30" t="s">
        <v>13401</v>
      </c>
      <c r="B5686" s="30" t="s">
        <v>13402</v>
      </c>
      <c r="C5686" s="30" t="s">
        <v>647</v>
      </c>
      <c r="D5686" s="30" t="s">
        <v>17</v>
      </c>
      <c r="E5686" s="30" t="s">
        <v>31</v>
      </c>
      <c r="F5686" s="30" t="s">
        <v>32</v>
      </c>
      <c r="G5686" s="30" t="s">
        <v>20</v>
      </c>
      <c r="H5686" s="32">
        <v>66</v>
      </c>
      <c r="I5686" s="30" t="s">
        <v>21</v>
      </c>
      <c r="J5686" s="41">
        <v>44354</v>
      </c>
      <c r="K5686" s="30" t="s">
        <v>22</v>
      </c>
    </row>
    <row r="5687" spans="1:11">
      <c r="A5687" s="33" t="s">
        <v>13403</v>
      </c>
      <c r="B5687" s="33" t="s">
        <v>13404</v>
      </c>
      <c r="C5687" s="33" t="s">
        <v>3641</v>
      </c>
      <c r="D5687" s="33" t="s">
        <v>17</v>
      </c>
      <c r="E5687" s="33" t="s">
        <v>31</v>
      </c>
      <c r="F5687" s="33" t="s">
        <v>32</v>
      </c>
      <c r="G5687" s="33" t="s">
        <v>106</v>
      </c>
      <c r="H5687" s="35">
        <v>3</v>
      </c>
      <c r="I5687" s="33" t="s">
        <v>21</v>
      </c>
      <c r="J5687" s="42">
        <v>44536</v>
      </c>
      <c r="K5687" s="33" t="s">
        <v>22</v>
      </c>
    </row>
    <row r="5688" spans="1:11">
      <c r="A5688" s="30" t="s">
        <v>13405</v>
      </c>
      <c r="B5688" s="30" t="s">
        <v>13406</v>
      </c>
      <c r="C5688" s="30" t="s">
        <v>13407</v>
      </c>
      <c r="D5688" s="30" t="s">
        <v>17</v>
      </c>
      <c r="E5688" s="30" t="s">
        <v>31</v>
      </c>
      <c r="F5688" s="30" t="s">
        <v>32</v>
      </c>
      <c r="G5688" s="30" t="s">
        <v>106</v>
      </c>
      <c r="H5688" s="32">
        <v>133</v>
      </c>
      <c r="I5688" s="30" t="s">
        <v>21</v>
      </c>
      <c r="J5688" s="41">
        <v>44298</v>
      </c>
      <c r="K5688" s="30" t="s">
        <v>22</v>
      </c>
    </row>
    <row r="5689" spans="1:11">
      <c r="A5689" s="33" t="s">
        <v>13408</v>
      </c>
      <c r="B5689" s="33" t="s">
        <v>13409</v>
      </c>
      <c r="C5689" s="33" t="s">
        <v>11899</v>
      </c>
      <c r="D5689" s="33" t="s">
        <v>17</v>
      </c>
      <c r="E5689" s="33" t="s">
        <v>31</v>
      </c>
      <c r="F5689" s="33" t="s">
        <v>32</v>
      </c>
      <c r="G5689" s="33" t="s">
        <v>20</v>
      </c>
      <c r="H5689" s="35">
        <v>112</v>
      </c>
      <c r="I5689" s="33" t="s">
        <v>21</v>
      </c>
      <c r="J5689" s="42">
        <v>44491</v>
      </c>
      <c r="K5689" s="33" t="s">
        <v>22</v>
      </c>
    </row>
    <row r="5690" spans="1:11">
      <c r="A5690" s="30" t="s">
        <v>13410</v>
      </c>
      <c r="B5690" s="30" t="s">
        <v>13411</v>
      </c>
      <c r="C5690" s="30" t="s">
        <v>318</v>
      </c>
      <c r="D5690" s="30" t="s">
        <v>17</v>
      </c>
      <c r="E5690" s="30" t="s">
        <v>26</v>
      </c>
      <c r="F5690" s="30" t="s">
        <v>27</v>
      </c>
      <c r="G5690" s="30" t="s">
        <v>20</v>
      </c>
      <c r="H5690" s="32">
        <v>20</v>
      </c>
      <c r="I5690" s="30" t="s">
        <v>21</v>
      </c>
      <c r="J5690" s="41">
        <v>44308</v>
      </c>
      <c r="K5690" s="30" t="s">
        <v>22</v>
      </c>
    </row>
    <row r="5691" spans="1:11">
      <c r="A5691" s="33" t="s">
        <v>13412</v>
      </c>
      <c r="B5691" s="33" t="s">
        <v>13413</v>
      </c>
      <c r="C5691" s="33" t="s">
        <v>3270</v>
      </c>
      <c r="D5691" s="33" t="s">
        <v>17</v>
      </c>
      <c r="E5691" s="33" t="s">
        <v>26</v>
      </c>
      <c r="F5691" s="33" t="s">
        <v>27</v>
      </c>
      <c r="G5691" s="33" t="s">
        <v>158</v>
      </c>
      <c r="H5691" s="35">
        <v>54</v>
      </c>
      <c r="I5691" s="33" t="s">
        <v>21</v>
      </c>
      <c r="J5691" s="42">
        <v>44389</v>
      </c>
      <c r="K5691" s="33" t="s">
        <v>22</v>
      </c>
    </row>
    <row r="5692" spans="1:11">
      <c r="A5692" s="30" t="s">
        <v>13414</v>
      </c>
      <c r="B5692" s="30" t="s">
        <v>13415</v>
      </c>
      <c r="C5692" s="30" t="s">
        <v>3647</v>
      </c>
      <c r="D5692" s="30" t="s">
        <v>17</v>
      </c>
      <c r="E5692" s="30" t="s">
        <v>18</v>
      </c>
      <c r="F5692" s="30" t="s">
        <v>19</v>
      </c>
      <c r="G5692" s="30" t="s">
        <v>106</v>
      </c>
      <c r="H5692" s="32">
        <v>33</v>
      </c>
      <c r="I5692" s="30" t="s">
        <v>21</v>
      </c>
      <c r="J5692" s="41">
        <v>44334</v>
      </c>
      <c r="K5692" s="30" t="s">
        <v>22</v>
      </c>
    </row>
    <row r="5693" spans="1:11">
      <c r="A5693" s="33" t="s">
        <v>13416</v>
      </c>
      <c r="B5693" s="33" t="s">
        <v>13417</v>
      </c>
      <c r="C5693" s="33" t="s">
        <v>3698</v>
      </c>
      <c r="D5693" s="33" t="s">
        <v>17</v>
      </c>
      <c r="E5693" s="33" t="s">
        <v>31</v>
      </c>
      <c r="F5693" s="33" t="s">
        <v>32</v>
      </c>
      <c r="G5693" s="33" t="s">
        <v>106</v>
      </c>
      <c r="H5693" s="35">
        <v>2</v>
      </c>
      <c r="I5693" s="33" t="s">
        <v>21</v>
      </c>
      <c r="J5693" s="42">
        <v>44341</v>
      </c>
      <c r="K5693" s="33" t="s">
        <v>22</v>
      </c>
    </row>
    <row r="5694" spans="1:11">
      <c r="A5694" s="30" t="s">
        <v>13418</v>
      </c>
      <c r="B5694" s="30" t="s">
        <v>13419</v>
      </c>
      <c r="C5694" s="30" t="s">
        <v>13420</v>
      </c>
      <c r="D5694" s="30" t="s">
        <v>17</v>
      </c>
      <c r="E5694" s="30" t="s">
        <v>31</v>
      </c>
      <c r="F5694" s="30" t="s">
        <v>32</v>
      </c>
      <c r="G5694" s="30" t="s">
        <v>106</v>
      </c>
      <c r="H5694" s="32">
        <v>21</v>
      </c>
      <c r="I5694" s="30" t="s">
        <v>21</v>
      </c>
      <c r="J5694" s="41">
        <v>44260</v>
      </c>
      <c r="K5694" s="30" t="s">
        <v>22</v>
      </c>
    </row>
    <row r="5695" spans="1:11">
      <c r="A5695" s="33" t="s">
        <v>13421</v>
      </c>
      <c r="B5695" s="33" t="s">
        <v>13422</v>
      </c>
      <c r="C5695" s="33" t="s">
        <v>771</v>
      </c>
      <c r="D5695" s="33" t="s">
        <v>17</v>
      </c>
      <c r="E5695" s="33" t="s">
        <v>26</v>
      </c>
      <c r="F5695" s="33" t="s">
        <v>27</v>
      </c>
      <c r="G5695" s="33" t="s">
        <v>106</v>
      </c>
      <c r="H5695" s="35">
        <v>19</v>
      </c>
      <c r="I5695" s="33" t="s">
        <v>21</v>
      </c>
      <c r="J5695" s="42">
        <v>44358</v>
      </c>
      <c r="K5695" s="33" t="s">
        <v>22</v>
      </c>
    </row>
    <row r="5696" spans="1:11">
      <c r="A5696" s="30" t="s">
        <v>13423</v>
      </c>
      <c r="B5696" s="30" t="s">
        <v>13424</v>
      </c>
      <c r="C5696" s="30" t="s">
        <v>13425</v>
      </c>
      <c r="D5696" s="30" t="s">
        <v>17</v>
      </c>
      <c r="E5696" s="30" t="s">
        <v>18</v>
      </c>
      <c r="F5696" s="30" t="s">
        <v>19</v>
      </c>
      <c r="G5696" s="30" t="s">
        <v>20</v>
      </c>
      <c r="H5696" s="32">
        <v>755</v>
      </c>
      <c r="I5696" s="30" t="s">
        <v>21</v>
      </c>
      <c r="J5696" s="41">
        <v>44361</v>
      </c>
      <c r="K5696" s="30" t="s">
        <v>22</v>
      </c>
    </row>
    <row r="5697" spans="1:11">
      <c r="A5697" s="33" t="s">
        <v>13426</v>
      </c>
      <c r="B5697" s="33" t="s">
        <v>13427</v>
      </c>
      <c r="C5697" s="33" t="s">
        <v>13428</v>
      </c>
      <c r="D5697" s="33" t="s">
        <v>17</v>
      </c>
      <c r="E5697" s="33" t="s">
        <v>18</v>
      </c>
      <c r="F5697" s="33" t="s">
        <v>19</v>
      </c>
      <c r="G5697" s="33" t="s">
        <v>158</v>
      </c>
      <c r="H5697" s="35">
        <v>1000</v>
      </c>
      <c r="I5697" s="33" t="s">
        <v>51</v>
      </c>
      <c r="J5697" s="42">
        <v>44427</v>
      </c>
      <c r="K5697" s="33" t="s">
        <v>22</v>
      </c>
    </row>
    <row r="5698" spans="1:11">
      <c r="A5698" s="30" t="s">
        <v>13429</v>
      </c>
      <c r="B5698" s="30" t="s">
        <v>13430</v>
      </c>
      <c r="C5698" s="30" t="s">
        <v>13431</v>
      </c>
      <c r="D5698" s="30" t="s">
        <v>17</v>
      </c>
      <c r="E5698" s="30" t="s">
        <v>26</v>
      </c>
      <c r="F5698" s="30" t="s">
        <v>27</v>
      </c>
      <c r="G5698" s="30" t="s">
        <v>20</v>
      </c>
      <c r="H5698" s="32">
        <v>10</v>
      </c>
      <c r="I5698" s="30" t="s">
        <v>21</v>
      </c>
      <c r="J5698" s="41">
        <v>44326</v>
      </c>
      <c r="K5698" s="30" t="s">
        <v>22</v>
      </c>
    </row>
    <row r="5699" spans="1:11">
      <c r="A5699" s="33" t="s">
        <v>13432</v>
      </c>
      <c r="B5699" s="33" t="s">
        <v>13433</v>
      </c>
      <c r="C5699" s="33" t="s">
        <v>13434</v>
      </c>
      <c r="D5699" s="33" t="s">
        <v>17</v>
      </c>
      <c r="E5699" s="33" t="s">
        <v>67</v>
      </c>
      <c r="F5699" s="33" t="s">
        <v>68</v>
      </c>
      <c r="G5699" s="33" t="s">
        <v>50</v>
      </c>
      <c r="H5699" s="35">
        <v>153</v>
      </c>
      <c r="I5699" s="33" t="s">
        <v>21</v>
      </c>
      <c r="J5699" s="42">
        <v>44445</v>
      </c>
      <c r="K5699" s="33" t="s">
        <v>22</v>
      </c>
    </row>
    <row r="5700" spans="1:11">
      <c r="A5700" s="30" t="s">
        <v>13435</v>
      </c>
      <c r="B5700" s="30" t="s">
        <v>13436</v>
      </c>
      <c r="C5700" s="30" t="s">
        <v>10613</v>
      </c>
      <c r="D5700" s="30" t="s">
        <v>17</v>
      </c>
      <c r="E5700" s="30" t="s">
        <v>26</v>
      </c>
      <c r="F5700" s="30" t="s">
        <v>27</v>
      </c>
      <c r="G5700" s="30" t="s">
        <v>20</v>
      </c>
      <c r="H5700" s="32">
        <v>8</v>
      </c>
      <c r="I5700" s="30" t="s">
        <v>21</v>
      </c>
      <c r="J5700" s="41">
        <v>44553</v>
      </c>
      <c r="K5700" s="30" t="s">
        <v>22</v>
      </c>
    </row>
    <row r="5701" spans="1:11">
      <c r="A5701" s="33" t="s">
        <v>13437</v>
      </c>
      <c r="B5701" s="33" t="s">
        <v>13438</v>
      </c>
      <c r="C5701" s="33" t="s">
        <v>1228</v>
      </c>
      <c r="D5701" s="33" t="s">
        <v>17</v>
      </c>
      <c r="E5701" s="33" t="s">
        <v>31</v>
      </c>
      <c r="F5701" s="33" t="s">
        <v>32</v>
      </c>
      <c r="G5701" s="33" t="s">
        <v>20</v>
      </c>
      <c r="H5701" s="35">
        <v>328</v>
      </c>
      <c r="I5701" s="33" t="s">
        <v>21</v>
      </c>
      <c r="J5701" s="42">
        <v>44475</v>
      </c>
      <c r="K5701" s="33" t="s">
        <v>22</v>
      </c>
    </row>
    <row r="5702" spans="1:11">
      <c r="A5702" s="30" t="s">
        <v>13439</v>
      </c>
      <c r="B5702" s="30" t="s">
        <v>13440</v>
      </c>
      <c r="C5702" s="30" t="s">
        <v>203</v>
      </c>
      <c r="D5702" s="30" t="s">
        <v>17</v>
      </c>
      <c r="E5702" s="30" t="s">
        <v>31</v>
      </c>
      <c r="F5702" s="30" t="s">
        <v>32</v>
      </c>
      <c r="G5702" s="30" t="s">
        <v>20</v>
      </c>
      <c r="H5702" s="32">
        <v>78</v>
      </c>
      <c r="I5702" s="30" t="s">
        <v>21</v>
      </c>
      <c r="J5702" s="41">
        <v>44287</v>
      </c>
      <c r="K5702" s="30" t="s">
        <v>22</v>
      </c>
    </row>
    <row r="5703" spans="1:11">
      <c r="A5703" s="33" t="s">
        <v>13441</v>
      </c>
      <c r="B5703" s="33" t="s">
        <v>13442</v>
      </c>
      <c r="C5703" s="33" t="s">
        <v>1498</v>
      </c>
      <c r="D5703" s="33" t="s">
        <v>17</v>
      </c>
      <c r="E5703" s="33" t="s">
        <v>18</v>
      </c>
      <c r="F5703" s="33" t="s">
        <v>19</v>
      </c>
      <c r="G5703" s="33" t="s">
        <v>20</v>
      </c>
      <c r="H5703" s="35">
        <v>348</v>
      </c>
      <c r="I5703" s="33" t="s">
        <v>21</v>
      </c>
      <c r="J5703" s="42">
        <v>44399</v>
      </c>
      <c r="K5703" s="33" t="s">
        <v>22</v>
      </c>
    </row>
    <row r="5704" spans="1:11">
      <c r="A5704" s="30" t="s">
        <v>13443</v>
      </c>
      <c r="B5704" s="30" t="s">
        <v>13444</v>
      </c>
      <c r="C5704" s="30" t="s">
        <v>13445</v>
      </c>
      <c r="D5704" s="30" t="s">
        <v>17</v>
      </c>
      <c r="E5704" s="30" t="s">
        <v>18</v>
      </c>
      <c r="F5704" s="30" t="s">
        <v>19</v>
      </c>
      <c r="G5704" s="30" t="s">
        <v>20</v>
      </c>
      <c r="H5704" s="32">
        <v>107</v>
      </c>
      <c r="I5704" s="30" t="s">
        <v>21</v>
      </c>
      <c r="J5704" s="41">
        <v>44321</v>
      </c>
      <c r="K5704" s="30" t="s">
        <v>22</v>
      </c>
    </row>
    <row r="5705" spans="1:11">
      <c r="A5705" s="33" t="s">
        <v>13446</v>
      </c>
      <c r="B5705" s="33" t="s">
        <v>13447</v>
      </c>
      <c r="C5705" s="33" t="s">
        <v>178</v>
      </c>
      <c r="D5705" s="33" t="s">
        <v>17</v>
      </c>
      <c r="E5705" s="33" t="s">
        <v>26</v>
      </c>
      <c r="F5705" s="33" t="s">
        <v>27</v>
      </c>
      <c r="G5705" s="33" t="s">
        <v>20</v>
      </c>
      <c r="H5705" s="35">
        <v>80</v>
      </c>
      <c r="I5705" s="33" t="s">
        <v>21</v>
      </c>
      <c r="J5705" s="42">
        <v>44334</v>
      </c>
      <c r="K5705" s="33" t="s">
        <v>22</v>
      </c>
    </row>
    <row r="5706" spans="1:11">
      <c r="A5706" s="30" t="s">
        <v>13448</v>
      </c>
      <c r="B5706" s="30" t="s">
        <v>13449</v>
      </c>
      <c r="C5706" s="30" t="s">
        <v>13450</v>
      </c>
      <c r="D5706" s="30" t="s">
        <v>17</v>
      </c>
      <c r="E5706" s="30" t="s">
        <v>26</v>
      </c>
      <c r="F5706" s="30" t="s">
        <v>27</v>
      </c>
      <c r="G5706" s="30" t="s">
        <v>140</v>
      </c>
      <c r="H5706" s="32">
        <v>930</v>
      </c>
      <c r="I5706" s="30" t="s">
        <v>51</v>
      </c>
      <c r="J5706" s="41">
        <v>44538</v>
      </c>
      <c r="K5706" s="30" t="s">
        <v>22</v>
      </c>
    </row>
    <row r="5707" spans="1:11">
      <c r="A5707" s="33" t="s">
        <v>13451</v>
      </c>
      <c r="B5707" s="33" t="s">
        <v>13452</v>
      </c>
      <c r="C5707" s="33" t="s">
        <v>709</v>
      </c>
      <c r="D5707" s="33" t="s">
        <v>17</v>
      </c>
      <c r="E5707" s="33" t="s">
        <v>26</v>
      </c>
      <c r="F5707" s="33" t="s">
        <v>27</v>
      </c>
      <c r="G5707" s="33" t="s">
        <v>20</v>
      </c>
      <c r="H5707" s="35">
        <v>20</v>
      </c>
      <c r="I5707" s="33" t="s">
        <v>21</v>
      </c>
      <c r="J5707" s="42">
        <v>44427</v>
      </c>
      <c r="K5707" s="33" t="s">
        <v>22</v>
      </c>
    </row>
    <row r="5708" spans="1:11">
      <c r="A5708" s="30" t="s">
        <v>13453</v>
      </c>
      <c r="B5708" s="30" t="s">
        <v>13454</v>
      </c>
      <c r="C5708" s="30" t="s">
        <v>130</v>
      </c>
      <c r="D5708" s="30" t="s">
        <v>17</v>
      </c>
      <c r="E5708" s="30" t="s">
        <v>26</v>
      </c>
      <c r="F5708" s="30" t="s">
        <v>27</v>
      </c>
      <c r="G5708" s="30" t="s">
        <v>20</v>
      </c>
      <c r="H5708" s="32">
        <v>21</v>
      </c>
      <c r="I5708" s="30" t="s">
        <v>21</v>
      </c>
      <c r="J5708" s="41">
        <v>44284</v>
      </c>
      <c r="K5708" s="30" t="s">
        <v>22</v>
      </c>
    </row>
    <row r="5709" spans="1:11">
      <c r="A5709" s="33" t="s">
        <v>13455</v>
      </c>
      <c r="B5709" s="33" t="s">
        <v>13456</v>
      </c>
      <c r="C5709" s="33" t="s">
        <v>81</v>
      </c>
      <c r="D5709" s="33" t="s">
        <v>17</v>
      </c>
      <c r="E5709" s="33" t="s">
        <v>26</v>
      </c>
      <c r="F5709" s="33" t="s">
        <v>27</v>
      </c>
      <c r="G5709" s="33" t="s">
        <v>106</v>
      </c>
      <c r="H5709" s="35">
        <v>71</v>
      </c>
      <c r="I5709" s="33" t="s">
        <v>21</v>
      </c>
      <c r="J5709" s="42">
        <v>44439</v>
      </c>
      <c r="K5709" s="33" t="s">
        <v>22</v>
      </c>
    </row>
    <row r="5710" spans="1:11">
      <c r="A5710" s="30" t="s">
        <v>13457</v>
      </c>
      <c r="B5710" s="30" t="s">
        <v>13458</v>
      </c>
      <c r="C5710" s="30" t="s">
        <v>44</v>
      </c>
      <c r="D5710" s="30" t="s">
        <v>17</v>
      </c>
      <c r="E5710" s="30" t="s">
        <v>31</v>
      </c>
      <c r="F5710" s="30" t="s">
        <v>32</v>
      </c>
      <c r="G5710" s="30" t="s">
        <v>20</v>
      </c>
      <c r="H5710" s="32">
        <v>24</v>
      </c>
      <c r="I5710" s="30" t="s">
        <v>21</v>
      </c>
      <c r="J5710" s="41">
        <v>44406</v>
      </c>
      <c r="K5710" s="30" t="s">
        <v>22</v>
      </c>
    </row>
    <row r="5711" spans="1:11">
      <c r="A5711" s="33" t="s">
        <v>13459</v>
      </c>
      <c r="B5711" s="33" t="s">
        <v>13460</v>
      </c>
      <c r="C5711" s="33" t="s">
        <v>13461</v>
      </c>
      <c r="D5711" s="33" t="s">
        <v>17</v>
      </c>
      <c r="E5711" s="33" t="s">
        <v>67</v>
      </c>
      <c r="F5711" s="33" t="s">
        <v>68</v>
      </c>
      <c r="G5711" s="33" t="s">
        <v>20</v>
      </c>
      <c r="H5711" s="35">
        <v>35</v>
      </c>
      <c r="I5711" s="33" t="s">
        <v>21</v>
      </c>
      <c r="J5711" s="42">
        <v>44508</v>
      </c>
      <c r="K5711" s="33" t="s">
        <v>22</v>
      </c>
    </row>
    <row r="5712" spans="1:11">
      <c r="A5712" s="30" t="s">
        <v>13462</v>
      </c>
      <c r="B5712" s="30" t="s">
        <v>13463</v>
      </c>
      <c r="C5712" s="30" t="s">
        <v>13464</v>
      </c>
      <c r="D5712" s="30" t="s">
        <v>17</v>
      </c>
      <c r="E5712" s="30" t="s">
        <v>26</v>
      </c>
      <c r="F5712" s="30" t="s">
        <v>27</v>
      </c>
      <c r="G5712" s="30" t="s">
        <v>50</v>
      </c>
      <c r="H5712" s="32">
        <v>100</v>
      </c>
      <c r="I5712" s="30" t="s">
        <v>51</v>
      </c>
      <c r="J5712" s="41">
        <v>44531</v>
      </c>
      <c r="K5712" s="30" t="s">
        <v>22</v>
      </c>
    </row>
    <row r="5713" spans="1:11">
      <c r="A5713" s="33" t="s">
        <v>13465</v>
      </c>
      <c r="B5713" s="33" t="s">
        <v>13466</v>
      </c>
      <c r="C5713" s="33" t="s">
        <v>2272</v>
      </c>
      <c r="D5713" s="33" t="s">
        <v>17</v>
      </c>
      <c r="E5713" s="33" t="s">
        <v>212</v>
      </c>
      <c r="F5713" s="33" t="s">
        <v>213</v>
      </c>
      <c r="G5713" s="33" t="s">
        <v>20</v>
      </c>
      <c r="H5713" s="35">
        <v>56</v>
      </c>
      <c r="I5713" s="33" t="s">
        <v>21</v>
      </c>
      <c r="J5713" s="42">
        <v>44560</v>
      </c>
      <c r="K5713" s="33" t="s">
        <v>22</v>
      </c>
    </row>
    <row r="5714" spans="1:11">
      <c r="A5714" s="30" t="s">
        <v>13467</v>
      </c>
      <c r="B5714" s="30" t="s">
        <v>13468</v>
      </c>
      <c r="C5714" s="30" t="s">
        <v>231</v>
      </c>
      <c r="D5714" s="30" t="s">
        <v>17</v>
      </c>
      <c r="E5714" s="30" t="s">
        <v>26</v>
      </c>
      <c r="F5714" s="30" t="s">
        <v>27</v>
      </c>
      <c r="G5714" s="30" t="s">
        <v>158</v>
      </c>
      <c r="H5714" s="32">
        <v>608</v>
      </c>
      <c r="I5714" s="30" t="s">
        <v>21</v>
      </c>
      <c r="J5714" s="41">
        <v>44379</v>
      </c>
      <c r="K5714" s="30" t="s">
        <v>22</v>
      </c>
    </row>
    <row r="5715" spans="1:11">
      <c r="A5715" s="33" t="s">
        <v>13469</v>
      </c>
      <c r="B5715" s="33" t="s">
        <v>13470</v>
      </c>
      <c r="C5715" s="33" t="s">
        <v>13471</v>
      </c>
      <c r="D5715" s="33" t="s">
        <v>17</v>
      </c>
      <c r="E5715" s="33" t="s">
        <v>26</v>
      </c>
      <c r="F5715" s="33" t="s">
        <v>27</v>
      </c>
      <c r="G5715" s="33" t="s">
        <v>50</v>
      </c>
      <c r="H5715" s="35">
        <v>144</v>
      </c>
      <c r="I5715" s="33" t="s">
        <v>21</v>
      </c>
      <c r="J5715" s="42">
        <v>44408</v>
      </c>
      <c r="K5715" s="33" t="s">
        <v>22</v>
      </c>
    </row>
    <row r="5716" spans="1:11">
      <c r="A5716" s="30" t="s">
        <v>13472</v>
      </c>
      <c r="B5716" s="30" t="s">
        <v>13473</v>
      </c>
      <c r="C5716" s="30" t="s">
        <v>231</v>
      </c>
      <c r="D5716" s="30" t="s">
        <v>17</v>
      </c>
      <c r="E5716" s="30" t="s">
        <v>26</v>
      </c>
      <c r="F5716" s="30" t="s">
        <v>27</v>
      </c>
      <c r="G5716" s="30" t="s">
        <v>20</v>
      </c>
      <c r="H5716" s="32">
        <v>13</v>
      </c>
      <c r="I5716" s="30" t="s">
        <v>21</v>
      </c>
      <c r="J5716" s="41">
        <v>44524</v>
      </c>
      <c r="K5716" s="30" t="s">
        <v>22</v>
      </c>
    </row>
    <row r="5717" spans="1:11">
      <c r="A5717" s="33" t="s">
        <v>13474</v>
      </c>
      <c r="B5717" s="33" t="s">
        <v>13475</v>
      </c>
      <c r="C5717" s="33" t="s">
        <v>647</v>
      </c>
      <c r="D5717" s="33" t="s">
        <v>17</v>
      </c>
      <c r="E5717" s="33" t="s">
        <v>18</v>
      </c>
      <c r="F5717" s="33" t="s">
        <v>19</v>
      </c>
      <c r="G5717" s="33" t="s">
        <v>20</v>
      </c>
      <c r="H5717" s="35">
        <v>314</v>
      </c>
      <c r="I5717" s="33" t="s">
        <v>21</v>
      </c>
      <c r="J5717" s="42">
        <v>44333</v>
      </c>
      <c r="K5717" s="33" t="s">
        <v>22</v>
      </c>
    </row>
    <row r="5718" spans="1:11">
      <c r="A5718" s="30" t="s">
        <v>13476</v>
      </c>
      <c r="B5718" s="30" t="s">
        <v>13477</v>
      </c>
      <c r="C5718" s="30" t="s">
        <v>3238</v>
      </c>
      <c r="D5718" s="30" t="s">
        <v>17</v>
      </c>
      <c r="E5718" s="30" t="s">
        <v>26</v>
      </c>
      <c r="F5718" s="30" t="s">
        <v>27</v>
      </c>
      <c r="G5718" s="30" t="s">
        <v>106</v>
      </c>
      <c r="H5718" s="32">
        <v>7</v>
      </c>
      <c r="I5718" s="30" t="s">
        <v>21</v>
      </c>
      <c r="J5718" s="41">
        <v>44557</v>
      </c>
      <c r="K5718" s="30" t="s">
        <v>22</v>
      </c>
    </row>
    <row r="5719" spans="1:11">
      <c r="A5719" s="33" t="s">
        <v>13478</v>
      </c>
      <c r="B5719" s="33" t="s">
        <v>13479</v>
      </c>
      <c r="C5719" s="33" t="s">
        <v>130</v>
      </c>
      <c r="D5719" s="33" t="s">
        <v>17</v>
      </c>
      <c r="E5719" s="33" t="s">
        <v>31</v>
      </c>
      <c r="F5719" s="33" t="s">
        <v>32</v>
      </c>
      <c r="G5719" s="33" t="s">
        <v>20</v>
      </c>
      <c r="H5719" s="35">
        <v>77</v>
      </c>
      <c r="I5719" s="33" t="s">
        <v>21</v>
      </c>
      <c r="J5719" s="42">
        <v>44510</v>
      </c>
      <c r="K5719" s="33" t="s">
        <v>22</v>
      </c>
    </row>
    <row r="5720" spans="1:11">
      <c r="A5720" s="30" t="s">
        <v>13480</v>
      </c>
      <c r="B5720" s="30" t="s">
        <v>13481</v>
      </c>
      <c r="C5720" s="30" t="s">
        <v>2978</v>
      </c>
      <c r="D5720" s="30" t="s">
        <v>17</v>
      </c>
      <c r="E5720" s="30" t="s">
        <v>67</v>
      </c>
      <c r="F5720" s="30" t="s">
        <v>68</v>
      </c>
      <c r="G5720" s="30" t="s">
        <v>50</v>
      </c>
      <c r="H5720" s="32">
        <v>90</v>
      </c>
      <c r="I5720" s="30" t="s">
        <v>51</v>
      </c>
      <c r="J5720" s="41">
        <v>44398</v>
      </c>
      <c r="K5720" s="30" t="s">
        <v>22</v>
      </c>
    </row>
    <row r="5721" spans="1:11">
      <c r="A5721" s="33" t="s">
        <v>13482</v>
      </c>
      <c r="B5721" s="33" t="s">
        <v>13483</v>
      </c>
      <c r="C5721" s="33" t="s">
        <v>1764</v>
      </c>
      <c r="D5721" s="33" t="s">
        <v>17</v>
      </c>
      <c r="E5721" s="33" t="s">
        <v>18</v>
      </c>
      <c r="F5721" s="33" t="s">
        <v>19</v>
      </c>
      <c r="G5721" s="33" t="s">
        <v>20</v>
      </c>
      <c r="H5721" s="35">
        <v>80</v>
      </c>
      <c r="I5721" s="33" t="s">
        <v>21</v>
      </c>
      <c r="J5721" s="42">
        <v>44487</v>
      </c>
      <c r="K5721" s="33" t="s">
        <v>22</v>
      </c>
    </row>
    <row r="5722" spans="1:11">
      <c r="A5722" s="30" t="s">
        <v>13484</v>
      </c>
      <c r="B5722" s="30" t="s">
        <v>13485</v>
      </c>
      <c r="C5722" s="30" t="s">
        <v>4260</v>
      </c>
      <c r="D5722" s="30" t="s">
        <v>17</v>
      </c>
      <c r="E5722" s="30" t="s">
        <v>18</v>
      </c>
      <c r="F5722" s="30" t="s">
        <v>19</v>
      </c>
      <c r="G5722" s="30" t="s">
        <v>20</v>
      </c>
      <c r="H5722" s="32">
        <v>174</v>
      </c>
      <c r="I5722" s="30" t="s">
        <v>21</v>
      </c>
      <c r="J5722" s="41">
        <v>44523</v>
      </c>
      <c r="K5722" s="30" t="s">
        <v>22</v>
      </c>
    </row>
    <row r="5723" spans="1:11">
      <c r="A5723" s="33" t="s">
        <v>13486</v>
      </c>
      <c r="B5723" s="33" t="s">
        <v>13487</v>
      </c>
      <c r="C5723" s="33" t="s">
        <v>1207</v>
      </c>
      <c r="D5723" s="33" t="s">
        <v>17</v>
      </c>
      <c r="E5723" s="33" t="s">
        <v>18</v>
      </c>
      <c r="F5723" s="33" t="s">
        <v>19</v>
      </c>
      <c r="G5723" s="33" t="s">
        <v>20</v>
      </c>
      <c r="H5723" s="35">
        <v>152</v>
      </c>
      <c r="I5723" s="33" t="s">
        <v>21</v>
      </c>
      <c r="J5723" s="42">
        <v>44531</v>
      </c>
      <c r="K5723" s="33" t="s">
        <v>22</v>
      </c>
    </row>
    <row r="5724" spans="1:11">
      <c r="A5724" s="30" t="s">
        <v>13488</v>
      </c>
      <c r="B5724" s="30" t="s">
        <v>13489</v>
      </c>
      <c r="C5724" s="30" t="s">
        <v>190</v>
      </c>
      <c r="D5724" s="30" t="s">
        <v>17</v>
      </c>
      <c r="E5724" s="30" t="s">
        <v>26</v>
      </c>
      <c r="F5724" s="30" t="s">
        <v>27</v>
      </c>
      <c r="G5724" s="30" t="s">
        <v>20</v>
      </c>
      <c r="H5724" s="32">
        <v>15</v>
      </c>
      <c r="I5724" s="30" t="s">
        <v>21</v>
      </c>
      <c r="J5724" s="41">
        <v>44404</v>
      </c>
      <c r="K5724" s="30" t="s">
        <v>22</v>
      </c>
    </row>
    <row r="5725" spans="1:11">
      <c r="A5725" s="33" t="s">
        <v>13490</v>
      </c>
      <c r="B5725" s="33" t="s">
        <v>13491</v>
      </c>
      <c r="C5725" s="33" t="s">
        <v>13492</v>
      </c>
      <c r="D5725" s="33" t="s">
        <v>17</v>
      </c>
      <c r="E5725" s="33" t="s">
        <v>31</v>
      </c>
      <c r="F5725" s="33" t="s">
        <v>32</v>
      </c>
      <c r="G5725" s="33" t="s">
        <v>106</v>
      </c>
      <c r="H5725" s="35">
        <v>63</v>
      </c>
      <c r="I5725" s="33" t="s">
        <v>21</v>
      </c>
      <c r="J5725" s="42">
        <v>44550</v>
      </c>
      <c r="K5725" s="33" t="s">
        <v>22</v>
      </c>
    </row>
    <row r="5726" spans="1:11">
      <c r="A5726" s="30" t="s">
        <v>13493</v>
      </c>
      <c r="B5726" s="30" t="s">
        <v>13494</v>
      </c>
      <c r="C5726" s="30" t="s">
        <v>13495</v>
      </c>
      <c r="D5726" s="30" t="s">
        <v>17</v>
      </c>
      <c r="E5726" s="30" t="s">
        <v>26</v>
      </c>
      <c r="F5726" s="30" t="s">
        <v>27</v>
      </c>
      <c r="G5726" s="30" t="s">
        <v>50</v>
      </c>
      <c r="H5726" s="32">
        <v>8</v>
      </c>
      <c r="I5726" s="30" t="s">
        <v>21</v>
      </c>
      <c r="J5726" s="41">
        <v>44271</v>
      </c>
      <c r="K5726" s="30" t="s">
        <v>22</v>
      </c>
    </row>
    <row r="5727" spans="1:11">
      <c r="A5727" s="33" t="s">
        <v>13496</v>
      </c>
      <c r="B5727" s="33" t="s">
        <v>13497</v>
      </c>
      <c r="C5727" s="33" t="s">
        <v>603</v>
      </c>
      <c r="D5727" s="33" t="s">
        <v>17</v>
      </c>
      <c r="E5727" s="33" t="s">
        <v>26</v>
      </c>
      <c r="F5727" s="33" t="s">
        <v>27</v>
      </c>
      <c r="G5727" s="33" t="s">
        <v>20</v>
      </c>
      <c r="H5727" s="35">
        <v>29</v>
      </c>
      <c r="I5727" s="33" t="s">
        <v>21</v>
      </c>
      <c r="J5727" s="42">
        <v>44215</v>
      </c>
      <c r="K5727" s="33" t="s">
        <v>22</v>
      </c>
    </row>
    <row r="5728" spans="1:11">
      <c r="A5728" s="30" t="s">
        <v>13498</v>
      </c>
      <c r="B5728" s="30" t="s">
        <v>13499</v>
      </c>
      <c r="C5728" s="30" t="s">
        <v>9577</v>
      </c>
      <c r="D5728" s="30" t="s">
        <v>17</v>
      </c>
      <c r="E5728" s="30" t="s">
        <v>31</v>
      </c>
      <c r="F5728" s="30" t="s">
        <v>32</v>
      </c>
      <c r="G5728" s="30" t="s">
        <v>50</v>
      </c>
      <c r="H5728" s="32">
        <v>50</v>
      </c>
      <c r="I5728" s="30" t="s">
        <v>51</v>
      </c>
      <c r="J5728" s="41">
        <v>44301</v>
      </c>
      <c r="K5728" s="30" t="s">
        <v>22</v>
      </c>
    </row>
    <row r="5729" spans="1:11">
      <c r="A5729" s="33" t="s">
        <v>13500</v>
      </c>
      <c r="B5729" s="33" t="s">
        <v>13501</v>
      </c>
      <c r="C5729" s="33" t="s">
        <v>2612</v>
      </c>
      <c r="D5729" s="33" t="s">
        <v>17</v>
      </c>
      <c r="E5729" s="33" t="s">
        <v>67</v>
      </c>
      <c r="F5729" s="33" t="s">
        <v>68</v>
      </c>
      <c r="G5729" s="33" t="s">
        <v>158</v>
      </c>
      <c r="H5729" s="35">
        <v>82</v>
      </c>
      <c r="I5729" s="33" t="s">
        <v>51</v>
      </c>
      <c r="J5729" s="42">
        <v>44466</v>
      </c>
      <c r="K5729" s="33" t="s">
        <v>22</v>
      </c>
    </row>
    <row r="5730" spans="1:11">
      <c r="A5730" s="30" t="s">
        <v>13502</v>
      </c>
      <c r="B5730" s="30" t="s">
        <v>13503</v>
      </c>
      <c r="C5730" s="30" t="s">
        <v>60</v>
      </c>
      <c r="D5730" s="30" t="s">
        <v>17</v>
      </c>
      <c r="E5730" s="30" t="s">
        <v>18</v>
      </c>
      <c r="F5730" s="30" t="s">
        <v>19</v>
      </c>
      <c r="G5730" s="30" t="s">
        <v>20</v>
      </c>
      <c r="H5730" s="32">
        <v>597</v>
      </c>
      <c r="I5730" s="30" t="s">
        <v>21</v>
      </c>
      <c r="J5730" s="41">
        <v>44496</v>
      </c>
      <c r="K5730" s="30" t="s">
        <v>22</v>
      </c>
    </row>
    <row r="5731" spans="1:11">
      <c r="A5731" s="33" t="s">
        <v>13504</v>
      </c>
      <c r="B5731" s="33" t="s">
        <v>13505</v>
      </c>
      <c r="C5731" s="33" t="s">
        <v>957</v>
      </c>
      <c r="D5731" s="33" t="s">
        <v>17</v>
      </c>
      <c r="E5731" s="33" t="s">
        <v>26</v>
      </c>
      <c r="F5731" s="33" t="s">
        <v>27</v>
      </c>
      <c r="G5731" s="33" t="s">
        <v>20</v>
      </c>
      <c r="H5731" s="35">
        <v>16</v>
      </c>
      <c r="I5731" s="33" t="s">
        <v>21</v>
      </c>
      <c r="J5731" s="42">
        <v>44390</v>
      </c>
      <c r="K5731" s="33" t="s">
        <v>22</v>
      </c>
    </row>
    <row r="5732" spans="1:11">
      <c r="A5732" s="30" t="s">
        <v>13506</v>
      </c>
      <c r="B5732" s="30" t="s">
        <v>13507</v>
      </c>
      <c r="C5732" s="30" t="s">
        <v>13508</v>
      </c>
      <c r="D5732" s="30" t="s">
        <v>17</v>
      </c>
      <c r="E5732" s="30" t="s">
        <v>26</v>
      </c>
      <c r="F5732" s="30" t="s">
        <v>27</v>
      </c>
      <c r="G5732" s="30" t="s">
        <v>158</v>
      </c>
      <c r="H5732" s="32">
        <v>61</v>
      </c>
      <c r="I5732" s="30" t="s">
        <v>21</v>
      </c>
      <c r="J5732" s="41">
        <v>44504</v>
      </c>
      <c r="K5732" s="30" t="s">
        <v>22</v>
      </c>
    </row>
    <row r="5733" spans="1:11">
      <c r="A5733" s="33" t="s">
        <v>13509</v>
      </c>
      <c r="B5733" s="33" t="s">
        <v>13510</v>
      </c>
      <c r="C5733" s="33" t="s">
        <v>647</v>
      </c>
      <c r="D5733" s="33" t="s">
        <v>17</v>
      </c>
      <c r="E5733" s="33" t="s">
        <v>67</v>
      </c>
      <c r="F5733" s="33" t="s">
        <v>68</v>
      </c>
      <c r="G5733" s="33" t="s">
        <v>158</v>
      </c>
      <c r="H5733" s="35">
        <v>110</v>
      </c>
      <c r="I5733" s="33" t="s">
        <v>51</v>
      </c>
      <c r="J5733" s="42">
        <v>44427</v>
      </c>
      <c r="K5733" s="33" t="s">
        <v>22</v>
      </c>
    </row>
    <row r="5734" spans="1:11">
      <c r="A5734" s="30" t="s">
        <v>13511</v>
      </c>
      <c r="B5734" s="30" t="s">
        <v>13512</v>
      </c>
      <c r="C5734" s="30" t="s">
        <v>231</v>
      </c>
      <c r="D5734" s="30" t="s">
        <v>17</v>
      </c>
      <c r="E5734" s="30" t="s">
        <v>31</v>
      </c>
      <c r="F5734" s="30" t="s">
        <v>32</v>
      </c>
      <c r="G5734" s="30" t="s">
        <v>20</v>
      </c>
      <c r="H5734" s="32">
        <v>52</v>
      </c>
      <c r="I5734" s="30" t="s">
        <v>21</v>
      </c>
      <c r="J5734" s="41">
        <v>44292</v>
      </c>
      <c r="K5734" s="30" t="s">
        <v>22</v>
      </c>
    </row>
    <row r="5735" spans="1:11">
      <c r="A5735" s="33" t="s">
        <v>13513</v>
      </c>
      <c r="B5735" s="33" t="s">
        <v>13514</v>
      </c>
      <c r="C5735" s="33" t="s">
        <v>1003</v>
      </c>
      <c r="D5735" s="33" t="s">
        <v>17</v>
      </c>
      <c r="E5735" s="33" t="s">
        <v>18</v>
      </c>
      <c r="F5735" s="33" t="s">
        <v>19</v>
      </c>
      <c r="G5735" s="33" t="s">
        <v>20</v>
      </c>
      <c r="H5735" s="35">
        <v>105</v>
      </c>
      <c r="I5735" s="33" t="s">
        <v>21</v>
      </c>
      <c r="J5735" s="42">
        <v>44232</v>
      </c>
      <c r="K5735" s="33" t="s">
        <v>22</v>
      </c>
    </row>
    <row r="5736" spans="1:11">
      <c r="A5736" s="30" t="s">
        <v>13515</v>
      </c>
      <c r="B5736" s="30" t="s">
        <v>13516</v>
      </c>
      <c r="C5736" s="30" t="s">
        <v>13517</v>
      </c>
      <c r="D5736" s="30" t="s">
        <v>17</v>
      </c>
      <c r="E5736" s="30" t="s">
        <v>31</v>
      </c>
      <c r="F5736" s="30" t="s">
        <v>32</v>
      </c>
      <c r="G5736" s="30" t="s">
        <v>20</v>
      </c>
      <c r="H5736" s="32">
        <v>31</v>
      </c>
      <c r="I5736" s="30" t="s">
        <v>21</v>
      </c>
      <c r="J5736" s="41">
        <v>44226</v>
      </c>
      <c r="K5736" s="30" t="s">
        <v>22</v>
      </c>
    </row>
    <row r="5737" spans="1:11">
      <c r="A5737" s="33" t="s">
        <v>13518</v>
      </c>
      <c r="B5737" s="33" t="s">
        <v>13519</v>
      </c>
      <c r="C5737" s="33" t="s">
        <v>13520</v>
      </c>
      <c r="D5737" s="33" t="s">
        <v>17</v>
      </c>
      <c r="E5737" s="33" t="s">
        <v>31</v>
      </c>
      <c r="F5737" s="33" t="s">
        <v>32</v>
      </c>
      <c r="G5737" s="33" t="s">
        <v>20</v>
      </c>
      <c r="H5737" s="35">
        <v>74</v>
      </c>
      <c r="I5737" s="33" t="s">
        <v>21</v>
      </c>
      <c r="J5737" s="42">
        <v>44230</v>
      </c>
      <c r="K5737" s="33" t="s">
        <v>22</v>
      </c>
    </row>
    <row r="5738" spans="1:11">
      <c r="A5738" s="30" t="s">
        <v>13521</v>
      </c>
      <c r="B5738" s="30" t="s">
        <v>13522</v>
      </c>
      <c r="C5738" s="30" t="s">
        <v>310</v>
      </c>
      <c r="D5738" s="30" t="s">
        <v>17</v>
      </c>
      <c r="E5738" s="30" t="s">
        <v>18</v>
      </c>
      <c r="F5738" s="30" t="s">
        <v>19</v>
      </c>
      <c r="G5738" s="30" t="s">
        <v>20</v>
      </c>
      <c r="H5738" s="32">
        <v>526</v>
      </c>
      <c r="I5738" s="30" t="s">
        <v>21</v>
      </c>
      <c r="J5738" s="41">
        <v>44260</v>
      </c>
      <c r="K5738" s="30" t="s">
        <v>22</v>
      </c>
    </row>
    <row r="5739" spans="1:11">
      <c r="A5739" s="33" t="s">
        <v>13523</v>
      </c>
      <c r="B5739" s="33" t="s">
        <v>13524</v>
      </c>
      <c r="C5739" s="33" t="s">
        <v>7831</v>
      </c>
      <c r="D5739" s="33" t="s">
        <v>17</v>
      </c>
      <c r="E5739" s="33" t="s">
        <v>67</v>
      </c>
      <c r="F5739" s="33" t="s">
        <v>68</v>
      </c>
      <c r="G5739" s="33" t="s">
        <v>106</v>
      </c>
      <c r="H5739" s="35">
        <v>5</v>
      </c>
      <c r="I5739" s="33" t="s">
        <v>21</v>
      </c>
      <c r="J5739" s="42">
        <v>44229</v>
      </c>
      <c r="K5739" s="33" t="s">
        <v>22</v>
      </c>
    </row>
    <row r="5740" spans="1:11">
      <c r="A5740" s="30" t="s">
        <v>13525</v>
      </c>
      <c r="B5740" s="30" t="s">
        <v>13526</v>
      </c>
      <c r="C5740" s="30" t="s">
        <v>78</v>
      </c>
      <c r="D5740" s="30" t="s">
        <v>17</v>
      </c>
      <c r="E5740" s="30" t="s">
        <v>212</v>
      </c>
      <c r="F5740" s="30" t="s">
        <v>213</v>
      </c>
      <c r="G5740" s="30" t="s">
        <v>50</v>
      </c>
      <c r="H5740" s="32">
        <v>158</v>
      </c>
      <c r="I5740" s="30" t="s">
        <v>51</v>
      </c>
      <c r="J5740" s="41">
        <v>44197</v>
      </c>
      <c r="K5740" s="30" t="s">
        <v>22</v>
      </c>
    </row>
    <row r="5741" spans="1:11">
      <c r="A5741" s="33" t="s">
        <v>13527</v>
      </c>
      <c r="B5741" s="33" t="s">
        <v>13528</v>
      </c>
      <c r="C5741" s="33" t="s">
        <v>96</v>
      </c>
      <c r="D5741" s="33" t="s">
        <v>17</v>
      </c>
      <c r="E5741" s="33" t="s">
        <v>26</v>
      </c>
      <c r="F5741" s="33" t="s">
        <v>27</v>
      </c>
      <c r="G5741" s="33" t="s">
        <v>20</v>
      </c>
      <c r="H5741" s="35">
        <v>12</v>
      </c>
      <c r="I5741" s="33" t="s">
        <v>21</v>
      </c>
      <c r="J5741" s="42">
        <v>44512</v>
      </c>
      <c r="K5741" s="33" t="s">
        <v>22</v>
      </c>
    </row>
    <row r="5742" spans="1:11">
      <c r="A5742" s="30" t="s">
        <v>13529</v>
      </c>
      <c r="B5742" s="30" t="s">
        <v>13530</v>
      </c>
      <c r="C5742" s="30" t="s">
        <v>13531</v>
      </c>
      <c r="D5742" s="30" t="s">
        <v>17</v>
      </c>
      <c r="E5742" s="30" t="s">
        <v>31</v>
      </c>
      <c r="F5742" s="30" t="s">
        <v>32</v>
      </c>
      <c r="G5742" s="30" t="s">
        <v>106</v>
      </c>
      <c r="H5742" s="32">
        <v>12</v>
      </c>
      <c r="I5742" s="30" t="s">
        <v>21</v>
      </c>
      <c r="J5742" s="41">
        <v>44502</v>
      </c>
      <c r="K5742" s="30" t="s">
        <v>22</v>
      </c>
    </row>
    <row r="5743" spans="1:11">
      <c r="A5743" s="33" t="s">
        <v>13532</v>
      </c>
      <c r="B5743" s="33" t="s">
        <v>13533</v>
      </c>
      <c r="C5743" s="33" t="s">
        <v>13534</v>
      </c>
      <c r="D5743" s="33" t="s">
        <v>17</v>
      </c>
      <c r="E5743" s="33" t="s">
        <v>67</v>
      </c>
      <c r="F5743" s="33" t="s">
        <v>68</v>
      </c>
      <c r="G5743" s="33" t="s">
        <v>20</v>
      </c>
      <c r="H5743" s="35">
        <v>480</v>
      </c>
      <c r="I5743" s="33" t="s">
        <v>21</v>
      </c>
      <c r="J5743" s="42">
        <v>44533</v>
      </c>
      <c r="K5743" s="33" t="s">
        <v>22</v>
      </c>
    </row>
    <row r="5744" spans="1:11">
      <c r="A5744" s="30" t="s">
        <v>13535</v>
      </c>
      <c r="B5744" s="30" t="s">
        <v>13536</v>
      </c>
      <c r="C5744" s="30" t="s">
        <v>787</v>
      </c>
      <c r="D5744" s="30" t="s">
        <v>17</v>
      </c>
      <c r="E5744" s="30" t="s">
        <v>67</v>
      </c>
      <c r="F5744" s="30" t="s">
        <v>68</v>
      </c>
      <c r="G5744" s="30" t="s">
        <v>50</v>
      </c>
      <c r="H5744" s="32">
        <v>45</v>
      </c>
      <c r="I5744" s="30" t="s">
        <v>51</v>
      </c>
      <c r="J5744" s="41">
        <v>44228</v>
      </c>
      <c r="K5744" s="30" t="s">
        <v>22</v>
      </c>
    </row>
    <row r="5745" spans="1:11">
      <c r="A5745" s="33" t="s">
        <v>13537</v>
      </c>
      <c r="B5745" s="33" t="s">
        <v>13538</v>
      </c>
      <c r="C5745" s="33" t="s">
        <v>2728</v>
      </c>
      <c r="D5745" s="33" t="s">
        <v>17</v>
      </c>
      <c r="E5745" s="33" t="s">
        <v>18</v>
      </c>
      <c r="F5745" s="33" t="s">
        <v>19</v>
      </c>
      <c r="G5745" s="33" t="s">
        <v>20</v>
      </c>
      <c r="H5745" s="35">
        <v>457</v>
      </c>
      <c r="I5745" s="33" t="s">
        <v>21</v>
      </c>
      <c r="J5745" s="42">
        <v>44385</v>
      </c>
      <c r="K5745" s="33" t="s">
        <v>22</v>
      </c>
    </row>
    <row r="5746" spans="1:11">
      <c r="A5746" s="30" t="s">
        <v>13539</v>
      </c>
      <c r="B5746" s="30" t="s">
        <v>13540</v>
      </c>
      <c r="C5746" s="30" t="s">
        <v>206</v>
      </c>
      <c r="D5746" s="30" t="s">
        <v>17</v>
      </c>
      <c r="E5746" s="30" t="s">
        <v>67</v>
      </c>
      <c r="F5746" s="30" t="s">
        <v>68</v>
      </c>
      <c r="G5746" s="30" t="s">
        <v>112</v>
      </c>
      <c r="H5746" s="32">
        <v>0</v>
      </c>
      <c r="I5746" s="30" t="s">
        <v>21</v>
      </c>
      <c r="J5746" s="41">
        <v>44362</v>
      </c>
      <c r="K5746" s="30" t="s">
        <v>22</v>
      </c>
    </row>
    <row r="5747" spans="1:11">
      <c r="A5747" s="33" t="s">
        <v>13541</v>
      </c>
      <c r="B5747" s="33" t="s">
        <v>13542</v>
      </c>
      <c r="C5747" s="33" t="s">
        <v>13543</v>
      </c>
      <c r="D5747" s="33" t="s">
        <v>17</v>
      </c>
      <c r="E5747" s="33" t="s">
        <v>18</v>
      </c>
      <c r="F5747" s="33" t="s">
        <v>19</v>
      </c>
      <c r="G5747" s="33" t="s">
        <v>20</v>
      </c>
      <c r="H5747" s="35">
        <v>409</v>
      </c>
      <c r="I5747" s="33" t="s">
        <v>21</v>
      </c>
      <c r="J5747" s="42">
        <v>44390</v>
      </c>
      <c r="K5747" s="33" t="s">
        <v>22</v>
      </c>
    </row>
    <row r="5748" spans="1:11">
      <c r="A5748" s="30" t="s">
        <v>13544</v>
      </c>
      <c r="B5748" s="30" t="s">
        <v>13545</v>
      </c>
      <c r="C5748" s="30" t="s">
        <v>2009</v>
      </c>
      <c r="D5748" s="30" t="s">
        <v>17</v>
      </c>
      <c r="E5748" s="30" t="s">
        <v>26</v>
      </c>
      <c r="F5748" s="30" t="s">
        <v>27</v>
      </c>
      <c r="G5748" s="30" t="s">
        <v>106</v>
      </c>
      <c r="H5748" s="32">
        <v>34</v>
      </c>
      <c r="I5748" s="30" t="s">
        <v>21</v>
      </c>
      <c r="J5748" s="41">
        <v>44555</v>
      </c>
      <c r="K5748" s="30" t="s">
        <v>22</v>
      </c>
    </row>
    <row r="5749" spans="1:11">
      <c r="A5749" s="33" t="s">
        <v>13546</v>
      </c>
      <c r="B5749" s="33" t="s">
        <v>13547</v>
      </c>
      <c r="C5749" s="33" t="s">
        <v>1295</v>
      </c>
      <c r="D5749" s="33" t="s">
        <v>17</v>
      </c>
      <c r="E5749" s="33" t="s">
        <v>67</v>
      </c>
      <c r="F5749" s="33" t="s">
        <v>68</v>
      </c>
      <c r="G5749" s="33" t="s">
        <v>158</v>
      </c>
      <c r="H5749" s="35">
        <v>101</v>
      </c>
      <c r="I5749" s="33" t="s">
        <v>21</v>
      </c>
      <c r="J5749" s="42">
        <v>44236</v>
      </c>
      <c r="K5749" s="33" t="s">
        <v>22</v>
      </c>
    </row>
    <row r="5750" spans="1:11">
      <c r="A5750" s="30" t="s">
        <v>13548</v>
      </c>
      <c r="B5750" s="30" t="s">
        <v>13549</v>
      </c>
      <c r="C5750" s="30" t="s">
        <v>1228</v>
      </c>
      <c r="D5750" s="30" t="s">
        <v>17</v>
      </c>
      <c r="E5750" s="30" t="s">
        <v>18</v>
      </c>
      <c r="F5750" s="30" t="s">
        <v>19</v>
      </c>
      <c r="G5750" s="30" t="s">
        <v>20</v>
      </c>
      <c r="H5750" s="32">
        <v>168</v>
      </c>
      <c r="I5750" s="30" t="s">
        <v>21</v>
      </c>
      <c r="J5750" s="41">
        <v>44397</v>
      </c>
      <c r="K5750" s="30" t="s">
        <v>22</v>
      </c>
    </row>
    <row r="5751" spans="1:11">
      <c r="A5751" s="33" t="s">
        <v>13550</v>
      </c>
      <c r="B5751" s="33" t="s">
        <v>13551</v>
      </c>
      <c r="C5751" s="33" t="s">
        <v>2714</v>
      </c>
      <c r="D5751" s="33" t="s">
        <v>17</v>
      </c>
      <c r="E5751" s="33" t="s">
        <v>26</v>
      </c>
      <c r="F5751" s="33" t="s">
        <v>27</v>
      </c>
      <c r="G5751" s="33" t="s">
        <v>20</v>
      </c>
      <c r="H5751" s="35">
        <v>200</v>
      </c>
      <c r="I5751" s="33" t="s">
        <v>21</v>
      </c>
      <c r="J5751" s="42">
        <v>44350</v>
      </c>
      <c r="K5751" s="33" t="s">
        <v>22</v>
      </c>
    </row>
    <row r="5752" spans="1:11">
      <c r="A5752" s="30" t="s">
        <v>13552</v>
      </c>
      <c r="B5752" s="30" t="s">
        <v>13553</v>
      </c>
      <c r="C5752" s="30" t="s">
        <v>4737</v>
      </c>
      <c r="D5752" s="30" t="s">
        <v>17</v>
      </c>
      <c r="E5752" s="30" t="s">
        <v>31</v>
      </c>
      <c r="F5752" s="30" t="s">
        <v>32</v>
      </c>
      <c r="G5752" s="30" t="s">
        <v>20</v>
      </c>
      <c r="H5752" s="32">
        <v>41</v>
      </c>
      <c r="I5752" s="30" t="s">
        <v>21</v>
      </c>
      <c r="J5752" s="41">
        <v>44530</v>
      </c>
      <c r="K5752" s="30" t="s">
        <v>22</v>
      </c>
    </row>
    <row r="5753" spans="1:11">
      <c r="A5753" s="33" t="s">
        <v>13554</v>
      </c>
      <c r="B5753" s="33" t="s">
        <v>13555</v>
      </c>
      <c r="C5753" s="33" t="s">
        <v>93</v>
      </c>
      <c r="D5753" s="33" t="s">
        <v>17</v>
      </c>
      <c r="E5753" s="33" t="s">
        <v>18</v>
      </c>
      <c r="F5753" s="33" t="s">
        <v>19</v>
      </c>
      <c r="G5753" s="33" t="s">
        <v>20</v>
      </c>
      <c r="H5753" s="35">
        <v>596</v>
      </c>
      <c r="I5753" s="33" t="s">
        <v>21</v>
      </c>
      <c r="J5753" s="42">
        <v>44246</v>
      </c>
      <c r="K5753" s="33" t="s">
        <v>22</v>
      </c>
    </row>
    <row r="5754" spans="1:11">
      <c r="A5754" s="30" t="s">
        <v>13556</v>
      </c>
      <c r="B5754" s="30" t="s">
        <v>13557</v>
      </c>
      <c r="C5754" s="30" t="s">
        <v>6571</v>
      </c>
      <c r="D5754" s="30" t="s">
        <v>17</v>
      </c>
      <c r="E5754" s="30" t="s">
        <v>212</v>
      </c>
      <c r="F5754" s="30" t="s">
        <v>213</v>
      </c>
      <c r="G5754" s="30" t="s">
        <v>50</v>
      </c>
      <c r="H5754" s="32">
        <v>320</v>
      </c>
      <c r="I5754" s="30" t="s">
        <v>51</v>
      </c>
      <c r="J5754" s="41">
        <v>44287</v>
      </c>
      <c r="K5754" s="30" t="s">
        <v>22</v>
      </c>
    </row>
    <row r="5755" spans="1:11">
      <c r="A5755" s="33" t="s">
        <v>13558</v>
      </c>
      <c r="B5755" s="33" t="s">
        <v>13559</v>
      </c>
      <c r="C5755" s="33" t="s">
        <v>11638</v>
      </c>
      <c r="D5755" s="33" t="s">
        <v>17</v>
      </c>
      <c r="E5755" s="33" t="s">
        <v>26</v>
      </c>
      <c r="F5755" s="33" t="s">
        <v>27</v>
      </c>
      <c r="G5755" s="33" t="s">
        <v>20</v>
      </c>
      <c r="H5755" s="35">
        <v>112</v>
      </c>
      <c r="I5755" s="33" t="s">
        <v>21</v>
      </c>
      <c r="J5755" s="42">
        <v>44348</v>
      </c>
      <c r="K5755" s="33" t="s">
        <v>22</v>
      </c>
    </row>
    <row r="5756" spans="1:11">
      <c r="A5756" s="30" t="s">
        <v>13560</v>
      </c>
      <c r="B5756" s="30" t="s">
        <v>13561</v>
      </c>
      <c r="C5756" s="30" t="s">
        <v>894</v>
      </c>
      <c r="D5756" s="30" t="s">
        <v>17</v>
      </c>
      <c r="E5756" s="30" t="s">
        <v>26</v>
      </c>
      <c r="F5756" s="30" t="s">
        <v>27</v>
      </c>
      <c r="G5756" s="30" t="s">
        <v>20</v>
      </c>
      <c r="H5756" s="32">
        <v>19</v>
      </c>
      <c r="I5756" s="30" t="s">
        <v>21</v>
      </c>
      <c r="J5756" s="41">
        <v>44523</v>
      </c>
      <c r="K5756" s="30" t="s">
        <v>22</v>
      </c>
    </row>
    <row r="5757" spans="1:11">
      <c r="A5757" s="33" t="s">
        <v>13562</v>
      </c>
      <c r="B5757" s="33" t="s">
        <v>13563</v>
      </c>
      <c r="C5757" s="33" t="s">
        <v>75</v>
      </c>
      <c r="D5757" s="33" t="s">
        <v>17</v>
      </c>
      <c r="E5757" s="33" t="s">
        <v>26</v>
      </c>
      <c r="F5757" s="33" t="s">
        <v>27</v>
      </c>
      <c r="G5757" s="33" t="s">
        <v>106</v>
      </c>
      <c r="H5757" s="35">
        <v>10</v>
      </c>
      <c r="I5757" s="33" t="s">
        <v>21</v>
      </c>
      <c r="J5757" s="42">
        <v>44540</v>
      </c>
      <c r="K5757" s="33" t="s">
        <v>22</v>
      </c>
    </row>
    <row r="5758" spans="1:11">
      <c r="A5758" s="30" t="s">
        <v>13564</v>
      </c>
      <c r="B5758" s="30" t="s">
        <v>13565</v>
      </c>
      <c r="C5758" s="30" t="s">
        <v>2852</v>
      </c>
      <c r="D5758" s="30" t="s">
        <v>17</v>
      </c>
      <c r="E5758" s="30" t="s">
        <v>31</v>
      </c>
      <c r="F5758" s="30" t="s">
        <v>32</v>
      </c>
      <c r="G5758" s="30" t="s">
        <v>140</v>
      </c>
      <c r="H5758" s="32">
        <v>260</v>
      </c>
      <c r="I5758" s="30" t="s">
        <v>51</v>
      </c>
      <c r="J5758" s="41">
        <v>44461</v>
      </c>
      <c r="K5758" s="30" t="s">
        <v>22</v>
      </c>
    </row>
    <row r="5759" spans="1:11">
      <c r="A5759" s="33" t="s">
        <v>13566</v>
      </c>
      <c r="B5759" s="33" t="s">
        <v>13567</v>
      </c>
      <c r="C5759" s="33" t="s">
        <v>1520</v>
      </c>
      <c r="D5759" s="33" t="s">
        <v>17</v>
      </c>
      <c r="E5759" s="33" t="s">
        <v>26</v>
      </c>
      <c r="F5759" s="33" t="s">
        <v>27</v>
      </c>
      <c r="G5759" s="33" t="s">
        <v>20</v>
      </c>
      <c r="H5759" s="35">
        <v>71</v>
      </c>
      <c r="I5759" s="33" t="s">
        <v>21</v>
      </c>
      <c r="J5759" s="42">
        <v>44424</v>
      </c>
      <c r="K5759" s="33" t="s">
        <v>22</v>
      </c>
    </row>
    <row r="5760" spans="1:11">
      <c r="A5760" s="30" t="s">
        <v>13568</v>
      </c>
      <c r="B5760" s="30" t="s">
        <v>13569</v>
      </c>
      <c r="C5760" s="30" t="s">
        <v>149</v>
      </c>
      <c r="D5760" s="30" t="s">
        <v>17</v>
      </c>
      <c r="E5760" s="30" t="s">
        <v>26</v>
      </c>
      <c r="F5760" s="30" t="s">
        <v>27</v>
      </c>
      <c r="G5760" s="30" t="s">
        <v>50</v>
      </c>
      <c r="H5760" s="32">
        <v>24</v>
      </c>
      <c r="I5760" s="30" t="s">
        <v>51</v>
      </c>
      <c r="J5760" s="41">
        <v>44230</v>
      </c>
      <c r="K5760" s="30" t="s">
        <v>22</v>
      </c>
    </row>
    <row r="5761" spans="1:11">
      <c r="A5761" s="33" t="s">
        <v>13570</v>
      </c>
      <c r="B5761" s="33" t="s">
        <v>13571</v>
      </c>
      <c r="C5761" s="33" t="s">
        <v>78</v>
      </c>
      <c r="D5761" s="33" t="s">
        <v>17</v>
      </c>
      <c r="E5761" s="33" t="s">
        <v>26</v>
      </c>
      <c r="F5761" s="33" t="s">
        <v>27</v>
      </c>
      <c r="G5761" s="33" t="s">
        <v>20</v>
      </c>
      <c r="H5761" s="35">
        <v>62</v>
      </c>
      <c r="I5761" s="33" t="s">
        <v>21</v>
      </c>
      <c r="J5761" s="42">
        <v>44351</v>
      </c>
      <c r="K5761" s="33" t="s">
        <v>22</v>
      </c>
    </row>
    <row r="5762" spans="1:11">
      <c r="A5762" s="30" t="s">
        <v>13572</v>
      </c>
      <c r="B5762" s="30" t="s">
        <v>13573</v>
      </c>
      <c r="C5762" s="30" t="s">
        <v>13574</v>
      </c>
      <c r="D5762" s="30" t="s">
        <v>17</v>
      </c>
      <c r="E5762" s="30" t="s">
        <v>26</v>
      </c>
      <c r="F5762" s="30" t="s">
        <v>27</v>
      </c>
      <c r="G5762" s="30" t="s">
        <v>20</v>
      </c>
      <c r="H5762" s="32">
        <v>30</v>
      </c>
      <c r="I5762" s="30" t="s">
        <v>21</v>
      </c>
      <c r="J5762" s="41">
        <v>44313</v>
      </c>
      <c r="K5762" s="30" t="s">
        <v>22</v>
      </c>
    </row>
    <row r="5763" spans="1:11">
      <c r="A5763" s="33" t="s">
        <v>13575</v>
      </c>
      <c r="B5763" s="33" t="s">
        <v>13576</v>
      </c>
      <c r="C5763" s="33" t="s">
        <v>13577</v>
      </c>
      <c r="D5763" s="33" t="s">
        <v>17</v>
      </c>
      <c r="E5763" s="33" t="s">
        <v>26</v>
      </c>
      <c r="F5763" s="33" t="s">
        <v>27</v>
      </c>
      <c r="G5763" s="33" t="s">
        <v>20</v>
      </c>
      <c r="H5763" s="35">
        <v>154</v>
      </c>
      <c r="I5763" s="33" t="s">
        <v>21</v>
      </c>
      <c r="J5763" s="42">
        <v>44250</v>
      </c>
      <c r="K5763" s="33" t="s">
        <v>22</v>
      </c>
    </row>
    <row r="5764" spans="1:11">
      <c r="A5764" s="30" t="s">
        <v>13578</v>
      </c>
      <c r="B5764" s="30" t="s">
        <v>13579</v>
      </c>
      <c r="C5764" s="30" t="s">
        <v>10613</v>
      </c>
      <c r="D5764" s="30" t="s">
        <v>17</v>
      </c>
      <c r="E5764" s="30" t="s">
        <v>26</v>
      </c>
      <c r="F5764" s="30" t="s">
        <v>27</v>
      </c>
      <c r="G5764" s="30" t="s">
        <v>20</v>
      </c>
      <c r="H5764" s="32">
        <v>18</v>
      </c>
      <c r="I5764" s="30" t="s">
        <v>21</v>
      </c>
      <c r="J5764" s="41">
        <v>44287</v>
      </c>
      <c r="K5764" s="30" t="s">
        <v>22</v>
      </c>
    </row>
    <row r="5765" spans="1:11">
      <c r="A5765" s="33" t="s">
        <v>13580</v>
      </c>
      <c r="B5765" s="33" t="s">
        <v>13581</v>
      </c>
      <c r="C5765" s="33" t="s">
        <v>149</v>
      </c>
      <c r="D5765" s="33" t="s">
        <v>17</v>
      </c>
      <c r="E5765" s="33" t="s">
        <v>26</v>
      </c>
      <c r="F5765" s="33" t="s">
        <v>27</v>
      </c>
      <c r="G5765" s="33" t="s">
        <v>50</v>
      </c>
      <c r="H5765" s="35">
        <v>50</v>
      </c>
      <c r="I5765" s="33" t="s">
        <v>51</v>
      </c>
      <c r="J5765" s="42">
        <v>44319</v>
      </c>
      <c r="K5765" s="33" t="s">
        <v>22</v>
      </c>
    </row>
    <row r="5766" spans="1:11">
      <c r="A5766" s="30" t="s">
        <v>13582</v>
      </c>
      <c r="B5766" s="30" t="s">
        <v>13583</v>
      </c>
      <c r="C5766" s="30" t="s">
        <v>13584</v>
      </c>
      <c r="D5766" s="30" t="s">
        <v>17</v>
      </c>
      <c r="E5766" s="30" t="s">
        <v>67</v>
      </c>
      <c r="F5766" s="30" t="s">
        <v>68</v>
      </c>
      <c r="G5766" s="30" t="s">
        <v>20</v>
      </c>
      <c r="H5766" s="32">
        <v>36</v>
      </c>
      <c r="I5766" s="30" t="s">
        <v>21</v>
      </c>
      <c r="J5766" s="41">
        <v>44215</v>
      </c>
      <c r="K5766" s="30" t="s">
        <v>22</v>
      </c>
    </row>
    <row r="5767" spans="1:11">
      <c r="A5767" s="33" t="s">
        <v>13585</v>
      </c>
      <c r="B5767" s="33" t="s">
        <v>13586</v>
      </c>
      <c r="C5767" s="33" t="s">
        <v>109</v>
      </c>
      <c r="D5767" s="33" t="s">
        <v>17</v>
      </c>
      <c r="E5767" s="33" t="s">
        <v>18</v>
      </c>
      <c r="F5767" s="33" t="s">
        <v>19</v>
      </c>
      <c r="G5767" s="33" t="s">
        <v>20</v>
      </c>
      <c r="H5767" s="35">
        <v>141</v>
      </c>
      <c r="I5767" s="33" t="s">
        <v>21</v>
      </c>
      <c r="J5767" s="42">
        <v>44223</v>
      </c>
      <c r="K5767" s="33" t="s">
        <v>22</v>
      </c>
    </row>
    <row r="5768" spans="1:11">
      <c r="A5768" s="30" t="s">
        <v>13587</v>
      </c>
      <c r="B5768" s="30" t="s">
        <v>13588</v>
      </c>
      <c r="C5768" s="30" t="s">
        <v>6202</v>
      </c>
      <c r="D5768" s="30" t="s">
        <v>17</v>
      </c>
      <c r="E5768" s="30" t="s">
        <v>45</v>
      </c>
      <c r="F5768" s="30" t="s">
        <v>46</v>
      </c>
      <c r="G5768" s="30" t="s">
        <v>20</v>
      </c>
      <c r="H5768" s="32">
        <v>188</v>
      </c>
      <c r="I5768" s="30" t="s">
        <v>21</v>
      </c>
      <c r="J5768" s="41">
        <v>44319</v>
      </c>
      <c r="K5768" s="30" t="s">
        <v>22</v>
      </c>
    </row>
    <row r="5769" spans="1:11">
      <c r="A5769" s="33" t="s">
        <v>13589</v>
      </c>
      <c r="B5769" s="33" t="s">
        <v>13590</v>
      </c>
      <c r="C5769" s="33" t="s">
        <v>178</v>
      </c>
      <c r="D5769" s="33" t="s">
        <v>17</v>
      </c>
      <c r="E5769" s="33" t="s">
        <v>18</v>
      </c>
      <c r="F5769" s="33" t="s">
        <v>19</v>
      </c>
      <c r="G5769" s="33" t="s">
        <v>158</v>
      </c>
      <c r="H5769" s="35">
        <v>220</v>
      </c>
      <c r="I5769" s="33" t="s">
        <v>51</v>
      </c>
      <c r="J5769" s="42">
        <v>44469</v>
      </c>
      <c r="K5769" s="33" t="s">
        <v>22</v>
      </c>
    </row>
    <row r="5770" spans="1:11">
      <c r="A5770" s="30" t="s">
        <v>13591</v>
      </c>
      <c r="B5770" s="30" t="s">
        <v>13592</v>
      </c>
      <c r="C5770" s="30" t="s">
        <v>78</v>
      </c>
      <c r="D5770" s="30" t="s">
        <v>17</v>
      </c>
      <c r="E5770" s="30" t="s">
        <v>26</v>
      </c>
      <c r="F5770" s="30" t="s">
        <v>27</v>
      </c>
      <c r="G5770" s="30" t="s">
        <v>20</v>
      </c>
      <c r="H5770" s="32">
        <v>40</v>
      </c>
      <c r="I5770" s="30" t="s">
        <v>21</v>
      </c>
      <c r="J5770" s="41">
        <v>44316</v>
      </c>
      <c r="K5770" s="30" t="s">
        <v>22</v>
      </c>
    </row>
    <row r="5771" spans="1:11">
      <c r="A5771" s="33" t="s">
        <v>13593</v>
      </c>
      <c r="B5771" s="33" t="s">
        <v>13594</v>
      </c>
      <c r="C5771" s="33" t="s">
        <v>7094</v>
      </c>
      <c r="D5771" s="33" t="s">
        <v>17</v>
      </c>
      <c r="E5771" s="33" t="s">
        <v>18</v>
      </c>
      <c r="F5771" s="33" t="s">
        <v>19</v>
      </c>
      <c r="G5771" s="33" t="s">
        <v>20</v>
      </c>
      <c r="H5771" s="35">
        <v>406</v>
      </c>
      <c r="I5771" s="33" t="s">
        <v>21</v>
      </c>
      <c r="J5771" s="42">
        <v>44228</v>
      </c>
      <c r="K5771" s="33" t="s">
        <v>22</v>
      </c>
    </row>
    <row r="5772" spans="1:11">
      <c r="A5772" s="30" t="s">
        <v>13595</v>
      </c>
      <c r="B5772" s="30" t="s">
        <v>13596</v>
      </c>
      <c r="C5772" s="30" t="s">
        <v>109</v>
      </c>
      <c r="D5772" s="30" t="s">
        <v>17</v>
      </c>
      <c r="E5772" s="30" t="s">
        <v>18</v>
      </c>
      <c r="F5772" s="30" t="s">
        <v>19</v>
      </c>
      <c r="G5772" s="30" t="s">
        <v>20</v>
      </c>
      <c r="H5772" s="32">
        <v>13</v>
      </c>
      <c r="I5772" s="30" t="s">
        <v>21</v>
      </c>
      <c r="J5772" s="41">
        <v>44243</v>
      </c>
      <c r="K5772" s="30" t="s">
        <v>22</v>
      </c>
    </row>
    <row r="5773" spans="1:11">
      <c r="A5773" s="33" t="s">
        <v>13597</v>
      </c>
      <c r="B5773" s="33" t="s">
        <v>13598</v>
      </c>
      <c r="C5773" s="33" t="s">
        <v>96</v>
      </c>
      <c r="D5773" s="33" t="s">
        <v>17</v>
      </c>
      <c r="E5773" s="33" t="s">
        <v>212</v>
      </c>
      <c r="F5773" s="33" t="s">
        <v>213</v>
      </c>
      <c r="G5773" s="33" t="s">
        <v>20</v>
      </c>
      <c r="H5773" s="35">
        <v>15</v>
      </c>
      <c r="I5773" s="33" t="s">
        <v>21</v>
      </c>
      <c r="J5773" s="42">
        <v>44314</v>
      </c>
      <c r="K5773" s="33" t="s">
        <v>22</v>
      </c>
    </row>
    <row r="5774" spans="1:11">
      <c r="A5774" s="30" t="s">
        <v>13599</v>
      </c>
      <c r="B5774" s="30" t="s">
        <v>13600</v>
      </c>
      <c r="C5774" s="30" t="s">
        <v>3004</v>
      </c>
      <c r="D5774" s="30" t="s">
        <v>17</v>
      </c>
      <c r="E5774" s="30" t="s">
        <v>26</v>
      </c>
      <c r="F5774" s="30" t="s">
        <v>27</v>
      </c>
      <c r="G5774" s="30" t="s">
        <v>20</v>
      </c>
      <c r="H5774" s="32">
        <v>42</v>
      </c>
      <c r="I5774" s="30" t="s">
        <v>21</v>
      </c>
      <c r="J5774" s="41">
        <v>44533</v>
      </c>
      <c r="K5774" s="30" t="s">
        <v>22</v>
      </c>
    </row>
    <row r="5775" spans="1:11">
      <c r="A5775" s="33" t="s">
        <v>13601</v>
      </c>
      <c r="B5775" s="33" t="s">
        <v>13602</v>
      </c>
      <c r="C5775" s="33" t="s">
        <v>1826</v>
      </c>
      <c r="D5775" s="33" t="s">
        <v>17</v>
      </c>
      <c r="E5775" s="33" t="s">
        <v>330</v>
      </c>
      <c r="F5775" s="33" t="s">
        <v>331</v>
      </c>
      <c r="G5775" s="33" t="s">
        <v>20</v>
      </c>
      <c r="H5775" s="35">
        <v>30</v>
      </c>
      <c r="I5775" s="33" t="s">
        <v>21</v>
      </c>
      <c r="J5775" s="42">
        <v>44488</v>
      </c>
      <c r="K5775" s="33" t="s">
        <v>22</v>
      </c>
    </row>
    <row r="5776" spans="1:11">
      <c r="A5776" s="30" t="s">
        <v>13603</v>
      </c>
      <c r="B5776" s="30" t="s">
        <v>13604</v>
      </c>
      <c r="C5776" s="30" t="s">
        <v>13605</v>
      </c>
      <c r="D5776" s="30" t="s">
        <v>17</v>
      </c>
      <c r="E5776" s="30" t="s">
        <v>31</v>
      </c>
      <c r="F5776" s="30" t="s">
        <v>32</v>
      </c>
      <c r="G5776" s="30" t="s">
        <v>69</v>
      </c>
      <c r="H5776" s="32">
        <v>24</v>
      </c>
      <c r="I5776" s="30" t="s">
        <v>51</v>
      </c>
      <c r="J5776" s="41">
        <v>44228</v>
      </c>
      <c r="K5776" s="30" t="s">
        <v>22</v>
      </c>
    </row>
    <row r="5777" spans="1:11">
      <c r="A5777" s="33" t="s">
        <v>13606</v>
      </c>
      <c r="B5777" s="33" t="s">
        <v>13607</v>
      </c>
      <c r="C5777" s="33" t="s">
        <v>109</v>
      </c>
      <c r="D5777" s="33" t="s">
        <v>17</v>
      </c>
      <c r="E5777" s="33" t="s">
        <v>18</v>
      </c>
      <c r="F5777" s="33" t="s">
        <v>19</v>
      </c>
      <c r="G5777" s="33" t="s">
        <v>106</v>
      </c>
      <c r="H5777" s="35">
        <v>358</v>
      </c>
      <c r="I5777" s="33" t="s">
        <v>21</v>
      </c>
      <c r="J5777" s="42">
        <v>44399</v>
      </c>
      <c r="K5777" s="33" t="s">
        <v>22</v>
      </c>
    </row>
    <row r="5778" spans="1:11">
      <c r="A5778" s="30" t="s">
        <v>13608</v>
      </c>
      <c r="B5778" s="30" t="s">
        <v>13609</v>
      </c>
      <c r="C5778" s="30" t="s">
        <v>149</v>
      </c>
      <c r="D5778" s="30" t="s">
        <v>17</v>
      </c>
      <c r="E5778" s="30" t="s">
        <v>67</v>
      </c>
      <c r="F5778" s="30" t="s">
        <v>68</v>
      </c>
      <c r="G5778" s="30" t="s">
        <v>50</v>
      </c>
      <c r="H5778" s="32">
        <v>222</v>
      </c>
      <c r="I5778" s="30" t="s">
        <v>51</v>
      </c>
      <c r="J5778" s="41">
        <v>44272</v>
      </c>
      <c r="K5778" s="30" t="s">
        <v>22</v>
      </c>
    </row>
    <row r="5779" spans="1:11">
      <c r="A5779" s="33" t="s">
        <v>13610</v>
      </c>
      <c r="B5779" s="33" t="s">
        <v>13611</v>
      </c>
      <c r="C5779" s="33" t="s">
        <v>9621</v>
      </c>
      <c r="D5779" s="33" t="s">
        <v>17</v>
      </c>
      <c r="E5779" s="33" t="s">
        <v>26</v>
      </c>
      <c r="F5779" s="33" t="s">
        <v>27</v>
      </c>
      <c r="G5779" s="33" t="s">
        <v>20</v>
      </c>
      <c r="H5779" s="35">
        <v>36</v>
      </c>
      <c r="I5779" s="33" t="s">
        <v>21</v>
      </c>
      <c r="J5779" s="42">
        <v>44537</v>
      </c>
      <c r="K5779" s="33" t="s">
        <v>22</v>
      </c>
    </row>
    <row r="5780" spans="1:11">
      <c r="A5780" s="30" t="s">
        <v>13612</v>
      </c>
      <c r="B5780" s="30" t="s">
        <v>13613</v>
      </c>
      <c r="C5780" s="30" t="s">
        <v>10699</v>
      </c>
      <c r="D5780" s="30" t="s">
        <v>17</v>
      </c>
      <c r="E5780" s="30" t="s">
        <v>26</v>
      </c>
      <c r="F5780" s="30" t="s">
        <v>27</v>
      </c>
      <c r="G5780" s="30" t="s">
        <v>20</v>
      </c>
      <c r="H5780" s="32">
        <v>38</v>
      </c>
      <c r="I5780" s="30" t="s">
        <v>21</v>
      </c>
      <c r="J5780" s="41">
        <v>44475</v>
      </c>
      <c r="K5780" s="30" t="s">
        <v>22</v>
      </c>
    </row>
    <row r="5781" spans="1:11">
      <c r="A5781" s="33" t="s">
        <v>13614</v>
      </c>
      <c r="B5781" s="33" t="s">
        <v>13615</v>
      </c>
      <c r="C5781" s="33" t="s">
        <v>13616</v>
      </c>
      <c r="D5781" s="33" t="s">
        <v>17</v>
      </c>
      <c r="E5781" s="33" t="s">
        <v>26</v>
      </c>
      <c r="F5781" s="33" t="s">
        <v>27</v>
      </c>
      <c r="G5781" s="33" t="s">
        <v>20</v>
      </c>
      <c r="H5781" s="35">
        <v>114</v>
      </c>
      <c r="I5781" s="33" t="s">
        <v>21</v>
      </c>
      <c r="J5781" s="42">
        <v>44270</v>
      </c>
      <c r="K5781" s="33" t="s">
        <v>22</v>
      </c>
    </row>
    <row r="5782" spans="1:11">
      <c r="A5782" s="30" t="s">
        <v>13617</v>
      </c>
      <c r="B5782" s="30" t="s">
        <v>13618</v>
      </c>
      <c r="C5782" s="30" t="s">
        <v>231</v>
      </c>
      <c r="D5782" s="30" t="s">
        <v>17</v>
      </c>
      <c r="E5782" s="30" t="s">
        <v>26</v>
      </c>
      <c r="F5782" s="30" t="s">
        <v>27</v>
      </c>
      <c r="G5782" s="30" t="s">
        <v>20</v>
      </c>
      <c r="H5782" s="32">
        <v>14</v>
      </c>
      <c r="I5782" s="30" t="s">
        <v>21</v>
      </c>
      <c r="J5782" s="41">
        <v>44238</v>
      </c>
      <c r="K5782" s="30" t="s">
        <v>22</v>
      </c>
    </row>
    <row r="5783" spans="1:11">
      <c r="A5783" s="33" t="s">
        <v>13619</v>
      </c>
      <c r="B5783" s="33" t="s">
        <v>13620</v>
      </c>
      <c r="C5783" s="33" t="s">
        <v>1391</v>
      </c>
      <c r="D5783" s="33" t="s">
        <v>17</v>
      </c>
      <c r="E5783" s="33" t="s">
        <v>67</v>
      </c>
      <c r="F5783" s="33" t="s">
        <v>68</v>
      </c>
      <c r="G5783" s="33" t="s">
        <v>20</v>
      </c>
      <c r="H5783" s="35">
        <v>637</v>
      </c>
      <c r="I5783" s="33" t="s">
        <v>21</v>
      </c>
      <c r="J5783" s="42">
        <v>44447</v>
      </c>
      <c r="K5783" s="33" t="s">
        <v>22</v>
      </c>
    </row>
    <row r="5784" spans="1:11">
      <c r="A5784" s="30" t="s">
        <v>13621</v>
      </c>
      <c r="B5784" s="30" t="s">
        <v>13622</v>
      </c>
      <c r="C5784" s="30" t="s">
        <v>252</v>
      </c>
      <c r="D5784" s="30" t="s">
        <v>17</v>
      </c>
      <c r="E5784" s="30" t="s">
        <v>18</v>
      </c>
      <c r="F5784" s="30" t="s">
        <v>19</v>
      </c>
      <c r="G5784" s="30" t="s">
        <v>20</v>
      </c>
      <c r="H5784" s="32">
        <v>464</v>
      </c>
      <c r="I5784" s="30" t="s">
        <v>21</v>
      </c>
      <c r="J5784" s="41">
        <v>44503</v>
      </c>
      <c r="K5784" s="30" t="s">
        <v>22</v>
      </c>
    </row>
    <row r="5785" spans="1:11">
      <c r="A5785" s="33" t="s">
        <v>13623</v>
      </c>
      <c r="B5785" s="33" t="s">
        <v>13624</v>
      </c>
      <c r="C5785" s="33" t="s">
        <v>11366</v>
      </c>
      <c r="D5785" s="33" t="s">
        <v>17</v>
      </c>
      <c r="E5785" s="33" t="s">
        <v>18</v>
      </c>
      <c r="F5785" s="33" t="s">
        <v>19</v>
      </c>
      <c r="G5785" s="33" t="s">
        <v>20</v>
      </c>
      <c r="H5785" s="35">
        <v>220</v>
      </c>
      <c r="I5785" s="33" t="s">
        <v>21</v>
      </c>
      <c r="J5785" s="42">
        <v>44533</v>
      </c>
      <c r="K5785" s="33" t="s">
        <v>22</v>
      </c>
    </row>
    <row r="5786" spans="1:11">
      <c r="A5786" s="30" t="s">
        <v>13625</v>
      </c>
      <c r="B5786" s="30" t="s">
        <v>13626</v>
      </c>
      <c r="C5786" s="30" t="s">
        <v>3195</v>
      </c>
      <c r="D5786" s="30" t="s">
        <v>17</v>
      </c>
      <c r="E5786" s="30" t="s">
        <v>212</v>
      </c>
      <c r="F5786" s="30" t="s">
        <v>213</v>
      </c>
      <c r="G5786" s="30" t="s">
        <v>50</v>
      </c>
      <c r="H5786" s="32">
        <v>480</v>
      </c>
      <c r="I5786" s="30" t="s">
        <v>51</v>
      </c>
      <c r="J5786" s="41">
        <v>44494</v>
      </c>
      <c r="K5786" s="30" t="s">
        <v>22</v>
      </c>
    </row>
    <row r="5787" spans="1:11">
      <c r="A5787" s="33" t="s">
        <v>13627</v>
      </c>
      <c r="B5787" s="33" t="s">
        <v>13628</v>
      </c>
      <c r="C5787" s="33" t="s">
        <v>118</v>
      </c>
      <c r="D5787" s="33" t="s">
        <v>17</v>
      </c>
      <c r="E5787" s="33" t="s">
        <v>31</v>
      </c>
      <c r="F5787" s="33" t="s">
        <v>32</v>
      </c>
      <c r="G5787" s="33" t="s">
        <v>106</v>
      </c>
      <c r="H5787" s="35">
        <v>154</v>
      </c>
      <c r="I5787" s="33" t="s">
        <v>21</v>
      </c>
      <c r="J5787" s="42">
        <v>44218</v>
      </c>
      <c r="K5787" s="33" t="s">
        <v>22</v>
      </c>
    </row>
    <row r="5788" spans="1:11">
      <c r="A5788" s="30" t="s">
        <v>13629</v>
      </c>
      <c r="B5788" s="30" t="s">
        <v>13630</v>
      </c>
      <c r="C5788" s="30" t="s">
        <v>1090</v>
      </c>
      <c r="D5788" s="30" t="s">
        <v>17</v>
      </c>
      <c r="E5788" s="30" t="s">
        <v>26</v>
      </c>
      <c r="F5788" s="30" t="s">
        <v>27</v>
      </c>
      <c r="G5788" s="30" t="s">
        <v>20</v>
      </c>
      <c r="H5788" s="32">
        <v>40</v>
      </c>
      <c r="I5788" s="30" t="s">
        <v>21</v>
      </c>
      <c r="J5788" s="41">
        <v>44362</v>
      </c>
      <c r="K5788" s="30" t="s">
        <v>22</v>
      </c>
    </row>
    <row r="5789" spans="1:11">
      <c r="A5789" s="33" t="s">
        <v>13631</v>
      </c>
      <c r="B5789" s="33" t="s">
        <v>13632</v>
      </c>
      <c r="C5789" s="33" t="s">
        <v>13633</v>
      </c>
      <c r="D5789" s="33" t="s">
        <v>17</v>
      </c>
      <c r="E5789" s="33" t="s">
        <v>18</v>
      </c>
      <c r="F5789" s="33" t="s">
        <v>19</v>
      </c>
      <c r="G5789" s="33" t="s">
        <v>20</v>
      </c>
      <c r="H5789" s="35">
        <v>853</v>
      </c>
      <c r="I5789" s="33" t="s">
        <v>21</v>
      </c>
      <c r="J5789" s="42">
        <v>44398</v>
      </c>
      <c r="K5789" s="33" t="s">
        <v>22</v>
      </c>
    </row>
    <row r="5790" spans="1:11">
      <c r="A5790" s="30" t="s">
        <v>13634</v>
      </c>
      <c r="B5790" s="30" t="s">
        <v>13635</v>
      </c>
      <c r="C5790" s="30" t="s">
        <v>13636</v>
      </c>
      <c r="D5790" s="30" t="s">
        <v>17</v>
      </c>
      <c r="E5790" s="30" t="s">
        <v>26</v>
      </c>
      <c r="F5790" s="30" t="s">
        <v>27</v>
      </c>
      <c r="G5790" s="30" t="s">
        <v>106</v>
      </c>
      <c r="H5790" s="32">
        <v>67</v>
      </c>
      <c r="I5790" s="30" t="s">
        <v>21</v>
      </c>
      <c r="J5790" s="41">
        <v>44410</v>
      </c>
      <c r="K5790" s="30" t="s">
        <v>22</v>
      </c>
    </row>
    <row r="5791" spans="1:11">
      <c r="A5791" s="33" t="s">
        <v>13637</v>
      </c>
      <c r="B5791" s="33" t="s">
        <v>13638</v>
      </c>
      <c r="C5791" s="33" t="s">
        <v>190</v>
      </c>
      <c r="D5791" s="33" t="s">
        <v>17</v>
      </c>
      <c r="E5791" s="33" t="s">
        <v>18</v>
      </c>
      <c r="F5791" s="33" t="s">
        <v>19</v>
      </c>
      <c r="G5791" s="33" t="s">
        <v>158</v>
      </c>
      <c r="H5791" s="35">
        <v>732</v>
      </c>
      <c r="I5791" s="33" t="s">
        <v>21</v>
      </c>
      <c r="J5791" s="42">
        <v>44487</v>
      </c>
      <c r="K5791" s="33" t="s">
        <v>22</v>
      </c>
    </row>
    <row r="5792" spans="1:11">
      <c r="A5792" s="30" t="s">
        <v>13639</v>
      </c>
      <c r="B5792" s="30" t="s">
        <v>13640</v>
      </c>
      <c r="C5792" s="30" t="s">
        <v>109</v>
      </c>
      <c r="D5792" s="30" t="s">
        <v>17</v>
      </c>
      <c r="E5792" s="30" t="s">
        <v>212</v>
      </c>
      <c r="F5792" s="30" t="s">
        <v>213</v>
      </c>
      <c r="G5792" s="30" t="s">
        <v>20</v>
      </c>
      <c r="H5792" s="32">
        <v>140</v>
      </c>
      <c r="I5792" s="30" t="s">
        <v>21</v>
      </c>
      <c r="J5792" s="41">
        <v>44391</v>
      </c>
      <c r="K5792" s="30" t="s">
        <v>22</v>
      </c>
    </row>
    <row r="5793" spans="1:11">
      <c r="A5793" s="33" t="s">
        <v>13641</v>
      </c>
      <c r="B5793" s="33" t="s">
        <v>13642</v>
      </c>
      <c r="C5793" s="33" t="s">
        <v>8151</v>
      </c>
      <c r="D5793" s="33" t="s">
        <v>17</v>
      </c>
      <c r="E5793" s="33" t="s">
        <v>18</v>
      </c>
      <c r="F5793" s="33" t="s">
        <v>19</v>
      </c>
      <c r="G5793" s="33" t="s">
        <v>20</v>
      </c>
      <c r="H5793" s="35">
        <v>366</v>
      </c>
      <c r="I5793" s="33" t="s">
        <v>21</v>
      </c>
      <c r="J5793" s="42">
        <v>44515</v>
      </c>
      <c r="K5793" s="33" t="s">
        <v>22</v>
      </c>
    </row>
    <row r="5794" spans="1:11">
      <c r="A5794" s="30" t="s">
        <v>13643</v>
      </c>
      <c r="B5794" s="30" t="s">
        <v>13644</v>
      </c>
      <c r="C5794" s="30" t="s">
        <v>9725</v>
      </c>
      <c r="D5794" s="30" t="s">
        <v>17</v>
      </c>
      <c r="E5794" s="30" t="s">
        <v>31</v>
      </c>
      <c r="F5794" s="30" t="s">
        <v>32</v>
      </c>
      <c r="G5794" s="30" t="s">
        <v>50</v>
      </c>
      <c r="H5794" s="32">
        <v>20</v>
      </c>
      <c r="I5794" s="30" t="s">
        <v>51</v>
      </c>
      <c r="J5794" s="41">
        <v>44530</v>
      </c>
      <c r="K5794" s="30" t="s">
        <v>22</v>
      </c>
    </row>
    <row r="5795" spans="1:11">
      <c r="A5795" s="33" t="s">
        <v>13645</v>
      </c>
      <c r="B5795" s="33" t="s">
        <v>13646</v>
      </c>
      <c r="C5795" s="33" t="s">
        <v>1090</v>
      </c>
      <c r="D5795" s="33" t="s">
        <v>17</v>
      </c>
      <c r="E5795" s="33" t="s">
        <v>26</v>
      </c>
      <c r="F5795" s="33" t="s">
        <v>27</v>
      </c>
      <c r="G5795" s="33" t="s">
        <v>106</v>
      </c>
      <c r="H5795" s="35">
        <v>21</v>
      </c>
      <c r="I5795" s="33" t="s">
        <v>21</v>
      </c>
      <c r="J5795" s="42">
        <v>44285</v>
      </c>
      <c r="K5795" s="33" t="s">
        <v>22</v>
      </c>
    </row>
    <row r="5796" spans="1:11">
      <c r="A5796" s="30" t="s">
        <v>13647</v>
      </c>
      <c r="B5796" s="30" t="s">
        <v>13648</v>
      </c>
      <c r="C5796" s="30" t="s">
        <v>190</v>
      </c>
      <c r="D5796" s="30" t="s">
        <v>17</v>
      </c>
      <c r="E5796" s="30" t="s">
        <v>45</v>
      </c>
      <c r="F5796" s="30" t="s">
        <v>46</v>
      </c>
      <c r="G5796" s="30" t="s">
        <v>20</v>
      </c>
      <c r="H5796" s="32">
        <v>711</v>
      </c>
      <c r="I5796" s="30" t="s">
        <v>21</v>
      </c>
      <c r="J5796" s="41">
        <v>44377</v>
      </c>
      <c r="K5796" s="30" t="s">
        <v>22</v>
      </c>
    </row>
    <row r="5797" spans="1:11">
      <c r="A5797" s="33" t="s">
        <v>13649</v>
      </c>
      <c r="B5797" s="33" t="s">
        <v>13650</v>
      </c>
      <c r="C5797" s="33" t="s">
        <v>3296</v>
      </c>
      <c r="D5797" s="33" t="s">
        <v>17</v>
      </c>
      <c r="E5797" s="33" t="s">
        <v>26</v>
      </c>
      <c r="F5797" s="33" t="s">
        <v>27</v>
      </c>
      <c r="G5797" s="33" t="s">
        <v>20</v>
      </c>
      <c r="H5797" s="35">
        <v>36</v>
      </c>
      <c r="I5797" s="33" t="s">
        <v>21</v>
      </c>
      <c r="J5797" s="42">
        <v>44507</v>
      </c>
      <c r="K5797" s="33" t="s">
        <v>22</v>
      </c>
    </row>
    <row r="5798" spans="1:11">
      <c r="A5798" s="30" t="s">
        <v>13651</v>
      </c>
      <c r="B5798" s="30" t="s">
        <v>13652</v>
      </c>
      <c r="C5798" s="30" t="s">
        <v>178</v>
      </c>
      <c r="D5798" s="30" t="s">
        <v>17</v>
      </c>
      <c r="E5798" s="30" t="s">
        <v>212</v>
      </c>
      <c r="F5798" s="30" t="s">
        <v>213</v>
      </c>
      <c r="G5798" s="30" t="s">
        <v>20</v>
      </c>
      <c r="H5798" s="32">
        <v>26</v>
      </c>
      <c r="I5798" s="30" t="s">
        <v>21</v>
      </c>
      <c r="J5798" s="41">
        <v>44455</v>
      </c>
      <c r="K5798" s="30" t="s">
        <v>22</v>
      </c>
    </row>
    <row r="5799" spans="1:11">
      <c r="A5799" s="33" t="s">
        <v>13653</v>
      </c>
      <c r="B5799" s="33" t="s">
        <v>13654</v>
      </c>
      <c r="C5799" s="33" t="s">
        <v>60</v>
      </c>
      <c r="D5799" s="33" t="s">
        <v>17</v>
      </c>
      <c r="E5799" s="33" t="s">
        <v>18</v>
      </c>
      <c r="F5799" s="33" t="s">
        <v>19</v>
      </c>
      <c r="G5799" s="33" t="s">
        <v>2613</v>
      </c>
      <c r="H5799" s="35">
        <v>160</v>
      </c>
      <c r="I5799" s="33" t="s">
        <v>51</v>
      </c>
      <c r="J5799" s="42">
        <v>44216</v>
      </c>
      <c r="K5799" s="33" t="s">
        <v>22</v>
      </c>
    </row>
    <row r="5800" spans="1:11">
      <c r="A5800" s="30" t="s">
        <v>13655</v>
      </c>
      <c r="B5800" s="30" t="s">
        <v>13656</v>
      </c>
      <c r="C5800" s="30" t="s">
        <v>102</v>
      </c>
      <c r="D5800" s="30" t="s">
        <v>17</v>
      </c>
      <c r="E5800" s="30" t="s">
        <v>18</v>
      </c>
      <c r="F5800" s="30" t="s">
        <v>19</v>
      </c>
      <c r="G5800" s="30" t="s">
        <v>158</v>
      </c>
      <c r="H5800" s="32">
        <v>587</v>
      </c>
      <c r="I5800" s="30" t="s">
        <v>21</v>
      </c>
      <c r="J5800" s="41">
        <v>44483</v>
      </c>
      <c r="K5800" s="30" t="s">
        <v>22</v>
      </c>
    </row>
    <row r="5801" spans="1:11">
      <c r="A5801" s="33" t="s">
        <v>13657</v>
      </c>
      <c r="B5801" s="33" t="s">
        <v>13658</v>
      </c>
      <c r="C5801" s="33" t="s">
        <v>1480</v>
      </c>
      <c r="D5801" s="33" t="s">
        <v>17</v>
      </c>
      <c r="E5801" s="33" t="s">
        <v>31</v>
      </c>
      <c r="F5801" s="33" t="s">
        <v>32</v>
      </c>
      <c r="G5801" s="33" t="s">
        <v>20</v>
      </c>
      <c r="H5801" s="35">
        <v>36</v>
      </c>
      <c r="I5801" s="33" t="s">
        <v>21</v>
      </c>
      <c r="J5801" s="42">
        <v>44515</v>
      </c>
      <c r="K5801" s="33" t="s">
        <v>22</v>
      </c>
    </row>
    <row r="5802" spans="1:11">
      <c r="A5802" s="30" t="s">
        <v>13659</v>
      </c>
      <c r="B5802" s="30" t="s">
        <v>13660</v>
      </c>
      <c r="C5802" s="30" t="s">
        <v>13661</v>
      </c>
      <c r="D5802" s="30" t="s">
        <v>17</v>
      </c>
      <c r="E5802" s="30" t="s">
        <v>67</v>
      </c>
      <c r="F5802" s="30" t="s">
        <v>68</v>
      </c>
      <c r="G5802" s="30" t="s">
        <v>106</v>
      </c>
      <c r="H5802" s="32">
        <v>22</v>
      </c>
      <c r="I5802" s="30" t="s">
        <v>21</v>
      </c>
      <c r="J5802" s="41">
        <v>44314</v>
      </c>
      <c r="K5802" s="30" t="s">
        <v>22</v>
      </c>
    </row>
    <row r="5803" spans="1:11">
      <c r="A5803" s="33" t="s">
        <v>13662</v>
      </c>
      <c r="B5803" s="33" t="s">
        <v>13663</v>
      </c>
      <c r="C5803" s="33" t="s">
        <v>2612</v>
      </c>
      <c r="D5803" s="33" t="s">
        <v>17</v>
      </c>
      <c r="E5803" s="33" t="s">
        <v>67</v>
      </c>
      <c r="F5803" s="33" t="s">
        <v>68</v>
      </c>
      <c r="G5803" s="33" t="s">
        <v>106</v>
      </c>
      <c r="H5803" s="35">
        <v>9</v>
      </c>
      <c r="I5803" s="33" t="s">
        <v>21</v>
      </c>
      <c r="J5803" s="42">
        <v>44487</v>
      </c>
      <c r="K5803" s="33" t="s">
        <v>22</v>
      </c>
    </row>
    <row r="5804" spans="1:11">
      <c r="A5804" s="30" t="s">
        <v>13664</v>
      </c>
      <c r="B5804" s="30" t="s">
        <v>13665</v>
      </c>
      <c r="C5804" s="30" t="s">
        <v>190</v>
      </c>
      <c r="D5804" s="30" t="s">
        <v>17</v>
      </c>
      <c r="E5804" s="30" t="s">
        <v>26</v>
      </c>
      <c r="F5804" s="30" t="s">
        <v>27</v>
      </c>
      <c r="G5804" s="30" t="s">
        <v>158</v>
      </c>
      <c r="H5804" s="32">
        <v>226</v>
      </c>
      <c r="I5804" s="30" t="s">
        <v>21</v>
      </c>
      <c r="J5804" s="41">
        <v>44257</v>
      </c>
      <c r="K5804" s="30" t="s">
        <v>22</v>
      </c>
    </row>
    <row r="5805" spans="1:11">
      <c r="A5805" s="33" t="s">
        <v>13666</v>
      </c>
      <c r="B5805" s="33" t="s">
        <v>13667</v>
      </c>
      <c r="C5805" s="33" t="s">
        <v>318</v>
      </c>
      <c r="D5805" s="33" t="s">
        <v>17</v>
      </c>
      <c r="E5805" s="33" t="s">
        <v>212</v>
      </c>
      <c r="F5805" s="33" t="s">
        <v>213</v>
      </c>
      <c r="G5805" s="33" t="s">
        <v>106</v>
      </c>
      <c r="H5805" s="35">
        <v>10</v>
      </c>
      <c r="I5805" s="33" t="s">
        <v>21</v>
      </c>
      <c r="J5805" s="42">
        <v>44434</v>
      </c>
      <c r="K5805" s="33" t="s">
        <v>22</v>
      </c>
    </row>
    <row r="5806" spans="1:11">
      <c r="A5806" s="30" t="s">
        <v>13668</v>
      </c>
      <c r="B5806" s="30" t="s">
        <v>13669</v>
      </c>
      <c r="C5806" s="30" t="s">
        <v>13670</v>
      </c>
      <c r="D5806" s="30" t="s">
        <v>17</v>
      </c>
      <c r="E5806" s="30" t="s">
        <v>26</v>
      </c>
      <c r="F5806" s="30" t="s">
        <v>27</v>
      </c>
      <c r="G5806" s="30" t="s">
        <v>69</v>
      </c>
      <c r="H5806" s="32">
        <v>30</v>
      </c>
      <c r="I5806" s="30" t="s">
        <v>51</v>
      </c>
      <c r="J5806" s="41">
        <v>44242</v>
      </c>
      <c r="K5806" s="30" t="s">
        <v>22</v>
      </c>
    </row>
    <row r="5807" spans="1:11">
      <c r="A5807" s="33" t="s">
        <v>13671</v>
      </c>
      <c r="B5807" s="33" t="s">
        <v>13672</v>
      </c>
      <c r="C5807" s="33" t="s">
        <v>2472</v>
      </c>
      <c r="D5807" s="33" t="s">
        <v>17</v>
      </c>
      <c r="E5807" s="33" t="s">
        <v>67</v>
      </c>
      <c r="F5807" s="33" t="s">
        <v>68</v>
      </c>
      <c r="G5807" s="33" t="s">
        <v>158</v>
      </c>
      <c r="H5807" s="35">
        <v>867</v>
      </c>
      <c r="I5807" s="33" t="s">
        <v>21</v>
      </c>
      <c r="J5807" s="42">
        <v>44558</v>
      </c>
      <c r="K5807" s="33" t="s">
        <v>22</v>
      </c>
    </row>
    <row r="5808" spans="1:11">
      <c r="A5808" s="30" t="s">
        <v>13673</v>
      </c>
      <c r="B5808" s="30" t="s">
        <v>13674</v>
      </c>
      <c r="C5808" s="30" t="s">
        <v>13675</v>
      </c>
      <c r="D5808" s="30" t="s">
        <v>17</v>
      </c>
      <c r="E5808" s="30" t="s">
        <v>18</v>
      </c>
      <c r="F5808" s="30" t="s">
        <v>19</v>
      </c>
      <c r="G5808" s="30" t="s">
        <v>20</v>
      </c>
      <c r="H5808" s="32">
        <v>85</v>
      </c>
      <c r="I5808" s="30" t="s">
        <v>21</v>
      </c>
      <c r="J5808" s="41">
        <v>44411</v>
      </c>
      <c r="K5808" s="30" t="s">
        <v>22</v>
      </c>
    </row>
    <row r="5809" spans="1:11">
      <c r="A5809" s="33" t="s">
        <v>13676</v>
      </c>
      <c r="B5809" s="33" t="s">
        <v>13677</v>
      </c>
      <c r="C5809" s="33" t="s">
        <v>231</v>
      </c>
      <c r="D5809" s="33" t="s">
        <v>17</v>
      </c>
      <c r="E5809" s="33" t="s">
        <v>31</v>
      </c>
      <c r="F5809" s="33" t="s">
        <v>32</v>
      </c>
      <c r="G5809" s="33" t="s">
        <v>106</v>
      </c>
      <c r="H5809" s="35">
        <v>5</v>
      </c>
      <c r="I5809" s="33" t="s">
        <v>21</v>
      </c>
      <c r="J5809" s="42">
        <v>44509</v>
      </c>
      <c r="K5809" s="33" t="s">
        <v>22</v>
      </c>
    </row>
    <row r="5810" spans="1:11">
      <c r="A5810" s="30" t="s">
        <v>13678</v>
      </c>
      <c r="B5810" s="30" t="s">
        <v>13679</v>
      </c>
      <c r="C5810" s="30" t="s">
        <v>149</v>
      </c>
      <c r="D5810" s="30" t="s">
        <v>17</v>
      </c>
      <c r="E5810" s="30" t="s">
        <v>18</v>
      </c>
      <c r="F5810" s="30" t="s">
        <v>19</v>
      </c>
      <c r="G5810" s="30" t="s">
        <v>158</v>
      </c>
      <c r="H5810" s="32">
        <v>5274</v>
      </c>
      <c r="I5810" s="30" t="s">
        <v>21</v>
      </c>
      <c r="J5810" s="41">
        <v>44316</v>
      </c>
      <c r="K5810" s="30" t="s">
        <v>22</v>
      </c>
    </row>
    <row r="5811" spans="1:11">
      <c r="A5811" s="33" t="s">
        <v>13680</v>
      </c>
      <c r="B5811" s="33" t="s">
        <v>13681</v>
      </c>
      <c r="C5811" s="33" t="s">
        <v>310</v>
      </c>
      <c r="D5811" s="33" t="s">
        <v>17</v>
      </c>
      <c r="E5811" s="33" t="s">
        <v>18</v>
      </c>
      <c r="F5811" s="33" t="s">
        <v>19</v>
      </c>
      <c r="G5811" s="33" t="s">
        <v>20</v>
      </c>
      <c r="H5811" s="35">
        <v>582</v>
      </c>
      <c r="I5811" s="33" t="s">
        <v>21</v>
      </c>
      <c r="J5811" s="42">
        <v>44330</v>
      </c>
      <c r="K5811" s="33" t="s">
        <v>22</v>
      </c>
    </row>
    <row r="5812" spans="1:11">
      <c r="A5812" s="30" t="s">
        <v>13682</v>
      </c>
      <c r="B5812" s="30" t="s">
        <v>13683</v>
      </c>
      <c r="C5812" s="30" t="s">
        <v>2220</v>
      </c>
      <c r="D5812" s="30" t="s">
        <v>17</v>
      </c>
      <c r="E5812" s="30" t="s">
        <v>31</v>
      </c>
      <c r="F5812" s="30" t="s">
        <v>32</v>
      </c>
      <c r="G5812" s="30" t="s">
        <v>106</v>
      </c>
      <c r="H5812" s="32">
        <v>61</v>
      </c>
      <c r="I5812" s="30" t="s">
        <v>21</v>
      </c>
      <c r="J5812" s="41">
        <v>44397</v>
      </c>
      <c r="K5812" s="30" t="s">
        <v>22</v>
      </c>
    </row>
    <row r="5813" spans="1:11">
      <c r="A5813" s="33" t="s">
        <v>13684</v>
      </c>
      <c r="B5813" s="33" t="s">
        <v>13685</v>
      </c>
      <c r="C5813" s="33" t="s">
        <v>10359</v>
      </c>
      <c r="D5813" s="33" t="s">
        <v>17</v>
      </c>
      <c r="E5813" s="33" t="s">
        <v>26</v>
      </c>
      <c r="F5813" s="33" t="s">
        <v>27</v>
      </c>
      <c r="G5813" s="33" t="s">
        <v>106</v>
      </c>
      <c r="H5813" s="35">
        <v>91</v>
      </c>
      <c r="I5813" s="33" t="s">
        <v>21</v>
      </c>
      <c r="J5813" s="42">
        <v>44362</v>
      </c>
      <c r="K5813" s="33" t="s">
        <v>22</v>
      </c>
    </row>
    <row r="5814" spans="1:11">
      <c r="A5814" s="30" t="s">
        <v>13686</v>
      </c>
      <c r="B5814" s="30" t="s">
        <v>13687</v>
      </c>
      <c r="C5814" s="30" t="s">
        <v>1931</v>
      </c>
      <c r="D5814" s="30" t="s">
        <v>17</v>
      </c>
      <c r="E5814" s="30" t="s">
        <v>26</v>
      </c>
      <c r="F5814" s="30" t="s">
        <v>27</v>
      </c>
      <c r="G5814" s="30" t="s">
        <v>20</v>
      </c>
      <c r="H5814" s="32">
        <v>15</v>
      </c>
      <c r="I5814" s="30" t="s">
        <v>21</v>
      </c>
      <c r="J5814" s="41">
        <v>44406</v>
      </c>
      <c r="K5814" s="30" t="s">
        <v>22</v>
      </c>
    </row>
    <row r="5815" spans="1:11">
      <c r="A5815" s="33" t="s">
        <v>13688</v>
      </c>
      <c r="B5815" s="33" t="s">
        <v>13689</v>
      </c>
      <c r="C5815" s="33" t="s">
        <v>5372</v>
      </c>
      <c r="D5815" s="33" t="s">
        <v>17</v>
      </c>
      <c r="E5815" s="33" t="s">
        <v>26</v>
      </c>
      <c r="F5815" s="33" t="s">
        <v>27</v>
      </c>
      <c r="G5815" s="33" t="s">
        <v>20</v>
      </c>
      <c r="H5815" s="35">
        <v>48</v>
      </c>
      <c r="I5815" s="33" t="s">
        <v>21</v>
      </c>
      <c r="J5815" s="42">
        <v>44383</v>
      </c>
      <c r="K5815" s="33" t="s">
        <v>22</v>
      </c>
    </row>
    <row r="5816" spans="1:11">
      <c r="A5816" s="30" t="s">
        <v>13690</v>
      </c>
      <c r="B5816" s="30" t="s">
        <v>13691</v>
      </c>
      <c r="C5816" s="30" t="s">
        <v>326</v>
      </c>
      <c r="D5816" s="30" t="s">
        <v>17</v>
      </c>
      <c r="E5816" s="30" t="s">
        <v>67</v>
      </c>
      <c r="F5816" s="30" t="s">
        <v>68</v>
      </c>
      <c r="G5816" s="30" t="s">
        <v>112</v>
      </c>
      <c r="H5816" s="32">
        <v>0</v>
      </c>
      <c r="I5816" s="30" t="s">
        <v>21</v>
      </c>
      <c r="J5816" s="41">
        <v>44531</v>
      </c>
      <c r="K5816" s="30" t="s">
        <v>22</v>
      </c>
    </row>
    <row r="5817" spans="1:11">
      <c r="A5817" s="33" t="s">
        <v>13692</v>
      </c>
      <c r="B5817" s="33" t="s">
        <v>13693</v>
      </c>
      <c r="C5817" s="33" t="s">
        <v>647</v>
      </c>
      <c r="D5817" s="33" t="s">
        <v>17</v>
      </c>
      <c r="E5817" s="33" t="s">
        <v>18</v>
      </c>
      <c r="F5817" s="33" t="s">
        <v>19</v>
      </c>
      <c r="G5817" s="33" t="s">
        <v>158</v>
      </c>
      <c r="H5817" s="35">
        <v>2000</v>
      </c>
      <c r="I5817" s="33" t="s">
        <v>51</v>
      </c>
      <c r="J5817" s="42">
        <v>44454</v>
      </c>
      <c r="K5817" s="33" t="s">
        <v>22</v>
      </c>
    </row>
    <row r="5818" spans="1:11">
      <c r="A5818" s="30" t="s">
        <v>13694</v>
      </c>
      <c r="B5818" s="30" t="s">
        <v>13695</v>
      </c>
      <c r="C5818" s="30" t="s">
        <v>6017</v>
      </c>
      <c r="D5818" s="30" t="s">
        <v>17</v>
      </c>
      <c r="E5818" s="30" t="s">
        <v>18</v>
      </c>
      <c r="F5818" s="30" t="s">
        <v>19</v>
      </c>
      <c r="G5818" s="30" t="s">
        <v>50</v>
      </c>
      <c r="H5818" s="32">
        <v>900</v>
      </c>
      <c r="I5818" s="30" t="s">
        <v>51</v>
      </c>
      <c r="J5818" s="41">
        <v>44308</v>
      </c>
      <c r="K5818" s="30" t="s">
        <v>22</v>
      </c>
    </row>
    <row r="5819" spans="1:11">
      <c r="A5819" s="33" t="s">
        <v>13696</v>
      </c>
      <c r="B5819" s="33" t="s">
        <v>13697</v>
      </c>
      <c r="C5819" s="33" t="s">
        <v>13605</v>
      </c>
      <c r="D5819" s="33" t="s">
        <v>17</v>
      </c>
      <c r="E5819" s="33" t="s">
        <v>31</v>
      </c>
      <c r="F5819" s="33" t="s">
        <v>32</v>
      </c>
      <c r="G5819" s="33" t="s">
        <v>20</v>
      </c>
      <c r="H5819" s="35">
        <v>11</v>
      </c>
      <c r="I5819" s="33" t="s">
        <v>21</v>
      </c>
      <c r="J5819" s="42">
        <v>44417</v>
      </c>
      <c r="K5819" s="33" t="s">
        <v>22</v>
      </c>
    </row>
    <row r="5820" spans="1:11">
      <c r="A5820" s="30" t="s">
        <v>13698</v>
      </c>
      <c r="B5820" s="30" t="s">
        <v>13699</v>
      </c>
      <c r="C5820" s="30" t="s">
        <v>13700</v>
      </c>
      <c r="D5820" s="30" t="s">
        <v>17</v>
      </c>
      <c r="E5820" s="30" t="s">
        <v>67</v>
      </c>
      <c r="F5820" s="30" t="s">
        <v>68</v>
      </c>
      <c r="G5820" s="30" t="s">
        <v>106</v>
      </c>
      <c r="H5820" s="32">
        <v>4</v>
      </c>
      <c r="I5820" s="30" t="s">
        <v>21</v>
      </c>
      <c r="J5820" s="41">
        <v>44345</v>
      </c>
      <c r="K5820" s="30" t="s">
        <v>22</v>
      </c>
    </row>
    <row r="5821" spans="1:11">
      <c r="A5821" s="33" t="s">
        <v>13701</v>
      </c>
      <c r="B5821" s="33" t="s">
        <v>13702</v>
      </c>
      <c r="C5821" s="33" t="s">
        <v>130</v>
      </c>
      <c r="D5821" s="33" t="s">
        <v>17</v>
      </c>
      <c r="E5821" s="33" t="s">
        <v>31</v>
      </c>
      <c r="F5821" s="33" t="s">
        <v>32</v>
      </c>
      <c r="G5821" s="33" t="s">
        <v>20</v>
      </c>
      <c r="H5821" s="35">
        <v>4</v>
      </c>
      <c r="I5821" s="33" t="s">
        <v>21</v>
      </c>
      <c r="J5821" s="42">
        <v>44389</v>
      </c>
      <c r="K5821" s="33" t="s">
        <v>22</v>
      </c>
    </row>
    <row r="5822" spans="1:11">
      <c r="A5822" s="30" t="s">
        <v>13703</v>
      </c>
      <c r="B5822" s="30" t="s">
        <v>13704</v>
      </c>
      <c r="C5822" s="30" t="s">
        <v>12446</v>
      </c>
      <c r="D5822" s="30" t="s">
        <v>17</v>
      </c>
      <c r="E5822" s="30" t="s">
        <v>67</v>
      </c>
      <c r="F5822" s="30" t="s">
        <v>68</v>
      </c>
      <c r="G5822" s="30" t="s">
        <v>106</v>
      </c>
      <c r="H5822" s="32">
        <v>72</v>
      </c>
      <c r="I5822" s="30" t="s">
        <v>21</v>
      </c>
      <c r="J5822" s="41">
        <v>44253</v>
      </c>
      <c r="K5822" s="30" t="s">
        <v>22</v>
      </c>
    </row>
    <row r="5823" spans="1:11">
      <c r="A5823" s="33" t="s">
        <v>13705</v>
      </c>
      <c r="B5823" s="33" t="s">
        <v>13706</v>
      </c>
      <c r="C5823" s="33" t="s">
        <v>1974</v>
      </c>
      <c r="D5823" s="33" t="s">
        <v>17</v>
      </c>
      <c r="E5823" s="33" t="s">
        <v>26</v>
      </c>
      <c r="F5823" s="33" t="s">
        <v>27</v>
      </c>
      <c r="G5823" s="33" t="s">
        <v>20</v>
      </c>
      <c r="H5823" s="35">
        <v>32</v>
      </c>
      <c r="I5823" s="33" t="s">
        <v>21</v>
      </c>
      <c r="J5823" s="42">
        <v>44496</v>
      </c>
      <c r="K5823" s="33" t="s">
        <v>22</v>
      </c>
    </row>
    <row r="5824" spans="1:11">
      <c r="A5824" s="30" t="s">
        <v>13707</v>
      </c>
      <c r="B5824" s="30" t="s">
        <v>13708</v>
      </c>
      <c r="C5824" s="30" t="s">
        <v>1324</v>
      </c>
      <c r="D5824" s="30" t="s">
        <v>17</v>
      </c>
      <c r="E5824" s="30" t="s">
        <v>31</v>
      </c>
      <c r="F5824" s="30" t="s">
        <v>32</v>
      </c>
      <c r="G5824" s="30" t="s">
        <v>20</v>
      </c>
      <c r="H5824" s="32">
        <v>14</v>
      </c>
      <c r="I5824" s="30" t="s">
        <v>21</v>
      </c>
      <c r="J5824" s="41">
        <v>44197</v>
      </c>
      <c r="K5824" s="30" t="s">
        <v>22</v>
      </c>
    </row>
    <row r="5825" spans="1:11">
      <c r="A5825" s="33" t="s">
        <v>13709</v>
      </c>
      <c r="B5825" s="33" t="s">
        <v>13710</v>
      </c>
      <c r="C5825" s="33" t="s">
        <v>3057</v>
      </c>
      <c r="D5825" s="33" t="s">
        <v>17</v>
      </c>
      <c r="E5825" s="33" t="s">
        <v>26</v>
      </c>
      <c r="F5825" s="33" t="s">
        <v>27</v>
      </c>
      <c r="G5825" s="33" t="s">
        <v>20</v>
      </c>
      <c r="H5825" s="35">
        <v>40</v>
      </c>
      <c r="I5825" s="33" t="s">
        <v>21</v>
      </c>
      <c r="J5825" s="42">
        <v>44375</v>
      </c>
      <c r="K5825" s="33" t="s">
        <v>22</v>
      </c>
    </row>
    <row r="5826" spans="1:11">
      <c r="A5826" s="30" t="s">
        <v>13711</v>
      </c>
      <c r="B5826" s="30" t="s">
        <v>13712</v>
      </c>
      <c r="C5826" s="30" t="s">
        <v>2728</v>
      </c>
      <c r="D5826" s="30" t="s">
        <v>17</v>
      </c>
      <c r="E5826" s="30" t="s">
        <v>18</v>
      </c>
      <c r="F5826" s="30" t="s">
        <v>19</v>
      </c>
      <c r="G5826" s="30" t="s">
        <v>20</v>
      </c>
      <c r="H5826" s="32">
        <v>652</v>
      </c>
      <c r="I5826" s="30" t="s">
        <v>21</v>
      </c>
      <c r="J5826" s="41">
        <v>44293</v>
      </c>
      <c r="K5826" s="30" t="s">
        <v>22</v>
      </c>
    </row>
    <row r="5827" spans="1:11">
      <c r="A5827" s="33" t="s">
        <v>13713</v>
      </c>
      <c r="B5827" s="33" t="s">
        <v>13714</v>
      </c>
      <c r="C5827" s="33" t="s">
        <v>5040</v>
      </c>
      <c r="D5827" s="33" t="s">
        <v>17</v>
      </c>
      <c r="E5827" s="33" t="s">
        <v>212</v>
      </c>
      <c r="F5827" s="33" t="s">
        <v>213</v>
      </c>
      <c r="G5827" s="33" t="s">
        <v>20</v>
      </c>
      <c r="H5827" s="35">
        <v>450</v>
      </c>
      <c r="I5827" s="33" t="s">
        <v>21</v>
      </c>
      <c r="J5827" s="42">
        <v>44294</v>
      </c>
      <c r="K5827" s="33" t="s">
        <v>22</v>
      </c>
    </row>
    <row r="5828" spans="1:11">
      <c r="A5828" s="30" t="s">
        <v>13715</v>
      </c>
      <c r="B5828" s="30" t="s">
        <v>13716</v>
      </c>
      <c r="C5828" s="30" t="s">
        <v>6205</v>
      </c>
      <c r="D5828" s="30" t="s">
        <v>17</v>
      </c>
      <c r="E5828" s="30" t="s">
        <v>31</v>
      </c>
      <c r="F5828" s="30" t="s">
        <v>32</v>
      </c>
      <c r="G5828" s="30" t="s">
        <v>20</v>
      </c>
      <c r="H5828" s="32">
        <v>500</v>
      </c>
      <c r="I5828" s="30" t="s">
        <v>21</v>
      </c>
      <c r="J5828" s="41">
        <v>44319</v>
      </c>
      <c r="K5828" s="30" t="s">
        <v>22</v>
      </c>
    </row>
    <row r="5829" spans="1:11">
      <c r="A5829" s="33" t="s">
        <v>13717</v>
      </c>
      <c r="B5829" s="33" t="s">
        <v>13718</v>
      </c>
      <c r="C5829" s="33" t="s">
        <v>6663</v>
      </c>
      <c r="D5829" s="33" t="s">
        <v>17</v>
      </c>
      <c r="E5829" s="33" t="s">
        <v>26</v>
      </c>
      <c r="F5829" s="33" t="s">
        <v>27</v>
      </c>
      <c r="G5829" s="33" t="s">
        <v>20</v>
      </c>
      <c r="H5829" s="35">
        <v>18</v>
      </c>
      <c r="I5829" s="33" t="s">
        <v>21</v>
      </c>
      <c r="J5829" s="42">
        <v>44532</v>
      </c>
      <c r="K5829" s="33" t="s">
        <v>22</v>
      </c>
    </row>
    <row r="5830" spans="1:11">
      <c r="A5830" s="30" t="s">
        <v>13719</v>
      </c>
      <c r="B5830" s="30" t="s">
        <v>13720</v>
      </c>
      <c r="C5830" s="30" t="s">
        <v>13721</v>
      </c>
      <c r="D5830" s="30" t="s">
        <v>17</v>
      </c>
      <c r="E5830" s="30" t="s">
        <v>67</v>
      </c>
      <c r="F5830" s="30" t="s">
        <v>68</v>
      </c>
      <c r="G5830" s="30" t="s">
        <v>20</v>
      </c>
      <c r="H5830" s="32">
        <v>9</v>
      </c>
      <c r="I5830" s="30" t="s">
        <v>21</v>
      </c>
      <c r="J5830" s="41">
        <v>44545</v>
      </c>
      <c r="K5830" s="30" t="s">
        <v>22</v>
      </c>
    </row>
    <row r="5831" spans="1:11">
      <c r="A5831" s="33" t="s">
        <v>13722</v>
      </c>
      <c r="B5831" s="33" t="s">
        <v>13723</v>
      </c>
      <c r="C5831" s="33" t="s">
        <v>3770</v>
      </c>
      <c r="D5831" s="33" t="s">
        <v>17</v>
      </c>
      <c r="E5831" s="33" t="s">
        <v>31</v>
      </c>
      <c r="F5831" s="33" t="s">
        <v>32</v>
      </c>
      <c r="G5831" s="33" t="s">
        <v>158</v>
      </c>
      <c r="H5831" s="35">
        <v>74</v>
      </c>
      <c r="I5831" s="33" t="s">
        <v>21</v>
      </c>
      <c r="J5831" s="42">
        <v>44291</v>
      </c>
      <c r="K5831" s="33" t="s">
        <v>22</v>
      </c>
    </row>
    <row r="5832" spans="1:11">
      <c r="A5832" s="30" t="s">
        <v>13724</v>
      </c>
      <c r="B5832" s="30" t="s">
        <v>13725</v>
      </c>
      <c r="C5832" s="30" t="s">
        <v>109</v>
      </c>
      <c r="D5832" s="30" t="s">
        <v>17</v>
      </c>
      <c r="E5832" s="30" t="s">
        <v>18</v>
      </c>
      <c r="F5832" s="30" t="s">
        <v>19</v>
      </c>
      <c r="G5832" s="30" t="s">
        <v>112</v>
      </c>
      <c r="H5832" s="32">
        <v>0</v>
      </c>
      <c r="I5832" s="30" t="s">
        <v>21</v>
      </c>
      <c r="J5832" s="41">
        <v>44342</v>
      </c>
      <c r="K5832" s="30" t="s">
        <v>22</v>
      </c>
    </row>
    <row r="5833" spans="1:11">
      <c r="A5833" s="33" t="s">
        <v>13726</v>
      </c>
      <c r="B5833" s="33" t="s">
        <v>13727</v>
      </c>
      <c r="C5833" s="33" t="s">
        <v>44</v>
      </c>
      <c r="D5833" s="33" t="s">
        <v>17</v>
      </c>
      <c r="E5833" s="33" t="s">
        <v>31</v>
      </c>
      <c r="F5833" s="33" t="s">
        <v>32</v>
      </c>
      <c r="G5833" s="33" t="s">
        <v>106</v>
      </c>
      <c r="H5833" s="35">
        <v>24</v>
      </c>
      <c r="I5833" s="33" t="s">
        <v>21</v>
      </c>
      <c r="J5833" s="42">
        <v>44217</v>
      </c>
      <c r="K5833" s="33" t="s">
        <v>22</v>
      </c>
    </row>
    <row r="5834" spans="1:11">
      <c r="A5834" s="30" t="s">
        <v>13728</v>
      </c>
      <c r="B5834" s="30" t="s">
        <v>13729</v>
      </c>
      <c r="C5834" s="30" t="s">
        <v>1604</v>
      </c>
      <c r="D5834" s="30" t="s">
        <v>17</v>
      </c>
      <c r="E5834" s="30" t="s">
        <v>31</v>
      </c>
      <c r="F5834" s="30" t="s">
        <v>32</v>
      </c>
      <c r="G5834" s="30" t="s">
        <v>140</v>
      </c>
      <c r="H5834" s="32">
        <v>70</v>
      </c>
      <c r="I5834" s="30" t="s">
        <v>51</v>
      </c>
      <c r="J5834" s="41">
        <v>44327</v>
      </c>
      <c r="K5834" s="30" t="s">
        <v>22</v>
      </c>
    </row>
    <row r="5835" spans="1:11">
      <c r="A5835" s="33" t="s">
        <v>13730</v>
      </c>
      <c r="B5835" s="33" t="s">
        <v>13731</v>
      </c>
      <c r="C5835" s="33" t="s">
        <v>3315</v>
      </c>
      <c r="D5835" s="33" t="s">
        <v>17</v>
      </c>
      <c r="E5835" s="33" t="s">
        <v>67</v>
      </c>
      <c r="F5835" s="33" t="s">
        <v>68</v>
      </c>
      <c r="G5835" s="33" t="s">
        <v>106</v>
      </c>
      <c r="H5835" s="35">
        <v>1</v>
      </c>
      <c r="I5835" s="33" t="s">
        <v>21</v>
      </c>
      <c r="J5835" s="42">
        <v>44257</v>
      </c>
      <c r="K5835" s="33" t="s">
        <v>22</v>
      </c>
    </row>
    <row r="5836" spans="1:11">
      <c r="A5836" s="30" t="s">
        <v>13732</v>
      </c>
      <c r="B5836" s="30" t="s">
        <v>13733</v>
      </c>
      <c r="C5836" s="30" t="s">
        <v>13241</v>
      </c>
      <c r="D5836" s="30" t="s">
        <v>17</v>
      </c>
      <c r="E5836" s="30" t="s">
        <v>26</v>
      </c>
      <c r="F5836" s="30" t="s">
        <v>27</v>
      </c>
      <c r="G5836" s="30" t="s">
        <v>20</v>
      </c>
      <c r="H5836" s="32">
        <v>63</v>
      </c>
      <c r="I5836" s="30" t="s">
        <v>21</v>
      </c>
      <c r="J5836" s="41">
        <v>44324</v>
      </c>
      <c r="K5836" s="30" t="s">
        <v>22</v>
      </c>
    </row>
    <row r="5837" spans="1:11">
      <c r="A5837" s="33" t="s">
        <v>13734</v>
      </c>
      <c r="B5837" s="33" t="s">
        <v>13735</v>
      </c>
      <c r="C5837" s="33" t="s">
        <v>11088</v>
      </c>
      <c r="D5837" s="33" t="s">
        <v>17</v>
      </c>
      <c r="E5837" s="33" t="s">
        <v>212</v>
      </c>
      <c r="F5837" s="33" t="s">
        <v>213</v>
      </c>
      <c r="G5837" s="33" t="s">
        <v>20</v>
      </c>
      <c r="H5837" s="35">
        <v>70</v>
      </c>
      <c r="I5837" s="33" t="s">
        <v>21</v>
      </c>
      <c r="J5837" s="42">
        <v>44523</v>
      </c>
      <c r="K5837" s="33" t="s">
        <v>22</v>
      </c>
    </row>
    <row r="5838" spans="1:11">
      <c r="A5838" s="30" t="s">
        <v>13736</v>
      </c>
      <c r="B5838" s="30" t="s">
        <v>13737</v>
      </c>
      <c r="C5838" s="30" t="s">
        <v>78</v>
      </c>
      <c r="D5838" s="30" t="s">
        <v>17</v>
      </c>
      <c r="E5838" s="30" t="s">
        <v>26</v>
      </c>
      <c r="F5838" s="30" t="s">
        <v>27</v>
      </c>
      <c r="G5838" s="30" t="s">
        <v>20</v>
      </c>
      <c r="H5838" s="32">
        <v>62</v>
      </c>
      <c r="I5838" s="30" t="s">
        <v>21</v>
      </c>
      <c r="J5838" s="41">
        <v>44247</v>
      </c>
      <c r="K5838" s="30" t="s">
        <v>22</v>
      </c>
    </row>
    <row r="5839" spans="1:11">
      <c r="A5839" s="33" t="s">
        <v>13738</v>
      </c>
      <c r="B5839" s="33" t="s">
        <v>13739</v>
      </c>
      <c r="C5839" s="33" t="s">
        <v>146</v>
      </c>
      <c r="D5839" s="33" t="s">
        <v>17</v>
      </c>
      <c r="E5839" s="33" t="s">
        <v>18</v>
      </c>
      <c r="F5839" s="33" t="s">
        <v>19</v>
      </c>
      <c r="G5839" s="33" t="s">
        <v>106</v>
      </c>
      <c r="H5839" s="35">
        <v>652</v>
      </c>
      <c r="I5839" s="33" t="s">
        <v>21</v>
      </c>
      <c r="J5839" s="42">
        <v>44505</v>
      </c>
      <c r="K5839" s="33" t="s">
        <v>22</v>
      </c>
    </row>
    <row r="5840" spans="1:11">
      <c r="A5840" s="30" t="s">
        <v>13740</v>
      </c>
      <c r="B5840" s="30" t="s">
        <v>13741</v>
      </c>
      <c r="C5840" s="30" t="s">
        <v>730</v>
      </c>
      <c r="D5840" s="30" t="s">
        <v>17</v>
      </c>
      <c r="E5840" s="30" t="s">
        <v>31</v>
      </c>
      <c r="F5840" s="30" t="s">
        <v>32</v>
      </c>
      <c r="G5840" s="30" t="s">
        <v>106</v>
      </c>
      <c r="H5840" s="32">
        <v>66</v>
      </c>
      <c r="I5840" s="30" t="s">
        <v>21</v>
      </c>
      <c r="J5840" s="41">
        <v>44491</v>
      </c>
      <c r="K5840" s="30" t="s">
        <v>22</v>
      </c>
    </row>
    <row r="5841" spans="1:11">
      <c r="A5841" s="33" t="s">
        <v>13742</v>
      </c>
      <c r="B5841" s="33" t="s">
        <v>13743</v>
      </c>
      <c r="C5841" s="33" t="s">
        <v>801</v>
      </c>
      <c r="D5841" s="33" t="s">
        <v>17</v>
      </c>
      <c r="E5841" s="33" t="s">
        <v>26</v>
      </c>
      <c r="F5841" s="33" t="s">
        <v>27</v>
      </c>
      <c r="G5841" s="33" t="s">
        <v>20</v>
      </c>
      <c r="H5841" s="35">
        <v>36</v>
      </c>
      <c r="I5841" s="33" t="s">
        <v>21</v>
      </c>
      <c r="J5841" s="42">
        <v>44545</v>
      </c>
      <c r="K5841" s="33" t="s">
        <v>22</v>
      </c>
    </row>
    <row r="5842" spans="1:11">
      <c r="A5842" s="30" t="s">
        <v>13744</v>
      </c>
      <c r="B5842" s="30" t="s">
        <v>13745</v>
      </c>
      <c r="C5842" s="30" t="s">
        <v>1974</v>
      </c>
      <c r="D5842" s="30" t="s">
        <v>17</v>
      </c>
      <c r="E5842" s="30" t="s">
        <v>31</v>
      </c>
      <c r="F5842" s="30" t="s">
        <v>32</v>
      </c>
      <c r="G5842" s="30" t="s">
        <v>106</v>
      </c>
      <c r="H5842" s="32">
        <v>40</v>
      </c>
      <c r="I5842" s="30" t="s">
        <v>21</v>
      </c>
      <c r="J5842" s="41">
        <v>44285</v>
      </c>
      <c r="K5842" s="30" t="s">
        <v>22</v>
      </c>
    </row>
    <row r="5843" spans="1:11">
      <c r="A5843" s="33" t="s">
        <v>13746</v>
      </c>
      <c r="B5843" s="33" t="s">
        <v>13747</v>
      </c>
      <c r="C5843" s="33" t="s">
        <v>936</v>
      </c>
      <c r="D5843" s="33" t="s">
        <v>17</v>
      </c>
      <c r="E5843" s="33" t="s">
        <v>18</v>
      </c>
      <c r="F5843" s="33" t="s">
        <v>19</v>
      </c>
      <c r="G5843" s="33" t="s">
        <v>158</v>
      </c>
      <c r="H5843" s="35">
        <v>920</v>
      </c>
      <c r="I5843" s="33" t="s">
        <v>21</v>
      </c>
      <c r="J5843" s="42">
        <v>44532</v>
      </c>
      <c r="K5843" s="33" t="s">
        <v>22</v>
      </c>
    </row>
    <row r="5844" spans="1:11">
      <c r="A5844" s="30" t="s">
        <v>13748</v>
      </c>
      <c r="B5844" s="30" t="s">
        <v>13749</v>
      </c>
      <c r="C5844" s="30" t="s">
        <v>326</v>
      </c>
      <c r="D5844" s="30" t="s">
        <v>17</v>
      </c>
      <c r="E5844" s="30" t="s">
        <v>26</v>
      </c>
      <c r="F5844" s="30" t="s">
        <v>27</v>
      </c>
      <c r="G5844" s="30" t="s">
        <v>106</v>
      </c>
      <c r="H5844" s="32">
        <v>28</v>
      </c>
      <c r="I5844" s="30" t="s">
        <v>21</v>
      </c>
      <c r="J5844" s="41">
        <v>44251</v>
      </c>
      <c r="K5844" s="30" t="s">
        <v>22</v>
      </c>
    </row>
    <row r="5845" spans="1:11">
      <c r="A5845" s="33" t="s">
        <v>13750</v>
      </c>
      <c r="B5845" s="33" t="s">
        <v>13751</v>
      </c>
      <c r="C5845" s="33" t="s">
        <v>4059</v>
      </c>
      <c r="D5845" s="33" t="s">
        <v>17</v>
      </c>
      <c r="E5845" s="33" t="s">
        <v>31</v>
      </c>
      <c r="F5845" s="33" t="s">
        <v>32</v>
      </c>
      <c r="G5845" s="33" t="s">
        <v>20</v>
      </c>
      <c r="H5845" s="35">
        <v>296</v>
      </c>
      <c r="I5845" s="33" t="s">
        <v>21</v>
      </c>
      <c r="J5845" s="42">
        <v>44348</v>
      </c>
      <c r="K5845" s="33" t="s">
        <v>22</v>
      </c>
    </row>
    <row r="5846" spans="1:11">
      <c r="A5846" s="30" t="s">
        <v>13752</v>
      </c>
      <c r="B5846" s="30" t="s">
        <v>13753</v>
      </c>
      <c r="C5846" s="30" t="s">
        <v>13754</v>
      </c>
      <c r="D5846" s="30" t="s">
        <v>17</v>
      </c>
      <c r="E5846" s="30" t="s">
        <v>18</v>
      </c>
      <c r="F5846" s="30" t="s">
        <v>19</v>
      </c>
      <c r="G5846" s="30" t="s">
        <v>20</v>
      </c>
      <c r="H5846" s="32">
        <v>173</v>
      </c>
      <c r="I5846" s="30" t="s">
        <v>21</v>
      </c>
      <c r="J5846" s="41">
        <v>44531</v>
      </c>
      <c r="K5846" s="30" t="s">
        <v>22</v>
      </c>
    </row>
    <row r="5847" spans="1:11">
      <c r="A5847" s="33" t="s">
        <v>13755</v>
      </c>
      <c r="B5847" s="33" t="s">
        <v>13756</v>
      </c>
      <c r="C5847" s="33" t="s">
        <v>4796</v>
      </c>
      <c r="D5847" s="33" t="s">
        <v>17</v>
      </c>
      <c r="E5847" s="33" t="s">
        <v>212</v>
      </c>
      <c r="F5847" s="33" t="s">
        <v>213</v>
      </c>
      <c r="G5847" s="33" t="s">
        <v>20</v>
      </c>
      <c r="H5847" s="35">
        <v>182</v>
      </c>
      <c r="I5847" s="33" t="s">
        <v>21</v>
      </c>
      <c r="J5847" s="42">
        <v>44539</v>
      </c>
      <c r="K5847" s="33" t="s">
        <v>22</v>
      </c>
    </row>
    <row r="5848" spans="1:11">
      <c r="A5848" s="30" t="s">
        <v>13757</v>
      </c>
      <c r="B5848" s="30" t="s">
        <v>13758</v>
      </c>
      <c r="C5848" s="30" t="s">
        <v>1228</v>
      </c>
      <c r="D5848" s="30" t="s">
        <v>17</v>
      </c>
      <c r="E5848" s="30" t="s">
        <v>18</v>
      </c>
      <c r="F5848" s="30" t="s">
        <v>19</v>
      </c>
      <c r="G5848" s="30" t="s">
        <v>20</v>
      </c>
      <c r="H5848" s="32">
        <v>230</v>
      </c>
      <c r="I5848" s="30" t="s">
        <v>21</v>
      </c>
      <c r="J5848" s="41">
        <v>44441</v>
      </c>
      <c r="K5848" s="30" t="s">
        <v>22</v>
      </c>
    </row>
    <row r="5849" spans="1:11">
      <c r="A5849" s="33" t="s">
        <v>13759</v>
      </c>
      <c r="B5849" s="33" t="s">
        <v>13760</v>
      </c>
      <c r="C5849" s="33" t="s">
        <v>10681</v>
      </c>
      <c r="D5849" s="33" t="s">
        <v>17</v>
      </c>
      <c r="E5849" s="33" t="s">
        <v>31</v>
      </c>
      <c r="F5849" s="33" t="s">
        <v>32</v>
      </c>
      <c r="G5849" s="33" t="s">
        <v>112</v>
      </c>
      <c r="H5849" s="35">
        <v>0</v>
      </c>
      <c r="I5849" s="33" t="s">
        <v>21</v>
      </c>
      <c r="J5849" s="42">
        <v>44511</v>
      </c>
      <c r="K5849" s="33" t="s">
        <v>22</v>
      </c>
    </row>
    <row r="5850" spans="1:11">
      <c r="A5850" s="30" t="s">
        <v>13761</v>
      </c>
      <c r="B5850" s="30" t="s">
        <v>13762</v>
      </c>
      <c r="C5850" s="30" t="s">
        <v>149</v>
      </c>
      <c r="D5850" s="30" t="s">
        <v>17</v>
      </c>
      <c r="E5850" s="30" t="s">
        <v>18</v>
      </c>
      <c r="F5850" s="30" t="s">
        <v>19</v>
      </c>
      <c r="G5850" s="30" t="s">
        <v>20</v>
      </c>
      <c r="H5850" s="32">
        <v>144</v>
      </c>
      <c r="I5850" s="30" t="s">
        <v>21</v>
      </c>
      <c r="J5850" s="41">
        <v>44300</v>
      </c>
      <c r="K5850" s="30" t="s">
        <v>22</v>
      </c>
    </row>
    <row r="5851" spans="1:11">
      <c r="A5851" s="33" t="s">
        <v>13763</v>
      </c>
      <c r="B5851" s="33" t="s">
        <v>13764</v>
      </c>
      <c r="C5851" s="33" t="s">
        <v>13765</v>
      </c>
      <c r="D5851" s="33" t="s">
        <v>17</v>
      </c>
      <c r="E5851" s="33" t="s">
        <v>26</v>
      </c>
      <c r="F5851" s="33" t="s">
        <v>27</v>
      </c>
      <c r="G5851" s="33" t="s">
        <v>20</v>
      </c>
      <c r="H5851" s="35">
        <v>45</v>
      </c>
      <c r="I5851" s="33" t="s">
        <v>21</v>
      </c>
      <c r="J5851" s="42">
        <v>44417</v>
      </c>
      <c r="K5851" s="33" t="s">
        <v>22</v>
      </c>
    </row>
    <row r="5852" spans="1:11">
      <c r="A5852" s="30" t="s">
        <v>13766</v>
      </c>
      <c r="B5852" s="30" t="s">
        <v>13767</v>
      </c>
      <c r="C5852" s="30" t="s">
        <v>13768</v>
      </c>
      <c r="D5852" s="30" t="s">
        <v>17</v>
      </c>
      <c r="E5852" s="30" t="s">
        <v>26</v>
      </c>
      <c r="F5852" s="30" t="s">
        <v>27</v>
      </c>
      <c r="G5852" s="30" t="s">
        <v>140</v>
      </c>
      <c r="H5852" s="32">
        <v>158</v>
      </c>
      <c r="I5852" s="30" t="s">
        <v>51</v>
      </c>
      <c r="J5852" s="41">
        <v>44393</v>
      </c>
      <c r="K5852" s="30" t="s">
        <v>22</v>
      </c>
    </row>
    <row r="5853" spans="1:11">
      <c r="A5853" s="33" t="s">
        <v>13769</v>
      </c>
      <c r="B5853" s="33" t="s">
        <v>13770</v>
      </c>
      <c r="C5853" s="33" t="s">
        <v>13771</v>
      </c>
      <c r="D5853" s="33" t="s">
        <v>17</v>
      </c>
      <c r="E5853" s="33" t="s">
        <v>67</v>
      </c>
      <c r="F5853" s="33" t="s">
        <v>68</v>
      </c>
      <c r="G5853" s="33" t="s">
        <v>158</v>
      </c>
      <c r="H5853" s="35">
        <v>45</v>
      </c>
      <c r="I5853" s="33" t="s">
        <v>51</v>
      </c>
      <c r="J5853" s="42">
        <v>44320</v>
      </c>
      <c r="K5853" s="33" t="s">
        <v>22</v>
      </c>
    </row>
    <row r="5854" spans="1:11">
      <c r="A5854" s="30" t="s">
        <v>13772</v>
      </c>
      <c r="B5854" s="30" t="s">
        <v>13773</v>
      </c>
      <c r="C5854" s="30" t="s">
        <v>13774</v>
      </c>
      <c r="D5854" s="30" t="s">
        <v>17</v>
      </c>
      <c r="E5854" s="30" t="s">
        <v>26</v>
      </c>
      <c r="F5854" s="30" t="s">
        <v>27</v>
      </c>
      <c r="G5854" s="30" t="s">
        <v>20</v>
      </c>
      <c r="H5854" s="32">
        <v>56</v>
      </c>
      <c r="I5854" s="30" t="s">
        <v>21</v>
      </c>
      <c r="J5854" s="41">
        <v>44497</v>
      </c>
      <c r="K5854" s="30" t="s">
        <v>22</v>
      </c>
    </row>
    <row r="5855" spans="1:11">
      <c r="A5855" s="33" t="s">
        <v>13775</v>
      </c>
      <c r="B5855" s="33" t="s">
        <v>13776</v>
      </c>
      <c r="C5855" s="33" t="s">
        <v>109</v>
      </c>
      <c r="D5855" s="33" t="s">
        <v>17</v>
      </c>
      <c r="E5855" s="33" t="s">
        <v>67</v>
      </c>
      <c r="F5855" s="33" t="s">
        <v>68</v>
      </c>
      <c r="G5855" s="33" t="s">
        <v>158</v>
      </c>
      <c r="H5855" s="35">
        <v>152</v>
      </c>
      <c r="I5855" s="33" t="s">
        <v>21</v>
      </c>
      <c r="J5855" s="42">
        <v>44441</v>
      </c>
      <c r="K5855" s="33" t="s">
        <v>22</v>
      </c>
    </row>
    <row r="5856" spans="1:11">
      <c r="A5856" s="30" t="s">
        <v>13777</v>
      </c>
      <c r="B5856" s="30" t="s">
        <v>13778</v>
      </c>
      <c r="C5856" s="30" t="s">
        <v>13779</v>
      </c>
      <c r="D5856" s="30" t="s">
        <v>17</v>
      </c>
      <c r="E5856" s="30" t="s">
        <v>67</v>
      </c>
      <c r="F5856" s="30" t="s">
        <v>68</v>
      </c>
      <c r="G5856" s="30" t="s">
        <v>20</v>
      </c>
      <c r="H5856" s="32">
        <v>107</v>
      </c>
      <c r="I5856" s="30" t="s">
        <v>21</v>
      </c>
      <c r="J5856" s="41">
        <v>44377</v>
      </c>
      <c r="K5856" s="30" t="s">
        <v>22</v>
      </c>
    </row>
    <row r="5857" spans="1:11">
      <c r="A5857" s="33" t="s">
        <v>13780</v>
      </c>
      <c r="B5857" s="33" t="s">
        <v>13781</v>
      </c>
      <c r="C5857" s="33" t="s">
        <v>1305</v>
      </c>
      <c r="D5857" s="33" t="s">
        <v>17</v>
      </c>
      <c r="E5857" s="33" t="s">
        <v>67</v>
      </c>
      <c r="F5857" s="33" t="s">
        <v>68</v>
      </c>
      <c r="G5857" s="33" t="s">
        <v>140</v>
      </c>
      <c r="H5857" s="35">
        <v>240</v>
      </c>
      <c r="I5857" s="33" t="s">
        <v>51</v>
      </c>
      <c r="J5857" s="42">
        <v>44315</v>
      </c>
      <c r="K5857" s="33" t="s">
        <v>22</v>
      </c>
    </row>
    <row r="5858" spans="1:11">
      <c r="A5858" s="30" t="s">
        <v>13782</v>
      </c>
      <c r="B5858" s="30" t="s">
        <v>13783</v>
      </c>
      <c r="C5858" s="30" t="s">
        <v>102</v>
      </c>
      <c r="D5858" s="30" t="s">
        <v>17</v>
      </c>
      <c r="E5858" s="30" t="s">
        <v>26</v>
      </c>
      <c r="F5858" s="30" t="s">
        <v>27</v>
      </c>
      <c r="G5858" s="30" t="s">
        <v>20</v>
      </c>
      <c r="H5858" s="32">
        <v>37</v>
      </c>
      <c r="I5858" s="30" t="s">
        <v>21</v>
      </c>
      <c r="J5858" s="41">
        <v>44201</v>
      </c>
      <c r="K5858" s="30" t="s">
        <v>22</v>
      </c>
    </row>
    <row r="5859" spans="1:11">
      <c r="A5859" s="33" t="s">
        <v>13784</v>
      </c>
      <c r="B5859" s="33" t="s">
        <v>13785</v>
      </c>
      <c r="C5859" s="33" t="s">
        <v>252</v>
      </c>
      <c r="D5859" s="33" t="s">
        <v>17</v>
      </c>
      <c r="E5859" s="33" t="s">
        <v>67</v>
      </c>
      <c r="F5859" s="33" t="s">
        <v>68</v>
      </c>
      <c r="G5859" s="33" t="s">
        <v>158</v>
      </c>
      <c r="H5859" s="35">
        <v>68</v>
      </c>
      <c r="I5859" s="33" t="s">
        <v>21</v>
      </c>
      <c r="J5859" s="42">
        <v>44421</v>
      </c>
      <c r="K5859" s="33" t="s">
        <v>22</v>
      </c>
    </row>
    <row r="5860" spans="1:11">
      <c r="A5860" s="30" t="s">
        <v>13786</v>
      </c>
      <c r="B5860" s="30" t="s">
        <v>13787</v>
      </c>
      <c r="C5860" s="30" t="s">
        <v>13788</v>
      </c>
      <c r="D5860" s="30" t="s">
        <v>17</v>
      </c>
      <c r="E5860" s="30" t="s">
        <v>26</v>
      </c>
      <c r="F5860" s="30" t="s">
        <v>27</v>
      </c>
      <c r="G5860" s="30" t="s">
        <v>50</v>
      </c>
      <c r="H5860" s="32">
        <v>57</v>
      </c>
      <c r="I5860" s="30" t="s">
        <v>51</v>
      </c>
      <c r="J5860" s="41">
        <v>44203</v>
      </c>
      <c r="K5860" s="30" t="s">
        <v>22</v>
      </c>
    </row>
    <row r="5861" spans="1:11">
      <c r="A5861" s="33" t="s">
        <v>13789</v>
      </c>
      <c r="B5861" s="33" t="s">
        <v>13790</v>
      </c>
      <c r="C5861" s="33" t="s">
        <v>93</v>
      </c>
      <c r="D5861" s="33" t="s">
        <v>17</v>
      </c>
      <c r="E5861" s="33" t="s">
        <v>18</v>
      </c>
      <c r="F5861" s="33" t="s">
        <v>19</v>
      </c>
      <c r="G5861" s="33" t="s">
        <v>20</v>
      </c>
      <c r="H5861" s="35">
        <v>43</v>
      </c>
      <c r="I5861" s="33" t="s">
        <v>21</v>
      </c>
      <c r="J5861" s="42">
        <v>44330</v>
      </c>
      <c r="K5861" s="33" t="s">
        <v>22</v>
      </c>
    </row>
    <row r="5862" spans="1:11">
      <c r="A5862" s="30" t="s">
        <v>13791</v>
      </c>
      <c r="B5862" s="30" t="s">
        <v>13792</v>
      </c>
      <c r="C5862" s="30" t="s">
        <v>178</v>
      </c>
      <c r="D5862" s="30" t="s">
        <v>17</v>
      </c>
      <c r="E5862" s="30" t="s">
        <v>18</v>
      </c>
      <c r="F5862" s="30" t="s">
        <v>19</v>
      </c>
      <c r="G5862" s="30" t="s">
        <v>106</v>
      </c>
      <c r="H5862" s="32">
        <v>100</v>
      </c>
      <c r="I5862" s="30" t="s">
        <v>21</v>
      </c>
      <c r="J5862" s="41">
        <v>44320</v>
      </c>
      <c r="K5862" s="30" t="s">
        <v>22</v>
      </c>
    </row>
    <row r="5863" spans="1:11">
      <c r="A5863" s="33" t="s">
        <v>13793</v>
      </c>
      <c r="B5863" s="33" t="s">
        <v>13794</v>
      </c>
      <c r="C5863" s="33" t="s">
        <v>13795</v>
      </c>
      <c r="D5863" s="33" t="s">
        <v>17</v>
      </c>
      <c r="E5863" s="33" t="s">
        <v>26</v>
      </c>
      <c r="F5863" s="33" t="s">
        <v>27</v>
      </c>
      <c r="G5863" s="33" t="s">
        <v>20</v>
      </c>
      <c r="H5863" s="35">
        <v>50</v>
      </c>
      <c r="I5863" s="33" t="s">
        <v>21</v>
      </c>
      <c r="J5863" s="42">
        <v>44414</v>
      </c>
      <c r="K5863" s="33" t="s">
        <v>22</v>
      </c>
    </row>
    <row r="5864" spans="1:11">
      <c r="A5864" s="30" t="s">
        <v>13796</v>
      </c>
      <c r="B5864" s="30" t="s">
        <v>13797</v>
      </c>
      <c r="C5864" s="30" t="s">
        <v>13798</v>
      </c>
      <c r="D5864" s="30" t="s">
        <v>17</v>
      </c>
      <c r="E5864" s="30" t="s">
        <v>26</v>
      </c>
      <c r="F5864" s="30" t="s">
        <v>27</v>
      </c>
      <c r="G5864" s="30" t="s">
        <v>106</v>
      </c>
      <c r="H5864" s="32">
        <v>3</v>
      </c>
      <c r="I5864" s="30" t="s">
        <v>21</v>
      </c>
      <c r="J5864" s="41">
        <v>44421</v>
      </c>
      <c r="K5864" s="30" t="s">
        <v>22</v>
      </c>
    </row>
    <row r="5865" spans="1:11">
      <c r="A5865" s="33" t="s">
        <v>13799</v>
      </c>
      <c r="B5865" s="33" t="s">
        <v>13800</v>
      </c>
      <c r="C5865" s="33" t="s">
        <v>136</v>
      </c>
      <c r="D5865" s="33" t="s">
        <v>17</v>
      </c>
      <c r="E5865" s="33" t="s">
        <v>26</v>
      </c>
      <c r="F5865" s="33" t="s">
        <v>27</v>
      </c>
      <c r="G5865" s="33" t="s">
        <v>20</v>
      </c>
      <c r="H5865" s="35">
        <v>40</v>
      </c>
      <c r="I5865" s="33" t="s">
        <v>21</v>
      </c>
      <c r="J5865" s="42">
        <v>44491</v>
      </c>
      <c r="K5865" s="33" t="s">
        <v>22</v>
      </c>
    </row>
    <row r="5866" spans="1:11">
      <c r="A5866" s="30" t="s">
        <v>13801</v>
      </c>
      <c r="B5866" s="30" t="s">
        <v>13802</v>
      </c>
      <c r="C5866" s="30" t="s">
        <v>2855</v>
      </c>
      <c r="D5866" s="30" t="s">
        <v>17</v>
      </c>
      <c r="E5866" s="30" t="s">
        <v>26</v>
      </c>
      <c r="F5866" s="30" t="s">
        <v>27</v>
      </c>
      <c r="G5866" s="30" t="s">
        <v>20</v>
      </c>
      <c r="H5866" s="32">
        <v>32</v>
      </c>
      <c r="I5866" s="30" t="s">
        <v>21</v>
      </c>
      <c r="J5866" s="41">
        <v>44403</v>
      </c>
      <c r="K5866" s="30" t="s">
        <v>22</v>
      </c>
    </row>
    <row r="5867" spans="1:11">
      <c r="A5867" s="33" t="s">
        <v>13803</v>
      </c>
      <c r="B5867" s="33" t="s">
        <v>13804</v>
      </c>
      <c r="C5867" s="33" t="s">
        <v>709</v>
      </c>
      <c r="D5867" s="33" t="s">
        <v>17</v>
      </c>
      <c r="E5867" s="33" t="s">
        <v>31</v>
      </c>
      <c r="F5867" s="33" t="s">
        <v>32</v>
      </c>
      <c r="G5867" s="33" t="s">
        <v>20</v>
      </c>
      <c r="H5867" s="35">
        <v>55</v>
      </c>
      <c r="I5867" s="33" t="s">
        <v>21</v>
      </c>
      <c r="J5867" s="42">
        <v>44537</v>
      </c>
      <c r="K5867" s="33" t="s">
        <v>22</v>
      </c>
    </row>
    <row r="5868" spans="1:11">
      <c r="A5868" s="30" t="s">
        <v>13805</v>
      </c>
      <c r="B5868" s="30" t="s">
        <v>13806</v>
      </c>
      <c r="C5868" s="30" t="s">
        <v>4026</v>
      </c>
      <c r="D5868" s="30" t="s">
        <v>17</v>
      </c>
      <c r="E5868" s="30" t="s">
        <v>31</v>
      </c>
      <c r="F5868" s="30" t="s">
        <v>32</v>
      </c>
      <c r="G5868" s="30" t="s">
        <v>20</v>
      </c>
      <c r="H5868" s="32">
        <v>14</v>
      </c>
      <c r="I5868" s="30" t="s">
        <v>21</v>
      </c>
      <c r="J5868" s="41">
        <v>44553</v>
      </c>
      <c r="K5868" s="30" t="s">
        <v>22</v>
      </c>
    </row>
    <row r="5869" spans="1:11">
      <c r="A5869" s="33" t="s">
        <v>13807</v>
      </c>
      <c r="B5869" s="33" t="s">
        <v>13808</v>
      </c>
      <c r="C5869" s="33" t="s">
        <v>13809</v>
      </c>
      <c r="D5869" s="33" t="s">
        <v>17</v>
      </c>
      <c r="E5869" s="33" t="s">
        <v>18</v>
      </c>
      <c r="F5869" s="33" t="s">
        <v>19</v>
      </c>
      <c r="G5869" s="33" t="s">
        <v>106</v>
      </c>
      <c r="H5869" s="35">
        <v>1</v>
      </c>
      <c r="I5869" s="33" t="s">
        <v>21</v>
      </c>
      <c r="J5869" s="42">
        <v>44231</v>
      </c>
      <c r="K5869" s="33" t="s">
        <v>22</v>
      </c>
    </row>
    <row r="5870" spans="1:11">
      <c r="A5870" s="30" t="s">
        <v>13810</v>
      </c>
      <c r="B5870" s="30" t="s">
        <v>13811</v>
      </c>
      <c r="C5870" s="30" t="s">
        <v>1313</v>
      </c>
      <c r="D5870" s="30" t="s">
        <v>17</v>
      </c>
      <c r="E5870" s="30" t="s">
        <v>31</v>
      </c>
      <c r="F5870" s="30" t="s">
        <v>32</v>
      </c>
      <c r="G5870" s="30" t="s">
        <v>112</v>
      </c>
      <c r="H5870" s="32">
        <v>0</v>
      </c>
      <c r="I5870" s="30" t="s">
        <v>21</v>
      </c>
      <c r="J5870" s="41">
        <v>44501</v>
      </c>
      <c r="K5870" s="30" t="s">
        <v>22</v>
      </c>
    </row>
    <row r="5871" spans="1:11">
      <c r="A5871" s="33" t="s">
        <v>13812</v>
      </c>
      <c r="B5871" s="33" t="s">
        <v>13813</v>
      </c>
      <c r="C5871" s="33" t="s">
        <v>2132</v>
      </c>
      <c r="D5871" s="33" t="s">
        <v>17</v>
      </c>
      <c r="E5871" s="33" t="s">
        <v>45</v>
      </c>
      <c r="F5871" s="33" t="s">
        <v>46</v>
      </c>
      <c r="G5871" s="33" t="s">
        <v>20</v>
      </c>
      <c r="H5871" s="35">
        <v>150</v>
      </c>
      <c r="I5871" s="33" t="s">
        <v>21</v>
      </c>
      <c r="J5871" s="42">
        <v>44362</v>
      </c>
      <c r="K5871" s="33" t="s">
        <v>22</v>
      </c>
    </row>
    <row r="5872" spans="1:11">
      <c r="A5872" s="30" t="s">
        <v>13814</v>
      </c>
      <c r="B5872" s="30" t="s">
        <v>13815</v>
      </c>
      <c r="C5872" s="30" t="s">
        <v>1165</v>
      </c>
      <c r="D5872" s="30" t="s">
        <v>17</v>
      </c>
      <c r="E5872" s="30" t="s">
        <v>18</v>
      </c>
      <c r="F5872" s="30" t="s">
        <v>19</v>
      </c>
      <c r="G5872" s="30" t="s">
        <v>106</v>
      </c>
      <c r="H5872" s="32">
        <v>183</v>
      </c>
      <c r="I5872" s="30" t="s">
        <v>21</v>
      </c>
      <c r="J5872" s="41">
        <v>44392</v>
      </c>
      <c r="K5872" s="30" t="s">
        <v>22</v>
      </c>
    </row>
    <row r="5873" spans="1:11">
      <c r="A5873" s="33" t="s">
        <v>13816</v>
      </c>
      <c r="B5873" s="33" t="s">
        <v>13817</v>
      </c>
      <c r="C5873" s="33" t="s">
        <v>13818</v>
      </c>
      <c r="D5873" s="33" t="s">
        <v>17</v>
      </c>
      <c r="E5873" s="33" t="s">
        <v>31</v>
      </c>
      <c r="F5873" s="33" t="s">
        <v>32</v>
      </c>
      <c r="G5873" s="33" t="s">
        <v>20</v>
      </c>
      <c r="H5873" s="35">
        <v>214</v>
      </c>
      <c r="I5873" s="33" t="s">
        <v>21</v>
      </c>
      <c r="J5873" s="42">
        <v>44447</v>
      </c>
      <c r="K5873" s="33" t="s">
        <v>22</v>
      </c>
    </row>
    <row r="5874" spans="1:11">
      <c r="A5874" s="30" t="s">
        <v>13819</v>
      </c>
      <c r="B5874" s="30" t="s">
        <v>13820</v>
      </c>
      <c r="C5874" s="30" t="s">
        <v>96</v>
      </c>
      <c r="D5874" s="30" t="s">
        <v>17</v>
      </c>
      <c r="E5874" s="30" t="s">
        <v>26</v>
      </c>
      <c r="F5874" s="30" t="s">
        <v>27</v>
      </c>
      <c r="G5874" s="30" t="s">
        <v>20</v>
      </c>
      <c r="H5874" s="32">
        <v>12</v>
      </c>
      <c r="I5874" s="30" t="s">
        <v>21</v>
      </c>
      <c r="J5874" s="41">
        <v>44329</v>
      </c>
      <c r="K5874" s="30" t="s">
        <v>22</v>
      </c>
    </row>
    <row r="5875" spans="1:11">
      <c r="A5875" s="33" t="s">
        <v>13821</v>
      </c>
      <c r="B5875" s="33" t="s">
        <v>13822</v>
      </c>
      <c r="C5875" s="33" t="s">
        <v>231</v>
      </c>
      <c r="D5875" s="33" t="s">
        <v>17</v>
      </c>
      <c r="E5875" s="33" t="s">
        <v>26</v>
      </c>
      <c r="F5875" s="33" t="s">
        <v>27</v>
      </c>
      <c r="G5875" s="33" t="s">
        <v>158</v>
      </c>
      <c r="H5875" s="35">
        <v>151</v>
      </c>
      <c r="I5875" s="33" t="s">
        <v>21</v>
      </c>
      <c r="J5875" s="42">
        <v>44487</v>
      </c>
      <c r="K5875" s="33" t="s">
        <v>22</v>
      </c>
    </row>
    <row r="5876" spans="1:11">
      <c r="A5876" s="30" t="s">
        <v>13823</v>
      </c>
      <c r="B5876" s="30" t="s">
        <v>13824</v>
      </c>
      <c r="C5876" s="30" t="s">
        <v>1003</v>
      </c>
      <c r="D5876" s="30" t="s">
        <v>17</v>
      </c>
      <c r="E5876" s="30" t="s">
        <v>67</v>
      </c>
      <c r="F5876" s="30" t="s">
        <v>68</v>
      </c>
      <c r="G5876" s="30" t="s">
        <v>106</v>
      </c>
      <c r="H5876" s="32">
        <v>15</v>
      </c>
      <c r="I5876" s="30" t="s">
        <v>21</v>
      </c>
      <c r="J5876" s="41">
        <v>44215</v>
      </c>
      <c r="K5876" s="30" t="s">
        <v>22</v>
      </c>
    </row>
    <row r="5877" spans="1:11">
      <c r="A5877" s="33" t="s">
        <v>13825</v>
      </c>
      <c r="B5877" s="33" t="s">
        <v>13826</v>
      </c>
      <c r="C5877" s="33" t="s">
        <v>2283</v>
      </c>
      <c r="D5877" s="33" t="s">
        <v>17</v>
      </c>
      <c r="E5877" s="33" t="s">
        <v>67</v>
      </c>
      <c r="F5877" s="33" t="s">
        <v>68</v>
      </c>
      <c r="G5877" s="33" t="s">
        <v>106</v>
      </c>
      <c r="H5877" s="35">
        <v>13</v>
      </c>
      <c r="I5877" s="33" t="s">
        <v>21</v>
      </c>
      <c r="J5877" s="42">
        <v>44479</v>
      </c>
      <c r="K5877" s="33" t="s">
        <v>22</v>
      </c>
    </row>
    <row r="5878" spans="1:11">
      <c r="A5878" s="30" t="s">
        <v>13827</v>
      </c>
      <c r="B5878" s="30" t="s">
        <v>13828</v>
      </c>
      <c r="C5878" s="30" t="s">
        <v>4737</v>
      </c>
      <c r="D5878" s="30" t="s">
        <v>17</v>
      </c>
      <c r="E5878" s="30" t="s">
        <v>31</v>
      </c>
      <c r="F5878" s="30" t="s">
        <v>32</v>
      </c>
      <c r="G5878" s="30" t="s">
        <v>20</v>
      </c>
      <c r="H5878" s="32">
        <v>49</v>
      </c>
      <c r="I5878" s="30" t="s">
        <v>21</v>
      </c>
      <c r="J5878" s="41">
        <v>44228</v>
      </c>
      <c r="K5878" s="30" t="s">
        <v>22</v>
      </c>
    </row>
    <row r="5879" spans="1:11">
      <c r="A5879" s="33" t="s">
        <v>13829</v>
      </c>
      <c r="B5879" s="33" t="s">
        <v>13830</v>
      </c>
      <c r="C5879" s="33" t="s">
        <v>231</v>
      </c>
      <c r="D5879" s="33" t="s">
        <v>17</v>
      </c>
      <c r="E5879" s="33" t="s">
        <v>26</v>
      </c>
      <c r="F5879" s="33" t="s">
        <v>27</v>
      </c>
      <c r="G5879" s="33" t="s">
        <v>20</v>
      </c>
      <c r="H5879" s="35">
        <v>28</v>
      </c>
      <c r="I5879" s="33" t="s">
        <v>21</v>
      </c>
      <c r="J5879" s="42">
        <v>44494</v>
      </c>
      <c r="K5879" s="33" t="s">
        <v>22</v>
      </c>
    </row>
    <row r="5880" spans="1:11">
      <c r="A5880" s="30" t="s">
        <v>13831</v>
      </c>
      <c r="B5880" s="30" t="s">
        <v>13832</v>
      </c>
      <c r="C5880" s="30" t="s">
        <v>684</v>
      </c>
      <c r="D5880" s="30" t="s">
        <v>17</v>
      </c>
      <c r="E5880" s="30" t="s">
        <v>26</v>
      </c>
      <c r="F5880" s="30" t="s">
        <v>27</v>
      </c>
      <c r="G5880" s="30" t="s">
        <v>20</v>
      </c>
      <c r="H5880" s="32">
        <v>6</v>
      </c>
      <c r="I5880" s="30" t="s">
        <v>21</v>
      </c>
      <c r="J5880" s="41">
        <v>44531</v>
      </c>
      <c r="K5880" s="30" t="s">
        <v>22</v>
      </c>
    </row>
    <row r="5881" spans="1:11">
      <c r="A5881" s="33" t="s">
        <v>13833</v>
      </c>
      <c r="B5881" s="33" t="s">
        <v>13834</v>
      </c>
      <c r="C5881" s="33" t="s">
        <v>450</v>
      </c>
      <c r="D5881" s="33" t="s">
        <v>17</v>
      </c>
      <c r="E5881" s="33" t="s">
        <v>212</v>
      </c>
      <c r="F5881" s="33" t="s">
        <v>213</v>
      </c>
      <c r="G5881" s="33" t="s">
        <v>20</v>
      </c>
      <c r="H5881" s="35">
        <v>18</v>
      </c>
      <c r="I5881" s="33" t="s">
        <v>21</v>
      </c>
      <c r="J5881" s="42">
        <v>44300</v>
      </c>
      <c r="K5881" s="33" t="s">
        <v>22</v>
      </c>
    </row>
    <row r="5882" spans="1:11">
      <c r="A5882" s="30" t="s">
        <v>13835</v>
      </c>
      <c r="B5882" s="30" t="s">
        <v>13836</v>
      </c>
      <c r="C5882" s="30" t="s">
        <v>203</v>
      </c>
      <c r="D5882" s="30" t="s">
        <v>17</v>
      </c>
      <c r="E5882" s="30" t="s">
        <v>31</v>
      </c>
      <c r="F5882" s="30" t="s">
        <v>32</v>
      </c>
      <c r="G5882" s="30" t="s">
        <v>20</v>
      </c>
      <c r="H5882" s="32">
        <v>138</v>
      </c>
      <c r="I5882" s="30" t="s">
        <v>21</v>
      </c>
      <c r="J5882" s="41">
        <v>44539</v>
      </c>
      <c r="K5882" s="30" t="s">
        <v>22</v>
      </c>
    </row>
    <row r="5883" spans="1:11">
      <c r="A5883" s="33" t="s">
        <v>13837</v>
      </c>
      <c r="B5883" s="33" t="s">
        <v>13838</v>
      </c>
      <c r="C5883" s="33" t="s">
        <v>149</v>
      </c>
      <c r="D5883" s="33" t="s">
        <v>17</v>
      </c>
      <c r="E5883" s="33" t="s">
        <v>18</v>
      </c>
      <c r="F5883" s="33" t="s">
        <v>19</v>
      </c>
      <c r="G5883" s="33" t="s">
        <v>50</v>
      </c>
      <c r="H5883" s="35">
        <v>196</v>
      </c>
      <c r="I5883" s="33" t="s">
        <v>51</v>
      </c>
      <c r="J5883" s="42">
        <v>44453</v>
      </c>
      <c r="K5883" s="33" t="s">
        <v>22</v>
      </c>
    </row>
    <row r="5884" spans="1:11">
      <c r="A5884" s="30" t="s">
        <v>13839</v>
      </c>
      <c r="B5884" s="30" t="s">
        <v>13840</v>
      </c>
      <c r="C5884" s="30" t="s">
        <v>136</v>
      </c>
      <c r="D5884" s="30" t="s">
        <v>17</v>
      </c>
      <c r="E5884" s="30" t="s">
        <v>26</v>
      </c>
      <c r="F5884" s="30" t="s">
        <v>27</v>
      </c>
      <c r="G5884" s="30" t="s">
        <v>20</v>
      </c>
      <c r="H5884" s="32">
        <v>62</v>
      </c>
      <c r="I5884" s="30" t="s">
        <v>21</v>
      </c>
      <c r="J5884" s="41">
        <v>44512</v>
      </c>
      <c r="K5884" s="30" t="s">
        <v>22</v>
      </c>
    </row>
    <row r="5885" spans="1:11">
      <c r="A5885" s="33" t="s">
        <v>13841</v>
      </c>
      <c r="B5885" s="33" t="s">
        <v>13842</v>
      </c>
      <c r="C5885" s="33" t="s">
        <v>93</v>
      </c>
      <c r="D5885" s="33" t="s">
        <v>17</v>
      </c>
      <c r="E5885" s="33" t="s">
        <v>18</v>
      </c>
      <c r="F5885" s="33" t="s">
        <v>19</v>
      </c>
      <c r="G5885" s="33" t="s">
        <v>20</v>
      </c>
      <c r="H5885" s="35">
        <v>54</v>
      </c>
      <c r="I5885" s="33" t="s">
        <v>21</v>
      </c>
      <c r="J5885" s="42">
        <v>44481</v>
      </c>
      <c r="K5885" s="33" t="s">
        <v>22</v>
      </c>
    </row>
    <row r="5886" spans="1:11">
      <c r="A5886" s="30" t="s">
        <v>13843</v>
      </c>
      <c r="B5886" s="30" t="s">
        <v>13844</v>
      </c>
      <c r="C5886" s="30" t="s">
        <v>5372</v>
      </c>
      <c r="D5886" s="30" t="s">
        <v>17</v>
      </c>
      <c r="E5886" s="30" t="s">
        <v>18</v>
      </c>
      <c r="F5886" s="30" t="s">
        <v>19</v>
      </c>
      <c r="G5886" s="30" t="s">
        <v>106</v>
      </c>
      <c r="H5886" s="32">
        <v>1065</v>
      </c>
      <c r="I5886" s="30" t="s">
        <v>21</v>
      </c>
      <c r="J5886" s="41">
        <v>44357</v>
      </c>
      <c r="K5886" s="30" t="s">
        <v>22</v>
      </c>
    </row>
    <row r="5887" spans="1:11">
      <c r="A5887" s="33" t="s">
        <v>13845</v>
      </c>
      <c r="B5887" s="33" t="s">
        <v>13846</v>
      </c>
      <c r="C5887" s="33" t="s">
        <v>96</v>
      </c>
      <c r="D5887" s="33" t="s">
        <v>17</v>
      </c>
      <c r="E5887" s="33" t="s">
        <v>18</v>
      </c>
      <c r="F5887" s="33" t="s">
        <v>19</v>
      </c>
      <c r="G5887" s="33" t="s">
        <v>20</v>
      </c>
      <c r="H5887" s="35">
        <v>33</v>
      </c>
      <c r="I5887" s="33" t="s">
        <v>21</v>
      </c>
      <c r="J5887" s="42">
        <v>44236</v>
      </c>
      <c r="K5887" s="33" t="s">
        <v>22</v>
      </c>
    </row>
    <row r="5888" spans="1:11">
      <c r="A5888" s="30" t="s">
        <v>13847</v>
      </c>
      <c r="B5888" s="30" t="s">
        <v>13848</v>
      </c>
      <c r="C5888" s="30" t="s">
        <v>252</v>
      </c>
      <c r="D5888" s="30" t="s">
        <v>17</v>
      </c>
      <c r="E5888" s="30" t="s">
        <v>31</v>
      </c>
      <c r="F5888" s="30" t="s">
        <v>32</v>
      </c>
      <c r="G5888" s="30" t="s">
        <v>20</v>
      </c>
      <c r="H5888" s="32">
        <v>53</v>
      </c>
      <c r="I5888" s="30" t="s">
        <v>21</v>
      </c>
      <c r="J5888" s="41">
        <v>44295</v>
      </c>
      <c r="K5888" s="30" t="s">
        <v>22</v>
      </c>
    </row>
    <row r="5889" spans="1:11">
      <c r="A5889" s="33" t="s">
        <v>13849</v>
      </c>
      <c r="B5889" s="33" t="s">
        <v>13850</v>
      </c>
      <c r="C5889" s="33" t="s">
        <v>133</v>
      </c>
      <c r="D5889" s="33" t="s">
        <v>17</v>
      </c>
      <c r="E5889" s="33" t="s">
        <v>31</v>
      </c>
      <c r="F5889" s="33" t="s">
        <v>32</v>
      </c>
      <c r="G5889" s="33" t="s">
        <v>20</v>
      </c>
      <c r="H5889" s="35">
        <v>105</v>
      </c>
      <c r="I5889" s="33" t="s">
        <v>21</v>
      </c>
      <c r="J5889" s="42">
        <v>44502</v>
      </c>
      <c r="K5889" s="33" t="s">
        <v>22</v>
      </c>
    </row>
    <row r="5890" spans="1:11">
      <c r="A5890" s="30" t="s">
        <v>13851</v>
      </c>
      <c r="B5890" s="30" t="s">
        <v>13852</v>
      </c>
      <c r="C5890" s="30" t="s">
        <v>3264</v>
      </c>
      <c r="D5890" s="30" t="s">
        <v>17</v>
      </c>
      <c r="E5890" s="30" t="s">
        <v>18</v>
      </c>
      <c r="F5890" s="30" t="s">
        <v>19</v>
      </c>
      <c r="G5890" s="30" t="s">
        <v>20</v>
      </c>
      <c r="H5890" s="32">
        <v>71</v>
      </c>
      <c r="I5890" s="30" t="s">
        <v>21</v>
      </c>
      <c r="J5890" s="41">
        <v>44377</v>
      </c>
      <c r="K5890" s="30" t="s">
        <v>22</v>
      </c>
    </row>
    <row r="5891" spans="1:11">
      <c r="A5891" s="33" t="s">
        <v>13853</v>
      </c>
      <c r="B5891" s="33" t="s">
        <v>13854</v>
      </c>
      <c r="C5891" s="33" t="s">
        <v>1090</v>
      </c>
      <c r="D5891" s="33" t="s">
        <v>17</v>
      </c>
      <c r="E5891" s="33" t="s">
        <v>31</v>
      </c>
      <c r="F5891" s="33" t="s">
        <v>32</v>
      </c>
      <c r="G5891" s="33" t="s">
        <v>50</v>
      </c>
      <c r="H5891" s="35">
        <v>30</v>
      </c>
      <c r="I5891" s="33" t="s">
        <v>51</v>
      </c>
      <c r="J5891" s="42">
        <v>44390</v>
      </c>
      <c r="K5891" s="33" t="s">
        <v>22</v>
      </c>
    </row>
    <row r="5892" spans="1:11">
      <c r="A5892" s="30" t="s">
        <v>13855</v>
      </c>
      <c r="B5892" s="30" t="s">
        <v>13856</v>
      </c>
      <c r="C5892" s="30" t="s">
        <v>1125</v>
      </c>
      <c r="D5892" s="30" t="s">
        <v>17</v>
      </c>
      <c r="E5892" s="30" t="s">
        <v>26</v>
      </c>
      <c r="F5892" s="30" t="s">
        <v>27</v>
      </c>
      <c r="G5892" s="30" t="s">
        <v>20</v>
      </c>
      <c r="H5892" s="32">
        <v>30</v>
      </c>
      <c r="I5892" s="30" t="s">
        <v>21</v>
      </c>
      <c r="J5892" s="41">
        <v>44347</v>
      </c>
      <c r="K5892" s="30" t="s">
        <v>22</v>
      </c>
    </row>
    <row r="5893" spans="1:11">
      <c r="A5893" s="33" t="s">
        <v>13857</v>
      </c>
      <c r="B5893" s="33" t="s">
        <v>13858</v>
      </c>
      <c r="C5893" s="33" t="s">
        <v>3673</v>
      </c>
      <c r="D5893" s="33" t="s">
        <v>17</v>
      </c>
      <c r="E5893" s="33" t="s">
        <v>26</v>
      </c>
      <c r="F5893" s="33" t="s">
        <v>27</v>
      </c>
      <c r="G5893" s="33" t="s">
        <v>20</v>
      </c>
      <c r="H5893" s="35">
        <v>42</v>
      </c>
      <c r="I5893" s="33" t="s">
        <v>21</v>
      </c>
      <c r="J5893" s="42">
        <v>44343</v>
      </c>
      <c r="K5893" s="33" t="s">
        <v>22</v>
      </c>
    </row>
    <row r="5894" spans="1:11">
      <c r="A5894" s="30" t="s">
        <v>13859</v>
      </c>
      <c r="B5894" s="30" t="s">
        <v>13860</v>
      </c>
      <c r="C5894" s="30" t="s">
        <v>13861</v>
      </c>
      <c r="D5894" s="30" t="s">
        <v>17</v>
      </c>
      <c r="E5894" s="30" t="s">
        <v>26</v>
      </c>
      <c r="F5894" s="30" t="s">
        <v>27</v>
      </c>
      <c r="G5894" s="30" t="s">
        <v>50</v>
      </c>
      <c r="H5894" s="32">
        <v>60</v>
      </c>
      <c r="I5894" s="30" t="s">
        <v>51</v>
      </c>
      <c r="J5894" s="41">
        <v>44203</v>
      </c>
      <c r="K5894" s="30" t="s">
        <v>22</v>
      </c>
    </row>
    <row r="5895" spans="1:11">
      <c r="A5895" s="33" t="s">
        <v>13862</v>
      </c>
      <c r="B5895" s="33" t="s">
        <v>13863</v>
      </c>
      <c r="C5895" s="33" t="s">
        <v>13864</v>
      </c>
      <c r="D5895" s="33" t="s">
        <v>17</v>
      </c>
      <c r="E5895" s="33" t="s">
        <v>18</v>
      </c>
      <c r="F5895" s="33" t="s">
        <v>19</v>
      </c>
      <c r="G5895" s="33" t="s">
        <v>106</v>
      </c>
      <c r="H5895" s="35">
        <v>282</v>
      </c>
      <c r="I5895" s="33" t="s">
        <v>21</v>
      </c>
      <c r="J5895" s="42">
        <v>44246</v>
      </c>
      <c r="K5895" s="33" t="s">
        <v>22</v>
      </c>
    </row>
    <row r="5896" spans="1:11">
      <c r="A5896" s="30" t="s">
        <v>13865</v>
      </c>
      <c r="B5896" s="30" t="s">
        <v>13866</v>
      </c>
      <c r="C5896" s="30" t="s">
        <v>13867</v>
      </c>
      <c r="D5896" s="30" t="s">
        <v>17</v>
      </c>
      <c r="E5896" s="30" t="s">
        <v>26</v>
      </c>
      <c r="F5896" s="30" t="s">
        <v>27</v>
      </c>
      <c r="G5896" s="30" t="s">
        <v>20</v>
      </c>
      <c r="H5896" s="32">
        <v>18</v>
      </c>
      <c r="I5896" s="30" t="s">
        <v>21</v>
      </c>
      <c r="J5896" s="41">
        <v>44508</v>
      </c>
      <c r="K5896" s="30" t="s">
        <v>22</v>
      </c>
    </row>
    <row r="5897" spans="1:11">
      <c r="A5897" s="33" t="s">
        <v>13868</v>
      </c>
      <c r="B5897" s="33" t="s">
        <v>13869</v>
      </c>
      <c r="C5897" s="33" t="s">
        <v>13870</v>
      </c>
      <c r="D5897" s="33" t="s">
        <v>17</v>
      </c>
      <c r="E5897" s="33" t="s">
        <v>31</v>
      </c>
      <c r="F5897" s="33" t="s">
        <v>32</v>
      </c>
      <c r="G5897" s="33" t="s">
        <v>20</v>
      </c>
      <c r="H5897" s="35">
        <v>58</v>
      </c>
      <c r="I5897" s="33" t="s">
        <v>21</v>
      </c>
      <c r="J5897" s="42">
        <v>44523</v>
      </c>
      <c r="K5897" s="33" t="s">
        <v>22</v>
      </c>
    </row>
    <row r="5898" spans="1:11">
      <c r="A5898" s="30" t="s">
        <v>13871</v>
      </c>
      <c r="B5898" s="30" t="s">
        <v>13872</v>
      </c>
      <c r="C5898" s="30" t="s">
        <v>647</v>
      </c>
      <c r="D5898" s="30" t="s">
        <v>17</v>
      </c>
      <c r="E5898" s="30" t="s">
        <v>26</v>
      </c>
      <c r="F5898" s="30" t="s">
        <v>27</v>
      </c>
      <c r="G5898" s="30" t="s">
        <v>20</v>
      </c>
      <c r="H5898" s="32">
        <v>57</v>
      </c>
      <c r="I5898" s="30" t="s">
        <v>21</v>
      </c>
      <c r="J5898" s="41">
        <v>44483</v>
      </c>
      <c r="K5898" s="30" t="s">
        <v>22</v>
      </c>
    </row>
    <row r="5899" spans="1:11">
      <c r="A5899" s="33" t="s">
        <v>13873</v>
      </c>
      <c r="B5899" s="33" t="s">
        <v>13874</v>
      </c>
      <c r="C5899" s="33" t="s">
        <v>2054</v>
      </c>
      <c r="D5899" s="33" t="s">
        <v>17</v>
      </c>
      <c r="E5899" s="33" t="s">
        <v>31</v>
      </c>
      <c r="F5899" s="33" t="s">
        <v>32</v>
      </c>
      <c r="G5899" s="33" t="s">
        <v>20</v>
      </c>
      <c r="H5899" s="35">
        <v>6</v>
      </c>
      <c r="I5899" s="33" t="s">
        <v>21</v>
      </c>
      <c r="J5899" s="42">
        <v>44559</v>
      </c>
      <c r="K5899" s="33" t="s">
        <v>22</v>
      </c>
    </row>
    <row r="5900" spans="1:11">
      <c r="A5900" s="30" t="s">
        <v>13875</v>
      </c>
      <c r="B5900" s="30" t="s">
        <v>13876</v>
      </c>
      <c r="C5900" s="30" t="s">
        <v>13877</v>
      </c>
      <c r="D5900" s="30" t="s">
        <v>17</v>
      </c>
      <c r="E5900" s="30" t="s">
        <v>26</v>
      </c>
      <c r="F5900" s="30" t="s">
        <v>27</v>
      </c>
      <c r="G5900" s="30" t="s">
        <v>20</v>
      </c>
      <c r="H5900" s="32">
        <v>3</v>
      </c>
      <c r="I5900" s="30" t="s">
        <v>21</v>
      </c>
      <c r="J5900" s="41">
        <v>44417</v>
      </c>
      <c r="K5900" s="30" t="s">
        <v>22</v>
      </c>
    </row>
    <row r="5901" spans="1:11">
      <c r="A5901" s="33" t="s">
        <v>13878</v>
      </c>
      <c r="B5901" s="33" t="s">
        <v>13879</v>
      </c>
      <c r="C5901" s="33" t="s">
        <v>1598</v>
      </c>
      <c r="D5901" s="33" t="s">
        <v>17</v>
      </c>
      <c r="E5901" s="33" t="s">
        <v>18</v>
      </c>
      <c r="F5901" s="33" t="s">
        <v>19</v>
      </c>
      <c r="G5901" s="33" t="s">
        <v>20</v>
      </c>
      <c r="H5901" s="35">
        <v>344</v>
      </c>
      <c r="I5901" s="33" t="s">
        <v>21</v>
      </c>
      <c r="J5901" s="42">
        <v>44234</v>
      </c>
      <c r="K5901" s="33" t="s">
        <v>22</v>
      </c>
    </row>
    <row r="5902" spans="1:11">
      <c r="A5902" s="30" t="s">
        <v>13880</v>
      </c>
      <c r="B5902" s="30" t="s">
        <v>13881</v>
      </c>
      <c r="C5902" s="30" t="s">
        <v>13882</v>
      </c>
      <c r="D5902" s="30" t="s">
        <v>17</v>
      </c>
      <c r="E5902" s="30" t="s">
        <v>67</v>
      </c>
      <c r="F5902" s="30" t="s">
        <v>68</v>
      </c>
      <c r="G5902" s="30" t="s">
        <v>106</v>
      </c>
      <c r="H5902" s="32">
        <v>47</v>
      </c>
      <c r="I5902" s="30" t="s">
        <v>21</v>
      </c>
      <c r="J5902" s="41">
        <v>44266</v>
      </c>
      <c r="K5902" s="30" t="s">
        <v>22</v>
      </c>
    </row>
    <row r="5903" spans="1:11">
      <c r="A5903" s="33" t="s">
        <v>13883</v>
      </c>
      <c r="B5903" s="33" t="s">
        <v>13884</v>
      </c>
      <c r="C5903" s="33" t="s">
        <v>187</v>
      </c>
      <c r="D5903" s="33" t="s">
        <v>17</v>
      </c>
      <c r="E5903" s="33" t="s">
        <v>26</v>
      </c>
      <c r="F5903" s="33" t="s">
        <v>27</v>
      </c>
      <c r="G5903" s="33" t="s">
        <v>50</v>
      </c>
      <c r="H5903" s="35">
        <v>40</v>
      </c>
      <c r="I5903" s="33" t="s">
        <v>51</v>
      </c>
      <c r="J5903" s="42">
        <v>44539</v>
      </c>
      <c r="K5903" s="33" t="s">
        <v>22</v>
      </c>
    </row>
    <row r="5904" spans="1:11">
      <c r="A5904" s="30" t="s">
        <v>13885</v>
      </c>
      <c r="B5904" s="30" t="s">
        <v>13886</v>
      </c>
      <c r="C5904" s="30" t="s">
        <v>1480</v>
      </c>
      <c r="D5904" s="30" t="s">
        <v>17</v>
      </c>
      <c r="E5904" s="30" t="s">
        <v>18</v>
      </c>
      <c r="F5904" s="30" t="s">
        <v>19</v>
      </c>
      <c r="G5904" s="30" t="s">
        <v>158</v>
      </c>
      <c r="H5904" s="32">
        <v>58</v>
      </c>
      <c r="I5904" s="30" t="s">
        <v>21</v>
      </c>
      <c r="J5904" s="41">
        <v>44532</v>
      </c>
      <c r="K5904" s="30" t="s">
        <v>22</v>
      </c>
    </row>
    <row r="5905" spans="1:11">
      <c r="A5905" s="33" t="s">
        <v>13887</v>
      </c>
      <c r="B5905" s="33" t="s">
        <v>13888</v>
      </c>
      <c r="C5905" s="33" t="s">
        <v>13425</v>
      </c>
      <c r="D5905" s="33" t="s">
        <v>17</v>
      </c>
      <c r="E5905" s="33" t="s">
        <v>18</v>
      </c>
      <c r="F5905" s="33" t="s">
        <v>19</v>
      </c>
      <c r="G5905" s="33" t="s">
        <v>20</v>
      </c>
      <c r="H5905" s="35">
        <v>1385</v>
      </c>
      <c r="I5905" s="33" t="s">
        <v>21</v>
      </c>
      <c r="J5905" s="42">
        <v>44386</v>
      </c>
      <c r="K5905" s="33" t="s">
        <v>22</v>
      </c>
    </row>
    <row r="5906" spans="1:11">
      <c r="A5906" s="30" t="s">
        <v>13889</v>
      </c>
      <c r="B5906" s="30" t="s">
        <v>13890</v>
      </c>
      <c r="C5906" s="30" t="s">
        <v>647</v>
      </c>
      <c r="D5906" s="30" t="s">
        <v>17</v>
      </c>
      <c r="E5906" s="30" t="s">
        <v>18</v>
      </c>
      <c r="F5906" s="30" t="s">
        <v>19</v>
      </c>
      <c r="G5906" s="30" t="s">
        <v>20</v>
      </c>
      <c r="H5906" s="32">
        <v>563</v>
      </c>
      <c r="I5906" s="30" t="s">
        <v>21</v>
      </c>
      <c r="J5906" s="41">
        <v>44284</v>
      </c>
      <c r="K5906" s="30" t="s">
        <v>22</v>
      </c>
    </row>
    <row r="5907" spans="1:11">
      <c r="A5907" s="33" t="s">
        <v>13891</v>
      </c>
      <c r="B5907" s="33" t="s">
        <v>13892</v>
      </c>
      <c r="C5907" s="33" t="s">
        <v>3278</v>
      </c>
      <c r="D5907" s="33" t="s">
        <v>17</v>
      </c>
      <c r="E5907" s="33" t="s">
        <v>67</v>
      </c>
      <c r="F5907" s="33" t="s">
        <v>68</v>
      </c>
      <c r="G5907" s="33" t="s">
        <v>20</v>
      </c>
      <c r="H5907" s="35">
        <v>225</v>
      </c>
      <c r="I5907" s="33" t="s">
        <v>21</v>
      </c>
      <c r="J5907" s="42">
        <v>44271</v>
      </c>
      <c r="K5907" s="33" t="s">
        <v>22</v>
      </c>
    </row>
    <row r="5908" spans="1:11">
      <c r="A5908" s="30" t="s">
        <v>13893</v>
      </c>
      <c r="B5908" s="30" t="s">
        <v>13894</v>
      </c>
      <c r="C5908" s="30" t="s">
        <v>93</v>
      </c>
      <c r="D5908" s="30" t="s">
        <v>17</v>
      </c>
      <c r="E5908" s="30" t="s">
        <v>26</v>
      </c>
      <c r="F5908" s="30" t="s">
        <v>27</v>
      </c>
      <c r="G5908" s="30" t="s">
        <v>106</v>
      </c>
      <c r="H5908" s="32">
        <v>40</v>
      </c>
      <c r="I5908" s="30" t="s">
        <v>21</v>
      </c>
      <c r="J5908" s="41">
        <v>44372</v>
      </c>
      <c r="K5908" s="30" t="s">
        <v>22</v>
      </c>
    </row>
    <row r="5909" spans="1:11">
      <c r="A5909" s="33" t="s">
        <v>13895</v>
      </c>
      <c r="B5909" s="33" t="s">
        <v>13896</v>
      </c>
      <c r="C5909" s="33" t="s">
        <v>8250</v>
      </c>
      <c r="D5909" s="33" t="s">
        <v>17</v>
      </c>
      <c r="E5909" s="33" t="s">
        <v>31</v>
      </c>
      <c r="F5909" s="33" t="s">
        <v>32</v>
      </c>
      <c r="G5909" s="33" t="s">
        <v>158</v>
      </c>
      <c r="H5909" s="35">
        <v>190</v>
      </c>
      <c r="I5909" s="33" t="s">
        <v>51</v>
      </c>
      <c r="J5909" s="42">
        <v>44391</v>
      </c>
      <c r="K5909" s="33" t="s">
        <v>22</v>
      </c>
    </row>
    <row r="5910" spans="1:11">
      <c r="A5910" s="30" t="s">
        <v>13897</v>
      </c>
      <c r="B5910" s="30" t="s">
        <v>13898</v>
      </c>
      <c r="C5910" s="30" t="s">
        <v>13899</v>
      </c>
      <c r="D5910" s="30" t="s">
        <v>17</v>
      </c>
      <c r="E5910" s="30" t="s">
        <v>67</v>
      </c>
      <c r="F5910" s="30" t="s">
        <v>68</v>
      </c>
      <c r="G5910" s="30" t="s">
        <v>50</v>
      </c>
      <c r="H5910" s="32">
        <v>100</v>
      </c>
      <c r="I5910" s="30" t="s">
        <v>51</v>
      </c>
      <c r="J5910" s="41">
        <v>44317</v>
      </c>
      <c r="K5910" s="30" t="s">
        <v>22</v>
      </c>
    </row>
    <row r="5911" spans="1:11">
      <c r="A5911" s="33" t="s">
        <v>13900</v>
      </c>
      <c r="B5911" s="33" t="s">
        <v>13901</v>
      </c>
      <c r="C5911" s="33" t="s">
        <v>10053</v>
      </c>
      <c r="D5911" s="33" t="s">
        <v>17</v>
      </c>
      <c r="E5911" s="33" t="s">
        <v>31</v>
      </c>
      <c r="F5911" s="33" t="s">
        <v>32</v>
      </c>
      <c r="G5911" s="33" t="s">
        <v>106</v>
      </c>
      <c r="H5911" s="35">
        <v>12</v>
      </c>
      <c r="I5911" s="33" t="s">
        <v>21</v>
      </c>
      <c r="J5911" s="42">
        <v>44376</v>
      </c>
      <c r="K5911" s="33" t="s">
        <v>22</v>
      </c>
    </row>
    <row r="5912" spans="1:11">
      <c r="A5912" s="30" t="s">
        <v>13902</v>
      </c>
      <c r="B5912" s="30" t="s">
        <v>13903</v>
      </c>
      <c r="C5912" s="30" t="s">
        <v>969</v>
      </c>
      <c r="D5912" s="30" t="s">
        <v>17</v>
      </c>
      <c r="E5912" s="30" t="s">
        <v>31</v>
      </c>
      <c r="F5912" s="30" t="s">
        <v>32</v>
      </c>
      <c r="G5912" s="30" t="s">
        <v>140</v>
      </c>
      <c r="H5912" s="32">
        <v>37</v>
      </c>
      <c r="I5912" s="30" t="s">
        <v>51</v>
      </c>
      <c r="J5912" s="41">
        <v>44302</v>
      </c>
      <c r="K5912" s="30" t="s">
        <v>22</v>
      </c>
    </row>
    <row r="5913" spans="1:11">
      <c r="A5913" s="33" t="s">
        <v>13904</v>
      </c>
      <c r="B5913" s="33" t="s">
        <v>13905</v>
      </c>
      <c r="C5913" s="33" t="s">
        <v>899</v>
      </c>
      <c r="D5913" s="33" t="s">
        <v>17</v>
      </c>
      <c r="E5913" s="33" t="s">
        <v>26</v>
      </c>
      <c r="F5913" s="33" t="s">
        <v>27</v>
      </c>
      <c r="G5913" s="33" t="s">
        <v>20</v>
      </c>
      <c r="H5913" s="35">
        <v>32</v>
      </c>
      <c r="I5913" s="33" t="s">
        <v>21</v>
      </c>
      <c r="J5913" s="42">
        <v>44524</v>
      </c>
      <c r="K5913" s="33" t="s">
        <v>22</v>
      </c>
    </row>
    <row r="5914" spans="1:11">
      <c r="A5914" s="30" t="s">
        <v>13906</v>
      </c>
      <c r="B5914" s="30" t="s">
        <v>13907</v>
      </c>
      <c r="C5914" s="30" t="s">
        <v>2812</v>
      </c>
      <c r="D5914" s="30" t="s">
        <v>17</v>
      </c>
      <c r="E5914" s="30" t="s">
        <v>212</v>
      </c>
      <c r="F5914" s="30" t="s">
        <v>213</v>
      </c>
      <c r="G5914" s="30" t="s">
        <v>20</v>
      </c>
      <c r="H5914" s="32">
        <v>59</v>
      </c>
      <c r="I5914" s="30" t="s">
        <v>21</v>
      </c>
      <c r="J5914" s="41">
        <v>44333</v>
      </c>
      <c r="K5914" s="30" t="s">
        <v>22</v>
      </c>
    </row>
    <row r="5915" spans="1:11">
      <c r="A5915" s="33" t="s">
        <v>13908</v>
      </c>
      <c r="B5915" s="33" t="s">
        <v>13909</v>
      </c>
      <c r="C5915" s="33" t="s">
        <v>109</v>
      </c>
      <c r="D5915" s="33" t="s">
        <v>17</v>
      </c>
      <c r="E5915" s="33" t="s">
        <v>18</v>
      </c>
      <c r="F5915" s="33" t="s">
        <v>19</v>
      </c>
      <c r="G5915" s="33" t="s">
        <v>158</v>
      </c>
      <c r="H5915" s="35">
        <v>208</v>
      </c>
      <c r="I5915" s="33" t="s">
        <v>21</v>
      </c>
      <c r="J5915" s="42">
        <v>44404</v>
      </c>
      <c r="K5915" s="33" t="s">
        <v>22</v>
      </c>
    </row>
    <row r="5916" spans="1:11">
      <c r="A5916" s="30" t="s">
        <v>13910</v>
      </c>
      <c r="B5916" s="30" t="s">
        <v>13911</v>
      </c>
      <c r="C5916" s="30" t="s">
        <v>437</v>
      </c>
      <c r="D5916" s="30" t="s">
        <v>17</v>
      </c>
      <c r="E5916" s="30" t="s">
        <v>18</v>
      </c>
      <c r="F5916" s="30" t="s">
        <v>19</v>
      </c>
      <c r="G5916" s="30" t="s">
        <v>20</v>
      </c>
      <c r="H5916" s="32">
        <v>503</v>
      </c>
      <c r="I5916" s="30" t="s">
        <v>21</v>
      </c>
      <c r="J5916" s="41">
        <v>44383</v>
      </c>
      <c r="K5916" s="30" t="s">
        <v>22</v>
      </c>
    </row>
    <row r="5917" spans="1:11">
      <c r="A5917" s="33" t="s">
        <v>13912</v>
      </c>
      <c r="B5917" s="33" t="s">
        <v>13913</v>
      </c>
      <c r="C5917" s="33" t="s">
        <v>6470</v>
      </c>
      <c r="D5917" s="33" t="s">
        <v>17</v>
      </c>
      <c r="E5917" s="33" t="s">
        <v>18</v>
      </c>
      <c r="F5917" s="33" t="s">
        <v>19</v>
      </c>
      <c r="G5917" s="33" t="s">
        <v>20</v>
      </c>
      <c r="H5917" s="35">
        <v>152</v>
      </c>
      <c r="I5917" s="33" t="s">
        <v>21</v>
      </c>
      <c r="J5917" s="42">
        <v>44228</v>
      </c>
      <c r="K5917" s="33" t="s">
        <v>22</v>
      </c>
    </row>
    <row r="5918" spans="1:11">
      <c r="A5918" s="30" t="s">
        <v>13914</v>
      </c>
      <c r="B5918" s="30" t="s">
        <v>13915</v>
      </c>
      <c r="C5918" s="30" t="s">
        <v>10774</v>
      </c>
      <c r="D5918" s="30" t="s">
        <v>17</v>
      </c>
      <c r="E5918" s="30" t="s">
        <v>31</v>
      </c>
      <c r="F5918" s="30" t="s">
        <v>32</v>
      </c>
      <c r="G5918" s="30" t="s">
        <v>140</v>
      </c>
      <c r="H5918" s="32">
        <v>315</v>
      </c>
      <c r="I5918" s="30" t="s">
        <v>51</v>
      </c>
      <c r="J5918" s="41">
        <v>44341</v>
      </c>
      <c r="K5918" s="30" t="s">
        <v>22</v>
      </c>
    </row>
    <row r="5919" spans="1:11">
      <c r="A5919" s="33" t="s">
        <v>13916</v>
      </c>
      <c r="B5919" s="33" t="s">
        <v>13917</v>
      </c>
      <c r="C5919" s="33" t="s">
        <v>603</v>
      </c>
      <c r="D5919" s="33" t="s">
        <v>17</v>
      </c>
      <c r="E5919" s="33" t="s">
        <v>26</v>
      </c>
      <c r="F5919" s="33" t="s">
        <v>27</v>
      </c>
      <c r="G5919" s="33" t="s">
        <v>20</v>
      </c>
      <c r="H5919" s="35">
        <v>30</v>
      </c>
      <c r="I5919" s="33" t="s">
        <v>21</v>
      </c>
      <c r="J5919" s="42">
        <v>44321</v>
      </c>
      <c r="K5919" s="33" t="s">
        <v>22</v>
      </c>
    </row>
    <row r="5920" spans="1:11">
      <c r="A5920" s="30" t="s">
        <v>13918</v>
      </c>
      <c r="B5920" s="30" t="s">
        <v>13919</v>
      </c>
      <c r="C5920" s="30" t="s">
        <v>609</v>
      </c>
      <c r="D5920" s="30" t="s">
        <v>17</v>
      </c>
      <c r="E5920" s="30" t="s">
        <v>18</v>
      </c>
      <c r="F5920" s="30" t="s">
        <v>19</v>
      </c>
      <c r="G5920" s="30" t="s">
        <v>20</v>
      </c>
      <c r="H5920" s="32">
        <v>577</v>
      </c>
      <c r="I5920" s="30" t="s">
        <v>21</v>
      </c>
      <c r="J5920" s="41">
        <v>44252</v>
      </c>
      <c r="K5920" s="30" t="s">
        <v>22</v>
      </c>
    </row>
    <row r="5921" spans="1:11">
      <c r="A5921" s="33" t="s">
        <v>13920</v>
      </c>
      <c r="B5921" s="33" t="s">
        <v>13921</v>
      </c>
      <c r="C5921" s="33" t="s">
        <v>13922</v>
      </c>
      <c r="D5921" s="33" t="s">
        <v>17</v>
      </c>
      <c r="E5921" s="33" t="s">
        <v>31</v>
      </c>
      <c r="F5921" s="33" t="s">
        <v>32</v>
      </c>
      <c r="G5921" s="33" t="s">
        <v>106</v>
      </c>
      <c r="H5921" s="35">
        <v>17</v>
      </c>
      <c r="I5921" s="33" t="s">
        <v>21</v>
      </c>
      <c r="J5921" s="42">
        <v>44442</v>
      </c>
      <c r="K5921" s="33" t="s">
        <v>22</v>
      </c>
    </row>
    <row r="5922" spans="1:11">
      <c r="A5922" s="30" t="s">
        <v>13923</v>
      </c>
      <c r="B5922" s="30" t="s">
        <v>13924</v>
      </c>
      <c r="C5922" s="30" t="s">
        <v>2029</v>
      </c>
      <c r="D5922" s="30" t="s">
        <v>17</v>
      </c>
      <c r="E5922" s="30" t="s">
        <v>330</v>
      </c>
      <c r="F5922" s="30" t="s">
        <v>331</v>
      </c>
      <c r="G5922" s="30" t="s">
        <v>20</v>
      </c>
      <c r="H5922" s="32">
        <v>67</v>
      </c>
      <c r="I5922" s="30" t="s">
        <v>21</v>
      </c>
      <c r="J5922" s="41">
        <v>44481</v>
      </c>
      <c r="K5922" s="30" t="s">
        <v>22</v>
      </c>
    </row>
    <row r="5923" spans="1:11">
      <c r="A5923" s="33" t="s">
        <v>13925</v>
      </c>
      <c r="B5923" s="33" t="s">
        <v>13926</v>
      </c>
      <c r="C5923" s="33" t="s">
        <v>3655</v>
      </c>
      <c r="D5923" s="33" t="s">
        <v>17</v>
      </c>
      <c r="E5923" s="33" t="s">
        <v>31</v>
      </c>
      <c r="F5923" s="33" t="s">
        <v>32</v>
      </c>
      <c r="G5923" s="33" t="s">
        <v>20</v>
      </c>
      <c r="H5923" s="35">
        <v>124</v>
      </c>
      <c r="I5923" s="33" t="s">
        <v>21</v>
      </c>
      <c r="J5923" s="42">
        <v>44484</v>
      </c>
      <c r="K5923" s="33" t="s">
        <v>22</v>
      </c>
    </row>
    <row r="5924" spans="1:11">
      <c r="A5924" s="30" t="s">
        <v>13927</v>
      </c>
      <c r="B5924" s="30" t="s">
        <v>13928</v>
      </c>
      <c r="C5924" s="30" t="s">
        <v>178</v>
      </c>
      <c r="D5924" s="30" t="s">
        <v>17</v>
      </c>
      <c r="E5924" s="30" t="s">
        <v>18</v>
      </c>
      <c r="F5924" s="30" t="s">
        <v>19</v>
      </c>
      <c r="G5924" s="30" t="s">
        <v>106</v>
      </c>
      <c r="H5924" s="32">
        <v>188</v>
      </c>
      <c r="I5924" s="30" t="s">
        <v>21</v>
      </c>
      <c r="J5924" s="41">
        <v>44488</v>
      </c>
      <c r="K5924" s="30" t="s">
        <v>22</v>
      </c>
    </row>
    <row r="5925" spans="1:11">
      <c r="A5925" s="33" t="s">
        <v>13929</v>
      </c>
      <c r="B5925" s="33" t="s">
        <v>13930</v>
      </c>
      <c r="C5925" s="33" t="s">
        <v>13931</v>
      </c>
      <c r="D5925" s="33" t="s">
        <v>17</v>
      </c>
      <c r="E5925" s="33" t="s">
        <v>18</v>
      </c>
      <c r="F5925" s="33" t="s">
        <v>19</v>
      </c>
      <c r="G5925" s="33" t="s">
        <v>20</v>
      </c>
      <c r="H5925" s="35">
        <v>370</v>
      </c>
      <c r="I5925" s="33" t="s">
        <v>21</v>
      </c>
      <c r="J5925" s="42">
        <v>44271</v>
      </c>
      <c r="K5925" s="33" t="s">
        <v>22</v>
      </c>
    </row>
    <row r="5926" spans="1:11">
      <c r="A5926" s="30" t="s">
        <v>13932</v>
      </c>
      <c r="B5926" s="30" t="s">
        <v>13933</v>
      </c>
      <c r="C5926" s="30" t="s">
        <v>102</v>
      </c>
      <c r="D5926" s="30" t="s">
        <v>17</v>
      </c>
      <c r="E5926" s="30" t="s">
        <v>212</v>
      </c>
      <c r="F5926" s="30" t="s">
        <v>213</v>
      </c>
      <c r="G5926" s="30" t="s">
        <v>158</v>
      </c>
      <c r="H5926" s="32">
        <v>411</v>
      </c>
      <c r="I5926" s="30" t="s">
        <v>21</v>
      </c>
      <c r="J5926" s="41">
        <v>44438</v>
      </c>
      <c r="K5926" s="30" t="s">
        <v>22</v>
      </c>
    </row>
    <row r="5927" spans="1:11">
      <c r="A5927" s="33" t="s">
        <v>13934</v>
      </c>
      <c r="B5927" s="33" t="s">
        <v>13935</v>
      </c>
      <c r="C5927" s="33" t="s">
        <v>13936</v>
      </c>
      <c r="D5927" s="33" t="s">
        <v>17</v>
      </c>
      <c r="E5927" s="33" t="s">
        <v>31</v>
      </c>
      <c r="F5927" s="33" t="s">
        <v>32</v>
      </c>
      <c r="G5927" s="33" t="s">
        <v>106</v>
      </c>
      <c r="H5927" s="35">
        <v>13</v>
      </c>
      <c r="I5927" s="33" t="s">
        <v>21</v>
      </c>
      <c r="J5927" s="42">
        <v>44256</v>
      </c>
      <c r="K5927" s="33" t="s">
        <v>22</v>
      </c>
    </row>
    <row r="5928" spans="1:11">
      <c r="A5928" s="30" t="s">
        <v>13937</v>
      </c>
      <c r="B5928" s="30" t="s">
        <v>13938</v>
      </c>
      <c r="C5928" s="30" t="s">
        <v>149</v>
      </c>
      <c r="D5928" s="30" t="s">
        <v>17</v>
      </c>
      <c r="E5928" s="30" t="s">
        <v>31</v>
      </c>
      <c r="F5928" s="30" t="s">
        <v>32</v>
      </c>
      <c r="G5928" s="30" t="s">
        <v>50</v>
      </c>
      <c r="H5928" s="32">
        <v>102</v>
      </c>
      <c r="I5928" s="30" t="s">
        <v>51</v>
      </c>
      <c r="J5928" s="41">
        <v>44470</v>
      </c>
      <c r="K5928" s="30" t="s">
        <v>22</v>
      </c>
    </row>
    <row r="5929" spans="1:11">
      <c r="A5929" s="33" t="s">
        <v>13939</v>
      </c>
      <c r="B5929" s="33" t="s">
        <v>13940</v>
      </c>
      <c r="C5929" s="33" t="s">
        <v>1313</v>
      </c>
      <c r="D5929" s="33" t="s">
        <v>17</v>
      </c>
      <c r="E5929" s="33" t="s">
        <v>67</v>
      </c>
      <c r="F5929" s="33" t="s">
        <v>68</v>
      </c>
      <c r="G5929" s="33" t="s">
        <v>50</v>
      </c>
      <c r="H5929" s="35">
        <v>60</v>
      </c>
      <c r="I5929" s="33" t="s">
        <v>51</v>
      </c>
      <c r="J5929" s="42">
        <v>44287</v>
      </c>
      <c r="K5929" s="33" t="s">
        <v>22</v>
      </c>
    </row>
    <row r="5930" spans="1:11">
      <c r="A5930" s="30" t="s">
        <v>13941</v>
      </c>
      <c r="B5930" s="30" t="s">
        <v>13942</v>
      </c>
      <c r="C5930" s="30" t="s">
        <v>1674</v>
      </c>
      <c r="D5930" s="30" t="s">
        <v>17</v>
      </c>
      <c r="E5930" s="30" t="s">
        <v>26</v>
      </c>
      <c r="F5930" s="30" t="s">
        <v>27</v>
      </c>
      <c r="G5930" s="30" t="s">
        <v>112</v>
      </c>
      <c r="H5930" s="32">
        <v>0</v>
      </c>
      <c r="I5930" s="30" t="s">
        <v>21</v>
      </c>
      <c r="J5930" s="41">
        <v>44522</v>
      </c>
      <c r="K5930" s="30" t="s">
        <v>22</v>
      </c>
    </row>
    <row r="5931" spans="1:11">
      <c r="A5931" s="33" t="s">
        <v>13943</v>
      </c>
      <c r="B5931" s="33" t="s">
        <v>13944</v>
      </c>
      <c r="C5931" s="33" t="s">
        <v>2908</v>
      </c>
      <c r="D5931" s="33" t="s">
        <v>17</v>
      </c>
      <c r="E5931" s="33" t="s">
        <v>31</v>
      </c>
      <c r="F5931" s="33" t="s">
        <v>32</v>
      </c>
      <c r="G5931" s="33" t="s">
        <v>106</v>
      </c>
      <c r="H5931" s="35">
        <v>112</v>
      </c>
      <c r="I5931" s="33" t="s">
        <v>21</v>
      </c>
      <c r="J5931" s="42">
        <v>44515</v>
      </c>
      <c r="K5931" s="33" t="s">
        <v>22</v>
      </c>
    </row>
    <row r="5932" spans="1:11">
      <c r="A5932" s="30" t="s">
        <v>13945</v>
      </c>
      <c r="B5932" s="30" t="s">
        <v>13946</v>
      </c>
      <c r="C5932" s="30" t="s">
        <v>334</v>
      </c>
      <c r="D5932" s="30" t="s">
        <v>17</v>
      </c>
      <c r="E5932" s="30" t="s">
        <v>26</v>
      </c>
      <c r="F5932" s="30" t="s">
        <v>27</v>
      </c>
      <c r="G5932" s="30" t="s">
        <v>20</v>
      </c>
      <c r="H5932" s="32">
        <v>14</v>
      </c>
      <c r="I5932" s="30" t="s">
        <v>21</v>
      </c>
      <c r="J5932" s="41">
        <v>44482</v>
      </c>
      <c r="K5932" s="30" t="s">
        <v>22</v>
      </c>
    </row>
    <row r="5933" spans="1:11">
      <c r="A5933" s="33" t="s">
        <v>13947</v>
      </c>
      <c r="B5933" s="33" t="s">
        <v>13948</v>
      </c>
      <c r="C5933" s="33" t="s">
        <v>2196</v>
      </c>
      <c r="D5933" s="33" t="s">
        <v>17</v>
      </c>
      <c r="E5933" s="33" t="s">
        <v>31</v>
      </c>
      <c r="F5933" s="33" t="s">
        <v>32</v>
      </c>
      <c r="G5933" s="33" t="s">
        <v>106</v>
      </c>
      <c r="H5933" s="35">
        <v>78</v>
      </c>
      <c r="I5933" s="33" t="s">
        <v>21</v>
      </c>
      <c r="J5933" s="42">
        <v>44421</v>
      </c>
      <c r="K5933" s="33" t="s">
        <v>22</v>
      </c>
    </row>
    <row r="5934" spans="1:11">
      <c r="A5934" s="30" t="s">
        <v>13949</v>
      </c>
      <c r="B5934" s="30" t="s">
        <v>13950</v>
      </c>
      <c r="C5934" s="30" t="s">
        <v>78</v>
      </c>
      <c r="D5934" s="30" t="s">
        <v>17</v>
      </c>
      <c r="E5934" s="30" t="s">
        <v>18</v>
      </c>
      <c r="F5934" s="30" t="s">
        <v>19</v>
      </c>
      <c r="G5934" s="30" t="s">
        <v>50</v>
      </c>
      <c r="H5934" s="32">
        <v>586</v>
      </c>
      <c r="I5934" s="30" t="s">
        <v>51</v>
      </c>
      <c r="J5934" s="41">
        <v>44377</v>
      </c>
      <c r="K5934" s="30" t="s">
        <v>22</v>
      </c>
    </row>
    <row r="5935" spans="1:11">
      <c r="A5935" s="33" t="s">
        <v>13951</v>
      </c>
      <c r="B5935" s="33" t="s">
        <v>13952</v>
      </c>
      <c r="C5935" s="33" t="s">
        <v>13953</v>
      </c>
      <c r="D5935" s="33" t="s">
        <v>17</v>
      </c>
      <c r="E5935" s="33" t="s">
        <v>18</v>
      </c>
      <c r="F5935" s="33" t="s">
        <v>19</v>
      </c>
      <c r="G5935" s="33" t="s">
        <v>50</v>
      </c>
      <c r="H5935" s="35">
        <v>552</v>
      </c>
      <c r="I5935" s="33" t="s">
        <v>51</v>
      </c>
      <c r="J5935" s="42">
        <v>44511</v>
      </c>
      <c r="K5935" s="33" t="s">
        <v>22</v>
      </c>
    </row>
    <row r="5936" spans="1:11">
      <c r="A5936" s="30" t="s">
        <v>13954</v>
      </c>
      <c r="B5936" s="30" t="s">
        <v>13955</v>
      </c>
      <c r="C5936" s="30" t="s">
        <v>96</v>
      </c>
      <c r="D5936" s="30" t="s">
        <v>17</v>
      </c>
      <c r="E5936" s="30" t="s">
        <v>26</v>
      </c>
      <c r="F5936" s="30" t="s">
        <v>27</v>
      </c>
      <c r="G5936" s="30" t="s">
        <v>20</v>
      </c>
      <c r="H5936" s="32">
        <v>5</v>
      </c>
      <c r="I5936" s="30" t="s">
        <v>21</v>
      </c>
      <c r="J5936" s="41">
        <v>44476</v>
      </c>
      <c r="K5936" s="30" t="s">
        <v>22</v>
      </c>
    </row>
    <row r="5937" spans="1:11">
      <c r="A5937" s="33" t="s">
        <v>13956</v>
      </c>
      <c r="B5937" s="33" t="s">
        <v>13957</v>
      </c>
      <c r="C5937" s="33" t="s">
        <v>118</v>
      </c>
      <c r="D5937" s="33" t="s">
        <v>17</v>
      </c>
      <c r="E5937" s="33" t="s">
        <v>26</v>
      </c>
      <c r="F5937" s="33" t="s">
        <v>27</v>
      </c>
      <c r="G5937" s="33" t="s">
        <v>20</v>
      </c>
      <c r="H5937" s="35">
        <v>24</v>
      </c>
      <c r="I5937" s="33" t="s">
        <v>21</v>
      </c>
      <c r="J5937" s="42">
        <v>44481</v>
      </c>
      <c r="K5937" s="33" t="s">
        <v>22</v>
      </c>
    </row>
    <row r="5938" spans="1:11">
      <c r="A5938" s="30" t="s">
        <v>13958</v>
      </c>
      <c r="B5938" s="30" t="s">
        <v>13959</v>
      </c>
      <c r="C5938" s="30" t="s">
        <v>1228</v>
      </c>
      <c r="D5938" s="30" t="s">
        <v>17</v>
      </c>
      <c r="E5938" s="30" t="s">
        <v>212</v>
      </c>
      <c r="F5938" s="30" t="s">
        <v>213</v>
      </c>
      <c r="G5938" s="30" t="s">
        <v>20</v>
      </c>
      <c r="H5938" s="32">
        <v>163</v>
      </c>
      <c r="I5938" s="30" t="s">
        <v>21</v>
      </c>
      <c r="J5938" s="41">
        <v>44454</v>
      </c>
      <c r="K5938" s="30" t="s">
        <v>22</v>
      </c>
    </row>
    <row r="5939" spans="1:11">
      <c r="A5939" s="33" t="s">
        <v>13960</v>
      </c>
      <c r="B5939" s="33" t="s">
        <v>13961</v>
      </c>
      <c r="C5939" s="33" t="s">
        <v>190</v>
      </c>
      <c r="D5939" s="33" t="s">
        <v>17</v>
      </c>
      <c r="E5939" s="33" t="s">
        <v>26</v>
      </c>
      <c r="F5939" s="33" t="s">
        <v>27</v>
      </c>
      <c r="G5939" s="33" t="s">
        <v>20</v>
      </c>
      <c r="H5939" s="35">
        <v>11</v>
      </c>
      <c r="I5939" s="33" t="s">
        <v>21</v>
      </c>
      <c r="J5939" s="42">
        <v>44228</v>
      </c>
      <c r="K5939" s="33" t="s">
        <v>22</v>
      </c>
    </row>
    <row r="5940" spans="1:11">
      <c r="A5940" s="30" t="s">
        <v>13962</v>
      </c>
      <c r="B5940" s="30" t="s">
        <v>13963</v>
      </c>
      <c r="C5940" s="30" t="s">
        <v>580</v>
      </c>
      <c r="D5940" s="30" t="s">
        <v>17</v>
      </c>
      <c r="E5940" s="30" t="s">
        <v>26</v>
      </c>
      <c r="F5940" s="30" t="s">
        <v>27</v>
      </c>
      <c r="G5940" s="30" t="s">
        <v>50</v>
      </c>
      <c r="H5940" s="32">
        <v>90</v>
      </c>
      <c r="I5940" s="30" t="s">
        <v>51</v>
      </c>
      <c r="J5940" s="41">
        <v>44526</v>
      </c>
      <c r="K5940" s="30" t="s">
        <v>22</v>
      </c>
    </row>
    <row r="5941" spans="1:11">
      <c r="A5941" s="33" t="s">
        <v>13964</v>
      </c>
      <c r="B5941" s="33" t="s">
        <v>13965</v>
      </c>
      <c r="C5941" s="33" t="s">
        <v>3748</v>
      </c>
      <c r="D5941" s="33" t="s">
        <v>17</v>
      </c>
      <c r="E5941" s="33" t="s">
        <v>18</v>
      </c>
      <c r="F5941" s="33" t="s">
        <v>19</v>
      </c>
      <c r="G5941" s="33" t="s">
        <v>20</v>
      </c>
      <c r="H5941" s="35">
        <v>412</v>
      </c>
      <c r="I5941" s="33" t="s">
        <v>21</v>
      </c>
      <c r="J5941" s="42">
        <v>44315</v>
      </c>
      <c r="K5941" s="33" t="s">
        <v>22</v>
      </c>
    </row>
    <row r="5942" spans="1:11">
      <c r="A5942" s="30" t="s">
        <v>13966</v>
      </c>
      <c r="B5942" s="30" t="s">
        <v>13967</v>
      </c>
      <c r="C5942" s="30" t="s">
        <v>13968</v>
      </c>
      <c r="D5942" s="30" t="s">
        <v>17</v>
      </c>
      <c r="E5942" s="30" t="s">
        <v>31</v>
      </c>
      <c r="F5942" s="30" t="s">
        <v>32</v>
      </c>
      <c r="G5942" s="30" t="s">
        <v>20</v>
      </c>
      <c r="H5942" s="32">
        <v>30</v>
      </c>
      <c r="I5942" s="30" t="s">
        <v>21</v>
      </c>
      <c r="J5942" s="41">
        <v>44396</v>
      </c>
      <c r="K5942" s="30" t="s">
        <v>22</v>
      </c>
    </row>
    <row r="5943" spans="1:11">
      <c r="A5943" s="33" t="s">
        <v>13969</v>
      </c>
      <c r="B5943" s="33" t="s">
        <v>13970</v>
      </c>
      <c r="C5943" s="33" t="s">
        <v>13971</v>
      </c>
      <c r="D5943" s="33" t="s">
        <v>17</v>
      </c>
      <c r="E5943" s="33" t="s">
        <v>31</v>
      </c>
      <c r="F5943" s="33" t="s">
        <v>32</v>
      </c>
      <c r="G5943" s="33" t="s">
        <v>20</v>
      </c>
      <c r="H5943" s="35">
        <v>168</v>
      </c>
      <c r="I5943" s="33" t="s">
        <v>21</v>
      </c>
      <c r="J5943" s="42">
        <v>44420</v>
      </c>
      <c r="K5943" s="33" t="s">
        <v>22</v>
      </c>
    </row>
    <row r="5944" spans="1:11">
      <c r="A5944" s="30" t="s">
        <v>13972</v>
      </c>
      <c r="B5944" s="30" t="s">
        <v>13973</v>
      </c>
      <c r="C5944" s="30" t="s">
        <v>13974</v>
      </c>
      <c r="D5944" s="30" t="s">
        <v>17</v>
      </c>
      <c r="E5944" s="30" t="s">
        <v>26</v>
      </c>
      <c r="F5944" s="30" t="s">
        <v>27</v>
      </c>
      <c r="G5944" s="30" t="s">
        <v>20</v>
      </c>
      <c r="H5944" s="32">
        <v>74</v>
      </c>
      <c r="I5944" s="30" t="s">
        <v>21</v>
      </c>
      <c r="J5944" s="41">
        <v>44399</v>
      </c>
      <c r="K5944" s="30" t="s">
        <v>22</v>
      </c>
    </row>
    <row r="5945" spans="1:11">
      <c r="A5945" s="33" t="s">
        <v>13975</v>
      </c>
      <c r="B5945" s="33" t="s">
        <v>13976</v>
      </c>
      <c r="C5945" s="33" t="s">
        <v>753</v>
      </c>
      <c r="D5945" s="33" t="s">
        <v>17</v>
      </c>
      <c r="E5945" s="33" t="s">
        <v>18</v>
      </c>
      <c r="F5945" s="33" t="s">
        <v>19</v>
      </c>
      <c r="G5945" s="33" t="s">
        <v>112</v>
      </c>
      <c r="H5945" s="35">
        <v>0</v>
      </c>
      <c r="I5945" s="33" t="s">
        <v>21</v>
      </c>
      <c r="J5945" s="42">
        <v>44531</v>
      </c>
      <c r="K5945" s="33" t="s">
        <v>22</v>
      </c>
    </row>
    <row r="5946" spans="1:11">
      <c r="A5946" s="30" t="s">
        <v>13977</v>
      </c>
      <c r="B5946" s="30" t="s">
        <v>13978</v>
      </c>
      <c r="C5946" s="30" t="s">
        <v>41</v>
      </c>
      <c r="D5946" s="30" t="s">
        <v>17</v>
      </c>
      <c r="E5946" s="30" t="s">
        <v>26</v>
      </c>
      <c r="F5946" s="30" t="s">
        <v>27</v>
      </c>
      <c r="G5946" s="30" t="s">
        <v>50</v>
      </c>
      <c r="H5946" s="32">
        <v>36</v>
      </c>
      <c r="I5946" s="30" t="s">
        <v>51</v>
      </c>
      <c r="J5946" s="41">
        <v>44470</v>
      </c>
      <c r="K5946" s="30" t="s">
        <v>22</v>
      </c>
    </row>
    <row r="5947" spans="1:11">
      <c r="A5947" s="33" t="s">
        <v>13979</v>
      </c>
      <c r="B5947" s="33" t="s">
        <v>13980</v>
      </c>
      <c r="C5947" s="33" t="s">
        <v>13981</v>
      </c>
      <c r="D5947" s="33" t="s">
        <v>17</v>
      </c>
      <c r="E5947" s="33" t="s">
        <v>18</v>
      </c>
      <c r="F5947" s="33" t="s">
        <v>19</v>
      </c>
      <c r="G5947" s="33" t="s">
        <v>106</v>
      </c>
      <c r="H5947" s="35">
        <v>236</v>
      </c>
      <c r="I5947" s="33" t="s">
        <v>21</v>
      </c>
      <c r="J5947" s="42">
        <v>44285</v>
      </c>
      <c r="K5947" s="33" t="s">
        <v>22</v>
      </c>
    </row>
    <row r="5948" spans="1:11">
      <c r="A5948" s="30" t="s">
        <v>13982</v>
      </c>
      <c r="B5948" s="30" t="s">
        <v>13983</v>
      </c>
      <c r="C5948" s="30" t="s">
        <v>969</v>
      </c>
      <c r="D5948" s="30" t="s">
        <v>17</v>
      </c>
      <c r="E5948" s="30" t="s">
        <v>18</v>
      </c>
      <c r="F5948" s="30" t="s">
        <v>19</v>
      </c>
      <c r="G5948" s="30" t="s">
        <v>20</v>
      </c>
      <c r="H5948" s="32">
        <v>395</v>
      </c>
      <c r="I5948" s="30" t="s">
        <v>21</v>
      </c>
      <c r="J5948" s="41">
        <v>44272</v>
      </c>
      <c r="K5948" s="30" t="s">
        <v>22</v>
      </c>
    </row>
    <row r="5949" spans="1:11">
      <c r="A5949" s="33" t="s">
        <v>13984</v>
      </c>
      <c r="B5949" s="33" t="s">
        <v>13985</v>
      </c>
      <c r="C5949" s="33" t="s">
        <v>13986</v>
      </c>
      <c r="D5949" s="33" t="s">
        <v>17</v>
      </c>
      <c r="E5949" s="33" t="s">
        <v>26</v>
      </c>
      <c r="F5949" s="33" t="s">
        <v>27</v>
      </c>
      <c r="G5949" s="33" t="s">
        <v>158</v>
      </c>
      <c r="H5949" s="35">
        <v>12</v>
      </c>
      <c r="I5949" s="33" t="s">
        <v>51</v>
      </c>
      <c r="J5949" s="42">
        <v>44294</v>
      </c>
      <c r="K5949" s="33" t="s">
        <v>22</v>
      </c>
    </row>
    <row r="5950" spans="1:11">
      <c r="A5950" s="30" t="s">
        <v>13987</v>
      </c>
      <c r="B5950" s="30" t="s">
        <v>13988</v>
      </c>
      <c r="C5950" s="30" t="s">
        <v>1796</v>
      </c>
      <c r="D5950" s="30" t="s">
        <v>17</v>
      </c>
      <c r="E5950" s="30" t="s">
        <v>26</v>
      </c>
      <c r="F5950" s="30" t="s">
        <v>27</v>
      </c>
      <c r="G5950" s="30" t="s">
        <v>20</v>
      </c>
      <c r="H5950" s="32">
        <v>21</v>
      </c>
      <c r="I5950" s="30" t="s">
        <v>21</v>
      </c>
      <c r="J5950" s="41">
        <v>44280</v>
      </c>
      <c r="K5950" s="30" t="s">
        <v>22</v>
      </c>
    </row>
    <row r="5951" spans="1:11">
      <c r="A5951" s="33" t="s">
        <v>13989</v>
      </c>
      <c r="B5951" s="33" t="s">
        <v>13990</v>
      </c>
      <c r="C5951" s="33" t="s">
        <v>149</v>
      </c>
      <c r="D5951" s="33" t="s">
        <v>17</v>
      </c>
      <c r="E5951" s="33" t="s">
        <v>18</v>
      </c>
      <c r="F5951" s="33" t="s">
        <v>19</v>
      </c>
      <c r="G5951" s="33" t="s">
        <v>50</v>
      </c>
      <c r="H5951" s="35">
        <v>660</v>
      </c>
      <c r="I5951" s="33" t="s">
        <v>51</v>
      </c>
      <c r="J5951" s="42">
        <v>44311</v>
      </c>
      <c r="K5951" s="33" t="s">
        <v>22</v>
      </c>
    </row>
    <row r="5952" spans="1:11">
      <c r="A5952" s="30" t="s">
        <v>13991</v>
      </c>
      <c r="B5952" s="30" t="s">
        <v>13992</v>
      </c>
      <c r="C5952" s="30" t="s">
        <v>13993</v>
      </c>
      <c r="D5952" s="30" t="s">
        <v>17</v>
      </c>
      <c r="E5952" s="30" t="s">
        <v>31</v>
      </c>
      <c r="F5952" s="30" t="s">
        <v>32</v>
      </c>
      <c r="G5952" s="30" t="s">
        <v>20</v>
      </c>
      <c r="H5952" s="32">
        <v>86</v>
      </c>
      <c r="I5952" s="30" t="s">
        <v>21</v>
      </c>
      <c r="J5952" s="41">
        <v>44246</v>
      </c>
      <c r="K5952" s="30" t="s">
        <v>22</v>
      </c>
    </row>
    <row r="5953" spans="1:11">
      <c r="A5953" s="33" t="s">
        <v>13994</v>
      </c>
      <c r="B5953" s="33" t="s">
        <v>13995</v>
      </c>
      <c r="C5953" s="33" t="s">
        <v>1908</v>
      </c>
      <c r="D5953" s="33" t="s">
        <v>17</v>
      </c>
      <c r="E5953" s="33" t="s">
        <v>26</v>
      </c>
      <c r="F5953" s="33" t="s">
        <v>27</v>
      </c>
      <c r="G5953" s="33" t="s">
        <v>20</v>
      </c>
      <c r="H5953" s="35">
        <v>38</v>
      </c>
      <c r="I5953" s="33" t="s">
        <v>21</v>
      </c>
      <c r="J5953" s="42">
        <v>44511</v>
      </c>
      <c r="K5953" s="33" t="s">
        <v>22</v>
      </c>
    </row>
    <row r="5954" spans="1:11">
      <c r="A5954" s="30" t="s">
        <v>13996</v>
      </c>
      <c r="B5954" s="30" t="s">
        <v>13997</v>
      </c>
      <c r="C5954" s="30" t="s">
        <v>6470</v>
      </c>
      <c r="D5954" s="30" t="s">
        <v>17</v>
      </c>
      <c r="E5954" s="30" t="s">
        <v>18</v>
      </c>
      <c r="F5954" s="30" t="s">
        <v>19</v>
      </c>
      <c r="G5954" s="30" t="s">
        <v>20</v>
      </c>
      <c r="H5954" s="32">
        <v>256</v>
      </c>
      <c r="I5954" s="30" t="s">
        <v>21</v>
      </c>
      <c r="J5954" s="41">
        <v>44292</v>
      </c>
      <c r="K5954" s="30" t="s">
        <v>22</v>
      </c>
    </row>
    <row r="5955" spans="1:11">
      <c r="A5955" s="33" t="s">
        <v>13998</v>
      </c>
      <c r="B5955" s="33" t="s">
        <v>13999</v>
      </c>
      <c r="C5955" s="33" t="s">
        <v>5462</v>
      </c>
      <c r="D5955" s="33" t="s">
        <v>17</v>
      </c>
      <c r="E5955" s="33" t="s">
        <v>26</v>
      </c>
      <c r="F5955" s="33" t="s">
        <v>27</v>
      </c>
      <c r="G5955" s="33" t="s">
        <v>20</v>
      </c>
      <c r="H5955" s="35">
        <v>39</v>
      </c>
      <c r="I5955" s="33" t="s">
        <v>21</v>
      </c>
      <c r="J5955" s="42">
        <v>44321</v>
      </c>
      <c r="K5955" s="33" t="s">
        <v>22</v>
      </c>
    </row>
    <row r="5956" spans="1:11">
      <c r="A5956" s="30" t="s">
        <v>14000</v>
      </c>
      <c r="B5956" s="30" t="s">
        <v>14001</v>
      </c>
      <c r="C5956" s="30" t="s">
        <v>109</v>
      </c>
      <c r="D5956" s="30" t="s">
        <v>17</v>
      </c>
      <c r="E5956" s="30" t="s">
        <v>18</v>
      </c>
      <c r="F5956" s="30" t="s">
        <v>19</v>
      </c>
      <c r="G5956" s="30" t="s">
        <v>20</v>
      </c>
      <c r="H5956" s="32">
        <v>56</v>
      </c>
      <c r="I5956" s="30" t="s">
        <v>21</v>
      </c>
      <c r="J5956" s="41">
        <v>44341</v>
      </c>
      <c r="K5956" s="30" t="s">
        <v>22</v>
      </c>
    </row>
    <row r="5957" spans="1:11">
      <c r="A5957" s="33" t="s">
        <v>14002</v>
      </c>
      <c r="B5957" s="33" t="s">
        <v>14003</v>
      </c>
      <c r="C5957" s="33" t="s">
        <v>4345</v>
      </c>
      <c r="D5957" s="33" t="s">
        <v>17</v>
      </c>
      <c r="E5957" s="33" t="s">
        <v>18</v>
      </c>
      <c r="F5957" s="33" t="s">
        <v>19</v>
      </c>
      <c r="G5957" s="33" t="s">
        <v>20</v>
      </c>
      <c r="H5957" s="35">
        <v>91</v>
      </c>
      <c r="I5957" s="33" t="s">
        <v>21</v>
      </c>
      <c r="J5957" s="42">
        <v>44533</v>
      </c>
      <c r="K5957" s="33" t="s">
        <v>22</v>
      </c>
    </row>
    <row r="5958" spans="1:11">
      <c r="A5958" s="30" t="s">
        <v>14004</v>
      </c>
      <c r="B5958" s="30" t="s">
        <v>14005</v>
      </c>
      <c r="C5958" s="30" t="s">
        <v>5805</v>
      </c>
      <c r="D5958" s="30" t="s">
        <v>17</v>
      </c>
      <c r="E5958" s="30" t="s">
        <v>26</v>
      </c>
      <c r="F5958" s="30" t="s">
        <v>27</v>
      </c>
      <c r="G5958" s="30" t="s">
        <v>20</v>
      </c>
      <c r="H5958" s="32">
        <v>32</v>
      </c>
      <c r="I5958" s="30" t="s">
        <v>21</v>
      </c>
      <c r="J5958" s="41">
        <v>44438</v>
      </c>
      <c r="K5958" s="30" t="s">
        <v>22</v>
      </c>
    </row>
    <row r="5959" spans="1:11">
      <c r="A5959" s="33" t="s">
        <v>14006</v>
      </c>
      <c r="B5959" s="33" t="s">
        <v>14007</v>
      </c>
      <c r="C5959" s="33" t="s">
        <v>11226</v>
      </c>
      <c r="D5959" s="33" t="s">
        <v>17</v>
      </c>
      <c r="E5959" s="33" t="s">
        <v>26</v>
      </c>
      <c r="F5959" s="33" t="s">
        <v>27</v>
      </c>
      <c r="G5959" s="33" t="s">
        <v>20</v>
      </c>
      <c r="H5959" s="35">
        <v>30</v>
      </c>
      <c r="I5959" s="33" t="s">
        <v>21</v>
      </c>
      <c r="J5959" s="42">
        <v>44452</v>
      </c>
      <c r="K5959" s="33" t="s">
        <v>22</v>
      </c>
    </row>
    <row r="5960" spans="1:11">
      <c r="A5960" s="30" t="s">
        <v>14008</v>
      </c>
      <c r="B5960" s="30" t="s">
        <v>14009</v>
      </c>
      <c r="C5960" s="30" t="s">
        <v>102</v>
      </c>
      <c r="D5960" s="30" t="s">
        <v>17</v>
      </c>
      <c r="E5960" s="30" t="s">
        <v>26</v>
      </c>
      <c r="F5960" s="30" t="s">
        <v>27</v>
      </c>
      <c r="G5960" s="30" t="s">
        <v>112</v>
      </c>
      <c r="H5960" s="32">
        <v>0</v>
      </c>
      <c r="I5960" s="30" t="s">
        <v>21</v>
      </c>
      <c r="J5960" s="41">
        <v>44322</v>
      </c>
      <c r="K5960" s="30" t="s">
        <v>22</v>
      </c>
    </row>
    <row r="5961" spans="1:11">
      <c r="A5961" s="33" t="s">
        <v>14010</v>
      </c>
      <c r="B5961" s="33" t="s">
        <v>14011</v>
      </c>
      <c r="C5961" s="33" t="s">
        <v>14012</v>
      </c>
      <c r="D5961" s="33" t="s">
        <v>17</v>
      </c>
      <c r="E5961" s="33" t="s">
        <v>18</v>
      </c>
      <c r="F5961" s="33" t="s">
        <v>19</v>
      </c>
      <c r="G5961" s="33" t="s">
        <v>50</v>
      </c>
      <c r="H5961" s="35">
        <v>94</v>
      </c>
      <c r="I5961" s="33" t="s">
        <v>21</v>
      </c>
      <c r="J5961" s="42">
        <v>44397</v>
      </c>
      <c r="K5961" s="33" t="s">
        <v>22</v>
      </c>
    </row>
    <row r="5962" spans="1:11">
      <c r="A5962" s="30" t="s">
        <v>14013</v>
      </c>
      <c r="B5962" s="30" t="s">
        <v>14014</v>
      </c>
      <c r="C5962" s="30" t="s">
        <v>149</v>
      </c>
      <c r="D5962" s="30" t="s">
        <v>17</v>
      </c>
      <c r="E5962" s="30" t="s">
        <v>26</v>
      </c>
      <c r="F5962" s="30" t="s">
        <v>27</v>
      </c>
      <c r="G5962" s="30" t="s">
        <v>50</v>
      </c>
      <c r="H5962" s="32">
        <v>48</v>
      </c>
      <c r="I5962" s="30" t="s">
        <v>21</v>
      </c>
      <c r="J5962" s="41">
        <v>44202</v>
      </c>
      <c r="K5962" s="30" t="s">
        <v>22</v>
      </c>
    </row>
    <row r="5963" spans="1:11">
      <c r="A5963" s="33" t="s">
        <v>14015</v>
      </c>
      <c r="B5963" s="33" t="s">
        <v>14016</v>
      </c>
      <c r="C5963" s="33" t="s">
        <v>609</v>
      </c>
      <c r="D5963" s="33" t="s">
        <v>17</v>
      </c>
      <c r="E5963" s="33" t="s">
        <v>26</v>
      </c>
      <c r="F5963" s="33" t="s">
        <v>27</v>
      </c>
      <c r="G5963" s="33" t="s">
        <v>158</v>
      </c>
      <c r="H5963" s="35">
        <v>53</v>
      </c>
      <c r="I5963" s="33" t="s">
        <v>21</v>
      </c>
      <c r="J5963" s="42">
        <v>44558</v>
      </c>
      <c r="K5963" s="33" t="s">
        <v>22</v>
      </c>
    </row>
    <row r="5964" spans="1:11">
      <c r="A5964" s="30" t="s">
        <v>14017</v>
      </c>
      <c r="B5964" s="30" t="s">
        <v>14018</v>
      </c>
      <c r="C5964" s="30" t="s">
        <v>3751</v>
      </c>
      <c r="D5964" s="30" t="s">
        <v>17</v>
      </c>
      <c r="E5964" s="30" t="s">
        <v>18</v>
      </c>
      <c r="F5964" s="30" t="s">
        <v>19</v>
      </c>
      <c r="G5964" s="30" t="s">
        <v>20</v>
      </c>
      <c r="H5964" s="32">
        <v>180</v>
      </c>
      <c r="I5964" s="30" t="s">
        <v>21</v>
      </c>
      <c r="J5964" s="41">
        <v>44544</v>
      </c>
      <c r="K5964" s="30" t="s">
        <v>22</v>
      </c>
    </row>
    <row r="5965" spans="1:11">
      <c r="A5965" s="33" t="s">
        <v>14019</v>
      </c>
      <c r="B5965" s="33" t="s">
        <v>14020</v>
      </c>
      <c r="C5965" s="33" t="s">
        <v>13675</v>
      </c>
      <c r="D5965" s="33" t="s">
        <v>17</v>
      </c>
      <c r="E5965" s="33" t="s">
        <v>18</v>
      </c>
      <c r="F5965" s="33" t="s">
        <v>19</v>
      </c>
      <c r="G5965" s="33" t="s">
        <v>158</v>
      </c>
      <c r="H5965" s="35">
        <v>55</v>
      </c>
      <c r="I5965" s="33" t="s">
        <v>21</v>
      </c>
      <c r="J5965" s="42">
        <v>44249</v>
      </c>
      <c r="K5965" s="33" t="s">
        <v>22</v>
      </c>
    </row>
    <row r="5966" spans="1:11">
      <c r="A5966" s="30" t="s">
        <v>14021</v>
      </c>
      <c r="B5966" s="30" t="s">
        <v>14022</v>
      </c>
      <c r="C5966" s="30" t="s">
        <v>14023</v>
      </c>
      <c r="D5966" s="30" t="s">
        <v>17</v>
      </c>
      <c r="E5966" s="30" t="s">
        <v>212</v>
      </c>
      <c r="F5966" s="30" t="s">
        <v>213</v>
      </c>
      <c r="G5966" s="30" t="s">
        <v>112</v>
      </c>
      <c r="H5966" s="32">
        <v>0</v>
      </c>
      <c r="I5966" s="30" t="s">
        <v>21</v>
      </c>
      <c r="J5966" s="41">
        <v>44317</v>
      </c>
      <c r="K5966" s="30" t="s">
        <v>22</v>
      </c>
    </row>
    <row r="5967" spans="1:11">
      <c r="A5967" s="33" t="s">
        <v>14024</v>
      </c>
      <c r="B5967" s="33" t="s">
        <v>14025</v>
      </c>
      <c r="C5967" s="33" t="s">
        <v>647</v>
      </c>
      <c r="D5967" s="33" t="s">
        <v>17</v>
      </c>
      <c r="E5967" s="33" t="s">
        <v>31</v>
      </c>
      <c r="F5967" s="33" t="s">
        <v>32</v>
      </c>
      <c r="G5967" s="33" t="s">
        <v>158</v>
      </c>
      <c r="H5967" s="35">
        <v>730</v>
      </c>
      <c r="I5967" s="33" t="s">
        <v>51</v>
      </c>
      <c r="J5967" s="42">
        <v>44426</v>
      </c>
      <c r="K5967" s="33" t="s">
        <v>22</v>
      </c>
    </row>
    <row r="5968" spans="1:11">
      <c r="A5968" s="30" t="s">
        <v>14026</v>
      </c>
      <c r="B5968" s="30" t="s">
        <v>14027</v>
      </c>
      <c r="C5968" s="30" t="s">
        <v>14028</v>
      </c>
      <c r="D5968" s="30" t="s">
        <v>17</v>
      </c>
      <c r="E5968" s="30" t="s">
        <v>26</v>
      </c>
      <c r="F5968" s="30" t="s">
        <v>27</v>
      </c>
      <c r="G5968" s="30" t="s">
        <v>112</v>
      </c>
      <c r="H5968" s="32">
        <v>0</v>
      </c>
      <c r="I5968" s="30" t="s">
        <v>21</v>
      </c>
      <c r="J5968" s="41">
        <v>44470</v>
      </c>
      <c r="K5968" s="30" t="s">
        <v>22</v>
      </c>
    </row>
    <row r="5969" spans="1:11">
      <c r="A5969" s="33" t="s">
        <v>14029</v>
      </c>
      <c r="B5969" s="33" t="s">
        <v>14030</v>
      </c>
      <c r="C5969" s="33" t="s">
        <v>102</v>
      </c>
      <c r="D5969" s="33" t="s">
        <v>17</v>
      </c>
      <c r="E5969" s="33" t="s">
        <v>31</v>
      </c>
      <c r="F5969" s="33" t="s">
        <v>32</v>
      </c>
      <c r="G5969" s="33" t="s">
        <v>106</v>
      </c>
      <c r="H5969" s="35">
        <v>523</v>
      </c>
      <c r="I5969" s="33" t="s">
        <v>21</v>
      </c>
      <c r="J5969" s="42">
        <v>44202</v>
      </c>
      <c r="K5969" s="33" t="s">
        <v>22</v>
      </c>
    </row>
    <row r="5970" spans="1:11">
      <c r="A5970" s="30" t="s">
        <v>14031</v>
      </c>
      <c r="B5970" s="30" t="s">
        <v>14032</v>
      </c>
      <c r="C5970" s="30" t="s">
        <v>8566</v>
      </c>
      <c r="D5970" s="30" t="s">
        <v>17</v>
      </c>
      <c r="E5970" s="30" t="s">
        <v>18</v>
      </c>
      <c r="F5970" s="30" t="s">
        <v>19</v>
      </c>
      <c r="G5970" s="30" t="s">
        <v>20</v>
      </c>
      <c r="H5970" s="32">
        <v>87</v>
      </c>
      <c r="I5970" s="30" t="s">
        <v>21</v>
      </c>
      <c r="J5970" s="41">
        <v>44263</v>
      </c>
      <c r="K5970" s="30" t="s">
        <v>22</v>
      </c>
    </row>
    <row r="5971" spans="1:11">
      <c r="A5971" s="33" t="s">
        <v>14033</v>
      </c>
      <c r="B5971" s="33" t="s">
        <v>14034</v>
      </c>
      <c r="C5971" s="33" t="s">
        <v>203</v>
      </c>
      <c r="D5971" s="33" t="s">
        <v>17</v>
      </c>
      <c r="E5971" s="33" t="s">
        <v>18</v>
      </c>
      <c r="F5971" s="33" t="s">
        <v>19</v>
      </c>
      <c r="G5971" s="33" t="s">
        <v>20</v>
      </c>
      <c r="H5971" s="35">
        <v>62</v>
      </c>
      <c r="I5971" s="33" t="s">
        <v>21</v>
      </c>
      <c r="J5971" s="42">
        <v>44211</v>
      </c>
      <c r="K5971" s="33" t="s">
        <v>22</v>
      </c>
    </row>
    <row r="5972" spans="1:11">
      <c r="A5972" s="30" t="s">
        <v>14035</v>
      </c>
      <c r="B5972" s="30" t="s">
        <v>14036</v>
      </c>
      <c r="C5972" s="30" t="s">
        <v>10046</v>
      </c>
      <c r="D5972" s="30" t="s">
        <v>17</v>
      </c>
      <c r="E5972" s="30" t="s">
        <v>31</v>
      </c>
      <c r="F5972" s="30" t="s">
        <v>32</v>
      </c>
      <c r="G5972" s="30" t="s">
        <v>20</v>
      </c>
      <c r="H5972" s="32">
        <v>34</v>
      </c>
      <c r="I5972" s="30" t="s">
        <v>21</v>
      </c>
      <c r="J5972" s="41">
        <v>44271</v>
      </c>
      <c r="K5972" s="30" t="s">
        <v>22</v>
      </c>
    </row>
    <row r="5973" spans="1:11">
      <c r="A5973" s="33" t="s">
        <v>14037</v>
      </c>
      <c r="B5973" s="33" t="s">
        <v>14038</v>
      </c>
      <c r="C5973" s="33" t="s">
        <v>102</v>
      </c>
      <c r="D5973" s="33" t="s">
        <v>17</v>
      </c>
      <c r="E5973" s="33" t="s">
        <v>18</v>
      </c>
      <c r="F5973" s="33" t="s">
        <v>19</v>
      </c>
      <c r="G5973" s="33" t="s">
        <v>106</v>
      </c>
      <c r="H5973" s="35">
        <v>28</v>
      </c>
      <c r="I5973" s="33" t="s">
        <v>21</v>
      </c>
      <c r="J5973" s="42">
        <v>44445</v>
      </c>
      <c r="K5973" s="33" t="s">
        <v>22</v>
      </c>
    </row>
    <row r="5974" spans="1:11">
      <c r="A5974" s="30" t="s">
        <v>14039</v>
      </c>
      <c r="B5974" s="30" t="s">
        <v>14040</v>
      </c>
      <c r="C5974" s="30" t="s">
        <v>3594</v>
      </c>
      <c r="D5974" s="30" t="s">
        <v>17</v>
      </c>
      <c r="E5974" s="30" t="s">
        <v>18</v>
      </c>
      <c r="F5974" s="30" t="s">
        <v>19</v>
      </c>
      <c r="G5974" s="30" t="s">
        <v>158</v>
      </c>
      <c r="H5974" s="32">
        <v>258</v>
      </c>
      <c r="I5974" s="30" t="s">
        <v>21</v>
      </c>
      <c r="J5974" s="41">
        <v>44530</v>
      </c>
      <c r="K5974" s="30" t="s">
        <v>22</v>
      </c>
    </row>
    <row r="5975" spans="1:11">
      <c r="A5975" s="33" t="s">
        <v>14041</v>
      </c>
      <c r="B5975" s="33" t="s">
        <v>14042</v>
      </c>
      <c r="C5975" s="33" t="s">
        <v>4345</v>
      </c>
      <c r="D5975" s="33" t="s">
        <v>17</v>
      </c>
      <c r="E5975" s="33" t="s">
        <v>31</v>
      </c>
      <c r="F5975" s="33" t="s">
        <v>32</v>
      </c>
      <c r="G5975" s="33" t="s">
        <v>20</v>
      </c>
      <c r="H5975" s="35">
        <v>160</v>
      </c>
      <c r="I5975" s="33" t="s">
        <v>21</v>
      </c>
      <c r="J5975" s="42">
        <v>44314</v>
      </c>
      <c r="K5975" s="33" t="s">
        <v>22</v>
      </c>
    </row>
    <row r="5976" spans="1:11">
      <c r="A5976" s="30" t="s">
        <v>14043</v>
      </c>
      <c r="B5976" s="30" t="s">
        <v>14044</v>
      </c>
      <c r="C5976" s="30" t="s">
        <v>102</v>
      </c>
      <c r="D5976" s="30" t="s">
        <v>17</v>
      </c>
      <c r="E5976" s="30" t="s">
        <v>26</v>
      </c>
      <c r="F5976" s="30" t="s">
        <v>27</v>
      </c>
      <c r="G5976" s="30" t="s">
        <v>20</v>
      </c>
      <c r="H5976" s="32">
        <v>24</v>
      </c>
      <c r="I5976" s="30" t="s">
        <v>21</v>
      </c>
      <c r="J5976" s="41">
        <v>44413</v>
      </c>
      <c r="K5976" s="30" t="s">
        <v>22</v>
      </c>
    </row>
    <row r="5977" spans="1:11">
      <c r="A5977" s="33" t="s">
        <v>14045</v>
      </c>
      <c r="B5977" s="33" t="s">
        <v>14046</v>
      </c>
      <c r="C5977" s="33" t="s">
        <v>1313</v>
      </c>
      <c r="D5977" s="33" t="s">
        <v>17</v>
      </c>
      <c r="E5977" s="33" t="s">
        <v>31</v>
      </c>
      <c r="F5977" s="33" t="s">
        <v>32</v>
      </c>
      <c r="G5977" s="33" t="s">
        <v>112</v>
      </c>
      <c r="H5977" s="35">
        <v>0</v>
      </c>
      <c r="I5977" s="33" t="s">
        <v>21</v>
      </c>
      <c r="J5977" s="42">
        <v>44287</v>
      </c>
      <c r="K5977" s="33" t="s">
        <v>22</v>
      </c>
    </row>
    <row r="5978" spans="1:11">
      <c r="A5978" s="30" t="s">
        <v>14047</v>
      </c>
      <c r="B5978" s="30" t="s">
        <v>14048</v>
      </c>
      <c r="C5978" s="30" t="s">
        <v>14049</v>
      </c>
      <c r="D5978" s="30" t="s">
        <v>17</v>
      </c>
      <c r="E5978" s="30" t="s">
        <v>212</v>
      </c>
      <c r="F5978" s="30" t="s">
        <v>213</v>
      </c>
      <c r="G5978" s="30" t="s">
        <v>106</v>
      </c>
      <c r="H5978" s="32">
        <v>15</v>
      </c>
      <c r="I5978" s="30" t="s">
        <v>21</v>
      </c>
      <c r="J5978" s="41">
        <v>44523</v>
      </c>
      <c r="K5978" s="30" t="s">
        <v>22</v>
      </c>
    </row>
    <row r="5979" spans="1:11">
      <c r="A5979" s="33" t="s">
        <v>14050</v>
      </c>
      <c r="B5979" s="33" t="s">
        <v>14051</v>
      </c>
      <c r="C5979" s="33" t="s">
        <v>5990</v>
      </c>
      <c r="D5979" s="33" t="s">
        <v>17</v>
      </c>
      <c r="E5979" s="33" t="s">
        <v>26</v>
      </c>
      <c r="F5979" s="33" t="s">
        <v>27</v>
      </c>
      <c r="G5979" s="33" t="s">
        <v>50</v>
      </c>
      <c r="H5979" s="35">
        <v>82</v>
      </c>
      <c r="I5979" s="33" t="s">
        <v>51</v>
      </c>
      <c r="J5979" s="42">
        <v>44299</v>
      </c>
      <c r="K5979" s="33" t="s">
        <v>22</v>
      </c>
    </row>
    <row r="5980" spans="1:11">
      <c r="A5980" s="30" t="s">
        <v>14052</v>
      </c>
      <c r="B5980" s="30" t="s">
        <v>14053</v>
      </c>
      <c r="C5980" s="30" t="s">
        <v>7488</v>
      </c>
      <c r="D5980" s="30" t="s">
        <v>17</v>
      </c>
      <c r="E5980" s="30" t="s">
        <v>18</v>
      </c>
      <c r="F5980" s="30" t="s">
        <v>19</v>
      </c>
      <c r="G5980" s="30" t="s">
        <v>106</v>
      </c>
      <c r="H5980" s="32">
        <v>46</v>
      </c>
      <c r="I5980" s="30" t="s">
        <v>21</v>
      </c>
      <c r="J5980" s="41">
        <v>44252</v>
      </c>
      <c r="K5980" s="30" t="s">
        <v>22</v>
      </c>
    </row>
    <row r="5981" spans="1:11">
      <c r="A5981" s="33" t="s">
        <v>14054</v>
      </c>
      <c r="B5981" s="33" t="s">
        <v>14055</v>
      </c>
      <c r="C5981" s="33" t="s">
        <v>10963</v>
      </c>
      <c r="D5981" s="33" t="s">
        <v>17</v>
      </c>
      <c r="E5981" s="33" t="s">
        <v>31</v>
      </c>
      <c r="F5981" s="33" t="s">
        <v>32</v>
      </c>
      <c r="G5981" s="33" t="s">
        <v>20</v>
      </c>
      <c r="H5981" s="35">
        <v>797</v>
      </c>
      <c r="I5981" s="33" t="s">
        <v>21</v>
      </c>
      <c r="J5981" s="42">
        <v>44256</v>
      </c>
      <c r="K5981" s="33" t="s">
        <v>22</v>
      </c>
    </row>
    <row r="5982" spans="1:11">
      <c r="A5982" s="30" t="s">
        <v>14056</v>
      </c>
      <c r="B5982" s="30" t="s">
        <v>14057</v>
      </c>
      <c r="C5982" s="30" t="s">
        <v>5643</v>
      </c>
      <c r="D5982" s="30" t="s">
        <v>17</v>
      </c>
      <c r="E5982" s="30" t="s">
        <v>18</v>
      </c>
      <c r="F5982" s="30" t="s">
        <v>19</v>
      </c>
      <c r="G5982" s="30" t="s">
        <v>50</v>
      </c>
      <c r="H5982" s="32">
        <v>1200</v>
      </c>
      <c r="I5982" s="30" t="s">
        <v>51</v>
      </c>
      <c r="J5982" s="41">
        <v>44548</v>
      </c>
      <c r="K5982" s="30" t="s">
        <v>22</v>
      </c>
    </row>
    <row r="5983" spans="1:11">
      <c r="A5983" s="33" t="s">
        <v>14058</v>
      </c>
      <c r="B5983" s="33" t="s">
        <v>14059</v>
      </c>
      <c r="C5983" s="33" t="s">
        <v>8599</v>
      </c>
      <c r="D5983" s="33" t="s">
        <v>17</v>
      </c>
      <c r="E5983" s="33" t="s">
        <v>212</v>
      </c>
      <c r="F5983" s="33" t="s">
        <v>213</v>
      </c>
      <c r="G5983" s="33" t="s">
        <v>20</v>
      </c>
      <c r="H5983" s="35">
        <v>36</v>
      </c>
      <c r="I5983" s="33" t="s">
        <v>21</v>
      </c>
      <c r="J5983" s="42">
        <v>44314</v>
      </c>
      <c r="K5983" s="33" t="s">
        <v>22</v>
      </c>
    </row>
    <row r="5984" spans="1:11">
      <c r="A5984" s="30" t="s">
        <v>14060</v>
      </c>
      <c r="B5984" s="30" t="s">
        <v>14061</v>
      </c>
      <c r="C5984" s="30" t="s">
        <v>4074</v>
      </c>
      <c r="D5984" s="30" t="s">
        <v>17</v>
      </c>
      <c r="E5984" s="30" t="s">
        <v>26</v>
      </c>
      <c r="F5984" s="30" t="s">
        <v>27</v>
      </c>
      <c r="G5984" s="30" t="s">
        <v>106</v>
      </c>
      <c r="H5984" s="32">
        <v>31</v>
      </c>
      <c r="I5984" s="30" t="s">
        <v>21</v>
      </c>
      <c r="J5984" s="41">
        <v>44358</v>
      </c>
      <c r="K5984" s="30" t="s">
        <v>22</v>
      </c>
    </row>
    <row r="5985" spans="1:11">
      <c r="A5985" s="33" t="s">
        <v>14062</v>
      </c>
      <c r="B5985" s="33" t="s">
        <v>14063</v>
      </c>
      <c r="C5985" s="33" t="s">
        <v>9443</v>
      </c>
      <c r="D5985" s="33" t="s">
        <v>17</v>
      </c>
      <c r="E5985" s="33" t="s">
        <v>26</v>
      </c>
      <c r="F5985" s="33" t="s">
        <v>27</v>
      </c>
      <c r="G5985" s="33" t="s">
        <v>20</v>
      </c>
      <c r="H5985" s="35">
        <v>14</v>
      </c>
      <c r="I5985" s="33" t="s">
        <v>21</v>
      </c>
      <c r="J5985" s="42">
        <v>44272</v>
      </c>
      <c r="K5985" s="33" t="s">
        <v>22</v>
      </c>
    </row>
    <row r="5986" spans="1:11">
      <c r="A5986" s="30" t="s">
        <v>14064</v>
      </c>
      <c r="B5986" s="30" t="s">
        <v>14065</v>
      </c>
      <c r="C5986" s="30" t="s">
        <v>6202</v>
      </c>
      <c r="D5986" s="30" t="s">
        <v>17</v>
      </c>
      <c r="E5986" s="30" t="s">
        <v>31</v>
      </c>
      <c r="F5986" s="30" t="s">
        <v>32</v>
      </c>
      <c r="G5986" s="30" t="s">
        <v>20</v>
      </c>
      <c r="H5986" s="32">
        <v>220</v>
      </c>
      <c r="I5986" s="30" t="s">
        <v>21</v>
      </c>
      <c r="J5986" s="41">
        <v>44531</v>
      </c>
      <c r="K5986" s="30" t="s">
        <v>22</v>
      </c>
    </row>
    <row r="5987" spans="1:11">
      <c r="A5987" s="33" t="s">
        <v>14066</v>
      </c>
      <c r="B5987" s="33" t="s">
        <v>14067</v>
      </c>
      <c r="C5987" s="33" t="s">
        <v>368</v>
      </c>
      <c r="D5987" s="33" t="s">
        <v>17</v>
      </c>
      <c r="E5987" s="33" t="s">
        <v>18</v>
      </c>
      <c r="F5987" s="33" t="s">
        <v>19</v>
      </c>
      <c r="G5987" s="33" t="s">
        <v>20</v>
      </c>
      <c r="H5987" s="35">
        <v>235</v>
      </c>
      <c r="I5987" s="33" t="s">
        <v>21</v>
      </c>
      <c r="J5987" s="42">
        <v>44313</v>
      </c>
      <c r="K5987" s="33" t="s">
        <v>22</v>
      </c>
    </row>
    <row r="5988" spans="1:11">
      <c r="A5988" s="30" t="s">
        <v>14068</v>
      </c>
      <c r="B5988" s="30" t="s">
        <v>14069</v>
      </c>
      <c r="C5988" s="30" t="s">
        <v>14070</v>
      </c>
      <c r="D5988" s="30" t="s">
        <v>17</v>
      </c>
      <c r="E5988" s="30" t="s">
        <v>26</v>
      </c>
      <c r="F5988" s="30" t="s">
        <v>27</v>
      </c>
      <c r="G5988" s="30" t="s">
        <v>140</v>
      </c>
      <c r="H5988" s="32">
        <v>106</v>
      </c>
      <c r="I5988" s="30" t="s">
        <v>51</v>
      </c>
      <c r="J5988" s="41">
        <v>44298</v>
      </c>
      <c r="K5988" s="30" t="s">
        <v>22</v>
      </c>
    </row>
    <row r="5989" spans="1:11">
      <c r="A5989" s="33" t="s">
        <v>14071</v>
      </c>
      <c r="B5989" s="33" t="s">
        <v>14072</v>
      </c>
      <c r="C5989" s="33" t="s">
        <v>14073</v>
      </c>
      <c r="D5989" s="33" t="s">
        <v>17</v>
      </c>
      <c r="E5989" s="33" t="s">
        <v>18</v>
      </c>
      <c r="F5989" s="33" t="s">
        <v>19</v>
      </c>
      <c r="G5989" s="33" t="s">
        <v>158</v>
      </c>
      <c r="H5989" s="35">
        <v>230</v>
      </c>
      <c r="I5989" s="33" t="s">
        <v>51</v>
      </c>
      <c r="J5989" s="42">
        <v>44292</v>
      </c>
      <c r="K5989" s="33" t="s">
        <v>22</v>
      </c>
    </row>
    <row r="5990" spans="1:11">
      <c r="A5990" s="30" t="s">
        <v>14074</v>
      </c>
      <c r="B5990" s="30" t="s">
        <v>14075</v>
      </c>
      <c r="C5990" s="30" t="s">
        <v>1618</v>
      </c>
      <c r="D5990" s="30" t="s">
        <v>17</v>
      </c>
      <c r="E5990" s="30" t="s">
        <v>26</v>
      </c>
      <c r="F5990" s="30" t="s">
        <v>27</v>
      </c>
      <c r="G5990" s="30" t="s">
        <v>20</v>
      </c>
      <c r="H5990" s="32">
        <v>40</v>
      </c>
      <c r="I5990" s="30" t="s">
        <v>21</v>
      </c>
      <c r="J5990" s="41">
        <v>44375</v>
      </c>
      <c r="K5990" s="30" t="s">
        <v>22</v>
      </c>
    </row>
    <row r="5991" spans="1:11">
      <c r="A5991" s="33" t="s">
        <v>14076</v>
      </c>
      <c r="B5991" s="33" t="s">
        <v>14077</v>
      </c>
      <c r="C5991" s="33" t="s">
        <v>310</v>
      </c>
      <c r="D5991" s="33" t="s">
        <v>17</v>
      </c>
      <c r="E5991" s="33" t="s">
        <v>26</v>
      </c>
      <c r="F5991" s="33" t="s">
        <v>27</v>
      </c>
      <c r="G5991" s="33" t="s">
        <v>20</v>
      </c>
      <c r="H5991" s="35">
        <v>23</v>
      </c>
      <c r="I5991" s="33" t="s">
        <v>21</v>
      </c>
      <c r="J5991" s="42">
        <v>44306</v>
      </c>
      <c r="K5991" s="33" t="s">
        <v>22</v>
      </c>
    </row>
    <row r="5992" spans="1:11">
      <c r="A5992" s="30" t="s">
        <v>14078</v>
      </c>
      <c r="B5992" s="30" t="s">
        <v>14079</v>
      </c>
      <c r="C5992" s="30" t="s">
        <v>2256</v>
      </c>
      <c r="D5992" s="30" t="s">
        <v>17</v>
      </c>
      <c r="E5992" s="30" t="s">
        <v>330</v>
      </c>
      <c r="F5992" s="30" t="s">
        <v>331</v>
      </c>
      <c r="G5992" s="30" t="s">
        <v>20</v>
      </c>
      <c r="H5992" s="32">
        <v>15</v>
      </c>
      <c r="I5992" s="30" t="s">
        <v>21</v>
      </c>
      <c r="J5992" s="41">
        <v>44403</v>
      </c>
      <c r="K5992" s="30" t="s">
        <v>22</v>
      </c>
    </row>
    <row r="5993" spans="1:11">
      <c r="A5993" s="33" t="s">
        <v>14080</v>
      </c>
      <c r="B5993" s="33" t="s">
        <v>14081</v>
      </c>
      <c r="C5993" s="33" t="s">
        <v>4900</v>
      </c>
      <c r="D5993" s="33" t="s">
        <v>17</v>
      </c>
      <c r="E5993" s="33" t="s">
        <v>31</v>
      </c>
      <c r="F5993" s="33" t="s">
        <v>32</v>
      </c>
      <c r="G5993" s="33" t="s">
        <v>69</v>
      </c>
      <c r="H5993" s="35">
        <v>50</v>
      </c>
      <c r="I5993" s="33" t="s">
        <v>51</v>
      </c>
      <c r="J5993" s="42">
        <v>44488</v>
      </c>
      <c r="K5993" s="33" t="s">
        <v>22</v>
      </c>
    </row>
    <row r="5994" spans="1:11">
      <c r="A5994" s="30" t="s">
        <v>14082</v>
      </c>
      <c r="B5994" s="30" t="s">
        <v>14083</v>
      </c>
      <c r="C5994" s="30" t="s">
        <v>14084</v>
      </c>
      <c r="D5994" s="30" t="s">
        <v>17</v>
      </c>
      <c r="E5994" s="30" t="s">
        <v>18</v>
      </c>
      <c r="F5994" s="30" t="s">
        <v>19</v>
      </c>
      <c r="G5994" s="30" t="s">
        <v>20</v>
      </c>
      <c r="H5994" s="32">
        <v>71</v>
      </c>
      <c r="I5994" s="30" t="s">
        <v>21</v>
      </c>
      <c r="J5994" s="41">
        <v>44345</v>
      </c>
      <c r="K5994" s="30" t="s">
        <v>22</v>
      </c>
    </row>
    <row r="5995" spans="1:11">
      <c r="A5995" s="33" t="s">
        <v>14085</v>
      </c>
      <c r="B5995" s="33" t="s">
        <v>14086</v>
      </c>
      <c r="C5995" s="33" t="s">
        <v>10459</v>
      </c>
      <c r="D5995" s="33" t="s">
        <v>17</v>
      </c>
      <c r="E5995" s="33" t="s">
        <v>330</v>
      </c>
      <c r="F5995" s="33" t="s">
        <v>331</v>
      </c>
      <c r="G5995" s="33" t="s">
        <v>140</v>
      </c>
      <c r="H5995" s="35">
        <v>50</v>
      </c>
      <c r="I5995" s="33" t="s">
        <v>51</v>
      </c>
      <c r="J5995" s="42">
        <v>44465</v>
      </c>
      <c r="K5995" s="33" t="s">
        <v>22</v>
      </c>
    </row>
    <row r="5996" spans="1:11">
      <c r="A5996" s="30" t="s">
        <v>14087</v>
      </c>
      <c r="B5996" s="30" t="s">
        <v>14088</v>
      </c>
      <c r="C5996" s="30" t="s">
        <v>14089</v>
      </c>
      <c r="D5996" s="30" t="s">
        <v>17</v>
      </c>
      <c r="E5996" s="30" t="s">
        <v>67</v>
      </c>
      <c r="F5996" s="30" t="s">
        <v>68</v>
      </c>
      <c r="G5996" s="30" t="s">
        <v>158</v>
      </c>
      <c r="H5996" s="32">
        <v>30</v>
      </c>
      <c r="I5996" s="30" t="s">
        <v>51</v>
      </c>
      <c r="J5996" s="41">
        <v>44453</v>
      </c>
      <c r="K5996" s="30" t="s">
        <v>22</v>
      </c>
    </row>
    <row r="5997" spans="1:11">
      <c r="A5997" s="33" t="s">
        <v>14090</v>
      </c>
      <c r="B5997" s="33" t="s">
        <v>14091</v>
      </c>
      <c r="C5997" s="33" t="s">
        <v>2812</v>
      </c>
      <c r="D5997" s="33" t="s">
        <v>17</v>
      </c>
      <c r="E5997" s="33" t="s">
        <v>18</v>
      </c>
      <c r="F5997" s="33" t="s">
        <v>19</v>
      </c>
      <c r="G5997" s="33" t="s">
        <v>20</v>
      </c>
      <c r="H5997" s="35">
        <v>90</v>
      </c>
      <c r="I5997" s="33" t="s">
        <v>21</v>
      </c>
      <c r="J5997" s="42">
        <v>44454</v>
      </c>
      <c r="K5997" s="33" t="s">
        <v>22</v>
      </c>
    </row>
    <row r="5998" spans="1:11">
      <c r="A5998" s="30" t="s">
        <v>14092</v>
      </c>
      <c r="B5998" s="30" t="s">
        <v>14093</v>
      </c>
      <c r="C5998" s="30" t="s">
        <v>14094</v>
      </c>
      <c r="D5998" s="30" t="s">
        <v>17</v>
      </c>
      <c r="E5998" s="30" t="s">
        <v>67</v>
      </c>
      <c r="F5998" s="30" t="s">
        <v>68</v>
      </c>
      <c r="G5998" s="30" t="s">
        <v>20</v>
      </c>
      <c r="H5998" s="32">
        <v>131</v>
      </c>
      <c r="I5998" s="30" t="s">
        <v>21</v>
      </c>
      <c r="J5998" s="41">
        <v>44432</v>
      </c>
      <c r="K5998" s="30" t="s">
        <v>22</v>
      </c>
    </row>
    <row r="5999" spans="1:11">
      <c r="A5999" s="33" t="s">
        <v>14095</v>
      </c>
      <c r="B5999" s="33" t="s">
        <v>14096</v>
      </c>
      <c r="C5999" s="33" t="s">
        <v>14097</v>
      </c>
      <c r="D5999" s="33" t="s">
        <v>17</v>
      </c>
      <c r="E5999" s="33" t="s">
        <v>31</v>
      </c>
      <c r="F5999" s="33" t="s">
        <v>32</v>
      </c>
      <c r="G5999" s="33" t="s">
        <v>158</v>
      </c>
      <c r="H5999" s="35">
        <v>14</v>
      </c>
      <c r="I5999" s="33" t="s">
        <v>21</v>
      </c>
      <c r="J5999" s="42">
        <v>44245</v>
      </c>
      <c r="K5999" s="33" t="s">
        <v>22</v>
      </c>
    </row>
    <row r="6000" spans="1:11">
      <c r="A6000" s="30" t="s">
        <v>14098</v>
      </c>
      <c r="B6000" s="30" t="s">
        <v>14099</v>
      </c>
      <c r="C6000" s="30" t="s">
        <v>4742</v>
      </c>
      <c r="D6000" s="30" t="s">
        <v>17</v>
      </c>
      <c r="E6000" s="30" t="s">
        <v>212</v>
      </c>
      <c r="F6000" s="30" t="s">
        <v>213</v>
      </c>
      <c r="G6000" s="30" t="s">
        <v>20</v>
      </c>
      <c r="H6000" s="32">
        <v>131650</v>
      </c>
      <c r="I6000" s="30" t="s">
        <v>21</v>
      </c>
      <c r="J6000" s="41">
        <v>44352</v>
      </c>
      <c r="K6000" s="30" t="s">
        <v>22</v>
      </c>
    </row>
    <row r="6001" spans="1:11">
      <c r="A6001" s="33" t="s">
        <v>14100</v>
      </c>
      <c r="B6001" s="33" t="s">
        <v>14101</v>
      </c>
      <c r="C6001" s="33" t="s">
        <v>969</v>
      </c>
      <c r="D6001" s="33" t="s">
        <v>17</v>
      </c>
      <c r="E6001" s="33" t="s">
        <v>31</v>
      </c>
      <c r="F6001" s="33" t="s">
        <v>32</v>
      </c>
      <c r="G6001" s="33" t="s">
        <v>20</v>
      </c>
      <c r="H6001" s="35">
        <v>110</v>
      </c>
      <c r="I6001" s="33" t="s">
        <v>21</v>
      </c>
      <c r="J6001" s="42">
        <v>44237</v>
      </c>
      <c r="K6001" s="33" t="s">
        <v>22</v>
      </c>
    </row>
    <row r="6002" spans="1:11">
      <c r="A6002" s="30" t="s">
        <v>14102</v>
      </c>
      <c r="B6002" s="30" t="s">
        <v>14103</v>
      </c>
      <c r="C6002" s="30" t="s">
        <v>2875</v>
      </c>
      <c r="D6002" s="30" t="s">
        <v>17</v>
      </c>
      <c r="E6002" s="30" t="s">
        <v>31</v>
      </c>
      <c r="F6002" s="30" t="s">
        <v>32</v>
      </c>
      <c r="G6002" s="30" t="s">
        <v>20</v>
      </c>
      <c r="H6002" s="32">
        <v>307</v>
      </c>
      <c r="I6002" s="30" t="s">
        <v>21</v>
      </c>
      <c r="J6002" s="41">
        <v>44218</v>
      </c>
      <c r="K6002" s="30" t="s">
        <v>22</v>
      </c>
    </row>
    <row r="6003" spans="1:11">
      <c r="A6003" s="33" t="s">
        <v>14104</v>
      </c>
      <c r="B6003" s="33" t="s">
        <v>14105</v>
      </c>
      <c r="C6003" s="33" t="s">
        <v>575</v>
      </c>
      <c r="D6003" s="33" t="s">
        <v>17</v>
      </c>
      <c r="E6003" s="33" t="s">
        <v>26</v>
      </c>
      <c r="F6003" s="33" t="s">
        <v>27</v>
      </c>
      <c r="G6003" s="33" t="s">
        <v>20</v>
      </c>
      <c r="H6003" s="35">
        <v>24</v>
      </c>
      <c r="I6003" s="33" t="s">
        <v>21</v>
      </c>
      <c r="J6003" s="42">
        <v>44293</v>
      </c>
      <c r="K6003" s="33" t="s">
        <v>22</v>
      </c>
    </row>
    <row r="6004" spans="1:11">
      <c r="A6004" s="30" t="s">
        <v>14106</v>
      </c>
      <c r="B6004" s="30" t="s">
        <v>14107</v>
      </c>
      <c r="C6004" s="30" t="s">
        <v>718</v>
      </c>
      <c r="D6004" s="30" t="s">
        <v>17</v>
      </c>
      <c r="E6004" s="30" t="s">
        <v>31</v>
      </c>
      <c r="F6004" s="30" t="s">
        <v>32</v>
      </c>
      <c r="G6004" s="30" t="s">
        <v>50</v>
      </c>
      <c r="H6004" s="32">
        <v>80</v>
      </c>
      <c r="I6004" s="30" t="s">
        <v>51</v>
      </c>
      <c r="J6004" s="41">
        <v>44197</v>
      </c>
      <c r="K6004" s="30" t="s">
        <v>22</v>
      </c>
    </row>
    <row r="6005" spans="1:11">
      <c r="A6005" s="33" t="s">
        <v>14108</v>
      </c>
      <c r="B6005" s="33" t="s">
        <v>14109</v>
      </c>
      <c r="C6005" s="33" t="s">
        <v>14110</v>
      </c>
      <c r="D6005" s="33" t="s">
        <v>17</v>
      </c>
      <c r="E6005" s="33" t="s">
        <v>212</v>
      </c>
      <c r="F6005" s="33" t="s">
        <v>213</v>
      </c>
      <c r="G6005" s="33" t="s">
        <v>50</v>
      </c>
      <c r="H6005" s="35">
        <v>80</v>
      </c>
      <c r="I6005" s="33" t="s">
        <v>51</v>
      </c>
      <c r="J6005" s="42">
        <v>44326</v>
      </c>
      <c r="K6005" s="33" t="s">
        <v>22</v>
      </c>
    </row>
    <row r="6006" spans="1:11">
      <c r="A6006" s="30" t="s">
        <v>14111</v>
      </c>
      <c r="B6006" s="30" t="s">
        <v>14112</v>
      </c>
      <c r="C6006" s="30" t="s">
        <v>178</v>
      </c>
      <c r="D6006" s="30" t="s">
        <v>17</v>
      </c>
      <c r="E6006" s="30" t="s">
        <v>31</v>
      </c>
      <c r="F6006" s="30" t="s">
        <v>32</v>
      </c>
      <c r="G6006" s="30" t="s">
        <v>20</v>
      </c>
      <c r="H6006" s="32">
        <v>104</v>
      </c>
      <c r="I6006" s="30" t="s">
        <v>21</v>
      </c>
      <c r="J6006" s="41">
        <v>44230</v>
      </c>
      <c r="K6006" s="30" t="s">
        <v>22</v>
      </c>
    </row>
    <row r="6007" spans="1:11">
      <c r="A6007" s="33" t="s">
        <v>14113</v>
      </c>
      <c r="B6007" s="33" t="s">
        <v>14114</v>
      </c>
      <c r="C6007" s="33" t="s">
        <v>60</v>
      </c>
      <c r="D6007" s="33" t="s">
        <v>17</v>
      </c>
      <c r="E6007" s="33" t="s">
        <v>18</v>
      </c>
      <c r="F6007" s="33" t="s">
        <v>19</v>
      </c>
      <c r="G6007" s="33" t="s">
        <v>20</v>
      </c>
      <c r="H6007" s="35">
        <v>120</v>
      </c>
      <c r="I6007" s="33" t="s">
        <v>21</v>
      </c>
      <c r="J6007" s="42">
        <v>44207</v>
      </c>
      <c r="K6007" s="33" t="s">
        <v>22</v>
      </c>
    </row>
    <row r="6008" spans="1:11">
      <c r="A6008" s="30" t="s">
        <v>14115</v>
      </c>
      <c r="B6008" s="30" t="s">
        <v>14116</v>
      </c>
      <c r="C6008" s="30" t="s">
        <v>899</v>
      </c>
      <c r="D6008" s="30" t="s">
        <v>17</v>
      </c>
      <c r="E6008" s="30" t="s">
        <v>26</v>
      </c>
      <c r="F6008" s="30" t="s">
        <v>27</v>
      </c>
      <c r="G6008" s="30" t="s">
        <v>20</v>
      </c>
      <c r="H6008" s="32">
        <v>118</v>
      </c>
      <c r="I6008" s="30" t="s">
        <v>21</v>
      </c>
      <c r="J6008" s="41">
        <v>44432</v>
      </c>
      <c r="K6008" s="30" t="s">
        <v>22</v>
      </c>
    </row>
    <row r="6009" spans="1:11">
      <c r="A6009" s="33" t="s">
        <v>14117</v>
      </c>
      <c r="B6009" s="33" t="s">
        <v>14118</v>
      </c>
      <c r="C6009" s="33" t="s">
        <v>13075</v>
      </c>
      <c r="D6009" s="33" t="s">
        <v>17</v>
      </c>
      <c r="E6009" s="33" t="s">
        <v>212</v>
      </c>
      <c r="F6009" s="33" t="s">
        <v>213</v>
      </c>
      <c r="G6009" s="33" t="s">
        <v>20</v>
      </c>
      <c r="H6009" s="35">
        <v>17</v>
      </c>
      <c r="I6009" s="33" t="s">
        <v>21</v>
      </c>
      <c r="J6009" s="42">
        <v>44306</v>
      </c>
      <c r="K6009" s="33" t="s">
        <v>22</v>
      </c>
    </row>
    <row r="6010" spans="1:11">
      <c r="A6010" s="30" t="s">
        <v>14119</v>
      </c>
      <c r="B6010" s="30" t="s">
        <v>14120</v>
      </c>
      <c r="C6010" s="30" t="s">
        <v>109</v>
      </c>
      <c r="D6010" s="30" t="s">
        <v>17</v>
      </c>
      <c r="E6010" s="30" t="s">
        <v>67</v>
      </c>
      <c r="F6010" s="30" t="s">
        <v>68</v>
      </c>
      <c r="G6010" s="30" t="s">
        <v>140</v>
      </c>
      <c r="H6010" s="32">
        <v>222</v>
      </c>
      <c r="I6010" s="30" t="s">
        <v>51</v>
      </c>
      <c r="J6010" s="41">
        <v>44407</v>
      </c>
      <c r="K6010" s="30" t="s">
        <v>22</v>
      </c>
    </row>
    <row r="6011" spans="1:11">
      <c r="A6011" s="33" t="s">
        <v>14121</v>
      </c>
      <c r="B6011" s="33" t="s">
        <v>14122</v>
      </c>
      <c r="C6011" s="33" t="s">
        <v>310</v>
      </c>
      <c r="D6011" s="33" t="s">
        <v>17</v>
      </c>
      <c r="E6011" s="33" t="s">
        <v>26</v>
      </c>
      <c r="F6011" s="33" t="s">
        <v>27</v>
      </c>
      <c r="G6011" s="33" t="s">
        <v>20</v>
      </c>
      <c r="H6011" s="35">
        <v>16</v>
      </c>
      <c r="I6011" s="33" t="s">
        <v>21</v>
      </c>
      <c r="J6011" s="42">
        <v>44445</v>
      </c>
      <c r="K6011" s="33" t="s">
        <v>22</v>
      </c>
    </row>
    <row r="6012" spans="1:11">
      <c r="A6012" s="30" t="s">
        <v>14123</v>
      </c>
      <c r="B6012" s="30" t="s">
        <v>14124</v>
      </c>
      <c r="C6012" s="30" t="s">
        <v>96</v>
      </c>
      <c r="D6012" s="30" t="s">
        <v>17</v>
      </c>
      <c r="E6012" s="30" t="s">
        <v>31</v>
      </c>
      <c r="F6012" s="30" t="s">
        <v>32</v>
      </c>
      <c r="G6012" s="30" t="s">
        <v>20</v>
      </c>
      <c r="H6012" s="32">
        <v>39</v>
      </c>
      <c r="I6012" s="30" t="s">
        <v>21</v>
      </c>
      <c r="J6012" s="41">
        <v>44551</v>
      </c>
      <c r="K6012" s="30" t="s">
        <v>22</v>
      </c>
    </row>
    <row r="6013" spans="1:11">
      <c r="A6013" s="33" t="s">
        <v>14125</v>
      </c>
      <c r="B6013" s="33" t="s">
        <v>14126</v>
      </c>
      <c r="C6013" s="33" t="s">
        <v>96</v>
      </c>
      <c r="D6013" s="33" t="s">
        <v>17</v>
      </c>
      <c r="E6013" s="33" t="s">
        <v>18</v>
      </c>
      <c r="F6013" s="33" t="s">
        <v>19</v>
      </c>
      <c r="G6013" s="33" t="s">
        <v>140</v>
      </c>
      <c r="H6013" s="35">
        <v>245</v>
      </c>
      <c r="I6013" s="33" t="s">
        <v>51</v>
      </c>
      <c r="J6013" s="42">
        <v>44517</v>
      </c>
      <c r="K6013" s="33" t="s">
        <v>22</v>
      </c>
    </row>
    <row r="6014" spans="1:11">
      <c r="A6014" s="30" t="s">
        <v>14127</v>
      </c>
      <c r="B6014" s="30" t="s">
        <v>14128</v>
      </c>
      <c r="C6014" s="30" t="s">
        <v>14129</v>
      </c>
      <c r="D6014" s="30" t="s">
        <v>17</v>
      </c>
      <c r="E6014" s="30" t="s">
        <v>31</v>
      </c>
      <c r="F6014" s="30" t="s">
        <v>32</v>
      </c>
      <c r="G6014" s="30" t="s">
        <v>20</v>
      </c>
      <c r="H6014" s="32">
        <v>23</v>
      </c>
      <c r="I6014" s="30" t="s">
        <v>21</v>
      </c>
      <c r="J6014" s="41">
        <v>44348</v>
      </c>
      <c r="K6014" s="30" t="s">
        <v>22</v>
      </c>
    </row>
    <row r="6015" spans="1:11">
      <c r="A6015" s="33" t="s">
        <v>14130</v>
      </c>
      <c r="B6015" s="33" t="s">
        <v>14131</v>
      </c>
      <c r="C6015" s="33" t="s">
        <v>2905</v>
      </c>
      <c r="D6015" s="33" t="s">
        <v>17</v>
      </c>
      <c r="E6015" s="33" t="s">
        <v>212</v>
      </c>
      <c r="F6015" s="33" t="s">
        <v>213</v>
      </c>
      <c r="G6015" s="33" t="s">
        <v>50</v>
      </c>
      <c r="H6015" s="35">
        <v>123</v>
      </c>
      <c r="I6015" s="33" t="s">
        <v>51</v>
      </c>
      <c r="J6015" s="42">
        <v>44454</v>
      </c>
      <c r="K6015" s="33" t="s">
        <v>22</v>
      </c>
    </row>
    <row r="6016" spans="1:11">
      <c r="A6016" s="30" t="s">
        <v>14132</v>
      </c>
      <c r="B6016" s="30" t="s">
        <v>14133</v>
      </c>
      <c r="C6016" s="30" t="s">
        <v>136</v>
      </c>
      <c r="D6016" s="30" t="s">
        <v>17</v>
      </c>
      <c r="E6016" s="30" t="s">
        <v>26</v>
      </c>
      <c r="F6016" s="30" t="s">
        <v>27</v>
      </c>
      <c r="G6016" s="30" t="s">
        <v>20</v>
      </c>
      <c r="H6016" s="32">
        <v>41</v>
      </c>
      <c r="I6016" s="30" t="s">
        <v>21</v>
      </c>
      <c r="J6016" s="41">
        <v>44357</v>
      </c>
      <c r="K6016" s="30" t="s">
        <v>22</v>
      </c>
    </row>
    <row r="6017" spans="1:11">
      <c r="A6017" s="33" t="s">
        <v>14134</v>
      </c>
      <c r="B6017" s="33" t="s">
        <v>14135</v>
      </c>
      <c r="C6017" s="33" t="s">
        <v>14136</v>
      </c>
      <c r="D6017" s="33" t="s">
        <v>17</v>
      </c>
      <c r="E6017" s="33" t="s">
        <v>31</v>
      </c>
      <c r="F6017" s="33" t="s">
        <v>32</v>
      </c>
      <c r="G6017" s="33" t="s">
        <v>20</v>
      </c>
      <c r="H6017" s="35">
        <v>30</v>
      </c>
      <c r="I6017" s="33" t="s">
        <v>21</v>
      </c>
      <c r="J6017" s="42">
        <v>44256</v>
      </c>
      <c r="K6017" s="33" t="s">
        <v>22</v>
      </c>
    </row>
    <row r="6018" spans="1:11">
      <c r="A6018" s="30" t="s">
        <v>14137</v>
      </c>
      <c r="B6018" s="30" t="s">
        <v>14138</v>
      </c>
      <c r="C6018" s="30" t="s">
        <v>13864</v>
      </c>
      <c r="D6018" s="30" t="s">
        <v>17</v>
      </c>
      <c r="E6018" s="30" t="s">
        <v>18</v>
      </c>
      <c r="F6018" s="30" t="s">
        <v>19</v>
      </c>
      <c r="G6018" s="30" t="s">
        <v>20</v>
      </c>
      <c r="H6018" s="32">
        <v>8</v>
      </c>
      <c r="I6018" s="30" t="s">
        <v>21</v>
      </c>
      <c r="J6018" s="41">
        <v>44530</v>
      </c>
      <c r="K6018" s="30" t="s">
        <v>22</v>
      </c>
    </row>
    <row r="6019" spans="1:11">
      <c r="A6019" s="33" t="s">
        <v>14139</v>
      </c>
      <c r="B6019" s="33" t="s">
        <v>14140</v>
      </c>
      <c r="C6019" s="33" t="s">
        <v>8262</v>
      </c>
      <c r="D6019" s="33" t="s">
        <v>17</v>
      </c>
      <c r="E6019" s="33" t="s">
        <v>212</v>
      </c>
      <c r="F6019" s="33" t="s">
        <v>213</v>
      </c>
      <c r="G6019" s="33" t="s">
        <v>20</v>
      </c>
      <c r="H6019" s="35">
        <v>105</v>
      </c>
      <c r="I6019" s="33" t="s">
        <v>21</v>
      </c>
      <c r="J6019" s="42">
        <v>44405</v>
      </c>
      <c r="K6019" s="33" t="s">
        <v>22</v>
      </c>
    </row>
    <row r="6020" spans="1:11">
      <c r="A6020" s="30" t="s">
        <v>14141</v>
      </c>
      <c r="B6020" s="30" t="s">
        <v>14142</v>
      </c>
      <c r="C6020" s="30" t="s">
        <v>6505</v>
      </c>
      <c r="D6020" s="30" t="s">
        <v>17</v>
      </c>
      <c r="E6020" s="30" t="s">
        <v>26</v>
      </c>
      <c r="F6020" s="30" t="s">
        <v>27</v>
      </c>
      <c r="G6020" s="30" t="s">
        <v>20</v>
      </c>
      <c r="H6020" s="32">
        <v>5</v>
      </c>
      <c r="I6020" s="30" t="s">
        <v>21</v>
      </c>
      <c r="J6020" s="41">
        <v>44256</v>
      </c>
      <c r="K6020" s="30" t="s">
        <v>22</v>
      </c>
    </row>
    <row r="6021" spans="1:11">
      <c r="A6021" s="33" t="s">
        <v>14143</v>
      </c>
      <c r="B6021" s="33" t="s">
        <v>14144</v>
      </c>
      <c r="C6021" s="33" t="s">
        <v>1250</v>
      </c>
      <c r="D6021" s="33" t="s">
        <v>17</v>
      </c>
      <c r="E6021" s="33" t="s">
        <v>31</v>
      </c>
      <c r="F6021" s="33" t="s">
        <v>32</v>
      </c>
      <c r="G6021" s="33" t="s">
        <v>106</v>
      </c>
      <c r="H6021" s="35">
        <v>54</v>
      </c>
      <c r="I6021" s="33" t="s">
        <v>21</v>
      </c>
      <c r="J6021" s="42">
        <v>44245</v>
      </c>
      <c r="K6021" s="33" t="s">
        <v>22</v>
      </c>
    </row>
    <row r="6022" spans="1:11">
      <c r="A6022" s="30" t="s">
        <v>14145</v>
      </c>
      <c r="B6022" s="30" t="s">
        <v>14146</v>
      </c>
      <c r="C6022" s="30" t="s">
        <v>2719</v>
      </c>
      <c r="D6022" s="30" t="s">
        <v>17</v>
      </c>
      <c r="E6022" s="30" t="s">
        <v>18</v>
      </c>
      <c r="F6022" s="30" t="s">
        <v>19</v>
      </c>
      <c r="G6022" s="30" t="s">
        <v>106</v>
      </c>
      <c r="H6022" s="32">
        <v>253</v>
      </c>
      <c r="I6022" s="30" t="s">
        <v>21</v>
      </c>
      <c r="J6022" s="41">
        <v>44446</v>
      </c>
      <c r="K6022" s="30" t="s">
        <v>22</v>
      </c>
    </row>
    <row r="6023" spans="1:11">
      <c r="A6023" s="33" t="s">
        <v>14147</v>
      </c>
      <c r="B6023" s="33" t="s">
        <v>14148</v>
      </c>
      <c r="C6023" s="33" t="s">
        <v>5084</v>
      </c>
      <c r="D6023" s="33" t="s">
        <v>17</v>
      </c>
      <c r="E6023" s="33" t="s">
        <v>18</v>
      </c>
      <c r="F6023" s="33" t="s">
        <v>19</v>
      </c>
      <c r="G6023" s="33" t="s">
        <v>20</v>
      </c>
      <c r="H6023" s="35">
        <v>67</v>
      </c>
      <c r="I6023" s="33" t="s">
        <v>21</v>
      </c>
      <c r="J6023" s="42">
        <v>44386</v>
      </c>
      <c r="K6023" s="33" t="s">
        <v>22</v>
      </c>
    </row>
    <row r="6024" spans="1:11">
      <c r="A6024" s="30" t="s">
        <v>14149</v>
      </c>
      <c r="B6024" s="30" t="s">
        <v>14150</v>
      </c>
      <c r="C6024" s="30" t="s">
        <v>715</v>
      </c>
      <c r="D6024" s="30" t="s">
        <v>17</v>
      </c>
      <c r="E6024" s="30" t="s">
        <v>26</v>
      </c>
      <c r="F6024" s="30" t="s">
        <v>27</v>
      </c>
      <c r="G6024" s="30" t="s">
        <v>20</v>
      </c>
      <c r="H6024" s="32">
        <v>17</v>
      </c>
      <c r="I6024" s="30" t="s">
        <v>21</v>
      </c>
      <c r="J6024" s="41">
        <v>44224</v>
      </c>
      <c r="K6024" s="30" t="s">
        <v>22</v>
      </c>
    </row>
    <row r="6025" spans="1:11">
      <c r="A6025" s="33" t="s">
        <v>14151</v>
      </c>
      <c r="B6025" s="33" t="s">
        <v>14152</v>
      </c>
      <c r="C6025" s="33" t="s">
        <v>190</v>
      </c>
      <c r="D6025" s="33" t="s">
        <v>17</v>
      </c>
      <c r="E6025" s="33" t="s">
        <v>26</v>
      </c>
      <c r="F6025" s="33" t="s">
        <v>27</v>
      </c>
      <c r="G6025" s="33" t="s">
        <v>20</v>
      </c>
      <c r="H6025" s="35">
        <v>16</v>
      </c>
      <c r="I6025" s="33" t="s">
        <v>21</v>
      </c>
      <c r="J6025" s="42">
        <v>44249</v>
      </c>
      <c r="K6025" s="33" t="s">
        <v>22</v>
      </c>
    </row>
    <row r="6026" spans="1:11">
      <c r="A6026" s="30" t="s">
        <v>14153</v>
      </c>
      <c r="B6026" s="30" t="s">
        <v>14154</v>
      </c>
      <c r="C6026" s="30" t="s">
        <v>5452</v>
      </c>
      <c r="D6026" s="30" t="s">
        <v>17</v>
      </c>
      <c r="E6026" s="30" t="s">
        <v>18</v>
      </c>
      <c r="F6026" s="30" t="s">
        <v>19</v>
      </c>
      <c r="G6026" s="30" t="s">
        <v>20</v>
      </c>
      <c r="H6026" s="32">
        <v>100</v>
      </c>
      <c r="I6026" s="30" t="s">
        <v>21</v>
      </c>
      <c r="J6026" s="41">
        <v>44478</v>
      </c>
      <c r="K6026" s="30" t="s">
        <v>22</v>
      </c>
    </row>
    <row r="6027" spans="1:11">
      <c r="A6027" s="33" t="s">
        <v>14155</v>
      </c>
      <c r="B6027" s="33" t="s">
        <v>14156</v>
      </c>
      <c r="C6027" s="33" t="s">
        <v>11001</v>
      </c>
      <c r="D6027" s="33" t="s">
        <v>17</v>
      </c>
      <c r="E6027" s="33" t="s">
        <v>18</v>
      </c>
      <c r="F6027" s="33" t="s">
        <v>19</v>
      </c>
      <c r="G6027" s="33" t="s">
        <v>20</v>
      </c>
      <c r="H6027" s="35">
        <v>10381</v>
      </c>
      <c r="I6027" s="33" t="s">
        <v>21</v>
      </c>
      <c r="J6027" s="42">
        <v>44503</v>
      </c>
      <c r="K6027" s="33" t="s">
        <v>22</v>
      </c>
    </row>
    <row r="6028" spans="1:11">
      <c r="A6028" s="30" t="s">
        <v>14157</v>
      </c>
      <c r="B6028" s="30" t="s">
        <v>14158</v>
      </c>
      <c r="C6028" s="30" t="s">
        <v>5842</v>
      </c>
      <c r="D6028" s="30" t="s">
        <v>17</v>
      </c>
      <c r="E6028" s="30" t="s">
        <v>26</v>
      </c>
      <c r="F6028" s="30" t="s">
        <v>27</v>
      </c>
      <c r="G6028" s="30" t="s">
        <v>20</v>
      </c>
      <c r="H6028" s="32">
        <v>40</v>
      </c>
      <c r="I6028" s="30" t="s">
        <v>21</v>
      </c>
      <c r="J6028" s="41">
        <v>44467</v>
      </c>
      <c r="K6028" s="30" t="s">
        <v>22</v>
      </c>
    </row>
    <row r="6029" spans="1:11">
      <c r="A6029" s="33" t="s">
        <v>14159</v>
      </c>
      <c r="B6029" s="33" t="s">
        <v>14160</v>
      </c>
      <c r="C6029" s="33" t="s">
        <v>2196</v>
      </c>
      <c r="D6029" s="33" t="s">
        <v>17</v>
      </c>
      <c r="E6029" s="33" t="s">
        <v>67</v>
      </c>
      <c r="F6029" s="33" t="s">
        <v>68</v>
      </c>
      <c r="G6029" s="33" t="s">
        <v>106</v>
      </c>
      <c r="H6029" s="35">
        <v>52</v>
      </c>
      <c r="I6029" s="33" t="s">
        <v>21</v>
      </c>
      <c r="J6029" s="42">
        <v>44417</v>
      </c>
      <c r="K6029" s="33" t="s">
        <v>22</v>
      </c>
    </row>
    <row r="6030" spans="1:11">
      <c r="A6030" s="30" t="s">
        <v>14161</v>
      </c>
      <c r="B6030" s="30" t="s">
        <v>14162</v>
      </c>
      <c r="C6030" s="30" t="s">
        <v>8271</v>
      </c>
      <c r="D6030" s="30" t="s">
        <v>17</v>
      </c>
      <c r="E6030" s="30" t="s">
        <v>31</v>
      </c>
      <c r="F6030" s="30" t="s">
        <v>32</v>
      </c>
      <c r="G6030" s="30" t="s">
        <v>20</v>
      </c>
      <c r="H6030" s="32">
        <v>141</v>
      </c>
      <c r="I6030" s="30" t="s">
        <v>21</v>
      </c>
      <c r="J6030" s="41">
        <v>44320</v>
      </c>
      <c r="K6030" s="30" t="s">
        <v>22</v>
      </c>
    </row>
    <row r="6031" spans="1:11">
      <c r="A6031" s="33" t="s">
        <v>14163</v>
      </c>
      <c r="B6031" s="33" t="s">
        <v>14164</v>
      </c>
      <c r="C6031" s="33" t="s">
        <v>14165</v>
      </c>
      <c r="D6031" s="33" t="s">
        <v>17</v>
      </c>
      <c r="E6031" s="33" t="s">
        <v>31</v>
      </c>
      <c r="F6031" s="33" t="s">
        <v>32</v>
      </c>
      <c r="G6031" s="33" t="s">
        <v>112</v>
      </c>
      <c r="H6031" s="35">
        <v>0</v>
      </c>
      <c r="I6031" s="33" t="s">
        <v>21</v>
      </c>
      <c r="J6031" s="42">
        <v>44309</v>
      </c>
      <c r="K6031" s="33" t="s">
        <v>22</v>
      </c>
    </row>
    <row r="6032" spans="1:11">
      <c r="A6032" s="30" t="s">
        <v>14166</v>
      </c>
      <c r="B6032" s="30" t="s">
        <v>14167</v>
      </c>
      <c r="C6032" s="30" t="s">
        <v>6127</v>
      </c>
      <c r="D6032" s="30" t="s">
        <v>17</v>
      </c>
      <c r="E6032" s="30" t="s">
        <v>31</v>
      </c>
      <c r="F6032" s="30" t="s">
        <v>32</v>
      </c>
      <c r="G6032" s="30" t="s">
        <v>20</v>
      </c>
      <c r="H6032" s="32">
        <v>663</v>
      </c>
      <c r="I6032" s="30" t="s">
        <v>21</v>
      </c>
      <c r="J6032" s="41">
        <v>44505</v>
      </c>
      <c r="K6032" s="30" t="s">
        <v>22</v>
      </c>
    </row>
    <row r="6033" spans="1:11">
      <c r="A6033" s="33" t="s">
        <v>14168</v>
      </c>
      <c r="B6033" s="33" t="s">
        <v>14169</v>
      </c>
      <c r="C6033" s="33" t="s">
        <v>78</v>
      </c>
      <c r="D6033" s="33" t="s">
        <v>17</v>
      </c>
      <c r="E6033" s="33" t="s">
        <v>26</v>
      </c>
      <c r="F6033" s="33" t="s">
        <v>27</v>
      </c>
      <c r="G6033" s="33" t="s">
        <v>20</v>
      </c>
      <c r="H6033" s="35">
        <v>33</v>
      </c>
      <c r="I6033" s="33" t="s">
        <v>21</v>
      </c>
      <c r="J6033" s="42">
        <v>44525</v>
      </c>
      <c r="K6033" s="33" t="s">
        <v>22</v>
      </c>
    </row>
    <row r="6034" spans="1:11">
      <c r="A6034" s="30" t="s">
        <v>14170</v>
      </c>
      <c r="B6034" s="30" t="s">
        <v>14171</v>
      </c>
      <c r="C6034" s="30" t="s">
        <v>2196</v>
      </c>
      <c r="D6034" s="30" t="s">
        <v>17</v>
      </c>
      <c r="E6034" s="30" t="s">
        <v>67</v>
      </c>
      <c r="F6034" s="30" t="s">
        <v>68</v>
      </c>
      <c r="G6034" s="30" t="s">
        <v>20</v>
      </c>
      <c r="H6034" s="32">
        <v>36</v>
      </c>
      <c r="I6034" s="30" t="s">
        <v>21</v>
      </c>
      <c r="J6034" s="41">
        <v>44441</v>
      </c>
      <c r="K6034" s="30" t="s">
        <v>22</v>
      </c>
    </row>
    <row r="6035" spans="1:11">
      <c r="A6035" s="33" t="s">
        <v>14172</v>
      </c>
      <c r="B6035" s="33" t="s">
        <v>14173</v>
      </c>
      <c r="C6035" s="33" t="s">
        <v>362</v>
      </c>
      <c r="D6035" s="33" t="s">
        <v>17</v>
      </c>
      <c r="E6035" s="33" t="s">
        <v>26</v>
      </c>
      <c r="F6035" s="33" t="s">
        <v>27</v>
      </c>
      <c r="G6035" s="33" t="s">
        <v>20</v>
      </c>
      <c r="H6035" s="35">
        <v>6</v>
      </c>
      <c r="I6035" s="33" t="s">
        <v>21</v>
      </c>
      <c r="J6035" s="42">
        <v>44354</v>
      </c>
      <c r="K6035" s="33" t="s">
        <v>22</v>
      </c>
    </row>
    <row r="6036" spans="1:11">
      <c r="A6036" s="30" t="s">
        <v>14174</v>
      </c>
      <c r="B6036" s="30" t="s">
        <v>14175</v>
      </c>
      <c r="C6036" s="30" t="s">
        <v>14176</v>
      </c>
      <c r="D6036" s="30" t="s">
        <v>17</v>
      </c>
      <c r="E6036" s="30" t="s">
        <v>31</v>
      </c>
      <c r="F6036" s="30" t="s">
        <v>32</v>
      </c>
      <c r="G6036" s="30" t="s">
        <v>20</v>
      </c>
      <c r="H6036" s="32">
        <v>120</v>
      </c>
      <c r="I6036" s="30" t="s">
        <v>21</v>
      </c>
      <c r="J6036" s="41">
        <v>44245</v>
      </c>
      <c r="K6036" s="30" t="s">
        <v>22</v>
      </c>
    </row>
    <row r="6037" spans="1:11">
      <c r="A6037" s="33" t="s">
        <v>14177</v>
      </c>
      <c r="B6037" s="33" t="s">
        <v>14178</v>
      </c>
      <c r="C6037" s="33" t="s">
        <v>2424</v>
      </c>
      <c r="D6037" s="33" t="s">
        <v>17</v>
      </c>
      <c r="E6037" s="33" t="s">
        <v>26</v>
      </c>
      <c r="F6037" s="33" t="s">
        <v>27</v>
      </c>
      <c r="G6037" s="33" t="s">
        <v>20</v>
      </c>
      <c r="H6037" s="35">
        <v>40</v>
      </c>
      <c r="I6037" s="33" t="s">
        <v>21</v>
      </c>
      <c r="J6037" s="42">
        <v>44514</v>
      </c>
      <c r="K6037" s="33" t="s">
        <v>22</v>
      </c>
    </row>
    <row r="6038" spans="1:11">
      <c r="A6038" s="30" t="s">
        <v>14179</v>
      </c>
      <c r="B6038" s="30" t="s">
        <v>14180</v>
      </c>
      <c r="C6038" s="30" t="s">
        <v>14181</v>
      </c>
      <c r="D6038" s="30" t="s">
        <v>17</v>
      </c>
      <c r="E6038" s="30" t="s">
        <v>26</v>
      </c>
      <c r="F6038" s="30" t="s">
        <v>27</v>
      </c>
      <c r="G6038" s="30" t="s">
        <v>50</v>
      </c>
      <c r="H6038" s="32">
        <v>36</v>
      </c>
      <c r="I6038" s="30" t="s">
        <v>51</v>
      </c>
      <c r="J6038" s="41">
        <v>44329</v>
      </c>
      <c r="K6038" s="30" t="s">
        <v>22</v>
      </c>
    </row>
    <row r="6039" spans="1:11">
      <c r="A6039" s="33" t="s">
        <v>14182</v>
      </c>
      <c r="B6039" s="33" t="s">
        <v>14183</v>
      </c>
      <c r="C6039" s="33" t="s">
        <v>14184</v>
      </c>
      <c r="D6039" s="33" t="s">
        <v>17</v>
      </c>
      <c r="E6039" s="33" t="s">
        <v>18</v>
      </c>
      <c r="F6039" s="33" t="s">
        <v>19</v>
      </c>
      <c r="G6039" s="33" t="s">
        <v>20</v>
      </c>
      <c r="H6039" s="35">
        <v>310</v>
      </c>
      <c r="I6039" s="33" t="s">
        <v>21</v>
      </c>
      <c r="J6039" s="42">
        <v>44471</v>
      </c>
      <c r="K6039" s="33" t="s">
        <v>22</v>
      </c>
    </row>
    <row r="6040" spans="1:11">
      <c r="A6040" s="30" t="s">
        <v>14185</v>
      </c>
      <c r="B6040" s="30" t="s">
        <v>14186</v>
      </c>
      <c r="C6040" s="30" t="s">
        <v>75</v>
      </c>
      <c r="D6040" s="30" t="s">
        <v>17</v>
      </c>
      <c r="E6040" s="30" t="s">
        <v>26</v>
      </c>
      <c r="F6040" s="30" t="s">
        <v>27</v>
      </c>
      <c r="G6040" s="30" t="s">
        <v>20</v>
      </c>
      <c r="H6040" s="32">
        <v>22</v>
      </c>
      <c r="I6040" s="30" t="s">
        <v>21</v>
      </c>
      <c r="J6040" s="41">
        <v>44372</v>
      </c>
      <c r="K6040" s="30" t="s">
        <v>22</v>
      </c>
    </row>
    <row r="6041" spans="1:11">
      <c r="A6041" s="33" t="s">
        <v>14187</v>
      </c>
      <c r="B6041" s="33" t="s">
        <v>14188</v>
      </c>
      <c r="C6041" s="33" t="s">
        <v>102</v>
      </c>
      <c r="D6041" s="33" t="s">
        <v>17</v>
      </c>
      <c r="E6041" s="33" t="s">
        <v>31</v>
      </c>
      <c r="F6041" s="33" t="s">
        <v>32</v>
      </c>
      <c r="G6041" s="33" t="s">
        <v>20</v>
      </c>
      <c r="H6041" s="35">
        <v>228</v>
      </c>
      <c r="I6041" s="33" t="s">
        <v>21</v>
      </c>
      <c r="J6041" s="42">
        <v>44428</v>
      </c>
      <c r="K6041" s="33" t="s">
        <v>22</v>
      </c>
    </row>
    <row r="6042" spans="1:11">
      <c r="A6042" s="30" t="s">
        <v>14189</v>
      </c>
      <c r="B6042" s="30" t="s">
        <v>14190</v>
      </c>
      <c r="C6042" s="30" t="s">
        <v>310</v>
      </c>
      <c r="D6042" s="30" t="s">
        <v>17</v>
      </c>
      <c r="E6042" s="30" t="s">
        <v>26</v>
      </c>
      <c r="F6042" s="30" t="s">
        <v>27</v>
      </c>
      <c r="G6042" s="30" t="s">
        <v>20</v>
      </c>
      <c r="H6042" s="32">
        <v>40</v>
      </c>
      <c r="I6042" s="30" t="s">
        <v>21</v>
      </c>
      <c r="J6042" s="41">
        <v>44384</v>
      </c>
      <c r="K6042" s="30" t="s">
        <v>22</v>
      </c>
    </row>
    <row r="6043" spans="1:11">
      <c r="A6043" s="33" t="s">
        <v>14191</v>
      </c>
      <c r="B6043" s="33" t="s">
        <v>14192</v>
      </c>
      <c r="C6043" s="33" t="s">
        <v>14193</v>
      </c>
      <c r="D6043" s="33" t="s">
        <v>17</v>
      </c>
      <c r="E6043" s="33" t="s">
        <v>31</v>
      </c>
      <c r="F6043" s="33" t="s">
        <v>32</v>
      </c>
      <c r="G6043" s="33" t="s">
        <v>50</v>
      </c>
      <c r="H6043" s="35">
        <v>108</v>
      </c>
      <c r="I6043" s="33" t="s">
        <v>51</v>
      </c>
      <c r="J6043" s="42">
        <v>44230</v>
      </c>
      <c r="K6043" s="33" t="s">
        <v>22</v>
      </c>
    </row>
    <row r="6044" spans="1:11">
      <c r="A6044" s="30" t="s">
        <v>14194</v>
      </c>
      <c r="B6044" s="30" t="s">
        <v>14195</v>
      </c>
      <c r="C6044" s="30" t="s">
        <v>109</v>
      </c>
      <c r="D6044" s="30" t="s">
        <v>17</v>
      </c>
      <c r="E6044" s="30" t="s">
        <v>18</v>
      </c>
      <c r="F6044" s="30" t="s">
        <v>19</v>
      </c>
      <c r="G6044" s="30" t="s">
        <v>106</v>
      </c>
      <c r="H6044" s="32">
        <v>211</v>
      </c>
      <c r="I6044" s="30" t="s">
        <v>21</v>
      </c>
      <c r="J6044" s="41">
        <v>44537</v>
      </c>
      <c r="K6044" s="30" t="s">
        <v>22</v>
      </c>
    </row>
    <row r="6045" spans="1:11">
      <c r="A6045" s="33" t="s">
        <v>14196</v>
      </c>
      <c r="B6045" s="33" t="s">
        <v>14197</v>
      </c>
      <c r="C6045" s="33" t="s">
        <v>5452</v>
      </c>
      <c r="D6045" s="33" t="s">
        <v>17</v>
      </c>
      <c r="E6045" s="33" t="s">
        <v>31</v>
      </c>
      <c r="F6045" s="33" t="s">
        <v>32</v>
      </c>
      <c r="G6045" s="33" t="s">
        <v>20</v>
      </c>
      <c r="H6045" s="35">
        <v>119</v>
      </c>
      <c r="I6045" s="33" t="s">
        <v>21</v>
      </c>
      <c r="J6045" s="42">
        <v>44347</v>
      </c>
      <c r="K6045" s="33" t="s">
        <v>22</v>
      </c>
    </row>
    <row r="6046" spans="1:11">
      <c r="A6046" s="30" t="s">
        <v>14198</v>
      </c>
      <c r="B6046" s="30" t="s">
        <v>14199</v>
      </c>
      <c r="C6046" s="30" t="s">
        <v>374</v>
      </c>
      <c r="D6046" s="30" t="s">
        <v>17</v>
      </c>
      <c r="E6046" s="30" t="s">
        <v>18</v>
      </c>
      <c r="F6046" s="30" t="s">
        <v>19</v>
      </c>
      <c r="G6046" s="30" t="s">
        <v>158</v>
      </c>
      <c r="H6046" s="32">
        <v>453</v>
      </c>
      <c r="I6046" s="30" t="s">
        <v>21</v>
      </c>
      <c r="J6046" s="41">
        <v>44250</v>
      </c>
      <c r="K6046" s="30" t="s">
        <v>22</v>
      </c>
    </row>
    <row r="6047" spans="1:11">
      <c r="A6047" s="33" t="s">
        <v>14200</v>
      </c>
      <c r="B6047" s="33" t="s">
        <v>14201</v>
      </c>
      <c r="C6047" s="33" t="s">
        <v>157</v>
      </c>
      <c r="D6047" s="33" t="s">
        <v>17</v>
      </c>
      <c r="E6047" s="33" t="s">
        <v>212</v>
      </c>
      <c r="F6047" s="33" t="s">
        <v>213</v>
      </c>
      <c r="G6047" s="33" t="s">
        <v>20</v>
      </c>
      <c r="H6047" s="35">
        <v>150</v>
      </c>
      <c r="I6047" s="33" t="s">
        <v>21</v>
      </c>
      <c r="J6047" s="42">
        <v>44538</v>
      </c>
      <c r="K6047" s="33" t="s">
        <v>22</v>
      </c>
    </row>
    <row r="6048" spans="1:11">
      <c r="A6048" s="30" t="s">
        <v>14202</v>
      </c>
      <c r="B6048" s="30" t="s">
        <v>14203</v>
      </c>
      <c r="C6048" s="30" t="s">
        <v>3578</v>
      </c>
      <c r="D6048" s="30" t="s">
        <v>17</v>
      </c>
      <c r="E6048" s="30" t="s">
        <v>31</v>
      </c>
      <c r="F6048" s="30" t="s">
        <v>32</v>
      </c>
      <c r="G6048" s="30" t="s">
        <v>112</v>
      </c>
      <c r="H6048" s="32">
        <v>0</v>
      </c>
      <c r="I6048" s="30" t="s">
        <v>21</v>
      </c>
      <c r="J6048" s="41">
        <v>44197</v>
      </c>
      <c r="K6048" s="30" t="s">
        <v>22</v>
      </c>
    </row>
    <row r="6049" spans="1:11">
      <c r="A6049" s="33" t="s">
        <v>14204</v>
      </c>
      <c r="B6049" s="33" t="s">
        <v>14205</v>
      </c>
      <c r="C6049" s="33" t="s">
        <v>925</v>
      </c>
      <c r="D6049" s="33" t="s">
        <v>17</v>
      </c>
      <c r="E6049" s="33" t="s">
        <v>26</v>
      </c>
      <c r="F6049" s="33" t="s">
        <v>27</v>
      </c>
      <c r="G6049" s="33" t="s">
        <v>140</v>
      </c>
      <c r="H6049" s="35">
        <v>416</v>
      </c>
      <c r="I6049" s="33" t="s">
        <v>51</v>
      </c>
      <c r="J6049" s="42">
        <v>44426</v>
      </c>
      <c r="K6049" s="33" t="s">
        <v>22</v>
      </c>
    </row>
    <row r="6050" spans="1:11">
      <c r="A6050" s="30" t="s">
        <v>14206</v>
      </c>
      <c r="B6050" s="30" t="s">
        <v>14207</v>
      </c>
      <c r="C6050" s="30" t="s">
        <v>14208</v>
      </c>
      <c r="D6050" s="30" t="s">
        <v>17</v>
      </c>
      <c r="E6050" s="30" t="s">
        <v>18</v>
      </c>
      <c r="F6050" s="30" t="s">
        <v>19</v>
      </c>
      <c r="G6050" s="30" t="s">
        <v>106</v>
      </c>
      <c r="H6050" s="32">
        <v>175</v>
      </c>
      <c r="I6050" s="30" t="s">
        <v>21</v>
      </c>
      <c r="J6050" s="41">
        <v>44391</v>
      </c>
      <c r="K6050" s="30" t="s">
        <v>22</v>
      </c>
    </row>
    <row r="6051" spans="1:11">
      <c r="A6051" s="33" t="s">
        <v>14209</v>
      </c>
      <c r="B6051" s="33" t="s">
        <v>14210</v>
      </c>
      <c r="C6051" s="33" t="s">
        <v>1945</v>
      </c>
      <c r="D6051" s="33" t="s">
        <v>17</v>
      </c>
      <c r="E6051" s="33" t="s">
        <v>31</v>
      </c>
      <c r="F6051" s="33" t="s">
        <v>32</v>
      </c>
      <c r="G6051" s="33" t="s">
        <v>106</v>
      </c>
      <c r="H6051" s="35">
        <v>100</v>
      </c>
      <c r="I6051" s="33" t="s">
        <v>21</v>
      </c>
      <c r="J6051" s="42">
        <v>44249</v>
      </c>
      <c r="K6051" s="33" t="s">
        <v>22</v>
      </c>
    </row>
    <row r="6052" spans="1:11">
      <c r="A6052" s="30" t="s">
        <v>14211</v>
      </c>
      <c r="B6052" s="30" t="s">
        <v>14212</v>
      </c>
      <c r="C6052" s="30" t="s">
        <v>3302</v>
      </c>
      <c r="D6052" s="30" t="s">
        <v>17</v>
      </c>
      <c r="E6052" s="30" t="s">
        <v>18</v>
      </c>
      <c r="F6052" s="30" t="s">
        <v>19</v>
      </c>
      <c r="G6052" s="30" t="s">
        <v>50</v>
      </c>
      <c r="H6052" s="32">
        <v>48</v>
      </c>
      <c r="I6052" s="30" t="s">
        <v>51</v>
      </c>
      <c r="J6052" s="41">
        <v>44433</v>
      </c>
      <c r="K6052" s="30" t="s">
        <v>22</v>
      </c>
    </row>
    <row r="6053" spans="1:11">
      <c r="A6053" s="33" t="s">
        <v>14213</v>
      </c>
      <c r="B6053" s="33" t="s">
        <v>14214</v>
      </c>
      <c r="C6053" s="33" t="s">
        <v>1295</v>
      </c>
      <c r="D6053" s="33" t="s">
        <v>17</v>
      </c>
      <c r="E6053" s="33" t="s">
        <v>18</v>
      </c>
      <c r="F6053" s="33" t="s">
        <v>19</v>
      </c>
      <c r="G6053" s="33" t="s">
        <v>106</v>
      </c>
      <c r="H6053" s="35">
        <v>10</v>
      </c>
      <c r="I6053" s="33" t="s">
        <v>21</v>
      </c>
      <c r="J6053" s="42">
        <v>44202</v>
      </c>
      <c r="K6053" s="33" t="s">
        <v>22</v>
      </c>
    </row>
    <row r="6054" spans="1:11">
      <c r="A6054" s="30" t="s">
        <v>14215</v>
      </c>
      <c r="B6054" s="30" t="s">
        <v>14216</v>
      </c>
      <c r="C6054" s="30" t="s">
        <v>2852</v>
      </c>
      <c r="D6054" s="30" t="s">
        <v>17</v>
      </c>
      <c r="E6054" s="30" t="s">
        <v>31</v>
      </c>
      <c r="F6054" s="30" t="s">
        <v>32</v>
      </c>
      <c r="G6054" s="30" t="s">
        <v>106</v>
      </c>
      <c r="H6054" s="32">
        <v>4</v>
      </c>
      <c r="I6054" s="30" t="s">
        <v>21</v>
      </c>
      <c r="J6054" s="41">
        <v>44200</v>
      </c>
      <c r="K6054" s="30" t="s">
        <v>22</v>
      </c>
    </row>
    <row r="6055" spans="1:11">
      <c r="A6055" s="33" t="s">
        <v>14217</v>
      </c>
      <c r="B6055" s="33" t="s">
        <v>14218</v>
      </c>
      <c r="C6055" s="33" t="s">
        <v>14219</v>
      </c>
      <c r="D6055" s="33" t="s">
        <v>17</v>
      </c>
      <c r="E6055" s="33" t="s">
        <v>31</v>
      </c>
      <c r="F6055" s="33" t="s">
        <v>32</v>
      </c>
      <c r="G6055" s="33" t="s">
        <v>20</v>
      </c>
      <c r="H6055" s="35">
        <v>111</v>
      </c>
      <c r="I6055" s="33" t="s">
        <v>21</v>
      </c>
      <c r="J6055" s="42">
        <v>44277</v>
      </c>
      <c r="K6055" s="33" t="s">
        <v>22</v>
      </c>
    </row>
    <row r="6056" spans="1:11">
      <c r="A6056" s="30" t="s">
        <v>14220</v>
      </c>
      <c r="B6056" s="30" t="s">
        <v>14221</v>
      </c>
      <c r="C6056" s="30" t="s">
        <v>157</v>
      </c>
      <c r="D6056" s="30" t="s">
        <v>17</v>
      </c>
      <c r="E6056" s="30" t="s">
        <v>67</v>
      </c>
      <c r="F6056" s="30" t="s">
        <v>68</v>
      </c>
      <c r="G6056" s="30" t="s">
        <v>106</v>
      </c>
      <c r="H6056" s="32">
        <v>27</v>
      </c>
      <c r="I6056" s="30" t="s">
        <v>21</v>
      </c>
      <c r="J6056" s="41">
        <v>44306</v>
      </c>
      <c r="K6056" s="30" t="s">
        <v>22</v>
      </c>
    </row>
    <row r="6057" spans="1:11">
      <c r="A6057" s="33" t="s">
        <v>14222</v>
      </c>
      <c r="B6057" s="33" t="s">
        <v>14223</v>
      </c>
      <c r="C6057" s="33" t="s">
        <v>3748</v>
      </c>
      <c r="D6057" s="33" t="s">
        <v>17</v>
      </c>
      <c r="E6057" s="33" t="s">
        <v>26</v>
      </c>
      <c r="F6057" s="33" t="s">
        <v>27</v>
      </c>
      <c r="G6057" s="33" t="s">
        <v>20</v>
      </c>
      <c r="H6057" s="35">
        <v>67</v>
      </c>
      <c r="I6057" s="33" t="s">
        <v>21</v>
      </c>
      <c r="J6057" s="42">
        <v>44322</v>
      </c>
      <c r="K6057" s="33" t="s">
        <v>22</v>
      </c>
    </row>
    <row r="6058" spans="1:11">
      <c r="A6058" s="30" t="s">
        <v>14224</v>
      </c>
      <c r="B6058" s="30" t="s">
        <v>14225</v>
      </c>
      <c r="C6058" s="30" t="s">
        <v>14226</v>
      </c>
      <c r="D6058" s="30" t="s">
        <v>17</v>
      </c>
      <c r="E6058" s="30" t="s">
        <v>31</v>
      </c>
      <c r="F6058" s="30" t="s">
        <v>32</v>
      </c>
      <c r="G6058" s="30" t="s">
        <v>50</v>
      </c>
      <c r="H6058" s="32">
        <v>45</v>
      </c>
      <c r="I6058" s="30" t="s">
        <v>51</v>
      </c>
      <c r="J6058" s="41">
        <v>44552</v>
      </c>
      <c r="K6058" s="30" t="s">
        <v>22</v>
      </c>
    </row>
    <row r="6059" spans="1:11">
      <c r="A6059" s="33" t="s">
        <v>14227</v>
      </c>
      <c r="B6059" s="33" t="s">
        <v>14228</v>
      </c>
      <c r="C6059" s="33" t="s">
        <v>6470</v>
      </c>
      <c r="D6059" s="33" t="s">
        <v>17</v>
      </c>
      <c r="E6059" s="33" t="s">
        <v>18</v>
      </c>
      <c r="F6059" s="33" t="s">
        <v>19</v>
      </c>
      <c r="G6059" s="33" t="s">
        <v>20</v>
      </c>
      <c r="H6059" s="35">
        <v>396</v>
      </c>
      <c r="I6059" s="33" t="s">
        <v>21</v>
      </c>
      <c r="J6059" s="42">
        <v>44512</v>
      </c>
      <c r="K6059" s="33" t="s">
        <v>22</v>
      </c>
    </row>
    <row r="6060" spans="1:11">
      <c r="A6060" s="30" t="s">
        <v>14229</v>
      </c>
      <c r="B6060" s="30" t="s">
        <v>14230</v>
      </c>
      <c r="C6060" s="30" t="s">
        <v>14231</v>
      </c>
      <c r="D6060" s="30" t="s">
        <v>17</v>
      </c>
      <c r="E6060" s="30" t="s">
        <v>26</v>
      </c>
      <c r="F6060" s="30" t="s">
        <v>27</v>
      </c>
      <c r="G6060" s="30" t="s">
        <v>106</v>
      </c>
      <c r="H6060" s="32">
        <v>7</v>
      </c>
      <c r="I6060" s="30" t="s">
        <v>21</v>
      </c>
      <c r="J6060" s="41">
        <v>44358</v>
      </c>
      <c r="K6060" s="30" t="s">
        <v>22</v>
      </c>
    </row>
    <row r="6061" spans="1:11">
      <c r="A6061" s="33" t="s">
        <v>14232</v>
      </c>
      <c r="B6061" s="33" t="s">
        <v>14233</v>
      </c>
      <c r="C6061" s="33" t="s">
        <v>899</v>
      </c>
      <c r="D6061" s="33" t="s">
        <v>17</v>
      </c>
      <c r="E6061" s="33" t="s">
        <v>26</v>
      </c>
      <c r="F6061" s="33" t="s">
        <v>27</v>
      </c>
      <c r="G6061" s="33" t="s">
        <v>20</v>
      </c>
      <c r="H6061" s="35">
        <v>106</v>
      </c>
      <c r="I6061" s="33" t="s">
        <v>21</v>
      </c>
      <c r="J6061" s="42">
        <v>44216</v>
      </c>
      <c r="K6061" s="33" t="s">
        <v>22</v>
      </c>
    </row>
    <row r="6062" spans="1:11">
      <c r="A6062" s="30" t="s">
        <v>14234</v>
      </c>
      <c r="B6062" s="30" t="s">
        <v>14235</v>
      </c>
      <c r="C6062" s="30" t="s">
        <v>3775</v>
      </c>
      <c r="D6062" s="30" t="s">
        <v>17</v>
      </c>
      <c r="E6062" s="30" t="s">
        <v>26</v>
      </c>
      <c r="F6062" s="30" t="s">
        <v>27</v>
      </c>
      <c r="G6062" s="30" t="s">
        <v>20</v>
      </c>
      <c r="H6062" s="32">
        <v>60</v>
      </c>
      <c r="I6062" s="30" t="s">
        <v>21</v>
      </c>
      <c r="J6062" s="41">
        <v>44491</v>
      </c>
      <c r="K6062" s="30" t="s">
        <v>22</v>
      </c>
    </row>
    <row r="6063" spans="1:11">
      <c r="A6063" s="33" t="s">
        <v>14236</v>
      </c>
      <c r="B6063" s="33" t="s">
        <v>14237</v>
      </c>
      <c r="C6063" s="33" t="s">
        <v>124</v>
      </c>
      <c r="D6063" s="33" t="s">
        <v>17</v>
      </c>
      <c r="E6063" s="33" t="s">
        <v>26</v>
      </c>
      <c r="F6063" s="33" t="s">
        <v>27</v>
      </c>
      <c r="G6063" s="33" t="s">
        <v>50</v>
      </c>
      <c r="H6063" s="35">
        <v>22</v>
      </c>
      <c r="I6063" s="33" t="s">
        <v>51</v>
      </c>
      <c r="J6063" s="42">
        <v>44287</v>
      </c>
      <c r="K6063" s="33" t="s">
        <v>22</v>
      </c>
    </row>
    <row r="6064" spans="1:11">
      <c r="A6064" s="30" t="s">
        <v>14238</v>
      </c>
      <c r="B6064" s="30" t="s">
        <v>14239</v>
      </c>
      <c r="C6064" s="30" t="s">
        <v>14240</v>
      </c>
      <c r="D6064" s="30" t="s">
        <v>17</v>
      </c>
      <c r="E6064" s="30" t="s">
        <v>31</v>
      </c>
      <c r="F6064" s="30" t="s">
        <v>32</v>
      </c>
      <c r="G6064" s="30" t="s">
        <v>20</v>
      </c>
      <c r="H6064" s="32">
        <v>5</v>
      </c>
      <c r="I6064" s="30" t="s">
        <v>21</v>
      </c>
      <c r="J6064" s="41">
        <v>44204</v>
      </c>
      <c r="K6064" s="30" t="s">
        <v>22</v>
      </c>
    </row>
    <row r="6065" spans="1:11">
      <c r="A6065" s="33" t="s">
        <v>14241</v>
      </c>
      <c r="B6065" s="33" t="s">
        <v>14242</v>
      </c>
      <c r="C6065" s="33" t="s">
        <v>2978</v>
      </c>
      <c r="D6065" s="33" t="s">
        <v>17</v>
      </c>
      <c r="E6065" s="33" t="s">
        <v>67</v>
      </c>
      <c r="F6065" s="33" t="s">
        <v>68</v>
      </c>
      <c r="G6065" s="33" t="s">
        <v>50</v>
      </c>
      <c r="H6065" s="35">
        <v>104</v>
      </c>
      <c r="I6065" s="33" t="s">
        <v>51</v>
      </c>
      <c r="J6065" s="42">
        <v>44378</v>
      </c>
      <c r="K6065" s="33" t="s">
        <v>22</v>
      </c>
    </row>
    <row r="6066" spans="1:11">
      <c r="A6066" s="30" t="s">
        <v>14243</v>
      </c>
      <c r="B6066" s="30" t="s">
        <v>14244</v>
      </c>
      <c r="C6066" s="30" t="s">
        <v>1136</v>
      </c>
      <c r="D6066" s="30" t="s">
        <v>17</v>
      </c>
      <c r="E6066" s="30" t="s">
        <v>18</v>
      </c>
      <c r="F6066" s="30" t="s">
        <v>19</v>
      </c>
      <c r="G6066" s="30" t="s">
        <v>20</v>
      </c>
      <c r="H6066" s="32">
        <v>463</v>
      </c>
      <c r="I6066" s="30" t="s">
        <v>21</v>
      </c>
      <c r="J6066" s="41">
        <v>44271</v>
      </c>
      <c r="K6066" s="30" t="s">
        <v>22</v>
      </c>
    </row>
    <row r="6067" spans="1:11">
      <c r="A6067" s="33" t="s">
        <v>14245</v>
      </c>
      <c r="B6067" s="33" t="s">
        <v>14246</v>
      </c>
      <c r="C6067" s="33" t="s">
        <v>318</v>
      </c>
      <c r="D6067" s="33" t="s">
        <v>17</v>
      </c>
      <c r="E6067" s="33" t="s">
        <v>18</v>
      </c>
      <c r="F6067" s="33" t="s">
        <v>19</v>
      </c>
      <c r="G6067" s="33" t="s">
        <v>140</v>
      </c>
      <c r="H6067" s="35">
        <v>60</v>
      </c>
      <c r="I6067" s="33" t="s">
        <v>51</v>
      </c>
      <c r="J6067" s="42">
        <v>44448</v>
      </c>
      <c r="K6067" s="33" t="s">
        <v>22</v>
      </c>
    </row>
    <row r="6068" spans="1:11">
      <c r="A6068" s="30" t="s">
        <v>14247</v>
      </c>
      <c r="B6068" s="30" t="s">
        <v>14248</v>
      </c>
      <c r="C6068" s="30" t="s">
        <v>6339</v>
      </c>
      <c r="D6068" s="30" t="s">
        <v>17</v>
      </c>
      <c r="E6068" s="30" t="s">
        <v>26</v>
      </c>
      <c r="F6068" s="30" t="s">
        <v>27</v>
      </c>
      <c r="G6068" s="30" t="s">
        <v>106</v>
      </c>
      <c r="H6068" s="32">
        <v>5</v>
      </c>
      <c r="I6068" s="30" t="s">
        <v>21</v>
      </c>
      <c r="J6068" s="41">
        <v>44427</v>
      </c>
      <c r="K6068" s="30" t="s">
        <v>22</v>
      </c>
    </row>
    <row r="6069" spans="1:11">
      <c r="A6069" s="33" t="s">
        <v>14249</v>
      </c>
      <c r="B6069" s="33" t="s">
        <v>14250</v>
      </c>
      <c r="C6069" s="33" t="s">
        <v>1543</v>
      </c>
      <c r="D6069" s="33" t="s">
        <v>17</v>
      </c>
      <c r="E6069" s="33" t="s">
        <v>26</v>
      </c>
      <c r="F6069" s="33" t="s">
        <v>27</v>
      </c>
      <c r="G6069" s="33" t="s">
        <v>20</v>
      </c>
      <c r="H6069" s="35">
        <v>20</v>
      </c>
      <c r="I6069" s="33" t="s">
        <v>21</v>
      </c>
      <c r="J6069" s="42">
        <v>44516</v>
      </c>
      <c r="K6069" s="33" t="s">
        <v>22</v>
      </c>
    </row>
    <row r="6070" spans="1:11">
      <c r="A6070" s="30" t="s">
        <v>14251</v>
      </c>
      <c r="B6070" s="30" t="s">
        <v>14252</v>
      </c>
      <c r="C6070" s="30" t="s">
        <v>14253</v>
      </c>
      <c r="D6070" s="30" t="s">
        <v>17</v>
      </c>
      <c r="E6070" s="30" t="s">
        <v>26</v>
      </c>
      <c r="F6070" s="30" t="s">
        <v>27</v>
      </c>
      <c r="G6070" s="30" t="s">
        <v>140</v>
      </c>
      <c r="H6070" s="32">
        <v>60</v>
      </c>
      <c r="I6070" s="30" t="s">
        <v>51</v>
      </c>
      <c r="J6070" s="41">
        <v>44518</v>
      </c>
      <c r="K6070" s="30" t="s">
        <v>22</v>
      </c>
    </row>
    <row r="6071" spans="1:11">
      <c r="A6071" s="33" t="s">
        <v>14254</v>
      </c>
      <c r="B6071" s="33" t="s">
        <v>14255</v>
      </c>
      <c r="C6071" s="33" t="s">
        <v>14256</v>
      </c>
      <c r="D6071" s="33" t="s">
        <v>17</v>
      </c>
      <c r="E6071" s="33" t="s">
        <v>31</v>
      </c>
      <c r="F6071" s="33" t="s">
        <v>32</v>
      </c>
      <c r="G6071" s="33" t="s">
        <v>112</v>
      </c>
      <c r="H6071" s="35">
        <v>0</v>
      </c>
      <c r="I6071" s="33" t="s">
        <v>21</v>
      </c>
      <c r="J6071" s="42">
        <v>44546</v>
      </c>
      <c r="K6071" s="33" t="s">
        <v>22</v>
      </c>
    </row>
    <row r="6072" spans="1:11">
      <c r="A6072" s="30" t="s">
        <v>14257</v>
      </c>
      <c r="B6072" s="30" t="s">
        <v>14258</v>
      </c>
      <c r="C6072" s="30" t="s">
        <v>1178</v>
      </c>
      <c r="D6072" s="30" t="s">
        <v>17</v>
      </c>
      <c r="E6072" s="30" t="s">
        <v>31</v>
      </c>
      <c r="F6072" s="30" t="s">
        <v>32</v>
      </c>
      <c r="G6072" s="30" t="s">
        <v>106</v>
      </c>
      <c r="H6072" s="32">
        <v>16</v>
      </c>
      <c r="I6072" s="30" t="s">
        <v>21</v>
      </c>
      <c r="J6072" s="41">
        <v>44239</v>
      </c>
      <c r="K6072" s="30" t="s">
        <v>22</v>
      </c>
    </row>
    <row r="6073" spans="1:11">
      <c r="A6073" s="33" t="s">
        <v>14259</v>
      </c>
      <c r="B6073" s="33" t="s">
        <v>14260</v>
      </c>
      <c r="C6073" s="33" t="s">
        <v>318</v>
      </c>
      <c r="D6073" s="33" t="s">
        <v>17</v>
      </c>
      <c r="E6073" s="33" t="s">
        <v>31</v>
      </c>
      <c r="F6073" s="33" t="s">
        <v>32</v>
      </c>
      <c r="G6073" s="33" t="s">
        <v>20</v>
      </c>
      <c r="H6073" s="35">
        <v>183</v>
      </c>
      <c r="I6073" s="33" t="s">
        <v>21</v>
      </c>
      <c r="J6073" s="42">
        <v>44301</v>
      </c>
      <c r="K6073" s="33" t="s">
        <v>22</v>
      </c>
    </row>
    <row r="6074" spans="1:11">
      <c r="A6074" s="30" t="s">
        <v>14261</v>
      </c>
      <c r="B6074" s="30" t="s">
        <v>14262</v>
      </c>
      <c r="C6074" s="30" t="s">
        <v>1343</v>
      </c>
      <c r="D6074" s="30" t="s">
        <v>17</v>
      </c>
      <c r="E6074" s="30" t="s">
        <v>31</v>
      </c>
      <c r="F6074" s="30" t="s">
        <v>32</v>
      </c>
      <c r="G6074" s="30" t="s">
        <v>20</v>
      </c>
      <c r="H6074" s="32">
        <v>250</v>
      </c>
      <c r="I6074" s="30" t="s">
        <v>21</v>
      </c>
      <c r="J6074" s="41">
        <v>44407</v>
      </c>
      <c r="K6074" s="30" t="s">
        <v>22</v>
      </c>
    </row>
    <row r="6075" spans="1:11">
      <c r="A6075" s="33" t="s">
        <v>14263</v>
      </c>
      <c r="B6075" s="33" t="s">
        <v>14264</v>
      </c>
      <c r="C6075" s="33" t="s">
        <v>14265</v>
      </c>
      <c r="D6075" s="33" t="s">
        <v>17</v>
      </c>
      <c r="E6075" s="33" t="s">
        <v>330</v>
      </c>
      <c r="F6075" s="33" t="s">
        <v>331</v>
      </c>
      <c r="G6075" s="33" t="s">
        <v>20</v>
      </c>
      <c r="H6075" s="35">
        <v>167</v>
      </c>
      <c r="I6075" s="33" t="s">
        <v>21</v>
      </c>
      <c r="J6075" s="42">
        <v>44228</v>
      </c>
      <c r="K6075" s="33" t="s">
        <v>22</v>
      </c>
    </row>
    <row r="6076" spans="1:11">
      <c r="A6076" s="30" t="s">
        <v>14266</v>
      </c>
      <c r="B6076" s="30" t="s">
        <v>14267</v>
      </c>
      <c r="C6076" s="30" t="s">
        <v>190</v>
      </c>
      <c r="D6076" s="30" t="s">
        <v>17</v>
      </c>
      <c r="E6076" s="30" t="s">
        <v>31</v>
      </c>
      <c r="F6076" s="30" t="s">
        <v>32</v>
      </c>
      <c r="G6076" s="30" t="s">
        <v>20</v>
      </c>
      <c r="H6076" s="32">
        <v>95</v>
      </c>
      <c r="I6076" s="30" t="s">
        <v>21</v>
      </c>
      <c r="J6076" s="41">
        <v>44428</v>
      </c>
      <c r="K6076" s="30" t="s">
        <v>22</v>
      </c>
    </row>
    <row r="6077" spans="1:11">
      <c r="A6077" s="33" t="s">
        <v>14268</v>
      </c>
      <c r="B6077" s="33" t="s">
        <v>14269</v>
      </c>
      <c r="C6077" s="33" t="s">
        <v>549</v>
      </c>
      <c r="D6077" s="33" t="s">
        <v>17</v>
      </c>
      <c r="E6077" s="33" t="s">
        <v>26</v>
      </c>
      <c r="F6077" s="33" t="s">
        <v>27</v>
      </c>
      <c r="G6077" s="33" t="s">
        <v>20</v>
      </c>
      <c r="H6077" s="35">
        <v>12</v>
      </c>
      <c r="I6077" s="33" t="s">
        <v>21</v>
      </c>
      <c r="J6077" s="42">
        <v>44335</v>
      </c>
      <c r="K6077" s="33" t="s">
        <v>22</v>
      </c>
    </row>
    <row r="6078" spans="1:11">
      <c r="A6078" s="30" t="s">
        <v>14270</v>
      </c>
      <c r="B6078" s="30" t="s">
        <v>14271</v>
      </c>
      <c r="C6078" s="30" t="s">
        <v>49</v>
      </c>
      <c r="D6078" s="30" t="s">
        <v>17</v>
      </c>
      <c r="E6078" s="30" t="s">
        <v>67</v>
      </c>
      <c r="F6078" s="30" t="s">
        <v>68</v>
      </c>
      <c r="G6078" s="30" t="s">
        <v>50</v>
      </c>
      <c r="H6078" s="32">
        <v>96</v>
      </c>
      <c r="I6078" s="30" t="s">
        <v>51</v>
      </c>
      <c r="J6078" s="41">
        <v>44270</v>
      </c>
      <c r="K6078" s="30" t="s">
        <v>22</v>
      </c>
    </row>
    <row r="6079" spans="1:11">
      <c r="A6079" s="33" t="s">
        <v>14272</v>
      </c>
      <c r="B6079" s="33" t="s">
        <v>14273</v>
      </c>
      <c r="C6079" s="33" t="s">
        <v>14274</v>
      </c>
      <c r="D6079" s="33" t="s">
        <v>17</v>
      </c>
      <c r="E6079" s="33" t="s">
        <v>45</v>
      </c>
      <c r="F6079" s="33" t="s">
        <v>46</v>
      </c>
      <c r="G6079" s="33" t="s">
        <v>140</v>
      </c>
      <c r="H6079" s="35">
        <v>140</v>
      </c>
      <c r="I6079" s="33" t="s">
        <v>51</v>
      </c>
      <c r="J6079" s="42">
        <v>44342</v>
      </c>
      <c r="K6079" s="33" t="s">
        <v>22</v>
      </c>
    </row>
    <row r="6080" spans="1:11">
      <c r="A6080" s="30" t="s">
        <v>14275</v>
      </c>
      <c r="B6080" s="30" t="s">
        <v>14276</v>
      </c>
      <c r="C6080" s="30" t="s">
        <v>1090</v>
      </c>
      <c r="D6080" s="30" t="s">
        <v>17</v>
      </c>
      <c r="E6080" s="30" t="s">
        <v>26</v>
      </c>
      <c r="F6080" s="30" t="s">
        <v>27</v>
      </c>
      <c r="G6080" s="30" t="s">
        <v>20</v>
      </c>
      <c r="H6080" s="32">
        <v>56</v>
      </c>
      <c r="I6080" s="30" t="s">
        <v>21</v>
      </c>
      <c r="J6080" s="41">
        <v>44342</v>
      </c>
      <c r="K6080" s="30" t="s">
        <v>22</v>
      </c>
    </row>
    <row r="6081" spans="1:11">
      <c r="A6081" s="33" t="s">
        <v>14277</v>
      </c>
      <c r="B6081" s="33" t="s">
        <v>14278</v>
      </c>
      <c r="C6081" s="33" t="s">
        <v>149</v>
      </c>
      <c r="D6081" s="33" t="s">
        <v>17</v>
      </c>
      <c r="E6081" s="33" t="s">
        <v>26</v>
      </c>
      <c r="F6081" s="33" t="s">
        <v>27</v>
      </c>
      <c r="G6081" s="33" t="s">
        <v>20</v>
      </c>
      <c r="H6081" s="35">
        <v>41</v>
      </c>
      <c r="I6081" s="33" t="s">
        <v>21</v>
      </c>
      <c r="J6081" s="42">
        <v>44294</v>
      </c>
      <c r="K6081" s="33" t="s">
        <v>22</v>
      </c>
    </row>
    <row r="6082" spans="1:11">
      <c r="A6082" s="30" t="s">
        <v>14279</v>
      </c>
      <c r="B6082" s="30" t="s">
        <v>14280</v>
      </c>
      <c r="C6082" s="30" t="s">
        <v>969</v>
      </c>
      <c r="D6082" s="30" t="s">
        <v>17</v>
      </c>
      <c r="E6082" s="30" t="s">
        <v>18</v>
      </c>
      <c r="F6082" s="30" t="s">
        <v>19</v>
      </c>
      <c r="G6082" s="30" t="s">
        <v>158</v>
      </c>
      <c r="H6082" s="32">
        <v>40</v>
      </c>
      <c r="I6082" s="30" t="s">
        <v>21</v>
      </c>
      <c r="J6082" s="41">
        <v>44375</v>
      </c>
      <c r="K6082" s="30" t="s">
        <v>22</v>
      </c>
    </row>
    <row r="6083" spans="1:11">
      <c r="A6083" s="33" t="s">
        <v>14281</v>
      </c>
      <c r="B6083" s="33" t="s">
        <v>14282</v>
      </c>
      <c r="C6083" s="33" t="s">
        <v>14283</v>
      </c>
      <c r="D6083" s="33" t="s">
        <v>17</v>
      </c>
      <c r="E6083" s="33" t="s">
        <v>26</v>
      </c>
      <c r="F6083" s="33" t="s">
        <v>27</v>
      </c>
      <c r="G6083" s="33" t="s">
        <v>20</v>
      </c>
      <c r="H6083" s="35">
        <v>45</v>
      </c>
      <c r="I6083" s="33" t="s">
        <v>21</v>
      </c>
      <c r="J6083" s="42">
        <v>44532</v>
      </c>
      <c r="K6083" s="33" t="s">
        <v>22</v>
      </c>
    </row>
    <row r="6084" spans="1:11">
      <c r="A6084" s="30" t="s">
        <v>14284</v>
      </c>
      <c r="B6084" s="30" t="s">
        <v>14285</v>
      </c>
      <c r="C6084" s="30" t="s">
        <v>3647</v>
      </c>
      <c r="D6084" s="30" t="s">
        <v>17</v>
      </c>
      <c r="E6084" s="30" t="s">
        <v>212</v>
      </c>
      <c r="F6084" s="30" t="s">
        <v>213</v>
      </c>
      <c r="G6084" s="30" t="s">
        <v>112</v>
      </c>
      <c r="H6084" s="32">
        <v>0</v>
      </c>
      <c r="I6084" s="30" t="s">
        <v>21</v>
      </c>
      <c r="J6084" s="41">
        <v>44473</v>
      </c>
      <c r="K6084" s="30" t="s">
        <v>22</v>
      </c>
    </row>
    <row r="6085" spans="1:11">
      <c r="A6085" s="33" t="s">
        <v>14286</v>
      </c>
      <c r="B6085" s="33" t="s">
        <v>14287</v>
      </c>
      <c r="C6085" s="33" t="s">
        <v>136</v>
      </c>
      <c r="D6085" s="33" t="s">
        <v>17</v>
      </c>
      <c r="E6085" s="33" t="s">
        <v>26</v>
      </c>
      <c r="F6085" s="33" t="s">
        <v>27</v>
      </c>
      <c r="G6085" s="33" t="s">
        <v>20</v>
      </c>
      <c r="H6085" s="35">
        <v>134</v>
      </c>
      <c r="I6085" s="33" t="s">
        <v>21</v>
      </c>
      <c r="J6085" s="42">
        <v>44272</v>
      </c>
      <c r="K6085" s="33" t="s">
        <v>22</v>
      </c>
    </row>
    <row r="6086" spans="1:11">
      <c r="A6086" s="30" t="s">
        <v>14288</v>
      </c>
      <c r="B6086" s="30" t="s">
        <v>14289</v>
      </c>
      <c r="C6086" s="30" t="s">
        <v>57</v>
      </c>
      <c r="D6086" s="30" t="s">
        <v>17</v>
      </c>
      <c r="E6086" s="30" t="s">
        <v>26</v>
      </c>
      <c r="F6086" s="30" t="s">
        <v>27</v>
      </c>
      <c r="G6086" s="30" t="s">
        <v>20</v>
      </c>
      <c r="H6086" s="32">
        <v>48</v>
      </c>
      <c r="I6086" s="30" t="s">
        <v>21</v>
      </c>
      <c r="J6086" s="41">
        <v>44400</v>
      </c>
      <c r="K6086" s="30" t="s">
        <v>22</v>
      </c>
    </row>
    <row r="6087" spans="1:11">
      <c r="A6087" s="33" t="s">
        <v>14290</v>
      </c>
      <c r="B6087" s="33" t="s">
        <v>14291</v>
      </c>
      <c r="C6087" s="33" t="s">
        <v>14292</v>
      </c>
      <c r="D6087" s="33" t="s">
        <v>17</v>
      </c>
      <c r="E6087" s="33" t="s">
        <v>67</v>
      </c>
      <c r="F6087" s="33" t="s">
        <v>68</v>
      </c>
      <c r="G6087" s="33" t="s">
        <v>20</v>
      </c>
      <c r="H6087" s="35">
        <v>16</v>
      </c>
      <c r="I6087" s="33" t="s">
        <v>21</v>
      </c>
      <c r="J6087" s="42">
        <v>44440</v>
      </c>
      <c r="K6087" s="33" t="s">
        <v>22</v>
      </c>
    </row>
    <row r="6088" spans="1:11">
      <c r="A6088" s="30" t="s">
        <v>14293</v>
      </c>
      <c r="B6088" s="30" t="s">
        <v>14294</v>
      </c>
      <c r="C6088" s="30" t="s">
        <v>93</v>
      </c>
      <c r="D6088" s="30" t="s">
        <v>17</v>
      </c>
      <c r="E6088" s="30" t="s">
        <v>26</v>
      </c>
      <c r="F6088" s="30" t="s">
        <v>27</v>
      </c>
      <c r="G6088" s="30" t="s">
        <v>20</v>
      </c>
      <c r="H6088" s="32">
        <v>26</v>
      </c>
      <c r="I6088" s="30" t="s">
        <v>21</v>
      </c>
      <c r="J6088" s="41">
        <v>44272</v>
      </c>
      <c r="K6088" s="30" t="s">
        <v>22</v>
      </c>
    </row>
    <row r="6089" spans="1:11">
      <c r="A6089" s="33" t="s">
        <v>14295</v>
      </c>
      <c r="B6089" s="33" t="s">
        <v>14296</v>
      </c>
      <c r="C6089" s="33" t="s">
        <v>14297</v>
      </c>
      <c r="D6089" s="33" t="s">
        <v>17</v>
      </c>
      <c r="E6089" s="33" t="s">
        <v>31</v>
      </c>
      <c r="F6089" s="33" t="s">
        <v>32</v>
      </c>
      <c r="G6089" s="33" t="s">
        <v>50</v>
      </c>
      <c r="H6089" s="35">
        <v>82</v>
      </c>
      <c r="I6089" s="33" t="s">
        <v>21</v>
      </c>
      <c r="J6089" s="42">
        <v>44215</v>
      </c>
      <c r="K6089" s="33" t="s">
        <v>22</v>
      </c>
    </row>
    <row r="6090" spans="1:11">
      <c r="A6090" s="30" t="s">
        <v>14298</v>
      </c>
      <c r="B6090" s="30" t="s">
        <v>14299</v>
      </c>
      <c r="C6090" s="30" t="s">
        <v>8374</v>
      </c>
      <c r="D6090" s="30" t="s">
        <v>17</v>
      </c>
      <c r="E6090" s="30" t="s">
        <v>18</v>
      </c>
      <c r="F6090" s="30" t="s">
        <v>19</v>
      </c>
      <c r="G6090" s="30" t="s">
        <v>20</v>
      </c>
      <c r="H6090" s="32">
        <v>60</v>
      </c>
      <c r="I6090" s="30" t="s">
        <v>21</v>
      </c>
      <c r="J6090" s="41">
        <v>44426</v>
      </c>
      <c r="K6090" s="30" t="s">
        <v>22</v>
      </c>
    </row>
    <row r="6091" spans="1:11">
      <c r="A6091" s="33" t="s">
        <v>14300</v>
      </c>
      <c r="B6091" s="33" t="s">
        <v>14301</v>
      </c>
      <c r="C6091" s="33" t="s">
        <v>14302</v>
      </c>
      <c r="D6091" s="33" t="s">
        <v>17</v>
      </c>
      <c r="E6091" s="33" t="s">
        <v>26</v>
      </c>
      <c r="F6091" s="33" t="s">
        <v>27</v>
      </c>
      <c r="G6091" s="33" t="s">
        <v>106</v>
      </c>
      <c r="H6091" s="35">
        <v>50</v>
      </c>
      <c r="I6091" s="33" t="s">
        <v>21</v>
      </c>
      <c r="J6091" s="42">
        <v>44375</v>
      </c>
      <c r="K6091" s="33" t="s">
        <v>22</v>
      </c>
    </row>
    <row r="6092" spans="1:11">
      <c r="A6092" s="30" t="s">
        <v>14303</v>
      </c>
      <c r="B6092" s="30" t="s">
        <v>14304</v>
      </c>
      <c r="C6092" s="30" t="s">
        <v>8869</v>
      </c>
      <c r="D6092" s="30" t="s">
        <v>17</v>
      </c>
      <c r="E6092" s="30" t="s">
        <v>26</v>
      </c>
      <c r="F6092" s="30" t="s">
        <v>27</v>
      </c>
      <c r="G6092" s="30" t="s">
        <v>20</v>
      </c>
      <c r="H6092" s="32">
        <v>16</v>
      </c>
      <c r="I6092" s="30" t="s">
        <v>21</v>
      </c>
      <c r="J6092" s="41">
        <v>44263</v>
      </c>
      <c r="K6092" s="30" t="s">
        <v>22</v>
      </c>
    </row>
    <row r="6093" spans="1:11">
      <c r="A6093" s="33" t="s">
        <v>14305</v>
      </c>
      <c r="B6093" s="33" t="s">
        <v>14306</v>
      </c>
      <c r="C6093" s="33" t="s">
        <v>14307</v>
      </c>
      <c r="D6093" s="33" t="s">
        <v>17</v>
      </c>
      <c r="E6093" s="33" t="s">
        <v>31</v>
      </c>
      <c r="F6093" s="33" t="s">
        <v>32</v>
      </c>
      <c r="G6093" s="33" t="s">
        <v>20</v>
      </c>
      <c r="H6093" s="35">
        <v>156</v>
      </c>
      <c r="I6093" s="33" t="s">
        <v>21</v>
      </c>
      <c r="J6093" s="42">
        <v>44518</v>
      </c>
      <c r="K6093" s="33" t="s">
        <v>22</v>
      </c>
    </row>
    <row r="6094" spans="1:11">
      <c r="A6094" s="30" t="s">
        <v>14308</v>
      </c>
      <c r="B6094" s="30" t="s">
        <v>14309</v>
      </c>
      <c r="C6094" s="30" t="s">
        <v>14310</v>
      </c>
      <c r="D6094" s="30" t="s">
        <v>17</v>
      </c>
      <c r="E6094" s="30" t="s">
        <v>31</v>
      </c>
      <c r="F6094" s="30" t="s">
        <v>32</v>
      </c>
      <c r="G6094" s="30" t="s">
        <v>20</v>
      </c>
      <c r="H6094" s="32">
        <v>89</v>
      </c>
      <c r="I6094" s="30" t="s">
        <v>21</v>
      </c>
      <c r="J6094" s="41">
        <v>44522</v>
      </c>
      <c r="K6094" s="30" t="s">
        <v>22</v>
      </c>
    </row>
    <row r="6095" spans="1:11">
      <c r="A6095" s="33" t="s">
        <v>14311</v>
      </c>
      <c r="B6095" s="33" t="s">
        <v>14312</v>
      </c>
      <c r="C6095" s="33" t="s">
        <v>190</v>
      </c>
      <c r="D6095" s="33" t="s">
        <v>17</v>
      </c>
      <c r="E6095" s="33" t="s">
        <v>18</v>
      </c>
      <c r="F6095" s="33" t="s">
        <v>19</v>
      </c>
      <c r="G6095" s="33" t="s">
        <v>106</v>
      </c>
      <c r="H6095" s="35">
        <v>2690</v>
      </c>
      <c r="I6095" s="33" t="s">
        <v>21</v>
      </c>
      <c r="J6095" s="42">
        <v>44316</v>
      </c>
      <c r="K6095" s="33" t="s">
        <v>22</v>
      </c>
    </row>
    <row r="6096" spans="1:11">
      <c r="A6096" s="30" t="s">
        <v>14313</v>
      </c>
      <c r="B6096" s="30" t="s">
        <v>14314</v>
      </c>
      <c r="C6096" s="30" t="s">
        <v>9989</v>
      </c>
      <c r="D6096" s="30" t="s">
        <v>17</v>
      </c>
      <c r="E6096" s="30" t="s">
        <v>67</v>
      </c>
      <c r="F6096" s="30" t="s">
        <v>68</v>
      </c>
      <c r="G6096" s="30" t="s">
        <v>112</v>
      </c>
      <c r="H6096" s="32">
        <v>0</v>
      </c>
      <c r="I6096" s="30" t="s">
        <v>21</v>
      </c>
      <c r="J6096" s="41">
        <v>44197</v>
      </c>
      <c r="K6096" s="30" t="s">
        <v>22</v>
      </c>
    </row>
    <row r="6097" spans="1:11">
      <c r="A6097" s="33" t="s">
        <v>14315</v>
      </c>
      <c r="B6097" s="33" t="s">
        <v>14316</v>
      </c>
      <c r="C6097" s="33" t="s">
        <v>9952</v>
      </c>
      <c r="D6097" s="33" t="s">
        <v>17</v>
      </c>
      <c r="E6097" s="33" t="s">
        <v>67</v>
      </c>
      <c r="F6097" s="33" t="s">
        <v>68</v>
      </c>
      <c r="G6097" s="33" t="s">
        <v>140</v>
      </c>
      <c r="H6097" s="35">
        <v>170</v>
      </c>
      <c r="I6097" s="33" t="s">
        <v>51</v>
      </c>
      <c r="J6097" s="42">
        <v>44515</v>
      </c>
      <c r="K6097" s="33" t="s">
        <v>22</v>
      </c>
    </row>
    <row r="6098" spans="1:11">
      <c r="A6098" s="30" t="s">
        <v>14317</v>
      </c>
      <c r="B6098" s="30" t="s">
        <v>14318</v>
      </c>
      <c r="C6098" s="30" t="s">
        <v>2264</v>
      </c>
      <c r="D6098" s="30" t="s">
        <v>17</v>
      </c>
      <c r="E6098" s="30" t="s">
        <v>26</v>
      </c>
      <c r="F6098" s="30" t="s">
        <v>27</v>
      </c>
      <c r="G6098" s="30" t="s">
        <v>20</v>
      </c>
      <c r="H6098" s="32">
        <v>137</v>
      </c>
      <c r="I6098" s="30" t="s">
        <v>21</v>
      </c>
      <c r="J6098" s="41">
        <v>44215</v>
      </c>
      <c r="K6098" s="30" t="s">
        <v>22</v>
      </c>
    </row>
    <row r="6099" spans="1:11">
      <c r="A6099" s="33" t="s">
        <v>14319</v>
      </c>
      <c r="B6099" s="33" t="s">
        <v>14320</v>
      </c>
      <c r="C6099" s="33" t="s">
        <v>178</v>
      </c>
      <c r="D6099" s="33" t="s">
        <v>17</v>
      </c>
      <c r="E6099" s="33" t="s">
        <v>18</v>
      </c>
      <c r="F6099" s="33" t="s">
        <v>19</v>
      </c>
      <c r="G6099" s="33" t="s">
        <v>158</v>
      </c>
      <c r="H6099" s="35">
        <v>751</v>
      </c>
      <c r="I6099" s="33" t="s">
        <v>21</v>
      </c>
      <c r="J6099" s="42">
        <v>44279</v>
      </c>
      <c r="K6099" s="33" t="s">
        <v>22</v>
      </c>
    </row>
    <row r="6100" spans="1:11">
      <c r="A6100" s="30" t="s">
        <v>14321</v>
      </c>
      <c r="B6100" s="30" t="s">
        <v>14322</v>
      </c>
      <c r="C6100" s="30" t="s">
        <v>14323</v>
      </c>
      <c r="D6100" s="30" t="s">
        <v>17</v>
      </c>
      <c r="E6100" s="30" t="s">
        <v>18</v>
      </c>
      <c r="F6100" s="30" t="s">
        <v>19</v>
      </c>
      <c r="G6100" s="30" t="s">
        <v>20</v>
      </c>
      <c r="H6100" s="32">
        <v>93</v>
      </c>
      <c r="I6100" s="30" t="s">
        <v>21</v>
      </c>
      <c r="J6100" s="41">
        <v>44498</v>
      </c>
      <c r="K6100" s="30" t="s">
        <v>22</v>
      </c>
    </row>
    <row r="6101" spans="1:11">
      <c r="A6101" s="33" t="s">
        <v>14324</v>
      </c>
      <c r="B6101" s="33" t="s">
        <v>14325</v>
      </c>
      <c r="C6101" s="33" t="s">
        <v>14326</v>
      </c>
      <c r="D6101" s="33" t="s">
        <v>17</v>
      </c>
      <c r="E6101" s="33" t="s">
        <v>26</v>
      </c>
      <c r="F6101" s="33" t="s">
        <v>27</v>
      </c>
      <c r="G6101" s="33" t="s">
        <v>20</v>
      </c>
      <c r="H6101" s="35">
        <v>12</v>
      </c>
      <c r="I6101" s="33" t="s">
        <v>21</v>
      </c>
      <c r="J6101" s="42">
        <v>44284</v>
      </c>
      <c r="K6101" s="33" t="s">
        <v>22</v>
      </c>
    </row>
    <row r="6102" spans="1:11">
      <c r="A6102" s="30" t="s">
        <v>14327</v>
      </c>
      <c r="B6102" s="30" t="s">
        <v>14328</v>
      </c>
      <c r="C6102" s="30" t="s">
        <v>3475</v>
      </c>
      <c r="D6102" s="30" t="s">
        <v>17</v>
      </c>
      <c r="E6102" s="30" t="s">
        <v>212</v>
      </c>
      <c r="F6102" s="30" t="s">
        <v>213</v>
      </c>
      <c r="G6102" s="30" t="s">
        <v>20</v>
      </c>
      <c r="H6102" s="32">
        <v>42</v>
      </c>
      <c r="I6102" s="30" t="s">
        <v>21</v>
      </c>
      <c r="J6102" s="41">
        <v>44221</v>
      </c>
      <c r="K6102" s="30" t="s">
        <v>22</v>
      </c>
    </row>
    <row r="6103" spans="1:11">
      <c r="A6103" s="33" t="s">
        <v>14329</v>
      </c>
      <c r="B6103" s="33" t="s">
        <v>14330</v>
      </c>
      <c r="C6103" s="33" t="s">
        <v>14331</v>
      </c>
      <c r="D6103" s="33" t="s">
        <v>17</v>
      </c>
      <c r="E6103" s="33" t="s">
        <v>67</v>
      </c>
      <c r="F6103" s="33" t="s">
        <v>68</v>
      </c>
      <c r="G6103" s="33" t="s">
        <v>20</v>
      </c>
      <c r="H6103" s="35">
        <v>39</v>
      </c>
      <c r="I6103" s="33" t="s">
        <v>21</v>
      </c>
      <c r="J6103" s="42">
        <v>44497</v>
      </c>
      <c r="K6103" s="33" t="s">
        <v>22</v>
      </c>
    </row>
    <row r="6104" spans="1:11">
      <c r="A6104" s="30" t="s">
        <v>14332</v>
      </c>
      <c r="B6104" s="30" t="s">
        <v>14333</v>
      </c>
      <c r="C6104" s="30" t="s">
        <v>647</v>
      </c>
      <c r="D6104" s="30" t="s">
        <v>17</v>
      </c>
      <c r="E6104" s="30" t="s">
        <v>18</v>
      </c>
      <c r="F6104" s="30" t="s">
        <v>19</v>
      </c>
      <c r="G6104" s="30" t="s">
        <v>158</v>
      </c>
      <c r="H6104" s="32">
        <v>700</v>
      </c>
      <c r="I6104" s="30" t="s">
        <v>51</v>
      </c>
      <c r="J6104" s="41">
        <v>44270</v>
      </c>
      <c r="K6104" s="30" t="s">
        <v>22</v>
      </c>
    </row>
    <row r="6105" spans="1:11">
      <c r="A6105" s="33" t="s">
        <v>14334</v>
      </c>
      <c r="B6105" s="33" t="s">
        <v>14335</v>
      </c>
      <c r="C6105" s="33" t="s">
        <v>8979</v>
      </c>
      <c r="D6105" s="33" t="s">
        <v>17</v>
      </c>
      <c r="E6105" s="33" t="s">
        <v>18</v>
      </c>
      <c r="F6105" s="33" t="s">
        <v>19</v>
      </c>
      <c r="G6105" s="33" t="s">
        <v>20</v>
      </c>
      <c r="H6105" s="35">
        <v>676</v>
      </c>
      <c r="I6105" s="33" t="s">
        <v>21</v>
      </c>
      <c r="J6105" s="42">
        <v>44484</v>
      </c>
      <c r="K6105" s="33" t="s">
        <v>22</v>
      </c>
    </row>
    <row r="6106" spans="1:11">
      <c r="A6106" s="30" t="s">
        <v>14336</v>
      </c>
      <c r="B6106" s="30" t="s">
        <v>14337</v>
      </c>
      <c r="C6106" s="30" t="s">
        <v>801</v>
      </c>
      <c r="D6106" s="30" t="s">
        <v>17</v>
      </c>
      <c r="E6106" s="30" t="s">
        <v>31</v>
      </c>
      <c r="F6106" s="30" t="s">
        <v>32</v>
      </c>
      <c r="G6106" s="30" t="s">
        <v>20</v>
      </c>
      <c r="H6106" s="32">
        <v>81</v>
      </c>
      <c r="I6106" s="30" t="s">
        <v>21</v>
      </c>
      <c r="J6106" s="41">
        <v>44236</v>
      </c>
      <c r="K6106" s="30" t="s">
        <v>22</v>
      </c>
    </row>
    <row r="6107" spans="1:11">
      <c r="A6107" s="33" t="s">
        <v>14338</v>
      </c>
      <c r="B6107" s="33" t="s">
        <v>14339</v>
      </c>
      <c r="C6107" s="33" t="s">
        <v>2728</v>
      </c>
      <c r="D6107" s="33" t="s">
        <v>17</v>
      </c>
      <c r="E6107" s="33" t="s">
        <v>18</v>
      </c>
      <c r="F6107" s="33" t="s">
        <v>19</v>
      </c>
      <c r="G6107" s="33" t="s">
        <v>20</v>
      </c>
      <c r="H6107" s="35">
        <v>432</v>
      </c>
      <c r="I6107" s="33" t="s">
        <v>21</v>
      </c>
      <c r="J6107" s="42">
        <v>44432</v>
      </c>
      <c r="K6107" s="33" t="s">
        <v>22</v>
      </c>
    </row>
    <row r="6108" spans="1:11">
      <c r="A6108" s="30" t="s">
        <v>14340</v>
      </c>
      <c r="B6108" s="30" t="s">
        <v>14341</v>
      </c>
      <c r="C6108" s="30" t="s">
        <v>1090</v>
      </c>
      <c r="D6108" s="30" t="s">
        <v>17</v>
      </c>
      <c r="E6108" s="30" t="s">
        <v>26</v>
      </c>
      <c r="F6108" s="30" t="s">
        <v>27</v>
      </c>
      <c r="G6108" s="30" t="s">
        <v>50</v>
      </c>
      <c r="H6108" s="32">
        <v>36</v>
      </c>
      <c r="I6108" s="30" t="s">
        <v>51</v>
      </c>
      <c r="J6108" s="41">
        <v>44378</v>
      </c>
      <c r="K6108" s="30" t="s">
        <v>22</v>
      </c>
    </row>
    <row r="6109" spans="1:11">
      <c r="A6109" s="33" t="s">
        <v>14342</v>
      </c>
      <c r="B6109" s="33" t="s">
        <v>14343</v>
      </c>
      <c r="C6109" s="33" t="s">
        <v>14344</v>
      </c>
      <c r="D6109" s="33" t="s">
        <v>17</v>
      </c>
      <c r="E6109" s="33" t="s">
        <v>18</v>
      </c>
      <c r="F6109" s="33" t="s">
        <v>19</v>
      </c>
      <c r="G6109" s="33" t="s">
        <v>20</v>
      </c>
      <c r="H6109" s="35">
        <v>101</v>
      </c>
      <c r="I6109" s="33" t="s">
        <v>21</v>
      </c>
      <c r="J6109" s="42">
        <v>44516</v>
      </c>
      <c r="K6109" s="33" t="s">
        <v>22</v>
      </c>
    </row>
    <row r="6110" spans="1:11">
      <c r="A6110" s="30" t="s">
        <v>14345</v>
      </c>
      <c r="B6110" s="30" t="s">
        <v>14346</v>
      </c>
      <c r="C6110" s="30" t="s">
        <v>647</v>
      </c>
      <c r="D6110" s="30" t="s">
        <v>17</v>
      </c>
      <c r="E6110" s="30" t="s">
        <v>26</v>
      </c>
      <c r="F6110" s="30" t="s">
        <v>27</v>
      </c>
      <c r="G6110" s="30" t="s">
        <v>140</v>
      </c>
      <c r="H6110" s="32">
        <v>830</v>
      </c>
      <c r="I6110" s="30" t="s">
        <v>51</v>
      </c>
      <c r="J6110" s="41">
        <v>44547</v>
      </c>
      <c r="K6110" s="30" t="s">
        <v>22</v>
      </c>
    </row>
    <row r="6111" spans="1:11">
      <c r="A6111" s="33" t="s">
        <v>14347</v>
      </c>
      <c r="B6111" s="33" t="s">
        <v>14348</v>
      </c>
      <c r="C6111" s="33" t="s">
        <v>9297</v>
      </c>
      <c r="D6111" s="33" t="s">
        <v>17</v>
      </c>
      <c r="E6111" s="33" t="s">
        <v>18</v>
      </c>
      <c r="F6111" s="33" t="s">
        <v>19</v>
      </c>
      <c r="G6111" s="33" t="s">
        <v>50</v>
      </c>
      <c r="H6111" s="35">
        <v>74</v>
      </c>
      <c r="I6111" s="33" t="s">
        <v>21</v>
      </c>
      <c r="J6111" s="42">
        <v>44299</v>
      </c>
      <c r="K6111" s="33" t="s">
        <v>22</v>
      </c>
    </row>
    <row r="6112" spans="1:11">
      <c r="A6112" s="30" t="s">
        <v>14349</v>
      </c>
      <c r="B6112" s="30" t="s">
        <v>14350</v>
      </c>
      <c r="C6112" s="30" t="s">
        <v>115</v>
      </c>
      <c r="D6112" s="30" t="s">
        <v>17</v>
      </c>
      <c r="E6112" s="30" t="s">
        <v>26</v>
      </c>
      <c r="F6112" s="30" t="s">
        <v>27</v>
      </c>
      <c r="G6112" s="30" t="s">
        <v>20</v>
      </c>
      <c r="H6112" s="32">
        <v>30</v>
      </c>
      <c r="I6112" s="30" t="s">
        <v>21</v>
      </c>
      <c r="J6112" s="41">
        <v>44490</v>
      </c>
      <c r="K6112" s="30" t="s">
        <v>22</v>
      </c>
    </row>
    <row r="6113" spans="1:11">
      <c r="A6113" s="33" t="s">
        <v>14351</v>
      </c>
      <c r="B6113" s="33" t="s">
        <v>14352</v>
      </c>
      <c r="C6113" s="33" t="s">
        <v>310</v>
      </c>
      <c r="D6113" s="33" t="s">
        <v>17</v>
      </c>
      <c r="E6113" s="33" t="s">
        <v>330</v>
      </c>
      <c r="F6113" s="33" t="s">
        <v>331</v>
      </c>
      <c r="G6113" s="33" t="s">
        <v>20</v>
      </c>
      <c r="H6113" s="35">
        <v>12</v>
      </c>
      <c r="I6113" s="33" t="s">
        <v>21</v>
      </c>
      <c r="J6113" s="42">
        <v>44547</v>
      </c>
      <c r="K6113" s="33" t="s">
        <v>22</v>
      </c>
    </row>
    <row r="6114" spans="1:11">
      <c r="A6114" s="30" t="s">
        <v>14353</v>
      </c>
      <c r="B6114" s="30" t="s">
        <v>14354</v>
      </c>
      <c r="C6114" s="30" t="s">
        <v>549</v>
      </c>
      <c r="D6114" s="30" t="s">
        <v>17</v>
      </c>
      <c r="E6114" s="30" t="s">
        <v>18</v>
      </c>
      <c r="F6114" s="30" t="s">
        <v>19</v>
      </c>
      <c r="G6114" s="30" t="s">
        <v>140</v>
      </c>
      <c r="H6114" s="32">
        <v>70</v>
      </c>
      <c r="I6114" s="30" t="s">
        <v>51</v>
      </c>
      <c r="J6114" s="41">
        <v>44266</v>
      </c>
      <c r="K6114" s="30" t="s">
        <v>22</v>
      </c>
    </row>
    <row r="6115" spans="1:11">
      <c r="A6115" s="33" t="s">
        <v>14355</v>
      </c>
      <c r="B6115" s="33" t="s">
        <v>14356</v>
      </c>
      <c r="C6115" s="33" t="s">
        <v>1441</v>
      </c>
      <c r="D6115" s="33" t="s">
        <v>17</v>
      </c>
      <c r="E6115" s="33" t="s">
        <v>67</v>
      </c>
      <c r="F6115" s="33" t="s">
        <v>68</v>
      </c>
      <c r="G6115" s="33" t="s">
        <v>20</v>
      </c>
      <c r="H6115" s="35">
        <v>32</v>
      </c>
      <c r="I6115" s="33" t="s">
        <v>21</v>
      </c>
      <c r="J6115" s="42">
        <v>44485</v>
      </c>
      <c r="K6115" s="33" t="s">
        <v>22</v>
      </c>
    </row>
    <row r="6116" spans="1:11">
      <c r="A6116" s="30" t="s">
        <v>14357</v>
      </c>
      <c r="B6116" s="30" t="s">
        <v>14358</v>
      </c>
      <c r="C6116" s="30" t="s">
        <v>13269</v>
      </c>
      <c r="D6116" s="30" t="s">
        <v>17</v>
      </c>
      <c r="E6116" s="30" t="s">
        <v>31</v>
      </c>
      <c r="F6116" s="30" t="s">
        <v>32</v>
      </c>
      <c r="G6116" s="30" t="s">
        <v>112</v>
      </c>
      <c r="H6116" s="32">
        <v>0</v>
      </c>
      <c r="I6116" s="30" t="s">
        <v>21</v>
      </c>
      <c r="J6116" s="41">
        <v>44277</v>
      </c>
      <c r="K6116" s="30" t="s">
        <v>22</v>
      </c>
    </row>
    <row r="6117" spans="1:11">
      <c r="A6117" s="33" t="s">
        <v>14359</v>
      </c>
      <c r="B6117" s="33" t="s">
        <v>14360</v>
      </c>
      <c r="C6117" s="33" t="s">
        <v>756</v>
      </c>
      <c r="D6117" s="33" t="s">
        <v>17</v>
      </c>
      <c r="E6117" s="33" t="s">
        <v>26</v>
      </c>
      <c r="F6117" s="33" t="s">
        <v>27</v>
      </c>
      <c r="G6117" s="33" t="s">
        <v>20</v>
      </c>
      <c r="H6117" s="35">
        <v>48</v>
      </c>
      <c r="I6117" s="33" t="s">
        <v>21</v>
      </c>
      <c r="J6117" s="42">
        <v>44358</v>
      </c>
      <c r="K6117" s="33" t="s">
        <v>22</v>
      </c>
    </row>
    <row r="6118" spans="1:11">
      <c r="A6118" s="30" t="s">
        <v>14361</v>
      </c>
      <c r="B6118" s="30" t="s">
        <v>14362</v>
      </c>
      <c r="C6118" s="30" t="s">
        <v>9816</v>
      </c>
      <c r="D6118" s="30" t="s">
        <v>17</v>
      </c>
      <c r="E6118" s="30" t="s">
        <v>31</v>
      </c>
      <c r="F6118" s="30" t="s">
        <v>32</v>
      </c>
      <c r="G6118" s="30" t="s">
        <v>20</v>
      </c>
      <c r="H6118" s="32">
        <v>565</v>
      </c>
      <c r="I6118" s="30" t="s">
        <v>21</v>
      </c>
      <c r="J6118" s="41">
        <v>44425</v>
      </c>
      <c r="K6118" s="30" t="s">
        <v>22</v>
      </c>
    </row>
    <row r="6119" spans="1:11">
      <c r="A6119" s="33" t="s">
        <v>14363</v>
      </c>
      <c r="B6119" s="33" t="s">
        <v>14364</v>
      </c>
      <c r="C6119" s="33" t="s">
        <v>1674</v>
      </c>
      <c r="D6119" s="33" t="s">
        <v>17</v>
      </c>
      <c r="E6119" s="33" t="s">
        <v>31</v>
      </c>
      <c r="F6119" s="33" t="s">
        <v>32</v>
      </c>
      <c r="G6119" s="33" t="s">
        <v>20</v>
      </c>
      <c r="H6119" s="35">
        <v>188</v>
      </c>
      <c r="I6119" s="33" t="s">
        <v>21</v>
      </c>
      <c r="J6119" s="42">
        <v>44279</v>
      </c>
      <c r="K6119" s="33" t="s">
        <v>22</v>
      </c>
    </row>
    <row r="6120" spans="1:11">
      <c r="A6120" s="30" t="s">
        <v>14365</v>
      </c>
      <c r="B6120" s="30" t="s">
        <v>14366</v>
      </c>
      <c r="C6120" s="30" t="s">
        <v>57</v>
      </c>
      <c r="D6120" s="30" t="s">
        <v>17</v>
      </c>
      <c r="E6120" s="30" t="s">
        <v>18</v>
      </c>
      <c r="F6120" s="30" t="s">
        <v>19</v>
      </c>
      <c r="G6120" s="30" t="s">
        <v>20</v>
      </c>
      <c r="H6120" s="32">
        <v>423</v>
      </c>
      <c r="I6120" s="30" t="s">
        <v>21</v>
      </c>
      <c r="J6120" s="41">
        <v>44337</v>
      </c>
      <c r="K6120" s="30" t="s">
        <v>22</v>
      </c>
    </row>
    <row r="6121" spans="1:11">
      <c r="A6121" s="33" t="s">
        <v>14367</v>
      </c>
      <c r="B6121" s="33" t="s">
        <v>14368</v>
      </c>
      <c r="C6121" s="33" t="s">
        <v>450</v>
      </c>
      <c r="D6121" s="33" t="s">
        <v>17</v>
      </c>
      <c r="E6121" s="33" t="s">
        <v>26</v>
      </c>
      <c r="F6121" s="33" t="s">
        <v>27</v>
      </c>
      <c r="G6121" s="33" t="s">
        <v>20</v>
      </c>
      <c r="H6121" s="35">
        <v>48</v>
      </c>
      <c r="I6121" s="33" t="s">
        <v>21</v>
      </c>
      <c r="J6121" s="42">
        <v>44227</v>
      </c>
      <c r="K6121" s="33" t="s">
        <v>22</v>
      </c>
    </row>
    <row r="6122" spans="1:11">
      <c r="A6122" s="30" t="s">
        <v>14369</v>
      </c>
      <c r="B6122" s="30" t="s">
        <v>14370</v>
      </c>
      <c r="C6122" s="30" t="s">
        <v>480</v>
      </c>
      <c r="D6122" s="30" t="s">
        <v>17</v>
      </c>
      <c r="E6122" s="30" t="s">
        <v>26</v>
      </c>
      <c r="F6122" s="30" t="s">
        <v>27</v>
      </c>
      <c r="G6122" s="30" t="s">
        <v>50</v>
      </c>
      <c r="H6122" s="32">
        <v>16</v>
      </c>
      <c r="I6122" s="30" t="s">
        <v>51</v>
      </c>
      <c r="J6122" s="41">
        <v>44474</v>
      </c>
      <c r="K6122" s="30" t="s">
        <v>22</v>
      </c>
    </row>
    <row r="6123" spans="1:11">
      <c r="A6123" s="33" t="s">
        <v>14371</v>
      </c>
      <c r="B6123" s="33" t="s">
        <v>14372</v>
      </c>
      <c r="C6123" s="33" t="s">
        <v>1278</v>
      </c>
      <c r="D6123" s="33" t="s">
        <v>17</v>
      </c>
      <c r="E6123" s="33" t="s">
        <v>18</v>
      </c>
      <c r="F6123" s="33" t="s">
        <v>19</v>
      </c>
      <c r="G6123" s="33" t="s">
        <v>20</v>
      </c>
      <c r="H6123" s="35">
        <v>4034</v>
      </c>
      <c r="I6123" s="33" t="s">
        <v>21</v>
      </c>
      <c r="J6123" s="42">
        <v>44312</v>
      </c>
      <c r="K6123" s="33" t="s">
        <v>22</v>
      </c>
    </row>
    <row r="6124" spans="1:11">
      <c r="A6124" s="30" t="s">
        <v>14373</v>
      </c>
      <c r="B6124" s="30" t="s">
        <v>14374</v>
      </c>
      <c r="C6124" s="30" t="s">
        <v>307</v>
      </c>
      <c r="D6124" s="30" t="s">
        <v>17</v>
      </c>
      <c r="E6124" s="30" t="s">
        <v>26</v>
      </c>
      <c r="F6124" s="30" t="s">
        <v>27</v>
      </c>
      <c r="G6124" s="30" t="s">
        <v>20</v>
      </c>
      <c r="H6124" s="32">
        <v>24</v>
      </c>
      <c r="I6124" s="30" t="s">
        <v>21</v>
      </c>
      <c r="J6124" s="41">
        <v>44530</v>
      </c>
      <c r="K6124" s="30" t="s">
        <v>22</v>
      </c>
    </row>
    <row r="6125" spans="1:11">
      <c r="A6125" s="33" t="s">
        <v>14375</v>
      </c>
      <c r="B6125" s="33" t="s">
        <v>14376</v>
      </c>
      <c r="C6125" s="33" t="s">
        <v>81</v>
      </c>
      <c r="D6125" s="33" t="s">
        <v>17</v>
      </c>
      <c r="E6125" s="33" t="s">
        <v>26</v>
      </c>
      <c r="F6125" s="33" t="s">
        <v>27</v>
      </c>
      <c r="G6125" s="33" t="s">
        <v>20</v>
      </c>
      <c r="H6125" s="35">
        <v>8</v>
      </c>
      <c r="I6125" s="33" t="s">
        <v>21</v>
      </c>
      <c r="J6125" s="42">
        <v>44501</v>
      </c>
      <c r="K6125" s="33" t="s">
        <v>22</v>
      </c>
    </row>
    <row r="6126" spans="1:11">
      <c r="A6126" s="30" t="s">
        <v>14377</v>
      </c>
      <c r="B6126" s="30" t="s">
        <v>14378</v>
      </c>
      <c r="C6126" s="30" t="s">
        <v>8234</v>
      </c>
      <c r="D6126" s="30" t="s">
        <v>17</v>
      </c>
      <c r="E6126" s="30" t="s">
        <v>31</v>
      </c>
      <c r="F6126" s="30" t="s">
        <v>32</v>
      </c>
      <c r="G6126" s="30" t="s">
        <v>20</v>
      </c>
      <c r="H6126" s="32">
        <v>113</v>
      </c>
      <c r="I6126" s="30" t="s">
        <v>21</v>
      </c>
      <c r="J6126" s="41">
        <v>44487</v>
      </c>
      <c r="K6126" s="30" t="s">
        <v>22</v>
      </c>
    </row>
    <row r="6127" spans="1:11">
      <c r="A6127" s="33" t="s">
        <v>14379</v>
      </c>
      <c r="B6127" s="33" t="s">
        <v>14380</v>
      </c>
      <c r="C6127" s="33" t="s">
        <v>96</v>
      </c>
      <c r="D6127" s="33" t="s">
        <v>17</v>
      </c>
      <c r="E6127" s="33" t="s">
        <v>31</v>
      </c>
      <c r="F6127" s="33" t="s">
        <v>32</v>
      </c>
      <c r="G6127" s="33" t="s">
        <v>20</v>
      </c>
      <c r="H6127" s="35">
        <v>54</v>
      </c>
      <c r="I6127" s="33" t="s">
        <v>21</v>
      </c>
      <c r="J6127" s="42">
        <v>44449</v>
      </c>
      <c r="K6127" s="33" t="s">
        <v>22</v>
      </c>
    </row>
    <row r="6128" spans="1:11">
      <c r="A6128" s="30" t="s">
        <v>14381</v>
      </c>
      <c r="B6128" s="30" t="s">
        <v>14382</v>
      </c>
      <c r="C6128" s="30" t="s">
        <v>13774</v>
      </c>
      <c r="D6128" s="30" t="s">
        <v>17</v>
      </c>
      <c r="E6128" s="30" t="s">
        <v>31</v>
      </c>
      <c r="F6128" s="30" t="s">
        <v>32</v>
      </c>
      <c r="G6128" s="30" t="s">
        <v>112</v>
      </c>
      <c r="H6128" s="32">
        <v>0</v>
      </c>
      <c r="I6128" s="30" t="s">
        <v>21</v>
      </c>
      <c r="J6128" s="41">
        <v>44501</v>
      </c>
      <c r="K6128" s="30" t="s">
        <v>22</v>
      </c>
    </row>
    <row r="6129" spans="1:11">
      <c r="A6129" s="33" t="s">
        <v>14383</v>
      </c>
      <c r="B6129" s="33" t="s">
        <v>14384</v>
      </c>
      <c r="C6129" s="33" t="s">
        <v>14385</v>
      </c>
      <c r="D6129" s="33" t="s">
        <v>17</v>
      </c>
      <c r="E6129" s="33" t="s">
        <v>67</v>
      </c>
      <c r="F6129" s="33" t="s">
        <v>68</v>
      </c>
      <c r="G6129" s="33" t="s">
        <v>20</v>
      </c>
      <c r="H6129" s="35">
        <v>28</v>
      </c>
      <c r="I6129" s="33" t="s">
        <v>21</v>
      </c>
      <c r="J6129" s="42">
        <v>44494</v>
      </c>
      <c r="K6129" s="33" t="s">
        <v>22</v>
      </c>
    </row>
    <row r="6130" spans="1:11">
      <c r="A6130" s="30" t="s">
        <v>14386</v>
      </c>
      <c r="B6130" s="30" t="s">
        <v>14387</v>
      </c>
      <c r="C6130" s="30" t="s">
        <v>310</v>
      </c>
      <c r="D6130" s="30" t="s">
        <v>17</v>
      </c>
      <c r="E6130" s="30" t="s">
        <v>18</v>
      </c>
      <c r="F6130" s="30" t="s">
        <v>19</v>
      </c>
      <c r="G6130" s="30" t="s">
        <v>20</v>
      </c>
      <c r="H6130" s="32">
        <v>582</v>
      </c>
      <c r="I6130" s="30" t="s">
        <v>21</v>
      </c>
      <c r="J6130" s="41">
        <v>44316</v>
      </c>
      <c r="K6130" s="30" t="s">
        <v>22</v>
      </c>
    </row>
    <row r="6131" spans="1:11">
      <c r="A6131" s="33" t="s">
        <v>14388</v>
      </c>
      <c r="B6131" s="33" t="s">
        <v>14389</v>
      </c>
      <c r="C6131" s="33" t="s">
        <v>136</v>
      </c>
      <c r="D6131" s="33" t="s">
        <v>17</v>
      </c>
      <c r="E6131" s="33" t="s">
        <v>31</v>
      </c>
      <c r="F6131" s="33" t="s">
        <v>32</v>
      </c>
      <c r="G6131" s="33" t="s">
        <v>20</v>
      </c>
      <c r="H6131" s="35">
        <v>327</v>
      </c>
      <c r="I6131" s="33" t="s">
        <v>21</v>
      </c>
      <c r="J6131" s="42">
        <v>44455</v>
      </c>
      <c r="K6131" s="33" t="s">
        <v>22</v>
      </c>
    </row>
    <row r="6132" spans="1:11">
      <c r="A6132" s="30" t="s">
        <v>14390</v>
      </c>
      <c r="B6132" s="30" t="s">
        <v>14391</v>
      </c>
      <c r="C6132" s="30" t="s">
        <v>178</v>
      </c>
      <c r="D6132" s="30" t="s">
        <v>17</v>
      </c>
      <c r="E6132" s="30" t="s">
        <v>18</v>
      </c>
      <c r="F6132" s="30" t="s">
        <v>19</v>
      </c>
      <c r="G6132" s="30" t="s">
        <v>158</v>
      </c>
      <c r="H6132" s="32">
        <v>41</v>
      </c>
      <c r="I6132" s="30" t="s">
        <v>21</v>
      </c>
      <c r="J6132" s="41">
        <v>44517</v>
      </c>
      <c r="K6132" s="30" t="s">
        <v>22</v>
      </c>
    </row>
    <row r="6133" spans="1:11">
      <c r="A6133" s="33" t="s">
        <v>14392</v>
      </c>
      <c r="B6133" s="33" t="s">
        <v>14393</v>
      </c>
      <c r="C6133" s="33" t="s">
        <v>14394</v>
      </c>
      <c r="D6133" s="33" t="s">
        <v>17</v>
      </c>
      <c r="E6133" s="33" t="s">
        <v>26</v>
      </c>
      <c r="F6133" s="33" t="s">
        <v>27</v>
      </c>
      <c r="G6133" s="33" t="s">
        <v>20</v>
      </c>
      <c r="H6133" s="35">
        <v>48</v>
      </c>
      <c r="I6133" s="33" t="s">
        <v>21</v>
      </c>
      <c r="J6133" s="42">
        <v>44305</v>
      </c>
      <c r="K6133" s="33" t="s">
        <v>22</v>
      </c>
    </row>
    <row r="6134" spans="1:11">
      <c r="A6134" s="30" t="s">
        <v>14395</v>
      </c>
      <c r="B6134" s="30" t="s">
        <v>14396</v>
      </c>
      <c r="C6134" s="30" t="s">
        <v>9528</v>
      </c>
      <c r="D6134" s="30" t="s">
        <v>17</v>
      </c>
      <c r="E6134" s="30" t="s">
        <v>31</v>
      </c>
      <c r="F6134" s="30" t="s">
        <v>32</v>
      </c>
      <c r="G6134" s="30" t="s">
        <v>106</v>
      </c>
      <c r="H6134" s="32">
        <v>30</v>
      </c>
      <c r="I6134" s="30" t="s">
        <v>21</v>
      </c>
      <c r="J6134" s="41">
        <v>44538</v>
      </c>
      <c r="K6134" s="30" t="s">
        <v>22</v>
      </c>
    </row>
    <row r="6135" spans="1:11">
      <c r="A6135" s="33" t="s">
        <v>14397</v>
      </c>
      <c r="B6135" s="33" t="s">
        <v>14398</v>
      </c>
      <c r="C6135" s="33" t="s">
        <v>14399</v>
      </c>
      <c r="D6135" s="33" t="s">
        <v>17</v>
      </c>
      <c r="E6135" s="33" t="s">
        <v>212</v>
      </c>
      <c r="F6135" s="33" t="s">
        <v>213</v>
      </c>
      <c r="G6135" s="33" t="s">
        <v>20</v>
      </c>
      <c r="H6135" s="35">
        <v>13</v>
      </c>
      <c r="I6135" s="33" t="s">
        <v>21</v>
      </c>
      <c r="J6135" s="42">
        <v>44200</v>
      </c>
      <c r="K6135" s="33" t="s">
        <v>22</v>
      </c>
    </row>
    <row r="6136" spans="1:11">
      <c r="A6136" s="30" t="s">
        <v>14400</v>
      </c>
      <c r="B6136" s="30" t="s">
        <v>14401</v>
      </c>
      <c r="C6136" s="30" t="s">
        <v>14402</v>
      </c>
      <c r="D6136" s="30" t="s">
        <v>17</v>
      </c>
      <c r="E6136" s="30" t="s">
        <v>26</v>
      </c>
      <c r="F6136" s="30" t="s">
        <v>27</v>
      </c>
      <c r="G6136" s="30" t="s">
        <v>158</v>
      </c>
      <c r="H6136" s="32">
        <v>45</v>
      </c>
      <c r="I6136" s="30" t="s">
        <v>21</v>
      </c>
      <c r="J6136" s="41">
        <v>44561</v>
      </c>
      <c r="K6136" s="30" t="s">
        <v>22</v>
      </c>
    </row>
    <row r="6137" spans="1:11">
      <c r="A6137" s="33" t="s">
        <v>14403</v>
      </c>
      <c r="B6137" s="33" t="s">
        <v>14404</v>
      </c>
      <c r="C6137" s="33" t="s">
        <v>118</v>
      </c>
      <c r="D6137" s="33" t="s">
        <v>17</v>
      </c>
      <c r="E6137" s="33" t="s">
        <v>31</v>
      </c>
      <c r="F6137" s="33" t="s">
        <v>32</v>
      </c>
      <c r="G6137" s="33" t="s">
        <v>158</v>
      </c>
      <c r="H6137" s="35">
        <v>223</v>
      </c>
      <c r="I6137" s="33" t="s">
        <v>21</v>
      </c>
      <c r="J6137" s="42">
        <v>44504</v>
      </c>
      <c r="K6137" s="33" t="s">
        <v>22</v>
      </c>
    </row>
    <row r="6138" spans="1:11">
      <c r="A6138" s="30" t="s">
        <v>14405</v>
      </c>
      <c r="B6138" s="30" t="s">
        <v>14406</v>
      </c>
      <c r="C6138" s="30" t="s">
        <v>6179</v>
      </c>
      <c r="D6138" s="30" t="s">
        <v>17</v>
      </c>
      <c r="E6138" s="30" t="s">
        <v>31</v>
      </c>
      <c r="F6138" s="30" t="s">
        <v>32</v>
      </c>
      <c r="G6138" s="30" t="s">
        <v>20</v>
      </c>
      <c r="H6138" s="32">
        <v>600</v>
      </c>
      <c r="I6138" s="30" t="s">
        <v>21</v>
      </c>
      <c r="J6138" s="41">
        <v>44313</v>
      </c>
      <c r="K6138" s="30" t="s">
        <v>22</v>
      </c>
    </row>
    <row r="6139" spans="1:11">
      <c r="A6139" s="33" t="s">
        <v>14407</v>
      </c>
      <c r="B6139" s="33" t="s">
        <v>14408</v>
      </c>
      <c r="C6139" s="33" t="s">
        <v>14409</v>
      </c>
      <c r="D6139" s="33" t="s">
        <v>17</v>
      </c>
      <c r="E6139" s="33" t="s">
        <v>212</v>
      </c>
      <c r="F6139" s="33" t="s">
        <v>213</v>
      </c>
      <c r="G6139" s="33" t="s">
        <v>50</v>
      </c>
      <c r="H6139" s="35">
        <v>54</v>
      </c>
      <c r="I6139" s="33" t="s">
        <v>51</v>
      </c>
      <c r="J6139" s="42">
        <v>44509</v>
      </c>
      <c r="K6139" s="33" t="s">
        <v>22</v>
      </c>
    </row>
    <row r="6140" spans="1:11">
      <c r="A6140" s="30" t="s">
        <v>14410</v>
      </c>
      <c r="B6140" s="30" t="s">
        <v>14411</v>
      </c>
      <c r="C6140" s="30" t="s">
        <v>222</v>
      </c>
      <c r="D6140" s="30" t="s">
        <v>17</v>
      </c>
      <c r="E6140" s="30" t="s">
        <v>31</v>
      </c>
      <c r="F6140" s="30" t="s">
        <v>32</v>
      </c>
      <c r="G6140" s="30" t="s">
        <v>158</v>
      </c>
      <c r="H6140" s="32">
        <v>155</v>
      </c>
      <c r="I6140" s="30" t="s">
        <v>21</v>
      </c>
      <c r="J6140" s="41">
        <v>44350</v>
      </c>
      <c r="K6140" s="30" t="s">
        <v>22</v>
      </c>
    </row>
    <row r="6141" spans="1:11">
      <c r="A6141" s="33" t="s">
        <v>14412</v>
      </c>
      <c r="B6141" s="33" t="s">
        <v>14413</v>
      </c>
      <c r="C6141" s="33" t="s">
        <v>1267</v>
      </c>
      <c r="D6141" s="33" t="s">
        <v>17</v>
      </c>
      <c r="E6141" s="33" t="s">
        <v>26</v>
      </c>
      <c r="F6141" s="33" t="s">
        <v>27</v>
      </c>
      <c r="G6141" s="33" t="s">
        <v>20</v>
      </c>
      <c r="H6141" s="35">
        <v>20</v>
      </c>
      <c r="I6141" s="33" t="s">
        <v>21</v>
      </c>
      <c r="J6141" s="42">
        <v>44489</v>
      </c>
      <c r="K6141" s="33" t="s">
        <v>22</v>
      </c>
    </row>
    <row r="6142" spans="1:11">
      <c r="A6142" s="30" t="s">
        <v>14414</v>
      </c>
      <c r="B6142" s="30" t="s">
        <v>14415</v>
      </c>
      <c r="C6142" s="30" t="s">
        <v>4064</v>
      </c>
      <c r="D6142" s="30" t="s">
        <v>17</v>
      </c>
      <c r="E6142" s="30" t="s">
        <v>26</v>
      </c>
      <c r="F6142" s="30" t="s">
        <v>27</v>
      </c>
      <c r="G6142" s="30" t="s">
        <v>20</v>
      </c>
      <c r="H6142" s="32">
        <v>21</v>
      </c>
      <c r="I6142" s="30" t="s">
        <v>21</v>
      </c>
      <c r="J6142" s="41">
        <v>44405</v>
      </c>
      <c r="K6142" s="30" t="s">
        <v>22</v>
      </c>
    </row>
    <row r="6143" spans="1:11">
      <c r="A6143" s="33" t="s">
        <v>14416</v>
      </c>
      <c r="B6143" s="33" t="s">
        <v>14417</v>
      </c>
      <c r="C6143" s="33" t="s">
        <v>14418</v>
      </c>
      <c r="D6143" s="33" t="s">
        <v>17</v>
      </c>
      <c r="E6143" s="33" t="s">
        <v>67</v>
      </c>
      <c r="F6143" s="33" t="s">
        <v>68</v>
      </c>
      <c r="G6143" s="33" t="s">
        <v>158</v>
      </c>
      <c r="H6143" s="35">
        <v>108</v>
      </c>
      <c r="I6143" s="33" t="s">
        <v>51</v>
      </c>
      <c r="J6143" s="42">
        <v>44342</v>
      </c>
      <c r="K6143" s="33" t="s">
        <v>22</v>
      </c>
    </row>
    <row r="6144" spans="1:11">
      <c r="A6144" s="30" t="s">
        <v>14419</v>
      </c>
      <c r="B6144" s="30" t="s">
        <v>14420</v>
      </c>
      <c r="C6144" s="30" t="s">
        <v>14421</v>
      </c>
      <c r="D6144" s="30" t="s">
        <v>17</v>
      </c>
      <c r="E6144" s="30" t="s">
        <v>67</v>
      </c>
      <c r="F6144" s="30" t="s">
        <v>68</v>
      </c>
      <c r="G6144" s="30" t="s">
        <v>20</v>
      </c>
      <c r="H6144" s="32">
        <v>13</v>
      </c>
      <c r="I6144" s="30" t="s">
        <v>21</v>
      </c>
      <c r="J6144" s="41">
        <v>44267</v>
      </c>
      <c r="K6144" s="30" t="s">
        <v>22</v>
      </c>
    </row>
    <row r="6145" spans="1:11">
      <c r="A6145" s="33" t="s">
        <v>14422</v>
      </c>
      <c r="B6145" s="33" t="s">
        <v>14423</v>
      </c>
      <c r="C6145" s="33" t="s">
        <v>3296</v>
      </c>
      <c r="D6145" s="33" t="s">
        <v>17</v>
      </c>
      <c r="E6145" s="33" t="s">
        <v>26</v>
      </c>
      <c r="F6145" s="33" t="s">
        <v>27</v>
      </c>
      <c r="G6145" s="33" t="s">
        <v>20</v>
      </c>
      <c r="H6145" s="35">
        <v>51</v>
      </c>
      <c r="I6145" s="33" t="s">
        <v>21</v>
      </c>
      <c r="J6145" s="42">
        <v>44525</v>
      </c>
      <c r="K6145" s="33" t="s">
        <v>22</v>
      </c>
    </row>
    <row r="6146" spans="1:11">
      <c r="A6146" s="30" t="s">
        <v>14424</v>
      </c>
      <c r="B6146" s="30" t="s">
        <v>14425</v>
      </c>
      <c r="C6146" s="30" t="s">
        <v>2825</v>
      </c>
      <c r="D6146" s="30" t="s">
        <v>17</v>
      </c>
      <c r="E6146" s="30" t="s">
        <v>26</v>
      </c>
      <c r="F6146" s="30" t="s">
        <v>27</v>
      </c>
      <c r="G6146" s="30" t="s">
        <v>20</v>
      </c>
      <c r="H6146" s="32">
        <v>48</v>
      </c>
      <c r="I6146" s="30" t="s">
        <v>21</v>
      </c>
      <c r="J6146" s="41">
        <v>44417</v>
      </c>
      <c r="K6146" s="30" t="s">
        <v>22</v>
      </c>
    </row>
    <row r="6147" spans="1:11">
      <c r="A6147" s="33" t="s">
        <v>14426</v>
      </c>
      <c r="B6147" s="33" t="s">
        <v>14427</v>
      </c>
      <c r="C6147" s="33" t="s">
        <v>1210</v>
      </c>
      <c r="D6147" s="33" t="s">
        <v>17</v>
      </c>
      <c r="E6147" s="33" t="s">
        <v>18</v>
      </c>
      <c r="F6147" s="33" t="s">
        <v>19</v>
      </c>
      <c r="G6147" s="33" t="s">
        <v>158</v>
      </c>
      <c r="H6147" s="35">
        <v>626</v>
      </c>
      <c r="I6147" s="33" t="s">
        <v>21</v>
      </c>
      <c r="J6147" s="42">
        <v>44505</v>
      </c>
      <c r="K6147" s="33" t="s">
        <v>22</v>
      </c>
    </row>
    <row r="6148" spans="1:11">
      <c r="A6148" s="30" t="s">
        <v>14428</v>
      </c>
      <c r="B6148" s="30" t="s">
        <v>14429</v>
      </c>
      <c r="C6148" s="30" t="s">
        <v>187</v>
      </c>
      <c r="D6148" s="30" t="s">
        <v>17</v>
      </c>
      <c r="E6148" s="30" t="s">
        <v>18</v>
      </c>
      <c r="F6148" s="30" t="s">
        <v>19</v>
      </c>
      <c r="G6148" s="30" t="s">
        <v>50</v>
      </c>
      <c r="H6148" s="32">
        <v>120</v>
      </c>
      <c r="I6148" s="30" t="s">
        <v>51</v>
      </c>
      <c r="J6148" s="41">
        <v>44399</v>
      </c>
      <c r="K6148" s="30" t="s">
        <v>22</v>
      </c>
    </row>
    <row r="6149" spans="1:11">
      <c r="A6149" s="33" t="s">
        <v>14430</v>
      </c>
      <c r="B6149" s="33" t="s">
        <v>14431</v>
      </c>
      <c r="C6149" s="33" t="s">
        <v>136</v>
      </c>
      <c r="D6149" s="33" t="s">
        <v>17</v>
      </c>
      <c r="E6149" s="33" t="s">
        <v>31</v>
      </c>
      <c r="F6149" s="33" t="s">
        <v>32</v>
      </c>
      <c r="G6149" s="33" t="s">
        <v>20</v>
      </c>
      <c r="H6149" s="35">
        <v>153</v>
      </c>
      <c r="I6149" s="33" t="s">
        <v>21</v>
      </c>
      <c r="J6149" s="42">
        <v>44336</v>
      </c>
      <c r="K6149" s="33" t="s">
        <v>22</v>
      </c>
    </row>
    <row r="6150" spans="1:11">
      <c r="A6150" s="30" t="s">
        <v>14432</v>
      </c>
      <c r="B6150" s="30" t="s">
        <v>14433</v>
      </c>
      <c r="C6150" s="30" t="s">
        <v>2609</v>
      </c>
      <c r="D6150" s="30" t="s">
        <v>17</v>
      </c>
      <c r="E6150" s="30" t="s">
        <v>26</v>
      </c>
      <c r="F6150" s="30" t="s">
        <v>27</v>
      </c>
      <c r="G6150" s="30" t="s">
        <v>20</v>
      </c>
      <c r="H6150" s="32">
        <v>141</v>
      </c>
      <c r="I6150" s="30" t="s">
        <v>21</v>
      </c>
      <c r="J6150" s="41">
        <v>44235</v>
      </c>
      <c r="K6150" s="30" t="s">
        <v>22</v>
      </c>
    </row>
    <row r="6151" spans="1:11">
      <c r="A6151" s="33" t="s">
        <v>14434</v>
      </c>
      <c r="B6151" s="33" t="s">
        <v>14435</v>
      </c>
      <c r="C6151" s="33" t="s">
        <v>14436</v>
      </c>
      <c r="D6151" s="33" t="s">
        <v>17</v>
      </c>
      <c r="E6151" s="33" t="s">
        <v>26</v>
      </c>
      <c r="F6151" s="33" t="s">
        <v>27</v>
      </c>
      <c r="G6151" s="33" t="s">
        <v>106</v>
      </c>
      <c r="H6151" s="35">
        <v>24</v>
      </c>
      <c r="I6151" s="33" t="s">
        <v>21</v>
      </c>
      <c r="J6151" s="42">
        <v>44259</v>
      </c>
      <c r="K6151" s="33" t="s">
        <v>22</v>
      </c>
    </row>
    <row r="6152" spans="1:11">
      <c r="A6152" s="30" t="s">
        <v>14437</v>
      </c>
      <c r="B6152" s="30" t="s">
        <v>14438</v>
      </c>
      <c r="C6152" s="30" t="s">
        <v>203</v>
      </c>
      <c r="D6152" s="30" t="s">
        <v>17</v>
      </c>
      <c r="E6152" s="30" t="s">
        <v>212</v>
      </c>
      <c r="F6152" s="30" t="s">
        <v>213</v>
      </c>
      <c r="G6152" s="30" t="s">
        <v>158</v>
      </c>
      <c r="H6152" s="32">
        <v>1339</v>
      </c>
      <c r="I6152" s="30" t="s">
        <v>21</v>
      </c>
      <c r="J6152" s="41">
        <v>44546</v>
      </c>
      <c r="K6152" s="30" t="s">
        <v>22</v>
      </c>
    </row>
    <row r="6153" spans="1:11">
      <c r="A6153" s="33" t="s">
        <v>14439</v>
      </c>
      <c r="B6153" s="33" t="s">
        <v>14440</v>
      </c>
      <c r="C6153" s="33" t="s">
        <v>14441</v>
      </c>
      <c r="D6153" s="33" t="s">
        <v>17</v>
      </c>
      <c r="E6153" s="33" t="s">
        <v>18</v>
      </c>
      <c r="F6153" s="33" t="s">
        <v>19</v>
      </c>
      <c r="G6153" s="33" t="s">
        <v>20</v>
      </c>
      <c r="H6153" s="35">
        <v>1319</v>
      </c>
      <c r="I6153" s="33" t="s">
        <v>21</v>
      </c>
      <c r="J6153" s="42">
        <v>44495</v>
      </c>
      <c r="K6153" s="33" t="s">
        <v>22</v>
      </c>
    </row>
    <row r="6154" spans="1:11">
      <c r="A6154" s="30" t="s">
        <v>14442</v>
      </c>
      <c r="B6154" s="30" t="s">
        <v>14443</v>
      </c>
      <c r="C6154" s="30" t="s">
        <v>14444</v>
      </c>
      <c r="D6154" s="30" t="s">
        <v>17</v>
      </c>
      <c r="E6154" s="30" t="s">
        <v>67</v>
      </c>
      <c r="F6154" s="30" t="s">
        <v>68</v>
      </c>
      <c r="G6154" s="30" t="s">
        <v>20</v>
      </c>
      <c r="H6154" s="32">
        <v>30</v>
      </c>
      <c r="I6154" s="30" t="s">
        <v>21</v>
      </c>
      <c r="J6154" s="41">
        <v>44424</v>
      </c>
      <c r="K6154" s="30" t="s">
        <v>22</v>
      </c>
    </row>
    <row r="6155" spans="1:11">
      <c r="A6155" s="33" t="s">
        <v>14445</v>
      </c>
      <c r="B6155" s="33" t="s">
        <v>14446</v>
      </c>
      <c r="C6155" s="33" t="s">
        <v>14447</v>
      </c>
      <c r="D6155" s="33" t="s">
        <v>17</v>
      </c>
      <c r="E6155" s="33" t="s">
        <v>26</v>
      </c>
      <c r="F6155" s="33" t="s">
        <v>27</v>
      </c>
      <c r="G6155" s="33" t="s">
        <v>20</v>
      </c>
      <c r="H6155" s="35">
        <v>60</v>
      </c>
      <c r="I6155" s="33" t="s">
        <v>21</v>
      </c>
      <c r="J6155" s="42">
        <v>44481</v>
      </c>
      <c r="K6155" s="33" t="s">
        <v>22</v>
      </c>
    </row>
    <row r="6156" spans="1:11">
      <c r="A6156" s="30" t="s">
        <v>14448</v>
      </c>
      <c r="B6156" s="30" t="s">
        <v>14449</v>
      </c>
      <c r="C6156" s="30" t="s">
        <v>14450</v>
      </c>
      <c r="D6156" s="30" t="s">
        <v>17</v>
      </c>
      <c r="E6156" s="30" t="s">
        <v>26</v>
      </c>
      <c r="F6156" s="30" t="s">
        <v>27</v>
      </c>
      <c r="G6156" s="30" t="s">
        <v>20</v>
      </c>
      <c r="H6156" s="32">
        <v>27</v>
      </c>
      <c r="I6156" s="30" t="s">
        <v>21</v>
      </c>
      <c r="J6156" s="41">
        <v>44391</v>
      </c>
      <c r="K6156" s="30" t="s">
        <v>22</v>
      </c>
    </row>
    <row r="6157" spans="1:11">
      <c r="A6157" s="33" t="s">
        <v>14451</v>
      </c>
      <c r="B6157" s="33" t="s">
        <v>14452</v>
      </c>
      <c r="C6157" s="33" t="s">
        <v>5043</v>
      </c>
      <c r="D6157" s="33" t="s">
        <v>17</v>
      </c>
      <c r="E6157" s="33" t="s">
        <v>31</v>
      </c>
      <c r="F6157" s="33" t="s">
        <v>32</v>
      </c>
      <c r="G6157" s="33" t="s">
        <v>20</v>
      </c>
      <c r="H6157" s="35">
        <v>18</v>
      </c>
      <c r="I6157" s="33" t="s">
        <v>21</v>
      </c>
      <c r="J6157" s="42">
        <v>44354</v>
      </c>
      <c r="K6157" s="33" t="s">
        <v>22</v>
      </c>
    </row>
    <row r="6158" spans="1:11">
      <c r="A6158" s="30" t="s">
        <v>14453</v>
      </c>
      <c r="B6158" s="30" t="s">
        <v>14454</v>
      </c>
      <c r="C6158" s="30" t="s">
        <v>3095</v>
      </c>
      <c r="D6158" s="30" t="s">
        <v>17</v>
      </c>
      <c r="E6158" s="30" t="s">
        <v>26</v>
      </c>
      <c r="F6158" s="30" t="s">
        <v>27</v>
      </c>
      <c r="G6158" s="30" t="s">
        <v>20</v>
      </c>
      <c r="H6158" s="32">
        <v>4</v>
      </c>
      <c r="I6158" s="30" t="s">
        <v>21</v>
      </c>
      <c r="J6158" s="41">
        <v>44382</v>
      </c>
      <c r="K6158" s="30" t="s">
        <v>22</v>
      </c>
    </row>
    <row r="6159" spans="1:11">
      <c r="A6159" s="33" t="s">
        <v>14455</v>
      </c>
      <c r="B6159" s="33" t="s">
        <v>14456</v>
      </c>
      <c r="C6159" s="33" t="s">
        <v>14457</v>
      </c>
      <c r="D6159" s="33" t="s">
        <v>17</v>
      </c>
      <c r="E6159" s="33" t="s">
        <v>26</v>
      </c>
      <c r="F6159" s="33" t="s">
        <v>27</v>
      </c>
      <c r="G6159" s="33" t="s">
        <v>20</v>
      </c>
      <c r="H6159" s="35">
        <v>58</v>
      </c>
      <c r="I6159" s="33" t="s">
        <v>21</v>
      </c>
      <c r="J6159" s="42">
        <v>44293</v>
      </c>
      <c r="K6159" s="33" t="s">
        <v>22</v>
      </c>
    </row>
    <row r="6160" spans="1:11">
      <c r="A6160" s="30" t="s">
        <v>14458</v>
      </c>
      <c r="B6160" s="30" t="s">
        <v>14459</v>
      </c>
      <c r="C6160" s="30" t="s">
        <v>1415</v>
      </c>
      <c r="D6160" s="30" t="s">
        <v>17</v>
      </c>
      <c r="E6160" s="30" t="s">
        <v>67</v>
      </c>
      <c r="F6160" s="30" t="s">
        <v>68</v>
      </c>
      <c r="G6160" s="30" t="s">
        <v>50</v>
      </c>
      <c r="H6160" s="32">
        <v>216</v>
      </c>
      <c r="I6160" s="30" t="s">
        <v>51</v>
      </c>
      <c r="J6160" s="41">
        <v>44502</v>
      </c>
      <c r="K6160" s="30" t="s">
        <v>22</v>
      </c>
    </row>
    <row r="6161" spans="1:11">
      <c r="A6161" s="33" t="s">
        <v>14460</v>
      </c>
      <c r="B6161" s="33" t="s">
        <v>14461</v>
      </c>
      <c r="C6161" s="33" t="s">
        <v>925</v>
      </c>
      <c r="D6161" s="33" t="s">
        <v>17</v>
      </c>
      <c r="E6161" s="33" t="s">
        <v>31</v>
      </c>
      <c r="F6161" s="33" t="s">
        <v>32</v>
      </c>
      <c r="G6161" s="33" t="s">
        <v>20</v>
      </c>
      <c r="H6161" s="35">
        <v>457</v>
      </c>
      <c r="I6161" s="33" t="s">
        <v>21</v>
      </c>
      <c r="J6161" s="42">
        <v>44417</v>
      </c>
      <c r="K6161" s="33" t="s">
        <v>22</v>
      </c>
    </row>
    <row r="6162" spans="1:11">
      <c r="A6162" s="30" t="s">
        <v>14462</v>
      </c>
      <c r="B6162" s="30" t="s">
        <v>14463</v>
      </c>
      <c r="C6162" s="30" t="s">
        <v>190</v>
      </c>
      <c r="D6162" s="30" t="s">
        <v>17</v>
      </c>
      <c r="E6162" s="30" t="s">
        <v>18</v>
      </c>
      <c r="F6162" s="30" t="s">
        <v>19</v>
      </c>
      <c r="G6162" s="30" t="s">
        <v>158</v>
      </c>
      <c r="H6162" s="32">
        <v>1157</v>
      </c>
      <c r="I6162" s="30" t="s">
        <v>21</v>
      </c>
      <c r="J6162" s="41">
        <v>44312</v>
      </c>
      <c r="K6162" s="30" t="s">
        <v>22</v>
      </c>
    </row>
    <row r="6163" spans="1:11">
      <c r="A6163" s="33" t="s">
        <v>14464</v>
      </c>
      <c r="B6163" s="33" t="s">
        <v>14465</v>
      </c>
      <c r="C6163" s="33" t="s">
        <v>3407</v>
      </c>
      <c r="D6163" s="33" t="s">
        <v>17</v>
      </c>
      <c r="E6163" s="33" t="s">
        <v>26</v>
      </c>
      <c r="F6163" s="33" t="s">
        <v>27</v>
      </c>
      <c r="G6163" s="33" t="s">
        <v>20</v>
      </c>
      <c r="H6163" s="35">
        <v>46</v>
      </c>
      <c r="I6163" s="33" t="s">
        <v>21</v>
      </c>
      <c r="J6163" s="42">
        <v>44210</v>
      </c>
      <c r="K6163" s="33" t="s">
        <v>22</v>
      </c>
    </row>
    <row r="6164" spans="1:11">
      <c r="A6164" s="30" t="s">
        <v>14466</v>
      </c>
      <c r="B6164" s="30" t="s">
        <v>14467</v>
      </c>
      <c r="C6164" s="30" t="s">
        <v>3790</v>
      </c>
      <c r="D6164" s="30" t="s">
        <v>17</v>
      </c>
      <c r="E6164" s="30" t="s">
        <v>26</v>
      </c>
      <c r="F6164" s="30" t="s">
        <v>27</v>
      </c>
      <c r="G6164" s="30" t="s">
        <v>20</v>
      </c>
      <c r="H6164" s="32">
        <v>15</v>
      </c>
      <c r="I6164" s="30" t="s">
        <v>21</v>
      </c>
      <c r="J6164" s="41">
        <v>44550</v>
      </c>
      <c r="K6164" s="30" t="s">
        <v>22</v>
      </c>
    </row>
    <row r="6165" spans="1:11">
      <c r="A6165" s="33" t="s">
        <v>14468</v>
      </c>
      <c r="B6165" s="33" t="s">
        <v>14469</v>
      </c>
      <c r="C6165" s="33" t="s">
        <v>5147</v>
      </c>
      <c r="D6165" s="33" t="s">
        <v>17</v>
      </c>
      <c r="E6165" s="33" t="s">
        <v>31</v>
      </c>
      <c r="F6165" s="33" t="s">
        <v>32</v>
      </c>
      <c r="G6165" s="33" t="s">
        <v>20</v>
      </c>
      <c r="H6165" s="35">
        <v>120</v>
      </c>
      <c r="I6165" s="33" t="s">
        <v>21</v>
      </c>
      <c r="J6165" s="42">
        <v>44249</v>
      </c>
      <c r="K6165" s="33" t="s">
        <v>22</v>
      </c>
    </row>
    <row r="6166" spans="1:11">
      <c r="A6166" s="30" t="s">
        <v>14470</v>
      </c>
      <c r="B6166" s="30" t="s">
        <v>14471</v>
      </c>
      <c r="C6166" s="30" t="s">
        <v>1136</v>
      </c>
      <c r="D6166" s="30" t="s">
        <v>17</v>
      </c>
      <c r="E6166" s="30" t="s">
        <v>31</v>
      </c>
      <c r="F6166" s="30" t="s">
        <v>32</v>
      </c>
      <c r="G6166" s="30" t="s">
        <v>158</v>
      </c>
      <c r="H6166" s="32">
        <v>568</v>
      </c>
      <c r="I6166" s="30" t="s">
        <v>21</v>
      </c>
      <c r="J6166" s="41">
        <v>44378</v>
      </c>
      <c r="K6166" s="30" t="s">
        <v>22</v>
      </c>
    </row>
    <row r="6167" spans="1:11">
      <c r="A6167" s="33" t="s">
        <v>14472</v>
      </c>
      <c r="B6167" s="33" t="s">
        <v>14473</v>
      </c>
      <c r="C6167" s="33" t="s">
        <v>154</v>
      </c>
      <c r="D6167" s="33" t="s">
        <v>17</v>
      </c>
      <c r="E6167" s="33" t="s">
        <v>31</v>
      </c>
      <c r="F6167" s="33" t="s">
        <v>32</v>
      </c>
      <c r="G6167" s="33" t="s">
        <v>20</v>
      </c>
      <c r="H6167" s="35">
        <v>178</v>
      </c>
      <c r="I6167" s="33" t="s">
        <v>21</v>
      </c>
      <c r="J6167" s="42">
        <v>44242</v>
      </c>
      <c r="K6167" s="33" t="s">
        <v>22</v>
      </c>
    </row>
    <row r="6168" spans="1:11">
      <c r="A6168" s="30" t="s">
        <v>14474</v>
      </c>
      <c r="B6168" s="30" t="s">
        <v>14475</v>
      </c>
      <c r="C6168" s="30" t="s">
        <v>14476</v>
      </c>
      <c r="D6168" s="30" t="s">
        <v>17</v>
      </c>
      <c r="E6168" s="30" t="s">
        <v>26</v>
      </c>
      <c r="F6168" s="30" t="s">
        <v>27</v>
      </c>
      <c r="G6168" s="30" t="s">
        <v>20</v>
      </c>
      <c r="H6168" s="32">
        <v>91</v>
      </c>
      <c r="I6168" s="30" t="s">
        <v>21</v>
      </c>
      <c r="J6168" s="41">
        <v>44487</v>
      </c>
      <c r="K6168" s="30" t="s">
        <v>22</v>
      </c>
    </row>
    <row r="6169" spans="1:11">
      <c r="A6169" s="33" t="s">
        <v>14477</v>
      </c>
      <c r="B6169" s="33" t="s">
        <v>14478</v>
      </c>
      <c r="C6169" s="33" t="s">
        <v>387</v>
      </c>
      <c r="D6169" s="33" t="s">
        <v>17</v>
      </c>
      <c r="E6169" s="33" t="s">
        <v>26</v>
      </c>
      <c r="F6169" s="33" t="s">
        <v>27</v>
      </c>
      <c r="G6169" s="33" t="s">
        <v>20</v>
      </c>
      <c r="H6169" s="35">
        <v>79</v>
      </c>
      <c r="I6169" s="33" t="s">
        <v>21</v>
      </c>
      <c r="J6169" s="42">
        <v>44412</v>
      </c>
      <c r="K6169" s="33" t="s">
        <v>22</v>
      </c>
    </row>
    <row r="6170" spans="1:11">
      <c r="A6170" s="30" t="s">
        <v>14479</v>
      </c>
      <c r="B6170" s="30" t="s">
        <v>14480</v>
      </c>
      <c r="C6170" s="30" t="s">
        <v>96</v>
      </c>
      <c r="D6170" s="30" t="s">
        <v>17</v>
      </c>
      <c r="E6170" s="30" t="s">
        <v>26</v>
      </c>
      <c r="F6170" s="30" t="s">
        <v>27</v>
      </c>
      <c r="G6170" s="30" t="s">
        <v>20</v>
      </c>
      <c r="H6170" s="32">
        <v>35</v>
      </c>
      <c r="I6170" s="30" t="s">
        <v>21</v>
      </c>
      <c r="J6170" s="41">
        <v>44494</v>
      </c>
      <c r="K6170" s="30" t="s">
        <v>22</v>
      </c>
    </row>
    <row r="6171" spans="1:11">
      <c r="A6171" s="33" t="s">
        <v>14481</v>
      </c>
      <c r="B6171" s="33" t="s">
        <v>14482</v>
      </c>
      <c r="C6171" s="33" t="s">
        <v>14483</v>
      </c>
      <c r="D6171" s="33" t="s">
        <v>17</v>
      </c>
      <c r="E6171" s="33" t="s">
        <v>67</v>
      </c>
      <c r="F6171" s="33" t="s">
        <v>68</v>
      </c>
      <c r="G6171" s="33" t="s">
        <v>20</v>
      </c>
      <c r="H6171" s="35">
        <v>121</v>
      </c>
      <c r="I6171" s="33" t="s">
        <v>21</v>
      </c>
      <c r="J6171" s="42">
        <v>44338</v>
      </c>
      <c r="K6171" s="33" t="s">
        <v>22</v>
      </c>
    </row>
    <row r="6172" spans="1:11">
      <c r="A6172" s="30" t="s">
        <v>14484</v>
      </c>
      <c r="B6172" s="30" t="s">
        <v>14485</v>
      </c>
      <c r="C6172" s="30" t="s">
        <v>4353</v>
      </c>
      <c r="D6172" s="30" t="s">
        <v>17</v>
      </c>
      <c r="E6172" s="30" t="s">
        <v>31</v>
      </c>
      <c r="F6172" s="30" t="s">
        <v>32</v>
      </c>
      <c r="G6172" s="30" t="s">
        <v>140</v>
      </c>
      <c r="H6172" s="32">
        <v>52</v>
      </c>
      <c r="I6172" s="30" t="s">
        <v>51</v>
      </c>
      <c r="J6172" s="41">
        <v>44424</v>
      </c>
      <c r="K6172" s="30" t="s">
        <v>22</v>
      </c>
    </row>
    <row r="6173" spans="1:11">
      <c r="A6173" s="33" t="s">
        <v>14486</v>
      </c>
      <c r="B6173" s="33" t="s">
        <v>14487</v>
      </c>
      <c r="C6173" s="33" t="s">
        <v>14488</v>
      </c>
      <c r="D6173" s="33" t="s">
        <v>17</v>
      </c>
      <c r="E6173" s="33" t="s">
        <v>18</v>
      </c>
      <c r="F6173" s="33" t="s">
        <v>19</v>
      </c>
      <c r="G6173" s="33" t="s">
        <v>20</v>
      </c>
      <c r="H6173" s="35">
        <v>140</v>
      </c>
      <c r="I6173" s="33" t="s">
        <v>21</v>
      </c>
      <c r="J6173" s="42">
        <v>44361</v>
      </c>
      <c r="K6173" s="33" t="s">
        <v>22</v>
      </c>
    </row>
    <row r="6174" spans="1:11">
      <c r="A6174" s="30" t="s">
        <v>14489</v>
      </c>
      <c r="B6174" s="30" t="s">
        <v>14490</v>
      </c>
      <c r="C6174" s="30" t="s">
        <v>1136</v>
      </c>
      <c r="D6174" s="30" t="s">
        <v>17</v>
      </c>
      <c r="E6174" s="30" t="s">
        <v>45</v>
      </c>
      <c r="F6174" s="30" t="s">
        <v>46</v>
      </c>
      <c r="G6174" s="30" t="s">
        <v>20</v>
      </c>
      <c r="H6174" s="32">
        <v>3159</v>
      </c>
      <c r="I6174" s="30" t="s">
        <v>21</v>
      </c>
      <c r="J6174" s="41">
        <v>44251</v>
      </c>
      <c r="K6174" s="30" t="s">
        <v>22</v>
      </c>
    </row>
    <row r="6175" spans="1:11">
      <c r="A6175" s="33" t="s">
        <v>14491</v>
      </c>
      <c r="B6175" s="33" t="s">
        <v>14492</v>
      </c>
      <c r="C6175" s="33" t="s">
        <v>969</v>
      </c>
      <c r="D6175" s="33" t="s">
        <v>17</v>
      </c>
      <c r="E6175" s="33" t="s">
        <v>26</v>
      </c>
      <c r="F6175" s="33" t="s">
        <v>27</v>
      </c>
      <c r="G6175" s="33" t="s">
        <v>20</v>
      </c>
      <c r="H6175" s="35">
        <v>40</v>
      </c>
      <c r="I6175" s="33" t="s">
        <v>21</v>
      </c>
      <c r="J6175" s="42">
        <v>44242</v>
      </c>
      <c r="K6175" s="33" t="s">
        <v>22</v>
      </c>
    </row>
    <row r="6176" spans="1:11">
      <c r="A6176" s="30" t="s">
        <v>14493</v>
      </c>
      <c r="B6176" s="30" t="s">
        <v>14494</v>
      </c>
      <c r="C6176" s="30" t="s">
        <v>12845</v>
      </c>
      <c r="D6176" s="30" t="s">
        <v>17</v>
      </c>
      <c r="E6176" s="30" t="s">
        <v>26</v>
      </c>
      <c r="F6176" s="30" t="s">
        <v>27</v>
      </c>
      <c r="G6176" s="30" t="s">
        <v>140</v>
      </c>
      <c r="H6176" s="32">
        <v>100</v>
      </c>
      <c r="I6176" s="30" t="s">
        <v>51</v>
      </c>
      <c r="J6176" s="41">
        <v>44287</v>
      </c>
      <c r="K6176" s="30" t="s">
        <v>22</v>
      </c>
    </row>
    <row r="6177" spans="1:11">
      <c r="A6177" s="33" t="s">
        <v>14495</v>
      </c>
      <c r="B6177" s="33" t="s">
        <v>14496</v>
      </c>
      <c r="C6177" s="33" t="s">
        <v>629</v>
      </c>
      <c r="D6177" s="33" t="s">
        <v>17</v>
      </c>
      <c r="E6177" s="33" t="s">
        <v>67</v>
      </c>
      <c r="F6177" s="33" t="s">
        <v>68</v>
      </c>
      <c r="G6177" s="33" t="s">
        <v>106</v>
      </c>
      <c r="H6177" s="35">
        <v>24</v>
      </c>
      <c r="I6177" s="33" t="s">
        <v>21</v>
      </c>
      <c r="J6177" s="42">
        <v>44356</v>
      </c>
      <c r="K6177" s="33" t="s">
        <v>22</v>
      </c>
    </row>
    <row r="6178" spans="1:11">
      <c r="A6178" s="30" t="s">
        <v>14497</v>
      </c>
      <c r="B6178" s="30" t="s">
        <v>14498</v>
      </c>
      <c r="C6178" s="30" t="s">
        <v>75</v>
      </c>
      <c r="D6178" s="30" t="s">
        <v>17</v>
      </c>
      <c r="E6178" s="30" t="s">
        <v>31</v>
      </c>
      <c r="F6178" s="30" t="s">
        <v>32</v>
      </c>
      <c r="G6178" s="30" t="s">
        <v>158</v>
      </c>
      <c r="H6178" s="32">
        <v>74</v>
      </c>
      <c r="I6178" s="30" t="s">
        <v>21</v>
      </c>
      <c r="J6178" s="41">
        <v>44389</v>
      </c>
      <c r="K6178" s="30" t="s">
        <v>22</v>
      </c>
    </row>
    <row r="6179" spans="1:11">
      <c r="A6179" s="33" t="s">
        <v>14499</v>
      </c>
      <c r="B6179" s="33" t="s">
        <v>14500</v>
      </c>
      <c r="C6179" s="33" t="s">
        <v>647</v>
      </c>
      <c r="D6179" s="33" t="s">
        <v>17</v>
      </c>
      <c r="E6179" s="33" t="s">
        <v>18</v>
      </c>
      <c r="F6179" s="33" t="s">
        <v>19</v>
      </c>
      <c r="G6179" s="33" t="s">
        <v>158</v>
      </c>
      <c r="H6179" s="35">
        <v>990</v>
      </c>
      <c r="I6179" s="33" t="s">
        <v>51</v>
      </c>
      <c r="J6179" s="42">
        <v>44206</v>
      </c>
      <c r="K6179" s="33" t="s">
        <v>22</v>
      </c>
    </row>
    <row r="6180" spans="1:11">
      <c r="A6180" s="30" t="s">
        <v>14501</v>
      </c>
      <c r="B6180" s="30" t="s">
        <v>14502</v>
      </c>
      <c r="C6180" s="30" t="s">
        <v>3578</v>
      </c>
      <c r="D6180" s="30" t="s">
        <v>17</v>
      </c>
      <c r="E6180" s="30" t="s">
        <v>18</v>
      </c>
      <c r="F6180" s="30" t="s">
        <v>19</v>
      </c>
      <c r="G6180" s="30" t="s">
        <v>20</v>
      </c>
      <c r="H6180" s="32">
        <v>306</v>
      </c>
      <c r="I6180" s="30" t="s">
        <v>21</v>
      </c>
      <c r="J6180" s="41">
        <v>44501</v>
      </c>
      <c r="K6180" s="30" t="s">
        <v>22</v>
      </c>
    </row>
    <row r="6181" spans="1:11">
      <c r="A6181" s="33" t="s">
        <v>14503</v>
      </c>
      <c r="B6181" s="33" t="s">
        <v>14504</v>
      </c>
      <c r="C6181" s="33" t="s">
        <v>75</v>
      </c>
      <c r="D6181" s="33" t="s">
        <v>17</v>
      </c>
      <c r="E6181" s="33" t="s">
        <v>26</v>
      </c>
      <c r="F6181" s="33" t="s">
        <v>27</v>
      </c>
      <c r="G6181" s="33" t="s">
        <v>20</v>
      </c>
      <c r="H6181" s="35">
        <v>67</v>
      </c>
      <c r="I6181" s="33" t="s">
        <v>21</v>
      </c>
      <c r="J6181" s="42">
        <v>44417</v>
      </c>
      <c r="K6181" s="33" t="s">
        <v>22</v>
      </c>
    </row>
    <row r="6182" spans="1:11">
      <c r="A6182" s="30" t="s">
        <v>14505</v>
      </c>
      <c r="B6182" s="30" t="s">
        <v>14506</v>
      </c>
      <c r="C6182" s="30" t="s">
        <v>491</v>
      </c>
      <c r="D6182" s="30" t="s">
        <v>17</v>
      </c>
      <c r="E6182" s="30" t="s">
        <v>31</v>
      </c>
      <c r="F6182" s="30" t="s">
        <v>32</v>
      </c>
      <c r="G6182" s="30" t="s">
        <v>106</v>
      </c>
      <c r="H6182" s="32">
        <v>22</v>
      </c>
      <c r="I6182" s="30" t="s">
        <v>21</v>
      </c>
      <c r="J6182" s="41">
        <v>44286</v>
      </c>
      <c r="K6182" s="30" t="s">
        <v>22</v>
      </c>
    </row>
    <row r="6183" spans="1:11">
      <c r="A6183" s="33" t="s">
        <v>14507</v>
      </c>
      <c r="B6183" s="33" t="s">
        <v>14508</v>
      </c>
      <c r="C6183" s="33" t="s">
        <v>2663</v>
      </c>
      <c r="D6183" s="33" t="s">
        <v>17</v>
      </c>
      <c r="E6183" s="33" t="s">
        <v>26</v>
      </c>
      <c r="F6183" s="33" t="s">
        <v>27</v>
      </c>
      <c r="G6183" s="33" t="s">
        <v>20</v>
      </c>
      <c r="H6183" s="35">
        <v>20</v>
      </c>
      <c r="I6183" s="33" t="s">
        <v>21</v>
      </c>
      <c r="J6183" s="42">
        <v>44513</v>
      </c>
      <c r="K6183" s="33" t="s">
        <v>22</v>
      </c>
    </row>
    <row r="6184" spans="1:11">
      <c r="A6184" s="30" t="s">
        <v>14509</v>
      </c>
      <c r="B6184" s="30" t="s">
        <v>14510</v>
      </c>
      <c r="C6184" s="30" t="s">
        <v>1191</v>
      </c>
      <c r="D6184" s="30" t="s">
        <v>17</v>
      </c>
      <c r="E6184" s="30" t="s">
        <v>212</v>
      </c>
      <c r="F6184" s="30" t="s">
        <v>213</v>
      </c>
      <c r="G6184" s="30" t="s">
        <v>20</v>
      </c>
      <c r="H6184" s="32">
        <v>1440</v>
      </c>
      <c r="I6184" s="30" t="s">
        <v>21</v>
      </c>
      <c r="J6184" s="41">
        <v>44474</v>
      </c>
      <c r="K6184" s="30" t="s">
        <v>22</v>
      </c>
    </row>
    <row r="6185" spans="1:11">
      <c r="A6185" s="33" t="s">
        <v>14511</v>
      </c>
      <c r="B6185" s="33" t="s">
        <v>14512</v>
      </c>
      <c r="C6185" s="33" t="s">
        <v>78</v>
      </c>
      <c r="D6185" s="33" t="s">
        <v>17</v>
      </c>
      <c r="E6185" s="33" t="s">
        <v>212</v>
      </c>
      <c r="F6185" s="33" t="s">
        <v>213</v>
      </c>
      <c r="G6185" s="33" t="s">
        <v>50</v>
      </c>
      <c r="H6185" s="35">
        <v>112</v>
      </c>
      <c r="I6185" s="33" t="s">
        <v>51</v>
      </c>
      <c r="J6185" s="42">
        <v>44271</v>
      </c>
      <c r="K6185" s="33" t="s">
        <v>22</v>
      </c>
    </row>
    <row r="6186" spans="1:11">
      <c r="A6186" s="30" t="s">
        <v>14513</v>
      </c>
      <c r="B6186" s="30" t="s">
        <v>14514</v>
      </c>
      <c r="C6186" s="30" t="s">
        <v>362</v>
      </c>
      <c r="D6186" s="30" t="s">
        <v>17</v>
      </c>
      <c r="E6186" s="30" t="s">
        <v>26</v>
      </c>
      <c r="F6186" s="30" t="s">
        <v>27</v>
      </c>
      <c r="G6186" s="30" t="s">
        <v>20</v>
      </c>
      <c r="H6186" s="32">
        <v>23</v>
      </c>
      <c r="I6186" s="30" t="s">
        <v>21</v>
      </c>
      <c r="J6186" s="41">
        <v>44397</v>
      </c>
      <c r="K6186" s="30" t="s">
        <v>22</v>
      </c>
    </row>
    <row r="6187" spans="1:11">
      <c r="A6187" s="33" t="s">
        <v>14515</v>
      </c>
      <c r="B6187" s="33" t="s">
        <v>14516</v>
      </c>
      <c r="C6187" s="33" t="s">
        <v>641</v>
      </c>
      <c r="D6187" s="33" t="s">
        <v>17</v>
      </c>
      <c r="E6187" s="33" t="s">
        <v>31</v>
      </c>
      <c r="F6187" s="33" t="s">
        <v>32</v>
      </c>
      <c r="G6187" s="33" t="s">
        <v>158</v>
      </c>
      <c r="H6187" s="35">
        <v>63</v>
      </c>
      <c r="I6187" s="33" t="s">
        <v>21</v>
      </c>
      <c r="J6187" s="42">
        <v>44466</v>
      </c>
      <c r="K6187" s="33" t="s">
        <v>22</v>
      </c>
    </row>
    <row r="6188" spans="1:11">
      <c r="A6188" s="30" t="s">
        <v>14517</v>
      </c>
      <c r="B6188" s="30" t="s">
        <v>14518</v>
      </c>
      <c r="C6188" s="30" t="s">
        <v>1228</v>
      </c>
      <c r="D6188" s="30" t="s">
        <v>17</v>
      </c>
      <c r="E6188" s="30" t="s">
        <v>18</v>
      </c>
      <c r="F6188" s="30" t="s">
        <v>19</v>
      </c>
      <c r="G6188" s="30" t="s">
        <v>20</v>
      </c>
      <c r="H6188" s="32">
        <v>315</v>
      </c>
      <c r="I6188" s="30" t="s">
        <v>21</v>
      </c>
      <c r="J6188" s="41">
        <v>44260</v>
      </c>
      <c r="K6188" s="30" t="s">
        <v>22</v>
      </c>
    </row>
    <row r="6189" spans="1:11">
      <c r="A6189" s="33" t="s">
        <v>14519</v>
      </c>
      <c r="B6189" s="33" t="s">
        <v>14520</v>
      </c>
      <c r="C6189" s="33" t="s">
        <v>14521</v>
      </c>
      <c r="D6189" s="33" t="s">
        <v>17</v>
      </c>
      <c r="E6189" s="33" t="s">
        <v>18</v>
      </c>
      <c r="F6189" s="33" t="s">
        <v>19</v>
      </c>
      <c r="G6189" s="33" t="s">
        <v>20</v>
      </c>
      <c r="H6189" s="35">
        <v>215</v>
      </c>
      <c r="I6189" s="33" t="s">
        <v>21</v>
      </c>
      <c r="J6189" s="42">
        <v>44452</v>
      </c>
      <c r="K6189" s="33" t="s">
        <v>22</v>
      </c>
    </row>
    <row r="6190" spans="1:11">
      <c r="A6190" s="30" t="s">
        <v>14522</v>
      </c>
      <c r="B6190" s="30" t="s">
        <v>14523</v>
      </c>
      <c r="C6190" s="30" t="s">
        <v>450</v>
      </c>
      <c r="D6190" s="30" t="s">
        <v>17</v>
      </c>
      <c r="E6190" s="30" t="s">
        <v>26</v>
      </c>
      <c r="F6190" s="30" t="s">
        <v>27</v>
      </c>
      <c r="G6190" s="30" t="s">
        <v>20</v>
      </c>
      <c r="H6190" s="32">
        <v>9</v>
      </c>
      <c r="I6190" s="30" t="s">
        <v>21</v>
      </c>
      <c r="J6190" s="41">
        <v>44298</v>
      </c>
      <c r="K6190" s="30" t="s">
        <v>22</v>
      </c>
    </row>
    <row r="6191" spans="1:11">
      <c r="A6191" s="33" t="s">
        <v>14524</v>
      </c>
      <c r="B6191" s="33" t="s">
        <v>14525</v>
      </c>
      <c r="C6191" s="33" t="s">
        <v>190</v>
      </c>
      <c r="D6191" s="33" t="s">
        <v>17</v>
      </c>
      <c r="E6191" s="33" t="s">
        <v>18</v>
      </c>
      <c r="F6191" s="33" t="s">
        <v>19</v>
      </c>
      <c r="G6191" s="33" t="s">
        <v>106</v>
      </c>
      <c r="H6191" s="35">
        <v>67</v>
      </c>
      <c r="I6191" s="33" t="s">
        <v>21</v>
      </c>
      <c r="J6191" s="42">
        <v>44286</v>
      </c>
      <c r="K6191" s="33" t="s">
        <v>22</v>
      </c>
    </row>
    <row r="6192" spans="1:11">
      <c r="A6192" s="30" t="s">
        <v>14526</v>
      </c>
      <c r="B6192" s="30" t="s">
        <v>14527</v>
      </c>
      <c r="C6192" s="30" t="s">
        <v>14528</v>
      </c>
      <c r="D6192" s="30" t="s">
        <v>17</v>
      </c>
      <c r="E6192" s="30" t="s">
        <v>18</v>
      </c>
      <c r="F6192" s="30" t="s">
        <v>19</v>
      </c>
      <c r="G6192" s="30" t="s">
        <v>158</v>
      </c>
      <c r="H6192" s="32">
        <v>30</v>
      </c>
      <c r="I6192" s="30" t="s">
        <v>51</v>
      </c>
      <c r="J6192" s="41">
        <v>44286</v>
      </c>
      <c r="K6192" s="30" t="s">
        <v>22</v>
      </c>
    </row>
    <row r="6193" spans="1:11">
      <c r="A6193" s="33" t="s">
        <v>14529</v>
      </c>
      <c r="B6193" s="33" t="s">
        <v>14530</v>
      </c>
      <c r="C6193" s="33" t="s">
        <v>8069</v>
      </c>
      <c r="D6193" s="33" t="s">
        <v>17</v>
      </c>
      <c r="E6193" s="33" t="s">
        <v>26</v>
      </c>
      <c r="F6193" s="33" t="s">
        <v>27</v>
      </c>
      <c r="G6193" s="33" t="s">
        <v>20</v>
      </c>
      <c r="H6193" s="35">
        <v>111</v>
      </c>
      <c r="I6193" s="33" t="s">
        <v>21</v>
      </c>
      <c r="J6193" s="42">
        <v>44531</v>
      </c>
      <c r="K6193" s="33" t="s">
        <v>22</v>
      </c>
    </row>
    <row r="6194" spans="1:11">
      <c r="A6194" s="30" t="s">
        <v>14531</v>
      </c>
      <c r="B6194" s="30" t="s">
        <v>14532</v>
      </c>
      <c r="C6194" s="30" t="s">
        <v>2562</v>
      </c>
      <c r="D6194" s="30" t="s">
        <v>17</v>
      </c>
      <c r="E6194" s="30" t="s">
        <v>26</v>
      </c>
      <c r="F6194" s="30" t="s">
        <v>27</v>
      </c>
      <c r="G6194" s="30" t="s">
        <v>20</v>
      </c>
      <c r="H6194" s="32">
        <v>44</v>
      </c>
      <c r="I6194" s="30" t="s">
        <v>21</v>
      </c>
      <c r="J6194" s="41">
        <v>44299</v>
      </c>
      <c r="K6194" s="30" t="s">
        <v>22</v>
      </c>
    </row>
    <row r="6195" spans="1:11">
      <c r="A6195" s="33" t="s">
        <v>14533</v>
      </c>
      <c r="B6195" s="33" t="s">
        <v>14534</v>
      </c>
      <c r="C6195" s="33" t="s">
        <v>1313</v>
      </c>
      <c r="D6195" s="33" t="s">
        <v>17</v>
      </c>
      <c r="E6195" s="33" t="s">
        <v>31</v>
      </c>
      <c r="F6195" s="33" t="s">
        <v>32</v>
      </c>
      <c r="G6195" s="33" t="s">
        <v>50</v>
      </c>
      <c r="H6195" s="35">
        <v>60</v>
      </c>
      <c r="I6195" s="33" t="s">
        <v>51</v>
      </c>
      <c r="J6195" s="42">
        <v>44516</v>
      </c>
      <c r="K6195" s="33" t="s">
        <v>22</v>
      </c>
    </row>
    <row r="6196" spans="1:11">
      <c r="A6196" s="30" t="s">
        <v>14535</v>
      </c>
      <c r="B6196" s="30" t="s">
        <v>14536</v>
      </c>
      <c r="C6196" s="30" t="s">
        <v>1151</v>
      </c>
      <c r="D6196" s="30" t="s">
        <v>17</v>
      </c>
      <c r="E6196" s="30" t="s">
        <v>31</v>
      </c>
      <c r="F6196" s="30" t="s">
        <v>32</v>
      </c>
      <c r="G6196" s="30" t="s">
        <v>20</v>
      </c>
      <c r="H6196" s="32">
        <v>353</v>
      </c>
      <c r="I6196" s="30" t="s">
        <v>21</v>
      </c>
      <c r="J6196" s="41">
        <v>44467</v>
      </c>
      <c r="K6196" s="30" t="s">
        <v>22</v>
      </c>
    </row>
    <row r="6197" spans="1:11">
      <c r="A6197" s="33" t="s">
        <v>14537</v>
      </c>
      <c r="B6197" s="33" t="s">
        <v>14538</v>
      </c>
      <c r="C6197" s="33" t="s">
        <v>5214</v>
      </c>
      <c r="D6197" s="33" t="s">
        <v>17</v>
      </c>
      <c r="E6197" s="33" t="s">
        <v>212</v>
      </c>
      <c r="F6197" s="33" t="s">
        <v>213</v>
      </c>
      <c r="G6197" s="33" t="s">
        <v>50</v>
      </c>
      <c r="H6197" s="35">
        <v>90</v>
      </c>
      <c r="I6197" s="33" t="s">
        <v>51</v>
      </c>
      <c r="J6197" s="42">
        <v>44481</v>
      </c>
      <c r="K6197" s="33" t="s">
        <v>22</v>
      </c>
    </row>
    <row r="6198" spans="1:11">
      <c r="A6198" s="30" t="s">
        <v>14539</v>
      </c>
      <c r="B6198" s="30" t="s">
        <v>14540</v>
      </c>
      <c r="C6198" s="30" t="s">
        <v>310</v>
      </c>
      <c r="D6198" s="30" t="s">
        <v>17</v>
      </c>
      <c r="E6198" s="30" t="s">
        <v>31</v>
      </c>
      <c r="F6198" s="30" t="s">
        <v>32</v>
      </c>
      <c r="G6198" s="30" t="s">
        <v>20</v>
      </c>
      <c r="H6198" s="32">
        <v>120</v>
      </c>
      <c r="I6198" s="30" t="s">
        <v>21</v>
      </c>
      <c r="J6198" s="41">
        <v>44392</v>
      </c>
      <c r="K6198" s="30" t="s">
        <v>22</v>
      </c>
    </row>
    <row r="6199" spans="1:11">
      <c r="A6199" s="33" t="s">
        <v>14541</v>
      </c>
      <c r="B6199" s="33" t="s">
        <v>14542</v>
      </c>
      <c r="C6199" s="33" t="s">
        <v>130</v>
      </c>
      <c r="D6199" s="33" t="s">
        <v>17</v>
      </c>
      <c r="E6199" s="33" t="s">
        <v>31</v>
      </c>
      <c r="F6199" s="33" t="s">
        <v>32</v>
      </c>
      <c r="G6199" s="33" t="s">
        <v>106</v>
      </c>
      <c r="H6199" s="35">
        <v>16</v>
      </c>
      <c r="I6199" s="33" t="s">
        <v>21</v>
      </c>
      <c r="J6199" s="42">
        <v>44441</v>
      </c>
      <c r="K6199" s="33" t="s">
        <v>22</v>
      </c>
    </row>
    <row r="6200" spans="1:11">
      <c r="A6200" s="30" t="s">
        <v>14543</v>
      </c>
      <c r="B6200" s="30" t="s">
        <v>14544</v>
      </c>
      <c r="C6200" s="30" t="s">
        <v>175</v>
      </c>
      <c r="D6200" s="30" t="s">
        <v>17</v>
      </c>
      <c r="E6200" s="30" t="s">
        <v>18</v>
      </c>
      <c r="F6200" s="30" t="s">
        <v>19</v>
      </c>
      <c r="G6200" s="30" t="s">
        <v>69</v>
      </c>
      <c r="H6200" s="32">
        <v>675</v>
      </c>
      <c r="I6200" s="30" t="s">
        <v>51</v>
      </c>
      <c r="J6200" s="41">
        <v>44334</v>
      </c>
      <c r="K6200" s="30" t="s">
        <v>22</v>
      </c>
    </row>
    <row r="6201" spans="1:11">
      <c r="A6201" s="33" t="s">
        <v>14545</v>
      </c>
      <c r="B6201" s="33" t="s">
        <v>14546</v>
      </c>
      <c r="C6201" s="33" t="s">
        <v>1090</v>
      </c>
      <c r="D6201" s="33" t="s">
        <v>17</v>
      </c>
      <c r="E6201" s="33" t="s">
        <v>31</v>
      </c>
      <c r="F6201" s="33" t="s">
        <v>32</v>
      </c>
      <c r="G6201" s="33" t="s">
        <v>106</v>
      </c>
      <c r="H6201" s="35">
        <v>28</v>
      </c>
      <c r="I6201" s="33" t="s">
        <v>21</v>
      </c>
      <c r="J6201" s="42">
        <v>44358</v>
      </c>
      <c r="K6201" s="33" t="s">
        <v>22</v>
      </c>
    </row>
    <row r="6202" spans="1:11">
      <c r="A6202" s="30" t="s">
        <v>14547</v>
      </c>
      <c r="B6202" s="30" t="s">
        <v>14548</v>
      </c>
      <c r="C6202" s="30" t="s">
        <v>399</v>
      </c>
      <c r="D6202" s="30" t="s">
        <v>17</v>
      </c>
      <c r="E6202" s="30" t="s">
        <v>26</v>
      </c>
      <c r="F6202" s="30" t="s">
        <v>27</v>
      </c>
      <c r="G6202" s="30" t="s">
        <v>20</v>
      </c>
      <c r="H6202" s="32">
        <v>50</v>
      </c>
      <c r="I6202" s="30" t="s">
        <v>21</v>
      </c>
      <c r="J6202" s="41">
        <v>44264</v>
      </c>
      <c r="K6202" s="30" t="s">
        <v>22</v>
      </c>
    </row>
    <row r="6203" spans="1:11">
      <c r="A6203" s="33" t="s">
        <v>14549</v>
      </c>
      <c r="B6203" s="33" t="s">
        <v>14550</v>
      </c>
      <c r="C6203" s="33" t="s">
        <v>178</v>
      </c>
      <c r="D6203" s="33" t="s">
        <v>17</v>
      </c>
      <c r="E6203" s="33" t="s">
        <v>18</v>
      </c>
      <c r="F6203" s="33" t="s">
        <v>19</v>
      </c>
      <c r="G6203" s="33" t="s">
        <v>158</v>
      </c>
      <c r="H6203" s="35">
        <v>49</v>
      </c>
      <c r="I6203" s="33" t="s">
        <v>21</v>
      </c>
      <c r="J6203" s="42">
        <v>44531</v>
      </c>
      <c r="K6203" s="33" t="s">
        <v>22</v>
      </c>
    </row>
    <row r="6204" spans="1:11">
      <c r="A6204" s="30" t="s">
        <v>14551</v>
      </c>
      <c r="B6204" s="30" t="s">
        <v>14552</v>
      </c>
      <c r="C6204" s="30" t="s">
        <v>3971</v>
      </c>
      <c r="D6204" s="30" t="s">
        <v>17</v>
      </c>
      <c r="E6204" s="30" t="s">
        <v>26</v>
      </c>
      <c r="F6204" s="30" t="s">
        <v>27</v>
      </c>
      <c r="G6204" s="30" t="s">
        <v>20</v>
      </c>
      <c r="H6204" s="32">
        <v>48</v>
      </c>
      <c r="I6204" s="30" t="s">
        <v>21</v>
      </c>
      <c r="J6204" s="41">
        <v>44477</v>
      </c>
      <c r="K6204" s="30" t="s">
        <v>22</v>
      </c>
    </row>
    <row r="6205" spans="1:11">
      <c r="A6205" s="33" t="s">
        <v>14553</v>
      </c>
      <c r="B6205" s="33" t="s">
        <v>14554</v>
      </c>
      <c r="C6205" s="33" t="s">
        <v>1598</v>
      </c>
      <c r="D6205" s="33" t="s">
        <v>17</v>
      </c>
      <c r="E6205" s="33" t="s">
        <v>67</v>
      </c>
      <c r="F6205" s="33" t="s">
        <v>68</v>
      </c>
      <c r="G6205" s="33" t="s">
        <v>69</v>
      </c>
      <c r="H6205" s="35">
        <v>234</v>
      </c>
      <c r="I6205" s="33" t="s">
        <v>51</v>
      </c>
      <c r="J6205" s="42">
        <v>44518</v>
      </c>
      <c r="K6205" s="33" t="s">
        <v>22</v>
      </c>
    </row>
    <row r="6206" spans="1:11">
      <c r="A6206" s="30" t="s">
        <v>14555</v>
      </c>
      <c r="B6206" s="30" t="s">
        <v>14556</v>
      </c>
      <c r="C6206" s="30" t="s">
        <v>709</v>
      </c>
      <c r="D6206" s="30" t="s">
        <v>17</v>
      </c>
      <c r="E6206" s="30" t="s">
        <v>26</v>
      </c>
      <c r="F6206" s="30" t="s">
        <v>27</v>
      </c>
      <c r="G6206" s="30" t="s">
        <v>20</v>
      </c>
      <c r="H6206" s="32">
        <v>11</v>
      </c>
      <c r="I6206" s="30" t="s">
        <v>21</v>
      </c>
      <c r="J6206" s="41">
        <v>44389</v>
      </c>
      <c r="K6206" s="30" t="s">
        <v>22</v>
      </c>
    </row>
    <row r="6207" spans="1:11">
      <c r="A6207" s="33" t="s">
        <v>14557</v>
      </c>
      <c r="B6207" s="33" t="s">
        <v>14558</v>
      </c>
      <c r="C6207" s="33" t="s">
        <v>14559</v>
      </c>
      <c r="D6207" s="33" t="s">
        <v>17</v>
      </c>
      <c r="E6207" s="33" t="s">
        <v>67</v>
      </c>
      <c r="F6207" s="33" t="s">
        <v>68</v>
      </c>
      <c r="G6207" s="33" t="s">
        <v>106</v>
      </c>
      <c r="H6207" s="35">
        <v>3</v>
      </c>
      <c r="I6207" s="33" t="s">
        <v>21</v>
      </c>
      <c r="J6207" s="42">
        <v>44425</v>
      </c>
      <c r="K6207" s="33" t="s">
        <v>22</v>
      </c>
    </row>
    <row r="6208" spans="1:11">
      <c r="A6208" s="30" t="s">
        <v>14560</v>
      </c>
      <c r="B6208" s="30" t="s">
        <v>14561</v>
      </c>
      <c r="C6208" s="30" t="s">
        <v>329</v>
      </c>
      <c r="D6208" s="30" t="s">
        <v>17</v>
      </c>
      <c r="E6208" s="30" t="s">
        <v>67</v>
      </c>
      <c r="F6208" s="30" t="s">
        <v>68</v>
      </c>
      <c r="G6208" s="30" t="s">
        <v>20</v>
      </c>
      <c r="H6208" s="32">
        <v>840</v>
      </c>
      <c r="I6208" s="30" t="s">
        <v>21</v>
      </c>
      <c r="J6208" s="41">
        <v>44307</v>
      </c>
      <c r="K6208" s="30" t="s">
        <v>22</v>
      </c>
    </row>
    <row r="6209" spans="1:11">
      <c r="A6209" s="33" t="s">
        <v>14562</v>
      </c>
      <c r="B6209" s="33" t="s">
        <v>14563</v>
      </c>
      <c r="C6209" s="33" t="s">
        <v>102</v>
      </c>
      <c r="D6209" s="33" t="s">
        <v>17</v>
      </c>
      <c r="E6209" s="33" t="s">
        <v>18</v>
      </c>
      <c r="F6209" s="33" t="s">
        <v>19</v>
      </c>
      <c r="G6209" s="33" t="s">
        <v>20</v>
      </c>
      <c r="H6209" s="35">
        <v>101</v>
      </c>
      <c r="I6209" s="33" t="s">
        <v>21</v>
      </c>
      <c r="J6209" s="42">
        <v>44292</v>
      </c>
      <c r="K6209" s="33" t="s">
        <v>22</v>
      </c>
    </row>
    <row r="6210" spans="1:11">
      <c r="A6210" s="30" t="s">
        <v>14564</v>
      </c>
      <c r="B6210" s="30" t="s">
        <v>14565</v>
      </c>
      <c r="C6210" s="30" t="s">
        <v>11073</v>
      </c>
      <c r="D6210" s="30" t="s">
        <v>17</v>
      </c>
      <c r="E6210" s="30" t="s">
        <v>26</v>
      </c>
      <c r="F6210" s="30" t="s">
        <v>27</v>
      </c>
      <c r="G6210" s="30" t="s">
        <v>50</v>
      </c>
      <c r="H6210" s="32">
        <v>10</v>
      </c>
      <c r="I6210" s="30" t="s">
        <v>51</v>
      </c>
      <c r="J6210" s="41">
        <v>44349</v>
      </c>
      <c r="K6210" s="30" t="s">
        <v>22</v>
      </c>
    </row>
    <row r="6211" spans="1:11">
      <c r="A6211" s="33" t="s">
        <v>14566</v>
      </c>
      <c r="B6211" s="33" t="s">
        <v>14567</v>
      </c>
      <c r="C6211" s="33" t="s">
        <v>2562</v>
      </c>
      <c r="D6211" s="33" t="s">
        <v>17</v>
      </c>
      <c r="E6211" s="33" t="s">
        <v>31</v>
      </c>
      <c r="F6211" s="33" t="s">
        <v>32</v>
      </c>
      <c r="G6211" s="33" t="s">
        <v>20</v>
      </c>
      <c r="H6211" s="35">
        <v>127</v>
      </c>
      <c r="I6211" s="33" t="s">
        <v>21</v>
      </c>
      <c r="J6211" s="42">
        <v>44354</v>
      </c>
      <c r="K6211" s="33" t="s">
        <v>22</v>
      </c>
    </row>
    <row r="6212" spans="1:11">
      <c r="A6212" s="30" t="s">
        <v>14568</v>
      </c>
      <c r="B6212" s="30" t="s">
        <v>14569</v>
      </c>
      <c r="C6212" s="30" t="s">
        <v>1102</v>
      </c>
      <c r="D6212" s="30" t="s">
        <v>17</v>
      </c>
      <c r="E6212" s="30" t="s">
        <v>26</v>
      </c>
      <c r="F6212" s="30" t="s">
        <v>27</v>
      </c>
      <c r="G6212" s="30" t="s">
        <v>20</v>
      </c>
      <c r="H6212" s="32">
        <v>16</v>
      </c>
      <c r="I6212" s="30" t="s">
        <v>21</v>
      </c>
      <c r="J6212" s="41">
        <v>44239</v>
      </c>
      <c r="K6212" s="30" t="s">
        <v>22</v>
      </c>
    </row>
    <row r="6213" spans="1:11">
      <c r="A6213" s="33" t="s">
        <v>14570</v>
      </c>
      <c r="B6213" s="33" t="s">
        <v>14571</v>
      </c>
      <c r="C6213" s="33" t="s">
        <v>14572</v>
      </c>
      <c r="D6213" s="33" t="s">
        <v>17</v>
      </c>
      <c r="E6213" s="33" t="s">
        <v>31</v>
      </c>
      <c r="F6213" s="33" t="s">
        <v>32</v>
      </c>
      <c r="G6213" s="33" t="s">
        <v>106</v>
      </c>
      <c r="H6213" s="35">
        <v>7</v>
      </c>
      <c r="I6213" s="33" t="s">
        <v>21</v>
      </c>
      <c r="J6213" s="42">
        <v>44363</v>
      </c>
      <c r="K6213" s="33" t="s">
        <v>22</v>
      </c>
    </row>
    <row r="6214" spans="1:11">
      <c r="A6214" s="30" t="s">
        <v>14573</v>
      </c>
      <c r="B6214" s="30" t="s">
        <v>14574</v>
      </c>
      <c r="C6214" s="30" t="s">
        <v>4751</v>
      </c>
      <c r="D6214" s="30" t="s">
        <v>17</v>
      </c>
      <c r="E6214" s="30" t="s">
        <v>31</v>
      </c>
      <c r="F6214" s="30" t="s">
        <v>32</v>
      </c>
      <c r="G6214" s="30" t="s">
        <v>69</v>
      </c>
      <c r="H6214" s="32">
        <v>240</v>
      </c>
      <c r="I6214" s="30" t="s">
        <v>51</v>
      </c>
      <c r="J6214" s="41">
        <v>44515</v>
      </c>
      <c r="K6214" s="30" t="s">
        <v>22</v>
      </c>
    </row>
    <row r="6215" spans="1:11">
      <c r="A6215" s="33" t="s">
        <v>14575</v>
      </c>
      <c r="B6215" s="33" t="s">
        <v>14576</v>
      </c>
      <c r="C6215" s="33" t="s">
        <v>14577</v>
      </c>
      <c r="D6215" s="33" t="s">
        <v>17</v>
      </c>
      <c r="E6215" s="33" t="s">
        <v>18</v>
      </c>
      <c r="F6215" s="33" t="s">
        <v>19</v>
      </c>
      <c r="G6215" s="33" t="s">
        <v>20</v>
      </c>
      <c r="H6215" s="35">
        <v>473</v>
      </c>
      <c r="I6215" s="33" t="s">
        <v>21</v>
      </c>
      <c r="J6215" s="42">
        <v>44460</v>
      </c>
      <c r="K6215" s="33" t="s">
        <v>22</v>
      </c>
    </row>
    <row r="6216" spans="1:11">
      <c r="A6216" s="30" t="s">
        <v>14578</v>
      </c>
      <c r="B6216" s="30" t="s">
        <v>14579</v>
      </c>
      <c r="C6216" s="30" t="s">
        <v>14580</v>
      </c>
      <c r="D6216" s="30" t="s">
        <v>17</v>
      </c>
      <c r="E6216" s="30" t="s">
        <v>26</v>
      </c>
      <c r="F6216" s="30" t="s">
        <v>27</v>
      </c>
      <c r="G6216" s="30" t="s">
        <v>50</v>
      </c>
      <c r="H6216" s="32">
        <v>177</v>
      </c>
      <c r="I6216" s="30" t="s">
        <v>51</v>
      </c>
      <c r="J6216" s="41">
        <v>44528</v>
      </c>
      <c r="K6216" s="30" t="s">
        <v>22</v>
      </c>
    </row>
    <row r="6217" spans="1:11">
      <c r="A6217" s="33" t="s">
        <v>14581</v>
      </c>
      <c r="B6217" s="33" t="s">
        <v>14582</v>
      </c>
      <c r="C6217" s="33" t="s">
        <v>12112</v>
      </c>
      <c r="D6217" s="33" t="s">
        <v>17</v>
      </c>
      <c r="E6217" s="33" t="s">
        <v>26</v>
      </c>
      <c r="F6217" s="33" t="s">
        <v>27</v>
      </c>
      <c r="G6217" s="33" t="s">
        <v>50</v>
      </c>
      <c r="H6217" s="35">
        <v>44</v>
      </c>
      <c r="I6217" s="33" t="s">
        <v>21</v>
      </c>
      <c r="J6217" s="42">
        <v>44445</v>
      </c>
      <c r="K6217" s="33" t="s">
        <v>22</v>
      </c>
    </row>
    <row r="6218" spans="1:11">
      <c r="A6218" s="30" t="s">
        <v>14583</v>
      </c>
      <c r="B6218" s="30" t="s">
        <v>14584</v>
      </c>
      <c r="C6218" s="30" t="s">
        <v>3655</v>
      </c>
      <c r="D6218" s="30" t="s">
        <v>17</v>
      </c>
      <c r="E6218" s="30" t="s">
        <v>18</v>
      </c>
      <c r="F6218" s="30" t="s">
        <v>19</v>
      </c>
      <c r="G6218" s="30" t="s">
        <v>20</v>
      </c>
      <c r="H6218" s="32">
        <v>11837</v>
      </c>
      <c r="I6218" s="30" t="s">
        <v>21</v>
      </c>
      <c r="J6218" s="41">
        <v>44279</v>
      </c>
      <c r="K6218" s="30" t="s">
        <v>22</v>
      </c>
    </row>
    <row r="6219" spans="1:11">
      <c r="A6219" s="33" t="s">
        <v>14585</v>
      </c>
      <c r="B6219" s="33" t="s">
        <v>14586</v>
      </c>
      <c r="C6219" s="33" t="s">
        <v>12446</v>
      </c>
      <c r="D6219" s="33" t="s">
        <v>17</v>
      </c>
      <c r="E6219" s="33" t="s">
        <v>67</v>
      </c>
      <c r="F6219" s="33" t="s">
        <v>68</v>
      </c>
      <c r="G6219" s="33" t="s">
        <v>106</v>
      </c>
      <c r="H6219" s="35">
        <v>34</v>
      </c>
      <c r="I6219" s="33" t="s">
        <v>21</v>
      </c>
      <c r="J6219" s="42">
        <v>44405</v>
      </c>
      <c r="K6219" s="33" t="s">
        <v>22</v>
      </c>
    </row>
    <row r="6220" spans="1:11">
      <c r="A6220" s="30" t="s">
        <v>14587</v>
      </c>
      <c r="B6220" s="30" t="s">
        <v>14588</v>
      </c>
      <c r="C6220" s="30" t="s">
        <v>2472</v>
      </c>
      <c r="D6220" s="30" t="s">
        <v>17</v>
      </c>
      <c r="E6220" s="30" t="s">
        <v>45</v>
      </c>
      <c r="F6220" s="30" t="s">
        <v>46</v>
      </c>
      <c r="G6220" s="30" t="s">
        <v>20</v>
      </c>
      <c r="H6220" s="32">
        <v>36814</v>
      </c>
      <c r="I6220" s="30" t="s">
        <v>21</v>
      </c>
      <c r="J6220" s="41">
        <v>44517</v>
      </c>
      <c r="K6220" s="30" t="s">
        <v>22</v>
      </c>
    </row>
    <row r="6221" spans="1:11">
      <c r="A6221" s="33" t="s">
        <v>14589</v>
      </c>
      <c r="B6221" s="33" t="s">
        <v>14590</v>
      </c>
      <c r="C6221" s="33" t="s">
        <v>379</v>
      </c>
      <c r="D6221" s="33" t="s">
        <v>17</v>
      </c>
      <c r="E6221" s="33" t="s">
        <v>31</v>
      </c>
      <c r="F6221" s="33" t="s">
        <v>32</v>
      </c>
      <c r="G6221" s="33" t="s">
        <v>50</v>
      </c>
      <c r="H6221" s="35">
        <v>20</v>
      </c>
      <c r="I6221" s="33" t="s">
        <v>51</v>
      </c>
      <c r="J6221" s="42">
        <v>44515</v>
      </c>
      <c r="K6221" s="33" t="s">
        <v>22</v>
      </c>
    </row>
    <row r="6222" spans="1:11">
      <c r="A6222" s="30" t="s">
        <v>14591</v>
      </c>
      <c r="B6222" s="30" t="s">
        <v>14592</v>
      </c>
      <c r="C6222" s="30" t="s">
        <v>5158</v>
      </c>
      <c r="D6222" s="30" t="s">
        <v>17</v>
      </c>
      <c r="E6222" s="30" t="s">
        <v>18</v>
      </c>
      <c r="F6222" s="30" t="s">
        <v>19</v>
      </c>
      <c r="G6222" s="30" t="s">
        <v>20</v>
      </c>
      <c r="H6222" s="32">
        <v>169</v>
      </c>
      <c r="I6222" s="30" t="s">
        <v>21</v>
      </c>
      <c r="J6222" s="41">
        <v>44270</v>
      </c>
      <c r="K6222" s="30" t="s">
        <v>22</v>
      </c>
    </row>
    <row r="6223" spans="1:11">
      <c r="A6223" s="33" t="s">
        <v>14593</v>
      </c>
      <c r="B6223" s="33" t="s">
        <v>14594</v>
      </c>
      <c r="C6223" s="33" t="s">
        <v>318</v>
      </c>
      <c r="D6223" s="33" t="s">
        <v>17</v>
      </c>
      <c r="E6223" s="33" t="s">
        <v>26</v>
      </c>
      <c r="F6223" s="33" t="s">
        <v>27</v>
      </c>
      <c r="G6223" s="33" t="s">
        <v>20</v>
      </c>
      <c r="H6223" s="35">
        <v>47</v>
      </c>
      <c r="I6223" s="33" t="s">
        <v>21</v>
      </c>
      <c r="J6223" s="42">
        <v>44340</v>
      </c>
      <c r="K6223" s="33" t="s">
        <v>22</v>
      </c>
    </row>
    <row r="6224" spans="1:11">
      <c r="A6224" s="30" t="s">
        <v>14595</v>
      </c>
      <c r="B6224" s="30" t="s">
        <v>14596</v>
      </c>
      <c r="C6224" s="30" t="s">
        <v>14597</v>
      </c>
      <c r="D6224" s="30" t="s">
        <v>17</v>
      </c>
      <c r="E6224" s="30" t="s">
        <v>18</v>
      </c>
      <c r="F6224" s="30" t="s">
        <v>19</v>
      </c>
      <c r="G6224" s="30" t="s">
        <v>106</v>
      </c>
      <c r="H6224" s="32">
        <v>3</v>
      </c>
      <c r="I6224" s="30" t="s">
        <v>21</v>
      </c>
      <c r="J6224" s="41">
        <v>44459</v>
      </c>
      <c r="K6224" s="30" t="s">
        <v>22</v>
      </c>
    </row>
    <row r="6225" spans="1:11">
      <c r="A6225" s="33" t="s">
        <v>14598</v>
      </c>
      <c r="B6225" s="33" t="s">
        <v>14599</v>
      </c>
      <c r="C6225" s="33" t="s">
        <v>11001</v>
      </c>
      <c r="D6225" s="33" t="s">
        <v>17</v>
      </c>
      <c r="E6225" s="33" t="s">
        <v>31</v>
      </c>
      <c r="F6225" s="33" t="s">
        <v>32</v>
      </c>
      <c r="G6225" s="33" t="s">
        <v>50</v>
      </c>
      <c r="H6225" s="35">
        <v>150</v>
      </c>
      <c r="I6225" s="33" t="s">
        <v>21</v>
      </c>
      <c r="J6225" s="42">
        <v>44510</v>
      </c>
      <c r="K6225" s="33" t="s">
        <v>22</v>
      </c>
    </row>
    <row r="6226" spans="1:11">
      <c r="A6226" s="30" t="s">
        <v>14600</v>
      </c>
      <c r="B6226" s="30" t="s">
        <v>14601</v>
      </c>
      <c r="C6226" s="30" t="s">
        <v>1598</v>
      </c>
      <c r="D6226" s="30" t="s">
        <v>17</v>
      </c>
      <c r="E6226" s="30" t="s">
        <v>31</v>
      </c>
      <c r="F6226" s="30" t="s">
        <v>32</v>
      </c>
      <c r="G6226" s="30" t="s">
        <v>20</v>
      </c>
      <c r="H6226" s="32">
        <v>231</v>
      </c>
      <c r="I6226" s="30" t="s">
        <v>21</v>
      </c>
      <c r="J6226" s="41">
        <v>44314</v>
      </c>
      <c r="K6226" s="30" t="s">
        <v>22</v>
      </c>
    </row>
    <row r="6227" spans="1:11">
      <c r="A6227" s="33" t="s">
        <v>14602</v>
      </c>
      <c r="B6227" s="33" t="s">
        <v>14603</v>
      </c>
      <c r="C6227" s="33" t="s">
        <v>14604</v>
      </c>
      <c r="D6227" s="33" t="s">
        <v>17</v>
      </c>
      <c r="E6227" s="33" t="s">
        <v>26</v>
      </c>
      <c r="F6227" s="33" t="s">
        <v>27</v>
      </c>
      <c r="G6227" s="33" t="s">
        <v>20</v>
      </c>
      <c r="H6227" s="35">
        <v>120</v>
      </c>
      <c r="I6227" s="33" t="s">
        <v>21</v>
      </c>
      <c r="J6227" s="42">
        <v>44265</v>
      </c>
      <c r="K6227" s="33" t="s">
        <v>22</v>
      </c>
    </row>
    <row r="6228" spans="1:11">
      <c r="A6228" s="30" t="s">
        <v>14605</v>
      </c>
      <c r="B6228" s="30" t="s">
        <v>14606</v>
      </c>
      <c r="C6228" s="30" t="s">
        <v>75</v>
      </c>
      <c r="D6228" s="30" t="s">
        <v>17</v>
      </c>
      <c r="E6228" s="30" t="s">
        <v>67</v>
      </c>
      <c r="F6228" s="30" t="s">
        <v>68</v>
      </c>
      <c r="G6228" s="30" t="s">
        <v>140</v>
      </c>
      <c r="H6228" s="32">
        <v>1109</v>
      </c>
      <c r="I6228" s="30" t="s">
        <v>51</v>
      </c>
      <c r="J6228" s="41">
        <v>44343</v>
      </c>
      <c r="K6228" s="30" t="s">
        <v>22</v>
      </c>
    </row>
    <row r="6229" spans="1:11">
      <c r="A6229" s="33" t="s">
        <v>14607</v>
      </c>
      <c r="B6229" s="33" t="s">
        <v>14608</v>
      </c>
      <c r="C6229" s="33" t="s">
        <v>14609</v>
      </c>
      <c r="D6229" s="33" t="s">
        <v>17</v>
      </c>
      <c r="E6229" s="33" t="s">
        <v>31</v>
      </c>
      <c r="F6229" s="33" t="s">
        <v>32</v>
      </c>
      <c r="G6229" s="33" t="s">
        <v>50</v>
      </c>
      <c r="H6229" s="35">
        <v>600</v>
      </c>
      <c r="I6229" s="33" t="s">
        <v>51</v>
      </c>
      <c r="J6229" s="42">
        <v>44561</v>
      </c>
      <c r="K6229" s="33" t="s">
        <v>22</v>
      </c>
    </row>
    <row r="6230" spans="1:11">
      <c r="A6230" s="30" t="s">
        <v>14610</v>
      </c>
      <c r="B6230" s="30" t="s">
        <v>14611</v>
      </c>
      <c r="C6230" s="30" t="s">
        <v>1090</v>
      </c>
      <c r="D6230" s="30" t="s">
        <v>17</v>
      </c>
      <c r="E6230" s="30" t="s">
        <v>31</v>
      </c>
      <c r="F6230" s="30" t="s">
        <v>32</v>
      </c>
      <c r="G6230" s="30" t="s">
        <v>50</v>
      </c>
      <c r="H6230" s="32">
        <v>104</v>
      </c>
      <c r="I6230" s="30" t="s">
        <v>51</v>
      </c>
      <c r="J6230" s="41">
        <v>44378</v>
      </c>
      <c r="K6230" s="30" t="s">
        <v>22</v>
      </c>
    </row>
    <row r="6231" spans="1:11">
      <c r="A6231" s="33" t="s">
        <v>14612</v>
      </c>
      <c r="B6231" s="33" t="s">
        <v>14613</v>
      </c>
      <c r="C6231" s="33" t="s">
        <v>102</v>
      </c>
      <c r="D6231" s="33" t="s">
        <v>17</v>
      </c>
      <c r="E6231" s="33" t="s">
        <v>31</v>
      </c>
      <c r="F6231" s="33" t="s">
        <v>32</v>
      </c>
      <c r="G6231" s="33" t="s">
        <v>20</v>
      </c>
      <c r="H6231" s="35">
        <v>48</v>
      </c>
      <c r="I6231" s="33" t="s">
        <v>21</v>
      </c>
      <c r="J6231" s="42">
        <v>44228</v>
      </c>
      <c r="K6231" s="33" t="s">
        <v>22</v>
      </c>
    </row>
    <row r="6232" spans="1:11">
      <c r="A6232" s="30" t="s">
        <v>14614</v>
      </c>
      <c r="B6232" s="30" t="s">
        <v>14615</v>
      </c>
      <c r="C6232" s="30" t="s">
        <v>109</v>
      </c>
      <c r="D6232" s="30" t="s">
        <v>17</v>
      </c>
      <c r="E6232" s="30" t="s">
        <v>31</v>
      </c>
      <c r="F6232" s="30" t="s">
        <v>32</v>
      </c>
      <c r="G6232" s="30" t="s">
        <v>106</v>
      </c>
      <c r="H6232" s="32">
        <v>30</v>
      </c>
      <c r="I6232" s="30" t="s">
        <v>21</v>
      </c>
      <c r="J6232" s="41">
        <v>44530</v>
      </c>
      <c r="K6232" s="30" t="s">
        <v>22</v>
      </c>
    </row>
    <row r="6233" spans="1:11">
      <c r="A6233" s="33" t="s">
        <v>14616</v>
      </c>
      <c r="B6233" s="33" t="s">
        <v>14617</v>
      </c>
      <c r="C6233" s="33" t="s">
        <v>6017</v>
      </c>
      <c r="D6233" s="33" t="s">
        <v>17</v>
      </c>
      <c r="E6233" s="33" t="s">
        <v>18</v>
      </c>
      <c r="F6233" s="33" t="s">
        <v>19</v>
      </c>
      <c r="G6233" s="33" t="s">
        <v>20</v>
      </c>
      <c r="H6233" s="35">
        <v>478</v>
      </c>
      <c r="I6233" s="33" t="s">
        <v>21</v>
      </c>
      <c r="J6233" s="42">
        <v>44308</v>
      </c>
      <c r="K6233" s="33" t="s">
        <v>22</v>
      </c>
    </row>
    <row r="6234" spans="1:11">
      <c r="A6234" s="30" t="s">
        <v>14618</v>
      </c>
      <c r="B6234" s="30" t="s">
        <v>14619</v>
      </c>
      <c r="C6234" s="30" t="s">
        <v>10616</v>
      </c>
      <c r="D6234" s="30" t="s">
        <v>17</v>
      </c>
      <c r="E6234" s="30" t="s">
        <v>18</v>
      </c>
      <c r="F6234" s="30" t="s">
        <v>19</v>
      </c>
      <c r="G6234" s="30" t="s">
        <v>20</v>
      </c>
      <c r="H6234" s="32">
        <v>300</v>
      </c>
      <c r="I6234" s="30" t="s">
        <v>21</v>
      </c>
      <c r="J6234" s="41">
        <v>44545</v>
      </c>
      <c r="K6234" s="30" t="s">
        <v>22</v>
      </c>
    </row>
    <row r="6235" spans="1:11">
      <c r="A6235" s="33" t="s">
        <v>14620</v>
      </c>
      <c r="B6235" s="33" t="s">
        <v>14621</v>
      </c>
      <c r="C6235" s="33" t="s">
        <v>157</v>
      </c>
      <c r="D6235" s="33" t="s">
        <v>17</v>
      </c>
      <c r="E6235" s="33" t="s">
        <v>26</v>
      </c>
      <c r="F6235" s="33" t="s">
        <v>27</v>
      </c>
      <c r="G6235" s="33" t="s">
        <v>20</v>
      </c>
      <c r="H6235" s="35">
        <v>28</v>
      </c>
      <c r="I6235" s="33" t="s">
        <v>21</v>
      </c>
      <c r="J6235" s="42">
        <v>44483</v>
      </c>
      <c r="K6235" s="33" t="s">
        <v>22</v>
      </c>
    </row>
    <row r="6236" spans="1:11">
      <c r="A6236" s="30" t="s">
        <v>14622</v>
      </c>
      <c r="B6236" s="30" t="s">
        <v>14623</v>
      </c>
      <c r="C6236" s="30" t="s">
        <v>93</v>
      </c>
      <c r="D6236" s="30" t="s">
        <v>17</v>
      </c>
      <c r="E6236" s="30" t="s">
        <v>18</v>
      </c>
      <c r="F6236" s="30" t="s">
        <v>19</v>
      </c>
      <c r="G6236" s="30" t="s">
        <v>20</v>
      </c>
      <c r="H6236" s="32">
        <v>286</v>
      </c>
      <c r="I6236" s="30" t="s">
        <v>21</v>
      </c>
      <c r="J6236" s="41">
        <v>44432</v>
      </c>
      <c r="K6236" s="30" t="s">
        <v>22</v>
      </c>
    </row>
    <row r="6237" spans="1:11">
      <c r="A6237" s="33" t="s">
        <v>14624</v>
      </c>
      <c r="B6237" s="33" t="s">
        <v>14625</v>
      </c>
      <c r="C6237" s="33" t="s">
        <v>936</v>
      </c>
      <c r="D6237" s="33" t="s">
        <v>17</v>
      </c>
      <c r="E6237" s="33" t="s">
        <v>18</v>
      </c>
      <c r="F6237" s="33" t="s">
        <v>19</v>
      </c>
      <c r="G6237" s="33" t="s">
        <v>106</v>
      </c>
      <c r="H6237" s="35">
        <v>3</v>
      </c>
      <c r="I6237" s="33" t="s">
        <v>21</v>
      </c>
      <c r="J6237" s="42">
        <v>44335</v>
      </c>
      <c r="K6237" s="33" t="s">
        <v>22</v>
      </c>
    </row>
    <row r="6238" spans="1:11">
      <c r="A6238" s="30" t="s">
        <v>14626</v>
      </c>
      <c r="B6238" s="30" t="s">
        <v>14627</v>
      </c>
      <c r="C6238" s="30" t="s">
        <v>136</v>
      </c>
      <c r="D6238" s="30" t="s">
        <v>17</v>
      </c>
      <c r="E6238" s="30" t="s">
        <v>26</v>
      </c>
      <c r="F6238" s="30" t="s">
        <v>27</v>
      </c>
      <c r="G6238" s="30" t="s">
        <v>20</v>
      </c>
      <c r="H6238" s="32">
        <v>60</v>
      </c>
      <c r="I6238" s="30" t="s">
        <v>21</v>
      </c>
      <c r="J6238" s="41">
        <v>44480</v>
      </c>
      <c r="K6238" s="30" t="s">
        <v>22</v>
      </c>
    </row>
    <row r="6239" spans="1:11">
      <c r="A6239" s="33" t="s">
        <v>14628</v>
      </c>
      <c r="B6239" s="33" t="s">
        <v>14629</v>
      </c>
      <c r="C6239" s="33" t="s">
        <v>1908</v>
      </c>
      <c r="D6239" s="33" t="s">
        <v>17</v>
      </c>
      <c r="E6239" s="33" t="s">
        <v>26</v>
      </c>
      <c r="F6239" s="33" t="s">
        <v>27</v>
      </c>
      <c r="G6239" s="33" t="s">
        <v>20</v>
      </c>
      <c r="H6239" s="35">
        <v>12</v>
      </c>
      <c r="I6239" s="33" t="s">
        <v>21</v>
      </c>
      <c r="J6239" s="42">
        <v>44560</v>
      </c>
      <c r="K6239" s="33" t="s">
        <v>22</v>
      </c>
    </row>
    <row r="6240" spans="1:11">
      <c r="A6240" s="30" t="s">
        <v>14630</v>
      </c>
      <c r="B6240" s="30" t="s">
        <v>14631</v>
      </c>
      <c r="C6240" s="30" t="s">
        <v>3927</v>
      </c>
      <c r="D6240" s="30" t="s">
        <v>17</v>
      </c>
      <c r="E6240" s="30" t="s">
        <v>26</v>
      </c>
      <c r="F6240" s="30" t="s">
        <v>27</v>
      </c>
      <c r="G6240" s="30" t="s">
        <v>50</v>
      </c>
      <c r="H6240" s="32">
        <v>27</v>
      </c>
      <c r="I6240" s="30" t="s">
        <v>51</v>
      </c>
      <c r="J6240" s="41">
        <v>44197</v>
      </c>
      <c r="K6240" s="30" t="s">
        <v>22</v>
      </c>
    </row>
    <row r="6241" spans="1:11">
      <c r="A6241" s="33" t="s">
        <v>14632</v>
      </c>
      <c r="B6241" s="33" t="s">
        <v>14633</v>
      </c>
      <c r="C6241" s="33" t="s">
        <v>14634</v>
      </c>
      <c r="D6241" s="33" t="s">
        <v>17</v>
      </c>
      <c r="E6241" s="33" t="s">
        <v>31</v>
      </c>
      <c r="F6241" s="33" t="s">
        <v>32</v>
      </c>
      <c r="G6241" s="33" t="s">
        <v>20</v>
      </c>
      <c r="H6241" s="35">
        <v>50</v>
      </c>
      <c r="I6241" s="33" t="s">
        <v>21</v>
      </c>
      <c r="J6241" s="42">
        <v>44259</v>
      </c>
      <c r="K6241" s="33" t="s">
        <v>22</v>
      </c>
    </row>
    <row r="6242" spans="1:11">
      <c r="A6242" s="30" t="s">
        <v>14635</v>
      </c>
      <c r="B6242" s="30" t="s">
        <v>14636</v>
      </c>
      <c r="C6242" s="30" t="s">
        <v>14637</v>
      </c>
      <c r="D6242" s="30" t="s">
        <v>17</v>
      </c>
      <c r="E6242" s="30" t="s">
        <v>67</v>
      </c>
      <c r="F6242" s="30" t="s">
        <v>68</v>
      </c>
      <c r="G6242" s="30" t="s">
        <v>20</v>
      </c>
      <c r="H6242" s="32">
        <v>283</v>
      </c>
      <c r="I6242" s="30" t="s">
        <v>21</v>
      </c>
      <c r="J6242" s="41">
        <v>44440</v>
      </c>
      <c r="K6242" s="30" t="s">
        <v>22</v>
      </c>
    </row>
    <row r="6243" spans="1:11">
      <c r="A6243" s="33" t="s">
        <v>14638</v>
      </c>
      <c r="B6243" s="33" t="s">
        <v>14639</v>
      </c>
      <c r="C6243" s="33" t="s">
        <v>14640</v>
      </c>
      <c r="D6243" s="33" t="s">
        <v>17</v>
      </c>
      <c r="E6243" s="33" t="s">
        <v>26</v>
      </c>
      <c r="F6243" s="33" t="s">
        <v>27</v>
      </c>
      <c r="G6243" s="33" t="s">
        <v>20</v>
      </c>
      <c r="H6243" s="35">
        <v>68</v>
      </c>
      <c r="I6243" s="33" t="s">
        <v>21</v>
      </c>
      <c r="J6243" s="42">
        <v>44447</v>
      </c>
      <c r="K6243" s="33" t="s">
        <v>22</v>
      </c>
    </row>
    <row r="6244" spans="1:11">
      <c r="A6244" s="30" t="s">
        <v>14641</v>
      </c>
      <c r="B6244" s="30" t="s">
        <v>14642</v>
      </c>
      <c r="C6244" s="30" t="s">
        <v>14643</v>
      </c>
      <c r="D6244" s="30" t="s">
        <v>17</v>
      </c>
      <c r="E6244" s="30" t="s">
        <v>26</v>
      </c>
      <c r="F6244" s="30" t="s">
        <v>27</v>
      </c>
      <c r="G6244" s="30" t="s">
        <v>140</v>
      </c>
      <c r="H6244" s="32">
        <v>58</v>
      </c>
      <c r="I6244" s="30" t="s">
        <v>51</v>
      </c>
      <c r="J6244" s="41">
        <v>44200</v>
      </c>
      <c r="K6244" s="30" t="s">
        <v>22</v>
      </c>
    </row>
    <row r="6245" spans="1:11">
      <c r="A6245" s="33" t="s">
        <v>14644</v>
      </c>
      <c r="B6245" s="33" t="s">
        <v>14645</v>
      </c>
      <c r="C6245" s="33" t="s">
        <v>14646</v>
      </c>
      <c r="D6245" s="33" t="s">
        <v>17</v>
      </c>
      <c r="E6245" s="33" t="s">
        <v>26</v>
      </c>
      <c r="F6245" s="33" t="s">
        <v>27</v>
      </c>
      <c r="G6245" s="33" t="s">
        <v>20</v>
      </c>
      <c r="H6245" s="35">
        <v>24</v>
      </c>
      <c r="I6245" s="33" t="s">
        <v>21</v>
      </c>
      <c r="J6245" s="42">
        <v>44462</v>
      </c>
      <c r="K6245" s="33" t="s">
        <v>22</v>
      </c>
    </row>
    <row r="6246" spans="1:11">
      <c r="A6246" s="30" t="s">
        <v>14647</v>
      </c>
      <c r="B6246" s="30" t="s">
        <v>14648</v>
      </c>
      <c r="C6246" s="30" t="s">
        <v>9938</v>
      </c>
      <c r="D6246" s="30" t="s">
        <v>17</v>
      </c>
      <c r="E6246" s="30" t="s">
        <v>31</v>
      </c>
      <c r="F6246" s="30" t="s">
        <v>32</v>
      </c>
      <c r="G6246" s="30" t="s">
        <v>50</v>
      </c>
      <c r="H6246" s="32">
        <v>20</v>
      </c>
      <c r="I6246" s="30" t="s">
        <v>51</v>
      </c>
      <c r="J6246" s="41">
        <v>44378</v>
      </c>
      <c r="K6246" s="30" t="s">
        <v>22</v>
      </c>
    </row>
    <row r="6247" spans="1:11">
      <c r="A6247" s="33" t="s">
        <v>14649</v>
      </c>
      <c r="B6247" s="33" t="s">
        <v>14650</v>
      </c>
      <c r="C6247" s="33" t="s">
        <v>109</v>
      </c>
      <c r="D6247" s="33" t="s">
        <v>17</v>
      </c>
      <c r="E6247" s="33" t="s">
        <v>18</v>
      </c>
      <c r="F6247" s="33" t="s">
        <v>19</v>
      </c>
      <c r="G6247" s="33" t="s">
        <v>106</v>
      </c>
      <c r="H6247" s="35">
        <v>6</v>
      </c>
      <c r="I6247" s="33" t="s">
        <v>21</v>
      </c>
      <c r="J6247" s="42">
        <v>44461</v>
      </c>
      <c r="K6247" s="33" t="s">
        <v>22</v>
      </c>
    </row>
    <row r="6248" spans="1:11">
      <c r="A6248" s="30" t="s">
        <v>14651</v>
      </c>
      <c r="B6248" s="30" t="s">
        <v>14652</v>
      </c>
      <c r="C6248" s="30" t="s">
        <v>6379</v>
      </c>
      <c r="D6248" s="30" t="s">
        <v>17</v>
      </c>
      <c r="E6248" s="30" t="s">
        <v>31</v>
      </c>
      <c r="F6248" s="30" t="s">
        <v>32</v>
      </c>
      <c r="G6248" s="30" t="s">
        <v>20</v>
      </c>
      <c r="H6248" s="32">
        <v>31</v>
      </c>
      <c r="I6248" s="30" t="s">
        <v>21</v>
      </c>
      <c r="J6248" s="41">
        <v>44306</v>
      </c>
      <c r="K6248" s="30" t="s">
        <v>22</v>
      </c>
    </row>
    <row r="6249" spans="1:11">
      <c r="A6249" s="33" t="s">
        <v>14653</v>
      </c>
      <c r="B6249" s="33" t="s">
        <v>14654</v>
      </c>
      <c r="C6249" s="33" t="s">
        <v>7916</v>
      </c>
      <c r="D6249" s="33" t="s">
        <v>17</v>
      </c>
      <c r="E6249" s="33" t="s">
        <v>67</v>
      </c>
      <c r="F6249" s="33" t="s">
        <v>68</v>
      </c>
      <c r="G6249" s="33" t="s">
        <v>50</v>
      </c>
      <c r="H6249" s="35">
        <v>161</v>
      </c>
      <c r="I6249" s="33" t="s">
        <v>51</v>
      </c>
      <c r="J6249" s="42">
        <v>44523</v>
      </c>
      <c r="K6249" s="33" t="s">
        <v>22</v>
      </c>
    </row>
    <row r="6250" spans="1:11">
      <c r="A6250" s="30" t="s">
        <v>14655</v>
      </c>
      <c r="B6250" s="30" t="s">
        <v>14656</v>
      </c>
      <c r="C6250" s="30" t="s">
        <v>13241</v>
      </c>
      <c r="D6250" s="30" t="s">
        <v>17</v>
      </c>
      <c r="E6250" s="30" t="s">
        <v>26</v>
      </c>
      <c r="F6250" s="30" t="s">
        <v>27</v>
      </c>
      <c r="G6250" s="30" t="s">
        <v>20</v>
      </c>
      <c r="H6250" s="32">
        <v>52</v>
      </c>
      <c r="I6250" s="30" t="s">
        <v>21</v>
      </c>
      <c r="J6250" s="41">
        <v>44256</v>
      </c>
      <c r="K6250" s="30" t="s">
        <v>22</v>
      </c>
    </row>
    <row r="6251" spans="1:11">
      <c r="A6251" s="33" t="s">
        <v>14657</v>
      </c>
      <c r="B6251" s="33" t="s">
        <v>14658</v>
      </c>
      <c r="C6251" s="33" t="s">
        <v>7736</v>
      </c>
      <c r="D6251" s="33" t="s">
        <v>17</v>
      </c>
      <c r="E6251" s="33" t="s">
        <v>26</v>
      </c>
      <c r="F6251" s="33" t="s">
        <v>27</v>
      </c>
      <c r="G6251" s="33" t="s">
        <v>20</v>
      </c>
      <c r="H6251" s="35">
        <v>40</v>
      </c>
      <c r="I6251" s="33" t="s">
        <v>21</v>
      </c>
      <c r="J6251" s="42">
        <v>44242</v>
      </c>
      <c r="K6251" s="33" t="s">
        <v>22</v>
      </c>
    </row>
    <row r="6252" spans="1:11">
      <c r="A6252" s="30" t="s">
        <v>14659</v>
      </c>
      <c r="B6252" s="30" t="s">
        <v>14660</v>
      </c>
      <c r="C6252" s="30" t="s">
        <v>14661</v>
      </c>
      <c r="D6252" s="30" t="s">
        <v>17</v>
      </c>
      <c r="E6252" s="30" t="s">
        <v>26</v>
      </c>
      <c r="F6252" s="30" t="s">
        <v>27</v>
      </c>
      <c r="G6252" s="30" t="s">
        <v>20</v>
      </c>
      <c r="H6252" s="32">
        <v>6</v>
      </c>
      <c r="I6252" s="30" t="s">
        <v>21</v>
      </c>
      <c r="J6252" s="41">
        <v>44419</v>
      </c>
      <c r="K6252" s="30" t="s">
        <v>22</v>
      </c>
    </row>
    <row r="6253" spans="1:11">
      <c r="A6253" s="33" t="s">
        <v>14662</v>
      </c>
      <c r="B6253" s="33" t="s">
        <v>14663</v>
      </c>
      <c r="C6253" s="33" t="s">
        <v>14664</v>
      </c>
      <c r="D6253" s="33" t="s">
        <v>17</v>
      </c>
      <c r="E6253" s="33" t="s">
        <v>26</v>
      </c>
      <c r="F6253" s="33" t="s">
        <v>27</v>
      </c>
      <c r="G6253" s="33" t="s">
        <v>20</v>
      </c>
      <c r="H6253" s="35">
        <v>72</v>
      </c>
      <c r="I6253" s="33" t="s">
        <v>21</v>
      </c>
      <c r="J6253" s="42">
        <v>44414</v>
      </c>
      <c r="K6253" s="33" t="s">
        <v>22</v>
      </c>
    </row>
    <row r="6254" spans="1:11">
      <c r="A6254" s="30" t="s">
        <v>14665</v>
      </c>
      <c r="B6254" s="30" t="s">
        <v>14666</v>
      </c>
      <c r="C6254" s="30" t="s">
        <v>187</v>
      </c>
      <c r="D6254" s="30" t="s">
        <v>17</v>
      </c>
      <c r="E6254" s="30" t="s">
        <v>26</v>
      </c>
      <c r="F6254" s="30" t="s">
        <v>27</v>
      </c>
      <c r="G6254" s="30" t="s">
        <v>20</v>
      </c>
      <c r="H6254" s="32">
        <v>16</v>
      </c>
      <c r="I6254" s="30" t="s">
        <v>21</v>
      </c>
      <c r="J6254" s="41">
        <v>44396</v>
      </c>
      <c r="K6254" s="30" t="s">
        <v>22</v>
      </c>
    </row>
    <row r="6255" spans="1:11">
      <c r="A6255" s="33" t="s">
        <v>14667</v>
      </c>
      <c r="B6255" s="33" t="s">
        <v>14668</v>
      </c>
      <c r="C6255" s="33" t="s">
        <v>105</v>
      </c>
      <c r="D6255" s="33" t="s">
        <v>17</v>
      </c>
      <c r="E6255" s="33" t="s">
        <v>31</v>
      </c>
      <c r="F6255" s="33" t="s">
        <v>32</v>
      </c>
      <c r="G6255" s="33" t="s">
        <v>140</v>
      </c>
      <c r="H6255" s="35">
        <v>12</v>
      </c>
      <c r="I6255" s="33" t="s">
        <v>51</v>
      </c>
      <c r="J6255" s="42">
        <v>44231</v>
      </c>
      <c r="K6255" s="33" t="s">
        <v>22</v>
      </c>
    </row>
    <row r="6256" spans="1:11">
      <c r="A6256" s="30" t="s">
        <v>14669</v>
      </c>
      <c r="B6256" s="30" t="s">
        <v>14670</v>
      </c>
      <c r="C6256" s="30" t="s">
        <v>14671</v>
      </c>
      <c r="D6256" s="30" t="s">
        <v>17</v>
      </c>
      <c r="E6256" s="30" t="s">
        <v>45</v>
      </c>
      <c r="F6256" s="30" t="s">
        <v>46</v>
      </c>
      <c r="G6256" s="30" t="s">
        <v>140</v>
      </c>
      <c r="H6256" s="32">
        <v>728</v>
      </c>
      <c r="I6256" s="30" t="s">
        <v>51</v>
      </c>
      <c r="J6256" s="41">
        <v>44507</v>
      </c>
      <c r="K6256" s="30" t="s">
        <v>22</v>
      </c>
    </row>
    <row r="6257" spans="1:11">
      <c r="A6257" s="33" t="s">
        <v>14672</v>
      </c>
      <c r="B6257" s="33" t="s">
        <v>14673</v>
      </c>
      <c r="C6257" s="33" t="s">
        <v>10689</v>
      </c>
      <c r="D6257" s="33" t="s">
        <v>17</v>
      </c>
      <c r="E6257" s="33" t="s">
        <v>26</v>
      </c>
      <c r="F6257" s="33" t="s">
        <v>27</v>
      </c>
      <c r="G6257" s="33" t="s">
        <v>20</v>
      </c>
      <c r="H6257" s="35">
        <v>6</v>
      </c>
      <c r="I6257" s="33" t="s">
        <v>21</v>
      </c>
      <c r="J6257" s="42">
        <v>44485</v>
      </c>
      <c r="K6257" s="33" t="s">
        <v>22</v>
      </c>
    </row>
    <row r="6258" spans="1:11">
      <c r="A6258" s="30" t="s">
        <v>14674</v>
      </c>
      <c r="B6258" s="30" t="s">
        <v>14675</v>
      </c>
      <c r="C6258" s="30" t="s">
        <v>2006</v>
      </c>
      <c r="D6258" s="30" t="s">
        <v>17</v>
      </c>
      <c r="E6258" s="30" t="s">
        <v>26</v>
      </c>
      <c r="F6258" s="30" t="s">
        <v>27</v>
      </c>
      <c r="G6258" s="30" t="s">
        <v>20</v>
      </c>
      <c r="H6258" s="32">
        <v>37</v>
      </c>
      <c r="I6258" s="30" t="s">
        <v>21</v>
      </c>
      <c r="J6258" s="41">
        <v>44355</v>
      </c>
      <c r="K6258" s="30" t="s">
        <v>22</v>
      </c>
    </row>
    <row r="6259" spans="1:11">
      <c r="A6259" s="33" t="s">
        <v>14676</v>
      </c>
      <c r="B6259" s="33" t="s">
        <v>14677</v>
      </c>
      <c r="C6259" s="33" t="s">
        <v>440</v>
      </c>
      <c r="D6259" s="33" t="s">
        <v>17</v>
      </c>
      <c r="E6259" s="33" t="s">
        <v>18</v>
      </c>
      <c r="F6259" s="33" t="s">
        <v>19</v>
      </c>
      <c r="G6259" s="33" t="s">
        <v>106</v>
      </c>
      <c r="H6259" s="35">
        <v>18</v>
      </c>
      <c r="I6259" s="33" t="s">
        <v>21</v>
      </c>
      <c r="J6259" s="42">
        <v>44316</v>
      </c>
      <c r="K6259" s="33" t="s">
        <v>22</v>
      </c>
    </row>
    <row r="6260" spans="1:11">
      <c r="A6260" s="30" t="s">
        <v>14678</v>
      </c>
      <c r="B6260" s="30" t="s">
        <v>14679</v>
      </c>
      <c r="C6260" s="30" t="s">
        <v>1003</v>
      </c>
      <c r="D6260" s="30" t="s">
        <v>17</v>
      </c>
      <c r="E6260" s="30" t="s">
        <v>18</v>
      </c>
      <c r="F6260" s="30" t="s">
        <v>19</v>
      </c>
      <c r="G6260" s="30" t="s">
        <v>50</v>
      </c>
      <c r="H6260" s="32">
        <v>328</v>
      </c>
      <c r="I6260" s="30" t="s">
        <v>51</v>
      </c>
      <c r="J6260" s="41">
        <v>44475</v>
      </c>
      <c r="K6260" s="30" t="s">
        <v>22</v>
      </c>
    </row>
    <row r="6261" spans="1:11">
      <c r="A6261" s="33" t="s">
        <v>14680</v>
      </c>
      <c r="B6261" s="33" t="s">
        <v>14681</v>
      </c>
      <c r="C6261" s="33" t="s">
        <v>8987</v>
      </c>
      <c r="D6261" s="33" t="s">
        <v>17</v>
      </c>
      <c r="E6261" s="33" t="s">
        <v>31</v>
      </c>
      <c r="F6261" s="33" t="s">
        <v>32</v>
      </c>
      <c r="G6261" s="33" t="s">
        <v>106</v>
      </c>
      <c r="H6261" s="35">
        <v>88</v>
      </c>
      <c r="I6261" s="33" t="s">
        <v>21</v>
      </c>
      <c r="J6261" s="42">
        <v>44256</v>
      </c>
      <c r="K6261" s="33" t="s">
        <v>22</v>
      </c>
    </row>
    <row r="6262" spans="1:11">
      <c r="A6262" s="30" t="s">
        <v>14682</v>
      </c>
      <c r="B6262" s="30" t="s">
        <v>14683</v>
      </c>
      <c r="C6262" s="30" t="s">
        <v>14684</v>
      </c>
      <c r="D6262" s="30" t="s">
        <v>17</v>
      </c>
      <c r="E6262" s="30" t="s">
        <v>26</v>
      </c>
      <c r="F6262" s="30" t="s">
        <v>27</v>
      </c>
      <c r="G6262" s="30" t="s">
        <v>20</v>
      </c>
      <c r="H6262" s="32">
        <v>17</v>
      </c>
      <c r="I6262" s="30" t="s">
        <v>21</v>
      </c>
      <c r="J6262" s="41">
        <v>44362</v>
      </c>
      <c r="K6262" s="30" t="s">
        <v>22</v>
      </c>
    </row>
    <row r="6263" spans="1:11">
      <c r="A6263" s="33" t="s">
        <v>14685</v>
      </c>
      <c r="B6263" s="33" t="s">
        <v>14686</v>
      </c>
      <c r="C6263" s="33" t="s">
        <v>96</v>
      </c>
      <c r="D6263" s="33" t="s">
        <v>17</v>
      </c>
      <c r="E6263" s="33" t="s">
        <v>26</v>
      </c>
      <c r="F6263" s="33" t="s">
        <v>27</v>
      </c>
      <c r="G6263" s="33" t="s">
        <v>106</v>
      </c>
      <c r="H6263" s="35">
        <v>13</v>
      </c>
      <c r="I6263" s="33" t="s">
        <v>21</v>
      </c>
      <c r="J6263" s="42">
        <v>44489</v>
      </c>
      <c r="K6263" s="33" t="s">
        <v>22</v>
      </c>
    </row>
    <row r="6264" spans="1:11">
      <c r="A6264" s="30" t="s">
        <v>14687</v>
      </c>
      <c r="B6264" s="30" t="s">
        <v>14688</v>
      </c>
      <c r="C6264" s="30" t="s">
        <v>14689</v>
      </c>
      <c r="D6264" s="30" t="s">
        <v>17</v>
      </c>
      <c r="E6264" s="30" t="s">
        <v>67</v>
      </c>
      <c r="F6264" s="30" t="s">
        <v>68</v>
      </c>
      <c r="G6264" s="30" t="s">
        <v>106</v>
      </c>
      <c r="H6264" s="32">
        <v>12</v>
      </c>
      <c r="I6264" s="30" t="s">
        <v>21</v>
      </c>
      <c r="J6264" s="41">
        <v>44531</v>
      </c>
      <c r="K6264" s="30" t="s">
        <v>22</v>
      </c>
    </row>
    <row r="6265" spans="1:11">
      <c r="A6265" s="33" t="s">
        <v>14690</v>
      </c>
      <c r="B6265" s="33" t="s">
        <v>14691</v>
      </c>
      <c r="C6265" s="33" t="s">
        <v>2508</v>
      </c>
      <c r="D6265" s="33" t="s">
        <v>17</v>
      </c>
      <c r="E6265" s="33" t="s">
        <v>31</v>
      </c>
      <c r="F6265" s="33" t="s">
        <v>32</v>
      </c>
      <c r="G6265" s="33" t="s">
        <v>20</v>
      </c>
      <c r="H6265" s="35">
        <v>109</v>
      </c>
      <c r="I6265" s="33" t="s">
        <v>21</v>
      </c>
      <c r="J6265" s="42">
        <v>44207</v>
      </c>
      <c r="K6265" s="33" t="s">
        <v>22</v>
      </c>
    </row>
    <row r="6266" spans="1:11">
      <c r="A6266" s="30" t="s">
        <v>14692</v>
      </c>
      <c r="B6266" s="30" t="s">
        <v>14693</v>
      </c>
      <c r="C6266" s="30" t="s">
        <v>5916</v>
      </c>
      <c r="D6266" s="30" t="s">
        <v>17</v>
      </c>
      <c r="E6266" s="30" t="s">
        <v>26</v>
      </c>
      <c r="F6266" s="30" t="s">
        <v>27</v>
      </c>
      <c r="G6266" s="30" t="s">
        <v>140</v>
      </c>
      <c r="H6266" s="32">
        <v>140</v>
      </c>
      <c r="I6266" s="30" t="s">
        <v>51</v>
      </c>
      <c r="J6266" s="41">
        <v>44435</v>
      </c>
      <c r="K6266" s="30" t="s">
        <v>22</v>
      </c>
    </row>
    <row r="6267" spans="1:11">
      <c r="A6267" s="33" t="s">
        <v>14694</v>
      </c>
      <c r="B6267" s="33" t="s">
        <v>14695</v>
      </c>
      <c r="C6267" s="33" t="s">
        <v>570</v>
      </c>
      <c r="D6267" s="33" t="s">
        <v>17</v>
      </c>
      <c r="E6267" s="33" t="s">
        <v>26</v>
      </c>
      <c r="F6267" s="33" t="s">
        <v>27</v>
      </c>
      <c r="G6267" s="33" t="s">
        <v>50</v>
      </c>
      <c r="H6267" s="35">
        <v>54</v>
      </c>
      <c r="I6267" s="33" t="s">
        <v>51</v>
      </c>
      <c r="J6267" s="42">
        <v>44488</v>
      </c>
      <c r="K6267" s="33" t="s">
        <v>22</v>
      </c>
    </row>
    <row r="6268" spans="1:11">
      <c r="A6268" s="30" t="s">
        <v>14696</v>
      </c>
      <c r="B6268" s="30" t="s">
        <v>14697</v>
      </c>
      <c r="C6268" s="30" t="s">
        <v>899</v>
      </c>
      <c r="D6268" s="30" t="s">
        <v>17</v>
      </c>
      <c r="E6268" s="30" t="s">
        <v>31</v>
      </c>
      <c r="F6268" s="30" t="s">
        <v>32</v>
      </c>
      <c r="G6268" s="30" t="s">
        <v>158</v>
      </c>
      <c r="H6268" s="32">
        <v>270</v>
      </c>
      <c r="I6268" s="30" t="s">
        <v>51</v>
      </c>
      <c r="J6268" s="41">
        <v>44377</v>
      </c>
      <c r="K6268" s="30" t="s">
        <v>22</v>
      </c>
    </row>
    <row r="6269" spans="1:11">
      <c r="A6269" s="33" t="s">
        <v>14698</v>
      </c>
      <c r="B6269" s="33" t="s">
        <v>14699</v>
      </c>
      <c r="C6269" s="33" t="s">
        <v>11786</v>
      </c>
      <c r="D6269" s="33" t="s">
        <v>17</v>
      </c>
      <c r="E6269" s="33" t="s">
        <v>26</v>
      </c>
      <c r="F6269" s="33" t="s">
        <v>27</v>
      </c>
      <c r="G6269" s="33" t="s">
        <v>20</v>
      </c>
      <c r="H6269" s="35">
        <v>12</v>
      </c>
      <c r="I6269" s="33" t="s">
        <v>21</v>
      </c>
      <c r="J6269" s="42">
        <v>44251</v>
      </c>
      <c r="K6269" s="33" t="s">
        <v>22</v>
      </c>
    </row>
    <row r="6270" spans="1:11">
      <c r="A6270" s="30" t="s">
        <v>14700</v>
      </c>
      <c r="B6270" s="30" t="s">
        <v>14701</v>
      </c>
      <c r="C6270" s="30" t="s">
        <v>3826</v>
      </c>
      <c r="D6270" s="30" t="s">
        <v>17</v>
      </c>
      <c r="E6270" s="30" t="s">
        <v>26</v>
      </c>
      <c r="F6270" s="30" t="s">
        <v>27</v>
      </c>
      <c r="G6270" s="30" t="s">
        <v>20</v>
      </c>
      <c r="H6270" s="32">
        <v>255</v>
      </c>
      <c r="I6270" s="30" t="s">
        <v>21</v>
      </c>
      <c r="J6270" s="41">
        <v>44251</v>
      </c>
      <c r="K6270" s="30" t="s">
        <v>22</v>
      </c>
    </row>
    <row r="6271" spans="1:11">
      <c r="A6271" s="33" t="s">
        <v>14702</v>
      </c>
      <c r="B6271" s="33" t="s">
        <v>14703</v>
      </c>
      <c r="C6271" s="33" t="s">
        <v>149</v>
      </c>
      <c r="D6271" s="33" t="s">
        <v>17</v>
      </c>
      <c r="E6271" s="33" t="s">
        <v>31</v>
      </c>
      <c r="F6271" s="33" t="s">
        <v>32</v>
      </c>
      <c r="G6271" s="33" t="s">
        <v>50</v>
      </c>
      <c r="H6271" s="35">
        <v>254</v>
      </c>
      <c r="I6271" s="33" t="s">
        <v>21</v>
      </c>
      <c r="J6271" s="42">
        <v>44284</v>
      </c>
      <c r="K6271" s="33" t="s">
        <v>22</v>
      </c>
    </row>
    <row r="6272" spans="1:11">
      <c r="A6272" s="30" t="s">
        <v>14704</v>
      </c>
      <c r="B6272" s="30" t="s">
        <v>14705</v>
      </c>
      <c r="C6272" s="30" t="s">
        <v>440</v>
      </c>
      <c r="D6272" s="30" t="s">
        <v>17</v>
      </c>
      <c r="E6272" s="30" t="s">
        <v>18</v>
      </c>
      <c r="F6272" s="30" t="s">
        <v>19</v>
      </c>
      <c r="G6272" s="30" t="s">
        <v>140</v>
      </c>
      <c r="H6272" s="32">
        <v>180</v>
      </c>
      <c r="I6272" s="30" t="s">
        <v>51</v>
      </c>
      <c r="J6272" s="41">
        <v>44347</v>
      </c>
      <c r="K6272" s="30" t="s">
        <v>22</v>
      </c>
    </row>
    <row r="6273" spans="1:11">
      <c r="A6273" s="33" t="s">
        <v>14706</v>
      </c>
      <c r="B6273" s="33" t="s">
        <v>14707</v>
      </c>
      <c r="C6273" s="33" t="s">
        <v>7015</v>
      </c>
      <c r="D6273" s="33" t="s">
        <v>17</v>
      </c>
      <c r="E6273" s="33" t="s">
        <v>212</v>
      </c>
      <c r="F6273" s="33" t="s">
        <v>213</v>
      </c>
      <c r="G6273" s="33" t="s">
        <v>20</v>
      </c>
      <c r="H6273" s="35">
        <v>300</v>
      </c>
      <c r="I6273" s="33" t="s">
        <v>21</v>
      </c>
      <c r="J6273" s="42">
        <v>44284</v>
      </c>
      <c r="K6273" s="33" t="s">
        <v>22</v>
      </c>
    </row>
    <row r="6274" spans="1:11">
      <c r="A6274" s="30" t="s">
        <v>14708</v>
      </c>
      <c r="B6274" s="30" t="s">
        <v>14709</v>
      </c>
      <c r="C6274" s="30" t="s">
        <v>14604</v>
      </c>
      <c r="D6274" s="30" t="s">
        <v>17</v>
      </c>
      <c r="E6274" s="30" t="s">
        <v>31</v>
      </c>
      <c r="F6274" s="30" t="s">
        <v>32</v>
      </c>
      <c r="G6274" s="30" t="s">
        <v>20</v>
      </c>
      <c r="H6274" s="32">
        <v>374</v>
      </c>
      <c r="I6274" s="30" t="s">
        <v>21</v>
      </c>
      <c r="J6274" s="41">
        <v>44419</v>
      </c>
      <c r="K6274" s="30" t="s">
        <v>22</v>
      </c>
    </row>
    <row r="6275" spans="1:11">
      <c r="A6275" s="33" t="s">
        <v>14710</v>
      </c>
      <c r="B6275" s="33" t="s">
        <v>14711</v>
      </c>
      <c r="C6275" s="33" t="s">
        <v>7900</v>
      </c>
      <c r="D6275" s="33" t="s">
        <v>17</v>
      </c>
      <c r="E6275" s="33" t="s">
        <v>31</v>
      </c>
      <c r="F6275" s="33" t="s">
        <v>32</v>
      </c>
      <c r="G6275" s="33" t="s">
        <v>20</v>
      </c>
      <c r="H6275" s="35">
        <v>216</v>
      </c>
      <c r="I6275" s="33" t="s">
        <v>21</v>
      </c>
      <c r="J6275" s="42">
        <v>44543</v>
      </c>
      <c r="K6275" s="33" t="s">
        <v>22</v>
      </c>
    </row>
    <row r="6276" spans="1:11">
      <c r="A6276" s="30" t="s">
        <v>14712</v>
      </c>
      <c r="B6276" s="30" t="s">
        <v>14713</v>
      </c>
      <c r="C6276" s="30" t="s">
        <v>14714</v>
      </c>
      <c r="D6276" s="30" t="s">
        <v>17</v>
      </c>
      <c r="E6276" s="30" t="s">
        <v>212</v>
      </c>
      <c r="F6276" s="30" t="s">
        <v>213</v>
      </c>
      <c r="G6276" s="30" t="s">
        <v>50</v>
      </c>
      <c r="H6276" s="32">
        <v>40</v>
      </c>
      <c r="I6276" s="30" t="s">
        <v>51</v>
      </c>
      <c r="J6276" s="41">
        <v>44287</v>
      </c>
      <c r="K6276" s="30" t="s">
        <v>22</v>
      </c>
    </row>
    <row r="6277" spans="1:11">
      <c r="A6277" s="33" t="s">
        <v>14715</v>
      </c>
      <c r="B6277" s="33" t="s">
        <v>14716</v>
      </c>
      <c r="C6277" s="33" t="s">
        <v>2313</v>
      </c>
      <c r="D6277" s="33" t="s">
        <v>17</v>
      </c>
      <c r="E6277" s="33" t="s">
        <v>26</v>
      </c>
      <c r="F6277" s="33" t="s">
        <v>27</v>
      </c>
      <c r="G6277" s="33" t="s">
        <v>158</v>
      </c>
      <c r="H6277" s="35">
        <v>65</v>
      </c>
      <c r="I6277" s="33" t="s">
        <v>21</v>
      </c>
      <c r="J6277" s="42">
        <v>44329</v>
      </c>
      <c r="K6277" s="33" t="s">
        <v>22</v>
      </c>
    </row>
    <row r="6278" spans="1:11">
      <c r="A6278" s="30" t="s">
        <v>14717</v>
      </c>
      <c r="B6278" s="30" t="s">
        <v>14718</v>
      </c>
      <c r="C6278" s="30" t="s">
        <v>14719</v>
      </c>
      <c r="D6278" s="30" t="s">
        <v>17</v>
      </c>
      <c r="E6278" s="30" t="s">
        <v>26</v>
      </c>
      <c r="F6278" s="30" t="s">
        <v>27</v>
      </c>
      <c r="G6278" s="30" t="s">
        <v>106</v>
      </c>
      <c r="H6278" s="32">
        <v>21</v>
      </c>
      <c r="I6278" s="30" t="s">
        <v>21</v>
      </c>
      <c r="J6278" s="41">
        <v>44512</v>
      </c>
      <c r="K6278" s="30" t="s">
        <v>22</v>
      </c>
    </row>
    <row r="6279" spans="1:11">
      <c r="A6279" s="33" t="s">
        <v>14720</v>
      </c>
      <c r="B6279" s="33" t="s">
        <v>14721</v>
      </c>
      <c r="C6279" s="33" t="s">
        <v>822</v>
      </c>
      <c r="D6279" s="33" t="s">
        <v>17</v>
      </c>
      <c r="E6279" s="33" t="s">
        <v>26</v>
      </c>
      <c r="F6279" s="33" t="s">
        <v>27</v>
      </c>
      <c r="G6279" s="33" t="s">
        <v>20</v>
      </c>
      <c r="H6279" s="35">
        <v>3</v>
      </c>
      <c r="I6279" s="33" t="s">
        <v>21</v>
      </c>
      <c r="J6279" s="42">
        <v>44559</v>
      </c>
      <c r="K6279" s="33" t="s">
        <v>22</v>
      </c>
    </row>
    <row r="6280" spans="1:11">
      <c r="A6280" s="30" t="s">
        <v>14722</v>
      </c>
      <c r="B6280" s="30" t="s">
        <v>14723</v>
      </c>
      <c r="C6280" s="30" t="s">
        <v>647</v>
      </c>
      <c r="D6280" s="30" t="s">
        <v>17</v>
      </c>
      <c r="E6280" s="30" t="s">
        <v>18</v>
      </c>
      <c r="F6280" s="30" t="s">
        <v>19</v>
      </c>
      <c r="G6280" s="30" t="s">
        <v>20</v>
      </c>
      <c r="H6280" s="32">
        <v>441</v>
      </c>
      <c r="I6280" s="30" t="s">
        <v>21</v>
      </c>
      <c r="J6280" s="41">
        <v>44510</v>
      </c>
      <c r="K6280" s="30" t="s">
        <v>22</v>
      </c>
    </row>
    <row r="6281" spans="1:11">
      <c r="A6281" s="33" t="s">
        <v>14724</v>
      </c>
      <c r="B6281" s="33" t="s">
        <v>14725</v>
      </c>
      <c r="C6281" s="33" t="s">
        <v>109</v>
      </c>
      <c r="D6281" s="33" t="s">
        <v>17</v>
      </c>
      <c r="E6281" s="33" t="s">
        <v>26</v>
      </c>
      <c r="F6281" s="33" t="s">
        <v>27</v>
      </c>
      <c r="G6281" s="33" t="s">
        <v>20</v>
      </c>
      <c r="H6281" s="35">
        <v>17</v>
      </c>
      <c r="I6281" s="33" t="s">
        <v>21</v>
      </c>
      <c r="J6281" s="42">
        <v>44523</v>
      </c>
      <c r="K6281" s="33" t="s">
        <v>22</v>
      </c>
    </row>
    <row r="6282" spans="1:11">
      <c r="A6282" s="30" t="s">
        <v>14726</v>
      </c>
      <c r="B6282" s="30" t="s">
        <v>14727</v>
      </c>
      <c r="C6282" s="30" t="s">
        <v>178</v>
      </c>
      <c r="D6282" s="30" t="s">
        <v>17</v>
      </c>
      <c r="E6282" s="30" t="s">
        <v>26</v>
      </c>
      <c r="F6282" s="30" t="s">
        <v>27</v>
      </c>
      <c r="G6282" s="30" t="s">
        <v>140</v>
      </c>
      <c r="H6282" s="32">
        <v>129</v>
      </c>
      <c r="I6282" s="30" t="s">
        <v>51</v>
      </c>
      <c r="J6282" s="41">
        <v>44419</v>
      </c>
      <c r="K6282" s="30" t="s">
        <v>22</v>
      </c>
    </row>
    <row r="6283" spans="1:11">
      <c r="A6283" s="33" t="s">
        <v>14728</v>
      </c>
      <c r="B6283" s="33" t="s">
        <v>14729</v>
      </c>
      <c r="C6283" s="33" t="s">
        <v>14730</v>
      </c>
      <c r="D6283" s="33" t="s">
        <v>17</v>
      </c>
      <c r="E6283" s="33" t="s">
        <v>45</v>
      </c>
      <c r="F6283" s="33" t="s">
        <v>46</v>
      </c>
      <c r="G6283" s="33" t="s">
        <v>50</v>
      </c>
      <c r="H6283" s="35">
        <v>800</v>
      </c>
      <c r="I6283" s="33" t="s">
        <v>51</v>
      </c>
      <c r="J6283" s="42">
        <v>44353</v>
      </c>
      <c r="K6283" s="33" t="s">
        <v>22</v>
      </c>
    </row>
    <row r="6284" spans="1:11">
      <c r="A6284" s="30" t="s">
        <v>14731</v>
      </c>
      <c r="B6284" s="30" t="s">
        <v>14732</v>
      </c>
      <c r="C6284" s="30" t="s">
        <v>10028</v>
      </c>
      <c r="D6284" s="30" t="s">
        <v>17</v>
      </c>
      <c r="E6284" s="30" t="s">
        <v>18</v>
      </c>
      <c r="F6284" s="30" t="s">
        <v>19</v>
      </c>
      <c r="G6284" s="30" t="s">
        <v>2613</v>
      </c>
      <c r="H6284" s="32">
        <v>236</v>
      </c>
      <c r="I6284" s="30" t="s">
        <v>51</v>
      </c>
      <c r="J6284" s="41">
        <v>44491</v>
      </c>
      <c r="K6284" s="30" t="s">
        <v>22</v>
      </c>
    </row>
    <row r="6285" spans="1:11">
      <c r="A6285" s="33" t="s">
        <v>14733</v>
      </c>
      <c r="B6285" s="33" t="s">
        <v>14734</v>
      </c>
      <c r="C6285" s="33" t="s">
        <v>9725</v>
      </c>
      <c r="D6285" s="33" t="s">
        <v>17</v>
      </c>
      <c r="E6285" s="33" t="s">
        <v>26</v>
      </c>
      <c r="F6285" s="33" t="s">
        <v>27</v>
      </c>
      <c r="G6285" s="33" t="s">
        <v>20</v>
      </c>
      <c r="H6285" s="35">
        <v>88</v>
      </c>
      <c r="I6285" s="33" t="s">
        <v>21</v>
      </c>
      <c r="J6285" s="42">
        <v>44272</v>
      </c>
      <c r="K6285" s="33" t="s">
        <v>22</v>
      </c>
    </row>
    <row r="6286" spans="1:11">
      <c r="A6286" s="30" t="s">
        <v>14735</v>
      </c>
      <c r="B6286" s="30" t="s">
        <v>14736</v>
      </c>
      <c r="C6286" s="30" t="s">
        <v>14737</v>
      </c>
      <c r="D6286" s="30" t="s">
        <v>17</v>
      </c>
      <c r="E6286" s="30" t="s">
        <v>26</v>
      </c>
      <c r="F6286" s="30" t="s">
        <v>27</v>
      </c>
      <c r="G6286" s="30" t="s">
        <v>20</v>
      </c>
      <c r="H6286" s="32">
        <v>68</v>
      </c>
      <c r="I6286" s="30" t="s">
        <v>21</v>
      </c>
      <c r="J6286" s="41">
        <v>44470</v>
      </c>
      <c r="K6286" s="30" t="s">
        <v>22</v>
      </c>
    </row>
    <row r="6287" spans="1:11">
      <c r="A6287" s="33" t="s">
        <v>14738</v>
      </c>
      <c r="B6287" s="33" t="s">
        <v>14739</v>
      </c>
      <c r="C6287" s="33" t="s">
        <v>109</v>
      </c>
      <c r="D6287" s="33" t="s">
        <v>17</v>
      </c>
      <c r="E6287" s="33" t="s">
        <v>18</v>
      </c>
      <c r="F6287" s="33" t="s">
        <v>19</v>
      </c>
      <c r="G6287" s="33" t="s">
        <v>20</v>
      </c>
      <c r="H6287" s="35">
        <v>210</v>
      </c>
      <c r="I6287" s="33" t="s">
        <v>21</v>
      </c>
      <c r="J6287" s="42">
        <v>44222</v>
      </c>
      <c r="K6287" s="33" t="s">
        <v>22</v>
      </c>
    </row>
    <row r="6288" spans="1:11">
      <c r="A6288" s="30" t="s">
        <v>14740</v>
      </c>
      <c r="B6288" s="30" t="s">
        <v>14741</v>
      </c>
      <c r="C6288" s="30" t="s">
        <v>969</v>
      </c>
      <c r="D6288" s="30" t="s">
        <v>17</v>
      </c>
      <c r="E6288" s="30" t="s">
        <v>31</v>
      </c>
      <c r="F6288" s="30" t="s">
        <v>32</v>
      </c>
      <c r="G6288" s="30" t="s">
        <v>20</v>
      </c>
      <c r="H6288" s="32">
        <v>726</v>
      </c>
      <c r="I6288" s="30" t="s">
        <v>21</v>
      </c>
      <c r="J6288" s="41">
        <v>44529</v>
      </c>
      <c r="K6288" s="30" t="s">
        <v>22</v>
      </c>
    </row>
    <row r="6289" spans="1:11">
      <c r="A6289" s="33" t="s">
        <v>14742</v>
      </c>
      <c r="B6289" s="33" t="s">
        <v>14743</v>
      </c>
      <c r="C6289" s="33" t="s">
        <v>109</v>
      </c>
      <c r="D6289" s="33" t="s">
        <v>17</v>
      </c>
      <c r="E6289" s="33" t="s">
        <v>18</v>
      </c>
      <c r="F6289" s="33" t="s">
        <v>19</v>
      </c>
      <c r="G6289" s="33" t="s">
        <v>20</v>
      </c>
      <c r="H6289" s="35">
        <v>14</v>
      </c>
      <c r="I6289" s="33" t="s">
        <v>21</v>
      </c>
      <c r="J6289" s="42">
        <v>44285</v>
      </c>
      <c r="K6289" s="33" t="s">
        <v>22</v>
      </c>
    </row>
    <row r="6290" spans="1:11">
      <c r="A6290" s="30" t="s">
        <v>14744</v>
      </c>
      <c r="B6290" s="30" t="s">
        <v>14745</v>
      </c>
      <c r="C6290" s="30" t="s">
        <v>154</v>
      </c>
      <c r="D6290" s="30" t="s">
        <v>17</v>
      </c>
      <c r="E6290" s="30" t="s">
        <v>26</v>
      </c>
      <c r="F6290" s="30" t="s">
        <v>27</v>
      </c>
      <c r="G6290" s="30" t="s">
        <v>20</v>
      </c>
      <c r="H6290" s="32">
        <v>157</v>
      </c>
      <c r="I6290" s="30" t="s">
        <v>21</v>
      </c>
      <c r="J6290" s="41">
        <v>44259</v>
      </c>
      <c r="K6290" s="30" t="s">
        <v>22</v>
      </c>
    </row>
    <row r="6291" spans="1:11">
      <c r="A6291" s="33" t="s">
        <v>14746</v>
      </c>
      <c r="B6291" s="33" t="s">
        <v>14747</v>
      </c>
      <c r="C6291" s="33" t="s">
        <v>14748</v>
      </c>
      <c r="D6291" s="33" t="s">
        <v>17</v>
      </c>
      <c r="E6291" s="33" t="s">
        <v>31</v>
      </c>
      <c r="F6291" s="33" t="s">
        <v>32</v>
      </c>
      <c r="G6291" s="33" t="s">
        <v>69</v>
      </c>
      <c r="H6291" s="35">
        <v>30</v>
      </c>
      <c r="I6291" s="33" t="s">
        <v>21</v>
      </c>
      <c r="J6291" s="42">
        <v>44474</v>
      </c>
      <c r="K6291" s="33" t="s">
        <v>22</v>
      </c>
    </row>
    <row r="6292" spans="1:11">
      <c r="A6292" s="30" t="s">
        <v>14749</v>
      </c>
      <c r="B6292" s="30" t="s">
        <v>14750</v>
      </c>
      <c r="C6292" s="30" t="s">
        <v>203</v>
      </c>
      <c r="D6292" s="30" t="s">
        <v>17</v>
      </c>
      <c r="E6292" s="30" t="s">
        <v>67</v>
      </c>
      <c r="F6292" s="30" t="s">
        <v>68</v>
      </c>
      <c r="G6292" s="30" t="s">
        <v>106</v>
      </c>
      <c r="H6292" s="32">
        <v>101</v>
      </c>
      <c r="I6292" s="30" t="s">
        <v>21</v>
      </c>
      <c r="J6292" s="41">
        <v>44538</v>
      </c>
      <c r="K6292" s="30" t="s">
        <v>22</v>
      </c>
    </row>
    <row r="6293" spans="1:11">
      <c r="A6293" s="33" t="s">
        <v>14751</v>
      </c>
      <c r="B6293" s="33" t="s">
        <v>14752</v>
      </c>
      <c r="C6293" s="33" t="s">
        <v>4697</v>
      </c>
      <c r="D6293" s="33" t="s">
        <v>17</v>
      </c>
      <c r="E6293" s="33" t="s">
        <v>31</v>
      </c>
      <c r="F6293" s="33" t="s">
        <v>32</v>
      </c>
      <c r="G6293" s="33" t="s">
        <v>50</v>
      </c>
      <c r="H6293" s="35">
        <v>450</v>
      </c>
      <c r="I6293" s="33" t="s">
        <v>51</v>
      </c>
      <c r="J6293" s="42">
        <v>44469</v>
      </c>
      <c r="K6293" s="33" t="s">
        <v>22</v>
      </c>
    </row>
    <row r="6294" spans="1:11">
      <c r="A6294" s="30" t="s">
        <v>14753</v>
      </c>
      <c r="B6294" s="30" t="s">
        <v>14754</v>
      </c>
      <c r="C6294" s="30" t="s">
        <v>14755</v>
      </c>
      <c r="D6294" s="30" t="s">
        <v>17</v>
      </c>
      <c r="E6294" s="30" t="s">
        <v>67</v>
      </c>
      <c r="F6294" s="30" t="s">
        <v>68</v>
      </c>
      <c r="G6294" s="30" t="s">
        <v>20</v>
      </c>
      <c r="H6294" s="32">
        <v>26</v>
      </c>
      <c r="I6294" s="30" t="s">
        <v>21</v>
      </c>
      <c r="J6294" s="41">
        <v>44272</v>
      </c>
      <c r="K6294" s="30" t="s">
        <v>22</v>
      </c>
    </row>
    <row r="6295" spans="1:11">
      <c r="A6295" s="33" t="s">
        <v>14756</v>
      </c>
      <c r="B6295" s="33" t="s">
        <v>14757</v>
      </c>
      <c r="C6295" s="33" t="s">
        <v>2900</v>
      </c>
      <c r="D6295" s="33" t="s">
        <v>17</v>
      </c>
      <c r="E6295" s="33" t="s">
        <v>31</v>
      </c>
      <c r="F6295" s="33" t="s">
        <v>32</v>
      </c>
      <c r="G6295" s="33" t="s">
        <v>106</v>
      </c>
      <c r="H6295" s="35">
        <v>1</v>
      </c>
      <c r="I6295" s="33" t="s">
        <v>21</v>
      </c>
      <c r="J6295" s="42">
        <v>44273</v>
      </c>
      <c r="K6295" s="33" t="s">
        <v>22</v>
      </c>
    </row>
    <row r="6296" spans="1:11">
      <c r="A6296" s="30" t="s">
        <v>14758</v>
      </c>
      <c r="B6296" s="30" t="s">
        <v>14759</v>
      </c>
      <c r="C6296" s="30" t="s">
        <v>96</v>
      </c>
      <c r="D6296" s="30" t="s">
        <v>17</v>
      </c>
      <c r="E6296" s="30" t="s">
        <v>26</v>
      </c>
      <c r="F6296" s="30" t="s">
        <v>27</v>
      </c>
      <c r="G6296" s="30" t="s">
        <v>20</v>
      </c>
      <c r="H6296" s="32">
        <v>6</v>
      </c>
      <c r="I6296" s="30" t="s">
        <v>21</v>
      </c>
      <c r="J6296" s="41">
        <v>44327</v>
      </c>
      <c r="K6296" s="30" t="s">
        <v>22</v>
      </c>
    </row>
    <row r="6297" spans="1:11">
      <c r="A6297" s="33" t="s">
        <v>14760</v>
      </c>
      <c r="B6297" s="33" t="s">
        <v>14761</v>
      </c>
      <c r="C6297" s="33" t="s">
        <v>13795</v>
      </c>
      <c r="D6297" s="33" t="s">
        <v>17</v>
      </c>
      <c r="E6297" s="33" t="s">
        <v>31</v>
      </c>
      <c r="F6297" s="33" t="s">
        <v>32</v>
      </c>
      <c r="G6297" s="33" t="s">
        <v>20</v>
      </c>
      <c r="H6297" s="35">
        <v>115</v>
      </c>
      <c r="I6297" s="33" t="s">
        <v>21</v>
      </c>
      <c r="J6297" s="42">
        <v>44524</v>
      </c>
      <c r="K6297" s="33" t="s">
        <v>22</v>
      </c>
    </row>
    <row r="6298" spans="1:11">
      <c r="A6298" s="30" t="s">
        <v>14762</v>
      </c>
      <c r="B6298" s="30" t="s">
        <v>14763</v>
      </c>
      <c r="C6298" s="30" t="s">
        <v>7556</v>
      </c>
      <c r="D6298" s="30" t="s">
        <v>17</v>
      </c>
      <c r="E6298" s="30" t="s">
        <v>45</v>
      </c>
      <c r="F6298" s="30" t="s">
        <v>46</v>
      </c>
      <c r="G6298" s="30" t="s">
        <v>106</v>
      </c>
      <c r="H6298" s="32">
        <v>83</v>
      </c>
      <c r="I6298" s="30" t="s">
        <v>21</v>
      </c>
      <c r="J6298" s="41">
        <v>44284</v>
      </c>
      <c r="K6298" s="30" t="s">
        <v>22</v>
      </c>
    </row>
    <row r="6299" spans="1:11">
      <c r="A6299" s="33" t="s">
        <v>14764</v>
      </c>
      <c r="B6299" s="33" t="s">
        <v>14765</v>
      </c>
      <c r="C6299" s="33" t="s">
        <v>14766</v>
      </c>
      <c r="D6299" s="33" t="s">
        <v>17</v>
      </c>
      <c r="E6299" s="33" t="s">
        <v>26</v>
      </c>
      <c r="F6299" s="33" t="s">
        <v>27</v>
      </c>
      <c r="G6299" s="33" t="s">
        <v>20</v>
      </c>
      <c r="H6299" s="35">
        <v>10</v>
      </c>
      <c r="I6299" s="33" t="s">
        <v>21</v>
      </c>
      <c r="J6299" s="42">
        <v>44501</v>
      </c>
      <c r="K6299" s="33" t="s">
        <v>22</v>
      </c>
    </row>
    <row r="6300" spans="1:11">
      <c r="A6300" s="30" t="s">
        <v>14767</v>
      </c>
      <c r="B6300" s="30" t="s">
        <v>14768</v>
      </c>
      <c r="C6300" s="30" t="s">
        <v>231</v>
      </c>
      <c r="D6300" s="30" t="s">
        <v>17</v>
      </c>
      <c r="E6300" s="30" t="s">
        <v>26</v>
      </c>
      <c r="F6300" s="30" t="s">
        <v>27</v>
      </c>
      <c r="G6300" s="30" t="s">
        <v>20</v>
      </c>
      <c r="H6300" s="32">
        <v>18</v>
      </c>
      <c r="I6300" s="30" t="s">
        <v>21</v>
      </c>
      <c r="J6300" s="41">
        <v>44377</v>
      </c>
      <c r="K6300" s="30" t="s">
        <v>22</v>
      </c>
    </row>
    <row r="6301" spans="1:11">
      <c r="A6301" s="33" t="s">
        <v>14769</v>
      </c>
      <c r="B6301" s="33" t="s">
        <v>14770</v>
      </c>
      <c r="C6301" s="33" t="s">
        <v>14771</v>
      </c>
      <c r="D6301" s="33" t="s">
        <v>17</v>
      </c>
      <c r="E6301" s="33" t="s">
        <v>67</v>
      </c>
      <c r="F6301" s="33" t="s">
        <v>68</v>
      </c>
      <c r="G6301" s="33" t="s">
        <v>20</v>
      </c>
      <c r="H6301" s="35">
        <v>153</v>
      </c>
      <c r="I6301" s="33" t="s">
        <v>21</v>
      </c>
      <c r="J6301" s="42">
        <v>44526</v>
      </c>
      <c r="K6301" s="33" t="s">
        <v>22</v>
      </c>
    </row>
    <row r="6302" spans="1:11">
      <c r="A6302" s="30" t="s">
        <v>14772</v>
      </c>
      <c r="B6302" s="30" t="s">
        <v>14773</v>
      </c>
      <c r="C6302" s="30" t="s">
        <v>14774</v>
      </c>
      <c r="D6302" s="30" t="s">
        <v>17</v>
      </c>
      <c r="E6302" s="30" t="s">
        <v>18</v>
      </c>
      <c r="F6302" s="30" t="s">
        <v>19</v>
      </c>
      <c r="G6302" s="30" t="s">
        <v>20</v>
      </c>
      <c r="H6302" s="32">
        <v>313</v>
      </c>
      <c r="I6302" s="30" t="s">
        <v>21</v>
      </c>
      <c r="J6302" s="41">
        <v>44487</v>
      </c>
      <c r="K6302" s="30" t="s">
        <v>22</v>
      </c>
    </row>
    <row r="6303" spans="1:11">
      <c r="A6303" s="33" t="s">
        <v>14775</v>
      </c>
      <c r="B6303" s="33" t="s">
        <v>14776</v>
      </c>
      <c r="C6303" s="33" t="s">
        <v>252</v>
      </c>
      <c r="D6303" s="33" t="s">
        <v>17</v>
      </c>
      <c r="E6303" s="33" t="s">
        <v>67</v>
      </c>
      <c r="F6303" s="33" t="s">
        <v>68</v>
      </c>
      <c r="G6303" s="33" t="s">
        <v>140</v>
      </c>
      <c r="H6303" s="35">
        <v>138</v>
      </c>
      <c r="I6303" s="33" t="s">
        <v>51</v>
      </c>
      <c r="J6303" s="42">
        <v>44431</v>
      </c>
      <c r="K6303" s="33" t="s">
        <v>22</v>
      </c>
    </row>
    <row r="6304" spans="1:11">
      <c r="A6304" s="30" t="s">
        <v>14777</v>
      </c>
      <c r="B6304" s="30" t="s">
        <v>14778</v>
      </c>
      <c r="C6304" s="30" t="s">
        <v>730</v>
      </c>
      <c r="D6304" s="30" t="s">
        <v>17</v>
      </c>
      <c r="E6304" s="30" t="s">
        <v>67</v>
      </c>
      <c r="F6304" s="30" t="s">
        <v>68</v>
      </c>
      <c r="G6304" s="30" t="s">
        <v>20</v>
      </c>
      <c r="H6304" s="32">
        <v>165</v>
      </c>
      <c r="I6304" s="30" t="s">
        <v>21</v>
      </c>
      <c r="J6304" s="41">
        <v>44557</v>
      </c>
      <c r="K6304" s="30" t="s">
        <v>22</v>
      </c>
    </row>
    <row r="6305" spans="1:11">
      <c r="A6305" s="33" t="s">
        <v>14779</v>
      </c>
      <c r="B6305" s="33" t="s">
        <v>14780</v>
      </c>
      <c r="C6305" s="33" t="s">
        <v>10589</v>
      </c>
      <c r="D6305" s="33" t="s">
        <v>17</v>
      </c>
      <c r="E6305" s="33" t="s">
        <v>26</v>
      </c>
      <c r="F6305" s="33" t="s">
        <v>27</v>
      </c>
      <c r="G6305" s="33" t="s">
        <v>106</v>
      </c>
      <c r="H6305" s="35">
        <v>177</v>
      </c>
      <c r="I6305" s="33" t="s">
        <v>21</v>
      </c>
      <c r="J6305" s="42">
        <v>44376</v>
      </c>
      <c r="K6305" s="33" t="s">
        <v>22</v>
      </c>
    </row>
    <row r="6306" spans="1:11">
      <c r="A6306" s="30" t="s">
        <v>14781</v>
      </c>
      <c r="B6306" s="30" t="s">
        <v>14782</v>
      </c>
      <c r="C6306" s="30" t="s">
        <v>684</v>
      </c>
      <c r="D6306" s="30" t="s">
        <v>17</v>
      </c>
      <c r="E6306" s="30" t="s">
        <v>26</v>
      </c>
      <c r="F6306" s="30" t="s">
        <v>27</v>
      </c>
      <c r="G6306" s="30" t="s">
        <v>140</v>
      </c>
      <c r="H6306" s="32">
        <v>224</v>
      </c>
      <c r="I6306" s="30" t="s">
        <v>51</v>
      </c>
      <c r="J6306" s="41">
        <v>44454</v>
      </c>
      <c r="K6306" s="30" t="s">
        <v>22</v>
      </c>
    </row>
    <row r="6307" spans="1:11">
      <c r="A6307" s="33" t="s">
        <v>14783</v>
      </c>
      <c r="B6307" s="33" t="s">
        <v>14784</v>
      </c>
      <c r="C6307" s="33" t="s">
        <v>14785</v>
      </c>
      <c r="D6307" s="33" t="s">
        <v>17</v>
      </c>
      <c r="E6307" s="33" t="s">
        <v>26</v>
      </c>
      <c r="F6307" s="33" t="s">
        <v>27</v>
      </c>
      <c r="G6307" s="33" t="s">
        <v>20</v>
      </c>
      <c r="H6307" s="35">
        <v>66</v>
      </c>
      <c r="I6307" s="33" t="s">
        <v>21</v>
      </c>
      <c r="J6307" s="42">
        <v>44482</v>
      </c>
      <c r="K6307" s="33" t="s">
        <v>22</v>
      </c>
    </row>
    <row r="6308" spans="1:11">
      <c r="A6308" s="30" t="s">
        <v>14786</v>
      </c>
      <c r="B6308" s="30" t="s">
        <v>14787</v>
      </c>
      <c r="C6308" s="30" t="s">
        <v>136</v>
      </c>
      <c r="D6308" s="30" t="s">
        <v>17</v>
      </c>
      <c r="E6308" s="30" t="s">
        <v>31</v>
      </c>
      <c r="F6308" s="30" t="s">
        <v>32</v>
      </c>
      <c r="G6308" s="30" t="s">
        <v>20</v>
      </c>
      <c r="H6308" s="32">
        <v>159</v>
      </c>
      <c r="I6308" s="30" t="s">
        <v>21</v>
      </c>
      <c r="J6308" s="41">
        <v>44494</v>
      </c>
      <c r="K6308" s="30" t="s">
        <v>22</v>
      </c>
    </row>
    <row r="6309" spans="1:11">
      <c r="A6309" s="33" t="s">
        <v>14788</v>
      </c>
      <c r="B6309" s="33" t="s">
        <v>14789</v>
      </c>
      <c r="C6309" s="33" t="s">
        <v>14790</v>
      </c>
      <c r="D6309" s="33" t="s">
        <v>17</v>
      </c>
      <c r="E6309" s="33" t="s">
        <v>26</v>
      </c>
      <c r="F6309" s="33" t="s">
        <v>27</v>
      </c>
      <c r="G6309" s="33" t="s">
        <v>20</v>
      </c>
      <c r="H6309" s="35">
        <v>24</v>
      </c>
      <c r="I6309" s="33" t="s">
        <v>21</v>
      </c>
      <c r="J6309" s="42">
        <v>44533</v>
      </c>
      <c r="K6309" s="33" t="s">
        <v>22</v>
      </c>
    </row>
    <row r="6310" spans="1:11">
      <c r="A6310" s="30" t="s">
        <v>14791</v>
      </c>
      <c r="B6310" s="30" t="s">
        <v>14792</v>
      </c>
      <c r="C6310" s="30" t="s">
        <v>969</v>
      </c>
      <c r="D6310" s="30" t="s">
        <v>17</v>
      </c>
      <c r="E6310" s="30" t="s">
        <v>67</v>
      </c>
      <c r="F6310" s="30" t="s">
        <v>68</v>
      </c>
      <c r="G6310" s="30" t="s">
        <v>20</v>
      </c>
      <c r="H6310" s="32">
        <v>551</v>
      </c>
      <c r="I6310" s="30" t="s">
        <v>21</v>
      </c>
      <c r="J6310" s="41">
        <v>44475</v>
      </c>
      <c r="K6310" s="30" t="s">
        <v>22</v>
      </c>
    </row>
    <row r="6311" spans="1:11">
      <c r="A6311" s="33" t="s">
        <v>14793</v>
      </c>
      <c r="B6311" s="33" t="s">
        <v>14794</v>
      </c>
      <c r="C6311" s="33" t="s">
        <v>5469</v>
      </c>
      <c r="D6311" s="33" t="s">
        <v>17</v>
      </c>
      <c r="E6311" s="33" t="s">
        <v>18</v>
      </c>
      <c r="F6311" s="33" t="s">
        <v>19</v>
      </c>
      <c r="G6311" s="33" t="s">
        <v>20</v>
      </c>
      <c r="H6311" s="35">
        <v>12</v>
      </c>
      <c r="I6311" s="33" t="s">
        <v>21</v>
      </c>
      <c r="J6311" s="42">
        <v>44442</v>
      </c>
      <c r="K6311" s="33" t="s">
        <v>22</v>
      </c>
    </row>
    <row r="6312" spans="1:11">
      <c r="A6312" s="30" t="s">
        <v>14795</v>
      </c>
      <c r="B6312" s="30" t="s">
        <v>14796</v>
      </c>
      <c r="C6312" s="30" t="s">
        <v>149</v>
      </c>
      <c r="D6312" s="30" t="s">
        <v>17</v>
      </c>
      <c r="E6312" s="30" t="s">
        <v>18</v>
      </c>
      <c r="F6312" s="30" t="s">
        <v>19</v>
      </c>
      <c r="G6312" s="30" t="s">
        <v>20</v>
      </c>
      <c r="H6312" s="32">
        <v>228</v>
      </c>
      <c r="I6312" s="30" t="s">
        <v>21</v>
      </c>
      <c r="J6312" s="41">
        <v>44329</v>
      </c>
      <c r="K6312" s="30" t="s">
        <v>22</v>
      </c>
    </row>
    <row r="6313" spans="1:11">
      <c r="A6313" s="33" t="s">
        <v>14797</v>
      </c>
      <c r="B6313" s="33" t="s">
        <v>14798</v>
      </c>
      <c r="C6313" s="33" t="s">
        <v>7035</v>
      </c>
      <c r="D6313" s="33" t="s">
        <v>17</v>
      </c>
      <c r="E6313" s="33" t="s">
        <v>26</v>
      </c>
      <c r="F6313" s="33" t="s">
        <v>27</v>
      </c>
      <c r="G6313" s="33" t="s">
        <v>20</v>
      </c>
      <c r="H6313" s="35">
        <v>28</v>
      </c>
      <c r="I6313" s="33" t="s">
        <v>21</v>
      </c>
      <c r="J6313" s="42">
        <v>44397</v>
      </c>
      <c r="K6313" s="33" t="s">
        <v>22</v>
      </c>
    </row>
    <row r="6314" spans="1:11">
      <c r="A6314" s="30" t="s">
        <v>14799</v>
      </c>
      <c r="B6314" s="30" t="s">
        <v>14800</v>
      </c>
      <c r="C6314" s="30" t="s">
        <v>231</v>
      </c>
      <c r="D6314" s="30" t="s">
        <v>17</v>
      </c>
      <c r="E6314" s="30" t="s">
        <v>26</v>
      </c>
      <c r="F6314" s="30" t="s">
        <v>27</v>
      </c>
      <c r="G6314" s="30" t="s">
        <v>20</v>
      </c>
      <c r="H6314" s="32">
        <v>13</v>
      </c>
      <c r="I6314" s="30" t="s">
        <v>21</v>
      </c>
      <c r="J6314" s="41">
        <v>44334</v>
      </c>
      <c r="K6314" s="30" t="s">
        <v>22</v>
      </c>
    </row>
    <row r="6315" spans="1:11">
      <c r="A6315" s="33" t="s">
        <v>14801</v>
      </c>
      <c r="B6315" s="33" t="s">
        <v>14802</v>
      </c>
      <c r="C6315" s="33" t="s">
        <v>549</v>
      </c>
      <c r="D6315" s="33" t="s">
        <v>17</v>
      </c>
      <c r="E6315" s="33" t="s">
        <v>26</v>
      </c>
      <c r="F6315" s="33" t="s">
        <v>27</v>
      </c>
      <c r="G6315" s="33" t="s">
        <v>20</v>
      </c>
      <c r="H6315" s="35">
        <v>100</v>
      </c>
      <c r="I6315" s="33" t="s">
        <v>21</v>
      </c>
      <c r="J6315" s="42">
        <v>44315</v>
      </c>
      <c r="K6315" s="33" t="s">
        <v>22</v>
      </c>
    </row>
    <row r="6316" spans="1:11">
      <c r="A6316" s="30" t="s">
        <v>14803</v>
      </c>
      <c r="B6316" s="30" t="s">
        <v>14804</v>
      </c>
      <c r="C6316" s="30" t="s">
        <v>6735</v>
      </c>
      <c r="D6316" s="30" t="s">
        <v>17</v>
      </c>
      <c r="E6316" s="30" t="s">
        <v>31</v>
      </c>
      <c r="F6316" s="30" t="s">
        <v>32</v>
      </c>
      <c r="G6316" s="30" t="s">
        <v>20</v>
      </c>
      <c r="H6316" s="32">
        <v>147</v>
      </c>
      <c r="I6316" s="30" t="s">
        <v>21</v>
      </c>
      <c r="J6316" s="41">
        <v>44517</v>
      </c>
      <c r="K6316" s="30" t="s">
        <v>22</v>
      </c>
    </row>
    <row r="6317" spans="1:11">
      <c r="A6317" s="33" t="s">
        <v>14805</v>
      </c>
      <c r="B6317" s="33" t="s">
        <v>14806</v>
      </c>
      <c r="C6317" s="33" t="s">
        <v>1090</v>
      </c>
      <c r="D6317" s="33" t="s">
        <v>17</v>
      </c>
      <c r="E6317" s="33" t="s">
        <v>18</v>
      </c>
      <c r="F6317" s="33" t="s">
        <v>19</v>
      </c>
      <c r="G6317" s="33" t="s">
        <v>158</v>
      </c>
      <c r="H6317" s="35">
        <v>193</v>
      </c>
      <c r="I6317" s="33" t="s">
        <v>21</v>
      </c>
      <c r="J6317" s="42">
        <v>44299</v>
      </c>
      <c r="K6317" s="33" t="s">
        <v>22</v>
      </c>
    </row>
    <row r="6318" spans="1:11">
      <c r="A6318" s="30" t="s">
        <v>14807</v>
      </c>
      <c r="B6318" s="30" t="s">
        <v>14808</v>
      </c>
      <c r="C6318" s="30" t="s">
        <v>14809</v>
      </c>
      <c r="D6318" s="30" t="s">
        <v>17</v>
      </c>
      <c r="E6318" s="30" t="s">
        <v>31</v>
      </c>
      <c r="F6318" s="30" t="s">
        <v>32</v>
      </c>
      <c r="G6318" s="30" t="s">
        <v>50</v>
      </c>
      <c r="H6318" s="32">
        <v>40</v>
      </c>
      <c r="I6318" s="30" t="s">
        <v>51</v>
      </c>
      <c r="J6318" s="41">
        <v>44275</v>
      </c>
      <c r="K6318" s="30" t="s">
        <v>22</v>
      </c>
    </row>
    <row r="6319" spans="1:11">
      <c r="A6319" s="33" t="s">
        <v>14810</v>
      </c>
      <c r="B6319" s="33" t="s">
        <v>14811</v>
      </c>
      <c r="C6319" s="33" t="s">
        <v>4170</v>
      </c>
      <c r="D6319" s="33" t="s">
        <v>17</v>
      </c>
      <c r="E6319" s="33" t="s">
        <v>31</v>
      </c>
      <c r="F6319" s="33" t="s">
        <v>32</v>
      </c>
      <c r="G6319" s="33" t="s">
        <v>106</v>
      </c>
      <c r="H6319" s="35">
        <v>5</v>
      </c>
      <c r="I6319" s="33" t="s">
        <v>21</v>
      </c>
      <c r="J6319" s="42">
        <v>44441</v>
      </c>
      <c r="K6319" s="33" t="s">
        <v>22</v>
      </c>
    </row>
    <row r="6320" spans="1:11">
      <c r="A6320" s="30" t="s">
        <v>14812</v>
      </c>
      <c r="B6320" s="30" t="s">
        <v>14813</v>
      </c>
      <c r="C6320" s="30" t="s">
        <v>75</v>
      </c>
      <c r="D6320" s="30" t="s">
        <v>17</v>
      </c>
      <c r="E6320" s="30" t="s">
        <v>26</v>
      </c>
      <c r="F6320" s="30" t="s">
        <v>27</v>
      </c>
      <c r="G6320" s="30" t="s">
        <v>20</v>
      </c>
      <c r="H6320" s="32">
        <v>17</v>
      </c>
      <c r="I6320" s="30" t="s">
        <v>21</v>
      </c>
      <c r="J6320" s="41">
        <v>44393</v>
      </c>
      <c r="K6320" s="30" t="s">
        <v>22</v>
      </c>
    </row>
    <row r="6321" spans="1:11">
      <c r="A6321" s="33" t="s">
        <v>14814</v>
      </c>
      <c r="B6321" s="33" t="s">
        <v>14815</v>
      </c>
      <c r="C6321" s="33" t="s">
        <v>14816</v>
      </c>
      <c r="D6321" s="33" t="s">
        <v>17</v>
      </c>
      <c r="E6321" s="33" t="s">
        <v>26</v>
      </c>
      <c r="F6321" s="33" t="s">
        <v>27</v>
      </c>
      <c r="G6321" s="33" t="s">
        <v>50</v>
      </c>
      <c r="H6321" s="35">
        <v>80</v>
      </c>
      <c r="I6321" s="33" t="s">
        <v>51</v>
      </c>
      <c r="J6321" s="42">
        <v>44509</v>
      </c>
      <c r="K6321" s="33" t="s">
        <v>22</v>
      </c>
    </row>
    <row r="6322" spans="1:11">
      <c r="A6322" s="30" t="s">
        <v>14817</v>
      </c>
      <c r="B6322" s="30" t="s">
        <v>14818</v>
      </c>
      <c r="C6322" s="30" t="s">
        <v>4634</v>
      </c>
      <c r="D6322" s="30" t="s">
        <v>17</v>
      </c>
      <c r="E6322" s="30" t="s">
        <v>26</v>
      </c>
      <c r="F6322" s="30" t="s">
        <v>27</v>
      </c>
      <c r="G6322" s="30" t="s">
        <v>20</v>
      </c>
      <c r="H6322" s="32">
        <v>36</v>
      </c>
      <c r="I6322" s="30" t="s">
        <v>21</v>
      </c>
      <c r="J6322" s="41">
        <v>44254</v>
      </c>
      <c r="K6322" s="30" t="s">
        <v>22</v>
      </c>
    </row>
    <row r="6323" spans="1:11">
      <c r="A6323" s="33" t="s">
        <v>14819</v>
      </c>
      <c r="B6323" s="33" t="s">
        <v>14820</v>
      </c>
      <c r="C6323" s="33" t="s">
        <v>1655</v>
      </c>
      <c r="D6323" s="33" t="s">
        <v>17</v>
      </c>
      <c r="E6323" s="33" t="s">
        <v>31</v>
      </c>
      <c r="F6323" s="33" t="s">
        <v>32</v>
      </c>
      <c r="G6323" s="33" t="s">
        <v>106</v>
      </c>
      <c r="H6323" s="35">
        <v>173</v>
      </c>
      <c r="I6323" s="33" t="s">
        <v>21</v>
      </c>
      <c r="J6323" s="42">
        <v>44466</v>
      </c>
      <c r="K6323" s="33" t="s">
        <v>22</v>
      </c>
    </row>
    <row r="6324" spans="1:11">
      <c r="A6324" s="30" t="s">
        <v>14821</v>
      </c>
      <c r="B6324" s="30" t="s">
        <v>14822</v>
      </c>
      <c r="C6324" s="30" t="s">
        <v>12879</v>
      </c>
      <c r="D6324" s="30" t="s">
        <v>17</v>
      </c>
      <c r="E6324" s="30" t="s">
        <v>45</v>
      </c>
      <c r="F6324" s="30" t="s">
        <v>46</v>
      </c>
      <c r="G6324" s="30" t="s">
        <v>106</v>
      </c>
      <c r="H6324" s="32">
        <v>7</v>
      </c>
      <c r="I6324" s="30" t="s">
        <v>21</v>
      </c>
      <c r="J6324" s="41">
        <v>44538</v>
      </c>
      <c r="K6324" s="30" t="s">
        <v>22</v>
      </c>
    </row>
    <row r="6325" spans="1:11">
      <c r="A6325" s="33" t="s">
        <v>14823</v>
      </c>
      <c r="B6325" s="33" t="s">
        <v>14824</v>
      </c>
      <c r="C6325" s="33" t="s">
        <v>14825</v>
      </c>
      <c r="D6325" s="33" t="s">
        <v>17</v>
      </c>
      <c r="E6325" s="33" t="s">
        <v>67</v>
      </c>
      <c r="F6325" s="33" t="s">
        <v>68</v>
      </c>
      <c r="G6325" s="33" t="s">
        <v>112</v>
      </c>
      <c r="H6325" s="35">
        <v>0</v>
      </c>
      <c r="I6325" s="33" t="s">
        <v>21</v>
      </c>
      <c r="J6325" s="42">
        <v>44256</v>
      </c>
      <c r="K6325" s="33" t="s">
        <v>22</v>
      </c>
    </row>
    <row r="6326" spans="1:11">
      <c r="A6326" s="30" t="s">
        <v>14826</v>
      </c>
      <c r="B6326" s="30" t="s">
        <v>14827</v>
      </c>
      <c r="C6326" s="30" t="s">
        <v>118</v>
      </c>
      <c r="D6326" s="30" t="s">
        <v>17</v>
      </c>
      <c r="E6326" s="30" t="s">
        <v>31</v>
      </c>
      <c r="F6326" s="30" t="s">
        <v>32</v>
      </c>
      <c r="G6326" s="30" t="s">
        <v>20</v>
      </c>
      <c r="H6326" s="32">
        <v>951</v>
      </c>
      <c r="I6326" s="30" t="s">
        <v>21</v>
      </c>
      <c r="J6326" s="41">
        <v>44426</v>
      </c>
      <c r="K6326" s="30" t="s">
        <v>22</v>
      </c>
    </row>
    <row r="6327" spans="1:11">
      <c r="A6327" s="33" t="s">
        <v>14828</v>
      </c>
      <c r="B6327" s="33" t="s">
        <v>14829</v>
      </c>
      <c r="C6327" s="33" t="s">
        <v>203</v>
      </c>
      <c r="D6327" s="33" t="s">
        <v>17</v>
      </c>
      <c r="E6327" s="33" t="s">
        <v>31</v>
      </c>
      <c r="F6327" s="33" t="s">
        <v>32</v>
      </c>
      <c r="G6327" s="33" t="s">
        <v>106</v>
      </c>
      <c r="H6327" s="35">
        <v>106</v>
      </c>
      <c r="I6327" s="33" t="s">
        <v>21</v>
      </c>
      <c r="J6327" s="42">
        <v>44462</v>
      </c>
      <c r="K6327" s="33" t="s">
        <v>22</v>
      </c>
    </row>
    <row r="6328" spans="1:11">
      <c r="A6328" s="30" t="s">
        <v>14830</v>
      </c>
      <c r="B6328" s="30" t="s">
        <v>14831</v>
      </c>
      <c r="C6328" s="30" t="s">
        <v>14832</v>
      </c>
      <c r="D6328" s="30" t="s">
        <v>17</v>
      </c>
      <c r="E6328" s="30" t="s">
        <v>26</v>
      </c>
      <c r="F6328" s="30" t="s">
        <v>27</v>
      </c>
      <c r="G6328" s="30" t="s">
        <v>20</v>
      </c>
      <c r="H6328" s="32">
        <v>64</v>
      </c>
      <c r="I6328" s="30" t="s">
        <v>21</v>
      </c>
      <c r="J6328" s="41">
        <v>44539</v>
      </c>
      <c r="K6328" s="30" t="s">
        <v>22</v>
      </c>
    </row>
    <row r="6329" spans="1:11">
      <c r="A6329" s="33" t="s">
        <v>14833</v>
      </c>
      <c r="B6329" s="33" t="s">
        <v>14834</v>
      </c>
      <c r="C6329" s="33" t="s">
        <v>14835</v>
      </c>
      <c r="D6329" s="33" t="s">
        <v>17</v>
      </c>
      <c r="E6329" s="33" t="s">
        <v>18</v>
      </c>
      <c r="F6329" s="33" t="s">
        <v>19</v>
      </c>
      <c r="G6329" s="33" t="s">
        <v>140</v>
      </c>
      <c r="H6329" s="35">
        <v>500</v>
      </c>
      <c r="I6329" s="33" t="s">
        <v>51</v>
      </c>
      <c r="J6329" s="42">
        <v>44540</v>
      </c>
      <c r="K6329" s="33" t="s">
        <v>22</v>
      </c>
    </row>
    <row r="6330" spans="1:11">
      <c r="A6330" s="30" t="s">
        <v>14836</v>
      </c>
      <c r="B6330" s="30" t="s">
        <v>14837</v>
      </c>
      <c r="C6330" s="30" t="s">
        <v>1598</v>
      </c>
      <c r="D6330" s="30" t="s">
        <v>17</v>
      </c>
      <c r="E6330" s="30" t="s">
        <v>31</v>
      </c>
      <c r="F6330" s="30" t="s">
        <v>32</v>
      </c>
      <c r="G6330" s="30" t="s">
        <v>20</v>
      </c>
      <c r="H6330" s="32">
        <v>252</v>
      </c>
      <c r="I6330" s="30" t="s">
        <v>21</v>
      </c>
      <c r="J6330" s="41">
        <v>44445</v>
      </c>
      <c r="K6330" s="30" t="s">
        <v>22</v>
      </c>
    </row>
    <row r="6331" spans="1:11">
      <c r="A6331" s="33" t="s">
        <v>14838</v>
      </c>
      <c r="B6331" s="33" t="s">
        <v>14839</v>
      </c>
      <c r="C6331" s="33" t="s">
        <v>969</v>
      </c>
      <c r="D6331" s="33" t="s">
        <v>17</v>
      </c>
      <c r="E6331" s="33" t="s">
        <v>18</v>
      </c>
      <c r="F6331" s="33" t="s">
        <v>19</v>
      </c>
      <c r="G6331" s="33" t="s">
        <v>20</v>
      </c>
      <c r="H6331" s="35">
        <v>1717</v>
      </c>
      <c r="I6331" s="33" t="s">
        <v>21</v>
      </c>
      <c r="J6331" s="42">
        <v>44222</v>
      </c>
      <c r="K6331" s="33" t="s">
        <v>22</v>
      </c>
    </row>
    <row r="6332" spans="1:11">
      <c r="A6332" s="30" t="s">
        <v>14840</v>
      </c>
      <c r="B6332" s="30" t="s">
        <v>14841</v>
      </c>
      <c r="C6332" s="30" t="s">
        <v>14842</v>
      </c>
      <c r="D6332" s="30" t="s">
        <v>17</v>
      </c>
      <c r="E6332" s="30" t="s">
        <v>212</v>
      </c>
      <c r="F6332" s="30" t="s">
        <v>213</v>
      </c>
      <c r="G6332" s="30" t="s">
        <v>140</v>
      </c>
      <c r="H6332" s="32">
        <v>400</v>
      </c>
      <c r="I6332" s="30" t="s">
        <v>51</v>
      </c>
      <c r="J6332" s="41">
        <v>44421</v>
      </c>
      <c r="K6332" s="30" t="s">
        <v>22</v>
      </c>
    </row>
    <row r="6333" spans="1:11">
      <c r="A6333" s="33" t="s">
        <v>14843</v>
      </c>
      <c r="B6333" s="33" t="s">
        <v>14844</v>
      </c>
      <c r="C6333" s="33" t="s">
        <v>3986</v>
      </c>
      <c r="D6333" s="33" t="s">
        <v>17</v>
      </c>
      <c r="E6333" s="33" t="s">
        <v>26</v>
      </c>
      <c r="F6333" s="33" t="s">
        <v>27</v>
      </c>
      <c r="G6333" s="33" t="s">
        <v>20</v>
      </c>
      <c r="H6333" s="35">
        <v>74</v>
      </c>
      <c r="I6333" s="33" t="s">
        <v>21</v>
      </c>
      <c r="J6333" s="42">
        <v>44294</v>
      </c>
      <c r="K6333" s="33" t="s">
        <v>22</v>
      </c>
    </row>
    <row r="6334" spans="1:11">
      <c r="A6334" s="30" t="s">
        <v>14845</v>
      </c>
      <c r="B6334" s="30" t="s">
        <v>14846</v>
      </c>
      <c r="C6334" s="30" t="s">
        <v>93</v>
      </c>
      <c r="D6334" s="30" t="s">
        <v>17</v>
      </c>
      <c r="E6334" s="30" t="s">
        <v>31</v>
      </c>
      <c r="F6334" s="30" t="s">
        <v>32</v>
      </c>
      <c r="G6334" s="30" t="s">
        <v>106</v>
      </c>
      <c r="H6334" s="32">
        <v>48</v>
      </c>
      <c r="I6334" s="30" t="s">
        <v>21</v>
      </c>
      <c r="J6334" s="41">
        <v>44459</v>
      </c>
      <c r="K6334" s="30" t="s">
        <v>22</v>
      </c>
    </row>
    <row r="6335" spans="1:11">
      <c r="A6335" s="33" t="s">
        <v>14847</v>
      </c>
      <c r="B6335" s="33" t="s">
        <v>14848</v>
      </c>
      <c r="C6335" s="33" t="s">
        <v>136</v>
      </c>
      <c r="D6335" s="33" t="s">
        <v>17</v>
      </c>
      <c r="E6335" s="33" t="s">
        <v>26</v>
      </c>
      <c r="F6335" s="33" t="s">
        <v>27</v>
      </c>
      <c r="G6335" s="33" t="s">
        <v>20</v>
      </c>
      <c r="H6335" s="35">
        <v>44</v>
      </c>
      <c r="I6335" s="33" t="s">
        <v>21</v>
      </c>
      <c r="J6335" s="42">
        <v>44348</v>
      </c>
      <c r="K6335" s="33" t="s">
        <v>22</v>
      </c>
    </row>
    <row r="6336" spans="1:11">
      <c r="A6336" s="30" t="s">
        <v>14849</v>
      </c>
      <c r="B6336" s="30" t="s">
        <v>14850</v>
      </c>
      <c r="C6336" s="30" t="s">
        <v>9528</v>
      </c>
      <c r="D6336" s="30" t="s">
        <v>17</v>
      </c>
      <c r="E6336" s="30" t="s">
        <v>18</v>
      </c>
      <c r="F6336" s="30" t="s">
        <v>19</v>
      </c>
      <c r="G6336" s="30" t="s">
        <v>106</v>
      </c>
      <c r="H6336" s="32">
        <v>326</v>
      </c>
      <c r="I6336" s="30" t="s">
        <v>21</v>
      </c>
      <c r="J6336" s="41">
        <v>44202</v>
      </c>
      <c r="K6336" s="30" t="s">
        <v>22</v>
      </c>
    </row>
    <row r="6337" spans="1:11">
      <c r="A6337" s="33" t="s">
        <v>14851</v>
      </c>
      <c r="B6337" s="33" t="s">
        <v>14852</v>
      </c>
      <c r="C6337" s="33" t="s">
        <v>5696</v>
      </c>
      <c r="D6337" s="33" t="s">
        <v>17</v>
      </c>
      <c r="E6337" s="33" t="s">
        <v>26</v>
      </c>
      <c r="F6337" s="33" t="s">
        <v>27</v>
      </c>
      <c r="G6337" s="33" t="s">
        <v>20</v>
      </c>
      <c r="H6337" s="35">
        <v>70</v>
      </c>
      <c r="I6337" s="33" t="s">
        <v>21</v>
      </c>
      <c r="J6337" s="42">
        <v>44511</v>
      </c>
      <c r="K6337" s="33" t="s">
        <v>22</v>
      </c>
    </row>
    <row r="6338" spans="1:11">
      <c r="A6338" s="30" t="s">
        <v>14853</v>
      </c>
      <c r="B6338" s="30" t="s">
        <v>14854</v>
      </c>
      <c r="C6338" s="30" t="s">
        <v>14855</v>
      </c>
      <c r="D6338" s="30" t="s">
        <v>17</v>
      </c>
      <c r="E6338" s="30" t="s">
        <v>26</v>
      </c>
      <c r="F6338" s="30" t="s">
        <v>27</v>
      </c>
      <c r="G6338" s="30" t="s">
        <v>20</v>
      </c>
      <c r="H6338" s="32">
        <v>36</v>
      </c>
      <c r="I6338" s="30" t="s">
        <v>21</v>
      </c>
      <c r="J6338" s="41">
        <v>44257</v>
      </c>
      <c r="K6338" s="30" t="s">
        <v>22</v>
      </c>
    </row>
    <row r="6339" spans="1:11">
      <c r="A6339" s="33" t="s">
        <v>14856</v>
      </c>
      <c r="B6339" s="33" t="s">
        <v>14857</v>
      </c>
      <c r="C6339" s="33" t="s">
        <v>4191</v>
      </c>
      <c r="D6339" s="33" t="s">
        <v>17</v>
      </c>
      <c r="E6339" s="33" t="s">
        <v>31</v>
      </c>
      <c r="F6339" s="33" t="s">
        <v>32</v>
      </c>
      <c r="G6339" s="33" t="s">
        <v>158</v>
      </c>
      <c r="H6339" s="35">
        <v>40</v>
      </c>
      <c r="I6339" s="33" t="s">
        <v>51</v>
      </c>
      <c r="J6339" s="42">
        <v>44552</v>
      </c>
      <c r="K6339" s="33" t="s">
        <v>22</v>
      </c>
    </row>
    <row r="6340" spans="1:11">
      <c r="A6340" s="30" t="s">
        <v>14858</v>
      </c>
      <c r="B6340" s="30" t="s">
        <v>14859</v>
      </c>
      <c r="C6340" s="30" t="s">
        <v>12737</v>
      </c>
      <c r="D6340" s="30" t="s">
        <v>17</v>
      </c>
      <c r="E6340" s="30" t="s">
        <v>67</v>
      </c>
      <c r="F6340" s="30" t="s">
        <v>68</v>
      </c>
      <c r="G6340" s="30" t="s">
        <v>20</v>
      </c>
      <c r="H6340" s="32">
        <v>40</v>
      </c>
      <c r="I6340" s="30" t="s">
        <v>21</v>
      </c>
      <c r="J6340" s="41">
        <v>44389</v>
      </c>
      <c r="K6340" s="30" t="s">
        <v>22</v>
      </c>
    </row>
    <row r="6341" spans="1:11">
      <c r="A6341" s="33" t="s">
        <v>14860</v>
      </c>
      <c r="B6341" s="33" t="s">
        <v>14861</v>
      </c>
      <c r="C6341" s="33" t="s">
        <v>570</v>
      </c>
      <c r="D6341" s="33" t="s">
        <v>17</v>
      </c>
      <c r="E6341" s="33" t="s">
        <v>26</v>
      </c>
      <c r="F6341" s="33" t="s">
        <v>27</v>
      </c>
      <c r="G6341" s="33" t="s">
        <v>50</v>
      </c>
      <c r="H6341" s="35">
        <v>419</v>
      </c>
      <c r="I6341" s="33" t="s">
        <v>21</v>
      </c>
      <c r="J6341" s="42">
        <v>44207</v>
      </c>
      <c r="K6341" s="33" t="s">
        <v>22</v>
      </c>
    </row>
    <row r="6342" spans="1:11">
      <c r="A6342" s="30" t="s">
        <v>14862</v>
      </c>
      <c r="B6342" s="30" t="s">
        <v>14863</v>
      </c>
      <c r="C6342" s="30" t="s">
        <v>14864</v>
      </c>
      <c r="D6342" s="30" t="s">
        <v>17</v>
      </c>
      <c r="E6342" s="30" t="s">
        <v>26</v>
      </c>
      <c r="F6342" s="30" t="s">
        <v>27</v>
      </c>
      <c r="G6342" s="30" t="s">
        <v>20</v>
      </c>
      <c r="H6342" s="32">
        <v>64</v>
      </c>
      <c r="I6342" s="30" t="s">
        <v>21</v>
      </c>
      <c r="J6342" s="41">
        <v>44504</v>
      </c>
      <c r="K6342" s="30" t="s">
        <v>22</v>
      </c>
    </row>
    <row r="6343" spans="1:11">
      <c r="A6343" s="33" t="s">
        <v>14865</v>
      </c>
      <c r="B6343" s="33" t="s">
        <v>14866</v>
      </c>
      <c r="C6343" s="33" t="s">
        <v>14457</v>
      </c>
      <c r="D6343" s="33" t="s">
        <v>17</v>
      </c>
      <c r="E6343" s="33" t="s">
        <v>31</v>
      </c>
      <c r="F6343" s="33" t="s">
        <v>32</v>
      </c>
      <c r="G6343" s="33" t="s">
        <v>20</v>
      </c>
      <c r="H6343" s="35">
        <v>47</v>
      </c>
      <c r="I6343" s="33" t="s">
        <v>21</v>
      </c>
      <c r="J6343" s="42">
        <v>44560</v>
      </c>
      <c r="K6343" s="33" t="s">
        <v>22</v>
      </c>
    </row>
    <row r="6344" spans="1:11">
      <c r="A6344" s="30" t="s">
        <v>14867</v>
      </c>
      <c r="B6344" s="30" t="s">
        <v>14868</v>
      </c>
      <c r="C6344" s="30" t="s">
        <v>4345</v>
      </c>
      <c r="D6344" s="30" t="s">
        <v>17</v>
      </c>
      <c r="E6344" s="30" t="s">
        <v>18</v>
      </c>
      <c r="F6344" s="30" t="s">
        <v>19</v>
      </c>
      <c r="G6344" s="30" t="s">
        <v>158</v>
      </c>
      <c r="H6344" s="32">
        <v>60</v>
      </c>
      <c r="I6344" s="30" t="s">
        <v>21</v>
      </c>
      <c r="J6344" s="41">
        <v>44518</v>
      </c>
      <c r="K6344" s="30" t="s">
        <v>22</v>
      </c>
    </row>
    <row r="6345" spans="1:11">
      <c r="A6345" s="33" t="s">
        <v>14869</v>
      </c>
      <c r="B6345" s="33" t="s">
        <v>14870</v>
      </c>
      <c r="C6345" s="33" t="s">
        <v>3243</v>
      </c>
      <c r="D6345" s="33" t="s">
        <v>17</v>
      </c>
      <c r="E6345" s="33" t="s">
        <v>18</v>
      </c>
      <c r="F6345" s="33" t="s">
        <v>19</v>
      </c>
      <c r="G6345" s="33" t="s">
        <v>20</v>
      </c>
      <c r="H6345" s="35">
        <v>184</v>
      </c>
      <c r="I6345" s="33" t="s">
        <v>21</v>
      </c>
      <c r="J6345" s="42">
        <v>44260</v>
      </c>
      <c r="K6345" s="33" t="s">
        <v>22</v>
      </c>
    </row>
    <row r="6346" spans="1:11">
      <c r="A6346" s="30" t="s">
        <v>14871</v>
      </c>
      <c r="B6346" s="30" t="s">
        <v>14872</v>
      </c>
      <c r="C6346" s="30" t="s">
        <v>44</v>
      </c>
      <c r="D6346" s="30" t="s">
        <v>17</v>
      </c>
      <c r="E6346" s="30" t="s">
        <v>18</v>
      </c>
      <c r="F6346" s="30" t="s">
        <v>19</v>
      </c>
      <c r="G6346" s="30" t="s">
        <v>106</v>
      </c>
      <c r="H6346" s="32">
        <v>66</v>
      </c>
      <c r="I6346" s="30" t="s">
        <v>21</v>
      </c>
      <c r="J6346" s="41">
        <v>44494</v>
      </c>
      <c r="K6346" s="30" t="s">
        <v>22</v>
      </c>
    </row>
    <row r="6347" spans="1:11">
      <c r="A6347" s="33" t="s">
        <v>14873</v>
      </c>
      <c r="B6347" s="33" t="s">
        <v>14874</v>
      </c>
      <c r="C6347" s="33" t="s">
        <v>575</v>
      </c>
      <c r="D6347" s="33" t="s">
        <v>17</v>
      </c>
      <c r="E6347" s="33" t="s">
        <v>26</v>
      </c>
      <c r="F6347" s="33" t="s">
        <v>27</v>
      </c>
      <c r="G6347" s="33" t="s">
        <v>20</v>
      </c>
      <c r="H6347" s="35">
        <v>23</v>
      </c>
      <c r="I6347" s="33" t="s">
        <v>21</v>
      </c>
      <c r="J6347" s="42">
        <v>44200</v>
      </c>
      <c r="K6347" s="33" t="s">
        <v>22</v>
      </c>
    </row>
    <row r="6348" spans="1:11">
      <c r="A6348" s="30" t="s">
        <v>14875</v>
      </c>
      <c r="B6348" s="30" t="s">
        <v>14876</v>
      </c>
      <c r="C6348" s="30" t="s">
        <v>2292</v>
      </c>
      <c r="D6348" s="30" t="s">
        <v>17</v>
      </c>
      <c r="E6348" s="30" t="s">
        <v>31</v>
      </c>
      <c r="F6348" s="30" t="s">
        <v>32</v>
      </c>
      <c r="G6348" s="30" t="s">
        <v>106</v>
      </c>
      <c r="H6348" s="32">
        <v>62</v>
      </c>
      <c r="I6348" s="30" t="s">
        <v>21</v>
      </c>
      <c r="J6348" s="41">
        <v>44438</v>
      </c>
      <c r="K6348" s="30" t="s">
        <v>22</v>
      </c>
    </row>
    <row r="6349" spans="1:11">
      <c r="A6349" s="33" t="s">
        <v>14877</v>
      </c>
      <c r="B6349" s="33" t="s">
        <v>14878</v>
      </c>
      <c r="C6349" s="33" t="s">
        <v>3986</v>
      </c>
      <c r="D6349" s="33" t="s">
        <v>17</v>
      </c>
      <c r="E6349" s="33" t="s">
        <v>26</v>
      </c>
      <c r="F6349" s="33" t="s">
        <v>27</v>
      </c>
      <c r="G6349" s="33" t="s">
        <v>112</v>
      </c>
      <c r="H6349" s="35">
        <v>0</v>
      </c>
      <c r="I6349" s="33" t="s">
        <v>21</v>
      </c>
      <c r="J6349" s="42">
        <v>44197</v>
      </c>
      <c r="K6349" s="33" t="s">
        <v>22</v>
      </c>
    </row>
    <row r="6350" spans="1:11">
      <c r="A6350" s="30" t="s">
        <v>14879</v>
      </c>
      <c r="B6350" s="30" t="s">
        <v>14880</v>
      </c>
      <c r="C6350" s="30" t="s">
        <v>102</v>
      </c>
      <c r="D6350" s="30" t="s">
        <v>17</v>
      </c>
      <c r="E6350" s="30" t="s">
        <v>26</v>
      </c>
      <c r="F6350" s="30" t="s">
        <v>27</v>
      </c>
      <c r="G6350" s="30" t="s">
        <v>106</v>
      </c>
      <c r="H6350" s="32">
        <v>11</v>
      </c>
      <c r="I6350" s="30" t="s">
        <v>21</v>
      </c>
      <c r="J6350" s="41">
        <v>44504</v>
      </c>
      <c r="K6350" s="30" t="s">
        <v>22</v>
      </c>
    </row>
    <row r="6351" spans="1:11">
      <c r="A6351" s="33" t="s">
        <v>14881</v>
      </c>
      <c r="B6351" s="33" t="s">
        <v>14882</v>
      </c>
      <c r="C6351" s="33" t="s">
        <v>157</v>
      </c>
      <c r="D6351" s="33" t="s">
        <v>17</v>
      </c>
      <c r="E6351" s="33" t="s">
        <v>67</v>
      </c>
      <c r="F6351" s="33" t="s">
        <v>68</v>
      </c>
      <c r="G6351" s="33" t="s">
        <v>20</v>
      </c>
      <c r="H6351" s="35">
        <v>5</v>
      </c>
      <c r="I6351" s="33" t="s">
        <v>21</v>
      </c>
      <c r="J6351" s="42">
        <v>44446</v>
      </c>
      <c r="K6351" s="33" t="s">
        <v>22</v>
      </c>
    </row>
    <row r="6352" spans="1:11">
      <c r="A6352" s="30" t="s">
        <v>14883</v>
      </c>
      <c r="B6352" s="30" t="s">
        <v>14884</v>
      </c>
      <c r="C6352" s="30" t="s">
        <v>4383</v>
      </c>
      <c r="D6352" s="30" t="s">
        <v>17</v>
      </c>
      <c r="E6352" s="30" t="s">
        <v>67</v>
      </c>
      <c r="F6352" s="30" t="s">
        <v>68</v>
      </c>
      <c r="G6352" s="30" t="s">
        <v>158</v>
      </c>
      <c r="H6352" s="32">
        <v>200</v>
      </c>
      <c r="I6352" s="30" t="s">
        <v>51</v>
      </c>
      <c r="J6352" s="41">
        <v>44502</v>
      </c>
      <c r="K6352" s="30" t="s">
        <v>22</v>
      </c>
    </row>
    <row r="6353" spans="1:11">
      <c r="A6353" s="33" t="s">
        <v>14885</v>
      </c>
      <c r="B6353" s="33" t="s">
        <v>14886</v>
      </c>
      <c r="C6353" s="33" t="s">
        <v>109</v>
      </c>
      <c r="D6353" s="33" t="s">
        <v>17</v>
      </c>
      <c r="E6353" s="33" t="s">
        <v>26</v>
      </c>
      <c r="F6353" s="33" t="s">
        <v>27</v>
      </c>
      <c r="G6353" s="33" t="s">
        <v>20</v>
      </c>
      <c r="H6353" s="35">
        <v>40</v>
      </c>
      <c r="I6353" s="33" t="s">
        <v>21</v>
      </c>
      <c r="J6353" s="42">
        <v>44253</v>
      </c>
      <c r="K6353" s="33" t="s">
        <v>22</v>
      </c>
    </row>
    <row r="6354" spans="1:11">
      <c r="A6354" s="30" t="s">
        <v>14887</v>
      </c>
      <c r="B6354" s="30" t="s">
        <v>14888</v>
      </c>
      <c r="C6354" s="30" t="s">
        <v>6041</v>
      </c>
      <c r="D6354" s="30" t="s">
        <v>17</v>
      </c>
      <c r="E6354" s="30" t="s">
        <v>18</v>
      </c>
      <c r="F6354" s="30" t="s">
        <v>19</v>
      </c>
      <c r="G6354" s="30" t="s">
        <v>20</v>
      </c>
      <c r="H6354" s="32">
        <v>1030</v>
      </c>
      <c r="I6354" s="30" t="s">
        <v>21</v>
      </c>
      <c r="J6354" s="41">
        <v>44491</v>
      </c>
      <c r="K6354" s="30" t="s">
        <v>22</v>
      </c>
    </row>
    <row r="6355" spans="1:11">
      <c r="A6355" s="33" t="s">
        <v>14889</v>
      </c>
      <c r="B6355" s="33" t="s">
        <v>14890</v>
      </c>
      <c r="C6355" s="33" t="s">
        <v>10699</v>
      </c>
      <c r="D6355" s="33" t="s">
        <v>17</v>
      </c>
      <c r="E6355" s="33" t="s">
        <v>26</v>
      </c>
      <c r="F6355" s="33" t="s">
        <v>27</v>
      </c>
      <c r="G6355" s="33" t="s">
        <v>20</v>
      </c>
      <c r="H6355" s="35">
        <v>26</v>
      </c>
      <c r="I6355" s="33" t="s">
        <v>21</v>
      </c>
      <c r="J6355" s="42">
        <v>44352</v>
      </c>
      <c r="K6355" s="33" t="s">
        <v>22</v>
      </c>
    </row>
    <row r="6356" spans="1:11">
      <c r="A6356" s="30" t="s">
        <v>14891</v>
      </c>
      <c r="B6356" s="30" t="s">
        <v>14892</v>
      </c>
      <c r="C6356" s="30" t="s">
        <v>653</v>
      </c>
      <c r="D6356" s="30" t="s">
        <v>17</v>
      </c>
      <c r="E6356" s="30" t="s">
        <v>67</v>
      </c>
      <c r="F6356" s="30" t="s">
        <v>68</v>
      </c>
      <c r="G6356" s="30" t="s">
        <v>20</v>
      </c>
      <c r="H6356" s="32">
        <v>15</v>
      </c>
      <c r="I6356" s="30" t="s">
        <v>21</v>
      </c>
      <c r="J6356" s="41">
        <v>44488</v>
      </c>
      <c r="K6356" s="30" t="s">
        <v>22</v>
      </c>
    </row>
    <row r="6357" spans="1:11">
      <c r="A6357" s="33" t="s">
        <v>14893</v>
      </c>
      <c r="B6357" s="33" t="s">
        <v>14894</v>
      </c>
      <c r="C6357" s="33" t="s">
        <v>10950</v>
      </c>
      <c r="D6357" s="33" t="s">
        <v>17</v>
      </c>
      <c r="E6357" s="33" t="s">
        <v>26</v>
      </c>
      <c r="F6357" s="33" t="s">
        <v>27</v>
      </c>
      <c r="G6357" s="33" t="s">
        <v>50</v>
      </c>
      <c r="H6357" s="35">
        <v>24</v>
      </c>
      <c r="I6357" s="33" t="s">
        <v>51</v>
      </c>
      <c r="J6357" s="42">
        <v>44494</v>
      </c>
      <c r="K6357" s="33" t="s">
        <v>22</v>
      </c>
    </row>
    <row r="6358" spans="1:11">
      <c r="A6358" s="30" t="s">
        <v>14895</v>
      </c>
      <c r="B6358" s="30" t="s">
        <v>14896</v>
      </c>
      <c r="C6358" s="30" t="s">
        <v>3243</v>
      </c>
      <c r="D6358" s="30" t="s">
        <v>17</v>
      </c>
      <c r="E6358" s="30" t="s">
        <v>18</v>
      </c>
      <c r="F6358" s="30" t="s">
        <v>19</v>
      </c>
      <c r="G6358" s="30" t="s">
        <v>140</v>
      </c>
      <c r="H6358" s="32">
        <v>454</v>
      </c>
      <c r="I6358" s="30" t="s">
        <v>51</v>
      </c>
      <c r="J6358" s="41">
        <v>44550</v>
      </c>
      <c r="K6358" s="30" t="s">
        <v>22</v>
      </c>
    </row>
    <row r="6359" spans="1:11">
      <c r="A6359" s="33" t="s">
        <v>14897</v>
      </c>
      <c r="B6359" s="33" t="s">
        <v>14898</v>
      </c>
      <c r="C6359" s="33" t="s">
        <v>1112</v>
      </c>
      <c r="D6359" s="33" t="s">
        <v>17</v>
      </c>
      <c r="E6359" s="33" t="s">
        <v>31</v>
      </c>
      <c r="F6359" s="33" t="s">
        <v>32</v>
      </c>
      <c r="G6359" s="33" t="s">
        <v>20</v>
      </c>
      <c r="H6359" s="35">
        <v>20</v>
      </c>
      <c r="I6359" s="33" t="s">
        <v>21</v>
      </c>
      <c r="J6359" s="42">
        <v>44334</v>
      </c>
      <c r="K6359" s="33" t="s">
        <v>22</v>
      </c>
    </row>
    <row r="6360" spans="1:11">
      <c r="A6360" s="30" t="s">
        <v>14899</v>
      </c>
      <c r="B6360" s="30" t="s">
        <v>14900</v>
      </c>
      <c r="C6360" s="30" t="s">
        <v>647</v>
      </c>
      <c r="D6360" s="30" t="s">
        <v>17</v>
      </c>
      <c r="E6360" s="30" t="s">
        <v>45</v>
      </c>
      <c r="F6360" s="30" t="s">
        <v>46</v>
      </c>
      <c r="G6360" s="30" t="s">
        <v>20</v>
      </c>
      <c r="H6360" s="32">
        <v>3632</v>
      </c>
      <c r="I6360" s="30" t="s">
        <v>21</v>
      </c>
      <c r="J6360" s="41">
        <v>44293</v>
      </c>
      <c r="K6360" s="30" t="s">
        <v>22</v>
      </c>
    </row>
    <row r="6361" spans="1:11">
      <c r="A6361" s="33" t="s">
        <v>14901</v>
      </c>
      <c r="B6361" s="33" t="s">
        <v>14902</v>
      </c>
      <c r="C6361" s="33" t="s">
        <v>3647</v>
      </c>
      <c r="D6361" s="33" t="s">
        <v>17</v>
      </c>
      <c r="E6361" s="33" t="s">
        <v>18</v>
      </c>
      <c r="F6361" s="33" t="s">
        <v>19</v>
      </c>
      <c r="G6361" s="33" t="s">
        <v>112</v>
      </c>
      <c r="H6361" s="35">
        <v>0</v>
      </c>
      <c r="I6361" s="33" t="s">
        <v>21</v>
      </c>
      <c r="J6361" s="42">
        <v>44207</v>
      </c>
      <c r="K6361" s="33" t="s">
        <v>22</v>
      </c>
    </row>
    <row r="6362" spans="1:11">
      <c r="A6362" s="30" t="s">
        <v>14903</v>
      </c>
      <c r="B6362" s="30" t="s">
        <v>14904</v>
      </c>
      <c r="C6362" s="30" t="s">
        <v>57</v>
      </c>
      <c r="D6362" s="30" t="s">
        <v>17</v>
      </c>
      <c r="E6362" s="30" t="s">
        <v>18</v>
      </c>
      <c r="F6362" s="30" t="s">
        <v>19</v>
      </c>
      <c r="G6362" s="30" t="s">
        <v>20</v>
      </c>
      <c r="H6362" s="32">
        <v>332</v>
      </c>
      <c r="I6362" s="30" t="s">
        <v>21</v>
      </c>
      <c r="J6362" s="41">
        <v>44560</v>
      </c>
      <c r="K6362" s="30" t="s">
        <v>22</v>
      </c>
    </row>
    <row r="6363" spans="1:11">
      <c r="A6363" s="33" t="s">
        <v>14905</v>
      </c>
      <c r="B6363" s="33" t="s">
        <v>14906</v>
      </c>
      <c r="C6363" s="33" t="s">
        <v>3978</v>
      </c>
      <c r="D6363" s="33" t="s">
        <v>17</v>
      </c>
      <c r="E6363" s="33" t="s">
        <v>31</v>
      </c>
      <c r="F6363" s="33" t="s">
        <v>32</v>
      </c>
      <c r="G6363" s="33" t="s">
        <v>20</v>
      </c>
      <c r="H6363" s="35">
        <v>73</v>
      </c>
      <c r="I6363" s="33" t="s">
        <v>21</v>
      </c>
      <c r="J6363" s="42">
        <v>44322</v>
      </c>
      <c r="K6363" s="33" t="s">
        <v>22</v>
      </c>
    </row>
    <row r="6364" spans="1:11">
      <c r="A6364" s="30" t="s">
        <v>14907</v>
      </c>
      <c r="B6364" s="30" t="s">
        <v>14908</v>
      </c>
      <c r="C6364" s="30" t="s">
        <v>14909</v>
      </c>
      <c r="D6364" s="30" t="s">
        <v>17</v>
      </c>
      <c r="E6364" s="30" t="s">
        <v>67</v>
      </c>
      <c r="F6364" s="30" t="s">
        <v>68</v>
      </c>
      <c r="G6364" s="30" t="s">
        <v>20</v>
      </c>
      <c r="H6364" s="32">
        <v>23</v>
      </c>
      <c r="I6364" s="30" t="s">
        <v>21</v>
      </c>
      <c r="J6364" s="41">
        <v>44400</v>
      </c>
      <c r="K6364" s="30" t="s">
        <v>22</v>
      </c>
    </row>
    <row r="6365" spans="1:11">
      <c r="A6365" s="33" t="s">
        <v>14910</v>
      </c>
      <c r="B6365" s="33" t="s">
        <v>14911</v>
      </c>
      <c r="C6365" s="33" t="s">
        <v>231</v>
      </c>
      <c r="D6365" s="33" t="s">
        <v>17</v>
      </c>
      <c r="E6365" s="33" t="s">
        <v>26</v>
      </c>
      <c r="F6365" s="33" t="s">
        <v>27</v>
      </c>
      <c r="G6365" s="33" t="s">
        <v>20</v>
      </c>
      <c r="H6365" s="35">
        <v>48</v>
      </c>
      <c r="I6365" s="33" t="s">
        <v>21</v>
      </c>
      <c r="J6365" s="42">
        <v>44210</v>
      </c>
      <c r="K6365" s="33" t="s">
        <v>22</v>
      </c>
    </row>
    <row r="6366" spans="1:11">
      <c r="A6366" s="30" t="s">
        <v>14912</v>
      </c>
      <c r="B6366" s="30" t="s">
        <v>14913</v>
      </c>
      <c r="C6366" s="30" t="s">
        <v>650</v>
      </c>
      <c r="D6366" s="30" t="s">
        <v>17</v>
      </c>
      <c r="E6366" s="30" t="s">
        <v>67</v>
      </c>
      <c r="F6366" s="30" t="s">
        <v>68</v>
      </c>
      <c r="G6366" s="30" t="s">
        <v>158</v>
      </c>
      <c r="H6366" s="32">
        <v>150</v>
      </c>
      <c r="I6366" s="30" t="s">
        <v>51</v>
      </c>
      <c r="J6366" s="41">
        <v>44531</v>
      </c>
      <c r="K6366" s="30" t="s">
        <v>22</v>
      </c>
    </row>
    <row r="6367" spans="1:11">
      <c r="A6367" s="33" t="s">
        <v>14914</v>
      </c>
      <c r="B6367" s="33" t="s">
        <v>14915</v>
      </c>
      <c r="C6367" s="33" t="s">
        <v>14916</v>
      </c>
      <c r="D6367" s="33" t="s">
        <v>17</v>
      </c>
      <c r="E6367" s="33" t="s">
        <v>31</v>
      </c>
      <c r="F6367" s="33" t="s">
        <v>32</v>
      </c>
      <c r="G6367" s="33" t="s">
        <v>158</v>
      </c>
      <c r="H6367" s="35">
        <v>69</v>
      </c>
      <c r="I6367" s="33" t="s">
        <v>21</v>
      </c>
      <c r="J6367" s="42">
        <v>44551</v>
      </c>
      <c r="K6367" s="33" t="s">
        <v>22</v>
      </c>
    </row>
    <row r="6368" spans="1:11">
      <c r="A6368" s="30" t="s">
        <v>14917</v>
      </c>
      <c r="B6368" s="30" t="s">
        <v>14918</v>
      </c>
      <c r="C6368" s="30" t="s">
        <v>14919</v>
      </c>
      <c r="D6368" s="30" t="s">
        <v>17</v>
      </c>
      <c r="E6368" s="30" t="s">
        <v>26</v>
      </c>
      <c r="F6368" s="30" t="s">
        <v>27</v>
      </c>
      <c r="G6368" s="30" t="s">
        <v>20</v>
      </c>
      <c r="H6368" s="32">
        <v>24</v>
      </c>
      <c r="I6368" s="30" t="s">
        <v>21</v>
      </c>
      <c r="J6368" s="41">
        <v>44439</v>
      </c>
      <c r="K6368" s="30" t="s">
        <v>22</v>
      </c>
    </row>
    <row r="6369" spans="1:11">
      <c r="A6369" s="33" t="s">
        <v>14920</v>
      </c>
      <c r="B6369" s="33" t="s">
        <v>14921</v>
      </c>
      <c r="C6369" s="33" t="s">
        <v>1102</v>
      </c>
      <c r="D6369" s="33" t="s">
        <v>17</v>
      </c>
      <c r="E6369" s="33" t="s">
        <v>18</v>
      </c>
      <c r="F6369" s="33" t="s">
        <v>19</v>
      </c>
      <c r="G6369" s="33" t="s">
        <v>20</v>
      </c>
      <c r="H6369" s="35">
        <v>203</v>
      </c>
      <c r="I6369" s="33" t="s">
        <v>21</v>
      </c>
      <c r="J6369" s="42">
        <v>44427</v>
      </c>
      <c r="K6369" s="33" t="s">
        <v>22</v>
      </c>
    </row>
    <row r="6370" spans="1:11">
      <c r="A6370" s="30" t="s">
        <v>14922</v>
      </c>
      <c r="B6370" s="30" t="s">
        <v>14923</v>
      </c>
      <c r="C6370" s="30" t="s">
        <v>1305</v>
      </c>
      <c r="D6370" s="30" t="s">
        <v>17</v>
      </c>
      <c r="E6370" s="30" t="s">
        <v>18</v>
      </c>
      <c r="F6370" s="30" t="s">
        <v>19</v>
      </c>
      <c r="G6370" s="30" t="s">
        <v>20</v>
      </c>
      <c r="H6370" s="32">
        <v>66</v>
      </c>
      <c r="I6370" s="30" t="s">
        <v>21</v>
      </c>
      <c r="J6370" s="41">
        <v>44418</v>
      </c>
      <c r="K6370" s="30" t="s">
        <v>22</v>
      </c>
    </row>
    <row r="6371" spans="1:11">
      <c r="A6371" s="33" t="s">
        <v>14924</v>
      </c>
      <c r="B6371" s="33" t="s">
        <v>14925</v>
      </c>
      <c r="C6371" s="33" t="s">
        <v>14926</v>
      </c>
      <c r="D6371" s="33" t="s">
        <v>17</v>
      </c>
      <c r="E6371" s="33" t="s">
        <v>26</v>
      </c>
      <c r="F6371" s="33" t="s">
        <v>27</v>
      </c>
      <c r="G6371" s="33" t="s">
        <v>20</v>
      </c>
      <c r="H6371" s="35">
        <v>10</v>
      </c>
      <c r="I6371" s="33" t="s">
        <v>21</v>
      </c>
      <c r="J6371" s="42">
        <v>44277</v>
      </c>
      <c r="K6371" s="33" t="s">
        <v>22</v>
      </c>
    </row>
    <row r="6372" spans="1:11">
      <c r="A6372" s="30" t="s">
        <v>14927</v>
      </c>
      <c r="B6372" s="30" t="s">
        <v>14928</v>
      </c>
      <c r="C6372" s="30" t="s">
        <v>9905</v>
      </c>
      <c r="D6372" s="30" t="s">
        <v>17</v>
      </c>
      <c r="E6372" s="30" t="s">
        <v>26</v>
      </c>
      <c r="F6372" s="30" t="s">
        <v>27</v>
      </c>
      <c r="G6372" s="30" t="s">
        <v>20</v>
      </c>
      <c r="H6372" s="32">
        <v>24</v>
      </c>
      <c r="I6372" s="30" t="s">
        <v>21</v>
      </c>
      <c r="J6372" s="41">
        <v>44277</v>
      </c>
      <c r="K6372" s="30" t="s">
        <v>22</v>
      </c>
    </row>
    <row r="6373" spans="1:11">
      <c r="A6373" s="33" t="s">
        <v>14929</v>
      </c>
      <c r="B6373" s="33" t="s">
        <v>14930</v>
      </c>
      <c r="C6373" s="33" t="s">
        <v>124</v>
      </c>
      <c r="D6373" s="33" t="s">
        <v>17</v>
      </c>
      <c r="E6373" s="33" t="s">
        <v>26</v>
      </c>
      <c r="F6373" s="33" t="s">
        <v>27</v>
      </c>
      <c r="G6373" s="33" t="s">
        <v>20</v>
      </c>
      <c r="H6373" s="35">
        <v>41</v>
      </c>
      <c r="I6373" s="33" t="s">
        <v>21</v>
      </c>
      <c r="J6373" s="42">
        <v>44547</v>
      </c>
      <c r="K6373" s="33" t="s">
        <v>22</v>
      </c>
    </row>
    <row r="6374" spans="1:11">
      <c r="A6374" s="30" t="s">
        <v>14931</v>
      </c>
      <c r="B6374" s="30" t="s">
        <v>14932</v>
      </c>
      <c r="C6374" s="30" t="s">
        <v>14933</v>
      </c>
      <c r="D6374" s="30" t="s">
        <v>17</v>
      </c>
      <c r="E6374" s="30" t="s">
        <v>31</v>
      </c>
      <c r="F6374" s="30" t="s">
        <v>32</v>
      </c>
      <c r="G6374" s="30" t="s">
        <v>106</v>
      </c>
      <c r="H6374" s="32">
        <v>15</v>
      </c>
      <c r="I6374" s="30" t="s">
        <v>21</v>
      </c>
      <c r="J6374" s="41">
        <v>44364</v>
      </c>
      <c r="K6374" s="30" t="s">
        <v>22</v>
      </c>
    </row>
    <row r="6375" spans="1:11">
      <c r="A6375" s="33" t="s">
        <v>14934</v>
      </c>
      <c r="B6375" s="33" t="s">
        <v>14935</v>
      </c>
      <c r="C6375" s="33" t="s">
        <v>2264</v>
      </c>
      <c r="D6375" s="33" t="s">
        <v>17</v>
      </c>
      <c r="E6375" s="33" t="s">
        <v>18</v>
      </c>
      <c r="F6375" s="33" t="s">
        <v>19</v>
      </c>
      <c r="G6375" s="33" t="s">
        <v>106</v>
      </c>
      <c r="H6375" s="35">
        <v>1</v>
      </c>
      <c r="I6375" s="33" t="s">
        <v>21</v>
      </c>
      <c r="J6375" s="42">
        <v>44512</v>
      </c>
      <c r="K6375" s="33" t="s">
        <v>22</v>
      </c>
    </row>
    <row r="6376" spans="1:11">
      <c r="A6376" s="30" t="s">
        <v>14936</v>
      </c>
      <c r="B6376" s="30" t="s">
        <v>14937</v>
      </c>
      <c r="C6376" s="30" t="s">
        <v>96</v>
      </c>
      <c r="D6376" s="30" t="s">
        <v>17</v>
      </c>
      <c r="E6376" s="30" t="s">
        <v>26</v>
      </c>
      <c r="F6376" s="30" t="s">
        <v>27</v>
      </c>
      <c r="G6376" s="30" t="s">
        <v>20</v>
      </c>
      <c r="H6376" s="32">
        <v>27</v>
      </c>
      <c r="I6376" s="30" t="s">
        <v>21</v>
      </c>
      <c r="J6376" s="41">
        <v>44291</v>
      </c>
      <c r="K6376" s="30" t="s">
        <v>22</v>
      </c>
    </row>
    <row r="6377" spans="1:11">
      <c r="A6377" s="33" t="s">
        <v>14938</v>
      </c>
      <c r="B6377" s="33" t="s">
        <v>14939</v>
      </c>
      <c r="C6377" s="33" t="s">
        <v>647</v>
      </c>
      <c r="D6377" s="33" t="s">
        <v>17</v>
      </c>
      <c r="E6377" s="33" t="s">
        <v>45</v>
      </c>
      <c r="F6377" s="33" t="s">
        <v>46</v>
      </c>
      <c r="G6377" s="33" t="s">
        <v>20</v>
      </c>
      <c r="H6377" s="35">
        <v>168</v>
      </c>
      <c r="I6377" s="33" t="s">
        <v>21</v>
      </c>
      <c r="J6377" s="42">
        <v>44335</v>
      </c>
      <c r="K6377" s="33" t="s">
        <v>22</v>
      </c>
    </row>
    <row r="6378" spans="1:11">
      <c r="A6378" s="30" t="s">
        <v>14940</v>
      </c>
      <c r="B6378" s="30" t="s">
        <v>14941</v>
      </c>
      <c r="C6378" s="30" t="s">
        <v>102</v>
      </c>
      <c r="D6378" s="30" t="s">
        <v>17</v>
      </c>
      <c r="E6378" s="30" t="s">
        <v>26</v>
      </c>
      <c r="F6378" s="30" t="s">
        <v>27</v>
      </c>
      <c r="G6378" s="30" t="s">
        <v>112</v>
      </c>
      <c r="H6378" s="32">
        <v>0</v>
      </c>
      <c r="I6378" s="30" t="s">
        <v>21</v>
      </c>
      <c r="J6378" s="41">
        <v>44346</v>
      </c>
      <c r="K6378" s="30" t="s">
        <v>22</v>
      </c>
    </row>
    <row r="6379" spans="1:11">
      <c r="A6379" s="33" t="s">
        <v>14942</v>
      </c>
      <c r="B6379" s="33" t="s">
        <v>14943</v>
      </c>
      <c r="C6379" s="33" t="s">
        <v>14944</v>
      </c>
      <c r="D6379" s="33" t="s">
        <v>17</v>
      </c>
      <c r="E6379" s="33" t="s">
        <v>26</v>
      </c>
      <c r="F6379" s="33" t="s">
        <v>27</v>
      </c>
      <c r="G6379" s="33" t="s">
        <v>20</v>
      </c>
      <c r="H6379" s="35">
        <v>14</v>
      </c>
      <c r="I6379" s="33" t="s">
        <v>21</v>
      </c>
      <c r="J6379" s="42">
        <v>44420</v>
      </c>
      <c r="K6379" s="33" t="s">
        <v>22</v>
      </c>
    </row>
    <row r="6380" spans="1:11">
      <c r="A6380" s="30" t="s">
        <v>14945</v>
      </c>
      <c r="B6380" s="30" t="s">
        <v>14946</v>
      </c>
      <c r="C6380" s="30" t="s">
        <v>894</v>
      </c>
      <c r="D6380" s="30" t="s">
        <v>17</v>
      </c>
      <c r="E6380" s="30" t="s">
        <v>26</v>
      </c>
      <c r="F6380" s="30" t="s">
        <v>27</v>
      </c>
      <c r="G6380" s="30" t="s">
        <v>20</v>
      </c>
      <c r="H6380" s="32">
        <v>50</v>
      </c>
      <c r="I6380" s="30" t="s">
        <v>21</v>
      </c>
      <c r="J6380" s="41">
        <v>44404</v>
      </c>
      <c r="K6380" s="30" t="s">
        <v>22</v>
      </c>
    </row>
    <row r="6381" spans="1:11">
      <c r="A6381" s="33" t="s">
        <v>14947</v>
      </c>
      <c r="B6381" s="33" t="s">
        <v>14948</v>
      </c>
      <c r="C6381" s="33" t="s">
        <v>14949</v>
      </c>
      <c r="D6381" s="33" t="s">
        <v>17</v>
      </c>
      <c r="E6381" s="33" t="s">
        <v>26</v>
      </c>
      <c r="F6381" s="33" t="s">
        <v>27</v>
      </c>
      <c r="G6381" s="33" t="s">
        <v>20</v>
      </c>
      <c r="H6381" s="35">
        <v>36</v>
      </c>
      <c r="I6381" s="33" t="s">
        <v>21</v>
      </c>
      <c r="J6381" s="42">
        <v>44366</v>
      </c>
      <c r="K6381" s="33" t="s">
        <v>22</v>
      </c>
    </row>
    <row r="6382" spans="1:11">
      <c r="A6382" s="30" t="s">
        <v>14950</v>
      </c>
      <c r="B6382" s="30" t="s">
        <v>14951</v>
      </c>
      <c r="C6382" s="30" t="s">
        <v>109</v>
      </c>
      <c r="D6382" s="30" t="s">
        <v>17</v>
      </c>
      <c r="E6382" s="30" t="s">
        <v>18</v>
      </c>
      <c r="F6382" s="30" t="s">
        <v>19</v>
      </c>
      <c r="G6382" s="30" t="s">
        <v>20</v>
      </c>
      <c r="H6382" s="32">
        <v>40</v>
      </c>
      <c r="I6382" s="30" t="s">
        <v>21</v>
      </c>
      <c r="J6382" s="41">
        <v>44396</v>
      </c>
      <c r="K6382" s="30" t="s">
        <v>22</v>
      </c>
    </row>
    <row r="6383" spans="1:11">
      <c r="A6383" s="33" t="s">
        <v>14952</v>
      </c>
      <c r="B6383" s="33" t="s">
        <v>14953</v>
      </c>
      <c r="C6383" s="33" t="s">
        <v>1102</v>
      </c>
      <c r="D6383" s="33" t="s">
        <v>17</v>
      </c>
      <c r="E6383" s="33" t="s">
        <v>18</v>
      </c>
      <c r="F6383" s="33" t="s">
        <v>19</v>
      </c>
      <c r="G6383" s="33" t="s">
        <v>158</v>
      </c>
      <c r="H6383" s="35">
        <v>412</v>
      </c>
      <c r="I6383" s="33" t="s">
        <v>51</v>
      </c>
      <c r="J6383" s="42">
        <v>44445</v>
      </c>
      <c r="K6383" s="33" t="s">
        <v>22</v>
      </c>
    </row>
    <row r="6384" spans="1:11">
      <c r="A6384" s="30" t="s">
        <v>14954</v>
      </c>
      <c r="B6384" s="30" t="s">
        <v>14955</v>
      </c>
      <c r="C6384" s="30" t="s">
        <v>3296</v>
      </c>
      <c r="D6384" s="30" t="s">
        <v>17</v>
      </c>
      <c r="E6384" s="30" t="s">
        <v>26</v>
      </c>
      <c r="F6384" s="30" t="s">
        <v>27</v>
      </c>
      <c r="G6384" s="30" t="s">
        <v>20</v>
      </c>
      <c r="H6384" s="32">
        <v>96</v>
      </c>
      <c r="I6384" s="30" t="s">
        <v>21</v>
      </c>
      <c r="J6384" s="41">
        <v>44389</v>
      </c>
      <c r="K6384" s="30" t="s">
        <v>22</v>
      </c>
    </row>
    <row r="6385" spans="1:11">
      <c r="A6385" s="33" t="s">
        <v>14956</v>
      </c>
      <c r="B6385" s="33" t="s">
        <v>14957</v>
      </c>
      <c r="C6385" s="33" t="s">
        <v>1778</v>
      </c>
      <c r="D6385" s="33" t="s">
        <v>17</v>
      </c>
      <c r="E6385" s="33" t="s">
        <v>26</v>
      </c>
      <c r="F6385" s="33" t="s">
        <v>27</v>
      </c>
      <c r="G6385" s="33" t="s">
        <v>20</v>
      </c>
      <c r="H6385" s="35">
        <v>6</v>
      </c>
      <c r="I6385" s="33" t="s">
        <v>21</v>
      </c>
      <c r="J6385" s="42">
        <v>44305</v>
      </c>
      <c r="K6385" s="33" t="s">
        <v>22</v>
      </c>
    </row>
    <row r="6386" spans="1:11">
      <c r="A6386" s="30" t="s">
        <v>14958</v>
      </c>
      <c r="B6386" s="30" t="s">
        <v>14959</v>
      </c>
      <c r="C6386" s="30" t="s">
        <v>701</v>
      </c>
      <c r="D6386" s="30" t="s">
        <v>17</v>
      </c>
      <c r="E6386" s="30" t="s">
        <v>26</v>
      </c>
      <c r="F6386" s="30" t="s">
        <v>27</v>
      </c>
      <c r="G6386" s="30" t="s">
        <v>158</v>
      </c>
      <c r="H6386" s="32">
        <v>60</v>
      </c>
      <c r="I6386" s="30" t="s">
        <v>51</v>
      </c>
      <c r="J6386" s="41">
        <v>44379</v>
      </c>
      <c r="K6386" s="30" t="s">
        <v>22</v>
      </c>
    </row>
    <row r="6387" spans="1:11">
      <c r="A6387" s="33" t="s">
        <v>14960</v>
      </c>
      <c r="B6387" s="33" t="s">
        <v>14961</v>
      </c>
      <c r="C6387" s="33" t="s">
        <v>11899</v>
      </c>
      <c r="D6387" s="33" t="s">
        <v>17</v>
      </c>
      <c r="E6387" s="33" t="s">
        <v>45</v>
      </c>
      <c r="F6387" s="33" t="s">
        <v>46</v>
      </c>
      <c r="G6387" s="33" t="s">
        <v>106</v>
      </c>
      <c r="H6387" s="35">
        <v>62</v>
      </c>
      <c r="I6387" s="33" t="s">
        <v>21</v>
      </c>
      <c r="J6387" s="42">
        <v>44369</v>
      </c>
      <c r="K6387" s="33" t="s">
        <v>22</v>
      </c>
    </row>
    <row r="6388" spans="1:11">
      <c r="A6388" s="30" t="s">
        <v>14962</v>
      </c>
      <c r="B6388" s="30" t="s">
        <v>14963</v>
      </c>
      <c r="C6388" s="30" t="s">
        <v>1428</v>
      </c>
      <c r="D6388" s="30" t="s">
        <v>17</v>
      </c>
      <c r="E6388" s="30" t="s">
        <v>45</v>
      </c>
      <c r="F6388" s="30" t="s">
        <v>46</v>
      </c>
      <c r="G6388" s="30" t="s">
        <v>7780</v>
      </c>
      <c r="H6388" s="32">
        <v>690</v>
      </c>
      <c r="I6388" s="30" t="s">
        <v>51</v>
      </c>
      <c r="J6388" s="41">
        <v>44283</v>
      </c>
      <c r="K6388" s="30" t="s">
        <v>22</v>
      </c>
    </row>
    <row r="6389" spans="1:11">
      <c r="A6389" s="33" t="s">
        <v>14964</v>
      </c>
      <c r="B6389" s="33" t="s">
        <v>14965</v>
      </c>
      <c r="C6389" s="33" t="s">
        <v>1857</v>
      </c>
      <c r="D6389" s="33" t="s">
        <v>17</v>
      </c>
      <c r="E6389" s="33" t="s">
        <v>26</v>
      </c>
      <c r="F6389" s="33" t="s">
        <v>27</v>
      </c>
      <c r="G6389" s="33" t="s">
        <v>50</v>
      </c>
      <c r="H6389" s="35">
        <v>12</v>
      </c>
      <c r="I6389" s="33" t="s">
        <v>51</v>
      </c>
      <c r="J6389" s="42">
        <v>44432</v>
      </c>
      <c r="K6389" s="33" t="s">
        <v>22</v>
      </c>
    </row>
    <row r="6390" spans="1:11">
      <c r="A6390" s="30" t="s">
        <v>14966</v>
      </c>
      <c r="B6390" s="30" t="s">
        <v>14967</v>
      </c>
      <c r="C6390" s="30" t="s">
        <v>1764</v>
      </c>
      <c r="D6390" s="30" t="s">
        <v>17</v>
      </c>
      <c r="E6390" s="30" t="s">
        <v>18</v>
      </c>
      <c r="F6390" s="30" t="s">
        <v>19</v>
      </c>
      <c r="G6390" s="30" t="s">
        <v>20</v>
      </c>
      <c r="H6390" s="32">
        <v>80</v>
      </c>
      <c r="I6390" s="30" t="s">
        <v>21</v>
      </c>
      <c r="J6390" s="41">
        <v>44263</v>
      </c>
      <c r="K6390" s="30" t="s">
        <v>22</v>
      </c>
    </row>
    <row r="6391" spans="1:11">
      <c r="A6391" s="33" t="s">
        <v>14968</v>
      </c>
      <c r="B6391" s="33" t="s">
        <v>14969</v>
      </c>
      <c r="C6391" s="33" t="s">
        <v>7588</v>
      </c>
      <c r="D6391" s="33" t="s">
        <v>17</v>
      </c>
      <c r="E6391" s="33" t="s">
        <v>31</v>
      </c>
      <c r="F6391" s="33" t="s">
        <v>32</v>
      </c>
      <c r="G6391" s="33" t="s">
        <v>20</v>
      </c>
      <c r="H6391" s="35">
        <v>197</v>
      </c>
      <c r="I6391" s="33" t="s">
        <v>21</v>
      </c>
      <c r="J6391" s="42">
        <v>44427</v>
      </c>
      <c r="K6391" s="33" t="s">
        <v>22</v>
      </c>
    </row>
    <row r="6392" spans="1:11">
      <c r="A6392" s="30" t="s">
        <v>14970</v>
      </c>
      <c r="B6392" s="30" t="s">
        <v>14971</v>
      </c>
      <c r="C6392" s="30" t="s">
        <v>72</v>
      </c>
      <c r="D6392" s="30" t="s">
        <v>17</v>
      </c>
      <c r="E6392" s="30" t="s">
        <v>26</v>
      </c>
      <c r="F6392" s="30" t="s">
        <v>27</v>
      </c>
      <c r="G6392" s="30" t="s">
        <v>20</v>
      </c>
      <c r="H6392" s="32">
        <v>6</v>
      </c>
      <c r="I6392" s="30" t="s">
        <v>21</v>
      </c>
      <c r="J6392" s="41">
        <v>44478</v>
      </c>
      <c r="K6392" s="30" t="s">
        <v>22</v>
      </c>
    </row>
    <row r="6393" spans="1:11">
      <c r="A6393" s="33" t="s">
        <v>14972</v>
      </c>
      <c r="B6393" s="33" t="s">
        <v>14973</v>
      </c>
      <c r="C6393" s="33" t="s">
        <v>14974</v>
      </c>
      <c r="D6393" s="33" t="s">
        <v>17</v>
      </c>
      <c r="E6393" s="33" t="s">
        <v>26</v>
      </c>
      <c r="F6393" s="33" t="s">
        <v>27</v>
      </c>
      <c r="G6393" s="33" t="s">
        <v>20</v>
      </c>
      <c r="H6393" s="35">
        <v>76</v>
      </c>
      <c r="I6393" s="33" t="s">
        <v>21</v>
      </c>
      <c r="J6393" s="42">
        <v>44313</v>
      </c>
      <c r="K6393" s="33" t="s">
        <v>22</v>
      </c>
    </row>
    <row r="6394" spans="1:11">
      <c r="A6394" s="30" t="s">
        <v>14975</v>
      </c>
      <c r="B6394" s="30" t="s">
        <v>14976</v>
      </c>
      <c r="C6394" s="30" t="s">
        <v>3004</v>
      </c>
      <c r="D6394" s="30" t="s">
        <v>17</v>
      </c>
      <c r="E6394" s="30" t="s">
        <v>26</v>
      </c>
      <c r="F6394" s="30" t="s">
        <v>27</v>
      </c>
      <c r="G6394" s="30" t="s">
        <v>20</v>
      </c>
      <c r="H6394" s="32">
        <v>224</v>
      </c>
      <c r="I6394" s="30" t="s">
        <v>21</v>
      </c>
      <c r="J6394" s="41">
        <v>44498</v>
      </c>
      <c r="K6394" s="30" t="s">
        <v>22</v>
      </c>
    </row>
    <row r="6395" spans="1:11">
      <c r="A6395" s="33" t="s">
        <v>14977</v>
      </c>
      <c r="B6395" s="33" t="s">
        <v>14978</v>
      </c>
      <c r="C6395" s="33" t="s">
        <v>297</v>
      </c>
      <c r="D6395" s="33" t="s">
        <v>17</v>
      </c>
      <c r="E6395" s="33" t="s">
        <v>31</v>
      </c>
      <c r="F6395" s="33" t="s">
        <v>32</v>
      </c>
      <c r="G6395" s="33" t="s">
        <v>20</v>
      </c>
      <c r="H6395" s="35">
        <v>56</v>
      </c>
      <c r="I6395" s="33" t="s">
        <v>21</v>
      </c>
      <c r="J6395" s="42">
        <v>44256</v>
      </c>
      <c r="K6395" s="33" t="s">
        <v>22</v>
      </c>
    </row>
    <row r="6396" spans="1:11">
      <c r="A6396" s="30" t="s">
        <v>14979</v>
      </c>
      <c r="B6396" s="30" t="s">
        <v>14980</v>
      </c>
      <c r="C6396" s="30" t="s">
        <v>96</v>
      </c>
      <c r="D6396" s="30" t="s">
        <v>17</v>
      </c>
      <c r="E6396" s="30" t="s">
        <v>18</v>
      </c>
      <c r="F6396" s="30" t="s">
        <v>19</v>
      </c>
      <c r="G6396" s="30" t="s">
        <v>158</v>
      </c>
      <c r="H6396" s="32">
        <v>118</v>
      </c>
      <c r="I6396" s="30" t="s">
        <v>21</v>
      </c>
      <c r="J6396" s="41">
        <v>44420</v>
      </c>
      <c r="K6396" s="30" t="s">
        <v>22</v>
      </c>
    </row>
    <row r="6397" spans="1:11">
      <c r="A6397" s="33" t="s">
        <v>14981</v>
      </c>
      <c r="B6397" s="33" t="s">
        <v>14982</v>
      </c>
      <c r="C6397" s="33" t="s">
        <v>14983</v>
      </c>
      <c r="D6397" s="33" t="s">
        <v>17</v>
      </c>
      <c r="E6397" s="33" t="s">
        <v>18</v>
      </c>
      <c r="F6397" s="33" t="s">
        <v>19</v>
      </c>
      <c r="G6397" s="33" t="s">
        <v>20</v>
      </c>
      <c r="H6397" s="35">
        <v>116</v>
      </c>
      <c r="I6397" s="33" t="s">
        <v>21</v>
      </c>
      <c r="J6397" s="42">
        <v>44453</v>
      </c>
      <c r="K6397" s="33" t="s">
        <v>22</v>
      </c>
    </row>
    <row r="6398" spans="1:11">
      <c r="A6398" s="30" t="s">
        <v>14984</v>
      </c>
      <c r="B6398" s="30" t="s">
        <v>14985</v>
      </c>
      <c r="C6398" s="30" t="s">
        <v>1826</v>
      </c>
      <c r="D6398" s="30" t="s">
        <v>17</v>
      </c>
      <c r="E6398" s="30" t="s">
        <v>212</v>
      </c>
      <c r="F6398" s="30" t="s">
        <v>213</v>
      </c>
      <c r="G6398" s="30" t="s">
        <v>20</v>
      </c>
      <c r="H6398" s="32">
        <v>52</v>
      </c>
      <c r="I6398" s="30" t="s">
        <v>21</v>
      </c>
      <c r="J6398" s="41">
        <v>44477</v>
      </c>
      <c r="K6398" s="30" t="s">
        <v>22</v>
      </c>
    </row>
    <row r="6399" spans="1:11">
      <c r="A6399" s="33" t="s">
        <v>14986</v>
      </c>
      <c r="B6399" s="33" t="s">
        <v>14987</v>
      </c>
      <c r="C6399" s="33" t="s">
        <v>4345</v>
      </c>
      <c r="D6399" s="33" t="s">
        <v>17</v>
      </c>
      <c r="E6399" s="33" t="s">
        <v>18</v>
      </c>
      <c r="F6399" s="33" t="s">
        <v>19</v>
      </c>
      <c r="G6399" s="33" t="s">
        <v>20</v>
      </c>
      <c r="H6399" s="35">
        <v>617</v>
      </c>
      <c r="I6399" s="33" t="s">
        <v>21</v>
      </c>
      <c r="J6399" s="42">
        <v>44494</v>
      </c>
      <c r="K6399" s="33" t="s">
        <v>22</v>
      </c>
    </row>
    <row r="6400" spans="1:11">
      <c r="A6400" s="30" t="s">
        <v>14988</v>
      </c>
      <c r="B6400" s="30" t="s">
        <v>14989</v>
      </c>
      <c r="C6400" s="30" t="s">
        <v>1801</v>
      </c>
      <c r="D6400" s="30" t="s">
        <v>17</v>
      </c>
      <c r="E6400" s="30" t="s">
        <v>18</v>
      </c>
      <c r="F6400" s="30" t="s">
        <v>19</v>
      </c>
      <c r="G6400" s="30" t="s">
        <v>158</v>
      </c>
      <c r="H6400" s="32">
        <v>290</v>
      </c>
      <c r="I6400" s="30" t="s">
        <v>51</v>
      </c>
      <c r="J6400" s="41">
        <v>44405</v>
      </c>
      <c r="K6400" s="30" t="s">
        <v>22</v>
      </c>
    </row>
    <row r="6401" spans="1:11">
      <c r="A6401" s="33" t="s">
        <v>14990</v>
      </c>
      <c r="B6401" s="33" t="s">
        <v>14991</v>
      </c>
      <c r="C6401" s="33" t="s">
        <v>190</v>
      </c>
      <c r="D6401" s="33" t="s">
        <v>17</v>
      </c>
      <c r="E6401" s="33" t="s">
        <v>26</v>
      </c>
      <c r="F6401" s="33" t="s">
        <v>27</v>
      </c>
      <c r="G6401" s="33" t="s">
        <v>20</v>
      </c>
      <c r="H6401" s="35">
        <v>24</v>
      </c>
      <c r="I6401" s="33" t="s">
        <v>21</v>
      </c>
      <c r="J6401" s="42">
        <v>44306</v>
      </c>
      <c r="K6401" s="33" t="s">
        <v>22</v>
      </c>
    </row>
    <row r="6402" spans="1:11">
      <c r="A6402" s="30" t="s">
        <v>14992</v>
      </c>
      <c r="B6402" s="30" t="s">
        <v>14993</v>
      </c>
      <c r="C6402" s="30" t="s">
        <v>231</v>
      </c>
      <c r="D6402" s="30" t="s">
        <v>17</v>
      </c>
      <c r="E6402" s="30" t="s">
        <v>18</v>
      </c>
      <c r="F6402" s="30" t="s">
        <v>19</v>
      </c>
      <c r="G6402" s="30" t="s">
        <v>20</v>
      </c>
      <c r="H6402" s="32">
        <v>609</v>
      </c>
      <c r="I6402" s="30" t="s">
        <v>21</v>
      </c>
      <c r="J6402" s="41">
        <v>44417</v>
      </c>
      <c r="K6402" s="30" t="s">
        <v>22</v>
      </c>
    </row>
    <row r="6403" spans="1:11">
      <c r="A6403" s="33" t="s">
        <v>14994</v>
      </c>
      <c r="B6403" s="33" t="s">
        <v>14995</v>
      </c>
      <c r="C6403" s="33" t="s">
        <v>969</v>
      </c>
      <c r="D6403" s="33" t="s">
        <v>17</v>
      </c>
      <c r="E6403" s="33" t="s">
        <v>26</v>
      </c>
      <c r="F6403" s="33" t="s">
        <v>27</v>
      </c>
      <c r="G6403" s="33" t="s">
        <v>20</v>
      </c>
      <c r="H6403" s="35">
        <v>20</v>
      </c>
      <c r="I6403" s="33" t="s">
        <v>21</v>
      </c>
      <c r="J6403" s="42">
        <v>44540</v>
      </c>
      <c r="K6403" s="33" t="s">
        <v>22</v>
      </c>
    </row>
    <row r="6404" spans="1:11">
      <c r="A6404" s="30" t="s">
        <v>14996</v>
      </c>
      <c r="B6404" s="30" t="s">
        <v>14997</v>
      </c>
      <c r="C6404" s="30" t="s">
        <v>9490</v>
      </c>
      <c r="D6404" s="30" t="s">
        <v>17</v>
      </c>
      <c r="E6404" s="30" t="s">
        <v>31</v>
      </c>
      <c r="F6404" s="30" t="s">
        <v>32</v>
      </c>
      <c r="G6404" s="30" t="s">
        <v>20</v>
      </c>
      <c r="H6404" s="32">
        <v>7</v>
      </c>
      <c r="I6404" s="30" t="s">
        <v>21</v>
      </c>
      <c r="J6404" s="41">
        <v>44333</v>
      </c>
      <c r="K6404" s="30" t="s">
        <v>22</v>
      </c>
    </row>
    <row r="6405" spans="1:11">
      <c r="A6405" s="33" t="s">
        <v>14998</v>
      </c>
      <c r="B6405" s="33" t="s">
        <v>14999</v>
      </c>
      <c r="C6405" s="33" t="s">
        <v>1598</v>
      </c>
      <c r="D6405" s="33" t="s">
        <v>17</v>
      </c>
      <c r="E6405" s="33" t="s">
        <v>26</v>
      </c>
      <c r="F6405" s="33" t="s">
        <v>27</v>
      </c>
      <c r="G6405" s="33" t="s">
        <v>20</v>
      </c>
      <c r="H6405" s="35">
        <v>24</v>
      </c>
      <c r="I6405" s="33" t="s">
        <v>21</v>
      </c>
      <c r="J6405" s="42">
        <v>44258</v>
      </c>
      <c r="K6405" s="33" t="s">
        <v>22</v>
      </c>
    </row>
    <row r="6406" spans="1:11">
      <c r="A6406" s="30" t="s">
        <v>15000</v>
      </c>
      <c r="B6406" s="30" t="s">
        <v>15001</v>
      </c>
      <c r="C6406" s="30" t="s">
        <v>15002</v>
      </c>
      <c r="D6406" s="30" t="s">
        <v>17</v>
      </c>
      <c r="E6406" s="30" t="s">
        <v>26</v>
      </c>
      <c r="F6406" s="30" t="s">
        <v>27</v>
      </c>
      <c r="G6406" s="30" t="s">
        <v>140</v>
      </c>
      <c r="H6406" s="32">
        <v>52</v>
      </c>
      <c r="I6406" s="30" t="s">
        <v>51</v>
      </c>
      <c r="J6406" s="41">
        <v>44538</v>
      </c>
      <c r="K6406" s="30" t="s">
        <v>22</v>
      </c>
    </row>
    <row r="6407" spans="1:11">
      <c r="A6407" s="33" t="s">
        <v>15003</v>
      </c>
      <c r="B6407" s="33" t="s">
        <v>15004</v>
      </c>
      <c r="C6407" s="33" t="s">
        <v>374</v>
      </c>
      <c r="D6407" s="33" t="s">
        <v>17</v>
      </c>
      <c r="E6407" s="33" t="s">
        <v>26</v>
      </c>
      <c r="F6407" s="33" t="s">
        <v>27</v>
      </c>
      <c r="G6407" s="33" t="s">
        <v>20</v>
      </c>
      <c r="H6407" s="35">
        <v>30</v>
      </c>
      <c r="I6407" s="33" t="s">
        <v>21</v>
      </c>
      <c r="J6407" s="42">
        <v>44267</v>
      </c>
      <c r="K6407" s="33" t="s">
        <v>22</v>
      </c>
    </row>
    <row r="6408" spans="1:11">
      <c r="A6408" s="30" t="s">
        <v>15005</v>
      </c>
      <c r="B6408" s="30" t="s">
        <v>15006</v>
      </c>
      <c r="C6408" s="30" t="s">
        <v>3647</v>
      </c>
      <c r="D6408" s="30" t="s">
        <v>17</v>
      </c>
      <c r="E6408" s="30" t="s">
        <v>18</v>
      </c>
      <c r="F6408" s="30" t="s">
        <v>19</v>
      </c>
      <c r="G6408" s="30" t="s">
        <v>158</v>
      </c>
      <c r="H6408" s="32">
        <v>69</v>
      </c>
      <c r="I6408" s="30" t="s">
        <v>21</v>
      </c>
      <c r="J6408" s="41">
        <v>44547</v>
      </c>
      <c r="K6408" s="30" t="s">
        <v>22</v>
      </c>
    </row>
    <row r="6409" spans="1:11">
      <c r="A6409" s="33" t="s">
        <v>15007</v>
      </c>
      <c r="B6409" s="33" t="s">
        <v>15008</v>
      </c>
      <c r="C6409" s="33" t="s">
        <v>190</v>
      </c>
      <c r="D6409" s="33" t="s">
        <v>17</v>
      </c>
      <c r="E6409" s="33" t="s">
        <v>67</v>
      </c>
      <c r="F6409" s="33" t="s">
        <v>68</v>
      </c>
      <c r="G6409" s="33" t="s">
        <v>158</v>
      </c>
      <c r="H6409" s="35">
        <v>136</v>
      </c>
      <c r="I6409" s="33" t="s">
        <v>21</v>
      </c>
      <c r="J6409" s="42">
        <v>44467</v>
      </c>
      <c r="K6409" s="33" t="s">
        <v>22</v>
      </c>
    </row>
    <row r="6410" spans="1:11">
      <c r="A6410" s="30" t="s">
        <v>15009</v>
      </c>
      <c r="B6410" s="30" t="s">
        <v>15010</v>
      </c>
      <c r="C6410" s="30" t="s">
        <v>109</v>
      </c>
      <c r="D6410" s="30" t="s">
        <v>17</v>
      </c>
      <c r="E6410" s="30" t="s">
        <v>31</v>
      </c>
      <c r="F6410" s="30" t="s">
        <v>32</v>
      </c>
      <c r="G6410" s="30" t="s">
        <v>106</v>
      </c>
      <c r="H6410" s="32">
        <v>234</v>
      </c>
      <c r="I6410" s="30" t="s">
        <v>21</v>
      </c>
      <c r="J6410" s="41">
        <v>44377</v>
      </c>
      <c r="K6410" s="30" t="s">
        <v>22</v>
      </c>
    </row>
    <row r="6411" spans="1:11">
      <c r="A6411" s="33" t="s">
        <v>15011</v>
      </c>
      <c r="B6411" s="33" t="s">
        <v>15012</v>
      </c>
      <c r="C6411" s="33" t="s">
        <v>7721</v>
      </c>
      <c r="D6411" s="33" t="s">
        <v>17</v>
      </c>
      <c r="E6411" s="33" t="s">
        <v>31</v>
      </c>
      <c r="F6411" s="33" t="s">
        <v>32</v>
      </c>
      <c r="G6411" s="33" t="s">
        <v>20</v>
      </c>
      <c r="H6411" s="35">
        <v>10</v>
      </c>
      <c r="I6411" s="33" t="s">
        <v>21</v>
      </c>
      <c r="J6411" s="42">
        <v>44361</v>
      </c>
      <c r="K6411" s="33" t="s">
        <v>22</v>
      </c>
    </row>
    <row r="6412" spans="1:11">
      <c r="A6412" s="30" t="s">
        <v>15013</v>
      </c>
      <c r="B6412" s="30" t="s">
        <v>15014</v>
      </c>
      <c r="C6412" s="30" t="s">
        <v>450</v>
      </c>
      <c r="D6412" s="30" t="s">
        <v>17</v>
      </c>
      <c r="E6412" s="30" t="s">
        <v>31</v>
      </c>
      <c r="F6412" s="30" t="s">
        <v>32</v>
      </c>
      <c r="G6412" s="30" t="s">
        <v>106</v>
      </c>
      <c r="H6412" s="32">
        <v>10</v>
      </c>
      <c r="I6412" s="30" t="s">
        <v>21</v>
      </c>
      <c r="J6412" s="41">
        <v>44374</v>
      </c>
      <c r="K6412" s="30" t="s">
        <v>22</v>
      </c>
    </row>
    <row r="6413" spans="1:11">
      <c r="A6413" s="33" t="s">
        <v>15015</v>
      </c>
      <c r="B6413" s="33" t="s">
        <v>15016</v>
      </c>
      <c r="C6413" s="33" t="s">
        <v>102</v>
      </c>
      <c r="D6413" s="33" t="s">
        <v>17</v>
      </c>
      <c r="E6413" s="33" t="s">
        <v>18</v>
      </c>
      <c r="F6413" s="33" t="s">
        <v>19</v>
      </c>
      <c r="G6413" s="33" t="s">
        <v>158</v>
      </c>
      <c r="H6413" s="35">
        <v>159</v>
      </c>
      <c r="I6413" s="33" t="s">
        <v>21</v>
      </c>
      <c r="J6413" s="42">
        <v>44487</v>
      </c>
      <c r="K6413" s="33" t="s">
        <v>22</v>
      </c>
    </row>
    <row r="6414" spans="1:11">
      <c r="A6414" s="30" t="s">
        <v>15017</v>
      </c>
      <c r="B6414" s="30" t="s">
        <v>15018</v>
      </c>
      <c r="C6414" s="30" t="s">
        <v>15019</v>
      </c>
      <c r="D6414" s="30" t="s">
        <v>17</v>
      </c>
      <c r="E6414" s="30" t="s">
        <v>26</v>
      </c>
      <c r="F6414" s="30" t="s">
        <v>27</v>
      </c>
      <c r="G6414" s="30" t="s">
        <v>50</v>
      </c>
      <c r="H6414" s="32">
        <v>71</v>
      </c>
      <c r="I6414" s="30" t="s">
        <v>51</v>
      </c>
      <c r="J6414" s="41">
        <v>44550</v>
      </c>
      <c r="K6414" s="30" t="s">
        <v>22</v>
      </c>
    </row>
    <row r="6415" spans="1:11">
      <c r="A6415" s="33" t="s">
        <v>15020</v>
      </c>
      <c r="B6415" s="33" t="s">
        <v>15021</v>
      </c>
      <c r="C6415" s="33" t="s">
        <v>2812</v>
      </c>
      <c r="D6415" s="33" t="s">
        <v>17</v>
      </c>
      <c r="E6415" s="33" t="s">
        <v>26</v>
      </c>
      <c r="F6415" s="33" t="s">
        <v>27</v>
      </c>
      <c r="G6415" s="33" t="s">
        <v>20</v>
      </c>
      <c r="H6415" s="35">
        <v>6</v>
      </c>
      <c r="I6415" s="33" t="s">
        <v>21</v>
      </c>
      <c r="J6415" s="42">
        <v>44435</v>
      </c>
      <c r="K6415" s="33" t="s">
        <v>22</v>
      </c>
    </row>
    <row r="6416" spans="1:11">
      <c r="A6416" s="30" t="s">
        <v>15022</v>
      </c>
      <c r="B6416" s="30" t="s">
        <v>15023</v>
      </c>
      <c r="C6416" s="30" t="s">
        <v>15024</v>
      </c>
      <c r="D6416" s="30" t="s">
        <v>17</v>
      </c>
      <c r="E6416" s="30" t="s">
        <v>18</v>
      </c>
      <c r="F6416" s="30" t="s">
        <v>19</v>
      </c>
      <c r="G6416" s="30" t="s">
        <v>106</v>
      </c>
      <c r="H6416" s="32">
        <v>57</v>
      </c>
      <c r="I6416" s="30" t="s">
        <v>21</v>
      </c>
      <c r="J6416" s="41">
        <v>44313</v>
      </c>
      <c r="K6416" s="30" t="s">
        <v>22</v>
      </c>
    </row>
    <row r="6417" spans="1:11">
      <c r="A6417" s="33" t="s">
        <v>15025</v>
      </c>
      <c r="B6417" s="33" t="s">
        <v>15026</v>
      </c>
      <c r="C6417" s="33" t="s">
        <v>6202</v>
      </c>
      <c r="D6417" s="33" t="s">
        <v>17</v>
      </c>
      <c r="E6417" s="33" t="s">
        <v>26</v>
      </c>
      <c r="F6417" s="33" t="s">
        <v>27</v>
      </c>
      <c r="G6417" s="33" t="s">
        <v>20</v>
      </c>
      <c r="H6417" s="35">
        <v>54</v>
      </c>
      <c r="I6417" s="33" t="s">
        <v>21</v>
      </c>
      <c r="J6417" s="42">
        <v>44540</v>
      </c>
      <c r="K6417" s="33" t="s">
        <v>22</v>
      </c>
    </row>
    <row r="6418" spans="1:11">
      <c r="A6418" s="30" t="s">
        <v>15027</v>
      </c>
      <c r="B6418" s="30" t="s">
        <v>15028</v>
      </c>
      <c r="C6418" s="30" t="s">
        <v>2421</v>
      </c>
      <c r="D6418" s="30" t="s">
        <v>17</v>
      </c>
      <c r="E6418" s="30" t="s">
        <v>26</v>
      </c>
      <c r="F6418" s="30" t="s">
        <v>27</v>
      </c>
      <c r="G6418" s="30" t="s">
        <v>50</v>
      </c>
      <c r="H6418" s="32">
        <v>30</v>
      </c>
      <c r="I6418" s="30" t="s">
        <v>51</v>
      </c>
      <c r="J6418" s="41">
        <v>44501</v>
      </c>
      <c r="K6418" s="30" t="s">
        <v>22</v>
      </c>
    </row>
    <row r="6419" spans="1:11">
      <c r="A6419" s="33" t="s">
        <v>15029</v>
      </c>
      <c r="B6419" s="33" t="s">
        <v>15030</v>
      </c>
      <c r="C6419" s="33" t="s">
        <v>549</v>
      </c>
      <c r="D6419" s="33" t="s">
        <v>17</v>
      </c>
      <c r="E6419" s="33" t="s">
        <v>18</v>
      </c>
      <c r="F6419" s="33" t="s">
        <v>19</v>
      </c>
      <c r="G6419" s="33" t="s">
        <v>20</v>
      </c>
      <c r="H6419" s="35">
        <v>47</v>
      </c>
      <c r="I6419" s="33" t="s">
        <v>21</v>
      </c>
      <c r="J6419" s="42">
        <v>44466</v>
      </c>
      <c r="K6419" s="33" t="s">
        <v>22</v>
      </c>
    </row>
    <row r="6420" spans="1:11">
      <c r="A6420" s="30" t="s">
        <v>15031</v>
      </c>
      <c r="B6420" s="30" t="s">
        <v>15032</v>
      </c>
      <c r="C6420" s="30" t="s">
        <v>15033</v>
      </c>
      <c r="D6420" s="30" t="s">
        <v>17</v>
      </c>
      <c r="E6420" s="30" t="s">
        <v>18</v>
      </c>
      <c r="F6420" s="30" t="s">
        <v>19</v>
      </c>
      <c r="G6420" s="30" t="s">
        <v>20</v>
      </c>
      <c r="H6420" s="32">
        <v>51</v>
      </c>
      <c r="I6420" s="30" t="s">
        <v>21</v>
      </c>
      <c r="J6420" s="41">
        <v>44368</v>
      </c>
      <c r="K6420" s="30" t="s">
        <v>22</v>
      </c>
    </row>
    <row r="6421" spans="1:11">
      <c r="A6421" s="33" t="s">
        <v>15034</v>
      </c>
      <c r="B6421" s="33" t="s">
        <v>15035</v>
      </c>
      <c r="C6421" s="33" t="s">
        <v>549</v>
      </c>
      <c r="D6421" s="33" t="s">
        <v>17</v>
      </c>
      <c r="E6421" s="33" t="s">
        <v>26</v>
      </c>
      <c r="F6421" s="33" t="s">
        <v>27</v>
      </c>
      <c r="G6421" s="33" t="s">
        <v>20</v>
      </c>
      <c r="H6421" s="35">
        <v>16</v>
      </c>
      <c r="I6421" s="33" t="s">
        <v>21</v>
      </c>
      <c r="J6421" s="42">
        <v>44207</v>
      </c>
      <c r="K6421" s="33" t="s">
        <v>22</v>
      </c>
    </row>
    <row r="6422" spans="1:11">
      <c r="A6422" s="30" t="s">
        <v>15036</v>
      </c>
      <c r="B6422" s="30" t="s">
        <v>15037</v>
      </c>
      <c r="C6422" s="30" t="s">
        <v>647</v>
      </c>
      <c r="D6422" s="30" t="s">
        <v>17</v>
      </c>
      <c r="E6422" s="30" t="s">
        <v>26</v>
      </c>
      <c r="F6422" s="30" t="s">
        <v>27</v>
      </c>
      <c r="G6422" s="30" t="s">
        <v>20</v>
      </c>
      <c r="H6422" s="32">
        <v>18</v>
      </c>
      <c r="I6422" s="30" t="s">
        <v>21</v>
      </c>
      <c r="J6422" s="41">
        <v>44516</v>
      </c>
      <c r="K6422" s="30" t="s">
        <v>22</v>
      </c>
    </row>
    <row r="6423" spans="1:11">
      <c r="A6423" s="33" t="s">
        <v>15038</v>
      </c>
      <c r="B6423" s="33" t="s">
        <v>15039</v>
      </c>
      <c r="C6423" s="33" t="s">
        <v>15040</v>
      </c>
      <c r="D6423" s="33" t="s">
        <v>17</v>
      </c>
      <c r="E6423" s="33" t="s">
        <v>26</v>
      </c>
      <c r="F6423" s="33" t="s">
        <v>27</v>
      </c>
      <c r="G6423" s="33" t="s">
        <v>20</v>
      </c>
      <c r="H6423" s="35">
        <v>24</v>
      </c>
      <c r="I6423" s="33" t="s">
        <v>21</v>
      </c>
      <c r="J6423" s="42">
        <v>44245</v>
      </c>
      <c r="K6423" s="33" t="s">
        <v>22</v>
      </c>
    </row>
    <row r="6424" spans="1:11">
      <c r="A6424" s="30" t="s">
        <v>15041</v>
      </c>
      <c r="B6424" s="30" t="s">
        <v>15042</v>
      </c>
      <c r="C6424" s="30" t="s">
        <v>15043</v>
      </c>
      <c r="D6424" s="30" t="s">
        <v>17</v>
      </c>
      <c r="E6424" s="30" t="s">
        <v>26</v>
      </c>
      <c r="F6424" s="30" t="s">
        <v>27</v>
      </c>
      <c r="G6424" s="30" t="s">
        <v>20</v>
      </c>
      <c r="H6424" s="32">
        <v>18</v>
      </c>
      <c r="I6424" s="30" t="s">
        <v>21</v>
      </c>
      <c r="J6424" s="41">
        <v>44302</v>
      </c>
      <c r="K6424" s="30" t="s">
        <v>22</v>
      </c>
    </row>
    <row r="6425" spans="1:11">
      <c r="A6425" s="33" t="s">
        <v>15044</v>
      </c>
      <c r="B6425" s="33" t="s">
        <v>15045</v>
      </c>
      <c r="C6425" s="33" t="s">
        <v>15046</v>
      </c>
      <c r="D6425" s="33" t="s">
        <v>17</v>
      </c>
      <c r="E6425" s="33" t="s">
        <v>18</v>
      </c>
      <c r="F6425" s="33" t="s">
        <v>19</v>
      </c>
      <c r="G6425" s="33" t="s">
        <v>20</v>
      </c>
      <c r="H6425" s="35">
        <v>210</v>
      </c>
      <c r="I6425" s="33" t="s">
        <v>21</v>
      </c>
      <c r="J6425" s="42">
        <v>44306</v>
      </c>
      <c r="K6425" s="33" t="s">
        <v>22</v>
      </c>
    </row>
    <row r="6426" spans="1:11">
      <c r="A6426" s="30" t="s">
        <v>15047</v>
      </c>
      <c r="B6426" s="30" t="s">
        <v>15048</v>
      </c>
      <c r="C6426" s="30" t="s">
        <v>15049</v>
      </c>
      <c r="D6426" s="30" t="s">
        <v>17</v>
      </c>
      <c r="E6426" s="30" t="s">
        <v>26</v>
      </c>
      <c r="F6426" s="30" t="s">
        <v>27</v>
      </c>
      <c r="G6426" s="30" t="s">
        <v>20</v>
      </c>
      <c r="H6426" s="32">
        <v>24</v>
      </c>
      <c r="I6426" s="30" t="s">
        <v>21</v>
      </c>
      <c r="J6426" s="41">
        <v>44253</v>
      </c>
      <c r="K6426" s="30" t="s">
        <v>22</v>
      </c>
    </row>
    <row r="6427" spans="1:11">
      <c r="A6427" s="33" t="s">
        <v>15050</v>
      </c>
      <c r="B6427" s="33" t="s">
        <v>15051</v>
      </c>
      <c r="C6427" s="33" t="s">
        <v>15052</v>
      </c>
      <c r="D6427" s="33" t="s">
        <v>17</v>
      </c>
      <c r="E6427" s="33" t="s">
        <v>18</v>
      </c>
      <c r="F6427" s="33" t="s">
        <v>19</v>
      </c>
      <c r="G6427" s="33" t="s">
        <v>20</v>
      </c>
      <c r="H6427" s="35">
        <v>278</v>
      </c>
      <c r="I6427" s="33" t="s">
        <v>21</v>
      </c>
      <c r="J6427" s="42">
        <v>44236</v>
      </c>
      <c r="K6427" s="33" t="s">
        <v>22</v>
      </c>
    </row>
    <row r="6428" spans="1:11">
      <c r="A6428" s="30" t="s">
        <v>15053</v>
      </c>
      <c r="B6428" s="30" t="s">
        <v>15054</v>
      </c>
      <c r="C6428" s="30" t="s">
        <v>647</v>
      </c>
      <c r="D6428" s="30" t="s">
        <v>17</v>
      </c>
      <c r="E6428" s="30" t="s">
        <v>26</v>
      </c>
      <c r="F6428" s="30" t="s">
        <v>27</v>
      </c>
      <c r="G6428" s="30" t="s">
        <v>20</v>
      </c>
      <c r="H6428" s="32">
        <v>29</v>
      </c>
      <c r="I6428" s="30" t="s">
        <v>21</v>
      </c>
      <c r="J6428" s="41">
        <v>44361</v>
      </c>
      <c r="K6428" s="30" t="s">
        <v>22</v>
      </c>
    </row>
    <row r="6429" spans="1:11">
      <c r="A6429" s="33" t="s">
        <v>15055</v>
      </c>
      <c r="B6429" s="33" t="s">
        <v>15056</v>
      </c>
      <c r="C6429" s="33" t="s">
        <v>4348</v>
      </c>
      <c r="D6429" s="33" t="s">
        <v>17</v>
      </c>
      <c r="E6429" s="33" t="s">
        <v>26</v>
      </c>
      <c r="F6429" s="33" t="s">
        <v>27</v>
      </c>
      <c r="G6429" s="33" t="s">
        <v>140</v>
      </c>
      <c r="H6429" s="35">
        <v>570</v>
      </c>
      <c r="I6429" s="33" t="s">
        <v>51</v>
      </c>
      <c r="J6429" s="42">
        <v>44529</v>
      </c>
      <c r="K6429" s="33" t="s">
        <v>22</v>
      </c>
    </row>
    <row r="6430" spans="1:11">
      <c r="A6430" s="30" t="s">
        <v>15057</v>
      </c>
      <c r="B6430" s="30" t="s">
        <v>15058</v>
      </c>
      <c r="C6430" s="30" t="s">
        <v>1136</v>
      </c>
      <c r="D6430" s="30" t="s">
        <v>17</v>
      </c>
      <c r="E6430" s="30" t="s">
        <v>31</v>
      </c>
      <c r="F6430" s="30" t="s">
        <v>32</v>
      </c>
      <c r="G6430" s="30" t="s">
        <v>20</v>
      </c>
      <c r="H6430" s="32">
        <v>306</v>
      </c>
      <c r="I6430" s="30" t="s">
        <v>21</v>
      </c>
      <c r="J6430" s="41">
        <v>44393</v>
      </c>
      <c r="K6430" s="30" t="s">
        <v>22</v>
      </c>
    </row>
    <row r="6431" spans="1:11">
      <c r="A6431" s="33" t="s">
        <v>15059</v>
      </c>
      <c r="B6431" s="33" t="s">
        <v>15060</v>
      </c>
      <c r="C6431" s="33" t="s">
        <v>2927</v>
      </c>
      <c r="D6431" s="33" t="s">
        <v>17</v>
      </c>
      <c r="E6431" s="33" t="s">
        <v>31</v>
      </c>
      <c r="F6431" s="33" t="s">
        <v>32</v>
      </c>
      <c r="G6431" s="33" t="s">
        <v>106</v>
      </c>
      <c r="H6431" s="35">
        <v>12</v>
      </c>
      <c r="I6431" s="33" t="s">
        <v>21</v>
      </c>
      <c r="J6431" s="42">
        <v>44536</v>
      </c>
      <c r="K6431" s="33" t="s">
        <v>22</v>
      </c>
    </row>
    <row r="6432" spans="1:11">
      <c r="A6432" s="30" t="s">
        <v>15061</v>
      </c>
      <c r="B6432" s="30" t="s">
        <v>15062</v>
      </c>
      <c r="C6432" s="30" t="s">
        <v>15063</v>
      </c>
      <c r="D6432" s="30" t="s">
        <v>17</v>
      </c>
      <c r="E6432" s="30" t="s">
        <v>18</v>
      </c>
      <c r="F6432" s="30" t="s">
        <v>19</v>
      </c>
      <c r="G6432" s="30" t="s">
        <v>50</v>
      </c>
      <c r="H6432" s="32">
        <v>496</v>
      </c>
      <c r="I6432" s="30" t="s">
        <v>51</v>
      </c>
      <c r="J6432" s="41">
        <v>44555</v>
      </c>
      <c r="K6432" s="30" t="s">
        <v>22</v>
      </c>
    </row>
    <row r="6433" spans="1:11">
      <c r="A6433" s="33" t="s">
        <v>15064</v>
      </c>
      <c r="B6433" s="33" t="s">
        <v>15065</v>
      </c>
      <c r="C6433" s="33" t="s">
        <v>4810</v>
      </c>
      <c r="D6433" s="33" t="s">
        <v>17</v>
      </c>
      <c r="E6433" s="33" t="s">
        <v>18</v>
      </c>
      <c r="F6433" s="33" t="s">
        <v>19</v>
      </c>
      <c r="G6433" s="33" t="s">
        <v>20</v>
      </c>
      <c r="H6433" s="35">
        <v>407</v>
      </c>
      <c r="I6433" s="33" t="s">
        <v>21</v>
      </c>
      <c r="J6433" s="42">
        <v>44279</v>
      </c>
      <c r="K6433" s="33" t="s">
        <v>22</v>
      </c>
    </row>
    <row r="6434" spans="1:11">
      <c r="A6434" s="30" t="s">
        <v>15066</v>
      </c>
      <c r="B6434" s="30" t="s">
        <v>15067</v>
      </c>
      <c r="C6434" s="30" t="s">
        <v>102</v>
      </c>
      <c r="D6434" s="30" t="s">
        <v>17</v>
      </c>
      <c r="E6434" s="30" t="s">
        <v>26</v>
      </c>
      <c r="F6434" s="30" t="s">
        <v>27</v>
      </c>
      <c r="G6434" s="30" t="s">
        <v>20</v>
      </c>
      <c r="H6434" s="32">
        <v>39</v>
      </c>
      <c r="I6434" s="30" t="s">
        <v>21</v>
      </c>
      <c r="J6434" s="41">
        <v>44493</v>
      </c>
      <c r="K6434" s="30" t="s">
        <v>22</v>
      </c>
    </row>
    <row r="6435" spans="1:11">
      <c r="A6435" s="33" t="s">
        <v>15068</v>
      </c>
      <c r="B6435" s="33" t="s">
        <v>15069</v>
      </c>
      <c r="C6435" s="33" t="s">
        <v>15070</v>
      </c>
      <c r="D6435" s="33" t="s">
        <v>17</v>
      </c>
      <c r="E6435" s="33" t="s">
        <v>212</v>
      </c>
      <c r="F6435" s="33" t="s">
        <v>213</v>
      </c>
      <c r="G6435" s="33" t="s">
        <v>106</v>
      </c>
      <c r="H6435" s="35">
        <v>139</v>
      </c>
      <c r="I6435" s="33" t="s">
        <v>21</v>
      </c>
      <c r="J6435" s="42">
        <v>44200</v>
      </c>
      <c r="K6435" s="33" t="s">
        <v>22</v>
      </c>
    </row>
    <row r="6436" spans="1:11">
      <c r="A6436" s="30" t="s">
        <v>15071</v>
      </c>
      <c r="B6436" s="30" t="s">
        <v>15072</v>
      </c>
      <c r="C6436" s="30" t="s">
        <v>109</v>
      </c>
      <c r="D6436" s="30" t="s">
        <v>17</v>
      </c>
      <c r="E6436" s="30" t="s">
        <v>18</v>
      </c>
      <c r="F6436" s="30" t="s">
        <v>19</v>
      </c>
      <c r="G6436" s="30" t="s">
        <v>20</v>
      </c>
      <c r="H6436" s="32">
        <v>97</v>
      </c>
      <c r="I6436" s="30" t="s">
        <v>21</v>
      </c>
      <c r="J6436" s="41">
        <v>44221</v>
      </c>
      <c r="K6436" s="30" t="s">
        <v>22</v>
      </c>
    </row>
    <row r="6437" spans="1:11">
      <c r="A6437" s="33" t="s">
        <v>15073</v>
      </c>
      <c r="B6437" s="33" t="s">
        <v>15074</v>
      </c>
      <c r="C6437" s="33" t="s">
        <v>753</v>
      </c>
      <c r="D6437" s="33" t="s">
        <v>17</v>
      </c>
      <c r="E6437" s="33" t="s">
        <v>18</v>
      </c>
      <c r="F6437" s="33" t="s">
        <v>19</v>
      </c>
      <c r="G6437" s="33" t="s">
        <v>20</v>
      </c>
      <c r="H6437" s="35">
        <v>94</v>
      </c>
      <c r="I6437" s="33" t="s">
        <v>21</v>
      </c>
      <c r="J6437" s="42">
        <v>44336</v>
      </c>
      <c r="K6437" s="33" t="s">
        <v>22</v>
      </c>
    </row>
    <row r="6438" spans="1:11">
      <c r="A6438" s="30" t="s">
        <v>15075</v>
      </c>
      <c r="B6438" s="30" t="s">
        <v>15076</v>
      </c>
      <c r="C6438" s="30" t="s">
        <v>1219</v>
      </c>
      <c r="D6438" s="30" t="s">
        <v>17</v>
      </c>
      <c r="E6438" s="30" t="s">
        <v>67</v>
      </c>
      <c r="F6438" s="30" t="s">
        <v>68</v>
      </c>
      <c r="G6438" s="30" t="s">
        <v>112</v>
      </c>
      <c r="H6438" s="32">
        <v>0</v>
      </c>
      <c r="I6438" s="30" t="s">
        <v>21</v>
      </c>
      <c r="J6438" s="41">
        <v>44409</v>
      </c>
      <c r="K6438" s="30" t="s">
        <v>22</v>
      </c>
    </row>
    <row r="6439" spans="1:11">
      <c r="A6439" s="33" t="s">
        <v>15077</v>
      </c>
      <c r="B6439" s="33" t="s">
        <v>15078</v>
      </c>
      <c r="C6439" s="33" t="s">
        <v>1745</v>
      </c>
      <c r="D6439" s="33" t="s">
        <v>17</v>
      </c>
      <c r="E6439" s="33" t="s">
        <v>67</v>
      </c>
      <c r="F6439" s="33" t="s">
        <v>68</v>
      </c>
      <c r="G6439" s="33" t="s">
        <v>20</v>
      </c>
      <c r="H6439" s="35">
        <v>40</v>
      </c>
      <c r="I6439" s="33" t="s">
        <v>21</v>
      </c>
      <c r="J6439" s="42">
        <v>44461</v>
      </c>
      <c r="K6439" s="33" t="s">
        <v>22</v>
      </c>
    </row>
    <row r="6440" spans="1:11">
      <c r="A6440" s="30" t="s">
        <v>15079</v>
      </c>
      <c r="B6440" s="30" t="s">
        <v>15080</v>
      </c>
      <c r="C6440" s="30" t="s">
        <v>787</v>
      </c>
      <c r="D6440" s="30" t="s">
        <v>17</v>
      </c>
      <c r="E6440" s="30" t="s">
        <v>18</v>
      </c>
      <c r="F6440" s="30" t="s">
        <v>19</v>
      </c>
      <c r="G6440" s="30" t="s">
        <v>20</v>
      </c>
      <c r="H6440" s="32">
        <v>3</v>
      </c>
      <c r="I6440" s="30" t="s">
        <v>21</v>
      </c>
      <c r="J6440" s="41">
        <v>44552</v>
      </c>
      <c r="K6440" s="30" t="s">
        <v>22</v>
      </c>
    </row>
    <row r="6441" spans="1:11">
      <c r="A6441" s="33" t="s">
        <v>15081</v>
      </c>
      <c r="B6441" s="33" t="s">
        <v>15082</v>
      </c>
      <c r="C6441" s="33" t="s">
        <v>3655</v>
      </c>
      <c r="D6441" s="33" t="s">
        <v>17</v>
      </c>
      <c r="E6441" s="33" t="s">
        <v>31</v>
      </c>
      <c r="F6441" s="33" t="s">
        <v>32</v>
      </c>
      <c r="G6441" s="33" t="s">
        <v>20</v>
      </c>
      <c r="H6441" s="35">
        <v>137</v>
      </c>
      <c r="I6441" s="33" t="s">
        <v>21</v>
      </c>
      <c r="J6441" s="42">
        <v>44403</v>
      </c>
      <c r="K6441" s="33" t="s">
        <v>22</v>
      </c>
    </row>
    <row r="6442" spans="1:11">
      <c r="A6442" s="30" t="s">
        <v>15083</v>
      </c>
      <c r="B6442" s="30" t="s">
        <v>15084</v>
      </c>
      <c r="C6442" s="30" t="s">
        <v>1504</v>
      </c>
      <c r="D6442" s="30" t="s">
        <v>17</v>
      </c>
      <c r="E6442" s="30" t="s">
        <v>67</v>
      </c>
      <c r="F6442" s="30" t="s">
        <v>68</v>
      </c>
      <c r="G6442" s="30" t="s">
        <v>50</v>
      </c>
      <c r="H6442" s="32">
        <v>272</v>
      </c>
      <c r="I6442" s="30" t="s">
        <v>51</v>
      </c>
      <c r="J6442" s="41">
        <v>44466</v>
      </c>
      <c r="K6442" s="30" t="s">
        <v>22</v>
      </c>
    </row>
    <row r="6443" spans="1:11">
      <c r="A6443" s="33" t="s">
        <v>15085</v>
      </c>
      <c r="B6443" s="33" t="s">
        <v>15086</v>
      </c>
      <c r="C6443" s="33" t="s">
        <v>15087</v>
      </c>
      <c r="D6443" s="33" t="s">
        <v>17</v>
      </c>
      <c r="E6443" s="33" t="s">
        <v>45</v>
      </c>
      <c r="F6443" s="33" t="s">
        <v>46</v>
      </c>
      <c r="G6443" s="33" t="s">
        <v>50</v>
      </c>
      <c r="H6443" s="35">
        <v>60</v>
      </c>
      <c r="I6443" s="33" t="s">
        <v>51</v>
      </c>
      <c r="J6443" s="42">
        <v>44378</v>
      </c>
      <c r="K6443" s="33" t="s">
        <v>22</v>
      </c>
    </row>
    <row r="6444" spans="1:11">
      <c r="A6444" s="30" t="s">
        <v>15088</v>
      </c>
      <c r="B6444" s="30" t="s">
        <v>15089</v>
      </c>
      <c r="C6444" s="30" t="s">
        <v>15090</v>
      </c>
      <c r="D6444" s="30" t="s">
        <v>17</v>
      </c>
      <c r="E6444" s="30" t="s">
        <v>18</v>
      </c>
      <c r="F6444" s="30" t="s">
        <v>19</v>
      </c>
      <c r="G6444" s="30" t="s">
        <v>112</v>
      </c>
      <c r="H6444" s="32">
        <v>0</v>
      </c>
      <c r="I6444" s="30" t="s">
        <v>21</v>
      </c>
      <c r="J6444" s="41">
        <v>44428</v>
      </c>
      <c r="K6444" s="30" t="s">
        <v>22</v>
      </c>
    </row>
    <row r="6445" spans="1:11">
      <c r="A6445" s="33" t="s">
        <v>15091</v>
      </c>
      <c r="B6445" s="33" t="s">
        <v>15092</v>
      </c>
      <c r="C6445" s="33" t="s">
        <v>72</v>
      </c>
      <c r="D6445" s="33" t="s">
        <v>17</v>
      </c>
      <c r="E6445" s="33" t="s">
        <v>31</v>
      </c>
      <c r="F6445" s="33" t="s">
        <v>32</v>
      </c>
      <c r="G6445" s="33" t="s">
        <v>50</v>
      </c>
      <c r="H6445" s="35">
        <v>285</v>
      </c>
      <c r="I6445" s="33" t="s">
        <v>51</v>
      </c>
      <c r="J6445" s="42">
        <v>44561</v>
      </c>
      <c r="K6445" s="33" t="s">
        <v>22</v>
      </c>
    </row>
    <row r="6446" spans="1:11">
      <c r="A6446" s="30" t="s">
        <v>15093</v>
      </c>
      <c r="B6446" s="30" t="s">
        <v>15094</v>
      </c>
      <c r="C6446" s="30" t="s">
        <v>96</v>
      </c>
      <c r="D6446" s="30" t="s">
        <v>17</v>
      </c>
      <c r="E6446" s="30" t="s">
        <v>26</v>
      </c>
      <c r="F6446" s="30" t="s">
        <v>27</v>
      </c>
      <c r="G6446" s="30" t="s">
        <v>20</v>
      </c>
      <c r="H6446" s="32">
        <v>12</v>
      </c>
      <c r="I6446" s="30" t="s">
        <v>21</v>
      </c>
      <c r="J6446" s="41">
        <v>44456</v>
      </c>
      <c r="K6446" s="30" t="s">
        <v>22</v>
      </c>
    </row>
    <row r="6447" spans="1:11">
      <c r="A6447" s="33" t="s">
        <v>15095</v>
      </c>
      <c r="B6447" s="33" t="s">
        <v>15096</v>
      </c>
      <c r="C6447" s="33" t="s">
        <v>15097</v>
      </c>
      <c r="D6447" s="33" t="s">
        <v>17</v>
      </c>
      <c r="E6447" s="33" t="s">
        <v>330</v>
      </c>
      <c r="F6447" s="33" t="s">
        <v>331</v>
      </c>
      <c r="G6447" s="33" t="s">
        <v>106</v>
      </c>
      <c r="H6447" s="35">
        <v>10</v>
      </c>
      <c r="I6447" s="33" t="s">
        <v>21</v>
      </c>
      <c r="J6447" s="42">
        <v>44382</v>
      </c>
      <c r="K6447" s="33" t="s">
        <v>22</v>
      </c>
    </row>
    <row r="6448" spans="1:11">
      <c r="A6448" s="30" t="s">
        <v>15098</v>
      </c>
      <c r="B6448" s="30" t="s">
        <v>15099</v>
      </c>
      <c r="C6448" s="30" t="s">
        <v>5808</v>
      </c>
      <c r="D6448" s="30" t="s">
        <v>17</v>
      </c>
      <c r="E6448" s="30" t="s">
        <v>330</v>
      </c>
      <c r="F6448" s="30" t="s">
        <v>331</v>
      </c>
      <c r="G6448" s="30" t="s">
        <v>20</v>
      </c>
      <c r="H6448" s="32">
        <v>20</v>
      </c>
      <c r="I6448" s="30" t="s">
        <v>21</v>
      </c>
      <c r="J6448" s="41">
        <v>44235</v>
      </c>
      <c r="K6448" s="30" t="s">
        <v>22</v>
      </c>
    </row>
    <row r="6449" spans="1:11">
      <c r="A6449" s="33" t="s">
        <v>15100</v>
      </c>
      <c r="B6449" s="33" t="s">
        <v>15101</v>
      </c>
      <c r="C6449" s="33" t="s">
        <v>6735</v>
      </c>
      <c r="D6449" s="33" t="s">
        <v>17</v>
      </c>
      <c r="E6449" s="33" t="s">
        <v>26</v>
      </c>
      <c r="F6449" s="33" t="s">
        <v>27</v>
      </c>
      <c r="G6449" s="33" t="s">
        <v>106</v>
      </c>
      <c r="H6449" s="35">
        <v>8</v>
      </c>
      <c r="I6449" s="33" t="s">
        <v>21</v>
      </c>
      <c r="J6449" s="42">
        <v>44251</v>
      </c>
      <c r="K6449" s="33" t="s">
        <v>22</v>
      </c>
    </row>
    <row r="6450" spans="1:11">
      <c r="A6450" s="30" t="s">
        <v>15102</v>
      </c>
      <c r="B6450" s="30" t="s">
        <v>15103</v>
      </c>
      <c r="C6450" s="30" t="s">
        <v>15104</v>
      </c>
      <c r="D6450" s="30" t="s">
        <v>17</v>
      </c>
      <c r="E6450" s="30" t="s">
        <v>31</v>
      </c>
      <c r="F6450" s="30" t="s">
        <v>32</v>
      </c>
      <c r="G6450" s="30" t="s">
        <v>20</v>
      </c>
      <c r="H6450" s="32">
        <v>78</v>
      </c>
      <c r="I6450" s="30" t="s">
        <v>21</v>
      </c>
      <c r="J6450" s="41">
        <v>44251</v>
      </c>
      <c r="K6450" s="30" t="s">
        <v>22</v>
      </c>
    </row>
    <row r="6451" spans="1:11">
      <c r="A6451" s="33" t="s">
        <v>15105</v>
      </c>
      <c r="B6451" s="33" t="s">
        <v>15106</v>
      </c>
      <c r="C6451" s="33" t="s">
        <v>15107</v>
      </c>
      <c r="D6451" s="33" t="s">
        <v>17</v>
      </c>
      <c r="E6451" s="33" t="s">
        <v>26</v>
      </c>
      <c r="F6451" s="33" t="s">
        <v>27</v>
      </c>
      <c r="G6451" s="33" t="s">
        <v>50</v>
      </c>
      <c r="H6451" s="35">
        <v>18</v>
      </c>
      <c r="I6451" s="33" t="s">
        <v>51</v>
      </c>
      <c r="J6451" s="42">
        <v>44295</v>
      </c>
      <c r="K6451" s="33" t="s">
        <v>22</v>
      </c>
    </row>
    <row r="6452" spans="1:11">
      <c r="A6452" s="30" t="s">
        <v>15108</v>
      </c>
      <c r="B6452" s="30" t="s">
        <v>15109</v>
      </c>
      <c r="C6452" s="30" t="s">
        <v>7094</v>
      </c>
      <c r="D6452" s="30" t="s">
        <v>17</v>
      </c>
      <c r="E6452" s="30" t="s">
        <v>31</v>
      </c>
      <c r="F6452" s="30" t="s">
        <v>32</v>
      </c>
      <c r="G6452" s="30" t="s">
        <v>50</v>
      </c>
      <c r="H6452" s="32">
        <v>116</v>
      </c>
      <c r="I6452" s="30" t="s">
        <v>51</v>
      </c>
      <c r="J6452" s="41">
        <v>44305</v>
      </c>
      <c r="K6452" s="30" t="s">
        <v>22</v>
      </c>
    </row>
    <row r="6453" spans="1:11">
      <c r="A6453" s="33" t="s">
        <v>15110</v>
      </c>
      <c r="B6453" s="33" t="s">
        <v>15111</v>
      </c>
      <c r="C6453" s="33" t="s">
        <v>190</v>
      </c>
      <c r="D6453" s="33" t="s">
        <v>17</v>
      </c>
      <c r="E6453" s="33" t="s">
        <v>18</v>
      </c>
      <c r="F6453" s="33" t="s">
        <v>19</v>
      </c>
      <c r="G6453" s="33" t="s">
        <v>158</v>
      </c>
      <c r="H6453" s="35">
        <v>454</v>
      </c>
      <c r="I6453" s="33" t="s">
        <v>21</v>
      </c>
      <c r="J6453" s="42">
        <v>44497</v>
      </c>
      <c r="K6453" s="33" t="s">
        <v>22</v>
      </c>
    </row>
    <row r="6454" spans="1:11">
      <c r="A6454" s="30" t="s">
        <v>15112</v>
      </c>
      <c r="B6454" s="30" t="s">
        <v>15113</v>
      </c>
      <c r="C6454" s="30" t="s">
        <v>136</v>
      </c>
      <c r="D6454" s="30" t="s">
        <v>17</v>
      </c>
      <c r="E6454" s="30" t="s">
        <v>31</v>
      </c>
      <c r="F6454" s="30" t="s">
        <v>32</v>
      </c>
      <c r="G6454" s="30" t="s">
        <v>20</v>
      </c>
      <c r="H6454" s="32">
        <v>272</v>
      </c>
      <c r="I6454" s="30" t="s">
        <v>21</v>
      </c>
      <c r="J6454" s="41">
        <v>44468</v>
      </c>
      <c r="K6454" s="30" t="s">
        <v>22</v>
      </c>
    </row>
    <row r="6455" spans="1:11">
      <c r="A6455" s="33" t="s">
        <v>15114</v>
      </c>
      <c r="B6455" s="33" t="s">
        <v>15115</v>
      </c>
      <c r="C6455" s="33" t="s">
        <v>44</v>
      </c>
      <c r="D6455" s="33" t="s">
        <v>17</v>
      </c>
      <c r="E6455" s="33" t="s">
        <v>67</v>
      </c>
      <c r="F6455" s="33" t="s">
        <v>68</v>
      </c>
      <c r="G6455" s="33" t="s">
        <v>106</v>
      </c>
      <c r="H6455" s="35">
        <v>25</v>
      </c>
      <c r="I6455" s="33" t="s">
        <v>21</v>
      </c>
      <c r="J6455" s="42">
        <v>44508</v>
      </c>
      <c r="K6455" s="33" t="s">
        <v>22</v>
      </c>
    </row>
    <row r="6456" spans="1:11">
      <c r="A6456" s="30" t="s">
        <v>15116</v>
      </c>
      <c r="B6456" s="30" t="s">
        <v>15117</v>
      </c>
      <c r="C6456" s="30" t="s">
        <v>1483</v>
      </c>
      <c r="D6456" s="30" t="s">
        <v>17</v>
      </c>
      <c r="E6456" s="30" t="s">
        <v>31</v>
      </c>
      <c r="F6456" s="30" t="s">
        <v>32</v>
      </c>
      <c r="G6456" s="30" t="s">
        <v>20</v>
      </c>
      <c r="H6456" s="32">
        <v>240</v>
      </c>
      <c r="I6456" s="30" t="s">
        <v>21</v>
      </c>
      <c r="J6456" s="41">
        <v>44551</v>
      </c>
      <c r="K6456" s="30" t="s">
        <v>22</v>
      </c>
    </row>
    <row r="6457" spans="1:11">
      <c r="A6457" s="33" t="s">
        <v>15118</v>
      </c>
      <c r="B6457" s="33" t="s">
        <v>15119</v>
      </c>
      <c r="C6457" s="33" t="s">
        <v>11879</v>
      </c>
      <c r="D6457" s="33" t="s">
        <v>17</v>
      </c>
      <c r="E6457" s="33" t="s">
        <v>31</v>
      </c>
      <c r="F6457" s="33" t="s">
        <v>32</v>
      </c>
      <c r="G6457" s="33" t="s">
        <v>50</v>
      </c>
      <c r="H6457" s="35">
        <v>120</v>
      </c>
      <c r="I6457" s="33" t="s">
        <v>51</v>
      </c>
      <c r="J6457" s="42">
        <v>44531</v>
      </c>
      <c r="K6457" s="33" t="s">
        <v>22</v>
      </c>
    </row>
    <row r="6458" spans="1:11">
      <c r="A6458" s="30" t="s">
        <v>15120</v>
      </c>
      <c r="B6458" s="30" t="s">
        <v>15121</v>
      </c>
      <c r="C6458" s="30" t="s">
        <v>4176</v>
      </c>
      <c r="D6458" s="30" t="s">
        <v>17</v>
      </c>
      <c r="E6458" s="30" t="s">
        <v>31</v>
      </c>
      <c r="F6458" s="30" t="s">
        <v>32</v>
      </c>
      <c r="G6458" s="30" t="s">
        <v>20</v>
      </c>
      <c r="H6458" s="32">
        <v>103</v>
      </c>
      <c r="I6458" s="30" t="s">
        <v>21</v>
      </c>
      <c r="J6458" s="41">
        <v>44294</v>
      </c>
      <c r="K6458" s="30" t="s">
        <v>22</v>
      </c>
    </row>
    <row r="6459" spans="1:11">
      <c r="A6459" s="33" t="s">
        <v>15122</v>
      </c>
      <c r="B6459" s="33" t="s">
        <v>15123</v>
      </c>
      <c r="C6459" s="33" t="s">
        <v>1383</v>
      </c>
      <c r="D6459" s="33" t="s">
        <v>17</v>
      </c>
      <c r="E6459" s="33" t="s">
        <v>31</v>
      </c>
      <c r="F6459" s="33" t="s">
        <v>32</v>
      </c>
      <c r="G6459" s="33" t="s">
        <v>106</v>
      </c>
      <c r="H6459" s="35">
        <v>6</v>
      </c>
      <c r="I6459" s="33" t="s">
        <v>21</v>
      </c>
      <c r="J6459" s="42">
        <v>44504</v>
      </c>
      <c r="K6459" s="33" t="s">
        <v>22</v>
      </c>
    </row>
    <row r="6460" spans="1:11">
      <c r="A6460" s="30" t="s">
        <v>15124</v>
      </c>
      <c r="B6460" s="30" t="s">
        <v>15125</v>
      </c>
      <c r="C6460" s="30" t="s">
        <v>5443</v>
      </c>
      <c r="D6460" s="30" t="s">
        <v>17</v>
      </c>
      <c r="E6460" s="30" t="s">
        <v>330</v>
      </c>
      <c r="F6460" s="30" t="s">
        <v>331</v>
      </c>
      <c r="G6460" s="30" t="s">
        <v>140</v>
      </c>
      <c r="H6460" s="32">
        <v>24</v>
      </c>
      <c r="I6460" s="30" t="s">
        <v>51</v>
      </c>
      <c r="J6460" s="41">
        <v>44544</v>
      </c>
      <c r="K6460" s="30" t="s">
        <v>22</v>
      </c>
    </row>
    <row r="6461" spans="1:11">
      <c r="A6461" s="33" t="s">
        <v>15126</v>
      </c>
      <c r="B6461" s="33" t="s">
        <v>15127</v>
      </c>
      <c r="C6461" s="33" t="s">
        <v>216</v>
      </c>
      <c r="D6461" s="33" t="s">
        <v>17</v>
      </c>
      <c r="E6461" s="33" t="s">
        <v>18</v>
      </c>
      <c r="F6461" s="33" t="s">
        <v>19</v>
      </c>
      <c r="G6461" s="33" t="s">
        <v>20</v>
      </c>
      <c r="H6461" s="35">
        <v>556</v>
      </c>
      <c r="I6461" s="33" t="s">
        <v>21</v>
      </c>
      <c r="J6461" s="42">
        <v>44383</v>
      </c>
      <c r="K6461" s="33" t="s">
        <v>22</v>
      </c>
    </row>
    <row r="6462" spans="1:11">
      <c r="A6462" s="30" t="s">
        <v>15128</v>
      </c>
      <c r="B6462" s="30" t="s">
        <v>15129</v>
      </c>
      <c r="C6462" s="30" t="s">
        <v>149</v>
      </c>
      <c r="D6462" s="30" t="s">
        <v>17</v>
      </c>
      <c r="E6462" s="30" t="s">
        <v>26</v>
      </c>
      <c r="F6462" s="30" t="s">
        <v>27</v>
      </c>
      <c r="G6462" s="30" t="s">
        <v>20</v>
      </c>
      <c r="H6462" s="32">
        <v>101</v>
      </c>
      <c r="I6462" s="30" t="s">
        <v>21</v>
      </c>
      <c r="J6462" s="41">
        <v>44285</v>
      </c>
      <c r="K6462" s="30" t="s">
        <v>22</v>
      </c>
    </row>
    <row r="6463" spans="1:11">
      <c r="A6463" s="33" t="s">
        <v>15130</v>
      </c>
      <c r="B6463" s="33" t="s">
        <v>15131</v>
      </c>
      <c r="C6463" s="33" t="s">
        <v>874</v>
      </c>
      <c r="D6463" s="33" t="s">
        <v>17</v>
      </c>
      <c r="E6463" s="33" t="s">
        <v>26</v>
      </c>
      <c r="F6463" s="33" t="s">
        <v>27</v>
      </c>
      <c r="G6463" s="33" t="s">
        <v>20</v>
      </c>
      <c r="H6463" s="35">
        <v>36</v>
      </c>
      <c r="I6463" s="33" t="s">
        <v>21</v>
      </c>
      <c r="J6463" s="42">
        <v>44378</v>
      </c>
      <c r="K6463" s="33" t="s">
        <v>22</v>
      </c>
    </row>
    <row r="6464" spans="1:11">
      <c r="A6464" s="30" t="s">
        <v>15132</v>
      </c>
      <c r="B6464" s="30" t="s">
        <v>15133</v>
      </c>
      <c r="C6464" s="30" t="s">
        <v>6551</v>
      </c>
      <c r="D6464" s="30" t="s">
        <v>17</v>
      </c>
      <c r="E6464" s="30" t="s">
        <v>26</v>
      </c>
      <c r="F6464" s="30" t="s">
        <v>27</v>
      </c>
      <c r="G6464" s="30" t="s">
        <v>106</v>
      </c>
      <c r="H6464" s="32">
        <v>7</v>
      </c>
      <c r="I6464" s="30" t="s">
        <v>21</v>
      </c>
      <c r="J6464" s="41">
        <v>44264</v>
      </c>
      <c r="K6464" s="30" t="s">
        <v>22</v>
      </c>
    </row>
    <row r="6465" spans="1:11">
      <c r="A6465" s="33" t="s">
        <v>15134</v>
      </c>
      <c r="B6465" s="33" t="s">
        <v>15135</v>
      </c>
      <c r="C6465" s="33" t="s">
        <v>231</v>
      </c>
      <c r="D6465" s="33" t="s">
        <v>17</v>
      </c>
      <c r="E6465" s="33" t="s">
        <v>45</v>
      </c>
      <c r="F6465" s="33" t="s">
        <v>46</v>
      </c>
      <c r="G6465" s="33" t="s">
        <v>112</v>
      </c>
      <c r="H6465" s="35">
        <v>0</v>
      </c>
      <c r="I6465" s="33" t="s">
        <v>21</v>
      </c>
      <c r="J6465" s="42">
        <v>44364</v>
      </c>
      <c r="K6465" s="33" t="s">
        <v>22</v>
      </c>
    </row>
    <row r="6466" spans="1:11">
      <c r="A6466" s="30" t="s">
        <v>15136</v>
      </c>
      <c r="B6466" s="30" t="s">
        <v>15137</v>
      </c>
      <c r="C6466" s="30" t="s">
        <v>231</v>
      </c>
      <c r="D6466" s="30" t="s">
        <v>17</v>
      </c>
      <c r="E6466" s="30" t="s">
        <v>18</v>
      </c>
      <c r="F6466" s="30" t="s">
        <v>19</v>
      </c>
      <c r="G6466" s="30" t="s">
        <v>20</v>
      </c>
      <c r="H6466" s="32">
        <v>81</v>
      </c>
      <c r="I6466" s="30" t="s">
        <v>21</v>
      </c>
      <c r="J6466" s="41">
        <v>44525</v>
      </c>
      <c r="K6466" s="30" t="s">
        <v>22</v>
      </c>
    </row>
    <row r="6467" spans="1:11">
      <c r="A6467" s="33" t="s">
        <v>15138</v>
      </c>
      <c r="B6467" s="33" t="s">
        <v>15139</v>
      </c>
      <c r="C6467" s="33" t="s">
        <v>3641</v>
      </c>
      <c r="D6467" s="33" t="s">
        <v>17</v>
      </c>
      <c r="E6467" s="33" t="s">
        <v>31</v>
      </c>
      <c r="F6467" s="33" t="s">
        <v>32</v>
      </c>
      <c r="G6467" s="33" t="s">
        <v>50</v>
      </c>
      <c r="H6467" s="35">
        <v>52</v>
      </c>
      <c r="I6467" s="33" t="s">
        <v>51</v>
      </c>
      <c r="J6467" s="42">
        <v>44299</v>
      </c>
      <c r="K6467" s="33" t="s">
        <v>22</v>
      </c>
    </row>
    <row r="6468" spans="1:11">
      <c r="A6468" s="30" t="s">
        <v>15140</v>
      </c>
      <c r="B6468" s="30" t="s">
        <v>15141</v>
      </c>
      <c r="C6468" s="30" t="s">
        <v>157</v>
      </c>
      <c r="D6468" s="30" t="s">
        <v>17</v>
      </c>
      <c r="E6468" s="30" t="s">
        <v>67</v>
      </c>
      <c r="F6468" s="30" t="s">
        <v>68</v>
      </c>
      <c r="G6468" s="30" t="s">
        <v>106</v>
      </c>
      <c r="H6468" s="32">
        <v>95</v>
      </c>
      <c r="I6468" s="30" t="s">
        <v>21</v>
      </c>
      <c r="J6468" s="41">
        <v>44263</v>
      </c>
      <c r="K6468" s="30" t="s">
        <v>22</v>
      </c>
    </row>
    <row r="6469" spans="1:11">
      <c r="A6469" s="33" t="s">
        <v>15142</v>
      </c>
      <c r="B6469" s="33" t="s">
        <v>15143</v>
      </c>
      <c r="C6469" s="33" t="s">
        <v>5188</v>
      </c>
      <c r="D6469" s="33" t="s">
        <v>17</v>
      </c>
      <c r="E6469" s="33" t="s">
        <v>26</v>
      </c>
      <c r="F6469" s="33" t="s">
        <v>27</v>
      </c>
      <c r="G6469" s="33" t="s">
        <v>20</v>
      </c>
      <c r="H6469" s="35">
        <v>16</v>
      </c>
      <c r="I6469" s="33" t="s">
        <v>21</v>
      </c>
      <c r="J6469" s="42">
        <v>44477</v>
      </c>
      <c r="K6469" s="33" t="s">
        <v>22</v>
      </c>
    </row>
    <row r="6470" spans="1:11">
      <c r="A6470" s="30" t="s">
        <v>15144</v>
      </c>
      <c r="B6470" s="30" t="s">
        <v>15145</v>
      </c>
      <c r="C6470" s="30" t="s">
        <v>102</v>
      </c>
      <c r="D6470" s="30" t="s">
        <v>17</v>
      </c>
      <c r="E6470" s="30" t="s">
        <v>31</v>
      </c>
      <c r="F6470" s="30" t="s">
        <v>32</v>
      </c>
      <c r="G6470" s="30" t="s">
        <v>20</v>
      </c>
      <c r="H6470" s="32">
        <v>53</v>
      </c>
      <c r="I6470" s="30" t="s">
        <v>21</v>
      </c>
      <c r="J6470" s="41">
        <v>44483</v>
      </c>
      <c r="K6470" s="30" t="s">
        <v>22</v>
      </c>
    </row>
    <row r="6471" spans="1:11">
      <c r="A6471" s="33" t="s">
        <v>15146</v>
      </c>
      <c r="B6471" s="33" t="s">
        <v>15147</v>
      </c>
      <c r="C6471" s="33" t="s">
        <v>15148</v>
      </c>
      <c r="D6471" s="33" t="s">
        <v>17</v>
      </c>
      <c r="E6471" s="33" t="s">
        <v>18</v>
      </c>
      <c r="F6471" s="33" t="s">
        <v>19</v>
      </c>
      <c r="G6471" s="33" t="s">
        <v>20</v>
      </c>
      <c r="H6471" s="35">
        <v>203</v>
      </c>
      <c r="I6471" s="33" t="s">
        <v>21</v>
      </c>
      <c r="J6471" s="42">
        <v>44341</v>
      </c>
      <c r="K6471" s="33" t="s">
        <v>22</v>
      </c>
    </row>
    <row r="6472" spans="1:11">
      <c r="A6472" s="30" t="s">
        <v>15149</v>
      </c>
      <c r="B6472" s="30" t="s">
        <v>15150</v>
      </c>
      <c r="C6472" s="30" t="s">
        <v>15151</v>
      </c>
      <c r="D6472" s="30" t="s">
        <v>17</v>
      </c>
      <c r="E6472" s="30" t="s">
        <v>67</v>
      </c>
      <c r="F6472" s="30" t="s">
        <v>68</v>
      </c>
      <c r="G6472" s="30" t="s">
        <v>140</v>
      </c>
      <c r="H6472" s="32">
        <v>317</v>
      </c>
      <c r="I6472" s="30" t="s">
        <v>51</v>
      </c>
      <c r="J6472" s="41">
        <v>44410</v>
      </c>
      <c r="K6472" s="30" t="s">
        <v>22</v>
      </c>
    </row>
    <row r="6473" spans="1:11">
      <c r="A6473" s="33" t="s">
        <v>15152</v>
      </c>
      <c r="B6473" s="33" t="s">
        <v>15153</v>
      </c>
      <c r="C6473" s="33" t="s">
        <v>203</v>
      </c>
      <c r="D6473" s="33" t="s">
        <v>17</v>
      </c>
      <c r="E6473" s="33" t="s">
        <v>67</v>
      </c>
      <c r="F6473" s="33" t="s">
        <v>68</v>
      </c>
      <c r="G6473" s="33" t="s">
        <v>106</v>
      </c>
      <c r="H6473" s="35">
        <v>125</v>
      </c>
      <c r="I6473" s="33" t="s">
        <v>21</v>
      </c>
      <c r="J6473" s="42">
        <v>44297</v>
      </c>
      <c r="K6473" s="33" t="s">
        <v>22</v>
      </c>
    </row>
    <row r="6474" spans="1:11">
      <c r="A6474" s="30" t="s">
        <v>15154</v>
      </c>
      <c r="B6474" s="30" t="s">
        <v>15155</v>
      </c>
      <c r="C6474" s="30" t="s">
        <v>10490</v>
      </c>
      <c r="D6474" s="30" t="s">
        <v>17</v>
      </c>
      <c r="E6474" s="30" t="s">
        <v>45</v>
      </c>
      <c r="F6474" s="30" t="s">
        <v>46</v>
      </c>
      <c r="G6474" s="30" t="s">
        <v>20</v>
      </c>
      <c r="H6474" s="32">
        <v>100</v>
      </c>
      <c r="I6474" s="30" t="s">
        <v>21</v>
      </c>
      <c r="J6474" s="41">
        <v>44305</v>
      </c>
      <c r="K6474" s="30" t="s">
        <v>22</v>
      </c>
    </row>
    <row r="6475" spans="1:11">
      <c r="A6475" s="33" t="s">
        <v>15156</v>
      </c>
      <c r="B6475" s="33" t="s">
        <v>15157</v>
      </c>
      <c r="C6475" s="33" t="s">
        <v>15158</v>
      </c>
      <c r="D6475" s="33" t="s">
        <v>17</v>
      </c>
      <c r="E6475" s="33" t="s">
        <v>26</v>
      </c>
      <c r="F6475" s="33" t="s">
        <v>27</v>
      </c>
      <c r="G6475" s="33" t="s">
        <v>20</v>
      </c>
      <c r="H6475" s="35">
        <v>40</v>
      </c>
      <c r="I6475" s="33" t="s">
        <v>21</v>
      </c>
      <c r="J6475" s="42">
        <v>44431</v>
      </c>
      <c r="K6475" s="33" t="s">
        <v>22</v>
      </c>
    </row>
    <row r="6476" spans="1:11">
      <c r="A6476" s="30" t="s">
        <v>15159</v>
      </c>
      <c r="B6476" s="30" t="s">
        <v>15160</v>
      </c>
      <c r="C6476" s="30" t="s">
        <v>9017</v>
      </c>
      <c r="D6476" s="30" t="s">
        <v>17</v>
      </c>
      <c r="E6476" s="30" t="s">
        <v>31</v>
      </c>
      <c r="F6476" s="30" t="s">
        <v>32</v>
      </c>
      <c r="G6476" s="30" t="s">
        <v>106</v>
      </c>
      <c r="H6476" s="32">
        <v>33</v>
      </c>
      <c r="I6476" s="30" t="s">
        <v>21</v>
      </c>
      <c r="J6476" s="41">
        <v>44435</v>
      </c>
      <c r="K6476" s="30" t="s">
        <v>22</v>
      </c>
    </row>
    <row r="6477" spans="1:11">
      <c r="A6477" s="33" t="s">
        <v>15161</v>
      </c>
      <c r="B6477" s="33" t="s">
        <v>15162</v>
      </c>
      <c r="C6477" s="33" t="s">
        <v>2728</v>
      </c>
      <c r="D6477" s="33" t="s">
        <v>17</v>
      </c>
      <c r="E6477" s="33" t="s">
        <v>18</v>
      </c>
      <c r="F6477" s="33" t="s">
        <v>19</v>
      </c>
      <c r="G6477" s="33" t="s">
        <v>20</v>
      </c>
      <c r="H6477" s="35">
        <v>1220</v>
      </c>
      <c r="I6477" s="33" t="s">
        <v>21</v>
      </c>
      <c r="J6477" s="42">
        <v>44252</v>
      </c>
      <c r="K6477" s="33" t="s">
        <v>22</v>
      </c>
    </row>
    <row r="6478" spans="1:11">
      <c r="A6478" s="30" t="s">
        <v>15163</v>
      </c>
      <c r="B6478" s="30" t="s">
        <v>15164</v>
      </c>
      <c r="C6478" s="30" t="s">
        <v>109</v>
      </c>
      <c r="D6478" s="30" t="s">
        <v>17</v>
      </c>
      <c r="E6478" s="30" t="s">
        <v>18</v>
      </c>
      <c r="F6478" s="30" t="s">
        <v>19</v>
      </c>
      <c r="G6478" s="30" t="s">
        <v>20</v>
      </c>
      <c r="H6478" s="32">
        <v>354</v>
      </c>
      <c r="I6478" s="30" t="s">
        <v>21</v>
      </c>
      <c r="J6478" s="41">
        <v>44475</v>
      </c>
      <c r="K6478" s="30" t="s">
        <v>22</v>
      </c>
    </row>
    <row r="6479" spans="1:11">
      <c r="A6479" s="33" t="s">
        <v>15165</v>
      </c>
      <c r="B6479" s="33" t="s">
        <v>15166</v>
      </c>
      <c r="C6479" s="33" t="s">
        <v>3439</v>
      </c>
      <c r="D6479" s="33" t="s">
        <v>17</v>
      </c>
      <c r="E6479" s="33" t="s">
        <v>67</v>
      </c>
      <c r="F6479" s="33" t="s">
        <v>68</v>
      </c>
      <c r="G6479" s="33" t="s">
        <v>158</v>
      </c>
      <c r="H6479" s="35">
        <v>315</v>
      </c>
      <c r="I6479" s="33" t="s">
        <v>21</v>
      </c>
      <c r="J6479" s="42">
        <v>44403</v>
      </c>
      <c r="K6479" s="33" t="s">
        <v>22</v>
      </c>
    </row>
    <row r="6480" spans="1:11">
      <c r="A6480" s="30" t="s">
        <v>15167</v>
      </c>
      <c r="B6480" s="30" t="s">
        <v>15168</v>
      </c>
      <c r="C6480" s="30" t="s">
        <v>1504</v>
      </c>
      <c r="D6480" s="30" t="s">
        <v>17</v>
      </c>
      <c r="E6480" s="30" t="s">
        <v>26</v>
      </c>
      <c r="F6480" s="30" t="s">
        <v>27</v>
      </c>
      <c r="G6480" s="30" t="s">
        <v>20</v>
      </c>
      <c r="H6480" s="32">
        <v>48</v>
      </c>
      <c r="I6480" s="30" t="s">
        <v>21</v>
      </c>
      <c r="J6480" s="41">
        <v>44545</v>
      </c>
      <c r="K6480" s="30" t="s">
        <v>22</v>
      </c>
    </row>
    <row r="6481" spans="1:11">
      <c r="A6481" s="33" t="s">
        <v>15169</v>
      </c>
      <c r="B6481" s="33" t="s">
        <v>15170</v>
      </c>
      <c r="C6481" s="33" t="s">
        <v>157</v>
      </c>
      <c r="D6481" s="33" t="s">
        <v>17</v>
      </c>
      <c r="E6481" s="33" t="s">
        <v>26</v>
      </c>
      <c r="F6481" s="33" t="s">
        <v>27</v>
      </c>
      <c r="G6481" s="33" t="s">
        <v>112</v>
      </c>
      <c r="H6481" s="35">
        <v>0</v>
      </c>
      <c r="I6481" s="33" t="s">
        <v>21</v>
      </c>
      <c r="J6481" s="42">
        <v>44288</v>
      </c>
      <c r="K6481" s="33" t="s">
        <v>22</v>
      </c>
    </row>
    <row r="6482" spans="1:11">
      <c r="A6482" s="30" t="s">
        <v>15171</v>
      </c>
      <c r="B6482" s="30" t="s">
        <v>15172</v>
      </c>
      <c r="C6482" s="30" t="s">
        <v>8151</v>
      </c>
      <c r="D6482" s="30" t="s">
        <v>17</v>
      </c>
      <c r="E6482" s="30" t="s">
        <v>31</v>
      </c>
      <c r="F6482" s="30" t="s">
        <v>32</v>
      </c>
      <c r="G6482" s="30" t="s">
        <v>20</v>
      </c>
      <c r="H6482" s="32">
        <v>230</v>
      </c>
      <c r="I6482" s="30" t="s">
        <v>21</v>
      </c>
      <c r="J6482" s="41">
        <v>44250</v>
      </c>
      <c r="K6482" s="30" t="s">
        <v>22</v>
      </c>
    </row>
    <row r="6483" spans="1:11">
      <c r="A6483" s="33" t="s">
        <v>15173</v>
      </c>
      <c r="B6483" s="33" t="s">
        <v>15174</v>
      </c>
      <c r="C6483" s="33" t="s">
        <v>15175</v>
      </c>
      <c r="D6483" s="33" t="s">
        <v>17</v>
      </c>
      <c r="E6483" s="33" t="s">
        <v>26</v>
      </c>
      <c r="F6483" s="33" t="s">
        <v>27</v>
      </c>
      <c r="G6483" s="33" t="s">
        <v>50</v>
      </c>
      <c r="H6483" s="35">
        <v>100</v>
      </c>
      <c r="I6483" s="33" t="s">
        <v>51</v>
      </c>
      <c r="J6483" s="42">
        <v>44256</v>
      </c>
      <c r="K6483" s="33" t="s">
        <v>22</v>
      </c>
    </row>
    <row r="6484" spans="1:11">
      <c r="A6484" s="30" t="s">
        <v>15176</v>
      </c>
      <c r="B6484" s="30" t="s">
        <v>15177</v>
      </c>
      <c r="C6484" s="30" t="s">
        <v>6379</v>
      </c>
      <c r="D6484" s="30" t="s">
        <v>17</v>
      </c>
      <c r="E6484" s="30" t="s">
        <v>31</v>
      </c>
      <c r="F6484" s="30" t="s">
        <v>32</v>
      </c>
      <c r="G6484" s="30" t="s">
        <v>20</v>
      </c>
      <c r="H6484" s="32">
        <v>24</v>
      </c>
      <c r="I6484" s="30" t="s">
        <v>21</v>
      </c>
      <c r="J6484" s="41">
        <v>44312</v>
      </c>
      <c r="K6484" s="30" t="s">
        <v>22</v>
      </c>
    </row>
    <row r="6485" spans="1:11">
      <c r="A6485" s="33" t="s">
        <v>15178</v>
      </c>
      <c r="B6485" s="33" t="s">
        <v>15179</v>
      </c>
      <c r="C6485" s="33" t="s">
        <v>15180</v>
      </c>
      <c r="D6485" s="33" t="s">
        <v>17</v>
      </c>
      <c r="E6485" s="33" t="s">
        <v>26</v>
      </c>
      <c r="F6485" s="33" t="s">
        <v>27</v>
      </c>
      <c r="G6485" s="33" t="s">
        <v>50</v>
      </c>
      <c r="H6485" s="35">
        <v>20</v>
      </c>
      <c r="I6485" s="33" t="s">
        <v>21</v>
      </c>
      <c r="J6485" s="42">
        <v>44253</v>
      </c>
      <c r="K6485" s="33" t="s">
        <v>22</v>
      </c>
    </row>
    <row r="6486" spans="1:11">
      <c r="A6486" s="30" t="s">
        <v>15181</v>
      </c>
      <c r="B6486" s="30" t="s">
        <v>15182</v>
      </c>
      <c r="C6486" s="30" t="s">
        <v>1740</v>
      </c>
      <c r="D6486" s="30" t="s">
        <v>17</v>
      </c>
      <c r="E6486" s="30" t="s">
        <v>26</v>
      </c>
      <c r="F6486" s="30" t="s">
        <v>27</v>
      </c>
      <c r="G6486" s="30" t="s">
        <v>20</v>
      </c>
      <c r="H6486" s="32">
        <v>40</v>
      </c>
      <c r="I6486" s="30" t="s">
        <v>21</v>
      </c>
      <c r="J6486" s="41">
        <v>44488</v>
      </c>
      <c r="K6486" s="30" t="s">
        <v>22</v>
      </c>
    </row>
    <row r="6487" spans="1:11">
      <c r="A6487" s="33" t="s">
        <v>15183</v>
      </c>
      <c r="B6487" s="33" t="s">
        <v>15184</v>
      </c>
      <c r="C6487" s="33" t="s">
        <v>1003</v>
      </c>
      <c r="D6487" s="33" t="s">
        <v>17</v>
      </c>
      <c r="E6487" s="33" t="s">
        <v>18</v>
      </c>
      <c r="F6487" s="33" t="s">
        <v>19</v>
      </c>
      <c r="G6487" s="33" t="s">
        <v>20</v>
      </c>
      <c r="H6487" s="35">
        <v>201</v>
      </c>
      <c r="I6487" s="33" t="s">
        <v>21</v>
      </c>
      <c r="J6487" s="42">
        <v>44449</v>
      </c>
      <c r="K6487" s="33" t="s">
        <v>22</v>
      </c>
    </row>
    <row r="6488" spans="1:11">
      <c r="A6488" s="30" t="s">
        <v>15185</v>
      </c>
      <c r="B6488" s="30" t="s">
        <v>15186</v>
      </c>
      <c r="C6488" s="30" t="s">
        <v>4348</v>
      </c>
      <c r="D6488" s="30" t="s">
        <v>17</v>
      </c>
      <c r="E6488" s="30" t="s">
        <v>26</v>
      </c>
      <c r="F6488" s="30" t="s">
        <v>27</v>
      </c>
      <c r="G6488" s="30" t="s">
        <v>112</v>
      </c>
      <c r="H6488" s="32">
        <v>0</v>
      </c>
      <c r="I6488" s="30" t="s">
        <v>21</v>
      </c>
      <c r="J6488" s="41">
        <v>44454</v>
      </c>
      <c r="K6488" s="30" t="s">
        <v>22</v>
      </c>
    </row>
    <row r="6489" spans="1:11">
      <c r="A6489" s="33" t="s">
        <v>15187</v>
      </c>
      <c r="B6489" s="33" t="s">
        <v>15188</v>
      </c>
      <c r="C6489" s="33" t="s">
        <v>1210</v>
      </c>
      <c r="D6489" s="33" t="s">
        <v>17</v>
      </c>
      <c r="E6489" s="33" t="s">
        <v>26</v>
      </c>
      <c r="F6489" s="33" t="s">
        <v>27</v>
      </c>
      <c r="G6489" s="33" t="s">
        <v>20</v>
      </c>
      <c r="H6489" s="35">
        <v>46</v>
      </c>
      <c r="I6489" s="33" t="s">
        <v>21</v>
      </c>
      <c r="J6489" s="42">
        <v>44509</v>
      </c>
      <c r="K6489" s="33" t="s">
        <v>22</v>
      </c>
    </row>
    <row r="6490" spans="1:11">
      <c r="A6490" s="30" t="s">
        <v>15189</v>
      </c>
      <c r="B6490" s="30" t="s">
        <v>15190</v>
      </c>
      <c r="C6490" s="30" t="s">
        <v>15191</v>
      </c>
      <c r="D6490" s="30" t="s">
        <v>17</v>
      </c>
      <c r="E6490" s="30" t="s">
        <v>212</v>
      </c>
      <c r="F6490" s="30" t="s">
        <v>213</v>
      </c>
      <c r="G6490" s="30" t="s">
        <v>158</v>
      </c>
      <c r="H6490" s="32">
        <v>250</v>
      </c>
      <c r="I6490" s="30" t="s">
        <v>21</v>
      </c>
      <c r="J6490" s="41">
        <v>44414</v>
      </c>
      <c r="K6490" s="30" t="s">
        <v>22</v>
      </c>
    </row>
    <row r="6491" spans="1:11">
      <c r="A6491" s="33" t="s">
        <v>15192</v>
      </c>
      <c r="B6491" s="33" t="s">
        <v>9236</v>
      </c>
      <c r="C6491" s="33" t="s">
        <v>13241</v>
      </c>
      <c r="D6491" s="33" t="s">
        <v>17</v>
      </c>
      <c r="E6491" s="33" t="s">
        <v>18</v>
      </c>
      <c r="F6491" s="33" t="s">
        <v>19</v>
      </c>
      <c r="G6491" s="33" t="s">
        <v>20</v>
      </c>
      <c r="H6491" s="35">
        <v>159</v>
      </c>
      <c r="I6491" s="33" t="s">
        <v>21</v>
      </c>
      <c r="J6491" s="42">
        <v>44524</v>
      </c>
      <c r="K6491" s="33" t="s">
        <v>22</v>
      </c>
    </row>
    <row r="6492" spans="1:11">
      <c r="A6492" s="30" t="s">
        <v>15193</v>
      </c>
      <c r="B6492" s="30" t="s">
        <v>15194</v>
      </c>
      <c r="C6492" s="30" t="s">
        <v>231</v>
      </c>
      <c r="D6492" s="30" t="s">
        <v>17</v>
      </c>
      <c r="E6492" s="30" t="s">
        <v>26</v>
      </c>
      <c r="F6492" s="30" t="s">
        <v>27</v>
      </c>
      <c r="G6492" s="30" t="s">
        <v>20</v>
      </c>
      <c r="H6492" s="32">
        <v>20</v>
      </c>
      <c r="I6492" s="30" t="s">
        <v>21</v>
      </c>
      <c r="J6492" s="41">
        <v>44391</v>
      </c>
      <c r="K6492" s="30" t="s">
        <v>22</v>
      </c>
    </row>
    <row r="6493" spans="1:11">
      <c r="A6493" s="33" t="s">
        <v>15195</v>
      </c>
      <c r="B6493" s="33" t="s">
        <v>15196</v>
      </c>
      <c r="C6493" s="33" t="s">
        <v>78</v>
      </c>
      <c r="D6493" s="33" t="s">
        <v>17</v>
      </c>
      <c r="E6493" s="33" t="s">
        <v>26</v>
      </c>
      <c r="F6493" s="33" t="s">
        <v>27</v>
      </c>
      <c r="G6493" s="33" t="s">
        <v>50</v>
      </c>
      <c r="H6493" s="35">
        <v>32</v>
      </c>
      <c r="I6493" s="33" t="s">
        <v>51</v>
      </c>
      <c r="J6493" s="42">
        <v>44287</v>
      </c>
      <c r="K6493" s="33" t="s">
        <v>22</v>
      </c>
    </row>
    <row r="6494" spans="1:11">
      <c r="A6494" s="30" t="s">
        <v>15197</v>
      </c>
      <c r="B6494" s="30" t="s">
        <v>15198</v>
      </c>
      <c r="C6494" s="30" t="s">
        <v>15199</v>
      </c>
      <c r="D6494" s="30" t="s">
        <v>17</v>
      </c>
      <c r="E6494" s="30" t="s">
        <v>26</v>
      </c>
      <c r="F6494" s="30" t="s">
        <v>27</v>
      </c>
      <c r="G6494" s="30" t="s">
        <v>20</v>
      </c>
      <c r="H6494" s="32">
        <v>14</v>
      </c>
      <c r="I6494" s="30" t="s">
        <v>21</v>
      </c>
      <c r="J6494" s="41">
        <v>44245</v>
      </c>
      <c r="K6494" s="30" t="s">
        <v>22</v>
      </c>
    </row>
    <row r="6495" spans="1:11">
      <c r="A6495" s="33" t="s">
        <v>15200</v>
      </c>
      <c r="B6495" s="33" t="s">
        <v>15201</v>
      </c>
      <c r="C6495" s="33" t="s">
        <v>109</v>
      </c>
      <c r="D6495" s="33" t="s">
        <v>17</v>
      </c>
      <c r="E6495" s="33" t="s">
        <v>26</v>
      </c>
      <c r="F6495" s="33" t="s">
        <v>27</v>
      </c>
      <c r="G6495" s="33" t="s">
        <v>20</v>
      </c>
      <c r="H6495" s="35">
        <v>19</v>
      </c>
      <c r="I6495" s="33" t="s">
        <v>21</v>
      </c>
      <c r="J6495" s="42">
        <v>44518</v>
      </c>
      <c r="K6495" s="33" t="s">
        <v>22</v>
      </c>
    </row>
    <row r="6496" spans="1:11">
      <c r="A6496" s="30" t="s">
        <v>15202</v>
      </c>
      <c r="B6496" s="30" t="s">
        <v>15203</v>
      </c>
      <c r="C6496" s="30" t="s">
        <v>899</v>
      </c>
      <c r="D6496" s="30" t="s">
        <v>17</v>
      </c>
      <c r="E6496" s="30" t="s">
        <v>26</v>
      </c>
      <c r="F6496" s="30" t="s">
        <v>27</v>
      </c>
      <c r="G6496" s="30" t="s">
        <v>20</v>
      </c>
      <c r="H6496" s="32">
        <v>40</v>
      </c>
      <c r="I6496" s="30" t="s">
        <v>21</v>
      </c>
      <c r="J6496" s="41">
        <v>44504</v>
      </c>
      <c r="K6496" s="30" t="s">
        <v>22</v>
      </c>
    </row>
    <row r="6497" spans="1:11">
      <c r="A6497" s="33" t="s">
        <v>15204</v>
      </c>
      <c r="B6497" s="33" t="s">
        <v>15205</v>
      </c>
      <c r="C6497" s="33" t="s">
        <v>118</v>
      </c>
      <c r="D6497" s="33" t="s">
        <v>17</v>
      </c>
      <c r="E6497" s="33" t="s">
        <v>26</v>
      </c>
      <c r="F6497" s="33" t="s">
        <v>27</v>
      </c>
      <c r="G6497" s="33" t="s">
        <v>20</v>
      </c>
      <c r="H6497" s="35">
        <v>31</v>
      </c>
      <c r="I6497" s="33" t="s">
        <v>21</v>
      </c>
      <c r="J6497" s="42">
        <v>44314</v>
      </c>
      <c r="K6497" s="33" t="s">
        <v>22</v>
      </c>
    </row>
    <row r="6498" spans="1:11">
      <c r="A6498" s="30" t="s">
        <v>15206</v>
      </c>
      <c r="B6498" s="30" t="s">
        <v>15207</v>
      </c>
      <c r="C6498" s="30" t="s">
        <v>15208</v>
      </c>
      <c r="D6498" s="30" t="s">
        <v>17</v>
      </c>
      <c r="E6498" s="30" t="s">
        <v>18</v>
      </c>
      <c r="F6498" s="30" t="s">
        <v>19</v>
      </c>
      <c r="G6498" s="30" t="s">
        <v>20</v>
      </c>
      <c r="H6498" s="32">
        <v>820</v>
      </c>
      <c r="I6498" s="30" t="s">
        <v>21</v>
      </c>
      <c r="J6498" s="41">
        <v>44384</v>
      </c>
      <c r="K6498" s="30" t="s">
        <v>22</v>
      </c>
    </row>
    <row r="6499" spans="1:11">
      <c r="A6499" s="33" t="s">
        <v>15209</v>
      </c>
      <c r="B6499" s="33" t="s">
        <v>15210</v>
      </c>
      <c r="C6499" s="33" t="s">
        <v>2503</v>
      </c>
      <c r="D6499" s="33" t="s">
        <v>17</v>
      </c>
      <c r="E6499" s="33" t="s">
        <v>67</v>
      </c>
      <c r="F6499" s="33" t="s">
        <v>68</v>
      </c>
      <c r="G6499" s="33" t="s">
        <v>106</v>
      </c>
      <c r="H6499" s="35">
        <v>28</v>
      </c>
      <c r="I6499" s="33" t="s">
        <v>21</v>
      </c>
      <c r="J6499" s="42">
        <v>44305</v>
      </c>
      <c r="K6499" s="33" t="s">
        <v>22</v>
      </c>
    </row>
    <row r="6500" spans="1:11">
      <c r="A6500" s="30" t="s">
        <v>15211</v>
      </c>
      <c r="B6500" s="30" t="s">
        <v>15212</v>
      </c>
      <c r="C6500" s="30" t="s">
        <v>178</v>
      </c>
      <c r="D6500" s="30" t="s">
        <v>17</v>
      </c>
      <c r="E6500" s="30" t="s">
        <v>31</v>
      </c>
      <c r="F6500" s="30" t="s">
        <v>32</v>
      </c>
      <c r="G6500" s="30" t="s">
        <v>158</v>
      </c>
      <c r="H6500" s="32">
        <v>920</v>
      </c>
      <c r="I6500" s="30" t="s">
        <v>51</v>
      </c>
      <c r="J6500" s="41">
        <v>44214</v>
      </c>
      <c r="K6500" s="30" t="s">
        <v>22</v>
      </c>
    </row>
    <row r="6501" spans="1:11">
      <c r="A6501" s="33" t="s">
        <v>15213</v>
      </c>
      <c r="B6501" s="33" t="s">
        <v>15214</v>
      </c>
      <c r="C6501" s="33" t="s">
        <v>9807</v>
      </c>
      <c r="D6501" s="33" t="s">
        <v>17</v>
      </c>
      <c r="E6501" s="33" t="s">
        <v>67</v>
      </c>
      <c r="F6501" s="33" t="s">
        <v>68</v>
      </c>
      <c r="G6501" s="33" t="s">
        <v>106</v>
      </c>
      <c r="H6501" s="35">
        <v>135</v>
      </c>
      <c r="I6501" s="33" t="s">
        <v>21</v>
      </c>
      <c r="J6501" s="42">
        <v>44235</v>
      </c>
      <c r="K6501" s="33" t="s">
        <v>22</v>
      </c>
    </row>
    <row r="6502" spans="1:11">
      <c r="A6502" s="30" t="s">
        <v>15215</v>
      </c>
      <c r="B6502" s="30" t="s">
        <v>15216</v>
      </c>
      <c r="C6502" s="30" t="s">
        <v>225</v>
      </c>
      <c r="D6502" s="30" t="s">
        <v>17</v>
      </c>
      <c r="E6502" s="30" t="s">
        <v>212</v>
      </c>
      <c r="F6502" s="30" t="s">
        <v>213</v>
      </c>
      <c r="G6502" s="30" t="s">
        <v>140</v>
      </c>
      <c r="H6502" s="32">
        <v>132</v>
      </c>
      <c r="I6502" s="30" t="s">
        <v>51</v>
      </c>
      <c r="J6502" s="41">
        <v>44246</v>
      </c>
      <c r="K6502" s="30" t="s">
        <v>22</v>
      </c>
    </row>
    <row r="6503" spans="1:11">
      <c r="A6503" s="33" t="s">
        <v>15217</v>
      </c>
      <c r="B6503" s="33" t="s">
        <v>15218</v>
      </c>
      <c r="C6503" s="33" t="s">
        <v>310</v>
      </c>
      <c r="D6503" s="33" t="s">
        <v>17</v>
      </c>
      <c r="E6503" s="33" t="s">
        <v>31</v>
      </c>
      <c r="F6503" s="33" t="s">
        <v>32</v>
      </c>
      <c r="G6503" s="33" t="s">
        <v>20</v>
      </c>
      <c r="H6503" s="35">
        <v>267</v>
      </c>
      <c r="I6503" s="33" t="s">
        <v>21</v>
      </c>
      <c r="J6503" s="42">
        <v>44411</v>
      </c>
      <c r="K6503" s="33" t="s">
        <v>22</v>
      </c>
    </row>
    <row r="6504" spans="1:11">
      <c r="A6504" s="30" t="s">
        <v>15219</v>
      </c>
      <c r="B6504" s="30" t="s">
        <v>15220</v>
      </c>
      <c r="C6504" s="30" t="s">
        <v>15221</v>
      </c>
      <c r="D6504" s="30" t="s">
        <v>17</v>
      </c>
      <c r="E6504" s="30" t="s">
        <v>31</v>
      </c>
      <c r="F6504" s="30" t="s">
        <v>32</v>
      </c>
      <c r="G6504" s="30" t="s">
        <v>20</v>
      </c>
      <c r="H6504" s="32">
        <v>248</v>
      </c>
      <c r="I6504" s="30" t="s">
        <v>21</v>
      </c>
      <c r="J6504" s="41">
        <v>44419</v>
      </c>
      <c r="K6504" s="30" t="s">
        <v>22</v>
      </c>
    </row>
    <row r="6505" spans="1:11">
      <c r="A6505" s="33" t="s">
        <v>15222</v>
      </c>
      <c r="B6505" s="33" t="s">
        <v>15223</v>
      </c>
      <c r="C6505" s="33" t="s">
        <v>756</v>
      </c>
      <c r="D6505" s="33" t="s">
        <v>17</v>
      </c>
      <c r="E6505" s="33" t="s">
        <v>31</v>
      </c>
      <c r="F6505" s="33" t="s">
        <v>32</v>
      </c>
      <c r="G6505" s="33" t="s">
        <v>20</v>
      </c>
      <c r="H6505" s="35">
        <v>9</v>
      </c>
      <c r="I6505" s="33" t="s">
        <v>21</v>
      </c>
      <c r="J6505" s="42">
        <v>44270</v>
      </c>
      <c r="K6505" s="33" t="s">
        <v>22</v>
      </c>
    </row>
    <row r="6506" spans="1:11">
      <c r="A6506" s="30" t="s">
        <v>15224</v>
      </c>
      <c r="B6506" s="30" t="s">
        <v>15225</v>
      </c>
      <c r="C6506" s="30" t="s">
        <v>7949</v>
      </c>
      <c r="D6506" s="30" t="s">
        <v>17</v>
      </c>
      <c r="E6506" s="30" t="s">
        <v>26</v>
      </c>
      <c r="F6506" s="30" t="s">
        <v>27</v>
      </c>
      <c r="G6506" s="30" t="s">
        <v>106</v>
      </c>
      <c r="H6506" s="32">
        <v>1</v>
      </c>
      <c r="I6506" s="30" t="s">
        <v>21</v>
      </c>
      <c r="J6506" s="41">
        <v>44515</v>
      </c>
      <c r="K6506" s="30" t="s">
        <v>22</v>
      </c>
    </row>
    <row r="6507" spans="1:11">
      <c r="A6507" s="33" t="s">
        <v>15226</v>
      </c>
      <c r="B6507" s="33" t="s">
        <v>15227</v>
      </c>
      <c r="C6507" s="33" t="s">
        <v>136</v>
      </c>
      <c r="D6507" s="33" t="s">
        <v>17</v>
      </c>
      <c r="E6507" s="33" t="s">
        <v>26</v>
      </c>
      <c r="F6507" s="33" t="s">
        <v>27</v>
      </c>
      <c r="G6507" s="33" t="s">
        <v>20</v>
      </c>
      <c r="H6507" s="35">
        <v>16</v>
      </c>
      <c r="I6507" s="33" t="s">
        <v>21</v>
      </c>
      <c r="J6507" s="42">
        <v>44421</v>
      </c>
      <c r="K6507" s="33" t="s">
        <v>22</v>
      </c>
    </row>
    <row r="6508" spans="1:11">
      <c r="A6508" s="30" t="s">
        <v>15228</v>
      </c>
      <c r="B6508" s="30" t="s">
        <v>15229</v>
      </c>
      <c r="C6508" s="30" t="s">
        <v>2261</v>
      </c>
      <c r="D6508" s="30" t="s">
        <v>17</v>
      </c>
      <c r="E6508" s="30" t="s">
        <v>18</v>
      </c>
      <c r="F6508" s="30" t="s">
        <v>19</v>
      </c>
      <c r="G6508" s="30" t="s">
        <v>20</v>
      </c>
      <c r="H6508" s="32">
        <v>168</v>
      </c>
      <c r="I6508" s="30" t="s">
        <v>21</v>
      </c>
      <c r="J6508" s="41">
        <v>44221</v>
      </c>
      <c r="K6508" s="30" t="s">
        <v>22</v>
      </c>
    </row>
    <row r="6509" spans="1:11">
      <c r="A6509" s="33" t="s">
        <v>15230</v>
      </c>
      <c r="B6509" s="33" t="s">
        <v>15231</v>
      </c>
      <c r="C6509" s="33" t="s">
        <v>14640</v>
      </c>
      <c r="D6509" s="33" t="s">
        <v>17</v>
      </c>
      <c r="E6509" s="33" t="s">
        <v>26</v>
      </c>
      <c r="F6509" s="33" t="s">
        <v>27</v>
      </c>
      <c r="G6509" s="33" t="s">
        <v>158</v>
      </c>
      <c r="H6509" s="35">
        <v>104</v>
      </c>
      <c r="I6509" s="33" t="s">
        <v>51</v>
      </c>
      <c r="J6509" s="42">
        <v>44519</v>
      </c>
      <c r="K6509" s="33" t="s">
        <v>22</v>
      </c>
    </row>
    <row r="6510" spans="1:11">
      <c r="A6510" s="30" t="s">
        <v>15232</v>
      </c>
      <c r="B6510" s="30" t="s">
        <v>15233</v>
      </c>
      <c r="C6510" s="30" t="s">
        <v>15234</v>
      </c>
      <c r="D6510" s="30" t="s">
        <v>17</v>
      </c>
      <c r="E6510" s="30" t="s">
        <v>31</v>
      </c>
      <c r="F6510" s="30" t="s">
        <v>32</v>
      </c>
      <c r="G6510" s="30" t="s">
        <v>50</v>
      </c>
      <c r="H6510" s="32">
        <v>120</v>
      </c>
      <c r="I6510" s="30" t="s">
        <v>51</v>
      </c>
      <c r="J6510" s="41">
        <v>44484</v>
      </c>
      <c r="K6510" s="30" t="s">
        <v>22</v>
      </c>
    </row>
    <row r="6511" spans="1:11">
      <c r="A6511" s="33" t="s">
        <v>15235</v>
      </c>
      <c r="B6511" s="33" t="s">
        <v>15236</v>
      </c>
      <c r="C6511" s="33" t="s">
        <v>6151</v>
      </c>
      <c r="D6511" s="33" t="s">
        <v>17</v>
      </c>
      <c r="E6511" s="33" t="s">
        <v>26</v>
      </c>
      <c r="F6511" s="33" t="s">
        <v>27</v>
      </c>
      <c r="G6511" s="33" t="s">
        <v>106</v>
      </c>
      <c r="H6511" s="35">
        <v>54</v>
      </c>
      <c r="I6511" s="33" t="s">
        <v>21</v>
      </c>
      <c r="J6511" s="42">
        <v>44537</v>
      </c>
      <c r="K6511" s="33" t="s">
        <v>22</v>
      </c>
    </row>
    <row r="6512" spans="1:11">
      <c r="A6512" s="30" t="s">
        <v>15237</v>
      </c>
      <c r="B6512" s="30" t="s">
        <v>15238</v>
      </c>
      <c r="C6512" s="30" t="s">
        <v>15239</v>
      </c>
      <c r="D6512" s="30" t="s">
        <v>17</v>
      </c>
      <c r="E6512" s="30" t="s">
        <v>67</v>
      </c>
      <c r="F6512" s="30" t="s">
        <v>68</v>
      </c>
      <c r="G6512" s="30" t="s">
        <v>158</v>
      </c>
      <c r="H6512" s="32">
        <v>4</v>
      </c>
      <c r="I6512" s="30" t="s">
        <v>21</v>
      </c>
      <c r="J6512" s="41">
        <v>44442</v>
      </c>
      <c r="K6512" s="30" t="s">
        <v>22</v>
      </c>
    </row>
    <row r="6513" spans="1:11">
      <c r="A6513" s="33" t="s">
        <v>15240</v>
      </c>
      <c r="B6513" s="33" t="s">
        <v>15241</v>
      </c>
      <c r="C6513" s="33" t="s">
        <v>75</v>
      </c>
      <c r="D6513" s="33" t="s">
        <v>17</v>
      </c>
      <c r="E6513" s="33" t="s">
        <v>26</v>
      </c>
      <c r="F6513" s="33" t="s">
        <v>27</v>
      </c>
      <c r="G6513" s="33" t="s">
        <v>20</v>
      </c>
      <c r="H6513" s="35">
        <v>58</v>
      </c>
      <c r="I6513" s="33" t="s">
        <v>21</v>
      </c>
      <c r="J6513" s="42">
        <v>44460</v>
      </c>
      <c r="K6513" s="33" t="s">
        <v>22</v>
      </c>
    </row>
    <row r="6514" spans="1:11">
      <c r="A6514" s="30" t="s">
        <v>15242</v>
      </c>
      <c r="B6514" s="30" t="s">
        <v>15243</v>
      </c>
      <c r="C6514" s="30" t="s">
        <v>1191</v>
      </c>
      <c r="D6514" s="30" t="s">
        <v>17</v>
      </c>
      <c r="E6514" s="30" t="s">
        <v>212</v>
      </c>
      <c r="F6514" s="30" t="s">
        <v>213</v>
      </c>
      <c r="G6514" s="30" t="s">
        <v>20</v>
      </c>
      <c r="H6514" s="32">
        <v>1133</v>
      </c>
      <c r="I6514" s="30" t="s">
        <v>21</v>
      </c>
      <c r="J6514" s="41">
        <v>44265</v>
      </c>
      <c r="K6514" s="30" t="s">
        <v>22</v>
      </c>
    </row>
    <row r="6515" spans="1:11">
      <c r="A6515" s="33" t="s">
        <v>15244</v>
      </c>
      <c r="B6515" s="33" t="s">
        <v>15245</v>
      </c>
      <c r="C6515" s="33" t="s">
        <v>2562</v>
      </c>
      <c r="D6515" s="33" t="s">
        <v>17</v>
      </c>
      <c r="E6515" s="33" t="s">
        <v>26</v>
      </c>
      <c r="F6515" s="33" t="s">
        <v>27</v>
      </c>
      <c r="G6515" s="33" t="s">
        <v>50</v>
      </c>
      <c r="H6515" s="35">
        <v>87</v>
      </c>
      <c r="I6515" s="33" t="s">
        <v>51</v>
      </c>
      <c r="J6515" s="42">
        <v>44312</v>
      </c>
      <c r="K6515" s="33" t="s">
        <v>22</v>
      </c>
    </row>
    <row r="6516" spans="1:11">
      <c r="A6516" s="30" t="s">
        <v>15246</v>
      </c>
      <c r="B6516" s="30" t="s">
        <v>15247</v>
      </c>
      <c r="C6516" s="30" t="s">
        <v>78</v>
      </c>
      <c r="D6516" s="30" t="s">
        <v>17</v>
      </c>
      <c r="E6516" s="30" t="s">
        <v>212</v>
      </c>
      <c r="F6516" s="30" t="s">
        <v>213</v>
      </c>
      <c r="G6516" s="30" t="s">
        <v>158</v>
      </c>
      <c r="H6516" s="32">
        <v>206</v>
      </c>
      <c r="I6516" s="30" t="s">
        <v>51</v>
      </c>
      <c r="J6516" s="41">
        <v>44519</v>
      </c>
      <c r="K6516" s="30" t="s">
        <v>22</v>
      </c>
    </row>
    <row r="6517" spans="1:11">
      <c r="A6517" s="33" t="s">
        <v>15248</v>
      </c>
      <c r="B6517" s="33" t="s">
        <v>15249</v>
      </c>
      <c r="C6517" s="33" t="s">
        <v>93</v>
      </c>
      <c r="D6517" s="33" t="s">
        <v>17</v>
      </c>
      <c r="E6517" s="33" t="s">
        <v>31</v>
      </c>
      <c r="F6517" s="33" t="s">
        <v>32</v>
      </c>
      <c r="G6517" s="33" t="s">
        <v>106</v>
      </c>
      <c r="H6517" s="35">
        <v>156</v>
      </c>
      <c r="I6517" s="33" t="s">
        <v>21</v>
      </c>
      <c r="J6517" s="42">
        <v>44516</v>
      </c>
      <c r="K6517" s="33" t="s">
        <v>22</v>
      </c>
    </row>
    <row r="6518" spans="1:11">
      <c r="A6518" s="30" t="s">
        <v>15250</v>
      </c>
      <c r="B6518" s="30" t="s">
        <v>15251</v>
      </c>
      <c r="C6518" s="30" t="s">
        <v>2562</v>
      </c>
      <c r="D6518" s="30" t="s">
        <v>17</v>
      </c>
      <c r="E6518" s="30" t="s">
        <v>31</v>
      </c>
      <c r="F6518" s="30" t="s">
        <v>32</v>
      </c>
      <c r="G6518" s="30" t="s">
        <v>20</v>
      </c>
      <c r="H6518" s="32">
        <v>56</v>
      </c>
      <c r="I6518" s="30" t="s">
        <v>21</v>
      </c>
      <c r="J6518" s="41">
        <v>44292</v>
      </c>
      <c r="K6518" s="30" t="s">
        <v>22</v>
      </c>
    </row>
    <row r="6519" spans="1:11">
      <c r="A6519" s="33" t="s">
        <v>15252</v>
      </c>
      <c r="B6519" s="33" t="s">
        <v>15253</v>
      </c>
      <c r="C6519" s="33" t="s">
        <v>6248</v>
      </c>
      <c r="D6519" s="33" t="s">
        <v>17</v>
      </c>
      <c r="E6519" s="33" t="s">
        <v>18</v>
      </c>
      <c r="F6519" s="33" t="s">
        <v>19</v>
      </c>
      <c r="G6519" s="33" t="s">
        <v>106</v>
      </c>
      <c r="H6519" s="35">
        <v>489</v>
      </c>
      <c r="I6519" s="33" t="s">
        <v>21</v>
      </c>
      <c r="J6519" s="42">
        <v>44424</v>
      </c>
      <c r="K6519" s="33" t="s">
        <v>22</v>
      </c>
    </row>
    <row r="6520" spans="1:11">
      <c r="A6520" s="30" t="s">
        <v>15254</v>
      </c>
      <c r="B6520" s="30" t="s">
        <v>15255</v>
      </c>
      <c r="C6520" s="30" t="s">
        <v>387</v>
      </c>
      <c r="D6520" s="30" t="s">
        <v>17</v>
      </c>
      <c r="E6520" s="30" t="s">
        <v>26</v>
      </c>
      <c r="F6520" s="30" t="s">
        <v>27</v>
      </c>
      <c r="G6520" s="30" t="s">
        <v>106</v>
      </c>
      <c r="H6520" s="32">
        <v>1</v>
      </c>
      <c r="I6520" s="30" t="s">
        <v>21</v>
      </c>
      <c r="J6520" s="41">
        <v>44468</v>
      </c>
      <c r="K6520" s="30" t="s">
        <v>22</v>
      </c>
    </row>
    <row r="6521" spans="1:11">
      <c r="A6521" s="33" t="s">
        <v>15256</v>
      </c>
      <c r="B6521" s="33" t="s">
        <v>15257</v>
      </c>
      <c r="C6521" s="33" t="s">
        <v>15258</v>
      </c>
      <c r="D6521" s="33" t="s">
        <v>17</v>
      </c>
      <c r="E6521" s="33" t="s">
        <v>31</v>
      </c>
      <c r="F6521" s="33" t="s">
        <v>32</v>
      </c>
      <c r="G6521" s="33" t="s">
        <v>20</v>
      </c>
      <c r="H6521" s="35">
        <v>53</v>
      </c>
      <c r="I6521" s="33" t="s">
        <v>21</v>
      </c>
      <c r="J6521" s="42">
        <v>44404</v>
      </c>
      <c r="K6521" s="33" t="s">
        <v>22</v>
      </c>
    </row>
    <row r="6522" spans="1:11">
      <c r="A6522" s="30" t="s">
        <v>15259</v>
      </c>
      <c r="B6522" s="30" t="s">
        <v>15260</v>
      </c>
      <c r="C6522" s="30" t="s">
        <v>190</v>
      </c>
      <c r="D6522" s="30" t="s">
        <v>17</v>
      </c>
      <c r="E6522" s="30" t="s">
        <v>18</v>
      </c>
      <c r="F6522" s="30" t="s">
        <v>19</v>
      </c>
      <c r="G6522" s="30" t="s">
        <v>158</v>
      </c>
      <c r="H6522" s="32">
        <v>110</v>
      </c>
      <c r="I6522" s="30" t="s">
        <v>21</v>
      </c>
      <c r="J6522" s="41">
        <v>44371</v>
      </c>
      <c r="K6522" s="30" t="s">
        <v>22</v>
      </c>
    </row>
    <row r="6523" spans="1:11">
      <c r="A6523" s="33" t="s">
        <v>15261</v>
      </c>
      <c r="B6523" s="33" t="s">
        <v>15262</v>
      </c>
      <c r="C6523" s="33" t="s">
        <v>10681</v>
      </c>
      <c r="D6523" s="33" t="s">
        <v>17</v>
      </c>
      <c r="E6523" s="33" t="s">
        <v>26</v>
      </c>
      <c r="F6523" s="33" t="s">
        <v>27</v>
      </c>
      <c r="G6523" s="33" t="s">
        <v>50</v>
      </c>
      <c r="H6523" s="35">
        <v>80</v>
      </c>
      <c r="I6523" s="33" t="s">
        <v>51</v>
      </c>
      <c r="J6523" s="42">
        <v>44377</v>
      </c>
      <c r="K6523" s="33" t="s">
        <v>22</v>
      </c>
    </row>
    <row r="6524" spans="1:11">
      <c r="A6524" s="30" t="s">
        <v>15263</v>
      </c>
      <c r="B6524" s="30" t="s">
        <v>15264</v>
      </c>
      <c r="C6524" s="30" t="s">
        <v>109</v>
      </c>
      <c r="D6524" s="30" t="s">
        <v>17</v>
      </c>
      <c r="E6524" s="30" t="s">
        <v>18</v>
      </c>
      <c r="F6524" s="30" t="s">
        <v>19</v>
      </c>
      <c r="G6524" s="30" t="s">
        <v>20</v>
      </c>
      <c r="H6524" s="32">
        <v>137</v>
      </c>
      <c r="I6524" s="30" t="s">
        <v>21</v>
      </c>
      <c r="J6524" s="41">
        <v>44398</v>
      </c>
      <c r="K6524" s="30" t="s">
        <v>22</v>
      </c>
    </row>
    <row r="6525" spans="1:11">
      <c r="A6525" s="33" t="s">
        <v>15265</v>
      </c>
      <c r="B6525" s="33" t="s">
        <v>15266</v>
      </c>
      <c r="C6525" s="33" t="s">
        <v>10288</v>
      </c>
      <c r="D6525" s="33" t="s">
        <v>17</v>
      </c>
      <c r="E6525" s="33" t="s">
        <v>26</v>
      </c>
      <c r="F6525" s="33" t="s">
        <v>27</v>
      </c>
      <c r="G6525" s="33" t="s">
        <v>50</v>
      </c>
      <c r="H6525" s="35">
        <v>72</v>
      </c>
      <c r="I6525" s="33" t="s">
        <v>21</v>
      </c>
      <c r="J6525" s="42">
        <v>44389</v>
      </c>
      <c r="K6525" s="33" t="s">
        <v>22</v>
      </c>
    </row>
    <row r="6526" spans="1:11">
      <c r="A6526" s="30" t="s">
        <v>15267</v>
      </c>
      <c r="B6526" s="30" t="s">
        <v>15268</v>
      </c>
      <c r="C6526" s="30" t="s">
        <v>149</v>
      </c>
      <c r="D6526" s="30" t="s">
        <v>17</v>
      </c>
      <c r="E6526" s="30" t="s">
        <v>31</v>
      </c>
      <c r="F6526" s="30" t="s">
        <v>32</v>
      </c>
      <c r="G6526" s="30" t="s">
        <v>20</v>
      </c>
      <c r="H6526" s="32">
        <v>70</v>
      </c>
      <c r="I6526" s="30" t="s">
        <v>21</v>
      </c>
      <c r="J6526" s="41">
        <v>44354</v>
      </c>
      <c r="K6526" s="30" t="s">
        <v>22</v>
      </c>
    </row>
    <row r="6527" spans="1:11">
      <c r="A6527" s="33" t="s">
        <v>15269</v>
      </c>
      <c r="B6527" s="33" t="s">
        <v>15270</v>
      </c>
      <c r="C6527" s="33" t="s">
        <v>15271</v>
      </c>
      <c r="D6527" s="33" t="s">
        <v>17</v>
      </c>
      <c r="E6527" s="33" t="s">
        <v>31</v>
      </c>
      <c r="F6527" s="33" t="s">
        <v>32</v>
      </c>
      <c r="G6527" s="33" t="s">
        <v>20</v>
      </c>
      <c r="H6527" s="35">
        <v>92</v>
      </c>
      <c r="I6527" s="33" t="s">
        <v>21</v>
      </c>
      <c r="J6527" s="42">
        <v>44444</v>
      </c>
      <c r="K6527" s="33" t="s">
        <v>22</v>
      </c>
    </row>
    <row r="6528" spans="1:11">
      <c r="A6528" s="30" t="s">
        <v>15272</v>
      </c>
      <c r="B6528" s="30" t="s">
        <v>15273</v>
      </c>
      <c r="C6528" s="30" t="s">
        <v>130</v>
      </c>
      <c r="D6528" s="30" t="s">
        <v>17</v>
      </c>
      <c r="E6528" s="30" t="s">
        <v>31</v>
      </c>
      <c r="F6528" s="30" t="s">
        <v>32</v>
      </c>
      <c r="G6528" s="30" t="s">
        <v>106</v>
      </c>
      <c r="H6528" s="32">
        <v>18</v>
      </c>
      <c r="I6528" s="30" t="s">
        <v>21</v>
      </c>
      <c r="J6528" s="41">
        <v>44265</v>
      </c>
      <c r="K6528" s="30" t="s">
        <v>22</v>
      </c>
    </row>
    <row r="6529" spans="1:11">
      <c r="A6529" s="33" t="s">
        <v>15274</v>
      </c>
      <c r="B6529" s="33" t="s">
        <v>15275</v>
      </c>
      <c r="C6529" s="33" t="s">
        <v>4589</v>
      </c>
      <c r="D6529" s="33" t="s">
        <v>17</v>
      </c>
      <c r="E6529" s="33" t="s">
        <v>31</v>
      </c>
      <c r="F6529" s="33" t="s">
        <v>32</v>
      </c>
      <c r="G6529" s="33" t="s">
        <v>50</v>
      </c>
      <c r="H6529" s="35">
        <v>178</v>
      </c>
      <c r="I6529" s="33" t="s">
        <v>51</v>
      </c>
      <c r="J6529" s="42">
        <v>44204</v>
      </c>
      <c r="K6529" s="33" t="s">
        <v>22</v>
      </c>
    </row>
    <row r="6530" spans="1:11">
      <c r="A6530" s="30" t="s">
        <v>15276</v>
      </c>
      <c r="B6530" s="30" t="s">
        <v>15277</v>
      </c>
      <c r="C6530" s="30" t="s">
        <v>1523</v>
      </c>
      <c r="D6530" s="30" t="s">
        <v>17</v>
      </c>
      <c r="E6530" s="30" t="s">
        <v>26</v>
      </c>
      <c r="F6530" s="30" t="s">
        <v>27</v>
      </c>
      <c r="G6530" s="30" t="s">
        <v>20</v>
      </c>
      <c r="H6530" s="32">
        <v>16</v>
      </c>
      <c r="I6530" s="30" t="s">
        <v>21</v>
      </c>
      <c r="J6530" s="41">
        <v>44319</v>
      </c>
      <c r="K6530" s="30" t="s">
        <v>22</v>
      </c>
    </row>
    <row r="6531" spans="1:11">
      <c r="A6531" s="33" t="s">
        <v>15278</v>
      </c>
      <c r="B6531" s="33" t="s">
        <v>15279</v>
      </c>
      <c r="C6531" s="33" t="s">
        <v>15280</v>
      </c>
      <c r="D6531" s="33" t="s">
        <v>17</v>
      </c>
      <c r="E6531" s="33" t="s">
        <v>31</v>
      </c>
      <c r="F6531" s="33" t="s">
        <v>32</v>
      </c>
      <c r="G6531" s="33" t="s">
        <v>20</v>
      </c>
      <c r="H6531" s="35">
        <v>27</v>
      </c>
      <c r="I6531" s="33" t="s">
        <v>21</v>
      </c>
      <c r="J6531" s="42">
        <v>44509</v>
      </c>
      <c r="K6531" s="33" t="s">
        <v>22</v>
      </c>
    </row>
    <row r="6532" spans="1:11">
      <c r="A6532" s="30" t="s">
        <v>15281</v>
      </c>
      <c r="B6532" s="30" t="s">
        <v>15282</v>
      </c>
      <c r="C6532" s="30" t="s">
        <v>15283</v>
      </c>
      <c r="D6532" s="30" t="s">
        <v>17</v>
      </c>
      <c r="E6532" s="30" t="s">
        <v>67</v>
      </c>
      <c r="F6532" s="30" t="s">
        <v>68</v>
      </c>
      <c r="G6532" s="30" t="s">
        <v>20</v>
      </c>
      <c r="H6532" s="32">
        <v>33</v>
      </c>
      <c r="I6532" s="30" t="s">
        <v>21</v>
      </c>
      <c r="J6532" s="41">
        <v>44328</v>
      </c>
      <c r="K6532" s="30" t="s">
        <v>22</v>
      </c>
    </row>
    <row r="6533" spans="1:11">
      <c r="A6533" s="33" t="s">
        <v>15284</v>
      </c>
      <c r="B6533" s="33" t="s">
        <v>15285</v>
      </c>
      <c r="C6533" s="33" t="s">
        <v>6442</v>
      </c>
      <c r="D6533" s="33" t="s">
        <v>17</v>
      </c>
      <c r="E6533" s="33" t="s">
        <v>26</v>
      </c>
      <c r="F6533" s="33" t="s">
        <v>27</v>
      </c>
      <c r="G6533" s="33" t="s">
        <v>20</v>
      </c>
      <c r="H6533" s="35">
        <v>269</v>
      </c>
      <c r="I6533" s="33" t="s">
        <v>21</v>
      </c>
      <c r="J6533" s="42">
        <v>44354</v>
      </c>
      <c r="K6533" s="33" t="s">
        <v>22</v>
      </c>
    </row>
    <row r="6534" spans="1:11">
      <c r="A6534" s="30" t="s">
        <v>15286</v>
      </c>
      <c r="B6534" s="30" t="s">
        <v>15287</v>
      </c>
      <c r="C6534" s="30" t="s">
        <v>15288</v>
      </c>
      <c r="D6534" s="30" t="s">
        <v>17</v>
      </c>
      <c r="E6534" s="30" t="s">
        <v>31</v>
      </c>
      <c r="F6534" s="30" t="s">
        <v>32</v>
      </c>
      <c r="G6534" s="30" t="s">
        <v>20</v>
      </c>
      <c r="H6534" s="32">
        <v>85</v>
      </c>
      <c r="I6534" s="30" t="s">
        <v>21</v>
      </c>
      <c r="J6534" s="41">
        <v>44217</v>
      </c>
      <c r="K6534" s="30" t="s">
        <v>22</v>
      </c>
    </row>
    <row r="6535" spans="1:11">
      <c r="A6535" s="33" t="s">
        <v>15289</v>
      </c>
      <c r="B6535" s="33" t="s">
        <v>15290</v>
      </c>
      <c r="C6535" s="33" t="s">
        <v>374</v>
      </c>
      <c r="D6535" s="33" t="s">
        <v>17</v>
      </c>
      <c r="E6535" s="33" t="s">
        <v>18</v>
      </c>
      <c r="F6535" s="33" t="s">
        <v>19</v>
      </c>
      <c r="G6535" s="33" t="s">
        <v>158</v>
      </c>
      <c r="H6535" s="35">
        <v>461</v>
      </c>
      <c r="I6535" s="33" t="s">
        <v>21</v>
      </c>
      <c r="J6535" s="42">
        <v>44396</v>
      </c>
      <c r="K6535" s="33" t="s">
        <v>22</v>
      </c>
    </row>
    <row r="6536" spans="1:11">
      <c r="A6536" s="30" t="s">
        <v>15291</v>
      </c>
      <c r="B6536" s="30" t="s">
        <v>15292</v>
      </c>
      <c r="C6536" s="30" t="s">
        <v>149</v>
      </c>
      <c r="D6536" s="30" t="s">
        <v>17</v>
      </c>
      <c r="E6536" s="30" t="s">
        <v>26</v>
      </c>
      <c r="F6536" s="30" t="s">
        <v>27</v>
      </c>
      <c r="G6536" s="30" t="s">
        <v>106</v>
      </c>
      <c r="H6536" s="32">
        <v>3</v>
      </c>
      <c r="I6536" s="30" t="s">
        <v>21</v>
      </c>
      <c r="J6536" s="41">
        <v>44494</v>
      </c>
      <c r="K6536" s="30" t="s">
        <v>22</v>
      </c>
    </row>
    <row r="6537" spans="1:11">
      <c r="A6537" s="33" t="s">
        <v>15293</v>
      </c>
      <c r="B6537" s="33" t="s">
        <v>15294</v>
      </c>
      <c r="C6537" s="33" t="s">
        <v>249</v>
      </c>
      <c r="D6537" s="33" t="s">
        <v>17</v>
      </c>
      <c r="E6537" s="33" t="s">
        <v>18</v>
      </c>
      <c r="F6537" s="33" t="s">
        <v>19</v>
      </c>
      <c r="G6537" s="33" t="s">
        <v>106</v>
      </c>
      <c r="H6537" s="35">
        <v>73</v>
      </c>
      <c r="I6537" s="33" t="s">
        <v>21</v>
      </c>
      <c r="J6537" s="42">
        <v>44258</v>
      </c>
      <c r="K6537" s="33" t="s">
        <v>22</v>
      </c>
    </row>
    <row r="6538" spans="1:11">
      <c r="A6538" s="30" t="s">
        <v>15295</v>
      </c>
      <c r="B6538" s="30" t="s">
        <v>15296</v>
      </c>
      <c r="C6538" s="30" t="s">
        <v>14176</v>
      </c>
      <c r="D6538" s="30" t="s">
        <v>17</v>
      </c>
      <c r="E6538" s="30" t="s">
        <v>31</v>
      </c>
      <c r="F6538" s="30" t="s">
        <v>32</v>
      </c>
      <c r="G6538" s="30" t="s">
        <v>20</v>
      </c>
      <c r="H6538" s="32">
        <v>112</v>
      </c>
      <c r="I6538" s="30" t="s">
        <v>21</v>
      </c>
      <c r="J6538" s="41">
        <v>44250</v>
      </c>
      <c r="K6538" s="30" t="s">
        <v>22</v>
      </c>
    </row>
    <row r="6539" spans="1:11">
      <c r="A6539" s="33" t="s">
        <v>15297</v>
      </c>
      <c r="B6539" s="33" t="s">
        <v>15298</v>
      </c>
      <c r="C6539" s="33" t="s">
        <v>136</v>
      </c>
      <c r="D6539" s="33" t="s">
        <v>17</v>
      </c>
      <c r="E6539" s="33" t="s">
        <v>26</v>
      </c>
      <c r="F6539" s="33" t="s">
        <v>27</v>
      </c>
      <c r="G6539" s="33" t="s">
        <v>20</v>
      </c>
      <c r="H6539" s="35">
        <v>28</v>
      </c>
      <c r="I6539" s="33" t="s">
        <v>21</v>
      </c>
      <c r="J6539" s="42">
        <v>44467</v>
      </c>
      <c r="K6539" s="33" t="s">
        <v>22</v>
      </c>
    </row>
    <row r="6540" spans="1:11">
      <c r="A6540" s="30" t="s">
        <v>15299</v>
      </c>
      <c r="B6540" s="30" t="s">
        <v>15300</v>
      </c>
      <c r="C6540" s="30" t="s">
        <v>190</v>
      </c>
      <c r="D6540" s="30" t="s">
        <v>17</v>
      </c>
      <c r="E6540" s="30" t="s">
        <v>26</v>
      </c>
      <c r="F6540" s="30" t="s">
        <v>27</v>
      </c>
      <c r="G6540" s="30" t="s">
        <v>20</v>
      </c>
      <c r="H6540" s="32">
        <v>28</v>
      </c>
      <c r="I6540" s="30" t="s">
        <v>21</v>
      </c>
      <c r="J6540" s="41">
        <v>44512</v>
      </c>
      <c r="K6540" s="30" t="s">
        <v>22</v>
      </c>
    </row>
    <row r="6541" spans="1:11">
      <c r="A6541" s="33" t="s">
        <v>15301</v>
      </c>
      <c r="B6541" s="33" t="s">
        <v>15302</v>
      </c>
      <c r="C6541" s="33" t="s">
        <v>2292</v>
      </c>
      <c r="D6541" s="33" t="s">
        <v>17</v>
      </c>
      <c r="E6541" s="33" t="s">
        <v>26</v>
      </c>
      <c r="F6541" s="33" t="s">
        <v>27</v>
      </c>
      <c r="G6541" s="33" t="s">
        <v>20</v>
      </c>
      <c r="H6541" s="35">
        <v>30</v>
      </c>
      <c r="I6541" s="33" t="s">
        <v>21</v>
      </c>
      <c r="J6541" s="42">
        <v>44316</v>
      </c>
      <c r="K6541" s="33" t="s">
        <v>22</v>
      </c>
    </row>
    <row r="6542" spans="1:11">
      <c r="A6542" s="30" t="s">
        <v>15303</v>
      </c>
      <c r="B6542" s="30" t="s">
        <v>15304</v>
      </c>
      <c r="C6542" s="30" t="s">
        <v>1237</v>
      </c>
      <c r="D6542" s="30" t="s">
        <v>17</v>
      </c>
      <c r="E6542" s="30" t="s">
        <v>26</v>
      </c>
      <c r="F6542" s="30" t="s">
        <v>27</v>
      </c>
      <c r="G6542" s="30" t="s">
        <v>50</v>
      </c>
      <c r="H6542" s="32">
        <v>154</v>
      </c>
      <c r="I6542" s="30" t="s">
        <v>51</v>
      </c>
      <c r="J6542" s="41">
        <v>44265</v>
      </c>
      <c r="K6542" s="30" t="s">
        <v>22</v>
      </c>
    </row>
    <row r="6543" spans="1:11">
      <c r="A6543" s="33" t="s">
        <v>15305</v>
      </c>
      <c r="B6543" s="33" t="s">
        <v>15306</v>
      </c>
      <c r="C6543" s="33" t="s">
        <v>109</v>
      </c>
      <c r="D6543" s="33" t="s">
        <v>17</v>
      </c>
      <c r="E6543" s="33" t="s">
        <v>31</v>
      </c>
      <c r="F6543" s="33" t="s">
        <v>32</v>
      </c>
      <c r="G6543" s="33" t="s">
        <v>106</v>
      </c>
      <c r="H6543" s="35">
        <v>23</v>
      </c>
      <c r="I6543" s="33" t="s">
        <v>21</v>
      </c>
      <c r="J6543" s="42">
        <v>44435</v>
      </c>
      <c r="K6543" s="33" t="s">
        <v>22</v>
      </c>
    </row>
    <row r="6544" spans="1:11">
      <c r="A6544" s="30" t="s">
        <v>15307</v>
      </c>
      <c r="B6544" s="30" t="s">
        <v>15308</v>
      </c>
      <c r="C6544" s="30" t="s">
        <v>10359</v>
      </c>
      <c r="D6544" s="30" t="s">
        <v>17</v>
      </c>
      <c r="E6544" s="30" t="s">
        <v>67</v>
      </c>
      <c r="F6544" s="30" t="s">
        <v>68</v>
      </c>
      <c r="G6544" s="30" t="s">
        <v>112</v>
      </c>
      <c r="H6544" s="32">
        <v>0</v>
      </c>
      <c r="I6544" s="30" t="s">
        <v>21</v>
      </c>
      <c r="J6544" s="41">
        <v>44501</v>
      </c>
      <c r="K6544" s="30" t="s">
        <v>22</v>
      </c>
    </row>
    <row r="6545" spans="1:11">
      <c r="A6545" s="33" t="s">
        <v>15309</v>
      </c>
      <c r="B6545" s="33" t="s">
        <v>15310</v>
      </c>
      <c r="C6545" s="33" t="s">
        <v>109</v>
      </c>
      <c r="D6545" s="33" t="s">
        <v>17</v>
      </c>
      <c r="E6545" s="33" t="s">
        <v>45</v>
      </c>
      <c r="F6545" s="33" t="s">
        <v>46</v>
      </c>
      <c r="G6545" s="33" t="s">
        <v>20</v>
      </c>
      <c r="H6545" s="35">
        <v>195</v>
      </c>
      <c r="I6545" s="33" t="s">
        <v>21</v>
      </c>
      <c r="J6545" s="42">
        <v>44446</v>
      </c>
      <c r="K6545" s="33" t="s">
        <v>22</v>
      </c>
    </row>
    <row r="6546" spans="1:11">
      <c r="A6546" s="30" t="s">
        <v>15311</v>
      </c>
      <c r="B6546" s="30" t="s">
        <v>15312</v>
      </c>
      <c r="C6546" s="30" t="s">
        <v>1003</v>
      </c>
      <c r="D6546" s="30" t="s">
        <v>17</v>
      </c>
      <c r="E6546" s="30" t="s">
        <v>26</v>
      </c>
      <c r="F6546" s="30" t="s">
        <v>27</v>
      </c>
      <c r="G6546" s="30" t="s">
        <v>50</v>
      </c>
      <c r="H6546" s="32">
        <v>18</v>
      </c>
      <c r="I6546" s="30" t="s">
        <v>51</v>
      </c>
      <c r="J6546" s="41">
        <v>44204</v>
      </c>
      <c r="K6546" s="30" t="s">
        <v>22</v>
      </c>
    </row>
    <row r="6547" spans="1:11">
      <c r="A6547" s="33" t="s">
        <v>15313</v>
      </c>
      <c r="B6547" s="33" t="s">
        <v>15314</v>
      </c>
      <c r="C6547" s="33" t="s">
        <v>93</v>
      </c>
      <c r="D6547" s="33" t="s">
        <v>17</v>
      </c>
      <c r="E6547" s="33" t="s">
        <v>18</v>
      </c>
      <c r="F6547" s="33" t="s">
        <v>19</v>
      </c>
      <c r="G6547" s="33" t="s">
        <v>2613</v>
      </c>
      <c r="H6547" s="35">
        <v>124</v>
      </c>
      <c r="I6547" s="33" t="s">
        <v>51</v>
      </c>
      <c r="J6547" s="42">
        <v>44421</v>
      </c>
      <c r="K6547" s="33" t="s">
        <v>22</v>
      </c>
    </row>
    <row r="6548" spans="1:11">
      <c r="A6548" s="30" t="s">
        <v>15315</v>
      </c>
      <c r="B6548" s="30" t="s">
        <v>15316</v>
      </c>
      <c r="C6548" s="30" t="s">
        <v>4967</v>
      </c>
      <c r="D6548" s="30" t="s">
        <v>17</v>
      </c>
      <c r="E6548" s="30" t="s">
        <v>26</v>
      </c>
      <c r="F6548" s="30" t="s">
        <v>27</v>
      </c>
      <c r="G6548" s="30" t="s">
        <v>20</v>
      </c>
      <c r="H6548" s="32">
        <v>13</v>
      </c>
      <c r="I6548" s="30" t="s">
        <v>21</v>
      </c>
      <c r="J6548" s="41">
        <v>44363</v>
      </c>
      <c r="K6548" s="30" t="s">
        <v>22</v>
      </c>
    </row>
    <row r="6549" spans="1:11">
      <c r="A6549" s="33" t="s">
        <v>15317</v>
      </c>
      <c r="B6549" s="33" t="s">
        <v>15318</v>
      </c>
      <c r="C6549" s="33" t="s">
        <v>1428</v>
      </c>
      <c r="D6549" s="33" t="s">
        <v>17</v>
      </c>
      <c r="E6549" s="33" t="s">
        <v>26</v>
      </c>
      <c r="F6549" s="33" t="s">
        <v>27</v>
      </c>
      <c r="G6549" s="33" t="s">
        <v>50</v>
      </c>
      <c r="H6549" s="35">
        <v>240</v>
      </c>
      <c r="I6549" s="33" t="s">
        <v>51</v>
      </c>
      <c r="J6549" s="42">
        <v>44379</v>
      </c>
      <c r="K6549" s="33" t="s">
        <v>22</v>
      </c>
    </row>
    <row r="6550" spans="1:11">
      <c r="A6550" s="30" t="s">
        <v>15319</v>
      </c>
      <c r="B6550" s="30" t="s">
        <v>15320</v>
      </c>
      <c r="C6550" s="30" t="s">
        <v>11018</v>
      </c>
      <c r="D6550" s="30" t="s">
        <v>17</v>
      </c>
      <c r="E6550" s="30" t="s">
        <v>26</v>
      </c>
      <c r="F6550" s="30" t="s">
        <v>27</v>
      </c>
      <c r="G6550" s="30" t="s">
        <v>20</v>
      </c>
      <c r="H6550" s="32">
        <v>32</v>
      </c>
      <c r="I6550" s="30" t="s">
        <v>21</v>
      </c>
      <c r="J6550" s="41">
        <v>44503</v>
      </c>
      <c r="K6550" s="30" t="s">
        <v>22</v>
      </c>
    </row>
    <row r="6551" spans="1:11">
      <c r="A6551" s="33" t="s">
        <v>15321</v>
      </c>
      <c r="B6551" s="33" t="s">
        <v>15322</v>
      </c>
      <c r="C6551" s="33" t="s">
        <v>187</v>
      </c>
      <c r="D6551" s="33" t="s">
        <v>17</v>
      </c>
      <c r="E6551" s="33" t="s">
        <v>18</v>
      </c>
      <c r="F6551" s="33" t="s">
        <v>19</v>
      </c>
      <c r="G6551" s="33" t="s">
        <v>50</v>
      </c>
      <c r="H6551" s="35">
        <v>375</v>
      </c>
      <c r="I6551" s="33" t="s">
        <v>51</v>
      </c>
      <c r="J6551" s="42">
        <v>44414</v>
      </c>
      <c r="K6551" s="33" t="s">
        <v>22</v>
      </c>
    </row>
    <row r="6552" spans="1:11">
      <c r="A6552" s="30" t="s">
        <v>15323</v>
      </c>
      <c r="B6552" s="30" t="s">
        <v>15324</v>
      </c>
      <c r="C6552" s="30" t="s">
        <v>1305</v>
      </c>
      <c r="D6552" s="30" t="s">
        <v>17</v>
      </c>
      <c r="E6552" s="30" t="s">
        <v>18</v>
      </c>
      <c r="F6552" s="30" t="s">
        <v>19</v>
      </c>
      <c r="G6552" s="30" t="s">
        <v>20</v>
      </c>
      <c r="H6552" s="32">
        <v>43</v>
      </c>
      <c r="I6552" s="30" t="s">
        <v>21</v>
      </c>
      <c r="J6552" s="41">
        <v>44340</v>
      </c>
      <c r="K6552" s="30" t="s">
        <v>22</v>
      </c>
    </row>
    <row r="6553" spans="1:11">
      <c r="A6553" s="33" t="s">
        <v>15325</v>
      </c>
      <c r="B6553" s="33" t="s">
        <v>15326</v>
      </c>
      <c r="C6553" s="33" t="s">
        <v>318</v>
      </c>
      <c r="D6553" s="33" t="s">
        <v>17</v>
      </c>
      <c r="E6553" s="33" t="s">
        <v>18</v>
      </c>
      <c r="F6553" s="33" t="s">
        <v>19</v>
      </c>
      <c r="G6553" s="33" t="s">
        <v>20</v>
      </c>
      <c r="H6553" s="35">
        <v>494</v>
      </c>
      <c r="I6553" s="33" t="s">
        <v>21</v>
      </c>
      <c r="J6553" s="42">
        <v>44279</v>
      </c>
      <c r="K6553" s="33" t="s">
        <v>22</v>
      </c>
    </row>
    <row r="6554" spans="1:11">
      <c r="A6554" s="30" t="s">
        <v>15327</v>
      </c>
      <c r="B6554" s="30" t="s">
        <v>15328</v>
      </c>
      <c r="C6554" s="30" t="s">
        <v>216</v>
      </c>
      <c r="D6554" s="30" t="s">
        <v>17</v>
      </c>
      <c r="E6554" s="30" t="s">
        <v>212</v>
      </c>
      <c r="F6554" s="30" t="s">
        <v>213</v>
      </c>
      <c r="G6554" s="30" t="s">
        <v>50</v>
      </c>
      <c r="H6554" s="32">
        <v>60</v>
      </c>
      <c r="I6554" s="30" t="s">
        <v>21</v>
      </c>
      <c r="J6554" s="41">
        <v>44557</v>
      </c>
      <c r="K6554" s="30" t="s">
        <v>22</v>
      </c>
    </row>
    <row r="6555" spans="1:11">
      <c r="A6555" s="33" t="s">
        <v>15329</v>
      </c>
      <c r="B6555" s="33" t="s">
        <v>15330</v>
      </c>
      <c r="C6555" s="33" t="s">
        <v>1498</v>
      </c>
      <c r="D6555" s="33" t="s">
        <v>17</v>
      </c>
      <c r="E6555" s="33" t="s">
        <v>26</v>
      </c>
      <c r="F6555" s="33" t="s">
        <v>27</v>
      </c>
      <c r="G6555" s="33" t="s">
        <v>50</v>
      </c>
      <c r="H6555" s="35">
        <v>300</v>
      </c>
      <c r="I6555" s="33" t="s">
        <v>51</v>
      </c>
      <c r="J6555" s="42">
        <v>44552</v>
      </c>
      <c r="K6555" s="33" t="s">
        <v>22</v>
      </c>
    </row>
    <row r="6556" spans="1:11">
      <c r="A6556" s="30" t="s">
        <v>15331</v>
      </c>
      <c r="B6556" s="30" t="s">
        <v>15332</v>
      </c>
      <c r="C6556" s="30" t="s">
        <v>102</v>
      </c>
      <c r="D6556" s="30" t="s">
        <v>17</v>
      </c>
      <c r="E6556" s="30" t="s">
        <v>18</v>
      </c>
      <c r="F6556" s="30" t="s">
        <v>19</v>
      </c>
      <c r="G6556" s="30" t="s">
        <v>158</v>
      </c>
      <c r="H6556" s="32">
        <v>453</v>
      </c>
      <c r="I6556" s="30" t="s">
        <v>21</v>
      </c>
      <c r="J6556" s="41">
        <v>44467</v>
      </c>
      <c r="K6556" s="30" t="s">
        <v>22</v>
      </c>
    </row>
    <row r="6557" spans="1:11">
      <c r="A6557" s="33" t="s">
        <v>15333</v>
      </c>
      <c r="B6557" s="33" t="s">
        <v>15334</v>
      </c>
      <c r="C6557" s="33" t="s">
        <v>15335</v>
      </c>
      <c r="D6557" s="33" t="s">
        <v>17</v>
      </c>
      <c r="E6557" s="33" t="s">
        <v>45</v>
      </c>
      <c r="F6557" s="33" t="s">
        <v>46</v>
      </c>
      <c r="G6557" s="33" t="s">
        <v>106</v>
      </c>
      <c r="H6557" s="35">
        <v>2582</v>
      </c>
      <c r="I6557" s="33" t="s">
        <v>21</v>
      </c>
      <c r="J6557" s="42">
        <v>44313</v>
      </c>
      <c r="K6557" s="33" t="s">
        <v>22</v>
      </c>
    </row>
    <row r="6558" spans="1:11">
      <c r="A6558" s="30" t="s">
        <v>15336</v>
      </c>
      <c r="B6558" s="30" t="s">
        <v>15337</v>
      </c>
      <c r="C6558" s="30" t="s">
        <v>109</v>
      </c>
      <c r="D6558" s="30" t="s">
        <v>17</v>
      </c>
      <c r="E6558" s="30" t="s">
        <v>31</v>
      </c>
      <c r="F6558" s="30" t="s">
        <v>32</v>
      </c>
      <c r="G6558" s="30" t="s">
        <v>106</v>
      </c>
      <c r="H6558" s="32">
        <v>136</v>
      </c>
      <c r="I6558" s="30" t="s">
        <v>21</v>
      </c>
      <c r="J6558" s="41">
        <v>44447</v>
      </c>
      <c r="K6558" s="30" t="s">
        <v>22</v>
      </c>
    </row>
    <row r="6559" spans="1:11">
      <c r="A6559" s="33" t="s">
        <v>15338</v>
      </c>
      <c r="B6559" s="33" t="s">
        <v>15339</v>
      </c>
      <c r="C6559" s="33" t="s">
        <v>10616</v>
      </c>
      <c r="D6559" s="33" t="s">
        <v>17</v>
      </c>
      <c r="E6559" s="33" t="s">
        <v>18</v>
      </c>
      <c r="F6559" s="33" t="s">
        <v>19</v>
      </c>
      <c r="G6559" s="33" t="s">
        <v>20</v>
      </c>
      <c r="H6559" s="35">
        <v>16876</v>
      </c>
      <c r="I6559" s="33" t="s">
        <v>21</v>
      </c>
      <c r="J6559" s="42">
        <v>44415</v>
      </c>
      <c r="K6559" s="33" t="s">
        <v>22</v>
      </c>
    </row>
    <row r="6560" spans="1:11">
      <c r="A6560" s="30" t="s">
        <v>15340</v>
      </c>
      <c r="B6560" s="30" t="s">
        <v>15341</v>
      </c>
      <c r="C6560" s="30" t="s">
        <v>57</v>
      </c>
      <c r="D6560" s="30" t="s">
        <v>17</v>
      </c>
      <c r="E6560" s="30" t="s">
        <v>18</v>
      </c>
      <c r="F6560" s="30" t="s">
        <v>19</v>
      </c>
      <c r="G6560" s="30" t="s">
        <v>106</v>
      </c>
      <c r="H6560" s="32">
        <v>9</v>
      </c>
      <c r="I6560" s="30" t="s">
        <v>21</v>
      </c>
      <c r="J6560" s="41">
        <v>44354</v>
      </c>
      <c r="K6560" s="30" t="s">
        <v>22</v>
      </c>
    </row>
    <row r="6561" spans="1:11">
      <c r="A6561" s="33" t="s">
        <v>15342</v>
      </c>
      <c r="B6561" s="33" t="s">
        <v>15343</v>
      </c>
      <c r="C6561" s="33" t="s">
        <v>1480</v>
      </c>
      <c r="D6561" s="33" t="s">
        <v>17</v>
      </c>
      <c r="E6561" s="33" t="s">
        <v>18</v>
      </c>
      <c r="F6561" s="33" t="s">
        <v>19</v>
      </c>
      <c r="G6561" s="33" t="s">
        <v>20</v>
      </c>
      <c r="H6561" s="35">
        <v>407</v>
      </c>
      <c r="I6561" s="33" t="s">
        <v>21</v>
      </c>
      <c r="J6561" s="42">
        <v>44440</v>
      </c>
      <c r="K6561" s="33" t="s">
        <v>22</v>
      </c>
    </row>
    <row r="6562" spans="1:11">
      <c r="A6562" s="30" t="s">
        <v>15344</v>
      </c>
      <c r="B6562" s="30" t="s">
        <v>15345</v>
      </c>
      <c r="C6562" s="30" t="s">
        <v>9487</v>
      </c>
      <c r="D6562" s="30" t="s">
        <v>17</v>
      </c>
      <c r="E6562" s="30" t="s">
        <v>18</v>
      </c>
      <c r="F6562" s="30" t="s">
        <v>19</v>
      </c>
      <c r="G6562" s="30" t="s">
        <v>106</v>
      </c>
      <c r="H6562" s="32">
        <v>481</v>
      </c>
      <c r="I6562" s="30" t="s">
        <v>21</v>
      </c>
      <c r="J6562" s="41">
        <v>44470</v>
      </c>
      <c r="K6562" s="30" t="s">
        <v>22</v>
      </c>
    </row>
    <row r="6563" spans="1:11">
      <c r="A6563" s="33" t="s">
        <v>15346</v>
      </c>
      <c r="B6563" s="33" t="s">
        <v>15347</v>
      </c>
      <c r="C6563" s="33" t="s">
        <v>149</v>
      </c>
      <c r="D6563" s="33" t="s">
        <v>17</v>
      </c>
      <c r="E6563" s="33" t="s">
        <v>26</v>
      </c>
      <c r="F6563" s="33" t="s">
        <v>27</v>
      </c>
      <c r="G6563" s="33" t="s">
        <v>20</v>
      </c>
      <c r="H6563" s="35">
        <v>20</v>
      </c>
      <c r="I6563" s="33" t="s">
        <v>21</v>
      </c>
      <c r="J6563" s="42">
        <v>44440</v>
      </c>
      <c r="K6563" s="33" t="s">
        <v>22</v>
      </c>
    </row>
    <row r="6564" spans="1:11">
      <c r="A6564" s="30" t="s">
        <v>15348</v>
      </c>
      <c r="B6564" s="30" t="s">
        <v>15349</v>
      </c>
      <c r="C6564" s="30" t="s">
        <v>1207</v>
      </c>
      <c r="D6564" s="30" t="s">
        <v>17</v>
      </c>
      <c r="E6564" s="30" t="s">
        <v>67</v>
      </c>
      <c r="F6564" s="30" t="s">
        <v>68</v>
      </c>
      <c r="G6564" s="30" t="s">
        <v>140</v>
      </c>
      <c r="H6564" s="32">
        <v>54</v>
      </c>
      <c r="I6564" s="30" t="s">
        <v>51</v>
      </c>
      <c r="J6564" s="41">
        <v>44336</v>
      </c>
      <c r="K6564" s="30" t="s">
        <v>22</v>
      </c>
    </row>
    <row r="6565" spans="1:11">
      <c r="A6565" s="33" t="s">
        <v>15350</v>
      </c>
      <c r="B6565" s="33" t="s">
        <v>15351</v>
      </c>
      <c r="C6565" s="33" t="s">
        <v>957</v>
      </c>
      <c r="D6565" s="33" t="s">
        <v>17</v>
      </c>
      <c r="E6565" s="33" t="s">
        <v>26</v>
      </c>
      <c r="F6565" s="33" t="s">
        <v>27</v>
      </c>
      <c r="G6565" s="33" t="s">
        <v>20</v>
      </c>
      <c r="H6565" s="35">
        <v>82</v>
      </c>
      <c r="I6565" s="33" t="s">
        <v>21</v>
      </c>
      <c r="J6565" s="42">
        <v>44411</v>
      </c>
      <c r="K6565" s="33" t="s">
        <v>22</v>
      </c>
    </row>
    <row r="6566" spans="1:11">
      <c r="A6566" s="30" t="s">
        <v>15352</v>
      </c>
      <c r="B6566" s="30" t="s">
        <v>15353</v>
      </c>
      <c r="C6566" s="30" t="s">
        <v>15354</v>
      </c>
      <c r="D6566" s="30" t="s">
        <v>17</v>
      </c>
      <c r="E6566" s="30" t="s">
        <v>18</v>
      </c>
      <c r="F6566" s="30" t="s">
        <v>19</v>
      </c>
      <c r="G6566" s="30" t="s">
        <v>20</v>
      </c>
      <c r="H6566" s="32">
        <v>285</v>
      </c>
      <c r="I6566" s="30" t="s">
        <v>21</v>
      </c>
      <c r="J6566" s="41">
        <v>44396</v>
      </c>
      <c r="K6566" s="30" t="s">
        <v>22</v>
      </c>
    </row>
    <row r="6567" spans="1:11">
      <c r="A6567" s="33" t="s">
        <v>15355</v>
      </c>
      <c r="B6567" s="33" t="s">
        <v>15356</v>
      </c>
      <c r="C6567" s="33" t="s">
        <v>178</v>
      </c>
      <c r="D6567" s="33" t="s">
        <v>17</v>
      </c>
      <c r="E6567" s="33" t="s">
        <v>67</v>
      </c>
      <c r="F6567" s="33" t="s">
        <v>68</v>
      </c>
      <c r="G6567" s="33" t="s">
        <v>158</v>
      </c>
      <c r="H6567" s="35">
        <v>241</v>
      </c>
      <c r="I6567" s="33" t="s">
        <v>21</v>
      </c>
      <c r="J6567" s="42">
        <v>44270</v>
      </c>
      <c r="K6567" s="33" t="s">
        <v>22</v>
      </c>
    </row>
    <row r="6568" spans="1:11">
      <c r="A6568" s="30" t="s">
        <v>15357</v>
      </c>
      <c r="B6568" s="30" t="s">
        <v>15358</v>
      </c>
      <c r="C6568" s="30" t="s">
        <v>57</v>
      </c>
      <c r="D6568" s="30" t="s">
        <v>17</v>
      </c>
      <c r="E6568" s="30" t="s">
        <v>26</v>
      </c>
      <c r="F6568" s="30" t="s">
        <v>27</v>
      </c>
      <c r="G6568" s="30" t="s">
        <v>20</v>
      </c>
      <c r="H6568" s="32">
        <v>32</v>
      </c>
      <c r="I6568" s="30" t="s">
        <v>21</v>
      </c>
      <c r="J6568" s="41">
        <v>44470</v>
      </c>
      <c r="K6568" s="30" t="s">
        <v>22</v>
      </c>
    </row>
    <row r="6569" spans="1:11">
      <c r="A6569" s="33" t="s">
        <v>15359</v>
      </c>
      <c r="B6569" s="33" t="s">
        <v>15360</v>
      </c>
      <c r="C6569" s="33" t="s">
        <v>733</v>
      </c>
      <c r="D6569" s="33" t="s">
        <v>17</v>
      </c>
      <c r="E6569" s="33" t="s">
        <v>212</v>
      </c>
      <c r="F6569" s="33" t="s">
        <v>213</v>
      </c>
      <c r="G6569" s="33" t="s">
        <v>20</v>
      </c>
      <c r="H6569" s="35">
        <v>427</v>
      </c>
      <c r="I6569" s="33" t="s">
        <v>21</v>
      </c>
      <c r="J6569" s="42">
        <v>44243</v>
      </c>
      <c r="K6569" s="33" t="s">
        <v>22</v>
      </c>
    </row>
    <row r="6570" spans="1:11">
      <c r="A6570" s="30" t="s">
        <v>15361</v>
      </c>
      <c r="B6570" s="30" t="s">
        <v>15362</v>
      </c>
      <c r="C6570" s="30" t="s">
        <v>187</v>
      </c>
      <c r="D6570" s="30" t="s">
        <v>17</v>
      </c>
      <c r="E6570" s="30" t="s">
        <v>18</v>
      </c>
      <c r="F6570" s="30" t="s">
        <v>19</v>
      </c>
      <c r="G6570" s="30" t="s">
        <v>158</v>
      </c>
      <c r="H6570" s="32">
        <v>748</v>
      </c>
      <c r="I6570" s="30" t="s">
        <v>21</v>
      </c>
      <c r="J6570" s="41">
        <v>44343</v>
      </c>
      <c r="K6570" s="30" t="s">
        <v>22</v>
      </c>
    </row>
    <row r="6571" spans="1:11">
      <c r="A6571" s="33" t="s">
        <v>15363</v>
      </c>
      <c r="B6571" s="33" t="s">
        <v>15364</v>
      </c>
      <c r="C6571" s="33" t="s">
        <v>15365</v>
      </c>
      <c r="D6571" s="33" t="s">
        <v>17</v>
      </c>
      <c r="E6571" s="33" t="s">
        <v>330</v>
      </c>
      <c r="F6571" s="33" t="s">
        <v>331</v>
      </c>
      <c r="G6571" s="33" t="s">
        <v>50</v>
      </c>
      <c r="H6571" s="35">
        <v>50</v>
      </c>
      <c r="I6571" s="33" t="s">
        <v>51</v>
      </c>
      <c r="J6571" s="42">
        <v>44483</v>
      </c>
      <c r="K6571" s="33" t="s">
        <v>22</v>
      </c>
    </row>
    <row r="6572" spans="1:11">
      <c r="A6572" s="30" t="s">
        <v>15366</v>
      </c>
      <c r="B6572" s="30" t="s">
        <v>15367</v>
      </c>
      <c r="C6572" s="30" t="s">
        <v>4176</v>
      </c>
      <c r="D6572" s="30" t="s">
        <v>17</v>
      </c>
      <c r="E6572" s="30" t="s">
        <v>18</v>
      </c>
      <c r="F6572" s="30" t="s">
        <v>19</v>
      </c>
      <c r="G6572" s="30" t="s">
        <v>20</v>
      </c>
      <c r="H6572" s="32">
        <v>23</v>
      </c>
      <c r="I6572" s="30" t="s">
        <v>21</v>
      </c>
      <c r="J6572" s="41">
        <v>44547</v>
      </c>
      <c r="K6572" s="30" t="s">
        <v>22</v>
      </c>
    </row>
    <row r="6573" spans="1:11">
      <c r="A6573" s="33" t="s">
        <v>15368</v>
      </c>
      <c r="B6573" s="33" t="s">
        <v>15369</v>
      </c>
      <c r="C6573" s="33" t="s">
        <v>644</v>
      </c>
      <c r="D6573" s="33" t="s">
        <v>17</v>
      </c>
      <c r="E6573" s="33" t="s">
        <v>31</v>
      </c>
      <c r="F6573" s="33" t="s">
        <v>32</v>
      </c>
      <c r="G6573" s="33" t="s">
        <v>20</v>
      </c>
      <c r="H6573" s="35">
        <v>156</v>
      </c>
      <c r="I6573" s="33" t="s">
        <v>21</v>
      </c>
      <c r="J6573" s="42">
        <v>44272</v>
      </c>
      <c r="K6573" s="33" t="s">
        <v>22</v>
      </c>
    </row>
    <row r="6574" spans="1:11">
      <c r="A6574" s="30" t="s">
        <v>15370</v>
      </c>
      <c r="B6574" s="30" t="s">
        <v>15371</v>
      </c>
      <c r="C6574" s="30" t="s">
        <v>318</v>
      </c>
      <c r="D6574" s="30" t="s">
        <v>17</v>
      </c>
      <c r="E6574" s="30" t="s">
        <v>26</v>
      </c>
      <c r="F6574" s="30" t="s">
        <v>27</v>
      </c>
      <c r="G6574" s="30" t="s">
        <v>20</v>
      </c>
      <c r="H6574" s="32">
        <v>24</v>
      </c>
      <c r="I6574" s="30" t="s">
        <v>21</v>
      </c>
      <c r="J6574" s="41">
        <v>44405</v>
      </c>
      <c r="K6574" s="30" t="s">
        <v>22</v>
      </c>
    </row>
    <row r="6575" spans="1:11">
      <c r="A6575" s="33" t="s">
        <v>15372</v>
      </c>
      <c r="B6575" s="33" t="s">
        <v>15373</v>
      </c>
      <c r="C6575" s="33" t="s">
        <v>8653</v>
      </c>
      <c r="D6575" s="33" t="s">
        <v>17</v>
      </c>
      <c r="E6575" s="33" t="s">
        <v>26</v>
      </c>
      <c r="F6575" s="33" t="s">
        <v>27</v>
      </c>
      <c r="G6575" s="33" t="s">
        <v>20</v>
      </c>
      <c r="H6575" s="35">
        <v>88</v>
      </c>
      <c r="I6575" s="33" t="s">
        <v>21</v>
      </c>
      <c r="J6575" s="42">
        <v>44260</v>
      </c>
      <c r="K6575" s="33" t="s">
        <v>22</v>
      </c>
    </row>
    <row r="6576" spans="1:11">
      <c r="A6576" s="30" t="s">
        <v>15374</v>
      </c>
      <c r="B6576" s="30" t="s">
        <v>15375</v>
      </c>
      <c r="C6576" s="30" t="s">
        <v>5469</v>
      </c>
      <c r="D6576" s="30" t="s">
        <v>17</v>
      </c>
      <c r="E6576" s="30" t="s">
        <v>18</v>
      </c>
      <c r="F6576" s="30" t="s">
        <v>19</v>
      </c>
      <c r="G6576" s="30" t="s">
        <v>112</v>
      </c>
      <c r="H6576" s="32">
        <v>0</v>
      </c>
      <c r="I6576" s="30" t="s">
        <v>21</v>
      </c>
      <c r="J6576" s="41">
        <v>44442</v>
      </c>
      <c r="K6576" s="30" t="s">
        <v>22</v>
      </c>
    </row>
    <row r="6577" spans="1:11">
      <c r="A6577" s="33" t="s">
        <v>15376</v>
      </c>
      <c r="B6577" s="33" t="s">
        <v>15377</v>
      </c>
      <c r="C6577" s="33" t="s">
        <v>15378</v>
      </c>
      <c r="D6577" s="33" t="s">
        <v>17</v>
      </c>
      <c r="E6577" s="33" t="s">
        <v>67</v>
      </c>
      <c r="F6577" s="33" t="s">
        <v>68</v>
      </c>
      <c r="G6577" s="33" t="s">
        <v>112</v>
      </c>
      <c r="H6577" s="35">
        <v>0</v>
      </c>
      <c r="I6577" s="33" t="s">
        <v>21</v>
      </c>
      <c r="J6577" s="42">
        <v>44515</v>
      </c>
      <c r="K6577" s="33" t="s">
        <v>22</v>
      </c>
    </row>
    <row r="6578" spans="1:11">
      <c r="A6578" s="30" t="s">
        <v>15379</v>
      </c>
      <c r="B6578" s="30" t="s">
        <v>15380</v>
      </c>
      <c r="C6578" s="30" t="s">
        <v>15381</v>
      </c>
      <c r="D6578" s="30" t="s">
        <v>17</v>
      </c>
      <c r="E6578" s="30" t="s">
        <v>26</v>
      </c>
      <c r="F6578" s="30" t="s">
        <v>27</v>
      </c>
      <c r="G6578" s="30" t="s">
        <v>50</v>
      </c>
      <c r="H6578" s="32">
        <v>15</v>
      </c>
      <c r="I6578" s="30" t="s">
        <v>51</v>
      </c>
      <c r="J6578" s="41">
        <v>44545</v>
      </c>
      <c r="K6578" s="30" t="s">
        <v>22</v>
      </c>
    </row>
    <row r="6579" spans="1:11">
      <c r="A6579" s="33" t="s">
        <v>15382</v>
      </c>
      <c r="B6579" s="33" t="s">
        <v>15383</v>
      </c>
      <c r="C6579" s="33" t="s">
        <v>3103</v>
      </c>
      <c r="D6579" s="33" t="s">
        <v>17</v>
      </c>
      <c r="E6579" s="33" t="s">
        <v>67</v>
      </c>
      <c r="F6579" s="33" t="s">
        <v>68</v>
      </c>
      <c r="G6579" s="33" t="s">
        <v>112</v>
      </c>
      <c r="H6579" s="35">
        <v>0</v>
      </c>
      <c r="I6579" s="33" t="s">
        <v>21</v>
      </c>
      <c r="J6579" s="42">
        <v>44470</v>
      </c>
      <c r="K6579" s="33" t="s">
        <v>22</v>
      </c>
    </row>
    <row r="6580" spans="1:11">
      <c r="A6580" s="30" t="s">
        <v>15384</v>
      </c>
      <c r="B6580" s="30" t="s">
        <v>15385</v>
      </c>
      <c r="C6580" s="30" t="s">
        <v>9621</v>
      </c>
      <c r="D6580" s="30" t="s">
        <v>17</v>
      </c>
      <c r="E6580" s="30" t="s">
        <v>26</v>
      </c>
      <c r="F6580" s="30" t="s">
        <v>27</v>
      </c>
      <c r="G6580" s="30" t="s">
        <v>20</v>
      </c>
      <c r="H6580" s="32">
        <v>42</v>
      </c>
      <c r="I6580" s="30" t="s">
        <v>21</v>
      </c>
      <c r="J6580" s="41">
        <v>44335</v>
      </c>
      <c r="K6580" s="30" t="s">
        <v>22</v>
      </c>
    </row>
    <row r="6581" spans="1:11">
      <c r="A6581" s="33" t="s">
        <v>15386</v>
      </c>
      <c r="B6581" s="33" t="s">
        <v>15387</v>
      </c>
      <c r="C6581" s="33" t="s">
        <v>8426</v>
      </c>
      <c r="D6581" s="33" t="s">
        <v>17</v>
      </c>
      <c r="E6581" s="33" t="s">
        <v>31</v>
      </c>
      <c r="F6581" s="33" t="s">
        <v>32</v>
      </c>
      <c r="G6581" s="33" t="s">
        <v>20</v>
      </c>
      <c r="H6581" s="35">
        <v>202</v>
      </c>
      <c r="I6581" s="33" t="s">
        <v>21</v>
      </c>
      <c r="J6581" s="42">
        <v>44560</v>
      </c>
      <c r="K6581" s="33" t="s">
        <v>22</v>
      </c>
    </row>
    <row r="6582" spans="1:11">
      <c r="A6582" s="30" t="s">
        <v>15388</v>
      </c>
      <c r="B6582" s="30" t="s">
        <v>15389</v>
      </c>
      <c r="C6582" s="30" t="s">
        <v>1801</v>
      </c>
      <c r="D6582" s="30" t="s">
        <v>17</v>
      </c>
      <c r="E6582" s="30" t="s">
        <v>26</v>
      </c>
      <c r="F6582" s="30" t="s">
        <v>27</v>
      </c>
      <c r="G6582" s="30" t="s">
        <v>20</v>
      </c>
      <c r="H6582" s="32">
        <v>68</v>
      </c>
      <c r="I6582" s="30" t="s">
        <v>21</v>
      </c>
      <c r="J6582" s="41">
        <v>44536</v>
      </c>
      <c r="K6582" s="30" t="s">
        <v>22</v>
      </c>
    </row>
    <row r="6583" spans="1:11">
      <c r="A6583" s="33" t="s">
        <v>15390</v>
      </c>
      <c r="B6583" s="33" t="s">
        <v>15391</v>
      </c>
      <c r="C6583" s="33" t="s">
        <v>1090</v>
      </c>
      <c r="D6583" s="33" t="s">
        <v>17</v>
      </c>
      <c r="E6583" s="33" t="s">
        <v>26</v>
      </c>
      <c r="F6583" s="33" t="s">
        <v>27</v>
      </c>
      <c r="G6583" s="33" t="s">
        <v>50</v>
      </c>
      <c r="H6583" s="35">
        <v>90</v>
      </c>
      <c r="I6583" s="33" t="s">
        <v>51</v>
      </c>
      <c r="J6583" s="42">
        <v>44209</v>
      </c>
      <c r="K6583" s="33" t="s">
        <v>22</v>
      </c>
    </row>
    <row r="6584" spans="1:11">
      <c r="A6584" s="30" t="s">
        <v>15392</v>
      </c>
      <c r="B6584" s="30" t="s">
        <v>15393</v>
      </c>
      <c r="C6584" s="30" t="s">
        <v>1313</v>
      </c>
      <c r="D6584" s="30" t="s">
        <v>17</v>
      </c>
      <c r="E6584" s="30" t="s">
        <v>31</v>
      </c>
      <c r="F6584" s="30" t="s">
        <v>32</v>
      </c>
      <c r="G6584" s="30" t="s">
        <v>112</v>
      </c>
      <c r="H6584" s="32">
        <v>0</v>
      </c>
      <c r="I6584" s="30" t="s">
        <v>21</v>
      </c>
      <c r="J6584" s="41">
        <v>44409</v>
      </c>
      <c r="K6584" s="30" t="s">
        <v>22</v>
      </c>
    </row>
    <row r="6585" spans="1:11">
      <c r="A6585" s="33" t="s">
        <v>15394</v>
      </c>
      <c r="B6585" s="33" t="s">
        <v>15395</v>
      </c>
      <c r="C6585" s="33" t="s">
        <v>109</v>
      </c>
      <c r="D6585" s="33" t="s">
        <v>17</v>
      </c>
      <c r="E6585" s="33" t="s">
        <v>18</v>
      </c>
      <c r="F6585" s="33" t="s">
        <v>19</v>
      </c>
      <c r="G6585" s="33" t="s">
        <v>20</v>
      </c>
      <c r="H6585" s="35">
        <v>518</v>
      </c>
      <c r="I6585" s="33" t="s">
        <v>21</v>
      </c>
      <c r="J6585" s="42">
        <v>44221</v>
      </c>
      <c r="K6585" s="33" t="s">
        <v>22</v>
      </c>
    </row>
    <row r="6586" spans="1:11">
      <c r="A6586" s="30" t="s">
        <v>15396</v>
      </c>
      <c r="B6586" s="30" t="s">
        <v>15397</v>
      </c>
      <c r="C6586" s="30" t="s">
        <v>6041</v>
      </c>
      <c r="D6586" s="30" t="s">
        <v>17</v>
      </c>
      <c r="E6586" s="30" t="s">
        <v>18</v>
      </c>
      <c r="F6586" s="30" t="s">
        <v>19</v>
      </c>
      <c r="G6586" s="30" t="s">
        <v>20</v>
      </c>
      <c r="H6586" s="32">
        <v>121</v>
      </c>
      <c r="I6586" s="30" t="s">
        <v>21</v>
      </c>
      <c r="J6586" s="41">
        <v>44228</v>
      </c>
      <c r="K6586" s="30" t="s">
        <v>22</v>
      </c>
    </row>
    <row r="6587" spans="1:11">
      <c r="A6587" s="33" t="s">
        <v>15398</v>
      </c>
      <c r="B6587" s="33" t="s">
        <v>15399</v>
      </c>
      <c r="C6587" s="33" t="s">
        <v>8383</v>
      </c>
      <c r="D6587" s="33" t="s">
        <v>17</v>
      </c>
      <c r="E6587" s="33" t="s">
        <v>18</v>
      </c>
      <c r="F6587" s="33" t="s">
        <v>19</v>
      </c>
      <c r="G6587" s="33" t="s">
        <v>20</v>
      </c>
      <c r="H6587" s="35">
        <v>65</v>
      </c>
      <c r="I6587" s="33" t="s">
        <v>21</v>
      </c>
      <c r="J6587" s="42">
        <v>44503</v>
      </c>
      <c r="K6587" s="33" t="s">
        <v>22</v>
      </c>
    </row>
    <row r="6588" spans="1:11">
      <c r="A6588" s="30" t="s">
        <v>15400</v>
      </c>
      <c r="B6588" s="30" t="s">
        <v>15401</v>
      </c>
      <c r="C6588" s="30" t="s">
        <v>93</v>
      </c>
      <c r="D6588" s="30" t="s">
        <v>17</v>
      </c>
      <c r="E6588" s="30" t="s">
        <v>18</v>
      </c>
      <c r="F6588" s="30" t="s">
        <v>19</v>
      </c>
      <c r="G6588" s="30" t="s">
        <v>20</v>
      </c>
      <c r="H6588" s="32">
        <v>174</v>
      </c>
      <c r="I6588" s="30" t="s">
        <v>21</v>
      </c>
      <c r="J6588" s="41">
        <v>44253</v>
      </c>
      <c r="K6588" s="30" t="s">
        <v>22</v>
      </c>
    </row>
    <row r="6589" spans="1:11">
      <c r="A6589" s="33" t="s">
        <v>15402</v>
      </c>
      <c r="B6589" s="33" t="s">
        <v>15403</v>
      </c>
      <c r="C6589" s="33" t="s">
        <v>6663</v>
      </c>
      <c r="D6589" s="33" t="s">
        <v>17</v>
      </c>
      <c r="E6589" s="33" t="s">
        <v>67</v>
      </c>
      <c r="F6589" s="33" t="s">
        <v>68</v>
      </c>
      <c r="G6589" s="33" t="s">
        <v>20</v>
      </c>
      <c r="H6589" s="35">
        <v>25</v>
      </c>
      <c r="I6589" s="33" t="s">
        <v>21</v>
      </c>
      <c r="J6589" s="42">
        <v>44508</v>
      </c>
      <c r="K6589" s="33" t="s">
        <v>22</v>
      </c>
    </row>
    <row r="6590" spans="1:11">
      <c r="A6590" s="30" t="s">
        <v>15404</v>
      </c>
      <c r="B6590" s="30" t="s">
        <v>15405</v>
      </c>
      <c r="C6590" s="30" t="s">
        <v>8151</v>
      </c>
      <c r="D6590" s="30" t="s">
        <v>17</v>
      </c>
      <c r="E6590" s="30" t="s">
        <v>26</v>
      </c>
      <c r="F6590" s="30" t="s">
        <v>27</v>
      </c>
      <c r="G6590" s="30" t="s">
        <v>20</v>
      </c>
      <c r="H6590" s="32">
        <v>42</v>
      </c>
      <c r="I6590" s="30" t="s">
        <v>21</v>
      </c>
      <c r="J6590" s="41">
        <v>44209</v>
      </c>
      <c r="K6590" s="30" t="s">
        <v>22</v>
      </c>
    </row>
    <row r="6591" spans="1:11">
      <c r="A6591" s="33" t="s">
        <v>15406</v>
      </c>
      <c r="B6591" s="33" t="s">
        <v>15407</v>
      </c>
      <c r="C6591" s="33" t="s">
        <v>15408</v>
      </c>
      <c r="D6591" s="33" t="s">
        <v>17</v>
      </c>
      <c r="E6591" s="33" t="s">
        <v>26</v>
      </c>
      <c r="F6591" s="33" t="s">
        <v>27</v>
      </c>
      <c r="G6591" s="33" t="s">
        <v>20</v>
      </c>
      <c r="H6591" s="35">
        <v>6</v>
      </c>
      <c r="I6591" s="33" t="s">
        <v>21</v>
      </c>
      <c r="J6591" s="42">
        <v>44391</v>
      </c>
      <c r="K6591" s="33" t="s">
        <v>22</v>
      </c>
    </row>
    <row r="6592" spans="1:11">
      <c r="A6592" s="30" t="s">
        <v>15409</v>
      </c>
      <c r="B6592" s="30" t="s">
        <v>15410</v>
      </c>
      <c r="C6592" s="30" t="s">
        <v>326</v>
      </c>
      <c r="D6592" s="30" t="s">
        <v>17</v>
      </c>
      <c r="E6592" s="30" t="s">
        <v>67</v>
      </c>
      <c r="F6592" s="30" t="s">
        <v>68</v>
      </c>
      <c r="G6592" s="30" t="s">
        <v>112</v>
      </c>
      <c r="H6592" s="32">
        <v>0</v>
      </c>
      <c r="I6592" s="30" t="s">
        <v>21</v>
      </c>
      <c r="J6592" s="41">
        <v>44531</v>
      </c>
      <c r="K6592" s="30" t="s">
        <v>22</v>
      </c>
    </row>
    <row r="6593" spans="1:11">
      <c r="A6593" s="33" t="s">
        <v>15411</v>
      </c>
      <c r="B6593" s="33" t="s">
        <v>15412</v>
      </c>
      <c r="C6593" s="33" t="s">
        <v>102</v>
      </c>
      <c r="D6593" s="33" t="s">
        <v>17</v>
      </c>
      <c r="E6593" s="33" t="s">
        <v>26</v>
      </c>
      <c r="F6593" s="33" t="s">
        <v>27</v>
      </c>
      <c r="G6593" s="33" t="s">
        <v>20</v>
      </c>
      <c r="H6593" s="35">
        <v>18</v>
      </c>
      <c r="I6593" s="33" t="s">
        <v>21</v>
      </c>
      <c r="J6593" s="42">
        <v>44540</v>
      </c>
      <c r="K6593" s="33" t="s">
        <v>22</v>
      </c>
    </row>
    <row r="6594" spans="1:11">
      <c r="A6594" s="30" t="s">
        <v>15413</v>
      </c>
      <c r="B6594" s="30" t="s">
        <v>15414</v>
      </c>
      <c r="C6594" s="30" t="s">
        <v>2807</v>
      </c>
      <c r="D6594" s="30" t="s">
        <v>17</v>
      </c>
      <c r="E6594" s="30" t="s">
        <v>26</v>
      </c>
      <c r="F6594" s="30" t="s">
        <v>27</v>
      </c>
      <c r="G6594" s="30" t="s">
        <v>106</v>
      </c>
      <c r="H6594" s="32">
        <v>12</v>
      </c>
      <c r="I6594" s="30" t="s">
        <v>21</v>
      </c>
      <c r="J6594" s="41">
        <v>44229</v>
      </c>
      <c r="K6594" s="30" t="s">
        <v>22</v>
      </c>
    </row>
    <row r="6595" spans="1:11">
      <c r="A6595" s="33" t="s">
        <v>15415</v>
      </c>
      <c r="B6595" s="33" t="s">
        <v>15416</v>
      </c>
      <c r="C6595" s="33" t="s">
        <v>190</v>
      </c>
      <c r="D6595" s="33" t="s">
        <v>17</v>
      </c>
      <c r="E6595" s="33" t="s">
        <v>26</v>
      </c>
      <c r="F6595" s="33" t="s">
        <v>27</v>
      </c>
      <c r="G6595" s="33" t="s">
        <v>20</v>
      </c>
      <c r="H6595" s="35">
        <v>25</v>
      </c>
      <c r="I6595" s="33" t="s">
        <v>21</v>
      </c>
      <c r="J6595" s="42">
        <v>44299</v>
      </c>
      <c r="K6595" s="33" t="s">
        <v>22</v>
      </c>
    </row>
    <row r="6596" spans="1:11">
      <c r="A6596" s="30" t="s">
        <v>15417</v>
      </c>
      <c r="B6596" s="30" t="s">
        <v>15418</v>
      </c>
      <c r="C6596" s="30" t="s">
        <v>2196</v>
      </c>
      <c r="D6596" s="30" t="s">
        <v>17</v>
      </c>
      <c r="E6596" s="30" t="s">
        <v>67</v>
      </c>
      <c r="F6596" s="30" t="s">
        <v>68</v>
      </c>
      <c r="G6596" s="30" t="s">
        <v>106</v>
      </c>
      <c r="H6596" s="32">
        <v>87</v>
      </c>
      <c r="I6596" s="30" t="s">
        <v>21</v>
      </c>
      <c r="J6596" s="41">
        <v>44260</v>
      </c>
      <c r="K6596" s="30" t="s">
        <v>22</v>
      </c>
    </row>
    <row r="6597" spans="1:11">
      <c r="A6597" s="33" t="s">
        <v>15419</v>
      </c>
      <c r="B6597" s="33" t="s">
        <v>15420</v>
      </c>
      <c r="C6597" s="33" t="s">
        <v>15421</v>
      </c>
      <c r="D6597" s="33" t="s">
        <v>17</v>
      </c>
      <c r="E6597" s="33" t="s">
        <v>45</v>
      </c>
      <c r="F6597" s="33" t="s">
        <v>46</v>
      </c>
      <c r="G6597" s="33" t="s">
        <v>106</v>
      </c>
      <c r="H6597" s="35">
        <v>290</v>
      </c>
      <c r="I6597" s="33" t="s">
        <v>21</v>
      </c>
      <c r="J6597" s="42">
        <v>44314</v>
      </c>
      <c r="K6597" s="33" t="s">
        <v>22</v>
      </c>
    </row>
    <row r="6598" spans="1:11">
      <c r="A6598" s="30" t="s">
        <v>15422</v>
      </c>
      <c r="B6598" s="30" t="s">
        <v>15423</v>
      </c>
      <c r="C6598" s="30" t="s">
        <v>109</v>
      </c>
      <c r="D6598" s="30" t="s">
        <v>17</v>
      </c>
      <c r="E6598" s="30" t="s">
        <v>31</v>
      </c>
      <c r="F6598" s="30" t="s">
        <v>32</v>
      </c>
      <c r="G6598" s="30" t="s">
        <v>106</v>
      </c>
      <c r="H6598" s="32">
        <v>576</v>
      </c>
      <c r="I6598" s="30" t="s">
        <v>21</v>
      </c>
      <c r="J6598" s="41">
        <v>44347</v>
      </c>
      <c r="K6598" s="30" t="s">
        <v>22</v>
      </c>
    </row>
    <row r="6599" spans="1:11">
      <c r="A6599" s="33" t="s">
        <v>15424</v>
      </c>
      <c r="B6599" s="33" t="s">
        <v>15425</v>
      </c>
      <c r="C6599" s="33" t="s">
        <v>1698</v>
      </c>
      <c r="D6599" s="33" t="s">
        <v>17</v>
      </c>
      <c r="E6599" s="33" t="s">
        <v>31</v>
      </c>
      <c r="F6599" s="33" t="s">
        <v>32</v>
      </c>
      <c r="G6599" s="33" t="s">
        <v>20</v>
      </c>
      <c r="H6599" s="35">
        <v>151</v>
      </c>
      <c r="I6599" s="33" t="s">
        <v>21</v>
      </c>
      <c r="J6599" s="42">
        <v>44362</v>
      </c>
      <c r="K6599" s="33" t="s">
        <v>22</v>
      </c>
    </row>
    <row r="6600" spans="1:11">
      <c r="A6600" s="30" t="s">
        <v>15426</v>
      </c>
      <c r="B6600" s="30" t="s">
        <v>15427</v>
      </c>
      <c r="C6600" s="30" t="s">
        <v>96</v>
      </c>
      <c r="D6600" s="30" t="s">
        <v>17</v>
      </c>
      <c r="E6600" s="30" t="s">
        <v>26</v>
      </c>
      <c r="F6600" s="30" t="s">
        <v>27</v>
      </c>
      <c r="G6600" s="30" t="s">
        <v>20</v>
      </c>
      <c r="H6600" s="32">
        <v>19</v>
      </c>
      <c r="I6600" s="30" t="s">
        <v>21</v>
      </c>
      <c r="J6600" s="41">
        <v>44351</v>
      </c>
      <c r="K6600" s="30" t="s">
        <v>22</v>
      </c>
    </row>
    <row r="6601" spans="1:11">
      <c r="A6601" s="33" t="s">
        <v>15428</v>
      </c>
      <c r="B6601" s="33" t="s">
        <v>15429</v>
      </c>
      <c r="C6601" s="33" t="s">
        <v>706</v>
      </c>
      <c r="D6601" s="33" t="s">
        <v>17</v>
      </c>
      <c r="E6601" s="33" t="s">
        <v>31</v>
      </c>
      <c r="F6601" s="33" t="s">
        <v>32</v>
      </c>
      <c r="G6601" s="33" t="s">
        <v>20</v>
      </c>
      <c r="H6601" s="35">
        <v>25</v>
      </c>
      <c r="I6601" s="33" t="s">
        <v>21</v>
      </c>
      <c r="J6601" s="42">
        <v>44502</v>
      </c>
      <c r="K6601" s="33" t="s">
        <v>22</v>
      </c>
    </row>
    <row r="6602" spans="1:11">
      <c r="A6602" s="30" t="s">
        <v>15430</v>
      </c>
      <c r="B6602" s="30" t="s">
        <v>15431</v>
      </c>
      <c r="C6602" s="30" t="s">
        <v>8976</v>
      </c>
      <c r="D6602" s="30" t="s">
        <v>17</v>
      </c>
      <c r="E6602" s="30" t="s">
        <v>31</v>
      </c>
      <c r="F6602" s="30" t="s">
        <v>32</v>
      </c>
      <c r="G6602" s="30" t="s">
        <v>106</v>
      </c>
      <c r="H6602" s="32">
        <v>18</v>
      </c>
      <c r="I6602" s="30" t="s">
        <v>21</v>
      </c>
      <c r="J6602" s="41">
        <v>44532</v>
      </c>
      <c r="K6602" s="30" t="s">
        <v>22</v>
      </c>
    </row>
    <row r="6603" spans="1:11">
      <c r="A6603" s="33" t="s">
        <v>15432</v>
      </c>
      <c r="B6603" s="33" t="s">
        <v>15433</v>
      </c>
      <c r="C6603" s="33" t="s">
        <v>15434</v>
      </c>
      <c r="D6603" s="33" t="s">
        <v>17</v>
      </c>
      <c r="E6603" s="33" t="s">
        <v>31</v>
      </c>
      <c r="F6603" s="33" t="s">
        <v>32</v>
      </c>
      <c r="G6603" s="33" t="s">
        <v>20</v>
      </c>
      <c r="H6603" s="35">
        <v>239</v>
      </c>
      <c r="I6603" s="33" t="s">
        <v>21</v>
      </c>
      <c r="J6603" s="42">
        <v>44515</v>
      </c>
      <c r="K6603" s="33" t="s">
        <v>22</v>
      </c>
    </row>
    <row r="6604" spans="1:11">
      <c r="A6604" s="30" t="s">
        <v>15435</v>
      </c>
      <c r="B6604" s="30" t="s">
        <v>15436</v>
      </c>
      <c r="C6604" s="30" t="s">
        <v>11887</v>
      </c>
      <c r="D6604" s="30" t="s">
        <v>17</v>
      </c>
      <c r="E6604" s="30" t="s">
        <v>26</v>
      </c>
      <c r="F6604" s="30" t="s">
        <v>27</v>
      </c>
      <c r="G6604" s="30" t="s">
        <v>20</v>
      </c>
      <c r="H6604" s="32">
        <v>258</v>
      </c>
      <c r="I6604" s="30" t="s">
        <v>21</v>
      </c>
      <c r="J6604" s="41">
        <v>44414</v>
      </c>
      <c r="K6604" s="30" t="s">
        <v>22</v>
      </c>
    </row>
    <row r="6605" spans="1:11">
      <c r="A6605" s="33" t="s">
        <v>15437</v>
      </c>
      <c r="B6605" s="33" t="s">
        <v>15438</v>
      </c>
      <c r="C6605" s="33" t="s">
        <v>136</v>
      </c>
      <c r="D6605" s="33" t="s">
        <v>17</v>
      </c>
      <c r="E6605" s="33" t="s">
        <v>18</v>
      </c>
      <c r="F6605" s="33" t="s">
        <v>19</v>
      </c>
      <c r="G6605" s="33" t="s">
        <v>140</v>
      </c>
      <c r="H6605" s="35">
        <v>150</v>
      </c>
      <c r="I6605" s="33" t="s">
        <v>51</v>
      </c>
      <c r="J6605" s="42">
        <v>44342</v>
      </c>
      <c r="K6605" s="33" t="s">
        <v>22</v>
      </c>
    </row>
    <row r="6606" spans="1:11">
      <c r="A6606" s="30" t="s">
        <v>15439</v>
      </c>
      <c r="B6606" s="30" t="s">
        <v>15440</v>
      </c>
      <c r="C6606" s="30" t="s">
        <v>109</v>
      </c>
      <c r="D6606" s="30" t="s">
        <v>17</v>
      </c>
      <c r="E6606" s="30" t="s">
        <v>31</v>
      </c>
      <c r="F6606" s="30" t="s">
        <v>32</v>
      </c>
      <c r="G6606" s="30" t="s">
        <v>20</v>
      </c>
      <c r="H6606" s="32">
        <v>153</v>
      </c>
      <c r="I6606" s="30" t="s">
        <v>21</v>
      </c>
      <c r="J6606" s="41">
        <v>44307</v>
      </c>
      <c r="K6606" s="30" t="s">
        <v>22</v>
      </c>
    </row>
    <row r="6607" spans="1:11">
      <c r="A6607" s="33" t="s">
        <v>15441</v>
      </c>
      <c r="B6607" s="33" t="s">
        <v>15442</v>
      </c>
      <c r="C6607" s="33" t="s">
        <v>15443</v>
      </c>
      <c r="D6607" s="33" t="s">
        <v>17</v>
      </c>
      <c r="E6607" s="33" t="s">
        <v>45</v>
      </c>
      <c r="F6607" s="33" t="s">
        <v>46</v>
      </c>
      <c r="G6607" s="33" t="s">
        <v>50</v>
      </c>
      <c r="H6607" s="35">
        <v>330</v>
      </c>
      <c r="I6607" s="33" t="s">
        <v>51</v>
      </c>
      <c r="J6607" s="42">
        <v>44531</v>
      </c>
      <c r="K6607" s="33" t="s">
        <v>22</v>
      </c>
    </row>
    <row r="6608" spans="1:11">
      <c r="A6608" s="30" t="s">
        <v>15444</v>
      </c>
      <c r="B6608" s="30" t="s">
        <v>15445</v>
      </c>
      <c r="C6608" s="30" t="s">
        <v>190</v>
      </c>
      <c r="D6608" s="30" t="s">
        <v>17</v>
      </c>
      <c r="E6608" s="30" t="s">
        <v>26</v>
      </c>
      <c r="F6608" s="30" t="s">
        <v>27</v>
      </c>
      <c r="G6608" s="30" t="s">
        <v>20</v>
      </c>
      <c r="H6608" s="32">
        <v>36</v>
      </c>
      <c r="I6608" s="30" t="s">
        <v>21</v>
      </c>
      <c r="J6608" s="41">
        <v>44547</v>
      </c>
      <c r="K6608" s="30" t="s">
        <v>22</v>
      </c>
    </row>
    <row r="6609" spans="1:11">
      <c r="A6609" s="33" t="s">
        <v>15446</v>
      </c>
      <c r="B6609" s="33" t="s">
        <v>15447</v>
      </c>
      <c r="C6609" s="33" t="s">
        <v>15448</v>
      </c>
      <c r="D6609" s="33" t="s">
        <v>17</v>
      </c>
      <c r="E6609" s="33" t="s">
        <v>67</v>
      </c>
      <c r="F6609" s="33" t="s">
        <v>68</v>
      </c>
      <c r="G6609" s="33" t="s">
        <v>20</v>
      </c>
      <c r="H6609" s="35">
        <v>76</v>
      </c>
      <c r="I6609" s="33" t="s">
        <v>21</v>
      </c>
      <c r="J6609" s="42">
        <v>44278</v>
      </c>
      <c r="K6609" s="33" t="s">
        <v>22</v>
      </c>
    </row>
    <row r="6610" spans="1:11">
      <c r="A6610" s="30" t="s">
        <v>15449</v>
      </c>
      <c r="B6610" s="30" t="s">
        <v>15450</v>
      </c>
      <c r="C6610" s="30" t="s">
        <v>1016</v>
      </c>
      <c r="D6610" s="30" t="s">
        <v>17</v>
      </c>
      <c r="E6610" s="30" t="s">
        <v>31</v>
      </c>
      <c r="F6610" s="30" t="s">
        <v>32</v>
      </c>
      <c r="G6610" s="30" t="s">
        <v>106</v>
      </c>
      <c r="H6610" s="32">
        <v>65</v>
      </c>
      <c r="I6610" s="30" t="s">
        <v>21</v>
      </c>
      <c r="J6610" s="41">
        <v>44200</v>
      </c>
      <c r="K6610" s="30" t="s">
        <v>22</v>
      </c>
    </row>
    <row r="6611" spans="1:11">
      <c r="A6611" s="33" t="s">
        <v>15451</v>
      </c>
      <c r="B6611" s="33" t="s">
        <v>15452</v>
      </c>
      <c r="C6611" s="33" t="s">
        <v>15453</v>
      </c>
      <c r="D6611" s="33" t="s">
        <v>17</v>
      </c>
      <c r="E6611" s="33" t="s">
        <v>67</v>
      </c>
      <c r="F6611" s="33" t="s">
        <v>68</v>
      </c>
      <c r="G6611" s="33" t="s">
        <v>158</v>
      </c>
      <c r="H6611" s="35">
        <v>120</v>
      </c>
      <c r="I6611" s="33" t="s">
        <v>51</v>
      </c>
      <c r="J6611" s="42">
        <v>44421</v>
      </c>
      <c r="K6611" s="33" t="s">
        <v>22</v>
      </c>
    </row>
    <row r="6612" spans="1:11">
      <c r="A6612" s="30" t="s">
        <v>15454</v>
      </c>
      <c r="B6612" s="30" t="s">
        <v>15455</v>
      </c>
      <c r="C6612" s="30" t="s">
        <v>936</v>
      </c>
      <c r="D6612" s="30" t="s">
        <v>17</v>
      </c>
      <c r="E6612" s="30" t="s">
        <v>31</v>
      </c>
      <c r="F6612" s="30" t="s">
        <v>32</v>
      </c>
      <c r="G6612" s="30" t="s">
        <v>20</v>
      </c>
      <c r="H6612" s="32">
        <v>282</v>
      </c>
      <c r="I6612" s="30" t="s">
        <v>21</v>
      </c>
      <c r="J6612" s="41">
        <v>44559</v>
      </c>
      <c r="K6612" s="30" t="s">
        <v>22</v>
      </c>
    </row>
    <row r="6613" spans="1:11">
      <c r="A6613" s="33" t="s">
        <v>15456</v>
      </c>
      <c r="B6613" s="33" t="s">
        <v>15457</v>
      </c>
      <c r="C6613" s="33" t="s">
        <v>3378</v>
      </c>
      <c r="D6613" s="33" t="s">
        <v>17</v>
      </c>
      <c r="E6613" s="33" t="s">
        <v>26</v>
      </c>
      <c r="F6613" s="33" t="s">
        <v>27</v>
      </c>
      <c r="G6613" s="33" t="s">
        <v>140</v>
      </c>
      <c r="H6613" s="35">
        <v>31</v>
      </c>
      <c r="I6613" s="33" t="s">
        <v>51</v>
      </c>
      <c r="J6613" s="42">
        <v>44466</v>
      </c>
      <c r="K6613" s="33" t="s">
        <v>22</v>
      </c>
    </row>
    <row r="6614" spans="1:11">
      <c r="A6614" s="30" t="s">
        <v>15458</v>
      </c>
      <c r="B6614" s="30" t="s">
        <v>15459</v>
      </c>
      <c r="C6614" s="30" t="s">
        <v>15460</v>
      </c>
      <c r="D6614" s="30" t="s">
        <v>17</v>
      </c>
      <c r="E6614" s="30" t="s">
        <v>26</v>
      </c>
      <c r="F6614" s="30" t="s">
        <v>27</v>
      </c>
      <c r="G6614" s="30" t="s">
        <v>2613</v>
      </c>
      <c r="H6614" s="32">
        <v>36</v>
      </c>
      <c r="I6614" s="30" t="s">
        <v>51</v>
      </c>
      <c r="J6614" s="41">
        <v>44547</v>
      </c>
      <c r="K6614" s="30" t="s">
        <v>22</v>
      </c>
    </row>
    <row r="6615" spans="1:11">
      <c r="A6615" s="33" t="s">
        <v>15461</v>
      </c>
      <c r="B6615" s="33" t="s">
        <v>15462</v>
      </c>
      <c r="C6615" s="33" t="s">
        <v>78</v>
      </c>
      <c r="D6615" s="33" t="s">
        <v>17</v>
      </c>
      <c r="E6615" s="33" t="s">
        <v>26</v>
      </c>
      <c r="F6615" s="33" t="s">
        <v>27</v>
      </c>
      <c r="G6615" s="33" t="s">
        <v>20</v>
      </c>
      <c r="H6615" s="35">
        <v>32</v>
      </c>
      <c r="I6615" s="33" t="s">
        <v>21</v>
      </c>
      <c r="J6615" s="42">
        <v>44343</v>
      </c>
      <c r="K6615" s="33" t="s">
        <v>22</v>
      </c>
    </row>
    <row r="6616" spans="1:11">
      <c r="A6616" s="30" t="s">
        <v>15463</v>
      </c>
      <c r="B6616" s="30" t="s">
        <v>15464</v>
      </c>
      <c r="C6616" s="30" t="s">
        <v>3154</v>
      </c>
      <c r="D6616" s="30" t="s">
        <v>17</v>
      </c>
      <c r="E6616" s="30" t="s">
        <v>26</v>
      </c>
      <c r="F6616" s="30" t="s">
        <v>27</v>
      </c>
      <c r="G6616" s="30" t="s">
        <v>20</v>
      </c>
      <c r="H6616" s="32">
        <v>13</v>
      </c>
      <c r="I6616" s="30" t="s">
        <v>21</v>
      </c>
      <c r="J6616" s="41">
        <v>44284</v>
      </c>
      <c r="K6616" s="30" t="s">
        <v>22</v>
      </c>
    </row>
    <row r="6617" spans="1:11">
      <c r="A6617" s="33" t="s">
        <v>15465</v>
      </c>
      <c r="B6617" s="33" t="s">
        <v>15466</v>
      </c>
      <c r="C6617" s="33" t="s">
        <v>15467</v>
      </c>
      <c r="D6617" s="33" t="s">
        <v>17</v>
      </c>
      <c r="E6617" s="33" t="s">
        <v>67</v>
      </c>
      <c r="F6617" s="33" t="s">
        <v>68</v>
      </c>
      <c r="G6617" s="33" t="s">
        <v>20</v>
      </c>
      <c r="H6617" s="35">
        <v>36</v>
      </c>
      <c r="I6617" s="33" t="s">
        <v>21</v>
      </c>
      <c r="J6617" s="42">
        <v>44352</v>
      </c>
      <c r="K6617" s="33" t="s">
        <v>22</v>
      </c>
    </row>
    <row r="6618" spans="1:11">
      <c r="A6618" s="30" t="s">
        <v>15468</v>
      </c>
      <c r="B6618" s="30" t="s">
        <v>15469</v>
      </c>
      <c r="C6618" s="30" t="s">
        <v>1469</v>
      </c>
      <c r="D6618" s="30" t="s">
        <v>17</v>
      </c>
      <c r="E6618" s="30" t="s">
        <v>18</v>
      </c>
      <c r="F6618" s="30" t="s">
        <v>19</v>
      </c>
      <c r="G6618" s="30" t="s">
        <v>158</v>
      </c>
      <c r="H6618" s="32">
        <v>500</v>
      </c>
      <c r="I6618" s="30" t="s">
        <v>51</v>
      </c>
      <c r="J6618" s="41">
        <v>44207</v>
      </c>
      <c r="K6618" s="30" t="s">
        <v>22</v>
      </c>
    </row>
    <row r="6619" spans="1:11">
      <c r="A6619" s="33" t="s">
        <v>15470</v>
      </c>
      <c r="B6619" s="33" t="s">
        <v>15471</v>
      </c>
      <c r="C6619" s="33" t="s">
        <v>203</v>
      </c>
      <c r="D6619" s="33" t="s">
        <v>17</v>
      </c>
      <c r="E6619" s="33" t="s">
        <v>31</v>
      </c>
      <c r="F6619" s="33" t="s">
        <v>32</v>
      </c>
      <c r="G6619" s="33" t="s">
        <v>20</v>
      </c>
      <c r="H6619" s="35">
        <v>124</v>
      </c>
      <c r="I6619" s="33" t="s">
        <v>21</v>
      </c>
      <c r="J6619" s="42">
        <v>44448</v>
      </c>
      <c r="K6619" s="33" t="s">
        <v>22</v>
      </c>
    </row>
    <row r="6620" spans="1:11">
      <c r="A6620" s="30" t="s">
        <v>15472</v>
      </c>
      <c r="B6620" s="30" t="s">
        <v>15473</v>
      </c>
      <c r="C6620" s="30" t="s">
        <v>326</v>
      </c>
      <c r="D6620" s="30" t="s">
        <v>17</v>
      </c>
      <c r="E6620" s="30" t="s">
        <v>67</v>
      </c>
      <c r="F6620" s="30" t="s">
        <v>68</v>
      </c>
      <c r="G6620" s="30" t="s">
        <v>106</v>
      </c>
      <c r="H6620" s="32">
        <v>3</v>
      </c>
      <c r="I6620" s="30" t="s">
        <v>21</v>
      </c>
      <c r="J6620" s="41">
        <v>44447</v>
      </c>
      <c r="K6620" s="30" t="s">
        <v>22</v>
      </c>
    </row>
    <row r="6621" spans="1:11">
      <c r="A6621" s="33" t="s">
        <v>15474</v>
      </c>
      <c r="B6621" s="33" t="s">
        <v>15475</v>
      </c>
      <c r="C6621" s="33" t="s">
        <v>8979</v>
      </c>
      <c r="D6621" s="33" t="s">
        <v>17</v>
      </c>
      <c r="E6621" s="33" t="s">
        <v>18</v>
      </c>
      <c r="F6621" s="33" t="s">
        <v>19</v>
      </c>
      <c r="G6621" s="33" t="s">
        <v>20</v>
      </c>
      <c r="H6621" s="35">
        <v>1057</v>
      </c>
      <c r="I6621" s="33" t="s">
        <v>21</v>
      </c>
      <c r="J6621" s="42">
        <v>44475</v>
      </c>
      <c r="K6621" s="33" t="s">
        <v>22</v>
      </c>
    </row>
    <row r="6622" spans="1:11">
      <c r="A6622" s="30" t="s">
        <v>15476</v>
      </c>
      <c r="B6622" s="30" t="s">
        <v>15477</v>
      </c>
      <c r="C6622" s="30" t="s">
        <v>1102</v>
      </c>
      <c r="D6622" s="30" t="s">
        <v>17</v>
      </c>
      <c r="E6622" s="30" t="s">
        <v>18</v>
      </c>
      <c r="F6622" s="30" t="s">
        <v>19</v>
      </c>
      <c r="G6622" s="30" t="s">
        <v>50</v>
      </c>
      <c r="H6622" s="32">
        <v>194</v>
      </c>
      <c r="I6622" s="30" t="s">
        <v>51</v>
      </c>
      <c r="J6622" s="41">
        <v>44457</v>
      </c>
      <c r="K6622" s="30" t="s">
        <v>22</v>
      </c>
    </row>
    <row r="6623" spans="1:11">
      <c r="A6623" s="33" t="s">
        <v>15478</v>
      </c>
      <c r="B6623" s="33" t="s">
        <v>15479</v>
      </c>
      <c r="C6623" s="33" t="s">
        <v>8768</v>
      </c>
      <c r="D6623" s="33" t="s">
        <v>17</v>
      </c>
      <c r="E6623" s="33" t="s">
        <v>330</v>
      </c>
      <c r="F6623" s="33" t="s">
        <v>331</v>
      </c>
      <c r="G6623" s="33" t="s">
        <v>20</v>
      </c>
      <c r="H6623" s="35">
        <v>14</v>
      </c>
      <c r="I6623" s="33" t="s">
        <v>21</v>
      </c>
      <c r="J6623" s="42">
        <v>44412</v>
      </c>
      <c r="K6623" s="33" t="s">
        <v>22</v>
      </c>
    </row>
    <row r="6624" spans="1:11">
      <c r="A6624" s="30" t="s">
        <v>15480</v>
      </c>
      <c r="B6624" s="30" t="s">
        <v>15481</v>
      </c>
      <c r="C6624" s="30" t="s">
        <v>15482</v>
      </c>
      <c r="D6624" s="30" t="s">
        <v>17</v>
      </c>
      <c r="E6624" s="30" t="s">
        <v>31</v>
      </c>
      <c r="F6624" s="30" t="s">
        <v>32</v>
      </c>
      <c r="G6624" s="30" t="s">
        <v>50</v>
      </c>
      <c r="H6624" s="32">
        <v>6</v>
      </c>
      <c r="I6624" s="30" t="s">
        <v>51</v>
      </c>
      <c r="J6624" s="41">
        <v>44488</v>
      </c>
      <c r="K6624" s="30" t="s">
        <v>22</v>
      </c>
    </row>
    <row r="6625" spans="1:11">
      <c r="A6625" s="33" t="s">
        <v>15483</v>
      </c>
      <c r="B6625" s="33" t="s">
        <v>15484</v>
      </c>
      <c r="C6625" s="33" t="s">
        <v>3594</v>
      </c>
      <c r="D6625" s="33" t="s">
        <v>17</v>
      </c>
      <c r="E6625" s="33" t="s">
        <v>26</v>
      </c>
      <c r="F6625" s="33" t="s">
        <v>27</v>
      </c>
      <c r="G6625" s="33" t="s">
        <v>20</v>
      </c>
      <c r="H6625" s="35">
        <v>26</v>
      </c>
      <c r="I6625" s="33" t="s">
        <v>21</v>
      </c>
      <c r="J6625" s="42">
        <v>44202</v>
      </c>
      <c r="K6625" s="33" t="s">
        <v>22</v>
      </c>
    </row>
    <row r="6626" spans="1:11">
      <c r="A6626" s="30" t="s">
        <v>15485</v>
      </c>
      <c r="B6626" s="30" t="s">
        <v>15486</v>
      </c>
      <c r="C6626" s="30" t="s">
        <v>5452</v>
      </c>
      <c r="D6626" s="30" t="s">
        <v>17</v>
      </c>
      <c r="E6626" s="30" t="s">
        <v>26</v>
      </c>
      <c r="F6626" s="30" t="s">
        <v>27</v>
      </c>
      <c r="G6626" s="30" t="s">
        <v>20</v>
      </c>
      <c r="H6626" s="32">
        <v>19</v>
      </c>
      <c r="I6626" s="30" t="s">
        <v>21</v>
      </c>
      <c r="J6626" s="41">
        <v>44208</v>
      </c>
      <c r="K6626" s="30" t="s">
        <v>22</v>
      </c>
    </row>
    <row r="6627" spans="1:11">
      <c r="A6627" s="33" t="s">
        <v>15487</v>
      </c>
      <c r="B6627" s="33" t="s">
        <v>15488</v>
      </c>
      <c r="C6627" s="33" t="s">
        <v>2022</v>
      </c>
      <c r="D6627" s="33" t="s">
        <v>17</v>
      </c>
      <c r="E6627" s="33" t="s">
        <v>31</v>
      </c>
      <c r="F6627" s="33" t="s">
        <v>32</v>
      </c>
      <c r="G6627" s="33" t="s">
        <v>106</v>
      </c>
      <c r="H6627" s="35">
        <v>10</v>
      </c>
      <c r="I6627" s="33" t="s">
        <v>21</v>
      </c>
      <c r="J6627" s="42">
        <v>44253</v>
      </c>
      <c r="K6627" s="33" t="s">
        <v>22</v>
      </c>
    </row>
    <row r="6628" spans="1:11">
      <c r="A6628" s="30" t="s">
        <v>15489</v>
      </c>
      <c r="B6628" s="30" t="s">
        <v>15490</v>
      </c>
      <c r="C6628" s="30" t="s">
        <v>715</v>
      </c>
      <c r="D6628" s="30" t="s">
        <v>17</v>
      </c>
      <c r="E6628" s="30" t="s">
        <v>26</v>
      </c>
      <c r="F6628" s="30" t="s">
        <v>27</v>
      </c>
      <c r="G6628" s="30" t="s">
        <v>20</v>
      </c>
      <c r="H6628" s="32">
        <v>13</v>
      </c>
      <c r="I6628" s="30" t="s">
        <v>21</v>
      </c>
      <c r="J6628" s="41">
        <v>44551</v>
      </c>
      <c r="K6628" s="30" t="s">
        <v>22</v>
      </c>
    </row>
    <row r="6629" spans="1:11">
      <c r="A6629" s="33" t="s">
        <v>15491</v>
      </c>
      <c r="B6629" s="33" t="s">
        <v>15492</v>
      </c>
      <c r="C6629" s="33" t="s">
        <v>644</v>
      </c>
      <c r="D6629" s="33" t="s">
        <v>17</v>
      </c>
      <c r="E6629" s="33" t="s">
        <v>31</v>
      </c>
      <c r="F6629" s="33" t="s">
        <v>32</v>
      </c>
      <c r="G6629" s="33" t="s">
        <v>106</v>
      </c>
      <c r="H6629" s="35">
        <v>8</v>
      </c>
      <c r="I6629" s="33" t="s">
        <v>21</v>
      </c>
      <c r="J6629" s="42">
        <v>44329</v>
      </c>
      <c r="K6629" s="33" t="s">
        <v>22</v>
      </c>
    </row>
    <row r="6630" spans="1:11">
      <c r="A6630" s="30" t="s">
        <v>15493</v>
      </c>
      <c r="B6630" s="30" t="s">
        <v>15494</v>
      </c>
      <c r="C6630" s="30" t="s">
        <v>1165</v>
      </c>
      <c r="D6630" s="30" t="s">
        <v>17</v>
      </c>
      <c r="E6630" s="30" t="s">
        <v>18</v>
      </c>
      <c r="F6630" s="30" t="s">
        <v>19</v>
      </c>
      <c r="G6630" s="30" t="s">
        <v>20</v>
      </c>
      <c r="H6630" s="32">
        <v>69</v>
      </c>
      <c r="I6630" s="30" t="s">
        <v>21</v>
      </c>
      <c r="J6630" s="41">
        <v>44546</v>
      </c>
      <c r="K6630" s="30" t="s">
        <v>22</v>
      </c>
    </row>
    <row r="6631" spans="1:11">
      <c r="A6631" s="33" t="s">
        <v>15495</v>
      </c>
      <c r="B6631" s="33" t="s">
        <v>15496</v>
      </c>
      <c r="C6631" s="33" t="s">
        <v>684</v>
      </c>
      <c r="D6631" s="33" t="s">
        <v>17</v>
      </c>
      <c r="E6631" s="33" t="s">
        <v>26</v>
      </c>
      <c r="F6631" s="33" t="s">
        <v>27</v>
      </c>
      <c r="G6631" s="33" t="s">
        <v>20</v>
      </c>
      <c r="H6631" s="35">
        <v>32</v>
      </c>
      <c r="I6631" s="33" t="s">
        <v>21</v>
      </c>
      <c r="J6631" s="42">
        <v>44463</v>
      </c>
      <c r="K6631" s="33" t="s">
        <v>22</v>
      </c>
    </row>
    <row r="6632" spans="1:11">
      <c r="A6632" s="30" t="s">
        <v>15497</v>
      </c>
      <c r="B6632" s="30" t="s">
        <v>15498</v>
      </c>
      <c r="C6632" s="30" t="s">
        <v>1816</v>
      </c>
      <c r="D6632" s="30" t="s">
        <v>17</v>
      </c>
      <c r="E6632" s="30" t="s">
        <v>26</v>
      </c>
      <c r="F6632" s="30" t="s">
        <v>27</v>
      </c>
      <c r="G6632" s="30" t="s">
        <v>20</v>
      </c>
      <c r="H6632" s="32">
        <v>18</v>
      </c>
      <c r="I6632" s="30" t="s">
        <v>21</v>
      </c>
      <c r="J6632" s="41">
        <v>44257</v>
      </c>
      <c r="K6632" s="30" t="s">
        <v>22</v>
      </c>
    </row>
    <row r="6633" spans="1:11">
      <c r="A6633" s="33" t="s">
        <v>15499</v>
      </c>
      <c r="B6633" s="33" t="s">
        <v>15500</v>
      </c>
      <c r="C6633" s="33" t="s">
        <v>15501</v>
      </c>
      <c r="D6633" s="33" t="s">
        <v>17</v>
      </c>
      <c r="E6633" s="33" t="s">
        <v>26</v>
      </c>
      <c r="F6633" s="33" t="s">
        <v>27</v>
      </c>
      <c r="G6633" s="33" t="s">
        <v>20</v>
      </c>
      <c r="H6633" s="35">
        <v>9</v>
      </c>
      <c r="I6633" s="33" t="s">
        <v>21</v>
      </c>
      <c r="J6633" s="42">
        <v>44494</v>
      </c>
      <c r="K6633" s="33" t="s">
        <v>22</v>
      </c>
    </row>
    <row r="6634" spans="1:11">
      <c r="A6634" s="30" t="s">
        <v>15502</v>
      </c>
      <c r="B6634" s="30" t="s">
        <v>15503</v>
      </c>
      <c r="C6634" s="30" t="s">
        <v>4810</v>
      </c>
      <c r="D6634" s="30" t="s">
        <v>17</v>
      </c>
      <c r="E6634" s="30" t="s">
        <v>26</v>
      </c>
      <c r="F6634" s="30" t="s">
        <v>27</v>
      </c>
      <c r="G6634" s="30" t="s">
        <v>20</v>
      </c>
      <c r="H6634" s="32">
        <v>32</v>
      </c>
      <c r="I6634" s="30" t="s">
        <v>21</v>
      </c>
      <c r="J6634" s="41">
        <v>44529</v>
      </c>
      <c r="K6634" s="30" t="s">
        <v>22</v>
      </c>
    </row>
    <row r="6635" spans="1:11">
      <c r="A6635" s="33" t="s">
        <v>15504</v>
      </c>
      <c r="B6635" s="33" t="s">
        <v>15505</v>
      </c>
      <c r="C6635" s="33" t="s">
        <v>6531</v>
      </c>
      <c r="D6635" s="33" t="s">
        <v>17</v>
      </c>
      <c r="E6635" s="33" t="s">
        <v>26</v>
      </c>
      <c r="F6635" s="33" t="s">
        <v>27</v>
      </c>
      <c r="G6635" s="33" t="s">
        <v>20</v>
      </c>
      <c r="H6635" s="35">
        <v>112</v>
      </c>
      <c r="I6635" s="33" t="s">
        <v>21</v>
      </c>
      <c r="J6635" s="42">
        <v>44531</v>
      </c>
      <c r="K6635" s="33" t="s">
        <v>22</v>
      </c>
    </row>
    <row r="6636" spans="1:11">
      <c r="A6636" s="30" t="s">
        <v>15506</v>
      </c>
      <c r="B6636" s="30" t="s">
        <v>15507</v>
      </c>
      <c r="C6636" s="30" t="s">
        <v>1136</v>
      </c>
      <c r="D6636" s="30" t="s">
        <v>17</v>
      </c>
      <c r="E6636" s="30" t="s">
        <v>18</v>
      </c>
      <c r="F6636" s="30" t="s">
        <v>19</v>
      </c>
      <c r="G6636" s="30" t="s">
        <v>20</v>
      </c>
      <c r="H6636" s="32">
        <v>301</v>
      </c>
      <c r="I6636" s="30" t="s">
        <v>21</v>
      </c>
      <c r="J6636" s="41">
        <v>44537</v>
      </c>
      <c r="K6636" s="30" t="s">
        <v>22</v>
      </c>
    </row>
    <row r="6637" spans="1:11">
      <c r="A6637" s="33" t="s">
        <v>15508</v>
      </c>
      <c r="B6637" s="33" t="s">
        <v>15509</v>
      </c>
      <c r="C6637" s="33" t="s">
        <v>130</v>
      </c>
      <c r="D6637" s="33" t="s">
        <v>17</v>
      </c>
      <c r="E6637" s="33" t="s">
        <v>67</v>
      </c>
      <c r="F6637" s="33" t="s">
        <v>68</v>
      </c>
      <c r="G6637" s="33" t="s">
        <v>158</v>
      </c>
      <c r="H6637" s="35">
        <v>84</v>
      </c>
      <c r="I6637" s="33" t="s">
        <v>21</v>
      </c>
      <c r="J6637" s="42">
        <v>44274</v>
      </c>
      <c r="K6637" s="33" t="s">
        <v>22</v>
      </c>
    </row>
    <row r="6638" spans="1:11">
      <c r="A6638" s="30" t="s">
        <v>15510</v>
      </c>
      <c r="B6638" s="30" t="s">
        <v>15511</v>
      </c>
      <c r="C6638" s="30" t="s">
        <v>3480</v>
      </c>
      <c r="D6638" s="30" t="s">
        <v>17</v>
      </c>
      <c r="E6638" s="30" t="s">
        <v>45</v>
      </c>
      <c r="F6638" s="30" t="s">
        <v>46</v>
      </c>
      <c r="G6638" s="30" t="s">
        <v>106</v>
      </c>
      <c r="H6638" s="32">
        <v>61</v>
      </c>
      <c r="I6638" s="30" t="s">
        <v>21</v>
      </c>
      <c r="J6638" s="41">
        <v>44243</v>
      </c>
      <c r="K6638" s="30" t="s">
        <v>22</v>
      </c>
    </row>
    <row r="6639" spans="1:11">
      <c r="A6639" s="33" t="s">
        <v>15512</v>
      </c>
      <c r="B6639" s="33" t="s">
        <v>15513</v>
      </c>
      <c r="C6639" s="33" t="s">
        <v>443</v>
      </c>
      <c r="D6639" s="33" t="s">
        <v>17</v>
      </c>
      <c r="E6639" s="33" t="s">
        <v>212</v>
      </c>
      <c r="F6639" s="33" t="s">
        <v>213</v>
      </c>
      <c r="G6639" s="33" t="s">
        <v>20</v>
      </c>
      <c r="H6639" s="35">
        <v>3000</v>
      </c>
      <c r="I6639" s="33" t="s">
        <v>21</v>
      </c>
      <c r="J6639" s="42">
        <v>44513</v>
      </c>
      <c r="K6639" s="33" t="s">
        <v>22</v>
      </c>
    </row>
    <row r="6640" spans="1:11">
      <c r="A6640" s="30" t="s">
        <v>15514</v>
      </c>
      <c r="B6640" s="30" t="s">
        <v>15515</v>
      </c>
      <c r="C6640" s="30" t="s">
        <v>2772</v>
      </c>
      <c r="D6640" s="30" t="s">
        <v>17</v>
      </c>
      <c r="E6640" s="30" t="s">
        <v>18</v>
      </c>
      <c r="F6640" s="30" t="s">
        <v>19</v>
      </c>
      <c r="G6640" s="30" t="s">
        <v>20</v>
      </c>
      <c r="H6640" s="32">
        <v>336</v>
      </c>
      <c r="I6640" s="30" t="s">
        <v>21</v>
      </c>
      <c r="J6640" s="41">
        <v>44291</v>
      </c>
      <c r="K6640" s="30" t="s">
        <v>22</v>
      </c>
    </row>
    <row r="6641" spans="1:11">
      <c r="A6641" s="33" t="s">
        <v>15516</v>
      </c>
      <c r="B6641" s="33" t="s">
        <v>15517</v>
      </c>
      <c r="C6641" s="33" t="s">
        <v>715</v>
      </c>
      <c r="D6641" s="33" t="s">
        <v>17</v>
      </c>
      <c r="E6641" s="33" t="s">
        <v>31</v>
      </c>
      <c r="F6641" s="33" t="s">
        <v>32</v>
      </c>
      <c r="G6641" s="33" t="s">
        <v>112</v>
      </c>
      <c r="H6641" s="35">
        <v>0</v>
      </c>
      <c r="I6641" s="33" t="s">
        <v>21</v>
      </c>
      <c r="J6641" s="42">
        <v>44508</v>
      </c>
      <c r="K6641" s="33" t="s">
        <v>22</v>
      </c>
    </row>
    <row r="6642" spans="1:11">
      <c r="A6642" s="30" t="s">
        <v>15518</v>
      </c>
      <c r="B6642" s="30" t="s">
        <v>15519</v>
      </c>
      <c r="C6642" s="30" t="s">
        <v>3944</v>
      </c>
      <c r="D6642" s="30" t="s">
        <v>17</v>
      </c>
      <c r="E6642" s="30" t="s">
        <v>26</v>
      </c>
      <c r="F6642" s="30" t="s">
        <v>27</v>
      </c>
      <c r="G6642" s="30" t="s">
        <v>20</v>
      </c>
      <c r="H6642" s="32">
        <v>30</v>
      </c>
      <c r="I6642" s="30" t="s">
        <v>21</v>
      </c>
      <c r="J6642" s="41">
        <v>44449</v>
      </c>
      <c r="K6642" s="30" t="s">
        <v>22</v>
      </c>
    </row>
    <row r="6643" spans="1:11">
      <c r="A6643" s="33" t="s">
        <v>15520</v>
      </c>
      <c r="B6643" s="33" t="s">
        <v>15521</v>
      </c>
      <c r="C6643" s="33" t="s">
        <v>310</v>
      </c>
      <c r="D6643" s="33" t="s">
        <v>17</v>
      </c>
      <c r="E6643" s="33" t="s">
        <v>18</v>
      </c>
      <c r="F6643" s="33" t="s">
        <v>19</v>
      </c>
      <c r="G6643" s="33" t="s">
        <v>20</v>
      </c>
      <c r="H6643" s="35">
        <v>667</v>
      </c>
      <c r="I6643" s="33" t="s">
        <v>21</v>
      </c>
      <c r="J6643" s="42">
        <v>44452</v>
      </c>
      <c r="K6643" s="33" t="s">
        <v>22</v>
      </c>
    </row>
    <row r="6644" spans="1:11">
      <c r="A6644" s="30" t="s">
        <v>15522</v>
      </c>
      <c r="B6644" s="30" t="s">
        <v>15523</v>
      </c>
      <c r="C6644" s="30" t="s">
        <v>15524</v>
      </c>
      <c r="D6644" s="30" t="s">
        <v>17</v>
      </c>
      <c r="E6644" s="30" t="s">
        <v>26</v>
      </c>
      <c r="F6644" s="30" t="s">
        <v>27</v>
      </c>
      <c r="G6644" s="30" t="s">
        <v>20</v>
      </c>
      <c r="H6644" s="32">
        <v>84</v>
      </c>
      <c r="I6644" s="30" t="s">
        <v>21</v>
      </c>
      <c r="J6644" s="41">
        <v>44361</v>
      </c>
      <c r="K6644" s="30" t="s">
        <v>22</v>
      </c>
    </row>
    <row r="6645" spans="1:11">
      <c r="A6645" s="33" t="s">
        <v>15525</v>
      </c>
      <c r="B6645" s="33" t="s">
        <v>15526</v>
      </c>
      <c r="C6645" s="33" t="s">
        <v>15527</v>
      </c>
      <c r="D6645" s="33" t="s">
        <v>17</v>
      </c>
      <c r="E6645" s="33" t="s">
        <v>18</v>
      </c>
      <c r="F6645" s="33" t="s">
        <v>19</v>
      </c>
      <c r="G6645" s="33" t="s">
        <v>112</v>
      </c>
      <c r="H6645" s="35">
        <v>0</v>
      </c>
      <c r="I6645" s="33" t="s">
        <v>21</v>
      </c>
      <c r="J6645" s="42">
        <v>44235</v>
      </c>
      <c r="K6645" s="33" t="s">
        <v>22</v>
      </c>
    </row>
    <row r="6646" spans="1:11">
      <c r="A6646" s="30" t="s">
        <v>15528</v>
      </c>
      <c r="B6646" s="30" t="s">
        <v>15529</v>
      </c>
      <c r="C6646" s="30" t="s">
        <v>96</v>
      </c>
      <c r="D6646" s="30" t="s">
        <v>17</v>
      </c>
      <c r="E6646" s="30" t="s">
        <v>26</v>
      </c>
      <c r="F6646" s="30" t="s">
        <v>27</v>
      </c>
      <c r="G6646" s="30" t="s">
        <v>20</v>
      </c>
      <c r="H6646" s="32">
        <v>17</v>
      </c>
      <c r="I6646" s="30" t="s">
        <v>21</v>
      </c>
      <c r="J6646" s="41">
        <v>44439</v>
      </c>
      <c r="K6646" s="30" t="s">
        <v>22</v>
      </c>
    </row>
    <row r="6647" spans="1:11">
      <c r="A6647" s="33" t="s">
        <v>15530</v>
      </c>
      <c r="B6647" s="33" t="s">
        <v>15531</v>
      </c>
      <c r="C6647" s="33" t="s">
        <v>136</v>
      </c>
      <c r="D6647" s="33" t="s">
        <v>17</v>
      </c>
      <c r="E6647" s="33" t="s">
        <v>18</v>
      </c>
      <c r="F6647" s="33" t="s">
        <v>19</v>
      </c>
      <c r="G6647" s="33" t="s">
        <v>20</v>
      </c>
      <c r="H6647" s="35">
        <v>731</v>
      </c>
      <c r="I6647" s="33" t="s">
        <v>21</v>
      </c>
      <c r="J6647" s="42">
        <v>44306</v>
      </c>
      <c r="K6647" s="33" t="s">
        <v>22</v>
      </c>
    </row>
    <row r="6648" spans="1:11">
      <c r="A6648" s="30" t="s">
        <v>15532</v>
      </c>
      <c r="B6648" s="30" t="s">
        <v>15533</v>
      </c>
      <c r="C6648" s="30" t="s">
        <v>3246</v>
      </c>
      <c r="D6648" s="30" t="s">
        <v>17</v>
      </c>
      <c r="E6648" s="30" t="s">
        <v>31</v>
      </c>
      <c r="F6648" s="30" t="s">
        <v>32</v>
      </c>
      <c r="G6648" s="30" t="s">
        <v>20</v>
      </c>
      <c r="H6648" s="32">
        <v>140</v>
      </c>
      <c r="I6648" s="30" t="s">
        <v>21</v>
      </c>
      <c r="J6648" s="41">
        <v>44461</v>
      </c>
      <c r="K6648" s="30" t="s">
        <v>22</v>
      </c>
    </row>
    <row r="6649" spans="1:11">
      <c r="A6649" s="33" t="s">
        <v>15534</v>
      </c>
      <c r="B6649" s="33" t="s">
        <v>15535</v>
      </c>
      <c r="C6649" s="33" t="s">
        <v>5053</v>
      </c>
      <c r="D6649" s="33" t="s">
        <v>17</v>
      </c>
      <c r="E6649" s="33" t="s">
        <v>18</v>
      </c>
      <c r="F6649" s="33" t="s">
        <v>19</v>
      </c>
      <c r="G6649" s="33" t="s">
        <v>106</v>
      </c>
      <c r="H6649" s="35">
        <v>1125</v>
      </c>
      <c r="I6649" s="33" t="s">
        <v>21</v>
      </c>
      <c r="J6649" s="42">
        <v>44518</v>
      </c>
      <c r="K6649" s="33" t="s">
        <v>22</v>
      </c>
    </row>
    <row r="6650" spans="1:11">
      <c r="A6650" s="30" t="s">
        <v>15536</v>
      </c>
      <c r="B6650" s="30" t="s">
        <v>15537</v>
      </c>
      <c r="C6650" s="30" t="s">
        <v>3698</v>
      </c>
      <c r="D6650" s="30" t="s">
        <v>17</v>
      </c>
      <c r="E6650" s="30" t="s">
        <v>26</v>
      </c>
      <c r="F6650" s="30" t="s">
        <v>27</v>
      </c>
      <c r="G6650" s="30" t="s">
        <v>20</v>
      </c>
      <c r="H6650" s="32">
        <v>8</v>
      </c>
      <c r="I6650" s="30" t="s">
        <v>21</v>
      </c>
      <c r="J6650" s="41">
        <v>44210</v>
      </c>
      <c r="K6650" s="30" t="s">
        <v>22</v>
      </c>
    </row>
    <row r="6651" spans="1:11">
      <c r="A6651" s="33" t="s">
        <v>15538</v>
      </c>
      <c r="B6651" s="33" t="s">
        <v>15539</v>
      </c>
      <c r="C6651" s="33" t="s">
        <v>231</v>
      </c>
      <c r="D6651" s="33" t="s">
        <v>17</v>
      </c>
      <c r="E6651" s="33" t="s">
        <v>31</v>
      </c>
      <c r="F6651" s="33" t="s">
        <v>32</v>
      </c>
      <c r="G6651" s="33" t="s">
        <v>20</v>
      </c>
      <c r="H6651" s="35">
        <v>295</v>
      </c>
      <c r="I6651" s="33" t="s">
        <v>21</v>
      </c>
      <c r="J6651" s="42">
        <v>44313</v>
      </c>
      <c r="K6651" s="33" t="s">
        <v>22</v>
      </c>
    </row>
    <row r="6652" spans="1:11">
      <c r="A6652" s="30" t="s">
        <v>15540</v>
      </c>
      <c r="B6652" s="30" t="s">
        <v>15541</v>
      </c>
      <c r="C6652" s="30" t="s">
        <v>15542</v>
      </c>
      <c r="D6652" s="30" t="s">
        <v>17</v>
      </c>
      <c r="E6652" s="30" t="s">
        <v>26</v>
      </c>
      <c r="F6652" s="30" t="s">
        <v>27</v>
      </c>
      <c r="G6652" s="30" t="s">
        <v>20</v>
      </c>
      <c r="H6652" s="32">
        <v>20</v>
      </c>
      <c r="I6652" s="30" t="s">
        <v>21</v>
      </c>
      <c r="J6652" s="41">
        <v>44433</v>
      </c>
      <c r="K6652" s="30" t="s">
        <v>22</v>
      </c>
    </row>
    <row r="6653" spans="1:11">
      <c r="A6653" s="33" t="s">
        <v>15543</v>
      </c>
      <c r="B6653" s="33" t="s">
        <v>15544</v>
      </c>
      <c r="C6653" s="33" t="s">
        <v>15545</v>
      </c>
      <c r="D6653" s="33" t="s">
        <v>17</v>
      </c>
      <c r="E6653" s="33" t="s">
        <v>26</v>
      </c>
      <c r="F6653" s="33" t="s">
        <v>27</v>
      </c>
      <c r="G6653" s="33" t="s">
        <v>20</v>
      </c>
      <c r="H6653" s="35">
        <v>81</v>
      </c>
      <c r="I6653" s="33" t="s">
        <v>21</v>
      </c>
      <c r="J6653" s="42">
        <v>44392</v>
      </c>
      <c r="K6653" s="33" t="s">
        <v>22</v>
      </c>
    </row>
    <row r="6654" spans="1:11">
      <c r="A6654" s="30" t="s">
        <v>15546</v>
      </c>
      <c r="B6654" s="30" t="s">
        <v>15547</v>
      </c>
      <c r="C6654" s="30" t="s">
        <v>130</v>
      </c>
      <c r="D6654" s="30" t="s">
        <v>17</v>
      </c>
      <c r="E6654" s="30" t="s">
        <v>18</v>
      </c>
      <c r="F6654" s="30" t="s">
        <v>19</v>
      </c>
      <c r="G6654" s="30" t="s">
        <v>106</v>
      </c>
      <c r="H6654" s="32">
        <v>177</v>
      </c>
      <c r="I6654" s="30" t="s">
        <v>21</v>
      </c>
      <c r="J6654" s="41">
        <v>44342</v>
      </c>
      <c r="K6654" s="30" t="s">
        <v>22</v>
      </c>
    </row>
    <row r="6655" spans="1:11">
      <c r="A6655" s="33" t="s">
        <v>15548</v>
      </c>
      <c r="B6655" s="33" t="s">
        <v>15549</v>
      </c>
      <c r="C6655" s="33" t="s">
        <v>1162</v>
      </c>
      <c r="D6655" s="33" t="s">
        <v>17</v>
      </c>
      <c r="E6655" s="33" t="s">
        <v>18</v>
      </c>
      <c r="F6655" s="33" t="s">
        <v>19</v>
      </c>
      <c r="G6655" s="33" t="s">
        <v>20</v>
      </c>
      <c r="H6655" s="35">
        <v>74</v>
      </c>
      <c r="I6655" s="33" t="s">
        <v>21</v>
      </c>
      <c r="J6655" s="42">
        <v>44246</v>
      </c>
      <c r="K6655" s="33" t="s">
        <v>22</v>
      </c>
    </row>
    <row r="6656" spans="1:11">
      <c r="A6656" s="30" t="s">
        <v>15550</v>
      </c>
      <c r="B6656" s="30" t="s">
        <v>15551</v>
      </c>
      <c r="C6656" s="30" t="s">
        <v>109</v>
      </c>
      <c r="D6656" s="30" t="s">
        <v>17</v>
      </c>
      <c r="E6656" s="30" t="s">
        <v>18</v>
      </c>
      <c r="F6656" s="30" t="s">
        <v>19</v>
      </c>
      <c r="G6656" s="30" t="s">
        <v>20</v>
      </c>
      <c r="H6656" s="32">
        <v>41</v>
      </c>
      <c r="I6656" s="30" t="s">
        <v>21</v>
      </c>
      <c r="J6656" s="41">
        <v>44371</v>
      </c>
      <c r="K6656" s="30" t="s">
        <v>22</v>
      </c>
    </row>
    <row r="6657" spans="1:11">
      <c r="A6657" s="33" t="s">
        <v>15552</v>
      </c>
      <c r="B6657" s="33" t="s">
        <v>15553</v>
      </c>
      <c r="C6657" s="33" t="s">
        <v>96</v>
      </c>
      <c r="D6657" s="33" t="s">
        <v>17</v>
      </c>
      <c r="E6657" s="33" t="s">
        <v>26</v>
      </c>
      <c r="F6657" s="33" t="s">
        <v>27</v>
      </c>
      <c r="G6657" s="33" t="s">
        <v>20</v>
      </c>
      <c r="H6657" s="35">
        <v>18</v>
      </c>
      <c r="I6657" s="33" t="s">
        <v>21</v>
      </c>
      <c r="J6657" s="42">
        <v>44364</v>
      </c>
      <c r="K6657" s="33" t="s">
        <v>22</v>
      </c>
    </row>
    <row r="6658" spans="1:11">
      <c r="A6658" s="30" t="s">
        <v>15554</v>
      </c>
      <c r="B6658" s="30" t="s">
        <v>15555</v>
      </c>
      <c r="C6658" s="30" t="s">
        <v>15556</v>
      </c>
      <c r="D6658" s="30" t="s">
        <v>17</v>
      </c>
      <c r="E6658" s="30" t="s">
        <v>26</v>
      </c>
      <c r="F6658" s="30" t="s">
        <v>27</v>
      </c>
      <c r="G6658" s="30" t="s">
        <v>20</v>
      </c>
      <c r="H6658" s="32">
        <v>60</v>
      </c>
      <c r="I6658" s="30" t="s">
        <v>21</v>
      </c>
      <c r="J6658" s="41">
        <v>44524</v>
      </c>
      <c r="K6658" s="30" t="s">
        <v>22</v>
      </c>
    </row>
    <row r="6659" spans="1:11">
      <c r="A6659" s="33" t="s">
        <v>15557</v>
      </c>
      <c r="B6659" s="33" t="s">
        <v>15558</v>
      </c>
      <c r="C6659" s="33" t="s">
        <v>15559</v>
      </c>
      <c r="D6659" s="33" t="s">
        <v>17</v>
      </c>
      <c r="E6659" s="33" t="s">
        <v>26</v>
      </c>
      <c r="F6659" s="33" t="s">
        <v>27</v>
      </c>
      <c r="G6659" s="33" t="s">
        <v>106</v>
      </c>
      <c r="H6659" s="35">
        <v>55</v>
      </c>
      <c r="I6659" s="33" t="s">
        <v>21</v>
      </c>
      <c r="J6659" s="42">
        <v>44425</v>
      </c>
      <c r="K6659" s="33" t="s">
        <v>22</v>
      </c>
    </row>
    <row r="6660" spans="1:11">
      <c r="A6660" s="30" t="s">
        <v>15560</v>
      </c>
      <c r="B6660" s="30" t="s">
        <v>15561</v>
      </c>
      <c r="C6660" s="30" t="s">
        <v>15562</v>
      </c>
      <c r="D6660" s="30" t="s">
        <v>17</v>
      </c>
      <c r="E6660" s="30" t="s">
        <v>26</v>
      </c>
      <c r="F6660" s="30" t="s">
        <v>27</v>
      </c>
      <c r="G6660" s="30" t="s">
        <v>158</v>
      </c>
      <c r="H6660" s="32">
        <v>9</v>
      </c>
      <c r="I6660" s="30" t="s">
        <v>51</v>
      </c>
      <c r="J6660" s="41">
        <v>44334</v>
      </c>
      <c r="K6660" s="30" t="s">
        <v>22</v>
      </c>
    </row>
    <row r="6661" spans="1:11">
      <c r="A6661" s="33" t="s">
        <v>15563</v>
      </c>
      <c r="B6661" s="33" t="s">
        <v>15564</v>
      </c>
      <c r="C6661" s="33" t="s">
        <v>3210</v>
      </c>
      <c r="D6661" s="33" t="s">
        <v>17</v>
      </c>
      <c r="E6661" s="33" t="s">
        <v>67</v>
      </c>
      <c r="F6661" s="33" t="s">
        <v>68</v>
      </c>
      <c r="G6661" s="33" t="s">
        <v>106</v>
      </c>
      <c r="H6661" s="35">
        <v>30</v>
      </c>
      <c r="I6661" s="33" t="s">
        <v>21</v>
      </c>
      <c r="J6661" s="42">
        <v>44315</v>
      </c>
      <c r="K6661" s="33" t="s">
        <v>22</v>
      </c>
    </row>
    <row r="6662" spans="1:11">
      <c r="A6662" s="30" t="s">
        <v>15565</v>
      </c>
      <c r="B6662" s="30" t="s">
        <v>15566</v>
      </c>
      <c r="C6662" s="30" t="s">
        <v>2706</v>
      </c>
      <c r="D6662" s="30" t="s">
        <v>17</v>
      </c>
      <c r="E6662" s="30" t="s">
        <v>26</v>
      </c>
      <c r="F6662" s="30" t="s">
        <v>27</v>
      </c>
      <c r="G6662" s="30" t="s">
        <v>20</v>
      </c>
      <c r="H6662" s="32">
        <v>24</v>
      </c>
      <c r="I6662" s="30" t="s">
        <v>21</v>
      </c>
      <c r="J6662" s="41">
        <v>44271</v>
      </c>
      <c r="K6662" s="30" t="s">
        <v>22</v>
      </c>
    </row>
    <row r="6663" spans="1:11">
      <c r="A6663" s="33" t="s">
        <v>15567</v>
      </c>
      <c r="B6663" s="33" t="s">
        <v>15568</v>
      </c>
      <c r="C6663" s="33" t="s">
        <v>6316</v>
      </c>
      <c r="D6663" s="33" t="s">
        <v>17</v>
      </c>
      <c r="E6663" s="33" t="s">
        <v>26</v>
      </c>
      <c r="F6663" s="33" t="s">
        <v>27</v>
      </c>
      <c r="G6663" s="33" t="s">
        <v>50</v>
      </c>
      <c r="H6663" s="35">
        <v>109</v>
      </c>
      <c r="I6663" s="33" t="s">
        <v>51</v>
      </c>
      <c r="J6663" s="42">
        <v>44408</v>
      </c>
      <c r="K6663" s="33" t="s">
        <v>22</v>
      </c>
    </row>
    <row r="6664" spans="1:11">
      <c r="A6664" s="30" t="s">
        <v>15569</v>
      </c>
      <c r="B6664" s="30" t="s">
        <v>15570</v>
      </c>
      <c r="C6664" s="30" t="s">
        <v>603</v>
      </c>
      <c r="D6664" s="30" t="s">
        <v>17</v>
      </c>
      <c r="E6664" s="30" t="s">
        <v>26</v>
      </c>
      <c r="F6664" s="30" t="s">
        <v>27</v>
      </c>
      <c r="G6664" s="30" t="s">
        <v>20</v>
      </c>
      <c r="H6664" s="32">
        <v>30</v>
      </c>
      <c r="I6664" s="30" t="s">
        <v>21</v>
      </c>
      <c r="J6664" s="41">
        <v>44273</v>
      </c>
      <c r="K6664" s="30" t="s">
        <v>22</v>
      </c>
    </row>
    <row r="6665" spans="1:11">
      <c r="A6665" s="33" t="s">
        <v>15571</v>
      </c>
      <c r="B6665" s="33" t="s">
        <v>15572</v>
      </c>
      <c r="C6665" s="33" t="s">
        <v>3964</v>
      </c>
      <c r="D6665" s="33" t="s">
        <v>17</v>
      </c>
      <c r="E6665" s="33" t="s">
        <v>31</v>
      </c>
      <c r="F6665" s="33" t="s">
        <v>32</v>
      </c>
      <c r="G6665" s="33" t="s">
        <v>50</v>
      </c>
      <c r="H6665" s="35">
        <v>100</v>
      </c>
      <c r="I6665" s="33" t="s">
        <v>51</v>
      </c>
      <c r="J6665" s="42">
        <v>44531</v>
      </c>
      <c r="K6665" s="33" t="s">
        <v>22</v>
      </c>
    </row>
    <row r="6666" spans="1:11">
      <c r="A6666" s="30" t="s">
        <v>15573</v>
      </c>
      <c r="B6666" s="30" t="s">
        <v>15574</v>
      </c>
      <c r="C6666" s="30" t="s">
        <v>4348</v>
      </c>
      <c r="D6666" s="30" t="s">
        <v>17</v>
      </c>
      <c r="E6666" s="30" t="s">
        <v>31</v>
      </c>
      <c r="F6666" s="30" t="s">
        <v>32</v>
      </c>
      <c r="G6666" s="30" t="s">
        <v>158</v>
      </c>
      <c r="H6666" s="32">
        <v>22</v>
      </c>
      <c r="I6666" s="30" t="s">
        <v>21</v>
      </c>
      <c r="J6666" s="41">
        <v>44543</v>
      </c>
      <c r="K6666" s="30" t="s">
        <v>22</v>
      </c>
    </row>
    <row r="6667" spans="1:11">
      <c r="A6667" s="33" t="s">
        <v>15575</v>
      </c>
      <c r="B6667" s="33" t="s">
        <v>15576</v>
      </c>
      <c r="C6667" s="33" t="s">
        <v>136</v>
      </c>
      <c r="D6667" s="33" t="s">
        <v>17</v>
      </c>
      <c r="E6667" s="33" t="s">
        <v>26</v>
      </c>
      <c r="F6667" s="33" t="s">
        <v>27</v>
      </c>
      <c r="G6667" s="33" t="s">
        <v>20</v>
      </c>
      <c r="H6667" s="35">
        <v>34</v>
      </c>
      <c r="I6667" s="33" t="s">
        <v>21</v>
      </c>
      <c r="J6667" s="42">
        <v>44505</v>
      </c>
      <c r="K6667" s="33" t="s">
        <v>22</v>
      </c>
    </row>
    <row r="6668" spans="1:11">
      <c r="A6668" s="30" t="s">
        <v>15577</v>
      </c>
      <c r="B6668" s="30" t="s">
        <v>15578</v>
      </c>
      <c r="C6668" s="30" t="s">
        <v>1090</v>
      </c>
      <c r="D6668" s="30" t="s">
        <v>17</v>
      </c>
      <c r="E6668" s="30" t="s">
        <v>31</v>
      </c>
      <c r="F6668" s="30" t="s">
        <v>32</v>
      </c>
      <c r="G6668" s="30" t="s">
        <v>50</v>
      </c>
      <c r="H6668" s="32">
        <v>38</v>
      </c>
      <c r="I6668" s="30" t="s">
        <v>51</v>
      </c>
      <c r="J6668" s="41">
        <v>44501</v>
      </c>
      <c r="K6668" s="30" t="s">
        <v>22</v>
      </c>
    </row>
    <row r="6669" spans="1:11">
      <c r="A6669" s="33" t="s">
        <v>15579</v>
      </c>
      <c r="B6669" s="33" t="s">
        <v>15580</v>
      </c>
      <c r="C6669" s="33" t="s">
        <v>1090</v>
      </c>
      <c r="D6669" s="33" t="s">
        <v>17</v>
      </c>
      <c r="E6669" s="33" t="s">
        <v>31</v>
      </c>
      <c r="F6669" s="33" t="s">
        <v>32</v>
      </c>
      <c r="G6669" s="33" t="s">
        <v>50</v>
      </c>
      <c r="H6669" s="35">
        <v>79</v>
      </c>
      <c r="I6669" s="33" t="s">
        <v>51</v>
      </c>
      <c r="J6669" s="42">
        <v>44470</v>
      </c>
      <c r="K6669" s="33" t="s">
        <v>22</v>
      </c>
    </row>
    <row r="6670" spans="1:11">
      <c r="A6670" s="30" t="s">
        <v>15581</v>
      </c>
      <c r="B6670" s="30" t="s">
        <v>15582</v>
      </c>
      <c r="C6670" s="30" t="s">
        <v>11145</v>
      </c>
      <c r="D6670" s="30" t="s">
        <v>17</v>
      </c>
      <c r="E6670" s="30" t="s">
        <v>212</v>
      </c>
      <c r="F6670" s="30" t="s">
        <v>213</v>
      </c>
      <c r="G6670" s="30" t="s">
        <v>20</v>
      </c>
      <c r="H6670" s="32">
        <v>54</v>
      </c>
      <c r="I6670" s="30" t="s">
        <v>21</v>
      </c>
      <c r="J6670" s="41">
        <v>44316</v>
      </c>
      <c r="K6670" s="30" t="s">
        <v>22</v>
      </c>
    </row>
    <row r="6671" spans="1:11">
      <c r="A6671" s="33" t="s">
        <v>15583</v>
      </c>
      <c r="B6671" s="33" t="s">
        <v>15584</v>
      </c>
      <c r="C6671" s="33" t="s">
        <v>15585</v>
      </c>
      <c r="D6671" s="33" t="s">
        <v>17</v>
      </c>
      <c r="E6671" s="33" t="s">
        <v>26</v>
      </c>
      <c r="F6671" s="33" t="s">
        <v>27</v>
      </c>
      <c r="G6671" s="33" t="s">
        <v>20</v>
      </c>
      <c r="H6671" s="35">
        <v>90</v>
      </c>
      <c r="I6671" s="33" t="s">
        <v>21</v>
      </c>
      <c r="J6671" s="42">
        <v>44536</v>
      </c>
      <c r="K6671" s="33" t="s">
        <v>22</v>
      </c>
    </row>
    <row r="6672" spans="1:11">
      <c r="A6672" s="30" t="s">
        <v>15586</v>
      </c>
      <c r="B6672" s="30" t="s">
        <v>15587</v>
      </c>
      <c r="C6672" s="30" t="s">
        <v>3775</v>
      </c>
      <c r="D6672" s="30" t="s">
        <v>17</v>
      </c>
      <c r="E6672" s="30" t="s">
        <v>18</v>
      </c>
      <c r="F6672" s="30" t="s">
        <v>19</v>
      </c>
      <c r="G6672" s="30" t="s">
        <v>20</v>
      </c>
      <c r="H6672" s="32">
        <v>378</v>
      </c>
      <c r="I6672" s="30" t="s">
        <v>21</v>
      </c>
      <c r="J6672" s="41">
        <v>44344</v>
      </c>
      <c r="K6672" s="30" t="s">
        <v>22</v>
      </c>
    </row>
    <row r="6673" spans="1:11">
      <c r="A6673" s="33" t="s">
        <v>15588</v>
      </c>
      <c r="B6673" s="33" t="s">
        <v>15589</v>
      </c>
      <c r="C6673" s="33" t="s">
        <v>429</v>
      </c>
      <c r="D6673" s="33" t="s">
        <v>17</v>
      </c>
      <c r="E6673" s="33" t="s">
        <v>26</v>
      </c>
      <c r="F6673" s="33" t="s">
        <v>27</v>
      </c>
      <c r="G6673" s="33" t="s">
        <v>20</v>
      </c>
      <c r="H6673" s="35">
        <v>18</v>
      </c>
      <c r="I6673" s="33" t="s">
        <v>21</v>
      </c>
      <c r="J6673" s="42">
        <v>44545</v>
      </c>
      <c r="K6673" s="33" t="s">
        <v>22</v>
      </c>
    </row>
    <row r="6674" spans="1:11">
      <c r="A6674" s="30" t="s">
        <v>15590</v>
      </c>
      <c r="B6674" s="30" t="s">
        <v>15591</v>
      </c>
      <c r="C6674" s="30" t="s">
        <v>118</v>
      </c>
      <c r="D6674" s="30" t="s">
        <v>17</v>
      </c>
      <c r="E6674" s="30" t="s">
        <v>26</v>
      </c>
      <c r="F6674" s="30" t="s">
        <v>27</v>
      </c>
      <c r="G6674" s="30" t="s">
        <v>20</v>
      </c>
      <c r="H6674" s="32">
        <v>36</v>
      </c>
      <c r="I6674" s="30" t="s">
        <v>21</v>
      </c>
      <c r="J6674" s="41">
        <v>44327</v>
      </c>
      <c r="K6674" s="30" t="s">
        <v>22</v>
      </c>
    </row>
    <row r="6675" spans="1:11">
      <c r="A6675" s="33" t="s">
        <v>15592</v>
      </c>
      <c r="B6675" s="33" t="s">
        <v>15593</v>
      </c>
      <c r="C6675" s="33" t="s">
        <v>450</v>
      </c>
      <c r="D6675" s="33" t="s">
        <v>17</v>
      </c>
      <c r="E6675" s="33" t="s">
        <v>31</v>
      </c>
      <c r="F6675" s="33" t="s">
        <v>32</v>
      </c>
      <c r="G6675" s="33" t="s">
        <v>106</v>
      </c>
      <c r="H6675" s="35">
        <v>365</v>
      </c>
      <c r="I6675" s="33" t="s">
        <v>21</v>
      </c>
      <c r="J6675" s="42">
        <v>44431</v>
      </c>
      <c r="K6675" s="33" t="s">
        <v>22</v>
      </c>
    </row>
    <row r="6676" spans="1:11">
      <c r="A6676" s="30" t="s">
        <v>15594</v>
      </c>
      <c r="B6676" s="30" t="s">
        <v>15595</v>
      </c>
      <c r="C6676" s="30" t="s">
        <v>15596</v>
      </c>
      <c r="D6676" s="30" t="s">
        <v>17</v>
      </c>
      <c r="E6676" s="30" t="s">
        <v>18</v>
      </c>
      <c r="F6676" s="30" t="s">
        <v>19</v>
      </c>
      <c r="G6676" s="30" t="s">
        <v>20</v>
      </c>
      <c r="H6676" s="32">
        <v>399</v>
      </c>
      <c r="I6676" s="30" t="s">
        <v>21</v>
      </c>
      <c r="J6676" s="41">
        <v>44463</v>
      </c>
      <c r="K6676" s="30" t="s">
        <v>22</v>
      </c>
    </row>
    <row r="6677" spans="1:11">
      <c r="A6677" s="33" t="s">
        <v>15597</v>
      </c>
      <c r="B6677" s="33" t="s">
        <v>15598</v>
      </c>
      <c r="C6677" s="33" t="s">
        <v>190</v>
      </c>
      <c r="D6677" s="33" t="s">
        <v>17</v>
      </c>
      <c r="E6677" s="33" t="s">
        <v>18</v>
      </c>
      <c r="F6677" s="33" t="s">
        <v>19</v>
      </c>
      <c r="G6677" s="33" t="s">
        <v>20</v>
      </c>
      <c r="H6677" s="35">
        <v>2187</v>
      </c>
      <c r="I6677" s="33" t="s">
        <v>21</v>
      </c>
      <c r="J6677" s="42">
        <v>44256</v>
      </c>
      <c r="K6677" s="33" t="s">
        <v>22</v>
      </c>
    </row>
    <row r="6678" spans="1:11">
      <c r="A6678" s="30" t="s">
        <v>15599</v>
      </c>
      <c r="B6678" s="30" t="s">
        <v>15600</v>
      </c>
      <c r="C6678" s="30" t="s">
        <v>2446</v>
      </c>
      <c r="D6678" s="30" t="s">
        <v>17</v>
      </c>
      <c r="E6678" s="30" t="s">
        <v>67</v>
      </c>
      <c r="F6678" s="30" t="s">
        <v>68</v>
      </c>
      <c r="G6678" s="30" t="s">
        <v>112</v>
      </c>
      <c r="H6678" s="32">
        <v>0</v>
      </c>
      <c r="I6678" s="30" t="s">
        <v>21</v>
      </c>
      <c r="J6678" s="41">
        <v>44552</v>
      </c>
      <c r="K6678" s="30" t="s">
        <v>22</v>
      </c>
    </row>
    <row r="6679" spans="1:11">
      <c r="A6679" s="33" t="s">
        <v>15601</v>
      </c>
      <c r="B6679" s="33" t="s">
        <v>15602</v>
      </c>
      <c r="C6679" s="33" t="s">
        <v>387</v>
      </c>
      <c r="D6679" s="33" t="s">
        <v>17</v>
      </c>
      <c r="E6679" s="33" t="s">
        <v>26</v>
      </c>
      <c r="F6679" s="33" t="s">
        <v>27</v>
      </c>
      <c r="G6679" s="33" t="s">
        <v>20</v>
      </c>
      <c r="H6679" s="35">
        <v>30</v>
      </c>
      <c r="I6679" s="33" t="s">
        <v>21</v>
      </c>
      <c r="J6679" s="42">
        <v>44501</v>
      </c>
      <c r="K6679" s="33" t="s">
        <v>22</v>
      </c>
    </row>
    <row r="6680" spans="1:11">
      <c r="A6680" s="30" t="s">
        <v>15603</v>
      </c>
      <c r="B6680" s="30" t="s">
        <v>15604</v>
      </c>
      <c r="C6680" s="30" t="s">
        <v>102</v>
      </c>
      <c r="D6680" s="30" t="s">
        <v>17</v>
      </c>
      <c r="E6680" s="30" t="s">
        <v>26</v>
      </c>
      <c r="F6680" s="30" t="s">
        <v>27</v>
      </c>
      <c r="G6680" s="30" t="s">
        <v>20</v>
      </c>
      <c r="H6680" s="32">
        <v>43</v>
      </c>
      <c r="I6680" s="30" t="s">
        <v>21</v>
      </c>
      <c r="J6680" s="41">
        <v>44209</v>
      </c>
      <c r="K6680" s="30" t="s">
        <v>22</v>
      </c>
    </row>
    <row r="6681" spans="1:11">
      <c r="A6681" s="33" t="s">
        <v>15605</v>
      </c>
      <c r="B6681" s="33" t="s">
        <v>15606</v>
      </c>
      <c r="C6681" s="33" t="s">
        <v>647</v>
      </c>
      <c r="D6681" s="33" t="s">
        <v>17</v>
      </c>
      <c r="E6681" s="33" t="s">
        <v>18</v>
      </c>
      <c r="F6681" s="33" t="s">
        <v>19</v>
      </c>
      <c r="G6681" s="33" t="s">
        <v>20</v>
      </c>
      <c r="H6681" s="35">
        <v>1264</v>
      </c>
      <c r="I6681" s="33" t="s">
        <v>21</v>
      </c>
      <c r="J6681" s="42">
        <v>44293</v>
      </c>
      <c r="K6681" s="33" t="s">
        <v>22</v>
      </c>
    </row>
    <row r="6682" spans="1:11">
      <c r="A6682" s="30" t="s">
        <v>15607</v>
      </c>
      <c r="B6682" s="30" t="s">
        <v>15608</v>
      </c>
      <c r="C6682" s="30" t="s">
        <v>15609</v>
      </c>
      <c r="D6682" s="30" t="s">
        <v>17</v>
      </c>
      <c r="E6682" s="30" t="s">
        <v>26</v>
      </c>
      <c r="F6682" s="30" t="s">
        <v>27</v>
      </c>
      <c r="G6682" s="30" t="s">
        <v>20</v>
      </c>
      <c r="H6682" s="32">
        <v>31</v>
      </c>
      <c r="I6682" s="30" t="s">
        <v>21</v>
      </c>
      <c r="J6682" s="41">
        <v>44263</v>
      </c>
      <c r="K6682" s="30" t="s">
        <v>22</v>
      </c>
    </row>
    <row r="6683" spans="1:11">
      <c r="A6683" s="33" t="s">
        <v>15610</v>
      </c>
      <c r="B6683" s="33" t="s">
        <v>15611</v>
      </c>
      <c r="C6683" s="33" t="s">
        <v>15612</v>
      </c>
      <c r="D6683" s="33" t="s">
        <v>17</v>
      </c>
      <c r="E6683" s="33" t="s">
        <v>212</v>
      </c>
      <c r="F6683" s="33" t="s">
        <v>213</v>
      </c>
      <c r="G6683" s="33" t="s">
        <v>20</v>
      </c>
      <c r="H6683" s="35">
        <v>75</v>
      </c>
      <c r="I6683" s="33" t="s">
        <v>21</v>
      </c>
      <c r="J6683" s="42">
        <v>44440</v>
      </c>
      <c r="K6683" s="33" t="s">
        <v>22</v>
      </c>
    </row>
    <row r="6684" spans="1:11">
      <c r="A6684" s="30" t="s">
        <v>15613</v>
      </c>
      <c r="B6684" s="30" t="s">
        <v>15614</v>
      </c>
      <c r="C6684" s="30" t="s">
        <v>109</v>
      </c>
      <c r="D6684" s="30" t="s">
        <v>17</v>
      </c>
      <c r="E6684" s="30" t="s">
        <v>31</v>
      </c>
      <c r="F6684" s="30" t="s">
        <v>32</v>
      </c>
      <c r="G6684" s="30" t="s">
        <v>20</v>
      </c>
      <c r="H6684" s="32">
        <v>84</v>
      </c>
      <c r="I6684" s="30" t="s">
        <v>21</v>
      </c>
      <c r="J6684" s="41">
        <v>44536</v>
      </c>
      <c r="K6684" s="30" t="s">
        <v>22</v>
      </c>
    </row>
    <row r="6685" spans="1:11">
      <c r="A6685" s="33" t="s">
        <v>15615</v>
      </c>
      <c r="B6685" s="33" t="s">
        <v>15616</v>
      </c>
      <c r="C6685" s="33" t="s">
        <v>8931</v>
      </c>
      <c r="D6685" s="33" t="s">
        <v>17</v>
      </c>
      <c r="E6685" s="33" t="s">
        <v>31</v>
      </c>
      <c r="F6685" s="33" t="s">
        <v>32</v>
      </c>
      <c r="G6685" s="33" t="s">
        <v>106</v>
      </c>
      <c r="H6685" s="35">
        <v>1</v>
      </c>
      <c r="I6685" s="33" t="s">
        <v>21</v>
      </c>
      <c r="J6685" s="42">
        <v>44406</v>
      </c>
      <c r="K6685" s="33" t="s">
        <v>22</v>
      </c>
    </row>
    <row r="6686" spans="1:11">
      <c r="A6686" s="30" t="s">
        <v>15617</v>
      </c>
      <c r="B6686" s="30" t="s">
        <v>15618</v>
      </c>
      <c r="C6686" s="30" t="s">
        <v>15619</v>
      </c>
      <c r="D6686" s="30" t="s">
        <v>17</v>
      </c>
      <c r="E6686" s="30" t="s">
        <v>31</v>
      </c>
      <c r="F6686" s="30" t="s">
        <v>32</v>
      </c>
      <c r="G6686" s="30" t="s">
        <v>20</v>
      </c>
      <c r="H6686" s="32">
        <v>132</v>
      </c>
      <c r="I6686" s="30" t="s">
        <v>21</v>
      </c>
      <c r="J6686" s="41">
        <v>44488</v>
      </c>
      <c r="K6686" s="30" t="s">
        <v>22</v>
      </c>
    </row>
    <row r="6687" spans="1:11">
      <c r="A6687" s="33" t="s">
        <v>15620</v>
      </c>
      <c r="B6687" s="33" t="s">
        <v>15621</v>
      </c>
      <c r="C6687" s="33" t="s">
        <v>15622</v>
      </c>
      <c r="D6687" s="33" t="s">
        <v>17</v>
      </c>
      <c r="E6687" s="33" t="s">
        <v>67</v>
      </c>
      <c r="F6687" s="33" t="s">
        <v>68</v>
      </c>
      <c r="G6687" s="33" t="s">
        <v>106</v>
      </c>
      <c r="H6687" s="35">
        <v>46</v>
      </c>
      <c r="I6687" s="33" t="s">
        <v>21</v>
      </c>
      <c r="J6687" s="42">
        <v>44447</v>
      </c>
      <c r="K6687" s="33" t="s">
        <v>22</v>
      </c>
    </row>
    <row r="6688" spans="1:11">
      <c r="A6688" s="30" t="s">
        <v>15623</v>
      </c>
      <c r="B6688" s="30" t="s">
        <v>15624</v>
      </c>
      <c r="C6688" s="30" t="s">
        <v>1598</v>
      </c>
      <c r="D6688" s="30" t="s">
        <v>17</v>
      </c>
      <c r="E6688" s="30" t="s">
        <v>18</v>
      </c>
      <c r="F6688" s="30" t="s">
        <v>19</v>
      </c>
      <c r="G6688" s="30" t="s">
        <v>106</v>
      </c>
      <c r="H6688" s="32">
        <v>36</v>
      </c>
      <c r="I6688" s="30" t="s">
        <v>21</v>
      </c>
      <c r="J6688" s="41">
        <v>44265</v>
      </c>
      <c r="K6688" s="30" t="s">
        <v>22</v>
      </c>
    </row>
    <row r="6689" spans="1:11">
      <c r="A6689" s="33" t="s">
        <v>15625</v>
      </c>
      <c r="B6689" s="33" t="s">
        <v>15626</v>
      </c>
      <c r="C6689" s="33" t="s">
        <v>762</v>
      </c>
      <c r="D6689" s="33" t="s">
        <v>17</v>
      </c>
      <c r="E6689" s="33" t="s">
        <v>212</v>
      </c>
      <c r="F6689" s="33" t="s">
        <v>213</v>
      </c>
      <c r="G6689" s="33" t="s">
        <v>20</v>
      </c>
      <c r="H6689" s="35">
        <v>200</v>
      </c>
      <c r="I6689" s="33" t="s">
        <v>21</v>
      </c>
      <c r="J6689" s="42">
        <v>44424</v>
      </c>
      <c r="K6689" s="33" t="s">
        <v>22</v>
      </c>
    </row>
    <row r="6690" spans="1:11">
      <c r="A6690" s="30" t="s">
        <v>15627</v>
      </c>
      <c r="B6690" s="30" t="s">
        <v>15628</v>
      </c>
      <c r="C6690" s="30" t="s">
        <v>747</v>
      </c>
      <c r="D6690" s="30" t="s">
        <v>17</v>
      </c>
      <c r="E6690" s="30" t="s">
        <v>26</v>
      </c>
      <c r="F6690" s="30" t="s">
        <v>27</v>
      </c>
      <c r="G6690" s="30" t="s">
        <v>50</v>
      </c>
      <c r="H6690" s="32">
        <v>48</v>
      </c>
      <c r="I6690" s="30" t="s">
        <v>51</v>
      </c>
      <c r="J6690" s="41">
        <v>44377</v>
      </c>
      <c r="K6690" s="30" t="s">
        <v>22</v>
      </c>
    </row>
    <row r="6691" spans="1:11">
      <c r="A6691" s="33" t="s">
        <v>15629</v>
      </c>
      <c r="B6691" s="33" t="s">
        <v>15630</v>
      </c>
      <c r="C6691" s="33" t="s">
        <v>1305</v>
      </c>
      <c r="D6691" s="33" t="s">
        <v>17</v>
      </c>
      <c r="E6691" s="33" t="s">
        <v>26</v>
      </c>
      <c r="F6691" s="33" t="s">
        <v>27</v>
      </c>
      <c r="G6691" s="33" t="s">
        <v>106</v>
      </c>
      <c r="H6691" s="35">
        <v>56</v>
      </c>
      <c r="I6691" s="33" t="s">
        <v>21</v>
      </c>
      <c r="J6691" s="42">
        <v>44237</v>
      </c>
      <c r="K6691" s="33" t="s">
        <v>22</v>
      </c>
    </row>
    <row r="6692" spans="1:11">
      <c r="A6692" s="30" t="s">
        <v>15631</v>
      </c>
      <c r="B6692" s="30" t="s">
        <v>15632</v>
      </c>
      <c r="C6692" s="30" t="s">
        <v>75</v>
      </c>
      <c r="D6692" s="30" t="s">
        <v>17</v>
      </c>
      <c r="E6692" s="30" t="s">
        <v>26</v>
      </c>
      <c r="F6692" s="30" t="s">
        <v>27</v>
      </c>
      <c r="G6692" s="30" t="s">
        <v>20</v>
      </c>
      <c r="H6692" s="32">
        <v>23</v>
      </c>
      <c r="I6692" s="30" t="s">
        <v>21</v>
      </c>
      <c r="J6692" s="41">
        <v>44392</v>
      </c>
      <c r="K6692" s="30" t="s">
        <v>22</v>
      </c>
    </row>
    <row r="6693" spans="1:11">
      <c r="A6693" s="33" t="s">
        <v>15633</v>
      </c>
      <c r="B6693" s="33" t="s">
        <v>15634</v>
      </c>
      <c r="C6693" s="33" t="s">
        <v>399</v>
      </c>
      <c r="D6693" s="33" t="s">
        <v>17</v>
      </c>
      <c r="E6693" s="33" t="s">
        <v>31</v>
      </c>
      <c r="F6693" s="33" t="s">
        <v>32</v>
      </c>
      <c r="G6693" s="33" t="s">
        <v>20</v>
      </c>
      <c r="H6693" s="35">
        <v>147</v>
      </c>
      <c r="I6693" s="33" t="s">
        <v>21</v>
      </c>
      <c r="J6693" s="42">
        <v>44552</v>
      </c>
      <c r="K6693" s="33" t="s">
        <v>22</v>
      </c>
    </row>
    <row r="6694" spans="1:11">
      <c r="A6694" s="30" t="s">
        <v>15635</v>
      </c>
      <c r="B6694" s="30" t="s">
        <v>15636</v>
      </c>
      <c r="C6694" s="30" t="s">
        <v>9885</v>
      </c>
      <c r="D6694" s="30" t="s">
        <v>17</v>
      </c>
      <c r="E6694" s="30" t="s">
        <v>45</v>
      </c>
      <c r="F6694" s="30" t="s">
        <v>46</v>
      </c>
      <c r="G6694" s="30" t="s">
        <v>20</v>
      </c>
      <c r="H6694" s="32">
        <v>26</v>
      </c>
      <c r="I6694" s="30" t="s">
        <v>21</v>
      </c>
      <c r="J6694" s="41">
        <v>44211</v>
      </c>
      <c r="K6694" s="30" t="s">
        <v>22</v>
      </c>
    </row>
    <row r="6695" spans="1:11">
      <c r="A6695" s="33" t="s">
        <v>15637</v>
      </c>
      <c r="B6695" s="33" t="s">
        <v>15638</v>
      </c>
      <c r="C6695" s="33" t="s">
        <v>15639</v>
      </c>
      <c r="D6695" s="33" t="s">
        <v>17</v>
      </c>
      <c r="E6695" s="33" t="s">
        <v>31</v>
      </c>
      <c r="F6695" s="33" t="s">
        <v>32</v>
      </c>
      <c r="G6695" s="33" t="s">
        <v>20</v>
      </c>
      <c r="H6695" s="35">
        <v>40</v>
      </c>
      <c r="I6695" s="33" t="s">
        <v>21</v>
      </c>
      <c r="J6695" s="42">
        <v>44207</v>
      </c>
      <c r="K6695" s="33" t="s">
        <v>22</v>
      </c>
    </row>
    <row r="6696" spans="1:11">
      <c r="A6696" s="30" t="s">
        <v>15640</v>
      </c>
      <c r="B6696" s="30" t="s">
        <v>15641</v>
      </c>
      <c r="C6696" s="30" t="s">
        <v>231</v>
      </c>
      <c r="D6696" s="30" t="s">
        <v>17</v>
      </c>
      <c r="E6696" s="30" t="s">
        <v>26</v>
      </c>
      <c r="F6696" s="30" t="s">
        <v>27</v>
      </c>
      <c r="G6696" s="30" t="s">
        <v>20</v>
      </c>
      <c r="H6696" s="32">
        <v>15</v>
      </c>
      <c r="I6696" s="30" t="s">
        <v>21</v>
      </c>
      <c r="J6696" s="41">
        <v>44270</v>
      </c>
      <c r="K6696" s="30" t="s">
        <v>22</v>
      </c>
    </row>
    <row r="6697" spans="1:11">
      <c r="A6697" s="33" t="s">
        <v>15642</v>
      </c>
      <c r="B6697" s="33" t="s">
        <v>15643</v>
      </c>
      <c r="C6697" s="33" t="s">
        <v>2609</v>
      </c>
      <c r="D6697" s="33" t="s">
        <v>17</v>
      </c>
      <c r="E6697" s="33" t="s">
        <v>31</v>
      </c>
      <c r="F6697" s="33" t="s">
        <v>32</v>
      </c>
      <c r="G6697" s="33" t="s">
        <v>106</v>
      </c>
      <c r="H6697" s="35">
        <v>141</v>
      </c>
      <c r="I6697" s="33" t="s">
        <v>21</v>
      </c>
      <c r="J6697" s="42">
        <v>44208</v>
      </c>
      <c r="K6697" s="33" t="s">
        <v>22</v>
      </c>
    </row>
    <row r="6698" spans="1:11">
      <c r="A6698" s="30" t="s">
        <v>15644</v>
      </c>
      <c r="B6698" s="30" t="s">
        <v>15645</v>
      </c>
      <c r="C6698" s="30" t="s">
        <v>1207</v>
      </c>
      <c r="D6698" s="30" t="s">
        <v>17</v>
      </c>
      <c r="E6698" s="30" t="s">
        <v>26</v>
      </c>
      <c r="F6698" s="30" t="s">
        <v>27</v>
      </c>
      <c r="G6698" s="30" t="s">
        <v>20</v>
      </c>
      <c r="H6698" s="32">
        <v>9</v>
      </c>
      <c r="I6698" s="30" t="s">
        <v>21</v>
      </c>
      <c r="J6698" s="41">
        <v>44329</v>
      </c>
      <c r="K6698" s="30" t="s">
        <v>22</v>
      </c>
    </row>
    <row r="6699" spans="1:11">
      <c r="A6699" s="33" t="s">
        <v>15646</v>
      </c>
      <c r="B6699" s="33" t="s">
        <v>15647</v>
      </c>
      <c r="C6699" s="33" t="s">
        <v>1313</v>
      </c>
      <c r="D6699" s="33" t="s">
        <v>17</v>
      </c>
      <c r="E6699" s="33" t="s">
        <v>31</v>
      </c>
      <c r="F6699" s="33" t="s">
        <v>32</v>
      </c>
      <c r="G6699" s="33" t="s">
        <v>106</v>
      </c>
      <c r="H6699" s="35">
        <v>179</v>
      </c>
      <c r="I6699" s="33" t="s">
        <v>21</v>
      </c>
      <c r="J6699" s="42">
        <v>44393</v>
      </c>
      <c r="K6699" s="33" t="s">
        <v>22</v>
      </c>
    </row>
    <row r="6700" spans="1:11">
      <c r="A6700" s="30" t="s">
        <v>15648</v>
      </c>
      <c r="B6700" s="30" t="s">
        <v>15649</v>
      </c>
      <c r="C6700" s="30" t="s">
        <v>15650</v>
      </c>
      <c r="D6700" s="30" t="s">
        <v>17</v>
      </c>
      <c r="E6700" s="30" t="s">
        <v>26</v>
      </c>
      <c r="F6700" s="30" t="s">
        <v>27</v>
      </c>
      <c r="G6700" s="30" t="s">
        <v>20</v>
      </c>
      <c r="H6700" s="32">
        <v>32</v>
      </c>
      <c r="I6700" s="30" t="s">
        <v>21</v>
      </c>
      <c r="J6700" s="41">
        <v>44393</v>
      </c>
      <c r="K6700" s="30" t="s">
        <v>22</v>
      </c>
    </row>
    <row r="6701" spans="1:11">
      <c r="A6701" s="33" t="s">
        <v>15651</v>
      </c>
      <c r="B6701" s="33" t="s">
        <v>15652</v>
      </c>
      <c r="C6701" s="33" t="s">
        <v>109</v>
      </c>
      <c r="D6701" s="33" t="s">
        <v>17</v>
      </c>
      <c r="E6701" s="33" t="s">
        <v>18</v>
      </c>
      <c r="F6701" s="33" t="s">
        <v>19</v>
      </c>
      <c r="G6701" s="33" t="s">
        <v>20</v>
      </c>
      <c r="H6701" s="35">
        <v>400</v>
      </c>
      <c r="I6701" s="33" t="s">
        <v>21</v>
      </c>
      <c r="J6701" s="42">
        <v>44371</v>
      </c>
      <c r="K6701" s="33" t="s">
        <v>22</v>
      </c>
    </row>
    <row r="6702" spans="1:11">
      <c r="A6702" s="30" t="s">
        <v>15653</v>
      </c>
      <c r="B6702" s="30" t="s">
        <v>15654</v>
      </c>
      <c r="C6702" s="30" t="s">
        <v>12879</v>
      </c>
      <c r="D6702" s="30" t="s">
        <v>17</v>
      </c>
      <c r="E6702" s="30" t="s">
        <v>31</v>
      </c>
      <c r="F6702" s="30" t="s">
        <v>32</v>
      </c>
      <c r="G6702" s="30" t="s">
        <v>106</v>
      </c>
      <c r="H6702" s="32">
        <v>21</v>
      </c>
      <c r="I6702" s="30" t="s">
        <v>21</v>
      </c>
      <c r="J6702" s="41">
        <v>44455</v>
      </c>
      <c r="K6702" s="30" t="s">
        <v>22</v>
      </c>
    </row>
    <row r="6703" spans="1:11">
      <c r="A6703" s="33" t="s">
        <v>15655</v>
      </c>
      <c r="B6703" s="33" t="s">
        <v>15656</v>
      </c>
      <c r="C6703" s="33" t="s">
        <v>7227</v>
      </c>
      <c r="D6703" s="33" t="s">
        <v>17</v>
      </c>
      <c r="E6703" s="33" t="s">
        <v>18</v>
      </c>
      <c r="F6703" s="33" t="s">
        <v>19</v>
      </c>
      <c r="G6703" s="33" t="s">
        <v>20</v>
      </c>
      <c r="H6703" s="35">
        <v>34</v>
      </c>
      <c r="I6703" s="33" t="s">
        <v>21</v>
      </c>
      <c r="J6703" s="42">
        <v>44277</v>
      </c>
      <c r="K6703" s="33" t="s">
        <v>22</v>
      </c>
    </row>
    <row r="6704" spans="1:11">
      <c r="A6704" s="30" t="s">
        <v>15657</v>
      </c>
      <c r="B6704" s="30" t="s">
        <v>15658</v>
      </c>
      <c r="C6704" s="30" t="s">
        <v>15659</v>
      </c>
      <c r="D6704" s="30" t="s">
        <v>17</v>
      </c>
      <c r="E6704" s="30" t="s">
        <v>26</v>
      </c>
      <c r="F6704" s="30" t="s">
        <v>27</v>
      </c>
      <c r="G6704" s="30" t="s">
        <v>20</v>
      </c>
      <c r="H6704" s="32">
        <v>19</v>
      </c>
      <c r="I6704" s="30" t="s">
        <v>21</v>
      </c>
      <c r="J6704" s="41">
        <v>44341</v>
      </c>
      <c r="K6704" s="30" t="s">
        <v>22</v>
      </c>
    </row>
    <row r="6705" spans="1:11">
      <c r="A6705" s="33" t="s">
        <v>15660</v>
      </c>
      <c r="B6705" s="33" t="s">
        <v>15661</v>
      </c>
      <c r="C6705" s="33" t="s">
        <v>276</v>
      </c>
      <c r="D6705" s="33" t="s">
        <v>17</v>
      </c>
      <c r="E6705" s="33" t="s">
        <v>31</v>
      </c>
      <c r="F6705" s="33" t="s">
        <v>32</v>
      </c>
      <c r="G6705" s="33" t="s">
        <v>20</v>
      </c>
      <c r="H6705" s="35">
        <v>12</v>
      </c>
      <c r="I6705" s="33" t="s">
        <v>21</v>
      </c>
      <c r="J6705" s="42">
        <v>44287</v>
      </c>
      <c r="K6705" s="33" t="s">
        <v>22</v>
      </c>
    </row>
    <row r="6706" spans="1:11">
      <c r="A6706" s="30" t="s">
        <v>15662</v>
      </c>
      <c r="B6706" s="30" t="s">
        <v>15663</v>
      </c>
      <c r="C6706" s="30" t="s">
        <v>15664</v>
      </c>
      <c r="D6706" s="30" t="s">
        <v>17</v>
      </c>
      <c r="E6706" s="30" t="s">
        <v>26</v>
      </c>
      <c r="F6706" s="30" t="s">
        <v>27</v>
      </c>
      <c r="G6706" s="30" t="s">
        <v>106</v>
      </c>
      <c r="H6706" s="32">
        <v>5</v>
      </c>
      <c r="I6706" s="30" t="s">
        <v>21</v>
      </c>
      <c r="J6706" s="41">
        <v>44425</v>
      </c>
      <c r="K6706" s="30" t="s">
        <v>22</v>
      </c>
    </row>
    <row r="6707" spans="1:11">
      <c r="A6707" s="33" t="s">
        <v>15665</v>
      </c>
      <c r="B6707" s="33" t="s">
        <v>15666</v>
      </c>
      <c r="C6707" s="33" t="s">
        <v>15408</v>
      </c>
      <c r="D6707" s="33" t="s">
        <v>17</v>
      </c>
      <c r="E6707" s="33" t="s">
        <v>18</v>
      </c>
      <c r="F6707" s="33" t="s">
        <v>19</v>
      </c>
      <c r="G6707" s="33" t="s">
        <v>106</v>
      </c>
      <c r="H6707" s="35">
        <v>8</v>
      </c>
      <c r="I6707" s="33" t="s">
        <v>21</v>
      </c>
      <c r="J6707" s="42">
        <v>44425</v>
      </c>
      <c r="K6707" s="33" t="s">
        <v>22</v>
      </c>
    </row>
    <row r="6708" spans="1:11">
      <c r="A6708" s="30" t="s">
        <v>15667</v>
      </c>
      <c r="B6708" s="30" t="s">
        <v>15668</v>
      </c>
      <c r="C6708" s="30" t="s">
        <v>13290</v>
      </c>
      <c r="D6708" s="30" t="s">
        <v>17</v>
      </c>
      <c r="E6708" s="30" t="s">
        <v>26</v>
      </c>
      <c r="F6708" s="30" t="s">
        <v>27</v>
      </c>
      <c r="G6708" s="30" t="s">
        <v>106</v>
      </c>
      <c r="H6708" s="32">
        <v>23</v>
      </c>
      <c r="I6708" s="30" t="s">
        <v>21</v>
      </c>
      <c r="J6708" s="41">
        <v>44449</v>
      </c>
      <c r="K6708" s="30" t="s">
        <v>22</v>
      </c>
    </row>
    <row r="6709" spans="1:11">
      <c r="A6709" s="33" t="s">
        <v>15669</v>
      </c>
      <c r="B6709" s="33" t="s">
        <v>15670</v>
      </c>
      <c r="C6709" s="33" t="s">
        <v>15671</v>
      </c>
      <c r="D6709" s="33" t="s">
        <v>17</v>
      </c>
      <c r="E6709" s="33" t="s">
        <v>26</v>
      </c>
      <c r="F6709" s="33" t="s">
        <v>27</v>
      </c>
      <c r="G6709" s="33" t="s">
        <v>20</v>
      </c>
      <c r="H6709" s="35">
        <v>35</v>
      </c>
      <c r="I6709" s="33" t="s">
        <v>21</v>
      </c>
      <c r="J6709" s="42">
        <v>44397</v>
      </c>
      <c r="K6709" s="33" t="s">
        <v>22</v>
      </c>
    </row>
    <row r="6710" spans="1:11">
      <c r="A6710" s="30" t="s">
        <v>15672</v>
      </c>
      <c r="B6710" s="30" t="s">
        <v>15673</v>
      </c>
      <c r="C6710" s="30" t="s">
        <v>231</v>
      </c>
      <c r="D6710" s="30" t="s">
        <v>17</v>
      </c>
      <c r="E6710" s="30" t="s">
        <v>18</v>
      </c>
      <c r="F6710" s="30" t="s">
        <v>19</v>
      </c>
      <c r="G6710" s="30" t="s">
        <v>20</v>
      </c>
      <c r="H6710" s="32">
        <v>1489</v>
      </c>
      <c r="I6710" s="30" t="s">
        <v>21</v>
      </c>
      <c r="J6710" s="41">
        <v>44369</v>
      </c>
      <c r="K6710" s="30" t="s">
        <v>22</v>
      </c>
    </row>
    <row r="6711" spans="1:11">
      <c r="A6711" s="33" t="s">
        <v>15674</v>
      </c>
      <c r="B6711" s="33" t="s">
        <v>15675</v>
      </c>
      <c r="C6711" s="33" t="s">
        <v>15676</v>
      </c>
      <c r="D6711" s="33" t="s">
        <v>17</v>
      </c>
      <c r="E6711" s="33" t="s">
        <v>31</v>
      </c>
      <c r="F6711" s="33" t="s">
        <v>32</v>
      </c>
      <c r="G6711" s="33" t="s">
        <v>106</v>
      </c>
      <c r="H6711" s="35">
        <v>26</v>
      </c>
      <c r="I6711" s="33" t="s">
        <v>21</v>
      </c>
      <c r="J6711" s="42">
        <v>44270</v>
      </c>
      <c r="K6711" s="33" t="s">
        <v>22</v>
      </c>
    </row>
    <row r="6712" spans="1:11">
      <c r="A6712" s="30" t="s">
        <v>15677</v>
      </c>
      <c r="B6712" s="30" t="s">
        <v>15678</v>
      </c>
      <c r="C6712" s="30" t="s">
        <v>102</v>
      </c>
      <c r="D6712" s="30" t="s">
        <v>17</v>
      </c>
      <c r="E6712" s="30" t="s">
        <v>212</v>
      </c>
      <c r="F6712" s="30" t="s">
        <v>213</v>
      </c>
      <c r="G6712" s="30" t="s">
        <v>20</v>
      </c>
      <c r="H6712" s="32">
        <v>327</v>
      </c>
      <c r="I6712" s="30" t="s">
        <v>21</v>
      </c>
      <c r="J6712" s="41">
        <v>44433</v>
      </c>
      <c r="K6712" s="30" t="s">
        <v>22</v>
      </c>
    </row>
    <row r="6713" spans="1:11">
      <c r="A6713" s="33" t="s">
        <v>15679</v>
      </c>
      <c r="B6713" s="33" t="s">
        <v>15680</v>
      </c>
      <c r="C6713" s="33" t="s">
        <v>15681</v>
      </c>
      <c r="D6713" s="33" t="s">
        <v>17</v>
      </c>
      <c r="E6713" s="33" t="s">
        <v>18</v>
      </c>
      <c r="F6713" s="33" t="s">
        <v>19</v>
      </c>
      <c r="G6713" s="33" t="s">
        <v>20</v>
      </c>
      <c r="H6713" s="35">
        <v>336</v>
      </c>
      <c r="I6713" s="33" t="s">
        <v>21</v>
      </c>
      <c r="J6713" s="42">
        <v>44558</v>
      </c>
      <c r="K6713" s="33" t="s">
        <v>22</v>
      </c>
    </row>
    <row r="6714" spans="1:11">
      <c r="A6714" s="30" t="s">
        <v>15682</v>
      </c>
      <c r="B6714" s="30" t="s">
        <v>15683</v>
      </c>
      <c r="C6714" s="30" t="s">
        <v>15684</v>
      </c>
      <c r="D6714" s="30" t="s">
        <v>17</v>
      </c>
      <c r="E6714" s="30" t="s">
        <v>31</v>
      </c>
      <c r="F6714" s="30" t="s">
        <v>32</v>
      </c>
      <c r="G6714" s="30" t="s">
        <v>50</v>
      </c>
      <c r="H6714" s="32">
        <v>440</v>
      </c>
      <c r="I6714" s="30" t="s">
        <v>51</v>
      </c>
      <c r="J6714" s="41">
        <v>44375</v>
      </c>
      <c r="K6714" s="30" t="s">
        <v>22</v>
      </c>
    </row>
    <row r="6715" spans="1:11">
      <c r="A6715" s="33" t="s">
        <v>15685</v>
      </c>
      <c r="B6715" s="33" t="s">
        <v>15686</v>
      </c>
      <c r="C6715" s="33" t="s">
        <v>450</v>
      </c>
      <c r="D6715" s="33" t="s">
        <v>17</v>
      </c>
      <c r="E6715" s="33" t="s">
        <v>31</v>
      </c>
      <c r="F6715" s="33" t="s">
        <v>32</v>
      </c>
      <c r="G6715" s="33" t="s">
        <v>112</v>
      </c>
      <c r="H6715" s="35">
        <v>0</v>
      </c>
      <c r="I6715" s="33" t="s">
        <v>21</v>
      </c>
      <c r="J6715" s="42">
        <v>44378</v>
      </c>
      <c r="K6715" s="33" t="s">
        <v>22</v>
      </c>
    </row>
    <row r="6716" spans="1:11">
      <c r="A6716" s="30" t="s">
        <v>15687</v>
      </c>
      <c r="B6716" s="30" t="s">
        <v>15688</v>
      </c>
      <c r="C6716" s="30" t="s">
        <v>15689</v>
      </c>
      <c r="D6716" s="30" t="s">
        <v>17</v>
      </c>
      <c r="E6716" s="30" t="s">
        <v>67</v>
      </c>
      <c r="F6716" s="30" t="s">
        <v>68</v>
      </c>
      <c r="G6716" s="30" t="s">
        <v>20</v>
      </c>
      <c r="H6716" s="32">
        <v>28</v>
      </c>
      <c r="I6716" s="30" t="s">
        <v>21</v>
      </c>
      <c r="J6716" s="41">
        <v>44459</v>
      </c>
      <c r="K6716" s="30" t="s">
        <v>22</v>
      </c>
    </row>
    <row r="6717" spans="1:11">
      <c r="A6717" s="33" t="s">
        <v>15690</v>
      </c>
      <c r="B6717" s="33" t="s">
        <v>15691</v>
      </c>
      <c r="C6717" s="33" t="s">
        <v>11786</v>
      </c>
      <c r="D6717" s="33" t="s">
        <v>17</v>
      </c>
      <c r="E6717" s="33" t="s">
        <v>18</v>
      </c>
      <c r="F6717" s="33" t="s">
        <v>19</v>
      </c>
      <c r="G6717" s="33" t="s">
        <v>106</v>
      </c>
      <c r="H6717" s="35">
        <v>140</v>
      </c>
      <c r="I6717" s="33" t="s">
        <v>21</v>
      </c>
      <c r="J6717" s="42">
        <v>44517</v>
      </c>
      <c r="K6717" s="33" t="s">
        <v>22</v>
      </c>
    </row>
    <row r="6718" spans="1:11">
      <c r="A6718" s="30" t="s">
        <v>15692</v>
      </c>
      <c r="B6718" s="30" t="s">
        <v>15693</v>
      </c>
      <c r="C6718" s="30" t="s">
        <v>549</v>
      </c>
      <c r="D6718" s="30" t="s">
        <v>17</v>
      </c>
      <c r="E6718" s="30" t="s">
        <v>26</v>
      </c>
      <c r="F6718" s="30" t="s">
        <v>27</v>
      </c>
      <c r="G6718" s="30" t="s">
        <v>20</v>
      </c>
      <c r="H6718" s="32">
        <v>32</v>
      </c>
      <c r="I6718" s="30" t="s">
        <v>21</v>
      </c>
      <c r="J6718" s="41">
        <v>44308</v>
      </c>
      <c r="K6718" s="30" t="s">
        <v>22</v>
      </c>
    </row>
    <row r="6719" spans="1:11">
      <c r="A6719" s="33" t="s">
        <v>15694</v>
      </c>
      <c r="B6719" s="33" t="s">
        <v>15695</v>
      </c>
      <c r="C6719" s="33" t="s">
        <v>3270</v>
      </c>
      <c r="D6719" s="33" t="s">
        <v>17</v>
      </c>
      <c r="E6719" s="33" t="s">
        <v>26</v>
      </c>
      <c r="F6719" s="33" t="s">
        <v>27</v>
      </c>
      <c r="G6719" s="33" t="s">
        <v>106</v>
      </c>
      <c r="H6719" s="35">
        <v>16</v>
      </c>
      <c r="I6719" s="33" t="s">
        <v>21</v>
      </c>
      <c r="J6719" s="42">
        <v>44484</v>
      </c>
      <c r="K6719" s="33" t="s">
        <v>22</v>
      </c>
    </row>
    <row r="6720" spans="1:11">
      <c r="A6720" s="30" t="s">
        <v>15696</v>
      </c>
      <c r="B6720" s="30" t="s">
        <v>15697</v>
      </c>
      <c r="C6720" s="30" t="s">
        <v>14208</v>
      </c>
      <c r="D6720" s="30" t="s">
        <v>17</v>
      </c>
      <c r="E6720" s="30" t="s">
        <v>31</v>
      </c>
      <c r="F6720" s="30" t="s">
        <v>32</v>
      </c>
      <c r="G6720" s="30" t="s">
        <v>106</v>
      </c>
      <c r="H6720" s="32">
        <v>40</v>
      </c>
      <c r="I6720" s="30" t="s">
        <v>21</v>
      </c>
      <c r="J6720" s="41">
        <v>44501</v>
      </c>
      <c r="K6720" s="30" t="s">
        <v>22</v>
      </c>
    </row>
    <row r="6721" spans="1:11">
      <c r="A6721" s="33" t="s">
        <v>15698</v>
      </c>
      <c r="B6721" s="33" t="s">
        <v>15699</v>
      </c>
      <c r="C6721" s="33" t="s">
        <v>15700</v>
      </c>
      <c r="D6721" s="33" t="s">
        <v>17</v>
      </c>
      <c r="E6721" s="33" t="s">
        <v>18</v>
      </c>
      <c r="F6721" s="33" t="s">
        <v>19</v>
      </c>
      <c r="G6721" s="33" t="s">
        <v>106</v>
      </c>
      <c r="H6721" s="35">
        <v>986</v>
      </c>
      <c r="I6721" s="33" t="s">
        <v>21</v>
      </c>
      <c r="J6721" s="42">
        <v>44267</v>
      </c>
      <c r="K6721" s="33" t="s">
        <v>22</v>
      </c>
    </row>
    <row r="6722" spans="1:11">
      <c r="A6722" s="30" t="s">
        <v>15701</v>
      </c>
      <c r="B6722" s="30" t="s">
        <v>15702</v>
      </c>
      <c r="C6722" s="30" t="s">
        <v>93</v>
      </c>
      <c r="D6722" s="30" t="s">
        <v>17</v>
      </c>
      <c r="E6722" s="30" t="s">
        <v>18</v>
      </c>
      <c r="F6722" s="30" t="s">
        <v>19</v>
      </c>
      <c r="G6722" s="30" t="s">
        <v>20</v>
      </c>
      <c r="H6722" s="32">
        <v>408</v>
      </c>
      <c r="I6722" s="30" t="s">
        <v>21</v>
      </c>
      <c r="J6722" s="41">
        <v>44385</v>
      </c>
      <c r="K6722" s="30" t="s">
        <v>22</v>
      </c>
    </row>
    <row r="6723" spans="1:11">
      <c r="A6723" s="33" t="s">
        <v>15703</v>
      </c>
      <c r="B6723" s="33" t="s">
        <v>13980</v>
      </c>
      <c r="C6723" s="33" t="s">
        <v>10268</v>
      </c>
      <c r="D6723" s="33" t="s">
        <v>17</v>
      </c>
      <c r="E6723" s="33" t="s">
        <v>18</v>
      </c>
      <c r="F6723" s="33" t="s">
        <v>19</v>
      </c>
      <c r="G6723" s="33" t="s">
        <v>20</v>
      </c>
      <c r="H6723" s="35">
        <v>227</v>
      </c>
      <c r="I6723" s="33" t="s">
        <v>21</v>
      </c>
      <c r="J6723" s="42">
        <v>44204</v>
      </c>
      <c r="K6723" s="33" t="s">
        <v>22</v>
      </c>
    </row>
    <row r="6724" spans="1:11">
      <c r="A6724" s="30" t="s">
        <v>15704</v>
      </c>
      <c r="B6724" s="30" t="s">
        <v>15705</v>
      </c>
      <c r="C6724" s="30" t="s">
        <v>8675</v>
      </c>
      <c r="D6724" s="30" t="s">
        <v>17</v>
      </c>
      <c r="E6724" s="30" t="s">
        <v>31</v>
      </c>
      <c r="F6724" s="30" t="s">
        <v>32</v>
      </c>
      <c r="G6724" s="30" t="s">
        <v>20</v>
      </c>
      <c r="H6724" s="32">
        <v>199</v>
      </c>
      <c r="I6724" s="30" t="s">
        <v>21</v>
      </c>
      <c r="J6724" s="41">
        <v>44468</v>
      </c>
      <c r="K6724" s="30" t="s">
        <v>22</v>
      </c>
    </row>
    <row r="6725" spans="1:11">
      <c r="A6725" s="33" t="s">
        <v>15706</v>
      </c>
      <c r="B6725" s="33" t="s">
        <v>15707</v>
      </c>
      <c r="C6725" s="33" t="s">
        <v>187</v>
      </c>
      <c r="D6725" s="33" t="s">
        <v>17</v>
      </c>
      <c r="E6725" s="33" t="s">
        <v>26</v>
      </c>
      <c r="F6725" s="33" t="s">
        <v>27</v>
      </c>
      <c r="G6725" s="33" t="s">
        <v>50</v>
      </c>
      <c r="H6725" s="35">
        <v>116</v>
      </c>
      <c r="I6725" s="33" t="s">
        <v>51</v>
      </c>
      <c r="J6725" s="42">
        <v>44439</v>
      </c>
      <c r="K6725" s="33" t="s">
        <v>22</v>
      </c>
    </row>
    <row r="6726" spans="1:11">
      <c r="A6726" s="30" t="s">
        <v>15708</v>
      </c>
      <c r="B6726" s="30" t="s">
        <v>15709</v>
      </c>
      <c r="C6726" s="30" t="s">
        <v>379</v>
      </c>
      <c r="D6726" s="30" t="s">
        <v>17</v>
      </c>
      <c r="E6726" s="30" t="s">
        <v>18</v>
      </c>
      <c r="F6726" s="30" t="s">
        <v>19</v>
      </c>
      <c r="G6726" s="30" t="s">
        <v>20</v>
      </c>
      <c r="H6726" s="32">
        <v>407</v>
      </c>
      <c r="I6726" s="30" t="s">
        <v>21</v>
      </c>
      <c r="J6726" s="41">
        <v>44501</v>
      </c>
      <c r="K6726" s="30" t="s">
        <v>22</v>
      </c>
    </row>
    <row r="6727" spans="1:11">
      <c r="A6727" s="33" t="s">
        <v>15710</v>
      </c>
      <c r="B6727" s="33" t="s">
        <v>15711</v>
      </c>
      <c r="C6727" s="33" t="s">
        <v>3610</v>
      </c>
      <c r="D6727" s="33" t="s">
        <v>17</v>
      </c>
      <c r="E6727" s="33" t="s">
        <v>26</v>
      </c>
      <c r="F6727" s="33" t="s">
        <v>27</v>
      </c>
      <c r="G6727" s="33" t="s">
        <v>20</v>
      </c>
      <c r="H6727" s="35">
        <v>128</v>
      </c>
      <c r="I6727" s="33" t="s">
        <v>21</v>
      </c>
      <c r="J6727" s="42">
        <v>44539</v>
      </c>
      <c r="K6727" s="33" t="s">
        <v>22</v>
      </c>
    </row>
    <row r="6728" spans="1:11">
      <c r="A6728" s="30" t="s">
        <v>15712</v>
      </c>
      <c r="B6728" s="30" t="s">
        <v>15713</v>
      </c>
      <c r="C6728" s="30" t="s">
        <v>102</v>
      </c>
      <c r="D6728" s="30" t="s">
        <v>17</v>
      </c>
      <c r="E6728" s="30" t="s">
        <v>18</v>
      </c>
      <c r="F6728" s="30" t="s">
        <v>19</v>
      </c>
      <c r="G6728" s="30" t="s">
        <v>158</v>
      </c>
      <c r="H6728" s="32">
        <v>776</v>
      </c>
      <c r="I6728" s="30" t="s">
        <v>21</v>
      </c>
      <c r="J6728" s="41">
        <v>44517</v>
      </c>
      <c r="K6728" s="30" t="s">
        <v>22</v>
      </c>
    </row>
    <row r="6729" spans="1:11">
      <c r="A6729" s="33" t="s">
        <v>15714</v>
      </c>
      <c r="B6729" s="33" t="s">
        <v>15715</v>
      </c>
      <c r="C6729" s="33" t="s">
        <v>3013</v>
      </c>
      <c r="D6729" s="33" t="s">
        <v>17</v>
      </c>
      <c r="E6729" s="33" t="s">
        <v>26</v>
      </c>
      <c r="F6729" s="33" t="s">
        <v>27</v>
      </c>
      <c r="G6729" s="33" t="s">
        <v>20</v>
      </c>
      <c r="H6729" s="35">
        <v>73</v>
      </c>
      <c r="I6729" s="33" t="s">
        <v>21</v>
      </c>
      <c r="J6729" s="42">
        <v>44543</v>
      </c>
      <c r="K6729" s="33" t="s">
        <v>22</v>
      </c>
    </row>
    <row r="6730" spans="1:11">
      <c r="A6730" s="30" t="s">
        <v>15716</v>
      </c>
      <c r="B6730" s="30" t="s">
        <v>15717</v>
      </c>
      <c r="C6730" s="30" t="s">
        <v>15718</v>
      </c>
      <c r="D6730" s="30" t="s">
        <v>17</v>
      </c>
      <c r="E6730" s="30" t="s">
        <v>26</v>
      </c>
      <c r="F6730" s="30" t="s">
        <v>27</v>
      </c>
      <c r="G6730" s="30" t="s">
        <v>20</v>
      </c>
      <c r="H6730" s="32">
        <v>25</v>
      </c>
      <c r="I6730" s="30" t="s">
        <v>21</v>
      </c>
      <c r="J6730" s="41">
        <v>44372</v>
      </c>
      <c r="K6730" s="30" t="s">
        <v>22</v>
      </c>
    </row>
    <row r="6731" spans="1:11">
      <c r="A6731" s="33" t="s">
        <v>15719</v>
      </c>
      <c r="B6731" s="33" t="s">
        <v>15720</v>
      </c>
      <c r="C6731" s="33" t="s">
        <v>12576</v>
      </c>
      <c r="D6731" s="33" t="s">
        <v>17</v>
      </c>
      <c r="E6731" s="33" t="s">
        <v>31</v>
      </c>
      <c r="F6731" s="33" t="s">
        <v>32</v>
      </c>
      <c r="G6731" s="33" t="s">
        <v>20</v>
      </c>
      <c r="H6731" s="35">
        <v>25</v>
      </c>
      <c r="I6731" s="33" t="s">
        <v>21</v>
      </c>
      <c r="J6731" s="42">
        <v>44508</v>
      </c>
      <c r="K6731" s="33" t="s">
        <v>22</v>
      </c>
    </row>
    <row r="6732" spans="1:11">
      <c r="A6732" s="30" t="s">
        <v>15721</v>
      </c>
      <c r="B6732" s="30" t="s">
        <v>15722</v>
      </c>
      <c r="C6732" s="30" t="s">
        <v>310</v>
      </c>
      <c r="D6732" s="30" t="s">
        <v>17</v>
      </c>
      <c r="E6732" s="30" t="s">
        <v>18</v>
      </c>
      <c r="F6732" s="30" t="s">
        <v>19</v>
      </c>
      <c r="G6732" s="30" t="s">
        <v>20</v>
      </c>
      <c r="H6732" s="32">
        <v>617</v>
      </c>
      <c r="I6732" s="30" t="s">
        <v>21</v>
      </c>
      <c r="J6732" s="41">
        <v>44362</v>
      </c>
      <c r="K6732" s="30" t="s">
        <v>22</v>
      </c>
    </row>
    <row r="6733" spans="1:11">
      <c r="A6733" s="33" t="s">
        <v>15723</v>
      </c>
      <c r="B6733" s="33" t="s">
        <v>15724</v>
      </c>
      <c r="C6733" s="33" t="s">
        <v>271</v>
      </c>
      <c r="D6733" s="33" t="s">
        <v>17</v>
      </c>
      <c r="E6733" s="33" t="s">
        <v>31</v>
      </c>
      <c r="F6733" s="33" t="s">
        <v>32</v>
      </c>
      <c r="G6733" s="33" t="s">
        <v>158</v>
      </c>
      <c r="H6733" s="35">
        <v>112</v>
      </c>
      <c r="I6733" s="33" t="s">
        <v>51</v>
      </c>
      <c r="J6733" s="42">
        <v>44272</v>
      </c>
      <c r="K6733" s="33" t="s">
        <v>22</v>
      </c>
    </row>
    <row r="6734" spans="1:11">
      <c r="A6734" s="30" t="s">
        <v>15725</v>
      </c>
      <c r="B6734" s="30" t="s">
        <v>15726</v>
      </c>
      <c r="C6734" s="30" t="s">
        <v>715</v>
      </c>
      <c r="D6734" s="30" t="s">
        <v>17</v>
      </c>
      <c r="E6734" s="30" t="s">
        <v>18</v>
      </c>
      <c r="F6734" s="30" t="s">
        <v>19</v>
      </c>
      <c r="G6734" s="30" t="s">
        <v>20</v>
      </c>
      <c r="H6734" s="32">
        <v>453</v>
      </c>
      <c r="I6734" s="30" t="s">
        <v>21</v>
      </c>
      <c r="J6734" s="41">
        <v>44508</v>
      </c>
      <c r="K6734" s="30" t="s">
        <v>22</v>
      </c>
    </row>
    <row r="6735" spans="1:11">
      <c r="A6735" s="33" t="s">
        <v>15727</v>
      </c>
      <c r="B6735" s="33" t="s">
        <v>15728</v>
      </c>
      <c r="C6735" s="33" t="s">
        <v>701</v>
      </c>
      <c r="D6735" s="33" t="s">
        <v>17</v>
      </c>
      <c r="E6735" s="33" t="s">
        <v>67</v>
      </c>
      <c r="F6735" s="33" t="s">
        <v>68</v>
      </c>
      <c r="G6735" s="33" t="s">
        <v>50</v>
      </c>
      <c r="H6735" s="35">
        <v>480</v>
      </c>
      <c r="I6735" s="33" t="s">
        <v>51</v>
      </c>
      <c r="J6735" s="42">
        <v>44510</v>
      </c>
      <c r="K6735" s="33" t="s">
        <v>22</v>
      </c>
    </row>
    <row r="6736" spans="1:11">
      <c r="A6736" s="30" t="s">
        <v>15729</v>
      </c>
      <c r="B6736" s="30" t="s">
        <v>15730</v>
      </c>
      <c r="C6736" s="30" t="s">
        <v>9475</v>
      </c>
      <c r="D6736" s="30" t="s">
        <v>17</v>
      </c>
      <c r="E6736" s="30" t="s">
        <v>18</v>
      </c>
      <c r="F6736" s="30" t="s">
        <v>19</v>
      </c>
      <c r="G6736" s="30" t="s">
        <v>50</v>
      </c>
      <c r="H6736" s="32">
        <v>28000</v>
      </c>
      <c r="I6736" s="30" t="s">
        <v>51</v>
      </c>
      <c r="J6736" s="41">
        <v>44317</v>
      </c>
      <c r="K6736" s="30" t="s">
        <v>22</v>
      </c>
    </row>
    <row r="6737" spans="1:11">
      <c r="A6737" s="33" t="s">
        <v>15731</v>
      </c>
      <c r="B6737" s="33" t="s">
        <v>15732</v>
      </c>
      <c r="C6737" s="33" t="s">
        <v>13420</v>
      </c>
      <c r="D6737" s="33" t="s">
        <v>17</v>
      </c>
      <c r="E6737" s="33" t="s">
        <v>45</v>
      </c>
      <c r="F6737" s="33" t="s">
        <v>46</v>
      </c>
      <c r="G6737" s="33" t="s">
        <v>20</v>
      </c>
      <c r="H6737" s="35">
        <v>161</v>
      </c>
      <c r="I6737" s="33" t="s">
        <v>21</v>
      </c>
      <c r="J6737" s="42">
        <v>44496</v>
      </c>
      <c r="K6737" s="33" t="s">
        <v>22</v>
      </c>
    </row>
    <row r="6738" spans="1:11">
      <c r="A6738" s="30" t="s">
        <v>15733</v>
      </c>
      <c r="B6738" s="30" t="s">
        <v>15734</v>
      </c>
      <c r="C6738" s="30" t="s">
        <v>13754</v>
      </c>
      <c r="D6738" s="30" t="s">
        <v>17</v>
      </c>
      <c r="E6738" s="30" t="s">
        <v>18</v>
      </c>
      <c r="F6738" s="30" t="s">
        <v>19</v>
      </c>
      <c r="G6738" s="30" t="s">
        <v>20</v>
      </c>
      <c r="H6738" s="32">
        <v>324</v>
      </c>
      <c r="I6738" s="30" t="s">
        <v>21</v>
      </c>
      <c r="J6738" s="41">
        <v>44221</v>
      </c>
      <c r="K6738" s="30" t="s">
        <v>22</v>
      </c>
    </row>
    <row r="6739" spans="1:11">
      <c r="A6739" s="33" t="s">
        <v>15735</v>
      </c>
      <c r="B6739" s="33" t="s">
        <v>15736</v>
      </c>
      <c r="C6739" s="33" t="s">
        <v>721</v>
      </c>
      <c r="D6739" s="33" t="s">
        <v>17</v>
      </c>
      <c r="E6739" s="33" t="s">
        <v>18</v>
      </c>
      <c r="F6739" s="33" t="s">
        <v>19</v>
      </c>
      <c r="G6739" s="33" t="s">
        <v>20</v>
      </c>
      <c r="H6739" s="35">
        <v>182</v>
      </c>
      <c r="I6739" s="33" t="s">
        <v>21</v>
      </c>
      <c r="J6739" s="42">
        <v>44431</v>
      </c>
      <c r="K6739" s="33" t="s">
        <v>22</v>
      </c>
    </row>
    <row r="6740" spans="1:11">
      <c r="A6740" s="30" t="s">
        <v>15737</v>
      </c>
      <c r="B6740" s="30" t="s">
        <v>15738</v>
      </c>
      <c r="C6740" s="30" t="s">
        <v>96</v>
      </c>
      <c r="D6740" s="30" t="s">
        <v>17</v>
      </c>
      <c r="E6740" s="30" t="s">
        <v>26</v>
      </c>
      <c r="F6740" s="30" t="s">
        <v>27</v>
      </c>
      <c r="G6740" s="30" t="s">
        <v>106</v>
      </c>
      <c r="H6740" s="32">
        <v>45</v>
      </c>
      <c r="I6740" s="30" t="s">
        <v>21</v>
      </c>
      <c r="J6740" s="41">
        <v>44487</v>
      </c>
      <c r="K6740" s="30" t="s">
        <v>22</v>
      </c>
    </row>
    <row r="6741" spans="1:11">
      <c r="A6741" s="33" t="s">
        <v>15739</v>
      </c>
      <c r="B6741" s="33" t="s">
        <v>15740</v>
      </c>
      <c r="C6741" s="33" t="s">
        <v>15741</v>
      </c>
      <c r="D6741" s="33" t="s">
        <v>17</v>
      </c>
      <c r="E6741" s="33" t="s">
        <v>18</v>
      </c>
      <c r="F6741" s="33" t="s">
        <v>19</v>
      </c>
      <c r="G6741" s="33" t="s">
        <v>20</v>
      </c>
      <c r="H6741" s="35">
        <v>108</v>
      </c>
      <c r="I6741" s="33" t="s">
        <v>21</v>
      </c>
      <c r="J6741" s="42">
        <v>44462</v>
      </c>
      <c r="K6741" s="33" t="s">
        <v>22</v>
      </c>
    </row>
    <row r="6742" spans="1:11">
      <c r="A6742" s="30" t="s">
        <v>15742</v>
      </c>
      <c r="B6742" s="30" t="s">
        <v>15743</v>
      </c>
      <c r="C6742" s="30" t="s">
        <v>5845</v>
      </c>
      <c r="D6742" s="30" t="s">
        <v>17</v>
      </c>
      <c r="E6742" s="30" t="s">
        <v>26</v>
      </c>
      <c r="F6742" s="30" t="s">
        <v>27</v>
      </c>
      <c r="G6742" s="30" t="s">
        <v>20</v>
      </c>
      <c r="H6742" s="32">
        <v>15</v>
      </c>
      <c r="I6742" s="30" t="s">
        <v>21</v>
      </c>
      <c r="J6742" s="41">
        <v>44348</v>
      </c>
      <c r="K6742" s="30" t="s">
        <v>22</v>
      </c>
    </row>
    <row r="6743" spans="1:11">
      <c r="A6743" s="33" t="s">
        <v>15744</v>
      </c>
      <c r="B6743" s="33" t="s">
        <v>15745</v>
      </c>
      <c r="C6743" s="33" t="s">
        <v>1406</v>
      </c>
      <c r="D6743" s="33" t="s">
        <v>17</v>
      </c>
      <c r="E6743" s="33" t="s">
        <v>26</v>
      </c>
      <c r="F6743" s="33" t="s">
        <v>27</v>
      </c>
      <c r="G6743" s="33" t="s">
        <v>20</v>
      </c>
      <c r="H6743" s="35">
        <v>30</v>
      </c>
      <c r="I6743" s="33" t="s">
        <v>21</v>
      </c>
      <c r="J6743" s="42">
        <v>44390</v>
      </c>
      <c r="K6743" s="33" t="s">
        <v>22</v>
      </c>
    </row>
    <row r="6744" spans="1:11">
      <c r="A6744" s="30" t="s">
        <v>15746</v>
      </c>
      <c r="B6744" s="30" t="s">
        <v>15747</v>
      </c>
      <c r="C6744" s="30" t="s">
        <v>15748</v>
      </c>
      <c r="D6744" s="30" t="s">
        <v>17</v>
      </c>
      <c r="E6744" s="30" t="s">
        <v>67</v>
      </c>
      <c r="F6744" s="30" t="s">
        <v>68</v>
      </c>
      <c r="G6744" s="30" t="s">
        <v>50</v>
      </c>
      <c r="H6744" s="32">
        <v>38</v>
      </c>
      <c r="I6744" s="30" t="s">
        <v>51</v>
      </c>
      <c r="J6744" s="41">
        <v>44531</v>
      </c>
      <c r="K6744" s="30" t="s">
        <v>22</v>
      </c>
    </row>
    <row r="6745" spans="1:11">
      <c r="A6745" s="33" t="s">
        <v>15749</v>
      </c>
      <c r="B6745" s="33" t="s">
        <v>15750</v>
      </c>
      <c r="C6745" s="33" t="s">
        <v>7196</v>
      </c>
      <c r="D6745" s="33" t="s">
        <v>17</v>
      </c>
      <c r="E6745" s="33" t="s">
        <v>67</v>
      </c>
      <c r="F6745" s="33" t="s">
        <v>68</v>
      </c>
      <c r="G6745" s="33" t="s">
        <v>106</v>
      </c>
      <c r="H6745" s="35">
        <v>7</v>
      </c>
      <c r="I6745" s="33" t="s">
        <v>21</v>
      </c>
      <c r="J6745" s="42">
        <v>44405</v>
      </c>
      <c r="K6745" s="33" t="s">
        <v>22</v>
      </c>
    </row>
    <row r="6746" spans="1:11">
      <c r="A6746" s="30" t="s">
        <v>15751</v>
      </c>
      <c r="B6746" s="30" t="s">
        <v>15752</v>
      </c>
      <c r="C6746" s="30" t="s">
        <v>1270</v>
      </c>
      <c r="D6746" s="30" t="s">
        <v>17</v>
      </c>
      <c r="E6746" s="30" t="s">
        <v>18</v>
      </c>
      <c r="F6746" s="30" t="s">
        <v>19</v>
      </c>
      <c r="G6746" s="30" t="s">
        <v>158</v>
      </c>
      <c r="H6746" s="32">
        <v>624</v>
      </c>
      <c r="I6746" s="30" t="s">
        <v>51</v>
      </c>
      <c r="J6746" s="41">
        <v>44419</v>
      </c>
      <c r="K6746" s="30" t="s">
        <v>22</v>
      </c>
    </row>
    <row r="6747" spans="1:11">
      <c r="A6747" s="33" t="s">
        <v>15753</v>
      </c>
      <c r="B6747" s="33" t="s">
        <v>15754</v>
      </c>
      <c r="C6747" s="33" t="s">
        <v>15755</v>
      </c>
      <c r="D6747" s="33" t="s">
        <v>17</v>
      </c>
      <c r="E6747" s="33" t="s">
        <v>18</v>
      </c>
      <c r="F6747" s="33" t="s">
        <v>19</v>
      </c>
      <c r="G6747" s="33" t="s">
        <v>140</v>
      </c>
      <c r="H6747" s="35">
        <v>308</v>
      </c>
      <c r="I6747" s="33" t="s">
        <v>51</v>
      </c>
      <c r="J6747" s="42">
        <v>44337</v>
      </c>
      <c r="K6747" s="33" t="s">
        <v>22</v>
      </c>
    </row>
    <row r="6748" spans="1:11">
      <c r="A6748" s="30" t="s">
        <v>15756</v>
      </c>
      <c r="B6748" s="30" t="s">
        <v>15757</v>
      </c>
      <c r="C6748" s="30" t="s">
        <v>353</v>
      </c>
      <c r="D6748" s="30" t="s">
        <v>17</v>
      </c>
      <c r="E6748" s="30" t="s">
        <v>26</v>
      </c>
      <c r="F6748" s="30" t="s">
        <v>27</v>
      </c>
      <c r="G6748" s="30" t="s">
        <v>20</v>
      </c>
      <c r="H6748" s="32">
        <v>44</v>
      </c>
      <c r="I6748" s="30" t="s">
        <v>21</v>
      </c>
      <c r="J6748" s="41">
        <v>44273</v>
      </c>
      <c r="K6748" s="30" t="s">
        <v>22</v>
      </c>
    </row>
    <row r="6749" spans="1:11">
      <c r="A6749" s="33" t="s">
        <v>15758</v>
      </c>
      <c r="B6749" s="33" t="s">
        <v>15759</v>
      </c>
      <c r="C6749" s="33" t="s">
        <v>78</v>
      </c>
      <c r="D6749" s="33" t="s">
        <v>17</v>
      </c>
      <c r="E6749" s="33" t="s">
        <v>26</v>
      </c>
      <c r="F6749" s="33" t="s">
        <v>27</v>
      </c>
      <c r="G6749" s="33" t="s">
        <v>50</v>
      </c>
      <c r="H6749" s="35">
        <v>56</v>
      </c>
      <c r="I6749" s="33" t="s">
        <v>51</v>
      </c>
      <c r="J6749" s="42">
        <v>44253</v>
      </c>
      <c r="K6749" s="33" t="s">
        <v>22</v>
      </c>
    </row>
    <row r="6750" spans="1:11">
      <c r="A6750" s="30" t="s">
        <v>15760</v>
      </c>
      <c r="B6750" s="30" t="s">
        <v>15761</v>
      </c>
      <c r="C6750" s="30" t="s">
        <v>157</v>
      </c>
      <c r="D6750" s="30" t="s">
        <v>17</v>
      </c>
      <c r="E6750" s="30" t="s">
        <v>18</v>
      </c>
      <c r="F6750" s="30" t="s">
        <v>19</v>
      </c>
      <c r="G6750" s="30" t="s">
        <v>20</v>
      </c>
      <c r="H6750" s="32">
        <v>10</v>
      </c>
      <c r="I6750" s="30" t="s">
        <v>21</v>
      </c>
      <c r="J6750" s="41">
        <v>44333</v>
      </c>
      <c r="K6750" s="30" t="s">
        <v>22</v>
      </c>
    </row>
    <row r="6751" spans="1:11">
      <c r="A6751" s="33" t="s">
        <v>15762</v>
      </c>
      <c r="B6751" s="33" t="s">
        <v>15763</v>
      </c>
      <c r="C6751" s="33" t="s">
        <v>157</v>
      </c>
      <c r="D6751" s="33" t="s">
        <v>17</v>
      </c>
      <c r="E6751" s="33" t="s">
        <v>26</v>
      </c>
      <c r="F6751" s="33" t="s">
        <v>27</v>
      </c>
      <c r="G6751" s="33" t="s">
        <v>20</v>
      </c>
      <c r="H6751" s="35">
        <v>54</v>
      </c>
      <c r="I6751" s="33" t="s">
        <v>21</v>
      </c>
      <c r="J6751" s="42">
        <v>44243</v>
      </c>
      <c r="K6751" s="33" t="s">
        <v>22</v>
      </c>
    </row>
    <row r="6752" spans="1:11">
      <c r="A6752" s="30" t="s">
        <v>15764</v>
      </c>
      <c r="B6752" s="30" t="s">
        <v>15765</v>
      </c>
      <c r="C6752" s="30" t="s">
        <v>1162</v>
      </c>
      <c r="D6752" s="30" t="s">
        <v>17</v>
      </c>
      <c r="E6752" s="30" t="s">
        <v>31</v>
      </c>
      <c r="F6752" s="30" t="s">
        <v>32</v>
      </c>
      <c r="G6752" s="30" t="s">
        <v>20</v>
      </c>
      <c r="H6752" s="32">
        <v>12</v>
      </c>
      <c r="I6752" s="30" t="s">
        <v>21</v>
      </c>
      <c r="J6752" s="41">
        <v>44231</v>
      </c>
      <c r="K6752" s="30" t="s">
        <v>22</v>
      </c>
    </row>
    <row r="6753" spans="1:11">
      <c r="A6753" s="33" t="s">
        <v>15766</v>
      </c>
      <c r="B6753" s="33" t="s">
        <v>15767</v>
      </c>
      <c r="C6753" s="33" t="s">
        <v>15768</v>
      </c>
      <c r="D6753" s="33" t="s">
        <v>17</v>
      </c>
      <c r="E6753" s="33" t="s">
        <v>67</v>
      </c>
      <c r="F6753" s="33" t="s">
        <v>68</v>
      </c>
      <c r="G6753" s="33" t="s">
        <v>140</v>
      </c>
      <c r="H6753" s="35">
        <v>91</v>
      </c>
      <c r="I6753" s="33" t="s">
        <v>51</v>
      </c>
      <c r="J6753" s="42">
        <v>44257</v>
      </c>
      <c r="K6753" s="33" t="s">
        <v>22</v>
      </c>
    </row>
    <row r="6754" spans="1:11">
      <c r="A6754" s="30" t="s">
        <v>15769</v>
      </c>
      <c r="B6754" s="30" t="s">
        <v>15770</v>
      </c>
      <c r="C6754" s="30" t="s">
        <v>5169</v>
      </c>
      <c r="D6754" s="30" t="s">
        <v>17</v>
      </c>
      <c r="E6754" s="30" t="s">
        <v>26</v>
      </c>
      <c r="F6754" s="30" t="s">
        <v>27</v>
      </c>
      <c r="G6754" s="30" t="s">
        <v>20</v>
      </c>
      <c r="H6754" s="32">
        <v>34</v>
      </c>
      <c r="I6754" s="30" t="s">
        <v>21</v>
      </c>
      <c r="J6754" s="41">
        <v>44323</v>
      </c>
      <c r="K6754" s="30" t="s">
        <v>22</v>
      </c>
    </row>
    <row r="6755" spans="1:11">
      <c r="A6755" s="33" t="s">
        <v>15771</v>
      </c>
      <c r="B6755" s="33" t="s">
        <v>15772</v>
      </c>
      <c r="C6755" s="33" t="s">
        <v>102</v>
      </c>
      <c r="D6755" s="33" t="s">
        <v>17</v>
      </c>
      <c r="E6755" s="33" t="s">
        <v>212</v>
      </c>
      <c r="F6755" s="33" t="s">
        <v>213</v>
      </c>
      <c r="G6755" s="33" t="s">
        <v>20</v>
      </c>
      <c r="H6755" s="35">
        <v>182</v>
      </c>
      <c r="I6755" s="33" t="s">
        <v>21</v>
      </c>
      <c r="J6755" s="42">
        <v>44540</v>
      </c>
      <c r="K6755" s="33" t="s">
        <v>22</v>
      </c>
    </row>
    <row r="6756" spans="1:11">
      <c r="A6756" s="30" t="s">
        <v>15773</v>
      </c>
      <c r="B6756" s="30" t="s">
        <v>15774</v>
      </c>
      <c r="C6756" s="30" t="s">
        <v>102</v>
      </c>
      <c r="D6756" s="30" t="s">
        <v>17</v>
      </c>
      <c r="E6756" s="30" t="s">
        <v>18</v>
      </c>
      <c r="F6756" s="30" t="s">
        <v>19</v>
      </c>
      <c r="G6756" s="30" t="s">
        <v>158</v>
      </c>
      <c r="H6756" s="32">
        <v>1054</v>
      </c>
      <c r="I6756" s="30" t="s">
        <v>21</v>
      </c>
      <c r="J6756" s="41">
        <v>44364</v>
      </c>
      <c r="K6756" s="30" t="s">
        <v>22</v>
      </c>
    </row>
    <row r="6757" spans="1:11">
      <c r="A6757" s="33" t="s">
        <v>15775</v>
      </c>
      <c r="B6757" s="33" t="s">
        <v>15776</v>
      </c>
      <c r="C6757" s="33" t="s">
        <v>149</v>
      </c>
      <c r="D6757" s="33" t="s">
        <v>17</v>
      </c>
      <c r="E6757" s="33" t="s">
        <v>26</v>
      </c>
      <c r="F6757" s="33" t="s">
        <v>27</v>
      </c>
      <c r="G6757" s="33" t="s">
        <v>20</v>
      </c>
      <c r="H6757" s="35">
        <v>20</v>
      </c>
      <c r="I6757" s="33" t="s">
        <v>21</v>
      </c>
      <c r="J6757" s="42">
        <v>44557</v>
      </c>
      <c r="K6757" s="33" t="s">
        <v>22</v>
      </c>
    </row>
    <row r="6758" spans="1:11">
      <c r="A6758" s="30" t="s">
        <v>15777</v>
      </c>
      <c r="B6758" s="30" t="s">
        <v>15778</v>
      </c>
      <c r="C6758" s="30" t="s">
        <v>190</v>
      </c>
      <c r="D6758" s="30" t="s">
        <v>17</v>
      </c>
      <c r="E6758" s="30" t="s">
        <v>67</v>
      </c>
      <c r="F6758" s="30" t="s">
        <v>68</v>
      </c>
      <c r="G6758" s="30" t="s">
        <v>20</v>
      </c>
      <c r="H6758" s="32">
        <v>40</v>
      </c>
      <c r="I6758" s="30" t="s">
        <v>21</v>
      </c>
      <c r="J6758" s="41">
        <v>44244</v>
      </c>
      <c r="K6758" s="30" t="s">
        <v>22</v>
      </c>
    </row>
    <row r="6759" spans="1:11">
      <c r="A6759" s="33" t="s">
        <v>15779</v>
      </c>
      <c r="B6759" s="33" t="s">
        <v>15780</v>
      </c>
      <c r="C6759" s="33" t="s">
        <v>15781</v>
      </c>
      <c r="D6759" s="33" t="s">
        <v>17</v>
      </c>
      <c r="E6759" s="33" t="s">
        <v>31</v>
      </c>
      <c r="F6759" s="33" t="s">
        <v>32</v>
      </c>
      <c r="G6759" s="33" t="s">
        <v>20</v>
      </c>
      <c r="H6759" s="35">
        <v>83</v>
      </c>
      <c r="I6759" s="33" t="s">
        <v>21</v>
      </c>
      <c r="J6759" s="42">
        <v>44384</v>
      </c>
      <c r="K6759" s="33" t="s">
        <v>22</v>
      </c>
    </row>
    <row r="6760" spans="1:11">
      <c r="A6760" s="30" t="s">
        <v>15782</v>
      </c>
      <c r="B6760" s="30" t="s">
        <v>15783</v>
      </c>
      <c r="C6760" s="30" t="s">
        <v>4405</v>
      </c>
      <c r="D6760" s="30" t="s">
        <v>17</v>
      </c>
      <c r="E6760" s="30" t="s">
        <v>18</v>
      </c>
      <c r="F6760" s="30" t="s">
        <v>19</v>
      </c>
      <c r="G6760" s="30" t="s">
        <v>112</v>
      </c>
      <c r="H6760" s="32">
        <v>0</v>
      </c>
      <c r="I6760" s="30" t="s">
        <v>21</v>
      </c>
      <c r="J6760" s="41">
        <v>44447</v>
      </c>
      <c r="K6760" s="30" t="s">
        <v>22</v>
      </c>
    </row>
    <row r="6761" spans="1:11">
      <c r="A6761" s="33" t="s">
        <v>15784</v>
      </c>
      <c r="B6761" s="33" t="s">
        <v>15785</v>
      </c>
      <c r="C6761" s="33" t="s">
        <v>2196</v>
      </c>
      <c r="D6761" s="33" t="s">
        <v>17</v>
      </c>
      <c r="E6761" s="33" t="s">
        <v>18</v>
      </c>
      <c r="F6761" s="33" t="s">
        <v>19</v>
      </c>
      <c r="G6761" s="33" t="s">
        <v>20</v>
      </c>
      <c r="H6761" s="35">
        <v>272</v>
      </c>
      <c r="I6761" s="33" t="s">
        <v>21</v>
      </c>
      <c r="J6761" s="42">
        <v>44496</v>
      </c>
      <c r="K6761" s="33" t="s">
        <v>22</v>
      </c>
    </row>
    <row r="6762" spans="1:11">
      <c r="A6762" s="30" t="s">
        <v>15786</v>
      </c>
      <c r="B6762" s="30" t="s">
        <v>15787</v>
      </c>
      <c r="C6762" s="30" t="s">
        <v>15788</v>
      </c>
      <c r="D6762" s="30" t="s">
        <v>17</v>
      </c>
      <c r="E6762" s="30" t="s">
        <v>26</v>
      </c>
      <c r="F6762" s="30" t="s">
        <v>27</v>
      </c>
      <c r="G6762" s="30" t="s">
        <v>50</v>
      </c>
      <c r="H6762" s="32">
        <v>15</v>
      </c>
      <c r="I6762" s="30" t="s">
        <v>51</v>
      </c>
      <c r="J6762" s="41">
        <v>44498</v>
      </c>
      <c r="K6762" s="30" t="s">
        <v>22</v>
      </c>
    </row>
    <row r="6763" spans="1:11">
      <c r="A6763" s="33" t="s">
        <v>15789</v>
      </c>
      <c r="B6763" s="33" t="s">
        <v>15790</v>
      </c>
      <c r="C6763" s="33" t="s">
        <v>2797</v>
      </c>
      <c r="D6763" s="33" t="s">
        <v>17</v>
      </c>
      <c r="E6763" s="33" t="s">
        <v>26</v>
      </c>
      <c r="F6763" s="33" t="s">
        <v>27</v>
      </c>
      <c r="G6763" s="33" t="s">
        <v>158</v>
      </c>
      <c r="H6763" s="35">
        <v>20</v>
      </c>
      <c r="I6763" s="33" t="s">
        <v>51</v>
      </c>
      <c r="J6763" s="42">
        <v>44537</v>
      </c>
      <c r="K6763" s="33" t="s">
        <v>22</v>
      </c>
    </row>
    <row r="6764" spans="1:11">
      <c r="A6764" s="30" t="s">
        <v>15791</v>
      </c>
      <c r="B6764" s="30" t="s">
        <v>15792</v>
      </c>
      <c r="C6764" s="30" t="s">
        <v>1313</v>
      </c>
      <c r="D6764" s="30" t="s">
        <v>17</v>
      </c>
      <c r="E6764" s="30" t="s">
        <v>31</v>
      </c>
      <c r="F6764" s="30" t="s">
        <v>32</v>
      </c>
      <c r="G6764" s="30" t="s">
        <v>50</v>
      </c>
      <c r="H6764" s="32">
        <v>124</v>
      </c>
      <c r="I6764" s="30" t="s">
        <v>21</v>
      </c>
      <c r="J6764" s="41">
        <v>44515</v>
      </c>
      <c r="K6764" s="30" t="s">
        <v>22</v>
      </c>
    </row>
    <row r="6765" spans="1:11">
      <c r="A6765" s="33" t="s">
        <v>15793</v>
      </c>
      <c r="B6765" s="33" t="s">
        <v>15794</v>
      </c>
      <c r="C6765" s="33" t="s">
        <v>15795</v>
      </c>
      <c r="D6765" s="33" t="s">
        <v>17</v>
      </c>
      <c r="E6765" s="33" t="s">
        <v>31</v>
      </c>
      <c r="F6765" s="33" t="s">
        <v>32</v>
      </c>
      <c r="G6765" s="33" t="s">
        <v>50</v>
      </c>
      <c r="H6765" s="35">
        <v>208</v>
      </c>
      <c r="I6765" s="33" t="s">
        <v>51</v>
      </c>
      <c r="J6765" s="42">
        <v>44470</v>
      </c>
      <c r="K6765" s="33" t="s">
        <v>22</v>
      </c>
    </row>
    <row r="6766" spans="1:11">
      <c r="A6766" s="30" t="s">
        <v>15796</v>
      </c>
      <c r="B6766" s="30" t="s">
        <v>15797</v>
      </c>
      <c r="C6766" s="30" t="s">
        <v>15798</v>
      </c>
      <c r="D6766" s="30" t="s">
        <v>17</v>
      </c>
      <c r="E6766" s="30" t="s">
        <v>31</v>
      </c>
      <c r="F6766" s="30" t="s">
        <v>32</v>
      </c>
      <c r="G6766" s="30" t="s">
        <v>20</v>
      </c>
      <c r="H6766" s="32">
        <v>33</v>
      </c>
      <c r="I6766" s="30" t="s">
        <v>21</v>
      </c>
      <c r="J6766" s="41">
        <v>44398</v>
      </c>
      <c r="K6766" s="30" t="s">
        <v>22</v>
      </c>
    </row>
    <row r="6767" spans="1:11">
      <c r="A6767" s="33" t="s">
        <v>15799</v>
      </c>
      <c r="B6767" s="33" t="s">
        <v>15800</v>
      </c>
      <c r="C6767" s="33" t="s">
        <v>440</v>
      </c>
      <c r="D6767" s="33" t="s">
        <v>17</v>
      </c>
      <c r="E6767" s="33" t="s">
        <v>18</v>
      </c>
      <c r="F6767" s="33" t="s">
        <v>19</v>
      </c>
      <c r="G6767" s="33" t="s">
        <v>140</v>
      </c>
      <c r="H6767" s="35">
        <v>180</v>
      </c>
      <c r="I6767" s="33" t="s">
        <v>51</v>
      </c>
      <c r="J6767" s="42">
        <v>44361</v>
      </c>
      <c r="K6767" s="33" t="s">
        <v>22</v>
      </c>
    </row>
    <row r="6768" spans="1:11">
      <c r="A6768" s="30" t="s">
        <v>15801</v>
      </c>
      <c r="B6768" s="30" t="s">
        <v>15802</v>
      </c>
      <c r="C6768" s="30" t="s">
        <v>15803</v>
      </c>
      <c r="D6768" s="30" t="s">
        <v>17</v>
      </c>
      <c r="E6768" s="30" t="s">
        <v>67</v>
      </c>
      <c r="F6768" s="30" t="s">
        <v>68</v>
      </c>
      <c r="G6768" s="30" t="s">
        <v>112</v>
      </c>
      <c r="H6768" s="32">
        <v>0</v>
      </c>
      <c r="I6768" s="30" t="s">
        <v>21</v>
      </c>
      <c r="J6768" s="41">
        <v>44524</v>
      </c>
      <c r="K6768" s="30" t="s">
        <v>22</v>
      </c>
    </row>
    <row r="6769" spans="1:11">
      <c r="A6769" s="33" t="s">
        <v>15804</v>
      </c>
      <c r="B6769" s="33" t="s">
        <v>15805</v>
      </c>
      <c r="C6769" s="33" t="s">
        <v>15806</v>
      </c>
      <c r="D6769" s="33" t="s">
        <v>17</v>
      </c>
      <c r="E6769" s="33" t="s">
        <v>212</v>
      </c>
      <c r="F6769" s="33" t="s">
        <v>213</v>
      </c>
      <c r="G6769" s="33" t="s">
        <v>20</v>
      </c>
      <c r="H6769" s="35">
        <v>20</v>
      </c>
      <c r="I6769" s="33" t="s">
        <v>21</v>
      </c>
      <c r="J6769" s="42">
        <v>44201</v>
      </c>
      <c r="K6769" s="33" t="s">
        <v>22</v>
      </c>
    </row>
    <row r="6770" spans="1:11">
      <c r="A6770" s="30" t="s">
        <v>15807</v>
      </c>
      <c r="B6770" s="30" t="s">
        <v>15808</v>
      </c>
      <c r="C6770" s="30" t="s">
        <v>190</v>
      </c>
      <c r="D6770" s="30" t="s">
        <v>17</v>
      </c>
      <c r="E6770" s="30" t="s">
        <v>26</v>
      </c>
      <c r="F6770" s="30" t="s">
        <v>27</v>
      </c>
      <c r="G6770" s="30" t="s">
        <v>20</v>
      </c>
      <c r="H6770" s="32">
        <v>62</v>
      </c>
      <c r="I6770" s="30" t="s">
        <v>21</v>
      </c>
      <c r="J6770" s="41">
        <v>44285</v>
      </c>
      <c r="K6770" s="30" t="s">
        <v>22</v>
      </c>
    </row>
    <row r="6771" spans="1:11">
      <c r="A6771" s="33" t="s">
        <v>15809</v>
      </c>
      <c r="B6771" s="33" t="s">
        <v>15810</v>
      </c>
      <c r="C6771" s="33" t="s">
        <v>374</v>
      </c>
      <c r="D6771" s="33" t="s">
        <v>17</v>
      </c>
      <c r="E6771" s="33" t="s">
        <v>26</v>
      </c>
      <c r="F6771" s="33" t="s">
        <v>27</v>
      </c>
      <c r="G6771" s="33" t="s">
        <v>20</v>
      </c>
      <c r="H6771" s="35">
        <v>40</v>
      </c>
      <c r="I6771" s="33" t="s">
        <v>21</v>
      </c>
      <c r="J6771" s="42">
        <v>44294</v>
      </c>
      <c r="K6771" s="33" t="s">
        <v>22</v>
      </c>
    </row>
    <row r="6772" spans="1:11">
      <c r="A6772" s="30" t="s">
        <v>15811</v>
      </c>
      <c r="B6772" s="30" t="s">
        <v>15812</v>
      </c>
      <c r="C6772" s="30" t="s">
        <v>157</v>
      </c>
      <c r="D6772" s="30" t="s">
        <v>17</v>
      </c>
      <c r="E6772" s="30" t="s">
        <v>31</v>
      </c>
      <c r="F6772" s="30" t="s">
        <v>32</v>
      </c>
      <c r="G6772" s="30" t="s">
        <v>112</v>
      </c>
      <c r="H6772" s="32">
        <v>0</v>
      </c>
      <c r="I6772" s="30" t="s">
        <v>21</v>
      </c>
      <c r="J6772" s="41">
        <v>44470</v>
      </c>
      <c r="K6772" s="30" t="s">
        <v>22</v>
      </c>
    </row>
    <row r="6773" spans="1:11">
      <c r="A6773" s="33" t="s">
        <v>15813</v>
      </c>
      <c r="B6773" s="33" t="s">
        <v>15814</v>
      </c>
      <c r="C6773" s="33" t="s">
        <v>1846</v>
      </c>
      <c r="D6773" s="33" t="s">
        <v>17</v>
      </c>
      <c r="E6773" s="33" t="s">
        <v>18</v>
      </c>
      <c r="F6773" s="33" t="s">
        <v>19</v>
      </c>
      <c r="G6773" s="33" t="s">
        <v>20</v>
      </c>
      <c r="H6773" s="35">
        <v>14</v>
      </c>
      <c r="I6773" s="33" t="s">
        <v>21</v>
      </c>
      <c r="J6773" s="42">
        <v>44235</v>
      </c>
      <c r="K6773" s="33" t="s">
        <v>22</v>
      </c>
    </row>
    <row r="6774" spans="1:11">
      <c r="A6774" s="30" t="s">
        <v>15815</v>
      </c>
      <c r="B6774" s="30" t="s">
        <v>15816</v>
      </c>
      <c r="C6774" s="30" t="s">
        <v>1016</v>
      </c>
      <c r="D6774" s="30" t="s">
        <v>17</v>
      </c>
      <c r="E6774" s="30" t="s">
        <v>31</v>
      </c>
      <c r="F6774" s="30" t="s">
        <v>32</v>
      </c>
      <c r="G6774" s="30" t="s">
        <v>106</v>
      </c>
      <c r="H6774" s="32">
        <v>581</v>
      </c>
      <c r="I6774" s="30" t="s">
        <v>21</v>
      </c>
      <c r="J6774" s="41">
        <v>44203</v>
      </c>
      <c r="K6774" s="30" t="s">
        <v>22</v>
      </c>
    </row>
    <row r="6775" spans="1:11">
      <c r="A6775" s="33" t="s">
        <v>15817</v>
      </c>
      <c r="B6775" s="33" t="s">
        <v>15818</v>
      </c>
      <c r="C6775" s="33" t="s">
        <v>15819</v>
      </c>
      <c r="D6775" s="33" t="s">
        <v>17</v>
      </c>
      <c r="E6775" s="33" t="s">
        <v>67</v>
      </c>
      <c r="F6775" s="33" t="s">
        <v>68</v>
      </c>
      <c r="G6775" s="33" t="s">
        <v>158</v>
      </c>
      <c r="H6775" s="35">
        <v>28</v>
      </c>
      <c r="I6775" s="33" t="s">
        <v>21</v>
      </c>
      <c r="J6775" s="42">
        <v>44440</v>
      </c>
      <c r="K6775" s="33" t="s">
        <v>22</v>
      </c>
    </row>
    <row r="6776" spans="1:11">
      <c r="A6776" s="30" t="s">
        <v>15820</v>
      </c>
      <c r="B6776" s="30" t="s">
        <v>15821</v>
      </c>
      <c r="C6776" s="30" t="s">
        <v>995</v>
      </c>
      <c r="D6776" s="30" t="s">
        <v>17</v>
      </c>
      <c r="E6776" s="30" t="s">
        <v>26</v>
      </c>
      <c r="F6776" s="30" t="s">
        <v>27</v>
      </c>
      <c r="G6776" s="30" t="s">
        <v>20</v>
      </c>
      <c r="H6776" s="32">
        <v>30</v>
      </c>
      <c r="I6776" s="30" t="s">
        <v>21</v>
      </c>
      <c r="J6776" s="41">
        <v>44388</v>
      </c>
      <c r="K6776" s="30" t="s">
        <v>22</v>
      </c>
    </row>
    <row r="6777" spans="1:11">
      <c r="A6777" s="33" t="s">
        <v>15822</v>
      </c>
      <c r="B6777" s="33" t="s">
        <v>15823</v>
      </c>
      <c r="C6777" s="33" t="s">
        <v>554</v>
      </c>
      <c r="D6777" s="33" t="s">
        <v>17</v>
      </c>
      <c r="E6777" s="33" t="s">
        <v>26</v>
      </c>
      <c r="F6777" s="33" t="s">
        <v>27</v>
      </c>
      <c r="G6777" s="33" t="s">
        <v>20</v>
      </c>
      <c r="H6777" s="35">
        <v>47</v>
      </c>
      <c r="I6777" s="33" t="s">
        <v>21</v>
      </c>
      <c r="J6777" s="42">
        <v>44531</v>
      </c>
      <c r="K6777" s="33" t="s">
        <v>22</v>
      </c>
    </row>
    <row r="6778" spans="1:11">
      <c r="A6778" s="30" t="s">
        <v>15824</v>
      </c>
      <c r="B6778" s="30" t="s">
        <v>15825</v>
      </c>
      <c r="C6778" s="30" t="s">
        <v>118</v>
      </c>
      <c r="D6778" s="30" t="s">
        <v>17</v>
      </c>
      <c r="E6778" s="30" t="s">
        <v>26</v>
      </c>
      <c r="F6778" s="30" t="s">
        <v>27</v>
      </c>
      <c r="G6778" s="30" t="s">
        <v>106</v>
      </c>
      <c r="H6778" s="32">
        <v>47</v>
      </c>
      <c r="I6778" s="30" t="s">
        <v>21</v>
      </c>
      <c r="J6778" s="41">
        <v>44438</v>
      </c>
      <c r="K6778" s="30" t="s">
        <v>22</v>
      </c>
    </row>
    <row r="6779" spans="1:11">
      <c r="A6779" s="33" t="s">
        <v>15826</v>
      </c>
      <c r="B6779" s="33" t="s">
        <v>15827</v>
      </c>
      <c r="C6779" s="33" t="s">
        <v>3594</v>
      </c>
      <c r="D6779" s="33" t="s">
        <v>17</v>
      </c>
      <c r="E6779" s="33" t="s">
        <v>18</v>
      </c>
      <c r="F6779" s="33" t="s">
        <v>19</v>
      </c>
      <c r="G6779" s="33" t="s">
        <v>158</v>
      </c>
      <c r="H6779" s="35">
        <v>194</v>
      </c>
      <c r="I6779" s="33" t="s">
        <v>21</v>
      </c>
      <c r="J6779" s="42">
        <v>44550</v>
      </c>
      <c r="K6779" s="33" t="s">
        <v>22</v>
      </c>
    </row>
    <row r="6780" spans="1:11">
      <c r="A6780" s="30" t="s">
        <v>15828</v>
      </c>
      <c r="B6780" s="30" t="s">
        <v>10302</v>
      </c>
      <c r="C6780" s="30" t="s">
        <v>109</v>
      </c>
      <c r="D6780" s="30" t="s">
        <v>17</v>
      </c>
      <c r="E6780" s="30" t="s">
        <v>18</v>
      </c>
      <c r="F6780" s="30" t="s">
        <v>19</v>
      </c>
      <c r="G6780" s="30" t="s">
        <v>158</v>
      </c>
      <c r="H6780" s="32">
        <v>1007</v>
      </c>
      <c r="I6780" s="30" t="s">
        <v>21</v>
      </c>
      <c r="J6780" s="41">
        <v>44543</v>
      </c>
      <c r="K6780" s="30" t="s">
        <v>22</v>
      </c>
    </row>
    <row r="6781" spans="1:11">
      <c r="A6781" s="33" t="s">
        <v>15829</v>
      </c>
      <c r="B6781" s="33" t="s">
        <v>15830</v>
      </c>
      <c r="C6781" s="33" t="s">
        <v>15831</v>
      </c>
      <c r="D6781" s="33" t="s">
        <v>17</v>
      </c>
      <c r="E6781" s="33" t="s">
        <v>31</v>
      </c>
      <c r="F6781" s="33" t="s">
        <v>32</v>
      </c>
      <c r="G6781" s="33" t="s">
        <v>20</v>
      </c>
      <c r="H6781" s="35">
        <v>10</v>
      </c>
      <c r="I6781" s="33" t="s">
        <v>21</v>
      </c>
      <c r="J6781" s="42">
        <v>44473</v>
      </c>
      <c r="K6781" s="33" t="s">
        <v>22</v>
      </c>
    </row>
    <row r="6782" spans="1:11">
      <c r="A6782" s="30" t="s">
        <v>15832</v>
      </c>
      <c r="B6782" s="30" t="s">
        <v>15833</v>
      </c>
      <c r="C6782" s="30" t="s">
        <v>190</v>
      </c>
      <c r="D6782" s="30" t="s">
        <v>17</v>
      </c>
      <c r="E6782" s="30" t="s">
        <v>18</v>
      </c>
      <c r="F6782" s="30" t="s">
        <v>19</v>
      </c>
      <c r="G6782" s="30" t="s">
        <v>20</v>
      </c>
      <c r="H6782" s="32">
        <v>416</v>
      </c>
      <c r="I6782" s="30" t="s">
        <v>21</v>
      </c>
      <c r="J6782" s="41">
        <v>44308</v>
      </c>
      <c r="K6782" s="30" t="s">
        <v>22</v>
      </c>
    </row>
    <row r="6783" spans="1:11">
      <c r="A6783" s="33" t="s">
        <v>15834</v>
      </c>
      <c r="B6783" s="33" t="s">
        <v>15835</v>
      </c>
      <c r="C6783" s="33" t="s">
        <v>15836</v>
      </c>
      <c r="D6783" s="33" t="s">
        <v>17</v>
      </c>
      <c r="E6783" s="33" t="s">
        <v>26</v>
      </c>
      <c r="F6783" s="33" t="s">
        <v>27</v>
      </c>
      <c r="G6783" s="33" t="s">
        <v>20</v>
      </c>
      <c r="H6783" s="35">
        <v>22</v>
      </c>
      <c r="I6783" s="33" t="s">
        <v>21</v>
      </c>
      <c r="J6783" s="42">
        <v>44546</v>
      </c>
      <c r="K6783" s="33" t="s">
        <v>22</v>
      </c>
    </row>
    <row r="6784" spans="1:11">
      <c r="A6784" s="30" t="s">
        <v>15837</v>
      </c>
      <c r="B6784" s="30" t="s">
        <v>15838</v>
      </c>
      <c r="C6784" s="30" t="s">
        <v>318</v>
      </c>
      <c r="D6784" s="30" t="s">
        <v>17</v>
      </c>
      <c r="E6784" s="30" t="s">
        <v>26</v>
      </c>
      <c r="F6784" s="30" t="s">
        <v>27</v>
      </c>
      <c r="G6784" s="30" t="s">
        <v>20</v>
      </c>
      <c r="H6784" s="32">
        <v>32</v>
      </c>
      <c r="I6784" s="30" t="s">
        <v>21</v>
      </c>
      <c r="J6784" s="41">
        <v>44417</v>
      </c>
      <c r="K6784" s="30" t="s">
        <v>22</v>
      </c>
    </row>
    <row r="6785" spans="1:11">
      <c r="A6785" s="33" t="s">
        <v>15839</v>
      </c>
      <c r="B6785" s="33" t="s">
        <v>15840</v>
      </c>
      <c r="C6785" s="33" t="s">
        <v>647</v>
      </c>
      <c r="D6785" s="33" t="s">
        <v>17</v>
      </c>
      <c r="E6785" s="33" t="s">
        <v>18</v>
      </c>
      <c r="F6785" s="33" t="s">
        <v>19</v>
      </c>
      <c r="G6785" s="33" t="s">
        <v>20</v>
      </c>
      <c r="H6785" s="35">
        <v>6106</v>
      </c>
      <c r="I6785" s="33" t="s">
        <v>21</v>
      </c>
      <c r="J6785" s="42">
        <v>44502</v>
      </c>
      <c r="K6785" s="33" t="s">
        <v>22</v>
      </c>
    </row>
    <row r="6786" spans="1:11">
      <c r="A6786" s="30" t="s">
        <v>15841</v>
      </c>
      <c r="B6786" s="30" t="s">
        <v>15842</v>
      </c>
      <c r="C6786" s="30" t="s">
        <v>5725</v>
      </c>
      <c r="D6786" s="30" t="s">
        <v>17</v>
      </c>
      <c r="E6786" s="30" t="s">
        <v>67</v>
      </c>
      <c r="F6786" s="30" t="s">
        <v>68</v>
      </c>
      <c r="G6786" s="30" t="s">
        <v>112</v>
      </c>
      <c r="H6786" s="32">
        <v>0</v>
      </c>
      <c r="I6786" s="30" t="s">
        <v>21</v>
      </c>
      <c r="J6786" s="41">
        <v>44536</v>
      </c>
      <c r="K6786" s="30" t="s">
        <v>22</v>
      </c>
    </row>
    <row r="6787" spans="1:11">
      <c r="A6787" s="33" t="s">
        <v>15843</v>
      </c>
      <c r="B6787" s="33" t="s">
        <v>15844</v>
      </c>
      <c r="C6787" s="33" t="s">
        <v>1270</v>
      </c>
      <c r="D6787" s="33" t="s">
        <v>17</v>
      </c>
      <c r="E6787" s="33" t="s">
        <v>26</v>
      </c>
      <c r="F6787" s="33" t="s">
        <v>27</v>
      </c>
      <c r="G6787" s="33" t="s">
        <v>20</v>
      </c>
      <c r="H6787" s="35">
        <v>12</v>
      </c>
      <c r="I6787" s="33" t="s">
        <v>21</v>
      </c>
      <c r="J6787" s="42">
        <v>44497</v>
      </c>
      <c r="K6787" s="33" t="s">
        <v>22</v>
      </c>
    </row>
    <row r="6788" spans="1:11">
      <c r="A6788" s="30" t="s">
        <v>15845</v>
      </c>
      <c r="B6788" s="30" t="s">
        <v>15846</v>
      </c>
      <c r="C6788" s="30" t="s">
        <v>279</v>
      </c>
      <c r="D6788" s="30" t="s">
        <v>17</v>
      </c>
      <c r="E6788" s="30" t="s">
        <v>31</v>
      </c>
      <c r="F6788" s="30" t="s">
        <v>32</v>
      </c>
      <c r="G6788" s="30" t="s">
        <v>20</v>
      </c>
      <c r="H6788" s="32">
        <v>24</v>
      </c>
      <c r="I6788" s="30" t="s">
        <v>21</v>
      </c>
      <c r="J6788" s="41">
        <v>44375</v>
      </c>
      <c r="K6788" s="30" t="s">
        <v>22</v>
      </c>
    </row>
    <row r="6789" spans="1:11">
      <c r="A6789" s="33" t="s">
        <v>15847</v>
      </c>
      <c r="B6789" s="33" t="s">
        <v>15848</v>
      </c>
      <c r="C6789" s="33" t="s">
        <v>524</v>
      </c>
      <c r="D6789" s="33" t="s">
        <v>17</v>
      </c>
      <c r="E6789" s="33" t="s">
        <v>31</v>
      </c>
      <c r="F6789" s="33" t="s">
        <v>32</v>
      </c>
      <c r="G6789" s="33" t="s">
        <v>106</v>
      </c>
      <c r="H6789" s="35">
        <v>9</v>
      </c>
      <c r="I6789" s="33" t="s">
        <v>21</v>
      </c>
      <c r="J6789" s="42">
        <v>44384</v>
      </c>
      <c r="K6789" s="33" t="s">
        <v>22</v>
      </c>
    </row>
    <row r="6790" spans="1:11">
      <c r="A6790" s="30" t="s">
        <v>15849</v>
      </c>
      <c r="B6790" s="30" t="s">
        <v>15850</v>
      </c>
      <c r="C6790" s="30" t="s">
        <v>2562</v>
      </c>
      <c r="D6790" s="30" t="s">
        <v>17</v>
      </c>
      <c r="E6790" s="30" t="s">
        <v>31</v>
      </c>
      <c r="F6790" s="30" t="s">
        <v>32</v>
      </c>
      <c r="G6790" s="30" t="s">
        <v>20</v>
      </c>
      <c r="H6790" s="32">
        <v>46</v>
      </c>
      <c r="I6790" s="30" t="s">
        <v>21</v>
      </c>
      <c r="J6790" s="41">
        <v>44530</v>
      </c>
      <c r="K6790" s="30" t="s">
        <v>22</v>
      </c>
    </row>
    <row r="6791" spans="1:11">
      <c r="A6791" s="33" t="s">
        <v>15851</v>
      </c>
      <c r="B6791" s="33" t="s">
        <v>15852</v>
      </c>
      <c r="C6791" s="33" t="s">
        <v>102</v>
      </c>
      <c r="D6791" s="33" t="s">
        <v>17</v>
      </c>
      <c r="E6791" s="33" t="s">
        <v>31</v>
      </c>
      <c r="F6791" s="33" t="s">
        <v>32</v>
      </c>
      <c r="G6791" s="33" t="s">
        <v>20</v>
      </c>
      <c r="H6791" s="35">
        <v>91</v>
      </c>
      <c r="I6791" s="33" t="s">
        <v>21</v>
      </c>
      <c r="J6791" s="42">
        <v>44494</v>
      </c>
      <c r="K6791" s="33" t="s">
        <v>22</v>
      </c>
    </row>
    <row r="6792" spans="1:11">
      <c r="A6792" s="30" t="s">
        <v>15853</v>
      </c>
      <c r="B6792" s="30" t="s">
        <v>15854</v>
      </c>
      <c r="C6792" s="30" t="s">
        <v>310</v>
      </c>
      <c r="D6792" s="30" t="s">
        <v>17</v>
      </c>
      <c r="E6792" s="30" t="s">
        <v>18</v>
      </c>
      <c r="F6792" s="30" t="s">
        <v>19</v>
      </c>
      <c r="G6792" s="30" t="s">
        <v>20</v>
      </c>
      <c r="H6792" s="32">
        <v>1840</v>
      </c>
      <c r="I6792" s="30" t="s">
        <v>21</v>
      </c>
      <c r="J6792" s="41">
        <v>44334</v>
      </c>
      <c r="K6792" s="30" t="s">
        <v>22</v>
      </c>
    </row>
    <row r="6793" spans="1:11">
      <c r="A6793" s="33" t="s">
        <v>15855</v>
      </c>
      <c r="B6793" s="33" t="s">
        <v>15856</v>
      </c>
      <c r="C6793" s="33" t="s">
        <v>2842</v>
      </c>
      <c r="D6793" s="33" t="s">
        <v>17</v>
      </c>
      <c r="E6793" s="33" t="s">
        <v>18</v>
      </c>
      <c r="F6793" s="33" t="s">
        <v>19</v>
      </c>
      <c r="G6793" s="33" t="s">
        <v>20</v>
      </c>
      <c r="H6793" s="35">
        <v>228</v>
      </c>
      <c r="I6793" s="33" t="s">
        <v>21</v>
      </c>
      <c r="J6793" s="42">
        <v>44385</v>
      </c>
      <c r="K6793" s="33" t="s">
        <v>22</v>
      </c>
    </row>
    <row r="6794" spans="1:11">
      <c r="A6794" s="30" t="s">
        <v>15857</v>
      </c>
      <c r="B6794" s="30" t="s">
        <v>15858</v>
      </c>
      <c r="C6794" s="30" t="s">
        <v>6292</v>
      </c>
      <c r="D6794" s="30" t="s">
        <v>17</v>
      </c>
      <c r="E6794" s="30" t="s">
        <v>330</v>
      </c>
      <c r="F6794" s="30" t="s">
        <v>331</v>
      </c>
      <c r="G6794" s="30" t="s">
        <v>50</v>
      </c>
      <c r="H6794" s="32">
        <v>15</v>
      </c>
      <c r="I6794" s="30" t="s">
        <v>51</v>
      </c>
      <c r="J6794" s="41">
        <v>44362</v>
      </c>
      <c r="K6794" s="30" t="s">
        <v>22</v>
      </c>
    </row>
    <row r="6795" spans="1:11">
      <c r="A6795" s="33" t="s">
        <v>15859</v>
      </c>
      <c r="B6795" s="33" t="s">
        <v>15860</v>
      </c>
      <c r="C6795" s="33" t="s">
        <v>8262</v>
      </c>
      <c r="D6795" s="33" t="s">
        <v>17</v>
      </c>
      <c r="E6795" s="33" t="s">
        <v>212</v>
      </c>
      <c r="F6795" s="33" t="s">
        <v>213</v>
      </c>
      <c r="G6795" s="33" t="s">
        <v>20</v>
      </c>
      <c r="H6795" s="35">
        <v>169</v>
      </c>
      <c r="I6795" s="33" t="s">
        <v>21</v>
      </c>
      <c r="J6795" s="42">
        <v>44364</v>
      </c>
      <c r="K6795" s="33" t="s">
        <v>22</v>
      </c>
    </row>
    <row r="6796" spans="1:11">
      <c r="A6796" s="30" t="s">
        <v>15861</v>
      </c>
      <c r="B6796" s="30" t="s">
        <v>15862</v>
      </c>
      <c r="C6796" s="30" t="s">
        <v>426</v>
      </c>
      <c r="D6796" s="30" t="s">
        <v>17</v>
      </c>
      <c r="E6796" s="30" t="s">
        <v>67</v>
      </c>
      <c r="F6796" s="30" t="s">
        <v>68</v>
      </c>
      <c r="G6796" s="30" t="s">
        <v>50</v>
      </c>
      <c r="H6796" s="32">
        <v>48</v>
      </c>
      <c r="I6796" s="30" t="s">
        <v>51</v>
      </c>
      <c r="J6796" s="41">
        <v>44299</v>
      </c>
      <c r="K6796" s="30" t="s">
        <v>22</v>
      </c>
    </row>
    <row r="6797" spans="1:11">
      <c r="A6797" s="33" t="s">
        <v>15863</v>
      </c>
      <c r="B6797" s="33" t="s">
        <v>15864</v>
      </c>
      <c r="C6797" s="33" t="s">
        <v>15865</v>
      </c>
      <c r="D6797" s="33" t="s">
        <v>17</v>
      </c>
      <c r="E6797" s="33" t="s">
        <v>26</v>
      </c>
      <c r="F6797" s="33" t="s">
        <v>27</v>
      </c>
      <c r="G6797" s="33" t="s">
        <v>20</v>
      </c>
      <c r="H6797" s="35">
        <v>28</v>
      </c>
      <c r="I6797" s="33" t="s">
        <v>21</v>
      </c>
      <c r="J6797" s="42">
        <v>44299</v>
      </c>
      <c r="K6797" s="33" t="s">
        <v>22</v>
      </c>
    </row>
    <row r="6798" spans="1:11">
      <c r="A6798" s="30" t="s">
        <v>15866</v>
      </c>
      <c r="B6798" s="30" t="s">
        <v>15867</v>
      </c>
      <c r="C6798" s="30" t="s">
        <v>252</v>
      </c>
      <c r="D6798" s="30" t="s">
        <v>17</v>
      </c>
      <c r="E6798" s="30" t="s">
        <v>18</v>
      </c>
      <c r="F6798" s="30" t="s">
        <v>19</v>
      </c>
      <c r="G6798" s="30" t="s">
        <v>158</v>
      </c>
      <c r="H6798" s="32">
        <v>296</v>
      </c>
      <c r="I6798" s="30" t="s">
        <v>21</v>
      </c>
      <c r="J6798" s="41">
        <v>44424</v>
      </c>
      <c r="K6798" s="30" t="s">
        <v>22</v>
      </c>
    </row>
    <row r="6799" spans="1:11">
      <c r="A6799" s="33" t="s">
        <v>15868</v>
      </c>
      <c r="B6799" s="33" t="s">
        <v>15869</v>
      </c>
      <c r="C6799" s="33" t="s">
        <v>6470</v>
      </c>
      <c r="D6799" s="33" t="s">
        <v>17</v>
      </c>
      <c r="E6799" s="33" t="s">
        <v>18</v>
      </c>
      <c r="F6799" s="33" t="s">
        <v>19</v>
      </c>
      <c r="G6799" s="33" t="s">
        <v>20</v>
      </c>
      <c r="H6799" s="35">
        <v>566</v>
      </c>
      <c r="I6799" s="33" t="s">
        <v>21</v>
      </c>
      <c r="J6799" s="42">
        <v>44349</v>
      </c>
      <c r="K6799" s="33" t="s">
        <v>22</v>
      </c>
    </row>
    <row r="6800" spans="1:11">
      <c r="A6800" s="30" t="s">
        <v>15870</v>
      </c>
      <c r="B6800" s="30" t="s">
        <v>15871</v>
      </c>
      <c r="C6800" s="30" t="s">
        <v>2292</v>
      </c>
      <c r="D6800" s="30" t="s">
        <v>17</v>
      </c>
      <c r="E6800" s="30" t="s">
        <v>26</v>
      </c>
      <c r="F6800" s="30" t="s">
        <v>27</v>
      </c>
      <c r="G6800" s="30" t="s">
        <v>112</v>
      </c>
      <c r="H6800" s="32">
        <v>0</v>
      </c>
      <c r="I6800" s="30" t="s">
        <v>21</v>
      </c>
      <c r="J6800" s="41">
        <v>44515</v>
      </c>
      <c r="K6800" s="30" t="s">
        <v>22</v>
      </c>
    </row>
    <row r="6801" spans="1:11">
      <c r="A6801" s="33" t="s">
        <v>15872</v>
      </c>
      <c r="B6801" s="33" t="s">
        <v>15873</v>
      </c>
      <c r="C6801" s="33" t="s">
        <v>5262</v>
      </c>
      <c r="D6801" s="33" t="s">
        <v>17</v>
      </c>
      <c r="E6801" s="33" t="s">
        <v>26</v>
      </c>
      <c r="F6801" s="33" t="s">
        <v>27</v>
      </c>
      <c r="G6801" s="33" t="s">
        <v>20</v>
      </c>
      <c r="H6801" s="35">
        <v>33</v>
      </c>
      <c r="I6801" s="33" t="s">
        <v>21</v>
      </c>
      <c r="J6801" s="42">
        <v>44468</v>
      </c>
      <c r="K6801" s="33" t="s">
        <v>22</v>
      </c>
    </row>
    <row r="6802" spans="1:11">
      <c r="A6802" s="30" t="s">
        <v>15874</v>
      </c>
      <c r="B6802" s="30" t="s">
        <v>15875</v>
      </c>
      <c r="C6802" s="30" t="s">
        <v>787</v>
      </c>
      <c r="D6802" s="30" t="s">
        <v>17</v>
      </c>
      <c r="E6802" s="30" t="s">
        <v>26</v>
      </c>
      <c r="F6802" s="30" t="s">
        <v>27</v>
      </c>
      <c r="G6802" s="30" t="s">
        <v>20</v>
      </c>
      <c r="H6802" s="32">
        <v>36</v>
      </c>
      <c r="I6802" s="30" t="s">
        <v>21</v>
      </c>
      <c r="J6802" s="41">
        <v>44546</v>
      </c>
      <c r="K6802" s="30" t="s">
        <v>22</v>
      </c>
    </row>
    <row r="6803" spans="1:11">
      <c r="A6803" s="33" t="s">
        <v>15876</v>
      </c>
      <c r="B6803" s="33" t="s">
        <v>15877</v>
      </c>
      <c r="C6803" s="33" t="s">
        <v>15878</v>
      </c>
      <c r="D6803" s="33" t="s">
        <v>17</v>
      </c>
      <c r="E6803" s="33" t="s">
        <v>26</v>
      </c>
      <c r="F6803" s="33" t="s">
        <v>27</v>
      </c>
      <c r="G6803" s="33" t="s">
        <v>50</v>
      </c>
      <c r="H6803" s="35">
        <v>36</v>
      </c>
      <c r="I6803" s="33" t="s">
        <v>51</v>
      </c>
      <c r="J6803" s="42">
        <v>44340</v>
      </c>
      <c r="K6803" s="33" t="s">
        <v>22</v>
      </c>
    </row>
    <row r="6804" spans="1:11">
      <c r="A6804" s="30" t="s">
        <v>15879</v>
      </c>
      <c r="B6804" s="30" t="s">
        <v>15880</v>
      </c>
      <c r="C6804" s="30" t="s">
        <v>102</v>
      </c>
      <c r="D6804" s="30" t="s">
        <v>17</v>
      </c>
      <c r="E6804" s="30" t="s">
        <v>26</v>
      </c>
      <c r="F6804" s="30" t="s">
        <v>27</v>
      </c>
      <c r="G6804" s="30" t="s">
        <v>20</v>
      </c>
      <c r="H6804" s="32">
        <v>18</v>
      </c>
      <c r="I6804" s="30" t="s">
        <v>21</v>
      </c>
      <c r="J6804" s="41">
        <v>44316</v>
      </c>
      <c r="K6804" s="30" t="s">
        <v>22</v>
      </c>
    </row>
    <row r="6805" spans="1:11">
      <c r="A6805" s="33" t="s">
        <v>15881</v>
      </c>
      <c r="B6805" s="33" t="s">
        <v>15882</v>
      </c>
      <c r="C6805" s="33" t="s">
        <v>109</v>
      </c>
      <c r="D6805" s="33" t="s">
        <v>17</v>
      </c>
      <c r="E6805" s="33" t="s">
        <v>212</v>
      </c>
      <c r="F6805" s="33" t="s">
        <v>213</v>
      </c>
      <c r="G6805" s="33" t="s">
        <v>20</v>
      </c>
      <c r="H6805" s="35">
        <v>52</v>
      </c>
      <c r="I6805" s="33" t="s">
        <v>21</v>
      </c>
      <c r="J6805" s="42">
        <v>44390</v>
      </c>
      <c r="K6805" s="33" t="s">
        <v>22</v>
      </c>
    </row>
    <row r="6806" spans="1:11">
      <c r="A6806" s="30" t="s">
        <v>15883</v>
      </c>
      <c r="B6806" s="30" t="s">
        <v>15884</v>
      </c>
      <c r="C6806" s="30" t="s">
        <v>8151</v>
      </c>
      <c r="D6806" s="30" t="s">
        <v>17</v>
      </c>
      <c r="E6806" s="30" t="s">
        <v>31</v>
      </c>
      <c r="F6806" s="30" t="s">
        <v>32</v>
      </c>
      <c r="G6806" s="30" t="s">
        <v>20</v>
      </c>
      <c r="H6806" s="32">
        <v>123</v>
      </c>
      <c r="I6806" s="30" t="s">
        <v>21</v>
      </c>
      <c r="J6806" s="41">
        <v>44331</v>
      </c>
      <c r="K6806" s="30" t="s">
        <v>22</v>
      </c>
    </row>
    <row r="6807" spans="1:11">
      <c r="A6807" s="33" t="s">
        <v>15885</v>
      </c>
      <c r="B6807" s="33" t="s">
        <v>15886</v>
      </c>
      <c r="C6807" s="33" t="s">
        <v>647</v>
      </c>
      <c r="D6807" s="33" t="s">
        <v>17</v>
      </c>
      <c r="E6807" s="33" t="s">
        <v>18</v>
      </c>
      <c r="F6807" s="33" t="s">
        <v>19</v>
      </c>
      <c r="G6807" s="33" t="s">
        <v>158</v>
      </c>
      <c r="H6807" s="35">
        <v>643</v>
      </c>
      <c r="I6807" s="33" t="s">
        <v>21</v>
      </c>
      <c r="J6807" s="42">
        <v>44543</v>
      </c>
      <c r="K6807" s="33" t="s">
        <v>22</v>
      </c>
    </row>
    <row r="6808" spans="1:11">
      <c r="A6808" s="30" t="s">
        <v>15887</v>
      </c>
      <c r="B6808" s="30" t="s">
        <v>15888</v>
      </c>
      <c r="C6808" s="30" t="s">
        <v>472</v>
      </c>
      <c r="D6808" s="30" t="s">
        <v>17</v>
      </c>
      <c r="E6808" s="30" t="s">
        <v>31</v>
      </c>
      <c r="F6808" s="30" t="s">
        <v>32</v>
      </c>
      <c r="G6808" s="30" t="s">
        <v>20</v>
      </c>
      <c r="H6808" s="32">
        <v>34</v>
      </c>
      <c r="I6808" s="30" t="s">
        <v>21</v>
      </c>
      <c r="J6808" s="41">
        <v>44207</v>
      </c>
      <c r="K6808" s="30" t="s">
        <v>22</v>
      </c>
    </row>
    <row r="6809" spans="1:11">
      <c r="A6809" s="33" t="s">
        <v>15889</v>
      </c>
      <c r="B6809" s="33" t="s">
        <v>15890</v>
      </c>
      <c r="C6809" s="33" t="s">
        <v>102</v>
      </c>
      <c r="D6809" s="33" t="s">
        <v>17</v>
      </c>
      <c r="E6809" s="33" t="s">
        <v>26</v>
      </c>
      <c r="F6809" s="33" t="s">
        <v>27</v>
      </c>
      <c r="G6809" s="33" t="s">
        <v>20</v>
      </c>
      <c r="H6809" s="35">
        <v>13</v>
      </c>
      <c r="I6809" s="33" t="s">
        <v>21</v>
      </c>
      <c r="J6809" s="42">
        <v>44370</v>
      </c>
      <c r="K6809" s="33" t="s">
        <v>22</v>
      </c>
    </row>
    <row r="6810" spans="1:11">
      <c r="A6810" s="30" t="s">
        <v>15891</v>
      </c>
      <c r="B6810" s="30" t="s">
        <v>15892</v>
      </c>
      <c r="C6810" s="30" t="s">
        <v>7900</v>
      </c>
      <c r="D6810" s="30" t="s">
        <v>17</v>
      </c>
      <c r="E6810" s="30" t="s">
        <v>18</v>
      </c>
      <c r="F6810" s="30" t="s">
        <v>19</v>
      </c>
      <c r="G6810" s="30" t="s">
        <v>20</v>
      </c>
      <c r="H6810" s="32">
        <v>155</v>
      </c>
      <c r="I6810" s="30" t="s">
        <v>21</v>
      </c>
      <c r="J6810" s="41">
        <v>44515</v>
      </c>
      <c r="K6810" s="30" t="s">
        <v>22</v>
      </c>
    </row>
    <row r="6811" spans="1:11">
      <c r="A6811" s="33" t="s">
        <v>15893</v>
      </c>
      <c r="B6811" s="33" t="s">
        <v>15894</v>
      </c>
      <c r="C6811" s="33" t="s">
        <v>178</v>
      </c>
      <c r="D6811" s="33" t="s">
        <v>17</v>
      </c>
      <c r="E6811" s="33" t="s">
        <v>18</v>
      </c>
      <c r="F6811" s="33" t="s">
        <v>19</v>
      </c>
      <c r="G6811" s="33" t="s">
        <v>158</v>
      </c>
      <c r="H6811" s="35">
        <v>55</v>
      </c>
      <c r="I6811" s="33" t="s">
        <v>21</v>
      </c>
      <c r="J6811" s="42">
        <v>44231</v>
      </c>
      <c r="K6811" s="33" t="s">
        <v>22</v>
      </c>
    </row>
    <row r="6812" spans="1:11">
      <c r="A6812" s="30" t="s">
        <v>15895</v>
      </c>
      <c r="B6812" s="30" t="s">
        <v>15896</v>
      </c>
      <c r="C6812" s="30" t="s">
        <v>4260</v>
      </c>
      <c r="D6812" s="30" t="s">
        <v>17</v>
      </c>
      <c r="E6812" s="30" t="s">
        <v>18</v>
      </c>
      <c r="F6812" s="30" t="s">
        <v>19</v>
      </c>
      <c r="G6812" s="30" t="s">
        <v>20</v>
      </c>
      <c r="H6812" s="32">
        <v>124</v>
      </c>
      <c r="I6812" s="30" t="s">
        <v>21</v>
      </c>
      <c r="J6812" s="41">
        <v>44529</v>
      </c>
      <c r="K6812" s="30" t="s">
        <v>22</v>
      </c>
    </row>
    <row r="6813" spans="1:11">
      <c r="A6813" s="33" t="s">
        <v>15897</v>
      </c>
      <c r="B6813" s="33" t="s">
        <v>15898</v>
      </c>
      <c r="C6813" s="33" t="s">
        <v>9605</v>
      </c>
      <c r="D6813" s="33" t="s">
        <v>17</v>
      </c>
      <c r="E6813" s="33" t="s">
        <v>67</v>
      </c>
      <c r="F6813" s="33" t="s">
        <v>68</v>
      </c>
      <c r="G6813" s="33" t="s">
        <v>106</v>
      </c>
      <c r="H6813" s="35">
        <v>18</v>
      </c>
      <c r="I6813" s="33" t="s">
        <v>21</v>
      </c>
      <c r="J6813" s="42">
        <v>44336</v>
      </c>
      <c r="K6813" s="33" t="s">
        <v>22</v>
      </c>
    </row>
    <row r="6814" spans="1:11">
      <c r="A6814" s="30" t="s">
        <v>15899</v>
      </c>
      <c r="B6814" s="30" t="s">
        <v>15900</v>
      </c>
      <c r="C6814" s="30" t="s">
        <v>15901</v>
      </c>
      <c r="D6814" s="30" t="s">
        <v>17</v>
      </c>
      <c r="E6814" s="30" t="s">
        <v>31</v>
      </c>
      <c r="F6814" s="30" t="s">
        <v>32</v>
      </c>
      <c r="G6814" s="30" t="s">
        <v>20</v>
      </c>
      <c r="H6814" s="32">
        <v>60</v>
      </c>
      <c r="I6814" s="30" t="s">
        <v>21</v>
      </c>
      <c r="J6814" s="41">
        <v>44383</v>
      </c>
      <c r="K6814" s="30" t="s">
        <v>22</v>
      </c>
    </row>
    <row r="6815" spans="1:11">
      <c r="A6815" s="33" t="s">
        <v>15902</v>
      </c>
      <c r="B6815" s="33" t="s">
        <v>15903</v>
      </c>
      <c r="C6815" s="33" t="s">
        <v>1090</v>
      </c>
      <c r="D6815" s="33" t="s">
        <v>17</v>
      </c>
      <c r="E6815" s="33" t="s">
        <v>26</v>
      </c>
      <c r="F6815" s="33" t="s">
        <v>27</v>
      </c>
      <c r="G6815" s="33" t="s">
        <v>106</v>
      </c>
      <c r="H6815" s="35">
        <v>56</v>
      </c>
      <c r="I6815" s="33" t="s">
        <v>21</v>
      </c>
      <c r="J6815" s="42">
        <v>44208</v>
      </c>
      <c r="K6815" s="33" t="s">
        <v>22</v>
      </c>
    </row>
    <row r="6816" spans="1:11">
      <c r="A6816" s="30" t="s">
        <v>15904</v>
      </c>
      <c r="B6816" s="30" t="s">
        <v>15905</v>
      </c>
      <c r="C6816" s="30" t="s">
        <v>3922</v>
      </c>
      <c r="D6816" s="30" t="s">
        <v>17</v>
      </c>
      <c r="E6816" s="30" t="s">
        <v>26</v>
      </c>
      <c r="F6816" s="30" t="s">
        <v>27</v>
      </c>
      <c r="G6816" s="30" t="s">
        <v>20</v>
      </c>
      <c r="H6816" s="32">
        <v>48</v>
      </c>
      <c r="I6816" s="30" t="s">
        <v>21</v>
      </c>
      <c r="J6816" s="41">
        <v>44466</v>
      </c>
      <c r="K6816" s="30" t="s">
        <v>22</v>
      </c>
    </row>
    <row r="6817" spans="1:11">
      <c r="A6817" s="33" t="s">
        <v>15906</v>
      </c>
      <c r="B6817" s="33" t="s">
        <v>15907</v>
      </c>
      <c r="C6817" s="33" t="s">
        <v>15908</v>
      </c>
      <c r="D6817" s="33" t="s">
        <v>17</v>
      </c>
      <c r="E6817" s="33" t="s">
        <v>31</v>
      </c>
      <c r="F6817" s="33" t="s">
        <v>32</v>
      </c>
      <c r="G6817" s="33" t="s">
        <v>112</v>
      </c>
      <c r="H6817" s="35">
        <v>0</v>
      </c>
      <c r="I6817" s="33" t="s">
        <v>21</v>
      </c>
      <c r="J6817" s="42">
        <v>44433</v>
      </c>
      <c r="K6817" s="33" t="s">
        <v>22</v>
      </c>
    </row>
    <row r="6818" spans="1:11">
      <c r="A6818" s="30" t="s">
        <v>15909</v>
      </c>
      <c r="B6818" s="30" t="s">
        <v>15910</v>
      </c>
      <c r="C6818" s="30" t="s">
        <v>15911</v>
      </c>
      <c r="D6818" s="30" t="s">
        <v>17</v>
      </c>
      <c r="E6818" s="30" t="s">
        <v>26</v>
      </c>
      <c r="F6818" s="30" t="s">
        <v>27</v>
      </c>
      <c r="G6818" s="30" t="s">
        <v>158</v>
      </c>
      <c r="H6818" s="32">
        <v>224</v>
      </c>
      <c r="I6818" s="30" t="s">
        <v>51</v>
      </c>
      <c r="J6818" s="41">
        <v>44313</v>
      </c>
      <c r="K6818" s="30" t="s">
        <v>22</v>
      </c>
    </row>
    <row r="6819" spans="1:11">
      <c r="A6819" s="33" t="s">
        <v>15912</v>
      </c>
      <c r="B6819" s="33" t="s">
        <v>15913</v>
      </c>
      <c r="C6819" s="33" t="s">
        <v>15914</v>
      </c>
      <c r="D6819" s="33" t="s">
        <v>17</v>
      </c>
      <c r="E6819" s="33" t="s">
        <v>26</v>
      </c>
      <c r="F6819" s="33" t="s">
        <v>27</v>
      </c>
      <c r="G6819" s="33" t="s">
        <v>106</v>
      </c>
      <c r="H6819" s="35">
        <v>8</v>
      </c>
      <c r="I6819" s="33" t="s">
        <v>21</v>
      </c>
      <c r="J6819" s="42">
        <v>44440</v>
      </c>
      <c r="K6819" s="33" t="s">
        <v>22</v>
      </c>
    </row>
    <row r="6820" spans="1:11">
      <c r="A6820" s="30" t="s">
        <v>15915</v>
      </c>
      <c r="B6820" s="30" t="s">
        <v>15916</v>
      </c>
      <c r="C6820" s="30" t="s">
        <v>15917</v>
      </c>
      <c r="D6820" s="30" t="s">
        <v>17</v>
      </c>
      <c r="E6820" s="30" t="s">
        <v>26</v>
      </c>
      <c r="F6820" s="30" t="s">
        <v>27</v>
      </c>
      <c r="G6820" s="30" t="s">
        <v>20</v>
      </c>
      <c r="H6820" s="32">
        <v>72</v>
      </c>
      <c r="I6820" s="30" t="s">
        <v>21</v>
      </c>
      <c r="J6820" s="41">
        <v>44418</v>
      </c>
      <c r="K6820" s="30" t="s">
        <v>22</v>
      </c>
    </row>
    <row r="6821" spans="1:11">
      <c r="A6821" s="33" t="s">
        <v>15918</v>
      </c>
      <c r="B6821" s="33" t="s">
        <v>15919</v>
      </c>
      <c r="C6821" s="33" t="s">
        <v>149</v>
      </c>
      <c r="D6821" s="33" t="s">
        <v>17</v>
      </c>
      <c r="E6821" s="33" t="s">
        <v>18</v>
      </c>
      <c r="F6821" s="33" t="s">
        <v>19</v>
      </c>
      <c r="G6821" s="33" t="s">
        <v>106</v>
      </c>
      <c r="H6821" s="35">
        <v>391</v>
      </c>
      <c r="I6821" s="33" t="s">
        <v>21</v>
      </c>
      <c r="J6821" s="42">
        <v>44501</v>
      </c>
      <c r="K6821" s="33" t="s">
        <v>22</v>
      </c>
    </row>
    <row r="6822" spans="1:11">
      <c r="A6822" s="30" t="s">
        <v>15920</v>
      </c>
      <c r="B6822" s="30" t="s">
        <v>15921</v>
      </c>
      <c r="C6822" s="30" t="s">
        <v>178</v>
      </c>
      <c r="D6822" s="30" t="s">
        <v>17</v>
      </c>
      <c r="E6822" s="30" t="s">
        <v>18</v>
      </c>
      <c r="F6822" s="30" t="s">
        <v>19</v>
      </c>
      <c r="G6822" s="30" t="s">
        <v>106</v>
      </c>
      <c r="H6822" s="32">
        <v>96</v>
      </c>
      <c r="I6822" s="30" t="s">
        <v>21</v>
      </c>
      <c r="J6822" s="41">
        <v>44354</v>
      </c>
      <c r="K6822" s="30" t="s">
        <v>22</v>
      </c>
    </row>
    <row r="6823" spans="1:11">
      <c r="A6823" s="33" t="s">
        <v>15922</v>
      </c>
      <c r="B6823" s="33" t="s">
        <v>15923</v>
      </c>
      <c r="C6823" s="33" t="s">
        <v>15924</v>
      </c>
      <c r="D6823" s="33" t="s">
        <v>17</v>
      </c>
      <c r="E6823" s="33" t="s">
        <v>26</v>
      </c>
      <c r="F6823" s="33" t="s">
        <v>27</v>
      </c>
      <c r="G6823" s="33" t="s">
        <v>112</v>
      </c>
      <c r="H6823" s="35">
        <v>0</v>
      </c>
      <c r="I6823" s="33" t="s">
        <v>21</v>
      </c>
      <c r="J6823" s="42">
        <v>44348</v>
      </c>
      <c r="K6823" s="33" t="s">
        <v>22</v>
      </c>
    </row>
    <row r="6824" spans="1:11">
      <c r="A6824" s="30" t="s">
        <v>15925</v>
      </c>
      <c r="B6824" s="30" t="s">
        <v>15926</v>
      </c>
      <c r="C6824" s="30" t="s">
        <v>1931</v>
      </c>
      <c r="D6824" s="30" t="s">
        <v>17</v>
      </c>
      <c r="E6824" s="30" t="s">
        <v>26</v>
      </c>
      <c r="F6824" s="30" t="s">
        <v>27</v>
      </c>
      <c r="G6824" s="30" t="s">
        <v>106</v>
      </c>
      <c r="H6824" s="32">
        <v>33</v>
      </c>
      <c r="I6824" s="30" t="s">
        <v>21</v>
      </c>
      <c r="J6824" s="41">
        <v>44341</v>
      </c>
      <c r="K6824" s="30" t="s">
        <v>22</v>
      </c>
    </row>
    <row r="6825" spans="1:11">
      <c r="A6825" s="33" t="s">
        <v>15927</v>
      </c>
      <c r="B6825" s="33" t="s">
        <v>15928</v>
      </c>
      <c r="C6825" s="33" t="s">
        <v>5207</v>
      </c>
      <c r="D6825" s="33" t="s">
        <v>17</v>
      </c>
      <c r="E6825" s="33" t="s">
        <v>26</v>
      </c>
      <c r="F6825" s="33" t="s">
        <v>27</v>
      </c>
      <c r="G6825" s="33" t="s">
        <v>140</v>
      </c>
      <c r="H6825" s="35">
        <v>34</v>
      </c>
      <c r="I6825" s="33" t="s">
        <v>51</v>
      </c>
      <c r="J6825" s="42">
        <v>44522</v>
      </c>
      <c r="K6825" s="33" t="s">
        <v>22</v>
      </c>
    </row>
    <row r="6826" spans="1:11">
      <c r="A6826" s="30" t="s">
        <v>15929</v>
      </c>
      <c r="B6826" s="30" t="s">
        <v>15930</v>
      </c>
      <c r="C6826" s="30" t="s">
        <v>118</v>
      </c>
      <c r="D6826" s="30" t="s">
        <v>17</v>
      </c>
      <c r="E6826" s="30" t="s">
        <v>31</v>
      </c>
      <c r="F6826" s="30" t="s">
        <v>32</v>
      </c>
      <c r="G6826" s="30" t="s">
        <v>20</v>
      </c>
      <c r="H6826" s="32">
        <v>95</v>
      </c>
      <c r="I6826" s="30" t="s">
        <v>21</v>
      </c>
      <c r="J6826" s="41">
        <v>44230</v>
      </c>
      <c r="K6826" s="30" t="s">
        <v>22</v>
      </c>
    </row>
    <row r="6827" spans="1:11">
      <c r="A6827" s="33" t="s">
        <v>15931</v>
      </c>
      <c r="B6827" s="33" t="s">
        <v>15932</v>
      </c>
      <c r="C6827" s="33" t="s">
        <v>429</v>
      </c>
      <c r="D6827" s="33" t="s">
        <v>17</v>
      </c>
      <c r="E6827" s="33" t="s">
        <v>212</v>
      </c>
      <c r="F6827" s="33" t="s">
        <v>213</v>
      </c>
      <c r="G6827" s="33" t="s">
        <v>20</v>
      </c>
      <c r="H6827" s="35">
        <v>219</v>
      </c>
      <c r="I6827" s="33" t="s">
        <v>21</v>
      </c>
      <c r="J6827" s="42">
        <v>44265</v>
      </c>
      <c r="K6827" s="33" t="s">
        <v>22</v>
      </c>
    </row>
    <row r="6828" spans="1:11">
      <c r="A6828" s="30" t="s">
        <v>15933</v>
      </c>
      <c r="B6828" s="30" t="s">
        <v>15934</v>
      </c>
      <c r="C6828" s="30" t="s">
        <v>5643</v>
      </c>
      <c r="D6828" s="30" t="s">
        <v>17</v>
      </c>
      <c r="E6828" s="30" t="s">
        <v>31</v>
      </c>
      <c r="F6828" s="30" t="s">
        <v>32</v>
      </c>
      <c r="G6828" s="30" t="s">
        <v>20</v>
      </c>
      <c r="H6828" s="32">
        <v>470</v>
      </c>
      <c r="I6828" s="30" t="s">
        <v>21</v>
      </c>
      <c r="J6828" s="41">
        <v>44488</v>
      </c>
      <c r="K6828" s="30" t="s">
        <v>22</v>
      </c>
    </row>
    <row r="6829" spans="1:11">
      <c r="A6829" s="33" t="s">
        <v>15935</v>
      </c>
      <c r="B6829" s="33" t="s">
        <v>15936</v>
      </c>
      <c r="C6829" s="33" t="s">
        <v>407</v>
      </c>
      <c r="D6829" s="33" t="s">
        <v>17</v>
      </c>
      <c r="E6829" s="33" t="s">
        <v>26</v>
      </c>
      <c r="F6829" s="33" t="s">
        <v>27</v>
      </c>
      <c r="G6829" s="33" t="s">
        <v>50</v>
      </c>
      <c r="H6829" s="35">
        <v>64</v>
      </c>
      <c r="I6829" s="33" t="s">
        <v>51</v>
      </c>
      <c r="J6829" s="42">
        <v>44244</v>
      </c>
      <c r="K6829" s="33" t="s">
        <v>22</v>
      </c>
    </row>
    <row r="6830" spans="1:11">
      <c r="A6830" s="30" t="s">
        <v>15937</v>
      </c>
      <c r="B6830" s="30" t="s">
        <v>15938</v>
      </c>
      <c r="C6830" s="30" t="s">
        <v>136</v>
      </c>
      <c r="D6830" s="30" t="s">
        <v>17</v>
      </c>
      <c r="E6830" s="30" t="s">
        <v>31</v>
      </c>
      <c r="F6830" s="30" t="s">
        <v>32</v>
      </c>
      <c r="G6830" s="30" t="s">
        <v>20</v>
      </c>
      <c r="H6830" s="32">
        <v>44</v>
      </c>
      <c r="I6830" s="30" t="s">
        <v>21</v>
      </c>
      <c r="J6830" s="41">
        <v>44216</v>
      </c>
      <c r="K6830" s="30" t="s">
        <v>22</v>
      </c>
    </row>
    <row r="6831" spans="1:11">
      <c r="A6831" s="33" t="s">
        <v>15939</v>
      </c>
      <c r="B6831" s="33" t="s">
        <v>15940</v>
      </c>
      <c r="C6831" s="33" t="s">
        <v>1048</v>
      </c>
      <c r="D6831" s="33" t="s">
        <v>17</v>
      </c>
      <c r="E6831" s="33" t="s">
        <v>212</v>
      </c>
      <c r="F6831" s="33" t="s">
        <v>213</v>
      </c>
      <c r="G6831" s="33" t="s">
        <v>20</v>
      </c>
      <c r="H6831" s="35">
        <v>100</v>
      </c>
      <c r="I6831" s="33" t="s">
        <v>21</v>
      </c>
      <c r="J6831" s="42">
        <v>44536</v>
      </c>
      <c r="K6831" s="33" t="s">
        <v>22</v>
      </c>
    </row>
    <row r="6832" spans="1:11">
      <c r="A6832" s="30" t="s">
        <v>15941</v>
      </c>
      <c r="B6832" s="30" t="s">
        <v>15942</v>
      </c>
      <c r="C6832" s="30" t="s">
        <v>14559</v>
      </c>
      <c r="D6832" s="30" t="s">
        <v>17</v>
      </c>
      <c r="E6832" s="30" t="s">
        <v>31</v>
      </c>
      <c r="F6832" s="30" t="s">
        <v>32</v>
      </c>
      <c r="G6832" s="30" t="s">
        <v>112</v>
      </c>
      <c r="H6832" s="32">
        <v>0</v>
      </c>
      <c r="I6832" s="30" t="s">
        <v>21</v>
      </c>
      <c r="J6832" s="41">
        <v>44532</v>
      </c>
      <c r="K6832" s="30" t="s">
        <v>22</v>
      </c>
    </row>
    <row r="6833" spans="1:11">
      <c r="A6833" s="33" t="s">
        <v>15943</v>
      </c>
      <c r="B6833" s="33" t="s">
        <v>15944</v>
      </c>
      <c r="C6833" s="33" t="s">
        <v>899</v>
      </c>
      <c r="D6833" s="33" t="s">
        <v>17</v>
      </c>
      <c r="E6833" s="33" t="s">
        <v>26</v>
      </c>
      <c r="F6833" s="33" t="s">
        <v>27</v>
      </c>
      <c r="G6833" s="33" t="s">
        <v>20</v>
      </c>
      <c r="H6833" s="35">
        <v>60</v>
      </c>
      <c r="I6833" s="33" t="s">
        <v>21</v>
      </c>
      <c r="J6833" s="42">
        <v>44449</v>
      </c>
      <c r="K6833" s="33" t="s">
        <v>22</v>
      </c>
    </row>
    <row r="6834" spans="1:11">
      <c r="A6834" s="30" t="s">
        <v>15945</v>
      </c>
      <c r="B6834" s="30" t="s">
        <v>15946</v>
      </c>
      <c r="C6834" s="30" t="s">
        <v>4348</v>
      </c>
      <c r="D6834" s="30" t="s">
        <v>17</v>
      </c>
      <c r="E6834" s="30" t="s">
        <v>31</v>
      </c>
      <c r="F6834" s="30" t="s">
        <v>32</v>
      </c>
      <c r="G6834" s="30" t="s">
        <v>158</v>
      </c>
      <c r="H6834" s="32">
        <v>11</v>
      </c>
      <c r="I6834" s="30" t="s">
        <v>21</v>
      </c>
      <c r="J6834" s="41">
        <v>44489</v>
      </c>
      <c r="K6834" s="30" t="s">
        <v>22</v>
      </c>
    </row>
    <row r="6835" spans="1:11">
      <c r="A6835" s="33" t="s">
        <v>15947</v>
      </c>
      <c r="B6835" s="33" t="s">
        <v>15948</v>
      </c>
      <c r="C6835" s="33" t="s">
        <v>130</v>
      </c>
      <c r="D6835" s="33" t="s">
        <v>17</v>
      </c>
      <c r="E6835" s="33" t="s">
        <v>31</v>
      </c>
      <c r="F6835" s="33" t="s">
        <v>32</v>
      </c>
      <c r="G6835" s="33" t="s">
        <v>20</v>
      </c>
      <c r="H6835" s="35">
        <v>60</v>
      </c>
      <c r="I6835" s="33" t="s">
        <v>21</v>
      </c>
      <c r="J6835" s="42">
        <v>44370</v>
      </c>
      <c r="K6835" s="33" t="s">
        <v>22</v>
      </c>
    </row>
    <row r="6836" spans="1:11">
      <c r="A6836" s="30" t="s">
        <v>15949</v>
      </c>
      <c r="B6836" s="30" t="s">
        <v>15950</v>
      </c>
      <c r="C6836" s="30" t="s">
        <v>57</v>
      </c>
      <c r="D6836" s="30" t="s">
        <v>17</v>
      </c>
      <c r="E6836" s="30" t="s">
        <v>18</v>
      </c>
      <c r="F6836" s="30" t="s">
        <v>19</v>
      </c>
      <c r="G6836" s="30" t="s">
        <v>50</v>
      </c>
      <c r="H6836" s="32">
        <v>280</v>
      </c>
      <c r="I6836" s="30" t="s">
        <v>51</v>
      </c>
      <c r="J6836" s="41">
        <v>44228</v>
      </c>
      <c r="K6836" s="30" t="s">
        <v>22</v>
      </c>
    </row>
    <row r="6837" spans="1:11">
      <c r="A6837" s="33" t="s">
        <v>15951</v>
      </c>
      <c r="B6837" s="33" t="s">
        <v>15952</v>
      </c>
      <c r="C6837" s="33" t="s">
        <v>4260</v>
      </c>
      <c r="D6837" s="33" t="s">
        <v>17</v>
      </c>
      <c r="E6837" s="33" t="s">
        <v>31</v>
      </c>
      <c r="F6837" s="33" t="s">
        <v>32</v>
      </c>
      <c r="G6837" s="33" t="s">
        <v>112</v>
      </c>
      <c r="H6837" s="35">
        <v>0</v>
      </c>
      <c r="I6837" s="33" t="s">
        <v>21</v>
      </c>
      <c r="J6837" s="42">
        <v>44228</v>
      </c>
      <c r="K6837" s="33" t="s">
        <v>22</v>
      </c>
    </row>
    <row r="6838" spans="1:11">
      <c r="A6838" s="30" t="s">
        <v>15953</v>
      </c>
      <c r="B6838" s="30" t="s">
        <v>15954</v>
      </c>
      <c r="C6838" s="30" t="s">
        <v>15955</v>
      </c>
      <c r="D6838" s="30" t="s">
        <v>17</v>
      </c>
      <c r="E6838" s="30" t="s">
        <v>18</v>
      </c>
      <c r="F6838" s="30" t="s">
        <v>19</v>
      </c>
      <c r="G6838" s="30" t="s">
        <v>50</v>
      </c>
      <c r="H6838" s="32">
        <v>354</v>
      </c>
      <c r="I6838" s="30" t="s">
        <v>51</v>
      </c>
      <c r="J6838" s="41">
        <v>44336</v>
      </c>
      <c r="K6838" s="30" t="s">
        <v>22</v>
      </c>
    </row>
    <row r="6839" spans="1:11">
      <c r="A6839" s="33" t="s">
        <v>15956</v>
      </c>
      <c r="B6839" s="33" t="s">
        <v>15957</v>
      </c>
      <c r="C6839" s="33" t="s">
        <v>190</v>
      </c>
      <c r="D6839" s="33" t="s">
        <v>17</v>
      </c>
      <c r="E6839" s="33" t="s">
        <v>26</v>
      </c>
      <c r="F6839" s="33" t="s">
        <v>27</v>
      </c>
      <c r="G6839" s="33" t="s">
        <v>20</v>
      </c>
      <c r="H6839" s="35">
        <v>21</v>
      </c>
      <c r="I6839" s="33" t="s">
        <v>21</v>
      </c>
      <c r="J6839" s="42">
        <v>44484</v>
      </c>
      <c r="K6839" s="33" t="s">
        <v>22</v>
      </c>
    </row>
    <row r="6840" spans="1:11">
      <c r="A6840" s="30" t="s">
        <v>15958</v>
      </c>
      <c r="B6840" s="30" t="s">
        <v>15959</v>
      </c>
      <c r="C6840" s="30" t="s">
        <v>75</v>
      </c>
      <c r="D6840" s="30" t="s">
        <v>17</v>
      </c>
      <c r="E6840" s="30" t="s">
        <v>26</v>
      </c>
      <c r="F6840" s="30" t="s">
        <v>27</v>
      </c>
      <c r="G6840" s="30" t="s">
        <v>106</v>
      </c>
      <c r="H6840" s="32">
        <v>9</v>
      </c>
      <c r="I6840" s="30" t="s">
        <v>21</v>
      </c>
      <c r="J6840" s="41">
        <v>44251</v>
      </c>
      <c r="K6840" s="30" t="s">
        <v>22</v>
      </c>
    </row>
    <row r="6841" spans="1:11">
      <c r="A6841" s="33" t="s">
        <v>15960</v>
      </c>
      <c r="B6841" s="33" t="s">
        <v>15961</v>
      </c>
      <c r="C6841" s="33" t="s">
        <v>15962</v>
      </c>
      <c r="D6841" s="33" t="s">
        <v>17</v>
      </c>
      <c r="E6841" s="33" t="s">
        <v>26</v>
      </c>
      <c r="F6841" s="33" t="s">
        <v>27</v>
      </c>
      <c r="G6841" s="33" t="s">
        <v>20</v>
      </c>
      <c r="H6841" s="35">
        <v>24</v>
      </c>
      <c r="I6841" s="33" t="s">
        <v>21</v>
      </c>
      <c r="J6841" s="42">
        <v>44217</v>
      </c>
      <c r="K6841" s="33" t="s">
        <v>22</v>
      </c>
    </row>
    <row r="6842" spans="1:11">
      <c r="A6842" s="30" t="s">
        <v>15963</v>
      </c>
      <c r="B6842" s="30" t="s">
        <v>15964</v>
      </c>
      <c r="C6842" s="30" t="s">
        <v>2196</v>
      </c>
      <c r="D6842" s="30" t="s">
        <v>17</v>
      </c>
      <c r="E6842" s="30" t="s">
        <v>26</v>
      </c>
      <c r="F6842" s="30" t="s">
        <v>27</v>
      </c>
      <c r="G6842" s="30" t="s">
        <v>106</v>
      </c>
      <c r="H6842" s="32">
        <v>46</v>
      </c>
      <c r="I6842" s="30" t="s">
        <v>21</v>
      </c>
      <c r="J6842" s="41">
        <v>44298</v>
      </c>
      <c r="K6842" s="30" t="s">
        <v>22</v>
      </c>
    </row>
    <row r="6843" spans="1:11">
      <c r="A6843" s="33" t="s">
        <v>15965</v>
      </c>
      <c r="B6843" s="33" t="s">
        <v>15966</v>
      </c>
      <c r="C6843" s="33" t="s">
        <v>450</v>
      </c>
      <c r="D6843" s="33" t="s">
        <v>17</v>
      </c>
      <c r="E6843" s="33" t="s">
        <v>26</v>
      </c>
      <c r="F6843" s="33" t="s">
        <v>27</v>
      </c>
      <c r="G6843" s="33" t="s">
        <v>20</v>
      </c>
      <c r="H6843" s="35">
        <v>40</v>
      </c>
      <c r="I6843" s="33" t="s">
        <v>21</v>
      </c>
      <c r="J6843" s="42">
        <v>44385</v>
      </c>
      <c r="K6843" s="33" t="s">
        <v>22</v>
      </c>
    </row>
    <row r="6844" spans="1:11">
      <c r="A6844" s="30" t="s">
        <v>15967</v>
      </c>
      <c r="B6844" s="30" t="s">
        <v>15968</v>
      </c>
      <c r="C6844" s="30" t="s">
        <v>15969</v>
      </c>
      <c r="D6844" s="30" t="s">
        <v>17</v>
      </c>
      <c r="E6844" s="30" t="s">
        <v>31</v>
      </c>
      <c r="F6844" s="30" t="s">
        <v>32</v>
      </c>
      <c r="G6844" s="30" t="s">
        <v>20</v>
      </c>
      <c r="H6844" s="32">
        <v>368</v>
      </c>
      <c r="I6844" s="30" t="s">
        <v>21</v>
      </c>
      <c r="J6844" s="41">
        <v>44511</v>
      </c>
      <c r="K6844" s="30" t="s">
        <v>22</v>
      </c>
    </row>
    <row r="6845" spans="1:11">
      <c r="A6845" s="33" t="s">
        <v>15970</v>
      </c>
      <c r="B6845" s="33" t="s">
        <v>15971</v>
      </c>
      <c r="C6845" s="33" t="s">
        <v>969</v>
      </c>
      <c r="D6845" s="33" t="s">
        <v>17</v>
      </c>
      <c r="E6845" s="33" t="s">
        <v>18</v>
      </c>
      <c r="F6845" s="33" t="s">
        <v>19</v>
      </c>
      <c r="G6845" s="33" t="s">
        <v>106</v>
      </c>
      <c r="H6845" s="35">
        <v>384</v>
      </c>
      <c r="I6845" s="33" t="s">
        <v>21</v>
      </c>
      <c r="J6845" s="42">
        <v>44411</v>
      </c>
      <c r="K6845" s="33" t="s">
        <v>22</v>
      </c>
    </row>
    <row r="6846" spans="1:11">
      <c r="A6846" s="30" t="s">
        <v>15972</v>
      </c>
      <c r="B6846" s="30" t="s">
        <v>15973</v>
      </c>
      <c r="C6846" s="30" t="s">
        <v>549</v>
      </c>
      <c r="D6846" s="30" t="s">
        <v>17</v>
      </c>
      <c r="E6846" s="30" t="s">
        <v>18</v>
      </c>
      <c r="F6846" s="30" t="s">
        <v>19</v>
      </c>
      <c r="G6846" s="30" t="s">
        <v>158</v>
      </c>
      <c r="H6846" s="32">
        <v>153</v>
      </c>
      <c r="I6846" s="30" t="s">
        <v>21</v>
      </c>
      <c r="J6846" s="41">
        <v>44406</v>
      </c>
      <c r="K6846" s="30" t="s">
        <v>22</v>
      </c>
    </row>
    <row r="6847" spans="1:11">
      <c r="A6847" s="33" t="s">
        <v>15974</v>
      </c>
      <c r="B6847" s="33" t="s">
        <v>15975</v>
      </c>
      <c r="C6847" s="33" t="s">
        <v>15976</v>
      </c>
      <c r="D6847" s="33" t="s">
        <v>17</v>
      </c>
      <c r="E6847" s="33" t="s">
        <v>45</v>
      </c>
      <c r="F6847" s="33" t="s">
        <v>46</v>
      </c>
      <c r="G6847" s="33" t="s">
        <v>20</v>
      </c>
      <c r="H6847" s="35">
        <v>20</v>
      </c>
      <c r="I6847" s="33" t="s">
        <v>21</v>
      </c>
      <c r="J6847" s="42">
        <v>44426</v>
      </c>
      <c r="K6847" s="33" t="s">
        <v>22</v>
      </c>
    </row>
    <row r="6848" spans="1:11">
      <c r="A6848" s="30" t="s">
        <v>15977</v>
      </c>
      <c r="B6848" s="30" t="s">
        <v>15978</v>
      </c>
      <c r="C6848" s="30" t="s">
        <v>2618</v>
      </c>
      <c r="D6848" s="30" t="s">
        <v>17</v>
      </c>
      <c r="E6848" s="30" t="s">
        <v>26</v>
      </c>
      <c r="F6848" s="30" t="s">
        <v>27</v>
      </c>
      <c r="G6848" s="30" t="s">
        <v>158</v>
      </c>
      <c r="H6848" s="32">
        <v>17</v>
      </c>
      <c r="I6848" s="30" t="s">
        <v>21</v>
      </c>
      <c r="J6848" s="41">
        <v>44533</v>
      </c>
      <c r="K6848" s="30" t="s">
        <v>22</v>
      </c>
    </row>
    <row r="6849" spans="1:11">
      <c r="A6849" s="33" t="s">
        <v>15979</v>
      </c>
      <c r="B6849" s="33" t="s">
        <v>15980</v>
      </c>
      <c r="C6849" s="33" t="s">
        <v>969</v>
      </c>
      <c r="D6849" s="33" t="s">
        <v>17</v>
      </c>
      <c r="E6849" s="33" t="s">
        <v>67</v>
      </c>
      <c r="F6849" s="33" t="s">
        <v>68</v>
      </c>
      <c r="G6849" s="33" t="s">
        <v>106</v>
      </c>
      <c r="H6849" s="35">
        <v>4</v>
      </c>
      <c r="I6849" s="33" t="s">
        <v>21</v>
      </c>
      <c r="J6849" s="42">
        <v>44264</v>
      </c>
      <c r="K6849" s="33" t="s">
        <v>22</v>
      </c>
    </row>
    <row r="6850" spans="1:11">
      <c r="A6850" s="30" t="s">
        <v>15981</v>
      </c>
      <c r="B6850" s="30" t="s">
        <v>15982</v>
      </c>
      <c r="C6850" s="30" t="s">
        <v>1313</v>
      </c>
      <c r="D6850" s="30" t="s">
        <v>17</v>
      </c>
      <c r="E6850" s="30" t="s">
        <v>31</v>
      </c>
      <c r="F6850" s="30" t="s">
        <v>32</v>
      </c>
      <c r="G6850" s="30" t="s">
        <v>112</v>
      </c>
      <c r="H6850" s="32">
        <v>0</v>
      </c>
      <c r="I6850" s="30" t="s">
        <v>21</v>
      </c>
      <c r="J6850" s="41">
        <v>44440</v>
      </c>
      <c r="K6850" s="30" t="s">
        <v>22</v>
      </c>
    </row>
    <row r="6851" spans="1:11">
      <c r="A6851" s="33" t="s">
        <v>15983</v>
      </c>
      <c r="B6851" s="33" t="s">
        <v>15984</v>
      </c>
      <c r="C6851" s="33" t="s">
        <v>1003</v>
      </c>
      <c r="D6851" s="33" t="s">
        <v>17</v>
      </c>
      <c r="E6851" s="33" t="s">
        <v>18</v>
      </c>
      <c r="F6851" s="33" t="s">
        <v>19</v>
      </c>
      <c r="G6851" s="33" t="s">
        <v>20</v>
      </c>
      <c r="H6851" s="35">
        <v>425</v>
      </c>
      <c r="I6851" s="33" t="s">
        <v>21</v>
      </c>
      <c r="J6851" s="42">
        <v>44443</v>
      </c>
      <c r="K6851" s="33" t="s">
        <v>22</v>
      </c>
    </row>
    <row r="6852" spans="1:11">
      <c r="A6852" s="30" t="s">
        <v>15985</v>
      </c>
      <c r="B6852" s="30" t="s">
        <v>15986</v>
      </c>
      <c r="C6852" s="30" t="s">
        <v>14825</v>
      </c>
      <c r="D6852" s="30" t="s">
        <v>17</v>
      </c>
      <c r="E6852" s="30" t="s">
        <v>31</v>
      </c>
      <c r="F6852" s="30" t="s">
        <v>32</v>
      </c>
      <c r="G6852" s="30" t="s">
        <v>158</v>
      </c>
      <c r="H6852" s="32">
        <v>21</v>
      </c>
      <c r="I6852" s="30" t="s">
        <v>51</v>
      </c>
      <c r="J6852" s="41">
        <v>44356</v>
      </c>
      <c r="K6852" s="30" t="s">
        <v>22</v>
      </c>
    </row>
    <row r="6853" spans="1:11">
      <c r="A6853" s="33" t="s">
        <v>15987</v>
      </c>
      <c r="B6853" s="33" t="s">
        <v>15988</v>
      </c>
      <c r="C6853" s="33" t="s">
        <v>15788</v>
      </c>
      <c r="D6853" s="33" t="s">
        <v>17</v>
      </c>
      <c r="E6853" s="33" t="s">
        <v>31</v>
      </c>
      <c r="F6853" s="33" t="s">
        <v>32</v>
      </c>
      <c r="G6853" s="33" t="s">
        <v>20</v>
      </c>
      <c r="H6853" s="35">
        <v>40</v>
      </c>
      <c r="I6853" s="33" t="s">
        <v>21</v>
      </c>
      <c r="J6853" s="42">
        <v>44511</v>
      </c>
      <c r="K6853" s="33" t="s">
        <v>22</v>
      </c>
    </row>
    <row r="6854" spans="1:11">
      <c r="A6854" s="30" t="s">
        <v>15989</v>
      </c>
      <c r="B6854" s="30" t="s">
        <v>15990</v>
      </c>
      <c r="C6854" s="30" t="s">
        <v>10797</v>
      </c>
      <c r="D6854" s="30" t="s">
        <v>17</v>
      </c>
      <c r="E6854" s="30" t="s">
        <v>31</v>
      </c>
      <c r="F6854" s="30" t="s">
        <v>32</v>
      </c>
      <c r="G6854" s="30" t="s">
        <v>50</v>
      </c>
      <c r="H6854" s="32">
        <v>60</v>
      </c>
      <c r="I6854" s="30" t="s">
        <v>51</v>
      </c>
      <c r="J6854" s="41">
        <v>44378</v>
      </c>
      <c r="K6854" s="30" t="s">
        <v>22</v>
      </c>
    </row>
    <row r="6855" spans="1:11">
      <c r="A6855" s="33" t="s">
        <v>15991</v>
      </c>
      <c r="B6855" s="33" t="s">
        <v>15992</v>
      </c>
      <c r="C6855" s="33" t="s">
        <v>154</v>
      </c>
      <c r="D6855" s="33" t="s">
        <v>17</v>
      </c>
      <c r="E6855" s="33" t="s">
        <v>26</v>
      </c>
      <c r="F6855" s="33" t="s">
        <v>27</v>
      </c>
      <c r="G6855" s="33" t="s">
        <v>20</v>
      </c>
      <c r="H6855" s="35">
        <v>92</v>
      </c>
      <c r="I6855" s="33" t="s">
        <v>21</v>
      </c>
      <c r="J6855" s="42">
        <v>44515</v>
      </c>
      <c r="K6855" s="33" t="s">
        <v>22</v>
      </c>
    </row>
    <row r="6856" spans="1:11">
      <c r="A6856" s="30" t="s">
        <v>15993</v>
      </c>
      <c r="B6856" s="30" t="s">
        <v>15994</v>
      </c>
      <c r="C6856" s="30" t="s">
        <v>1598</v>
      </c>
      <c r="D6856" s="30" t="s">
        <v>17</v>
      </c>
      <c r="E6856" s="30" t="s">
        <v>26</v>
      </c>
      <c r="F6856" s="30" t="s">
        <v>27</v>
      </c>
      <c r="G6856" s="30" t="s">
        <v>20</v>
      </c>
      <c r="H6856" s="32">
        <v>16</v>
      </c>
      <c r="I6856" s="30" t="s">
        <v>21</v>
      </c>
      <c r="J6856" s="41">
        <v>44368</v>
      </c>
      <c r="K6856" s="30" t="s">
        <v>22</v>
      </c>
    </row>
    <row r="6857" spans="1:11">
      <c r="A6857" s="33" t="s">
        <v>15995</v>
      </c>
      <c r="B6857" s="33" t="s">
        <v>15996</v>
      </c>
      <c r="C6857" s="33" t="s">
        <v>899</v>
      </c>
      <c r="D6857" s="33" t="s">
        <v>17</v>
      </c>
      <c r="E6857" s="33" t="s">
        <v>31</v>
      </c>
      <c r="F6857" s="33" t="s">
        <v>32</v>
      </c>
      <c r="G6857" s="33" t="s">
        <v>20</v>
      </c>
      <c r="H6857" s="35">
        <v>68</v>
      </c>
      <c r="I6857" s="33" t="s">
        <v>21</v>
      </c>
      <c r="J6857" s="42">
        <v>44515</v>
      </c>
      <c r="K6857" s="33" t="s">
        <v>22</v>
      </c>
    </row>
    <row r="6858" spans="1:11">
      <c r="A6858" s="30" t="s">
        <v>15997</v>
      </c>
      <c r="B6858" s="30" t="s">
        <v>15998</v>
      </c>
      <c r="C6858" s="30" t="s">
        <v>15999</v>
      </c>
      <c r="D6858" s="30" t="s">
        <v>17</v>
      </c>
      <c r="E6858" s="30" t="s">
        <v>26</v>
      </c>
      <c r="F6858" s="30" t="s">
        <v>27</v>
      </c>
      <c r="G6858" s="30" t="s">
        <v>20</v>
      </c>
      <c r="H6858" s="32">
        <v>28</v>
      </c>
      <c r="I6858" s="30" t="s">
        <v>21</v>
      </c>
      <c r="J6858" s="41">
        <v>44385</v>
      </c>
      <c r="K6858" s="30" t="s">
        <v>22</v>
      </c>
    </row>
    <row r="6859" spans="1:11">
      <c r="A6859" s="33" t="s">
        <v>16000</v>
      </c>
      <c r="B6859" s="33" t="s">
        <v>16001</v>
      </c>
      <c r="C6859" s="33" t="s">
        <v>16002</v>
      </c>
      <c r="D6859" s="33" t="s">
        <v>17</v>
      </c>
      <c r="E6859" s="33" t="s">
        <v>31</v>
      </c>
      <c r="F6859" s="33" t="s">
        <v>32</v>
      </c>
      <c r="G6859" s="33" t="s">
        <v>140</v>
      </c>
      <c r="H6859" s="35">
        <v>40</v>
      </c>
      <c r="I6859" s="33" t="s">
        <v>51</v>
      </c>
      <c r="J6859" s="42">
        <v>44448</v>
      </c>
      <c r="K6859" s="33" t="s">
        <v>22</v>
      </c>
    </row>
    <row r="6860" spans="1:11">
      <c r="A6860" s="30" t="s">
        <v>16003</v>
      </c>
      <c r="B6860" s="30" t="s">
        <v>16004</v>
      </c>
      <c r="C6860" s="30" t="s">
        <v>222</v>
      </c>
      <c r="D6860" s="30" t="s">
        <v>17</v>
      </c>
      <c r="E6860" s="30" t="s">
        <v>31</v>
      </c>
      <c r="F6860" s="30" t="s">
        <v>32</v>
      </c>
      <c r="G6860" s="30" t="s">
        <v>20</v>
      </c>
      <c r="H6860" s="32">
        <v>137</v>
      </c>
      <c r="I6860" s="30" t="s">
        <v>21</v>
      </c>
      <c r="J6860" s="41">
        <v>44285</v>
      </c>
      <c r="K6860" s="30" t="s">
        <v>22</v>
      </c>
    </row>
    <row r="6861" spans="1:11">
      <c r="A6861" s="33" t="s">
        <v>16005</v>
      </c>
      <c r="B6861" s="33" t="s">
        <v>16006</v>
      </c>
      <c r="C6861" s="33" t="s">
        <v>570</v>
      </c>
      <c r="D6861" s="33" t="s">
        <v>17</v>
      </c>
      <c r="E6861" s="33" t="s">
        <v>26</v>
      </c>
      <c r="F6861" s="33" t="s">
        <v>27</v>
      </c>
      <c r="G6861" s="33" t="s">
        <v>50</v>
      </c>
      <c r="H6861" s="35">
        <v>96</v>
      </c>
      <c r="I6861" s="33" t="s">
        <v>51</v>
      </c>
      <c r="J6861" s="42">
        <v>44349</v>
      </c>
      <c r="K6861" s="33" t="s">
        <v>22</v>
      </c>
    </row>
    <row r="6862" spans="1:11">
      <c r="A6862" s="30" t="s">
        <v>16007</v>
      </c>
      <c r="B6862" s="30" t="s">
        <v>16008</v>
      </c>
      <c r="C6862" s="30" t="s">
        <v>8851</v>
      </c>
      <c r="D6862" s="30" t="s">
        <v>17</v>
      </c>
      <c r="E6862" s="30" t="s">
        <v>26</v>
      </c>
      <c r="F6862" s="30" t="s">
        <v>27</v>
      </c>
      <c r="G6862" s="30" t="s">
        <v>106</v>
      </c>
      <c r="H6862" s="32">
        <v>10</v>
      </c>
      <c r="I6862" s="30" t="s">
        <v>21</v>
      </c>
      <c r="J6862" s="41">
        <v>44340</v>
      </c>
      <c r="K6862" s="30" t="s">
        <v>22</v>
      </c>
    </row>
    <row r="6863" spans="1:11">
      <c r="A6863" s="33" t="s">
        <v>16009</v>
      </c>
      <c r="B6863" s="33" t="s">
        <v>16010</v>
      </c>
      <c r="C6863" s="33" t="s">
        <v>6735</v>
      </c>
      <c r="D6863" s="33" t="s">
        <v>17</v>
      </c>
      <c r="E6863" s="33" t="s">
        <v>31</v>
      </c>
      <c r="F6863" s="33" t="s">
        <v>32</v>
      </c>
      <c r="G6863" s="33" t="s">
        <v>106</v>
      </c>
      <c r="H6863" s="35">
        <v>34</v>
      </c>
      <c r="I6863" s="33" t="s">
        <v>21</v>
      </c>
      <c r="J6863" s="42">
        <v>44340</v>
      </c>
      <c r="K6863" s="33" t="s">
        <v>22</v>
      </c>
    </row>
    <row r="6864" spans="1:11">
      <c r="A6864" s="30" t="s">
        <v>16011</v>
      </c>
      <c r="B6864" s="30" t="s">
        <v>16012</v>
      </c>
      <c r="C6864" s="30" t="s">
        <v>75</v>
      </c>
      <c r="D6864" s="30" t="s">
        <v>17</v>
      </c>
      <c r="E6864" s="30" t="s">
        <v>18</v>
      </c>
      <c r="F6864" s="30" t="s">
        <v>19</v>
      </c>
      <c r="G6864" s="30" t="s">
        <v>140</v>
      </c>
      <c r="H6864" s="32">
        <v>102</v>
      </c>
      <c r="I6864" s="30" t="s">
        <v>51</v>
      </c>
      <c r="J6864" s="41">
        <v>44398</v>
      </c>
      <c r="K6864" s="30" t="s">
        <v>22</v>
      </c>
    </row>
    <row r="6865" spans="1:11">
      <c r="A6865" s="33" t="s">
        <v>16013</v>
      </c>
      <c r="B6865" s="33" t="s">
        <v>16014</v>
      </c>
      <c r="C6865" s="33" t="s">
        <v>13219</v>
      </c>
      <c r="D6865" s="33" t="s">
        <v>17</v>
      </c>
      <c r="E6865" s="33" t="s">
        <v>31</v>
      </c>
      <c r="F6865" s="33" t="s">
        <v>32</v>
      </c>
      <c r="G6865" s="33" t="s">
        <v>20</v>
      </c>
      <c r="H6865" s="35">
        <v>54</v>
      </c>
      <c r="I6865" s="33" t="s">
        <v>21</v>
      </c>
      <c r="J6865" s="42">
        <v>44439</v>
      </c>
      <c r="K6865" s="33" t="s">
        <v>22</v>
      </c>
    </row>
    <row r="6866" spans="1:11">
      <c r="A6866" s="30" t="s">
        <v>16015</v>
      </c>
      <c r="B6866" s="30" t="s">
        <v>16016</v>
      </c>
      <c r="C6866" s="30" t="s">
        <v>969</v>
      </c>
      <c r="D6866" s="30" t="s">
        <v>17</v>
      </c>
      <c r="E6866" s="30" t="s">
        <v>31</v>
      </c>
      <c r="F6866" s="30" t="s">
        <v>32</v>
      </c>
      <c r="G6866" s="30" t="s">
        <v>20</v>
      </c>
      <c r="H6866" s="32">
        <v>62</v>
      </c>
      <c r="I6866" s="30" t="s">
        <v>21</v>
      </c>
      <c r="J6866" s="41">
        <v>44553</v>
      </c>
      <c r="K6866" s="30" t="s">
        <v>22</v>
      </c>
    </row>
    <row r="6867" spans="1:11">
      <c r="A6867" s="33" t="s">
        <v>16017</v>
      </c>
      <c r="B6867" s="33" t="s">
        <v>16018</v>
      </c>
      <c r="C6867" s="33" t="s">
        <v>899</v>
      </c>
      <c r="D6867" s="33" t="s">
        <v>17</v>
      </c>
      <c r="E6867" s="33" t="s">
        <v>26</v>
      </c>
      <c r="F6867" s="33" t="s">
        <v>27</v>
      </c>
      <c r="G6867" s="33" t="s">
        <v>20</v>
      </c>
      <c r="H6867" s="35">
        <v>57</v>
      </c>
      <c r="I6867" s="33" t="s">
        <v>21</v>
      </c>
      <c r="J6867" s="42">
        <v>44214</v>
      </c>
      <c r="K6867" s="33" t="s">
        <v>22</v>
      </c>
    </row>
    <row r="6868" spans="1:11">
      <c r="A6868" s="30" t="s">
        <v>16019</v>
      </c>
      <c r="B6868" s="30" t="s">
        <v>16020</v>
      </c>
      <c r="C6868" s="30" t="s">
        <v>4557</v>
      </c>
      <c r="D6868" s="30" t="s">
        <v>17</v>
      </c>
      <c r="E6868" s="30" t="s">
        <v>67</v>
      </c>
      <c r="F6868" s="30" t="s">
        <v>68</v>
      </c>
      <c r="G6868" s="30" t="s">
        <v>158</v>
      </c>
      <c r="H6868" s="32">
        <v>54</v>
      </c>
      <c r="I6868" s="30" t="s">
        <v>51</v>
      </c>
      <c r="J6868" s="41">
        <v>44272</v>
      </c>
      <c r="K6868" s="30" t="s">
        <v>22</v>
      </c>
    </row>
    <row r="6869" spans="1:11">
      <c r="A6869" s="33" t="s">
        <v>16021</v>
      </c>
      <c r="B6869" s="33" t="s">
        <v>16022</v>
      </c>
      <c r="C6869" s="33" t="s">
        <v>969</v>
      </c>
      <c r="D6869" s="33" t="s">
        <v>17</v>
      </c>
      <c r="E6869" s="33" t="s">
        <v>212</v>
      </c>
      <c r="F6869" s="33" t="s">
        <v>213</v>
      </c>
      <c r="G6869" s="33" t="s">
        <v>20</v>
      </c>
      <c r="H6869" s="35">
        <v>114</v>
      </c>
      <c r="I6869" s="33" t="s">
        <v>21</v>
      </c>
      <c r="J6869" s="42">
        <v>44300</v>
      </c>
      <c r="K6869" s="33" t="s">
        <v>22</v>
      </c>
    </row>
    <row r="6870" spans="1:11">
      <c r="A6870" s="30" t="s">
        <v>16023</v>
      </c>
      <c r="B6870" s="30" t="s">
        <v>16024</v>
      </c>
      <c r="C6870" s="30" t="s">
        <v>16025</v>
      </c>
      <c r="D6870" s="30" t="s">
        <v>17</v>
      </c>
      <c r="E6870" s="30" t="s">
        <v>26</v>
      </c>
      <c r="F6870" s="30" t="s">
        <v>27</v>
      </c>
      <c r="G6870" s="30" t="s">
        <v>20</v>
      </c>
      <c r="H6870" s="32">
        <v>38</v>
      </c>
      <c r="I6870" s="30" t="s">
        <v>21</v>
      </c>
      <c r="J6870" s="41">
        <v>44229</v>
      </c>
      <c r="K6870" s="30" t="s">
        <v>22</v>
      </c>
    </row>
    <row r="6871" spans="1:11">
      <c r="A6871" s="33" t="s">
        <v>16026</v>
      </c>
      <c r="B6871" s="33" t="s">
        <v>16027</v>
      </c>
      <c r="C6871" s="33" t="s">
        <v>1133</v>
      </c>
      <c r="D6871" s="33" t="s">
        <v>17</v>
      </c>
      <c r="E6871" s="33" t="s">
        <v>26</v>
      </c>
      <c r="F6871" s="33" t="s">
        <v>27</v>
      </c>
      <c r="G6871" s="33" t="s">
        <v>158</v>
      </c>
      <c r="H6871" s="35">
        <v>60</v>
      </c>
      <c r="I6871" s="33" t="s">
        <v>21</v>
      </c>
      <c r="J6871" s="42">
        <v>44540</v>
      </c>
      <c r="K6871" s="33" t="s">
        <v>22</v>
      </c>
    </row>
    <row r="6872" spans="1:11">
      <c r="A6872" s="30" t="s">
        <v>16028</v>
      </c>
      <c r="B6872" s="30" t="s">
        <v>16029</v>
      </c>
      <c r="C6872" s="30" t="s">
        <v>178</v>
      </c>
      <c r="D6872" s="30" t="s">
        <v>17</v>
      </c>
      <c r="E6872" s="30" t="s">
        <v>67</v>
      </c>
      <c r="F6872" s="30" t="s">
        <v>68</v>
      </c>
      <c r="G6872" s="30" t="s">
        <v>140</v>
      </c>
      <c r="H6872" s="32">
        <v>42</v>
      </c>
      <c r="I6872" s="30" t="s">
        <v>51</v>
      </c>
      <c r="J6872" s="41">
        <v>44453</v>
      </c>
      <c r="K6872" s="30" t="s">
        <v>22</v>
      </c>
    </row>
    <row r="6873" spans="1:11">
      <c r="A6873" s="33" t="s">
        <v>16030</v>
      </c>
      <c r="B6873" s="33" t="s">
        <v>16031</v>
      </c>
      <c r="C6873" s="33" t="s">
        <v>1313</v>
      </c>
      <c r="D6873" s="33" t="s">
        <v>17</v>
      </c>
      <c r="E6873" s="33" t="s">
        <v>18</v>
      </c>
      <c r="F6873" s="33" t="s">
        <v>19</v>
      </c>
      <c r="G6873" s="33" t="s">
        <v>112</v>
      </c>
      <c r="H6873" s="35">
        <v>0</v>
      </c>
      <c r="I6873" s="33" t="s">
        <v>21</v>
      </c>
      <c r="J6873" s="42">
        <v>44287</v>
      </c>
      <c r="K6873" s="33" t="s">
        <v>22</v>
      </c>
    </row>
    <row r="6874" spans="1:11">
      <c r="A6874" s="30" t="s">
        <v>16032</v>
      </c>
      <c r="B6874" s="30" t="s">
        <v>16033</v>
      </c>
      <c r="C6874" s="30" t="s">
        <v>190</v>
      </c>
      <c r="D6874" s="30" t="s">
        <v>17</v>
      </c>
      <c r="E6874" s="30" t="s">
        <v>18</v>
      </c>
      <c r="F6874" s="30" t="s">
        <v>19</v>
      </c>
      <c r="G6874" s="30" t="s">
        <v>158</v>
      </c>
      <c r="H6874" s="32">
        <v>148</v>
      </c>
      <c r="I6874" s="30" t="s">
        <v>21</v>
      </c>
      <c r="J6874" s="41">
        <v>44497</v>
      </c>
      <c r="K6874" s="30" t="s">
        <v>22</v>
      </c>
    </row>
    <row r="6875" spans="1:11">
      <c r="A6875" s="33" t="s">
        <v>16034</v>
      </c>
      <c r="B6875" s="33" t="s">
        <v>16035</v>
      </c>
      <c r="C6875" s="33" t="s">
        <v>10411</v>
      </c>
      <c r="D6875" s="33" t="s">
        <v>17</v>
      </c>
      <c r="E6875" s="33" t="s">
        <v>212</v>
      </c>
      <c r="F6875" s="33" t="s">
        <v>213</v>
      </c>
      <c r="G6875" s="33" t="s">
        <v>20</v>
      </c>
      <c r="H6875" s="35">
        <v>58</v>
      </c>
      <c r="I6875" s="33" t="s">
        <v>21</v>
      </c>
      <c r="J6875" s="42">
        <v>44544</v>
      </c>
      <c r="K6875" s="33" t="s">
        <v>22</v>
      </c>
    </row>
    <row r="6876" spans="1:11">
      <c r="A6876" s="30" t="s">
        <v>16036</v>
      </c>
      <c r="B6876" s="30" t="s">
        <v>16037</v>
      </c>
      <c r="C6876" s="30" t="s">
        <v>387</v>
      </c>
      <c r="D6876" s="30" t="s">
        <v>17</v>
      </c>
      <c r="E6876" s="30" t="s">
        <v>26</v>
      </c>
      <c r="F6876" s="30" t="s">
        <v>27</v>
      </c>
      <c r="G6876" s="30" t="s">
        <v>20</v>
      </c>
      <c r="H6876" s="32">
        <v>84</v>
      </c>
      <c r="I6876" s="30" t="s">
        <v>21</v>
      </c>
      <c r="J6876" s="41">
        <v>44466</v>
      </c>
      <c r="K6876" s="30" t="s">
        <v>22</v>
      </c>
    </row>
    <row r="6877" spans="1:11">
      <c r="A6877" s="33" t="s">
        <v>16038</v>
      </c>
      <c r="B6877" s="33" t="s">
        <v>16039</v>
      </c>
      <c r="C6877" s="33" t="s">
        <v>16040</v>
      </c>
      <c r="D6877" s="33" t="s">
        <v>17</v>
      </c>
      <c r="E6877" s="33" t="s">
        <v>31</v>
      </c>
      <c r="F6877" s="33" t="s">
        <v>32</v>
      </c>
      <c r="G6877" s="33" t="s">
        <v>20</v>
      </c>
      <c r="H6877" s="35">
        <v>160</v>
      </c>
      <c r="I6877" s="33" t="s">
        <v>21</v>
      </c>
      <c r="J6877" s="42">
        <v>44509</v>
      </c>
      <c r="K6877" s="33" t="s">
        <v>22</v>
      </c>
    </row>
    <row r="6878" spans="1:11">
      <c r="A6878" s="30" t="s">
        <v>16041</v>
      </c>
      <c r="B6878" s="30" t="s">
        <v>16042</v>
      </c>
      <c r="C6878" s="30" t="s">
        <v>16043</v>
      </c>
      <c r="D6878" s="30" t="s">
        <v>17</v>
      </c>
      <c r="E6878" s="30" t="s">
        <v>31</v>
      </c>
      <c r="F6878" s="30" t="s">
        <v>32</v>
      </c>
      <c r="G6878" s="30" t="s">
        <v>158</v>
      </c>
      <c r="H6878" s="32">
        <v>182</v>
      </c>
      <c r="I6878" s="30" t="s">
        <v>21</v>
      </c>
      <c r="J6878" s="41">
        <v>44407</v>
      </c>
      <c r="K6878" s="30" t="s">
        <v>22</v>
      </c>
    </row>
    <row r="6879" spans="1:11">
      <c r="A6879" s="33" t="s">
        <v>16044</v>
      </c>
      <c r="B6879" s="33" t="s">
        <v>16045</v>
      </c>
      <c r="C6879" s="33" t="s">
        <v>187</v>
      </c>
      <c r="D6879" s="33" t="s">
        <v>17</v>
      </c>
      <c r="E6879" s="33" t="s">
        <v>26</v>
      </c>
      <c r="F6879" s="33" t="s">
        <v>27</v>
      </c>
      <c r="G6879" s="33" t="s">
        <v>50</v>
      </c>
      <c r="H6879" s="35">
        <v>65</v>
      </c>
      <c r="I6879" s="33" t="s">
        <v>51</v>
      </c>
      <c r="J6879" s="42">
        <v>44439</v>
      </c>
      <c r="K6879" s="33" t="s">
        <v>22</v>
      </c>
    </row>
    <row r="6880" spans="1:11">
      <c r="A6880" s="30" t="s">
        <v>16046</v>
      </c>
      <c r="B6880" s="30" t="s">
        <v>16047</v>
      </c>
      <c r="C6880" s="30" t="s">
        <v>190</v>
      </c>
      <c r="D6880" s="30" t="s">
        <v>17</v>
      </c>
      <c r="E6880" s="30" t="s">
        <v>18</v>
      </c>
      <c r="F6880" s="30" t="s">
        <v>19</v>
      </c>
      <c r="G6880" s="30" t="s">
        <v>158</v>
      </c>
      <c r="H6880" s="32">
        <v>367</v>
      </c>
      <c r="I6880" s="30" t="s">
        <v>21</v>
      </c>
      <c r="J6880" s="41">
        <v>44355</v>
      </c>
      <c r="K6880" s="30" t="s">
        <v>22</v>
      </c>
    </row>
    <row r="6881" spans="1:11">
      <c r="A6881" s="33" t="s">
        <v>16048</v>
      </c>
      <c r="B6881" s="33" t="s">
        <v>16049</v>
      </c>
      <c r="C6881" s="33" t="s">
        <v>157</v>
      </c>
      <c r="D6881" s="33" t="s">
        <v>17</v>
      </c>
      <c r="E6881" s="33" t="s">
        <v>26</v>
      </c>
      <c r="F6881" s="33" t="s">
        <v>27</v>
      </c>
      <c r="G6881" s="33" t="s">
        <v>20</v>
      </c>
      <c r="H6881" s="35">
        <v>28</v>
      </c>
      <c r="I6881" s="33" t="s">
        <v>21</v>
      </c>
      <c r="J6881" s="42">
        <v>44467</v>
      </c>
      <c r="K6881" s="33" t="s">
        <v>22</v>
      </c>
    </row>
    <row r="6882" spans="1:11">
      <c r="A6882" s="30" t="s">
        <v>16050</v>
      </c>
      <c r="B6882" s="30" t="s">
        <v>16051</v>
      </c>
      <c r="C6882" s="30" t="s">
        <v>16052</v>
      </c>
      <c r="D6882" s="30" t="s">
        <v>17</v>
      </c>
      <c r="E6882" s="30" t="s">
        <v>26</v>
      </c>
      <c r="F6882" s="30" t="s">
        <v>27</v>
      </c>
      <c r="G6882" s="30" t="s">
        <v>20</v>
      </c>
      <c r="H6882" s="32">
        <v>89</v>
      </c>
      <c r="I6882" s="30" t="s">
        <v>21</v>
      </c>
      <c r="J6882" s="41">
        <v>44403</v>
      </c>
      <c r="K6882" s="30" t="s">
        <v>22</v>
      </c>
    </row>
    <row r="6883" spans="1:11">
      <c r="A6883" s="33" t="s">
        <v>16053</v>
      </c>
      <c r="B6883" s="33" t="s">
        <v>16054</v>
      </c>
      <c r="C6883" s="33" t="s">
        <v>1178</v>
      </c>
      <c r="D6883" s="33" t="s">
        <v>17</v>
      </c>
      <c r="E6883" s="33" t="s">
        <v>26</v>
      </c>
      <c r="F6883" s="33" t="s">
        <v>27</v>
      </c>
      <c r="G6883" s="33" t="s">
        <v>20</v>
      </c>
      <c r="H6883" s="35">
        <v>36</v>
      </c>
      <c r="I6883" s="33" t="s">
        <v>21</v>
      </c>
      <c r="J6883" s="42">
        <v>44460</v>
      </c>
      <c r="K6883" s="33" t="s">
        <v>22</v>
      </c>
    </row>
    <row r="6884" spans="1:11">
      <c r="A6884" s="30" t="s">
        <v>16055</v>
      </c>
      <c r="B6884" s="30" t="s">
        <v>16056</v>
      </c>
      <c r="C6884" s="30" t="s">
        <v>1647</v>
      </c>
      <c r="D6884" s="30" t="s">
        <v>17</v>
      </c>
      <c r="E6884" s="30" t="s">
        <v>31</v>
      </c>
      <c r="F6884" s="30" t="s">
        <v>32</v>
      </c>
      <c r="G6884" s="30" t="s">
        <v>50</v>
      </c>
      <c r="H6884" s="32">
        <v>60</v>
      </c>
      <c r="I6884" s="30" t="s">
        <v>51</v>
      </c>
      <c r="J6884" s="41">
        <v>44357</v>
      </c>
      <c r="K6884" s="30" t="s">
        <v>22</v>
      </c>
    </row>
    <row r="6885" spans="1:11">
      <c r="A6885" s="33" t="s">
        <v>16057</v>
      </c>
      <c r="B6885" s="33" t="s">
        <v>16058</v>
      </c>
      <c r="C6885" s="33" t="s">
        <v>14253</v>
      </c>
      <c r="D6885" s="33" t="s">
        <v>17</v>
      </c>
      <c r="E6885" s="33" t="s">
        <v>26</v>
      </c>
      <c r="F6885" s="33" t="s">
        <v>27</v>
      </c>
      <c r="G6885" s="33" t="s">
        <v>158</v>
      </c>
      <c r="H6885" s="35">
        <v>440</v>
      </c>
      <c r="I6885" s="33" t="s">
        <v>51</v>
      </c>
      <c r="J6885" s="42">
        <v>44498</v>
      </c>
      <c r="K6885" s="33" t="s">
        <v>22</v>
      </c>
    </row>
    <row r="6886" spans="1:11">
      <c r="A6886" s="30" t="s">
        <v>16059</v>
      </c>
      <c r="B6886" s="30" t="s">
        <v>16060</v>
      </c>
      <c r="C6886" s="30" t="s">
        <v>11148</v>
      </c>
      <c r="D6886" s="30" t="s">
        <v>17</v>
      </c>
      <c r="E6886" s="30" t="s">
        <v>67</v>
      </c>
      <c r="F6886" s="30" t="s">
        <v>68</v>
      </c>
      <c r="G6886" s="30" t="s">
        <v>20</v>
      </c>
      <c r="H6886" s="32">
        <v>49</v>
      </c>
      <c r="I6886" s="30" t="s">
        <v>21</v>
      </c>
      <c r="J6886" s="41">
        <v>44417</v>
      </c>
      <c r="K6886" s="30" t="s">
        <v>22</v>
      </c>
    </row>
    <row r="6887" spans="1:11">
      <c r="A6887" s="33" t="s">
        <v>16061</v>
      </c>
      <c r="B6887" s="33" t="s">
        <v>16062</v>
      </c>
      <c r="C6887" s="33" t="s">
        <v>16063</v>
      </c>
      <c r="D6887" s="33" t="s">
        <v>17</v>
      </c>
      <c r="E6887" s="33" t="s">
        <v>26</v>
      </c>
      <c r="F6887" s="33" t="s">
        <v>27</v>
      </c>
      <c r="G6887" s="33" t="s">
        <v>106</v>
      </c>
      <c r="H6887" s="35">
        <v>6</v>
      </c>
      <c r="I6887" s="33" t="s">
        <v>21</v>
      </c>
      <c r="J6887" s="42">
        <v>44322</v>
      </c>
      <c r="K6887" s="33" t="s">
        <v>22</v>
      </c>
    </row>
    <row r="6888" spans="1:11">
      <c r="A6888" s="30" t="s">
        <v>16064</v>
      </c>
      <c r="B6888" s="30" t="s">
        <v>16065</v>
      </c>
      <c r="C6888" s="30" t="s">
        <v>16066</v>
      </c>
      <c r="D6888" s="30" t="s">
        <v>17</v>
      </c>
      <c r="E6888" s="30" t="s">
        <v>26</v>
      </c>
      <c r="F6888" s="30" t="s">
        <v>27</v>
      </c>
      <c r="G6888" s="30" t="s">
        <v>140</v>
      </c>
      <c r="H6888" s="32">
        <v>134</v>
      </c>
      <c r="I6888" s="30" t="s">
        <v>51</v>
      </c>
      <c r="J6888" s="41">
        <v>44258</v>
      </c>
      <c r="K6888" s="30" t="s">
        <v>22</v>
      </c>
    </row>
    <row r="6889" spans="1:11">
      <c r="A6889" s="33" t="s">
        <v>16067</v>
      </c>
      <c r="B6889" s="33" t="s">
        <v>16068</v>
      </c>
      <c r="C6889" s="33" t="s">
        <v>969</v>
      </c>
      <c r="D6889" s="33" t="s">
        <v>17</v>
      </c>
      <c r="E6889" s="33" t="s">
        <v>26</v>
      </c>
      <c r="F6889" s="33" t="s">
        <v>27</v>
      </c>
      <c r="G6889" s="33" t="s">
        <v>106</v>
      </c>
      <c r="H6889" s="35">
        <v>27</v>
      </c>
      <c r="I6889" s="33" t="s">
        <v>21</v>
      </c>
      <c r="J6889" s="42">
        <v>44459</v>
      </c>
      <c r="K6889" s="33" t="s">
        <v>22</v>
      </c>
    </row>
    <row r="6890" spans="1:11">
      <c r="A6890" s="30" t="s">
        <v>16069</v>
      </c>
      <c r="B6890" s="30" t="s">
        <v>16070</v>
      </c>
      <c r="C6890" s="30" t="s">
        <v>4056</v>
      </c>
      <c r="D6890" s="30" t="s">
        <v>17</v>
      </c>
      <c r="E6890" s="30" t="s">
        <v>26</v>
      </c>
      <c r="F6890" s="30" t="s">
        <v>27</v>
      </c>
      <c r="G6890" s="30" t="s">
        <v>20</v>
      </c>
      <c r="H6890" s="32">
        <v>70</v>
      </c>
      <c r="I6890" s="30" t="s">
        <v>21</v>
      </c>
      <c r="J6890" s="41">
        <v>44253</v>
      </c>
      <c r="K6890" s="30" t="s">
        <v>22</v>
      </c>
    </row>
    <row r="6891" spans="1:11">
      <c r="A6891" s="33" t="s">
        <v>16071</v>
      </c>
      <c r="B6891" s="33" t="s">
        <v>16072</v>
      </c>
      <c r="C6891" s="33" t="s">
        <v>1112</v>
      </c>
      <c r="D6891" s="33" t="s">
        <v>17</v>
      </c>
      <c r="E6891" s="33" t="s">
        <v>26</v>
      </c>
      <c r="F6891" s="33" t="s">
        <v>27</v>
      </c>
      <c r="G6891" s="33" t="s">
        <v>20</v>
      </c>
      <c r="H6891" s="35">
        <v>33</v>
      </c>
      <c r="I6891" s="33" t="s">
        <v>21</v>
      </c>
      <c r="J6891" s="42">
        <v>44357</v>
      </c>
      <c r="K6891" s="33" t="s">
        <v>22</v>
      </c>
    </row>
    <row r="6892" spans="1:11">
      <c r="A6892" s="30" t="s">
        <v>16073</v>
      </c>
      <c r="B6892" s="30" t="s">
        <v>16074</v>
      </c>
      <c r="C6892" s="30" t="s">
        <v>2073</v>
      </c>
      <c r="D6892" s="30" t="s">
        <v>17</v>
      </c>
      <c r="E6892" s="30" t="s">
        <v>26</v>
      </c>
      <c r="F6892" s="30" t="s">
        <v>27</v>
      </c>
      <c r="G6892" s="30" t="s">
        <v>20</v>
      </c>
      <c r="H6892" s="32">
        <v>5</v>
      </c>
      <c r="I6892" s="30" t="s">
        <v>21</v>
      </c>
      <c r="J6892" s="41">
        <v>44357</v>
      </c>
      <c r="K6892" s="30" t="s">
        <v>22</v>
      </c>
    </row>
    <row r="6893" spans="1:11">
      <c r="A6893" s="33" t="s">
        <v>16075</v>
      </c>
      <c r="B6893" s="33" t="s">
        <v>16076</v>
      </c>
      <c r="C6893" s="33" t="s">
        <v>14949</v>
      </c>
      <c r="D6893" s="33" t="s">
        <v>17</v>
      </c>
      <c r="E6893" s="33" t="s">
        <v>26</v>
      </c>
      <c r="F6893" s="33" t="s">
        <v>27</v>
      </c>
      <c r="G6893" s="33" t="s">
        <v>20</v>
      </c>
      <c r="H6893" s="35">
        <v>38</v>
      </c>
      <c r="I6893" s="33" t="s">
        <v>21</v>
      </c>
      <c r="J6893" s="42">
        <v>44285</v>
      </c>
      <c r="K6893" s="33" t="s">
        <v>22</v>
      </c>
    </row>
    <row r="6894" spans="1:11">
      <c r="A6894" s="30" t="s">
        <v>16077</v>
      </c>
      <c r="B6894" s="30" t="s">
        <v>16078</v>
      </c>
      <c r="C6894" s="30" t="s">
        <v>16079</v>
      </c>
      <c r="D6894" s="30" t="s">
        <v>17</v>
      </c>
      <c r="E6894" s="30" t="s">
        <v>26</v>
      </c>
      <c r="F6894" s="30" t="s">
        <v>27</v>
      </c>
      <c r="G6894" s="30" t="s">
        <v>20</v>
      </c>
      <c r="H6894" s="32">
        <v>12</v>
      </c>
      <c r="I6894" s="30" t="s">
        <v>21</v>
      </c>
      <c r="J6894" s="41">
        <v>44409</v>
      </c>
      <c r="K6894" s="30" t="s">
        <v>22</v>
      </c>
    </row>
    <row r="6895" spans="1:11">
      <c r="A6895" s="33" t="s">
        <v>16080</v>
      </c>
      <c r="B6895" s="33" t="s">
        <v>16081</v>
      </c>
      <c r="C6895" s="33" t="s">
        <v>368</v>
      </c>
      <c r="D6895" s="33" t="s">
        <v>17</v>
      </c>
      <c r="E6895" s="33" t="s">
        <v>26</v>
      </c>
      <c r="F6895" s="33" t="s">
        <v>27</v>
      </c>
      <c r="G6895" s="33" t="s">
        <v>50</v>
      </c>
      <c r="H6895" s="35">
        <v>60</v>
      </c>
      <c r="I6895" s="33" t="s">
        <v>51</v>
      </c>
      <c r="J6895" s="42">
        <v>44456</v>
      </c>
      <c r="K6895" s="33" t="s">
        <v>22</v>
      </c>
    </row>
    <row r="6896" spans="1:11">
      <c r="A6896" s="30" t="s">
        <v>16082</v>
      </c>
      <c r="B6896" s="30" t="s">
        <v>16083</v>
      </c>
      <c r="C6896" s="30" t="s">
        <v>1270</v>
      </c>
      <c r="D6896" s="30" t="s">
        <v>17</v>
      </c>
      <c r="E6896" s="30" t="s">
        <v>31</v>
      </c>
      <c r="F6896" s="30" t="s">
        <v>32</v>
      </c>
      <c r="G6896" s="30" t="s">
        <v>50</v>
      </c>
      <c r="H6896" s="32">
        <v>20</v>
      </c>
      <c r="I6896" s="30" t="s">
        <v>51</v>
      </c>
      <c r="J6896" s="41">
        <v>44469</v>
      </c>
      <c r="K6896" s="30" t="s">
        <v>22</v>
      </c>
    </row>
    <row r="6897" spans="1:11">
      <c r="A6897" s="33" t="s">
        <v>16084</v>
      </c>
      <c r="B6897" s="33" t="s">
        <v>16085</v>
      </c>
      <c r="C6897" s="33" t="s">
        <v>16086</v>
      </c>
      <c r="D6897" s="33" t="s">
        <v>17</v>
      </c>
      <c r="E6897" s="33" t="s">
        <v>26</v>
      </c>
      <c r="F6897" s="33" t="s">
        <v>27</v>
      </c>
      <c r="G6897" s="33" t="s">
        <v>50</v>
      </c>
      <c r="H6897" s="35">
        <v>84</v>
      </c>
      <c r="I6897" s="33" t="s">
        <v>51</v>
      </c>
      <c r="J6897" s="42">
        <v>44433</v>
      </c>
      <c r="K6897" s="33" t="s">
        <v>22</v>
      </c>
    </row>
    <row r="6898" spans="1:11">
      <c r="A6898" s="30" t="s">
        <v>16087</v>
      </c>
      <c r="B6898" s="30" t="s">
        <v>16088</v>
      </c>
      <c r="C6898" s="30" t="s">
        <v>109</v>
      </c>
      <c r="D6898" s="30" t="s">
        <v>17</v>
      </c>
      <c r="E6898" s="30" t="s">
        <v>18</v>
      </c>
      <c r="F6898" s="30" t="s">
        <v>19</v>
      </c>
      <c r="G6898" s="30" t="s">
        <v>158</v>
      </c>
      <c r="H6898" s="32">
        <v>129</v>
      </c>
      <c r="I6898" s="30" t="s">
        <v>21</v>
      </c>
      <c r="J6898" s="41">
        <v>44474</v>
      </c>
      <c r="K6898" s="30" t="s">
        <v>22</v>
      </c>
    </row>
    <row r="6899" spans="1:11">
      <c r="A6899" s="33" t="s">
        <v>16089</v>
      </c>
      <c r="B6899" s="33" t="s">
        <v>16090</v>
      </c>
      <c r="C6899" s="33" t="s">
        <v>16091</v>
      </c>
      <c r="D6899" s="33" t="s">
        <v>17</v>
      </c>
      <c r="E6899" s="33" t="s">
        <v>212</v>
      </c>
      <c r="F6899" s="33" t="s">
        <v>213</v>
      </c>
      <c r="G6899" s="33" t="s">
        <v>158</v>
      </c>
      <c r="H6899" s="35">
        <v>25</v>
      </c>
      <c r="I6899" s="33" t="s">
        <v>51</v>
      </c>
      <c r="J6899" s="42">
        <v>44516</v>
      </c>
      <c r="K6899" s="33" t="s">
        <v>22</v>
      </c>
    </row>
    <row r="6900" spans="1:11">
      <c r="A6900" s="30" t="s">
        <v>16092</v>
      </c>
      <c r="B6900" s="30" t="s">
        <v>16093</v>
      </c>
      <c r="C6900" s="30" t="s">
        <v>4079</v>
      </c>
      <c r="D6900" s="30" t="s">
        <v>17</v>
      </c>
      <c r="E6900" s="30" t="s">
        <v>26</v>
      </c>
      <c r="F6900" s="30" t="s">
        <v>27</v>
      </c>
      <c r="G6900" s="30" t="s">
        <v>50</v>
      </c>
      <c r="H6900" s="32">
        <v>30</v>
      </c>
      <c r="I6900" s="30" t="s">
        <v>51</v>
      </c>
      <c r="J6900" s="41">
        <v>44306</v>
      </c>
      <c r="K6900" s="30" t="s">
        <v>22</v>
      </c>
    </row>
    <row r="6901" spans="1:11">
      <c r="A6901" s="33" t="s">
        <v>16094</v>
      </c>
      <c r="B6901" s="33" t="s">
        <v>16095</v>
      </c>
      <c r="C6901" s="33" t="s">
        <v>136</v>
      </c>
      <c r="D6901" s="33" t="s">
        <v>17</v>
      </c>
      <c r="E6901" s="33" t="s">
        <v>18</v>
      </c>
      <c r="F6901" s="33" t="s">
        <v>19</v>
      </c>
      <c r="G6901" s="33" t="s">
        <v>20</v>
      </c>
      <c r="H6901" s="35">
        <v>938</v>
      </c>
      <c r="I6901" s="33" t="s">
        <v>21</v>
      </c>
      <c r="J6901" s="42">
        <v>44284</v>
      </c>
      <c r="K6901" s="33" t="s">
        <v>22</v>
      </c>
    </row>
    <row r="6902" spans="1:11">
      <c r="A6902" s="30" t="s">
        <v>16096</v>
      </c>
      <c r="B6902" s="30" t="s">
        <v>16097</v>
      </c>
      <c r="C6902" s="30" t="s">
        <v>2289</v>
      </c>
      <c r="D6902" s="30" t="s">
        <v>17</v>
      </c>
      <c r="E6902" s="30" t="s">
        <v>31</v>
      </c>
      <c r="F6902" s="30" t="s">
        <v>32</v>
      </c>
      <c r="G6902" s="30" t="s">
        <v>20</v>
      </c>
      <c r="H6902" s="32">
        <v>7</v>
      </c>
      <c r="I6902" s="30" t="s">
        <v>21</v>
      </c>
      <c r="J6902" s="41">
        <v>44510</v>
      </c>
      <c r="K6902" s="30" t="s">
        <v>22</v>
      </c>
    </row>
    <row r="6903" spans="1:11">
      <c r="A6903" s="33" t="s">
        <v>16098</v>
      </c>
      <c r="B6903" s="33" t="s">
        <v>16099</v>
      </c>
      <c r="C6903" s="33" t="s">
        <v>9605</v>
      </c>
      <c r="D6903" s="33" t="s">
        <v>17</v>
      </c>
      <c r="E6903" s="33" t="s">
        <v>26</v>
      </c>
      <c r="F6903" s="33" t="s">
        <v>27</v>
      </c>
      <c r="G6903" s="33" t="s">
        <v>106</v>
      </c>
      <c r="H6903" s="35">
        <v>9</v>
      </c>
      <c r="I6903" s="33" t="s">
        <v>21</v>
      </c>
      <c r="J6903" s="42">
        <v>44343</v>
      </c>
      <c r="K6903" s="33" t="s">
        <v>22</v>
      </c>
    </row>
    <row r="6904" spans="1:11">
      <c r="A6904" s="30" t="s">
        <v>16100</v>
      </c>
      <c r="B6904" s="30" t="s">
        <v>16101</v>
      </c>
      <c r="C6904" s="30" t="s">
        <v>231</v>
      </c>
      <c r="D6904" s="30" t="s">
        <v>17</v>
      </c>
      <c r="E6904" s="30" t="s">
        <v>26</v>
      </c>
      <c r="F6904" s="30" t="s">
        <v>27</v>
      </c>
      <c r="G6904" s="30" t="s">
        <v>20</v>
      </c>
      <c r="H6904" s="32">
        <v>6</v>
      </c>
      <c r="I6904" s="30" t="s">
        <v>21</v>
      </c>
      <c r="J6904" s="41">
        <v>44280</v>
      </c>
      <c r="K6904" s="30" t="s">
        <v>22</v>
      </c>
    </row>
    <row r="6905" spans="1:11">
      <c r="A6905" s="33" t="s">
        <v>16102</v>
      </c>
      <c r="B6905" s="33" t="s">
        <v>16103</v>
      </c>
      <c r="C6905" s="33" t="s">
        <v>16104</v>
      </c>
      <c r="D6905" s="33" t="s">
        <v>17</v>
      </c>
      <c r="E6905" s="33" t="s">
        <v>45</v>
      </c>
      <c r="F6905" s="33" t="s">
        <v>46</v>
      </c>
      <c r="G6905" s="33" t="s">
        <v>112</v>
      </c>
      <c r="H6905" s="35">
        <v>0</v>
      </c>
      <c r="I6905" s="33" t="s">
        <v>21</v>
      </c>
      <c r="J6905" s="42">
        <v>44469</v>
      </c>
      <c r="K6905" s="33" t="s">
        <v>22</v>
      </c>
    </row>
    <row r="6906" spans="1:11">
      <c r="A6906" s="30" t="s">
        <v>16105</v>
      </c>
      <c r="B6906" s="30" t="s">
        <v>16106</v>
      </c>
      <c r="C6906" s="30" t="s">
        <v>16107</v>
      </c>
      <c r="D6906" s="30" t="s">
        <v>17</v>
      </c>
      <c r="E6906" s="30" t="s">
        <v>31</v>
      </c>
      <c r="F6906" s="30" t="s">
        <v>32</v>
      </c>
      <c r="G6906" s="30" t="s">
        <v>20</v>
      </c>
      <c r="H6906" s="32">
        <v>17</v>
      </c>
      <c r="I6906" s="30" t="s">
        <v>21</v>
      </c>
      <c r="J6906" s="41">
        <v>44545</v>
      </c>
      <c r="K6906" s="30" t="s">
        <v>22</v>
      </c>
    </row>
    <row r="6907" spans="1:11">
      <c r="A6907" s="33" t="s">
        <v>16108</v>
      </c>
      <c r="B6907" s="33" t="s">
        <v>16109</v>
      </c>
      <c r="C6907" s="33" t="s">
        <v>1801</v>
      </c>
      <c r="D6907" s="33" t="s">
        <v>17</v>
      </c>
      <c r="E6907" s="33" t="s">
        <v>212</v>
      </c>
      <c r="F6907" s="33" t="s">
        <v>213</v>
      </c>
      <c r="G6907" s="33" t="s">
        <v>20</v>
      </c>
      <c r="H6907" s="35">
        <v>30</v>
      </c>
      <c r="I6907" s="33" t="s">
        <v>21</v>
      </c>
      <c r="J6907" s="42">
        <v>44419</v>
      </c>
      <c r="K6907" s="33" t="s">
        <v>22</v>
      </c>
    </row>
    <row r="6908" spans="1:11">
      <c r="A6908" s="30" t="s">
        <v>16110</v>
      </c>
      <c r="B6908" s="30" t="s">
        <v>16111</v>
      </c>
      <c r="C6908" s="30" t="s">
        <v>2286</v>
      </c>
      <c r="D6908" s="30" t="s">
        <v>17</v>
      </c>
      <c r="E6908" s="30" t="s">
        <v>26</v>
      </c>
      <c r="F6908" s="30" t="s">
        <v>27</v>
      </c>
      <c r="G6908" s="30" t="s">
        <v>112</v>
      </c>
      <c r="H6908" s="32">
        <v>0</v>
      </c>
      <c r="I6908" s="30" t="s">
        <v>21</v>
      </c>
      <c r="J6908" s="41">
        <v>44295</v>
      </c>
      <c r="K6908" s="30" t="s">
        <v>22</v>
      </c>
    </row>
    <row r="6909" spans="1:11">
      <c r="A6909" s="33" t="s">
        <v>16112</v>
      </c>
      <c r="B6909" s="33" t="s">
        <v>16113</v>
      </c>
      <c r="C6909" s="33" t="s">
        <v>15908</v>
      </c>
      <c r="D6909" s="33" t="s">
        <v>17</v>
      </c>
      <c r="E6909" s="33" t="s">
        <v>26</v>
      </c>
      <c r="F6909" s="33" t="s">
        <v>27</v>
      </c>
      <c r="G6909" s="33" t="s">
        <v>20</v>
      </c>
      <c r="H6909" s="35">
        <v>24</v>
      </c>
      <c r="I6909" s="33" t="s">
        <v>21</v>
      </c>
      <c r="J6909" s="42">
        <v>44450</v>
      </c>
      <c r="K6909" s="33" t="s">
        <v>22</v>
      </c>
    </row>
    <row r="6910" spans="1:11">
      <c r="A6910" s="30" t="s">
        <v>16114</v>
      </c>
      <c r="B6910" s="30" t="s">
        <v>16115</v>
      </c>
      <c r="C6910" s="30" t="s">
        <v>16116</v>
      </c>
      <c r="D6910" s="30" t="s">
        <v>17</v>
      </c>
      <c r="E6910" s="30" t="s">
        <v>18</v>
      </c>
      <c r="F6910" s="30" t="s">
        <v>19</v>
      </c>
      <c r="G6910" s="30" t="s">
        <v>140</v>
      </c>
      <c r="H6910" s="32">
        <v>67</v>
      </c>
      <c r="I6910" s="30" t="s">
        <v>51</v>
      </c>
      <c r="J6910" s="41">
        <v>44215</v>
      </c>
      <c r="K6910" s="30" t="s">
        <v>22</v>
      </c>
    </row>
    <row r="6911" spans="1:11">
      <c r="A6911" s="33" t="s">
        <v>16117</v>
      </c>
      <c r="B6911" s="33" t="s">
        <v>16118</v>
      </c>
      <c r="C6911" s="33" t="s">
        <v>1139</v>
      </c>
      <c r="D6911" s="33" t="s">
        <v>17</v>
      </c>
      <c r="E6911" s="33" t="s">
        <v>26</v>
      </c>
      <c r="F6911" s="33" t="s">
        <v>27</v>
      </c>
      <c r="G6911" s="33" t="s">
        <v>50</v>
      </c>
      <c r="H6911" s="35">
        <v>80</v>
      </c>
      <c r="I6911" s="33" t="s">
        <v>51</v>
      </c>
      <c r="J6911" s="42">
        <v>44405</v>
      </c>
      <c r="K6911" s="33" t="s">
        <v>22</v>
      </c>
    </row>
    <row r="6912" spans="1:11">
      <c r="A6912" s="30" t="s">
        <v>16119</v>
      </c>
      <c r="B6912" s="30" t="s">
        <v>16120</v>
      </c>
      <c r="C6912" s="30" t="s">
        <v>11065</v>
      </c>
      <c r="D6912" s="30" t="s">
        <v>17</v>
      </c>
      <c r="E6912" s="30" t="s">
        <v>26</v>
      </c>
      <c r="F6912" s="30" t="s">
        <v>27</v>
      </c>
      <c r="G6912" s="30" t="s">
        <v>20</v>
      </c>
      <c r="H6912" s="32">
        <v>45</v>
      </c>
      <c r="I6912" s="30" t="s">
        <v>21</v>
      </c>
      <c r="J6912" s="41">
        <v>44368</v>
      </c>
      <c r="K6912" s="30" t="s">
        <v>22</v>
      </c>
    </row>
    <row r="6913" spans="1:11">
      <c r="A6913" s="33" t="s">
        <v>16121</v>
      </c>
      <c r="B6913" s="33" t="s">
        <v>16122</v>
      </c>
      <c r="C6913" s="33" t="s">
        <v>1816</v>
      </c>
      <c r="D6913" s="33" t="s">
        <v>17</v>
      </c>
      <c r="E6913" s="33" t="s">
        <v>26</v>
      </c>
      <c r="F6913" s="33" t="s">
        <v>27</v>
      </c>
      <c r="G6913" s="33" t="s">
        <v>106</v>
      </c>
      <c r="H6913" s="35">
        <v>22</v>
      </c>
      <c r="I6913" s="33" t="s">
        <v>21</v>
      </c>
      <c r="J6913" s="42">
        <v>44294</v>
      </c>
      <c r="K6913" s="33" t="s">
        <v>22</v>
      </c>
    </row>
    <row r="6914" spans="1:11">
      <c r="A6914" s="30" t="s">
        <v>16123</v>
      </c>
      <c r="B6914" s="30" t="s">
        <v>16124</v>
      </c>
      <c r="C6914" s="30" t="s">
        <v>3892</v>
      </c>
      <c r="D6914" s="30" t="s">
        <v>17</v>
      </c>
      <c r="E6914" s="30" t="s">
        <v>18</v>
      </c>
      <c r="F6914" s="30" t="s">
        <v>19</v>
      </c>
      <c r="G6914" s="30" t="s">
        <v>20</v>
      </c>
      <c r="H6914" s="32">
        <v>487</v>
      </c>
      <c r="I6914" s="30" t="s">
        <v>21</v>
      </c>
      <c r="J6914" s="41">
        <v>44326</v>
      </c>
      <c r="K6914" s="30" t="s">
        <v>22</v>
      </c>
    </row>
    <row r="6915" spans="1:11">
      <c r="A6915" s="33" t="s">
        <v>16125</v>
      </c>
      <c r="B6915" s="33" t="s">
        <v>16126</v>
      </c>
      <c r="C6915" s="33" t="s">
        <v>3647</v>
      </c>
      <c r="D6915" s="33" t="s">
        <v>17</v>
      </c>
      <c r="E6915" s="33" t="s">
        <v>18</v>
      </c>
      <c r="F6915" s="33" t="s">
        <v>19</v>
      </c>
      <c r="G6915" s="33" t="s">
        <v>106</v>
      </c>
      <c r="H6915" s="35">
        <v>4710</v>
      </c>
      <c r="I6915" s="33" t="s">
        <v>21</v>
      </c>
      <c r="J6915" s="42">
        <v>44391</v>
      </c>
      <c r="K6915" s="33" t="s">
        <v>22</v>
      </c>
    </row>
    <row r="6916" spans="1:11">
      <c r="A6916" s="30" t="s">
        <v>16127</v>
      </c>
      <c r="B6916" s="30" t="s">
        <v>16128</v>
      </c>
      <c r="C6916" s="30" t="s">
        <v>15501</v>
      </c>
      <c r="D6916" s="30" t="s">
        <v>17</v>
      </c>
      <c r="E6916" s="30" t="s">
        <v>31</v>
      </c>
      <c r="F6916" s="30" t="s">
        <v>32</v>
      </c>
      <c r="G6916" s="30" t="s">
        <v>106</v>
      </c>
      <c r="H6916" s="32">
        <v>20</v>
      </c>
      <c r="I6916" s="30" t="s">
        <v>21</v>
      </c>
      <c r="J6916" s="41">
        <v>44377</v>
      </c>
      <c r="K6916" s="30" t="s">
        <v>22</v>
      </c>
    </row>
    <row r="6917" spans="1:11">
      <c r="A6917" s="33" t="s">
        <v>16129</v>
      </c>
      <c r="B6917" s="33" t="s">
        <v>16130</v>
      </c>
      <c r="C6917" s="33" t="s">
        <v>109</v>
      </c>
      <c r="D6917" s="33" t="s">
        <v>17</v>
      </c>
      <c r="E6917" s="33" t="s">
        <v>31</v>
      </c>
      <c r="F6917" s="33" t="s">
        <v>32</v>
      </c>
      <c r="G6917" s="33" t="s">
        <v>158</v>
      </c>
      <c r="H6917" s="35">
        <v>36</v>
      </c>
      <c r="I6917" s="33" t="s">
        <v>21</v>
      </c>
      <c r="J6917" s="42">
        <v>44341</v>
      </c>
      <c r="K6917" s="33" t="s">
        <v>22</v>
      </c>
    </row>
    <row r="6918" spans="1:11">
      <c r="A6918" s="30" t="s">
        <v>16131</v>
      </c>
      <c r="B6918" s="30" t="s">
        <v>16132</v>
      </c>
      <c r="C6918" s="30" t="s">
        <v>3013</v>
      </c>
      <c r="D6918" s="30" t="s">
        <v>17</v>
      </c>
      <c r="E6918" s="30" t="s">
        <v>26</v>
      </c>
      <c r="F6918" s="30" t="s">
        <v>27</v>
      </c>
      <c r="G6918" s="30" t="s">
        <v>20</v>
      </c>
      <c r="H6918" s="32">
        <v>41</v>
      </c>
      <c r="I6918" s="30" t="s">
        <v>21</v>
      </c>
      <c r="J6918" s="41">
        <v>44307</v>
      </c>
      <c r="K6918" s="30" t="s">
        <v>22</v>
      </c>
    </row>
    <row r="6919" spans="1:11">
      <c r="A6919" s="33" t="s">
        <v>16133</v>
      </c>
      <c r="B6919" s="33" t="s">
        <v>16134</v>
      </c>
      <c r="C6919" s="33" t="s">
        <v>16135</v>
      </c>
      <c r="D6919" s="33" t="s">
        <v>17</v>
      </c>
      <c r="E6919" s="33" t="s">
        <v>31</v>
      </c>
      <c r="F6919" s="33" t="s">
        <v>32</v>
      </c>
      <c r="G6919" s="33" t="s">
        <v>20</v>
      </c>
      <c r="H6919" s="35">
        <v>43</v>
      </c>
      <c r="I6919" s="33" t="s">
        <v>21</v>
      </c>
      <c r="J6919" s="42">
        <v>44376</v>
      </c>
      <c r="K6919" s="33" t="s">
        <v>22</v>
      </c>
    </row>
    <row r="6920" spans="1:11">
      <c r="A6920" s="30" t="s">
        <v>16136</v>
      </c>
      <c r="B6920" s="30" t="s">
        <v>16137</v>
      </c>
      <c r="C6920" s="30" t="s">
        <v>231</v>
      </c>
      <c r="D6920" s="30" t="s">
        <v>17</v>
      </c>
      <c r="E6920" s="30" t="s">
        <v>26</v>
      </c>
      <c r="F6920" s="30" t="s">
        <v>27</v>
      </c>
      <c r="G6920" s="30" t="s">
        <v>20</v>
      </c>
      <c r="H6920" s="32">
        <v>24</v>
      </c>
      <c r="I6920" s="30" t="s">
        <v>21</v>
      </c>
      <c r="J6920" s="41">
        <v>44333</v>
      </c>
      <c r="K6920" s="30" t="s">
        <v>22</v>
      </c>
    </row>
    <row r="6921" spans="1:11">
      <c r="A6921" s="33" t="s">
        <v>16138</v>
      </c>
      <c r="B6921" s="33" t="s">
        <v>16139</v>
      </c>
      <c r="C6921" s="33" t="s">
        <v>13861</v>
      </c>
      <c r="D6921" s="33" t="s">
        <v>17</v>
      </c>
      <c r="E6921" s="33" t="s">
        <v>18</v>
      </c>
      <c r="F6921" s="33" t="s">
        <v>19</v>
      </c>
      <c r="G6921" s="33" t="s">
        <v>50</v>
      </c>
      <c r="H6921" s="35">
        <v>256</v>
      </c>
      <c r="I6921" s="33" t="s">
        <v>51</v>
      </c>
      <c r="J6921" s="42">
        <v>44389</v>
      </c>
      <c r="K6921" s="33" t="s">
        <v>22</v>
      </c>
    </row>
    <row r="6922" spans="1:11">
      <c r="A6922" s="30" t="s">
        <v>16140</v>
      </c>
      <c r="B6922" s="30" t="s">
        <v>16141</v>
      </c>
      <c r="C6922" s="30" t="s">
        <v>157</v>
      </c>
      <c r="D6922" s="30" t="s">
        <v>17</v>
      </c>
      <c r="E6922" s="30" t="s">
        <v>212</v>
      </c>
      <c r="F6922" s="30" t="s">
        <v>213</v>
      </c>
      <c r="G6922" s="30" t="s">
        <v>20</v>
      </c>
      <c r="H6922" s="32">
        <v>4</v>
      </c>
      <c r="I6922" s="30" t="s">
        <v>21</v>
      </c>
      <c r="J6922" s="41">
        <v>44308</v>
      </c>
      <c r="K6922" s="30" t="s">
        <v>22</v>
      </c>
    </row>
    <row r="6923" spans="1:11">
      <c r="A6923" s="33" t="s">
        <v>16142</v>
      </c>
      <c r="B6923" s="33" t="s">
        <v>16143</v>
      </c>
      <c r="C6923" s="33" t="s">
        <v>2171</v>
      </c>
      <c r="D6923" s="33" t="s">
        <v>17</v>
      </c>
      <c r="E6923" s="33" t="s">
        <v>26</v>
      </c>
      <c r="F6923" s="33" t="s">
        <v>27</v>
      </c>
      <c r="G6923" s="33" t="s">
        <v>20</v>
      </c>
      <c r="H6923" s="35">
        <v>15</v>
      </c>
      <c r="I6923" s="33" t="s">
        <v>21</v>
      </c>
      <c r="J6923" s="42">
        <v>44419</v>
      </c>
      <c r="K6923" s="33" t="s">
        <v>22</v>
      </c>
    </row>
    <row r="6924" spans="1:11">
      <c r="A6924" s="30" t="s">
        <v>16144</v>
      </c>
      <c r="B6924" s="30" t="s">
        <v>16145</v>
      </c>
      <c r="C6924" s="30" t="s">
        <v>178</v>
      </c>
      <c r="D6924" s="30" t="s">
        <v>17</v>
      </c>
      <c r="E6924" s="30" t="s">
        <v>18</v>
      </c>
      <c r="F6924" s="30" t="s">
        <v>19</v>
      </c>
      <c r="G6924" s="30" t="s">
        <v>158</v>
      </c>
      <c r="H6924" s="32">
        <v>4170</v>
      </c>
      <c r="I6924" s="30" t="s">
        <v>21</v>
      </c>
      <c r="J6924" s="41">
        <v>44435</v>
      </c>
      <c r="K6924" s="30" t="s">
        <v>22</v>
      </c>
    </row>
    <row r="6925" spans="1:11">
      <c r="A6925" s="33" t="s">
        <v>16146</v>
      </c>
      <c r="B6925" s="33" t="s">
        <v>16147</v>
      </c>
      <c r="C6925" s="33" t="s">
        <v>16148</v>
      </c>
      <c r="D6925" s="33" t="s">
        <v>17</v>
      </c>
      <c r="E6925" s="33" t="s">
        <v>26</v>
      </c>
      <c r="F6925" s="33" t="s">
        <v>27</v>
      </c>
      <c r="G6925" s="33" t="s">
        <v>20</v>
      </c>
      <c r="H6925" s="35">
        <v>24</v>
      </c>
      <c r="I6925" s="33" t="s">
        <v>21</v>
      </c>
      <c r="J6925" s="42">
        <v>44371</v>
      </c>
      <c r="K6925" s="33" t="s">
        <v>22</v>
      </c>
    </row>
    <row r="6926" spans="1:11">
      <c r="A6926" s="30" t="s">
        <v>16149</v>
      </c>
      <c r="B6926" s="30" t="s">
        <v>16150</v>
      </c>
      <c r="C6926" s="30" t="s">
        <v>190</v>
      </c>
      <c r="D6926" s="30" t="s">
        <v>17</v>
      </c>
      <c r="E6926" s="30" t="s">
        <v>18</v>
      </c>
      <c r="F6926" s="30" t="s">
        <v>19</v>
      </c>
      <c r="G6926" s="30" t="s">
        <v>158</v>
      </c>
      <c r="H6926" s="32">
        <v>145</v>
      </c>
      <c r="I6926" s="30" t="s">
        <v>21</v>
      </c>
      <c r="J6926" s="41">
        <v>44519</v>
      </c>
      <c r="K6926" s="30" t="s">
        <v>22</v>
      </c>
    </row>
    <row r="6927" spans="1:11">
      <c r="A6927" s="33" t="s">
        <v>16151</v>
      </c>
      <c r="B6927" s="33" t="s">
        <v>16152</v>
      </c>
      <c r="C6927" s="33" t="s">
        <v>109</v>
      </c>
      <c r="D6927" s="33" t="s">
        <v>17</v>
      </c>
      <c r="E6927" s="33" t="s">
        <v>31</v>
      </c>
      <c r="F6927" s="33" t="s">
        <v>32</v>
      </c>
      <c r="G6927" s="33" t="s">
        <v>20</v>
      </c>
      <c r="H6927" s="35">
        <v>4</v>
      </c>
      <c r="I6927" s="33" t="s">
        <v>21</v>
      </c>
      <c r="J6927" s="42">
        <v>44459</v>
      </c>
      <c r="K6927" s="33" t="s">
        <v>22</v>
      </c>
    </row>
    <row r="6928" spans="1:11">
      <c r="A6928" s="30" t="s">
        <v>16153</v>
      </c>
      <c r="B6928" s="30" t="s">
        <v>16154</v>
      </c>
      <c r="C6928" s="30" t="s">
        <v>326</v>
      </c>
      <c r="D6928" s="30" t="s">
        <v>17</v>
      </c>
      <c r="E6928" s="30" t="s">
        <v>26</v>
      </c>
      <c r="F6928" s="30" t="s">
        <v>27</v>
      </c>
      <c r="G6928" s="30" t="s">
        <v>20</v>
      </c>
      <c r="H6928" s="32">
        <v>41</v>
      </c>
      <c r="I6928" s="30" t="s">
        <v>21</v>
      </c>
      <c r="J6928" s="41">
        <v>44257</v>
      </c>
      <c r="K6928" s="30" t="s">
        <v>22</v>
      </c>
    </row>
    <row r="6929" spans="1:11">
      <c r="A6929" s="33" t="s">
        <v>16155</v>
      </c>
      <c r="B6929" s="33" t="s">
        <v>16156</v>
      </c>
      <c r="C6929" s="33" t="s">
        <v>475</v>
      </c>
      <c r="D6929" s="33" t="s">
        <v>17</v>
      </c>
      <c r="E6929" s="33" t="s">
        <v>67</v>
      </c>
      <c r="F6929" s="33" t="s">
        <v>68</v>
      </c>
      <c r="G6929" s="33" t="s">
        <v>20</v>
      </c>
      <c r="H6929" s="35">
        <v>18</v>
      </c>
      <c r="I6929" s="33" t="s">
        <v>21</v>
      </c>
      <c r="J6929" s="42">
        <v>44530</v>
      </c>
      <c r="K6929" s="33" t="s">
        <v>22</v>
      </c>
    </row>
    <row r="6930" spans="1:11">
      <c r="A6930" s="30" t="s">
        <v>16157</v>
      </c>
      <c r="B6930" s="30" t="s">
        <v>16158</v>
      </c>
      <c r="C6930" s="30" t="s">
        <v>16159</v>
      </c>
      <c r="D6930" s="30" t="s">
        <v>17</v>
      </c>
      <c r="E6930" s="30" t="s">
        <v>18</v>
      </c>
      <c r="F6930" s="30" t="s">
        <v>19</v>
      </c>
      <c r="G6930" s="30" t="s">
        <v>106</v>
      </c>
      <c r="H6930" s="32">
        <v>76</v>
      </c>
      <c r="I6930" s="30" t="s">
        <v>21</v>
      </c>
      <c r="J6930" s="41">
        <v>44473</v>
      </c>
      <c r="K6930" s="30" t="s">
        <v>22</v>
      </c>
    </row>
    <row r="6931" spans="1:11">
      <c r="A6931" s="33" t="s">
        <v>16160</v>
      </c>
      <c r="B6931" s="33" t="s">
        <v>16161</v>
      </c>
      <c r="C6931" s="33" t="s">
        <v>647</v>
      </c>
      <c r="D6931" s="33" t="s">
        <v>17</v>
      </c>
      <c r="E6931" s="33" t="s">
        <v>18</v>
      </c>
      <c r="F6931" s="33" t="s">
        <v>19</v>
      </c>
      <c r="G6931" s="33" t="s">
        <v>20</v>
      </c>
      <c r="H6931" s="35">
        <v>2441</v>
      </c>
      <c r="I6931" s="33" t="s">
        <v>21</v>
      </c>
      <c r="J6931" s="42">
        <v>44419</v>
      </c>
      <c r="K6931" s="33" t="s">
        <v>22</v>
      </c>
    </row>
    <row r="6932" spans="1:11">
      <c r="A6932" s="30" t="s">
        <v>16162</v>
      </c>
      <c r="B6932" s="30" t="s">
        <v>16163</v>
      </c>
      <c r="C6932" s="30" t="s">
        <v>8684</v>
      </c>
      <c r="D6932" s="30" t="s">
        <v>17</v>
      </c>
      <c r="E6932" s="30" t="s">
        <v>31</v>
      </c>
      <c r="F6932" s="30" t="s">
        <v>32</v>
      </c>
      <c r="G6932" s="30" t="s">
        <v>20</v>
      </c>
      <c r="H6932" s="32">
        <v>149</v>
      </c>
      <c r="I6932" s="30" t="s">
        <v>21</v>
      </c>
      <c r="J6932" s="41">
        <v>44215</v>
      </c>
      <c r="K6932" s="30" t="s">
        <v>22</v>
      </c>
    </row>
    <row r="6933" spans="1:11">
      <c r="A6933" s="33" t="s">
        <v>16164</v>
      </c>
      <c r="B6933" s="33" t="s">
        <v>16165</v>
      </c>
      <c r="C6933" s="33" t="s">
        <v>16166</v>
      </c>
      <c r="D6933" s="33" t="s">
        <v>17</v>
      </c>
      <c r="E6933" s="33" t="s">
        <v>26</v>
      </c>
      <c r="F6933" s="33" t="s">
        <v>27</v>
      </c>
      <c r="G6933" s="33" t="s">
        <v>106</v>
      </c>
      <c r="H6933" s="35">
        <v>7</v>
      </c>
      <c r="I6933" s="33" t="s">
        <v>21</v>
      </c>
      <c r="J6933" s="42">
        <v>44257</v>
      </c>
      <c r="K6933" s="33" t="s">
        <v>22</v>
      </c>
    </row>
    <row r="6934" spans="1:11">
      <c r="A6934" s="30" t="s">
        <v>16167</v>
      </c>
      <c r="B6934" s="30" t="s">
        <v>16168</v>
      </c>
      <c r="C6934" s="30" t="s">
        <v>16169</v>
      </c>
      <c r="D6934" s="30" t="s">
        <v>17</v>
      </c>
      <c r="E6934" s="30" t="s">
        <v>26</v>
      </c>
      <c r="F6934" s="30" t="s">
        <v>27</v>
      </c>
      <c r="G6934" s="30" t="s">
        <v>20</v>
      </c>
      <c r="H6934" s="32">
        <v>99</v>
      </c>
      <c r="I6934" s="30" t="s">
        <v>21</v>
      </c>
      <c r="J6934" s="41">
        <v>44343</v>
      </c>
      <c r="K6934" s="30" t="s">
        <v>22</v>
      </c>
    </row>
    <row r="6935" spans="1:11">
      <c r="A6935" s="33" t="s">
        <v>16170</v>
      </c>
      <c r="B6935" s="33" t="s">
        <v>16171</v>
      </c>
      <c r="C6935" s="33" t="s">
        <v>16172</v>
      </c>
      <c r="D6935" s="33" t="s">
        <v>17</v>
      </c>
      <c r="E6935" s="33" t="s">
        <v>31</v>
      </c>
      <c r="F6935" s="33" t="s">
        <v>32</v>
      </c>
      <c r="G6935" s="33" t="s">
        <v>112</v>
      </c>
      <c r="H6935" s="35">
        <v>0</v>
      </c>
      <c r="I6935" s="33" t="s">
        <v>21</v>
      </c>
      <c r="J6935" s="42">
        <v>44408</v>
      </c>
      <c r="K6935" s="33" t="s">
        <v>22</v>
      </c>
    </row>
    <row r="6936" spans="1:11">
      <c r="A6936" s="30" t="s">
        <v>16173</v>
      </c>
      <c r="B6936" s="30" t="s">
        <v>16174</v>
      </c>
      <c r="C6936" s="30" t="s">
        <v>10874</v>
      </c>
      <c r="D6936" s="30" t="s">
        <v>17</v>
      </c>
      <c r="E6936" s="30" t="s">
        <v>18</v>
      </c>
      <c r="F6936" s="30" t="s">
        <v>19</v>
      </c>
      <c r="G6936" s="30" t="s">
        <v>50</v>
      </c>
      <c r="H6936" s="32">
        <v>222</v>
      </c>
      <c r="I6936" s="30" t="s">
        <v>51</v>
      </c>
      <c r="J6936" s="41">
        <v>44497</v>
      </c>
      <c r="K6936" s="30" t="s">
        <v>22</v>
      </c>
    </row>
    <row r="6937" spans="1:11">
      <c r="A6937" s="33" t="s">
        <v>16175</v>
      </c>
      <c r="B6937" s="33" t="s">
        <v>16176</v>
      </c>
      <c r="C6937" s="33" t="s">
        <v>57</v>
      </c>
      <c r="D6937" s="33" t="s">
        <v>17</v>
      </c>
      <c r="E6937" s="33" t="s">
        <v>18</v>
      </c>
      <c r="F6937" s="33" t="s">
        <v>19</v>
      </c>
      <c r="G6937" s="33" t="s">
        <v>20</v>
      </c>
      <c r="H6937" s="35">
        <v>63</v>
      </c>
      <c r="I6937" s="33" t="s">
        <v>21</v>
      </c>
      <c r="J6937" s="42">
        <v>44455</v>
      </c>
      <c r="K6937" s="33" t="s">
        <v>22</v>
      </c>
    </row>
    <row r="6938" spans="1:11">
      <c r="A6938" s="30" t="s">
        <v>16177</v>
      </c>
      <c r="B6938" s="30" t="s">
        <v>16178</v>
      </c>
      <c r="C6938" s="30" t="s">
        <v>16179</v>
      </c>
      <c r="D6938" s="30" t="s">
        <v>17</v>
      </c>
      <c r="E6938" s="30" t="s">
        <v>26</v>
      </c>
      <c r="F6938" s="30" t="s">
        <v>27</v>
      </c>
      <c r="G6938" s="30" t="s">
        <v>20</v>
      </c>
      <c r="H6938" s="32">
        <v>18</v>
      </c>
      <c r="I6938" s="30" t="s">
        <v>21</v>
      </c>
      <c r="J6938" s="41">
        <v>44482</v>
      </c>
      <c r="K6938" s="30" t="s">
        <v>22</v>
      </c>
    </row>
    <row r="6939" spans="1:11">
      <c r="A6939" s="33" t="s">
        <v>16180</v>
      </c>
      <c r="B6939" s="33" t="s">
        <v>16181</v>
      </c>
      <c r="C6939" s="33" t="s">
        <v>9905</v>
      </c>
      <c r="D6939" s="33" t="s">
        <v>17</v>
      </c>
      <c r="E6939" s="33" t="s">
        <v>67</v>
      </c>
      <c r="F6939" s="33" t="s">
        <v>68</v>
      </c>
      <c r="G6939" s="33" t="s">
        <v>158</v>
      </c>
      <c r="H6939" s="35">
        <v>36</v>
      </c>
      <c r="I6939" s="33" t="s">
        <v>51</v>
      </c>
      <c r="J6939" s="42">
        <v>44242</v>
      </c>
      <c r="K6939" s="33" t="s">
        <v>22</v>
      </c>
    </row>
    <row r="6940" spans="1:11">
      <c r="A6940" s="30" t="s">
        <v>16182</v>
      </c>
      <c r="B6940" s="30" t="s">
        <v>16183</v>
      </c>
      <c r="C6940" s="30" t="s">
        <v>11643</v>
      </c>
      <c r="D6940" s="30" t="s">
        <v>17</v>
      </c>
      <c r="E6940" s="30" t="s">
        <v>26</v>
      </c>
      <c r="F6940" s="30" t="s">
        <v>27</v>
      </c>
      <c r="G6940" s="30" t="s">
        <v>50</v>
      </c>
      <c r="H6940" s="32">
        <v>46</v>
      </c>
      <c r="I6940" s="30" t="s">
        <v>51</v>
      </c>
      <c r="J6940" s="41">
        <v>44460</v>
      </c>
      <c r="K6940" s="30" t="s">
        <v>22</v>
      </c>
    </row>
    <row r="6941" spans="1:11">
      <c r="A6941" s="33" t="s">
        <v>16184</v>
      </c>
      <c r="B6941" s="33" t="s">
        <v>16185</v>
      </c>
      <c r="C6941" s="33" t="s">
        <v>16186</v>
      </c>
      <c r="D6941" s="33" t="s">
        <v>17</v>
      </c>
      <c r="E6941" s="33" t="s">
        <v>212</v>
      </c>
      <c r="F6941" s="33" t="s">
        <v>213</v>
      </c>
      <c r="G6941" s="33" t="s">
        <v>50</v>
      </c>
      <c r="H6941" s="35">
        <v>32</v>
      </c>
      <c r="I6941" s="33" t="s">
        <v>51</v>
      </c>
      <c r="J6941" s="42">
        <v>44501</v>
      </c>
      <c r="K6941" s="33" t="s">
        <v>22</v>
      </c>
    </row>
    <row r="6942" spans="1:11">
      <c r="A6942" s="30" t="s">
        <v>16187</v>
      </c>
      <c r="B6942" s="30" t="s">
        <v>16188</v>
      </c>
      <c r="C6942" s="30" t="s">
        <v>3459</v>
      </c>
      <c r="D6942" s="30" t="s">
        <v>17</v>
      </c>
      <c r="E6942" s="30" t="s">
        <v>45</v>
      </c>
      <c r="F6942" s="30" t="s">
        <v>46</v>
      </c>
      <c r="G6942" s="30" t="s">
        <v>140</v>
      </c>
      <c r="H6942" s="32">
        <v>32</v>
      </c>
      <c r="I6942" s="30" t="s">
        <v>51</v>
      </c>
      <c r="J6942" s="41">
        <v>44530</v>
      </c>
      <c r="K6942" s="30" t="s">
        <v>22</v>
      </c>
    </row>
    <row r="6943" spans="1:11">
      <c r="A6943" s="33" t="s">
        <v>16189</v>
      </c>
      <c r="B6943" s="33" t="s">
        <v>16190</v>
      </c>
      <c r="C6943" s="33" t="s">
        <v>426</v>
      </c>
      <c r="D6943" s="33" t="s">
        <v>17</v>
      </c>
      <c r="E6943" s="33" t="s">
        <v>67</v>
      </c>
      <c r="F6943" s="33" t="s">
        <v>68</v>
      </c>
      <c r="G6943" s="33" t="s">
        <v>50</v>
      </c>
      <c r="H6943" s="35">
        <v>108</v>
      </c>
      <c r="I6943" s="33" t="s">
        <v>51</v>
      </c>
      <c r="J6943" s="42">
        <v>44553</v>
      </c>
      <c r="K6943" s="33" t="s">
        <v>22</v>
      </c>
    </row>
    <row r="6944" spans="1:11">
      <c r="A6944" s="30" t="s">
        <v>16191</v>
      </c>
      <c r="B6944" s="30" t="s">
        <v>16192</v>
      </c>
      <c r="C6944" s="30" t="s">
        <v>16193</v>
      </c>
      <c r="D6944" s="30" t="s">
        <v>17</v>
      </c>
      <c r="E6944" s="30" t="s">
        <v>26</v>
      </c>
      <c r="F6944" s="30" t="s">
        <v>27</v>
      </c>
      <c r="G6944" s="30" t="s">
        <v>20</v>
      </c>
      <c r="H6944" s="32">
        <v>76</v>
      </c>
      <c r="I6944" s="30" t="s">
        <v>21</v>
      </c>
      <c r="J6944" s="41">
        <v>44217</v>
      </c>
      <c r="K6944" s="30" t="s">
        <v>22</v>
      </c>
    </row>
    <row r="6945" spans="1:11">
      <c r="A6945" s="33" t="s">
        <v>16194</v>
      </c>
      <c r="B6945" s="33" t="s">
        <v>16195</v>
      </c>
      <c r="C6945" s="33" t="s">
        <v>16196</v>
      </c>
      <c r="D6945" s="33" t="s">
        <v>17</v>
      </c>
      <c r="E6945" s="33" t="s">
        <v>26</v>
      </c>
      <c r="F6945" s="33" t="s">
        <v>27</v>
      </c>
      <c r="G6945" s="33" t="s">
        <v>106</v>
      </c>
      <c r="H6945" s="35">
        <v>5</v>
      </c>
      <c r="I6945" s="33" t="s">
        <v>21</v>
      </c>
      <c r="J6945" s="42">
        <v>44552</v>
      </c>
      <c r="K6945" s="33" t="s">
        <v>22</v>
      </c>
    </row>
    <row r="6946" spans="1:11">
      <c r="A6946" s="30" t="s">
        <v>16197</v>
      </c>
      <c r="B6946" s="30" t="s">
        <v>16198</v>
      </c>
      <c r="C6946" s="30" t="s">
        <v>16199</v>
      </c>
      <c r="D6946" s="30" t="s">
        <v>17</v>
      </c>
      <c r="E6946" s="30" t="s">
        <v>18</v>
      </c>
      <c r="F6946" s="30" t="s">
        <v>19</v>
      </c>
      <c r="G6946" s="30" t="s">
        <v>20</v>
      </c>
      <c r="H6946" s="32">
        <v>260</v>
      </c>
      <c r="I6946" s="30" t="s">
        <v>21</v>
      </c>
      <c r="J6946" s="41">
        <v>44518</v>
      </c>
      <c r="K6946" s="30" t="s">
        <v>22</v>
      </c>
    </row>
    <row r="6947" spans="1:11">
      <c r="A6947" s="33" t="s">
        <v>16200</v>
      </c>
      <c r="B6947" s="33" t="s">
        <v>16201</v>
      </c>
      <c r="C6947" s="33" t="s">
        <v>3462</v>
      </c>
      <c r="D6947" s="33" t="s">
        <v>17</v>
      </c>
      <c r="E6947" s="33" t="s">
        <v>31</v>
      </c>
      <c r="F6947" s="33" t="s">
        <v>32</v>
      </c>
      <c r="G6947" s="33" t="s">
        <v>50</v>
      </c>
      <c r="H6947" s="35">
        <v>104</v>
      </c>
      <c r="I6947" s="33" t="s">
        <v>51</v>
      </c>
      <c r="J6947" s="42">
        <v>44445</v>
      </c>
      <c r="K6947" s="33" t="s">
        <v>22</v>
      </c>
    </row>
    <row r="6948" spans="1:11">
      <c r="A6948" s="30" t="s">
        <v>16202</v>
      </c>
      <c r="B6948" s="30" t="s">
        <v>16203</v>
      </c>
      <c r="C6948" s="30" t="s">
        <v>8410</v>
      </c>
      <c r="D6948" s="30" t="s">
        <v>17</v>
      </c>
      <c r="E6948" s="30" t="s">
        <v>26</v>
      </c>
      <c r="F6948" s="30" t="s">
        <v>27</v>
      </c>
      <c r="G6948" s="30" t="s">
        <v>20</v>
      </c>
      <c r="H6948" s="32">
        <v>24</v>
      </c>
      <c r="I6948" s="30" t="s">
        <v>21</v>
      </c>
      <c r="J6948" s="41">
        <v>44468</v>
      </c>
      <c r="K6948" s="30" t="s">
        <v>22</v>
      </c>
    </row>
    <row r="6949" spans="1:11">
      <c r="A6949" s="33" t="s">
        <v>16204</v>
      </c>
      <c r="B6949" s="33" t="s">
        <v>16205</v>
      </c>
      <c r="C6949" s="33" t="s">
        <v>96</v>
      </c>
      <c r="D6949" s="33" t="s">
        <v>17</v>
      </c>
      <c r="E6949" s="33" t="s">
        <v>26</v>
      </c>
      <c r="F6949" s="33" t="s">
        <v>27</v>
      </c>
      <c r="G6949" s="33" t="s">
        <v>20</v>
      </c>
      <c r="H6949" s="35">
        <v>12</v>
      </c>
      <c r="I6949" s="33" t="s">
        <v>21</v>
      </c>
      <c r="J6949" s="42">
        <v>44392</v>
      </c>
      <c r="K6949" s="33" t="s">
        <v>22</v>
      </c>
    </row>
    <row r="6950" spans="1:11">
      <c r="A6950" s="30" t="s">
        <v>16206</v>
      </c>
      <c r="B6950" s="30" t="s">
        <v>16207</v>
      </c>
      <c r="C6950" s="30" t="s">
        <v>969</v>
      </c>
      <c r="D6950" s="30" t="s">
        <v>17</v>
      </c>
      <c r="E6950" s="30" t="s">
        <v>31</v>
      </c>
      <c r="F6950" s="30" t="s">
        <v>32</v>
      </c>
      <c r="G6950" s="30" t="s">
        <v>158</v>
      </c>
      <c r="H6950" s="32">
        <v>360</v>
      </c>
      <c r="I6950" s="30" t="s">
        <v>51</v>
      </c>
      <c r="J6950" s="41">
        <v>44544</v>
      </c>
      <c r="K6950" s="30" t="s">
        <v>22</v>
      </c>
    </row>
    <row r="6951" spans="1:11">
      <c r="A6951" s="33" t="s">
        <v>16208</v>
      </c>
      <c r="B6951" s="33" t="s">
        <v>16209</v>
      </c>
      <c r="C6951" s="33" t="s">
        <v>3013</v>
      </c>
      <c r="D6951" s="33" t="s">
        <v>17</v>
      </c>
      <c r="E6951" s="33" t="s">
        <v>18</v>
      </c>
      <c r="F6951" s="33" t="s">
        <v>19</v>
      </c>
      <c r="G6951" s="33" t="s">
        <v>20</v>
      </c>
      <c r="H6951" s="35">
        <v>118</v>
      </c>
      <c r="I6951" s="33" t="s">
        <v>21</v>
      </c>
      <c r="J6951" s="42">
        <v>44497</v>
      </c>
      <c r="K6951" s="33" t="s">
        <v>22</v>
      </c>
    </row>
    <row r="6952" spans="1:11">
      <c r="A6952" s="30" t="s">
        <v>16210</v>
      </c>
      <c r="B6952" s="30" t="s">
        <v>16211</v>
      </c>
      <c r="C6952" s="30" t="s">
        <v>13033</v>
      </c>
      <c r="D6952" s="30" t="s">
        <v>17</v>
      </c>
      <c r="E6952" s="30" t="s">
        <v>212</v>
      </c>
      <c r="F6952" s="30" t="s">
        <v>213</v>
      </c>
      <c r="G6952" s="30" t="s">
        <v>50</v>
      </c>
      <c r="H6952" s="32">
        <v>264</v>
      </c>
      <c r="I6952" s="30" t="s">
        <v>51</v>
      </c>
      <c r="J6952" s="41">
        <v>44224</v>
      </c>
      <c r="K6952" s="30" t="s">
        <v>22</v>
      </c>
    </row>
    <row r="6953" spans="1:11">
      <c r="A6953" s="33" t="s">
        <v>16212</v>
      </c>
      <c r="B6953" s="33" t="s">
        <v>16213</v>
      </c>
      <c r="C6953" s="33" t="s">
        <v>16214</v>
      </c>
      <c r="D6953" s="33" t="s">
        <v>17</v>
      </c>
      <c r="E6953" s="33" t="s">
        <v>26</v>
      </c>
      <c r="F6953" s="33" t="s">
        <v>27</v>
      </c>
      <c r="G6953" s="33" t="s">
        <v>20</v>
      </c>
      <c r="H6953" s="35">
        <v>54</v>
      </c>
      <c r="I6953" s="33" t="s">
        <v>21</v>
      </c>
      <c r="J6953" s="42">
        <v>44539</v>
      </c>
      <c r="K6953" s="33" t="s">
        <v>22</v>
      </c>
    </row>
    <row r="6954" spans="1:11">
      <c r="A6954" s="30" t="s">
        <v>16215</v>
      </c>
      <c r="B6954" s="30" t="s">
        <v>16216</v>
      </c>
      <c r="C6954" s="30" t="s">
        <v>10546</v>
      </c>
      <c r="D6954" s="30" t="s">
        <v>17</v>
      </c>
      <c r="E6954" s="30" t="s">
        <v>26</v>
      </c>
      <c r="F6954" s="30" t="s">
        <v>27</v>
      </c>
      <c r="G6954" s="30" t="s">
        <v>140</v>
      </c>
      <c r="H6954" s="32">
        <v>40</v>
      </c>
      <c r="I6954" s="30" t="s">
        <v>51</v>
      </c>
      <c r="J6954" s="41">
        <v>44371</v>
      </c>
      <c r="K6954" s="30" t="s">
        <v>22</v>
      </c>
    </row>
    <row r="6955" spans="1:11">
      <c r="A6955" s="33" t="s">
        <v>16217</v>
      </c>
      <c r="B6955" s="33" t="s">
        <v>16218</v>
      </c>
      <c r="C6955" s="33" t="s">
        <v>75</v>
      </c>
      <c r="D6955" s="33" t="s">
        <v>17</v>
      </c>
      <c r="E6955" s="33" t="s">
        <v>26</v>
      </c>
      <c r="F6955" s="33" t="s">
        <v>27</v>
      </c>
      <c r="G6955" s="33" t="s">
        <v>106</v>
      </c>
      <c r="H6955" s="35">
        <v>118</v>
      </c>
      <c r="I6955" s="33" t="s">
        <v>21</v>
      </c>
      <c r="J6955" s="42">
        <v>44243</v>
      </c>
      <c r="K6955" s="33" t="s">
        <v>22</v>
      </c>
    </row>
    <row r="6956" spans="1:11">
      <c r="A6956" s="30" t="s">
        <v>16219</v>
      </c>
      <c r="B6956" s="30" t="s">
        <v>16220</v>
      </c>
      <c r="C6956" s="30" t="s">
        <v>13241</v>
      </c>
      <c r="D6956" s="30" t="s">
        <v>17</v>
      </c>
      <c r="E6956" s="30" t="s">
        <v>26</v>
      </c>
      <c r="F6956" s="30" t="s">
        <v>27</v>
      </c>
      <c r="G6956" s="30" t="s">
        <v>50</v>
      </c>
      <c r="H6956" s="32">
        <v>170</v>
      </c>
      <c r="I6956" s="30" t="s">
        <v>51</v>
      </c>
      <c r="J6956" s="41">
        <v>44552</v>
      </c>
      <c r="K6956" s="30" t="s">
        <v>22</v>
      </c>
    </row>
    <row r="6957" spans="1:11">
      <c r="A6957" s="33" t="s">
        <v>16221</v>
      </c>
      <c r="B6957" s="33" t="s">
        <v>16222</v>
      </c>
      <c r="C6957" s="33" t="s">
        <v>549</v>
      </c>
      <c r="D6957" s="33" t="s">
        <v>17</v>
      </c>
      <c r="E6957" s="33" t="s">
        <v>26</v>
      </c>
      <c r="F6957" s="33" t="s">
        <v>27</v>
      </c>
      <c r="G6957" s="33" t="s">
        <v>20</v>
      </c>
      <c r="H6957" s="35">
        <v>30</v>
      </c>
      <c r="I6957" s="33" t="s">
        <v>21</v>
      </c>
      <c r="J6957" s="42">
        <v>44259</v>
      </c>
      <c r="K6957" s="33" t="s">
        <v>22</v>
      </c>
    </row>
    <row r="6958" spans="1:11">
      <c r="A6958" s="30" t="s">
        <v>16223</v>
      </c>
      <c r="B6958" s="30" t="s">
        <v>16224</v>
      </c>
      <c r="C6958" s="30" t="s">
        <v>16225</v>
      </c>
      <c r="D6958" s="30" t="s">
        <v>17</v>
      </c>
      <c r="E6958" s="30" t="s">
        <v>31</v>
      </c>
      <c r="F6958" s="30" t="s">
        <v>32</v>
      </c>
      <c r="G6958" s="30" t="s">
        <v>50</v>
      </c>
      <c r="H6958" s="32">
        <v>48</v>
      </c>
      <c r="I6958" s="30" t="s">
        <v>51</v>
      </c>
      <c r="J6958" s="41">
        <v>44440</v>
      </c>
      <c r="K6958" s="30" t="s">
        <v>22</v>
      </c>
    </row>
    <row r="6959" spans="1:11">
      <c r="A6959" s="33" t="s">
        <v>16226</v>
      </c>
      <c r="B6959" s="33" t="s">
        <v>16227</v>
      </c>
      <c r="C6959" s="33" t="s">
        <v>16228</v>
      </c>
      <c r="D6959" s="33" t="s">
        <v>17</v>
      </c>
      <c r="E6959" s="33" t="s">
        <v>26</v>
      </c>
      <c r="F6959" s="33" t="s">
        <v>27</v>
      </c>
      <c r="G6959" s="33" t="s">
        <v>112</v>
      </c>
      <c r="H6959" s="35">
        <v>0</v>
      </c>
      <c r="I6959" s="33" t="s">
        <v>21</v>
      </c>
      <c r="J6959" s="42">
        <v>44524</v>
      </c>
      <c r="K6959" s="33" t="s">
        <v>22</v>
      </c>
    </row>
    <row r="6960" spans="1:11">
      <c r="A6960" s="30" t="s">
        <v>16229</v>
      </c>
      <c r="B6960" s="30" t="s">
        <v>16230</v>
      </c>
      <c r="C6960" s="30" t="s">
        <v>154</v>
      </c>
      <c r="D6960" s="30" t="s">
        <v>17</v>
      </c>
      <c r="E6960" s="30" t="s">
        <v>31</v>
      </c>
      <c r="F6960" s="30" t="s">
        <v>32</v>
      </c>
      <c r="G6960" s="30" t="s">
        <v>20</v>
      </c>
      <c r="H6960" s="32">
        <v>125</v>
      </c>
      <c r="I6960" s="30" t="s">
        <v>21</v>
      </c>
      <c r="J6960" s="41">
        <v>44286</v>
      </c>
      <c r="K6960" s="30" t="s">
        <v>22</v>
      </c>
    </row>
    <row r="6961" spans="1:11">
      <c r="A6961" s="33" t="s">
        <v>16231</v>
      </c>
      <c r="B6961" s="33" t="s">
        <v>16232</v>
      </c>
      <c r="C6961" s="33" t="s">
        <v>10589</v>
      </c>
      <c r="D6961" s="33" t="s">
        <v>17</v>
      </c>
      <c r="E6961" s="33" t="s">
        <v>45</v>
      </c>
      <c r="F6961" s="33" t="s">
        <v>46</v>
      </c>
      <c r="G6961" s="33" t="s">
        <v>140</v>
      </c>
      <c r="H6961" s="35">
        <v>534</v>
      </c>
      <c r="I6961" s="33" t="s">
        <v>51</v>
      </c>
      <c r="J6961" s="42">
        <v>44530</v>
      </c>
      <c r="K6961" s="33" t="s">
        <v>22</v>
      </c>
    </row>
    <row r="6962" spans="1:11">
      <c r="A6962" s="30" t="s">
        <v>16233</v>
      </c>
      <c r="B6962" s="30" t="s">
        <v>16234</v>
      </c>
      <c r="C6962" s="30" t="s">
        <v>16235</v>
      </c>
      <c r="D6962" s="30" t="s">
        <v>17</v>
      </c>
      <c r="E6962" s="30" t="s">
        <v>26</v>
      </c>
      <c r="F6962" s="30" t="s">
        <v>27</v>
      </c>
      <c r="G6962" s="30" t="s">
        <v>20</v>
      </c>
      <c r="H6962" s="32">
        <v>24</v>
      </c>
      <c r="I6962" s="30" t="s">
        <v>21</v>
      </c>
      <c r="J6962" s="41">
        <v>44492</v>
      </c>
      <c r="K6962" s="30" t="s">
        <v>22</v>
      </c>
    </row>
    <row r="6963" spans="1:11">
      <c r="A6963" s="33" t="s">
        <v>16236</v>
      </c>
      <c r="B6963" s="33" t="s">
        <v>16237</v>
      </c>
      <c r="C6963" s="33" t="s">
        <v>925</v>
      </c>
      <c r="D6963" s="33" t="s">
        <v>17</v>
      </c>
      <c r="E6963" s="33" t="s">
        <v>26</v>
      </c>
      <c r="F6963" s="33" t="s">
        <v>27</v>
      </c>
      <c r="G6963" s="33" t="s">
        <v>20</v>
      </c>
      <c r="H6963" s="35">
        <v>32</v>
      </c>
      <c r="I6963" s="33" t="s">
        <v>21</v>
      </c>
      <c r="J6963" s="42">
        <v>44294</v>
      </c>
      <c r="K6963" s="33" t="s">
        <v>22</v>
      </c>
    </row>
    <row r="6964" spans="1:11">
      <c r="A6964" s="30" t="s">
        <v>16238</v>
      </c>
      <c r="B6964" s="30" t="s">
        <v>16239</v>
      </c>
      <c r="C6964" s="30" t="s">
        <v>733</v>
      </c>
      <c r="D6964" s="30" t="s">
        <v>17</v>
      </c>
      <c r="E6964" s="30" t="s">
        <v>31</v>
      </c>
      <c r="F6964" s="30" t="s">
        <v>32</v>
      </c>
      <c r="G6964" s="30" t="s">
        <v>106</v>
      </c>
      <c r="H6964" s="32">
        <v>97</v>
      </c>
      <c r="I6964" s="30" t="s">
        <v>21</v>
      </c>
      <c r="J6964" s="41">
        <v>44320</v>
      </c>
      <c r="K6964" s="30" t="s">
        <v>22</v>
      </c>
    </row>
    <row r="6965" spans="1:11">
      <c r="A6965" s="33" t="s">
        <v>16240</v>
      </c>
      <c r="B6965" s="33" t="s">
        <v>16241</v>
      </c>
      <c r="C6965" s="33" t="s">
        <v>1576</v>
      </c>
      <c r="D6965" s="33" t="s">
        <v>17</v>
      </c>
      <c r="E6965" s="33" t="s">
        <v>26</v>
      </c>
      <c r="F6965" s="33" t="s">
        <v>27</v>
      </c>
      <c r="G6965" s="33" t="s">
        <v>20</v>
      </c>
      <c r="H6965" s="35">
        <v>8</v>
      </c>
      <c r="I6965" s="33" t="s">
        <v>21</v>
      </c>
      <c r="J6965" s="42">
        <v>44561</v>
      </c>
      <c r="K6965" s="33" t="s">
        <v>22</v>
      </c>
    </row>
    <row r="6966" spans="1:11">
      <c r="A6966" s="30" t="s">
        <v>16242</v>
      </c>
      <c r="B6966" s="30" t="s">
        <v>16243</v>
      </c>
      <c r="C6966" s="30" t="s">
        <v>969</v>
      </c>
      <c r="D6966" s="30" t="s">
        <v>17</v>
      </c>
      <c r="E6966" s="30" t="s">
        <v>31</v>
      </c>
      <c r="F6966" s="30" t="s">
        <v>32</v>
      </c>
      <c r="G6966" s="30" t="s">
        <v>106</v>
      </c>
      <c r="H6966" s="32">
        <v>8</v>
      </c>
      <c r="I6966" s="30" t="s">
        <v>21</v>
      </c>
      <c r="J6966" s="41">
        <v>44546</v>
      </c>
      <c r="K6966" s="30" t="s">
        <v>22</v>
      </c>
    </row>
    <row r="6967" spans="1:11">
      <c r="A6967" s="33" t="s">
        <v>16244</v>
      </c>
      <c r="B6967" s="33" t="s">
        <v>16245</v>
      </c>
      <c r="C6967" s="33" t="s">
        <v>1016</v>
      </c>
      <c r="D6967" s="33" t="s">
        <v>17</v>
      </c>
      <c r="E6967" s="33" t="s">
        <v>67</v>
      </c>
      <c r="F6967" s="33" t="s">
        <v>68</v>
      </c>
      <c r="G6967" s="33" t="s">
        <v>20</v>
      </c>
      <c r="H6967" s="35">
        <v>72</v>
      </c>
      <c r="I6967" s="33" t="s">
        <v>21</v>
      </c>
      <c r="J6967" s="42">
        <v>44438</v>
      </c>
      <c r="K6967" s="33" t="s">
        <v>22</v>
      </c>
    </row>
    <row r="6968" spans="1:11">
      <c r="A6968" s="30" t="s">
        <v>16246</v>
      </c>
      <c r="B6968" s="30" t="s">
        <v>16247</v>
      </c>
      <c r="C6968" s="30" t="s">
        <v>16248</v>
      </c>
      <c r="D6968" s="30" t="s">
        <v>17</v>
      </c>
      <c r="E6968" s="30" t="s">
        <v>26</v>
      </c>
      <c r="F6968" s="30" t="s">
        <v>27</v>
      </c>
      <c r="G6968" s="30" t="s">
        <v>20</v>
      </c>
      <c r="H6968" s="32">
        <v>16</v>
      </c>
      <c r="I6968" s="30" t="s">
        <v>21</v>
      </c>
      <c r="J6968" s="41">
        <v>44543</v>
      </c>
      <c r="K6968" s="30" t="s">
        <v>22</v>
      </c>
    </row>
    <row r="6969" spans="1:11">
      <c r="A6969" s="33" t="s">
        <v>16249</v>
      </c>
      <c r="B6969" s="33" t="s">
        <v>16250</v>
      </c>
      <c r="C6969" s="33" t="s">
        <v>16251</v>
      </c>
      <c r="D6969" s="33" t="s">
        <v>17</v>
      </c>
      <c r="E6969" s="33" t="s">
        <v>67</v>
      </c>
      <c r="F6969" s="33" t="s">
        <v>68</v>
      </c>
      <c r="G6969" s="33" t="s">
        <v>20</v>
      </c>
      <c r="H6969" s="35">
        <v>229</v>
      </c>
      <c r="I6969" s="33" t="s">
        <v>21</v>
      </c>
      <c r="J6969" s="42">
        <v>44561</v>
      </c>
      <c r="K6969" s="33" t="s">
        <v>22</v>
      </c>
    </row>
    <row r="6970" spans="1:11">
      <c r="A6970" s="30" t="s">
        <v>16252</v>
      </c>
      <c r="B6970" s="30" t="s">
        <v>16253</v>
      </c>
      <c r="C6970" s="30" t="s">
        <v>136</v>
      </c>
      <c r="D6970" s="30" t="s">
        <v>17</v>
      </c>
      <c r="E6970" s="30" t="s">
        <v>18</v>
      </c>
      <c r="F6970" s="30" t="s">
        <v>19</v>
      </c>
      <c r="G6970" s="30" t="s">
        <v>106</v>
      </c>
      <c r="H6970" s="32">
        <v>6</v>
      </c>
      <c r="I6970" s="30" t="s">
        <v>21</v>
      </c>
      <c r="J6970" s="41">
        <v>44551</v>
      </c>
      <c r="K6970" s="30" t="s">
        <v>22</v>
      </c>
    </row>
    <row r="6971" spans="1:11">
      <c r="A6971" s="33" t="s">
        <v>16254</v>
      </c>
      <c r="B6971" s="33" t="s">
        <v>16255</v>
      </c>
      <c r="C6971" s="33" t="s">
        <v>16256</v>
      </c>
      <c r="D6971" s="33" t="s">
        <v>17</v>
      </c>
      <c r="E6971" s="33" t="s">
        <v>18</v>
      </c>
      <c r="F6971" s="33" t="s">
        <v>19</v>
      </c>
      <c r="G6971" s="33" t="s">
        <v>112</v>
      </c>
      <c r="H6971" s="35">
        <v>0</v>
      </c>
      <c r="I6971" s="33" t="s">
        <v>21</v>
      </c>
      <c r="J6971" s="42">
        <v>44501</v>
      </c>
      <c r="K6971" s="33" t="s">
        <v>22</v>
      </c>
    </row>
    <row r="6972" spans="1:11">
      <c r="A6972" s="30" t="s">
        <v>16257</v>
      </c>
      <c r="B6972" s="30" t="s">
        <v>16258</v>
      </c>
      <c r="C6972" s="30" t="s">
        <v>16259</v>
      </c>
      <c r="D6972" s="30" t="s">
        <v>17</v>
      </c>
      <c r="E6972" s="30" t="s">
        <v>31</v>
      </c>
      <c r="F6972" s="30" t="s">
        <v>32</v>
      </c>
      <c r="G6972" s="30" t="s">
        <v>20</v>
      </c>
      <c r="H6972" s="32">
        <v>41</v>
      </c>
      <c r="I6972" s="30" t="s">
        <v>21</v>
      </c>
      <c r="J6972" s="41">
        <v>44434</v>
      </c>
      <c r="K6972" s="30" t="s">
        <v>22</v>
      </c>
    </row>
    <row r="6973" spans="1:11">
      <c r="A6973" s="33" t="s">
        <v>16260</v>
      </c>
      <c r="B6973" s="33" t="s">
        <v>16261</v>
      </c>
      <c r="C6973" s="33" t="s">
        <v>7383</v>
      </c>
      <c r="D6973" s="33" t="s">
        <v>17</v>
      </c>
      <c r="E6973" s="33" t="s">
        <v>26</v>
      </c>
      <c r="F6973" s="33" t="s">
        <v>27</v>
      </c>
      <c r="G6973" s="33" t="s">
        <v>50</v>
      </c>
      <c r="H6973" s="35">
        <v>80</v>
      </c>
      <c r="I6973" s="33" t="s">
        <v>51</v>
      </c>
      <c r="J6973" s="42">
        <v>44419</v>
      </c>
      <c r="K6973" s="33" t="s">
        <v>22</v>
      </c>
    </row>
    <row r="6974" spans="1:11">
      <c r="A6974" s="30" t="s">
        <v>16262</v>
      </c>
      <c r="B6974" s="30" t="s">
        <v>16263</v>
      </c>
      <c r="C6974" s="30" t="s">
        <v>187</v>
      </c>
      <c r="D6974" s="30" t="s">
        <v>17</v>
      </c>
      <c r="E6974" s="30" t="s">
        <v>18</v>
      </c>
      <c r="F6974" s="30" t="s">
        <v>19</v>
      </c>
      <c r="G6974" s="30" t="s">
        <v>50</v>
      </c>
      <c r="H6974" s="32">
        <v>405</v>
      </c>
      <c r="I6974" s="30" t="s">
        <v>51</v>
      </c>
      <c r="J6974" s="41">
        <v>44467</v>
      </c>
      <c r="K6974" s="30" t="s">
        <v>22</v>
      </c>
    </row>
    <row r="6975" spans="1:11">
      <c r="A6975" s="33" t="s">
        <v>16264</v>
      </c>
      <c r="B6975" s="33" t="s">
        <v>16265</v>
      </c>
      <c r="C6975" s="33" t="s">
        <v>2382</v>
      </c>
      <c r="D6975" s="33" t="s">
        <v>17</v>
      </c>
      <c r="E6975" s="33" t="s">
        <v>67</v>
      </c>
      <c r="F6975" s="33" t="s">
        <v>68</v>
      </c>
      <c r="G6975" s="33" t="s">
        <v>20</v>
      </c>
      <c r="H6975" s="35">
        <v>12</v>
      </c>
      <c r="I6975" s="33" t="s">
        <v>21</v>
      </c>
      <c r="J6975" s="42">
        <v>44312</v>
      </c>
      <c r="K6975" s="33" t="s">
        <v>22</v>
      </c>
    </row>
    <row r="6976" spans="1:11">
      <c r="A6976" s="30" t="s">
        <v>16266</v>
      </c>
      <c r="B6976" s="30" t="s">
        <v>16267</v>
      </c>
      <c r="C6976" s="30" t="s">
        <v>178</v>
      </c>
      <c r="D6976" s="30" t="s">
        <v>17</v>
      </c>
      <c r="E6976" s="30" t="s">
        <v>18</v>
      </c>
      <c r="F6976" s="30" t="s">
        <v>19</v>
      </c>
      <c r="G6976" s="30" t="s">
        <v>158</v>
      </c>
      <c r="H6976" s="32">
        <v>746</v>
      </c>
      <c r="I6976" s="30" t="s">
        <v>21</v>
      </c>
      <c r="J6976" s="41">
        <v>44272</v>
      </c>
      <c r="K6976" s="30" t="s">
        <v>22</v>
      </c>
    </row>
    <row r="6977" spans="1:11">
      <c r="A6977" s="33" t="s">
        <v>16268</v>
      </c>
      <c r="B6977" s="33" t="s">
        <v>16269</v>
      </c>
      <c r="C6977" s="33" t="s">
        <v>4742</v>
      </c>
      <c r="D6977" s="33" t="s">
        <v>17</v>
      </c>
      <c r="E6977" s="33" t="s">
        <v>18</v>
      </c>
      <c r="F6977" s="33" t="s">
        <v>19</v>
      </c>
      <c r="G6977" s="33" t="s">
        <v>20</v>
      </c>
      <c r="H6977" s="35">
        <v>11349</v>
      </c>
      <c r="I6977" s="33" t="s">
        <v>21</v>
      </c>
      <c r="J6977" s="42">
        <v>44449</v>
      </c>
      <c r="K6977" s="33" t="s">
        <v>22</v>
      </c>
    </row>
    <row r="6978" spans="1:11">
      <c r="A6978" s="30" t="s">
        <v>16270</v>
      </c>
      <c r="B6978" s="30" t="s">
        <v>16271</v>
      </c>
      <c r="C6978" s="30" t="s">
        <v>102</v>
      </c>
      <c r="D6978" s="30" t="s">
        <v>17</v>
      </c>
      <c r="E6978" s="30" t="s">
        <v>26</v>
      </c>
      <c r="F6978" s="30" t="s">
        <v>27</v>
      </c>
      <c r="G6978" s="30" t="s">
        <v>20</v>
      </c>
      <c r="H6978" s="32">
        <v>42</v>
      </c>
      <c r="I6978" s="30" t="s">
        <v>21</v>
      </c>
      <c r="J6978" s="41">
        <v>44510</v>
      </c>
      <c r="K6978" s="30" t="s">
        <v>22</v>
      </c>
    </row>
    <row r="6979" spans="1:11">
      <c r="A6979" s="33" t="s">
        <v>16272</v>
      </c>
      <c r="B6979" s="33" t="s">
        <v>16273</v>
      </c>
      <c r="C6979" s="33" t="s">
        <v>9938</v>
      </c>
      <c r="D6979" s="33" t="s">
        <v>17</v>
      </c>
      <c r="E6979" s="33" t="s">
        <v>31</v>
      </c>
      <c r="F6979" s="33" t="s">
        <v>32</v>
      </c>
      <c r="G6979" s="33" t="s">
        <v>50</v>
      </c>
      <c r="H6979" s="35">
        <v>55</v>
      </c>
      <c r="I6979" s="33" t="s">
        <v>51</v>
      </c>
      <c r="J6979" s="42">
        <v>44346</v>
      </c>
      <c r="K6979" s="33" t="s">
        <v>22</v>
      </c>
    </row>
    <row r="6980" spans="1:11">
      <c r="A6980" s="30" t="s">
        <v>16274</v>
      </c>
      <c r="B6980" s="30" t="s">
        <v>16275</v>
      </c>
      <c r="C6980" s="30" t="s">
        <v>16276</v>
      </c>
      <c r="D6980" s="30" t="s">
        <v>17</v>
      </c>
      <c r="E6980" s="30" t="s">
        <v>18</v>
      </c>
      <c r="F6980" s="30" t="s">
        <v>19</v>
      </c>
      <c r="G6980" s="30" t="s">
        <v>112</v>
      </c>
      <c r="H6980" s="32">
        <v>0</v>
      </c>
      <c r="I6980" s="30" t="s">
        <v>21</v>
      </c>
      <c r="J6980" s="41">
        <v>44348</v>
      </c>
      <c r="K6980" s="30" t="s">
        <v>22</v>
      </c>
    </row>
    <row r="6981" spans="1:11">
      <c r="A6981" s="33" t="s">
        <v>16277</v>
      </c>
      <c r="B6981" s="33" t="s">
        <v>16278</v>
      </c>
      <c r="C6981" s="33" t="s">
        <v>178</v>
      </c>
      <c r="D6981" s="33" t="s">
        <v>17</v>
      </c>
      <c r="E6981" s="33" t="s">
        <v>18</v>
      </c>
      <c r="F6981" s="33" t="s">
        <v>19</v>
      </c>
      <c r="G6981" s="33" t="s">
        <v>158</v>
      </c>
      <c r="H6981" s="35">
        <v>142</v>
      </c>
      <c r="I6981" s="33" t="s">
        <v>21</v>
      </c>
      <c r="J6981" s="42">
        <v>44372</v>
      </c>
      <c r="K6981" s="33" t="s">
        <v>22</v>
      </c>
    </row>
    <row r="6982" spans="1:11">
      <c r="A6982" s="30" t="s">
        <v>16279</v>
      </c>
      <c r="B6982" s="30" t="s">
        <v>16280</v>
      </c>
      <c r="C6982" s="30" t="s">
        <v>93</v>
      </c>
      <c r="D6982" s="30" t="s">
        <v>17</v>
      </c>
      <c r="E6982" s="30" t="s">
        <v>18</v>
      </c>
      <c r="F6982" s="30" t="s">
        <v>19</v>
      </c>
      <c r="G6982" s="30" t="s">
        <v>20</v>
      </c>
      <c r="H6982" s="32">
        <v>292</v>
      </c>
      <c r="I6982" s="30" t="s">
        <v>21</v>
      </c>
      <c r="J6982" s="41">
        <v>44516</v>
      </c>
      <c r="K6982" s="30" t="s">
        <v>22</v>
      </c>
    </row>
    <row r="6983" spans="1:11">
      <c r="A6983" s="33" t="s">
        <v>16281</v>
      </c>
      <c r="B6983" s="33" t="s">
        <v>16282</v>
      </c>
      <c r="C6983" s="33" t="s">
        <v>11073</v>
      </c>
      <c r="D6983" s="33" t="s">
        <v>17</v>
      </c>
      <c r="E6983" s="33" t="s">
        <v>67</v>
      </c>
      <c r="F6983" s="33" t="s">
        <v>68</v>
      </c>
      <c r="G6983" s="33" t="s">
        <v>50</v>
      </c>
      <c r="H6983" s="35">
        <v>460</v>
      </c>
      <c r="I6983" s="33" t="s">
        <v>51</v>
      </c>
      <c r="J6983" s="42">
        <v>44439</v>
      </c>
      <c r="K6983" s="33" t="s">
        <v>22</v>
      </c>
    </row>
    <row r="6984" spans="1:11">
      <c r="A6984" s="30" t="s">
        <v>16283</v>
      </c>
      <c r="B6984" s="30" t="s">
        <v>16284</v>
      </c>
      <c r="C6984" s="30" t="s">
        <v>7246</v>
      </c>
      <c r="D6984" s="30" t="s">
        <v>17</v>
      </c>
      <c r="E6984" s="30" t="s">
        <v>31</v>
      </c>
      <c r="F6984" s="30" t="s">
        <v>32</v>
      </c>
      <c r="G6984" s="30" t="s">
        <v>20</v>
      </c>
      <c r="H6984" s="32">
        <v>458</v>
      </c>
      <c r="I6984" s="30" t="s">
        <v>21</v>
      </c>
      <c r="J6984" s="41">
        <v>44280</v>
      </c>
      <c r="K6984" s="30" t="s">
        <v>22</v>
      </c>
    </row>
    <row r="6985" spans="1:11">
      <c r="A6985" s="33" t="s">
        <v>16285</v>
      </c>
      <c r="B6985" s="33" t="s">
        <v>16286</v>
      </c>
      <c r="C6985" s="33" t="s">
        <v>11703</v>
      </c>
      <c r="D6985" s="33" t="s">
        <v>17</v>
      </c>
      <c r="E6985" s="33" t="s">
        <v>31</v>
      </c>
      <c r="F6985" s="33" t="s">
        <v>32</v>
      </c>
      <c r="G6985" s="33" t="s">
        <v>112</v>
      </c>
      <c r="H6985" s="35">
        <v>0</v>
      </c>
      <c r="I6985" s="33" t="s">
        <v>21</v>
      </c>
      <c r="J6985" s="42">
        <v>44423</v>
      </c>
      <c r="K6985" s="33" t="s">
        <v>22</v>
      </c>
    </row>
    <row r="6986" spans="1:11">
      <c r="A6986" s="30" t="s">
        <v>16287</v>
      </c>
      <c r="B6986" s="30" t="s">
        <v>16288</v>
      </c>
      <c r="C6986" s="30" t="s">
        <v>16289</v>
      </c>
      <c r="D6986" s="30" t="s">
        <v>17</v>
      </c>
      <c r="E6986" s="30" t="s">
        <v>67</v>
      </c>
      <c r="F6986" s="30" t="s">
        <v>68</v>
      </c>
      <c r="G6986" s="30" t="s">
        <v>50</v>
      </c>
      <c r="H6986" s="32">
        <v>45</v>
      </c>
      <c r="I6986" s="30" t="s">
        <v>51</v>
      </c>
      <c r="J6986" s="41">
        <v>44307</v>
      </c>
      <c r="K6986" s="30" t="s">
        <v>22</v>
      </c>
    </row>
    <row r="6987" spans="1:11">
      <c r="A6987" s="33" t="s">
        <v>16290</v>
      </c>
      <c r="B6987" s="33" t="s">
        <v>16291</v>
      </c>
      <c r="C6987" s="33" t="s">
        <v>16292</v>
      </c>
      <c r="D6987" s="33" t="s">
        <v>17</v>
      </c>
      <c r="E6987" s="33" t="s">
        <v>18</v>
      </c>
      <c r="F6987" s="33" t="s">
        <v>19</v>
      </c>
      <c r="G6987" s="33" t="s">
        <v>50</v>
      </c>
      <c r="H6987" s="35">
        <v>360</v>
      </c>
      <c r="I6987" s="33" t="s">
        <v>51</v>
      </c>
      <c r="J6987" s="42">
        <v>44197</v>
      </c>
      <c r="K6987" s="33" t="s">
        <v>22</v>
      </c>
    </row>
    <row r="6988" spans="1:11">
      <c r="A6988" s="30" t="s">
        <v>16293</v>
      </c>
      <c r="B6988" s="30" t="s">
        <v>16294</v>
      </c>
      <c r="C6988" s="30" t="s">
        <v>16295</v>
      </c>
      <c r="D6988" s="30" t="s">
        <v>17</v>
      </c>
      <c r="E6988" s="30" t="s">
        <v>31</v>
      </c>
      <c r="F6988" s="30" t="s">
        <v>32</v>
      </c>
      <c r="G6988" s="30" t="s">
        <v>112</v>
      </c>
      <c r="H6988" s="32">
        <v>0</v>
      </c>
      <c r="I6988" s="30" t="s">
        <v>21</v>
      </c>
      <c r="J6988" s="41">
        <v>44378</v>
      </c>
      <c r="K6988" s="30" t="s">
        <v>22</v>
      </c>
    </row>
    <row r="6989" spans="1:11">
      <c r="A6989" s="33" t="s">
        <v>16296</v>
      </c>
      <c r="B6989" s="33" t="s">
        <v>16297</v>
      </c>
      <c r="C6989" s="33" t="s">
        <v>44</v>
      </c>
      <c r="D6989" s="33" t="s">
        <v>17</v>
      </c>
      <c r="E6989" s="33" t="s">
        <v>31</v>
      </c>
      <c r="F6989" s="33" t="s">
        <v>32</v>
      </c>
      <c r="G6989" s="33" t="s">
        <v>20</v>
      </c>
      <c r="H6989" s="35">
        <v>113</v>
      </c>
      <c r="I6989" s="33" t="s">
        <v>21</v>
      </c>
      <c r="J6989" s="42">
        <v>44375</v>
      </c>
      <c r="K6989" s="33" t="s">
        <v>22</v>
      </c>
    </row>
    <row r="6990" spans="1:11">
      <c r="A6990" s="30" t="s">
        <v>16298</v>
      </c>
      <c r="B6990" s="30" t="s">
        <v>16299</v>
      </c>
      <c r="C6990" s="30" t="s">
        <v>1090</v>
      </c>
      <c r="D6990" s="30" t="s">
        <v>17</v>
      </c>
      <c r="E6990" s="30" t="s">
        <v>26</v>
      </c>
      <c r="F6990" s="30" t="s">
        <v>27</v>
      </c>
      <c r="G6990" s="30" t="s">
        <v>50</v>
      </c>
      <c r="H6990" s="32">
        <v>54</v>
      </c>
      <c r="I6990" s="30" t="s">
        <v>51</v>
      </c>
      <c r="J6990" s="41">
        <v>44287</v>
      </c>
      <c r="K6990" s="30" t="s">
        <v>22</v>
      </c>
    </row>
    <row r="6991" spans="1:11">
      <c r="A6991" s="33" t="s">
        <v>16300</v>
      </c>
      <c r="B6991" s="33" t="s">
        <v>16301</v>
      </c>
      <c r="C6991" s="33" t="s">
        <v>647</v>
      </c>
      <c r="D6991" s="33" t="s">
        <v>17</v>
      </c>
      <c r="E6991" s="33" t="s">
        <v>31</v>
      </c>
      <c r="F6991" s="33" t="s">
        <v>32</v>
      </c>
      <c r="G6991" s="33" t="s">
        <v>20</v>
      </c>
      <c r="H6991" s="35">
        <v>161</v>
      </c>
      <c r="I6991" s="33" t="s">
        <v>21</v>
      </c>
      <c r="J6991" s="42">
        <v>44264</v>
      </c>
      <c r="K6991" s="33" t="s">
        <v>22</v>
      </c>
    </row>
    <row r="6992" spans="1:11">
      <c r="A6992" s="30" t="s">
        <v>16302</v>
      </c>
      <c r="B6992" s="30" t="s">
        <v>16303</v>
      </c>
      <c r="C6992" s="30" t="s">
        <v>157</v>
      </c>
      <c r="D6992" s="30" t="s">
        <v>17</v>
      </c>
      <c r="E6992" s="30" t="s">
        <v>26</v>
      </c>
      <c r="F6992" s="30" t="s">
        <v>27</v>
      </c>
      <c r="G6992" s="30" t="s">
        <v>20</v>
      </c>
      <c r="H6992" s="32">
        <v>34</v>
      </c>
      <c r="I6992" s="30" t="s">
        <v>21</v>
      </c>
      <c r="J6992" s="41">
        <v>44448</v>
      </c>
      <c r="K6992" s="30" t="s">
        <v>22</v>
      </c>
    </row>
    <row r="6993" spans="1:11">
      <c r="A6993" s="33" t="s">
        <v>16304</v>
      </c>
      <c r="B6993" s="33" t="s">
        <v>16305</v>
      </c>
      <c r="C6993" s="33" t="s">
        <v>4328</v>
      </c>
      <c r="D6993" s="33" t="s">
        <v>17</v>
      </c>
      <c r="E6993" s="33" t="s">
        <v>26</v>
      </c>
      <c r="F6993" s="33" t="s">
        <v>27</v>
      </c>
      <c r="G6993" s="33" t="s">
        <v>20</v>
      </c>
      <c r="H6993" s="35">
        <v>30</v>
      </c>
      <c r="I6993" s="33" t="s">
        <v>21</v>
      </c>
      <c r="J6993" s="42">
        <v>44237</v>
      </c>
      <c r="K6993" s="33" t="s">
        <v>22</v>
      </c>
    </row>
    <row r="6994" spans="1:11">
      <c r="A6994" s="30" t="s">
        <v>16306</v>
      </c>
      <c r="B6994" s="30" t="s">
        <v>16307</v>
      </c>
      <c r="C6994" s="30" t="s">
        <v>187</v>
      </c>
      <c r="D6994" s="30" t="s">
        <v>17</v>
      </c>
      <c r="E6994" s="30" t="s">
        <v>26</v>
      </c>
      <c r="F6994" s="30" t="s">
        <v>27</v>
      </c>
      <c r="G6994" s="30" t="s">
        <v>20</v>
      </c>
      <c r="H6994" s="32">
        <v>759</v>
      </c>
      <c r="I6994" s="30" t="s">
        <v>21</v>
      </c>
      <c r="J6994" s="41">
        <v>44470</v>
      </c>
      <c r="K6994" s="30" t="s">
        <v>22</v>
      </c>
    </row>
    <row r="6995" spans="1:11">
      <c r="A6995" s="33" t="s">
        <v>16308</v>
      </c>
      <c r="B6995" s="33" t="s">
        <v>16309</v>
      </c>
      <c r="C6995" s="33" t="s">
        <v>16310</v>
      </c>
      <c r="D6995" s="33" t="s">
        <v>17</v>
      </c>
      <c r="E6995" s="33" t="s">
        <v>18</v>
      </c>
      <c r="F6995" s="33" t="s">
        <v>19</v>
      </c>
      <c r="G6995" s="33" t="s">
        <v>20</v>
      </c>
      <c r="H6995" s="35">
        <v>80</v>
      </c>
      <c r="I6995" s="33" t="s">
        <v>21</v>
      </c>
      <c r="J6995" s="42">
        <v>44484</v>
      </c>
      <c r="K6995" s="33" t="s">
        <v>22</v>
      </c>
    </row>
    <row r="6996" spans="1:11">
      <c r="A6996" s="30" t="s">
        <v>16311</v>
      </c>
      <c r="B6996" s="30" t="s">
        <v>16312</v>
      </c>
      <c r="C6996" s="30" t="s">
        <v>353</v>
      </c>
      <c r="D6996" s="30" t="s">
        <v>17</v>
      </c>
      <c r="E6996" s="30" t="s">
        <v>26</v>
      </c>
      <c r="F6996" s="30" t="s">
        <v>27</v>
      </c>
      <c r="G6996" s="30" t="s">
        <v>50</v>
      </c>
      <c r="H6996" s="32">
        <v>40</v>
      </c>
      <c r="I6996" s="30" t="s">
        <v>51</v>
      </c>
      <c r="J6996" s="41">
        <v>44455</v>
      </c>
      <c r="K6996" s="30" t="s">
        <v>22</v>
      </c>
    </row>
    <row r="6997" spans="1:11">
      <c r="A6997" s="33" t="s">
        <v>16313</v>
      </c>
      <c r="B6997" s="33" t="s">
        <v>16314</v>
      </c>
      <c r="C6997" s="33" t="s">
        <v>190</v>
      </c>
      <c r="D6997" s="33" t="s">
        <v>17</v>
      </c>
      <c r="E6997" s="33" t="s">
        <v>31</v>
      </c>
      <c r="F6997" s="33" t="s">
        <v>32</v>
      </c>
      <c r="G6997" s="33" t="s">
        <v>106</v>
      </c>
      <c r="H6997" s="35">
        <v>72</v>
      </c>
      <c r="I6997" s="33" t="s">
        <v>21</v>
      </c>
      <c r="J6997" s="42">
        <v>44267</v>
      </c>
      <c r="K6997" s="33" t="s">
        <v>22</v>
      </c>
    </row>
    <row r="6998" spans="1:11">
      <c r="A6998" s="30" t="s">
        <v>16315</v>
      </c>
      <c r="B6998" s="30" t="s">
        <v>16316</v>
      </c>
      <c r="C6998" s="30" t="s">
        <v>13181</v>
      </c>
      <c r="D6998" s="30" t="s">
        <v>17</v>
      </c>
      <c r="E6998" s="30" t="s">
        <v>26</v>
      </c>
      <c r="F6998" s="30" t="s">
        <v>27</v>
      </c>
      <c r="G6998" s="30" t="s">
        <v>20</v>
      </c>
      <c r="H6998" s="32">
        <v>100</v>
      </c>
      <c r="I6998" s="30" t="s">
        <v>21</v>
      </c>
      <c r="J6998" s="41">
        <v>44235</v>
      </c>
      <c r="K6998" s="30" t="s">
        <v>22</v>
      </c>
    </row>
    <row r="6999" spans="1:11">
      <c r="A6999" s="33" t="s">
        <v>16317</v>
      </c>
      <c r="B6999" s="33" t="s">
        <v>16318</v>
      </c>
      <c r="C6999" s="33" t="s">
        <v>8519</v>
      </c>
      <c r="D6999" s="33" t="s">
        <v>17</v>
      </c>
      <c r="E6999" s="33" t="s">
        <v>26</v>
      </c>
      <c r="F6999" s="33" t="s">
        <v>27</v>
      </c>
      <c r="G6999" s="33" t="s">
        <v>20</v>
      </c>
      <c r="H6999" s="35">
        <v>23</v>
      </c>
      <c r="I6999" s="33" t="s">
        <v>21</v>
      </c>
      <c r="J6999" s="42">
        <v>44537</v>
      </c>
      <c r="K6999" s="33" t="s">
        <v>22</v>
      </c>
    </row>
    <row r="7000" spans="1:11">
      <c r="A7000" s="30" t="s">
        <v>16319</v>
      </c>
      <c r="B7000" s="30" t="s">
        <v>16320</v>
      </c>
      <c r="C7000" s="30" t="s">
        <v>190</v>
      </c>
      <c r="D7000" s="30" t="s">
        <v>17</v>
      </c>
      <c r="E7000" s="30" t="s">
        <v>212</v>
      </c>
      <c r="F7000" s="30" t="s">
        <v>213</v>
      </c>
      <c r="G7000" s="30" t="s">
        <v>20</v>
      </c>
      <c r="H7000" s="32">
        <v>100</v>
      </c>
      <c r="I7000" s="30" t="s">
        <v>21</v>
      </c>
      <c r="J7000" s="41">
        <v>44530</v>
      </c>
      <c r="K7000" s="30" t="s">
        <v>22</v>
      </c>
    </row>
    <row r="7001" spans="1:11">
      <c r="A7001" s="33" t="s">
        <v>16321</v>
      </c>
      <c r="B7001" s="33" t="s">
        <v>16322</v>
      </c>
      <c r="C7001" s="33" t="s">
        <v>187</v>
      </c>
      <c r="D7001" s="33" t="s">
        <v>17</v>
      </c>
      <c r="E7001" s="33" t="s">
        <v>26</v>
      </c>
      <c r="F7001" s="33" t="s">
        <v>27</v>
      </c>
      <c r="G7001" s="33" t="s">
        <v>20</v>
      </c>
      <c r="H7001" s="35">
        <v>16</v>
      </c>
      <c r="I7001" s="33" t="s">
        <v>21</v>
      </c>
      <c r="J7001" s="42">
        <v>44336</v>
      </c>
      <c r="K7001" s="33" t="s">
        <v>22</v>
      </c>
    </row>
    <row r="7002" spans="1:11">
      <c r="A7002" s="30" t="s">
        <v>16323</v>
      </c>
      <c r="B7002" s="30" t="s">
        <v>16324</v>
      </c>
      <c r="C7002" s="30" t="s">
        <v>1767</v>
      </c>
      <c r="D7002" s="30" t="s">
        <v>17</v>
      </c>
      <c r="E7002" s="30" t="s">
        <v>26</v>
      </c>
      <c r="F7002" s="30" t="s">
        <v>27</v>
      </c>
      <c r="G7002" s="30" t="s">
        <v>20</v>
      </c>
      <c r="H7002" s="32">
        <v>72</v>
      </c>
      <c r="I7002" s="30" t="s">
        <v>21</v>
      </c>
      <c r="J7002" s="41">
        <v>44384</v>
      </c>
      <c r="K7002" s="30" t="s">
        <v>22</v>
      </c>
    </row>
    <row r="7003" spans="1:11">
      <c r="A7003" s="33" t="s">
        <v>16325</v>
      </c>
      <c r="B7003" s="33" t="s">
        <v>16326</v>
      </c>
      <c r="C7003" s="33" t="s">
        <v>16327</v>
      </c>
      <c r="D7003" s="33" t="s">
        <v>17</v>
      </c>
      <c r="E7003" s="33" t="s">
        <v>26</v>
      </c>
      <c r="F7003" s="33" t="s">
        <v>27</v>
      </c>
      <c r="G7003" s="33" t="s">
        <v>20</v>
      </c>
      <c r="H7003" s="35">
        <v>7</v>
      </c>
      <c r="I7003" s="33" t="s">
        <v>21</v>
      </c>
      <c r="J7003" s="42">
        <v>44260</v>
      </c>
      <c r="K7003" s="33" t="s">
        <v>22</v>
      </c>
    </row>
    <row r="7004" spans="1:11">
      <c r="A7004" s="30" t="s">
        <v>16328</v>
      </c>
      <c r="B7004" s="30" t="s">
        <v>16329</v>
      </c>
      <c r="C7004" s="30" t="s">
        <v>16330</v>
      </c>
      <c r="D7004" s="30" t="s">
        <v>17</v>
      </c>
      <c r="E7004" s="30" t="s">
        <v>31</v>
      </c>
      <c r="F7004" s="30" t="s">
        <v>32</v>
      </c>
      <c r="G7004" s="30" t="s">
        <v>20</v>
      </c>
      <c r="H7004" s="32">
        <v>250</v>
      </c>
      <c r="I7004" s="30" t="s">
        <v>21</v>
      </c>
      <c r="J7004" s="41">
        <v>44256</v>
      </c>
      <c r="K7004" s="30" t="s">
        <v>22</v>
      </c>
    </row>
    <row r="7005" spans="1:11">
      <c r="A7005" s="33" t="s">
        <v>16331</v>
      </c>
      <c r="B7005" s="33" t="s">
        <v>16332</v>
      </c>
      <c r="C7005" s="33" t="s">
        <v>136</v>
      </c>
      <c r="D7005" s="33" t="s">
        <v>17</v>
      </c>
      <c r="E7005" s="33" t="s">
        <v>31</v>
      </c>
      <c r="F7005" s="33" t="s">
        <v>32</v>
      </c>
      <c r="G7005" s="33" t="s">
        <v>20</v>
      </c>
      <c r="H7005" s="35">
        <v>338</v>
      </c>
      <c r="I7005" s="33" t="s">
        <v>21</v>
      </c>
      <c r="J7005" s="42">
        <v>44336</v>
      </c>
      <c r="K7005" s="33" t="s">
        <v>22</v>
      </c>
    </row>
    <row r="7006" spans="1:11">
      <c r="A7006" s="30" t="s">
        <v>16333</v>
      </c>
      <c r="B7006" s="30" t="s">
        <v>16334</v>
      </c>
      <c r="C7006" s="30" t="s">
        <v>190</v>
      </c>
      <c r="D7006" s="30" t="s">
        <v>17</v>
      </c>
      <c r="E7006" s="30" t="s">
        <v>18</v>
      </c>
      <c r="F7006" s="30" t="s">
        <v>19</v>
      </c>
      <c r="G7006" s="30" t="s">
        <v>158</v>
      </c>
      <c r="H7006" s="32">
        <v>366</v>
      </c>
      <c r="I7006" s="30" t="s">
        <v>21</v>
      </c>
      <c r="J7006" s="41">
        <v>44347</v>
      </c>
      <c r="K7006" s="30" t="s">
        <v>22</v>
      </c>
    </row>
    <row r="7007" spans="1:11">
      <c r="A7007" s="33" t="s">
        <v>16335</v>
      </c>
      <c r="B7007" s="33" t="s">
        <v>16336</v>
      </c>
      <c r="C7007" s="33" t="s">
        <v>109</v>
      </c>
      <c r="D7007" s="33" t="s">
        <v>17</v>
      </c>
      <c r="E7007" s="33" t="s">
        <v>31</v>
      </c>
      <c r="F7007" s="33" t="s">
        <v>32</v>
      </c>
      <c r="G7007" s="33" t="s">
        <v>158</v>
      </c>
      <c r="H7007" s="35">
        <v>103</v>
      </c>
      <c r="I7007" s="33" t="s">
        <v>21</v>
      </c>
      <c r="J7007" s="42">
        <v>44270</v>
      </c>
      <c r="K7007" s="33" t="s">
        <v>22</v>
      </c>
    </row>
    <row r="7008" spans="1:11">
      <c r="A7008" s="30" t="s">
        <v>16337</v>
      </c>
      <c r="B7008" s="30" t="s">
        <v>16338</v>
      </c>
      <c r="C7008" s="30" t="s">
        <v>2461</v>
      </c>
      <c r="D7008" s="30" t="s">
        <v>17</v>
      </c>
      <c r="E7008" s="30" t="s">
        <v>31</v>
      </c>
      <c r="F7008" s="30" t="s">
        <v>32</v>
      </c>
      <c r="G7008" s="30" t="s">
        <v>20</v>
      </c>
      <c r="H7008" s="32">
        <v>327</v>
      </c>
      <c r="I7008" s="30" t="s">
        <v>21</v>
      </c>
      <c r="J7008" s="41">
        <v>44209</v>
      </c>
      <c r="K7008" s="30" t="s">
        <v>22</v>
      </c>
    </row>
    <row r="7009" spans="1:11">
      <c r="A7009" s="33" t="s">
        <v>16339</v>
      </c>
      <c r="B7009" s="33" t="s">
        <v>16340</v>
      </c>
      <c r="C7009" s="33" t="s">
        <v>1090</v>
      </c>
      <c r="D7009" s="33" t="s">
        <v>17</v>
      </c>
      <c r="E7009" s="33" t="s">
        <v>31</v>
      </c>
      <c r="F7009" s="33" t="s">
        <v>32</v>
      </c>
      <c r="G7009" s="33" t="s">
        <v>106</v>
      </c>
      <c r="H7009" s="35">
        <v>31</v>
      </c>
      <c r="I7009" s="33" t="s">
        <v>21</v>
      </c>
      <c r="J7009" s="42">
        <v>44369</v>
      </c>
      <c r="K7009" s="33" t="s">
        <v>22</v>
      </c>
    </row>
    <row r="7010" spans="1:11">
      <c r="A7010" s="30" t="s">
        <v>16341</v>
      </c>
      <c r="B7010" s="30" t="s">
        <v>16342</v>
      </c>
      <c r="C7010" s="30" t="s">
        <v>16159</v>
      </c>
      <c r="D7010" s="30" t="s">
        <v>17</v>
      </c>
      <c r="E7010" s="30" t="s">
        <v>18</v>
      </c>
      <c r="F7010" s="30" t="s">
        <v>19</v>
      </c>
      <c r="G7010" s="30" t="s">
        <v>20</v>
      </c>
      <c r="H7010" s="32">
        <v>668</v>
      </c>
      <c r="I7010" s="30" t="s">
        <v>21</v>
      </c>
      <c r="J7010" s="41">
        <v>44308</v>
      </c>
      <c r="K7010" s="30" t="s">
        <v>22</v>
      </c>
    </row>
    <row r="7011" spans="1:11">
      <c r="A7011" s="33" t="s">
        <v>16343</v>
      </c>
      <c r="B7011" s="33" t="s">
        <v>16344</v>
      </c>
      <c r="C7011" s="33" t="s">
        <v>4191</v>
      </c>
      <c r="D7011" s="33" t="s">
        <v>17</v>
      </c>
      <c r="E7011" s="33" t="s">
        <v>31</v>
      </c>
      <c r="F7011" s="33" t="s">
        <v>32</v>
      </c>
      <c r="G7011" s="33" t="s">
        <v>50</v>
      </c>
      <c r="H7011" s="35">
        <v>15</v>
      </c>
      <c r="I7011" s="33" t="s">
        <v>51</v>
      </c>
      <c r="J7011" s="42">
        <v>44218</v>
      </c>
      <c r="K7011" s="33" t="s">
        <v>22</v>
      </c>
    </row>
    <row r="7012" spans="1:11">
      <c r="A7012" s="30" t="s">
        <v>16345</v>
      </c>
      <c r="B7012" s="30" t="s">
        <v>16346</v>
      </c>
      <c r="C7012" s="30" t="s">
        <v>1275</v>
      </c>
      <c r="D7012" s="30" t="s">
        <v>17</v>
      </c>
      <c r="E7012" s="30" t="s">
        <v>67</v>
      </c>
      <c r="F7012" s="30" t="s">
        <v>68</v>
      </c>
      <c r="G7012" s="30" t="s">
        <v>20</v>
      </c>
      <c r="H7012" s="32">
        <v>100</v>
      </c>
      <c r="I7012" s="30" t="s">
        <v>21</v>
      </c>
      <c r="J7012" s="41">
        <v>44454</v>
      </c>
      <c r="K7012" s="30" t="s">
        <v>22</v>
      </c>
    </row>
    <row r="7013" spans="1:11">
      <c r="A7013" s="33" t="s">
        <v>16347</v>
      </c>
      <c r="B7013" s="33" t="s">
        <v>16348</v>
      </c>
      <c r="C7013" s="33" t="s">
        <v>187</v>
      </c>
      <c r="D7013" s="33" t="s">
        <v>17</v>
      </c>
      <c r="E7013" s="33" t="s">
        <v>26</v>
      </c>
      <c r="F7013" s="33" t="s">
        <v>27</v>
      </c>
      <c r="G7013" s="33" t="s">
        <v>50</v>
      </c>
      <c r="H7013" s="35">
        <v>12</v>
      </c>
      <c r="I7013" s="33" t="s">
        <v>51</v>
      </c>
      <c r="J7013" s="42">
        <v>44250</v>
      </c>
      <c r="K7013" s="33" t="s">
        <v>22</v>
      </c>
    </row>
    <row r="7014" spans="1:11">
      <c r="A7014" s="30" t="s">
        <v>16349</v>
      </c>
      <c r="B7014" s="30" t="s">
        <v>16350</v>
      </c>
      <c r="C7014" s="30" t="s">
        <v>1520</v>
      </c>
      <c r="D7014" s="30" t="s">
        <v>17</v>
      </c>
      <c r="E7014" s="30" t="s">
        <v>31</v>
      </c>
      <c r="F7014" s="30" t="s">
        <v>32</v>
      </c>
      <c r="G7014" s="30" t="s">
        <v>106</v>
      </c>
      <c r="H7014" s="32">
        <v>81</v>
      </c>
      <c r="I7014" s="30" t="s">
        <v>21</v>
      </c>
      <c r="J7014" s="41">
        <v>44277</v>
      </c>
      <c r="K7014" s="30" t="s">
        <v>22</v>
      </c>
    </row>
    <row r="7015" spans="1:11">
      <c r="A7015" s="33" t="s">
        <v>16351</v>
      </c>
      <c r="B7015" s="33" t="s">
        <v>16352</v>
      </c>
      <c r="C7015" s="33" t="s">
        <v>1415</v>
      </c>
      <c r="D7015" s="33" t="s">
        <v>17</v>
      </c>
      <c r="E7015" s="33" t="s">
        <v>26</v>
      </c>
      <c r="F7015" s="33" t="s">
        <v>27</v>
      </c>
      <c r="G7015" s="33" t="s">
        <v>20</v>
      </c>
      <c r="H7015" s="35">
        <v>92</v>
      </c>
      <c r="I7015" s="33" t="s">
        <v>21</v>
      </c>
      <c r="J7015" s="42">
        <v>44402</v>
      </c>
      <c r="K7015" s="33" t="s">
        <v>22</v>
      </c>
    </row>
    <row r="7016" spans="1:11">
      <c r="A7016" s="30" t="s">
        <v>16353</v>
      </c>
      <c r="B7016" s="30" t="s">
        <v>16354</v>
      </c>
      <c r="C7016" s="30" t="s">
        <v>16355</v>
      </c>
      <c r="D7016" s="30" t="s">
        <v>17</v>
      </c>
      <c r="E7016" s="30" t="s">
        <v>26</v>
      </c>
      <c r="F7016" s="30" t="s">
        <v>27</v>
      </c>
      <c r="G7016" s="30" t="s">
        <v>140</v>
      </c>
      <c r="H7016" s="32">
        <v>60</v>
      </c>
      <c r="I7016" s="30" t="s">
        <v>51</v>
      </c>
      <c r="J7016" s="41">
        <v>44204</v>
      </c>
      <c r="K7016" s="30" t="s">
        <v>22</v>
      </c>
    </row>
    <row r="7017" spans="1:11">
      <c r="A7017" s="33" t="s">
        <v>16356</v>
      </c>
      <c r="B7017" s="33" t="s">
        <v>16357</v>
      </c>
      <c r="C7017" s="33" t="s">
        <v>4348</v>
      </c>
      <c r="D7017" s="33" t="s">
        <v>17</v>
      </c>
      <c r="E7017" s="33" t="s">
        <v>26</v>
      </c>
      <c r="F7017" s="33" t="s">
        <v>27</v>
      </c>
      <c r="G7017" s="33" t="s">
        <v>20</v>
      </c>
      <c r="H7017" s="35">
        <v>36</v>
      </c>
      <c r="I7017" s="33" t="s">
        <v>21</v>
      </c>
      <c r="J7017" s="42">
        <v>44285</v>
      </c>
      <c r="K7017" s="33" t="s">
        <v>22</v>
      </c>
    </row>
    <row r="7018" spans="1:11">
      <c r="A7018" s="30" t="s">
        <v>16358</v>
      </c>
      <c r="B7018" s="30" t="s">
        <v>16359</v>
      </c>
      <c r="C7018" s="30" t="s">
        <v>16360</v>
      </c>
      <c r="D7018" s="30" t="s">
        <v>17</v>
      </c>
      <c r="E7018" s="30" t="s">
        <v>18</v>
      </c>
      <c r="F7018" s="30" t="s">
        <v>19</v>
      </c>
      <c r="G7018" s="30" t="s">
        <v>106</v>
      </c>
      <c r="H7018" s="32">
        <v>25</v>
      </c>
      <c r="I7018" s="30" t="s">
        <v>21</v>
      </c>
      <c r="J7018" s="41">
        <v>44538</v>
      </c>
      <c r="K7018" s="30" t="s">
        <v>22</v>
      </c>
    </row>
    <row r="7019" spans="1:11">
      <c r="A7019" s="33" t="s">
        <v>16361</v>
      </c>
      <c r="B7019" s="33" t="s">
        <v>16362</v>
      </c>
      <c r="C7019" s="33" t="s">
        <v>7015</v>
      </c>
      <c r="D7019" s="33" t="s">
        <v>17</v>
      </c>
      <c r="E7019" s="33" t="s">
        <v>212</v>
      </c>
      <c r="F7019" s="33" t="s">
        <v>213</v>
      </c>
      <c r="G7019" s="33" t="s">
        <v>20</v>
      </c>
      <c r="H7019" s="35">
        <v>274</v>
      </c>
      <c r="I7019" s="33" t="s">
        <v>21</v>
      </c>
      <c r="J7019" s="42">
        <v>44515</v>
      </c>
      <c r="K7019" s="33" t="s">
        <v>22</v>
      </c>
    </row>
    <row r="7020" spans="1:11">
      <c r="A7020" s="30" t="s">
        <v>16363</v>
      </c>
      <c r="B7020" s="30" t="s">
        <v>16364</v>
      </c>
      <c r="C7020" s="30" t="s">
        <v>969</v>
      </c>
      <c r="D7020" s="30" t="s">
        <v>17</v>
      </c>
      <c r="E7020" s="30" t="s">
        <v>26</v>
      </c>
      <c r="F7020" s="30" t="s">
        <v>27</v>
      </c>
      <c r="G7020" s="30" t="s">
        <v>20</v>
      </c>
      <c r="H7020" s="32">
        <v>54</v>
      </c>
      <c r="I7020" s="30" t="s">
        <v>21</v>
      </c>
      <c r="J7020" s="41">
        <v>44501</v>
      </c>
      <c r="K7020" s="30" t="s">
        <v>22</v>
      </c>
    </row>
    <row r="7021" spans="1:11">
      <c r="A7021" s="33" t="s">
        <v>16365</v>
      </c>
      <c r="B7021" s="33" t="s">
        <v>16366</v>
      </c>
      <c r="C7021" s="33" t="s">
        <v>16367</v>
      </c>
      <c r="D7021" s="33" t="s">
        <v>17</v>
      </c>
      <c r="E7021" s="33" t="s">
        <v>31</v>
      </c>
      <c r="F7021" s="33" t="s">
        <v>32</v>
      </c>
      <c r="G7021" s="33" t="s">
        <v>158</v>
      </c>
      <c r="H7021" s="35">
        <v>30</v>
      </c>
      <c r="I7021" s="33" t="s">
        <v>51</v>
      </c>
      <c r="J7021" s="42">
        <v>44214</v>
      </c>
      <c r="K7021" s="33" t="s">
        <v>22</v>
      </c>
    </row>
    <row r="7022" spans="1:11">
      <c r="A7022" s="30" t="s">
        <v>16368</v>
      </c>
      <c r="B7022" s="30" t="s">
        <v>16369</v>
      </c>
      <c r="C7022" s="30" t="s">
        <v>321</v>
      </c>
      <c r="D7022" s="30" t="s">
        <v>17</v>
      </c>
      <c r="E7022" s="30" t="s">
        <v>26</v>
      </c>
      <c r="F7022" s="30" t="s">
        <v>27</v>
      </c>
      <c r="G7022" s="30" t="s">
        <v>20</v>
      </c>
      <c r="H7022" s="32">
        <v>24</v>
      </c>
      <c r="I7022" s="30" t="s">
        <v>21</v>
      </c>
      <c r="J7022" s="41">
        <v>44433</v>
      </c>
      <c r="K7022" s="30" t="s">
        <v>22</v>
      </c>
    </row>
    <row r="7023" spans="1:11">
      <c r="A7023" s="33" t="s">
        <v>16370</v>
      </c>
      <c r="B7023" s="33" t="s">
        <v>16371</v>
      </c>
      <c r="C7023" s="33" t="s">
        <v>16372</v>
      </c>
      <c r="D7023" s="33" t="s">
        <v>17</v>
      </c>
      <c r="E7023" s="33" t="s">
        <v>67</v>
      </c>
      <c r="F7023" s="33" t="s">
        <v>68</v>
      </c>
      <c r="G7023" s="33" t="s">
        <v>158</v>
      </c>
      <c r="H7023" s="35">
        <v>6</v>
      </c>
      <c r="I7023" s="33" t="s">
        <v>51</v>
      </c>
      <c r="J7023" s="42">
        <v>44505</v>
      </c>
      <c r="K7023" s="33" t="s">
        <v>22</v>
      </c>
    </row>
    <row r="7024" spans="1:11">
      <c r="A7024" s="30" t="s">
        <v>16373</v>
      </c>
      <c r="B7024" s="30" t="s">
        <v>16374</v>
      </c>
      <c r="C7024" s="30" t="s">
        <v>124</v>
      </c>
      <c r="D7024" s="30" t="s">
        <v>17</v>
      </c>
      <c r="E7024" s="30" t="s">
        <v>18</v>
      </c>
      <c r="F7024" s="30" t="s">
        <v>19</v>
      </c>
      <c r="G7024" s="30" t="s">
        <v>20</v>
      </c>
      <c r="H7024" s="32">
        <v>372</v>
      </c>
      <c r="I7024" s="30" t="s">
        <v>21</v>
      </c>
      <c r="J7024" s="41">
        <v>44501</v>
      </c>
      <c r="K7024" s="30" t="s">
        <v>22</v>
      </c>
    </row>
    <row r="7025" spans="1:11">
      <c r="A7025" s="33" t="s">
        <v>16375</v>
      </c>
      <c r="B7025" s="33" t="s">
        <v>16376</v>
      </c>
      <c r="C7025" s="33" t="s">
        <v>16377</v>
      </c>
      <c r="D7025" s="33" t="s">
        <v>17</v>
      </c>
      <c r="E7025" s="33" t="s">
        <v>26</v>
      </c>
      <c r="F7025" s="33" t="s">
        <v>27</v>
      </c>
      <c r="G7025" s="33" t="s">
        <v>69</v>
      </c>
      <c r="H7025" s="35">
        <v>24</v>
      </c>
      <c r="I7025" s="33" t="s">
        <v>51</v>
      </c>
      <c r="J7025" s="42">
        <v>44247</v>
      </c>
      <c r="K7025" s="33" t="s">
        <v>22</v>
      </c>
    </row>
    <row r="7026" spans="1:11">
      <c r="A7026" s="30" t="s">
        <v>16378</v>
      </c>
      <c r="B7026" s="30" t="s">
        <v>16379</v>
      </c>
      <c r="C7026" s="30" t="s">
        <v>8204</v>
      </c>
      <c r="D7026" s="30" t="s">
        <v>17</v>
      </c>
      <c r="E7026" s="30" t="s">
        <v>26</v>
      </c>
      <c r="F7026" s="30" t="s">
        <v>27</v>
      </c>
      <c r="G7026" s="30" t="s">
        <v>106</v>
      </c>
      <c r="H7026" s="32">
        <v>111</v>
      </c>
      <c r="I7026" s="30" t="s">
        <v>21</v>
      </c>
      <c r="J7026" s="41">
        <v>44214</v>
      </c>
      <c r="K7026" s="30" t="s">
        <v>22</v>
      </c>
    </row>
    <row r="7027" spans="1:11">
      <c r="A7027" s="33" t="s">
        <v>16380</v>
      </c>
      <c r="B7027" s="33" t="s">
        <v>16381</v>
      </c>
      <c r="C7027" s="33" t="s">
        <v>11320</v>
      </c>
      <c r="D7027" s="33" t="s">
        <v>17</v>
      </c>
      <c r="E7027" s="33" t="s">
        <v>26</v>
      </c>
      <c r="F7027" s="33" t="s">
        <v>27</v>
      </c>
      <c r="G7027" s="33" t="s">
        <v>20</v>
      </c>
      <c r="H7027" s="35">
        <v>56</v>
      </c>
      <c r="I7027" s="33" t="s">
        <v>21</v>
      </c>
      <c r="J7027" s="42">
        <v>44209</v>
      </c>
      <c r="K7027" s="33" t="s">
        <v>22</v>
      </c>
    </row>
    <row r="7028" spans="1:11">
      <c r="A7028" s="30" t="s">
        <v>16382</v>
      </c>
      <c r="B7028" s="30" t="s">
        <v>16383</v>
      </c>
      <c r="C7028" s="30" t="s">
        <v>379</v>
      </c>
      <c r="D7028" s="30" t="s">
        <v>17</v>
      </c>
      <c r="E7028" s="30" t="s">
        <v>26</v>
      </c>
      <c r="F7028" s="30" t="s">
        <v>27</v>
      </c>
      <c r="G7028" s="30" t="s">
        <v>20</v>
      </c>
      <c r="H7028" s="32">
        <v>18</v>
      </c>
      <c r="I7028" s="30" t="s">
        <v>21</v>
      </c>
      <c r="J7028" s="41">
        <v>44480</v>
      </c>
      <c r="K7028" s="30" t="s">
        <v>22</v>
      </c>
    </row>
    <row r="7029" spans="1:11">
      <c r="A7029" s="33" t="s">
        <v>16384</v>
      </c>
      <c r="B7029" s="33" t="s">
        <v>16385</v>
      </c>
      <c r="C7029" s="33" t="s">
        <v>2239</v>
      </c>
      <c r="D7029" s="33" t="s">
        <v>17</v>
      </c>
      <c r="E7029" s="33" t="s">
        <v>26</v>
      </c>
      <c r="F7029" s="33" t="s">
        <v>27</v>
      </c>
      <c r="G7029" s="33" t="s">
        <v>20</v>
      </c>
      <c r="H7029" s="35">
        <v>8</v>
      </c>
      <c r="I7029" s="33" t="s">
        <v>21</v>
      </c>
      <c r="J7029" s="42">
        <v>44424</v>
      </c>
      <c r="K7029" s="33" t="s">
        <v>22</v>
      </c>
    </row>
    <row r="7030" spans="1:11">
      <c r="A7030" s="30" t="s">
        <v>16386</v>
      </c>
      <c r="B7030" s="30" t="s">
        <v>16387</v>
      </c>
      <c r="C7030" s="30" t="s">
        <v>16388</v>
      </c>
      <c r="D7030" s="30" t="s">
        <v>17</v>
      </c>
      <c r="E7030" s="30" t="s">
        <v>67</v>
      </c>
      <c r="F7030" s="30" t="s">
        <v>68</v>
      </c>
      <c r="G7030" s="30" t="s">
        <v>158</v>
      </c>
      <c r="H7030" s="32">
        <v>106</v>
      </c>
      <c r="I7030" s="30" t="s">
        <v>51</v>
      </c>
      <c r="J7030" s="41">
        <v>44505</v>
      </c>
      <c r="K7030" s="30" t="s">
        <v>22</v>
      </c>
    </row>
    <row r="7031" spans="1:11">
      <c r="A7031" s="33" t="s">
        <v>16389</v>
      </c>
      <c r="B7031" s="33" t="s">
        <v>16390</v>
      </c>
      <c r="C7031" s="33" t="s">
        <v>16391</v>
      </c>
      <c r="D7031" s="33" t="s">
        <v>17</v>
      </c>
      <c r="E7031" s="33" t="s">
        <v>26</v>
      </c>
      <c r="F7031" s="33" t="s">
        <v>27</v>
      </c>
      <c r="G7031" s="33" t="s">
        <v>158</v>
      </c>
      <c r="H7031" s="35">
        <v>198</v>
      </c>
      <c r="I7031" s="33" t="s">
        <v>21</v>
      </c>
      <c r="J7031" s="42">
        <v>44309</v>
      </c>
      <c r="K7031" s="33" t="s">
        <v>22</v>
      </c>
    </row>
    <row r="7032" spans="1:11">
      <c r="A7032" s="30" t="s">
        <v>16392</v>
      </c>
      <c r="B7032" s="30" t="s">
        <v>16393</v>
      </c>
      <c r="C7032" s="30" t="s">
        <v>136</v>
      </c>
      <c r="D7032" s="30" t="s">
        <v>17</v>
      </c>
      <c r="E7032" s="30" t="s">
        <v>26</v>
      </c>
      <c r="F7032" s="30" t="s">
        <v>27</v>
      </c>
      <c r="G7032" s="30" t="s">
        <v>158</v>
      </c>
      <c r="H7032" s="32">
        <v>316</v>
      </c>
      <c r="I7032" s="30" t="s">
        <v>51</v>
      </c>
      <c r="J7032" s="41">
        <v>44469</v>
      </c>
      <c r="K7032" s="30" t="s">
        <v>22</v>
      </c>
    </row>
    <row r="7033" spans="1:11">
      <c r="A7033" s="33" t="s">
        <v>16394</v>
      </c>
      <c r="B7033" s="33" t="s">
        <v>16395</v>
      </c>
      <c r="C7033" s="33" t="s">
        <v>2663</v>
      </c>
      <c r="D7033" s="33" t="s">
        <v>17</v>
      </c>
      <c r="E7033" s="33" t="s">
        <v>26</v>
      </c>
      <c r="F7033" s="33" t="s">
        <v>27</v>
      </c>
      <c r="G7033" s="33" t="s">
        <v>20</v>
      </c>
      <c r="H7033" s="35">
        <v>16</v>
      </c>
      <c r="I7033" s="33" t="s">
        <v>21</v>
      </c>
      <c r="J7033" s="42">
        <v>44363</v>
      </c>
      <c r="K7033" s="33" t="s">
        <v>22</v>
      </c>
    </row>
    <row r="7034" spans="1:11">
      <c r="A7034" s="30" t="s">
        <v>16396</v>
      </c>
      <c r="B7034" s="30" t="s">
        <v>16397</v>
      </c>
      <c r="C7034" s="30" t="s">
        <v>136</v>
      </c>
      <c r="D7034" s="30" t="s">
        <v>17</v>
      </c>
      <c r="E7034" s="30" t="s">
        <v>26</v>
      </c>
      <c r="F7034" s="30" t="s">
        <v>27</v>
      </c>
      <c r="G7034" s="30" t="s">
        <v>20</v>
      </c>
      <c r="H7034" s="32">
        <v>16</v>
      </c>
      <c r="I7034" s="30" t="s">
        <v>21</v>
      </c>
      <c r="J7034" s="41">
        <v>44207</v>
      </c>
      <c r="K7034" s="30" t="s">
        <v>22</v>
      </c>
    </row>
    <row r="7035" spans="1:11">
      <c r="A7035" s="33" t="s">
        <v>16398</v>
      </c>
      <c r="B7035" s="33" t="s">
        <v>16399</v>
      </c>
      <c r="C7035" s="33" t="s">
        <v>801</v>
      </c>
      <c r="D7035" s="33" t="s">
        <v>17</v>
      </c>
      <c r="E7035" s="33" t="s">
        <v>18</v>
      </c>
      <c r="F7035" s="33" t="s">
        <v>19</v>
      </c>
      <c r="G7035" s="33" t="s">
        <v>158</v>
      </c>
      <c r="H7035" s="35">
        <v>115</v>
      </c>
      <c r="I7035" s="33" t="s">
        <v>21</v>
      </c>
      <c r="J7035" s="42">
        <v>44305</v>
      </c>
      <c r="K7035" s="33" t="s">
        <v>22</v>
      </c>
    </row>
    <row r="7036" spans="1:11">
      <c r="A7036" s="30" t="s">
        <v>16400</v>
      </c>
      <c r="B7036" s="30" t="s">
        <v>16401</v>
      </c>
      <c r="C7036" s="30" t="s">
        <v>124</v>
      </c>
      <c r="D7036" s="30" t="s">
        <v>17</v>
      </c>
      <c r="E7036" s="30" t="s">
        <v>26</v>
      </c>
      <c r="F7036" s="30" t="s">
        <v>27</v>
      </c>
      <c r="G7036" s="30" t="s">
        <v>20</v>
      </c>
      <c r="H7036" s="32">
        <v>6</v>
      </c>
      <c r="I7036" s="30" t="s">
        <v>21</v>
      </c>
      <c r="J7036" s="41">
        <v>44362</v>
      </c>
      <c r="K7036" s="30" t="s">
        <v>22</v>
      </c>
    </row>
    <row r="7037" spans="1:11">
      <c r="A7037" s="33" t="s">
        <v>16402</v>
      </c>
      <c r="B7037" s="33" t="s">
        <v>16403</v>
      </c>
      <c r="C7037" s="33" t="s">
        <v>16404</v>
      </c>
      <c r="D7037" s="33" t="s">
        <v>17</v>
      </c>
      <c r="E7037" s="33" t="s">
        <v>26</v>
      </c>
      <c r="F7037" s="33" t="s">
        <v>27</v>
      </c>
      <c r="G7037" s="33" t="s">
        <v>158</v>
      </c>
      <c r="H7037" s="35">
        <v>169</v>
      </c>
      <c r="I7037" s="33" t="s">
        <v>21</v>
      </c>
      <c r="J7037" s="42">
        <v>44300</v>
      </c>
      <c r="K7037" s="33" t="s">
        <v>22</v>
      </c>
    </row>
    <row r="7038" spans="1:11">
      <c r="A7038" s="30" t="s">
        <v>16405</v>
      </c>
      <c r="B7038" s="30" t="s">
        <v>16406</v>
      </c>
      <c r="C7038" s="30" t="s">
        <v>16407</v>
      </c>
      <c r="D7038" s="30" t="s">
        <v>17</v>
      </c>
      <c r="E7038" s="30" t="s">
        <v>67</v>
      </c>
      <c r="F7038" s="30" t="s">
        <v>68</v>
      </c>
      <c r="G7038" s="30" t="s">
        <v>50</v>
      </c>
      <c r="H7038" s="32">
        <v>24</v>
      </c>
      <c r="I7038" s="30" t="s">
        <v>51</v>
      </c>
      <c r="J7038" s="41">
        <v>44385</v>
      </c>
      <c r="K7038" s="30" t="s">
        <v>22</v>
      </c>
    </row>
    <row r="7039" spans="1:11">
      <c r="A7039" s="33" t="s">
        <v>16408</v>
      </c>
      <c r="B7039" s="33" t="s">
        <v>16409</v>
      </c>
      <c r="C7039" s="33" t="s">
        <v>231</v>
      </c>
      <c r="D7039" s="33" t="s">
        <v>17</v>
      </c>
      <c r="E7039" s="33" t="s">
        <v>26</v>
      </c>
      <c r="F7039" s="33" t="s">
        <v>27</v>
      </c>
      <c r="G7039" s="33" t="s">
        <v>20</v>
      </c>
      <c r="H7039" s="35">
        <v>15</v>
      </c>
      <c r="I7039" s="33" t="s">
        <v>21</v>
      </c>
      <c r="J7039" s="42">
        <v>44488</v>
      </c>
      <c r="K7039" s="33" t="s">
        <v>22</v>
      </c>
    </row>
    <row r="7040" spans="1:11">
      <c r="A7040" s="30" t="s">
        <v>16410</v>
      </c>
      <c r="B7040" s="30" t="s">
        <v>16411</v>
      </c>
      <c r="C7040" s="30" t="s">
        <v>16412</v>
      </c>
      <c r="D7040" s="30" t="s">
        <v>17</v>
      </c>
      <c r="E7040" s="30" t="s">
        <v>330</v>
      </c>
      <c r="F7040" s="30" t="s">
        <v>331</v>
      </c>
      <c r="G7040" s="30" t="s">
        <v>50</v>
      </c>
      <c r="H7040" s="32">
        <v>51</v>
      </c>
      <c r="I7040" s="30" t="s">
        <v>51</v>
      </c>
      <c r="J7040" s="41">
        <v>44287</v>
      </c>
      <c r="K7040" s="30" t="s">
        <v>22</v>
      </c>
    </row>
    <row r="7041" spans="1:11">
      <c r="A7041" s="33" t="s">
        <v>16413</v>
      </c>
      <c r="B7041" s="33" t="s">
        <v>16414</v>
      </c>
      <c r="C7041" s="33" t="s">
        <v>231</v>
      </c>
      <c r="D7041" s="33" t="s">
        <v>17</v>
      </c>
      <c r="E7041" s="33" t="s">
        <v>31</v>
      </c>
      <c r="F7041" s="33" t="s">
        <v>32</v>
      </c>
      <c r="G7041" s="33" t="s">
        <v>20</v>
      </c>
      <c r="H7041" s="35">
        <v>261</v>
      </c>
      <c r="I7041" s="33" t="s">
        <v>21</v>
      </c>
      <c r="J7041" s="42">
        <v>44313</v>
      </c>
      <c r="K7041" s="33" t="s">
        <v>22</v>
      </c>
    </row>
    <row r="7042" spans="1:11">
      <c r="A7042" s="30" t="s">
        <v>16415</v>
      </c>
      <c r="B7042" s="30" t="s">
        <v>16416</v>
      </c>
      <c r="C7042" s="30" t="s">
        <v>13861</v>
      </c>
      <c r="D7042" s="30" t="s">
        <v>17</v>
      </c>
      <c r="E7042" s="30" t="s">
        <v>18</v>
      </c>
      <c r="F7042" s="30" t="s">
        <v>19</v>
      </c>
      <c r="G7042" s="30" t="s">
        <v>50</v>
      </c>
      <c r="H7042" s="32">
        <v>692</v>
      </c>
      <c r="I7042" s="30" t="s">
        <v>51</v>
      </c>
      <c r="J7042" s="41">
        <v>44511</v>
      </c>
      <c r="K7042" s="30" t="s">
        <v>22</v>
      </c>
    </row>
    <row r="7043" spans="1:11">
      <c r="A7043" s="33" t="s">
        <v>16417</v>
      </c>
      <c r="B7043" s="33" t="s">
        <v>16418</v>
      </c>
      <c r="C7043" s="33" t="s">
        <v>1162</v>
      </c>
      <c r="D7043" s="33" t="s">
        <v>17</v>
      </c>
      <c r="E7043" s="33" t="s">
        <v>18</v>
      </c>
      <c r="F7043" s="33" t="s">
        <v>19</v>
      </c>
      <c r="G7043" s="33" t="s">
        <v>158</v>
      </c>
      <c r="H7043" s="35">
        <v>261</v>
      </c>
      <c r="I7043" s="33" t="s">
        <v>21</v>
      </c>
      <c r="J7043" s="42">
        <v>44250</v>
      </c>
      <c r="K7043" s="33" t="s">
        <v>22</v>
      </c>
    </row>
    <row r="7044" spans="1:11">
      <c r="A7044" s="30" t="s">
        <v>16419</v>
      </c>
      <c r="B7044" s="30" t="s">
        <v>16420</v>
      </c>
      <c r="C7044" s="30" t="s">
        <v>190</v>
      </c>
      <c r="D7044" s="30" t="s">
        <v>17</v>
      </c>
      <c r="E7044" s="30" t="s">
        <v>18</v>
      </c>
      <c r="F7044" s="30" t="s">
        <v>19</v>
      </c>
      <c r="G7044" s="30" t="s">
        <v>106</v>
      </c>
      <c r="H7044" s="32">
        <v>39</v>
      </c>
      <c r="I7044" s="30" t="s">
        <v>21</v>
      </c>
      <c r="J7044" s="41">
        <v>44277</v>
      </c>
      <c r="K7044" s="30" t="s">
        <v>22</v>
      </c>
    </row>
    <row r="7045" spans="1:11">
      <c r="A7045" s="33" t="s">
        <v>16421</v>
      </c>
      <c r="B7045" s="33" t="s">
        <v>16422</v>
      </c>
      <c r="C7045" s="33" t="s">
        <v>4742</v>
      </c>
      <c r="D7045" s="33" t="s">
        <v>17</v>
      </c>
      <c r="E7045" s="33" t="s">
        <v>212</v>
      </c>
      <c r="F7045" s="33" t="s">
        <v>213</v>
      </c>
      <c r="G7045" s="33" t="s">
        <v>20</v>
      </c>
      <c r="H7045" s="35">
        <v>520</v>
      </c>
      <c r="I7045" s="33" t="s">
        <v>21</v>
      </c>
      <c r="J7045" s="42">
        <v>44505</v>
      </c>
      <c r="K7045" s="33" t="s">
        <v>22</v>
      </c>
    </row>
    <row r="7046" spans="1:11">
      <c r="A7046" s="30" t="s">
        <v>16423</v>
      </c>
      <c r="B7046" s="30" t="s">
        <v>16424</v>
      </c>
      <c r="C7046" s="30" t="s">
        <v>16425</v>
      </c>
      <c r="D7046" s="30" t="s">
        <v>17</v>
      </c>
      <c r="E7046" s="30" t="s">
        <v>26</v>
      </c>
      <c r="F7046" s="30" t="s">
        <v>27</v>
      </c>
      <c r="G7046" s="30" t="s">
        <v>20</v>
      </c>
      <c r="H7046" s="32">
        <v>92</v>
      </c>
      <c r="I7046" s="30" t="s">
        <v>21</v>
      </c>
      <c r="J7046" s="41">
        <v>44544</v>
      </c>
      <c r="K7046" s="30" t="s">
        <v>22</v>
      </c>
    </row>
    <row r="7047" spans="1:11">
      <c r="A7047" s="33" t="s">
        <v>16426</v>
      </c>
      <c r="B7047" s="33" t="s">
        <v>16427</v>
      </c>
      <c r="C7047" s="33" t="s">
        <v>15097</v>
      </c>
      <c r="D7047" s="33" t="s">
        <v>17</v>
      </c>
      <c r="E7047" s="33" t="s">
        <v>26</v>
      </c>
      <c r="F7047" s="33" t="s">
        <v>27</v>
      </c>
      <c r="G7047" s="33" t="s">
        <v>140</v>
      </c>
      <c r="H7047" s="35">
        <v>12</v>
      </c>
      <c r="I7047" s="33" t="s">
        <v>51</v>
      </c>
      <c r="J7047" s="42">
        <v>44307</v>
      </c>
      <c r="K7047" s="33" t="s">
        <v>22</v>
      </c>
    </row>
    <row r="7048" spans="1:11">
      <c r="A7048" s="30" t="s">
        <v>16428</v>
      </c>
      <c r="B7048" s="30" t="s">
        <v>16429</v>
      </c>
      <c r="C7048" s="30" t="s">
        <v>136</v>
      </c>
      <c r="D7048" s="30" t="s">
        <v>17</v>
      </c>
      <c r="E7048" s="30" t="s">
        <v>18</v>
      </c>
      <c r="F7048" s="30" t="s">
        <v>19</v>
      </c>
      <c r="G7048" s="30" t="s">
        <v>20</v>
      </c>
      <c r="H7048" s="32">
        <v>148</v>
      </c>
      <c r="I7048" s="30" t="s">
        <v>21</v>
      </c>
      <c r="J7048" s="41">
        <v>44516</v>
      </c>
      <c r="K7048" s="30" t="s">
        <v>22</v>
      </c>
    </row>
    <row r="7049" spans="1:11">
      <c r="A7049" s="33" t="s">
        <v>16430</v>
      </c>
      <c r="B7049" s="33" t="s">
        <v>16431</v>
      </c>
      <c r="C7049" s="33" t="s">
        <v>109</v>
      </c>
      <c r="D7049" s="33" t="s">
        <v>17</v>
      </c>
      <c r="E7049" s="33" t="s">
        <v>31</v>
      </c>
      <c r="F7049" s="33" t="s">
        <v>32</v>
      </c>
      <c r="G7049" s="33" t="s">
        <v>20</v>
      </c>
      <c r="H7049" s="35">
        <v>36</v>
      </c>
      <c r="I7049" s="33" t="s">
        <v>21</v>
      </c>
      <c r="J7049" s="42">
        <v>44333</v>
      </c>
      <c r="K7049" s="33" t="s">
        <v>22</v>
      </c>
    </row>
    <row r="7050" spans="1:11">
      <c r="A7050" s="30" t="s">
        <v>16432</v>
      </c>
      <c r="B7050" s="30" t="s">
        <v>16433</v>
      </c>
      <c r="C7050" s="30" t="s">
        <v>16434</v>
      </c>
      <c r="D7050" s="30" t="s">
        <v>17</v>
      </c>
      <c r="E7050" s="30" t="s">
        <v>67</v>
      </c>
      <c r="F7050" s="30" t="s">
        <v>68</v>
      </c>
      <c r="G7050" s="30" t="s">
        <v>112</v>
      </c>
      <c r="H7050" s="32">
        <v>0</v>
      </c>
      <c r="I7050" s="30" t="s">
        <v>21</v>
      </c>
      <c r="J7050" s="41">
        <v>44256</v>
      </c>
      <c r="K7050" s="30" t="s">
        <v>22</v>
      </c>
    </row>
    <row r="7051" spans="1:11">
      <c r="A7051" s="33" t="s">
        <v>16435</v>
      </c>
      <c r="B7051" s="33" t="s">
        <v>16436</v>
      </c>
      <c r="C7051" s="33" t="s">
        <v>157</v>
      </c>
      <c r="D7051" s="33" t="s">
        <v>17</v>
      </c>
      <c r="E7051" s="33" t="s">
        <v>26</v>
      </c>
      <c r="F7051" s="33" t="s">
        <v>27</v>
      </c>
      <c r="G7051" s="33" t="s">
        <v>20</v>
      </c>
      <c r="H7051" s="35">
        <v>36</v>
      </c>
      <c r="I7051" s="33" t="s">
        <v>21</v>
      </c>
      <c r="J7051" s="42">
        <v>44498</v>
      </c>
      <c r="K7051" s="33" t="s">
        <v>22</v>
      </c>
    </row>
    <row r="7052" spans="1:11">
      <c r="A7052" s="30" t="s">
        <v>16437</v>
      </c>
      <c r="B7052" s="30" t="s">
        <v>16438</v>
      </c>
      <c r="C7052" s="30" t="s">
        <v>1270</v>
      </c>
      <c r="D7052" s="30" t="s">
        <v>17</v>
      </c>
      <c r="E7052" s="30" t="s">
        <v>212</v>
      </c>
      <c r="F7052" s="30" t="s">
        <v>213</v>
      </c>
      <c r="G7052" s="30" t="s">
        <v>50</v>
      </c>
      <c r="H7052" s="32">
        <v>200</v>
      </c>
      <c r="I7052" s="30" t="s">
        <v>51</v>
      </c>
      <c r="J7052" s="41">
        <v>44523</v>
      </c>
      <c r="K7052" s="30" t="s">
        <v>22</v>
      </c>
    </row>
    <row r="7053" spans="1:11">
      <c r="A7053" s="33" t="s">
        <v>16439</v>
      </c>
      <c r="B7053" s="33" t="s">
        <v>16440</v>
      </c>
      <c r="C7053" s="33" t="s">
        <v>1270</v>
      </c>
      <c r="D7053" s="33" t="s">
        <v>17</v>
      </c>
      <c r="E7053" s="33" t="s">
        <v>18</v>
      </c>
      <c r="F7053" s="33" t="s">
        <v>19</v>
      </c>
      <c r="G7053" s="33" t="s">
        <v>158</v>
      </c>
      <c r="H7053" s="35">
        <v>192</v>
      </c>
      <c r="I7053" s="33" t="s">
        <v>51</v>
      </c>
      <c r="J7053" s="42">
        <v>44316</v>
      </c>
      <c r="K7053" s="33" t="s">
        <v>22</v>
      </c>
    </row>
    <row r="7054" spans="1:11">
      <c r="A7054" s="30" t="s">
        <v>16441</v>
      </c>
      <c r="B7054" s="30" t="s">
        <v>16442</v>
      </c>
      <c r="C7054" s="30" t="s">
        <v>16443</v>
      </c>
      <c r="D7054" s="30" t="s">
        <v>17</v>
      </c>
      <c r="E7054" s="30" t="s">
        <v>26</v>
      </c>
      <c r="F7054" s="30" t="s">
        <v>27</v>
      </c>
      <c r="G7054" s="30" t="s">
        <v>50</v>
      </c>
      <c r="H7054" s="32">
        <v>20</v>
      </c>
      <c r="I7054" s="30" t="s">
        <v>51</v>
      </c>
      <c r="J7054" s="41">
        <v>44460</v>
      </c>
      <c r="K7054" s="30" t="s">
        <v>22</v>
      </c>
    </row>
    <row r="7055" spans="1:11">
      <c r="A7055" s="33" t="s">
        <v>16444</v>
      </c>
      <c r="B7055" s="33" t="s">
        <v>16445</v>
      </c>
      <c r="C7055" s="33" t="s">
        <v>9825</v>
      </c>
      <c r="D7055" s="33" t="s">
        <v>17</v>
      </c>
      <c r="E7055" s="33" t="s">
        <v>31</v>
      </c>
      <c r="F7055" s="33" t="s">
        <v>32</v>
      </c>
      <c r="G7055" s="33" t="s">
        <v>20</v>
      </c>
      <c r="H7055" s="35">
        <v>73</v>
      </c>
      <c r="I7055" s="33" t="s">
        <v>21</v>
      </c>
      <c r="J7055" s="42">
        <v>44478</v>
      </c>
      <c r="K7055" s="33" t="s">
        <v>22</v>
      </c>
    </row>
    <row r="7056" spans="1:11">
      <c r="A7056" s="30" t="s">
        <v>16446</v>
      </c>
      <c r="B7056" s="30" t="s">
        <v>16447</v>
      </c>
      <c r="C7056" s="30" t="s">
        <v>16448</v>
      </c>
      <c r="D7056" s="30" t="s">
        <v>17</v>
      </c>
      <c r="E7056" s="30" t="s">
        <v>67</v>
      </c>
      <c r="F7056" s="30" t="s">
        <v>68</v>
      </c>
      <c r="G7056" s="30" t="s">
        <v>20</v>
      </c>
      <c r="H7056" s="32">
        <v>9</v>
      </c>
      <c r="I7056" s="30" t="s">
        <v>21</v>
      </c>
      <c r="J7056" s="41">
        <v>44521</v>
      </c>
      <c r="K7056" s="30" t="s">
        <v>22</v>
      </c>
    </row>
    <row r="7057" spans="1:11">
      <c r="A7057" s="33" t="s">
        <v>16449</v>
      </c>
      <c r="B7057" s="33" t="s">
        <v>16450</v>
      </c>
      <c r="C7057" s="33" t="s">
        <v>11001</v>
      </c>
      <c r="D7057" s="33" t="s">
        <v>17</v>
      </c>
      <c r="E7057" s="33" t="s">
        <v>18</v>
      </c>
      <c r="F7057" s="33" t="s">
        <v>19</v>
      </c>
      <c r="G7057" s="33" t="s">
        <v>50</v>
      </c>
      <c r="H7057" s="35">
        <v>22500</v>
      </c>
      <c r="I7057" s="33" t="s">
        <v>51</v>
      </c>
      <c r="J7057" s="42">
        <v>44433</v>
      </c>
      <c r="K7057" s="33" t="s">
        <v>22</v>
      </c>
    </row>
    <row r="7058" spans="1:11">
      <c r="A7058" s="30" t="s">
        <v>16451</v>
      </c>
      <c r="B7058" s="30" t="s">
        <v>16452</v>
      </c>
      <c r="C7058" s="30" t="s">
        <v>6325</v>
      </c>
      <c r="D7058" s="30" t="s">
        <v>17</v>
      </c>
      <c r="E7058" s="30" t="s">
        <v>45</v>
      </c>
      <c r="F7058" s="30" t="s">
        <v>46</v>
      </c>
      <c r="G7058" s="30" t="s">
        <v>50</v>
      </c>
      <c r="H7058" s="32">
        <v>402</v>
      </c>
      <c r="I7058" s="30" t="s">
        <v>51</v>
      </c>
      <c r="J7058" s="41">
        <v>44284</v>
      </c>
      <c r="K7058" s="30" t="s">
        <v>22</v>
      </c>
    </row>
    <row r="7059" spans="1:11">
      <c r="A7059" s="33" t="s">
        <v>16453</v>
      </c>
      <c r="B7059" s="33" t="s">
        <v>16454</v>
      </c>
      <c r="C7059" s="33" t="s">
        <v>187</v>
      </c>
      <c r="D7059" s="33" t="s">
        <v>17</v>
      </c>
      <c r="E7059" s="33" t="s">
        <v>31</v>
      </c>
      <c r="F7059" s="33" t="s">
        <v>32</v>
      </c>
      <c r="G7059" s="33" t="s">
        <v>50</v>
      </c>
      <c r="H7059" s="35">
        <v>30</v>
      </c>
      <c r="I7059" s="33" t="s">
        <v>51</v>
      </c>
      <c r="J7059" s="42">
        <v>44287</v>
      </c>
      <c r="K7059" s="33" t="s">
        <v>22</v>
      </c>
    </row>
    <row r="7060" spans="1:11">
      <c r="A7060" s="30" t="s">
        <v>16455</v>
      </c>
      <c r="B7060" s="30" t="s">
        <v>16456</v>
      </c>
      <c r="C7060" s="30" t="s">
        <v>969</v>
      </c>
      <c r="D7060" s="30" t="s">
        <v>17</v>
      </c>
      <c r="E7060" s="30" t="s">
        <v>67</v>
      </c>
      <c r="F7060" s="30" t="s">
        <v>68</v>
      </c>
      <c r="G7060" s="30" t="s">
        <v>158</v>
      </c>
      <c r="H7060" s="32">
        <v>30</v>
      </c>
      <c r="I7060" s="30" t="s">
        <v>21</v>
      </c>
      <c r="J7060" s="41">
        <v>44406</v>
      </c>
      <c r="K7060" s="30" t="s">
        <v>22</v>
      </c>
    </row>
    <row r="7061" spans="1:11">
      <c r="A7061" s="33" t="s">
        <v>16457</v>
      </c>
      <c r="B7061" s="33" t="s">
        <v>16458</v>
      </c>
      <c r="C7061" s="33" t="s">
        <v>16459</v>
      </c>
      <c r="D7061" s="33" t="s">
        <v>17</v>
      </c>
      <c r="E7061" s="33" t="s">
        <v>45</v>
      </c>
      <c r="F7061" s="33" t="s">
        <v>46</v>
      </c>
      <c r="G7061" s="33" t="s">
        <v>106</v>
      </c>
      <c r="H7061" s="35">
        <v>90</v>
      </c>
      <c r="I7061" s="33" t="s">
        <v>21</v>
      </c>
      <c r="J7061" s="42">
        <v>44316</v>
      </c>
      <c r="K7061" s="33" t="s">
        <v>22</v>
      </c>
    </row>
    <row r="7062" spans="1:11">
      <c r="A7062" s="30" t="s">
        <v>16460</v>
      </c>
      <c r="B7062" s="30" t="s">
        <v>16461</v>
      </c>
      <c r="C7062" s="30" t="s">
        <v>801</v>
      </c>
      <c r="D7062" s="30" t="s">
        <v>17</v>
      </c>
      <c r="E7062" s="30" t="s">
        <v>26</v>
      </c>
      <c r="F7062" s="30" t="s">
        <v>27</v>
      </c>
      <c r="G7062" s="30" t="s">
        <v>20</v>
      </c>
      <c r="H7062" s="32">
        <v>8</v>
      </c>
      <c r="I7062" s="30" t="s">
        <v>21</v>
      </c>
      <c r="J7062" s="41">
        <v>44405</v>
      </c>
      <c r="K7062" s="30" t="s">
        <v>22</v>
      </c>
    </row>
    <row r="7063" spans="1:11">
      <c r="A7063" s="33" t="s">
        <v>16462</v>
      </c>
      <c r="B7063" s="33" t="s">
        <v>16463</v>
      </c>
      <c r="C7063" s="33" t="s">
        <v>3106</v>
      </c>
      <c r="D7063" s="33" t="s">
        <v>17</v>
      </c>
      <c r="E7063" s="33" t="s">
        <v>31</v>
      </c>
      <c r="F7063" s="33" t="s">
        <v>32</v>
      </c>
      <c r="G7063" s="33" t="s">
        <v>112</v>
      </c>
      <c r="H7063" s="35">
        <v>0</v>
      </c>
      <c r="I7063" s="33" t="s">
        <v>21</v>
      </c>
      <c r="J7063" s="42">
        <v>44499</v>
      </c>
      <c r="K7063" s="33" t="s">
        <v>22</v>
      </c>
    </row>
    <row r="7064" spans="1:11">
      <c r="A7064" s="30" t="s">
        <v>16464</v>
      </c>
      <c r="B7064" s="30" t="s">
        <v>16465</v>
      </c>
      <c r="C7064" s="30" t="s">
        <v>16466</v>
      </c>
      <c r="D7064" s="30" t="s">
        <v>17</v>
      </c>
      <c r="E7064" s="30" t="s">
        <v>26</v>
      </c>
      <c r="F7064" s="30" t="s">
        <v>27</v>
      </c>
      <c r="G7064" s="30" t="s">
        <v>20</v>
      </c>
      <c r="H7064" s="32">
        <v>32</v>
      </c>
      <c r="I7064" s="30" t="s">
        <v>21</v>
      </c>
      <c r="J7064" s="41">
        <v>44379</v>
      </c>
      <c r="K7064" s="30" t="s">
        <v>22</v>
      </c>
    </row>
    <row r="7065" spans="1:11">
      <c r="A7065" s="33" t="s">
        <v>16467</v>
      </c>
      <c r="B7065" s="33" t="s">
        <v>16468</v>
      </c>
      <c r="C7065" s="33" t="s">
        <v>16469</v>
      </c>
      <c r="D7065" s="33" t="s">
        <v>17</v>
      </c>
      <c r="E7065" s="33" t="s">
        <v>67</v>
      </c>
      <c r="F7065" s="33" t="s">
        <v>68</v>
      </c>
      <c r="G7065" s="33" t="s">
        <v>158</v>
      </c>
      <c r="H7065" s="35">
        <v>199</v>
      </c>
      <c r="I7065" s="33" t="s">
        <v>21</v>
      </c>
      <c r="J7065" s="42">
        <v>44224</v>
      </c>
      <c r="K7065" s="33" t="s">
        <v>22</v>
      </c>
    </row>
    <row r="7066" spans="1:11">
      <c r="A7066" s="30" t="s">
        <v>16470</v>
      </c>
      <c r="B7066" s="30" t="s">
        <v>16471</v>
      </c>
      <c r="C7066" s="30" t="s">
        <v>7196</v>
      </c>
      <c r="D7066" s="30" t="s">
        <v>17</v>
      </c>
      <c r="E7066" s="30" t="s">
        <v>67</v>
      </c>
      <c r="F7066" s="30" t="s">
        <v>68</v>
      </c>
      <c r="G7066" s="30" t="s">
        <v>50</v>
      </c>
      <c r="H7066" s="32">
        <v>164</v>
      </c>
      <c r="I7066" s="30" t="s">
        <v>51</v>
      </c>
      <c r="J7066" s="41">
        <v>44491</v>
      </c>
      <c r="K7066" s="30" t="s">
        <v>22</v>
      </c>
    </row>
    <row r="7067" spans="1:11">
      <c r="A7067" s="33" t="s">
        <v>16472</v>
      </c>
      <c r="B7067" s="33" t="s">
        <v>16473</v>
      </c>
      <c r="C7067" s="33" t="s">
        <v>3655</v>
      </c>
      <c r="D7067" s="33" t="s">
        <v>17</v>
      </c>
      <c r="E7067" s="33" t="s">
        <v>26</v>
      </c>
      <c r="F7067" s="33" t="s">
        <v>27</v>
      </c>
      <c r="G7067" s="33" t="s">
        <v>20</v>
      </c>
      <c r="H7067" s="35">
        <v>86</v>
      </c>
      <c r="I7067" s="33" t="s">
        <v>21</v>
      </c>
      <c r="J7067" s="42">
        <v>44355</v>
      </c>
      <c r="K7067" s="33" t="s">
        <v>22</v>
      </c>
    </row>
    <row r="7068" spans="1:11">
      <c r="A7068" s="30" t="s">
        <v>16474</v>
      </c>
      <c r="B7068" s="30" t="s">
        <v>16475</v>
      </c>
      <c r="C7068" s="30" t="s">
        <v>16476</v>
      </c>
      <c r="D7068" s="30" t="s">
        <v>17</v>
      </c>
      <c r="E7068" s="30" t="s">
        <v>31</v>
      </c>
      <c r="F7068" s="30" t="s">
        <v>32</v>
      </c>
      <c r="G7068" s="30" t="s">
        <v>50</v>
      </c>
      <c r="H7068" s="32">
        <v>266</v>
      </c>
      <c r="I7068" s="30" t="s">
        <v>21</v>
      </c>
      <c r="J7068" s="41">
        <v>44539</v>
      </c>
      <c r="K7068" s="30" t="s">
        <v>22</v>
      </c>
    </row>
    <row r="7069" spans="1:11">
      <c r="A7069" s="33" t="s">
        <v>16477</v>
      </c>
      <c r="B7069" s="33" t="s">
        <v>16478</v>
      </c>
      <c r="C7069" s="33" t="s">
        <v>154</v>
      </c>
      <c r="D7069" s="33" t="s">
        <v>17</v>
      </c>
      <c r="E7069" s="33" t="s">
        <v>18</v>
      </c>
      <c r="F7069" s="33" t="s">
        <v>19</v>
      </c>
      <c r="G7069" s="33" t="s">
        <v>106</v>
      </c>
      <c r="H7069" s="35">
        <v>63</v>
      </c>
      <c r="I7069" s="33" t="s">
        <v>21</v>
      </c>
      <c r="J7069" s="42">
        <v>44364</v>
      </c>
      <c r="K7069" s="33" t="s">
        <v>22</v>
      </c>
    </row>
    <row r="7070" spans="1:11">
      <c r="A7070" s="30" t="s">
        <v>16479</v>
      </c>
      <c r="B7070" s="30" t="s">
        <v>16480</v>
      </c>
      <c r="C7070" s="30" t="s">
        <v>190</v>
      </c>
      <c r="D7070" s="30" t="s">
        <v>17</v>
      </c>
      <c r="E7070" s="30" t="s">
        <v>31</v>
      </c>
      <c r="F7070" s="30" t="s">
        <v>32</v>
      </c>
      <c r="G7070" s="30" t="s">
        <v>20</v>
      </c>
      <c r="H7070" s="32">
        <v>15</v>
      </c>
      <c r="I7070" s="30" t="s">
        <v>21</v>
      </c>
      <c r="J7070" s="41">
        <v>44263</v>
      </c>
      <c r="K7070" s="30" t="s">
        <v>22</v>
      </c>
    </row>
    <row r="7071" spans="1:11">
      <c r="A7071" s="33" t="s">
        <v>16481</v>
      </c>
      <c r="B7071" s="33" t="s">
        <v>16482</v>
      </c>
      <c r="C7071" s="33" t="s">
        <v>5158</v>
      </c>
      <c r="D7071" s="33" t="s">
        <v>17</v>
      </c>
      <c r="E7071" s="33" t="s">
        <v>18</v>
      </c>
      <c r="F7071" s="33" t="s">
        <v>19</v>
      </c>
      <c r="G7071" s="33" t="s">
        <v>20</v>
      </c>
      <c r="H7071" s="35">
        <v>54</v>
      </c>
      <c r="I7071" s="33" t="s">
        <v>21</v>
      </c>
      <c r="J7071" s="42">
        <v>44258</v>
      </c>
      <c r="K7071" s="33" t="s">
        <v>22</v>
      </c>
    </row>
    <row r="7072" spans="1:11">
      <c r="A7072" s="30" t="s">
        <v>16483</v>
      </c>
      <c r="B7072" s="30" t="s">
        <v>16484</v>
      </c>
      <c r="C7072" s="30" t="s">
        <v>9651</v>
      </c>
      <c r="D7072" s="30" t="s">
        <v>17</v>
      </c>
      <c r="E7072" s="30" t="s">
        <v>26</v>
      </c>
      <c r="F7072" s="30" t="s">
        <v>27</v>
      </c>
      <c r="G7072" s="30" t="s">
        <v>112</v>
      </c>
      <c r="H7072" s="32">
        <v>0</v>
      </c>
      <c r="I7072" s="30" t="s">
        <v>21</v>
      </c>
      <c r="J7072" s="41">
        <v>44419</v>
      </c>
      <c r="K7072" s="30" t="s">
        <v>22</v>
      </c>
    </row>
    <row r="7073" spans="1:11">
      <c r="A7073" s="33" t="s">
        <v>16485</v>
      </c>
      <c r="B7073" s="33" t="s">
        <v>16486</v>
      </c>
      <c r="C7073" s="33" t="s">
        <v>817</v>
      </c>
      <c r="D7073" s="33" t="s">
        <v>17</v>
      </c>
      <c r="E7073" s="33" t="s">
        <v>31</v>
      </c>
      <c r="F7073" s="33" t="s">
        <v>32</v>
      </c>
      <c r="G7073" s="33" t="s">
        <v>20</v>
      </c>
      <c r="H7073" s="35">
        <v>80</v>
      </c>
      <c r="I7073" s="33" t="s">
        <v>21</v>
      </c>
      <c r="J7073" s="42">
        <v>44305</v>
      </c>
      <c r="K7073" s="33" t="s">
        <v>22</v>
      </c>
    </row>
    <row r="7074" spans="1:11">
      <c r="A7074" s="30" t="s">
        <v>16487</v>
      </c>
      <c r="B7074" s="30" t="s">
        <v>16488</v>
      </c>
      <c r="C7074" s="30" t="s">
        <v>190</v>
      </c>
      <c r="D7074" s="30" t="s">
        <v>17</v>
      </c>
      <c r="E7074" s="30" t="s">
        <v>45</v>
      </c>
      <c r="F7074" s="30" t="s">
        <v>46</v>
      </c>
      <c r="G7074" s="30" t="s">
        <v>20</v>
      </c>
      <c r="H7074" s="32">
        <v>2843</v>
      </c>
      <c r="I7074" s="30" t="s">
        <v>21</v>
      </c>
      <c r="J7074" s="41">
        <v>44374</v>
      </c>
      <c r="K7074" s="30" t="s">
        <v>22</v>
      </c>
    </row>
    <row r="7075" spans="1:11">
      <c r="A7075" s="33" t="s">
        <v>16489</v>
      </c>
      <c r="B7075" s="33" t="s">
        <v>16490</v>
      </c>
      <c r="C7075" s="33" t="s">
        <v>149</v>
      </c>
      <c r="D7075" s="33" t="s">
        <v>17</v>
      </c>
      <c r="E7075" s="33" t="s">
        <v>26</v>
      </c>
      <c r="F7075" s="33" t="s">
        <v>27</v>
      </c>
      <c r="G7075" s="33" t="s">
        <v>20</v>
      </c>
      <c r="H7075" s="35">
        <v>70</v>
      </c>
      <c r="I7075" s="33" t="s">
        <v>21</v>
      </c>
      <c r="J7075" s="42">
        <v>44462</v>
      </c>
      <c r="K7075" s="33" t="s">
        <v>22</v>
      </c>
    </row>
    <row r="7076" spans="1:11">
      <c r="A7076" s="30" t="s">
        <v>16491</v>
      </c>
      <c r="B7076" s="30" t="s">
        <v>16492</v>
      </c>
      <c r="C7076" s="30" t="s">
        <v>16493</v>
      </c>
      <c r="D7076" s="30" t="s">
        <v>17</v>
      </c>
      <c r="E7076" s="30" t="s">
        <v>31</v>
      </c>
      <c r="F7076" s="30" t="s">
        <v>32</v>
      </c>
      <c r="G7076" s="30" t="s">
        <v>112</v>
      </c>
      <c r="H7076" s="32">
        <v>0</v>
      </c>
      <c r="I7076" s="30" t="s">
        <v>21</v>
      </c>
      <c r="J7076" s="41">
        <v>44500</v>
      </c>
      <c r="K7076" s="30" t="s">
        <v>22</v>
      </c>
    </row>
    <row r="7077" spans="1:11">
      <c r="A7077" s="33" t="s">
        <v>16494</v>
      </c>
      <c r="B7077" s="33" t="s">
        <v>16495</v>
      </c>
      <c r="C7077" s="33" t="s">
        <v>16496</v>
      </c>
      <c r="D7077" s="33" t="s">
        <v>17</v>
      </c>
      <c r="E7077" s="33" t="s">
        <v>26</v>
      </c>
      <c r="F7077" s="33" t="s">
        <v>27</v>
      </c>
      <c r="G7077" s="33" t="s">
        <v>20</v>
      </c>
      <c r="H7077" s="35">
        <v>49</v>
      </c>
      <c r="I7077" s="33" t="s">
        <v>21</v>
      </c>
      <c r="J7077" s="42">
        <v>44383</v>
      </c>
      <c r="K7077" s="33" t="s">
        <v>22</v>
      </c>
    </row>
    <row r="7078" spans="1:11">
      <c r="A7078" s="30" t="s">
        <v>16497</v>
      </c>
      <c r="B7078" s="30" t="s">
        <v>16498</v>
      </c>
      <c r="C7078" s="30" t="s">
        <v>629</v>
      </c>
      <c r="D7078" s="30" t="s">
        <v>17</v>
      </c>
      <c r="E7078" s="30" t="s">
        <v>31</v>
      </c>
      <c r="F7078" s="30" t="s">
        <v>32</v>
      </c>
      <c r="G7078" s="30" t="s">
        <v>112</v>
      </c>
      <c r="H7078" s="32">
        <v>0</v>
      </c>
      <c r="I7078" s="30" t="s">
        <v>21</v>
      </c>
      <c r="J7078" s="41">
        <v>44560</v>
      </c>
      <c r="K7078" s="30" t="s">
        <v>22</v>
      </c>
    </row>
    <row r="7079" spans="1:11">
      <c r="A7079" s="33" t="s">
        <v>16499</v>
      </c>
      <c r="B7079" s="33" t="s">
        <v>16500</v>
      </c>
      <c r="C7079" s="33" t="s">
        <v>7094</v>
      </c>
      <c r="D7079" s="33" t="s">
        <v>17</v>
      </c>
      <c r="E7079" s="33" t="s">
        <v>31</v>
      </c>
      <c r="F7079" s="33" t="s">
        <v>32</v>
      </c>
      <c r="G7079" s="33" t="s">
        <v>112</v>
      </c>
      <c r="H7079" s="35">
        <v>0</v>
      </c>
      <c r="I7079" s="33" t="s">
        <v>21</v>
      </c>
      <c r="J7079" s="42">
        <v>44197</v>
      </c>
      <c r="K7079" s="33" t="s">
        <v>22</v>
      </c>
    </row>
    <row r="7080" spans="1:11">
      <c r="A7080" s="30" t="s">
        <v>16501</v>
      </c>
      <c r="B7080" s="30" t="s">
        <v>16502</v>
      </c>
      <c r="C7080" s="30" t="s">
        <v>16503</v>
      </c>
      <c r="D7080" s="30" t="s">
        <v>17</v>
      </c>
      <c r="E7080" s="30" t="s">
        <v>26</v>
      </c>
      <c r="F7080" s="30" t="s">
        <v>27</v>
      </c>
      <c r="G7080" s="30" t="s">
        <v>20</v>
      </c>
      <c r="H7080" s="32">
        <v>46</v>
      </c>
      <c r="I7080" s="30" t="s">
        <v>21</v>
      </c>
      <c r="J7080" s="41">
        <v>44330</v>
      </c>
      <c r="K7080" s="30" t="s">
        <v>22</v>
      </c>
    </row>
    <row r="7081" spans="1:11">
      <c r="A7081" s="33" t="s">
        <v>16504</v>
      </c>
      <c r="B7081" s="33" t="s">
        <v>16505</v>
      </c>
      <c r="C7081" s="33" t="s">
        <v>96</v>
      </c>
      <c r="D7081" s="33" t="s">
        <v>17</v>
      </c>
      <c r="E7081" s="33" t="s">
        <v>67</v>
      </c>
      <c r="F7081" s="33" t="s">
        <v>68</v>
      </c>
      <c r="G7081" s="33" t="s">
        <v>20</v>
      </c>
      <c r="H7081" s="35">
        <v>1158</v>
      </c>
      <c r="I7081" s="33" t="s">
        <v>21</v>
      </c>
      <c r="J7081" s="42">
        <v>44452</v>
      </c>
      <c r="K7081" s="33" t="s">
        <v>22</v>
      </c>
    </row>
    <row r="7082" spans="1:11">
      <c r="A7082" s="30" t="s">
        <v>16506</v>
      </c>
      <c r="B7082" s="30" t="s">
        <v>16507</v>
      </c>
      <c r="C7082" s="30" t="s">
        <v>13241</v>
      </c>
      <c r="D7082" s="30" t="s">
        <v>17</v>
      </c>
      <c r="E7082" s="30" t="s">
        <v>26</v>
      </c>
      <c r="F7082" s="30" t="s">
        <v>27</v>
      </c>
      <c r="G7082" s="30" t="s">
        <v>106</v>
      </c>
      <c r="H7082" s="32">
        <v>10</v>
      </c>
      <c r="I7082" s="30" t="s">
        <v>21</v>
      </c>
      <c r="J7082" s="41">
        <v>44558</v>
      </c>
      <c r="K7082" s="30" t="s">
        <v>22</v>
      </c>
    </row>
    <row r="7083" spans="1:11">
      <c r="A7083" s="33" t="s">
        <v>16508</v>
      </c>
      <c r="B7083" s="33" t="s">
        <v>16509</v>
      </c>
      <c r="C7083" s="33" t="s">
        <v>93</v>
      </c>
      <c r="D7083" s="33" t="s">
        <v>17</v>
      </c>
      <c r="E7083" s="33" t="s">
        <v>31</v>
      </c>
      <c r="F7083" s="33" t="s">
        <v>32</v>
      </c>
      <c r="G7083" s="33" t="s">
        <v>106</v>
      </c>
      <c r="H7083" s="35">
        <v>41</v>
      </c>
      <c r="I7083" s="33" t="s">
        <v>21</v>
      </c>
      <c r="J7083" s="42">
        <v>44369</v>
      </c>
      <c r="K7083" s="33" t="s">
        <v>22</v>
      </c>
    </row>
    <row r="7084" spans="1:11">
      <c r="A7084" s="30" t="s">
        <v>16510</v>
      </c>
      <c r="B7084" s="30" t="s">
        <v>16511</v>
      </c>
      <c r="C7084" s="30" t="s">
        <v>549</v>
      </c>
      <c r="D7084" s="30" t="s">
        <v>17</v>
      </c>
      <c r="E7084" s="30" t="s">
        <v>26</v>
      </c>
      <c r="F7084" s="30" t="s">
        <v>27</v>
      </c>
      <c r="G7084" s="30" t="s">
        <v>20</v>
      </c>
      <c r="H7084" s="32">
        <v>14</v>
      </c>
      <c r="I7084" s="30" t="s">
        <v>21</v>
      </c>
      <c r="J7084" s="41">
        <v>44314</v>
      </c>
      <c r="K7084" s="30" t="s">
        <v>22</v>
      </c>
    </row>
    <row r="7085" spans="1:11">
      <c r="A7085" s="33" t="s">
        <v>16512</v>
      </c>
      <c r="B7085" s="33" t="s">
        <v>16513</v>
      </c>
      <c r="C7085" s="33" t="s">
        <v>16514</v>
      </c>
      <c r="D7085" s="33" t="s">
        <v>17</v>
      </c>
      <c r="E7085" s="33" t="s">
        <v>26</v>
      </c>
      <c r="F7085" s="33" t="s">
        <v>27</v>
      </c>
      <c r="G7085" s="33" t="s">
        <v>112</v>
      </c>
      <c r="H7085" s="35">
        <v>0</v>
      </c>
      <c r="I7085" s="33" t="s">
        <v>21</v>
      </c>
      <c r="J7085" s="42">
        <v>44407</v>
      </c>
      <c r="K7085" s="33" t="s">
        <v>22</v>
      </c>
    </row>
    <row r="7086" spans="1:11">
      <c r="A7086" s="30" t="s">
        <v>16515</v>
      </c>
      <c r="B7086" s="30" t="s">
        <v>16516</v>
      </c>
      <c r="C7086" s="30" t="s">
        <v>6903</v>
      </c>
      <c r="D7086" s="30" t="s">
        <v>17</v>
      </c>
      <c r="E7086" s="30" t="s">
        <v>31</v>
      </c>
      <c r="F7086" s="30" t="s">
        <v>32</v>
      </c>
      <c r="G7086" s="30" t="s">
        <v>106</v>
      </c>
      <c r="H7086" s="32">
        <v>10</v>
      </c>
      <c r="I7086" s="30" t="s">
        <v>21</v>
      </c>
      <c r="J7086" s="41">
        <v>44257</v>
      </c>
      <c r="K7086" s="30" t="s">
        <v>22</v>
      </c>
    </row>
    <row r="7087" spans="1:11">
      <c r="A7087" s="33" t="s">
        <v>16517</v>
      </c>
      <c r="B7087" s="33" t="s">
        <v>16518</v>
      </c>
      <c r="C7087" s="33" t="s">
        <v>730</v>
      </c>
      <c r="D7087" s="33" t="s">
        <v>17</v>
      </c>
      <c r="E7087" s="33" t="s">
        <v>67</v>
      </c>
      <c r="F7087" s="33" t="s">
        <v>68</v>
      </c>
      <c r="G7087" s="33" t="s">
        <v>20</v>
      </c>
      <c r="H7087" s="35">
        <v>30</v>
      </c>
      <c r="I7087" s="33" t="s">
        <v>21</v>
      </c>
      <c r="J7087" s="42">
        <v>44316</v>
      </c>
      <c r="K7087" s="33" t="s">
        <v>22</v>
      </c>
    </row>
    <row r="7088" spans="1:11">
      <c r="A7088" s="30" t="s">
        <v>16519</v>
      </c>
      <c r="B7088" s="30" t="s">
        <v>16520</v>
      </c>
      <c r="C7088" s="30" t="s">
        <v>16521</v>
      </c>
      <c r="D7088" s="30" t="s">
        <v>17</v>
      </c>
      <c r="E7088" s="30" t="s">
        <v>26</v>
      </c>
      <c r="F7088" s="30" t="s">
        <v>27</v>
      </c>
      <c r="G7088" s="30" t="s">
        <v>20</v>
      </c>
      <c r="H7088" s="32">
        <v>49</v>
      </c>
      <c r="I7088" s="30" t="s">
        <v>21</v>
      </c>
      <c r="J7088" s="41">
        <v>44523</v>
      </c>
      <c r="K7088" s="30" t="s">
        <v>22</v>
      </c>
    </row>
    <row r="7089" spans="1:11">
      <c r="A7089" s="33" t="s">
        <v>16522</v>
      </c>
      <c r="B7089" s="33" t="s">
        <v>16523</v>
      </c>
      <c r="C7089" s="33" t="s">
        <v>14483</v>
      </c>
      <c r="D7089" s="33" t="s">
        <v>17</v>
      </c>
      <c r="E7089" s="33" t="s">
        <v>26</v>
      </c>
      <c r="F7089" s="33" t="s">
        <v>27</v>
      </c>
      <c r="G7089" s="33" t="s">
        <v>106</v>
      </c>
      <c r="H7089" s="35">
        <v>58</v>
      </c>
      <c r="I7089" s="33" t="s">
        <v>21</v>
      </c>
      <c r="J7089" s="42">
        <v>44298</v>
      </c>
      <c r="K7089" s="33" t="s">
        <v>22</v>
      </c>
    </row>
    <row r="7090" spans="1:11">
      <c r="A7090" s="30" t="s">
        <v>16524</v>
      </c>
      <c r="B7090" s="30" t="s">
        <v>16525</v>
      </c>
      <c r="C7090" s="30" t="s">
        <v>382</v>
      </c>
      <c r="D7090" s="30" t="s">
        <v>17</v>
      </c>
      <c r="E7090" s="30" t="s">
        <v>26</v>
      </c>
      <c r="F7090" s="30" t="s">
        <v>27</v>
      </c>
      <c r="G7090" s="30" t="s">
        <v>20</v>
      </c>
      <c r="H7090" s="32">
        <v>95</v>
      </c>
      <c r="I7090" s="30" t="s">
        <v>21</v>
      </c>
      <c r="J7090" s="41">
        <v>44469</v>
      </c>
      <c r="K7090" s="30" t="s">
        <v>22</v>
      </c>
    </row>
    <row r="7091" spans="1:11">
      <c r="A7091" s="33" t="s">
        <v>16526</v>
      </c>
      <c r="B7091" s="33" t="s">
        <v>16527</v>
      </c>
      <c r="C7091" s="33" t="s">
        <v>310</v>
      </c>
      <c r="D7091" s="33" t="s">
        <v>17</v>
      </c>
      <c r="E7091" s="33" t="s">
        <v>18</v>
      </c>
      <c r="F7091" s="33" t="s">
        <v>19</v>
      </c>
      <c r="G7091" s="33" t="s">
        <v>20</v>
      </c>
      <c r="H7091" s="35">
        <v>407</v>
      </c>
      <c r="I7091" s="33" t="s">
        <v>21</v>
      </c>
      <c r="J7091" s="42">
        <v>44470</v>
      </c>
      <c r="K7091" s="33" t="s">
        <v>22</v>
      </c>
    </row>
    <row r="7092" spans="1:11">
      <c r="A7092" s="30" t="s">
        <v>16528</v>
      </c>
      <c r="B7092" s="30" t="s">
        <v>16529</v>
      </c>
      <c r="C7092" s="30" t="s">
        <v>136</v>
      </c>
      <c r="D7092" s="30" t="s">
        <v>17</v>
      </c>
      <c r="E7092" s="30" t="s">
        <v>18</v>
      </c>
      <c r="F7092" s="30" t="s">
        <v>19</v>
      </c>
      <c r="G7092" s="30" t="s">
        <v>106</v>
      </c>
      <c r="H7092" s="32">
        <v>111</v>
      </c>
      <c r="I7092" s="30" t="s">
        <v>21</v>
      </c>
      <c r="J7092" s="41">
        <v>44326</v>
      </c>
      <c r="K7092" s="30" t="s">
        <v>22</v>
      </c>
    </row>
    <row r="7093" spans="1:11">
      <c r="A7093" s="33" t="s">
        <v>16530</v>
      </c>
      <c r="B7093" s="33" t="s">
        <v>16531</v>
      </c>
      <c r="C7093" s="33" t="s">
        <v>554</v>
      </c>
      <c r="D7093" s="33" t="s">
        <v>17</v>
      </c>
      <c r="E7093" s="33" t="s">
        <v>26</v>
      </c>
      <c r="F7093" s="33" t="s">
        <v>27</v>
      </c>
      <c r="G7093" s="33" t="s">
        <v>20</v>
      </c>
      <c r="H7093" s="35">
        <v>60</v>
      </c>
      <c r="I7093" s="33" t="s">
        <v>21</v>
      </c>
      <c r="J7093" s="42">
        <v>44446</v>
      </c>
      <c r="K7093" s="33" t="s">
        <v>22</v>
      </c>
    </row>
    <row r="7094" spans="1:11">
      <c r="A7094" s="30" t="s">
        <v>16532</v>
      </c>
      <c r="B7094" s="30" t="s">
        <v>16533</v>
      </c>
      <c r="C7094" s="30" t="s">
        <v>190</v>
      </c>
      <c r="D7094" s="30" t="s">
        <v>17</v>
      </c>
      <c r="E7094" s="30" t="s">
        <v>18</v>
      </c>
      <c r="F7094" s="30" t="s">
        <v>19</v>
      </c>
      <c r="G7094" s="30" t="s">
        <v>158</v>
      </c>
      <c r="H7094" s="32">
        <v>1370</v>
      </c>
      <c r="I7094" s="30" t="s">
        <v>21</v>
      </c>
      <c r="J7094" s="41">
        <v>44224</v>
      </c>
      <c r="K7094" s="30" t="s">
        <v>22</v>
      </c>
    </row>
    <row r="7095" spans="1:11">
      <c r="A7095" s="33" t="s">
        <v>16534</v>
      </c>
      <c r="B7095" s="33" t="s">
        <v>16535</v>
      </c>
      <c r="C7095" s="33" t="s">
        <v>13882</v>
      </c>
      <c r="D7095" s="33" t="s">
        <v>17</v>
      </c>
      <c r="E7095" s="33" t="s">
        <v>67</v>
      </c>
      <c r="F7095" s="33" t="s">
        <v>68</v>
      </c>
      <c r="G7095" s="33" t="s">
        <v>140</v>
      </c>
      <c r="H7095" s="35">
        <v>152</v>
      </c>
      <c r="I7095" s="33" t="s">
        <v>51</v>
      </c>
      <c r="J7095" s="42">
        <v>44490</v>
      </c>
      <c r="K7095" s="33" t="s">
        <v>22</v>
      </c>
    </row>
    <row r="7096" spans="1:11">
      <c r="A7096" s="30" t="s">
        <v>16536</v>
      </c>
      <c r="B7096" s="30" t="s">
        <v>16537</v>
      </c>
      <c r="C7096" s="30" t="s">
        <v>16538</v>
      </c>
      <c r="D7096" s="30" t="s">
        <v>17</v>
      </c>
      <c r="E7096" s="30" t="s">
        <v>31</v>
      </c>
      <c r="F7096" s="30" t="s">
        <v>32</v>
      </c>
      <c r="G7096" s="30" t="s">
        <v>20</v>
      </c>
      <c r="H7096" s="32">
        <v>226</v>
      </c>
      <c r="I7096" s="30" t="s">
        <v>21</v>
      </c>
      <c r="J7096" s="41">
        <v>44301</v>
      </c>
      <c r="K7096" s="30" t="s">
        <v>22</v>
      </c>
    </row>
    <row r="7097" spans="1:11">
      <c r="A7097" s="33" t="s">
        <v>16539</v>
      </c>
      <c r="B7097" s="33" t="s">
        <v>16540</v>
      </c>
      <c r="C7097" s="33" t="s">
        <v>130</v>
      </c>
      <c r="D7097" s="33" t="s">
        <v>17</v>
      </c>
      <c r="E7097" s="33" t="s">
        <v>31</v>
      </c>
      <c r="F7097" s="33" t="s">
        <v>32</v>
      </c>
      <c r="G7097" s="33" t="s">
        <v>20</v>
      </c>
      <c r="H7097" s="35">
        <v>206</v>
      </c>
      <c r="I7097" s="33" t="s">
        <v>21</v>
      </c>
      <c r="J7097" s="42">
        <v>44222</v>
      </c>
      <c r="K7097" s="33" t="s">
        <v>22</v>
      </c>
    </row>
    <row r="7098" spans="1:11">
      <c r="A7098" s="30" t="s">
        <v>16541</v>
      </c>
      <c r="B7098" s="30" t="s">
        <v>16542</v>
      </c>
      <c r="C7098" s="30" t="s">
        <v>8937</v>
      </c>
      <c r="D7098" s="30" t="s">
        <v>17</v>
      </c>
      <c r="E7098" s="30" t="s">
        <v>26</v>
      </c>
      <c r="F7098" s="30" t="s">
        <v>27</v>
      </c>
      <c r="G7098" s="30" t="s">
        <v>20</v>
      </c>
      <c r="H7098" s="32">
        <v>5</v>
      </c>
      <c r="I7098" s="30" t="s">
        <v>21</v>
      </c>
      <c r="J7098" s="41">
        <v>44418</v>
      </c>
      <c r="K7098" s="30" t="s">
        <v>22</v>
      </c>
    </row>
    <row r="7099" spans="1:11">
      <c r="A7099" s="33" t="s">
        <v>16543</v>
      </c>
      <c r="B7099" s="33" t="s">
        <v>16544</v>
      </c>
      <c r="C7099" s="33" t="s">
        <v>318</v>
      </c>
      <c r="D7099" s="33" t="s">
        <v>17</v>
      </c>
      <c r="E7099" s="33" t="s">
        <v>26</v>
      </c>
      <c r="F7099" s="33" t="s">
        <v>27</v>
      </c>
      <c r="G7099" s="33" t="s">
        <v>20</v>
      </c>
      <c r="H7099" s="35">
        <v>34</v>
      </c>
      <c r="I7099" s="33" t="s">
        <v>21</v>
      </c>
      <c r="J7099" s="42">
        <v>44449</v>
      </c>
      <c r="K7099" s="33" t="s">
        <v>22</v>
      </c>
    </row>
    <row r="7100" spans="1:11">
      <c r="A7100" s="30" t="s">
        <v>16545</v>
      </c>
      <c r="B7100" s="30" t="s">
        <v>16546</v>
      </c>
      <c r="C7100" s="30" t="s">
        <v>310</v>
      </c>
      <c r="D7100" s="30" t="s">
        <v>17</v>
      </c>
      <c r="E7100" s="30" t="s">
        <v>26</v>
      </c>
      <c r="F7100" s="30" t="s">
        <v>27</v>
      </c>
      <c r="G7100" s="30" t="s">
        <v>20</v>
      </c>
      <c r="H7100" s="32">
        <v>66</v>
      </c>
      <c r="I7100" s="30" t="s">
        <v>21</v>
      </c>
      <c r="J7100" s="41">
        <v>44391</v>
      </c>
      <c r="K7100" s="30" t="s">
        <v>22</v>
      </c>
    </row>
    <row r="7101" spans="1:11">
      <c r="A7101" s="33" t="s">
        <v>16547</v>
      </c>
      <c r="B7101" s="33" t="s">
        <v>16548</v>
      </c>
      <c r="C7101" s="33" t="s">
        <v>16549</v>
      </c>
      <c r="D7101" s="33" t="s">
        <v>17</v>
      </c>
      <c r="E7101" s="33" t="s">
        <v>67</v>
      </c>
      <c r="F7101" s="33" t="s">
        <v>68</v>
      </c>
      <c r="G7101" s="33" t="s">
        <v>106</v>
      </c>
      <c r="H7101" s="35">
        <v>3</v>
      </c>
      <c r="I7101" s="33" t="s">
        <v>21</v>
      </c>
      <c r="J7101" s="42">
        <v>44323</v>
      </c>
      <c r="K7101" s="33" t="s">
        <v>22</v>
      </c>
    </row>
    <row r="7102" spans="1:11">
      <c r="A7102" s="30" t="s">
        <v>16550</v>
      </c>
      <c r="B7102" s="30" t="s">
        <v>16551</v>
      </c>
      <c r="C7102" s="30" t="s">
        <v>16552</v>
      </c>
      <c r="D7102" s="30" t="s">
        <v>17</v>
      </c>
      <c r="E7102" s="30" t="s">
        <v>31</v>
      </c>
      <c r="F7102" s="30" t="s">
        <v>32</v>
      </c>
      <c r="G7102" s="30" t="s">
        <v>20</v>
      </c>
      <c r="H7102" s="32">
        <v>96</v>
      </c>
      <c r="I7102" s="30" t="s">
        <v>21</v>
      </c>
      <c r="J7102" s="41">
        <v>44245</v>
      </c>
      <c r="K7102" s="30" t="s">
        <v>22</v>
      </c>
    </row>
    <row r="7103" spans="1:11">
      <c r="A7103" s="33" t="s">
        <v>16553</v>
      </c>
      <c r="B7103" s="33" t="s">
        <v>16554</v>
      </c>
      <c r="C7103" s="33" t="s">
        <v>8007</v>
      </c>
      <c r="D7103" s="33" t="s">
        <v>17</v>
      </c>
      <c r="E7103" s="33" t="s">
        <v>212</v>
      </c>
      <c r="F7103" s="33" t="s">
        <v>213</v>
      </c>
      <c r="G7103" s="33" t="s">
        <v>20</v>
      </c>
      <c r="H7103" s="35">
        <v>100</v>
      </c>
      <c r="I7103" s="33" t="s">
        <v>21</v>
      </c>
      <c r="J7103" s="42">
        <v>44272</v>
      </c>
      <c r="K7103" s="33" t="s">
        <v>22</v>
      </c>
    </row>
    <row r="7104" spans="1:11">
      <c r="A7104" s="30" t="s">
        <v>16555</v>
      </c>
      <c r="B7104" s="30" t="s">
        <v>16556</v>
      </c>
      <c r="C7104" s="30" t="s">
        <v>16557</v>
      </c>
      <c r="D7104" s="30" t="s">
        <v>17</v>
      </c>
      <c r="E7104" s="30" t="s">
        <v>18</v>
      </c>
      <c r="F7104" s="30" t="s">
        <v>19</v>
      </c>
      <c r="G7104" s="30" t="s">
        <v>20</v>
      </c>
      <c r="H7104" s="32">
        <v>136</v>
      </c>
      <c r="I7104" s="30" t="s">
        <v>21</v>
      </c>
      <c r="J7104" s="41">
        <v>44435</v>
      </c>
      <c r="K7104" s="30" t="s">
        <v>22</v>
      </c>
    </row>
    <row r="7105" spans="1:11">
      <c r="A7105" s="33" t="s">
        <v>16558</v>
      </c>
      <c r="B7105" s="33" t="s">
        <v>16559</v>
      </c>
      <c r="C7105" s="33" t="s">
        <v>16560</v>
      </c>
      <c r="D7105" s="33" t="s">
        <v>17</v>
      </c>
      <c r="E7105" s="33" t="s">
        <v>26</v>
      </c>
      <c r="F7105" s="33" t="s">
        <v>27</v>
      </c>
      <c r="G7105" s="33" t="s">
        <v>50</v>
      </c>
      <c r="H7105" s="35">
        <v>70</v>
      </c>
      <c r="I7105" s="33" t="s">
        <v>51</v>
      </c>
      <c r="J7105" s="42">
        <v>44355</v>
      </c>
      <c r="K7105" s="33" t="s">
        <v>22</v>
      </c>
    </row>
    <row r="7106" spans="1:11">
      <c r="A7106" s="30" t="s">
        <v>16561</v>
      </c>
      <c r="B7106" s="30" t="s">
        <v>16562</v>
      </c>
      <c r="C7106" s="30" t="s">
        <v>3378</v>
      </c>
      <c r="D7106" s="30" t="s">
        <v>17</v>
      </c>
      <c r="E7106" s="30" t="s">
        <v>26</v>
      </c>
      <c r="F7106" s="30" t="s">
        <v>27</v>
      </c>
      <c r="G7106" s="30" t="s">
        <v>20</v>
      </c>
      <c r="H7106" s="32">
        <v>15</v>
      </c>
      <c r="I7106" s="30" t="s">
        <v>21</v>
      </c>
      <c r="J7106" s="41">
        <v>44480</v>
      </c>
      <c r="K7106" s="30" t="s">
        <v>22</v>
      </c>
    </row>
    <row r="7107" spans="1:11">
      <c r="A7107" s="33" t="s">
        <v>16563</v>
      </c>
      <c r="B7107" s="33" t="s">
        <v>16564</v>
      </c>
      <c r="C7107" s="33" t="s">
        <v>14049</v>
      </c>
      <c r="D7107" s="33" t="s">
        <v>17</v>
      </c>
      <c r="E7107" s="33" t="s">
        <v>212</v>
      </c>
      <c r="F7107" s="33" t="s">
        <v>213</v>
      </c>
      <c r="G7107" s="33" t="s">
        <v>20</v>
      </c>
      <c r="H7107" s="35">
        <v>183</v>
      </c>
      <c r="I7107" s="33" t="s">
        <v>21</v>
      </c>
      <c r="J7107" s="42">
        <v>44312</v>
      </c>
      <c r="K7107" s="33" t="s">
        <v>22</v>
      </c>
    </row>
    <row r="7108" spans="1:11">
      <c r="A7108" s="30" t="s">
        <v>16565</v>
      </c>
      <c r="B7108" s="30" t="s">
        <v>16566</v>
      </c>
      <c r="C7108" s="30" t="s">
        <v>7667</v>
      </c>
      <c r="D7108" s="30" t="s">
        <v>17</v>
      </c>
      <c r="E7108" s="30" t="s">
        <v>26</v>
      </c>
      <c r="F7108" s="30" t="s">
        <v>27</v>
      </c>
      <c r="G7108" s="30" t="s">
        <v>20</v>
      </c>
      <c r="H7108" s="32">
        <v>31</v>
      </c>
      <c r="I7108" s="30" t="s">
        <v>21</v>
      </c>
      <c r="J7108" s="41">
        <v>44409</v>
      </c>
      <c r="K7108" s="30" t="s">
        <v>22</v>
      </c>
    </row>
    <row r="7109" spans="1:11">
      <c r="A7109" s="33" t="s">
        <v>16567</v>
      </c>
      <c r="B7109" s="33" t="s">
        <v>16568</v>
      </c>
      <c r="C7109" s="33" t="s">
        <v>4796</v>
      </c>
      <c r="D7109" s="33" t="s">
        <v>17</v>
      </c>
      <c r="E7109" s="33" t="s">
        <v>212</v>
      </c>
      <c r="F7109" s="33" t="s">
        <v>213</v>
      </c>
      <c r="G7109" s="33" t="s">
        <v>106</v>
      </c>
      <c r="H7109" s="35">
        <v>28</v>
      </c>
      <c r="I7109" s="33" t="s">
        <v>21</v>
      </c>
      <c r="J7109" s="42">
        <v>44488</v>
      </c>
      <c r="K7109" s="33" t="s">
        <v>22</v>
      </c>
    </row>
    <row r="7110" spans="1:11">
      <c r="A7110" s="30" t="s">
        <v>16569</v>
      </c>
      <c r="B7110" s="30" t="s">
        <v>16570</v>
      </c>
      <c r="C7110" s="30" t="s">
        <v>190</v>
      </c>
      <c r="D7110" s="30" t="s">
        <v>17</v>
      </c>
      <c r="E7110" s="30" t="s">
        <v>26</v>
      </c>
      <c r="F7110" s="30" t="s">
        <v>27</v>
      </c>
      <c r="G7110" s="30" t="s">
        <v>20</v>
      </c>
      <c r="H7110" s="32">
        <v>14</v>
      </c>
      <c r="I7110" s="30" t="s">
        <v>21</v>
      </c>
      <c r="J7110" s="41">
        <v>44474</v>
      </c>
      <c r="K7110" s="30" t="s">
        <v>22</v>
      </c>
    </row>
    <row r="7111" spans="1:11">
      <c r="A7111" s="33" t="s">
        <v>16571</v>
      </c>
      <c r="B7111" s="33" t="s">
        <v>16572</v>
      </c>
      <c r="C7111" s="33" t="s">
        <v>899</v>
      </c>
      <c r="D7111" s="33" t="s">
        <v>17</v>
      </c>
      <c r="E7111" s="33" t="s">
        <v>26</v>
      </c>
      <c r="F7111" s="33" t="s">
        <v>27</v>
      </c>
      <c r="G7111" s="33" t="s">
        <v>20</v>
      </c>
      <c r="H7111" s="35">
        <v>128</v>
      </c>
      <c r="I7111" s="33" t="s">
        <v>21</v>
      </c>
      <c r="J7111" s="42">
        <v>44480</v>
      </c>
      <c r="K7111" s="33" t="s">
        <v>22</v>
      </c>
    </row>
    <row r="7112" spans="1:11">
      <c r="A7112" s="30" t="s">
        <v>16573</v>
      </c>
      <c r="B7112" s="30" t="s">
        <v>16574</v>
      </c>
      <c r="C7112" s="30" t="s">
        <v>5643</v>
      </c>
      <c r="D7112" s="30" t="s">
        <v>17</v>
      </c>
      <c r="E7112" s="30" t="s">
        <v>18</v>
      </c>
      <c r="F7112" s="30" t="s">
        <v>19</v>
      </c>
      <c r="G7112" s="30" t="s">
        <v>50</v>
      </c>
      <c r="H7112" s="32">
        <v>630</v>
      </c>
      <c r="I7112" s="30" t="s">
        <v>21</v>
      </c>
      <c r="J7112" s="41">
        <v>44456</v>
      </c>
      <c r="K7112" s="30" t="s">
        <v>22</v>
      </c>
    </row>
    <row r="7113" spans="1:11">
      <c r="A7113" s="33" t="s">
        <v>16575</v>
      </c>
      <c r="B7113" s="33" t="s">
        <v>16576</v>
      </c>
      <c r="C7113" s="33" t="s">
        <v>4345</v>
      </c>
      <c r="D7113" s="33" t="s">
        <v>17</v>
      </c>
      <c r="E7113" s="33" t="s">
        <v>31</v>
      </c>
      <c r="F7113" s="33" t="s">
        <v>32</v>
      </c>
      <c r="G7113" s="33" t="s">
        <v>20</v>
      </c>
      <c r="H7113" s="35">
        <v>34</v>
      </c>
      <c r="I7113" s="33" t="s">
        <v>21</v>
      </c>
      <c r="J7113" s="42">
        <v>44200</v>
      </c>
      <c r="K7113" s="33" t="s">
        <v>22</v>
      </c>
    </row>
    <row r="7114" spans="1:11">
      <c r="A7114" s="30" t="s">
        <v>16577</v>
      </c>
      <c r="B7114" s="30" t="s">
        <v>16578</v>
      </c>
      <c r="C7114" s="30" t="s">
        <v>16579</v>
      </c>
      <c r="D7114" s="30" t="s">
        <v>17</v>
      </c>
      <c r="E7114" s="30" t="s">
        <v>26</v>
      </c>
      <c r="F7114" s="30" t="s">
        <v>27</v>
      </c>
      <c r="G7114" s="30" t="s">
        <v>20</v>
      </c>
      <c r="H7114" s="32">
        <v>69</v>
      </c>
      <c r="I7114" s="30" t="s">
        <v>21</v>
      </c>
      <c r="J7114" s="41">
        <v>44355</v>
      </c>
      <c r="K7114" s="30" t="s">
        <v>22</v>
      </c>
    </row>
    <row r="7115" spans="1:11">
      <c r="A7115" s="33" t="s">
        <v>16580</v>
      </c>
      <c r="B7115" s="33" t="s">
        <v>16581</v>
      </c>
      <c r="C7115" s="33" t="s">
        <v>2836</v>
      </c>
      <c r="D7115" s="33" t="s">
        <v>17</v>
      </c>
      <c r="E7115" s="33" t="s">
        <v>31</v>
      </c>
      <c r="F7115" s="33" t="s">
        <v>32</v>
      </c>
      <c r="G7115" s="33" t="s">
        <v>50</v>
      </c>
      <c r="H7115" s="35">
        <v>24</v>
      </c>
      <c r="I7115" s="33" t="s">
        <v>51</v>
      </c>
      <c r="J7115" s="42">
        <v>44521</v>
      </c>
      <c r="K7115" s="33" t="s">
        <v>22</v>
      </c>
    </row>
    <row r="7116" spans="1:11">
      <c r="A7116" s="30" t="s">
        <v>16582</v>
      </c>
      <c r="B7116" s="30" t="s">
        <v>16583</v>
      </c>
      <c r="C7116" s="30" t="s">
        <v>13584</v>
      </c>
      <c r="D7116" s="30" t="s">
        <v>17</v>
      </c>
      <c r="E7116" s="30" t="s">
        <v>26</v>
      </c>
      <c r="F7116" s="30" t="s">
        <v>27</v>
      </c>
      <c r="G7116" s="30" t="s">
        <v>20</v>
      </c>
      <c r="H7116" s="32">
        <v>15</v>
      </c>
      <c r="I7116" s="30" t="s">
        <v>21</v>
      </c>
      <c r="J7116" s="41">
        <v>44219</v>
      </c>
      <c r="K7116" s="30" t="s">
        <v>22</v>
      </c>
    </row>
    <row r="7117" spans="1:11">
      <c r="A7117" s="33" t="s">
        <v>16584</v>
      </c>
      <c r="B7117" s="33" t="s">
        <v>16585</v>
      </c>
      <c r="C7117" s="33" t="s">
        <v>2855</v>
      </c>
      <c r="D7117" s="33" t="s">
        <v>17</v>
      </c>
      <c r="E7117" s="33" t="s">
        <v>31</v>
      </c>
      <c r="F7117" s="33" t="s">
        <v>32</v>
      </c>
      <c r="G7117" s="33" t="s">
        <v>106</v>
      </c>
      <c r="H7117" s="35">
        <v>200</v>
      </c>
      <c r="I7117" s="33" t="s">
        <v>21</v>
      </c>
      <c r="J7117" s="42">
        <v>44369</v>
      </c>
      <c r="K7117" s="33" t="s">
        <v>22</v>
      </c>
    </row>
    <row r="7118" spans="1:11">
      <c r="A7118" s="30" t="s">
        <v>16586</v>
      </c>
      <c r="B7118" s="30" t="s">
        <v>16587</v>
      </c>
      <c r="C7118" s="30" t="s">
        <v>969</v>
      </c>
      <c r="D7118" s="30" t="s">
        <v>17</v>
      </c>
      <c r="E7118" s="30" t="s">
        <v>31</v>
      </c>
      <c r="F7118" s="30" t="s">
        <v>32</v>
      </c>
      <c r="G7118" s="30" t="s">
        <v>20</v>
      </c>
      <c r="H7118" s="32">
        <v>108</v>
      </c>
      <c r="I7118" s="30" t="s">
        <v>21</v>
      </c>
      <c r="J7118" s="41">
        <v>44224</v>
      </c>
      <c r="K7118" s="30" t="s">
        <v>22</v>
      </c>
    </row>
    <row r="7119" spans="1:11">
      <c r="A7119" s="33" t="s">
        <v>16588</v>
      </c>
      <c r="B7119" s="33" t="s">
        <v>16589</v>
      </c>
      <c r="C7119" s="33" t="s">
        <v>5805</v>
      </c>
      <c r="D7119" s="33" t="s">
        <v>17</v>
      </c>
      <c r="E7119" s="33" t="s">
        <v>26</v>
      </c>
      <c r="F7119" s="33" t="s">
        <v>27</v>
      </c>
      <c r="G7119" s="33" t="s">
        <v>20</v>
      </c>
      <c r="H7119" s="35">
        <v>24</v>
      </c>
      <c r="I7119" s="33" t="s">
        <v>21</v>
      </c>
      <c r="J7119" s="42">
        <v>44508</v>
      </c>
      <c r="K7119" s="33" t="s">
        <v>22</v>
      </c>
    </row>
    <row r="7120" spans="1:11">
      <c r="A7120" s="30" t="s">
        <v>16590</v>
      </c>
      <c r="B7120" s="30" t="s">
        <v>16591</v>
      </c>
      <c r="C7120" s="30" t="s">
        <v>16592</v>
      </c>
      <c r="D7120" s="30" t="s">
        <v>17</v>
      </c>
      <c r="E7120" s="30" t="s">
        <v>67</v>
      </c>
      <c r="F7120" s="30" t="s">
        <v>68</v>
      </c>
      <c r="G7120" s="30" t="s">
        <v>106</v>
      </c>
      <c r="H7120" s="32">
        <v>15</v>
      </c>
      <c r="I7120" s="30" t="s">
        <v>21</v>
      </c>
      <c r="J7120" s="41">
        <v>44250</v>
      </c>
      <c r="K7120" s="30" t="s">
        <v>22</v>
      </c>
    </row>
    <row r="7121" spans="1:11">
      <c r="A7121" s="33" t="s">
        <v>16593</v>
      </c>
      <c r="B7121" s="33" t="s">
        <v>16594</v>
      </c>
      <c r="C7121" s="33" t="s">
        <v>6847</v>
      </c>
      <c r="D7121" s="33" t="s">
        <v>17</v>
      </c>
      <c r="E7121" s="33" t="s">
        <v>26</v>
      </c>
      <c r="F7121" s="33" t="s">
        <v>27</v>
      </c>
      <c r="G7121" s="33" t="s">
        <v>20</v>
      </c>
      <c r="H7121" s="35">
        <v>75</v>
      </c>
      <c r="I7121" s="33" t="s">
        <v>21</v>
      </c>
      <c r="J7121" s="42">
        <v>44477</v>
      </c>
      <c r="K7121" s="33" t="s">
        <v>22</v>
      </c>
    </row>
    <row r="7122" spans="1:11">
      <c r="A7122" s="30" t="s">
        <v>16595</v>
      </c>
      <c r="B7122" s="30" t="s">
        <v>16596</v>
      </c>
      <c r="C7122" s="30" t="s">
        <v>16597</v>
      </c>
      <c r="D7122" s="30" t="s">
        <v>17</v>
      </c>
      <c r="E7122" s="30" t="s">
        <v>31</v>
      </c>
      <c r="F7122" s="30" t="s">
        <v>32</v>
      </c>
      <c r="G7122" s="30" t="s">
        <v>112</v>
      </c>
      <c r="H7122" s="32">
        <v>0</v>
      </c>
      <c r="I7122" s="30" t="s">
        <v>21</v>
      </c>
      <c r="J7122" s="41">
        <v>44256</v>
      </c>
      <c r="K7122" s="30" t="s">
        <v>22</v>
      </c>
    </row>
    <row r="7123" spans="1:11">
      <c r="A7123" s="33" t="s">
        <v>16598</v>
      </c>
      <c r="B7123" s="33" t="s">
        <v>16599</v>
      </c>
      <c r="C7123" s="33" t="s">
        <v>16600</v>
      </c>
      <c r="D7123" s="33" t="s">
        <v>17</v>
      </c>
      <c r="E7123" s="33" t="s">
        <v>31</v>
      </c>
      <c r="F7123" s="33" t="s">
        <v>32</v>
      </c>
      <c r="G7123" s="33" t="s">
        <v>20</v>
      </c>
      <c r="H7123" s="35">
        <v>80</v>
      </c>
      <c r="I7123" s="33" t="s">
        <v>21</v>
      </c>
      <c r="J7123" s="42">
        <v>44265</v>
      </c>
      <c r="K7123" s="33" t="s">
        <v>22</v>
      </c>
    </row>
    <row r="7124" spans="1:11">
      <c r="A7124" s="30" t="s">
        <v>16601</v>
      </c>
      <c r="B7124" s="30" t="s">
        <v>16602</v>
      </c>
      <c r="C7124" s="30" t="s">
        <v>105</v>
      </c>
      <c r="D7124" s="30" t="s">
        <v>17</v>
      </c>
      <c r="E7124" s="30" t="s">
        <v>18</v>
      </c>
      <c r="F7124" s="30" t="s">
        <v>19</v>
      </c>
      <c r="G7124" s="30" t="s">
        <v>20</v>
      </c>
      <c r="H7124" s="32">
        <v>124</v>
      </c>
      <c r="I7124" s="30" t="s">
        <v>21</v>
      </c>
      <c r="J7124" s="41">
        <v>44512</v>
      </c>
      <c r="K7124" s="30" t="s">
        <v>22</v>
      </c>
    </row>
    <row r="7125" spans="1:11">
      <c r="A7125" s="33" t="s">
        <v>16603</v>
      </c>
      <c r="B7125" s="33" t="s">
        <v>16604</v>
      </c>
      <c r="C7125" s="33" t="s">
        <v>109</v>
      </c>
      <c r="D7125" s="33" t="s">
        <v>17</v>
      </c>
      <c r="E7125" s="33" t="s">
        <v>18</v>
      </c>
      <c r="F7125" s="33" t="s">
        <v>19</v>
      </c>
      <c r="G7125" s="33" t="s">
        <v>20</v>
      </c>
      <c r="H7125" s="35">
        <v>24</v>
      </c>
      <c r="I7125" s="33" t="s">
        <v>21</v>
      </c>
      <c r="J7125" s="42">
        <v>44447</v>
      </c>
      <c r="K7125" s="33" t="s">
        <v>22</v>
      </c>
    </row>
    <row r="7126" spans="1:11">
      <c r="A7126" s="30" t="s">
        <v>16605</v>
      </c>
      <c r="B7126" s="30" t="s">
        <v>16606</v>
      </c>
      <c r="C7126" s="30" t="s">
        <v>10696</v>
      </c>
      <c r="D7126" s="30" t="s">
        <v>17</v>
      </c>
      <c r="E7126" s="30" t="s">
        <v>67</v>
      </c>
      <c r="F7126" s="30" t="s">
        <v>68</v>
      </c>
      <c r="G7126" s="30" t="s">
        <v>50</v>
      </c>
      <c r="H7126" s="32">
        <v>60</v>
      </c>
      <c r="I7126" s="30" t="s">
        <v>51</v>
      </c>
      <c r="J7126" s="41">
        <v>44221</v>
      </c>
      <c r="K7126" s="30" t="s">
        <v>22</v>
      </c>
    </row>
    <row r="7127" spans="1:11">
      <c r="A7127" s="33" t="s">
        <v>16607</v>
      </c>
      <c r="B7127" s="33" t="s">
        <v>16608</v>
      </c>
      <c r="C7127" s="33" t="s">
        <v>93</v>
      </c>
      <c r="D7127" s="33" t="s">
        <v>17</v>
      </c>
      <c r="E7127" s="33" t="s">
        <v>26</v>
      </c>
      <c r="F7127" s="33" t="s">
        <v>27</v>
      </c>
      <c r="G7127" s="33" t="s">
        <v>20</v>
      </c>
      <c r="H7127" s="35">
        <v>54</v>
      </c>
      <c r="I7127" s="33" t="s">
        <v>21</v>
      </c>
      <c r="J7127" s="42">
        <v>44302</v>
      </c>
      <c r="K7127" s="33" t="s">
        <v>22</v>
      </c>
    </row>
    <row r="7128" spans="1:11">
      <c r="A7128" s="30" t="s">
        <v>16609</v>
      </c>
      <c r="B7128" s="30" t="s">
        <v>16610</v>
      </c>
      <c r="C7128" s="30" t="s">
        <v>5084</v>
      </c>
      <c r="D7128" s="30" t="s">
        <v>17</v>
      </c>
      <c r="E7128" s="30" t="s">
        <v>31</v>
      </c>
      <c r="F7128" s="30" t="s">
        <v>32</v>
      </c>
      <c r="G7128" s="30" t="s">
        <v>50</v>
      </c>
      <c r="H7128" s="32">
        <v>153</v>
      </c>
      <c r="I7128" s="30" t="s">
        <v>51</v>
      </c>
      <c r="J7128" s="41">
        <v>44470</v>
      </c>
      <c r="K7128" s="30" t="s">
        <v>22</v>
      </c>
    </row>
    <row r="7129" spans="1:11">
      <c r="A7129" s="33" t="s">
        <v>16611</v>
      </c>
      <c r="B7129" s="33" t="s">
        <v>16612</v>
      </c>
      <c r="C7129" s="33" t="s">
        <v>8037</v>
      </c>
      <c r="D7129" s="33" t="s">
        <v>17</v>
      </c>
      <c r="E7129" s="33" t="s">
        <v>26</v>
      </c>
      <c r="F7129" s="33" t="s">
        <v>27</v>
      </c>
      <c r="G7129" s="33" t="s">
        <v>20</v>
      </c>
      <c r="H7129" s="35">
        <v>43</v>
      </c>
      <c r="I7129" s="33" t="s">
        <v>21</v>
      </c>
      <c r="J7129" s="42">
        <v>44398</v>
      </c>
      <c r="K7129" s="33" t="s">
        <v>22</v>
      </c>
    </row>
    <row r="7130" spans="1:11">
      <c r="A7130" s="30" t="s">
        <v>16613</v>
      </c>
      <c r="B7130" s="30" t="s">
        <v>16614</v>
      </c>
      <c r="C7130" s="30" t="s">
        <v>13795</v>
      </c>
      <c r="D7130" s="30" t="s">
        <v>17</v>
      </c>
      <c r="E7130" s="30" t="s">
        <v>26</v>
      </c>
      <c r="F7130" s="30" t="s">
        <v>27</v>
      </c>
      <c r="G7130" s="30" t="s">
        <v>20</v>
      </c>
      <c r="H7130" s="32">
        <v>20</v>
      </c>
      <c r="I7130" s="30" t="s">
        <v>21</v>
      </c>
      <c r="J7130" s="41">
        <v>44385</v>
      </c>
      <c r="K7130" s="30" t="s">
        <v>22</v>
      </c>
    </row>
    <row r="7131" spans="1:11">
      <c r="A7131" s="33" t="s">
        <v>16615</v>
      </c>
      <c r="B7131" s="33" t="s">
        <v>16616</v>
      </c>
      <c r="C7131" s="33" t="s">
        <v>2739</v>
      </c>
      <c r="D7131" s="33" t="s">
        <v>17</v>
      </c>
      <c r="E7131" s="33" t="s">
        <v>31</v>
      </c>
      <c r="F7131" s="33" t="s">
        <v>32</v>
      </c>
      <c r="G7131" s="33" t="s">
        <v>20</v>
      </c>
      <c r="H7131" s="35">
        <v>71</v>
      </c>
      <c r="I7131" s="33" t="s">
        <v>21</v>
      </c>
      <c r="J7131" s="42">
        <v>44475</v>
      </c>
      <c r="K7131" s="33" t="s">
        <v>22</v>
      </c>
    </row>
    <row r="7132" spans="1:11">
      <c r="A7132" s="30" t="s">
        <v>16617</v>
      </c>
      <c r="B7132" s="30" t="s">
        <v>16618</v>
      </c>
      <c r="C7132" s="30" t="s">
        <v>4405</v>
      </c>
      <c r="D7132" s="30" t="s">
        <v>17</v>
      </c>
      <c r="E7132" s="30" t="s">
        <v>26</v>
      </c>
      <c r="F7132" s="30" t="s">
        <v>27</v>
      </c>
      <c r="G7132" s="30" t="s">
        <v>20</v>
      </c>
      <c r="H7132" s="32">
        <v>14</v>
      </c>
      <c r="I7132" s="30" t="s">
        <v>21</v>
      </c>
      <c r="J7132" s="41">
        <v>44283</v>
      </c>
      <c r="K7132" s="30" t="s">
        <v>22</v>
      </c>
    </row>
    <row r="7133" spans="1:11">
      <c r="A7133" s="33" t="s">
        <v>16619</v>
      </c>
      <c r="B7133" s="33" t="s">
        <v>16620</v>
      </c>
      <c r="C7133" s="33" t="s">
        <v>2692</v>
      </c>
      <c r="D7133" s="33" t="s">
        <v>17</v>
      </c>
      <c r="E7133" s="33" t="s">
        <v>31</v>
      </c>
      <c r="F7133" s="33" t="s">
        <v>32</v>
      </c>
      <c r="G7133" s="33" t="s">
        <v>20</v>
      </c>
      <c r="H7133" s="35">
        <v>145</v>
      </c>
      <c r="I7133" s="33" t="s">
        <v>21</v>
      </c>
      <c r="J7133" s="42">
        <v>44300</v>
      </c>
      <c r="K7133" s="33" t="s">
        <v>22</v>
      </c>
    </row>
    <row r="7134" spans="1:11">
      <c r="A7134" s="30" t="s">
        <v>16621</v>
      </c>
      <c r="B7134" s="30" t="s">
        <v>16622</v>
      </c>
      <c r="C7134" s="30" t="s">
        <v>3296</v>
      </c>
      <c r="D7134" s="30" t="s">
        <v>17</v>
      </c>
      <c r="E7134" s="30" t="s">
        <v>26</v>
      </c>
      <c r="F7134" s="30" t="s">
        <v>27</v>
      </c>
      <c r="G7134" s="30" t="s">
        <v>20</v>
      </c>
      <c r="H7134" s="32">
        <v>40</v>
      </c>
      <c r="I7134" s="30" t="s">
        <v>21</v>
      </c>
      <c r="J7134" s="41">
        <v>44500</v>
      </c>
      <c r="K7134" s="30" t="s">
        <v>22</v>
      </c>
    </row>
    <row r="7135" spans="1:11">
      <c r="A7135" s="33" t="s">
        <v>16623</v>
      </c>
      <c r="B7135" s="33" t="s">
        <v>16624</v>
      </c>
      <c r="C7135" s="33" t="s">
        <v>1770</v>
      </c>
      <c r="D7135" s="33" t="s">
        <v>17</v>
      </c>
      <c r="E7135" s="33" t="s">
        <v>26</v>
      </c>
      <c r="F7135" s="33" t="s">
        <v>27</v>
      </c>
      <c r="G7135" s="33" t="s">
        <v>20</v>
      </c>
      <c r="H7135" s="35">
        <v>12</v>
      </c>
      <c r="I7135" s="33" t="s">
        <v>21</v>
      </c>
      <c r="J7135" s="42">
        <v>44558</v>
      </c>
      <c r="K7135" s="33" t="s">
        <v>22</v>
      </c>
    </row>
    <row r="7136" spans="1:11">
      <c r="A7136" s="30" t="s">
        <v>16625</v>
      </c>
      <c r="B7136" s="30" t="s">
        <v>16626</v>
      </c>
      <c r="C7136" s="30" t="s">
        <v>8174</v>
      </c>
      <c r="D7136" s="30" t="s">
        <v>17</v>
      </c>
      <c r="E7136" s="30" t="s">
        <v>26</v>
      </c>
      <c r="F7136" s="30" t="s">
        <v>27</v>
      </c>
      <c r="G7136" s="30" t="s">
        <v>20</v>
      </c>
      <c r="H7136" s="32">
        <v>55</v>
      </c>
      <c r="I7136" s="30" t="s">
        <v>21</v>
      </c>
      <c r="J7136" s="41">
        <v>44260</v>
      </c>
      <c r="K7136" s="30" t="s">
        <v>22</v>
      </c>
    </row>
    <row r="7137" spans="1:11">
      <c r="A7137" s="33" t="s">
        <v>16627</v>
      </c>
      <c r="B7137" s="33" t="s">
        <v>16628</v>
      </c>
      <c r="C7137" s="33" t="s">
        <v>57</v>
      </c>
      <c r="D7137" s="33" t="s">
        <v>17</v>
      </c>
      <c r="E7137" s="33" t="s">
        <v>26</v>
      </c>
      <c r="F7137" s="33" t="s">
        <v>27</v>
      </c>
      <c r="G7137" s="33" t="s">
        <v>20</v>
      </c>
      <c r="H7137" s="35">
        <v>36</v>
      </c>
      <c r="I7137" s="33" t="s">
        <v>21</v>
      </c>
      <c r="J7137" s="42">
        <v>44277</v>
      </c>
      <c r="K7137" s="33" t="s">
        <v>22</v>
      </c>
    </row>
    <row r="7138" spans="1:11">
      <c r="A7138" s="30" t="s">
        <v>16629</v>
      </c>
      <c r="B7138" s="30" t="s">
        <v>16630</v>
      </c>
      <c r="C7138" s="30" t="s">
        <v>203</v>
      </c>
      <c r="D7138" s="30" t="s">
        <v>17</v>
      </c>
      <c r="E7138" s="30" t="s">
        <v>31</v>
      </c>
      <c r="F7138" s="30" t="s">
        <v>32</v>
      </c>
      <c r="G7138" s="30" t="s">
        <v>158</v>
      </c>
      <c r="H7138" s="32">
        <v>109</v>
      </c>
      <c r="I7138" s="30" t="s">
        <v>21</v>
      </c>
      <c r="J7138" s="41">
        <v>44510</v>
      </c>
      <c r="K7138" s="30" t="s">
        <v>22</v>
      </c>
    </row>
    <row r="7139" spans="1:11">
      <c r="A7139" s="33" t="s">
        <v>16631</v>
      </c>
      <c r="B7139" s="33" t="s">
        <v>16632</v>
      </c>
      <c r="C7139" s="33" t="s">
        <v>2313</v>
      </c>
      <c r="D7139" s="33" t="s">
        <v>17</v>
      </c>
      <c r="E7139" s="33" t="s">
        <v>26</v>
      </c>
      <c r="F7139" s="33" t="s">
        <v>27</v>
      </c>
      <c r="G7139" s="33" t="s">
        <v>158</v>
      </c>
      <c r="H7139" s="35">
        <v>126</v>
      </c>
      <c r="I7139" s="33" t="s">
        <v>21</v>
      </c>
      <c r="J7139" s="42">
        <v>44403</v>
      </c>
      <c r="K7139" s="33" t="s">
        <v>22</v>
      </c>
    </row>
    <row r="7140" spans="1:11">
      <c r="A7140" s="30" t="s">
        <v>16633</v>
      </c>
      <c r="B7140" s="30" t="s">
        <v>16634</v>
      </c>
      <c r="C7140" s="30" t="s">
        <v>16635</v>
      </c>
      <c r="D7140" s="30" t="s">
        <v>17</v>
      </c>
      <c r="E7140" s="30" t="s">
        <v>26</v>
      </c>
      <c r="F7140" s="30" t="s">
        <v>27</v>
      </c>
      <c r="G7140" s="30" t="s">
        <v>50</v>
      </c>
      <c r="H7140" s="32">
        <v>32</v>
      </c>
      <c r="I7140" s="30" t="s">
        <v>51</v>
      </c>
      <c r="J7140" s="41">
        <v>44501</v>
      </c>
      <c r="K7140" s="30" t="s">
        <v>22</v>
      </c>
    </row>
    <row r="7141" spans="1:11">
      <c r="A7141" s="33" t="s">
        <v>16636</v>
      </c>
      <c r="B7141" s="33" t="s">
        <v>16637</v>
      </c>
      <c r="C7141" s="33" t="s">
        <v>701</v>
      </c>
      <c r="D7141" s="33" t="s">
        <v>17</v>
      </c>
      <c r="E7141" s="33" t="s">
        <v>67</v>
      </c>
      <c r="F7141" s="33" t="s">
        <v>68</v>
      </c>
      <c r="G7141" s="33" t="s">
        <v>20</v>
      </c>
      <c r="H7141" s="35">
        <v>480</v>
      </c>
      <c r="I7141" s="33" t="s">
        <v>21</v>
      </c>
      <c r="J7141" s="42">
        <v>44510</v>
      </c>
      <c r="K7141" s="33" t="s">
        <v>22</v>
      </c>
    </row>
    <row r="7142" spans="1:11">
      <c r="A7142" s="30" t="s">
        <v>16638</v>
      </c>
      <c r="B7142" s="30" t="s">
        <v>16639</v>
      </c>
      <c r="C7142" s="30" t="s">
        <v>109</v>
      </c>
      <c r="D7142" s="30" t="s">
        <v>17</v>
      </c>
      <c r="E7142" s="30" t="s">
        <v>18</v>
      </c>
      <c r="F7142" s="30" t="s">
        <v>19</v>
      </c>
      <c r="G7142" s="30" t="s">
        <v>158</v>
      </c>
      <c r="H7142" s="32">
        <v>448</v>
      </c>
      <c r="I7142" s="30" t="s">
        <v>21</v>
      </c>
      <c r="J7142" s="41">
        <v>44459</v>
      </c>
      <c r="K7142" s="30" t="s">
        <v>22</v>
      </c>
    </row>
    <row r="7143" spans="1:11">
      <c r="A7143" s="33" t="s">
        <v>16640</v>
      </c>
      <c r="B7143" s="33" t="s">
        <v>16641</v>
      </c>
      <c r="C7143" s="33" t="s">
        <v>318</v>
      </c>
      <c r="D7143" s="33" t="s">
        <v>17</v>
      </c>
      <c r="E7143" s="33" t="s">
        <v>212</v>
      </c>
      <c r="F7143" s="33" t="s">
        <v>213</v>
      </c>
      <c r="G7143" s="33" t="s">
        <v>20</v>
      </c>
      <c r="H7143" s="35">
        <v>62</v>
      </c>
      <c r="I7143" s="33" t="s">
        <v>21</v>
      </c>
      <c r="J7143" s="42">
        <v>44441</v>
      </c>
      <c r="K7143" s="33" t="s">
        <v>22</v>
      </c>
    </row>
    <row r="7144" spans="1:11">
      <c r="A7144" s="30" t="s">
        <v>16642</v>
      </c>
      <c r="B7144" s="30" t="s">
        <v>16643</v>
      </c>
      <c r="C7144" s="30" t="s">
        <v>16644</v>
      </c>
      <c r="D7144" s="30" t="s">
        <v>17</v>
      </c>
      <c r="E7144" s="30" t="s">
        <v>31</v>
      </c>
      <c r="F7144" s="30" t="s">
        <v>32</v>
      </c>
      <c r="G7144" s="30" t="s">
        <v>20</v>
      </c>
      <c r="H7144" s="32">
        <v>174</v>
      </c>
      <c r="I7144" s="30" t="s">
        <v>21</v>
      </c>
      <c r="J7144" s="41">
        <v>44550</v>
      </c>
      <c r="K7144" s="30" t="s">
        <v>22</v>
      </c>
    </row>
    <row r="7145" spans="1:11">
      <c r="A7145" s="33" t="s">
        <v>16645</v>
      </c>
      <c r="B7145" s="33" t="s">
        <v>16646</v>
      </c>
      <c r="C7145" s="33" t="s">
        <v>75</v>
      </c>
      <c r="D7145" s="33" t="s">
        <v>17</v>
      </c>
      <c r="E7145" s="33" t="s">
        <v>31</v>
      </c>
      <c r="F7145" s="33" t="s">
        <v>32</v>
      </c>
      <c r="G7145" s="33" t="s">
        <v>112</v>
      </c>
      <c r="H7145" s="35">
        <v>0</v>
      </c>
      <c r="I7145" s="33" t="s">
        <v>21</v>
      </c>
      <c r="J7145" s="42">
        <v>44286</v>
      </c>
      <c r="K7145" s="33" t="s">
        <v>22</v>
      </c>
    </row>
    <row r="7146" spans="1:11">
      <c r="A7146" s="30" t="s">
        <v>16647</v>
      </c>
      <c r="B7146" s="30" t="s">
        <v>16648</v>
      </c>
      <c r="C7146" s="30" t="s">
        <v>1350</v>
      </c>
      <c r="D7146" s="30" t="s">
        <v>17</v>
      </c>
      <c r="E7146" s="30" t="s">
        <v>45</v>
      </c>
      <c r="F7146" s="30" t="s">
        <v>46</v>
      </c>
      <c r="G7146" s="30" t="s">
        <v>106</v>
      </c>
      <c r="H7146" s="32">
        <v>16</v>
      </c>
      <c r="I7146" s="30" t="s">
        <v>21</v>
      </c>
      <c r="J7146" s="41">
        <v>44497</v>
      </c>
      <c r="K7146" s="30" t="s">
        <v>22</v>
      </c>
    </row>
    <row r="7147" spans="1:11">
      <c r="A7147" s="33" t="s">
        <v>16649</v>
      </c>
      <c r="B7147" s="33" t="s">
        <v>16650</v>
      </c>
      <c r="C7147" s="33" t="s">
        <v>1598</v>
      </c>
      <c r="D7147" s="33" t="s">
        <v>17</v>
      </c>
      <c r="E7147" s="33" t="s">
        <v>26</v>
      </c>
      <c r="F7147" s="33" t="s">
        <v>27</v>
      </c>
      <c r="G7147" s="33" t="s">
        <v>20</v>
      </c>
      <c r="H7147" s="35">
        <v>22</v>
      </c>
      <c r="I7147" s="33" t="s">
        <v>21</v>
      </c>
      <c r="J7147" s="42">
        <v>44210</v>
      </c>
      <c r="K7147" s="33" t="s">
        <v>22</v>
      </c>
    </row>
    <row r="7148" spans="1:11">
      <c r="A7148" s="30" t="s">
        <v>16651</v>
      </c>
      <c r="B7148" s="30" t="s">
        <v>16652</v>
      </c>
      <c r="C7148" s="30" t="s">
        <v>894</v>
      </c>
      <c r="D7148" s="30" t="s">
        <v>17</v>
      </c>
      <c r="E7148" s="30" t="s">
        <v>26</v>
      </c>
      <c r="F7148" s="30" t="s">
        <v>27</v>
      </c>
      <c r="G7148" s="30" t="s">
        <v>106</v>
      </c>
      <c r="H7148" s="32">
        <v>1</v>
      </c>
      <c r="I7148" s="30" t="s">
        <v>21</v>
      </c>
      <c r="J7148" s="41">
        <v>44361</v>
      </c>
      <c r="K7148" s="30" t="s">
        <v>22</v>
      </c>
    </row>
    <row r="7149" spans="1:11">
      <c r="A7149" s="33" t="s">
        <v>16653</v>
      </c>
      <c r="B7149" s="33" t="s">
        <v>16654</v>
      </c>
      <c r="C7149" s="33" t="s">
        <v>1287</v>
      </c>
      <c r="D7149" s="33" t="s">
        <v>17</v>
      </c>
      <c r="E7149" s="33" t="s">
        <v>26</v>
      </c>
      <c r="F7149" s="33" t="s">
        <v>27</v>
      </c>
      <c r="G7149" s="33" t="s">
        <v>20</v>
      </c>
      <c r="H7149" s="35">
        <v>48</v>
      </c>
      <c r="I7149" s="33" t="s">
        <v>21</v>
      </c>
      <c r="J7149" s="42">
        <v>44329</v>
      </c>
      <c r="K7149" s="33" t="s">
        <v>22</v>
      </c>
    </row>
    <row r="7150" spans="1:11">
      <c r="A7150" s="30" t="s">
        <v>16655</v>
      </c>
      <c r="B7150" s="30" t="s">
        <v>16656</v>
      </c>
      <c r="C7150" s="30" t="s">
        <v>149</v>
      </c>
      <c r="D7150" s="30" t="s">
        <v>17</v>
      </c>
      <c r="E7150" s="30" t="s">
        <v>31</v>
      </c>
      <c r="F7150" s="30" t="s">
        <v>32</v>
      </c>
      <c r="G7150" s="30" t="s">
        <v>20</v>
      </c>
      <c r="H7150" s="32">
        <v>179</v>
      </c>
      <c r="I7150" s="30" t="s">
        <v>21</v>
      </c>
      <c r="J7150" s="41">
        <v>44231</v>
      </c>
      <c r="K7150" s="30" t="s">
        <v>22</v>
      </c>
    </row>
    <row r="7151" spans="1:11">
      <c r="A7151" s="33" t="s">
        <v>16657</v>
      </c>
      <c r="B7151" s="33" t="s">
        <v>16658</v>
      </c>
      <c r="C7151" s="33" t="s">
        <v>4622</v>
      </c>
      <c r="D7151" s="33" t="s">
        <v>17</v>
      </c>
      <c r="E7151" s="33" t="s">
        <v>26</v>
      </c>
      <c r="F7151" s="33" t="s">
        <v>27</v>
      </c>
      <c r="G7151" s="33" t="s">
        <v>20</v>
      </c>
      <c r="H7151" s="35">
        <v>18</v>
      </c>
      <c r="I7151" s="33" t="s">
        <v>21</v>
      </c>
      <c r="J7151" s="42">
        <v>44209</v>
      </c>
      <c r="K7151" s="33" t="s">
        <v>22</v>
      </c>
    </row>
    <row r="7152" spans="1:11">
      <c r="A7152" s="30" t="s">
        <v>16659</v>
      </c>
      <c r="B7152" s="30" t="s">
        <v>16660</v>
      </c>
      <c r="C7152" s="30" t="s">
        <v>787</v>
      </c>
      <c r="D7152" s="30" t="s">
        <v>17</v>
      </c>
      <c r="E7152" s="30" t="s">
        <v>31</v>
      </c>
      <c r="F7152" s="30" t="s">
        <v>32</v>
      </c>
      <c r="G7152" s="30" t="s">
        <v>50</v>
      </c>
      <c r="H7152" s="32">
        <v>160</v>
      </c>
      <c r="I7152" s="30" t="s">
        <v>51</v>
      </c>
      <c r="J7152" s="41">
        <v>44256</v>
      </c>
      <c r="K7152" s="30" t="s">
        <v>22</v>
      </c>
    </row>
    <row r="7153" spans="1:11">
      <c r="A7153" s="33" t="s">
        <v>16661</v>
      </c>
      <c r="B7153" s="33" t="s">
        <v>16662</v>
      </c>
      <c r="C7153" s="33" t="s">
        <v>5053</v>
      </c>
      <c r="D7153" s="33" t="s">
        <v>17</v>
      </c>
      <c r="E7153" s="33" t="s">
        <v>26</v>
      </c>
      <c r="F7153" s="33" t="s">
        <v>27</v>
      </c>
      <c r="G7153" s="33" t="s">
        <v>20</v>
      </c>
      <c r="H7153" s="35">
        <v>24</v>
      </c>
      <c r="I7153" s="33" t="s">
        <v>21</v>
      </c>
      <c r="J7153" s="42">
        <v>44320</v>
      </c>
      <c r="K7153" s="33" t="s">
        <v>22</v>
      </c>
    </row>
    <row r="7154" spans="1:11">
      <c r="A7154" s="30" t="s">
        <v>16663</v>
      </c>
      <c r="B7154" s="30" t="s">
        <v>16664</v>
      </c>
      <c r="C7154" s="30" t="s">
        <v>925</v>
      </c>
      <c r="D7154" s="30" t="s">
        <v>17</v>
      </c>
      <c r="E7154" s="30" t="s">
        <v>18</v>
      </c>
      <c r="F7154" s="30" t="s">
        <v>19</v>
      </c>
      <c r="G7154" s="30" t="s">
        <v>158</v>
      </c>
      <c r="H7154" s="32">
        <v>5368</v>
      </c>
      <c r="I7154" s="30" t="s">
        <v>21</v>
      </c>
      <c r="J7154" s="41">
        <v>44438</v>
      </c>
      <c r="K7154" s="30" t="s">
        <v>22</v>
      </c>
    </row>
    <row r="7155" spans="1:11">
      <c r="A7155" s="33" t="s">
        <v>16665</v>
      </c>
      <c r="B7155" s="33" t="s">
        <v>16666</v>
      </c>
      <c r="C7155" s="33" t="s">
        <v>5158</v>
      </c>
      <c r="D7155" s="33" t="s">
        <v>17</v>
      </c>
      <c r="E7155" s="33" t="s">
        <v>31</v>
      </c>
      <c r="F7155" s="33" t="s">
        <v>32</v>
      </c>
      <c r="G7155" s="33" t="s">
        <v>20</v>
      </c>
      <c r="H7155" s="35">
        <v>64</v>
      </c>
      <c r="I7155" s="33" t="s">
        <v>21</v>
      </c>
      <c r="J7155" s="42">
        <v>44440</v>
      </c>
      <c r="K7155" s="33" t="s">
        <v>22</v>
      </c>
    </row>
    <row r="7156" spans="1:11">
      <c r="A7156" s="30" t="s">
        <v>16667</v>
      </c>
      <c r="B7156" s="30" t="s">
        <v>16668</v>
      </c>
      <c r="C7156" s="30" t="s">
        <v>96</v>
      </c>
      <c r="D7156" s="30" t="s">
        <v>17</v>
      </c>
      <c r="E7156" s="30" t="s">
        <v>18</v>
      </c>
      <c r="F7156" s="30" t="s">
        <v>19</v>
      </c>
      <c r="G7156" s="30" t="s">
        <v>20</v>
      </c>
      <c r="H7156" s="32">
        <v>241</v>
      </c>
      <c r="I7156" s="30" t="s">
        <v>21</v>
      </c>
      <c r="J7156" s="41">
        <v>44473</v>
      </c>
      <c r="K7156" s="30" t="s">
        <v>22</v>
      </c>
    </row>
    <row r="7157" spans="1:11">
      <c r="A7157" s="33" t="s">
        <v>16669</v>
      </c>
      <c r="B7157" s="33" t="s">
        <v>16670</v>
      </c>
      <c r="C7157" s="33" t="s">
        <v>1862</v>
      </c>
      <c r="D7157" s="33" t="s">
        <v>17</v>
      </c>
      <c r="E7157" s="33" t="s">
        <v>212</v>
      </c>
      <c r="F7157" s="33" t="s">
        <v>213</v>
      </c>
      <c r="G7157" s="33" t="s">
        <v>20</v>
      </c>
      <c r="H7157" s="35">
        <v>41</v>
      </c>
      <c r="I7157" s="33" t="s">
        <v>21</v>
      </c>
      <c r="J7157" s="42">
        <v>44265</v>
      </c>
      <c r="K7157" s="33" t="s">
        <v>22</v>
      </c>
    </row>
    <row r="7158" spans="1:11">
      <c r="A7158" s="30" t="s">
        <v>16671</v>
      </c>
      <c r="B7158" s="30" t="s">
        <v>16672</v>
      </c>
      <c r="C7158" s="30" t="s">
        <v>1178</v>
      </c>
      <c r="D7158" s="30" t="s">
        <v>17</v>
      </c>
      <c r="E7158" s="30" t="s">
        <v>31</v>
      </c>
      <c r="F7158" s="30" t="s">
        <v>32</v>
      </c>
      <c r="G7158" s="30" t="s">
        <v>112</v>
      </c>
      <c r="H7158" s="32">
        <v>0</v>
      </c>
      <c r="I7158" s="30" t="s">
        <v>21</v>
      </c>
      <c r="J7158" s="41">
        <v>44531</v>
      </c>
      <c r="K7158" s="30" t="s">
        <v>22</v>
      </c>
    </row>
    <row r="7159" spans="1:11">
      <c r="A7159" s="33" t="s">
        <v>16673</v>
      </c>
      <c r="B7159" s="33" t="s">
        <v>16674</v>
      </c>
      <c r="C7159" s="33" t="s">
        <v>157</v>
      </c>
      <c r="D7159" s="33" t="s">
        <v>17</v>
      </c>
      <c r="E7159" s="33" t="s">
        <v>26</v>
      </c>
      <c r="F7159" s="33" t="s">
        <v>27</v>
      </c>
      <c r="G7159" s="33" t="s">
        <v>20</v>
      </c>
      <c r="H7159" s="35">
        <v>15</v>
      </c>
      <c r="I7159" s="33" t="s">
        <v>21</v>
      </c>
      <c r="J7159" s="42">
        <v>44522</v>
      </c>
      <c r="K7159" s="33" t="s">
        <v>22</v>
      </c>
    </row>
    <row r="7160" spans="1:11">
      <c r="A7160" s="30" t="s">
        <v>16675</v>
      </c>
      <c r="B7160" s="30" t="s">
        <v>16676</v>
      </c>
      <c r="C7160" s="30" t="s">
        <v>399</v>
      </c>
      <c r="D7160" s="30" t="s">
        <v>17</v>
      </c>
      <c r="E7160" s="30" t="s">
        <v>31</v>
      </c>
      <c r="F7160" s="30" t="s">
        <v>32</v>
      </c>
      <c r="G7160" s="30" t="s">
        <v>20</v>
      </c>
      <c r="H7160" s="32">
        <v>50</v>
      </c>
      <c r="I7160" s="30" t="s">
        <v>21</v>
      </c>
      <c r="J7160" s="41">
        <v>44454</v>
      </c>
      <c r="K7160" s="30" t="s">
        <v>22</v>
      </c>
    </row>
    <row r="7161" spans="1:11">
      <c r="A7161" s="33" t="s">
        <v>16677</v>
      </c>
      <c r="B7161" s="33" t="s">
        <v>16678</v>
      </c>
      <c r="C7161" s="33" t="s">
        <v>1219</v>
      </c>
      <c r="D7161" s="33" t="s">
        <v>17</v>
      </c>
      <c r="E7161" s="33" t="s">
        <v>26</v>
      </c>
      <c r="F7161" s="33" t="s">
        <v>27</v>
      </c>
      <c r="G7161" s="33" t="s">
        <v>20</v>
      </c>
      <c r="H7161" s="35">
        <v>78</v>
      </c>
      <c r="I7161" s="33" t="s">
        <v>21</v>
      </c>
      <c r="J7161" s="42">
        <v>44307</v>
      </c>
      <c r="K7161" s="33" t="s">
        <v>22</v>
      </c>
    </row>
    <row r="7162" spans="1:11">
      <c r="A7162" s="30" t="s">
        <v>16679</v>
      </c>
      <c r="B7162" s="30" t="s">
        <v>16680</v>
      </c>
      <c r="C7162" s="30" t="s">
        <v>7201</v>
      </c>
      <c r="D7162" s="30" t="s">
        <v>17</v>
      </c>
      <c r="E7162" s="30" t="s">
        <v>31</v>
      </c>
      <c r="F7162" s="30" t="s">
        <v>32</v>
      </c>
      <c r="G7162" s="30" t="s">
        <v>50</v>
      </c>
      <c r="H7162" s="32">
        <v>61</v>
      </c>
      <c r="I7162" s="30" t="s">
        <v>21</v>
      </c>
      <c r="J7162" s="41">
        <v>44545</v>
      </c>
      <c r="K7162" s="30" t="s">
        <v>22</v>
      </c>
    </row>
    <row r="7163" spans="1:11">
      <c r="A7163" s="33" t="s">
        <v>16681</v>
      </c>
      <c r="B7163" s="33" t="s">
        <v>16682</v>
      </c>
      <c r="C7163" s="33" t="s">
        <v>16683</v>
      </c>
      <c r="D7163" s="33" t="s">
        <v>17</v>
      </c>
      <c r="E7163" s="33" t="s">
        <v>31</v>
      </c>
      <c r="F7163" s="33" t="s">
        <v>32</v>
      </c>
      <c r="G7163" s="33" t="s">
        <v>20</v>
      </c>
      <c r="H7163" s="35">
        <v>6</v>
      </c>
      <c r="I7163" s="33" t="s">
        <v>21</v>
      </c>
      <c r="J7163" s="42">
        <v>44202</v>
      </c>
      <c r="K7163" s="33" t="s">
        <v>22</v>
      </c>
    </row>
    <row r="7164" spans="1:11">
      <c r="A7164" s="30" t="s">
        <v>16684</v>
      </c>
      <c r="B7164" s="30" t="s">
        <v>16685</v>
      </c>
      <c r="C7164" s="30" t="s">
        <v>1148</v>
      </c>
      <c r="D7164" s="30" t="s">
        <v>17</v>
      </c>
      <c r="E7164" s="30" t="s">
        <v>26</v>
      </c>
      <c r="F7164" s="30" t="s">
        <v>27</v>
      </c>
      <c r="G7164" s="30" t="s">
        <v>20</v>
      </c>
      <c r="H7164" s="32">
        <v>51</v>
      </c>
      <c r="I7164" s="30" t="s">
        <v>21</v>
      </c>
      <c r="J7164" s="41">
        <v>44237</v>
      </c>
      <c r="K7164" s="30" t="s">
        <v>22</v>
      </c>
    </row>
    <row r="7165" spans="1:11">
      <c r="A7165" s="33" t="s">
        <v>16686</v>
      </c>
      <c r="B7165" s="33" t="s">
        <v>16687</v>
      </c>
      <c r="C7165" s="33" t="s">
        <v>96</v>
      </c>
      <c r="D7165" s="33" t="s">
        <v>17</v>
      </c>
      <c r="E7165" s="33" t="s">
        <v>45</v>
      </c>
      <c r="F7165" s="33" t="s">
        <v>46</v>
      </c>
      <c r="G7165" s="33" t="s">
        <v>106</v>
      </c>
      <c r="H7165" s="35">
        <v>1440</v>
      </c>
      <c r="I7165" s="33" t="s">
        <v>21</v>
      </c>
      <c r="J7165" s="42">
        <v>44433</v>
      </c>
      <c r="K7165" s="33" t="s">
        <v>22</v>
      </c>
    </row>
    <row r="7166" spans="1:11">
      <c r="A7166" s="30" t="s">
        <v>16688</v>
      </c>
      <c r="B7166" s="30" t="s">
        <v>16689</v>
      </c>
      <c r="C7166" s="30" t="s">
        <v>3407</v>
      </c>
      <c r="D7166" s="30" t="s">
        <v>17</v>
      </c>
      <c r="E7166" s="30" t="s">
        <v>31</v>
      </c>
      <c r="F7166" s="30" t="s">
        <v>32</v>
      </c>
      <c r="G7166" s="30" t="s">
        <v>20</v>
      </c>
      <c r="H7166" s="32">
        <v>140</v>
      </c>
      <c r="I7166" s="30" t="s">
        <v>21</v>
      </c>
      <c r="J7166" s="41">
        <v>44516</v>
      </c>
      <c r="K7166" s="30" t="s">
        <v>22</v>
      </c>
    </row>
    <row r="7167" spans="1:11">
      <c r="A7167" s="33" t="s">
        <v>16690</v>
      </c>
      <c r="B7167" s="33" t="s">
        <v>16691</v>
      </c>
      <c r="C7167" s="33" t="s">
        <v>16692</v>
      </c>
      <c r="D7167" s="33" t="s">
        <v>17</v>
      </c>
      <c r="E7167" s="33" t="s">
        <v>26</v>
      </c>
      <c r="F7167" s="33" t="s">
        <v>27</v>
      </c>
      <c r="G7167" s="33" t="s">
        <v>20</v>
      </c>
      <c r="H7167" s="35">
        <v>30</v>
      </c>
      <c r="I7167" s="33" t="s">
        <v>21</v>
      </c>
      <c r="J7167" s="42">
        <v>44376</v>
      </c>
      <c r="K7167" s="33" t="s">
        <v>22</v>
      </c>
    </row>
    <row r="7168" spans="1:11">
      <c r="A7168" s="30" t="s">
        <v>16693</v>
      </c>
      <c r="B7168" s="30" t="s">
        <v>16694</v>
      </c>
      <c r="C7168" s="30" t="s">
        <v>16695</v>
      </c>
      <c r="D7168" s="30" t="s">
        <v>17</v>
      </c>
      <c r="E7168" s="30" t="s">
        <v>26</v>
      </c>
      <c r="F7168" s="30" t="s">
        <v>27</v>
      </c>
      <c r="G7168" s="30" t="s">
        <v>112</v>
      </c>
      <c r="H7168" s="32">
        <v>0</v>
      </c>
      <c r="I7168" s="30" t="s">
        <v>21</v>
      </c>
      <c r="J7168" s="41">
        <v>44531</v>
      </c>
      <c r="K7168" s="30" t="s">
        <v>22</v>
      </c>
    </row>
    <row r="7169" spans="1:11">
      <c r="A7169" s="33" t="s">
        <v>16696</v>
      </c>
      <c r="B7169" s="33" t="s">
        <v>16697</v>
      </c>
      <c r="C7169" s="33" t="s">
        <v>16698</v>
      </c>
      <c r="D7169" s="33" t="s">
        <v>17</v>
      </c>
      <c r="E7169" s="33" t="s">
        <v>67</v>
      </c>
      <c r="F7169" s="33" t="s">
        <v>68</v>
      </c>
      <c r="G7169" s="33" t="s">
        <v>50</v>
      </c>
      <c r="H7169" s="35">
        <v>26</v>
      </c>
      <c r="I7169" s="33" t="s">
        <v>51</v>
      </c>
      <c r="J7169" s="42">
        <v>44531</v>
      </c>
      <c r="K7169" s="33" t="s">
        <v>22</v>
      </c>
    </row>
    <row r="7170" spans="1:11">
      <c r="A7170" s="30" t="s">
        <v>16699</v>
      </c>
      <c r="B7170" s="30" t="s">
        <v>16700</v>
      </c>
      <c r="C7170" s="30" t="s">
        <v>3013</v>
      </c>
      <c r="D7170" s="30" t="s">
        <v>17</v>
      </c>
      <c r="E7170" s="30" t="s">
        <v>26</v>
      </c>
      <c r="F7170" s="30" t="s">
        <v>27</v>
      </c>
      <c r="G7170" s="30" t="s">
        <v>20</v>
      </c>
      <c r="H7170" s="32">
        <v>32</v>
      </c>
      <c r="I7170" s="30" t="s">
        <v>21</v>
      </c>
      <c r="J7170" s="41">
        <v>44260</v>
      </c>
      <c r="K7170" s="30" t="s">
        <v>22</v>
      </c>
    </row>
    <row r="7171" spans="1:11">
      <c r="A7171" s="33" t="s">
        <v>16701</v>
      </c>
      <c r="B7171" s="33" t="s">
        <v>16702</v>
      </c>
      <c r="C7171" s="33" t="s">
        <v>16703</v>
      </c>
      <c r="D7171" s="33" t="s">
        <v>17</v>
      </c>
      <c r="E7171" s="33" t="s">
        <v>26</v>
      </c>
      <c r="F7171" s="33" t="s">
        <v>27</v>
      </c>
      <c r="G7171" s="33" t="s">
        <v>106</v>
      </c>
      <c r="H7171" s="35">
        <v>11</v>
      </c>
      <c r="I7171" s="33" t="s">
        <v>21</v>
      </c>
      <c r="J7171" s="42">
        <v>44215</v>
      </c>
      <c r="K7171" s="33" t="s">
        <v>22</v>
      </c>
    </row>
    <row r="7172" spans="1:11">
      <c r="A7172" s="30" t="s">
        <v>16704</v>
      </c>
      <c r="B7172" s="30" t="s">
        <v>16705</v>
      </c>
      <c r="C7172" s="30" t="s">
        <v>801</v>
      </c>
      <c r="D7172" s="30" t="s">
        <v>17</v>
      </c>
      <c r="E7172" s="30" t="s">
        <v>18</v>
      </c>
      <c r="F7172" s="30" t="s">
        <v>19</v>
      </c>
      <c r="G7172" s="30" t="s">
        <v>158</v>
      </c>
      <c r="H7172" s="32">
        <v>562</v>
      </c>
      <c r="I7172" s="30" t="s">
        <v>21</v>
      </c>
      <c r="J7172" s="41">
        <v>44393</v>
      </c>
      <c r="K7172" s="30" t="s">
        <v>22</v>
      </c>
    </row>
    <row r="7173" spans="1:11">
      <c r="A7173" s="33" t="s">
        <v>16706</v>
      </c>
      <c r="B7173" s="33" t="s">
        <v>16707</v>
      </c>
      <c r="C7173" s="33" t="s">
        <v>985</v>
      </c>
      <c r="D7173" s="33" t="s">
        <v>17</v>
      </c>
      <c r="E7173" s="33" t="s">
        <v>26</v>
      </c>
      <c r="F7173" s="33" t="s">
        <v>27</v>
      </c>
      <c r="G7173" s="33" t="s">
        <v>20</v>
      </c>
      <c r="H7173" s="35">
        <v>20</v>
      </c>
      <c r="I7173" s="33" t="s">
        <v>21</v>
      </c>
      <c r="J7173" s="42">
        <v>44256</v>
      </c>
      <c r="K7173" s="33" t="s">
        <v>22</v>
      </c>
    </row>
    <row r="7174" spans="1:11">
      <c r="A7174" s="30" t="s">
        <v>16708</v>
      </c>
      <c r="B7174" s="30" t="s">
        <v>16709</v>
      </c>
      <c r="C7174" s="30" t="s">
        <v>16710</v>
      </c>
      <c r="D7174" s="30" t="s">
        <v>17</v>
      </c>
      <c r="E7174" s="30" t="s">
        <v>31</v>
      </c>
      <c r="F7174" s="30" t="s">
        <v>32</v>
      </c>
      <c r="G7174" s="30" t="s">
        <v>20</v>
      </c>
      <c r="H7174" s="32">
        <v>280</v>
      </c>
      <c r="I7174" s="30" t="s">
        <v>21</v>
      </c>
      <c r="J7174" s="41">
        <v>44396</v>
      </c>
      <c r="K7174" s="30" t="s">
        <v>22</v>
      </c>
    </row>
    <row r="7175" spans="1:11">
      <c r="A7175" s="33" t="s">
        <v>16711</v>
      </c>
      <c r="B7175" s="33" t="s">
        <v>16712</v>
      </c>
      <c r="C7175" s="33" t="s">
        <v>2706</v>
      </c>
      <c r="D7175" s="33" t="s">
        <v>17</v>
      </c>
      <c r="E7175" s="33" t="s">
        <v>26</v>
      </c>
      <c r="F7175" s="33" t="s">
        <v>27</v>
      </c>
      <c r="G7175" s="33" t="s">
        <v>20</v>
      </c>
      <c r="H7175" s="35">
        <v>8</v>
      </c>
      <c r="I7175" s="33" t="s">
        <v>21</v>
      </c>
      <c r="J7175" s="42">
        <v>44501</v>
      </c>
      <c r="K7175" s="33" t="s">
        <v>22</v>
      </c>
    </row>
    <row r="7176" spans="1:11">
      <c r="A7176" s="30" t="s">
        <v>16713</v>
      </c>
      <c r="B7176" s="30" t="s">
        <v>16714</v>
      </c>
      <c r="C7176" s="30" t="s">
        <v>44</v>
      </c>
      <c r="D7176" s="30" t="s">
        <v>17</v>
      </c>
      <c r="E7176" s="30" t="s">
        <v>67</v>
      </c>
      <c r="F7176" s="30" t="s">
        <v>68</v>
      </c>
      <c r="G7176" s="30" t="s">
        <v>140</v>
      </c>
      <c r="H7176" s="32">
        <v>228</v>
      </c>
      <c r="I7176" s="30" t="s">
        <v>51</v>
      </c>
      <c r="J7176" s="41">
        <v>44530</v>
      </c>
      <c r="K7176" s="30" t="s">
        <v>22</v>
      </c>
    </row>
    <row r="7177" spans="1:11">
      <c r="A7177" s="33" t="s">
        <v>16715</v>
      </c>
      <c r="B7177" s="33" t="s">
        <v>16716</v>
      </c>
      <c r="C7177" s="33" t="s">
        <v>3862</v>
      </c>
      <c r="D7177" s="33" t="s">
        <v>17</v>
      </c>
      <c r="E7177" s="33" t="s">
        <v>31</v>
      </c>
      <c r="F7177" s="33" t="s">
        <v>32</v>
      </c>
      <c r="G7177" s="33" t="s">
        <v>106</v>
      </c>
      <c r="H7177" s="35">
        <v>33</v>
      </c>
      <c r="I7177" s="33" t="s">
        <v>21</v>
      </c>
      <c r="J7177" s="42">
        <v>44518</v>
      </c>
      <c r="K7177" s="33" t="s">
        <v>22</v>
      </c>
    </row>
    <row r="7178" spans="1:11">
      <c r="A7178" s="30" t="s">
        <v>16717</v>
      </c>
      <c r="B7178" s="30" t="s">
        <v>16718</v>
      </c>
      <c r="C7178" s="30" t="s">
        <v>1112</v>
      </c>
      <c r="D7178" s="30" t="s">
        <v>17</v>
      </c>
      <c r="E7178" s="30" t="s">
        <v>26</v>
      </c>
      <c r="F7178" s="30" t="s">
        <v>27</v>
      </c>
      <c r="G7178" s="30" t="s">
        <v>20</v>
      </c>
      <c r="H7178" s="32">
        <v>32</v>
      </c>
      <c r="I7178" s="30" t="s">
        <v>21</v>
      </c>
      <c r="J7178" s="41">
        <v>44322</v>
      </c>
      <c r="K7178" s="30" t="s">
        <v>22</v>
      </c>
    </row>
    <row r="7179" spans="1:11">
      <c r="A7179" s="33" t="s">
        <v>16719</v>
      </c>
      <c r="B7179" s="33" t="s">
        <v>16720</v>
      </c>
      <c r="C7179" s="33" t="s">
        <v>318</v>
      </c>
      <c r="D7179" s="33" t="s">
        <v>17</v>
      </c>
      <c r="E7179" s="33" t="s">
        <v>26</v>
      </c>
      <c r="F7179" s="33" t="s">
        <v>27</v>
      </c>
      <c r="G7179" s="33" t="s">
        <v>20</v>
      </c>
      <c r="H7179" s="35">
        <v>372</v>
      </c>
      <c r="I7179" s="33" t="s">
        <v>21</v>
      </c>
      <c r="J7179" s="42">
        <v>44400</v>
      </c>
      <c r="K7179" s="33" t="s">
        <v>22</v>
      </c>
    </row>
    <row r="7180" spans="1:11">
      <c r="A7180" s="30" t="s">
        <v>16721</v>
      </c>
      <c r="B7180" s="30" t="s">
        <v>16722</v>
      </c>
      <c r="C7180" s="30" t="s">
        <v>3185</v>
      </c>
      <c r="D7180" s="30" t="s">
        <v>17</v>
      </c>
      <c r="E7180" s="30" t="s">
        <v>67</v>
      </c>
      <c r="F7180" s="30" t="s">
        <v>68</v>
      </c>
      <c r="G7180" s="30" t="s">
        <v>20</v>
      </c>
      <c r="H7180" s="32">
        <v>260</v>
      </c>
      <c r="I7180" s="30" t="s">
        <v>21</v>
      </c>
      <c r="J7180" s="41">
        <v>44216</v>
      </c>
      <c r="K7180" s="30" t="s">
        <v>22</v>
      </c>
    </row>
    <row r="7181" spans="1:11">
      <c r="A7181" s="33" t="s">
        <v>16723</v>
      </c>
      <c r="B7181" s="33" t="s">
        <v>16724</v>
      </c>
      <c r="C7181" s="33" t="s">
        <v>16725</v>
      </c>
      <c r="D7181" s="33" t="s">
        <v>17</v>
      </c>
      <c r="E7181" s="33" t="s">
        <v>31</v>
      </c>
      <c r="F7181" s="33" t="s">
        <v>32</v>
      </c>
      <c r="G7181" s="33" t="s">
        <v>20</v>
      </c>
      <c r="H7181" s="35">
        <v>72</v>
      </c>
      <c r="I7181" s="33" t="s">
        <v>21</v>
      </c>
      <c r="J7181" s="42">
        <v>44482</v>
      </c>
      <c r="K7181" s="33" t="s">
        <v>22</v>
      </c>
    </row>
    <row r="7182" spans="1:11">
      <c r="A7182" s="30" t="s">
        <v>16726</v>
      </c>
      <c r="B7182" s="30" t="s">
        <v>16727</v>
      </c>
      <c r="C7182" s="30" t="s">
        <v>3229</v>
      </c>
      <c r="D7182" s="30" t="s">
        <v>17</v>
      </c>
      <c r="E7182" s="30" t="s">
        <v>31</v>
      </c>
      <c r="F7182" s="30" t="s">
        <v>32</v>
      </c>
      <c r="G7182" s="30" t="s">
        <v>20</v>
      </c>
      <c r="H7182" s="32">
        <v>192</v>
      </c>
      <c r="I7182" s="30" t="s">
        <v>21</v>
      </c>
      <c r="J7182" s="41">
        <v>44368</v>
      </c>
      <c r="K7182" s="30" t="s">
        <v>22</v>
      </c>
    </row>
    <row r="7183" spans="1:11">
      <c r="A7183" s="33" t="s">
        <v>16728</v>
      </c>
      <c r="B7183" s="33" t="s">
        <v>16729</v>
      </c>
      <c r="C7183" s="33" t="s">
        <v>1680</v>
      </c>
      <c r="D7183" s="33" t="s">
        <v>17</v>
      </c>
      <c r="E7183" s="33" t="s">
        <v>26</v>
      </c>
      <c r="F7183" s="33" t="s">
        <v>27</v>
      </c>
      <c r="G7183" s="33" t="s">
        <v>20</v>
      </c>
      <c r="H7183" s="35">
        <v>40</v>
      </c>
      <c r="I7183" s="33" t="s">
        <v>21</v>
      </c>
      <c r="J7183" s="42">
        <v>44448</v>
      </c>
      <c r="K7183" s="33" t="s">
        <v>22</v>
      </c>
    </row>
    <row r="7184" spans="1:11">
      <c r="A7184" s="30" t="s">
        <v>16730</v>
      </c>
      <c r="B7184" s="30" t="s">
        <v>16731</v>
      </c>
      <c r="C7184" s="30" t="s">
        <v>16732</v>
      </c>
      <c r="D7184" s="30" t="s">
        <v>17</v>
      </c>
      <c r="E7184" s="30" t="s">
        <v>18</v>
      </c>
      <c r="F7184" s="30" t="s">
        <v>19</v>
      </c>
      <c r="G7184" s="30" t="s">
        <v>106</v>
      </c>
      <c r="H7184" s="32">
        <v>2</v>
      </c>
      <c r="I7184" s="30" t="s">
        <v>21</v>
      </c>
      <c r="J7184" s="41">
        <v>44349</v>
      </c>
      <c r="K7184" s="30" t="s">
        <v>22</v>
      </c>
    </row>
    <row r="7185" spans="1:11">
      <c r="A7185" s="33" t="s">
        <v>16733</v>
      </c>
      <c r="B7185" s="33" t="s">
        <v>16734</v>
      </c>
      <c r="C7185" s="33" t="s">
        <v>75</v>
      </c>
      <c r="D7185" s="33" t="s">
        <v>17</v>
      </c>
      <c r="E7185" s="33" t="s">
        <v>26</v>
      </c>
      <c r="F7185" s="33" t="s">
        <v>27</v>
      </c>
      <c r="G7185" s="33" t="s">
        <v>20</v>
      </c>
      <c r="H7185" s="35">
        <v>88</v>
      </c>
      <c r="I7185" s="33" t="s">
        <v>21</v>
      </c>
      <c r="J7185" s="42">
        <v>44258</v>
      </c>
      <c r="K7185" s="33" t="s">
        <v>22</v>
      </c>
    </row>
    <row r="7186" spans="1:11">
      <c r="A7186" s="30" t="s">
        <v>16735</v>
      </c>
      <c r="B7186" s="30" t="s">
        <v>16736</v>
      </c>
      <c r="C7186" s="30" t="s">
        <v>16737</v>
      </c>
      <c r="D7186" s="30" t="s">
        <v>17</v>
      </c>
      <c r="E7186" s="30" t="s">
        <v>26</v>
      </c>
      <c r="F7186" s="30" t="s">
        <v>27</v>
      </c>
      <c r="G7186" s="30" t="s">
        <v>20</v>
      </c>
      <c r="H7186" s="32">
        <v>79</v>
      </c>
      <c r="I7186" s="30" t="s">
        <v>21</v>
      </c>
      <c r="J7186" s="41">
        <v>44340</v>
      </c>
      <c r="K7186" s="30" t="s">
        <v>22</v>
      </c>
    </row>
    <row r="7187" spans="1:11">
      <c r="A7187" s="33" t="s">
        <v>16738</v>
      </c>
      <c r="B7187" s="33" t="s">
        <v>16739</v>
      </c>
      <c r="C7187" s="33" t="s">
        <v>2490</v>
      </c>
      <c r="D7187" s="33" t="s">
        <v>17</v>
      </c>
      <c r="E7187" s="33" t="s">
        <v>26</v>
      </c>
      <c r="F7187" s="33" t="s">
        <v>27</v>
      </c>
      <c r="G7187" s="33" t="s">
        <v>20</v>
      </c>
      <c r="H7187" s="35">
        <v>23</v>
      </c>
      <c r="I7187" s="33" t="s">
        <v>21</v>
      </c>
      <c r="J7187" s="42">
        <v>44231</v>
      </c>
      <c r="K7187" s="33" t="s">
        <v>22</v>
      </c>
    </row>
    <row r="7188" spans="1:11">
      <c r="A7188" s="30" t="s">
        <v>16740</v>
      </c>
      <c r="B7188" s="30" t="s">
        <v>16741</v>
      </c>
      <c r="C7188" s="30" t="s">
        <v>8796</v>
      </c>
      <c r="D7188" s="30" t="s">
        <v>17</v>
      </c>
      <c r="E7188" s="30" t="s">
        <v>31</v>
      </c>
      <c r="F7188" s="30" t="s">
        <v>32</v>
      </c>
      <c r="G7188" s="30" t="s">
        <v>20</v>
      </c>
      <c r="H7188" s="32">
        <v>15</v>
      </c>
      <c r="I7188" s="30" t="s">
        <v>21</v>
      </c>
      <c r="J7188" s="41">
        <v>44362</v>
      </c>
      <c r="K7188" s="30" t="s">
        <v>22</v>
      </c>
    </row>
    <row r="7189" spans="1:11">
      <c r="A7189" s="33" t="s">
        <v>16742</v>
      </c>
      <c r="B7189" s="33" t="s">
        <v>16743</v>
      </c>
      <c r="C7189" s="33" t="s">
        <v>190</v>
      </c>
      <c r="D7189" s="33" t="s">
        <v>17</v>
      </c>
      <c r="E7189" s="33" t="s">
        <v>18</v>
      </c>
      <c r="F7189" s="33" t="s">
        <v>19</v>
      </c>
      <c r="G7189" s="33" t="s">
        <v>158</v>
      </c>
      <c r="H7189" s="35">
        <v>315</v>
      </c>
      <c r="I7189" s="33" t="s">
        <v>21</v>
      </c>
      <c r="J7189" s="42">
        <v>44377</v>
      </c>
      <c r="K7189" s="33" t="s">
        <v>22</v>
      </c>
    </row>
    <row r="7190" spans="1:11">
      <c r="A7190" s="30" t="s">
        <v>16744</v>
      </c>
      <c r="B7190" s="30" t="s">
        <v>16745</v>
      </c>
      <c r="C7190" s="30" t="s">
        <v>57</v>
      </c>
      <c r="D7190" s="30" t="s">
        <v>17</v>
      </c>
      <c r="E7190" s="30" t="s">
        <v>26</v>
      </c>
      <c r="F7190" s="30" t="s">
        <v>27</v>
      </c>
      <c r="G7190" s="30" t="s">
        <v>50</v>
      </c>
      <c r="H7190" s="32">
        <v>24</v>
      </c>
      <c r="I7190" s="30" t="s">
        <v>51</v>
      </c>
      <c r="J7190" s="41">
        <v>44540</v>
      </c>
      <c r="K7190" s="30" t="s">
        <v>22</v>
      </c>
    </row>
    <row r="7191" spans="1:11">
      <c r="A7191" s="33" t="s">
        <v>16746</v>
      </c>
      <c r="B7191" s="33" t="s">
        <v>16747</v>
      </c>
      <c r="C7191" s="33" t="s">
        <v>16748</v>
      </c>
      <c r="D7191" s="33" t="s">
        <v>17</v>
      </c>
      <c r="E7191" s="33" t="s">
        <v>26</v>
      </c>
      <c r="F7191" s="33" t="s">
        <v>27</v>
      </c>
      <c r="G7191" s="33" t="s">
        <v>20</v>
      </c>
      <c r="H7191" s="35">
        <v>13</v>
      </c>
      <c r="I7191" s="33" t="s">
        <v>21</v>
      </c>
      <c r="J7191" s="42">
        <v>44271</v>
      </c>
      <c r="K7191" s="33" t="s">
        <v>22</v>
      </c>
    </row>
    <row r="7192" spans="1:11">
      <c r="A7192" s="30" t="s">
        <v>16749</v>
      </c>
      <c r="B7192" s="30" t="s">
        <v>16750</v>
      </c>
      <c r="C7192" s="30" t="s">
        <v>3299</v>
      </c>
      <c r="D7192" s="30" t="s">
        <v>17</v>
      </c>
      <c r="E7192" s="30" t="s">
        <v>31</v>
      </c>
      <c r="F7192" s="30" t="s">
        <v>32</v>
      </c>
      <c r="G7192" s="30" t="s">
        <v>50</v>
      </c>
      <c r="H7192" s="32">
        <v>1800</v>
      </c>
      <c r="I7192" s="30" t="s">
        <v>21</v>
      </c>
      <c r="J7192" s="41">
        <v>44451</v>
      </c>
      <c r="K7192" s="30" t="s">
        <v>22</v>
      </c>
    </row>
    <row r="7193" spans="1:11">
      <c r="A7193" s="33" t="s">
        <v>16751</v>
      </c>
      <c r="B7193" s="33" t="s">
        <v>16752</v>
      </c>
      <c r="C7193" s="33" t="s">
        <v>2256</v>
      </c>
      <c r="D7193" s="33" t="s">
        <v>17</v>
      </c>
      <c r="E7193" s="33" t="s">
        <v>330</v>
      </c>
      <c r="F7193" s="33" t="s">
        <v>331</v>
      </c>
      <c r="G7193" s="33" t="s">
        <v>106</v>
      </c>
      <c r="H7193" s="35">
        <v>1</v>
      </c>
      <c r="I7193" s="33" t="s">
        <v>21</v>
      </c>
      <c r="J7193" s="42">
        <v>44484</v>
      </c>
      <c r="K7193" s="33" t="s">
        <v>22</v>
      </c>
    </row>
    <row r="7194" spans="1:11">
      <c r="A7194" s="30" t="s">
        <v>16753</v>
      </c>
      <c r="B7194" s="30" t="s">
        <v>16754</v>
      </c>
      <c r="C7194" s="30" t="s">
        <v>16755</v>
      </c>
      <c r="D7194" s="30" t="s">
        <v>17</v>
      </c>
      <c r="E7194" s="30" t="s">
        <v>18</v>
      </c>
      <c r="F7194" s="30" t="s">
        <v>19</v>
      </c>
      <c r="G7194" s="30" t="s">
        <v>158</v>
      </c>
      <c r="H7194" s="32">
        <v>259</v>
      </c>
      <c r="I7194" s="30" t="s">
        <v>21</v>
      </c>
      <c r="J7194" s="41">
        <v>44551</v>
      </c>
      <c r="K7194" s="30" t="s">
        <v>22</v>
      </c>
    </row>
    <row r="7195" spans="1:11">
      <c r="A7195" s="33" t="s">
        <v>16756</v>
      </c>
      <c r="B7195" s="33" t="s">
        <v>16757</v>
      </c>
      <c r="C7195" s="33" t="s">
        <v>353</v>
      </c>
      <c r="D7195" s="33" t="s">
        <v>17</v>
      </c>
      <c r="E7195" s="33" t="s">
        <v>212</v>
      </c>
      <c r="F7195" s="33" t="s">
        <v>213</v>
      </c>
      <c r="G7195" s="33" t="s">
        <v>20</v>
      </c>
      <c r="H7195" s="35">
        <v>218</v>
      </c>
      <c r="I7195" s="33" t="s">
        <v>21</v>
      </c>
      <c r="J7195" s="42">
        <v>44243</v>
      </c>
      <c r="K7195" s="33" t="s">
        <v>22</v>
      </c>
    </row>
    <row r="7196" spans="1:11">
      <c r="A7196" s="30" t="s">
        <v>16758</v>
      </c>
      <c r="B7196" s="30" t="s">
        <v>16759</v>
      </c>
      <c r="C7196" s="30" t="s">
        <v>118</v>
      </c>
      <c r="D7196" s="30" t="s">
        <v>17</v>
      </c>
      <c r="E7196" s="30" t="s">
        <v>26</v>
      </c>
      <c r="F7196" s="30" t="s">
        <v>27</v>
      </c>
      <c r="G7196" s="30" t="s">
        <v>20</v>
      </c>
      <c r="H7196" s="32">
        <v>14</v>
      </c>
      <c r="I7196" s="30" t="s">
        <v>21</v>
      </c>
      <c r="J7196" s="41">
        <v>44469</v>
      </c>
      <c r="K7196" s="30" t="s">
        <v>22</v>
      </c>
    </row>
    <row r="7197" spans="1:11">
      <c r="A7197" s="33" t="s">
        <v>16760</v>
      </c>
      <c r="B7197" s="33" t="s">
        <v>16761</v>
      </c>
      <c r="C7197" s="33" t="s">
        <v>102</v>
      </c>
      <c r="D7197" s="33" t="s">
        <v>17</v>
      </c>
      <c r="E7197" s="33" t="s">
        <v>26</v>
      </c>
      <c r="F7197" s="33" t="s">
        <v>27</v>
      </c>
      <c r="G7197" s="33" t="s">
        <v>20</v>
      </c>
      <c r="H7197" s="35">
        <v>29</v>
      </c>
      <c r="I7197" s="33" t="s">
        <v>21</v>
      </c>
      <c r="J7197" s="42">
        <v>44461</v>
      </c>
      <c r="K7197" s="33" t="s">
        <v>22</v>
      </c>
    </row>
    <row r="7198" spans="1:11">
      <c r="A7198" s="30" t="s">
        <v>16762</v>
      </c>
      <c r="B7198" s="30" t="s">
        <v>16763</v>
      </c>
      <c r="C7198" s="30" t="s">
        <v>7004</v>
      </c>
      <c r="D7198" s="30" t="s">
        <v>17</v>
      </c>
      <c r="E7198" s="30" t="s">
        <v>18</v>
      </c>
      <c r="F7198" s="30" t="s">
        <v>19</v>
      </c>
      <c r="G7198" s="30" t="s">
        <v>20</v>
      </c>
      <c r="H7198" s="32">
        <v>220</v>
      </c>
      <c r="I7198" s="30" t="s">
        <v>21</v>
      </c>
      <c r="J7198" s="41">
        <v>44546</v>
      </c>
      <c r="K7198" s="30" t="s">
        <v>22</v>
      </c>
    </row>
    <row r="7199" spans="1:11">
      <c r="A7199" s="33" t="s">
        <v>16764</v>
      </c>
      <c r="B7199" s="33" t="s">
        <v>16765</v>
      </c>
      <c r="C7199" s="33" t="s">
        <v>5372</v>
      </c>
      <c r="D7199" s="33" t="s">
        <v>17</v>
      </c>
      <c r="E7199" s="33" t="s">
        <v>31</v>
      </c>
      <c r="F7199" s="33" t="s">
        <v>32</v>
      </c>
      <c r="G7199" s="33" t="s">
        <v>20</v>
      </c>
      <c r="H7199" s="35">
        <v>244</v>
      </c>
      <c r="I7199" s="33" t="s">
        <v>21</v>
      </c>
      <c r="J7199" s="42">
        <v>44388</v>
      </c>
      <c r="K7199" s="33" t="s">
        <v>22</v>
      </c>
    </row>
    <row r="7200" spans="1:11">
      <c r="A7200" s="30" t="s">
        <v>16766</v>
      </c>
      <c r="B7200" s="30" t="s">
        <v>16767</v>
      </c>
      <c r="C7200" s="30" t="s">
        <v>10699</v>
      </c>
      <c r="D7200" s="30" t="s">
        <v>17</v>
      </c>
      <c r="E7200" s="30" t="s">
        <v>26</v>
      </c>
      <c r="F7200" s="30" t="s">
        <v>27</v>
      </c>
      <c r="G7200" s="30" t="s">
        <v>50</v>
      </c>
      <c r="H7200" s="32">
        <v>34</v>
      </c>
      <c r="I7200" s="30" t="s">
        <v>51</v>
      </c>
      <c r="J7200" s="41">
        <v>44226</v>
      </c>
      <c r="K7200" s="30" t="s">
        <v>22</v>
      </c>
    </row>
    <row r="7201" spans="1:11">
      <c r="A7201" s="33" t="s">
        <v>16768</v>
      </c>
      <c r="B7201" s="33" t="s">
        <v>16769</v>
      </c>
      <c r="C7201" s="33" t="s">
        <v>93</v>
      </c>
      <c r="D7201" s="33" t="s">
        <v>17</v>
      </c>
      <c r="E7201" s="33" t="s">
        <v>31</v>
      </c>
      <c r="F7201" s="33" t="s">
        <v>32</v>
      </c>
      <c r="G7201" s="33" t="s">
        <v>106</v>
      </c>
      <c r="H7201" s="35">
        <v>473</v>
      </c>
      <c r="I7201" s="33" t="s">
        <v>21</v>
      </c>
      <c r="J7201" s="42">
        <v>44370</v>
      </c>
      <c r="K7201" s="33" t="s">
        <v>22</v>
      </c>
    </row>
    <row r="7202" spans="1:11">
      <c r="A7202" s="30" t="s">
        <v>16770</v>
      </c>
      <c r="B7202" s="30" t="s">
        <v>16771</v>
      </c>
      <c r="C7202" s="30" t="s">
        <v>701</v>
      </c>
      <c r="D7202" s="30" t="s">
        <v>17</v>
      </c>
      <c r="E7202" s="30" t="s">
        <v>67</v>
      </c>
      <c r="F7202" s="30" t="s">
        <v>68</v>
      </c>
      <c r="G7202" s="30" t="s">
        <v>20</v>
      </c>
      <c r="H7202" s="32">
        <v>300</v>
      </c>
      <c r="I7202" s="30" t="s">
        <v>21</v>
      </c>
      <c r="J7202" s="41">
        <v>44559</v>
      </c>
      <c r="K7202" s="30" t="s">
        <v>22</v>
      </c>
    </row>
    <row r="7203" spans="1:11">
      <c r="A7203" s="33" t="s">
        <v>16772</v>
      </c>
      <c r="B7203" s="33" t="s">
        <v>16773</v>
      </c>
      <c r="C7203" s="33" t="s">
        <v>190</v>
      </c>
      <c r="D7203" s="33" t="s">
        <v>17</v>
      </c>
      <c r="E7203" s="33" t="s">
        <v>26</v>
      </c>
      <c r="F7203" s="33" t="s">
        <v>27</v>
      </c>
      <c r="G7203" s="33" t="s">
        <v>20</v>
      </c>
      <c r="H7203" s="35">
        <v>44</v>
      </c>
      <c r="I7203" s="33" t="s">
        <v>21</v>
      </c>
      <c r="J7203" s="42">
        <v>44525</v>
      </c>
      <c r="K7203" s="33" t="s">
        <v>22</v>
      </c>
    </row>
    <row r="7204" spans="1:11">
      <c r="A7204" s="30" t="s">
        <v>16774</v>
      </c>
      <c r="B7204" s="30" t="s">
        <v>16775</v>
      </c>
      <c r="C7204" s="30" t="s">
        <v>16776</v>
      </c>
      <c r="D7204" s="30" t="s">
        <v>17</v>
      </c>
      <c r="E7204" s="30" t="s">
        <v>26</v>
      </c>
      <c r="F7204" s="30" t="s">
        <v>27</v>
      </c>
      <c r="G7204" s="30" t="s">
        <v>50</v>
      </c>
      <c r="H7204" s="32">
        <v>3</v>
      </c>
      <c r="I7204" s="30" t="s">
        <v>51</v>
      </c>
      <c r="J7204" s="41">
        <v>44260</v>
      </c>
      <c r="K7204" s="30" t="s">
        <v>22</v>
      </c>
    </row>
    <row r="7205" spans="1:11">
      <c r="A7205" s="33" t="s">
        <v>16777</v>
      </c>
      <c r="B7205" s="33" t="s">
        <v>16778</v>
      </c>
      <c r="C7205" s="33" t="s">
        <v>184</v>
      </c>
      <c r="D7205" s="33" t="s">
        <v>17</v>
      </c>
      <c r="E7205" s="33" t="s">
        <v>18</v>
      </c>
      <c r="F7205" s="33" t="s">
        <v>19</v>
      </c>
      <c r="G7205" s="33" t="s">
        <v>50</v>
      </c>
      <c r="H7205" s="35">
        <v>183</v>
      </c>
      <c r="I7205" s="33" t="s">
        <v>51</v>
      </c>
      <c r="J7205" s="42">
        <v>44358</v>
      </c>
      <c r="K7205" s="33" t="s">
        <v>22</v>
      </c>
    </row>
    <row r="7206" spans="1:11">
      <c r="A7206" s="30" t="s">
        <v>16779</v>
      </c>
      <c r="B7206" s="30" t="s">
        <v>16780</v>
      </c>
      <c r="C7206" s="30" t="s">
        <v>3660</v>
      </c>
      <c r="D7206" s="30" t="s">
        <v>17</v>
      </c>
      <c r="E7206" s="30" t="s">
        <v>18</v>
      </c>
      <c r="F7206" s="30" t="s">
        <v>19</v>
      </c>
      <c r="G7206" s="30" t="s">
        <v>106</v>
      </c>
      <c r="H7206" s="32">
        <v>12</v>
      </c>
      <c r="I7206" s="30" t="s">
        <v>21</v>
      </c>
      <c r="J7206" s="41">
        <v>44482</v>
      </c>
      <c r="K7206" s="30" t="s">
        <v>22</v>
      </c>
    </row>
    <row r="7207" spans="1:11">
      <c r="A7207" s="33" t="s">
        <v>16781</v>
      </c>
      <c r="B7207" s="33" t="s">
        <v>16782</v>
      </c>
      <c r="C7207" s="33" t="s">
        <v>1270</v>
      </c>
      <c r="D7207" s="33" t="s">
        <v>17</v>
      </c>
      <c r="E7207" s="33" t="s">
        <v>26</v>
      </c>
      <c r="F7207" s="33" t="s">
        <v>27</v>
      </c>
      <c r="G7207" s="33" t="s">
        <v>50</v>
      </c>
      <c r="H7207" s="35">
        <v>76</v>
      </c>
      <c r="I7207" s="33" t="s">
        <v>51</v>
      </c>
      <c r="J7207" s="42">
        <v>44378</v>
      </c>
      <c r="K7207" s="33" t="s">
        <v>22</v>
      </c>
    </row>
    <row r="7208" spans="1:11">
      <c r="A7208" s="30" t="s">
        <v>16783</v>
      </c>
      <c r="B7208" s="30" t="s">
        <v>16784</v>
      </c>
      <c r="C7208" s="30" t="s">
        <v>16785</v>
      </c>
      <c r="D7208" s="30" t="s">
        <v>17</v>
      </c>
      <c r="E7208" s="30" t="s">
        <v>31</v>
      </c>
      <c r="F7208" s="30" t="s">
        <v>32</v>
      </c>
      <c r="G7208" s="30" t="s">
        <v>20</v>
      </c>
      <c r="H7208" s="32">
        <v>105</v>
      </c>
      <c r="I7208" s="30" t="s">
        <v>21</v>
      </c>
      <c r="J7208" s="41">
        <v>44279</v>
      </c>
      <c r="K7208" s="30" t="s">
        <v>22</v>
      </c>
    </row>
    <row r="7209" spans="1:11">
      <c r="A7209" s="33" t="s">
        <v>16786</v>
      </c>
      <c r="B7209" s="33" t="s">
        <v>16787</v>
      </c>
      <c r="C7209" s="33" t="s">
        <v>130</v>
      </c>
      <c r="D7209" s="33" t="s">
        <v>17</v>
      </c>
      <c r="E7209" s="33" t="s">
        <v>18</v>
      </c>
      <c r="F7209" s="33" t="s">
        <v>19</v>
      </c>
      <c r="G7209" s="33" t="s">
        <v>158</v>
      </c>
      <c r="H7209" s="35">
        <v>899</v>
      </c>
      <c r="I7209" s="33" t="s">
        <v>21</v>
      </c>
      <c r="J7209" s="42">
        <v>44327</v>
      </c>
      <c r="K7209" s="33" t="s">
        <v>22</v>
      </c>
    </row>
    <row r="7210" spans="1:11">
      <c r="A7210" s="30" t="s">
        <v>16788</v>
      </c>
      <c r="B7210" s="30" t="s">
        <v>16789</v>
      </c>
      <c r="C7210" s="30" t="s">
        <v>5043</v>
      </c>
      <c r="D7210" s="30" t="s">
        <v>17</v>
      </c>
      <c r="E7210" s="30" t="s">
        <v>212</v>
      </c>
      <c r="F7210" s="30" t="s">
        <v>213</v>
      </c>
      <c r="G7210" s="30" t="s">
        <v>20</v>
      </c>
      <c r="H7210" s="32">
        <v>77</v>
      </c>
      <c r="I7210" s="30" t="s">
        <v>21</v>
      </c>
      <c r="J7210" s="41">
        <v>44413</v>
      </c>
      <c r="K7210" s="30" t="s">
        <v>22</v>
      </c>
    </row>
    <row r="7211" spans="1:11">
      <c r="A7211" s="33" t="s">
        <v>16790</v>
      </c>
      <c r="B7211" s="33" t="s">
        <v>16791</v>
      </c>
      <c r="C7211" s="33" t="s">
        <v>1313</v>
      </c>
      <c r="D7211" s="33" t="s">
        <v>17</v>
      </c>
      <c r="E7211" s="33" t="s">
        <v>31</v>
      </c>
      <c r="F7211" s="33" t="s">
        <v>32</v>
      </c>
      <c r="G7211" s="33" t="s">
        <v>20</v>
      </c>
      <c r="H7211" s="35">
        <v>396</v>
      </c>
      <c r="I7211" s="33" t="s">
        <v>21</v>
      </c>
      <c r="J7211" s="42">
        <v>44202</v>
      </c>
      <c r="K7211" s="33" t="s">
        <v>22</v>
      </c>
    </row>
    <row r="7212" spans="1:11">
      <c r="A7212" s="30" t="s">
        <v>16792</v>
      </c>
      <c r="B7212" s="30" t="s">
        <v>16793</v>
      </c>
      <c r="C7212" s="30" t="s">
        <v>2261</v>
      </c>
      <c r="D7212" s="30" t="s">
        <v>17</v>
      </c>
      <c r="E7212" s="30" t="s">
        <v>31</v>
      </c>
      <c r="F7212" s="30" t="s">
        <v>32</v>
      </c>
      <c r="G7212" s="30" t="s">
        <v>50</v>
      </c>
      <c r="H7212" s="32">
        <v>133</v>
      </c>
      <c r="I7212" s="30" t="s">
        <v>51</v>
      </c>
      <c r="J7212" s="41">
        <v>44552</v>
      </c>
      <c r="K7212" s="30" t="s">
        <v>22</v>
      </c>
    </row>
    <row r="7213" spans="1:11">
      <c r="A7213" s="33" t="s">
        <v>16794</v>
      </c>
      <c r="B7213" s="33" t="s">
        <v>16795</v>
      </c>
      <c r="C7213" s="33" t="s">
        <v>7172</v>
      </c>
      <c r="D7213" s="33" t="s">
        <v>17</v>
      </c>
      <c r="E7213" s="33" t="s">
        <v>31</v>
      </c>
      <c r="F7213" s="33" t="s">
        <v>32</v>
      </c>
      <c r="G7213" s="33" t="s">
        <v>106</v>
      </c>
      <c r="H7213" s="35">
        <v>66</v>
      </c>
      <c r="I7213" s="33" t="s">
        <v>21</v>
      </c>
      <c r="J7213" s="42">
        <v>44434</v>
      </c>
      <c r="K7213" s="33" t="s">
        <v>22</v>
      </c>
    </row>
    <row r="7214" spans="1:11">
      <c r="A7214" s="30" t="s">
        <v>16796</v>
      </c>
      <c r="B7214" s="30" t="s">
        <v>16797</v>
      </c>
      <c r="C7214" s="30" t="s">
        <v>16798</v>
      </c>
      <c r="D7214" s="30" t="s">
        <v>17</v>
      </c>
      <c r="E7214" s="30" t="s">
        <v>26</v>
      </c>
      <c r="F7214" s="30" t="s">
        <v>27</v>
      </c>
      <c r="G7214" s="30" t="s">
        <v>158</v>
      </c>
      <c r="H7214" s="32">
        <v>30</v>
      </c>
      <c r="I7214" s="30" t="s">
        <v>51</v>
      </c>
      <c r="J7214" s="41">
        <v>44439</v>
      </c>
      <c r="K7214" s="30" t="s">
        <v>22</v>
      </c>
    </row>
    <row r="7215" spans="1:11">
      <c r="A7215" s="33" t="s">
        <v>16799</v>
      </c>
      <c r="B7215" s="33" t="s">
        <v>16800</v>
      </c>
      <c r="C7215" s="33" t="s">
        <v>9122</v>
      </c>
      <c r="D7215" s="33" t="s">
        <v>17</v>
      </c>
      <c r="E7215" s="33" t="s">
        <v>67</v>
      </c>
      <c r="F7215" s="33" t="s">
        <v>68</v>
      </c>
      <c r="G7215" s="33" t="s">
        <v>158</v>
      </c>
      <c r="H7215" s="35">
        <v>200</v>
      </c>
      <c r="I7215" s="33" t="s">
        <v>51</v>
      </c>
      <c r="J7215" s="42">
        <v>44323</v>
      </c>
      <c r="K7215" s="33" t="s">
        <v>22</v>
      </c>
    </row>
    <row r="7216" spans="1:11">
      <c r="A7216" s="30" t="s">
        <v>16801</v>
      </c>
      <c r="B7216" s="30" t="s">
        <v>16802</v>
      </c>
      <c r="C7216" s="30" t="s">
        <v>16225</v>
      </c>
      <c r="D7216" s="30" t="s">
        <v>17</v>
      </c>
      <c r="E7216" s="30" t="s">
        <v>31</v>
      </c>
      <c r="F7216" s="30" t="s">
        <v>32</v>
      </c>
      <c r="G7216" s="30" t="s">
        <v>69</v>
      </c>
      <c r="H7216" s="32">
        <v>30</v>
      </c>
      <c r="I7216" s="30" t="s">
        <v>51</v>
      </c>
      <c r="J7216" s="41">
        <v>44454</v>
      </c>
      <c r="K7216" s="30" t="s">
        <v>22</v>
      </c>
    </row>
    <row r="7217" spans="1:11">
      <c r="A7217" s="33" t="s">
        <v>16803</v>
      </c>
      <c r="B7217" s="33" t="s">
        <v>16804</v>
      </c>
      <c r="C7217" s="33" t="s">
        <v>1826</v>
      </c>
      <c r="D7217" s="33" t="s">
        <v>17</v>
      </c>
      <c r="E7217" s="33" t="s">
        <v>26</v>
      </c>
      <c r="F7217" s="33" t="s">
        <v>27</v>
      </c>
      <c r="G7217" s="33" t="s">
        <v>20</v>
      </c>
      <c r="H7217" s="35">
        <v>6</v>
      </c>
      <c r="I7217" s="33" t="s">
        <v>21</v>
      </c>
      <c r="J7217" s="42">
        <v>44511</v>
      </c>
      <c r="K7217" s="33" t="s">
        <v>22</v>
      </c>
    </row>
    <row r="7218" spans="1:11">
      <c r="A7218" s="30" t="s">
        <v>16805</v>
      </c>
      <c r="B7218" s="30" t="s">
        <v>16806</v>
      </c>
      <c r="C7218" s="30" t="s">
        <v>16807</v>
      </c>
      <c r="D7218" s="30" t="s">
        <v>17</v>
      </c>
      <c r="E7218" s="30" t="s">
        <v>31</v>
      </c>
      <c r="F7218" s="30" t="s">
        <v>32</v>
      </c>
      <c r="G7218" s="30" t="s">
        <v>20</v>
      </c>
      <c r="H7218" s="32">
        <v>227</v>
      </c>
      <c r="I7218" s="30" t="s">
        <v>21</v>
      </c>
      <c r="J7218" s="41">
        <v>44207</v>
      </c>
      <c r="K7218" s="30" t="s">
        <v>22</v>
      </c>
    </row>
    <row r="7219" spans="1:11">
      <c r="A7219" s="33" t="s">
        <v>16808</v>
      </c>
      <c r="B7219" s="33" t="s">
        <v>16809</v>
      </c>
      <c r="C7219" s="33" t="s">
        <v>5907</v>
      </c>
      <c r="D7219" s="33" t="s">
        <v>17</v>
      </c>
      <c r="E7219" s="33" t="s">
        <v>212</v>
      </c>
      <c r="F7219" s="33" t="s">
        <v>213</v>
      </c>
      <c r="G7219" s="33" t="s">
        <v>20</v>
      </c>
      <c r="H7219" s="35">
        <v>12</v>
      </c>
      <c r="I7219" s="33" t="s">
        <v>21</v>
      </c>
      <c r="J7219" s="42">
        <v>44305</v>
      </c>
      <c r="K7219" s="33" t="s">
        <v>22</v>
      </c>
    </row>
    <row r="7220" spans="1:11">
      <c r="A7220" s="30" t="s">
        <v>16810</v>
      </c>
      <c r="B7220" s="30" t="s">
        <v>16811</v>
      </c>
      <c r="C7220" s="30" t="s">
        <v>6379</v>
      </c>
      <c r="D7220" s="30" t="s">
        <v>17</v>
      </c>
      <c r="E7220" s="30" t="s">
        <v>18</v>
      </c>
      <c r="F7220" s="30" t="s">
        <v>19</v>
      </c>
      <c r="G7220" s="30" t="s">
        <v>20</v>
      </c>
      <c r="H7220" s="32">
        <v>442</v>
      </c>
      <c r="I7220" s="30" t="s">
        <v>21</v>
      </c>
      <c r="J7220" s="41">
        <v>44529</v>
      </c>
      <c r="K7220" s="30" t="s">
        <v>22</v>
      </c>
    </row>
    <row r="7221" spans="1:11">
      <c r="A7221" s="33" t="s">
        <v>16812</v>
      </c>
      <c r="B7221" s="33" t="s">
        <v>16813</v>
      </c>
      <c r="C7221" s="33" t="s">
        <v>969</v>
      </c>
      <c r="D7221" s="33" t="s">
        <v>17</v>
      </c>
      <c r="E7221" s="33" t="s">
        <v>18</v>
      </c>
      <c r="F7221" s="33" t="s">
        <v>19</v>
      </c>
      <c r="G7221" s="33" t="s">
        <v>158</v>
      </c>
      <c r="H7221" s="35">
        <v>1720</v>
      </c>
      <c r="I7221" s="33" t="s">
        <v>21</v>
      </c>
      <c r="J7221" s="42">
        <v>44242</v>
      </c>
      <c r="K7221" s="33" t="s">
        <v>22</v>
      </c>
    </row>
    <row r="7222" spans="1:11">
      <c r="A7222" s="30" t="s">
        <v>16814</v>
      </c>
      <c r="B7222" s="30" t="s">
        <v>16815</v>
      </c>
      <c r="C7222" s="30" t="s">
        <v>16816</v>
      </c>
      <c r="D7222" s="30" t="s">
        <v>17</v>
      </c>
      <c r="E7222" s="30" t="s">
        <v>212</v>
      </c>
      <c r="F7222" s="30" t="s">
        <v>213</v>
      </c>
      <c r="G7222" s="30" t="s">
        <v>20</v>
      </c>
      <c r="H7222" s="32">
        <v>30</v>
      </c>
      <c r="I7222" s="30" t="s">
        <v>21</v>
      </c>
      <c r="J7222" s="41">
        <v>44307</v>
      </c>
      <c r="K7222" s="30" t="s">
        <v>22</v>
      </c>
    </row>
    <row r="7223" spans="1:11">
      <c r="A7223" s="33" t="s">
        <v>16817</v>
      </c>
      <c r="B7223" s="33" t="s">
        <v>16818</v>
      </c>
      <c r="C7223" s="33" t="s">
        <v>7201</v>
      </c>
      <c r="D7223" s="33" t="s">
        <v>17</v>
      </c>
      <c r="E7223" s="33" t="s">
        <v>18</v>
      </c>
      <c r="F7223" s="33" t="s">
        <v>19</v>
      </c>
      <c r="G7223" s="33" t="s">
        <v>50</v>
      </c>
      <c r="H7223" s="35">
        <v>368</v>
      </c>
      <c r="I7223" s="33" t="s">
        <v>51</v>
      </c>
      <c r="J7223" s="42">
        <v>44505</v>
      </c>
      <c r="K7223" s="33" t="s">
        <v>22</v>
      </c>
    </row>
    <row r="7224" spans="1:11">
      <c r="A7224" s="30" t="s">
        <v>16819</v>
      </c>
      <c r="B7224" s="30" t="s">
        <v>16820</v>
      </c>
      <c r="C7224" s="30" t="s">
        <v>16821</v>
      </c>
      <c r="D7224" s="30" t="s">
        <v>17</v>
      </c>
      <c r="E7224" s="30" t="s">
        <v>31</v>
      </c>
      <c r="F7224" s="30" t="s">
        <v>32</v>
      </c>
      <c r="G7224" s="30" t="s">
        <v>140</v>
      </c>
      <c r="H7224" s="32">
        <v>140</v>
      </c>
      <c r="I7224" s="30" t="s">
        <v>51</v>
      </c>
      <c r="J7224" s="41">
        <v>44509</v>
      </c>
      <c r="K7224" s="30" t="s">
        <v>22</v>
      </c>
    </row>
    <row r="7225" spans="1:11">
      <c r="A7225" s="33" t="s">
        <v>16822</v>
      </c>
      <c r="B7225" s="33" t="s">
        <v>16823</v>
      </c>
      <c r="C7225" s="33" t="s">
        <v>14394</v>
      </c>
      <c r="D7225" s="33" t="s">
        <v>17</v>
      </c>
      <c r="E7225" s="33" t="s">
        <v>31</v>
      </c>
      <c r="F7225" s="33" t="s">
        <v>32</v>
      </c>
      <c r="G7225" s="33" t="s">
        <v>20</v>
      </c>
      <c r="H7225" s="35">
        <v>72</v>
      </c>
      <c r="I7225" s="33" t="s">
        <v>21</v>
      </c>
      <c r="J7225" s="42">
        <v>44491</v>
      </c>
      <c r="K7225" s="33" t="s">
        <v>22</v>
      </c>
    </row>
    <row r="7226" spans="1:11">
      <c r="A7226" s="30" t="s">
        <v>16824</v>
      </c>
      <c r="B7226" s="30" t="s">
        <v>16825</v>
      </c>
      <c r="C7226" s="30" t="s">
        <v>410</v>
      </c>
      <c r="D7226" s="30" t="s">
        <v>17</v>
      </c>
      <c r="E7226" s="30" t="s">
        <v>26</v>
      </c>
      <c r="F7226" s="30" t="s">
        <v>27</v>
      </c>
      <c r="G7226" s="30" t="s">
        <v>20</v>
      </c>
      <c r="H7226" s="32">
        <v>36</v>
      </c>
      <c r="I7226" s="30" t="s">
        <v>21</v>
      </c>
      <c r="J7226" s="41">
        <v>44287</v>
      </c>
      <c r="K7226" s="30" t="s">
        <v>22</v>
      </c>
    </row>
    <row r="7227" spans="1:11">
      <c r="A7227" s="33" t="s">
        <v>16826</v>
      </c>
      <c r="B7227" s="33" t="s">
        <v>16827</v>
      </c>
      <c r="C7227" s="33" t="s">
        <v>2978</v>
      </c>
      <c r="D7227" s="33" t="s">
        <v>17</v>
      </c>
      <c r="E7227" s="33" t="s">
        <v>67</v>
      </c>
      <c r="F7227" s="33" t="s">
        <v>68</v>
      </c>
      <c r="G7227" s="33" t="s">
        <v>140</v>
      </c>
      <c r="H7227" s="35">
        <v>400</v>
      </c>
      <c r="I7227" s="33" t="s">
        <v>51</v>
      </c>
      <c r="J7227" s="42">
        <v>44463</v>
      </c>
      <c r="K7227" s="33" t="s">
        <v>22</v>
      </c>
    </row>
    <row r="7228" spans="1:11">
      <c r="A7228" s="30" t="s">
        <v>16828</v>
      </c>
      <c r="B7228" s="30" t="s">
        <v>16829</v>
      </c>
      <c r="C7228" s="30" t="s">
        <v>60</v>
      </c>
      <c r="D7228" s="30" t="s">
        <v>17</v>
      </c>
      <c r="E7228" s="30" t="s">
        <v>31</v>
      </c>
      <c r="F7228" s="30" t="s">
        <v>32</v>
      </c>
      <c r="G7228" s="30" t="s">
        <v>20</v>
      </c>
      <c r="H7228" s="32">
        <v>274</v>
      </c>
      <c r="I7228" s="30" t="s">
        <v>21</v>
      </c>
      <c r="J7228" s="41">
        <v>44396</v>
      </c>
      <c r="K7228" s="30" t="s">
        <v>22</v>
      </c>
    </row>
    <row r="7229" spans="1:11">
      <c r="A7229" s="33" t="s">
        <v>16830</v>
      </c>
      <c r="B7229" s="33" t="s">
        <v>16831</v>
      </c>
      <c r="C7229" s="33" t="s">
        <v>2934</v>
      </c>
      <c r="D7229" s="33" t="s">
        <v>17</v>
      </c>
      <c r="E7229" s="33" t="s">
        <v>26</v>
      </c>
      <c r="F7229" s="33" t="s">
        <v>27</v>
      </c>
      <c r="G7229" s="33" t="s">
        <v>50</v>
      </c>
      <c r="H7229" s="35">
        <v>48</v>
      </c>
      <c r="I7229" s="33" t="s">
        <v>51</v>
      </c>
      <c r="J7229" s="42">
        <v>44348</v>
      </c>
      <c r="K7229" s="33" t="s">
        <v>22</v>
      </c>
    </row>
    <row r="7230" spans="1:11">
      <c r="A7230" s="30" t="s">
        <v>16832</v>
      </c>
      <c r="B7230" s="30" t="s">
        <v>16833</v>
      </c>
      <c r="C7230" s="30" t="s">
        <v>136</v>
      </c>
      <c r="D7230" s="30" t="s">
        <v>17</v>
      </c>
      <c r="E7230" s="30" t="s">
        <v>26</v>
      </c>
      <c r="F7230" s="30" t="s">
        <v>27</v>
      </c>
      <c r="G7230" s="30" t="s">
        <v>20</v>
      </c>
      <c r="H7230" s="32">
        <v>54</v>
      </c>
      <c r="I7230" s="30" t="s">
        <v>21</v>
      </c>
      <c r="J7230" s="41">
        <v>44391</v>
      </c>
      <c r="K7230" s="30" t="s">
        <v>22</v>
      </c>
    </row>
    <row r="7231" spans="1:11">
      <c r="A7231" s="33" t="s">
        <v>16834</v>
      </c>
      <c r="B7231" s="33" t="s">
        <v>16835</v>
      </c>
      <c r="C7231" s="33" t="s">
        <v>96</v>
      </c>
      <c r="D7231" s="33" t="s">
        <v>17</v>
      </c>
      <c r="E7231" s="33" t="s">
        <v>26</v>
      </c>
      <c r="F7231" s="33" t="s">
        <v>27</v>
      </c>
      <c r="G7231" s="33" t="s">
        <v>20</v>
      </c>
      <c r="H7231" s="35">
        <v>12</v>
      </c>
      <c r="I7231" s="33" t="s">
        <v>21</v>
      </c>
      <c r="J7231" s="42">
        <v>44502</v>
      </c>
      <c r="K7231" s="33" t="s">
        <v>22</v>
      </c>
    </row>
    <row r="7232" spans="1:11">
      <c r="A7232" s="30" t="s">
        <v>16836</v>
      </c>
      <c r="B7232" s="30" t="s">
        <v>16837</v>
      </c>
      <c r="C7232" s="30" t="s">
        <v>2472</v>
      </c>
      <c r="D7232" s="30" t="s">
        <v>17</v>
      </c>
      <c r="E7232" s="30" t="s">
        <v>26</v>
      </c>
      <c r="F7232" s="30" t="s">
        <v>27</v>
      </c>
      <c r="G7232" s="30" t="s">
        <v>20</v>
      </c>
      <c r="H7232" s="32">
        <v>9</v>
      </c>
      <c r="I7232" s="30" t="s">
        <v>21</v>
      </c>
      <c r="J7232" s="41">
        <v>44508</v>
      </c>
      <c r="K7232" s="30" t="s">
        <v>22</v>
      </c>
    </row>
    <row r="7233" spans="1:11">
      <c r="A7233" s="33" t="s">
        <v>16838</v>
      </c>
      <c r="B7233" s="33" t="s">
        <v>16839</v>
      </c>
      <c r="C7233" s="33" t="s">
        <v>3655</v>
      </c>
      <c r="D7233" s="33" t="s">
        <v>17</v>
      </c>
      <c r="E7233" s="33" t="s">
        <v>31</v>
      </c>
      <c r="F7233" s="33" t="s">
        <v>32</v>
      </c>
      <c r="G7233" s="33" t="s">
        <v>20</v>
      </c>
      <c r="H7233" s="35">
        <v>184</v>
      </c>
      <c r="I7233" s="33" t="s">
        <v>21</v>
      </c>
      <c r="J7233" s="42">
        <v>44335</v>
      </c>
      <c r="K7233" s="33" t="s">
        <v>22</v>
      </c>
    </row>
    <row r="7234" spans="1:11">
      <c r="A7234" s="30" t="s">
        <v>16840</v>
      </c>
      <c r="B7234" s="30" t="s">
        <v>16841</v>
      </c>
      <c r="C7234" s="30" t="s">
        <v>310</v>
      </c>
      <c r="D7234" s="30" t="s">
        <v>17</v>
      </c>
      <c r="E7234" s="30" t="s">
        <v>26</v>
      </c>
      <c r="F7234" s="30" t="s">
        <v>27</v>
      </c>
      <c r="G7234" s="30" t="s">
        <v>20</v>
      </c>
      <c r="H7234" s="32">
        <v>24</v>
      </c>
      <c r="I7234" s="30" t="s">
        <v>21</v>
      </c>
      <c r="J7234" s="41">
        <v>44334</v>
      </c>
      <c r="K7234" s="30" t="s">
        <v>22</v>
      </c>
    </row>
    <row r="7235" spans="1:11">
      <c r="A7235" s="33" t="s">
        <v>16842</v>
      </c>
      <c r="B7235" s="33" t="s">
        <v>16843</v>
      </c>
      <c r="C7235" s="33" t="s">
        <v>149</v>
      </c>
      <c r="D7235" s="33" t="s">
        <v>17</v>
      </c>
      <c r="E7235" s="33" t="s">
        <v>26</v>
      </c>
      <c r="F7235" s="33" t="s">
        <v>27</v>
      </c>
      <c r="G7235" s="33" t="s">
        <v>20</v>
      </c>
      <c r="H7235" s="35">
        <v>52</v>
      </c>
      <c r="I7235" s="33" t="s">
        <v>21</v>
      </c>
      <c r="J7235" s="42">
        <v>44390</v>
      </c>
      <c r="K7235" s="33" t="s">
        <v>22</v>
      </c>
    </row>
    <row r="7236" spans="1:11">
      <c r="A7236" s="30" t="s">
        <v>16844</v>
      </c>
      <c r="B7236" s="30" t="s">
        <v>16845</v>
      </c>
      <c r="C7236" s="30" t="s">
        <v>178</v>
      </c>
      <c r="D7236" s="30" t="s">
        <v>17</v>
      </c>
      <c r="E7236" s="30" t="s">
        <v>31</v>
      </c>
      <c r="F7236" s="30" t="s">
        <v>32</v>
      </c>
      <c r="G7236" s="30" t="s">
        <v>20</v>
      </c>
      <c r="H7236" s="32">
        <v>187</v>
      </c>
      <c r="I7236" s="30" t="s">
        <v>21</v>
      </c>
      <c r="J7236" s="41">
        <v>44547</v>
      </c>
      <c r="K7236" s="30" t="s">
        <v>22</v>
      </c>
    </row>
    <row r="7237" spans="1:11">
      <c r="A7237" s="33" t="s">
        <v>16846</v>
      </c>
      <c r="B7237" s="33" t="s">
        <v>16847</v>
      </c>
      <c r="C7237" s="33" t="s">
        <v>9621</v>
      </c>
      <c r="D7237" s="33" t="s">
        <v>17</v>
      </c>
      <c r="E7237" s="33" t="s">
        <v>26</v>
      </c>
      <c r="F7237" s="33" t="s">
        <v>27</v>
      </c>
      <c r="G7237" s="33" t="s">
        <v>20</v>
      </c>
      <c r="H7237" s="35">
        <v>52</v>
      </c>
      <c r="I7237" s="33" t="s">
        <v>21</v>
      </c>
      <c r="J7237" s="42">
        <v>44346</v>
      </c>
      <c r="K7237" s="33" t="s">
        <v>22</v>
      </c>
    </row>
    <row r="7238" spans="1:11">
      <c r="A7238" s="30" t="s">
        <v>16848</v>
      </c>
      <c r="B7238" s="30" t="s">
        <v>16849</v>
      </c>
      <c r="C7238" s="30" t="s">
        <v>170</v>
      </c>
      <c r="D7238" s="30" t="s">
        <v>17</v>
      </c>
      <c r="E7238" s="30" t="s">
        <v>26</v>
      </c>
      <c r="F7238" s="30" t="s">
        <v>27</v>
      </c>
      <c r="G7238" s="30" t="s">
        <v>20</v>
      </c>
      <c r="H7238" s="32">
        <v>26</v>
      </c>
      <c r="I7238" s="30" t="s">
        <v>21</v>
      </c>
      <c r="J7238" s="41">
        <v>44343</v>
      </c>
      <c r="K7238" s="30" t="s">
        <v>22</v>
      </c>
    </row>
    <row r="7239" spans="1:11">
      <c r="A7239" s="33" t="s">
        <v>16850</v>
      </c>
      <c r="B7239" s="33" t="s">
        <v>16851</v>
      </c>
      <c r="C7239" s="33" t="s">
        <v>1517</v>
      </c>
      <c r="D7239" s="33" t="s">
        <v>17</v>
      </c>
      <c r="E7239" s="33" t="s">
        <v>18</v>
      </c>
      <c r="F7239" s="33" t="s">
        <v>19</v>
      </c>
      <c r="G7239" s="33" t="s">
        <v>20</v>
      </c>
      <c r="H7239" s="35">
        <v>332</v>
      </c>
      <c r="I7239" s="33" t="s">
        <v>21</v>
      </c>
      <c r="J7239" s="42">
        <v>44277</v>
      </c>
      <c r="K7239" s="33" t="s">
        <v>22</v>
      </c>
    </row>
    <row r="7240" spans="1:11">
      <c r="A7240" s="30" t="s">
        <v>16852</v>
      </c>
      <c r="B7240" s="30" t="s">
        <v>16853</v>
      </c>
      <c r="C7240" s="30" t="s">
        <v>16854</v>
      </c>
      <c r="D7240" s="30" t="s">
        <v>17</v>
      </c>
      <c r="E7240" s="30" t="s">
        <v>67</v>
      </c>
      <c r="F7240" s="30" t="s">
        <v>68</v>
      </c>
      <c r="G7240" s="30" t="s">
        <v>69</v>
      </c>
      <c r="H7240" s="32">
        <v>40</v>
      </c>
      <c r="I7240" s="30" t="s">
        <v>51</v>
      </c>
      <c r="J7240" s="41">
        <v>44545</v>
      </c>
      <c r="K7240" s="30" t="s">
        <v>22</v>
      </c>
    </row>
    <row r="7241" spans="1:11">
      <c r="A7241" s="33" t="s">
        <v>16855</v>
      </c>
      <c r="B7241" s="33" t="s">
        <v>16856</v>
      </c>
      <c r="C7241" s="33" t="s">
        <v>157</v>
      </c>
      <c r="D7241" s="33" t="s">
        <v>17</v>
      </c>
      <c r="E7241" s="33" t="s">
        <v>18</v>
      </c>
      <c r="F7241" s="33" t="s">
        <v>19</v>
      </c>
      <c r="G7241" s="33" t="s">
        <v>106</v>
      </c>
      <c r="H7241" s="35">
        <v>7</v>
      </c>
      <c r="I7241" s="33" t="s">
        <v>21</v>
      </c>
      <c r="J7241" s="42">
        <v>44377</v>
      </c>
      <c r="K7241" s="33" t="s">
        <v>22</v>
      </c>
    </row>
    <row r="7242" spans="1:11">
      <c r="A7242" s="30" t="s">
        <v>16857</v>
      </c>
      <c r="B7242" s="30" t="s">
        <v>16858</v>
      </c>
      <c r="C7242" s="30" t="s">
        <v>15795</v>
      </c>
      <c r="D7242" s="30" t="s">
        <v>17</v>
      </c>
      <c r="E7242" s="30" t="s">
        <v>26</v>
      </c>
      <c r="F7242" s="30" t="s">
        <v>27</v>
      </c>
      <c r="G7242" s="30" t="s">
        <v>20</v>
      </c>
      <c r="H7242" s="32">
        <v>24</v>
      </c>
      <c r="I7242" s="30" t="s">
        <v>21</v>
      </c>
      <c r="J7242" s="41">
        <v>44334</v>
      </c>
      <c r="K7242" s="30" t="s">
        <v>22</v>
      </c>
    </row>
    <row r="7243" spans="1:11">
      <c r="A7243" s="33" t="s">
        <v>16859</v>
      </c>
      <c r="B7243" s="33" t="s">
        <v>16860</v>
      </c>
      <c r="C7243" s="33" t="s">
        <v>130</v>
      </c>
      <c r="D7243" s="33" t="s">
        <v>17</v>
      </c>
      <c r="E7243" s="33" t="s">
        <v>26</v>
      </c>
      <c r="F7243" s="33" t="s">
        <v>27</v>
      </c>
      <c r="G7243" s="33" t="s">
        <v>106</v>
      </c>
      <c r="H7243" s="35">
        <v>105</v>
      </c>
      <c r="I7243" s="33" t="s">
        <v>21</v>
      </c>
      <c r="J7243" s="42">
        <v>44281</v>
      </c>
      <c r="K7243" s="33" t="s">
        <v>22</v>
      </c>
    </row>
    <row r="7244" spans="1:11">
      <c r="A7244" s="30" t="s">
        <v>16861</v>
      </c>
      <c r="B7244" s="30" t="s">
        <v>16862</v>
      </c>
      <c r="C7244" s="30" t="s">
        <v>684</v>
      </c>
      <c r="D7244" s="30" t="s">
        <v>17</v>
      </c>
      <c r="E7244" s="30" t="s">
        <v>26</v>
      </c>
      <c r="F7244" s="30" t="s">
        <v>27</v>
      </c>
      <c r="G7244" s="30" t="s">
        <v>20</v>
      </c>
      <c r="H7244" s="32">
        <v>29</v>
      </c>
      <c r="I7244" s="30" t="s">
        <v>21</v>
      </c>
      <c r="J7244" s="41">
        <v>44208</v>
      </c>
      <c r="K7244" s="30" t="s">
        <v>22</v>
      </c>
    </row>
    <row r="7245" spans="1:11">
      <c r="A7245" s="33" t="s">
        <v>16863</v>
      </c>
      <c r="B7245" s="33" t="s">
        <v>16864</v>
      </c>
      <c r="C7245" s="33" t="s">
        <v>6932</v>
      </c>
      <c r="D7245" s="33" t="s">
        <v>17</v>
      </c>
      <c r="E7245" s="33" t="s">
        <v>67</v>
      </c>
      <c r="F7245" s="33" t="s">
        <v>68</v>
      </c>
      <c r="G7245" s="33" t="s">
        <v>158</v>
      </c>
      <c r="H7245" s="35">
        <v>72</v>
      </c>
      <c r="I7245" s="33" t="s">
        <v>51</v>
      </c>
      <c r="J7245" s="42">
        <v>44302</v>
      </c>
      <c r="K7245" s="33" t="s">
        <v>22</v>
      </c>
    </row>
    <row r="7246" spans="1:11">
      <c r="A7246" s="30" t="s">
        <v>16865</v>
      </c>
      <c r="B7246" s="30" t="s">
        <v>16866</v>
      </c>
      <c r="C7246" s="30" t="s">
        <v>16867</v>
      </c>
      <c r="D7246" s="30" t="s">
        <v>17</v>
      </c>
      <c r="E7246" s="30" t="s">
        <v>26</v>
      </c>
      <c r="F7246" s="30" t="s">
        <v>27</v>
      </c>
      <c r="G7246" s="30" t="s">
        <v>20</v>
      </c>
      <c r="H7246" s="32">
        <v>69</v>
      </c>
      <c r="I7246" s="30" t="s">
        <v>21</v>
      </c>
      <c r="J7246" s="41">
        <v>44333</v>
      </c>
      <c r="K7246" s="30" t="s">
        <v>22</v>
      </c>
    </row>
    <row r="7247" spans="1:11">
      <c r="A7247" s="33" t="s">
        <v>16868</v>
      </c>
      <c r="B7247" s="33" t="s">
        <v>16869</v>
      </c>
      <c r="C7247" s="33" t="s">
        <v>647</v>
      </c>
      <c r="D7247" s="33" t="s">
        <v>17</v>
      </c>
      <c r="E7247" s="33" t="s">
        <v>31</v>
      </c>
      <c r="F7247" s="33" t="s">
        <v>32</v>
      </c>
      <c r="G7247" s="33" t="s">
        <v>20</v>
      </c>
      <c r="H7247" s="35">
        <v>613</v>
      </c>
      <c r="I7247" s="33" t="s">
        <v>21</v>
      </c>
      <c r="J7247" s="42">
        <v>44455</v>
      </c>
      <c r="K7247" s="33" t="s">
        <v>22</v>
      </c>
    </row>
    <row r="7248" spans="1:11">
      <c r="A7248" s="30" t="s">
        <v>16870</v>
      </c>
      <c r="B7248" s="30" t="s">
        <v>16871</v>
      </c>
      <c r="C7248" s="30" t="s">
        <v>190</v>
      </c>
      <c r="D7248" s="30" t="s">
        <v>17</v>
      </c>
      <c r="E7248" s="30" t="s">
        <v>18</v>
      </c>
      <c r="F7248" s="30" t="s">
        <v>19</v>
      </c>
      <c r="G7248" s="30" t="s">
        <v>20</v>
      </c>
      <c r="H7248" s="32">
        <v>1196</v>
      </c>
      <c r="I7248" s="30" t="s">
        <v>21</v>
      </c>
      <c r="J7248" s="41">
        <v>44385</v>
      </c>
      <c r="K7248" s="30" t="s">
        <v>22</v>
      </c>
    </row>
    <row r="7249" spans="1:11">
      <c r="A7249" s="33" t="s">
        <v>16872</v>
      </c>
      <c r="B7249" s="33" t="s">
        <v>16873</v>
      </c>
      <c r="C7249" s="33" t="s">
        <v>3267</v>
      </c>
      <c r="D7249" s="33" t="s">
        <v>17</v>
      </c>
      <c r="E7249" s="33" t="s">
        <v>18</v>
      </c>
      <c r="F7249" s="33" t="s">
        <v>19</v>
      </c>
      <c r="G7249" s="33" t="s">
        <v>20</v>
      </c>
      <c r="H7249" s="35">
        <v>589</v>
      </c>
      <c r="I7249" s="33" t="s">
        <v>21</v>
      </c>
      <c r="J7249" s="42">
        <v>44225</v>
      </c>
      <c r="K7249" s="33" t="s">
        <v>22</v>
      </c>
    </row>
    <row r="7250" spans="1:11">
      <c r="A7250" s="30" t="s">
        <v>16874</v>
      </c>
      <c r="B7250" s="30" t="s">
        <v>16875</v>
      </c>
      <c r="C7250" s="30" t="s">
        <v>4697</v>
      </c>
      <c r="D7250" s="30" t="s">
        <v>17</v>
      </c>
      <c r="E7250" s="30" t="s">
        <v>18</v>
      </c>
      <c r="F7250" s="30" t="s">
        <v>19</v>
      </c>
      <c r="G7250" s="30" t="s">
        <v>158</v>
      </c>
      <c r="H7250" s="32">
        <v>1121</v>
      </c>
      <c r="I7250" s="30" t="s">
        <v>21</v>
      </c>
      <c r="J7250" s="41">
        <v>44518</v>
      </c>
      <c r="K7250" s="30" t="s">
        <v>22</v>
      </c>
    </row>
    <row r="7251" spans="1:11">
      <c r="A7251" s="33" t="s">
        <v>16876</v>
      </c>
      <c r="B7251" s="33" t="s">
        <v>16877</v>
      </c>
      <c r="C7251" s="33" t="s">
        <v>16878</v>
      </c>
      <c r="D7251" s="33" t="s">
        <v>17</v>
      </c>
      <c r="E7251" s="33" t="s">
        <v>26</v>
      </c>
      <c r="F7251" s="33" t="s">
        <v>27</v>
      </c>
      <c r="G7251" s="33" t="s">
        <v>20</v>
      </c>
      <c r="H7251" s="35">
        <v>51</v>
      </c>
      <c r="I7251" s="33" t="s">
        <v>21</v>
      </c>
      <c r="J7251" s="42">
        <v>44357</v>
      </c>
      <c r="K7251" s="33" t="s">
        <v>22</v>
      </c>
    </row>
    <row r="7252" spans="1:11">
      <c r="A7252" s="30" t="s">
        <v>16879</v>
      </c>
      <c r="B7252" s="30" t="s">
        <v>16880</v>
      </c>
      <c r="C7252" s="30" t="s">
        <v>329</v>
      </c>
      <c r="D7252" s="30" t="s">
        <v>17</v>
      </c>
      <c r="E7252" s="30" t="s">
        <v>18</v>
      </c>
      <c r="F7252" s="30" t="s">
        <v>19</v>
      </c>
      <c r="G7252" s="30" t="s">
        <v>20</v>
      </c>
      <c r="H7252" s="32">
        <v>3420</v>
      </c>
      <c r="I7252" s="30" t="s">
        <v>21</v>
      </c>
      <c r="J7252" s="41">
        <v>44299</v>
      </c>
      <c r="K7252" s="30" t="s">
        <v>22</v>
      </c>
    </row>
    <row r="7253" spans="1:11">
      <c r="A7253" s="33" t="s">
        <v>16881</v>
      </c>
      <c r="B7253" s="33" t="s">
        <v>16882</v>
      </c>
      <c r="C7253" s="33" t="s">
        <v>16883</v>
      </c>
      <c r="D7253" s="33" t="s">
        <v>17</v>
      </c>
      <c r="E7253" s="33" t="s">
        <v>31</v>
      </c>
      <c r="F7253" s="33" t="s">
        <v>32</v>
      </c>
      <c r="G7253" s="33" t="s">
        <v>20</v>
      </c>
      <c r="H7253" s="35">
        <v>51</v>
      </c>
      <c r="I7253" s="33" t="s">
        <v>21</v>
      </c>
      <c r="J7253" s="42">
        <v>44530</v>
      </c>
      <c r="K7253" s="33" t="s">
        <v>22</v>
      </c>
    </row>
    <row r="7254" spans="1:11">
      <c r="A7254" s="30" t="s">
        <v>16884</v>
      </c>
      <c r="B7254" s="30" t="s">
        <v>16885</v>
      </c>
      <c r="C7254" s="30" t="s">
        <v>1764</v>
      </c>
      <c r="D7254" s="30" t="s">
        <v>17</v>
      </c>
      <c r="E7254" s="30" t="s">
        <v>31</v>
      </c>
      <c r="F7254" s="30" t="s">
        <v>32</v>
      </c>
      <c r="G7254" s="30" t="s">
        <v>20</v>
      </c>
      <c r="H7254" s="32">
        <v>2000</v>
      </c>
      <c r="I7254" s="30" t="s">
        <v>21</v>
      </c>
      <c r="J7254" s="41">
        <v>44217</v>
      </c>
      <c r="K7254" s="30" t="s">
        <v>22</v>
      </c>
    </row>
    <row r="7255" spans="1:11">
      <c r="A7255" s="33" t="s">
        <v>16886</v>
      </c>
      <c r="B7255" s="33" t="s">
        <v>16887</v>
      </c>
      <c r="C7255" s="33" t="s">
        <v>3964</v>
      </c>
      <c r="D7255" s="33" t="s">
        <v>17</v>
      </c>
      <c r="E7255" s="33" t="s">
        <v>67</v>
      </c>
      <c r="F7255" s="33" t="s">
        <v>68</v>
      </c>
      <c r="G7255" s="33" t="s">
        <v>158</v>
      </c>
      <c r="H7255" s="35">
        <v>129</v>
      </c>
      <c r="I7255" s="33" t="s">
        <v>51</v>
      </c>
      <c r="J7255" s="42">
        <v>44340</v>
      </c>
      <c r="K7255" s="33" t="s">
        <v>22</v>
      </c>
    </row>
    <row r="7256" spans="1:11">
      <c r="A7256" s="30" t="s">
        <v>16888</v>
      </c>
      <c r="B7256" s="30" t="s">
        <v>16889</v>
      </c>
      <c r="C7256" s="30" t="s">
        <v>8151</v>
      </c>
      <c r="D7256" s="30" t="s">
        <v>17</v>
      </c>
      <c r="E7256" s="30" t="s">
        <v>31</v>
      </c>
      <c r="F7256" s="30" t="s">
        <v>32</v>
      </c>
      <c r="G7256" s="30" t="s">
        <v>106</v>
      </c>
      <c r="H7256" s="32">
        <v>4</v>
      </c>
      <c r="I7256" s="30" t="s">
        <v>21</v>
      </c>
      <c r="J7256" s="41">
        <v>44320</v>
      </c>
      <c r="K7256" s="30" t="s">
        <v>22</v>
      </c>
    </row>
    <row r="7257" spans="1:11">
      <c r="A7257" s="33" t="s">
        <v>16890</v>
      </c>
      <c r="B7257" s="33" t="s">
        <v>16891</v>
      </c>
      <c r="C7257" s="33" t="s">
        <v>16892</v>
      </c>
      <c r="D7257" s="33" t="s">
        <v>17</v>
      </c>
      <c r="E7257" s="33" t="s">
        <v>18</v>
      </c>
      <c r="F7257" s="33" t="s">
        <v>19</v>
      </c>
      <c r="G7257" s="33" t="s">
        <v>112</v>
      </c>
      <c r="H7257" s="35">
        <v>0</v>
      </c>
      <c r="I7257" s="33" t="s">
        <v>21</v>
      </c>
      <c r="J7257" s="42">
        <v>44409</v>
      </c>
      <c r="K7257" s="33" t="s">
        <v>22</v>
      </c>
    </row>
    <row r="7258" spans="1:11">
      <c r="A7258" s="30" t="s">
        <v>16893</v>
      </c>
      <c r="B7258" s="30" t="s">
        <v>16894</v>
      </c>
      <c r="C7258" s="30" t="s">
        <v>1219</v>
      </c>
      <c r="D7258" s="30" t="s">
        <v>17</v>
      </c>
      <c r="E7258" s="30" t="s">
        <v>31</v>
      </c>
      <c r="F7258" s="30" t="s">
        <v>32</v>
      </c>
      <c r="G7258" s="30" t="s">
        <v>158</v>
      </c>
      <c r="H7258" s="32">
        <v>104</v>
      </c>
      <c r="I7258" s="30" t="s">
        <v>21</v>
      </c>
      <c r="J7258" s="41">
        <v>44396</v>
      </c>
      <c r="K7258" s="30" t="s">
        <v>22</v>
      </c>
    </row>
    <row r="7259" spans="1:11">
      <c r="A7259" s="33" t="s">
        <v>16895</v>
      </c>
      <c r="B7259" s="33" t="s">
        <v>16896</v>
      </c>
      <c r="C7259" s="33" t="s">
        <v>109</v>
      </c>
      <c r="D7259" s="33" t="s">
        <v>17</v>
      </c>
      <c r="E7259" s="33" t="s">
        <v>18</v>
      </c>
      <c r="F7259" s="33" t="s">
        <v>19</v>
      </c>
      <c r="G7259" s="33" t="s">
        <v>158</v>
      </c>
      <c r="H7259" s="35">
        <v>1140</v>
      </c>
      <c r="I7259" s="33" t="s">
        <v>21</v>
      </c>
      <c r="J7259" s="42">
        <v>44356</v>
      </c>
      <c r="K7259" s="33" t="s">
        <v>22</v>
      </c>
    </row>
    <row r="7260" spans="1:11">
      <c r="A7260" s="30" t="s">
        <v>16897</v>
      </c>
      <c r="B7260" s="30" t="s">
        <v>16898</v>
      </c>
      <c r="C7260" s="30" t="s">
        <v>1801</v>
      </c>
      <c r="D7260" s="30" t="s">
        <v>17</v>
      </c>
      <c r="E7260" s="30" t="s">
        <v>26</v>
      </c>
      <c r="F7260" s="30" t="s">
        <v>27</v>
      </c>
      <c r="G7260" s="30" t="s">
        <v>50</v>
      </c>
      <c r="H7260" s="32">
        <v>24</v>
      </c>
      <c r="I7260" s="30" t="s">
        <v>51</v>
      </c>
      <c r="J7260" s="41">
        <v>44407</v>
      </c>
      <c r="K7260" s="30" t="s">
        <v>22</v>
      </c>
    </row>
    <row r="7261" spans="1:11">
      <c r="A7261" s="33" t="s">
        <v>16899</v>
      </c>
      <c r="B7261" s="33" t="s">
        <v>16900</v>
      </c>
      <c r="C7261" s="33" t="s">
        <v>16901</v>
      </c>
      <c r="D7261" s="33" t="s">
        <v>17</v>
      </c>
      <c r="E7261" s="33" t="s">
        <v>31</v>
      </c>
      <c r="F7261" s="33" t="s">
        <v>32</v>
      </c>
      <c r="G7261" s="33" t="s">
        <v>112</v>
      </c>
      <c r="H7261" s="35">
        <v>0</v>
      </c>
      <c r="I7261" s="33" t="s">
        <v>21</v>
      </c>
      <c r="J7261" s="42">
        <v>44423</v>
      </c>
      <c r="K7261" s="33" t="s">
        <v>22</v>
      </c>
    </row>
    <row r="7262" spans="1:11">
      <c r="A7262" s="30" t="s">
        <v>16902</v>
      </c>
      <c r="B7262" s="30" t="s">
        <v>16903</v>
      </c>
      <c r="C7262" s="30" t="s">
        <v>969</v>
      </c>
      <c r="D7262" s="30" t="s">
        <v>17</v>
      </c>
      <c r="E7262" s="30" t="s">
        <v>31</v>
      </c>
      <c r="F7262" s="30" t="s">
        <v>32</v>
      </c>
      <c r="G7262" s="30" t="s">
        <v>20</v>
      </c>
      <c r="H7262" s="32">
        <v>833</v>
      </c>
      <c r="I7262" s="30" t="s">
        <v>21</v>
      </c>
      <c r="J7262" s="41">
        <v>44271</v>
      </c>
      <c r="K7262" s="30" t="s">
        <v>22</v>
      </c>
    </row>
    <row r="7263" spans="1:11">
      <c r="A7263" s="33" t="s">
        <v>16904</v>
      </c>
      <c r="B7263" s="33" t="s">
        <v>16905</v>
      </c>
      <c r="C7263" s="33" t="s">
        <v>647</v>
      </c>
      <c r="D7263" s="33" t="s">
        <v>17</v>
      </c>
      <c r="E7263" s="33" t="s">
        <v>31</v>
      </c>
      <c r="F7263" s="33" t="s">
        <v>32</v>
      </c>
      <c r="G7263" s="33" t="s">
        <v>140</v>
      </c>
      <c r="H7263" s="35">
        <v>84</v>
      </c>
      <c r="I7263" s="33" t="s">
        <v>51</v>
      </c>
      <c r="J7263" s="42">
        <v>44230</v>
      </c>
      <c r="K7263" s="33" t="s">
        <v>22</v>
      </c>
    </row>
    <row r="7264" spans="1:11">
      <c r="A7264" s="30" t="s">
        <v>16906</v>
      </c>
      <c r="B7264" s="30" t="s">
        <v>16907</v>
      </c>
      <c r="C7264" s="30" t="s">
        <v>5214</v>
      </c>
      <c r="D7264" s="30" t="s">
        <v>17</v>
      </c>
      <c r="E7264" s="30" t="s">
        <v>212</v>
      </c>
      <c r="F7264" s="30" t="s">
        <v>213</v>
      </c>
      <c r="G7264" s="30" t="s">
        <v>20</v>
      </c>
      <c r="H7264" s="32">
        <v>30</v>
      </c>
      <c r="I7264" s="30" t="s">
        <v>21</v>
      </c>
      <c r="J7264" s="41">
        <v>44481</v>
      </c>
      <c r="K7264" s="30" t="s">
        <v>22</v>
      </c>
    </row>
    <row r="7265" spans="1:11">
      <c r="A7265" s="33" t="s">
        <v>16908</v>
      </c>
      <c r="B7265" s="33" t="s">
        <v>16909</v>
      </c>
      <c r="C7265" s="33" t="s">
        <v>4348</v>
      </c>
      <c r="D7265" s="33" t="s">
        <v>17</v>
      </c>
      <c r="E7265" s="33" t="s">
        <v>31</v>
      </c>
      <c r="F7265" s="33" t="s">
        <v>32</v>
      </c>
      <c r="G7265" s="33" t="s">
        <v>158</v>
      </c>
      <c r="H7265" s="35">
        <v>69</v>
      </c>
      <c r="I7265" s="33" t="s">
        <v>21</v>
      </c>
      <c r="J7265" s="42">
        <v>44537</v>
      </c>
      <c r="K7265" s="33" t="s">
        <v>22</v>
      </c>
    </row>
    <row r="7266" spans="1:11">
      <c r="A7266" s="30" t="s">
        <v>16910</v>
      </c>
      <c r="B7266" s="30" t="s">
        <v>16911</v>
      </c>
      <c r="C7266" s="30" t="s">
        <v>8519</v>
      </c>
      <c r="D7266" s="30" t="s">
        <v>17</v>
      </c>
      <c r="E7266" s="30" t="s">
        <v>26</v>
      </c>
      <c r="F7266" s="30" t="s">
        <v>27</v>
      </c>
      <c r="G7266" s="30" t="s">
        <v>20</v>
      </c>
      <c r="H7266" s="32">
        <v>27</v>
      </c>
      <c r="I7266" s="30" t="s">
        <v>21</v>
      </c>
      <c r="J7266" s="41">
        <v>44531</v>
      </c>
      <c r="K7266" s="30" t="s">
        <v>22</v>
      </c>
    </row>
    <row r="7267" spans="1:11">
      <c r="A7267" s="33" t="s">
        <v>16912</v>
      </c>
      <c r="B7267" s="33" t="s">
        <v>16913</v>
      </c>
      <c r="C7267" s="33" t="s">
        <v>2123</v>
      </c>
      <c r="D7267" s="33" t="s">
        <v>17</v>
      </c>
      <c r="E7267" s="33" t="s">
        <v>67</v>
      </c>
      <c r="F7267" s="33" t="s">
        <v>68</v>
      </c>
      <c r="G7267" s="33" t="s">
        <v>20</v>
      </c>
      <c r="H7267" s="35">
        <v>40</v>
      </c>
      <c r="I7267" s="33" t="s">
        <v>21</v>
      </c>
      <c r="J7267" s="42">
        <v>44466</v>
      </c>
      <c r="K7267" s="33" t="s">
        <v>22</v>
      </c>
    </row>
    <row r="7268" spans="1:11">
      <c r="A7268" s="30" t="s">
        <v>16914</v>
      </c>
      <c r="B7268" s="30" t="s">
        <v>16915</v>
      </c>
      <c r="C7268" s="30" t="s">
        <v>1191</v>
      </c>
      <c r="D7268" s="30" t="s">
        <v>17</v>
      </c>
      <c r="E7268" s="30" t="s">
        <v>212</v>
      </c>
      <c r="F7268" s="30" t="s">
        <v>213</v>
      </c>
      <c r="G7268" s="30" t="s">
        <v>50</v>
      </c>
      <c r="H7268" s="32">
        <v>400</v>
      </c>
      <c r="I7268" s="30" t="s">
        <v>51</v>
      </c>
      <c r="J7268" s="41">
        <v>44531</v>
      </c>
      <c r="K7268" s="30" t="s">
        <v>22</v>
      </c>
    </row>
    <row r="7269" spans="1:11">
      <c r="A7269" s="33" t="s">
        <v>16916</v>
      </c>
      <c r="B7269" s="33" t="s">
        <v>16917</v>
      </c>
      <c r="C7269" s="33" t="s">
        <v>9122</v>
      </c>
      <c r="D7269" s="33" t="s">
        <v>17</v>
      </c>
      <c r="E7269" s="33" t="s">
        <v>67</v>
      </c>
      <c r="F7269" s="33" t="s">
        <v>68</v>
      </c>
      <c r="G7269" s="33" t="s">
        <v>20</v>
      </c>
      <c r="H7269" s="35">
        <v>101</v>
      </c>
      <c r="I7269" s="33" t="s">
        <v>21</v>
      </c>
      <c r="J7269" s="42">
        <v>44459</v>
      </c>
      <c r="K7269" s="33" t="s">
        <v>22</v>
      </c>
    </row>
    <row r="7270" spans="1:11">
      <c r="A7270" s="30" t="s">
        <v>16918</v>
      </c>
      <c r="B7270" s="30" t="s">
        <v>16919</v>
      </c>
      <c r="C7270" s="30" t="s">
        <v>16920</v>
      </c>
      <c r="D7270" s="30" t="s">
        <v>17</v>
      </c>
      <c r="E7270" s="30" t="s">
        <v>31</v>
      </c>
      <c r="F7270" s="30" t="s">
        <v>32</v>
      </c>
      <c r="G7270" s="30" t="s">
        <v>50</v>
      </c>
      <c r="H7270" s="32">
        <v>117</v>
      </c>
      <c r="I7270" s="30" t="s">
        <v>51</v>
      </c>
      <c r="J7270" s="41">
        <v>44479</v>
      </c>
      <c r="K7270" s="30" t="s">
        <v>22</v>
      </c>
    </row>
    <row r="7271" spans="1:11">
      <c r="A7271" s="33" t="s">
        <v>16921</v>
      </c>
      <c r="B7271" s="33" t="s">
        <v>16922</v>
      </c>
      <c r="C7271" s="33" t="s">
        <v>93</v>
      </c>
      <c r="D7271" s="33" t="s">
        <v>17</v>
      </c>
      <c r="E7271" s="33" t="s">
        <v>26</v>
      </c>
      <c r="F7271" s="33" t="s">
        <v>27</v>
      </c>
      <c r="G7271" s="33" t="s">
        <v>20</v>
      </c>
      <c r="H7271" s="35">
        <v>33</v>
      </c>
      <c r="I7271" s="33" t="s">
        <v>21</v>
      </c>
      <c r="J7271" s="42">
        <v>44270</v>
      </c>
      <c r="K7271" s="33" t="s">
        <v>22</v>
      </c>
    </row>
    <row r="7272" spans="1:11">
      <c r="A7272" s="30" t="s">
        <v>16923</v>
      </c>
      <c r="B7272" s="30" t="s">
        <v>16924</v>
      </c>
      <c r="C7272" s="30" t="s">
        <v>16925</v>
      </c>
      <c r="D7272" s="30" t="s">
        <v>17</v>
      </c>
      <c r="E7272" s="30" t="s">
        <v>31</v>
      </c>
      <c r="F7272" s="30" t="s">
        <v>32</v>
      </c>
      <c r="G7272" s="30" t="s">
        <v>50</v>
      </c>
      <c r="H7272" s="32">
        <v>30</v>
      </c>
      <c r="I7272" s="30" t="s">
        <v>51</v>
      </c>
      <c r="J7272" s="41">
        <v>44378</v>
      </c>
      <c r="K7272" s="30" t="s">
        <v>22</v>
      </c>
    </row>
    <row r="7273" spans="1:11">
      <c r="A7273" s="33" t="s">
        <v>16926</v>
      </c>
      <c r="B7273" s="33" t="s">
        <v>16927</v>
      </c>
      <c r="C7273" s="33" t="s">
        <v>16592</v>
      </c>
      <c r="D7273" s="33" t="s">
        <v>17</v>
      </c>
      <c r="E7273" s="33" t="s">
        <v>67</v>
      </c>
      <c r="F7273" s="33" t="s">
        <v>68</v>
      </c>
      <c r="G7273" s="33" t="s">
        <v>106</v>
      </c>
      <c r="H7273" s="35">
        <v>8</v>
      </c>
      <c r="I7273" s="33" t="s">
        <v>21</v>
      </c>
      <c r="J7273" s="42">
        <v>44440</v>
      </c>
      <c r="K7273" s="33" t="s">
        <v>22</v>
      </c>
    </row>
    <row r="7274" spans="1:11">
      <c r="A7274" s="30" t="s">
        <v>16928</v>
      </c>
      <c r="B7274" s="30" t="s">
        <v>16929</v>
      </c>
      <c r="C7274" s="30" t="s">
        <v>8250</v>
      </c>
      <c r="D7274" s="30" t="s">
        <v>17</v>
      </c>
      <c r="E7274" s="30" t="s">
        <v>31</v>
      </c>
      <c r="F7274" s="30" t="s">
        <v>32</v>
      </c>
      <c r="G7274" s="30" t="s">
        <v>20</v>
      </c>
      <c r="H7274" s="32">
        <v>107</v>
      </c>
      <c r="I7274" s="30" t="s">
        <v>21</v>
      </c>
      <c r="J7274" s="41">
        <v>44453</v>
      </c>
      <c r="K7274" s="30" t="s">
        <v>22</v>
      </c>
    </row>
    <row r="7275" spans="1:11">
      <c r="A7275" s="33" t="s">
        <v>16930</v>
      </c>
      <c r="B7275" s="33" t="s">
        <v>16931</v>
      </c>
      <c r="C7275" s="33" t="s">
        <v>7880</v>
      </c>
      <c r="D7275" s="33" t="s">
        <v>17</v>
      </c>
      <c r="E7275" s="33" t="s">
        <v>67</v>
      </c>
      <c r="F7275" s="33" t="s">
        <v>68</v>
      </c>
      <c r="G7275" s="33" t="s">
        <v>7780</v>
      </c>
      <c r="H7275" s="35">
        <v>125</v>
      </c>
      <c r="I7275" s="33" t="s">
        <v>51</v>
      </c>
      <c r="J7275" s="42">
        <v>44489</v>
      </c>
      <c r="K7275" s="33" t="s">
        <v>22</v>
      </c>
    </row>
    <row r="7276" spans="1:11">
      <c r="A7276" s="30" t="s">
        <v>16932</v>
      </c>
      <c r="B7276" s="30" t="s">
        <v>16933</v>
      </c>
      <c r="C7276" s="30" t="s">
        <v>4717</v>
      </c>
      <c r="D7276" s="30" t="s">
        <v>17</v>
      </c>
      <c r="E7276" s="30" t="s">
        <v>26</v>
      </c>
      <c r="F7276" s="30" t="s">
        <v>27</v>
      </c>
      <c r="G7276" s="30" t="s">
        <v>20</v>
      </c>
      <c r="H7276" s="32">
        <v>48</v>
      </c>
      <c r="I7276" s="30" t="s">
        <v>21</v>
      </c>
      <c r="J7276" s="41">
        <v>44449</v>
      </c>
      <c r="K7276" s="30" t="s">
        <v>22</v>
      </c>
    </row>
    <row r="7277" spans="1:11">
      <c r="A7277" s="33" t="s">
        <v>16934</v>
      </c>
      <c r="B7277" s="33" t="s">
        <v>16935</v>
      </c>
      <c r="C7277" s="33" t="s">
        <v>16936</v>
      </c>
      <c r="D7277" s="33" t="s">
        <v>17</v>
      </c>
      <c r="E7277" s="33" t="s">
        <v>26</v>
      </c>
      <c r="F7277" s="33" t="s">
        <v>27</v>
      </c>
      <c r="G7277" s="33" t="s">
        <v>20</v>
      </c>
      <c r="H7277" s="35">
        <v>16</v>
      </c>
      <c r="I7277" s="33" t="s">
        <v>21</v>
      </c>
      <c r="J7277" s="42">
        <v>44517</v>
      </c>
      <c r="K7277" s="33" t="s">
        <v>22</v>
      </c>
    </row>
    <row r="7278" spans="1:11">
      <c r="A7278" s="30" t="s">
        <v>16937</v>
      </c>
      <c r="B7278" s="30" t="s">
        <v>16938</v>
      </c>
      <c r="C7278" s="30" t="s">
        <v>2490</v>
      </c>
      <c r="D7278" s="30" t="s">
        <v>17</v>
      </c>
      <c r="E7278" s="30" t="s">
        <v>26</v>
      </c>
      <c r="F7278" s="30" t="s">
        <v>27</v>
      </c>
      <c r="G7278" s="30" t="s">
        <v>20</v>
      </c>
      <c r="H7278" s="32">
        <v>80</v>
      </c>
      <c r="I7278" s="30" t="s">
        <v>21</v>
      </c>
      <c r="J7278" s="41">
        <v>44252</v>
      </c>
      <c r="K7278" s="30" t="s">
        <v>22</v>
      </c>
    </row>
    <row r="7279" spans="1:11">
      <c r="A7279" s="33" t="s">
        <v>16939</v>
      </c>
      <c r="B7279" s="33" t="s">
        <v>16940</v>
      </c>
      <c r="C7279" s="33" t="s">
        <v>16941</v>
      </c>
      <c r="D7279" s="33" t="s">
        <v>17</v>
      </c>
      <c r="E7279" s="33" t="s">
        <v>67</v>
      </c>
      <c r="F7279" s="33" t="s">
        <v>68</v>
      </c>
      <c r="G7279" s="33" t="s">
        <v>50</v>
      </c>
      <c r="H7279" s="35">
        <v>63</v>
      </c>
      <c r="I7279" s="33" t="s">
        <v>51</v>
      </c>
      <c r="J7279" s="42">
        <v>44511</v>
      </c>
      <c r="K7279" s="33" t="s">
        <v>22</v>
      </c>
    </row>
    <row r="7280" spans="1:11">
      <c r="A7280" s="30" t="s">
        <v>16942</v>
      </c>
      <c r="B7280" s="30" t="s">
        <v>16943</v>
      </c>
      <c r="C7280" s="30" t="s">
        <v>16944</v>
      </c>
      <c r="D7280" s="30" t="s">
        <v>17</v>
      </c>
      <c r="E7280" s="30" t="s">
        <v>67</v>
      </c>
      <c r="F7280" s="30" t="s">
        <v>68</v>
      </c>
      <c r="G7280" s="30" t="s">
        <v>106</v>
      </c>
      <c r="H7280" s="32">
        <v>25</v>
      </c>
      <c r="I7280" s="30" t="s">
        <v>21</v>
      </c>
      <c r="J7280" s="41">
        <v>44266</v>
      </c>
      <c r="K7280" s="30" t="s">
        <v>22</v>
      </c>
    </row>
    <row r="7281" spans="1:11">
      <c r="A7281" s="33" t="s">
        <v>16945</v>
      </c>
      <c r="B7281" s="33" t="s">
        <v>16946</v>
      </c>
      <c r="C7281" s="33" t="s">
        <v>969</v>
      </c>
      <c r="D7281" s="33" t="s">
        <v>17</v>
      </c>
      <c r="E7281" s="33" t="s">
        <v>26</v>
      </c>
      <c r="F7281" s="33" t="s">
        <v>27</v>
      </c>
      <c r="G7281" s="33" t="s">
        <v>112</v>
      </c>
      <c r="H7281" s="35">
        <v>0</v>
      </c>
      <c r="I7281" s="33" t="s">
        <v>21</v>
      </c>
      <c r="J7281" s="42">
        <v>44306</v>
      </c>
      <c r="K7281" s="33" t="s">
        <v>22</v>
      </c>
    </row>
    <row r="7282" spans="1:11">
      <c r="A7282" s="30" t="s">
        <v>16947</v>
      </c>
      <c r="B7282" s="30" t="s">
        <v>16948</v>
      </c>
      <c r="C7282" s="30" t="s">
        <v>16949</v>
      </c>
      <c r="D7282" s="30" t="s">
        <v>17</v>
      </c>
      <c r="E7282" s="30" t="s">
        <v>31</v>
      </c>
      <c r="F7282" s="30" t="s">
        <v>32</v>
      </c>
      <c r="G7282" s="30" t="s">
        <v>50</v>
      </c>
      <c r="H7282" s="32">
        <v>247</v>
      </c>
      <c r="I7282" s="30" t="s">
        <v>51</v>
      </c>
      <c r="J7282" s="41">
        <v>44518</v>
      </c>
      <c r="K7282" s="30" t="s">
        <v>22</v>
      </c>
    </row>
    <row r="7283" spans="1:11">
      <c r="A7283" s="33" t="s">
        <v>16950</v>
      </c>
      <c r="B7283" s="33" t="s">
        <v>16951</v>
      </c>
      <c r="C7283" s="33" t="s">
        <v>549</v>
      </c>
      <c r="D7283" s="33" t="s">
        <v>17</v>
      </c>
      <c r="E7283" s="33" t="s">
        <v>26</v>
      </c>
      <c r="F7283" s="33" t="s">
        <v>27</v>
      </c>
      <c r="G7283" s="33" t="s">
        <v>20</v>
      </c>
      <c r="H7283" s="35">
        <v>78</v>
      </c>
      <c r="I7283" s="33" t="s">
        <v>21</v>
      </c>
      <c r="J7283" s="42">
        <v>44264</v>
      </c>
      <c r="K7283" s="33" t="s">
        <v>22</v>
      </c>
    </row>
    <row r="7284" spans="1:11">
      <c r="A7284" s="30" t="s">
        <v>16952</v>
      </c>
      <c r="B7284" s="30" t="s">
        <v>16953</v>
      </c>
      <c r="C7284" s="30" t="s">
        <v>5251</v>
      </c>
      <c r="D7284" s="30" t="s">
        <v>17</v>
      </c>
      <c r="E7284" s="30" t="s">
        <v>31</v>
      </c>
      <c r="F7284" s="30" t="s">
        <v>32</v>
      </c>
      <c r="G7284" s="30" t="s">
        <v>20</v>
      </c>
      <c r="H7284" s="32">
        <v>60</v>
      </c>
      <c r="I7284" s="30" t="s">
        <v>21</v>
      </c>
      <c r="J7284" s="41">
        <v>44224</v>
      </c>
      <c r="K7284" s="30" t="s">
        <v>22</v>
      </c>
    </row>
    <row r="7285" spans="1:11">
      <c r="A7285" s="33" t="s">
        <v>16954</v>
      </c>
      <c r="B7285" s="33" t="s">
        <v>16955</v>
      </c>
      <c r="C7285" s="33" t="s">
        <v>2292</v>
      </c>
      <c r="D7285" s="33" t="s">
        <v>17</v>
      </c>
      <c r="E7285" s="33" t="s">
        <v>26</v>
      </c>
      <c r="F7285" s="33" t="s">
        <v>27</v>
      </c>
      <c r="G7285" s="33" t="s">
        <v>106</v>
      </c>
      <c r="H7285" s="35">
        <v>9</v>
      </c>
      <c r="I7285" s="33" t="s">
        <v>21</v>
      </c>
      <c r="J7285" s="42">
        <v>44508</v>
      </c>
      <c r="K7285" s="33" t="s">
        <v>22</v>
      </c>
    </row>
    <row r="7286" spans="1:11">
      <c r="A7286" s="30" t="s">
        <v>16956</v>
      </c>
      <c r="B7286" s="30" t="s">
        <v>16957</v>
      </c>
      <c r="C7286" s="30" t="s">
        <v>1598</v>
      </c>
      <c r="D7286" s="30" t="s">
        <v>17</v>
      </c>
      <c r="E7286" s="30" t="s">
        <v>26</v>
      </c>
      <c r="F7286" s="30" t="s">
        <v>27</v>
      </c>
      <c r="G7286" s="30" t="s">
        <v>50</v>
      </c>
      <c r="H7286" s="32">
        <v>256</v>
      </c>
      <c r="I7286" s="30" t="s">
        <v>51</v>
      </c>
      <c r="J7286" s="41">
        <v>44314</v>
      </c>
      <c r="K7286" s="30" t="s">
        <v>22</v>
      </c>
    </row>
    <row r="7287" spans="1:11">
      <c r="A7287" s="33" t="s">
        <v>16958</v>
      </c>
      <c r="B7287" s="33" t="s">
        <v>16959</v>
      </c>
      <c r="C7287" s="33" t="s">
        <v>3964</v>
      </c>
      <c r="D7287" s="33" t="s">
        <v>17</v>
      </c>
      <c r="E7287" s="33" t="s">
        <v>31</v>
      </c>
      <c r="F7287" s="33" t="s">
        <v>32</v>
      </c>
      <c r="G7287" s="33" t="s">
        <v>140</v>
      </c>
      <c r="H7287" s="35">
        <v>116</v>
      </c>
      <c r="I7287" s="33" t="s">
        <v>51</v>
      </c>
      <c r="J7287" s="42">
        <v>44309</v>
      </c>
      <c r="K7287" s="33" t="s">
        <v>22</v>
      </c>
    </row>
    <row r="7288" spans="1:11">
      <c r="A7288" s="30" t="s">
        <v>16960</v>
      </c>
      <c r="B7288" s="30" t="s">
        <v>16961</v>
      </c>
      <c r="C7288" s="30" t="s">
        <v>638</v>
      </c>
      <c r="D7288" s="30" t="s">
        <v>17</v>
      </c>
      <c r="E7288" s="30" t="s">
        <v>18</v>
      </c>
      <c r="F7288" s="30" t="s">
        <v>19</v>
      </c>
      <c r="G7288" s="30" t="s">
        <v>20</v>
      </c>
      <c r="H7288" s="32">
        <v>25236</v>
      </c>
      <c r="I7288" s="30" t="s">
        <v>21</v>
      </c>
      <c r="J7288" s="41">
        <v>44398</v>
      </c>
      <c r="K7288" s="30" t="s">
        <v>22</v>
      </c>
    </row>
    <row r="7289" spans="1:11">
      <c r="A7289" s="33" t="s">
        <v>16962</v>
      </c>
      <c r="B7289" s="33" t="s">
        <v>16963</v>
      </c>
      <c r="C7289" s="33" t="s">
        <v>16964</v>
      </c>
      <c r="D7289" s="33" t="s">
        <v>17</v>
      </c>
      <c r="E7289" s="33" t="s">
        <v>26</v>
      </c>
      <c r="F7289" s="33" t="s">
        <v>27</v>
      </c>
      <c r="G7289" s="33" t="s">
        <v>140</v>
      </c>
      <c r="H7289" s="35">
        <v>248</v>
      </c>
      <c r="I7289" s="33" t="s">
        <v>51</v>
      </c>
      <c r="J7289" s="42">
        <v>44264</v>
      </c>
      <c r="K7289" s="33" t="s">
        <v>22</v>
      </c>
    </row>
    <row r="7290" spans="1:11">
      <c r="A7290" s="30" t="s">
        <v>16965</v>
      </c>
      <c r="B7290" s="30" t="s">
        <v>16966</v>
      </c>
      <c r="C7290" s="30" t="s">
        <v>130</v>
      </c>
      <c r="D7290" s="30" t="s">
        <v>17</v>
      </c>
      <c r="E7290" s="30" t="s">
        <v>18</v>
      </c>
      <c r="F7290" s="30" t="s">
        <v>19</v>
      </c>
      <c r="G7290" s="30" t="s">
        <v>106</v>
      </c>
      <c r="H7290" s="32">
        <v>252</v>
      </c>
      <c r="I7290" s="30" t="s">
        <v>21</v>
      </c>
      <c r="J7290" s="41">
        <v>44340</v>
      </c>
      <c r="K7290" s="30" t="s">
        <v>22</v>
      </c>
    </row>
    <row r="7291" spans="1:11">
      <c r="A7291" s="33" t="s">
        <v>16967</v>
      </c>
      <c r="B7291" s="33" t="s">
        <v>16968</v>
      </c>
      <c r="C7291" s="33" t="s">
        <v>687</v>
      </c>
      <c r="D7291" s="33" t="s">
        <v>17</v>
      </c>
      <c r="E7291" s="33" t="s">
        <v>26</v>
      </c>
      <c r="F7291" s="33" t="s">
        <v>27</v>
      </c>
      <c r="G7291" s="33" t="s">
        <v>112</v>
      </c>
      <c r="H7291" s="35">
        <v>0</v>
      </c>
      <c r="I7291" s="33" t="s">
        <v>21</v>
      </c>
      <c r="J7291" s="42">
        <v>44442</v>
      </c>
      <c r="K7291" s="33" t="s">
        <v>22</v>
      </c>
    </row>
    <row r="7292" spans="1:11">
      <c r="A7292" s="30" t="s">
        <v>16969</v>
      </c>
      <c r="B7292" s="30" t="s">
        <v>16970</v>
      </c>
      <c r="C7292" s="30" t="s">
        <v>178</v>
      </c>
      <c r="D7292" s="30" t="s">
        <v>17</v>
      </c>
      <c r="E7292" s="30" t="s">
        <v>31</v>
      </c>
      <c r="F7292" s="30" t="s">
        <v>32</v>
      </c>
      <c r="G7292" s="30" t="s">
        <v>112</v>
      </c>
      <c r="H7292" s="32">
        <v>0</v>
      </c>
      <c r="I7292" s="30" t="s">
        <v>21</v>
      </c>
      <c r="J7292" s="41">
        <v>44286</v>
      </c>
      <c r="K7292" s="30" t="s">
        <v>22</v>
      </c>
    </row>
    <row r="7293" spans="1:11">
      <c r="A7293" s="33" t="s">
        <v>16971</v>
      </c>
      <c r="B7293" s="33" t="s">
        <v>16972</v>
      </c>
      <c r="C7293" s="33" t="s">
        <v>2292</v>
      </c>
      <c r="D7293" s="33" t="s">
        <v>17</v>
      </c>
      <c r="E7293" s="33" t="s">
        <v>31</v>
      </c>
      <c r="F7293" s="33" t="s">
        <v>32</v>
      </c>
      <c r="G7293" s="33" t="s">
        <v>20</v>
      </c>
      <c r="H7293" s="35">
        <v>56</v>
      </c>
      <c r="I7293" s="33" t="s">
        <v>21</v>
      </c>
      <c r="J7293" s="42">
        <v>44251</v>
      </c>
      <c r="K7293" s="33" t="s">
        <v>22</v>
      </c>
    </row>
    <row r="7294" spans="1:11">
      <c r="A7294" s="30" t="s">
        <v>16973</v>
      </c>
      <c r="B7294" s="30" t="s">
        <v>16974</v>
      </c>
      <c r="C7294" s="30" t="s">
        <v>1148</v>
      </c>
      <c r="D7294" s="30" t="s">
        <v>17</v>
      </c>
      <c r="E7294" s="30" t="s">
        <v>26</v>
      </c>
      <c r="F7294" s="30" t="s">
        <v>27</v>
      </c>
      <c r="G7294" s="30" t="s">
        <v>112</v>
      </c>
      <c r="H7294" s="32">
        <v>0</v>
      </c>
      <c r="I7294" s="30" t="s">
        <v>21</v>
      </c>
      <c r="J7294" s="41">
        <v>44317</v>
      </c>
      <c r="K7294" s="30" t="s">
        <v>22</v>
      </c>
    </row>
    <row r="7295" spans="1:11">
      <c r="A7295" s="33" t="s">
        <v>16975</v>
      </c>
      <c r="B7295" s="33" t="s">
        <v>16976</v>
      </c>
      <c r="C7295" s="33" t="s">
        <v>362</v>
      </c>
      <c r="D7295" s="33" t="s">
        <v>17</v>
      </c>
      <c r="E7295" s="33" t="s">
        <v>26</v>
      </c>
      <c r="F7295" s="33" t="s">
        <v>27</v>
      </c>
      <c r="G7295" s="33" t="s">
        <v>20</v>
      </c>
      <c r="H7295" s="35">
        <v>19</v>
      </c>
      <c r="I7295" s="33" t="s">
        <v>21</v>
      </c>
      <c r="J7295" s="42">
        <v>44447</v>
      </c>
      <c r="K7295" s="33" t="s">
        <v>22</v>
      </c>
    </row>
    <row r="7296" spans="1:11">
      <c r="A7296" s="30" t="s">
        <v>16977</v>
      </c>
      <c r="B7296" s="30" t="s">
        <v>16978</v>
      </c>
      <c r="C7296" s="30" t="s">
        <v>190</v>
      </c>
      <c r="D7296" s="30" t="s">
        <v>17</v>
      </c>
      <c r="E7296" s="30" t="s">
        <v>18</v>
      </c>
      <c r="F7296" s="30" t="s">
        <v>19</v>
      </c>
      <c r="G7296" s="30" t="s">
        <v>20</v>
      </c>
      <c r="H7296" s="32">
        <v>800</v>
      </c>
      <c r="I7296" s="30" t="s">
        <v>21</v>
      </c>
      <c r="J7296" s="41">
        <v>44524</v>
      </c>
      <c r="K7296" s="30" t="s">
        <v>22</v>
      </c>
    </row>
    <row r="7297" spans="1:11">
      <c r="A7297" s="33" t="s">
        <v>16979</v>
      </c>
      <c r="B7297" s="33" t="s">
        <v>16980</v>
      </c>
      <c r="C7297" s="33" t="s">
        <v>231</v>
      </c>
      <c r="D7297" s="33" t="s">
        <v>17</v>
      </c>
      <c r="E7297" s="33" t="s">
        <v>26</v>
      </c>
      <c r="F7297" s="33" t="s">
        <v>27</v>
      </c>
      <c r="G7297" s="33" t="s">
        <v>20</v>
      </c>
      <c r="H7297" s="35">
        <v>59</v>
      </c>
      <c r="I7297" s="33" t="s">
        <v>21</v>
      </c>
      <c r="J7297" s="42">
        <v>44397</v>
      </c>
      <c r="K7297" s="33" t="s">
        <v>22</v>
      </c>
    </row>
    <row r="7298" spans="1:11">
      <c r="A7298" s="30" t="s">
        <v>16981</v>
      </c>
      <c r="B7298" s="30" t="s">
        <v>16982</v>
      </c>
      <c r="C7298" s="30" t="s">
        <v>16983</v>
      </c>
      <c r="D7298" s="30" t="s">
        <v>17</v>
      </c>
      <c r="E7298" s="30" t="s">
        <v>67</v>
      </c>
      <c r="F7298" s="30" t="s">
        <v>68</v>
      </c>
      <c r="G7298" s="30" t="s">
        <v>20</v>
      </c>
      <c r="H7298" s="32">
        <v>69</v>
      </c>
      <c r="I7298" s="30" t="s">
        <v>21</v>
      </c>
      <c r="J7298" s="41">
        <v>44319</v>
      </c>
      <c r="K7298" s="30" t="s">
        <v>22</v>
      </c>
    </row>
    <row r="7299" spans="1:11">
      <c r="A7299" s="33" t="s">
        <v>16984</v>
      </c>
      <c r="B7299" s="33" t="s">
        <v>16985</v>
      </c>
      <c r="C7299" s="33" t="s">
        <v>450</v>
      </c>
      <c r="D7299" s="33" t="s">
        <v>17</v>
      </c>
      <c r="E7299" s="33" t="s">
        <v>26</v>
      </c>
      <c r="F7299" s="33" t="s">
        <v>27</v>
      </c>
      <c r="G7299" s="33" t="s">
        <v>20</v>
      </c>
      <c r="H7299" s="35">
        <v>66</v>
      </c>
      <c r="I7299" s="33" t="s">
        <v>21</v>
      </c>
      <c r="J7299" s="42">
        <v>44209</v>
      </c>
      <c r="K7299" s="33" t="s">
        <v>22</v>
      </c>
    </row>
    <row r="7300" spans="1:11">
      <c r="A7300" s="30" t="s">
        <v>16986</v>
      </c>
      <c r="B7300" s="30" t="s">
        <v>16987</v>
      </c>
      <c r="C7300" s="30" t="s">
        <v>178</v>
      </c>
      <c r="D7300" s="30" t="s">
        <v>17</v>
      </c>
      <c r="E7300" s="30" t="s">
        <v>26</v>
      </c>
      <c r="F7300" s="30" t="s">
        <v>27</v>
      </c>
      <c r="G7300" s="30" t="s">
        <v>20</v>
      </c>
      <c r="H7300" s="32">
        <v>54</v>
      </c>
      <c r="I7300" s="30" t="s">
        <v>21</v>
      </c>
      <c r="J7300" s="41">
        <v>44391</v>
      </c>
      <c r="K7300" s="30" t="s">
        <v>22</v>
      </c>
    </row>
    <row r="7301" spans="1:11">
      <c r="A7301" s="33" t="s">
        <v>16988</v>
      </c>
      <c r="B7301" s="33" t="s">
        <v>16989</v>
      </c>
      <c r="C7301" s="33" t="s">
        <v>1674</v>
      </c>
      <c r="D7301" s="33" t="s">
        <v>17</v>
      </c>
      <c r="E7301" s="33" t="s">
        <v>67</v>
      </c>
      <c r="F7301" s="33" t="s">
        <v>68</v>
      </c>
      <c r="G7301" s="33" t="s">
        <v>158</v>
      </c>
      <c r="H7301" s="35">
        <v>11</v>
      </c>
      <c r="I7301" s="33" t="s">
        <v>21</v>
      </c>
      <c r="J7301" s="42">
        <v>44245</v>
      </c>
      <c r="K7301" s="33" t="s">
        <v>22</v>
      </c>
    </row>
    <row r="7302" spans="1:11">
      <c r="A7302" s="30" t="s">
        <v>16990</v>
      </c>
      <c r="B7302" s="30" t="s">
        <v>16991</v>
      </c>
      <c r="C7302" s="30" t="s">
        <v>16992</v>
      </c>
      <c r="D7302" s="30" t="s">
        <v>17</v>
      </c>
      <c r="E7302" s="30" t="s">
        <v>31</v>
      </c>
      <c r="F7302" s="30" t="s">
        <v>32</v>
      </c>
      <c r="G7302" s="30" t="s">
        <v>69</v>
      </c>
      <c r="H7302" s="32">
        <v>630</v>
      </c>
      <c r="I7302" s="30" t="s">
        <v>51</v>
      </c>
      <c r="J7302" s="41">
        <v>44371</v>
      </c>
      <c r="K7302" s="30" t="s">
        <v>22</v>
      </c>
    </row>
    <row r="7303" spans="1:11">
      <c r="A7303" s="33" t="s">
        <v>16993</v>
      </c>
      <c r="B7303" s="33" t="s">
        <v>16994</v>
      </c>
      <c r="C7303" s="33" t="s">
        <v>10459</v>
      </c>
      <c r="D7303" s="33" t="s">
        <v>17</v>
      </c>
      <c r="E7303" s="33" t="s">
        <v>330</v>
      </c>
      <c r="F7303" s="33" t="s">
        <v>331</v>
      </c>
      <c r="G7303" s="33" t="s">
        <v>140</v>
      </c>
      <c r="H7303" s="35">
        <v>50</v>
      </c>
      <c r="I7303" s="33" t="s">
        <v>51</v>
      </c>
      <c r="J7303" s="42">
        <v>44377</v>
      </c>
      <c r="K7303" s="33" t="s">
        <v>22</v>
      </c>
    </row>
    <row r="7304" spans="1:11">
      <c r="A7304" s="30" t="s">
        <v>16995</v>
      </c>
      <c r="B7304" s="30" t="s">
        <v>16996</v>
      </c>
      <c r="C7304" s="30" t="s">
        <v>54</v>
      </c>
      <c r="D7304" s="30" t="s">
        <v>17</v>
      </c>
      <c r="E7304" s="30" t="s">
        <v>26</v>
      </c>
      <c r="F7304" s="30" t="s">
        <v>27</v>
      </c>
      <c r="G7304" s="30" t="s">
        <v>20</v>
      </c>
      <c r="H7304" s="32">
        <v>112</v>
      </c>
      <c r="I7304" s="30" t="s">
        <v>21</v>
      </c>
      <c r="J7304" s="41">
        <v>44278</v>
      </c>
      <c r="K7304" s="30" t="s">
        <v>22</v>
      </c>
    </row>
    <row r="7305" spans="1:11">
      <c r="A7305" s="33" t="s">
        <v>16997</v>
      </c>
      <c r="B7305" s="33" t="s">
        <v>16998</v>
      </c>
      <c r="C7305" s="33" t="s">
        <v>72</v>
      </c>
      <c r="D7305" s="33" t="s">
        <v>17</v>
      </c>
      <c r="E7305" s="33" t="s">
        <v>26</v>
      </c>
      <c r="F7305" s="33" t="s">
        <v>27</v>
      </c>
      <c r="G7305" s="33" t="s">
        <v>20</v>
      </c>
      <c r="H7305" s="35">
        <v>32</v>
      </c>
      <c r="I7305" s="33" t="s">
        <v>21</v>
      </c>
      <c r="J7305" s="42">
        <v>44395</v>
      </c>
      <c r="K7305" s="33" t="s">
        <v>22</v>
      </c>
    </row>
    <row r="7306" spans="1:11">
      <c r="A7306" s="30" t="s">
        <v>16999</v>
      </c>
      <c r="B7306" s="30" t="s">
        <v>17000</v>
      </c>
      <c r="C7306" s="30" t="s">
        <v>524</v>
      </c>
      <c r="D7306" s="30" t="s">
        <v>17</v>
      </c>
      <c r="E7306" s="30" t="s">
        <v>26</v>
      </c>
      <c r="F7306" s="30" t="s">
        <v>27</v>
      </c>
      <c r="G7306" s="30" t="s">
        <v>20</v>
      </c>
      <c r="H7306" s="32">
        <v>24</v>
      </c>
      <c r="I7306" s="30" t="s">
        <v>21</v>
      </c>
      <c r="J7306" s="41">
        <v>44267</v>
      </c>
      <c r="K7306" s="30" t="s">
        <v>22</v>
      </c>
    </row>
    <row r="7307" spans="1:11">
      <c r="A7307" s="33" t="s">
        <v>17001</v>
      </c>
      <c r="B7307" s="33" t="s">
        <v>17002</v>
      </c>
      <c r="C7307" s="33" t="s">
        <v>2549</v>
      </c>
      <c r="D7307" s="33" t="s">
        <v>17</v>
      </c>
      <c r="E7307" s="33" t="s">
        <v>67</v>
      </c>
      <c r="F7307" s="33" t="s">
        <v>68</v>
      </c>
      <c r="G7307" s="33" t="s">
        <v>158</v>
      </c>
      <c r="H7307" s="35">
        <v>25</v>
      </c>
      <c r="I7307" s="33" t="s">
        <v>51</v>
      </c>
      <c r="J7307" s="42">
        <v>44463</v>
      </c>
      <c r="K7307" s="33" t="s">
        <v>22</v>
      </c>
    </row>
    <row r="7308" spans="1:11">
      <c r="A7308" s="30" t="s">
        <v>17003</v>
      </c>
      <c r="B7308" s="30" t="s">
        <v>17004</v>
      </c>
      <c r="C7308" s="30" t="s">
        <v>2852</v>
      </c>
      <c r="D7308" s="30" t="s">
        <v>17</v>
      </c>
      <c r="E7308" s="30" t="s">
        <v>31</v>
      </c>
      <c r="F7308" s="30" t="s">
        <v>32</v>
      </c>
      <c r="G7308" s="30" t="s">
        <v>20</v>
      </c>
      <c r="H7308" s="32">
        <v>27</v>
      </c>
      <c r="I7308" s="30" t="s">
        <v>21</v>
      </c>
      <c r="J7308" s="41">
        <v>44448</v>
      </c>
      <c r="K7308" s="30" t="s">
        <v>22</v>
      </c>
    </row>
    <row r="7309" spans="1:11">
      <c r="A7309" s="33" t="s">
        <v>17005</v>
      </c>
      <c r="B7309" s="33" t="s">
        <v>17006</v>
      </c>
      <c r="C7309" s="33" t="s">
        <v>4345</v>
      </c>
      <c r="D7309" s="33" t="s">
        <v>17</v>
      </c>
      <c r="E7309" s="33" t="s">
        <v>26</v>
      </c>
      <c r="F7309" s="33" t="s">
        <v>27</v>
      </c>
      <c r="G7309" s="33" t="s">
        <v>20</v>
      </c>
      <c r="H7309" s="35">
        <v>15</v>
      </c>
      <c r="I7309" s="33" t="s">
        <v>21</v>
      </c>
      <c r="J7309" s="42">
        <v>44201</v>
      </c>
      <c r="K7309" s="33" t="s">
        <v>22</v>
      </c>
    </row>
    <row r="7310" spans="1:11">
      <c r="A7310" s="30" t="s">
        <v>17007</v>
      </c>
      <c r="B7310" s="30" t="s">
        <v>17008</v>
      </c>
      <c r="C7310" s="30" t="s">
        <v>3775</v>
      </c>
      <c r="D7310" s="30" t="s">
        <v>17</v>
      </c>
      <c r="E7310" s="30" t="s">
        <v>26</v>
      </c>
      <c r="F7310" s="30" t="s">
        <v>27</v>
      </c>
      <c r="G7310" s="30" t="s">
        <v>20</v>
      </c>
      <c r="H7310" s="32">
        <v>60</v>
      </c>
      <c r="I7310" s="30" t="s">
        <v>21</v>
      </c>
      <c r="J7310" s="41">
        <v>44496</v>
      </c>
      <c r="K7310" s="30" t="s">
        <v>22</v>
      </c>
    </row>
    <row r="7311" spans="1:11">
      <c r="A7311" s="33" t="s">
        <v>17009</v>
      </c>
      <c r="B7311" s="33" t="s">
        <v>17010</v>
      </c>
      <c r="C7311" s="33" t="s">
        <v>96</v>
      </c>
      <c r="D7311" s="33" t="s">
        <v>17</v>
      </c>
      <c r="E7311" s="33" t="s">
        <v>31</v>
      </c>
      <c r="F7311" s="33" t="s">
        <v>32</v>
      </c>
      <c r="G7311" s="33" t="s">
        <v>106</v>
      </c>
      <c r="H7311" s="35">
        <v>46</v>
      </c>
      <c r="I7311" s="33" t="s">
        <v>21</v>
      </c>
      <c r="J7311" s="42">
        <v>44496</v>
      </c>
      <c r="K7311" s="33" t="s">
        <v>22</v>
      </c>
    </row>
    <row r="7312" spans="1:11">
      <c r="A7312" s="30" t="s">
        <v>17011</v>
      </c>
      <c r="B7312" s="30" t="s">
        <v>17012</v>
      </c>
      <c r="C7312" s="30" t="s">
        <v>4348</v>
      </c>
      <c r="D7312" s="30" t="s">
        <v>17</v>
      </c>
      <c r="E7312" s="30" t="s">
        <v>26</v>
      </c>
      <c r="F7312" s="30" t="s">
        <v>27</v>
      </c>
      <c r="G7312" s="30" t="s">
        <v>140</v>
      </c>
      <c r="H7312" s="32">
        <v>60</v>
      </c>
      <c r="I7312" s="30" t="s">
        <v>51</v>
      </c>
      <c r="J7312" s="41">
        <v>44300</v>
      </c>
      <c r="K7312" s="30" t="s">
        <v>22</v>
      </c>
    </row>
    <row r="7313" spans="1:11">
      <c r="A7313" s="33" t="s">
        <v>17013</v>
      </c>
      <c r="B7313" s="33" t="s">
        <v>17014</v>
      </c>
      <c r="C7313" s="33" t="s">
        <v>93</v>
      </c>
      <c r="D7313" s="33" t="s">
        <v>17</v>
      </c>
      <c r="E7313" s="33" t="s">
        <v>18</v>
      </c>
      <c r="F7313" s="33" t="s">
        <v>19</v>
      </c>
      <c r="G7313" s="33" t="s">
        <v>20</v>
      </c>
      <c r="H7313" s="35">
        <v>992</v>
      </c>
      <c r="I7313" s="33" t="s">
        <v>21</v>
      </c>
      <c r="J7313" s="42">
        <v>44251</v>
      </c>
      <c r="K7313" s="33" t="s">
        <v>22</v>
      </c>
    </row>
    <row r="7314" spans="1:11">
      <c r="A7314" s="30" t="s">
        <v>17015</v>
      </c>
      <c r="B7314" s="30" t="s">
        <v>17016</v>
      </c>
      <c r="C7314" s="30" t="s">
        <v>17017</v>
      </c>
      <c r="D7314" s="30" t="s">
        <v>17</v>
      </c>
      <c r="E7314" s="30" t="s">
        <v>67</v>
      </c>
      <c r="F7314" s="30" t="s">
        <v>68</v>
      </c>
      <c r="G7314" s="30" t="s">
        <v>20</v>
      </c>
      <c r="H7314" s="32">
        <v>34</v>
      </c>
      <c r="I7314" s="30" t="s">
        <v>21</v>
      </c>
      <c r="J7314" s="41">
        <v>44287</v>
      </c>
      <c r="K7314" s="30" t="s">
        <v>22</v>
      </c>
    </row>
    <row r="7315" spans="1:11">
      <c r="A7315" s="33" t="s">
        <v>17018</v>
      </c>
      <c r="B7315" s="33" t="s">
        <v>17019</v>
      </c>
      <c r="C7315" s="33" t="s">
        <v>17020</v>
      </c>
      <c r="D7315" s="33" t="s">
        <v>17</v>
      </c>
      <c r="E7315" s="33" t="s">
        <v>26</v>
      </c>
      <c r="F7315" s="33" t="s">
        <v>27</v>
      </c>
      <c r="G7315" s="33" t="s">
        <v>20</v>
      </c>
      <c r="H7315" s="35">
        <v>91</v>
      </c>
      <c r="I7315" s="33" t="s">
        <v>21</v>
      </c>
      <c r="J7315" s="42">
        <v>44336</v>
      </c>
      <c r="K7315" s="33" t="s">
        <v>22</v>
      </c>
    </row>
    <row r="7316" spans="1:11">
      <c r="A7316" s="30" t="s">
        <v>17021</v>
      </c>
      <c r="B7316" s="30" t="s">
        <v>17022</v>
      </c>
      <c r="C7316" s="30" t="s">
        <v>936</v>
      </c>
      <c r="D7316" s="30" t="s">
        <v>17</v>
      </c>
      <c r="E7316" s="30" t="s">
        <v>18</v>
      </c>
      <c r="F7316" s="30" t="s">
        <v>19</v>
      </c>
      <c r="G7316" s="30" t="s">
        <v>106</v>
      </c>
      <c r="H7316" s="32">
        <v>9</v>
      </c>
      <c r="I7316" s="30" t="s">
        <v>21</v>
      </c>
      <c r="J7316" s="41">
        <v>44316</v>
      </c>
      <c r="K7316" s="30" t="s">
        <v>22</v>
      </c>
    </row>
    <row r="7317" spans="1:11">
      <c r="A7317" s="33" t="s">
        <v>17023</v>
      </c>
      <c r="B7317" s="33" t="s">
        <v>17024</v>
      </c>
      <c r="C7317" s="33" t="s">
        <v>136</v>
      </c>
      <c r="D7317" s="33" t="s">
        <v>17</v>
      </c>
      <c r="E7317" s="33" t="s">
        <v>18</v>
      </c>
      <c r="F7317" s="33" t="s">
        <v>19</v>
      </c>
      <c r="G7317" s="33" t="s">
        <v>112</v>
      </c>
      <c r="H7317" s="35">
        <v>0</v>
      </c>
      <c r="I7317" s="33" t="s">
        <v>21</v>
      </c>
      <c r="J7317" s="42">
        <v>44306</v>
      </c>
      <c r="K7317" s="33" t="s">
        <v>22</v>
      </c>
    </row>
    <row r="7318" spans="1:11">
      <c r="A7318" s="30" t="s">
        <v>17025</v>
      </c>
      <c r="B7318" s="30" t="s">
        <v>17026</v>
      </c>
      <c r="C7318" s="30" t="s">
        <v>170</v>
      </c>
      <c r="D7318" s="30" t="s">
        <v>17</v>
      </c>
      <c r="E7318" s="30" t="s">
        <v>26</v>
      </c>
      <c r="F7318" s="30" t="s">
        <v>27</v>
      </c>
      <c r="G7318" s="30" t="s">
        <v>20</v>
      </c>
      <c r="H7318" s="32">
        <v>15</v>
      </c>
      <c r="I7318" s="30" t="s">
        <v>21</v>
      </c>
      <c r="J7318" s="41">
        <v>44364</v>
      </c>
      <c r="K7318" s="30" t="s">
        <v>22</v>
      </c>
    </row>
    <row r="7319" spans="1:11">
      <c r="A7319" s="33" t="s">
        <v>17027</v>
      </c>
      <c r="B7319" s="33" t="s">
        <v>17028</v>
      </c>
      <c r="C7319" s="33" t="s">
        <v>17029</v>
      </c>
      <c r="D7319" s="33" t="s">
        <v>17</v>
      </c>
      <c r="E7319" s="33" t="s">
        <v>67</v>
      </c>
      <c r="F7319" s="33" t="s">
        <v>68</v>
      </c>
      <c r="G7319" s="33" t="s">
        <v>106</v>
      </c>
      <c r="H7319" s="35">
        <v>11</v>
      </c>
      <c r="I7319" s="33" t="s">
        <v>21</v>
      </c>
      <c r="J7319" s="42">
        <v>44475</v>
      </c>
      <c r="K7319" s="33" t="s">
        <v>22</v>
      </c>
    </row>
    <row r="7320" spans="1:11">
      <c r="A7320" s="30" t="s">
        <v>17030</v>
      </c>
      <c r="B7320" s="30" t="s">
        <v>17031</v>
      </c>
      <c r="C7320" s="30" t="s">
        <v>190</v>
      </c>
      <c r="D7320" s="30" t="s">
        <v>17</v>
      </c>
      <c r="E7320" s="30" t="s">
        <v>18</v>
      </c>
      <c r="F7320" s="30" t="s">
        <v>19</v>
      </c>
      <c r="G7320" s="30" t="s">
        <v>158</v>
      </c>
      <c r="H7320" s="32">
        <v>506</v>
      </c>
      <c r="I7320" s="30" t="s">
        <v>21</v>
      </c>
      <c r="J7320" s="41">
        <v>44369</v>
      </c>
      <c r="K7320" s="30" t="s">
        <v>22</v>
      </c>
    </row>
    <row r="7321" spans="1:11">
      <c r="A7321" s="33" t="s">
        <v>17032</v>
      </c>
      <c r="B7321" s="33" t="s">
        <v>17033</v>
      </c>
      <c r="C7321" s="33" t="s">
        <v>109</v>
      </c>
      <c r="D7321" s="33" t="s">
        <v>17</v>
      </c>
      <c r="E7321" s="33" t="s">
        <v>18</v>
      </c>
      <c r="F7321" s="33" t="s">
        <v>19</v>
      </c>
      <c r="G7321" s="33" t="s">
        <v>20</v>
      </c>
      <c r="H7321" s="35">
        <v>470</v>
      </c>
      <c r="I7321" s="33" t="s">
        <v>21</v>
      </c>
      <c r="J7321" s="42">
        <v>44530</v>
      </c>
      <c r="K7321" s="33" t="s">
        <v>22</v>
      </c>
    </row>
    <row r="7322" spans="1:11">
      <c r="A7322" s="30" t="s">
        <v>17034</v>
      </c>
      <c r="B7322" s="30" t="s">
        <v>17035</v>
      </c>
      <c r="C7322" s="30" t="s">
        <v>985</v>
      </c>
      <c r="D7322" s="30" t="s">
        <v>17</v>
      </c>
      <c r="E7322" s="30" t="s">
        <v>26</v>
      </c>
      <c r="F7322" s="30" t="s">
        <v>27</v>
      </c>
      <c r="G7322" s="30" t="s">
        <v>20</v>
      </c>
      <c r="H7322" s="32">
        <v>24</v>
      </c>
      <c r="I7322" s="30" t="s">
        <v>21</v>
      </c>
      <c r="J7322" s="41">
        <v>44304</v>
      </c>
      <c r="K7322" s="30" t="s">
        <v>22</v>
      </c>
    </row>
    <row r="7323" spans="1:11">
      <c r="A7323" s="33" t="s">
        <v>17036</v>
      </c>
      <c r="B7323" s="33" t="s">
        <v>17037</v>
      </c>
      <c r="C7323" s="33" t="s">
        <v>387</v>
      </c>
      <c r="D7323" s="33" t="s">
        <v>17</v>
      </c>
      <c r="E7323" s="33" t="s">
        <v>26</v>
      </c>
      <c r="F7323" s="33" t="s">
        <v>27</v>
      </c>
      <c r="G7323" s="33" t="s">
        <v>106</v>
      </c>
      <c r="H7323" s="35">
        <v>15</v>
      </c>
      <c r="I7323" s="33" t="s">
        <v>21</v>
      </c>
      <c r="J7323" s="42">
        <v>44342</v>
      </c>
      <c r="K7323" s="33" t="s">
        <v>22</v>
      </c>
    </row>
    <row r="7324" spans="1:11">
      <c r="A7324" s="30" t="s">
        <v>17038</v>
      </c>
      <c r="B7324" s="30" t="s">
        <v>17039</v>
      </c>
      <c r="C7324" s="30" t="s">
        <v>1598</v>
      </c>
      <c r="D7324" s="30" t="s">
        <v>17</v>
      </c>
      <c r="E7324" s="30" t="s">
        <v>26</v>
      </c>
      <c r="F7324" s="30" t="s">
        <v>27</v>
      </c>
      <c r="G7324" s="30" t="s">
        <v>50</v>
      </c>
      <c r="H7324" s="32">
        <v>50</v>
      </c>
      <c r="I7324" s="30" t="s">
        <v>51</v>
      </c>
      <c r="J7324" s="41">
        <v>44466</v>
      </c>
      <c r="K7324" s="30" t="s">
        <v>22</v>
      </c>
    </row>
    <row r="7325" spans="1:11">
      <c r="A7325" s="33" t="s">
        <v>17040</v>
      </c>
      <c r="B7325" s="33" t="s">
        <v>17041</v>
      </c>
      <c r="C7325" s="33" t="s">
        <v>1598</v>
      </c>
      <c r="D7325" s="33" t="s">
        <v>17</v>
      </c>
      <c r="E7325" s="33" t="s">
        <v>26</v>
      </c>
      <c r="F7325" s="33" t="s">
        <v>27</v>
      </c>
      <c r="G7325" s="33" t="s">
        <v>20</v>
      </c>
      <c r="H7325" s="35">
        <v>100</v>
      </c>
      <c r="I7325" s="33" t="s">
        <v>21</v>
      </c>
      <c r="J7325" s="42">
        <v>44407</v>
      </c>
      <c r="K7325" s="33" t="s">
        <v>22</v>
      </c>
    </row>
    <row r="7326" spans="1:11">
      <c r="A7326" s="30" t="s">
        <v>17042</v>
      </c>
      <c r="B7326" s="30" t="s">
        <v>17043</v>
      </c>
      <c r="C7326" s="30" t="s">
        <v>75</v>
      </c>
      <c r="D7326" s="30" t="s">
        <v>17</v>
      </c>
      <c r="E7326" s="30" t="s">
        <v>67</v>
      </c>
      <c r="F7326" s="30" t="s">
        <v>68</v>
      </c>
      <c r="G7326" s="30" t="s">
        <v>20</v>
      </c>
      <c r="H7326" s="32">
        <v>24</v>
      </c>
      <c r="I7326" s="30" t="s">
        <v>21</v>
      </c>
      <c r="J7326" s="41">
        <v>44530</v>
      </c>
      <c r="K7326" s="30" t="s">
        <v>22</v>
      </c>
    </row>
    <row r="7327" spans="1:11">
      <c r="A7327" s="33" t="s">
        <v>17044</v>
      </c>
      <c r="B7327" s="33" t="s">
        <v>17045</v>
      </c>
      <c r="C7327" s="33" t="s">
        <v>945</v>
      </c>
      <c r="D7327" s="33" t="s">
        <v>17</v>
      </c>
      <c r="E7327" s="33" t="s">
        <v>31</v>
      </c>
      <c r="F7327" s="33" t="s">
        <v>32</v>
      </c>
      <c r="G7327" s="33" t="s">
        <v>106</v>
      </c>
      <c r="H7327" s="35">
        <v>166</v>
      </c>
      <c r="I7327" s="33" t="s">
        <v>21</v>
      </c>
      <c r="J7327" s="42">
        <v>44316</v>
      </c>
      <c r="K7327" s="33" t="s">
        <v>22</v>
      </c>
    </row>
    <row r="7328" spans="1:11">
      <c r="A7328" s="30" t="s">
        <v>17046</v>
      </c>
      <c r="B7328" s="30" t="s">
        <v>17047</v>
      </c>
      <c r="C7328" s="30" t="s">
        <v>17048</v>
      </c>
      <c r="D7328" s="30" t="s">
        <v>17</v>
      </c>
      <c r="E7328" s="30" t="s">
        <v>18</v>
      </c>
      <c r="F7328" s="30" t="s">
        <v>19</v>
      </c>
      <c r="G7328" s="30" t="s">
        <v>106</v>
      </c>
      <c r="H7328" s="32">
        <v>82</v>
      </c>
      <c r="I7328" s="30" t="s">
        <v>21</v>
      </c>
      <c r="J7328" s="41">
        <v>44421</v>
      </c>
      <c r="K7328" s="30" t="s">
        <v>22</v>
      </c>
    </row>
    <row r="7329" spans="1:11">
      <c r="A7329" s="33" t="s">
        <v>17049</v>
      </c>
      <c r="B7329" s="33" t="s">
        <v>17050</v>
      </c>
      <c r="C7329" s="33" t="s">
        <v>102</v>
      </c>
      <c r="D7329" s="33" t="s">
        <v>17</v>
      </c>
      <c r="E7329" s="33" t="s">
        <v>26</v>
      </c>
      <c r="F7329" s="33" t="s">
        <v>27</v>
      </c>
      <c r="G7329" s="33" t="s">
        <v>20</v>
      </c>
      <c r="H7329" s="35">
        <v>94</v>
      </c>
      <c r="I7329" s="33" t="s">
        <v>21</v>
      </c>
      <c r="J7329" s="42">
        <v>44342</v>
      </c>
      <c r="K7329" s="33" t="s">
        <v>22</v>
      </c>
    </row>
    <row r="7330" spans="1:11">
      <c r="A7330" s="30" t="s">
        <v>17051</v>
      </c>
      <c r="B7330" s="30" t="s">
        <v>17052</v>
      </c>
      <c r="C7330" s="30" t="s">
        <v>178</v>
      </c>
      <c r="D7330" s="30" t="s">
        <v>17</v>
      </c>
      <c r="E7330" s="30" t="s">
        <v>31</v>
      </c>
      <c r="F7330" s="30" t="s">
        <v>32</v>
      </c>
      <c r="G7330" s="30" t="s">
        <v>20</v>
      </c>
      <c r="H7330" s="32">
        <v>123</v>
      </c>
      <c r="I7330" s="30" t="s">
        <v>21</v>
      </c>
      <c r="J7330" s="41">
        <v>44257</v>
      </c>
      <c r="K7330" s="30" t="s">
        <v>22</v>
      </c>
    </row>
    <row r="7331" spans="1:11">
      <c r="A7331" s="33" t="s">
        <v>17053</v>
      </c>
      <c r="B7331" s="33" t="s">
        <v>17054</v>
      </c>
      <c r="C7331" s="33" t="s">
        <v>925</v>
      </c>
      <c r="D7331" s="33" t="s">
        <v>17</v>
      </c>
      <c r="E7331" s="33" t="s">
        <v>31</v>
      </c>
      <c r="F7331" s="33" t="s">
        <v>32</v>
      </c>
      <c r="G7331" s="33" t="s">
        <v>106</v>
      </c>
      <c r="H7331" s="35">
        <v>92</v>
      </c>
      <c r="I7331" s="33" t="s">
        <v>21</v>
      </c>
      <c r="J7331" s="42">
        <v>44544</v>
      </c>
      <c r="K7331" s="33" t="s">
        <v>22</v>
      </c>
    </row>
    <row r="7332" spans="1:11">
      <c r="A7332" s="30" t="s">
        <v>17055</v>
      </c>
      <c r="B7332" s="30" t="s">
        <v>17056</v>
      </c>
      <c r="C7332" s="30" t="s">
        <v>63</v>
      </c>
      <c r="D7332" s="30" t="s">
        <v>17</v>
      </c>
      <c r="E7332" s="30" t="s">
        <v>18</v>
      </c>
      <c r="F7332" s="30" t="s">
        <v>19</v>
      </c>
      <c r="G7332" s="30" t="s">
        <v>112</v>
      </c>
      <c r="H7332" s="32">
        <v>0</v>
      </c>
      <c r="I7332" s="30" t="s">
        <v>21</v>
      </c>
      <c r="J7332" s="41">
        <v>44470</v>
      </c>
      <c r="K7332" s="30" t="s">
        <v>22</v>
      </c>
    </row>
    <row r="7333" spans="1:11">
      <c r="A7333" s="33" t="s">
        <v>17057</v>
      </c>
      <c r="B7333" s="33" t="s">
        <v>17058</v>
      </c>
      <c r="C7333" s="33" t="s">
        <v>178</v>
      </c>
      <c r="D7333" s="33" t="s">
        <v>17</v>
      </c>
      <c r="E7333" s="33" t="s">
        <v>31</v>
      </c>
      <c r="F7333" s="33" t="s">
        <v>32</v>
      </c>
      <c r="G7333" s="33" t="s">
        <v>20</v>
      </c>
      <c r="H7333" s="35">
        <v>162</v>
      </c>
      <c r="I7333" s="33" t="s">
        <v>21</v>
      </c>
      <c r="J7333" s="42">
        <v>44250</v>
      </c>
      <c r="K7333" s="33" t="s">
        <v>22</v>
      </c>
    </row>
    <row r="7334" spans="1:11">
      <c r="A7334" s="30" t="s">
        <v>17059</v>
      </c>
      <c r="B7334" s="30" t="s">
        <v>17060</v>
      </c>
      <c r="C7334" s="30" t="s">
        <v>17061</v>
      </c>
      <c r="D7334" s="30" t="s">
        <v>17</v>
      </c>
      <c r="E7334" s="30" t="s">
        <v>67</v>
      </c>
      <c r="F7334" s="30" t="s">
        <v>68</v>
      </c>
      <c r="G7334" s="30" t="s">
        <v>50</v>
      </c>
      <c r="H7334" s="32">
        <v>172</v>
      </c>
      <c r="I7334" s="30" t="s">
        <v>51</v>
      </c>
      <c r="J7334" s="41">
        <v>44448</v>
      </c>
      <c r="K7334" s="30" t="s">
        <v>22</v>
      </c>
    </row>
    <row r="7335" spans="1:11">
      <c r="A7335" s="33" t="s">
        <v>17062</v>
      </c>
      <c r="B7335" s="33" t="s">
        <v>17063</v>
      </c>
      <c r="C7335" s="33" t="s">
        <v>157</v>
      </c>
      <c r="D7335" s="33" t="s">
        <v>17</v>
      </c>
      <c r="E7335" s="33" t="s">
        <v>26</v>
      </c>
      <c r="F7335" s="33" t="s">
        <v>27</v>
      </c>
      <c r="G7335" s="33" t="s">
        <v>20</v>
      </c>
      <c r="H7335" s="35">
        <v>80</v>
      </c>
      <c r="I7335" s="33" t="s">
        <v>21</v>
      </c>
      <c r="J7335" s="42">
        <v>44403</v>
      </c>
      <c r="K7335" s="33" t="s">
        <v>22</v>
      </c>
    </row>
    <row r="7336" spans="1:11">
      <c r="A7336" s="30" t="s">
        <v>17064</v>
      </c>
      <c r="B7336" s="30" t="s">
        <v>17065</v>
      </c>
      <c r="C7336" s="30" t="s">
        <v>718</v>
      </c>
      <c r="D7336" s="30" t="s">
        <v>17</v>
      </c>
      <c r="E7336" s="30" t="s">
        <v>26</v>
      </c>
      <c r="F7336" s="30" t="s">
        <v>27</v>
      </c>
      <c r="G7336" s="30" t="s">
        <v>50</v>
      </c>
      <c r="H7336" s="32">
        <v>68</v>
      </c>
      <c r="I7336" s="30" t="s">
        <v>51</v>
      </c>
      <c r="J7336" s="41">
        <v>44407</v>
      </c>
      <c r="K7336" s="30" t="s">
        <v>22</v>
      </c>
    </row>
    <row r="7337" spans="1:11">
      <c r="A7337" s="33" t="s">
        <v>17066</v>
      </c>
      <c r="B7337" s="33" t="s">
        <v>17067</v>
      </c>
      <c r="C7337" s="33" t="s">
        <v>17068</v>
      </c>
      <c r="D7337" s="33" t="s">
        <v>17</v>
      </c>
      <c r="E7337" s="33" t="s">
        <v>26</v>
      </c>
      <c r="F7337" s="33" t="s">
        <v>27</v>
      </c>
      <c r="G7337" s="33" t="s">
        <v>20</v>
      </c>
      <c r="H7337" s="35">
        <v>46</v>
      </c>
      <c r="I7337" s="33" t="s">
        <v>21</v>
      </c>
      <c r="J7337" s="42">
        <v>44498</v>
      </c>
      <c r="K7337" s="33" t="s">
        <v>22</v>
      </c>
    </row>
    <row r="7338" spans="1:11">
      <c r="A7338" s="30" t="s">
        <v>17069</v>
      </c>
      <c r="B7338" s="30" t="s">
        <v>17070</v>
      </c>
      <c r="C7338" s="30" t="s">
        <v>17071</v>
      </c>
      <c r="D7338" s="30" t="s">
        <v>17</v>
      </c>
      <c r="E7338" s="30" t="s">
        <v>26</v>
      </c>
      <c r="F7338" s="30" t="s">
        <v>27</v>
      </c>
      <c r="G7338" s="30" t="s">
        <v>106</v>
      </c>
      <c r="H7338" s="32">
        <v>11</v>
      </c>
      <c r="I7338" s="30" t="s">
        <v>21</v>
      </c>
      <c r="J7338" s="41">
        <v>44419</v>
      </c>
      <c r="K7338" s="30" t="s">
        <v>22</v>
      </c>
    </row>
    <row r="7339" spans="1:11">
      <c r="A7339" s="33" t="s">
        <v>17072</v>
      </c>
      <c r="B7339" s="33" t="s">
        <v>17073</v>
      </c>
      <c r="C7339" s="33" t="s">
        <v>684</v>
      </c>
      <c r="D7339" s="33" t="s">
        <v>17</v>
      </c>
      <c r="E7339" s="33" t="s">
        <v>26</v>
      </c>
      <c r="F7339" s="33" t="s">
        <v>27</v>
      </c>
      <c r="G7339" s="33" t="s">
        <v>106</v>
      </c>
      <c r="H7339" s="35">
        <v>56</v>
      </c>
      <c r="I7339" s="33" t="s">
        <v>21</v>
      </c>
      <c r="J7339" s="42">
        <v>44532</v>
      </c>
      <c r="K7339" s="33" t="s">
        <v>22</v>
      </c>
    </row>
    <row r="7340" spans="1:11">
      <c r="A7340" s="30" t="s">
        <v>17074</v>
      </c>
      <c r="B7340" s="30" t="s">
        <v>17075</v>
      </c>
      <c r="C7340" s="30" t="s">
        <v>17076</v>
      </c>
      <c r="D7340" s="30" t="s">
        <v>17</v>
      </c>
      <c r="E7340" s="30" t="s">
        <v>26</v>
      </c>
      <c r="F7340" s="30" t="s">
        <v>27</v>
      </c>
      <c r="G7340" s="30" t="s">
        <v>20</v>
      </c>
      <c r="H7340" s="32">
        <v>13</v>
      </c>
      <c r="I7340" s="30" t="s">
        <v>21</v>
      </c>
      <c r="J7340" s="41">
        <v>44369</v>
      </c>
      <c r="K7340" s="30" t="s">
        <v>22</v>
      </c>
    </row>
    <row r="7341" spans="1:11">
      <c r="A7341" s="33" t="s">
        <v>17077</v>
      </c>
      <c r="B7341" s="33" t="s">
        <v>17078</v>
      </c>
      <c r="C7341" s="33" t="s">
        <v>136</v>
      </c>
      <c r="D7341" s="33" t="s">
        <v>17</v>
      </c>
      <c r="E7341" s="33" t="s">
        <v>18</v>
      </c>
      <c r="F7341" s="33" t="s">
        <v>19</v>
      </c>
      <c r="G7341" s="33" t="s">
        <v>20</v>
      </c>
      <c r="H7341" s="35">
        <v>783</v>
      </c>
      <c r="I7341" s="33" t="s">
        <v>21</v>
      </c>
      <c r="J7341" s="42">
        <v>44284</v>
      </c>
      <c r="K7341" s="33" t="s">
        <v>22</v>
      </c>
    </row>
    <row r="7342" spans="1:11">
      <c r="A7342" s="30" t="s">
        <v>17079</v>
      </c>
      <c r="B7342" s="30" t="s">
        <v>17080</v>
      </c>
      <c r="C7342" s="30" t="s">
        <v>3757</v>
      </c>
      <c r="D7342" s="30" t="s">
        <v>17</v>
      </c>
      <c r="E7342" s="30" t="s">
        <v>31</v>
      </c>
      <c r="F7342" s="30" t="s">
        <v>32</v>
      </c>
      <c r="G7342" s="30" t="s">
        <v>20</v>
      </c>
      <c r="H7342" s="32">
        <v>228</v>
      </c>
      <c r="I7342" s="30" t="s">
        <v>21</v>
      </c>
      <c r="J7342" s="41">
        <v>44357</v>
      </c>
      <c r="K7342" s="30" t="s">
        <v>22</v>
      </c>
    </row>
    <row r="7343" spans="1:11">
      <c r="A7343" s="33" t="s">
        <v>17081</v>
      </c>
      <c r="B7343" s="33" t="s">
        <v>17082</v>
      </c>
      <c r="C7343" s="33" t="s">
        <v>17083</v>
      </c>
      <c r="D7343" s="33" t="s">
        <v>17</v>
      </c>
      <c r="E7343" s="33" t="s">
        <v>18</v>
      </c>
      <c r="F7343" s="33" t="s">
        <v>19</v>
      </c>
      <c r="G7343" s="33" t="s">
        <v>106</v>
      </c>
      <c r="H7343" s="35">
        <v>4</v>
      </c>
      <c r="I7343" s="33" t="s">
        <v>21</v>
      </c>
      <c r="J7343" s="42">
        <v>44267</v>
      </c>
      <c r="K7343" s="33" t="s">
        <v>22</v>
      </c>
    </row>
    <row r="7344" spans="1:11">
      <c r="A7344" s="30" t="s">
        <v>17084</v>
      </c>
      <c r="B7344" s="30" t="s">
        <v>17085</v>
      </c>
      <c r="C7344" s="30" t="s">
        <v>10120</v>
      </c>
      <c r="D7344" s="30" t="s">
        <v>17</v>
      </c>
      <c r="E7344" s="30" t="s">
        <v>18</v>
      </c>
      <c r="F7344" s="30" t="s">
        <v>19</v>
      </c>
      <c r="G7344" s="30" t="s">
        <v>20</v>
      </c>
      <c r="H7344" s="32">
        <v>318</v>
      </c>
      <c r="I7344" s="30" t="s">
        <v>21</v>
      </c>
      <c r="J7344" s="41">
        <v>44438</v>
      </c>
      <c r="K7344" s="30" t="s">
        <v>22</v>
      </c>
    </row>
    <row r="7345" spans="1:11">
      <c r="A7345" s="33" t="s">
        <v>17086</v>
      </c>
      <c r="B7345" s="33" t="s">
        <v>17087</v>
      </c>
      <c r="C7345" s="33" t="s">
        <v>118</v>
      </c>
      <c r="D7345" s="33" t="s">
        <v>17</v>
      </c>
      <c r="E7345" s="33" t="s">
        <v>18</v>
      </c>
      <c r="F7345" s="33" t="s">
        <v>19</v>
      </c>
      <c r="G7345" s="33" t="s">
        <v>20</v>
      </c>
      <c r="H7345" s="35">
        <v>1584</v>
      </c>
      <c r="I7345" s="33" t="s">
        <v>21</v>
      </c>
      <c r="J7345" s="42">
        <v>44460</v>
      </c>
      <c r="K7345" s="33" t="s">
        <v>22</v>
      </c>
    </row>
    <row r="7346" spans="1:11">
      <c r="A7346" s="30" t="s">
        <v>17088</v>
      </c>
      <c r="B7346" s="30" t="s">
        <v>17089</v>
      </c>
      <c r="C7346" s="30" t="s">
        <v>969</v>
      </c>
      <c r="D7346" s="30" t="s">
        <v>17</v>
      </c>
      <c r="E7346" s="30" t="s">
        <v>31</v>
      </c>
      <c r="F7346" s="30" t="s">
        <v>32</v>
      </c>
      <c r="G7346" s="30" t="s">
        <v>106</v>
      </c>
      <c r="H7346" s="32">
        <v>16</v>
      </c>
      <c r="I7346" s="30" t="s">
        <v>21</v>
      </c>
      <c r="J7346" s="41">
        <v>44546</v>
      </c>
      <c r="K7346" s="30" t="s">
        <v>22</v>
      </c>
    </row>
    <row r="7347" spans="1:11">
      <c r="A7347" s="33" t="s">
        <v>17090</v>
      </c>
      <c r="B7347" s="33" t="s">
        <v>17091</v>
      </c>
      <c r="C7347" s="33" t="s">
        <v>407</v>
      </c>
      <c r="D7347" s="33" t="s">
        <v>17</v>
      </c>
      <c r="E7347" s="33" t="s">
        <v>330</v>
      </c>
      <c r="F7347" s="33" t="s">
        <v>331</v>
      </c>
      <c r="G7347" s="33" t="s">
        <v>20</v>
      </c>
      <c r="H7347" s="35">
        <v>37</v>
      </c>
      <c r="I7347" s="33" t="s">
        <v>21</v>
      </c>
      <c r="J7347" s="42">
        <v>44462</v>
      </c>
      <c r="K7347" s="33" t="s">
        <v>22</v>
      </c>
    </row>
    <row r="7348" spans="1:11">
      <c r="A7348" s="30" t="s">
        <v>17092</v>
      </c>
      <c r="B7348" s="30" t="s">
        <v>17093</v>
      </c>
      <c r="C7348" s="30" t="s">
        <v>44</v>
      </c>
      <c r="D7348" s="30" t="s">
        <v>17</v>
      </c>
      <c r="E7348" s="30" t="s">
        <v>18</v>
      </c>
      <c r="F7348" s="30" t="s">
        <v>19</v>
      </c>
      <c r="G7348" s="30" t="s">
        <v>112</v>
      </c>
      <c r="H7348" s="32">
        <v>0</v>
      </c>
      <c r="I7348" s="30" t="s">
        <v>21</v>
      </c>
      <c r="J7348" s="41">
        <v>44482</v>
      </c>
      <c r="K7348" s="30" t="s">
        <v>22</v>
      </c>
    </row>
    <row r="7349" spans="1:11">
      <c r="A7349" s="33" t="s">
        <v>17094</v>
      </c>
      <c r="B7349" s="33" t="s">
        <v>17095</v>
      </c>
      <c r="C7349" s="33" t="s">
        <v>5312</v>
      </c>
      <c r="D7349" s="33" t="s">
        <v>17</v>
      </c>
      <c r="E7349" s="33" t="s">
        <v>18</v>
      </c>
      <c r="F7349" s="33" t="s">
        <v>19</v>
      </c>
      <c r="G7349" s="33" t="s">
        <v>158</v>
      </c>
      <c r="H7349" s="35">
        <v>111</v>
      </c>
      <c r="I7349" s="33" t="s">
        <v>21</v>
      </c>
      <c r="J7349" s="42">
        <v>44547</v>
      </c>
      <c r="K7349" s="33" t="s">
        <v>22</v>
      </c>
    </row>
    <row r="7350" spans="1:11">
      <c r="A7350" s="30" t="s">
        <v>17096</v>
      </c>
      <c r="B7350" s="30" t="s">
        <v>17097</v>
      </c>
      <c r="C7350" s="30" t="s">
        <v>4345</v>
      </c>
      <c r="D7350" s="30" t="s">
        <v>17</v>
      </c>
      <c r="E7350" s="30" t="s">
        <v>26</v>
      </c>
      <c r="F7350" s="30" t="s">
        <v>27</v>
      </c>
      <c r="G7350" s="30" t="s">
        <v>20</v>
      </c>
      <c r="H7350" s="32">
        <v>23</v>
      </c>
      <c r="I7350" s="30" t="s">
        <v>21</v>
      </c>
      <c r="J7350" s="41">
        <v>44216</v>
      </c>
      <c r="K7350" s="30" t="s">
        <v>22</v>
      </c>
    </row>
    <row r="7351" spans="1:11">
      <c r="A7351" s="33" t="s">
        <v>17098</v>
      </c>
      <c r="B7351" s="33" t="s">
        <v>17099</v>
      </c>
      <c r="C7351" s="33" t="s">
        <v>2022</v>
      </c>
      <c r="D7351" s="33" t="s">
        <v>17</v>
      </c>
      <c r="E7351" s="33" t="s">
        <v>18</v>
      </c>
      <c r="F7351" s="33" t="s">
        <v>19</v>
      </c>
      <c r="G7351" s="33" t="s">
        <v>20</v>
      </c>
      <c r="H7351" s="35">
        <v>43</v>
      </c>
      <c r="I7351" s="33" t="s">
        <v>21</v>
      </c>
      <c r="J7351" s="42">
        <v>44319</v>
      </c>
      <c r="K7351" s="33" t="s">
        <v>22</v>
      </c>
    </row>
    <row r="7352" spans="1:11">
      <c r="A7352" s="30" t="s">
        <v>17100</v>
      </c>
      <c r="B7352" s="30" t="s">
        <v>17101</v>
      </c>
      <c r="C7352" s="30" t="s">
        <v>1543</v>
      </c>
      <c r="D7352" s="30" t="s">
        <v>17</v>
      </c>
      <c r="E7352" s="30" t="s">
        <v>31</v>
      </c>
      <c r="F7352" s="30" t="s">
        <v>32</v>
      </c>
      <c r="G7352" s="30" t="s">
        <v>158</v>
      </c>
      <c r="H7352" s="32">
        <v>49</v>
      </c>
      <c r="I7352" s="30" t="s">
        <v>21</v>
      </c>
      <c r="J7352" s="41">
        <v>44477</v>
      </c>
      <c r="K7352" s="30" t="s">
        <v>22</v>
      </c>
    </row>
    <row r="7353" spans="1:11">
      <c r="A7353" s="33" t="s">
        <v>17102</v>
      </c>
      <c r="B7353" s="33" t="s">
        <v>17103</v>
      </c>
      <c r="C7353" s="33" t="s">
        <v>1908</v>
      </c>
      <c r="D7353" s="33" t="s">
        <v>17</v>
      </c>
      <c r="E7353" s="33" t="s">
        <v>18</v>
      </c>
      <c r="F7353" s="33" t="s">
        <v>19</v>
      </c>
      <c r="G7353" s="33" t="s">
        <v>20</v>
      </c>
      <c r="H7353" s="35">
        <v>765</v>
      </c>
      <c r="I7353" s="33" t="s">
        <v>21</v>
      </c>
      <c r="J7353" s="42">
        <v>44561</v>
      </c>
      <c r="K7353" s="33" t="s">
        <v>22</v>
      </c>
    </row>
    <row r="7354" spans="1:11">
      <c r="A7354" s="30" t="s">
        <v>17104</v>
      </c>
      <c r="B7354" s="30" t="s">
        <v>17105</v>
      </c>
      <c r="C7354" s="30" t="s">
        <v>149</v>
      </c>
      <c r="D7354" s="30" t="s">
        <v>17</v>
      </c>
      <c r="E7354" s="30" t="s">
        <v>31</v>
      </c>
      <c r="F7354" s="30" t="s">
        <v>32</v>
      </c>
      <c r="G7354" s="30" t="s">
        <v>112</v>
      </c>
      <c r="H7354" s="32">
        <v>0</v>
      </c>
      <c r="I7354" s="30" t="s">
        <v>21</v>
      </c>
      <c r="J7354" s="41">
        <v>44211</v>
      </c>
      <c r="K7354" s="30" t="s">
        <v>22</v>
      </c>
    </row>
    <row r="7355" spans="1:11">
      <c r="A7355" s="33" t="s">
        <v>17106</v>
      </c>
      <c r="B7355" s="33" t="s">
        <v>17107</v>
      </c>
      <c r="C7355" s="33" t="s">
        <v>1267</v>
      </c>
      <c r="D7355" s="33" t="s">
        <v>17</v>
      </c>
      <c r="E7355" s="33" t="s">
        <v>26</v>
      </c>
      <c r="F7355" s="33" t="s">
        <v>27</v>
      </c>
      <c r="G7355" s="33" t="s">
        <v>20</v>
      </c>
      <c r="H7355" s="35">
        <v>94</v>
      </c>
      <c r="I7355" s="33" t="s">
        <v>21</v>
      </c>
      <c r="J7355" s="42">
        <v>44274</v>
      </c>
      <c r="K7355" s="33" t="s">
        <v>22</v>
      </c>
    </row>
    <row r="7356" spans="1:11">
      <c r="A7356" s="30" t="s">
        <v>17108</v>
      </c>
      <c r="B7356" s="30" t="s">
        <v>17109</v>
      </c>
      <c r="C7356" s="30" t="s">
        <v>149</v>
      </c>
      <c r="D7356" s="30" t="s">
        <v>17</v>
      </c>
      <c r="E7356" s="30" t="s">
        <v>26</v>
      </c>
      <c r="F7356" s="30" t="s">
        <v>27</v>
      </c>
      <c r="G7356" s="30" t="s">
        <v>20</v>
      </c>
      <c r="H7356" s="32">
        <v>33</v>
      </c>
      <c r="I7356" s="30" t="s">
        <v>21</v>
      </c>
      <c r="J7356" s="41">
        <v>44372</v>
      </c>
      <c r="K7356" s="30" t="s">
        <v>22</v>
      </c>
    </row>
    <row r="7357" spans="1:11">
      <c r="A7357" s="33" t="s">
        <v>17110</v>
      </c>
      <c r="B7357" s="33" t="s">
        <v>17111</v>
      </c>
      <c r="C7357" s="33" t="s">
        <v>1295</v>
      </c>
      <c r="D7357" s="33" t="s">
        <v>17</v>
      </c>
      <c r="E7357" s="33" t="s">
        <v>26</v>
      </c>
      <c r="F7357" s="33" t="s">
        <v>27</v>
      </c>
      <c r="G7357" s="33" t="s">
        <v>106</v>
      </c>
      <c r="H7357" s="35">
        <v>38</v>
      </c>
      <c r="I7357" s="33" t="s">
        <v>21</v>
      </c>
      <c r="J7357" s="42">
        <v>44459</v>
      </c>
      <c r="K7357" s="33" t="s">
        <v>22</v>
      </c>
    </row>
    <row r="7358" spans="1:11">
      <c r="A7358" s="30" t="s">
        <v>17112</v>
      </c>
      <c r="B7358" s="30" t="s">
        <v>17113</v>
      </c>
      <c r="C7358" s="30" t="s">
        <v>362</v>
      </c>
      <c r="D7358" s="30" t="s">
        <v>17</v>
      </c>
      <c r="E7358" s="30" t="s">
        <v>26</v>
      </c>
      <c r="F7358" s="30" t="s">
        <v>27</v>
      </c>
      <c r="G7358" s="30" t="s">
        <v>20</v>
      </c>
      <c r="H7358" s="32">
        <v>50</v>
      </c>
      <c r="I7358" s="30" t="s">
        <v>21</v>
      </c>
      <c r="J7358" s="41">
        <v>44313</v>
      </c>
      <c r="K7358" s="30" t="s">
        <v>22</v>
      </c>
    </row>
    <row r="7359" spans="1:11">
      <c r="A7359" s="33" t="s">
        <v>17114</v>
      </c>
      <c r="B7359" s="33" t="s">
        <v>17115</v>
      </c>
      <c r="C7359" s="33" t="s">
        <v>5842</v>
      </c>
      <c r="D7359" s="33" t="s">
        <v>17</v>
      </c>
      <c r="E7359" s="33" t="s">
        <v>31</v>
      </c>
      <c r="F7359" s="33" t="s">
        <v>32</v>
      </c>
      <c r="G7359" s="33" t="s">
        <v>20</v>
      </c>
      <c r="H7359" s="35">
        <v>41</v>
      </c>
      <c r="I7359" s="33" t="s">
        <v>21</v>
      </c>
      <c r="J7359" s="42">
        <v>44426</v>
      </c>
      <c r="K7359" s="33" t="s">
        <v>22</v>
      </c>
    </row>
    <row r="7360" spans="1:11">
      <c r="A7360" s="30" t="s">
        <v>17116</v>
      </c>
      <c r="B7360" s="30" t="s">
        <v>17117</v>
      </c>
      <c r="C7360" s="30" t="s">
        <v>190</v>
      </c>
      <c r="D7360" s="30" t="s">
        <v>17</v>
      </c>
      <c r="E7360" s="30" t="s">
        <v>31</v>
      </c>
      <c r="F7360" s="30" t="s">
        <v>32</v>
      </c>
      <c r="G7360" s="30" t="s">
        <v>20</v>
      </c>
      <c r="H7360" s="32">
        <v>30</v>
      </c>
      <c r="I7360" s="30" t="s">
        <v>21</v>
      </c>
      <c r="J7360" s="41">
        <v>44503</v>
      </c>
      <c r="K7360" s="30" t="s">
        <v>22</v>
      </c>
    </row>
    <row r="7361" spans="1:11">
      <c r="A7361" s="33" t="s">
        <v>17118</v>
      </c>
      <c r="B7361" s="33" t="s">
        <v>17119</v>
      </c>
      <c r="C7361" s="33" t="s">
        <v>7721</v>
      </c>
      <c r="D7361" s="33" t="s">
        <v>17</v>
      </c>
      <c r="E7361" s="33" t="s">
        <v>18</v>
      </c>
      <c r="F7361" s="33" t="s">
        <v>19</v>
      </c>
      <c r="G7361" s="33" t="s">
        <v>20</v>
      </c>
      <c r="H7361" s="35">
        <v>164</v>
      </c>
      <c r="I7361" s="33" t="s">
        <v>21</v>
      </c>
      <c r="J7361" s="42">
        <v>44222</v>
      </c>
      <c r="K7361" s="33" t="s">
        <v>22</v>
      </c>
    </row>
    <row r="7362" spans="1:11">
      <c r="A7362" s="30" t="s">
        <v>17120</v>
      </c>
      <c r="B7362" s="30" t="s">
        <v>17121</v>
      </c>
      <c r="C7362" s="30" t="s">
        <v>1228</v>
      </c>
      <c r="D7362" s="30" t="s">
        <v>17</v>
      </c>
      <c r="E7362" s="30" t="s">
        <v>31</v>
      </c>
      <c r="F7362" s="30" t="s">
        <v>32</v>
      </c>
      <c r="G7362" s="30" t="s">
        <v>20</v>
      </c>
      <c r="H7362" s="32">
        <v>124</v>
      </c>
      <c r="I7362" s="30" t="s">
        <v>21</v>
      </c>
      <c r="J7362" s="41">
        <v>44529</v>
      </c>
      <c r="K7362" s="30" t="s">
        <v>22</v>
      </c>
    </row>
    <row r="7363" spans="1:11">
      <c r="A7363" s="33" t="s">
        <v>17122</v>
      </c>
      <c r="B7363" s="33" t="s">
        <v>17123</v>
      </c>
      <c r="C7363" s="33" t="s">
        <v>5554</v>
      </c>
      <c r="D7363" s="33" t="s">
        <v>17</v>
      </c>
      <c r="E7363" s="33" t="s">
        <v>212</v>
      </c>
      <c r="F7363" s="33" t="s">
        <v>213</v>
      </c>
      <c r="G7363" s="33" t="s">
        <v>20</v>
      </c>
      <c r="H7363" s="35">
        <v>61</v>
      </c>
      <c r="I7363" s="33" t="s">
        <v>21</v>
      </c>
      <c r="J7363" s="42">
        <v>44340</v>
      </c>
      <c r="K7363" s="33" t="s">
        <v>22</v>
      </c>
    </row>
    <row r="7364" spans="1:11">
      <c r="A7364" s="30" t="s">
        <v>17124</v>
      </c>
      <c r="B7364" s="30" t="s">
        <v>17125</v>
      </c>
      <c r="C7364" s="30" t="s">
        <v>17126</v>
      </c>
      <c r="D7364" s="30" t="s">
        <v>17</v>
      </c>
      <c r="E7364" s="30" t="s">
        <v>26</v>
      </c>
      <c r="F7364" s="30" t="s">
        <v>27</v>
      </c>
      <c r="G7364" s="30" t="s">
        <v>20</v>
      </c>
      <c r="H7364" s="32">
        <v>117</v>
      </c>
      <c r="I7364" s="30" t="s">
        <v>21</v>
      </c>
      <c r="J7364" s="41">
        <v>44407</v>
      </c>
      <c r="K7364" s="30" t="s">
        <v>22</v>
      </c>
    </row>
    <row r="7365" spans="1:11">
      <c r="A7365" s="33" t="s">
        <v>17127</v>
      </c>
      <c r="B7365" s="33" t="s">
        <v>17128</v>
      </c>
      <c r="C7365" s="33" t="s">
        <v>8250</v>
      </c>
      <c r="D7365" s="33" t="s">
        <v>17</v>
      </c>
      <c r="E7365" s="33" t="s">
        <v>26</v>
      </c>
      <c r="F7365" s="33" t="s">
        <v>27</v>
      </c>
      <c r="G7365" s="33" t="s">
        <v>158</v>
      </c>
      <c r="H7365" s="35">
        <v>400</v>
      </c>
      <c r="I7365" s="33" t="s">
        <v>51</v>
      </c>
      <c r="J7365" s="42">
        <v>44412</v>
      </c>
      <c r="K7365" s="33" t="s">
        <v>22</v>
      </c>
    </row>
    <row r="7366" spans="1:11">
      <c r="A7366" s="30" t="s">
        <v>17129</v>
      </c>
      <c r="B7366" s="30" t="s">
        <v>17130</v>
      </c>
      <c r="C7366" s="30" t="s">
        <v>17131</v>
      </c>
      <c r="D7366" s="30" t="s">
        <v>17</v>
      </c>
      <c r="E7366" s="30" t="s">
        <v>31</v>
      </c>
      <c r="F7366" s="30" t="s">
        <v>32</v>
      </c>
      <c r="G7366" s="30" t="s">
        <v>50</v>
      </c>
      <c r="H7366" s="32">
        <v>18</v>
      </c>
      <c r="I7366" s="30" t="s">
        <v>51</v>
      </c>
      <c r="J7366" s="41">
        <v>44287</v>
      </c>
      <c r="K7366" s="30" t="s">
        <v>22</v>
      </c>
    </row>
    <row r="7367" spans="1:11">
      <c r="A7367" s="33" t="s">
        <v>17132</v>
      </c>
      <c r="B7367" s="33" t="s">
        <v>17133</v>
      </c>
      <c r="C7367" s="33" t="s">
        <v>96</v>
      </c>
      <c r="D7367" s="33" t="s">
        <v>17</v>
      </c>
      <c r="E7367" s="33" t="s">
        <v>26</v>
      </c>
      <c r="F7367" s="33" t="s">
        <v>27</v>
      </c>
      <c r="G7367" s="33" t="s">
        <v>20</v>
      </c>
      <c r="H7367" s="35">
        <v>12</v>
      </c>
      <c r="I7367" s="33" t="s">
        <v>21</v>
      </c>
      <c r="J7367" s="42">
        <v>44377</v>
      </c>
      <c r="K7367" s="33" t="s">
        <v>22</v>
      </c>
    </row>
    <row r="7368" spans="1:11">
      <c r="A7368" s="30" t="s">
        <v>17134</v>
      </c>
      <c r="B7368" s="30" t="s">
        <v>17135</v>
      </c>
      <c r="C7368" s="30" t="s">
        <v>8115</v>
      </c>
      <c r="D7368" s="30" t="s">
        <v>17</v>
      </c>
      <c r="E7368" s="30" t="s">
        <v>26</v>
      </c>
      <c r="F7368" s="30" t="s">
        <v>27</v>
      </c>
      <c r="G7368" s="30" t="s">
        <v>20</v>
      </c>
      <c r="H7368" s="32">
        <v>12</v>
      </c>
      <c r="I7368" s="30" t="s">
        <v>21</v>
      </c>
      <c r="J7368" s="41">
        <v>44315</v>
      </c>
      <c r="K7368" s="30" t="s">
        <v>22</v>
      </c>
    </row>
    <row r="7369" spans="1:11">
      <c r="A7369" s="33" t="s">
        <v>17136</v>
      </c>
      <c r="B7369" s="33" t="s">
        <v>17137</v>
      </c>
      <c r="C7369" s="33" t="s">
        <v>11899</v>
      </c>
      <c r="D7369" s="33" t="s">
        <v>17</v>
      </c>
      <c r="E7369" s="33" t="s">
        <v>18</v>
      </c>
      <c r="F7369" s="33" t="s">
        <v>19</v>
      </c>
      <c r="G7369" s="33" t="s">
        <v>50</v>
      </c>
      <c r="H7369" s="35">
        <v>561</v>
      </c>
      <c r="I7369" s="33" t="s">
        <v>51</v>
      </c>
      <c r="J7369" s="42">
        <v>44560</v>
      </c>
      <c r="K7369" s="33" t="s">
        <v>22</v>
      </c>
    </row>
    <row r="7370" spans="1:11">
      <c r="A7370" s="30" t="s">
        <v>17138</v>
      </c>
      <c r="B7370" s="30" t="s">
        <v>17139</v>
      </c>
      <c r="C7370" s="30" t="s">
        <v>190</v>
      </c>
      <c r="D7370" s="30" t="s">
        <v>17</v>
      </c>
      <c r="E7370" s="30" t="s">
        <v>26</v>
      </c>
      <c r="F7370" s="30" t="s">
        <v>27</v>
      </c>
      <c r="G7370" s="30" t="s">
        <v>20</v>
      </c>
      <c r="H7370" s="32">
        <v>61</v>
      </c>
      <c r="I7370" s="30" t="s">
        <v>21</v>
      </c>
      <c r="J7370" s="41">
        <v>44478</v>
      </c>
      <c r="K7370" s="30" t="s">
        <v>22</v>
      </c>
    </row>
    <row r="7371" spans="1:11">
      <c r="A7371" s="33" t="s">
        <v>17140</v>
      </c>
      <c r="B7371" s="33" t="s">
        <v>17141</v>
      </c>
      <c r="C7371" s="33" t="s">
        <v>10128</v>
      </c>
      <c r="D7371" s="33" t="s">
        <v>17</v>
      </c>
      <c r="E7371" s="33" t="s">
        <v>26</v>
      </c>
      <c r="F7371" s="33" t="s">
        <v>27</v>
      </c>
      <c r="G7371" s="33" t="s">
        <v>20</v>
      </c>
      <c r="H7371" s="35">
        <v>68</v>
      </c>
      <c r="I7371" s="33" t="s">
        <v>21</v>
      </c>
      <c r="J7371" s="42">
        <v>44235</v>
      </c>
      <c r="K7371" s="33" t="s">
        <v>22</v>
      </c>
    </row>
    <row r="7372" spans="1:11">
      <c r="A7372" s="30" t="s">
        <v>17142</v>
      </c>
      <c r="B7372" s="30" t="s">
        <v>17143</v>
      </c>
      <c r="C7372" s="30" t="s">
        <v>6505</v>
      </c>
      <c r="D7372" s="30" t="s">
        <v>17</v>
      </c>
      <c r="E7372" s="30" t="s">
        <v>31</v>
      </c>
      <c r="F7372" s="30" t="s">
        <v>32</v>
      </c>
      <c r="G7372" s="30" t="s">
        <v>20</v>
      </c>
      <c r="H7372" s="32">
        <v>29</v>
      </c>
      <c r="I7372" s="30" t="s">
        <v>21</v>
      </c>
      <c r="J7372" s="41">
        <v>44315</v>
      </c>
      <c r="K7372" s="30" t="s">
        <v>22</v>
      </c>
    </row>
    <row r="7373" spans="1:11">
      <c r="A7373" s="33" t="s">
        <v>17144</v>
      </c>
      <c r="B7373" s="33" t="s">
        <v>17145</v>
      </c>
      <c r="C7373" s="33" t="s">
        <v>149</v>
      </c>
      <c r="D7373" s="33" t="s">
        <v>17</v>
      </c>
      <c r="E7373" s="33" t="s">
        <v>18</v>
      </c>
      <c r="F7373" s="33" t="s">
        <v>19</v>
      </c>
      <c r="G7373" s="33" t="s">
        <v>20</v>
      </c>
      <c r="H7373" s="35">
        <v>100</v>
      </c>
      <c r="I7373" s="33" t="s">
        <v>21</v>
      </c>
      <c r="J7373" s="42">
        <v>44284</v>
      </c>
      <c r="K7373" s="33" t="s">
        <v>22</v>
      </c>
    </row>
    <row r="7374" spans="1:11">
      <c r="A7374" s="30" t="s">
        <v>17146</v>
      </c>
      <c r="B7374" s="30" t="s">
        <v>17147</v>
      </c>
      <c r="C7374" s="30" t="s">
        <v>2012</v>
      </c>
      <c r="D7374" s="30" t="s">
        <v>17</v>
      </c>
      <c r="E7374" s="30" t="s">
        <v>31</v>
      </c>
      <c r="F7374" s="30" t="s">
        <v>32</v>
      </c>
      <c r="G7374" s="30" t="s">
        <v>20</v>
      </c>
      <c r="H7374" s="32">
        <v>30</v>
      </c>
      <c r="I7374" s="30" t="s">
        <v>21</v>
      </c>
      <c r="J7374" s="41">
        <v>44375</v>
      </c>
      <c r="K7374" s="30" t="s">
        <v>22</v>
      </c>
    </row>
    <row r="7375" spans="1:11">
      <c r="A7375" s="33" t="s">
        <v>17148</v>
      </c>
      <c r="B7375" s="33" t="s">
        <v>17149</v>
      </c>
      <c r="C7375" s="33" t="s">
        <v>2500</v>
      </c>
      <c r="D7375" s="33" t="s">
        <v>17</v>
      </c>
      <c r="E7375" s="33" t="s">
        <v>18</v>
      </c>
      <c r="F7375" s="33" t="s">
        <v>19</v>
      </c>
      <c r="G7375" s="33" t="s">
        <v>106</v>
      </c>
      <c r="H7375" s="35">
        <v>83</v>
      </c>
      <c r="I7375" s="33" t="s">
        <v>21</v>
      </c>
      <c r="J7375" s="42">
        <v>44551</v>
      </c>
      <c r="K7375" s="33" t="s">
        <v>22</v>
      </c>
    </row>
    <row r="7376" spans="1:11">
      <c r="A7376" s="30" t="s">
        <v>17150</v>
      </c>
      <c r="B7376" s="30" t="s">
        <v>17151</v>
      </c>
      <c r="C7376" s="30" t="s">
        <v>517</v>
      </c>
      <c r="D7376" s="30" t="s">
        <v>17</v>
      </c>
      <c r="E7376" s="30" t="s">
        <v>18</v>
      </c>
      <c r="F7376" s="30" t="s">
        <v>19</v>
      </c>
      <c r="G7376" s="30" t="s">
        <v>20</v>
      </c>
      <c r="H7376" s="32">
        <v>290</v>
      </c>
      <c r="I7376" s="30" t="s">
        <v>21</v>
      </c>
      <c r="J7376" s="41">
        <v>44516</v>
      </c>
      <c r="K7376" s="30" t="s">
        <v>22</v>
      </c>
    </row>
    <row r="7377" spans="1:11">
      <c r="A7377" s="33" t="s">
        <v>17152</v>
      </c>
      <c r="B7377" s="33" t="s">
        <v>17153</v>
      </c>
      <c r="C7377" s="33" t="s">
        <v>109</v>
      </c>
      <c r="D7377" s="33" t="s">
        <v>17</v>
      </c>
      <c r="E7377" s="33" t="s">
        <v>18</v>
      </c>
      <c r="F7377" s="33" t="s">
        <v>19</v>
      </c>
      <c r="G7377" s="33" t="s">
        <v>20</v>
      </c>
      <c r="H7377" s="35">
        <v>190</v>
      </c>
      <c r="I7377" s="33" t="s">
        <v>21</v>
      </c>
      <c r="J7377" s="42">
        <v>44469</v>
      </c>
      <c r="K7377" s="33" t="s">
        <v>22</v>
      </c>
    </row>
    <row r="7378" spans="1:11">
      <c r="A7378" s="30" t="s">
        <v>17154</v>
      </c>
      <c r="B7378" s="30" t="s">
        <v>17155</v>
      </c>
      <c r="C7378" s="30" t="s">
        <v>5251</v>
      </c>
      <c r="D7378" s="30" t="s">
        <v>17</v>
      </c>
      <c r="E7378" s="30" t="s">
        <v>31</v>
      </c>
      <c r="F7378" s="30" t="s">
        <v>32</v>
      </c>
      <c r="G7378" s="30" t="s">
        <v>20</v>
      </c>
      <c r="H7378" s="32">
        <v>60</v>
      </c>
      <c r="I7378" s="30" t="s">
        <v>21</v>
      </c>
      <c r="J7378" s="41">
        <v>44223</v>
      </c>
      <c r="K7378" s="30" t="s">
        <v>22</v>
      </c>
    </row>
    <row r="7379" spans="1:11">
      <c r="A7379" s="33" t="s">
        <v>17156</v>
      </c>
      <c r="B7379" s="33" t="s">
        <v>17157</v>
      </c>
      <c r="C7379" s="33" t="s">
        <v>75</v>
      </c>
      <c r="D7379" s="33" t="s">
        <v>17</v>
      </c>
      <c r="E7379" s="33" t="s">
        <v>18</v>
      </c>
      <c r="F7379" s="33" t="s">
        <v>19</v>
      </c>
      <c r="G7379" s="33" t="s">
        <v>158</v>
      </c>
      <c r="H7379" s="35">
        <v>681</v>
      </c>
      <c r="I7379" s="33" t="s">
        <v>21</v>
      </c>
      <c r="J7379" s="42">
        <v>44337</v>
      </c>
      <c r="K7379" s="33" t="s">
        <v>22</v>
      </c>
    </row>
    <row r="7380" spans="1:11">
      <c r="A7380" s="30" t="s">
        <v>17158</v>
      </c>
      <c r="B7380" s="30" t="s">
        <v>17159</v>
      </c>
      <c r="C7380" s="30" t="s">
        <v>231</v>
      </c>
      <c r="D7380" s="30" t="s">
        <v>17</v>
      </c>
      <c r="E7380" s="30" t="s">
        <v>26</v>
      </c>
      <c r="F7380" s="30" t="s">
        <v>27</v>
      </c>
      <c r="G7380" s="30" t="s">
        <v>20</v>
      </c>
      <c r="H7380" s="32">
        <v>67</v>
      </c>
      <c r="I7380" s="30" t="s">
        <v>21</v>
      </c>
      <c r="J7380" s="41">
        <v>44334</v>
      </c>
      <c r="K7380" s="30" t="s">
        <v>22</v>
      </c>
    </row>
    <row r="7381" spans="1:11">
      <c r="A7381" s="33" t="s">
        <v>17160</v>
      </c>
      <c r="B7381" s="33" t="s">
        <v>17161</v>
      </c>
      <c r="C7381" s="33" t="s">
        <v>957</v>
      </c>
      <c r="D7381" s="33" t="s">
        <v>17</v>
      </c>
      <c r="E7381" s="33" t="s">
        <v>26</v>
      </c>
      <c r="F7381" s="33" t="s">
        <v>27</v>
      </c>
      <c r="G7381" s="33" t="s">
        <v>20</v>
      </c>
      <c r="H7381" s="35">
        <v>70</v>
      </c>
      <c r="I7381" s="33" t="s">
        <v>21</v>
      </c>
      <c r="J7381" s="42">
        <v>44523</v>
      </c>
      <c r="K7381" s="33" t="s">
        <v>22</v>
      </c>
    </row>
    <row r="7382" spans="1:11">
      <c r="A7382" s="30" t="s">
        <v>17162</v>
      </c>
      <c r="B7382" s="30" t="s">
        <v>17163</v>
      </c>
      <c r="C7382" s="30" t="s">
        <v>399</v>
      </c>
      <c r="D7382" s="30" t="s">
        <v>17</v>
      </c>
      <c r="E7382" s="30" t="s">
        <v>212</v>
      </c>
      <c r="F7382" s="30" t="s">
        <v>213</v>
      </c>
      <c r="G7382" s="30" t="s">
        <v>20</v>
      </c>
      <c r="H7382" s="32">
        <v>122</v>
      </c>
      <c r="I7382" s="30" t="s">
        <v>21</v>
      </c>
      <c r="J7382" s="41">
        <v>44287</v>
      </c>
      <c r="K7382" s="30" t="s">
        <v>22</v>
      </c>
    </row>
    <row r="7383" spans="1:11">
      <c r="A7383" s="33" t="s">
        <v>17164</v>
      </c>
      <c r="B7383" s="33" t="s">
        <v>17165</v>
      </c>
      <c r="C7383" s="33" t="s">
        <v>7015</v>
      </c>
      <c r="D7383" s="33" t="s">
        <v>17</v>
      </c>
      <c r="E7383" s="33" t="s">
        <v>26</v>
      </c>
      <c r="F7383" s="33" t="s">
        <v>27</v>
      </c>
      <c r="G7383" s="33" t="s">
        <v>20</v>
      </c>
      <c r="H7383" s="35">
        <v>41</v>
      </c>
      <c r="I7383" s="33" t="s">
        <v>21</v>
      </c>
      <c r="J7383" s="42">
        <v>44396</v>
      </c>
      <c r="K7383" s="33" t="s">
        <v>22</v>
      </c>
    </row>
    <row r="7384" spans="1:11">
      <c r="A7384" s="30" t="s">
        <v>17166</v>
      </c>
      <c r="B7384" s="30" t="s">
        <v>17167</v>
      </c>
      <c r="C7384" s="30" t="s">
        <v>2289</v>
      </c>
      <c r="D7384" s="30" t="s">
        <v>17</v>
      </c>
      <c r="E7384" s="30" t="s">
        <v>31</v>
      </c>
      <c r="F7384" s="30" t="s">
        <v>32</v>
      </c>
      <c r="G7384" s="30" t="s">
        <v>20</v>
      </c>
      <c r="H7384" s="32">
        <v>17</v>
      </c>
      <c r="I7384" s="30" t="s">
        <v>21</v>
      </c>
      <c r="J7384" s="41">
        <v>44211</v>
      </c>
      <c r="K7384" s="30" t="s">
        <v>22</v>
      </c>
    </row>
    <row r="7385" spans="1:11">
      <c r="A7385" s="33" t="s">
        <v>17168</v>
      </c>
      <c r="B7385" s="33" t="s">
        <v>17169</v>
      </c>
      <c r="C7385" s="33" t="s">
        <v>15559</v>
      </c>
      <c r="D7385" s="33" t="s">
        <v>17</v>
      </c>
      <c r="E7385" s="33" t="s">
        <v>26</v>
      </c>
      <c r="F7385" s="33" t="s">
        <v>27</v>
      </c>
      <c r="G7385" s="33" t="s">
        <v>106</v>
      </c>
      <c r="H7385" s="35">
        <v>76</v>
      </c>
      <c r="I7385" s="33" t="s">
        <v>21</v>
      </c>
      <c r="J7385" s="42">
        <v>44327</v>
      </c>
      <c r="K7385" s="33" t="s">
        <v>22</v>
      </c>
    </row>
    <row r="7386" spans="1:11">
      <c r="A7386" s="30" t="s">
        <v>17170</v>
      </c>
      <c r="B7386" s="30" t="s">
        <v>17171</v>
      </c>
      <c r="C7386" s="30" t="s">
        <v>17172</v>
      </c>
      <c r="D7386" s="30" t="s">
        <v>17</v>
      </c>
      <c r="E7386" s="30" t="s">
        <v>31</v>
      </c>
      <c r="F7386" s="30" t="s">
        <v>32</v>
      </c>
      <c r="G7386" s="30" t="s">
        <v>50</v>
      </c>
      <c r="H7386" s="32">
        <v>40</v>
      </c>
      <c r="I7386" s="30" t="s">
        <v>51</v>
      </c>
      <c r="J7386" s="41">
        <v>44514</v>
      </c>
      <c r="K7386" s="30" t="s">
        <v>22</v>
      </c>
    </row>
    <row r="7387" spans="1:11">
      <c r="A7387" s="33" t="s">
        <v>17173</v>
      </c>
      <c r="B7387" s="33" t="s">
        <v>17174</v>
      </c>
      <c r="C7387" s="33" t="s">
        <v>10712</v>
      </c>
      <c r="D7387" s="33" t="s">
        <v>17</v>
      </c>
      <c r="E7387" s="33" t="s">
        <v>67</v>
      </c>
      <c r="F7387" s="33" t="s">
        <v>68</v>
      </c>
      <c r="G7387" s="33" t="s">
        <v>112</v>
      </c>
      <c r="H7387" s="35">
        <v>0</v>
      </c>
      <c r="I7387" s="33" t="s">
        <v>21</v>
      </c>
      <c r="J7387" s="42">
        <v>44470</v>
      </c>
      <c r="K7387" s="33" t="s">
        <v>22</v>
      </c>
    </row>
    <row r="7388" spans="1:11">
      <c r="A7388" s="30" t="s">
        <v>17175</v>
      </c>
      <c r="B7388" s="30" t="s">
        <v>17176</v>
      </c>
      <c r="C7388" s="30" t="s">
        <v>102</v>
      </c>
      <c r="D7388" s="30" t="s">
        <v>17</v>
      </c>
      <c r="E7388" s="30" t="s">
        <v>18</v>
      </c>
      <c r="F7388" s="30" t="s">
        <v>19</v>
      </c>
      <c r="G7388" s="30" t="s">
        <v>158</v>
      </c>
      <c r="H7388" s="32">
        <v>743</v>
      </c>
      <c r="I7388" s="30" t="s">
        <v>21</v>
      </c>
      <c r="J7388" s="41">
        <v>44427</v>
      </c>
      <c r="K7388" s="30" t="s">
        <v>22</v>
      </c>
    </row>
    <row r="7389" spans="1:11">
      <c r="A7389" s="33" t="s">
        <v>17177</v>
      </c>
      <c r="B7389" s="33" t="s">
        <v>17178</v>
      </c>
      <c r="C7389" s="33" t="s">
        <v>2822</v>
      </c>
      <c r="D7389" s="33" t="s">
        <v>17</v>
      </c>
      <c r="E7389" s="33" t="s">
        <v>31</v>
      </c>
      <c r="F7389" s="33" t="s">
        <v>32</v>
      </c>
      <c r="G7389" s="33" t="s">
        <v>20</v>
      </c>
      <c r="H7389" s="35">
        <v>95</v>
      </c>
      <c r="I7389" s="33" t="s">
        <v>21</v>
      </c>
      <c r="J7389" s="42">
        <v>44559</v>
      </c>
      <c r="K7389" s="33" t="s">
        <v>22</v>
      </c>
    </row>
    <row r="7390" spans="1:11">
      <c r="A7390" s="30" t="s">
        <v>17179</v>
      </c>
      <c r="B7390" s="30" t="s">
        <v>17180</v>
      </c>
      <c r="C7390" s="30" t="s">
        <v>102</v>
      </c>
      <c r="D7390" s="30" t="s">
        <v>17</v>
      </c>
      <c r="E7390" s="30" t="s">
        <v>26</v>
      </c>
      <c r="F7390" s="30" t="s">
        <v>27</v>
      </c>
      <c r="G7390" s="30" t="s">
        <v>20</v>
      </c>
      <c r="H7390" s="32">
        <v>75</v>
      </c>
      <c r="I7390" s="30" t="s">
        <v>21</v>
      </c>
      <c r="J7390" s="41">
        <v>44252</v>
      </c>
      <c r="K7390" s="30" t="s">
        <v>22</v>
      </c>
    </row>
    <row r="7391" spans="1:11">
      <c r="A7391" s="33" t="s">
        <v>17181</v>
      </c>
      <c r="B7391" s="33" t="s">
        <v>17182</v>
      </c>
      <c r="C7391" s="33" t="s">
        <v>17183</v>
      </c>
      <c r="D7391" s="33" t="s">
        <v>17</v>
      </c>
      <c r="E7391" s="33" t="s">
        <v>26</v>
      </c>
      <c r="F7391" s="33" t="s">
        <v>27</v>
      </c>
      <c r="G7391" s="33" t="s">
        <v>50</v>
      </c>
      <c r="H7391" s="35">
        <v>36</v>
      </c>
      <c r="I7391" s="33" t="s">
        <v>51</v>
      </c>
      <c r="J7391" s="42">
        <v>44210</v>
      </c>
      <c r="K7391" s="33" t="s">
        <v>22</v>
      </c>
    </row>
    <row r="7392" spans="1:11">
      <c r="A7392" s="30" t="s">
        <v>17184</v>
      </c>
      <c r="B7392" s="30" t="s">
        <v>17185</v>
      </c>
      <c r="C7392" s="30" t="s">
        <v>4282</v>
      </c>
      <c r="D7392" s="30" t="s">
        <v>17</v>
      </c>
      <c r="E7392" s="30" t="s">
        <v>31</v>
      </c>
      <c r="F7392" s="30" t="s">
        <v>32</v>
      </c>
      <c r="G7392" s="30" t="s">
        <v>50</v>
      </c>
      <c r="H7392" s="32">
        <v>32</v>
      </c>
      <c r="I7392" s="30" t="s">
        <v>51</v>
      </c>
      <c r="J7392" s="41">
        <v>44342</v>
      </c>
      <c r="K7392" s="30" t="s">
        <v>22</v>
      </c>
    </row>
    <row r="7393" spans="1:11">
      <c r="A7393" s="33" t="s">
        <v>17186</v>
      </c>
      <c r="B7393" s="33" t="s">
        <v>17187</v>
      </c>
      <c r="C7393" s="33" t="s">
        <v>11068</v>
      </c>
      <c r="D7393" s="33" t="s">
        <v>17</v>
      </c>
      <c r="E7393" s="33" t="s">
        <v>31</v>
      </c>
      <c r="F7393" s="33" t="s">
        <v>32</v>
      </c>
      <c r="G7393" s="33" t="s">
        <v>20</v>
      </c>
      <c r="H7393" s="35">
        <v>66</v>
      </c>
      <c r="I7393" s="33" t="s">
        <v>21</v>
      </c>
      <c r="J7393" s="42">
        <v>44484</v>
      </c>
      <c r="K7393" s="33" t="s">
        <v>22</v>
      </c>
    </row>
    <row r="7394" spans="1:11">
      <c r="A7394" s="30" t="s">
        <v>17188</v>
      </c>
      <c r="B7394" s="30" t="s">
        <v>17189</v>
      </c>
      <c r="C7394" s="30" t="s">
        <v>16196</v>
      </c>
      <c r="D7394" s="30" t="s">
        <v>17</v>
      </c>
      <c r="E7394" s="30" t="s">
        <v>26</v>
      </c>
      <c r="F7394" s="30" t="s">
        <v>27</v>
      </c>
      <c r="G7394" s="30" t="s">
        <v>140</v>
      </c>
      <c r="H7394" s="32">
        <v>248</v>
      </c>
      <c r="I7394" s="30" t="s">
        <v>51</v>
      </c>
      <c r="J7394" s="41">
        <v>44321</v>
      </c>
      <c r="K7394" s="30" t="s">
        <v>22</v>
      </c>
    </row>
    <row r="7395" spans="1:11">
      <c r="A7395" s="33" t="s">
        <v>17190</v>
      </c>
      <c r="B7395" s="33" t="s">
        <v>17191</v>
      </c>
      <c r="C7395" s="33" t="s">
        <v>231</v>
      </c>
      <c r="D7395" s="33" t="s">
        <v>17</v>
      </c>
      <c r="E7395" s="33" t="s">
        <v>31</v>
      </c>
      <c r="F7395" s="33" t="s">
        <v>32</v>
      </c>
      <c r="G7395" s="33" t="s">
        <v>20</v>
      </c>
      <c r="H7395" s="35">
        <v>243</v>
      </c>
      <c r="I7395" s="33" t="s">
        <v>21</v>
      </c>
      <c r="J7395" s="42">
        <v>44313</v>
      </c>
      <c r="K7395" s="33" t="s">
        <v>22</v>
      </c>
    </row>
    <row r="7396" spans="1:11">
      <c r="A7396" s="30" t="s">
        <v>17192</v>
      </c>
      <c r="B7396" s="30" t="s">
        <v>17193</v>
      </c>
      <c r="C7396" s="30" t="s">
        <v>105</v>
      </c>
      <c r="D7396" s="30" t="s">
        <v>17</v>
      </c>
      <c r="E7396" s="30" t="s">
        <v>31</v>
      </c>
      <c r="F7396" s="30" t="s">
        <v>32</v>
      </c>
      <c r="G7396" s="30" t="s">
        <v>20</v>
      </c>
      <c r="H7396" s="32">
        <v>13</v>
      </c>
      <c r="I7396" s="30" t="s">
        <v>21</v>
      </c>
      <c r="J7396" s="41">
        <v>44446</v>
      </c>
      <c r="K7396" s="30" t="s">
        <v>22</v>
      </c>
    </row>
    <row r="7397" spans="1:11">
      <c r="A7397" s="33" t="s">
        <v>17194</v>
      </c>
      <c r="B7397" s="33" t="s">
        <v>17195</v>
      </c>
      <c r="C7397" s="33" t="s">
        <v>276</v>
      </c>
      <c r="D7397" s="33" t="s">
        <v>17</v>
      </c>
      <c r="E7397" s="33" t="s">
        <v>26</v>
      </c>
      <c r="F7397" s="33" t="s">
        <v>27</v>
      </c>
      <c r="G7397" s="33" t="s">
        <v>106</v>
      </c>
      <c r="H7397" s="35">
        <v>46</v>
      </c>
      <c r="I7397" s="33" t="s">
        <v>21</v>
      </c>
      <c r="J7397" s="42">
        <v>44480</v>
      </c>
      <c r="K7397" s="33" t="s">
        <v>22</v>
      </c>
    </row>
    <row r="7398" spans="1:11">
      <c r="A7398" s="30" t="s">
        <v>17196</v>
      </c>
      <c r="B7398" s="30" t="s">
        <v>17197</v>
      </c>
      <c r="C7398" s="30" t="s">
        <v>538</v>
      </c>
      <c r="D7398" s="30" t="s">
        <v>17</v>
      </c>
      <c r="E7398" s="30" t="s">
        <v>31</v>
      </c>
      <c r="F7398" s="30" t="s">
        <v>32</v>
      </c>
      <c r="G7398" s="30" t="s">
        <v>20</v>
      </c>
      <c r="H7398" s="32">
        <v>105</v>
      </c>
      <c r="I7398" s="30" t="s">
        <v>21</v>
      </c>
      <c r="J7398" s="41">
        <v>44405</v>
      </c>
      <c r="K7398" s="30" t="s">
        <v>22</v>
      </c>
    </row>
    <row r="7399" spans="1:11">
      <c r="A7399" s="33" t="s">
        <v>17198</v>
      </c>
      <c r="B7399" s="33" t="s">
        <v>17199</v>
      </c>
      <c r="C7399" s="33" t="s">
        <v>684</v>
      </c>
      <c r="D7399" s="33" t="s">
        <v>17</v>
      </c>
      <c r="E7399" s="33" t="s">
        <v>31</v>
      </c>
      <c r="F7399" s="33" t="s">
        <v>32</v>
      </c>
      <c r="G7399" s="33" t="s">
        <v>106</v>
      </c>
      <c r="H7399" s="35">
        <v>167</v>
      </c>
      <c r="I7399" s="33" t="s">
        <v>21</v>
      </c>
      <c r="J7399" s="42">
        <v>44433</v>
      </c>
      <c r="K7399" s="33" t="s">
        <v>22</v>
      </c>
    </row>
    <row r="7400" spans="1:11">
      <c r="A7400" s="30" t="s">
        <v>17200</v>
      </c>
      <c r="B7400" s="30" t="s">
        <v>17201</v>
      </c>
      <c r="C7400" s="30" t="s">
        <v>7393</v>
      </c>
      <c r="D7400" s="30" t="s">
        <v>17</v>
      </c>
      <c r="E7400" s="30" t="s">
        <v>18</v>
      </c>
      <c r="F7400" s="30" t="s">
        <v>19</v>
      </c>
      <c r="G7400" s="30" t="s">
        <v>20</v>
      </c>
      <c r="H7400" s="32">
        <v>343</v>
      </c>
      <c r="I7400" s="30" t="s">
        <v>21</v>
      </c>
      <c r="J7400" s="41">
        <v>44448</v>
      </c>
      <c r="K7400" s="30" t="s">
        <v>22</v>
      </c>
    </row>
    <row r="7401" spans="1:11">
      <c r="A7401" s="33" t="s">
        <v>17202</v>
      </c>
      <c r="B7401" s="33" t="s">
        <v>17203</v>
      </c>
      <c r="C7401" s="33" t="s">
        <v>362</v>
      </c>
      <c r="D7401" s="33" t="s">
        <v>17</v>
      </c>
      <c r="E7401" s="33" t="s">
        <v>26</v>
      </c>
      <c r="F7401" s="33" t="s">
        <v>27</v>
      </c>
      <c r="G7401" s="33" t="s">
        <v>20</v>
      </c>
      <c r="H7401" s="35">
        <v>8</v>
      </c>
      <c r="I7401" s="33" t="s">
        <v>21</v>
      </c>
      <c r="J7401" s="42">
        <v>44207</v>
      </c>
      <c r="K7401" s="33" t="s">
        <v>22</v>
      </c>
    </row>
    <row r="7402" spans="1:11">
      <c r="A7402" s="30" t="s">
        <v>17204</v>
      </c>
      <c r="B7402" s="30" t="s">
        <v>17205</v>
      </c>
      <c r="C7402" s="30" t="s">
        <v>1343</v>
      </c>
      <c r="D7402" s="30" t="s">
        <v>17</v>
      </c>
      <c r="E7402" s="30" t="s">
        <v>31</v>
      </c>
      <c r="F7402" s="30" t="s">
        <v>32</v>
      </c>
      <c r="G7402" s="30" t="s">
        <v>20</v>
      </c>
      <c r="H7402" s="32">
        <v>263</v>
      </c>
      <c r="I7402" s="30" t="s">
        <v>21</v>
      </c>
      <c r="J7402" s="41">
        <v>44280</v>
      </c>
      <c r="K7402" s="30" t="s">
        <v>22</v>
      </c>
    </row>
    <row r="7403" spans="1:11">
      <c r="A7403" s="33" t="s">
        <v>17206</v>
      </c>
      <c r="B7403" s="33" t="s">
        <v>17207</v>
      </c>
      <c r="C7403" s="33" t="s">
        <v>318</v>
      </c>
      <c r="D7403" s="33" t="s">
        <v>17</v>
      </c>
      <c r="E7403" s="33" t="s">
        <v>26</v>
      </c>
      <c r="F7403" s="33" t="s">
        <v>27</v>
      </c>
      <c r="G7403" s="33" t="s">
        <v>20</v>
      </c>
      <c r="H7403" s="35">
        <v>41</v>
      </c>
      <c r="I7403" s="33" t="s">
        <v>21</v>
      </c>
      <c r="J7403" s="42">
        <v>44357</v>
      </c>
      <c r="K7403" s="33" t="s">
        <v>22</v>
      </c>
    </row>
    <row r="7404" spans="1:11">
      <c r="A7404" s="30" t="s">
        <v>17208</v>
      </c>
      <c r="B7404" s="30" t="s">
        <v>17209</v>
      </c>
      <c r="C7404" s="30" t="s">
        <v>16063</v>
      </c>
      <c r="D7404" s="30" t="s">
        <v>17</v>
      </c>
      <c r="E7404" s="30" t="s">
        <v>67</v>
      </c>
      <c r="F7404" s="30" t="s">
        <v>68</v>
      </c>
      <c r="G7404" s="30" t="s">
        <v>20</v>
      </c>
      <c r="H7404" s="32">
        <v>45</v>
      </c>
      <c r="I7404" s="30" t="s">
        <v>21</v>
      </c>
      <c r="J7404" s="41">
        <v>44537</v>
      </c>
      <c r="K7404" s="30" t="s">
        <v>22</v>
      </c>
    </row>
    <row r="7405" spans="1:11">
      <c r="A7405" s="33" t="s">
        <v>17210</v>
      </c>
      <c r="B7405" s="33" t="s">
        <v>17211</v>
      </c>
      <c r="C7405" s="33" t="s">
        <v>187</v>
      </c>
      <c r="D7405" s="33" t="s">
        <v>17</v>
      </c>
      <c r="E7405" s="33" t="s">
        <v>67</v>
      </c>
      <c r="F7405" s="33" t="s">
        <v>68</v>
      </c>
      <c r="G7405" s="33" t="s">
        <v>106</v>
      </c>
      <c r="H7405" s="35">
        <v>23</v>
      </c>
      <c r="I7405" s="33" t="s">
        <v>21</v>
      </c>
      <c r="J7405" s="42">
        <v>44352</v>
      </c>
      <c r="K7405" s="33" t="s">
        <v>22</v>
      </c>
    </row>
    <row r="7406" spans="1:11">
      <c r="A7406" s="30" t="s">
        <v>17212</v>
      </c>
      <c r="B7406" s="30" t="s">
        <v>17213</v>
      </c>
      <c r="C7406" s="30" t="s">
        <v>1598</v>
      </c>
      <c r="D7406" s="30" t="s">
        <v>17</v>
      </c>
      <c r="E7406" s="30" t="s">
        <v>31</v>
      </c>
      <c r="F7406" s="30" t="s">
        <v>32</v>
      </c>
      <c r="G7406" s="30" t="s">
        <v>20</v>
      </c>
      <c r="H7406" s="32">
        <v>250</v>
      </c>
      <c r="I7406" s="30" t="s">
        <v>21</v>
      </c>
      <c r="J7406" s="41">
        <v>44462</v>
      </c>
      <c r="K7406" s="30" t="s">
        <v>22</v>
      </c>
    </row>
    <row r="7407" spans="1:11">
      <c r="A7407" s="33" t="s">
        <v>17214</v>
      </c>
      <c r="B7407" s="33" t="s">
        <v>17215</v>
      </c>
      <c r="C7407" s="33" t="s">
        <v>684</v>
      </c>
      <c r="D7407" s="33" t="s">
        <v>17</v>
      </c>
      <c r="E7407" s="33" t="s">
        <v>26</v>
      </c>
      <c r="F7407" s="33" t="s">
        <v>27</v>
      </c>
      <c r="G7407" s="33" t="s">
        <v>106</v>
      </c>
      <c r="H7407" s="35">
        <v>2</v>
      </c>
      <c r="I7407" s="33" t="s">
        <v>21</v>
      </c>
      <c r="J7407" s="42">
        <v>44231</v>
      </c>
      <c r="K7407" s="33" t="s">
        <v>22</v>
      </c>
    </row>
    <row r="7408" spans="1:11">
      <c r="A7408" s="30" t="s">
        <v>17216</v>
      </c>
      <c r="B7408" s="30" t="s">
        <v>17217</v>
      </c>
      <c r="C7408" s="30" t="s">
        <v>7459</v>
      </c>
      <c r="D7408" s="30" t="s">
        <v>17</v>
      </c>
      <c r="E7408" s="30" t="s">
        <v>26</v>
      </c>
      <c r="F7408" s="30" t="s">
        <v>27</v>
      </c>
      <c r="G7408" s="30" t="s">
        <v>20</v>
      </c>
      <c r="H7408" s="32">
        <v>50</v>
      </c>
      <c r="I7408" s="30" t="s">
        <v>21</v>
      </c>
      <c r="J7408" s="41">
        <v>44413</v>
      </c>
      <c r="K7408" s="30" t="s">
        <v>22</v>
      </c>
    </row>
    <row r="7409" spans="1:11">
      <c r="A7409" s="33" t="s">
        <v>17218</v>
      </c>
      <c r="B7409" s="33" t="s">
        <v>17219</v>
      </c>
      <c r="C7409" s="33" t="s">
        <v>17220</v>
      </c>
      <c r="D7409" s="33" t="s">
        <v>17</v>
      </c>
      <c r="E7409" s="33" t="s">
        <v>26</v>
      </c>
      <c r="F7409" s="33" t="s">
        <v>27</v>
      </c>
      <c r="G7409" s="33" t="s">
        <v>20</v>
      </c>
      <c r="H7409" s="35">
        <v>76</v>
      </c>
      <c r="I7409" s="33" t="s">
        <v>21</v>
      </c>
      <c r="J7409" s="42">
        <v>44466</v>
      </c>
      <c r="K7409" s="33" t="s">
        <v>22</v>
      </c>
    </row>
    <row r="7410" spans="1:11">
      <c r="A7410" s="30" t="s">
        <v>17221</v>
      </c>
      <c r="B7410" s="30" t="s">
        <v>17222</v>
      </c>
      <c r="C7410" s="30" t="s">
        <v>4018</v>
      </c>
      <c r="D7410" s="30" t="s">
        <v>17</v>
      </c>
      <c r="E7410" s="30" t="s">
        <v>31</v>
      </c>
      <c r="F7410" s="30" t="s">
        <v>32</v>
      </c>
      <c r="G7410" s="30" t="s">
        <v>50</v>
      </c>
      <c r="H7410" s="32">
        <v>66</v>
      </c>
      <c r="I7410" s="30" t="s">
        <v>51</v>
      </c>
      <c r="J7410" s="41">
        <v>44406</v>
      </c>
      <c r="K7410" s="30" t="s">
        <v>22</v>
      </c>
    </row>
    <row r="7411" spans="1:11">
      <c r="A7411" s="33" t="s">
        <v>17223</v>
      </c>
      <c r="B7411" s="33" t="s">
        <v>17224</v>
      </c>
      <c r="C7411" s="33" t="s">
        <v>124</v>
      </c>
      <c r="D7411" s="33" t="s">
        <v>17</v>
      </c>
      <c r="E7411" s="33" t="s">
        <v>31</v>
      </c>
      <c r="F7411" s="33" t="s">
        <v>32</v>
      </c>
      <c r="G7411" s="33" t="s">
        <v>20</v>
      </c>
      <c r="H7411" s="35">
        <v>99</v>
      </c>
      <c r="I7411" s="33" t="s">
        <v>21</v>
      </c>
      <c r="J7411" s="42">
        <v>44284</v>
      </c>
      <c r="K7411" s="33" t="s">
        <v>22</v>
      </c>
    </row>
    <row r="7412" spans="1:11">
      <c r="A7412" s="30" t="s">
        <v>17225</v>
      </c>
      <c r="B7412" s="30" t="s">
        <v>17226</v>
      </c>
      <c r="C7412" s="30" t="s">
        <v>2618</v>
      </c>
      <c r="D7412" s="30" t="s">
        <v>17</v>
      </c>
      <c r="E7412" s="30" t="s">
        <v>18</v>
      </c>
      <c r="F7412" s="30" t="s">
        <v>19</v>
      </c>
      <c r="G7412" s="30" t="s">
        <v>20</v>
      </c>
      <c r="H7412" s="32">
        <v>22</v>
      </c>
      <c r="I7412" s="30" t="s">
        <v>21</v>
      </c>
      <c r="J7412" s="41">
        <v>44531</v>
      </c>
      <c r="K7412" s="30" t="s">
        <v>22</v>
      </c>
    </row>
    <row r="7413" spans="1:11">
      <c r="A7413" s="33" t="s">
        <v>17227</v>
      </c>
      <c r="B7413" s="33" t="s">
        <v>17228</v>
      </c>
      <c r="C7413" s="33" t="s">
        <v>10425</v>
      </c>
      <c r="D7413" s="33" t="s">
        <v>17</v>
      </c>
      <c r="E7413" s="33" t="s">
        <v>26</v>
      </c>
      <c r="F7413" s="33" t="s">
        <v>27</v>
      </c>
      <c r="G7413" s="33" t="s">
        <v>106</v>
      </c>
      <c r="H7413" s="35">
        <v>12</v>
      </c>
      <c r="I7413" s="33" t="s">
        <v>21</v>
      </c>
      <c r="J7413" s="42">
        <v>44250</v>
      </c>
      <c r="K7413" s="33" t="s">
        <v>22</v>
      </c>
    </row>
    <row r="7414" spans="1:11">
      <c r="A7414" s="30" t="s">
        <v>17229</v>
      </c>
      <c r="B7414" s="30" t="s">
        <v>17230</v>
      </c>
      <c r="C7414" s="30" t="s">
        <v>5251</v>
      </c>
      <c r="D7414" s="30" t="s">
        <v>17</v>
      </c>
      <c r="E7414" s="30" t="s">
        <v>31</v>
      </c>
      <c r="F7414" s="30" t="s">
        <v>32</v>
      </c>
      <c r="G7414" s="30" t="s">
        <v>50</v>
      </c>
      <c r="H7414" s="32">
        <v>70</v>
      </c>
      <c r="I7414" s="30" t="s">
        <v>51</v>
      </c>
      <c r="J7414" s="41">
        <v>44560</v>
      </c>
      <c r="K7414" s="30" t="s">
        <v>22</v>
      </c>
    </row>
    <row r="7415" spans="1:11">
      <c r="A7415" s="33" t="s">
        <v>17231</v>
      </c>
      <c r="B7415" s="33" t="s">
        <v>17232</v>
      </c>
      <c r="C7415" s="33" t="s">
        <v>178</v>
      </c>
      <c r="D7415" s="33" t="s">
        <v>17</v>
      </c>
      <c r="E7415" s="33" t="s">
        <v>31</v>
      </c>
      <c r="F7415" s="33" t="s">
        <v>32</v>
      </c>
      <c r="G7415" s="33" t="s">
        <v>158</v>
      </c>
      <c r="H7415" s="35">
        <v>176</v>
      </c>
      <c r="I7415" s="33" t="s">
        <v>21</v>
      </c>
      <c r="J7415" s="42">
        <v>44476</v>
      </c>
      <c r="K7415" s="33" t="s">
        <v>22</v>
      </c>
    </row>
    <row r="7416" spans="1:11">
      <c r="A7416" s="30" t="s">
        <v>17233</v>
      </c>
      <c r="B7416" s="30" t="s">
        <v>17234</v>
      </c>
      <c r="C7416" s="30" t="s">
        <v>149</v>
      </c>
      <c r="D7416" s="30" t="s">
        <v>17</v>
      </c>
      <c r="E7416" s="30" t="s">
        <v>26</v>
      </c>
      <c r="F7416" s="30" t="s">
        <v>27</v>
      </c>
      <c r="G7416" s="30" t="s">
        <v>20</v>
      </c>
      <c r="H7416" s="32">
        <v>16</v>
      </c>
      <c r="I7416" s="30" t="s">
        <v>21</v>
      </c>
      <c r="J7416" s="41">
        <v>44449</v>
      </c>
      <c r="K7416" s="30" t="s">
        <v>22</v>
      </c>
    </row>
    <row r="7417" spans="1:11">
      <c r="A7417" s="33" t="s">
        <v>17235</v>
      </c>
      <c r="B7417" s="33" t="s">
        <v>17236</v>
      </c>
      <c r="C7417" s="33" t="s">
        <v>190</v>
      </c>
      <c r="D7417" s="33" t="s">
        <v>17</v>
      </c>
      <c r="E7417" s="33" t="s">
        <v>212</v>
      </c>
      <c r="F7417" s="33" t="s">
        <v>213</v>
      </c>
      <c r="G7417" s="33" t="s">
        <v>20</v>
      </c>
      <c r="H7417" s="35">
        <v>366</v>
      </c>
      <c r="I7417" s="33" t="s">
        <v>21</v>
      </c>
      <c r="J7417" s="42">
        <v>44263</v>
      </c>
      <c r="K7417" s="33" t="s">
        <v>22</v>
      </c>
    </row>
    <row r="7418" spans="1:11">
      <c r="A7418" s="30" t="s">
        <v>17237</v>
      </c>
      <c r="B7418" s="30" t="s">
        <v>17238</v>
      </c>
      <c r="C7418" s="30" t="s">
        <v>17239</v>
      </c>
      <c r="D7418" s="30" t="s">
        <v>17</v>
      </c>
      <c r="E7418" s="30" t="s">
        <v>31</v>
      </c>
      <c r="F7418" s="30" t="s">
        <v>32</v>
      </c>
      <c r="G7418" s="30" t="s">
        <v>158</v>
      </c>
      <c r="H7418" s="32">
        <v>252</v>
      </c>
      <c r="I7418" s="30" t="s">
        <v>21</v>
      </c>
      <c r="J7418" s="41">
        <v>44334</v>
      </c>
      <c r="K7418" s="30" t="s">
        <v>22</v>
      </c>
    </row>
    <row r="7419" spans="1:11">
      <c r="A7419" s="33" t="s">
        <v>17240</v>
      </c>
      <c r="B7419" s="33" t="s">
        <v>17241</v>
      </c>
      <c r="C7419" s="33" t="s">
        <v>14909</v>
      </c>
      <c r="D7419" s="33" t="s">
        <v>17</v>
      </c>
      <c r="E7419" s="33" t="s">
        <v>31</v>
      </c>
      <c r="F7419" s="33" t="s">
        <v>32</v>
      </c>
      <c r="G7419" s="33" t="s">
        <v>106</v>
      </c>
      <c r="H7419" s="35">
        <v>21</v>
      </c>
      <c r="I7419" s="33" t="s">
        <v>21</v>
      </c>
      <c r="J7419" s="42">
        <v>44504</v>
      </c>
      <c r="K7419" s="33" t="s">
        <v>22</v>
      </c>
    </row>
    <row r="7420" spans="1:11">
      <c r="A7420" s="30" t="s">
        <v>17242</v>
      </c>
      <c r="B7420" s="30" t="s">
        <v>17243</v>
      </c>
      <c r="C7420" s="30" t="s">
        <v>801</v>
      </c>
      <c r="D7420" s="30" t="s">
        <v>17</v>
      </c>
      <c r="E7420" s="30" t="s">
        <v>31</v>
      </c>
      <c r="F7420" s="30" t="s">
        <v>32</v>
      </c>
      <c r="G7420" s="30" t="s">
        <v>112</v>
      </c>
      <c r="H7420" s="32">
        <v>0</v>
      </c>
      <c r="I7420" s="30" t="s">
        <v>21</v>
      </c>
      <c r="J7420" s="41">
        <v>44377</v>
      </c>
      <c r="K7420" s="30" t="s">
        <v>22</v>
      </c>
    </row>
    <row r="7421" spans="1:11">
      <c r="A7421" s="33" t="s">
        <v>17244</v>
      </c>
      <c r="B7421" s="33" t="s">
        <v>17245</v>
      </c>
      <c r="C7421" s="33" t="s">
        <v>149</v>
      </c>
      <c r="D7421" s="33" t="s">
        <v>17</v>
      </c>
      <c r="E7421" s="33" t="s">
        <v>26</v>
      </c>
      <c r="F7421" s="33" t="s">
        <v>27</v>
      </c>
      <c r="G7421" s="33" t="s">
        <v>20</v>
      </c>
      <c r="H7421" s="35">
        <v>12</v>
      </c>
      <c r="I7421" s="33" t="s">
        <v>21</v>
      </c>
      <c r="J7421" s="42">
        <v>44463</v>
      </c>
      <c r="K7421" s="33" t="s">
        <v>22</v>
      </c>
    </row>
    <row r="7422" spans="1:11">
      <c r="A7422" s="30" t="s">
        <v>17246</v>
      </c>
      <c r="B7422" s="30" t="s">
        <v>17247</v>
      </c>
      <c r="C7422" s="30" t="s">
        <v>936</v>
      </c>
      <c r="D7422" s="30" t="s">
        <v>17</v>
      </c>
      <c r="E7422" s="30" t="s">
        <v>45</v>
      </c>
      <c r="F7422" s="30" t="s">
        <v>46</v>
      </c>
      <c r="G7422" s="30" t="s">
        <v>112</v>
      </c>
      <c r="H7422" s="32">
        <v>0</v>
      </c>
      <c r="I7422" s="30" t="s">
        <v>21</v>
      </c>
      <c r="J7422" s="41">
        <v>44228</v>
      </c>
      <c r="K7422" s="30" t="s">
        <v>22</v>
      </c>
    </row>
    <row r="7423" spans="1:11">
      <c r="A7423" s="33" t="s">
        <v>17248</v>
      </c>
      <c r="B7423" s="33" t="s">
        <v>17249</v>
      </c>
      <c r="C7423" s="33" t="s">
        <v>78</v>
      </c>
      <c r="D7423" s="33" t="s">
        <v>17</v>
      </c>
      <c r="E7423" s="33" t="s">
        <v>26</v>
      </c>
      <c r="F7423" s="33" t="s">
        <v>27</v>
      </c>
      <c r="G7423" s="33" t="s">
        <v>20</v>
      </c>
      <c r="H7423" s="35">
        <v>71</v>
      </c>
      <c r="I7423" s="33" t="s">
        <v>21</v>
      </c>
      <c r="J7423" s="42">
        <v>44503</v>
      </c>
      <c r="K7423" s="33" t="s">
        <v>22</v>
      </c>
    </row>
    <row r="7424" spans="1:11">
      <c r="A7424" s="30" t="s">
        <v>17250</v>
      </c>
      <c r="B7424" s="30" t="s">
        <v>17251</v>
      </c>
      <c r="C7424" s="30" t="s">
        <v>647</v>
      </c>
      <c r="D7424" s="30" t="s">
        <v>17</v>
      </c>
      <c r="E7424" s="30" t="s">
        <v>31</v>
      </c>
      <c r="F7424" s="30" t="s">
        <v>32</v>
      </c>
      <c r="G7424" s="30" t="s">
        <v>20</v>
      </c>
      <c r="H7424" s="32">
        <v>192</v>
      </c>
      <c r="I7424" s="30" t="s">
        <v>21</v>
      </c>
      <c r="J7424" s="41">
        <v>44467</v>
      </c>
      <c r="K7424" s="30" t="s">
        <v>22</v>
      </c>
    </row>
    <row r="7425" spans="1:11">
      <c r="A7425" s="33" t="s">
        <v>17252</v>
      </c>
      <c r="B7425" s="33" t="s">
        <v>17253</v>
      </c>
      <c r="C7425" s="33" t="s">
        <v>17254</v>
      </c>
      <c r="D7425" s="33" t="s">
        <v>17</v>
      </c>
      <c r="E7425" s="33" t="s">
        <v>45</v>
      </c>
      <c r="F7425" s="33" t="s">
        <v>46</v>
      </c>
      <c r="G7425" s="33" t="s">
        <v>140</v>
      </c>
      <c r="H7425" s="35">
        <v>288</v>
      </c>
      <c r="I7425" s="33" t="s">
        <v>51</v>
      </c>
      <c r="J7425" s="42">
        <v>44470</v>
      </c>
      <c r="K7425" s="33" t="s">
        <v>22</v>
      </c>
    </row>
    <row r="7426" spans="1:11">
      <c r="A7426" s="30" t="s">
        <v>17255</v>
      </c>
      <c r="B7426" s="30" t="s">
        <v>17256</v>
      </c>
      <c r="C7426" s="30" t="s">
        <v>102</v>
      </c>
      <c r="D7426" s="30" t="s">
        <v>17</v>
      </c>
      <c r="E7426" s="30" t="s">
        <v>26</v>
      </c>
      <c r="F7426" s="30" t="s">
        <v>27</v>
      </c>
      <c r="G7426" s="30" t="s">
        <v>20</v>
      </c>
      <c r="H7426" s="32">
        <v>48</v>
      </c>
      <c r="I7426" s="30" t="s">
        <v>21</v>
      </c>
      <c r="J7426" s="41">
        <v>44439</v>
      </c>
      <c r="K7426" s="30" t="s">
        <v>22</v>
      </c>
    </row>
    <row r="7427" spans="1:11">
      <c r="A7427" s="33" t="s">
        <v>17257</v>
      </c>
      <c r="B7427" s="33" t="s">
        <v>17258</v>
      </c>
      <c r="C7427" s="33" t="s">
        <v>96</v>
      </c>
      <c r="D7427" s="33" t="s">
        <v>17</v>
      </c>
      <c r="E7427" s="33" t="s">
        <v>45</v>
      </c>
      <c r="F7427" s="33" t="s">
        <v>46</v>
      </c>
      <c r="G7427" s="33" t="s">
        <v>20</v>
      </c>
      <c r="H7427" s="35">
        <v>2091</v>
      </c>
      <c r="I7427" s="33" t="s">
        <v>21</v>
      </c>
      <c r="J7427" s="42">
        <v>44393</v>
      </c>
      <c r="K7427" s="33" t="s">
        <v>22</v>
      </c>
    </row>
    <row r="7428" spans="1:11">
      <c r="A7428" s="30" t="s">
        <v>17259</v>
      </c>
      <c r="B7428" s="30" t="s">
        <v>17260</v>
      </c>
      <c r="C7428" s="30" t="s">
        <v>1039</v>
      </c>
      <c r="D7428" s="30" t="s">
        <v>17</v>
      </c>
      <c r="E7428" s="30" t="s">
        <v>31</v>
      </c>
      <c r="F7428" s="30" t="s">
        <v>32</v>
      </c>
      <c r="G7428" s="30" t="s">
        <v>158</v>
      </c>
      <c r="H7428" s="32">
        <v>60</v>
      </c>
      <c r="I7428" s="30" t="s">
        <v>51</v>
      </c>
      <c r="J7428" s="41">
        <v>44438</v>
      </c>
      <c r="K7428" s="30" t="s">
        <v>22</v>
      </c>
    </row>
    <row r="7429" spans="1:11">
      <c r="A7429" s="33" t="s">
        <v>17261</v>
      </c>
      <c r="B7429" s="33" t="s">
        <v>17262</v>
      </c>
      <c r="C7429" s="33" t="s">
        <v>3892</v>
      </c>
      <c r="D7429" s="33" t="s">
        <v>17</v>
      </c>
      <c r="E7429" s="33" t="s">
        <v>18</v>
      </c>
      <c r="F7429" s="33" t="s">
        <v>19</v>
      </c>
      <c r="G7429" s="33" t="s">
        <v>20</v>
      </c>
      <c r="H7429" s="35">
        <v>473</v>
      </c>
      <c r="I7429" s="33" t="s">
        <v>21</v>
      </c>
      <c r="J7429" s="42">
        <v>44341</v>
      </c>
      <c r="K7429" s="33" t="s">
        <v>22</v>
      </c>
    </row>
    <row r="7430" spans="1:11">
      <c r="A7430" s="30" t="s">
        <v>17263</v>
      </c>
      <c r="B7430" s="30" t="s">
        <v>17264</v>
      </c>
      <c r="C7430" s="30" t="s">
        <v>102</v>
      </c>
      <c r="D7430" s="30" t="s">
        <v>17</v>
      </c>
      <c r="E7430" s="30" t="s">
        <v>31</v>
      </c>
      <c r="F7430" s="30" t="s">
        <v>32</v>
      </c>
      <c r="G7430" s="30" t="s">
        <v>106</v>
      </c>
      <c r="H7430" s="32">
        <v>199</v>
      </c>
      <c r="I7430" s="30" t="s">
        <v>21</v>
      </c>
      <c r="J7430" s="41">
        <v>44319</v>
      </c>
      <c r="K7430" s="30" t="s">
        <v>22</v>
      </c>
    </row>
    <row r="7431" spans="1:11">
      <c r="A7431" s="33" t="s">
        <v>17265</v>
      </c>
      <c r="B7431" s="33" t="s">
        <v>17266</v>
      </c>
      <c r="C7431" s="33" t="s">
        <v>936</v>
      </c>
      <c r="D7431" s="33" t="s">
        <v>17</v>
      </c>
      <c r="E7431" s="33" t="s">
        <v>212</v>
      </c>
      <c r="F7431" s="33" t="s">
        <v>213</v>
      </c>
      <c r="G7431" s="33" t="s">
        <v>158</v>
      </c>
      <c r="H7431" s="35">
        <v>154</v>
      </c>
      <c r="I7431" s="33" t="s">
        <v>21</v>
      </c>
      <c r="J7431" s="42">
        <v>44384</v>
      </c>
      <c r="K7431" s="33" t="s">
        <v>22</v>
      </c>
    </row>
    <row r="7432" spans="1:11">
      <c r="A7432" s="30" t="s">
        <v>17267</v>
      </c>
      <c r="B7432" s="30" t="s">
        <v>17268</v>
      </c>
      <c r="C7432" s="30" t="s">
        <v>93</v>
      </c>
      <c r="D7432" s="30" t="s">
        <v>17</v>
      </c>
      <c r="E7432" s="30" t="s">
        <v>26</v>
      </c>
      <c r="F7432" s="30" t="s">
        <v>27</v>
      </c>
      <c r="G7432" s="30" t="s">
        <v>106</v>
      </c>
      <c r="H7432" s="32">
        <v>31</v>
      </c>
      <c r="I7432" s="30" t="s">
        <v>21</v>
      </c>
      <c r="J7432" s="41">
        <v>44461</v>
      </c>
      <c r="K7432" s="30" t="s">
        <v>22</v>
      </c>
    </row>
    <row r="7433" spans="1:11">
      <c r="A7433" s="33" t="s">
        <v>17269</v>
      </c>
      <c r="B7433" s="33" t="s">
        <v>17270</v>
      </c>
      <c r="C7433" s="33" t="s">
        <v>17271</v>
      </c>
      <c r="D7433" s="33" t="s">
        <v>17</v>
      </c>
      <c r="E7433" s="33" t="s">
        <v>26</v>
      </c>
      <c r="F7433" s="33" t="s">
        <v>27</v>
      </c>
      <c r="G7433" s="33" t="s">
        <v>20</v>
      </c>
      <c r="H7433" s="35">
        <v>24</v>
      </c>
      <c r="I7433" s="33" t="s">
        <v>21</v>
      </c>
      <c r="J7433" s="42">
        <v>44229</v>
      </c>
      <c r="K7433" s="33" t="s">
        <v>22</v>
      </c>
    </row>
    <row r="7434" spans="1:11">
      <c r="A7434" s="30" t="s">
        <v>17272</v>
      </c>
      <c r="B7434" s="30" t="s">
        <v>17273</v>
      </c>
      <c r="C7434" s="30" t="s">
        <v>3299</v>
      </c>
      <c r="D7434" s="30" t="s">
        <v>17</v>
      </c>
      <c r="E7434" s="30" t="s">
        <v>67</v>
      </c>
      <c r="F7434" s="30" t="s">
        <v>68</v>
      </c>
      <c r="G7434" s="30" t="s">
        <v>50</v>
      </c>
      <c r="H7434" s="32">
        <v>1848</v>
      </c>
      <c r="I7434" s="30" t="s">
        <v>51</v>
      </c>
      <c r="J7434" s="41">
        <v>44483</v>
      </c>
      <c r="K7434" s="30" t="s">
        <v>22</v>
      </c>
    </row>
    <row r="7435" spans="1:11">
      <c r="A7435" s="33" t="s">
        <v>17274</v>
      </c>
      <c r="B7435" s="33" t="s">
        <v>17275</v>
      </c>
      <c r="C7435" s="33" t="s">
        <v>969</v>
      </c>
      <c r="D7435" s="33" t="s">
        <v>17</v>
      </c>
      <c r="E7435" s="33" t="s">
        <v>26</v>
      </c>
      <c r="F7435" s="33" t="s">
        <v>27</v>
      </c>
      <c r="G7435" s="33" t="s">
        <v>20</v>
      </c>
      <c r="H7435" s="35">
        <v>52</v>
      </c>
      <c r="I7435" s="33" t="s">
        <v>21</v>
      </c>
      <c r="J7435" s="42">
        <v>44523</v>
      </c>
      <c r="K7435" s="33" t="s">
        <v>22</v>
      </c>
    </row>
    <row r="7436" spans="1:11">
      <c r="A7436" s="30" t="s">
        <v>17276</v>
      </c>
      <c r="B7436" s="30" t="s">
        <v>17277</v>
      </c>
      <c r="C7436" s="30" t="s">
        <v>25</v>
      </c>
      <c r="D7436" s="30" t="s">
        <v>17</v>
      </c>
      <c r="E7436" s="30" t="s">
        <v>26</v>
      </c>
      <c r="F7436" s="30" t="s">
        <v>27</v>
      </c>
      <c r="G7436" s="30" t="s">
        <v>140</v>
      </c>
      <c r="H7436" s="32">
        <v>30</v>
      </c>
      <c r="I7436" s="30" t="s">
        <v>51</v>
      </c>
      <c r="J7436" s="41">
        <v>44490</v>
      </c>
      <c r="K7436" s="30" t="s">
        <v>22</v>
      </c>
    </row>
    <row r="7437" spans="1:11">
      <c r="A7437" s="33" t="s">
        <v>17278</v>
      </c>
      <c r="B7437" s="33" t="s">
        <v>17279</v>
      </c>
      <c r="C7437" s="33" t="s">
        <v>2022</v>
      </c>
      <c r="D7437" s="33" t="s">
        <v>17</v>
      </c>
      <c r="E7437" s="33" t="s">
        <v>212</v>
      </c>
      <c r="F7437" s="33" t="s">
        <v>213</v>
      </c>
      <c r="G7437" s="33" t="s">
        <v>106</v>
      </c>
      <c r="H7437" s="35">
        <v>9</v>
      </c>
      <c r="I7437" s="33" t="s">
        <v>21</v>
      </c>
      <c r="J7437" s="42">
        <v>44384</v>
      </c>
      <c r="K7437" s="33" t="s">
        <v>22</v>
      </c>
    </row>
    <row r="7438" spans="1:11">
      <c r="A7438" s="30" t="s">
        <v>17280</v>
      </c>
      <c r="B7438" s="30" t="s">
        <v>17281</v>
      </c>
      <c r="C7438" s="30" t="s">
        <v>17282</v>
      </c>
      <c r="D7438" s="30" t="s">
        <v>17</v>
      </c>
      <c r="E7438" s="30" t="s">
        <v>18</v>
      </c>
      <c r="F7438" s="30" t="s">
        <v>19</v>
      </c>
      <c r="G7438" s="30" t="s">
        <v>20</v>
      </c>
      <c r="H7438" s="32">
        <v>183</v>
      </c>
      <c r="I7438" s="30" t="s">
        <v>21</v>
      </c>
      <c r="J7438" s="41">
        <v>44256</v>
      </c>
      <c r="K7438" s="30" t="s">
        <v>22</v>
      </c>
    </row>
    <row r="7439" spans="1:11">
      <c r="A7439" s="33" t="s">
        <v>17283</v>
      </c>
      <c r="B7439" s="33" t="s">
        <v>17284</v>
      </c>
      <c r="C7439" s="33" t="s">
        <v>17285</v>
      </c>
      <c r="D7439" s="33" t="s">
        <v>17</v>
      </c>
      <c r="E7439" s="33" t="s">
        <v>67</v>
      </c>
      <c r="F7439" s="33" t="s">
        <v>68</v>
      </c>
      <c r="G7439" s="33" t="s">
        <v>20</v>
      </c>
      <c r="H7439" s="35">
        <v>148</v>
      </c>
      <c r="I7439" s="33" t="s">
        <v>21</v>
      </c>
      <c r="J7439" s="42">
        <v>44489</v>
      </c>
      <c r="K7439" s="33" t="s">
        <v>22</v>
      </c>
    </row>
    <row r="7440" spans="1:11">
      <c r="A7440" s="30" t="s">
        <v>17286</v>
      </c>
      <c r="B7440" s="30" t="s">
        <v>17287</v>
      </c>
      <c r="C7440" s="30" t="s">
        <v>3462</v>
      </c>
      <c r="D7440" s="30" t="s">
        <v>17</v>
      </c>
      <c r="E7440" s="30" t="s">
        <v>31</v>
      </c>
      <c r="F7440" s="30" t="s">
        <v>32</v>
      </c>
      <c r="G7440" s="30" t="s">
        <v>140</v>
      </c>
      <c r="H7440" s="32">
        <v>70</v>
      </c>
      <c r="I7440" s="30" t="s">
        <v>51</v>
      </c>
      <c r="J7440" s="41">
        <v>44487</v>
      </c>
      <c r="K7440" s="30" t="s">
        <v>22</v>
      </c>
    </row>
    <row r="7441" spans="1:11">
      <c r="A7441" s="33" t="s">
        <v>17288</v>
      </c>
      <c r="B7441" s="33" t="s">
        <v>17289</v>
      </c>
      <c r="C7441" s="33" t="s">
        <v>1191</v>
      </c>
      <c r="D7441" s="33" t="s">
        <v>17</v>
      </c>
      <c r="E7441" s="33" t="s">
        <v>18</v>
      </c>
      <c r="F7441" s="33" t="s">
        <v>19</v>
      </c>
      <c r="G7441" s="33" t="s">
        <v>20</v>
      </c>
      <c r="H7441" s="35">
        <v>1800</v>
      </c>
      <c r="I7441" s="33" t="s">
        <v>21</v>
      </c>
      <c r="J7441" s="42">
        <v>44379</v>
      </c>
      <c r="K7441" s="33" t="s">
        <v>22</v>
      </c>
    </row>
    <row r="7442" spans="1:11">
      <c r="A7442" s="30" t="s">
        <v>17290</v>
      </c>
      <c r="B7442" s="30" t="s">
        <v>17291</v>
      </c>
      <c r="C7442" s="30" t="s">
        <v>2934</v>
      </c>
      <c r="D7442" s="30" t="s">
        <v>17</v>
      </c>
      <c r="E7442" s="30" t="s">
        <v>26</v>
      </c>
      <c r="F7442" s="30" t="s">
        <v>27</v>
      </c>
      <c r="G7442" s="30" t="s">
        <v>50</v>
      </c>
      <c r="H7442" s="32">
        <v>6</v>
      </c>
      <c r="I7442" s="30" t="s">
        <v>51</v>
      </c>
      <c r="J7442" s="41">
        <v>44337</v>
      </c>
      <c r="K7442" s="30" t="s">
        <v>22</v>
      </c>
    </row>
    <row r="7443" spans="1:11">
      <c r="A7443" s="33" t="s">
        <v>17292</v>
      </c>
      <c r="B7443" s="33" t="s">
        <v>17293</v>
      </c>
      <c r="C7443" s="33" t="s">
        <v>96</v>
      </c>
      <c r="D7443" s="33" t="s">
        <v>17</v>
      </c>
      <c r="E7443" s="33" t="s">
        <v>31</v>
      </c>
      <c r="F7443" s="33" t="s">
        <v>32</v>
      </c>
      <c r="G7443" s="33" t="s">
        <v>106</v>
      </c>
      <c r="H7443" s="35">
        <v>35</v>
      </c>
      <c r="I7443" s="33" t="s">
        <v>21</v>
      </c>
      <c r="J7443" s="42">
        <v>44554</v>
      </c>
      <c r="K7443" s="33" t="s">
        <v>22</v>
      </c>
    </row>
    <row r="7444" spans="1:11">
      <c r="A7444" s="30" t="s">
        <v>17294</v>
      </c>
      <c r="B7444" s="30" t="s">
        <v>17295</v>
      </c>
      <c r="C7444" s="30" t="s">
        <v>203</v>
      </c>
      <c r="D7444" s="30" t="s">
        <v>17</v>
      </c>
      <c r="E7444" s="30" t="s">
        <v>31</v>
      </c>
      <c r="F7444" s="30" t="s">
        <v>32</v>
      </c>
      <c r="G7444" s="30" t="s">
        <v>106</v>
      </c>
      <c r="H7444" s="32">
        <v>50</v>
      </c>
      <c r="I7444" s="30" t="s">
        <v>21</v>
      </c>
      <c r="J7444" s="41">
        <v>44284</v>
      </c>
      <c r="K7444" s="30" t="s">
        <v>22</v>
      </c>
    </row>
    <row r="7445" spans="1:11">
      <c r="A7445" s="33" t="s">
        <v>17296</v>
      </c>
      <c r="B7445" s="33" t="s">
        <v>17297</v>
      </c>
      <c r="C7445" s="33" t="s">
        <v>96</v>
      </c>
      <c r="D7445" s="33" t="s">
        <v>17</v>
      </c>
      <c r="E7445" s="33" t="s">
        <v>26</v>
      </c>
      <c r="F7445" s="33" t="s">
        <v>27</v>
      </c>
      <c r="G7445" s="33" t="s">
        <v>20</v>
      </c>
      <c r="H7445" s="35">
        <v>42</v>
      </c>
      <c r="I7445" s="33" t="s">
        <v>21</v>
      </c>
      <c r="J7445" s="42">
        <v>44209</v>
      </c>
      <c r="K7445" s="33" t="s">
        <v>22</v>
      </c>
    </row>
    <row r="7446" spans="1:11">
      <c r="A7446" s="30" t="s">
        <v>17298</v>
      </c>
      <c r="B7446" s="30" t="s">
        <v>17299</v>
      </c>
      <c r="C7446" s="30" t="s">
        <v>4668</v>
      </c>
      <c r="D7446" s="30" t="s">
        <v>17</v>
      </c>
      <c r="E7446" s="30" t="s">
        <v>26</v>
      </c>
      <c r="F7446" s="30" t="s">
        <v>27</v>
      </c>
      <c r="G7446" s="30" t="s">
        <v>20</v>
      </c>
      <c r="H7446" s="32">
        <v>100</v>
      </c>
      <c r="I7446" s="30" t="s">
        <v>21</v>
      </c>
      <c r="J7446" s="41">
        <v>44440</v>
      </c>
      <c r="K7446" s="30" t="s">
        <v>22</v>
      </c>
    </row>
    <row r="7447" spans="1:11">
      <c r="A7447" s="33" t="s">
        <v>17300</v>
      </c>
      <c r="B7447" s="33" t="s">
        <v>17301</v>
      </c>
      <c r="C7447" s="33" t="s">
        <v>17302</v>
      </c>
      <c r="D7447" s="33" t="s">
        <v>17</v>
      </c>
      <c r="E7447" s="33" t="s">
        <v>18</v>
      </c>
      <c r="F7447" s="33" t="s">
        <v>19</v>
      </c>
      <c r="G7447" s="33" t="s">
        <v>20</v>
      </c>
      <c r="H7447" s="35">
        <v>81</v>
      </c>
      <c r="I7447" s="33" t="s">
        <v>21</v>
      </c>
      <c r="J7447" s="42">
        <v>44405</v>
      </c>
      <c r="K7447" s="33" t="s">
        <v>22</v>
      </c>
    </row>
    <row r="7448" spans="1:11">
      <c r="A7448" s="30" t="s">
        <v>17303</v>
      </c>
      <c r="B7448" s="30" t="s">
        <v>17304</v>
      </c>
      <c r="C7448" s="30" t="s">
        <v>6505</v>
      </c>
      <c r="D7448" s="30" t="s">
        <v>17</v>
      </c>
      <c r="E7448" s="30" t="s">
        <v>31</v>
      </c>
      <c r="F7448" s="30" t="s">
        <v>32</v>
      </c>
      <c r="G7448" s="30" t="s">
        <v>20</v>
      </c>
      <c r="H7448" s="32">
        <v>44</v>
      </c>
      <c r="I7448" s="30" t="s">
        <v>21</v>
      </c>
      <c r="J7448" s="41">
        <v>44334</v>
      </c>
      <c r="K7448" s="30" t="s">
        <v>22</v>
      </c>
    </row>
    <row r="7449" spans="1:11">
      <c r="A7449" s="33" t="s">
        <v>17305</v>
      </c>
      <c r="B7449" s="33" t="s">
        <v>17306</v>
      </c>
      <c r="C7449" s="33" t="s">
        <v>124</v>
      </c>
      <c r="D7449" s="33" t="s">
        <v>17</v>
      </c>
      <c r="E7449" s="33" t="s">
        <v>18</v>
      </c>
      <c r="F7449" s="33" t="s">
        <v>19</v>
      </c>
      <c r="G7449" s="33" t="s">
        <v>20</v>
      </c>
      <c r="H7449" s="35">
        <v>135</v>
      </c>
      <c r="I7449" s="33" t="s">
        <v>21</v>
      </c>
      <c r="J7449" s="42">
        <v>44403</v>
      </c>
      <c r="K7449" s="33" t="s">
        <v>22</v>
      </c>
    </row>
    <row r="7450" spans="1:11">
      <c r="A7450" s="30" t="s">
        <v>17307</v>
      </c>
      <c r="B7450" s="30" t="s">
        <v>17308</v>
      </c>
      <c r="C7450" s="30" t="s">
        <v>450</v>
      </c>
      <c r="D7450" s="30" t="s">
        <v>17</v>
      </c>
      <c r="E7450" s="30" t="s">
        <v>26</v>
      </c>
      <c r="F7450" s="30" t="s">
        <v>27</v>
      </c>
      <c r="G7450" s="30" t="s">
        <v>20</v>
      </c>
      <c r="H7450" s="32">
        <v>18</v>
      </c>
      <c r="I7450" s="30" t="s">
        <v>21</v>
      </c>
      <c r="J7450" s="41">
        <v>44346</v>
      </c>
      <c r="K7450" s="30" t="s">
        <v>22</v>
      </c>
    </row>
    <row r="7451" spans="1:11">
      <c r="A7451" s="33" t="s">
        <v>17309</v>
      </c>
      <c r="B7451" s="33" t="s">
        <v>17310</v>
      </c>
      <c r="C7451" s="33" t="s">
        <v>4328</v>
      </c>
      <c r="D7451" s="33" t="s">
        <v>17</v>
      </c>
      <c r="E7451" s="33" t="s">
        <v>26</v>
      </c>
      <c r="F7451" s="33" t="s">
        <v>27</v>
      </c>
      <c r="G7451" s="33" t="s">
        <v>106</v>
      </c>
      <c r="H7451" s="35">
        <v>128</v>
      </c>
      <c r="I7451" s="33" t="s">
        <v>21</v>
      </c>
      <c r="J7451" s="42">
        <v>44477</v>
      </c>
      <c r="K7451" s="33" t="s">
        <v>22</v>
      </c>
    </row>
    <row r="7452" spans="1:11">
      <c r="A7452" s="30" t="s">
        <v>17311</v>
      </c>
      <c r="B7452" s="30" t="s">
        <v>17312</v>
      </c>
      <c r="C7452" s="30" t="s">
        <v>7296</v>
      </c>
      <c r="D7452" s="30" t="s">
        <v>17</v>
      </c>
      <c r="E7452" s="30" t="s">
        <v>31</v>
      </c>
      <c r="F7452" s="30" t="s">
        <v>32</v>
      </c>
      <c r="G7452" s="30" t="s">
        <v>112</v>
      </c>
      <c r="H7452" s="32">
        <v>0</v>
      </c>
      <c r="I7452" s="30" t="s">
        <v>21</v>
      </c>
      <c r="J7452" s="41">
        <v>44442</v>
      </c>
      <c r="K7452" s="30" t="s">
        <v>22</v>
      </c>
    </row>
    <row r="7453" spans="1:11">
      <c r="A7453" s="33" t="s">
        <v>17313</v>
      </c>
      <c r="B7453" s="33" t="s">
        <v>17314</v>
      </c>
      <c r="C7453" s="33" t="s">
        <v>93</v>
      </c>
      <c r="D7453" s="33" t="s">
        <v>17</v>
      </c>
      <c r="E7453" s="33" t="s">
        <v>18</v>
      </c>
      <c r="F7453" s="33" t="s">
        <v>19</v>
      </c>
      <c r="G7453" s="33" t="s">
        <v>106</v>
      </c>
      <c r="H7453" s="35">
        <v>775</v>
      </c>
      <c r="I7453" s="33" t="s">
        <v>21</v>
      </c>
      <c r="J7453" s="42">
        <v>44505</v>
      </c>
      <c r="K7453" s="33" t="s">
        <v>22</v>
      </c>
    </row>
    <row r="7454" spans="1:11">
      <c r="A7454" s="30" t="s">
        <v>17315</v>
      </c>
      <c r="B7454" s="30" t="s">
        <v>17316</v>
      </c>
      <c r="C7454" s="30" t="s">
        <v>6999</v>
      </c>
      <c r="D7454" s="30" t="s">
        <v>17</v>
      </c>
      <c r="E7454" s="30" t="s">
        <v>26</v>
      </c>
      <c r="F7454" s="30" t="s">
        <v>27</v>
      </c>
      <c r="G7454" s="30" t="s">
        <v>20</v>
      </c>
      <c r="H7454" s="32">
        <v>39</v>
      </c>
      <c r="I7454" s="30" t="s">
        <v>21</v>
      </c>
      <c r="J7454" s="41">
        <v>44321</v>
      </c>
      <c r="K7454" s="30" t="s">
        <v>22</v>
      </c>
    </row>
    <row r="7455" spans="1:11">
      <c r="A7455" s="33" t="s">
        <v>17317</v>
      </c>
      <c r="B7455" s="33" t="s">
        <v>17318</v>
      </c>
      <c r="C7455" s="33" t="s">
        <v>17319</v>
      </c>
      <c r="D7455" s="33" t="s">
        <v>17</v>
      </c>
      <c r="E7455" s="33" t="s">
        <v>67</v>
      </c>
      <c r="F7455" s="33" t="s">
        <v>68</v>
      </c>
      <c r="G7455" s="33" t="s">
        <v>69</v>
      </c>
      <c r="H7455" s="35">
        <v>70</v>
      </c>
      <c r="I7455" s="33" t="s">
        <v>51</v>
      </c>
      <c r="J7455" s="42">
        <v>44265</v>
      </c>
      <c r="K7455" s="33" t="s">
        <v>22</v>
      </c>
    </row>
    <row r="7456" spans="1:11">
      <c r="A7456" s="30" t="s">
        <v>17320</v>
      </c>
      <c r="B7456" s="30" t="s">
        <v>17321</v>
      </c>
      <c r="C7456" s="30" t="s">
        <v>57</v>
      </c>
      <c r="D7456" s="30" t="s">
        <v>17</v>
      </c>
      <c r="E7456" s="30" t="s">
        <v>26</v>
      </c>
      <c r="F7456" s="30" t="s">
        <v>27</v>
      </c>
      <c r="G7456" s="30" t="s">
        <v>20</v>
      </c>
      <c r="H7456" s="32">
        <v>61</v>
      </c>
      <c r="I7456" s="30" t="s">
        <v>21</v>
      </c>
      <c r="J7456" s="41">
        <v>44267</v>
      </c>
      <c r="K7456" s="30" t="s">
        <v>22</v>
      </c>
    </row>
    <row r="7457" spans="1:11">
      <c r="A7457" s="33" t="s">
        <v>17322</v>
      </c>
      <c r="B7457" s="33" t="s">
        <v>17323</v>
      </c>
      <c r="C7457" s="33" t="s">
        <v>93</v>
      </c>
      <c r="D7457" s="33" t="s">
        <v>17</v>
      </c>
      <c r="E7457" s="33" t="s">
        <v>26</v>
      </c>
      <c r="F7457" s="33" t="s">
        <v>27</v>
      </c>
      <c r="G7457" s="33" t="s">
        <v>158</v>
      </c>
      <c r="H7457" s="35">
        <v>520</v>
      </c>
      <c r="I7457" s="33" t="s">
        <v>21</v>
      </c>
      <c r="J7457" s="42">
        <v>44482</v>
      </c>
      <c r="K7457" s="33" t="s">
        <v>22</v>
      </c>
    </row>
    <row r="7458" spans="1:11">
      <c r="A7458" s="30" t="s">
        <v>17324</v>
      </c>
      <c r="B7458" s="30" t="s">
        <v>17325</v>
      </c>
      <c r="C7458" s="30" t="s">
        <v>12172</v>
      </c>
      <c r="D7458" s="30" t="s">
        <v>17</v>
      </c>
      <c r="E7458" s="30" t="s">
        <v>31</v>
      </c>
      <c r="F7458" s="30" t="s">
        <v>32</v>
      </c>
      <c r="G7458" s="30" t="s">
        <v>106</v>
      </c>
      <c r="H7458" s="32">
        <v>4</v>
      </c>
      <c r="I7458" s="30" t="s">
        <v>21</v>
      </c>
      <c r="J7458" s="41">
        <v>44455</v>
      </c>
      <c r="K7458" s="30" t="s">
        <v>22</v>
      </c>
    </row>
    <row r="7459" spans="1:11">
      <c r="A7459" s="33" t="s">
        <v>17326</v>
      </c>
      <c r="B7459" s="33" t="s">
        <v>17327</v>
      </c>
      <c r="C7459" s="33" t="s">
        <v>1191</v>
      </c>
      <c r="D7459" s="33" t="s">
        <v>17</v>
      </c>
      <c r="E7459" s="33" t="s">
        <v>212</v>
      </c>
      <c r="F7459" s="33" t="s">
        <v>213</v>
      </c>
      <c r="G7459" s="33" t="s">
        <v>50</v>
      </c>
      <c r="H7459" s="35">
        <v>400</v>
      </c>
      <c r="I7459" s="33" t="s">
        <v>51</v>
      </c>
      <c r="J7459" s="42">
        <v>44477</v>
      </c>
      <c r="K7459" s="33" t="s">
        <v>22</v>
      </c>
    </row>
    <row r="7460" spans="1:11">
      <c r="A7460" s="30" t="s">
        <v>17328</v>
      </c>
      <c r="B7460" s="30" t="s">
        <v>17329</v>
      </c>
      <c r="C7460" s="30" t="s">
        <v>985</v>
      </c>
      <c r="D7460" s="30" t="s">
        <v>17</v>
      </c>
      <c r="E7460" s="30" t="s">
        <v>26</v>
      </c>
      <c r="F7460" s="30" t="s">
        <v>27</v>
      </c>
      <c r="G7460" s="30" t="s">
        <v>20</v>
      </c>
      <c r="H7460" s="32">
        <v>65</v>
      </c>
      <c r="I7460" s="30" t="s">
        <v>21</v>
      </c>
      <c r="J7460" s="41">
        <v>44264</v>
      </c>
      <c r="K7460" s="30" t="s">
        <v>22</v>
      </c>
    </row>
    <row r="7461" spans="1:11">
      <c r="A7461" s="33" t="s">
        <v>17330</v>
      </c>
      <c r="B7461" s="33" t="s">
        <v>17331</v>
      </c>
      <c r="C7461" s="33" t="s">
        <v>925</v>
      </c>
      <c r="D7461" s="33" t="s">
        <v>17</v>
      </c>
      <c r="E7461" s="33" t="s">
        <v>26</v>
      </c>
      <c r="F7461" s="33" t="s">
        <v>27</v>
      </c>
      <c r="G7461" s="33" t="s">
        <v>158</v>
      </c>
      <c r="H7461" s="35">
        <v>145</v>
      </c>
      <c r="I7461" s="33" t="s">
        <v>51</v>
      </c>
      <c r="J7461" s="42">
        <v>44454</v>
      </c>
      <c r="K7461" s="33" t="s">
        <v>22</v>
      </c>
    </row>
    <row r="7462" spans="1:11">
      <c r="A7462" s="30" t="s">
        <v>17332</v>
      </c>
      <c r="B7462" s="30" t="s">
        <v>17333</v>
      </c>
      <c r="C7462" s="30" t="s">
        <v>17334</v>
      </c>
      <c r="D7462" s="30" t="s">
        <v>17</v>
      </c>
      <c r="E7462" s="30" t="s">
        <v>26</v>
      </c>
      <c r="F7462" s="30" t="s">
        <v>27</v>
      </c>
      <c r="G7462" s="30" t="s">
        <v>50</v>
      </c>
      <c r="H7462" s="32">
        <v>90</v>
      </c>
      <c r="I7462" s="30" t="s">
        <v>51</v>
      </c>
      <c r="J7462" s="41">
        <v>44330</v>
      </c>
      <c r="K7462" s="30" t="s">
        <v>22</v>
      </c>
    </row>
    <row r="7463" spans="1:11">
      <c r="A7463" s="33" t="s">
        <v>17335</v>
      </c>
      <c r="B7463" s="33" t="s">
        <v>17336</v>
      </c>
      <c r="C7463" s="33" t="s">
        <v>17337</v>
      </c>
      <c r="D7463" s="33" t="s">
        <v>17</v>
      </c>
      <c r="E7463" s="33" t="s">
        <v>18</v>
      </c>
      <c r="F7463" s="33" t="s">
        <v>19</v>
      </c>
      <c r="G7463" s="33" t="s">
        <v>20</v>
      </c>
      <c r="H7463" s="35">
        <v>84</v>
      </c>
      <c r="I7463" s="33" t="s">
        <v>21</v>
      </c>
      <c r="J7463" s="42">
        <v>44243</v>
      </c>
      <c r="K7463" s="33" t="s">
        <v>22</v>
      </c>
    </row>
    <row r="7464" spans="1:11">
      <c r="A7464" s="30" t="s">
        <v>17338</v>
      </c>
      <c r="B7464" s="30" t="s">
        <v>17339</v>
      </c>
      <c r="C7464" s="30" t="s">
        <v>109</v>
      </c>
      <c r="D7464" s="30" t="s">
        <v>17</v>
      </c>
      <c r="E7464" s="30" t="s">
        <v>45</v>
      </c>
      <c r="F7464" s="30" t="s">
        <v>46</v>
      </c>
      <c r="G7464" s="30" t="s">
        <v>106</v>
      </c>
      <c r="H7464" s="32">
        <v>407</v>
      </c>
      <c r="I7464" s="30" t="s">
        <v>21</v>
      </c>
      <c r="J7464" s="41">
        <v>44326</v>
      </c>
      <c r="K7464" s="30" t="s">
        <v>22</v>
      </c>
    </row>
    <row r="7465" spans="1:11">
      <c r="A7465" s="33" t="s">
        <v>17340</v>
      </c>
      <c r="B7465" s="33" t="s">
        <v>17341</v>
      </c>
      <c r="C7465" s="33" t="s">
        <v>17342</v>
      </c>
      <c r="D7465" s="33" t="s">
        <v>17</v>
      </c>
      <c r="E7465" s="33" t="s">
        <v>67</v>
      </c>
      <c r="F7465" s="33" t="s">
        <v>68</v>
      </c>
      <c r="G7465" s="33" t="s">
        <v>20</v>
      </c>
      <c r="H7465" s="35">
        <v>156</v>
      </c>
      <c r="I7465" s="33" t="s">
        <v>21</v>
      </c>
      <c r="J7465" s="42">
        <v>44453</v>
      </c>
      <c r="K7465" s="33" t="s">
        <v>22</v>
      </c>
    </row>
    <row r="7466" spans="1:11">
      <c r="A7466" s="30" t="s">
        <v>17343</v>
      </c>
      <c r="B7466" s="30" t="s">
        <v>17344</v>
      </c>
      <c r="C7466" s="30" t="s">
        <v>1498</v>
      </c>
      <c r="D7466" s="30" t="s">
        <v>17</v>
      </c>
      <c r="E7466" s="30" t="s">
        <v>18</v>
      </c>
      <c r="F7466" s="30" t="s">
        <v>19</v>
      </c>
      <c r="G7466" s="30" t="s">
        <v>20</v>
      </c>
      <c r="H7466" s="32">
        <v>509</v>
      </c>
      <c r="I7466" s="30" t="s">
        <v>21</v>
      </c>
      <c r="J7466" s="41">
        <v>44207</v>
      </c>
      <c r="K7466" s="30" t="s">
        <v>22</v>
      </c>
    </row>
    <row r="7467" spans="1:11">
      <c r="A7467" s="33" t="s">
        <v>17345</v>
      </c>
      <c r="B7467" s="33" t="s">
        <v>17346</v>
      </c>
      <c r="C7467" s="33" t="s">
        <v>1267</v>
      </c>
      <c r="D7467" s="33" t="s">
        <v>17</v>
      </c>
      <c r="E7467" s="33" t="s">
        <v>31</v>
      </c>
      <c r="F7467" s="33" t="s">
        <v>32</v>
      </c>
      <c r="G7467" s="33" t="s">
        <v>158</v>
      </c>
      <c r="H7467" s="35">
        <v>169</v>
      </c>
      <c r="I7467" s="33" t="s">
        <v>21</v>
      </c>
      <c r="J7467" s="42">
        <v>44235</v>
      </c>
      <c r="K7467" s="33" t="s">
        <v>22</v>
      </c>
    </row>
    <row r="7468" spans="1:11">
      <c r="A7468" s="30" t="s">
        <v>17347</v>
      </c>
      <c r="B7468" s="30" t="s">
        <v>17348</v>
      </c>
      <c r="C7468" s="30" t="s">
        <v>1566</v>
      </c>
      <c r="D7468" s="30" t="s">
        <v>17</v>
      </c>
      <c r="E7468" s="30" t="s">
        <v>26</v>
      </c>
      <c r="F7468" s="30" t="s">
        <v>27</v>
      </c>
      <c r="G7468" s="30" t="s">
        <v>69</v>
      </c>
      <c r="H7468" s="32">
        <v>24</v>
      </c>
      <c r="I7468" s="30" t="s">
        <v>51</v>
      </c>
      <c r="J7468" s="41">
        <v>44236</v>
      </c>
      <c r="K7468" s="30" t="s">
        <v>22</v>
      </c>
    </row>
    <row r="7469" spans="1:11">
      <c r="A7469" s="33" t="s">
        <v>17349</v>
      </c>
      <c r="B7469" s="33" t="s">
        <v>17350</v>
      </c>
      <c r="C7469" s="33" t="s">
        <v>124</v>
      </c>
      <c r="D7469" s="33" t="s">
        <v>17</v>
      </c>
      <c r="E7469" s="33" t="s">
        <v>212</v>
      </c>
      <c r="F7469" s="33" t="s">
        <v>213</v>
      </c>
      <c r="G7469" s="33" t="s">
        <v>50</v>
      </c>
      <c r="H7469" s="35">
        <v>24</v>
      </c>
      <c r="I7469" s="33" t="s">
        <v>51</v>
      </c>
      <c r="J7469" s="42">
        <v>44442</v>
      </c>
      <c r="K7469" s="33" t="s">
        <v>22</v>
      </c>
    </row>
    <row r="7470" spans="1:11">
      <c r="A7470" s="30" t="s">
        <v>17351</v>
      </c>
      <c r="B7470" s="30" t="s">
        <v>17352</v>
      </c>
      <c r="C7470" s="30" t="s">
        <v>1090</v>
      </c>
      <c r="D7470" s="30" t="s">
        <v>17</v>
      </c>
      <c r="E7470" s="30" t="s">
        <v>67</v>
      </c>
      <c r="F7470" s="30" t="s">
        <v>68</v>
      </c>
      <c r="G7470" s="30" t="s">
        <v>140</v>
      </c>
      <c r="H7470" s="32">
        <v>58</v>
      </c>
      <c r="I7470" s="30" t="s">
        <v>51</v>
      </c>
      <c r="J7470" s="41">
        <v>44439</v>
      </c>
      <c r="K7470" s="30" t="s">
        <v>22</v>
      </c>
    </row>
    <row r="7471" spans="1:11">
      <c r="A7471" s="33" t="s">
        <v>17353</v>
      </c>
      <c r="B7471" s="33" t="s">
        <v>17354</v>
      </c>
      <c r="C7471" s="33" t="s">
        <v>1112</v>
      </c>
      <c r="D7471" s="33" t="s">
        <v>17</v>
      </c>
      <c r="E7471" s="33" t="s">
        <v>31</v>
      </c>
      <c r="F7471" s="33" t="s">
        <v>32</v>
      </c>
      <c r="G7471" s="33" t="s">
        <v>20</v>
      </c>
      <c r="H7471" s="35">
        <v>245</v>
      </c>
      <c r="I7471" s="33" t="s">
        <v>21</v>
      </c>
      <c r="J7471" s="42">
        <v>44308</v>
      </c>
      <c r="K7471" s="33" t="s">
        <v>22</v>
      </c>
    </row>
    <row r="7472" spans="1:11">
      <c r="A7472" s="30" t="s">
        <v>17355</v>
      </c>
      <c r="B7472" s="30" t="s">
        <v>17356</v>
      </c>
      <c r="C7472" s="30" t="s">
        <v>10515</v>
      </c>
      <c r="D7472" s="30" t="s">
        <v>17</v>
      </c>
      <c r="E7472" s="30" t="s">
        <v>31</v>
      </c>
      <c r="F7472" s="30" t="s">
        <v>32</v>
      </c>
      <c r="G7472" s="30" t="s">
        <v>140</v>
      </c>
      <c r="H7472" s="32">
        <v>141</v>
      </c>
      <c r="I7472" s="30" t="s">
        <v>51</v>
      </c>
      <c r="J7472" s="41">
        <v>44308</v>
      </c>
      <c r="K7472" s="30" t="s">
        <v>22</v>
      </c>
    </row>
    <row r="7473" spans="1:11">
      <c r="A7473" s="33" t="s">
        <v>17357</v>
      </c>
      <c r="B7473" s="33" t="s">
        <v>17358</v>
      </c>
      <c r="C7473" s="33" t="s">
        <v>17359</v>
      </c>
      <c r="D7473" s="33" t="s">
        <v>17</v>
      </c>
      <c r="E7473" s="33" t="s">
        <v>31</v>
      </c>
      <c r="F7473" s="33" t="s">
        <v>32</v>
      </c>
      <c r="G7473" s="33" t="s">
        <v>106</v>
      </c>
      <c r="H7473" s="35">
        <v>113</v>
      </c>
      <c r="I7473" s="33" t="s">
        <v>21</v>
      </c>
      <c r="J7473" s="42">
        <v>44531</v>
      </c>
      <c r="K7473" s="33" t="s">
        <v>22</v>
      </c>
    </row>
    <row r="7474" spans="1:11">
      <c r="A7474" s="30" t="s">
        <v>17360</v>
      </c>
      <c r="B7474" s="30" t="s">
        <v>17361</v>
      </c>
      <c r="C7474" s="30" t="s">
        <v>102</v>
      </c>
      <c r="D7474" s="30" t="s">
        <v>17</v>
      </c>
      <c r="E7474" s="30" t="s">
        <v>26</v>
      </c>
      <c r="F7474" s="30" t="s">
        <v>27</v>
      </c>
      <c r="G7474" s="30" t="s">
        <v>106</v>
      </c>
      <c r="H7474" s="32">
        <v>48</v>
      </c>
      <c r="I7474" s="30" t="s">
        <v>21</v>
      </c>
      <c r="J7474" s="41">
        <v>44363</v>
      </c>
      <c r="K7474" s="30" t="s">
        <v>22</v>
      </c>
    </row>
    <row r="7475" spans="1:11">
      <c r="A7475" s="33" t="s">
        <v>17362</v>
      </c>
      <c r="B7475" s="33" t="s">
        <v>17363</v>
      </c>
      <c r="C7475" s="33" t="s">
        <v>684</v>
      </c>
      <c r="D7475" s="33" t="s">
        <v>17</v>
      </c>
      <c r="E7475" s="33" t="s">
        <v>26</v>
      </c>
      <c r="F7475" s="33" t="s">
        <v>27</v>
      </c>
      <c r="G7475" s="33" t="s">
        <v>106</v>
      </c>
      <c r="H7475" s="35">
        <v>1</v>
      </c>
      <c r="I7475" s="33" t="s">
        <v>21</v>
      </c>
      <c r="J7475" s="42">
        <v>44483</v>
      </c>
      <c r="K7475" s="33" t="s">
        <v>22</v>
      </c>
    </row>
    <row r="7476" spans="1:11">
      <c r="A7476" s="30" t="s">
        <v>17364</v>
      </c>
      <c r="B7476" s="30" t="s">
        <v>17365</v>
      </c>
      <c r="C7476" s="30" t="s">
        <v>2228</v>
      </c>
      <c r="D7476" s="30" t="s">
        <v>17</v>
      </c>
      <c r="E7476" s="30" t="s">
        <v>26</v>
      </c>
      <c r="F7476" s="30" t="s">
        <v>27</v>
      </c>
      <c r="G7476" s="30" t="s">
        <v>50</v>
      </c>
      <c r="H7476" s="32">
        <v>31</v>
      </c>
      <c r="I7476" s="30" t="s">
        <v>51</v>
      </c>
      <c r="J7476" s="41">
        <v>44512</v>
      </c>
      <c r="K7476" s="30" t="s">
        <v>22</v>
      </c>
    </row>
    <row r="7477" spans="1:11">
      <c r="A7477" s="33" t="s">
        <v>17366</v>
      </c>
      <c r="B7477" s="33" t="s">
        <v>17367</v>
      </c>
      <c r="C7477" s="33" t="s">
        <v>318</v>
      </c>
      <c r="D7477" s="33" t="s">
        <v>17</v>
      </c>
      <c r="E7477" s="33" t="s">
        <v>31</v>
      </c>
      <c r="F7477" s="33" t="s">
        <v>32</v>
      </c>
      <c r="G7477" s="33" t="s">
        <v>20</v>
      </c>
      <c r="H7477" s="35">
        <v>214</v>
      </c>
      <c r="I7477" s="33" t="s">
        <v>21</v>
      </c>
      <c r="J7477" s="42">
        <v>44344</v>
      </c>
      <c r="K7477" s="33" t="s">
        <v>22</v>
      </c>
    </row>
    <row r="7478" spans="1:11">
      <c r="A7478" s="30" t="s">
        <v>17368</v>
      </c>
      <c r="B7478" s="30" t="s">
        <v>17369</v>
      </c>
      <c r="C7478" s="30" t="s">
        <v>12443</v>
      </c>
      <c r="D7478" s="30" t="s">
        <v>17</v>
      </c>
      <c r="E7478" s="30" t="s">
        <v>26</v>
      </c>
      <c r="F7478" s="30" t="s">
        <v>27</v>
      </c>
      <c r="G7478" s="30" t="s">
        <v>106</v>
      </c>
      <c r="H7478" s="32">
        <v>14</v>
      </c>
      <c r="I7478" s="30" t="s">
        <v>21</v>
      </c>
      <c r="J7478" s="41">
        <v>44461</v>
      </c>
      <c r="K7478" s="30" t="s">
        <v>22</v>
      </c>
    </row>
    <row r="7479" spans="1:11">
      <c r="A7479" s="33" t="s">
        <v>17370</v>
      </c>
      <c r="B7479" s="33" t="s">
        <v>17371</v>
      </c>
      <c r="C7479" s="33" t="s">
        <v>2261</v>
      </c>
      <c r="D7479" s="33" t="s">
        <v>17</v>
      </c>
      <c r="E7479" s="33" t="s">
        <v>67</v>
      </c>
      <c r="F7479" s="33" t="s">
        <v>68</v>
      </c>
      <c r="G7479" s="33" t="s">
        <v>106</v>
      </c>
      <c r="H7479" s="35">
        <v>7</v>
      </c>
      <c r="I7479" s="33" t="s">
        <v>21</v>
      </c>
      <c r="J7479" s="42">
        <v>44560</v>
      </c>
      <c r="K7479" s="33" t="s">
        <v>22</v>
      </c>
    </row>
    <row r="7480" spans="1:11">
      <c r="A7480" s="30" t="s">
        <v>17372</v>
      </c>
      <c r="B7480" s="30" t="s">
        <v>17373</v>
      </c>
      <c r="C7480" s="30" t="s">
        <v>124</v>
      </c>
      <c r="D7480" s="30" t="s">
        <v>17</v>
      </c>
      <c r="E7480" s="30" t="s">
        <v>31</v>
      </c>
      <c r="F7480" s="30" t="s">
        <v>32</v>
      </c>
      <c r="G7480" s="30" t="s">
        <v>20</v>
      </c>
      <c r="H7480" s="32">
        <v>90</v>
      </c>
      <c r="I7480" s="30" t="s">
        <v>21</v>
      </c>
      <c r="J7480" s="41">
        <v>44455</v>
      </c>
      <c r="K7480" s="30" t="s">
        <v>22</v>
      </c>
    </row>
    <row r="7481" spans="1:11">
      <c r="A7481" s="33" t="s">
        <v>17374</v>
      </c>
      <c r="B7481" s="33" t="s">
        <v>17375</v>
      </c>
      <c r="C7481" s="33" t="s">
        <v>2978</v>
      </c>
      <c r="D7481" s="33" t="s">
        <v>17</v>
      </c>
      <c r="E7481" s="33" t="s">
        <v>31</v>
      </c>
      <c r="F7481" s="33" t="s">
        <v>32</v>
      </c>
      <c r="G7481" s="33" t="s">
        <v>158</v>
      </c>
      <c r="H7481" s="35">
        <v>30</v>
      </c>
      <c r="I7481" s="33" t="s">
        <v>51</v>
      </c>
      <c r="J7481" s="42">
        <v>44420</v>
      </c>
      <c r="K7481" s="33" t="s">
        <v>22</v>
      </c>
    </row>
    <row r="7482" spans="1:11">
      <c r="A7482" s="30" t="s">
        <v>17376</v>
      </c>
      <c r="B7482" s="30" t="s">
        <v>17377</v>
      </c>
      <c r="C7482" s="30" t="s">
        <v>96</v>
      </c>
      <c r="D7482" s="30" t="s">
        <v>17</v>
      </c>
      <c r="E7482" s="30" t="s">
        <v>26</v>
      </c>
      <c r="F7482" s="30" t="s">
        <v>27</v>
      </c>
      <c r="G7482" s="30" t="s">
        <v>20</v>
      </c>
      <c r="H7482" s="32">
        <v>29</v>
      </c>
      <c r="I7482" s="30" t="s">
        <v>21</v>
      </c>
      <c r="J7482" s="41">
        <v>44271</v>
      </c>
      <c r="K7482" s="30" t="s">
        <v>22</v>
      </c>
    </row>
    <row r="7483" spans="1:11">
      <c r="A7483" s="33" t="s">
        <v>17378</v>
      </c>
      <c r="B7483" s="33" t="s">
        <v>17379</v>
      </c>
      <c r="C7483" s="33" t="s">
        <v>2490</v>
      </c>
      <c r="D7483" s="33" t="s">
        <v>17</v>
      </c>
      <c r="E7483" s="33" t="s">
        <v>26</v>
      </c>
      <c r="F7483" s="33" t="s">
        <v>27</v>
      </c>
      <c r="G7483" s="33" t="s">
        <v>20</v>
      </c>
      <c r="H7483" s="35">
        <v>281</v>
      </c>
      <c r="I7483" s="33" t="s">
        <v>21</v>
      </c>
      <c r="J7483" s="42">
        <v>44209</v>
      </c>
      <c r="K7483" s="33" t="s">
        <v>22</v>
      </c>
    </row>
    <row r="7484" spans="1:11">
      <c r="A7484" s="30" t="s">
        <v>17380</v>
      </c>
      <c r="B7484" s="30" t="s">
        <v>17381</v>
      </c>
      <c r="C7484" s="30" t="s">
        <v>9464</v>
      </c>
      <c r="D7484" s="30" t="s">
        <v>17</v>
      </c>
      <c r="E7484" s="30" t="s">
        <v>18</v>
      </c>
      <c r="F7484" s="30" t="s">
        <v>19</v>
      </c>
      <c r="G7484" s="30" t="s">
        <v>158</v>
      </c>
      <c r="H7484" s="32">
        <v>300</v>
      </c>
      <c r="I7484" s="30" t="s">
        <v>51</v>
      </c>
      <c r="J7484" s="41">
        <v>44516</v>
      </c>
      <c r="K7484" s="30" t="s">
        <v>22</v>
      </c>
    </row>
    <row r="7485" spans="1:11">
      <c r="A7485" s="33" t="s">
        <v>17382</v>
      </c>
      <c r="B7485" s="33" t="s">
        <v>17383</v>
      </c>
      <c r="C7485" s="33" t="s">
        <v>136</v>
      </c>
      <c r="D7485" s="33" t="s">
        <v>17</v>
      </c>
      <c r="E7485" s="33" t="s">
        <v>31</v>
      </c>
      <c r="F7485" s="33" t="s">
        <v>32</v>
      </c>
      <c r="G7485" s="33" t="s">
        <v>20</v>
      </c>
      <c r="H7485" s="35">
        <v>109</v>
      </c>
      <c r="I7485" s="33" t="s">
        <v>21</v>
      </c>
      <c r="J7485" s="42">
        <v>44228</v>
      </c>
      <c r="K7485" s="33" t="s">
        <v>22</v>
      </c>
    </row>
    <row r="7486" spans="1:11">
      <c r="A7486" s="30" t="s">
        <v>17384</v>
      </c>
      <c r="B7486" s="30" t="s">
        <v>17385</v>
      </c>
      <c r="C7486" s="30" t="s">
        <v>570</v>
      </c>
      <c r="D7486" s="30" t="s">
        <v>17</v>
      </c>
      <c r="E7486" s="30" t="s">
        <v>26</v>
      </c>
      <c r="F7486" s="30" t="s">
        <v>27</v>
      </c>
      <c r="G7486" s="30" t="s">
        <v>50</v>
      </c>
      <c r="H7486" s="32">
        <v>104</v>
      </c>
      <c r="I7486" s="30" t="s">
        <v>51</v>
      </c>
      <c r="J7486" s="41">
        <v>44494</v>
      </c>
      <c r="K7486" s="30" t="s">
        <v>22</v>
      </c>
    </row>
    <row r="7487" spans="1:11">
      <c r="A7487" s="33" t="s">
        <v>17386</v>
      </c>
      <c r="B7487" s="33" t="s">
        <v>17387</v>
      </c>
      <c r="C7487" s="33" t="s">
        <v>10170</v>
      </c>
      <c r="D7487" s="33" t="s">
        <v>17</v>
      </c>
      <c r="E7487" s="33" t="s">
        <v>31</v>
      </c>
      <c r="F7487" s="33" t="s">
        <v>32</v>
      </c>
      <c r="G7487" s="33" t="s">
        <v>20</v>
      </c>
      <c r="H7487" s="35">
        <v>36</v>
      </c>
      <c r="I7487" s="33" t="s">
        <v>21</v>
      </c>
      <c r="J7487" s="42">
        <v>44498</v>
      </c>
      <c r="K7487" s="33" t="s">
        <v>22</v>
      </c>
    </row>
    <row r="7488" spans="1:11">
      <c r="A7488" s="30" t="s">
        <v>17388</v>
      </c>
      <c r="B7488" s="30" t="s">
        <v>17389</v>
      </c>
      <c r="C7488" s="30" t="s">
        <v>8519</v>
      </c>
      <c r="D7488" s="30" t="s">
        <v>17</v>
      </c>
      <c r="E7488" s="30" t="s">
        <v>26</v>
      </c>
      <c r="F7488" s="30" t="s">
        <v>27</v>
      </c>
      <c r="G7488" s="30" t="s">
        <v>20</v>
      </c>
      <c r="H7488" s="32">
        <v>47</v>
      </c>
      <c r="I7488" s="30" t="s">
        <v>21</v>
      </c>
      <c r="J7488" s="41">
        <v>44551</v>
      </c>
      <c r="K7488" s="30" t="s">
        <v>22</v>
      </c>
    </row>
    <row r="7489" spans="1:11">
      <c r="A7489" s="33" t="s">
        <v>17390</v>
      </c>
      <c r="B7489" s="33" t="s">
        <v>17391</v>
      </c>
      <c r="C7489" s="33" t="s">
        <v>1428</v>
      </c>
      <c r="D7489" s="33" t="s">
        <v>17</v>
      </c>
      <c r="E7489" s="33" t="s">
        <v>45</v>
      </c>
      <c r="F7489" s="33" t="s">
        <v>46</v>
      </c>
      <c r="G7489" s="33" t="s">
        <v>106</v>
      </c>
      <c r="H7489" s="35">
        <v>102</v>
      </c>
      <c r="I7489" s="33" t="s">
        <v>21</v>
      </c>
      <c r="J7489" s="42">
        <v>44282</v>
      </c>
      <c r="K7489" s="33" t="s">
        <v>22</v>
      </c>
    </row>
    <row r="7490" spans="1:11">
      <c r="A7490" s="30" t="s">
        <v>17392</v>
      </c>
      <c r="B7490" s="30" t="s">
        <v>17393</v>
      </c>
      <c r="C7490" s="30" t="s">
        <v>17394</v>
      </c>
      <c r="D7490" s="30" t="s">
        <v>17</v>
      </c>
      <c r="E7490" s="30" t="s">
        <v>31</v>
      </c>
      <c r="F7490" s="30" t="s">
        <v>32</v>
      </c>
      <c r="G7490" s="30" t="s">
        <v>20</v>
      </c>
      <c r="H7490" s="32">
        <v>51</v>
      </c>
      <c r="I7490" s="30" t="s">
        <v>21</v>
      </c>
      <c r="J7490" s="41">
        <v>44488</v>
      </c>
      <c r="K7490" s="30" t="s">
        <v>22</v>
      </c>
    </row>
    <row r="7491" spans="1:11">
      <c r="A7491" s="33" t="s">
        <v>17395</v>
      </c>
      <c r="B7491" s="33" t="s">
        <v>17396</v>
      </c>
      <c r="C7491" s="33" t="s">
        <v>2753</v>
      </c>
      <c r="D7491" s="33" t="s">
        <v>17</v>
      </c>
      <c r="E7491" s="33" t="s">
        <v>67</v>
      </c>
      <c r="F7491" s="33" t="s">
        <v>68</v>
      </c>
      <c r="G7491" s="33" t="s">
        <v>140</v>
      </c>
      <c r="H7491" s="35">
        <v>246</v>
      </c>
      <c r="I7491" s="33" t="s">
        <v>51</v>
      </c>
      <c r="J7491" s="42">
        <v>44455</v>
      </c>
      <c r="K7491" s="33" t="s">
        <v>22</v>
      </c>
    </row>
    <row r="7492" spans="1:11">
      <c r="A7492" s="30" t="s">
        <v>17397</v>
      </c>
      <c r="B7492" s="30" t="s">
        <v>17398</v>
      </c>
      <c r="C7492" s="30" t="s">
        <v>44</v>
      </c>
      <c r="D7492" s="30" t="s">
        <v>17</v>
      </c>
      <c r="E7492" s="30" t="s">
        <v>18</v>
      </c>
      <c r="F7492" s="30" t="s">
        <v>19</v>
      </c>
      <c r="G7492" s="30" t="s">
        <v>20</v>
      </c>
      <c r="H7492" s="32">
        <v>133</v>
      </c>
      <c r="I7492" s="30" t="s">
        <v>21</v>
      </c>
      <c r="J7492" s="41">
        <v>44300</v>
      </c>
      <c r="K7492" s="30" t="s">
        <v>22</v>
      </c>
    </row>
    <row r="7493" spans="1:11">
      <c r="A7493" s="33" t="s">
        <v>17399</v>
      </c>
      <c r="B7493" s="33" t="s">
        <v>17400</v>
      </c>
      <c r="C7493" s="33" t="s">
        <v>178</v>
      </c>
      <c r="D7493" s="33" t="s">
        <v>17</v>
      </c>
      <c r="E7493" s="33" t="s">
        <v>26</v>
      </c>
      <c r="F7493" s="33" t="s">
        <v>27</v>
      </c>
      <c r="G7493" s="33" t="s">
        <v>20</v>
      </c>
      <c r="H7493" s="35">
        <v>21</v>
      </c>
      <c r="I7493" s="33" t="s">
        <v>21</v>
      </c>
      <c r="J7493" s="42">
        <v>44315</v>
      </c>
      <c r="K7493" s="33" t="s">
        <v>22</v>
      </c>
    </row>
    <row r="7494" spans="1:11">
      <c r="A7494" s="30" t="s">
        <v>17401</v>
      </c>
      <c r="B7494" s="30" t="s">
        <v>17402</v>
      </c>
      <c r="C7494" s="30" t="s">
        <v>7473</v>
      </c>
      <c r="D7494" s="30" t="s">
        <v>17</v>
      </c>
      <c r="E7494" s="30" t="s">
        <v>31</v>
      </c>
      <c r="F7494" s="30" t="s">
        <v>32</v>
      </c>
      <c r="G7494" s="30" t="s">
        <v>20</v>
      </c>
      <c r="H7494" s="32">
        <v>23</v>
      </c>
      <c r="I7494" s="30" t="s">
        <v>21</v>
      </c>
      <c r="J7494" s="41">
        <v>44251</v>
      </c>
      <c r="K7494" s="30" t="s">
        <v>22</v>
      </c>
    </row>
    <row r="7495" spans="1:11">
      <c r="A7495" s="33" t="s">
        <v>17403</v>
      </c>
      <c r="B7495" s="33" t="s">
        <v>17404</v>
      </c>
      <c r="C7495" s="33" t="s">
        <v>216</v>
      </c>
      <c r="D7495" s="33" t="s">
        <v>17</v>
      </c>
      <c r="E7495" s="33" t="s">
        <v>26</v>
      </c>
      <c r="F7495" s="33" t="s">
        <v>27</v>
      </c>
      <c r="G7495" s="33" t="s">
        <v>20</v>
      </c>
      <c r="H7495" s="35">
        <v>28</v>
      </c>
      <c r="I7495" s="33" t="s">
        <v>21</v>
      </c>
      <c r="J7495" s="42">
        <v>44512</v>
      </c>
      <c r="K7495" s="33" t="s">
        <v>22</v>
      </c>
    </row>
    <row r="7496" spans="1:11">
      <c r="A7496" s="30" t="s">
        <v>17405</v>
      </c>
      <c r="B7496" s="30" t="s">
        <v>17406</v>
      </c>
      <c r="C7496" s="30" t="s">
        <v>17407</v>
      </c>
      <c r="D7496" s="30" t="s">
        <v>17</v>
      </c>
      <c r="E7496" s="30" t="s">
        <v>26</v>
      </c>
      <c r="F7496" s="30" t="s">
        <v>27</v>
      </c>
      <c r="G7496" s="30" t="s">
        <v>20</v>
      </c>
      <c r="H7496" s="32">
        <v>42</v>
      </c>
      <c r="I7496" s="30" t="s">
        <v>21</v>
      </c>
      <c r="J7496" s="41">
        <v>44389</v>
      </c>
      <c r="K7496" s="30" t="s">
        <v>22</v>
      </c>
    </row>
    <row r="7497" spans="1:11">
      <c r="A7497" s="33" t="s">
        <v>17408</v>
      </c>
      <c r="B7497" s="33" t="s">
        <v>17409</v>
      </c>
      <c r="C7497" s="33" t="s">
        <v>17410</v>
      </c>
      <c r="D7497" s="33" t="s">
        <v>17</v>
      </c>
      <c r="E7497" s="33" t="s">
        <v>26</v>
      </c>
      <c r="F7497" s="33" t="s">
        <v>27</v>
      </c>
      <c r="G7497" s="33" t="s">
        <v>50</v>
      </c>
      <c r="H7497" s="35">
        <v>15</v>
      </c>
      <c r="I7497" s="33" t="s">
        <v>51</v>
      </c>
      <c r="J7497" s="42">
        <v>44267</v>
      </c>
      <c r="K7497" s="33" t="s">
        <v>22</v>
      </c>
    </row>
    <row r="7498" spans="1:11">
      <c r="A7498" s="30" t="s">
        <v>17411</v>
      </c>
      <c r="B7498" s="30" t="s">
        <v>17412</v>
      </c>
      <c r="C7498" s="30" t="s">
        <v>4260</v>
      </c>
      <c r="D7498" s="30" t="s">
        <v>17</v>
      </c>
      <c r="E7498" s="30" t="s">
        <v>26</v>
      </c>
      <c r="F7498" s="30" t="s">
        <v>27</v>
      </c>
      <c r="G7498" s="30" t="s">
        <v>20</v>
      </c>
      <c r="H7498" s="32">
        <v>16</v>
      </c>
      <c r="I7498" s="30" t="s">
        <v>21</v>
      </c>
      <c r="J7498" s="41">
        <v>44378</v>
      </c>
      <c r="K7498" s="30" t="s">
        <v>22</v>
      </c>
    </row>
    <row r="7499" spans="1:11">
      <c r="A7499" s="33" t="s">
        <v>17413</v>
      </c>
      <c r="B7499" s="33" t="s">
        <v>17414</v>
      </c>
      <c r="C7499" s="33" t="s">
        <v>7035</v>
      </c>
      <c r="D7499" s="33" t="s">
        <v>17</v>
      </c>
      <c r="E7499" s="33" t="s">
        <v>31</v>
      </c>
      <c r="F7499" s="33" t="s">
        <v>32</v>
      </c>
      <c r="G7499" s="33" t="s">
        <v>20</v>
      </c>
      <c r="H7499" s="35">
        <v>29</v>
      </c>
      <c r="I7499" s="33" t="s">
        <v>21</v>
      </c>
      <c r="J7499" s="42">
        <v>44530</v>
      </c>
      <c r="K7499" s="33" t="s">
        <v>22</v>
      </c>
    </row>
    <row r="7500" spans="1:11">
      <c r="A7500" s="30" t="s">
        <v>17415</v>
      </c>
      <c r="B7500" s="30" t="s">
        <v>17416</v>
      </c>
      <c r="C7500" s="30" t="s">
        <v>450</v>
      </c>
      <c r="D7500" s="30" t="s">
        <v>17</v>
      </c>
      <c r="E7500" s="30" t="s">
        <v>18</v>
      </c>
      <c r="F7500" s="30" t="s">
        <v>19</v>
      </c>
      <c r="G7500" s="30" t="s">
        <v>106</v>
      </c>
      <c r="H7500" s="32">
        <v>16</v>
      </c>
      <c r="I7500" s="30" t="s">
        <v>21</v>
      </c>
      <c r="J7500" s="41">
        <v>44376</v>
      </c>
      <c r="K7500" s="30" t="s">
        <v>22</v>
      </c>
    </row>
    <row r="7501" spans="1:11">
      <c r="A7501" s="33" t="s">
        <v>17417</v>
      </c>
      <c r="B7501" s="33" t="s">
        <v>17418</v>
      </c>
      <c r="C7501" s="33" t="s">
        <v>3246</v>
      </c>
      <c r="D7501" s="33" t="s">
        <v>17</v>
      </c>
      <c r="E7501" s="33" t="s">
        <v>31</v>
      </c>
      <c r="F7501" s="33" t="s">
        <v>32</v>
      </c>
      <c r="G7501" s="33" t="s">
        <v>112</v>
      </c>
      <c r="H7501" s="35">
        <v>0</v>
      </c>
      <c r="I7501" s="33" t="s">
        <v>21</v>
      </c>
      <c r="J7501" s="42">
        <v>44531</v>
      </c>
      <c r="K7501" s="33" t="s">
        <v>22</v>
      </c>
    </row>
    <row r="7502" spans="1:11">
      <c r="A7502" s="30" t="s">
        <v>17419</v>
      </c>
      <c r="B7502" s="30" t="s">
        <v>17420</v>
      </c>
      <c r="C7502" s="30" t="s">
        <v>109</v>
      </c>
      <c r="D7502" s="30" t="s">
        <v>17</v>
      </c>
      <c r="E7502" s="30" t="s">
        <v>31</v>
      </c>
      <c r="F7502" s="30" t="s">
        <v>32</v>
      </c>
      <c r="G7502" s="30" t="s">
        <v>20</v>
      </c>
      <c r="H7502" s="32">
        <v>115</v>
      </c>
      <c r="I7502" s="30" t="s">
        <v>21</v>
      </c>
      <c r="J7502" s="41">
        <v>44459</v>
      </c>
      <c r="K7502" s="30" t="s">
        <v>22</v>
      </c>
    </row>
    <row r="7503" spans="1:11">
      <c r="A7503" s="33" t="s">
        <v>17421</v>
      </c>
      <c r="B7503" s="33" t="s">
        <v>17422</v>
      </c>
      <c r="C7503" s="33" t="s">
        <v>10874</v>
      </c>
      <c r="D7503" s="33" t="s">
        <v>17</v>
      </c>
      <c r="E7503" s="33" t="s">
        <v>18</v>
      </c>
      <c r="F7503" s="33" t="s">
        <v>19</v>
      </c>
      <c r="G7503" s="33" t="s">
        <v>50</v>
      </c>
      <c r="H7503" s="35">
        <v>385</v>
      </c>
      <c r="I7503" s="33" t="s">
        <v>51</v>
      </c>
      <c r="J7503" s="42">
        <v>44280</v>
      </c>
      <c r="K7503" s="33" t="s">
        <v>22</v>
      </c>
    </row>
    <row r="7504" spans="1:11">
      <c r="A7504" s="30" t="s">
        <v>17423</v>
      </c>
      <c r="B7504" s="30" t="s">
        <v>17424</v>
      </c>
      <c r="C7504" s="30" t="s">
        <v>178</v>
      </c>
      <c r="D7504" s="30" t="s">
        <v>17</v>
      </c>
      <c r="E7504" s="30" t="s">
        <v>18</v>
      </c>
      <c r="F7504" s="30" t="s">
        <v>19</v>
      </c>
      <c r="G7504" s="30" t="s">
        <v>20</v>
      </c>
      <c r="H7504" s="32">
        <v>1036</v>
      </c>
      <c r="I7504" s="30" t="s">
        <v>21</v>
      </c>
      <c r="J7504" s="41">
        <v>44305</v>
      </c>
      <c r="K7504" s="30" t="s">
        <v>22</v>
      </c>
    </row>
    <row r="7505" spans="1:11">
      <c r="A7505" s="33" t="s">
        <v>17425</v>
      </c>
      <c r="B7505" s="33" t="s">
        <v>17426</v>
      </c>
      <c r="C7505" s="33" t="s">
        <v>1267</v>
      </c>
      <c r="D7505" s="33" t="s">
        <v>17</v>
      </c>
      <c r="E7505" s="33" t="s">
        <v>67</v>
      </c>
      <c r="F7505" s="33" t="s">
        <v>68</v>
      </c>
      <c r="G7505" s="33" t="s">
        <v>20</v>
      </c>
      <c r="H7505" s="35">
        <v>227</v>
      </c>
      <c r="I7505" s="33" t="s">
        <v>21</v>
      </c>
      <c r="J7505" s="42">
        <v>44326</v>
      </c>
      <c r="K7505" s="33" t="s">
        <v>22</v>
      </c>
    </row>
    <row r="7506" spans="1:11">
      <c r="A7506" s="30" t="s">
        <v>17427</v>
      </c>
      <c r="B7506" s="30" t="s">
        <v>17428</v>
      </c>
      <c r="C7506" s="30" t="s">
        <v>891</v>
      </c>
      <c r="D7506" s="30" t="s">
        <v>17</v>
      </c>
      <c r="E7506" s="30" t="s">
        <v>67</v>
      </c>
      <c r="F7506" s="30" t="s">
        <v>68</v>
      </c>
      <c r="G7506" s="30" t="s">
        <v>50</v>
      </c>
      <c r="H7506" s="32">
        <v>142</v>
      </c>
      <c r="I7506" s="30" t="s">
        <v>51</v>
      </c>
      <c r="J7506" s="41">
        <v>44246</v>
      </c>
      <c r="K7506" s="30" t="s">
        <v>22</v>
      </c>
    </row>
    <row r="7507" spans="1:11">
      <c r="A7507" s="33" t="s">
        <v>17429</v>
      </c>
      <c r="B7507" s="33" t="s">
        <v>17430</v>
      </c>
      <c r="C7507" s="33" t="s">
        <v>17431</v>
      </c>
      <c r="D7507" s="33" t="s">
        <v>17</v>
      </c>
      <c r="E7507" s="33" t="s">
        <v>45</v>
      </c>
      <c r="F7507" s="33" t="s">
        <v>46</v>
      </c>
      <c r="G7507" s="33" t="s">
        <v>50</v>
      </c>
      <c r="H7507" s="35">
        <v>420</v>
      </c>
      <c r="I7507" s="33" t="s">
        <v>51</v>
      </c>
      <c r="J7507" s="42">
        <v>44407</v>
      </c>
      <c r="K7507" s="33" t="s">
        <v>22</v>
      </c>
    </row>
    <row r="7508" spans="1:11">
      <c r="A7508" s="30" t="s">
        <v>17432</v>
      </c>
      <c r="B7508" s="30" t="s">
        <v>17433</v>
      </c>
      <c r="C7508" s="30" t="s">
        <v>75</v>
      </c>
      <c r="D7508" s="30" t="s">
        <v>17</v>
      </c>
      <c r="E7508" s="30" t="s">
        <v>67</v>
      </c>
      <c r="F7508" s="30" t="s">
        <v>68</v>
      </c>
      <c r="G7508" s="30" t="s">
        <v>112</v>
      </c>
      <c r="H7508" s="32">
        <v>0</v>
      </c>
      <c r="I7508" s="30" t="s">
        <v>21</v>
      </c>
      <c r="J7508" s="41">
        <v>44301</v>
      </c>
      <c r="K7508" s="30" t="s">
        <v>22</v>
      </c>
    </row>
    <row r="7509" spans="1:11">
      <c r="A7509" s="33" t="s">
        <v>17434</v>
      </c>
      <c r="B7509" s="33" t="s">
        <v>17435</v>
      </c>
      <c r="C7509" s="33" t="s">
        <v>1718</v>
      </c>
      <c r="D7509" s="33" t="s">
        <v>17</v>
      </c>
      <c r="E7509" s="33" t="s">
        <v>26</v>
      </c>
      <c r="F7509" s="33" t="s">
        <v>27</v>
      </c>
      <c r="G7509" s="33" t="s">
        <v>20</v>
      </c>
      <c r="H7509" s="35">
        <v>294</v>
      </c>
      <c r="I7509" s="33" t="s">
        <v>21</v>
      </c>
      <c r="J7509" s="42">
        <v>44341</v>
      </c>
      <c r="K7509" s="33" t="s">
        <v>22</v>
      </c>
    </row>
    <row r="7510" spans="1:11">
      <c r="A7510" s="30" t="s">
        <v>17436</v>
      </c>
      <c r="B7510" s="30" t="s">
        <v>17437</v>
      </c>
      <c r="C7510" s="30" t="s">
        <v>1598</v>
      </c>
      <c r="D7510" s="30" t="s">
        <v>17</v>
      </c>
      <c r="E7510" s="30" t="s">
        <v>26</v>
      </c>
      <c r="F7510" s="30" t="s">
        <v>27</v>
      </c>
      <c r="G7510" s="30" t="s">
        <v>20</v>
      </c>
      <c r="H7510" s="32">
        <v>60</v>
      </c>
      <c r="I7510" s="30" t="s">
        <v>21</v>
      </c>
      <c r="J7510" s="41">
        <v>44446</v>
      </c>
      <c r="K7510" s="30" t="s">
        <v>22</v>
      </c>
    </row>
    <row r="7511" spans="1:11">
      <c r="A7511" s="33" t="s">
        <v>17438</v>
      </c>
      <c r="B7511" s="33" t="s">
        <v>17439</v>
      </c>
      <c r="C7511" s="33" t="s">
        <v>3622</v>
      </c>
      <c r="D7511" s="33" t="s">
        <v>17</v>
      </c>
      <c r="E7511" s="33" t="s">
        <v>26</v>
      </c>
      <c r="F7511" s="33" t="s">
        <v>27</v>
      </c>
      <c r="G7511" s="33" t="s">
        <v>20</v>
      </c>
      <c r="H7511" s="35">
        <v>51</v>
      </c>
      <c r="I7511" s="33" t="s">
        <v>21</v>
      </c>
      <c r="J7511" s="42">
        <v>44287</v>
      </c>
      <c r="K7511" s="33" t="s">
        <v>22</v>
      </c>
    </row>
    <row r="7512" spans="1:11">
      <c r="A7512" s="30" t="s">
        <v>17440</v>
      </c>
      <c r="B7512" s="30" t="s">
        <v>17441</v>
      </c>
      <c r="C7512" s="30" t="s">
        <v>16692</v>
      </c>
      <c r="D7512" s="30" t="s">
        <v>17</v>
      </c>
      <c r="E7512" s="30" t="s">
        <v>26</v>
      </c>
      <c r="F7512" s="30" t="s">
        <v>27</v>
      </c>
      <c r="G7512" s="30" t="s">
        <v>106</v>
      </c>
      <c r="H7512" s="32">
        <v>32</v>
      </c>
      <c r="I7512" s="30" t="s">
        <v>21</v>
      </c>
      <c r="J7512" s="41">
        <v>44370</v>
      </c>
      <c r="K7512" s="30" t="s">
        <v>22</v>
      </c>
    </row>
    <row r="7513" spans="1:11">
      <c r="A7513" s="33" t="s">
        <v>17442</v>
      </c>
      <c r="B7513" s="33" t="s">
        <v>17443</v>
      </c>
      <c r="C7513" s="33" t="s">
        <v>102</v>
      </c>
      <c r="D7513" s="33" t="s">
        <v>17</v>
      </c>
      <c r="E7513" s="33" t="s">
        <v>18</v>
      </c>
      <c r="F7513" s="33" t="s">
        <v>19</v>
      </c>
      <c r="G7513" s="33" t="s">
        <v>20</v>
      </c>
      <c r="H7513" s="35">
        <v>17797</v>
      </c>
      <c r="I7513" s="33" t="s">
        <v>21</v>
      </c>
      <c r="J7513" s="42">
        <v>44377</v>
      </c>
      <c r="K7513" s="33" t="s">
        <v>22</v>
      </c>
    </row>
    <row r="7514" spans="1:11">
      <c r="A7514" s="30" t="s">
        <v>17444</v>
      </c>
      <c r="B7514" s="30" t="s">
        <v>17445</v>
      </c>
      <c r="C7514" s="30" t="s">
        <v>15090</v>
      </c>
      <c r="D7514" s="30" t="s">
        <v>17</v>
      </c>
      <c r="E7514" s="30" t="s">
        <v>212</v>
      </c>
      <c r="F7514" s="30" t="s">
        <v>213</v>
      </c>
      <c r="G7514" s="30" t="s">
        <v>20</v>
      </c>
      <c r="H7514" s="32">
        <v>101</v>
      </c>
      <c r="I7514" s="30" t="s">
        <v>21</v>
      </c>
      <c r="J7514" s="41">
        <v>44218</v>
      </c>
      <c r="K7514" s="30" t="s">
        <v>22</v>
      </c>
    </row>
    <row r="7515" spans="1:11">
      <c r="A7515" s="33" t="s">
        <v>17446</v>
      </c>
      <c r="B7515" s="33" t="s">
        <v>17447</v>
      </c>
      <c r="C7515" s="33" t="s">
        <v>8115</v>
      </c>
      <c r="D7515" s="33" t="s">
        <v>17</v>
      </c>
      <c r="E7515" s="33" t="s">
        <v>31</v>
      </c>
      <c r="F7515" s="33" t="s">
        <v>32</v>
      </c>
      <c r="G7515" s="33" t="s">
        <v>20</v>
      </c>
      <c r="H7515" s="35">
        <v>140</v>
      </c>
      <c r="I7515" s="33" t="s">
        <v>21</v>
      </c>
      <c r="J7515" s="42">
        <v>44281</v>
      </c>
      <c r="K7515" s="33" t="s">
        <v>22</v>
      </c>
    </row>
    <row r="7516" spans="1:11">
      <c r="A7516" s="30" t="s">
        <v>17448</v>
      </c>
      <c r="B7516" s="30" t="s">
        <v>17449</v>
      </c>
      <c r="C7516" s="30" t="s">
        <v>1210</v>
      </c>
      <c r="D7516" s="30" t="s">
        <v>17</v>
      </c>
      <c r="E7516" s="30" t="s">
        <v>26</v>
      </c>
      <c r="F7516" s="30" t="s">
        <v>27</v>
      </c>
      <c r="G7516" s="30" t="s">
        <v>20</v>
      </c>
      <c r="H7516" s="32">
        <v>46</v>
      </c>
      <c r="I7516" s="30" t="s">
        <v>21</v>
      </c>
      <c r="J7516" s="41">
        <v>44209</v>
      </c>
      <c r="K7516" s="30" t="s">
        <v>22</v>
      </c>
    </row>
    <row r="7517" spans="1:11">
      <c r="A7517" s="33" t="s">
        <v>17450</v>
      </c>
      <c r="B7517" s="33" t="s">
        <v>17451</v>
      </c>
      <c r="C7517" s="33" t="s">
        <v>318</v>
      </c>
      <c r="D7517" s="33" t="s">
        <v>17</v>
      </c>
      <c r="E7517" s="33" t="s">
        <v>212</v>
      </c>
      <c r="F7517" s="33" t="s">
        <v>213</v>
      </c>
      <c r="G7517" s="33" t="s">
        <v>20</v>
      </c>
      <c r="H7517" s="35">
        <v>54</v>
      </c>
      <c r="I7517" s="33" t="s">
        <v>21</v>
      </c>
      <c r="J7517" s="42">
        <v>44222</v>
      </c>
      <c r="K7517" s="33" t="s">
        <v>22</v>
      </c>
    </row>
    <row r="7518" spans="1:11">
      <c r="A7518" s="30" t="s">
        <v>17452</v>
      </c>
      <c r="B7518" s="30" t="s">
        <v>17453</v>
      </c>
      <c r="C7518" s="30" t="s">
        <v>17454</v>
      </c>
      <c r="D7518" s="30" t="s">
        <v>17</v>
      </c>
      <c r="E7518" s="30" t="s">
        <v>26</v>
      </c>
      <c r="F7518" s="30" t="s">
        <v>27</v>
      </c>
      <c r="G7518" s="30" t="s">
        <v>50</v>
      </c>
      <c r="H7518" s="32">
        <v>27</v>
      </c>
      <c r="I7518" s="30" t="s">
        <v>51</v>
      </c>
      <c r="J7518" s="41">
        <v>44421</v>
      </c>
      <c r="K7518" s="30" t="s">
        <v>22</v>
      </c>
    </row>
    <row r="7519" spans="1:11">
      <c r="A7519" s="33" t="s">
        <v>17455</v>
      </c>
      <c r="B7519" s="33" t="s">
        <v>17456</v>
      </c>
      <c r="C7519" s="33" t="s">
        <v>93</v>
      </c>
      <c r="D7519" s="33" t="s">
        <v>17</v>
      </c>
      <c r="E7519" s="33" t="s">
        <v>18</v>
      </c>
      <c r="F7519" s="33" t="s">
        <v>19</v>
      </c>
      <c r="G7519" s="33" t="s">
        <v>20</v>
      </c>
      <c r="H7519" s="35">
        <v>426</v>
      </c>
      <c r="I7519" s="33" t="s">
        <v>21</v>
      </c>
      <c r="J7519" s="42">
        <v>44418</v>
      </c>
      <c r="K7519" s="33" t="s">
        <v>22</v>
      </c>
    </row>
    <row r="7520" spans="1:11">
      <c r="A7520" s="30" t="s">
        <v>17457</v>
      </c>
      <c r="B7520" s="30" t="s">
        <v>17458</v>
      </c>
      <c r="C7520" s="30" t="s">
        <v>17282</v>
      </c>
      <c r="D7520" s="30" t="s">
        <v>17</v>
      </c>
      <c r="E7520" s="30" t="s">
        <v>212</v>
      </c>
      <c r="F7520" s="30" t="s">
        <v>213</v>
      </c>
      <c r="G7520" s="30" t="s">
        <v>20</v>
      </c>
      <c r="H7520" s="32">
        <v>470</v>
      </c>
      <c r="I7520" s="30" t="s">
        <v>21</v>
      </c>
      <c r="J7520" s="41">
        <v>44236</v>
      </c>
      <c r="K7520" s="30" t="s">
        <v>22</v>
      </c>
    </row>
    <row r="7521" spans="1:11">
      <c r="A7521" s="33" t="s">
        <v>17459</v>
      </c>
      <c r="B7521" s="33" t="s">
        <v>17460</v>
      </c>
      <c r="C7521" s="33" t="s">
        <v>17461</v>
      </c>
      <c r="D7521" s="33" t="s">
        <v>17</v>
      </c>
      <c r="E7521" s="33" t="s">
        <v>67</v>
      </c>
      <c r="F7521" s="33" t="s">
        <v>68</v>
      </c>
      <c r="G7521" s="33" t="s">
        <v>158</v>
      </c>
      <c r="H7521" s="35">
        <v>94</v>
      </c>
      <c r="I7521" s="33" t="s">
        <v>21</v>
      </c>
      <c r="J7521" s="42">
        <v>44456</v>
      </c>
      <c r="K7521" s="33" t="s">
        <v>22</v>
      </c>
    </row>
    <row r="7522" spans="1:11">
      <c r="A7522" s="30" t="s">
        <v>17462</v>
      </c>
      <c r="B7522" s="30" t="s">
        <v>17463</v>
      </c>
      <c r="C7522" s="30" t="s">
        <v>17220</v>
      </c>
      <c r="D7522" s="30" t="s">
        <v>17</v>
      </c>
      <c r="E7522" s="30" t="s">
        <v>67</v>
      </c>
      <c r="F7522" s="30" t="s">
        <v>68</v>
      </c>
      <c r="G7522" s="30" t="s">
        <v>20</v>
      </c>
      <c r="H7522" s="32">
        <v>34</v>
      </c>
      <c r="I7522" s="30" t="s">
        <v>21</v>
      </c>
      <c r="J7522" s="41">
        <v>44515</v>
      </c>
      <c r="K7522" s="30" t="s">
        <v>22</v>
      </c>
    </row>
    <row r="7523" spans="1:11">
      <c r="A7523" s="33" t="s">
        <v>17464</v>
      </c>
      <c r="B7523" s="33" t="s">
        <v>17465</v>
      </c>
      <c r="C7523" s="33" t="s">
        <v>17466</v>
      </c>
      <c r="D7523" s="33" t="s">
        <v>17</v>
      </c>
      <c r="E7523" s="33" t="s">
        <v>31</v>
      </c>
      <c r="F7523" s="33" t="s">
        <v>32</v>
      </c>
      <c r="G7523" s="33" t="s">
        <v>50</v>
      </c>
      <c r="H7523" s="35">
        <v>190</v>
      </c>
      <c r="I7523" s="33" t="s">
        <v>51</v>
      </c>
      <c r="J7523" s="42">
        <v>44281</v>
      </c>
      <c r="K7523" s="33" t="s">
        <v>22</v>
      </c>
    </row>
    <row r="7524" spans="1:11">
      <c r="A7524" s="30" t="s">
        <v>17467</v>
      </c>
      <c r="B7524" s="30" t="s">
        <v>17468</v>
      </c>
      <c r="C7524" s="30" t="s">
        <v>17469</v>
      </c>
      <c r="D7524" s="30" t="s">
        <v>17</v>
      </c>
      <c r="E7524" s="30" t="s">
        <v>31</v>
      </c>
      <c r="F7524" s="30" t="s">
        <v>32</v>
      </c>
      <c r="G7524" s="30" t="s">
        <v>20</v>
      </c>
      <c r="H7524" s="32">
        <v>76</v>
      </c>
      <c r="I7524" s="30" t="s">
        <v>21</v>
      </c>
      <c r="J7524" s="41">
        <v>44501</v>
      </c>
      <c r="K7524" s="30" t="s">
        <v>22</v>
      </c>
    </row>
    <row r="7525" spans="1:11">
      <c r="A7525" s="33" t="s">
        <v>17470</v>
      </c>
      <c r="B7525" s="33" t="s">
        <v>17471</v>
      </c>
      <c r="C7525" s="33" t="s">
        <v>801</v>
      </c>
      <c r="D7525" s="33" t="s">
        <v>17</v>
      </c>
      <c r="E7525" s="33" t="s">
        <v>26</v>
      </c>
      <c r="F7525" s="33" t="s">
        <v>27</v>
      </c>
      <c r="G7525" s="33" t="s">
        <v>20</v>
      </c>
      <c r="H7525" s="35">
        <v>31</v>
      </c>
      <c r="I7525" s="33" t="s">
        <v>21</v>
      </c>
      <c r="J7525" s="42">
        <v>44523</v>
      </c>
      <c r="K7525" s="33" t="s">
        <v>22</v>
      </c>
    </row>
    <row r="7526" spans="1:11">
      <c r="A7526" s="30" t="s">
        <v>17472</v>
      </c>
      <c r="B7526" s="30" t="s">
        <v>17473</v>
      </c>
      <c r="C7526" s="30" t="s">
        <v>127</v>
      </c>
      <c r="D7526" s="30" t="s">
        <v>17</v>
      </c>
      <c r="E7526" s="30" t="s">
        <v>18</v>
      </c>
      <c r="F7526" s="30" t="s">
        <v>19</v>
      </c>
      <c r="G7526" s="30" t="s">
        <v>20</v>
      </c>
      <c r="H7526" s="32">
        <v>451</v>
      </c>
      <c r="I7526" s="30" t="s">
        <v>21</v>
      </c>
      <c r="J7526" s="41">
        <v>44551</v>
      </c>
      <c r="K7526" s="30" t="s">
        <v>22</v>
      </c>
    </row>
    <row r="7527" spans="1:11">
      <c r="A7527" s="33" t="s">
        <v>17474</v>
      </c>
      <c r="B7527" s="33" t="s">
        <v>17475</v>
      </c>
      <c r="C7527" s="33" t="s">
        <v>5588</v>
      </c>
      <c r="D7527" s="33" t="s">
        <v>17</v>
      </c>
      <c r="E7527" s="33" t="s">
        <v>31</v>
      </c>
      <c r="F7527" s="33" t="s">
        <v>32</v>
      </c>
      <c r="G7527" s="33" t="s">
        <v>50</v>
      </c>
      <c r="H7527" s="35">
        <v>92</v>
      </c>
      <c r="I7527" s="33" t="s">
        <v>51</v>
      </c>
      <c r="J7527" s="42">
        <v>44382</v>
      </c>
      <c r="K7527" s="33" t="s">
        <v>22</v>
      </c>
    </row>
    <row r="7528" spans="1:11">
      <c r="A7528" s="30" t="s">
        <v>17476</v>
      </c>
      <c r="B7528" s="30" t="s">
        <v>17477</v>
      </c>
      <c r="C7528" s="30" t="s">
        <v>684</v>
      </c>
      <c r="D7528" s="30" t="s">
        <v>17</v>
      </c>
      <c r="E7528" s="30" t="s">
        <v>18</v>
      </c>
      <c r="F7528" s="30" t="s">
        <v>19</v>
      </c>
      <c r="G7528" s="30" t="s">
        <v>158</v>
      </c>
      <c r="H7528" s="32">
        <v>313</v>
      </c>
      <c r="I7528" s="30" t="s">
        <v>21</v>
      </c>
      <c r="J7528" s="41">
        <v>44252</v>
      </c>
      <c r="K7528" s="30" t="s">
        <v>22</v>
      </c>
    </row>
    <row r="7529" spans="1:11">
      <c r="A7529" s="33" t="s">
        <v>17478</v>
      </c>
      <c r="B7529" s="33" t="s">
        <v>17479</v>
      </c>
      <c r="C7529" s="33" t="s">
        <v>17480</v>
      </c>
      <c r="D7529" s="33" t="s">
        <v>17</v>
      </c>
      <c r="E7529" s="33" t="s">
        <v>18</v>
      </c>
      <c r="F7529" s="33" t="s">
        <v>19</v>
      </c>
      <c r="G7529" s="33" t="s">
        <v>20</v>
      </c>
      <c r="H7529" s="35">
        <v>1164</v>
      </c>
      <c r="I7529" s="33" t="s">
        <v>21</v>
      </c>
      <c r="J7529" s="42">
        <v>44273</v>
      </c>
      <c r="K7529" s="33" t="s">
        <v>22</v>
      </c>
    </row>
    <row r="7530" spans="1:11">
      <c r="A7530" s="30" t="s">
        <v>17481</v>
      </c>
      <c r="B7530" s="30" t="s">
        <v>17482</v>
      </c>
      <c r="C7530" s="30" t="s">
        <v>9885</v>
      </c>
      <c r="D7530" s="30" t="s">
        <v>17</v>
      </c>
      <c r="E7530" s="30" t="s">
        <v>31</v>
      </c>
      <c r="F7530" s="30" t="s">
        <v>32</v>
      </c>
      <c r="G7530" s="30" t="s">
        <v>20</v>
      </c>
      <c r="H7530" s="32">
        <v>61</v>
      </c>
      <c r="I7530" s="30" t="s">
        <v>21</v>
      </c>
      <c r="J7530" s="41">
        <v>44277</v>
      </c>
      <c r="K7530" s="30" t="s">
        <v>22</v>
      </c>
    </row>
    <row r="7531" spans="1:11">
      <c r="A7531" s="33" t="s">
        <v>17483</v>
      </c>
      <c r="B7531" s="33" t="s">
        <v>17484</v>
      </c>
      <c r="C7531" s="33" t="s">
        <v>222</v>
      </c>
      <c r="D7531" s="33" t="s">
        <v>17</v>
      </c>
      <c r="E7531" s="33" t="s">
        <v>31</v>
      </c>
      <c r="F7531" s="33" t="s">
        <v>32</v>
      </c>
      <c r="G7531" s="33" t="s">
        <v>158</v>
      </c>
      <c r="H7531" s="35">
        <v>277</v>
      </c>
      <c r="I7531" s="33" t="s">
        <v>21</v>
      </c>
      <c r="J7531" s="42">
        <v>44229</v>
      </c>
      <c r="K7531" s="33" t="s">
        <v>22</v>
      </c>
    </row>
    <row r="7532" spans="1:11">
      <c r="A7532" s="30" t="s">
        <v>17485</v>
      </c>
      <c r="B7532" s="30" t="s">
        <v>17486</v>
      </c>
      <c r="C7532" s="30" t="s">
        <v>925</v>
      </c>
      <c r="D7532" s="30" t="s">
        <v>17</v>
      </c>
      <c r="E7532" s="30" t="s">
        <v>18</v>
      </c>
      <c r="F7532" s="30" t="s">
        <v>19</v>
      </c>
      <c r="G7532" s="30" t="s">
        <v>20</v>
      </c>
      <c r="H7532" s="32">
        <v>193</v>
      </c>
      <c r="I7532" s="30" t="s">
        <v>21</v>
      </c>
      <c r="J7532" s="41">
        <v>44307</v>
      </c>
      <c r="K7532" s="30" t="s">
        <v>22</v>
      </c>
    </row>
    <row r="7533" spans="1:11">
      <c r="A7533" s="33" t="s">
        <v>17487</v>
      </c>
      <c r="B7533" s="33" t="s">
        <v>17488</v>
      </c>
      <c r="C7533" s="33" t="s">
        <v>149</v>
      </c>
      <c r="D7533" s="33" t="s">
        <v>17</v>
      </c>
      <c r="E7533" s="33" t="s">
        <v>67</v>
      </c>
      <c r="F7533" s="33" t="s">
        <v>68</v>
      </c>
      <c r="G7533" s="33" t="s">
        <v>50</v>
      </c>
      <c r="H7533" s="35">
        <v>157</v>
      </c>
      <c r="I7533" s="33" t="s">
        <v>21</v>
      </c>
      <c r="J7533" s="42">
        <v>44309</v>
      </c>
      <c r="K7533" s="33" t="s">
        <v>22</v>
      </c>
    </row>
    <row r="7534" spans="1:11">
      <c r="A7534" s="30" t="s">
        <v>17489</v>
      </c>
      <c r="B7534" s="30" t="s">
        <v>17490</v>
      </c>
      <c r="C7534" s="30" t="s">
        <v>16597</v>
      </c>
      <c r="D7534" s="30" t="s">
        <v>17</v>
      </c>
      <c r="E7534" s="30" t="s">
        <v>31</v>
      </c>
      <c r="F7534" s="30" t="s">
        <v>32</v>
      </c>
      <c r="G7534" s="30" t="s">
        <v>20</v>
      </c>
      <c r="H7534" s="32">
        <v>24</v>
      </c>
      <c r="I7534" s="30" t="s">
        <v>21</v>
      </c>
      <c r="J7534" s="41">
        <v>44343</v>
      </c>
      <c r="K7534" s="30" t="s">
        <v>22</v>
      </c>
    </row>
    <row r="7535" spans="1:11">
      <c r="A7535" s="33" t="s">
        <v>17491</v>
      </c>
      <c r="B7535" s="33" t="s">
        <v>17492</v>
      </c>
      <c r="C7535" s="33" t="s">
        <v>109</v>
      </c>
      <c r="D7535" s="33" t="s">
        <v>17</v>
      </c>
      <c r="E7535" s="33" t="s">
        <v>212</v>
      </c>
      <c r="F7535" s="33" t="s">
        <v>213</v>
      </c>
      <c r="G7535" s="33" t="s">
        <v>20</v>
      </c>
      <c r="H7535" s="35">
        <v>98</v>
      </c>
      <c r="I7535" s="33" t="s">
        <v>21</v>
      </c>
      <c r="J7535" s="42">
        <v>44247</v>
      </c>
      <c r="K7535" s="33" t="s">
        <v>22</v>
      </c>
    </row>
    <row r="7536" spans="1:11">
      <c r="A7536" s="30" t="s">
        <v>17493</v>
      </c>
      <c r="B7536" s="30" t="s">
        <v>17494</v>
      </c>
      <c r="C7536" s="30" t="s">
        <v>549</v>
      </c>
      <c r="D7536" s="30" t="s">
        <v>17</v>
      </c>
      <c r="E7536" s="30" t="s">
        <v>31</v>
      </c>
      <c r="F7536" s="30" t="s">
        <v>32</v>
      </c>
      <c r="G7536" s="30" t="s">
        <v>20</v>
      </c>
      <c r="H7536" s="32">
        <v>466</v>
      </c>
      <c r="I7536" s="30" t="s">
        <v>21</v>
      </c>
      <c r="J7536" s="41">
        <v>44356</v>
      </c>
      <c r="K7536" s="30" t="s">
        <v>22</v>
      </c>
    </row>
    <row r="7537" spans="1:11">
      <c r="A7537" s="33" t="s">
        <v>17495</v>
      </c>
      <c r="B7537" s="33" t="s">
        <v>17496</v>
      </c>
      <c r="C7537" s="33" t="s">
        <v>647</v>
      </c>
      <c r="D7537" s="33" t="s">
        <v>17</v>
      </c>
      <c r="E7537" s="33" t="s">
        <v>26</v>
      </c>
      <c r="F7537" s="33" t="s">
        <v>27</v>
      </c>
      <c r="G7537" s="33" t="s">
        <v>20</v>
      </c>
      <c r="H7537" s="35">
        <v>27</v>
      </c>
      <c r="I7537" s="33" t="s">
        <v>21</v>
      </c>
      <c r="J7537" s="42">
        <v>44243</v>
      </c>
      <c r="K7537" s="33" t="s">
        <v>22</v>
      </c>
    </row>
    <row r="7538" spans="1:11">
      <c r="A7538" s="30" t="s">
        <v>17497</v>
      </c>
      <c r="B7538" s="30" t="s">
        <v>17498</v>
      </c>
      <c r="C7538" s="30" t="s">
        <v>4453</v>
      </c>
      <c r="D7538" s="30" t="s">
        <v>17</v>
      </c>
      <c r="E7538" s="30" t="s">
        <v>31</v>
      </c>
      <c r="F7538" s="30" t="s">
        <v>32</v>
      </c>
      <c r="G7538" s="30" t="s">
        <v>20</v>
      </c>
      <c r="H7538" s="32">
        <v>322</v>
      </c>
      <c r="I7538" s="30" t="s">
        <v>21</v>
      </c>
      <c r="J7538" s="41">
        <v>44327</v>
      </c>
      <c r="K7538" s="30" t="s">
        <v>22</v>
      </c>
    </row>
    <row r="7539" spans="1:11">
      <c r="A7539" s="33" t="s">
        <v>17499</v>
      </c>
      <c r="B7539" s="33" t="s">
        <v>17500</v>
      </c>
      <c r="C7539" s="33" t="s">
        <v>17501</v>
      </c>
      <c r="D7539" s="33" t="s">
        <v>17</v>
      </c>
      <c r="E7539" s="33" t="s">
        <v>26</v>
      </c>
      <c r="F7539" s="33" t="s">
        <v>27</v>
      </c>
      <c r="G7539" s="33" t="s">
        <v>20</v>
      </c>
      <c r="H7539" s="35">
        <v>104</v>
      </c>
      <c r="I7539" s="33" t="s">
        <v>21</v>
      </c>
      <c r="J7539" s="42">
        <v>44461</v>
      </c>
      <c r="K7539" s="33" t="s">
        <v>22</v>
      </c>
    </row>
    <row r="7540" spans="1:11">
      <c r="A7540" s="30" t="s">
        <v>17502</v>
      </c>
      <c r="B7540" s="30" t="s">
        <v>17503</v>
      </c>
      <c r="C7540" s="30" t="s">
        <v>570</v>
      </c>
      <c r="D7540" s="30" t="s">
        <v>17</v>
      </c>
      <c r="E7540" s="30" t="s">
        <v>31</v>
      </c>
      <c r="F7540" s="30" t="s">
        <v>32</v>
      </c>
      <c r="G7540" s="30" t="s">
        <v>50</v>
      </c>
      <c r="H7540" s="32">
        <v>60</v>
      </c>
      <c r="I7540" s="30" t="s">
        <v>51</v>
      </c>
      <c r="J7540" s="41">
        <v>44346</v>
      </c>
      <c r="K7540" s="30" t="s">
        <v>22</v>
      </c>
    </row>
    <row r="7541" spans="1:11">
      <c r="A7541" s="33" t="s">
        <v>17504</v>
      </c>
      <c r="B7541" s="33" t="s">
        <v>17505</v>
      </c>
      <c r="C7541" s="33" t="s">
        <v>72</v>
      </c>
      <c r="D7541" s="33" t="s">
        <v>17</v>
      </c>
      <c r="E7541" s="33" t="s">
        <v>26</v>
      </c>
      <c r="F7541" s="33" t="s">
        <v>27</v>
      </c>
      <c r="G7541" s="33" t="s">
        <v>50</v>
      </c>
      <c r="H7541" s="35">
        <v>350</v>
      </c>
      <c r="I7541" s="33" t="s">
        <v>51</v>
      </c>
      <c r="J7541" s="42">
        <v>44252</v>
      </c>
      <c r="K7541" s="33" t="s">
        <v>22</v>
      </c>
    </row>
    <row r="7542" spans="1:11">
      <c r="A7542" s="30" t="s">
        <v>17506</v>
      </c>
      <c r="B7542" s="30" t="s">
        <v>17507</v>
      </c>
      <c r="C7542" s="30" t="s">
        <v>161</v>
      </c>
      <c r="D7542" s="30" t="s">
        <v>17</v>
      </c>
      <c r="E7542" s="30" t="s">
        <v>26</v>
      </c>
      <c r="F7542" s="30" t="s">
        <v>27</v>
      </c>
      <c r="G7542" s="30" t="s">
        <v>20</v>
      </c>
      <c r="H7542" s="32">
        <v>28</v>
      </c>
      <c r="I7542" s="30" t="s">
        <v>21</v>
      </c>
      <c r="J7542" s="41">
        <v>44484</v>
      </c>
      <c r="K7542" s="30" t="s">
        <v>22</v>
      </c>
    </row>
    <row r="7543" spans="1:11">
      <c r="A7543" s="33" t="s">
        <v>17508</v>
      </c>
      <c r="B7543" s="33" t="s">
        <v>17509</v>
      </c>
      <c r="C7543" s="33" t="s">
        <v>187</v>
      </c>
      <c r="D7543" s="33" t="s">
        <v>17</v>
      </c>
      <c r="E7543" s="33" t="s">
        <v>31</v>
      </c>
      <c r="F7543" s="33" t="s">
        <v>32</v>
      </c>
      <c r="G7543" s="33" t="s">
        <v>50</v>
      </c>
      <c r="H7543" s="35">
        <v>113</v>
      </c>
      <c r="I7543" s="33" t="s">
        <v>51</v>
      </c>
      <c r="J7543" s="42">
        <v>44531</v>
      </c>
      <c r="K7543" s="33" t="s">
        <v>22</v>
      </c>
    </row>
    <row r="7544" spans="1:11">
      <c r="A7544" s="30" t="s">
        <v>17510</v>
      </c>
      <c r="B7544" s="30" t="s">
        <v>17511</v>
      </c>
      <c r="C7544" s="30" t="s">
        <v>1862</v>
      </c>
      <c r="D7544" s="30" t="s">
        <v>17</v>
      </c>
      <c r="E7544" s="30" t="s">
        <v>212</v>
      </c>
      <c r="F7544" s="30" t="s">
        <v>213</v>
      </c>
      <c r="G7544" s="30" t="s">
        <v>20</v>
      </c>
      <c r="H7544" s="32">
        <v>22</v>
      </c>
      <c r="I7544" s="30" t="s">
        <v>21</v>
      </c>
      <c r="J7544" s="41">
        <v>44482</v>
      </c>
      <c r="K7544" s="30" t="s">
        <v>22</v>
      </c>
    </row>
    <row r="7545" spans="1:11">
      <c r="A7545" s="33" t="s">
        <v>17512</v>
      </c>
      <c r="B7545" s="33" t="s">
        <v>17513</v>
      </c>
      <c r="C7545" s="33" t="s">
        <v>16079</v>
      </c>
      <c r="D7545" s="33" t="s">
        <v>17</v>
      </c>
      <c r="E7545" s="33" t="s">
        <v>26</v>
      </c>
      <c r="F7545" s="33" t="s">
        <v>27</v>
      </c>
      <c r="G7545" s="33" t="s">
        <v>20</v>
      </c>
      <c r="H7545" s="35">
        <v>8</v>
      </c>
      <c r="I7545" s="33" t="s">
        <v>21</v>
      </c>
      <c r="J7545" s="42">
        <v>44545</v>
      </c>
      <c r="K7545" s="33" t="s">
        <v>22</v>
      </c>
    </row>
    <row r="7546" spans="1:11">
      <c r="A7546" s="30" t="s">
        <v>17514</v>
      </c>
      <c r="B7546" s="30" t="s">
        <v>17515</v>
      </c>
      <c r="C7546" s="30" t="s">
        <v>17516</v>
      </c>
      <c r="D7546" s="30" t="s">
        <v>17</v>
      </c>
      <c r="E7546" s="30" t="s">
        <v>31</v>
      </c>
      <c r="F7546" s="30" t="s">
        <v>32</v>
      </c>
      <c r="G7546" s="30" t="s">
        <v>20</v>
      </c>
      <c r="H7546" s="32">
        <v>5</v>
      </c>
      <c r="I7546" s="30" t="s">
        <v>21</v>
      </c>
      <c r="J7546" s="41">
        <v>44222</v>
      </c>
      <c r="K7546" s="30" t="s">
        <v>22</v>
      </c>
    </row>
    <row r="7547" spans="1:11">
      <c r="A7547" s="33" t="s">
        <v>17517</v>
      </c>
      <c r="B7547" s="33" t="s">
        <v>17518</v>
      </c>
      <c r="C7547" s="33" t="s">
        <v>149</v>
      </c>
      <c r="D7547" s="33" t="s">
        <v>17</v>
      </c>
      <c r="E7547" s="33" t="s">
        <v>26</v>
      </c>
      <c r="F7547" s="33" t="s">
        <v>27</v>
      </c>
      <c r="G7547" s="33" t="s">
        <v>20</v>
      </c>
      <c r="H7547" s="35">
        <v>24</v>
      </c>
      <c r="I7547" s="33" t="s">
        <v>21</v>
      </c>
      <c r="J7547" s="42">
        <v>44270</v>
      </c>
      <c r="K7547" s="33" t="s">
        <v>22</v>
      </c>
    </row>
    <row r="7548" spans="1:11">
      <c r="A7548" s="30" t="s">
        <v>17519</v>
      </c>
      <c r="B7548" s="30" t="s">
        <v>17520</v>
      </c>
      <c r="C7548" s="30" t="s">
        <v>102</v>
      </c>
      <c r="D7548" s="30" t="s">
        <v>17</v>
      </c>
      <c r="E7548" s="30" t="s">
        <v>31</v>
      </c>
      <c r="F7548" s="30" t="s">
        <v>32</v>
      </c>
      <c r="G7548" s="30" t="s">
        <v>106</v>
      </c>
      <c r="H7548" s="32">
        <v>6</v>
      </c>
      <c r="I7548" s="30" t="s">
        <v>21</v>
      </c>
      <c r="J7548" s="41">
        <v>44441</v>
      </c>
      <c r="K7548" s="30" t="s">
        <v>22</v>
      </c>
    </row>
    <row r="7549" spans="1:11">
      <c r="A7549" s="33" t="s">
        <v>17521</v>
      </c>
      <c r="B7549" s="33" t="s">
        <v>17522</v>
      </c>
      <c r="C7549" s="33" t="s">
        <v>17523</v>
      </c>
      <c r="D7549" s="33" t="s">
        <v>17</v>
      </c>
      <c r="E7549" s="33" t="s">
        <v>26</v>
      </c>
      <c r="F7549" s="33" t="s">
        <v>27</v>
      </c>
      <c r="G7549" s="33" t="s">
        <v>20</v>
      </c>
      <c r="H7549" s="35">
        <v>52</v>
      </c>
      <c r="I7549" s="33" t="s">
        <v>21</v>
      </c>
      <c r="J7549" s="42">
        <v>44378</v>
      </c>
      <c r="K7549" s="33" t="s">
        <v>22</v>
      </c>
    </row>
    <row r="7550" spans="1:11">
      <c r="A7550" s="30" t="s">
        <v>17524</v>
      </c>
      <c r="B7550" s="30" t="s">
        <v>17525</v>
      </c>
      <c r="C7550" s="30" t="s">
        <v>3790</v>
      </c>
      <c r="D7550" s="30" t="s">
        <v>17</v>
      </c>
      <c r="E7550" s="30" t="s">
        <v>26</v>
      </c>
      <c r="F7550" s="30" t="s">
        <v>27</v>
      </c>
      <c r="G7550" s="30" t="s">
        <v>20</v>
      </c>
      <c r="H7550" s="32">
        <v>15</v>
      </c>
      <c r="I7550" s="30" t="s">
        <v>21</v>
      </c>
      <c r="J7550" s="41">
        <v>44539</v>
      </c>
      <c r="K7550" s="30" t="s">
        <v>22</v>
      </c>
    </row>
    <row r="7551" spans="1:11">
      <c r="A7551" s="33" t="s">
        <v>17526</v>
      </c>
      <c r="B7551" s="33" t="s">
        <v>17527</v>
      </c>
      <c r="C7551" s="33" t="s">
        <v>17528</v>
      </c>
      <c r="D7551" s="33" t="s">
        <v>17</v>
      </c>
      <c r="E7551" s="33" t="s">
        <v>31</v>
      </c>
      <c r="F7551" s="33" t="s">
        <v>32</v>
      </c>
      <c r="G7551" s="33" t="s">
        <v>20</v>
      </c>
      <c r="H7551" s="35">
        <v>55</v>
      </c>
      <c r="I7551" s="33" t="s">
        <v>21</v>
      </c>
      <c r="J7551" s="42">
        <v>44355</v>
      </c>
      <c r="K7551" s="33" t="s">
        <v>22</v>
      </c>
    </row>
    <row r="7552" spans="1:11">
      <c r="A7552" s="30" t="s">
        <v>17529</v>
      </c>
      <c r="B7552" s="30" t="s">
        <v>17530</v>
      </c>
      <c r="C7552" s="30" t="s">
        <v>1148</v>
      </c>
      <c r="D7552" s="30" t="s">
        <v>17</v>
      </c>
      <c r="E7552" s="30" t="s">
        <v>31</v>
      </c>
      <c r="F7552" s="30" t="s">
        <v>32</v>
      </c>
      <c r="G7552" s="30" t="s">
        <v>20</v>
      </c>
      <c r="H7552" s="32">
        <v>322</v>
      </c>
      <c r="I7552" s="30" t="s">
        <v>21</v>
      </c>
      <c r="J7552" s="41">
        <v>44468</v>
      </c>
      <c r="K7552" s="30" t="s">
        <v>22</v>
      </c>
    </row>
    <row r="7553" spans="1:11">
      <c r="A7553" s="33" t="s">
        <v>17531</v>
      </c>
      <c r="B7553" s="33" t="s">
        <v>17532</v>
      </c>
      <c r="C7553" s="33" t="s">
        <v>3655</v>
      </c>
      <c r="D7553" s="33" t="s">
        <v>17</v>
      </c>
      <c r="E7553" s="33" t="s">
        <v>31</v>
      </c>
      <c r="F7553" s="33" t="s">
        <v>32</v>
      </c>
      <c r="G7553" s="33" t="s">
        <v>20</v>
      </c>
      <c r="H7553" s="35">
        <v>1380</v>
      </c>
      <c r="I7553" s="33" t="s">
        <v>21</v>
      </c>
      <c r="J7553" s="42">
        <v>44433</v>
      </c>
      <c r="K7553" s="33" t="s">
        <v>22</v>
      </c>
    </row>
    <row r="7554" spans="1:11">
      <c r="A7554" s="30" t="s">
        <v>17533</v>
      </c>
      <c r="B7554" s="30" t="s">
        <v>17534</v>
      </c>
      <c r="C7554" s="30" t="s">
        <v>410</v>
      </c>
      <c r="D7554" s="30" t="s">
        <v>17</v>
      </c>
      <c r="E7554" s="30" t="s">
        <v>26</v>
      </c>
      <c r="F7554" s="30" t="s">
        <v>27</v>
      </c>
      <c r="G7554" s="30" t="s">
        <v>20</v>
      </c>
      <c r="H7554" s="32">
        <v>36</v>
      </c>
      <c r="I7554" s="30" t="s">
        <v>21</v>
      </c>
      <c r="J7554" s="41">
        <v>44299</v>
      </c>
      <c r="K7554" s="30" t="s">
        <v>22</v>
      </c>
    </row>
    <row r="7555" spans="1:11">
      <c r="A7555" s="33" t="s">
        <v>17535</v>
      </c>
      <c r="B7555" s="33" t="s">
        <v>17536</v>
      </c>
      <c r="C7555" s="33" t="s">
        <v>2086</v>
      </c>
      <c r="D7555" s="33" t="s">
        <v>17</v>
      </c>
      <c r="E7555" s="33" t="s">
        <v>26</v>
      </c>
      <c r="F7555" s="33" t="s">
        <v>27</v>
      </c>
      <c r="G7555" s="33" t="s">
        <v>50</v>
      </c>
      <c r="H7555" s="35">
        <v>40</v>
      </c>
      <c r="I7555" s="33" t="s">
        <v>51</v>
      </c>
      <c r="J7555" s="42">
        <v>44266</v>
      </c>
      <c r="K7555" s="33" t="s">
        <v>22</v>
      </c>
    </row>
    <row r="7556" spans="1:11">
      <c r="A7556" s="30" t="s">
        <v>17537</v>
      </c>
      <c r="B7556" s="30" t="s">
        <v>17538</v>
      </c>
      <c r="C7556" s="30" t="s">
        <v>17539</v>
      </c>
      <c r="D7556" s="30" t="s">
        <v>17</v>
      </c>
      <c r="E7556" s="30" t="s">
        <v>31</v>
      </c>
      <c r="F7556" s="30" t="s">
        <v>32</v>
      </c>
      <c r="G7556" s="30" t="s">
        <v>50</v>
      </c>
      <c r="H7556" s="32">
        <v>32</v>
      </c>
      <c r="I7556" s="30" t="s">
        <v>51</v>
      </c>
      <c r="J7556" s="41">
        <v>44335</v>
      </c>
      <c r="K7556" s="30" t="s">
        <v>22</v>
      </c>
    </row>
    <row r="7557" spans="1:11">
      <c r="A7557" s="33" t="s">
        <v>17540</v>
      </c>
      <c r="B7557" s="33" t="s">
        <v>17541</v>
      </c>
      <c r="C7557" s="33" t="s">
        <v>747</v>
      </c>
      <c r="D7557" s="33" t="s">
        <v>17</v>
      </c>
      <c r="E7557" s="33" t="s">
        <v>31</v>
      </c>
      <c r="F7557" s="33" t="s">
        <v>32</v>
      </c>
      <c r="G7557" s="33" t="s">
        <v>20</v>
      </c>
      <c r="H7557" s="35">
        <v>216</v>
      </c>
      <c r="I7557" s="33" t="s">
        <v>21</v>
      </c>
      <c r="J7557" s="42">
        <v>44204</v>
      </c>
      <c r="K7557" s="33" t="s">
        <v>22</v>
      </c>
    </row>
    <row r="7558" spans="1:11">
      <c r="A7558" s="30" t="s">
        <v>17542</v>
      </c>
      <c r="B7558" s="30" t="s">
        <v>17543</v>
      </c>
      <c r="C7558" s="30" t="s">
        <v>203</v>
      </c>
      <c r="D7558" s="30" t="s">
        <v>17</v>
      </c>
      <c r="E7558" s="30" t="s">
        <v>26</v>
      </c>
      <c r="F7558" s="30" t="s">
        <v>27</v>
      </c>
      <c r="G7558" s="30" t="s">
        <v>20</v>
      </c>
      <c r="H7558" s="32">
        <v>6</v>
      </c>
      <c r="I7558" s="30" t="s">
        <v>21</v>
      </c>
      <c r="J7558" s="41">
        <v>44362</v>
      </c>
      <c r="K7558" s="30" t="s">
        <v>22</v>
      </c>
    </row>
    <row r="7559" spans="1:11">
      <c r="A7559" s="33" t="s">
        <v>17544</v>
      </c>
      <c r="B7559" s="33" t="s">
        <v>17545</v>
      </c>
      <c r="C7559" s="33" t="s">
        <v>178</v>
      </c>
      <c r="D7559" s="33" t="s">
        <v>17</v>
      </c>
      <c r="E7559" s="33" t="s">
        <v>18</v>
      </c>
      <c r="F7559" s="33" t="s">
        <v>19</v>
      </c>
      <c r="G7559" s="33" t="s">
        <v>158</v>
      </c>
      <c r="H7559" s="35">
        <v>342</v>
      </c>
      <c r="I7559" s="33" t="s">
        <v>21</v>
      </c>
      <c r="J7559" s="42">
        <v>44267</v>
      </c>
      <c r="K7559" s="33" t="s">
        <v>22</v>
      </c>
    </row>
    <row r="7560" spans="1:11">
      <c r="A7560" s="30" t="s">
        <v>17546</v>
      </c>
      <c r="B7560" s="30" t="s">
        <v>17547</v>
      </c>
      <c r="C7560" s="30" t="s">
        <v>203</v>
      </c>
      <c r="D7560" s="30" t="s">
        <v>17</v>
      </c>
      <c r="E7560" s="30" t="s">
        <v>18</v>
      </c>
      <c r="F7560" s="30" t="s">
        <v>19</v>
      </c>
      <c r="G7560" s="30" t="s">
        <v>158</v>
      </c>
      <c r="H7560" s="32">
        <v>17</v>
      </c>
      <c r="I7560" s="30" t="s">
        <v>21</v>
      </c>
      <c r="J7560" s="41">
        <v>44440</v>
      </c>
      <c r="K7560" s="30" t="s">
        <v>22</v>
      </c>
    </row>
    <row r="7561" spans="1:11">
      <c r="A7561" s="33" t="s">
        <v>17548</v>
      </c>
      <c r="B7561" s="33" t="s">
        <v>17549</v>
      </c>
      <c r="C7561" s="33" t="s">
        <v>149</v>
      </c>
      <c r="D7561" s="33" t="s">
        <v>17</v>
      </c>
      <c r="E7561" s="33" t="s">
        <v>18</v>
      </c>
      <c r="F7561" s="33" t="s">
        <v>19</v>
      </c>
      <c r="G7561" s="33" t="s">
        <v>20</v>
      </c>
      <c r="H7561" s="35">
        <v>692</v>
      </c>
      <c r="I7561" s="33" t="s">
        <v>21</v>
      </c>
      <c r="J7561" s="42">
        <v>44407</v>
      </c>
      <c r="K7561" s="33" t="s">
        <v>22</v>
      </c>
    </row>
    <row r="7562" spans="1:11">
      <c r="A7562" s="30" t="s">
        <v>17550</v>
      </c>
      <c r="B7562" s="30" t="s">
        <v>17551</v>
      </c>
      <c r="C7562" s="30" t="s">
        <v>17552</v>
      </c>
      <c r="D7562" s="30" t="s">
        <v>17</v>
      </c>
      <c r="E7562" s="30" t="s">
        <v>31</v>
      </c>
      <c r="F7562" s="30" t="s">
        <v>32</v>
      </c>
      <c r="G7562" s="30" t="s">
        <v>20</v>
      </c>
      <c r="H7562" s="32">
        <v>102</v>
      </c>
      <c r="I7562" s="30" t="s">
        <v>21</v>
      </c>
      <c r="J7562" s="41">
        <v>44515</v>
      </c>
      <c r="K7562" s="30" t="s">
        <v>22</v>
      </c>
    </row>
    <row r="7563" spans="1:11">
      <c r="A7563" s="33" t="s">
        <v>17553</v>
      </c>
      <c r="B7563" s="33" t="s">
        <v>17554</v>
      </c>
      <c r="C7563" s="33" t="s">
        <v>17555</v>
      </c>
      <c r="D7563" s="33" t="s">
        <v>17</v>
      </c>
      <c r="E7563" s="33" t="s">
        <v>18</v>
      </c>
      <c r="F7563" s="33" t="s">
        <v>19</v>
      </c>
      <c r="G7563" s="33" t="s">
        <v>20</v>
      </c>
      <c r="H7563" s="35">
        <v>240</v>
      </c>
      <c r="I7563" s="33" t="s">
        <v>21</v>
      </c>
      <c r="J7563" s="42">
        <v>44554</v>
      </c>
      <c r="K7563" s="33" t="s">
        <v>22</v>
      </c>
    </row>
    <row r="7564" spans="1:11">
      <c r="A7564" s="30" t="s">
        <v>17556</v>
      </c>
      <c r="B7564" s="30" t="s">
        <v>17557</v>
      </c>
      <c r="C7564" s="30" t="s">
        <v>190</v>
      </c>
      <c r="D7564" s="30" t="s">
        <v>17</v>
      </c>
      <c r="E7564" s="30" t="s">
        <v>26</v>
      </c>
      <c r="F7564" s="30" t="s">
        <v>27</v>
      </c>
      <c r="G7564" s="30" t="s">
        <v>20</v>
      </c>
      <c r="H7564" s="32">
        <v>18</v>
      </c>
      <c r="I7564" s="30" t="s">
        <v>21</v>
      </c>
      <c r="J7564" s="41">
        <v>44250</v>
      </c>
      <c r="K7564" s="30" t="s">
        <v>22</v>
      </c>
    </row>
    <row r="7565" spans="1:11">
      <c r="A7565" s="33" t="s">
        <v>17558</v>
      </c>
      <c r="B7565" s="33" t="s">
        <v>17559</v>
      </c>
      <c r="C7565" s="33" t="s">
        <v>2756</v>
      </c>
      <c r="D7565" s="33" t="s">
        <v>17</v>
      </c>
      <c r="E7565" s="33" t="s">
        <v>67</v>
      </c>
      <c r="F7565" s="33" t="s">
        <v>68</v>
      </c>
      <c r="G7565" s="33" t="s">
        <v>20</v>
      </c>
      <c r="H7565" s="35">
        <v>186</v>
      </c>
      <c r="I7565" s="33" t="s">
        <v>21</v>
      </c>
      <c r="J7565" s="42">
        <v>44537</v>
      </c>
      <c r="K7565" s="33" t="s">
        <v>22</v>
      </c>
    </row>
    <row r="7566" spans="1:11">
      <c r="A7566" s="30" t="s">
        <v>17560</v>
      </c>
      <c r="B7566" s="30" t="s">
        <v>17561</v>
      </c>
      <c r="C7566" s="30" t="s">
        <v>7900</v>
      </c>
      <c r="D7566" s="30" t="s">
        <v>17</v>
      </c>
      <c r="E7566" s="30" t="s">
        <v>31</v>
      </c>
      <c r="F7566" s="30" t="s">
        <v>32</v>
      </c>
      <c r="G7566" s="30" t="s">
        <v>20</v>
      </c>
      <c r="H7566" s="32">
        <v>20</v>
      </c>
      <c r="I7566" s="30" t="s">
        <v>21</v>
      </c>
      <c r="J7566" s="41">
        <v>44326</v>
      </c>
      <c r="K7566" s="30" t="s">
        <v>22</v>
      </c>
    </row>
    <row r="7567" spans="1:11">
      <c r="A7567" s="33" t="s">
        <v>17562</v>
      </c>
      <c r="B7567" s="33" t="s">
        <v>17563</v>
      </c>
      <c r="C7567" s="33" t="s">
        <v>17564</v>
      </c>
      <c r="D7567" s="33" t="s">
        <v>17</v>
      </c>
      <c r="E7567" s="33" t="s">
        <v>26</v>
      </c>
      <c r="F7567" s="33" t="s">
        <v>27</v>
      </c>
      <c r="G7567" s="33" t="s">
        <v>20</v>
      </c>
      <c r="H7567" s="35">
        <v>25</v>
      </c>
      <c r="I7567" s="33" t="s">
        <v>21</v>
      </c>
      <c r="J7567" s="42">
        <v>44473</v>
      </c>
      <c r="K7567" s="33" t="s">
        <v>22</v>
      </c>
    </row>
    <row r="7568" spans="1:11">
      <c r="A7568" s="30" t="s">
        <v>17565</v>
      </c>
      <c r="B7568" s="30" t="s">
        <v>17566</v>
      </c>
      <c r="C7568" s="30" t="s">
        <v>17567</v>
      </c>
      <c r="D7568" s="30" t="s">
        <v>17</v>
      </c>
      <c r="E7568" s="30" t="s">
        <v>26</v>
      </c>
      <c r="F7568" s="30" t="s">
        <v>27</v>
      </c>
      <c r="G7568" s="30" t="s">
        <v>50</v>
      </c>
      <c r="H7568" s="32">
        <v>37</v>
      </c>
      <c r="I7568" s="30" t="s">
        <v>51</v>
      </c>
      <c r="J7568" s="41">
        <v>44496</v>
      </c>
      <c r="K7568" s="30" t="s">
        <v>22</v>
      </c>
    </row>
    <row r="7569" spans="1:11">
      <c r="A7569" s="33" t="s">
        <v>17568</v>
      </c>
      <c r="B7569" s="33" t="s">
        <v>17569</v>
      </c>
      <c r="C7569" s="33" t="s">
        <v>7629</v>
      </c>
      <c r="D7569" s="33" t="s">
        <v>17</v>
      </c>
      <c r="E7569" s="33" t="s">
        <v>26</v>
      </c>
      <c r="F7569" s="33" t="s">
        <v>27</v>
      </c>
      <c r="G7569" s="33" t="s">
        <v>20</v>
      </c>
      <c r="H7569" s="35">
        <v>24</v>
      </c>
      <c r="I7569" s="33" t="s">
        <v>21</v>
      </c>
      <c r="J7569" s="42">
        <v>44204</v>
      </c>
      <c r="K7569" s="33" t="s">
        <v>22</v>
      </c>
    </row>
    <row r="7570" spans="1:11">
      <c r="A7570" s="30" t="s">
        <v>17570</v>
      </c>
      <c r="B7570" s="30" t="s">
        <v>17571</v>
      </c>
      <c r="C7570" s="30" t="s">
        <v>118</v>
      </c>
      <c r="D7570" s="30" t="s">
        <v>17</v>
      </c>
      <c r="E7570" s="30" t="s">
        <v>31</v>
      </c>
      <c r="F7570" s="30" t="s">
        <v>32</v>
      </c>
      <c r="G7570" s="30" t="s">
        <v>20</v>
      </c>
      <c r="H7570" s="32">
        <v>93</v>
      </c>
      <c r="I7570" s="30" t="s">
        <v>21</v>
      </c>
      <c r="J7570" s="41">
        <v>44258</v>
      </c>
      <c r="K7570" s="30" t="s">
        <v>22</v>
      </c>
    </row>
    <row r="7571" spans="1:11">
      <c r="A7571" s="33" t="s">
        <v>17572</v>
      </c>
      <c r="B7571" s="33" t="s">
        <v>17573</v>
      </c>
      <c r="C7571" s="33" t="s">
        <v>3922</v>
      </c>
      <c r="D7571" s="33" t="s">
        <v>17</v>
      </c>
      <c r="E7571" s="33" t="s">
        <v>31</v>
      </c>
      <c r="F7571" s="33" t="s">
        <v>32</v>
      </c>
      <c r="G7571" s="33" t="s">
        <v>158</v>
      </c>
      <c r="H7571" s="35">
        <v>203</v>
      </c>
      <c r="I7571" s="33" t="s">
        <v>51</v>
      </c>
      <c r="J7571" s="42">
        <v>44533</v>
      </c>
      <c r="K7571" s="33" t="s">
        <v>22</v>
      </c>
    </row>
    <row r="7572" spans="1:11">
      <c r="A7572" s="30" t="s">
        <v>17574</v>
      </c>
      <c r="B7572" s="30" t="s">
        <v>17575</v>
      </c>
      <c r="C7572" s="30" t="s">
        <v>2490</v>
      </c>
      <c r="D7572" s="30" t="s">
        <v>17</v>
      </c>
      <c r="E7572" s="30" t="s">
        <v>67</v>
      </c>
      <c r="F7572" s="30" t="s">
        <v>68</v>
      </c>
      <c r="G7572" s="30" t="s">
        <v>50</v>
      </c>
      <c r="H7572" s="32">
        <v>78</v>
      </c>
      <c r="I7572" s="30" t="s">
        <v>51</v>
      </c>
      <c r="J7572" s="41">
        <v>44308</v>
      </c>
      <c r="K7572" s="30" t="s">
        <v>22</v>
      </c>
    </row>
    <row r="7573" spans="1:11">
      <c r="A7573" s="33" t="s">
        <v>17576</v>
      </c>
      <c r="B7573" s="33" t="s">
        <v>17577</v>
      </c>
      <c r="C7573" s="33" t="s">
        <v>318</v>
      </c>
      <c r="D7573" s="33" t="s">
        <v>17</v>
      </c>
      <c r="E7573" s="33" t="s">
        <v>26</v>
      </c>
      <c r="F7573" s="33" t="s">
        <v>27</v>
      </c>
      <c r="G7573" s="33" t="s">
        <v>106</v>
      </c>
      <c r="H7573" s="35">
        <v>3</v>
      </c>
      <c r="I7573" s="33" t="s">
        <v>21</v>
      </c>
      <c r="J7573" s="42">
        <v>44517</v>
      </c>
      <c r="K7573" s="33" t="s">
        <v>22</v>
      </c>
    </row>
    <row r="7574" spans="1:11">
      <c r="A7574" s="30" t="s">
        <v>17578</v>
      </c>
      <c r="B7574" s="30" t="s">
        <v>17579</v>
      </c>
      <c r="C7574" s="30" t="s">
        <v>899</v>
      </c>
      <c r="D7574" s="30" t="s">
        <v>17</v>
      </c>
      <c r="E7574" s="30" t="s">
        <v>18</v>
      </c>
      <c r="F7574" s="30" t="s">
        <v>19</v>
      </c>
      <c r="G7574" s="30" t="s">
        <v>140</v>
      </c>
      <c r="H7574" s="32">
        <v>416</v>
      </c>
      <c r="I7574" s="30" t="s">
        <v>51</v>
      </c>
      <c r="J7574" s="41">
        <v>44217</v>
      </c>
      <c r="K7574" s="30" t="s">
        <v>22</v>
      </c>
    </row>
    <row r="7575" spans="1:11">
      <c r="A7575" s="33" t="s">
        <v>17580</v>
      </c>
      <c r="B7575" s="33" t="s">
        <v>17581</v>
      </c>
      <c r="C7575" s="33" t="s">
        <v>149</v>
      </c>
      <c r="D7575" s="33" t="s">
        <v>17</v>
      </c>
      <c r="E7575" s="33" t="s">
        <v>18</v>
      </c>
      <c r="F7575" s="33" t="s">
        <v>19</v>
      </c>
      <c r="G7575" s="33" t="s">
        <v>20</v>
      </c>
      <c r="H7575" s="35">
        <v>709</v>
      </c>
      <c r="I7575" s="33" t="s">
        <v>21</v>
      </c>
      <c r="J7575" s="42">
        <v>44309</v>
      </c>
      <c r="K7575" s="33" t="s">
        <v>22</v>
      </c>
    </row>
    <row r="7576" spans="1:11">
      <c r="A7576" s="30" t="s">
        <v>17582</v>
      </c>
      <c r="B7576" s="30" t="s">
        <v>17583</v>
      </c>
      <c r="C7576" s="30" t="s">
        <v>13882</v>
      </c>
      <c r="D7576" s="30" t="s">
        <v>17</v>
      </c>
      <c r="E7576" s="30" t="s">
        <v>67</v>
      </c>
      <c r="F7576" s="30" t="s">
        <v>68</v>
      </c>
      <c r="G7576" s="30" t="s">
        <v>106</v>
      </c>
      <c r="H7576" s="32">
        <v>40</v>
      </c>
      <c r="I7576" s="30" t="s">
        <v>21</v>
      </c>
      <c r="J7576" s="41">
        <v>44336</v>
      </c>
      <c r="K7576" s="30" t="s">
        <v>22</v>
      </c>
    </row>
    <row r="7577" spans="1:11">
      <c r="A7577" s="33" t="s">
        <v>17584</v>
      </c>
      <c r="B7577" s="33" t="s">
        <v>17585</v>
      </c>
      <c r="C7577" s="33" t="s">
        <v>14488</v>
      </c>
      <c r="D7577" s="33" t="s">
        <v>17</v>
      </c>
      <c r="E7577" s="33" t="s">
        <v>31</v>
      </c>
      <c r="F7577" s="33" t="s">
        <v>32</v>
      </c>
      <c r="G7577" s="33" t="s">
        <v>140</v>
      </c>
      <c r="H7577" s="35">
        <v>80</v>
      </c>
      <c r="I7577" s="33" t="s">
        <v>51</v>
      </c>
      <c r="J7577" s="42">
        <v>44418</v>
      </c>
      <c r="K7577" s="33" t="s">
        <v>22</v>
      </c>
    </row>
    <row r="7578" spans="1:11">
      <c r="A7578" s="30" t="s">
        <v>17586</v>
      </c>
      <c r="B7578" s="30" t="s">
        <v>17587</v>
      </c>
      <c r="C7578" s="30" t="s">
        <v>2839</v>
      </c>
      <c r="D7578" s="30" t="s">
        <v>17</v>
      </c>
      <c r="E7578" s="30" t="s">
        <v>18</v>
      </c>
      <c r="F7578" s="30" t="s">
        <v>19</v>
      </c>
      <c r="G7578" s="30" t="s">
        <v>50</v>
      </c>
      <c r="H7578" s="32">
        <v>300</v>
      </c>
      <c r="I7578" s="30" t="s">
        <v>51</v>
      </c>
      <c r="J7578" s="41">
        <v>44378</v>
      </c>
      <c r="K7578" s="30" t="s">
        <v>22</v>
      </c>
    </row>
    <row r="7579" spans="1:11">
      <c r="A7579" s="33" t="s">
        <v>17588</v>
      </c>
      <c r="B7579" s="33" t="s">
        <v>17589</v>
      </c>
      <c r="C7579" s="33" t="s">
        <v>8151</v>
      </c>
      <c r="D7579" s="33" t="s">
        <v>17</v>
      </c>
      <c r="E7579" s="33" t="s">
        <v>18</v>
      </c>
      <c r="F7579" s="33" t="s">
        <v>19</v>
      </c>
      <c r="G7579" s="33" t="s">
        <v>50</v>
      </c>
      <c r="H7579" s="35">
        <v>100</v>
      </c>
      <c r="I7579" s="33" t="s">
        <v>51</v>
      </c>
      <c r="J7579" s="42">
        <v>44405</v>
      </c>
      <c r="K7579" s="33" t="s">
        <v>22</v>
      </c>
    </row>
    <row r="7580" spans="1:11">
      <c r="A7580" s="30" t="s">
        <v>17590</v>
      </c>
      <c r="B7580" s="30" t="s">
        <v>17591</v>
      </c>
      <c r="C7580" s="30" t="s">
        <v>387</v>
      </c>
      <c r="D7580" s="30" t="s">
        <v>17</v>
      </c>
      <c r="E7580" s="30" t="s">
        <v>26</v>
      </c>
      <c r="F7580" s="30" t="s">
        <v>27</v>
      </c>
      <c r="G7580" s="30" t="s">
        <v>20</v>
      </c>
      <c r="H7580" s="32">
        <v>25</v>
      </c>
      <c r="I7580" s="30" t="s">
        <v>21</v>
      </c>
      <c r="J7580" s="41">
        <v>44392</v>
      </c>
      <c r="K7580" s="30" t="s">
        <v>22</v>
      </c>
    </row>
    <row r="7581" spans="1:11">
      <c r="A7581" s="33" t="s">
        <v>17592</v>
      </c>
      <c r="B7581" s="33" t="s">
        <v>17593</v>
      </c>
      <c r="C7581" s="33" t="s">
        <v>178</v>
      </c>
      <c r="D7581" s="33" t="s">
        <v>17</v>
      </c>
      <c r="E7581" s="33" t="s">
        <v>26</v>
      </c>
      <c r="F7581" s="33" t="s">
        <v>27</v>
      </c>
      <c r="G7581" s="33" t="s">
        <v>106</v>
      </c>
      <c r="H7581" s="35">
        <v>50</v>
      </c>
      <c r="I7581" s="33" t="s">
        <v>21</v>
      </c>
      <c r="J7581" s="42">
        <v>44379</v>
      </c>
      <c r="K7581" s="33" t="s">
        <v>22</v>
      </c>
    </row>
    <row r="7582" spans="1:11">
      <c r="A7582" s="30" t="s">
        <v>17594</v>
      </c>
      <c r="B7582" s="30" t="s">
        <v>17595</v>
      </c>
      <c r="C7582" s="30" t="s">
        <v>17596</v>
      </c>
      <c r="D7582" s="30" t="s">
        <v>17</v>
      </c>
      <c r="E7582" s="30" t="s">
        <v>212</v>
      </c>
      <c r="F7582" s="30" t="s">
        <v>213</v>
      </c>
      <c r="G7582" s="30" t="s">
        <v>20</v>
      </c>
      <c r="H7582" s="32">
        <v>50</v>
      </c>
      <c r="I7582" s="30" t="s">
        <v>21</v>
      </c>
      <c r="J7582" s="41">
        <v>44231</v>
      </c>
      <c r="K7582" s="30" t="s">
        <v>22</v>
      </c>
    </row>
    <row r="7583" spans="1:11">
      <c r="A7583" s="33" t="s">
        <v>17597</v>
      </c>
      <c r="B7583" s="33" t="s">
        <v>17598</v>
      </c>
      <c r="C7583" s="33" t="s">
        <v>17599</v>
      </c>
      <c r="D7583" s="33" t="s">
        <v>17</v>
      </c>
      <c r="E7583" s="33" t="s">
        <v>67</v>
      </c>
      <c r="F7583" s="33" t="s">
        <v>68</v>
      </c>
      <c r="G7583" s="33" t="s">
        <v>140</v>
      </c>
      <c r="H7583" s="35">
        <v>350</v>
      </c>
      <c r="I7583" s="33" t="s">
        <v>51</v>
      </c>
      <c r="J7583" s="42">
        <v>44308</v>
      </c>
      <c r="K7583" s="33" t="s">
        <v>22</v>
      </c>
    </row>
    <row r="7584" spans="1:11">
      <c r="A7584" s="30" t="s">
        <v>17600</v>
      </c>
      <c r="B7584" s="30" t="s">
        <v>17601</v>
      </c>
      <c r="C7584" s="30" t="s">
        <v>203</v>
      </c>
      <c r="D7584" s="30" t="s">
        <v>17</v>
      </c>
      <c r="E7584" s="30" t="s">
        <v>31</v>
      </c>
      <c r="F7584" s="30" t="s">
        <v>32</v>
      </c>
      <c r="G7584" s="30" t="s">
        <v>158</v>
      </c>
      <c r="H7584" s="32">
        <v>22</v>
      </c>
      <c r="I7584" s="30" t="s">
        <v>21</v>
      </c>
      <c r="J7584" s="41">
        <v>44537</v>
      </c>
      <c r="K7584" s="30" t="s">
        <v>22</v>
      </c>
    </row>
    <row r="7585" spans="1:11">
      <c r="A7585" s="33" t="s">
        <v>17602</v>
      </c>
      <c r="B7585" s="33" t="s">
        <v>17603</v>
      </c>
      <c r="C7585" s="33" t="s">
        <v>2594</v>
      </c>
      <c r="D7585" s="33" t="s">
        <v>17</v>
      </c>
      <c r="E7585" s="33" t="s">
        <v>26</v>
      </c>
      <c r="F7585" s="33" t="s">
        <v>27</v>
      </c>
      <c r="G7585" s="33" t="s">
        <v>20</v>
      </c>
      <c r="H7585" s="35">
        <v>57</v>
      </c>
      <c r="I7585" s="33" t="s">
        <v>21</v>
      </c>
      <c r="J7585" s="42">
        <v>44378</v>
      </c>
      <c r="K7585" s="33" t="s">
        <v>22</v>
      </c>
    </row>
    <row r="7586" spans="1:11">
      <c r="A7586" s="30" t="s">
        <v>17604</v>
      </c>
      <c r="B7586" s="30" t="s">
        <v>17605</v>
      </c>
      <c r="C7586" s="30" t="s">
        <v>12458</v>
      </c>
      <c r="D7586" s="30" t="s">
        <v>17</v>
      </c>
      <c r="E7586" s="30" t="s">
        <v>26</v>
      </c>
      <c r="F7586" s="30" t="s">
        <v>27</v>
      </c>
      <c r="G7586" s="30" t="s">
        <v>20</v>
      </c>
      <c r="H7586" s="32">
        <v>48</v>
      </c>
      <c r="I7586" s="30" t="s">
        <v>21</v>
      </c>
      <c r="J7586" s="41">
        <v>44284</v>
      </c>
      <c r="K7586" s="30" t="s">
        <v>22</v>
      </c>
    </row>
    <row r="7587" spans="1:11">
      <c r="A7587" s="33" t="s">
        <v>17606</v>
      </c>
      <c r="B7587" s="33" t="s">
        <v>17607</v>
      </c>
      <c r="C7587" s="33" t="s">
        <v>17608</v>
      </c>
      <c r="D7587" s="33" t="s">
        <v>17</v>
      </c>
      <c r="E7587" s="33" t="s">
        <v>18</v>
      </c>
      <c r="F7587" s="33" t="s">
        <v>19</v>
      </c>
      <c r="G7587" s="33" t="s">
        <v>20</v>
      </c>
      <c r="H7587" s="35">
        <v>780</v>
      </c>
      <c r="I7587" s="33" t="s">
        <v>21</v>
      </c>
      <c r="J7587" s="42">
        <v>44287</v>
      </c>
      <c r="K7587" s="33" t="s">
        <v>22</v>
      </c>
    </row>
    <row r="7588" spans="1:11">
      <c r="A7588" s="30" t="s">
        <v>17609</v>
      </c>
      <c r="B7588" s="30" t="s">
        <v>17610</v>
      </c>
      <c r="C7588" s="30" t="s">
        <v>16443</v>
      </c>
      <c r="D7588" s="30" t="s">
        <v>17</v>
      </c>
      <c r="E7588" s="30" t="s">
        <v>67</v>
      </c>
      <c r="F7588" s="30" t="s">
        <v>68</v>
      </c>
      <c r="G7588" s="30" t="s">
        <v>20</v>
      </c>
      <c r="H7588" s="32">
        <v>20</v>
      </c>
      <c r="I7588" s="30" t="s">
        <v>21</v>
      </c>
      <c r="J7588" s="41">
        <v>44477</v>
      </c>
      <c r="K7588" s="30" t="s">
        <v>22</v>
      </c>
    </row>
    <row r="7589" spans="1:11">
      <c r="A7589" s="33" t="s">
        <v>17611</v>
      </c>
      <c r="B7589" s="33" t="s">
        <v>17612</v>
      </c>
      <c r="C7589" s="33" t="s">
        <v>149</v>
      </c>
      <c r="D7589" s="33" t="s">
        <v>17</v>
      </c>
      <c r="E7589" s="33" t="s">
        <v>18</v>
      </c>
      <c r="F7589" s="33" t="s">
        <v>19</v>
      </c>
      <c r="G7589" s="33" t="s">
        <v>20</v>
      </c>
      <c r="H7589" s="35">
        <v>312</v>
      </c>
      <c r="I7589" s="33" t="s">
        <v>21</v>
      </c>
      <c r="J7589" s="42">
        <v>44231</v>
      </c>
      <c r="K7589" s="33" t="s">
        <v>22</v>
      </c>
    </row>
    <row r="7590" spans="1:11">
      <c r="A7590" s="30" t="s">
        <v>17613</v>
      </c>
      <c r="B7590" s="30" t="s">
        <v>17614</v>
      </c>
      <c r="C7590" s="30" t="s">
        <v>11623</v>
      </c>
      <c r="D7590" s="30" t="s">
        <v>17</v>
      </c>
      <c r="E7590" s="30" t="s">
        <v>31</v>
      </c>
      <c r="F7590" s="30" t="s">
        <v>32</v>
      </c>
      <c r="G7590" s="30" t="s">
        <v>20</v>
      </c>
      <c r="H7590" s="32">
        <v>95</v>
      </c>
      <c r="I7590" s="30" t="s">
        <v>21</v>
      </c>
      <c r="J7590" s="41">
        <v>44423</v>
      </c>
      <c r="K7590" s="30" t="s">
        <v>22</v>
      </c>
    </row>
    <row r="7591" spans="1:11">
      <c r="A7591" s="33" t="s">
        <v>17615</v>
      </c>
      <c r="B7591" s="33" t="s">
        <v>17616</v>
      </c>
      <c r="C7591" s="33" t="s">
        <v>109</v>
      </c>
      <c r="D7591" s="33" t="s">
        <v>17</v>
      </c>
      <c r="E7591" s="33" t="s">
        <v>18</v>
      </c>
      <c r="F7591" s="33" t="s">
        <v>19</v>
      </c>
      <c r="G7591" s="33" t="s">
        <v>112</v>
      </c>
      <c r="H7591" s="35">
        <v>0</v>
      </c>
      <c r="I7591" s="33" t="s">
        <v>21</v>
      </c>
      <c r="J7591" s="42">
        <v>44228</v>
      </c>
      <c r="K7591" s="33" t="s">
        <v>22</v>
      </c>
    </row>
    <row r="7592" spans="1:11">
      <c r="A7592" s="30" t="s">
        <v>17617</v>
      </c>
      <c r="B7592" s="30" t="s">
        <v>17618</v>
      </c>
      <c r="C7592" s="30" t="s">
        <v>1498</v>
      </c>
      <c r="D7592" s="30" t="s">
        <v>17</v>
      </c>
      <c r="E7592" s="30" t="s">
        <v>26</v>
      </c>
      <c r="F7592" s="30" t="s">
        <v>27</v>
      </c>
      <c r="G7592" s="30" t="s">
        <v>20</v>
      </c>
      <c r="H7592" s="32">
        <v>154</v>
      </c>
      <c r="I7592" s="30" t="s">
        <v>21</v>
      </c>
      <c r="J7592" s="41">
        <v>44475</v>
      </c>
      <c r="K7592" s="30" t="s">
        <v>22</v>
      </c>
    </row>
    <row r="7593" spans="1:11">
      <c r="A7593" s="33" t="s">
        <v>17619</v>
      </c>
      <c r="B7593" s="33" t="s">
        <v>17620</v>
      </c>
      <c r="C7593" s="33" t="s">
        <v>96</v>
      </c>
      <c r="D7593" s="33" t="s">
        <v>17</v>
      </c>
      <c r="E7593" s="33" t="s">
        <v>18</v>
      </c>
      <c r="F7593" s="33" t="s">
        <v>19</v>
      </c>
      <c r="G7593" s="33" t="s">
        <v>140</v>
      </c>
      <c r="H7593" s="35">
        <v>944</v>
      </c>
      <c r="I7593" s="33" t="s">
        <v>51</v>
      </c>
      <c r="J7593" s="42">
        <v>44473</v>
      </c>
      <c r="K7593" s="33" t="s">
        <v>22</v>
      </c>
    </row>
    <row r="7594" spans="1:11">
      <c r="A7594" s="30" t="s">
        <v>17621</v>
      </c>
      <c r="B7594" s="30" t="s">
        <v>17622</v>
      </c>
      <c r="C7594" s="30" t="s">
        <v>1042</v>
      </c>
      <c r="D7594" s="30" t="s">
        <v>17</v>
      </c>
      <c r="E7594" s="30" t="s">
        <v>31</v>
      </c>
      <c r="F7594" s="30" t="s">
        <v>32</v>
      </c>
      <c r="G7594" s="30" t="s">
        <v>20</v>
      </c>
      <c r="H7594" s="32">
        <v>56</v>
      </c>
      <c r="I7594" s="30" t="s">
        <v>21</v>
      </c>
      <c r="J7594" s="41">
        <v>44448</v>
      </c>
      <c r="K7594" s="30" t="s">
        <v>22</v>
      </c>
    </row>
    <row r="7595" spans="1:11">
      <c r="A7595" s="33" t="s">
        <v>17623</v>
      </c>
      <c r="B7595" s="33" t="s">
        <v>17624</v>
      </c>
      <c r="C7595" s="33" t="s">
        <v>15664</v>
      </c>
      <c r="D7595" s="33" t="s">
        <v>17</v>
      </c>
      <c r="E7595" s="33" t="s">
        <v>26</v>
      </c>
      <c r="F7595" s="33" t="s">
        <v>27</v>
      </c>
      <c r="G7595" s="33" t="s">
        <v>20</v>
      </c>
      <c r="H7595" s="35">
        <v>37</v>
      </c>
      <c r="I7595" s="33" t="s">
        <v>21</v>
      </c>
      <c r="J7595" s="42">
        <v>44440</v>
      </c>
      <c r="K7595" s="33" t="s">
        <v>22</v>
      </c>
    </row>
    <row r="7596" spans="1:11">
      <c r="A7596" s="30" t="s">
        <v>17625</v>
      </c>
      <c r="B7596" s="30" t="s">
        <v>17626</v>
      </c>
      <c r="C7596" s="30" t="s">
        <v>13241</v>
      </c>
      <c r="D7596" s="30" t="s">
        <v>17</v>
      </c>
      <c r="E7596" s="30" t="s">
        <v>26</v>
      </c>
      <c r="F7596" s="30" t="s">
        <v>27</v>
      </c>
      <c r="G7596" s="30" t="s">
        <v>20</v>
      </c>
      <c r="H7596" s="32">
        <v>86</v>
      </c>
      <c r="I7596" s="30" t="s">
        <v>21</v>
      </c>
      <c r="J7596" s="41">
        <v>44362</v>
      </c>
      <c r="K7596" s="30" t="s">
        <v>22</v>
      </c>
    </row>
    <row r="7597" spans="1:11">
      <c r="A7597" s="33" t="s">
        <v>17627</v>
      </c>
      <c r="B7597" s="33" t="s">
        <v>17628</v>
      </c>
      <c r="C7597" s="33" t="s">
        <v>17629</v>
      </c>
      <c r="D7597" s="33" t="s">
        <v>17</v>
      </c>
      <c r="E7597" s="33" t="s">
        <v>67</v>
      </c>
      <c r="F7597" s="33" t="s">
        <v>68</v>
      </c>
      <c r="G7597" s="33" t="s">
        <v>20</v>
      </c>
      <c r="H7597" s="35">
        <v>66</v>
      </c>
      <c r="I7597" s="33" t="s">
        <v>21</v>
      </c>
      <c r="J7597" s="42">
        <v>44236</v>
      </c>
      <c r="K7597" s="33" t="s">
        <v>22</v>
      </c>
    </row>
    <row r="7598" spans="1:11">
      <c r="A7598" s="30" t="s">
        <v>17630</v>
      </c>
      <c r="B7598" s="30" t="s">
        <v>17631</v>
      </c>
      <c r="C7598" s="30" t="s">
        <v>5158</v>
      </c>
      <c r="D7598" s="30" t="s">
        <v>17</v>
      </c>
      <c r="E7598" s="30" t="s">
        <v>18</v>
      </c>
      <c r="F7598" s="30" t="s">
        <v>19</v>
      </c>
      <c r="G7598" s="30" t="s">
        <v>20</v>
      </c>
      <c r="H7598" s="32">
        <v>165</v>
      </c>
      <c r="I7598" s="30" t="s">
        <v>21</v>
      </c>
      <c r="J7598" s="41">
        <v>44263</v>
      </c>
      <c r="K7598" s="30" t="s">
        <v>22</v>
      </c>
    </row>
    <row r="7599" spans="1:11">
      <c r="A7599" s="33" t="s">
        <v>17632</v>
      </c>
      <c r="B7599" s="33" t="s">
        <v>17633</v>
      </c>
      <c r="C7599" s="33" t="s">
        <v>187</v>
      </c>
      <c r="D7599" s="33" t="s">
        <v>17</v>
      </c>
      <c r="E7599" s="33" t="s">
        <v>26</v>
      </c>
      <c r="F7599" s="33" t="s">
        <v>27</v>
      </c>
      <c r="G7599" s="33" t="s">
        <v>50</v>
      </c>
      <c r="H7599" s="35">
        <v>164</v>
      </c>
      <c r="I7599" s="33" t="s">
        <v>51</v>
      </c>
      <c r="J7599" s="42">
        <v>44462</v>
      </c>
      <c r="K7599" s="33" t="s">
        <v>22</v>
      </c>
    </row>
    <row r="7600" spans="1:11">
      <c r="A7600" s="30" t="s">
        <v>17634</v>
      </c>
      <c r="B7600" s="30" t="s">
        <v>17635</v>
      </c>
      <c r="C7600" s="30" t="s">
        <v>17636</v>
      </c>
      <c r="D7600" s="30" t="s">
        <v>17</v>
      </c>
      <c r="E7600" s="30" t="s">
        <v>18</v>
      </c>
      <c r="F7600" s="30" t="s">
        <v>19</v>
      </c>
      <c r="G7600" s="30" t="s">
        <v>20</v>
      </c>
      <c r="H7600" s="32">
        <v>39663</v>
      </c>
      <c r="I7600" s="30" t="s">
        <v>21</v>
      </c>
      <c r="J7600" s="41">
        <v>44362</v>
      </c>
      <c r="K7600" s="30" t="s">
        <v>22</v>
      </c>
    </row>
    <row r="7601" spans="1:11">
      <c r="A7601" s="33" t="s">
        <v>17637</v>
      </c>
      <c r="B7601" s="33" t="s">
        <v>17638</v>
      </c>
      <c r="C7601" s="33" t="s">
        <v>1165</v>
      </c>
      <c r="D7601" s="33" t="s">
        <v>17</v>
      </c>
      <c r="E7601" s="33" t="s">
        <v>18</v>
      </c>
      <c r="F7601" s="33" t="s">
        <v>19</v>
      </c>
      <c r="G7601" s="33" t="s">
        <v>20</v>
      </c>
      <c r="H7601" s="35">
        <v>184</v>
      </c>
      <c r="I7601" s="33" t="s">
        <v>21</v>
      </c>
      <c r="J7601" s="42">
        <v>44312</v>
      </c>
      <c r="K7601" s="33" t="s">
        <v>22</v>
      </c>
    </row>
    <row r="7602" spans="1:11">
      <c r="A7602" s="30" t="s">
        <v>17639</v>
      </c>
      <c r="B7602" s="30" t="s">
        <v>17640</v>
      </c>
      <c r="C7602" s="30" t="s">
        <v>2692</v>
      </c>
      <c r="D7602" s="30" t="s">
        <v>17</v>
      </c>
      <c r="E7602" s="30" t="s">
        <v>26</v>
      </c>
      <c r="F7602" s="30" t="s">
        <v>27</v>
      </c>
      <c r="G7602" s="30" t="s">
        <v>50</v>
      </c>
      <c r="H7602" s="32">
        <v>20</v>
      </c>
      <c r="I7602" s="30" t="s">
        <v>51</v>
      </c>
      <c r="J7602" s="41">
        <v>44307</v>
      </c>
      <c r="K7602" s="30" t="s">
        <v>22</v>
      </c>
    </row>
    <row r="7603" spans="1:11">
      <c r="A7603" s="33" t="s">
        <v>17641</v>
      </c>
      <c r="B7603" s="33" t="s">
        <v>17642</v>
      </c>
      <c r="C7603" s="33" t="s">
        <v>8317</v>
      </c>
      <c r="D7603" s="33" t="s">
        <v>17</v>
      </c>
      <c r="E7603" s="33" t="s">
        <v>67</v>
      </c>
      <c r="F7603" s="33" t="s">
        <v>68</v>
      </c>
      <c r="G7603" s="33" t="s">
        <v>158</v>
      </c>
      <c r="H7603" s="35">
        <v>122</v>
      </c>
      <c r="I7603" s="33" t="s">
        <v>51</v>
      </c>
      <c r="J7603" s="42">
        <v>44496</v>
      </c>
      <c r="K7603" s="33" t="s">
        <v>22</v>
      </c>
    </row>
    <row r="7604" spans="1:11">
      <c r="A7604" s="30" t="s">
        <v>17643</v>
      </c>
      <c r="B7604" s="30" t="s">
        <v>17644</v>
      </c>
      <c r="C7604" s="30" t="s">
        <v>75</v>
      </c>
      <c r="D7604" s="30" t="s">
        <v>17</v>
      </c>
      <c r="E7604" s="30" t="s">
        <v>31</v>
      </c>
      <c r="F7604" s="30" t="s">
        <v>32</v>
      </c>
      <c r="G7604" s="30" t="s">
        <v>20</v>
      </c>
      <c r="H7604" s="32">
        <v>30</v>
      </c>
      <c r="I7604" s="30" t="s">
        <v>21</v>
      </c>
      <c r="J7604" s="41">
        <v>44285</v>
      </c>
      <c r="K7604" s="30" t="s">
        <v>22</v>
      </c>
    </row>
    <row r="7605" spans="1:11">
      <c r="A7605" s="33" t="s">
        <v>17645</v>
      </c>
      <c r="B7605" s="33" t="s">
        <v>17646</v>
      </c>
      <c r="C7605" s="33" t="s">
        <v>17647</v>
      </c>
      <c r="D7605" s="33" t="s">
        <v>17</v>
      </c>
      <c r="E7605" s="33" t="s">
        <v>26</v>
      </c>
      <c r="F7605" s="33" t="s">
        <v>27</v>
      </c>
      <c r="G7605" s="33" t="s">
        <v>20</v>
      </c>
      <c r="H7605" s="35">
        <v>54</v>
      </c>
      <c r="I7605" s="33" t="s">
        <v>21</v>
      </c>
      <c r="J7605" s="42">
        <v>44466</v>
      </c>
      <c r="K7605" s="33" t="s">
        <v>22</v>
      </c>
    </row>
    <row r="7606" spans="1:11">
      <c r="A7606" s="30" t="s">
        <v>17648</v>
      </c>
      <c r="B7606" s="30" t="s">
        <v>17649</v>
      </c>
      <c r="C7606" s="30" t="s">
        <v>17650</v>
      </c>
      <c r="D7606" s="30" t="s">
        <v>17</v>
      </c>
      <c r="E7606" s="30" t="s">
        <v>31</v>
      </c>
      <c r="F7606" s="30" t="s">
        <v>32</v>
      </c>
      <c r="G7606" s="30" t="s">
        <v>106</v>
      </c>
      <c r="H7606" s="32">
        <v>25</v>
      </c>
      <c r="I7606" s="30" t="s">
        <v>21</v>
      </c>
      <c r="J7606" s="41">
        <v>44432</v>
      </c>
      <c r="K7606" s="30" t="s">
        <v>22</v>
      </c>
    </row>
    <row r="7607" spans="1:11">
      <c r="A7607" s="33" t="s">
        <v>17651</v>
      </c>
      <c r="B7607" s="33" t="s">
        <v>17652</v>
      </c>
      <c r="C7607" s="33" t="s">
        <v>1148</v>
      </c>
      <c r="D7607" s="33" t="s">
        <v>17</v>
      </c>
      <c r="E7607" s="33" t="s">
        <v>212</v>
      </c>
      <c r="F7607" s="33" t="s">
        <v>213</v>
      </c>
      <c r="G7607" s="33" t="s">
        <v>20</v>
      </c>
      <c r="H7607" s="35">
        <v>16</v>
      </c>
      <c r="I7607" s="33" t="s">
        <v>21</v>
      </c>
      <c r="J7607" s="42">
        <v>44279</v>
      </c>
      <c r="K7607" s="33" t="s">
        <v>22</v>
      </c>
    </row>
    <row r="7608" spans="1:11">
      <c r="A7608" s="30" t="s">
        <v>17653</v>
      </c>
      <c r="B7608" s="30" t="s">
        <v>17654</v>
      </c>
      <c r="C7608" s="30" t="s">
        <v>109</v>
      </c>
      <c r="D7608" s="30" t="s">
        <v>17</v>
      </c>
      <c r="E7608" s="30" t="s">
        <v>18</v>
      </c>
      <c r="F7608" s="30" t="s">
        <v>19</v>
      </c>
      <c r="G7608" s="30" t="s">
        <v>158</v>
      </c>
      <c r="H7608" s="32">
        <v>345</v>
      </c>
      <c r="I7608" s="30" t="s">
        <v>21</v>
      </c>
      <c r="J7608" s="41">
        <v>44256</v>
      </c>
      <c r="K7608" s="30" t="s">
        <v>22</v>
      </c>
    </row>
    <row r="7609" spans="1:11">
      <c r="A7609" s="33" t="s">
        <v>17655</v>
      </c>
      <c r="B7609" s="33" t="s">
        <v>17656</v>
      </c>
      <c r="C7609" s="33" t="s">
        <v>7749</v>
      </c>
      <c r="D7609" s="33" t="s">
        <v>17</v>
      </c>
      <c r="E7609" s="33" t="s">
        <v>26</v>
      </c>
      <c r="F7609" s="33" t="s">
        <v>27</v>
      </c>
      <c r="G7609" s="33" t="s">
        <v>20</v>
      </c>
      <c r="H7609" s="35">
        <v>24</v>
      </c>
      <c r="I7609" s="33" t="s">
        <v>21</v>
      </c>
      <c r="J7609" s="42">
        <v>44383</v>
      </c>
      <c r="K7609" s="33" t="s">
        <v>22</v>
      </c>
    </row>
    <row r="7610" spans="1:11">
      <c r="A7610" s="30" t="s">
        <v>17657</v>
      </c>
      <c r="B7610" s="30" t="s">
        <v>17658</v>
      </c>
      <c r="C7610" s="30" t="s">
        <v>570</v>
      </c>
      <c r="D7610" s="30" t="s">
        <v>17</v>
      </c>
      <c r="E7610" s="30" t="s">
        <v>45</v>
      </c>
      <c r="F7610" s="30" t="s">
        <v>46</v>
      </c>
      <c r="G7610" s="30" t="s">
        <v>20</v>
      </c>
      <c r="H7610" s="32">
        <v>50</v>
      </c>
      <c r="I7610" s="30" t="s">
        <v>21</v>
      </c>
      <c r="J7610" s="41">
        <v>44211</v>
      </c>
      <c r="K7610" s="30" t="s">
        <v>22</v>
      </c>
    </row>
    <row r="7611" spans="1:11">
      <c r="A7611" s="33" t="s">
        <v>17659</v>
      </c>
      <c r="B7611" s="33" t="s">
        <v>17660</v>
      </c>
      <c r="C7611" s="33" t="s">
        <v>6325</v>
      </c>
      <c r="D7611" s="33" t="s">
        <v>17</v>
      </c>
      <c r="E7611" s="33" t="s">
        <v>26</v>
      </c>
      <c r="F7611" s="33" t="s">
        <v>27</v>
      </c>
      <c r="G7611" s="33" t="s">
        <v>106</v>
      </c>
      <c r="H7611" s="35">
        <v>31</v>
      </c>
      <c r="I7611" s="33" t="s">
        <v>21</v>
      </c>
      <c r="J7611" s="42">
        <v>44199</v>
      </c>
      <c r="K7611" s="33" t="s">
        <v>22</v>
      </c>
    </row>
    <row r="7612" spans="1:11">
      <c r="A7612" s="30" t="s">
        <v>17661</v>
      </c>
      <c r="B7612" s="30" t="s">
        <v>17662</v>
      </c>
      <c r="C7612" s="30" t="s">
        <v>17663</v>
      </c>
      <c r="D7612" s="30" t="s">
        <v>17</v>
      </c>
      <c r="E7612" s="30" t="s">
        <v>18</v>
      </c>
      <c r="F7612" s="30" t="s">
        <v>19</v>
      </c>
      <c r="G7612" s="30" t="s">
        <v>20</v>
      </c>
      <c r="H7612" s="32">
        <v>113</v>
      </c>
      <c r="I7612" s="30" t="s">
        <v>21</v>
      </c>
      <c r="J7612" s="41">
        <v>44533</v>
      </c>
      <c r="K7612" s="30" t="s">
        <v>22</v>
      </c>
    </row>
    <row r="7613" spans="1:11">
      <c r="A7613" s="33" t="s">
        <v>17664</v>
      </c>
      <c r="B7613" s="33" t="s">
        <v>17665</v>
      </c>
      <c r="C7613" s="33" t="s">
        <v>96</v>
      </c>
      <c r="D7613" s="33" t="s">
        <v>17</v>
      </c>
      <c r="E7613" s="33" t="s">
        <v>26</v>
      </c>
      <c r="F7613" s="33" t="s">
        <v>27</v>
      </c>
      <c r="G7613" s="33" t="s">
        <v>20</v>
      </c>
      <c r="H7613" s="35">
        <v>26</v>
      </c>
      <c r="I7613" s="33" t="s">
        <v>21</v>
      </c>
      <c r="J7613" s="42">
        <v>44490</v>
      </c>
      <c r="K7613" s="33" t="s">
        <v>22</v>
      </c>
    </row>
    <row r="7614" spans="1:11">
      <c r="A7614" s="30" t="s">
        <v>17666</v>
      </c>
      <c r="B7614" s="30" t="s">
        <v>17667</v>
      </c>
      <c r="C7614" s="30" t="s">
        <v>549</v>
      </c>
      <c r="D7614" s="30" t="s">
        <v>17</v>
      </c>
      <c r="E7614" s="30" t="s">
        <v>31</v>
      </c>
      <c r="F7614" s="30" t="s">
        <v>32</v>
      </c>
      <c r="G7614" s="30" t="s">
        <v>106</v>
      </c>
      <c r="H7614" s="32">
        <v>12</v>
      </c>
      <c r="I7614" s="30" t="s">
        <v>21</v>
      </c>
      <c r="J7614" s="41">
        <v>44466</v>
      </c>
      <c r="K7614" s="30" t="s">
        <v>22</v>
      </c>
    </row>
    <row r="7615" spans="1:11">
      <c r="A7615" s="33" t="s">
        <v>17668</v>
      </c>
      <c r="B7615" s="33" t="s">
        <v>17669</v>
      </c>
      <c r="C7615" s="33" t="s">
        <v>17670</v>
      </c>
      <c r="D7615" s="33" t="s">
        <v>17</v>
      </c>
      <c r="E7615" s="33" t="s">
        <v>67</v>
      </c>
      <c r="F7615" s="33" t="s">
        <v>68</v>
      </c>
      <c r="G7615" s="33" t="s">
        <v>158</v>
      </c>
      <c r="H7615" s="35">
        <v>8</v>
      </c>
      <c r="I7615" s="33" t="s">
        <v>51</v>
      </c>
      <c r="J7615" s="42">
        <v>44378</v>
      </c>
      <c r="K7615" s="33" t="s">
        <v>22</v>
      </c>
    </row>
    <row r="7616" spans="1:11">
      <c r="A7616" s="30" t="s">
        <v>17671</v>
      </c>
      <c r="B7616" s="30" t="s">
        <v>17672</v>
      </c>
      <c r="C7616" s="30" t="s">
        <v>647</v>
      </c>
      <c r="D7616" s="30" t="s">
        <v>17</v>
      </c>
      <c r="E7616" s="30" t="s">
        <v>26</v>
      </c>
      <c r="F7616" s="30" t="s">
        <v>27</v>
      </c>
      <c r="G7616" s="30" t="s">
        <v>106</v>
      </c>
      <c r="H7616" s="32">
        <v>13</v>
      </c>
      <c r="I7616" s="30" t="s">
        <v>21</v>
      </c>
      <c r="J7616" s="41">
        <v>44465</v>
      </c>
      <c r="K7616" s="30" t="s">
        <v>22</v>
      </c>
    </row>
    <row r="7617" spans="1:11">
      <c r="A7617" s="33" t="s">
        <v>17673</v>
      </c>
      <c r="B7617" s="33" t="s">
        <v>17674</v>
      </c>
      <c r="C7617" s="33" t="s">
        <v>6607</v>
      </c>
      <c r="D7617" s="33" t="s">
        <v>17</v>
      </c>
      <c r="E7617" s="33" t="s">
        <v>31</v>
      </c>
      <c r="F7617" s="33" t="s">
        <v>32</v>
      </c>
      <c r="G7617" s="33" t="s">
        <v>20</v>
      </c>
      <c r="H7617" s="35">
        <v>40</v>
      </c>
      <c r="I7617" s="33" t="s">
        <v>21</v>
      </c>
      <c r="J7617" s="42">
        <v>44538</v>
      </c>
      <c r="K7617" s="33" t="s">
        <v>22</v>
      </c>
    </row>
    <row r="7618" spans="1:11">
      <c r="A7618" s="30" t="s">
        <v>17675</v>
      </c>
      <c r="B7618" s="30" t="s">
        <v>17676</v>
      </c>
      <c r="C7618" s="30" t="s">
        <v>136</v>
      </c>
      <c r="D7618" s="30" t="s">
        <v>17</v>
      </c>
      <c r="E7618" s="30" t="s">
        <v>26</v>
      </c>
      <c r="F7618" s="30" t="s">
        <v>27</v>
      </c>
      <c r="G7618" s="30" t="s">
        <v>20</v>
      </c>
      <c r="H7618" s="32">
        <v>60</v>
      </c>
      <c r="I7618" s="30" t="s">
        <v>21</v>
      </c>
      <c r="J7618" s="41">
        <v>44466</v>
      </c>
      <c r="K7618" s="30" t="s">
        <v>22</v>
      </c>
    </row>
    <row r="7619" spans="1:11">
      <c r="A7619" s="33" t="s">
        <v>17677</v>
      </c>
      <c r="B7619" s="33" t="s">
        <v>17678</v>
      </c>
      <c r="C7619" s="33" t="s">
        <v>4931</v>
      </c>
      <c r="D7619" s="33" t="s">
        <v>17</v>
      </c>
      <c r="E7619" s="33" t="s">
        <v>26</v>
      </c>
      <c r="F7619" s="33" t="s">
        <v>27</v>
      </c>
      <c r="G7619" s="33" t="s">
        <v>106</v>
      </c>
      <c r="H7619" s="35">
        <v>2</v>
      </c>
      <c r="I7619" s="33" t="s">
        <v>21</v>
      </c>
      <c r="J7619" s="42">
        <v>44445</v>
      </c>
      <c r="K7619" s="33" t="s">
        <v>22</v>
      </c>
    </row>
    <row r="7620" spans="1:11">
      <c r="A7620" s="30" t="s">
        <v>17679</v>
      </c>
      <c r="B7620" s="30" t="s">
        <v>17680</v>
      </c>
      <c r="C7620" s="30" t="s">
        <v>17681</v>
      </c>
      <c r="D7620" s="30" t="s">
        <v>17</v>
      </c>
      <c r="E7620" s="30" t="s">
        <v>31</v>
      </c>
      <c r="F7620" s="30" t="s">
        <v>32</v>
      </c>
      <c r="G7620" s="30" t="s">
        <v>20</v>
      </c>
      <c r="H7620" s="32">
        <v>408</v>
      </c>
      <c r="I7620" s="30" t="s">
        <v>21</v>
      </c>
      <c r="J7620" s="41">
        <v>44440</v>
      </c>
      <c r="K7620" s="30" t="s">
        <v>22</v>
      </c>
    </row>
    <row r="7621" spans="1:11">
      <c r="A7621" s="33" t="s">
        <v>17682</v>
      </c>
      <c r="B7621" s="33" t="s">
        <v>17683</v>
      </c>
      <c r="C7621" s="33" t="s">
        <v>109</v>
      </c>
      <c r="D7621" s="33" t="s">
        <v>17</v>
      </c>
      <c r="E7621" s="33" t="s">
        <v>26</v>
      </c>
      <c r="F7621" s="33" t="s">
        <v>27</v>
      </c>
      <c r="G7621" s="33" t="s">
        <v>106</v>
      </c>
      <c r="H7621" s="35">
        <v>40</v>
      </c>
      <c r="I7621" s="33" t="s">
        <v>21</v>
      </c>
      <c r="J7621" s="42">
        <v>44530</v>
      </c>
      <c r="K7621" s="33" t="s">
        <v>22</v>
      </c>
    </row>
    <row r="7622" spans="1:11">
      <c r="A7622" s="30" t="s">
        <v>17684</v>
      </c>
      <c r="B7622" s="30" t="s">
        <v>17685</v>
      </c>
      <c r="C7622" s="30" t="s">
        <v>15180</v>
      </c>
      <c r="D7622" s="30" t="s">
        <v>17</v>
      </c>
      <c r="E7622" s="30" t="s">
        <v>31</v>
      </c>
      <c r="F7622" s="30" t="s">
        <v>32</v>
      </c>
      <c r="G7622" s="30" t="s">
        <v>158</v>
      </c>
      <c r="H7622" s="32">
        <v>210</v>
      </c>
      <c r="I7622" s="30" t="s">
        <v>51</v>
      </c>
      <c r="J7622" s="41">
        <v>44469</v>
      </c>
      <c r="K7622" s="30" t="s">
        <v>22</v>
      </c>
    </row>
    <row r="7623" spans="1:11">
      <c r="A7623" s="33" t="s">
        <v>17686</v>
      </c>
      <c r="B7623" s="33" t="s">
        <v>17687</v>
      </c>
      <c r="C7623" s="33" t="s">
        <v>17688</v>
      </c>
      <c r="D7623" s="33" t="s">
        <v>17</v>
      </c>
      <c r="E7623" s="33" t="s">
        <v>26</v>
      </c>
      <c r="F7623" s="33" t="s">
        <v>27</v>
      </c>
      <c r="G7623" s="33" t="s">
        <v>20</v>
      </c>
      <c r="H7623" s="35">
        <v>54</v>
      </c>
      <c r="I7623" s="33" t="s">
        <v>21</v>
      </c>
      <c r="J7623" s="42">
        <v>44494</v>
      </c>
      <c r="K7623" s="33" t="s">
        <v>22</v>
      </c>
    </row>
    <row r="7624" spans="1:11">
      <c r="A7624" s="30" t="s">
        <v>17689</v>
      </c>
      <c r="B7624" s="30" t="s">
        <v>17690</v>
      </c>
      <c r="C7624" s="30" t="s">
        <v>187</v>
      </c>
      <c r="D7624" s="30" t="s">
        <v>17</v>
      </c>
      <c r="E7624" s="30" t="s">
        <v>18</v>
      </c>
      <c r="F7624" s="30" t="s">
        <v>19</v>
      </c>
      <c r="G7624" s="30" t="s">
        <v>50</v>
      </c>
      <c r="H7624" s="32">
        <v>344</v>
      </c>
      <c r="I7624" s="30" t="s">
        <v>51</v>
      </c>
      <c r="J7624" s="41">
        <v>44404</v>
      </c>
      <c r="K7624" s="30" t="s">
        <v>22</v>
      </c>
    </row>
    <row r="7625" spans="1:11">
      <c r="A7625" s="33" t="s">
        <v>17691</v>
      </c>
      <c r="B7625" s="33" t="s">
        <v>17692</v>
      </c>
      <c r="C7625" s="33" t="s">
        <v>8421</v>
      </c>
      <c r="D7625" s="33" t="s">
        <v>17</v>
      </c>
      <c r="E7625" s="33" t="s">
        <v>31</v>
      </c>
      <c r="F7625" s="33" t="s">
        <v>32</v>
      </c>
      <c r="G7625" s="33" t="s">
        <v>112</v>
      </c>
      <c r="H7625" s="35">
        <v>0</v>
      </c>
      <c r="I7625" s="33" t="s">
        <v>21</v>
      </c>
      <c r="J7625" s="42">
        <v>44228</v>
      </c>
      <c r="K7625" s="33" t="s">
        <v>22</v>
      </c>
    </row>
    <row r="7626" spans="1:11">
      <c r="A7626" s="30" t="s">
        <v>17693</v>
      </c>
      <c r="B7626" s="30" t="s">
        <v>17694</v>
      </c>
      <c r="C7626" s="30" t="s">
        <v>1710</v>
      </c>
      <c r="D7626" s="30" t="s">
        <v>17</v>
      </c>
      <c r="E7626" s="30" t="s">
        <v>31</v>
      </c>
      <c r="F7626" s="30" t="s">
        <v>32</v>
      </c>
      <c r="G7626" s="30" t="s">
        <v>20</v>
      </c>
      <c r="H7626" s="32">
        <v>67</v>
      </c>
      <c r="I7626" s="30" t="s">
        <v>21</v>
      </c>
      <c r="J7626" s="41">
        <v>44361</v>
      </c>
      <c r="K7626" s="30" t="s">
        <v>22</v>
      </c>
    </row>
    <row r="7627" spans="1:11">
      <c r="A7627" s="33" t="s">
        <v>17695</v>
      </c>
      <c r="B7627" s="33" t="s">
        <v>17696</v>
      </c>
      <c r="C7627" s="33" t="s">
        <v>17697</v>
      </c>
      <c r="D7627" s="33" t="s">
        <v>17</v>
      </c>
      <c r="E7627" s="33" t="s">
        <v>212</v>
      </c>
      <c r="F7627" s="33" t="s">
        <v>213</v>
      </c>
      <c r="G7627" s="33" t="s">
        <v>20</v>
      </c>
      <c r="H7627" s="35">
        <v>86</v>
      </c>
      <c r="I7627" s="33" t="s">
        <v>21</v>
      </c>
      <c r="J7627" s="42">
        <v>44467</v>
      </c>
      <c r="K7627" s="33" t="s">
        <v>22</v>
      </c>
    </row>
    <row r="7628" spans="1:11">
      <c r="A7628" s="30" t="s">
        <v>17698</v>
      </c>
      <c r="B7628" s="30" t="s">
        <v>17699</v>
      </c>
      <c r="C7628" s="30" t="s">
        <v>6379</v>
      </c>
      <c r="D7628" s="30" t="s">
        <v>17</v>
      </c>
      <c r="E7628" s="30" t="s">
        <v>31</v>
      </c>
      <c r="F7628" s="30" t="s">
        <v>32</v>
      </c>
      <c r="G7628" s="30" t="s">
        <v>106</v>
      </c>
      <c r="H7628" s="32">
        <v>216</v>
      </c>
      <c r="I7628" s="30" t="s">
        <v>21</v>
      </c>
      <c r="J7628" s="41">
        <v>44537</v>
      </c>
      <c r="K7628" s="30" t="s">
        <v>22</v>
      </c>
    </row>
    <row r="7629" spans="1:11">
      <c r="A7629" s="33" t="s">
        <v>17700</v>
      </c>
      <c r="B7629" s="33" t="s">
        <v>17701</v>
      </c>
      <c r="C7629" s="33" t="s">
        <v>11801</v>
      </c>
      <c r="D7629" s="33" t="s">
        <v>17</v>
      </c>
      <c r="E7629" s="33" t="s">
        <v>67</v>
      </c>
      <c r="F7629" s="33" t="s">
        <v>68</v>
      </c>
      <c r="G7629" s="33" t="s">
        <v>106</v>
      </c>
      <c r="H7629" s="35">
        <v>7</v>
      </c>
      <c r="I7629" s="33" t="s">
        <v>21</v>
      </c>
      <c r="J7629" s="42">
        <v>44404</v>
      </c>
      <c r="K7629" s="33" t="s">
        <v>22</v>
      </c>
    </row>
    <row r="7630" spans="1:11">
      <c r="A7630" s="30" t="s">
        <v>17702</v>
      </c>
      <c r="B7630" s="30" t="s">
        <v>17703</v>
      </c>
      <c r="C7630" s="30" t="s">
        <v>279</v>
      </c>
      <c r="D7630" s="30" t="s">
        <v>17</v>
      </c>
      <c r="E7630" s="30" t="s">
        <v>31</v>
      </c>
      <c r="F7630" s="30" t="s">
        <v>32</v>
      </c>
      <c r="G7630" s="30" t="s">
        <v>20</v>
      </c>
      <c r="H7630" s="32">
        <v>24</v>
      </c>
      <c r="I7630" s="30" t="s">
        <v>21</v>
      </c>
      <c r="J7630" s="41">
        <v>44524</v>
      </c>
      <c r="K7630" s="30" t="s">
        <v>22</v>
      </c>
    </row>
    <row r="7631" spans="1:11">
      <c r="A7631" s="33" t="s">
        <v>17704</v>
      </c>
      <c r="B7631" s="33" t="s">
        <v>17705</v>
      </c>
      <c r="C7631" s="33" t="s">
        <v>178</v>
      </c>
      <c r="D7631" s="33" t="s">
        <v>17</v>
      </c>
      <c r="E7631" s="33" t="s">
        <v>31</v>
      </c>
      <c r="F7631" s="33" t="s">
        <v>32</v>
      </c>
      <c r="G7631" s="33" t="s">
        <v>158</v>
      </c>
      <c r="H7631" s="35">
        <v>42</v>
      </c>
      <c r="I7631" s="33" t="s">
        <v>21</v>
      </c>
      <c r="J7631" s="42">
        <v>44267</v>
      </c>
      <c r="K7631" s="33" t="s">
        <v>22</v>
      </c>
    </row>
    <row r="7632" spans="1:11">
      <c r="A7632" s="30" t="s">
        <v>17706</v>
      </c>
      <c r="B7632" s="30" t="s">
        <v>17707</v>
      </c>
      <c r="C7632" s="30" t="s">
        <v>4170</v>
      </c>
      <c r="D7632" s="30" t="s">
        <v>17</v>
      </c>
      <c r="E7632" s="30" t="s">
        <v>31</v>
      </c>
      <c r="F7632" s="30" t="s">
        <v>32</v>
      </c>
      <c r="G7632" s="30" t="s">
        <v>20</v>
      </c>
      <c r="H7632" s="32">
        <v>356</v>
      </c>
      <c r="I7632" s="30" t="s">
        <v>21</v>
      </c>
      <c r="J7632" s="41">
        <v>44218</v>
      </c>
      <c r="K7632" s="30" t="s">
        <v>22</v>
      </c>
    </row>
    <row r="7633" spans="1:11">
      <c r="A7633" s="33" t="s">
        <v>17708</v>
      </c>
      <c r="B7633" s="33" t="s">
        <v>17709</v>
      </c>
      <c r="C7633" s="33" t="s">
        <v>149</v>
      </c>
      <c r="D7633" s="33" t="s">
        <v>17</v>
      </c>
      <c r="E7633" s="33" t="s">
        <v>18</v>
      </c>
      <c r="F7633" s="33" t="s">
        <v>19</v>
      </c>
      <c r="G7633" s="33" t="s">
        <v>20</v>
      </c>
      <c r="H7633" s="35">
        <v>779</v>
      </c>
      <c r="I7633" s="33" t="s">
        <v>21</v>
      </c>
      <c r="J7633" s="42">
        <v>44362</v>
      </c>
      <c r="K7633" s="33" t="s">
        <v>22</v>
      </c>
    </row>
    <row r="7634" spans="1:11">
      <c r="A7634" s="30" t="s">
        <v>17710</v>
      </c>
      <c r="B7634" s="30" t="s">
        <v>17711</v>
      </c>
      <c r="C7634" s="30" t="s">
        <v>190</v>
      </c>
      <c r="D7634" s="30" t="s">
        <v>17</v>
      </c>
      <c r="E7634" s="30" t="s">
        <v>26</v>
      </c>
      <c r="F7634" s="30" t="s">
        <v>27</v>
      </c>
      <c r="G7634" s="30" t="s">
        <v>20</v>
      </c>
      <c r="H7634" s="32">
        <v>20</v>
      </c>
      <c r="I7634" s="30" t="s">
        <v>21</v>
      </c>
      <c r="J7634" s="41">
        <v>44483</v>
      </c>
      <c r="K7634" s="30" t="s">
        <v>22</v>
      </c>
    </row>
    <row r="7635" spans="1:11">
      <c r="A7635" s="33" t="s">
        <v>17712</v>
      </c>
      <c r="B7635" s="33" t="s">
        <v>17713</v>
      </c>
      <c r="C7635" s="33" t="s">
        <v>1428</v>
      </c>
      <c r="D7635" s="33" t="s">
        <v>17</v>
      </c>
      <c r="E7635" s="33" t="s">
        <v>67</v>
      </c>
      <c r="F7635" s="33" t="s">
        <v>68</v>
      </c>
      <c r="G7635" s="33" t="s">
        <v>50</v>
      </c>
      <c r="H7635" s="35">
        <v>300</v>
      </c>
      <c r="I7635" s="33" t="s">
        <v>51</v>
      </c>
      <c r="J7635" s="42">
        <v>44552</v>
      </c>
      <c r="K7635" s="33" t="s">
        <v>22</v>
      </c>
    </row>
    <row r="7636" spans="1:11">
      <c r="A7636" s="30" t="s">
        <v>17714</v>
      </c>
      <c r="B7636" s="30" t="s">
        <v>17715</v>
      </c>
      <c r="C7636" s="30" t="s">
        <v>5125</v>
      </c>
      <c r="D7636" s="30" t="s">
        <v>17</v>
      </c>
      <c r="E7636" s="30" t="s">
        <v>18</v>
      </c>
      <c r="F7636" s="30" t="s">
        <v>19</v>
      </c>
      <c r="G7636" s="30" t="s">
        <v>140</v>
      </c>
      <c r="H7636" s="32">
        <v>1348</v>
      </c>
      <c r="I7636" s="30" t="s">
        <v>51</v>
      </c>
      <c r="J7636" s="41">
        <v>44454</v>
      </c>
      <c r="K7636" s="30" t="s">
        <v>22</v>
      </c>
    </row>
    <row r="7637" spans="1:11">
      <c r="A7637" s="33" t="s">
        <v>17716</v>
      </c>
      <c r="B7637" s="33" t="s">
        <v>17717</v>
      </c>
      <c r="C7637" s="33" t="s">
        <v>6811</v>
      </c>
      <c r="D7637" s="33" t="s">
        <v>17</v>
      </c>
      <c r="E7637" s="33" t="s">
        <v>26</v>
      </c>
      <c r="F7637" s="33" t="s">
        <v>27</v>
      </c>
      <c r="G7637" s="33" t="s">
        <v>20</v>
      </c>
      <c r="H7637" s="35">
        <v>5</v>
      </c>
      <c r="I7637" s="33" t="s">
        <v>21</v>
      </c>
      <c r="J7637" s="42">
        <v>44481</v>
      </c>
      <c r="K7637" s="33" t="s">
        <v>22</v>
      </c>
    </row>
    <row r="7638" spans="1:11">
      <c r="A7638" s="30" t="s">
        <v>17718</v>
      </c>
      <c r="B7638" s="30" t="s">
        <v>17719</v>
      </c>
      <c r="C7638" s="30" t="s">
        <v>17720</v>
      </c>
      <c r="D7638" s="30" t="s">
        <v>17</v>
      </c>
      <c r="E7638" s="30" t="s">
        <v>26</v>
      </c>
      <c r="F7638" s="30" t="s">
        <v>27</v>
      </c>
      <c r="G7638" s="30" t="s">
        <v>20</v>
      </c>
      <c r="H7638" s="32">
        <v>40</v>
      </c>
      <c r="I7638" s="30" t="s">
        <v>21</v>
      </c>
      <c r="J7638" s="41">
        <v>44417</v>
      </c>
      <c r="K7638" s="30" t="s">
        <v>22</v>
      </c>
    </row>
    <row r="7639" spans="1:11">
      <c r="A7639" s="33" t="s">
        <v>17721</v>
      </c>
      <c r="B7639" s="33" t="s">
        <v>17722</v>
      </c>
      <c r="C7639" s="33" t="s">
        <v>318</v>
      </c>
      <c r="D7639" s="33" t="s">
        <v>17</v>
      </c>
      <c r="E7639" s="33" t="s">
        <v>26</v>
      </c>
      <c r="F7639" s="33" t="s">
        <v>27</v>
      </c>
      <c r="G7639" s="33" t="s">
        <v>20</v>
      </c>
      <c r="H7639" s="35">
        <v>13</v>
      </c>
      <c r="I7639" s="33" t="s">
        <v>21</v>
      </c>
      <c r="J7639" s="42">
        <v>44428</v>
      </c>
      <c r="K7639" s="33" t="s">
        <v>22</v>
      </c>
    </row>
    <row r="7640" spans="1:11">
      <c r="A7640" s="30" t="s">
        <v>17723</v>
      </c>
      <c r="B7640" s="30" t="s">
        <v>17724</v>
      </c>
      <c r="C7640" s="30" t="s">
        <v>17725</v>
      </c>
      <c r="D7640" s="30" t="s">
        <v>17</v>
      </c>
      <c r="E7640" s="30" t="s">
        <v>18</v>
      </c>
      <c r="F7640" s="30" t="s">
        <v>19</v>
      </c>
      <c r="G7640" s="30" t="s">
        <v>50</v>
      </c>
      <c r="H7640" s="32">
        <v>480</v>
      </c>
      <c r="I7640" s="30" t="s">
        <v>51</v>
      </c>
      <c r="J7640" s="41">
        <v>44470</v>
      </c>
      <c r="K7640" s="30" t="s">
        <v>22</v>
      </c>
    </row>
    <row r="7641" spans="1:11">
      <c r="A7641" s="33" t="s">
        <v>17726</v>
      </c>
      <c r="B7641" s="33" t="s">
        <v>17727</v>
      </c>
      <c r="C7641" s="33" t="s">
        <v>3293</v>
      </c>
      <c r="D7641" s="33" t="s">
        <v>17</v>
      </c>
      <c r="E7641" s="33" t="s">
        <v>26</v>
      </c>
      <c r="F7641" s="33" t="s">
        <v>27</v>
      </c>
      <c r="G7641" s="33" t="s">
        <v>20</v>
      </c>
      <c r="H7641" s="35">
        <v>18</v>
      </c>
      <c r="I7641" s="33" t="s">
        <v>21</v>
      </c>
      <c r="J7641" s="42">
        <v>44307</v>
      </c>
      <c r="K7641" s="33" t="s">
        <v>22</v>
      </c>
    </row>
    <row r="7642" spans="1:11">
      <c r="A7642" s="30" t="s">
        <v>17728</v>
      </c>
      <c r="B7642" s="30" t="s">
        <v>17729</v>
      </c>
      <c r="C7642" s="30" t="s">
        <v>8775</v>
      </c>
      <c r="D7642" s="30" t="s">
        <v>17</v>
      </c>
      <c r="E7642" s="30" t="s">
        <v>67</v>
      </c>
      <c r="F7642" s="30" t="s">
        <v>68</v>
      </c>
      <c r="G7642" s="30" t="s">
        <v>106</v>
      </c>
      <c r="H7642" s="32">
        <v>2</v>
      </c>
      <c r="I7642" s="30" t="s">
        <v>21</v>
      </c>
      <c r="J7642" s="41">
        <v>44501</v>
      </c>
      <c r="K7642" s="30" t="s">
        <v>22</v>
      </c>
    </row>
    <row r="7643" spans="1:11">
      <c r="A7643" s="33" t="s">
        <v>17730</v>
      </c>
      <c r="B7643" s="33" t="s">
        <v>17731</v>
      </c>
      <c r="C7643" s="33" t="s">
        <v>1102</v>
      </c>
      <c r="D7643" s="33" t="s">
        <v>17</v>
      </c>
      <c r="E7643" s="33" t="s">
        <v>18</v>
      </c>
      <c r="F7643" s="33" t="s">
        <v>19</v>
      </c>
      <c r="G7643" s="33" t="s">
        <v>20</v>
      </c>
      <c r="H7643" s="35">
        <v>216</v>
      </c>
      <c r="I7643" s="33" t="s">
        <v>21</v>
      </c>
      <c r="J7643" s="42">
        <v>44522</v>
      </c>
      <c r="K7643" s="33" t="s">
        <v>22</v>
      </c>
    </row>
    <row r="7644" spans="1:11">
      <c r="A7644" s="30" t="s">
        <v>17732</v>
      </c>
      <c r="B7644" s="30" t="s">
        <v>17733</v>
      </c>
      <c r="C7644" s="30" t="s">
        <v>17734</v>
      </c>
      <c r="D7644" s="30" t="s">
        <v>17</v>
      </c>
      <c r="E7644" s="30" t="s">
        <v>212</v>
      </c>
      <c r="F7644" s="30" t="s">
        <v>213</v>
      </c>
      <c r="G7644" s="30" t="s">
        <v>106</v>
      </c>
      <c r="H7644" s="32">
        <v>151</v>
      </c>
      <c r="I7644" s="30" t="s">
        <v>21</v>
      </c>
      <c r="J7644" s="41">
        <v>44403</v>
      </c>
      <c r="K7644" s="30" t="s">
        <v>22</v>
      </c>
    </row>
    <row r="7645" spans="1:11">
      <c r="A7645" s="33" t="s">
        <v>17735</v>
      </c>
      <c r="B7645" s="33" t="s">
        <v>17736</v>
      </c>
      <c r="C7645" s="33" t="s">
        <v>795</v>
      </c>
      <c r="D7645" s="33" t="s">
        <v>17</v>
      </c>
      <c r="E7645" s="33" t="s">
        <v>67</v>
      </c>
      <c r="F7645" s="33" t="s">
        <v>68</v>
      </c>
      <c r="G7645" s="33" t="s">
        <v>106</v>
      </c>
      <c r="H7645" s="35">
        <v>130</v>
      </c>
      <c r="I7645" s="33" t="s">
        <v>21</v>
      </c>
      <c r="J7645" s="42">
        <v>44264</v>
      </c>
      <c r="K7645" s="33" t="s">
        <v>22</v>
      </c>
    </row>
    <row r="7646" spans="1:11">
      <c r="A7646" s="30" t="s">
        <v>17737</v>
      </c>
      <c r="B7646" s="30" t="s">
        <v>17738</v>
      </c>
      <c r="C7646" s="30" t="s">
        <v>11576</v>
      </c>
      <c r="D7646" s="30" t="s">
        <v>17</v>
      </c>
      <c r="E7646" s="30" t="s">
        <v>26</v>
      </c>
      <c r="F7646" s="30" t="s">
        <v>27</v>
      </c>
      <c r="G7646" s="30" t="s">
        <v>20</v>
      </c>
      <c r="H7646" s="32">
        <v>16</v>
      </c>
      <c r="I7646" s="30" t="s">
        <v>21</v>
      </c>
      <c r="J7646" s="41">
        <v>44478</v>
      </c>
      <c r="K7646" s="30" t="s">
        <v>22</v>
      </c>
    </row>
    <row r="7647" spans="1:11">
      <c r="A7647" s="33" t="s">
        <v>17739</v>
      </c>
      <c r="B7647" s="33" t="s">
        <v>17740</v>
      </c>
      <c r="C7647" s="33" t="s">
        <v>9737</v>
      </c>
      <c r="D7647" s="33" t="s">
        <v>17</v>
      </c>
      <c r="E7647" s="33" t="s">
        <v>26</v>
      </c>
      <c r="F7647" s="33" t="s">
        <v>27</v>
      </c>
      <c r="G7647" s="33" t="s">
        <v>50</v>
      </c>
      <c r="H7647" s="35">
        <v>38</v>
      </c>
      <c r="I7647" s="33" t="s">
        <v>51</v>
      </c>
      <c r="J7647" s="42">
        <v>44392</v>
      </c>
      <c r="K7647" s="33" t="s">
        <v>22</v>
      </c>
    </row>
    <row r="7648" spans="1:11">
      <c r="A7648" s="30" t="s">
        <v>17741</v>
      </c>
      <c r="B7648" s="30" t="s">
        <v>17742</v>
      </c>
      <c r="C7648" s="30" t="s">
        <v>14307</v>
      </c>
      <c r="D7648" s="30" t="s">
        <v>17</v>
      </c>
      <c r="E7648" s="30" t="s">
        <v>26</v>
      </c>
      <c r="F7648" s="30" t="s">
        <v>27</v>
      </c>
      <c r="G7648" s="30" t="s">
        <v>112</v>
      </c>
      <c r="H7648" s="32">
        <v>0</v>
      </c>
      <c r="I7648" s="30" t="s">
        <v>21</v>
      </c>
      <c r="J7648" s="41">
        <v>44294</v>
      </c>
      <c r="K7648" s="30" t="s">
        <v>22</v>
      </c>
    </row>
    <row r="7649" spans="1:11">
      <c r="A7649" s="33" t="s">
        <v>17743</v>
      </c>
      <c r="B7649" s="33" t="s">
        <v>17744</v>
      </c>
      <c r="C7649" s="33" t="s">
        <v>387</v>
      </c>
      <c r="D7649" s="33" t="s">
        <v>17</v>
      </c>
      <c r="E7649" s="33" t="s">
        <v>26</v>
      </c>
      <c r="F7649" s="33" t="s">
        <v>27</v>
      </c>
      <c r="G7649" s="33" t="s">
        <v>106</v>
      </c>
      <c r="H7649" s="35">
        <v>24</v>
      </c>
      <c r="I7649" s="33" t="s">
        <v>21</v>
      </c>
      <c r="J7649" s="42">
        <v>44526</v>
      </c>
      <c r="K7649" s="33" t="s">
        <v>22</v>
      </c>
    </row>
    <row r="7650" spans="1:11">
      <c r="A7650" s="30" t="s">
        <v>17745</v>
      </c>
      <c r="B7650" s="30" t="s">
        <v>17746</v>
      </c>
      <c r="C7650" s="30" t="s">
        <v>6703</v>
      </c>
      <c r="D7650" s="30" t="s">
        <v>17</v>
      </c>
      <c r="E7650" s="30" t="s">
        <v>18</v>
      </c>
      <c r="F7650" s="30" t="s">
        <v>19</v>
      </c>
      <c r="G7650" s="30" t="s">
        <v>20</v>
      </c>
      <c r="H7650" s="32">
        <v>645</v>
      </c>
      <c r="I7650" s="30" t="s">
        <v>21</v>
      </c>
      <c r="J7650" s="41">
        <v>44228</v>
      </c>
      <c r="K7650" s="30" t="s">
        <v>22</v>
      </c>
    </row>
    <row r="7651" spans="1:11">
      <c r="A7651" s="33" t="s">
        <v>17747</v>
      </c>
      <c r="B7651" s="33" t="s">
        <v>17748</v>
      </c>
      <c r="C7651" s="33" t="s">
        <v>96</v>
      </c>
      <c r="D7651" s="33" t="s">
        <v>17</v>
      </c>
      <c r="E7651" s="33" t="s">
        <v>31</v>
      </c>
      <c r="F7651" s="33" t="s">
        <v>32</v>
      </c>
      <c r="G7651" s="33" t="s">
        <v>20</v>
      </c>
      <c r="H7651" s="35">
        <v>234</v>
      </c>
      <c r="I7651" s="33" t="s">
        <v>21</v>
      </c>
      <c r="J7651" s="42">
        <v>44298</v>
      </c>
      <c r="K7651" s="33" t="s">
        <v>22</v>
      </c>
    </row>
    <row r="7652" spans="1:11">
      <c r="A7652" s="30" t="s">
        <v>17749</v>
      </c>
      <c r="B7652" s="30" t="s">
        <v>17750</v>
      </c>
      <c r="C7652" s="30" t="s">
        <v>136</v>
      </c>
      <c r="D7652" s="30" t="s">
        <v>17</v>
      </c>
      <c r="E7652" s="30" t="s">
        <v>212</v>
      </c>
      <c r="F7652" s="30" t="s">
        <v>213</v>
      </c>
      <c r="G7652" s="30" t="s">
        <v>20</v>
      </c>
      <c r="H7652" s="32">
        <v>580</v>
      </c>
      <c r="I7652" s="30" t="s">
        <v>21</v>
      </c>
      <c r="J7652" s="41">
        <v>44536</v>
      </c>
      <c r="K7652" s="30" t="s">
        <v>22</v>
      </c>
    </row>
    <row r="7653" spans="1:11">
      <c r="A7653" s="33" t="s">
        <v>17751</v>
      </c>
      <c r="B7653" s="33" t="s">
        <v>17752</v>
      </c>
      <c r="C7653" s="33" t="s">
        <v>190</v>
      </c>
      <c r="D7653" s="33" t="s">
        <v>17</v>
      </c>
      <c r="E7653" s="33" t="s">
        <v>18</v>
      </c>
      <c r="F7653" s="33" t="s">
        <v>19</v>
      </c>
      <c r="G7653" s="33" t="s">
        <v>106</v>
      </c>
      <c r="H7653" s="35">
        <v>100</v>
      </c>
      <c r="I7653" s="33" t="s">
        <v>21</v>
      </c>
      <c r="J7653" s="42">
        <v>44398</v>
      </c>
      <c r="K7653" s="33" t="s">
        <v>22</v>
      </c>
    </row>
    <row r="7654" spans="1:11">
      <c r="A7654" s="30" t="s">
        <v>17753</v>
      </c>
      <c r="B7654" s="30" t="s">
        <v>17754</v>
      </c>
      <c r="C7654" s="30" t="s">
        <v>6379</v>
      </c>
      <c r="D7654" s="30" t="s">
        <v>17</v>
      </c>
      <c r="E7654" s="30" t="s">
        <v>31</v>
      </c>
      <c r="F7654" s="30" t="s">
        <v>32</v>
      </c>
      <c r="G7654" s="30" t="s">
        <v>20</v>
      </c>
      <c r="H7654" s="32">
        <v>93</v>
      </c>
      <c r="I7654" s="30" t="s">
        <v>21</v>
      </c>
      <c r="J7654" s="41">
        <v>44530</v>
      </c>
      <c r="K7654" s="30" t="s">
        <v>22</v>
      </c>
    </row>
    <row r="7655" spans="1:11">
      <c r="A7655" s="33" t="s">
        <v>17755</v>
      </c>
      <c r="B7655" s="33" t="s">
        <v>17756</v>
      </c>
      <c r="C7655" s="33" t="s">
        <v>17757</v>
      </c>
      <c r="D7655" s="33" t="s">
        <v>17</v>
      </c>
      <c r="E7655" s="33" t="s">
        <v>26</v>
      </c>
      <c r="F7655" s="33" t="s">
        <v>27</v>
      </c>
      <c r="G7655" s="33" t="s">
        <v>20</v>
      </c>
      <c r="H7655" s="35">
        <v>32</v>
      </c>
      <c r="I7655" s="33" t="s">
        <v>21</v>
      </c>
      <c r="J7655" s="42">
        <v>44509</v>
      </c>
      <c r="K7655" s="33" t="s">
        <v>22</v>
      </c>
    </row>
    <row r="7656" spans="1:11">
      <c r="A7656" s="30" t="s">
        <v>17758</v>
      </c>
      <c r="B7656" s="30" t="s">
        <v>17759</v>
      </c>
      <c r="C7656" s="30" t="s">
        <v>96</v>
      </c>
      <c r="D7656" s="30" t="s">
        <v>17</v>
      </c>
      <c r="E7656" s="30" t="s">
        <v>31</v>
      </c>
      <c r="F7656" s="30" t="s">
        <v>32</v>
      </c>
      <c r="G7656" s="30" t="s">
        <v>106</v>
      </c>
      <c r="H7656" s="32">
        <v>22</v>
      </c>
      <c r="I7656" s="30" t="s">
        <v>21</v>
      </c>
      <c r="J7656" s="41">
        <v>44558</v>
      </c>
      <c r="K7656" s="30" t="s">
        <v>22</v>
      </c>
    </row>
    <row r="7657" spans="1:11">
      <c r="A7657" s="33" t="s">
        <v>17760</v>
      </c>
      <c r="B7657" s="33" t="s">
        <v>17761</v>
      </c>
      <c r="C7657" s="33" t="s">
        <v>9297</v>
      </c>
      <c r="D7657" s="33" t="s">
        <v>17</v>
      </c>
      <c r="E7657" s="33" t="s">
        <v>31</v>
      </c>
      <c r="F7657" s="33" t="s">
        <v>32</v>
      </c>
      <c r="G7657" s="33" t="s">
        <v>20</v>
      </c>
      <c r="H7657" s="35">
        <v>20</v>
      </c>
      <c r="I7657" s="33" t="s">
        <v>21</v>
      </c>
      <c r="J7657" s="42">
        <v>44378</v>
      </c>
      <c r="K7657" s="33" t="s">
        <v>22</v>
      </c>
    </row>
    <row r="7658" spans="1:11">
      <c r="A7658" s="30" t="s">
        <v>17762</v>
      </c>
      <c r="B7658" s="30" t="s">
        <v>17763</v>
      </c>
      <c r="C7658" s="30" t="s">
        <v>17764</v>
      </c>
      <c r="D7658" s="30" t="s">
        <v>17</v>
      </c>
      <c r="E7658" s="30" t="s">
        <v>26</v>
      </c>
      <c r="F7658" s="30" t="s">
        <v>27</v>
      </c>
      <c r="G7658" s="30" t="s">
        <v>20</v>
      </c>
      <c r="H7658" s="32">
        <v>88</v>
      </c>
      <c r="I7658" s="30" t="s">
        <v>21</v>
      </c>
      <c r="J7658" s="41">
        <v>44209</v>
      </c>
      <c r="K7658" s="30" t="s">
        <v>22</v>
      </c>
    </row>
    <row r="7659" spans="1:11">
      <c r="A7659" s="33" t="s">
        <v>17765</v>
      </c>
      <c r="B7659" s="33" t="s">
        <v>17766</v>
      </c>
      <c r="C7659" s="33" t="s">
        <v>17767</v>
      </c>
      <c r="D7659" s="33" t="s">
        <v>17</v>
      </c>
      <c r="E7659" s="33" t="s">
        <v>26</v>
      </c>
      <c r="F7659" s="33" t="s">
        <v>27</v>
      </c>
      <c r="G7659" s="33" t="s">
        <v>50</v>
      </c>
      <c r="H7659" s="35">
        <v>14</v>
      </c>
      <c r="I7659" s="33" t="s">
        <v>51</v>
      </c>
      <c r="J7659" s="42">
        <v>44342</v>
      </c>
      <c r="K7659" s="33" t="s">
        <v>22</v>
      </c>
    </row>
    <row r="7660" spans="1:11">
      <c r="A7660" s="30" t="s">
        <v>17768</v>
      </c>
      <c r="B7660" s="30" t="s">
        <v>17769</v>
      </c>
      <c r="C7660" s="30" t="s">
        <v>17770</v>
      </c>
      <c r="D7660" s="30" t="s">
        <v>17</v>
      </c>
      <c r="E7660" s="30" t="s">
        <v>26</v>
      </c>
      <c r="F7660" s="30" t="s">
        <v>27</v>
      </c>
      <c r="G7660" s="30" t="s">
        <v>20</v>
      </c>
      <c r="H7660" s="32">
        <v>25</v>
      </c>
      <c r="I7660" s="30" t="s">
        <v>21</v>
      </c>
      <c r="J7660" s="41">
        <v>44473</v>
      </c>
      <c r="K7660" s="30" t="s">
        <v>22</v>
      </c>
    </row>
    <row r="7661" spans="1:11">
      <c r="A7661" s="33" t="s">
        <v>17771</v>
      </c>
      <c r="B7661" s="33" t="s">
        <v>17772</v>
      </c>
      <c r="C7661" s="33" t="s">
        <v>8611</v>
      </c>
      <c r="D7661" s="33" t="s">
        <v>17</v>
      </c>
      <c r="E7661" s="33" t="s">
        <v>67</v>
      </c>
      <c r="F7661" s="33" t="s">
        <v>68</v>
      </c>
      <c r="G7661" s="33" t="s">
        <v>20</v>
      </c>
      <c r="H7661" s="35">
        <v>108</v>
      </c>
      <c r="I7661" s="33" t="s">
        <v>21</v>
      </c>
      <c r="J7661" s="42">
        <v>44271</v>
      </c>
      <c r="K7661" s="33" t="s">
        <v>22</v>
      </c>
    </row>
    <row r="7662" spans="1:11">
      <c r="A7662" s="30" t="s">
        <v>17773</v>
      </c>
      <c r="B7662" s="30" t="s">
        <v>17774</v>
      </c>
      <c r="C7662" s="30" t="s">
        <v>2634</v>
      </c>
      <c r="D7662" s="30" t="s">
        <v>17</v>
      </c>
      <c r="E7662" s="30" t="s">
        <v>26</v>
      </c>
      <c r="F7662" s="30" t="s">
        <v>27</v>
      </c>
      <c r="G7662" s="30" t="s">
        <v>106</v>
      </c>
      <c r="H7662" s="32">
        <v>64</v>
      </c>
      <c r="I7662" s="30" t="s">
        <v>21</v>
      </c>
      <c r="J7662" s="41">
        <v>44343</v>
      </c>
      <c r="K7662" s="30" t="s">
        <v>22</v>
      </c>
    </row>
    <row r="7663" spans="1:11">
      <c r="A7663" s="33" t="s">
        <v>17775</v>
      </c>
      <c r="B7663" s="33" t="s">
        <v>17776</v>
      </c>
      <c r="C7663" s="33" t="s">
        <v>96</v>
      </c>
      <c r="D7663" s="33" t="s">
        <v>17</v>
      </c>
      <c r="E7663" s="33" t="s">
        <v>31</v>
      </c>
      <c r="F7663" s="33" t="s">
        <v>32</v>
      </c>
      <c r="G7663" s="33" t="s">
        <v>106</v>
      </c>
      <c r="H7663" s="35">
        <v>29</v>
      </c>
      <c r="I7663" s="33" t="s">
        <v>21</v>
      </c>
      <c r="J7663" s="42">
        <v>44336</v>
      </c>
      <c r="K7663" s="33" t="s">
        <v>22</v>
      </c>
    </row>
    <row r="7664" spans="1:11">
      <c r="A7664" s="30" t="s">
        <v>17777</v>
      </c>
      <c r="B7664" s="30" t="s">
        <v>17778</v>
      </c>
      <c r="C7664" s="30" t="s">
        <v>5144</v>
      </c>
      <c r="D7664" s="30" t="s">
        <v>17</v>
      </c>
      <c r="E7664" s="30" t="s">
        <v>45</v>
      </c>
      <c r="F7664" s="30" t="s">
        <v>46</v>
      </c>
      <c r="G7664" s="30" t="s">
        <v>112</v>
      </c>
      <c r="H7664" s="32">
        <v>0</v>
      </c>
      <c r="I7664" s="30" t="s">
        <v>21</v>
      </c>
      <c r="J7664" s="41">
        <v>44470</v>
      </c>
      <c r="K7664" s="30" t="s">
        <v>22</v>
      </c>
    </row>
    <row r="7665" spans="1:11">
      <c r="A7665" s="33" t="s">
        <v>17779</v>
      </c>
      <c r="B7665" s="33" t="s">
        <v>17780</v>
      </c>
      <c r="C7665" s="33" t="s">
        <v>17020</v>
      </c>
      <c r="D7665" s="33" t="s">
        <v>17</v>
      </c>
      <c r="E7665" s="33" t="s">
        <v>31</v>
      </c>
      <c r="F7665" s="33" t="s">
        <v>32</v>
      </c>
      <c r="G7665" s="33" t="s">
        <v>20</v>
      </c>
      <c r="H7665" s="35">
        <v>158</v>
      </c>
      <c r="I7665" s="33" t="s">
        <v>21</v>
      </c>
      <c r="J7665" s="42">
        <v>44523</v>
      </c>
      <c r="K7665" s="33" t="s">
        <v>22</v>
      </c>
    </row>
    <row r="7666" spans="1:11">
      <c r="A7666" s="30" t="s">
        <v>17781</v>
      </c>
      <c r="B7666" s="30" t="s">
        <v>17782</v>
      </c>
      <c r="C7666" s="30" t="s">
        <v>190</v>
      </c>
      <c r="D7666" s="30" t="s">
        <v>17</v>
      </c>
      <c r="E7666" s="30" t="s">
        <v>26</v>
      </c>
      <c r="F7666" s="30" t="s">
        <v>27</v>
      </c>
      <c r="G7666" s="30" t="s">
        <v>20</v>
      </c>
      <c r="H7666" s="32">
        <v>63</v>
      </c>
      <c r="I7666" s="30" t="s">
        <v>21</v>
      </c>
      <c r="J7666" s="41">
        <v>44518</v>
      </c>
      <c r="K7666" s="30" t="s">
        <v>22</v>
      </c>
    </row>
    <row r="7667" spans="1:11">
      <c r="A7667" s="33" t="s">
        <v>17783</v>
      </c>
      <c r="B7667" s="33" t="s">
        <v>17784</v>
      </c>
      <c r="C7667" s="33" t="s">
        <v>17785</v>
      </c>
      <c r="D7667" s="33" t="s">
        <v>17</v>
      </c>
      <c r="E7667" s="33" t="s">
        <v>18</v>
      </c>
      <c r="F7667" s="33" t="s">
        <v>19</v>
      </c>
      <c r="G7667" s="33" t="s">
        <v>112</v>
      </c>
      <c r="H7667" s="35">
        <v>0</v>
      </c>
      <c r="I7667" s="33" t="s">
        <v>21</v>
      </c>
      <c r="J7667" s="42">
        <v>44501</v>
      </c>
      <c r="K7667" s="33" t="s">
        <v>22</v>
      </c>
    </row>
    <row r="7668" spans="1:11">
      <c r="A7668" s="30" t="s">
        <v>17786</v>
      </c>
      <c r="B7668" s="30" t="s">
        <v>17787</v>
      </c>
      <c r="C7668" s="30" t="s">
        <v>75</v>
      </c>
      <c r="D7668" s="30" t="s">
        <v>17</v>
      </c>
      <c r="E7668" s="30" t="s">
        <v>26</v>
      </c>
      <c r="F7668" s="30" t="s">
        <v>27</v>
      </c>
      <c r="G7668" s="30" t="s">
        <v>20</v>
      </c>
      <c r="H7668" s="32">
        <v>15</v>
      </c>
      <c r="I7668" s="30" t="s">
        <v>21</v>
      </c>
      <c r="J7668" s="41">
        <v>44405</v>
      </c>
      <c r="K7668" s="30" t="s">
        <v>22</v>
      </c>
    </row>
    <row r="7669" spans="1:11">
      <c r="A7669" s="33" t="s">
        <v>17788</v>
      </c>
      <c r="B7669" s="33" t="s">
        <v>17789</v>
      </c>
      <c r="C7669" s="33" t="s">
        <v>17790</v>
      </c>
      <c r="D7669" s="33" t="s">
        <v>17</v>
      </c>
      <c r="E7669" s="33" t="s">
        <v>26</v>
      </c>
      <c r="F7669" s="33" t="s">
        <v>27</v>
      </c>
      <c r="G7669" s="33" t="s">
        <v>140</v>
      </c>
      <c r="H7669" s="35">
        <v>24</v>
      </c>
      <c r="I7669" s="33" t="s">
        <v>51</v>
      </c>
      <c r="J7669" s="42">
        <v>44209</v>
      </c>
      <c r="K7669" s="33" t="s">
        <v>22</v>
      </c>
    </row>
    <row r="7670" spans="1:11">
      <c r="A7670" s="30" t="s">
        <v>17791</v>
      </c>
      <c r="B7670" s="30" t="s">
        <v>17792</v>
      </c>
      <c r="C7670" s="30" t="s">
        <v>2313</v>
      </c>
      <c r="D7670" s="30" t="s">
        <v>17</v>
      </c>
      <c r="E7670" s="30" t="s">
        <v>31</v>
      </c>
      <c r="F7670" s="30" t="s">
        <v>32</v>
      </c>
      <c r="G7670" s="30" t="s">
        <v>20</v>
      </c>
      <c r="H7670" s="32">
        <v>252</v>
      </c>
      <c r="I7670" s="30" t="s">
        <v>21</v>
      </c>
      <c r="J7670" s="41">
        <v>44209</v>
      </c>
      <c r="K7670" s="30" t="s">
        <v>22</v>
      </c>
    </row>
    <row r="7671" spans="1:11">
      <c r="A7671" s="33" t="s">
        <v>17793</v>
      </c>
      <c r="B7671" s="33" t="s">
        <v>17794</v>
      </c>
      <c r="C7671" s="33" t="s">
        <v>231</v>
      </c>
      <c r="D7671" s="33" t="s">
        <v>17</v>
      </c>
      <c r="E7671" s="33" t="s">
        <v>26</v>
      </c>
      <c r="F7671" s="33" t="s">
        <v>27</v>
      </c>
      <c r="G7671" s="33" t="s">
        <v>20</v>
      </c>
      <c r="H7671" s="35">
        <v>44</v>
      </c>
      <c r="I7671" s="33" t="s">
        <v>21</v>
      </c>
      <c r="J7671" s="42">
        <v>44233</v>
      </c>
      <c r="K7671" s="33" t="s">
        <v>22</v>
      </c>
    </row>
    <row r="7672" spans="1:11">
      <c r="A7672" s="30" t="s">
        <v>17795</v>
      </c>
      <c r="B7672" s="30" t="s">
        <v>17796</v>
      </c>
      <c r="C7672" s="30" t="s">
        <v>491</v>
      </c>
      <c r="D7672" s="30" t="s">
        <v>17</v>
      </c>
      <c r="E7672" s="30" t="s">
        <v>31</v>
      </c>
      <c r="F7672" s="30" t="s">
        <v>32</v>
      </c>
      <c r="G7672" s="30" t="s">
        <v>140</v>
      </c>
      <c r="H7672" s="32">
        <v>12</v>
      </c>
      <c r="I7672" s="30" t="s">
        <v>51</v>
      </c>
      <c r="J7672" s="41">
        <v>44314</v>
      </c>
      <c r="K7672" s="30" t="s">
        <v>22</v>
      </c>
    </row>
    <row r="7673" spans="1:11">
      <c r="A7673" s="33" t="s">
        <v>17797</v>
      </c>
      <c r="B7673" s="33" t="s">
        <v>17798</v>
      </c>
      <c r="C7673" s="33" t="s">
        <v>969</v>
      </c>
      <c r="D7673" s="33" t="s">
        <v>17</v>
      </c>
      <c r="E7673" s="33" t="s">
        <v>18</v>
      </c>
      <c r="F7673" s="33" t="s">
        <v>19</v>
      </c>
      <c r="G7673" s="33" t="s">
        <v>158</v>
      </c>
      <c r="H7673" s="35">
        <v>24</v>
      </c>
      <c r="I7673" s="33" t="s">
        <v>21</v>
      </c>
      <c r="J7673" s="42">
        <v>44405</v>
      </c>
      <c r="K7673" s="33" t="s">
        <v>22</v>
      </c>
    </row>
    <row r="7674" spans="1:11">
      <c r="A7674" s="30" t="s">
        <v>17799</v>
      </c>
      <c r="B7674" s="30" t="s">
        <v>17800</v>
      </c>
      <c r="C7674" s="30" t="s">
        <v>17801</v>
      </c>
      <c r="D7674" s="30" t="s">
        <v>17</v>
      </c>
      <c r="E7674" s="30" t="s">
        <v>26</v>
      </c>
      <c r="F7674" s="30" t="s">
        <v>27</v>
      </c>
      <c r="G7674" s="30" t="s">
        <v>20</v>
      </c>
      <c r="H7674" s="32">
        <v>32</v>
      </c>
      <c r="I7674" s="30" t="s">
        <v>21</v>
      </c>
      <c r="J7674" s="41">
        <v>44331</v>
      </c>
      <c r="K7674" s="30" t="s">
        <v>22</v>
      </c>
    </row>
    <row r="7675" spans="1:11">
      <c r="A7675" s="33" t="s">
        <v>17802</v>
      </c>
      <c r="B7675" s="33" t="s">
        <v>17803</v>
      </c>
      <c r="C7675" s="33" t="s">
        <v>3299</v>
      </c>
      <c r="D7675" s="33" t="s">
        <v>17</v>
      </c>
      <c r="E7675" s="33" t="s">
        <v>67</v>
      </c>
      <c r="F7675" s="33" t="s">
        <v>68</v>
      </c>
      <c r="G7675" s="33" t="s">
        <v>20</v>
      </c>
      <c r="H7675" s="35">
        <v>3100</v>
      </c>
      <c r="I7675" s="33" t="s">
        <v>21</v>
      </c>
      <c r="J7675" s="42">
        <v>44311</v>
      </c>
      <c r="K7675" s="33" t="s">
        <v>22</v>
      </c>
    </row>
    <row r="7676" spans="1:11">
      <c r="A7676" s="30" t="s">
        <v>17804</v>
      </c>
      <c r="B7676" s="30" t="s">
        <v>17805</v>
      </c>
      <c r="C7676" s="30" t="s">
        <v>9624</v>
      </c>
      <c r="D7676" s="30" t="s">
        <v>17</v>
      </c>
      <c r="E7676" s="30" t="s">
        <v>18</v>
      </c>
      <c r="F7676" s="30" t="s">
        <v>19</v>
      </c>
      <c r="G7676" s="30" t="s">
        <v>20</v>
      </c>
      <c r="H7676" s="32">
        <v>75</v>
      </c>
      <c r="I7676" s="30" t="s">
        <v>21</v>
      </c>
      <c r="J7676" s="41">
        <v>44260</v>
      </c>
      <c r="K7676" s="30" t="s">
        <v>22</v>
      </c>
    </row>
    <row r="7677" spans="1:11">
      <c r="A7677" s="33" t="s">
        <v>17806</v>
      </c>
      <c r="B7677" s="33" t="s">
        <v>17807</v>
      </c>
      <c r="C7677" s="33" t="s">
        <v>17808</v>
      </c>
      <c r="D7677" s="33" t="s">
        <v>17</v>
      </c>
      <c r="E7677" s="33" t="s">
        <v>31</v>
      </c>
      <c r="F7677" s="33" t="s">
        <v>32</v>
      </c>
      <c r="G7677" s="33" t="s">
        <v>106</v>
      </c>
      <c r="H7677" s="35">
        <v>88</v>
      </c>
      <c r="I7677" s="33" t="s">
        <v>21</v>
      </c>
      <c r="J7677" s="42">
        <v>44235</v>
      </c>
      <c r="K7677" s="33" t="s">
        <v>22</v>
      </c>
    </row>
    <row r="7678" spans="1:11">
      <c r="A7678" s="30" t="s">
        <v>17809</v>
      </c>
      <c r="B7678" s="30" t="s">
        <v>17810</v>
      </c>
      <c r="C7678" s="30" t="s">
        <v>187</v>
      </c>
      <c r="D7678" s="30" t="s">
        <v>17</v>
      </c>
      <c r="E7678" s="30" t="s">
        <v>26</v>
      </c>
      <c r="F7678" s="30" t="s">
        <v>27</v>
      </c>
      <c r="G7678" s="30" t="s">
        <v>50</v>
      </c>
      <c r="H7678" s="32">
        <v>96</v>
      </c>
      <c r="I7678" s="30" t="s">
        <v>51</v>
      </c>
      <c r="J7678" s="41">
        <v>44372</v>
      </c>
      <c r="K7678" s="30" t="s">
        <v>22</v>
      </c>
    </row>
    <row r="7679" spans="1:11">
      <c r="A7679" s="33" t="s">
        <v>17811</v>
      </c>
      <c r="B7679" s="33" t="s">
        <v>17812</v>
      </c>
      <c r="C7679" s="33" t="s">
        <v>17813</v>
      </c>
      <c r="D7679" s="33" t="s">
        <v>17</v>
      </c>
      <c r="E7679" s="33" t="s">
        <v>31</v>
      </c>
      <c r="F7679" s="33" t="s">
        <v>32</v>
      </c>
      <c r="G7679" s="33" t="s">
        <v>158</v>
      </c>
      <c r="H7679" s="35">
        <v>73</v>
      </c>
      <c r="I7679" s="33" t="s">
        <v>21</v>
      </c>
      <c r="J7679" s="42">
        <v>44449</v>
      </c>
      <c r="K7679" s="33" t="s">
        <v>22</v>
      </c>
    </row>
    <row r="7680" spans="1:11">
      <c r="A7680" s="30" t="s">
        <v>17814</v>
      </c>
      <c r="B7680" s="30" t="s">
        <v>17815</v>
      </c>
      <c r="C7680" s="30" t="s">
        <v>178</v>
      </c>
      <c r="D7680" s="30" t="s">
        <v>17</v>
      </c>
      <c r="E7680" s="30" t="s">
        <v>31</v>
      </c>
      <c r="F7680" s="30" t="s">
        <v>32</v>
      </c>
      <c r="G7680" s="30" t="s">
        <v>106</v>
      </c>
      <c r="H7680" s="32">
        <v>2</v>
      </c>
      <c r="I7680" s="30" t="s">
        <v>21</v>
      </c>
      <c r="J7680" s="41">
        <v>44305</v>
      </c>
      <c r="K7680" s="30" t="s">
        <v>22</v>
      </c>
    </row>
    <row r="7681" spans="1:11">
      <c r="A7681" s="33" t="s">
        <v>17816</v>
      </c>
      <c r="B7681" s="33" t="s">
        <v>17817</v>
      </c>
      <c r="C7681" s="33" t="s">
        <v>17818</v>
      </c>
      <c r="D7681" s="33" t="s">
        <v>17</v>
      </c>
      <c r="E7681" s="33" t="s">
        <v>18</v>
      </c>
      <c r="F7681" s="33" t="s">
        <v>19</v>
      </c>
      <c r="G7681" s="33" t="s">
        <v>20</v>
      </c>
      <c r="H7681" s="35">
        <v>292</v>
      </c>
      <c r="I7681" s="33" t="s">
        <v>21</v>
      </c>
      <c r="J7681" s="42">
        <v>44343</v>
      </c>
      <c r="K7681" s="33" t="s">
        <v>22</v>
      </c>
    </row>
    <row r="7682" spans="1:11">
      <c r="A7682" s="30" t="s">
        <v>17819</v>
      </c>
      <c r="B7682" s="30" t="s">
        <v>17820</v>
      </c>
      <c r="C7682" s="30" t="s">
        <v>15175</v>
      </c>
      <c r="D7682" s="30" t="s">
        <v>17</v>
      </c>
      <c r="E7682" s="30" t="s">
        <v>26</v>
      </c>
      <c r="F7682" s="30" t="s">
        <v>27</v>
      </c>
      <c r="G7682" s="30" t="s">
        <v>50</v>
      </c>
      <c r="H7682" s="32">
        <v>20</v>
      </c>
      <c r="I7682" s="30" t="s">
        <v>51</v>
      </c>
      <c r="J7682" s="41">
        <v>44256</v>
      </c>
      <c r="K7682" s="30" t="s">
        <v>22</v>
      </c>
    </row>
    <row r="7683" spans="1:11">
      <c r="A7683" s="33" t="s">
        <v>17821</v>
      </c>
      <c r="B7683" s="33" t="s">
        <v>17822</v>
      </c>
      <c r="C7683" s="33" t="s">
        <v>109</v>
      </c>
      <c r="D7683" s="33" t="s">
        <v>17</v>
      </c>
      <c r="E7683" s="33" t="s">
        <v>18</v>
      </c>
      <c r="F7683" s="33" t="s">
        <v>19</v>
      </c>
      <c r="G7683" s="33" t="s">
        <v>158</v>
      </c>
      <c r="H7683" s="35">
        <v>210</v>
      </c>
      <c r="I7683" s="33" t="s">
        <v>21</v>
      </c>
      <c r="J7683" s="42">
        <v>44547</v>
      </c>
      <c r="K7683" s="33" t="s">
        <v>22</v>
      </c>
    </row>
    <row r="7684" spans="1:11">
      <c r="A7684" s="30" t="s">
        <v>17823</v>
      </c>
      <c r="B7684" s="30" t="s">
        <v>17824</v>
      </c>
      <c r="C7684" s="30" t="s">
        <v>17825</v>
      </c>
      <c r="D7684" s="30" t="s">
        <v>17</v>
      </c>
      <c r="E7684" s="30" t="s">
        <v>26</v>
      </c>
      <c r="F7684" s="30" t="s">
        <v>27</v>
      </c>
      <c r="G7684" s="30" t="s">
        <v>20</v>
      </c>
      <c r="H7684" s="32">
        <v>72</v>
      </c>
      <c r="I7684" s="30" t="s">
        <v>21</v>
      </c>
      <c r="J7684" s="41">
        <v>44440</v>
      </c>
      <c r="K7684" s="30" t="s">
        <v>22</v>
      </c>
    </row>
    <row r="7685" spans="1:11">
      <c r="A7685" s="33" t="s">
        <v>17826</v>
      </c>
      <c r="B7685" s="33" t="s">
        <v>17827</v>
      </c>
      <c r="C7685" s="33" t="s">
        <v>93</v>
      </c>
      <c r="D7685" s="33" t="s">
        <v>17</v>
      </c>
      <c r="E7685" s="33" t="s">
        <v>18</v>
      </c>
      <c r="F7685" s="33" t="s">
        <v>19</v>
      </c>
      <c r="G7685" s="33" t="s">
        <v>140</v>
      </c>
      <c r="H7685" s="35">
        <v>380</v>
      </c>
      <c r="I7685" s="33" t="s">
        <v>51</v>
      </c>
      <c r="J7685" s="42">
        <v>44314</v>
      </c>
      <c r="K7685" s="33" t="s">
        <v>22</v>
      </c>
    </row>
    <row r="7686" spans="1:11">
      <c r="A7686" s="30" t="s">
        <v>17828</v>
      </c>
      <c r="B7686" s="30" t="s">
        <v>17829</v>
      </c>
      <c r="C7686" s="30" t="s">
        <v>1228</v>
      </c>
      <c r="D7686" s="30" t="s">
        <v>17</v>
      </c>
      <c r="E7686" s="30" t="s">
        <v>212</v>
      </c>
      <c r="F7686" s="30" t="s">
        <v>213</v>
      </c>
      <c r="G7686" s="30" t="s">
        <v>20</v>
      </c>
      <c r="H7686" s="32">
        <v>140</v>
      </c>
      <c r="I7686" s="30" t="s">
        <v>21</v>
      </c>
      <c r="J7686" s="41">
        <v>44482</v>
      </c>
      <c r="K7686" s="30" t="s">
        <v>22</v>
      </c>
    </row>
    <row r="7687" spans="1:11">
      <c r="A7687" s="33" t="s">
        <v>17830</v>
      </c>
      <c r="B7687" s="33" t="s">
        <v>17831</v>
      </c>
      <c r="C7687" s="33" t="s">
        <v>17832</v>
      </c>
      <c r="D7687" s="33" t="s">
        <v>17</v>
      </c>
      <c r="E7687" s="33" t="s">
        <v>26</v>
      </c>
      <c r="F7687" s="33" t="s">
        <v>27</v>
      </c>
      <c r="G7687" s="33" t="s">
        <v>20</v>
      </c>
      <c r="H7687" s="35">
        <v>26</v>
      </c>
      <c r="I7687" s="33" t="s">
        <v>21</v>
      </c>
      <c r="J7687" s="42">
        <v>44410</v>
      </c>
      <c r="K7687" s="33" t="s">
        <v>22</v>
      </c>
    </row>
    <row r="7688" spans="1:11">
      <c r="A7688" s="30" t="s">
        <v>17833</v>
      </c>
      <c r="B7688" s="30" t="s">
        <v>17834</v>
      </c>
      <c r="C7688" s="30" t="s">
        <v>231</v>
      </c>
      <c r="D7688" s="30" t="s">
        <v>17</v>
      </c>
      <c r="E7688" s="30" t="s">
        <v>31</v>
      </c>
      <c r="F7688" s="30" t="s">
        <v>32</v>
      </c>
      <c r="G7688" s="30" t="s">
        <v>20</v>
      </c>
      <c r="H7688" s="32">
        <v>387</v>
      </c>
      <c r="I7688" s="30" t="s">
        <v>21</v>
      </c>
      <c r="J7688" s="41">
        <v>44263</v>
      </c>
      <c r="K7688" s="30" t="s">
        <v>22</v>
      </c>
    </row>
    <row r="7689" spans="1:11">
      <c r="A7689" s="33" t="s">
        <v>17835</v>
      </c>
      <c r="B7689" s="33" t="s">
        <v>17836</v>
      </c>
      <c r="C7689" s="33" t="s">
        <v>136</v>
      </c>
      <c r="D7689" s="33" t="s">
        <v>17</v>
      </c>
      <c r="E7689" s="33" t="s">
        <v>31</v>
      </c>
      <c r="F7689" s="33" t="s">
        <v>32</v>
      </c>
      <c r="G7689" s="33" t="s">
        <v>106</v>
      </c>
      <c r="H7689" s="35">
        <v>68</v>
      </c>
      <c r="I7689" s="33" t="s">
        <v>21</v>
      </c>
      <c r="J7689" s="42">
        <v>44322</v>
      </c>
      <c r="K7689" s="33" t="s">
        <v>22</v>
      </c>
    </row>
    <row r="7690" spans="1:11">
      <c r="A7690" s="30" t="s">
        <v>17837</v>
      </c>
      <c r="B7690" s="30" t="s">
        <v>17838</v>
      </c>
      <c r="C7690" s="30" t="s">
        <v>99</v>
      </c>
      <c r="D7690" s="30" t="s">
        <v>17</v>
      </c>
      <c r="E7690" s="30" t="s">
        <v>18</v>
      </c>
      <c r="F7690" s="30" t="s">
        <v>19</v>
      </c>
      <c r="G7690" s="30" t="s">
        <v>20</v>
      </c>
      <c r="H7690" s="32">
        <v>366</v>
      </c>
      <c r="I7690" s="30" t="s">
        <v>21</v>
      </c>
      <c r="J7690" s="41">
        <v>44560</v>
      </c>
      <c r="K7690" s="30" t="s">
        <v>22</v>
      </c>
    </row>
    <row r="7691" spans="1:11">
      <c r="A7691" s="33" t="s">
        <v>17839</v>
      </c>
      <c r="B7691" s="33" t="s">
        <v>17840</v>
      </c>
      <c r="C7691" s="33" t="s">
        <v>7831</v>
      </c>
      <c r="D7691" s="33" t="s">
        <v>17</v>
      </c>
      <c r="E7691" s="33" t="s">
        <v>67</v>
      </c>
      <c r="F7691" s="33" t="s">
        <v>68</v>
      </c>
      <c r="G7691" s="33" t="s">
        <v>140</v>
      </c>
      <c r="H7691" s="35">
        <v>28</v>
      </c>
      <c r="I7691" s="33" t="s">
        <v>51</v>
      </c>
      <c r="J7691" s="42">
        <v>44516</v>
      </c>
      <c r="K7691" s="33" t="s">
        <v>22</v>
      </c>
    </row>
    <row r="7692" spans="1:11">
      <c r="A7692" s="30" t="s">
        <v>17841</v>
      </c>
      <c r="B7692" s="30" t="s">
        <v>17842</v>
      </c>
      <c r="C7692" s="30" t="s">
        <v>17843</v>
      </c>
      <c r="D7692" s="30" t="s">
        <v>17</v>
      </c>
      <c r="E7692" s="30" t="s">
        <v>26</v>
      </c>
      <c r="F7692" s="30" t="s">
        <v>27</v>
      </c>
      <c r="G7692" s="30" t="s">
        <v>106</v>
      </c>
      <c r="H7692" s="32">
        <v>16</v>
      </c>
      <c r="I7692" s="30" t="s">
        <v>21</v>
      </c>
      <c r="J7692" s="41">
        <v>44389</v>
      </c>
      <c r="K7692" s="30" t="s">
        <v>22</v>
      </c>
    </row>
    <row r="7693" spans="1:11">
      <c r="A7693" s="33" t="s">
        <v>17844</v>
      </c>
      <c r="B7693" s="33" t="s">
        <v>17845</v>
      </c>
      <c r="C7693" s="33" t="s">
        <v>9624</v>
      </c>
      <c r="D7693" s="33" t="s">
        <v>17</v>
      </c>
      <c r="E7693" s="33" t="s">
        <v>18</v>
      </c>
      <c r="F7693" s="33" t="s">
        <v>19</v>
      </c>
      <c r="G7693" s="33" t="s">
        <v>112</v>
      </c>
      <c r="H7693" s="35">
        <v>0</v>
      </c>
      <c r="I7693" s="33" t="s">
        <v>21</v>
      </c>
      <c r="J7693" s="42">
        <v>44483</v>
      </c>
      <c r="K7693" s="33" t="s">
        <v>22</v>
      </c>
    </row>
    <row r="7694" spans="1:11">
      <c r="A7694" s="30" t="s">
        <v>17846</v>
      </c>
      <c r="B7694" s="30" t="s">
        <v>17847</v>
      </c>
      <c r="C7694" s="30" t="s">
        <v>2842</v>
      </c>
      <c r="D7694" s="30" t="s">
        <v>17</v>
      </c>
      <c r="E7694" s="30" t="s">
        <v>18</v>
      </c>
      <c r="F7694" s="30" t="s">
        <v>19</v>
      </c>
      <c r="G7694" s="30" t="s">
        <v>20</v>
      </c>
      <c r="H7694" s="32">
        <v>812</v>
      </c>
      <c r="I7694" s="30" t="s">
        <v>21</v>
      </c>
      <c r="J7694" s="41">
        <v>44477</v>
      </c>
      <c r="K7694" s="30" t="s">
        <v>22</v>
      </c>
    </row>
    <row r="7695" spans="1:11">
      <c r="A7695" s="33" t="s">
        <v>17848</v>
      </c>
      <c r="B7695" s="33" t="s">
        <v>17849</v>
      </c>
      <c r="C7695" s="33" t="s">
        <v>14933</v>
      </c>
      <c r="D7695" s="33" t="s">
        <v>17</v>
      </c>
      <c r="E7695" s="33" t="s">
        <v>18</v>
      </c>
      <c r="F7695" s="33" t="s">
        <v>19</v>
      </c>
      <c r="G7695" s="33" t="s">
        <v>20</v>
      </c>
      <c r="H7695" s="35">
        <v>439</v>
      </c>
      <c r="I7695" s="33" t="s">
        <v>21</v>
      </c>
      <c r="J7695" s="42">
        <v>44413</v>
      </c>
      <c r="K7695" s="33" t="s">
        <v>22</v>
      </c>
    </row>
    <row r="7696" spans="1:11">
      <c r="A7696" s="30" t="s">
        <v>17850</v>
      </c>
      <c r="B7696" s="30" t="s">
        <v>17851</v>
      </c>
      <c r="C7696" s="30" t="s">
        <v>5084</v>
      </c>
      <c r="D7696" s="30" t="s">
        <v>17</v>
      </c>
      <c r="E7696" s="30" t="s">
        <v>26</v>
      </c>
      <c r="F7696" s="30" t="s">
        <v>27</v>
      </c>
      <c r="G7696" s="30" t="s">
        <v>50</v>
      </c>
      <c r="H7696" s="32">
        <v>102</v>
      </c>
      <c r="I7696" s="30" t="s">
        <v>51</v>
      </c>
      <c r="J7696" s="41">
        <v>44347</v>
      </c>
      <c r="K7696" s="30" t="s">
        <v>22</v>
      </c>
    </row>
    <row r="7697" spans="1:11">
      <c r="A7697" s="33" t="s">
        <v>17852</v>
      </c>
      <c r="B7697" s="33" t="s">
        <v>17853</v>
      </c>
      <c r="C7697" s="33" t="s">
        <v>109</v>
      </c>
      <c r="D7697" s="33" t="s">
        <v>17</v>
      </c>
      <c r="E7697" s="33" t="s">
        <v>18</v>
      </c>
      <c r="F7697" s="33" t="s">
        <v>19</v>
      </c>
      <c r="G7697" s="33" t="s">
        <v>106</v>
      </c>
      <c r="H7697" s="35">
        <v>28</v>
      </c>
      <c r="I7697" s="33" t="s">
        <v>21</v>
      </c>
      <c r="J7697" s="42">
        <v>44529</v>
      </c>
      <c r="K7697" s="33" t="s">
        <v>22</v>
      </c>
    </row>
    <row r="7698" spans="1:11">
      <c r="A7698" s="30" t="s">
        <v>17854</v>
      </c>
      <c r="B7698" s="30" t="s">
        <v>17855</v>
      </c>
      <c r="C7698" s="30" t="s">
        <v>75</v>
      </c>
      <c r="D7698" s="30" t="s">
        <v>17</v>
      </c>
      <c r="E7698" s="30" t="s">
        <v>31</v>
      </c>
      <c r="F7698" s="30" t="s">
        <v>32</v>
      </c>
      <c r="G7698" s="30" t="s">
        <v>20</v>
      </c>
      <c r="H7698" s="32">
        <v>17</v>
      </c>
      <c r="I7698" s="30" t="s">
        <v>21</v>
      </c>
      <c r="J7698" s="41">
        <v>44425</v>
      </c>
      <c r="K7698" s="30" t="s">
        <v>22</v>
      </c>
    </row>
    <row r="7699" spans="1:11">
      <c r="A7699" s="33" t="s">
        <v>17856</v>
      </c>
      <c r="B7699" s="33" t="s">
        <v>17857</v>
      </c>
      <c r="C7699" s="33" t="s">
        <v>6505</v>
      </c>
      <c r="D7699" s="33" t="s">
        <v>17</v>
      </c>
      <c r="E7699" s="33" t="s">
        <v>26</v>
      </c>
      <c r="F7699" s="33" t="s">
        <v>27</v>
      </c>
      <c r="G7699" s="33" t="s">
        <v>50</v>
      </c>
      <c r="H7699" s="35">
        <v>50</v>
      </c>
      <c r="I7699" s="33" t="s">
        <v>21</v>
      </c>
      <c r="J7699" s="42">
        <v>44501</v>
      </c>
      <c r="K7699" s="33" t="s">
        <v>22</v>
      </c>
    </row>
    <row r="7700" spans="1:11">
      <c r="A7700" s="30" t="s">
        <v>17858</v>
      </c>
      <c r="B7700" s="30" t="s">
        <v>17859</v>
      </c>
      <c r="C7700" s="30" t="s">
        <v>17860</v>
      </c>
      <c r="D7700" s="30" t="s">
        <v>17</v>
      </c>
      <c r="E7700" s="30" t="s">
        <v>26</v>
      </c>
      <c r="F7700" s="30" t="s">
        <v>27</v>
      </c>
      <c r="G7700" s="30" t="s">
        <v>106</v>
      </c>
      <c r="H7700" s="32">
        <v>31</v>
      </c>
      <c r="I7700" s="30" t="s">
        <v>21</v>
      </c>
      <c r="J7700" s="41">
        <v>44545</v>
      </c>
      <c r="K7700" s="30" t="s">
        <v>22</v>
      </c>
    </row>
    <row r="7701" spans="1:11">
      <c r="A7701" s="33" t="s">
        <v>17861</v>
      </c>
      <c r="B7701" s="33" t="s">
        <v>17862</v>
      </c>
      <c r="C7701" s="33" t="s">
        <v>17863</v>
      </c>
      <c r="D7701" s="33" t="s">
        <v>17</v>
      </c>
      <c r="E7701" s="33" t="s">
        <v>18</v>
      </c>
      <c r="F7701" s="33" t="s">
        <v>19</v>
      </c>
      <c r="G7701" s="33" t="s">
        <v>106</v>
      </c>
      <c r="H7701" s="35">
        <v>5</v>
      </c>
      <c r="I7701" s="33" t="s">
        <v>21</v>
      </c>
      <c r="J7701" s="42">
        <v>44515</v>
      </c>
      <c r="K7701" s="33" t="s">
        <v>22</v>
      </c>
    </row>
    <row r="7702" spans="1:11">
      <c r="A7702" s="30" t="s">
        <v>17864</v>
      </c>
      <c r="B7702" s="30" t="s">
        <v>17865</v>
      </c>
      <c r="C7702" s="30" t="s">
        <v>3296</v>
      </c>
      <c r="D7702" s="30" t="s">
        <v>17</v>
      </c>
      <c r="E7702" s="30" t="s">
        <v>26</v>
      </c>
      <c r="F7702" s="30" t="s">
        <v>27</v>
      </c>
      <c r="G7702" s="30" t="s">
        <v>20</v>
      </c>
      <c r="H7702" s="32">
        <v>29</v>
      </c>
      <c r="I7702" s="30" t="s">
        <v>21</v>
      </c>
      <c r="J7702" s="41">
        <v>44209</v>
      </c>
      <c r="K7702" s="30" t="s">
        <v>22</v>
      </c>
    </row>
    <row r="7703" spans="1:11">
      <c r="A7703" s="33" t="s">
        <v>17866</v>
      </c>
      <c r="B7703" s="33" t="s">
        <v>17867</v>
      </c>
      <c r="C7703" s="33" t="s">
        <v>17868</v>
      </c>
      <c r="D7703" s="33" t="s">
        <v>17</v>
      </c>
      <c r="E7703" s="33" t="s">
        <v>31</v>
      </c>
      <c r="F7703" s="33" t="s">
        <v>32</v>
      </c>
      <c r="G7703" s="33" t="s">
        <v>20</v>
      </c>
      <c r="H7703" s="35">
        <v>212</v>
      </c>
      <c r="I7703" s="33" t="s">
        <v>21</v>
      </c>
      <c r="J7703" s="42">
        <v>44404</v>
      </c>
      <c r="K7703" s="33" t="s">
        <v>22</v>
      </c>
    </row>
    <row r="7704" spans="1:11">
      <c r="A7704" s="30" t="s">
        <v>17869</v>
      </c>
      <c r="B7704" s="30" t="s">
        <v>17870</v>
      </c>
      <c r="C7704" s="30" t="s">
        <v>10757</v>
      </c>
      <c r="D7704" s="30" t="s">
        <v>17</v>
      </c>
      <c r="E7704" s="30" t="s">
        <v>31</v>
      </c>
      <c r="F7704" s="30" t="s">
        <v>32</v>
      </c>
      <c r="G7704" s="30" t="s">
        <v>2613</v>
      </c>
      <c r="H7704" s="32">
        <v>60</v>
      </c>
      <c r="I7704" s="30" t="s">
        <v>51</v>
      </c>
      <c r="J7704" s="41">
        <v>44481</v>
      </c>
      <c r="K7704" s="30" t="s">
        <v>22</v>
      </c>
    </row>
    <row r="7705" spans="1:11">
      <c r="A7705" s="33" t="s">
        <v>17871</v>
      </c>
      <c r="B7705" s="33" t="s">
        <v>17872</v>
      </c>
      <c r="C7705" s="33" t="s">
        <v>6205</v>
      </c>
      <c r="D7705" s="33" t="s">
        <v>17</v>
      </c>
      <c r="E7705" s="33" t="s">
        <v>212</v>
      </c>
      <c r="F7705" s="33" t="s">
        <v>213</v>
      </c>
      <c r="G7705" s="33" t="s">
        <v>20</v>
      </c>
      <c r="H7705" s="35">
        <v>31041</v>
      </c>
      <c r="I7705" s="33" t="s">
        <v>21</v>
      </c>
      <c r="J7705" s="42">
        <v>44401</v>
      </c>
      <c r="K7705" s="33" t="s">
        <v>22</v>
      </c>
    </row>
    <row r="7706" spans="1:11">
      <c r="A7706" s="30" t="s">
        <v>17873</v>
      </c>
      <c r="B7706" s="30" t="s">
        <v>17874</v>
      </c>
      <c r="C7706" s="30" t="s">
        <v>154</v>
      </c>
      <c r="D7706" s="30" t="s">
        <v>17</v>
      </c>
      <c r="E7706" s="30" t="s">
        <v>31</v>
      </c>
      <c r="F7706" s="30" t="s">
        <v>32</v>
      </c>
      <c r="G7706" s="30" t="s">
        <v>20</v>
      </c>
      <c r="H7706" s="32">
        <v>272</v>
      </c>
      <c r="I7706" s="30" t="s">
        <v>21</v>
      </c>
      <c r="J7706" s="41">
        <v>44516</v>
      </c>
      <c r="K7706" s="30" t="s">
        <v>22</v>
      </c>
    </row>
    <row r="7707" spans="1:11">
      <c r="A7707" s="33" t="s">
        <v>17875</v>
      </c>
      <c r="B7707" s="33" t="s">
        <v>17876</v>
      </c>
      <c r="C7707" s="33" t="s">
        <v>17877</v>
      </c>
      <c r="D7707" s="33" t="s">
        <v>17</v>
      </c>
      <c r="E7707" s="33" t="s">
        <v>31</v>
      </c>
      <c r="F7707" s="33" t="s">
        <v>32</v>
      </c>
      <c r="G7707" s="33" t="s">
        <v>106</v>
      </c>
      <c r="H7707" s="35">
        <v>62</v>
      </c>
      <c r="I7707" s="33" t="s">
        <v>21</v>
      </c>
      <c r="J7707" s="42">
        <v>44272</v>
      </c>
      <c r="K7707" s="33" t="s">
        <v>22</v>
      </c>
    </row>
    <row r="7708" spans="1:11">
      <c r="A7708" s="30" t="s">
        <v>17878</v>
      </c>
      <c r="B7708" s="30" t="s">
        <v>17879</v>
      </c>
      <c r="C7708" s="30" t="s">
        <v>1431</v>
      </c>
      <c r="D7708" s="30" t="s">
        <v>17</v>
      </c>
      <c r="E7708" s="30" t="s">
        <v>26</v>
      </c>
      <c r="F7708" s="30" t="s">
        <v>27</v>
      </c>
      <c r="G7708" s="30" t="s">
        <v>20</v>
      </c>
      <c r="H7708" s="32">
        <v>72</v>
      </c>
      <c r="I7708" s="30" t="s">
        <v>21</v>
      </c>
      <c r="J7708" s="41">
        <v>44469</v>
      </c>
      <c r="K7708" s="30" t="s">
        <v>22</v>
      </c>
    </row>
    <row r="7709" spans="1:11">
      <c r="A7709" s="33" t="s">
        <v>17880</v>
      </c>
      <c r="B7709" s="33" t="s">
        <v>17881</v>
      </c>
      <c r="C7709" s="33" t="s">
        <v>178</v>
      </c>
      <c r="D7709" s="33" t="s">
        <v>17</v>
      </c>
      <c r="E7709" s="33" t="s">
        <v>18</v>
      </c>
      <c r="F7709" s="33" t="s">
        <v>19</v>
      </c>
      <c r="G7709" s="33" t="s">
        <v>158</v>
      </c>
      <c r="H7709" s="35">
        <v>51</v>
      </c>
      <c r="I7709" s="33" t="s">
        <v>21</v>
      </c>
      <c r="J7709" s="42">
        <v>44272</v>
      </c>
      <c r="K7709" s="33" t="s">
        <v>22</v>
      </c>
    </row>
    <row r="7710" spans="1:11">
      <c r="A7710" s="30" t="s">
        <v>17882</v>
      </c>
      <c r="B7710" s="30" t="s">
        <v>17883</v>
      </c>
      <c r="C7710" s="30" t="s">
        <v>310</v>
      </c>
      <c r="D7710" s="30" t="s">
        <v>17</v>
      </c>
      <c r="E7710" s="30" t="s">
        <v>18</v>
      </c>
      <c r="F7710" s="30" t="s">
        <v>19</v>
      </c>
      <c r="G7710" s="30" t="s">
        <v>158</v>
      </c>
      <c r="H7710" s="32">
        <v>78</v>
      </c>
      <c r="I7710" s="30" t="s">
        <v>51</v>
      </c>
      <c r="J7710" s="41">
        <v>44259</v>
      </c>
      <c r="K7710" s="30" t="s">
        <v>22</v>
      </c>
    </row>
    <row r="7711" spans="1:11">
      <c r="A7711" s="33" t="s">
        <v>17884</v>
      </c>
      <c r="B7711" s="33" t="s">
        <v>17885</v>
      </c>
      <c r="C7711" s="33" t="s">
        <v>718</v>
      </c>
      <c r="D7711" s="33" t="s">
        <v>17</v>
      </c>
      <c r="E7711" s="33" t="s">
        <v>31</v>
      </c>
      <c r="F7711" s="33" t="s">
        <v>32</v>
      </c>
      <c r="G7711" s="33" t="s">
        <v>20</v>
      </c>
      <c r="H7711" s="35">
        <v>29</v>
      </c>
      <c r="I7711" s="33" t="s">
        <v>21</v>
      </c>
      <c r="J7711" s="42">
        <v>44259</v>
      </c>
      <c r="K7711" s="33" t="s">
        <v>22</v>
      </c>
    </row>
    <row r="7712" spans="1:11">
      <c r="A7712" s="30" t="s">
        <v>17886</v>
      </c>
      <c r="B7712" s="30" t="s">
        <v>17887</v>
      </c>
      <c r="C7712" s="30" t="s">
        <v>2022</v>
      </c>
      <c r="D7712" s="30" t="s">
        <v>17</v>
      </c>
      <c r="E7712" s="30" t="s">
        <v>212</v>
      </c>
      <c r="F7712" s="30" t="s">
        <v>213</v>
      </c>
      <c r="G7712" s="30" t="s">
        <v>106</v>
      </c>
      <c r="H7712" s="32">
        <v>232</v>
      </c>
      <c r="I7712" s="30" t="s">
        <v>21</v>
      </c>
      <c r="J7712" s="41">
        <v>44483</v>
      </c>
      <c r="K7712" s="30" t="s">
        <v>22</v>
      </c>
    </row>
    <row r="7713" spans="1:11">
      <c r="A7713" s="33" t="s">
        <v>17888</v>
      </c>
      <c r="B7713" s="33" t="s">
        <v>17889</v>
      </c>
      <c r="C7713" s="33" t="s">
        <v>75</v>
      </c>
      <c r="D7713" s="33" t="s">
        <v>17</v>
      </c>
      <c r="E7713" s="33" t="s">
        <v>31</v>
      </c>
      <c r="F7713" s="33" t="s">
        <v>32</v>
      </c>
      <c r="G7713" s="33" t="s">
        <v>20</v>
      </c>
      <c r="H7713" s="35">
        <v>266</v>
      </c>
      <c r="I7713" s="33" t="s">
        <v>21</v>
      </c>
      <c r="J7713" s="42">
        <v>44231</v>
      </c>
      <c r="K7713" s="33" t="s">
        <v>22</v>
      </c>
    </row>
    <row r="7714" spans="1:11">
      <c r="A7714" s="30" t="s">
        <v>17890</v>
      </c>
      <c r="B7714" s="30" t="s">
        <v>17891</v>
      </c>
      <c r="C7714" s="30" t="s">
        <v>6032</v>
      </c>
      <c r="D7714" s="30" t="s">
        <v>17</v>
      </c>
      <c r="E7714" s="30" t="s">
        <v>31</v>
      </c>
      <c r="F7714" s="30" t="s">
        <v>32</v>
      </c>
      <c r="G7714" s="30" t="s">
        <v>112</v>
      </c>
      <c r="H7714" s="32">
        <v>0</v>
      </c>
      <c r="I7714" s="30" t="s">
        <v>21</v>
      </c>
      <c r="J7714" s="41">
        <v>44459</v>
      </c>
      <c r="K7714" s="30" t="s">
        <v>22</v>
      </c>
    </row>
    <row r="7715" spans="1:11">
      <c r="A7715" s="33" t="s">
        <v>17892</v>
      </c>
      <c r="B7715" s="33" t="s">
        <v>17893</v>
      </c>
      <c r="C7715" s="33" t="s">
        <v>57</v>
      </c>
      <c r="D7715" s="33" t="s">
        <v>17</v>
      </c>
      <c r="E7715" s="33" t="s">
        <v>26</v>
      </c>
      <c r="F7715" s="33" t="s">
        <v>27</v>
      </c>
      <c r="G7715" s="33" t="s">
        <v>20</v>
      </c>
      <c r="H7715" s="35">
        <v>38</v>
      </c>
      <c r="I7715" s="33" t="s">
        <v>21</v>
      </c>
      <c r="J7715" s="42">
        <v>44317</v>
      </c>
      <c r="K7715" s="33" t="s">
        <v>22</v>
      </c>
    </row>
    <row r="7716" spans="1:11">
      <c r="A7716" s="30" t="s">
        <v>17894</v>
      </c>
      <c r="B7716" s="30" t="s">
        <v>17895</v>
      </c>
      <c r="C7716" s="30" t="s">
        <v>310</v>
      </c>
      <c r="D7716" s="30" t="s">
        <v>17</v>
      </c>
      <c r="E7716" s="30" t="s">
        <v>18</v>
      </c>
      <c r="F7716" s="30" t="s">
        <v>19</v>
      </c>
      <c r="G7716" s="30" t="s">
        <v>20</v>
      </c>
      <c r="H7716" s="32">
        <v>1840</v>
      </c>
      <c r="I7716" s="30" t="s">
        <v>21</v>
      </c>
      <c r="J7716" s="41">
        <v>44334</v>
      </c>
      <c r="K7716" s="30" t="s">
        <v>22</v>
      </c>
    </row>
    <row r="7717" spans="1:11">
      <c r="A7717" s="33" t="s">
        <v>17896</v>
      </c>
      <c r="B7717" s="33" t="s">
        <v>17897</v>
      </c>
      <c r="C7717" s="33" t="s">
        <v>17898</v>
      </c>
      <c r="D7717" s="33" t="s">
        <v>17</v>
      </c>
      <c r="E7717" s="33" t="s">
        <v>26</v>
      </c>
      <c r="F7717" s="33" t="s">
        <v>27</v>
      </c>
      <c r="G7717" s="33" t="s">
        <v>106</v>
      </c>
      <c r="H7717" s="35">
        <v>9</v>
      </c>
      <c r="I7717" s="33" t="s">
        <v>21</v>
      </c>
      <c r="J7717" s="42">
        <v>44376</v>
      </c>
      <c r="K7717" s="33" t="s">
        <v>22</v>
      </c>
    </row>
    <row r="7718" spans="1:11">
      <c r="A7718" s="30" t="s">
        <v>17899</v>
      </c>
      <c r="B7718" s="30" t="s">
        <v>17900</v>
      </c>
      <c r="C7718" s="30" t="s">
        <v>17901</v>
      </c>
      <c r="D7718" s="30" t="s">
        <v>17</v>
      </c>
      <c r="E7718" s="30" t="s">
        <v>31</v>
      </c>
      <c r="F7718" s="30" t="s">
        <v>32</v>
      </c>
      <c r="G7718" s="30" t="s">
        <v>50</v>
      </c>
      <c r="H7718" s="32">
        <v>20</v>
      </c>
      <c r="I7718" s="30" t="s">
        <v>51</v>
      </c>
      <c r="J7718" s="41">
        <v>44510</v>
      </c>
      <c r="K7718" s="30" t="s">
        <v>22</v>
      </c>
    </row>
    <row r="7719" spans="1:11">
      <c r="A7719" s="33" t="s">
        <v>17902</v>
      </c>
      <c r="B7719" s="33" t="s">
        <v>17903</v>
      </c>
      <c r="C7719" s="33" t="s">
        <v>6325</v>
      </c>
      <c r="D7719" s="33" t="s">
        <v>17</v>
      </c>
      <c r="E7719" s="33" t="s">
        <v>18</v>
      </c>
      <c r="F7719" s="33" t="s">
        <v>19</v>
      </c>
      <c r="G7719" s="33" t="s">
        <v>20</v>
      </c>
      <c r="H7719" s="35">
        <v>223</v>
      </c>
      <c r="I7719" s="33" t="s">
        <v>21</v>
      </c>
      <c r="J7719" s="42">
        <v>44300</v>
      </c>
      <c r="K7719" s="33" t="s">
        <v>22</v>
      </c>
    </row>
    <row r="7720" spans="1:11">
      <c r="A7720" s="30" t="s">
        <v>17904</v>
      </c>
      <c r="B7720" s="30" t="s">
        <v>17905</v>
      </c>
      <c r="C7720" s="30" t="s">
        <v>4108</v>
      </c>
      <c r="D7720" s="30" t="s">
        <v>17</v>
      </c>
      <c r="E7720" s="30" t="s">
        <v>31</v>
      </c>
      <c r="F7720" s="30" t="s">
        <v>32</v>
      </c>
      <c r="G7720" s="30" t="s">
        <v>20</v>
      </c>
      <c r="H7720" s="32">
        <v>91</v>
      </c>
      <c r="I7720" s="30" t="s">
        <v>21</v>
      </c>
      <c r="J7720" s="41">
        <v>44543</v>
      </c>
      <c r="K7720" s="30" t="s">
        <v>22</v>
      </c>
    </row>
    <row r="7721" spans="1:11">
      <c r="A7721" s="33" t="s">
        <v>17906</v>
      </c>
      <c r="B7721" s="33" t="s">
        <v>17907</v>
      </c>
      <c r="C7721" s="33" t="s">
        <v>2905</v>
      </c>
      <c r="D7721" s="33" t="s">
        <v>17</v>
      </c>
      <c r="E7721" s="33" t="s">
        <v>212</v>
      </c>
      <c r="F7721" s="33" t="s">
        <v>213</v>
      </c>
      <c r="G7721" s="33" t="s">
        <v>20</v>
      </c>
      <c r="H7721" s="35">
        <v>188</v>
      </c>
      <c r="I7721" s="33" t="s">
        <v>21</v>
      </c>
      <c r="J7721" s="42">
        <v>44197</v>
      </c>
      <c r="K7721" s="33" t="s">
        <v>22</v>
      </c>
    </row>
    <row r="7722" spans="1:11">
      <c r="A7722" s="30" t="s">
        <v>17908</v>
      </c>
      <c r="B7722" s="30" t="s">
        <v>17909</v>
      </c>
      <c r="C7722" s="30" t="s">
        <v>801</v>
      </c>
      <c r="D7722" s="30" t="s">
        <v>17</v>
      </c>
      <c r="E7722" s="30" t="s">
        <v>26</v>
      </c>
      <c r="F7722" s="30" t="s">
        <v>27</v>
      </c>
      <c r="G7722" s="30" t="s">
        <v>20</v>
      </c>
      <c r="H7722" s="32">
        <v>30</v>
      </c>
      <c r="I7722" s="30" t="s">
        <v>21</v>
      </c>
      <c r="J7722" s="41">
        <v>44377</v>
      </c>
      <c r="K7722" s="30" t="s">
        <v>22</v>
      </c>
    </row>
    <row r="7723" spans="1:11">
      <c r="A7723" s="33" t="s">
        <v>17910</v>
      </c>
      <c r="B7723" s="33" t="s">
        <v>17911</v>
      </c>
      <c r="C7723" s="33" t="s">
        <v>17912</v>
      </c>
      <c r="D7723" s="33" t="s">
        <v>17</v>
      </c>
      <c r="E7723" s="33" t="s">
        <v>26</v>
      </c>
      <c r="F7723" s="33" t="s">
        <v>27</v>
      </c>
      <c r="G7723" s="33" t="s">
        <v>20</v>
      </c>
      <c r="H7723" s="35">
        <v>20</v>
      </c>
      <c r="I7723" s="33" t="s">
        <v>21</v>
      </c>
      <c r="J7723" s="42">
        <v>44313</v>
      </c>
      <c r="K7723" s="33" t="s">
        <v>22</v>
      </c>
    </row>
    <row r="7724" spans="1:11">
      <c r="A7724" s="30" t="s">
        <v>17913</v>
      </c>
      <c r="B7724" s="30" t="s">
        <v>17914</v>
      </c>
      <c r="C7724" s="30" t="s">
        <v>9908</v>
      </c>
      <c r="D7724" s="30" t="s">
        <v>17</v>
      </c>
      <c r="E7724" s="30" t="s">
        <v>26</v>
      </c>
      <c r="F7724" s="30" t="s">
        <v>27</v>
      </c>
      <c r="G7724" s="30" t="s">
        <v>50</v>
      </c>
      <c r="H7724" s="32">
        <v>18</v>
      </c>
      <c r="I7724" s="30" t="s">
        <v>51</v>
      </c>
      <c r="J7724" s="41">
        <v>44300</v>
      </c>
      <c r="K7724" s="30" t="s">
        <v>22</v>
      </c>
    </row>
    <row r="7725" spans="1:11">
      <c r="A7725" s="33" t="s">
        <v>17915</v>
      </c>
      <c r="B7725" s="33" t="s">
        <v>17916</v>
      </c>
      <c r="C7725" s="33" t="s">
        <v>17917</v>
      </c>
      <c r="D7725" s="33" t="s">
        <v>17</v>
      </c>
      <c r="E7725" s="33" t="s">
        <v>31</v>
      </c>
      <c r="F7725" s="33" t="s">
        <v>32</v>
      </c>
      <c r="G7725" s="33" t="s">
        <v>140</v>
      </c>
      <c r="H7725" s="35">
        <v>80</v>
      </c>
      <c r="I7725" s="33" t="s">
        <v>51</v>
      </c>
      <c r="J7725" s="42">
        <v>44498</v>
      </c>
      <c r="K7725" s="33" t="s">
        <v>22</v>
      </c>
    </row>
    <row r="7726" spans="1:11">
      <c r="A7726" s="30" t="s">
        <v>17918</v>
      </c>
      <c r="B7726" s="30" t="s">
        <v>17919</v>
      </c>
      <c r="C7726" s="30" t="s">
        <v>1598</v>
      </c>
      <c r="D7726" s="30" t="s">
        <v>17</v>
      </c>
      <c r="E7726" s="30" t="s">
        <v>31</v>
      </c>
      <c r="F7726" s="30" t="s">
        <v>32</v>
      </c>
      <c r="G7726" s="30" t="s">
        <v>20</v>
      </c>
      <c r="H7726" s="32">
        <v>328</v>
      </c>
      <c r="I7726" s="30" t="s">
        <v>21</v>
      </c>
      <c r="J7726" s="41">
        <v>44355</v>
      </c>
      <c r="K7726" s="30" t="s">
        <v>22</v>
      </c>
    </row>
    <row r="7727" spans="1:11">
      <c r="A7727" s="33" t="s">
        <v>17920</v>
      </c>
      <c r="B7727" s="33" t="s">
        <v>17921</v>
      </c>
      <c r="C7727" s="33" t="s">
        <v>75</v>
      </c>
      <c r="D7727" s="33" t="s">
        <v>17</v>
      </c>
      <c r="E7727" s="33" t="s">
        <v>18</v>
      </c>
      <c r="F7727" s="33" t="s">
        <v>19</v>
      </c>
      <c r="G7727" s="33" t="s">
        <v>140</v>
      </c>
      <c r="H7727" s="35">
        <v>153</v>
      </c>
      <c r="I7727" s="33" t="s">
        <v>51</v>
      </c>
      <c r="J7727" s="42">
        <v>44278</v>
      </c>
      <c r="K7727" s="33" t="s">
        <v>22</v>
      </c>
    </row>
    <row r="7728" spans="1:11">
      <c r="A7728" s="30" t="s">
        <v>17922</v>
      </c>
      <c r="B7728" s="30" t="s">
        <v>17923</v>
      </c>
      <c r="C7728" s="30" t="s">
        <v>178</v>
      </c>
      <c r="D7728" s="30" t="s">
        <v>17</v>
      </c>
      <c r="E7728" s="30" t="s">
        <v>18</v>
      </c>
      <c r="F7728" s="30" t="s">
        <v>19</v>
      </c>
      <c r="G7728" s="30" t="s">
        <v>106</v>
      </c>
      <c r="H7728" s="32">
        <v>216</v>
      </c>
      <c r="I7728" s="30" t="s">
        <v>21</v>
      </c>
      <c r="J7728" s="41">
        <v>44314</v>
      </c>
      <c r="K7728" s="30" t="s">
        <v>22</v>
      </c>
    </row>
    <row r="7729" spans="1:11">
      <c r="A7729" s="33" t="s">
        <v>17924</v>
      </c>
      <c r="B7729" s="33" t="s">
        <v>17925</v>
      </c>
      <c r="C7729" s="33" t="s">
        <v>75</v>
      </c>
      <c r="D7729" s="33" t="s">
        <v>17</v>
      </c>
      <c r="E7729" s="33" t="s">
        <v>26</v>
      </c>
      <c r="F7729" s="33" t="s">
        <v>27</v>
      </c>
      <c r="G7729" s="33" t="s">
        <v>20</v>
      </c>
      <c r="H7729" s="35">
        <v>102</v>
      </c>
      <c r="I7729" s="33" t="s">
        <v>21</v>
      </c>
      <c r="J7729" s="42">
        <v>44343</v>
      </c>
      <c r="K7729" s="33" t="s">
        <v>22</v>
      </c>
    </row>
    <row r="7730" spans="1:11">
      <c r="A7730" s="30" t="s">
        <v>17926</v>
      </c>
      <c r="B7730" s="30" t="s">
        <v>17927</v>
      </c>
      <c r="C7730" s="30" t="s">
        <v>109</v>
      </c>
      <c r="D7730" s="30" t="s">
        <v>17</v>
      </c>
      <c r="E7730" s="30" t="s">
        <v>26</v>
      </c>
      <c r="F7730" s="30" t="s">
        <v>27</v>
      </c>
      <c r="G7730" s="30" t="s">
        <v>106</v>
      </c>
      <c r="H7730" s="32">
        <v>27</v>
      </c>
      <c r="I7730" s="30" t="s">
        <v>21</v>
      </c>
      <c r="J7730" s="41">
        <v>44377</v>
      </c>
      <c r="K7730" s="30" t="s">
        <v>22</v>
      </c>
    </row>
    <row r="7731" spans="1:11">
      <c r="A7731" s="33" t="s">
        <v>17928</v>
      </c>
      <c r="B7731" s="33" t="s">
        <v>17929</v>
      </c>
      <c r="C7731" s="33" t="s">
        <v>178</v>
      </c>
      <c r="D7731" s="33" t="s">
        <v>17</v>
      </c>
      <c r="E7731" s="33" t="s">
        <v>18</v>
      </c>
      <c r="F7731" s="33" t="s">
        <v>19</v>
      </c>
      <c r="G7731" s="33" t="s">
        <v>158</v>
      </c>
      <c r="H7731" s="35">
        <v>478</v>
      </c>
      <c r="I7731" s="33" t="s">
        <v>21</v>
      </c>
      <c r="J7731" s="42">
        <v>44496</v>
      </c>
      <c r="K7731" s="33" t="s">
        <v>22</v>
      </c>
    </row>
    <row r="7732" spans="1:11">
      <c r="A7732" s="30" t="s">
        <v>17930</v>
      </c>
      <c r="B7732" s="30" t="s">
        <v>17931</v>
      </c>
      <c r="C7732" s="30" t="s">
        <v>13754</v>
      </c>
      <c r="D7732" s="30" t="s">
        <v>17</v>
      </c>
      <c r="E7732" s="30" t="s">
        <v>31</v>
      </c>
      <c r="F7732" s="30" t="s">
        <v>32</v>
      </c>
      <c r="G7732" s="30" t="s">
        <v>20</v>
      </c>
      <c r="H7732" s="32">
        <v>164</v>
      </c>
      <c r="I7732" s="30" t="s">
        <v>21</v>
      </c>
      <c r="J7732" s="41">
        <v>44559</v>
      </c>
      <c r="K7732" s="30" t="s">
        <v>22</v>
      </c>
    </row>
    <row r="7733" spans="1:11">
      <c r="A7733" s="33" t="s">
        <v>17932</v>
      </c>
      <c r="B7733" s="33" t="s">
        <v>17933</v>
      </c>
      <c r="C7733" s="33" t="s">
        <v>1210</v>
      </c>
      <c r="D7733" s="33" t="s">
        <v>17</v>
      </c>
      <c r="E7733" s="33" t="s">
        <v>26</v>
      </c>
      <c r="F7733" s="33" t="s">
        <v>27</v>
      </c>
      <c r="G7733" s="33" t="s">
        <v>140</v>
      </c>
      <c r="H7733" s="35">
        <v>217</v>
      </c>
      <c r="I7733" s="33" t="s">
        <v>51</v>
      </c>
      <c r="J7733" s="42">
        <v>44540</v>
      </c>
      <c r="K7733" s="33" t="s">
        <v>22</v>
      </c>
    </row>
    <row r="7734" spans="1:11">
      <c r="A7734" s="30" t="s">
        <v>17934</v>
      </c>
      <c r="B7734" s="30" t="s">
        <v>17935</v>
      </c>
      <c r="C7734" s="30" t="s">
        <v>5158</v>
      </c>
      <c r="D7734" s="30" t="s">
        <v>17</v>
      </c>
      <c r="E7734" s="30" t="s">
        <v>18</v>
      </c>
      <c r="F7734" s="30" t="s">
        <v>19</v>
      </c>
      <c r="G7734" s="30" t="s">
        <v>20</v>
      </c>
      <c r="H7734" s="32">
        <v>213</v>
      </c>
      <c r="I7734" s="30" t="s">
        <v>21</v>
      </c>
      <c r="J7734" s="41">
        <v>44270</v>
      </c>
      <c r="K7734" s="30" t="s">
        <v>22</v>
      </c>
    </row>
    <row r="7735" spans="1:11">
      <c r="A7735" s="33" t="s">
        <v>17936</v>
      </c>
      <c r="B7735" s="33" t="s">
        <v>17937</v>
      </c>
      <c r="C7735" s="33" t="s">
        <v>49</v>
      </c>
      <c r="D7735" s="33" t="s">
        <v>17</v>
      </c>
      <c r="E7735" s="33" t="s">
        <v>31</v>
      </c>
      <c r="F7735" s="33" t="s">
        <v>32</v>
      </c>
      <c r="G7735" s="33" t="s">
        <v>20</v>
      </c>
      <c r="H7735" s="35">
        <v>60</v>
      </c>
      <c r="I7735" s="33" t="s">
        <v>21</v>
      </c>
      <c r="J7735" s="42">
        <v>44489</v>
      </c>
      <c r="K7735" s="33" t="s">
        <v>22</v>
      </c>
    </row>
    <row r="7736" spans="1:11">
      <c r="A7736" s="30" t="s">
        <v>17938</v>
      </c>
      <c r="B7736" s="30" t="s">
        <v>17939</v>
      </c>
      <c r="C7736" s="30" t="s">
        <v>3892</v>
      </c>
      <c r="D7736" s="30" t="s">
        <v>17</v>
      </c>
      <c r="E7736" s="30" t="s">
        <v>26</v>
      </c>
      <c r="F7736" s="30" t="s">
        <v>27</v>
      </c>
      <c r="G7736" s="30" t="s">
        <v>20</v>
      </c>
      <c r="H7736" s="32">
        <v>60</v>
      </c>
      <c r="I7736" s="30" t="s">
        <v>21</v>
      </c>
      <c r="J7736" s="41">
        <v>44280</v>
      </c>
      <c r="K7736" s="30" t="s">
        <v>22</v>
      </c>
    </row>
    <row r="7737" spans="1:11">
      <c r="A7737" s="33" t="s">
        <v>17940</v>
      </c>
      <c r="B7737" s="33" t="s">
        <v>17941</v>
      </c>
      <c r="C7737" s="33" t="s">
        <v>96</v>
      </c>
      <c r="D7737" s="33" t="s">
        <v>17</v>
      </c>
      <c r="E7737" s="33" t="s">
        <v>26</v>
      </c>
      <c r="F7737" s="33" t="s">
        <v>27</v>
      </c>
      <c r="G7737" s="33" t="s">
        <v>20</v>
      </c>
      <c r="H7737" s="35">
        <v>20</v>
      </c>
      <c r="I7737" s="33" t="s">
        <v>21</v>
      </c>
      <c r="J7737" s="42">
        <v>44384</v>
      </c>
      <c r="K7737" s="33" t="s">
        <v>22</v>
      </c>
    </row>
    <row r="7738" spans="1:11">
      <c r="A7738" s="30" t="s">
        <v>17942</v>
      </c>
      <c r="B7738" s="30" t="s">
        <v>17943</v>
      </c>
      <c r="C7738" s="30" t="s">
        <v>647</v>
      </c>
      <c r="D7738" s="30" t="s">
        <v>17</v>
      </c>
      <c r="E7738" s="30" t="s">
        <v>26</v>
      </c>
      <c r="F7738" s="30" t="s">
        <v>27</v>
      </c>
      <c r="G7738" s="30" t="s">
        <v>20</v>
      </c>
      <c r="H7738" s="32">
        <v>142</v>
      </c>
      <c r="I7738" s="30" t="s">
        <v>21</v>
      </c>
      <c r="J7738" s="41">
        <v>44460</v>
      </c>
      <c r="K7738" s="30" t="s">
        <v>22</v>
      </c>
    </row>
    <row r="7739" spans="1:11">
      <c r="A7739" s="33" t="s">
        <v>17944</v>
      </c>
      <c r="B7739" s="33" t="s">
        <v>17945</v>
      </c>
      <c r="C7739" s="33" t="s">
        <v>4717</v>
      </c>
      <c r="D7739" s="33" t="s">
        <v>17</v>
      </c>
      <c r="E7739" s="33" t="s">
        <v>31</v>
      </c>
      <c r="F7739" s="33" t="s">
        <v>32</v>
      </c>
      <c r="G7739" s="33" t="s">
        <v>106</v>
      </c>
      <c r="H7739" s="35">
        <v>12</v>
      </c>
      <c r="I7739" s="33" t="s">
        <v>21</v>
      </c>
      <c r="J7739" s="42">
        <v>44502</v>
      </c>
      <c r="K7739" s="33" t="s">
        <v>22</v>
      </c>
    </row>
    <row r="7740" spans="1:11">
      <c r="A7740" s="30" t="s">
        <v>17946</v>
      </c>
      <c r="B7740" s="30" t="s">
        <v>17947</v>
      </c>
      <c r="C7740" s="30" t="s">
        <v>969</v>
      </c>
      <c r="D7740" s="30" t="s">
        <v>17</v>
      </c>
      <c r="E7740" s="30" t="s">
        <v>18</v>
      </c>
      <c r="F7740" s="30" t="s">
        <v>19</v>
      </c>
      <c r="G7740" s="30" t="s">
        <v>20</v>
      </c>
      <c r="H7740" s="32">
        <v>1250</v>
      </c>
      <c r="I7740" s="30" t="s">
        <v>21</v>
      </c>
      <c r="J7740" s="41">
        <v>44221</v>
      </c>
      <c r="K7740" s="30" t="s">
        <v>22</v>
      </c>
    </row>
    <row r="7741" spans="1:11">
      <c r="A7741" s="33" t="s">
        <v>17948</v>
      </c>
      <c r="B7741" s="33" t="s">
        <v>17949</v>
      </c>
      <c r="C7741" s="33" t="s">
        <v>17950</v>
      </c>
      <c r="D7741" s="33" t="s">
        <v>17</v>
      </c>
      <c r="E7741" s="33" t="s">
        <v>212</v>
      </c>
      <c r="F7741" s="33" t="s">
        <v>213</v>
      </c>
      <c r="G7741" s="33" t="s">
        <v>106</v>
      </c>
      <c r="H7741" s="35">
        <v>8</v>
      </c>
      <c r="I7741" s="33" t="s">
        <v>21</v>
      </c>
      <c r="J7741" s="42">
        <v>44217</v>
      </c>
      <c r="K7741" s="33" t="s">
        <v>22</v>
      </c>
    </row>
    <row r="7742" spans="1:11">
      <c r="A7742" s="30" t="s">
        <v>17951</v>
      </c>
      <c r="B7742" s="30" t="s">
        <v>17952</v>
      </c>
      <c r="C7742" s="30" t="s">
        <v>4366</v>
      </c>
      <c r="D7742" s="30" t="s">
        <v>17</v>
      </c>
      <c r="E7742" s="30" t="s">
        <v>31</v>
      </c>
      <c r="F7742" s="30" t="s">
        <v>32</v>
      </c>
      <c r="G7742" s="30" t="s">
        <v>106</v>
      </c>
      <c r="H7742" s="32">
        <v>36</v>
      </c>
      <c r="I7742" s="30" t="s">
        <v>21</v>
      </c>
      <c r="J7742" s="41">
        <v>44349</v>
      </c>
      <c r="K7742" s="30" t="s">
        <v>22</v>
      </c>
    </row>
    <row r="7743" spans="1:11">
      <c r="A7743" s="33" t="s">
        <v>17953</v>
      </c>
      <c r="B7743" s="33" t="s">
        <v>17954</v>
      </c>
      <c r="C7743" s="33" t="s">
        <v>157</v>
      </c>
      <c r="D7743" s="33" t="s">
        <v>17</v>
      </c>
      <c r="E7743" s="33" t="s">
        <v>67</v>
      </c>
      <c r="F7743" s="33" t="s">
        <v>68</v>
      </c>
      <c r="G7743" s="33" t="s">
        <v>106</v>
      </c>
      <c r="H7743" s="35">
        <v>11</v>
      </c>
      <c r="I7743" s="33" t="s">
        <v>21</v>
      </c>
      <c r="J7743" s="42">
        <v>44251</v>
      </c>
      <c r="K7743" s="33" t="s">
        <v>22</v>
      </c>
    </row>
    <row r="7744" spans="1:11">
      <c r="A7744" s="30" t="s">
        <v>17955</v>
      </c>
      <c r="B7744" s="30" t="s">
        <v>17956</v>
      </c>
      <c r="C7744" s="30" t="s">
        <v>3278</v>
      </c>
      <c r="D7744" s="30" t="s">
        <v>17</v>
      </c>
      <c r="E7744" s="30" t="s">
        <v>26</v>
      </c>
      <c r="F7744" s="30" t="s">
        <v>27</v>
      </c>
      <c r="G7744" s="30" t="s">
        <v>20</v>
      </c>
      <c r="H7744" s="32">
        <v>18</v>
      </c>
      <c r="I7744" s="30" t="s">
        <v>21</v>
      </c>
      <c r="J7744" s="41">
        <v>44496</v>
      </c>
      <c r="K7744" s="30" t="s">
        <v>22</v>
      </c>
    </row>
    <row r="7745" spans="1:11">
      <c r="A7745" s="33" t="s">
        <v>17957</v>
      </c>
      <c r="B7745" s="33" t="s">
        <v>17958</v>
      </c>
      <c r="C7745" s="33" t="s">
        <v>1915</v>
      </c>
      <c r="D7745" s="33" t="s">
        <v>17</v>
      </c>
      <c r="E7745" s="33" t="s">
        <v>31</v>
      </c>
      <c r="F7745" s="33" t="s">
        <v>32</v>
      </c>
      <c r="G7745" s="33" t="s">
        <v>50</v>
      </c>
      <c r="H7745" s="35">
        <v>424</v>
      </c>
      <c r="I7745" s="33" t="s">
        <v>51</v>
      </c>
      <c r="J7745" s="42">
        <v>44331</v>
      </c>
      <c r="K7745" s="33" t="s">
        <v>22</v>
      </c>
    </row>
    <row r="7746" spans="1:11">
      <c r="A7746" s="30" t="s">
        <v>17959</v>
      </c>
      <c r="B7746" s="30" t="s">
        <v>17960</v>
      </c>
      <c r="C7746" s="30" t="s">
        <v>17961</v>
      </c>
      <c r="D7746" s="30" t="s">
        <v>17</v>
      </c>
      <c r="E7746" s="30" t="s">
        <v>26</v>
      </c>
      <c r="F7746" s="30" t="s">
        <v>27</v>
      </c>
      <c r="G7746" s="30" t="s">
        <v>20</v>
      </c>
      <c r="H7746" s="32">
        <v>46</v>
      </c>
      <c r="I7746" s="30" t="s">
        <v>21</v>
      </c>
      <c r="J7746" s="41">
        <v>44368</v>
      </c>
      <c r="K7746" s="30" t="s">
        <v>22</v>
      </c>
    </row>
    <row r="7747" spans="1:11">
      <c r="A7747" s="33" t="s">
        <v>17962</v>
      </c>
      <c r="B7747" s="33" t="s">
        <v>17963</v>
      </c>
      <c r="C7747" s="33" t="s">
        <v>109</v>
      </c>
      <c r="D7747" s="33" t="s">
        <v>17</v>
      </c>
      <c r="E7747" s="33" t="s">
        <v>31</v>
      </c>
      <c r="F7747" s="33" t="s">
        <v>32</v>
      </c>
      <c r="G7747" s="33" t="s">
        <v>106</v>
      </c>
      <c r="H7747" s="35">
        <v>26</v>
      </c>
      <c r="I7747" s="33" t="s">
        <v>21</v>
      </c>
      <c r="J7747" s="42">
        <v>44538</v>
      </c>
      <c r="K7747" s="33" t="s">
        <v>22</v>
      </c>
    </row>
    <row r="7748" spans="1:11">
      <c r="A7748" s="30" t="s">
        <v>17964</v>
      </c>
      <c r="B7748" s="30" t="s">
        <v>17965</v>
      </c>
      <c r="C7748" s="30" t="s">
        <v>9286</v>
      </c>
      <c r="D7748" s="30" t="s">
        <v>17</v>
      </c>
      <c r="E7748" s="30" t="s">
        <v>26</v>
      </c>
      <c r="F7748" s="30" t="s">
        <v>27</v>
      </c>
      <c r="G7748" s="30" t="s">
        <v>20</v>
      </c>
      <c r="H7748" s="32">
        <v>91</v>
      </c>
      <c r="I7748" s="30" t="s">
        <v>21</v>
      </c>
      <c r="J7748" s="41">
        <v>44469</v>
      </c>
      <c r="K7748" s="30" t="s">
        <v>22</v>
      </c>
    </row>
    <row r="7749" spans="1:11">
      <c r="A7749" s="33" t="s">
        <v>17966</v>
      </c>
      <c r="B7749" s="33" t="s">
        <v>17967</v>
      </c>
      <c r="C7749" s="33" t="s">
        <v>109</v>
      </c>
      <c r="D7749" s="33" t="s">
        <v>17</v>
      </c>
      <c r="E7749" s="33" t="s">
        <v>18</v>
      </c>
      <c r="F7749" s="33" t="s">
        <v>19</v>
      </c>
      <c r="G7749" s="33" t="s">
        <v>20</v>
      </c>
      <c r="H7749" s="35">
        <v>185</v>
      </c>
      <c r="I7749" s="33" t="s">
        <v>21</v>
      </c>
      <c r="J7749" s="42">
        <v>44400</v>
      </c>
      <c r="K7749" s="33" t="s">
        <v>22</v>
      </c>
    </row>
    <row r="7750" spans="1:11">
      <c r="A7750" s="30" t="s">
        <v>17968</v>
      </c>
      <c r="B7750" s="30" t="s">
        <v>17969</v>
      </c>
      <c r="C7750" s="30" t="s">
        <v>5395</v>
      </c>
      <c r="D7750" s="30" t="s">
        <v>17</v>
      </c>
      <c r="E7750" s="30" t="s">
        <v>67</v>
      </c>
      <c r="F7750" s="30" t="s">
        <v>68</v>
      </c>
      <c r="G7750" s="30" t="s">
        <v>50</v>
      </c>
      <c r="H7750" s="32">
        <v>42</v>
      </c>
      <c r="I7750" s="30" t="s">
        <v>51</v>
      </c>
      <c r="J7750" s="41">
        <v>44418</v>
      </c>
      <c r="K7750" s="30" t="s">
        <v>22</v>
      </c>
    </row>
    <row r="7751" spans="1:11">
      <c r="A7751" s="33" t="s">
        <v>17970</v>
      </c>
      <c r="B7751" s="33" t="s">
        <v>17971</v>
      </c>
      <c r="C7751" s="33" t="s">
        <v>17972</v>
      </c>
      <c r="D7751" s="33" t="s">
        <v>17</v>
      </c>
      <c r="E7751" s="33" t="s">
        <v>31</v>
      </c>
      <c r="F7751" s="33" t="s">
        <v>32</v>
      </c>
      <c r="G7751" s="33" t="s">
        <v>106</v>
      </c>
      <c r="H7751" s="35">
        <v>41</v>
      </c>
      <c r="I7751" s="33" t="s">
        <v>21</v>
      </c>
      <c r="J7751" s="42">
        <v>44482</v>
      </c>
      <c r="K7751" s="33" t="s">
        <v>22</v>
      </c>
    </row>
    <row r="7752" spans="1:11">
      <c r="A7752" s="30" t="s">
        <v>17973</v>
      </c>
      <c r="B7752" s="30" t="s">
        <v>17974</v>
      </c>
      <c r="C7752" s="30" t="s">
        <v>246</v>
      </c>
      <c r="D7752" s="30" t="s">
        <v>17</v>
      </c>
      <c r="E7752" s="30" t="s">
        <v>67</v>
      </c>
      <c r="F7752" s="30" t="s">
        <v>68</v>
      </c>
      <c r="G7752" s="30" t="s">
        <v>50</v>
      </c>
      <c r="H7752" s="32">
        <v>55</v>
      </c>
      <c r="I7752" s="30" t="s">
        <v>51</v>
      </c>
      <c r="J7752" s="41">
        <v>44509</v>
      </c>
      <c r="K7752" s="30" t="s">
        <v>22</v>
      </c>
    </row>
    <row r="7753" spans="1:11">
      <c r="A7753" s="33" t="s">
        <v>17975</v>
      </c>
      <c r="B7753" s="33" t="s">
        <v>17976</v>
      </c>
      <c r="C7753" s="33" t="s">
        <v>109</v>
      </c>
      <c r="D7753" s="33" t="s">
        <v>17</v>
      </c>
      <c r="E7753" s="33" t="s">
        <v>31</v>
      </c>
      <c r="F7753" s="33" t="s">
        <v>32</v>
      </c>
      <c r="G7753" s="33" t="s">
        <v>20</v>
      </c>
      <c r="H7753" s="35">
        <v>71</v>
      </c>
      <c r="I7753" s="33" t="s">
        <v>21</v>
      </c>
      <c r="J7753" s="42">
        <v>44306</v>
      </c>
      <c r="K7753" s="33" t="s">
        <v>22</v>
      </c>
    </row>
    <row r="7754" spans="1:11">
      <c r="A7754" s="30" t="s">
        <v>17977</v>
      </c>
      <c r="B7754" s="30" t="s">
        <v>17978</v>
      </c>
      <c r="C7754" s="30" t="s">
        <v>8250</v>
      </c>
      <c r="D7754" s="30" t="s">
        <v>17</v>
      </c>
      <c r="E7754" s="30" t="s">
        <v>26</v>
      </c>
      <c r="F7754" s="30" t="s">
        <v>27</v>
      </c>
      <c r="G7754" s="30" t="s">
        <v>50</v>
      </c>
      <c r="H7754" s="32">
        <v>14</v>
      </c>
      <c r="I7754" s="30" t="s">
        <v>21</v>
      </c>
      <c r="J7754" s="41">
        <v>44442</v>
      </c>
      <c r="K7754" s="30" t="s">
        <v>22</v>
      </c>
    </row>
    <row r="7755" spans="1:11">
      <c r="A7755" s="33" t="s">
        <v>17979</v>
      </c>
      <c r="B7755" s="33" t="s">
        <v>17980</v>
      </c>
      <c r="C7755" s="33" t="s">
        <v>17981</v>
      </c>
      <c r="D7755" s="33" t="s">
        <v>17</v>
      </c>
      <c r="E7755" s="33" t="s">
        <v>26</v>
      </c>
      <c r="F7755" s="33" t="s">
        <v>27</v>
      </c>
      <c r="G7755" s="33" t="s">
        <v>140</v>
      </c>
      <c r="H7755" s="35">
        <v>100</v>
      </c>
      <c r="I7755" s="33" t="s">
        <v>51</v>
      </c>
      <c r="J7755" s="42">
        <v>44271</v>
      </c>
      <c r="K7755" s="33" t="s">
        <v>22</v>
      </c>
    </row>
    <row r="7756" spans="1:11">
      <c r="A7756" s="30" t="s">
        <v>17982</v>
      </c>
      <c r="B7756" s="30" t="s">
        <v>17983</v>
      </c>
      <c r="C7756" s="30" t="s">
        <v>1090</v>
      </c>
      <c r="D7756" s="30" t="s">
        <v>17</v>
      </c>
      <c r="E7756" s="30" t="s">
        <v>26</v>
      </c>
      <c r="F7756" s="30" t="s">
        <v>27</v>
      </c>
      <c r="G7756" s="30" t="s">
        <v>50</v>
      </c>
      <c r="H7756" s="32">
        <v>27</v>
      </c>
      <c r="I7756" s="30" t="s">
        <v>21</v>
      </c>
      <c r="J7756" s="41">
        <v>44334</v>
      </c>
      <c r="K7756" s="30" t="s">
        <v>22</v>
      </c>
    </row>
    <row r="7757" spans="1:11">
      <c r="A7757" s="33" t="s">
        <v>17984</v>
      </c>
      <c r="B7757" s="33" t="s">
        <v>17985</v>
      </c>
      <c r="C7757" s="33" t="s">
        <v>3013</v>
      </c>
      <c r="D7757" s="33" t="s">
        <v>17</v>
      </c>
      <c r="E7757" s="33" t="s">
        <v>31</v>
      </c>
      <c r="F7757" s="33" t="s">
        <v>32</v>
      </c>
      <c r="G7757" s="33" t="s">
        <v>106</v>
      </c>
      <c r="H7757" s="35">
        <v>85</v>
      </c>
      <c r="I7757" s="33" t="s">
        <v>21</v>
      </c>
      <c r="J7757" s="42">
        <v>44426</v>
      </c>
      <c r="K7757" s="33" t="s">
        <v>22</v>
      </c>
    </row>
    <row r="7758" spans="1:11">
      <c r="A7758" s="30" t="s">
        <v>17986</v>
      </c>
      <c r="B7758" s="30" t="s">
        <v>17987</v>
      </c>
      <c r="C7758" s="30" t="s">
        <v>936</v>
      </c>
      <c r="D7758" s="30" t="s">
        <v>17</v>
      </c>
      <c r="E7758" s="30" t="s">
        <v>18</v>
      </c>
      <c r="F7758" s="30" t="s">
        <v>19</v>
      </c>
      <c r="G7758" s="30" t="s">
        <v>106</v>
      </c>
      <c r="H7758" s="32">
        <v>56</v>
      </c>
      <c r="I7758" s="30" t="s">
        <v>21</v>
      </c>
      <c r="J7758" s="41">
        <v>44424</v>
      </c>
      <c r="K7758" s="30" t="s">
        <v>22</v>
      </c>
    </row>
    <row r="7759" spans="1:11">
      <c r="A7759" s="33" t="s">
        <v>17988</v>
      </c>
      <c r="B7759" s="33" t="s">
        <v>17989</v>
      </c>
      <c r="C7759" s="33" t="s">
        <v>17990</v>
      </c>
      <c r="D7759" s="33" t="s">
        <v>17</v>
      </c>
      <c r="E7759" s="33" t="s">
        <v>18</v>
      </c>
      <c r="F7759" s="33" t="s">
        <v>19</v>
      </c>
      <c r="G7759" s="33" t="s">
        <v>20</v>
      </c>
      <c r="H7759" s="35">
        <v>280</v>
      </c>
      <c r="I7759" s="33" t="s">
        <v>21</v>
      </c>
      <c r="J7759" s="42">
        <v>44284</v>
      </c>
      <c r="K7759" s="33" t="s">
        <v>22</v>
      </c>
    </row>
    <row r="7760" spans="1:11">
      <c r="A7760" s="30" t="s">
        <v>17991</v>
      </c>
      <c r="B7760" s="30" t="s">
        <v>17992</v>
      </c>
      <c r="C7760" s="30" t="s">
        <v>9825</v>
      </c>
      <c r="D7760" s="30" t="s">
        <v>17</v>
      </c>
      <c r="E7760" s="30" t="s">
        <v>31</v>
      </c>
      <c r="F7760" s="30" t="s">
        <v>32</v>
      </c>
      <c r="G7760" s="30" t="s">
        <v>106</v>
      </c>
      <c r="H7760" s="32">
        <v>9</v>
      </c>
      <c r="I7760" s="30" t="s">
        <v>21</v>
      </c>
      <c r="J7760" s="41">
        <v>44419</v>
      </c>
      <c r="K7760" s="30" t="s">
        <v>22</v>
      </c>
    </row>
    <row r="7761" spans="1:11">
      <c r="A7761" s="33" t="s">
        <v>17993</v>
      </c>
      <c r="B7761" s="33" t="s">
        <v>17994</v>
      </c>
      <c r="C7761" s="33" t="s">
        <v>4634</v>
      </c>
      <c r="D7761" s="33" t="s">
        <v>17</v>
      </c>
      <c r="E7761" s="33" t="s">
        <v>26</v>
      </c>
      <c r="F7761" s="33" t="s">
        <v>27</v>
      </c>
      <c r="G7761" s="33" t="s">
        <v>20</v>
      </c>
      <c r="H7761" s="35">
        <v>36</v>
      </c>
      <c r="I7761" s="33" t="s">
        <v>21</v>
      </c>
      <c r="J7761" s="42">
        <v>44477</v>
      </c>
      <c r="K7761" s="33" t="s">
        <v>22</v>
      </c>
    </row>
    <row r="7762" spans="1:11">
      <c r="A7762" s="30" t="s">
        <v>17995</v>
      </c>
      <c r="B7762" s="30" t="s">
        <v>17996</v>
      </c>
      <c r="C7762" s="30" t="s">
        <v>231</v>
      </c>
      <c r="D7762" s="30" t="s">
        <v>17</v>
      </c>
      <c r="E7762" s="30" t="s">
        <v>31</v>
      </c>
      <c r="F7762" s="30" t="s">
        <v>32</v>
      </c>
      <c r="G7762" s="30" t="s">
        <v>20</v>
      </c>
      <c r="H7762" s="32">
        <v>45</v>
      </c>
      <c r="I7762" s="30" t="s">
        <v>21</v>
      </c>
      <c r="J7762" s="41">
        <v>44432</v>
      </c>
      <c r="K7762" s="30" t="s">
        <v>22</v>
      </c>
    </row>
    <row r="7763" spans="1:11">
      <c r="A7763" s="33" t="s">
        <v>17997</v>
      </c>
      <c r="B7763" s="33" t="s">
        <v>17998</v>
      </c>
      <c r="C7763" s="33" t="s">
        <v>17999</v>
      </c>
      <c r="D7763" s="33" t="s">
        <v>17</v>
      </c>
      <c r="E7763" s="33" t="s">
        <v>26</v>
      </c>
      <c r="F7763" s="33" t="s">
        <v>27</v>
      </c>
      <c r="G7763" s="33" t="s">
        <v>50</v>
      </c>
      <c r="H7763" s="35">
        <v>19</v>
      </c>
      <c r="I7763" s="33" t="s">
        <v>51</v>
      </c>
      <c r="J7763" s="42">
        <v>44356</v>
      </c>
      <c r="K7763" s="33" t="s">
        <v>22</v>
      </c>
    </row>
    <row r="7764" spans="1:11">
      <c r="A7764" s="30" t="s">
        <v>18000</v>
      </c>
      <c r="B7764" s="30" t="s">
        <v>18001</v>
      </c>
      <c r="C7764" s="30" t="s">
        <v>9234</v>
      </c>
      <c r="D7764" s="30" t="s">
        <v>17</v>
      </c>
      <c r="E7764" s="30" t="s">
        <v>26</v>
      </c>
      <c r="F7764" s="30" t="s">
        <v>27</v>
      </c>
      <c r="G7764" s="30" t="s">
        <v>20</v>
      </c>
      <c r="H7764" s="32">
        <v>36</v>
      </c>
      <c r="I7764" s="30" t="s">
        <v>21</v>
      </c>
      <c r="J7764" s="41">
        <v>44253</v>
      </c>
      <c r="K7764" s="30" t="s">
        <v>22</v>
      </c>
    </row>
    <row r="7765" spans="1:11">
      <c r="A7765" s="33" t="s">
        <v>18002</v>
      </c>
      <c r="B7765" s="33" t="s">
        <v>18003</v>
      </c>
      <c r="C7765" s="33" t="s">
        <v>886</v>
      </c>
      <c r="D7765" s="33" t="s">
        <v>17</v>
      </c>
      <c r="E7765" s="33" t="s">
        <v>26</v>
      </c>
      <c r="F7765" s="33" t="s">
        <v>27</v>
      </c>
      <c r="G7765" s="33" t="s">
        <v>20</v>
      </c>
      <c r="H7765" s="35">
        <v>110</v>
      </c>
      <c r="I7765" s="33" t="s">
        <v>21</v>
      </c>
      <c r="J7765" s="42">
        <v>44354</v>
      </c>
      <c r="K7765" s="33" t="s">
        <v>22</v>
      </c>
    </row>
    <row r="7766" spans="1:11">
      <c r="A7766" s="30" t="s">
        <v>18004</v>
      </c>
      <c r="B7766" s="30" t="s">
        <v>18005</v>
      </c>
      <c r="C7766" s="30" t="s">
        <v>18006</v>
      </c>
      <c r="D7766" s="30" t="s">
        <v>17</v>
      </c>
      <c r="E7766" s="30" t="s">
        <v>31</v>
      </c>
      <c r="F7766" s="30" t="s">
        <v>32</v>
      </c>
      <c r="G7766" s="30" t="s">
        <v>20</v>
      </c>
      <c r="H7766" s="32">
        <v>96</v>
      </c>
      <c r="I7766" s="30" t="s">
        <v>21</v>
      </c>
      <c r="J7766" s="41">
        <v>44365</v>
      </c>
      <c r="K7766" s="30" t="s">
        <v>22</v>
      </c>
    </row>
    <row r="7767" spans="1:11">
      <c r="A7767" s="33" t="s">
        <v>18007</v>
      </c>
      <c r="B7767" s="33" t="s">
        <v>18008</v>
      </c>
      <c r="C7767" s="33" t="s">
        <v>5709</v>
      </c>
      <c r="D7767" s="33" t="s">
        <v>17</v>
      </c>
      <c r="E7767" s="33" t="s">
        <v>31</v>
      </c>
      <c r="F7767" s="33" t="s">
        <v>32</v>
      </c>
      <c r="G7767" s="33" t="s">
        <v>20</v>
      </c>
      <c r="H7767" s="35">
        <v>50</v>
      </c>
      <c r="I7767" s="33" t="s">
        <v>21</v>
      </c>
      <c r="J7767" s="42">
        <v>44558</v>
      </c>
      <c r="K7767" s="33" t="s">
        <v>22</v>
      </c>
    </row>
    <row r="7768" spans="1:11">
      <c r="A7768" s="30" t="s">
        <v>18009</v>
      </c>
      <c r="B7768" s="30" t="s">
        <v>18010</v>
      </c>
      <c r="C7768" s="30" t="s">
        <v>5144</v>
      </c>
      <c r="D7768" s="30" t="s">
        <v>17</v>
      </c>
      <c r="E7768" s="30" t="s">
        <v>26</v>
      </c>
      <c r="F7768" s="30" t="s">
        <v>27</v>
      </c>
      <c r="G7768" s="30" t="s">
        <v>20</v>
      </c>
      <c r="H7768" s="32">
        <v>30</v>
      </c>
      <c r="I7768" s="30" t="s">
        <v>21</v>
      </c>
      <c r="J7768" s="41">
        <v>44243</v>
      </c>
      <c r="K7768" s="30" t="s">
        <v>22</v>
      </c>
    </row>
    <row r="7769" spans="1:11">
      <c r="A7769" s="33" t="s">
        <v>18011</v>
      </c>
      <c r="B7769" s="33" t="s">
        <v>18012</v>
      </c>
      <c r="C7769" s="33" t="s">
        <v>1908</v>
      </c>
      <c r="D7769" s="33" t="s">
        <v>17</v>
      </c>
      <c r="E7769" s="33" t="s">
        <v>26</v>
      </c>
      <c r="F7769" s="33" t="s">
        <v>27</v>
      </c>
      <c r="G7769" s="33" t="s">
        <v>20</v>
      </c>
      <c r="H7769" s="35">
        <v>36</v>
      </c>
      <c r="I7769" s="33" t="s">
        <v>21</v>
      </c>
      <c r="J7769" s="42">
        <v>44544</v>
      </c>
      <c r="K7769" s="33" t="s">
        <v>22</v>
      </c>
    </row>
    <row r="7770" spans="1:11">
      <c r="A7770" s="30" t="s">
        <v>18013</v>
      </c>
      <c r="B7770" s="30" t="s">
        <v>18014</v>
      </c>
      <c r="C7770" s="30" t="s">
        <v>18015</v>
      </c>
      <c r="D7770" s="30" t="s">
        <v>17</v>
      </c>
      <c r="E7770" s="30" t="s">
        <v>26</v>
      </c>
      <c r="F7770" s="30" t="s">
        <v>27</v>
      </c>
      <c r="G7770" s="30" t="s">
        <v>20</v>
      </c>
      <c r="H7770" s="32">
        <v>24</v>
      </c>
      <c r="I7770" s="30" t="s">
        <v>21</v>
      </c>
      <c r="J7770" s="41">
        <v>44404</v>
      </c>
      <c r="K7770" s="30" t="s">
        <v>22</v>
      </c>
    </row>
    <row r="7771" spans="1:11">
      <c r="A7771" s="33" t="s">
        <v>18016</v>
      </c>
      <c r="B7771" s="33" t="s">
        <v>18017</v>
      </c>
      <c r="C7771" s="33" t="s">
        <v>136</v>
      </c>
      <c r="D7771" s="33" t="s">
        <v>17</v>
      </c>
      <c r="E7771" s="33" t="s">
        <v>31</v>
      </c>
      <c r="F7771" s="33" t="s">
        <v>32</v>
      </c>
      <c r="G7771" s="33" t="s">
        <v>20</v>
      </c>
      <c r="H7771" s="35">
        <v>160</v>
      </c>
      <c r="I7771" s="33" t="s">
        <v>21</v>
      </c>
      <c r="J7771" s="42">
        <v>44481</v>
      </c>
      <c r="K7771" s="33" t="s">
        <v>22</v>
      </c>
    </row>
    <row r="7772" spans="1:11">
      <c r="A7772" s="30" t="s">
        <v>18018</v>
      </c>
      <c r="B7772" s="30" t="s">
        <v>18019</v>
      </c>
      <c r="C7772" s="30" t="s">
        <v>2313</v>
      </c>
      <c r="D7772" s="30" t="s">
        <v>17</v>
      </c>
      <c r="E7772" s="30" t="s">
        <v>212</v>
      </c>
      <c r="F7772" s="30" t="s">
        <v>213</v>
      </c>
      <c r="G7772" s="30" t="s">
        <v>140</v>
      </c>
      <c r="H7772" s="32">
        <v>188</v>
      </c>
      <c r="I7772" s="30" t="s">
        <v>51</v>
      </c>
      <c r="J7772" s="41">
        <v>44544</v>
      </c>
      <c r="K7772" s="30" t="s">
        <v>22</v>
      </c>
    </row>
    <row r="7773" spans="1:11">
      <c r="A7773" s="33" t="s">
        <v>18020</v>
      </c>
      <c r="B7773" s="33" t="s">
        <v>18021</v>
      </c>
      <c r="C7773" s="33" t="s">
        <v>157</v>
      </c>
      <c r="D7773" s="33" t="s">
        <v>17</v>
      </c>
      <c r="E7773" s="33" t="s">
        <v>26</v>
      </c>
      <c r="F7773" s="33" t="s">
        <v>27</v>
      </c>
      <c r="G7773" s="33" t="s">
        <v>20</v>
      </c>
      <c r="H7773" s="35">
        <v>124</v>
      </c>
      <c r="I7773" s="33" t="s">
        <v>21</v>
      </c>
      <c r="J7773" s="42">
        <v>44230</v>
      </c>
      <c r="K7773" s="33" t="s">
        <v>22</v>
      </c>
    </row>
    <row r="7774" spans="1:11">
      <c r="A7774" s="30" t="s">
        <v>18022</v>
      </c>
      <c r="B7774" s="30" t="s">
        <v>18023</v>
      </c>
      <c r="C7774" s="30" t="s">
        <v>18024</v>
      </c>
      <c r="D7774" s="30" t="s">
        <v>17</v>
      </c>
      <c r="E7774" s="30" t="s">
        <v>31</v>
      </c>
      <c r="F7774" s="30" t="s">
        <v>32</v>
      </c>
      <c r="G7774" s="30" t="s">
        <v>20</v>
      </c>
      <c r="H7774" s="32">
        <v>77</v>
      </c>
      <c r="I7774" s="30" t="s">
        <v>21</v>
      </c>
      <c r="J7774" s="41">
        <v>44377</v>
      </c>
      <c r="K7774" s="30" t="s">
        <v>22</v>
      </c>
    </row>
    <row r="7775" spans="1:11">
      <c r="A7775" s="33" t="s">
        <v>18025</v>
      </c>
      <c r="B7775" s="33" t="s">
        <v>18026</v>
      </c>
      <c r="C7775" s="33" t="s">
        <v>2264</v>
      </c>
      <c r="D7775" s="33" t="s">
        <v>17</v>
      </c>
      <c r="E7775" s="33" t="s">
        <v>31</v>
      </c>
      <c r="F7775" s="33" t="s">
        <v>32</v>
      </c>
      <c r="G7775" s="33" t="s">
        <v>112</v>
      </c>
      <c r="H7775" s="35">
        <v>0</v>
      </c>
      <c r="I7775" s="33" t="s">
        <v>21</v>
      </c>
      <c r="J7775" s="42">
        <v>44409</v>
      </c>
      <c r="K7775" s="33" t="s">
        <v>22</v>
      </c>
    </row>
    <row r="7776" spans="1:11">
      <c r="A7776" s="30" t="s">
        <v>18027</v>
      </c>
      <c r="B7776" s="30" t="s">
        <v>18028</v>
      </c>
      <c r="C7776" s="30" t="s">
        <v>2196</v>
      </c>
      <c r="D7776" s="30" t="s">
        <v>17</v>
      </c>
      <c r="E7776" s="30" t="s">
        <v>67</v>
      </c>
      <c r="F7776" s="30" t="s">
        <v>68</v>
      </c>
      <c r="G7776" s="30" t="s">
        <v>20</v>
      </c>
      <c r="H7776" s="32">
        <v>13</v>
      </c>
      <c r="I7776" s="30" t="s">
        <v>21</v>
      </c>
      <c r="J7776" s="41">
        <v>44530</v>
      </c>
      <c r="K7776" s="30" t="s">
        <v>22</v>
      </c>
    </row>
    <row r="7777" spans="1:11">
      <c r="A7777" s="33" t="s">
        <v>18029</v>
      </c>
      <c r="B7777" s="33" t="s">
        <v>18030</v>
      </c>
      <c r="C7777" s="33" t="s">
        <v>1750</v>
      </c>
      <c r="D7777" s="33" t="s">
        <v>17</v>
      </c>
      <c r="E7777" s="33" t="s">
        <v>26</v>
      </c>
      <c r="F7777" s="33" t="s">
        <v>27</v>
      </c>
      <c r="G7777" s="33" t="s">
        <v>158</v>
      </c>
      <c r="H7777" s="35">
        <v>120</v>
      </c>
      <c r="I7777" s="33" t="s">
        <v>51</v>
      </c>
      <c r="J7777" s="42">
        <v>44251</v>
      </c>
      <c r="K7777" s="33" t="s">
        <v>22</v>
      </c>
    </row>
    <row r="7778" spans="1:11">
      <c r="A7778" s="30" t="s">
        <v>18031</v>
      </c>
      <c r="B7778" s="30" t="s">
        <v>18032</v>
      </c>
      <c r="C7778" s="30" t="s">
        <v>6721</v>
      </c>
      <c r="D7778" s="30" t="s">
        <v>17</v>
      </c>
      <c r="E7778" s="30" t="s">
        <v>26</v>
      </c>
      <c r="F7778" s="30" t="s">
        <v>27</v>
      </c>
      <c r="G7778" s="30" t="s">
        <v>20</v>
      </c>
      <c r="H7778" s="32">
        <v>58</v>
      </c>
      <c r="I7778" s="30" t="s">
        <v>21</v>
      </c>
      <c r="J7778" s="41">
        <v>44422</v>
      </c>
      <c r="K7778" s="30" t="s">
        <v>22</v>
      </c>
    </row>
    <row r="7779" spans="1:11">
      <c r="A7779" s="33" t="s">
        <v>18033</v>
      </c>
      <c r="B7779" s="33" t="s">
        <v>18034</v>
      </c>
      <c r="C7779" s="33" t="s">
        <v>109</v>
      </c>
      <c r="D7779" s="33" t="s">
        <v>17</v>
      </c>
      <c r="E7779" s="33" t="s">
        <v>26</v>
      </c>
      <c r="F7779" s="33" t="s">
        <v>27</v>
      </c>
      <c r="G7779" s="33" t="s">
        <v>20</v>
      </c>
      <c r="H7779" s="35">
        <v>59</v>
      </c>
      <c r="I7779" s="33" t="s">
        <v>21</v>
      </c>
      <c r="J7779" s="42">
        <v>44243</v>
      </c>
      <c r="K7779" s="33" t="s">
        <v>22</v>
      </c>
    </row>
    <row r="7780" spans="1:11">
      <c r="A7780" s="30" t="s">
        <v>18035</v>
      </c>
      <c r="B7780" s="30" t="s">
        <v>18036</v>
      </c>
      <c r="C7780" s="30" t="s">
        <v>190</v>
      </c>
      <c r="D7780" s="30" t="s">
        <v>17</v>
      </c>
      <c r="E7780" s="30" t="s">
        <v>31</v>
      </c>
      <c r="F7780" s="30" t="s">
        <v>32</v>
      </c>
      <c r="G7780" s="30" t="s">
        <v>20</v>
      </c>
      <c r="H7780" s="32">
        <v>542</v>
      </c>
      <c r="I7780" s="30" t="s">
        <v>21</v>
      </c>
      <c r="J7780" s="41">
        <v>44314</v>
      </c>
      <c r="K7780" s="30" t="s">
        <v>22</v>
      </c>
    </row>
    <row r="7781" spans="1:11">
      <c r="A7781" s="33" t="s">
        <v>18037</v>
      </c>
      <c r="B7781" s="33" t="s">
        <v>18038</v>
      </c>
      <c r="C7781" s="33" t="s">
        <v>715</v>
      </c>
      <c r="D7781" s="33" t="s">
        <v>17</v>
      </c>
      <c r="E7781" s="33" t="s">
        <v>26</v>
      </c>
      <c r="F7781" s="33" t="s">
        <v>27</v>
      </c>
      <c r="G7781" s="33" t="s">
        <v>106</v>
      </c>
      <c r="H7781" s="35">
        <v>31</v>
      </c>
      <c r="I7781" s="33" t="s">
        <v>21</v>
      </c>
      <c r="J7781" s="42">
        <v>44361</v>
      </c>
      <c r="K7781" s="33" t="s">
        <v>22</v>
      </c>
    </row>
    <row r="7782" spans="1:11">
      <c r="A7782" s="30" t="s">
        <v>18039</v>
      </c>
      <c r="B7782" s="30" t="s">
        <v>18040</v>
      </c>
      <c r="C7782" s="30" t="s">
        <v>13241</v>
      </c>
      <c r="D7782" s="30" t="s">
        <v>17</v>
      </c>
      <c r="E7782" s="30" t="s">
        <v>26</v>
      </c>
      <c r="F7782" s="30" t="s">
        <v>27</v>
      </c>
      <c r="G7782" s="30" t="s">
        <v>158</v>
      </c>
      <c r="H7782" s="32">
        <v>46</v>
      </c>
      <c r="I7782" s="30" t="s">
        <v>21</v>
      </c>
      <c r="J7782" s="41">
        <v>44495</v>
      </c>
      <c r="K7782" s="30" t="s">
        <v>22</v>
      </c>
    </row>
    <row r="7783" spans="1:11">
      <c r="A7783" s="33" t="s">
        <v>18041</v>
      </c>
      <c r="B7783" s="33" t="s">
        <v>18042</v>
      </c>
      <c r="C7783" s="33" t="s">
        <v>4306</v>
      </c>
      <c r="D7783" s="33" t="s">
        <v>17</v>
      </c>
      <c r="E7783" s="33" t="s">
        <v>67</v>
      </c>
      <c r="F7783" s="33" t="s">
        <v>68</v>
      </c>
      <c r="G7783" s="33" t="s">
        <v>106</v>
      </c>
      <c r="H7783" s="35">
        <v>35</v>
      </c>
      <c r="I7783" s="33" t="s">
        <v>21</v>
      </c>
      <c r="J7783" s="42">
        <v>44375</v>
      </c>
      <c r="K7783" s="33" t="s">
        <v>22</v>
      </c>
    </row>
    <row r="7784" spans="1:11">
      <c r="A7784" s="30" t="s">
        <v>18043</v>
      </c>
      <c r="B7784" s="30" t="s">
        <v>18044</v>
      </c>
      <c r="C7784" s="30" t="s">
        <v>149</v>
      </c>
      <c r="D7784" s="30" t="s">
        <v>17</v>
      </c>
      <c r="E7784" s="30" t="s">
        <v>31</v>
      </c>
      <c r="F7784" s="30" t="s">
        <v>32</v>
      </c>
      <c r="G7784" s="30" t="s">
        <v>20</v>
      </c>
      <c r="H7784" s="32">
        <v>194</v>
      </c>
      <c r="I7784" s="30" t="s">
        <v>21</v>
      </c>
      <c r="J7784" s="41">
        <v>44291</v>
      </c>
      <c r="K7784" s="30" t="s">
        <v>22</v>
      </c>
    </row>
    <row r="7785" spans="1:11">
      <c r="A7785" s="33" t="s">
        <v>18045</v>
      </c>
      <c r="B7785" s="33" t="s">
        <v>18046</v>
      </c>
      <c r="C7785" s="33" t="s">
        <v>18047</v>
      </c>
      <c r="D7785" s="33" t="s">
        <v>17</v>
      </c>
      <c r="E7785" s="33" t="s">
        <v>67</v>
      </c>
      <c r="F7785" s="33" t="s">
        <v>68</v>
      </c>
      <c r="G7785" s="33" t="s">
        <v>158</v>
      </c>
      <c r="H7785" s="35">
        <v>76</v>
      </c>
      <c r="I7785" s="33" t="s">
        <v>21</v>
      </c>
      <c r="J7785" s="42">
        <v>44343</v>
      </c>
      <c r="K7785" s="33" t="s">
        <v>22</v>
      </c>
    </row>
    <row r="7786" spans="1:11">
      <c r="A7786" s="30" t="s">
        <v>18048</v>
      </c>
      <c r="B7786" s="30" t="s">
        <v>18049</v>
      </c>
      <c r="C7786" s="30" t="s">
        <v>136</v>
      </c>
      <c r="D7786" s="30" t="s">
        <v>17</v>
      </c>
      <c r="E7786" s="30" t="s">
        <v>26</v>
      </c>
      <c r="F7786" s="30" t="s">
        <v>27</v>
      </c>
      <c r="G7786" s="30" t="s">
        <v>20</v>
      </c>
      <c r="H7786" s="32">
        <v>82</v>
      </c>
      <c r="I7786" s="30" t="s">
        <v>21</v>
      </c>
      <c r="J7786" s="41">
        <v>44312</v>
      </c>
      <c r="K7786" s="30" t="s">
        <v>22</v>
      </c>
    </row>
    <row r="7787" spans="1:11">
      <c r="A7787" s="33" t="s">
        <v>18050</v>
      </c>
      <c r="B7787" s="33" t="s">
        <v>18051</v>
      </c>
      <c r="C7787" s="33" t="s">
        <v>4742</v>
      </c>
      <c r="D7787" s="33" t="s">
        <v>17</v>
      </c>
      <c r="E7787" s="33" t="s">
        <v>212</v>
      </c>
      <c r="F7787" s="33" t="s">
        <v>213</v>
      </c>
      <c r="G7787" s="33" t="s">
        <v>20</v>
      </c>
      <c r="H7787" s="35">
        <v>480</v>
      </c>
      <c r="I7787" s="33" t="s">
        <v>21</v>
      </c>
      <c r="J7787" s="42">
        <v>44278</v>
      </c>
      <c r="K7787" s="33" t="s">
        <v>22</v>
      </c>
    </row>
    <row r="7788" spans="1:11">
      <c r="A7788" s="30" t="s">
        <v>18052</v>
      </c>
      <c r="B7788" s="30" t="s">
        <v>18053</v>
      </c>
      <c r="C7788" s="30" t="s">
        <v>60</v>
      </c>
      <c r="D7788" s="30" t="s">
        <v>17</v>
      </c>
      <c r="E7788" s="30" t="s">
        <v>18</v>
      </c>
      <c r="F7788" s="30" t="s">
        <v>19</v>
      </c>
      <c r="G7788" s="30" t="s">
        <v>20</v>
      </c>
      <c r="H7788" s="32">
        <v>435</v>
      </c>
      <c r="I7788" s="30" t="s">
        <v>21</v>
      </c>
      <c r="J7788" s="41">
        <v>44453</v>
      </c>
      <c r="K7788" s="30" t="s">
        <v>22</v>
      </c>
    </row>
    <row r="7789" spans="1:11">
      <c r="A7789" s="33" t="s">
        <v>18054</v>
      </c>
      <c r="B7789" s="33" t="s">
        <v>18055</v>
      </c>
      <c r="C7789" s="33" t="s">
        <v>190</v>
      </c>
      <c r="D7789" s="33" t="s">
        <v>17</v>
      </c>
      <c r="E7789" s="33" t="s">
        <v>18</v>
      </c>
      <c r="F7789" s="33" t="s">
        <v>19</v>
      </c>
      <c r="G7789" s="33" t="s">
        <v>20</v>
      </c>
      <c r="H7789" s="35">
        <v>152</v>
      </c>
      <c r="I7789" s="33" t="s">
        <v>21</v>
      </c>
      <c r="J7789" s="42">
        <v>44511</v>
      </c>
      <c r="K7789" s="33" t="s">
        <v>22</v>
      </c>
    </row>
    <row r="7790" spans="1:11">
      <c r="A7790" s="30" t="s">
        <v>18056</v>
      </c>
      <c r="B7790" s="30" t="s">
        <v>18057</v>
      </c>
      <c r="C7790" s="30" t="s">
        <v>1598</v>
      </c>
      <c r="D7790" s="30" t="s">
        <v>17</v>
      </c>
      <c r="E7790" s="30" t="s">
        <v>26</v>
      </c>
      <c r="F7790" s="30" t="s">
        <v>27</v>
      </c>
      <c r="G7790" s="30" t="s">
        <v>106</v>
      </c>
      <c r="H7790" s="32">
        <v>1</v>
      </c>
      <c r="I7790" s="30" t="s">
        <v>21</v>
      </c>
      <c r="J7790" s="41">
        <v>44558</v>
      </c>
      <c r="K7790" s="30" t="s">
        <v>22</v>
      </c>
    </row>
    <row r="7791" spans="1:11">
      <c r="A7791" s="33" t="s">
        <v>18058</v>
      </c>
      <c r="B7791" s="33" t="s">
        <v>18059</v>
      </c>
      <c r="C7791" s="33" t="s">
        <v>1090</v>
      </c>
      <c r="D7791" s="33" t="s">
        <v>17</v>
      </c>
      <c r="E7791" s="33" t="s">
        <v>26</v>
      </c>
      <c r="F7791" s="33" t="s">
        <v>27</v>
      </c>
      <c r="G7791" s="33" t="s">
        <v>50</v>
      </c>
      <c r="H7791" s="35">
        <v>42</v>
      </c>
      <c r="I7791" s="33" t="s">
        <v>21</v>
      </c>
      <c r="J7791" s="42">
        <v>44354</v>
      </c>
      <c r="K7791" s="33" t="s">
        <v>22</v>
      </c>
    </row>
    <row r="7792" spans="1:11">
      <c r="A7792" s="30" t="s">
        <v>18060</v>
      </c>
      <c r="B7792" s="30" t="s">
        <v>18061</v>
      </c>
      <c r="C7792" s="30" t="s">
        <v>2313</v>
      </c>
      <c r="D7792" s="30" t="s">
        <v>17</v>
      </c>
      <c r="E7792" s="30" t="s">
        <v>26</v>
      </c>
      <c r="F7792" s="30" t="s">
        <v>27</v>
      </c>
      <c r="G7792" s="30" t="s">
        <v>20</v>
      </c>
      <c r="H7792" s="32">
        <v>16</v>
      </c>
      <c r="I7792" s="30" t="s">
        <v>21</v>
      </c>
      <c r="J7792" s="41">
        <v>44203</v>
      </c>
      <c r="K7792" s="30" t="s">
        <v>22</v>
      </c>
    </row>
    <row r="7793" spans="1:11">
      <c r="A7793" s="33" t="s">
        <v>18062</v>
      </c>
      <c r="B7793" s="33" t="s">
        <v>18063</v>
      </c>
      <c r="C7793" s="33" t="s">
        <v>3185</v>
      </c>
      <c r="D7793" s="33" t="s">
        <v>17</v>
      </c>
      <c r="E7793" s="33" t="s">
        <v>18</v>
      </c>
      <c r="F7793" s="33" t="s">
        <v>19</v>
      </c>
      <c r="G7793" s="33" t="s">
        <v>20</v>
      </c>
      <c r="H7793" s="35">
        <v>4036</v>
      </c>
      <c r="I7793" s="33" t="s">
        <v>21</v>
      </c>
      <c r="J7793" s="42">
        <v>44438</v>
      </c>
      <c r="K7793" s="33" t="s">
        <v>22</v>
      </c>
    </row>
    <row r="7794" spans="1:11">
      <c r="A7794" s="30" t="s">
        <v>18064</v>
      </c>
      <c r="B7794" s="30" t="s">
        <v>18065</v>
      </c>
      <c r="C7794" s="30" t="s">
        <v>18066</v>
      </c>
      <c r="D7794" s="30" t="s">
        <v>17</v>
      </c>
      <c r="E7794" s="30" t="s">
        <v>26</v>
      </c>
      <c r="F7794" s="30" t="s">
        <v>27</v>
      </c>
      <c r="G7794" s="30" t="s">
        <v>20</v>
      </c>
      <c r="H7794" s="32">
        <v>55</v>
      </c>
      <c r="I7794" s="30" t="s">
        <v>21</v>
      </c>
      <c r="J7794" s="41">
        <v>44341</v>
      </c>
      <c r="K7794" s="30" t="s">
        <v>22</v>
      </c>
    </row>
    <row r="7795" spans="1:11">
      <c r="A7795" s="33" t="s">
        <v>18067</v>
      </c>
      <c r="B7795" s="33" t="s">
        <v>18068</v>
      </c>
      <c r="C7795" s="33" t="s">
        <v>18069</v>
      </c>
      <c r="D7795" s="33" t="s">
        <v>17</v>
      </c>
      <c r="E7795" s="33" t="s">
        <v>45</v>
      </c>
      <c r="F7795" s="33" t="s">
        <v>46</v>
      </c>
      <c r="G7795" s="33" t="s">
        <v>106</v>
      </c>
      <c r="H7795" s="35">
        <v>121</v>
      </c>
      <c r="I7795" s="33" t="s">
        <v>21</v>
      </c>
      <c r="J7795" s="42">
        <v>44543</v>
      </c>
      <c r="K7795" s="33" t="s">
        <v>22</v>
      </c>
    </row>
    <row r="7796" spans="1:11">
      <c r="A7796" s="30" t="s">
        <v>18070</v>
      </c>
      <c r="B7796" s="30" t="s">
        <v>18071</v>
      </c>
      <c r="C7796" s="30" t="s">
        <v>2239</v>
      </c>
      <c r="D7796" s="30" t="s">
        <v>17</v>
      </c>
      <c r="E7796" s="30" t="s">
        <v>31</v>
      </c>
      <c r="F7796" s="30" t="s">
        <v>32</v>
      </c>
      <c r="G7796" s="30" t="s">
        <v>20</v>
      </c>
      <c r="H7796" s="32">
        <v>222</v>
      </c>
      <c r="I7796" s="30" t="s">
        <v>21</v>
      </c>
      <c r="J7796" s="41">
        <v>44351</v>
      </c>
      <c r="K7796" s="30" t="s">
        <v>22</v>
      </c>
    </row>
    <row r="7797" spans="1:11">
      <c r="A7797" s="33" t="s">
        <v>18072</v>
      </c>
      <c r="B7797" s="33" t="s">
        <v>18073</v>
      </c>
      <c r="C7797" s="33" t="s">
        <v>3665</v>
      </c>
      <c r="D7797" s="33" t="s">
        <v>17</v>
      </c>
      <c r="E7797" s="33" t="s">
        <v>31</v>
      </c>
      <c r="F7797" s="33" t="s">
        <v>32</v>
      </c>
      <c r="G7797" s="33" t="s">
        <v>50</v>
      </c>
      <c r="H7797" s="35">
        <v>78</v>
      </c>
      <c r="I7797" s="33" t="s">
        <v>51</v>
      </c>
      <c r="J7797" s="42">
        <v>44523</v>
      </c>
      <c r="K7797" s="33" t="s">
        <v>22</v>
      </c>
    </row>
    <row r="7798" spans="1:11">
      <c r="A7798" s="30" t="s">
        <v>18074</v>
      </c>
      <c r="B7798" s="30" t="s">
        <v>18075</v>
      </c>
      <c r="C7798" s="30" t="s">
        <v>480</v>
      </c>
      <c r="D7798" s="30" t="s">
        <v>17</v>
      </c>
      <c r="E7798" s="30" t="s">
        <v>67</v>
      </c>
      <c r="F7798" s="30" t="s">
        <v>68</v>
      </c>
      <c r="G7798" s="30" t="s">
        <v>50</v>
      </c>
      <c r="H7798" s="32">
        <v>98</v>
      </c>
      <c r="I7798" s="30" t="s">
        <v>51</v>
      </c>
      <c r="J7798" s="41">
        <v>44483</v>
      </c>
      <c r="K7798" s="30" t="s">
        <v>22</v>
      </c>
    </row>
    <row r="7799" spans="1:11">
      <c r="A7799" s="33" t="s">
        <v>18076</v>
      </c>
      <c r="B7799" s="33" t="s">
        <v>18077</v>
      </c>
      <c r="C7799" s="33" t="s">
        <v>252</v>
      </c>
      <c r="D7799" s="33" t="s">
        <v>17</v>
      </c>
      <c r="E7799" s="33" t="s">
        <v>67</v>
      </c>
      <c r="F7799" s="33" t="s">
        <v>68</v>
      </c>
      <c r="G7799" s="33" t="s">
        <v>106</v>
      </c>
      <c r="H7799" s="35">
        <v>8</v>
      </c>
      <c r="I7799" s="33" t="s">
        <v>21</v>
      </c>
      <c r="J7799" s="42">
        <v>44371</v>
      </c>
      <c r="K7799" s="33" t="s">
        <v>22</v>
      </c>
    </row>
    <row r="7800" spans="1:11">
      <c r="A7800" s="30" t="s">
        <v>18078</v>
      </c>
      <c r="B7800" s="30" t="s">
        <v>18079</v>
      </c>
      <c r="C7800" s="30" t="s">
        <v>11899</v>
      </c>
      <c r="D7800" s="30" t="s">
        <v>17</v>
      </c>
      <c r="E7800" s="30" t="s">
        <v>18</v>
      </c>
      <c r="F7800" s="30" t="s">
        <v>19</v>
      </c>
      <c r="G7800" s="30" t="s">
        <v>158</v>
      </c>
      <c r="H7800" s="32">
        <v>737</v>
      </c>
      <c r="I7800" s="30" t="s">
        <v>21</v>
      </c>
      <c r="J7800" s="41">
        <v>44536</v>
      </c>
      <c r="K7800" s="30" t="s">
        <v>22</v>
      </c>
    </row>
    <row r="7801" spans="1:11">
      <c r="A7801" s="33" t="s">
        <v>18080</v>
      </c>
      <c r="B7801" s="33" t="s">
        <v>18081</v>
      </c>
      <c r="C7801" s="33" t="s">
        <v>10199</v>
      </c>
      <c r="D7801" s="33" t="s">
        <v>17</v>
      </c>
      <c r="E7801" s="33" t="s">
        <v>67</v>
      </c>
      <c r="F7801" s="33" t="s">
        <v>68</v>
      </c>
      <c r="G7801" s="33" t="s">
        <v>158</v>
      </c>
      <c r="H7801" s="35">
        <v>160</v>
      </c>
      <c r="I7801" s="33" t="s">
        <v>51</v>
      </c>
      <c r="J7801" s="42">
        <v>44281</v>
      </c>
      <c r="K7801" s="33" t="s">
        <v>22</v>
      </c>
    </row>
    <row r="7802" spans="1:11">
      <c r="A7802" s="30" t="s">
        <v>18082</v>
      </c>
      <c r="B7802" s="30" t="s">
        <v>18083</v>
      </c>
      <c r="C7802" s="30" t="s">
        <v>18084</v>
      </c>
      <c r="D7802" s="30" t="s">
        <v>17</v>
      </c>
      <c r="E7802" s="30" t="s">
        <v>26</v>
      </c>
      <c r="F7802" s="30" t="s">
        <v>27</v>
      </c>
      <c r="G7802" s="30" t="s">
        <v>112</v>
      </c>
      <c r="H7802" s="32">
        <v>0</v>
      </c>
      <c r="I7802" s="30" t="s">
        <v>21</v>
      </c>
      <c r="J7802" s="41">
        <v>44470</v>
      </c>
      <c r="K7802" s="30" t="s">
        <v>22</v>
      </c>
    </row>
    <row r="7803" spans="1:11">
      <c r="A7803" s="33" t="s">
        <v>18085</v>
      </c>
      <c r="B7803" s="33" t="s">
        <v>18086</v>
      </c>
      <c r="C7803" s="33" t="s">
        <v>18087</v>
      </c>
      <c r="D7803" s="33" t="s">
        <v>17</v>
      </c>
      <c r="E7803" s="33" t="s">
        <v>26</v>
      </c>
      <c r="F7803" s="33" t="s">
        <v>27</v>
      </c>
      <c r="G7803" s="33" t="s">
        <v>50</v>
      </c>
      <c r="H7803" s="35">
        <v>26</v>
      </c>
      <c r="I7803" s="33" t="s">
        <v>51</v>
      </c>
      <c r="J7803" s="42">
        <v>44329</v>
      </c>
      <c r="K7803" s="33" t="s">
        <v>22</v>
      </c>
    </row>
    <row r="7804" spans="1:11">
      <c r="A7804" s="30" t="s">
        <v>18088</v>
      </c>
      <c r="B7804" s="30" t="s">
        <v>18089</v>
      </c>
      <c r="C7804" s="30" t="s">
        <v>14176</v>
      </c>
      <c r="D7804" s="30" t="s">
        <v>17</v>
      </c>
      <c r="E7804" s="30" t="s">
        <v>18</v>
      </c>
      <c r="F7804" s="30" t="s">
        <v>19</v>
      </c>
      <c r="G7804" s="30" t="s">
        <v>20</v>
      </c>
      <c r="H7804" s="32">
        <v>2530</v>
      </c>
      <c r="I7804" s="30" t="s">
        <v>21</v>
      </c>
      <c r="J7804" s="41">
        <v>44545</v>
      </c>
      <c r="K7804" s="30" t="s">
        <v>22</v>
      </c>
    </row>
    <row r="7805" spans="1:11">
      <c r="A7805" s="33" t="s">
        <v>18090</v>
      </c>
      <c r="B7805" s="33" t="s">
        <v>18091</v>
      </c>
      <c r="C7805" s="33" t="s">
        <v>15795</v>
      </c>
      <c r="D7805" s="33" t="s">
        <v>17</v>
      </c>
      <c r="E7805" s="33" t="s">
        <v>18</v>
      </c>
      <c r="F7805" s="33" t="s">
        <v>19</v>
      </c>
      <c r="G7805" s="33" t="s">
        <v>50</v>
      </c>
      <c r="H7805" s="35">
        <v>340</v>
      </c>
      <c r="I7805" s="33" t="s">
        <v>51</v>
      </c>
      <c r="J7805" s="42">
        <v>44378</v>
      </c>
      <c r="K7805" s="33" t="s">
        <v>22</v>
      </c>
    </row>
    <row r="7806" spans="1:11">
      <c r="A7806" s="30" t="s">
        <v>18092</v>
      </c>
      <c r="B7806" s="30" t="s">
        <v>18093</v>
      </c>
      <c r="C7806" s="30" t="s">
        <v>130</v>
      </c>
      <c r="D7806" s="30" t="s">
        <v>17</v>
      </c>
      <c r="E7806" s="30" t="s">
        <v>67</v>
      </c>
      <c r="F7806" s="30" t="s">
        <v>68</v>
      </c>
      <c r="G7806" s="30" t="s">
        <v>106</v>
      </c>
      <c r="H7806" s="32">
        <v>22</v>
      </c>
      <c r="I7806" s="30" t="s">
        <v>21</v>
      </c>
      <c r="J7806" s="41">
        <v>44427</v>
      </c>
      <c r="K7806" s="30" t="s">
        <v>22</v>
      </c>
    </row>
    <row r="7807" spans="1:11">
      <c r="A7807" s="33" t="s">
        <v>18094</v>
      </c>
      <c r="B7807" s="33" t="s">
        <v>18095</v>
      </c>
      <c r="C7807" s="33" t="s">
        <v>93</v>
      </c>
      <c r="D7807" s="33" t="s">
        <v>17</v>
      </c>
      <c r="E7807" s="33" t="s">
        <v>212</v>
      </c>
      <c r="F7807" s="33" t="s">
        <v>213</v>
      </c>
      <c r="G7807" s="33" t="s">
        <v>20</v>
      </c>
      <c r="H7807" s="35">
        <v>352</v>
      </c>
      <c r="I7807" s="33" t="s">
        <v>21</v>
      </c>
      <c r="J7807" s="42">
        <v>44356</v>
      </c>
      <c r="K7807" s="33" t="s">
        <v>22</v>
      </c>
    </row>
    <row r="7808" spans="1:11">
      <c r="A7808" s="30" t="s">
        <v>18096</v>
      </c>
      <c r="B7808" s="30" t="s">
        <v>18097</v>
      </c>
      <c r="C7808" s="30" t="s">
        <v>1042</v>
      </c>
      <c r="D7808" s="30" t="s">
        <v>17</v>
      </c>
      <c r="E7808" s="30" t="s">
        <v>67</v>
      </c>
      <c r="F7808" s="30" t="s">
        <v>68</v>
      </c>
      <c r="G7808" s="30" t="s">
        <v>20</v>
      </c>
      <c r="H7808" s="32">
        <v>26</v>
      </c>
      <c r="I7808" s="30" t="s">
        <v>21</v>
      </c>
      <c r="J7808" s="41">
        <v>44515</v>
      </c>
      <c r="K7808" s="30" t="s">
        <v>22</v>
      </c>
    </row>
    <row r="7809" spans="1:11">
      <c r="A7809" s="33" t="s">
        <v>18098</v>
      </c>
      <c r="B7809" s="33" t="s">
        <v>18099</v>
      </c>
      <c r="C7809" s="33" t="s">
        <v>310</v>
      </c>
      <c r="D7809" s="33" t="s">
        <v>17</v>
      </c>
      <c r="E7809" s="33" t="s">
        <v>18</v>
      </c>
      <c r="F7809" s="33" t="s">
        <v>19</v>
      </c>
      <c r="G7809" s="33" t="s">
        <v>20</v>
      </c>
      <c r="H7809" s="35">
        <v>529</v>
      </c>
      <c r="I7809" s="33" t="s">
        <v>21</v>
      </c>
      <c r="J7809" s="42">
        <v>44271</v>
      </c>
      <c r="K7809" s="33" t="s">
        <v>22</v>
      </c>
    </row>
    <row r="7810" spans="1:11">
      <c r="A7810" s="30" t="s">
        <v>18100</v>
      </c>
      <c r="B7810" s="30" t="s">
        <v>18101</v>
      </c>
      <c r="C7810" s="30" t="s">
        <v>432</v>
      </c>
      <c r="D7810" s="30" t="s">
        <v>17</v>
      </c>
      <c r="E7810" s="30" t="s">
        <v>26</v>
      </c>
      <c r="F7810" s="30" t="s">
        <v>27</v>
      </c>
      <c r="G7810" s="30" t="s">
        <v>50</v>
      </c>
      <c r="H7810" s="32">
        <v>50</v>
      </c>
      <c r="I7810" s="30" t="s">
        <v>51</v>
      </c>
      <c r="J7810" s="41">
        <v>44421</v>
      </c>
      <c r="K7810" s="30" t="s">
        <v>22</v>
      </c>
    </row>
    <row r="7811" spans="1:11">
      <c r="A7811" s="33" t="s">
        <v>18102</v>
      </c>
      <c r="B7811" s="33" t="s">
        <v>18103</v>
      </c>
      <c r="C7811" s="33" t="s">
        <v>10661</v>
      </c>
      <c r="D7811" s="33" t="s">
        <v>17</v>
      </c>
      <c r="E7811" s="33" t="s">
        <v>26</v>
      </c>
      <c r="F7811" s="33" t="s">
        <v>27</v>
      </c>
      <c r="G7811" s="33" t="s">
        <v>106</v>
      </c>
      <c r="H7811" s="35">
        <v>2</v>
      </c>
      <c r="I7811" s="33" t="s">
        <v>21</v>
      </c>
      <c r="J7811" s="42">
        <v>44348</v>
      </c>
      <c r="K7811" s="33" t="s">
        <v>22</v>
      </c>
    </row>
    <row r="7812" spans="1:11">
      <c r="A7812" s="30" t="s">
        <v>18104</v>
      </c>
      <c r="B7812" s="30" t="s">
        <v>18105</v>
      </c>
      <c r="C7812" s="30" t="s">
        <v>1090</v>
      </c>
      <c r="D7812" s="30" t="s">
        <v>17</v>
      </c>
      <c r="E7812" s="30" t="s">
        <v>26</v>
      </c>
      <c r="F7812" s="30" t="s">
        <v>27</v>
      </c>
      <c r="G7812" s="30" t="s">
        <v>20</v>
      </c>
      <c r="H7812" s="32">
        <v>45</v>
      </c>
      <c r="I7812" s="30" t="s">
        <v>21</v>
      </c>
      <c r="J7812" s="41">
        <v>44378</v>
      </c>
      <c r="K7812" s="30" t="s">
        <v>22</v>
      </c>
    </row>
    <row r="7813" spans="1:11">
      <c r="A7813" s="33" t="s">
        <v>18106</v>
      </c>
      <c r="B7813" s="33" t="s">
        <v>18107</v>
      </c>
      <c r="C7813" s="33" t="s">
        <v>3647</v>
      </c>
      <c r="D7813" s="33" t="s">
        <v>17</v>
      </c>
      <c r="E7813" s="33" t="s">
        <v>18</v>
      </c>
      <c r="F7813" s="33" t="s">
        <v>19</v>
      </c>
      <c r="G7813" s="33" t="s">
        <v>20</v>
      </c>
      <c r="H7813" s="35">
        <v>25</v>
      </c>
      <c r="I7813" s="33" t="s">
        <v>21</v>
      </c>
      <c r="J7813" s="42">
        <v>44334</v>
      </c>
      <c r="K7813" s="33" t="s">
        <v>22</v>
      </c>
    </row>
    <row r="7814" spans="1:11">
      <c r="A7814" s="30" t="s">
        <v>18108</v>
      </c>
      <c r="B7814" s="30" t="s">
        <v>18109</v>
      </c>
      <c r="C7814" s="30" t="s">
        <v>10855</v>
      </c>
      <c r="D7814" s="30" t="s">
        <v>17</v>
      </c>
      <c r="E7814" s="30" t="s">
        <v>31</v>
      </c>
      <c r="F7814" s="30" t="s">
        <v>32</v>
      </c>
      <c r="G7814" s="30" t="s">
        <v>20</v>
      </c>
      <c r="H7814" s="32">
        <v>33</v>
      </c>
      <c r="I7814" s="30" t="s">
        <v>21</v>
      </c>
      <c r="J7814" s="41">
        <v>44530</v>
      </c>
      <c r="K7814" s="30" t="s">
        <v>22</v>
      </c>
    </row>
    <row r="7815" spans="1:11">
      <c r="A7815" s="33" t="s">
        <v>18110</v>
      </c>
      <c r="B7815" s="33" t="s">
        <v>18111</v>
      </c>
      <c r="C7815" s="33" t="s">
        <v>18112</v>
      </c>
      <c r="D7815" s="33" t="s">
        <v>17</v>
      </c>
      <c r="E7815" s="33" t="s">
        <v>212</v>
      </c>
      <c r="F7815" s="33" t="s">
        <v>213</v>
      </c>
      <c r="G7815" s="33" t="s">
        <v>50</v>
      </c>
      <c r="H7815" s="35">
        <v>450</v>
      </c>
      <c r="I7815" s="33" t="s">
        <v>51</v>
      </c>
      <c r="J7815" s="42">
        <v>44363</v>
      </c>
      <c r="K7815" s="33" t="s">
        <v>22</v>
      </c>
    </row>
    <row r="7816" spans="1:11">
      <c r="A7816" s="30" t="s">
        <v>18113</v>
      </c>
      <c r="B7816" s="30" t="s">
        <v>18114</v>
      </c>
      <c r="C7816" s="30" t="s">
        <v>7110</v>
      </c>
      <c r="D7816" s="30" t="s">
        <v>17</v>
      </c>
      <c r="E7816" s="30" t="s">
        <v>31</v>
      </c>
      <c r="F7816" s="30" t="s">
        <v>32</v>
      </c>
      <c r="G7816" s="30" t="s">
        <v>20</v>
      </c>
      <c r="H7816" s="32">
        <v>215</v>
      </c>
      <c r="I7816" s="30" t="s">
        <v>21</v>
      </c>
      <c r="J7816" s="41">
        <v>44258</v>
      </c>
      <c r="K7816" s="30" t="s">
        <v>22</v>
      </c>
    </row>
    <row r="7817" spans="1:11">
      <c r="A7817" s="33" t="s">
        <v>18115</v>
      </c>
      <c r="B7817" s="33" t="s">
        <v>18116</v>
      </c>
      <c r="C7817" s="33" t="s">
        <v>1210</v>
      </c>
      <c r="D7817" s="33" t="s">
        <v>17</v>
      </c>
      <c r="E7817" s="33" t="s">
        <v>31</v>
      </c>
      <c r="F7817" s="33" t="s">
        <v>32</v>
      </c>
      <c r="G7817" s="33" t="s">
        <v>158</v>
      </c>
      <c r="H7817" s="35">
        <v>119</v>
      </c>
      <c r="I7817" s="33" t="s">
        <v>21</v>
      </c>
      <c r="J7817" s="42">
        <v>44559</v>
      </c>
      <c r="K7817" s="33" t="s">
        <v>22</v>
      </c>
    </row>
    <row r="7818" spans="1:11">
      <c r="A7818" s="30" t="s">
        <v>18117</v>
      </c>
      <c r="B7818" s="30" t="s">
        <v>18118</v>
      </c>
      <c r="C7818" s="30" t="s">
        <v>3315</v>
      </c>
      <c r="D7818" s="30" t="s">
        <v>17</v>
      </c>
      <c r="E7818" s="30" t="s">
        <v>26</v>
      </c>
      <c r="F7818" s="30" t="s">
        <v>27</v>
      </c>
      <c r="G7818" s="30" t="s">
        <v>106</v>
      </c>
      <c r="H7818" s="32">
        <v>4</v>
      </c>
      <c r="I7818" s="30" t="s">
        <v>21</v>
      </c>
      <c r="J7818" s="41">
        <v>44459</v>
      </c>
      <c r="K7818" s="30" t="s">
        <v>22</v>
      </c>
    </row>
    <row r="7819" spans="1:11">
      <c r="A7819" s="33" t="s">
        <v>18119</v>
      </c>
      <c r="B7819" s="33" t="s">
        <v>18120</v>
      </c>
      <c r="C7819" s="33" t="s">
        <v>96</v>
      </c>
      <c r="D7819" s="33" t="s">
        <v>17</v>
      </c>
      <c r="E7819" s="33" t="s">
        <v>26</v>
      </c>
      <c r="F7819" s="33" t="s">
        <v>27</v>
      </c>
      <c r="G7819" s="33" t="s">
        <v>20</v>
      </c>
      <c r="H7819" s="35">
        <v>25</v>
      </c>
      <c r="I7819" s="33" t="s">
        <v>21</v>
      </c>
      <c r="J7819" s="42">
        <v>44302</v>
      </c>
      <c r="K7819" s="33" t="s">
        <v>22</v>
      </c>
    </row>
    <row r="7820" spans="1:11">
      <c r="A7820" s="30" t="s">
        <v>18121</v>
      </c>
      <c r="B7820" s="30" t="s">
        <v>18122</v>
      </c>
      <c r="C7820" s="30" t="s">
        <v>18123</v>
      </c>
      <c r="D7820" s="30" t="s">
        <v>17</v>
      </c>
      <c r="E7820" s="30" t="s">
        <v>26</v>
      </c>
      <c r="F7820" s="30" t="s">
        <v>27</v>
      </c>
      <c r="G7820" s="30" t="s">
        <v>20</v>
      </c>
      <c r="H7820" s="32">
        <v>64</v>
      </c>
      <c r="I7820" s="30" t="s">
        <v>21</v>
      </c>
      <c r="J7820" s="41">
        <v>44517</v>
      </c>
      <c r="K7820" s="30" t="s">
        <v>22</v>
      </c>
    </row>
    <row r="7821" spans="1:11">
      <c r="A7821" s="33" t="s">
        <v>18124</v>
      </c>
      <c r="B7821" s="33" t="s">
        <v>18125</v>
      </c>
      <c r="C7821" s="33" t="s">
        <v>5043</v>
      </c>
      <c r="D7821" s="33" t="s">
        <v>17</v>
      </c>
      <c r="E7821" s="33" t="s">
        <v>18</v>
      </c>
      <c r="F7821" s="33" t="s">
        <v>19</v>
      </c>
      <c r="G7821" s="33" t="s">
        <v>158</v>
      </c>
      <c r="H7821" s="35">
        <v>296</v>
      </c>
      <c r="I7821" s="33" t="s">
        <v>21</v>
      </c>
      <c r="J7821" s="42">
        <v>44540</v>
      </c>
      <c r="K7821" s="33" t="s">
        <v>22</v>
      </c>
    </row>
    <row r="7822" spans="1:11">
      <c r="A7822" s="30" t="s">
        <v>18126</v>
      </c>
      <c r="B7822" s="30" t="s">
        <v>18127</v>
      </c>
      <c r="C7822" s="30" t="s">
        <v>5352</v>
      </c>
      <c r="D7822" s="30" t="s">
        <v>17</v>
      </c>
      <c r="E7822" s="30" t="s">
        <v>31</v>
      </c>
      <c r="F7822" s="30" t="s">
        <v>32</v>
      </c>
      <c r="G7822" s="30" t="s">
        <v>106</v>
      </c>
      <c r="H7822" s="32">
        <v>41</v>
      </c>
      <c r="I7822" s="30" t="s">
        <v>21</v>
      </c>
      <c r="J7822" s="41">
        <v>44524</v>
      </c>
      <c r="K7822" s="30" t="s">
        <v>22</v>
      </c>
    </row>
    <row r="7823" spans="1:11">
      <c r="A7823" s="33" t="s">
        <v>18128</v>
      </c>
      <c r="B7823" s="33" t="s">
        <v>18129</v>
      </c>
      <c r="C7823" s="33" t="s">
        <v>382</v>
      </c>
      <c r="D7823" s="33" t="s">
        <v>17</v>
      </c>
      <c r="E7823" s="33" t="s">
        <v>26</v>
      </c>
      <c r="F7823" s="33" t="s">
        <v>27</v>
      </c>
      <c r="G7823" s="33" t="s">
        <v>20</v>
      </c>
      <c r="H7823" s="35">
        <v>92</v>
      </c>
      <c r="I7823" s="33" t="s">
        <v>21</v>
      </c>
      <c r="J7823" s="42">
        <v>44252</v>
      </c>
      <c r="K7823" s="33" t="s">
        <v>22</v>
      </c>
    </row>
    <row r="7824" spans="1:11">
      <c r="A7824" s="30" t="s">
        <v>18130</v>
      </c>
      <c r="B7824" s="30" t="s">
        <v>18131</v>
      </c>
      <c r="C7824" s="30" t="s">
        <v>18132</v>
      </c>
      <c r="D7824" s="30" t="s">
        <v>17</v>
      </c>
      <c r="E7824" s="30" t="s">
        <v>31</v>
      </c>
      <c r="F7824" s="30" t="s">
        <v>32</v>
      </c>
      <c r="G7824" s="30" t="s">
        <v>112</v>
      </c>
      <c r="H7824" s="32">
        <v>0</v>
      </c>
      <c r="I7824" s="30" t="s">
        <v>21</v>
      </c>
      <c r="J7824" s="41">
        <v>44543</v>
      </c>
      <c r="K7824" s="30" t="s">
        <v>22</v>
      </c>
    </row>
    <row r="7825" spans="1:11">
      <c r="A7825" s="33" t="s">
        <v>18133</v>
      </c>
      <c r="B7825" s="33" t="s">
        <v>18134</v>
      </c>
      <c r="C7825" s="33" t="s">
        <v>2802</v>
      </c>
      <c r="D7825" s="33" t="s">
        <v>17</v>
      </c>
      <c r="E7825" s="33" t="s">
        <v>67</v>
      </c>
      <c r="F7825" s="33" t="s">
        <v>68</v>
      </c>
      <c r="G7825" s="33" t="s">
        <v>50</v>
      </c>
      <c r="H7825" s="35">
        <v>14</v>
      </c>
      <c r="I7825" s="33" t="s">
        <v>51</v>
      </c>
      <c r="J7825" s="42">
        <v>44413</v>
      </c>
      <c r="K7825" s="33" t="s">
        <v>22</v>
      </c>
    </row>
    <row r="7826" spans="1:11">
      <c r="A7826" s="30" t="s">
        <v>18135</v>
      </c>
      <c r="B7826" s="30" t="s">
        <v>18136</v>
      </c>
      <c r="C7826" s="30" t="s">
        <v>13774</v>
      </c>
      <c r="D7826" s="30" t="s">
        <v>17</v>
      </c>
      <c r="E7826" s="30" t="s">
        <v>31</v>
      </c>
      <c r="F7826" s="30" t="s">
        <v>32</v>
      </c>
      <c r="G7826" s="30" t="s">
        <v>106</v>
      </c>
      <c r="H7826" s="32">
        <v>27</v>
      </c>
      <c r="I7826" s="30" t="s">
        <v>21</v>
      </c>
      <c r="J7826" s="41">
        <v>44321</v>
      </c>
      <c r="K7826" s="30" t="s">
        <v>22</v>
      </c>
    </row>
    <row r="7827" spans="1:11">
      <c r="A7827" s="33" t="s">
        <v>18137</v>
      </c>
      <c r="B7827" s="33" t="s">
        <v>18138</v>
      </c>
      <c r="C7827" s="33" t="s">
        <v>7571</v>
      </c>
      <c r="D7827" s="33" t="s">
        <v>17</v>
      </c>
      <c r="E7827" s="33" t="s">
        <v>212</v>
      </c>
      <c r="F7827" s="33" t="s">
        <v>213</v>
      </c>
      <c r="G7827" s="33" t="s">
        <v>106</v>
      </c>
      <c r="H7827" s="35">
        <v>40</v>
      </c>
      <c r="I7827" s="33" t="s">
        <v>21</v>
      </c>
      <c r="J7827" s="42">
        <v>44515</v>
      </c>
      <c r="K7827" s="33" t="s">
        <v>22</v>
      </c>
    </row>
    <row r="7828" spans="1:11">
      <c r="A7828" s="30" t="s">
        <v>18139</v>
      </c>
      <c r="B7828" s="30" t="s">
        <v>18140</v>
      </c>
      <c r="C7828" s="30" t="s">
        <v>18141</v>
      </c>
      <c r="D7828" s="30" t="s">
        <v>17</v>
      </c>
      <c r="E7828" s="30" t="s">
        <v>26</v>
      </c>
      <c r="F7828" s="30" t="s">
        <v>27</v>
      </c>
      <c r="G7828" s="30" t="s">
        <v>20</v>
      </c>
      <c r="H7828" s="32">
        <v>35</v>
      </c>
      <c r="I7828" s="30" t="s">
        <v>21</v>
      </c>
      <c r="J7828" s="41">
        <v>44470</v>
      </c>
      <c r="K7828" s="30" t="s">
        <v>22</v>
      </c>
    </row>
    <row r="7829" spans="1:11">
      <c r="A7829" s="33" t="s">
        <v>18142</v>
      </c>
      <c r="B7829" s="33" t="s">
        <v>18143</v>
      </c>
      <c r="C7829" s="33" t="s">
        <v>15700</v>
      </c>
      <c r="D7829" s="33" t="s">
        <v>17</v>
      </c>
      <c r="E7829" s="33" t="s">
        <v>18</v>
      </c>
      <c r="F7829" s="33" t="s">
        <v>19</v>
      </c>
      <c r="G7829" s="33" t="s">
        <v>106</v>
      </c>
      <c r="H7829" s="35">
        <v>998</v>
      </c>
      <c r="I7829" s="33" t="s">
        <v>21</v>
      </c>
      <c r="J7829" s="42">
        <v>44267</v>
      </c>
      <c r="K7829" s="33" t="s">
        <v>22</v>
      </c>
    </row>
    <row r="7830" spans="1:11">
      <c r="A7830" s="30" t="s">
        <v>18144</v>
      </c>
      <c r="B7830" s="30" t="s">
        <v>18145</v>
      </c>
      <c r="C7830" s="30" t="s">
        <v>2772</v>
      </c>
      <c r="D7830" s="30" t="s">
        <v>17</v>
      </c>
      <c r="E7830" s="30" t="s">
        <v>26</v>
      </c>
      <c r="F7830" s="30" t="s">
        <v>27</v>
      </c>
      <c r="G7830" s="30" t="s">
        <v>50</v>
      </c>
      <c r="H7830" s="32">
        <v>24</v>
      </c>
      <c r="I7830" s="30" t="s">
        <v>51</v>
      </c>
      <c r="J7830" s="41">
        <v>44529</v>
      </c>
      <c r="K7830" s="30" t="s">
        <v>22</v>
      </c>
    </row>
    <row r="7831" spans="1:11">
      <c r="A7831" s="33" t="s">
        <v>18146</v>
      </c>
      <c r="B7831" s="33" t="s">
        <v>18147</v>
      </c>
      <c r="C7831" s="33" t="s">
        <v>5229</v>
      </c>
      <c r="D7831" s="33" t="s">
        <v>17</v>
      </c>
      <c r="E7831" s="33" t="s">
        <v>26</v>
      </c>
      <c r="F7831" s="33" t="s">
        <v>27</v>
      </c>
      <c r="G7831" s="33" t="s">
        <v>50</v>
      </c>
      <c r="H7831" s="35">
        <v>24</v>
      </c>
      <c r="I7831" s="33" t="s">
        <v>51</v>
      </c>
      <c r="J7831" s="42">
        <v>44264</v>
      </c>
      <c r="K7831" s="33" t="s">
        <v>22</v>
      </c>
    </row>
    <row r="7832" spans="1:11">
      <c r="A7832" s="30" t="s">
        <v>18148</v>
      </c>
      <c r="B7832" s="30" t="s">
        <v>18149</v>
      </c>
      <c r="C7832" s="30" t="s">
        <v>13050</v>
      </c>
      <c r="D7832" s="30" t="s">
        <v>17</v>
      </c>
      <c r="E7832" s="30" t="s">
        <v>67</v>
      </c>
      <c r="F7832" s="30" t="s">
        <v>68</v>
      </c>
      <c r="G7832" s="30" t="s">
        <v>50</v>
      </c>
      <c r="H7832" s="32">
        <v>97</v>
      </c>
      <c r="I7832" s="30" t="s">
        <v>51</v>
      </c>
      <c r="J7832" s="41">
        <v>44383</v>
      </c>
      <c r="K7832" s="30" t="s">
        <v>22</v>
      </c>
    </row>
    <row r="7833" spans="1:11">
      <c r="A7833" s="33" t="s">
        <v>18150</v>
      </c>
      <c r="B7833" s="33" t="s">
        <v>18151</v>
      </c>
      <c r="C7833" s="33" t="s">
        <v>96</v>
      </c>
      <c r="D7833" s="33" t="s">
        <v>17</v>
      </c>
      <c r="E7833" s="33" t="s">
        <v>45</v>
      </c>
      <c r="F7833" s="33" t="s">
        <v>46</v>
      </c>
      <c r="G7833" s="33" t="s">
        <v>106</v>
      </c>
      <c r="H7833" s="35">
        <v>1753</v>
      </c>
      <c r="I7833" s="33" t="s">
        <v>21</v>
      </c>
      <c r="J7833" s="42">
        <v>44281</v>
      </c>
      <c r="K7833" s="33" t="s">
        <v>22</v>
      </c>
    </row>
    <row r="7834" spans="1:11">
      <c r="A7834" s="30" t="s">
        <v>18152</v>
      </c>
      <c r="B7834" s="30" t="s">
        <v>18153</v>
      </c>
      <c r="C7834" s="30" t="s">
        <v>647</v>
      </c>
      <c r="D7834" s="30" t="s">
        <v>17</v>
      </c>
      <c r="E7834" s="30" t="s">
        <v>18</v>
      </c>
      <c r="F7834" s="30" t="s">
        <v>19</v>
      </c>
      <c r="G7834" s="30" t="s">
        <v>158</v>
      </c>
      <c r="H7834" s="32">
        <v>531</v>
      </c>
      <c r="I7834" s="30" t="s">
        <v>21</v>
      </c>
      <c r="J7834" s="41">
        <v>44413</v>
      </c>
      <c r="K7834" s="30" t="s">
        <v>22</v>
      </c>
    </row>
    <row r="7835" spans="1:11">
      <c r="A7835" s="33" t="s">
        <v>18154</v>
      </c>
      <c r="B7835" s="33" t="s">
        <v>18155</v>
      </c>
      <c r="C7835" s="33" t="s">
        <v>15335</v>
      </c>
      <c r="D7835" s="33" t="s">
        <v>17</v>
      </c>
      <c r="E7835" s="33" t="s">
        <v>45</v>
      </c>
      <c r="F7835" s="33" t="s">
        <v>46</v>
      </c>
      <c r="G7835" s="33" t="s">
        <v>106</v>
      </c>
      <c r="H7835" s="35">
        <v>399</v>
      </c>
      <c r="I7835" s="33" t="s">
        <v>21</v>
      </c>
      <c r="J7835" s="42">
        <v>44403</v>
      </c>
      <c r="K7835" s="33" t="s">
        <v>22</v>
      </c>
    </row>
    <row r="7836" spans="1:11">
      <c r="A7836" s="30" t="s">
        <v>18156</v>
      </c>
      <c r="B7836" s="30" t="s">
        <v>18157</v>
      </c>
      <c r="C7836" s="30" t="s">
        <v>102</v>
      </c>
      <c r="D7836" s="30" t="s">
        <v>17</v>
      </c>
      <c r="E7836" s="30" t="s">
        <v>31</v>
      </c>
      <c r="F7836" s="30" t="s">
        <v>32</v>
      </c>
      <c r="G7836" s="30" t="s">
        <v>112</v>
      </c>
      <c r="H7836" s="32">
        <v>0</v>
      </c>
      <c r="I7836" s="30" t="s">
        <v>21</v>
      </c>
      <c r="J7836" s="41">
        <v>44322</v>
      </c>
      <c r="K7836" s="30" t="s">
        <v>22</v>
      </c>
    </row>
    <row r="7837" spans="1:11">
      <c r="A7837" s="33" t="s">
        <v>18158</v>
      </c>
      <c r="B7837" s="33" t="s">
        <v>18159</v>
      </c>
      <c r="C7837" s="33" t="s">
        <v>96</v>
      </c>
      <c r="D7837" s="33" t="s">
        <v>17</v>
      </c>
      <c r="E7837" s="33" t="s">
        <v>31</v>
      </c>
      <c r="F7837" s="33" t="s">
        <v>32</v>
      </c>
      <c r="G7837" s="33" t="s">
        <v>20</v>
      </c>
      <c r="H7837" s="35">
        <v>151</v>
      </c>
      <c r="I7837" s="33" t="s">
        <v>21</v>
      </c>
      <c r="J7837" s="42">
        <v>44202</v>
      </c>
      <c r="K7837" s="33" t="s">
        <v>22</v>
      </c>
    </row>
    <row r="7838" spans="1:11">
      <c r="A7838" s="30" t="s">
        <v>18160</v>
      </c>
      <c r="B7838" s="30" t="s">
        <v>18161</v>
      </c>
      <c r="C7838" s="30" t="s">
        <v>18162</v>
      </c>
      <c r="D7838" s="30" t="s">
        <v>17</v>
      </c>
      <c r="E7838" s="30" t="s">
        <v>26</v>
      </c>
      <c r="F7838" s="30" t="s">
        <v>27</v>
      </c>
      <c r="G7838" s="30" t="s">
        <v>20</v>
      </c>
      <c r="H7838" s="32">
        <v>44</v>
      </c>
      <c r="I7838" s="30" t="s">
        <v>21</v>
      </c>
      <c r="J7838" s="41">
        <v>44505</v>
      </c>
      <c r="K7838" s="30" t="s">
        <v>22</v>
      </c>
    </row>
    <row r="7839" spans="1:11">
      <c r="A7839" s="33" t="s">
        <v>18163</v>
      </c>
      <c r="B7839" s="33" t="s">
        <v>18164</v>
      </c>
      <c r="C7839" s="33" t="s">
        <v>1862</v>
      </c>
      <c r="D7839" s="33" t="s">
        <v>17</v>
      </c>
      <c r="E7839" s="33" t="s">
        <v>212</v>
      </c>
      <c r="F7839" s="33" t="s">
        <v>213</v>
      </c>
      <c r="G7839" s="33" t="s">
        <v>20</v>
      </c>
      <c r="H7839" s="35">
        <v>12</v>
      </c>
      <c r="I7839" s="33" t="s">
        <v>21</v>
      </c>
      <c r="J7839" s="42">
        <v>44497</v>
      </c>
      <c r="K7839" s="33" t="s">
        <v>22</v>
      </c>
    </row>
    <row r="7840" spans="1:11">
      <c r="A7840" s="30" t="s">
        <v>18165</v>
      </c>
      <c r="B7840" s="30" t="s">
        <v>18166</v>
      </c>
      <c r="C7840" s="30" t="s">
        <v>18167</v>
      </c>
      <c r="D7840" s="30" t="s">
        <v>17</v>
      </c>
      <c r="E7840" s="30" t="s">
        <v>26</v>
      </c>
      <c r="F7840" s="30" t="s">
        <v>27</v>
      </c>
      <c r="G7840" s="30" t="s">
        <v>20</v>
      </c>
      <c r="H7840" s="32">
        <v>22</v>
      </c>
      <c r="I7840" s="30" t="s">
        <v>21</v>
      </c>
      <c r="J7840" s="41">
        <v>44544</v>
      </c>
      <c r="K7840" s="30" t="s">
        <v>22</v>
      </c>
    </row>
    <row r="7841" spans="1:11">
      <c r="A7841" s="33" t="s">
        <v>18168</v>
      </c>
      <c r="B7841" s="33" t="s">
        <v>18169</v>
      </c>
      <c r="C7841" s="33" t="s">
        <v>203</v>
      </c>
      <c r="D7841" s="33" t="s">
        <v>17</v>
      </c>
      <c r="E7841" s="33" t="s">
        <v>212</v>
      </c>
      <c r="F7841" s="33" t="s">
        <v>213</v>
      </c>
      <c r="G7841" s="33" t="s">
        <v>20</v>
      </c>
      <c r="H7841" s="35">
        <v>570</v>
      </c>
      <c r="I7841" s="33" t="s">
        <v>21</v>
      </c>
      <c r="J7841" s="42">
        <v>44336</v>
      </c>
      <c r="K7841" s="33" t="s">
        <v>22</v>
      </c>
    </row>
    <row r="7842" spans="1:11">
      <c r="A7842" s="30" t="s">
        <v>18170</v>
      </c>
      <c r="B7842" s="30" t="s">
        <v>18171</v>
      </c>
      <c r="C7842" s="30" t="s">
        <v>2269</v>
      </c>
      <c r="D7842" s="30" t="s">
        <v>17</v>
      </c>
      <c r="E7842" s="30" t="s">
        <v>18</v>
      </c>
      <c r="F7842" s="30" t="s">
        <v>19</v>
      </c>
      <c r="G7842" s="30" t="s">
        <v>50</v>
      </c>
      <c r="H7842" s="32">
        <v>120</v>
      </c>
      <c r="I7842" s="30" t="s">
        <v>51</v>
      </c>
      <c r="J7842" s="41">
        <v>44200</v>
      </c>
      <c r="K7842" s="30" t="s">
        <v>22</v>
      </c>
    </row>
    <row r="7843" spans="1:11">
      <c r="A7843" s="33" t="s">
        <v>18172</v>
      </c>
      <c r="B7843" s="33" t="s">
        <v>18173</v>
      </c>
      <c r="C7843" s="33" t="s">
        <v>190</v>
      </c>
      <c r="D7843" s="33" t="s">
        <v>17</v>
      </c>
      <c r="E7843" s="33" t="s">
        <v>26</v>
      </c>
      <c r="F7843" s="33" t="s">
        <v>27</v>
      </c>
      <c r="G7843" s="33" t="s">
        <v>20</v>
      </c>
      <c r="H7843" s="35">
        <v>80</v>
      </c>
      <c r="I7843" s="33" t="s">
        <v>21</v>
      </c>
      <c r="J7843" s="42">
        <v>44298</v>
      </c>
      <c r="K7843" s="33" t="s">
        <v>22</v>
      </c>
    </row>
    <row r="7844" spans="1:11">
      <c r="A7844" s="30" t="s">
        <v>18174</v>
      </c>
      <c r="B7844" s="30" t="s">
        <v>18175</v>
      </c>
      <c r="C7844" s="30" t="s">
        <v>3964</v>
      </c>
      <c r="D7844" s="30" t="s">
        <v>17</v>
      </c>
      <c r="E7844" s="30" t="s">
        <v>45</v>
      </c>
      <c r="F7844" s="30" t="s">
        <v>46</v>
      </c>
      <c r="G7844" s="30" t="s">
        <v>50</v>
      </c>
      <c r="H7844" s="32">
        <v>350</v>
      </c>
      <c r="I7844" s="30" t="s">
        <v>51</v>
      </c>
      <c r="J7844" s="41">
        <v>44377</v>
      </c>
      <c r="K7844" s="30" t="s">
        <v>22</v>
      </c>
    </row>
    <row r="7845" spans="1:11">
      <c r="A7845" s="33" t="s">
        <v>18176</v>
      </c>
      <c r="B7845" s="33" t="s">
        <v>18177</v>
      </c>
      <c r="C7845" s="33" t="s">
        <v>18178</v>
      </c>
      <c r="D7845" s="33" t="s">
        <v>17</v>
      </c>
      <c r="E7845" s="33" t="s">
        <v>26</v>
      </c>
      <c r="F7845" s="33" t="s">
        <v>27</v>
      </c>
      <c r="G7845" s="33" t="s">
        <v>50</v>
      </c>
      <c r="H7845" s="35">
        <v>40</v>
      </c>
      <c r="I7845" s="33" t="s">
        <v>51</v>
      </c>
      <c r="J7845" s="42">
        <v>44417</v>
      </c>
      <c r="K7845" s="33" t="s">
        <v>22</v>
      </c>
    </row>
    <row r="7846" spans="1:11">
      <c r="A7846" s="30" t="s">
        <v>18179</v>
      </c>
      <c r="B7846" s="30" t="s">
        <v>18180</v>
      </c>
      <c r="C7846" s="30" t="s">
        <v>18181</v>
      </c>
      <c r="D7846" s="30" t="s">
        <v>17</v>
      </c>
      <c r="E7846" s="30" t="s">
        <v>67</v>
      </c>
      <c r="F7846" s="30" t="s">
        <v>68</v>
      </c>
      <c r="G7846" s="30" t="s">
        <v>158</v>
      </c>
      <c r="H7846" s="32">
        <v>10</v>
      </c>
      <c r="I7846" s="30" t="s">
        <v>21</v>
      </c>
      <c r="J7846" s="41">
        <v>44505</v>
      </c>
      <c r="K7846" s="30" t="s">
        <v>22</v>
      </c>
    </row>
    <row r="7847" spans="1:11">
      <c r="A7847" s="33" t="s">
        <v>18182</v>
      </c>
      <c r="B7847" s="33" t="s">
        <v>18183</v>
      </c>
      <c r="C7847" s="33" t="s">
        <v>925</v>
      </c>
      <c r="D7847" s="33" t="s">
        <v>17</v>
      </c>
      <c r="E7847" s="33" t="s">
        <v>18</v>
      </c>
      <c r="F7847" s="33" t="s">
        <v>19</v>
      </c>
      <c r="G7847" s="33" t="s">
        <v>158</v>
      </c>
      <c r="H7847" s="35">
        <v>603</v>
      </c>
      <c r="I7847" s="33" t="s">
        <v>21</v>
      </c>
      <c r="J7847" s="42">
        <v>44517</v>
      </c>
      <c r="K7847" s="33" t="s">
        <v>22</v>
      </c>
    </row>
    <row r="7848" spans="1:11">
      <c r="A7848" s="30" t="s">
        <v>18184</v>
      </c>
      <c r="B7848" s="30" t="s">
        <v>18185</v>
      </c>
      <c r="C7848" s="30" t="s">
        <v>18186</v>
      </c>
      <c r="D7848" s="30" t="s">
        <v>17</v>
      </c>
      <c r="E7848" s="30" t="s">
        <v>18</v>
      </c>
      <c r="F7848" s="30" t="s">
        <v>19</v>
      </c>
      <c r="G7848" s="30" t="s">
        <v>20</v>
      </c>
      <c r="H7848" s="32">
        <v>52</v>
      </c>
      <c r="I7848" s="30" t="s">
        <v>21</v>
      </c>
      <c r="J7848" s="41">
        <v>44214</v>
      </c>
      <c r="K7848" s="30" t="s">
        <v>22</v>
      </c>
    </row>
    <row r="7849" spans="1:11">
      <c r="A7849" s="33" t="s">
        <v>18187</v>
      </c>
      <c r="B7849" s="33" t="s">
        <v>18188</v>
      </c>
      <c r="C7849" s="33" t="s">
        <v>6607</v>
      </c>
      <c r="D7849" s="33" t="s">
        <v>17</v>
      </c>
      <c r="E7849" s="33" t="s">
        <v>26</v>
      </c>
      <c r="F7849" s="33" t="s">
        <v>27</v>
      </c>
      <c r="G7849" s="33" t="s">
        <v>20</v>
      </c>
      <c r="H7849" s="35">
        <v>8</v>
      </c>
      <c r="I7849" s="33" t="s">
        <v>21</v>
      </c>
      <c r="J7849" s="42">
        <v>44537</v>
      </c>
      <c r="K7849" s="33" t="s">
        <v>22</v>
      </c>
    </row>
    <row r="7850" spans="1:11">
      <c r="A7850" s="30" t="s">
        <v>18189</v>
      </c>
      <c r="B7850" s="30" t="s">
        <v>18190</v>
      </c>
      <c r="C7850" s="30" t="s">
        <v>12712</v>
      </c>
      <c r="D7850" s="30" t="s">
        <v>17</v>
      </c>
      <c r="E7850" s="30" t="s">
        <v>67</v>
      </c>
      <c r="F7850" s="30" t="s">
        <v>68</v>
      </c>
      <c r="G7850" s="30" t="s">
        <v>20</v>
      </c>
      <c r="H7850" s="32">
        <v>154</v>
      </c>
      <c r="I7850" s="30" t="s">
        <v>21</v>
      </c>
      <c r="J7850" s="41">
        <v>44477</v>
      </c>
      <c r="K7850" s="30" t="s">
        <v>22</v>
      </c>
    </row>
    <row r="7851" spans="1:11">
      <c r="A7851" s="33" t="s">
        <v>18191</v>
      </c>
      <c r="B7851" s="33" t="s">
        <v>18192</v>
      </c>
      <c r="C7851" s="33" t="s">
        <v>647</v>
      </c>
      <c r="D7851" s="33" t="s">
        <v>17</v>
      </c>
      <c r="E7851" s="33" t="s">
        <v>18</v>
      </c>
      <c r="F7851" s="33" t="s">
        <v>19</v>
      </c>
      <c r="G7851" s="33" t="s">
        <v>158</v>
      </c>
      <c r="H7851" s="35">
        <v>1653</v>
      </c>
      <c r="I7851" s="33" t="s">
        <v>51</v>
      </c>
      <c r="J7851" s="42">
        <v>44300</v>
      </c>
      <c r="K7851" s="33" t="s">
        <v>22</v>
      </c>
    </row>
    <row r="7852" spans="1:11">
      <c r="A7852" s="30" t="s">
        <v>18193</v>
      </c>
      <c r="B7852" s="30" t="s">
        <v>18194</v>
      </c>
      <c r="C7852" s="30" t="s">
        <v>16936</v>
      </c>
      <c r="D7852" s="30" t="s">
        <v>17</v>
      </c>
      <c r="E7852" s="30" t="s">
        <v>26</v>
      </c>
      <c r="F7852" s="30" t="s">
        <v>27</v>
      </c>
      <c r="G7852" s="30" t="s">
        <v>106</v>
      </c>
      <c r="H7852" s="32">
        <v>29</v>
      </c>
      <c r="I7852" s="30" t="s">
        <v>21</v>
      </c>
      <c r="J7852" s="41">
        <v>44397</v>
      </c>
      <c r="K7852" s="30" t="s">
        <v>22</v>
      </c>
    </row>
    <row r="7853" spans="1:11">
      <c r="A7853" s="33" t="s">
        <v>18195</v>
      </c>
      <c r="B7853" s="33" t="s">
        <v>18196</v>
      </c>
      <c r="C7853" s="33" t="s">
        <v>3892</v>
      </c>
      <c r="D7853" s="33" t="s">
        <v>17</v>
      </c>
      <c r="E7853" s="33" t="s">
        <v>26</v>
      </c>
      <c r="F7853" s="33" t="s">
        <v>27</v>
      </c>
      <c r="G7853" s="33" t="s">
        <v>20</v>
      </c>
      <c r="H7853" s="35">
        <v>24</v>
      </c>
      <c r="I7853" s="33" t="s">
        <v>21</v>
      </c>
      <c r="J7853" s="42">
        <v>44503</v>
      </c>
      <c r="K7853" s="33" t="s">
        <v>22</v>
      </c>
    </row>
    <row r="7854" spans="1:11">
      <c r="A7854" s="30" t="s">
        <v>18197</v>
      </c>
      <c r="B7854" s="30" t="s">
        <v>18198</v>
      </c>
      <c r="C7854" s="30" t="s">
        <v>102</v>
      </c>
      <c r="D7854" s="30" t="s">
        <v>17</v>
      </c>
      <c r="E7854" s="30" t="s">
        <v>26</v>
      </c>
      <c r="F7854" s="30" t="s">
        <v>27</v>
      </c>
      <c r="G7854" s="30" t="s">
        <v>20</v>
      </c>
      <c r="H7854" s="32">
        <v>15</v>
      </c>
      <c r="I7854" s="30" t="s">
        <v>21</v>
      </c>
      <c r="J7854" s="41">
        <v>44467</v>
      </c>
      <c r="K7854" s="30" t="s">
        <v>22</v>
      </c>
    </row>
    <row r="7855" spans="1:11">
      <c r="A7855" s="33" t="s">
        <v>18199</v>
      </c>
      <c r="B7855" s="33" t="s">
        <v>18200</v>
      </c>
      <c r="C7855" s="33" t="s">
        <v>899</v>
      </c>
      <c r="D7855" s="33" t="s">
        <v>17</v>
      </c>
      <c r="E7855" s="33" t="s">
        <v>26</v>
      </c>
      <c r="F7855" s="33" t="s">
        <v>27</v>
      </c>
      <c r="G7855" s="33" t="s">
        <v>20</v>
      </c>
      <c r="H7855" s="35">
        <v>6</v>
      </c>
      <c r="I7855" s="33" t="s">
        <v>21</v>
      </c>
      <c r="J7855" s="42">
        <v>44520</v>
      </c>
      <c r="K7855" s="33" t="s">
        <v>22</v>
      </c>
    </row>
    <row r="7856" spans="1:11">
      <c r="A7856" s="30" t="s">
        <v>18201</v>
      </c>
      <c r="B7856" s="30" t="s">
        <v>18202</v>
      </c>
      <c r="C7856" s="30" t="s">
        <v>203</v>
      </c>
      <c r="D7856" s="30" t="s">
        <v>17</v>
      </c>
      <c r="E7856" s="30" t="s">
        <v>31</v>
      </c>
      <c r="F7856" s="30" t="s">
        <v>32</v>
      </c>
      <c r="G7856" s="30" t="s">
        <v>20</v>
      </c>
      <c r="H7856" s="32">
        <v>161</v>
      </c>
      <c r="I7856" s="30" t="s">
        <v>21</v>
      </c>
      <c r="J7856" s="41">
        <v>44524</v>
      </c>
      <c r="K7856" s="30" t="s">
        <v>22</v>
      </c>
    </row>
    <row r="7857" spans="1:11">
      <c r="A7857" s="33" t="s">
        <v>18203</v>
      </c>
      <c r="B7857" s="33" t="s">
        <v>18204</v>
      </c>
      <c r="C7857" s="33" t="s">
        <v>18205</v>
      </c>
      <c r="D7857" s="33" t="s">
        <v>17</v>
      </c>
      <c r="E7857" s="33" t="s">
        <v>26</v>
      </c>
      <c r="F7857" s="33" t="s">
        <v>27</v>
      </c>
      <c r="G7857" s="33" t="s">
        <v>50</v>
      </c>
      <c r="H7857" s="35">
        <v>66</v>
      </c>
      <c r="I7857" s="33" t="s">
        <v>51</v>
      </c>
      <c r="J7857" s="42">
        <v>44228</v>
      </c>
      <c r="K7857" s="33" t="s">
        <v>22</v>
      </c>
    </row>
    <row r="7858" spans="1:11">
      <c r="A7858" s="30" t="s">
        <v>18206</v>
      </c>
      <c r="B7858" s="30" t="s">
        <v>18207</v>
      </c>
      <c r="C7858" s="30" t="s">
        <v>2849</v>
      </c>
      <c r="D7858" s="30" t="s">
        <v>17</v>
      </c>
      <c r="E7858" s="30" t="s">
        <v>18</v>
      </c>
      <c r="F7858" s="30" t="s">
        <v>19</v>
      </c>
      <c r="G7858" s="30" t="s">
        <v>50</v>
      </c>
      <c r="H7858" s="32">
        <v>306</v>
      </c>
      <c r="I7858" s="30" t="s">
        <v>51</v>
      </c>
      <c r="J7858" s="41">
        <v>44228</v>
      </c>
      <c r="K7858" s="30" t="s">
        <v>22</v>
      </c>
    </row>
    <row r="7859" spans="1:11">
      <c r="A7859" s="33" t="s">
        <v>18208</v>
      </c>
      <c r="B7859" s="33" t="s">
        <v>18209</v>
      </c>
      <c r="C7859" s="33" t="s">
        <v>3253</v>
      </c>
      <c r="D7859" s="33" t="s">
        <v>17</v>
      </c>
      <c r="E7859" s="33" t="s">
        <v>26</v>
      </c>
      <c r="F7859" s="33" t="s">
        <v>27</v>
      </c>
      <c r="G7859" s="33" t="s">
        <v>20</v>
      </c>
      <c r="H7859" s="35">
        <v>72</v>
      </c>
      <c r="I7859" s="33" t="s">
        <v>21</v>
      </c>
      <c r="J7859" s="42">
        <v>44515</v>
      </c>
      <c r="K7859" s="33" t="s">
        <v>22</v>
      </c>
    </row>
    <row r="7860" spans="1:11">
      <c r="A7860" s="30" t="s">
        <v>18210</v>
      </c>
      <c r="B7860" s="30" t="s">
        <v>18211</v>
      </c>
      <c r="C7860" s="30" t="s">
        <v>2678</v>
      </c>
      <c r="D7860" s="30" t="s">
        <v>17</v>
      </c>
      <c r="E7860" s="30" t="s">
        <v>26</v>
      </c>
      <c r="F7860" s="30" t="s">
        <v>27</v>
      </c>
      <c r="G7860" s="30" t="s">
        <v>20</v>
      </c>
      <c r="H7860" s="32">
        <v>32</v>
      </c>
      <c r="I7860" s="30" t="s">
        <v>21</v>
      </c>
      <c r="J7860" s="41">
        <v>44264</v>
      </c>
      <c r="K7860" s="30" t="s">
        <v>22</v>
      </c>
    </row>
    <row r="7861" spans="1:11">
      <c r="A7861" s="33" t="s">
        <v>18212</v>
      </c>
      <c r="B7861" s="33" t="s">
        <v>18213</v>
      </c>
      <c r="C7861" s="33" t="s">
        <v>231</v>
      </c>
      <c r="D7861" s="33" t="s">
        <v>17</v>
      </c>
      <c r="E7861" s="33" t="s">
        <v>26</v>
      </c>
      <c r="F7861" s="33" t="s">
        <v>27</v>
      </c>
      <c r="G7861" s="33" t="s">
        <v>20</v>
      </c>
      <c r="H7861" s="35">
        <v>56</v>
      </c>
      <c r="I7861" s="33" t="s">
        <v>21</v>
      </c>
      <c r="J7861" s="42">
        <v>44413</v>
      </c>
      <c r="K7861" s="33" t="s">
        <v>22</v>
      </c>
    </row>
    <row r="7862" spans="1:11">
      <c r="A7862" s="30" t="s">
        <v>18214</v>
      </c>
      <c r="B7862" s="30" t="s">
        <v>18215</v>
      </c>
      <c r="C7862" s="30" t="s">
        <v>3748</v>
      </c>
      <c r="D7862" s="30" t="s">
        <v>17</v>
      </c>
      <c r="E7862" s="30" t="s">
        <v>26</v>
      </c>
      <c r="F7862" s="30" t="s">
        <v>27</v>
      </c>
      <c r="G7862" s="30" t="s">
        <v>20</v>
      </c>
      <c r="H7862" s="32">
        <v>24</v>
      </c>
      <c r="I7862" s="30" t="s">
        <v>21</v>
      </c>
      <c r="J7862" s="41">
        <v>44236</v>
      </c>
      <c r="K7862" s="30" t="s">
        <v>22</v>
      </c>
    </row>
    <row r="7863" spans="1:11">
      <c r="A7863" s="33" t="s">
        <v>18216</v>
      </c>
      <c r="B7863" s="33" t="s">
        <v>18217</v>
      </c>
      <c r="C7863" s="33" t="s">
        <v>310</v>
      </c>
      <c r="D7863" s="33" t="s">
        <v>17</v>
      </c>
      <c r="E7863" s="33" t="s">
        <v>26</v>
      </c>
      <c r="F7863" s="33" t="s">
        <v>27</v>
      </c>
      <c r="G7863" s="33" t="s">
        <v>20</v>
      </c>
      <c r="H7863" s="35">
        <v>14</v>
      </c>
      <c r="I7863" s="33" t="s">
        <v>21</v>
      </c>
      <c r="J7863" s="42">
        <v>44449</v>
      </c>
      <c r="K7863" s="33" t="s">
        <v>22</v>
      </c>
    </row>
    <row r="7864" spans="1:11">
      <c r="A7864" s="30" t="s">
        <v>18218</v>
      </c>
      <c r="B7864" s="30" t="s">
        <v>18219</v>
      </c>
      <c r="C7864" s="30" t="s">
        <v>136</v>
      </c>
      <c r="D7864" s="30" t="s">
        <v>17</v>
      </c>
      <c r="E7864" s="30" t="s">
        <v>18</v>
      </c>
      <c r="F7864" s="30" t="s">
        <v>19</v>
      </c>
      <c r="G7864" s="30" t="s">
        <v>20</v>
      </c>
      <c r="H7864" s="32">
        <v>286</v>
      </c>
      <c r="I7864" s="30" t="s">
        <v>21</v>
      </c>
      <c r="J7864" s="41">
        <v>44265</v>
      </c>
      <c r="K7864" s="30" t="s">
        <v>22</v>
      </c>
    </row>
    <row r="7865" spans="1:11">
      <c r="A7865" s="33" t="s">
        <v>18220</v>
      </c>
      <c r="B7865" s="33" t="s">
        <v>18221</v>
      </c>
      <c r="C7865" s="33" t="s">
        <v>15527</v>
      </c>
      <c r="D7865" s="33" t="s">
        <v>17</v>
      </c>
      <c r="E7865" s="33" t="s">
        <v>26</v>
      </c>
      <c r="F7865" s="33" t="s">
        <v>27</v>
      </c>
      <c r="G7865" s="33" t="s">
        <v>112</v>
      </c>
      <c r="H7865" s="35">
        <v>0</v>
      </c>
      <c r="I7865" s="33" t="s">
        <v>21</v>
      </c>
      <c r="J7865" s="42">
        <v>44316</v>
      </c>
      <c r="K7865" s="33" t="s">
        <v>22</v>
      </c>
    </row>
    <row r="7866" spans="1:11">
      <c r="A7866" s="30" t="s">
        <v>18222</v>
      </c>
      <c r="B7866" s="30" t="s">
        <v>18223</v>
      </c>
      <c r="C7866" s="30" t="s">
        <v>3330</v>
      </c>
      <c r="D7866" s="30" t="s">
        <v>17</v>
      </c>
      <c r="E7866" s="30" t="s">
        <v>18</v>
      </c>
      <c r="F7866" s="30" t="s">
        <v>19</v>
      </c>
      <c r="G7866" s="30" t="s">
        <v>106</v>
      </c>
      <c r="H7866" s="32">
        <v>19</v>
      </c>
      <c r="I7866" s="30" t="s">
        <v>21</v>
      </c>
      <c r="J7866" s="41">
        <v>44515</v>
      </c>
      <c r="K7866" s="30" t="s">
        <v>22</v>
      </c>
    </row>
    <row r="7867" spans="1:11">
      <c r="A7867" s="33" t="s">
        <v>18224</v>
      </c>
      <c r="B7867" s="33" t="s">
        <v>18225</v>
      </c>
      <c r="C7867" s="33" t="s">
        <v>93</v>
      </c>
      <c r="D7867" s="33" t="s">
        <v>17</v>
      </c>
      <c r="E7867" s="33" t="s">
        <v>26</v>
      </c>
      <c r="F7867" s="33" t="s">
        <v>27</v>
      </c>
      <c r="G7867" s="33" t="s">
        <v>112</v>
      </c>
      <c r="H7867" s="35">
        <v>0</v>
      </c>
      <c r="I7867" s="33" t="s">
        <v>21</v>
      </c>
      <c r="J7867" s="42">
        <v>44515</v>
      </c>
      <c r="K7867" s="33" t="s">
        <v>22</v>
      </c>
    </row>
    <row r="7868" spans="1:11">
      <c r="A7868" s="30" t="s">
        <v>18226</v>
      </c>
      <c r="B7868" s="30" t="s">
        <v>18227</v>
      </c>
      <c r="C7868" s="30" t="s">
        <v>12772</v>
      </c>
      <c r="D7868" s="30" t="s">
        <v>17</v>
      </c>
      <c r="E7868" s="30" t="s">
        <v>31</v>
      </c>
      <c r="F7868" s="30" t="s">
        <v>32</v>
      </c>
      <c r="G7868" s="30" t="s">
        <v>158</v>
      </c>
      <c r="H7868" s="32">
        <v>97</v>
      </c>
      <c r="I7868" s="30" t="s">
        <v>51</v>
      </c>
      <c r="J7868" s="41">
        <v>44228</v>
      </c>
      <c r="K7868" s="30" t="s">
        <v>22</v>
      </c>
    </row>
    <row r="7869" spans="1:11">
      <c r="A7869" s="33" t="s">
        <v>18228</v>
      </c>
      <c r="B7869" s="33" t="s">
        <v>18229</v>
      </c>
      <c r="C7869" s="33" t="s">
        <v>109</v>
      </c>
      <c r="D7869" s="33" t="s">
        <v>17</v>
      </c>
      <c r="E7869" s="33" t="s">
        <v>31</v>
      </c>
      <c r="F7869" s="33" t="s">
        <v>32</v>
      </c>
      <c r="G7869" s="33" t="s">
        <v>20</v>
      </c>
      <c r="H7869" s="35">
        <v>295</v>
      </c>
      <c r="I7869" s="33" t="s">
        <v>21</v>
      </c>
      <c r="J7869" s="42">
        <v>44243</v>
      </c>
      <c r="K7869" s="33" t="s">
        <v>22</v>
      </c>
    </row>
    <row r="7870" spans="1:11">
      <c r="A7870" s="30" t="s">
        <v>18230</v>
      </c>
      <c r="B7870" s="30" t="s">
        <v>18231</v>
      </c>
      <c r="C7870" s="30" t="s">
        <v>18232</v>
      </c>
      <c r="D7870" s="30" t="s">
        <v>17</v>
      </c>
      <c r="E7870" s="30" t="s">
        <v>18</v>
      </c>
      <c r="F7870" s="30" t="s">
        <v>19</v>
      </c>
      <c r="G7870" s="30" t="s">
        <v>158</v>
      </c>
      <c r="H7870" s="32">
        <v>164</v>
      </c>
      <c r="I7870" s="30" t="s">
        <v>21</v>
      </c>
      <c r="J7870" s="41">
        <v>44335</v>
      </c>
      <c r="K7870" s="30" t="s">
        <v>22</v>
      </c>
    </row>
    <row r="7871" spans="1:11">
      <c r="A7871" s="33" t="s">
        <v>18233</v>
      </c>
      <c r="B7871" s="33" t="s">
        <v>18234</v>
      </c>
      <c r="C7871" s="33" t="s">
        <v>18235</v>
      </c>
      <c r="D7871" s="33" t="s">
        <v>17</v>
      </c>
      <c r="E7871" s="33" t="s">
        <v>67</v>
      </c>
      <c r="F7871" s="33" t="s">
        <v>68</v>
      </c>
      <c r="G7871" s="33" t="s">
        <v>106</v>
      </c>
      <c r="H7871" s="35">
        <v>6</v>
      </c>
      <c r="I7871" s="33" t="s">
        <v>21</v>
      </c>
      <c r="J7871" s="42">
        <v>44244</v>
      </c>
      <c r="K7871" s="33" t="s">
        <v>22</v>
      </c>
    </row>
    <row r="7872" spans="1:11">
      <c r="A7872" s="30" t="s">
        <v>18236</v>
      </c>
      <c r="B7872" s="30" t="s">
        <v>18237</v>
      </c>
      <c r="C7872" s="30" t="s">
        <v>310</v>
      </c>
      <c r="D7872" s="30" t="s">
        <v>17</v>
      </c>
      <c r="E7872" s="30" t="s">
        <v>18</v>
      </c>
      <c r="F7872" s="30" t="s">
        <v>19</v>
      </c>
      <c r="G7872" s="30" t="s">
        <v>158</v>
      </c>
      <c r="H7872" s="32">
        <v>6200</v>
      </c>
      <c r="I7872" s="30" t="s">
        <v>51</v>
      </c>
      <c r="J7872" s="41">
        <v>44438</v>
      </c>
      <c r="K7872" s="30" t="s">
        <v>22</v>
      </c>
    </row>
    <row r="7873" spans="1:11">
      <c r="A7873" s="33" t="s">
        <v>18238</v>
      </c>
      <c r="B7873" s="33" t="s">
        <v>18239</v>
      </c>
      <c r="C7873" s="33" t="s">
        <v>701</v>
      </c>
      <c r="D7873" s="33" t="s">
        <v>17</v>
      </c>
      <c r="E7873" s="33" t="s">
        <v>18</v>
      </c>
      <c r="F7873" s="33" t="s">
        <v>19</v>
      </c>
      <c r="G7873" s="33" t="s">
        <v>50</v>
      </c>
      <c r="H7873" s="35">
        <v>300</v>
      </c>
      <c r="I7873" s="33" t="s">
        <v>21</v>
      </c>
      <c r="J7873" s="42">
        <v>44456</v>
      </c>
      <c r="K7873" s="33" t="s">
        <v>22</v>
      </c>
    </row>
    <row r="7874" spans="1:11">
      <c r="A7874" s="30" t="s">
        <v>18240</v>
      </c>
      <c r="B7874" s="30" t="s">
        <v>18241</v>
      </c>
      <c r="C7874" s="30" t="s">
        <v>2618</v>
      </c>
      <c r="D7874" s="30" t="s">
        <v>17</v>
      </c>
      <c r="E7874" s="30" t="s">
        <v>26</v>
      </c>
      <c r="F7874" s="30" t="s">
        <v>27</v>
      </c>
      <c r="G7874" s="30" t="s">
        <v>20</v>
      </c>
      <c r="H7874" s="32">
        <v>22</v>
      </c>
      <c r="I7874" s="30" t="s">
        <v>21</v>
      </c>
      <c r="J7874" s="41">
        <v>44340</v>
      </c>
      <c r="K7874" s="30" t="s">
        <v>22</v>
      </c>
    </row>
    <row r="7875" spans="1:11">
      <c r="A7875" s="33" t="s">
        <v>18242</v>
      </c>
      <c r="B7875" s="33" t="s">
        <v>18243</v>
      </c>
      <c r="C7875" s="33" t="s">
        <v>1826</v>
      </c>
      <c r="D7875" s="33" t="s">
        <v>17</v>
      </c>
      <c r="E7875" s="33" t="s">
        <v>26</v>
      </c>
      <c r="F7875" s="33" t="s">
        <v>27</v>
      </c>
      <c r="G7875" s="33" t="s">
        <v>20</v>
      </c>
      <c r="H7875" s="35">
        <v>22</v>
      </c>
      <c r="I7875" s="33" t="s">
        <v>21</v>
      </c>
      <c r="J7875" s="42">
        <v>44460</v>
      </c>
      <c r="K7875" s="33" t="s">
        <v>22</v>
      </c>
    </row>
    <row r="7876" spans="1:11">
      <c r="A7876" s="30" t="s">
        <v>18244</v>
      </c>
      <c r="B7876" s="30" t="s">
        <v>18245</v>
      </c>
      <c r="C7876" s="30" t="s">
        <v>762</v>
      </c>
      <c r="D7876" s="30" t="s">
        <v>17</v>
      </c>
      <c r="E7876" s="30" t="s">
        <v>212</v>
      </c>
      <c r="F7876" s="30" t="s">
        <v>213</v>
      </c>
      <c r="G7876" s="30" t="s">
        <v>106</v>
      </c>
      <c r="H7876" s="32">
        <v>13</v>
      </c>
      <c r="I7876" s="30" t="s">
        <v>21</v>
      </c>
      <c r="J7876" s="41">
        <v>44560</v>
      </c>
      <c r="K7876" s="30" t="s">
        <v>22</v>
      </c>
    </row>
    <row r="7877" spans="1:11">
      <c r="A7877" s="33" t="s">
        <v>18246</v>
      </c>
      <c r="B7877" s="33" t="s">
        <v>18247</v>
      </c>
      <c r="C7877" s="33" t="s">
        <v>3706</v>
      </c>
      <c r="D7877" s="33" t="s">
        <v>17</v>
      </c>
      <c r="E7877" s="33" t="s">
        <v>31</v>
      </c>
      <c r="F7877" s="33" t="s">
        <v>32</v>
      </c>
      <c r="G7877" s="33" t="s">
        <v>140</v>
      </c>
      <c r="H7877" s="35">
        <v>120</v>
      </c>
      <c r="I7877" s="33" t="s">
        <v>51</v>
      </c>
      <c r="J7877" s="42">
        <v>44550</v>
      </c>
      <c r="K7877" s="33" t="s">
        <v>22</v>
      </c>
    </row>
    <row r="7878" spans="1:11">
      <c r="A7878" s="30" t="s">
        <v>18248</v>
      </c>
      <c r="B7878" s="30" t="s">
        <v>18249</v>
      </c>
      <c r="C7878" s="30" t="s">
        <v>1042</v>
      </c>
      <c r="D7878" s="30" t="s">
        <v>17</v>
      </c>
      <c r="E7878" s="30" t="s">
        <v>31</v>
      </c>
      <c r="F7878" s="30" t="s">
        <v>32</v>
      </c>
      <c r="G7878" s="30" t="s">
        <v>20</v>
      </c>
      <c r="H7878" s="32">
        <v>10</v>
      </c>
      <c r="I7878" s="30" t="s">
        <v>21</v>
      </c>
      <c r="J7878" s="41">
        <v>44323</v>
      </c>
      <c r="K7878" s="30" t="s">
        <v>22</v>
      </c>
    </row>
    <row r="7879" spans="1:11">
      <c r="A7879" s="33" t="s">
        <v>18250</v>
      </c>
      <c r="B7879" s="33" t="s">
        <v>18251</v>
      </c>
      <c r="C7879" s="33" t="s">
        <v>18252</v>
      </c>
      <c r="D7879" s="33" t="s">
        <v>17</v>
      </c>
      <c r="E7879" s="33" t="s">
        <v>67</v>
      </c>
      <c r="F7879" s="33" t="s">
        <v>68</v>
      </c>
      <c r="G7879" s="33" t="s">
        <v>50</v>
      </c>
      <c r="H7879" s="35">
        <v>60</v>
      </c>
      <c r="I7879" s="33" t="s">
        <v>51</v>
      </c>
      <c r="J7879" s="42">
        <v>44502</v>
      </c>
      <c r="K7879" s="33" t="s">
        <v>22</v>
      </c>
    </row>
    <row r="7880" spans="1:11">
      <c r="A7880" s="30" t="s">
        <v>18253</v>
      </c>
      <c r="B7880" s="30" t="s">
        <v>18254</v>
      </c>
      <c r="C7880" s="30" t="s">
        <v>894</v>
      </c>
      <c r="D7880" s="30" t="s">
        <v>17</v>
      </c>
      <c r="E7880" s="30" t="s">
        <v>26</v>
      </c>
      <c r="F7880" s="30" t="s">
        <v>27</v>
      </c>
      <c r="G7880" s="30" t="s">
        <v>20</v>
      </c>
      <c r="H7880" s="32">
        <v>48</v>
      </c>
      <c r="I7880" s="30" t="s">
        <v>21</v>
      </c>
      <c r="J7880" s="41">
        <v>44238</v>
      </c>
      <c r="K7880" s="30" t="s">
        <v>22</v>
      </c>
    </row>
    <row r="7881" spans="1:11">
      <c r="A7881" s="33" t="s">
        <v>18255</v>
      </c>
      <c r="B7881" s="33" t="s">
        <v>18256</v>
      </c>
      <c r="C7881" s="33" t="s">
        <v>5043</v>
      </c>
      <c r="D7881" s="33" t="s">
        <v>17</v>
      </c>
      <c r="E7881" s="33" t="s">
        <v>18</v>
      </c>
      <c r="F7881" s="33" t="s">
        <v>19</v>
      </c>
      <c r="G7881" s="33" t="s">
        <v>20</v>
      </c>
      <c r="H7881" s="35">
        <v>19</v>
      </c>
      <c r="I7881" s="33" t="s">
        <v>21</v>
      </c>
      <c r="J7881" s="42">
        <v>44551</v>
      </c>
      <c r="K7881" s="33" t="s">
        <v>22</v>
      </c>
    </row>
    <row r="7882" spans="1:11">
      <c r="A7882" s="30" t="s">
        <v>18257</v>
      </c>
      <c r="B7882" s="30" t="s">
        <v>18258</v>
      </c>
      <c r="C7882" s="30" t="s">
        <v>379</v>
      </c>
      <c r="D7882" s="30" t="s">
        <v>17</v>
      </c>
      <c r="E7882" s="30" t="s">
        <v>26</v>
      </c>
      <c r="F7882" s="30" t="s">
        <v>27</v>
      </c>
      <c r="G7882" s="30" t="s">
        <v>20</v>
      </c>
      <c r="H7882" s="32">
        <v>111</v>
      </c>
      <c r="I7882" s="30" t="s">
        <v>21</v>
      </c>
      <c r="J7882" s="41">
        <v>44257</v>
      </c>
      <c r="K7882" s="30" t="s">
        <v>22</v>
      </c>
    </row>
    <row r="7883" spans="1:11">
      <c r="A7883" s="33" t="s">
        <v>18259</v>
      </c>
      <c r="B7883" s="33" t="s">
        <v>18260</v>
      </c>
      <c r="C7883" s="33" t="s">
        <v>157</v>
      </c>
      <c r="D7883" s="33" t="s">
        <v>17</v>
      </c>
      <c r="E7883" s="33" t="s">
        <v>18</v>
      </c>
      <c r="F7883" s="33" t="s">
        <v>19</v>
      </c>
      <c r="G7883" s="33" t="s">
        <v>158</v>
      </c>
      <c r="H7883" s="35">
        <v>56</v>
      </c>
      <c r="I7883" s="33" t="s">
        <v>21</v>
      </c>
      <c r="J7883" s="42">
        <v>44351</v>
      </c>
      <c r="K7883" s="33" t="s">
        <v>22</v>
      </c>
    </row>
    <row r="7884" spans="1:11">
      <c r="A7884" s="30" t="s">
        <v>18261</v>
      </c>
      <c r="B7884" s="30" t="s">
        <v>18262</v>
      </c>
      <c r="C7884" s="30" t="s">
        <v>2469</v>
      </c>
      <c r="D7884" s="30" t="s">
        <v>17</v>
      </c>
      <c r="E7884" s="30" t="s">
        <v>67</v>
      </c>
      <c r="F7884" s="30" t="s">
        <v>68</v>
      </c>
      <c r="G7884" s="30" t="s">
        <v>140</v>
      </c>
      <c r="H7884" s="32">
        <v>27</v>
      </c>
      <c r="I7884" s="30" t="s">
        <v>51</v>
      </c>
      <c r="J7884" s="41">
        <v>44439</v>
      </c>
      <c r="K7884" s="30" t="s">
        <v>22</v>
      </c>
    </row>
    <row r="7885" spans="1:11">
      <c r="A7885" s="33" t="s">
        <v>18263</v>
      </c>
      <c r="B7885" s="33" t="s">
        <v>18264</v>
      </c>
      <c r="C7885" s="33" t="s">
        <v>6592</v>
      </c>
      <c r="D7885" s="33" t="s">
        <v>17</v>
      </c>
      <c r="E7885" s="33" t="s">
        <v>26</v>
      </c>
      <c r="F7885" s="33" t="s">
        <v>27</v>
      </c>
      <c r="G7885" s="33" t="s">
        <v>20</v>
      </c>
      <c r="H7885" s="35">
        <v>49</v>
      </c>
      <c r="I7885" s="33" t="s">
        <v>21</v>
      </c>
      <c r="J7885" s="42">
        <v>44271</v>
      </c>
      <c r="K7885" s="33" t="s">
        <v>22</v>
      </c>
    </row>
    <row r="7886" spans="1:11">
      <c r="A7886" s="30" t="s">
        <v>18265</v>
      </c>
      <c r="B7886" s="30" t="s">
        <v>18266</v>
      </c>
      <c r="C7886" s="30" t="s">
        <v>969</v>
      </c>
      <c r="D7886" s="30" t="s">
        <v>17</v>
      </c>
      <c r="E7886" s="30" t="s">
        <v>18</v>
      </c>
      <c r="F7886" s="30" t="s">
        <v>19</v>
      </c>
      <c r="G7886" s="30" t="s">
        <v>20</v>
      </c>
      <c r="H7886" s="32">
        <v>1586</v>
      </c>
      <c r="I7886" s="30" t="s">
        <v>21</v>
      </c>
      <c r="J7886" s="41">
        <v>44495</v>
      </c>
      <c r="K7886" s="30" t="s">
        <v>22</v>
      </c>
    </row>
    <row r="7887" spans="1:11">
      <c r="A7887" s="33" t="s">
        <v>18267</v>
      </c>
      <c r="B7887" s="33" t="s">
        <v>18268</v>
      </c>
      <c r="C7887" s="33" t="s">
        <v>149</v>
      </c>
      <c r="D7887" s="33" t="s">
        <v>17</v>
      </c>
      <c r="E7887" s="33" t="s">
        <v>26</v>
      </c>
      <c r="F7887" s="33" t="s">
        <v>27</v>
      </c>
      <c r="G7887" s="33" t="s">
        <v>20</v>
      </c>
      <c r="H7887" s="35">
        <v>12</v>
      </c>
      <c r="I7887" s="33" t="s">
        <v>21</v>
      </c>
      <c r="J7887" s="42">
        <v>44378</v>
      </c>
      <c r="K7887" s="33" t="s">
        <v>22</v>
      </c>
    </row>
    <row r="7888" spans="1:11">
      <c r="A7888" s="30" t="s">
        <v>18269</v>
      </c>
      <c r="B7888" s="30" t="s">
        <v>18270</v>
      </c>
      <c r="C7888" s="30" t="s">
        <v>154</v>
      </c>
      <c r="D7888" s="30" t="s">
        <v>17</v>
      </c>
      <c r="E7888" s="30" t="s">
        <v>31</v>
      </c>
      <c r="F7888" s="30" t="s">
        <v>32</v>
      </c>
      <c r="G7888" s="30" t="s">
        <v>20</v>
      </c>
      <c r="H7888" s="32">
        <v>58</v>
      </c>
      <c r="I7888" s="30" t="s">
        <v>21</v>
      </c>
      <c r="J7888" s="41">
        <v>44457</v>
      </c>
      <c r="K7888" s="30" t="s">
        <v>22</v>
      </c>
    </row>
    <row r="7889" spans="1:11">
      <c r="A7889" s="33" t="s">
        <v>18271</v>
      </c>
      <c r="B7889" s="33" t="s">
        <v>18272</v>
      </c>
      <c r="C7889" s="33" t="s">
        <v>1165</v>
      </c>
      <c r="D7889" s="33" t="s">
        <v>17</v>
      </c>
      <c r="E7889" s="33" t="s">
        <v>26</v>
      </c>
      <c r="F7889" s="33" t="s">
        <v>27</v>
      </c>
      <c r="G7889" s="33" t="s">
        <v>20</v>
      </c>
      <c r="H7889" s="35">
        <v>36</v>
      </c>
      <c r="I7889" s="33" t="s">
        <v>21</v>
      </c>
      <c r="J7889" s="42">
        <v>44517</v>
      </c>
      <c r="K7889" s="33" t="s">
        <v>22</v>
      </c>
    </row>
    <row r="7890" spans="1:11">
      <c r="A7890" s="30" t="s">
        <v>18273</v>
      </c>
      <c r="B7890" s="30" t="s">
        <v>18274</v>
      </c>
      <c r="C7890" s="30" t="s">
        <v>426</v>
      </c>
      <c r="D7890" s="30" t="s">
        <v>17</v>
      </c>
      <c r="E7890" s="30" t="s">
        <v>67</v>
      </c>
      <c r="F7890" s="30" t="s">
        <v>68</v>
      </c>
      <c r="G7890" s="30" t="s">
        <v>69</v>
      </c>
      <c r="H7890" s="32">
        <v>65</v>
      </c>
      <c r="I7890" s="30" t="s">
        <v>51</v>
      </c>
      <c r="J7890" s="41">
        <v>44421</v>
      </c>
      <c r="K7890" s="30" t="s">
        <v>22</v>
      </c>
    </row>
    <row r="7891" spans="1:11">
      <c r="A7891" s="33" t="s">
        <v>18275</v>
      </c>
      <c r="B7891" s="33" t="s">
        <v>18276</v>
      </c>
      <c r="C7891" s="33" t="s">
        <v>3004</v>
      </c>
      <c r="D7891" s="33" t="s">
        <v>17</v>
      </c>
      <c r="E7891" s="33" t="s">
        <v>18</v>
      </c>
      <c r="F7891" s="33" t="s">
        <v>19</v>
      </c>
      <c r="G7891" s="33" t="s">
        <v>158</v>
      </c>
      <c r="H7891" s="35">
        <v>600</v>
      </c>
      <c r="I7891" s="33" t="s">
        <v>51</v>
      </c>
      <c r="J7891" s="42">
        <v>44459</v>
      </c>
      <c r="K7891" s="33" t="s">
        <v>22</v>
      </c>
    </row>
    <row r="7892" spans="1:11">
      <c r="A7892" s="30" t="s">
        <v>18277</v>
      </c>
      <c r="B7892" s="30" t="s">
        <v>18278</v>
      </c>
      <c r="C7892" s="30" t="s">
        <v>93</v>
      </c>
      <c r="D7892" s="30" t="s">
        <v>17</v>
      </c>
      <c r="E7892" s="30" t="s">
        <v>31</v>
      </c>
      <c r="F7892" s="30" t="s">
        <v>32</v>
      </c>
      <c r="G7892" s="30" t="s">
        <v>20</v>
      </c>
      <c r="H7892" s="32">
        <v>185</v>
      </c>
      <c r="I7892" s="30" t="s">
        <v>21</v>
      </c>
      <c r="J7892" s="41">
        <v>44377</v>
      </c>
      <c r="K7892" s="30" t="s">
        <v>22</v>
      </c>
    </row>
    <row r="7893" spans="1:11">
      <c r="A7893" s="33" t="s">
        <v>18279</v>
      </c>
      <c r="B7893" s="33" t="s">
        <v>18280</v>
      </c>
      <c r="C7893" s="33" t="s">
        <v>118</v>
      </c>
      <c r="D7893" s="33" t="s">
        <v>17</v>
      </c>
      <c r="E7893" s="33" t="s">
        <v>18</v>
      </c>
      <c r="F7893" s="33" t="s">
        <v>19</v>
      </c>
      <c r="G7893" s="33" t="s">
        <v>112</v>
      </c>
      <c r="H7893" s="35">
        <v>0</v>
      </c>
      <c r="I7893" s="33" t="s">
        <v>21</v>
      </c>
      <c r="J7893" s="42">
        <v>44470</v>
      </c>
      <c r="K7893" s="33" t="s">
        <v>22</v>
      </c>
    </row>
    <row r="7894" spans="1:11">
      <c r="A7894" s="30" t="s">
        <v>18281</v>
      </c>
      <c r="B7894" s="30" t="s">
        <v>18282</v>
      </c>
      <c r="C7894" s="30" t="s">
        <v>231</v>
      </c>
      <c r="D7894" s="30" t="s">
        <v>17</v>
      </c>
      <c r="E7894" s="30" t="s">
        <v>26</v>
      </c>
      <c r="F7894" s="30" t="s">
        <v>27</v>
      </c>
      <c r="G7894" s="30" t="s">
        <v>20</v>
      </c>
      <c r="H7894" s="32">
        <v>95</v>
      </c>
      <c r="I7894" s="30" t="s">
        <v>21</v>
      </c>
      <c r="J7894" s="41">
        <v>44355</v>
      </c>
      <c r="K7894" s="30" t="s">
        <v>22</v>
      </c>
    </row>
    <row r="7895" spans="1:11">
      <c r="A7895" s="33" t="s">
        <v>18283</v>
      </c>
      <c r="B7895" s="33" t="s">
        <v>18284</v>
      </c>
      <c r="C7895" s="33" t="s">
        <v>44</v>
      </c>
      <c r="D7895" s="33" t="s">
        <v>17</v>
      </c>
      <c r="E7895" s="33" t="s">
        <v>31</v>
      </c>
      <c r="F7895" s="33" t="s">
        <v>32</v>
      </c>
      <c r="G7895" s="33" t="s">
        <v>106</v>
      </c>
      <c r="H7895" s="35">
        <v>44</v>
      </c>
      <c r="I7895" s="33" t="s">
        <v>21</v>
      </c>
      <c r="J7895" s="42">
        <v>44266</v>
      </c>
      <c r="K7895" s="33" t="s">
        <v>22</v>
      </c>
    </row>
    <row r="7896" spans="1:11">
      <c r="A7896" s="30" t="s">
        <v>18285</v>
      </c>
      <c r="B7896" s="30" t="s">
        <v>18286</v>
      </c>
      <c r="C7896" s="30" t="s">
        <v>118</v>
      </c>
      <c r="D7896" s="30" t="s">
        <v>17</v>
      </c>
      <c r="E7896" s="30" t="s">
        <v>67</v>
      </c>
      <c r="F7896" s="30" t="s">
        <v>68</v>
      </c>
      <c r="G7896" s="30" t="s">
        <v>140</v>
      </c>
      <c r="H7896" s="32">
        <v>400</v>
      </c>
      <c r="I7896" s="30" t="s">
        <v>51</v>
      </c>
      <c r="J7896" s="41">
        <v>44494</v>
      </c>
      <c r="K7896" s="30" t="s">
        <v>22</v>
      </c>
    </row>
    <row r="7897" spans="1:11">
      <c r="A7897" s="33" t="s">
        <v>18287</v>
      </c>
      <c r="B7897" s="33" t="s">
        <v>18288</v>
      </c>
      <c r="C7897" s="33" t="s">
        <v>109</v>
      </c>
      <c r="D7897" s="33" t="s">
        <v>17</v>
      </c>
      <c r="E7897" s="33" t="s">
        <v>26</v>
      </c>
      <c r="F7897" s="33" t="s">
        <v>27</v>
      </c>
      <c r="G7897" s="33" t="s">
        <v>158</v>
      </c>
      <c r="H7897" s="35">
        <v>137</v>
      </c>
      <c r="I7897" s="33" t="s">
        <v>21</v>
      </c>
      <c r="J7897" s="42">
        <v>44490</v>
      </c>
      <c r="K7897" s="33" t="s">
        <v>22</v>
      </c>
    </row>
    <row r="7898" spans="1:11">
      <c r="A7898" s="30" t="s">
        <v>18289</v>
      </c>
      <c r="B7898" s="30" t="s">
        <v>18290</v>
      </c>
      <c r="C7898" s="30" t="s">
        <v>18291</v>
      </c>
      <c r="D7898" s="30" t="s">
        <v>17</v>
      </c>
      <c r="E7898" s="30" t="s">
        <v>31</v>
      </c>
      <c r="F7898" s="30" t="s">
        <v>32</v>
      </c>
      <c r="G7898" s="30" t="s">
        <v>158</v>
      </c>
      <c r="H7898" s="32">
        <v>115</v>
      </c>
      <c r="I7898" s="30" t="s">
        <v>51</v>
      </c>
      <c r="J7898" s="41">
        <v>44546</v>
      </c>
      <c r="K7898" s="30" t="s">
        <v>22</v>
      </c>
    </row>
    <row r="7899" spans="1:11">
      <c r="A7899" s="33" t="s">
        <v>18292</v>
      </c>
      <c r="B7899" s="33" t="s">
        <v>18293</v>
      </c>
      <c r="C7899" s="33" t="s">
        <v>6698</v>
      </c>
      <c r="D7899" s="33" t="s">
        <v>17</v>
      </c>
      <c r="E7899" s="33" t="s">
        <v>31</v>
      </c>
      <c r="F7899" s="33" t="s">
        <v>32</v>
      </c>
      <c r="G7899" s="33" t="s">
        <v>106</v>
      </c>
      <c r="H7899" s="35">
        <v>16</v>
      </c>
      <c r="I7899" s="33" t="s">
        <v>21</v>
      </c>
      <c r="J7899" s="42">
        <v>44435</v>
      </c>
      <c r="K7899" s="33" t="s">
        <v>22</v>
      </c>
    </row>
    <row r="7900" spans="1:11">
      <c r="A7900" s="30" t="s">
        <v>18294</v>
      </c>
      <c r="B7900" s="30" t="s">
        <v>18295</v>
      </c>
      <c r="C7900" s="30" t="s">
        <v>18296</v>
      </c>
      <c r="D7900" s="30" t="s">
        <v>17</v>
      </c>
      <c r="E7900" s="30" t="s">
        <v>67</v>
      </c>
      <c r="F7900" s="30" t="s">
        <v>68</v>
      </c>
      <c r="G7900" s="30" t="s">
        <v>20</v>
      </c>
      <c r="H7900" s="32">
        <v>39</v>
      </c>
      <c r="I7900" s="30" t="s">
        <v>21</v>
      </c>
      <c r="J7900" s="41">
        <v>44403</v>
      </c>
      <c r="K7900" s="30" t="s">
        <v>22</v>
      </c>
    </row>
    <row r="7901" spans="1:11">
      <c r="A7901" s="33" t="s">
        <v>18297</v>
      </c>
      <c r="B7901" s="33" t="s">
        <v>18298</v>
      </c>
      <c r="C7901" s="33" t="s">
        <v>178</v>
      </c>
      <c r="D7901" s="33" t="s">
        <v>17</v>
      </c>
      <c r="E7901" s="33" t="s">
        <v>26</v>
      </c>
      <c r="F7901" s="33" t="s">
        <v>27</v>
      </c>
      <c r="G7901" s="33" t="s">
        <v>20</v>
      </c>
      <c r="H7901" s="35">
        <v>116</v>
      </c>
      <c r="I7901" s="33" t="s">
        <v>21</v>
      </c>
      <c r="J7901" s="42">
        <v>44434</v>
      </c>
      <c r="K7901" s="33" t="s">
        <v>22</v>
      </c>
    </row>
    <row r="7902" spans="1:11">
      <c r="A7902" s="30" t="s">
        <v>18299</v>
      </c>
      <c r="B7902" s="30" t="s">
        <v>18300</v>
      </c>
      <c r="C7902" s="30" t="s">
        <v>432</v>
      </c>
      <c r="D7902" s="30" t="s">
        <v>17</v>
      </c>
      <c r="E7902" s="30" t="s">
        <v>26</v>
      </c>
      <c r="F7902" s="30" t="s">
        <v>27</v>
      </c>
      <c r="G7902" s="30" t="s">
        <v>50</v>
      </c>
      <c r="H7902" s="32">
        <v>18</v>
      </c>
      <c r="I7902" s="30" t="s">
        <v>51</v>
      </c>
      <c r="J7902" s="41">
        <v>44470</v>
      </c>
      <c r="K7902" s="30" t="s">
        <v>22</v>
      </c>
    </row>
    <row r="7903" spans="1:11">
      <c r="A7903" s="33" t="s">
        <v>18301</v>
      </c>
      <c r="B7903" s="33" t="s">
        <v>18302</v>
      </c>
      <c r="C7903" s="33" t="s">
        <v>310</v>
      </c>
      <c r="D7903" s="33" t="s">
        <v>17</v>
      </c>
      <c r="E7903" s="33" t="s">
        <v>26</v>
      </c>
      <c r="F7903" s="33" t="s">
        <v>27</v>
      </c>
      <c r="G7903" s="33" t="s">
        <v>20</v>
      </c>
      <c r="H7903" s="35">
        <v>30</v>
      </c>
      <c r="I7903" s="33" t="s">
        <v>21</v>
      </c>
      <c r="J7903" s="42">
        <v>44531</v>
      </c>
      <c r="K7903" s="33" t="s">
        <v>22</v>
      </c>
    </row>
    <row r="7904" spans="1:11">
      <c r="A7904" s="30" t="s">
        <v>18303</v>
      </c>
      <c r="B7904" s="30" t="s">
        <v>18304</v>
      </c>
      <c r="C7904" s="30" t="s">
        <v>18305</v>
      </c>
      <c r="D7904" s="30" t="s">
        <v>17</v>
      </c>
      <c r="E7904" s="30" t="s">
        <v>31</v>
      </c>
      <c r="F7904" s="30" t="s">
        <v>32</v>
      </c>
      <c r="G7904" s="30" t="s">
        <v>20</v>
      </c>
      <c r="H7904" s="32">
        <v>27</v>
      </c>
      <c r="I7904" s="30" t="s">
        <v>21</v>
      </c>
      <c r="J7904" s="41">
        <v>44390</v>
      </c>
      <c r="K7904" s="30" t="s">
        <v>22</v>
      </c>
    </row>
    <row r="7905" spans="1:11">
      <c r="A7905" s="33" t="s">
        <v>18306</v>
      </c>
      <c r="B7905" s="33" t="s">
        <v>18307</v>
      </c>
      <c r="C7905" s="33" t="s">
        <v>11040</v>
      </c>
      <c r="D7905" s="33" t="s">
        <v>17</v>
      </c>
      <c r="E7905" s="33" t="s">
        <v>212</v>
      </c>
      <c r="F7905" s="33" t="s">
        <v>213</v>
      </c>
      <c r="G7905" s="33" t="s">
        <v>20</v>
      </c>
      <c r="H7905" s="35">
        <v>22</v>
      </c>
      <c r="I7905" s="33" t="s">
        <v>21</v>
      </c>
      <c r="J7905" s="42">
        <v>44356</v>
      </c>
      <c r="K7905" s="33" t="s">
        <v>22</v>
      </c>
    </row>
    <row r="7906" spans="1:11">
      <c r="A7906" s="30" t="s">
        <v>18308</v>
      </c>
      <c r="B7906" s="30" t="s">
        <v>18309</v>
      </c>
      <c r="C7906" s="30" t="s">
        <v>1278</v>
      </c>
      <c r="D7906" s="30" t="s">
        <v>17</v>
      </c>
      <c r="E7906" s="30" t="s">
        <v>18</v>
      </c>
      <c r="F7906" s="30" t="s">
        <v>19</v>
      </c>
      <c r="G7906" s="30" t="s">
        <v>20</v>
      </c>
      <c r="H7906" s="32">
        <v>409</v>
      </c>
      <c r="I7906" s="30" t="s">
        <v>21</v>
      </c>
      <c r="J7906" s="41">
        <v>44249</v>
      </c>
      <c r="K7906" s="30" t="s">
        <v>22</v>
      </c>
    </row>
    <row r="7907" spans="1:11">
      <c r="A7907" s="33" t="s">
        <v>18310</v>
      </c>
      <c r="B7907" s="33" t="s">
        <v>18311</v>
      </c>
      <c r="C7907" s="33" t="s">
        <v>96</v>
      </c>
      <c r="D7907" s="33" t="s">
        <v>17</v>
      </c>
      <c r="E7907" s="33" t="s">
        <v>31</v>
      </c>
      <c r="F7907" s="33" t="s">
        <v>32</v>
      </c>
      <c r="G7907" s="33" t="s">
        <v>20</v>
      </c>
      <c r="H7907" s="35">
        <v>86</v>
      </c>
      <c r="I7907" s="33" t="s">
        <v>21</v>
      </c>
      <c r="J7907" s="42">
        <v>44476</v>
      </c>
      <c r="K7907" s="33" t="s">
        <v>22</v>
      </c>
    </row>
    <row r="7908" spans="1:11">
      <c r="A7908" s="30" t="s">
        <v>18312</v>
      </c>
      <c r="B7908" s="30" t="s">
        <v>18313</v>
      </c>
      <c r="C7908" s="30" t="s">
        <v>178</v>
      </c>
      <c r="D7908" s="30" t="s">
        <v>17</v>
      </c>
      <c r="E7908" s="30" t="s">
        <v>18</v>
      </c>
      <c r="F7908" s="30" t="s">
        <v>19</v>
      </c>
      <c r="G7908" s="30" t="s">
        <v>158</v>
      </c>
      <c r="H7908" s="32">
        <v>660</v>
      </c>
      <c r="I7908" s="30" t="s">
        <v>21</v>
      </c>
      <c r="J7908" s="41">
        <v>44518</v>
      </c>
      <c r="K7908" s="30" t="s">
        <v>22</v>
      </c>
    </row>
    <row r="7909" spans="1:11">
      <c r="A7909" s="33" t="s">
        <v>18314</v>
      </c>
      <c r="B7909" s="33" t="s">
        <v>18315</v>
      </c>
      <c r="C7909" s="33" t="s">
        <v>1024</v>
      </c>
      <c r="D7909" s="33" t="s">
        <v>17</v>
      </c>
      <c r="E7909" s="33" t="s">
        <v>18</v>
      </c>
      <c r="F7909" s="33" t="s">
        <v>19</v>
      </c>
      <c r="G7909" s="33" t="s">
        <v>20</v>
      </c>
      <c r="H7909" s="35">
        <v>12</v>
      </c>
      <c r="I7909" s="33" t="s">
        <v>21</v>
      </c>
      <c r="J7909" s="42">
        <v>44418</v>
      </c>
      <c r="K7909" s="33" t="s">
        <v>22</v>
      </c>
    </row>
    <row r="7910" spans="1:11">
      <c r="A7910" s="30" t="s">
        <v>18316</v>
      </c>
      <c r="B7910" s="30" t="s">
        <v>18317</v>
      </c>
      <c r="C7910" s="30" t="s">
        <v>1278</v>
      </c>
      <c r="D7910" s="30" t="s">
        <v>17</v>
      </c>
      <c r="E7910" s="30" t="s">
        <v>18</v>
      </c>
      <c r="F7910" s="30" t="s">
        <v>19</v>
      </c>
      <c r="G7910" s="30" t="s">
        <v>158</v>
      </c>
      <c r="H7910" s="32">
        <v>363</v>
      </c>
      <c r="I7910" s="30" t="s">
        <v>21</v>
      </c>
      <c r="J7910" s="41">
        <v>44288</v>
      </c>
      <c r="K7910" s="30" t="s">
        <v>22</v>
      </c>
    </row>
    <row r="7911" spans="1:11">
      <c r="A7911" s="33" t="s">
        <v>18318</v>
      </c>
      <c r="B7911" s="33" t="s">
        <v>18319</v>
      </c>
      <c r="C7911" s="33" t="s">
        <v>5493</v>
      </c>
      <c r="D7911" s="33" t="s">
        <v>17</v>
      </c>
      <c r="E7911" s="33" t="s">
        <v>18</v>
      </c>
      <c r="F7911" s="33" t="s">
        <v>19</v>
      </c>
      <c r="G7911" s="33" t="s">
        <v>158</v>
      </c>
      <c r="H7911" s="35">
        <v>62</v>
      </c>
      <c r="I7911" s="33" t="s">
        <v>21</v>
      </c>
      <c r="J7911" s="42">
        <v>44442</v>
      </c>
      <c r="K7911" s="33" t="s">
        <v>22</v>
      </c>
    </row>
    <row r="7912" spans="1:11">
      <c r="A7912" s="30" t="s">
        <v>18320</v>
      </c>
      <c r="B7912" s="30" t="s">
        <v>18321</v>
      </c>
      <c r="C7912" s="30" t="s">
        <v>154</v>
      </c>
      <c r="D7912" s="30" t="s">
        <v>17</v>
      </c>
      <c r="E7912" s="30" t="s">
        <v>26</v>
      </c>
      <c r="F7912" s="30" t="s">
        <v>27</v>
      </c>
      <c r="G7912" s="30" t="s">
        <v>158</v>
      </c>
      <c r="H7912" s="32">
        <v>64</v>
      </c>
      <c r="I7912" s="30" t="s">
        <v>21</v>
      </c>
      <c r="J7912" s="41">
        <v>44382</v>
      </c>
      <c r="K7912" s="30" t="s">
        <v>22</v>
      </c>
    </row>
    <row r="7913" spans="1:11">
      <c r="A7913" s="33" t="s">
        <v>18322</v>
      </c>
      <c r="B7913" s="33" t="s">
        <v>18323</v>
      </c>
      <c r="C7913" s="33" t="s">
        <v>18324</v>
      </c>
      <c r="D7913" s="33" t="s">
        <v>17</v>
      </c>
      <c r="E7913" s="33" t="s">
        <v>26</v>
      </c>
      <c r="F7913" s="33" t="s">
        <v>27</v>
      </c>
      <c r="G7913" s="33" t="s">
        <v>20</v>
      </c>
      <c r="H7913" s="35">
        <v>41</v>
      </c>
      <c r="I7913" s="33" t="s">
        <v>21</v>
      </c>
      <c r="J7913" s="42">
        <v>44505</v>
      </c>
      <c r="K7913" s="33" t="s">
        <v>22</v>
      </c>
    </row>
    <row r="7914" spans="1:11">
      <c r="A7914" s="30" t="s">
        <v>18325</v>
      </c>
      <c r="B7914" s="30" t="s">
        <v>18326</v>
      </c>
      <c r="C7914" s="30" t="s">
        <v>18327</v>
      </c>
      <c r="D7914" s="30" t="s">
        <v>17</v>
      </c>
      <c r="E7914" s="30" t="s">
        <v>26</v>
      </c>
      <c r="F7914" s="30" t="s">
        <v>27</v>
      </c>
      <c r="G7914" s="30" t="s">
        <v>20</v>
      </c>
      <c r="H7914" s="32">
        <v>83</v>
      </c>
      <c r="I7914" s="30" t="s">
        <v>21</v>
      </c>
      <c r="J7914" s="41">
        <v>44340</v>
      </c>
      <c r="K7914" s="30" t="s">
        <v>22</v>
      </c>
    </row>
    <row r="7915" spans="1:11">
      <c r="A7915" s="33" t="s">
        <v>18328</v>
      </c>
      <c r="B7915" s="33" t="s">
        <v>18329</v>
      </c>
      <c r="C7915" s="33" t="s">
        <v>647</v>
      </c>
      <c r="D7915" s="33" t="s">
        <v>17</v>
      </c>
      <c r="E7915" s="33" t="s">
        <v>18</v>
      </c>
      <c r="F7915" s="33" t="s">
        <v>19</v>
      </c>
      <c r="G7915" s="33" t="s">
        <v>20</v>
      </c>
      <c r="H7915" s="35">
        <v>1003</v>
      </c>
      <c r="I7915" s="33" t="s">
        <v>21</v>
      </c>
      <c r="J7915" s="42">
        <v>44530</v>
      </c>
      <c r="K7915" s="33" t="s">
        <v>22</v>
      </c>
    </row>
    <row r="7916" spans="1:11">
      <c r="A7916" s="30" t="s">
        <v>18330</v>
      </c>
      <c r="B7916" s="30" t="s">
        <v>18331</v>
      </c>
      <c r="C7916" s="30" t="s">
        <v>787</v>
      </c>
      <c r="D7916" s="30" t="s">
        <v>17</v>
      </c>
      <c r="E7916" s="30" t="s">
        <v>26</v>
      </c>
      <c r="F7916" s="30" t="s">
        <v>27</v>
      </c>
      <c r="G7916" s="30" t="s">
        <v>20</v>
      </c>
      <c r="H7916" s="32">
        <v>72</v>
      </c>
      <c r="I7916" s="30" t="s">
        <v>21</v>
      </c>
      <c r="J7916" s="41">
        <v>44422</v>
      </c>
      <c r="K7916" s="30" t="s">
        <v>22</v>
      </c>
    </row>
    <row r="7917" spans="1:11">
      <c r="A7917" s="33" t="s">
        <v>18332</v>
      </c>
      <c r="B7917" s="33" t="s">
        <v>18333</v>
      </c>
      <c r="C7917" s="33" t="s">
        <v>18334</v>
      </c>
      <c r="D7917" s="33" t="s">
        <v>17</v>
      </c>
      <c r="E7917" s="33" t="s">
        <v>67</v>
      </c>
      <c r="F7917" s="33" t="s">
        <v>68</v>
      </c>
      <c r="G7917" s="33" t="s">
        <v>20</v>
      </c>
      <c r="H7917" s="35">
        <v>42</v>
      </c>
      <c r="I7917" s="33" t="s">
        <v>21</v>
      </c>
      <c r="J7917" s="42">
        <v>44485</v>
      </c>
      <c r="K7917" s="33" t="s">
        <v>22</v>
      </c>
    </row>
    <row r="7918" spans="1:11">
      <c r="A7918" s="30" t="s">
        <v>18335</v>
      </c>
      <c r="B7918" s="30" t="s">
        <v>18336</v>
      </c>
      <c r="C7918" s="30" t="s">
        <v>18337</v>
      </c>
      <c r="D7918" s="30" t="s">
        <v>17</v>
      </c>
      <c r="E7918" s="30" t="s">
        <v>45</v>
      </c>
      <c r="F7918" s="30" t="s">
        <v>46</v>
      </c>
      <c r="G7918" s="30" t="s">
        <v>50</v>
      </c>
      <c r="H7918" s="32">
        <v>200</v>
      </c>
      <c r="I7918" s="30" t="s">
        <v>51</v>
      </c>
      <c r="J7918" s="41">
        <v>44348</v>
      </c>
      <c r="K7918" s="30" t="s">
        <v>22</v>
      </c>
    </row>
    <row r="7919" spans="1:11">
      <c r="A7919" s="33" t="s">
        <v>18338</v>
      </c>
      <c r="B7919" s="33" t="s">
        <v>18339</v>
      </c>
      <c r="C7919" s="33" t="s">
        <v>115</v>
      </c>
      <c r="D7919" s="33" t="s">
        <v>17</v>
      </c>
      <c r="E7919" s="33" t="s">
        <v>26</v>
      </c>
      <c r="F7919" s="33" t="s">
        <v>27</v>
      </c>
      <c r="G7919" s="33" t="s">
        <v>106</v>
      </c>
      <c r="H7919" s="35">
        <v>3</v>
      </c>
      <c r="I7919" s="33" t="s">
        <v>21</v>
      </c>
      <c r="J7919" s="42">
        <v>44230</v>
      </c>
      <c r="K7919" s="33" t="s">
        <v>22</v>
      </c>
    </row>
    <row r="7920" spans="1:11">
      <c r="A7920" s="30" t="s">
        <v>18340</v>
      </c>
      <c r="B7920" s="30" t="s">
        <v>18341</v>
      </c>
      <c r="C7920" s="30" t="s">
        <v>7866</v>
      </c>
      <c r="D7920" s="30" t="s">
        <v>17</v>
      </c>
      <c r="E7920" s="30" t="s">
        <v>31</v>
      </c>
      <c r="F7920" s="30" t="s">
        <v>32</v>
      </c>
      <c r="G7920" s="30" t="s">
        <v>158</v>
      </c>
      <c r="H7920" s="32">
        <v>200</v>
      </c>
      <c r="I7920" s="30" t="s">
        <v>51</v>
      </c>
      <c r="J7920" s="41">
        <v>44545</v>
      </c>
      <c r="K7920" s="30" t="s">
        <v>22</v>
      </c>
    </row>
    <row r="7921" spans="1:11">
      <c r="A7921" s="33" t="s">
        <v>18342</v>
      </c>
      <c r="B7921" s="33" t="s">
        <v>18343</v>
      </c>
      <c r="C7921" s="33" t="s">
        <v>18344</v>
      </c>
      <c r="D7921" s="33" t="s">
        <v>17</v>
      </c>
      <c r="E7921" s="33" t="s">
        <v>18</v>
      </c>
      <c r="F7921" s="33" t="s">
        <v>19</v>
      </c>
      <c r="G7921" s="33" t="s">
        <v>158</v>
      </c>
      <c r="H7921" s="35">
        <v>243</v>
      </c>
      <c r="I7921" s="33" t="s">
        <v>21</v>
      </c>
      <c r="J7921" s="42">
        <v>44207</v>
      </c>
      <c r="K7921" s="33" t="s">
        <v>22</v>
      </c>
    </row>
    <row r="7922" spans="1:11">
      <c r="A7922" s="30" t="s">
        <v>18345</v>
      </c>
      <c r="B7922" s="30" t="s">
        <v>18346</v>
      </c>
      <c r="C7922" s="30" t="s">
        <v>18347</v>
      </c>
      <c r="D7922" s="30" t="s">
        <v>17</v>
      </c>
      <c r="E7922" s="30" t="s">
        <v>26</v>
      </c>
      <c r="F7922" s="30" t="s">
        <v>27</v>
      </c>
      <c r="G7922" s="30" t="s">
        <v>50</v>
      </c>
      <c r="H7922" s="32">
        <v>30</v>
      </c>
      <c r="I7922" s="30" t="s">
        <v>51</v>
      </c>
      <c r="J7922" s="41">
        <v>44407</v>
      </c>
      <c r="K7922" s="30" t="s">
        <v>22</v>
      </c>
    </row>
    <row r="7923" spans="1:11">
      <c r="A7923" s="33" t="s">
        <v>18348</v>
      </c>
      <c r="B7923" s="33" t="s">
        <v>18349</v>
      </c>
      <c r="C7923" s="33" t="s">
        <v>7749</v>
      </c>
      <c r="D7923" s="33" t="s">
        <v>17</v>
      </c>
      <c r="E7923" s="33" t="s">
        <v>26</v>
      </c>
      <c r="F7923" s="33" t="s">
        <v>27</v>
      </c>
      <c r="G7923" s="33" t="s">
        <v>20</v>
      </c>
      <c r="H7923" s="35">
        <v>24</v>
      </c>
      <c r="I7923" s="33" t="s">
        <v>21</v>
      </c>
      <c r="J7923" s="42">
        <v>44439</v>
      </c>
      <c r="K7923" s="33" t="s">
        <v>22</v>
      </c>
    </row>
    <row r="7924" spans="1:11">
      <c r="A7924" s="30" t="s">
        <v>18350</v>
      </c>
      <c r="B7924" s="30" t="s">
        <v>18351</v>
      </c>
      <c r="C7924" s="30" t="s">
        <v>1523</v>
      </c>
      <c r="D7924" s="30" t="s">
        <v>17</v>
      </c>
      <c r="E7924" s="30" t="s">
        <v>26</v>
      </c>
      <c r="F7924" s="30" t="s">
        <v>27</v>
      </c>
      <c r="G7924" s="30" t="s">
        <v>112</v>
      </c>
      <c r="H7924" s="32">
        <v>0</v>
      </c>
      <c r="I7924" s="30" t="s">
        <v>21</v>
      </c>
      <c r="J7924" s="41">
        <v>44228</v>
      </c>
      <c r="K7924" s="30" t="s">
        <v>22</v>
      </c>
    </row>
    <row r="7925" spans="1:11">
      <c r="A7925" s="33" t="s">
        <v>18352</v>
      </c>
      <c r="B7925" s="33" t="s">
        <v>18353</v>
      </c>
      <c r="C7925" s="33" t="s">
        <v>3243</v>
      </c>
      <c r="D7925" s="33" t="s">
        <v>17</v>
      </c>
      <c r="E7925" s="33" t="s">
        <v>18</v>
      </c>
      <c r="F7925" s="33" t="s">
        <v>19</v>
      </c>
      <c r="G7925" s="33" t="s">
        <v>20</v>
      </c>
      <c r="H7925" s="35">
        <v>533</v>
      </c>
      <c r="I7925" s="33" t="s">
        <v>21</v>
      </c>
      <c r="J7925" s="42">
        <v>44383</v>
      </c>
      <c r="K7925" s="33" t="s">
        <v>22</v>
      </c>
    </row>
    <row r="7926" spans="1:11">
      <c r="A7926" s="30" t="s">
        <v>18354</v>
      </c>
      <c r="B7926" s="30" t="s">
        <v>18355</v>
      </c>
      <c r="C7926" s="30" t="s">
        <v>18356</v>
      </c>
      <c r="D7926" s="30" t="s">
        <v>17</v>
      </c>
      <c r="E7926" s="30" t="s">
        <v>26</v>
      </c>
      <c r="F7926" s="30" t="s">
        <v>27</v>
      </c>
      <c r="G7926" s="30" t="s">
        <v>20</v>
      </c>
      <c r="H7926" s="32">
        <v>38</v>
      </c>
      <c r="I7926" s="30" t="s">
        <v>21</v>
      </c>
      <c r="J7926" s="41">
        <v>44358</v>
      </c>
      <c r="K7926" s="30" t="s">
        <v>22</v>
      </c>
    </row>
    <row r="7927" spans="1:11">
      <c r="A7927" s="33" t="s">
        <v>18357</v>
      </c>
      <c r="B7927" s="33" t="s">
        <v>18358</v>
      </c>
      <c r="C7927" s="33" t="s">
        <v>1406</v>
      </c>
      <c r="D7927" s="33" t="s">
        <v>17</v>
      </c>
      <c r="E7927" s="33" t="s">
        <v>31</v>
      </c>
      <c r="F7927" s="33" t="s">
        <v>32</v>
      </c>
      <c r="G7927" s="33" t="s">
        <v>20</v>
      </c>
      <c r="H7927" s="35">
        <v>45</v>
      </c>
      <c r="I7927" s="33" t="s">
        <v>21</v>
      </c>
      <c r="J7927" s="42">
        <v>44257</v>
      </c>
      <c r="K7927" s="33" t="s">
        <v>22</v>
      </c>
    </row>
    <row r="7928" spans="1:11">
      <c r="A7928" s="30" t="s">
        <v>18359</v>
      </c>
      <c r="B7928" s="30" t="s">
        <v>18360</v>
      </c>
      <c r="C7928" s="30" t="s">
        <v>1191</v>
      </c>
      <c r="D7928" s="30" t="s">
        <v>17</v>
      </c>
      <c r="E7928" s="30" t="s">
        <v>212</v>
      </c>
      <c r="F7928" s="30" t="s">
        <v>213</v>
      </c>
      <c r="G7928" s="30" t="s">
        <v>50</v>
      </c>
      <c r="H7928" s="32">
        <v>1440</v>
      </c>
      <c r="I7928" s="30" t="s">
        <v>51</v>
      </c>
      <c r="J7928" s="41">
        <v>44501</v>
      </c>
      <c r="K7928" s="30" t="s">
        <v>22</v>
      </c>
    </row>
    <row r="7929" spans="1:11">
      <c r="A7929" s="33" t="s">
        <v>18361</v>
      </c>
      <c r="B7929" s="33" t="s">
        <v>18362</v>
      </c>
      <c r="C7929" s="33" t="s">
        <v>9737</v>
      </c>
      <c r="D7929" s="33" t="s">
        <v>17</v>
      </c>
      <c r="E7929" s="33" t="s">
        <v>26</v>
      </c>
      <c r="F7929" s="33" t="s">
        <v>27</v>
      </c>
      <c r="G7929" s="33" t="s">
        <v>106</v>
      </c>
      <c r="H7929" s="35">
        <v>8</v>
      </c>
      <c r="I7929" s="33" t="s">
        <v>21</v>
      </c>
      <c r="J7929" s="42">
        <v>44490</v>
      </c>
      <c r="K7929" s="33" t="s">
        <v>22</v>
      </c>
    </row>
    <row r="7930" spans="1:11">
      <c r="A7930" s="30" t="s">
        <v>18363</v>
      </c>
      <c r="B7930" s="30" t="s">
        <v>18364</v>
      </c>
      <c r="C7930" s="30" t="s">
        <v>1151</v>
      </c>
      <c r="D7930" s="30" t="s">
        <v>17</v>
      </c>
      <c r="E7930" s="30" t="s">
        <v>18</v>
      </c>
      <c r="F7930" s="30" t="s">
        <v>19</v>
      </c>
      <c r="G7930" s="30" t="s">
        <v>20</v>
      </c>
      <c r="H7930" s="32">
        <v>75</v>
      </c>
      <c r="I7930" s="30" t="s">
        <v>21</v>
      </c>
      <c r="J7930" s="41">
        <v>44544</v>
      </c>
      <c r="K7930" s="30" t="s">
        <v>22</v>
      </c>
    </row>
    <row r="7931" spans="1:11">
      <c r="A7931" s="33" t="s">
        <v>18365</v>
      </c>
      <c r="B7931" s="33" t="s">
        <v>18366</v>
      </c>
      <c r="C7931" s="33" t="s">
        <v>7388</v>
      </c>
      <c r="D7931" s="33" t="s">
        <v>17</v>
      </c>
      <c r="E7931" s="33" t="s">
        <v>31</v>
      </c>
      <c r="F7931" s="33" t="s">
        <v>32</v>
      </c>
      <c r="G7931" s="33" t="s">
        <v>20</v>
      </c>
      <c r="H7931" s="35">
        <v>40</v>
      </c>
      <c r="I7931" s="33" t="s">
        <v>21</v>
      </c>
      <c r="J7931" s="42">
        <v>44482</v>
      </c>
      <c r="K7931" s="33" t="s">
        <v>22</v>
      </c>
    </row>
    <row r="7932" spans="1:11">
      <c r="A7932" s="30" t="s">
        <v>18367</v>
      </c>
      <c r="B7932" s="30" t="s">
        <v>18368</v>
      </c>
      <c r="C7932" s="30" t="s">
        <v>12321</v>
      </c>
      <c r="D7932" s="30" t="s">
        <v>17</v>
      </c>
      <c r="E7932" s="30" t="s">
        <v>31</v>
      </c>
      <c r="F7932" s="30" t="s">
        <v>32</v>
      </c>
      <c r="G7932" s="30" t="s">
        <v>50</v>
      </c>
      <c r="H7932" s="32">
        <v>34</v>
      </c>
      <c r="I7932" s="30" t="s">
        <v>21</v>
      </c>
      <c r="J7932" s="41">
        <v>44424</v>
      </c>
      <c r="K7932" s="30" t="s">
        <v>22</v>
      </c>
    </row>
    <row r="7933" spans="1:11">
      <c r="A7933" s="33" t="s">
        <v>18369</v>
      </c>
      <c r="B7933" s="33" t="s">
        <v>18370</v>
      </c>
      <c r="C7933" s="33" t="s">
        <v>190</v>
      </c>
      <c r="D7933" s="33" t="s">
        <v>17</v>
      </c>
      <c r="E7933" s="33" t="s">
        <v>18</v>
      </c>
      <c r="F7933" s="33" t="s">
        <v>19</v>
      </c>
      <c r="G7933" s="33" t="s">
        <v>140</v>
      </c>
      <c r="H7933" s="35">
        <v>895</v>
      </c>
      <c r="I7933" s="33" t="s">
        <v>51</v>
      </c>
      <c r="J7933" s="42">
        <v>44326</v>
      </c>
      <c r="K7933" s="33" t="s">
        <v>22</v>
      </c>
    </row>
    <row r="7934" spans="1:11">
      <c r="A7934" s="30" t="s">
        <v>18371</v>
      </c>
      <c r="B7934" s="30" t="s">
        <v>18372</v>
      </c>
      <c r="C7934" s="30" t="s">
        <v>18373</v>
      </c>
      <c r="D7934" s="30" t="s">
        <v>17</v>
      </c>
      <c r="E7934" s="30" t="s">
        <v>18</v>
      </c>
      <c r="F7934" s="30" t="s">
        <v>19</v>
      </c>
      <c r="G7934" s="30" t="s">
        <v>106</v>
      </c>
      <c r="H7934" s="32">
        <v>93</v>
      </c>
      <c r="I7934" s="30" t="s">
        <v>21</v>
      </c>
      <c r="J7934" s="41">
        <v>44285</v>
      </c>
      <c r="K7934" s="30" t="s">
        <v>22</v>
      </c>
    </row>
    <row r="7935" spans="1:11">
      <c r="A7935" s="33" t="s">
        <v>18374</v>
      </c>
      <c r="B7935" s="33" t="s">
        <v>18375</v>
      </c>
      <c r="C7935" s="33" t="s">
        <v>4668</v>
      </c>
      <c r="D7935" s="33" t="s">
        <v>17</v>
      </c>
      <c r="E7935" s="33" t="s">
        <v>26</v>
      </c>
      <c r="F7935" s="33" t="s">
        <v>27</v>
      </c>
      <c r="G7935" s="33" t="s">
        <v>20</v>
      </c>
      <c r="H7935" s="35">
        <v>100</v>
      </c>
      <c r="I7935" s="33" t="s">
        <v>21</v>
      </c>
      <c r="J7935" s="42">
        <v>44256</v>
      </c>
      <c r="K7935" s="33" t="s">
        <v>22</v>
      </c>
    </row>
    <row r="7936" spans="1:11">
      <c r="A7936" s="30" t="s">
        <v>18376</v>
      </c>
      <c r="B7936" s="30" t="s">
        <v>18377</v>
      </c>
      <c r="C7936" s="30" t="s">
        <v>154</v>
      </c>
      <c r="D7936" s="30" t="s">
        <v>17</v>
      </c>
      <c r="E7936" s="30" t="s">
        <v>31</v>
      </c>
      <c r="F7936" s="30" t="s">
        <v>32</v>
      </c>
      <c r="G7936" s="30" t="s">
        <v>20</v>
      </c>
      <c r="H7936" s="32">
        <v>94</v>
      </c>
      <c r="I7936" s="30" t="s">
        <v>21</v>
      </c>
      <c r="J7936" s="41">
        <v>44428</v>
      </c>
      <c r="K7936" s="30" t="s">
        <v>22</v>
      </c>
    </row>
    <row r="7937" spans="1:11">
      <c r="A7937" s="33" t="s">
        <v>18378</v>
      </c>
      <c r="B7937" s="33" t="s">
        <v>18379</v>
      </c>
      <c r="C7937" s="33" t="s">
        <v>10732</v>
      </c>
      <c r="D7937" s="33" t="s">
        <v>17</v>
      </c>
      <c r="E7937" s="33" t="s">
        <v>31</v>
      </c>
      <c r="F7937" s="33" t="s">
        <v>32</v>
      </c>
      <c r="G7937" s="33" t="s">
        <v>20</v>
      </c>
      <c r="H7937" s="35">
        <v>15</v>
      </c>
      <c r="I7937" s="33" t="s">
        <v>21</v>
      </c>
      <c r="J7937" s="42">
        <v>44475</v>
      </c>
      <c r="K7937" s="33" t="s">
        <v>22</v>
      </c>
    </row>
    <row r="7938" spans="1:11">
      <c r="A7938" s="30" t="s">
        <v>18380</v>
      </c>
      <c r="B7938" s="30" t="s">
        <v>18381</v>
      </c>
      <c r="C7938" s="30" t="s">
        <v>130</v>
      </c>
      <c r="D7938" s="30" t="s">
        <v>17</v>
      </c>
      <c r="E7938" s="30" t="s">
        <v>26</v>
      </c>
      <c r="F7938" s="30" t="s">
        <v>27</v>
      </c>
      <c r="G7938" s="30" t="s">
        <v>20</v>
      </c>
      <c r="H7938" s="32">
        <v>48</v>
      </c>
      <c r="I7938" s="30" t="s">
        <v>21</v>
      </c>
      <c r="J7938" s="41">
        <v>44320</v>
      </c>
      <c r="K7938" s="30" t="s">
        <v>22</v>
      </c>
    </row>
    <row r="7939" spans="1:11">
      <c r="A7939" s="33" t="s">
        <v>18382</v>
      </c>
      <c r="B7939" s="33" t="s">
        <v>18383</v>
      </c>
      <c r="C7939" s="33" t="s">
        <v>1270</v>
      </c>
      <c r="D7939" s="33" t="s">
        <v>17</v>
      </c>
      <c r="E7939" s="33" t="s">
        <v>26</v>
      </c>
      <c r="F7939" s="33" t="s">
        <v>27</v>
      </c>
      <c r="G7939" s="33" t="s">
        <v>20</v>
      </c>
      <c r="H7939" s="35">
        <v>84</v>
      </c>
      <c r="I7939" s="33" t="s">
        <v>21</v>
      </c>
      <c r="J7939" s="42">
        <v>44513</v>
      </c>
      <c r="K7939" s="33" t="s">
        <v>22</v>
      </c>
    </row>
    <row r="7940" spans="1:11">
      <c r="A7940" s="30" t="s">
        <v>18384</v>
      </c>
      <c r="B7940" s="30" t="s">
        <v>18385</v>
      </c>
      <c r="C7940" s="30" t="s">
        <v>44</v>
      </c>
      <c r="D7940" s="30" t="s">
        <v>17</v>
      </c>
      <c r="E7940" s="30" t="s">
        <v>31</v>
      </c>
      <c r="F7940" s="30" t="s">
        <v>32</v>
      </c>
      <c r="G7940" s="30" t="s">
        <v>106</v>
      </c>
      <c r="H7940" s="32">
        <v>7</v>
      </c>
      <c r="I7940" s="30" t="s">
        <v>21</v>
      </c>
      <c r="J7940" s="41">
        <v>44452</v>
      </c>
      <c r="K7940" s="30" t="s">
        <v>22</v>
      </c>
    </row>
    <row r="7941" spans="1:11">
      <c r="A7941" s="33" t="s">
        <v>18386</v>
      </c>
      <c r="B7941" s="33" t="s">
        <v>18387</v>
      </c>
      <c r="C7941" s="33" t="s">
        <v>18388</v>
      </c>
      <c r="D7941" s="33" t="s">
        <v>17</v>
      </c>
      <c r="E7941" s="33" t="s">
        <v>26</v>
      </c>
      <c r="F7941" s="33" t="s">
        <v>27</v>
      </c>
      <c r="G7941" s="33" t="s">
        <v>106</v>
      </c>
      <c r="H7941" s="35">
        <v>7</v>
      </c>
      <c r="I7941" s="33" t="s">
        <v>21</v>
      </c>
      <c r="J7941" s="42">
        <v>44326</v>
      </c>
      <c r="K7941" s="33" t="s">
        <v>22</v>
      </c>
    </row>
    <row r="7942" spans="1:11">
      <c r="A7942" s="30" t="s">
        <v>18389</v>
      </c>
      <c r="B7942" s="30" t="s">
        <v>18390</v>
      </c>
      <c r="C7942" s="30" t="s">
        <v>6103</v>
      </c>
      <c r="D7942" s="30" t="s">
        <v>17</v>
      </c>
      <c r="E7942" s="30" t="s">
        <v>31</v>
      </c>
      <c r="F7942" s="30" t="s">
        <v>32</v>
      </c>
      <c r="G7942" s="30" t="s">
        <v>106</v>
      </c>
      <c r="H7942" s="32">
        <v>177</v>
      </c>
      <c r="I7942" s="30" t="s">
        <v>21</v>
      </c>
      <c r="J7942" s="41">
        <v>44323</v>
      </c>
      <c r="K7942" s="30" t="s">
        <v>22</v>
      </c>
    </row>
    <row r="7943" spans="1:11">
      <c r="A7943" s="33" t="s">
        <v>18391</v>
      </c>
      <c r="B7943" s="33" t="s">
        <v>18392</v>
      </c>
      <c r="C7943" s="33" t="s">
        <v>3571</v>
      </c>
      <c r="D7943" s="33" t="s">
        <v>17</v>
      </c>
      <c r="E7943" s="33" t="s">
        <v>67</v>
      </c>
      <c r="F7943" s="33" t="s">
        <v>68</v>
      </c>
      <c r="G7943" s="33" t="s">
        <v>106</v>
      </c>
      <c r="H7943" s="35">
        <v>21</v>
      </c>
      <c r="I7943" s="33" t="s">
        <v>21</v>
      </c>
      <c r="J7943" s="42">
        <v>44494</v>
      </c>
      <c r="K7943" s="33" t="s">
        <v>22</v>
      </c>
    </row>
    <row r="7944" spans="1:11">
      <c r="A7944" s="30" t="s">
        <v>18393</v>
      </c>
      <c r="B7944" s="30" t="s">
        <v>18394</v>
      </c>
      <c r="C7944" s="30" t="s">
        <v>1058</v>
      </c>
      <c r="D7944" s="30" t="s">
        <v>17</v>
      </c>
      <c r="E7944" s="30" t="s">
        <v>26</v>
      </c>
      <c r="F7944" s="30" t="s">
        <v>27</v>
      </c>
      <c r="G7944" s="30" t="s">
        <v>50</v>
      </c>
      <c r="H7944" s="32">
        <v>20</v>
      </c>
      <c r="I7944" s="30" t="s">
        <v>51</v>
      </c>
      <c r="J7944" s="41">
        <v>44494</v>
      </c>
      <c r="K7944" s="30" t="s">
        <v>22</v>
      </c>
    </row>
    <row r="7945" spans="1:11">
      <c r="A7945" s="33" t="s">
        <v>18395</v>
      </c>
      <c r="B7945" s="33" t="s">
        <v>18396</v>
      </c>
      <c r="C7945" s="33" t="s">
        <v>102</v>
      </c>
      <c r="D7945" s="33" t="s">
        <v>17</v>
      </c>
      <c r="E7945" s="33" t="s">
        <v>26</v>
      </c>
      <c r="F7945" s="33" t="s">
        <v>27</v>
      </c>
      <c r="G7945" s="33" t="s">
        <v>158</v>
      </c>
      <c r="H7945" s="35">
        <v>183</v>
      </c>
      <c r="I7945" s="33" t="s">
        <v>21</v>
      </c>
      <c r="J7945" s="42">
        <v>44319</v>
      </c>
      <c r="K7945" s="33" t="s">
        <v>22</v>
      </c>
    </row>
    <row r="7946" spans="1:11">
      <c r="A7946" s="30" t="s">
        <v>18397</v>
      </c>
      <c r="B7946" s="30" t="s">
        <v>18398</v>
      </c>
      <c r="C7946" s="30" t="s">
        <v>1191</v>
      </c>
      <c r="D7946" s="30" t="s">
        <v>17</v>
      </c>
      <c r="E7946" s="30" t="s">
        <v>212</v>
      </c>
      <c r="F7946" s="30" t="s">
        <v>213</v>
      </c>
      <c r="G7946" s="30" t="s">
        <v>50</v>
      </c>
      <c r="H7946" s="32">
        <v>400</v>
      </c>
      <c r="I7946" s="30" t="s">
        <v>51</v>
      </c>
      <c r="J7946" s="41">
        <v>44477</v>
      </c>
      <c r="K7946" s="30" t="s">
        <v>22</v>
      </c>
    </row>
    <row r="7947" spans="1:11">
      <c r="A7947" s="33" t="s">
        <v>18399</v>
      </c>
      <c r="B7947" s="33" t="s">
        <v>18400</v>
      </c>
      <c r="C7947" s="33" t="s">
        <v>18401</v>
      </c>
      <c r="D7947" s="33" t="s">
        <v>17</v>
      </c>
      <c r="E7947" s="33" t="s">
        <v>18</v>
      </c>
      <c r="F7947" s="33" t="s">
        <v>19</v>
      </c>
      <c r="G7947" s="33" t="s">
        <v>50</v>
      </c>
      <c r="H7947" s="35">
        <v>150</v>
      </c>
      <c r="I7947" s="33" t="s">
        <v>51</v>
      </c>
      <c r="J7947" s="42">
        <v>44551</v>
      </c>
      <c r="K7947" s="33" t="s">
        <v>22</v>
      </c>
    </row>
    <row r="7948" spans="1:11">
      <c r="A7948" s="30" t="s">
        <v>18402</v>
      </c>
      <c r="B7948" s="30" t="s">
        <v>18403</v>
      </c>
      <c r="C7948" s="30" t="s">
        <v>136</v>
      </c>
      <c r="D7948" s="30" t="s">
        <v>17</v>
      </c>
      <c r="E7948" s="30" t="s">
        <v>18</v>
      </c>
      <c r="F7948" s="30" t="s">
        <v>19</v>
      </c>
      <c r="G7948" s="30" t="s">
        <v>20</v>
      </c>
      <c r="H7948" s="32">
        <v>579</v>
      </c>
      <c r="I7948" s="30" t="s">
        <v>21</v>
      </c>
      <c r="J7948" s="41">
        <v>44284</v>
      </c>
      <c r="K7948" s="30" t="s">
        <v>22</v>
      </c>
    </row>
    <row r="7949" spans="1:11">
      <c r="A7949" s="33" t="s">
        <v>18404</v>
      </c>
      <c r="B7949" s="33" t="s">
        <v>18405</v>
      </c>
      <c r="C7949" s="33" t="s">
        <v>4029</v>
      </c>
      <c r="D7949" s="33" t="s">
        <v>17</v>
      </c>
      <c r="E7949" s="33" t="s">
        <v>18</v>
      </c>
      <c r="F7949" s="33" t="s">
        <v>19</v>
      </c>
      <c r="G7949" s="33" t="s">
        <v>158</v>
      </c>
      <c r="H7949" s="35">
        <v>398</v>
      </c>
      <c r="I7949" s="33" t="s">
        <v>51</v>
      </c>
      <c r="J7949" s="42">
        <v>44314</v>
      </c>
      <c r="K7949" s="33" t="s">
        <v>22</v>
      </c>
    </row>
    <row r="7950" spans="1:11">
      <c r="A7950" s="30" t="s">
        <v>18406</v>
      </c>
      <c r="B7950" s="30" t="s">
        <v>18407</v>
      </c>
      <c r="C7950" s="30" t="s">
        <v>3934</v>
      </c>
      <c r="D7950" s="30" t="s">
        <v>17</v>
      </c>
      <c r="E7950" s="30" t="s">
        <v>31</v>
      </c>
      <c r="F7950" s="30" t="s">
        <v>32</v>
      </c>
      <c r="G7950" s="30" t="s">
        <v>20</v>
      </c>
      <c r="H7950" s="32">
        <v>110</v>
      </c>
      <c r="I7950" s="30" t="s">
        <v>21</v>
      </c>
      <c r="J7950" s="41">
        <v>44371</v>
      </c>
      <c r="K7950" s="30" t="s">
        <v>22</v>
      </c>
    </row>
    <row r="7951" spans="1:11">
      <c r="A7951" s="33" t="s">
        <v>18408</v>
      </c>
      <c r="B7951" s="33" t="s">
        <v>18409</v>
      </c>
      <c r="C7951" s="33" t="s">
        <v>18410</v>
      </c>
      <c r="D7951" s="33" t="s">
        <v>17</v>
      </c>
      <c r="E7951" s="33" t="s">
        <v>26</v>
      </c>
      <c r="F7951" s="33" t="s">
        <v>27</v>
      </c>
      <c r="G7951" s="33" t="s">
        <v>106</v>
      </c>
      <c r="H7951" s="35">
        <v>22</v>
      </c>
      <c r="I7951" s="33" t="s">
        <v>21</v>
      </c>
      <c r="J7951" s="42">
        <v>44541</v>
      </c>
      <c r="K7951" s="33" t="s">
        <v>22</v>
      </c>
    </row>
    <row r="7952" spans="1:11">
      <c r="A7952" s="30" t="s">
        <v>18411</v>
      </c>
      <c r="B7952" s="30" t="s">
        <v>18412</v>
      </c>
      <c r="C7952" s="30" t="s">
        <v>554</v>
      </c>
      <c r="D7952" s="30" t="s">
        <v>17</v>
      </c>
      <c r="E7952" s="30" t="s">
        <v>26</v>
      </c>
      <c r="F7952" s="30" t="s">
        <v>27</v>
      </c>
      <c r="G7952" s="30" t="s">
        <v>20</v>
      </c>
      <c r="H7952" s="32">
        <v>8</v>
      </c>
      <c r="I7952" s="30" t="s">
        <v>21</v>
      </c>
      <c r="J7952" s="41">
        <v>44333</v>
      </c>
      <c r="K7952" s="30" t="s">
        <v>22</v>
      </c>
    </row>
    <row r="7953" spans="1:11">
      <c r="A7953" s="33" t="s">
        <v>18413</v>
      </c>
      <c r="B7953" s="33" t="s">
        <v>18414</v>
      </c>
      <c r="C7953" s="33" t="s">
        <v>6703</v>
      </c>
      <c r="D7953" s="33" t="s">
        <v>17</v>
      </c>
      <c r="E7953" s="33" t="s">
        <v>18</v>
      </c>
      <c r="F7953" s="33" t="s">
        <v>19</v>
      </c>
      <c r="G7953" s="33" t="s">
        <v>112</v>
      </c>
      <c r="H7953" s="35">
        <v>0</v>
      </c>
      <c r="I7953" s="33" t="s">
        <v>21</v>
      </c>
      <c r="J7953" s="42">
        <v>44235</v>
      </c>
      <c r="K7953" s="33" t="s">
        <v>22</v>
      </c>
    </row>
    <row r="7954" spans="1:11">
      <c r="A7954" s="30" t="s">
        <v>18415</v>
      </c>
      <c r="B7954" s="30" t="s">
        <v>18416</v>
      </c>
      <c r="C7954" s="30" t="s">
        <v>969</v>
      </c>
      <c r="D7954" s="30" t="s">
        <v>17</v>
      </c>
      <c r="E7954" s="30" t="s">
        <v>18</v>
      </c>
      <c r="F7954" s="30" t="s">
        <v>19</v>
      </c>
      <c r="G7954" s="30" t="s">
        <v>20</v>
      </c>
      <c r="H7954" s="32">
        <v>2013</v>
      </c>
      <c r="I7954" s="30" t="s">
        <v>21</v>
      </c>
      <c r="J7954" s="41">
        <v>44476</v>
      </c>
      <c r="K7954" s="30" t="s">
        <v>22</v>
      </c>
    </row>
    <row r="7955" spans="1:11">
      <c r="A7955" s="33" t="s">
        <v>18417</v>
      </c>
      <c r="B7955" s="33" t="s">
        <v>18418</v>
      </c>
      <c r="C7955" s="33" t="s">
        <v>310</v>
      </c>
      <c r="D7955" s="33" t="s">
        <v>17</v>
      </c>
      <c r="E7955" s="33" t="s">
        <v>26</v>
      </c>
      <c r="F7955" s="33" t="s">
        <v>27</v>
      </c>
      <c r="G7955" s="33" t="s">
        <v>20</v>
      </c>
      <c r="H7955" s="35">
        <v>73</v>
      </c>
      <c r="I7955" s="33" t="s">
        <v>21</v>
      </c>
      <c r="J7955" s="42">
        <v>44539</v>
      </c>
      <c r="K7955" s="33" t="s">
        <v>22</v>
      </c>
    </row>
    <row r="7956" spans="1:11">
      <c r="A7956" s="30" t="s">
        <v>18419</v>
      </c>
      <c r="B7956" s="30" t="s">
        <v>18420</v>
      </c>
      <c r="C7956" s="30" t="s">
        <v>7094</v>
      </c>
      <c r="D7956" s="30" t="s">
        <v>17</v>
      </c>
      <c r="E7956" s="30" t="s">
        <v>18</v>
      </c>
      <c r="F7956" s="30" t="s">
        <v>19</v>
      </c>
      <c r="G7956" s="30" t="s">
        <v>20</v>
      </c>
      <c r="H7956" s="32">
        <v>295</v>
      </c>
      <c r="I7956" s="30" t="s">
        <v>21</v>
      </c>
      <c r="J7956" s="41">
        <v>44269</v>
      </c>
      <c r="K7956" s="30" t="s">
        <v>22</v>
      </c>
    </row>
    <row r="7957" spans="1:11">
      <c r="A7957" s="33" t="s">
        <v>18421</v>
      </c>
      <c r="B7957" s="33" t="s">
        <v>18422</v>
      </c>
      <c r="C7957" s="33" t="s">
        <v>1237</v>
      </c>
      <c r="D7957" s="33" t="s">
        <v>17</v>
      </c>
      <c r="E7957" s="33" t="s">
        <v>26</v>
      </c>
      <c r="F7957" s="33" t="s">
        <v>27</v>
      </c>
      <c r="G7957" s="33" t="s">
        <v>20</v>
      </c>
      <c r="H7957" s="35">
        <v>30</v>
      </c>
      <c r="I7957" s="33" t="s">
        <v>21</v>
      </c>
      <c r="J7957" s="42">
        <v>44441</v>
      </c>
      <c r="K7957" s="33" t="s">
        <v>22</v>
      </c>
    </row>
    <row r="7958" spans="1:11">
      <c r="A7958" s="30" t="s">
        <v>18423</v>
      </c>
      <c r="B7958" s="30" t="s">
        <v>18424</v>
      </c>
      <c r="C7958" s="30" t="s">
        <v>190</v>
      </c>
      <c r="D7958" s="30" t="s">
        <v>17</v>
      </c>
      <c r="E7958" s="30" t="s">
        <v>18</v>
      </c>
      <c r="F7958" s="30" t="s">
        <v>19</v>
      </c>
      <c r="G7958" s="30" t="s">
        <v>106</v>
      </c>
      <c r="H7958" s="32">
        <v>1112</v>
      </c>
      <c r="I7958" s="30" t="s">
        <v>21</v>
      </c>
      <c r="J7958" s="41">
        <v>44469</v>
      </c>
      <c r="K7958" s="30" t="s">
        <v>22</v>
      </c>
    </row>
    <row r="7959" spans="1:11">
      <c r="A7959" s="33" t="s">
        <v>18425</v>
      </c>
      <c r="B7959" s="33" t="s">
        <v>18426</v>
      </c>
      <c r="C7959" s="33" t="s">
        <v>2434</v>
      </c>
      <c r="D7959" s="33" t="s">
        <v>17</v>
      </c>
      <c r="E7959" s="33" t="s">
        <v>67</v>
      </c>
      <c r="F7959" s="33" t="s">
        <v>68</v>
      </c>
      <c r="G7959" s="33" t="s">
        <v>20</v>
      </c>
      <c r="H7959" s="35">
        <v>58</v>
      </c>
      <c r="I7959" s="33" t="s">
        <v>21</v>
      </c>
      <c r="J7959" s="42">
        <v>44270</v>
      </c>
      <c r="K7959" s="33" t="s">
        <v>22</v>
      </c>
    </row>
    <row r="7960" spans="1:11">
      <c r="A7960" s="30" t="s">
        <v>18427</v>
      </c>
      <c r="B7960" s="30" t="s">
        <v>18428</v>
      </c>
      <c r="C7960" s="30" t="s">
        <v>1313</v>
      </c>
      <c r="D7960" s="30" t="s">
        <v>17</v>
      </c>
      <c r="E7960" s="30" t="s">
        <v>31</v>
      </c>
      <c r="F7960" s="30" t="s">
        <v>32</v>
      </c>
      <c r="G7960" s="30" t="s">
        <v>20</v>
      </c>
      <c r="H7960" s="32">
        <v>97</v>
      </c>
      <c r="I7960" s="30" t="s">
        <v>21</v>
      </c>
      <c r="J7960" s="41">
        <v>44516</v>
      </c>
      <c r="K7960" s="30" t="s">
        <v>22</v>
      </c>
    </row>
    <row r="7961" spans="1:11">
      <c r="A7961" s="33" t="s">
        <v>18429</v>
      </c>
      <c r="B7961" s="33" t="s">
        <v>18430</v>
      </c>
      <c r="C7961" s="33" t="s">
        <v>18431</v>
      </c>
      <c r="D7961" s="33" t="s">
        <v>17</v>
      </c>
      <c r="E7961" s="33" t="s">
        <v>26</v>
      </c>
      <c r="F7961" s="33" t="s">
        <v>27</v>
      </c>
      <c r="G7961" s="33" t="s">
        <v>20</v>
      </c>
      <c r="H7961" s="35">
        <v>28</v>
      </c>
      <c r="I7961" s="33" t="s">
        <v>21</v>
      </c>
      <c r="J7961" s="42">
        <v>44296</v>
      </c>
      <c r="K7961" s="33" t="s">
        <v>22</v>
      </c>
    </row>
    <row r="7962" spans="1:11">
      <c r="A7962" s="30" t="s">
        <v>18432</v>
      </c>
      <c r="B7962" s="30" t="s">
        <v>18433</v>
      </c>
      <c r="C7962" s="30" t="s">
        <v>9999</v>
      </c>
      <c r="D7962" s="30" t="s">
        <v>17</v>
      </c>
      <c r="E7962" s="30" t="s">
        <v>26</v>
      </c>
      <c r="F7962" s="30" t="s">
        <v>27</v>
      </c>
      <c r="G7962" s="30" t="s">
        <v>50</v>
      </c>
      <c r="H7962" s="32">
        <v>6</v>
      </c>
      <c r="I7962" s="30" t="s">
        <v>51</v>
      </c>
      <c r="J7962" s="41">
        <v>44522</v>
      </c>
      <c r="K7962" s="30" t="s">
        <v>22</v>
      </c>
    </row>
    <row r="7963" spans="1:11">
      <c r="A7963" s="33" t="s">
        <v>18434</v>
      </c>
      <c r="B7963" s="33" t="s">
        <v>18435</v>
      </c>
      <c r="C7963" s="33" t="s">
        <v>118</v>
      </c>
      <c r="D7963" s="33" t="s">
        <v>17</v>
      </c>
      <c r="E7963" s="33" t="s">
        <v>31</v>
      </c>
      <c r="F7963" s="33" t="s">
        <v>32</v>
      </c>
      <c r="G7963" s="33" t="s">
        <v>20</v>
      </c>
      <c r="H7963" s="35">
        <v>175</v>
      </c>
      <c r="I7963" s="33" t="s">
        <v>21</v>
      </c>
      <c r="J7963" s="42">
        <v>44230</v>
      </c>
      <c r="K7963" s="33" t="s">
        <v>22</v>
      </c>
    </row>
    <row r="7964" spans="1:11">
      <c r="A7964" s="30" t="s">
        <v>18436</v>
      </c>
      <c r="B7964" s="30" t="s">
        <v>18437</v>
      </c>
      <c r="C7964" s="30" t="s">
        <v>18438</v>
      </c>
      <c r="D7964" s="30" t="s">
        <v>17</v>
      </c>
      <c r="E7964" s="30" t="s">
        <v>31</v>
      </c>
      <c r="F7964" s="30" t="s">
        <v>32</v>
      </c>
      <c r="G7964" s="30" t="s">
        <v>158</v>
      </c>
      <c r="H7964" s="32">
        <v>6</v>
      </c>
      <c r="I7964" s="30" t="s">
        <v>21</v>
      </c>
      <c r="J7964" s="41">
        <v>44370</v>
      </c>
      <c r="K7964" s="30" t="s">
        <v>22</v>
      </c>
    </row>
    <row r="7965" spans="1:11">
      <c r="A7965" s="33" t="s">
        <v>18439</v>
      </c>
      <c r="B7965" s="33" t="s">
        <v>18440</v>
      </c>
      <c r="C7965" s="33" t="s">
        <v>170</v>
      </c>
      <c r="D7965" s="33" t="s">
        <v>17</v>
      </c>
      <c r="E7965" s="33" t="s">
        <v>18</v>
      </c>
      <c r="F7965" s="33" t="s">
        <v>19</v>
      </c>
      <c r="G7965" s="33" t="s">
        <v>20</v>
      </c>
      <c r="H7965" s="35">
        <v>519</v>
      </c>
      <c r="I7965" s="33" t="s">
        <v>21</v>
      </c>
      <c r="J7965" s="42">
        <v>44263</v>
      </c>
      <c r="K7965" s="33" t="s">
        <v>22</v>
      </c>
    </row>
    <row r="7966" spans="1:11">
      <c r="A7966" s="30" t="s">
        <v>18441</v>
      </c>
      <c r="B7966" s="30" t="s">
        <v>18442</v>
      </c>
      <c r="C7966" s="30" t="s">
        <v>2772</v>
      </c>
      <c r="D7966" s="30" t="s">
        <v>17</v>
      </c>
      <c r="E7966" s="30" t="s">
        <v>26</v>
      </c>
      <c r="F7966" s="30" t="s">
        <v>27</v>
      </c>
      <c r="G7966" s="30" t="s">
        <v>50</v>
      </c>
      <c r="H7966" s="32">
        <v>131</v>
      </c>
      <c r="I7966" s="30" t="s">
        <v>21</v>
      </c>
      <c r="J7966" s="41">
        <v>44235</v>
      </c>
      <c r="K7966" s="30" t="s">
        <v>22</v>
      </c>
    </row>
    <row r="7967" spans="1:11">
      <c r="A7967" s="33" t="s">
        <v>18443</v>
      </c>
      <c r="B7967" s="33" t="s">
        <v>18444</v>
      </c>
      <c r="C7967" s="33" t="s">
        <v>96</v>
      </c>
      <c r="D7967" s="33" t="s">
        <v>17</v>
      </c>
      <c r="E7967" s="33" t="s">
        <v>18</v>
      </c>
      <c r="F7967" s="33" t="s">
        <v>19</v>
      </c>
      <c r="G7967" s="33" t="s">
        <v>20</v>
      </c>
      <c r="H7967" s="35">
        <v>1425</v>
      </c>
      <c r="I7967" s="33" t="s">
        <v>21</v>
      </c>
      <c r="J7967" s="42">
        <v>44361</v>
      </c>
      <c r="K7967" s="33" t="s">
        <v>22</v>
      </c>
    </row>
    <row r="7968" spans="1:11">
      <c r="A7968" s="30" t="s">
        <v>18445</v>
      </c>
      <c r="B7968" s="30" t="s">
        <v>18446</v>
      </c>
      <c r="C7968" s="30" t="s">
        <v>60</v>
      </c>
      <c r="D7968" s="30" t="s">
        <v>17</v>
      </c>
      <c r="E7968" s="30" t="s">
        <v>31</v>
      </c>
      <c r="F7968" s="30" t="s">
        <v>32</v>
      </c>
      <c r="G7968" s="30" t="s">
        <v>20</v>
      </c>
      <c r="H7968" s="32">
        <v>303</v>
      </c>
      <c r="I7968" s="30" t="s">
        <v>21</v>
      </c>
      <c r="J7968" s="41">
        <v>44438</v>
      </c>
      <c r="K7968" s="30" t="s">
        <v>22</v>
      </c>
    </row>
    <row r="7969" spans="1:11">
      <c r="A7969" s="33" t="s">
        <v>18447</v>
      </c>
      <c r="B7969" s="33" t="s">
        <v>18448</v>
      </c>
      <c r="C7969" s="33" t="s">
        <v>190</v>
      </c>
      <c r="D7969" s="33" t="s">
        <v>17</v>
      </c>
      <c r="E7969" s="33" t="s">
        <v>26</v>
      </c>
      <c r="F7969" s="33" t="s">
        <v>27</v>
      </c>
      <c r="G7969" s="33" t="s">
        <v>20</v>
      </c>
      <c r="H7969" s="35">
        <v>24</v>
      </c>
      <c r="I7969" s="33" t="s">
        <v>21</v>
      </c>
      <c r="J7969" s="42">
        <v>44369</v>
      </c>
      <c r="K7969" s="33" t="s">
        <v>22</v>
      </c>
    </row>
    <row r="7970" spans="1:11">
      <c r="A7970" s="30" t="s">
        <v>18449</v>
      </c>
      <c r="B7970" s="30" t="s">
        <v>18450</v>
      </c>
      <c r="C7970" s="30" t="s">
        <v>6585</v>
      </c>
      <c r="D7970" s="30" t="s">
        <v>17</v>
      </c>
      <c r="E7970" s="30" t="s">
        <v>26</v>
      </c>
      <c r="F7970" s="30" t="s">
        <v>27</v>
      </c>
      <c r="G7970" s="30" t="s">
        <v>20</v>
      </c>
      <c r="H7970" s="32">
        <v>8</v>
      </c>
      <c r="I7970" s="30" t="s">
        <v>21</v>
      </c>
      <c r="J7970" s="41">
        <v>44328</v>
      </c>
      <c r="K7970" s="30" t="s">
        <v>22</v>
      </c>
    </row>
    <row r="7971" spans="1:11">
      <c r="A7971" s="33" t="s">
        <v>18451</v>
      </c>
      <c r="B7971" s="33" t="s">
        <v>18452</v>
      </c>
      <c r="C7971" s="33" t="s">
        <v>12960</v>
      </c>
      <c r="D7971" s="33" t="s">
        <v>17</v>
      </c>
      <c r="E7971" s="33" t="s">
        <v>67</v>
      </c>
      <c r="F7971" s="33" t="s">
        <v>68</v>
      </c>
      <c r="G7971" s="33" t="s">
        <v>20</v>
      </c>
      <c r="H7971" s="35">
        <v>28</v>
      </c>
      <c r="I7971" s="33" t="s">
        <v>21</v>
      </c>
      <c r="J7971" s="42">
        <v>44226</v>
      </c>
      <c r="K7971" s="33" t="s">
        <v>22</v>
      </c>
    </row>
    <row r="7972" spans="1:11">
      <c r="A7972" s="30" t="s">
        <v>18453</v>
      </c>
      <c r="B7972" s="30" t="s">
        <v>18454</v>
      </c>
      <c r="C7972" s="30" t="s">
        <v>936</v>
      </c>
      <c r="D7972" s="30" t="s">
        <v>17</v>
      </c>
      <c r="E7972" s="30" t="s">
        <v>31</v>
      </c>
      <c r="F7972" s="30" t="s">
        <v>32</v>
      </c>
      <c r="G7972" s="30" t="s">
        <v>20</v>
      </c>
      <c r="H7972" s="32">
        <v>103</v>
      </c>
      <c r="I7972" s="30" t="s">
        <v>21</v>
      </c>
      <c r="J7972" s="41">
        <v>44347</v>
      </c>
      <c r="K7972" s="30" t="s">
        <v>22</v>
      </c>
    </row>
    <row r="7973" spans="1:11">
      <c r="A7973" s="33" t="s">
        <v>18455</v>
      </c>
      <c r="B7973" s="33" t="s">
        <v>18456</v>
      </c>
      <c r="C7973" s="33" t="s">
        <v>1857</v>
      </c>
      <c r="D7973" s="33" t="s">
        <v>17</v>
      </c>
      <c r="E7973" s="33" t="s">
        <v>330</v>
      </c>
      <c r="F7973" s="33" t="s">
        <v>331</v>
      </c>
      <c r="G7973" s="33" t="s">
        <v>50</v>
      </c>
      <c r="H7973" s="35">
        <v>10</v>
      </c>
      <c r="I7973" s="33" t="s">
        <v>51</v>
      </c>
      <c r="J7973" s="42">
        <v>44322</v>
      </c>
      <c r="K7973" s="33" t="s">
        <v>22</v>
      </c>
    </row>
    <row r="7974" spans="1:11">
      <c r="A7974" s="30" t="s">
        <v>18457</v>
      </c>
      <c r="B7974" s="30" t="s">
        <v>18458</v>
      </c>
      <c r="C7974" s="30" t="s">
        <v>1090</v>
      </c>
      <c r="D7974" s="30" t="s">
        <v>17</v>
      </c>
      <c r="E7974" s="30" t="s">
        <v>18</v>
      </c>
      <c r="F7974" s="30" t="s">
        <v>19</v>
      </c>
      <c r="G7974" s="30" t="s">
        <v>50</v>
      </c>
      <c r="H7974" s="32">
        <v>315</v>
      </c>
      <c r="I7974" s="30" t="s">
        <v>51</v>
      </c>
      <c r="J7974" s="41">
        <v>44279</v>
      </c>
      <c r="K7974" s="30" t="s">
        <v>22</v>
      </c>
    </row>
    <row r="7975" spans="1:11">
      <c r="A7975" s="33" t="s">
        <v>18459</v>
      </c>
      <c r="B7975" s="33" t="s">
        <v>18460</v>
      </c>
      <c r="C7975" s="33" t="s">
        <v>109</v>
      </c>
      <c r="D7975" s="33" t="s">
        <v>17</v>
      </c>
      <c r="E7975" s="33" t="s">
        <v>67</v>
      </c>
      <c r="F7975" s="33" t="s">
        <v>68</v>
      </c>
      <c r="G7975" s="33" t="s">
        <v>106</v>
      </c>
      <c r="H7975" s="35">
        <v>24</v>
      </c>
      <c r="I7975" s="33" t="s">
        <v>21</v>
      </c>
      <c r="J7975" s="42">
        <v>44453</v>
      </c>
      <c r="K7975" s="33" t="s">
        <v>22</v>
      </c>
    </row>
    <row r="7976" spans="1:11">
      <c r="A7976" s="30" t="s">
        <v>18461</v>
      </c>
      <c r="B7976" s="30" t="s">
        <v>18462</v>
      </c>
      <c r="C7976" s="30" t="s">
        <v>18463</v>
      </c>
      <c r="D7976" s="30" t="s">
        <v>17</v>
      </c>
      <c r="E7976" s="30" t="s">
        <v>18</v>
      </c>
      <c r="F7976" s="30" t="s">
        <v>19</v>
      </c>
      <c r="G7976" s="30" t="s">
        <v>140</v>
      </c>
      <c r="H7976" s="32">
        <v>210</v>
      </c>
      <c r="I7976" s="30" t="s">
        <v>51</v>
      </c>
      <c r="J7976" s="41">
        <v>44424</v>
      </c>
      <c r="K7976" s="30" t="s">
        <v>22</v>
      </c>
    </row>
    <row r="7977" spans="1:11">
      <c r="A7977" s="33" t="s">
        <v>18464</v>
      </c>
      <c r="B7977" s="33" t="s">
        <v>18465</v>
      </c>
      <c r="C7977" s="33" t="s">
        <v>2562</v>
      </c>
      <c r="D7977" s="33" t="s">
        <v>17</v>
      </c>
      <c r="E7977" s="33" t="s">
        <v>26</v>
      </c>
      <c r="F7977" s="33" t="s">
        <v>27</v>
      </c>
      <c r="G7977" s="33" t="s">
        <v>20</v>
      </c>
      <c r="H7977" s="35">
        <v>66</v>
      </c>
      <c r="I7977" s="33" t="s">
        <v>21</v>
      </c>
      <c r="J7977" s="42">
        <v>44541</v>
      </c>
      <c r="K7977" s="33" t="s">
        <v>22</v>
      </c>
    </row>
    <row r="7978" spans="1:11">
      <c r="A7978" s="30" t="s">
        <v>18466</v>
      </c>
      <c r="B7978" s="30" t="s">
        <v>18467</v>
      </c>
      <c r="C7978" s="30" t="s">
        <v>18468</v>
      </c>
      <c r="D7978" s="30" t="s">
        <v>17</v>
      </c>
      <c r="E7978" s="30" t="s">
        <v>31</v>
      </c>
      <c r="F7978" s="30" t="s">
        <v>32</v>
      </c>
      <c r="G7978" s="30" t="s">
        <v>112</v>
      </c>
      <c r="H7978" s="32">
        <v>0</v>
      </c>
      <c r="I7978" s="30" t="s">
        <v>21</v>
      </c>
      <c r="J7978" s="41">
        <v>44470</v>
      </c>
      <c r="K7978" s="30" t="s">
        <v>22</v>
      </c>
    </row>
    <row r="7979" spans="1:11">
      <c r="A7979" s="33" t="s">
        <v>18469</v>
      </c>
      <c r="B7979" s="33" t="s">
        <v>18470</v>
      </c>
      <c r="C7979" s="33" t="s">
        <v>11863</v>
      </c>
      <c r="D7979" s="33" t="s">
        <v>17</v>
      </c>
      <c r="E7979" s="33" t="s">
        <v>67</v>
      </c>
      <c r="F7979" s="33" t="s">
        <v>68</v>
      </c>
      <c r="G7979" s="33" t="s">
        <v>20</v>
      </c>
      <c r="H7979" s="35">
        <v>11</v>
      </c>
      <c r="I7979" s="33" t="s">
        <v>21</v>
      </c>
      <c r="J7979" s="42">
        <v>44260</v>
      </c>
      <c r="K7979" s="33" t="s">
        <v>22</v>
      </c>
    </row>
    <row r="7980" spans="1:11">
      <c r="A7980" s="30" t="s">
        <v>18471</v>
      </c>
      <c r="B7980" s="30" t="s">
        <v>18472</v>
      </c>
      <c r="C7980" s="30" t="s">
        <v>2934</v>
      </c>
      <c r="D7980" s="30" t="s">
        <v>17</v>
      </c>
      <c r="E7980" s="30" t="s">
        <v>31</v>
      </c>
      <c r="F7980" s="30" t="s">
        <v>32</v>
      </c>
      <c r="G7980" s="30" t="s">
        <v>50</v>
      </c>
      <c r="H7980" s="32">
        <v>100</v>
      </c>
      <c r="I7980" s="30" t="s">
        <v>51</v>
      </c>
      <c r="J7980" s="41">
        <v>44554</v>
      </c>
      <c r="K7980" s="30" t="s">
        <v>22</v>
      </c>
    </row>
    <row r="7981" spans="1:11">
      <c r="A7981" s="33" t="s">
        <v>18473</v>
      </c>
      <c r="B7981" s="33" t="s">
        <v>18474</v>
      </c>
      <c r="C7981" s="33" t="s">
        <v>18475</v>
      </c>
      <c r="D7981" s="33" t="s">
        <v>17</v>
      </c>
      <c r="E7981" s="33" t="s">
        <v>31</v>
      </c>
      <c r="F7981" s="33" t="s">
        <v>32</v>
      </c>
      <c r="G7981" s="33" t="s">
        <v>20</v>
      </c>
      <c r="H7981" s="35">
        <v>57</v>
      </c>
      <c r="I7981" s="33" t="s">
        <v>21</v>
      </c>
      <c r="J7981" s="42">
        <v>44334</v>
      </c>
      <c r="K7981" s="33" t="s">
        <v>22</v>
      </c>
    </row>
    <row r="7982" spans="1:11">
      <c r="A7982" s="30" t="s">
        <v>18476</v>
      </c>
      <c r="B7982" s="30" t="s">
        <v>18477</v>
      </c>
      <c r="C7982" s="30" t="s">
        <v>429</v>
      </c>
      <c r="D7982" s="30" t="s">
        <v>17</v>
      </c>
      <c r="E7982" s="30" t="s">
        <v>26</v>
      </c>
      <c r="F7982" s="30" t="s">
        <v>27</v>
      </c>
      <c r="G7982" s="30" t="s">
        <v>20</v>
      </c>
      <c r="H7982" s="32">
        <v>40</v>
      </c>
      <c r="I7982" s="30" t="s">
        <v>21</v>
      </c>
      <c r="J7982" s="41">
        <v>44473</v>
      </c>
      <c r="K7982" s="30" t="s">
        <v>22</v>
      </c>
    </row>
    <row r="7983" spans="1:11">
      <c r="A7983" s="33" t="s">
        <v>18478</v>
      </c>
      <c r="B7983" s="33" t="s">
        <v>18479</v>
      </c>
      <c r="C7983" s="33" t="s">
        <v>10963</v>
      </c>
      <c r="D7983" s="33" t="s">
        <v>17</v>
      </c>
      <c r="E7983" s="33" t="s">
        <v>31</v>
      </c>
      <c r="F7983" s="33" t="s">
        <v>32</v>
      </c>
      <c r="G7983" s="33" t="s">
        <v>20</v>
      </c>
      <c r="H7983" s="35">
        <v>61</v>
      </c>
      <c r="I7983" s="33" t="s">
        <v>21</v>
      </c>
      <c r="J7983" s="42">
        <v>44284</v>
      </c>
      <c r="K7983" s="33" t="s">
        <v>22</v>
      </c>
    </row>
    <row r="7984" spans="1:11">
      <c r="A7984" s="30" t="s">
        <v>18480</v>
      </c>
      <c r="B7984" s="30" t="s">
        <v>18481</v>
      </c>
      <c r="C7984" s="30" t="s">
        <v>2842</v>
      </c>
      <c r="D7984" s="30" t="s">
        <v>17</v>
      </c>
      <c r="E7984" s="30" t="s">
        <v>18</v>
      </c>
      <c r="F7984" s="30" t="s">
        <v>19</v>
      </c>
      <c r="G7984" s="30" t="s">
        <v>20</v>
      </c>
      <c r="H7984" s="32">
        <v>485</v>
      </c>
      <c r="I7984" s="30" t="s">
        <v>21</v>
      </c>
      <c r="J7984" s="41">
        <v>44407</v>
      </c>
      <c r="K7984" s="30" t="s">
        <v>22</v>
      </c>
    </row>
    <row r="7985" spans="1:11">
      <c r="A7985" s="33" t="s">
        <v>18482</v>
      </c>
      <c r="B7985" s="33" t="s">
        <v>18483</v>
      </c>
      <c r="C7985" s="33" t="s">
        <v>3103</v>
      </c>
      <c r="D7985" s="33" t="s">
        <v>17</v>
      </c>
      <c r="E7985" s="33" t="s">
        <v>26</v>
      </c>
      <c r="F7985" s="33" t="s">
        <v>27</v>
      </c>
      <c r="G7985" s="33" t="s">
        <v>106</v>
      </c>
      <c r="H7985" s="35">
        <v>5</v>
      </c>
      <c r="I7985" s="33" t="s">
        <v>21</v>
      </c>
      <c r="J7985" s="42">
        <v>44300</v>
      </c>
      <c r="K7985" s="33" t="s">
        <v>22</v>
      </c>
    </row>
    <row r="7986" spans="1:11">
      <c r="A7986" s="30" t="s">
        <v>18484</v>
      </c>
      <c r="B7986" s="30" t="s">
        <v>18485</v>
      </c>
      <c r="C7986" s="30" t="s">
        <v>7674</v>
      </c>
      <c r="D7986" s="30" t="s">
        <v>17</v>
      </c>
      <c r="E7986" s="30" t="s">
        <v>18</v>
      </c>
      <c r="F7986" s="30" t="s">
        <v>19</v>
      </c>
      <c r="G7986" s="30" t="s">
        <v>158</v>
      </c>
      <c r="H7986" s="32">
        <v>120</v>
      </c>
      <c r="I7986" s="30" t="s">
        <v>51</v>
      </c>
      <c r="J7986" s="41">
        <v>44515</v>
      </c>
      <c r="K7986" s="30" t="s">
        <v>22</v>
      </c>
    </row>
    <row r="7987" spans="1:11">
      <c r="A7987" s="33" t="s">
        <v>18486</v>
      </c>
      <c r="B7987" s="33" t="s">
        <v>18487</v>
      </c>
      <c r="C7987" s="33" t="s">
        <v>18488</v>
      </c>
      <c r="D7987" s="33" t="s">
        <v>17</v>
      </c>
      <c r="E7987" s="33" t="s">
        <v>31</v>
      </c>
      <c r="F7987" s="33" t="s">
        <v>32</v>
      </c>
      <c r="G7987" s="33" t="s">
        <v>50</v>
      </c>
      <c r="H7987" s="35">
        <v>65</v>
      </c>
      <c r="I7987" s="33" t="s">
        <v>51</v>
      </c>
      <c r="J7987" s="42">
        <v>44378</v>
      </c>
      <c r="K7987" s="33" t="s">
        <v>22</v>
      </c>
    </row>
    <row r="7988" spans="1:11">
      <c r="A7988" s="30" t="s">
        <v>18489</v>
      </c>
      <c r="B7988" s="30" t="s">
        <v>18490</v>
      </c>
      <c r="C7988" s="30" t="s">
        <v>3299</v>
      </c>
      <c r="D7988" s="30" t="s">
        <v>17</v>
      </c>
      <c r="E7988" s="30" t="s">
        <v>31</v>
      </c>
      <c r="F7988" s="30" t="s">
        <v>32</v>
      </c>
      <c r="G7988" s="30" t="s">
        <v>50</v>
      </c>
      <c r="H7988" s="32">
        <v>1716</v>
      </c>
      <c r="I7988" s="30" t="s">
        <v>51</v>
      </c>
      <c r="J7988" s="41">
        <v>44377</v>
      </c>
      <c r="K7988" s="30" t="s">
        <v>22</v>
      </c>
    </row>
    <row r="7989" spans="1:11">
      <c r="A7989" s="33" t="s">
        <v>18491</v>
      </c>
      <c r="B7989" s="33" t="s">
        <v>18492</v>
      </c>
      <c r="C7989" s="33" t="s">
        <v>3302</v>
      </c>
      <c r="D7989" s="33" t="s">
        <v>17</v>
      </c>
      <c r="E7989" s="33" t="s">
        <v>31</v>
      </c>
      <c r="F7989" s="33" t="s">
        <v>32</v>
      </c>
      <c r="G7989" s="33" t="s">
        <v>50</v>
      </c>
      <c r="H7989" s="35">
        <v>2000</v>
      </c>
      <c r="I7989" s="33" t="s">
        <v>51</v>
      </c>
      <c r="J7989" s="42">
        <v>44333</v>
      </c>
      <c r="K7989" s="33" t="s">
        <v>22</v>
      </c>
    </row>
    <row r="7990" spans="1:11">
      <c r="A7990" s="30" t="s">
        <v>18493</v>
      </c>
      <c r="B7990" s="30" t="s">
        <v>18494</v>
      </c>
      <c r="C7990" s="30" t="s">
        <v>684</v>
      </c>
      <c r="D7990" s="30" t="s">
        <v>17</v>
      </c>
      <c r="E7990" s="30" t="s">
        <v>26</v>
      </c>
      <c r="F7990" s="30" t="s">
        <v>27</v>
      </c>
      <c r="G7990" s="30" t="s">
        <v>20</v>
      </c>
      <c r="H7990" s="32">
        <v>26</v>
      </c>
      <c r="I7990" s="30" t="s">
        <v>21</v>
      </c>
      <c r="J7990" s="41">
        <v>44420</v>
      </c>
      <c r="K7990" s="30" t="s">
        <v>22</v>
      </c>
    </row>
    <row r="7991" spans="1:11">
      <c r="A7991" s="33" t="s">
        <v>18495</v>
      </c>
      <c r="B7991" s="33" t="s">
        <v>18496</v>
      </c>
      <c r="C7991" s="33" t="s">
        <v>549</v>
      </c>
      <c r="D7991" s="33" t="s">
        <v>17</v>
      </c>
      <c r="E7991" s="33" t="s">
        <v>18</v>
      </c>
      <c r="F7991" s="33" t="s">
        <v>19</v>
      </c>
      <c r="G7991" s="33" t="s">
        <v>20</v>
      </c>
      <c r="H7991" s="35">
        <v>327</v>
      </c>
      <c r="I7991" s="33" t="s">
        <v>21</v>
      </c>
      <c r="J7991" s="42">
        <v>44490</v>
      </c>
      <c r="K7991" s="33" t="s">
        <v>22</v>
      </c>
    </row>
    <row r="7992" spans="1:11">
      <c r="A7992" s="30" t="s">
        <v>18497</v>
      </c>
      <c r="B7992" s="30" t="s">
        <v>18498</v>
      </c>
      <c r="C7992" s="30" t="s">
        <v>9621</v>
      </c>
      <c r="D7992" s="30" t="s">
        <v>17</v>
      </c>
      <c r="E7992" s="30" t="s">
        <v>26</v>
      </c>
      <c r="F7992" s="30" t="s">
        <v>27</v>
      </c>
      <c r="G7992" s="30" t="s">
        <v>20</v>
      </c>
      <c r="H7992" s="32">
        <v>28</v>
      </c>
      <c r="I7992" s="30" t="s">
        <v>21</v>
      </c>
      <c r="J7992" s="41">
        <v>44251</v>
      </c>
      <c r="K7992" s="30" t="s">
        <v>22</v>
      </c>
    </row>
    <row r="7993" spans="1:11">
      <c r="A7993" s="33" t="s">
        <v>18499</v>
      </c>
      <c r="B7993" s="33" t="s">
        <v>18500</v>
      </c>
      <c r="C7993" s="33" t="s">
        <v>231</v>
      </c>
      <c r="D7993" s="33" t="s">
        <v>17</v>
      </c>
      <c r="E7993" s="33" t="s">
        <v>26</v>
      </c>
      <c r="F7993" s="33" t="s">
        <v>27</v>
      </c>
      <c r="G7993" s="33" t="s">
        <v>20</v>
      </c>
      <c r="H7993" s="35">
        <v>39</v>
      </c>
      <c r="I7993" s="33" t="s">
        <v>21</v>
      </c>
      <c r="J7993" s="42">
        <v>44378</v>
      </c>
      <c r="K7993" s="33" t="s">
        <v>22</v>
      </c>
    </row>
    <row r="7994" spans="1:11">
      <c r="A7994" s="30" t="s">
        <v>18501</v>
      </c>
      <c r="B7994" s="30" t="s">
        <v>18502</v>
      </c>
      <c r="C7994" s="30" t="s">
        <v>8007</v>
      </c>
      <c r="D7994" s="30" t="s">
        <v>17</v>
      </c>
      <c r="E7994" s="30" t="s">
        <v>212</v>
      </c>
      <c r="F7994" s="30" t="s">
        <v>213</v>
      </c>
      <c r="G7994" s="30" t="s">
        <v>20</v>
      </c>
      <c r="H7994" s="32">
        <v>50</v>
      </c>
      <c r="I7994" s="30" t="s">
        <v>21</v>
      </c>
      <c r="J7994" s="41">
        <v>44418</v>
      </c>
      <c r="K7994" s="30" t="s">
        <v>22</v>
      </c>
    </row>
    <row r="7995" spans="1:11">
      <c r="A7995" s="33" t="s">
        <v>18503</v>
      </c>
      <c r="B7995" s="33" t="s">
        <v>18504</v>
      </c>
      <c r="C7995" s="33" t="s">
        <v>149</v>
      </c>
      <c r="D7995" s="33" t="s">
        <v>17</v>
      </c>
      <c r="E7995" s="33" t="s">
        <v>31</v>
      </c>
      <c r="F7995" s="33" t="s">
        <v>32</v>
      </c>
      <c r="G7995" s="33" t="s">
        <v>20</v>
      </c>
      <c r="H7995" s="35">
        <v>69</v>
      </c>
      <c r="I7995" s="33" t="s">
        <v>21</v>
      </c>
      <c r="J7995" s="42">
        <v>44309</v>
      </c>
      <c r="K7995" s="33" t="s">
        <v>22</v>
      </c>
    </row>
    <row r="7996" spans="1:11">
      <c r="A7996" s="30" t="s">
        <v>18505</v>
      </c>
      <c r="B7996" s="30" t="s">
        <v>18506</v>
      </c>
      <c r="C7996" s="30" t="s">
        <v>2382</v>
      </c>
      <c r="D7996" s="30" t="s">
        <v>17</v>
      </c>
      <c r="E7996" s="30" t="s">
        <v>67</v>
      </c>
      <c r="F7996" s="30" t="s">
        <v>68</v>
      </c>
      <c r="G7996" s="30" t="s">
        <v>140</v>
      </c>
      <c r="H7996" s="32">
        <v>152</v>
      </c>
      <c r="I7996" s="30" t="s">
        <v>51</v>
      </c>
      <c r="J7996" s="41">
        <v>44323</v>
      </c>
      <c r="K7996" s="30" t="s">
        <v>22</v>
      </c>
    </row>
    <row r="7997" spans="1:11">
      <c r="A7997" s="33" t="s">
        <v>18507</v>
      </c>
      <c r="B7997" s="33" t="s">
        <v>18508</v>
      </c>
      <c r="C7997" s="33" t="s">
        <v>178</v>
      </c>
      <c r="D7997" s="33" t="s">
        <v>17</v>
      </c>
      <c r="E7997" s="33" t="s">
        <v>31</v>
      </c>
      <c r="F7997" s="33" t="s">
        <v>32</v>
      </c>
      <c r="G7997" s="33" t="s">
        <v>106</v>
      </c>
      <c r="H7997" s="35">
        <v>29</v>
      </c>
      <c r="I7997" s="33" t="s">
        <v>21</v>
      </c>
      <c r="J7997" s="42">
        <v>44414</v>
      </c>
      <c r="K7997" s="33" t="s">
        <v>22</v>
      </c>
    </row>
    <row r="7998" spans="1:11">
      <c r="A7998" s="30" t="s">
        <v>18509</v>
      </c>
      <c r="B7998" s="30" t="s">
        <v>18510</v>
      </c>
      <c r="C7998" s="30" t="s">
        <v>18511</v>
      </c>
      <c r="D7998" s="30" t="s">
        <v>17</v>
      </c>
      <c r="E7998" s="30" t="s">
        <v>330</v>
      </c>
      <c r="F7998" s="30" t="s">
        <v>331</v>
      </c>
      <c r="G7998" s="30" t="s">
        <v>20</v>
      </c>
      <c r="H7998" s="32">
        <v>11</v>
      </c>
      <c r="I7998" s="30" t="s">
        <v>21</v>
      </c>
      <c r="J7998" s="41">
        <v>44502</v>
      </c>
      <c r="K7998" s="30" t="s">
        <v>22</v>
      </c>
    </row>
    <row r="7999" spans="1:11">
      <c r="A7999" s="33" t="s">
        <v>18512</v>
      </c>
      <c r="B7999" s="33" t="s">
        <v>18513</v>
      </c>
      <c r="C7999" s="33" t="s">
        <v>18514</v>
      </c>
      <c r="D7999" s="33" t="s">
        <v>17</v>
      </c>
      <c r="E7999" s="33" t="s">
        <v>31</v>
      </c>
      <c r="F7999" s="33" t="s">
        <v>32</v>
      </c>
      <c r="G7999" s="33" t="s">
        <v>20</v>
      </c>
      <c r="H7999" s="35">
        <v>49</v>
      </c>
      <c r="I7999" s="33" t="s">
        <v>21</v>
      </c>
      <c r="J7999" s="42">
        <v>44348</v>
      </c>
      <c r="K7999" s="33" t="s">
        <v>22</v>
      </c>
    </row>
    <row r="8000" spans="1:11">
      <c r="A8000" s="30" t="s">
        <v>18515</v>
      </c>
      <c r="B8000" s="30" t="s">
        <v>18516</v>
      </c>
      <c r="C8000" s="30" t="s">
        <v>1835</v>
      </c>
      <c r="D8000" s="30" t="s">
        <v>17</v>
      </c>
      <c r="E8000" s="30" t="s">
        <v>31</v>
      </c>
      <c r="F8000" s="30" t="s">
        <v>32</v>
      </c>
      <c r="G8000" s="30" t="s">
        <v>20</v>
      </c>
      <c r="H8000" s="32">
        <v>839</v>
      </c>
      <c r="I8000" s="30" t="s">
        <v>21</v>
      </c>
      <c r="J8000" s="41">
        <v>44299</v>
      </c>
      <c r="K8000" s="30" t="s">
        <v>22</v>
      </c>
    </row>
    <row r="8001" spans="1:11">
      <c r="A8001" s="33" t="s">
        <v>18517</v>
      </c>
      <c r="B8001" s="33" t="s">
        <v>18518</v>
      </c>
      <c r="C8001" s="33" t="s">
        <v>157</v>
      </c>
      <c r="D8001" s="33" t="s">
        <v>17</v>
      </c>
      <c r="E8001" s="33" t="s">
        <v>18</v>
      </c>
      <c r="F8001" s="33" t="s">
        <v>19</v>
      </c>
      <c r="G8001" s="33" t="s">
        <v>20</v>
      </c>
      <c r="H8001" s="35">
        <v>270</v>
      </c>
      <c r="I8001" s="33" t="s">
        <v>21</v>
      </c>
      <c r="J8001" s="42">
        <v>44508</v>
      </c>
      <c r="K8001" s="33" t="s">
        <v>22</v>
      </c>
    </row>
    <row r="8002" spans="1:11">
      <c r="A8002" s="30" t="s">
        <v>18519</v>
      </c>
      <c r="B8002" s="30" t="s">
        <v>18520</v>
      </c>
      <c r="C8002" s="30" t="s">
        <v>203</v>
      </c>
      <c r="D8002" s="30" t="s">
        <v>17</v>
      </c>
      <c r="E8002" s="30" t="s">
        <v>212</v>
      </c>
      <c r="F8002" s="30" t="s">
        <v>213</v>
      </c>
      <c r="G8002" s="30" t="s">
        <v>20</v>
      </c>
      <c r="H8002" s="32">
        <v>41</v>
      </c>
      <c r="I8002" s="30" t="s">
        <v>21</v>
      </c>
      <c r="J8002" s="41">
        <v>44246</v>
      </c>
      <c r="K8002" s="30" t="s">
        <v>22</v>
      </c>
    </row>
    <row r="8003" spans="1:11">
      <c r="A8003" s="33" t="s">
        <v>18521</v>
      </c>
      <c r="B8003" s="33" t="s">
        <v>18522</v>
      </c>
      <c r="C8003" s="33" t="s">
        <v>96</v>
      </c>
      <c r="D8003" s="33" t="s">
        <v>17</v>
      </c>
      <c r="E8003" s="33" t="s">
        <v>26</v>
      </c>
      <c r="F8003" s="33" t="s">
        <v>27</v>
      </c>
      <c r="G8003" s="33" t="s">
        <v>106</v>
      </c>
      <c r="H8003" s="35">
        <v>65</v>
      </c>
      <c r="I8003" s="33" t="s">
        <v>21</v>
      </c>
      <c r="J8003" s="42">
        <v>44204</v>
      </c>
      <c r="K8003" s="33" t="s">
        <v>22</v>
      </c>
    </row>
    <row r="8004" spans="1:11">
      <c r="A8004" s="30" t="s">
        <v>18523</v>
      </c>
      <c r="B8004" s="30" t="s">
        <v>18524</v>
      </c>
      <c r="C8004" s="30" t="s">
        <v>517</v>
      </c>
      <c r="D8004" s="30" t="s">
        <v>17</v>
      </c>
      <c r="E8004" s="30" t="s">
        <v>18</v>
      </c>
      <c r="F8004" s="30" t="s">
        <v>19</v>
      </c>
      <c r="G8004" s="30" t="s">
        <v>20</v>
      </c>
      <c r="H8004" s="32">
        <v>139</v>
      </c>
      <c r="I8004" s="30" t="s">
        <v>21</v>
      </c>
      <c r="J8004" s="41">
        <v>44356</v>
      </c>
      <c r="K8004" s="30" t="s">
        <v>22</v>
      </c>
    </row>
    <row r="8005" spans="1:11">
      <c r="A8005" s="33" t="s">
        <v>18525</v>
      </c>
      <c r="B8005" s="33" t="s">
        <v>18526</v>
      </c>
      <c r="C8005" s="33" t="s">
        <v>387</v>
      </c>
      <c r="D8005" s="33" t="s">
        <v>17</v>
      </c>
      <c r="E8005" s="33" t="s">
        <v>18</v>
      </c>
      <c r="F8005" s="33" t="s">
        <v>19</v>
      </c>
      <c r="G8005" s="33" t="s">
        <v>20</v>
      </c>
      <c r="H8005" s="35">
        <v>193</v>
      </c>
      <c r="I8005" s="33" t="s">
        <v>21</v>
      </c>
      <c r="J8005" s="42">
        <v>44244</v>
      </c>
      <c r="K8005" s="33" t="s">
        <v>22</v>
      </c>
    </row>
    <row r="8006" spans="1:11">
      <c r="A8006" s="30" t="s">
        <v>18527</v>
      </c>
      <c r="B8006" s="30" t="s">
        <v>18528</v>
      </c>
      <c r="C8006" s="30" t="s">
        <v>647</v>
      </c>
      <c r="D8006" s="30" t="s">
        <v>17</v>
      </c>
      <c r="E8006" s="30" t="s">
        <v>31</v>
      </c>
      <c r="F8006" s="30" t="s">
        <v>32</v>
      </c>
      <c r="G8006" s="30" t="s">
        <v>158</v>
      </c>
      <c r="H8006" s="32">
        <v>302</v>
      </c>
      <c r="I8006" s="30" t="s">
        <v>21</v>
      </c>
      <c r="J8006" s="41">
        <v>44372</v>
      </c>
      <c r="K8006" s="30" t="s">
        <v>22</v>
      </c>
    </row>
    <row r="8007" spans="1:11">
      <c r="A8007" s="33" t="s">
        <v>18529</v>
      </c>
      <c r="B8007" s="33" t="s">
        <v>18530</v>
      </c>
      <c r="C8007" s="33" t="s">
        <v>96</v>
      </c>
      <c r="D8007" s="33" t="s">
        <v>17</v>
      </c>
      <c r="E8007" s="33" t="s">
        <v>26</v>
      </c>
      <c r="F8007" s="33" t="s">
        <v>27</v>
      </c>
      <c r="G8007" s="33" t="s">
        <v>106</v>
      </c>
      <c r="H8007" s="35">
        <v>53</v>
      </c>
      <c r="I8007" s="33" t="s">
        <v>21</v>
      </c>
      <c r="J8007" s="42">
        <v>44272</v>
      </c>
      <c r="K8007" s="33" t="s">
        <v>22</v>
      </c>
    </row>
    <row r="8008" spans="1:11">
      <c r="A8008" s="30" t="s">
        <v>18531</v>
      </c>
      <c r="B8008" s="30" t="s">
        <v>18532</v>
      </c>
      <c r="C8008" s="30" t="s">
        <v>5144</v>
      </c>
      <c r="D8008" s="30" t="s">
        <v>17</v>
      </c>
      <c r="E8008" s="30" t="s">
        <v>26</v>
      </c>
      <c r="F8008" s="30" t="s">
        <v>27</v>
      </c>
      <c r="G8008" s="30" t="s">
        <v>106</v>
      </c>
      <c r="H8008" s="32">
        <v>10</v>
      </c>
      <c r="I8008" s="30" t="s">
        <v>21</v>
      </c>
      <c r="J8008" s="41">
        <v>44279</v>
      </c>
      <c r="K8008" s="30" t="s">
        <v>22</v>
      </c>
    </row>
    <row r="8009" spans="1:11">
      <c r="A8009" s="33" t="s">
        <v>18533</v>
      </c>
      <c r="B8009" s="33" t="s">
        <v>18534</v>
      </c>
      <c r="C8009" s="33" t="s">
        <v>18535</v>
      </c>
      <c r="D8009" s="33" t="s">
        <v>17</v>
      </c>
      <c r="E8009" s="33" t="s">
        <v>67</v>
      </c>
      <c r="F8009" s="33" t="s">
        <v>68</v>
      </c>
      <c r="G8009" s="33" t="s">
        <v>20</v>
      </c>
      <c r="H8009" s="35">
        <v>6</v>
      </c>
      <c r="I8009" s="33" t="s">
        <v>21</v>
      </c>
      <c r="J8009" s="42">
        <v>44266</v>
      </c>
      <c r="K8009" s="33" t="s">
        <v>22</v>
      </c>
    </row>
    <row r="8010" spans="1:11">
      <c r="A8010" s="30" t="s">
        <v>18536</v>
      </c>
      <c r="B8010" s="30" t="s">
        <v>18537</v>
      </c>
      <c r="C8010" s="30" t="s">
        <v>899</v>
      </c>
      <c r="D8010" s="30" t="s">
        <v>17</v>
      </c>
      <c r="E8010" s="30" t="s">
        <v>26</v>
      </c>
      <c r="F8010" s="30" t="s">
        <v>27</v>
      </c>
      <c r="G8010" s="30" t="s">
        <v>20</v>
      </c>
      <c r="H8010" s="32">
        <v>33</v>
      </c>
      <c r="I8010" s="30" t="s">
        <v>21</v>
      </c>
      <c r="J8010" s="41">
        <v>44370</v>
      </c>
      <c r="K8010" s="30" t="s">
        <v>22</v>
      </c>
    </row>
    <row r="8011" spans="1:11">
      <c r="A8011" s="33" t="s">
        <v>18538</v>
      </c>
      <c r="B8011" s="33" t="s">
        <v>18539</v>
      </c>
      <c r="C8011" s="33" t="s">
        <v>2292</v>
      </c>
      <c r="D8011" s="33" t="s">
        <v>17</v>
      </c>
      <c r="E8011" s="33" t="s">
        <v>18</v>
      </c>
      <c r="F8011" s="33" t="s">
        <v>19</v>
      </c>
      <c r="G8011" s="33" t="s">
        <v>106</v>
      </c>
      <c r="H8011" s="35">
        <v>14</v>
      </c>
      <c r="I8011" s="33" t="s">
        <v>21</v>
      </c>
      <c r="J8011" s="42">
        <v>44454</v>
      </c>
      <c r="K8011" s="33" t="s">
        <v>22</v>
      </c>
    </row>
    <row r="8012" spans="1:11">
      <c r="A8012" s="30" t="s">
        <v>18540</v>
      </c>
      <c r="B8012" s="30" t="s">
        <v>18541</v>
      </c>
      <c r="C8012" s="30" t="s">
        <v>2472</v>
      </c>
      <c r="D8012" s="30" t="s">
        <v>17</v>
      </c>
      <c r="E8012" s="30" t="s">
        <v>45</v>
      </c>
      <c r="F8012" s="30" t="s">
        <v>46</v>
      </c>
      <c r="G8012" s="30" t="s">
        <v>20</v>
      </c>
      <c r="H8012" s="32">
        <v>11942</v>
      </c>
      <c r="I8012" s="30" t="s">
        <v>21</v>
      </c>
      <c r="J8012" s="41">
        <v>44270</v>
      </c>
      <c r="K8012" s="30" t="s">
        <v>22</v>
      </c>
    </row>
    <row r="8013" spans="1:11">
      <c r="A8013" s="33" t="s">
        <v>18542</v>
      </c>
      <c r="B8013" s="33" t="s">
        <v>18543</v>
      </c>
      <c r="C8013" s="33" t="s">
        <v>6032</v>
      </c>
      <c r="D8013" s="33" t="s">
        <v>17</v>
      </c>
      <c r="E8013" s="33" t="s">
        <v>31</v>
      </c>
      <c r="F8013" s="33" t="s">
        <v>32</v>
      </c>
      <c r="G8013" s="33" t="s">
        <v>20</v>
      </c>
      <c r="H8013" s="35">
        <v>25</v>
      </c>
      <c r="I8013" s="33" t="s">
        <v>21</v>
      </c>
      <c r="J8013" s="42">
        <v>44518</v>
      </c>
      <c r="K8013" s="33" t="s">
        <v>22</v>
      </c>
    </row>
    <row r="8014" spans="1:11">
      <c r="A8014" s="30" t="s">
        <v>18544</v>
      </c>
      <c r="B8014" s="30" t="s">
        <v>18545</v>
      </c>
      <c r="C8014" s="30" t="s">
        <v>3004</v>
      </c>
      <c r="D8014" s="30" t="s">
        <v>17</v>
      </c>
      <c r="E8014" s="30" t="s">
        <v>18</v>
      </c>
      <c r="F8014" s="30" t="s">
        <v>19</v>
      </c>
      <c r="G8014" s="30" t="s">
        <v>158</v>
      </c>
      <c r="H8014" s="32">
        <v>309</v>
      </c>
      <c r="I8014" s="30" t="s">
        <v>21</v>
      </c>
      <c r="J8014" s="41">
        <v>44462</v>
      </c>
      <c r="K8014" s="30" t="s">
        <v>22</v>
      </c>
    </row>
    <row r="8015" spans="1:11">
      <c r="A8015" s="33" t="s">
        <v>18546</v>
      </c>
      <c r="B8015" s="33" t="s">
        <v>18547</v>
      </c>
      <c r="C8015" s="33" t="s">
        <v>6118</v>
      </c>
      <c r="D8015" s="33" t="s">
        <v>17</v>
      </c>
      <c r="E8015" s="33" t="s">
        <v>212</v>
      </c>
      <c r="F8015" s="33" t="s">
        <v>213</v>
      </c>
      <c r="G8015" s="33" t="s">
        <v>50</v>
      </c>
      <c r="H8015" s="35">
        <v>44</v>
      </c>
      <c r="I8015" s="33" t="s">
        <v>51</v>
      </c>
      <c r="J8015" s="42">
        <v>44348</v>
      </c>
      <c r="K8015" s="33" t="s">
        <v>22</v>
      </c>
    </row>
    <row r="8016" spans="1:11">
      <c r="A8016" s="30" t="s">
        <v>18548</v>
      </c>
      <c r="B8016" s="30" t="s">
        <v>18549</v>
      </c>
      <c r="C8016" s="30" t="s">
        <v>925</v>
      </c>
      <c r="D8016" s="30" t="s">
        <v>17</v>
      </c>
      <c r="E8016" s="30" t="s">
        <v>26</v>
      </c>
      <c r="F8016" s="30" t="s">
        <v>27</v>
      </c>
      <c r="G8016" s="30" t="s">
        <v>140</v>
      </c>
      <c r="H8016" s="32">
        <v>30</v>
      </c>
      <c r="I8016" s="30" t="s">
        <v>51</v>
      </c>
      <c r="J8016" s="41">
        <v>44292</v>
      </c>
      <c r="K8016" s="30" t="s">
        <v>22</v>
      </c>
    </row>
    <row r="8017" spans="1:11">
      <c r="A8017" s="33" t="s">
        <v>18550</v>
      </c>
      <c r="B8017" s="33" t="s">
        <v>18551</v>
      </c>
      <c r="C8017" s="33" t="s">
        <v>715</v>
      </c>
      <c r="D8017" s="33" t="s">
        <v>17</v>
      </c>
      <c r="E8017" s="33" t="s">
        <v>26</v>
      </c>
      <c r="F8017" s="33" t="s">
        <v>27</v>
      </c>
      <c r="G8017" s="33" t="s">
        <v>106</v>
      </c>
      <c r="H8017" s="35">
        <v>37</v>
      </c>
      <c r="I8017" s="33" t="s">
        <v>21</v>
      </c>
      <c r="J8017" s="42">
        <v>44537</v>
      </c>
      <c r="K8017" s="33" t="s">
        <v>22</v>
      </c>
    </row>
    <row r="8018" spans="1:11">
      <c r="A8018" s="30" t="s">
        <v>18552</v>
      </c>
      <c r="B8018" s="30" t="s">
        <v>18553</v>
      </c>
      <c r="C8018" s="30" t="s">
        <v>362</v>
      </c>
      <c r="D8018" s="30" t="s">
        <v>17</v>
      </c>
      <c r="E8018" s="30" t="s">
        <v>26</v>
      </c>
      <c r="F8018" s="30" t="s">
        <v>27</v>
      </c>
      <c r="G8018" s="30" t="s">
        <v>20</v>
      </c>
      <c r="H8018" s="32">
        <v>14</v>
      </c>
      <c r="I8018" s="30" t="s">
        <v>21</v>
      </c>
      <c r="J8018" s="41">
        <v>44211</v>
      </c>
      <c r="K8018" s="30" t="s">
        <v>22</v>
      </c>
    </row>
    <row r="8019" spans="1:11">
      <c r="A8019" s="33" t="s">
        <v>18554</v>
      </c>
      <c r="B8019" s="33" t="s">
        <v>18555</v>
      </c>
      <c r="C8019" s="33" t="s">
        <v>1431</v>
      </c>
      <c r="D8019" s="33" t="s">
        <v>17</v>
      </c>
      <c r="E8019" s="33" t="s">
        <v>26</v>
      </c>
      <c r="F8019" s="33" t="s">
        <v>27</v>
      </c>
      <c r="G8019" s="33" t="s">
        <v>20</v>
      </c>
      <c r="H8019" s="35">
        <v>40</v>
      </c>
      <c r="I8019" s="33" t="s">
        <v>21</v>
      </c>
      <c r="J8019" s="42">
        <v>44432</v>
      </c>
      <c r="K8019" s="33" t="s">
        <v>22</v>
      </c>
    </row>
    <row r="8020" spans="1:11">
      <c r="A8020" s="30" t="s">
        <v>18556</v>
      </c>
      <c r="B8020" s="30" t="s">
        <v>18557</v>
      </c>
      <c r="C8020" s="30" t="s">
        <v>2150</v>
      </c>
      <c r="D8020" s="30" t="s">
        <v>17</v>
      </c>
      <c r="E8020" s="30" t="s">
        <v>18</v>
      </c>
      <c r="F8020" s="30" t="s">
        <v>19</v>
      </c>
      <c r="G8020" s="30" t="s">
        <v>158</v>
      </c>
      <c r="H8020" s="32">
        <v>150</v>
      </c>
      <c r="I8020" s="30" t="s">
        <v>51</v>
      </c>
      <c r="J8020" s="41">
        <v>44389</v>
      </c>
      <c r="K8020" s="30" t="s">
        <v>22</v>
      </c>
    </row>
    <row r="8021" spans="1:11">
      <c r="A8021" s="33" t="s">
        <v>18558</v>
      </c>
      <c r="B8021" s="33" t="s">
        <v>18559</v>
      </c>
      <c r="C8021" s="33" t="s">
        <v>96</v>
      </c>
      <c r="D8021" s="33" t="s">
        <v>17</v>
      </c>
      <c r="E8021" s="33" t="s">
        <v>18</v>
      </c>
      <c r="F8021" s="33" t="s">
        <v>19</v>
      </c>
      <c r="G8021" s="33" t="s">
        <v>158</v>
      </c>
      <c r="H8021" s="35">
        <v>77</v>
      </c>
      <c r="I8021" s="33" t="s">
        <v>21</v>
      </c>
      <c r="J8021" s="42">
        <v>44468</v>
      </c>
      <c r="K8021" s="33" t="s">
        <v>22</v>
      </c>
    </row>
    <row r="8022" spans="1:11">
      <c r="A8022" s="30" t="s">
        <v>18560</v>
      </c>
      <c r="B8022" s="30" t="s">
        <v>18561</v>
      </c>
      <c r="C8022" s="30" t="s">
        <v>18562</v>
      </c>
      <c r="D8022" s="30" t="s">
        <v>17</v>
      </c>
      <c r="E8022" s="30" t="s">
        <v>31</v>
      </c>
      <c r="F8022" s="30" t="s">
        <v>32</v>
      </c>
      <c r="G8022" s="30" t="s">
        <v>50</v>
      </c>
      <c r="H8022" s="32">
        <v>598</v>
      </c>
      <c r="I8022" s="30" t="s">
        <v>51</v>
      </c>
      <c r="J8022" s="41">
        <v>44504</v>
      </c>
      <c r="K8022" s="30" t="s">
        <v>22</v>
      </c>
    </row>
    <row r="8023" spans="1:11">
      <c r="A8023" s="33" t="s">
        <v>18563</v>
      </c>
      <c r="B8023" s="33" t="s">
        <v>18564</v>
      </c>
      <c r="C8023" s="33" t="s">
        <v>118</v>
      </c>
      <c r="D8023" s="33" t="s">
        <v>17</v>
      </c>
      <c r="E8023" s="33" t="s">
        <v>26</v>
      </c>
      <c r="F8023" s="33" t="s">
        <v>27</v>
      </c>
      <c r="G8023" s="33" t="s">
        <v>20</v>
      </c>
      <c r="H8023" s="35">
        <v>62</v>
      </c>
      <c r="I8023" s="33" t="s">
        <v>21</v>
      </c>
      <c r="J8023" s="42">
        <v>44419</v>
      </c>
      <c r="K8023" s="33" t="s">
        <v>22</v>
      </c>
    </row>
    <row r="8024" spans="1:11">
      <c r="A8024" s="30" t="s">
        <v>18565</v>
      </c>
      <c r="B8024" s="30" t="s">
        <v>18566</v>
      </c>
      <c r="C8024" s="30" t="s">
        <v>18567</v>
      </c>
      <c r="D8024" s="30" t="s">
        <v>17</v>
      </c>
      <c r="E8024" s="30" t="s">
        <v>212</v>
      </c>
      <c r="F8024" s="30" t="s">
        <v>213</v>
      </c>
      <c r="G8024" s="30" t="s">
        <v>106</v>
      </c>
      <c r="H8024" s="32">
        <v>46</v>
      </c>
      <c r="I8024" s="30" t="s">
        <v>21</v>
      </c>
      <c r="J8024" s="41">
        <v>44313</v>
      </c>
      <c r="K8024" s="30" t="s">
        <v>22</v>
      </c>
    </row>
    <row r="8025" spans="1:11">
      <c r="A8025" s="33" t="s">
        <v>18568</v>
      </c>
      <c r="B8025" s="33" t="s">
        <v>18569</v>
      </c>
      <c r="C8025" s="33" t="s">
        <v>2894</v>
      </c>
      <c r="D8025" s="33" t="s">
        <v>17</v>
      </c>
      <c r="E8025" s="33" t="s">
        <v>67</v>
      </c>
      <c r="F8025" s="33" t="s">
        <v>68</v>
      </c>
      <c r="G8025" s="33" t="s">
        <v>20</v>
      </c>
      <c r="H8025" s="35">
        <v>17</v>
      </c>
      <c r="I8025" s="33" t="s">
        <v>21</v>
      </c>
      <c r="J8025" s="42">
        <v>44421</v>
      </c>
      <c r="K8025" s="33" t="s">
        <v>22</v>
      </c>
    </row>
    <row r="8026" spans="1:11">
      <c r="A8026" s="30" t="s">
        <v>18570</v>
      </c>
      <c r="B8026" s="30" t="s">
        <v>18571</v>
      </c>
      <c r="C8026" s="30" t="s">
        <v>18572</v>
      </c>
      <c r="D8026" s="30" t="s">
        <v>17</v>
      </c>
      <c r="E8026" s="30" t="s">
        <v>26</v>
      </c>
      <c r="F8026" s="30" t="s">
        <v>27</v>
      </c>
      <c r="G8026" s="30" t="s">
        <v>20</v>
      </c>
      <c r="H8026" s="32">
        <v>18</v>
      </c>
      <c r="I8026" s="30" t="s">
        <v>21</v>
      </c>
      <c r="J8026" s="41">
        <v>44200</v>
      </c>
      <c r="K8026" s="30" t="s">
        <v>22</v>
      </c>
    </row>
    <row r="8027" spans="1:11">
      <c r="A8027" s="33" t="s">
        <v>18573</v>
      </c>
      <c r="B8027" s="33" t="s">
        <v>18574</v>
      </c>
      <c r="C8027" s="33" t="s">
        <v>15208</v>
      </c>
      <c r="D8027" s="33" t="s">
        <v>17</v>
      </c>
      <c r="E8027" s="33" t="s">
        <v>26</v>
      </c>
      <c r="F8027" s="33" t="s">
        <v>27</v>
      </c>
      <c r="G8027" s="33" t="s">
        <v>20</v>
      </c>
      <c r="H8027" s="35">
        <v>42</v>
      </c>
      <c r="I8027" s="33" t="s">
        <v>21</v>
      </c>
      <c r="J8027" s="42">
        <v>44525</v>
      </c>
      <c r="K8027" s="33" t="s">
        <v>22</v>
      </c>
    </row>
    <row r="8028" spans="1:11">
      <c r="A8028" s="30" t="s">
        <v>18575</v>
      </c>
      <c r="B8028" s="30" t="s">
        <v>18576</v>
      </c>
      <c r="C8028" s="30" t="s">
        <v>3072</v>
      </c>
      <c r="D8028" s="30" t="s">
        <v>17</v>
      </c>
      <c r="E8028" s="30" t="s">
        <v>31</v>
      </c>
      <c r="F8028" s="30" t="s">
        <v>32</v>
      </c>
      <c r="G8028" s="30" t="s">
        <v>20</v>
      </c>
      <c r="H8028" s="32">
        <v>152</v>
      </c>
      <c r="I8028" s="30" t="s">
        <v>21</v>
      </c>
      <c r="J8028" s="41">
        <v>44412</v>
      </c>
      <c r="K8028" s="30" t="s">
        <v>22</v>
      </c>
    </row>
    <row r="8029" spans="1:11">
      <c r="A8029" s="33" t="s">
        <v>18577</v>
      </c>
      <c r="B8029" s="33" t="s">
        <v>18578</v>
      </c>
      <c r="C8029" s="33" t="s">
        <v>130</v>
      </c>
      <c r="D8029" s="33" t="s">
        <v>17</v>
      </c>
      <c r="E8029" s="33" t="s">
        <v>31</v>
      </c>
      <c r="F8029" s="33" t="s">
        <v>32</v>
      </c>
      <c r="G8029" s="33" t="s">
        <v>20</v>
      </c>
      <c r="H8029" s="35">
        <v>146</v>
      </c>
      <c r="I8029" s="33" t="s">
        <v>21</v>
      </c>
      <c r="J8029" s="42">
        <v>44504</v>
      </c>
      <c r="K8029" s="33" t="s">
        <v>22</v>
      </c>
    </row>
    <row r="8030" spans="1:11">
      <c r="A8030" s="30" t="s">
        <v>18579</v>
      </c>
      <c r="B8030" s="30" t="s">
        <v>18580</v>
      </c>
      <c r="C8030" s="30" t="s">
        <v>18581</v>
      </c>
      <c r="D8030" s="30" t="s">
        <v>17</v>
      </c>
      <c r="E8030" s="30" t="s">
        <v>26</v>
      </c>
      <c r="F8030" s="30" t="s">
        <v>27</v>
      </c>
      <c r="G8030" s="30" t="s">
        <v>20</v>
      </c>
      <c r="H8030" s="32">
        <v>81</v>
      </c>
      <c r="I8030" s="30" t="s">
        <v>21</v>
      </c>
      <c r="J8030" s="41">
        <v>44348</v>
      </c>
      <c r="K8030" s="30" t="s">
        <v>22</v>
      </c>
    </row>
    <row r="8031" spans="1:11">
      <c r="A8031" s="33" t="s">
        <v>18582</v>
      </c>
      <c r="B8031" s="33" t="s">
        <v>18583</v>
      </c>
      <c r="C8031" s="33" t="s">
        <v>17466</v>
      </c>
      <c r="D8031" s="33" t="s">
        <v>17</v>
      </c>
      <c r="E8031" s="33" t="s">
        <v>31</v>
      </c>
      <c r="F8031" s="33" t="s">
        <v>32</v>
      </c>
      <c r="G8031" s="33" t="s">
        <v>50</v>
      </c>
      <c r="H8031" s="35">
        <v>200</v>
      </c>
      <c r="I8031" s="33" t="s">
        <v>51</v>
      </c>
      <c r="J8031" s="42">
        <v>44515</v>
      </c>
      <c r="K8031" s="33" t="s">
        <v>22</v>
      </c>
    </row>
    <row r="8032" spans="1:11">
      <c r="A8032" s="30" t="s">
        <v>18584</v>
      </c>
      <c r="B8032" s="30" t="s">
        <v>18585</v>
      </c>
      <c r="C8032" s="30" t="s">
        <v>18586</v>
      </c>
      <c r="D8032" s="30" t="s">
        <v>17</v>
      </c>
      <c r="E8032" s="30" t="s">
        <v>31</v>
      </c>
      <c r="F8032" s="30" t="s">
        <v>32</v>
      </c>
      <c r="G8032" s="30" t="s">
        <v>20</v>
      </c>
      <c r="H8032" s="32">
        <v>108</v>
      </c>
      <c r="I8032" s="30" t="s">
        <v>21</v>
      </c>
      <c r="J8032" s="41">
        <v>44419</v>
      </c>
      <c r="K8032" s="30" t="s">
        <v>22</v>
      </c>
    </row>
    <row r="8033" spans="1:11">
      <c r="A8033" s="33" t="s">
        <v>18587</v>
      </c>
      <c r="B8033" s="33" t="s">
        <v>18588</v>
      </c>
      <c r="C8033" s="33" t="s">
        <v>2753</v>
      </c>
      <c r="D8033" s="33" t="s">
        <v>17</v>
      </c>
      <c r="E8033" s="33" t="s">
        <v>67</v>
      </c>
      <c r="F8033" s="33" t="s">
        <v>68</v>
      </c>
      <c r="G8033" s="33" t="s">
        <v>140</v>
      </c>
      <c r="H8033" s="35">
        <v>645</v>
      </c>
      <c r="I8033" s="33" t="s">
        <v>51</v>
      </c>
      <c r="J8033" s="42">
        <v>44452</v>
      </c>
      <c r="K8033" s="33" t="s">
        <v>22</v>
      </c>
    </row>
    <row r="8034" spans="1:11">
      <c r="A8034" s="30" t="s">
        <v>18589</v>
      </c>
      <c r="B8034" s="30" t="s">
        <v>18590</v>
      </c>
      <c r="C8034" s="30" t="s">
        <v>18591</v>
      </c>
      <c r="D8034" s="30" t="s">
        <v>17</v>
      </c>
      <c r="E8034" s="30" t="s">
        <v>26</v>
      </c>
      <c r="F8034" s="30" t="s">
        <v>27</v>
      </c>
      <c r="G8034" s="30" t="s">
        <v>140</v>
      </c>
      <c r="H8034" s="32">
        <v>90</v>
      </c>
      <c r="I8034" s="30" t="s">
        <v>51</v>
      </c>
      <c r="J8034" s="41">
        <v>44517</v>
      </c>
      <c r="K8034" s="30" t="s">
        <v>22</v>
      </c>
    </row>
    <row r="8035" spans="1:11">
      <c r="A8035" s="33" t="s">
        <v>18592</v>
      </c>
      <c r="B8035" s="33" t="s">
        <v>18593</v>
      </c>
      <c r="C8035" s="33" t="s">
        <v>4064</v>
      </c>
      <c r="D8035" s="33" t="s">
        <v>17</v>
      </c>
      <c r="E8035" s="33" t="s">
        <v>31</v>
      </c>
      <c r="F8035" s="33" t="s">
        <v>32</v>
      </c>
      <c r="G8035" s="33" t="s">
        <v>20</v>
      </c>
      <c r="H8035" s="35">
        <v>172</v>
      </c>
      <c r="I8035" s="33" t="s">
        <v>21</v>
      </c>
      <c r="J8035" s="42">
        <v>44239</v>
      </c>
      <c r="K8035" s="33" t="s">
        <v>22</v>
      </c>
    </row>
    <row r="8036" spans="1:11">
      <c r="A8036" s="30" t="s">
        <v>18594</v>
      </c>
      <c r="B8036" s="30" t="s">
        <v>18595</v>
      </c>
      <c r="C8036" s="30" t="s">
        <v>190</v>
      </c>
      <c r="D8036" s="30" t="s">
        <v>17</v>
      </c>
      <c r="E8036" s="30" t="s">
        <v>18</v>
      </c>
      <c r="F8036" s="30" t="s">
        <v>19</v>
      </c>
      <c r="G8036" s="30" t="s">
        <v>20</v>
      </c>
      <c r="H8036" s="32">
        <v>910</v>
      </c>
      <c r="I8036" s="30" t="s">
        <v>21</v>
      </c>
      <c r="J8036" s="41">
        <v>44224</v>
      </c>
      <c r="K8036" s="30" t="s">
        <v>22</v>
      </c>
    </row>
    <row r="8037" spans="1:11">
      <c r="A8037" s="33" t="s">
        <v>18596</v>
      </c>
      <c r="B8037" s="33" t="s">
        <v>18597</v>
      </c>
      <c r="C8037" s="33" t="s">
        <v>96</v>
      </c>
      <c r="D8037" s="33" t="s">
        <v>17</v>
      </c>
      <c r="E8037" s="33" t="s">
        <v>26</v>
      </c>
      <c r="F8037" s="33" t="s">
        <v>27</v>
      </c>
      <c r="G8037" s="33" t="s">
        <v>20</v>
      </c>
      <c r="H8037" s="35">
        <v>12</v>
      </c>
      <c r="I8037" s="33" t="s">
        <v>21</v>
      </c>
      <c r="J8037" s="42">
        <v>44397</v>
      </c>
      <c r="K8037" s="33" t="s">
        <v>22</v>
      </c>
    </row>
    <row r="8038" spans="1:11">
      <c r="A8038" s="30" t="s">
        <v>18598</v>
      </c>
      <c r="B8038" s="30" t="s">
        <v>18599</v>
      </c>
      <c r="C8038" s="30" t="s">
        <v>18600</v>
      </c>
      <c r="D8038" s="30" t="s">
        <v>17</v>
      </c>
      <c r="E8038" s="30" t="s">
        <v>31</v>
      </c>
      <c r="F8038" s="30" t="s">
        <v>32</v>
      </c>
      <c r="G8038" s="30" t="s">
        <v>106</v>
      </c>
      <c r="H8038" s="32">
        <v>4</v>
      </c>
      <c r="I8038" s="30" t="s">
        <v>21</v>
      </c>
      <c r="J8038" s="41">
        <v>44559</v>
      </c>
      <c r="K8038" s="30" t="s">
        <v>22</v>
      </c>
    </row>
    <row r="8039" spans="1:11">
      <c r="A8039" s="33" t="s">
        <v>18601</v>
      </c>
      <c r="B8039" s="33" t="s">
        <v>18602</v>
      </c>
      <c r="C8039" s="33" t="s">
        <v>5757</v>
      </c>
      <c r="D8039" s="33" t="s">
        <v>17</v>
      </c>
      <c r="E8039" s="33" t="s">
        <v>212</v>
      </c>
      <c r="F8039" s="33" t="s">
        <v>213</v>
      </c>
      <c r="G8039" s="33" t="s">
        <v>20</v>
      </c>
      <c r="H8039" s="35">
        <v>338</v>
      </c>
      <c r="I8039" s="33" t="s">
        <v>21</v>
      </c>
      <c r="J8039" s="42">
        <v>44412</v>
      </c>
      <c r="K8039" s="33" t="s">
        <v>22</v>
      </c>
    </row>
    <row r="8040" spans="1:11">
      <c r="A8040" s="30" t="s">
        <v>18603</v>
      </c>
      <c r="B8040" s="30" t="s">
        <v>18604</v>
      </c>
      <c r="C8040" s="30" t="s">
        <v>925</v>
      </c>
      <c r="D8040" s="30" t="s">
        <v>17</v>
      </c>
      <c r="E8040" s="30" t="s">
        <v>18</v>
      </c>
      <c r="F8040" s="30" t="s">
        <v>19</v>
      </c>
      <c r="G8040" s="30" t="s">
        <v>106</v>
      </c>
      <c r="H8040" s="32">
        <v>249</v>
      </c>
      <c r="I8040" s="30" t="s">
        <v>21</v>
      </c>
      <c r="J8040" s="41">
        <v>44286</v>
      </c>
      <c r="K8040" s="30" t="s">
        <v>22</v>
      </c>
    </row>
    <row r="8041" spans="1:11">
      <c r="A8041" s="33" t="s">
        <v>18605</v>
      </c>
      <c r="B8041" s="33" t="s">
        <v>18606</v>
      </c>
      <c r="C8041" s="33" t="s">
        <v>2842</v>
      </c>
      <c r="D8041" s="33" t="s">
        <v>17</v>
      </c>
      <c r="E8041" s="33" t="s">
        <v>26</v>
      </c>
      <c r="F8041" s="33" t="s">
        <v>27</v>
      </c>
      <c r="G8041" s="33" t="s">
        <v>20</v>
      </c>
      <c r="H8041" s="35">
        <v>26</v>
      </c>
      <c r="I8041" s="33" t="s">
        <v>21</v>
      </c>
      <c r="J8041" s="42">
        <v>44267</v>
      </c>
      <c r="K8041" s="33" t="s">
        <v>22</v>
      </c>
    </row>
    <row r="8042" spans="1:11">
      <c r="A8042" s="30" t="s">
        <v>18607</v>
      </c>
      <c r="B8042" s="30" t="s">
        <v>18608</v>
      </c>
      <c r="C8042" s="30" t="s">
        <v>78</v>
      </c>
      <c r="D8042" s="30" t="s">
        <v>17</v>
      </c>
      <c r="E8042" s="30" t="s">
        <v>26</v>
      </c>
      <c r="F8042" s="30" t="s">
        <v>27</v>
      </c>
      <c r="G8042" s="30" t="s">
        <v>20</v>
      </c>
      <c r="H8042" s="32">
        <v>60</v>
      </c>
      <c r="I8042" s="30" t="s">
        <v>21</v>
      </c>
      <c r="J8042" s="41">
        <v>44451</v>
      </c>
      <c r="K8042" s="30" t="s">
        <v>22</v>
      </c>
    </row>
    <row r="8043" spans="1:11">
      <c r="A8043" s="33" t="s">
        <v>18609</v>
      </c>
      <c r="B8043" s="33" t="s">
        <v>18610</v>
      </c>
      <c r="C8043" s="33" t="s">
        <v>450</v>
      </c>
      <c r="D8043" s="33" t="s">
        <v>17</v>
      </c>
      <c r="E8043" s="33" t="s">
        <v>18</v>
      </c>
      <c r="F8043" s="33" t="s">
        <v>19</v>
      </c>
      <c r="G8043" s="33" t="s">
        <v>20</v>
      </c>
      <c r="H8043" s="35">
        <v>57</v>
      </c>
      <c r="I8043" s="33" t="s">
        <v>21</v>
      </c>
      <c r="J8043" s="42">
        <v>44263</v>
      </c>
      <c r="K8043" s="33" t="s">
        <v>22</v>
      </c>
    </row>
    <row r="8044" spans="1:11">
      <c r="A8044" s="30" t="s">
        <v>18611</v>
      </c>
      <c r="B8044" s="30" t="s">
        <v>18612</v>
      </c>
      <c r="C8044" s="30" t="s">
        <v>15559</v>
      </c>
      <c r="D8044" s="30" t="s">
        <v>17</v>
      </c>
      <c r="E8044" s="30" t="s">
        <v>26</v>
      </c>
      <c r="F8044" s="30" t="s">
        <v>27</v>
      </c>
      <c r="G8044" s="30" t="s">
        <v>158</v>
      </c>
      <c r="H8044" s="32">
        <v>144</v>
      </c>
      <c r="I8044" s="30" t="s">
        <v>51</v>
      </c>
      <c r="J8044" s="41">
        <v>44361</v>
      </c>
      <c r="K8044" s="30" t="s">
        <v>22</v>
      </c>
    </row>
    <row r="8045" spans="1:11">
      <c r="A8045" s="33" t="s">
        <v>18613</v>
      </c>
      <c r="B8045" s="33" t="s">
        <v>18614</v>
      </c>
      <c r="C8045" s="33" t="s">
        <v>6721</v>
      </c>
      <c r="D8045" s="33" t="s">
        <v>17</v>
      </c>
      <c r="E8045" s="33" t="s">
        <v>26</v>
      </c>
      <c r="F8045" s="33" t="s">
        <v>27</v>
      </c>
      <c r="G8045" s="33" t="s">
        <v>20</v>
      </c>
      <c r="H8045" s="35">
        <v>53</v>
      </c>
      <c r="I8045" s="33" t="s">
        <v>21</v>
      </c>
      <c r="J8045" s="42">
        <v>44474</v>
      </c>
      <c r="K8045" s="33" t="s">
        <v>22</v>
      </c>
    </row>
    <row r="8046" spans="1:11">
      <c r="A8046" s="30" t="s">
        <v>18615</v>
      </c>
      <c r="B8046" s="30" t="s">
        <v>18616</v>
      </c>
      <c r="C8046" s="30" t="s">
        <v>222</v>
      </c>
      <c r="D8046" s="30" t="s">
        <v>17</v>
      </c>
      <c r="E8046" s="30" t="s">
        <v>26</v>
      </c>
      <c r="F8046" s="30" t="s">
        <v>27</v>
      </c>
      <c r="G8046" s="30" t="s">
        <v>158</v>
      </c>
      <c r="H8046" s="32">
        <v>246</v>
      </c>
      <c r="I8046" s="30" t="s">
        <v>21</v>
      </c>
      <c r="J8046" s="41">
        <v>44358</v>
      </c>
      <c r="K8046" s="30" t="s">
        <v>22</v>
      </c>
    </row>
    <row r="8047" spans="1:11">
      <c r="A8047" s="33" t="s">
        <v>18617</v>
      </c>
      <c r="B8047" s="33" t="s">
        <v>18618</v>
      </c>
      <c r="C8047" s="33" t="s">
        <v>7201</v>
      </c>
      <c r="D8047" s="33" t="s">
        <v>17</v>
      </c>
      <c r="E8047" s="33" t="s">
        <v>18</v>
      </c>
      <c r="F8047" s="33" t="s">
        <v>19</v>
      </c>
      <c r="G8047" s="33" t="s">
        <v>20</v>
      </c>
      <c r="H8047" s="35">
        <v>336</v>
      </c>
      <c r="I8047" s="33" t="s">
        <v>21</v>
      </c>
      <c r="J8047" s="42">
        <v>44316</v>
      </c>
      <c r="K8047" s="33" t="s">
        <v>22</v>
      </c>
    </row>
    <row r="8048" spans="1:11">
      <c r="A8048" s="30" t="s">
        <v>18619</v>
      </c>
      <c r="B8048" s="30" t="s">
        <v>18620</v>
      </c>
      <c r="C8048" s="30" t="s">
        <v>5251</v>
      </c>
      <c r="D8048" s="30" t="s">
        <v>17</v>
      </c>
      <c r="E8048" s="30" t="s">
        <v>31</v>
      </c>
      <c r="F8048" s="30" t="s">
        <v>32</v>
      </c>
      <c r="G8048" s="30" t="s">
        <v>50</v>
      </c>
      <c r="H8048" s="32">
        <v>60</v>
      </c>
      <c r="I8048" s="30" t="s">
        <v>51</v>
      </c>
      <c r="J8048" s="41">
        <v>44351</v>
      </c>
      <c r="K8048" s="30" t="s">
        <v>22</v>
      </c>
    </row>
    <row r="8049" spans="1:11">
      <c r="A8049" s="33" t="s">
        <v>18621</v>
      </c>
      <c r="B8049" s="33" t="s">
        <v>18622</v>
      </c>
      <c r="C8049" s="33" t="s">
        <v>647</v>
      </c>
      <c r="D8049" s="33" t="s">
        <v>17</v>
      </c>
      <c r="E8049" s="33" t="s">
        <v>18</v>
      </c>
      <c r="F8049" s="33" t="s">
        <v>19</v>
      </c>
      <c r="G8049" s="33" t="s">
        <v>140</v>
      </c>
      <c r="H8049" s="35">
        <v>815</v>
      </c>
      <c r="I8049" s="33" t="s">
        <v>51</v>
      </c>
      <c r="J8049" s="42">
        <v>44328</v>
      </c>
      <c r="K8049" s="33" t="s">
        <v>22</v>
      </c>
    </row>
    <row r="8050" spans="1:11">
      <c r="A8050" s="30" t="s">
        <v>18623</v>
      </c>
      <c r="B8050" s="30" t="s">
        <v>18624</v>
      </c>
      <c r="C8050" s="30" t="s">
        <v>5084</v>
      </c>
      <c r="D8050" s="30" t="s">
        <v>17</v>
      </c>
      <c r="E8050" s="30" t="s">
        <v>31</v>
      </c>
      <c r="F8050" s="30" t="s">
        <v>32</v>
      </c>
      <c r="G8050" s="30" t="s">
        <v>106</v>
      </c>
      <c r="H8050" s="32">
        <v>17</v>
      </c>
      <c r="I8050" s="30" t="s">
        <v>21</v>
      </c>
      <c r="J8050" s="41">
        <v>44440</v>
      </c>
      <c r="K8050" s="30" t="s">
        <v>22</v>
      </c>
    </row>
    <row r="8051" spans="1:11">
      <c r="A8051" s="33" t="s">
        <v>18625</v>
      </c>
      <c r="B8051" s="33" t="s">
        <v>18626</v>
      </c>
      <c r="C8051" s="33" t="s">
        <v>4345</v>
      </c>
      <c r="D8051" s="33" t="s">
        <v>17</v>
      </c>
      <c r="E8051" s="33" t="s">
        <v>18</v>
      </c>
      <c r="F8051" s="33" t="s">
        <v>19</v>
      </c>
      <c r="G8051" s="33" t="s">
        <v>158</v>
      </c>
      <c r="H8051" s="35">
        <v>89</v>
      </c>
      <c r="I8051" s="33" t="s">
        <v>21</v>
      </c>
      <c r="J8051" s="42">
        <v>44361</v>
      </c>
      <c r="K8051" s="33" t="s">
        <v>22</v>
      </c>
    </row>
    <row r="8052" spans="1:11">
      <c r="A8052" s="30" t="s">
        <v>18627</v>
      </c>
      <c r="B8052" s="30" t="s">
        <v>18628</v>
      </c>
      <c r="C8052" s="30" t="s">
        <v>647</v>
      </c>
      <c r="D8052" s="30" t="s">
        <v>17</v>
      </c>
      <c r="E8052" s="30" t="s">
        <v>67</v>
      </c>
      <c r="F8052" s="30" t="s">
        <v>68</v>
      </c>
      <c r="G8052" s="30" t="s">
        <v>20</v>
      </c>
      <c r="H8052" s="32">
        <v>56</v>
      </c>
      <c r="I8052" s="30" t="s">
        <v>21</v>
      </c>
      <c r="J8052" s="41">
        <v>44319</v>
      </c>
      <c r="K8052" s="30" t="s">
        <v>22</v>
      </c>
    </row>
    <row r="8053" spans="1:11">
      <c r="A8053" s="33" t="s">
        <v>18629</v>
      </c>
      <c r="B8053" s="33" t="s">
        <v>18630</v>
      </c>
      <c r="C8053" s="33" t="s">
        <v>18631</v>
      </c>
      <c r="D8053" s="33" t="s">
        <v>17</v>
      </c>
      <c r="E8053" s="33" t="s">
        <v>45</v>
      </c>
      <c r="F8053" s="33" t="s">
        <v>46</v>
      </c>
      <c r="G8053" s="33" t="s">
        <v>106</v>
      </c>
      <c r="H8053" s="35">
        <v>248</v>
      </c>
      <c r="I8053" s="33" t="s">
        <v>21</v>
      </c>
      <c r="J8053" s="42">
        <v>44440</v>
      </c>
      <c r="K8053" s="33" t="s">
        <v>22</v>
      </c>
    </row>
    <row r="8054" spans="1:11">
      <c r="A8054" s="30" t="s">
        <v>18632</v>
      </c>
      <c r="B8054" s="30" t="s">
        <v>18633</v>
      </c>
      <c r="C8054" s="30" t="s">
        <v>16043</v>
      </c>
      <c r="D8054" s="30" t="s">
        <v>17</v>
      </c>
      <c r="E8054" s="30" t="s">
        <v>31</v>
      </c>
      <c r="F8054" s="30" t="s">
        <v>32</v>
      </c>
      <c r="G8054" s="30" t="s">
        <v>20</v>
      </c>
      <c r="H8054" s="32">
        <v>128</v>
      </c>
      <c r="I8054" s="30" t="s">
        <v>21</v>
      </c>
      <c r="J8054" s="41">
        <v>44243</v>
      </c>
      <c r="K8054" s="30" t="s">
        <v>22</v>
      </c>
    </row>
    <row r="8055" spans="1:11">
      <c r="A8055" s="33" t="s">
        <v>18634</v>
      </c>
      <c r="B8055" s="33" t="s">
        <v>18635</v>
      </c>
      <c r="C8055" s="33" t="s">
        <v>6625</v>
      </c>
      <c r="D8055" s="33" t="s">
        <v>17</v>
      </c>
      <c r="E8055" s="33" t="s">
        <v>31</v>
      </c>
      <c r="F8055" s="33" t="s">
        <v>32</v>
      </c>
      <c r="G8055" s="33" t="s">
        <v>140</v>
      </c>
      <c r="H8055" s="35">
        <v>100</v>
      </c>
      <c r="I8055" s="33" t="s">
        <v>51</v>
      </c>
      <c r="J8055" s="42">
        <v>44404</v>
      </c>
      <c r="K8055" s="33" t="s">
        <v>22</v>
      </c>
    </row>
    <row r="8056" spans="1:11">
      <c r="A8056" s="30" t="s">
        <v>18636</v>
      </c>
      <c r="B8056" s="30" t="s">
        <v>18637</v>
      </c>
      <c r="C8056" s="30" t="s">
        <v>684</v>
      </c>
      <c r="D8056" s="30" t="s">
        <v>17</v>
      </c>
      <c r="E8056" s="30" t="s">
        <v>18</v>
      </c>
      <c r="F8056" s="30" t="s">
        <v>19</v>
      </c>
      <c r="G8056" s="30" t="s">
        <v>20</v>
      </c>
      <c r="H8056" s="32">
        <v>63</v>
      </c>
      <c r="I8056" s="30" t="s">
        <v>21</v>
      </c>
      <c r="J8056" s="41">
        <v>44511</v>
      </c>
      <c r="K8056" s="30" t="s">
        <v>22</v>
      </c>
    </row>
    <row r="8057" spans="1:11">
      <c r="A8057" s="33" t="s">
        <v>18638</v>
      </c>
      <c r="B8057" s="33" t="s">
        <v>18639</v>
      </c>
      <c r="C8057" s="33" t="s">
        <v>7765</v>
      </c>
      <c r="D8057" s="33" t="s">
        <v>17</v>
      </c>
      <c r="E8057" s="33" t="s">
        <v>26</v>
      </c>
      <c r="F8057" s="33" t="s">
        <v>27</v>
      </c>
      <c r="G8057" s="33" t="s">
        <v>20</v>
      </c>
      <c r="H8057" s="35">
        <v>12</v>
      </c>
      <c r="I8057" s="33" t="s">
        <v>21</v>
      </c>
      <c r="J8057" s="42">
        <v>44515</v>
      </c>
      <c r="K8057" s="33" t="s">
        <v>22</v>
      </c>
    </row>
    <row r="8058" spans="1:11">
      <c r="A8058" s="30" t="s">
        <v>18640</v>
      </c>
      <c r="B8058" s="30" t="s">
        <v>18641</v>
      </c>
      <c r="C8058" s="30" t="s">
        <v>109</v>
      </c>
      <c r="D8058" s="30" t="s">
        <v>17</v>
      </c>
      <c r="E8058" s="30" t="s">
        <v>31</v>
      </c>
      <c r="F8058" s="30" t="s">
        <v>32</v>
      </c>
      <c r="G8058" s="30" t="s">
        <v>20</v>
      </c>
      <c r="H8058" s="32">
        <v>24</v>
      </c>
      <c r="I8058" s="30" t="s">
        <v>21</v>
      </c>
      <c r="J8058" s="41">
        <v>44354</v>
      </c>
      <c r="K8058" s="30" t="s">
        <v>22</v>
      </c>
    </row>
    <row r="8059" spans="1:11">
      <c r="A8059" s="33" t="s">
        <v>18642</v>
      </c>
      <c r="B8059" s="33" t="s">
        <v>18643</v>
      </c>
      <c r="C8059" s="33" t="s">
        <v>17564</v>
      </c>
      <c r="D8059" s="33" t="s">
        <v>17</v>
      </c>
      <c r="E8059" s="33" t="s">
        <v>31</v>
      </c>
      <c r="F8059" s="33" t="s">
        <v>32</v>
      </c>
      <c r="G8059" s="33" t="s">
        <v>112</v>
      </c>
      <c r="H8059" s="35">
        <v>0</v>
      </c>
      <c r="I8059" s="33" t="s">
        <v>21</v>
      </c>
      <c r="J8059" s="42">
        <v>44228</v>
      </c>
      <c r="K8059" s="33" t="s">
        <v>22</v>
      </c>
    </row>
    <row r="8060" spans="1:11">
      <c r="A8060" s="30" t="s">
        <v>18644</v>
      </c>
      <c r="B8060" s="30" t="s">
        <v>18645</v>
      </c>
      <c r="C8060" s="30" t="s">
        <v>3944</v>
      </c>
      <c r="D8060" s="30" t="s">
        <v>17</v>
      </c>
      <c r="E8060" s="30" t="s">
        <v>26</v>
      </c>
      <c r="F8060" s="30" t="s">
        <v>27</v>
      </c>
      <c r="G8060" s="30" t="s">
        <v>50</v>
      </c>
      <c r="H8060" s="32">
        <v>54</v>
      </c>
      <c r="I8060" s="30" t="s">
        <v>51</v>
      </c>
      <c r="J8060" s="41">
        <v>44445</v>
      </c>
      <c r="K8060" s="30" t="s">
        <v>22</v>
      </c>
    </row>
    <row r="8061" spans="1:11">
      <c r="A8061" s="33" t="s">
        <v>18646</v>
      </c>
      <c r="B8061" s="33" t="s">
        <v>18647</v>
      </c>
      <c r="C8061" s="33" t="s">
        <v>1270</v>
      </c>
      <c r="D8061" s="33" t="s">
        <v>17</v>
      </c>
      <c r="E8061" s="33" t="s">
        <v>18</v>
      </c>
      <c r="F8061" s="33" t="s">
        <v>19</v>
      </c>
      <c r="G8061" s="33" t="s">
        <v>50</v>
      </c>
      <c r="H8061" s="35">
        <v>750</v>
      </c>
      <c r="I8061" s="33" t="s">
        <v>51</v>
      </c>
      <c r="J8061" s="42">
        <v>44260</v>
      </c>
      <c r="K8061" s="33" t="s">
        <v>22</v>
      </c>
    </row>
    <row r="8062" spans="1:11">
      <c r="A8062" s="30" t="s">
        <v>18648</v>
      </c>
      <c r="B8062" s="30" t="s">
        <v>18649</v>
      </c>
      <c r="C8062" s="30" t="s">
        <v>271</v>
      </c>
      <c r="D8062" s="30" t="s">
        <v>17</v>
      </c>
      <c r="E8062" s="30" t="s">
        <v>31</v>
      </c>
      <c r="F8062" s="30" t="s">
        <v>32</v>
      </c>
      <c r="G8062" s="30" t="s">
        <v>106</v>
      </c>
      <c r="H8062" s="32">
        <v>13</v>
      </c>
      <c r="I8062" s="30" t="s">
        <v>21</v>
      </c>
      <c r="J8062" s="41">
        <v>44376</v>
      </c>
      <c r="K8062" s="30" t="s">
        <v>22</v>
      </c>
    </row>
    <row r="8063" spans="1:11">
      <c r="A8063" s="33" t="s">
        <v>18650</v>
      </c>
      <c r="B8063" s="33" t="s">
        <v>18651</v>
      </c>
      <c r="C8063" s="33" t="s">
        <v>18652</v>
      </c>
      <c r="D8063" s="33" t="s">
        <v>17</v>
      </c>
      <c r="E8063" s="33" t="s">
        <v>31</v>
      </c>
      <c r="F8063" s="33" t="s">
        <v>32</v>
      </c>
      <c r="G8063" s="33" t="s">
        <v>20</v>
      </c>
      <c r="H8063" s="35">
        <v>19</v>
      </c>
      <c r="I8063" s="33" t="s">
        <v>21</v>
      </c>
      <c r="J8063" s="42">
        <v>44364</v>
      </c>
      <c r="K8063" s="33" t="s">
        <v>22</v>
      </c>
    </row>
    <row r="8064" spans="1:11">
      <c r="A8064" s="30" t="s">
        <v>18653</v>
      </c>
      <c r="B8064" s="30" t="s">
        <v>18654</v>
      </c>
      <c r="C8064" s="30" t="s">
        <v>709</v>
      </c>
      <c r="D8064" s="30" t="s">
        <v>17</v>
      </c>
      <c r="E8064" s="30" t="s">
        <v>26</v>
      </c>
      <c r="F8064" s="30" t="s">
        <v>27</v>
      </c>
      <c r="G8064" s="30" t="s">
        <v>20</v>
      </c>
      <c r="H8064" s="32">
        <v>30</v>
      </c>
      <c r="I8064" s="30" t="s">
        <v>21</v>
      </c>
      <c r="J8064" s="41">
        <v>44503</v>
      </c>
      <c r="K8064" s="30" t="s">
        <v>22</v>
      </c>
    </row>
    <row r="8065" spans="1:11">
      <c r="A8065" s="33" t="s">
        <v>18655</v>
      </c>
      <c r="B8065" s="33" t="s">
        <v>18656</v>
      </c>
      <c r="C8065" s="33" t="s">
        <v>3439</v>
      </c>
      <c r="D8065" s="33" t="s">
        <v>17</v>
      </c>
      <c r="E8065" s="33" t="s">
        <v>26</v>
      </c>
      <c r="F8065" s="33" t="s">
        <v>27</v>
      </c>
      <c r="G8065" s="33" t="s">
        <v>112</v>
      </c>
      <c r="H8065" s="35">
        <v>0</v>
      </c>
      <c r="I8065" s="33" t="s">
        <v>21</v>
      </c>
      <c r="J8065" s="42">
        <v>44470</v>
      </c>
      <c r="K8065" s="33" t="s">
        <v>22</v>
      </c>
    </row>
    <row r="8066" spans="1:11">
      <c r="A8066" s="30" t="s">
        <v>18657</v>
      </c>
      <c r="B8066" s="30" t="s">
        <v>18658</v>
      </c>
      <c r="C8066" s="30" t="s">
        <v>109</v>
      </c>
      <c r="D8066" s="30" t="s">
        <v>17</v>
      </c>
      <c r="E8066" s="30" t="s">
        <v>18</v>
      </c>
      <c r="F8066" s="30" t="s">
        <v>19</v>
      </c>
      <c r="G8066" s="30" t="s">
        <v>20</v>
      </c>
      <c r="H8066" s="32">
        <v>892</v>
      </c>
      <c r="I8066" s="30" t="s">
        <v>21</v>
      </c>
      <c r="J8066" s="41">
        <v>44384</v>
      </c>
      <c r="K8066" s="30" t="s">
        <v>22</v>
      </c>
    </row>
    <row r="8067" spans="1:11">
      <c r="A8067" s="33" t="s">
        <v>18659</v>
      </c>
      <c r="B8067" s="33" t="s">
        <v>18660</v>
      </c>
      <c r="C8067" s="33" t="s">
        <v>18661</v>
      </c>
      <c r="D8067" s="33" t="s">
        <v>17</v>
      </c>
      <c r="E8067" s="33" t="s">
        <v>26</v>
      </c>
      <c r="F8067" s="33" t="s">
        <v>27</v>
      </c>
      <c r="G8067" s="33" t="s">
        <v>112</v>
      </c>
      <c r="H8067" s="35">
        <v>0</v>
      </c>
      <c r="I8067" s="33" t="s">
        <v>21</v>
      </c>
      <c r="J8067" s="42">
        <v>44197</v>
      </c>
      <c r="K8067" s="33" t="s">
        <v>22</v>
      </c>
    </row>
    <row r="8068" spans="1:11">
      <c r="A8068" s="30" t="s">
        <v>18662</v>
      </c>
      <c r="B8068" s="30" t="s">
        <v>18663</v>
      </c>
      <c r="C8068" s="30" t="s">
        <v>9163</v>
      </c>
      <c r="D8068" s="30" t="s">
        <v>17</v>
      </c>
      <c r="E8068" s="30" t="s">
        <v>67</v>
      </c>
      <c r="F8068" s="30" t="s">
        <v>68</v>
      </c>
      <c r="G8068" s="30" t="s">
        <v>106</v>
      </c>
      <c r="H8068" s="32">
        <v>6</v>
      </c>
      <c r="I8068" s="30" t="s">
        <v>21</v>
      </c>
      <c r="J8068" s="41">
        <v>44536</v>
      </c>
      <c r="K8068" s="30" t="s">
        <v>22</v>
      </c>
    </row>
    <row r="8069" spans="1:11">
      <c r="A8069" s="33" t="s">
        <v>18664</v>
      </c>
      <c r="B8069" s="33" t="s">
        <v>18665</v>
      </c>
      <c r="C8069" s="33" t="s">
        <v>18600</v>
      </c>
      <c r="D8069" s="33" t="s">
        <v>17</v>
      </c>
      <c r="E8069" s="33" t="s">
        <v>31</v>
      </c>
      <c r="F8069" s="33" t="s">
        <v>32</v>
      </c>
      <c r="G8069" s="33" t="s">
        <v>20</v>
      </c>
      <c r="H8069" s="35">
        <v>4</v>
      </c>
      <c r="I8069" s="33" t="s">
        <v>21</v>
      </c>
      <c r="J8069" s="42">
        <v>44559</v>
      </c>
      <c r="K8069" s="33" t="s">
        <v>22</v>
      </c>
    </row>
    <row r="8070" spans="1:11">
      <c r="A8070" s="30" t="s">
        <v>18666</v>
      </c>
      <c r="B8070" s="30" t="s">
        <v>18667</v>
      </c>
      <c r="C8070" s="30" t="s">
        <v>14646</v>
      </c>
      <c r="D8070" s="30" t="s">
        <v>17</v>
      </c>
      <c r="E8070" s="30" t="s">
        <v>18</v>
      </c>
      <c r="F8070" s="30" t="s">
        <v>19</v>
      </c>
      <c r="G8070" s="30" t="s">
        <v>20</v>
      </c>
      <c r="H8070" s="32">
        <v>258</v>
      </c>
      <c r="I8070" s="30" t="s">
        <v>21</v>
      </c>
      <c r="J8070" s="41">
        <v>44510</v>
      </c>
      <c r="K8070" s="30" t="s">
        <v>22</v>
      </c>
    </row>
    <row r="8071" spans="1:11">
      <c r="A8071" s="33" t="s">
        <v>18668</v>
      </c>
      <c r="B8071" s="33" t="s">
        <v>18669</v>
      </c>
      <c r="C8071" s="33" t="s">
        <v>1974</v>
      </c>
      <c r="D8071" s="33" t="s">
        <v>17</v>
      </c>
      <c r="E8071" s="33" t="s">
        <v>26</v>
      </c>
      <c r="F8071" s="33" t="s">
        <v>27</v>
      </c>
      <c r="G8071" s="33" t="s">
        <v>20</v>
      </c>
      <c r="H8071" s="35">
        <v>36</v>
      </c>
      <c r="I8071" s="33" t="s">
        <v>21</v>
      </c>
      <c r="J8071" s="42">
        <v>44497</v>
      </c>
      <c r="K8071" s="33" t="s">
        <v>22</v>
      </c>
    </row>
    <row r="8072" spans="1:11">
      <c r="A8072" s="30" t="s">
        <v>18670</v>
      </c>
      <c r="B8072" s="30" t="s">
        <v>18671</v>
      </c>
      <c r="C8072" s="30" t="s">
        <v>2472</v>
      </c>
      <c r="D8072" s="30" t="s">
        <v>17</v>
      </c>
      <c r="E8072" s="30" t="s">
        <v>45</v>
      </c>
      <c r="F8072" s="30" t="s">
        <v>46</v>
      </c>
      <c r="G8072" s="30" t="s">
        <v>20</v>
      </c>
      <c r="H8072" s="32">
        <v>5161</v>
      </c>
      <c r="I8072" s="30" t="s">
        <v>21</v>
      </c>
      <c r="J8072" s="41">
        <v>44344</v>
      </c>
      <c r="K8072" s="30" t="s">
        <v>22</v>
      </c>
    </row>
    <row r="8073" spans="1:11">
      <c r="A8073" s="33" t="s">
        <v>18672</v>
      </c>
      <c r="B8073" s="33" t="s">
        <v>18673</v>
      </c>
      <c r="C8073" s="33" t="s">
        <v>190</v>
      </c>
      <c r="D8073" s="33" t="s">
        <v>17</v>
      </c>
      <c r="E8073" s="33" t="s">
        <v>26</v>
      </c>
      <c r="F8073" s="33" t="s">
        <v>27</v>
      </c>
      <c r="G8073" s="33" t="s">
        <v>20</v>
      </c>
      <c r="H8073" s="35">
        <v>48</v>
      </c>
      <c r="I8073" s="33" t="s">
        <v>21</v>
      </c>
      <c r="J8073" s="42">
        <v>44403</v>
      </c>
      <c r="K8073" s="33" t="s">
        <v>22</v>
      </c>
    </row>
    <row r="8074" spans="1:11">
      <c r="A8074" s="30" t="s">
        <v>18674</v>
      </c>
      <c r="B8074" s="30" t="s">
        <v>18675</v>
      </c>
      <c r="C8074" s="30" t="s">
        <v>2472</v>
      </c>
      <c r="D8074" s="30" t="s">
        <v>17</v>
      </c>
      <c r="E8074" s="30" t="s">
        <v>67</v>
      </c>
      <c r="F8074" s="30" t="s">
        <v>68</v>
      </c>
      <c r="G8074" s="30" t="s">
        <v>20</v>
      </c>
      <c r="H8074" s="32">
        <v>885</v>
      </c>
      <c r="I8074" s="30" t="s">
        <v>21</v>
      </c>
      <c r="J8074" s="41">
        <v>44383</v>
      </c>
      <c r="K8074" s="30" t="s">
        <v>22</v>
      </c>
    </row>
    <row r="8075" spans="1:11">
      <c r="A8075" s="33" t="s">
        <v>18676</v>
      </c>
      <c r="B8075" s="33" t="s">
        <v>18677</v>
      </c>
      <c r="C8075" s="33" t="s">
        <v>5093</v>
      </c>
      <c r="D8075" s="33" t="s">
        <v>17</v>
      </c>
      <c r="E8075" s="33" t="s">
        <v>26</v>
      </c>
      <c r="F8075" s="33" t="s">
        <v>27</v>
      </c>
      <c r="G8075" s="33" t="s">
        <v>20</v>
      </c>
      <c r="H8075" s="35">
        <v>24</v>
      </c>
      <c r="I8075" s="33" t="s">
        <v>21</v>
      </c>
      <c r="J8075" s="42">
        <v>44433</v>
      </c>
      <c r="K8075" s="33" t="s">
        <v>22</v>
      </c>
    </row>
    <row r="8076" spans="1:11">
      <c r="A8076" s="30" t="s">
        <v>18678</v>
      </c>
      <c r="B8076" s="30" t="s">
        <v>18679</v>
      </c>
      <c r="C8076" s="30" t="s">
        <v>109</v>
      </c>
      <c r="D8076" s="30" t="s">
        <v>17</v>
      </c>
      <c r="E8076" s="30" t="s">
        <v>18</v>
      </c>
      <c r="F8076" s="30" t="s">
        <v>19</v>
      </c>
      <c r="G8076" s="30" t="s">
        <v>158</v>
      </c>
      <c r="H8076" s="32">
        <v>430</v>
      </c>
      <c r="I8076" s="30" t="s">
        <v>21</v>
      </c>
      <c r="J8076" s="41">
        <v>44295</v>
      </c>
      <c r="K8076" s="30" t="s">
        <v>22</v>
      </c>
    </row>
    <row r="8077" spans="1:11">
      <c r="A8077" s="33" t="s">
        <v>18680</v>
      </c>
      <c r="B8077" s="33" t="s">
        <v>18681</v>
      </c>
      <c r="C8077" s="33" t="s">
        <v>1191</v>
      </c>
      <c r="D8077" s="33" t="s">
        <v>17</v>
      </c>
      <c r="E8077" s="33" t="s">
        <v>18</v>
      </c>
      <c r="F8077" s="33" t="s">
        <v>19</v>
      </c>
      <c r="G8077" s="33" t="s">
        <v>158</v>
      </c>
      <c r="H8077" s="35">
        <v>2898</v>
      </c>
      <c r="I8077" s="33" t="s">
        <v>21</v>
      </c>
      <c r="J8077" s="42">
        <v>44491</v>
      </c>
      <c r="K8077" s="33" t="s">
        <v>22</v>
      </c>
    </row>
    <row r="8078" spans="1:11">
      <c r="A8078" s="30" t="s">
        <v>18682</v>
      </c>
      <c r="B8078" s="30" t="s">
        <v>18683</v>
      </c>
      <c r="C8078" s="30" t="s">
        <v>14949</v>
      </c>
      <c r="D8078" s="30" t="s">
        <v>17</v>
      </c>
      <c r="E8078" s="30" t="s">
        <v>26</v>
      </c>
      <c r="F8078" s="30" t="s">
        <v>27</v>
      </c>
      <c r="G8078" s="30" t="s">
        <v>20</v>
      </c>
      <c r="H8078" s="32">
        <v>9</v>
      </c>
      <c r="I8078" s="30" t="s">
        <v>21</v>
      </c>
      <c r="J8078" s="41">
        <v>44264</v>
      </c>
      <c r="K8078" s="30" t="s">
        <v>22</v>
      </c>
    </row>
    <row r="8079" spans="1:11">
      <c r="A8079" s="33" t="s">
        <v>18684</v>
      </c>
      <c r="B8079" s="33" t="s">
        <v>18685</v>
      </c>
      <c r="C8079" s="33" t="s">
        <v>10800</v>
      </c>
      <c r="D8079" s="33" t="s">
        <v>17</v>
      </c>
      <c r="E8079" s="33" t="s">
        <v>31</v>
      </c>
      <c r="F8079" s="33" t="s">
        <v>32</v>
      </c>
      <c r="G8079" s="33" t="s">
        <v>50</v>
      </c>
      <c r="H8079" s="35">
        <v>68</v>
      </c>
      <c r="I8079" s="33" t="s">
        <v>21</v>
      </c>
      <c r="J8079" s="42">
        <v>44349</v>
      </c>
      <c r="K8079" s="33" t="s">
        <v>22</v>
      </c>
    </row>
    <row r="8080" spans="1:11">
      <c r="A8080" s="30" t="s">
        <v>18686</v>
      </c>
      <c r="B8080" s="30" t="s">
        <v>18687</v>
      </c>
      <c r="C8080" s="30" t="s">
        <v>7393</v>
      </c>
      <c r="D8080" s="30" t="s">
        <v>17</v>
      </c>
      <c r="E8080" s="30" t="s">
        <v>26</v>
      </c>
      <c r="F8080" s="30" t="s">
        <v>27</v>
      </c>
      <c r="G8080" s="30" t="s">
        <v>20</v>
      </c>
      <c r="H8080" s="32">
        <v>51</v>
      </c>
      <c r="I8080" s="30" t="s">
        <v>21</v>
      </c>
      <c r="J8080" s="41">
        <v>44249</v>
      </c>
      <c r="K8080" s="30" t="s">
        <v>22</v>
      </c>
    </row>
    <row r="8081" spans="1:11">
      <c r="A8081" s="33" t="s">
        <v>18688</v>
      </c>
      <c r="B8081" s="33" t="s">
        <v>18689</v>
      </c>
      <c r="C8081" s="33" t="s">
        <v>11783</v>
      </c>
      <c r="D8081" s="33" t="s">
        <v>17</v>
      </c>
      <c r="E8081" s="33" t="s">
        <v>26</v>
      </c>
      <c r="F8081" s="33" t="s">
        <v>27</v>
      </c>
      <c r="G8081" s="33" t="s">
        <v>20</v>
      </c>
      <c r="H8081" s="35">
        <v>24</v>
      </c>
      <c r="I8081" s="33" t="s">
        <v>21</v>
      </c>
      <c r="J8081" s="42">
        <v>44378</v>
      </c>
      <c r="K8081" s="33" t="s">
        <v>22</v>
      </c>
    </row>
    <row r="8082" spans="1:11">
      <c r="A8082" s="30" t="s">
        <v>18690</v>
      </c>
      <c r="B8082" s="30" t="s">
        <v>18691</v>
      </c>
      <c r="C8082" s="30" t="s">
        <v>252</v>
      </c>
      <c r="D8082" s="30" t="s">
        <v>17</v>
      </c>
      <c r="E8082" s="30" t="s">
        <v>18</v>
      </c>
      <c r="F8082" s="30" t="s">
        <v>19</v>
      </c>
      <c r="G8082" s="30" t="s">
        <v>20</v>
      </c>
      <c r="H8082" s="32">
        <v>452</v>
      </c>
      <c r="I8082" s="30" t="s">
        <v>21</v>
      </c>
      <c r="J8082" s="41">
        <v>44529</v>
      </c>
      <c r="K8082" s="30" t="s">
        <v>22</v>
      </c>
    </row>
    <row r="8083" spans="1:11">
      <c r="A8083" s="33" t="s">
        <v>18692</v>
      </c>
      <c r="B8083" s="33" t="s">
        <v>18693</v>
      </c>
      <c r="C8083" s="33" t="s">
        <v>6962</v>
      </c>
      <c r="D8083" s="33" t="s">
        <v>17</v>
      </c>
      <c r="E8083" s="33" t="s">
        <v>26</v>
      </c>
      <c r="F8083" s="33" t="s">
        <v>27</v>
      </c>
      <c r="G8083" s="33" t="s">
        <v>20</v>
      </c>
      <c r="H8083" s="35">
        <v>34</v>
      </c>
      <c r="I8083" s="33" t="s">
        <v>21</v>
      </c>
      <c r="J8083" s="42">
        <v>44414</v>
      </c>
      <c r="K8083" s="33" t="s">
        <v>22</v>
      </c>
    </row>
    <row r="8084" spans="1:11">
      <c r="A8084" s="30" t="s">
        <v>18694</v>
      </c>
      <c r="B8084" s="30" t="s">
        <v>18695</v>
      </c>
      <c r="C8084" s="30" t="s">
        <v>3397</v>
      </c>
      <c r="D8084" s="30" t="s">
        <v>17</v>
      </c>
      <c r="E8084" s="30" t="s">
        <v>26</v>
      </c>
      <c r="F8084" s="30" t="s">
        <v>27</v>
      </c>
      <c r="G8084" s="30" t="s">
        <v>20</v>
      </c>
      <c r="H8084" s="32">
        <v>32</v>
      </c>
      <c r="I8084" s="30" t="s">
        <v>21</v>
      </c>
      <c r="J8084" s="41">
        <v>44294</v>
      </c>
      <c r="K8084" s="30" t="s">
        <v>22</v>
      </c>
    </row>
    <row r="8085" spans="1:11">
      <c r="A8085" s="33" t="s">
        <v>18696</v>
      </c>
      <c r="B8085" s="33" t="s">
        <v>18697</v>
      </c>
      <c r="C8085" s="33" t="s">
        <v>450</v>
      </c>
      <c r="D8085" s="33" t="s">
        <v>17</v>
      </c>
      <c r="E8085" s="33" t="s">
        <v>26</v>
      </c>
      <c r="F8085" s="33" t="s">
        <v>27</v>
      </c>
      <c r="G8085" s="33" t="s">
        <v>20</v>
      </c>
      <c r="H8085" s="35">
        <v>20</v>
      </c>
      <c r="I8085" s="33" t="s">
        <v>21</v>
      </c>
      <c r="J8085" s="42">
        <v>44386</v>
      </c>
      <c r="K8085" s="33" t="s">
        <v>22</v>
      </c>
    </row>
    <row r="8086" spans="1:11">
      <c r="A8086" s="30" t="s">
        <v>18698</v>
      </c>
      <c r="B8086" s="30" t="s">
        <v>18699</v>
      </c>
      <c r="C8086" s="30" t="s">
        <v>149</v>
      </c>
      <c r="D8086" s="30" t="s">
        <v>17</v>
      </c>
      <c r="E8086" s="30" t="s">
        <v>26</v>
      </c>
      <c r="F8086" s="30" t="s">
        <v>27</v>
      </c>
      <c r="G8086" s="30" t="s">
        <v>50</v>
      </c>
      <c r="H8086" s="32">
        <v>23</v>
      </c>
      <c r="I8086" s="30" t="s">
        <v>21</v>
      </c>
      <c r="J8086" s="41">
        <v>44481</v>
      </c>
      <c r="K8086" s="30" t="s">
        <v>22</v>
      </c>
    </row>
    <row r="8087" spans="1:11">
      <c r="A8087" s="33" t="s">
        <v>18700</v>
      </c>
      <c r="B8087" s="33" t="s">
        <v>18701</v>
      </c>
      <c r="C8087" s="33" t="s">
        <v>10658</v>
      </c>
      <c r="D8087" s="33" t="s">
        <v>17</v>
      </c>
      <c r="E8087" s="33" t="s">
        <v>18</v>
      </c>
      <c r="F8087" s="33" t="s">
        <v>19</v>
      </c>
      <c r="G8087" s="33" t="s">
        <v>2613</v>
      </c>
      <c r="H8087" s="35">
        <v>350</v>
      </c>
      <c r="I8087" s="33" t="s">
        <v>51</v>
      </c>
      <c r="J8087" s="42">
        <v>44409</v>
      </c>
      <c r="K8087" s="33" t="s">
        <v>22</v>
      </c>
    </row>
    <row r="8088" spans="1:11">
      <c r="A8088" s="30" t="s">
        <v>18702</v>
      </c>
      <c r="B8088" s="30" t="s">
        <v>18703</v>
      </c>
      <c r="C8088" s="30" t="s">
        <v>102</v>
      </c>
      <c r="D8088" s="30" t="s">
        <v>17</v>
      </c>
      <c r="E8088" s="30" t="s">
        <v>26</v>
      </c>
      <c r="F8088" s="30" t="s">
        <v>27</v>
      </c>
      <c r="G8088" s="30" t="s">
        <v>20</v>
      </c>
      <c r="H8088" s="32">
        <v>44</v>
      </c>
      <c r="I8088" s="30" t="s">
        <v>21</v>
      </c>
      <c r="J8088" s="41">
        <v>44487</v>
      </c>
      <c r="K8088" s="30" t="s">
        <v>22</v>
      </c>
    </row>
    <row r="8089" spans="1:11">
      <c r="A8089" s="33" t="s">
        <v>18704</v>
      </c>
      <c r="B8089" s="33" t="s">
        <v>18705</v>
      </c>
      <c r="C8089" s="33" t="s">
        <v>2922</v>
      </c>
      <c r="D8089" s="33" t="s">
        <v>17</v>
      </c>
      <c r="E8089" s="33" t="s">
        <v>67</v>
      </c>
      <c r="F8089" s="33" t="s">
        <v>68</v>
      </c>
      <c r="G8089" s="33" t="s">
        <v>140</v>
      </c>
      <c r="H8089" s="35">
        <v>215</v>
      </c>
      <c r="I8089" s="33" t="s">
        <v>51</v>
      </c>
      <c r="J8089" s="42">
        <v>44539</v>
      </c>
      <c r="K8089" s="33" t="s">
        <v>22</v>
      </c>
    </row>
    <row r="8090" spans="1:11">
      <c r="A8090" s="30" t="s">
        <v>18706</v>
      </c>
      <c r="B8090" s="30" t="s">
        <v>18707</v>
      </c>
      <c r="C8090" s="30" t="s">
        <v>93</v>
      </c>
      <c r="D8090" s="30" t="s">
        <v>17</v>
      </c>
      <c r="E8090" s="30" t="s">
        <v>31</v>
      </c>
      <c r="F8090" s="30" t="s">
        <v>32</v>
      </c>
      <c r="G8090" s="30" t="s">
        <v>112</v>
      </c>
      <c r="H8090" s="32">
        <v>0</v>
      </c>
      <c r="I8090" s="30" t="s">
        <v>21</v>
      </c>
      <c r="J8090" s="41">
        <v>44426</v>
      </c>
      <c r="K8090" s="30" t="s">
        <v>22</v>
      </c>
    </row>
    <row r="8091" spans="1:11">
      <c r="A8091" s="33" t="s">
        <v>18708</v>
      </c>
      <c r="B8091" s="33" t="s">
        <v>18709</v>
      </c>
      <c r="C8091" s="33" t="s">
        <v>653</v>
      </c>
      <c r="D8091" s="33" t="s">
        <v>17</v>
      </c>
      <c r="E8091" s="33" t="s">
        <v>31</v>
      </c>
      <c r="F8091" s="33" t="s">
        <v>32</v>
      </c>
      <c r="G8091" s="33" t="s">
        <v>20</v>
      </c>
      <c r="H8091" s="35">
        <v>294</v>
      </c>
      <c r="I8091" s="33" t="s">
        <v>21</v>
      </c>
      <c r="J8091" s="42">
        <v>44529</v>
      </c>
      <c r="K8091" s="33" t="s">
        <v>22</v>
      </c>
    </row>
    <row r="8092" spans="1:11">
      <c r="A8092" s="30" t="s">
        <v>18710</v>
      </c>
      <c r="B8092" s="30" t="s">
        <v>18711</v>
      </c>
      <c r="C8092" s="30" t="s">
        <v>49</v>
      </c>
      <c r="D8092" s="30" t="s">
        <v>17</v>
      </c>
      <c r="E8092" s="30" t="s">
        <v>26</v>
      </c>
      <c r="F8092" s="30" t="s">
        <v>27</v>
      </c>
      <c r="G8092" s="30" t="s">
        <v>50</v>
      </c>
      <c r="H8092" s="32">
        <v>10</v>
      </c>
      <c r="I8092" s="30" t="s">
        <v>51</v>
      </c>
      <c r="J8092" s="41">
        <v>44228</v>
      </c>
      <c r="K8092" s="30" t="s">
        <v>22</v>
      </c>
    </row>
    <row r="8093" spans="1:11">
      <c r="A8093" s="33" t="s">
        <v>18712</v>
      </c>
      <c r="B8093" s="33" t="s">
        <v>18713</v>
      </c>
      <c r="C8093" s="33" t="s">
        <v>18714</v>
      </c>
      <c r="D8093" s="33" t="s">
        <v>17</v>
      </c>
      <c r="E8093" s="33" t="s">
        <v>26</v>
      </c>
      <c r="F8093" s="33" t="s">
        <v>27</v>
      </c>
      <c r="G8093" s="33" t="s">
        <v>20</v>
      </c>
      <c r="H8093" s="35">
        <v>15</v>
      </c>
      <c r="I8093" s="33" t="s">
        <v>21</v>
      </c>
      <c r="J8093" s="42">
        <v>44235</v>
      </c>
      <c r="K8093" s="33" t="s">
        <v>22</v>
      </c>
    </row>
    <row r="8094" spans="1:11">
      <c r="A8094" s="30" t="s">
        <v>18715</v>
      </c>
      <c r="B8094" s="30" t="s">
        <v>18716</v>
      </c>
      <c r="C8094" s="30" t="s">
        <v>554</v>
      </c>
      <c r="D8094" s="30" t="s">
        <v>17</v>
      </c>
      <c r="E8094" s="30" t="s">
        <v>31</v>
      </c>
      <c r="F8094" s="30" t="s">
        <v>32</v>
      </c>
      <c r="G8094" s="30" t="s">
        <v>20</v>
      </c>
      <c r="H8094" s="32">
        <v>34</v>
      </c>
      <c r="I8094" s="30" t="s">
        <v>21</v>
      </c>
      <c r="J8094" s="41">
        <v>44252</v>
      </c>
      <c r="K8094" s="30" t="s">
        <v>22</v>
      </c>
    </row>
    <row r="8095" spans="1:11">
      <c r="A8095" s="33" t="s">
        <v>18717</v>
      </c>
      <c r="B8095" s="33" t="s">
        <v>18718</v>
      </c>
      <c r="C8095" s="33" t="s">
        <v>190</v>
      </c>
      <c r="D8095" s="33" t="s">
        <v>17</v>
      </c>
      <c r="E8095" s="33" t="s">
        <v>26</v>
      </c>
      <c r="F8095" s="33" t="s">
        <v>27</v>
      </c>
      <c r="G8095" s="33" t="s">
        <v>140</v>
      </c>
      <c r="H8095" s="35">
        <v>304</v>
      </c>
      <c r="I8095" s="33" t="s">
        <v>51</v>
      </c>
      <c r="J8095" s="42">
        <v>44264</v>
      </c>
      <c r="K8095" s="33" t="s">
        <v>22</v>
      </c>
    </row>
    <row r="8096" spans="1:11">
      <c r="A8096" s="30" t="s">
        <v>18719</v>
      </c>
      <c r="B8096" s="30" t="s">
        <v>18720</v>
      </c>
      <c r="C8096" s="30" t="s">
        <v>3137</v>
      </c>
      <c r="D8096" s="30" t="s">
        <v>17</v>
      </c>
      <c r="E8096" s="30" t="s">
        <v>26</v>
      </c>
      <c r="F8096" s="30" t="s">
        <v>27</v>
      </c>
      <c r="G8096" s="30" t="s">
        <v>20</v>
      </c>
      <c r="H8096" s="32">
        <v>40</v>
      </c>
      <c r="I8096" s="30" t="s">
        <v>21</v>
      </c>
      <c r="J8096" s="41">
        <v>44539</v>
      </c>
      <c r="K8096" s="30" t="s">
        <v>22</v>
      </c>
    </row>
    <row r="8097" spans="1:11">
      <c r="A8097" s="33" t="s">
        <v>18721</v>
      </c>
      <c r="B8097" s="33" t="s">
        <v>18722</v>
      </c>
      <c r="C8097" s="33" t="s">
        <v>6110</v>
      </c>
      <c r="D8097" s="33" t="s">
        <v>17</v>
      </c>
      <c r="E8097" s="33" t="s">
        <v>31</v>
      </c>
      <c r="F8097" s="33" t="s">
        <v>32</v>
      </c>
      <c r="G8097" s="33" t="s">
        <v>20</v>
      </c>
      <c r="H8097" s="35">
        <v>63</v>
      </c>
      <c r="I8097" s="33" t="s">
        <v>21</v>
      </c>
      <c r="J8097" s="42">
        <v>44319</v>
      </c>
      <c r="K8097" s="33" t="s">
        <v>22</v>
      </c>
    </row>
    <row r="8098" spans="1:11">
      <c r="A8098" s="30" t="s">
        <v>18723</v>
      </c>
      <c r="B8098" s="30" t="s">
        <v>18724</v>
      </c>
      <c r="C8098" s="30" t="s">
        <v>969</v>
      </c>
      <c r="D8098" s="30" t="s">
        <v>17</v>
      </c>
      <c r="E8098" s="30" t="s">
        <v>18</v>
      </c>
      <c r="F8098" s="30" t="s">
        <v>19</v>
      </c>
      <c r="G8098" s="30" t="s">
        <v>20</v>
      </c>
      <c r="H8098" s="32">
        <v>397</v>
      </c>
      <c r="I8098" s="30" t="s">
        <v>21</v>
      </c>
      <c r="J8098" s="41">
        <v>44231</v>
      </c>
      <c r="K8098" s="30" t="s">
        <v>22</v>
      </c>
    </row>
    <row r="8099" spans="1:11">
      <c r="A8099" s="33" t="s">
        <v>18725</v>
      </c>
      <c r="B8099" s="33" t="s">
        <v>18726</v>
      </c>
      <c r="C8099" s="33" t="s">
        <v>4267</v>
      </c>
      <c r="D8099" s="33" t="s">
        <v>17</v>
      </c>
      <c r="E8099" s="33" t="s">
        <v>67</v>
      </c>
      <c r="F8099" s="33" t="s">
        <v>68</v>
      </c>
      <c r="G8099" s="33" t="s">
        <v>106</v>
      </c>
      <c r="H8099" s="35">
        <v>9</v>
      </c>
      <c r="I8099" s="33" t="s">
        <v>21</v>
      </c>
      <c r="J8099" s="42">
        <v>44462</v>
      </c>
      <c r="K8099" s="33" t="s">
        <v>22</v>
      </c>
    </row>
    <row r="8100" spans="1:11">
      <c r="A8100" s="30" t="s">
        <v>18727</v>
      </c>
      <c r="B8100" s="30" t="s">
        <v>18728</v>
      </c>
      <c r="C8100" s="30" t="s">
        <v>190</v>
      </c>
      <c r="D8100" s="30" t="s">
        <v>17</v>
      </c>
      <c r="E8100" s="30" t="s">
        <v>31</v>
      </c>
      <c r="F8100" s="30" t="s">
        <v>32</v>
      </c>
      <c r="G8100" s="30" t="s">
        <v>20</v>
      </c>
      <c r="H8100" s="32">
        <v>52</v>
      </c>
      <c r="I8100" s="30" t="s">
        <v>21</v>
      </c>
      <c r="J8100" s="41">
        <v>44545</v>
      </c>
      <c r="K8100" s="30" t="s">
        <v>22</v>
      </c>
    </row>
    <row r="8101" spans="1:11">
      <c r="A8101" s="33" t="s">
        <v>18729</v>
      </c>
      <c r="B8101" s="33" t="s">
        <v>18730</v>
      </c>
      <c r="C8101" s="33" t="s">
        <v>9464</v>
      </c>
      <c r="D8101" s="33" t="s">
        <v>17</v>
      </c>
      <c r="E8101" s="33" t="s">
        <v>26</v>
      </c>
      <c r="F8101" s="33" t="s">
        <v>27</v>
      </c>
      <c r="G8101" s="33" t="s">
        <v>20</v>
      </c>
      <c r="H8101" s="35">
        <v>34</v>
      </c>
      <c r="I8101" s="33" t="s">
        <v>21</v>
      </c>
      <c r="J8101" s="42">
        <v>44553</v>
      </c>
      <c r="K8101" s="33" t="s">
        <v>22</v>
      </c>
    </row>
    <row r="8102" spans="1:11">
      <c r="A8102" s="30" t="s">
        <v>18731</v>
      </c>
      <c r="B8102" s="30" t="s">
        <v>18732</v>
      </c>
      <c r="C8102" s="30" t="s">
        <v>18733</v>
      </c>
      <c r="D8102" s="30" t="s">
        <v>17</v>
      </c>
      <c r="E8102" s="30" t="s">
        <v>31</v>
      </c>
      <c r="F8102" s="30" t="s">
        <v>32</v>
      </c>
      <c r="G8102" s="30" t="s">
        <v>106</v>
      </c>
      <c r="H8102" s="32">
        <v>8</v>
      </c>
      <c r="I8102" s="30" t="s">
        <v>21</v>
      </c>
      <c r="J8102" s="41">
        <v>44459</v>
      </c>
      <c r="K8102" s="30" t="s">
        <v>22</v>
      </c>
    </row>
    <row r="8103" spans="1:11">
      <c r="A8103" s="33" t="s">
        <v>18734</v>
      </c>
      <c r="B8103" s="33" t="s">
        <v>18735</v>
      </c>
      <c r="C8103" s="33" t="s">
        <v>10311</v>
      </c>
      <c r="D8103" s="33" t="s">
        <v>17</v>
      </c>
      <c r="E8103" s="33" t="s">
        <v>31</v>
      </c>
      <c r="F8103" s="33" t="s">
        <v>32</v>
      </c>
      <c r="G8103" s="33" t="s">
        <v>20</v>
      </c>
      <c r="H8103" s="35">
        <v>51</v>
      </c>
      <c r="I8103" s="33" t="s">
        <v>21</v>
      </c>
      <c r="J8103" s="42">
        <v>44545</v>
      </c>
      <c r="K8103" s="33" t="s">
        <v>22</v>
      </c>
    </row>
    <row r="8104" spans="1:11">
      <c r="A8104" s="30" t="s">
        <v>18736</v>
      </c>
      <c r="B8104" s="30" t="s">
        <v>18737</v>
      </c>
      <c r="C8104" s="30" t="s">
        <v>18738</v>
      </c>
      <c r="D8104" s="30" t="s">
        <v>17</v>
      </c>
      <c r="E8104" s="30" t="s">
        <v>31</v>
      </c>
      <c r="F8104" s="30" t="s">
        <v>32</v>
      </c>
      <c r="G8104" s="30" t="s">
        <v>50</v>
      </c>
      <c r="H8104" s="32">
        <v>6</v>
      </c>
      <c r="I8104" s="30" t="s">
        <v>21</v>
      </c>
      <c r="J8104" s="41">
        <v>44266</v>
      </c>
      <c r="K8104" s="30" t="s">
        <v>22</v>
      </c>
    </row>
    <row r="8105" spans="1:11">
      <c r="A8105" s="33" t="s">
        <v>18739</v>
      </c>
      <c r="B8105" s="33" t="s">
        <v>18740</v>
      </c>
      <c r="C8105" s="33" t="s">
        <v>96</v>
      </c>
      <c r="D8105" s="33" t="s">
        <v>17</v>
      </c>
      <c r="E8105" s="33" t="s">
        <v>212</v>
      </c>
      <c r="F8105" s="33" t="s">
        <v>213</v>
      </c>
      <c r="G8105" s="33" t="s">
        <v>20</v>
      </c>
      <c r="H8105" s="35">
        <v>53</v>
      </c>
      <c r="I8105" s="33" t="s">
        <v>21</v>
      </c>
      <c r="J8105" s="42">
        <v>44399</v>
      </c>
      <c r="K8105" s="33" t="s">
        <v>22</v>
      </c>
    </row>
    <row r="8106" spans="1:11">
      <c r="A8106" s="30" t="s">
        <v>18741</v>
      </c>
      <c r="B8106" s="30" t="s">
        <v>18742</v>
      </c>
      <c r="C8106" s="30" t="s">
        <v>102</v>
      </c>
      <c r="D8106" s="30" t="s">
        <v>17</v>
      </c>
      <c r="E8106" s="30" t="s">
        <v>67</v>
      </c>
      <c r="F8106" s="30" t="s">
        <v>68</v>
      </c>
      <c r="G8106" s="30" t="s">
        <v>140</v>
      </c>
      <c r="H8106" s="32">
        <v>420</v>
      </c>
      <c r="I8106" s="30" t="s">
        <v>51</v>
      </c>
      <c r="J8106" s="41">
        <v>44335</v>
      </c>
      <c r="K8106" s="30" t="s">
        <v>22</v>
      </c>
    </row>
    <row r="8107" spans="1:11">
      <c r="A8107" s="33" t="s">
        <v>18743</v>
      </c>
      <c r="B8107" s="33" t="s">
        <v>18744</v>
      </c>
      <c r="C8107" s="33" t="s">
        <v>5372</v>
      </c>
      <c r="D8107" s="33" t="s">
        <v>17</v>
      </c>
      <c r="E8107" s="33" t="s">
        <v>31</v>
      </c>
      <c r="F8107" s="33" t="s">
        <v>32</v>
      </c>
      <c r="G8107" s="33" t="s">
        <v>20</v>
      </c>
      <c r="H8107" s="35">
        <v>354</v>
      </c>
      <c r="I8107" s="33" t="s">
        <v>21</v>
      </c>
      <c r="J8107" s="42">
        <v>44245</v>
      </c>
      <c r="K8107" s="33" t="s">
        <v>22</v>
      </c>
    </row>
    <row r="8108" spans="1:11">
      <c r="A8108" s="30" t="s">
        <v>18745</v>
      </c>
      <c r="B8108" s="30" t="s">
        <v>18746</v>
      </c>
      <c r="C8108" s="30" t="s">
        <v>2472</v>
      </c>
      <c r="D8108" s="30" t="s">
        <v>17</v>
      </c>
      <c r="E8108" s="30" t="s">
        <v>26</v>
      </c>
      <c r="F8108" s="30" t="s">
        <v>27</v>
      </c>
      <c r="G8108" s="30" t="s">
        <v>20</v>
      </c>
      <c r="H8108" s="32">
        <v>104</v>
      </c>
      <c r="I8108" s="30" t="s">
        <v>21</v>
      </c>
      <c r="J8108" s="41">
        <v>44266</v>
      </c>
      <c r="K8108" s="30" t="s">
        <v>22</v>
      </c>
    </row>
    <row r="8109" spans="1:11">
      <c r="A8109" s="33" t="s">
        <v>18747</v>
      </c>
      <c r="B8109" s="33" t="s">
        <v>18748</v>
      </c>
      <c r="C8109" s="33" t="s">
        <v>203</v>
      </c>
      <c r="D8109" s="33" t="s">
        <v>17</v>
      </c>
      <c r="E8109" s="33" t="s">
        <v>31</v>
      </c>
      <c r="F8109" s="33" t="s">
        <v>32</v>
      </c>
      <c r="G8109" s="33" t="s">
        <v>106</v>
      </c>
      <c r="H8109" s="35">
        <v>14</v>
      </c>
      <c r="I8109" s="33" t="s">
        <v>21</v>
      </c>
      <c r="J8109" s="42">
        <v>44537</v>
      </c>
      <c r="K8109" s="33" t="s">
        <v>22</v>
      </c>
    </row>
    <row r="8110" spans="1:11">
      <c r="A8110" s="30" t="s">
        <v>18749</v>
      </c>
      <c r="B8110" s="30" t="s">
        <v>18750</v>
      </c>
      <c r="C8110" s="30" t="s">
        <v>18751</v>
      </c>
      <c r="D8110" s="30" t="s">
        <v>17</v>
      </c>
      <c r="E8110" s="30" t="s">
        <v>26</v>
      </c>
      <c r="F8110" s="30" t="s">
        <v>27</v>
      </c>
      <c r="G8110" s="30" t="s">
        <v>106</v>
      </c>
      <c r="H8110" s="32">
        <v>2</v>
      </c>
      <c r="I8110" s="30" t="s">
        <v>21</v>
      </c>
      <c r="J8110" s="41">
        <v>44257</v>
      </c>
      <c r="K8110" s="30" t="s">
        <v>22</v>
      </c>
    </row>
    <row r="8111" spans="1:11">
      <c r="A8111" s="33" t="s">
        <v>18752</v>
      </c>
      <c r="B8111" s="33" t="s">
        <v>18753</v>
      </c>
      <c r="C8111" s="33" t="s">
        <v>379</v>
      </c>
      <c r="D8111" s="33" t="s">
        <v>17</v>
      </c>
      <c r="E8111" s="33" t="s">
        <v>31</v>
      </c>
      <c r="F8111" s="33" t="s">
        <v>32</v>
      </c>
      <c r="G8111" s="33" t="s">
        <v>50</v>
      </c>
      <c r="H8111" s="35">
        <v>50</v>
      </c>
      <c r="I8111" s="33" t="s">
        <v>51</v>
      </c>
      <c r="J8111" s="42">
        <v>44419</v>
      </c>
      <c r="K8111" s="33" t="s">
        <v>22</v>
      </c>
    </row>
    <row r="8112" spans="1:11">
      <c r="A8112" s="30" t="s">
        <v>18754</v>
      </c>
      <c r="B8112" s="30" t="s">
        <v>18755</v>
      </c>
      <c r="C8112" s="30" t="s">
        <v>1178</v>
      </c>
      <c r="D8112" s="30" t="s">
        <v>17</v>
      </c>
      <c r="E8112" s="30" t="s">
        <v>31</v>
      </c>
      <c r="F8112" s="30" t="s">
        <v>32</v>
      </c>
      <c r="G8112" s="30" t="s">
        <v>140</v>
      </c>
      <c r="H8112" s="32">
        <v>28</v>
      </c>
      <c r="I8112" s="30" t="s">
        <v>51</v>
      </c>
      <c r="J8112" s="41">
        <v>44301</v>
      </c>
      <c r="K8112" s="30" t="s">
        <v>22</v>
      </c>
    </row>
    <row r="8113" spans="1:11">
      <c r="A8113" s="33" t="s">
        <v>18756</v>
      </c>
      <c r="B8113" s="33" t="s">
        <v>18757</v>
      </c>
      <c r="C8113" s="33" t="s">
        <v>18758</v>
      </c>
      <c r="D8113" s="33" t="s">
        <v>17</v>
      </c>
      <c r="E8113" s="33" t="s">
        <v>31</v>
      </c>
      <c r="F8113" s="33" t="s">
        <v>32</v>
      </c>
      <c r="G8113" s="33" t="s">
        <v>20</v>
      </c>
      <c r="H8113" s="35">
        <v>52</v>
      </c>
      <c r="I8113" s="33" t="s">
        <v>21</v>
      </c>
      <c r="J8113" s="42">
        <v>44495</v>
      </c>
      <c r="K8113" s="33" t="s">
        <v>22</v>
      </c>
    </row>
    <row r="8114" spans="1:11">
      <c r="A8114" s="30" t="s">
        <v>18759</v>
      </c>
      <c r="B8114" s="30" t="s">
        <v>18760</v>
      </c>
      <c r="C8114" s="30" t="s">
        <v>18761</v>
      </c>
      <c r="D8114" s="30" t="s">
        <v>17</v>
      </c>
      <c r="E8114" s="30" t="s">
        <v>31</v>
      </c>
      <c r="F8114" s="30" t="s">
        <v>32</v>
      </c>
      <c r="G8114" s="30" t="s">
        <v>158</v>
      </c>
      <c r="H8114" s="32">
        <v>70</v>
      </c>
      <c r="I8114" s="30" t="s">
        <v>51</v>
      </c>
      <c r="J8114" s="41">
        <v>44236</v>
      </c>
      <c r="K8114" s="30" t="s">
        <v>22</v>
      </c>
    </row>
    <row r="8115" spans="1:11">
      <c r="A8115" s="33" t="s">
        <v>18762</v>
      </c>
      <c r="B8115" s="33" t="s">
        <v>18763</v>
      </c>
      <c r="C8115" s="33" t="s">
        <v>715</v>
      </c>
      <c r="D8115" s="33" t="s">
        <v>17</v>
      </c>
      <c r="E8115" s="33" t="s">
        <v>67</v>
      </c>
      <c r="F8115" s="33" t="s">
        <v>68</v>
      </c>
      <c r="G8115" s="33" t="s">
        <v>106</v>
      </c>
      <c r="H8115" s="35">
        <v>16</v>
      </c>
      <c r="I8115" s="33" t="s">
        <v>21</v>
      </c>
      <c r="J8115" s="42">
        <v>44553</v>
      </c>
      <c r="K8115" s="33" t="s">
        <v>22</v>
      </c>
    </row>
    <row r="8116" spans="1:11">
      <c r="A8116" s="30" t="s">
        <v>18764</v>
      </c>
      <c r="B8116" s="30" t="s">
        <v>18765</v>
      </c>
      <c r="C8116" s="30" t="s">
        <v>10508</v>
      </c>
      <c r="D8116" s="30" t="s">
        <v>17</v>
      </c>
      <c r="E8116" s="30" t="s">
        <v>45</v>
      </c>
      <c r="F8116" s="30" t="s">
        <v>46</v>
      </c>
      <c r="G8116" s="30" t="s">
        <v>20</v>
      </c>
      <c r="H8116" s="32">
        <v>30</v>
      </c>
      <c r="I8116" s="30" t="s">
        <v>21</v>
      </c>
      <c r="J8116" s="41">
        <v>44298</v>
      </c>
      <c r="K8116" s="30" t="s">
        <v>22</v>
      </c>
    </row>
    <row r="8117" spans="1:11">
      <c r="A8117" s="33" t="s">
        <v>18766</v>
      </c>
      <c r="B8117" s="33" t="s">
        <v>18767</v>
      </c>
      <c r="C8117" s="33" t="s">
        <v>136</v>
      </c>
      <c r="D8117" s="33" t="s">
        <v>17</v>
      </c>
      <c r="E8117" s="33" t="s">
        <v>31</v>
      </c>
      <c r="F8117" s="33" t="s">
        <v>32</v>
      </c>
      <c r="G8117" s="33" t="s">
        <v>20</v>
      </c>
      <c r="H8117" s="35">
        <v>87</v>
      </c>
      <c r="I8117" s="33" t="s">
        <v>21</v>
      </c>
      <c r="J8117" s="42">
        <v>44330</v>
      </c>
      <c r="K8117" s="33" t="s">
        <v>22</v>
      </c>
    </row>
    <row r="8118" spans="1:11">
      <c r="A8118" s="30" t="s">
        <v>18768</v>
      </c>
      <c r="B8118" s="30" t="s">
        <v>18769</v>
      </c>
      <c r="C8118" s="30" t="s">
        <v>4697</v>
      </c>
      <c r="D8118" s="30" t="s">
        <v>17</v>
      </c>
      <c r="E8118" s="30" t="s">
        <v>26</v>
      </c>
      <c r="F8118" s="30" t="s">
        <v>27</v>
      </c>
      <c r="G8118" s="30" t="s">
        <v>106</v>
      </c>
      <c r="H8118" s="32">
        <v>18</v>
      </c>
      <c r="I8118" s="30" t="s">
        <v>21</v>
      </c>
      <c r="J8118" s="41">
        <v>44539</v>
      </c>
      <c r="K8118" s="30" t="s">
        <v>22</v>
      </c>
    </row>
    <row r="8119" spans="1:11">
      <c r="A8119" s="33" t="s">
        <v>18770</v>
      </c>
      <c r="B8119" s="33" t="s">
        <v>18771</v>
      </c>
      <c r="C8119" s="33" t="s">
        <v>647</v>
      </c>
      <c r="D8119" s="33" t="s">
        <v>17</v>
      </c>
      <c r="E8119" s="33" t="s">
        <v>31</v>
      </c>
      <c r="F8119" s="33" t="s">
        <v>32</v>
      </c>
      <c r="G8119" s="33" t="s">
        <v>140</v>
      </c>
      <c r="H8119" s="35">
        <v>490</v>
      </c>
      <c r="I8119" s="33" t="s">
        <v>51</v>
      </c>
      <c r="J8119" s="42">
        <v>44291</v>
      </c>
      <c r="K8119" s="33" t="s">
        <v>22</v>
      </c>
    </row>
    <row r="8120" spans="1:11">
      <c r="A8120" s="30" t="s">
        <v>18772</v>
      </c>
      <c r="B8120" s="30" t="s">
        <v>18773</v>
      </c>
      <c r="C8120" s="30" t="s">
        <v>18774</v>
      </c>
      <c r="D8120" s="30" t="s">
        <v>17</v>
      </c>
      <c r="E8120" s="30" t="s">
        <v>67</v>
      </c>
      <c r="F8120" s="30" t="s">
        <v>68</v>
      </c>
      <c r="G8120" s="30" t="s">
        <v>50</v>
      </c>
      <c r="H8120" s="32">
        <v>18</v>
      </c>
      <c r="I8120" s="30" t="s">
        <v>21</v>
      </c>
      <c r="J8120" s="41">
        <v>44287</v>
      </c>
      <c r="K8120" s="30" t="s">
        <v>22</v>
      </c>
    </row>
    <row r="8121" spans="1:11">
      <c r="A8121" s="33" t="s">
        <v>18775</v>
      </c>
      <c r="B8121" s="33" t="s">
        <v>3311</v>
      </c>
      <c r="C8121" s="33" t="s">
        <v>3312</v>
      </c>
      <c r="D8121" s="33" t="s">
        <v>17</v>
      </c>
      <c r="E8121" s="33" t="s">
        <v>18</v>
      </c>
      <c r="F8121" s="33" t="s">
        <v>19</v>
      </c>
      <c r="G8121" s="33" t="s">
        <v>20</v>
      </c>
      <c r="H8121" s="35">
        <v>120</v>
      </c>
      <c r="I8121" s="33" t="s">
        <v>21</v>
      </c>
      <c r="J8121" s="42">
        <v>44285</v>
      </c>
      <c r="K8121" s="33" t="s">
        <v>22</v>
      </c>
    </row>
    <row r="8122" spans="1:11">
      <c r="A8122" s="30" t="s">
        <v>18776</v>
      </c>
      <c r="B8122" s="30" t="s">
        <v>18777</v>
      </c>
      <c r="C8122" s="30" t="s">
        <v>2277</v>
      </c>
      <c r="D8122" s="30" t="s">
        <v>17</v>
      </c>
      <c r="E8122" s="30" t="s">
        <v>26</v>
      </c>
      <c r="F8122" s="30" t="s">
        <v>27</v>
      </c>
      <c r="G8122" s="30" t="s">
        <v>20</v>
      </c>
      <c r="H8122" s="32">
        <v>24</v>
      </c>
      <c r="I8122" s="30" t="s">
        <v>21</v>
      </c>
      <c r="J8122" s="41">
        <v>44368</v>
      </c>
      <c r="K8122" s="30" t="s">
        <v>22</v>
      </c>
    </row>
    <row r="8123" spans="1:11">
      <c r="A8123" s="33" t="s">
        <v>18778</v>
      </c>
      <c r="B8123" s="33" t="s">
        <v>18779</v>
      </c>
      <c r="C8123" s="33" t="s">
        <v>18780</v>
      </c>
      <c r="D8123" s="33" t="s">
        <v>17</v>
      </c>
      <c r="E8123" s="33" t="s">
        <v>26</v>
      </c>
      <c r="F8123" s="33" t="s">
        <v>27</v>
      </c>
      <c r="G8123" s="33" t="s">
        <v>20</v>
      </c>
      <c r="H8123" s="35">
        <v>24</v>
      </c>
      <c r="I8123" s="33" t="s">
        <v>21</v>
      </c>
      <c r="J8123" s="42">
        <v>44301</v>
      </c>
      <c r="K8123" s="33" t="s">
        <v>22</v>
      </c>
    </row>
    <row r="8124" spans="1:11">
      <c r="A8124" s="30" t="s">
        <v>18781</v>
      </c>
      <c r="B8124" s="30" t="s">
        <v>18782</v>
      </c>
      <c r="C8124" s="30" t="s">
        <v>3775</v>
      </c>
      <c r="D8124" s="30" t="s">
        <v>17</v>
      </c>
      <c r="E8124" s="30" t="s">
        <v>26</v>
      </c>
      <c r="F8124" s="30" t="s">
        <v>27</v>
      </c>
      <c r="G8124" s="30" t="s">
        <v>20</v>
      </c>
      <c r="H8124" s="32">
        <v>24</v>
      </c>
      <c r="I8124" s="30" t="s">
        <v>21</v>
      </c>
      <c r="J8124" s="41">
        <v>44280</v>
      </c>
      <c r="K8124" s="30" t="s">
        <v>22</v>
      </c>
    </row>
    <row r="8125" spans="1:11">
      <c r="A8125" s="33" t="s">
        <v>18783</v>
      </c>
      <c r="B8125" s="33" t="s">
        <v>18784</v>
      </c>
      <c r="C8125" s="33" t="s">
        <v>1191</v>
      </c>
      <c r="D8125" s="33" t="s">
        <v>17</v>
      </c>
      <c r="E8125" s="33" t="s">
        <v>212</v>
      </c>
      <c r="F8125" s="33" t="s">
        <v>213</v>
      </c>
      <c r="G8125" s="33" t="s">
        <v>50</v>
      </c>
      <c r="H8125" s="35">
        <v>400</v>
      </c>
      <c r="I8125" s="33" t="s">
        <v>51</v>
      </c>
      <c r="J8125" s="42">
        <v>44477</v>
      </c>
      <c r="K8125" s="33" t="s">
        <v>22</v>
      </c>
    </row>
    <row r="8126" spans="1:11">
      <c r="A8126" s="30" t="s">
        <v>18785</v>
      </c>
      <c r="B8126" s="30" t="s">
        <v>18786</v>
      </c>
      <c r="C8126" s="30" t="s">
        <v>1102</v>
      </c>
      <c r="D8126" s="30" t="s">
        <v>17</v>
      </c>
      <c r="E8126" s="30" t="s">
        <v>31</v>
      </c>
      <c r="F8126" s="30" t="s">
        <v>32</v>
      </c>
      <c r="G8126" s="30" t="s">
        <v>20</v>
      </c>
      <c r="H8126" s="32">
        <v>110</v>
      </c>
      <c r="I8126" s="30" t="s">
        <v>21</v>
      </c>
      <c r="J8126" s="41">
        <v>44404</v>
      </c>
      <c r="K8126" s="30" t="s">
        <v>22</v>
      </c>
    </row>
    <row r="8127" spans="1:11">
      <c r="A8127" s="33" t="s">
        <v>18787</v>
      </c>
      <c r="B8127" s="33" t="s">
        <v>18788</v>
      </c>
      <c r="C8127" s="33" t="s">
        <v>102</v>
      </c>
      <c r="D8127" s="33" t="s">
        <v>17</v>
      </c>
      <c r="E8127" s="33" t="s">
        <v>31</v>
      </c>
      <c r="F8127" s="33" t="s">
        <v>32</v>
      </c>
      <c r="G8127" s="33" t="s">
        <v>20</v>
      </c>
      <c r="H8127" s="35">
        <v>163</v>
      </c>
      <c r="I8127" s="33" t="s">
        <v>21</v>
      </c>
      <c r="J8127" s="42">
        <v>44460</v>
      </c>
      <c r="K8127" s="33" t="s">
        <v>22</v>
      </c>
    </row>
    <row r="8128" spans="1:11">
      <c r="A8128" s="30" t="s">
        <v>18789</v>
      </c>
      <c r="B8128" s="30" t="s">
        <v>18790</v>
      </c>
      <c r="C8128" s="30" t="s">
        <v>2855</v>
      </c>
      <c r="D8128" s="30" t="s">
        <v>17</v>
      </c>
      <c r="E8128" s="30" t="s">
        <v>31</v>
      </c>
      <c r="F8128" s="30" t="s">
        <v>32</v>
      </c>
      <c r="G8128" s="30" t="s">
        <v>106</v>
      </c>
      <c r="H8128" s="32">
        <v>36</v>
      </c>
      <c r="I8128" s="30" t="s">
        <v>21</v>
      </c>
      <c r="J8128" s="41">
        <v>44382</v>
      </c>
      <c r="K8128" s="30" t="s">
        <v>22</v>
      </c>
    </row>
    <row r="8129" spans="1:11">
      <c r="A8129" s="33" t="s">
        <v>18791</v>
      </c>
      <c r="B8129" s="33" t="s">
        <v>18792</v>
      </c>
      <c r="C8129" s="33" t="s">
        <v>149</v>
      </c>
      <c r="D8129" s="33" t="s">
        <v>17</v>
      </c>
      <c r="E8129" s="33" t="s">
        <v>26</v>
      </c>
      <c r="F8129" s="33" t="s">
        <v>27</v>
      </c>
      <c r="G8129" s="33" t="s">
        <v>20</v>
      </c>
      <c r="H8129" s="35">
        <v>24</v>
      </c>
      <c r="I8129" s="33" t="s">
        <v>21</v>
      </c>
      <c r="J8129" s="42">
        <v>44256</v>
      </c>
      <c r="K8129" s="33" t="s">
        <v>22</v>
      </c>
    </row>
    <row r="8130" spans="1:11">
      <c r="A8130" s="30" t="s">
        <v>18793</v>
      </c>
      <c r="B8130" s="30" t="s">
        <v>18794</v>
      </c>
      <c r="C8130" s="30" t="s">
        <v>609</v>
      </c>
      <c r="D8130" s="30" t="s">
        <v>17</v>
      </c>
      <c r="E8130" s="30" t="s">
        <v>26</v>
      </c>
      <c r="F8130" s="30" t="s">
        <v>27</v>
      </c>
      <c r="G8130" s="30" t="s">
        <v>50</v>
      </c>
      <c r="H8130" s="32">
        <v>61</v>
      </c>
      <c r="I8130" s="30" t="s">
        <v>51</v>
      </c>
      <c r="J8130" s="41">
        <v>44255</v>
      </c>
      <c r="K8130" s="30" t="s">
        <v>22</v>
      </c>
    </row>
    <row r="8131" spans="1:11">
      <c r="A8131" s="33" t="s">
        <v>18795</v>
      </c>
      <c r="B8131" s="33" t="s">
        <v>18796</v>
      </c>
      <c r="C8131" s="33" t="s">
        <v>17720</v>
      </c>
      <c r="D8131" s="33" t="s">
        <v>17</v>
      </c>
      <c r="E8131" s="33" t="s">
        <v>26</v>
      </c>
      <c r="F8131" s="33" t="s">
        <v>27</v>
      </c>
      <c r="G8131" s="33" t="s">
        <v>20</v>
      </c>
      <c r="H8131" s="35">
        <v>32</v>
      </c>
      <c r="I8131" s="33" t="s">
        <v>21</v>
      </c>
      <c r="J8131" s="42">
        <v>44232</v>
      </c>
      <c r="K8131" s="33" t="s">
        <v>22</v>
      </c>
    </row>
    <row r="8132" spans="1:11">
      <c r="A8132" s="30" t="s">
        <v>18797</v>
      </c>
      <c r="B8132" s="30" t="s">
        <v>18798</v>
      </c>
      <c r="C8132" s="30" t="s">
        <v>10053</v>
      </c>
      <c r="D8132" s="30" t="s">
        <v>17</v>
      </c>
      <c r="E8132" s="30" t="s">
        <v>31</v>
      </c>
      <c r="F8132" s="30" t="s">
        <v>32</v>
      </c>
      <c r="G8132" s="30" t="s">
        <v>50</v>
      </c>
      <c r="H8132" s="32">
        <v>273</v>
      </c>
      <c r="I8132" s="30" t="s">
        <v>51</v>
      </c>
      <c r="J8132" s="41">
        <v>44323</v>
      </c>
      <c r="K8132" s="30" t="s">
        <v>22</v>
      </c>
    </row>
    <row r="8133" spans="1:11">
      <c r="A8133" s="33" t="s">
        <v>18799</v>
      </c>
      <c r="B8133" s="33" t="s">
        <v>18800</v>
      </c>
      <c r="C8133" s="33" t="s">
        <v>2703</v>
      </c>
      <c r="D8133" s="33" t="s">
        <v>17</v>
      </c>
      <c r="E8133" s="33" t="s">
        <v>18</v>
      </c>
      <c r="F8133" s="33" t="s">
        <v>19</v>
      </c>
      <c r="G8133" s="33" t="s">
        <v>20</v>
      </c>
      <c r="H8133" s="35">
        <v>106</v>
      </c>
      <c r="I8133" s="33" t="s">
        <v>21</v>
      </c>
      <c r="J8133" s="42">
        <v>44333</v>
      </c>
      <c r="K8133" s="33" t="s">
        <v>22</v>
      </c>
    </row>
    <row r="8134" spans="1:11">
      <c r="A8134" s="30" t="s">
        <v>18801</v>
      </c>
      <c r="B8134" s="30" t="s">
        <v>18802</v>
      </c>
      <c r="C8134" s="30" t="s">
        <v>362</v>
      </c>
      <c r="D8134" s="30" t="s">
        <v>17</v>
      </c>
      <c r="E8134" s="30" t="s">
        <v>26</v>
      </c>
      <c r="F8134" s="30" t="s">
        <v>27</v>
      </c>
      <c r="G8134" s="30" t="s">
        <v>20</v>
      </c>
      <c r="H8134" s="32">
        <v>12</v>
      </c>
      <c r="I8134" s="30" t="s">
        <v>21</v>
      </c>
      <c r="J8134" s="41">
        <v>44209</v>
      </c>
      <c r="K8134" s="30" t="s">
        <v>22</v>
      </c>
    </row>
    <row r="8135" spans="1:11">
      <c r="A8135" s="33" t="s">
        <v>18803</v>
      </c>
      <c r="B8135" s="33" t="s">
        <v>18804</v>
      </c>
      <c r="C8135" s="33" t="s">
        <v>3312</v>
      </c>
      <c r="D8135" s="33" t="s">
        <v>17</v>
      </c>
      <c r="E8135" s="33" t="s">
        <v>26</v>
      </c>
      <c r="F8135" s="33" t="s">
        <v>27</v>
      </c>
      <c r="G8135" s="33" t="s">
        <v>20</v>
      </c>
      <c r="H8135" s="35">
        <v>14</v>
      </c>
      <c r="I8135" s="33" t="s">
        <v>21</v>
      </c>
      <c r="J8135" s="42">
        <v>44251</v>
      </c>
      <c r="K8135" s="33" t="s">
        <v>22</v>
      </c>
    </row>
    <row r="8136" spans="1:11">
      <c r="A8136" s="30" t="s">
        <v>18805</v>
      </c>
      <c r="B8136" s="30" t="s">
        <v>18806</v>
      </c>
      <c r="C8136" s="30" t="s">
        <v>701</v>
      </c>
      <c r="D8136" s="30" t="s">
        <v>17</v>
      </c>
      <c r="E8136" s="30" t="s">
        <v>18</v>
      </c>
      <c r="F8136" s="30" t="s">
        <v>19</v>
      </c>
      <c r="G8136" s="30" t="s">
        <v>20</v>
      </c>
      <c r="H8136" s="32">
        <v>299</v>
      </c>
      <c r="I8136" s="30" t="s">
        <v>21</v>
      </c>
      <c r="J8136" s="41">
        <v>44442</v>
      </c>
      <c r="K8136" s="30" t="s">
        <v>22</v>
      </c>
    </row>
    <row r="8137" spans="1:11">
      <c r="A8137" s="33" t="s">
        <v>18807</v>
      </c>
      <c r="B8137" s="33" t="s">
        <v>18808</v>
      </c>
      <c r="C8137" s="33" t="s">
        <v>18809</v>
      </c>
      <c r="D8137" s="33" t="s">
        <v>17</v>
      </c>
      <c r="E8137" s="33" t="s">
        <v>18</v>
      </c>
      <c r="F8137" s="33" t="s">
        <v>19</v>
      </c>
      <c r="G8137" s="33" t="s">
        <v>158</v>
      </c>
      <c r="H8137" s="35">
        <v>810</v>
      </c>
      <c r="I8137" s="33" t="s">
        <v>21</v>
      </c>
      <c r="J8137" s="42">
        <v>44386</v>
      </c>
      <c r="K8137" s="33" t="s">
        <v>22</v>
      </c>
    </row>
    <row r="8138" spans="1:11">
      <c r="A8138" s="30" t="s">
        <v>18810</v>
      </c>
      <c r="B8138" s="30" t="s">
        <v>18811</v>
      </c>
      <c r="C8138" s="30" t="s">
        <v>130</v>
      </c>
      <c r="D8138" s="30" t="s">
        <v>17</v>
      </c>
      <c r="E8138" s="30" t="s">
        <v>67</v>
      </c>
      <c r="F8138" s="30" t="s">
        <v>68</v>
      </c>
      <c r="G8138" s="30" t="s">
        <v>106</v>
      </c>
      <c r="H8138" s="32">
        <v>54</v>
      </c>
      <c r="I8138" s="30" t="s">
        <v>21</v>
      </c>
      <c r="J8138" s="41">
        <v>44455</v>
      </c>
      <c r="K8138" s="30" t="s">
        <v>22</v>
      </c>
    </row>
    <row r="8139" spans="1:11">
      <c r="A8139" s="33" t="s">
        <v>18812</v>
      </c>
      <c r="B8139" s="33" t="s">
        <v>18813</v>
      </c>
      <c r="C8139" s="33" t="s">
        <v>715</v>
      </c>
      <c r="D8139" s="33" t="s">
        <v>17</v>
      </c>
      <c r="E8139" s="33" t="s">
        <v>67</v>
      </c>
      <c r="F8139" s="33" t="s">
        <v>68</v>
      </c>
      <c r="G8139" s="33" t="s">
        <v>106</v>
      </c>
      <c r="H8139" s="35">
        <v>226</v>
      </c>
      <c r="I8139" s="33" t="s">
        <v>21</v>
      </c>
      <c r="J8139" s="42">
        <v>44488</v>
      </c>
      <c r="K8139" s="33" t="s">
        <v>22</v>
      </c>
    </row>
    <row r="8140" spans="1:11">
      <c r="A8140" s="30" t="s">
        <v>18814</v>
      </c>
      <c r="B8140" s="30" t="s">
        <v>18815</v>
      </c>
      <c r="C8140" s="30" t="s">
        <v>8126</v>
      </c>
      <c r="D8140" s="30" t="s">
        <v>17</v>
      </c>
      <c r="E8140" s="30" t="s">
        <v>31</v>
      </c>
      <c r="F8140" s="30" t="s">
        <v>32</v>
      </c>
      <c r="G8140" s="30" t="s">
        <v>20</v>
      </c>
      <c r="H8140" s="32">
        <v>20</v>
      </c>
      <c r="I8140" s="30" t="s">
        <v>21</v>
      </c>
      <c r="J8140" s="41">
        <v>44201</v>
      </c>
      <c r="K8140" s="30" t="s">
        <v>22</v>
      </c>
    </row>
    <row r="8141" spans="1:11">
      <c r="A8141" s="33" t="s">
        <v>18816</v>
      </c>
      <c r="B8141" s="33" t="s">
        <v>18817</v>
      </c>
      <c r="C8141" s="33" t="s">
        <v>18818</v>
      </c>
      <c r="D8141" s="33" t="s">
        <v>17</v>
      </c>
      <c r="E8141" s="33" t="s">
        <v>26</v>
      </c>
      <c r="F8141" s="33" t="s">
        <v>27</v>
      </c>
      <c r="G8141" s="33" t="s">
        <v>20</v>
      </c>
      <c r="H8141" s="35">
        <v>12</v>
      </c>
      <c r="I8141" s="33" t="s">
        <v>21</v>
      </c>
      <c r="J8141" s="42">
        <v>44207</v>
      </c>
      <c r="K8141" s="33" t="s">
        <v>22</v>
      </c>
    </row>
    <row r="8142" spans="1:11">
      <c r="A8142" s="30" t="s">
        <v>18819</v>
      </c>
      <c r="B8142" s="30" t="s">
        <v>18820</v>
      </c>
      <c r="C8142" s="30" t="s">
        <v>18821</v>
      </c>
      <c r="D8142" s="30" t="s">
        <v>17</v>
      </c>
      <c r="E8142" s="30" t="s">
        <v>67</v>
      </c>
      <c r="F8142" s="30" t="s">
        <v>68</v>
      </c>
      <c r="G8142" s="30" t="s">
        <v>50</v>
      </c>
      <c r="H8142" s="32">
        <v>238</v>
      </c>
      <c r="I8142" s="30" t="s">
        <v>51</v>
      </c>
      <c r="J8142" s="41">
        <v>44317</v>
      </c>
      <c r="K8142" s="30" t="s">
        <v>22</v>
      </c>
    </row>
    <row r="8143" spans="1:11">
      <c r="A8143" s="33" t="s">
        <v>18822</v>
      </c>
      <c r="B8143" s="33" t="s">
        <v>18823</v>
      </c>
      <c r="C8143" s="33" t="s">
        <v>60</v>
      </c>
      <c r="D8143" s="33" t="s">
        <v>17</v>
      </c>
      <c r="E8143" s="33" t="s">
        <v>18</v>
      </c>
      <c r="F8143" s="33" t="s">
        <v>19</v>
      </c>
      <c r="G8143" s="33" t="s">
        <v>20</v>
      </c>
      <c r="H8143" s="35">
        <v>69</v>
      </c>
      <c r="I8143" s="33" t="s">
        <v>21</v>
      </c>
      <c r="J8143" s="42">
        <v>44211</v>
      </c>
      <c r="K8143" s="33" t="s">
        <v>22</v>
      </c>
    </row>
    <row r="8144" spans="1:11">
      <c r="A8144" s="30" t="s">
        <v>18824</v>
      </c>
      <c r="B8144" s="30" t="s">
        <v>18825</v>
      </c>
      <c r="C8144" s="30" t="s">
        <v>1210</v>
      </c>
      <c r="D8144" s="30" t="s">
        <v>17</v>
      </c>
      <c r="E8144" s="30" t="s">
        <v>26</v>
      </c>
      <c r="F8144" s="30" t="s">
        <v>27</v>
      </c>
      <c r="G8144" s="30" t="s">
        <v>158</v>
      </c>
      <c r="H8144" s="32">
        <v>42</v>
      </c>
      <c r="I8144" s="30" t="s">
        <v>21</v>
      </c>
      <c r="J8144" s="41">
        <v>44348</v>
      </c>
      <c r="K8144" s="30" t="s">
        <v>22</v>
      </c>
    </row>
    <row r="8145" spans="1:11">
      <c r="A8145" s="33" t="s">
        <v>18826</v>
      </c>
      <c r="B8145" s="33" t="s">
        <v>18827</v>
      </c>
      <c r="C8145" s="33" t="s">
        <v>216</v>
      </c>
      <c r="D8145" s="33" t="s">
        <v>17</v>
      </c>
      <c r="E8145" s="33" t="s">
        <v>18</v>
      </c>
      <c r="F8145" s="33" t="s">
        <v>19</v>
      </c>
      <c r="G8145" s="33" t="s">
        <v>20</v>
      </c>
      <c r="H8145" s="35">
        <v>704</v>
      </c>
      <c r="I8145" s="33" t="s">
        <v>21</v>
      </c>
      <c r="J8145" s="42">
        <v>44322</v>
      </c>
      <c r="K8145" s="33" t="s">
        <v>22</v>
      </c>
    </row>
    <row r="8146" spans="1:11">
      <c r="A8146" s="30" t="s">
        <v>18828</v>
      </c>
      <c r="B8146" s="30" t="s">
        <v>18829</v>
      </c>
      <c r="C8146" s="30" t="s">
        <v>3264</v>
      </c>
      <c r="D8146" s="30" t="s">
        <v>17</v>
      </c>
      <c r="E8146" s="30" t="s">
        <v>18</v>
      </c>
      <c r="F8146" s="30" t="s">
        <v>19</v>
      </c>
      <c r="G8146" s="30" t="s">
        <v>106</v>
      </c>
      <c r="H8146" s="32">
        <v>100</v>
      </c>
      <c r="I8146" s="30" t="s">
        <v>21</v>
      </c>
      <c r="J8146" s="41">
        <v>44440</v>
      </c>
      <c r="K8146" s="30" t="s">
        <v>22</v>
      </c>
    </row>
    <row r="8147" spans="1:11">
      <c r="A8147" s="33" t="s">
        <v>18830</v>
      </c>
      <c r="B8147" s="33" t="s">
        <v>18831</v>
      </c>
      <c r="C8147" s="33" t="s">
        <v>16936</v>
      </c>
      <c r="D8147" s="33" t="s">
        <v>17</v>
      </c>
      <c r="E8147" s="33" t="s">
        <v>26</v>
      </c>
      <c r="F8147" s="33" t="s">
        <v>27</v>
      </c>
      <c r="G8147" s="33" t="s">
        <v>20</v>
      </c>
      <c r="H8147" s="35">
        <v>30</v>
      </c>
      <c r="I8147" s="33" t="s">
        <v>21</v>
      </c>
      <c r="J8147" s="42">
        <v>44298</v>
      </c>
      <c r="K8147" s="33" t="s">
        <v>22</v>
      </c>
    </row>
    <row r="8148" spans="1:11">
      <c r="A8148" s="30" t="s">
        <v>18832</v>
      </c>
      <c r="B8148" s="30" t="s">
        <v>18833</v>
      </c>
      <c r="C8148" s="30" t="s">
        <v>969</v>
      </c>
      <c r="D8148" s="30" t="s">
        <v>17</v>
      </c>
      <c r="E8148" s="30" t="s">
        <v>26</v>
      </c>
      <c r="F8148" s="30" t="s">
        <v>27</v>
      </c>
      <c r="G8148" s="30" t="s">
        <v>106</v>
      </c>
      <c r="H8148" s="32">
        <v>17</v>
      </c>
      <c r="I8148" s="30" t="s">
        <v>21</v>
      </c>
      <c r="J8148" s="41">
        <v>44257</v>
      </c>
      <c r="K8148" s="30" t="s">
        <v>22</v>
      </c>
    </row>
    <row r="8149" spans="1:11">
      <c r="A8149" s="33" t="s">
        <v>18834</v>
      </c>
      <c r="B8149" s="33" t="s">
        <v>18835</v>
      </c>
      <c r="C8149" s="33" t="s">
        <v>44</v>
      </c>
      <c r="D8149" s="33" t="s">
        <v>17</v>
      </c>
      <c r="E8149" s="33" t="s">
        <v>18</v>
      </c>
      <c r="F8149" s="33" t="s">
        <v>19</v>
      </c>
      <c r="G8149" s="33" t="s">
        <v>20</v>
      </c>
      <c r="H8149" s="35">
        <v>353</v>
      </c>
      <c r="I8149" s="33" t="s">
        <v>21</v>
      </c>
      <c r="J8149" s="42">
        <v>44210</v>
      </c>
      <c r="K8149" s="33" t="s">
        <v>22</v>
      </c>
    </row>
    <row r="8150" spans="1:11">
      <c r="A8150" s="30" t="s">
        <v>18836</v>
      </c>
      <c r="B8150" s="30" t="s">
        <v>18837</v>
      </c>
      <c r="C8150" s="30" t="s">
        <v>13368</v>
      </c>
      <c r="D8150" s="30" t="s">
        <v>17</v>
      </c>
      <c r="E8150" s="30" t="s">
        <v>31</v>
      </c>
      <c r="F8150" s="30" t="s">
        <v>32</v>
      </c>
      <c r="G8150" s="30" t="s">
        <v>112</v>
      </c>
      <c r="H8150" s="32">
        <v>0</v>
      </c>
      <c r="I8150" s="30" t="s">
        <v>21</v>
      </c>
      <c r="J8150" s="41">
        <v>44197</v>
      </c>
      <c r="K8150" s="30" t="s">
        <v>22</v>
      </c>
    </row>
    <row r="8151" spans="1:11">
      <c r="A8151" s="33" t="s">
        <v>18838</v>
      </c>
      <c r="B8151" s="33" t="s">
        <v>18839</v>
      </c>
      <c r="C8151" s="33" t="s">
        <v>102</v>
      </c>
      <c r="D8151" s="33" t="s">
        <v>17</v>
      </c>
      <c r="E8151" s="33" t="s">
        <v>18</v>
      </c>
      <c r="F8151" s="33" t="s">
        <v>19</v>
      </c>
      <c r="G8151" s="33" t="s">
        <v>20</v>
      </c>
      <c r="H8151" s="35">
        <v>112</v>
      </c>
      <c r="I8151" s="33" t="s">
        <v>21</v>
      </c>
      <c r="J8151" s="42">
        <v>44272</v>
      </c>
      <c r="K8151" s="33" t="s">
        <v>22</v>
      </c>
    </row>
    <row r="8152" spans="1:11">
      <c r="A8152" s="30" t="s">
        <v>18840</v>
      </c>
      <c r="B8152" s="30" t="s">
        <v>18841</v>
      </c>
      <c r="C8152" s="30" t="s">
        <v>1064</v>
      </c>
      <c r="D8152" s="30" t="s">
        <v>17</v>
      </c>
      <c r="E8152" s="30" t="s">
        <v>67</v>
      </c>
      <c r="F8152" s="30" t="s">
        <v>68</v>
      </c>
      <c r="G8152" s="30" t="s">
        <v>140</v>
      </c>
      <c r="H8152" s="32">
        <v>80</v>
      </c>
      <c r="I8152" s="30" t="s">
        <v>51</v>
      </c>
      <c r="J8152" s="41">
        <v>44382</v>
      </c>
      <c r="K8152" s="30" t="s">
        <v>22</v>
      </c>
    </row>
    <row r="8153" spans="1:11">
      <c r="A8153" s="33" t="s">
        <v>18842</v>
      </c>
      <c r="B8153" s="33" t="s">
        <v>18843</v>
      </c>
      <c r="C8153" s="33" t="s">
        <v>96</v>
      </c>
      <c r="D8153" s="33" t="s">
        <v>17</v>
      </c>
      <c r="E8153" s="33" t="s">
        <v>26</v>
      </c>
      <c r="F8153" s="33" t="s">
        <v>27</v>
      </c>
      <c r="G8153" s="33" t="s">
        <v>106</v>
      </c>
      <c r="H8153" s="35">
        <v>30</v>
      </c>
      <c r="I8153" s="33" t="s">
        <v>21</v>
      </c>
      <c r="J8153" s="42">
        <v>44476</v>
      </c>
      <c r="K8153" s="33" t="s">
        <v>22</v>
      </c>
    </row>
    <row r="8154" spans="1:11">
      <c r="A8154" s="30" t="s">
        <v>18844</v>
      </c>
      <c r="B8154" s="30" t="s">
        <v>18845</v>
      </c>
      <c r="C8154" s="30" t="s">
        <v>5500</v>
      </c>
      <c r="D8154" s="30" t="s">
        <v>17</v>
      </c>
      <c r="E8154" s="30" t="s">
        <v>67</v>
      </c>
      <c r="F8154" s="30" t="s">
        <v>68</v>
      </c>
      <c r="G8154" s="30" t="s">
        <v>106</v>
      </c>
      <c r="H8154" s="32">
        <v>77</v>
      </c>
      <c r="I8154" s="30" t="s">
        <v>21</v>
      </c>
      <c r="J8154" s="41">
        <v>44551</v>
      </c>
      <c r="K8154" s="30" t="s">
        <v>22</v>
      </c>
    </row>
    <row r="8155" spans="1:11">
      <c r="A8155" s="33" t="s">
        <v>18846</v>
      </c>
      <c r="B8155" s="33" t="s">
        <v>18847</v>
      </c>
      <c r="C8155" s="33" t="s">
        <v>7246</v>
      </c>
      <c r="D8155" s="33" t="s">
        <v>17</v>
      </c>
      <c r="E8155" s="33" t="s">
        <v>26</v>
      </c>
      <c r="F8155" s="33" t="s">
        <v>27</v>
      </c>
      <c r="G8155" s="33" t="s">
        <v>20</v>
      </c>
      <c r="H8155" s="35">
        <v>44</v>
      </c>
      <c r="I8155" s="33" t="s">
        <v>21</v>
      </c>
      <c r="J8155" s="42">
        <v>44224</v>
      </c>
      <c r="K8155" s="33" t="s">
        <v>22</v>
      </c>
    </row>
    <row r="8156" spans="1:11">
      <c r="A8156" s="30" t="s">
        <v>18848</v>
      </c>
      <c r="B8156" s="30" t="s">
        <v>18849</v>
      </c>
      <c r="C8156" s="30" t="s">
        <v>1383</v>
      </c>
      <c r="D8156" s="30" t="s">
        <v>17</v>
      </c>
      <c r="E8156" s="30" t="s">
        <v>26</v>
      </c>
      <c r="F8156" s="30" t="s">
        <v>27</v>
      </c>
      <c r="G8156" s="30" t="s">
        <v>20</v>
      </c>
      <c r="H8156" s="32">
        <v>30</v>
      </c>
      <c r="I8156" s="30" t="s">
        <v>21</v>
      </c>
      <c r="J8156" s="41">
        <v>44448</v>
      </c>
      <c r="K8156" s="30" t="s">
        <v>22</v>
      </c>
    </row>
    <row r="8157" spans="1:11">
      <c r="A8157" s="33" t="s">
        <v>18850</v>
      </c>
      <c r="B8157" s="33" t="s">
        <v>18851</v>
      </c>
      <c r="C8157" s="33" t="s">
        <v>57</v>
      </c>
      <c r="D8157" s="33" t="s">
        <v>17</v>
      </c>
      <c r="E8157" s="33" t="s">
        <v>26</v>
      </c>
      <c r="F8157" s="33" t="s">
        <v>27</v>
      </c>
      <c r="G8157" s="33" t="s">
        <v>20</v>
      </c>
      <c r="H8157" s="35">
        <v>24</v>
      </c>
      <c r="I8157" s="33" t="s">
        <v>21</v>
      </c>
      <c r="J8157" s="42">
        <v>44377</v>
      </c>
      <c r="K8157" s="33" t="s">
        <v>22</v>
      </c>
    </row>
    <row r="8158" spans="1:11">
      <c r="A8158" s="30" t="s">
        <v>18852</v>
      </c>
      <c r="B8158" s="30" t="s">
        <v>18853</v>
      </c>
      <c r="C8158" s="30" t="s">
        <v>222</v>
      </c>
      <c r="D8158" s="30" t="s">
        <v>17</v>
      </c>
      <c r="E8158" s="30" t="s">
        <v>18</v>
      </c>
      <c r="F8158" s="30" t="s">
        <v>19</v>
      </c>
      <c r="G8158" s="30" t="s">
        <v>158</v>
      </c>
      <c r="H8158" s="32">
        <v>490</v>
      </c>
      <c r="I8158" s="30" t="s">
        <v>51</v>
      </c>
      <c r="J8158" s="41">
        <v>44337</v>
      </c>
      <c r="K8158" s="30" t="s">
        <v>22</v>
      </c>
    </row>
    <row r="8159" spans="1:11">
      <c r="A8159" s="33" t="s">
        <v>18854</v>
      </c>
      <c r="B8159" s="33" t="s">
        <v>18855</v>
      </c>
      <c r="C8159" s="33" t="s">
        <v>136</v>
      </c>
      <c r="D8159" s="33" t="s">
        <v>17</v>
      </c>
      <c r="E8159" s="33" t="s">
        <v>18</v>
      </c>
      <c r="F8159" s="33" t="s">
        <v>19</v>
      </c>
      <c r="G8159" s="33" t="s">
        <v>20</v>
      </c>
      <c r="H8159" s="35">
        <v>210</v>
      </c>
      <c r="I8159" s="33" t="s">
        <v>21</v>
      </c>
      <c r="J8159" s="42">
        <v>44440</v>
      </c>
      <c r="K8159" s="33" t="s">
        <v>22</v>
      </c>
    </row>
    <row r="8160" spans="1:11">
      <c r="A8160" s="30" t="s">
        <v>18856</v>
      </c>
      <c r="B8160" s="30" t="s">
        <v>18857</v>
      </c>
      <c r="C8160" s="30" t="s">
        <v>18858</v>
      </c>
      <c r="D8160" s="30" t="s">
        <v>17</v>
      </c>
      <c r="E8160" s="30" t="s">
        <v>26</v>
      </c>
      <c r="F8160" s="30" t="s">
        <v>27</v>
      </c>
      <c r="G8160" s="30" t="s">
        <v>20</v>
      </c>
      <c r="H8160" s="32">
        <v>15</v>
      </c>
      <c r="I8160" s="30" t="s">
        <v>21</v>
      </c>
      <c r="J8160" s="41">
        <v>44410</v>
      </c>
      <c r="K8160" s="30" t="s">
        <v>22</v>
      </c>
    </row>
    <row r="8161" spans="1:11">
      <c r="A8161" s="33" t="s">
        <v>18859</v>
      </c>
      <c r="B8161" s="33" t="s">
        <v>18860</v>
      </c>
      <c r="C8161" s="33" t="s">
        <v>321</v>
      </c>
      <c r="D8161" s="33" t="s">
        <v>17</v>
      </c>
      <c r="E8161" s="33" t="s">
        <v>18</v>
      </c>
      <c r="F8161" s="33" t="s">
        <v>19</v>
      </c>
      <c r="G8161" s="33" t="s">
        <v>2613</v>
      </c>
      <c r="H8161" s="35">
        <v>25000</v>
      </c>
      <c r="I8161" s="33" t="s">
        <v>51</v>
      </c>
      <c r="J8161" s="42">
        <v>44422</v>
      </c>
      <c r="K8161" s="33" t="s">
        <v>22</v>
      </c>
    </row>
    <row r="8162" spans="1:11">
      <c r="A8162" s="30" t="s">
        <v>18861</v>
      </c>
      <c r="B8162" s="30" t="s">
        <v>18862</v>
      </c>
      <c r="C8162" s="30" t="s">
        <v>109</v>
      </c>
      <c r="D8162" s="30" t="s">
        <v>17</v>
      </c>
      <c r="E8162" s="30" t="s">
        <v>18</v>
      </c>
      <c r="F8162" s="30" t="s">
        <v>19</v>
      </c>
      <c r="G8162" s="30" t="s">
        <v>158</v>
      </c>
      <c r="H8162" s="32">
        <v>469</v>
      </c>
      <c r="I8162" s="30" t="s">
        <v>21</v>
      </c>
      <c r="J8162" s="41">
        <v>44362</v>
      </c>
      <c r="K8162" s="30" t="s">
        <v>22</v>
      </c>
    </row>
    <row r="8163" spans="1:11">
      <c r="A8163" s="33" t="s">
        <v>18863</v>
      </c>
      <c r="B8163" s="33" t="s">
        <v>18864</v>
      </c>
      <c r="C8163" s="33" t="s">
        <v>318</v>
      </c>
      <c r="D8163" s="33" t="s">
        <v>17</v>
      </c>
      <c r="E8163" s="33" t="s">
        <v>26</v>
      </c>
      <c r="F8163" s="33" t="s">
        <v>27</v>
      </c>
      <c r="G8163" s="33" t="s">
        <v>20</v>
      </c>
      <c r="H8163" s="35">
        <v>73</v>
      </c>
      <c r="I8163" s="33" t="s">
        <v>21</v>
      </c>
      <c r="J8163" s="42">
        <v>44383</v>
      </c>
      <c r="K8163" s="33" t="s">
        <v>22</v>
      </c>
    </row>
    <row r="8164" spans="1:11">
      <c r="A8164" s="30" t="s">
        <v>18865</v>
      </c>
      <c r="B8164" s="30" t="s">
        <v>18866</v>
      </c>
      <c r="C8164" s="30" t="s">
        <v>3444</v>
      </c>
      <c r="D8164" s="30" t="s">
        <v>17</v>
      </c>
      <c r="E8164" s="30" t="s">
        <v>31</v>
      </c>
      <c r="F8164" s="30" t="s">
        <v>32</v>
      </c>
      <c r="G8164" s="30" t="s">
        <v>20</v>
      </c>
      <c r="H8164" s="32">
        <v>80</v>
      </c>
      <c r="I8164" s="30" t="s">
        <v>21</v>
      </c>
      <c r="J8164" s="41">
        <v>44508</v>
      </c>
      <c r="K8164" s="30" t="s">
        <v>22</v>
      </c>
    </row>
    <row r="8165" spans="1:11">
      <c r="A8165" s="33" t="s">
        <v>18867</v>
      </c>
      <c r="B8165" s="33" t="s">
        <v>18868</v>
      </c>
      <c r="C8165" s="33" t="s">
        <v>149</v>
      </c>
      <c r="D8165" s="33" t="s">
        <v>17</v>
      </c>
      <c r="E8165" s="33" t="s">
        <v>26</v>
      </c>
      <c r="F8165" s="33" t="s">
        <v>27</v>
      </c>
      <c r="G8165" s="33" t="s">
        <v>50</v>
      </c>
      <c r="H8165" s="35">
        <v>20</v>
      </c>
      <c r="I8165" s="33" t="s">
        <v>21</v>
      </c>
      <c r="J8165" s="42">
        <v>44543</v>
      </c>
      <c r="K8165" s="33" t="s">
        <v>22</v>
      </c>
    </row>
    <row r="8166" spans="1:11">
      <c r="A8166" s="30" t="s">
        <v>18869</v>
      </c>
      <c r="B8166" s="30" t="s">
        <v>18870</v>
      </c>
      <c r="C8166" s="30" t="s">
        <v>4348</v>
      </c>
      <c r="D8166" s="30" t="s">
        <v>17</v>
      </c>
      <c r="E8166" s="30" t="s">
        <v>26</v>
      </c>
      <c r="F8166" s="30" t="s">
        <v>27</v>
      </c>
      <c r="G8166" s="30" t="s">
        <v>158</v>
      </c>
      <c r="H8166" s="32">
        <v>36</v>
      </c>
      <c r="I8166" s="30" t="s">
        <v>21</v>
      </c>
      <c r="J8166" s="41">
        <v>44526</v>
      </c>
      <c r="K8166" s="30" t="s">
        <v>22</v>
      </c>
    </row>
    <row r="8167" spans="1:11">
      <c r="A8167" s="33" t="s">
        <v>18871</v>
      </c>
      <c r="B8167" s="33" t="s">
        <v>18872</v>
      </c>
      <c r="C8167" s="33" t="s">
        <v>647</v>
      </c>
      <c r="D8167" s="33" t="s">
        <v>17</v>
      </c>
      <c r="E8167" s="33" t="s">
        <v>31</v>
      </c>
      <c r="F8167" s="33" t="s">
        <v>32</v>
      </c>
      <c r="G8167" s="33" t="s">
        <v>140</v>
      </c>
      <c r="H8167" s="35">
        <v>355</v>
      </c>
      <c r="I8167" s="33" t="s">
        <v>51</v>
      </c>
      <c r="J8167" s="42">
        <v>44420</v>
      </c>
      <c r="K8167" s="33" t="s">
        <v>22</v>
      </c>
    </row>
    <row r="8168" spans="1:11">
      <c r="A8168" s="30" t="s">
        <v>18873</v>
      </c>
      <c r="B8168" s="30" t="s">
        <v>18874</v>
      </c>
      <c r="C8168" s="30" t="s">
        <v>1048</v>
      </c>
      <c r="D8168" s="30" t="s">
        <v>17</v>
      </c>
      <c r="E8168" s="30" t="s">
        <v>212</v>
      </c>
      <c r="F8168" s="30" t="s">
        <v>213</v>
      </c>
      <c r="G8168" s="30" t="s">
        <v>106</v>
      </c>
      <c r="H8168" s="32">
        <v>172</v>
      </c>
      <c r="I8168" s="30" t="s">
        <v>21</v>
      </c>
      <c r="J8168" s="41">
        <v>44476</v>
      </c>
      <c r="K8168" s="30" t="s">
        <v>22</v>
      </c>
    </row>
    <row r="8169" spans="1:11">
      <c r="A8169" s="33" t="s">
        <v>18875</v>
      </c>
      <c r="B8169" s="33" t="s">
        <v>18876</v>
      </c>
      <c r="C8169" s="33" t="s">
        <v>118</v>
      </c>
      <c r="D8169" s="33" t="s">
        <v>17</v>
      </c>
      <c r="E8169" s="33" t="s">
        <v>26</v>
      </c>
      <c r="F8169" s="33" t="s">
        <v>27</v>
      </c>
      <c r="G8169" s="33" t="s">
        <v>20</v>
      </c>
      <c r="H8169" s="35">
        <v>16</v>
      </c>
      <c r="I8169" s="33" t="s">
        <v>21</v>
      </c>
      <c r="J8169" s="42">
        <v>44295</v>
      </c>
      <c r="K8169" s="33" t="s">
        <v>22</v>
      </c>
    </row>
    <row r="8170" spans="1:11">
      <c r="A8170" s="30" t="s">
        <v>18877</v>
      </c>
      <c r="B8170" s="30" t="s">
        <v>18878</v>
      </c>
      <c r="C8170" s="30" t="s">
        <v>3451</v>
      </c>
      <c r="D8170" s="30" t="s">
        <v>17</v>
      </c>
      <c r="E8170" s="30" t="s">
        <v>26</v>
      </c>
      <c r="F8170" s="30" t="s">
        <v>27</v>
      </c>
      <c r="G8170" s="30" t="s">
        <v>20</v>
      </c>
      <c r="H8170" s="32">
        <v>57</v>
      </c>
      <c r="I8170" s="30" t="s">
        <v>21</v>
      </c>
      <c r="J8170" s="41">
        <v>44532</v>
      </c>
      <c r="K8170" s="30" t="s">
        <v>22</v>
      </c>
    </row>
    <row r="8171" spans="1:11">
      <c r="A8171" s="33" t="s">
        <v>18879</v>
      </c>
      <c r="B8171" s="33" t="s">
        <v>18880</v>
      </c>
      <c r="C8171" s="33" t="s">
        <v>99</v>
      </c>
      <c r="D8171" s="33" t="s">
        <v>17</v>
      </c>
      <c r="E8171" s="33" t="s">
        <v>18</v>
      </c>
      <c r="F8171" s="33" t="s">
        <v>19</v>
      </c>
      <c r="G8171" s="33" t="s">
        <v>20</v>
      </c>
      <c r="H8171" s="35">
        <v>493</v>
      </c>
      <c r="I8171" s="33" t="s">
        <v>21</v>
      </c>
      <c r="J8171" s="42">
        <v>44533</v>
      </c>
      <c r="K8171" s="33" t="s">
        <v>22</v>
      </c>
    </row>
    <row r="8172" spans="1:11">
      <c r="A8172" s="30" t="s">
        <v>18881</v>
      </c>
      <c r="B8172" s="30" t="s">
        <v>18882</v>
      </c>
      <c r="C8172" s="30" t="s">
        <v>18883</v>
      </c>
      <c r="D8172" s="30" t="s">
        <v>17</v>
      </c>
      <c r="E8172" s="30" t="s">
        <v>67</v>
      </c>
      <c r="F8172" s="30" t="s">
        <v>68</v>
      </c>
      <c r="G8172" s="30" t="s">
        <v>106</v>
      </c>
      <c r="H8172" s="32">
        <v>153</v>
      </c>
      <c r="I8172" s="30" t="s">
        <v>21</v>
      </c>
      <c r="J8172" s="41">
        <v>44349</v>
      </c>
      <c r="K8172" s="30" t="s">
        <v>22</v>
      </c>
    </row>
    <row r="8173" spans="1:11">
      <c r="A8173" s="33" t="s">
        <v>18884</v>
      </c>
      <c r="B8173" s="33" t="s">
        <v>18885</v>
      </c>
      <c r="C8173" s="33" t="s">
        <v>7094</v>
      </c>
      <c r="D8173" s="33" t="s">
        <v>17</v>
      </c>
      <c r="E8173" s="33" t="s">
        <v>18</v>
      </c>
      <c r="F8173" s="33" t="s">
        <v>19</v>
      </c>
      <c r="G8173" s="33" t="s">
        <v>20</v>
      </c>
      <c r="H8173" s="35">
        <v>146</v>
      </c>
      <c r="I8173" s="33" t="s">
        <v>21</v>
      </c>
      <c r="J8173" s="42">
        <v>44225</v>
      </c>
      <c r="K8173" s="33" t="s">
        <v>22</v>
      </c>
    </row>
    <row r="8174" spans="1:11">
      <c r="A8174" s="30" t="s">
        <v>18886</v>
      </c>
      <c r="B8174" s="30" t="s">
        <v>18887</v>
      </c>
      <c r="C8174" s="30" t="s">
        <v>18888</v>
      </c>
      <c r="D8174" s="30" t="s">
        <v>17</v>
      </c>
      <c r="E8174" s="30" t="s">
        <v>26</v>
      </c>
      <c r="F8174" s="30" t="s">
        <v>27</v>
      </c>
      <c r="G8174" s="30" t="s">
        <v>20</v>
      </c>
      <c r="H8174" s="32">
        <v>5</v>
      </c>
      <c r="I8174" s="30" t="s">
        <v>21</v>
      </c>
      <c r="J8174" s="41">
        <v>44298</v>
      </c>
      <c r="K8174" s="30" t="s">
        <v>22</v>
      </c>
    </row>
    <row r="8175" spans="1:11">
      <c r="A8175" s="33" t="s">
        <v>18889</v>
      </c>
      <c r="B8175" s="33" t="s">
        <v>18890</v>
      </c>
      <c r="C8175" s="33" t="s">
        <v>17564</v>
      </c>
      <c r="D8175" s="33" t="s">
        <v>17</v>
      </c>
      <c r="E8175" s="33" t="s">
        <v>18</v>
      </c>
      <c r="F8175" s="33" t="s">
        <v>19</v>
      </c>
      <c r="G8175" s="33" t="s">
        <v>112</v>
      </c>
      <c r="H8175" s="35">
        <v>0</v>
      </c>
      <c r="I8175" s="33" t="s">
        <v>21</v>
      </c>
      <c r="J8175" s="42">
        <v>44410</v>
      </c>
      <c r="K8175" s="33" t="s">
        <v>22</v>
      </c>
    </row>
    <row r="8176" spans="1:11">
      <c r="A8176" s="30" t="s">
        <v>18891</v>
      </c>
      <c r="B8176" s="30" t="s">
        <v>18892</v>
      </c>
      <c r="C8176" s="30" t="s">
        <v>13241</v>
      </c>
      <c r="D8176" s="30" t="s">
        <v>17</v>
      </c>
      <c r="E8176" s="30" t="s">
        <v>26</v>
      </c>
      <c r="F8176" s="30" t="s">
        <v>27</v>
      </c>
      <c r="G8176" s="30" t="s">
        <v>20</v>
      </c>
      <c r="H8176" s="32">
        <v>28</v>
      </c>
      <c r="I8176" s="30" t="s">
        <v>21</v>
      </c>
      <c r="J8176" s="41">
        <v>44550</v>
      </c>
      <c r="K8176" s="30" t="s">
        <v>22</v>
      </c>
    </row>
    <row r="8177" spans="1:11">
      <c r="A8177" s="33" t="s">
        <v>18893</v>
      </c>
      <c r="B8177" s="33" t="s">
        <v>18894</v>
      </c>
      <c r="C8177" s="33" t="s">
        <v>149</v>
      </c>
      <c r="D8177" s="33" t="s">
        <v>17</v>
      </c>
      <c r="E8177" s="33" t="s">
        <v>26</v>
      </c>
      <c r="F8177" s="33" t="s">
        <v>27</v>
      </c>
      <c r="G8177" s="33" t="s">
        <v>50</v>
      </c>
      <c r="H8177" s="35">
        <v>15</v>
      </c>
      <c r="I8177" s="33" t="s">
        <v>51</v>
      </c>
      <c r="J8177" s="42">
        <v>44418</v>
      </c>
      <c r="K8177" s="33" t="s">
        <v>22</v>
      </c>
    </row>
    <row r="8178" spans="1:11">
      <c r="A8178" s="30" t="s">
        <v>18895</v>
      </c>
      <c r="B8178" s="30" t="s">
        <v>18896</v>
      </c>
      <c r="C8178" s="30" t="s">
        <v>1796</v>
      </c>
      <c r="D8178" s="30" t="s">
        <v>17</v>
      </c>
      <c r="E8178" s="30" t="s">
        <v>67</v>
      </c>
      <c r="F8178" s="30" t="s">
        <v>68</v>
      </c>
      <c r="G8178" s="30" t="s">
        <v>20</v>
      </c>
      <c r="H8178" s="32">
        <v>120</v>
      </c>
      <c r="I8178" s="30" t="s">
        <v>21</v>
      </c>
      <c r="J8178" s="41">
        <v>44411</v>
      </c>
      <c r="K8178" s="30" t="s">
        <v>22</v>
      </c>
    </row>
    <row r="8179" spans="1:11">
      <c r="A8179" s="33" t="s">
        <v>18897</v>
      </c>
      <c r="B8179" s="33" t="s">
        <v>18898</v>
      </c>
      <c r="C8179" s="33" t="s">
        <v>318</v>
      </c>
      <c r="D8179" s="33" t="s">
        <v>17</v>
      </c>
      <c r="E8179" s="33" t="s">
        <v>212</v>
      </c>
      <c r="F8179" s="33" t="s">
        <v>213</v>
      </c>
      <c r="G8179" s="33" t="s">
        <v>20</v>
      </c>
      <c r="H8179" s="35">
        <v>11</v>
      </c>
      <c r="I8179" s="33" t="s">
        <v>21</v>
      </c>
      <c r="J8179" s="42">
        <v>44263</v>
      </c>
      <c r="K8179" s="33" t="s">
        <v>22</v>
      </c>
    </row>
    <row r="8180" spans="1:11">
      <c r="A8180" s="30" t="s">
        <v>18899</v>
      </c>
      <c r="B8180" s="30" t="s">
        <v>18900</v>
      </c>
      <c r="C8180" s="30" t="s">
        <v>49</v>
      </c>
      <c r="D8180" s="30" t="s">
        <v>17</v>
      </c>
      <c r="E8180" s="30" t="s">
        <v>31</v>
      </c>
      <c r="F8180" s="30" t="s">
        <v>32</v>
      </c>
      <c r="G8180" s="30" t="s">
        <v>50</v>
      </c>
      <c r="H8180" s="32">
        <v>46</v>
      </c>
      <c r="I8180" s="30" t="s">
        <v>51</v>
      </c>
      <c r="J8180" s="41">
        <v>44378</v>
      </c>
      <c r="K8180" s="30" t="s">
        <v>22</v>
      </c>
    </row>
    <row r="8181" spans="1:11">
      <c r="A8181" s="33" t="s">
        <v>18901</v>
      </c>
      <c r="B8181" s="33" t="s">
        <v>18902</v>
      </c>
      <c r="C8181" s="33" t="s">
        <v>190</v>
      </c>
      <c r="D8181" s="33" t="s">
        <v>17</v>
      </c>
      <c r="E8181" s="33" t="s">
        <v>67</v>
      </c>
      <c r="F8181" s="33" t="s">
        <v>68</v>
      </c>
      <c r="G8181" s="33" t="s">
        <v>158</v>
      </c>
      <c r="H8181" s="35">
        <v>212</v>
      </c>
      <c r="I8181" s="33" t="s">
        <v>21</v>
      </c>
      <c r="J8181" s="42">
        <v>44453</v>
      </c>
      <c r="K8181" s="33" t="s">
        <v>22</v>
      </c>
    </row>
    <row r="8182" spans="1:11">
      <c r="A8182" s="30" t="s">
        <v>18903</v>
      </c>
      <c r="B8182" s="30" t="s">
        <v>18904</v>
      </c>
      <c r="C8182" s="30" t="s">
        <v>136</v>
      </c>
      <c r="D8182" s="30" t="s">
        <v>17</v>
      </c>
      <c r="E8182" s="30" t="s">
        <v>18</v>
      </c>
      <c r="F8182" s="30" t="s">
        <v>19</v>
      </c>
      <c r="G8182" s="30" t="s">
        <v>158</v>
      </c>
      <c r="H8182" s="32">
        <v>101</v>
      </c>
      <c r="I8182" s="30" t="s">
        <v>21</v>
      </c>
      <c r="J8182" s="41">
        <v>44299</v>
      </c>
      <c r="K8182" s="30" t="s">
        <v>22</v>
      </c>
    </row>
    <row r="8183" spans="1:11">
      <c r="A8183" s="33" t="s">
        <v>18905</v>
      </c>
      <c r="B8183" s="33" t="s">
        <v>18906</v>
      </c>
      <c r="C8183" s="33" t="s">
        <v>4668</v>
      </c>
      <c r="D8183" s="33" t="s">
        <v>17</v>
      </c>
      <c r="E8183" s="33" t="s">
        <v>67</v>
      </c>
      <c r="F8183" s="33" t="s">
        <v>68</v>
      </c>
      <c r="G8183" s="33" t="s">
        <v>20</v>
      </c>
      <c r="H8183" s="35">
        <v>50</v>
      </c>
      <c r="I8183" s="33" t="s">
        <v>21</v>
      </c>
      <c r="J8183" s="42">
        <v>44531</v>
      </c>
      <c r="K8183" s="33" t="s">
        <v>22</v>
      </c>
    </row>
    <row r="8184" spans="1:11">
      <c r="A8184" s="30" t="s">
        <v>18907</v>
      </c>
      <c r="B8184" s="30" t="s">
        <v>18908</v>
      </c>
      <c r="C8184" s="30" t="s">
        <v>10616</v>
      </c>
      <c r="D8184" s="30" t="s">
        <v>17</v>
      </c>
      <c r="E8184" s="30" t="s">
        <v>18</v>
      </c>
      <c r="F8184" s="30" t="s">
        <v>19</v>
      </c>
      <c r="G8184" s="30" t="s">
        <v>20</v>
      </c>
      <c r="H8184" s="32">
        <v>256</v>
      </c>
      <c r="I8184" s="30" t="s">
        <v>21</v>
      </c>
      <c r="J8184" s="41">
        <v>44214</v>
      </c>
      <c r="K8184" s="30" t="s">
        <v>22</v>
      </c>
    </row>
    <row r="8185" spans="1:11">
      <c r="A8185" s="33" t="s">
        <v>18909</v>
      </c>
      <c r="B8185" s="33" t="s">
        <v>18910</v>
      </c>
      <c r="C8185" s="33" t="s">
        <v>2244</v>
      </c>
      <c r="D8185" s="33" t="s">
        <v>17</v>
      </c>
      <c r="E8185" s="33" t="s">
        <v>26</v>
      </c>
      <c r="F8185" s="33" t="s">
        <v>27</v>
      </c>
      <c r="G8185" s="33" t="s">
        <v>20</v>
      </c>
      <c r="H8185" s="35">
        <v>5</v>
      </c>
      <c r="I8185" s="33" t="s">
        <v>21</v>
      </c>
      <c r="J8185" s="42">
        <v>44200</v>
      </c>
      <c r="K8185" s="33" t="s">
        <v>22</v>
      </c>
    </row>
    <row r="8186" spans="1:11">
      <c r="A8186" s="30" t="s">
        <v>18911</v>
      </c>
      <c r="B8186" s="30" t="s">
        <v>18912</v>
      </c>
      <c r="C8186" s="30" t="s">
        <v>1210</v>
      </c>
      <c r="D8186" s="30" t="s">
        <v>17</v>
      </c>
      <c r="E8186" s="30" t="s">
        <v>26</v>
      </c>
      <c r="F8186" s="30" t="s">
        <v>27</v>
      </c>
      <c r="G8186" s="30" t="s">
        <v>158</v>
      </c>
      <c r="H8186" s="32">
        <v>65</v>
      </c>
      <c r="I8186" s="30" t="s">
        <v>21</v>
      </c>
      <c r="J8186" s="41">
        <v>44462</v>
      </c>
      <c r="K8186" s="30" t="s">
        <v>22</v>
      </c>
    </row>
    <row r="8187" spans="1:11">
      <c r="A8187" s="33" t="s">
        <v>18913</v>
      </c>
      <c r="B8187" s="33" t="s">
        <v>18914</v>
      </c>
      <c r="C8187" s="33" t="s">
        <v>18915</v>
      </c>
      <c r="D8187" s="33" t="s">
        <v>17</v>
      </c>
      <c r="E8187" s="33" t="s">
        <v>26</v>
      </c>
      <c r="F8187" s="33" t="s">
        <v>27</v>
      </c>
      <c r="G8187" s="33" t="s">
        <v>20</v>
      </c>
      <c r="H8187" s="35">
        <v>164</v>
      </c>
      <c r="I8187" s="33" t="s">
        <v>21</v>
      </c>
      <c r="J8187" s="42">
        <v>44419</v>
      </c>
      <c r="K8187" s="33" t="s">
        <v>22</v>
      </c>
    </row>
    <row r="8188" spans="1:11">
      <c r="A8188" s="30" t="s">
        <v>18916</v>
      </c>
      <c r="B8188" s="30" t="s">
        <v>18917</v>
      </c>
      <c r="C8188" s="30" t="s">
        <v>4267</v>
      </c>
      <c r="D8188" s="30" t="s">
        <v>17</v>
      </c>
      <c r="E8188" s="30" t="s">
        <v>26</v>
      </c>
      <c r="F8188" s="30" t="s">
        <v>27</v>
      </c>
      <c r="G8188" s="30" t="s">
        <v>106</v>
      </c>
      <c r="H8188" s="32">
        <v>11</v>
      </c>
      <c r="I8188" s="30" t="s">
        <v>21</v>
      </c>
      <c r="J8188" s="41">
        <v>44405</v>
      </c>
      <c r="K8188" s="30" t="s">
        <v>22</v>
      </c>
    </row>
    <row r="8189" spans="1:11">
      <c r="A8189" s="33" t="s">
        <v>18918</v>
      </c>
      <c r="B8189" s="33" t="s">
        <v>18919</v>
      </c>
      <c r="C8189" s="33" t="s">
        <v>310</v>
      </c>
      <c r="D8189" s="33" t="s">
        <v>17</v>
      </c>
      <c r="E8189" s="33" t="s">
        <v>26</v>
      </c>
      <c r="F8189" s="33" t="s">
        <v>27</v>
      </c>
      <c r="G8189" s="33" t="s">
        <v>20</v>
      </c>
      <c r="H8189" s="35">
        <v>384</v>
      </c>
      <c r="I8189" s="33" t="s">
        <v>21</v>
      </c>
      <c r="J8189" s="42">
        <v>44503</v>
      </c>
      <c r="K8189" s="33" t="s">
        <v>22</v>
      </c>
    </row>
    <row r="8190" spans="1:11">
      <c r="A8190" s="30" t="s">
        <v>18920</v>
      </c>
      <c r="B8190" s="30" t="s">
        <v>18921</v>
      </c>
      <c r="C8190" s="30" t="s">
        <v>178</v>
      </c>
      <c r="D8190" s="30" t="s">
        <v>17</v>
      </c>
      <c r="E8190" s="30" t="s">
        <v>26</v>
      </c>
      <c r="F8190" s="30" t="s">
        <v>27</v>
      </c>
      <c r="G8190" s="30" t="s">
        <v>140</v>
      </c>
      <c r="H8190" s="32">
        <v>542</v>
      </c>
      <c r="I8190" s="30" t="s">
        <v>51</v>
      </c>
      <c r="J8190" s="41">
        <v>44491</v>
      </c>
      <c r="K8190" s="30" t="s">
        <v>22</v>
      </c>
    </row>
    <row r="8191" spans="1:11">
      <c r="A8191" s="33" t="s">
        <v>18922</v>
      </c>
      <c r="B8191" s="33" t="s">
        <v>18923</v>
      </c>
      <c r="C8191" s="33" t="s">
        <v>18924</v>
      </c>
      <c r="D8191" s="33" t="s">
        <v>17</v>
      </c>
      <c r="E8191" s="33" t="s">
        <v>31</v>
      </c>
      <c r="F8191" s="33" t="s">
        <v>32</v>
      </c>
      <c r="G8191" s="33" t="s">
        <v>50</v>
      </c>
      <c r="H8191" s="35">
        <v>80</v>
      </c>
      <c r="I8191" s="33" t="s">
        <v>51</v>
      </c>
      <c r="J8191" s="42">
        <v>44336</v>
      </c>
      <c r="K8191" s="33" t="s">
        <v>22</v>
      </c>
    </row>
    <row r="8192" spans="1:11">
      <c r="A8192" s="30" t="s">
        <v>18925</v>
      </c>
      <c r="B8192" s="30" t="s">
        <v>18926</v>
      </c>
      <c r="C8192" s="30" t="s">
        <v>2054</v>
      </c>
      <c r="D8192" s="30" t="s">
        <v>17</v>
      </c>
      <c r="E8192" s="30" t="s">
        <v>18</v>
      </c>
      <c r="F8192" s="30" t="s">
        <v>19</v>
      </c>
      <c r="G8192" s="30" t="s">
        <v>20</v>
      </c>
      <c r="H8192" s="32">
        <v>157</v>
      </c>
      <c r="I8192" s="30" t="s">
        <v>21</v>
      </c>
      <c r="J8192" s="41">
        <v>44469</v>
      </c>
      <c r="K8192" s="30" t="s">
        <v>22</v>
      </c>
    </row>
    <row r="8193" spans="1:11">
      <c r="A8193" s="33" t="s">
        <v>18927</v>
      </c>
      <c r="B8193" s="33" t="s">
        <v>18928</v>
      </c>
      <c r="C8193" s="33" t="s">
        <v>18929</v>
      </c>
      <c r="D8193" s="33" t="s">
        <v>17</v>
      </c>
      <c r="E8193" s="33" t="s">
        <v>31</v>
      </c>
      <c r="F8193" s="33" t="s">
        <v>32</v>
      </c>
      <c r="G8193" s="33" t="s">
        <v>20</v>
      </c>
      <c r="H8193" s="35">
        <v>402</v>
      </c>
      <c r="I8193" s="33" t="s">
        <v>21</v>
      </c>
      <c r="J8193" s="42">
        <v>44406</v>
      </c>
      <c r="K8193" s="33" t="s">
        <v>22</v>
      </c>
    </row>
    <row r="8194" spans="1:11">
      <c r="A8194" s="30" t="s">
        <v>18930</v>
      </c>
      <c r="B8194" s="30" t="s">
        <v>18931</v>
      </c>
      <c r="C8194" s="30" t="s">
        <v>15741</v>
      </c>
      <c r="D8194" s="30" t="s">
        <v>17</v>
      </c>
      <c r="E8194" s="30" t="s">
        <v>26</v>
      </c>
      <c r="F8194" s="30" t="s">
        <v>27</v>
      </c>
      <c r="G8194" s="30" t="s">
        <v>20</v>
      </c>
      <c r="H8194" s="32">
        <v>32</v>
      </c>
      <c r="I8194" s="30" t="s">
        <v>21</v>
      </c>
      <c r="J8194" s="41">
        <v>44463</v>
      </c>
      <c r="K8194" s="30" t="s">
        <v>22</v>
      </c>
    </row>
    <row r="8195" spans="1:11">
      <c r="A8195" s="33" t="s">
        <v>18932</v>
      </c>
      <c r="B8195" s="33" t="s">
        <v>18933</v>
      </c>
      <c r="C8195" s="33" t="s">
        <v>136</v>
      </c>
      <c r="D8195" s="33" t="s">
        <v>17</v>
      </c>
      <c r="E8195" s="33" t="s">
        <v>26</v>
      </c>
      <c r="F8195" s="33" t="s">
        <v>27</v>
      </c>
      <c r="G8195" s="33" t="s">
        <v>20</v>
      </c>
      <c r="H8195" s="35">
        <v>54</v>
      </c>
      <c r="I8195" s="33" t="s">
        <v>21</v>
      </c>
      <c r="J8195" s="42">
        <v>44249</v>
      </c>
      <c r="K8195" s="33" t="s">
        <v>22</v>
      </c>
    </row>
    <row r="8196" spans="1:11">
      <c r="A8196" s="30" t="s">
        <v>18934</v>
      </c>
      <c r="B8196" s="30" t="s">
        <v>18935</v>
      </c>
      <c r="C8196" s="30" t="s">
        <v>5158</v>
      </c>
      <c r="D8196" s="30" t="s">
        <v>17</v>
      </c>
      <c r="E8196" s="30" t="s">
        <v>212</v>
      </c>
      <c r="F8196" s="30" t="s">
        <v>213</v>
      </c>
      <c r="G8196" s="30" t="s">
        <v>112</v>
      </c>
      <c r="H8196" s="32">
        <v>0</v>
      </c>
      <c r="I8196" s="30" t="s">
        <v>21</v>
      </c>
      <c r="J8196" s="41">
        <v>44197</v>
      </c>
      <c r="K8196" s="30" t="s">
        <v>22</v>
      </c>
    </row>
    <row r="8197" spans="1:11">
      <c r="A8197" s="33" t="s">
        <v>18936</v>
      </c>
      <c r="B8197" s="33" t="s">
        <v>18937</v>
      </c>
      <c r="C8197" s="33" t="s">
        <v>96</v>
      </c>
      <c r="D8197" s="33" t="s">
        <v>17</v>
      </c>
      <c r="E8197" s="33" t="s">
        <v>26</v>
      </c>
      <c r="F8197" s="33" t="s">
        <v>27</v>
      </c>
      <c r="G8197" s="33" t="s">
        <v>112</v>
      </c>
      <c r="H8197" s="35">
        <v>0</v>
      </c>
      <c r="I8197" s="33" t="s">
        <v>21</v>
      </c>
      <c r="J8197" s="42">
        <v>44218</v>
      </c>
      <c r="K8197" s="33" t="s">
        <v>22</v>
      </c>
    </row>
    <row r="8198" spans="1:11">
      <c r="A8198" s="30" t="s">
        <v>18938</v>
      </c>
      <c r="B8198" s="30" t="s">
        <v>18939</v>
      </c>
      <c r="C8198" s="30" t="s">
        <v>2703</v>
      </c>
      <c r="D8198" s="30" t="s">
        <v>17</v>
      </c>
      <c r="E8198" s="30" t="s">
        <v>31</v>
      </c>
      <c r="F8198" s="30" t="s">
        <v>32</v>
      </c>
      <c r="G8198" s="30" t="s">
        <v>20</v>
      </c>
      <c r="H8198" s="32">
        <v>8</v>
      </c>
      <c r="I8198" s="30" t="s">
        <v>21</v>
      </c>
      <c r="J8198" s="41">
        <v>44514</v>
      </c>
      <c r="K8198" s="30" t="s">
        <v>22</v>
      </c>
    </row>
    <row r="8199" spans="1:11">
      <c r="A8199" s="33" t="s">
        <v>18940</v>
      </c>
      <c r="B8199" s="33" t="s">
        <v>18941</v>
      </c>
      <c r="C8199" s="33" t="s">
        <v>2663</v>
      </c>
      <c r="D8199" s="33" t="s">
        <v>17</v>
      </c>
      <c r="E8199" s="33" t="s">
        <v>26</v>
      </c>
      <c r="F8199" s="33" t="s">
        <v>27</v>
      </c>
      <c r="G8199" s="33" t="s">
        <v>20</v>
      </c>
      <c r="H8199" s="35">
        <v>70</v>
      </c>
      <c r="I8199" s="33" t="s">
        <v>21</v>
      </c>
      <c r="J8199" s="42">
        <v>44225</v>
      </c>
      <c r="K8199" s="33" t="s">
        <v>22</v>
      </c>
    </row>
    <row r="8200" spans="1:11">
      <c r="A8200" s="30" t="s">
        <v>18942</v>
      </c>
      <c r="B8200" s="30" t="s">
        <v>18943</v>
      </c>
      <c r="C8200" s="30" t="s">
        <v>6248</v>
      </c>
      <c r="D8200" s="30" t="s">
        <v>17</v>
      </c>
      <c r="E8200" s="30" t="s">
        <v>45</v>
      </c>
      <c r="F8200" s="30" t="s">
        <v>46</v>
      </c>
      <c r="G8200" s="30" t="s">
        <v>2613</v>
      </c>
      <c r="H8200" s="32">
        <v>900</v>
      </c>
      <c r="I8200" s="30" t="s">
        <v>51</v>
      </c>
      <c r="J8200" s="41">
        <v>44322</v>
      </c>
      <c r="K8200" s="30" t="s">
        <v>22</v>
      </c>
    </row>
    <row r="8201" spans="1:11">
      <c r="A8201" s="33" t="s">
        <v>18944</v>
      </c>
      <c r="B8201" s="33" t="s">
        <v>18945</v>
      </c>
      <c r="C8201" s="33" t="s">
        <v>3641</v>
      </c>
      <c r="D8201" s="33" t="s">
        <v>17</v>
      </c>
      <c r="E8201" s="33" t="s">
        <v>67</v>
      </c>
      <c r="F8201" s="33" t="s">
        <v>68</v>
      </c>
      <c r="G8201" s="33" t="s">
        <v>50</v>
      </c>
      <c r="H8201" s="35">
        <v>109</v>
      </c>
      <c r="I8201" s="33" t="s">
        <v>51</v>
      </c>
      <c r="J8201" s="42">
        <v>44323</v>
      </c>
      <c r="K8201" s="33" t="s">
        <v>22</v>
      </c>
    </row>
    <row r="8202" spans="1:11">
      <c r="A8202" s="30" t="s">
        <v>18946</v>
      </c>
      <c r="B8202" s="30" t="s">
        <v>18947</v>
      </c>
      <c r="C8202" s="30" t="s">
        <v>63</v>
      </c>
      <c r="D8202" s="30" t="s">
        <v>17</v>
      </c>
      <c r="E8202" s="30" t="s">
        <v>18</v>
      </c>
      <c r="F8202" s="30" t="s">
        <v>19</v>
      </c>
      <c r="G8202" s="30" t="s">
        <v>106</v>
      </c>
      <c r="H8202" s="32">
        <v>129</v>
      </c>
      <c r="I8202" s="30" t="s">
        <v>21</v>
      </c>
      <c r="J8202" s="41">
        <v>44308</v>
      </c>
      <c r="K8202" s="30" t="s">
        <v>22</v>
      </c>
    </row>
    <row r="8203" spans="1:11">
      <c r="A8203" s="33" t="s">
        <v>18948</v>
      </c>
      <c r="B8203" s="33" t="s">
        <v>18949</v>
      </c>
      <c r="C8203" s="33" t="s">
        <v>252</v>
      </c>
      <c r="D8203" s="33" t="s">
        <v>17</v>
      </c>
      <c r="E8203" s="33" t="s">
        <v>67</v>
      </c>
      <c r="F8203" s="33" t="s">
        <v>68</v>
      </c>
      <c r="G8203" s="33" t="s">
        <v>20</v>
      </c>
      <c r="H8203" s="35">
        <v>108</v>
      </c>
      <c r="I8203" s="33" t="s">
        <v>21</v>
      </c>
      <c r="J8203" s="42">
        <v>44337</v>
      </c>
      <c r="K8203" s="33" t="s">
        <v>22</v>
      </c>
    </row>
    <row r="8204" spans="1:11">
      <c r="A8204" s="30" t="s">
        <v>18950</v>
      </c>
      <c r="B8204" s="30" t="s">
        <v>18951</v>
      </c>
      <c r="C8204" s="30" t="s">
        <v>1343</v>
      </c>
      <c r="D8204" s="30" t="s">
        <v>17</v>
      </c>
      <c r="E8204" s="30" t="s">
        <v>18</v>
      </c>
      <c r="F8204" s="30" t="s">
        <v>19</v>
      </c>
      <c r="G8204" s="30" t="s">
        <v>20</v>
      </c>
      <c r="H8204" s="32">
        <v>599</v>
      </c>
      <c r="I8204" s="30" t="s">
        <v>21</v>
      </c>
      <c r="J8204" s="41">
        <v>44550</v>
      </c>
      <c r="K8204" s="30" t="s">
        <v>22</v>
      </c>
    </row>
    <row r="8205" spans="1:11">
      <c r="A8205" s="33" t="s">
        <v>18952</v>
      </c>
      <c r="B8205" s="33" t="s">
        <v>18953</v>
      </c>
      <c r="C8205" s="33" t="s">
        <v>6551</v>
      </c>
      <c r="D8205" s="33" t="s">
        <v>17</v>
      </c>
      <c r="E8205" s="33" t="s">
        <v>31</v>
      </c>
      <c r="F8205" s="33" t="s">
        <v>32</v>
      </c>
      <c r="G8205" s="33" t="s">
        <v>106</v>
      </c>
      <c r="H8205" s="35">
        <v>3</v>
      </c>
      <c r="I8205" s="33" t="s">
        <v>21</v>
      </c>
      <c r="J8205" s="42">
        <v>44454</v>
      </c>
      <c r="K8205" s="33" t="s">
        <v>22</v>
      </c>
    </row>
    <row r="8206" spans="1:11">
      <c r="A8206" s="30" t="s">
        <v>18954</v>
      </c>
      <c r="B8206" s="30" t="s">
        <v>18955</v>
      </c>
      <c r="C8206" s="30" t="s">
        <v>149</v>
      </c>
      <c r="D8206" s="30" t="s">
        <v>17</v>
      </c>
      <c r="E8206" s="30" t="s">
        <v>26</v>
      </c>
      <c r="F8206" s="30" t="s">
        <v>27</v>
      </c>
      <c r="G8206" s="30" t="s">
        <v>20</v>
      </c>
      <c r="H8206" s="32">
        <v>58</v>
      </c>
      <c r="I8206" s="30" t="s">
        <v>21</v>
      </c>
      <c r="J8206" s="41">
        <v>44372</v>
      </c>
      <c r="K8206" s="30" t="s">
        <v>22</v>
      </c>
    </row>
    <row r="8207" spans="1:11">
      <c r="A8207" s="33" t="s">
        <v>18956</v>
      </c>
      <c r="B8207" s="33" t="s">
        <v>18957</v>
      </c>
      <c r="C8207" s="33" t="s">
        <v>1313</v>
      </c>
      <c r="D8207" s="33" t="s">
        <v>17</v>
      </c>
      <c r="E8207" s="33" t="s">
        <v>31</v>
      </c>
      <c r="F8207" s="33" t="s">
        <v>32</v>
      </c>
      <c r="G8207" s="33" t="s">
        <v>112</v>
      </c>
      <c r="H8207" s="35">
        <v>0</v>
      </c>
      <c r="I8207" s="33" t="s">
        <v>21</v>
      </c>
      <c r="J8207" s="42">
        <v>44256</v>
      </c>
      <c r="K8207" s="33" t="s">
        <v>22</v>
      </c>
    </row>
    <row r="8208" spans="1:11">
      <c r="A8208" s="30" t="s">
        <v>18958</v>
      </c>
      <c r="B8208" s="30" t="s">
        <v>2829</v>
      </c>
      <c r="C8208" s="30" t="s">
        <v>203</v>
      </c>
      <c r="D8208" s="30" t="s">
        <v>17</v>
      </c>
      <c r="E8208" s="30" t="s">
        <v>18</v>
      </c>
      <c r="F8208" s="30" t="s">
        <v>19</v>
      </c>
      <c r="G8208" s="30" t="s">
        <v>20</v>
      </c>
      <c r="H8208" s="32">
        <v>1239</v>
      </c>
      <c r="I8208" s="30" t="s">
        <v>21</v>
      </c>
      <c r="J8208" s="41">
        <v>44239</v>
      </c>
      <c r="K8208" s="30" t="s">
        <v>22</v>
      </c>
    </row>
    <row r="8209" spans="1:11">
      <c r="A8209" s="33" t="s">
        <v>18959</v>
      </c>
      <c r="B8209" s="33" t="s">
        <v>18960</v>
      </c>
      <c r="C8209" s="33" t="s">
        <v>638</v>
      </c>
      <c r="D8209" s="33" t="s">
        <v>17</v>
      </c>
      <c r="E8209" s="33" t="s">
        <v>31</v>
      </c>
      <c r="F8209" s="33" t="s">
        <v>32</v>
      </c>
      <c r="G8209" s="33" t="s">
        <v>20</v>
      </c>
      <c r="H8209" s="35">
        <v>51</v>
      </c>
      <c r="I8209" s="33" t="s">
        <v>21</v>
      </c>
      <c r="J8209" s="42">
        <v>44435</v>
      </c>
      <c r="K8209" s="33" t="s">
        <v>22</v>
      </c>
    </row>
    <row r="8210" spans="1:11">
      <c r="A8210" s="30" t="s">
        <v>18961</v>
      </c>
      <c r="B8210" s="30" t="s">
        <v>18962</v>
      </c>
      <c r="C8210" s="30" t="s">
        <v>154</v>
      </c>
      <c r="D8210" s="30" t="s">
        <v>17</v>
      </c>
      <c r="E8210" s="30" t="s">
        <v>31</v>
      </c>
      <c r="F8210" s="30" t="s">
        <v>32</v>
      </c>
      <c r="G8210" s="30" t="s">
        <v>20</v>
      </c>
      <c r="H8210" s="32">
        <v>70</v>
      </c>
      <c r="I8210" s="30" t="s">
        <v>21</v>
      </c>
      <c r="J8210" s="41">
        <v>44425</v>
      </c>
      <c r="K8210" s="30" t="s">
        <v>22</v>
      </c>
    </row>
    <row r="8211" spans="1:11">
      <c r="A8211" s="33" t="s">
        <v>18963</v>
      </c>
      <c r="B8211" s="33" t="s">
        <v>18964</v>
      </c>
      <c r="C8211" s="33" t="s">
        <v>4833</v>
      </c>
      <c r="D8211" s="33" t="s">
        <v>17</v>
      </c>
      <c r="E8211" s="33" t="s">
        <v>31</v>
      </c>
      <c r="F8211" s="33" t="s">
        <v>32</v>
      </c>
      <c r="G8211" s="33" t="s">
        <v>20</v>
      </c>
      <c r="H8211" s="35">
        <v>104</v>
      </c>
      <c r="I8211" s="33" t="s">
        <v>21</v>
      </c>
      <c r="J8211" s="42">
        <v>44274</v>
      </c>
      <c r="K8211" s="33" t="s">
        <v>22</v>
      </c>
    </row>
    <row r="8212" spans="1:11">
      <c r="A8212" s="30" t="s">
        <v>18965</v>
      </c>
      <c r="B8212" s="30" t="s">
        <v>18966</v>
      </c>
      <c r="C8212" s="30" t="s">
        <v>1165</v>
      </c>
      <c r="D8212" s="30" t="s">
        <v>17</v>
      </c>
      <c r="E8212" s="30" t="s">
        <v>45</v>
      </c>
      <c r="F8212" s="30" t="s">
        <v>46</v>
      </c>
      <c r="G8212" s="30" t="s">
        <v>140</v>
      </c>
      <c r="H8212" s="32">
        <v>12</v>
      </c>
      <c r="I8212" s="30" t="s">
        <v>51</v>
      </c>
      <c r="J8212" s="41">
        <v>44495</v>
      </c>
      <c r="K8212" s="30" t="s">
        <v>22</v>
      </c>
    </row>
    <row r="8213" spans="1:11">
      <c r="A8213" s="33" t="s">
        <v>18967</v>
      </c>
      <c r="B8213" s="33" t="s">
        <v>18968</v>
      </c>
      <c r="C8213" s="33" t="s">
        <v>570</v>
      </c>
      <c r="D8213" s="33" t="s">
        <v>17</v>
      </c>
      <c r="E8213" s="33" t="s">
        <v>67</v>
      </c>
      <c r="F8213" s="33" t="s">
        <v>68</v>
      </c>
      <c r="G8213" s="33" t="s">
        <v>50</v>
      </c>
      <c r="H8213" s="35">
        <v>80</v>
      </c>
      <c r="I8213" s="33" t="s">
        <v>51</v>
      </c>
      <c r="J8213" s="42">
        <v>44378</v>
      </c>
      <c r="K8213" s="33" t="s">
        <v>22</v>
      </c>
    </row>
    <row r="8214" spans="1:11">
      <c r="A8214" s="30" t="s">
        <v>18969</v>
      </c>
      <c r="B8214" s="30" t="s">
        <v>18970</v>
      </c>
      <c r="C8214" s="30" t="s">
        <v>1042</v>
      </c>
      <c r="D8214" s="30" t="s">
        <v>17</v>
      </c>
      <c r="E8214" s="30" t="s">
        <v>31</v>
      </c>
      <c r="F8214" s="30" t="s">
        <v>32</v>
      </c>
      <c r="G8214" s="30" t="s">
        <v>20</v>
      </c>
      <c r="H8214" s="32">
        <v>158</v>
      </c>
      <c r="I8214" s="30" t="s">
        <v>21</v>
      </c>
      <c r="J8214" s="41">
        <v>44362</v>
      </c>
      <c r="K8214" s="30" t="s">
        <v>22</v>
      </c>
    </row>
    <row r="8215" spans="1:11">
      <c r="A8215" s="33" t="s">
        <v>18971</v>
      </c>
      <c r="B8215" s="33" t="s">
        <v>18972</v>
      </c>
      <c r="C8215" s="33" t="s">
        <v>18973</v>
      </c>
      <c r="D8215" s="33" t="s">
        <v>17</v>
      </c>
      <c r="E8215" s="33" t="s">
        <v>18</v>
      </c>
      <c r="F8215" s="33" t="s">
        <v>19</v>
      </c>
      <c r="G8215" s="33" t="s">
        <v>106</v>
      </c>
      <c r="H8215" s="35">
        <v>208</v>
      </c>
      <c r="I8215" s="33" t="s">
        <v>21</v>
      </c>
      <c r="J8215" s="42">
        <v>44438</v>
      </c>
      <c r="K8215" s="33" t="s">
        <v>22</v>
      </c>
    </row>
    <row r="8216" spans="1:11">
      <c r="A8216" s="30" t="s">
        <v>18974</v>
      </c>
      <c r="B8216" s="30" t="s">
        <v>18975</v>
      </c>
      <c r="C8216" s="30" t="s">
        <v>4328</v>
      </c>
      <c r="D8216" s="30" t="s">
        <v>17</v>
      </c>
      <c r="E8216" s="30" t="s">
        <v>26</v>
      </c>
      <c r="F8216" s="30" t="s">
        <v>27</v>
      </c>
      <c r="G8216" s="30" t="s">
        <v>158</v>
      </c>
      <c r="H8216" s="32">
        <v>179</v>
      </c>
      <c r="I8216" s="30" t="s">
        <v>51</v>
      </c>
      <c r="J8216" s="41">
        <v>44348</v>
      </c>
      <c r="K8216" s="30" t="s">
        <v>22</v>
      </c>
    </row>
    <row r="8217" spans="1:11">
      <c r="A8217" s="33" t="s">
        <v>18976</v>
      </c>
      <c r="B8217" s="33" t="s">
        <v>18977</v>
      </c>
      <c r="C8217" s="33" t="s">
        <v>18978</v>
      </c>
      <c r="D8217" s="33" t="s">
        <v>17</v>
      </c>
      <c r="E8217" s="33" t="s">
        <v>26</v>
      </c>
      <c r="F8217" s="33" t="s">
        <v>27</v>
      </c>
      <c r="G8217" s="33" t="s">
        <v>20</v>
      </c>
      <c r="H8217" s="35">
        <v>216</v>
      </c>
      <c r="I8217" s="33" t="s">
        <v>21</v>
      </c>
      <c r="J8217" s="42">
        <v>44287</v>
      </c>
      <c r="K8217" s="33" t="s">
        <v>22</v>
      </c>
    </row>
    <row r="8218" spans="1:11">
      <c r="A8218" s="30" t="s">
        <v>18979</v>
      </c>
      <c r="B8218" s="30" t="s">
        <v>18980</v>
      </c>
      <c r="C8218" s="30" t="s">
        <v>18981</v>
      </c>
      <c r="D8218" s="30" t="s">
        <v>17</v>
      </c>
      <c r="E8218" s="30" t="s">
        <v>26</v>
      </c>
      <c r="F8218" s="30" t="s">
        <v>27</v>
      </c>
      <c r="G8218" s="30" t="s">
        <v>20</v>
      </c>
      <c r="H8218" s="32">
        <v>29</v>
      </c>
      <c r="I8218" s="30" t="s">
        <v>21</v>
      </c>
      <c r="J8218" s="41">
        <v>44453</v>
      </c>
      <c r="K8218" s="30" t="s">
        <v>22</v>
      </c>
    </row>
    <row r="8219" spans="1:11">
      <c r="A8219" s="33" t="s">
        <v>18982</v>
      </c>
      <c r="B8219" s="33" t="s">
        <v>18983</v>
      </c>
      <c r="C8219" s="33" t="s">
        <v>136</v>
      </c>
      <c r="D8219" s="33" t="s">
        <v>17</v>
      </c>
      <c r="E8219" s="33" t="s">
        <v>26</v>
      </c>
      <c r="F8219" s="33" t="s">
        <v>27</v>
      </c>
      <c r="G8219" s="33" t="s">
        <v>20</v>
      </c>
      <c r="H8219" s="35">
        <v>66</v>
      </c>
      <c r="I8219" s="33" t="s">
        <v>21</v>
      </c>
      <c r="J8219" s="42">
        <v>44361</v>
      </c>
      <c r="K8219" s="33" t="s">
        <v>22</v>
      </c>
    </row>
    <row r="8220" spans="1:11">
      <c r="A8220" s="30" t="s">
        <v>18984</v>
      </c>
      <c r="B8220" s="30" t="s">
        <v>18985</v>
      </c>
      <c r="C8220" s="30" t="s">
        <v>18986</v>
      </c>
      <c r="D8220" s="30" t="s">
        <v>17</v>
      </c>
      <c r="E8220" s="30" t="s">
        <v>31</v>
      </c>
      <c r="F8220" s="30" t="s">
        <v>32</v>
      </c>
      <c r="G8220" s="30" t="s">
        <v>20</v>
      </c>
      <c r="H8220" s="32">
        <v>298</v>
      </c>
      <c r="I8220" s="30" t="s">
        <v>21</v>
      </c>
      <c r="J8220" s="41">
        <v>44523</v>
      </c>
      <c r="K8220" s="30" t="s">
        <v>22</v>
      </c>
    </row>
    <row r="8221" spans="1:11">
      <c r="A8221" s="33" t="s">
        <v>18987</v>
      </c>
      <c r="B8221" s="33" t="s">
        <v>18988</v>
      </c>
      <c r="C8221" s="33" t="s">
        <v>18181</v>
      </c>
      <c r="D8221" s="33" t="s">
        <v>17</v>
      </c>
      <c r="E8221" s="33" t="s">
        <v>18</v>
      </c>
      <c r="F8221" s="33" t="s">
        <v>19</v>
      </c>
      <c r="G8221" s="33" t="s">
        <v>158</v>
      </c>
      <c r="H8221" s="35">
        <v>43</v>
      </c>
      <c r="I8221" s="33" t="s">
        <v>21</v>
      </c>
      <c r="J8221" s="42">
        <v>44518</v>
      </c>
      <c r="K8221" s="33" t="s">
        <v>22</v>
      </c>
    </row>
    <row r="8222" spans="1:11">
      <c r="A8222" s="30" t="s">
        <v>18989</v>
      </c>
      <c r="B8222" s="30" t="s">
        <v>18990</v>
      </c>
      <c r="C8222" s="30" t="s">
        <v>647</v>
      </c>
      <c r="D8222" s="30" t="s">
        <v>17</v>
      </c>
      <c r="E8222" s="30" t="s">
        <v>31</v>
      </c>
      <c r="F8222" s="30" t="s">
        <v>32</v>
      </c>
      <c r="G8222" s="30" t="s">
        <v>158</v>
      </c>
      <c r="H8222" s="32">
        <v>60</v>
      </c>
      <c r="I8222" s="30" t="s">
        <v>51</v>
      </c>
      <c r="J8222" s="41">
        <v>44502</v>
      </c>
      <c r="K8222" s="30" t="s">
        <v>22</v>
      </c>
    </row>
    <row r="8223" spans="1:11">
      <c r="A8223" s="33" t="s">
        <v>18991</v>
      </c>
      <c r="B8223" s="33" t="s">
        <v>18992</v>
      </c>
      <c r="C8223" s="33" t="s">
        <v>18993</v>
      </c>
      <c r="D8223" s="33" t="s">
        <v>17</v>
      </c>
      <c r="E8223" s="33" t="s">
        <v>67</v>
      </c>
      <c r="F8223" s="33" t="s">
        <v>68</v>
      </c>
      <c r="G8223" s="33" t="s">
        <v>158</v>
      </c>
      <c r="H8223" s="35">
        <v>141</v>
      </c>
      <c r="I8223" s="33" t="s">
        <v>51</v>
      </c>
      <c r="J8223" s="42">
        <v>44559</v>
      </c>
      <c r="K8223" s="33" t="s">
        <v>22</v>
      </c>
    </row>
    <row r="8224" spans="1:11">
      <c r="A8224" s="30" t="s">
        <v>18994</v>
      </c>
      <c r="B8224" s="30" t="s">
        <v>18995</v>
      </c>
      <c r="C8224" s="30" t="s">
        <v>462</v>
      </c>
      <c r="D8224" s="30" t="s">
        <v>17</v>
      </c>
      <c r="E8224" s="30" t="s">
        <v>31</v>
      </c>
      <c r="F8224" s="30" t="s">
        <v>32</v>
      </c>
      <c r="G8224" s="30" t="s">
        <v>20</v>
      </c>
      <c r="H8224" s="32">
        <v>399</v>
      </c>
      <c r="I8224" s="30" t="s">
        <v>21</v>
      </c>
      <c r="J8224" s="41">
        <v>44399</v>
      </c>
      <c r="K8224" s="30" t="s">
        <v>22</v>
      </c>
    </row>
    <row r="8225" spans="1:11">
      <c r="A8225" s="33" t="s">
        <v>18996</v>
      </c>
      <c r="B8225" s="33" t="s">
        <v>18997</v>
      </c>
      <c r="C8225" s="33" t="s">
        <v>18998</v>
      </c>
      <c r="D8225" s="33" t="s">
        <v>17</v>
      </c>
      <c r="E8225" s="33" t="s">
        <v>18</v>
      </c>
      <c r="F8225" s="33" t="s">
        <v>19</v>
      </c>
      <c r="G8225" s="33" t="s">
        <v>20</v>
      </c>
      <c r="H8225" s="35">
        <v>151</v>
      </c>
      <c r="I8225" s="33" t="s">
        <v>21</v>
      </c>
      <c r="J8225" s="42">
        <v>44500</v>
      </c>
      <c r="K8225" s="33" t="s">
        <v>22</v>
      </c>
    </row>
    <row r="8226" spans="1:11">
      <c r="A8226" s="30" t="s">
        <v>18999</v>
      </c>
      <c r="B8226" s="30" t="s">
        <v>19000</v>
      </c>
      <c r="C8226" s="30" t="s">
        <v>2415</v>
      </c>
      <c r="D8226" s="30" t="s">
        <v>17</v>
      </c>
      <c r="E8226" s="30" t="s">
        <v>26</v>
      </c>
      <c r="F8226" s="30" t="s">
        <v>27</v>
      </c>
      <c r="G8226" s="30" t="s">
        <v>140</v>
      </c>
      <c r="H8226" s="32">
        <v>112</v>
      </c>
      <c r="I8226" s="30" t="s">
        <v>51</v>
      </c>
      <c r="J8226" s="41">
        <v>44354</v>
      </c>
      <c r="K8226" s="30" t="s">
        <v>22</v>
      </c>
    </row>
    <row r="8227" spans="1:11">
      <c r="A8227" s="33" t="s">
        <v>19001</v>
      </c>
      <c r="B8227" s="33" t="s">
        <v>19002</v>
      </c>
      <c r="C8227" s="33" t="s">
        <v>329</v>
      </c>
      <c r="D8227" s="33" t="s">
        <v>17</v>
      </c>
      <c r="E8227" s="33" t="s">
        <v>18</v>
      </c>
      <c r="F8227" s="33" t="s">
        <v>19</v>
      </c>
      <c r="G8227" s="33" t="s">
        <v>112</v>
      </c>
      <c r="H8227" s="35">
        <v>0</v>
      </c>
      <c r="I8227" s="33" t="s">
        <v>21</v>
      </c>
      <c r="J8227" s="42">
        <v>44545</v>
      </c>
      <c r="K8227" s="33" t="s">
        <v>22</v>
      </c>
    </row>
    <row r="8228" spans="1:11">
      <c r="A8228" s="30" t="s">
        <v>19003</v>
      </c>
      <c r="B8228" s="30" t="s">
        <v>19004</v>
      </c>
      <c r="C8228" s="30" t="s">
        <v>554</v>
      </c>
      <c r="D8228" s="30" t="s">
        <v>17</v>
      </c>
      <c r="E8228" s="30" t="s">
        <v>26</v>
      </c>
      <c r="F8228" s="30" t="s">
        <v>27</v>
      </c>
      <c r="G8228" s="30" t="s">
        <v>20</v>
      </c>
      <c r="H8228" s="32">
        <v>63</v>
      </c>
      <c r="I8228" s="30" t="s">
        <v>21</v>
      </c>
      <c r="J8228" s="41">
        <v>44202</v>
      </c>
      <c r="K8228" s="30" t="s">
        <v>22</v>
      </c>
    </row>
    <row r="8229" spans="1:11">
      <c r="A8229" s="33" t="s">
        <v>19005</v>
      </c>
      <c r="B8229" s="33" t="s">
        <v>19006</v>
      </c>
      <c r="C8229" s="33" t="s">
        <v>3302</v>
      </c>
      <c r="D8229" s="33" t="s">
        <v>17</v>
      </c>
      <c r="E8229" s="33" t="s">
        <v>212</v>
      </c>
      <c r="F8229" s="33" t="s">
        <v>213</v>
      </c>
      <c r="G8229" s="33" t="s">
        <v>50</v>
      </c>
      <c r="H8229" s="35">
        <v>80</v>
      </c>
      <c r="I8229" s="33" t="s">
        <v>51</v>
      </c>
      <c r="J8229" s="42">
        <v>44197</v>
      </c>
      <c r="K8229" s="33" t="s">
        <v>22</v>
      </c>
    </row>
    <row r="8230" spans="1:11">
      <c r="A8230" s="30" t="s">
        <v>19007</v>
      </c>
      <c r="B8230" s="30" t="s">
        <v>19008</v>
      </c>
      <c r="C8230" s="30" t="s">
        <v>19009</v>
      </c>
      <c r="D8230" s="30" t="s">
        <v>17</v>
      </c>
      <c r="E8230" s="30" t="s">
        <v>26</v>
      </c>
      <c r="F8230" s="30" t="s">
        <v>27</v>
      </c>
      <c r="G8230" s="30" t="s">
        <v>50</v>
      </c>
      <c r="H8230" s="32">
        <v>42</v>
      </c>
      <c r="I8230" s="30" t="s">
        <v>51</v>
      </c>
      <c r="J8230" s="41">
        <v>44531</v>
      </c>
      <c r="K8230" s="30" t="s">
        <v>22</v>
      </c>
    </row>
    <row r="8231" spans="1:11">
      <c r="A8231" s="33" t="s">
        <v>19010</v>
      </c>
      <c r="B8231" s="33" t="s">
        <v>19011</v>
      </c>
      <c r="C8231" s="33" t="s">
        <v>19012</v>
      </c>
      <c r="D8231" s="33" t="s">
        <v>17</v>
      </c>
      <c r="E8231" s="33" t="s">
        <v>18</v>
      </c>
      <c r="F8231" s="33" t="s">
        <v>19</v>
      </c>
      <c r="G8231" s="33" t="s">
        <v>20</v>
      </c>
      <c r="H8231" s="35">
        <v>225</v>
      </c>
      <c r="I8231" s="33" t="s">
        <v>21</v>
      </c>
      <c r="J8231" s="42">
        <v>44275</v>
      </c>
      <c r="K8231" s="33" t="s">
        <v>22</v>
      </c>
    </row>
    <row r="8232" spans="1:11">
      <c r="A8232" s="30" t="s">
        <v>19013</v>
      </c>
      <c r="B8232" s="30" t="s">
        <v>19014</v>
      </c>
      <c r="C8232" s="30" t="s">
        <v>19015</v>
      </c>
      <c r="D8232" s="30" t="s">
        <v>17</v>
      </c>
      <c r="E8232" s="30" t="s">
        <v>26</v>
      </c>
      <c r="F8232" s="30" t="s">
        <v>27</v>
      </c>
      <c r="G8232" s="30" t="s">
        <v>20</v>
      </c>
      <c r="H8232" s="32">
        <v>122</v>
      </c>
      <c r="I8232" s="30" t="s">
        <v>21</v>
      </c>
      <c r="J8232" s="41">
        <v>44377</v>
      </c>
      <c r="K8232" s="30" t="s">
        <v>22</v>
      </c>
    </row>
    <row r="8233" spans="1:11">
      <c r="A8233" s="33" t="s">
        <v>19016</v>
      </c>
      <c r="B8233" s="33" t="s">
        <v>19017</v>
      </c>
      <c r="C8233" s="33" t="s">
        <v>969</v>
      </c>
      <c r="D8233" s="33" t="s">
        <v>17</v>
      </c>
      <c r="E8233" s="33" t="s">
        <v>18</v>
      </c>
      <c r="F8233" s="33" t="s">
        <v>19</v>
      </c>
      <c r="G8233" s="33" t="s">
        <v>20</v>
      </c>
      <c r="H8233" s="35">
        <v>26675</v>
      </c>
      <c r="I8233" s="33" t="s">
        <v>21</v>
      </c>
      <c r="J8233" s="42">
        <v>44341</v>
      </c>
      <c r="K8233" s="33" t="s">
        <v>22</v>
      </c>
    </row>
    <row r="8234" spans="1:11">
      <c r="A8234" s="30" t="s">
        <v>19018</v>
      </c>
      <c r="B8234" s="30" t="s">
        <v>19019</v>
      </c>
      <c r="C8234" s="30" t="s">
        <v>96</v>
      </c>
      <c r="D8234" s="30" t="s">
        <v>17</v>
      </c>
      <c r="E8234" s="30" t="s">
        <v>18</v>
      </c>
      <c r="F8234" s="30" t="s">
        <v>19</v>
      </c>
      <c r="G8234" s="30" t="s">
        <v>20</v>
      </c>
      <c r="H8234" s="32">
        <v>165</v>
      </c>
      <c r="I8234" s="30" t="s">
        <v>21</v>
      </c>
      <c r="J8234" s="41">
        <v>44214</v>
      </c>
      <c r="K8234" s="30" t="s">
        <v>22</v>
      </c>
    </row>
    <row r="8235" spans="1:11">
      <c r="A8235" s="33" t="s">
        <v>19020</v>
      </c>
      <c r="B8235" s="33" t="s">
        <v>19021</v>
      </c>
      <c r="C8235" s="33" t="s">
        <v>19022</v>
      </c>
      <c r="D8235" s="33" t="s">
        <v>17</v>
      </c>
      <c r="E8235" s="33" t="s">
        <v>67</v>
      </c>
      <c r="F8235" s="33" t="s">
        <v>68</v>
      </c>
      <c r="G8235" s="33" t="s">
        <v>140</v>
      </c>
      <c r="H8235" s="35">
        <v>15</v>
      </c>
      <c r="I8235" s="33" t="s">
        <v>51</v>
      </c>
      <c r="J8235" s="42">
        <v>44515</v>
      </c>
      <c r="K8235" s="33" t="s">
        <v>22</v>
      </c>
    </row>
    <row r="8236" spans="1:11">
      <c r="A8236" s="30" t="s">
        <v>19023</v>
      </c>
      <c r="B8236" s="30" t="s">
        <v>19024</v>
      </c>
      <c r="C8236" s="30" t="s">
        <v>2484</v>
      </c>
      <c r="D8236" s="30" t="s">
        <v>17</v>
      </c>
      <c r="E8236" s="30" t="s">
        <v>26</v>
      </c>
      <c r="F8236" s="30" t="s">
        <v>27</v>
      </c>
      <c r="G8236" s="30" t="s">
        <v>112</v>
      </c>
      <c r="H8236" s="32">
        <v>0</v>
      </c>
      <c r="I8236" s="30" t="s">
        <v>21</v>
      </c>
      <c r="J8236" s="41">
        <v>44390</v>
      </c>
      <c r="K8236" s="30" t="s">
        <v>22</v>
      </c>
    </row>
    <row r="8237" spans="1:11">
      <c r="A8237" s="33" t="s">
        <v>19025</v>
      </c>
      <c r="B8237" s="33" t="s">
        <v>19026</v>
      </c>
      <c r="C8237" s="33" t="s">
        <v>190</v>
      </c>
      <c r="D8237" s="33" t="s">
        <v>17</v>
      </c>
      <c r="E8237" s="33" t="s">
        <v>31</v>
      </c>
      <c r="F8237" s="33" t="s">
        <v>32</v>
      </c>
      <c r="G8237" s="33" t="s">
        <v>20</v>
      </c>
      <c r="H8237" s="35">
        <v>272</v>
      </c>
      <c r="I8237" s="33" t="s">
        <v>21</v>
      </c>
      <c r="J8237" s="42">
        <v>44533</v>
      </c>
      <c r="K8237" s="33" t="s">
        <v>22</v>
      </c>
    </row>
    <row r="8238" spans="1:11">
      <c r="A8238" s="30" t="s">
        <v>19027</v>
      </c>
      <c r="B8238" s="30" t="s">
        <v>19028</v>
      </c>
      <c r="C8238" s="30" t="s">
        <v>2728</v>
      </c>
      <c r="D8238" s="30" t="s">
        <v>17</v>
      </c>
      <c r="E8238" s="30" t="s">
        <v>31</v>
      </c>
      <c r="F8238" s="30" t="s">
        <v>32</v>
      </c>
      <c r="G8238" s="30" t="s">
        <v>106</v>
      </c>
      <c r="H8238" s="32">
        <v>114</v>
      </c>
      <c r="I8238" s="30" t="s">
        <v>21</v>
      </c>
      <c r="J8238" s="41">
        <v>44259</v>
      </c>
      <c r="K8238" s="30" t="s">
        <v>22</v>
      </c>
    </row>
    <row r="8239" spans="1:11">
      <c r="A8239" s="33" t="s">
        <v>19029</v>
      </c>
      <c r="B8239" s="33" t="s">
        <v>19030</v>
      </c>
      <c r="C8239" s="33" t="s">
        <v>19031</v>
      </c>
      <c r="D8239" s="33" t="s">
        <v>17</v>
      </c>
      <c r="E8239" s="33" t="s">
        <v>67</v>
      </c>
      <c r="F8239" s="33" t="s">
        <v>68</v>
      </c>
      <c r="G8239" s="33" t="s">
        <v>106</v>
      </c>
      <c r="H8239" s="35">
        <v>5</v>
      </c>
      <c r="I8239" s="33" t="s">
        <v>21</v>
      </c>
      <c r="J8239" s="42">
        <v>44327</v>
      </c>
      <c r="K8239" s="33" t="s">
        <v>22</v>
      </c>
    </row>
    <row r="8240" spans="1:11">
      <c r="A8240" s="30" t="s">
        <v>19032</v>
      </c>
      <c r="B8240" s="30" t="s">
        <v>19033</v>
      </c>
      <c r="C8240" s="30" t="s">
        <v>2054</v>
      </c>
      <c r="D8240" s="30" t="s">
        <v>17</v>
      </c>
      <c r="E8240" s="30" t="s">
        <v>31</v>
      </c>
      <c r="F8240" s="30" t="s">
        <v>32</v>
      </c>
      <c r="G8240" s="30" t="s">
        <v>158</v>
      </c>
      <c r="H8240" s="32">
        <v>13</v>
      </c>
      <c r="I8240" s="30" t="s">
        <v>21</v>
      </c>
      <c r="J8240" s="41">
        <v>44328</v>
      </c>
      <c r="K8240" s="30" t="s">
        <v>22</v>
      </c>
    </row>
    <row r="8241" spans="1:11">
      <c r="A8241" s="33" t="s">
        <v>19034</v>
      </c>
      <c r="B8241" s="33" t="s">
        <v>19035</v>
      </c>
      <c r="C8241" s="33" t="s">
        <v>647</v>
      </c>
      <c r="D8241" s="33" t="s">
        <v>17</v>
      </c>
      <c r="E8241" s="33" t="s">
        <v>31</v>
      </c>
      <c r="F8241" s="33" t="s">
        <v>32</v>
      </c>
      <c r="G8241" s="33" t="s">
        <v>20</v>
      </c>
      <c r="H8241" s="35">
        <v>255</v>
      </c>
      <c r="I8241" s="33" t="s">
        <v>21</v>
      </c>
      <c r="J8241" s="42">
        <v>44306</v>
      </c>
      <c r="K8241" s="33" t="s">
        <v>22</v>
      </c>
    </row>
    <row r="8242" spans="1:11">
      <c r="A8242" s="30" t="s">
        <v>19036</v>
      </c>
      <c r="B8242" s="30" t="s">
        <v>19037</v>
      </c>
      <c r="C8242" s="30" t="s">
        <v>3167</v>
      </c>
      <c r="D8242" s="30" t="s">
        <v>17</v>
      </c>
      <c r="E8242" s="30" t="s">
        <v>26</v>
      </c>
      <c r="F8242" s="30" t="s">
        <v>27</v>
      </c>
      <c r="G8242" s="30" t="s">
        <v>50</v>
      </c>
      <c r="H8242" s="32">
        <v>6</v>
      </c>
      <c r="I8242" s="30" t="s">
        <v>51</v>
      </c>
      <c r="J8242" s="41">
        <v>44440</v>
      </c>
      <c r="K8242" s="30" t="s">
        <v>22</v>
      </c>
    </row>
    <row r="8243" spans="1:11">
      <c r="A8243" s="33" t="s">
        <v>19038</v>
      </c>
      <c r="B8243" s="33" t="s">
        <v>19039</v>
      </c>
      <c r="C8243" s="33" t="s">
        <v>910</v>
      </c>
      <c r="D8243" s="33" t="s">
        <v>17</v>
      </c>
      <c r="E8243" s="33" t="s">
        <v>45</v>
      </c>
      <c r="F8243" s="33" t="s">
        <v>46</v>
      </c>
      <c r="G8243" s="33" t="s">
        <v>50</v>
      </c>
      <c r="H8243" s="35">
        <v>366</v>
      </c>
      <c r="I8243" s="33" t="s">
        <v>51</v>
      </c>
      <c r="J8243" s="42">
        <v>44256</v>
      </c>
      <c r="K8243" s="33" t="s">
        <v>22</v>
      </c>
    </row>
    <row r="8244" spans="1:11">
      <c r="A8244" s="30" t="s">
        <v>19040</v>
      </c>
      <c r="B8244" s="30" t="s">
        <v>19041</v>
      </c>
      <c r="C8244" s="30" t="s">
        <v>15650</v>
      </c>
      <c r="D8244" s="30" t="s">
        <v>17</v>
      </c>
      <c r="E8244" s="30" t="s">
        <v>26</v>
      </c>
      <c r="F8244" s="30" t="s">
        <v>27</v>
      </c>
      <c r="G8244" s="30" t="s">
        <v>20</v>
      </c>
      <c r="H8244" s="32">
        <v>129</v>
      </c>
      <c r="I8244" s="30" t="s">
        <v>21</v>
      </c>
      <c r="J8244" s="41">
        <v>44315</v>
      </c>
      <c r="K8244" s="30" t="s">
        <v>22</v>
      </c>
    </row>
    <row r="8245" spans="1:11">
      <c r="A8245" s="33" t="s">
        <v>19042</v>
      </c>
      <c r="B8245" s="33" t="s">
        <v>19043</v>
      </c>
      <c r="C8245" s="33" t="s">
        <v>18337</v>
      </c>
      <c r="D8245" s="33" t="s">
        <v>17</v>
      </c>
      <c r="E8245" s="33" t="s">
        <v>45</v>
      </c>
      <c r="F8245" s="33" t="s">
        <v>46</v>
      </c>
      <c r="G8245" s="33" t="s">
        <v>50</v>
      </c>
      <c r="H8245" s="35">
        <v>190</v>
      </c>
      <c r="I8245" s="33" t="s">
        <v>51</v>
      </c>
      <c r="J8245" s="42">
        <v>44348</v>
      </c>
      <c r="K8245" s="33" t="s">
        <v>22</v>
      </c>
    </row>
    <row r="8246" spans="1:11">
      <c r="A8246" s="30" t="s">
        <v>19044</v>
      </c>
      <c r="B8246" s="30" t="s">
        <v>19045</v>
      </c>
      <c r="C8246" s="30" t="s">
        <v>1318</v>
      </c>
      <c r="D8246" s="30" t="s">
        <v>17</v>
      </c>
      <c r="E8246" s="30" t="s">
        <v>67</v>
      </c>
      <c r="F8246" s="30" t="s">
        <v>68</v>
      </c>
      <c r="G8246" s="30" t="s">
        <v>20</v>
      </c>
      <c r="H8246" s="32">
        <v>422</v>
      </c>
      <c r="I8246" s="30" t="s">
        <v>21</v>
      </c>
      <c r="J8246" s="41">
        <v>44406</v>
      </c>
      <c r="K8246" s="30" t="s">
        <v>22</v>
      </c>
    </row>
    <row r="8247" spans="1:11">
      <c r="A8247" s="33" t="s">
        <v>19046</v>
      </c>
      <c r="B8247" s="33" t="s">
        <v>19047</v>
      </c>
      <c r="C8247" s="33" t="s">
        <v>387</v>
      </c>
      <c r="D8247" s="33" t="s">
        <v>17</v>
      </c>
      <c r="E8247" s="33" t="s">
        <v>26</v>
      </c>
      <c r="F8247" s="33" t="s">
        <v>27</v>
      </c>
      <c r="G8247" s="33" t="s">
        <v>20</v>
      </c>
      <c r="H8247" s="35">
        <v>16</v>
      </c>
      <c r="I8247" s="33" t="s">
        <v>21</v>
      </c>
      <c r="J8247" s="42">
        <v>44431</v>
      </c>
      <c r="K8247" s="33" t="s">
        <v>22</v>
      </c>
    </row>
    <row r="8248" spans="1:11">
      <c r="A8248" s="30" t="s">
        <v>19048</v>
      </c>
      <c r="B8248" s="30" t="s">
        <v>19049</v>
      </c>
      <c r="C8248" s="30" t="s">
        <v>2029</v>
      </c>
      <c r="D8248" s="30" t="s">
        <v>17</v>
      </c>
      <c r="E8248" s="30" t="s">
        <v>31</v>
      </c>
      <c r="F8248" s="30" t="s">
        <v>32</v>
      </c>
      <c r="G8248" s="30" t="s">
        <v>106</v>
      </c>
      <c r="H8248" s="32">
        <v>79</v>
      </c>
      <c r="I8248" s="30" t="s">
        <v>21</v>
      </c>
      <c r="J8248" s="41">
        <v>44469</v>
      </c>
      <c r="K8248" s="30" t="s">
        <v>22</v>
      </c>
    </row>
    <row r="8249" spans="1:11">
      <c r="A8249" s="33" t="s">
        <v>19050</v>
      </c>
      <c r="B8249" s="33" t="s">
        <v>19051</v>
      </c>
      <c r="C8249" s="33" t="s">
        <v>2392</v>
      </c>
      <c r="D8249" s="33" t="s">
        <v>17</v>
      </c>
      <c r="E8249" s="33" t="s">
        <v>26</v>
      </c>
      <c r="F8249" s="33" t="s">
        <v>27</v>
      </c>
      <c r="G8249" s="33" t="s">
        <v>20</v>
      </c>
      <c r="H8249" s="35">
        <v>50</v>
      </c>
      <c r="I8249" s="33" t="s">
        <v>21</v>
      </c>
      <c r="J8249" s="42">
        <v>44237</v>
      </c>
      <c r="K8249" s="33" t="s">
        <v>22</v>
      </c>
    </row>
    <row r="8250" spans="1:11">
      <c r="A8250" s="30" t="s">
        <v>19052</v>
      </c>
      <c r="B8250" s="30" t="s">
        <v>19053</v>
      </c>
      <c r="C8250" s="30" t="s">
        <v>318</v>
      </c>
      <c r="D8250" s="30" t="s">
        <v>17</v>
      </c>
      <c r="E8250" s="30" t="s">
        <v>31</v>
      </c>
      <c r="F8250" s="30" t="s">
        <v>32</v>
      </c>
      <c r="G8250" s="30" t="s">
        <v>106</v>
      </c>
      <c r="H8250" s="32">
        <v>168</v>
      </c>
      <c r="I8250" s="30" t="s">
        <v>21</v>
      </c>
      <c r="J8250" s="41">
        <v>44322</v>
      </c>
      <c r="K8250" s="30" t="s">
        <v>22</v>
      </c>
    </row>
    <row r="8251" spans="1:11">
      <c r="A8251" s="33" t="s">
        <v>19054</v>
      </c>
      <c r="B8251" s="33" t="s">
        <v>19055</v>
      </c>
      <c r="C8251" s="33" t="s">
        <v>19056</v>
      </c>
      <c r="D8251" s="33" t="s">
        <v>17</v>
      </c>
      <c r="E8251" s="33" t="s">
        <v>26</v>
      </c>
      <c r="F8251" s="33" t="s">
        <v>27</v>
      </c>
      <c r="G8251" s="33" t="s">
        <v>140</v>
      </c>
      <c r="H8251" s="35">
        <v>57</v>
      </c>
      <c r="I8251" s="33" t="s">
        <v>51</v>
      </c>
      <c r="J8251" s="42">
        <v>44487</v>
      </c>
      <c r="K8251" s="33" t="s">
        <v>22</v>
      </c>
    </row>
    <row r="8252" spans="1:11">
      <c r="A8252" s="30" t="s">
        <v>19057</v>
      </c>
      <c r="B8252" s="30" t="s">
        <v>19058</v>
      </c>
      <c r="C8252" s="30" t="s">
        <v>149</v>
      </c>
      <c r="D8252" s="30" t="s">
        <v>17</v>
      </c>
      <c r="E8252" s="30" t="s">
        <v>18</v>
      </c>
      <c r="F8252" s="30" t="s">
        <v>19</v>
      </c>
      <c r="G8252" s="30" t="s">
        <v>50</v>
      </c>
      <c r="H8252" s="32">
        <v>174</v>
      </c>
      <c r="I8252" s="30" t="s">
        <v>21</v>
      </c>
      <c r="J8252" s="41">
        <v>44536</v>
      </c>
      <c r="K8252" s="30" t="s">
        <v>22</v>
      </c>
    </row>
    <row r="8253" spans="1:11">
      <c r="A8253" s="33" t="s">
        <v>19059</v>
      </c>
      <c r="B8253" s="33" t="s">
        <v>19060</v>
      </c>
      <c r="C8253" s="33" t="s">
        <v>1003</v>
      </c>
      <c r="D8253" s="33" t="s">
        <v>17</v>
      </c>
      <c r="E8253" s="33" t="s">
        <v>67</v>
      </c>
      <c r="F8253" s="33" t="s">
        <v>68</v>
      </c>
      <c r="G8253" s="33" t="s">
        <v>106</v>
      </c>
      <c r="H8253" s="35">
        <v>1</v>
      </c>
      <c r="I8253" s="33" t="s">
        <v>21</v>
      </c>
      <c r="J8253" s="42">
        <v>44469</v>
      </c>
      <c r="K8253" s="33" t="s">
        <v>22</v>
      </c>
    </row>
    <row r="8254" spans="1:11">
      <c r="A8254" s="30" t="s">
        <v>19061</v>
      </c>
      <c r="B8254" s="30" t="s">
        <v>19062</v>
      </c>
      <c r="C8254" s="30" t="s">
        <v>19063</v>
      </c>
      <c r="D8254" s="30" t="s">
        <v>17</v>
      </c>
      <c r="E8254" s="30" t="s">
        <v>212</v>
      </c>
      <c r="F8254" s="30" t="s">
        <v>213</v>
      </c>
      <c r="G8254" s="30" t="s">
        <v>140</v>
      </c>
      <c r="H8254" s="32">
        <v>20</v>
      </c>
      <c r="I8254" s="30" t="s">
        <v>51</v>
      </c>
      <c r="J8254" s="41">
        <v>44200</v>
      </c>
      <c r="K8254" s="30" t="s">
        <v>22</v>
      </c>
    </row>
    <row r="8255" spans="1:11">
      <c r="A8255" s="33" t="s">
        <v>19064</v>
      </c>
      <c r="B8255" s="33" t="s">
        <v>19065</v>
      </c>
      <c r="C8255" s="33" t="s">
        <v>57</v>
      </c>
      <c r="D8255" s="33" t="s">
        <v>17</v>
      </c>
      <c r="E8255" s="33" t="s">
        <v>26</v>
      </c>
      <c r="F8255" s="33" t="s">
        <v>27</v>
      </c>
      <c r="G8255" s="33" t="s">
        <v>50</v>
      </c>
      <c r="H8255" s="35">
        <v>64</v>
      </c>
      <c r="I8255" s="33" t="s">
        <v>51</v>
      </c>
      <c r="J8255" s="42">
        <v>44268</v>
      </c>
      <c r="K8255" s="33" t="s">
        <v>22</v>
      </c>
    </row>
    <row r="8256" spans="1:11">
      <c r="A8256" s="30" t="s">
        <v>19066</v>
      </c>
      <c r="B8256" s="30" t="s">
        <v>19067</v>
      </c>
      <c r="C8256" s="30" t="s">
        <v>19068</v>
      </c>
      <c r="D8256" s="30" t="s">
        <v>17</v>
      </c>
      <c r="E8256" s="30" t="s">
        <v>67</v>
      </c>
      <c r="F8256" s="30" t="s">
        <v>68</v>
      </c>
      <c r="G8256" s="30" t="s">
        <v>69</v>
      </c>
      <c r="H8256" s="32">
        <v>60</v>
      </c>
      <c r="I8256" s="30" t="s">
        <v>51</v>
      </c>
      <c r="J8256" s="41">
        <v>44312</v>
      </c>
      <c r="K8256" s="30" t="s">
        <v>22</v>
      </c>
    </row>
    <row r="8257" spans="1:11">
      <c r="A8257" s="33" t="s">
        <v>19069</v>
      </c>
      <c r="B8257" s="33" t="s">
        <v>19070</v>
      </c>
      <c r="C8257" s="33" t="s">
        <v>118</v>
      </c>
      <c r="D8257" s="33" t="s">
        <v>17</v>
      </c>
      <c r="E8257" s="33" t="s">
        <v>26</v>
      </c>
      <c r="F8257" s="33" t="s">
        <v>27</v>
      </c>
      <c r="G8257" s="33" t="s">
        <v>106</v>
      </c>
      <c r="H8257" s="35">
        <v>5</v>
      </c>
      <c r="I8257" s="33" t="s">
        <v>21</v>
      </c>
      <c r="J8257" s="42">
        <v>44293</v>
      </c>
      <c r="K8257" s="33" t="s">
        <v>22</v>
      </c>
    </row>
    <row r="8258" spans="1:11">
      <c r="A8258" s="30" t="s">
        <v>19071</v>
      </c>
      <c r="B8258" s="30" t="s">
        <v>19072</v>
      </c>
      <c r="C8258" s="30" t="s">
        <v>19073</v>
      </c>
      <c r="D8258" s="30" t="s">
        <v>17</v>
      </c>
      <c r="E8258" s="30" t="s">
        <v>31</v>
      </c>
      <c r="F8258" s="30" t="s">
        <v>32</v>
      </c>
      <c r="G8258" s="30" t="s">
        <v>158</v>
      </c>
      <c r="H8258" s="32">
        <v>136</v>
      </c>
      <c r="I8258" s="30" t="s">
        <v>51</v>
      </c>
      <c r="J8258" s="41">
        <v>44482</v>
      </c>
      <c r="K8258" s="30" t="s">
        <v>22</v>
      </c>
    </row>
    <row r="8259" spans="1:11">
      <c r="A8259" s="33" t="s">
        <v>19074</v>
      </c>
      <c r="B8259" s="33" t="s">
        <v>19075</v>
      </c>
      <c r="C8259" s="33" t="s">
        <v>19076</v>
      </c>
      <c r="D8259" s="33" t="s">
        <v>17</v>
      </c>
      <c r="E8259" s="33" t="s">
        <v>212</v>
      </c>
      <c r="F8259" s="33" t="s">
        <v>213</v>
      </c>
      <c r="G8259" s="33" t="s">
        <v>20</v>
      </c>
      <c r="H8259" s="35">
        <v>122</v>
      </c>
      <c r="I8259" s="33" t="s">
        <v>21</v>
      </c>
      <c r="J8259" s="42">
        <v>44197</v>
      </c>
      <c r="K8259" s="33" t="s">
        <v>22</v>
      </c>
    </row>
    <row r="8260" spans="1:11">
      <c r="A8260" s="30" t="s">
        <v>19077</v>
      </c>
      <c r="B8260" s="30" t="s">
        <v>19078</v>
      </c>
      <c r="C8260" s="30" t="s">
        <v>318</v>
      </c>
      <c r="D8260" s="30" t="s">
        <v>17</v>
      </c>
      <c r="E8260" s="30" t="s">
        <v>212</v>
      </c>
      <c r="F8260" s="30" t="s">
        <v>213</v>
      </c>
      <c r="G8260" s="30" t="s">
        <v>20</v>
      </c>
      <c r="H8260" s="32">
        <v>313</v>
      </c>
      <c r="I8260" s="30" t="s">
        <v>21</v>
      </c>
      <c r="J8260" s="41">
        <v>44455</v>
      </c>
      <c r="K8260" s="30" t="s">
        <v>22</v>
      </c>
    </row>
    <row r="8261" spans="1:11">
      <c r="A8261" s="33" t="s">
        <v>19079</v>
      </c>
      <c r="B8261" s="33" t="s">
        <v>19080</v>
      </c>
      <c r="C8261" s="33" t="s">
        <v>2490</v>
      </c>
      <c r="D8261" s="33" t="s">
        <v>17</v>
      </c>
      <c r="E8261" s="33" t="s">
        <v>26</v>
      </c>
      <c r="F8261" s="33" t="s">
        <v>27</v>
      </c>
      <c r="G8261" s="33" t="s">
        <v>20</v>
      </c>
      <c r="H8261" s="35">
        <v>23</v>
      </c>
      <c r="I8261" s="33" t="s">
        <v>21</v>
      </c>
      <c r="J8261" s="42">
        <v>44508</v>
      </c>
      <c r="K8261" s="33" t="s">
        <v>22</v>
      </c>
    </row>
    <row r="8262" spans="1:11">
      <c r="A8262" s="30" t="s">
        <v>19081</v>
      </c>
      <c r="B8262" s="30" t="s">
        <v>19082</v>
      </c>
      <c r="C8262" s="30" t="s">
        <v>102</v>
      </c>
      <c r="D8262" s="30" t="s">
        <v>17</v>
      </c>
      <c r="E8262" s="30" t="s">
        <v>26</v>
      </c>
      <c r="F8262" s="30" t="s">
        <v>27</v>
      </c>
      <c r="G8262" s="30" t="s">
        <v>20</v>
      </c>
      <c r="H8262" s="32">
        <v>89</v>
      </c>
      <c r="I8262" s="30" t="s">
        <v>21</v>
      </c>
      <c r="J8262" s="41">
        <v>44341</v>
      </c>
      <c r="K8262" s="30" t="s">
        <v>22</v>
      </c>
    </row>
    <row r="8263" spans="1:11">
      <c r="A8263" s="33" t="s">
        <v>19083</v>
      </c>
      <c r="B8263" s="33" t="s">
        <v>19084</v>
      </c>
      <c r="C8263" s="33" t="s">
        <v>10974</v>
      </c>
      <c r="D8263" s="33" t="s">
        <v>17</v>
      </c>
      <c r="E8263" s="33" t="s">
        <v>18</v>
      </c>
      <c r="F8263" s="33" t="s">
        <v>19</v>
      </c>
      <c r="G8263" s="33" t="s">
        <v>106</v>
      </c>
      <c r="H8263" s="35">
        <v>10</v>
      </c>
      <c r="I8263" s="33" t="s">
        <v>21</v>
      </c>
      <c r="J8263" s="42">
        <v>44216</v>
      </c>
      <c r="K8263" s="33" t="s">
        <v>22</v>
      </c>
    </row>
    <row r="8264" spans="1:11">
      <c r="A8264" s="30" t="s">
        <v>19085</v>
      </c>
      <c r="B8264" s="30" t="s">
        <v>19086</v>
      </c>
      <c r="C8264" s="30" t="s">
        <v>3098</v>
      </c>
      <c r="D8264" s="30" t="s">
        <v>17</v>
      </c>
      <c r="E8264" s="30" t="s">
        <v>26</v>
      </c>
      <c r="F8264" s="30" t="s">
        <v>27</v>
      </c>
      <c r="G8264" s="30" t="s">
        <v>20</v>
      </c>
      <c r="H8264" s="32">
        <v>46</v>
      </c>
      <c r="I8264" s="30" t="s">
        <v>21</v>
      </c>
      <c r="J8264" s="41">
        <v>44227</v>
      </c>
      <c r="K8264" s="30" t="s">
        <v>22</v>
      </c>
    </row>
    <row r="8265" spans="1:11">
      <c r="A8265" s="33" t="s">
        <v>19087</v>
      </c>
      <c r="B8265" s="33" t="s">
        <v>19088</v>
      </c>
      <c r="C8265" s="33" t="s">
        <v>16107</v>
      </c>
      <c r="D8265" s="33" t="s">
        <v>17</v>
      </c>
      <c r="E8265" s="33" t="s">
        <v>31</v>
      </c>
      <c r="F8265" s="33" t="s">
        <v>32</v>
      </c>
      <c r="G8265" s="33" t="s">
        <v>20</v>
      </c>
      <c r="H8265" s="35">
        <v>216</v>
      </c>
      <c r="I8265" s="33" t="s">
        <v>21</v>
      </c>
      <c r="J8265" s="42">
        <v>44474</v>
      </c>
      <c r="K8265" s="33" t="s">
        <v>22</v>
      </c>
    </row>
    <row r="8266" spans="1:11">
      <c r="A8266" s="30" t="s">
        <v>19089</v>
      </c>
      <c r="B8266" s="30" t="s">
        <v>19090</v>
      </c>
      <c r="C8266" s="30" t="s">
        <v>1661</v>
      </c>
      <c r="D8266" s="30" t="s">
        <v>17</v>
      </c>
      <c r="E8266" s="30" t="s">
        <v>31</v>
      </c>
      <c r="F8266" s="30" t="s">
        <v>32</v>
      </c>
      <c r="G8266" s="30" t="s">
        <v>20</v>
      </c>
      <c r="H8266" s="32">
        <v>60</v>
      </c>
      <c r="I8266" s="30" t="s">
        <v>21</v>
      </c>
      <c r="J8266" s="41">
        <v>44267</v>
      </c>
      <c r="K8266" s="30" t="s">
        <v>22</v>
      </c>
    </row>
    <row r="8267" spans="1:11">
      <c r="A8267" s="33" t="s">
        <v>19091</v>
      </c>
      <c r="B8267" s="33" t="s">
        <v>19092</v>
      </c>
      <c r="C8267" s="33" t="s">
        <v>252</v>
      </c>
      <c r="D8267" s="33" t="s">
        <v>17</v>
      </c>
      <c r="E8267" s="33" t="s">
        <v>31</v>
      </c>
      <c r="F8267" s="33" t="s">
        <v>32</v>
      </c>
      <c r="G8267" s="33" t="s">
        <v>20</v>
      </c>
      <c r="H8267" s="35">
        <v>251</v>
      </c>
      <c r="I8267" s="33" t="s">
        <v>21</v>
      </c>
      <c r="J8267" s="42">
        <v>44314</v>
      </c>
      <c r="K8267" s="33" t="s">
        <v>22</v>
      </c>
    </row>
    <row r="8268" spans="1:11">
      <c r="A8268" s="30" t="s">
        <v>19093</v>
      </c>
      <c r="B8268" s="30" t="s">
        <v>19094</v>
      </c>
      <c r="C8268" s="30" t="s">
        <v>19095</v>
      </c>
      <c r="D8268" s="30" t="s">
        <v>17</v>
      </c>
      <c r="E8268" s="30" t="s">
        <v>26</v>
      </c>
      <c r="F8268" s="30" t="s">
        <v>27</v>
      </c>
      <c r="G8268" s="30" t="s">
        <v>50</v>
      </c>
      <c r="H8268" s="32">
        <v>50</v>
      </c>
      <c r="I8268" s="30" t="s">
        <v>51</v>
      </c>
      <c r="J8268" s="41">
        <v>44452</v>
      </c>
      <c r="K8268" s="30" t="s">
        <v>22</v>
      </c>
    </row>
    <row r="8269" spans="1:11">
      <c r="A8269" s="33" t="s">
        <v>19096</v>
      </c>
      <c r="B8269" s="33" t="s">
        <v>19097</v>
      </c>
      <c r="C8269" s="33" t="s">
        <v>969</v>
      </c>
      <c r="D8269" s="33" t="s">
        <v>17</v>
      </c>
      <c r="E8269" s="33" t="s">
        <v>26</v>
      </c>
      <c r="F8269" s="33" t="s">
        <v>27</v>
      </c>
      <c r="G8269" s="33" t="s">
        <v>20</v>
      </c>
      <c r="H8269" s="35">
        <v>34</v>
      </c>
      <c r="I8269" s="33" t="s">
        <v>21</v>
      </c>
      <c r="J8269" s="42">
        <v>44518</v>
      </c>
      <c r="K8269" s="33" t="s">
        <v>22</v>
      </c>
    </row>
    <row r="8270" spans="1:11">
      <c r="A8270" s="30" t="s">
        <v>19098</v>
      </c>
      <c r="B8270" s="30" t="s">
        <v>19099</v>
      </c>
      <c r="C8270" s="30" t="s">
        <v>19068</v>
      </c>
      <c r="D8270" s="30" t="s">
        <v>17</v>
      </c>
      <c r="E8270" s="30" t="s">
        <v>67</v>
      </c>
      <c r="F8270" s="30" t="s">
        <v>68</v>
      </c>
      <c r="G8270" s="30" t="s">
        <v>20</v>
      </c>
      <c r="H8270" s="32">
        <v>150</v>
      </c>
      <c r="I8270" s="30" t="s">
        <v>21</v>
      </c>
      <c r="J8270" s="41">
        <v>44322</v>
      </c>
      <c r="K8270" s="30" t="s">
        <v>22</v>
      </c>
    </row>
    <row r="8271" spans="1:11">
      <c r="A8271" s="33" t="s">
        <v>19100</v>
      </c>
      <c r="B8271" s="33" t="s">
        <v>19101</v>
      </c>
      <c r="C8271" s="33" t="s">
        <v>96</v>
      </c>
      <c r="D8271" s="33" t="s">
        <v>17</v>
      </c>
      <c r="E8271" s="33" t="s">
        <v>26</v>
      </c>
      <c r="F8271" s="33" t="s">
        <v>27</v>
      </c>
      <c r="G8271" s="33" t="s">
        <v>20</v>
      </c>
      <c r="H8271" s="35">
        <v>12</v>
      </c>
      <c r="I8271" s="33" t="s">
        <v>21</v>
      </c>
      <c r="J8271" s="42">
        <v>44428</v>
      </c>
      <c r="K8271" s="33" t="s">
        <v>22</v>
      </c>
    </row>
    <row r="8272" spans="1:11">
      <c r="A8272" s="30" t="s">
        <v>19102</v>
      </c>
      <c r="B8272" s="30" t="s">
        <v>19103</v>
      </c>
      <c r="C8272" s="30" t="s">
        <v>149</v>
      </c>
      <c r="D8272" s="30" t="s">
        <v>17</v>
      </c>
      <c r="E8272" s="30" t="s">
        <v>26</v>
      </c>
      <c r="F8272" s="30" t="s">
        <v>27</v>
      </c>
      <c r="G8272" s="30" t="s">
        <v>50</v>
      </c>
      <c r="H8272" s="32">
        <v>36</v>
      </c>
      <c r="I8272" s="30" t="s">
        <v>51</v>
      </c>
      <c r="J8272" s="41">
        <v>44272</v>
      </c>
      <c r="K8272" s="30" t="s">
        <v>22</v>
      </c>
    </row>
    <row r="8273" spans="1:11">
      <c r="A8273" s="33" t="s">
        <v>19104</v>
      </c>
      <c r="B8273" s="33" t="s">
        <v>19105</v>
      </c>
      <c r="C8273" s="33" t="s">
        <v>16776</v>
      </c>
      <c r="D8273" s="33" t="s">
        <v>17</v>
      </c>
      <c r="E8273" s="33" t="s">
        <v>26</v>
      </c>
      <c r="F8273" s="33" t="s">
        <v>27</v>
      </c>
      <c r="G8273" s="33" t="s">
        <v>50</v>
      </c>
      <c r="H8273" s="35">
        <v>42</v>
      </c>
      <c r="I8273" s="33" t="s">
        <v>51</v>
      </c>
      <c r="J8273" s="42">
        <v>44363</v>
      </c>
      <c r="K8273" s="33" t="s">
        <v>22</v>
      </c>
    </row>
    <row r="8274" spans="1:11">
      <c r="A8274" s="30" t="s">
        <v>19106</v>
      </c>
      <c r="B8274" s="30" t="s">
        <v>19107</v>
      </c>
      <c r="C8274" s="30" t="s">
        <v>10661</v>
      </c>
      <c r="D8274" s="30" t="s">
        <v>17</v>
      </c>
      <c r="E8274" s="30" t="s">
        <v>31</v>
      </c>
      <c r="F8274" s="30" t="s">
        <v>32</v>
      </c>
      <c r="G8274" s="30" t="s">
        <v>20</v>
      </c>
      <c r="H8274" s="32">
        <v>38</v>
      </c>
      <c r="I8274" s="30" t="s">
        <v>21</v>
      </c>
      <c r="J8274" s="41">
        <v>44358</v>
      </c>
      <c r="K8274" s="30" t="s">
        <v>22</v>
      </c>
    </row>
    <row r="8275" spans="1:11">
      <c r="A8275" s="33" t="s">
        <v>19108</v>
      </c>
      <c r="B8275" s="33" t="s">
        <v>19109</v>
      </c>
      <c r="C8275" s="33" t="s">
        <v>231</v>
      </c>
      <c r="D8275" s="33" t="s">
        <v>17</v>
      </c>
      <c r="E8275" s="33" t="s">
        <v>31</v>
      </c>
      <c r="F8275" s="33" t="s">
        <v>32</v>
      </c>
      <c r="G8275" s="33" t="s">
        <v>106</v>
      </c>
      <c r="H8275" s="35">
        <v>49</v>
      </c>
      <c r="I8275" s="33" t="s">
        <v>21</v>
      </c>
      <c r="J8275" s="42">
        <v>44532</v>
      </c>
      <c r="K8275" s="33" t="s">
        <v>22</v>
      </c>
    </row>
    <row r="8276" spans="1:11">
      <c r="A8276" s="30" t="s">
        <v>19110</v>
      </c>
      <c r="B8276" s="30" t="s">
        <v>19111</v>
      </c>
      <c r="C8276" s="30" t="s">
        <v>11899</v>
      </c>
      <c r="D8276" s="30" t="s">
        <v>17</v>
      </c>
      <c r="E8276" s="30" t="s">
        <v>26</v>
      </c>
      <c r="F8276" s="30" t="s">
        <v>27</v>
      </c>
      <c r="G8276" s="30" t="s">
        <v>50</v>
      </c>
      <c r="H8276" s="32">
        <v>156</v>
      </c>
      <c r="I8276" s="30" t="s">
        <v>51</v>
      </c>
      <c r="J8276" s="41">
        <v>44561</v>
      </c>
      <c r="K8276" s="30" t="s">
        <v>22</v>
      </c>
    </row>
    <row r="8277" spans="1:11">
      <c r="A8277" s="33" t="s">
        <v>19112</v>
      </c>
      <c r="B8277" s="33" t="s">
        <v>19113</v>
      </c>
      <c r="C8277" s="33" t="s">
        <v>203</v>
      </c>
      <c r="D8277" s="33" t="s">
        <v>17</v>
      </c>
      <c r="E8277" s="33" t="s">
        <v>26</v>
      </c>
      <c r="F8277" s="33" t="s">
        <v>27</v>
      </c>
      <c r="G8277" s="33" t="s">
        <v>20</v>
      </c>
      <c r="H8277" s="35">
        <v>90</v>
      </c>
      <c r="I8277" s="33" t="s">
        <v>21</v>
      </c>
      <c r="J8277" s="42">
        <v>44455</v>
      </c>
      <c r="K8277" s="33" t="s">
        <v>22</v>
      </c>
    </row>
    <row r="8278" spans="1:11">
      <c r="A8278" s="30" t="s">
        <v>19114</v>
      </c>
      <c r="B8278" s="30" t="s">
        <v>19115</v>
      </c>
      <c r="C8278" s="30" t="s">
        <v>19116</v>
      </c>
      <c r="D8278" s="30" t="s">
        <v>17</v>
      </c>
      <c r="E8278" s="30" t="s">
        <v>31</v>
      </c>
      <c r="F8278" s="30" t="s">
        <v>32</v>
      </c>
      <c r="G8278" s="30" t="s">
        <v>50</v>
      </c>
      <c r="H8278" s="32">
        <v>240</v>
      </c>
      <c r="I8278" s="30" t="s">
        <v>21</v>
      </c>
      <c r="J8278" s="41">
        <v>44439</v>
      </c>
      <c r="K8278" s="30" t="s">
        <v>22</v>
      </c>
    </row>
    <row r="8279" spans="1:11">
      <c r="A8279" s="33" t="s">
        <v>19117</v>
      </c>
      <c r="B8279" s="33" t="s">
        <v>19118</v>
      </c>
      <c r="C8279" s="33" t="s">
        <v>10546</v>
      </c>
      <c r="D8279" s="33" t="s">
        <v>17</v>
      </c>
      <c r="E8279" s="33" t="s">
        <v>26</v>
      </c>
      <c r="F8279" s="33" t="s">
        <v>27</v>
      </c>
      <c r="G8279" s="33" t="s">
        <v>140</v>
      </c>
      <c r="H8279" s="35">
        <v>30</v>
      </c>
      <c r="I8279" s="33" t="s">
        <v>51</v>
      </c>
      <c r="J8279" s="42">
        <v>44549</v>
      </c>
      <c r="K8279" s="33" t="s">
        <v>22</v>
      </c>
    </row>
    <row r="8280" spans="1:11">
      <c r="A8280" s="30" t="s">
        <v>19119</v>
      </c>
      <c r="B8280" s="30" t="s">
        <v>19120</v>
      </c>
      <c r="C8280" s="30" t="s">
        <v>19121</v>
      </c>
      <c r="D8280" s="30" t="s">
        <v>17</v>
      </c>
      <c r="E8280" s="30" t="s">
        <v>18</v>
      </c>
      <c r="F8280" s="30" t="s">
        <v>19</v>
      </c>
      <c r="G8280" s="30" t="s">
        <v>20</v>
      </c>
      <c r="H8280" s="32">
        <v>280</v>
      </c>
      <c r="I8280" s="30" t="s">
        <v>21</v>
      </c>
      <c r="J8280" s="41">
        <v>44280</v>
      </c>
      <c r="K8280" s="30" t="s">
        <v>22</v>
      </c>
    </row>
    <row r="8281" spans="1:11">
      <c r="A8281" s="33" t="s">
        <v>19122</v>
      </c>
      <c r="B8281" s="33" t="s">
        <v>19123</v>
      </c>
      <c r="C8281" s="33" t="s">
        <v>14559</v>
      </c>
      <c r="D8281" s="33" t="s">
        <v>17</v>
      </c>
      <c r="E8281" s="33" t="s">
        <v>67</v>
      </c>
      <c r="F8281" s="33" t="s">
        <v>68</v>
      </c>
      <c r="G8281" s="33" t="s">
        <v>106</v>
      </c>
      <c r="H8281" s="35">
        <v>2</v>
      </c>
      <c r="I8281" s="33" t="s">
        <v>21</v>
      </c>
      <c r="J8281" s="42">
        <v>44469</v>
      </c>
      <c r="K8281" s="33" t="s">
        <v>22</v>
      </c>
    </row>
    <row r="8282" spans="1:11">
      <c r="A8282" s="30" t="s">
        <v>19124</v>
      </c>
      <c r="B8282" s="30" t="s">
        <v>19125</v>
      </c>
      <c r="C8282" s="30" t="s">
        <v>310</v>
      </c>
      <c r="D8282" s="30" t="s">
        <v>17</v>
      </c>
      <c r="E8282" s="30" t="s">
        <v>26</v>
      </c>
      <c r="F8282" s="30" t="s">
        <v>27</v>
      </c>
      <c r="G8282" s="30" t="s">
        <v>20</v>
      </c>
      <c r="H8282" s="32">
        <v>36</v>
      </c>
      <c r="I8282" s="30" t="s">
        <v>21</v>
      </c>
      <c r="J8282" s="41">
        <v>44427</v>
      </c>
      <c r="K8282" s="30" t="s">
        <v>22</v>
      </c>
    </row>
    <row r="8283" spans="1:11">
      <c r="A8283" s="33" t="s">
        <v>19126</v>
      </c>
      <c r="B8283" s="33" t="s">
        <v>19127</v>
      </c>
      <c r="C8283" s="33" t="s">
        <v>118</v>
      </c>
      <c r="D8283" s="33" t="s">
        <v>17</v>
      </c>
      <c r="E8283" s="33" t="s">
        <v>26</v>
      </c>
      <c r="F8283" s="33" t="s">
        <v>27</v>
      </c>
      <c r="G8283" s="33" t="s">
        <v>20</v>
      </c>
      <c r="H8283" s="35">
        <v>51</v>
      </c>
      <c r="I8283" s="33" t="s">
        <v>21</v>
      </c>
      <c r="J8283" s="42">
        <v>44375</v>
      </c>
      <c r="K8283" s="33" t="s">
        <v>22</v>
      </c>
    </row>
    <row r="8284" spans="1:11">
      <c r="A8284" s="30" t="s">
        <v>19128</v>
      </c>
      <c r="B8284" s="30" t="s">
        <v>19129</v>
      </c>
      <c r="C8284" s="30" t="s">
        <v>1350</v>
      </c>
      <c r="D8284" s="30" t="s">
        <v>17</v>
      </c>
      <c r="E8284" s="30" t="s">
        <v>67</v>
      </c>
      <c r="F8284" s="30" t="s">
        <v>68</v>
      </c>
      <c r="G8284" s="30" t="s">
        <v>106</v>
      </c>
      <c r="H8284" s="32">
        <v>6</v>
      </c>
      <c r="I8284" s="30" t="s">
        <v>21</v>
      </c>
      <c r="J8284" s="41">
        <v>44354</v>
      </c>
      <c r="K8284" s="30" t="s">
        <v>22</v>
      </c>
    </row>
    <row r="8285" spans="1:11">
      <c r="A8285" s="33" t="s">
        <v>19130</v>
      </c>
      <c r="B8285" s="33" t="s">
        <v>19131</v>
      </c>
      <c r="C8285" s="33" t="s">
        <v>985</v>
      </c>
      <c r="D8285" s="33" t="s">
        <v>17</v>
      </c>
      <c r="E8285" s="33" t="s">
        <v>26</v>
      </c>
      <c r="F8285" s="33" t="s">
        <v>27</v>
      </c>
      <c r="G8285" s="33" t="s">
        <v>20</v>
      </c>
      <c r="H8285" s="35">
        <v>29</v>
      </c>
      <c r="I8285" s="33" t="s">
        <v>21</v>
      </c>
      <c r="J8285" s="42">
        <v>44516</v>
      </c>
      <c r="K8285" s="33" t="s">
        <v>22</v>
      </c>
    </row>
    <row r="8286" spans="1:11">
      <c r="A8286" s="30" t="s">
        <v>19132</v>
      </c>
      <c r="B8286" s="30" t="s">
        <v>19133</v>
      </c>
      <c r="C8286" s="30" t="s">
        <v>4453</v>
      </c>
      <c r="D8286" s="30" t="s">
        <v>17</v>
      </c>
      <c r="E8286" s="30" t="s">
        <v>31</v>
      </c>
      <c r="F8286" s="30" t="s">
        <v>32</v>
      </c>
      <c r="G8286" s="30" t="s">
        <v>20</v>
      </c>
      <c r="H8286" s="32">
        <v>330</v>
      </c>
      <c r="I8286" s="30" t="s">
        <v>21</v>
      </c>
      <c r="J8286" s="41">
        <v>44439</v>
      </c>
      <c r="K8286" s="30" t="s">
        <v>22</v>
      </c>
    </row>
    <row r="8287" spans="1:11">
      <c r="A8287" s="33" t="s">
        <v>19134</v>
      </c>
      <c r="B8287" s="33" t="s">
        <v>19135</v>
      </c>
      <c r="C8287" s="33" t="s">
        <v>5139</v>
      </c>
      <c r="D8287" s="33" t="s">
        <v>17</v>
      </c>
      <c r="E8287" s="33" t="s">
        <v>26</v>
      </c>
      <c r="F8287" s="33" t="s">
        <v>27</v>
      </c>
      <c r="G8287" s="33" t="s">
        <v>20</v>
      </c>
      <c r="H8287" s="35">
        <v>45</v>
      </c>
      <c r="I8287" s="33" t="s">
        <v>21</v>
      </c>
      <c r="J8287" s="42">
        <v>44543</v>
      </c>
      <c r="K8287" s="33" t="s">
        <v>22</v>
      </c>
    </row>
    <row r="8288" spans="1:11">
      <c r="A8288" s="30" t="s">
        <v>19136</v>
      </c>
      <c r="B8288" s="30" t="s">
        <v>19137</v>
      </c>
      <c r="C8288" s="30" t="s">
        <v>14640</v>
      </c>
      <c r="D8288" s="30" t="s">
        <v>17</v>
      </c>
      <c r="E8288" s="30" t="s">
        <v>26</v>
      </c>
      <c r="F8288" s="30" t="s">
        <v>27</v>
      </c>
      <c r="G8288" s="30" t="s">
        <v>140</v>
      </c>
      <c r="H8288" s="32">
        <v>200</v>
      </c>
      <c r="I8288" s="30" t="s">
        <v>51</v>
      </c>
      <c r="J8288" s="41">
        <v>44383</v>
      </c>
      <c r="K8288" s="30" t="s">
        <v>22</v>
      </c>
    </row>
    <row r="8289" spans="1:11">
      <c r="A8289" s="33" t="s">
        <v>19138</v>
      </c>
      <c r="B8289" s="33" t="s">
        <v>19139</v>
      </c>
      <c r="C8289" s="33" t="s">
        <v>517</v>
      </c>
      <c r="D8289" s="33" t="s">
        <v>17</v>
      </c>
      <c r="E8289" s="33" t="s">
        <v>26</v>
      </c>
      <c r="F8289" s="33" t="s">
        <v>27</v>
      </c>
      <c r="G8289" s="33" t="s">
        <v>20</v>
      </c>
      <c r="H8289" s="35">
        <v>38</v>
      </c>
      <c r="I8289" s="33" t="s">
        <v>21</v>
      </c>
      <c r="J8289" s="42">
        <v>44509</v>
      </c>
      <c r="K8289" s="33" t="s">
        <v>22</v>
      </c>
    </row>
    <row r="8290" spans="1:11">
      <c r="A8290" s="30" t="s">
        <v>19140</v>
      </c>
      <c r="B8290" s="30" t="s">
        <v>19141</v>
      </c>
      <c r="C8290" s="30" t="s">
        <v>3013</v>
      </c>
      <c r="D8290" s="30" t="s">
        <v>17</v>
      </c>
      <c r="E8290" s="30" t="s">
        <v>31</v>
      </c>
      <c r="F8290" s="30" t="s">
        <v>32</v>
      </c>
      <c r="G8290" s="30" t="s">
        <v>20</v>
      </c>
      <c r="H8290" s="32">
        <v>62</v>
      </c>
      <c r="I8290" s="30" t="s">
        <v>21</v>
      </c>
      <c r="J8290" s="41">
        <v>44369</v>
      </c>
      <c r="K8290" s="30" t="s">
        <v>22</v>
      </c>
    </row>
    <row r="8291" spans="1:11">
      <c r="A8291" s="33" t="s">
        <v>19142</v>
      </c>
      <c r="B8291" s="33" t="s">
        <v>19143</v>
      </c>
      <c r="C8291" s="33" t="s">
        <v>7172</v>
      </c>
      <c r="D8291" s="33" t="s">
        <v>17</v>
      </c>
      <c r="E8291" s="33" t="s">
        <v>18</v>
      </c>
      <c r="F8291" s="33" t="s">
        <v>19</v>
      </c>
      <c r="G8291" s="33" t="s">
        <v>106</v>
      </c>
      <c r="H8291" s="35">
        <v>246</v>
      </c>
      <c r="I8291" s="33" t="s">
        <v>21</v>
      </c>
      <c r="J8291" s="42">
        <v>44235</v>
      </c>
      <c r="K8291" s="33" t="s">
        <v>22</v>
      </c>
    </row>
    <row r="8292" spans="1:11">
      <c r="A8292" s="30" t="s">
        <v>19144</v>
      </c>
      <c r="B8292" s="30" t="s">
        <v>19145</v>
      </c>
      <c r="C8292" s="30" t="s">
        <v>5050</v>
      </c>
      <c r="D8292" s="30" t="s">
        <v>17</v>
      </c>
      <c r="E8292" s="30" t="s">
        <v>26</v>
      </c>
      <c r="F8292" s="30" t="s">
        <v>27</v>
      </c>
      <c r="G8292" s="30" t="s">
        <v>20</v>
      </c>
      <c r="H8292" s="32">
        <v>38</v>
      </c>
      <c r="I8292" s="30" t="s">
        <v>21</v>
      </c>
      <c r="J8292" s="41">
        <v>44530</v>
      </c>
      <c r="K8292" s="30" t="s">
        <v>22</v>
      </c>
    </row>
    <row r="8293" spans="1:11">
      <c r="A8293" s="33" t="s">
        <v>19146</v>
      </c>
      <c r="B8293" s="33" t="s">
        <v>19147</v>
      </c>
      <c r="C8293" s="33" t="s">
        <v>19148</v>
      </c>
      <c r="D8293" s="33" t="s">
        <v>17</v>
      </c>
      <c r="E8293" s="33" t="s">
        <v>31</v>
      </c>
      <c r="F8293" s="33" t="s">
        <v>32</v>
      </c>
      <c r="G8293" s="33" t="s">
        <v>20</v>
      </c>
      <c r="H8293" s="35">
        <v>30</v>
      </c>
      <c r="I8293" s="33" t="s">
        <v>21</v>
      </c>
      <c r="J8293" s="42">
        <v>44313</v>
      </c>
      <c r="K8293" s="33" t="s">
        <v>22</v>
      </c>
    </row>
    <row r="8294" spans="1:11">
      <c r="A8294" s="30" t="s">
        <v>19149</v>
      </c>
      <c r="B8294" s="30" t="s">
        <v>19150</v>
      </c>
      <c r="C8294" s="30" t="s">
        <v>102</v>
      </c>
      <c r="D8294" s="30" t="s">
        <v>17</v>
      </c>
      <c r="E8294" s="30" t="s">
        <v>26</v>
      </c>
      <c r="F8294" s="30" t="s">
        <v>27</v>
      </c>
      <c r="G8294" s="30" t="s">
        <v>158</v>
      </c>
      <c r="H8294" s="32">
        <v>166</v>
      </c>
      <c r="I8294" s="30" t="s">
        <v>21</v>
      </c>
      <c r="J8294" s="41">
        <v>44461</v>
      </c>
      <c r="K8294" s="30" t="s">
        <v>22</v>
      </c>
    </row>
    <row r="8295" spans="1:11">
      <c r="A8295" s="33" t="s">
        <v>19151</v>
      </c>
      <c r="B8295" s="33" t="s">
        <v>19152</v>
      </c>
      <c r="C8295" s="33" t="s">
        <v>178</v>
      </c>
      <c r="D8295" s="33" t="s">
        <v>17</v>
      </c>
      <c r="E8295" s="33" t="s">
        <v>18</v>
      </c>
      <c r="F8295" s="33" t="s">
        <v>19</v>
      </c>
      <c r="G8295" s="33" t="s">
        <v>158</v>
      </c>
      <c r="H8295" s="35">
        <v>83</v>
      </c>
      <c r="I8295" s="33" t="s">
        <v>21</v>
      </c>
      <c r="J8295" s="42">
        <v>44491</v>
      </c>
      <c r="K8295" s="33" t="s">
        <v>22</v>
      </c>
    </row>
    <row r="8296" spans="1:11">
      <c r="A8296" s="30" t="s">
        <v>19153</v>
      </c>
      <c r="B8296" s="30" t="s">
        <v>19154</v>
      </c>
      <c r="C8296" s="30" t="s">
        <v>109</v>
      </c>
      <c r="D8296" s="30" t="s">
        <v>17</v>
      </c>
      <c r="E8296" s="30" t="s">
        <v>26</v>
      </c>
      <c r="F8296" s="30" t="s">
        <v>27</v>
      </c>
      <c r="G8296" s="30" t="s">
        <v>20</v>
      </c>
      <c r="H8296" s="32">
        <v>38</v>
      </c>
      <c r="I8296" s="30" t="s">
        <v>21</v>
      </c>
      <c r="J8296" s="41">
        <v>44510</v>
      </c>
      <c r="K8296" s="30" t="s">
        <v>22</v>
      </c>
    </row>
    <row r="8297" spans="1:11">
      <c r="A8297" s="33" t="s">
        <v>19155</v>
      </c>
      <c r="B8297" s="33" t="s">
        <v>19156</v>
      </c>
      <c r="C8297" s="33" t="s">
        <v>154</v>
      </c>
      <c r="D8297" s="33" t="s">
        <v>17</v>
      </c>
      <c r="E8297" s="33" t="s">
        <v>18</v>
      </c>
      <c r="F8297" s="33" t="s">
        <v>19</v>
      </c>
      <c r="G8297" s="33" t="s">
        <v>106</v>
      </c>
      <c r="H8297" s="35">
        <v>669</v>
      </c>
      <c r="I8297" s="33" t="s">
        <v>21</v>
      </c>
      <c r="J8297" s="42">
        <v>44340</v>
      </c>
      <c r="K8297" s="33" t="s">
        <v>22</v>
      </c>
    </row>
    <row r="8298" spans="1:11">
      <c r="A8298" s="30" t="s">
        <v>19157</v>
      </c>
      <c r="B8298" s="30" t="s">
        <v>19158</v>
      </c>
      <c r="C8298" s="30" t="s">
        <v>1509</v>
      </c>
      <c r="D8298" s="30" t="s">
        <v>17</v>
      </c>
      <c r="E8298" s="30" t="s">
        <v>26</v>
      </c>
      <c r="F8298" s="30" t="s">
        <v>27</v>
      </c>
      <c r="G8298" s="30" t="s">
        <v>20</v>
      </c>
      <c r="H8298" s="32">
        <v>64</v>
      </c>
      <c r="I8298" s="30" t="s">
        <v>21</v>
      </c>
      <c r="J8298" s="41">
        <v>44209</v>
      </c>
      <c r="K8298" s="30" t="s">
        <v>22</v>
      </c>
    </row>
    <row r="8299" spans="1:11">
      <c r="A8299" s="33" t="s">
        <v>19159</v>
      </c>
      <c r="B8299" s="33" t="s">
        <v>19160</v>
      </c>
      <c r="C8299" s="33" t="s">
        <v>701</v>
      </c>
      <c r="D8299" s="33" t="s">
        <v>17</v>
      </c>
      <c r="E8299" s="33" t="s">
        <v>26</v>
      </c>
      <c r="F8299" s="33" t="s">
        <v>27</v>
      </c>
      <c r="G8299" s="33" t="s">
        <v>20</v>
      </c>
      <c r="H8299" s="35">
        <v>75</v>
      </c>
      <c r="I8299" s="33" t="s">
        <v>21</v>
      </c>
      <c r="J8299" s="42">
        <v>44380</v>
      </c>
      <c r="K8299" s="33" t="s">
        <v>22</v>
      </c>
    </row>
    <row r="8300" spans="1:11">
      <c r="A8300" s="30" t="s">
        <v>19161</v>
      </c>
      <c r="B8300" s="30" t="s">
        <v>19162</v>
      </c>
      <c r="C8300" s="30" t="s">
        <v>1102</v>
      </c>
      <c r="D8300" s="30" t="s">
        <v>17</v>
      </c>
      <c r="E8300" s="30" t="s">
        <v>31</v>
      </c>
      <c r="F8300" s="30" t="s">
        <v>32</v>
      </c>
      <c r="G8300" s="30" t="s">
        <v>20</v>
      </c>
      <c r="H8300" s="32">
        <v>178</v>
      </c>
      <c r="I8300" s="30" t="s">
        <v>21</v>
      </c>
      <c r="J8300" s="41">
        <v>44301</v>
      </c>
      <c r="K8300" s="30" t="s">
        <v>22</v>
      </c>
    </row>
    <row r="8301" spans="1:11">
      <c r="A8301" s="33" t="s">
        <v>19163</v>
      </c>
      <c r="B8301" s="33" t="s">
        <v>19164</v>
      </c>
      <c r="C8301" s="33" t="s">
        <v>252</v>
      </c>
      <c r="D8301" s="33" t="s">
        <v>17</v>
      </c>
      <c r="E8301" s="33" t="s">
        <v>26</v>
      </c>
      <c r="F8301" s="33" t="s">
        <v>27</v>
      </c>
      <c r="G8301" s="33" t="s">
        <v>20</v>
      </c>
      <c r="H8301" s="35">
        <v>16</v>
      </c>
      <c r="I8301" s="33" t="s">
        <v>21</v>
      </c>
      <c r="J8301" s="42">
        <v>44552</v>
      </c>
      <c r="K8301" s="33" t="s">
        <v>22</v>
      </c>
    </row>
    <row r="8302" spans="1:11">
      <c r="A8302" s="30" t="s">
        <v>19165</v>
      </c>
      <c r="B8302" s="30" t="s">
        <v>19166</v>
      </c>
      <c r="C8302" s="30" t="s">
        <v>19167</v>
      </c>
      <c r="D8302" s="30" t="s">
        <v>17</v>
      </c>
      <c r="E8302" s="30" t="s">
        <v>18</v>
      </c>
      <c r="F8302" s="30" t="s">
        <v>19</v>
      </c>
      <c r="G8302" s="30" t="s">
        <v>20</v>
      </c>
      <c r="H8302" s="32">
        <v>46</v>
      </c>
      <c r="I8302" s="30" t="s">
        <v>21</v>
      </c>
      <c r="J8302" s="41">
        <v>44315</v>
      </c>
      <c r="K8302" s="30" t="s">
        <v>22</v>
      </c>
    </row>
    <row r="8303" spans="1:11">
      <c r="A8303" s="33" t="s">
        <v>19168</v>
      </c>
      <c r="B8303" s="33" t="s">
        <v>19169</v>
      </c>
      <c r="C8303" s="33" t="s">
        <v>118</v>
      </c>
      <c r="D8303" s="33" t="s">
        <v>17</v>
      </c>
      <c r="E8303" s="33" t="s">
        <v>18</v>
      </c>
      <c r="F8303" s="33" t="s">
        <v>19</v>
      </c>
      <c r="G8303" s="33" t="s">
        <v>20</v>
      </c>
      <c r="H8303" s="35">
        <v>669</v>
      </c>
      <c r="I8303" s="33" t="s">
        <v>21</v>
      </c>
      <c r="J8303" s="42">
        <v>44250</v>
      </c>
      <c r="K8303" s="33" t="s">
        <v>22</v>
      </c>
    </row>
    <row r="8304" spans="1:11">
      <c r="A8304" s="30" t="s">
        <v>19170</v>
      </c>
      <c r="B8304" s="30" t="s">
        <v>19171</v>
      </c>
      <c r="C8304" s="30" t="s">
        <v>16256</v>
      </c>
      <c r="D8304" s="30" t="s">
        <v>17</v>
      </c>
      <c r="E8304" s="30" t="s">
        <v>45</v>
      </c>
      <c r="F8304" s="30" t="s">
        <v>46</v>
      </c>
      <c r="G8304" s="30" t="s">
        <v>106</v>
      </c>
      <c r="H8304" s="32">
        <v>32</v>
      </c>
      <c r="I8304" s="30" t="s">
        <v>21</v>
      </c>
      <c r="J8304" s="41">
        <v>44502</v>
      </c>
      <c r="K8304" s="30" t="s">
        <v>22</v>
      </c>
    </row>
    <row r="8305" spans="1:11">
      <c r="A8305" s="33" t="s">
        <v>19172</v>
      </c>
      <c r="B8305" s="33" t="s">
        <v>8759</v>
      </c>
      <c r="C8305" s="33" t="s">
        <v>78</v>
      </c>
      <c r="D8305" s="33" t="s">
        <v>17</v>
      </c>
      <c r="E8305" s="33" t="s">
        <v>26</v>
      </c>
      <c r="F8305" s="33" t="s">
        <v>27</v>
      </c>
      <c r="G8305" s="33" t="s">
        <v>50</v>
      </c>
      <c r="H8305" s="35">
        <v>52</v>
      </c>
      <c r="I8305" s="33" t="s">
        <v>51</v>
      </c>
      <c r="J8305" s="42">
        <v>44351</v>
      </c>
      <c r="K8305" s="33" t="s">
        <v>22</v>
      </c>
    </row>
    <row r="8306" spans="1:11">
      <c r="A8306" s="30" t="s">
        <v>19173</v>
      </c>
      <c r="B8306" s="30" t="s">
        <v>19174</v>
      </c>
      <c r="C8306" s="30" t="s">
        <v>3264</v>
      </c>
      <c r="D8306" s="30" t="s">
        <v>17</v>
      </c>
      <c r="E8306" s="30" t="s">
        <v>18</v>
      </c>
      <c r="F8306" s="30" t="s">
        <v>19</v>
      </c>
      <c r="G8306" s="30" t="s">
        <v>20</v>
      </c>
      <c r="H8306" s="32">
        <v>12</v>
      </c>
      <c r="I8306" s="30" t="s">
        <v>21</v>
      </c>
      <c r="J8306" s="41">
        <v>44461</v>
      </c>
      <c r="K8306" s="30" t="s">
        <v>22</v>
      </c>
    </row>
    <row r="8307" spans="1:11">
      <c r="A8307" s="33" t="s">
        <v>19175</v>
      </c>
      <c r="B8307" s="33" t="s">
        <v>19176</v>
      </c>
      <c r="C8307" s="33" t="s">
        <v>203</v>
      </c>
      <c r="D8307" s="33" t="s">
        <v>17</v>
      </c>
      <c r="E8307" s="33" t="s">
        <v>31</v>
      </c>
      <c r="F8307" s="33" t="s">
        <v>32</v>
      </c>
      <c r="G8307" s="33" t="s">
        <v>20</v>
      </c>
      <c r="H8307" s="35">
        <v>3</v>
      </c>
      <c r="I8307" s="33" t="s">
        <v>21</v>
      </c>
      <c r="J8307" s="42">
        <v>44518</v>
      </c>
      <c r="K8307" s="33" t="s">
        <v>22</v>
      </c>
    </row>
    <row r="8308" spans="1:11">
      <c r="A8308" s="30" t="s">
        <v>19177</v>
      </c>
      <c r="B8308" s="30" t="s">
        <v>19178</v>
      </c>
      <c r="C8308" s="30" t="s">
        <v>19179</v>
      </c>
      <c r="D8308" s="30" t="s">
        <v>17</v>
      </c>
      <c r="E8308" s="30" t="s">
        <v>31</v>
      </c>
      <c r="F8308" s="30" t="s">
        <v>32</v>
      </c>
      <c r="G8308" s="30" t="s">
        <v>20</v>
      </c>
      <c r="H8308" s="32">
        <v>113</v>
      </c>
      <c r="I8308" s="30" t="s">
        <v>21</v>
      </c>
      <c r="J8308" s="41">
        <v>44364</v>
      </c>
      <c r="K8308" s="30" t="s">
        <v>22</v>
      </c>
    </row>
    <row r="8309" spans="1:11">
      <c r="A8309" s="33" t="s">
        <v>19180</v>
      </c>
      <c r="B8309" s="33" t="s">
        <v>19181</v>
      </c>
      <c r="C8309" s="33" t="s">
        <v>190</v>
      </c>
      <c r="D8309" s="33" t="s">
        <v>17</v>
      </c>
      <c r="E8309" s="33" t="s">
        <v>26</v>
      </c>
      <c r="F8309" s="33" t="s">
        <v>27</v>
      </c>
      <c r="G8309" s="33" t="s">
        <v>20</v>
      </c>
      <c r="H8309" s="35">
        <v>66</v>
      </c>
      <c r="I8309" s="33" t="s">
        <v>21</v>
      </c>
      <c r="J8309" s="42">
        <v>44252</v>
      </c>
      <c r="K8309" s="33" t="s">
        <v>22</v>
      </c>
    </row>
    <row r="8310" spans="1:11">
      <c r="A8310" s="30" t="s">
        <v>19182</v>
      </c>
      <c r="B8310" s="30" t="s">
        <v>19183</v>
      </c>
      <c r="C8310" s="30" t="s">
        <v>178</v>
      </c>
      <c r="D8310" s="30" t="s">
        <v>17</v>
      </c>
      <c r="E8310" s="30" t="s">
        <v>31</v>
      </c>
      <c r="F8310" s="30" t="s">
        <v>32</v>
      </c>
      <c r="G8310" s="30" t="s">
        <v>106</v>
      </c>
      <c r="H8310" s="32">
        <v>24</v>
      </c>
      <c r="I8310" s="30" t="s">
        <v>21</v>
      </c>
      <c r="J8310" s="41">
        <v>44531</v>
      </c>
      <c r="K8310" s="30" t="s">
        <v>22</v>
      </c>
    </row>
    <row r="8311" spans="1:11">
      <c r="A8311" s="33" t="s">
        <v>19184</v>
      </c>
      <c r="B8311" s="33" t="s">
        <v>19185</v>
      </c>
      <c r="C8311" s="33" t="s">
        <v>102</v>
      </c>
      <c r="D8311" s="33" t="s">
        <v>17</v>
      </c>
      <c r="E8311" s="33" t="s">
        <v>26</v>
      </c>
      <c r="F8311" s="33" t="s">
        <v>27</v>
      </c>
      <c r="G8311" s="33" t="s">
        <v>106</v>
      </c>
      <c r="H8311" s="35">
        <v>31</v>
      </c>
      <c r="I8311" s="33" t="s">
        <v>21</v>
      </c>
      <c r="J8311" s="42">
        <v>44441</v>
      </c>
      <c r="K8311" s="33" t="s">
        <v>22</v>
      </c>
    </row>
    <row r="8312" spans="1:11">
      <c r="A8312" s="30" t="s">
        <v>19186</v>
      </c>
      <c r="B8312" s="30" t="s">
        <v>19187</v>
      </c>
      <c r="C8312" s="30" t="s">
        <v>1024</v>
      </c>
      <c r="D8312" s="30" t="s">
        <v>17</v>
      </c>
      <c r="E8312" s="30" t="s">
        <v>26</v>
      </c>
      <c r="F8312" s="30" t="s">
        <v>27</v>
      </c>
      <c r="G8312" s="30" t="s">
        <v>20</v>
      </c>
      <c r="H8312" s="32">
        <v>64</v>
      </c>
      <c r="I8312" s="30" t="s">
        <v>21</v>
      </c>
      <c r="J8312" s="41">
        <v>44488</v>
      </c>
      <c r="K8312" s="30" t="s">
        <v>22</v>
      </c>
    </row>
    <row r="8313" spans="1:11">
      <c r="A8313" s="33" t="s">
        <v>19188</v>
      </c>
      <c r="B8313" s="33" t="s">
        <v>19189</v>
      </c>
      <c r="C8313" s="33" t="s">
        <v>4527</v>
      </c>
      <c r="D8313" s="33" t="s">
        <v>17</v>
      </c>
      <c r="E8313" s="33" t="s">
        <v>26</v>
      </c>
      <c r="F8313" s="33" t="s">
        <v>27</v>
      </c>
      <c r="G8313" s="33" t="s">
        <v>20</v>
      </c>
      <c r="H8313" s="35">
        <v>30</v>
      </c>
      <c r="I8313" s="33" t="s">
        <v>21</v>
      </c>
      <c r="J8313" s="42">
        <v>44531</v>
      </c>
      <c r="K8313" s="33" t="s">
        <v>22</v>
      </c>
    </row>
    <row r="8314" spans="1:11">
      <c r="A8314" s="30" t="s">
        <v>19190</v>
      </c>
      <c r="B8314" s="30" t="s">
        <v>19191</v>
      </c>
      <c r="C8314" s="30" t="s">
        <v>1191</v>
      </c>
      <c r="D8314" s="30" t="s">
        <v>17</v>
      </c>
      <c r="E8314" s="30" t="s">
        <v>212</v>
      </c>
      <c r="F8314" s="30" t="s">
        <v>213</v>
      </c>
      <c r="G8314" s="30" t="s">
        <v>50</v>
      </c>
      <c r="H8314" s="32">
        <v>400</v>
      </c>
      <c r="I8314" s="30" t="s">
        <v>51</v>
      </c>
      <c r="J8314" s="41">
        <v>44531</v>
      </c>
      <c r="K8314" s="30" t="s">
        <v>22</v>
      </c>
    </row>
    <row r="8315" spans="1:11">
      <c r="A8315" s="33" t="s">
        <v>19192</v>
      </c>
      <c r="B8315" s="33" t="s">
        <v>19193</v>
      </c>
      <c r="C8315" s="33" t="s">
        <v>3892</v>
      </c>
      <c r="D8315" s="33" t="s">
        <v>17</v>
      </c>
      <c r="E8315" s="33" t="s">
        <v>26</v>
      </c>
      <c r="F8315" s="33" t="s">
        <v>27</v>
      </c>
      <c r="G8315" s="33" t="s">
        <v>20</v>
      </c>
      <c r="H8315" s="35">
        <v>108</v>
      </c>
      <c r="I8315" s="33" t="s">
        <v>21</v>
      </c>
      <c r="J8315" s="42">
        <v>44333</v>
      </c>
      <c r="K8315" s="33" t="s">
        <v>22</v>
      </c>
    </row>
    <row r="8316" spans="1:11">
      <c r="A8316" s="30" t="s">
        <v>19194</v>
      </c>
      <c r="B8316" s="30" t="s">
        <v>19195</v>
      </c>
      <c r="C8316" s="30" t="s">
        <v>8934</v>
      </c>
      <c r="D8316" s="30" t="s">
        <v>17</v>
      </c>
      <c r="E8316" s="30" t="s">
        <v>31</v>
      </c>
      <c r="F8316" s="30" t="s">
        <v>32</v>
      </c>
      <c r="G8316" s="30" t="s">
        <v>112</v>
      </c>
      <c r="H8316" s="32">
        <v>0</v>
      </c>
      <c r="I8316" s="30" t="s">
        <v>21</v>
      </c>
      <c r="J8316" s="41">
        <v>44348</v>
      </c>
      <c r="K8316" s="30" t="s">
        <v>22</v>
      </c>
    </row>
    <row r="8317" spans="1:11">
      <c r="A8317" s="33" t="s">
        <v>19196</v>
      </c>
      <c r="B8317" s="33" t="s">
        <v>19197</v>
      </c>
      <c r="C8317" s="33" t="s">
        <v>969</v>
      </c>
      <c r="D8317" s="33" t="s">
        <v>17</v>
      </c>
      <c r="E8317" s="33" t="s">
        <v>212</v>
      </c>
      <c r="F8317" s="33" t="s">
        <v>213</v>
      </c>
      <c r="G8317" s="33" t="s">
        <v>20</v>
      </c>
      <c r="H8317" s="35">
        <v>100</v>
      </c>
      <c r="I8317" s="33" t="s">
        <v>21</v>
      </c>
      <c r="J8317" s="42">
        <v>44376</v>
      </c>
      <c r="K8317" s="33" t="s">
        <v>22</v>
      </c>
    </row>
    <row r="8318" spans="1:11">
      <c r="A8318" s="30" t="s">
        <v>19198</v>
      </c>
      <c r="B8318" s="30" t="s">
        <v>19199</v>
      </c>
      <c r="C8318" s="30" t="s">
        <v>8250</v>
      </c>
      <c r="D8318" s="30" t="s">
        <v>17</v>
      </c>
      <c r="E8318" s="30" t="s">
        <v>212</v>
      </c>
      <c r="F8318" s="30" t="s">
        <v>213</v>
      </c>
      <c r="G8318" s="30" t="s">
        <v>20</v>
      </c>
      <c r="H8318" s="32">
        <v>146</v>
      </c>
      <c r="I8318" s="30" t="s">
        <v>21</v>
      </c>
      <c r="J8318" s="41">
        <v>44243</v>
      </c>
      <c r="K8318" s="30" t="s">
        <v>22</v>
      </c>
    </row>
    <row r="8319" spans="1:11">
      <c r="A8319" s="33" t="s">
        <v>19200</v>
      </c>
      <c r="B8319" s="33" t="s">
        <v>19201</v>
      </c>
      <c r="C8319" s="33" t="s">
        <v>969</v>
      </c>
      <c r="D8319" s="33" t="s">
        <v>17</v>
      </c>
      <c r="E8319" s="33" t="s">
        <v>67</v>
      </c>
      <c r="F8319" s="33" t="s">
        <v>68</v>
      </c>
      <c r="G8319" s="33" t="s">
        <v>20</v>
      </c>
      <c r="H8319" s="35">
        <v>339</v>
      </c>
      <c r="I8319" s="33" t="s">
        <v>21</v>
      </c>
      <c r="J8319" s="42">
        <v>44483</v>
      </c>
      <c r="K8319" s="33" t="s">
        <v>22</v>
      </c>
    </row>
    <row r="8320" spans="1:11">
      <c r="A8320" s="30" t="s">
        <v>19202</v>
      </c>
      <c r="B8320" s="30" t="s">
        <v>19203</v>
      </c>
      <c r="C8320" s="30" t="s">
        <v>12388</v>
      </c>
      <c r="D8320" s="30" t="s">
        <v>17</v>
      </c>
      <c r="E8320" s="30" t="s">
        <v>26</v>
      </c>
      <c r="F8320" s="30" t="s">
        <v>27</v>
      </c>
      <c r="G8320" s="30" t="s">
        <v>20</v>
      </c>
      <c r="H8320" s="32">
        <v>81</v>
      </c>
      <c r="I8320" s="30" t="s">
        <v>21</v>
      </c>
      <c r="J8320" s="41">
        <v>44383</v>
      </c>
      <c r="K8320" s="30" t="s">
        <v>22</v>
      </c>
    </row>
    <row r="8321" spans="1:11">
      <c r="A8321" s="33" t="s">
        <v>19204</v>
      </c>
      <c r="B8321" s="33" t="s">
        <v>19205</v>
      </c>
      <c r="C8321" s="33" t="s">
        <v>5845</v>
      </c>
      <c r="D8321" s="33" t="s">
        <v>17</v>
      </c>
      <c r="E8321" s="33" t="s">
        <v>26</v>
      </c>
      <c r="F8321" s="33" t="s">
        <v>27</v>
      </c>
      <c r="G8321" s="33" t="s">
        <v>20</v>
      </c>
      <c r="H8321" s="35">
        <v>16</v>
      </c>
      <c r="I8321" s="33" t="s">
        <v>21</v>
      </c>
      <c r="J8321" s="42">
        <v>44559</v>
      </c>
      <c r="K8321" s="33" t="s">
        <v>22</v>
      </c>
    </row>
    <row r="8322" spans="1:11">
      <c r="A8322" s="30" t="s">
        <v>19206</v>
      </c>
      <c r="B8322" s="30" t="s">
        <v>19207</v>
      </c>
      <c r="C8322" s="30" t="s">
        <v>3892</v>
      </c>
      <c r="D8322" s="30" t="s">
        <v>17</v>
      </c>
      <c r="E8322" s="30" t="s">
        <v>31</v>
      </c>
      <c r="F8322" s="30" t="s">
        <v>32</v>
      </c>
      <c r="G8322" s="30" t="s">
        <v>20</v>
      </c>
      <c r="H8322" s="32">
        <v>58</v>
      </c>
      <c r="I8322" s="30" t="s">
        <v>21</v>
      </c>
      <c r="J8322" s="41">
        <v>44391</v>
      </c>
      <c r="K8322" s="30" t="s">
        <v>22</v>
      </c>
    </row>
    <row r="8323" spans="1:11">
      <c r="A8323" s="33" t="s">
        <v>19208</v>
      </c>
      <c r="B8323" s="33" t="s">
        <v>19209</v>
      </c>
      <c r="C8323" s="33" t="s">
        <v>9114</v>
      </c>
      <c r="D8323" s="33" t="s">
        <v>17</v>
      </c>
      <c r="E8323" s="33" t="s">
        <v>18</v>
      </c>
      <c r="F8323" s="33" t="s">
        <v>19</v>
      </c>
      <c r="G8323" s="33" t="s">
        <v>50</v>
      </c>
      <c r="H8323" s="35">
        <v>500</v>
      </c>
      <c r="I8323" s="33" t="s">
        <v>51</v>
      </c>
      <c r="J8323" s="42">
        <v>44540</v>
      </c>
      <c r="K8323" s="33" t="s">
        <v>22</v>
      </c>
    </row>
    <row r="8324" spans="1:11">
      <c r="A8324" s="30" t="s">
        <v>19210</v>
      </c>
      <c r="B8324" s="30" t="s">
        <v>19211</v>
      </c>
      <c r="C8324" s="30" t="s">
        <v>10569</v>
      </c>
      <c r="D8324" s="30" t="s">
        <v>17</v>
      </c>
      <c r="E8324" s="30" t="s">
        <v>31</v>
      </c>
      <c r="F8324" s="30" t="s">
        <v>32</v>
      </c>
      <c r="G8324" s="30" t="s">
        <v>20</v>
      </c>
      <c r="H8324" s="32">
        <v>629</v>
      </c>
      <c r="I8324" s="30" t="s">
        <v>21</v>
      </c>
      <c r="J8324" s="41">
        <v>44511</v>
      </c>
      <c r="K8324" s="30" t="s">
        <v>22</v>
      </c>
    </row>
    <row r="8325" spans="1:11">
      <c r="A8325" s="33" t="s">
        <v>19212</v>
      </c>
      <c r="B8325" s="33" t="s">
        <v>19213</v>
      </c>
      <c r="C8325" s="33" t="s">
        <v>187</v>
      </c>
      <c r="D8325" s="33" t="s">
        <v>17</v>
      </c>
      <c r="E8325" s="33" t="s">
        <v>31</v>
      </c>
      <c r="F8325" s="33" t="s">
        <v>32</v>
      </c>
      <c r="G8325" s="33" t="s">
        <v>20</v>
      </c>
      <c r="H8325" s="35">
        <v>107</v>
      </c>
      <c r="I8325" s="33" t="s">
        <v>21</v>
      </c>
      <c r="J8325" s="42">
        <v>44511</v>
      </c>
      <c r="K8325" s="33" t="s">
        <v>22</v>
      </c>
    </row>
    <row r="8326" spans="1:11">
      <c r="A8326" s="30" t="s">
        <v>19214</v>
      </c>
      <c r="B8326" s="30" t="s">
        <v>19215</v>
      </c>
      <c r="C8326" s="30" t="s">
        <v>1281</v>
      </c>
      <c r="D8326" s="30" t="s">
        <v>17</v>
      </c>
      <c r="E8326" s="30" t="s">
        <v>67</v>
      </c>
      <c r="F8326" s="30" t="s">
        <v>68</v>
      </c>
      <c r="G8326" s="30" t="s">
        <v>106</v>
      </c>
      <c r="H8326" s="32">
        <v>4</v>
      </c>
      <c r="I8326" s="30" t="s">
        <v>21</v>
      </c>
      <c r="J8326" s="41">
        <v>44409</v>
      </c>
      <c r="K8326" s="30" t="s">
        <v>22</v>
      </c>
    </row>
    <row r="8327" spans="1:11">
      <c r="A8327" s="33" t="s">
        <v>19216</v>
      </c>
      <c r="B8327" s="33" t="s">
        <v>19217</v>
      </c>
      <c r="C8327" s="33" t="s">
        <v>9429</v>
      </c>
      <c r="D8327" s="33" t="s">
        <v>17</v>
      </c>
      <c r="E8327" s="33" t="s">
        <v>18</v>
      </c>
      <c r="F8327" s="33" t="s">
        <v>19</v>
      </c>
      <c r="G8327" s="33" t="s">
        <v>20</v>
      </c>
      <c r="H8327" s="35">
        <v>100</v>
      </c>
      <c r="I8327" s="33" t="s">
        <v>21</v>
      </c>
      <c r="J8327" s="42">
        <v>44300</v>
      </c>
      <c r="K8327" s="33" t="s">
        <v>22</v>
      </c>
    </row>
    <row r="8328" spans="1:11">
      <c r="A8328" s="30" t="s">
        <v>19218</v>
      </c>
      <c r="B8328" s="30" t="s">
        <v>19219</v>
      </c>
      <c r="C8328" s="30" t="s">
        <v>4059</v>
      </c>
      <c r="D8328" s="30" t="s">
        <v>17</v>
      </c>
      <c r="E8328" s="30" t="s">
        <v>31</v>
      </c>
      <c r="F8328" s="30" t="s">
        <v>32</v>
      </c>
      <c r="G8328" s="30" t="s">
        <v>158</v>
      </c>
      <c r="H8328" s="32">
        <v>40</v>
      </c>
      <c r="I8328" s="30" t="s">
        <v>51</v>
      </c>
      <c r="J8328" s="41">
        <v>44513</v>
      </c>
      <c r="K8328" s="30" t="s">
        <v>22</v>
      </c>
    </row>
    <row r="8329" spans="1:11">
      <c r="A8329" s="33" t="s">
        <v>19220</v>
      </c>
      <c r="B8329" s="33" t="s">
        <v>19221</v>
      </c>
      <c r="C8329" s="33" t="s">
        <v>18758</v>
      </c>
      <c r="D8329" s="33" t="s">
        <v>17</v>
      </c>
      <c r="E8329" s="33" t="s">
        <v>31</v>
      </c>
      <c r="F8329" s="33" t="s">
        <v>32</v>
      </c>
      <c r="G8329" s="33" t="s">
        <v>20</v>
      </c>
      <c r="H8329" s="35">
        <v>67</v>
      </c>
      <c r="I8329" s="33" t="s">
        <v>21</v>
      </c>
      <c r="J8329" s="42">
        <v>44452</v>
      </c>
      <c r="K8329" s="33" t="s">
        <v>22</v>
      </c>
    </row>
    <row r="8330" spans="1:11">
      <c r="A8330" s="30" t="s">
        <v>19222</v>
      </c>
      <c r="B8330" s="30" t="s">
        <v>19223</v>
      </c>
      <c r="C8330" s="30" t="s">
        <v>19224</v>
      </c>
      <c r="D8330" s="30" t="s">
        <v>17</v>
      </c>
      <c r="E8330" s="30" t="s">
        <v>212</v>
      </c>
      <c r="F8330" s="30" t="s">
        <v>213</v>
      </c>
      <c r="G8330" s="30" t="s">
        <v>50</v>
      </c>
      <c r="H8330" s="32">
        <v>218</v>
      </c>
      <c r="I8330" s="30" t="s">
        <v>51</v>
      </c>
      <c r="J8330" s="41">
        <v>44378</v>
      </c>
      <c r="K8330" s="30" t="s">
        <v>22</v>
      </c>
    </row>
    <row r="8331" spans="1:11">
      <c r="A8331" s="33" t="s">
        <v>19225</v>
      </c>
      <c r="B8331" s="33" t="s">
        <v>19226</v>
      </c>
      <c r="C8331" s="33" t="s">
        <v>14394</v>
      </c>
      <c r="D8331" s="33" t="s">
        <v>17</v>
      </c>
      <c r="E8331" s="33" t="s">
        <v>67</v>
      </c>
      <c r="F8331" s="33" t="s">
        <v>68</v>
      </c>
      <c r="G8331" s="33" t="s">
        <v>106</v>
      </c>
      <c r="H8331" s="35">
        <v>4</v>
      </c>
      <c r="I8331" s="33" t="s">
        <v>21</v>
      </c>
      <c r="J8331" s="42">
        <v>44326</v>
      </c>
      <c r="K8331" s="33" t="s">
        <v>22</v>
      </c>
    </row>
    <row r="8332" spans="1:11">
      <c r="A8332" s="30" t="s">
        <v>19227</v>
      </c>
      <c r="B8332" s="30" t="s">
        <v>19228</v>
      </c>
      <c r="C8332" s="30" t="s">
        <v>11248</v>
      </c>
      <c r="D8332" s="30" t="s">
        <v>17</v>
      </c>
      <c r="E8332" s="30" t="s">
        <v>67</v>
      </c>
      <c r="F8332" s="30" t="s">
        <v>68</v>
      </c>
      <c r="G8332" s="30" t="s">
        <v>112</v>
      </c>
      <c r="H8332" s="32">
        <v>0</v>
      </c>
      <c r="I8332" s="30" t="s">
        <v>21</v>
      </c>
      <c r="J8332" s="41">
        <v>44256</v>
      </c>
      <c r="K8332" s="30" t="s">
        <v>22</v>
      </c>
    </row>
    <row r="8333" spans="1:11">
      <c r="A8333" s="33" t="s">
        <v>19229</v>
      </c>
      <c r="B8333" s="33" t="s">
        <v>19230</v>
      </c>
      <c r="C8333" s="33" t="s">
        <v>2490</v>
      </c>
      <c r="D8333" s="33" t="s">
        <v>17</v>
      </c>
      <c r="E8333" s="33" t="s">
        <v>26</v>
      </c>
      <c r="F8333" s="33" t="s">
        <v>27</v>
      </c>
      <c r="G8333" s="33" t="s">
        <v>50</v>
      </c>
      <c r="H8333" s="35">
        <v>40</v>
      </c>
      <c r="I8333" s="33" t="s">
        <v>51</v>
      </c>
      <c r="J8333" s="42">
        <v>44229</v>
      </c>
      <c r="K8333" s="33" t="s">
        <v>22</v>
      </c>
    </row>
    <row r="8334" spans="1:11">
      <c r="A8334" s="30" t="s">
        <v>19231</v>
      </c>
      <c r="B8334" s="30" t="s">
        <v>19232</v>
      </c>
      <c r="C8334" s="30" t="s">
        <v>19233</v>
      </c>
      <c r="D8334" s="30" t="s">
        <v>17</v>
      </c>
      <c r="E8334" s="30" t="s">
        <v>26</v>
      </c>
      <c r="F8334" s="30" t="s">
        <v>27</v>
      </c>
      <c r="G8334" s="30" t="s">
        <v>50</v>
      </c>
      <c r="H8334" s="32">
        <v>16</v>
      </c>
      <c r="I8334" s="30" t="s">
        <v>51</v>
      </c>
      <c r="J8334" s="41">
        <v>44405</v>
      </c>
      <c r="K8334" s="30" t="s">
        <v>22</v>
      </c>
    </row>
    <row r="8335" spans="1:11">
      <c r="A8335" s="33" t="s">
        <v>19234</v>
      </c>
      <c r="B8335" s="33" t="s">
        <v>19235</v>
      </c>
      <c r="C8335" s="33" t="s">
        <v>13931</v>
      </c>
      <c r="D8335" s="33" t="s">
        <v>17</v>
      </c>
      <c r="E8335" s="33" t="s">
        <v>18</v>
      </c>
      <c r="F8335" s="33" t="s">
        <v>19</v>
      </c>
      <c r="G8335" s="33" t="s">
        <v>20</v>
      </c>
      <c r="H8335" s="35">
        <v>378</v>
      </c>
      <c r="I8335" s="33" t="s">
        <v>21</v>
      </c>
      <c r="J8335" s="42">
        <v>44207</v>
      </c>
      <c r="K8335" s="33" t="s">
        <v>22</v>
      </c>
    </row>
    <row r="8336" spans="1:11">
      <c r="A8336" s="30" t="s">
        <v>19236</v>
      </c>
      <c r="B8336" s="30" t="s">
        <v>19237</v>
      </c>
      <c r="C8336" s="30" t="s">
        <v>10646</v>
      </c>
      <c r="D8336" s="30" t="s">
        <v>17</v>
      </c>
      <c r="E8336" s="30" t="s">
        <v>18</v>
      </c>
      <c r="F8336" s="30" t="s">
        <v>19</v>
      </c>
      <c r="G8336" s="30" t="s">
        <v>20</v>
      </c>
      <c r="H8336" s="32">
        <v>319</v>
      </c>
      <c r="I8336" s="30" t="s">
        <v>21</v>
      </c>
      <c r="J8336" s="41">
        <v>44468</v>
      </c>
      <c r="K8336" s="30" t="s">
        <v>22</v>
      </c>
    </row>
    <row r="8337" spans="1:11">
      <c r="A8337" s="33" t="s">
        <v>19238</v>
      </c>
      <c r="B8337" s="33" t="s">
        <v>19239</v>
      </c>
      <c r="C8337" s="33" t="s">
        <v>644</v>
      </c>
      <c r="D8337" s="33" t="s">
        <v>17</v>
      </c>
      <c r="E8337" s="33" t="s">
        <v>31</v>
      </c>
      <c r="F8337" s="33" t="s">
        <v>32</v>
      </c>
      <c r="G8337" s="33" t="s">
        <v>50</v>
      </c>
      <c r="H8337" s="35">
        <v>120</v>
      </c>
      <c r="I8337" s="33" t="s">
        <v>51</v>
      </c>
      <c r="J8337" s="42">
        <v>44341</v>
      </c>
      <c r="K8337" s="33" t="s">
        <v>22</v>
      </c>
    </row>
    <row r="8338" spans="1:11">
      <c r="A8338" s="30" t="s">
        <v>19240</v>
      </c>
      <c r="B8338" s="30" t="s">
        <v>19241</v>
      </c>
      <c r="C8338" s="30" t="s">
        <v>1090</v>
      </c>
      <c r="D8338" s="30" t="s">
        <v>17</v>
      </c>
      <c r="E8338" s="30" t="s">
        <v>31</v>
      </c>
      <c r="F8338" s="30" t="s">
        <v>32</v>
      </c>
      <c r="G8338" s="30" t="s">
        <v>50</v>
      </c>
      <c r="H8338" s="32">
        <v>104</v>
      </c>
      <c r="I8338" s="30" t="s">
        <v>51</v>
      </c>
      <c r="J8338" s="41">
        <v>44408</v>
      </c>
      <c r="K8338" s="30" t="s">
        <v>22</v>
      </c>
    </row>
    <row r="8339" spans="1:11">
      <c r="A8339" s="33" t="s">
        <v>19242</v>
      </c>
      <c r="B8339" s="33" t="s">
        <v>19243</v>
      </c>
      <c r="C8339" s="33" t="s">
        <v>44</v>
      </c>
      <c r="D8339" s="33" t="s">
        <v>17</v>
      </c>
      <c r="E8339" s="33" t="s">
        <v>26</v>
      </c>
      <c r="F8339" s="33" t="s">
        <v>27</v>
      </c>
      <c r="G8339" s="33" t="s">
        <v>20</v>
      </c>
      <c r="H8339" s="35">
        <v>30</v>
      </c>
      <c r="I8339" s="33" t="s">
        <v>21</v>
      </c>
      <c r="J8339" s="42">
        <v>44412</v>
      </c>
      <c r="K8339" s="33" t="s">
        <v>22</v>
      </c>
    </row>
    <row r="8340" spans="1:11">
      <c r="A8340" s="30" t="s">
        <v>19244</v>
      </c>
      <c r="B8340" s="30" t="s">
        <v>19245</v>
      </c>
      <c r="C8340" s="30" t="s">
        <v>5251</v>
      </c>
      <c r="D8340" s="30" t="s">
        <v>17</v>
      </c>
      <c r="E8340" s="30" t="s">
        <v>26</v>
      </c>
      <c r="F8340" s="30" t="s">
        <v>27</v>
      </c>
      <c r="G8340" s="30" t="s">
        <v>50</v>
      </c>
      <c r="H8340" s="32">
        <v>24</v>
      </c>
      <c r="I8340" s="30" t="s">
        <v>51</v>
      </c>
      <c r="J8340" s="41">
        <v>44536</v>
      </c>
      <c r="K8340" s="30" t="s">
        <v>22</v>
      </c>
    </row>
    <row r="8341" spans="1:11">
      <c r="A8341" s="33" t="s">
        <v>19246</v>
      </c>
      <c r="B8341" s="33" t="s">
        <v>19247</v>
      </c>
      <c r="C8341" s="33" t="s">
        <v>362</v>
      </c>
      <c r="D8341" s="33" t="s">
        <v>17</v>
      </c>
      <c r="E8341" s="33" t="s">
        <v>26</v>
      </c>
      <c r="F8341" s="33" t="s">
        <v>27</v>
      </c>
      <c r="G8341" s="33" t="s">
        <v>20</v>
      </c>
      <c r="H8341" s="35">
        <v>12</v>
      </c>
      <c r="I8341" s="33" t="s">
        <v>21</v>
      </c>
      <c r="J8341" s="42">
        <v>44207</v>
      </c>
      <c r="K8341" s="33" t="s">
        <v>22</v>
      </c>
    </row>
    <row r="8342" spans="1:11">
      <c r="A8342" s="30" t="s">
        <v>19248</v>
      </c>
      <c r="B8342" s="30" t="s">
        <v>19249</v>
      </c>
      <c r="C8342" s="30" t="s">
        <v>75</v>
      </c>
      <c r="D8342" s="30" t="s">
        <v>17</v>
      </c>
      <c r="E8342" s="30" t="s">
        <v>26</v>
      </c>
      <c r="F8342" s="30" t="s">
        <v>27</v>
      </c>
      <c r="G8342" s="30" t="s">
        <v>20</v>
      </c>
      <c r="H8342" s="32">
        <v>7</v>
      </c>
      <c r="I8342" s="30" t="s">
        <v>21</v>
      </c>
      <c r="J8342" s="41">
        <v>44448</v>
      </c>
      <c r="K8342" s="30" t="s">
        <v>22</v>
      </c>
    </row>
    <row r="8343" spans="1:11">
      <c r="A8343" s="33" t="s">
        <v>19250</v>
      </c>
      <c r="B8343" s="33" t="s">
        <v>19251</v>
      </c>
      <c r="C8343" s="33" t="s">
        <v>19252</v>
      </c>
      <c r="D8343" s="33" t="s">
        <v>17</v>
      </c>
      <c r="E8343" s="33" t="s">
        <v>26</v>
      </c>
      <c r="F8343" s="33" t="s">
        <v>27</v>
      </c>
      <c r="G8343" s="33" t="s">
        <v>50</v>
      </c>
      <c r="H8343" s="35">
        <v>20</v>
      </c>
      <c r="I8343" s="33" t="s">
        <v>51</v>
      </c>
      <c r="J8343" s="42">
        <v>44452</v>
      </c>
      <c r="K8343" s="33" t="s">
        <v>22</v>
      </c>
    </row>
    <row r="8344" spans="1:11">
      <c r="A8344" s="30" t="s">
        <v>19253</v>
      </c>
      <c r="B8344" s="30" t="s">
        <v>19254</v>
      </c>
      <c r="C8344" s="30" t="s">
        <v>19255</v>
      </c>
      <c r="D8344" s="30" t="s">
        <v>17</v>
      </c>
      <c r="E8344" s="30" t="s">
        <v>26</v>
      </c>
      <c r="F8344" s="30" t="s">
        <v>27</v>
      </c>
      <c r="G8344" s="30" t="s">
        <v>106</v>
      </c>
      <c r="H8344" s="32">
        <v>1</v>
      </c>
      <c r="I8344" s="30" t="s">
        <v>21</v>
      </c>
      <c r="J8344" s="41">
        <v>44284</v>
      </c>
      <c r="K8344" s="30" t="s">
        <v>22</v>
      </c>
    </row>
    <row r="8345" spans="1:11">
      <c r="A8345" s="33" t="s">
        <v>19256</v>
      </c>
      <c r="B8345" s="33" t="s">
        <v>19257</v>
      </c>
      <c r="C8345" s="33" t="s">
        <v>647</v>
      </c>
      <c r="D8345" s="33" t="s">
        <v>17</v>
      </c>
      <c r="E8345" s="33" t="s">
        <v>18</v>
      </c>
      <c r="F8345" s="33" t="s">
        <v>19</v>
      </c>
      <c r="G8345" s="33" t="s">
        <v>158</v>
      </c>
      <c r="H8345" s="35">
        <v>747</v>
      </c>
      <c r="I8345" s="33" t="s">
        <v>21</v>
      </c>
      <c r="J8345" s="42">
        <v>44252</v>
      </c>
      <c r="K8345" s="33" t="s">
        <v>22</v>
      </c>
    </row>
    <row r="8346" spans="1:11">
      <c r="A8346" s="30" t="s">
        <v>19258</v>
      </c>
      <c r="B8346" s="30" t="s">
        <v>19259</v>
      </c>
      <c r="C8346" s="30" t="s">
        <v>8204</v>
      </c>
      <c r="D8346" s="30" t="s">
        <v>17</v>
      </c>
      <c r="E8346" s="30" t="s">
        <v>31</v>
      </c>
      <c r="F8346" s="30" t="s">
        <v>32</v>
      </c>
      <c r="G8346" s="30" t="s">
        <v>20</v>
      </c>
      <c r="H8346" s="32">
        <v>77</v>
      </c>
      <c r="I8346" s="30" t="s">
        <v>21</v>
      </c>
      <c r="J8346" s="41">
        <v>44475</v>
      </c>
      <c r="K8346" s="30" t="s">
        <v>22</v>
      </c>
    </row>
    <row r="8347" spans="1:11">
      <c r="A8347" s="33" t="s">
        <v>19260</v>
      </c>
      <c r="B8347" s="33" t="s">
        <v>19261</v>
      </c>
      <c r="C8347" s="33" t="s">
        <v>178</v>
      </c>
      <c r="D8347" s="33" t="s">
        <v>17</v>
      </c>
      <c r="E8347" s="33" t="s">
        <v>26</v>
      </c>
      <c r="F8347" s="33" t="s">
        <v>27</v>
      </c>
      <c r="G8347" s="33" t="s">
        <v>20</v>
      </c>
      <c r="H8347" s="35">
        <v>131</v>
      </c>
      <c r="I8347" s="33" t="s">
        <v>21</v>
      </c>
      <c r="J8347" s="42">
        <v>44228</v>
      </c>
      <c r="K8347" s="33" t="s">
        <v>22</v>
      </c>
    </row>
    <row r="8348" spans="1:11">
      <c r="A8348" s="30" t="s">
        <v>19262</v>
      </c>
      <c r="B8348" s="30" t="s">
        <v>19263</v>
      </c>
      <c r="C8348" s="30" t="s">
        <v>1598</v>
      </c>
      <c r="D8348" s="30" t="s">
        <v>17</v>
      </c>
      <c r="E8348" s="30" t="s">
        <v>26</v>
      </c>
      <c r="F8348" s="30" t="s">
        <v>27</v>
      </c>
      <c r="G8348" s="30" t="s">
        <v>106</v>
      </c>
      <c r="H8348" s="32">
        <v>6</v>
      </c>
      <c r="I8348" s="30" t="s">
        <v>21</v>
      </c>
      <c r="J8348" s="41">
        <v>44532</v>
      </c>
      <c r="K8348" s="30" t="s">
        <v>22</v>
      </c>
    </row>
    <row r="8349" spans="1:11">
      <c r="A8349" s="33" t="s">
        <v>19264</v>
      </c>
      <c r="B8349" s="33" t="s">
        <v>19265</v>
      </c>
      <c r="C8349" s="33" t="s">
        <v>1261</v>
      </c>
      <c r="D8349" s="33" t="s">
        <v>17</v>
      </c>
      <c r="E8349" s="33" t="s">
        <v>26</v>
      </c>
      <c r="F8349" s="33" t="s">
        <v>27</v>
      </c>
      <c r="G8349" s="33" t="s">
        <v>112</v>
      </c>
      <c r="H8349" s="35">
        <v>0</v>
      </c>
      <c r="I8349" s="33" t="s">
        <v>21</v>
      </c>
      <c r="J8349" s="42">
        <v>44343</v>
      </c>
      <c r="K8349" s="33" t="s">
        <v>22</v>
      </c>
    </row>
    <row r="8350" spans="1:11">
      <c r="A8350" s="30" t="s">
        <v>19266</v>
      </c>
      <c r="B8350" s="30" t="s">
        <v>19267</v>
      </c>
      <c r="C8350" s="30" t="s">
        <v>1006</v>
      </c>
      <c r="D8350" s="30" t="s">
        <v>17</v>
      </c>
      <c r="E8350" s="30" t="s">
        <v>26</v>
      </c>
      <c r="F8350" s="30" t="s">
        <v>27</v>
      </c>
      <c r="G8350" s="30" t="s">
        <v>50</v>
      </c>
      <c r="H8350" s="32">
        <v>40</v>
      </c>
      <c r="I8350" s="30" t="s">
        <v>51</v>
      </c>
      <c r="J8350" s="41">
        <v>44440</v>
      </c>
      <c r="K8350" s="30" t="s">
        <v>22</v>
      </c>
    </row>
    <row r="8351" spans="1:11">
      <c r="A8351" s="33" t="s">
        <v>19268</v>
      </c>
      <c r="B8351" s="33" t="s">
        <v>19269</v>
      </c>
      <c r="C8351" s="33" t="s">
        <v>14816</v>
      </c>
      <c r="D8351" s="33" t="s">
        <v>17</v>
      </c>
      <c r="E8351" s="33" t="s">
        <v>26</v>
      </c>
      <c r="F8351" s="33" t="s">
        <v>27</v>
      </c>
      <c r="G8351" s="33" t="s">
        <v>50</v>
      </c>
      <c r="H8351" s="35">
        <v>28</v>
      </c>
      <c r="I8351" s="33" t="s">
        <v>21</v>
      </c>
      <c r="J8351" s="42">
        <v>44482</v>
      </c>
      <c r="K8351" s="33" t="s">
        <v>22</v>
      </c>
    </row>
    <row r="8352" spans="1:11">
      <c r="A8352" s="30" t="s">
        <v>19270</v>
      </c>
      <c r="B8352" s="30" t="s">
        <v>19271</v>
      </c>
      <c r="C8352" s="30" t="s">
        <v>13164</v>
      </c>
      <c r="D8352" s="30" t="s">
        <v>17</v>
      </c>
      <c r="E8352" s="30" t="s">
        <v>26</v>
      </c>
      <c r="F8352" s="30" t="s">
        <v>27</v>
      </c>
      <c r="G8352" s="30" t="s">
        <v>106</v>
      </c>
      <c r="H8352" s="32">
        <v>8</v>
      </c>
      <c r="I8352" s="30" t="s">
        <v>21</v>
      </c>
      <c r="J8352" s="41">
        <v>44335</v>
      </c>
      <c r="K8352" s="30" t="s">
        <v>22</v>
      </c>
    </row>
    <row r="8353" spans="1:11">
      <c r="A8353" s="33" t="s">
        <v>19272</v>
      </c>
      <c r="B8353" s="33" t="s">
        <v>19273</v>
      </c>
      <c r="C8353" s="33" t="s">
        <v>6032</v>
      </c>
      <c r="D8353" s="33" t="s">
        <v>17</v>
      </c>
      <c r="E8353" s="33" t="s">
        <v>26</v>
      </c>
      <c r="F8353" s="33" t="s">
        <v>27</v>
      </c>
      <c r="G8353" s="33" t="s">
        <v>20</v>
      </c>
      <c r="H8353" s="35">
        <v>28</v>
      </c>
      <c r="I8353" s="33" t="s">
        <v>21</v>
      </c>
      <c r="J8353" s="42">
        <v>44483</v>
      </c>
      <c r="K8353" s="33" t="s">
        <v>22</v>
      </c>
    </row>
    <row r="8354" spans="1:11">
      <c r="A8354" s="30" t="s">
        <v>19274</v>
      </c>
      <c r="B8354" s="30" t="s">
        <v>19275</v>
      </c>
      <c r="C8354" s="30" t="s">
        <v>3583</v>
      </c>
      <c r="D8354" s="30" t="s">
        <v>17</v>
      </c>
      <c r="E8354" s="30" t="s">
        <v>31</v>
      </c>
      <c r="F8354" s="30" t="s">
        <v>32</v>
      </c>
      <c r="G8354" s="30" t="s">
        <v>20</v>
      </c>
      <c r="H8354" s="32">
        <v>53</v>
      </c>
      <c r="I8354" s="30" t="s">
        <v>21</v>
      </c>
      <c r="J8354" s="41">
        <v>44547</v>
      </c>
      <c r="K8354" s="30" t="s">
        <v>22</v>
      </c>
    </row>
    <row r="8355" spans="1:11">
      <c r="A8355" s="33" t="s">
        <v>19276</v>
      </c>
      <c r="B8355" s="33" t="s">
        <v>19277</v>
      </c>
      <c r="C8355" s="33" t="s">
        <v>1658</v>
      </c>
      <c r="D8355" s="33" t="s">
        <v>17</v>
      </c>
      <c r="E8355" s="33" t="s">
        <v>67</v>
      </c>
      <c r="F8355" s="33" t="s">
        <v>68</v>
      </c>
      <c r="G8355" s="33" t="s">
        <v>20</v>
      </c>
      <c r="H8355" s="35">
        <v>279</v>
      </c>
      <c r="I8355" s="33" t="s">
        <v>21</v>
      </c>
      <c r="J8355" s="42">
        <v>44250</v>
      </c>
      <c r="K8355" s="33" t="s">
        <v>22</v>
      </c>
    </row>
    <row r="8356" spans="1:11">
      <c r="A8356" s="30" t="s">
        <v>19278</v>
      </c>
      <c r="B8356" s="30" t="s">
        <v>19279</v>
      </c>
      <c r="C8356" s="30" t="s">
        <v>6442</v>
      </c>
      <c r="D8356" s="30" t="s">
        <v>17</v>
      </c>
      <c r="E8356" s="30" t="s">
        <v>26</v>
      </c>
      <c r="F8356" s="30" t="s">
        <v>27</v>
      </c>
      <c r="G8356" s="30" t="s">
        <v>106</v>
      </c>
      <c r="H8356" s="32">
        <v>52</v>
      </c>
      <c r="I8356" s="30" t="s">
        <v>21</v>
      </c>
      <c r="J8356" s="41">
        <v>44237</v>
      </c>
      <c r="K8356" s="30" t="s">
        <v>22</v>
      </c>
    </row>
    <row r="8357" spans="1:11">
      <c r="A8357" s="33" t="s">
        <v>19280</v>
      </c>
      <c r="B8357" s="33" t="s">
        <v>19281</v>
      </c>
      <c r="C8357" s="33" t="s">
        <v>17564</v>
      </c>
      <c r="D8357" s="33" t="s">
        <v>17</v>
      </c>
      <c r="E8357" s="33" t="s">
        <v>31</v>
      </c>
      <c r="F8357" s="33" t="s">
        <v>32</v>
      </c>
      <c r="G8357" s="33" t="s">
        <v>112</v>
      </c>
      <c r="H8357" s="35">
        <v>0</v>
      </c>
      <c r="I8357" s="33" t="s">
        <v>21</v>
      </c>
      <c r="J8357" s="42">
        <v>44470</v>
      </c>
      <c r="K8357" s="33" t="s">
        <v>22</v>
      </c>
    </row>
    <row r="8358" spans="1:11">
      <c r="A8358" s="30" t="s">
        <v>19282</v>
      </c>
      <c r="B8358" s="30" t="s">
        <v>19283</v>
      </c>
      <c r="C8358" s="30" t="s">
        <v>102</v>
      </c>
      <c r="D8358" s="30" t="s">
        <v>17</v>
      </c>
      <c r="E8358" s="30" t="s">
        <v>330</v>
      </c>
      <c r="F8358" s="30" t="s">
        <v>331</v>
      </c>
      <c r="G8358" s="30" t="s">
        <v>20</v>
      </c>
      <c r="H8358" s="32">
        <v>10</v>
      </c>
      <c r="I8358" s="30" t="s">
        <v>21</v>
      </c>
      <c r="J8358" s="41">
        <v>44265</v>
      </c>
      <c r="K8358" s="30" t="s">
        <v>22</v>
      </c>
    </row>
    <row r="8359" spans="1:11">
      <c r="A8359" s="33" t="s">
        <v>19284</v>
      </c>
      <c r="B8359" s="33" t="s">
        <v>19285</v>
      </c>
      <c r="C8359" s="33" t="s">
        <v>4064</v>
      </c>
      <c r="D8359" s="33" t="s">
        <v>17</v>
      </c>
      <c r="E8359" s="33" t="s">
        <v>330</v>
      </c>
      <c r="F8359" s="33" t="s">
        <v>331</v>
      </c>
      <c r="G8359" s="33" t="s">
        <v>106</v>
      </c>
      <c r="H8359" s="35">
        <v>2</v>
      </c>
      <c r="I8359" s="33" t="s">
        <v>21</v>
      </c>
      <c r="J8359" s="42">
        <v>44348</v>
      </c>
      <c r="K8359" s="33" t="s">
        <v>22</v>
      </c>
    </row>
    <row r="8360" spans="1:11">
      <c r="A8360" s="30" t="s">
        <v>19286</v>
      </c>
      <c r="B8360" s="30" t="s">
        <v>19287</v>
      </c>
      <c r="C8360" s="30" t="s">
        <v>1136</v>
      </c>
      <c r="D8360" s="30" t="s">
        <v>17</v>
      </c>
      <c r="E8360" s="30" t="s">
        <v>26</v>
      </c>
      <c r="F8360" s="30" t="s">
        <v>27</v>
      </c>
      <c r="G8360" s="30" t="s">
        <v>20</v>
      </c>
      <c r="H8360" s="32">
        <v>38</v>
      </c>
      <c r="I8360" s="30" t="s">
        <v>21</v>
      </c>
      <c r="J8360" s="41">
        <v>44467</v>
      </c>
      <c r="K8360" s="30" t="s">
        <v>22</v>
      </c>
    </row>
    <row r="8361" spans="1:11">
      <c r="A8361" s="33" t="s">
        <v>19288</v>
      </c>
      <c r="B8361" s="33" t="s">
        <v>19289</v>
      </c>
      <c r="C8361" s="33" t="s">
        <v>252</v>
      </c>
      <c r="D8361" s="33" t="s">
        <v>17</v>
      </c>
      <c r="E8361" s="33" t="s">
        <v>18</v>
      </c>
      <c r="F8361" s="33" t="s">
        <v>19</v>
      </c>
      <c r="G8361" s="33" t="s">
        <v>20</v>
      </c>
      <c r="H8361" s="35">
        <v>610</v>
      </c>
      <c r="I8361" s="33" t="s">
        <v>21</v>
      </c>
      <c r="J8361" s="42">
        <v>44456</v>
      </c>
      <c r="K8361" s="33" t="s">
        <v>22</v>
      </c>
    </row>
    <row r="8362" spans="1:11">
      <c r="A8362" s="30" t="s">
        <v>19290</v>
      </c>
      <c r="B8362" s="30" t="s">
        <v>19291</v>
      </c>
      <c r="C8362" s="30" t="s">
        <v>1923</v>
      </c>
      <c r="D8362" s="30" t="s">
        <v>17</v>
      </c>
      <c r="E8362" s="30" t="s">
        <v>45</v>
      </c>
      <c r="F8362" s="30" t="s">
        <v>46</v>
      </c>
      <c r="G8362" s="30" t="s">
        <v>20</v>
      </c>
      <c r="H8362" s="32">
        <v>525</v>
      </c>
      <c r="I8362" s="30" t="s">
        <v>21</v>
      </c>
      <c r="J8362" s="41">
        <v>44342</v>
      </c>
      <c r="K8362" s="30" t="s">
        <v>22</v>
      </c>
    </row>
    <row r="8363" spans="1:11">
      <c r="A8363" s="33" t="s">
        <v>19292</v>
      </c>
      <c r="B8363" s="33" t="s">
        <v>19293</v>
      </c>
      <c r="C8363" s="33" t="s">
        <v>149</v>
      </c>
      <c r="D8363" s="33" t="s">
        <v>17</v>
      </c>
      <c r="E8363" s="33" t="s">
        <v>26</v>
      </c>
      <c r="F8363" s="33" t="s">
        <v>27</v>
      </c>
      <c r="G8363" s="33" t="s">
        <v>20</v>
      </c>
      <c r="H8363" s="35">
        <v>20</v>
      </c>
      <c r="I8363" s="33" t="s">
        <v>21</v>
      </c>
      <c r="J8363" s="42">
        <v>44446</v>
      </c>
      <c r="K8363" s="33" t="s">
        <v>22</v>
      </c>
    </row>
    <row r="8364" spans="1:11">
      <c r="A8364" s="30" t="s">
        <v>19294</v>
      </c>
      <c r="B8364" s="30" t="s">
        <v>19295</v>
      </c>
      <c r="C8364" s="30" t="s">
        <v>7949</v>
      </c>
      <c r="D8364" s="30" t="s">
        <v>17</v>
      </c>
      <c r="E8364" s="30" t="s">
        <v>26</v>
      </c>
      <c r="F8364" s="30" t="s">
        <v>27</v>
      </c>
      <c r="G8364" s="30" t="s">
        <v>106</v>
      </c>
      <c r="H8364" s="32">
        <v>13</v>
      </c>
      <c r="I8364" s="30" t="s">
        <v>21</v>
      </c>
      <c r="J8364" s="41">
        <v>44266</v>
      </c>
      <c r="K8364" s="30" t="s">
        <v>22</v>
      </c>
    </row>
    <row r="8365" spans="1:11">
      <c r="A8365" s="33" t="s">
        <v>19296</v>
      </c>
      <c r="B8365" s="33" t="s">
        <v>19297</v>
      </c>
      <c r="C8365" s="33" t="s">
        <v>1548</v>
      </c>
      <c r="D8365" s="33" t="s">
        <v>17</v>
      </c>
      <c r="E8365" s="33" t="s">
        <v>31</v>
      </c>
      <c r="F8365" s="33" t="s">
        <v>32</v>
      </c>
      <c r="G8365" s="33" t="s">
        <v>20</v>
      </c>
      <c r="H8365" s="35">
        <v>2</v>
      </c>
      <c r="I8365" s="33" t="s">
        <v>21</v>
      </c>
      <c r="J8365" s="42">
        <v>44532</v>
      </c>
      <c r="K8365" s="33" t="s">
        <v>22</v>
      </c>
    </row>
    <row r="8366" spans="1:11">
      <c r="A8366" s="30" t="s">
        <v>19298</v>
      </c>
      <c r="B8366" s="30" t="s">
        <v>19299</v>
      </c>
      <c r="C8366" s="30" t="s">
        <v>102</v>
      </c>
      <c r="D8366" s="30" t="s">
        <v>17</v>
      </c>
      <c r="E8366" s="30" t="s">
        <v>26</v>
      </c>
      <c r="F8366" s="30" t="s">
        <v>27</v>
      </c>
      <c r="G8366" s="30" t="s">
        <v>20</v>
      </c>
      <c r="H8366" s="32">
        <v>300</v>
      </c>
      <c r="I8366" s="30" t="s">
        <v>21</v>
      </c>
      <c r="J8366" s="41">
        <v>44300</v>
      </c>
      <c r="K8366" s="30" t="s">
        <v>22</v>
      </c>
    </row>
    <row r="8367" spans="1:11">
      <c r="A8367" s="33" t="s">
        <v>19300</v>
      </c>
      <c r="B8367" s="33" t="s">
        <v>19301</v>
      </c>
      <c r="C8367" s="33" t="s">
        <v>96</v>
      </c>
      <c r="D8367" s="33" t="s">
        <v>17</v>
      </c>
      <c r="E8367" s="33" t="s">
        <v>18</v>
      </c>
      <c r="F8367" s="33" t="s">
        <v>19</v>
      </c>
      <c r="G8367" s="33" t="s">
        <v>140</v>
      </c>
      <c r="H8367" s="35">
        <v>2100</v>
      </c>
      <c r="I8367" s="33" t="s">
        <v>51</v>
      </c>
      <c r="J8367" s="42">
        <v>44211</v>
      </c>
      <c r="K8367" s="33" t="s">
        <v>22</v>
      </c>
    </row>
    <row r="8368" spans="1:11">
      <c r="A8368" s="30" t="s">
        <v>19302</v>
      </c>
      <c r="B8368" s="30" t="s">
        <v>19303</v>
      </c>
      <c r="C8368" s="30" t="s">
        <v>787</v>
      </c>
      <c r="D8368" s="30" t="s">
        <v>17</v>
      </c>
      <c r="E8368" s="30" t="s">
        <v>18</v>
      </c>
      <c r="F8368" s="30" t="s">
        <v>19</v>
      </c>
      <c r="G8368" s="30" t="s">
        <v>50</v>
      </c>
      <c r="H8368" s="32">
        <v>218</v>
      </c>
      <c r="I8368" s="30" t="s">
        <v>51</v>
      </c>
      <c r="J8368" s="41">
        <v>44204</v>
      </c>
      <c r="K8368" s="30" t="s">
        <v>22</v>
      </c>
    </row>
    <row r="8369" spans="1:11">
      <c r="A8369" s="33" t="s">
        <v>19304</v>
      </c>
      <c r="B8369" s="33" t="s">
        <v>19305</v>
      </c>
      <c r="C8369" s="33" t="s">
        <v>1583</v>
      </c>
      <c r="D8369" s="33" t="s">
        <v>17</v>
      </c>
      <c r="E8369" s="33" t="s">
        <v>31</v>
      </c>
      <c r="F8369" s="33" t="s">
        <v>32</v>
      </c>
      <c r="G8369" s="33" t="s">
        <v>158</v>
      </c>
      <c r="H8369" s="35">
        <v>217</v>
      </c>
      <c r="I8369" s="33" t="s">
        <v>21</v>
      </c>
      <c r="J8369" s="42">
        <v>44207</v>
      </c>
      <c r="K8369" s="33" t="s">
        <v>22</v>
      </c>
    </row>
    <row r="8370" spans="1:11">
      <c r="A8370" s="30" t="s">
        <v>19306</v>
      </c>
      <c r="B8370" s="30" t="s">
        <v>19307</v>
      </c>
      <c r="C8370" s="30" t="s">
        <v>16683</v>
      </c>
      <c r="D8370" s="30" t="s">
        <v>17</v>
      </c>
      <c r="E8370" s="30" t="s">
        <v>31</v>
      </c>
      <c r="F8370" s="30" t="s">
        <v>32</v>
      </c>
      <c r="G8370" s="30" t="s">
        <v>140</v>
      </c>
      <c r="H8370" s="32">
        <v>114</v>
      </c>
      <c r="I8370" s="30" t="s">
        <v>51</v>
      </c>
      <c r="J8370" s="41">
        <v>44540</v>
      </c>
      <c r="K8370" s="30" t="s">
        <v>22</v>
      </c>
    </row>
    <row r="8371" spans="1:11">
      <c r="A8371" s="33" t="s">
        <v>19308</v>
      </c>
      <c r="B8371" s="33" t="s">
        <v>19309</v>
      </c>
      <c r="C8371" s="33" t="s">
        <v>1250</v>
      </c>
      <c r="D8371" s="33" t="s">
        <v>17</v>
      </c>
      <c r="E8371" s="33" t="s">
        <v>31</v>
      </c>
      <c r="F8371" s="33" t="s">
        <v>32</v>
      </c>
      <c r="G8371" s="33" t="s">
        <v>106</v>
      </c>
      <c r="H8371" s="35">
        <v>65</v>
      </c>
      <c r="I8371" s="33" t="s">
        <v>21</v>
      </c>
      <c r="J8371" s="42">
        <v>44323</v>
      </c>
      <c r="K8371" s="33" t="s">
        <v>22</v>
      </c>
    </row>
    <row r="8372" spans="1:11">
      <c r="A8372" s="30" t="s">
        <v>19310</v>
      </c>
      <c r="B8372" s="30" t="s">
        <v>19311</v>
      </c>
      <c r="C8372" s="30" t="s">
        <v>93</v>
      </c>
      <c r="D8372" s="30" t="s">
        <v>17</v>
      </c>
      <c r="E8372" s="30" t="s">
        <v>26</v>
      </c>
      <c r="F8372" s="30" t="s">
        <v>27</v>
      </c>
      <c r="G8372" s="30" t="s">
        <v>106</v>
      </c>
      <c r="H8372" s="32">
        <v>1</v>
      </c>
      <c r="I8372" s="30" t="s">
        <v>21</v>
      </c>
      <c r="J8372" s="41">
        <v>44272</v>
      </c>
      <c r="K8372" s="30" t="s">
        <v>22</v>
      </c>
    </row>
    <row r="8373" spans="1:11">
      <c r="A8373" s="33" t="s">
        <v>19312</v>
      </c>
      <c r="B8373" s="33" t="s">
        <v>19313</v>
      </c>
      <c r="C8373" s="33" t="s">
        <v>19314</v>
      </c>
      <c r="D8373" s="33" t="s">
        <v>17</v>
      </c>
      <c r="E8373" s="33" t="s">
        <v>26</v>
      </c>
      <c r="F8373" s="33" t="s">
        <v>27</v>
      </c>
      <c r="G8373" s="33" t="s">
        <v>20</v>
      </c>
      <c r="H8373" s="35">
        <v>90</v>
      </c>
      <c r="I8373" s="33" t="s">
        <v>21</v>
      </c>
      <c r="J8373" s="42">
        <v>44397</v>
      </c>
      <c r="K8373" s="33" t="s">
        <v>22</v>
      </c>
    </row>
    <row r="8374" spans="1:11">
      <c r="A8374" s="30" t="s">
        <v>19315</v>
      </c>
      <c r="B8374" s="30" t="s">
        <v>19316</v>
      </c>
      <c r="C8374" s="30" t="s">
        <v>19317</v>
      </c>
      <c r="D8374" s="30" t="s">
        <v>17</v>
      </c>
      <c r="E8374" s="30" t="s">
        <v>26</v>
      </c>
      <c r="F8374" s="30" t="s">
        <v>27</v>
      </c>
      <c r="G8374" s="30" t="s">
        <v>20</v>
      </c>
      <c r="H8374" s="32">
        <v>76</v>
      </c>
      <c r="I8374" s="30" t="s">
        <v>21</v>
      </c>
      <c r="J8374" s="41">
        <v>44510</v>
      </c>
      <c r="K8374" s="30" t="s">
        <v>22</v>
      </c>
    </row>
    <row r="8375" spans="1:11">
      <c r="A8375" s="33" t="s">
        <v>19318</v>
      </c>
      <c r="B8375" s="33" t="s">
        <v>19319</v>
      </c>
      <c r="C8375" s="33" t="s">
        <v>12277</v>
      </c>
      <c r="D8375" s="33" t="s">
        <v>17</v>
      </c>
      <c r="E8375" s="33" t="s">
        <v>31</v>
      </c>
      <c r="F8375" s="33" t="s">
        <v>32</v>
      </c>
      <c r="G8375" s="33" t="s">
        <v>20</v>
      </c>
      <c r="H8375" s="35">
        <v>84</v>
      </c>
      <c r="I8375" s="33" t="s">
        <v>21</v>
      </c>
      <c r="J8375" s="42">
        <v>44286</v>
      </c>
      <c r="K8375" s="33" t="s">
        <v>22</v>
      </c>
    </row>
    <row r="8376" spans="1:11">
      <c r="A8376" s="30" t="s">
        <v>19320</v>
      </c>
      <c r="B8376" s="30" t="s">
        <v>19321</v>
      </c>
      <c r="C8376" s="30" t="s">
        <v>14643</v>
      </c>
      <c r="D8376" s="30" t="s">
        <v>17</v>
      </c>
      <c r="E8376" s="30" t="s">
        <v>18</v>
      </c>
      <c r="F8376" s="30" t="s">
        <v>19</v>
      </c>
      <c r="G8376" s="30" t="s">
        <v>140</v>
      </c>
      <c r="H8376" s="32">
        <v>168</v>
      </c>
      <c r="I8376" s="30" t="s">
        <v>51</v>
      </c>
      <c r="J8376" s="41">
        <v>44349</v>
      </c>
      <c r="K8376" s="30" t="s">
        <v>22</v>
      </c>
    </row>
    <row r="8377" spans="1:11">
      <c r="A8377" s="33" t="s">
        <v>19322</v>
      </c>
      <c r="B8377" s="33" t="s">
        <v>19323</v>
      </c>
      <c r="C8377" s="33" t="s">
        <v>60</v>
      </c>
      <c r="D8377" s="33" t="s">
        <v>17</v>
      </c>
      <c r="E8377" s="33" t="s">
        <v>18</v>
      </c>
      <c r="F8377" s="33" t="s">
        <v>19</v>
      </c>
      <c r="G8377" s="33" t="s">
        <v>20</v>
      </c>
      <c r="H8377" s="35">
        <v>82</v>
      </c>
      <c r="I8377" s="33" t="s">
        <v>21</v>
      </c>
      <c r="J8377" s="42">
        <v>44481</v>
      </c>
      <c r="K8377" s="33" t="s">
        <v>22</v>
      </c>
    </row>
    <row r="8378" spans="1:11">
      <c r="A8378" s="30" t="s">
        <v>19324</v>
      </c>
      <c r="B8378" s="30" t="s">
        <v>19325</v>
      </c>
      <c r="C8378" s="30" t="s">
        <v>109</v>
      </c>
      <c r="D8378" s="30" t="s">
        <v>17</v>
      </c>
      <c r="E8378" s="30" t="s">
        <v>212</v>
      </c>
      <c r="F8378" s="30" t="s">
        <v>213</v>
      </c>
      <c r="G8378" s="30" t="s">
        <v>20</v>
      </c>
      <c r="H8378" s="32">
        <v>63</v>
      </c>
      <c r="I8378" s="30" t="s">
        <v>21</v>
      </c>
      <c r="J8378" s="41">
        <v>44210</v>
      </c>
      <c r="K8378" s="30" t="s">
        <v>22</v>
      </c>
    </row>
    <row r="8379" spans="1:11">
      <c r="A8379" s="33" t="s">
        <v>19326</v>
      </c>
      <c r="B8379" s="33" t="s">
        <v>19327</v>
      </c>
      <c r="C8379" s="33" t="s">
        <v>19328</v>
      </c>
      <c r="D8379" s="33" t="s">
        <v>17</v>
      </c>
      <c r="E8379" s="33" t="s">
        <v>67</v>
      </c>
      <c r="F8379" s="33" t="s">
        <v>68</v>
      </c>
      <c r="G8379" s="33" t="s">
        <v>140</v>
      </c>
      <c r="H8379" s="35">
        <v>442</v>
      </c>
      <c r="I8379" s="33" t="s">
        <v>51</v>
      </c>
      <c r="J8379" s="42">
        <v>44223</v>
      </c>
      <c r="K8379" s="33" t="s">
        <v>22</v>
      </c>
    </row>
    <row r="8380" spans="1:11">
      <c r="A8380" s="30" t="s">
        <v>19329</v>
      </c>
      <c r="B8380" s="30" t="s">
        <v>19330</v>
      </c>
      <c r="C8380" s="30" t="s">
        <v>109</v>
      </c>
      <c r="D8380" s="30" t="s">
        <v>17</v>
      </c>
      <c r="E8380" s="30" t="s">
        <v>67</v>
      </c>
      <c r="F8380" s="30" t="s">
        <v>68</v>
      </c>
      <c r="G8380" s="30" t="s">
        <v>158</v>
      </c>
      <c r="H8380" s="32">
        <v>344</v>
      </c>
      <c r="I8380" s="30" t="s">
        <v>21</v>
      </c>
      <c r="J8380" s="41">
        <v>44251</v>
      </c>
      <c r="K8380" s="30" t="s">
        <v>22</v>
      </c>
    </row>
    <row r="8381" spans="1:11">
      <c r="A8381" s="33" t="s">
        <v>19331</v>
      </c>
      <c r="B8381" s="33" t="s">
        <v>19332</v>
      </c>
      <c r="C8381" s="33" t="s">
        <v>1102</v>
      </c>
      <c r="D8381" s="33" t="s">
        <v>17</v>
      </c>
      <c r="E8381" s="33" t="s">
        <v>26</v>
      </c>
      <c r="F8381" s="33" t="s">
        <v>27</v>
      </c>
      <c r="G8381" s="33" t="s">
        <v>20</v>
      </c>
      <c r="H8381" s="35">
        <v>16</v>
      </c>
      <c r="I8381" s="33" t="s">
        <v>21</v>
      </c>
      <c r="J8381" s="42">
        <v>44239</v>
      </c>
      <c r="K8381" s="33" t="s">
        <v>22</v>
      </c>
    </row>
    <row r="8382" spans="1:11">
      <c r="A8382" s="30" t="s">
        <v>19333</v>
      </c>
      <c r="B8382" s="30" t="s">
        <v>19334</v>
      </c>
      <c r="C8382" s="30" t="s">
        <v>426</v>
      </c>
      <c r="D8382" s="30" t="s">
        <v>17</v>
      </c>
      <c r="E8382" s="30" t="s">
        <v>67</v>
      </c>
      <c r="F8382" s="30" t="s">
        <v>68</v>
      </c>
      <c r="G8382" s="30" t="s">
        <v>50</v>
      </c>
      <c r="H8382" s="32">
        <v>24</v>
      </c>
      <c r="I8382" s="30" t="s">
        <v>51</v>
      </c>
      <c r="J8382" s="41">
        <v>44407</v>
      </c>
      <c r="K8382" s="30" t="s">
        <v>22</v>
      </c>
    </row>
    <row r="8383" spans="1:11">
      <c r="A8383" s="33" t="s">
        <v>19335</v>
      </c>
      <c r="B8383" s="33" t="s">
        <v>19336</v>
      </c>
      <c r="C8383" s="33" t="s">
        <v>684</v>
      </c>
      <c r="D8383" s="33" t="s">
        <v>17</v>
      </c>
      <c r="E8383" s="33" t="s">
        <v>18</v>
      </c>
      <c r="F8383" s="33" t="s">
        <v>19</v>
      </c>
      <c r="G8383" s="33" t="s">
        <v>20</v>
      </c>
      <c r="H8383" s="35">
        <v>430</v>
      </c>
      <c r="I8383" s="33" t="s">
        <v>21</v>
      </c>
      <c r="J8383" s="42">
        <v>44249</v>
      </c>
      <c r="K8383" s="33" t="s">
        <v>22</v>
      </c>
    </row>
    <row r="8384" spans="1:11">
      <c r="A8384" s="30" t="s">
        <v>19337</v>
      </c>
      <c r="B8384" s="30" t="s">
        <v>19338</v>
      </c>
      <c r="C8384" s="30" t="s">
        <v>1112</v>
      </c>
      <c r="D8384" s="30" t="s">
        <v>17</v>
      </c>
      <c r="E8384" s="30" t="s">
        <v>26</v>
      </c>
      <c r="F8384" s="30" t="s">
        <v>27</v>
      </c>
      <c r="G8384" s="30" t="s">
        <v>20</v>
      </c>
      <c r="H8384" s="32">
        <v>71</v>
      </c>
      <c r="I8384" s="30" t="s">
        <v>21</v>
      </c>
      <c r="J8384" s="41">
        <v>44467</v>
      </c>
      <c r="K8384" s="30" t="s">
        <v>22</v>
      </c>
    </row>
    <row r="8385" spans="1:11">
      <c r="A8385" s="33" t="s">
        <v>19339</v>
      </c>
      <c r="B8385" s="33" t="s">
        <v>19340</v>
      </c>
      <c r="C8385" s="33" t="s">
        <v>19341</v>
      </c>
      <c r="D8385" s="33" t="s">
        <v>17</v>
      </c>
      <c r="E8385" s="33" t="s">
        <v>31</v>
      </c>
      <c r="F8385" s="33" t="s">
        <v>32</v>
      </c>
      <c r="G8385" s="33" t="s">
        <v>50</v>
      </c>
      <c r="H8385" s="35">
        <v>90</v>
      </c>
      <c r="I8385" s="33" t="s">
        <v>51</v>
      </c>
      <c r="J8385" s="42">
        <v>44452</v>
      </c>
      <c r="K8385" s="33" t="s">
        <v>22</v>
      </c>
    </row>
    <row r="8386" spans="1:11">
      <c r="A8386" s="30" t="s">
        <v>19342</v>
      </c>
      <c r="B8386" s="30" t="s">
        <v>19343</v>
      </c>
      <c r="C8386" s="30" t="s">
        <v>14580</v>
      </c>
      <c r="D8386" s="30" t="s">
        <v>17</v>
      </c>
      <c r="E8386" s="30" t="s">
        <v>26</v>
      </c>
      <c r="F8386" s="30" t="s">
        <v>27</v>
      </c>
      <c r="G8386" s="30" t="s">
        <v>50</v>
      </c>
      <c r="H8386" s="32">
        <v>174</v>
      </c>
      <c r="I8386" s="30" t="s">
        <v>51</v>
      </c>
      <c r="J8386" s="41">
        <v>44403</v>
      </c>
      <c r="K8386" s="30" t="s">
        <v>22</v>
      </c>
    </row>
    <row r="8387" spans="1:11">
      <c r="A8387" s="33" t="s">
        <v>19344</v>
      </c>
      <c r="B8387" s="33" t="s">
        <v>19345</v>
      </c>
      <c r="C8387" s="33" t="s">
        <v>19346</v>
      </c>
      <c r="D8387" s="33" t="s">
        <v>17</v>
      </c>
      <c r="E8387" s="33" t="s">
        <v>31</v>
      </c>
      <c r="F8387" s="33" t="s">
        <v>32</v>
      </c>
      <c r="G8387" s="33" t="s">
        <v>106</v>
      </c>
      <c r="H8387" s="35">
        <v>10</v>
      </c>
      <c r="I8387" s="33" t="s">
        <v>21</v>
      </c>
      <c r="J8387" s="42">
        <v>44258</v>
      </c>
      <c r="K8387" s="33" t="s">
        <v>22</v>
      </c>
    </row>
    <row r="8388" spans="1:11">
      <c r="A8388" s="30" t="s">
        <v>19347</v>
      </c>
      <c r="B8388" s="30" t="s">
        <v>19348</v>
      </c>
      <c r="C8388" s="30" t="s">
        <v>6442</v>
      </c>
      <c r="D8388" s="30" t="s">
        <v>17</v>
      </c>
      <c r="E8388" s="30" t="s">
        <v>26</v>
      </c>
      <c r="F8388" s="30" t="s">
        <v>27</v>
      </c>
      <c r="G8388" s="30" t="s">
        <v>140</v>
      </c>
      <c r="H8388" s="32">
        <v>1314</v>
      </c>
      <c r="I8388" s="30" t="s">
        <v>51</v>
      </c>
      <c r="J8388" s="41">
        <v>44544</v>
      </c>
      <c r="K8388" s="30" t="s">
        <v>22</v>
      </c>
    </row>
    <row r="8389" spans="1:11">
      <c r="A8389" s="33" t="s">
        <v>19349</v>
      </c>
      <c r="B8389" s="33" t="s">
        <v>19350</v>
      </c>
      <c r="C8389" s="33" t="s">
        <v>96</v>
      </c>
      <c r="D8389" s="33" t="s">
        <v>17</v>
      </c>
      <c r="E8389" s="33" t="s">
        <v>26</v>
      </c>
      <c r="F8389" s="33" t="s">
        <v>27</v>
      </c>
      <c r="G8389" s="33" t="s">
        <v>20</v>
      </c>
      <c r="H8389" s="35">
        <v>50</v>
      </c>
      <c r="I8389" s="33" t="s">
        <v>21</v>
      </c>
      <c r="J8389" s="42">
        <v>44512</v>
      </c>
      <c r="K8389" s="33" t="s">
        <v>22</v>
      </c>
    </row>
    <row r="8390" spans="1:11">
      <c r="A8390" s="30" t="s">
        <v>19351</v>
      </c>
      <c r="B8390" s="30" t="s">
        <v>19352</v>
      </c>
      <c r="C8390" s="30" t="s">
        <v>19353</v>
      </c>
      <c r="D8390" s="30" t="s">
        <v>17</v>
      </c>
      <c r="E8390" s="30" t="s">
        <v>26</v>
      </c>
      <c r="F8390" s="30" t="s">
        <v>27</v>
      </c>
      <c r="G8390" s="30" t="s">
        <v>20</v>
      </c>
      <c r="H8390" s="32">
        <v>37</v>
      </c>
      <c r="I8390" s="30" t="s">
        <v>21</v>
      </c>
      <c r="J8390" s="41">
        <v>44550</v>
      </c>
      <c r="K8390" s="30" t="s">
        <v>22</v>
      </c>
    </row>
    <row r="8391" spans="1:11">
      <c r="A8391" s="33" t="s">
        <v>19354</v>
      </c>
      <c r="B8391" s="33" t="s">
        <v>19355</v>
      </c>
      <c r="C8391" s="33" t="s">
        <v>8079</v>
      </c>
      <c r="D8391" s="33" t="s">
        <v>17</v>
      </c>
      <c r="E8391" s="33" t="s">
        <v>31</v>
      </c>
      <c r="F8391" s="33" t="s">
        <v>32</v>
      </c>
      <c r="G8391" s="33" t="s">
        <v>20</v>
      </c>
      <c r="H8391" s="35">
        <v>252</v>
      </c>
      <c r="I8391" s="33" t="s">
        <v>21</v>
      </c>
      <c r="J8391" s="42">
        <v>44505</v>
      </c>
      <c r="K8391" s="33" t="s">
        <v>22</v>
      </c>
    </row>
    <row r="8392" spans="1:11">
      <c r="A8392" s="30" t="s">
        <v>19356</v>
      </c>
      <c r="B8392" s="30" t="s">
        <v>19357</v>
      </c>
      <c r="C8392" s="30" t="s">
        <v>4833</v>
      </c>
      <c r="D8392" s="30" t="s">
        <v>17</v>
      </c>
      <c r="E8392" s="30" t="s">
        <v>31</v>
      </c>
      <c r="F8392" s="30" t="s">
        <v>32</v>
      </c>
      <c r="G8392" s="30" t="s">
        <v>106</v>
      </c>
      <c r="H8392" s="32">
        <v>41</v>
      </c>
      <c r="I8392" s="30" t="s">
        <v>21</v>
      </c>
      <c r="J8392" s="41">
        <v>44314</v>
      </c>
      <c r="K8392" s="30" t="s">
        <v>22</v>
      </c>
    </row>
    <row r="8393" spans="1:11">
      <c r="A8393" s="33" t="s">
        <v>19358</v>
      </c>
      <c r="B8393" s="33" t="s">
        <v>19359</v>
      </c>
      <c r="C8393" s="33" t="s">
        <v>149</v>
      </c>
      <c r="D8393" s="33" t="s">
        <v>17</v>
      </c>
      <c r="E8393" s="33" t="s">
        <v>26</v>
      </c>
      <c r="F8393" s="33" t="s">
        <v>27</v>
      </c>
      <c r="G8393" s="33" t="s">
        <v>20</v>
      </c>
      <c r="H8393" s="35">
        <v>18</v>
      </c>
      <c r="I8393" s="33" t="s">
        <v>21</v>
      </c>
      <c r="J8393" s="42">
        <v>44302</v>
      </c>
      <c r="K8393" s="33" t="s">
        <v>22</v>
      </c>
    </row>
    <row r="8394" spans="1:11">
      <c r="A8394" s="30" t="s">
        <v>19360</v>
      </c>
      <c r="B8394" s="30" t="s">
        <v>19361</v>
      </c>
      <c r="C8394" s="30" t="s">
        <v>899</v>
      </c>
      <c r="D8394" s="30" t="s">
        <v>17</v>
      </c>
      <c r="E8394" s="30" t="s">
        <v>45</v>
      </c>
      <c r="F8394" s="30" t="s">
        <v>46</v>
      </c>
      <c r="G8394" s="30" t="s">
        <v>140</v>
      </c>
      <c r="H8394" s="32">
        <v>600</v>
      </c>
      <c r="I8394" s="30" t="s">
        <v>51</v>
      </c>
      <c r="J8394" s="41">
        <v>44544</v>
      </c>
      <c r="K8394" s="30" t="s">
        <v>22</v>
      </c>
    </row>
    <row r="8395" spans="1:11">
      <c r="A8395" s="33" t="s">
        <v>19362</v>
      </c>
      <c r="B8395" s="33" t="s">
        <v>19363</v>
      </c>
      <c r="C8395" s="33" t="s">
        <v>1583</v>
      </c>
      <c r="D8395" s="33" t="s">
        <v>17</v>
      </c>
      <c r="E8395" s="33" t="s">
        <v>18</v>
      </c>
      <c r="F8395" s="33" t="s">
        <v>19</v>
      </c>
      <c r="G8395" s="33" t="s">
        <v>20</v>
      </c>
      <c r="H8395" s="35">
        <v>502</v>
      </c>
      <c r="I8395" s="33" t="s">
        <v>21</v>
      </c>
      <c r="J8395" s="42">
        <v>44249</v>
      </c>
      <c r="K8395" s="33" t="s">
        <v>22</v>
      </c>
    </row>
    <row r="8396" spans="1:11">
      <c r="A8396" s="30" t="s">
        <v>19364</v>
      </c>
      <c r="B8396" s="30" t="s">
        <v>19365</v>
      </c>
      <c r="C8396" s="30" t="s">
        <v>8052</v>
      </c>
      <c r="D8396" s="30" t="s">
        <v>17</v>
      </c>
      <c r="E8396" s="30" t="s">
        <v>26</v>
      </c>
      <c r="F8396" s="30" t="s">
        <v>27</v>
      </c>
      <c r="G8396" s="30" t="s">
        <v>106</v>
      </c>
      <c r="H8396" s="32">
        <v>40</v>
      </c>
      <c r="I8396" s="30" t="s">
        <v>21</v>
      </c>
      <c r="J8396" s="41">
        <v>44464</v>
      </c>
      <c r="K8396" s="30" t="s">
        <v>22</v>
      </c>
    </row>
    <row r="8397" spans="1:11">
      <c r="A8397" s="33" t="s">
        <v>19366</v>
      </c>
      <c r="B8397" s="33" t="s">
        <v>19367</v>
      </c>
      <c r="C8397" s="33" t="s">
        <v>19368</v>
      </c>
      <c r="D8397" s="33" t="s">
        <v>17</v>
      </c>
      <c r="E8397" s="33" t="s">
        <v>330</v>
      </c>
      <c r="F8397" s="33" t="s">
        <v>331</v>
      </c>
      <c r="G8397" s="33" t="s">
        <v>20</v>
      </c>
      <c r="H8397" s="35">
        <v>100</v>
      </c>
      <c r="I8397" s="33" t="s">
        <v>21</v>
      </c>
      <c r="J8397" s="42">
        <v>44365</v>
      </c>
      <c r="K8397" s="33" t="s">
        <v>22</v>
      </c>
    </row>
    <row r="8398" spans="1:11">
      <c r="A8398" s="30" t="s">
        <v>19369</v>
      </c>
      <c r="B8398" s="30" t="s">
        <v>19370</v>
      </c>
      <c r="C8398" s="30" t="s">
        <v>19371</v>
      </c>
      <c r="D8398" s="30" t="s">
        <v>17</v>
      </c>
      <c r="E8398" s="30" t="s">
        <v>67</v>
      </c>
      <c r="F8398" s="30" t="s">
        <v>68</v>
      </c>
      <c r="G8398" s="30" t="s">
        <v>158</v>
      </c>
      <c r="H8398" s="32">
        <v>87</v>
      </c>
      <c r="I8398" s="30" t="s">
        <v>21</v>
      </c>
      <c r="J8398" s="41">
        <v>44375</v>
      </c>
      <c r="K8398" s="30" t="s">
        <v>22</v>
      </c>
    </row>
    <row r="8399" spans="1:11">
      <c r="A8399" s="33" t="s">
        <v>19372</v>
      </c>
      <c r="B8399" s="33" t="s">
        <v>19373</v>
      </c>
      <c r="C8399" s="33" t="s">
        <v>1090</v>
      </c>
      <c r="D8399" s="33" t="s">
        <v>17</v>
      </c>
      <c r="E8399" s="33" t="s">
        <v>18</v>
      </c>
      <c r="F8399" s="33" t="s">
        <v>19</v>
      </c>
      <c r="G8399" s="33" t="s">
        <v>50</v>
      </c>
      <c r="H8399" s="35">
        <v>93</v>
      </c>
      <c r="I8399" s="33" t="s">
        <v>51</v>
      </c>
      <c r="J8399" s="42">
        <v>44545</v>
      </c>
      <c r="K8399" s="33" t="s">
        <v>22</v>
      </c>
    </row>
    <row r="8400" spans="1:11">
      <c r="A8400" s="30" t="s">
        <v>19374</v>
      </c>
      <c r="B8400" s="30" t="s">
        <v>19375</v>
      </c>
      <c r="C8400" s="30" t="s">
        <v>96</v>
      </c>
      <c r="D8400" s="30" t="s">
        <v>17</v>
      </c>
      <c r="E8400" s="30" t="s">
        <v>31</v>
      </c>
      <c r="F8400" s="30" t="s">
        <v>32</v>
      </c>
      <c r="G8400" s="30" t="s">
        <v>158</v>
      </c>
      <c r="H8400" s="32">
        <v>66</v>
      </c>
      <c r="I8400" s="30" t="s">
        <v>21</v>
      </c>
      <c r="J8400" s="41">
        <v>44294</v>
      </c>
      <c r="K8400" s="30" t="s">
        <v>22</v>
      </c>
    </row>
    <row r="8401" spans="1:11">
      <c r="A8401" s="33" t="s">
        <v>19376</v>
      </c>
      <c r="B8401" s="33" t="s">
        <v>19377</v>
      </c>
      <c r="C8401" s="33" t="s">
        <v>5100</v>
      </c>
      <c r="D8401" s="33" t="s">
        <v>17</v>
      </c>
      <c r="E8401" s="33" t="s">
        <v>31</v>
      </c>
      <c r="F8401" s="33" t="s">
        <v>32</v>
      </c>
      <c r="G8401" s="33" t="s">
        <v>50</v>
      </c>
      <c r="H8401" s="35">
        <v>120</v>
      </c>
      <c r="I8401" s="33" t="s">
        <v>51</v>
      </c>
      <c r="J8401" s="42">
        <v>44412</v>
      </c>
      <c r="K8401" s="33" t="s">
        <v>22</v>
      </c>
    </row>
    <row r="8402" spans="1:11">
      <c r="A8402" s="30" t="s">
        <v>19378</v>
      </c>
      <c r="B8402" s="30" t="s">
        <v>19379</v>
      </c>
      <c r="C8402" s="30" t="s">
        <v>187</v>
      </c>
      <c r="D8402" s="30" t="s">
        <v>17</v>
      </c>
      <c r="E8402" s="30" t="s">
        <v>330</v>
      </c>
      <c r="F8402" s="30" t="s">
        <v>331</v>
      </c>
      <c r="G8402" s="30" t="s">
        <v>20</v>
      </c>
      <c r="H8402" s="32">
        <v>4</v>
      </c>
      <c r="I8402" s="30" t="s">
        <v>21</v>
      </c>
      <c r="J8402" s="41">
        <v>44314</v>
      </c>
      <c r="K8402" s="30" t="s">
        <v>22</v>
      </c>
    </row>
    <row r="8403" spans="1:11">
      <c r="A8403" s="33" t="s">
        <v>19380</v>
      </c>
      <c r="B8403" s="33" t="s">
        <v>19381</v>
      </c>
      <c r="C8403" s="33" t="s">
        <v>715</v>
      </c>
      <c r="D8403" s="33" t="s">
        <v>17</v>
      </c>
      <c r="E8403" s="33" t="s">
        <v>18</v>
      </c>
      <c r="F8403" s="33" t="s">
        <v>19</v>
      </c>
      <c r="G8403" s="33" t="s">
        <v>106</v>
      </c>
      <c r="H8403" s="35">
        <v>26</v>
      </c>
      <c r="I8403" s="33" t="s">
        <v>21</v>
      </c>
      <c r="J8403" s="42">
        <v>44270</v>
      </c>
      <c r="K8403" s="33" t="s">
        <v>22</v>
      </c>
    </row>
    <row r="8404" spans="1:11">
      <c r="A8404" s="30" t="s">
        <v>19382</v>
      </c>
      <c r="B8404" s="30" t="s">
        <v>19383</v>
      </c>
      <c r="C8404" s="30" t="s">
        <v>6607</v>
      </c>
      <c r="D8404" s="30" t="s">
        <v>17</v>
      </c>
      <c r="E8404" s="30" t="s">
        <v>26</v>
      </c>
      <c r="F8404" s="30" t="s">
        <v>27</v>
      </c>
      <c r="G8404" s="30" t="s">
        <v>20</v>
      </c>
      <c r="H8404" s="32">
        <v>17</v>
      </c>
      <c r="I8404" s="30" t="s">
        <v>21</v>
      </c>
      <c r="J8404" s="41">
        <v>44222</v>
      </c>
      <c r="K8404" s="30" t="s">
        <v>22</v>
      </c>
    </row>
    <row r="8405" spans="1:11">
      <c r="A8405" s="33" t="s">
        <v>19384</v>
      </c>
      <c r="B8405" s="33" t="s">
        <v>19385</v>
      </c>
      <c r="C8405" s="33" t="s">
        <v>178</v>
      </c>
      <c r="D8405" s="33" t="s">
        <v>17</v>
      </c>
      <c r="E8405" s="33" t="s">
        <v>18</v>
      </c>
      <c r="F8405" s="33" t="s">
        <v>19</v>
      </c>
      <c r="G8405" s="33" t="s">
        <v>20</v>
      </c>
      <c r="H8405" s="35">
        <v>119</v>
      </c>
      <c r="I8405" s="33" t="s">
        <v>21</v>
      </c>
      <c r="J8405" s="42">
        <v>44257</v>
      </c>
      <c r="K8405" s="33" t="s">
        <v>22</v>
      </c>
    </row>
    <row r="8406" spans="1:11">
      <c r="A8406" s="30" t="s">
        <v>19386</v>
      </c>
      <c r="B8406" s="30" t="s">
        <v>19387</v>
      </c>
      <c r="C8406" s="30" t="s">
        <v>78</v>
      </c>
      <c r="D8406" s="30" t="s">
        <v>17</v>
      </c>
      <c r="E8406" s="30" t="s">
        <v>26</v>
      </c>
      <c r="F8406" s="30" t="s">
        <v>27</v>
      </c>
      <c r="G8406" s="30" t="s">
        <v>20</v>
      </c>
      <c r="H8406" s="32">
        <v>70</v>
      </c>
      <c r="I8406" s="30" t="s">
        <v>21</v>
      </c>
      <c r="J8406" s="41">
        <v>44205</v>
      </c>
      <c r="K8406" s="30" t="s">
        <v>22</v>
      </c>
    </row>
    <row r="8407" spans="1:11">
      <c r="A8407" s="33" t="s">
        <v>19388</v>
      </c>
      <c r="B8407" s="33" t="s">
        <v>19389</v>
      </c>
      <c r="C8407" s="33" t="s">
        <v>310</v>
      </c>
      <c r="D8407" s="33" t="s">
        <v>17</v>
      </c>
      <c r="E8407" s="33" t="s">
        <v>18</v>
      </c>
      <c r="F8407" s="33" t="s">
        <v>19</v>
      </c>
      <c r="G8407" s="33" t="s">
        <v>20</v>
      </c>
      <c r="H8407" s="35">
        <v>1606</v>
      </c>
      <c r="I8407" s="33" t="s">
        <v>21</v>
      </c>
      <c r="J8407" s="42">
        <v>44211</v>
      </c>
      <c r="K8407" s="33" t="s">
        <v>22</v>
      </c>
    </row>
    <row r="8408" spans="1:11">
      <c r="A8408" s="30" t="s">
        <v>19390</v>
      </c>
      <c r="B8408" s="30" t="s">
        <v>19391</v>
      </c>
      <c r="C8408" s="30" t="s">
        <v>190</v>
      </c>
      <c r="D8408" s="30" t="s">
        <v>17</v>
      </c>
      <c r="E8408" s="30" t="s">
        <v>31</v>
      </c>
      <c r="F8408" s="30" t="s">
        <v>32</v>
      </c>
      <c r="G8408" s="30" t="s">
        <v>20</v>
      </c>
      <c r="H8408" s="32">
        <v>153</v>
      </c>
      <c r="I8408" s="30" t="s">
        <v>21</v>
      </c>
      <c r="J8408" s="41">
        <v>44222</v>
      </c>
      <c r="K8408" s="30" t="s">
        <v>22</v>
      </c>
    </row>
    <row r="8409" spans="1:11">
      <c r="A8409" s="33" t="s">
        <v>19392</v>
      </c>
      <c r="B8409" s="33" t="s">
        <v>19393</v>
      </c>
      <c r="C8409" s="33" t="s">
        <v>96</v>
      </c>
      <c r="D8409" s="33" t="s">
        <v>17</v>
      </c>
      <c r="E8409" s="33" t="s">
        <v>26</v>
      </c>
      <c r="F8409" s="33" t="s">
        <v>27</v>
      </c>
      <c r="G8409" s="33" t="s">
        <v>20</v>
      </c>
      <c r="H8409" s="35">
        <v>12</v>
      </c>
      <c r="I8409" s="33" t="s">
        <v>21</v>
      </c>
      <c r="J8409" s="42">
        <v>44449</v>
      </c>
      <c r="K8409" s="33" t="s">
        <v>22</v>
      </c>
    </row>
    <row r="8410" spans="1:11">
      <c r="A8410" s="30" t="s">
        <v>19394</v>
      </c>
      <c r="B8410" s="30" t="s">
        <v>19395</v>
      </c>
      <c r="C8410" s="30" t="s">
        <v>130</v>
      </c>
      <c r="D8410" s="30" t="s">
        <v>17</v>
      </c>
      <c r="E8410" s="30" t="s">
        <v>18</v>
      </c>
      <c r="F8410" s="30" t="s">
        <v>19</v>
      </c>
      <c r="G8410" s="30" t="s">
        <v>20</v>
      </c>
      <c r="H8410" s="32">
        <v>330</v>
      </c>
      <c r="I8410" s="30" t="s">
        <v>21</v>
      </c>
      <c r="J8410" s="41">
        <v>44396</v>
      </c>
      <c r="K8410" s="30" t="s">
        <v>22</v>
      </c>
    </row>
    <row r="8411" spans="1:11">
      <c r="A8411" s="33" t="s">
        <v>19396</v>
      </c>
      <c r="B8411" s="33" t="s">
        <v>19397</v>
      </c>
      <c r="C8411" s="33" t="s">
        <v>96</v>
      </c>
      <c r="D8411" s="33" t="s">
        <v>17</v>
      </c>
      <c r="E8411" s="33" t="s">
        <v>212</v>
      </c>
      <c r="F8411" s="33" t="s">
        <v>213</v>
      </c>
      <c r="G8411" s="33" t="s">
        <v>20</v>
      </c>
      <c r="H8411" s="35">
        <v>235</v>
      </c>
      <c r="I8411" s="33" t="s">
        <v>21</v>
      </c>
      <c r="J8411" s="42">
        <v>44337</v>
      </c>
      <c r="K8411" s="33" t="s">
        <v>22</v>
      </c>
    </row>
    <row r="8412" spans="1:11">
      <c r="A8412" s="30" t="s">
        <v>19398</v>
      </c>
      <c r="B8412" s="30" t="s">
        <v>19399</v>
      </c>
      <c r="C8412" s="30" t="s">
        <v>12253</v>
      </c>
      <c r="D8412" s="30" t="s">
        <v>17</v>
      </c>
      <c r="E8412" s="30" t="s">
        <v>18</v>
      </c>
      <c r="F8412" s="30" t="s">
        <v>19</v>
      </c>
      <c r="G8412" s="30" t="s">
        <v>50</v>
      </c>
      <c r="H8412" s="32">
        <v>7</v>
      </c>
      <c r="I8412" s="30" t="s">
        <v>21</v>
      </c>
      <c r="J8412" s="41">
        <v>44470</v>
      </c>
      <c r="K8412" s="30" t="s">
        <v>22</v>
      </c>
    </row>
    <row r="8413" spans="1:11">
      <c r="A8413" s="33" t="s">
        <v>19400</v>
      </c>
      <c r="B8413" s="33" t="s">
        <v>19401</v>
      </c>
      <c r="C8413" s="33" t="s">
        <v>14643</v>
      </c>
      <c r="D8413" s="33" t="s">
        <v>17</v>
      </c>
      <c r="E8413" s="33" t="s">
        <v>67</v>
      </c>
      <c r="F8413" s="33" t="s">
        <v>68</v>
      </c>
      <c r="G8413" s="33" t="s">
        <v>158</v>
      </c>
      <c r="H8413" s="35">
        <v>41</v>
      </c>
      <c r="I8413" s="33" t="s">
        <v>21</v>
      </c>
      <c r="J8413" s="42">
        <v>44526</v>
      </c>
      <c r="K8413" s="33" t="s">
        <v>22</v>
      </c>
    </row>
    <row r="8414" spans="1:11">
      <c r="A8414" s="30" t="s">
        <v>19402</v>
      </c>
      <c r="B8414" s="30" t="s">
        <v>19403</v>
      </c>
      <c r="C8414" s="30" t="s">
        <v>684</v>
      </c>
      <c r="D8414" s="30" t="s">
        <v>17</v>
      </c>
      <c r="E8414" s="30" t="s">
        <v>31</v>
      </c>
      <c r="F8414" s="30" t="s">
        <v>32</v>
      </c>
      <c r="G8414" s="30" t="s">
        <v>20</v>
      </c>
      <c r="H8414" s="32">
        <v>221</v>
      </c>
      <c r="I8414" s="30" t="s">
        <v>21</v>
      </c>
      <c r="J8414" s="41">
        <v>44330</v>
      </c>
      <c r="K8414" s="30" t="s">
        <v>22</v>
      </c>
    </row>
    <row r="8415" spans="1:11">
      <c r="A8415" s="33" t="s">
        <v>19404</v>
      </c>
      <c r="B8415" s="33" t="s">
        <v>19405</v>
      </c>
      <c r="C8415" s="33" t="s">
        <v>19406</v>
      </c>
      <c r="D8415" s="33" t="s">
        <v>17</v>
      </c>
      <c r="E8415" s="33" t="s">
        <v>26</v>
      </c>
      <c r="F8415" s="33" t="s">
        <v>27</v>
      </c>
      <c r="G8415" s="33" t="s">
        <v>106</v>
      </c>
      <c r="H8415" s="35">
        <v>21</v>
      </c>
      <c r="I8415" s="33" t="s">
        <v>21</v>
      </c>
      <c r="J8415" s="42">
        <v>44314</v>
      </c>
      <c r="K8415" s="33" t="s">
        <v>22</v>
      </c>
    </row>
    <row r="8416" spans="1:11">
      <c r="A8416" s="30" t="s">
        <v>19407</v>
      </c>
      <c r="B8416" s="30" t="s">
        <v>19408</v>
      </c>
      <c r="C8416" s="30" t="s">
        <v>5643</v>
      </c>
      <c r="D8416" s="30" t="s">
        <v>17</v>
      </c>
      <c r="E8416" s="30" t="s">
        <v>18</v>
      </c>
      <c r="F8416" s="30" t="s">
        <v>19</v>
      </c>
      <c r="G8416" s="30" t="s">
        <v>50</v>
      </c>
      <c r="H8416" s="32">
        <v>2450</v>
      </c>
      <c r="I8416" s="30" t="s">
        <v>21</v>
      </c>
      <c r="J8416" s="41">
        <v>44540</v>
      </c>
      <c r="K8416" s="30" t="s">
        <v>22</v>
      </c>
    </row>
    <row r="8417" spans="1:11">
      <c r="A8417" s="33" t="s">
        <v>19409</v>
      </c>
      <c r="B8417" s="33" t="s">
        <v>19410</v>
      </c>
      <c r="C8417" s="33" t="s">
        <v>19411</v>
      </c>
      <c r="D8417" s="33" t="s">
        <v>17</v>
      </c>
      <c r="E8417" s="33" t="s">
        <v>31</v>
      </c>
      <c r="F8417" s="33" t="s">
        <v>32</v>
      </c>
      <c r="G8417" s="33" t="s">
        <v>20</v>
      </c>
      <c r="H8417" s="35">
        <v>156</v>
      </c>
      <c r="I8417" s="33" t="s">
        <v>21</v>
      </c>
      <c r="J8417" s="42">
        <v>44410</v>
      </c>
      <c r="K8417" s="33" t="s">
        <v>22</v>
      </c>
    </row>
    <row r="8418" spans="1:11">
      <c r="A8418" s="30" t="s">
        <v>19412</v>
      </c>
      <c r="B8418" s="30" t="s">
        <v>19413</v>
      </c>
      <c r="C8418" s="30" t="s">
        <v>1945</v>
      </c>
      <c r="D8418" s="30" t="s">
        <v>17</v>
      </c>
      <c r="E8418" s="30" t="s">
        <v>31</v>
      </c>
      <c r="F8418" s="30" t="s">
        <v>32</v>
      </c>
      <c r="G8418" s="30" t="s">
        <v>106</v>
      </c>
      <c r="H8418" s="32">
        <v>67</v>
      </c>
      <c r="I8418" s="30" t="s">
        <v>21</v>
      </c>
      <c r="J8418" s="41">
        <v>44540</v>
      </c>
      <c r="K8418" s="30" t="s">
        <v>22</v>
      </c>
    </row>
    <row r="8419" spans="1:11">
      <c r="A8419" s="33" t="s">
        <v>19414</v>
      </c>
      <c r="B8419" s="33" t="s">
        <v>19415</v>
      </c>
      <c r="C8419" s="33" t="s">
        <v>19416</v>
      </c>
      <c r="D8419" s="33" t="s">
        <v>17</v>
      </c>
      <c r="E8419" s="33" t="s">
        <v>31</v>
      </c>
      <c r="F8419" s="33" t="s">
        <v>32</v>
      </c>
      <c r="G8419" s="33" t="s">
        <v>20</v>
      </c>
      <c r="H8419" s="35">
        <v>160</v>
      </c>
      <c r="I8419" s="33" t="s">
        <v>21</v>
      </c>
      <c r="J8419" s="42">
        <v>44333</v>
      </c>
      <c r="K8419" s="33" t="s">
        <v>22</v>
      </c>
    </row>
    <row r="8420" spans="1:11">
      <c r="A8420" s="30" t="s">
        <v>19417</v>
      </c>
      <c r="B8420" s="30" t="s">
        <v>19418</v>
      </c>
      <c r="C8420" s="30" t="s">
        <v>647</v>
      </c>
      <c r="D8420" s="30" t="s">
        <v>17</v>
      </c>
      <c r="E8420" s="30" t="s">
        <v>18</v>
      </c>
      <c r="F8420" s="30" t="s">
        <v>19</v>
      </c>
      <c r="G8420" s="30" t="s">
        <v>106</v>
      </c>
      <c r="H8420" s="32">
        <v>730</v>
      </c>
      <c r="I8420" s="30" t="s">
        <v>21</v>
      </c>
      <c r="J8420" s="41">
        <v>44251</v>
      </c>
      <c r="K8420" s="30" t="s">
        <v>22</v>
      </c>
    </row>
    <row r="8421" spans="1:11">
      <c r="A8421" s="33" t="s">
        <v>19419</v>
      </c>
      <c r="B8421" s="33" t="s">
        <v>19420</v>
      </c>
      <c r="C8421" s="33" t="s">
        <v>16936</v>
      </c>
      <c r="D8421" s="33" t="s">
        <v>17</v>
      </c>
      <c r="E8421" s="33" t="s">
        <v>26</v>
      </c>
      <c r="F8421" s="33" t="s">
        <v>27</v>
      </c>
      <c r="G8421" s="33" t="s">
        <v>20</v>
      </c>
      <c r="H8421" s="35">
        <v>32</v>
      </c>
      <c r="I8421" s="33" t="s">
        <v>21</v>
      </c>
      <c r="J8421" s="42">
        <v>44558</v>
      </c>
      <c r="K8421" s="33" t="s">
        <v>22</v>
      </c>
    </row>
    <row r="8422" spans="1:11">
      <c r="A8422" s="30" t="s">
        <v>19421</v>
      </c>
      <c r="B8422" s="30" t="s">
        <v>19422</v>
      </c>
      <c r="C8422" s="30" t="s">
        <v>157</v>
      </c>
      <c r="D8422" s="30" t="s">
        <v>17</v>
      </c>
      <c r="E8422" s="30" t="s">
        <v>18</v>
      </c>
      <c r="F8422" s="30" t="s">
        <v>19</v>
      </c>
      <c r="G8422" s="30" t="s">
        <v>158</v>
      </c>
      <c r="H8422" s="32">
        <v>77</v>
      </c>
      <c r="I8422" s="30" t="s">
        <v>51</v>
      </c>
      <c r="J8422" s="41">
        <v>44300</v>
      </c>
      <c r="K8422" s="30" t="s">
        <v>22</v>
      </c>
    </row>
    <row r="8423" spans="1:11">
      <c r="A8423" s="33" t="s">
        <v>19423</v>
      </c>
      <c r="B8423" s="33" t="s">
        <v>19424</v>
      </c>
      <c r="C8423" s="33" t="s">
        <v>2313</v>
      </c>
      <c r="D8423" s="33" t="s">
        <v>17</v>
      </c>
      <c r="E8423" s="33" t="s">
        <v>31</v>
      </c>
      <c r="F8423" s="33" t="s">
        <v>32</v>
      </c>
      <c r="G8423" s="33" t="s">
        <v>106</v>
      </c>
      <c r="H8423" s="35">
        <v>12</v>
      </c>
      <c r="I8423" s="33" t="s">
        <v>21</v>
      </c>
      <c r="J8423" s="42">
        <v>44516</v>
      </c>
      <c r="K8423" s="33" t="s">
        <v>22</v>
      </c>
    </row>
    <row r="8424" spans="1:11">
      <c r="A8424" s="30" t="s">
        <v>19425</v>
      </c>
      <c r="B8424" s="30" t="s">
        <v>19426</v>
      </c>
      <c r="C8424" s="30" t="s">
        <v>4627</v>
      </c>
      <c r="D8424" s="30" t="s">
        <v>17</v>
      </c>
      <c r="E8424" s="30" t="s">
        <v>18</v>
      </c>
      <c r="F8424" s="30" t="s">
        <v>19</v>
      </c>
      <c r="G8424" s="30" t="s">
        <v>20</v>
      </c>
      <c r="H8424" s="32">
        <v>667</v>
      </c>
      <c r="I8424" s="30" t="s">
        <v>21</v>
      </c>
      <c r="J8424" s="41">
        <v>44404</v>
      </c>
      <c r="K8424" s="30" t="s">
        <v>22</v>
      </c>
    </row>
    <row r="8425" spans="1:11">
      <c r="A8425" s="33" t="s">
        <v>19427</v>
      </c>
      <c r="B8425" s="33" t="s">
        <v>19428</v>
      </c>
      <c r="C8425" s="33" t="s">
        <v>2289</v>
      </c>
      <c r="D8425" s="33" t="s">
        <v>17</v>
      </c>
      <c r="E8425" s="33" t="s">
        <v>31</v>
      </c>
      <c r="F8425" s="33" t="s">
        <v>32</v>
      </c>
      <c r="G8425" s="33" t="s">
        <v>20</v>
      </c>
      <c r="H8425" s="35">
        <v>270</v>
      </c>
      <c r="I8425" s="33" t="s">
        <v>21</v>
      </c>
      <c r="J8425" s="42">
        <v>44253</v>
      </c>
      <c r="K8425" s="33" t="s">
        <v>22</v>
      </c>
    </row>
    <row r="8426" spans="1:11">
      <c r="A8426" s="30" t="s">
        <v>19429</v>
      </c>
      <c r="B8426" s="30" t="s">
        <v>19430</v>
      </c>
      <c r="C8426" s="30" t="s">
        <v>190</v>
      </c>
      <c r="D8426" s="30" t="s">
        <v>17</v>
      </c>
      <c r="E8426" s="30" t="s">
        <v>26</v>
      </c>
      <c r="F8426" s="30" t="s">
        <v>27</v>
      </c>
      <c r="G8426" s="30" t="s">
        <v>20</v>
      </c>
      <c r="H8426" s="32">
        <v>20</v>
      </c>
      <c r="I8426" s="30" t="s">
        <v>21</v>
      </c>
      <c r="J8426" s="41">
        <v>44376</v>
      </c>
      <c r="K8426" s="30" t="s">
        <v>22</v>
      </c>
    </row>
    <row r="8427" spans="1:11">
      <c r="A8427" s="33" t="s">
        <v>19431</v>
      </c>
      <c r="B8427" s="33" t="s">
        <v>19432</v>
      </c>
      <c r="C8427" s="33" t="s">
        <v>318</v>
      </c>
      <c r="D8427" s="33" t="s">
        <v>17</v>
      </c>
      <c r="E8427" s="33" t="s">
        <v>67</v>
      </c>
      <c r="F8427" s="33" t="s">
        <v>68</v>
      </c>
      <c r="G8427" s="33" t="s">
        <v>106</v>
      </c>
      <c r="H8427" s="35">
        <v>65</v>
      </c>
      <c r="I8427" s="33" t="s">
        <v>21</v>
      </c>
      <c r="J8427" s="42">
        <v>44211</v>
      </c>
      <c r="K8427" s="33" t="s">
        <v>22</v>
      </c>
    </row>
    <row r="8428" spans="1:11">
      <c r="A8428" s="30" t="s">
        <v>19433</v>
      </c>
      <c r="B8428" s="30" t="s">
        <v>19434</v>
      </c>
      <c r="C8428" s="30" t="s">
        <v>19435</v>
      </c>
      <c r="D8428" s="30" t="s">
        <v>17</v>
      </c>
      <c r="E8428" s="30" t="s">
        <v>26</v>
      </c>
      <c r="F8428" s="30" t="s">
        <v>27</v>
      </c>
      <c r="G8428" s="30" t="s">
        <v>20</v>
      </c>
      <c r="H8428" s="32">
        <v>56</v>
      </c>
      <c r="I8428" s="30" t="s">
        <v>21</v>
      </c>
      <c r="J8428" s="41">
        <v>44533</v>
      </c>
      <c r="K8428" s="30" t="s">
        <v>22</v>
      </c>
    </row>
    <row r="8429" spans="1:11">
      <c r="A8429" s="33" t="s">
        <v>19436</v>
      </c>
      <c r="B8429" s="33" t="s">
        <v>19437</v>
      </c>
      <c r="C8429" s="33" t="s">
        <v>3964</v>
      </c>
      <c r="D8429" s="33" t="s">
        <v>17</v>
      </c>
      <c r="E8429" s="33" t="s">
        <v>31</v>
      </c>
      <c r="F8429" s="33" t="s">
        <v>32</v>
      </c>
      <c r="G8429" s="33" t="s">
        <v>50</v>
      </c>
      <c r="H8429" s="35">
        <v>86</v>
      </c>
      <c r="I8429" s="33" t="s">
        <v>51</v>
      </c>
      <c r="J8429" s="42">
        <v>44354</v>
      </c>
      <c r="K8429" s="33" t="s">
        <v>22</v>
      </c>
    </row>
    <row r="8430" spans="1:11">
      <c r="A8430" s="30" t="s">
        <v>19438</v>
      </c>
      <c r="B8430" s="30" t="s">
        <v>19439</v>
      </c>
      <c r="C8430" s="30" t="s">
        <v>14730</v>
      </c>
      <c r="D8430" s="30" t="s">
        <v>17</v>
      </c>
      <c r="E8430" s="30" t="s">
        <v>26</v>
      </c>
      <c r="F8430" s="30" t="s">
        <v>27</v>
      </c>
      <c r="G8430" s="30" t="s">
        <v>20</v>
      </c>
      <c r="H8430" s="32">
        <v>30</v>
      </c>
      <c r="I8430" s="30" t="s">
        <v>21</v>
      </c>
      <c r="J8430" s="41">
        <v>44256</v>
      </c>
      <c r="K8430" s="30" t="s">
        <v>22</v>
      </c>
    </row>
    <row r="8431" spans="1:11">
      <c r="A8431" s="33" t="s">
        <v>19440</v>
      </c>
      <c r="B8431" s="33" t="s">
        <v>19441</v>
      </c>
      <c r="C8431" s="33" t="s">
        <v>1270</v>
      </c>
      <c r="D8431" s="33" t="s">
        <v>17</v>
      </c>
      <c r="E8431" s="33" t="s">
        <v>26</v>
      </c>
      <c r="F8431" s="33" t="s">
        <v>27</v>
      </c>
      <c r="G8431" s="33" t="s">
        <v>50</v>
      </c>
      <c r="H8431" s="35">
        <v>68</v>
      </c>
      <c r="I8431" s="33" t="s">
        <v>51</v>
      </c>
      <c r="J8431" s="42">
        <v>44501</v>
      </c>
      <c r="K8431" s="33" t="s">
        <v>22</v>
      </c>
    </row>
    <row r="8432" spans="1:11">
      <c r="A8432" s="30" t="s">
        <v>19442</v>
      </c>
      <c r="B8432" s="30" t="s">
        <v>19443</v>
      </c>
      <c r="C8432" s="30" t="s">
        <v>475</v>
      </c>
      <c r="D8432" s="30" t="s">
        <v>17</v>
      </c>
      <c r="E8432" s="30" t="s">
        <v>26</v>
      </c>
      <c r="F8432" s="30" t="s">
        <v>27</v>
      </c>
      <c r="G8432" s="30" t="s">
        <v>20</v>
      </c>
      <c r="H8432" s="32">
        <v>16</v>
      </c>
      <c r="I8432" s="30" t="s">
        <v>21</v>
      </c>
      <c r="J8432" s="41">
        <v>44360</v>
      </c>
      <c r="K8432" s="30" t="s">
        <v>22</v>
      </c>
    </row>
    <row r="8433" spans="1:11">
      <c r="A8433" s="33" t="s">
        <v>19444</v>
      </c>
      <c r="B8433" s="33" t="s">
        <v>19445</v>
      </c>
      <c r="C8433" s="33" t="s">
        <v>109</v>
      </c>
      <c r="D8433" s="33" t="s">
        <v>17</v>
      </c>
      <c r="E8433" s="33" t="s">
        <v>18</v>
      </c>
      <c r="F8433" s="33" t="s">
        <v>19</v>
      </c>
      <c r="G8433" s="33" t="s">
        <v>140</v>
      </c>
      <c r="H8433" s="35">
        <v>98</v>
      </c>
      <c r="I8433" s="33" t="s">
        <v>51</v>
      </c>
      <c r="J8433" s="42">
        <v>44405</v>
      </c>
      <c r="K8433" s="33" t="s">
        <v>22</v>
      </c>
    </row>
    <row r="8434" spans="1:11">
      <c r="A8434" s="30" t="s">
        <v>19446</v>
      </c>
      <c r="B8434" s="30" t="s">
        <v>19447</v>
      </c>
      <c r="C8434" s="30" t="s">
        <v>216</v>
      </c>
      <c r="D8434" s="30" t="s">
        <v>17</v>
      </c>
      <c r="E8434" s="30" t="s">
        <v>26</v>
      </c>
      <c r="F8434" s="30" t="s">
        <v>27</v>
      </c>
      <c r="G8434" s="30" t="s">
        <v>20</v>
      </c>
      <c r="H8434" s="32">
        <v>28</v>
      </c>
      <c r="I8434" s="30" t="s">
        <v>21</v>
      </c>
      <c r="J8434" s="41">
        <v>44441</v>
      </c>
      <c r="K8434" s="30" t="s">
        <v>22</v>
      </c>
    </row>
    <row r="8435" spans="1:11">
      <c r="A8435" s="33" t="s">
        <v>19448</v>
      </c>
      <c r="B8435" s="33" t="s">
        <v>19449</v>
      </c>
      <c r="C8435" s="33" t="s">
        <v>178</v>
      </c>
      <c r="D8435" s="33" t="s">
        <v>17</v>
      </c>
      <c r="E8435" s="33" t="s">
        <v>18</v>
      </c>
      <c r="F8435" s="33" t="s">
        <v>19</v>
      </c>
      <c r="G8435" s="33" t="s">
        <v>158</v>
      </c>
      <c r="H8435" s="35">
        <v>451</v>
      </c>
      <c r="I8435" s="33" t="s">
        <v>21</v>
      </c>
      <c r="J8435" s="42">
        <v>44391</v>
      </c>
      <c r="K8435" s="33" t="s">
        <v>22</v>
      </c>
    </row>
    <row r="8436" spans="1:11">
      <c r="A8436" s="30" t="s">
        <v>19450</v>
      </c>
      <c r="B8436" s="30" t="s">
        <v>19451</v>
      </c>
      <c r="C8436" s="30" t="s">
        <v>124</v>
      </c>
      <c r="D8436" s="30" t="s">
        <v>17</v>
      </c>
      <c r="E8436" s="30" t="s">
        <v>26</v>
      </c>
      <c r="F8436" s="30" t="s">
        <v>27</v>
      </c>
      <c r="G8436" s="30" t="s">
        <v>20</v>
      </c>
      <c r="H8436" s="32">
        <v>32</v>
      </c>
      <c r="I8436" s="30" t="s">
        <v>21</v>
      </c>
      <c r="J8436" s="41">
        <v>44497</v>
      </c>
      <c r="K8436" s="30" t="s">
        <v>22</v>
      </c>
    </row>
    <row r="8437" spans="1:11">
      <c r="A8437" s="33" t="s">
        <v>19452</v>
      </c>
      <c r="B8437" s="33" t="s">
        <v>19453</v>
      </c>
      <c r="C8437" s="33" t="s">
        <v>2703</v>
      </c>
      <c r="D8437" s="33" t="s">
        <v>17</v>
      </c>
      <c r="E8437" s="33" t="s">
        <v>45</v>
      </c>
      <c r="F8437" s="33" t="s">
        <v>46</v>
      </c>
      <c r="G8437" s="33" t="s">
        <v>112</v>
      </c>
      <c r="H8437" s="35">
        <v>0</v>
      </c>
      <c r="I8437" s="33" t="s">
        <v>21</v>
      </c>
      <c r="J8437" s="42">
        <v>44322</v>
      </c>
      <c r="K8437" s="33" t="s">
        <v>22</v>
      </c>
    </row>
    <row r="8438" spans="1:11">
      <c r="A8438" s="30" t="s">
        <v>19454</v>
      </c>
      <c r="B8438" s="30" t="s">
        <v>19455</v>
      </c>
      <c r="C8438" s="30" t="s">
        <v>11391</v>
      </c>
      <c r="D8438" s="30" t="s">
        <v>17</v>
      </c>
      <c r="E8438" s="30" t="s">
        <v>26</v>
      </c>
      <c r="F8438" s="30" t="s">
        <v>27</v>
      </c>
      <c r="G8438" s="30" t="s">
        <v>20</v>
      </c>
      <c r="H8438" s="32">
        <v>12</v>
      </c>
      <c r="I8438" s="30" t="s">
        <v>21</v>
      </c>
      <c r="J8438" s="41">
        <v>44350</v>
      </c>
      <c r="K8438" s="30" t="s">
        <v>22</v>
      </c>
    </row>
    <row r="8439" spans="1:11">
      <c r="A8439" s="33" t="s">
        <v>19456</v>
      </c>
      <c r="B8439" s="33" t="s">
        <v>19457</v>
      </c>
      <c r="C8439" s="33" t="s">
        <v>4476</v>
      </c>
      <c r="D8439" s="33" t="s">
        <v>17</v>
      </c>
      <c r="E8439" s="33" t="s">
        <v>31</v>
      </c>
      <c r="F8439" s="33" t="s">
        <v>32</v>
      </c>
      <c r="G8439" s="33" t="s">
        <v>20</v>
      </c>
      <c r="H8439" s="35">
        <v>11</v>
      </c>
      <c r="I8439" s="33" t="s">
        <v>21</v>
      </c>
      <c r="J8439" s="42">
        <v>44532</v>
      </c>
      <c r="K8439" s="33" t="s">
        <v>22</v>
      </c>
    </row>
    <row r="8440" spans="1:11">
      <c r="A8440" s="30" t="s">
        <v>19458</v>
      </c>
      <c r="B8440" s="30" t="s">
        <v>19459</v>
      </c>
      <c r="C8440" s="30" t="s">
        <v>4186</v>
      </c>
      <c r="D8440" s="30" t="s">
        <v>17</v>
      </c>
      <c r="E8440" s="30" t="s">
        <v>31</v>
      </c>
      <c r="F8440" s="30" t="s">
        <v>32</v>
      </c>
      <c r="G8440" s="30" t="s">
        <v>20</v>
      </c>
      <c r="H8440" s="32">
        <v>139</v>
      </c>
      <c r="I8440" s="30" t="s">
        <v>21</v>
      </c>
      <c r="J8440" s="41">
        <v>44203</v>
      </c>
      <c r="K8440" s="30" t="s">
        <v>22</v>
      </c>
    </row>
    <row r="8441" spans="1:11">
      <c r="A8441" s="33" t="s">
        <v>19460</v>
      </c>
      <c r="B8441" s="33" t="s">
        <v>19461</v>
      </c>
      <c r="C8441" s="33" t="s">
        <v>1199</v>
      </c>
      <c r="D8441" s="33" t="s">
        <v>17</v>
      </c>
      <c r="E8441" s="33" t="s">
        <v>67</v>
      </c>
      <c r="F8441" s="33" t="s">
        <v>68</v>
      </c>
      <c r="G8441" s="33" t="s">
        <v>50</v>
      </c>
      <c r="H8441" s="35">
        <v>237</v>
      </c>
      <c r="I8441" s="33" t="s">
        <v>51</v>
      </c>
      <c r="J8441" s="42">
        <v>44280</v>
      </c>
      <c r="K8441" s="33" t="s">
        <v>22</v>
      </c>
    </row>
    <row r="8442" spans="1:11">
      <c r="A8442" s="30" t="s">
        <v>19462</v>
      </c>
      <c r="B8442" s="30" t="s">
        <v>19463</v>
      </c>
      <c r="C8442" s="30" t="s">
        <v>1498</v>
      </c>
      <c r="D8442" s="30" t="s">
        <v>17</v>
      </c>
      <c r="E8442" s="30" t="s">
        <v>26</v>
      </c>
      <c r="F8442" s="30" t="s">
        <v>27</v>
      </c>
      <c r="G8442" s="30" t="s">
        <v>20</v>
      </c>
      <c r="H8442" s="32">
        <v>24</v>
      </c>
      <c r="I8442" s="30" t="s">
        <v>21</v>
      </c>
      <c r="J8442" s="41">
        <v>44480</v>
      </c>
      <c r="K8442" s="30" t="s">
        <v>22</v>
      </c>
    </row>
    <row r="8443" spans="1:11">
      <c r="A8443" s="33" t="s">
        <v>19464</v>
      </c>
      <c r="B8443" s="33" t="s">
        <v>19465</v>
      </c>
      <c r="C8443" s="33" t="s">
        <v>7667</v>
      </c>
      <c r="D8443" s="33" t="s">
        <v>17</v>
      </c>
      <c r="E8443" s="33" t="s">
        <v>31</v>
      </c>
      <c r="F8443" s="33" t="s">
        <v>32</v>
      </c>
      <c r="G8443" s="33" t="s">
        <v>20</v>
      </c>
      <c r="H8443" s="35">
        <v>92</v>
      </c>
      <c r="I8443" s="33" t="s">
        <v>21</v>
      </c>
      <c r="J8443" s="42">
        <v>44405</v>
      </c>
      <c r="K8443" s="33" t="s">
        <v>22</v>
      </c>
    </row>
    <row r="8444" spans="1:11">
      <c r="A8444" s="30" t="s">
        <v>19466</v>
      </c>
      <c r="B8444" s="30" t="s">
        <v>19467</v>
      </c>
      <c r="C8444" s="30" t="s">
        <v>517</v>
      </c>
      <c r="D8444" s="30" t="s">
        <v>17</v>
      </c>
      <c r="E8444" s="30" t="s">
        <v>26</v>
      </c>
      <c r="F8444" s="30" t="s">
        <v>27</v>
      </c>
      <c r="G8444" s="30" t="s">
        <v>20</v>
      </c>
      <c r="H8444" s="32">
        <v>43</v>
      </c>
      <c r="I8444" s="30" t="s">
        <v>21</v>
      </c>
      <c r="J8444" s="41">
        <v>44484</v>
      </c>
      <c r="K8444" s="30" t="s">
        <v>22</v>
      </c>
    </row>
    <row r="8445" spans="1:11">
      <c r="A8445" s="33" t="s">
        <v>19468</v>
      </c>
      <c r="B8445" s="33" t="s">
        <v>19469</v>
      </c>
      <c r="C8445" s="33" t="s">
        <v>701</v>
      </c>
      <c r="D8445" s="33" t="s">
        <v>17</v>
      </c>
      <c r="E8445" s="33" t="s">
        <v>18</v>
      </c>
      <c r="F8445" s="33" t="s">
        <v>19</v>
      </c>
      <c r="G8445" s="33" t="s">
        <v>50</v>
      </c>
      <c r="H8445" s="35">
        <v>2480</v>
      </c>
      <c r="I8445" s="33" t="s">
        <v>51</v>
      </c>
      <c r="J8445" s="42">
        <v>44296</v>
      </c>
      <c r="K8445" s="33" t="s">
        <v>22</v>
      </c>
    </row>
    <row r="8446" spans="1:11">
      <c r="A8446" s="30" t="s">
        <v>19470</v>
      </c>
      <c r="B8446" s="30" t="s">
        <v>19471</v>
      </c>
      <c r="C8446" s="30" t="s">
        <v>4176</v>
      </c>
      <c r="D8446" s="30" t="s">
        <v>17</v>
      </c>
      <c r="E8446" s="30" t="s">
        <v>18</v>
      </c>
      <c r="F8446" s="30" t="s">
        <v>19</v>
      </c>
      <c r="G8446" s="30" t="s">
        <v>20</v>
      </c>
      <c r="H8446" s="32">
        <v>368</v>
      </c>
      <c r="I8446" s="30" t="s">
        <v>21</v>
      </c>
      <c r="J8446" s="41">
        <v>44518</v>
      </c>
      <c r="K8446" s="30" t="s">
        <v>22</v>
      </c>
    </row>
    <row r="8447" spans="1:11">
      <c r="A8447" s="33" t="s">
        <v>19472</v>
      </c>
      <c r="B8447" s="33" t="s">
        <v>19473</v>
      </c>
      <c r="C8447" s="33" t="s">
        <v>16425</v>
      </c>
      <c r="D8447" s="33" t="s">
        <v>17</v>
      </c>
      <c r="E8447" s="33" t="s">
        <v>26</v>
      </c>
      <c r="F8447" s="33" t="s">
        <v>27</v>
      </c>
      <c r="G8447" s="33" t="s">
        <v>20</v>
      </c>
      <c r="H8447" s="35">
        <v>24</v>
      </c>
      <c r="I8447" s="33" t="s">
        <v>21</v>
      </c>
      <c r="J8447" s="42">
        <v>44369</v>
      </c>
      <c r="K8447" s="33" t="s">
        <v>22</v>
      </c>
    </row>
    <row r="8448" spans="1:11">
      <c r="A8448" s="30" t="s">
        <v>19474</v>
      </c>
      <c r="B8448" s="30" t="s">
        <v>19475</v>
      </c>
      <c r="C8448" s="30" t="s">
        <v>638</v>
      </c>
      <c r="D8448" s="30" t="s">
        <v>17</v>
      </c>
      <c r="E8448" s="30" t="s">
        <v>26</v>
      </c>
      <c r="F8448" s="30" t="s">
        <v>27</v>
      </c>
      <c r="G8448" s="30" t="s">
        <v>20</v>
      </c>
      <c r="H8448" s="32">
        <v>380</v>
      </c>
      <c r="I8448" s="30" t="s">
        <v>21</v>
      </c>
      <c r="J8448" s="41">
        <v>44341</v>
      </c>
      <c r="K8448" s="30" t="s">
        <v>22</v>
      </c>
    </row>
    <row r="8449" spans="1:11">
      <c r="A8449" s="33" t="s">
        <v>19476</v>
      </c>
      <c r="B8449" s="33" t="s">
        <v>19477</v>
      </c>
      <c r="C8449" s="33" t="s">
        <v>203</v>
      </c>
      <c r="D8449" s="33" t="s">
        <v>17</v>
      </c>
      <c r="E8449" s="33" t="s">
        <v>31</v>
      </c>
      <c r="F8449" s="33" t="s">
        <v>32</v>
      </c>
      <c r="G8449" s="33" t="s">
        <v>106</v>
      </c>
      <c r="H8449" s="35">
        <v>35</v>
      </c>
      <c r="I8449" s="33" t="s">
        <v>21</v>
      </c>
      <c r="J8449" s="42">
        <v>44516</v>
      </c>
      <c r="K8449" s="33" t="s">
        <v>22</v>
      </c>
    </row>
    <row r="8450" spans="1:11">
      <c r="A8450" s="30" t="s">
        <v>19478</v>
      </c>
      <c r="B8450" s="30" t="s">
        <v>19479</v>
      </c>
      <c r="C8450" s="30" t="s">
        <v>1422</v>
      </c>
      <c r="D8450" s="30" t="s">
        <v>17</v>
      </c>
      <c r="E8450" s="30" t="s">
        <v>212</v>
      </c>
      <c r="F8450" s="30" t="s">
        <v>213</v>
      </c>
      <c r="G8450" s="30" t="s">
        <v>20</v>
      </c>
      <c r="H8450" s="32">
        <v>380</v>
      </c>
      <c r="I8450" s="30" t="s">
        <v>21</v>
      </c>
      <c r="J8450" s="41">
        <v>44544</v>
      </c>
      <c r="K8450" s="30" t="s">
        <v>22</v>
      </c>
    </row>
    <row r="8451" spans="1:11">
      <c r="A8451" s="33" t="s">
        <v>19480</v>
      </c>
      <c r="B8451" s="33" t="s">
        <v>19481</v>
      </c>
      <c r="C8451" s="33" t="s">
        <v>19482</v>
      </c>
      <c r="D8451" s="33" t="s">
        <v>17</v>
      </c>
      <c r="E8451" s="33" t="s">
        <v>18</v>
      </c>
      <c r="F8451" s="33" t="s">
        <v>19</v>
      </c>
      <c r="G8451" s="33" t="s">
        <v>20</v>
      </c>
      <c r="H8451" s="35">
        <v>531</v>
      </c>
      <c r="I8451" s="33" t="s">
        <v>21</v>
      </c>
      <c r="J8451" s="42">
        <v>44539</v>
      </c>
      <c r="K8451" s="33" t="s">
        <v>22</v>
      </c>
    </row>
    <row r="8452" spans="1:11">
      <c r="A8452" s="30" t="s">
        <v>19483</v>
      </c>
      <c r="B8452" s="30" t="s">
        <v>19484</v>
      </c>
      <c r="C8452" s="30" t="s">
        <v>387</v>
      </c>
      <c r="D8452" s="30" t="s">
        <v>17</v>
      </c>
      <c r="E8452" s="30" t="s">
        <v>31</v>
      </c>
      <c r="F8452" s="30" t="s">
        <v>32</v>
      </c>
      <c r="G8452" s="30" t="s">
        <v>20</v>
      </c>
      <c r="H8452" s="32">
        <v>237</v>
      </c>
      <c r="I8452" s="30" t="s">
        <v>21</v>
      </c>
      <c r="J8452" s="41">
        <v>44511</v>
      </c>
      <c r="K8452" s="30" t="s">
        <v>22</v>
      </c>
    </row>
    <row r="8453" spans="1:11">
      <c r="A8453" s="33" t="s">
        <v>19485</v>
      </c>
      <c r="B8453" s="33" t="s">
        <v>19486</v>
      </c>
      <c r="C8453" s="33" t="s">
        <v>19487</v>
      </c>
      <c r="D8453" s="33" t="s">
        <v>17</v>
      </c>
      <c r="E8453" s="33" t="s">
        <v>67</v>
      </c>
      <c r="F8453" s="33" t="s">
        <v>68</v>
      </c>
      <c r="G8453" s="33" t="s">
        <v>158</v>
      </c>
      <c r="H8453" s="35">
        <v>48</v>
      </c>
      <c r="I8453" s="33" t="s">
        <v>51</v>
      </c>
      <c r="J8453" s="42">
        <v>44461</v>
      </c>
      <c r="K8453" s="33" t="s">
        <v>22</v>
      </c>
    </row>
    <row r="8454" spans="1:11">
      <c r="A8454" s="30" t="s">
        <v>19488</v>
      </c>
      <c r="B8454" s="30" t="s">
        <v>19489</v>
      </c>
      <c r="C8454" s="30" t="s">
        <v>3439</v>
      </c>
      <c r="D8454" s="30" t="s">
        <v>17</v>
      </c>
      <c r="E8454" s="30" t="s">
        <v>18</v>
      </c>
      <c r="F8454" s="30" t="s">
        <v>19</v>
      </c>
      <c r="G8454" s="30" t="s">
        <v>140</v>
      </c>
      <c r="H8454" s="32">
        <v>318</v>
      </c>
      <c r="I8454" s="30" t="s">
        <v>51</v>
      </c>
      <c r="J8454" s="41">
        <v>44354</v>
      </c>
      <c r="K8454" s="30" t="s">
        <v>22</v>
      </c>
    </row>
    <row r="8455" spans="1:11">
      <c r="A8455" s="33" t="s">
        <v>19490</v>
      </c>
      <c r="B8455" s="33" t="s">
        <v>19491</v>
      </c>
      <c r="C8455" s="33" t="s">
        <v>19492</v>
      </c>
      <c r="D8455" s="33" t="s">
        <v>17</v>
      </c>
      <c r="E8455" s="33" t="s">
        <v>212</v>
      </c>
      <c r="F8455" s="33" t="s">
        <v>213</v>
      </c>
      <c r="G8455" s="33" t="s">
        <v>20</v>
      </c>
      <c r="H8455" s="35">
        <v>97</v>
      </c>
      <c r="I8455" s="33" t="s">
        <v>21</v>
      </c>
      <c r="J8455" s="42">
        <v>44265</v>
      </c>
      <c r="K8455" s="33" t="s">
        <v>22</v>
      </c>
    </row>
    <row r="8456" spans="1:11">
      <c r="A8456" s="30" t="s">
        <v>19493</v>
      </c>
      <c r="B8456" s="30" t="s">
        <v>19494</v>
      </c>
      <c r="C8456" s="30" t="s">
        <v>12712</v>
      </c>
      <c r="D8456" s="30" t="s">
        <v>17</v>
      </c>
      <c r="E8456" s="30" t="s">
        <v>26</v>
      </c>
      <c r="F8456" s="30" t="s">
        <v>27</v>
      </c>
      <c r="G8456" s="30" t="s">
        <v>20</v>
      </c>
      <c r="H8456" s="32">
        <v>48</v>
      </c>
      <c r="I8456" s="30" t="s">
        <v>21</v>
      </c>
      <c r="J8456" s="41">
        <v>44348</v>
      </c>
      <c r="K8456" s="30" t="s">
        <v>22</v>
      </c>
    </row>
    <row r="8457" spans="1:11">
      <c r="A8457" s="33" t="s">
        <v>19495</v>
      </c>
      <c r="B8457" s="33" t="s">
        <v>19496</v>
      </c>
      <c r="C8457" s="33" t="s">
        <v>3751</v>
      </c>
      <c r="D8457" s="33" t="s">
        <v>17</v>
      </c>
      <c r="E8457" s="33" t="s">
        <v>45</v>
      </c>
      <c r="F8457" s="33" t="s">
        <v>46</v>
      </c>
      <c r="G8457" s="33" t="s">
        <v>50</v>
      </c>
      <c r="H8457" s="35">
        <v>25</v>
      </c>
      <c r="I8457" s="33" t="s">
        <v>51</v>
      </c>
      <c r="J8457" s="42">
        <v>44335</v>
      </c>
      <c r="K8457" s="33" t="s">
        <v>22</v>
      </c>
    </row>
    <row r="8458" spans="1:11">
      <c r="A8458" s="30" t="s">
        <v>19497</v>
      </c>
      <c r="B8458" s="30" t="s">
        <v>19498</v>
      </c>
      <c r="C8458" s="30" t="s">
        <v>1313</v>
      </c>
      <c r="D8458" s="30" t="s">
        <v>17</v>
      </c>
      <c r="E8458" s="30" t="s">
        <v>31</v>
      </c>
      <c r="F8458" s="30" t="s">
        <v>32</v>
      </c>
      <c r="G8458" s="30" t="s">
        <v>106</v>
      </c>
      <c r="H8458" s="32">
        <v>43</v>
      </c>
      <c r="I8458" s="30" t="s">
        <v>21</v>
      </c>
      <c r="J8458" s="41">
        <v>44516</v>
      </c>
      <c r="K8458" s="30" t="s">
        <v>22</v>
      </c>
    </row>
    <row r="8459" spans="1:11">
      <c r="A8459" s="33" t="s">
        <v>19499</v>
      </c>
      <c r="B8459" s="33" t="s">
        <v>19500</v>
      </c>
      <c r="C8459" s="33" t="s">
        <v>203</v>
      </c>
      <c r="D8459" s="33" t="s">
        <v>17</v>
      </c>
      <c r="E8459" s="33" t="s">
        <v>18</v>
      </c>
      <c r="F8459" s="33" t="s">
        <v>19</v>
      </c>
      <c r="G8459" s="33" t="s">
        <v>20</v>
      </c>
      <c r="H8459" s="35">
        <v>221</v>
      </c>
      <c r="I8459" s="33" t="s">
        <v>21</v>
      </c>
      <c r="J8459" s="42">
        <v>44504</v>
      </c>
      <c r="K8459" s="33" t="s">
        <v>22</v>
      </c>
    </row>
    <row r="8460" spans="1:11">
      <c r="A8460" s="30" t="s">
        <v>19501</v>
      </c>
      <c r="B8460" s="30" t="s">
        <v>19502</v>
      </c>
      <c r="C8460" s="30" t="s">
        <v>178</v>
      </c>
      <c r="D8460" s="30" t="s">
        <v>17</v>
      </c>
      <c r="E8460" s="30" t="s">
        <v>26</v>
      </c>
      <c r="F8460" s="30" t="s">
        <v>27</v>
      </c>
      <c r="G8460" s="30" t="s">
        <v>20</v>
      </c>
      <c r="H8460" s="32">
        <v>30</v>
      </c>
      <c r="I8460" s="30" t="s">
        <v>21</v>
      </c>
      <c r="J8460" s="41">
        <v>44204</v>
      </c>
      <c r="K8460" s="30" t="s">
        <v>22</v>
      </c>
    </row>
    <row r="8461" spans="1:11">
      <c r="A8461" s="33" t="s">
        <v>19503</v>
      </c>
      <c r="B8461" s="33" t="s">
        <v>19504</v>
      </c>
      <c r="C8461" s="33" t="s">
        <v>3243</v>
      </c>
      <c r="D8461" s="33" t="s">
        <v>17</v>
      </c>
      <c r="E8461" s="33" t="s">
        <v>31</v>
      </c>
      <c r="F8461" s="33" t="s">
        <v>32</v>
      </c>
      <c r="G8461" s="33" t="s">
        <v>20</v>
      </c>
      <c r="H8461" s="35">
        <v>34</v>
      </c>
      <c r="I8461" s="33" t="s">
        <v>21</v>
      </c>
      <c r="J8461" s="42">
        <v>44523</v>
      </c>
      <c r="K8461" s="33" t="s">
        <v>22</v>
      </c>
    </row>
    <row r="8462" spans="1:11">
      <c r="A8462" s="30" t="s">
        <v>19505</v>
      </c>
      <c r="B8462" s="30" t="s">
        <v>19506</v>
      </c>
      <c r="C8462" s="30" t="s">
        <v>19507</v>
      </c>
      <c r="D8462" s="30" t="s">
        <v>17</v>
      </c>
      <c r="E8462" s="30" t="s">
        <v>26</v>
      </c>
      <c r="F8462" s="30" t="s">
        <v>27</v>
      </c>
      <c r="G8462" s="30" t="s">
        <v>20</v>
      </c>
      <c r="H8462" s="32">
        <v>64</v>
      </c>
      <c r="I8462" s="30" t="s">
        <v>21</v>
      </c>
      <c r="J8462" s="41">
        <v>44508</v>
      </c>
      <c r="K8462" s="30" t="s">
        <v>22</v>
      </c>
    </row>
    <row r="8463" spans="1:11">
      <c r="A8463" s="33" t="s">
        <v>19508</v>
      </c>
      <c r="B8463" s="33" t="s">
        <v>19509</v>
      </c>
      <c r="C8463" s="33" t="s">
        <v>252</v>
      </c>
      <c r="D8463" s="33" t="s">
        <v>17</v>
      </c>
      <c r="E8463" s="33" t="s">
        <v>18</v>
      </c>
      <c r="F8463" s="33" t="s">
        <v>19</v>
      </c>
      <c r="G8463" s="33" t="s">
        <v>158</v>
      </c>
      <c r="H8463" s="35">
        <v>445</v>
      </c>
      <c r="I8463" s="33" t="s">
        <v>21</v>
      </c>
      <c r="J8463" s="42">
        <v>44435</v>
      </c>
      <c r="K8463" s="33" t="s">
        <v>22</v>
      </c>
    </row>
    <row r="8464" spans="1:11">
      <c r="A8464" s="30" t="s">
        <v>19510</v>
      </c>
      <c r="B8464" s="30" t="s">
        <v>19511</v>
      </c>
      <c r="C8464" s="30" t="s">
        <v>807</v>
      </c>
      <c r="D8464" s="30" t="s">
        <v>17</v>
      </c>
      <c r="E8464" s="30" t="s">
        <v>67</v>
      </c>
      <c r="F8464" s="30" t="s">
        <v>68</v>
      </c>
      <c r="G8464" s="30" t="s">
        <v>112</v>
      </c>
      <c r="H8464" s="32">
        <v>0</v>
      </c>
      <c r="I8464" s="30" t="s">
        <v>21</v>
      </c>
      <c r="J8464" s="41">
        <v>44378</v>
      </c>
      <c r="K8464" s="30" t="s">
        <v>22</v>
      </c>
    </row>
    <row r="8465" spans="1:11">
      <c r="A8465" s="33" t="s">
        <v>19512</v>
      </c>
      <c r="B8465" s="33" t="s">
        <v>19513</v>
      </c>
      <c r="C8465" s="33" t="s">
        <v>5709</v>
      </c>
      <c r="D8465" s="33" t="s">
        <v>17</v>
      </c>
      <c r="E8465" s="33" t="s">
        <v>31</v>
      </c>
      <c r="F8465" s="33" t="s">
        <v>32</v>
      </c>
      <c r="G8465" s="33" t="s">
        <v>158</v>
      </c>
      <c r="H8465" s="35">
        <v>40</v>
      </c>
      <c r="I8465" s="33" t="s">
        <v>21</v>
      </c>
      <c r="J8465" s="42">
        <v>44372</v>
      </c>
      <c r="K8465" s="33" t="s">
        <v>22</v>
      </c>
    </row>
    <row r="8466" spans="1:11">
      <c r="A8466" s="30" t="s">
        <v>19514</v>
      </c>
      <c r="B8466" s="30" t="s">
        <v>19515</v>
      </c>
      <c r="C8466" s="30" t="s">
        <v>6233</v>
      </c>
      <c r="D8466" s="30" t="s">
        <v>17</v>
      </c>
      <c r="E8466" s="30" t="s">
        <v>26</v>
      </c>
      <c r="F8466" s="30" t="s">
        <v>27</v>
      </c>
      <c r="G8466" s="30" t="s">
        <v>20</v>
      </c>
      <c r="H8466" s="32">
        <v>26</v>
      </c>
      <c r="I8466" s="30" t="s">
        <v>21</v>
      </c>
      <c r="J8466" s="41">
        <v>44551</v>
      </c>
      <c r="K8466" s="30" t="s">
        <v>22</v>
      </c>
    </row>
    <row r="8467" spans="1:11">
      <c r="A8467" s="33" t="s">
        <v>19516</v>
      </c>
      <c r="B8467" s="33" t="s">
        <v>19517</v>
      </c>
      <c r="C8467" s="33" t="s">
        <v>149</v>
      </c>
      <c r="D8467" s="33" t="s">
        <v>17</v>
      </c>
      <c r="E8467" s="33" t="s">
        <v>26</v>
      </c>
      <c r="F8467" s="33" t="s">
        <v>27</v>
      </c>
      <c r="G8467" s="33" t="s">
        <v>50</v>
      </c>
      <c r="H8467" s="35">
        <v>24</v>
      </c>
      <c r="I8467" s="33" t="s">
        <v>51</v>
      </c>
      <c r="J8467" s="42">
        <v>44550</v>
      </c>
      <c r="K8467" s="33" t="s">
        <v>22</v>
      </c>
    </row>
    <row r="8468" spans="1:11">
      <c r="A8468" s="30" t="s">
        <v>19518</v>
      </c>
      <c r="B8468" s="30" t="s">
        <v>19519</v>
      </c>
      <c r="C8468" s="30" t="s">
        <v>1923</v>
      </c>
      <c r="D8468" s="30" t="s">
        <v>17</v>
      </c>
      <c r="E8468" s="30" t="s">
        <v>31</v>
      </c>
      <c r="F8468" s="30" t="s">
        <v>32</v>
      </c>
      <c r="G8468" s="30" t="s">
        <v>20</v>
      </c>
      <c r="H8468" s="32">
        <v>608</v>
      </c>
      <c r="I8468" s="30" t="s">
        <v>21</v>
      </c>
      <c r="J8468" s="41">
        <v>44440</v>
      </c>
      <c r="K8468" s="30" t="s">
        <v>22</v>
      </c>
    </row>
    <row r="8469" spans="1:11">
      <c r="A8469" s="33" t="s">
        <v>19520</v>
      </c>
      <c r="B8469" s="33" t="s">
        <v>19521</v>
      </c>
      <c r="C8469" s="33" t="s">
        <v>5636</v>
      </c>
      <c r="D8469" s="33" t="s">
        <v>17</v>
      </c>
      <c r="E8469" s="33" t="s">
        <v>26</v>
      </c>
      <c r="F8469" s="33" t="s">
        <v>27</v>
      </c>
      <c r="G8469" s="33" t="s">
        <v>50</v>
      </c>
      <c r="H8469" s="35">
        <v>60</v>
      </c>
      <c r="I8469" s="33" t="s">
        <v>51</v>
      </c>
      <c r="J8469" s="42">
        <v>44489</v>
      </c>
      <c r="K8469" s="33" t="s">
        <v>22</v>
      </c>
    </row>
    <row r="8470" spans="1:11">
      <c r="A8470" s="30" t="s">
        <v>19522</v>
      </c>
      <c r="B8470" s="30" t="s">
        <v>19523</v>
      </c>
      <c r="C8470" s="30" t="s">
        <v>4730</v>
      </c>
      <c r="D8470" s="30" t="s">
        <v>17</v>
      </c>
      <c r="E8470" s="30" t="s">
        <v>26</v>
      </c>
      <c r="F8470" s="30" t="s">
        <v>27</v>
      </c>
      <c r="G8470" s="30" t="s">
        <v>106</v>
      </c>
      <c r="H8470" s="32">
        <v>16</v>
      </c>
      <c r="I8470" s="30" t="s">
        <v>21</v>
      </c>
      <c r="J8470" s="41">
        <v>44252</v>
      </c>
      <c r="K8470" s="30" t="s">
        <v>22</v>
      </c>
    </row>
    <row r="8471" spans="1:11">
      <c r="A8471" s="33" t="s">
        <v>19524</v>
      </c>
      <c r="B8471" s="33" t="s">
        <v>19525</v>
      </c>
      <c r="C8471" s="33" t="s">
        <v>1048</v>
      </c>
      <c r="D8471" s="33" t="s">
        <v>17</v>
      </c>
      <c r="E8471" s="33" t="s">
        <v>212</v>
      </c>
      <c r="F8471" s="33" t="s">
        <v>213</v>
      </c>
      <c r="G8471" s="33" t="s">
        <v>20</v>
      </c>
      <c r="H8471" s="35">
        <v>176</v>
      </c>
      <c r="I8471" s="33" t="s">
        <v>21</v>
      </c>
      <c r="J8471" s="42">
        <v>44531</v>
      </c>
      <c r="K8471" s="33" t="s">
        <v>22</v>
      </c>
    </row>
    <row r="8472" spans="1:11">
      <c r="A8472" s="30" t="s">
        <v>19526</v>
      </c>
      <c r="B8472" s="30" t="s">
        <v>19527</v>
      </c>
      <c r="C8472" s="30" t="s">
        <v>109</v>
      </c>
      <c r="D8472" s="30" t="s">
        <v>17</v>
      </c>
      <c r="E8472" s="30" t="s">
        <v>31</v>
      </c>
      <c r="F8472" s="30" t="s">
        <v>32</v>
      </c>
      <c r="G8472" s="30" t="s">
        <v>112</v>
      </c>
      <c r="H8472" s="32">
        <v>0</v>
      </c>
      <c r="I8472" s="30" t="s">
        <v>21</v>
      </c>
      <c r="J8472" s="41">
        <v>44530</v>
      </c>
      <c r="K8472" s="30" t="s">
        <v>22</v>
      </c>
    </row>
    <row r="8473" spans="1:11">
      <c r="A8473" s="33" t="s">
        <v>19528</v>
      </c>
      <c r="B8473" s="33" t="s">
        <v>19529</v>
      </c>
      <c r="C8473" s="33" t="s">
        <v>130</v>
      </c>
      <c r="D8473" s="33" t="s">
        <v>17</v>
      </c>
      <c r="E8473" s="33" t="s">
        <v>31</v>
      </c>
      <c r="F8473" s="33" t="s">
        <v>32</v>
      </c>
      <c r="G8473" s="33" t="s">
        <v>20</v>
      </c>
      <c r="H8473" s="35">
        <v>49</v>
      </c>
      <c r="I8473" s="33" t="s">
        <v>21</v>
      </c>
      <c r="J8473" s="42">
        <v>44481</v>
      </c>
      <c r="K8473" s="33" t="s">
        <v>22</v>
      </c>
    </row>
    <row r="8474" spans="1:11">
      <c r="A8474" s="30" t="s">
        <v>19530</v>
      </c>
      <c r="B8474" s="30" t="s">
        <v>19531</v>
      </c>
      <c r="C8474" s="30" t="s">
        <v>19532</v>
      </c>
      <c r="D8474" s="30" t="s">
        <v>17</v>
      </c>
      <c r="E8474" s="30" t="s">
        <v>67</v>
      </c>
      <c r="F8474" s="30" t="s">
        <v>68</v>
      </c>
      <c r="G8474" s="30" t="s">
        <v>20</v>
      </c>
      <c r="H8474" s="32">
        <v>66</v>
      </c>
      <c r="I8474" s="30" t="s">
        <v>21</v>
      </c>
      <c r="J8474" s="41">
        <v>44231</v>
      </c>
      <c r="K8474" s="30" t="s">
        <v>22</v>
      </c>
    </row>
    <row r="8475" spans="1:11">
      <c r="A8475" s="33" t="s">
        <v>19533</v>
      </c>
      <c r="B8475" s="33" t="s">
        <v>19534</v>
      </c>
      <c r="C8475" s="33" t="s">
        <v>14559</v>
      </c>
      <c r="D8475" s="33" t="s">
        <v>17</v>
      </c>
      <c r="E8475" s="33" t="s">
        <v>31</v>
      </c>
      <c r="F8475" s="33" t="s">
        <v>32</v>
      </c>
      <c r="G8475" s="33" t="s">
        <v>106</v>
      </c>
      <c r="H8475" s="35">
        <v>2</v>
      </c>
      <c r="I8475" s="33" t="s">
        <v>21</v>
      </c>
      <c r="J8475" s="42">
        <v>44508</v>
      </c>
      <c r="K8475" s="33" t="s">
        <v>22</v>
      </c>
    </row>
    <row r="8476" spans="1:11">
      <c r="A8476" s="30" t="s">
        <v>19535</v>
      </c>
      <c r="B8476" s="30" t="s">
        <v>19536</v>
      </c>
      <c r="C8476" s="30" t="s">
        <v>133</v>
      </c>
      <c r="D8476" s="30" t="s">
        <v>17</v>
      </c>
      <c r="E8476" s="30" t="s">
        <v>31</v>
      </c>
      <c r="F8476" s="30" t="s">
        <v>32</v>
      </c>
      <c r="G8476" s="30" t="s">
        <v>20</v>
      </c>
      <c r="H8476" s="32">
        <v>189</v>
      </c>
      <c r="I8476" s="30" t="s">
        <v>21</v>
      </c>
      <c r="J8476" s="41">
        <v>44335</v>
      </c>
      <c r="K8476" s="30" t="s">
        <v>22</v>
      </c>
    </row>
    <row r="8477" spans="1:11">
      <c r="A8477" s="33" t="s">
        <v>19537</v>
      </c>
      <c r="B8477" s="33" t="s">
        <v>19538</v>
      </c>
      <c r="C8477" s="33" t="s">
        <v>15234</v>
      </c>
      <c r="D8477" s="33" t="s">
        <v>17</v>
      </c>
      <c r="E8477" s="33" t="s">
        <v>31</v>
      </c>
      <c r="F8477" s="33" t="s">
        <v>32</v>
      </c>
      <c r="G8477" s="33" t="s">
        <v>20</v>
      </c>
      <c r="H8477" s="35">
        <v>51</v>
      </c>
      <c r="I8477" s="33" t="s">
        <v>21</v>
      </c>
      <c r="J8477" s="42">
        <v>44411</v>
      </c>
      <c r="K8477" s="33" t="s">
        <v>22</v>
      </c>
    </row>
    <row r="8478" spans="1:11">
      <c r="A8478" s="30" t="s">
        <v>19539</v>
      </c>
      <c r="B8478" s="30" t="s">
        <v>19540</v>
      </c>
      <c r="C8478" s="30" t="s">
        <v>203</v>
      </c>
      <c r="D8478" s="30" t="s">
        <v>17</v>
      </c>
      <c r="E8478" s="30" t="s">
        <v>18</v>
      </c>
      <c r="F8478" s="30" t="s">
        <v>19</v>
      </c>
      <c r="G8478" s="30" t="s">
        <v>106</v>
      </c>
      <c r="H8478" s="32">
        <v>24</v>
      </c>
      <c r="I8478" s="30" t="s">
        <v>21</v>
      </c>
      <c r="J8478" s="41">
        <v>44236</v>
      </c>
      <c r="K8478" s="30" t="s">
        <v>22</v>
      </c>
    </row>
    <row r="8479" spans="1:11">
      <c r="A8479" s="33" t="s">
        <v>19541</v>
      </c>
      <c r="B8479" s="33" t="s">
        <v>19542</v>
      </c>
      <c r="C8479" s="33" t="s">
        <v>4176</v>
      </c>
      <c r="D8479" s="33" t="s">
        <v>17</v>
      </c>
      <c r="E8479" s="33" t="s">
        <v>31</v>
      </c>
      <c r="F8479" s="33" t="s">
        <v>32</v>
      </c>
      <c r="G8479" s="33" t="s">
        <v>20</v>
      </c>
      <c r="H8479" s="35">
        <v>150</v>
      </c>
      <c r="I8479" s="33" t="s">
        <v>21</v>
      </c>
      <c r="J8479" s="42">
        <v>44242</v>
      </c>
      <c r="K8479" s="33" t="s">
        <v>22</v>
      </c>
    </row>
    <row r="8480" spans="1:11">
      <c r="A8480" s="30" t="s">
        <v>19543</v>
      </c>
      <c r="B8480" s="30" t="s">
        <v>19544</v>
      </c>
      <c r="C8480" s="30" t="s">
        <v>14643</v>
      </c>
      <c r="D8480" s="30" t="s">
        <v>17</v>
      </c>
      <c r="E8480" s="30" t="s">
        <v>26</v>
      </c>
      <c r="F8480" s="30" t="s">
        <v>27</v>
      </c>
      <c r="G8480" s="30" t="s">
        <v>50</v>
      </c>
      <c r="H8480" s="32">
        <v>228</v>
      </c>
      <c r="I8480" s="30" t="s">
        <v>51</v>
      </c>
      <c r="J8480" s="41">
        <v>44307</v>
      </c>
      <c r="K8480" s="30" t="s">
        <v>22</v>
      </c>
    </row>
    <row r="8481" spans="1:11">
      <c r="A8481" s="33" t="s">
        <v>19545</v>
      </c>
      <c r="B8481" s="33" t="s">
        <v>19546</v>
      </c>
      <c r="C8481" s="33" t="s">
        <v>387</v>
      </c>
      <c r="D8481" s="33" t="s">
        <v>17</v>
      </c>
      <c r="E8481" s="33" t="s">
        <v>18</v>
      </c>
      <c r="F8481" s="33" t="s">
        <v>19</v>
      </c>
      <c r="G8481" s="33" t="s">
        <v>106</v>
      </c>
      <c r="H8481" s="35">
        <v>35</v>
      </c>
      <c r="I8481" s="33" t="s">
        <v>21</v>
      </c>
      <c r="J8481" s="42">
        <v>44418</v>
      </c>
      <c r="K8481" s="33" t="s">
        <v>22</v>
      </c>
    </row>
    <row r="8482" spans="1:11">
      <c r="A8482" s="30" t="s">
        <v>19547</v>
      </c>
      <c r="B8482" s="30" t="s">
        <v>19548</v>
      </c>
      <c r="C8482" s="30" t="s">
        <v>948</v>
      </c>
      <c r="D8482" s="30" t="s">
        <v>17</v>
      </c>
      <c r="E8482" s="30" t="s">
        <v>26</v>
      </c>
      <c r="F8482" s="30" t="s">
        <v>27</v>
      </c>
      <c r="G8482" s="30" t="s">
        <v>140</v>
      </c>
      <c r="H8482" s="32">
        <v>917</v>
      </c>
      <c r="I8482" s="30" t="s">
        <v>51</v>
      </c>
      <c r="J8482" s="41">
        <v>44348</v>
      </c>
      <c r="K8482" s="30" t="s">
        <v>22</v>
      </c>
    </row>
    <row r="8483" spans="1:11">
      <c r="A8483" s="33" t="s">
        <v>19549</v>
      </c>
      <c r="B8483" s="33" t="s">
        <v>19550</v>
      </c>
      <c r="C8483" s="33" t="s">
        <v>4210</v>
      </c>
      <c r="D8483" s="33" t="s">
        <v>17</v>
      </c>
      <c r="E8483" s="33" t="s">
        <v>31</v>
      </c>
      <c r="F8483" s="33" t="s">
        <v>32</v>
      </c>
      <c r="G8483" s="33" t="s">
        <v>158</v>
      </c>
      <c r="H8483" s="35">
        <v>59</v>
      </c>
      <c r="I8483" s="33" t="s">
        <v>21</v>
      </c>
      <c r="J8483" s="42">
        <v>44209</v>
      </c>
      <c r="K8483" s="33" t="s">
        <v>22</v>
      </c>
    </row>
    <row r="8484" spans="1:11">
      <c r="A8484" s="30" t="s">
        <v>19551</v>
      </c>
      <c r="B8484" s="30" t="s">
        <v>19552</v>
      </c>
      <c r="C8484" s="30" t="s">
        <v>353</v>
      </c>
      <c r="D8484" s="30" t="s">
        <v>17</v>
      </c>
      <c r="E8484" s="30" t="s">
        <v>26</v>
      </c>
      <c r="F8484" s="30" t="s">
        <v>27</v>
      </c>
      <c r="G8484" s="30" t="s">
        <v>20</v>
      </c>
      <c r="H8484" s="32">
        <v>46</v>
      </c>
      <c r="I8484" s="30" t="s">
        <v>21</v>
      </c>
      <c r="J8484" s="41">
        <v>44385</v>
      </c>
      <c r="K8484" s="30" t="s">
        <v>22</v>
      </c>
    </row>
    <row r="8485" spans="1:11">
      <c r="A8485" s="33" t="s">
        <v>19553</v>
      </c>
      <c r="B8485" s="33" t="s">
        <v>19554</v>
      </c>
      <c r="C8485" s="33" t="s">
        <v>2323</v>
      </c>
      <c r="D8485" s="33" t="s">
        <v>17</v>
      </c>
      <c r="E8485" s="33" t="s">
        <v>31</v>
      </c>
      <c r="F8485" s="33" t="s">
        <v>32</v>
      </c>
      <c r="G8485" s="33" t="s">
        <v>20</v>
      </c>
      <c r="H8485" s="35">
        <v>180</v>
      </c>
      <c r="I8485" s="33" t="s">
        <v>21</v>
      </c>
      <c r="J8485" s="42">
        <v>44215</v>
      </c>
      <c r="K8485" s="33" t="s">
        <v>22</v>
      </c>
    </row>
    <row r="8486" spans="1:11">
      <c r="A8486" s="30" t="s">
        <v>19555</v>
      </c>
      <c r="B8486" s="30" t="s">
        <v>19556</v>
      </c>
      <c r="C8486" s="30" t="s">
        <v>1109</v>
      </c>
      <c r="D8486" s="30" t="s">
        <v>17</v>
      </c>
      <c r="E8486" s="30" t="s">
        <v>67</v>
      </c>
      <c r="F8486" s="30" t="s">
        <v>68</v>
      </c>
      <c r="G8486" s="30" t="s">
        <v>106</v>
      </c>
      <c r="H8486" s="32">
        <v>20</v>
      </c>
      <c r="I8486" s="30" t="s">
        <v>21</v>
      </c>
      <c r="J8486" s="41">
        <v>44197</v>
      </c>
      <c r="K8486" s="30" t="s">
        <v>22</v>
      </c>
    </row>
    <row r="8487" spans="1:11">
      <c r="A8487" s="33" t="s">
        <v>19557</v>
      </c>
      <c r="B8487" s="33" t="s">
        <v>19558</v>
      </c>
      <c r="C8487" s="33" t="s">
        <v>9989</v>
      </c>
      <c r="D8487" s="33" t="s">
        <v>17</v>
      </c>
      <c r="E8487" s="33" t="s">
        <v>26</v>
      </c>
      <c r="F8487" s="33" t="s">
        <v>27</v>
      </c>
      <c r="G8487" s="33" t="s">
        <v>106</v>
      </c>
      <c r="H8487" s="35">
        <v>7</v>
      </c>
      <c r="I8487" s="33" t="s">
        <v>21</v>
      </c>
      <c r="J8487" s="42">
        <v>44543</v>
      </c>
      <c r="K8487" s="33" t="s">
        <v>22</v>
      </c>
    </row>
    <row r="8488" spans="1:11">
      <c r="A8488" s="30" t="s">
        <v>19559</v>
      </c>
      <c r="B8488" s="30" t="s">
        <v>19560</v>
      </c>
      <c r="C8488" s="30" t="s">
        <v>11332</v>
      </c>
      <c r="D8488" s="30" t="s">
        <v>17</v>
      </c>
      <c r="E8488" s="30" t="s">
        <v>18</v>
      </c>
      <c r="F8488" s="30" t="s">
        <v>19</v>
      </c>
      <c r="G8488" s="30" t="s">
        <v>158</v>
      </c>
      <c r="H8488" s="32">
        <v>92</v>
      </c>
      <c r="I8488" s="30" t="s">
        <v>21</v>
      </c>
      <c r="J8488" s="41">
        <v>44452</v>
      </c>
      <c r="K8488" s="30" t="s">
        <v>22</v>
      </c>
    </row>
    <row r="8489" spans="1:11">
      <c r="A8489" s="33" t="s">
        <v>19561</v>
      </c>
      <c r="B8489" s="33" t="s">
        <v>19562</v>
      </c>
      <c r="C8489" s="33" t="s">
        <v>11407</v>
      </c>
      <c r="D8489" s="33" t="s">
        <v>17</v>
      </c>
      <c r="E8489" s="33" t="s">
        <v>26</v>
      </c>
      <c r="F8489" s="33" t="s">
        <v>27</v>
      </c>
      <c r="G8489" s="33" t="s">
        <v>106</v>
      </c>
      <c r="H8489" s="35">
        <v>67</v>
      </c>
      <c r="I8489" s="33" t="s">
        <v>21</v>
      </c>
      <c r="J8489" s="42">
        <v>44546</v>
      </c>
      <c r="K8489" s="33" t="s">
        <v>22</v>
      </c>
    </row>
    <row r="8490" spans="1:11">
      <c r="A8490" s="30" t="s">
        <v>19563</v>
      </c>
      <c r="B8490" s="30" t="s">
        <v>19564</v>
      </c>
      <c r="C8490" s="30" t="s">
        <v>7396</v>
      </c>
      <c r="D8490" s="30" t="s">
        <v>17</v>
      </c>
      <c r="E8490" s="30" t="s">
        <v>31</v>
      </c>
      <c r="F8490" s="30" t="s">
        <v>32</v>
      </c>
      <c r="G8490" s="30" t="s">
        <v>106</v>
      </c>
      <c r="H8490" s="32">
        <v>3</v>
      </c>
      <c r="I8490" s="30" t="s">
        <v>21</v>
      </c>
      <c r="J8490" s="41">
        <v>44425</v>
      </c>
      <c r="K8490" s="30" t="s">
        <v>22</v>
      </c>
    </row>
    <row r="8491" spans="1:11">
      <c r="A8491" s="33" t="s">
        <v>19565</v>
      </c>
      <c r="B8491" s="33" t="s">
        <v>19566</v>
      </c>
      <c r="C8491" s="33" t="s">
        <v>19567</v>
      </c>
      <c r="D8491" s="33" t="s">
        <v>17</v>
      </c>
      <c r="E8491" s="33" t="s">
        <v>212</v>
      </c>
      <c r="F8491" s="33" t="s">
        <v>213</v>
      </c>
      <c r="G8491" s="33" t="s">
        <v>20</v>
      </c>
      <c r="H8491" s="35">
        <v>232</v>
      </c>
      <c r="I8491" s="33" t="s">
        <v>21</v>
      </c>
      <c r="J8491" s="42">
        <v>44456</v>
      </c>
      <c r="K8491" s="33" t="s">
        <v>22</v>
      </c>
    </row>
    <row r="8492" spans="1:11">
      <c r="A8492" s="30" t="s">
        <v>19568</v>
      </c>
      <c r="B8492" s="30" t="s">
        <v>19569</v>
      </c>
      <c r="C8492" s="30" t="s">
        <v>3253</v>
      </c>
      <c r="D8492" s="30" t="s">
        <v>17</v>
      </c>
      <c r="E8492" s="30" t="s">
        <v>26</v>
      </c>
      <c r="F8492" s="30" t="s">
        <v>27</v>
      </c>
      <c r="G8492" s="30" t="s">
        <v>106</v>
      </c>
      <c r="H8492" s="32">
        <v>29</v>
      </c>
      <c r="I8492" s="30" t="s">
        <v>21</v>
      </c>
      <c r="J8492" s="41">
        <v>44369</v>
      </c>
      <c r="K8492" s="30" t="s">
        <v>22</v>
      </c>
    </row>
    <row r="8493" spans="1:11">
      <c r="A8493" s="33" t="s">
        <v>19570</v>
      </c>
      <c r="B8493" s="33" t="s">
        <v>19571</v>
      </c>
      <c r="C8493" s="33" t="s">
        <v>2196</v>
      </c>
      <c r="D8493" s="33" t="s">
        <v>17</v>
      </c>
      <c r="E8493" s="33" t="s">
        <v>26</v>
      </c>
      <c r="F8493" s="33" t="s">
        <v>27</v>
      </c>
      <c r="G8493" s="33" t="s">
        <v>106</v>
      </c>
      <c r="H8493" s="35">
        <v>42</v>
      </c>
      <c r="I8493" s="33" t="s">
        <v>21</v>
      </c>
      <c r="J8493" s="42">
        <v>44255</v>
      </c>
      <c r="K8493" s="33" t="s">
        <v>22</v>
      </c>
    </row>
    <row r="8494" spans="1:11">
      <c r="A8494" s="30" t="s">
        <v>19572</v>
      </c>
      <c r="B8494" s="30" t="s">
        <v>19573</v>
      </c>
      <c r="C8494" s="30" t="s">
        <v>93</v>
      </c>
      <c r="D8494" s="30" t="s">
        <v>17</v>
      </c>
      <c r="E8494" s="30" t="s">
        <v>31</v>
      </c>
      <c r="F8494" s="30" t="s">
        <v>32</v>
      </c>
      <c r="G8494" s="30" t="s">
        <v>158</v>
      </c>
      <c r="H8494" s="32">
        <v>210</v>
      </c>
      <c r="I8494" s="30" t="s">
        <v>21</v>
      </c>
      <c r="J8494" s="41">
        <v>44558</v>
      </c>
      <c r="K8494" s="30" t="s">
        <v>22</v>
      </c>
    </row>
    <row r="8495" spans="1:11">
      <c r="A8495" s="33" t="s">
        <v>19574</v>
      </c>
      <c r="B8495" s="33" t="s">
        <v>19575</v>
      </c>
      <c r="C8495" s="33" t="s">
        <v>19576</v>
      </c>
      <c r="D8495" s="33" t="s">
        <v>17</v>
      </c>
      <c r="E8495" s="33" t="s">
        <v>26</v>
      </c>
      <c r="F8495" s="33" t="s">
        <v>27</v>
      </c>
      <c r="G8495" s="33" t="s">
        <v>20</v>
      </c>
      <c r="H8495" s="35">
        <v>74</v>
      </c>
      <c r="I8495" s="33" t="s">
        <v>21</v>
      </c>
      <c r="J8495" s="42">
        <v>44322</v>
      </c>
      <c r="K8495" s="33" t="s">
        <v>22</v>
      </c>
    </row>
    <row r="8496" spans="1:11">
      <c r="A8496" s="30" t="s">
        <v>19577</v>
      </c>
      <c r="B8496" s="30" t="s">
        <v>19578</v>
      </c>
      <c r="C8496" s="30" t="s">
        <v>2825</v>
      </c>
      <c r="D8496" s="30" t="s">
        <v>17</v>
      </c>
      <c r="E8496" s="30" t="s">
        <v>26</v>
      </c>
      <c r="F8496" s="30" t="s">
        <v>27</v>
      </c>
      <c r="G8496" s="30" t="s">
        <v>20</v>
      </c>
      <c r="H8496" s="32">
        <v>52</v>
      </c>
      <c r="I8496" s="30" t="s">
        <v>21</v>
      </c>
      <c r="J8496" s="41">
        <v>44250</v>
      </c>
      <c r="K8496" s="30" t="s">
        <v>22</v>
      </c>
    </row>
    <row r="8497" spans="1:11">
      <c r="A8497" s="33" t="s">
        <v>19579</v>
      </c>
      <c r="B8497" s="33" t="s">
        <v>19580</v>
      </c>
      <c r="C8497" s="33" t="s">
        <v>5202</v>
      </c>
      <c r="D8497" s="33" t="s">
        <v>17</v>
      </c>
      <c r="E8497" s="33" t="s">
        <v>31</v>
      </c>
      <c r="F8497" s="33" t="s">
        <v>32</v>
      </c>
      <c r="G8497" s="33" t="s">
        <v>20</v>
      </c>
      <c r="H8497" s="35">
        <v>390</v>
      </c>
      <c r="I8497" s="33" t="s">
        <v>21</v>
      </c>
      <c r="J8497" s="42">
        <v>44543</v>
      </c>
      <c r="K8497" s="33" t="s">
        <v>22</v>
      </c>
    </row>
    <row r="8498" spans="1:11">
      <c r="A8498" s="30" t="s">
        <v>19581</v>
      </c>
      <c r="B8498" s="30" t="s">
        <v>19582</v>
      </c>
      <c r="C8498" s="30" t="s">
        <v>96</v>
      </c>
      <c r="D8498" s="30" t="s">
        <v>17</v>
      </c>
      <c r="E8498" s="30" t="s">
        <v>31</v>
      </c>
      <c r="F8498" s="30" t="s">
        <v>32</v>
      </c>
      <c r="G8498" s="30" t="s">
        <v>20</v>
      </c>
      <c r="H8498" s="32">
        <v>24</v>
      </c>
      <c r="I8498" s="30" t="s">
        <v>21</v>
      </c>
      <c r="J8498" s="41">
        <v>44550</v>
      </c>
      <c r="K8498" s="30" t="s">
        <v>22</v>
      </c>
    </row>
    <row r="8499" spans="1:11">
      <c r="A8499" s="33" t="s">
        <v>19583</v>
      </c>
      <c r="B8499" s="33" t="s">
        <v>19584</v>
      </c>
      <c r="C8499" s="33" t="s">
        <v>222</v>
      </c>
      <c r="D8499" s="33" t="s">
        <v>17</v>
      </c>
      <c r="E8499" s="33" t="s">
        <v>31</v>
      </c>
      <c r="F8499" s="33" t="s">
        <v>32</v>
      </c>
      <c r="G8499" s="33" t="s">
        <v>20</v>
      </c>
      <c r="H8499" s="35">
        <v>122</v>
      </c>
      <c r="I8499" s="33" t="s">
        <v>21</v>
      </c>
      <c r="J8499" s="42">
        <v>44260</v>
      </c>
      <c r="K8499" s="33" t="s">
        <v>22</v>
      </c>
    </row>
    <row r="8500" spans="1:11">
      <c r="A8500" s="30" t="s">
        <v>19585</v>
      </c>
      <c r="B8500" s="30" t="s">
        <v>19586</v>
      </c>
      <c r="C8500" s="30" t="s">
        <v>549</v>
      </c>
      <c r="D8500" s="30" t="s">
        <v>17</v>
      </c>
      <c r="E8500" s="30" t="s">
        <v>18</v>
      </c>
      <c r="F8500" s="30" t="s">
        <v>19</v>
      </c>
      <c r="G8500" s="30" t="s">
        <v>158</v>
      </c>
      <c r="H8500" s="32">
        <v>658</v>
      </c>
      <c r="I8500" s="30" t="s">
        <v>21</v>
      </c>
      <c r="J8500" s="41">
        <v>44343</v>
      </c>
      <c r="K8500" s="30" t="s">
        <v>22</v>
      </c>
    </row>
    <row r="8501" spans="1:11">
      <c r="A8501" s="33" t="s">
        <v>19587</v>
      </c>
      <c r="B8501" s="33" t="s">
        <v>19588</v>
      </c>
      <c r="C8501" s="33" t="s">
        <v>102</v>
      </c>
      <c r="D8501" s="33" t="s">
        <v>17</v>
      </c>
      <c r="E8501" s="33" t="s">
        <v>31</v>
      </c>
      <c r="F8501" s="33" t="s">
        <v>32</v>
      </c>
      <c r="G8501" s="33" t="s">
        <v>106</v>
      </c>
      <c r="H8501" s="35">
        <v>1</v>
      </c>
      <c r="I8501" s="33" t="s">
        <v>21</v>
      </c>
      <c r="J8501" s="42">
        <v>44503</v>
      </c>
      <c r="K8501" s="33" t="s">
        <v>22</v>
      </c>
    </row>
    <row r="8502" spans="1:11">
      <c r="A8502" s="30" t="s">
        <v>19589</v>
      </c>
      <c r="B8502" s="30" t="s">
        <v>19590</v>
      </c>
      <c r="C8502" s="30" t="s">
        <v>9875</v>
      </c>
      <c r="D8502" s="30" t="s">
        <v>17</v>
      </c>
      <c r="E8502" s="30" t="s">
        <v>67</v>
      </c>
      <c r="F8502" s="30" t="s">
        <v>68</v>
      </c>
      <c r="G8502" s="30" t="s">
        <v>50</v>
      </c>
      <c r="H8502" s="32">
        <v>96</v>
      </c>
      <c r="I8502" s="30" t="s">
        <v>51</v>
      </c>
      <c r="J8502" s="41">
        <v>44223</v>
      </c>
      <c r="K8502" s="30" t="s">
        <v>22</v>
      </c>
    </row>
    <row r="8503" spans="1:11">
      <c r="A8503" s="33" t="s">
        <v>19591</v>
      </c>
      <c r="B8503" s="33" t="s">
        <v>19592</v>
      </c>
      <c r="C8503" s="33" t="s">
        <v>14483</v>
      </c>
      <c r="D8503" s="33" t="s">
        <v>17</v>
      </c>
      <c r="E8503" s="33" t="s">
        <v>26</v>
      </c>
      <c r="F8503" s="33" t="s">
        <v>27</v>
      </c>
      <c r="G8503" s="33" t="s">
        <v>106</v>
      </c>
      <c r="H8503" s="35">
        <v>58</v>
      </c>
      <c r="I8503" s="33" t="s">
        <v>21</v>
      </c>
      <c r="J8503" s="42">
        <v>44287</v>
      </c>
      <c r="K8503" s="33" t="s">
        <v>22</v>
      </c>
    </row>
    <row r="8504" spans="1:11">
      <c r="A8504" s="30" t="s">
        <v>19593</v>
      </c>
      <c r="B8504" s="30" t="s">
        <v>19594</v>
      </c>
      <c r="C8504" s="30" t="s">
        <v>6255</v>
      </c>
      <c r="D8504" s="30" t="s">
        <v>17</v>
      </c>
      <c r="E8504" s="30" t="s">
        <v>31</v>
      </c>
      <c r="F8504" s="30" t="s">
        <v>32</v>
      </c>
      <c r="G8504" s="30" t="s">
        <v>20</v>
      </c>
      <c r="H8504" s="32">
        <v>20</v>
      </c>
      <c r="I8504" s="30" t="s">
        <v>21</v>
      </c>
      <c r="J8504" s="41">
        <v>44328</v>
      </c>
      <c r="K8504" s="30" t="s">
        <v>22</v>
      </c>
    </row>
    <row r="8505" spans="1:11">
      <c r="A8505" s="33" t="s">
        <v>19595</v>
      </c>
      <c r="B8505" s="33" t="s">
        <v>19596</v>
      </c>
      <c r="C8505" s="33" t="s">
        <v>1571</v>
      </c>
      <c r="D8505" s="33" t="s">
        <v>17</v>
      </c>
      <c r="E8505" s="33" t="s">
        <v>31</v>
      </c>
      <c r="F8505" s="33" t="s">
        <v>32</v>
      </c>
      <c r="G8505" s="33" t="s">
        <v>2613</v>
      </c>
      <c r="H8505" s="35">
        <v>118</v>
      </c>
      <c r="I8505" s="33" t="s">
        <v>51</v>
      </c>
      <c r="J8505" s="42">
        <v>44560</v>
      </c>
      <c r="K8505" s="33" t="s">
        <v>22</v>
      </c>
    </row>
    <row r="8506" spans="1:11">
      <c r="A8506" s="30" t="s">
        <v>19597</v>
      </c>
      <c r="B8506" s="30" t="s">
        <v>19598</v>
      </c>
      <c r="C8506" s="30" t="s">
        <v>644</v>
      </c>
      <c r="D8506" s="30" t="s">
        <v>17</v>
      </c>
      <c r="E8506" s="30" t="s">
        <v>31</v>
      </c>
      <c r="F8506" s="30" t="s">
        <v>32</v>
      </c>
      <c r="G8506" s="30" t="s">
        <v>50</v>
      </c>
      <c r="H8506" s="32">
        <v>120</v>
      </c>
      <c r="I8506" s="30" t="s">
        <v>51</v>
      </c>
      <c r="J8506" s="41">
        <v>44551</v>
      </c>
      <c r="K8506" s="30" t="s">
        <v>22</v>
      </c>
    </row>
    <row r="8507" spans="1:11">
      <c r="A8507" s="33" t="s">
        <v>19599</v>
      </c>
      <c r="B8507" s="33" t="s">
        <v>19600</v>
      </c>
      <c r="C8507" s="33" t="s">
        <v>16377</v>
      </c>
      <c r="D8507" s="33" t="s">
        <v>17</v>
      </c>
      <c r="E8507" s="33" t="s">
        <v>26</v>
      </c>
      <c r="F8507" s="33" t="s">
        <v>27</v>
      </c>
      <c r="G8507" s="33" t="s">
        <v>69</v>
      </c>
      <c r="H8507" s="35">
        <v>24</v>
      </c>
      <c r="I8507" s="33" t="s">
        <v>51</v>
      </c>
      <c r="J8507" s="42">
        <v>44242</v>
      </c>
      <c r="K8507" s="33" t="s">
        <v>22</v>
      </c>
    </row>
    <row r="8508" spans="1:11">
      <c r="A8508" s="30" t="s">
        <v>19601</v>
      </c>
      <c r="B8508" s="30" t="s">
        <v>19602</v>
      </c>
      <c r="C8508" s="30" t="s">
        <v>187</v>
      </c>
      <c r="D8508" s="30" t="s">
        <v>17</v>
      </c>
      <c r="E8508" s="30" t="s">
        <v>26</v>
      </c>
      <c r="F8508" s="30" t="s">
        <v>27</v>
      </c>
      <c r="G8508" s="30" t="s">
        <v>50</v>
      </c>
      <c r="H8508" s="32">
        <v>120</v>
      </c>
      <c r="I8508" s="30" t="s">
        <v>51</v>
      </c>
      <c r="J8508" s="41">
        <v>44501</v>
      </c>
      <c r="K8508" s="30" t="s">
        <v>22</v>
      </c>
    </row>
    <row r="8509" spans="1:11">
      <c r="A8509" s="33" t="s">
        <v>19603</v>
      </c>
      <c r="B8509" s="33" t="s">
        <v>19604</v>
      </c>
      <c r="C8509" s="33" t="s">
        <v>149</v>
      </c>
      <c r="D8509" s="33" t="s">
        <v>17</v>
      </c>
      <c r="E8509" s="33" t="s">
        <v>26</v>
      </c>
      <c r="F8509" s="33" t="s">
        <v>27</v>
      </c>
      <c r="G8509" s="33" t="s">
        <v>20</v>
      </c>
      <c r="H8509" s="35">
        <v>24</v>
      </c>
      <c r="I8509" s="33" t="s">
        <v>21</v>
      </c>
      <c r="J8509" s="42">
        <v>44441</v>
      </c>
      <c r="K8509" s="33" t="s">
        <v>22</v>
      </c>
    </row>
    <row r="8510" spans="1:11">
      <c r="A8510" s="30" t="s">
        <v>19605</v>
      </c>
      <c r="B8510" s="30" t="s">
        <v>19606</v>
      </c>
      <c r="C8510" s="30" t="s">
        <v>1162</v>
      </c>
      <c r="D8510" s="30" t="s">
        <v>17</v>
      </c>
      <c r="E8510" s="30" t="s">
        <v>26</v>
      </c>
      <c r="F8510" s="30" t="s">
        <v>27</v>
      </c>
      <c r="G8510" s="30" t="s">
        <v>106</v>
      </c>
      <c r="H8510" s="32">
        <v>9</v>
      </c>
      <c r="I8510" s="30" t="s">
        <v>21</v>
      </c>
      <c r="J8510" s="41">
        <v>44277</v>
      </c>
      <c r="K8510" s="30" t="s">
        <v>22</v>
      </c>
    </row>
    <row r="8511" spans="1:11">
      <c r="A8511" s="33" t="s">
        <v>19607</v>
      </c>
      <c r="B8511" s="33" t="s">
        <v>19608</v>
      </c>
      <c r="C8511" s="33" t="s">
        <v>10459</v>
      </c>
      <c r="D8511" s="33" t="s">
        <v>17</v>
      </c>
      <c r="E8511" s="33" t="s">
        <v>330</v>
      </c>
      <c r="F8511" s="33" t="s">
        <v>331</v>
      </c>
      <c r="G8511" s="33" t="s">
        <v>50</v>
      </c>
      <c r="H8511" s="35">
        <v>50</v>
      </c>
      <c r="I8511" s="33" t="s">
        <v>51</v>
      </c>
      <c r="J8511" s="42">
        <v>44540</v>
      </c>
      <c r="K8511" s="33" t="s">
        <v>22</v>
      </c>
    </row>
    <row r="8512" spans="1:11">
      <c r="A8512" s="30" t="s">
        <v>19609</v>
      </c>
      <c r="B8512" s="30" t="s">
        <v>19610</v>
      </c>
      <c r="C8512" s="30" t="s">
        <v>3307</v>
      </c>
      <c r="D8512" s="30" t="s">
        <v>17</v>
      </c>
      <c r="E8512" s="30" t="s">
        <v>31</v>
      </c>
      <c r="F8512" s="30" t="s">
        <v>32</v>
      </c>
      <c r="G8512" s="30" t="s">
        <v>106</v>
      </c>
      <c r="H8512" s="32">
        <v>15</v>
      </c>
      <c r="I8512" s="30" t="s">
        <v>21</v>
      </c>
      <c r="J8512" s="41">
        <v>44389</v>
      </c>
      <c r="K8512" s="30" t="s">
        <v>22</v>
      </c>
    </row>
    <row r="8513" spans="1:11">
      <c r="A8513" s="33" t="s">
        <v>19611</v>
      </c>
      <c r="B8513" s="33" t="s">
        <v>19612</v>
      </c>
      <c r="C8513" s="33" t="s">
        <v>11719</v>
      </c>
      <c r="D8513" s="33" t="s">
        <v>17</v>
      </c>
      <c r="E8513" s="33" t="s">
        <v>26</v>
      </c>
      <c r="F8513" s="33" t="s">
        <v>27</v>
      </c>
      <c r="G8513" s="33" t="s">
        <v>20</v>
      </c>
      <c r="H8513" s="35">
        <v>55</v>
      </c>
      <c r="I8513" s="33" t="s">
        <v>21</v>
      </c>
      <c r="J8513" s="42">
        <v>44420</v>
      </c>
      <c r="K8513" s="33" t="s">
        <v>22</v>
      </c>
    </row>
    <row r="8514" spans="1:11">
      <c r="A8514" s="30" t="s">
        <v>19613</v>
      </c>
      <c r="B8514" s="30" t="s">
        <v>19614</v>
      </c>
      <c r="C8514" s="30" t="s">
        <v>15795</v>
      </c>
      <c r="D8514" s="30" t="s">
        <v>17</v>
      </c>
      <c r="E8514" s="30" t="s">
        <v>26</v>
      </c>
      <c r="F8514" s="30" t="s">
        <v>27</v>
      </c>
      <c r="G8514" s="30" t="s">
        <v>20</v>
      </c>
      <c r="H8514" s="32">
        <v>48</v>
      </c>
      <c r="I8514" s="30" t="s">
        <v>21</v>
      </c>
      <c r="J8514" s="41">
        <v>44378</v>
      </c>
      <c r="K8514" s="30" t="s">
        <v>22</v>
      </c>
    </row>
    <row r="8515" spans="1:11">
      <c r="A8515" s="33" t="s">
        <v>19615</v>
      </c>
      <c r="B8515" s="33" t="s">
        <v>19616</v>
      </c>
      <c r="C8515" s="33" t="s">
        <v>96</v>
      </c>
      <c r="D8515" s="33" t="s">
        <v>17</v>
      </c>
      <c r="E8515" s="33" t="s">
        <v>45</v>
      </c>
      <c r="F8515" s="33" t="s">
        <v>46</v>
      </c>
      <c r="G8515" s="33" t="s">
        <v>20</v>
      </c>
      <c r="H8515" s="35">
        <v>2954</v>
      </c>
      <c r="I8515" s="33" t="s">
        <v>21</v>
      </c>
      <c r="J8515" s="42">
        <v>44448</v>
      </c>
      <c r="K8515" s="33" t="s">
        <v>22</v>
      </c>
    </row>
    <row r="8516" spans="1:11">
      <c r="A8516" s="30" t="s">
        <v>19617</v>
      </c>
      <c r="B8516" s="30" t="s">
        <v>19618</v>
      </c>
      <c r="C8516" s="30" t="s">
        <v>1159</v>
      </c>
      <c r="D8516" s="30" t="s">
        <v>17</v>
      </c>
      <c r="E8516" s="30" t="s">
        <v>26</v>
      </c>
      <c r="F8516" s="30" t="s">
        <v>27</v>
      </c>
      <c r="G8516" s="30" t="s">
        <v>20</v>
      </c>
      <c r="H8516" s="32">
        <v>44</v>
      </c>
      <c r="I8516" s="30" t="s">
        <v>21</v>
      </c>
      <c r="J8516" s="41">
        <v>44337</v>
      </c>
      <c r="K8516" s="30" t="s">
        <v>22</v>
      </c>
    </row>
    <row r="8517" spans="1:11">
      <c r="A8517" s="33" t="s">
        <v>19619</v>
      </c>
      <c r="B8517" s="33" t="s">
        <v>19620</v>
      </c>
      <c r="C8517" s="33" t="s">
        <v>5050</v>
      </c>
      <c r="D8517" s="33" t="s">
        <v>17</v>
      </c>
      <c r="E8517" s="33" t="s">
        <v>26</v>
      </c>
      <c r="F8517" s="33" t="s">
        <v>27</v>
      </c>
      <c r="G8517" s="33" t="s">
        <v>20</v>
      </c>
      <c r="H8517" s="35">
        <v>16</v>
      </c>
      <c r="I8517" s="33" t="s">
        <v>21</v>
      </c>
      <c r="J8517" s="42">
        <v>44401</v>
      </c>
      <c r="K8517" s="33" t="s">
        <v>22</v>
      </c>
    </row>
    <row r="8518" spans="1:11">
      <c r="A8518" s="30" t="s">
        <v>19621</v>
      </c>
      <c r="B8518" s="30" t="s">
        <v>19622</v>
      </c>
      <c r="C8518" s="30" t="s">
        <v>795</v>
      </c>
      <c r="D8518" s="30" t="s">
        <v>17</v>
      </c>
      <c r="E8518" s="30" t="s">
        <v>26</v>
      </c>
      <c r="F8518" s="30" t="s">
        <v>27</v>
      </c>
      <c r="G8518" s="30" t="s">
        <v>20</v>
      </c>
      <c r="H8518" s="32">
        <v>18</v>
      </c>
      <c r="I8518" s="30" t="s">
        <v>21</v>
      </c>
      <c r="J8518" s="41">
        <v>44362</v>
      </c>
      <c r="K8518" s="30" t="s">
        <v>22</v>
      </c>
    </row>
    <row r="8519" spans="1:11">
      <c r="A8519" s="33" t="s">
        <v>19623</v>
      </c>
      <c r="B8519" s="33" t="s">
        <v>19624</v>
      </c>
      <c r="C8519" s="33" t="s">
        <v>810</v>
      </c>
      <c r="D8519" s="33" t="s">
        <v>17</v>
      </c>
      <c r="E8519" s="33" t="s">
        <v>212</v>
      </c>
      <c r="F8519" s="33" t="s">
        <v>213</v>
      </c>
      <c r="G8519" s="33" t="s">
        <v>50</v>
      </c>
      <c r="H8519" s="35">
        <v>278</v>
      </c>
      <c r="I8519" s="33" t="s">
        <v>51</v>
      </c>
      <c r="J8519" s="42">
        <v>44224</v>
      </c>
      <c r="K8519" s="33" t="s">
        <v>22</v>
      </c>
    </row>
    <row r="8520" spans="1:11">
      <c r="A8520" s="30" t="s">
        <v>19625</v>
      </c>
      <c r="B8520" s="30" t="s">
        <v>19626</v>
      </c>
      <c r="C8520" s="30" t="s">
        <v>310</v>
      </c>
      <c r="D8520" s="30" t="s">
        <v>17</v>
      </c>
      <c r="E8520" s="30" t="s">
        <v>18</v>
      </c>
      <c r="F8520" s="30" t="s">
        <v>19</v>
      </c>
      <c r="G8520" s="30" t="s">
        <v>20</v>
      </c>
      <c r="H8520" s="32">
        <v>207</v>
      </c>
      <c r="I8520" s="30" t="s">
        <v>21</v>
      </c>
      <c r="J8520" s="41">
        <v>44445</v>
      </c>
      <c r="K8520" s="30" t="s">
        <v>22</v>
      </c>
    </row>
    <row r="8521" spans="1:11">
      <c r="A8521" s="33" t="s">
        <v>19627</v>
      </c>
      <c r="B8521" s="33" t="s">
        <v>19628</v>
      </c>
      <c r="C8521" s="33" t="s">
        <v>4282</v>
      </c>
      <c r="D8521" s="33" t="s">
        <v>17</v>
      </c>
      <c r="E8521" s="33" t="s">
        <v>31</v>
      </c>
      <c r="F8521" s="33" t="s">
        <v>32</v>
      </c>
      <c r="G8521" s="33" t="s">
        <v>50</v>
      </c>
      <c r="H8521" s="35">
        <v>100</v>
      </c>
      <c r="I8521" s="33" t="s">
        <v>51</v>
      </c>
      <c r="J8521" s="42">
        <v>44265</v>
      </c>
      <c r="K8521" s="33" t="s">
        <v>22</v>
      </c>
    </row>
    <row r="8522" spans="1:11">
      <c r="A8522" s="30" t="s">
        <v>19629</v>
      </c>
      <c r="B8522" s="30" t="s">
        <v>19630</v>
      </c>
      <c r="C8522" s="30" t="s">
        <v>6576</v>
      </c>
      <c r="D8522" s="30" t="s">
        <v>17</v>
      </c>
      <c r="E8522" s="30" t="s">
        <v>26</v>
      </c>
      <c r="F8522" s="30" t="s">
        <v>27</v>
      </c>
      <c r="G8522" s="30" t="s">
        <v>20</v>
      </c>
      <c r="H8522" s="32">
        <v>84</v>
      </c>
      <c r="I8522" s="30" t="s">
        <v>21</v>
      </c>
      <c r="J8522" s="41">
        <v>44390</v>
      </c>
      <c r="K8522" s="30" t="s">
        <v>22</v>
      </c>
    </row>
    <row r="8523" spans="1:11">
      <c r="A8523" s="33" t="s">
        <v>19631</v>
      </c>
      <c r="B8523" s="33" t="s">
        <v>19632</v>
      </c>
      <c r="C8523" s="33" t="s">
        <v>16391</v>
      </c>
      <c r="D8523" s="33" t="s">
        <v>17</v>
      </c>
      <c r="E8523" s="33" t="s">
        <v>26</v>
      </c>
      <c r="F8523" s="33" t="s">
        <v>27</v>
      </c>
      <c r="G8523" s="33" t="s">
        <v>158</v>
      </c>
      <c r="H8523" s="35">
        <v>90</v>
      </c>
      <c r="I8523" s="33" t="s">
        <v>51</v>
      </c>
      <c r="J8523" s="42">
        <v>44284</v>
      </c>
      <c r="K8523" s="33" t="s">
        <v>22</v>
      </c>
    </row>
    <row r="8524" spans="1:11">
      <c r="A8524" s="30" t="s">
        <v>19633</v>
      </c>
      <c r="B8524" s="30" t="s">
        <v>19634</v>
      </c>
      <c r="C8524" s="30" t="s">
        <v>936</v>
      </c>
      <c r="D8524" s="30" t="s">
        <v>17</v>
      </c>
      <c r="E8524" s="30" t="s">
        <v>67</v>
      </c>
      <c r="F8524" s="30" t="s">
        <v>68</v>
      </c>
      <c r="G8524" s="30" t="s">
        <v>20</v>
      </c>
      <c r="H8524" s="32">
        <v>52</v>
      </c>
      <c r="I8524" s="30" t="s">
        <v>21</v>
      </c>
      <c r="J8524" s="41">
        <v>44454</v>
      </c>
      <c r="K8524" s="30" t="s">
        <v>22</v>
      </c>
    </row>
    <row r="8525" spans="1:11">
      <c r="A8525" s="33" t="s">
        <v>19635</v>
      </c>
      <c r="B8525" s="33" t="s">
        <v>19636</v>
      </c>
      <c r="C8525" s="33" t="s">
        <v>570</v>
      </c>
      <c r="D8525" s="33" t="s">
        <v>17</v>
      </c>
      <c r="E8525" s="33" t="s">
        <v>31</v>
      </c>
      <c r="F8525" s="33" t="s">
        <v>32</v>
      </c>
      <c r="G8525" s="33" t="s">
        <v>50</v>
      </c>
      <c r="H8525" s="35">
        <v>30</v>
      </c>
      <c r="I8525" s="33" t="s">
        <v>21</v>
      </c>
      <c r="J8525" s="42">
        <v>44494</v>
      </c>
      <c r="K8525" s="33" t="s">
        <v>22</v>
      </c>
    </row>
    <row r="8526" spans="1:11">
      <c r="A8526" s="30" t="s">
        <v>19637</v>
      </c>
      <c r="B8526" s="30" t="s">
        <v>19638</v>
      </c>
      <c r="C8526" s="30" t="s">
        <v>936</v>
      </c>
      <c r="D8526" s="30" t="s">
        <v>17</v>
      </c>
      <c r="E8526" s="30" t="s">
        <v>31</v>
      </c>
      <c r="F8526" s="30" t="s">
        <v>32</v>
      </c>
      <c r="G8526" s="30" t="s">
        <v>20</v>
      </c>
      <c r="H8526" s="32">
        <v>420</v>
      </c>
      <c r="I8526" s="30" t="s">
        <v>21</v>
      </c>
      <c r="J8526" s="41">
        <v>44536</v>
      </c>
      <c r="K8526" s="30" t="s">
        <v>22</v>
      </c>
    </row>
    <row r="8527" spans="1:11">
      <c r="A8527" s="33" t="s">
        <v>19639</v>
      </c>
      <c r="B8527" s="33" t="s">
        <v>19640</v>
      </c>
      <c r="C8527" s="33" t="s">
        <v>5229</v>
      </c>
      <c r="D8527" s="33" t="s">
        <v>17</v>
      </c>
      <c r="E8527" s="33" t="s">
        <v>18</v>
      </c>
      <c r="F8527" s="33" t="s">
        <v>19</v>
      </c>
      <c r="G8527" s="33" t="s">
        <v>106</v>
      </c>
      <c r="H8527" s="35">
        <v>205</v>
      </c>
      <c r="I8527" s="33" t="s">
        <v>21</v>
      </c>
      <c r="J8527" s="42">
        <v>44351</v>
      </c>
      <c r="K8527" s="33" t="s">
        <v>22</v>
      </c>
    </row>
    <row r="8528" spans="1:11">
      <c r="A8528" s="30" t="s">
        <v>19641</v>
      </c>
      <c r="B8528" s="30" t="s">
        <v>19642</v>
      </c>
      <c r="C8528" s="30" t="s">
        <v>18915</v>
      </c>
      <c r="D8528" s="30" t="s">
        <v>17</v>
      </c>
      <c r="E8528" s="30" t="s">
        <v>26</v>
      </c>
      <c r="F8528" s="30" t="s">
        <v>27</v>
      </c>
      <c r="G8528" s="30" t="s">
        <v>20</v>
      </c>
      <c r="H8528" s="32">
        <v>64</v>
      </c>
      <c r="I8528" s="30" t="s">
        <v>21</v>
      </c>
      <c r="J8528" s="41">
        <v>44330</v>
      </c>
      <c r="K8528" s="30" t="s">
        <v>22</v>
      </c>
    </row>
    <row r="8529" spans="1:11">
      <c r="A8529" s="33" t="s">
        <v>19643</v>
      </c>
      <c r="B8529" s="33" t="s">
        <v>19644</v>
      </c>
      <c r="C8529" s="33" t="s">
        <v>10732</v>
      </c>
      <c r="D8529" s="33" t="s">
        <v>17</v>
      </c>
      <c r="E8529" s="33" t="s">
        <v>45</v>
      </c>
      <c r="F8529" s="33" t="s">
        <v>46</v>
      </c>
      <c r="G8529" s="33" t="s">
        <v>106</v>
      </c>
      <c r="H8529" s="35">
        <v>25</v>
      </c>
      <c r="I8529" s="33" t="s">
        <v>21</v>
      </c>
      <c r="J8529" s="42">
        <v>44414</v>
      </c>
      <c r="K8529" s="33" t="s">
        <v>22</v>
      </c>
    </row>
    <row r="8530" spans="1:11">
      <c r="A8530" s="30" t="s">
        <v>19645</v>
      </c>
      <c r="B8530" s="30" t="s">
        <v>19646</v>
      </c>
      <c r="C8530" s="30" t="s">
        <v>7721</v>
      </c>
      <c r="D8530" s="30" t="s">
        <v>17</v>
      </c>
      <c r="E8530" s="30" t="s">
        <v>18</v>
      </c>
      <c r="F8530" s="30" t="s">
        <v>19</v>
      </c>
      <c r="G8530" s="30" t="s">
        <v>158</v>
      </c>
      <c r="H8530" s="32">
        <v>158</v>
      </c>
      <c r="I8530" s="30" t="s">
        <v>21</v>
      </c>
      <c r="J8530" s="41">
        <v>44390</v>
      </c>
      <c r="K8530" s="30" t="s">
        <v>22</v>
      </c>
    </row>
    <row r="8531" spans="1:11">
      <c r="A8531" s="33" t="s">
        <v>19647</v>
      </c>
      <c r="B8531" s="33" t="s">
        <v>19648</v>
      </c>
      <c r="C8531" s="33" t="s">
        <v>19649</v>
      </c>
      <c r="D8531" s="33" t="s">
        <v>17</v>
      </c>
      <c r="E8531" s="33" t="s">
        <v>31</v>
      </c>
      <c r="F8531" s="33" t="s">
        <v>32</v>
      </c>
      <c r="G8531" s="33" t="s">
        <v>158</v>
      </c>
      <c r="H8531" s="35">
        <v>140</v>
      </c>
      <c r="I8531" s="33" t="s">
        <v>51</v>
      </c>
      <c r="J8531" s="42">
        <v>44284</v>
      </c>
      <c r="K8531" s="33" t="s">
        <v>22</v>
      </c>
    </row>
    <row r="8532" spans="1:11">
      <c r="A8532" s="30" t="s">
        <v>19650</v>
      </c>
      <c r="B8532" s="30" t="s">
        <v>19651</v>
      </c>
      <c r="C8532" s="30" t="s">
        <v>1498</v>
      </c>
      <c r="D8532" s="30" t="s">
        <v>17</v>
      </c>
      <c r="E8532" s="30" t="s">
        <v>26</v>
      </c>
      <c r="F8532" s="30" t="s">
        <v>27</v>
      </c>
      <c r="G8532" s="30" t="s">
        <v>20</v>
      </c>
      <c r="H8532" s="32">
        <v>41</v>
      </c>
      <c r="I8532" s="30" t="s">
        <v>21</v>
      </c>
      <c r="J8532" s="41">
        <v>44400</v>
      </c>
      <c r="K8532" s="30" t="s">
        <v>22</v>
      </c>
    </row>
    <row r="8533" spans="1:11">
      <c r="A8533" s="33" t="s">
        <v>19652</v>
      </c>
      <c r="B8533" s="33" t="s">
        <v>19653</v>
      </c>
      <c r="C8533" s="33" t="s">
        <v>1436</v>
      </c>
      <c r="D8533" s="33" t="s">
        <v>17</v>
      </c>
      <c r="E8533" s="33" t="s">
        <v>31</v>
      </c>
      <c r="F8533" s="33" t="s">
        <v>32</v>
      </c>
      <c r="G8533" s="33" t="s">
        <v>20</v>
      </c>
      <c r="H8533" s="35">
        <v>65</v>
      </c>
      <c r="I8533" s="33" t="s">
        <v>21</v>
      </c>
      <c r="J8533" s="42">
        <v>44372</v>
      </c>
      <c r="K8533" s="33" t="s">
        <v>22</v>
      </c>
    </row>
    <row r="8534" spans="1:11">
      <c r="A8534" s="30" t="s">
        <v>19654</v>
      </c>
      <c r="B8534" s="30" t="s">
        <v>19655</v>
      </c>
      <c r="C8534" s="30" t="s">
        <v>19656</v>
      </c>
      <c r="D8534" s="30" t="s">
        <v>17</v>
      </c>
      <c r="E8534" s="30" t="s">
        <v>26</v>
      </c>
      <c r="F8534" s="30" t="s">
        <v>27</v>
      </c>
      <c r="G8534" s="30" t="s">
        <v>20</v>
      </c>
      <c r="H8534" s="32">
        <v>132</v>
      </c>
      <c r="I8534" s="30" t="s">
        <v>21</v>
      </c>
      <c r="J8534" s="41">
        <v>44491</v>
      </c>
      <c r="K8534" s="30" t="s">
        <v>22</v>
      </c>
    </row>
    <row r="8535" spans="1:11">
      <c r="A8535" s="33" t="s">
        <v>19657</v>
      </c>
      <c r="B8535" s="33" t="s">
        <v>19658</v>
      </c>
      <c r="C8535" s="33" t="s">
        <v>19328</v>
      </c>
      <c r="D8535" s="33" t="s">
        <v>17</v>
      </c>
      <c r="E8535" s="33" t="s">
        <v>26</v>
      </c>
      <c r="F8535" s="33" t="s">
        <v>27</v>
      </c>
      <c r="G8535" s="33" t="s">
        <v>20</v>
      </c>
      <c r="H8535" s="35">
        <v>93</v>
      </c>
      <c r="I8535" s="33" t="s">
        <v>21</v>
      </c>
      <c r="J8535" s="42">
        <v>44452</v>
      </c>
      <c r="K8535" s="33" t="s">
        <v>22</v>
      </c>
    </row>
    <row r="8536" spans="1:11">
      <c r="A8536" s="30" t="s">
        <v>19659</v>
      </c>
      <c r="B8536" s="30" t="s">
        <v>19660</v>
      </c>
      <c r="C8536" s="30" t="s">
        <v>969</v>
      </c>
      <c r="D8536" s="30" t="s">
        <v>17</v>
      </c>
      <c r="E8536" s="30" t="s">
        <v>31</v>
      </c>
      <c r="F8536" s="30" t="s">
        <v>32</v>
      </c>
      <c r="G8536" s="30" t="s">
        <v>106</v>
      </c>
      <c r="H8536" s="32">
        <v>8</v>
      </c>
      <c r="I8536" s="30" t="s">
        <v>21</v>
      </c>
      <c r="J8536" s="41">
        <v>44259</v>
      </c>
      <c r="K8536" s="30" t="s">
        <v>22</v>
      </c>
    </row>
    <row r="8537" spans="1:11">
      <c r="A8537" s="33" t="s">
        <v>19661</v>
      </c>
      <c r="B8537" s="33" t="s">
        <v>19662</v>
      </c>
      <c r="C8537" s="33" t="s">
        <v>175</v>
      </c>
      <c r="D8537" s="33" t="s">
        <v>17</v>
      </c>
      <c r="E8537" s="33" t="s">
        <v>26</v>
      </c>
      <c r="F8537" s="33" t="s">
        <v>27</v>
      </c>
      <c r="G8537" s="33" t="s">
        <v>20</v>
      </c>
      <c r="H8537" s="35">
        <v>18</v>
      </c>
      <c r="I8537" s="33" t="s">
        <v>21</v>
      </c>
      <c r="J8537" s="42">
        <v>44484</v>
      </c>
      <c r="K8537" s="33" t="s">
        <v>22</v>
      </c>
    </row>
    <row r="8538" spans="1:11">
      <c r="A8538" s="30" t="s">
        <v>19663</v>
      </c>
      <c r="B8538" s="30" t="s">
        <v>19664</v>
      </c>
      <c r="C8538" s="30" t="s">
        <v>124</v>
      </c>
      <c r="D8538" s="30" t="s">
        <v>17</v>
      </c>
      <c r="E8538" s="30" t="s">
        <v>26</v>
      </c>
      <c r="F8538" s="30" t="s">
        <v>27</v>
      </c>
      <c r="G8538" s="30" t="s">
        <v>50</v>
      </c>
      <c r="H8538" s="32">
        <v>156</v>
      </c>
      <c r="I8538" s="30" t="s">
        <v>51</v>
      </c>
      <c r="J8538" s="41">
        <v>44432</v>
      </c>
      <c r="K8538" s="30" t="s">
        <v>22</v>
      </c>
    </row>
    <row r="8539" spans="1:11">
      <c r="A8539" s="33" t="s">
        <v>19665</v>
      </c>
      <c r="B8539" s="33" t="s">
        <v>19666</v>
      </c>
      <c r="C8539" s="33" t="s">
        <v>2490</v>
      </c>
      <c r="D8539" s="33" t="s">
        <v>17</v>
      </c>
      <c r="E8539" s="33" t="s">
        <v>18</v>
      </c>
      <c r="F8539" s="33" t="s">
        <v>19</v>
      </c>
      <c r="G8539" s="33" t="s">
        <v>50</v>
      </c>
      <c r="H8539" s="35">
        <v>850</v>
      </c>
      <c r="I8539" s="33" t="s">
        <v>51</v>
      </c>
      <c r="J8539" s="42">
        <v>44316</v>
      </c>
      <c r="K8539" s="33" t="s">
        <v>22</v>
      </c>
    </row>
    <row r="8540" spans="1:11">
      <c r="A8540" s="30" t="s">
        <v>19667</v>
      </c>
      <c r="B8540" s="30" t="s">
        <v>19668</v>
      </c>
      <c r="C8540" s="30" t="s">
        <v>5050</v>
      </c>
      <c r="D8540" s="30" t="s">
        <v>17</v>
      </c>
      <c r="E8540" s="30" t="s">
        <v>212</v>
      </c>
      <c r="F8540" s="30" t="s">
        <v>213</v>
      </c>
      <c r="G8540" s="30" t="s">
        <v>20</v>
      </c>
      <c r="H8540" s="32">
        <v>151</v>
      </c>
      <c r="I8540" s="30" t="s">
        <v>21</v>
      </c>
      <c r="J8540" s="41">
        <v>44330</v>
      </c>
      <c r="K8540" s="30" t="s">
        <v>22</v>
      </c>
    </row>
    <row r="8541" spans="1:11">
      <c r="A8541" s="33" t="s">
        <v>19669</v>
      </c>
      <c r="B8541" s="33" t="s">
        <v>19670</v>
      </c>
      <c r="C8541" s="33" t="s">
        <v>10128</v>
      </c>
      <c r="D8541" s="33" t="s">
        <v>17</v>
      </c>
      <c r="E8541" s="33" t="s">
        <v>26</v>
      </c>
      <c r="F8541" s="33" t="s">
        <v>27</v>
      </c>
      <c r="G8541" s="33" t="s">
        <v>20</v>
      </c>
      <c r="H8541" s="35">
        <v>24</v>
      </c>
      <c r="I8541" s="33" t="s">
        <v>21</v>
      </c>
      <c r="J8541" s="42">
        <v>44440</v>
      </c>
      <c r="K8541" s="33" t="s">
        <v>22</v>
      </c>
    </row>
    <row r="8542" spans="1:11">
      <c r="A8542" s="30" t="s">
        <v>19671</v>
      </c>
      <c r="B8542" s="30" t="s">
        <v>19672</v>
      </c>
      <c r="C8542" s="30" t="s">
        <v>102</v>
      </c>
      <c r="D8542" s="30" t="s">
        <v>17</v>
      </c>
      <c r="E8542" s="30" t="s">
        <v>26</v>
      </c>
      <c r="F8542" s="30" t="s">
        <v>27</v>
      </c>
      <c r="G8542" s="30" t="s">
        <v>112</v>
      </c>
      <c r="H8542" s="32">
        <v>0</v>
      </c>
      <c r="I8542" s="30" t="s">
        <v>21</v>
      </c>
      <c r="J8542" s="41">
        <v>44348</v>
      </c>
      <c r="K8542" s="30" t="s">
        <v>22</v>
      </c>
    </row>
    <row r="8543" spans="1:11">
      <c r="A8543" s="33" t="s">
        <v>19673</v>
      </c>
      <c r="B8543" s="33" t="s">
        <v>19674</v>
      </c>
      <c r="C8543" s="33" t="s">
        <v>2894</v>
      </c>
      <c r="D8543" s="33" t="s">
        <v>17</v>
      </c>
      <c r="E8543" s="33" t="s">
        <v>18</v>
      </c>
      <c r="F8543" s="33" t="s">
        <v>19</v>
      </c>
      <c r="G8543" s="33" t="s">
        <v>106</v>
      </c>
      <c r="H8543" s="35">
        <v>465</v>
      </c>
      <c r="I8543" s="33" t="s">
        <v>21</v>
      </c>
      <c r="J8543" s="42">
        <v>44314</v>
      </c>
      <c r="K8543" s="33" t="s">
        <v>22</v>
      </c>
    </row>
    <row r="8544" spans="1:11">
      <c r="A8544" s="30" t="s">
        <v>19675</v>
      </c>
      <c r="B8544" s="30" t="s">
        <v>19676</v>
      </c>
      <c r="C8544" s="30" t="s">
        <v>2472</v>
      </c>
      <c r="D8544" s="30" t="s">
        <v>17</v>
      </c>
      <c r="E8544" s="30" t="s">
        <v>31</v>
      </c>
      <c r="F8544" s="30" t="s">
        <v>32</v>
      </c>
      <c r="G8544" s="30" t="s">
        <v>20</v>
      </c>
      <c r="H8544" s="32">
        <v>808</v>
      </c>
      <c r="I8544" s="30" t="s">
        <v>21</v>
      </c>
      <c r="J8544" s="41">
        <v>44354</v>
      </c>
      <c r="K8544" s="30" t="s">
        <v>22</v>
      </c>
    </row>
    <row r="8545" spans="1:11">
      <c r="A8545" s="33" t="s">
        <v>19677</v>
      </c>
      <c r="B8545" s="33" t="s">
        <v>19678</v>
      </c>
      <c r="C8545" s="33" t="s">
        <v>11001</v>
      </c>
      <c r="D8545" s="33" t="s">
        <v>17</v>
      </c>
      <c r="E8545" s="33" t="s">
        <v>18</v>
      </c>
      <c r="F8545" s="33" t="s">
        <v>19</v>
      </c>
      <c r="G8545" s="33" t="s">
        <v>20</v>
      </c>
      <c r="H8545" s="35">
        <v>449</v>
      </c>
      <c r="I8545" s="33" t="s">
        <v>21</v>
      </c>
      <c r="J8545" s="42">
        <v>44393</v>
      </c>
      <c r="K8545" s="33" t="s">
        <v>22</v>
      </c>
    </row>
    <row r="8546" spans="1:11">
      <c r="A8546" s="30" t="s">
        <v>19679</v>
      </c>
      <c r="B8546" s="30" t="s">
        <v>19680</v>
      </c>
      <c r="C8546" s="30" t="s">
        <v>11366</v>
      </c>
      <c r="D8546" s="30" t="s">
        <v>17</v>
      </c>
      <c r="E8546" s="30" t="s">
        <v>26</v>
      </c>
      <c r="F8546" s="30" t="s">
        <v>27</v>
      </c>
      <c r="G8546" s="30" t="s">
        <v>20</v>
      </c>
      <c r="H8546" s="32">
        <v>95</v>
      </c>
      <c r="I8546" s="30" t="s">
        <v>21</v>
      </c>
      <c r="J8546" s="41">
        <v>44502</v>
      </c>
      <c r="K8546" s="30" t="s">
        <v>22</v>
      </c>
    </row>
    <row r="8547" spans="1:11">
      <c r="A8547" s="33" t="s">
        <v>19681</v>
      </c>
      <c r="B8547" s="33" t="s">
        <v>19682</v>
      </c>
      <c r="C8547" s="33" t="s">
        <v>2490</v>
      </c>
      <c r="D8547" s="33" t="s">
        <v>17</v>
      </c>
      <c r="E8547" s="33" t="s">
        <v>26</v>
      </c>
      <c r="F8547" s="33" t="s">
        <v>27</v>
      </c>
      <c r="G8547" s="33" t="s">
        <v>20</v>
      </c>
      <c r="H8547" s="35">
        <v>300</v>
      </c>
      <c r="I8547" s="33" t="s">
        <v>21</v>
      </c>
      <c r="J8547" s="42">
        <v>44264</v>
      </c>
      <c r="K8547" s="33" t="s">
        <v>22</v>
      </c>
    </row>
    <row r="8548" spans="1:11">
      <c r="A8548" s="30" t="s">
        <v>19683</v>
      </c>
      <c r="B8548" s="30" t="s">
        <v>19684</v>
      </c>
      <c r="C8548" s="30" t="s">
        <v>8222</v>
      </c>
      <c r="D8548" s="30" t="s">
        <v>17</v>
      </c>
      <c r="E8548" s="30" t="s">
        <v>18</v>
      </c>
      <c r="F8548" s="30" t="s">
        <v>19</v>
      </c>
      <c r="G8548" s="30" t="s">
        <v>20</v>
      </c>
      <c r="H8548" s="32">
        <v>264</v>
      </c>
      <c r="I8548" s="30" t="s">
        <v>21</v>
      </c>
      <c r="J8548" s="41">
        <v>44400</v>
      </c>
      <c r="K8548" s="30" t="s">
        <v>22</v>
      </c>
    </row>
    <row r="8549" spans="1:11">
      <c r="A8549" s="33" t="s">
        <v>19685</v>
      </c>
      <c r="B8549" s="33" t="s">
        <v>19686</v>
      </c>
      <c r="C8549" s="33" t="s">
        <v>19233</v>
      </c>
      <c r="D8549" s="33" t="s">
        <v>17</v>
      </c>
      <c r="E8549" s="33" t="s">
        <v>31</v>
      </c>
      <c r="F8549" s="33" t="s">
        <v>32</v>
      </c>
      <c r="G8549" s="33" t="s">
        <v>20</v>
      </c>
      <c r="H8549" s="35">
        <v>25</v>
      </c>
      <c r="I8549" s="33" t="s">
        <v>21</v>
      </c>
      <c r="J8549" s="42">
        <v>44336</v>
      </c>
      <c r="K8549" s="33" t="s">
        <v>22</v>
      </c>
    </row>
    <row r="8550" spans="1:11">
      <c r="A8550" s="30" t="s">
        <v>19687</v>
      </c>
      <c r="B8550" s="30" t="s">
        <v>19688</v>
      </c>
      <c r="C8550" s="30" t="s">
        <v>5251</v>
      </c>
      <c r="D8550" s="30" t="s">
        <v>17</v>
      </c>
      <c r="E8550" s="30" t="s">
        <v>26</v>
      </c>
      <c r="F8550" s="30" t="s">
        <v>27</v>
      </c>
      <c r="G8550" s="30" t="s">
        <v>50</v>
      </c>
      <c r="H8550" s="32">
        <v>162</v>
      </c>
      <c r="I8550" s="30" t="s">
        <v>51</v>
      </c>
      <c r="J8550" s="41">
        <v>44531</v>
      </c>
      <c r="K8550" s="30" t="s">
        <v>22</v>
      </c>
    </row>
    <row r="8551" spans="1:11">
      <c r="A8551" s="33" t="s">
        <v>19689</v>
      </c>
      <c r="B8551" s="33" t="s">
        <v>19690</v>
      </c>
      <c r="C8551" s="33" t="s">
        <v>130</v>
      </c>
      <c r="D8551" s="33" t="s">
        <v>17</v>
      </c>
      <c r="E8551" s="33" t="s">
        <v>31</v>
      </c>
      <c r="F8551" s="33" t="s">
        <v>32</v>
      </c>
      <c r="G8551" s="33" t="s">
        <v>20</v>
      </c>
      <c r="H8551" s="35">
        <v>171</v>
      </c>
      <c r="I8551" s="33" t="s">
        <v>21</v>
      </c>
      <c r="J8551" s="42">
        <v>44322</v>
      </c>
      <c r="K8551" s="33" t="s">
        <v>22</v>
      </c>
    </row>
    <row r="8552" spans="1:11">
      <c r="A8552" s="30" t="s">
        <v>19691</v>
      </c>
      <c r="B8552" s="30" t="s">
        <v>19692</v>
      </c>
      <c r="C8552" s="30" t="s">
        <v>9493</v>
      </c>
      <c r="D8552" s="30" t="s">
        <v>17</v>
      </c>
      <c r="E8552" s="30" t="s">
        <v>18</v>
      </c>
      <c r="F8552" s="30" t="s">
        <v>19</v>
      </c>
      <c r="G8552" s="30" t="s">
        <v>158</v>
      </c>
      <c r="H8552" s="32">
        <v>450</v>
      </c>
      <c r="I8552" s="30" t="s">
        <v>21</v>
      </c>
      <c r="J8552" s="41">
        <v>44420</v>
      </c>
      <c r="K8552" s="30" t="s">
        <v>22</v>
      </c>
    </row>
    <row r="8553" spans="1:11">
      <c r="A8553" s="33" t="s">
        <v>19693</v>
      </c>
      <c r="B8553" s="33" t="s">
        <v>19694</v>
      </c>
      <c r="C8553" s="33" t="s">
        <v>6903</v>
      </c>
      <c r="D8553" s="33" t="s">
        <v>17</v>
      </c>
      <c r="E8553" s="33" t="s">
        <v>31</v>
      </c>
      <c r="F8553" s="33" t="s">
        <v>32</v>
      </c>
      <c r="G8553" s="33" t="s">
        <v>20</v>
      </c>
      <c r="H8553" s="35">
        <v>216</v>
      </c>
      <c r="I8553" s="33" t="s">
        <v>21</v>
      </c>
      <c r="J8553" s="42">
        <v>44279</v>
      </c>
      <c r="K8553" s="33" t="s">
        <v>22</v>
      </c>
    </row>
    <row r="8554" spans="1:11">
      <c r="A8554" s="30" t="s">
        <v>19695</v>
      </c>
      <c r="B8554" s="30" t="s">
        <v>19696</v>
      </c>
      <c r="C8554" s="30" t="s">
        <v>374</v>
      </c>
      <c r="D8554" s="30" t="s">
        <v>17</v>
      </c>
      <c r="E8554" s="30" t="s">
        <v>26</v>
      </c>
      <c r="F8554" s="30" t="s">
        <v>27</v>
      </c>
      <c r="G8554" s="30" t="s">
        <v>106</v>
      </c>
      <c r="H8554" s="32">
        <v>7</v>
      </c>
      <c r="I8554" s="30" t="s">
        <v>21</v>
      </c>
      <c r="J8554" s="41">
        <v>44405</v>
      </c>
      <c r="K8554" s="30" t="s">
        <v>22</v>
      </c>
    </row>
    <row r="8555" spans="1:11">
      <c r="A8555" s="33" t="s">
        <v>19697</v>
      </c>
      <c r="B8555" s="33" t="s">
        <v>19698</v>
      </c>
      <c r="C8555" s="33" t="s">
        <v>136</v>
      </c>
      <c r="D8555" s="33" t="s">
        <v>17</v>
      </c>
      <c r="E8555" s="33" t="s">
        <v>26</v>
      </c>
      <c r="F8555" s="33" t="s">
        <v>27</v>
      </c>
      <c r="G8555" s="33" t="s">
        <v>20</v>
      </c>
      <c r="H8555" s="35">
        <v>237</v>
      </c>
      <c r="I8555" s="33" t="s">
        <v>21</v>
      </c>
      <c r="J8555" s="42">
        <v>44474</v>
      </c>
      <c r="K8555" s="33" t="s">
        <v>22</v>
      </c>
    </row>
    <row r="8556" spans="1:11">
      <c r="A8556" s="30" t="s">
        <v>19699</v>
      </c>
      <c r="B8556" s="30" t="s">
        <v>19700</v>
      </c>
      <c r="C8556" s="30" t="s">
        <v>647</v>
      </c>
      <c r="D8556" s="30" t="s">
        <v>17</v>
      </c>
      <c r="E8556" s="30" t="s">
        <v>26</v>
      </c>
      <c r="F8556" s="30" t="s">
        <v>27</v>
      </c>
      <c r="G8556" s="30" t="s">
        <v>106</v>
      </c>
      <c r="H8556" s="32">
        <v>9</v>
      </c>
      <c r="I8556" s="30" t="s">
        <v>21</v>
      </c>
      <c r="J8556" s="41">
        <v>44237</v>
      </c>
      <c r="K8556" s="30" t="s">
        <v>22</v>
      </c>
    </row>
    <row r="8557" spans="1:11">
      <c r="A8557" s="33" t="s">
        <v>19701</v>
      </c>
      <c r="B8557" s="33" t="s">
        <v>19702</v>
      </c>
      <c r="C8557" s="33" t="s">
        <v>450</v>
      </c>
      <c r="D8557" s="33" t="s">
        <v>17</v>
      </c>
      <c r="E8557" s="33" t="s">
        <v>26</v>
      </c>
      <c r="F8557" s="33" t="s">
        <v>27</v>
      </c>
      <c r="G8557" s="33" t="s">
        <v>20</v>
      </c>
      <c r="H8557" s="35">
        <v>16</v>
      </c>
      <c r="I8557" s="33" t="s">
        <v>21</v>
      </c>
      <c r="J8557" s="42">
        <v>44370</v>
      </c>
      <c r="K8557" s="33" t="s">
        <v>22</v>
      </c>
    </row>
    <row r="8558" spans="1:11">
      <c r="A8558" s="30" t="s">
        <v>19703</v>
      </c>
      <c r="B8558" s="30" t="s">
        <v>19704</v>
      </c>
      <c r="C8558" s="30" t="s">
        <v>4345</v>
      </c>
      <c r="D8558" s="30" t="s">
        <v>17</v>
      </c>
      <c r="E8558" s="30" t="s">
        <v>31</v>
      </c>
      <c r="F8558" s="30" t="s">
        <v>32</v>
      </c>
      <c r="G8558" s="30" t="s">
        <v>20</v>
      </c>
      <c r="H8558" s="32">
        <v>72</v>
      </c>
      <c r="I8558" s="30" t="s">
        <v>21</v>
      </c>
      <c r="J8558" s="41">
        <v>44355</v>
      </c>
      <c r="K8558" s="30" t="s">
        <v>22</v>
      </c>
    </row>
    <row r="8559" spans="1:11">
      <c r="A8559" s="33" t="s">
        <v>19705</v>
      </c>
      <c r="B8559" s="33" t="s">
        <v>19706</v>
      </c>
      <c r="C8559" s="33" t="s">
        <v>1136</v>
      </c>
      <c r="D8559" s="33" t="s">
        <v>17</v>
      </c>
      <c r="E8559" s="33" t="s">
        <v>31</v>
      </c>
      <c r="F8559" s="33" t="s">
        <v>32</v>
      </c>
      <c r="G8559" s="33" t="s">
        <v>158</v>
      </c>
      <c r="H8559" s="35">
        <v>690</v>
      </c>
      <c r="I8559" s="33" t="s">
        <v>21</v>
      </c>
      <c r="J8559" s="42">
        <v>44476</v>
      </c>
      <c r="K8559" s="33" t="s">
        <v>22</v>
      </c>
    </row>
    <row r="8560" spans="1:11">
      <c r="A8560" s="30" t="s">
        <v>19707</v>
      </c>
      <c r="B8560" s="30" t="s">
        <v>19708</v>
      </c>
      <c r="C8560" s="30" t="s">
        <v>1270</v>
      </c>
      <c r="D8560" s="30" t="s">
        <v>17</v>
      </c>
      <c r="E8560" s="30" t="s">
        <v>26</v>
      </c>
      <c r="F8560" s="30" t="s">
        <v>27</v>
      </c>
      <c r="G8560" s="30" t="s">
        <v>20</v>
      </c>
      <c r="H8560" s="32">
        <v>96</v>
      </c>
      <c r="I8560" s="30" t="s">
        <v>21</v>
      </c>
      <c r="J8560" s="41">
        <v>44223</v>
      </c>
      <c r="K8560" s="30" t="s">
        <v>22</v>
      </c>
    </row>
    <row r="8561" spans="1:11">
      <c r="A8561" s="33" t="s">
        <v>19709</v>
      </c>
      <c r="B8561" s="33" t="s">
        <v>19710</v>
      </c>
      <c r="C8561" s="33" t="s">
        <v>93</v>
      </c>
      <c r="D8561" s="33" t="s">
        <v>17</v>
      </c>
      <c r="E8561" s="33" t="s">
        <v>26</v>
      </c>
      <c r="F8561" s="33" t="s">
        <v>27</v>
      </c>
      <c r="G8561" s="33" t="s">
        <v>106</v>
      </c>
      <c r="H8561" s="35">
        <v>5</v>
      </c>
      <c r="I8561" s="33" t="s">
        <v>21</v>
      </c>
      <c r="J8561" s="42">
        <v>44313</v>
      </c>
      <c r="K8561" s="33" t="s">
        <v>22</v>
      </c>
    </row>
    <row r="8562" spans="1:11">
      <c r="A8562" s="30" t="s">
        <v>19711</v>
      </c>
      <c r="B8562" s="30" t="s">
        <v>19712</v>
      </c>
      <c r="C8562" s="30" t="s">
        <v>178</v>
      </c>
      <c r="D8562" s="30" t="s">
        <v>17</v>
      </c>
      <c r="E8562" s="30" t="s">
        <v>31</v>
      </c>
      <c r="F8562" s="30" t="s">
        <v>32</v>
      </c>
      <c r="G8562" s="30" t="s">
        <v>112</v>
      </c>
      <c r="H8562" s="32">
        <v>0</v>
      </c>
      <c r="I8562" s="30" t="s">
        <v>21</v>
      </c>
      <c r="J8562" s="41">
        <v>44378</v>
      </c>
      <c r="K8562" s="30" t="s">
        <v>22</v>
      </c>
    </row>
    <row r="8563" spans="1:11">
      <c r="A8563" s="33" t="s">
        <v>19713</v>
      </c>
      <c r="B8563" s="33" t="s">
        <v>19714</v>
      </c>
      <c r="C8563" s="33" t="s">
        <v>957</v>
      </c>
      <c r="D8563" s="33" t="s">
        <v>17</v>
      </c>
      <c r="E8563" s="33" t="s">
        <v>26</v>
      </c>
      <c r="F8563" s="33" t="s">
        <v>27</v>
      </c>
      <c r="G8563" s="33" t="s">
        <v>20</v>
      </c>
      <c r="H8563" s="35">
        <v>6</v>
      </c>
      <c r="I8563" s="33" t="s">
        <v>21</v>
      </c>
      <c r="J8563" s="42">
        <v>44426</v>
      </c>
      <c r="K8563" s="33" t="s">
        <v>22</v>
      </c>
    </row>
    <row r="8564" spans="1:11">
      <c r="A8564" s="30" t="s">
        <v>19715</v>
      </c>
      <c r="B8564" s="30" t="s">
        <v>19716</v>
      </c>
      <c r="C8564" s="30" t="s">
        <v>891</v>
      </c>
      <c r="D8564" s="30" t="s">
        <v>17</v>
      </c>
      <c r="E8564" s="30" t="s">
        <v>67</v>
      </c>
      <c r="F8564" s="30" t="s">
        <v>68</v>
      </c>
      <c r="G8564" s="30" t="s">
        <v>140</v>
      </c>
      <c r="H8564" s="32">
        <v>226</v>
      </c>
      <c r="I8564" s="30" t="s">
        <v>51</v>
      </c>
      <c r="J8564" s="41">
        <v>44216</v>
      </c>
      <c r="K8564" s="30" t="s">
        <v>22</v>
      </c>
    </row>
    <row r="8565" spans="1:11">
      <c r="A8565" s="33" t="s">
        <v>19717</v>
      </c>
      <c r="B8565" s="33" t="s">
        <v>19718</v>
      </c>
      <c r="C8565" s="33" t="s">
        <v>9095</v>
      </c>
      <c r="D8565" s="33" t="s">
        <v>17</v>
      </c>
      <c r="E8565" s="33" t="s">
        <v>26</v>
      </c>
      <c r="F8565" s="33" t="s">
        <v>27</v>
      </c>
      <c r="G8565" s="33" t="s">
        <v>20</v>
      </c>
      <c r="H8565" s="35">
        <v>114</v>
      </c>
      <c r="I8565" s="33" t="s">
        <v>21</v>
      </c>
      <c r="J8565" s="42">
        <v>44207</v>
      </c>
      <c r="K8565" s="33" t="s">
        <v>22</v>
      </c>
    </row>
    <row r="8566" spans="1:11">
      <c r="A8566" s="30" t="s">
        <v>19719</v>
      </c>
      <c r="B8566" s="30" t="s">
        <v>19720</v>
      </c>
      <c r="C8566" s="30" t="s">
        <v>109</v>
      </c>
      <c r="D8566" s="30" t="s">
        <v>17</v>
      </c>
      <c r="E8566" s="30" t="s">
        <v>31</v>
      </c>
      <c r="F8566" s="30" t="s">
        <v>32</v>
      </c>
      <c r="G8566" s="30" t="s">
        <v>158</v>
      </c>
      <c r="H8566" s="32">
        <v>206</v>
      </c>
      <c r="I8566" s="30" t="s">
        <v>21</v>
      </c>
      <c r="J8566" s="41">
        <v>44305</v>
      </c>
      <c r="K8566" s="30" t="s">
        <v>22</v>
      </c>
    </row>
    <row r="8567" spans="1:11">
      <c r="A8567" s="33" t="s">
        <v>19721</v>
      </c>
      <c r="B8567" s="33" t="s">
        <v>19722</v>
      </c>
      <c r="C8567" s="33" t="s">
        <v>7935</v>
      </c>
      <c r="D8567" s="33" t="s">
        <v>17</v>
      </c>
      <c r="E8567" s="33" t="s">
        <v>26</v>
      </c>
      <c r="F8567" s="33" t="s">
        <v>27</v>
      </c>
      <c r="G8567" s="33" t="s">
        <v>20</v>
      </c>
      <c r="H8567" s="35">
        <v>21</v>
      </c>
      <c r="I8567" s="33" t="s">
        <v>21</v>
      </c>
      <c r="J8567" s="42">
        <v>44359</v>
      </c>
      <c r="K8567" s="33" t="s">
        <v>22</v>
      </c>
    </row>
    <row r="8568" spans="1:11">
      <c r="A8568" s="30" t="s">
        <v>19723</v>
      </c>
      <c r="B8568" s="30" t="s">
        <v>19724</v>
      </c>
      <c r="C8568" s="30" t="s">
        <v>3655</v>
      </c>
      <c r="D8568" s="30" t="s">
        <v>17</v>
      </c>
      <c r="E8568" s="30" t="s">
        <v>67</v>
      </c>
      <c r="F8568" s="30" t="s">
        <v>68</v>
      </c>
      <c r="G8568" s="30" t="s">
        <v>106</v>
      </c>
      <c r="H8568" s="32">
        <v>49</v>
      </c>
      <c r="I8568" s="30" t="s">
        <v>21</v>
      </c>
      <c r="J8568" s="41">
        <v>44222</v>
      </c>
      <c r="K8568" s="30" t="s">
        <v>22</v>
      </c>
    </row>
    <row r="8569" spans="1:11">
      <c r="A8569" s="33" t="s">
        <v>19725</v>
      </c>
      <c r="B8569" s="33" t="s">
        <v>19726</v>
      </c>
      <c r="C8569" s="33" t="s">
        <v>4668</v>
      </c>
      <c r="D8569" s="33" t="s">
        <v>17</v>
      </c>
      <c r="E8569" s="33" t="s">
        <v>26</v>
      </c>
      <c r="F8569" s="33" t="s">
        <v>27</v>
      </c>
      <c r="G8569" s="33" t="s">
        <v>20</v>
      </c>
      <c r="H8569" s="35">
        <v>60</v>
      </c>
      <c r="I8569" s="33" t="s">
        <v>21</v>
      </c>
      <c r="J8569" s="42">
        <v>44228</v>
      </c>
      <c r="K8569" s="33" t="s">
        <v>22</v>
      </c>
    </row>
    <row r="8570" spans="1:11">
      <c r="A8570" s="30" t="s">
        <v>19727</v>
      </c>
      <c r="B8570" s="30" t="s">
        <v>19728</v>
      </c>
      <c r="C8570" s="30" t="s">
        <v>730</v>
      </c>
      <c r="D8570" s="30" t="s">
        <v>17</v>
      </c>
      <c r="E8570" s="30" t="s">
        <v>26</v>
      </c>
      <c r="F8570" s="30" t="s">
        <v>27</v>
      </c>
      <c r="G8570" s="30" t="s">
        <v>20</v>
      </c>
      <c r="H8570" s="32">
        <v>66</v>
      </c>
      <c r="I8570" s="30" t="s">
        <v>21</v>
      </c>
      <c r="J8570" s="41">
        <v>44312</v>
      </c>
      <c r="K8570" s="30" t="s">
        <v>22</v>
      </c>
    </row>
    <row r="8571" spans="1:11">
      <c r="A8571" s="33" t="s">
        <v>19729</v>
      </c>
      <c r="B8571" s="33" t="s">
        <v>19730</v>
      </c>
      <c r="C8571" s="33" t="s">
        <v>15408</v>
      </c>
      <c r="D8571" s="33" t="s">
        <v>17</v>
      </c>
      <c r="E8571" s="33" t="s">
        <v>18</v>
      </c>
      <c r="F8571" s="33" t="s">
        <v>19</v>
      </c>
      <c r="G8571" s="33" t="s">
        <v>106</v>
      </c>
      <c r="H8571" s="35">
        <v>8</v>
      </c>
      <c r="I8571" s="33" t="s">
        <v>21</v>
      </c>
      <c r="J8571" s="42">
        <v>44284</v>
      </c>
      <c r="K8571" s="33" t="s">
        <v>22</v>
      </c>
    </row>
    <row r="8572" spans="1:11">
      <c r="A8572" s="30" t="s">
        <v>19731</v>
      </c>
      <c r="B8572" s="30" t="s">
        <v>19732</v>
      </c>
      <c r="C8572" s="30" t="s">
        <v>9234</v>
      </c>
      <c r="D8572" s="30" t="s">
        <v>17</v>
      </c>
      <c r="E8572" s="30" t="s">
        <v>31</v>
      </c>
      <c r="F8572" s="30" t="s">
        <v>32</v>
      </c>
      <c r="G8572" s="30" t="s">
        <v>20</v>
      </c>
      <c r="H8572" s="32">
        <v>156</v>
      </c>
      <c r="I8572" s="30" t="s">
        <v>21</v>
      </c>
      <c r="J8572" s="41">
        <v>44516</v>
      </c>
      <c r="K8572" s="30" t="s">
        <v>22</v>
      </c>
    </row>
    <row r="8573" spans="1:11">
      <c r="A8573" s="33" t="s">
        <v>19733</v>
      </c>
      <c r="B8573" s="33" t="s">
        <v>19734</v>
      </c>
      <c r="C8573" s="33" t="s">
        <v>1295</v>
      </c>
      <c r="D8573" s="33" t="s">
        <v>17</v>
      </c>
      <c r="E8573" s="33" t="s">
        <v>26</v>
      </c>
      <c r="F8573" s="33" t="s">
        <v>27</v>
      </c>
      <c r="G8573" s="33" t="s">
        <v>140</v>
      </c>
      <c r="H8573" s="35">
        <v>18</v>
      </c>
      <c r="I8573" s="33" t="s">
        <v>51</v>
      </c>
      <c r="J8573" s="42">
        <v>44545</v>
      </c>
      <c r="K8573" s="33" t="s">
        <v>22</v>
      </c>
    </row>
    <row r="8574" spans="1:11">
      <c r="A8574" s="30" t="s">
        <v>19735</v>
      </c>
      <c r="B8574" s="30" t="s">
        <v>19736</v>
      </c>
      <c r="C8574" s="30" t="s">
        <v>93</v>
      </c>
      <c r="D8574" s="30" t="s">
        <v>17</v>
      </c>
      <c r="E8574" s="30" t="s">
        <v>31</v>
      </c>
      <c r="F8574" s="30" t="s">
        <v>32</v>
      </c>
      <c r="G8574" s="30" t="s">
        <v>20</v>
      </c>
      <c r="H8574" s="32">
        <v>60</v>
      </c>
      <c r="I8574" s="30" t="s">
        <v>21</v>
      </c>
      <c r="J8574" s="41">
        <v>44249</v>
      </c>
      <c r="K8574" s="30" t="s">
        <v>22</v>
      </c>
    </row>
    <row r="8575" spans="1:11">
      <c r="A8575" s="33" t="s">
        <v>19737</v>
      </c>
      <c r="B8575" s="33" t="s">
        <v>19738</v>
      </c>
      <c r="C8575" s="33" t="s">
        <v>157</v>
      </c>
      <c r="D8575" s="33" t="s">
        <v>17</v>
      </c>
      <c r="E8575" s="33" t="s">
        <v>31</v>
      </c>
      <c r="F8575" s="33" t="s">
        <v>32</v>
      </c>
      <c r="G8575" s="33" t="s">
        <v>140</v>
      </c>
      <c r="H8575" s="35">
        <v>135</v>
      </c>
      <c r="I8575" s="33" t="s">
        <v>51</v>
      </c>
      <c r="J8575" s="42">
        <v>44546</v>
      </c>
      <c r="K8575" s="33" t="s">
        <v>22</v>
      </c>
    </row>
    <row r="8576" spans="1:11">
      <c r="A8576" s="30" t="s">
        <v>19739</v>
      </c>
      <c r="B8576" s="30" t="s">
        <v>19740</v>
      </c>
      <c r="C8576" s="30" t="s">
        <v>18084</v>
      </c>
      <c r="D8576" s="30" t="s">
        <v>17</v>
      </c>
      <c r="E8576" s="30" t="s">
        <v>31</v>
      </c>
      <c r="F8576" s="30" t="s">
        <v>32</v>
      </c>
      <c r="G8576" s="30" t="s">
        <v>20</v>
      </c>
      <c r="H8576" s="32">
        <v>41</v>
      </c>
      <c r="I8576" s="30" t="s">
        <v>21</v>
      </c>
      <c r="J8576" s="41">
        <v>44375</v>
      </c>
      <c r="K8576" s="30" t="s">
        <v>22</v>
      </c>
    </row>
    <row r="8577" spans="1:11">
      <c r="A8577" s="33" t="s">
        <v>19741</v>
      </c>
      <c r="B8577" s="33" t="s">
        <v>19742</v>
      </c>
      <c r="C8577" s="33" t="s">
        <v>1324</v>
      </c>
      <c r="D8577" s="33" t="s">
        <v>17</v>
      </c>
      <c r="E8577" s="33" t="s">
        <v>31</v>
      </c>
      <c r="F8577" s="33" t="s">
        <v>32</v>
      </c>
      <c r="G8577" s="33" t="s">
        <v>20</v>
      </c>
      <c r="H8577" s="35">
        <v>16</v>
      </c>
      <c r="I8577" s="33" t="s">
        <v>21</v>
      </c>
      <c r="J8577" s="42">
        <v>44508</v>
      </c>
      <c r="K8577" s="33" t="s">
        <v>22</v>
      </c>
    </row>
    <row r="8578" spans="1:11">
      <c r="A8578" s="30" t="s">
        <v>19743</v>
      </c>
      <c r="B8578" s="30" t="s">
        <v>19744</v>
      </c>
      <c r="C8578" s="30" t="s">
        <v>19745</v>
      </c>
      <c r="D8578" s="30" t="s">
        <v>17</v>
      </c>
      <c r="E8578" s="30" t="s">
        <v>67</v>
      </c>
      <c r="F8578" s="30" t="s">
        <v>68</v>
      </c>
      <c r="G8578" s="30" t="s">
        <v>106</v>
      </c>
      <c r="H8578" s="32">
        <v>67</v>
      </c>
      <c r="I8578" s="30" t="s">
        <v>21</v>
      </c>
      <c r="J8578" s="41">
        <v>44546</v>
      </c>
      <c r="K8578" s="30" t="s">
        <v>22</v>
      </c>
    </row>
    <row r="8579" spans="1:11">
      <c r="A8579" s="33" t="s">
        <v>19746</v>
      </c>
      <c r="B8579" s="33" t="s">
        <v>19747</v>
      </c>
      <c r="C8579" s="33" t="s">
        <v>149</v>
      </c>
      <c r="D8579" s="33" t="s">
        <v>17</v>
      </c>
      <c r="E8579" s="33" t="s">
        <v>18</v>
      </c>
      <c r="F8579" s="33" t="s">
        <v>19</v>
      </c>
      <c r="G8579" s="33" t="s">
        <v>50</v>
      </c>
      <c r="H8579" s="35">
        <v>444</v>
      </c>
      <c r="I8579" s="33" t="s">
        <v>51</v>
      </c>
      <c r="J8579" s="42">
        <v>44438</v>
      </c>
      <c r="K8579" s="33" t="s">
        <v>22</v>
      </c>
    </row>
    <row r="8580" spans="1:11">
      <c r="A8580" s="30" t="s">
        <v>19748</v>
      </c>
      <c r="B8580" s="30" t="s">
        <v>19749</v>
      </c>
      <c r="C8580" s="30" t="s">
        <v>19750</v>
      </c>
      <c r="D8580" s="30" t="s">
        <v>17</v>
      </c>
      <c r="E8580" s="30" t="s">
        <v>26</v>
      </c>
      <c r="F8580" s="30" t="s">
        <v>27</v>
      </c>
      <c r="G8580" s="30" t="s">
        <v>106</v>
      </c>
      <c r="H8580" s="32">
        <v>9</v>
      </c>
      <c r="I8580" s="30" t="s">
        <v>21</v>
      </c>
      <c r="J8580" s="41">
        <v>44349</v>
      </c>
      <c r="K8580" s="30" t="s">
        <v>22</v>
      </c>
    </row>
    <row r="8581" spans="1:11">
      <c r="A8581" s="33" t="s">
        <v>19751</v>
      </c>
      <c r="B8581" s="33" t="s">
        <v>19752</v>
      </c>
      <c r="C8581" s="33" t="s">
        <v>6097</v>
      </c>
      <c r="D8581" s="33" t="s">
        <v>17</v>
      </c>
      <c r="E8581" s="33" t="s">
        <v>67</v>
      </c>
      <c r="F8581" s="33" t="s">
        <v>68</v>
      </c>
      <c r="G8581" s="33" t="s">
        <v>50</v>
      </c>
      <c r="H8581" s="35">
        <v>18</v>
      </c>
      <c r="I8581" s="33" t="s">
        <v>21</v>
      </c>
      <c r="J8581" s="42">
        <v>44286</v>
      </c>
      <c r="K8581" s="33" t="s">
        <v>22</v>
      </c>
    </row>
    <row r="8582" spans="1:11">
      <c r="A8582" s="30" t="s">
        <v>19753</v>
      </c>
      <c r="B8582" s="30" t="s">
        <v>19754</v>
      </c>
      <c r="C8582" s="30" t="s">
        <v>1504</v>
      </c>
      <c r="D8582" s="30" t="s">
        <v>17</v>
      </c>
      <c r="E8582" s="30" t="s">
        <v>45</v>
      </c>
      <c r="F8582" s="30" t="s">
        <v>46</v>
      </c>
      <c r="G8582" s="30" t="s">
        <v>50</v>
      </c>
      <c r="H8582" s="32">
        <v>433</v>
      </c>
      <c r="I8582" s="30" t="s">
        <v>51</v>
      </c>
      <c r="J8582" s="41">
        <v>44323</v>
      </c>
      <c r="K8582" s="30" t="s">
        <v>22</v>
      </c>
    </row>
    <row r="8583" spans="1:11">
      <c r="A8583" s="33" t="s">
        <v>19755</v>
      </c>
      <c r="B8583" s="33" t="s">
        <v>19756</v>
      </c>
      <c r="C8583" s="33" t="s">
        <v>3647</v>
      </c>
      <c r="D8583" s="33" t="s">
        <v>17</v>
      </c>
      <c r="E8583" s="33" t="s">
        <v>212</v>
      </c>
      <c r="F8583" s="33" t="s">
        <v>213</v>
      </c>
      <c r="G8583" s="33" t="s">
        <v>20</v>
      </c>
      <c r="H8583" s="35">
        <v>106</v>
      </c>
      <c r="I8583" s="33" t="s">
        <v>21</v>
      </c>
      <c r="J8583" s="42">
        <v>44497</v>
      </c>
      <c r="K8583" s="33" t="s">
        <v>22</v>
      </c>
    </row>
    <row r="8584" spans="1:11">
      <c r="A8584" s="30" t="s">
        <v>19757</v>
      </c>
      <c r="B8584" s="30" t="s">
        <v>19758</v>
      </c>
      <c r="C8584" s="30" t="s">
        <v>4267</v>
      </c>
      <c r="D8584" s="30" t="s">
        <v>17</v>
      </c>
      <c r="E8584" s="30" t="s">
        <v>26</v>
      </c>
      <c r="F8584" s="30" t="s">
        <v>27</v>
      </c>
      <c r="G8584" s="30" t="s">
        <v>20</v>
      </c>
      <c r="H8584" s="32">
        <v>17</v>
      </c>
      <c r="I8584" s="30" t="s">
        <v>21</v>
      </c>
      <c r="J8584" s="41">
        <v>44559</v>
      </c>
      <c r="K8584" s="30" t="s">
        <v>22</v>
      </c>
    </row>
    <row r="8585" spans="1:11">
      <c r="A8585" s="33" t="s">
        <v>19759</v>
      </c>
      <c r="B8585" s="33" t="s">
        <v>19760</v>
      </c>
      <c r="C8585" s="33" t="s">
        <v>8410</v>
      </c>
      <c r="D8585" s="33" t="s">
        <v>17</v>
      </c>
      <c r="E8585" s="33" t="s">
        <v>26</v>
      </c>
      <c r="F8585" s="33" t="s">
        <v>27</v>
      </c>
      <c r="G8585" s="33" t="s">
        <v>20</v>
      </c>
      <c r="H8585" s="35">
        <v>24</v>
      </c>
      <c r="I8585" s="33" t="s">
        <v>21</v>
      </c>
      <c r="J8585" s="42">
        <v>44208</v>
      </c>
      <c r="K8585" s="33" t="s">
        <v>22</v>
      </c>
    </row>
    <row r="8586" spans="1:11">
      <c r="A8586" s="30" t="s">
        <v>19761</v>
      </c>
      <c r="B8586" s="30" t="s">
        <v>19762</v>
      </c>
      <c r="C8586" s="30" t="s">
        <v>231</v>
      </c>
      <c r="D8586" s="30" t="s">
        <v>17</v>
      </c>
      <c r="E8586" s="30" t="s">
        <v>67</v>
      </c>
      <c r="F8586" s="30" t="s">
        <v>68</v>
      </c>
      <c r="G8586" s="30" t="s">
        <v>20</v>
      </c>
      <c r="H8586" s="32">
        <v>46</v>
      </c>
      <c r="I8586" s="30" t="s">
        <v>21</v>
      </c>
      <c r="J8586" s="41">
        <v>44407</v>
      </c>
      <c r="K8586" s="30" t="s">
        <v>22</v>
      </c>
    </row>
    <row r="8587" spans="1:11">
      <c r="A8587" s="33" t="s">
        <v>19763</v>
      </c>
      <c r="B8587" s="33" t="s">
        <v>19764</v>
      </c>
      <c r="C8587" s="33" t="s">
        <v>2472</v>
      </c>
      <c r="D8587" s="33" t="s">
        <v>17</v>
      </c>
      <c r="E8587" s="33" t="s">
        <v>31</v>
      </c>
      <c r="F8587" s="33" t="s">
        <v>32</v>
      </c>
      <c r="G8587" s="33" t="s">
        <v>20</v>
      </c>
      <c r="H8587" s="35">
        <v>135</v>
      </c>
      <c r="I8587" s="33" t="s">
        <v>21</v>
      </c>
      <c r="J8587" s="42">
        <v>44365</v>
      </c>
      <c r="K8587" s="33" t="s">
        <v>22</v>
      </c>
    </row>
    <row r="8588" spans="1:11">
      <c r="A8588" s="30" t="s">
        <v>19765</v>
      </c>
      <c r="B8588" s="30" t="s">
        <v>19766</v>
      </c>
      <c r="C8588" s="30" t="s">
        <v>187</v>
      </c>
      <c r="D8588" s="30" t="s">
        <v>17</v>
      </c>
      <c r="E8588" s="30" t="s">
        <v>67</v>
      </c>
      <c r="F8588" s="30" t="s">
        <v>68</v>
      </c>
      <c r="G8588" s="30" t="s">
        <v>106</v>
      </c>
      <c r="H8588" s="32">
        <v>22</v>
      </c>
      <c r="I8588" s="30" t="s">
        <v>21</v>
      </c>
      <c r="J8588" s="41">
        <v>44446</v>
      </c>
      <c r="K8588" s="30" t="s">
        <v>22</v>
      </c>
    </row>
    <row r="8589" spans="1:11">
      <c r="A8589" s="33" t="s">
        <v>19767</v>
      </c>
      <c r="B8589" s="33" t="s">
        <v>19768</v>
      </c>
      <c r="C8589" s="33" t="s">
        <v>15148</v>
      </c>
      <c r="D8589" s="33" t="s">
        <v>17</v>
      </c>
      <c r="E8589" s="33" t="s">
        <v>26</v>
      </c>
      <c r="F8589" s="33" t="s">
        <v>27</v>
      </c>
      <c r="G8589" s="33" t="s">
        <v>20</v>
      </c>
      <c r="H8589" s="35">
        <v>36</v>
      </c>
      <c r="I8589" s="33" t="s">
        <v>21</v>
      </c>
      <c r="J8589" s="42">
        <v>44272</v>
      </c>
      <c r="K8589" s="33" t="s">
        <v>22</v>
      </c>
    </row>
    <row r="8590" spans="1:11">
      <c r="A8590" s="30" t="s">
        <v>19769</v>
      </c>
      <c r="B8590" s="30" t="s">
        <v>19770</v>
      </c>
      <c r="C8590" s="30" t="s">
        <v>2663</v>
      </c>
      <c r="D8590" s="30" t="s">
        <v>17</v>
      </c>
      <c r="E8590" s="30" t="s">
        <v>31</v>
      </c>
      <c r="F8590" s="30" t="s">
        <v>32</v>
      </c>
      <c r="G8590" s="30" t="s">
        <v>20</v>
      </c>
      <c r="H8590" s="32">
        <v>136</v>
      </c>
      <c r="I8590" s="30" t="s">
        <v>21</v>
      </c>
      <c r="J8590" s="41">
        <v>44243</v>
      </c>
      <c r="K8590" s="30" t="s">
        <v>22</v>
      </c>
    </row>
    <row r="8591" spans="1:11">
      <c r="A8591" s="33" t="s">
        <v>19771</v>
      </c>
      <c r="B8591" s="33" t="s">
        <v>19772</v>
      </c>
      <c r="C8591" s="33" t="s">
        <v>1042</v>
      </c>
      <c r="D8591" s="33" t="s">
        <v>17</v>
      </c>
      <c r="E8591" s="33" t="s">
        <v>31</v>
      </c>
      <c r="F8591" s="33" t="s">
        <v>32</v>
      </c>
      <c r="G8591" s="33" t="s">
        <v>20</v>
      </c>
      <c r="H8591" s="35">
        <v>11</v>
      </c>
      <c r="I8591" s="33" t="s">
        <v>21</v>
      </c>
      <c r="J8591" s="42">
        <v>44286</v>
      </c>
      <c r="K8591" s="33" t="s">
        <v>22</v>
      </c>
    </row>
    <row r="8592" spans="1:11">
      <c r="A8592" s="30" t="s">
        <v>19773</v>
      </c>
      <c r="B8592" s="30" t="s">
        <v>19774</v>
      </c>
      <c r="C8592" s="30" t="s">
        <v>644</v>
      </c>
      <c r="D8592" s="30" t="s">
        <v>17</v>
      </c>
      <c r="E8592" s="30" t="s">
        <v>31</v>
      </c>
      <c r="F8592" s="30" t="s">
        <v>32</v>
      </c>
      <c r="G8592" s="30" t="s">
        <v>106</v>
      </c>
      <c r="H8592" s="32">
        <v>15</v>
      </c>
      <c r="I8592" s="30" t="s">
        <v>21</v>
      </c>
      <c r="J8592" s="41">
        <v>44504</v>
      </c>
      <c r="K8592" s="30" t="s">
        <v>22</v>
      </c>
    </row>
    <row r="8593" spans="1:11">
      <c r="A8593" s="33" t="s">
        <v>19775</v>
      </c>
      <c r="B8593" s="33" t="s">
        <v>19776</v>
      </c>
      <c r="C8593" s="33" t="s">
        <v>3944</v>
      </c>
      <c r="D8593" s="33" t="s">
        <v>17</v>
      </c>
      <c r="E8593" s="33" t="s">
        <v>67</v>
      </c>
      <c r="F8593" s="33" t="s">
        <v>68</v>
      </c>
      <c r="G8593" s="33" t="s">
        <v>140</v>
      </c>
      <c r="H8593" s="35">
        <v>40</v>
      </c>
      <c r="I8593" s="33" t="s">
        <v>51</v>
      </c>
      <c r="J8593" s="42">
        <v>44262</v>
      </c>
      <c r="K8593" s="33" t="s">
        <v>22</v>
      </c>
    </row>
    <row r="8594" spans="1:11">
      <c r="A8594" s="30" t="s">
        <v>19777</v>
      </c>
      <c r="B8594" s="30" t="s">
        <v>19778</v>
      </c>
      <c r="C8594" s="30" t="s">
        <v>19779</v>
      </c>
      <c r="D8594" s="30" t="s">
        <v>17</v>
      </c>
      <c r="E8594" s="30" t="s">
        <v>31</v>
      </c>
      <c r="F8594" s="30" t="s">
        <v>32</v>
      </c>
      <c r="G8594" s="30" t="s">
        <v>20</v>
      </c>
      <c r="H8594" s="32">
        <v>42</v>
      </c>
      <c r="I8594" s="30" t="s">
        <v>21</v>
      </c>
      <c r="J8594" s="41">
        <v>44502</v>
      </c>
      <c r="K8594" s="30" t="s">
        <v>22</v>
      </c>
    </row>
    <row r="8595" spans="1:11">
      <c r="A8595" s="33" t="s">
        <v>19780</v>
      </c>
      <c r="B8595" s="33" t="s">
        <v>19781</v>
      </c>
      <c r="C8595" s="33" t="s">
        <v>231</v>
      </c>
      <c r="D8595" s="33" t="s">
        <v>17</v>
      </c>
      <c r="E8595" s="33" t="s">
        <v>26</v>
      </c>
      <c r="F8595" s="33" t="s">
        <v>27</v>
      </c>
      <c r="G8595" s="33" t="s">
        <v>20</v>
      </c>
      <c r="H8595" s="35">
        <v>83</v>
      </c>
      <c r="I8595" s="33" t="s">
        <v>21</v>
      </c>
      <c r="J8595" s="42">
        <v>44442</v>
      </c>
      <c r="K8595" s="33" t="s">
        <v>22</v>
      </c>
    </row>
    <row r="8596" spans="1:11">
      <c r="A8596" s="30" t="s">
        <v>19782</v>
      </c>
      <c r="B8596" s="30" t="s">
        <v>19783</v>
      </c>
      <c r="C8596" s="30" t="s">
        <v>3387</v>
      </c>
      <c r="D8596" s="30" t="s">
        <v>17</v>
      </c>
      <c r="E8596" s="30" t="s">
        <v>18</v>
      </c>
      <c r="F8596" s="30" t="s">
        <v>19</v>
      </c>
      <c r="G8596" s="30" t="s">
        <v>140</v>
      </c>
      <c r="H8596" s="32">
        <v>200</v>
      </c>
      <c r="I8596" s="30" t="s">
        <v>51</v>
      </c>
      <c r="J8596" s="41">
        <v>44257</v>
      </c>
      <c r="K8596" s="30" t="s">
        <v>22</v>
      </c>
    </row>
    <row r="8597" spans="1:11">
      <c r="A8597" s="33" t="s">
        <v>19784</v>
      </c>
      <c r="B8597" s="33" t="s">
        <v>19785</v>
      </c>
      <c r="C8597" s="33" t="s">
        <v>587</v>
      </c>
      <c r="D8597" s="33" t="s">
        <v>17</v>
      </c>
      <c r="E8597" s="33" t="s">
        <v>26</v>
      </c>
      <c r="F8597" s="33" t="s">
        <v>27</v>
      </c>
      <c r="G8597" s="33" t="s">
        <v>20</v>
      </c>
      <c r="H8597" s="35">
        <v>16</v>
      </c>
      <c r="I8597" s="33" t="s">
        <v>21</v>
      </c>
      <c r="J8597" s="42">
        <v>44390</v>
      </c>
      <c r="K8597" s="33" t="s">
        <v>22</v>
      </c>
    </row>
    <row r="8598" spans="1:11">
      <c r="A8598" s="30" t="s">
        <v>19786</v>
      </c>
      <c r="B8598" s="30" t="s">
        <v>19787</v>
      </c>
      <c r="C8598" s="30" t="s">
        <v>5389</v>
      </c>
      <c r="D8598" s="30" t="s">
        <v>17</v>
      </c>
      <c r="E8598" s="30" t="s">
        <v>31</v>
      </c>
      <c r="F8598" s="30" t="s">
        <v>32</v>
      </c>
      <c r="G8598" s="30" t="s">
        <v>50</v>
      </c>
      <c r="H8598" s="32">
        <v>150</v>
      </c>
      <c r="I8598" s="30" t="s">
        <v>51</v>
      </c>
      <c r="J8598" s="41">
        <v>44324</v>
      </c>
      <c r="K8598" s="30" t="s">
        <v>22</v>
      </c>
    </row>
    <row r="8599" spans="1:11">
      <c r="A8599" s="33" t="s">
        <v>19788</v>
      </c>
      <c r="B8599" s="33" t="s">
        <v>19789</v>
      </c>
      <c r="C8599" s="33" t="s">
        <v>570</v>
      </c>
      <c r="D8599" s="33" t="s">
        <v>17</v>
      </c>
      <c r="E8599" s="33" t="s">
        <v>31</v>
      </c>
      <c r="F8599" s="33" t="s">
        <v>32</v>
      </c>
      <c r="G8599" s="33" t="s">
        <v>50</v>
      </c>
      <c r="H8599" s="35">
        <v>150</v>
      </c>
      <c r="I8599" s="33" t="s">
        <v>51</v>
      </c>
      <c r="J8599" s="42">
        <v>44551</v>
      </c>
      <c r="K8599" s="33" t="s">
        <v>22</v>
      </c>
    </row>
    <row r="8600" spans="1:11">
      <c r="A8600" s="30" t="s">
        <v>19790</v>
      </c>
      <c r="B8600" s="30" t="s">
        <v>19791</v>
      </c>
      <c r="C8600" s="30" t="s">
        <v>136</v>
      </c>
      <c r="D8600" s="30" t="s">
        <v>17</v>
      </c>
      <c r="E8600" s="30" t="s">
        <v>18</v>
      </c>
      <c r="F8600" s="30" t="s">
        <v>19</v>
      </c>
      <c r="G8600" s="30" t="s">
        <v>158</v>
      </c>
      <c r="H8600" s="32">
        <v>152</v>
      </c>
      <c r="I8600" s="30" t="s">
        <v>51</v>
      </c>
      <c r="J8600" s="41">
        <v>44550</v>
      </c>
      <c r="K8600" s="30" t="s">
        <v>22</v>
      </c>
    </row>
    <row r="8601" spans="1:11">
      <c r="A8601" s="33" t="s">
        <v>19792</v>
      </c>
      <c r="B8601" s="33" t="s">
        <v>19793</v>
      </c>
      <c r="C8601" s="33" t="s">
        <v>19794</v>
      </c>
      <c r="D8601" s="33" t="s">
        <v>17</v>
      </c>
      <c r="E8601" s="33" t="s">
        <v>67</v>
      </c>
      <c r="F8601" s="33" t="s">
        <v>68</v>
      </c>
      <c r="G8601" s="33" t="s">
        <v>140</v>
      </c>
      <c r="H8601" s="35">
        <v>115</v>
      </c>
      <c r="I8601" s="33" t="s">
        <v>51</v>
      </c>
      <c r="J8601" s="42">
        <v>44435</v>
      </c>
      <c r="K8601" s="33" t="s">
        <v>22</v>
      </c>
    </row>
    <row r="8602" spans="1:11">
      <c r="A8602" s="30" t="s">
        <v>19795</v>
      </c>
      <c r="B8602" s="30" t="s">
        <v>19796</v>
      </c>
      <c r="C8602" s="30" t="s">
        <v>801</v>
      </c>
      <c r="D8602" s="30" t="s">
        <v>17</v>
      </c>
      <c r="E8602" s="30" t="s">
        <v>26</v>
      </c>
      <c r="F8602" s="30" t="s">
        <v>27</v>
      </c>
      <c r="G8602" s="30" t="s">
        <v>20</v>
      </c>
      <c r="H8602" s="32">
        <v>32</v>
      </c>
      <c r="I8602" s="30" t="s">
        <v>21</v>
      </c>
      <c r="J8602" s="41">
        <v>44533</v>
      </c>
      <c r="K8602" s="30" t="s">
        <v>22</v>
      </c>
    </row>
    <row r="8603" spans="1:11">
      <c r="A8603" s="33" t="s">
        <v>19797</v>
      </c>
      <c r="B8603" s="33" t="s">
        <v>19798</v>
      </c>
      <c r="C8603" s="33" t="s">
        <v>387</v>
      </c>
      <c r="D8603" s="33" t="s">
        <v>17</v>
      </c>
      <c r="E8603" s="33" t="s">
        <v>18</v>
      </c>
      <c r="F8603" s="33" t="s">
        <v>19</v>
      </c>
      <c r="G8603" s="33" t="s">
        <v>20</v>
      </c>
      <c r="H8603" s="35">
        <v>981</v>
      </c>
      <c r="I8603" s="33" t="s">
        <v>21</v>
      </c>
      <c r="J8603" s="42">
        <v>44345</v>
      </c>
      <c r="K8603" s="33" t="s">
        <v>22</v>
      </c>
    </row>
    <row r="8604" spans="1:11">
      <c r="A8604" s="30" t="s">
        <v>19799</v>
      </c>
      <c r="B8604" s="30" t="s">
        <v>19800</v>
      </c>
      <c r="C8604" s="30" t="s">
        <v>2913</v>
      </c>
      <c r="D8604" s="30" t="s">
        <v>17</v>
      </c>
      <c r="E8604" s="30" t="s">
        <v>31</v>
      </c>
      <c r="F8604" s="30" t="s">
        <v>32</v>
      </c>
      <c r="G8604" s="30" t="s">
        <v>50</v>
      </c>
      <c r="H8604" s="32">
        <v>37986</v>
      </c>
      <c r="I8604" s="30" t="s">
        <v>51</v>
      </c>
      <c r="J8604" s="41">
        <v>44464</v>
      </c>
      <c r="K8604" s="30" t="s">
        <v>22</v>
      </c>
    </row>
    <row r="8605" spans="1:11">
      <c r="A8605" s="33" t="s">
        <v>19801</v>
      </c>
      <c r="B8605" s="33" t="s">
        <v>19802</v>
      </c>
      <c r="C8605" s="33" t="s">
        <v>19803</v>
      </c>
      <c r="D8605" s="33" t="s">
        <v>17</v>
      </c>
      <c r="E8605" s="33" t="s">
        <v>18</v>
      </c>
      <c r="F8605" s="33" t="s">
        <v>19</v>
      </c>
      <c r="G8605" s="33" t="s">
        <v>20</v>
      </c>
      <c r="H8605" s="35">
        <v>255</v>
      </c>
      <c r="I8605" s="33" t="s">
        <v>21</v>
      </c>
      <c r="J8605" s="42">
        <v>44238</v>
      </c>
      <c r="K8605" s="33" t="s">
        <v>22</v>
      </c>
    </row>
    <row r="8606" spans="1:11">
      <c r="A8606" s="30" t="s">
        <v>19804</v>
      </c>
      <c r="B8606" s="30" t="s">
        <v>19805</v>
      </c>
      <c r="C8606" s="30" t="s">
        <v>2292</v>
      </c>
      <c r="D8606" s="30" t="s">
        <v>17</v>
      </c>
      <c r="E8606" s="30" t="s">
        <v>45</v>
      </c>
      <c r="F8606" s="30" t="s">
        <v>46</v>
      </c>
      <c r="G8606" s="30" t="s">
        <v>20</v>
      </c>
      <c r="H8606" s="32">
        <v>129</v>
      </c>
      <c r="I8606" s="30" t="s">
        <v>21</v>
      </c>
      <c r="J8606" s="41">
        <v>44204</v>
      </c>
      <c r="K8606" s="30" t="s">
        <v>22</v>
      </c>
    </row>
    <row r="8607" spans="1:11">
      <c r="A8607" s="33" t="s">
        <v>19806</v>
      </c>
      <c r="B8607" s="33" t="s">
        <v>19807</v>
      </c>
      <c r="C8607" s="33" t="s">
        <v>899</v>
      </c>
      <c r="D8607" s="33" t="s">
        <v>17</v>
      </c>
      <c r="E8607" s="33" t="s">
        <v>26</v>
      </c>
      <c r="F8607" s="33" t="s">
        <v>27</v>
      </c>
      <c r="G8607" s="33" t="s">
        <v>20</v>
      </c>
      <c r="H8607" s="35">
        <v>138</v>
      </c>
      <c r="I8607" s="33" t="s">
        <v>21</v>
      </c>
      <c r="J8607" s="42">
        <v>44340</v>
      </c>
      <c r="K8607" s="33" t="s">
        <v>22</v>
      </c>
    </row>
    <row r="8608" spans="1:11">
      <c r="A8608" s="30" t="s">
        <v>19808</v>
      </c>
      <c r="B8608" s="30" t="s">
        <v>19809</v>
      </c>
      <c r="C8608" s="30" t="s">
        <v>2728</v>
      </c>
      <c r="D8608" s="30" t="s">
        <v>17</v>
      </c>
      <c r="E8608" s="30" t="s">
        <v>18</v>
      </c>
      <c r="F8608" s="30" t="s">
        <v>19</v>
      </c>
      <c r="G8608" s="30" t="s">
        <v>20</v>
      </c>
      <c r="H8608" s="32">
        <v>683</v>
      </c>
      <c r="I8608" s="30" t="s">
        <v>21</v>
      </c>
      <c r="J8608" s="41">
        <v>44251</v>
      </c>
      <c r="K8608" s="30" t="s">
        <v>22</v>
      </c>
    </row>
    <row r="8609" spans="1:11">
      <c r="A8609" s="33" t="s">
        <v>19810</v>
      </c>
      <c r="B8609" s="33" t="s">
        <v>19811</v>
      </c>
      <c r="C8609" s="33" t="s">
        <v>12474</v>
      </c>
      <c r="D8609" s="33" t="s">
        <v>17</v>
      </c>
      <c r="E8609" s="33" t="s">
        <v>67</v>
      </c>
      <c r="F8609" s="33" t="s">
        <v>68</v>
      </c>
      <c r="G8609" s="33" t="s">
        <v>112</v>
      </c>
      <c r="H8609" s="35">
        <v>0</v>
      </c>
      <c r="I8609" s="33" t="s">
        <v>21</v>
      </c>
      <c r="J8609" s="42">
        <v>44287</v>
      </c>
      <c r="K8609" s="33" t="s">
        <v>22</v>
      </c>
    </row>
    <row r="8610" spans="1:11">
      <c r="A8610" s="30" t="s">
        <v>19812</v>
      </c>
      <c r="B8610" s="30" t="s">
        <v>19813</v>
      </c>
      <c r="C8610" s="30" t="s">
        <v>19814</v>
      </c>
      <c r="D8610" s="30" t="s">
        <v>17</v>
      </c>
      <c r="E8610" s="30" t="s">
        <v>26</v>
      </c>
      <c r="F8610" s="30" t="s">
        <v>27</v>
      </c>
      <c r="G8610" s="30" t="s">
        <v>50</v>
      </c>
      <c r="H8610" s="32">
        <v>100</v>
      </c>
      <c r="I8610" s="30" t="s">
        <v>51</v>
      </c>
      <c r="J8610" s="41">
        <v>44391</v>
      </c>
      <c r="K8610" s="30" t="s">
        <v>22</v>
      </c>
    </row>
    <row r="8611" spans="1:11">
      <c r="A8611" s="33" t="s">
        <v>19815</v>
      </c>
      <c r="B8611" s="33" t="s">
        <v>19816</v>
      </c>
      <c r="C8611" s="33" t="s">
        <v>7366</v>
      </c>
      <c r="D8611" s="33" t="s">
        <v>17</v>
      </c>
      <c r="E8611" s="33" t="s">
        <v>26</v>
      </c>
      <c r="F8611" s="33" t="s">
        <v>27</v>
      </c>
      <c r="G8611" s="33" t="s">
        <v>20</v>
      </c>
      <c r="H8611" s="35">
        <v>8</v>
      </c>
      <c r="I8611" s="33" t="s">
        <v>21</v>
      </c>
      <c r="J8611" s="42">
        <v>44201</v>
      </c>
      <c r="K8611" s="33" t="s">
        <v>22</v>
      </c>
    </row>
    <row r="8612" spans="1:11">
      <c r="A8612" s="30" t="s">
        <v>19817</v>
      </c>
      <c r="B8612" s="30" t="s">
        <v>19818</v>
      </c>
      <c r="C8612" s="30" t="s">
        <v>5948</v>
      </c>
      <c r="D8612" s="30" t="s">
        <v>17</v>
      </c>
      <c r="E8612" s="30" t="s">
        <v>26</v>
      </c>
      <c r="F8612" s="30" t="s">
        <v>27</v>
      </c>
      <c r="G8612" s="30" t="s">
        <v>20</v>
      </c>
      <c r="H8612" s="32">
        <v>45</v>
      </c>
      <c r="I8612" s="30" t="s">
        <v>21</v>
      </c>
      <c r="J8612" s="41">
        <v>44500</v>
      </c>
      <c r="K8612" s="30" t="s">
        <v>22</v>
      </c>
    </row>
    <row r="8613" spans="1:11">
      <c r="A8613" s="33" t="s">
        <v>19819</v>
      </c>
      <c r="B8613" s="33" t="s">
        <v>19820</v>
      </c>
      <c r="C8613" s="33" t="s">
        <v>1415</v>
      </c>
      <c r="D8613" s="33" t="s">
        <v>17</v>
      </c>
      <c r="E8613" s="33" t="s">
        <v>18</v>
      </c>
      <c r="F8613" s="33" t="s">
        <v>19</v>
      </c>
      <c r="G8613" s="33" t="s">
        <v>50</v>
      </c>
      <c r="H8613" s="35">
        <v>740</v>
      </c>
      <c r="I8613" s="33" t="s">
        <v>21</v>
      </c>
      <c r="J8613" s="42">
        <v>44559</v>
      </c>
      <c r="K8613" s="33" t="s">
        <v>22</v>
      </c>
    </row>
    <row r="8614" spans="1:11">
      <c r="A8614" s="30" t="s">
        <v>19821</v>
      </c>
      <c r="B8614" s="30" t="s">
        <v>19822</v>
      </c>
      <c r="C8614" s="30" t="s">
        <v>3964</v>
      </c>
      <c r="D8614" s="30" t="s">
        <v>17</v>
      </c>
      <c r="E8614" s="30" t="s">
        <v>31</v>
      </c>
      <c r="F8614" s="30" t="s">
        <v>32</v>
      </c>
      <c r="G8614" s="30" t="s">
        <v>50</v>
      </c>
      <c r="H8614" s="32">
        <v>66</v>
      </c>
      <c r="I8614" s="30" t="s">
        <v>51</v>
      </c>
      <c r="J8614" s="41">
        <v>44329</v>
      </c>
      <c r="K8614" s="30" t="s">
        <v>22</v>
      </c>
    </row>
    <row r="8615" spans="1:11">
      <c r="A8615" s="33" t="s">
        <v>19823</v>
      </c>
      <c r="B8615" s="33" t="s">
        <v>19824</v>
      </c>
      <c r="C8615" s="33" t="s">
        <v>5452</v>
      </c>
      <c r="D8615" s="33" t="s">
        <v>17</v>
      </c>
      <c r="E8615" s="33" t="s">
        <v>26</v>
      </c>
      <c r="F8615" s="33" t="s">
        <v>27</v>
      </c>
      <c r="G8615" s="33" t="s">
        <v>158</v>
      </c>
      <c r="H8615" s="35">
        <v>78</v>
      </c>
      <c r="I8615" s="33" t="s">
        <v>51</v>
      </c>
      <c r="J8615" s="42">
        <v>44491</v>
      </c>
      <c r="K8615" s="33" t="s">
        <v>22</v>
      </c>
    </row>
    <row r="8616" spans="1:11">
      <c r="A8616" s="30" t="s">
        <v>19825</v>
      </c>
      <c r="B8616" s="30" t="s">
        <v>19826</v>
      </c>
      <c r="C8616" s="30" t="s">
        <v>985</v>
      </c>
      <c r="D8616" s="30" t="s">
        <v>17</v>
      </c>
      <c r="E8616" s="30" t="s">
        <v>26</v>
      </c>
      <c r="F8616" s="30" t="s">
        <v>27</v>
      </c>
      <c r="G8616" s="30" t="s">
        <v>20</v>
      </c>
      <c r="H8616" s="32">
        <v>24</v>
      </c>
      <c r="I8616" s="30" t="s">
        <v>21</v>
      </c>
      <c r="J8616" s="41">
        <v>44308</v>
      </c>
      <c r="K8616" s="30" t="s">
        <v>22</v>
      </c>
    </row>
    <row r="8617" spans="1:11">
      <c r="A8617" s="33" t="s">
        <v>19827</v>
      </c>
      <c r="B8617" s="33" t="s">
        <v>19828</v>
      </c>
      <c r="C8617" s="33" t="s">
        <v>1313</v>
      </c>
      <c r="D8617" s="33" t="s">
        <v>17</v>
      </c>
      <c r="E8617" s="33" t="s">
        <v>26</v>
      </c>
      <c r="F8617" s="33" t="s">
        <v>27</v>
      </c>
      <c r="G8617" s="33" t="s">
        <v>50</v>
      </c>
      <c r="H8617" s="35">
        <v>11</v>
      </c>
      <c r="I8617" s="33" t="s">
        <v>21</v>
      </c>
      <c r="J8617" s="42">
        <v>44270</v>
      </c>
      <c r="K8617" s="33" t="s">
        <v>22</v>
      </c>
    </row>
    <row r="8618" spans="1:11">
      <c r="A8618" s="30" t="s">
        <v>19829</v>
      </c>
      <c r="B8618" s="30" t="s">
        <v>19830</v>
      </c>
      <c r="C8618" s="30" t="s">
        <v>5158</v>
      </c>
      <c r="D8618" s="30" t="s">
        <v>17</v>
      </c>
      <c r="E8618" s="30" t="s">
        <v>212</v>
      </c>
      <c r="F8618" s="30" t="s">
        <v>213</v>
      </c>
      <c r="G8618" s="30" t="s">
        <v>20</v>
      </c>
      <c r="H8618" s="32">
        <v>18</v>
      </c>
      <c r="I8618" s="30" t="s">
        <v>21</v>
      </c>
      <c r="J8618" s="41">
        <v>44467</v>
      </c>
      <c r="K8618" s="30" t="s">
        <v>22</v>
      </c>
    </row>
    <row r="8619" spans="1:11">
      <c r="A8619" s="33" t="s">
        <v>19831</v>
      </c>
      <c r="B8619" s="33" t="s">
        <v>19832</v>
      </c>
      <c r="C8619" s="33" t="s">
        <v>570</v>
      </c>
      <c r="D8619" s="33" t="s">
        <v>17</v>
      </c>
      <c r="E8619" s="33" t="s">
        <v>67</v>
      </c>
      <c r="F8619" s="33" t="s">
        <v>68</v>
      </c>
      <c r="G8619" s="33" t="s">
        <v>20</v>
      </c>
      <c r="H8619" s="35">
        <v>50</v>
      </c>
      <c r="I8619" s="33" t="s">
        <v>21</v>
      </c>
      <c r="J8619" s="42">
        <v>44490</v>
      </c>
      <c r="K8619" s="33" t="s">
        <v>22</v>
      </c>
    </row>
    <row r="8620" spans="1:11">
      <c r="A8620" s="30" t="s">
        <v>19833</v>
      </c>
      <c r="B8620" s="30" t="s">
        <v>19834</v>
      </c>
      <c r="C8620" s="30" t="s">
        <v>549</v>
      </c>
      <c r="D8620" s="30" t="s">
        <v>17</v>
      </c>
      <c r="E8620" s="30" t="s">
        <v>31</v>
      </c>
      <c r="F8620" s="30" t="s">
        <v>32</v>
      </c>
      <c r="G8620" s="30" t="s">
        <v>106</v>
      </c>
      <c r="H8620" s="32">
        <v>29</v>
      </c>
      <c r="I8620" s="30" t="s">
        <v>21</v>
      </c>
      <c r="J8620" s="41">
        <v>44286</v>
      </c>
      <c r="K8620" s="30" t="s">
        <v>22</v>
      </c>
    </row>
    <row r="8621" spans="1:11">
      <c r="A8621" s="33" t="s">
        <v>19835</v>
      </c>
      <c r="B8621" s="33" t="s">
        <v>19836</v>
      </c>
      <c r="C8621" s="33" t="s">
        <v>187</v>
      </c>
      <c r="D8621" s="33" t="s">
        <v>17</v>
      </c>
      <c r="E8621" s="33" t="s">
        <v>31</v>
      </c>
      <c r="F8621" s="33" t="s">
        <v>32</v>
      </c>
      <c r="G8621" s="33" t="s">
        <v>20</v>
      </c>
      <c r="H8621" s="35">
        <v>25</v>
      </c>
      <c r="I8621" s="33" t="s">
        <v>21</v>
      </c>
      <c r="J8621" s="42">
        <v>44362</v>
      </c>
      <c r="K8621" s="33" t="s">
        <v>22</v>
      </c>
    </row>
    <row r="8622" spans="1:11">
      <c r="A8622" s="30" t="s">
        <v>19837</v>
      </c>
      <c r="B8622" s="30" t="s">
        <v>19838</v>
      </c>
      <c r="C8622" s="30" t="s">
        <v>203</v>
      </c>
      <c r="D8622" s="30" t="s">
        <v>17</v>
      </c>
      <c r="E8622" s="30" t="s">
        <v>26</v>
      </c>
      <c r="F8622" s="30" t="s">
        <v>27</v>
      </c>
      <c r="G8622" s="30" t="s">
        <v>20</v>
      </c>
      <c r="H8622" s="32">
        <v>76</v>
      </c>
      <c r="I8622" s="30" t="s">
        <v>21</v>
      </c>
      <c r="J8622" s="41">
        <v>44484</v>
      </c>
      <c r="K8622" s="30" t="s">
        <v>22</v>
      </c>
    </row>
    <row r="8623" spans="1:11">
      <c r="A8623" s="33" t="s">
        <v>19839</v>
      </c>
      <c r="B8623" s="33" t="s">
        <v>19840</v>
      </c>
      <c r="C8623" s="33" t="s">
        <v>19841</v>
      </c>
      <c r="D8623" s="33" t="s">
        <v>17</v>
      </c>
      <c r="E8623" s="33" t="s">
        <v>26</v>
      </c>
      <c r="F8623" s="33" t="s">
        <v>27</v>
      </c>
      <c r="G8623" s="33" t="s">
        <v>20</v>
      </c>
      <c r="H8623" s="35">
        <v>105</v>
      </c>
      <c r="I8623" s="33" t="s">
        <v>21</v>
      </c>
      <c r="J8623" s="42">
        <v>44498</v>
      </c>
      <c r="K8623" s="33" t="s">
        <v>22</v>
      </c>
    </row>
    <row r="8624" spans="1:11">
      <c r="A8624" s="30" t="s">
        <v>19842</v>
      </c>
      <c r="B8624" s="30" t="s">
        <v>19843</v>
      </c>
      <c r="C8624" s="30" t="s">
        <v>318</v>
      </c>
      <c r="D8624" s="30" t="s">
        <v>17</v>
      </c>
      <c r="E8624" s="30" t="s">
        <v>18</v>
      </c>
      <c r="F8624" s="30" t="s">
        <v>19</v>
      </c>
      <c r="G8624" s="30" t="s">
        <v>158</v>
      </c>
      <c r="H8624" s="32">
        <v>303</v>
      </c>
      <c r="I8624" s="30" t="s">
        <v>21</v>
      </c>
      <c r="J8624" s="41">
        <v>44502</v>
      </c>
      <c r="K8624" s="30" t="s">
        <v>22</v>
      </c>
    </row>
    <row r="8625" spans="1:11">
      <c r="A8625" s="33" t="s">
        <v>19844</v>
      </c>
      <c r="B8625" s="33" t="s">
        <v>19845</v>
      </c>
      <c r="C8625" s="33" t="s">
        <v>1270</v>
      </c>
      <c r="D8625" s="33" t="s">
        <v>17</v>
      </c>
      <c r="E8625" s="33" t="s">
        <v>67</v>
      </c>
      <c r="F8625" s="33" t="s">
        <v>68</v>
      </c>
      <c r="G8625" s="33" t="s">
        <v>50</v>
      </c>
      <c r="H8625" s="35">
        <v>380</v>
      </c>
      <c r="I8625" s="33" t="s">
        <v>51</v>
      </c>
      <c r="J8625" s="42">
        <v>44469</v>
      </c>
      <c r="K8625" s="33" t="s">
        <v>22</v>
      </c>
    </row>
    <row r="8626" spans="1:11">
      <c r="A8626" s="30" t="s">
        <v>19846</v>
      </c>
      <c r="B8626" s="30" t="s">
        <v>19847</v>
      </c>
      <c r="C8626" s="30" t="s">
        <v>2660</v>
      </c>
      <c r="D8626" s="30" t="s">
        <v>17</v>
      </c>
      <c r="E8626" s="30" t="s">
        <v>26</v>
      </c>
      <c r="F8626" s="30" t="s">
        <v>27</v>
      </c>
      <c r="G8626" s="30" t="s">
        <v>20</v>
      </c>
      <c r="H8626" s="32">
        <v>53</v>
      </c>
      <c r="I8626" s="30" t="s">
        <v>21</v>
      </c>
      <c r="J8626" s="41">
        <v>44355</v>
      </c>
      <c r="K8626" s="30" t="s">
        <v>22</v>
      </c>
    </row>
    <row r="8627" spans="1:11">
      <c r="A8627" s="33" t="s">
        <v>19848</v>
      </c>
      <c r="B8627" s="33" t="s">
        <v>19849</v>
      </c>
      <c r="C8627" s="33" t="s">
        <v>19850</v>
      </c>
      <c r="D8627" s="33" t="s">
        <v>17</v>
      </c>
      <c r="E8627" s="33" t="s">
        <v>31</v>
      </c>
      <c r="F8627" s="33" t="s">
        <v>32</v>
      </c>
      <c r="G8627" s="33" t="s">
        <v>50</v>
      </c>
      <c r="H8627" s="35">
        <v>180</v>
      </c>
      <c r="I8627" s="33" t="s">
        <v>21</v>
      </c>
      <c r="J8627" s="42">
        <v>44515</v>
      </c>
      <c r="K8627" s="33" t="s">
        <v>22</v>
      </c>
    </row>
    <row r="8628" spans="1:11">
      <c r="A8628" s="30" t="s">
        <v>19851</v>
      </c>
      <c r="B8628" s="30" t="s">
        <v>19852</v>
      </c>
      <c r="C8628" s="30" t="s">
        <v>5701</v>
      </c>
      <c r="D8628" s="30" t="s">
        <v>17</v>
      </c>
      <c r="E8628" s="30" t="s">
        <v>26</v>
      </c>
      <c r="F8628" s="30" t="s">
        <v>27</v>
      </c>
      <c r="G8628" s="30" t="s">
        <v>106</v>
      </c>
      <c r="H8628" s="32">
        <v>30</v>
      </c>
      <c r="I8628" s="30" t="s">
        <v>21</v>
      </c>
      <c r="J8628" s="41">
        <v>44503</v>
      </c>
      <c r="K8628" s="30" t="s">
        <v>22</v>
      </c>
    </row>
    <row r="8629" spans="1:11">
      <c r="A8629" s="33" t="s">
        <v>19853</v>
      </c>
      <c r="B8629" s="33" t="s">
        <v>19854</v>
      </c>
      <c r="C8629" s="33" t="s">
        <v>16025</v>
      </c>
      <c r="D8629" s="33" t="s">
        <v>17</v>
      </c>
      <c r="E8629" s="33" t="s">
        <v>67</v>
      </c>
      <c r="F8629" s="33" t="s">
        <v>68</v>
      </c>
      <c r="G8629" s="33" t="s">
        <v>112</v>
      </c>
      <c r="H8629" s="35">
        <v>0</v>
      </c>
      <c r="I8629" s="33" t="s">
        <v>21</v>
      </c>
      <c r="J8629" s="42">
        <v>44323</v>
      </c>
      <c r="K8629" s="33" t="s">
        <v>22</v>
      </c>
    </row>
    <row r="8630" spans="1:11">
      <c r="A8630" s="30" t="s">
        <v>19855</v>
      </c>
      <c r="B8630" s="30" t="s">
        <v>19856</v>
      </c>
      <c r="C8630" s="30" t="s">
        <v>16196</v>
      </c>
      <c r="D8630" s="30" t="s">
        <v>17</v>
      </c>
      <c r="E8630" s="30" t="s">
        <v>26</v>
      </c>
      <c r="F8630" s="30" t="s">
        <v>27</v>
      </c>
      <c r="G8630" s="30" t="s">
        <v>140</v>
      </c>
      <c r="H8630" s="32">
        <v>345</v>
      </c>
      <c r="I8630" s="30" t="s">
        <v>51</v>
      </c>
      <c r="J8630" s="41">
        <v>44468</v>
      </c>
      <c r="K8630" s="30" t="s">
        <v>22</v>
      </c>
    </row>
    <row r="8631" spans="1:11">
      <c r="A8631" s="33" t="s">
        <v>19857</v>
      </c>
      <c r="B8631" s="33" t="s">
        <v>19858</v>
      </c>
      <c r="C8631" s="33" t="s">
        <v>19859</v>
      </c>
      <c r="D8631" s="33" t="s">
        <v>17</v>
      </c>
      <c r="E8631" s="33" t="s">
        <v>67</v>
      </c>
      <c r="F8631" s="33" t="s">
        <v>68</v>
      </c>
      <c r="G8631" s="33" t="s">
        <v>158</v>
      </c>
      <c r="H8631" s="35">
        <v>14</v>
      </c>
      <c r="I8631" s="33" t="s">
        <v>21</v>
      </c>
      <c r="J8631" s="42">
        <v>44476</v>
      </c>
      <c r="K8631" s="33" t="s">
        <v>22</v>
      </c>
    </row>
    <row r="8632" spans="1:11">
      <c r="A8632" s="30" t="s">
        <v>19860</v>
      </c>
      <c r="B8632" s="30" t="s">
        <v>19861</v>
      </c>
      <c r="C8632" s="30" t="s">
        <v>11879</v>
      </c>
      <c r="D8632" s="30" t="s">
        <v>17</v>
      </c>
      <c r="E8632" s="30" t="s">
        <v>212</v>
      </c>
      <c r="F8632" s="30" t="s">
        <v>213</v>
      </c>
      <c r="G8632" s="30" t="s">
        <v>50</v>
      </c>
      <c r="H8632" s="32">
        <v>60</v>
      </c>
      <c r="I8632" s="30" t="s">
        <v>51</v>
      </c>
      <c r="J8632" s="41">
        <v>44378</v>
      </c>
      <c r="K8632" s="30" t="s">
        <v>22</v>
      </c>
    </row>
    <row r="8633" spans="1:11">
      <c r="A8633" s="33" t="s">
        <v>19862</v>
      </c>
      <c r="B8633" s="33" t="s">
        <v>19863</v>
      </c>
      <c r="C8633" s="33" t="s">
        <v>13861</v>
      </c>
      <c r="D8633" s="33" t="s">
        <v>17</v>
      </c>
      <c r="E8633" s="33" t="s">
        <v>18</v>
      </c>
      <c r="F8633" s="33" t="s">
        <v>19</v>
      </c>
      <c r="G8633" s="33" t="s">
        <v>50</v>
      </c>
      <c r="H8633" s="35">
        <v>554</v>
      </c>
      <c r="I8633" s="33" t="s">
        <v>51</v>
      </c>
      <c r="J8633" s="42">
        <v>44225</v>
      </c>
      <c r="K8633" s="33" t="s">
        <v>22</v>
      </c>
    </row>
    <row r="8634" spans="1:11">
      <c r="A8634" s="30" t="s">
        <v>19864</v>
      </c>
      <c r="B8634" s="30" t="s">
        <v>19865</v>
      </c>
      <c r="C8634" s="30" t="s">
        <v>318</v>
      </c>
      <c r="D8634" s="30" t="s">
        <v>17</v>
      </c>
      <c r="E8634" s="30" t="s">
        <v>18</v>
      </c>
      <c r="F8634" s="30" t="s">
        <v>19</v>
      </c>
      <c r="G8634" s="30" t="s">
        <v>112</v>
      </c>
      <c r="H8634" s="32">
        <v>0</v>
      </c>
      <c r="I8634" s="30" t="s">
        <v>21</v>
      </c>
      <c r="J8634" s="41">
        <v>44331</v>
      </c>
      <c r="K8634" s="30" t="s">
        <v>22</v>
      </c>
    </row>
    <row r="8635" spans="1:11">
      <c r="A8635" s="33" t="s">
        <v>19866</v>
      </c>
      <c r="B8635" s="33" t="s">
        <v>19867</v>
      </c>
      <c r="C8635" s="33" t="s">
        <v>1923</v>
      </c>
      <c r="D8635" s="33" t="s">
        <v>17</v>
      </c>
      <c r="E8635" s="33" t="s">
        <v>26</v>
      </c>
      <c r="F8635" s="33" t="s">
        <v>27</v>
      </c>
      <c r="G8635" s="33" t="s">
        <v>20</v>
      </c>
      <c r="H8635" s="35">
        <v>175</v>
      </c>
      <c r="I8635" s="33" t="s">
        <v>21</v>
      </c>
      <c r="J8635" s="42">
        <v>44256</v>
      </c>
      <c r="K8635" s="33" t="s">
        <v>22</v>
      </c>
    </row>
    <row r="8636" spans="1:11">
      <c r="A8636" s="30" t="s">
        <v>19868</v>
      </c>
      <c r="B8636" s="30" t="s">
        <v>19869</v>
      </c>
      <c r="C8636" s="30" t="s">
        <v>190</v>
      </c>
      <c r="D8636" s="30" t="s">
        <v>17</v>
      </c>
      <c r="E8636" s="30" t="s">
        <v>18</v>
      </c>
      <c r="F8636" s="30" t="s">
        <v>19</v>
      </c>
      <c r="G8636" s="30" t="s">
        <v>158</v>
      </c>
      <c r="H8636" s="32">
        <v>98</v>
      </c>
      <c r="I8636" s="30" t="s">
        <v>21</v>
      </c>
      <c r="J8636" s="41">
        <v>44451</v>
      </c>
      <c r="K8636" s="30" t="s">
        <v>22</v>
      </c>
    </row>
    <row r="8637" spans="1:11">
      <c r="A8637" s="33" t="s">
        <v>19870</v>
      </c>
      <c r="B8637" s="33" t="s">
        <v>19871</v>
      </c>
      <c r="C8637" s="33" t="s">
        <v>19872</v>
      </c>
      <c r="D8637" s="33" t="s">
        <v>17</v>
      </c>
      <c r="E8637" s="33" t="s">
        <v>67</v>
      </c>
      <c r="F8637" s="33" t="s">
        <v>68</v>
      </c>
      <c r="G8637" s="33" t="s">
        <v>106</v>
      </c>
      <c r="H8637" s="35">
        <v>13</v>
      </c>
      <c r="I8637" s="33" t="s">
        <v>21</v>
      </c>
      <c r="J8637" s="42">
        <v>44329</v>
      </c>
      <c r="K8637" s="33" t="s">
        <v>22</v>
      </c>
    </row>
    <row r="8638" spans="1:11">
      <c r="A8638" s="30" t="s">
        <v>19873</v>
      </c>
      <c r="B8638" s="30" t="s">
        <v>19874</v>
      </c>
      <c r="C8638" s="30" t="s">
        <v>13241</v>
      </c>
      <c r="D8638" s="30" t="s">
        <v>17</v>
      </c>
      <c r="E8638" s="30" t="s">
        <v>26</v>
      </c>
      <c r="F8638" s="30" t="s">
        <v>27</v>
      </c>
      <c r="G8638" s="30" t="s">
        <v>50</v>
      </c>
      <c r="H8638" s="32">
        <v>75</v>
      </c>
      <c r="I8638" s="30" t="s">
        <v>51</v>
      </c>
      <c r="J8638" s="41">
        <v>44414</v>
      </c>
      <c r="K8638" s="30" t="s">
        <v>22</v>
      </c>
    </row>
    <row r="8639" spans="1:11">
      <c r="A8639" s="33" t="s">
        <v>19875</v>
      </c>
      <c r="B8639" s="33" t="s">
        <v>19876</v>
      </c>
      <c r="C8639" s="33" t="s">
        <v>11796</v>
      </c>
      <c r="D8639" s="33" t="s">
        <v>17</v>
      </c>
      <c r="E8639" s="33" t="s">
        <v>26</v>
      </c>
      <c r="F8639" s="33" t="s">
        <v>27</v>
      </c>
      <c r="G8639" s="33" t="s">
        <v>20</v>
      </c>
      <c r="H8639" s="35">
        <v>5</v>
      </c>
      <c r="I8639" s="33" t="s">
        <v>21</v>
      </c>
      <c r="J8639" s="42">
        <v>44462</v>
      </c>
      <c r="K8639" s="33" t="s">
        <v>22</v>
      </c>
    </row>
    <row r="8640" spans="1:11">
      <c r="A8640" s="30" t="s">
        <v>19877</v>
      </c>
      <c r="B8640" s="30" t="s">
        <v>19878</v>
      </c>
      <c r="C8640" s="30" t="s">
        <v>14825</v>
      </c>
      <c r="D8640" s="30" t="s">
        <v>17</v>
      </c>
      <c r="E8640" s="30" t="s">
        <v>67</v>
      </c>
      <c r="F8640" s="30" t="s">
        <v>68</v>
      </c>
      <c r="G8640" s="30" t="s">
        <v>50</v>
      </c>
      <c r="H8640" s="32">
        <v>54</v>
      </c>
      <c r="I8640" s="30" t="s">
        <v>51</v>
      </c>
      <c r="J8640" s="41">
        <v>44448</v>
      </c>
      <c r="K8640" s="30" t="s">
        <v>22</v>
      </c>
    </row>
    <row r="8641" spans="1:11">
      <c r="A8641" s="33" t="s">
        <v>19879</v>
      </c>
      <c r="B8641" s="33" t="s">
        <v>19880</v>
      </c>
      <c r="C8641" s="33" t="s">
        <v>5907</v>
      </c>
      <c r="D8641" s="33" t="s">
        <v>17</v>
      </c>
      <c r="E8641" s="33" t="s">
        <v>31</v>
      </c>
      <c r="F8641" s="33" t="s">
        <v>32</v>
      </c>
      <c r="G8641" s="33" t="s">
        <v>50</v>
      </c>
      <c r="H8641" s="35">
        <v>75</v>
      </c>
      <c r="I8641" s="33" t="s">
        <v>51</v>
      </c>
      <c r="J8641" s="42">
        <v>44530</v>
      </c>
      <c r="K8641" s="33" t="s">
        <v>22</v>
      </c>
    </row>
    <row r="8642" spans="1:11">
      <c r="A8642" s="30" t="s">
        <v>19881</v>
      </c>
      <c r="B8642" s="30" t="s">
        <v>19882</v>
      </c>
      <c r="C8642" s="30" t="s">
        <v>10311</v>
      </c>
      <c r="D8642" s="30" t="s">
        <v>17</v>
      </c>
      <c r="E8642" s="30" t="s">
        <v>26</v>
      </c>
      <c r="F8642" s="30" t="s">
        <v>27</v>
      </c>
      <c r="G8642" s="30" t="s">
        <v>20</v>
      </c>
      <c r="H8642" s="32">
        <v>10</v>
      </c>
      <c r="I8642" s="30" t="s">
        <v>21</v>
      </c>
      <c r="J8642" s="41">
        <v>44284</v>
      </c>
      <c r="K8642" s="30" t="s">
        <v>22</v>
      </c>
    </row>
    <row r="8643" spans="1:11">
      <c r="A8643" s="33" t="s">
        <v>19883</v>
      </c>
      <c r="B8643" s="33" t="s">
        <v>19884</v>
      </c>
      <c r="C8643" s="33" t="s">
        <v>1857</v>
      </c>
      <c r="D8643" s="33" t="s">
        <v>17</v>
      </c>
      <c r="E8643" s="33" t="s">
        <v>26</v>
      </c>
      <c r="F8643" s="33" t="s">
        <v>27</v>
      </c>
      <c r="G8643" s="33" t="s">
        <v>50</v>
      </c>
      <c r="H8643" s="35">
        <v>9</v>
      </c>
      <c r="I8643" s="33" t="s">
        <v>51</v>
      </c>
      <c r="J8643" s="42">
        <v>44256</v>
      </c>
      <c r="K8643" s="33" t="s">
        <v>22</v>
      </c>
    </row>
    <row r="8644" spans="1:11">
      <c r="A8644" s="30" t="s">
        <v>19885</v>
      </c>
      <c r="B8644" s="30" t="s">
        <v>19886</v>
      </c>
      <c r="C8644" s="30" t="s">
        <v>2836</v>
      </c>
      <c r="D8644" s="30" t="s">
        <v>17</v>
      </c>
      <c r="E8644" s="30" t="s">
        <v>31</v>
      </c>
      <c r="F8644" s="30" t="s">
        <v>32</v>
      </c>
      <c r="G8644" s="30" t="s">
        <v>112</v>
      </c>
      <c r="H8644" s="32">
        <v>0</v>
      </c>
      <c r="I8644" s="30" t="s">
        <v>21</v>
      </c>
      <c r="J8644" s="41">
        <v>44280</v>
      </c>
      <c r="K8644" s="30" t="s">
        <v>22</v>
      </c>
    </row>
    <row r="8645" spans="1:11">
      <c r="A8645" s="33" t="s">
        <v>19887</v>
      </c>
      <c r="B8645" s="33" t="s">
        <v>19888</v>
      </c>
      <c r="C8645" s="33" t="s">
        <v>10459</v>
      </c>
      <c r="D8645" s="33" t="s">
        <v>17</v>
      </c>
      <c r="E8645" s="33" t="s">
        <v>330</v>
      </c>
      <c r="F8645" s="33" t="s">
        <v>331</v>
      </c>
      <c r="G8645" s="33" t="s">
        <v>140</v>
      </c>
      <c r="H8645" s="35">
        <v>50</v>
      </c>
      <c r="I8645" s="33" t="s">
        <v>51</v>
      </c>
      <c r="J8645" s="42">
        <v>44322</v>
      </c>
      <c r="K8645" s="33" t="s">
        <v>22</v>
      </c>
    </row>
    <row r="8646" spans="1:11">
      <c r="A8646" s="30" t="s">
        <v>19889</v>
      </c>
      <c r="B8646" s="30" t="s">
        <v>19890</v>
      </c>
      <c r="C8646" s="30" t="s">
        <v>17076</v>
      </c>
      <c r="D8646" s="30" t="s">
        <v>17</v>
      </c>
      <c r="E8646" s="30" t="s">
        <v>26</v>
      </c>
      <c r="F8646" s="30" t="s">
        <v>27</v>
      </c>
      <c r="G8646" s="30" t="s">
        <v>20</v>
      </c>
      <c r="H8646" s="32">
        <v>13</v>
      </c>
      <c r="I8646" s="30" t="s">
        <v>21</v>
      </c>
      <c r="J8646" s="41">
        <v>44363</v>
      </c>
      <c r="K8646" s="30" t="s">
        <v>22</v>
      </c>
    </row>
    <row r="8647" spans="1:11">
      <c r="A8647" s="33" t="s">
        <v>19891</v>
      </c>
      <c r="B8647" s="33" t="s">
        <v>19892</v>
      </c>
      <c r="C8647" s="33" t="s">
        <v>9057</v>
      </c>
      <c r="D8647" s="33" t="s">
        <v>17</v>
      </c>
      <c r="E8647" s="33" t="s">
        <v>31</v>
      </c>
      <c r="F8647" s="33" t="s">
        <v>32</v>
      </c>
      <c r="G8647" s="33" t="s">
        <v>20</v>
      </c>
      <c r="H8647" s="35">
        <v>178</v>
      </c>
      <c r="I8647" s="33" t="s">
        <v>21</v>
      </c>
      <c r="J8647" s="42">
        <v>44391</v>
      </c>
      <c r="K8647" s="33" t="s">
        <v>22</v>
      </c>
    </row>
    <row r="8648" spans="1:11">
      <c r="A8648" s="30" t="s">
        <v>19893</v>
      </c>
      <c r="B8648" s="30" t="s">
        <v>19894</v>
      </c>
      <c r="C8648" s="30" t="s">
        <v>10079</v>
      </c>
      <c r="D8648" s="30" t="s">
        <v>17</v>
      </c>
      <c r="E8648" s="30" t="s">
        <v>18</v>
      </c>
      <c r="F8648" s="30" t="s">
        <v>19</v>
      </c>
      <c r="G8648" s="30" t="s">
        <v>20</v>
      </c>
      <c r="H8648" s="32">
        <v>270</v>
      </c>
      <c r="I8648" s="30" t="s">
        <v>21</v>
      </c>
      <c r="J8648" s="41">
        <v>44536</v>
      </c>
      <c r="K8648" s="30" t="s">
        <v>22</v>
      </c>
    </row>
    <row r="8649" spans="1:11">
      <c r="A8649" s="33" t="s">
        <v>19895</v>
      </c>
      <c r="B8649" s="33" t="s">
        <v>19896</v>
      </c>
      <c r="C8649" s="33" t="s">
        <v>11708</v>
      </c>
      <c r="D8649" s="33" t="s">
        <v>17</v>
      </c>
      <c r="E8649" s="33" t="s">
        <v>31</v>
      </c>
      <c r="F8649" s="33" t="s">
        <v>32</v>
      </c>
      <c r="G8649" s="33" t="s">
        <v>50</v>
      </c>
      <c r="H8649" s="35">
        <v>80</v>
      </c>
      <c r="I8649" s="33" t="s">
        <v>51</v>
      </c>
      <c r="J8649" s="42">
        <v>44470</v>
      </c>
      <c r="K8649" s="33" t="s">
        <v>22</v>
      </c>
    </row>
    <row r="8650" spans="1:11">
      <c r="A8650" s="30" t="s">
        <v>19897</v>
      </c>
      <c r="B8650" s="30" t="s">
        <v>19898</v>
      </c>
      <c r="C8650" s="30" t="s">
        <v>19899</v>
      </c>
      <c r="D8650" s="30" t="s">
        <v>17</v>
      </c>
      <c r="E8650" s="30" t="s">
        <v>26</v>
      </c>
      <c r="F8650" s="30" t="s">
        <v>27</v>
      </c>
      <c r="G8650" s="30" t="s">
        <v>20</v>
      </c>
      <c r="H8650" s="32">
        <v>42</v>
      </c>
      <c r="I8650" s="30" t="s">
        <v>21</v>
      </c>
      <c r="J8650" s="41">
        <v>44385</v>
      </c>
      <c r="K8650" s="30" t="s">
        <v>22</v>
      </c>
    </row>
    <row r="8651" spans="1:11">
      <c r="A8651" s="33" t="s">
        <v>19900</v>
      </c>
      <c r="B8651" s="33" t="s">
        <v>19901</v>
      </c>
      <c r="C8651" s="33" t="s">
        <v>443</v>
      </c>
      <c r="D8651" s="33" t="s">
        <v>17</v>
      </c>
      <c r="E8651" s="33" t="s">
        <v>212</v>
      </c>
      <c r="F8651" s="33" t="s">
        <v>213</v>
      </c>
      <c r="G8651" s="33" t="s">
        <v>50</v>
      </c>
      <c r="H8651" s="35">
        <v>1200</v>
      </c>
      <c r="I8651" s="33" t="s">
        <v>51</v>
      </c>
      <c r="J8651" s="42">
        <v>44547</v>
      </c>
      <c r="K8651" s="33" t="s">
        <v>22</v>
      </c>
    </row>
    <row r="8652" spans="1:11">
      <c r="A8652" s="30" t="s">
        <v>19902</v>
      </c>
      <c r="B8652" s="30" t="s">
        <v>19903</v>
      </c>
      <c r="C8652" s="30" t="s">
        <v>1623</v>
      </c>
      <c r="D8652" s="30" t="s">
        <v>17</v>
      </c>
      <c r="E8652" s="30" t="s">
        <v>26</v>
      </c>
      <c r="F8652" s="30" t="s">
        <v>27</v>
      </c>
      <c r="G8652" s="30" t="s">
        <v>20</v>
      </c>
      <c r="H8652" s="32">
        <v>43</v>
      </c>
      <c r="I8652" s="30" t="s">
        <v>21</v>
      </c>
      <c r="J8652" s="41">
        <v>44458</v>
      </c>
      <c r="K8652" s="30" t="s">
        <v>22</v>
      </c>
    </row>
    <row r="8653" spans="1:11">
      <c r="A8653" s="33" t="s">
        <v>19904</v>
      </c>
      <c r="B8653" s="33" t="s">
        <v>19905</v>
      </c>
      <c r="C8653" s="33" t="s">
        <v>1090</v>
      </c>
      <c r="D8653" s="33" t="s">
        <v>17</v>
      </c>
      <c r="E8653" s="33" t="s">
        <v>31</v>
      </c>
      <c r="F8653" s="33" t="s">
        <v>32</v>
      </c>
      <c r="G8653" s="33" t="s">
        <v>50</v>
      </c>
      <c r="H8653" s="35">
        <v>126</v>
      </c>
      <c r="I8653" s="33" t="s">
        <v>51</v>
      </c>
      <c r="J8653" s="42">
        <v>44440</v>
      </c>
      <c r="K8653" s="33" t="s">
        <v>22</v>
      </c>
    </row>
    <row r="8654" spans="1:11">
      <c r="A8654" s="30" t="s">
        <v>19906</v>
      </c>
      <c r="B8654" s="30" t="s">
        <v>19907</v>
      </c>
      <c r="C8654" s="30" t="s">
        <v>19908</v>
      </c>
      <c r="D8654" s="30" t="s">
        <v>17</v>
      </c>
      <c r="E8654" s="30" t="s">
        <v>26</v>
      </c>
      <c r="F8654" s="30" t="s">
        <v>27</v>
      </c>
      <c r="G8654" s="30" t="s">
        <v>50</v>
      </c>
      <c r="H8654" s="32">
        <v>1000</v>
      </c>
      <c r="I8654" s="30" t="s">
        <v>51</v>
      </c>
      <c r="J8654" s="41">
        <v>44543</v>
      </c>
      <c r="K8654" s="30" t="s">
        <v>22</v>
      </c>
    </row>
    <row r="8655" spans="1:11">
      <c r="A8655" s="33" t="s">
        <v>19909</v>
      </c>
      <c r="B8655" s="33" t="s">
        <v>19910</v>
      </c>
      <c r="C8655" s="33" t="s">
        <v>178</v>
      </c>
      <c r="D8655" s="33" t="s">
        <v>17</v>
      </c>
      <c r="E8655" s="33" t="s">
        <v>31</v>
      </c>
      <c r="F8655" s="33" t="s">
        <v>32</v>
      </c>
      <c r="G8655" s="33" t="s">
        <v>106</v>
      </c>
      <c r="H8655" s="35">
        <v>1</v>
      </c>
      <c r="I8655" s="33" t="s">
        <v>21</v>
      </c>
      <c r="J8655" s="42">
        <v>44340</v>
      </c>
      <c r="K8655" s="33" t="s">
        <v>22</v>
      </c>
    </row>
    <row r="8656" spans="1:11">
      <c r="A8656" s="30" t="s">
        <v>19911</v>
      </c>
      <c r="B8656" s="30" t="s">
        <v>19912</v>
      </c>
      <c r="C8656" s="30" t="s">
        <v>149</v>
      </c>
      <c r="D8656" s="30" t="s">
        <v>17</v>
      </c>
      <c r="E8656" s="30" t="s">
        <v>26</v>
      </c>
      <c r="F8656" s="30" t="s">
        <v>27</v>
      </c>
      <c r="G8656" s="30" t="s">
        <v>20</v>
      </c>
      <c r="H8656" s="32">
        <v>24</v>
      </c>
      <c r="I8656" s="30" t="s">
        <v>21</v>
      </c>
      <c r="J8656" s="41">
        <v>44509</v>
      </c>
      <c r="K8656" s="30" t="s">
        <v>22</v>
      </c>
    </row>
    <row r="8657" spans="1:11">
      <c r="A8657" s="33" t="s">
        <v>19913</v>
      </c>
      <c r="B8657" s="33" t="s">
        <v>19914</v>
      </c>
      <c r="C8657" s="33" t="s">
        <v>7731</v>
      </c>
      <c r="D8657" s="33" t="s">
        <v>17</v>
      </c>
      <c r="E8657" s="33" t="s">
        <v>26</v>
      </c>
      <c r="F8657" s="33" t="s">
        <v>27</v>
      </c>
      <c r="G8657" s="33" t="s">
        <v>20</v>
      </c>
      <c r="H8657" s="35">
        <v>60</v>
      </c>
      <c r="I8657" s="33" t="s">
        <v>21</v>
      </c>
      <c r="J8657" s="42">
        <v>44560</v>
      </c>
      <c r="K8657" s="33" t="s">
        <v>22</v>
      </c>
    </row>
    <row r="8658" spans="1:11">
      <c r="A8658" s="30" t="s">
        <v>19915</v>
      </c>
      <c r="B8658" s="30" t="s">
        <v>19916</v>
      </c>
      <c r="C8658" s="30" t="s">
        <v>429</v>
      </c>
      <c r="D8658" s="30" t="s">
        <v>17</v>
      </c>
      <c r="E8658" s="30" t="s">
        <v>26</v>
      </c>
      <c r="F8658" s="30" t="s">
        <v>27</v>
      </c>
      <c r="G8658" s="30" t="s">
        <v>20</v>
      </c>
      <c r="H8658" s="32">
        <v>36</v>
      </c>
      <c r="I8658" s="30" t="s">
        <v>21</v>
      </c>
      <c r="J8658" s="41">
        <v>44322</v>
      </c>
      <c r="K8658" s="30" t="s">
        <v>22</v>
      </c>
    </row>
    <row r="8659" spans="1:11">
      <c r="A8659" s="33" t="s">
        <v>19917</v>
      </c>
      <c r="B8659" s="33" t="s">
        <v>19918</v>
      </c>
      <c r="C8659" s="33" t="s">
        <v>629</v>
      </c>
      <c r="D8659" s="33" t="s">
        <v>17</v>
      </c>
      <c r="E8659" s="33" t="s">
        <v>18</v>
      </c>
      <c r="F8659" s="33" t="s">
        <v>19</v>
      </c>
      <c r="G8659" s="33" t="s">
        <v>106</v>
      </c>
      <c r="H8659" s="35">
        <v>52</v>
      </c>
      <c r="I8659" s="33" t="s">
        <v>21</v>
      </c>
      <c r="J8659" s="42">
        <v>44481</v>
      </c>
      <c r="K8659" s="33" t="s">
        <v>22</v>
      </c>
    </row>
    <row r="8660" spans="1:11">
      <c r="A8660" s="30" t="s">
        <v>19919</v>
      </c>
      <c r="B8660" s="30" t="s">
        <v>19920</v>
      </c>
      <c r="C8660" s="30" t="s">
        <v>684</v>
      </c>
      <c r="D8660" s="30" t="s">
        <v>17</v>
      </c>
      <c r="E8660" s="30" t="s">
        <v>26</v>
      </c>
      <c r="F8660" s="30" t="s">
        <v>27</v>
      </c>
      <c r="G8660" s="30" t="s">
        <v>20</v>
      </c>
      <c r="H8660" s="32">
        <v>25</v>
      </c>
      <c r="I8660" s="30" t="s">
        <v>21</v>
      </c>
      <c r="J8660" s="41">
        <v>44411</v>
      </c>
      <c r="K8660" s="30" t="s">
        <v>22</v>
      </c>
    </row>
    <row r="8661" spans="1:11">
      <c r="A8661" s="33" t="s">
        <v>19921</v>
      </c>
      <c r="B8661" s="33" t="s">
        <v>19922</v>
      </c>
      <c r="C8661" s="33" t="s">
        <v>1529</v>
      </c>
      <c r="D8661" s="33" t="s">
        <v>17</v>
      </c>
      <c r="E8661" s="33" t="s">
        <v>67</v>
      </c>
      <c r="F8661" s="33" t="s">
        <v>68</v>
      </c>
      <c r="G8661" s="33" t="s">
        <v>158</v>
      </c>
      <c r="H8661" s="35">
        <v>78</v>
      </c>
      <c r="I8661" s="33" t="s">
        <v>51</v>
      </c>
      <c r="J8661" s="42">
        <v>44482</v>
      </c>
      <c r="K8661" s="33" t="s">
        <v>22</v>
      </c>
    </row>
    <row r="8662" spans="1:11">
      <c r="A8662" s="30" t="s">
        <v>19923</v>
      </c>
      <c r="B8662" s="30" t="s">
        <v>19924</v>
      </c>
      <c r="C8662" s="30" t="s">
        <v>9528</v>
      </c>
      <c r="D8662" s="30" t="s">
        <v>17</v>
      </c>
      <c r="E8662" s="30" t="s">
        <v>31</v>
      </c>
      <c r="F8662" s="30" t="s">
        <v>32</v>
      </c>
      <c r="G8662" s="30" t="s">
        <v>106</v>
      </c>
      <c r="H8662" s="32">
        <v>10</v>
      </c>
      <c r="I8662" s="30" t="s">
        <v>21</v>
      </c>
      <c r="J8662" s="41">
        <v>44316</v>
      </c>
      <c r="K8662" s="30" t="s">
        <v>22</v>
      </c>
    </row>
    <row r="8663" spans="1:11">
      <c r="A8663" s="33" t="s">
        <v>19925</v>
      </c>
      <c r="B8663" s="33" t="s">
        <v>19926</v>
      </c>
      <c r="C8663" s="33" t="s">
        <v>2472</v>
      </c>
      <c r="D8663" s="33" t="s">
        <v>17</v>
      </c>
      <c r="E8663" s="33" t="s">
        <v>31</v>
      </c>
      <c r="F8663" s="33" t="s">
        <v>32</v>
      </c>
      <c r="G8663" s="33" t="s">
        <v>20</v>
      </c>
      <c r="H8663" s="35">
        <v>540</v>
      </c>
      <c r="I8663" s="33" t="s">
        <v>21</v>
      </c>
      <c r="J8663" s="42">
        <v>44536</v>
      </c>
      <c r="K8663" s="33" t="s">
        <v>22</v>
      </c>
    </row>
    <row r="8664" spans="1:11">
      <c r="A8664" s="30" t="s">
        <v>19927</v>
      </c>
      <c r="B8664" s="30" t="s">
        <v>19928</v>
      </c>
      <c r="C8664" s="30" t="s">
        <v>1090</v>
      </c>
      <c r="D8664" s="30" t="s">
        <v>17</v>
      </c>
      <c r="E8664" s="30" t="s">
        <v>26</v>
      </c>
      <c r="F8664" s="30" t="s">
        <v>27</v>
      </c>
      <c r="G8664" s="30" t="s">
        <v>20</v>
      </c>
      <c r="H8664" s="32">
        <v>6</v>
      </c>
      <c r="I8664" s="30" t="s">
        <v>21</v>
      </c>
      <c r="J8664" s="41">
        <v>44414</v>
      </c>
      <c r="K8664" s="30" t="s">
        <v>22</v>
      </c>
    </row>
    <row r="8665" spans="1:11">
      <c r="A8665" s="33" t="s">
        <v>19929</v>
      </c>
      <c r="B8665" s="33" t="s">
        <v>19930</v>
      </c>
      <c r="C8665" s="33" t="s">
        <v>5251</v>
      </c>
      <c r="D8665" s="33" t="s">
        <v>17</v>
      </c>
      <c r="E8665" s="33" t="s">
        <v>67</v>
      </c>
      <c r="F8665" s="33" t="s">
        <v>68</v>
      </c>
      <c r="G8665" s="33" t="s">
        <v>20</v>
      </c>
      <c r="H8665" s="35">
        <v>24</v>
      </c>
      <c r="I8665" s="33" t="s">
        <v>21</v>
      </c>
      <c r="J8665" s="42">
        <v>44487</v>
      </c>
      <c r="K8665" s="33" t="s">
        <v>22</v>
      </c>
    </row>
    <row r="8666" spans="1:11">
      <c r="A8666" s="30" t="s">
        <v>19931</v>
      </c>
      <c r="B8666" s="30" t="s">
        <v>19932</v>
      </c>
      <c r="C8666" s="30" t="s">
        <v>1210</v>
      </c>
      <c r="D8666" s="30" t="s">
        <v>17</v>
      </c>
      <c r="E8666" s="30" t="s">
        <v>26</v>
      </c>
      <c r="F8666" s="30" t="s">
        <v>27</v>
      </c>
      <c r="G8666" s="30" t="s">
        <v>158</v>
      </c>
      <c r="H8666" s="32">
        <v>32</v>
      </c>
      <c r="I8666" s="30" t="s">
        <v>21</v>
      </c>
      <c r="J8666" s="41">
        <v>44407</v>
      </c>
      <c r="K8666" s="30" t="s">
        <v>22</v>
      </c>
    </row>
    <row r="8667" spans="1:11">
      <c r="A8667" s="33" t="s">
        <v>19933</v>
      </c>
      <c r="B8667" s="33" t="s">
        <v>19934</v>
      </c>
      <c r="C8667" s="33" t="s">
        <v>1428</v>
      </c>
      <c r="D8667" s="33" t="s">
        <v>17</v>
      </c>
      <c r="E8667" s="33" t="s">
        <v>31</v>
      </c>
      <c r="F8667" s="33" t="s">
        <v>32</v>
      </c>
      <c r="G8667" s="33" t="s">
        <v>50</v>
      </c>
      <c r="H8667" s="35">
        <v>1800</v>
      </c>
      <c r="I8667" s="33" t="s">
        <v>51</v>
      </c>
      <c r="J8667" s="42">
        <v>44488</v>
      </c>
      <c r="K8667" s="33" t="s">
        <v>22</v>
      </c>
    </row>
    <row r="8668" spans="1:11">
      <c r="A8668" s="30" t="s">
        <v>19935</v>
      </c>
      <c r="B8668" s="30" t="s">
        <v>19936</v>
      </c>
      <c r="C8668" s="30" t="s">
        <v>3387</v>
      </c>
      <c r="D8668" s="30" t="s">
        <v>17</v>
      </c>
      <c r="E8668" s="30" t="s">
        <v>26</v>
      </c>
      <c r="F8668" s="30" t="s">
        <v>27</v>
      </c>
      <c r="G8668" s="30" t="s">
        <v>20</v>
      </c>
      <c r="H8668" s="32">
        <v>10</v>
      </c>
      <c r="I8668" s="30" t="s">
        <v>21</v>
      </c>
      <c r="J8668" s="41">
        <v>44524</v>
      </c>
      <c r="K8668" s="30" t="s">
        <v>22</v>
      </c>
    </row>
    <row r="8669" spans="1:11">
      <c r="A8669" s="33" t="s">
        <v>19937</v>
      </c>
      <c r="B8669" s="33" t="s">
        <v>19938</v>
      </c>
      <c r="C8669" s="33" t="s">
        <v>19939</v>
      </c>
      <c r="D8669" s="33" t="s">
        <v>17</v>
      </c>
      <c r="E8669" s="33" t="s">
        <v>26</v>
      </c>
      <c r="F8669" s="33" t="s">
        <v>27</v>
      </c>
      <c r="G8669" s="33" t="s">
        <v>20</v>
      </c>
      <c r="H8669" s="35">
        <v>12</v>
      </c>
      <c r="I8669" s="33" t="s">
        <v>21</v>
      </c>
      <c r="J8669" s="42">
        <v>44396</v>
      </c>
      <c r="K8669" s="33" t="s">
        <v>22</v>
      </c>
    </row>
    <row r="8670" spans="1:11">
      <c r="A8670" s="30" t="s">
        <v>19940</v>
      </c>
      <c r="B8670" s="30" t="s">
        <v>19941</v>
      </c>
      <c r="C8670" s="30" t="s">
        <v>1006</v>
      </c>
      <c r="D8670" s="30" t="s">
        <v>17</v>
      </c>
      <c r="E8670" s="30" t="s">
        <v>26</v>
      </c>
      <c r="F8670" s="30" t="s">
        <v>27</v>
      </c>
      <c r="G8670" s="30" t="s">
        <v>50</v>
      </c>
      <c r="H8670" s="32">
        <v>40</v>
      </c>
      <c r="I8670" s="30" t="s">
        <v>51</v>
      </c>
      <c r="J8670" s="41">
        <v>44292</v>
      </c>
      <c r="K8670" s="30" t="s">
        <v>22</v>
      </c>
    </row>
    <row r="8671" spans="1:11">
      <c r="A8671" s="33" t="s">
        <v>19942</v>
      </c>
      <c r="B8671" s="33" t="s">
        <v>19943</v>
      </c>
      <c r="C8671" s="33" t="s">
        <v>190</v>
      </c>
      <c r="D8671" s="33" t="s">
        <v>17</v>
      </c>
      <c r="E8671" s="33" t="s">
        <v>212</v>
      </c>
      <c r="F8671" s="33" t="s">
        <v>213</v>
      </c>
      <c r="G8671" s="33" t="s">
        <v>20</v>
      </c>
      <c r="H8671" s="35">
        <v>139</v>
      </c>
      <c r="I8671" s="33" t="s">
        <v>21</v>
      </c>
      <c r="J8671" s="42">
        <v>44519</v>
      </c>
      <c r="K8671" s="33" t="s">
        <v>22</v>
      </c>
    </row>
    <row r="8672" spans="1:11">
      <c r="A8672" s="30" t="s">
        <v>19944</v>
      </c>
      <c r="B8672" s="30" t="s">
        <v>19945</v>
      </c>
      <c r="C8672" s="30" t="s">
        <v>1598</v>
      </c>
      <c r="D8672" s="30" t="s">
        <v>17</v>
      </c>
      <c r="E8672" s="30" t="s">
        <v>26</v>
      </c>
      <c r="F8672" s="30" t="s">
        <v>27</v>
      </c>
      <c r="G8672" s="30" t="s">
        <v>106</v>
      </c>
      <c r="H8672" s="32">
        <v>9</v>
      </c>
      <c r="I8672" s="30" t="s">
        <v>21</v>
      </c>
      <c r="J8672" s="41">
        <v>44341</v>
      </c>
      <c r="K8672" s="30" t="s">
        <v>22</v>
      </c>
    </row>
    <row r="8673" spans="1:11">
      <c r="A8673" s="33" t="s">
        <v>19946</v>
      </c>
      <c r="B8673" s="33" t="s">
        <v>19947</v>
      </c>
      <c r="C8673" s="33" t="s">
        <v>8151</v>
      </c>
      <c r="D8673" s="33" t="s">
        <v>17</v>
      </c>
      <c r="E8673" s="33" t="s">
        <v>31</v>
      </c>
      <c r="F8673" s="33" t="s">
        <v>32</v>
      </c>
      <c r="G8673" s="33" t="s">
        <v>20</v>
      </c>
      <c r="H8673" s="35">
        <v>149</v>
      </c>
      <c r="I8673" s="33" t="s">
        <v>21</v>
      </c>
      <c r="J8673" s="42">
        <v>44384</v>
      </c>
      <c r="K8673" s="33" t="s">
        <v>22</v>
      </c>
    </row>
    <row r="8674" spans="1:11">
      <c r="A8674" s="30" t="s">
        <v>19948</v>
      </c>
      <c r="B8674" s="30" t="s">
        <v>19949</v>
      </c>
      <c r="C8674" s="30" t="s">
        <v>4119</v>
      </c>
      <c r="D8674" s="30" t="s">
        <v>17</v>
      </c>
      <c r="E8674" s="30" t="s">
        <v>18</v>
      </c>
      <c r="F8674" s="30" t="s">
        <v>19</v>
      </c>
      <c r="G8674" s="30" t="s">
        <v>112</v>
      </c>
      <c r="H8674" s="32">
        <v>0</v>
      </c>
      <c r="I8674" s="30" t="s">
        <v>21</v>
      </c>
      <c r="J8674" s="41">
        <v>44440</v>
      </c>
      <c r="K8674" s="30" t="s">
        <v>22</v>
      </c>
    </row>
    <row r="8675" spans="1:11">
      <c r="A8675" s="33" t="s">
        <v>19950</v>
      </c>
      <c r="B8675" s="33" t="s">
        <v>19951</v>
      </c>
      <c r="C8675" s="33" t="s">
        <v>1598</v>
      </c>
      <c r="D8675" s="33" t="s">
        <v>17</v>
      </c>
      <c r="E8675" s="33" t="s">
        <v>26</v>
      </c>
      <c r="F8675" s="33" t="s">
        <v>27</v>
      </c>
      <c r="G8675" s="33" t="s">
        <v>50</v>
      </c>
      <c r="H8675" s="35">
        <v>322</v>
      </c>
      <c r="I8675" s="33" t="s">
        <v>51</v>
      </c>
      <c r="J8675" s="42">
        <v>44376</v>
      </c>
      <c r="K8675" s="33" t="s">
        <v>22</v>
      </c>
    </row>
    <row r="8676" spans="1:11">
      <c r="A8676" s="30" t="s">
        <v>19952</v>
      </c>
      <c r="B8676" s="30" t="s">
        <v>19953</v>
      </c>
      <c r="C8676" s="30" t="s">
        <v>647</v>
      </c>
      <c r="D8676" s="30" t="s">
        <v>17</v>
      </c>
      <c r="E8676" s="30" t="s">
        <v>31</v>
      </c>
      <c r="F8676" s="30" t="s">
        <v>32</v>
      </c>
      <c r="G8676" s="30" t="s">
        <v>20</v>
      </c>
      <c r="H8676" s="32">
        <v>116</v>
      </c>
      <c r="I8676" s="30" t="s">
        <v>21</v>
      </c>
      <c r="J8676" s="41">
        <v>44271</v>
      </c>
      <c r="K8676" s="30" t="s">
        <v>22</v>
      </c>
    </row>
    <row r="8677" spans="1:11">
      <c r="A8677" s="33" t="s">
        <v>19954</v>
      </c>
      <c r="B8677" s="33" t="s">
        <v>19955</v>
      </c>
      <c r="C8677" s="33" t="s">
        <v>216</v>
      </c>
      <c r="D8677" s="33" t="s">
        <v>17</v>
      </c>
      <c r="E8677" s="33" t="s">
        <v>26</v>
      </c>
      <c r="F8677" s="33" t="s">
        <v>27</v>
      </c>
      <c r="G8677" s="33" t="s">
        <v>20</v>
      </c>
      <c r="H8677" s="35">
        <v>30</v>
      </c>
      <c r="I8677" s="33" t="s">
        <v>21</v>
      </c>
      <c r="J8677" s="42">
        <v>44553</v>
      </c>
      <c r="K8677" s="33" t="s">
        <v>22</v>
      </c>
    </row>
    <row r="8678" spans="1:11">
      <c r="A8678" s="30" t="s">
        <v>19956</v>
      </c>
      <c r="B8678" s="30" t="s">
        <v>19957</v>
      </c>
      <c r="C8678" s="30" t="s">
        <v>6297</v>
      </c>
      <c r="D8678" s="30" t="s">
        <v>17</v>
      </c>
      <c r="E8678" s="30" t="s">
        <v>31</v>
      </c>
      <c r="F8678" s="30" t="s">
        <v>32</v>
      </c>
      <c r="G8678" s="30" t="s">
        <v>112</v>
      </c>
      <c r="H8678" s="32">
        <v>0</v>
      </c>
      <c r="I8678" s="30" t="s">
        <v>21</v>
      </c>
      <c r="J8678" s="41">
        <v>44348</v>
      </c>
      <c r="K8678" s="30" t="s">
        <v>22</v>
      </c>
    </row>
    <row r="8679" spans="1:11">
      <c r="A8679" s="33" t="s">
        <v>19958</v>
      </c>
      <c r="B8679" s="33" t="s">
        <v>19959</v>
      </c>
      <c r="C8679" s="33" t="s">
        <v>19960</v>
      </c>
      <c r="D8679" s="33" t="s">
        <v>17</v>
      </c>
      <c r="E8679" s="33" t="s">
        <v>31</v>
      </c>
      <c r="F8679" s="33" t="s">
        <v>32</v>
      </c>
      <c r="G8679" s="33" t="s">
        <v>20</v>
      </c>
      <c r="H8679" s="35">
        <v>251</v>
      </c>
      <c r="I8679" s="33" t="s">
        <v>21</v>
      </c>
      <c r="J8679" s="42">
        <v>44202</v>
      </c>
      <c r="K8679" s="33" t="s">
        <v>22</v>
      </c>
    </row>
    <row r="8680" spans="1:11">
      <c r="A8680" s="30" t="s">
        <v>19961</v>
      </c>
      <c r="B8680" s="30" t="s">
        <v>19962</v>
      </c>
      <c r="C8680" s="30" t="s">
        <v>2177</v>
      </c>
      <c r="D8680" s="30" t="s">
        <v>17</v>
      </c>
      <c r="E8680" s="30" t="s">
        <v>31</v>
      </c>
      <c r="F8680" s="30" t="s">
        <v>32</v>
      </c>
      <c r="G8680" s="30" t="s">
        <v>106</v>
      </c>
      <c r="H8680" s="32">
        <v>33</v>
      </c>
      <c r="I8680" s="30" t="s">
        <v>21</v>
      </c>
      <c r="J8680" s="41">
        <v>44515</v>
      </c>
      <c r="K8680" s="30" t="s">
        <v>22</v>
      </c>
    </row>
    <row r="8681" spans="1:11">
      <c r="A8681" s="33" t="s">
        <v>19963</v>
      </c>
      <c r="B8681" s="33" t="s">
        <v>19964</v>
      </c>
      <c r="C8681" s="33" t="s">
        <v>157</v>
      </c>
      <c r="D8681" s="33" t="s">
        <v>17</v>
      </c>
      <c r="E8681" s="33" t="s">
        <v>18</v>
      </c>
      <c r="F8681" s="33" t="s">
        <v>19</v>
      </c>
      <c r="G8681" s="33" t="s">
        <v>106</v>
      </c>
      <c r="H8681" s="35">
        <v>175</v>
      </c>
      <c r="I8681" s="33" t="s">
        <v>21</v>
      </c>
      <c r="J8681" s="42">
        <v>44390</v>
      </c>
      <c r="K8681" s="33" t="s">
        <v>22</v>
      </c>
    </row>
    <row r="8682" spans="1:11">
      <c r="A8682" s="30" t="s">
        <v>19965</v>
      </c>
      <c r="B8682" s="30" t="s">
        <v>19966</v>
      </c>
      <c r="C8682" s="30" t="s">
        <v>1006</v>
      </c>
      <c r="D8682" s="30" t="s">
        <v>17</v>
      </c>
      <c r="E8682" s="30" t="s">
        <v>26</v>
      </c>
      <c r="F8682" s="30" t="s">
        <v>27</v>
      </c>
      <c r="G8682" s="30" t="s">
        <v>50</v>
      </c>
      <c r="H8682" s="32">
        <v>55</v>
      </c>
      <c r="I8682" s="30" t="s">
        <v>51</v>
      </c>
      <c r="J8682" s="41">
        <v>44288</v>
      </c>
      <c r="K8682" s="30" t="s">
        <v>22</v>
      </c>
    </row>
    <row r="8683" spans="1:11">
      <c r="A8683" s="33" t="s">
        <v>19967</v>
      </c>
      <c r="B8683" s="33" t="s">
        <v>19968</v>
      </c>
      <c r="C8683" s="33" t="s">
        <v>2728</v>
      </c>
      <c r="D8683" s="33" t="s">
        <v>17</v>
      </c>
      <c r="E8683" s="33" t="s">
        <v>18</v>
      </c>
      <c r="F8683" s="33" t="s">
        <v>19</v>
      </c>
      <c r="G8683" s="33" t="s">
        <v>20</v>
      </c>
      <c r="H8683" s="35">
        <v>654</v>
      </c>
      <c r="I8683" s="33" t="s">
        <v>21</v>
      </c>
      <c r="J8683" s="42">
        <v>44223</v>
      </c>
      <c r="K8683" s="33" t="s">
        <v>22</v>
      </c>
    </row>
    <row r="8684" spans="1:11">
      <c r="A8684" s="30" t="s">
        <v>19969</v>
      </c>
      <c r="B8684" s="30" t="s">
        <v>19970</v>
      </c>
      <c r="C8684" s="30" t="s">
        <v>899</v>
      </c>
      <c r="D8684" s="30" t="s">
        <v>17</v>
      </c>
      <c r="E8684" s="30" t="s">
        <v>26</v>
      </c>
      <c r="F8684" s="30" t="s">
        <v>27</v>
      </c>
      <c r="G8684" s="30" t="s">
        <v>20</v>
      </c>
      <c r="H8684" s="32">
        <v>16</v>
      </c>
      <c r="I8684" s="30" t="s">
        <v>21</v>
      </c>
      <c r="J8684" s="41">
        <v>44301</v>
      </c>
      <c r="K8684" s="30" t="s">
        <v>22</v>
      </c>
    </row>
    <row r="8685" spans="1:11">
      <c r="A8685" s="33" t="s">
        <v>19971</v>
      </c>
      <c r="B8685" s="33" t="s">
        <v>19972</v>
      </c>
      <c r="C8685" s="33" t="s">
        <v>19973</v>
      </c>
      <c r="D8685" s="33" t="s">
        <v>17</v>
      </c>
      <c r="E8685" s="33" t="s">
        <v>67</v>
      </c>
      <c r="F8685" s="33" t="s">
        <v>68</v>
      </c>
      <c r="G8685" s="33" t="s">
        <v>20</v>
      </c>
      <c r="H8685" s="35">
        <v>11</v>
      </c>
      <c r="I8685" s="33" t="s">
        <v>21</v>
      </c>
      <c r="J8685" s="42">
        <v>44222</v>
      </c>
      <c r="K8685" s="33" t="s">
        <v>22</v>
      </c>
    </row>
    <row r="8686" spans="1:11">
      <c r="A8686" s="30" t="s">
        <v>19974</v>
      </c>
      <c r="B8686" s="30" t="s">
        <v>19975</v>
      </c>
      <c r="C8686" s="30" t="s">
        <v>1042</v>
      </c>
      <c r="D8686" s="30" t="s">
        <v>17</v>
      </c>
      <c r="E8686" s="30" t="s">
        <v>18</v>
      </c>
      <c r="F8686" s="30" t="s">
        <v>19</v>
      </c>
      <c r="G8686" s="30" t="s">
        <v>20</v>
      </c>
      <c r="H8686" s="32">
        <v>757</v>
      </c>
      <c r="I8686" s="30" t="s">
        <v>21</v>
      </c>
      <c r="J8686" s="41">
        <v>44222</v>
      </c>
      <c r="K8686" s="30" t="s">
        <v>22</v>
      </c>
    </row>
    <row r="8687" spans="1:11">
      <c r="A8687" s="33" t="s">
        <v>19976</v>
      </c>
      <c r="B8687" s="33" t="s">
        <v>19977</v>
      </c>
      <c r="C8687" s="33" t="s">
        <v>44</v>
      </c>
      <c r="D8687" s="33" t="s">
        <v>17</v>
      </c>
      <c r="E8687" s="33" t="s">
        <v>31</v>
      </c>
      <c r="F8687" s="33" t="s">
        <v>32</v>
      </c>
      <c r="G8687" s="33" t="s">
        <v>106</v>
      </c>
      <c r="H8687" s="35">
        <v>21</v>
      </c>
      <c r="I8687" s="33" t="s">
        <v>21</v>
      </c>
      <c r="J8687" s="42">
        <v>44389</v>
      </c>
      <c r="K8687" s="33" t="s">
        <v>22</v>
      </c>
    </row>
    <row r="8688" spans="1:11">
      <c r="A8688" s="30" t="s">
        <v>19978</v>
      </c>
      <c r="B8688" s="30" t="s">
        <v>19979</v>
      </c>
      <c r="C8688" s="30" t="s">
        <v>19980</v>
      </c>
      <c r="D8688" s="30" t="s">
        <v>17</v>
      </c>
      <c r="E8688" s="30" t="s">
        <v>45</v>
      </c>
      <c r="F8688" s="30" t="s">
        <v>46</v>
      </c>
      <c r="G8688" s="30" t="s">
        <v>20</v>
      </c>
      <c r="H8688" s="32">
        <v>100</v>
      </c>
      <c r="I8688" s="30" t="s">
        <v>21</v>
      </c>
      <c r="J8688" s="41">
        <v>44390</v>
      </c>
      <c r="K8688" s="30" t="s">
        <v>22</v>
      </c>
    </row>
    <row r="8689" spans="1:11">
      <c r="A8689" s="33" t="s">
        <v>19981</v>
      </c>
      <c r="B8689" s="33" t="s">
        <v>19982</v>
      </c>
      <c r="C8689" s="33" t="s">
        <v>715</v>
      </c>
      <c r="D8689" s="33" t="s">
        <v>17</v>
      </c>
      <c r="E8689" s="33" t="s">
        <v>26</v>
      </c>
      <c r="F8689" s="33" t="s">
        <v>27</v>
      </c>
      <c r="G8689" s="33" t="s">
        <v>20</v>
      </c>
      <c r="H8689" s="35">
        <v>25</v>
      </c>
      <c r="I8689" s="33" t="s">
        <v>21</v>
      </c>
      <c r="J8689" s="42">
        <v>44452</v>
      </c>
      <c r="K8689" s="33" t="s">
        <v>22</v>
      </c>
    </row>
    <row r="8690" spans="1:11">
      <c r="A8690" s="30" t="s">
        <v>19983</v>
      </c>
      <c r="B8690" s="30" t="s">
        <v>19984</v>
      </c>
      <c r="C8690" s="30" t="s">
        <v>310</v>
      </c>
      <c r="D8690" s="30" t="s">
        <v>17</v>
      </c>
      <c r="E8690" s="30" t="s">
        <v>26</v>
      </c>
      <c r="F8690" s="30" t="s">
        <v>27</v>
      </c>
      <c r="G8690" s="30" t="s">
        <v>20</v>
      </c>
      <c r="H8690" s="32">
        <v>24</v>
      </c>
      <c r="I8690" s="30" t="s">
        <v>21</v>
      </c>
      <c r="J8690" s="41">
        <v>44314</v>
      </c>
      <c r="K8690" s="30" t="s">
        <v>22</v>
      </c>
    </row>
    <row r="8691" spans="1:11">
      <c r="A8691" s="33" t="s">
        <v>19985</v>
      </c>
      <c r="B8691" s="33" t="s">
        <v>19986</v>
      </c>
      <c r="C8691" s="33" t="s">
        <v>75</v>
      </c>
      <c r="D8691" s="33" t="s">
        <v>17</v>
      </c>
      <c r="E8691" s="33" t="s">
        <v>31</v>
      </c>
      <c r="F8691" s="33" t="s">
        <v>32</v>
      </c>
      <c r="G8691" s="33" t="s">
        <v>106</v>
      </c>
      <c r="H8691" s="35">
        <v>124</v>
      </c>
      <c r="I8691" s="33" t="s">
        <v>21</v>
      </c>
      <c r="J8691" s="42">
        <v>44272</v>
      </c>
      <c r="K8691" s="33" t="s">
        <v>22</v>
      </c>
    </row>
    <row r="8692" spans="1:11">
      <c r="A8692" s="30" t="s">
        <v>19987</v>
      </c>
      <c r="B8692" s="30" t="s">
        <v>19988</v>
      </c>
      <c r="C8692" s="30" t="s">
        <v>19989</v>
      </c>
      <c r="D8692" s="30" t="s">
        <v>17</v>
      </c>
      <c r="E8692" s="30" t="s">
        <v>31</v>
      </c>
      <c r="F8692" s="30" t="s">
        <v>32</v>
      </c>
      <c r="G8692" s="30" t="s">
        <v>20</v>
      </c>
      <c r="H8692" s="32">
        <v>38</v>
      </c>
      <c r="I8692" s="30" t="s">
        <v>21</v>
      </c>
      <c r="J8692" s="41">
        <v>44495</v>
      </c>
      <c r="K8692" s="30" t="s">
        <v>22</v>
      </c>
    </row>
    <row r="8693" spans="1:11">
      <c r="A8693" s="33" t="s">
        <v>19990</v>
      </c>
      <c r="B8693" s="33" t="s">
        <v>19991</v>
      </c>
      <c r="C8693" s="33" t="s">
        <v>3944</v>
      </c>
      <c r="D8693" s="33" t="s">
        <v>17</v>
      </c>
      <c r="E8693" s="33" t="s">
        <v>67</v>
      </c>
      <c r="F8693" s="33" t="s">
        <v>68</v>
      </c>
      <c r="G8693" s="33" t="s">
        <v>50</v>
      </c>
      <c r="H8693" s="35">
        <v>40</v>
      </c>
      <c r="I8693" s="33" t="s">
        <v>51</v>
      </c>
      <c r="J8693" s="42">
        <v>44339</v>
      </c>
      <c r="K8693" s="33" t="s">
        <v>22</v>
      </c>
    </row>
    <row r="8694" spans="1:11">
      <c r="A8694" s="30" t="s">
        <v>19992</v>
      </c>
      <c r="B8694" s="30" t="s">
        <v>19993</v>
      </c>
      <c r="C8694" s="30" t="s">
        <v>9122</v>
      </c>
      <c r="D8694" s="30" t="s">
        <v>17</v>
      </c>
      <c r="E8694" s="30" t="s">
        <v>26</v>
      </c>
      <c r="F8694" s="30" t="s">
        <v>27</v>
      </c>
      <c r="G8694" s="30" t="s">
        <v>20</v>
      </c>
      <c r="H8694" s="32">
        <v>24</v>
      </c>
      <c r="I8694" s="30" t="s">
        <v>21</v>
      </c>
      <c r="J8694" s="41">
        <v>44441</v>
      </c>
      <c r="K8694" s="30" t="s">
        <v>22</v>
      </c>
    </row>
    <row r="8695" spans="1:11">
      <c r="A8695" s="33" t="s">
        <v>19994</v>
      </c>
      <c r="B8695" s="33" t="s">
        <v>19995</v>
      </c>
      <c r="C8695" s="33" t="s">
        <v>567</v>
      </c>
      <c r="D8695" s="33" t="s">
        <v>17</v>
      </c>
      <c r="E8695" s="33" t="s">
        <v>31</v>
      </c>
      <c r="F8695" s="33" t="s">
        <v>32</v>
      </c>
      <c r="G8695" s="33" t="s">
        <v>20</v>
      </c>
      <c r="H8695" s="35">
        <v>40</v>
      </c>
      <c r="I8695" s="33" t="s">
        <v>21</v>
      </c>
      <c r="J8695" s="42">
        <v>44543</v>
      </c>
      <c r="K8695" s="33" t="s">
        <v>22</v>
      </c>
    </row>
    <row r="8696" spans="1:11">
      <c r="A8696" s="30" t="s">
        <v>19996</v>
      </c>
      <c r="B8696" s="30" t="s">
        <v>19997</v>
      </c>
      <c r="C8696" s="30" t="s">
        <v>969</v>
      </c>
      <c r="D8696" s="30" t="s">
        <v>17</v>
      </c>
      <c r="E8696" s="30" t="s">
        <v>212</v>
      </c>
      <c r="F8696" s="30" t="s">
        <v>213</v>
      </c>
      <c r="G8696" s="30" t="s">
        <v>20</v>
      </c>
      <c r="H8696" s="32">
        <v>67</v>
      </c>
      <c r="I8696" s="30" t="s">
        <v>21</v>
      </c>
      <c r="J8696" s="41">
        <v>44490</v>
      </c>
      <c r="K8696" s="30" t="s">
        <v>22</v>
      </c>
    </row>
    <row r="8697" spans="1:11">
      <c r="A8697" s="33" t="s">
        <v>19998</v>
      </c>
      <c r="B8697" s="33" t="s">
        <v>19999</v>
      </c>
      <c r="C8697" s="33" t="s">
        <v>1237</v>
      </c>
      <c r="D8697" s="33" t="s">
        <v>17</v>
      </c>
      <c r="E8697" s="33" t="s">
        <v>26</v>
      </c>
      <c r="F8697" s="33" t="s">
        <v>27</v>
      </c>
      <c r="G8697" s="33" t="s">
        <v>50</v>
      </c>
      <c r="H8697" s="35">
        <v>36</v>
      </c>
      <c r="I8697" s="33" t="s">
        <v>51</v>
      </c>
      <c r="J8697" s="42">
        <v>44551</v>
      </c>
      <c r="K8697" s="33" t="s">
        <v>22</v>
      </c>
    </row>
    <row r="8698" spans="1:11">
      <c r="A8698" s="30" t="s">
        <v>20000</v>
      </c>
      <c r="B8698" s="30" t="s">
        <v>20001</v>
      </c>
      <c r="C8698" s="30" t="s">
        <v>10046</v>
      </c>
      <c r="D8698" s="30" t="s">
        <v>17</v>
      </c>
      <c r="E8698" s="30" t="s">
        <v>31</v>
      </c>
      <c r="F8698" s="30" t="s">
        <v>32</v>
      </c>
      <c r="G8698" s="30" t="s">
        <v>50</v>
      </c>
      <c r="H8698" s="32">
        <v>70</v>
      </c>
      <c r="I8698" s="30" t="s">
        <v>51</v>
      </c>
      <c r="J8698" s="41">
        <v>44488</v>
      </c>
      <c r="K8698" s="30" t="s">
        <v>22</v>
      </c>
    </row>
    <row r="8699" spans="1:11">
      <c r="A8699" s="33" t="s">
        <v>20002</v>
      </c>
      <c r="B8699" s="33" t="s">
        <v>20003</v>
      </c>
      <c r="C8699" s="33" t="s">
        <v>84</v>
      </c>
      <c r="D8699" s="33" t="s">
        <v>17</v>
      </c>
      <c r="E8699" s="33" t="s">
        <v>212</v>
      </c>
      <c r="F8699" s="33" t="s">
        <v>213</v>
      </c>
      <c r="G8699" s="33" t="s">
        <v>158</v>
      </c>
      <c r="H8699" s="35">
        <v>800</v>
      </c>
      <c r="I8699" s="33" t="s">
        <v>21</v>
      </c>
      <c r="J8699" s="42">
        <v>44537</v>
      </c>
      <c r="K8699" s="33" t="s">
        <v>22</v>
      </c>
    </row>
    <row r="8700" spans="1:11">
      <c r="A8700" s="30" t="s">
        <v>20004</v>
      </c>
      <c r="B8700" s="30" t="s">
        <v>20005</v>
      </c>
      <c r="C8700" s="30" t="s">
        <v>20006</v>
      </c>
      <c r="D8700" s="30" t="s">
        <v>17</v>
      </c>
      <c r="E8700" s="30" t="s">
        <v>26</v>
      </c>
      <c r="F8700" s="30" t="s">
        <v>27</v>
      </c>
      <c r="G8700" s="30" t="s">
        <v>20</v>
      </c>
      <c r="H8700" s="32">
        <v>15</v>
      </c>
      <c r="I8700" s="30" t="s">
        <v>21</v>
      </c>
      <c r="J8700" s="41">
        <v>44417</v>
      </c>
      <c r="K8700" s="30" t="s">
        <v>22</v>
      </c>
    </row>
    <row r="8701" spans="1:11">
      <c r="A8701" s="33" t="s">
        <v>20007</v>
      </c>
      <c r="B8701" s="33" t="s">
        <v>20008</v>
      </c>
      <c r="C8701" s="33" t="s">
        <v>14450</v>
      </c>
      <c r="D8701" s="33" t="s">
        <v>17</v>
      </c>
      <c r="E8701" s="33" t="s">
        <v>212</v>
      </c>
      <c r="F8701" s="33" t="s">
        <v>213</v>
      </c>
      <c r="G8701" s="33" t="s">
        <v>20</v>
      </c>
      <c r="H8701" s="35">
        <v>15</v>
      </c>
      <c r="I8701" s="33" t="s">
        <v>21</v>
      </c>
      <c r="J8701" s="42">
        <v>44256</v>
      </c>
      <c r="K8701" s="33" t="s">
        <v>22</v>
      </c>
    </row>
    <row r="8702" spans="1:11">
      <c r="A8702" s="30" t="s">
        <v>20009</v>
      </c>
      <c r="B8702" s="30" t="s">
        <v>20010</v>
      </c>
      <c r="C8702" s="30" t="s">
        <v>5251</v>
      </c>
      <c r="D8702" s="30" t="s">
        <v>17</v>
      </c>
      <c r="E8702" s="30" t="s">
        <v>31</v>
      </c>
      <c r="F8702" s="30" t="s">
        <v>32</v>
      </c>
      <c r="G8702" s="30" t="s">
        <v>50</v>
      </c>
      <c r="H8702" s="32">
        <v>139</v>
      </c>
      <c r="I8702" s="30" t="s">
        <v>21</v>
      </c>
      <c r="J8702" s="41">
        <v>44287</v>
      </c>
      <c r="K8702" s="30" t="s">
        <v>22</v>
      </c>
    </row>
    <row r="8703" spans="1:11">
      <c r="A8703" s="33" t="s">
        <v>20011</v>
      </c>
      <c r="B8703" s="33" t="s">
        <v>20012</v>
      </c>
      <c r="C8703" s="33" t="s">
        <v>10475</v>
      </c>
      <c r="D8703" s="33" t="s">
        <v>17</v>
      </c>
      <c r="E8703" s="33" t="s">
        <v>31</v>
      </c>
      <c r="F8703" s="33" t="s">
        <v>32</v>
      </c>
      <c r="G8703" s="33" t="s">
        <v>50</v>
      </c>
      <c r="H8703" s="35">
        <v>40</v>
      </c>
      <c r="I8703" s="33" t="s">
        <v>51</v>
      </c>
      <c r="J8703" s="42">
        <v>44370</v>
      </c>
      <c r="K8703" s="33" t="s">
        <v>22</v>
      </c>
    </row>
    <row r="8704" spans="1:11">
      <c r="A8704" s="30" t="s">
        <v>20013</v>
      </c>
      <c r="B8704" s="30" t="s">
        <v>20014</v>
      </c>
      <c r="C8704" s="30" t="s">
        <v>20015</v>
      </c>
      <c r="D8704" s="30" t="s">
        <v>17</v>
      </c>
      <c r="E8704" s="30" t="s">
        <v>18</v>
      </c>
      <c r="F8704" s="30" t="s">
        <v>19</v>
      </c>
      <c r="G8704" s="30" t="s">
        <v>158</v>
      </c>
      <c r="H8704" s="32">
        <v>369</v>
      </c>
      <c r="I8704" s="30" t="s">
        <v>21</v>
      </c>
      <c r="J8704" s="41">
        <v>44316</v>
      </c>
      <c r="K8704" s="30" t="s">
        <v>22</v>
      </c>
    </row>
    <row r="8705" spans="1:11">
      <c r="A8705" s="33" t="s">
        <v>20016</v>
      </c>
      <c r="B8705" s="33" t="s">
        <v>20017</v>
      </c>
      <c r="C8705" s="33" t="s">
        <v>3296</v>
      </c>
      <c r="D8705" s="33" t="s">
        <v>17</v>
      </c>
      <c r="E8705" s="33" t="s">
        <v>26</v>
      </c>
      <c r="F8705" s="33" t="s">
        <v>27</v>
      </c>
      <c r="G8705" s="33" t="s">
        <v>20</v>
      </c>
      <c r="H8705" s="35">
        <v>40</v>
      </c>
      <c r="I8705" s="33" t="s">
        <v>21</v>
      </c>
      <c r="J8705" s="42">
        <v>44497</v>
      </c>
      <c r="K8705" s="33" t="s">
        <v>22</v>
      </c>
    </row>
    <row r="8706" spans="1:11">
      <c r="A8706" s="30" t="s">
        <v>20018</v>
      </c>
      <c r="B8706" s="30" t="s">
        <v>20019</v>
      </c>
      <c r="C8706" s="30" t="s">
        <v>149</v>
      </c>
      <c r="D8706" s="30" t="s">
        <v>17</v>
      </c>
      <c r="E8706" s="30" t="s">
        <v>26</v>
      </c>
      <c r="F8706" s="30" t="s">
        <v>27</v>
      </c>
      <c r="G8706" s="30" t="s">
        <v>20</v>
      </c>
      <c r="H8706" s="32">
        <v>37</v>
      </c>
      <c r="I8706" s="30" t="s">
        <v>21</v>
      </c>
      <c r="J8706" s="41">
        <v>44277</v>
      </c>
      <c r="K8706" s="30" t="s">
        <v>22</v>
      </c>
    </row>
    <row r="8707" spans="1:11">
      <c r="A8707" s="33" t="s">
        <v>20020</v>
      </c>
      <c r="B8707" s="33" t="s">
        <v>20021</v>
      </c>
      <c r="C8707" s="33" t="s">
        <v>96</v>
      </c>
      <c r="D8707" s="33" t="s">
        <v>17</v>
      </c>
      <c r="E8707" s="33" t="s">
        <v>26</v>
      </c>
      <c r="F8707" s="33" t="s">
        <v>27</v>
      </c>
      <c r="G8707" s="33" t="s">
        <v>20</v>
      </c>
      <c r="H8707" s="35">
        <v>10</v>
      </c>
      <c r="I8707" s="33" t="s">
        <v>21</v>
      </c>
      <c r="J8707" s="42">
        <v>44477</v>
      </c>
      <c r="K8707" s="33" t="s">
        <v>22</v>
      </c>
    </row>
    <row r="8708" spans="1:11">
      <c r="A8708" s="30" t="s">
        <v>20022</v>
      </c>
      <c r="B8708" s="30" t="s">
        <v>16422</v>
      </c>
      <c r="C8708" s="30" t="s">
        <v>443</v>
      </c>
      <c r="D8708" s="30" t="s">
        <v>17</v>
      </c>
      <c r="E8708" s="30" t="s">
        <v>212</v>
      </c>
      <c r="F8708" s="30" t="s">
        <v>213</v>
      </c>
      <c r="G8708" s="30" t="s">
        <v>20</v>
      </c>
      <c r="H8708" s="32">
        <v>520</v>
      </c>
      <c r="I8708" s="30" t="s">
        <v>21</v>
      </c>
      <c r="J8708" s="41">
        <v>44505</v>
      </c>
      <c r="K8708" s="30" t="s">
        <v>22</v>
      </c>
    </row>
    <row r="8709" spans="1:11">
      <c r="A8709" s="33" t="s">
        <v>20023</v>
      </c>
      <c r="B8709" s="33" t="s">
        <v>20024</v>
      </c>
      <c r="C8709" s="33" t="s">
        <v>93</v>
      </c>
      <c r="D8709" s="33" t="s">
        <v>17</v>
      </c>
      <c r="E8709" s="33" t="s">
        <v>26</v>
      </c>
      <c r="F8709" s="33" t="s">
        <v>27</v>
      </c>
      <c r="G8709" s="33" t="s">
        <v>140</v>
      </c>
      <c r="H8709" s="35">
        <v>694</v>
      </c>
      <c r="I8709" s="33" t="s">
        <v>51</v>
      </c>
      <c r="J8709" s="42">
        <v>44501</v>
      </c>
      <c r="K8709" s="33" t="s">
        <v>22</v>
      </c>
    </row>
    <row r="8710" spans="1:11">
      <c r="A8710" s="30" t="s">
        <v>20025</v>
      </c>
      <c r="B8710" s="30" t="s">
        <v>20026</v>
      </c>
      <c r="C8710" s="30" t="s">
        <v>16592</v>
      </c>
      <c r="D8710" s="30" t="s">
        <v>17</v>
      </c>
      <c r="E8710" s="30" t="s">
        <v>31</v>
      </c>
      <c r="F8710" s="30" t="s">
        <v>32</v>
      </c>
      <c r="G8710" s="30" t="s">
        <v>106</v>
      </c>
      <c r="H8710" s="32">
        <v>5</v>
      </c>
      <c r="I8710" s="30" t="s">
        <v>21</v>
      </c>
      <c r="J8710" s="41">
        <v>44295</v>
      </c>
      <c r="K8710" s="30" t="s">
        <v>22</v>
      </c>
    </row>
    <row r="8711" spans="1:11">
      <c r="A8711" s="33" t="s">
        <v>20027</v>
      </c>
      <c r="B8711" s="33" t="s">
        <v>20028</v>
      </c>
      <c r="C8711" s="33" t="s">
        <v>20029</v>
      </c>
      <c r="D8711" s="33" t="s">
        <v>17</v>
      </c>
      <c r="E8711" s="33" t="s">
        <v>330</v>
      </c>
      <c r="F8711" s="33" t="s">
        <v>331</v>
      </c>
      <c r="G8711" s="33" t="s">
        <v>50</v>
      </c>
      <c r="H8711" s="35">
        <v>3</v>
      </c>
      <c r="I8711" s="33" t="s">
        <v>21</v>
      </c>
      <c r="J8711" s="42">
        <v>44525</v>
      </c>
      <c r="K8711" s="33" t="s">
        <v>22</v>
      </c>
    </row>
    <row r="8712" spans="1:11">
      <c r="A8712" s="30" t="s">
        <v>20030</v>
      </c>
      <c r="B8712" s="30" t="s">
        <v>20031</v>
      </c>
      <c r="C8712" s="30" t="s">
        <v>20032</v>
      </c>
      <c r="D8712" s="30" t="s">
        <v>17</v>
      </c>
      <c r="E8712" s="30" t="s">
        <v>26</v>
      </c>
      <c r="F8712" s="30" t="s">
        <v>27</v>
      </c>
      <c r="G8712" s="30" t="s">
        <v>20</v>
      </c>
      <c r="H8712" s="32">
        <v>39</v>
      </c>
      <c r="I8712" s="30" t="s">
        <v>21</v>
      </c>
      <c r="J8712" s="41">
        <v>44364</v>
      </c>
      <c r="K8712" s="30" t="s">
        <v>22</v>
      </c>
    </row>
    <row r="8713" spans="1:11">
      <c r="A8713" s="33" t="s">
        <v>20033</v>
      </c>
      <c r="B8713" s="33" t="s">
        <v>20034</v>
      </c>
      <c r="C8713" s="33" t="s">
        <v>1112</v>
      </c>
      <c r="D8713" s="33" t="s">
        <v>17</v>
      </c>
      <c r="E8713" s="33" t="s">
        <v>26</v>
      </c>
      <c r="F8713" s="33" t="s">
        <v>27</v>
      </c>
      <c r="G8713" s="33" t="s">
        <v>20</v>
      </c>
      <c r="H8713" s="35">
        <v>50</v>
      </c>
      <c r="I8713" s="33" t="s">
        <v>21</v>
      </c>
      <c r="J8713" s="42">
        <v>44212</v>
      </c>
      <c r="K8713" s="33" t="s">
        <v>22</v>
      </c>
    </row>
    <row r="8714" spans="1:11">
      <c r="A8714" s="30" t="s">
        <v>20035</v>
      </c>
      <c r="B8714" s="30" t="s">
        <v>20036</v>
      </c>
      <c r="C8714" s="30" t="s">
        <v>136</v>
      </c>
      <c r="D8714" s="30" t="s">
        <v>17</v>
      </c>
      <c r="E8714" s="30" t="s">
        <v>31</v>
      </c>
      <c r="F8714" s="30" t="s">
        <v>32</v>
      </c>
      <c r="G8714" s="30" t="s">
        <v>20</v>
      </c>
      <c r="H8714" s="32">
        <v>383</v>
      </c>
      <c r="I8714" s="30" t="s">
        <v>21</v>
      </c>
      <c r="J8714" s="41">
        <v>44454</v>
      </c>
      <c r="K8714" s="30" t="s">
        <v>22</v>
      </c>
    </row>
    <row r="8715" spans="1:11">
      <c r="A8715" s="33" t="s">
        <v>20037</v>
      </c>
      <c r="B8715" s="33" t="s">
        <v>20038</v>
      </c>
      <c r="C8715" s="33" t="s">
        <v>20039</v>
      </c>
      <c r="D8715" s="33" t="s">
        <v>17</v>
      </c>
      <c r="E8715" s="33" t="s">
        <v>18</v>
      </c>
      <c r="F8715" s="33" t="s">
        <v>19</v>
      </c>
      <c r="G8715" s="33" t="s">
        <v>106</v>
      </c>
      <c r="H8715" s="35">
        <v>193</v>
      </c>
      <c r="I8715" s="33" t="s">
        <v>21</v>
      </c>
      <c r="J8715" s="42">
        <v>44285</v>
      </c>
      <c r="K8715" s="33" t="s">
        <v>22</v>
      </c>
    </row>
    <row r="8716" spans="1:11">
      <c r="A8716" s="30" t="s">
        <v>20040</v>
      </c>
      <c r="B8716" s="30" t="s">
        <v>20041</v>
      </c>
      <c r="C8716" s="30" t="s">
        <v>20042</v>
      </c>
      <c r="D8716" s="30" t="s">
        <v>17</v>
      </c>
      <c r="E8716" s="30" t="s">
        <v>26</v>
      </c>
      <c r="F8716" s="30" t="s">
        <v>27</v>
      </c>
      <c r="G8716" s="30" t="s">
        <v>112</v>
      </c>
      <c r="H8716" s="32">
        <v>0</v>
      </c>
      <c r="I8716" s="30" t="s">
        <v>21</v>
      </c>
      <c r="J8716" s="41">
        <v>44317</v>
      </c>
      <c r="K8716" s="30" t="s">
        <v>22</v>
      </c>
    </row>
    <row r="8717" spans="1:11">
      <c r="A8717" s="33" t="s">
        <v>20043</v>
      </c>
      <c r="B8717" s="33" t="s">
        <v>20044</v>
      </c>
      <c r="C8717" s="33" t="s">
        <v>10170</v>
      </c>
      <c r="D8717" s="33" t="s">
        <v>17</v>
      </c>
      <c r="E8717" s="33" t="s">
        <v>31</v>
      </c>
      <c r="F8717" s="33" t="s">
        <v>32</v>
      </c>
      <c r="G8717" s="33" t="s">
        <v>20</v>
      </c>
      <c r="H8717" s="35">
        <v>63</v>
      </c>
      <c r="I8717" s="33" t="s">
        <v>21</v>
      </c>
      <c r="J8717" s="42">
        <v>44504</v>
      </c>
      <c r="K8717" s="33" t="s">
        <v>22</v>
      </c>
    </row>
    <row r="8718" spans="1:11">
      <c r="A8718" s="30" t="s">
        <v>20045</v>
      </c>
      <c r="B8718" s="30" t="s">
        <v>20046</v>
      </c>
      <c r="C8718" s="30" t="s">
        <v>20047</v>
      </c>
      <c r="D8718" s="30" t="s">
        <v>17</v>
      </c>
      <c r="E8718" s="30" t="s">
        <v>67</v>
      </c>
      <c r="F8718" s="30" t="s">
        <v>68</v>
      </c>
      <c r="G8718" s="30" t="s">
        <v>20</v>
      </c>
      <c r="H8718" s="32">
        <v>43</v>
      </c>
      <c r="I8718" s="30" t="s">
        <v>21</v>
      </c>
      <c r="J8718" s="41">
        <v>44245</v>
      </c>
      <c r="K8718" s="30" t="s">
        <v>22</v>
      </c>
    </row>
    <row r="8719" spans="1:11">
      <c r="A8719" s="33" t="s">
        <v>20048</v>
      </c>
      <c r="B8719" s="33" t="s">
        <v>20049</v>
      </c>
      <c r="C8719" s="33" t="s">
        <v>20050</v>
      </c>
      <c r="D8719" s="33" t="s">
        <v>17</v>
      </c>
      <c r="E8719" s="33" t="s">
        <v>31</v>
      </c>
      <c r="F8719" s="33" t="s">
        <v>32</v>
      </c>
      <c r="G8719" s="33" t="s">
        <v>20</v>
      </c>
      <c r="H8719" s="35">
        <v>200</v>
      </c>
      <c r="I8719" s="33" t="s">
        <v>21</v>
      </c>
      <c r="J8719" s="42">
        <v>44378</v>
      </c>
      <c r="K8719" s="33" t="s">
        <v>22</v>
      </c>
    </row>
    <row r="8720" spans="1:11">
      <c r="A8720" s="30" t="s">
        <v>20051</v>
      </c>
      <c r="B8720" s="30" t="s">
        <v>20052</v>
      </c>
      <c r="C8720" s="30" t="s">
        <v>14909</v>
      </c>
      <c r="D8720" s="30" t="s">
        <v>17</v>
      </c>
      <c r="E8720" s="30" t="s">
        <v>26</v>
      </c>
      <c r="F8720" s="30" t="s">
        <v>27</v>
      </c>
      <c r="G8720" s="30" t="s">
        <v>20</v>
      </c>
      <c r="H8720" s="32">
        <v>29</v>
      </c>
      <c r="I8720" s="30" t="s">
        <v>21</v>
      </c>
      <c r="J8720" s="41">
        <v>44512</v>
      </c>
      <c r="K8720" s="30" t="s">
        <v>22</v>
      </c>
    </row>
    <row r="8721" spans="1:11">
      <c r="A8721" s="33" t="s">
        <v>20053</v>
      </c>
      <c r="B8721" s="33" t="s">
        <v>20054</v>
      </c>
      <c r="C8721" s="33" t="s">
        <v>4634</v>
      </c>
      <c r="D8721" s="33" t="s">
        <v>17</v>
      </c>
      <c r="E8721" s="33" t="s">
        <v>26</v>
      </c>
      <c r="F8721" s="33" t="s">
        <v>27</v>
      </c>
      <c r="G8721" s="33" t="s">
        <v>20</v>
      </c>
      <c r="H8721" s="35">
        <v>12</v>
      </c>
      <c r="I8721" s="33" t="s">
        <v>21</v>
      </c>
      <c r="J8721" s="42">
        <v>44504</v>
      </c>
      <c r="K8721" s="33" t="s">
        <v>22</v>
      </c>
    </row>
    <row r="8722" spans="1:11">
      <c r="A8722" s="30" t="s">
        <v>20055</v>
      </c>
      <c r="B8722" s="30" t="s">
        <v>20056</v>
      </c>
      <c r="C8722" s="30" t="s">
        <v>4345</v>
      </c>
      <c r="D8722" s="30" t="s">
        <v>17</v>
      </c>
      <c r="E8722" s="30" t="s">
        <v>18</v>
      </c>
      <c r="F8722" s="30" t="s">
        <v>19</v>
      </c>
      <c r="G8722" s="30" t="s">
        <v>158</v>
      </c>
      <c r="H8722" s="32">
        <v>54</v>
      </c>
      <c r="I8722" s="30" t="s">
        <v>21</v>
      </c>
      <c r="J8722" s="41">
        <v>44348</v>
      </c>
      <c r="K8722" s="30" t="s">
        <v>22</v>
      </c>
    </row>
    <row r="8723" spans="1:11">
      <c r="A8723" s="33" t="s">
        <v>20057</v>
      </c>
      <c r="B8723" s="33" t="s">
        <v>16705</v>
      </c>
      <c r="C8723" s="33" t="s">
        <v>801</v>
      </c>
      <c r="D8723" s="33" t="s">
        <v>17</v>
      </c>
      <c r="E8723" s="33" t="s">
        <v>18</v>
      </c>
      <c r="F8723" s="33" t="s">
        <v>19</v>
      </c>
      <c r="G8723" s="33" t="s">
        <v>158</v>
      </c>
      <c r="H8723" s="35">
        <v>548</v>
      </c>
      <c r="I8723" s="33" t="s">
        <v>21</v>
      </c>
      <c r="J8723" s="42">
        <v>44341</v>
      </c>
      <c r="K8723" s="33" t="s">
        <v>22</v>
      </c>
    </row>
    <row r="8724" spans="1:11">
      <c r="A8724" s="30" t="s">
        <v>20058</v>
      </c>
      <c r="B8724" s="30" t="s">
        <v>20059</v>
      </c>
      <c r="C8724" s="30" t="s">
        <v>1509</v>
      </c>
      <c r="D8724" s="30" t="s">
        <v>17</v>
      </c>
      <c r="E8724" s="30" t="s">
        <v>18</v>
      </c>
      <c r="F8724" s="30" t="s">
        <v>19</v>
      </c>
      <c r="G8724" s="30" t="s">
        <v>20</v>
      </c>
      <c r="H8724" s="32">
        <v>73</v>
      </c>
      <c r="I8724" s="30" t="s">
        <v>21</v>
      </c>
      <c r="J8724" s="41">
        <v>44232</v>
      </c>
      <c r="K8724" s="30" t="s">
        <v>22</v>
      </c>
    </row>
    <row r="8725" spans="1:11">
      <c r="A8725" s="33" t="s">
        <v>20060</v>
      </c>
      <c r="B8725" s="33" t="s">
        <v>20061</v>
      </c>
      <c r="C8725" s="33" t="s">
        <v>11407</v>
      </c>
      <c r="D8725" s="33" t="s">
        <v>17</v>
      </c>
      <c r="E8725" s="33" t="s">
        <v>26</v>
      </c>
      <c r="F8725" s="33" t="s">
        <v>27</v>
      </c>
      <c r="G8725" s="33" t="s">
        <v>106</v>
      </c>
      <c r="H8725" s="35">
        <v>93</v>
      </c>
      <c r="I8725" s="33" t="s">
        <v>21</v>
      </c>
      <c r="J8725" s="42">
        <v>44505</v>
      </c>
      <c r="K8725" s="33" t="s">
        <v>22</v>
      </c>
    </row>
    <row r="8726" spans="1:11">
      <c r="A8726" s="30" t="s">
        <v>20062</v>
      </c>
      <c r="B8726" s="30" t="s">
        <v>20063</v>
      </c>
      <c r="C8726" s="30" t="s">
        <v>20064</v>
      </c>
      <c r="D8726" s="30" t="s">
        <v>17</v>
      </c>
      <c r="E8726" s="30" t="s">
        <v>26</v>
      </c>
      <c r="F8726" s="30" t="s">
        <v>27</v>
      </c>
      <c r="G8726" s="30" t="s">
        <v>20</v>
      </c>
      <c r="H8726" s="32">
        <v>12</v>
      </c>
      <c r="I8726" s="30" t="s">
        <v>21</v>
      </c>
      <c r="J8726" s="41">
        <v>44426</v>
      </c>
      <c r="K8726" s="30" t="s">
        <v>22</v>
      </c>
    </row>
    <row r="8727" spans="1:11">
      <c r="A8727" s="33" t="s">
        <v>20065</v>
      </c>
      <c r="B8727" s="33" t="s">
        <v>20066</v>
      </c>
      <c r="C8727" s="33" t="s">
        <v>190</v>
      </c>
      <c r="D8727" s="33" t="s">
        <v>17</v>
      </c>
      <c r="E8727" s="33" t="s">
        <v>26</v>
      </c>
      <c r="F8727" s="33" t="s">
        <v>27</v>
      </c>
      <c r="G8727" s="33" t="s">
        <v>20</v>
      </c>
      <c r="H8727" s="35">
        <v>48</v>
      </c>
      <c r="I8727" s="33" t="s">
        <v>21</v>
      </c>
      <c r="J8727" s="42">
        <v>44480</v>
      </c>
      <c r="K8727" s="33" t="s">
        <v>22</v>
      </c>
    </row>
    <row r="8728" spans="1:11">
      <c r="A8728" s="30" t="s">
        <v>20067</v>
      </c>
      <c r="B8728" s="30" t="s">
        <v>20068</v>
      </c>
      <c r="C8728" s="30" t="s">
        <v>149</v>
      </c>
      <c r="D8728" s="30" t="s">
        <v>17</v>
      </c>
      <c r="E8728" s="30" t="s">
        <v>26</v>
      </c>
      <c r="F8728" s="30" t="s">
        <v>27</v>
      </c>
      <c r="G8728" s="30" t="s">
        <v>106</v>
      </c>
      <c r="H8728" s="32">
        <v>11</v>
      </c>
      <c r="I8728" s="30" t="s">
        <v>21</v>
      </c>
      <c r="J8728" s="41">
        <v>44294</v>
      </c>
      <c r="K8728" s="30" t="s">
        <v>22</v>
      </c>
    </row>
    <row r="8729" spans="1:11">
      <c r="A8729" s="33" t="s">
        <v>20069</v>
      </c>
      <c r="B8729" s="33" t="s">
        <v>20070</v>
      </c>
      <c r="C8729" s="33" t="s">
        <v>353</v>
      </c>
      <c r="D8729" s="33" t="s">
        <v>17</v>
      </c>
      <c r="E8729" s="33" t="s">
        <v>26</v>
      </c>
      <c r="F8729" s="33" t="s">
        <v>27</v>
      </c>
      <c r="G8729" s="33" t="s">
        <v>20</v>
      </c>
      <c r="H8729" s="35">
        <v>20</v>
      </c>
      <c r="I8729" s="33" t="s">
        <v>21</v>
      </c>
      <c r="J8729" s="42">
        <v>44445</v>
      </c>
      <c r="K8729" s="33" t="s">
        <v>22</v>
      </c>
    </row>
    <row r="8730" spans="1:11">
      <c r="A8730" s="30" t="s">
        <v>20071</v>
      </c>
      <c r="B8730" s="30" t="s">
        <v>20072</v>
      </c>
      <c r="C8730" s="30" t="s">
        <v>2177</v>
      </c>
      <c r="D8730" s="30" t="s">
        <v>17</v>
      </c>
      <c r="E8730" s="30" t="s">
        <v>26</v>
      </c>
      <c r="F8730" s="30" t="s">
        <v>27</v>
      </c>
      <c r="G8730" s="30" t="s">
        <v>106</v>
      </c>
      <c r="H8730" s="32">
        <v>10</v>
      </c>
      <c r="I8730" s="30" t="s">
        <v>21</v>
      </c>
      <c r="J8730" s="41">
        <v>44217</v>
      </c>
      <c r="K8730" s="30" t="s">
        <v>22</v>
      </c>
    </row>
    <row r="8731" spans="1:11">
      <c r="A8731" s="33" t="s">
        <v>20073</v>
      </c>
      <c r="B8731" s="33" t="s">
        <v>20074</v>
      </c>
      <c r="C8731" s="33" t="s">
        <v>20075</v>
      </c>
      <c r="D8731" s="33" t="s">
        <v>17</v>
      </c>
      <c r="E8731" s="33" t="s">
        <v>31</v>
      </c>
      <c r="F8731" s="33" t="s">
        <v>32</v>
      </c>
      <c r="G8731" s="33" t="s">
        <v>106</v>
      </c>
      <c r="H8731" s="35">
        <v>6</v>
      </c>
      <c r="I8731" s="33" t="s">
        <v>21</v>
      </c>
      <c r="J8731" s="42">
        <v>44442</v>
      </c>
      <c r="K8731" s="33" t="s">
        <v>22</v>
      </c>
    </row>
    <row r="8732" spans="1:11">
      <c r="A8732" s="30" t="s">
        <v>20076</v>
      </c>
      <c r="B8732" s="30" t="s">
        <v>20077</v>
      </c>
      <c r="C8732" s="30" t="s">
        <v>353</v>
      </c>
      <c r="D8732" s="30" t="s">
        <v>17</v>
      </c>
      <c r="E8732" s="30" t="s">
        <v>26</v>
      </c>
      <c r="F8732" s="30" t="s">
        <v>27</v>
      </c>
      <c r="G8732" s="30" t="s">
        <v>20</v>
      </c>
      <c r="H8732" s="32">
        <v>6</v>
      </c>
      <c r="I8732" s="30" t="s">
        <v>21</v>
      </c>
      <c r="J8732" s="41">
        <v>44200</v>
      </c>
      <c r="K8732" s="30" t="s">
        <v>22</v>
      </c>
    </row>
    <row r="8733" spans="1:11">
      <c r="A8733" s="33" t="s">
        <v>20078</v>
      </c>
      <c r="B8733" s="33" t="s">
        <v>20079</v>
      </c>
      <c r="C8733" s="33" t="s">
        <v>20080</v>
      </c>
      <c r="D8733" s="33" t="s">
        <v>17</v>
      </c>
      <c r="E8733" s="33" t="s">
        <v>67</v>
      </c>
      <c r="F8733" s="33" t="s">
        <v>68</v>
      </c>
      <c r="G8733" s="33" t="s">
        <v>20</v>
      </c>
      <c r="H8733" s="35">
        <v>79</v>
      </c>
      <c r="I8733" s="33" t="s">
        <v>21</v>
      </c>
      <c r="J8733" s="42">
        <v>44274</v>
      </c>
      <c r="K8733" s="33" t="s">
        <v>22</v>
      </c>
    </row>
    <row r="8734" spans="1:11">
      <c r="A8734" s="30" t="s">
        <v>20081</v>
      </c>
      <c r="B8734" s="30" t="s">
        <v>20082</v>
      </c>
      <c r="C8734" s="30" t="s">
        <v>945</v>
      </c>
      <c r="D8734" s="30" t="s">
        <v>17</v>
      </c>
      <c r="E8734" s="30" t="s">
        <v>31</v>
      </c>
      <c r="F8734" s="30" t="s">
        <v>32</v>
      </c>
      <c r="G8734" s="30" t="s">
        <v>106</v>
      </c>
      <c r="H8734" s="32">
        <v>13</v>
      </c>
      <c r="I8734" s="30" t="s">
        <v>21</v>
      </c>
      <c r="J8734" s="41">
        <v>44292</v>
      </c>
      <c r="K8734" s="30" t="s">
        <v>22</v>
      </c>
    </row>
    <row r="8735" spans="1:11">
      <c r="A8735" s="33" t="s">
        <v>20083</v>
      </c>
      <c r="B8735" s="33" t="s">
        <v>20084</v>
      </c>
      <c r="C8735" s="33" t="s">
        <v>136</v>
      </c>
      <c r="D8735" s="33" t="s">
        <v>17</v>
      </c>
      <c r="E8735" s="33" t="s">
        <v>31</v>
      </c>
      <c r="F8735" s="33" t="s">
        <v>32</v>
      </c>
      <c r="G8735" s="33" t="s">
        <v>20</v>
      </c>
      <c r="H8735" s="35">
        <v>98</v>
      </c>
      <c r="I8735" s="33" t="s">
        <v>21</v>
      </c>
      <c r="J8735" s="42">
        <v>44200</v>
      </c>
      <c r="K8735" s="33" t="s">
        <v>22</v>
      </c>
    </row>
    <row r="8736" spans="1:11">
      <c r="A8736" s="30" t="s">
        <v>20085</v>
      </c>
      <c r="B8736" s="30" t="s">
        <v>20086</v>
      </c>
      <c r="C8736" s="30" t="s">
        <v>14483</v>
      </c>
      <c r="D8736" s="30" t="s">
        <v>17</v>
      </c>
      <c r="E8736" s="30" t="s">
        <v>26</v>
      </c>
      <c r="F8736" s="30" t="s">
        <v>27</v>
      </c>
      <c r="G8736" s="30" t="s">
        <v>50</v>
      </c>
      <c r="H8736" s="32">
        <v>42</v>
      </c>
      <c r="I8736" s="30" t="s">
        <v>51</v>
      </c>
      <c r="J8736" s="41">
        <v>44288</v>
      </c>
      <c r="K8736" s="30" t="s">
        <v>22</v>
      </c>
    </row>
    <row r="8737" spans="1:11">
      <c r="A8737" s="33" t="s">
        <v>20087</v>
      </c>
      <c r="B8737" s="33" t="s">
        <v>20088</v>
      </c>
      <c r="C8737" s="33" t="s">
        <v>20089</v>
      </c>
      <c r="D8737" s="33" t="s">
        <v>17</v>
      </c>
      <c r="E8737" s="33" t="s">
        <v>18</v>
      </c>
      <c r="F8737" s="33" t="s">
        <v>19</v>
      </c>
      <c r="G8737" s="33" t="s">
        <v>20</v>
      </c>
      <c r="H8737" s="35">
        <v>64</v>
      </c>
      <c r="I8737" s="33" t="s">
        <v>21</v>
      </c>
      <c r="J8737" s="42">
        <v>44483</v>
      </c>
      <c r="K8737" s="33" t="s">
        <v>22</v>
      </c>
    </row>
    <row r="8738" spans="1:11">
      <c r="A8738" s="30" t="s">
        <v>20090</v>
      </c>
      <c r="B8738" s="30" t="s">
        <v>20091</v>
      </c>
      <c r="C8738" s="30" t="s">
        <v>9493</v>
      </c>
      <c r="D8738" s="30" t="s">
        <v>17</v>
      </c>
      <c r="E8738" s="30" t="s">
        <v>26</v>
      </c>
      <c r="F8738" s="30" t="s">
        <v>27</v>
      </c>
      <c r="G8738" s="30" t="s">
        <v>158</v>
      </c>
      <c r="H8738" s="32">
        <v>42</v>
      </c>
      <c r="I8738" s="30" t="s">
        <v>51</v>
      </c>
      <c r="J8738" s="41">
        <v>44543</v>
      </c>
      <c r="K8738" s="30" t="s">
        <v>22</v>
      </c>
    </row>
    <row r="8739" spans="1:11">
      <c r="A8739" s="33" t="s">
        <v>20092</v>
      </c>
      <c r="B8739" s="33" t="s">
        <v>20093</v>
      </c>
      <c r="C8739" s="33" t="s">
        <v>8508</v>
      </c>
      <c r="D8739" s="33" t="s">
        <v>17</v>
      </c>
      <c r="E8739" s="33" t="s">
        <v>31</v>
      </c>
      <c r="F8739" s="33" t="s">
        <v>32</v>
      </c>
      <c r="G8739" s="33" t="s">
        <v>20</v>
      </c>
      <c r="H8739" s="35">
        <v>51</v>
      </c>
      <c r="I8739" s="33" t="s">
        <v>21</v>
      </c>
      <c r="J8739" s="42">
        <v>44232</v>
      </c>
      <c r="K8739" s="33" t="s">
        <v>22</v>
      </c>
    </row>
    <row r="8740" spans="1:11">
      <c r="A8740" s="30" t="s">
        <v>20094</v>
      </c>
      <c r="B8740" s="30" t="s">
        <v>20095</v>
      </c>
      <c r="C8740" s="30" t="s">
        <v>16186</v>
      </c>
      <c r="D8740" s="30" t="s">
        <v>17</v>
      </c>
      <c r="E8740" s="30" t="s">
        <v>45</v>
      </c>
      <c r="F8740" s="30" t="s">
        <v>46</v>
      </c>
      <c r="G8740" s="30" t="s">
        <v>50</v>
      </c>
      <c r="H8740" s="32">
        <v>36</v>
      </c>
      <c r="I8740" s="30" t="s">
        <v>51</v>
      </c>
      <c r="J8740" s="41">
        <v>44249</v>
      </c>
      <c r="K8740" s="30" t="s">
        <v>22</v>
      </c>
    </row>
    <row r="8741" spans="1:11">
      <c r="A8741" s="33" t="s">
        <v>20096</v>
      </c>
      <c r="B8741" s="33" t="s">
        <v>20097</v>
      </c>
      <c r="C8741" s="33" t="s">
        <v>1469</v>
      </c>
      <c r="D8741" s="33" t="s">
        <v>17</v>
      </c>
      <c r="E8741" s="33" t="s">
        <v>31</v>
      </c>
      <c r="F8741" s="33" t="s">
        <v>32</v>
      </c>
      <c r="G8741" s="33" t="s">
        <v>20</v>
      </c>
      <c r="H8741" s="35">
        <v>109</v>
      </c>
      <c r="I8741" s="33" t="s">
        <v>21</v>
      </c>
      <c r="J8741" s="42">
        <v>44371</v>
      </c>
      <c r="K8741" s="33" t="s">
        <v>22</v>
      </c>
    </row>
    <row r="8742" spans="1:11">
      <c r="A8742" s="30" t="s">
        <v>20098</v>
      </c>
      <c r="B8742" s="30" t="s">
        <v>20099</v>
      </c>
      <c r="C8742" s="30" t="s">
        <v>1191</v>
      </c>
      <c r="D8742" s="30" t="s">
        <v>17</v>
      </c>
      <c r="E8742" s="30" t="s">
        <v>212</v>
      </c>
      <c r="F8742" s="30" t="s">
        <v>213</v>
      </c>
      <c r="G8742" s="30" t="s">
        <v>50</v>
      </c>
      <c r="H8742" s="32">
        <v>1440</v>
      </c>
      <c r="I8742" s="30" t="s">
        <v>51</v>
      </c>
      <c r="J8742" s="41">
        <v>44501</v>
      </c>
      <c r="K8742" s="30" t="s">
        <v>22</v>
      </c>
    </row>
    <row r="8743" spans="1:11">
      <c r="A8743" s="33" t="s">
        <v>20100</v>
      </c>
      <c r="B8743" s="33" t="s">
        <v>20101</v>
      </c>
      <c r="C8743" s="33" t="s">
        <v>102</v>
      </c>
      <c r="D8743" s="33" t="s">
        <v>17</v>
      </c>
      <c r="E8743" s="33" t="s">
        <v>26</v>
      </c>
      <c r="F8743" s="33" t="s">
        <v>27</v>
      </c>
      <c r="G8743" s="33" t="s">
        <v>20</v>
      </c>
      <c r="H8743" s="35">
        <v>24</v>
      </c>
      <c r="I8743" s="33" t="s">
        <v>21</v>
      </c>
      <c r="J8743" s="42">
        <v>44286</v>
      </c>
      <c r="K8743" s="33" t="s">
        <v>22</v>
      </c>
    </row>
    <row r="8744" spans="1:11">
      <c r="A8744" s="30" t="s">
        <v>20102</v>
      </c>
      <c r="B8744" s="30" t="s">
        <v>20103</v>
      </c>
      <c r="C8744" s="30" t="s">
        <v>1313</v>
      </c>
      <c r="D8744" s="30" t="s">
        <v>17</v>
      </c>
      <c r="E8744" s="30" t="s">
        <v>31</v>
      </c>
      <c r="F8744" s="30" t="s">
        <v>32</v>
      </c>
      <c r="G8744" s="30" t="s">
        <v>112</v>
      </c>
      <c r="H8744" s="32">
        <v>0</v>
      </c>
      <c r="I8744" s="30" t="s">
        <v>21</v>
      </c>
      <c r="J8744" s="41">
        <v>44348</v>
      </c>
      <c r="K8744" s="30" t="s">
        <v>22</v>
      </c>
    </row>
    <row r="8745" spans="1:11">
      <c r="A8745" s="33" t="s">
        <v>20104</v>
      </c>
      <c r="B8745" s="33" t="s">
        <v>20105</v>
      </c>
      <c r="C8745" s="33" t="s">
        <v>11863</v>
      </c>
      <c r="D8745" s="33" t="s">
        <v>17</v>
      </c>
      <c r="E8745" s="33" t="s">
        <v>31</v>
      </c>
      <c r="F8745" s="33" t="s">
        <v>32</v>
      </c>
      <c r="G8745" s="33" t="s">
        <v>50</v>
      </c>
      <c r="H8745" s="35">
        <v>60</v>
      </c>
      <c r="I8745" s="33" t="s">
        <v>51</v>
      </c>
      <c r="J8745" s="42">
        <v>44319</v>
      </c>
      <c r="K8745" s="33" t="s">
        <v>22</v>
      </c>
    </row>
    <row r="8746" spans="1:11">
      <c r="A8746" s="30" t="s">
        <v>20106</v>
      </c>
      <c r="B8746" s="30" t="s">
        <v>20107</v>
      </c>
      <c r="C8746" s="30" t="s">
        <v>20108</v>
      </c>
      <c r="D8746" s="30" t="s">
        <v>17</v>
      </c>
      <c r="E8746" s="30" t="s">
        <v>26</v>
      </c>
      <c r="F8746" s="30" t="s">
        <v>27</v>
      </c>
      <c r="G8746" s="30" t="s">
        <v>106</v>
      </c>
      <c r="H8746" s="32">
        <v>25</v>
      </c>
      <c r="I8746" s="30" t="s">
        <v>21</v>
      </c>
      <c r="J8746" s="41">
        <v>44349</v>
      </c>
      <c r="K8746" s="30" t="s">
        <v>22</v>
      </c>
    </row>
    <row r="8747" spans="1:11">
      <c r="A8747" s="33" t="s">
        <v>20109</v>
      </c>
      <c r="B8747" s="33" t="s">
        <v>20110</v>
      </c>
      <c r="C8747" s="33" t="s">
        <v>20111</v>
      </c>
      <c r="D8747" s="33" t="s">
        <v>17</v>
      </c>
      <c r="E8747" s="33" t="s">
        <v>18</v>
      </c>
      <c r="F8747" s="33" t="s">
        <v>19</v>
      </c>
      <c r="G8747" s="33" t="s">
        <v>158</v>
      </c>
      <c r="H8747" s="35">
        <v>528</v>
      </c>
      <c r="I8747" s="33" t="s">
        <v>51</v>
      </c>
      <c r="J8747" s="42">
        <v>44250</v>
      </c>
      <c r="K8747" s="33" t="s">
        <v>22</v>
      </c>
    </row>
    <row r="8748" spans="1:11">
      <c r="A8748" s="30" t="s">
        <v>20112</v>
      </c>
      <c r="B8748" s="30" t="s">
        <v>20113</v>
      </c>
      <c r="C8748" s="30" t="s">
        <v>2728</v>
      </c>
      <c r="D8748" s="30" t="s">
        <v>17</v>
      </c>
      <c r="E8748" s="30" t="s">
        <v>31</v>
      </c>
      <c r="F8748" s="30" t="s">
        <v>32</v>
      </c>
      <c r="G8748" s="30" t="s">
        <v>20</v>
      </c>
      <c r="H8748" s="32">
        <v>10</v>
      </c>
      <c r="I8748" s="30" t="s">
        <v>21</v>
      </c>
      <c r="J8748" s="41">
        <v>44256</v>
      </c>
      <c r="K8748" s="30" t="s">
        <v>22</v>
      </c>
    </row>
    <row r="8749" spans="1:11">
      <c r="A8749" s="33" t="s">
        <v>20114</v>
      </c>
      <c r="B8749" s="33" t="s">
        <v>20115</v>
      </c>
      <c r="C8749" s="33" t="s">
        <v>20116</v>
      </c>
      <c r="D8749" s="33" t="s">
        <v>17</v>
      </c>
      <c r="E8749" s="33" t="s">
        <v>26</v>
      </c>
      <c r="F8749" s="33" t="s">
        <v>27</v>
      </c>
      <c r="G8749" s="33" t="s">
        <v>20</v>
      </c>
      <c r="H8749" s="35">
        <v>25</v>
      </c>
      <c r="I8749" s="33" t="s">
        <v>21</v>
      </c>
      <c r="J8749" s="42">
        <v>44805</v>
      </c>
      <c r="K8749" s="33" t="s">
        <v>22</v>
      </c>
    </row>
    <row r="8750" spans="1:11">
      <c r="A8750" s="30" t="s">
        <v>20117</v>
      </c>
      <c r="B8750" s="30" t="s">
        <v>20118</v>
      </c>
      <c r="C8750" s="30" t="s">
        <v>11402</v>
      </c>
      <c r="D8750" s="30" t="s">
        <v>17</v>
      </c>
      <c r="E8750" s="30" t="s">
        <v>67</v>
      </c>
      <c r="F8750" s="30" t="s">
        <v>68</v>
      </c>
      <c r="G8750" s="30" t="s">
        <v>140</v>
      </c>
      <c r="H8750" s="32">
        <v>60</v>
      </c>
      <c r="I8750" s="30" t="s">
        <v>51</v>
      </c>
      <c r="J8750" s="41">
        <v>44631</v>
      </c>
      <c r="K8750" s="30" t="s">
        <v>22</v>
      </c>
    </row>
    <row r="8751" spans="1:11">
      <c r="A8751" s="33" t="s">
        <v>20119</v>
      </c>
      <c r="B8751" s="33" t="s">
        <v>20120</v>
      </c>
      <c r="C8751" s="33" t="s">
        <v>399</v>
      </c>
      <c r="D8751" s="33" t="s">
        <v>17</v>
      </c>
      <c r="E8751" s="33" t="s">
        <v>18</v>
      </c>
      <c r="F8751" s="33" t="s">
        <v>19</v>
      </c>
      <c r="G8751" s="33" t="s">
        <v>112</v>
      </c>
      <c r="H8751" s="35">
        <v>0</v>
      </c>
      <c r="I8751" s="33" t="s">
        <v>21</v>
      </c>
      <c r="J8751" s="42">
        <v>44743</v>
      </c>
      <c r="K8751" s="33" t="s">
        <v>22</v>
      </c>
    </row>
    <row r="8752" spans="1:11">
      <c r="A8752" s="30" t="s">
        <v>20121</v>
      </c>
      <c r="B8752" s="30" t="s">
        <v>20122</v>
      </c>
      <c r="C8752" s="30" t="s">
        <v>9010</v>
      </c>
      <c r="D8752" s="30" t="s">
        <v>17</v>
      </c>
      <c r="E8752" s="30" t="s">
        <v>18</v>
      </c>
      <c r="F8752" s="30" t="s">
        <v>19</v>
      </c>
      <c r="G8752" s="30" t="s">
        <v>50</v>
      </c>
      <c r="H8752" s="32">
        <v>328</v>
      </c>
      <c r="I8752" s="30" t="s">
        <v>51</v>
      </c>
      <c r="J8752" s="41">
        <v>44621</v>
      </c>
      <c r="K8752" s="30" t="s">
        <v>22</v>
      </c>
    </row>
    <row r="8753" spans="1:11">
      <c r="A8753" s="33" t="s">
        <v>20123</v>
      </c>
      <c r="B8753" s="33" t="s">
        <v>20124</v>
      </c>
      <c r="C8753" s="33" t="s">
        <v>60</v>
      </c>
      <c r="D8753" s="33" t="s">
        <v>17</v>
      </c>
      <c r="E8753" s="33" t="s">
        <v>18</v>
      </c>
      <c r="F8753" s="33" t="s">
        <v>19</v>
      </c>
      <c r="G8753" s="33" t="s">
        <v>20</v>
      </c>
      <c r="H8753" s="35">
        <v>71</v>
      </c>
      <c r="I8753" s="33" t="s">
        <v>21</v>
      </c>
      <c r="J8753" s="42">
        <v>44578</v>
      </c>
      <c r="K8753" s="33" t="s">
        <v>22</v>
      </c>
    </row>
    <row r="8754" spans="1:11">
      <c r="A8754" s="30" t="s">
        <v>20125</v>
      </c>
      <c r="B8754" s="30" t="s">
        <v>20126</v>
      </c>
      <c r="C8754" s="30" t="s">
        <v>20127</v>
      </c>
      <c r="D8754" s="30" t="s">
        <v>17</v>
      </c>
      <c r="E8754" s="30" t="s">
        <v>18</v>
      </c>
      <c r="F8754" s="30" t="s">
        <v>19</v>
      </c>
      <c r="G8754" s="30" t="s">
        <v>50</v>
      </c>
      <c r="H8754" s="32">
        <v>100</v>
      </c>
      <c r="I8754" s="30" t="s">
        <v>51</v>
      </c>
      <c r="J8754" s="41">
        <v>44743</v>
      </c>
      <c r="K8754" s="30" t="s">
        <v>22</v>
      </c>
    </row>
    <row r="8755" spans="1:11">
      <c r="A8755" s="33" t="s">
        <v>20128</v>
      </c>
      <c r="B8755" s="33" t="s">
        <v>20129</v>
      </c>
      <c r="C8755" s="33" t="s">
        <v>157</v>
      </c>
      <c r="D8755" s="33" t="s">
        <v>17</v>
      </c>
      <c r="E8755" s="33" t="s">
        <v>18</v>
      </c>
      <c r="F8755" s="33" t="s">
        <v>19</v>
      </c>
      <c r="G8755" s="33" t="s">
        <v>20</v>
      </c>
      <c r="H8755" s="35">
        <v>41</v>
      </c>
      <c r="I8755" s="33" t="s">
        <v>21</v>
      </c>
      <c r="J8755" s="42">
        <v>44579</v>
      </c>
      <c r="K8755" s="33" t="s">
        <v>22</v>
      </c>
    </row>
    <row r="8756" spans="1:11">
      <c r="A8756" s="30" t="s">
        <v>20130</v>
      </c>
      <c r="B8756" s="30" t="s">
        <v>20131</v>
      </c>
      <c r="C8756" s="30" t="s">
        <v>20132</v>
      </c>
      <c r="D8756" s="30" t="s">
        <v>17</v>
      </c>
      <c r="E8756" s="30" t="s">
        <v>26</v>
      </c>
      <c r="F8756" s="30" t="s">
        <v>27</v>
      </c>
      <c r="G8756" s="30" t="s">
        <v>20</v>
      </c>
      <c r="H8756" s="32">
        <v>27</v>
      </c>
      <c r="I8756" s="30" t="s">
        <v>21</v>
      </c>
      <c r="J8756" s="41">
        <v>44818</v>
      </c>
      <c r="K8756" s="30" t="s">
        <v>22</v>
      </c>
    </row>
    <row r="8757" spans="1:11">
      <c r="A8757" s="33" t="s">
        <v>20133</v>
      </c>
      <c r="B8757" s="33" t="s">
        <v>20134</v>
      </c>
      <c r="C8757" s="33" t="s">
        <v>20135</v>
      </c>
      <c r="D8757" s="33" t="s">
        <v>17</v>
      </c>
      <c r="E8757" s="33" t="s">
        <v>26</v>
      </c>
      <c r="F8757" s="33" t="s">
        <v>27</v>
      </c>
      <c r="G8757" s="33" t="s">
        <v>20</v>
      </c>
      <c r="H8757" s="35">
        <v>48</v>
      </c>
      <c r="I8757" s="33" t="s">
        <v>21</v>
      </c>
      <c r="J8757" s="42">
        <v>44872</v>
      </c>
      <c r="K8757" s="33" t="s">
        <v>22</v>
      </c>
    </row>
    <row r="8758" spans="1:11">
      <c r="A8758" s="30" t="s">
        <v>20136</v>
      </c>
      <c r="B8758" s="30" t="s">
        <v>20137</v>
      </c>
      <c r="C8758" s="30" t="s">
        <v>3748</v>
      </c>
      <c r="D8758" s="30" t="s">
        <v>17</v>
      </c>
      <c r="E8758" s="30" t="s">
        <v>31</v>
      </c>
      <c r="F8758" s="30" t="s">
        <v>32</v>
      </c>
      <c r="G8758" s="30" t="s">
        <v>20</v>
      </c>
      <c r="H8758" s="32">
        <v>30</v>
      </c>
      <c r="I8758" s="30" t="s">
        <v>21</v>
      </c>
      <c r="J8758" s="41">
        <v>44907</v>
      </c>
      <c r="K8758" s="30" t="s">
        <v>22</v>
      </c>
    </row>
    <row r="8759" spans="1:11">
      <c r="A8759" s="33" t="s">
        <v>20138</v>
      </c>
      <c r="B8759" s="33" t="s">
        <v>20139</v>
      </c>
      <c r="C8759" s="33" t="s">
        <v>20140</v>
      </c>
      <c r="D8759" s="33" t="s">
        <v>17</v>
      </c>
      <c r="E8759" s="33" t="s">
        <v>31</v>
      </c>
      <c r="F8759" s="33" t="s">
        <v>32</v>
      </c>
      <c r="G8759" s="33" t="s">
        <v>140</v>
      </c>
      <c r="H8759" s="35">
        <v>30</v>
      </c>
      <c r="I8759" s="33" t="s">
        <v>51</v>
      </c>
      <c r="J8759" s="42">
        <v>44767</v>
      </c>
      <c r="K8759" s="33" t="s">
        <v>22</v>
      </c>
    </row>
    <row r="8760" spans="1:11">
      <c r="A8760" s="30" t="s">
        <v>20141</v>
      </c>
      <c r="B8760" s="30" t="s">
        <v>20142</v>
      </c>
      <c r="C8760" s="30" t="s">
        <v>4473</v>
      </c>
      <c r="D8760" s="30" t="s">
        <v>17</v>
      </c>
      <c r="E8760" s="30" t="s">
        <v>26</v>
      </c>
      <c r="F8760" s="30" t="s">
        <v>27</v>
      </c>
      <c r="G8760" s="30" t="s">
        <v>106</v>
      </c>
      <c r="H8760" s="32">
        <v>8</v>
      </c>
      <c r="I8760" s="30" t="s">
        <v>21</v>
      </c>
      <c r="J8760" s="41">
        <v>44694</v>
      </c>
      <c r="K8760" s="30" t="s">
        <v>22</v>
      </c>
    </row>
    <row r="8761" spans="1:11">
      <c r="A8761" s="33" t="s">
        <v>20143</v>
      </c>
      <c r="B8761" s="33" t="s">
        <v>20144</v>
      </c>
      <c r="C8761" s="33" t="s">
        <v>1905</v>
      </c>
      <c r="D8761" s="33" t="s">
        <v>17</v>
      </c>
      <c r="E8761" s="33" t="s">
        <v>31</v>
      </c>
      <c r="F8761" s="33" t="s">
        <v>32</v>
      </c>
      <c r="G8761" s="33" t="s">
        <v>20</v>
      </c>
      <c r="H8761" s="35">
        <v>67</v>
      </c>
      <c r="I8761" s="33" t="s">
        <v>21</v>
      </c>
      <c r="J8761" s="42">
        <v>44875</v>
      </c>
      <c r="K8761" s="33" t="s">
        <v>22</v>
      </c>
    </row>
    <row r="8762" spans="1:11">
      <c r="A8762" s="30" t="s">
        <v>20145</v>
      </c>
      <c r="B8762" s="30" t="s">
        <v>20146</v>
      </c>
      <c r="C8762" s="30" t="s">
        <v>20147</v>
      </c>
      <c r="D8762" s="30" t="s">
        <v>17</v>
      </c>
      <c r="E8762" s="30" t="s">
        <v>26</v>
      </c>
      <c r="F8762" s="30" t="s">
        <v>27</v>
      </c>
      <c r="G8762" s="30" t="s">
        <v>20</v>
      </c>
      <c r="H8762" s="32">
        <v>41</v>
      </c>
      <c r="I8762" s="30" t="s">
        <v>21</v>
      </c>
      <c r="J8762" s="41">
        <v>44769</v>
      </c>
      <c r="K8762" s="30" t="s">
        <v>22</v>
      </c>
    </row>
    <row r="8763" spans="1:11">
      <c r="A8763" s="33" t="s">
        <v>20148</v>
      </c>
      <c r="B8763" s="33" t="s">
        <v>20149</v>
      </c>
      <c r="C8763" s="33" t="s">
        <v>379</v>
      </c>
      <c r="D8763" s="33" t="s">
        <v>17</v>
      </c>
      <c r="E8763" s="33" t="s">
        <v>31</v>
      </c>
      <c r="F8763" s="33" t="s">
        <v>32</v>
      </c>
      <c r="G8763" s="33" t="s">
        <v>50</v>
      </c>
      <c r="H8763" s="35">
        <v>40</v>
      </c>
      <c r="I8763" s="33" t="s">
        <v>51</v>
      </c>
      <c r="J8763" s="42">
        <v>44643</v>
      </c>
      <c r="K8763" s="33" t="s">
        <v>22</v>
      </c>
    </row>
    <row r="8764" spans="1:11">
      <c r="A8764" s="30" t="s">
        <v>20150</v>
      </c>
      <c r="B8764" s="30" t="s">
        <v>20151</v>
      </c>
      <c r="C8764" s="30" t="s">
        <v>20152</v>
      </c>
      <c r="D8764" s="30" t="s">
        <v>17</v>
      </c>
      <c r="E8764" s="30" t="s">
        <v>31</v>
      </c>
      <c r="F8764" s="30" t="s">
        <v>32</v>
      </c>
      <c r="G8764" s="30" t="s">
        <v>20</v>
      </c>
      <c r="H8764" s="32">
        <v>15</v>
      </c>
      <c r="I8764" s="30" t="s">
        <v>21</v>
      </c>
      <c r="J8764" s="41">
        <v>44823</v>
      </c>
      <c r="K8764" s="30" t="s">
        <v>22</v>
      </c>
    </row>
    <row r="8765" spans="1:11">
      <c r="A8765" s="33" t="s">
        <v>20153</v>
      </c>
      <c r="B8765" s="33" t="s">
        <v>20154</v>
      </c>
      <c r="C8765" s="33" t="s">
        <v>936</v>
      </c>
      <c r="D8765" s="33" t="s">
        <v>17</v>
      </c>
      <c r="E8765" s="33" t="s">
        <v>26</v>
      </c>
      <c r="F8765" s="33" t="s">
        <v>27</v>
      </c>
      <c r="G8765" s="33" t="s">
        <v>106</v>
      </c>
      <c r="H8765" s="35">
        <v>12</v>
      </c>
      <c r="I8765" s="33" t="s">
        <v>21</v>
      </c>
      <c r="J8765" s="42">
        <v>44914</v>
      </c>
      <c r="K8765" s="33" t="s">
        <v>22</v>
      </c>
    </row>
    <row r="8766" spans="1:11">
      <c r="A8766" s="30" t="s">
        <v>20155</v>
      </c>
      <c r="B8766" s="30" t="s">
        <v>20156</v>
      </c>
      <c r="C8766" s="30" t="s">
        <v>1612</v>
      </c>
      <c r="D8766" s="30" t="s">
        <v>17</v>
      </c>
      <c r="E8766" s="30" t="s">
        <v>67</v>
      </c>
      <c r="F8766" s="30" t="s">
        <v>68</v>
      </c>
      <c r="G8766" s="30" t="s">
        <v>20</v>
      </c>
      <c r="H8766" s="32">
        <v>241</v>
      </c>
      <c r="I8766" s="30" t="s">
        <v>21</v>
      </c>
      <c r="J8766" s="41">
        <v>44564</v>
      </c>
      <c r="K8766" s="30" t="s">
        <v>22</v>
      </c>
    </row>
    <row r="8767" spans="1:11">
      <c r="A8767" s="33" t="s">
        <v>20157</v>
      </c>
      <c r="B8767" s="33" t="s">
        <v>20158</v>
      </c>
      <c r="C8767" s="33" t="s">
        <v>124</v>
      </c>
      <c r="D8767" s="33" t="s">
        <v>17</v>
      </c>
      <c r="E8767" s="33" t="s">
        <v>26</v>
      </c>
      <c r="F8767" s="33" t="s">
        <v>27</v>
      </c>
      <c r="G8767" s="33" t="s">
        <v>20</v>
      </c>
      <c r="H8767" s="35">
        <v>96</v>
      </c>
      <c r="I8767" s="33" t="s">
        <v>21</v>
      </c>
      <c r="J8767" s="42">
        <v>44614</v>
      </c>
      <c r="K8767" s="33" t="s">
        <v>22</v>
      </c>
    </row>
    <row r="8768" spans="1:11">
      <c r="A8768" s="30" t="s">
        <v>20159</v>
      </c>
      <c r="B8768" s="30" t="s">
        <v>20160</v>
      </c>
      <c r="C8768" s="30" t="s">
        <v>20161</v>
      </c>
      <c r="D8768" s="30" t="s">
        <v>17</v>
      </c>
      <c r="E8768" s="30" t="s">
        <v>26</v>
      </c>
      <c r="F8768" s="30" t="s">
        <v>27</v>
      </c>
      <c r="G8768" s="30" t="s">
        <v>140</v>
      </c>
      <c r="H8768" s="32">
        <v>164</v>
      </c>
      <c r="I8768" s="30" t="s">
        <v>51</v>
      </c>
      <c r="J8768" s="41">
        <v>44753</v>
      </c>
      <c r="K8768" s="30" t="s">
        <v>22</v>
      </c>
    </row>
    <row r="8769" spans="1:11">
      <c r="A8769" s="33" t="s">
        <v>20162</v>
      </c>
      <c r="B8769" s="33" t="s">
        <v>20163</v>
      </c>
      <c r="C8769" s="33" t="s">
        <v>20164</v>
      </c>
      <c r="D8769" s="33" t="s">
        <v>17</v>
      </c>
      <c r="E8769" s="33" t="s">
        <v>26</v>
      </c>
      <c r="F8769" s="33" t="s">
        <v>27</v>
      </c>
      <c r="G8769" s="33" t="s">
        <v>140</v>
      </c>
      <c r="H8769" s="35">
        <v>40</v>
      </c>
      <c r="I8769" s="33" t="s">
        <v>51</v>
      </c>
      <c r="J8769" s="42">
        <v>44672</v>
      </c>
      <c r="K8769" s="33" t="s">
        <v>22</v>
      </c>
    </row>
    <row r="8770" spans="1:11">
      <c r="A8770" s="30" t="s">
        <v>20165</v>
      </c>
      <c r="B8770" s="30" t="s">
        <v>20166</v>
      </c>
      <c r="C8770" s="30" t="s">
        <v>3594</v>
      </c>
      <c r="D8770" s="30" t="s">
        <v>17</v>
      </c>
      <c r="E8770" s="30" t="s">
        <v>31</v>
      </c>
      <c r="F8770" s="30" t="s">
        <v>32</v>
      </c>
      <c r="G8770" s="30" t="s">
        <v>158</v>
      </c>
      <c r="H8770" s="32">
        <v>87</v>
      </c>
      <c r="I8770" s="30" t="s">
        <v>21</v>
      </c>
      <c r="J8770" s="41">
        <v>44872</v>
      </c>
      <c r="K8770" s="30" t="s">
        <v>22</v>
      </c>
    </row>
    <row r="8771" spans="1:11">
      <c r="A8771" s="33" t="s">
        <v>20167</v>
      </c>
      <c r="B8771" s="33" t="s">
        <v>20168</v>
      </c>
      <c r="C8771" s="33" t="s">
        <v>11899</v>
      </c>
      <c r="D8771" s="33" t="s">
        <v>17</v>
      </c>
      <c r="E8771" s="33" t="s">
        <v>67</v>
      </c>
      <c r="F8771" s="33" t="s">
        <v>68</v>
      </c>
      <c r="G8771" s="33" t="s">
        <v>7780</v>
      </c>
      <c r="H8771" s="35">
        <v>160</v>
      </c>
      <c r="I8771" s="33" t="s">
        <v>51</v>
      </c>
      <c r="J8771" s="42">
        <v>44835</v>
      </c>
      <c r="K8771" s="33" t="s">
        <v>22</v>
      </c>
    </row>
    <row r="8772" spans="1:11">
      <c r="A8772" s="30" t="s">
        <v>20169</v>
      </c>
      <c r="B8772" s="30" t="s">
        <v>20170</v>
      </c>
      <c r="C8772" s="30" t="s">
        <v>10135</v>
      </c>
      <c r="D8772" s="30" t="s">
        <v>17</v>
      </c>
      <c r="E8772" s="30" t="s">
        <v>26</v>
      </c>
      <c r="F8772" s="30" t="s">
        <v>27</v>
      </c>
      <c r="G8772" s="30" t="s">
        <v>20</v>
      </c>
      <c r="H8772" s="32">
        <v>40</v>
      </c>
      <c r="I8772" s="30" t="s">
        <v>21</v>
      </c>
      <c r="J8772" s="41">
        <v>44694</v>
      </c>
      <c r="K8772" s="30" t="s">
        <v>22</v>
      </c>
    </row>
    <row r="8773" spans="1:11">
      <c r="A8773" s="33" t="s">
        <v>20171</v>
      </c>
      <c r="B8773" s="33" t="s">
        <v>20172</v>
      </c>
      <c r="C8773" s="33" t="s">
        <v>549</v>
      </c>
      <c r="D8773" s="33" t="s">
        <v>17</v>
      </c>
      <c r="E8773" s="33" t="s">
        <v>18</v>
      </c>
      <c r="F8773" s="33" t="s">
        <v>19</v>
      </c>
      <c r="G8773" s="33" t="s">
        <v>158</v>
      </c>
      <c r="H8773" s="35">
        <v>113</v>
      </c>
      <c r="I8773" s="33" t="s">
        <v>21</v>
      </c>
      <c r="J8773" s="42">
        <v>44594</v>
      </c>
      <c r="K8773" s="33" t="s">
        <v>22</v>
      </c>
    </row>
    <row r="8774" spans="1:11">
      <c r="A8774" s="30" t="s">
        <v>20173</v>
      </c>
      <c r="B8774" s="30" t="s">
        <v>20174</v>
      </c>
      <c r="C8774" s="30" t="s">
        <v>2472</v>
      </c>
      <c r="D8774" s="30" t="s">
        <v>17</v>
      </c>
      <c r="E8774" s="30" t="s">
        <v>67</v>
      </c>
      <c r="F8774" s="30" t="s">
        <v>68</v>
      </c>
      <c r="G8774" s="30" t="s">
        <v>158</v>
      </c>
      <c r="H8774" s="32">
        <v>15</v>
      </c>
      <c r="I8774" s="30" t="s">
        <v>21</v>
      </c>
      <c r="J8774" s="41">
        <v>44713</v>
      </c>
      <c r="K8774" s="30" t="s">
        <v>22</v>
      </c>
    </row>
    <row r="8775" spans="1:11">
      <c r="A8775" s="33" t="s">
        <v>20175</v>
      </c>
      <c r="B8775" s="33" t="s">
        <v>20176</v>
      </c>
      <c r="C8775" s="33" t="s">
        <v>20177</v>
      </c>
      <c r="D8775" s="33" t="s">
        <v>17</v>
      </c>
      <c r="E8775" s="33" t="s">
        <v>212</v>
      </c>
      <c r="F8775" s="33" t="s">
        <v>213</v>
      </c>
      <c r="G8775" s="33" t="s">
        <v>50</v>
      </c>
      <c r="H8775" s="35">
        <v>2000</v>
      </c>
      <c r="I8775" s="33" t="s">
        <v>51</v>
      </c>
      <c r="J8775" s="42">
        <v>44682</v>
      </c>
      <c r="K8775" s="33" t="s">
        <v>22</v>
      </c>
    </row>
    <row r="8776" spans="1:11">
      <c r="A8776" s="30" t="s">
        <v>20178</v>
      </c>
      <c r="B8776" s="30" t="s">
        <v>20179</v>
      </c>
      <c r="C8776" s="30" t="s">
        <v>2825</v>
      </c>
      <c r="D8776" s="30" t="s">
        <v>17</v>
      </c>
      <c r="E8776" s="30" t="s">
        <v>31</v>
      </c>
      <c r="F8776" s="30" t="s">
        <v>32</v>
      </c>
      <c r="G8776" s="30" t="s">
        <v>20</v>
      </c>
      <c r="H8776" s="32">
        <v>421</v>
      </c>
      <c r="I8776" s="30" t="s">
        <v>21</v>
      </c>
      <c r="J8776" s="41">
        <v>44592</v>
      </c>
      <c r="K8776" s="30" t="s">
        <v>22</v>
      </c>
    </row>
    <row r="8777" spans="1:11">
      <c r="A8777" s="33" t="s">
        <v>20180</v>
      </c>
      <c r="B8777" s="33" t="s">
        <v>20181</v>
      </c>
      <c r="C8777" s="33" t="s">
        <v>124</v>
      </c>
      <c r="D8777" s="33" t="s">
        <v>17</v>
      </c>
      <c r="E8777" s="33" t="s">
        <v>26</v>
      </c>
      <c r="F8777" s="33" t="s">
        <v>27</v>
      </c>
      <c r="G8777" s="33" t="s">
        <v>20</v>
      </c>
      <c r="H8777" s="35">
        <v>48</v>
      </c>
      <c r="I8777" s="33" t="s">
        <v>21</v>
      </c>
      <c r="J8777" s="42">
        <v>44727</v>
      </c>
      <c r="K8777" s="33" t="s">
        <v>22</v>
      </c>
    </row>
    <row r="8778" spans="1:11">
      <c r="A8778" s="30" t="s">
        <v>20182</v>
      </c>
      <c r="B8778" s="30" t="s">
        <v>20183</v>
      </c>
      <c r="C8778" s="30" t="s">
        <v>20184</v>
      </c>
      <c r="D8778" s="30" t="s">
        <v>17</v>
      </c>
      <c r="E8778" s="30" t="s">
        <v>18</v>
      </c>
      <c r="F8778" s="30" t="s">
        <v>19</v>
      </c>
      <c r="G8778" s="30" t="s">
        <v>140</v>
      </c>
      <c r="H8778" s="32">
        <v>261</v>
      </c>
      <c r="I8778" s="30" t="s">
        <v>51</v>
      </c>
      <c r="J8778" s="41">
        <v>44907</v>
      </c>
      <c r="K8778" s="30" t="s">
        <v>22</v>
      </c>
    </row>
    <row r="8779" spans="1:11">
      <c r="A8779" s="33" t="s">
        <v>20185</v>
      </c>
      <c r="B8779" s="33" t="s">
        <v>20186</v>
      </c>
      <c r="C8779" s="33" t="s">
        <v>19012</v>
      </c>
      <c r="D8779" s="33" t="s">
        <v>17</v>
      </c>
      <c r="E8779" s="33" t="s">
        <v>212</v>
      </c>
      <c r="F8779" s="33" t="s">
        <v>213</v>
      </c>
      <c r="G8779" s="33" t="s">
        <v>50</v>
      </c>
      <c r="H8779" s="35">
        <v>75</v>
      </c>
      <c r="I8779" s="33" t="s">
        <v>51</v>
      </c>
      <c r="J8779" s="42">
        <v>44564</v>
      </c>
      <c r="K8779" s="33" t="s">
        <v>22</v>
      </c>
    </row>
    <row r="8780" spans="1:11">
      <c r="A8780" s="30" t="s">
        <v>20187</v>
      </c>
      <c r="B8780" s="30" t="s">
        <v>20188</v>
      </c>
      <c r="C8780" s="30" t="s">
        <v>20189</v>
      </c>
      <c r="D8780" s="30" t="s">
        <v>17</v>
      </c>
      <c r="E8780" s="30" t="s">
        <v>31</v>
      </c>
      <c r="F8780" s="30" t="s">
        <v>32</v>
      </c>
      <c r="G8780" s="30" t="s">
        <v>69</v>
      </c>
      <c r="H8780" s="32">
        <v>20</v>
      </c>
      <c r="I8780" s="30" t="s">
        <v>51</v>
      </c>
      <c r="J8780" s="41">
        <v>44895</v>
      </c>
      <c r="K8780" s="30" t="s">
        <v>22</v>
      </c>
    </row>
    <row r="8781" spans="1:11">
      <c r="A8781" s="33" t="s">
        <v>20190</v>
      </c>
      <c r="B8781" s="33" t="s">
        <v>20191</v>
      </c>
      <c r="C8781" s="33" t="s">
        <v>20089</v>
      </c>
      <c r="D8781" s="33" t="s">
        <v>17</v>
      </c>
      <c r="E8781" s="33" t="s">
        <v>18</v>
      </c>
      <c r="F8781" s="33" t="s">
        <v>19</v>
      </c>
      <c r="G8781" s="33" t="s">
        <v>106</v>
      </c>
      <c r="H8781" s="35">
        <v>50</v>
      </c>
      <c r="I8781" s="33" t="s">
        <v>21</v>
      </c>
      <c r="J8781" s="42">
        <v>44917</v>
      </c>
      <c r="K8781" s="33" t="s">
        <v>22</v>
      </c>
    </row>
    <row r="8782" spans="1:11">
      <c r="A8782" s="30" t="s">
        <v>20192</v>
      </c>
      <c r="B8782" s="30" t="s">
        <v>20193</v>
      </c>
      <c r="C8782" s="30" t="s">
        <v>20194</v>
      </c>
      <c r="D8782" s="30" t="s">
        <v>17</v>
      </c>
      <c r="E8782" s="30" t="s">
        <v>18</v>
      </c>
      <c r="F8782" s="30" t="s">
        <v>19</v>
      </c>
      <c r="G8782" s="30" t="s">
        <v>158</v>
      </c>
      <c r="H8782" s="32">
        <v>215</v>
      </c>
      <c r="I8782" s="30" t="s">
        <v>51</v>
      </c>
      <c r="J8782" s="41">
        <v>44689</v>
      </c>
      <c r="K8782" s="30" t="s">
        <v>22</v>
      </c>
    </row>
    <row r="8783" spans="1:11">
      <c r="A8783" s="33" t="s">
        <v>20195</v>
      </c>
      <c r="B8783" s="33" t="s">
        <v>20196</v>
      </c>
      <c r="C8783" s="33" t="s">
        <v>20197</v>
      </c>
      <c r="D8783" s="33" t="s">
        <v>17</v>
      </c>
      <c r="E8783" s="33" t="s">
        <v>31</v>
      </c>
      <c r="F8783" s="33" t="s">
        <v>32</v>
      </c>
      <c r="G8783" s="33" t="s">
        <v>20</v>
      </c>
      <c r="H8783" s="35">
        <v>10</v>
      </c>
      <c r="I8783" s="33" t="s">
        <v>21</v>
      </c>
      <c r="J8783" s="42">
        <v>44805</v>
      </c>
      <c r="K8783" s="33" t="s">
        <v>22</v>
      </c>
    </row>
    <row r="8784" spans="1:11">
      <c r="A8784" s="30" t="s">
        <v>20198</v>
      </c>
      <c r="B8784" s="30" t="s">
        <v>20199</v>
      </c>
      <c r="C8784" s="30" t="s">
        <v>20200</v>
      </c>
      <c r="D8784" s="30" t="s">
        <v>17</v>
      </c>
      <c r="E8784" s="30" t="s">
        <v>26</v>
      </c>
      <c r="F8784" s="30" t="s">
        <v>27</v>
      </c>
      <c r="G8784" s="30" t="s">
        <v>50</v>
      </c>
      <c r="H8784" s="32">
        <v>21</v>
      </c>
      <c r="I8784" s="30" t="s">
        <v>21</v>
      </c>
      <c r="J8784" s="41">
        <v>44567</v>
      </c>
      <c r="K8784" s="30" t="s">
        <v>22</v>
      </c>
    </row>
    <row r="8785" spans="1:11">
      <c r="A8785" s="33" t="s">
        <v>20201</v>
      </c>
      <c r="B8785" s="33" t="s">
        <v>20202</v>
      </c>
      <c r="C8785" s="33" t="s">
        <v>20203</v>
      </c>
      <c r="D8785" s="33" t="s">
        <v>17</v>
      </c>
      <c r="E8785" s="33" t="s">
        <v>26</v>
      </c>
      <c r="F8785" s="33" t="s">
        <v>27</v>
      </c>
      <c r="G8785" s="33" t="s">
        <v>158</v>
      </c>
      <c r="H8785" s="35">
        <v>39</v>
      </c>
      <c r="I8785" s="33" t="s">
        <v>21</v>
      </c>
      <c r="J8785" s="42">
        <v>44651</v>
      </c>
      <c r="K8785" s="33" t="s">
        <v>22</v>
      </c>
    </row>
    <row r="8786" spans="1:11">
      <c r="A8786" s="30" t="s">
        <v>20204</v>
      </c>
      <c r="B8786" s="30" t="s">
        <v>20205</v>
      </c>
      <c r="C8786" s="30" t="s">
        <v>20206</v>
      </c>
      <c r="D8786" s="30" t="s">
        <v>17</v>
      </c>
      <c r="E8786" s="30" t="s">
        <v>26</v>
      </c>
      <c r="F8786" s="30" t="s">
        <v>27</v>
      </c>
      <c r="G8786" s="30" t="s">
        <v>20</v>
      </c>
      <c r="H8786" s="32">
        <v>60</v>
      </c>
      <c r="I8786" s="30" t="s">
        <v>21</v>
      </c>
      <c r="J8786" s="41">
        <v>44834</v>
      </c>
      <c r="K8786" s="30" t="s">
        <v>22</v>
      </c>
    </row>
    <row r="8787" spans="1:11">
      <c r="A8787" s="33" t="s">
        <v>20207</v>
      </c>
      <c r="B8787" s="33" t="s">
        <v>20208</v>
      </c>
      <c r="C8787" s="33" t="s">
        <v>318</v>
      </c>
      <c r="D8787" s="33" t="s">
        <v>17</v>
      </c>
      <c r="E8787" s="33" t="s">
        <v>31</v>
      </c>
      <c r="F8787" s="33" t="s">
        <v>32</v>
      </c>
      <c r="G8787" s="33" t="s">
        <v>106</v>
      </c>
      <c r="H8787" s="35">
        <v>153</v>
      </c>
      <c r="I8787" s="33" t="s">
        <v>21</v>
      </c>
      <c r="J8787" s="42">
        <v>44581</v>
      </c>
      <c r="K8787" s="33" t="s">
        <v>22</v>
      </c>
    </row>
    <row r="8788" spans="1:11">
      <c r="A8788" s="30" t="s">
        <v>20209</v>
      </c>
      <c r="B8788" s="30" t="s">
        <v>20210</v>
      </c>
      <c r="C8788" s="30" t="s">
        <v>4742</v>
      </c>
      <c r="D8788" s="30" t="s">
        <v>17</v>
      </c>
      <c r="E8788" s="30" t="s">
        <v>31</v>
      </c>
      <c r="F8788" s="30" t="s">
        <v>32</v>
      </c>
      <c r="G8788" s="30" t="s">
        <v>69</v>
      </c>
      <c r="H8788" s="32">
        <v>640</v>
      </c>
      <c r="I8788" s="30" t="s">
        <v>51</v>
      </c>
      <c r="J8788" s="41">
        <v>44910</v>
      </c>
      <c r="K8788" s="30" t="s">
        <v>22</v>
      </c>
    </row>
    <row r="8789" spans="1:11">
      <c r="A8789" s="33" t="s">
        <v>20211</v>
      </c>
      <c r="B8789" s="33" t="s">
        <v>20212</v>
      </c>
      <c r="C8789" s="33" t="s">
        <v>1428</v>
      </c>
      <c r="D8789" s="33" t="s">
        <v>17</v>
      </c>
      <c r="E8789" s="33" t="s">
        <v>31</v>
      </c>
      <c r="F8789" s="33" t="s">
        <v>32</v>
      </c>
      <c r="G8789" s="33" t="s">
        <v>50</v>
      </c>
      <c r="H8789" s="35">
        <v>360</v>
      </c>
      <c r="I8789" s="33" t="s">
        <v>51</v>
      </c>
      <c r="J8789" s="42">
        <v>44640</v>
      </c>
      <c r="K8789" s="33" t="s">
        <v>22</v>
      </c>
    </row>
    <row r="8790" spans="1:11">
      <c r="A8790" s="30" t="s">
        <v>20213</v>
      </c>
      <c r="B8790" s="30" t="s">
        <v>20214</v>
      </c>
      <c r="C8790" s="30" t="s">
        <v>1370</v>
      </c>
      <c r="D8790" s="30" t="s">
        <v>17</v>
      </c>
      <c r="E8790" s="30" t="s">
        <v>26</v>
      </c>
      <c r="F8790" s="30" t="s">
        <v>27</v>
      </c>
      <c r="G8790" s="30" t="s">
        <v>50</v>
      </c>
      <c r="H8790" s="32">
        <v>100</v>
      </c>
      <c r="I8790" s="30" t="s">
        <v>51</v>
      </c>
      <c r="J8790" s="41">
        <v>44757</v>
      </c>
      <c r="K8790" s="30" t="s">
        <v>22</v>
      </c>
    </row>
    <row r="8791" spans="1:11">
      <c r="A8791" s="33" t="s">
        <v>20215</v>
      </c>
      <c r="B8791" s="33" t="s">
        <v>20216</v>
      </c>
      <c r="C8791" s="33" t="s">
        <v>96</v>
      </c>
      <c r="D8791" s="33" t="s">
        <v>17</v>
      </c>
      <c r="E8791" s="33" t="s">
        <v>26</v>
      </c>
      <c r="F8791" s="33" t="s">
        <v>27</v>
      </c>
      <c r="G8791" s="33" t="s">
        <v>20</v>
      </c>
      <c r="H8791" s="35">
        <v>42</v>
      </c>
      <c r="I8791" s="33" t="s">
        <v>21</v>
      </c>
      <c r="J8791" s="42">
        <v>44841</v>
      </c>
      <c r="K8791" s="33" t="s">
        <v>22</v>
      </c>
    </row>
    <row r="8792" spans="1:11">
      <c r="A8792" s="30" t="s">
        <v>20217</v>
      </c>
      <c r="B8792" s="30" t="s">
        <v>20218</v>
      </c>
      <c r="C8792" s="30" t="s">
        <v>2618</v>
      </c>
      <c r="D8792" s="30" t="s">
        <v>17</v>
      </c>
      <c r="E8792" s="30" t="s">
        <v>26</v>
      </c>
      <c r="F8792" s="30" t="s">
        <v>27</v>
      </c>
      <c r="G8792" s="30" t="s">
        <v>140</v>
      </c>
      <c r="H8792" s="32">
        <v>200</v>
      </c>
      <c r="I8792" s="30" t="s">
        <v>51</v>
      </c>
      <c r="J8792" s="41">
        <v>44777</v>
      </c>
      <c r="K8792" s="30" t="s">
        <v>22</v>
      </c>
    </row>
    <row r="8793" spans="1:11">
      <c r="A8793" s="33" t="s">
        <v>20219</v>
      </c>
      <c r="B8793" s="33" t="s">
        <v>20220</v>
      </c>
      <c r="C8793" s="33" t="s">
        <v>20221</v>
      </c>
      <c r="D8793" s="33" t="s">
        <v>17</v>
      </c>
      <c r="E8793" s="33" t="s">
        <v>67</v>
      </c>
      <c r="F8793" s="33" t="s">
        <v>68</v>
      </c>
      <c r="G8793" s="33" t="s">
        <v>50</v>
      </c>
      <c r="H8793" s="35">
        <v>160</v>
      </c>
      <c r="I8793" s="33" t="s">
        <v>51</v>
      </c>
      <c r="J8793" s="42">
        <v>44814</v>
      </c>
      <c r="K8793" s="33" t="s">
        <v>22</v>
      </c>
    </row>
    <row r="8794" spans="1:11">
      <c r="A8794" s="30" t="s">
        <v>20222</v>
      </c>
      <c r="B8794" s="30" t="s">
        <v>20223</v>
      </c>
      <c r="C8794" s="30" t="s">
        <v>3459</v>
      </c>
      <c r="D8794" s="30" t="s">
        <v>17</v>
      </c>
      <c r="E8794" s="30" t="s">
        <v>18</v>
      </c>
      <c r="F8794" s="30" t="s">
        <v>19</v>
      </c>
      <c r="G8794" s="30" t="s">
        <v>50</v>
      </c>
      <c r="H8794" s="32">
        <v>408</v>
      </c>
      <c r="I8794" s="30" t="s">
        <v>51</v>
      </c>
      <c r="J8794" s="41">
        <v>44640</v>
      </c>
      <c r="K8794" s="30" t="s">
        <v>22</v>
      </c>
    </row>
    <row r="8795" spans="1:11">
      <c r="A8795" s="33" t="s">
        <v>20224</v>
      </c>
      <c r="B8795" s="33" t="s">
        <v>20225</v>
      </c>
      <c r="C8795" s="33" t="s">
        <v>7935</v>
      </c>
      <c r="D8795" s="33" t="s">
        <v>17</v>
      </c>
      <c r="E8795" s="33" t="s">
        <v>26</v>
      </c>
      <c r="F8795" s="33" t="s">
        <v>27</v>
      </c>
      <c r="G8795" s="33" t="s">
        <v>20</v>
      </c>
      <c r="H8795" s="35">
        <v>6</v>
      </c>
      <c r="I8795" s="33" t="s">
        <v>21</v>
      </c>
      <c r="J8795" s="42">
        <v>44779</v>
      </c>
      <c r="K8795" s="33" t="s">
        <v>22</v>
      </c>
    </row>
    <row r="8796" spans="1:11">
      <c r="A8796" s="30" t="s">
        <v>20226</v>
      </c>
      <c r="B8796" s="30" t="s">
        <v>20227</v>
      </c>
      <c r="C8796" s="30" t="s">
        <v>249</v>
      </c>
      <c r="D8796" s="30" t="s">
        <v>17</v>
      </c>
      <c r="E8796" s="30" t="s">
        <v>18</v>
      </c>
      <c r="F8796" s="30" t="s">
        <v>19</v>
      </c>
      <c r="G8796" s="30" t="s">
        <v>112</v>
      </c>
      <c r="H8796" s="32">
        <v>0</v>
      </c>
      <c r="I8796" s="30" t="s">
        <v>21</v>
      </c>
      <c r="J8796" s="41">
        <v>44704</v>
      </c>
      <c r="K8796" s="30" t="s">
        <v>22</v>
      </c>
    </row>
    <row r="8797" spans="1:11">
      <c r="A8797" s="33" t="s">
        <v>20228</v>
      </c>
      <c r="B8797" s="33" t="s">
        <v>20229</v>
      </c>
      <c r="C8797" s="33" t="s">
        <v>7072</v>
      </c>
      <c r="D8797" s="33" t="s">
        <v>17</v>
      </c>
      <c r="E8797" s="33" t="s">
        <v>18</v>
      </c>
      <c r="F8797" s="33" t="s">
        <v>19</v>
      </c>
      <c r="G8797" s="33" t="s">
        <v>158</v>
      </c>
      <c r="H8797" s="35">
        <v>295</v>
      </c>
      <c r="I8797" s="33" t="s">
        <v>21</v>
      </c>
      <c r="J8797" s="42">
        <v>44719</v>
      </c>
      <c r="K8797" s="33" t="s">
        <v>22</v>
      </c>
    </row>
    <row r="8798" spans="1:11">
      <c r="A8798" s="30" t="s">
        <v>20230</v>
      </c>
      <c r="B8798" s="30" t="s">
        <v>20231</v>
      </c>
      <c r="C8798" s="30" t="s">
        <v>2842</v>
      </c>
      <c r="D8798" s="30" t="s">
        <v>17</v>
      </c>
      <c r="E8798" s="30" t="s">
        <v>26</v>
      </c>
      <c r="F8798" s="30" t="s">
        <v>27</v>
      </c>
      <c r="G8798" s="30" t="s">
        <v>20</v>
      </c>
      <c r="H8798" s="32">
        <v>12</v>
      </c>
      <c r="I8798" s="30" t="s">
        <v>21</v>
      </c>
      <c r="J8798" s="41">
        <v>44768</v>
      </c>
      <c r="K8798" s="30" t="s">
        <v>22</v>
      </c>
    </row>
    <row r="8799" spans="1:11">
      <c r="A8799" s="33" t="s">
        <v>20232</v>
      </c>
      <c r="B8799" s="33" t="s">
        <v>20233</v>
      </c>
      <c r="C8799" s="33" t="s">
        <v>715</v>
      </c>
      <c r="D8799" s="33" t="s">
        <v>17</v>
      </c>
      <c r="E8799" s="33" t="s">
        <v>26</v>
      </c>
      <c r="F8799" s="33" t="s">
        <v>27</v>
      </c>
      <c r="G8799" s="33" t="s">
        <v>20</v>
      </c>
      <c r="H8799" s="35">
        <v>9</v>
      </c>
      <c r="I8799" s="33" t="s">
        <v>21</v>
      </c>
      <c r="J8799" s="42">
        <v>44582</v>
      </c>
      <c r="K8799" s="33" t="s">
        <v>22</v>
      </c>
    </row>
    <row r="8800" spans="1:11">
      <c r="A8800" s="30" t="s">
        <v>20234</v>
      </c>
      <c r="B8800" s="30" t="s">
        <v>20235</v>
      </c>
      <c r="C8800" s="30" t="s">
        <v>276</v>
      </c>
      <c r="D8800" s="30" t="s">
        <v>17</v>
      </c>
      <c r="E8800" s="30" t="s">
        <v>67</v>
      </c>
      <c r="F8800" s="30" t="s">
        <v>68</v>
      </c>
      <c r="G8800" s="30" t="s">
        <v>158</v>
      </c>
      <c r="H8800" s="32">
        <v>249</v>
      </c>
      <c r="I8800" s="30" t="s">
        <v>51</v>
      </c>
      <c r="J8800" s="41">
        <v>44924</v>
      </c>
      <c r="K8800" s="30" t="s">
        <v>22</v>
      </c>
    </row>
    <row r="8801" spans="1:11">
      <c r="A8801" s="33" t="s">
        <v>20236</v>
      </c>
      <c r="B8801" s="33" t="s">
        <v>20237</v>
      </c>
      <c r="C8801" s="33" t="s">
        <v>18006</v>
      </c>
      <c r="D8801" s="33" t="s">
        <v>17</v>
      </c>
      <c r="E8801" s="33" t="s">
        <v>31</v>
      </c>
      <c r="F8801" s="33" t="s">
        <v>32</v>
      </c>
      <c r="G8801" s="33" t="s">
        <v>20</v>
      </c>
      <c r="H8801" s="35">
        <v>8</v>
      </c>
      <c r="I8801" s="33" t="s">
        <v>21</v>
      </c>
      <c r="J8801" s="42">
        <v>44796</v>
      </c>
      <c r="K8801" s="33" t="s">
        <v>22</v>
      </c>
    </row>
    <row r="8802" spans="1:11">
      <c r="A8802" s="30" t="s">
        <v>20238</v>
      </c>
      <c r="B8802" s="30" t="s">
        <v>20239</v>
      </c>
      <c r="C8802" s="30" t="s">
        <v>20240</v>
      </c>
      <c r="D8802" s="30" t="s">
        <v>17</v>
      </c>
      <c r="E8802" s="30" t="s">
        <v>26</v>
      </c>
      <c r="F8802" s="30" t="s">
        <v>27</v>
      </c>
      <c r="G8802" s="30" t="s">
        <v>20</v>
      </c>
      <c r="H8802" s="32">
        <v>72</v>
      </c>
      <c r="I8802" s="30" t="s">
        <v>21</v>
      </c>
      <c r="J8802" s="41">
        <v>44638</v>
      </c>
      <c r="K8802" s="30" t="s">
        <v>22</v>
      </c>
    </row>
    <row r="8803" spans="1:11">
      <c r="A8803" s="33" t="s">
        <v>20241</v>
      </c>
      <c r="B8803" s="33" t="s">
        <v>20242</v>
      </c>
      <c r="C8803" s="33" t="s">
        <v>3154</v>
      </c>
      <c r="D8803" s="33" t="s">
        <v>17</v>
      </c>
      <c r="E8803" s="33" t="s">
        <v>26</v>
      </c>
      <c r="F8803" s="33" t="s">
        <v>27</v>
      </c>
      <c r="G8803" s="33" t="s">
        <v>20</v>
      </c>
      <c r="H8803" s="35">
        <v>34</v>
      </c>
      <c r="I8803" s="33" t="s">
        <v>21</v>
      </c>
      <c r="J8803" s="42">
        <v>44589</v>
      </c>
      <c r="K8803" s="33" t="s">
        <v>22</v>
      </c>
    </row>
    <row r="8804" spans="1:11">
      <c r="A8804" s="30" t="s">
        <v>20243</v>
      </c>
      <c r="B8804" s="30" t="s">
        <v>20244</v>
      </c>
      <c r="C8804" s="30" t="s">
        <v>2313</v>
      </c>
      <c r="D8804" s="30" t="s">
        <v>17</v>
      </c>
      <c r="E8804" s="30" t="s">
        <v>67</v>
      </c>
      <c r="F8804" s="30" t="s">
        <v>68</v>
      </c>
      <c r="G8804" s="30" t="s">
        <v>20</v>
      </c>
      <c r="H8804" s="32">
        <v>388</v>
      </c>
      <c r="I8804" s="30" t="s">
        <v>21</v>
      </c>
      <c r="J8804" s="41">
        <v>44734</v>
      </c>
      <c r="K8804" s="30" t="s">
        <v>22</v>
      </c>
    </row>
    <row r="8805" spans="1:11">
      <c r="A8805" s="33" t="s">
        <v>20245</v>
      </c>
      <c r="B8805" s="33" t="s">
        <v>20246</v>
      </c>
      <c r="C8805" s="33" t="s">
        <v>429</v>
      </c>
      <c r="D8805" s="33" t="s">
        <v>17</v>
      </c>
      <c r="E8805" s="33" t="s">
        <v>26</v>
      </c>
      <c r="F8805" s="33" t="s">
        <v>27</v>
      </c>
      <c r="G8805" s="33" t="s">
        <v>20</v>
      </c>
      <c r="H8805" s="35">
        <v>18</v>
      </c>
      <c r="I8805" s="33" t="s">
        <v>21</v>
      </c>
      <c r="J8805" s="42">
        <v>44582</v>
      </c>
      <c r="K8805" s="33" t="s">
        <v>22</v>
      </c>
    </row>
    <row r="8806" spans="1:11">
      <c r="A8806" s="30" t="s">
        <v>20247</v>
      </c>
      <c r="B8806" s="30" t="s">
        <v>20248</v>
      </c>
      <c r="C8806" s="30" t="s">
        <v>3964</v>
      </c>
      <c r="D8806" s="30" t="s">
        <v>17</v>
      </c>
      <c r="E8806" s="30" t="s">
        <v>67</v>
      </c>
      <c r="F8806" s="30" t="s">
        <v>68</v>
      </c>
      <c r="G8806" s="30" t="s">
        <v>50</v>
      </c>
      <c r="H8806" s="32">
        <v>18</v>
      </c>
      <c r="I8806" s="30" t="s">
        <v>51</v>
      </c>
      <c r="J8806" s="41">
        <v>44742</v>
      </c>
      <c r="K8806" s="30" t="s">
        <v>22</v>
      </c>
    </row>
    <row r="8807" spans="1:11">
      <c r="A8807" s="33" t="s">
        <v>20249</v>
      </c>
      <c r="B8807" s="33" t="s">
        <v>20250</v>
      </c>
      <c r="C8807" s="33" t="s">
        <v>1816</v>
      </c>
      <c r="D8807" s="33" t="s">
        <v>17</v>
      </c>
      <c r="E8807" s="33" t="s">
        <v>67</v>
      </c>
      <c r="F8807" s="33" t="s">
        <v>68</v>
      </c>
      <c r="G8807" s="33" t="s">
        <v>140</v>
      </c>
      <c r="H8807" s="35">
        <v>100</v>
      </c>
      <c r="I8807" s="33" t="s">
        <v>51</v>
      </c>
      <c r="J8807" s="42">
        <v>44769</v>
      </c>
      <c r="K8807" s="33" t="s">
        <v>22</v>
      </c>
    </row>
    <row r="8808" spans="1:11">
      <c r="A8808" s="30" t="s">
        <v>20251</v>
      </c>
      <c r="B8808" s="30" t="s">
        <v>20252</v>
      </c>
      <c r="C8808" s="30" t="s">
        <v>190</v>
      </c>
      <c r="D8808" s="30" t="s">
        <v>17</v>
      </c>
      <c r="E8808" s="30" t="s">
        <v>18</v>
      </c>
      <c r="F8808" s="30" t="s">
        <v>19</v>
      </c>
      <c r="G8808" s="30" t="s">
        <v>158</v>
      </c>
      <c r="H8808" s="32">
        <v>1035</v>
      </c>
      <c r="I8808" s="30" t="s">
        <v>21</v>
      </c>
      <c r="J8808" s="41">
        <v>44645</v>
      </c>
      <c r="K8808" s="30" t="s">
        <v>22</v>
      </c>
    </row>
    <row r="8809" spans="1:11">
      <c r="A8809" s="33" t="s">
        <v>20253</v>
      </c>
      <c r="B8809" s="33" t="s">
        <v>20254</v>
      </c>
      <c r="C8809" s="33" t="s">
        <v>3843</v>
      </c>
      <c r="D8809" s="33" t="s">
        <v>17</v>
      </c>
      <c r="E8809" s="33" t="s">
        <v>31</v>
      </c>
      <c r="F8809" s="33" t="s">
        <v>32</v>
      </c>
      <c r="G8809" s="33" t="s">
        <v>20</v>
      </c>
      <c r="H8809" s="35">
        <v>258</v>
      </c>
      <c r="I8809" s="33" t="s">
        <v>21</v>
      </c>
      <c r="J8809" s="42">
        <v>44879</v>
      </c>
      <c r="K8809" s="33" t="s">
        <v>22</v>
      </c>
    </row>
    <row r="8810" spans="1:11">
      <c r="A8810" s="30" t="s">
        <v>20255</v>
      </c>
      <c r="B8810" s="30" t="s">
        <v>20256</v>
      </c>
      <c r="C8810" s="30" t="s">
        <v>190</v>
      </c>
      <c r="D8810" s="30" t="s">
        <v>17</v>
      </c>
      <c r="E8810" s="30" t="s">
        <v>26</v>
      </c>
      <c r="F8810" s="30" t="s">
        <v>27</v>
      </c>
      <c r="G8810" s="30" t="s">
        <v>20</v>
      </c>
      <c r="H8810" s="32">
        <v>7</v>
      </c>
      <c r="I8810" s="30" t="s">
        <v>21</v>
      </c>
      <c r="J8810" s="41">
        <v>44662</v>
      </c>
      <c r="K8810" s="30" t="s">
        <v>22</v>
      </c>
    </row>
    <row r="8811" spans="1:11">
      <c r="A8811" s="33" t="s">
        <v>20257</v>
      </c>
      <c r="B8811" s="33" t="s">
        <v>20258</v>
      </c>
      <c r="C8811" s="33" t="s">
        <v>75</v>
      </c>
      <c r="D8811" s="33" t="s">
        <v>17</v>
      </c>
      <c r="E8811" s="33" t="s">
        <v>26</v>
      </c>
      <c r="F8811" s="33" t="s">
        <v>27</v>
      </c>
      <c r="G8811" s="33" t="s">
        <v>106</v>
      </c>
      <c r="H8811" s="35">
        <v>56</v>
      </c>
      <c r="I8811" s="33" t="s">
        <v>21</v>
      </c>
      <c r="J8811" s="42">
        <v>44580</v>
      </c>
      <c r="K8811" s="33" t="s">
        <v>22</v>
      </c>
    </row>
    <row r="8812" spans="1:11">
      <c r="A8812" s="30" t="s">
        <v>20259</v>
      </c>
      <c r="B8812" s="30" t="s">
        <v>20260</v>
      </c>
      <c r="C8812" s="30" t="s">
        <v>1674</v>
      </c>
      <c r="D8812" s="30" t="s">
        <v>17</v>
      </c>
      <c r="E8812" s="30" t="s">
        <v>18</v>
      </c>
      <c r="F8812" s="30" t="s">
        <v>19</v>
      </c>
      <c r="G8812" s="30" t="s">
        <v>20</v>
      </c>
      <c r="H8812" s="32">
        <v>41</v>
      </c>
      <c r="I8812" s="30" t="s">
        <v>21</v>
      </c>
      <c r="J8812" s="41">
        <v>44704</v>
      </c>
      <c r="K8812" s="30" t="s">
        <v>22</v>
      </c>
    </row>
    <row r="8813" spans="1:11">
      <c r="A8813" s="33" t="s">
        <v>20261</v>
      </c>
      <c r="B8813" s="33" t="s">
        <v>20262</v>
      </c>
      <c r="C8813" s="33" t="s">
        <v>20263</v>
      </c>
      <c r="D8813" s="33" t="s">
        <v>17</v>
      </c>
      <c r="E8813" s="33" t="s">
        <v>26</v>
      </c>
      <c r="F8813" s="33" t="s">
        <v>27</v>
      </c>
      <c r="G8813" s="33" t="s">
        <v>20</v>
      </c>
      <c r="H8813" s="35">
        <v>60</v>
      </c>
      <c r="I8813" s="33" t="s">
        <v>21</v>
      </c>
      <c r="J8813" s="42">
        <v>44571</v>
      </c>
      <c r="K8813" s="33" t="s">
        <v>22</v>
      </c>
    </row>
    <row r="8814" spans="1:11">
      <c r="A8814" s="30" t="s">
        <v>20264</v>
      </c>
      <c r="B8814" s="30" t="s">
        <v>20265</v>
      </c>
      <c r="C8814" s="30" t="s">
        <v>203</v>
      </c>
      <c r="D8814" s="30" t="s">
        <v>17</v>
      </c>
      <c r="E8814" s="30" t="s">
        <v>18</v>
      </c>
      <c r="F8814" s="30" t="s">
        <v>19</v>
      </c>
      <c r="G8814" s="30" t="s">
        <v>20</v>
      </c>
      <c r="H8814" s="32">
        <v>582</v>
      </c>
      <c r="I8814" s="30" t="s">
        <v>21</v>
      </c>
      <c r="J8814" s="41">
        <v>44749</v>
      </c>
      <c r="K8814" s="30" t="s">
        <v>22</v>
      </c>
    </row>
    <row r="8815" spans="1:11">
      <c r="A8815" s="33" t="s">
        <v>20266</v>
      </c>
      <c r="B8815" s="33" t="s">
        <v>20267</v>
      </c>
      <c r="C8815" s="33" t="s">
        <v>1520</v>
      </c>
      <c r="D8815" s="33" t="s">
        <v>17</v>
      </c>
      <c r="E8815" s="33" t="s">
        <v>26</v>
      </c>
      <c r="F8815" s="33" t="s">
        <v>27</v>
      </c>
      <c r="G8815" s="33" t="s">
        <v>20</v>
      </c>
      <c r="H8815" s="35">
        <v>41</v>
      </c>
      <c r="I8815" s="33" t="s">
        <v>21</v>
      </c>
      <c r="J8815" s="42">
        <v>44839</v>
      </c>
      <c r="K8815" s="33" t="s">
        <v>22</v>
      </c>
    </row>
    <row r="8816" spans="1:11">
      <c r="A8816" s="30" t="s">
        <v>20268</v>
      </c>
      <c r="B8816" s="30" t="s">
        <v>20269</v>
      </c>
      <c r="C8816" s="30" t="s">
        <v>1504</v>
      </c>
      <c r="D8816" s="30" t="s">
        <v>17</v>
      </c>
      <c r="E8816" s="30" t="s">
        <v>31</v>
      </c>
      <c r="F8816" s="30" t="s">
        <v>32</v>
      </c>
      <c r="G8816" s="30" t="s">
        <v>50</v>
      </c>
      <c r="H8816" s="32">
        <v>90</v>
      </c>
      <c r="I8816" s="30" t="s">
        <v>51</v>
      </c>
      <c r="J8816" s="41">
        <v>44608</v>
      </c>
      <c r="K8816" s="30" t="s">
        <v>22</v>
      </c>
    </row>
    <row r="8817" spans="1:11">
      <c r="A8817" s="33" t="s">
        <v>20270</v>
      </c>
      <c r="B8817" s="33" t="s">
        <v>20271</v>
      </c>
      <c r="C8817" s="33" t="s">
        <v>2012</v>
      </c>
      <c r="D8817" s="33" t="s">
        <v>17</v>
      </c>
      <c r="E8817" s="33" t="s">
        <v>18</v>
      </c>
      <c r="F8817" s="33" t="s">
        <v>19</v>
      </c>
      <c r="G8817" s="33" t="s">
        <v>20</v>
      </c>
      <c r="H8817" s="35">
        <v>119</v>
      </c>
      <c r="I8817" s="33" t="s">
        <v>21</v>
      </c>
      <c r="J8817" s="42">
        <v>44792</v>
      </c>
      <c r="K8817" s="33" t="s">
        <v>22</v>
      </c>
    </row>
    <row r="8818" spans="1:11">
      <c r="A8818" s="30" t="s">
        <v>20272</v>
      </c>
      <c r="B8818" s="30" t="s">
        <v>20273</v>
      </c>
      <c r="C8818" s="30" t="s">
        <v>310</v>
      </c>
      <c r="D8818" s="30" t="s">
        <v>17</v>
      </c>
      <c r="E8818" s="30" t="s">
        <v>26</v>
      </c>
      <c r="F8818" s="30" t="s">
        <v>27</v>
      </c>
      <c r="G8818" s="30" t="s">
        <v>20</v>
      </c>
      <c r="H8818" s="32">
        <v>19</v>
      </c>
      <c r="I8818" s="30" t="s">
        <v>21</v>
      </c>
      <c r="J8818" s="41">
        <v>44623</v>
      </c>
      <c r="K8818" s="30" t="s">
        <v>22</v>
      </c>
    </row>
    <row r="8819" spans="1:11">
      <c r="A8819" s="33" t="s">
        <v>20274</v>
      </c>
      <c r="B8819" s="33" t="s">
        <v>20275</v>
      </c>
      <c r="C8819" s="33" t="s">
        <v>93</v>
      </c>
      <c r="D8819" s="33" t="s">
        <v>17</v>
      </c>
      <c r="E8819" s="33" t="s">
        <v>26</v>
      </c>
      <c r="F8819" s="33" t="s">
        <v>27</v>
      </c>
      <c r="G8819" s="33" t="s">
        <v>106</v>
      </c>
      <c r="H8819" s="35">
        <v>8</v>
      </c>
      <c r="I8819" s="33" t="s">
        <v>21</v>
      </c>
      <c r="J8819" s="42">
        <v>44578</v>
      </c>
      <c r="K8819" s="33" t="s">
        <v>22</v>
      </c>
    </row>
    <row r="8820" spans="1:11">
      <c r="A8820" s="30" t="s">
        <v>20276</v>
      </c>
      <c r="B8820" s="30" t="s">
        <v>20277</v>
      </c>
      <c r="C8820" s="30" t="s">
        <v>20278</v>
      </c>
      <c r="D8820" s="30" t="s">
        <v>17</v>
      </c>
      <c r="E8820" s="30" t="s">
        <v>31</v>
      </c>
      <c r="F8820" s="30" t="s">
        <v>32</v>
      </c>
      <c r="G8820" s="30" t="s">
        <v>50</v>
      </c>
      <c r="H8820" s="32">
        <v>50</v>
      </c>
      <c r="I8820" s="30" t="s">
        <v>51</v>
      </c>
      <c r="J8820" s="41">
        <v>44652</v>
      </c>
      <c r="K8820" s="30" t="s">
        <v>22</v>
      </c>
    </row>
    <row r="8821" spans="1:11">
      <c r="A8821" s="33" t="s">
        <v>20279</v>
      </c>
      <c r="B8821" s="33" t="s">
        <v>20280</v>
      </c>
      <c r="C8821" s="33" t="s">
        <v>310</v>
      </c>
      <c r="D8821" s="33" t="s">
        <v>17</v>
      </c>
      <c r="E8821" s="33" t="s">
        <v>26</v>
      </c>
      <c r="F8821" s="33" t="s">
        <v>27</v>
      </c>
      <c r="G8821" s="33" t="s">
        <v>20</v>
      </c>
      <c r="H8821" s="35">
        <v>70</v>
      </c>
      <c r="I8821" s="33" t="s">
        <v>21</v>
      </c>
      <c r="J8821" s="42">
        <v>44799</v>
      </c>
      <c r="K8821" s="33" t="s">
        <v>22</v>
      </c>
    </row>
    <row r="8822" spans="1:11">
      <c r="A8822" s="30" t="s">
        <v>20281</v>
      </c>
      <c r="B8822" s="30" t="s">
        <v>20282</v>
      </c>
      <c r="C8822" s="30" t="s">
        <v>20283</v>
      </c>
      <c r="D8822" s="30" t="s">
        <v>17</v>
      </c>
      <c r="E8822" s="30" t="s">
        <v>31</v>
      </c>
      <c r="F8822" s="30" t="s">
        <v>32</v>
      </c>
      <c r="G8822" s="30" t="s">
        <v>20</v>
      </c>
      <c r="H8822" s="32">
        <v>96</v>
      </c>
      <c r="I8822" s="30" t="s">
        <v>21</v>
      </c>
      <c r="J8822" s="41">
        <v>44622</v>
      </c>
      <c r="K8822" s="30" t="s">
        <v>22</v>
      </c>
    </row>
    <row r="8823" spans="1:11">
      <c r="A8823" s="33" t="s">
        <v>20284</v>
      </c>
      <c r="B8823" s="33" t="s">
        <v>20285</v>
      </c>
      <c r="C8823" s="33" t="s">
        <v>2562</v>
      </c>
      <c r="D8823" s="33" t="s">
        <v>17</v>
      </c>
      <c r="E8823" s="33" t="s">
        <v>67</v>
      </c>
      <c r="F8823" s="33" t="s">
        <v>68</v>
      </c>
      <c r="G8823" s="33" t="s">
        <v>20</v>
      </c>
      <c r="H8823" s="35">
        <v>88</v>
      </c>
      <c r="I8823" s="33" t="s">
        <v>21</v>
      </c>
      <c r="J8823" s="42">
        <v>44753</v>
      </c>
      <c r="K8823" s="33" t="s">
        <v>22</v>
      </c>
    </row>
    <row r="8824" spans="1:11">
      <c r="A8824" s="30" t="s">
        <v>20286</v>
      </c>
      <c r="B8824" s="30" t="s">
        <v>20287</v>
      </c>
      <c r="C8824" s="30" t="s">
        <v>38</v>
      </c>
      <c r="D8824" s="30" t="s">
        <v>17</v>
      </c>
      <c r="E8824" s="30" t="s">
        <v>26</v>
      </c>
      <c r="F8824" s="30" t="s">
        <v>27</v>
      </c>
      <c r="G8824" s="30" t="s">
        <v>20</v>
      </c>
      <c r="H8824" s="32">
        <v>31</v>
      </c>
      <c r="I8824" s="30" t="s">
        <v>21</v>
      </c>
      <c r="J8824" s="41">
        <v>44641</v>
      </c>
      <c r="K8824" s="30" t="s">
        <v>22</v>
      </c>
    </row>
    <row r="8825" spans="1:11">
      <c r="A8825" s="33" t="s">
        <v>20288</v>
      </c>
      <c r="B8825" s="33" t="s">
        <v>20289</v>
      </c>
      <c r="C8825" s="33" t="s">
        <v>2978</v>
      </c>
      <c r="D8825" s="33" t="s">
        <v>17</v>
      </c>
      <c r="E8825" s="33" t="s">
        <v>26</v>
      </c>
      <c r="F8825" s="33" t="s">
        <v>27</v>
      </c>
      <c r="G8825" s="33" t="s">
        <v>20</v>
      </c>
      <c r="H8825" s="35">
        <v>24</v>
      </c>
      <c r="I8825" s="33" t="s">
        <v>21</v>
      </c>
      <c r="J8825" s="42">
        <v>44666</v>
      </c>
      <c r="K8825" s="33" t="s">
        <v>22</v>
      </c>
    </row>
    <row r="8826" spans="1:11">
      <c r="A8826" s="30" t="s">
        <v>20290</v>
      </c>
      <c r="B8826" s="30" t="s">
        <v>20291</v>
      </c>
      <c r="C8826" s="30" t="s">
        <v>20292</v>
      </c>
      <c r="D8826" s="30" t="s">
        <v>17</v>
      </c>
      <c r="E8826" s="30" t="s">
        <v>18</v>
      </c>
      <c r="F8826" s="30" t="s">
        <v>19</v>
      </c>
      <c r="G8826" s="30" t="s">
        <v>50</v>
      </c>
      <c r="H8826" s="32">
        <v>200</v>
      </c>
      <c r="I8826" s="30" t="s">
        <v>51</v>
      </c>
      <c r="J8826" s="41">
        <v>44907</v>
      </c>
      <c r="K8826" s="30" t="s">
        <v>22</v>
      </c>
    </row>
    <row r="8827" spans="1:11">
      <c r="A8827" s="33" t="s">
        <v>20293</v>
      </c>
      <c r="B8827" s="33" t="s">
        <v>20294</v>
      </c>
      <c r="C8827" s="33" t="s">
        <v>3114</v>
      </c>
      <c r="D8827" s="33" t="s">
        <v>17</v>
      </c>
      <c r="E8827" s="33" t="s">
        <v>330</v>
      </c>
      <c r="F8827" s="33" t="s">
        <v>331</v>
      </c>
      <c r="G8827" s="33" t="s">
        <v>50</v>
      </c>
      <c r="H8827" s="35">
        <v>20</v>
      </c>
      <c r="I8827" s="33" t="s">
        <v>51</v>
      </c>
      <c r="J8827" s="42">
        <v>44607</v>
      </c>
      <c r="K8827" s="33" t="s">
        <v>22</v>
      </c>
    </row>
    <row r="8828" spans="1:11">
      <c r="A8828" s="30" t="s">
        <v>20295</v>
      </c>
      <c r="B8828" s="30" t="s">
        <v>20296</v>
      </c>
      <c r="C8828" s="30" t="s">
        <v>130</v>
      </c>
      <c r="D8828" s="30" t="s">
        <v>17</v>
      </c>
      <c r="E8828" s="30" t="s">
        <v>26</v>
      </c>
      <c r="F8828" s="30" t="s">
        <v>27</v>
      </c>
      <c r="G8828" s="30" t="s">
        <v>20</v>
      </c>
      <c r="H8828" s="32">
        <v>7</v>
      </c>
      <c r="I8828" s="30" t="s">
        <v>21</v>
      </c>
      <c r="J8828" s="41">
        <v>44582</v>
      </c>
      <c r="K8828" s="30" t="s">
        <v>22</v>
      </c>
    </row>
    <row r="8829" spans="1:11">
      <c r="A8829" s="33" t="s">
        <v>20297</v>
      </c>
      <c r="B8829" s="33" t="s">
        <v>20298</v>
      </c>
      <c r="C8829" s="33" t="s">
        <v>3013</v>
      </c>
      <c r="D8829" s="33" t="s">
        <v>17</v>
      </c>
      <c r="E8829" s="33" t="s">
        <v>26</v>
      </c>
      <c r="F8829" s="33" t="s">
        <v>27</v>
      </c>
      <c r="G8829" s="33" t="s">
        <v>20</v>
      </c>
      <c r="H8829" s="35">
        <v>24</v>
      </c>
      <c r="I8829" s="33" t="s">
        <v>21</v>
      </c>
      <c r="J8829" s="42">
        <v>44615</v>
      </c>
      <c r="K8829" s="33" t="s">
        <v>22</v>
      </c>
    </row>
    <row r="8830" spans="1:11">
      <c r="A8830" s="30" t="s">
        <v>20299</v>
      </c>
      <c r="B8830" s="30" t="s">
        <v>20300</v>
      </c>
      <c r="C8830" s="30" t="s">
        <v>136</v>
      </c>
      <c r="D8830" s="30" t="s">
        <v>17</v>
      </c>
      <c r="E8830" s="30" t="s">
        <v>18</v>
      </c>
      <c r="F8830" s="30" t="s">
        <v>19</v>
      </c>
      <c r="G8830" s="30" t="s">
        <v>158</v>
      </c>
      <c r="H8830" s="32">
        <v>925</v>
      </c>
      <c r="I8830" s="30" t="s">
        <v>21</v>
      </c>
      <c r="J8830" s="41">
        <v>44665</v>
      </c>
      <c r="K8830" s="30" t="s">
        <v>22</v>
      </c>
    </row>
    <row r="8831" spans="1:11">
      <c r="A8831" s="33" t="s">
        <v>20301</v>
      </c>
      <c r="B8831" s="33" t="s">
        <v>20302</v>
      </c>
      <c r="C8831" s="33" t="s">
        <v>136</v>
      </c>
      <c r="D8831" s="33" t="s">
        <v>17</v>
      </c>
      <c r="E8831" s="33" t="s">
        <v>31</v>
      </c>
      <c r="F8831" s="33" t="s">
        <v>32</v>
      </c>
      <c r="G8831" s="33" t="s">
        <v>106</v>
      </c>
      <c r="H8831" s="35">
        <v>85</v>
      </c>
      <c r="I8831" s="33" t="s">
        <v>21</v>
      </c>
      <c r="J8831" s="42">
        <v>44627</v>
      </c>
      <c r="K8831" s="33" t="s">
        <v>22</v>
      </c>
    </row>
    <row r="8832" spans="1:11">
      <c r="A8832" s="30" t="s">
        <v>20303</v>
      </c>
      <c r="B8832" s="30" t="s">
        <v>20304</v>
      </c>
      <c r="C8832" s="30" t="s">
        <v>109</v>
      </c>
      <c r="D8832" s="30" t="s">
        <v>17</v>
      </c>
      <c r="E8832" s="30" t="s">
        <v>26</v>
      </c>
      <c r="F8832" s="30" t="s">
        <v>27</v>
      </c>
      <c r="G8832" s="30" t="s">
        <v>158</v>
      </c>
      <c r="H8832" s="32">
        <v>126</v>
      </c>
      <c r="I8832" s="30" t="s">
        <v>21</v>
      </c>
      <c r="J8832" s="41">
        <v>44860</v>
      </c>
      <c r="K8832" s="30" t="s">
        <v>22</v>
      </c>
    </row>
    <row r="8833" spans="1:11">
      <c r="A8833" s="33" t="s">
        <v>20305</v>
      </c>
      <c r="B8833" s="33" t="s">
        <v>20306</v>
      </c>
      <c r="C8833" s="33" t="s">
        <v>190</v>
      </c>
      <c r="D8833" s="33" t="s">
        <v>17</v>
      </c>
      <c r="E8833" s="33" t="s">
        <v>67</v>
      </c>
      <c r="F8833" s="33" t="s">
        <v>68</v>
      </c>
      <c r="G8833" s="33" t="s">
        <v>106</v>
      </c>
      <c r="H8833" s="35">
        <v>17</v>
      </c>
      <c r="I8833" s="33" t="s">
        <v>21</v>
      </c>
      <c r="J8833" s="42">
        <v>44719</v>
      </c>
      <c r="K8833" s="33" t="s">
        <v>22</v>
      </c>
    </row>
    <row r="8834" spans="1:11">
      <c r="A8834" s="30" t="s">
        <v>20307</v>
      </c>
      <c r="B8834" s="30" t="s">
        <v>20308</v>
      </c>
      <c r="C8834" s="30" t="s">
        <v>16867</v>
      </c>
      <c r="D8834" s="30" t="s">
        <v>17</v>
      </c>
      <c r="E8834" s="30" t="s">
        <v>31</v>
      </c>
      <c r="F8834" s="30" t="s">
        <v>32</v>
      </c>
      <c r="G8834" s="30" t="s">
        <v>20</v>
      </c>
      <c r="H8834" s="32">
        <v>120</v>
      </c>
      <c r="I8834" s="30" t="s">
        <v>21</v>
      </c>
      <c r="J8834" s="41">
        <v>44741</v>
      </c>
      <c r="K8834" s="30" t="s">
        <v>22</v>
      </c>
    </row>
    <row r="8835" spans="1:11">
      <c r="A8835" s="33" t="s">
        <v>20309</v>
      </c>
      <c r="B8835" s="33" t="s">
        <v>20310</v>
      </c>
      <c r="C8835" s="33" t="s">
        <v>9367</v>
      </c>
      <c r="D8835" s="33" t="s">
        <v>17</v>
      </c>
      <c r="E8835" s="33" t="s">
        <v>18</v>
      </c>
      <c r="F8835" s="33" t="s">
        <v>19</v>
      </c>
      <c r="G8835" s="33" t="s">
        <v>20</v>
      </c>
      <c r="H8835" s="35">
        <v>562</v>
      </c>
      <c r="I8835" s="33" t="s">
        <v>21</v>
      </c>
      <c r="J8835" s="42">
        <v>44789</v>
      </c>
      <c r="K8835" s="33" t="s">
        <v>22</v>
      </c>
    </row>
    <row r="8836" spans="1:11">
      <c r="A8836" s="30" t="s">
        <v>20311</v>
      </c>
      <c r="B8836" s="30" t="s">
        <v>20312</v>
      </c>
      <c r="C8836" s="30" t="s">
        <v>1151</v>
      </c>
      <c r="D8836" s="30" t="s">
        <v>17</v>
      </c>
      <c r="E8836" s="30" t="s">
        <v>31</v>
      </c>
      <c r="F8836" s="30" t="s">
        <v>32</v>
      </c>
      <c r="G8836" s="30" t="s">
        <v>106</v>
      </c>
      <c r="H8836" s="32">
        <v>18</v>
      </c>
      <c r="I8836" s="30" t="s">
        <v>21</v>
      </c>
      <c r="J8836" s="41">
        <v>44673</v>
      </c>
      <c r="K8836" s="30" t="s">
        <v>22</v>
      </c>
    </row>
    <row r="8837" spans="1:11">
      <c r="A8837" s="33" t="s">
        <v>20313</v>
      </c>
      <c r="B8837" s="33" t="s">
        <v>20314</v>
      </c>
      <c r="C8837" s="33" t="s">
        <v>10311</v>
      </c>
      <c r="D8837" s="33" t="s">
        <v>17</v>
      </c>
      <c r="E8837" s="33" t="s">
        <v>18</v>
      </c>
      <c r="F8837" s="33" t="s">
        <v>19</v>
      </c>
      <c r="G8837" s="33" t="s">
        <v>158</v>
      </c>
      <c r="H8837" s="35">
        <v>196</v>
      </c>
      <c r="I8837" s="33" t="s">
        <v>21</v>
      </c>
      <c r="J8837" s="42">
        <v>44804</v>
      </c>
      <c r="K8837" s="33" t="s">
        <v>22</v>
      </c>
    </row>
    <row r="8838" spans="1:11">
      <c r="A8838" s="30" t="s">
        <v>20315</v>
      </c>
      <c r="B8838" s="30" t="s">
        <v>20316</v>
      </c>
      <c r="C8838" s="30" t="s">
        <v>1391</v>
      </c>
      <c r="D8838" s="30" t="s">
        <v>17</v>
      </c>
      <c r="E8838" s="30" t="s">
        <v>31</v>
      </c>
      <c r="F8838" s="30" t="s">
        <v>32</v>
      </c>
      <c r="G8838" s="30" t="s">
        <v>20</v>
      </c>
      <c r="H8838" s="32">
        <v>1579</v>
      </c>
      <c r="I8838" s="30" t="s">
        <v>21</v>
      </c>
      <c r="J8838" s="41">
        <v>44925</v>
      </c>
      <c r="K8838" s="30" t="s">
        <v>22</v>
      </c>
    </row>
    <row r="8839" spans="1:11">
      <c r="A8839" s="33" t="s">
        <v>20317</v>
      </c>
      <c r="B8839" s="33" t="s">
        <v>20318</v>
      </c>
      <c r="C8839" s="33" t="s">
        <v>8271</v>
      </c>
      <c r="D8839" s="33" t="s">
        <v>17</v>
      </c>
      <c r="E8839" s="33" t="s">
        <v>26</v>
      </c>
      <c r="F8839" s="33" t="s">
        <v>27</v>
      </c>
      <c r="G8839" s="33" t="s">
        <v>106</v>
      </c>
      <c r="H8839" s="35">
        <v>17</v>
      </c>
      <c r="I8839" s="33" t="s">
        <v>21</v>
      </c>
      <c r="J8839" s="42">
        <v>44895</v>
      </c>
      <c r="K8839" s="33" t="s">
        <v>22</v>
      </c>
    </row>
    <row r="8840" spans="1:11">
      <c r="A8840" s="30" t="s">
        <v>20319</v>
      </c>
      <c r="B8840" s="30" t="s">
        <v>20320</v>
      </c>
      <c r="C8840" s="30" t="s">
        <v>20321</v>
      </c>
      <c r="D8840" s="30" t="s">
        <v>17</v>
      </c>
      <c r="E8840" s="30" t="s">
        <v>67</v>
      </c>
      <c r="F8840" s="30" t="s">
        <v>68</v>
      </c>
      <c r="G8840" s="30" t="s">
        <v>140</v>
      </c>
      <c r="H8840" s="32">
        <v>442</v>
      </c>
      <c r="I8840" s="30" t="s">
        <v>51</v>
      </c>
      <c r="J8840" s="41">
        <v>44776</v>
      </c>
      <c r="K8840" s="30" t="s">
        <v>22</v>
      </c>
    </row>
    <row r="8841" spans="1:11">
      <c r="A8841" s="33" t="s">
        <v>20322</v>
      </c>
      <c r="B8841" s="33" t="s">
        <v>20323</v>
      </c>
      <c r="C8841" s="33" t="s">
        <v>1191</v>
      </c>
      <c r="D8841" s="33" t="s">
        <v>17</v>
      </c>
      <c r="E8841" s="33" t="s">
        <v>212</v>
      </c>
      <c r="F8841" s="33" t="s">
        <v>213</v>
      </c>
      <c r="G8841" s="33" t="s">
        <v>50</v>
      </c>
      <c r="H8841" s="35">
        <v>1200</v>
      </c>
      <c r="I8841" s="33" t="s">
        <v>51</v>
      </c>
      <c r="J8841" s="42">
        <v>44778</v>
      </c>
      <c r="K8841" s="33" t="s">
        <v>22</v>
      </c>
    </row>
    <row r="8842" spans="1:11">
      <c r="A8842" s="30" t="s">
        <v>20324</v>
      </c>
      <c r="B8842" s="30" t="s">
        <v>20325</v>
      </c>
      <c r="C8842" s="30" t="s">
        <v>20326</v>
      </c>
      <c r="D8842" s="30" t="s">
        <v>17</v>
      </c>
      <c r="E8842" s="30" t="s">
        <v>67</v>
      </c>
      <c r="F8842" s="30" t="s">
        <v>68</v>
      </c>
      <c r="G8842" s="30" t="s">
        <v>112</v>
      </c>
      <c r="H8842" s="32">
        <v>0</v>
      </c>
      <c r="I8842" s="30" t="s">
        <v>21</v>
      </c>
      <c r="J8842" s="41">
        <v>44914</v>
      </c>
      <c r="K8842" s="30" t="s">
        <v>22</v>
      </c>
    </row>
    <row r="8843" spans="1:11">
      <c r="A8843" s="33" t="s">
        <v>20327</v>
      </c>
      <c r="B8843" s="33" t="s">
        <v>20328</v>
      </c>
      <c r="C8843" s="33" t="s">
        <v>96</v>
      </c>
      <c r="D8843" s="33" t="s">
        <v>17</v>
      </c>
      <c r="E8843" s="33" t="s">
        <v>26</v>
      </c>
      <c r="F8843" s="33" t="s">
        <v>27</v>
      </c>
      <c r="G8843" s="33" t="s">
        <v>20</v>
      </c>
      <c r="H8843" s="35">
        <v>52</v>
      </c>
      <c r="I8843" s="33" t="s">
        <v>21</v>
      </c>
      <c r="J8843" s="42">
        <v>44797</v>
      </c>
      <c r="K8843" s="33" t="s">
        <v>22</v>
      </c>
    </row>
    <row r="8844" spans="1:11">
      <c r="A8844" s="30" t="s">
        <v>20329</v>
      </c>
      <c r="B8844" s="30" t="s">
        <v>20330</v>
      </c>
      <c r="C8844" s="30" t="s">
        <v>20331</v>
      </c>
      <c r="D8844" s="30" t="s">
        <v>17</v>
      </c>
      <c r="E8844" s="30" t="s">
        <v>31</v>
      </c>
      <c r="F8844" s="30" t="s">
        <v>32</v>
      </c>
      <c r="G8844" s="30" t="s">
        <v>20</v>
      </c>
      <c r="H8844" s="32">
        <v>54</v>
      </c>
      <c r="I8844" s="30" t="s">
        <v>21</v>
      </c>
      <c r="J8844" s="41">
        <v>44641</v>
      </c>
      <c r="K8844" s="30" t="s">
        <v>22</v>
      </c>
    </row>
    <row r="8845" spans="1:11">
      <c r="A8845" s="33" t="s">
        <v>20332</v>
      </c>
      <c r="B8845" s="33" t="s">
        <v>20333</v>
      </c>
      <c r="C8845" s="33" t="s">
        <v>157</v>
      </c>
      <c r="D8845" s="33" t="s">
        <v>17</v>
      </c>
      <c r="E8845" s="33" t="s">
        <v>212</v>
      </c>
      <c r="F8845" s="33" t="s">
        <v>213</v>
      </c>
      <c r="G8845" s="33" t="s">
        <v>112</v>
      </c>
      <c r="H8845" s="35">
        <v>0</v>
      </c>
      <c r="I8845" s="33" t="s">
        <v>21</v>
      </c>
      <c r="J8845" s="42">
        <v>44742</v>
      </c>
      <c r="K8845" s="33" t="s">
        <v>22</v>
      </c>
    </row>
    <row r="8846" spans="1:11">
      <c r="A8846" s="30" t="s">
        <v>20334</v>
      </c>
      <c r="B8846" s="30" t="s">
        <v>20335</v>
      </c>
      <c r="C8846" s="30" t="s">
        <v>20336</v>
      </c>
      <c r="D8846" s="30" t="s">
        <v>17</v>
      </c>
      <c r="E8846" s="30" t="s">
        <v>18</v>
      </c>
      <c r="F8846" s="30" t="s">
        <v>19</v>
      </c>
      <c r="G8846" s="30" t="s">
        <v>50</v>
      </c>
      <c r="H8846" s="32">
        <v>106</v>
      </c>
      <c r="I8846" s="30" t="s">
        <v>51</v>
      </c>
      <c r="J8846" s="41">
        <v>44896</v>
      </c>
      <c r="K8846" s="30" t="s">
        <v>22</v>
      </c>
    </row>
    <row r="8847" spans="1:11">
      <c r="A8847" s="33" t="s">
        <v>20337</v>
      </c>
      <c r="B8847" s="33" t="s">
        <v>20338</v>
      </c>
      <c r="C8847" s="33" t="s">
        <v>1219</v>
      </c>
      <c r="D8847" s="33" t="s">
        <v>17</v>
      </c>
      <c r="E8847" s="33" t="s">
        <v>67</v>
      </c>
      <c r="F8847" s="33" t="s">
        <v>68</v>
      </c>
      <c r="G8847" s="33" t="s">
        <v>20</v>
      </c>
      <c r="H8847" s="35">
        <v>17</v>
      </c>
      <c r="I8847" s="33" t="s">
        <v>21</v>
      </c>
      <c r="J8847" s="42">
        <v>44713</v>
      </c>
      <c r="K8847" s="33" t="s">
        <v>22</v>
      </c>
    </row>
    <row r="8848" spans="1:11">
      <c r="A8848" s="30" t="s">
        <v>20339</v>
      </c>
      <c r="B8848" s="30" t="s">
        <v>20340</v>
      </c>
      <c r="C8848" s="30" t="s">
        <v>20341</v>
      </c>
      <c r="D8848" s="30" t="s">
        <v>17</v>
      </c>
      <c r="E8848" s="30" t="s">
        <v>18</v>
      </c>
      <c r="F8848" s="30" t="s">
        <v>19</v>
      </c>
      <c r="G8848" s="30" t="s">
        <v>50</v>
      </c>
      <c r="H8848" s="32">
        <v>472</v>
      </c>
      <c r="I8848" s="30" t="s">
        <v>51</v>
      </c>
      <c r="J8848" s="41">
        <v>44706</v>
      </c>
      <c r="K8848" s="30" t="s">
        <v>22</v>
      </c>
    </row>
    <row r="8849" spans="1:11">
      <c r="A8849" s="33" t="s">
        <v>20342</v>
      </c>
      <c r="B8849" s="33" t="s">
        <v>20343</v>
      </c>
      <c r="C8849" s="33" t="s">
        <v>5488</v>
      </c>
      <c r="D8849" s="33" t="s">
        <v>17</v>
      </c>
      <c r="E8849" s="33" t="s">
        <v>26</v>
      </c>
      <c r="F8849" s="33" t="s">
        <v>27</v>
      </c>
      <c r="G8849" s="33" t="s">
        <v>20</v>
      </c>
      <c r="H8849" s="35">
        <v>30</v>
      </c>
      <c r="I8849" s="33" t="s">
        <v>21</v>
      </c>
      <c r="J8849" s="42">
        <v>44565</v>
      </c>
      <c r="K8849" s="33" t="s">
        <v>22</v>
      </c>
    </row>
    <row r="8850" spans="1:11">
      <c r="A8850" s="30" t="s">
        <v>20344</v>
      </c>
      <c r="B8850" s="30" t="s">
        <v>20345</v>
      </c>
      <c r="C8850" s="30" t="s">
        <v>718</v>
      </c>
      <c r="D8850" s="30" t="s">
        <v>17</v>
      </c>
      <c r="E8850" s="30" t="s">
        <v>31</v>
      </c>
      <c r="F8850" s="30" t="s">
        <v>32</v>
      </c>
      <c r="G8850" s="30" t="s">
        <v>50</v>
      </c>
      <c r="H8850" s="32">
        <v>62</v>
      </c>
      <c r="I8850" s="30" t="s">
        <v>51</v>
      </c>
      <c r="J8850" s="41">
        <v>44562</v>
      </c>
      <c r="K8850" s="30" t="s">
        <v>22</v>
      </c>
    </row>
    <row r="8851" spans="1:11">
      <c r="A8851" s="33" t="s">
        <v>20346</v>
      </c>
      <c r="B8851" s="33" t="s">
        <v>20347</v>
      </c>
      <c r="C8851" s="33" t="s">
        <v>6127</v>
      </c>
      <c r="D8851" s="33" t="s">
        <v>17</v>
      </c>
      <c r="E8851" s="33" t="s">
        <v>31</v>
      </c>
      <c r="F8851" s="33" t="s">
        <v>32</v>
      </c>
      <c r="G8851" s="33" t="s">
        <v>106</v>
      </c>
      <c r="H8851" s="35">
        <v>2</v>
      </c>
      <c r="I8851" s="33" t="s">
        <v>21</v>
      </c>
      <c r="J8851" s="42">
        <v>44588</v>
      </c>
      <c r="K8851" s="33" t="s">
        <v>22</v>
      </c>
    </row>
    <row r="8852" spans="1:11">
      <c r="A8852" s="30" t="s">
        <v>20348</v>
      </c>
      <c r="B8852" s="30" t="s">
        <v>20349</v>
      </c>
      <c r="C8852" s="30" t="s">
        <v>190</v>
      </c>
      <c r="D8852" s="30" t="s">
        <v>17</v>
      </c>
      <c r="E8852" s="30" t="s">
        <v>212</v>
      </c>
      <c r="F8852" s="30" t="s">
        <v>213</v>
      </c>
      <c r="G8852" s="30" t="s">
        <v>158</v>
      </c>
      <c r="H8852" s="32">
        <v>43</v>
      </c>
      <c r="I8852" s="30" t="s">
        <v>21</v>
      </c>
      <c r="J8852" s="41">
        <v>44771</v>
      </c>
      <c r="K8852" s="30" t="s">
        <v>22</v>
      </c>
    </row>
    <row r="8853" spans="1:11">
      <c r="A8853" s="33" t="s">
        <v>20350</v>
      </c>
      <c r="B8853" s="33" t="s">
        <v>20351</v>
      </c>
      <c r="C8853" s="33" t="s">
        <v>20352</v>
      </c>
      <c r="D8853" s="33" t="s">
        <v>17</v>
      </c>
      <c r="E8853" s="33" t="s">
        <v>31</v>
      </c>
      <c r="F8853" s="33" t="s">
        <v>32</v>
      </c>
      <c r="G8853" s="33" t="s">
        <v>20</v>
      </c>
      <c r="H8853" s="35">
        <v>86</v>
      </c>
      <c r="I8853" s="33" t="s">
        <v>21</v>
      </c>
      <c r="J8853" s="42">
        <v>44595</v>
      </c>
      <c r="K8853" s="33" t="s">
        <v>22</v>
      </c>
    </row>
    <row r="8854" spans="1:11">
      <c r="A8854" s="30" t="s">
        <v>20353</v>
      </c>
      <c r="B8854" s="30" t="s">
        <v>20354</v>
      </c>
      <c r="C8854" s="30" t="s">
        <v>647</v>
      </c>
      <c r="D8854" s="30" t="s">
        <v>17</v>
      </c>
      <c r="E8854" s="30" t="s">
        <v>26</v>
      </c>
      <c r="F8854" s="30" t="s">
        <v>27</v>
      </c>
      <c r="G8854" s="30" t="s">
        <v>20</v>
      </c>
      <c r="H8854" s="32">
        <v>64</v>
      </c>
      <c r="I8854" s="30" t="s">
        <v>21</v>
      </c>
      <c r="J8854" s="41">
        <v>44829</v>
      </c>
      <c r="K8854" s="30" t="s">
        <v>22</v>
      </c>
    </row>
    <row r="8855" spans="1:11">
      <c r="A8855" s="33" t="s">
        <v>20355</v>
      </c>
      <c r="B8855" s="33" t="s">
        <v>20356</v>
      </c>
      <c r="C8855" s="33" t="s">
        <v>16936</v>
      </c>
      <c r="D8855" s="33" t="s">
        <v>17</v>
      </c>
      <c r="E8855" s="33" t="s">
        <v>26</v>
      </c>
      <c r="F8855" s="33" t="s">
        <v>27</v>
      </c>
      <c r="G8855" s="33" t="s">
        <v>20</v>
      </c>
      <c r="H8855" s="35">
        <v>6</v>
      </c>
      <c r="I8855" s="33" t="s">
        <v>21</v>
      </c>
      <c r="J8855" s="42">
        <v>44616</v>
      </c>
      <c r="K8855" s="33" t="s">
        <v>22</v>
      </c>
    </row>
    <row r="8856" spans="1:11">
      <c r="A8856" s="30" t="s">
        <v>20357</v>
      </c>
      <c r="B8856" s="30" t="s">
        <v>20358</v>
      </c>
      <c r="C8856" s="30" t="s">
        <v>5916</v>
      </c>
      <c r="D8856" s="30" t="s">
        <v>17</v>
      </c>
      <c r="E8856" s="30" t="s">
        <v>31</v>
      </c>
      <c r="F8856" s="30" t="s">
        <v>32</v>
      </c>
      <c r="G8856" s="30" t="s">
        <v>106</v>
      </c>
      <c r="H8856" s="32">
        <v>5</v>
      </c>
      <c r="I8856" s="30" t="s">
        <v>21</v>
      </c>
      <c r="J8856" s="41">
        <v>44600</v>
      </c>
      <c r="K8856" s="30" t="s">
        <v>22</v>
      </c>
    </row>
    <row r="8857" spans="1:11">
      <c r="A8857" s="33" t="s">
        <v>20359</v>
      </c>
      <c r="B8857" s="33" t="s">
        <v>20360</v>
      </c>
      <c r="C8857" s="33" t="s">
        <v>5600</v>
      </c>
      <c r="D8857" s="33" t="s">
        <v>17</v>
      </c>
      <c r="E8857" s="33" t="s">
        <v>26</v>
      </c>
      <c r="F8857" s="33" t="s">
        <v>27</v>
      </c>
      <c r="G8857" s="33" t="s">
        <v>20</v>
      </c>
      <c r="H8857" s="35">
        <v>31</v>
      </c>
      <c r="I8857" s="33" t="s">
        <v>21</v>
      </c>
      <c r="J8857" s="42">
        <v>44749</v>
      </c>
      <c r="K8857" s="33" t="s">
        <v>22</v>
      </c>
    </row>
    <row r="8858" spans="1:11">
      <c r="A8858" s="30" t="s">
        <v>20361</v>
      </c>
      <c r="B8858" s="30" t="s">
        <v>20362</v>
      </c>
      <c r="C8858" s="30" t="s">
        <v>20363</v>
      </c>
      <c r="D8858" s="30" t="s">
        <v>17</v>
      </c>
      <c r="E8858" s="30" t="s">
        <v>67</v>
      </c>
      <c r="F8858" s="30" t="s">
        <v>68</v>
      </c>
      <c r="G8858" s="30" t="s">
        <v>158</v>
      </c>
      <c r="H8858" s="32">
        <v>310</v>
      </c>
      <c r="I8858" s="30" t="s">
        <v>51</v>
      </c>
      <c r="J8858" s="41">
        <v>44887</v>
      </c>
      <c r="K8858" s="30" t="s">
        <v>22</v>
      </c>
    </row>
    <row r="8859" spans="1:11">
      <c r="A8859" s="33" t="s">
        <v>20364</v>
      </c>
      <c r="B8859" s="33" t="s">
        <v>20365</v>
      </c>
      <c r="C8859" s="33" t="s">
        <v>20366</v>
      </c>
      <c r="D8859" s="33" t="s">
        <v>17</v>
      </c>
      <c r="E8859" s="33" t="s">
        <v>18</v>
      </c>
      <c r="F8859" s="33" t="s">
        <v>19</v>
      </c>
      <c r="G8859" s="33" t="s">
        <v>20</v>
      </c>
      <c r="H8859" s="35">
        <v>262</v>
      </c>
      <c r="I8859" s="33" t="s">
        <v>21</v>
      </c>
      <c r="J8859" s="42">
        <v>44602</v>
      </c>
      <c r="K8859" s="33" t="s">
        <v>22</v>
      </c>
    </row>
    <row r="8860" spans="1:11">
      <c r="A8860" s="30" t="s">
        <v>20367</v>
      </c>
      <c r="B8860" s="30" t="s">
        <v>20368</v>
      </c>
      <c r="C8860" s="30" t="s">
        <v>2472</v>
      </c>
      <c r="D8860" s="30" t="s">
        <v>17</v>
      </c>
      <c r="E8860" s="30" t="s">
        <v>67</v>
      </c>
      <c r="F8860" s="30" t="s">
        <v>68</v>
      </c>
      <c r="G8860" s="30" t="s">
        <v>20</v>
      </c>
      <c r="H8860" s="32">
        <v>550</v>
      </c>
      <c r="I8860" s="30" t="s">
        <v>21</v>
      </c>
      <c r="J8860" s="41">
        <v>44694</v>
      </c>
      <c r="K8860" s="30" t="s">
        <v>22</v>
      </c>
    </row>
    <row r="8861" spans="1:11">
      <c r="A8861" s="33" t="s">
        <v>20369</v>
      </c>
      <c r="B8861" s="33" t="s">
        <v>20370</v>
      </c>
      <c r="C8861" s="33" t="s">
        <v>310</v>
      </c>
      <c r="D8861" s="33" t="s">
        <v>17</v>
      </c>
      <c r="E8861" s="33" t="s">
        <v>26</v>
      </c>
      <c r="F8861" s="33" t="s">
        <v>27</v>
      </c>
      <c r="G8861" s="33" t="s">
        <v>20</v>
      </c>
      <c r="H8861" s="35">
        <v>48</v>
      </c>
      <c r="I8861" s="33" t="s">
        <v>21</v>
      </c>
      <c r="J8861" s="42">
        <v>44888</v>
      </c>
      <c r="K8861" s="33" t="s">
        <v>22</v>
      </c>
    </row>
    <row r="8862" spans="1:11">
      <c r="A8862" s="30" t="s">
        <v>20371</v>
      </c>
      <c r="B8862" s="30" t="s">
        <v>20372</v>
      </c>
      <c r="C8862" s="30" t="s">
        <v>15158</v>
      </c>
      <c r="D8862" s="30" t="s">
        <v>17</v>
      </c>
      <c r="E8862" s="30" t="s">
        <v>26</v>
      </c>
      <c r="F8862" s="30" t="s">
        <v>27</v>
      </c>
      <c r="G8862" s="30" t="s">
        <v>140</v>
      </c>
      <c r="H8862" s="32">
        <v>75</v>
      </c>
      <c r="I8862" s="30" t="s">
        <v>51</v>
      </c>
      <c r="J8862" s="41">
        <v>44844</v>
      </c>
      <c r="K8862" s="30" t="s">
        <v>22</v>
      </c>
    </row>
    <row r="8863" spans="1:11">
      <c r="A8863" s="33" t="s">
        <v>20373</v>
      </c>
      <c r="B8863" s="33" t="s">
        <v>20374</v>
      </c>
      <c r="C8863" s="33" t="s">
        <v>20375</v>
      </c>
      <c r="D8863" s="33" t="s">
        <v>17</v>
      </c>
      <c r="E8863" s="33" t="s">
        <v>26</v>
      </c>
      <c r="F8863" s="33" t="s">
        <v>27</v>
      </c>
      <c r="G8863" s="33" t="s">
        <v>20</v>
      </c>
      <c r="H8863" s="35">
        <v>10</v>
      </c>
      <c r="I8863" s="33" t="s">
        <v>21</v>
      </c>
      <c r="J8863" s="42">
        <v>44879</v>
      </c>
      <c r="K8863" s="33" t="s">
        <v>22</v>
      </c>
    </row>
    <row r="8864" spans="1:11">
      <c r="A8864" s="30" t="s">
        <v>20376</v>
      </c>
      <c r="B8864" s="30" t="s">
        <v>20377</v>
      </c>
      <c r="C8864" s="30" t="s">
        <v>20378</v>
      </c>
      <c r="D8864" s="30" t="s">
        <v>17</v>
      </c>
      <c r="E8864" s="30" t="s">
        <v>26</v>
      </c>
      <c r="F8864" s="30" t="s">
        <v>27</v>
      </c>
      <c r="G8864" s="30" t="s">
        <v>106</v>
      </c>
      <c r="H8864" s="32">
        <v>2</v>
      </c>
      <c r="I8864" s="30" t="s">
        <v>21</v>
      </c>
      <c r="J8864" s="41">
        <v>44676</v>
      </c>
      <c r="K8864" s="30" t="s">
        <v>22</v>
      </c>
    </row>
    <row r="8865" spans="1:11">
      <c r="A8865" s="33" t="s">
        <v>20379</v>
      </c>
      <c r="B8865" s="33" t="s">
        <v>20380</v>
      </c>
      <c r="C8865" s="33" t="s">
        <v>20381</v>
      </c>
      <c r="D8865" s="33" t="s">
        <v>17</v>
      </c>
      <c r="E8865" s="33" t="s">
        <v>26</v>
      </c>
      <c r="F8865" s="33" t="s">
        <v>27</v>
      </c>
      <c r="G8865" s="33" t="s">
        <v>20</v>
      </c>
      <c r="H8865" s="35">
        <v>20</v>
      </c>
      <c r="I8865" s="33" t="s">
        <v>21</v>
      </c>
      <c r="J8865" s="42">
        <v>44767</v>
      </c>
      <c r="K8865" s="33" t="s">
        <v>22</v>
      </c>
    </row>
    <row r="8866" spans="1:11">
      <c r="A8866" s="30" t="s">
        <v>20382</v>
      </c>
      <c r="B8866" s="30" t="s">
        <v>20383</v>
      </c>
      <c r="C8866" s="30" t="s">
        <v>75</v>
      </c>
      <c r="D8866" s="30" t="s">
        <v>17</v>
      </c>
      <c r="E8866" s="30" t="s">
        <v>26</v>
      </c>
      <c r="F8866" s="30" t="s">
        <v>27</v>
      </c>
      <c r="G8866" s="30" t="s">
        <v>20</v>
      </c>
      <c r="H8866" s="32">
        <v>77</v>
      </c>
      <c r="I8866" s="30" t="s">
        <v>21</v>
      </c>
      <c r="J8866" s="41">
        <v>44651</v>
      </c>
      <c r="K8866" s="30" t="s">
        <v>22</v>
      </c>
    </row>
    <row r="8867" spans="1:11">
      <c r="A8867" s="33" t="s">
        <v>20384</v>
      </c>
      <c r="B8867" s="33" t="s">
        <v>20385</v>
      </c>
      <c r="C8867" s="33" t="s">
        <v>6212</v>
      </c>
      <c r="D8867" s="33" t="s">
        <v>17</v>
      </c>
      <c r="E8867" s="33" t="s">
        <v>26</v>
      </c>
      <c r="F8867" s="33" t="s">
        <v>27</v>
      </c>
      <c r="G8867" s="33" t="s">
        <v>20</v>
      </c>
      <c r="H8867" s="35">
        <v>8</v>
      </c>
      <c r="I8867" s="33" t="s">
        <v>21</v>
      </c>
      <c r="J8867" s="42">
        <v>44810</v>
      </c>
      <c r="K8867" s="33" t="s">
        <v>22</v>
      </c>
    </row>
    <row r="8868" spans="1:11">
      <c r="A8868" s="30" t="s">
        <v>20386</v>
      </c>
      <c r="B8868" s="30" t="s">
        <v>20387</v>
      </c>
      <c r="C8868" s="30" t="s">
        <v>20388</v>
      </c>
      <c r="D8868" s="30" t="s">
        <v>17</v>
      </c>
      <c r="E8868" s="30" t="s">
        <v>26</v>
      </c>
      <c r="F8868" s="30" t="s">
        <v>27</v>
      </c>
      <c r="G8868" s="30" t="s">
        <v>20</v>
      </c>
      <c r="H8868" s="32">
        <v>14</v>
      </c>
      <c r="I8868" s="30" t="s">
        <v>21</v>
      </c>
      <c r="J8868" s="41">
        <v>44651</v>
      </c>
      <c r="K8868" s="30" t="s">
        <v>22</v>
      </c>
    </row>
    <row r="8869" spans="1:11">
      <c r="A8869" s="33" t="s">
        <v>20389</v>
      </c>
      <c r="B8869" s="33" t="s">
        <v>20390</v>
      </c>
      <c r="C8869" s="33" t="s">
        <v>7296</v>
      </c>
      <c r="D8869" s="33" t="s">
        <v>17</v>
      </c>
      <c r="E8869" s="33" t="s">
        <v>18</v>
      </c>
      <c r="F8869" s="33" t="s">
        <v>19</v>
      </c>
      <c r="G8869" s="33" t="s">
        <v>20</v>
      </c>
      <c r="H8869" s="35">
        <v>457</v>
      </c>
      <c r="I8869" s="33" t="s">
        <v>21</v>
      </c>
      <c r="J8869" s="42">
        <v>44657</v>
      </c>
      <c r="K8869" s="33" t="s">
        <v>22</v>
      </c>
    </row>
    <row r="8870" spans="1:11">
      <c r="A8870" s="30" t="s">
        <v>20391</v>
      </c>
      <c r="B8870" s="30" t="s">
        <v>20392</v>
      </c>
      <c r="C8870" s="30" t="s">
        <v>96</v>
      </c>
      <c r="D8870" s="30" t="s">
        <v>17</v>
      </c>
      <c r="E8870" s="30" t="s">
        <v>31</v>
      </c>
      <c r="F8870" s="30" t="s">
        <v>32</v>
      </c>
      <c r="G8870" s="30" t="s">
        <v>106</v>
      </c>
      <c r="H8870" s="32">
        <v>902</v>
      </c>
      <c r="I8870" s="30" t="s">
        <v>21</v>
      </c>
      <c r="J8870" s="41">
        <v>44861</v>
      </c>
      <c r="K8870" s="30" t="s">
        <v>22</v>
      </c>
    </row>
    <row r="8871" spans="1:11">
      <c r="A8871" s="33" t="s">
        <v>20393</v>
      </c>
      <c r="B8871" s="33" t="s">
        <v>20394</v>
      </c>
      <c r="C8871" s="33" t="s">
        <v>7317</v>
      </c>
      <c r="D8871" s="33" t="s">
        <v>17</v>
      </c>
      <c r="E8871" s="33" t="s">
        <v>26</v>
      </c>
      <c r="F8871" s="33" t="s">
        <v>27</v>
      </c>
      <c r="G8871" s="33" t="s">
        <v>20</v>
      </c>
      <c r="H8871" s="35">
        <v>290</v>
      </c>
      <c r="I8871" s="33" t="s">
        <v>21</v>
      </c>
      <c r="J8871" s="42">
        <v>44579</v>
      </c>
      <c r="K8871" s="33" t="s">
        <v>22</v>
      </c>
    </row>
    <row r="8872" spans="1:11">
      <c r="A8872" s="30" t="s">
        <v>20395</v>
      </c>
      <c r="B8872" s="30" t="s">
        <v>20396</v>
      </c>
      <c r="C8872" s="30" t="s">
        <v>603</v>
      </c>
      <c r="D8872" s="30" t="s">
        <v>17</v>
      </c>
      <c r="E8872" s="30" t="s">
        <v>26</v>
      </c>
      <c r="F8872" s="30" t="s">
        <v>27</v>
      </c>
      <c r="G8872" s="30" t="s">
        <v>20</v>
      </c>
      <c r="H8872" s="32">
        <v>28</v>
      </c>
      <c r="I8872" s="30" t="s">
        <v>21</v>
      </c>
      <c r="J8872" s="41">
        <v>44794</v>
      </c>
      <c r="K8872" s="30" t="s">
        <v>22</v>
      </c>
    </row>
    <row r="8873" spans="1:11">
      <c r="A8873" s="33" t="s">
        <v>20397</v>
      </c>
      <c r="B8873" s="33" t="s">
        <v>20398</v>
      </c>
      <c r="C8873" s="33" t="s">
        <v>20399</v>
      </c>
      <c r="D8873" s="33" t="s">
        <v>17</v>
      </c>
      <c r="E8873" s="33" t="s">
        <v>26</v>
      </c>
      <c r="F8873" s="33" t="s">
        <v>27</v>
      </c>
      <c r="G8873" s="33" t="s">
        <v>20</v>
      </c>
      <c r="H8873" s="35">
        <v>26</v>
      </c>
      <c r="I8873" s="33" t="s">
        <v>21</v>
      </c>
      <c r="J8873" s="42">
        <v>44568</v>
      </c>
      <c r="K8873" s="33" t="s">
        <v>22</v>
      </c>
    </row>
    <row r="8874" spans="1:11">
      <c r="A8874" s="30" t="s">
        <v>20400</v>
      </c>
      <c r="B8874" s="30" t="s">
        <v>20401</v>
      </c>
      <c r="C8874" s="30" t="s">
        <v>20402</v>
      </c>
      <c r="D8874" s="30" t="s">
        <v>17</v>
      </c>
      <c r="E8874" s="30" t="s">
        <v>31</v>
      </c>
      <c r="F8874" s="30" t="s">
        <v>32</v>
      </c>
      <c r="G8874" s="30" t="s">
        <v>140</v>
      </c>
      <c r="H8874" s="32">
        <v>12</v>
      </c>
      <c r="I8874" s="30" t="s">
        <v>51</v>
      </c>
      <c r="J8874" s="41">
        <v>44631</v>
      </c>
      <c r="K8874" s="30" t="s">
        <v>22</v>
      </c>
    </row>
    <row r="8875" spans="1:11">
      <c r="A8875" s="33" t="s">
        <v>20403</v>
      </c>
      <c r="B8875" s="33" t="s">
        <v>20404</v>
      </c>
      <c r="C8875" s="33" t="s">
        <v>969</v>
      </c>
      <c r="D8875" s="33" t="s">
        <v>17</v>
      </c>
      <c r="E8875" s="33" t="s">
        <v>18</v>
      </c>
      <c r="F8875" s="33" t="s">
        <v>19</v>
      </c>
      <c r="G8875" s="33" t="s">
        <v>20</v>
      </c>
      <c r="H8875" s="35">
        <v>641</v>
      </c>
      <c r="I8875" s="33" t="s">
        <v>21</v>
      </c>
      <c r="J8875" s="42">
        <v>44621</v>
      </c>
      <c r="K8875" s="33" t="s">
        <v>22</v>
      </c>
    </row>
    <row r="8876" spans="1:11">
      <c r="A8876" s="30" t="s">
        <v>20405</v>
      </c>
      <c r="B8876" s="30" t="s">
        <v>20406</v>
      </c>
      <c r="C8876" s="30" t="s">
        <v>109</v>
      </c>
      <c r="D8876" s="30" t="s">
        <v>17</v>
      </c>
      <c r="E8876" s="30" t="s">
        <v>31</v>
      </c>
      <c r="F8876" s="30" t="s">
        <v>32</v>
      </c>
      <c r="G8876" s="30" t="s">
        <v>20</v>
      </c>
      <c r="H8876" s="32">
        <v>94</v>
      </c>
      <c r="I8876" s="30" t="s">
        <v>21</v>
      </c>
      <c r="J8876" s="41">
        <v>44586</v>
      </c>
      <c r="K8876" s="30" t="s">
        <v>22</v>
      </c>
    </row>
    <row r="8877" spans="1:11">
      <c r="A8877" s="33" t="s">
        <v>20407</v>
      </c>
      <c r="B8877" s="33" t="s">
        <v>20408</v>
      </c>
      <c r="C8877" s="33" t="s">
        <v>20409</v>
      </c>
      <c r="D8877" s="33" t="s">
        <v>17</v>
      </c>
      <c r="E8877" s="33" t="s">
        <v>18</v>
      </c>
      <c r="F8877" s="33" t="s">
        <v>19</v>
      </c>
      <c r="G8877" s="33" t="s">
        <v>20</v>
      </c>
      <c r="H8877" s="35">
        <v>102</v>
      </c>
      <c r="I8877" s="33" t="s">
        <v>21</v>
      </c>
      <c r="J8877" s="42">
        <v>44680</v>
      </c>
      <c r="K8877" s="33" t="s">
        <v>22</v>
      </c>
    </row>
    <row r="8878" spans="1:11">
      <c r="A8878" s="30" t="s">
        <v>20410</v>
      </c>
      <c r="B8878" s="30" t="s">
        <v>20411</v>
      </c>
      <c r="C8878" s="30" t="s">
        <v>15482</v>
      </c>
      <c r="D8878" s="30" t="s">
        <v>17</v>
      </c>
      <c r="E8878" s="30" t="s">
        <v>31</v>
      </c>
      <c r="F8878" s="30" t="s">
        <v>32</v>
      </c>
      <c r="G8878" s="30" t="s">
        <v>50</v>
      </c>
      <c r="H8878" s="32">
        <v>6</v>
      </c>
      <c r="I8878" s="30" t="s">
        <v>51</v>
      </c>
      <c r="J8878" s="41">
        <v>44648</v>
      </c>
      <c r="K8878" s="30" t="s">
        <v>22</v>
      </c>
    </row>
    <row r="8879" spans="1:11">
      <c r="A8879" s="33" t="s">
        <v>20412</v>
      </c>
      <c r="B8879" s="33" t="s">
        <v>20413</v>
      </c>
      <c r="C8879" s="33" t="s">
        <v>16597</v>
      </c>
      <c r="D8879" s="33" t="s">
        <v>17</v>
      </c>
      <c r="E8879" s="33" t="s">
        <v>31</v>
      </c>
      <c r="F8879" s="33" t="s">
        <v>32</v>
      </c>
      <c r="G8879" s="33" t="s">
        <v>20</v>
      </c>
      <c r="H8879" s="35">
        <v>218</v>
      </c>
      <c r="I8879" s="33" t="s">
        <v>21</v>
      </c>
      <c r="J8879" s="42">
        <v>44922</v>
      </c>
      <c r="K8879" s="33" t="s">
        <v>22</v>
      </c>
    </row>
    <row r="8880" spans="1:11">
      <c r="A8880" s="30" t="s">
        <v>20414</v>
      </c>
      <c r="B8880" s="30" t="s">
        <v>20415</v>
      </c>
      <c r="C8880" s="30" t="s">
        <v>1270</v>
      </c>
      <c r="D8880" s="30" t="s">
        <v>17</v>
      </c>
      <c r="E8880" s="30" t="s">
        <v>26</v>
      </c>
      <c r="F8880" s="30" t="s">
        <v>27</v>
      </c>
      <c r="G8880" s="30" t="s">
        <v>50</v>
      </c>
      <c r="H8880" s="32">
        <v>224</v>
      </c>
      <c r="I8880" s="30" t="s">
        <v>51</v>
      </c>
      <c r="J8880" s="41">
        <v>44573</v>
      </c>
      <c r="K8880" s="30" t="s">
        <v>22</v>
      </c>
    </row>
    <row r="8881" spans="1:11">
      <c r="A8881" s="33" t="s">
        <v>20416</v>
      </c>
      <c r="B8881" s="33" t="s">
        <v>20417</v>
      </c>
      <c r="C8881" s="33" t="s">
        <v>231</v>
      </c>
      <c r="D8881" s="33" t="s">
        <v>17</v>
      </c>
      <c r="E8881" s="33" t="s">
        <v>18</v>
      </c>
      <c r="F8881" s="33" t="s">
        <v>19</v>
      </c>
      <c r="G8881" s="33" t="s">
        <v>20</v>
      </c>
      <c r="H8881" s="35">
        <v>1178</v>
      </c>
      <c r="I8881" s="33" t="s">
        <v>21</v>
      </c>
      <c r="J8881" s="42">
        <v>44881</v>
      </c>
      <c r="K8881" s="33" t="s">
        <v>22</v>
      </c>
    </row>
    <row r="8882" spans="1:11">
      <c r="A8882" s="30" t="s">
        <v>20418</v>
      </c>
      <c r="B8882" s="30" t="s">
        <v>20419</v>
      </c>
      <c r="C8882" s="30" t="s">
        <v>20420</v>
      </c>
      <c r="D8882" s="30" t="s">
        <v>17</v>
      </c>
      <c r="E8882" s="30" t="s">
        <v>26</v>
      </c>
      <c r="F8882" s="30" t="s">
        <v>27</v>
      </c>
      <c r="G8882" s="30" t="s">
        <v>20</v>
      </c>
      <c r="H8882" s="32">
        <v>32</v>
      </c>
      <c r="I8882" s="30" t="s">
        <v>21</v>
      </c>
      <c r="J8882" s="41">
        <v>44900</v>
      </c>
      <c r="K8882" s="30" t="s">
        <v>22</v>
      </c>
    </row>
    <row r="8883" spans="1:11">
      <c r="A8883" s="33" t="s">
        <v>20421</v>
      </c>
      <c r="B8883" s="33" t="s">
        <v>20422</v>
      </c>
      <c r="C8883" s="33" t="s">
        <v>1151</v>
      </c>
      <c r="D8883" s="33" t="s">
        <v>17</v>
      </c>
      <c r="E8883" s="33" t="s">
        <v>67</v>
      </c>
      <c r="F8883" s="33" t="s">
        <v>68</v>
      </c>
      <c r="G8883" s="33" t="s">
        <v>106</v>
      </c>
      <c r="H8883" s="35">
        <v>78</v>
      </c>
      <c r="I8883" s="33" t="s">
        <v>21</v>
      </c>
      <c r="J8883" s="42">
        <v>44739</v>
      </c>
      <c r="K8883" s="33" t="s">
        <v>22</v>
      </c>
    </row>
    <row r="8884" spans="1:11">
      <c r="A8884" s="30" t="s">
        <v>20423</v>
      </c>
      <c r="B8884" s="30" t="s">
        <v>20424</v>
      </c>
      <c r="C8884" s="30" t="s">
        <v>149</v>
      </c>
      <c r="D8884" s="30" t="s">
        <v>17</v>
      </c>
      <c r="E8884" s="30" t="s">
        <v>26</v>
      </c>
      <c r="F8884" s="30" t="s">
        <v>27</v>
      </c>
      <c r="G8884" s="30" t="s">
        <v>20</v>
      </c>
      <c r="H8884" s="32">
        <v>28</v>
      </c>
      <c r="I8884" s="30" t="s">
        <v>21</v>
      </c>
      <c r="J8884" s="41">
        <v>44692</v>
      </c>
      <c r="K8884" s="30" t="s">
        <v>22</v>
      </c>
    </row>
    <row r="8885" spans="1:11">
      <c r="A8885" s="33" t="s">
        <v>20425</v>
      </c>
      <c r="B8885" s="33" t="s">
        <v>20426</v>
      </c>
      <c r="C8885" s="33" t="s">
        <v>20427</v>
      </c>
      <c r="D8885" s="33" t="s">
        <v>17</v>
      </c>
      <c r="E8885" s="33" t="s">
        <v>26</v>
      </c>
      <c r="F8885" s="33" t="s">
        <v>27</v>
      </c>
      <c r="G8885" s="33" t="s">
        <v>20</v>
      </c>
      <c r="H8885" s="35">
        <v>38</v>
      </c>
      <c r="I8885" s="33" t="s">
        <v>21</v>
      </c>
      <c r="J8885" s="42">
        <v>44648</v>
      </c>
      <c r="K8885" s="33" t="s">
        <v>22</v>
      </c>
    </row>
    <row r="8886" spans="1:11">
      <c r="A8886" s="30" t="s">
        <v>20428</v>
      </c>
      <c r="B8886" s="30" t="s">
        <v>20429</v>
      </c>
      <c r="C8886" s="30" t="s">
        <v>20430</v>
      </c>
      <c r="D8886" s="30" t="s">
        <v>17</v>
      </c>
      <c r="E8886" s="30" t="s">
        <v>26</v>
      </c>
      <c r="F8886" s="30" t="s">
        <v>27</v>
      </c>
      <c r="G8886" s="30" t="s">
        <v>158</v>
      </c>
      <c r="H8886" s="32">
        <v>90</v>
      </c>
      <c r="I8886" s="30" t="s">
        <v>51</v>
      </c>
      <c r="J8886" s="41">
        <v>44805</v>
      </c>
      <c r="K8886" s="30" t="s">
        <v>22</v>
      </c>
    </row>
    <row r="8887" spans="1:11">
      <c r="A8887" s="33" t="s">
        <v>20431</v>
      </c>
      <c r="B8887" s="33" t="s">
        <v>20432</v>
      </c>
      <c r="C8887" s="33" t="s">
        <v>5948</v>
      </c>
      <c r="D8887" s="33" t="s">
        <v>17</v>
      </c>
      <c r="E8887" s="33" t="s">
        <v>26</v>
      </c>
      <c r="F8887" s="33" t="s">
        <v>27</v>
      </c>
      <c r="G8887" s="33" t="s">
        <v>106</v>
      </c>
      <c r="H8887" s="35">
        <v>7</v>
      </c>
      <c r="I8887" s="33" t="s">
        <v>21</v>
      </c>
      <c r="J8887" s="42">
        <v>44852</v>
      </c>
      <c r="K8887" s="33" t="s">
        <v>22</v>
      </c>
    </row>
    <row r="8888" spans="1:11">
      <c r="A8888" s="30" t="s">
        <v>20433</v>
      </c>
      <c r="B8888" s="30" t="s">
        <v>20434</v>
      </c>
      <c r="C8888" s="30" t="s">
        <v>310</v>
      </c>
      <c r="D8888" s="30" t="s">
        <v>17</v>
      </c>
      <c r="E8888" s="30" t="s">
        <v>18</v>
      </c>
      <c r="F8888" s="30" t="s">
        <v>19</v>
      </c>
      <c r="G8888" s="30" t="s">
        <v>20</v>
      </c>
      <c r="H8888" s="32">
        <v>307</v>
      </c>
      <c r="I8888" s="30" t="s">
        <v>21</v>
      </c>
      <c r="J8888" s="41">
        <v>44845</v>
      </c>
      <c r="K8888" s="30" t="s">
        <v>22</v>
      </c>
    </row>
    <row r="8889" spans="1:11">
      <c r="A8889" s="33" t="s">
        <v>20435</v>
      </c>
      <c r="B8889" s="33" t="s">
        <v>20436</v>
      </c>
      <c r="C8889" s="33" t="s">
        <v>3892</v>
      </c>
      <c r="D8889" s="33" t="s">
        <v>17</v>
      </c>
      <c r="E8889" s="33" t="s">
        <v>31</v>
      </c>
      <c r="F8889" s="33" t="s">
        <v>32</v>
      </c>
      <c r="G8889" s="33" t="s">
        <v>20</v>
      </c>
      <c r="H8889" s="35">
        <v>28</v>
      </c>
      <c r="I8889" s="33" t="s">
        <v>21</v>
      </c>
      <c r="J8889" s="42">
        <v>44811</v>
      </c>
      <c r="K8889" s="33" t="s">
        <v>22</v>
      </c>
    </row>
    <row r="8890" spans="1:11">
      <c r="A8890" s="30" t="s">
        <v>20437</v>
      </c>
      <c r="B8890" s="30" t="s">
        <v>20438</v>
      </c>
      <c r="C8890" s="30" t="s">
        <v>149</v>
      </c>
      <c r="D8890" s="30" t="s">
        <v>17</v>
      </c>
      <c r="E8890" s="30" t="s">
        <v>26</v>
      </c>
      <c r="F8890" s="30" t="s">
        <v>27</v>
      </c>
      <c r="G8890" s="30" t="s">
        <v>20</v>
      </c>
      <c r="H8890" s="32">
        <v>20</v>
      </c>
      <c r="I8890" s="30" t="s">
        <v>21</v>
      </c>
      <c r="J8890" s="41">
        <v>44880</v>
      </c>
      <c r="K8890" s="30" t="s">
        <v>22</v>
      </c>
    </row>
    <row r="8891" spans="1:11">
      <c r="A8891" s="33" t="s">
        <v>20439</v>
      </c>
      <c r="B8891" s="33" t="s">
        <v>20440</v>
      </c>
      <c r="C8891" s="33" t="s">
        <v>20441</v>
      </c>
      <c r="D8891" s="33" t="s">
        <v>17</v>
      </c>
      <c r="E8891" s="33" t="s">
        <v>26</v>
      </c>
      <c r="F8891" s="33" t="s">
        <v>27</v>
      </c>
      <c r="G8891" s="33" t="s">
        <v>20</v>
      </c>
      <c r="H8891" s="35">
        <v>123</v>
      </c>
      <c r="I8891" s="33" t="s">
        <v>21</v>
      </c>
      <c r="J8891" s="42">
        <v>44573</v>
      </c>
      <c r="K8891" s="33" t="s">
        <v>22</v>
      </c>
    </row>
    <row r="8892" spans="1:11">
      <c r="A8892" s="30" t="s">
        <v>20442</v>
      </c>
      <c r="B8892" s="30" t="s">
        <v>20443</v>
      </c>
      <c r="C8892" s="30" t="s">
        <v>1601</v>
      </c>
      <c r="D8892" s="30" t="s">
        <v>17</v>
      </c>
      <c r="E8892" s="30" t="s">
        <v>31</v>
      </c>
      <c r="F8892" s="30" t="s">
        <v>32</v>
      </c>
      <c r="G8892" s="30" t="s">
        <v>106</v>
      </c>
      <c r="H8892" s="32">
        <v>107</v>
      </c>
      <c r="I8892" s="30" t="s">
        <v>21</v>
      </c>
      <c r="J8892" s="41">
        <v>44804</v>
      </c>
      <c r="K8892" s="30" t="s">
        <v>22</v>
      </c>
    </row>
    <row r="8893" spans="1:11">
      <c r="A8893" s="33" t="s">
        <v>20444</v>
      </c>
      <c r="B8893" s="33" t="s">
        <v>20445</v>
      </c>
      <c r="C8893" s="33" t="s">
        <v>231</v>
      </c>
      <c r="D8893" s="33" t="s">
        <v>17</v>
      </c>
      <c r="E8893" s="33" t="s">
        <v>31</v>
      </c>
      <c r="F8893" s="33" t="s">
        <v>32</v>
      </c>
      <c r="G8893" s="33" t="s">
        <v>20</v>
      </c>
      <c r="H8893" s="35">
        <v>67</v>
      </c>
      <c r="I8893" s="33" t="s">
        <v>21</v>
      </c>
      <c r="J8893" s="42">
        <v>44684</v>
      </c>
      <c r="K8893" s="33" t="s">
        <v>22</v>
      </c>
    </row>
    <row r="8894" spans="1:11">
      <c r="A8894" s="30" t="s">
        <v>20446</v>
      </c>
      <c r="B8894" s="30" t="s">
        <v>20447</v>
      </c>
      <c r="C8894" s="30" t="s">
        <v>19368</v>
      </c>
      <c r="D8894" s="30" t="s">
        <v>17</v>
      </c>
      <c r="E8894" s="30" t="s">
        <v>31</v>
      </c>
      <c r="F8894" s="30" t="s">
        <v>32</v>
      </c>
      <c r="G8894" s="30" t="s">
        <v>20</v>
      </c>
      <c r="H8894" s="32">
        <v>300</v>
      </c>
      <c r="I8894" s="30" t="s">
        <v>21</v>
      </c>
      <c r="J8894" s="41">
        <v>44711</v>
      </c>
      <c r="K8894" s="30" t="s">
        <v>22</v>
      </c>
    </row>
    <row r="8895" spans="1:11">
      <c r="A8895" s="33" t="s">
        <v>20448</v>
      </c>
      <c r="B8895" s="33" t="s">
        <v>20449</v>
      </c>
      <c r="C8895" s="33" t="s">
        <v>7407</v>
      </c>
      <c r="D8895" s="33" t="s">
        <v>17</v>
      </c>
      <c r="E8895" s="33" t="s">
        <v>18</v>
      </c>
      <c r="F8895" s="33" t="s">
        <v>19</v>
      </c>
      <c r="G8895" s="33" t="s">
        <v>50</v>
      </c>
      <c r="H8895" s="35">
        <v>3000</v>
      </c>
      <c r="I8895" s="33" t="s">
        <v>51</v>
      </c>
      <c r="J8895" s="42">
        <v>44713</v>
      </c>
      <c r="K8895" s="33" t="s">
        <v>22</v>
      </c>
    </row>
    <row r="8896" spans="1:11">
      <c r="A8896" s="30" t="s">
        <v>20450</v>
      </c>
      <c r="B8896" s="30" t="s">
        <v>20451</v>
      </c>
      <c r="C8896" s="30" t="s">
        <v>130</v>
      </c>
      <c r="D8896" s="30" t="s">
        <v>17</v>
      </c>
      <c r="E8896" s="30" t="s">
        <v>31</v>
      </c>
      <c r="F8896" s="30" t="s">
        <v>32</v>
      </c>
      <c r="G8896" s="30" t="s">
        <v>20</v>
      </c>
      <c r="H8896" s="32">
        <v>55</v>
      </c>
      <c r="I8896" s="30" t="s">
        <v>21</v>
      </c>
      <c r="J8896" s="41">
        <v>44686</v>
      </c>
      <c r="K8896" s="30" t="s">
        <v>22</v>
      </c>
    </row>
    <row r="8897" spans="1:11">
      <c r="A8897" s="33" t="s">
        <v>20452</v>
      </c>
      <c r="B8897" s="33" t="s">
        <v>20453</v>
      </c>
      <c r="C8897" s="33" t="s">
        <v>647</v>
      </c>
      <c r="D8897" s="33" t="s">
        <v>17</v>
      </c>
      <c r="E8897" s="33" t="s">
        <v>26</v>
      </c>
      <c r="F8897" s="33" t="s">
        <v>27</v>
      </c>
      <c r="G8897" s="33" t="s">
        <v>20</v>
      </c>
      <c r="H8897" s="35">
        <v>29</v>
      </c>
      <c r="I8897" s="33" t="s">
        <v>21</v>
      </c>
      <c r="J8897" s="42">
        <v>44743</v>
      </c>
      <c r="K8897" s="33" t="s">
        <v>22</v>
      </c>
    </row>
    <row r="8898" spans="1:11">
      <c r="A8898" s="30" t="s">
        <v>20454</v>
      </c>
      <c r="B8898" s="30" t="s">
        <v>20455</v>
      </c>
      <c r="C8898" s="30" t="s">
        <v>6858</v>
      </c>
      <c r="D8898" s="30" t="s">
        <v>17</v>
      </c>
      <c r="E8898" s="30" t="s">
        <v>18</v>
      </c>
      <c r="F8898" s="30" t="s">
        <v>19</v>
      </c>
      <c r="G8898" s="30" t="s">
        <v>20</v>
      </c>
      <c r="H8898" s="32">
        <v>178</v>
      </c>
      <c r="I8898" s="30" t="s">
        <v>21</v>
      </c>
      <c r="J8898" s="41">
        <v>44673</v>
      </c>
      <c r="K8898" s="30" t="s">
        <v>22</v>
      </c>
    </row>
    <row r="8899" spans="1:11">
      <c r="A8899" s="33" t="s">
        <v>20456</v>
      </c>
      <c r="B8899" s="33" t="s">
        <v>20457</v>
      </c>
      <c r="C8899" s="33" t="s">
        <v>353</v>
      </c>
      <c r="D8899" s="33" t="s">
        <v>17</v>
      </c>
      <c r="E8899" s="33" t="s">
        <v>26</v>
      </c>
      <c r="F8899" s="33" t="s">
        <v>27</v>
      </c>
      <c r="G8899" s="33" t="s">
        <v>50</v>
      </c>
      <c r="H8899" s="35">
        <v>46</v>
      </c>
      <c r="I8899" s="33" t="s">
        <v>51</v>
      </c>
      <c r="J8899" s="42">
        <v>44580</v>
      </c>
      <c r="K8899" s="33" t="s">
        <v>22</v>
      </c>
    </row>
    <row r="8900" spans="1:11">
      <c r="A8900" s="30" t="s">
        <v>20458</v>
      </c>
      <c r="B8900" s="30" t="s">
        <v>20459</v>
      </c>
      <c r="C8900" s="30" t="s">
        <v>20460</v>
      </c>
      <c r="D8900" s="30" t="s">
        <v>17</v>
      </c>
      <c r="E8900" s="30" t="s">
        <v>26</v>
      </c>
      <c r="F8900" s="30" t="s">
        <v>27</v>
      </c>
      <c r="G8900" s="30" t="s">
        <v>20</v>
      </c>
      <c r="H8900" s="32">
        <v>12</v>
      </c>
      <c r="I8900" s="30" t="s">
        <v>21</v>
      </c>
      <c r="J8900" s="41">
        <v>44734</v>
      </c>
      <c r="K8900" s="30" t="s">
        <v>22</v>
      </c>
    </row>
    <row r="8901" spans="1:11">
      <c r="A8901" s="33" t="s">
        <v>20461</v>
      </c>
      <c r="B8901" s="33" t="s">
        <v>20462</v>
      </c>
      <c r="C8901" s="33" t="s">
        <v>6827</v>
      </c>
      <c r="D8901" s="33" t="s">
        <v>17</v>
      </c>
      <c r="E8901" s="33" t="s">
        <v>18</v>
      </c>
      <c r="F8901" s="33" t="s">
        <v>19</v>
      </c>
      <c r="G8901" s="33" t="s">
        <v>20</v>
      </c>
      <c r="H8901" s="35">
        <v>648</v>
      </c>
      <c r="I8901" s="33" t="s">
        <v>21</v>
      </c>
      <c r="J8901" s="42">
        <v>44638</v>
      </c>
      <c r="K8901" s="33" t="s">
        <v>22</v>
      </c>
    </row>
    <row r="8902" spans="1:11">
      <c r="A8902" s="30" t="s">
        <v>20463</v>
      </c>
      <c r="B8902" s="30" t="s">
        <v>20464</v>
      </c>
      <c r="C8902" s="30" t="s">
        <v>20465</v>
      </c>
      <c r="D8902" s="30" t="s">
        <v>17</v>
      </c>
      <c r="E8902" s="30" t="s">
        <v>26</v>
      </c>
      <c r="F8902" s="30" t="s">
        <v>27</v>
      </c>
      <c r="G8902" s="30" t="s">
        <v>106</v>
      </c>
      <c r="H8902" s="32">
        <v>24</v>
      </c>
      <c r="I8902" s="30" t="s">
        <v>21</v>
      </c>
      <c r="J8902" s="41">
        <v>44648</v>
      </c>
      <c r="K8902" s="30" t="s">
        <v>22</v>
      </c>
    </row>
    <row r="8903" spans="1:11">
      <c r="A8903" s="33" t="s">
        <v>20466</v>
      </c>
      <c r="B8903" s="33" t="s">
        <v>20467</v>
      </c>
      <c r="C8903" s="33" t="s">
        <v>20468</v>
      </c>
      <c r="D8903" s="33" t="s">
        <v>17</v>
      </c>
      <c r="E8903" s="33" t="s">
        <v>18</v>
      </c>
      <c r="F8903" s="33" t="s">
        <v>19</v>
      </c>
      <c r="G8903" s="33" t="s">
        <v>50</v>
      </c>
      <c r="H8903" s="35">
        <v>200</v>
      </c>
      <c r="I8903" s="33" t="s">
        <v>51</v>
      </c>
      <c r="J8903" s="42">
        <v>44599</v>
      </c>
      <c r="K8903" s="33" t="s">
        <v>22</v>
      </c>
    </row>
    <row r="8904" spans="1:11">
      <c r="A8904" s="30" t="s">
        <v>20469</v>
      </c>
      <c r="B8904" s="30" t="s">
        <v>20470</v>
      </c>
      <c r="C8904" s="30" t="s">
        <v>187</v>
      </c>
      <c r="D8904" s="30" t="s">
        <v>17</v>
      </c>
      <c r="E8904" s="30" t="s">
        <v>67</v>
      </c>
      <c r="F8904" s="30" t="s">
        <v>68</v>
      </c>
      <c r="G8904" s="30" t="s">
        <v>106</v>
      </c>
      <c r="H8904" s="32">
        <v>8</v>
      </c>
      <c r="I8904" s="30" t="s">
        <v>21</v>
      </c>
      <c r="J8904" s="41">
        <v>44575</v>
      </c>
      <c r="K8904" s="30" t="s">
        <v>22</v>
      </c>
    </row>
    <row r="8905" spans="1:11">
      <c r="A8905" s="33" t="s">
        <v>20471</v>
      </c>
      <c r="B8905" s="33" t="s">
        <v>20472</v>
      </c>
      <c r="C8905" s="33" t="s">
        <v>109</v>
      </c>
      <c r="D8905" s="33" t="s">
        <v>17</v>
      </c>
      <c r="E8905" s="33" t="s">
        <v>26</v>
      </c>
      <c r="F8905" s="33" t="s">
        <v>27</v>
      </c>
      <c r="G8905" s="33" t="s">
        <v>158</v>
      </c>
      <c r="H8905" s="35">
        <v>55</v>
      </c>
      <c r="I8905" s="33" t="s">
        <v>21</v>
      </c>
      <c r="J8905" s="42">
        <v>44691</v>
      </c>
      <c r="K8905" s="33" t="s">
        <v>22</v>
      </c>
    </row>
    <row r="8906" spans="1:11">
      <c r="A8906" s="30" t="s">
        <v>20473</v>
      </c>
      <c r="B8906" s="30" t="s">
        <v>20474</v>
      </c>
      <c r="C8906" s="30" t="s">
        <v>1857</v>
      </c>
      <c r="D8906" s="30" t="s">
        <v>17</v>
      </c>
      <c r="E8906" s="30" t="s">
        <v>330</v>
      </c>
      <c r="F8906" s="30" t="s">
        <v>331</v>
      </c>
      <c r="G8906" s="30" t="s">
        <v>50</v>
      </c>
      <c r="H8906" s="32">
        <v>9</v>
      </c>
      <c r="I8906" s="30" t="s">
        <v>51</v>
      </c>
      <c r="J8906" s="41">
        <v>44753</v>
      </c>
      <c r="K8906" s="30" t="s">
        <v>22</v>
      </c>
    </row>
    <row r="8907" spans="1:11">
      <c r="A8907" s="33" t="s">
        <v>20475</v>
      </c>
      <c r="B8907" s="33" t="s">
        <v>20476</v>
      </c>
      <c r="C8907" s="33" t="s">
        <v>5802</v>
      </c>
      <c r="D8907" s="33" t="s">
        <v>17</v>
      </c>
      <c r="E8907" s="33" t="s">
        <v>31</v>
      </c>
      <c r="F8907" s="33" t="s">
        <v>32</v>
      </c>
      <c r="G8907" s="33" t="s">
        <v>158</v>
      </c>
      <c r="H8907" s="35">
        <v>280</v>
      </c>
      <c r="I8907" s="33" t="s">
        <v>21</v>
      </c>
      <c r="J8907" s="42">
        <v>44886</v>
      </c>
      <c r="K8907" s="33" t="s">
        <v>22</v>
      </c>
    </row>
    <row r="8908" spans="1:11">
      <c r="A8908" s="30" t="s">
        <v>20477</v>
      </c>
      <c r="B8908" s="30" t="s">
        <v>20478</v>
      </c>
      <c r="C8908" s="30" t="s">
        <v>379</v>
      </c>
      <c r="D8908" s="30" t="s">
        <v>17</v>
      </c>
      <c r="E8908" s="30" t="s">
        <v>67</v>
      </c>
      <c r="F8908" s="30" t="s">
        <v>68</v>
      </c>
      <c r="G8908" s="30" t="s">
        <v>50</v>
      </c>
      <c r="H8908" s="32">
        <v>30</v>
      </c>
      <c r="I8908" s="30" t="s">
        <v>51</v>
      </c>
      <c r="J8908" s="41">
        <v>44732</v>
      </c>
      <c r="K8908" s="30" t="s">
        <v>22</v>
      </c>
    </row>
    <row r="8909" spans="1:11">
      <c r="A8909" s="33" t="s">
        <v>20479</v>
      </c>
      <c r="B8909" s="33" t="s">
        <v>20480</v>
      </c>
      <c r="C8909" s="33" t="s">
        <v>20481</v>
      </c>
      <c r="D8909" s="33" t="s">
        <v>17</v>
      </c>
      <c r="E8909" s="33" t="s">
        <v>26</v>
      </c>
      <c r="F8909" s="33" t="s">
        <v>27</v>
      </c>
      <c r="G8909" s="33" t="s">
        <v>50</v>
      </c>
      <c r="H8909" s="35">
        <v>48</v>
      </c>
      <c r="I8909" s="33" t="s">
        <v>51</v>
      </c>
      <c r="J8909" s="42">
        <v>44600</v>
      </c>
      <c r="K8909" s="33" t="s">
        <v>22</v>
      </c>
    </row>
    <row r="8910" spans="1:11">
      <c r="A8910" s="30" t="s">
        <v>20482</v>
      </c>
      <c r="B8910" s="30" t="s">
        <v>20483</v>
      </c>
      <c r="C8910" s="30" t="s">
        <v>5125</v>
      </c>
      <c r="D8910" s="30" t="s">
        <v>17</v>
      </c>
      <c r="E8910" s="30" t="s">
        <v>26</v>
      </c>
      <c r="F8910" s="30" t="s">
        <v>27</v>
      </c>
      <c r="G8910" s="30" t="s">
        <v>20</v>
      </c>
      <c r="H8910" s="32">
        <v>90</v>
      </c>
      <c r="I8910" s="30" t="s">
        <v>21</v>
      </c>
      <c r="J8910" s="41">
        <v>44827</v>
      </c>
      <c r="K8910" s="30" t="s">
        <v>22</v>
      </c>
    </row>
    <row r="8911" spans="1:11">
      <c r="A8911" s="33" t="s">
        <v>20484</v>
      </c>
      <c r="B8911" s="33" t="s">
        <v>20485</v>
      </c>
      <c r="C8911" s="33" t="s">
        <v>20486</v>
      </c>
      <c r="D8911" s="33" t="s">
        <v>17</v>
      </c>
      <c r="E8911" s="33" t="s">
        <v>18</v>
      </c>
      <c r="F8911" s="33" t="s">
        <v>19</v>
      </c>
      <c r="G8911" s="33" t="s">
        <v>140</v>
      </c>
      <c r="H8911" s="35">
        <v>186</v>
      </c>
      <c r="I8911" s="33" t="s">
        <v>51</v>
      </c>
      <c r="J8911" s="42">
        <v>44804</v>
      </c>
      <c r="K8911" s="33" t="s">
        <v>22</v>
      </c>
    </row>
    <row r="8912" spans="1:11">
      <c r="A8912" s="30" t="s">
        <v>20487</v>
      </c>
      <c r="B8912" s="30" t="s">
        <v>20488</v>
      </c>
      <c r="C8912" s="30" t="s">
        <v>20489</v>
      </c>
      <c r="D8912" s="30" t="s">
        <v>17</v>
      </c>
      <c r="E8912" s="30" t="s">
        <v>67</v>
      </c>
      <c r="F8912" s="30" t="s">
        <v>68</v>
      </c>
      <c r="G8912" s="30" t="s">
        <v>106</v>
      </c>
      <c r="H8912" s="32">
        <v>5</v>
      </c>
      <c r="I8912" s="30" t="s">
        <v>21</v>
      </c>
      <c r="J8912" s="41">
        <v>44622</v>
      </c>
      <c r="K8912" s="30" t="s">
        <v>22</v>
      </c>
    </row>
    <row r="8913" spans="1:11">
      <c r="A8913" s="33" t="s">
        <v>20490</v>
      </c>
      <c r="B8913" s="33" t="s">
        <v>20491</v>
      </c>
      <c r="C8913" s="33" t="s">
        <v>20492</v>
      </c>
      <c r="D8913" s="33" t="s">
        <v>17</v>
      </c>
      <c r="E8913" s="33" t="s">
        <v>26</v>
      </c>
      <c r="F8913" s="33" t="s">
        <v>27</v>
      </c>
      <c r="G8913" s="33" t="s">
        <v>106</v>
      </c>
      <c r="H8913" s="35">
        <v>20</v>
      </c>
      <c r="I8913" s="33" t="s">
        <v>21</v>
      </c>
      <c r="J8913" s="42">
        <v>44805</v>
      </c>
      <c r="K8913" s="33" t="s">
        <v>22</v>
      </c>
    </row>
    <row r="8914" spans="1:11">
      <c r="A8914" s="30" t="s">
        <v>20493</v>
      </c>
      <c r="B8914" s="30" t="s">
        <v>20494</v>
      </c>
      <c r="C8914" s="30" t="s">
        <v>96</v>
      </c>
      <c r="D8914" s="30" t="s">
        <v>17</v>
      </c>
      <c r="E8914" s="30" t="s">
        <v>212</v>
      </c>
      <c r="F8914" s="30" t="s">
        <v>213</v>
      </c>
      <c r="G8914" s="30" t="s">
        <v>140</v>
      </c>
      <c r="H8914" s="32">
        <v>46</v>
      </c>
      <c r="I8914" s="30" t="s">
        <v>51</v>
      </c>
      <c r="J8914" s="41">
        <v>44747</v>
      </c>
      <c r="K8914" s="30" t="s">
        <v>22</v>
      </c>
    </row>
    <row r="8915" spans="1:11">
      <c r="A8915" s="33" t="s">
        <v>20495</v>
      </c>
      <c r="B8915" s="33" t="s">
        <v>20496</v>
      </c>
      <c r="C8915" s="33" t="s">
        <v>17282</v>
      </c>
      <c r="D8915" s="33" t="s">
        <v>17</v>
      </c>
      <c r="E8915" s="33" t="s">
        <v>18</v>
      </c>
      <c r="F8915" s="33" t="s">
        <v>19</v>
      </c>
      <c r="G8915" s="33" t="s">
        <v>20</v>
      </c>
      <c r="H8915" s="35">
        <v>294</v>
      </c>
      <c r="I8915" s="33" t="s">
        <v>21</v>
      </c>
      <c r="J8915" s="42">
        <v>44782</v>
      </c>
      <c r="K8915" s="33" t="s">
        <v>22</v>
      </c>
    </row>
    <row r="8916" spans="1:11">
      <c r="A8916" s="30" t="s">
        <v>20497</v>
      </c>
      <c r="B8916" s="30" t="s">
        <v>20498</v>
      </c>
      <c r="C8916" s="30" t="s">
        <v>1598</v>
      </c>
      <c r="D8916" s="30" t="s">
        <v>17</v>
      </c>
      <c r="E8916" s="30" t="s">
        <v>26</v>
      </c>
      <c r="F8916" s="30" t="s">
        <v>27</v>
      </c>
      <c r="G8916" s="30" t="s">
        <v>140</v>
      </c>
      <c r="H8916" s="32">
        <v>470</v>
      </c>
      <c r="I8916" s="30" t="s">
        <v>51</v>
      </c>
      <c r="J8916" s="41">
        <v>44860</v>
      </c>
      <c r="K8916" s="30" t="s">
        <v>22</v>
      </c>
    </row>
    <row r="8917" spans="1:11">
      <c r="A8917" s="33" t="s">
        <v>20499</v>
      </c>
      <c r="B8917" s="33" t="s">
        <v>20500</v>
      </c>
      <c r="C8917" s="33" t="s">
        <v>7383</v>
      </c>
      <c r="D8917" s="33" t="s">
        <v>17</v>
      </c>
      <c r="E8917" s="33" t="s">
        <v>26</v>
      </c>
      <c r="F8917" s="33" t="s">
        <v>27</v>
      </c>
      <c r="G8917" s="33" t="s">
        <v>50</v>
      </c>
      <c r="H8917" s="35">
        <v>78</v>
      </c>
      <c r="I8917" s="33" t="s">
        <v>51</v>
      </c>
      <c r="J8917" s="42">
        <v>44620</v>
      </c>
      <c r="K8917" s="33" t="s">
        <v>22</v>
      </c>
    </row>
    <row r="8918" spans="1:11">
      <c r="A8918" s="30" t="s">
        <v>20501</v>
      </c>
      <c r="B8918" s="30" t="s">
        <v>20502</v>
      </c>
      <c r="C8918" s="30" t="s">
        <v>2698</v>
      </c>
      <c r="D8918" s="30" t="s">
        <v>17</v>
      </c>
      <c r="E8918" s="30" t="s">
        <v>18</v>
      </c>
      <c r="F8918" s="30" t="s">
        <v>19</v>
      </c>
      <c r="G8918" s="30" t="s">
        <v>158</v>
      </c>
      <c r="H8918" s="32">
        <v>66</v>
      </c>
      <c r="I8918" s="30" t="s">
        <v>21</v>
      </c>
      <c r="J8918" s="41">
        <v>44645</v>
      </c>
      <c r="K8918" s="30" t="s">
        <v>22</v>
      </c>
    </row>
    <row r="8919" spans="1:11">
      <c r="A8919" s="33" t="s">
        <v>20503</v>
      </c>
      <c r="B8919" s="33" t="s">
        <v>20504</v>
      </c>
      <c r="C8919" s="33" t="s">
        <v>894</v>
      </c>
      <c r="D8919" s="33" t="s">
        <v>17</v>
      </c>
      <c r="E8919" s="33" t="s">
        <v>26</v>
      </c>
      <c r="F8919" s="33" t="s">
        <v>27</v>
      </c>
      <c r="G8919" s="33" t="s">
        <v>20</v>
      </c>
      <c r="H8919" s="35">
        <v>9</v>
      </c>
      <c r="I8919" s="33" t="s">
        <v>21</v>
      </c>
      <c r="J8919" s="42">
        <v>44896</v>
      </c>
      <c r="K8919" s="33" t="s">
        <v>22</v>
      </c>
    </row>
    <row r="8920" spans="1:11">
      <c r="A8920" s="30" t="s">
        <v>20505</v>
      </c>
      <c r="B8920" s="30" t="s">
        <v>20506</v>
      </c>
      <c r="C8920" s="30" t="s">
        <v>25</v>
      </c>
      <c r="D8920" s="30" t="s">
        <v>17</v>
      </c>
      <c r="E8920" s="30" t="s">
        <v>45</v>
      </c>
      <c r="F8920" s="30" t="s">
        <v>46</v>
      </c>
      <c r="G8920" s="30" t="s">
        <v>20</v>
      </c>
      <c r="H8920" s="32">
        <v>196</v>
      </c>
      <c r="I8920" s="30" t="s">
        <v>21</v>
      </c>
      <c r="J8920" s="41">
        <v>44652</v>
      </c>
      <c r="K8920" s="30" t="s">
        <v>22</v>
      </c>
    </row>
    <row r="8921" spans="1:11">
      <c r="A8921" s="33" t="s">
        <v>20507</v>
      </c>
      <c r="B8921" s="33" t="s">
        <v>20508</v>
      </c>
      <c r="C8921" s="33" t="s">
        <v>10757</v>
      </c>
      <c r="D8921" s="33" t="s">
        <v>17</v>
      </c>
      <c r="E8921" s="33" t="s">
        <v>18</v>
      </c>
      <c r="F8921" s="33" t="s">
        <v>19</v>
      </c>
      <c r="G8921" s="33" t="s">
        <v>20</v>
      </c>
      <c r="H8921" s="35">
        <v>254</v>
      </c>
      <c r="I8921" s="33" t="s">
        <v>21</v>
      </c>
      <c r="J8921" s="42">
        <v>44775</v>
      </c>
      <c r="K8921" s="33" t="s">
        <v>22</v>
      </c>
    </row>
    <row r="8922" spans="1:11">
      <c r="A8922" s="30" t="s">
        <v>20509</v>
      </c>
      <c r="B8922" s="30" t="s">
        <v>20510</v>
      </c>
      <c r="C8922" s="30" t="s">
        <v>4668</v>
      </c>
      <c r="D8922" s="30" t="s">
        <v>17</v>
      </c>
      <c r="E8922" s="30" t="s">
        <v>26</v>
      </c>
      <c r="F8922" s="30" t="s">
        <v>27</v>
      </c>
      <c r="G8922" s="30" t="s">
        <v>20</v>
      </c>
      <c r="H8922" s="32">
        <v>132</v>
      </c>
      <c r="I8922" s="30" t="s">
        <v>21</v>
      </c>
      <c r="J8922" s="41">
        <v>44875</v>
      </c>
      <c r="K8922" s="30" t="s">
        <v>22</v>
      </c>
    </row>
    <row r="8923" spans="1:11">
      <c r="A8923" s="33" t="s">
        <v>20511</v>
      </c>
      <c r="B8923" s="33" t="s">
        <v>20512</v>
      </c>
      <c r="C8923" s="33" t="s">
        <v>75</v>
      </c>
      <c r="D8923" s="33" t="s">
        <v>17</v>
      </c>
      <c r="E8923" s="33" t="s">
        <v>67</v>
      </c>
      <c r="F8923" s="33" t="s">
        <v>68</v>
      </c>
      <c r="G8923" s="33" t="s">
        <v>106</v>
      </c>
      <c r="H8923" s="35">
        <v>5</v>
      </c>
      <c r="I8923" s="33" t="s">
        <v>21</v>
      </c>
      <c r="J8923" s="42">
        <v>44817</v>
      </c>
      <c r="K8923" s="33" t="s">
        <v>22</v>
      </c>
    </row>
    <row r="8924" spans="1:11">
      <c r="A8924" s="30" t="s">
        <v>20513</v>
      </c>
      <c r="B8924" s="30" t="s">
        <v>20514</v>
      </c>
      <c r="C8924" s="30" t="s">
        <v>96</v>
      </c>
      <c r="D8924" s="30" t="s">
        <v>17</v>
      </c>
      <c r="E8924" s="30" t="s">
        <v>67</v>
      </c>
      <c r="F8924" s="30" t="s">
        <v>68</v>
      </c>
      <c r="G8924" s="30" t="s">
        <v>158</v>
      </c>
      <c r="H8924" s="32">
        <v>192</v>
      </c>
      <c r="I8924" s="30" t="s">
        <v>21</v>
      </c>
      <c r="J8924" s="41">
        <v>44634</v>
      </c>
      <c r="K8924" s="30" t="s">
        <v>22</v>
      </c>
    </row>
    <row r="8925" spans="1:11">
      <c r="A8925" s="33" t="s">
        <v>20515</v>
      </c>
      <c r="B8925" s="33" t="s">
        <v>20516</v>
      </c>
      <c r="C8925" s="33" t="s">
        <v>715</v>
      </c>
      <c r="D8925" s="33" t="s">
        <v>17</v>
      </c>
      <c r="E8925" s="33" t="s">
        <v>26</v>
      </c>
      <c r="F8925" s="33" t="s">
        <v>27</v>
      </c>
      <c r="G8925" s="33" t="s">
        <v>20</v>
      </c>
      <c r="H8925" s="35">
        <v>28</v>
      </c>
      <c r="I8925" s="33" t="s">
        <v>21</v>
      </c>
      <c r="J8925" s="42">
        <v>44798</v>
      </c>
      <c r="K8925" s="33" t="s">
        <v>22</v>
      </c>
    </row>
    <row r="8926" spans="1:11">
      <c r="A8926" s="30" t="s">
        <v>20517</v>
      </c>
      <c r="B8926" s="30" t="s">
        <v>20518</v>
      </c>
      <c r="C8926" s="30" t="s">
        <v>13795</v>
      </c>
      <c r="D8926" s="30" t="s">
        <v>17</v>
      </c>
      <c r="E8926" s="30" t="s">
        <v>67</v>
      </c>
      <c r="F8926" s="30" t="s">
        <v>68</v>
      </c>
      <c r="G8926" s="30" t="s">
        <v>140</v>
      </c>
      <c r="H8926" s="32">
        <v>116</v>
      </c>
      <c r="I8926" s="30" t="s">
        <v>51</v>
      </c>
      <c r="J8926" s="41">
        <v>44834</v>
      </c>
      <c r="K8926" s="30" t="s">
        <v>22</v>
      </c>
    </row>
    <row r="8927" spans="1:11">
      <c r="A8927" s="33" t="s">
        <v>20519</v>
      </c>
      <c r="B8927" s="33" t="s">
        <v>20520</v>
      </c>
      <c r="C8927" s="33" t="s">
        <v>20521</v>
      </c>
      <c r="D8927" s="33" t="s">
        <v>17</v>
      </c>
      <c r="E8927" s="33" t="s">
        <v>31</v>
      </c>
      <c r="F8927" s="33" t="s">
        <v>32</v>
      </c>
      <c r="G8927" s="33" t="s">
        <v>20</v>
      </c>
      <c r="H8927" s="35">
        <v>72</v>
      </c>
      <c r="I8927" s="33" t="s">
        <v>21</v>
      </c>
      <c r="J8927" s="42">
        <v>44656</v>
      </c>
      <c r="K8927" s="33" t="s">
        <v>22</v>
      </c>
    </row>
    <row r="8928" spans="1:11">
      <c r="A8928" s="30" t="s">
        <v>20522</v>
      </c>
      <c r="B8928" s="30" t="s">
        <v>20523</v>
      </c>
      <c r="C8928" s="30" t="s">
        <v>96</v>
      </c>
      <c r="D8928" s="30" t="s">
        <v>17</v>
      </c>
      <c r="E8928" s="30" t="s">
        <v>26</v>
      </c>
      <c r="F8928" s="30" t="s">
        <v>27</v>
      </c>
      <c r="G8928" s="30" t="s">
        <v>20</v>
      </c>
      <c r="H8928" s="32">
        <v>12</v>
      </c>
      <c r="I8928" s="30" t="s">
        <v>21</v>
      </c>
      <c r="J8928" s="41">
        <v>44904</v>
      </c>
      <c r="K8928" s="30" t="s">
        <v>22</v>
      </c>
    </row>
    <row r="8929" spans="1:11">
      <c r="A8929" s="33" t="s">
        <v>20524</v>
      </c>
      <c r="B8929" s="33" t="s">
        <v>20525</v>
      </c>
      <c r="C8929" s="33" t="s">
        <v>10589</v>
      </c>
      <c r="D8929" s="33" t="s">
        <v>17</v>
      </c>
      <c r="E8929" s="33" t="s">
        <v>26</v>
      </c>
      <c r="F8929" s="33" t="s">
        <v>27</v>
      </c>
      <c r="G8929" s="33" t="s">
        <v>20</v>
      </c>
      <c r="H8929" s="35">
        <v>10</v>
      </c>
      <c r="I8929" s="33" t="s">
        <v>21</v>
      </c>
      <c r="J8929" s="42">
        <v>44797</v>
      </c>
      <c r="K8929" s="33" t="s">
        <v>22</v>
      </c>
    </row>
    <row r="8930" spans="1:11">
      <c r="A8930" s="30" t="s">
        <v>20526</v>
      </c>
      <c r="B8930" s="30" t="s">
        <v>20527</v>
      </c>
      <c r="C8930" s="30" t="s">
        <v>6607</v>
      </c>
      <c r="D8930" s="30" t="s">
        <v>17</v>
      </c>
      <c r="E8930" s="30" t="s">
        <v>31</v>
      </c>
      <c r="F8930" s="30" t="s">
        <v>32</v>
      </c>
      <c r="G8930" s="30" t="s">
        <v>20</v>
      </c>
      <c r="H8930" s="32">
        <v>20</v>
      </c>
      <c r="I8930" s="30" t="s">
        <v>21</v>
      </c>
      <c r="J8930" s="41">
        <v>44725</v>
      </c>
      <c r="K8930" s="30" t="s">
        <v>22</v>
      </c>
    </row>
    <row r="8931" spans="1:11">
      <c r="A8931" s="33" t="s">
        <v>20528</v>
      </c>
      <c r="B8931" s="33" t="s">
        <v>20529</v>
      </c>
      <c r="C8931" s="33" t="s">
        <v>20530</v>
      </c>
      <c r="D8931" s="33" t="s">
        <v>17</v>
      </c>
      <c r="E8931" s="33" t="s">
        <v>67</v>
      </c>
      <c r="F8931" s="33" t="s">
        <v>68</v>
      </c>
      <c r="G8931" s="33" t="s">
        <v>50</v>
      </c>
      <c r="H8931" s="35">
        <v>12</v>
      </c>
      <c r="I8931" s="33" t="s">
        <v>51</v>
      </c>
      <c r="J8931" s="42">
        <v>44885</v>
      </c>
      <c r="K8931" s="33" t="s">
        <v>22</v>
      </c>
    </row>
    <row r="8932" spans="1:11">
      <c r="A8932" s="30" t="s">
        <v>20531</v>
      </c>
      <c r="B8932" s="30" t="s">
        <v>20532</v>
      </c>
      <c r="C8932" s="30" t="s">
        <v>190</v>
      </c>
      <c r="D8932" s="30" t="s">
        <v>17</v>
      </c>
      <c r="E8932" s="30" t="s">
        <v>212</v>
      </c>
      <c r="F8932" s="30" t="s">
        <v>213</v>
      </c>
      <c r="G8932" s="30" t="s">
        <v>20</v>
      </c>
      <c r="H8932" s="32">
        <v>1500</v>
      </c>
      <c r="I8932" s="30" t="s">
        <v>21</v>
      </c>
      <c r="J8932" s="41">
        <v>44771</v>
      </c>
      <c r="K8932" s="30" t="s">
        <v>22</v>
      </c>
    </row>
    <row r="8933" spans="1:11">
      <c r="A8933" s="33" t="s">
        <v>20533</v>
      </c>
      <c r="B8933" s="33" t="s">
        <v>20534</v>
      </c>
      <c r="C8933" s="33" t="s">
        <v>1136</v>
      </c>
      <c r="D8933" s="33" t="s">
        <v>17</v>
      </c>
      <c r="E8933" s="33" t="s">
        <v>18</v>
      </c>
      <c r="F8933" s="33" t="s">
        <v>19</v>
      </c>
      <c r="G8933" s="33" t="s">
        <v>20</v>
      </c>
      <c r="H8933" s="35">
        <v>8057</v>
      </c>
      <c r="I8933" s="33" t="s">
        <v>21</v>
      </c>
      <c r="J8933" s="42">
        <v>44781</v>
      </c>
      <c r="K8933" s="33" t="s">
        <v>22</v>
      </c>
    </row>
    <row r="8934" spans="1:11">
      <c r="A8934" s="30" t="s">
        <v>20535</v>
      </c>
      <c r="B8934" s="30" t="s">
        <v>20536</v>
      </c>
      <c r="C8934" s="30" t="s">
        <v>6379</v>
      </c>
      <c r="D8934" s="30" t="s">
        <v>17</v>
      </c>
      <c r="E8934" s="30" t="s">
        <v>18</v>
      </c>
      <c r="F8934" s="30" t="s">
        <v>19</v>
      </c>
      <c r="G8934" s="30" t="s">
        <v>20</v>
      </c>
      <c r="H8934" s="32">
        <v>86</v>
      </c>
      <c r="I8934" s="30" t="s">
        <v>21</v>
      </c>
      <c r="J8934" s="41">
        <v>44666</v>
      </c>
      <c r="K8934" s="30" t="s">
        <v>22</v>
      </c>
    </row>
    <row r="8935" spans="1:11">
      <c r="A8935" s="33" t="s">
        <v>20537</v>
      </c>
      <c r="B8935" s="33" t="s">
        <v>20538</v>
      </c>
      <c r="C8935" s="33" t="s">
        <v>170</v>
      </c>
      <c r="D8935" s="33" t="s">
        <v>17</v>
      </c>
      <c r="E8935" s="33" t="s">
        <v>67</v>
      </c>
      <c r="F8935" s="33" t="s">
        <v>68</v>
      </c>
      <c r="G8935" s="33" t="s">
        <v>106</v>
      </c>
      <c r="H8935" s="35">
        <v>15</v>
      </c>
      <c r="I8935" s="33" t="s">
        <v>21</v>
      </c>
      <c r="J8935" s="42">
        <v>44816</v>
      </c>
      <c r="K8935" s="33" t="s">
        <v>22</v>
      </c>
    </row>
    <row r="8936" spans="1:11">
      <c r="A8936" s="30" t="s">
        <v>20539</v>
      </c>
      <c r="B8936" s="30" t="s">
        <v>20540</v>
      </c>
      <c r="C8936" s="30" t="s">
        <v>149</v>
      </c>
      <c r="D8936" s="30" t="s">
        <v>17</v>
      </c>
      <c r="E8936" s="30" t="s">
        <v>31</v>
      </c>
      <c r="F8936" s="30" t="s">
        <v>32</v>
      </c>
      <c r="G8936" s="30" t="s">
        <v>50</v>
      </c>
      <c r="H8936" s="32">
        <v>129</v>
      </c>
      <c r="I8936" s="30" t="s">
        <v>51</v>
      </c>
      <c r="J8936" s="41">
        <v>44819</v>
      </c>
      <c r="K8936" s="30" t="s">
        <v>22</v>
      </c>
    </row>
    <row r="8937" spans="1:11">
      <c r="A8937" s="33" t="s">
        <v>20541</v>
      </c>
      <c r="B8937" s="33" t="s">
        <v>20542</v>
      </c>
      <c r="C8937" s="33" t="s">
        <v>136</v>
      </c>
      <c r="D8937" s="33" t="s">
        <v>17</v>
      </c>
      <c r="E8937" s="33" t="s">
        <v>26</v>
      </c>
      <c r="F8937" s="33" t="s">
        <v>27</v>
      </c>
      <c r="G8937" s="33" t="s">
        <v>20</v>
      </c>
      <c r="H8937" s="35">
        <v>39</v>
      </c>
      <c r="I8937" s="33" t="s">
        <v>21</v>
      </c>
      <c r="J8937" s="42">
        <v>44698</v>
      </c>
      <c r="K8937" s="33" t="s">
        <v>22</v>
      </c>
    </row>
    <row r="8938" spans="1:11">
      <c r="A8938" s="30" t="s">
        <v>20543</v>
      </c>
      <c r="B8938" s="30" t="s">
        <v>20544</v>
      </c>
      <c r="C8938" s="30" t="s">
        <v>6276</v>
      </c>
      <c r="D8938" s="30" t="s">
        <v>17</v>
      </c>
      <c r="E8938" s="30" t="s">
        <v>67</v>
      </c>
      <c r="F8938" s="30" t="s">
        <v>68</v>
      </c>
      <c r="G8938" s="30" t="s">
        <v>140</v>
      </c>
      <c r="H8938" s="32">
        <v>53</v>
      </c>
      <c r="I8938" s="30" t="s">
        <v>51</v>
      </c>
      <c r="J8938" s="41">
        <v>44762</v>
      </c>
      <c r="K8938" s="30" t="s">
        <v>22</v>
      </c>
    </row>
    <row r="8939" spans="1:11">
      <c r="A8939" s="33" t="s">
        <v>20545</v>
      </c>
      <c r="B8939" s="33" t="s">
        <v>20546</v>
      </c>
      <c r="C8939" s="33" t="s">
        <v>4348</v>
      </c>
      <c r="D8939" s="33" t="s">
        <v>17</v>
      </c>
      <c r="E8939" s="33" t="s">
        <v>26</v>
      </c>
      <c r="F8939" s="33" t="s">
        <v>27</v>
      </c>
      <c r="G8939" s="33" t="s">
        <v>140</v>
      </c>
      <c r="H8939" s="35">
        <v>96</v>
      </c>
      <c r="I8939" s="33" t="s">
        <v>51</v>
      </c>
      <c r="J8939" s="42">
        <v>44606</v>
      </c>
      <c r="K8939" s="33" t="s">
        <v>22</v>
      </c>
    </row>
    <row r="8940" spans="1:11">
      <c r="A8940" s="30" t="s">
        <v>20547</v>
      </c>
      <c r="B8940" s="30" t="s">
        <v>20548</v>
      </c>
      <c r="C8940" s="30" t="s">
        <v>20006</v>
      </c>
      <c r="D8940" s="30" t="s">
        <v>17</v>
      </c>
      <c r="E8940" s="30" t="s">
        <v>31</v>
      </c>
      <c r="F8940" s="30" t="s">
        <v>32</v>
      </c>
      <c r="G8940" s="30" t="s">
        <v>20</v>
      </c>
      <c r="H8940" s="32">
        <v>21</v>
      </c>
      <c r="I8940" s="30" t="s">
        <v>21</v>
      </c>
      <c r="J8940" s="41">
        <v>44770</v>
      </c>
      <c r="K8940" s="30" t="s">
        <v>22</v>
      </c>
    </row>
    <row r="8941" spans="1:11">
      <c r="A8941" s="33" t="s">
        <v>20549</v>
      </c>
      <c r="B8941" s="33" t="s">
        <v>20550</v>
      </c>
      <c r="C8941" s="33" t="s">
        <v>20551</v>
      </c>
      <c r="D8941" s="33" t="s">
        <v>17</v>
      </c>
      <c r="E8941" s="33" t="s">
        <v>31</v>
      </c>
      <c r="F8941" s="33" t="s">
        <v>32</v>
      </c>
      <c r="G8941" s="33" t="s">
        <v>20</v>
      </c>
      <c r="H8941" s="35">
        <v>304</v>
      </c>
      <c r="I8941" s="33" t="s">
        <v>21</v>
      </c>
      <c r="J8941" s="42">
        <v>44673</v>
      </c>
      <c r="K8941" s="33" t="s">
        <v>22</v>
      </c>
    </row>
    <row r="8942" spans="1:11">
      <c r="A8942" s="30" t="s">
        <v>20552</v>
      </c>
      <c r="B8942" s="30" t="s">
        <v>20553</v>
      </c>
      <c r="C8942" s="30" t="s">
        <v>102</v>
      </c>
      <c r="D8942" s="30" t="s">
        <v>17</v>
      </c>
      <c r="E8942" s="30" t="s">
        <v>18</v>
      </c>
      <c r="F8942" s="30" t="s">
        <v>19</v>
      </c>
      <c r="G8942" s="30" t="s">
        <v>112</v>
      </c>
      <c r="H8942" s="32">
        <v>0</v>
      </c>
      <c r="I8942" s="30" t="s">
        <v>21</v>
      </c>
      <c r="J8942" s="41">
        <v>44854</v>
      </c>
      <c r="K8942" s="30" t="s">
        <v>22</v>
      </c>
    </row>
    <row r="8943" spans="1:11">
      <c r="A8943" s="33" t="s">
        <v>20554</v>
      </c>
      <c r="B8943" s="33" t="s">
        <v>20555</v>
      </c>
      <c r="C8943" s="33" t="s">
        <v>1278</v>
      </c>
      <c r="D8943" s="33" t="s">
        <v>17</v>
      </c>
      <c r="E8943" s="33" t="s">
        <v>45</v>
      </c>
      <c r="F8943" s="33" t="s">
        <v>46</v>
      </c>
      <c r="G8943" s="33" t="s">
        <v>112</v>
      </c>
      <c r="H8943" s="35">
        <v>0</v>
      </c>
      <c r="I8943" s="33" t="s">
        <v>21</v>
      </c>
      <c r="J8943" s="42">
        <v>44835</v>
      </c>
      <c r="K8943" s="33" t="s">
        <v>22</v>
      </c>
    </row>
    <row r="8944" spans="1:11">
      <c r="A8944" s="30" t="s">
        <v>20556</v>
      </c>
      <c r="B8944" s="30" t="s">
        <v>20557</v>
      </c>
      <c r="C8944" s="30" t="s">
        <v>13971</v>
      </c>
      <c r="D8944" s="30" t="s">
        <v>17</v>
      </c>
      <c r="E8944" s="30" t="s">
        <v>26</v>
      </c>
      <c r="F8944" s="30" t="s">
        <v>27</v>
      </c>
      <c r="G8944" s="30" t="s">
        <v>20</v>
      </c>
      <c r="H8944" s="32">
        <v>8</v>
      </c>
      <c r="I8944" s="30" t="s">
        <v>21</v>
      </c>
      <c r="J8944" s="41">
        <v>44886</v>
      </c>
      <c r="K8944" s="30" t="s">
        <v>22</v>
      </c>
    </row>
    <row r="8945" spans="1:11">
      <c r="A8945" s="33" t="s">
        <v>20558</v>
      </c>
      <c r="B8945" s="33" t="s">
        <v>20559</v>
      </c>
      <c r="C8945" s="33" t="s">
        <v>2772</v>
      </c>
      <c r="D8945" s="33" t="s">
        <v>17</v>
      </c>
      <c r="E8945" s="33" t="s">
        <v>26</v>
      </c>
      <c r="F8945" s="33" t="s">
        <v>27</v>
      </c>
      <c r="G8945" s="33" t="s">
        <v>50</v>
      </c>
      <c r="H8945" s="35">
        <v>100</v>
      </c>
      <c r="I8945" s="33" t="s">
        <v>21</v>
      </c>
      <c r="J8945" s="42">
        <v>44781</v>
      </c>
      <c r="K8945" s="33" t="s">
        <v>22</v>
      </c>
    </row>
    <row r="8946" spans="1:11">
      <c r="A8946" s="30" t="s">
        <v>20560</v>
      </c>
      <c r="B8946" s="30" t="s">
        <v>20561</v>
      </c>
      <c r="C8946" s="30" t="s">
        <v>231</v>
      </c>
      <c r="D8946" s="30" t="s">
        <v>17</v>
      </c>
      <c r="E8946" s="30" t="s">
        <v>26</v>
      </c>
      <c r="F8946" s="30" t="s">
        <v>27</v>
      </c>
      <c r="G8946" s="30" t="s">
        <v>20</v>
      </c>
      <c r="H8946" s="32">
        <v>16</v>
      </c>
      <c r="I8946" s="30" t="s">
        <v>21</v>
      </c>
      <c r="J8946" s="41">
        <v>44859</v>
      </c>
      <c r="K8946" s="30" t="s">
        <v>22</v>
      </c>
    </row>
    <row r="8947" spans="1:11">
      <c r="A8947" s="33" t="s">
        <v>20562</v>
      </c>
      <c r="B8947" s="33" t="s">
        <v>20563</v>
      </c>
      <c r="C8947" s="33" t="s">
        <v>96</v>
      </c>
      <c r="D8947" s="33" t="s">
        <v>17</v>
      </c>
      <c r="E8947" s="33" t="s">
        <v>26</v>
      </c>
      <c r="F8947" s="33" t="s">
        <v>27</v>
      </c>
      <c r="G8947" s="33" t="s">
        <v>20</v>
      </c>
      <c r="H8947" s="35">
        <v>24</v>
      </c>
      <c r="I8947" s="33" t="s">
        <v>21</v>
      </c>
      <c r="J8947" s="42">
        <v>44601</v>
      </c>
      <c r="K8947" s="33" t="s">
        <v>22</v>
      </c>
    </row>
    <row r="8948" spans="1:11">
      <c r="A8948" s="30" t="s">
        <v>20564</v>
      </c>
      <c r="B8948" s="30" t="s">
        <v>20565</v>
      </c>
      <c r="C8948" s="30" t="s">
        <v>20566</v>
      </c>
      <c r="D8948" s="30" t="s">
        <v>17</v>
      </c>
      <c r="E8948" s="30" t="s">
        <v>67</v>
      </c>
      <c r="F8948" s="30" t="s">
        <v>68</v>
      </c>
      <c r="G8948" s="30" t="s">
        <v>158</v>
      </c>
      <c r="H8948" s="32">
        <v>7</v>
      </c>
      <c r="I8948" s="30" t="s">
        <v>21</v>
      </c>
      <c r="J8948" s="41">
        <v>44860</v>
      </c>
      <c r="K8948" s="30" t="s">
        <v>22</v>
      </c>
    </row>
    <row r="8949" spans="1:11">
      <c r="A8949" s="33" t="s">
        <v>20567</v>
      </c>
      <c r="B8949" s="33" t="s">
        <v>20568</v>
      </c>
      <c r="C8949" s="33" t="s">
        <v>429</v>
      </c>
      <c r="D8949" s="33" t="s">
        <v>17</v>
      </c>
      <c r="E8949" s="33" t="s">
        <v>26</v>
      </c>
      <c r="F8949" s="33" t="s">
        <v>27</v>
      </c>
      <c r="G8949" s="33" t="s">
        <v>20</v>
      </c>
      <c r="H8949" s="35">
        <v>20</v>
      </c>
      <c r="I8949" s="33" t="s">
        <v>21</v>
      </c>
      <c r="J8949" s="42">
        <v>44797</v>
      </c>
      <c r="K8949" s="33" t="s">
        <v>22</v>
      </c>
    </row>
    <row r="8950" spans="1:11">
      <c r="A8950" s="30" t="s">
        <v>20569</v>
      </c>
      <c r="B8950" s="30" t="s">
        <v>20570</v>
      </c>
      <c r="C8950" s="30" t="s">
        <v>20571</v>
      </c>
      <c r="D8950" s="30" t="s">
        <v>17</v>
      </c>
      <c r="E8950" s="30" t="s">
        <v>212</v>
      </c>
      <c r="F8950" s="30" t="s">
        <v>213</v>
      </c>
      <c r="G8950" s="30" t="s">
        <v>50</v>
      </c>
      <c r="H8950" s="32">
        <v>50</v>
      </c>
      <c r="I8950" s="30" t="s">
        <v>51</v>
      </c>
      <c r="J8950" s="41">
        <v>44684</v>
      </c>
      <c r="K8950" s="30" t="s">
        <v>22</v>
      </c>
    </row>
    <row r="8951" spans="1:11">
      <c r="A8951" s="33" t="s">
        <v>20572</v>
      </c>
      <c r="B8951" s="33" t="s">
        <v>20573</v>
      </c>
      <c r="C8951" s="33" t="s">
        <v>11153</v>
      </c>
      <c r="D8951" s="33" t="s">
        <v>17</v>
      </c>
      <c r="E8951" s="33" t="s">
        <v>26</v>
      </c>
      <c r="F8951" s="33" t="s">
        <v>27</v>
      </c>
      <c r="G8951" s="33" t="s">
        <v>106</v>
      </c>
      <c r="H8951" s="35">
        <v>20</v>
      </c>
      <c r="I8951" s="33" t="s">
        <v>21</v>
      </c>
      <c r="J8951" s="42">
        <v>44755</v>
      </c>
      <c r="K8951" s="33" t="s">
        <v>22</v>
      </c>
    </row>
    <row r="8952" spans="1:11">
      <c r="A8952" s="30" t="s">
        <v>20574</v>
      </c>
      <c r="B8952" s="30" t="s">
        <v>20575</v>
      </c>
      <c r="C8952" s="30" t="s">
        <v>20576</v>
      </c>
      <c r="D8952" s="30" t="s">
        <v>17</v>
      </c>
      <c r="E8952" s="30" t="s">
        <v>26</v>
      </c>
      <c r="F8952" s="30" t="s">
        <v>27</v>
      </c>
      <c r="G8952" s="30" t="s">
        <v>50</v>
      </c>
      <c r="H8952" s="32">
        <v>114</v>
      </c>
      <c r="I8952" s="30" t="s">
        <v>51</v>
      </c>
      <c r="J8952" s="41">
        <v>44761</v>
      </c>
      <c r="K8952" s="30" t="s">
        <v>22</v>
      </c>
    </row>
    <row r="8953" spans="1:11">
      <c r="A8953" s="33" t="s">
        <v>20577</v>
      </c>
      <c r="B8953" s="33" t="s">
        <v>20578</v>
      </c>
      <c r="C8953" s="33" t="s">
        <v>7938</v>
      </c>
      <c r="D8953" s="33" t="s">
        <v>17</v>
      </c>
      <c r="E8953" s="33" t="s">
        <v>18</v>
      </c>
      <c r="F8953" s="33" t="s">
        <v>19</v>
      </c>
      <c r="G8953" s="33" t="s">
        <v>106</v>
      </c>
      <c r="H8953" s="35">
        <v>107</v>
      </c>
      <c r="I8953" s="33" t="s">
        <v>21</v>
      </c>
      <c r="J8953" s="42">
        <v>44917</v>
      </c>
      <c r="K8953" s="33" t="s">
        <v>22</v>
      </c>
    </row>
    <row r="8954" spans="1:11">
      <c r="A8954" s="30" t="s">
        <v>20579</v>
      </c>
      <c r="B8954" s="30" t="s">
        <v>20580</v>
      </c>
      <c r="C8954" s="30" t="s">
        <v>102</v>
      </c>
      <c r="D8954" s="30" t="s">
        <v>17</v>
      </c>
      <c r="E8954" s="30" t="s">
        <v>18</v>
      </c>
      <c r="F8954" s="30" t="s">
        <v>19</v>
      </c>
      <c r="G8954" s="30" t="s">
        <v>20</v>
      </c>
      <c r="H8954" s="32">
        <v>444</v>
      </c>
      <c r="I8954" s="30" t="s">
        <v>21</v>
      </c>
      <c r="J8954" s="41">
        <v>44901</v>
      </c>
      <c r="K8954" s="30" t="s">
        <v>22</v>
      </c>
    </row>
    <row r="8955" spans="1:11">
      <c r="A8955" s="33" t="s">
        <v>20581</v>
      </c>
      <c r="B8955" s="33" t="s">
        <v>20582</v>
      </c>
      <c r="C8955" s="33" t="s">
        <v>17564</v>
      </c>
      <c r="D8955" s="33" t="s">
        <v>17</v>
      </c>
      <c r="E8955" s="33" t="s">
        <v>31</v>
      </c>
      <c r="F8955" s="33" t="s">
        <v>32</v>
      </c>
      <c r="G8955" s="33" t="s">
        <v>158</v>
      </c>
      <c r="H8955" s="35">
        <v>150</v>
      </c>
      <c r="I8955" s="33" t="s">
        <v>21</v>
      </c>
      <c r="J8955" s="42">
        <v>44907</v>
      </c>
      <c r="K8955" s="33" t="s">
        <v>22</v>
      </c>
    </row>
    <row r="8956" spans="1:11">
      <c r="A8956" s="30" t="s">
        <v>20583</v>
      </c>
      <c r="B8956" s="30" t="s">
        <v>20584</v>
      </c>
      <c r="C8956" s="30" t="s">
        <v>20585</v>
      </c>
      <c r="D8956" s="30" t="s">
        <v>17</v>
      </c>
      <c r="E8956" s="30" t="s">
        <v>18</v>
      </c>
      <c r="F8956" s="30" t="s">
        <v>19</v>
      </c>
      <c r="G8956" s="30" t="s">
        <v>20</v>
      </c>
      <c r="H8956" s="32">
        <v>286</v>
      </c>
      <c r="I8956" s="30" t="s">
        <v>21</v>
      </c>
      <c r="J8956" s="41">
        <v>44733</v>
      </c>
      <c r="K8956" s="30" t="s">
        <v>22</v>
      </c>
    </row>
    <row r="8957" spans="1:11">
      <c r="A8957" s="33" t="s">
        <v>20586</v>
      </c>
      <c r="B8957" s="33" t="s">
        <v>20587</v>
      </c>
      <c r="C8957" s="33" t="s">
        <v>1324</v>
      </c>
      <c r="D8957" s="33" t="s">
        <v>17</v>
      </c>
      <c r="E8957" s="33" t="s">
        <v>18</v>
      </c>
      <c r="F8957" s="33" t="s">
        <v>19</v>
      </c>
      <c r="G8957" s="33" t="s">
        <v>106</v>
      </c>
      <c r="H8957" s="35">
        <v>9</v>
      </c>
      <c r="I8957" s="33" t="s">
        <v>21</v>
      </c>
      <c r="J8957" s="42">
        <v>44586</v>
      </c>
      <c r="K8957" s="33" t="s">
        <v>22</v>
      </c>
    </row>
    <row r="8958" spans="1:11">
      <c r="A8958" s="30" t="s">
        <v>20588</v>
      </c>
      <c r="B8958" s="30" t="s">
        <v>20589</v>
      </c>
      <c r="C8958" s="30" t="s">
        <v>647</v>
      </c>
      <c r="D8958" s="30" t="s">
        <v>17</v>
      </c>
      <c r="E8958" s="30" t="s">
        <v>26</v>
      </c>
      <c r="F8958" s="30" t="s">
        <v>27</v>
      </c>
      <c r="G8958" s="30" t="s">
        <v>20</v>
      </c>
      <c r="H8958" s="32">
        <v>72</v>
      </c>
      <c r="I8958" s="30" t="s">
        <v>21</v>
      </c>
      <c r="J8958" s="41">
        <v>44781</v>
      </c>
      <c r="K8958" s="30" t="s">
        <v>22</v>
      </c>
    </row>
    <row r="8959" spans="1:11">
      <c r="A8959" s="33" t="s">
        <v>20590</v>
      </c>
      <c r="B8959" s="33" t="s">
        <v>20591</v>
      </c>
      <c r="C8959" s="33" t="s">
        <v>570</v>
      </c>
      <c r="D8959" s="33" t="s">
        <v>17</v>
      </c>
      <c r="E8959" s="33" t="s">
        <v>26</v>
      </c>
      <c r="F8959" s="33" t="s">
        <v>27</v>
      </c>
      <c r="G8959" s="33" t="s">
        <v>20</v>
      </c>
      <c r="H8959" s="35">
        <v>24</v>
      </c>
      <c r="I8959" s="33" t="s">
        <v>21</v>
      </c>
      <c r="J8959" s="42">
        <v>44901</v>
      </c>
      <c r="K8959" s="33" t="s">
        <v>22</v>
      </c>
    </row>
    <row r="8960" spans="1:11">
      <c r="A8960" s="30" t="s">
        <v>20592</v>
      </c>
      <c r="B8960" s="30" t="s">
        <v>20593</v>
      </c>
      <c r="C8960" s="30" t="s">
        <v>8271</v>
      </c>
      <c r="D8960" s="30" t="s">
        <v>17</v>
      </c>
      <c r="E8960" s="30" t="s">
        <v>26</v>
      </c>
      <c r="F8960" s="30" t="s">
        <v>27</v>
      </c>
      <c r="G8960" s="30" t="s">
        <v>106</v>
      </c>
      <c r="H8960" s="32">
        <v>27</v>
      </c>
      <c r="I8960" s="30" t="s">
        <v>21</v>
      </c>
      <c r="J8960" s="41">
        <v>44820</v>
      </c>
      <c r="K8960" s="30" t="s">
        <v>22</v>
      </c>
    </row>
    <row r="8961" spans="1:11">
      <c r="A8961" s="33" t="s">
        <v>20594</v>
      </c>
      <c r="B8961" s="33" t="s">
        <v>20595</v>
      </c>
      <c r="C8961" s="33" t="s">
        <v>891</v>
      </c>
      <c r="D8961" s="33" t="s">
        <v>17</v>
      </c>
      <c r="E8961" s="33" t="s">
        <v>26</v>
      </c>
      <c r="F8961" s="33" t="s">
        <v>27</v>
      </c>
      <c r="G8961" s="33" t="s">
        <v>112</v>
      </c>
      <c r="H8961" s="35">
        <v>0</v>
      </c>
      <c r="I8961" s="33" t="s">
        <v>21</v>
      </c>
      <c r="J8961" s="42">
        <v>44713</v>
      </c>
      <c r="K8961" s="33" t="s">
        <v>22</v>
      </c>
    </row>
    <row r="8962" spans="1:11">
      <c r="A8962" s="30" t="s">
        <v>20596</v>
      </c>
      <c r="B8962" s="30" t="s">
        <v>20597</v>
      </c>
      <c r="C8962" s="30" t="s">
        <v>20598</v>
      </c>
      <c r="D8962" s="30" t="s">
        <v>17</v>
      </c>
      <c r="E8962" s="30" t="s">
        <v>26</v>
      </c>
      <c r="F8962" s="30" t="s">
        <v>27</v>
      </c>
      <c r="G8962" s="30" t="s">
        <v>20</v>
      </c>
      <c r="H8962" s="32">
        <v>48</v>
      </c>
      <c r="I8962" s="30" t="s">
        <v>21</v>
      </c>
      <c r="J8962" s="41">
        <v>44846</v>
      </c>
      <c r="K8962" s="30" t="s">
        <v>22</v>
      </c>
    </row>
    <row r="8963" spans="1:11">
      <c r="A8963" s="33" t="s">
        <v>20599</v>
      </c>
      <c r="B8963" s="33" t="s">
        <v>20600</v>
      </c>
      <c r="C8963" s="33" t="s">
        <v>190</v>
      </c>
      <c r="D8963" s="33" t="s">
        <v>17</v>
      </c>
      <c r="E8963" s="33" t="s">
        <v>31</v>
      </c>
      <c r="F8963" s="33" t="s">
        <v>32</v>
      </c>
      <c r="G8963" s="33" t="s">
        <v>158</v>
      </c>
      <c r="H8963" s="35">
        <v>72</v>
      </c>
      <c r="I8963" s="33" t="s">
        <v>21</v>
      </c>
      <c r="J8963" s="42">
        <v>44755</v>
      </c>
      <c r="K8963" s="33" t="s">
        <v>22</v>
      </c>
    </row>
    <row r="8964" spans="1:11">
      <c r="A8964" s="30" t="s">
        <v>20601</v>
      </c>
      <c r="B8964" s="30" t="s">
        <v>20602</v>
      </c>
      <c r="C8964" s="30" t="s">
        <v>1801</v>
      </c>
      <c r="D8964" s="30" t="s">
        <v>17</v>
      </c>
      <c r="E8964" s="30" t="s">
        <v>26</v>
      </c>
      <c r="F8964" s="30" t="s">
        <v>27</v>
      </c>
      <c r="G8964" s="30" t="s">
        <v>20</v>
      </c>
      <c r="H8964" s="32">
        <v>36</v>
      </c>
      <c r="I8964" s="30" t="s">
        <v>21</v>
      </c>
      <c r="J8964" s="41">
        <v>44924</v>
      </c>
      <c r="K8964" s="30" t="s">
        <v>22</v>
      </c>
    </row>
    <row r="8965" spans="1:11">
      <c r="A8965" s="33" t="s">
        <v>20603</v>
      </c>
      <c r="B8965" s="33" t="s">
        <v>20604</v>
      </c>
      <c r="C8965" s="33" t="s">
        <v>20605</v>
      </c>
      <c r="D8965" s="33" t="s">
        <v>17</v>
      </c>
      <c r="E8965" s="33" t="s">
        <v>31</v>
      </c>
      <c r="F8965" s="33" t="s">
        <v>32</v>
      </c>
      <c r="G8965" s="33" t="s">
        <v>20</v>
      </c>
      <c r="H8965" s="35">
        <v>47</v>
      </c>
      <c r="I8965" s="33" t="s">
        <v>21</v>
      </c>
      <c r="J8965" s="42">
        <v>44725</v>
      </c>
      <c r="K8965" s="33" t="s">
        <v>22</v>
      </c>
    </row>
    <row r="8966" spans="1:11">
      <c r="A8966" s="30" t="s">
        <v>20606</v>
      </c>
      <c r="B8966" s="30" t="s">
        <v>20607</v>
      </c>
      <c r="C8966" s="30" t="s">
        <v>190</v>
      </c>
      <c r="D8966" s="30" t="s">
        <v>17</v>
      </c>
      <c r="E8966" s="30" t="s">
        <v>26</v>
      </c>
      <c r="F8966" s="30" t="s">
        <v>27</v>
      </c>
      <c r="G8966" s="30" t="s">
        <v>20</v>
      </c>
      <c r="H8966" s="32">
        <v>10</v>
      </c>
      <c r="I8966" s="30" t="s">
        <v>21</v>
      </c>
      <c r="J8966" s="41">
        <v>44648</v>
      </c>
      <c r="K8966" s="30" t="s">
        <v>22</v>
      </c>
    </row>
    <row r="8967" spans="1:11">
      <c r="A8967" s="33" t="s">
        <v>20608</v>
      </c>
      <c r="B8967" s="33" t="s">
        <v>20609</v>
      </c>
      <c r="C8967" s="33" t="s">
        <v>96</v>
      </c>
      <c r="D8967" s="33" t="s">
        <v>17</v>
      </c>
      <c r="E8967" s="33" t="s">
        <v>31</v>
      </c>
      <c r="F8967" s="33" t="s">
        <v>32</v>
      </c>
      <c r="G8967" s="33" t="s">
        <v>140</v>
      </c>
      <c r="H8967" s="35">
        <v>36</v>
      </c>
      <c r="I8967" s="33" t="s">
        <v>51</v>
      </c>
      <c r="J8967" s="42">
        <v>44911</v>
      </c>
      <c r="K8967" s="33" t="s">
        <v>22</v>
      </c>
    </row>
    <row r="8968" spans="1:11">
      <c r="A8968" s="30" t="s">
        <v>20610</v>
      </c>
      <c r="B8968" s="30" t="s">
        <v>20611</v>
      </c>
      <c r="C8968" s="30" t="s">
        <v>20612</v>
      </c>
      <c r="D8968" s="30" t="s">
        <v>17</v>
      </c>
      <c r="E8968" s="30" t="s">
        <v>31</v>
      </c>
      <c r="F8968" s="30" t="s">
        <v>32</v>
      </c>
      <c r="G8968" s="30" t="s">
        <v>50</v>
      </c>
      <c r="H8968" s="32">
        <v>53</v>
      </c>
      <c r="I8968" s="30" t="s">
        <v>51</v>
      </c>
      <c r="J8968" s="41">
        <v>44681</v>
      </c>
      <c r="K8968" s="30" t="s">
        <v>22</v>
      </c>
    </row>
    <row r="8969" spans="1:11">
      <c r="A8969" s="33" t="s">
        <v>20613</v>
      </c>
      <c r="B8969" s="33" t="s">
        <v>20614</v>
      </c>
      <c r="C8969" s="33" t="s">
        <v>969</v>
      </c>
      <c r="D8969" s="33" t="s">
        <v>17</v>
      </c>
      <c r="E8969" s="33" t="s">
        <v>31</v>
      </c>
      <c r="F8969" s="33" t="s">
        <v>32</v>
      </c>
      <c r="G8969" s="33" t="s">
        <v>20</v>
      </c>
      <c r="H8969" s="35">
        <v>800</v>
      </c>
      <c r="I8969" s="33" t="s">
        <v>21</v>
      </c>
      <c r="J8969" s="42">
        <v>44595</v>
      </c>
      <c r="K8969" s="33" t="s">
        <v>22</v>
      </c>
    </row>
    <row r="8970" spans="1:11">
      <c r="A8970" s="30" t="s">
        <v>20615</v>
      </c>
      <c r="B8970" s="30" t="s">
        <v>20616</v>
      </c>
      <c r="C8970" s="30" t="s">
        <v>13317</v>
      </c>
      <c r="D8970" s="30" t="s">
        <v>17</v>
      </c>
      <c r="E8970" s="30" t="s">
        <v>26</v>
      </c>
      <c r="F8970" s="30" t="s">
        <v>27</v>
      </c>
      <c r="G8970" s="30" t="s">
        <v>20</v>
      </c>
      <c r="H8970" s="32">
        <v>12</v>
      </c>
      <c r="I8970" s="30" t="s">
        <v>21</v>
      </c>
      <c r="J8970" s="41">
        <v>44627</v>
      </c>
      <c r="K8970" s="30" t="s">
        <v>22</v>
      </c>
    </row>
    <row r="8971" spans="1:11">
      <c r="A8971" s="33" t="s">
        <v>20617</v>
      </c>
      <c r="B8971" s="33" t="s">
        <v>20618</v>
      </c>
      <c r="C8971" s="33" t="s">
        <v>20619</v>
      </c>
      <c r="D8971" s="33" t="s">
        <v>17</v>
      </c>
      <c r="E8971" s="33" t="s">
        <v>18</v>
      </c>
      <c r="F8971" s="33" t="s">
        <v>19</v>
      </c>
      <c r="G8971" s="33" t="s">
        <v>20</v>
      </c>
      <c r="H8971" s="35">
        <v>182</v>
      </c>
      <c r="I8971" s="33" t="s">
        <v>21</v>
      </c>
      <c r="J8971" s="42">
        <v>44767</v>
      </c>
      <c r="K8971" s="33" t="s">
        <v>22</v>
      </c>
    </row>
    <row r="8972" spans="1:11">
      <c r="A8972" s="30" t="s">
        <v>20620</v>
      </c>
      <c r="B8972" s="30" t="s">
        <v>20621</v>
      </c>
      <c r="C8972" s="30" t="s">
        <v>2775</v>
      </c>
      <c r="D8972" s="30" t="s">
        <v>17</v>
      </c>
      <c r="E8972" s="30" t="s">
        <v>26</v>
      </c>
      <c r="F8972" s="30" t="s">
        <v>27</v>
      </c>
      <c r="G8972" s="30" t="s">
        <v>20</v>
      </c>
      <c r="H8972" s="32">
        <v>68</v>
      </c>
      <c r="I8972" s="30" t="s">
        <v>21</v>
      </c>
      <c r="J8972" s="41">
        <v>44840</v>
      </c>
      <c r="K8972" s="30" t="s">
        <v>22</v>
      </c>
    </row>
    <row r="8973" spans="1:11">
      <c r="A8973" s="33" t="s">
        <v>20622</v>
      </c>
      <c r="B8973" s="33" t="s">
        <v>20623</v>
      </c>
      <c r="C8973" s="33" t="s">
        <v>310</v>
      </c>
      <c r="D8973" s="33" t="s">
        <v>17</v>
      </c>
      <c r="E8973" s="33" t="s">
        <v>26</v>
      </c>
      <c r="F8973" s="33" t="s">
        <v>27</v>
      </c>
      <c r="G8973" s="33" t="s">
        <v>20</v>
      </c>
      <c r="H8973" s="35">
        <v>546</v>
      </c>
      <c r="I8973" s="33" t="s">
        <v>21</v>
      </c>
      <c r="J8973" s="42">
        <v>44596</v>
      </c>
      <c r="K8973" s="33" t="s">
        <v>22</v>
      </c>
    </row>
    <row r="8974" spans="1:11">
      <c r="A8974" s="30" t="s">
        <v>20624</v>
      </c>
      <c r="B8974" s="30" t="s">
        <v>20625</v>
      </c>
      <c r="C8974" s="30" t="s">
        <v>695</v>
      </c>
      <c r="D8974" s="30" t="s">
        <v>17</v>
      </c>
      <c r="E8974" s="30" t="s">
        <v>26</v>
      </c>
      <c r="F8974" s="30" t="s">
        <v>27</v>
      </c>
      <c r="G8974" s="30" t="s">
        <v>20</v>
      </c>
      <c r="H8974" s="32">
        <v>28</v>
      </c>
      <c r="I8974" s="30" t="s">
        <v>21</v>
      </c>
      <c r="J8974" s="41">
        <v>44852</v>
      </c>
      <c r="K8974" s="30" t="s">
        <v>22</v>
      </c>
    </row>
    <row r="8975" spans="1:11">
      <c r="A8975" s="33" t="s">
        <v>20626</v>
      </c>
      <c r="B8975" s="33" t="s">
        <v>20627</v>
      </c>
      <c r="C8975" s="33" t="s">
        <v>11786</v>
      </c>
      <c r="D8975" s="33" t="s">
        <v>17</v>
      </c>
      <c r="E8975" s="33" t="s">
        <v>26</v>
      </c>
      <c r="F8975" s="33" t="s">
        <v>27</v>
      </c>
      <c r="G8975" s="33" t="s">
        <v>50</v>
      </c>
      <c r="H8975" s="35">
        <v>48</v>
      </c>
      <c r="I8975" s="33" t="s">
        <v>51</v>
      </c>
      <c r="J8975" s="42">
        <v>44701</v>
      </c>
      <c r="K8975" s="33" t="s">
        <v>22</v>
      </c>
    </row>
    <row r="8976" spans="1:11">
      <c r="A8976" s="30" t="s">
        <v>20628</v>
      </c>
      <c r="B8976" s="30" t="s">
        <v>20629</v>
      </c>
      <c r="C8976" s="30" t="s">
        <v>102</v>
      </c>
      <c r="D8976" s="30" t="s">
        <v>17</v>
      </c>
      <c r="E8976" s="30" t="s">
        <v>18</v>
      </c>
      <c r="F8976" s="30" t="s">
        <v>19</v>
      </c>
      <c r="G8976" s="30" t="s">
        <v>158</v>
      </c>
      <c r="H8976" s="32">
        <v>864</v>
      </c>
      <c r="I8976" s="30" t="s">
        <v>21</v>
      </c>
      <c r="J8976" s="41">
        <v>44847</v>
      </c>
      <c r="K8976" s="30" t="s">
        <v>22</v>
      </c>
    </row>
    <row r="8977" spans="1:11">
      <c r="A8977" s="33" t="s">
        <v>20630</v>
      </c>
      <c r="B8977" s="33" t="s">
        <v>20631</v>
      </c>
      <c r="C8977" s="33" t="s">
        <v>310</v>
      </c>
      <c r="D8977" s="33" t="s">
        <v>17</v>
      </c>
      <c r="E8977" s="33" t="s">
        <v>18</v>
      </c>
      <c r="F8977" s="33" t="s">
        <v>19</v>
      </c>
      <c r="G8977" s="33" t="s">
        <v>158</v>
      </c>
      <c r="H8977" s="35">
        <v>3400</v>
      </c>
      <c r="I8977" s="33" t="s">
        <v>51</v>
      </c>
      <c r="J8977" s="42">
        <v>44866</v>
      </c>
      <c r="K8977" s="33" t="s">
        <v>22</v>
      </c>
    </row>
    <row r="8978" spans="1:11">
      <c r="A8978" s="30" t="s">
        <v>20632</v>
      </c>
      <c r="B8978" s="30" t="s">
        <v>20633</v>
      </c>
      <c r="C8978" s="30" t="s">
        <v>234</v>
      </c>
      <c r="D8978" s="30" t="s">
        <v>17</v>
      </c>
      <c r="E8978" s="30" t="s">
        <v>26</v>
      </c>
      <c r="F8978" s="30" t="s">
        <v>27</v>
      </c>
      <c r="G8978" s="30" t="s">
        <v>20</v>
      </c>
      <c r="H8978" s="32">
        <v>69</v>
      </c>
      <c r="I8978" s="30" t="s">
        <v>21</v>
      </c>
      <c r="J8978" s="41">
        <v>44662</v>
      </c>
      <c r="K8978" s="30" t="s">
        <v>22</v>
      </c>
    </row>
    <row r="8979" spans="1:11">
      <c r="A8979" s="33" t="s">
        <v>20634</v>
      </c>
      <c r="B8979" s="33" t="s">
        <v>20635</v>
      </c>
      <c r="C8979" s="33" t="s">
        <v>157</v>
      </c>
      <c r="D8979" s="33" t="s">
        <v>17</v>
      </c>
      <c r="E8979" s="33" t="s">
        <v>26</v>
      </c>
      <c r="F8979" s="33" t="s">
        <v>27</v>
      </c>
      <c r="G8979" s="33" t="s">
        <v>20</v>
      </c>
      <c r="H8979" s="35">
        <v>96</v>
      </c>
      <c r="I8979" s="33" t="s">
        <v>21</v>
      </c>
      <c r="J8979" s="42">
        <v>44631</v>
      </c>
      <c r="K8979" s="33" t="s">
        <v>22</v>
      </c>
    </row>
    <row r="8980" spans="1:11">
      <c r="A8980" s="30" t="s">
        <v>20636</v>
      </c>
      <c r="B8980" s="30" t="s">
        <v>20637</v>
      </c>
      <c r="C8980" s="30" t="s">
        <v>1102</v>
      </c>
      <c r="D8980" s="30" t="s">
        <v>17</v>
      </c>
      <c r="E8980" s="30" t="s">
        <v>330</v>
      </c>
      <c r="F8980" s="30" t="s">
        <v>331</v>
      </c>
      <c r="G8980" s="30" t="s">
        <v>20</v>
      </c>
      <c r="H8980" s="32">
        <v>39</v>
      </c>
      <c r="I8980" s="30" t="s">
        <v>21</v>
      </c>
      <c r="J8980" s="41">
        <v>44713</v>
      </c>
      <c r="K8980" s="30" t="s">
        <v>22</v>
      </c>
    </row>
    <row r="8981" spans="1:11">
      <c r="A8981" s="33" t="s">
        <v>20638</v>
      </c>
      <c r="B8981" s="33" t="s">
        <v>20639</v>
      </c>
      <c r="C8981" s="33" t="s">
        <v>20640</v>
      </c>
      <c r="D8981" s="33" t="s">
        <v>17</v>
      </c>
      <c r="E8981" s="33" t="s">
        <v>18</v>
      </c>
      <c r="F8981" s="33" t="s">
        <v>19</v>
      </c>
      <c r="G8981" s="33" t="s">
        <v>106</v>
      </c>
      <c r="H8981" s="35">
        <v>54</v>
      </c>
      <c r="I8981" s="33" t="s">
        <v>21</v>
      </c>
      <c r="J8981" s="42">
        <v>44677</v>
      </c>
      <c r="K8981" s="33" t="s">
        <v>22</v>
      </c>
    </row>
    <row r="8982" spans="1:11">
      <c r="A8982" s="30" t="s">
        <v>20641</v>
      </c>
      <c r="B8982" s="30" t="s">
        <v>20642</v>
      </c>
      <c r="C8982" s="30" t="s">
        <v>6113</v>
      </c>
      <c r="D8982" s="30" t="s">
        <v>17</v>
      </c>
      <c r="E8982" s="30" t="s">
        <v>31</v>
      </c>
      <c r="F8982" s="30" t="s">
        <v>32</v>
      </c>
      <c r="G8982" s="30" t="s">
        <v>20</v>
      </c>
      <c r="H8982" s="32">
        <v>240</v>
      </c>
      <c r="I8982" s="30" t="s">
        <v>21</v>
      </c>
      <c r="J8982" s="41">
        <v>44845</v>
      </c>
      <c r="K8982" s="30" t="s">
        <v>22</v>
      </c>
    </row>
    <row r="8983" spans="1:11">
      <c r="A8983" s="33" t="s">
        <v>20643</v>
      </c>
      <c r="B8983" s="33" t="s">
        <v>20644</v>
      </c>
      <c r="C8983" s="33" t="s">
        <v>178</v>
      </c>
      <c r="D8983" s="33" t="s">
        <v>17</v>
      </c>
      <c r="E8983" s="33" t="s">
        <v>18</v>
      </c>
      <c r="F8983" s="33" t="s">
        <v>19</v>
      </c>
      <c r="G8983" s="33" t="s">
        <v>158</v>
      </c>
      <c r="H8983" s="35">
        <v>60</v>
      </c>
      <c r="I8983" s="33" t="s">
        <v>21</v>
      </c>
      <c r="J8983" s="42">
        <v>44726</v>
      </c>
      <c r="K8983" s="33" t="s">
        <v>22</v>
      </c>
    </row>
    <row r="8984" spans="1:11">
      <c r="A8984" s="30" t="s">
        <v>20645</v>
      </c>
      <c r="B8984" s="30" t="s">
        <v>20646</v>
      </c>
      <c r="C8984" s="30" t="s">
        <v>96</v>
      </c>
      <c r="D8984" s="30" t="s">
        <v>17</v>
      </c>
      <c r="E8984" s="30" t="s">
        <v>26</v>
      </c>
      <c r="F8984" s="30" t="s">
        <v>27</v>
      </c>
      <c r="G8984" s="30" t="s">
        <v>20</v>
      </c>
      <c r="H8984" s="32">
        <v>32</v>
      </c>
      <c r="I8984" s="30" t="s">
        <v>21</v>
      </c>
      <c r="J8984" s="41">
        <v>44580</v>
      </c>
      <c r="K8984" s="30" t="s">
        <v>22</v>
      </c>
    </row>
    <row r="8985" spans="1:11">
      <c r="A8985" s="33" t="s">
        <v>20647</v>
      </c>
      <c r="B8985" s="33" t="s">
        <v>20648</v>
      </c>
      <c r="C8985" s="33" t="s">
        <v>3790</v>
      </c>
      <c r="D8985" s="33" t="s">
        <v>17</v>
      </c>
      <c r="E8985" s="33" t="s">
        <v>67</v>
      </c>
      <c r="F8985" s="33" t="s">
        <v>68</v>
      </c>
      <c r="G8985" s="33" t="s">
        <v>140</v>
      </c>
      <c r="H8985" s="35">
        <v>153</v>
      </c>
      <c r="I8985" s="33" t="s">
        <v>51</v>
      </c>
      <c r="J8985" s="42">
        <v>44865</v>
      </c>
      <c r="K8985" s="33" t="s">
        <v>22</v>
      </c>
    </row>
    <row r="8986" spans="1:11">
      <c r="A8986" s="30" t="s">
        <v>20649</v>
      </c>
      <c r="B8986" s="30" t="s">
        <v>20650</v>
      </c>
      <c r="C8986" s="30" t="s">
        <v>102</v>
      </c>
      <c r="D8986" s="30" t="s">
        <v>17</v>
      </c>
      <c r="E8986" s="30" t="s">
        <v>26</v>
      </c>
      <c r="F8986" s="30" t="s">
        <v>27</v>
      </c>
      <c r="G8986" s="30" t="s">
        <v>140</v>
      </c>
      <c r="H8986" s="32">
        <v>180</v>
      </c>
      <c r="I8986" s="30" t="s">
        <v>51</v>
      </c>
      <c r="J8986" s="41">
        <v>44887</v>
      </c>
      <c r="K8986" s="30" t="s">
        <v>22</v>
      </c>
    </row>
    <row r="8987" spans="1:11">
      <c r="A8987" s="33" t="s">
        <v>20651</v>
      </c>
      <c r="B8987" s="33" t="s">
        <v>20652</v>
      </c>
      <c r="C8987" s="33" t="s">
        <v>6325</v>
      </c>
      <c r="D8987" s="33" t="s">
        <v>17</v>
      </c>
      <c r="E8987" s="33" t="s">
        <v>26</v>
      </c>
      <c r="F8987" s="33" t="s">
        <v>27</v>
      </c>
      <c r="G8987" s="33" t="s">
        <v>20</v>
      </c>
      <c r="H8987" s="35">
        <v>60</v>
      </c>
      <c r="I8987" s="33" t="s">
        <v>21</v>
      </c>
      <c r="J8987" s="42">
        <v>44562</v>
      </c>
      <c r="K8987" s="33" t="s">
        <v>22</v>
      </c>
    </row>
    <row r="8988" spans="1:11">
      <c r="A8988" s="30" t="s">
        <v>20653</v>
      </c>
      <c r="B8988" s="30" t="s">
        <v>20654</v>
      </c>
      <c r="C8988" s="30" t="s">
        <v>4596</v>
      </c>
      <c r="D8988" s="30" t="s">
        <v>17</v>
      </c>
      <c r="E8988" s="30" t="s">
        <v>18</v>
      </c>
      <c r="F8988" s="30" t="s">
        <v>19</v>
      </c>
      <c r="G8988" s="30" t="s">
        <v>20</v>
      </c>
      <c r="H8988" s="32">
        <v>235</v>
      </c>
      <c r="I8988" s="30" t="s">
        <v>21</v>
      </c>
      <c r="J8988" s="41">
        <v>44831</v>
      </c>
      <c r="K8988" s="30" t="s">
        <v>22</v>
      </c>
    </row>
    <row r="8989" spans="1:11">
      <c r="A8989" s="33" t="s">
        <v>20655</v>
      </c>
      <c r="B8989" s="33" t="s">
        <v>20656</v>
      </c>
      <c r="C8989" s="33" t="s">
        <v>16597</v>
      </c>
      <c r="D8989" s="33" t="s">
        <v>17</v>
      </c>
      <c r="E8989" s="33" t="s">
        <v>31</v>
      </c>
      <c r="F8989" s="33" t="s">
        <v>32</v>
      </c>
      <c r="G8989" s="33" t="s">
        <v>20</v>
      </c>
      <c r="H8989" s="35">
        <v>113</v>
      </c>
      <c r="I8989" s="33" t="s">
        <v>21</v>
      </c>
      <c r="J8989" s="42">
        <v>44651</v>
      </c>
      <c r="K8989" s="33" t="s">
        <v>22</v>
      </c>
    </row>
    <row r="8990" spans="1:11">
      <c r="A8990" s="30" t="s">
        <v>20657</v>
      </c>
      <c r="B8990" s="30" t="s">
        <v>20658</v>
      </c>
      <c r="C8990" s="30" t="s">
        <v>20659</v>
      </c>
      <c r="D8990" s="30" t="s">
        <v>17</v>
      </c>
      <c r="E8990" s="30" t="s">
        <v>67</v>
      </c>
      <c r="F8990" s="30" t="s">
        <v>68</v>
      </c>
      <c r="G8990" s="30" t="s">
        <v>106</v>
      </c>
      <c r="H8990" s="32">
        <v>2</v>
      </c>
      <c r="I8990" s="30" t="s">
        <v>21</v>
      </c>
      <c r="J8990" s="41">
        <v>44615</v>
      </c>
      <c r="K8990" s="30" t="s">
        <v>22</v>
      </c>
    </row>
    <row r="8991" spans="1:11">
      <c r="A8991" s="33" t="s">
        <v>20660</v>
      </c>
      <c r="B8991" s="33" t="s">
        <v>20661</v>
      </c>
      <c r="C8991" s="33" t="s">
        <v>203</v>
      </c>
      <c r="D8991" s="33" t="s">
        <v>17</v>
      </c>
      <c r="E8991" s="33" t="s">
        <v>31</v>
      </c>
      <c r="F8991" s="33" t="s">
        <v>32</v>
      </c>
      <c r="G8991" s="33" t="s">
        <v>106</v>
      </c>
      <c r="H8991" s="35">
        <v>174</v>
      </c>
      <c r="I8991" s="33" t="s">
        <v>21</v>
      </c>
      <c r="J8991" s="42">
        <v>44914</v>
      </c>
      <c r="K8991" s="33" t="s">
        <v>22</v>
      </c>
    </row>
    <row r="8992" spans="1:11">
      <c r="A8992" s="30" t="s">
        <v>20662</v>
      </c>
      <c r="B8992" s="30" t="s">
        <v>20663</v>
      </c>
      <c r="C8992" s="30" t="s">
        <v>20664</v>
      </c>
      <c r="D8992" s="30" t="s">
        <v>17</v>
      </c>
      <c r="E8992" s="30" t="s">
        <v>67</v>
      </c>
      <c r="F8992" s="30" t="s">
        <v>68</v>
      </c>
      <c r="G8992" s="30" t="s">
        <v>158</v>
      </c>
      <c r="H8992" s="32">
        <v>42</v>
      </c>
      <c r="I8992" s="30" t="s">
        <v>21</v>
      </c>
      <c r="J8992" s="41">
        <v>44894</v>
      </c>
      <c r="K8992" s="30" t="s">
        <v>22</v>
      </c>
    </row>
    <row r="8993" spans="1:11">
      <c r="A8993" s="33" t="s">
        <v>20665</v>
      </c>
      <c r="B8993" s="33" t="s">
        <v>20666</v>
      </c>
      <c r="C8993" s="33" t="s">
        <v>93</v>
      </c>
      <c r="D8993" s="33" t="s">
        <v>17</v>
      </c>
      <c r="E8993" s="33" t="s">
        <v>18</v>
      </c>
      <c r="F8993" s="33" t="s">
        <v>19</v>
      </c>
      <c r="G8993" s="33" t="s">
        <v>140</v>
      </c>
      <c r="H8993" s="35">
        <v>698</v>
      </c>
      <c r="I8993" s="33" t="s">
        <v>51</v>
      </c>
      <c r="J8993" s="42">
        <v>44645</v>
      </c>
      <c r="K8993" s="33" t="s">
        <v>22</v>
      </c>
    </row>
    <row r="8994" spans="1:11">
      <c r="A8994" s="30" t="s">
        <v>20667</v>
      </c>
      <c r="B8994" s="30" t="s">
        <v>20668</v>
      </c>
      <c r="C8994" s="30" t="s">
        <v>1480</v>
      </c>
      <c r="D8994" s="30" t="s">
        <v>17</v>
      </c>
      <c r="E8994" s="30" t="s">
        <v>18</v>
      </c>
      <c r="F8994" s="30" t="s">
        <v>19</v>
      </c>
      <c r="G8994" s="30" t="s">
        <v>106</v>
      </c>
      <c r="H8994" s="32">
        <v>3055</v>
      </c>
      <c r="I8994" s="30" t="s">
        <v>21</v>
      </c>
      <c r="J8994" s="41">
        <v>44609</v>
      </c>
      <c r="K8994" s="30" t="s">
        <v>22</v>
      </c>
    </row>
    <row r="8995" spans="1:11">
      <c r="A8995" s="33" t="s">
        <v>20669</v>
      </c>
      <c r="B8995" s="33" t="s">
        <v>20670</v>
      </c>
      <c r="C8995" s="33" t="s">
        <v>14028</v>
      </c>
      <c r="D8995" s="33" t="s">
        <v>17</v>
      </c>
      <c r="E8995" s="33" t="s">
        <v>31</v>
      </c>
      <c r="F8995" s="33" t="s">
        <v>32</v>
      </c>
      <c r="G8995" s="33" t="s">
        <v>112</v>
      </c>
      <c r="H8995" s="35">
        <v>0</v>
      </c>
      <c r="I8995" s="33" t="s">
        <v>21</v>
      </c>
      <c r="J8995" s="42">
        <v>44681</v>
      </c>
      <c r="K8995" s="33" t="s">
        <v>22</v>
      </c>
    </row>
    <row r="8996" spans="1:11">
      <c r="A8996" s="30" t="s">
        <v>20671</v>
      </c>
      <c r="B8996" s="30" t="s">
        <v>20672</v>
      </c>
      <c r="C8996" s="30" t="s">
        <v>10592</v>
      </c>
      <c r="D8996" s="30" t="s">
        <v>17</v>
      </c>
      <c r="E8996" s="30" t="s">
        <v>18</v>
      </c>
      <c r="F8996" s="30" t="s">
        <v>19</v>
      </c>
      <c r="G8996" s="30" t="s">
        <v>106</v>
      </c>
      <c r="H8996" s="32">
        <v>186</v>
      </c>
      <c r="I8996" s="30" t="s">
        <v>21</v>
      </c>
      <c r="J8996" s="41">
        <v>44867</v>
      </c>
      <c r="K8996" s="30" t="s">
        <v>22</v>
      </c>
    </row>
    <row r="8997" spans="1:11">
      <c r="A8997" s="33" t="s">
        <v>20673</v>
      </c>
      <c r="B8997" s="33" t="s">
        <v>20674</v>
      </c>
      <c r="C8997" s="33" t="s">
        <v>2609</v>
      </c>
      <c r="D8997" s="33" t="s">
        <v>17</v>
      </c>
      <c r="E8997" s="33" t="s">
        <v>31</v>
      </c>
      <c r="F8997" s="33" t="s">
        <v>32</v>
      </c>
      <c r="G8997" s="33" t="s">
        <v>112</v>
      </c>
      <c r="H8997" s="35">
        <v>0</v>
      </c>
      <c r="I8997" s="33" t="s">
        <v>21</v>
      </c>
      <c r="J8997" s="42">
        <v>44670</v>
      </c>
      <c r="K8997" s="33" t="s">
        <v>22</v>
      </c>
    </row>
    <row r="8998" spans="1:11">
      <c r="A8998" s="30" t="s">
        <v>20675</v>
      </c>
      <c r="B8998" s="30" t="s">
        <v>20676</v>
      </c>
      <c r="C8998" s="30" t="s">
        <v>124</v>
      </c>
      <c r="D8998" s="30" t="s">
        <v>17</v>
      </c>
      <c r="E8998" s="30" t="s">
        <v>31</v>
      </c>
      <c r="F8998" s="30" t="s">
        <v>32</v>
      </c>
      <c r="G8998" s="30" t="s">
        <v>50</v>
      </c>
      <c r="H8998" s="32">
        <v>156</v>
      </c>
      <c r="I8998" s="30" t="s">
        <v>51</v>
      </c>
      <c r="J8998" s="41">
        <v>44866</v>
      </c>
      <c r="K8998" s="30" t="s">
        <v>22</v>
      </c>
    </row>
    <row r="8999" spans="1:11">
      <c r="A8999" s="33" t="s">
        <v>20677</v>
      </c>
      <c r="B8999" s="33" t="s">
        <v>20678</v>
      </c>
      <c r="C8999" s="33" t="s">
        <v>20679</v>
      </c>
      <c r="D8999" s="33" t="s">
        <v>17</v>
      </c>
      <c r="E8999" s="33" t="s">
        <v>26</v>
      </c>
      <c r="F8999" s="33" t="s">
        <v>27</v>
      </c>
      <c r="G8999" s="33" t="s">
        <v>20</v>
      </c>
      <c r="H8999" s="35">
        <v>19</v>
      </c>
      <c r="I8999" s="33" t="s">
        <v>21</v>
      </c>
      <c r="J8999" s="42">
        <v>44753</v>
      </c>
      <c r="K8999" s="33" t="s">
        <v>22</v>
      </c>
    </row>
    <row r="9000" spans="1:11">
      <c r="A9000" s="30" t="s">
        <v>20680</v>
      </c>
      <c r="B9000" s="30" t="s">
        <v>20681</v>
      </c>
      <c r="C9000" s="30" t="s">
        <v>190</v>
      </c>
      <c r="D9000" s="30" t="s">
        <v>17</v>
      </c>
      <c r="E9000" s="30" t="s">
        <v>212</v>
      </c>
      <c r="F9000" s="30" t="s">
        <v>213</v>
      </c>
      <c r="G9000" s="30" t="s">
        <v>20</v>
      </c>
      <c r="H9000" s="32">
        <v>287</v>
      </c>
      <c r="I9000" s="30" t="s">
        <v>21</v>
      </c>
      <c r="J9000" s="41">
        <v>44680</v>
      </c>
      <c r="K9000" s="30" t="s">
        <v>22</v>
      </c>
    </row>
    <row r="9001" spans="1:11">
      <c r="A9001" s="33" t="s">
        <v>20682</v>
      </c>
      <c r="B9001" s="33" t="s">
        <v>20683</v>
      </c>
      <c r="C9001" s="33" t="s">
        <v>20684</v>
      </c>
      <c r="D9001" s="33" t="s">
        <v>17</v>
      </c>
      <c r="E9001" s="33" t="s">
        <v>31</v>
      </c>
      <c r="F9001" s="33" t="s">
        <v>32</v>
      </c>
      <c r="G9001" s="33" t="s">
        <v>20</v>
      </c>
      <c r="H9001" s="35">
        <v>123</v>
      </c>
      <c r="I9001" s="33" t="s">
        <v>21</v>
      </c>
      <c r="J9001" s="42">
        <v>44620</v>
      </c>
      <c r="K9001" s="33" t="s">
        <v>22</v>
      </c>
    </row>
    <row r="9002" spans="1:11">
      <c r="A9002" s="30" t="s">
        <v>20685</v>
      </c>
      <c r="B9002" s="30" t="s">
        <v>20686</v>
      </c>
      <c r="C9002" s="30" t="s">
        <v>2706</v>
      </c>
      <c r="D9002" s="30" t="s">
        <v>17</v>
      </c>
      <c r="E9002" s="30" t="s">
        <v>31</v>
      </c>
      <c r="F9002" s="30" t="s">
        <v>32</v>
      </c>
      <c r="G9002" s="30" t="s">
        <v>158</v>
      </c>
      <c r="H9002" s="32">
        <v>183</v>
      </c>
      <c r="I9002" s="30" t="s">
        <v>21</v>
      </c>
      <c r="J9002" s="41">
        <v>44834</v>
      </c>
      <c r="K9002" s="30" t="s">
        <v>22</v>
      </c>
    </row>
    <row r="9003" spans="1:11">
      <c r="A9003" s="33" t="s">
        <v>20687</v>
      </c>
      <c r="B9003" s="33" t="s">
        <v>20688</v>
      </c>
      <c r="C9003" s="33" t="s">
        <v>8137</v>
      </c>
      <c r="D9003" s="33" t="s">
        <v>17</v>
      </c>
      <c r="E9003" s="33" t="s">
        <v>26</v>
      </c>
      <c r="F9003" s="33" t="s">
        <v>27</v>
      </c>
      <c r="G9003" s="33" t="s">
        <v>20</v>
      </c>
      <c r="H9003" s="35">
        <v>12</v>
      </c>
      <c r="I9003" s="33" t="s">
        <v>21</v>
      </c>
      <c r="J9003" s="42">
        <v>44622</v>
      </c>
      <c r="K9003" s="33" t="s">
        <v>22</v>
      </c>
    </row>
    <row r="9004" spans="1:11">
      <c r="A9004" s="30" t="s">
        <v>20689</v>
      </c>
      <c r="B9004" s="30" t="s">
        <v>20690</v>
      </c>
      <c r="C9004" s="30" t="s">
        <v>20691</v>
      </c>
      <c r="D9004" s="30" t="s">
        <v>17</v>
      </c>
      <c r="E9004" s="30" t="s">
        <v>26</v>
      </c>
      <c r="F9004" s="30" t="s">
        <v>27</v>
      </c>
      <c r="G9004" s="30" t="s">
        <v>20</v>
      </c>
      <c r="H9004" s="32">
        <v>21</v>
      </c>
      <c r="I9004" s="30" t="s">
        <v>21</v>
      </c>
      <c r="J9004" s="41">
        <v>44679</v>
      </c>
      <c r="K9004" s="30" t="s">
        <v>22</v>
      </c>
    </row>
    <row r="9005" spans="1:11">
      <c r="A9005" s="33" t="s">
        <v>20692</v>
      </c>
      <c r="B9005" s="33" t="s">
        <v>20693</v>
      </c>
      <c r="C9005" s="33" t="s">
        <v>1207</v>
      </c>
      <c r="D9005" s="33" t="s">
        <v>17</v>
      </c>
      <c r="E9005" s="33" t="s">
        <v>212</v>
      </c>
      <c r="F9005" s="33" t="s">
        <v>213</v>
      </c>
      <c r="G9005" s="33" t="s">
        <v>112</v>
      </c>
      <c r="H9005" s="35">
        <v>0</v>
      </c>
      <c r="I9005" s="33" t="s">
        <v>21</v>
      </c>
      <c r="J9005" s="42">
        <v>44621</v>
      </c>
      <c r="K9005" s="33" t="s">
        <v>22</v>
      </c>
    </row>
    <row r="9006" spans="1:11">
      <c r="A9006" s="30" t="s">
        <v>20694</v>
      </c>
      <c r="B9006" s="30" t="s">
        <v>20695</v>
      </c>
      <c r="C9006" s="30" t="s">
        <v>20696</v>
      </c>
      <c r="D9006" s="30" t="s">
        <v>17</v>
      </c>
      <c r="E9006" s="30" t="s">
        <v>67</v>
      </c>
      <c r="F9006" s="30" t="s">
        <v>68</v>
      </c>
      <c r="G9006" s="30" t="s">
        <v>106</v>
      </c>
      <c r="H9006" s="32">
        <v>9</v>
      </c>
      <c r="I9006" s="30" t="s">
        <v>21</v>
      </c>
      <c r="J9006" s="41">
        <v>44802</v>
      </c>
      <c r="K9006" s="30" t="s">
        <v>22</v>
      </c>
    </row>
    <row r="9007" spans="1:11">
      <c r="A9007" s="33" t="s">
        <v>20697</v>
      </c>
      <c r="B9007" s="33" t="s">
        <v>20698</v>
      </c>
      <c r="C9007" s="33" t="s">
        <v>11793</v>
      </c>
      <c r="D9007" s="33" t="s">
        <v>17</v>
      </c>
      <c r="E9007" s="33" t="s">
        <v>330</v>
      </c>
      <c r="F9007" s="33" t="s">
        <v>331</v>
      </c>
      <c r="G9007" s="33" t="s">
        <v>158</v>
      </c>
      <c r="H9007" s="35">
        <v>10</v>
      </c>
      <c r="I9007" s="33" t="s">
        <v>51</v>
      </c>
      <c r="J9007" s="42">
        <v>44785</v>
      </c>
      <c r="K9007" s="33" t="s">
        <v>22</v>
      </c>
    </row>
    <row r="9008" spans="1:11">
      <c r="A9008" s="30" t="s">
        <v>20699</v>
      </c>
      <c r="B9008" s="30" t="s">
        <v>20700</v>
      </c>
      <c r="C9008" s="30" t="s">
        <v>6663</v>
      </c>
      <c r="D9008" s="30" t="s">
        <v>17</v>
      </c>
      <c r="E9008" s="30" t="s">
        <v>67</v>
      </c>
      <c r="F9008" s="30" t="s">
        <v>68</v>
      </c>
      <c r="G9008" s="30" t="s">
        <v>140</v>
      </c>
      <c r="H9008" s="32">
        <v>396</v>
      </c>
      <c r="I9008" s="30" t="s">
        <v>51</v>
      </c>
      <c r="J9008" s="41">
        <v>44567</v>
      </c>
      <c r="K9008" s="30" t="s">
        <v>22</v>
      </c>
    </row>
    <row r="9009" spans="1:11">
      <c r="A9009" s="33" t="s">
        <v>20701</v>
      </c>
      <c r="B9009" s="33" t="s">
        <v>20702</v>
      </c>
      <c r="C9009" s="33" t="s">
        <v>13026</v>
      </c>
      <c r="D9009" s="33" t="s">
        <v>17</v>
      </c>
      <c r="E9009" s="33" t="s">
        <v>212</v>
      </c>
      <c r="F9009" s="33" t="s">
        <v>213</v>
      </c>
      <c r="G9009" s="33" t="s">
        <v>50</v>
      </c>
      <c r="H9009" s="35">
        <v>297</v>
      </c>
      <c r="I9009" s="33" t="s">
        <v>51</v>
      </c>
      <c r="J9009" s="42">
        <v>44614</v>
      </c>
      <c r="K9009" s="33" t="s">
        <v>22</v>
      </c>
    </row>
    <row r="9010" spans="1:11">
      <c r="A9010" s="30" t="s">
        <v>20703</v>
      </c>
      <c r="B9010" s="30" t="s">
        <v>20704</v>
      </c>
      <c r="C9010" s="30" t="s">
        <v>1151</v>
      </c>
      <c r="D9010" s="30" t="s">
        <v>17</v>
      </c>
      <c r="E9010" s="30" t="s">
        <v>31</v>
      </c>
      <c r="F9010" s="30" t="s">
        <v>32</v>
      </c>
      <c r="G9010" s="30" t="s">
        <v>20</v>
      </c>
      <c r="H9010" s="32">
        <v>418</v>
      </c>
      <c r="I9010" s="30" t="s">
        <v>21</v>
      </c>
      <c r="J9010" s="41">
        <v>44749</v>
      </c>
      <c r="K9010" s="30" t="s">
        <v>22</v>
      </c>
    </row>
    <row r="9011" spans="1:11">
      <c r="A9011" s="33" t="s">
        <v>20705</v>
      </c>
      <c r="B9011" s="33" t="s">
        <v>20706</v>
      </c>
      <c r="C9011" s="33" t="s">
        <v>20707</v>
      </c>
      <c r="D9011" s="33" t="s">
        <v>17</v>
      </c>
      <c r="E9011" s="33" t="s">
        <v>67</v>
      </c>
      <c r="F9011" s="33" t="s">
        <v>68</v>
      </c>
      <c r="G9011" s="33" t="s">
        <v>50</v>
      </c>
      <c r="H9011" s="35">
        <v>260</v>
      </c>
      <c r="I9011" s="33" t="s">
        <v>51</v>
      </c>
      <c r="J9011" s="42">
        <v>44835</v>
      </c>
      <c r="K9011" s="33" t="s">
        <v>22</v>
      </c>
    </row>
    <row r="9012" spans="1:11">
      <c r="A9012" s="30" t="s">
        <v>20708</v>
      </c>
      <c r="B9012" s="30" t="s">
        <v>20709</v>
      </c>
      <c r="C9012" s="30" t="s">
        <v>20710</v>
      </c>
      <c r="D9012" s="30" t="s">
        <v>17</v>
      </c>
      <c r="E9012" s="30" t="s">
        <v>18</v>
      </c>
      <c r="F9012" s="30" t="s">
        <v>19</v>
      </c>
      <c r="G9012" s="30" t="s">
        <v>106</v>
      </c>
      <c r="H9012" s="32">
        <v>290</v>
      </c>
      <c r="I9012" s="30" t="s">
        <v>21</v>
      </c>
      <c r="J9012" s="41">
        <v>44634</v>
      </c>
      <c r="K9012" s="30" t="s">
        <v>22</v>
      </c>
    </row>
    <row r="9013" spans="1:11">
      <c r="A9013" s="33" t="s">
        <v>20711</v>
      </c>
      <c r="B9013" s="33" t="s">
        <v>20712</v>
      </c>
      <c r="C9013" s="33" t="s">
        <v>9714</v>
      </c>
      <c r="D9013" s="33" t="s">
        <v>17</v>
      </c>
      <c r="E9013" s="33" t="s">
        <v>31</v>
      </c>
      <c r="F9013" s="33" t="s">
        <v>32</v>
      </c>
      <c r="G9013" s="33" t="s">
        <v>20</v>
      </c>
      <c r="H9013" s="35">
        <v>36</v>
      </c>
      <c r="I9013" s="33" t="s">
        <v>21</v>
      </c>
      <c r="J9013" s="42">
        <v>44825</v>
      </c>
      <c r="K9013" s="33" t="s">
        <v>22</v>
      </c>
    </row>
    <row r="9014" spans="1:11">
      <c r="A9014" s="30" t="s">
        <v>20713</v>
      </c>
      <c r="B9014" s="30" t="s">
        <v>20714</v>
      </c>
      <c r="C9014" s="30" t="s">
        <v>190</v>
      </c>
      <c r="D9014" s="30" t="s">
        <v>17</v>
      </c>
      <c r="E9014" s="30" t="s">
        <v>18</v>
      </c>
      <c r="F9014" s="30" t="s">
        <v>19</v>
      </c>
      <c r="G9014" s="30" t="s">
        <v>158</v>
      </c>
      <c r="H9014" s="32">
        <v>359</v>
      </c>
      <c r="I9014" s="30" t="s">
        <v>21</v>
      </c>
      <c r="J9014" s="41">
        <v>44607</v>
      </c>
      <c r="K9014" s="30" t="s">
        <v>22</v>
      </c>
    </row>
    <row r="9015" spans="1:11">
      <c r="A9015" s="33" t="s">
        <v>20715</v>
      </c>
      <c r="B9015" s="33" t="s">
        <v>20716</v>
      </c>
      <c r="C9015" s="33" t="s">
        <v>4345</v>
      </c>
      <c r="D9015" s="33" t="s">
        <v>17</v>
      </c>
      <c r="E9015" s="33" t="s">
        <v>18</v>
      </c>
      <c r="F9015" s="33" t="s">
        <v>19</v>
      </c>
      <c r="G9015" s="33" t="s">
        <v>158</v>
      </c>
      <c r="H9015" s="35">
        <v>24</v>
      </c>
      <c r="I9015" s="33" t="s">
        <v>21</v>
      </c>
      <c r="J9015" s="42">
        <v>44617</v>
      </c>
      <c r="K9015" s="33" t="s">
        <v>22</v>
      </c>
    </row>
    <row r="9016" spans="1:11">
      <c r="A9016" s="30" t="s">
        <v>20717</v>
      </c>
      <c r="B9016" s="30" t="s">
        <v>20718</v>
      </c>
      <c r="C9016" s="30" t="s">
        <v>1436</v>
      </c>
      <c r="D9016" s="30" t="s">
        <v>17</v>
      </c>
      <c r="E9016" s="30" t="s">
        <v>31</v>
      </c>
      <c r="F9016" s="30" t="s">
        <v>32</v>
      </c>
      <c r="G9016" s="30" t="s">
        <v>20</v>
      </c>
      <c r="H9016" s="32">
        <v>51</v>
      </c>
      <c r="I9016" s="30" t="s">
        <v>21</v>
      </c>
      <c r="J9016" s="41">
        <v>44622</v>
      </c>
      <c r="K9016" s="30" t="s">
        <v>22</v>
      </c>
    </row>
    <row r="9017" spans="1:11">
      <c r="A9017" s="33" t="s">
        <v>20719</v>
      </c>
      <c r="B9017" s="33" t="s">
        <v>20720</v>
      </c>
      <c r="C9017" s="33" t="s">
        <v>193</v>
      </c>
      <c r="D9017" s="33" t="s">
        <v>17</v>
      </c>
      <c r="E9017" s="33" t="s">
        <v>26</v>
      </c>
      <c r="F9017" s="33" t="s">
        <v>27</v>
      </c>
      <c r="G9017" s="33" t="s">
        <v>106</v>
      </c>
      <c r="H9017" s="35">
        <v>21</v>
      </c>
      <c r="I9017" s="33" t="s">
        <v>21</v>
      </c>
      <c r="J9017" s="42">
        <v>44642</v>
      </c>
      <c r="K9017" s="33" t="s">
        <v>22</v>
      </c>
    </row>
    <row r="9018" spans="1:11">
      <c r="A9018" s="30" t="s">
        <v>20721</v>
      </c>
      <c r="B9018" s="30" t="s">
        <v>20722</v>
      </c>
      <c r="C9018" s="30" t="s">
        <v>190</v>
      </c>
      <c r="D9018" s="30" t="s">
        <v>17</v>
      </c>
      <c r="E9018" s="30" t="s">
        <v>26</v>
      </c>
      <c r="F9018" s="30" t="s">
        <v>27</v>
      </c>
      <c r="G9018" s="30" t="s">
        <v>20</v>
      </c>
      <c r="H9018" s="32">
        <v>110</v>
      </c>
      <c r="I9018" s="30" t="s">
        <v>21</v>
      </c>
      <c r="J9018" s="41">
        <v>44750</v>
      </c>
      <c r="K9018" s="30" t="s">
        <v>22</v>
      </c>
    </row>
    <row r="9019" spans="1:11">
      <c r="A9019" s="33" t="s">
        <v>20723</v>
      </c>
      <c r="B9019" s="33" t="s">
        <v>20724</v>
      </c>
      <c r="C9019" s="33" t="s">
        <v>1151</v>
      </c>
      <c r="D9019" s="33" t="s">
        <v>17</v>
      </c>
      <c r="E9019" s="33" t="s">
        <v>26</v>
      </c>
      <c r="F9019" s="33" t="s">
        <v>27</v>
      </c>
      <c r="G9019" s="33" t="s">
        <v>20</v>
      </c>
      <c r="H9019" s="35">
        <v>43</v>
      </c>
      <c r="I9019" s="33" t="s">
        <v>21</v>
      </c>
      <c r="J9019" s="42">
        <v>44894</v>
      </c>
      <c r="K9019" s="33" t="s">
        <v>22</v>
      </c>
    </row>
    <row r="9020" spans="1:11">
      <c r="A9020" s="30" t="s">
        <v>20725</v>
      </c>
      <c r="B9020" s="30" t="s">
        <v>20726</v>
      </c>
      <c r="C9020" s="30" t="s">
        <v>20727</v>
      </c>
      <c r="D9020" s="30" t="s">
        <v>17</v>
      </c>
      <c r="E9020" s="30" t="s">
        <v>26</v>
      </c>
      <c r="F9020" s="30" t="s">
        <v>27</v>
      </c>
      <c r="G9020" s="30" t="s">
        <v>158</v>
      </c>
      <c r="H9020" s="32">
        <v>52</v>
      </c>
      <c r="I9020" s="30" t="s">
        <v>21</v>
      </c>
      <c r="J9020" s="41">
        <v>44617</v>
      </c>
      <c r="K9020" s="30" t="s">
        <v>22</v>
      </c>
    </row>
    <row r="9021" spans="1:11">
      <c r="A9021" s="33" t="s">
        <v>20728</v>
      </c>
      <c r="B9021" s="33" t="s">
        <v>20729</v>
      </c>
      <c r="C9021" s="33" t="s">
        <v>252</v>
      </c>
      <c r="D9021" s="33" t="s">
        <v>17</v>
      </c>
      <c r="E9021" s="33" t="s">
        <v>67</v>
      </c>
      <c r="F9021" s="33" t="s">
        <v>68</v>
      </c>
      <c r="G9021" s="33" t="s">
        <v>106</v>
      </c>
      <c r="H9021" s="35">
        <v>33</v>
      </c>
      <c r="I9021" s="33" t="s">
        <v>21</v>
      </c>
      <c r="J9021" s="42">
        <v>44910</v>
      </c>
      <c r="K9021" s="33" t="s">
        <v>22</v>
      </c>
    </row>
    <row r="9022" spans="1:11">
      <c r="A9022" s="30" t="s">
        <v>20730</v>
      </c>
      <c r="B9022" s="30" t="s">
        <v>20731</v>
      </c>
      <c r="C9022" s="30" t="s">
        <v>20732</v>
      </c>
      <c r="D9022" s="30" t="s">
        <v>17</v>
      </c>
      <c r="E9022" s="30" t="s">
        <v>212</v>
      </c>
      <c r="F9022" s="30" t="s">
        <v>213</v>
      </c>
      <c r="G9022" s="30" t="s">
        <v>50</v>
      </c>
      <c r="H9022" s="32">
        <v>196</v>
      </c>
      <c r="I9022" s="30" t="s">
        <v>51</v>
      </c>
      <c r="J9022" s="41">
        <v>44804</v>
      </c>
      <c r="K9022" s="30" t="s">
        <v>22</v>
      </c>
    </row>
    <row r="9023" spans="1:11">
      <c r="A9023" s="33" t="s">
        <v>20733</v>
      </c>
      <c r="B9023" s="33" t="s">
        <v>20734</v>
      </c>
      <c r="C9023" s="33" t="s">
        <v>1543</v>
      </c>
      <c r="D9023" s="33" t="s">
        <v>17</v>
      </c>
      <c r="E9023" s="33" t="s">
        <v>18</v>
      </c>
      <c r="F9023" s="33" t="s">
        <v>19</v>
      </c>
      <c r="G9023" s="33" t="s">
        <v>158</v>
      </c>
      <c r="H9023" s="35">
        <v>111</v>
      </c>
      <c r="I9023" s="33" t="s">
        <v>21</v>
      </c>
      <c r="J9023" s="42">
        <v>44860</v>
      </c>
      <c r="K9023" s="33" t="s">
        <v>22</v>
      </c>
    </row>
    <row r="9024" spans="1:11">
      <c r="A9024" s="30" t="s">
        <v>20735</v>
      </c>
      <c r="B9024" s="30" t="s">
        <v>20736</v>
      </c>
      <c r="C9024" s="30" t="s">
        <v>157</v>
      </c>
      <c r="D9024" s="30" t="s">
        <v>17</v>
      </c>
      <c r="E9024" s="30" t="s">
        <v>18</v>
      </c>
      <c r="F9024" s="30" t="s">
        <v>19</v>
      </c>
      <c r="G9024" s="30" t="s">
        <v>20</v>
      </c>
      <c r="H9024" s="32">
        <v>26</v>
      </c>
      <c r="I9024" s="30" t="s">
        <v>21</v>
      </c>
      <c r="J9024" s="41">
        <v>44580</v>
      </c>
      <c r="K9024" s="30" t="s">
        <v>22</v>
      </c>
    </row>
    <row r="9025" spans="1:11">
      <c r="A9025" s="33" t="s">
        <v>20737</v>
      </c>
      <c r="B9025" s="33" t="s">
        <v>20738</v>
      </c>
      <c r="C9025" s="33" t="s">
        <v>20739</v>
      </c>
      <c r="D9025" s="33" t="s">
        <v>17</v>
      </c>
      <c r="E9025" s="33" t="s">
        <v>45</v>
      </c>
      <c r="F9025" s="33" t="s">
        <v>46</v>
      </c>
      <c r="G9025" s="33" t="s">
        <v>106</v>
      </c>
      <c r="H9025" s="35">
        <v>25</v>
      </c>
      <c r="I9025" s="33" t="s">
        <v>21</v>
      </c>
      <c r="J9025" s="42">
        <v>44732</v>
      </c>
      <c r="K9025" s="33" t="s">
        <v>22</v>
      </c>
    </row>
    <row r="9026" spans="1:11">
      <c r="A9026" s="30" t="s">
        <v>20740</v>
      </c>
      <c r="B9026" s="30" t="s">
        <v>20741</v>
      </c>
      <c r="C9026" s="30" t="s">
        <v>1399</v>
      </c>
      <c r="D9026" s="30" t="s">
        <v>17</v>
      </c>
      <c r="E9026" s="30" t="s">
        <v>31</v>
      </c>
      <c r="F9026" s="30" t="s">
        <v>32</v>
      </c>
      <c r="G9026" s="30" t="s">
        <v>112</v>
      </c>
      <c r="H9026" s="32">
        <v>0</v>
      </c>
      <c r="I9026" s="30" t="s">
        <v>21</v>
      </c>
      <c r="J9026" s="41">
        <v>44925</v>
      </c>
      <c r="K9026" s="30" t="s">
        <v>22</v>
      </c>
    </row>
    <row r="9027" spans="1:11">
      <c r="A9027" s="33" t="s">
        <v>20742</v>
      </c>
      <c r="B9027" s="33" t="s">
        <v>20743</v>
      </c>
      <c r="C9027" s="33" t="s">
        <v>20744</v>
      </c>
      <c r="D9027" s="33" t="s">
        <v>17</v>
      </c>
      <c r="E9027" s="33" t="s">
        <v>26</v>
      </c>
      <c r="F9027" s="33" t="s">
        <v>27</v>
      </c>
      <c r="G9027" s="33" t="s">
        <v>112</v>
      </c>
      <c r="H9027" s="35">
        <v>0</v>
      </c>
      <c r="I9027" s="33" t="s">
        <v>21</v>
      </c>
      <c r="J9027" s="42">
        <v>44774</v>
      </c>
      <c r="K9027" s="33" t="s">
        <v>22</v>
      </c>
    </row>
    <row r="9028" spans="1:11">
      <c r="A9028" s="30" t="s">
        <v>20745</v>
      </c>
      <c r="B9028" s="30" t="s">
        <v>20746</v>
      </c>
      <c r="C9028" s="30" t="s">
        <v>1504</v>
      </c>
      <c r="D9028" s="30" t="s">
        <v>17</v>
      </c>
      <c r="E9028" s="30" t="s">
        <v>26</v>
      </c>
      <c r="F9028" s="30" t="s">
        <v>27</v>
      </c>
      <c r="G9028" s="30" t="s">
        <v>140</v>
      </c>
      <c r="H9028" s="32">
        <v>40</v>
      </c>
      <c r="I9028" s="30" t="s">
        <v>51</v>
      </c>
      <c r="J9028" s="41">
        <v>44733</v>
      </c>
      <c r="K9028" s="30" t="s">
        <v>22</v>
      </c>
    </row>
    <row r="9029" spans="1:11">
      <c r="A9029" s="33" t="s">
        <v>20747</v>
      </c>
      <c r="B9029" s="33" t="s">
        <v>20748</v>
      </c>
      <c r="C9029" s="33" t="s">
        <v>20749</v>
      </c>
      <c r="D9029" s="33" t="s">
        <v>17</v>
      </c>
      <c r="E9029" s="33" t="s">
        <v>330</v>
      </c>
      <c r="F9029" s="33" t="s">
        <v>331</v>
      </c>
      <c r="G9029" s="33" t="s">
        <v>50</v>
      </c>
      <c r="H9029" s="35">
        <v>40</v>
      </c>
      <c r="I9029" s="33" t="s">
        <v>51</v>
      </c>
      <c r="J9029" s="42">
        <v>44615</v>
      </c>
      <c r="K9029" s="33" t="s">
        <v>22</v>
      </c>
    </row>
    <row r="9030" spans="1:11">
      <c r="A9030" s="30" t="s">
        <v>20750</v>
      </c>
      <c r="B9030" s="30" t="s">
        <v>20751</v>
      </c>
      <c r="C9030" s="30" t="s">
        <v>20752</v>
      </c>
      <c r="D9030" s="30" t="s">
        <v>17</v>
      </c>
      <c r="E9030" s="30" t="s">
        <v>67</v>
      </c>
      <c r="F9030" s="30" t="s">
        <v>68</v>
      </c>
      <c r="G9030" s="30" t="s">
        <v>50</v>
      </c>
      <c r="H9030" s="32">
        <v>50</v>
      </c>
      <c r="I9030" s="30" t="s">
        <v>51</v>
      </c>
      <c r="J9030" s="41">
        <v>44635</v>
      </c>
      <c r="K9030" s="30" t="s">
        <v>22</v>
      </c>
    </row>
    <row r="9031" spans="1:11">
      <c r="A9031" s="33" t="s">
        <v>20753</v>
      </c>
      <c r="B9031" s="33" t="s">
        <v>20754</v>
      </c>
      <c r="C9031" s="33" t="s">
        <v>130</v>
      </c>
      <c r="D9031" s="33" t="s">
        <v>17</v>
      </c>
      <c r="E9031" s="33" t="s">
        <v>18</v>
      </c>
      <c r="F9031" s="33" t="s">
        <v>19</v>
      </c>
      <c r="G9031" s="33" t="s">
        <v>20</v>
      </c>
      <c r="H9031" s="35">
        <v>608</v>
      </c>
      <c r="I9031" s="33" t="s">
        <v>21</v>
      </c>
      <c r="J9031" s="42">
        <v>44914</v>
      </c>
      <c r="K9031" s="33" t="s">
        <v>22</v>
      </c>
    </row>
    <row r="9032" spans="1:11">
      <c r="A9032" s="30" t="s">
        <v>20755</v>
      </c>
      <c r="B9032" s="30" t="s">
        <v>20756</v>
      </c>
      <c r="C9032" s="30" t="s">
        <v>20757</v>
      </c>
      <c r="D9032" s="30" t="s">
        <v>17</v>
      </c>
      <c r="E9032" s="30" t="s">
        <v>31</v>
      </c>
      <c r="F9032" s="30" t="s">
        <v>32</v>
      </c>
      <c r="G9032" s="30" t="s">
        <v>140</v>
      </c>
      <c r="H9032" s="32">
        <v>80</v>
      </c>
      <c r="I9032" s="30" t="s">
        <v>51</v>
      </c>
      <c r="J9032" s="41">
        <v>44618</v>
      </c>
      <c r="K9032" s="30" t="s">
        <v>22</v>
      </c>
    </row>
    <row r="9033" spans="1:11">
      <c r="A9033" s="33" t="s">
        <v>20758</v>
      </c>
      <c r="B9033" s="33" t="s">
        <v>20759</v>
      </c>
      <c r="C9033" s="33" t="s">
        <v>387</v>
      </c>
      <c r="D9033" s="33" t="s">
        <v>17</v>
      </c>
      <c r="E9033" s="33" t="s">
        <v>26</v>
      </c>
      <c r="F9033" s="33" t="s">
        <v>27</v>
      </c>
      <c r="G9033" s="33" t="s">
        <v>20</v>
      </c>
      <c r="H9033" s="35">
        <v>52</v>
      </c>
      <c r="I9033" s="33" t="s">
        <v>21</v>
      </c>
      <c r="J9033" s="42">
        <v>44638</v>
      </c>
      <c r="K9033" s="33" t="s">
        <v>22</v>
      </c>
    </row>
    <row r="9034" spans="1:11">
      <c r="A9034" s="30" t="s">
        <v>20760</v>
      </c>
      <c r="B9034" s="30" t="s">
        <v>20761</v>
      </c>
      <c r="C9034" s="30" t="s">
        <v>20762</v>
      </c>
      <c r="D9034" s="30" t="s">
        <v>17</v>
      </c>
      <c r="E9034" s="30" t="s">
        <v>31</v>
      </c>
      <c r="F9034" s="30" t="s">
        <v>32</v>
      </c>
      <c r="G9034" s="30" t="s">
        <v>20</v>
      </c>
      <c r="H9034" s="32">
        <v>58</v>
      </c>
      <c r="I9034" s="30" t="s">
        <v>21</v>
      </c>
      <c r="J9034" s="41">
        <v>44586</v>
      </c>
      <c r="K9034" s="30" t="s">
        <v>22</v>
      </c>
    </row>
    <row r="9035" spans="1:11">
      <c r="A9035" s="33" t="s">
        <v>20763</v>
      </c>
      <c r="B9035" s="33" t="s">
        <v>20764</v>
      </c>
      <c r="C9035" s="33" t="s">
        <v>10300</v>
      </c>
      <c r="D9035" s="33" t="s">
        <v>17</v>
      </c>
      <c r="E9035" s="33" t="s">
        <v>26</v>
      </c>
      <c r="F9035" s="33" t="s">
        <v>27</v>
      </c>
      <c r="G9035" s="33" t="s">
        <v>20</v>
      </c>
      <c r="H9035" s="35">
        <v>16</v>
      </c>
      <c r="I9035" s="33" t="s">
        <v>21</v>
      </c>
      <c r="J9035" s="42">
        <v>44685</v>
      </c>
      <c r="K9035" s="33" t="s">
        <v>22</v>
      </c>
    </row>
    <row r="9036" spans="1:11">
      <c r="A9036" s="30" t="s">
        <v>20765</v>
      </c>
      <c r="B9036" s="30" t="s">
        <v>20766</v>
      </c>
      <c r="C9036" s="30" t="s">
        <v>124</v>
      </c>
      <c r="D9036" s="30" t="s">
        <v>17</v>
      </c>
      <c r="E9036" s="30" t="s">
        <v>26</v>
      </c>
      <c r="F9036" s="30" t="s">
        <v>27</v>
      </c>
      <c r="G9036" s="30" t="s">
        <v>20</v>
      </c>
      <c r="H9036" s="32">
        <v>42</v>
      </c>
      <c r="I9036" s="30" t="s">
        <v>21</v>
      </c>
      <c r="J9036" s="41">
        <v>44777</v>
      </c>
      <c r="K9036" s="30" t="s">
        <v>22</v>
      </c>
    </row>
    <row r="9037" spans="1:11">
      <c r="A9037" s="33" t="s">
        <v>20767</v>
      </c>
      <c r="B9037" s="33" t="s">
        <v>20768</v>
      </c>
      <c r="C9037" s="33" t="s">
        <v>3892</v>
      </c>
      <c r="D9037" s="33" t="s">
        <v>17</v>
      </c>
      <c r="E9037" s="33" t="s">
        <v>18</v>
      </c>
      <c r="F9037" s="33" t="s">
        <v>19</v>
      </c>
      <c r="G9037" s="33" t="s">
        <v>20</v>
      </c>
      <c r="H9037" s="35">
        <v>98</v>
      </c>
      <c r="I9037" s="33" t="s">
        <v>21</v>
      </c>
      <c r="J9037" s="42">
        <v>44756</v>
      </c>
      <c r="K9037" s="33" t="s">
        <v>22</v>
      </c>
    </row>
    <row r="9038" spans="1:11">
      <c r="A9038" s="30" t="s">
        <v>20769</v>
      </c>
      <c r="B9038" s="30" t="s">
        <v>20770</v>
      </c>
      <c r="C9038" s="30" t="s">
        <v>899</v>
      </c>
      <c r="D9038" s="30" t="s">
        <v>17</v>
      </c>
      <c r="E9038" s="30" t="s">
        <v>26</v>
      </c>
      <c r="F9038" s="30" t="s">
        <v>27</v>
      </c>
      <c r="G9038" s="30" t="s">
        <v>20</v>
      </c>
      <c r="H9038" s="32">
        <v>68</v>
      </c>
      <c r="I9038" s="30" t="s">
        <v>21</v>
      </c>
      <c r="J9038" s="41">
        <v>44712</v>
      </c>
      <c r="K9038" s="30" t="s">
        <v>22</v>
      </c>
    </row>
    <row r="9039" spans="1:11">
      <c r="A9039" s="33" t="s">
        <v>20771</v>
      </c>
      <c r="B9039" s="33" t="s">
        <v>20772</v>
      </c>
      <c r="C9039" s="33" t="s">
        <v>20773</v>
      </c>
      <c r="D9039" s="33" t="s">
        <v>17</v>
      </c>
      <c r="E9039" s="33" t="s">
        <v>26</v>
      </c>
      <c r="F9039" s="33" t="s">
        <v>27</v>
      </c>
      <c r="G9039" s="33" t="s">
        <v>20</v>
      </c>
      <c r="H9039" s="35">
        <v>63</v>
      </c>
      <c r="I9039" s="33" t="s">
        <v>21</v>
      </c>
      <c r="J9039" s="42">
        <v>44708</v>
      </c>
      <c r="K9039" s="33" t="s">
        <v>22</v>
      </c>
    </row>
    <row r="9040" spans="1:11">
      <c r="A9040" s="30" t="s">
        <v>20774</v>
      </c>
      <c r="B9040" s="30" t="s">
        <v>20775</v>
      </c>
      <c r="C9040" s="30" t="s">
        <v>20032</v>
      </c>
      <c r="D9040" s="30" t="s">
        <v>17</v>
      </c>
      <c r="E9040" s="30" t="s">
        <v>18</v>
      </c>
      <c r="F9040" s="30" t="s">
        <v>19</v>
      </c>
      <c r="G9040" s="30" t="s">
        <v>20</v>
      </c>
      <c r="H9040" s="32">
        <v>550</v>
      </c>
      <c r="I9040" s="30" t="s">
        <v>21</v>
      </c>
      <c r="J9040" s="41">
        <v>44664</v>
      </c>
      <c r="K9040" s="30" t="s">
        <v>22</v>
      </c>
    </row>
    <row r="9041" spans="1:11">
      <c r="A9041" s="33" t="s">
        <v>20776</v>
      </c>
      <c r="B9041" s="33" t="s">
        <v>20777</v>
      </c>
      <c r="C9041" s="33" t="s">
        <v>310</v>
      </c>
      <c r="D9041" s="33" t="s">
        <v>17</v>
      </c>
      <c r="E9041" s="33" t="s">
        <v>26</v>
      </c>
      <c r="F9041" s="33" t="s">
        <v>27</v>
      </c>
      <c r="G9041" s="33" t="s">
        <v>20</v>
      </c>
      <c r="H9041" s="35">
        <v>24</v>
      </c>
      <c r="I9041" s="33" t="s">
        <v>21</v>
      </c>
      <c r="J9041" s="42">
        <v>44711</v>
      </c>
      <c r="K9041" s="33" t="s">
        <v>22</v>
      </c>
    </row>
    <row r="9042" spans="1:11">
      <c r="A9042" s="30" t="s">
        <v>20778</v>
      </c>
      <c r="B9042" s="30" t="s">
        <v>20779</v>
      </c>
      <c r="C9042" s="30" t="s">
        <v>5757</v>
      </c>
      <c r="D9042" s="30" t="s">
        <v>17</v>
      </c>
      <c r="E9042" s="30" t="s">
        <v>18</v>
      </c>
      <c r="F9042" s="30" t="s">
        <v>19</v>
      </c>
      <c r="G9042" s="30" t="s">
        <v>20</v>
      </c>
      <c r="H9042" s="32">
        <v>105</v>
      </c>
      <c r="I9042" s="30" t="s">
        <v>21</v>
      </c>
      <c r="J9042" s="41">
        <v>44740</v>
      </c>
      <c r="K9042" s="30" t="s">
        <v>22</v>
      </c>
    </row>
    <row r="9043" spans="1:11">
      <c r="A9043" s="33" t="s">
        <v>20780</v>
      </c>
      <c r="B9043" s="33" t="s">
        <v>20781</v>
      </c>
      <c r="C9043" s="33" t="s">
        <v>20782</v>
      </c>
      <c r="D9043" s="33" t="s">
        <v>17</v>
      </c>
      <c r="E9043" s="33" t="s">
        <v>26</v>
      </c>
      <c r="F9043" s="33" t="s">
        <v>27</v>
      </c>
      <c r="G9043" s="33" t="s">
        <v>158</v>
      </c>
      <c r="H9043" s="35">
        <v>276</v>
      </c>
      <c r="I9043" s="33" t="s">
        <v>21</v>
      </c>
      <c r="J9043" s="42">
        <v>44776</v>
      </c>
      <c r="K9043" s="33" t="s">
        <v>22</v>
      </c>
    </row>
    <row r="9044" spans="1:11">
      <c r="A9044" s="30" t="s">
        <v>20783</v>
      </c>
      <c r="B9044" s="30" t="s">
        <v>20784</v>
      </c>
      <c r="C9044" s="30" t="s">
        <v>190</v>
      </c>
      <c r="D9044" s="30" t="s">
        <v>17</v>
      </c>
      <c r="E9044" s="30" t="s">
        <v>31</v>
      </c>
      <c r="F9044" s="30" t="s">
        <v>32</v>
      </c>
      <c r="G9044" s="30" t="s">
        <v>20</v>
      </c>
      <c r="H9044" s="32">
        <v>112</v>
      </c>
      <c r="I9044" s="30" t="s">
        <v>21</v>
      </c>
      <c r="J9044" s="41">
        <v>44860</v>
      </c>
      <c r="K9044" s="30" t="s">
        <v>22</v>
      </c>
    </row>
    <row r="9045" spans="1:11">
      <c r="A9045" s="33" t="s">
        <v>20785</v>
      </c>
      <c r="B9045" s="33" t="s">
        <v>20786</v>
      </c>
      <c r="C9045" s="33" t="s">
        <v>10589</v>
      </c>
      <c r="D9045" s="33" t="s">
        <v>17</v>
      </c>
      <c r="E9045" s="33" t="s">
        <v>26</v>
      </c>
      <c r="F9045" s="33" t="s">
        <v>27</v>
      </c>
      <c r="G9045" s="33" t="s">
        <v>106</v>
      </c>
      <c r="H9045" s="35">
        <v>103</v>
      </c>
      <c r="I9045" s="33" t="s">
        <v>21</v>
      </c>
      <c r="J9045" s="42">
        <v>44624</v>
      </c>
      <c r="K9045" s="33" t="s">
        <v>22</v>
      </c>
    </row>
    <row r="9046" spans="1:11">
      <c r="A9046" s="30" t="s">
        <v>20787</v>
      </c>
      <c r="B9046" s="30" t="s">
        <v>20788</v>
      </c>
      <c r="C9046" s="30" t="s">
        <v>157</v>
      </c>
      <c r="D9046" s="30" t="s">
        <v>17</v>
      </c>
      <c r="E9046" s="30" t="s">
        <v>18</v>
      </c>
      <c r="F9046" s="30" t="s">
        <v>19</v>
      </c>
      <c r="G9046" s="30" t="s">
        <v>140</v>
      </c>
      <c r="H9046" s="32">
        <v>440</v>
      </c>
      <c r="I9046" s="30" t="s">
        <v>51</v>
      </c>
      <c r="J9046" s="41">
        <v>44797</v>
      </c>
      <c r="K9046" s="30" t="s">
        <v>22</v>
      </c>
    </row>
    <row r="9047" spans="1:11">
      <c r="A9047" s="33" t="s">
        <v>20789</v>
      </c>
      <c r="B9047" s="33" t="s">
        <v>20790</v>
      </c>
      <c r="C9047" s="33" t="s">
        <v>969</v>
      </c>
      <c r="D9047" s="33" t="s">
        <v>17</v>
      </c>
      <c r="E9047" s="33" t="s">
        <v>26</v>
      </c>
      <c r="F9047" s="33" t="s">
        <v>27</v>
      </c>
      <c r="G9047" s="33" t="s">
        <v>20</v>
      </c>
      <c r="H9047" s="35">
        <v>97</v>
      </c>
      <c r="I9047" s="33" t="s">
        <v>21</v>
      </c>
      <c r="J9047" s="42">
        <v>44893</v>
      </c>
      <c r="K9047" s="33" t="s">
        <v>22</v>
      </c>
    </row>
    <row r="9048" spans="1:11">
      <c r="A9048" s="30" t="s">
        <v>20791</v>
      </c>
      <c r="B9048" s="30" t="s">
        <v>20792</v>
      </c>
      <c r="C9048" s="30" t="s">
        <v>7015</v>
      </c>
      <c r="D9048" s="30" t="s">
        <v>17</v>
      </c>
      <c r="E9048" s="30" t="s">
        <v>212</v>
      </c>
      <c r="F9048" s="30" t="s">
        <v>213</v>
      </c>
      <c r="G9048" s="30" t="s">
        <v>20</v>
      </c>
      <c r="H9048" s="32">
        <v>284</v>
      </c>
      <c r="I9048" s="30" t="s">
        <v>21</v>
      </c>
      <c r="J9048" s="41">
        <v>44669</v>
      </c>
      <c r="K9048" s="30" t="s">
        <v>22</v>
      </c>
    </row>
    <row r="9049" spans="1:11">
      <c r="A9049" s="33" t="s">
        <v>20793</v>
      </c>
      <c r="B9049" s="33" t="s">
        <v>20794</v>
      </c>
      <c r="C9049" s="33" t="s">
        <v>20795</v>
      </c>
      <c r="D9049" s="33" t="s">
        <v>17</v>
      </c>
      <c r="E9049" s="33" t="s">
        <v>26</v>
      </c>
      <c r="F9049" s="33" t="s">
        <v>27</v>
      </c>
      <c r="G9049" s="33" t="s">
        <v>20</v>
      </c>
      <c r="H9049" s="35">
        <v>68</v>
      </c>
      <c r="I9049" s="33" t="s">
        <v>21</v>
      </c>
      <c r="J9049" s="42">
        <v>44616</v>
      </c>
      <c r="K9049" s="33" t="s">
        <v>22</v>
      </c>
    </row>
    <row r="9050" spans="1:11">
      <c r="A9050" s="30" t="s">
        <v>20796</v>
      </c>
      <c r="B9050" s="30" t="s">
        <v>20797</v>
      </c>
      <c r="C9050" s="30" t="s">
        <v>109</v>
      </c>
      <c r="D9050" s="30" t="s">
        <v>17</v>
      </c>
      <c r="E9050" s="30" t="s">
        <v>31</v>
      </c>
      <c r="F9050" s="30" t="s">
        <v>32</v>
      </c>
      <c r="G9050" s="30" t="s">
        <v>20</v>
      </c>
      <c r="H9050" s="32">
        <v>254</v>
      </c>
      <c r="I9050" s="30" t="s">
        <v>21</v>
      </c>
      <c r="J9050" s="41">
        <v>44627</v>
      </c>
      <c r="K9050" s="30" t="s">
        <v>22</v>
      </c>
    </row>
    <row r="9051" spans="1:11">
      <c r="A9051" s="33" t="s">
        <v>20798</v>
      </c>
      <c r="B9051" s="33" t="s">
        <v>20799</v>
      </c>
      <c r="C9051" s="33" t="s">
        <v>216</v>
      </c>
      <c r="D9051" s="33" t="s">
        <v>17</v>
      </c>
      <c r="E9051" s="33" t="s">
        <v>18</v>
      </c>
      <c r="F9051" s="33" t="s">
        <v>19</v>
      </c>
      <c r="G9051" s="33" t="s">
        <v>20</v>
      </c>
      <c r="H9051" s="35">
        <v>488</v>
      </c>
      <c r="I9051" s="33" t="s">
        <v>21</v>
      </c>
      <c r="J9051" s="42">
        <v>44749</v>
      </c>
      <c r="K9051" s="33" t="s">
        <v>22</v>
      </c>
    </row>
    <row r="9052" spans="1:11">
      <c r="A9052" s="30" t="s">
        <v>20800</v>
      </c>
      <c r="B9052" s="30" t="s">
        <v>20801</v>
      </c>
      <c r="C9052" s="30" t="s">
        <v>1764</v>
      </c>
      <c r="D9052" s="30" t="s">
        <v>17</v>
      </c>
      <c r="E9052" s="30" t="s">
        <v>18</v>
      </c>
      <c r="F9052" s="30" t="s">
        <v>19</v>
      </c>
      <c r="G9052" s="30" t="s">
        <v>20</v>
      </c>
      <c r="H9052" s="32">
        <v>24</v>
      </c>
      <c r="I9052" s="30" t="s">
        <v>21</v>
      </c>
      <c r="J9052" s="41">
        <v>44659</v>
      </c>
      <c r="K9052" s="30" t="s">
        <v>22</v>
      </c>
    </row>
    <row r="9053" spans="1:11">
      <c r="A9053" s="33" t="s">
        <v>20802</v>
      </c>
      <c r="B9053" s="33" t="s">
        <v>20803</v>
      </c>
      <c r="C9053" s="33" t="s">
        <v>3243</v>
      </c>
      <c r="D9053" s="33" t="s">
        <v>17</v>
      </c>
      <c r="E9053" s="33" t="s">
        <v>31</v>
      </c>
      <c r="F9053" s="33" t="s">
        <v>32</v>
      </c>
      <c r="G9053" s="33" t="s">
        <v>20</v>
      </c>
      <c r="H9053" s="35">
        <v>118</v>
      </c>
      <c r="I9053" s="33" t="s">
        <v>21</v>
      </c>
      <c r="J9053" s="42">
        <v>44860</v>
      </c>
      <c r="K9053" s="33" t="s">
        <v>22</v>
      </c>
    </row>
    <row r="9054" spans="1:11">
      <c r="A9054" s="30" t="s">
        <v>20804</v>
      </c>
      <c r="B9054" s="30" t="s">
        <v>20805</v>
      </c>
      <c r="C9054" s="30" t="s">
        <v>1165</v>
      </c>
      <c r="D9054" s="30" t="s">
        <v>17</v>
      </c>
      <c r="E9054" s="30" t="s">
        <v>45</v>
      </c>
      <c r="F9054" s="30" t="s">
        <v>46</v>
      </c>
      <c r="G9054" s="30" t="s">
        <v>158</v>
      </c>
      <c r="H9054" s="32">
        <v>265</v>
      </c>
      <c r="I9054" s="30" t="s">
        <v>21</v>
      </c>
      <c r="J9054" s="41">
        <v>44846</v>
      </c>
      <c r="K9054" s="30" t="s">
        <v>22</v>
      </c>
    </row>
    <row r="9055" spans="1:11">
      <c r="A9055" s="33" t="s">
        <v>20806</v>
      </c>
      <c r="B9055" s="33" t="s">
        <v>20807</v>
      </c>
      <c r="C9055" s="33" t="s">
        <v>5262</v>
      </c>
      <c r="D9055" s="33" t="s">
        <v>17</v>
      </c>
      <c r="E9055" s="33" t="s">
        <v>67</v>
      </c>
      <c r="F9055" s="33" t="s">
        <v>68</v>
      </c>
      <c r="G9055" s="33" t="s">
        <v>20</v>
      </c>
      <c r="H9055" s="35">
        <v>39</v>
      </c>
      <c r="I9055" s="33" t="s">
        <v>21</v>
      </c>
      <c r="J9055" s="42">
        <v>44706</v>
      </c>
      <c r="K9055" s="33" t="s">
        <v>22</v>
      </c>
    </row>
    <row r="9056" spans="1:11">
      <c r="A9056" s="30" t="s">
        <v>20808</v>
      </c>
      <c r="B9056" s="30" t="s">
        <v>20809</v>
      </c>
      <c r="C9056" s="30" t="s">
        <v>130</v>
      </c>
      <c r="D9056" s="30" t="s">
        <v>17</v>
      </c>
      <c r="E9056" s="30" t="s">
        <v>31</v>
      </c>
      <c r="F9056" s="30" t="s">
        <v>32</v>
      </c>
      <c r="G9056" s="30" t="s">
        <v>106</v>
      </c>
      <c r="H9056" s="32">
        <v>30</v>
      </c>
      <c r="I9056" s="30" t="s">
        <v>21</v>
      </c>
      <c r="J9056" s="41">
        <v>44575</v>
      </c>
      <c r="K9056" s="30" t="s">
        <v>22</v>
      </c>
    </row>
    <row r="9057" spans="1:11">
      <c r="A9057" s="33" t="s">
        <v>20810</v>
      </c>
      <c r="B9057" s="33" t="s">
        <v>20811</v>
      </c>
      <c r="C9057" s="33" t="s">
        <v>20812</v>
      </c>
      <c r="D9057" s="33" t="s">
        <v>17</v>
      </c>
      <c r="E9057" s="33" t="s">
        <v>45</v>
      </c>
      <c r="F9057" s="33" t="s">
        <v>46</v>
      </c>
      <c r="G9057" s="33" t="s">
        <v>140</v>
      </c>
      <c r="H9057" s="35">
        <v>600</v>
      </c>
      <c r="I9057" s="33" t="s">
        <v>51</v>
      </c>
      <c r="J9057" s="42">
        <v>44781</v>
      </c>
      <c r="K9057" s="33" t="s">
        <v>22</v>
      </c>
    </row>
    <row r="9058" spans="1:11">
      <c r="A9058" s="30" t="s">
        <v>20813</v>
      </c>
      <c r="B9058" s="30" t="s">
        <v>20814</v>
      </c>
      <c r="C9058" s="30" t="s">
        <v>15107</v>
      </c>
      <c r="D9058" s="30" t="s">
        <v>17</v>
      </c>
      <c r="E9058" s="30" t="s">
        <v>26</v>
      </c>
      <c r="F9058" s="30" t="s">
        <v>27</v>
      </c>
      <c r="G9058" s="30" t="s">
        <v>50</v>
      </c>
      <c r="H9058" s="32">
        <v>12</v>
      </c>
      <c r="I9058" s="30" t="s">
        <v>51</v>
      </c>
      <c r="J9058" s="41">
        <v>44853</v>
      </c>
      <c r="K9058" s="30" t="s">
        <v>22</v>
      </c>
    </row>
    <row r="9059" spans="1:11">
      <c r="A9059" s="33" t="s">
        <v>20815</v>
      </c>
      <c r="B9059" s="33" t="s">
        <v>20816</v>
      </c>
      <c r="C9059" s="33" t="s">
        <v>15467</v>
      </c>
      <c r="D9059" s="33" t="s">
        <v>17</v>
      </c>
      <c r="E9059" s="33" t="s">
        <v>26</v>
      </c>
      <c r="F9059" s="33" t="s">
        <v>27</v>
      </c>
      <c r="G9059" s="33" t="s">
        <v>20</v>
      </c>
      <c r="H9059" s="35">
        <v>48</v>
      </c>
      <c r="I9059" s="33" t="s">
        <v>21</v>
      </c>
      <c r="J9059" s="42">
        <v>44692</v>
      </c>
      <c r="K9059" s="33" t="s">
        <v>22</v>
      </c>
    </row>
    <row r="9060" spans="1:11">
      <c r="A9060" s="30" t="s">
        <v>20817</v>
      </c>
      <c r="B9060" s="30" t="s">
        <v>20818</v>
      </c>
      <c r="C9060" s="30" t="s">
        <v>899</v>
      </c>
      <c r="D9060" s="30" t="s">
        <v>17</v>
      </c>
      <c r="E9060" s="30" t="s">
        <v>26</v>
      </c>
      <c r="F9060" s="30" t="s">
        <v>27</v>
      </c>
      <c r="G9060" s="30" t="s">
        <v>20</v>
      </c>
      <c r="H9060" s="32">
        <v>14</v>
      </c>
      <c r="I9060" s="30" t="s">
        <v>21</v>
      </c>
      <c r="J9060" s="41">
        <v>44872</v>
      </c>
      <c r="K9060" s="30" t="s">
        <v>22</v>
      </c>
    </row>
    <row r="9061" spans="1:11">
      <c r="A9061" s="33" t="s">
        <v>20819</v>
      </c>
      <c r="B9061" s="33" t="s">
        <v>20820</v>
      </c>
      <c r="C9061" s="33" t="s">
        <v>216</v>
      </c>
      <c r="D9061" s="33" t="s">
        <v>17</v>
      </c>
      <c r="E9061" s="33" t="s">
        <v>26</v>
      </c>
      <c r="F9061" s="33" t="s">
        <v>27</v>
      </c>
      <c r="G9061" s="33" t="s">
        <v>20</v>
      </c>
      <c r="H9061" s="35">
        <v>14</v>
      </c>
      <c r="I9061" s="33" t="s">
        <v>21</v>
      </c>
      <c r="J9061" s="42">
        <v>44680</v>
      </c>
      <c r="K9061" s="33" t="s">
        <v>22</v>
      </c>
    </row>
    <row r="9062" spans="1:11">
      <c r="A9062" s="30" t="s">
        <v>20821</v>
      </c>
      <c r="B9062" s="30" t="s">
        <v>20822</v>
      </c>
      <c r="C9062" s="30" t="s">
        <v>3312</v>
      </c>
      <c r="D9062" s="30" t="s">
        <v>17</v>
      </c>
      <c r="E9062" s="30" t="s">
        <v>18</v>
      </c>
      <c r="F9062" s="30" t="s">
        <v>19</v>
      </c>
      <c r="G9062" s="30" t="s">
        <v>20</v>
      </c>
      <c r="H9062" s="32">
        <v>249</v>
      </c>
      <c r="I9062" s="30" t="s">
        <v>21</v>
      </c>
      <c r="J9062" s="41">
        <v>44772</v>
      </c>
      <c r="K9062" s="30" t="s">
        <v>22</v>
      </c>
    </row>
    <row r="9063" spans="1:11">
      <c r="A9063" s="33" t="s">
        <v>20823</v>
      </c>
      <c r="B9063" s="33" t="s">
        <v>20824</v>
      </c>
      <c r="C9063" s="33" t="s">
        <v>20825</v>
      </c>
      <c r="D9063" s="33" t="s">
        <v>17</v>
      </c>
      <c r="E9063" s="33" t="s">
        <v>26</v>
      </c>
      <c r="F9063" s="33" t="s">
        <v>27</v>
      </c>
      <c r="G9063" s="33" t="s">
        <v>140</v>
      </c>
      <c r="H9063" s="35">
        <v>324</v>
      </c>
      <c r="I9063" s="33" t="s">
        <v>51</v>
      </c>
      <c r="J9063" s="42">
        <v>44650</v>
      </c>
      <c r="K9063" s="33" t="s">
        <v>22</v>
      </c>
    </row>
    <row r="9064" spans="1:11">
      <c r="A9064" s="30" t="s">
        <v>20826</v>
      </c>
      <c r="B9064" s="30" t="s">
        <v>20827</v>
      </c>
      <c r="C9064" s="30" t="s">
        <v>81</v>
      </c>
      <c r="D9064" s="30" t="s">
        <v>17</v>
      </c>
      <c r="E9064" s="30" t="s">
        <v>26</v>
      </c>
      <c r="F9064" s="30" t="s">
        <v>27</v>
      </c>
      <c r="G9064" s="30" t="s">
        <v>20</v>
      </c>
      <c r="H9064" s="32">
        <v>45</v>
      </c>
      <c r="I9064" s="30" t="s">
        <v>21</v>
      </c>
      <c r="J9064" s="41">
        <v>44756</v>
      </c>
      <c r="K9064" s="30" t="s">
        <v>22</v>
      </c>
    </row>
    <row r="9065" spans="1:11">
      <c r="A9065" s="33" t="s">
        <v>20828</v>
      </c>
      <c r="B9065" s="33" t="s">
        <v>20829</v>
      </c>
      <c r="C9065" s="33" t="s">
        <v>96</v>
      </c>
      <c r="D9065" s="33" t="s">
        <v>17</v>
      </c>
      <c r="E9065" s="33" t="s">
        <v>26</v>
      </c>
      <c r="F9065" s="33" t="s">
        <v>27</v>
      </c>
      <c r="G9065" s="33" t="s">
        <v>20</v>
      </c>
      <c r="H9065" s="35">
        <v>65</v>
      </c>
      <c r="I9065" s="33" t="s">
        <v>21</v>
      </c>
      <c r="J9065" s="42">
        <v>44721</v>
      </c>
      <c r="K9065" s="33" t="s">
        <v>22</v>
      </c>
    </row>
    <row r="9066" spans="1:11">
      <c r="A9066" s="30" t="s">
        <v>20830</v>
      </c>
      <c r="B9066" s="30" t="s">
        <v>20831</v>
      </c>
      <c r="C9066" s="30" t="s">
        <v>3922</v>
      </c>
      <c r="D9066" s="30" t="s">
        <v>17</v>
      </c>
      <c r="E9066" s="30" t="s">
        <v>18</v>
      </c>
      <c r="F9066" s="30" t="s">
        <v>19</v>
      </c>
      <c r="G9066" s="30" t="s">
        <v>20</v>
      </c>
      <c r="H9066" s="32">
        <v>639</v>
      </c>
      <c r="I9066" s="30" t="s">
        <v>21</v>
      </c>
      <c r="J9066" s="41">
        <v>44844</v>
      </c>
      <c r="K9066" s="30" t="s">
        <v>22</v>
      </c>
    </row>
    <row r="9067" spans="1:11">
      <c r="A9067" s="33" t="s">
        <v>20832</v>
      </c>
      <c r="B9067" s="33" t="s">
        <v>20833</v>
      </c>
      <c r="C9067" s="33" t="s">
        <v>20834</v>
      </c>
      <c r="D9067" s="33" t="s">
        <v>17</v>
      </c>
      <c r="E9067" s="33" t="s">
        <v>26</v>
      </c>
      <c r="F9067" s="33" t="s">
        <v>27</v>
      </c>
      <c r="G9067" s="33" t="s">
        <v>140</v>
      </c>
      <c r="H9067" s="35">
        <v>78</v>
      </c>
      <c r="I9067" s="33" t="s">
        <v>51</v>
      </c>
      <c r="J9067" s="42">
        <v>44924</v>
      </c>
      <c r="K9067" s="33" t="s">
        <v>22</v>
      </c>
    </row>
    <row r="9068" spans="1:11">
      <c r="A9068" s="30" t="s">
        <v>20835</v>
      </c>
      <c r="B9068" s="30" t="s">
        <v>20836</v>
      </c>
      <c r="C9068" s="30" t="s">
        <v>170</v>
      </c>
      <c r="D9068" s="30" t="s">
        <v>17</v>
      </c>
      <c r="E9068" s="30" t="s">
        <v>18</v>
      </c>
      <c r="F9068" s="30" t="s">
        <v>19</v>
      </c>
      <c r="G9068" s="30" t="s">
        <v>140</v>
      </c>
      <c r="H9068" s="32">
        <v>252</v>
      </c>
      <c r="I9068" s="30" t="s">
        <v>51</v>
      </c>
      <c r="J9068" s="41">
        <v>44679</v>
      </c>
      <c r="K9068" s="30" t="s">
        <v>22</v>
      </c>
    </row>
    <row r="9069" spans="1:11">
      <c r="A9069" s="33" t="s">
        <v>20837</v>
      </c>
      <c r="B9069" s="33" t="s">
        <v>20838</v>
      </c>
      <c r="C9069" s="33" t="s">
        <v>20839</v>
      </c>
      <c r="D9069" s="33" t="s">
        <v>17</v>
      </c>
      <c r="E9069" s="33" t="s">
        <v>31</v>
      </c>
      <c r="F9069" s="33" t="s">
        <v>32</v>
      </c>
      <c r="G9069" s="33" t="s">
        <v>20</v>
      </c>
      <c r="H9069" s="35">
        <v>15</v>
      </c>
      <c r="I9069" s="33" t="s">
        <v>21</v>
      </c>
      <c r="J9069" s="42">
        <v>44909</v>
      </c>
      <c r="K9069" s="33" t="s">
        <v>22</v>
      </c>
    </row>
    <row r="9070" spans="1:11">
      <c r="A9070" s="30" t="s">
        <v>20840</v>
      </c>
      <c r="B9070" s="30" t="s">
        <v>20841</v>
      </c>
      <c r="C9070" s="30" t="s">
        <v>20064</v>
      </c>
      <c r="D9070" s="30" t="s">
        <v>17</v>
      </c>
      <c r="E9070" s="30" t="s">
        <v>31</v>
      </c>
      <c r="F9070" s="30" t="s">
        <v>32</v>
      </c>
      <c r="G9070" s="30" t="s">
        <v>20</v>
      </c>
      <c r="H9070" s="32">
        <v>42</v>
      </c>
      <c r="I9070" s="30" t="s">
        <v>21</v>
      </c>
      <c r="J9070" s="41">
        <v>44613</v>
      </c>
      <c r="K9070" s="30" t="s">
        <v>22</v>
      </c>
    </row>
    <row r="9071" spans="1:11">
      <c r="A9071" s="33" t="s">
        <v>20842</v>
      </c>
      <c r="B9071" s="33" t="s">
        <v>20843</v>
      </c>
      <c r="C9071" s="33" t="s">
        <v>15097</v>
      </c>
      <c r="D9071" s="33" t="s">
        <v>17</v>
      </c>
      <c r="E9071" s="33" t="s">
        <v>26</v>
      </c>
      <c r="F9071" s="33" t="s">
        <v>27</v>
      </c>
      <c r="G9071" s="33" t="s">
        <v>106</v>
      </c>
      <c r="H9071" s="35">
        <v>2</v>
      </c>
      <c r="I9071" s="33" t="s">
        <v>21</v>
      </c>
      <c r="J9071" s="42">
        <v>44565</v>
      </c>
      <c r="K9071" s="33" t="s">
        <v>22</v>
      </c>
    </row>
    <row r="9072" spans="1:11">
      <c r="A9072" s="30" t="s">
        <v>20844</v>
      </c>
      <c r="B9072" s="30" t="s">
        <v>20845</v>
      </c>
      <c r="C9072" s="30" t="s">
        <v>20846</v>
      </c>
      <c r="D9072" s="30" t="s">
        <v>17</v>
      </c>
      <c r="E9072" s="30" t="s">
        <v>26</v>
      </c>
      <c r="F9072" s="30" t="s">
        <v>27</v>
      </c>
      <c r="G9072" s="30" t="s">
        <v>20</v>
      </c>
      <c r="H9072" s="32">
        <v>42</v>
      </c>
      <c r="I9072" s="30" t="s">
        <v>21</v>
      </c>
      <c r="J9072" s="41">
        <v>44726</v>
      </c>
      <c r="K9072" s="30" t="s">
        <v>22</v>
      </c>
    </row>
    <row r="9073" spans="1:11">
      <c r="A9073" s="33" t="s">
        <v>20847</v>
      </c>
      <c r="B9073" s="33" t="s">
        <v>20848</v>
      </c>
      <c r="C9073" s="33" t="s">
        <v>899</v>
      </c>
      <c r="D9073" s="33" t="s">
        <v>17</v>
      </c>
      <c r="E9073" s="33" t="s">
        <v>26</v>
      </c>
      <c r="F9073" s="33" t="s">
        <v>27</v>
      </c>
      <c r="G9073" s="33" t="s">
        <v>20</v>
      </c>
      <c r="H9073" s="35">
        <v>40</v>
      </c>
      <c r="I9073" s="33" t="s">
        <v>21</v>
      </c>
      <c r="J9073" s="42">
        <v>44873</v>
      </c>
      <c r="K9073" s="33" t="s">
        <v>22</v>
      </c>
    </row>
    <row r="9074" spans="1:11">
      <c r="A9074" s="30" t="s">
        <v>20849</v>
      </c>
      <c r="B9074" s="30" t="s">
        <v>20850</v>
      </c>
      <c r="C9074" s="30" t="s">
        <v>20851</v>
      </c>
      <c r="D9074" s="30" t="s">
        <v>17</v>
      </c>
      <c r="E9074" s="30" t="s">
        <v>18</v>
      </c>
      <c r="F9074" s="30" t="s">
        <v>19</v>
      </c>
      <c r="G9074" s="30" t="s">
        <v>20</v>
      </c>
      <c r="H9074" s="32">
        <v>479</v>
      </c>
      <c r="I9074" s="30" t="s">
        <v>21</v>
      </c>
      <c r="J9074" s="41">
        <v>44705</v>
      </c>
      <c r="K9074" s="30" t="s">
        <v>22</v>
      </c>
    </row>
    <row r="9075" spans="1:11">
      <c r="A9075" s="33" t="s">
        <v>20852</v>
      </c>
      <c r="B9075" s="33" t="s">
        <v>20853</v>
      </c>
      <c r="C9075" s="33" t="s">
        <v>5805</v>
      </c>
      <c r="D9075" s="33" t="s">
        <v>17</v>
      </c>
      <c r="E9075" s="33" t="s">
        <v>31</v>
      </c>
      <c r="F9075" s="33" t="s">
        <v>32</v>
      </c>
      <c r="G9075" s="33" t="s">
        <v>20</v>
      </c>
      <c r="H9075" s="35">
        <v>196</v>
      </c>
      <c r="I9075" s="33" t="s">
        <v>21</v>
      </c>
      <c r="J9075" s="42">
        <v>44740</v>
      </c>
      <c r="K9075" s="33" t="s">
        <v>22</v>
      </c>
    </row>
    <row r="9076" spans="1:11">
      <c r="A9076" s="30" t="s">
        <v>20854</v>
      </c>
      <c r="B9076" s="30" t="s">
        <v>17585</v>
      </c>
      <c r="C9076" s="30" t="s">
        <v>14488</v>
      </c>
      <c r="D9076" s="30" t="s">
        <v>17</v>
      </c>
      <c r="E9076" s="30" t="s">
        <v>31</v>
      </c>
      <c r="F9076" s="30" t="s">
        <v>32</v>
      </c>
      <c r="G9076" s="30" t="s">
        <v>50</v>
      </c>
      <c r="H9076" s="32">
        <v>30</v>
      </c>
      <c r="I9076" s="30" t="s">
        <v>51</v>
      </c>
      <c r="J9076" s="41">
        <v>44582</v>
      </c>
      <c r="K9076" s="30" t="s">
        <v>22</v>
      </c>
    </row>
    <row r="9077" spans="1:11">
      <c r="A9077" s="33" t="s">
        <v>20855</v>
      </c>
      <c r="B9077" s="33" t="s">
        <v>20856</v>
      </c>
      <c r="C9077" s="33" t="s">
        <v>149</v>
      </c>
      <c r="D9077" s="33" t="s">
        <v>17</v>
      </c>
      <c r="E9077" s="33" t="s">
        <v>26</v>
      </c>
      <c r="F9077" s="33" t="s">
        <v>27</v>
      </c>
      <c r="G9077" s="33" t="s">
        <v>140</v>
      </c>
      <c r="H9077" s="35">
        <v>153</v>
      </c>
      <c r="I9077" s="33" t="s">
        <v>51</v>
      </c>
      <c r="J9077" s="42">
        <v>44796</v>
      </c>
      <c r="K9077" s="33" t="s">
        <v>22</v>
      </c>
    </row>
    <row r="9078" spans="1:11">
      <c r="A9078" s="30" t="s">
        <v>20857</v>
      </c>
      <c r="B9078" s="30" t="s">
        <v>20858</v>
      </c>
      <c r="C9078" s="30" t="s">
        <v>1431</v>
      </c>
      <c r="D9078" s="30" t="s">
        <v>17</v>
      </c>
      <c r="E9078" s="30" t="s">
        <v>26</v>
      </c>
      <c r="F9078" s="30" t="s">
        <v>27</v>
      </c>
      <c r="G9078" s="30" t="s">
        <v>20</v>
      </c>
      <c r="H9078" s="32">
        <v>32</v>
      </c>
      <c r="I9078" s="30" t="s">
        <v>21</v>
      </c>
      <c r="J9078" s="41">
        <v>44736</v>
      </c>
      <c r="K9078" s="30" t="s">
        <v>22</v>
      </c>
    </row>
    <row r="9079" spans="1:11">
      <c r="A9079" s="33" t="s">
        <v>20859</v>
      </c>
      <c r="B9079" s="33" t="s">
        <v>20860</v>
      </c>
      <c r="C9079" s="33" t="s">
        <v>4345</v>
      </c>
      <c r="D9079" s="33" t="s">
        <v>17</v>
      </c>
      <c r="E9079" s="33" t="s">
        <v>18</v>
      </c>
      <c r="F9079" s="33" t="s">
        <v>19</v>
      </c>
      <c r="G9079" s="33" t="s">
        <v>2613</v>
      </c>
      <c r="H9079" s="35">
        <v>1400</v>
      </c>
      <c r="I9079" s="33" t="s">
        <v>51</v>
      </c>
      <c r="J9079" s="42">
        <v>44895</v>
      </c>
      <c r="K9079" s="33" t="s">
        <v>22</v>
      </c>
    </row>
    <row r="9080" spans="1:11">
      <c r="A9080" s="30" t="s">
        <v>20861</v>
      </c>
      <c r="B9080" s="30" t="s">
        <v>20862</v>
      </c>
      <c r="C9080" s="30" t="s">
        <v>20863</v>
      </c>
      <c r="D9080" s="30" t="s">
        <v>17</v>
      </c>
      <c r="E9080" s="30" t="s">
        <v>67</v>
      </c>
      <c r="F9080" s="30" t="s">
        <v>68</v>
      </c>
      <c r="G9080" s="30" t="s">
        <v>140</v>
      </c>
      <c r="H9080" s="32">
        <v>159</v>
      </c>
      <c r="I9080" s="30" t="s">
        <v>51</v>
      </c>
      <c r="J9080" s="41">
        <v>44655</v>
      </c>
      <c r="K9080" s="30" t="s">
        <v>22</v>
      </c>
    </row>
    <row r="9081" spans="1:11">
      <c r="A9081" s="33" t="s">
        <v>20864</v>
      </c>
      <c r="B9081" s="33" t="s">
        <v>20865</v>
      </c>
      <c r="C9081" s="33" t="s">
        <v>10658</v>
      </c>
      <c r="D9081" s="33" t="s">
        <v>17</v>
      </c>
      <c r="E9081" s="33" t="s">
        <v>26</v>
      </c>
      <c r="F9081" s="33" t="s">
        <v>27</v>
      </c>
      <c r="G9081" s="33" t="s">
        <v>50</v>
      </c>
      <c r="H9081" s="35">
        <v>80</v>
      </c>
      <c r="I9081" s="33" t="s">
        <v>51</v>
      </c>
      <c r="J9081" s="42">
        <v>44749</v>
      </c>
      <c r="K9081" s="33" t="s">
        <v>22</v>
      </c>
    </row>
    <row r="9082" spans="1:11">
      <c r="A9082" s="30" t="s">
        <v>20866</v>
      </c>
      <c r="B9082" s="30" t="s">
        <v>20867</v>
      </c>
      <c r="C9082" s="30" t="s">
        <v>13050</v>
      </c>
      <c r="D9082" s="30" t="s">
        <v>17</v>
      </c>
      <c r="E9082" s="30" t="s">
        <v>67</v>
      </c>
      <c r="F9082" s="30" t="s">
        <v>68</v>
      </c>
      <c r="G9082" s="30" t="s">
        <v>50</v>
      </c>
      <c r="H9082" s="32">
        <v>140</v>
      </c>
      <c r="I9082" s="30" t="s">
        <v>51</v>
      </c>
      <c r="J9082" s="41">
        <v>44734</v>
      </c>
      <c r="K9082" s="30" t="s">
        <v>22</v>
      </c>
    </row>
    <row r="9083" spans="1:11">
      <c r="A9083" s="33" t="s">
        <v>20868</v>
      </c>
      <c r="B9083" s="33" t="s">
        <v>20869</v>
      </c>
      <c r="C9083" s="33" t="s">
        <v>20870</v>
      </c>
      <c r="D9083" s="33" t="s">
        <v>17</v>
      </c>
      <c r="E9083" s="33" t="s">
        <v>26</v>
      </c>
      <c r="F9083" s="33" t="s">
        <v>27</v>
      </c>
      <c r="G9083" s="33" t="s">
        <v>50</v>
      </c>
      <c r="H9083" s="35">
        <v>50</v>
      </c>
      <c r="I9083" s="33" t="s">
        <v>51</v>
      </c>
      <c r="J9083" s="42">
        <v>44774</v>
      </c>
      <c r="K9083" s="33" t="s">
        <v>22</v>
      </c>
    </row>
    <row r="9084" spans="1:11">
      <c r="A9084" s="30" t="s">
        <v>20871</v>
      </c>
      <c r="B9084" s="30" t="s">
        <v>20872</v>
      </c>
      <c r="C9084" s="30" t="s">
        <v>2264</v>
      </c>
      <c r="D9084" s="30" t="s">
        <v>17</v>
      </c>
      <c r="E9084" s="30" t="s">
        <v>45</v>
      </c>
      <c r="F9084" s="30" t="s">
        <v>46</v>
      </c>
      <c r="G9084" s="30" t="s">
        <v>112</v>
      </c>
      <c r="H9084" s="32">
        <v>0</v>
      </c>
      <c r="I9084" s="30" t="s">
        <v>21</v>
      </c>
      <c r="J9084" s="41">
        <v>44839</v>
      </c>
      <c r="K9084" s="30" t="s">
        <v>22</v>
      </c>
    </row>
    <row r="9085" spans="1:11">
      <c r="A9085" s="33" t="s">
        <v>20873</v>
      </c>
      <c r="B9085" s="33" t="s">
        <v>20874</v>
      </c>
      <c r="C9085" s="33" t="s">
        <v>20875</v>
      </c>
      <c r="D9085" s="33" t="s">
        <v>17</v>
      </c>
      <c r="E9085" s="33" t="s">
        <v>67</v>
      </c>
      <c r="F9085" s="33" t="s">
        <v>68</v>
      </c>
      <c r="G9085" s="33" t="s">
        <v>158</v>
      </c>
      <c r="H9085" s="35">
        <v>75</v>
      </c>
      <c r="I9085" s="33" t="s">
        <v>21</v>
      </c>
      <c r="J9085" s="42">
        <v>44760</v>
      </c>
      <c r="K9085" s="33" t="s">
        <v>22</v>
      </c>
    </row>
    <row r="9086" spans="1:11">
      <c r="A9086" s="30" t="s">
        <v>20876</v>
      </c>
      <c r="B9086" s="30" t="s">
        <v>20877</v>
      </c>
      <c r="C9086" s="30" t="s">
        <v>20878</v>
      </c>
      <c r="D9086" s="30" t="s">
        <v>17</v>
      </c>
      <c r="E9086" s="30" t="s">
        <v>18</v>
      </c>
      <c r="F9086" s="30" t="s">
        <v>19</v>
      </c>
      <c r="G9086" s="30" t="s">
        <v>140</v>
      </c>
      <c r="H9086" s="32">
        <v>286</v>
      </c>
      <c r="I9086" s="30" t="s">
        <v>51</v>
      </c>
      <c r="J9086" s="41">
        <v>44711</v>
      </c>
      <c r="K9086" s="30" t="s">
        <v>22</v>
      </c>
    </row>
    <row r="9087" spans="1:11">
      <c r="A9087" s="33" t="s">
        <v>20879</v>
      </c>
      <c r="B9087" s="33" t="s">
        <v>20880</v>
      </c>
      <c r="C9087" s="33" t="s">
        <v>1391</v>
      </c>
      <c r="D9087" s="33" t="s">
        <v>17</v>
      </c>
      <c r="E9087" s="33" t="s">
        <v>18</v>
      </c>
      <c r="F9087" s="33" t="s">
        <v>19</v>
      </c>
      <c r="G9087" s="33" t="s">
        <v>20</v>
      </c>
      <c r="H9087" s="35">
        <v>1340</v>
      </c>
      <c r="I9087" s="33" t="s">
        <v>21</v>
      </c>
      <c r="J9087" s="42">
        <v>44706</v>
      </c>
      <c r="K9087" s="33" t="s">
        <v>22</v>
      </c>
    </row>
    <row r="9088" spans="1:11">
      <c r="A9088" s="30" t="s">
        <v>20881</v>
      </c>
      <c r="B9088" s="30" t="s">
        <v>20882</v>
      </c>
      <c r="C9088" s="30" t="s">
        <v>899</v>
      </c>
      <c r="D9088" s="30" t="s">
        <v>17</v>
      </c>
      <c r="E9088" s="30" t="s">
        <v>26</v>
      </c>
      <c r="F9088" s="30" t="s">
        <v>27</v>
      </c>
      <c r="G9088" s="30" t="s">
        <v>20</v>
      </c>
      <c r="H9088" s="32">
        <v>6</v>
      </c>
      <c r="I9088" s="30" t="s">
        <v>21</v>
      </c>
      <c r="J9088" s="41">
        <v>44880</v>
      </c>
      <c r="K9088" s="30" t="s">
        <v>22</v>
      </c>
    </row>
    <row r="9089" spans="1:11">
      <c r="A9089" s="33" t="s">
        <v>20883</v>
      </c>
      <c r="B9089" s="33" t="s">
        <v>20884</v>
      </c>
      <c r="C9089" s="33" t="s">
        <v>20885</v>
      </c>
      <c r="D9089" s="33" t="s">
        <v>17</v>
      </c>
      <c r="E9089" s="33" t="s">
        <v>26</v>
      </c>
      <c r="F9089" s="33" t="s">
        <v>27</v>
      </c>
      <c r="G9089" s="33" t="s">
        <v>20</v>
      </c>
      <c r="H9089" s="35">
        <v>150</v>
      </c>
      <c r="I9089" s="33" t="s">
        <v>21</v>
      </c>
      <c r="J9089" s="42">
        <v>44774</v>
      </c>
      <c r="K9089" s="33" t="s">
        <v>22</v>
      </c>
    </row>
    <row r="9090" spans="1:11">
      <c r="A9090" s="30" t="s">
        <v>20886</v>
      </c>
      <c r="B9090" s="30" t="s">
        <v>20887</v>
      </c>
      <c r="C9090" s="30" t="s">
        <v>20888</v>
      </c>
      <c r="D9090" s="30" t="s">
        <v>17</v>
      </c>
      <c r="E9090" s="30" t="s">
        <v>18</v>
      </c>
      <c r="F9090" s="30" t="s">
        <v>19</v>
      </c>
      <c r="G9090" s="30" t="s">
        <v>158</v>
      </c>
      <c r="H9090" s="32">
        <v>321</v>
      </c>
      <c r="I9090" s="30" t="s">
        <v>21</v>
      </c>
      <c r="J9090" s="41">
        <v>44700</v>
      </c>
      <c r="K9090" s="30" t="s">
        <v>22</v>
      </c>
    </row>
    <row r="9091" spans="1:11">
      <c r="A9091" s="33" t="s">
        <v>20889</v>
      </c>
      <c r="B9091" s="33" t="s">
        <v>20890</v>
      </c>
      <c r="C9091" s="33" t="s">
        <v>20891</v>
      </c>
      <c r="D9091" s="33" t="s">
        <v>17</v>
      </c>
      <c r="E9091" s="33" t="s">
        <v>18</v>
      </c>
      <c r="F9091" s="33" t="s">
        <v>19</v>
      </c>
      <c r="G9091" s="33" t="s">
        <v>20</v>
      </c>
      <c r="H9091" s="35">
        <v>374</v>
      </c>
      <c r="I9091" s="33" t="s">
        <v>21</v>
      </c>
      <c r="J9091" s="42">
        <v>44886</v>
      </c>
      <c r="K9091" s="33" t="s">
        <v>22</v>
      </c>
    </row>
    <row r="9092" spans="1:11">
      <c r="A9092" s="30" t="s">
        <v>20892</v>
      </c>
      <c r="B9092" s="30" t="s">
        <v>20893</v>
      </c>
      <c r="C9092" s="30" t="s">
        <v>149</v>
      </c>
      <c r="D9092" s="30" t="s">
        <v>17</v>
      </c>
      <c r="E9092" s="30" t="s">
        <v>18</v>
      </c>
      <c r="F9092" s="30" t="s">
        <v>19</v>
      </c>
      <c r="G9092" s="30" t="s">
        <v>106</v>
      </c>
      <c r="H9092" s="32">
        <v>1</v>
      </c>
      <c r="I9092" s="30" t="s">
        <v>21</v>
      </c>
      <c r="J9092" s="41">
        <v>44567</v>
      </c>
      <c r="K9092" s="30" t="s">
        <v>22</v>
      </c>
    </row>
    <row r="9093" spans="1:11">
      <c r="A9093" s="33" t="s">
        <v>20894</v>
      </c>
      <c r="B9093" s="33" t="s">
        <v>20895</v>
      </c>
      <c r="C9093" s="33" t="s">
        <v>1504</v>
      </c>
      <c r="D9093" s="33" t="s">
        <v>17</v>
      </c>
      <c r="E9093" s="33" t="s">
        <v>18</v>
      </c>
      <c r="F9093" s="33" t="s">
        <v>19</v>
      </c>
      <c r="G9093" s="33" t="s">
        <v>50</v>
      </c>
      <c r="H9093" s="35">
        <v>346</v>
      </c>
      <c r="I9093" s="33" t="s">
        <v>51</v>
      </c>
      <c r="J9093" s="42">
        <v>44620</v>
      </c>
      <c r="K9093" s="33" t="s">
        <v>22</v>
      </c>
    </row>
    <row r="9094" spans="1:11">
      <c r="A9094" s="30" t="s">
        <v>20896</v>
      </c>
      <c r="B9094" s="30" t="s">
        <v>20897</v>
      </c>
      <c r="C9094" s="30" t="s">
        <v>2006</v>
      </c>
      <c r="D9094" s="30" t="s">
        <v>17</v>
      </c>
      <c r="E9094" s="30" t="s">
        <v>31</v>
      </c>
      <c r="F9094" s="30" t="s">
        <v>32</v>
      </c>
      <c r="G9094" s="30" t="s">
        <v>20</v>
      </c>
      <c r="H9094" s="32">
        <v>25</v>
      </c>
      <c r="I9094" s="30" t="s">
        <v>21</v>
      </c>
      <c r="J9094" s="41">
        <v>44909</v>
      </c>
      <c r="K9094" s="30" t="s">
        <v>22</v>
      </c>
    </row>
    <row r="9095" spans="1:11">
      <c r="A9095" s="33" t="s">
        <v>20898</v>
      </c>
      <c r="B9095" s="33" t="s">
        <v>20899</v>
      </c>
      <c r="C9095" s="33" t="s">
        <v>17901</v>
      </c>
      <c r="D9095" s="33" t="s">
        <v>17</v>
      </c>
      <c r="E9095" s="33" t="s">
        <v>45</v>
      </c>
      <c r="F9095" s="33" t="s">
        <v>46</v>
      </c>
      <c r="G9095" s="33" t="s">
        <v>50</v>
      </c>
      <c r="H9095" s="35">
        <v>50</v>
      </c>
      <c r="I9095" s="33" t="s">
        <v>51</v>
      </c>
      <c r="J9095" s="42">
        <v>44824</v>
      </c>
      <c r="K9095" s="33" t="s">
        <v>22</v>
      </c>
    </row>
    <row r="9096" spans="1:11">
      <c r="A9096" s="30" t="s">
        <v>20900</v>
      </c>
      <c r="B9096" s="30" t="s">
        <v>20901</v>
      </c>
      <c r="C9096" s="30" t="s">
        <v>6358</v>
      </c>
      <c r="D9096" s="30" t="s">
        <v>17</v>
      </c>
      <c r="E9096" s="30" t="s">
        <v>45</v>
      </c>
      <c r="F9096" s="30" t="s">
        <v>46</v>
      </c>
      <c r="G9096" s="30" t="s">
        <v>50</v>
      </c>
      <c r="H9096" s="32">
        <v>16</v>
      </c>
      <c r="I9096" s="30" t="s">
        <v>21</v>
      </c>
      <c r="J9096" s="41">
        <v>44579</v>
      </c>
      <c r="K9096" s="30" t="s">
        <v>22</v>
      </c>
    </row>
    <row r="9097" spans="1:11">
      <c r="A9097" s="33" t="s">
        <v>20902</v>
      </c>
      <c r="B9097" s="33" t="s">
        <v>20903</v>
      </c>
      <c r="C9097" s="33" t="s">
        <v>11366</v>
      </c>
      <c r="D9097" s="33" t="s">
        <v>17</v>
      </c>
      <c r="E9097" s="33" t="s">
        <v>31</v>
      </c>
      <c r="F9097" s="33" t="s">
        <v>32</v>
      </c>
      <c r="G9097" s="33" t="s">
        <v>106</v>
      </c>
      <c r="H9097" s="35">
        <v>4</v>
      </c>
      <c r="I9097" s="33" t="s">
        <v>21</v>
      </c>
      <c r="J9097" s="42">
        <v>44789</v>
      </c>
      <c r="K9097" s="33" t="s">
        <v>22</v>
      </c>
    </row>
    <row r="9098" spans="1:11">
      <c r="A9098" s="30" t="s">
        <v>20904</v>
      </c>
      <c r="B9098" s="30" t="s">
        <v>20905</v>
      </c>
      <c r="C9098" s="30" t="s">
        <v>985</v>
      </c>
      <c r="D9098" s="30" t="s">
        <v>17</v>
      </c>
      <c r="E9098" s="30" t="s">
        <v>31</v>
      </c>
      <c r="F9098" s="30" t="s">
        <v>32</v>
      </c>
      <c r="G9098" s="30" t="s">
        <v>106</v>
      </c>
      <c r="H9098" s="32">
        <v>21</v>
      </c>
      <c r="I9098" s="30" t="s">
        <v>21</v>
      </c>
      <c r="J9098" s="41">
        <v>44680</v>
      </c>
      <c r="K9098" s="30" t="s">
        <v>22</v>
      </c>
    </row>
    <row r="9099" spans="1:11">
      <c r="A9099" s="33" t="s">
        <v>20906</v>
      </c>
      <c r="B9099" s="33" t="s">
        <v>20907</v>
      </c>
      <c r="C9099" s="33" t="s">
        <v>20908</v>
      </c>
      <c r="D9099" s="33" t="s">
        <v>17</v>
      </c>
      <c r="E9099" s="33" t="s">
        <v>26</v>
      </c>
      <c r="F9099" s="33" t="s">
        <v>27</v>
      </c>
      <c r="G9099" s="33" t="s">
        <v>20</v>
      </c>
      <c r="H9099" s="35">
        <v>99</v>
      </c>
      <c r="I9099" s="33" t="s">
        <v>21</v>
      </c>
      <c r="J9099" s="42">
        <v>44682</v>
      </c>
      <c r="K9099" s="33" t="s">
        <v>22</v>
      </c>
    </row>
    <row r="9100" spans="1:11">
      <c r="A9100" s="30" t="s">
        <v>20909</v>
      </c>
      <c r="B9100" s="30" t="s">
        <v>20910</v>
      </c>
      <c r="C9100" s="30" t="s">
        <v>154</v>
      </c>
      <c r="D9100" s="30" t="s">
        <v>17</v>
      </c>
      <c r="E9100" s="30" t="s">
        <v>26</v>
      </c>
      <c r="F9100" s="30" t="s">
        <v>27</v>
      </c>
      <c r="G9100" s="30" t="s">
        <v>112</v>
      </c>
      <c r="H9100" s="32">
        <v>0</v>
      </c>
      <c r="I9100" s="30" t="s">
        <v>21</v>
      </c>
      <c r="J9100" s="41">
        <v>44609</v>
      </c>
      <c r="K9100" s="30" t="s">
        <v>22</v>
      </c>
    </row>
    <row r="9101" spans="1:11">
      <c r="A9101" s="33" t="s">
        <v>20911</v>
      </c>
      <c r="B9101" s="33" t="s">
        <v>20912</v>
      </c>
      <c r="C9101" s="33" t="s">
        <v>379</v>
      </c>
      <c r="D9101" s="33" t="s">
        <v>17</v>
      </c>
      <c r="E9101" s="33" t="s">
        <v>31</v>
      </c>
      <c r="F9101" s="33" t="s">
        <v>32</v>
      </c>
      <c r="G9101" s="33" t="s">
        <v>50</v>
      </c>
      <c r="H9101" s="35">
        <v>60</v>
      </c>
      <c r="I9101" s="33" t="s">
        <v>51</v>
      </c>
      <c r="J9101" s="42">
        <v>44774</v>
      </c>
      <c r="K9101" s="33" t="s">
        <v>22</v>
      </c>
    </row>
    <row r="9102" spans="1:11">
      <c r="A9102" s="30" t="s">
        <v>20913</v>
      </c>
      <c r="B9102" s="30" t="s">
        <v>20914</v>
      </c>
      <c r="C9102" s="30" t="s">
        <v>124</v>
      </c>
      <c r="D9102" s="30" t="s">
        <v>17</v>
      </c>
      <c r="E9102" s="30" t="s">
        <v>31</v>
      </c>
      <c r="F9102" s="30" t="s">
        <v>32</v>
      </c>
      <c r="G9102" s="30" t="s">
        <v>20</v>
      </c>
      <c r="H9102" s="32">
        <v>226</v>
      </c>
      <c r="I9102" s="30" t="s">
        <v>21</v>
      </c>
      <c r="J9102" s="41">
        <v>44901</v>
      </c>
      <c r="K9102" s="30" t="s">
        <v>22</v>
      </c>
    </row>
    <row r="9103" spans="1:11">
      <c r="A9103" s="33" t="s">
        <v>20915</v>
      </c>
      <c r="B9103" s="33" t="s">
        <v>20916</v>
      </c>
      <c r="C9103" s="33" t="s">
        <v>6505</v>
      </c>
      <c r="D9103" s="33" t="s">
        <v>17</v>
      </c>
      <c r="E9103" s="33" t="s">
        <v>26</v>
      </c>
      <c r="F9103" s="33" t="s">
        <v>27</v>
      </c>
      <c r="G9103" s="33" t="s">
        <v>20</v>
      </c>
      <c r="H9103" s="35">
        <v>20</v>
      </c>
      <c r="I9103" s="33" t="s">
        <v>21</v>
      </c>
      <c r="J9103" s="42">
        <v>44620</v>
      </c>
      <c r="K9103" s="33" t="s">
        <v>22</v>
      </c>
    </row>
    <row r="9104" spans="1:11">
      <c r="A9104" s="30" t="s">
        <v>20917</v>
      </c>
      <c r="B9104" s="30" t="s">
        <v>20918</v>
      </c>
      <c r="C9104" s="30" t="s">
        <v>20919</v>
      </c>
      <c r="D9104" s="30" t="s">
        <v>17</v>
      </c>
      <c r="E9104" s="30" t="s">
        <v>26</v>
      </c>
      <c r="F9104" s="30" t="s">
        <v>27</v>
      </c>
      <c r="G9104" s="30" t="s">
        <v>20</v>
      </c>
      <c r="H9104" s="32">
        <v>80</v>
      </c>
      <c r="I9104" s="30" t="s">
        <v>21</v>
      </c>
      <c r="J9104" s="41">
        <v>44671</v>
      </c>
      <c r="K9104" s="30" t="s">
        <v>22</v>
      </c>
    </row>
    <row r="9105" spans="1:11">
      <c r="A9105" s="33" t="s">
        <v>20920</v>
      </c>
      <c r="B9105" s="33" t="s">
        <v>20921</v>
      </c>
      <c r="C9105" s="33" t="s">
        <v>7296</v>
      </c>
      <c r="D9105" s="33" t="s">
        <v>17</v>
      </c>
      <c r="E9105" s="33" t="s">
        <v>31</v>
      </c>
      <c r="F9105" s="33" t="s">
        <v>32</v>
      </c>
      <c r="G9105" s="33" t="s">
        <v>20</v>
      </c>
      <c r="H9105" s="35">
        <v>88</v>
      </c>
      <c r="I9105" s="33" t="s">
        <v>21</v>
      </c>
      <c r="J9105" s="42">
        <v>44901</v>
      </c>
      <c r="K9105" s="33" t="s">
        <v>22</v>
      </c>
    </row>
    <row r="9106" spans="1:11">
      <c r="A9106" s="30" t="s">
        <v>20922</v>
      </c>
      <c r="B9106" s="30" t="s">
        <v>20923</v>
      </c>
      <c r="C9106" s="30" t="s">
        <v>7667</v>
      </c>
      <c r="D9106" s="30" t="s">
        <v>17</v>
      </c>
      <c r="E9106" s="30" t="s">
        <v>31</v>
      </c>
      <c r="F9106" s="30" t="s">
        <v>32</v>
      </c>
      <c r="G9106" s="30" t="s">
        <v>140</v>
      </c>
      <c r="H9106" s="32">
        <v>310</v>
      </c>
      <c r="I9106" s="30" t="s">
        <v>51</v>
      </c>
      <c r="J9106" s="41">
        <v>44609</v>
      </c>
      <c r="K9106" s="30" t="s">
        <v>22</v>
      </c>
    </row>
    <row r="9107" spans="1:11">
      <c r="A9107" s="33" t="s">
        <v>20924</v>
      </c>
      <c r="B9107" s="33" t="s">
        <v>20925</v>
      </c>
      <c r="C9107" s="33" t="s">
        <v>11899</v>
      </c>
      <c r="D9107" s="33" t="s">
        <v>17</v>
      </c>
      <c r="E9107" s="33" t="s">
        <v>26</v>
      </c>
      <c r="F9107" s="33" t="s">
        <v>27</v>
      </c>
      <c r="G9107" s="33" t="s">
        <v>50</v>
      </c>
      <c r="H9107" s="35">
        <v>240</v>
      </c>
      <c r="I9107" s="33" t="s">
        <v>51</v>
      </c>
      <c r="J9107" s="42">
        <v>44614</v>
      </c>
      <c r="K9107" s="33" t="s">
        <v>22</v>
      </c>
    </row>
    <row r="9108" spans="1:11">
      <c r="A9108" s="30" t="s">
        <v>20926</v>
      </c>
      <c r="B9108" s="30" t="s">
        <v>20927</v>
      </c>
      <c r="C9108" s="30" t="s">
        <v>2196</v>
      </c>
      <c r="D9108" s="30" t="s">
        <v>17</v>
      </c>
      <c r="E9108" s="30" t="s">
        <v>26</v>
      </c>
      <c r="F9108" s="30" t="s">
        <v>27</v>
      </c>
      <c r="G9108" s="30" t="s">
        <v>112</v>
      </c>
      <c r="H9108" s="32">
        <v>0</v>
      </c>
      <c r="I9108" s="30" t="s">
        <v>21</v>
      </c>
      <c r="J9108" s="41">
        <v>44607</v>
      </c>
      <c r="K9108" s="30" t="s">
        <v>22</v>
      </c>
    </row>
    <row r="9109" spans="1:11">
      <c r="A9109" s="33" t="s">
        <v>20928</v>
      </c>
      <c r="B9109" s="33" t="s">
        <v>20929</v>
      </c>
      <c r="C9109" s="33" t="s">
        <v>7067</v>
      </c>
      <c r="D9109" s="33" t="s">
        <v>17</v>
      </c>
      <c r="E9109" s="33" t="s">
        <v>31</v>
      </c>
      <c r="F9109" s="33" t="s">
        <v>32</v>
      </c>
      <c r="G9109" s="33" t="s">
        <v>140</v>
      </c>
      <c r="H9109" s="35">
        <v>95</v>
      </c>
      <c r="I9109" s="33" t="s">
        <v>51</v>
      </c>
      <c r="J9109" s="42">
        <v>44704</v>
      </c>
      <c r="K9109" s="33" t="s">
        <v>22</v>
      </c>
    </row>
    <row r="9110" spans="1:11">
      <c r="A9110" s="30" t="s">
        <v>20930</v>
      </c>
      <c r="B9110" s="30" t="s">
        <v>20931</v>
      </c>
      <c r="C9110" s="30" t="s">
        <v>216</v>
      </c>
      <c r="D9110" s="30" t="s">
        <v>17</v>
      </c>
      <c r="E9110" s="30" t="s">
        <v>26</v>
      </c>
      <c r="F9110" s="30" t="s">
        <v>27</v>
      </c>
      <c r="G9110" s="30" t="s">
        <v>106</v>
      </c>
      <c r="H9110" s="32">
        <v>13</v>
      </c>
      <c r="I9110" s="30" t="s">
        <v>21</v>
      </c>
      <c r="J9110" s="41">
        <v>44620</v>
      </c>
      <c r="K9110" s="30" t="s">
        <v>22</v>
      </c>
    </row>
    <row r="9111" spans="1:11">
      <c r="A9111" s="33" t="s">
        <v>20932</v>
      </c>
      <c r="B9111" s="33" t="s">
        <v>20933</v>
      </c>
      <c r="C9111" s="33" t="s">
        <v>75</v>
      </c>
      <c r="D9111" s="33" t="s">
        <v>17</v>
      </c>
      <c r="E9111" s="33" t="s">
        <v>26</v>
      </c>
      <c r="F9111" s="33" t="s">
        <v>27</v>
      </c>
      <c r="G9111" s="33" t="s">
        <v>20</v>
      </c>
      <c r="H9111" s="35">
        <v>8</v>
      </c>
      <c r="I9111" s="33" t="s">
        <v>21</v>
      </c>
      <c r="J9111" s="42">
        <v>44693</v>
      </c>
      <c r="K9111" s="33" t="s">
        <v>22</v>
      </c>
    </row>
    <row r="9112" spans="1:11">
      <c r="A9112" s="30" t="s">
        <v>20934</v>
      </c>
      <c r="B9112" s="30" t="s">
        <v>20935</v>
      </c>
      <c r="C9112" s="30" t="s">
        <v>1090</v>
      </c>
      <c r="D9112" s="30" t="s">
        <v>17</v>
      </c>
      <c r="E9112" s="30" t="s">
        <v>31</v>
      </c>
      <c r="F9112" s="30" t="s">
        <v>32</v>
      </c>
      <c r="G9112" s="30" t="s">
        <v>50</v>
      </c>
      <c r="H9112" s="32">
        <v>191</v>
      </c>
      <c r="I9112" s="30" t="s">
        <v>51</v>
      </c>
      <c r="J9112" s="41">
        <v>44682</v>
      </c>
      <c r="K9112" s="30" t="s">
        <v>22</v>
      </c>
    </row>
    <row r="9113" spans="1:11">
      <c r="A9113" s="33" t="s">
        <v>20936</v>
      </c>
      <c r="B9113" s="33" t="s">
        <v>20937</v>
      </c>
      <c r="C9113" s="33" t="s">
        <v>15917</v>
      </c>
      <c r="D9113" s="33" t="s">
        <v>17</v>
      </c>
      <c r="E9113" s="33" t="s">
        <v>26</v>
      </c>
      <c r="F9113" s="33" t="s">
        <v>27</v>
      </c>
      <c r="G9113" s="33" t="s">
        <v>20</v>
      </c>
      <c r="H9113" s="35">
        <v>61</v>
      </c>
      <c r="I9113" s="33" t="s">
        <v>21</v>
      </c>
      <c r="J9113" s="42">
        <v>44742</v>
      </c>
      <c r="K9113" s="33" t="s">
        <v>22</v>
      </c>
    </row>
    <row r="9114" spans="1:11">
      <c r="A9114" s="30" t="s">
        <v>20938</v>
      </c>
      <c r="B9114" s="30" t="s">
        <v>20939</v>
      </c>
      <c r="C9114" s="30" t="s">
        <v>9774</v>
      </c>
      <c r="D9114" s="30" t="s">
        <v>17</v>
      </c>
      <c r="E9114" s="30" t="s">
        <v>26</v>
      </c>
      <c r="F9114" s="30" t="s">
        <v>27</v>
      </c>
      <c r="G9114" s="30" t="s">
        <v>50</v>
      </c>
      <c r="H9114" s="32">
        <v>36</v>
      </c>
      <c r="I9114" s="30" t="s">
        <v>51</v>
      </c>
      <c r="J9114" s="41">
        <v>44672</v>
      </c>
      <c r="K9114" s="30" t="s">
        <v>22</v>
      </c>
    </row>
    <row r="9115" spans="1:11">
      <c r="A9115" s="33" t="s">
        <v>20940</v>
      </c>
      <c r="B9115" s="33" t="s">
        <v>20941</v>
      </c>
      <c r="C9115" s="33" t="s">
        <v>3243</v>
      </c>
      <c r="D9115" s="33" t="s">
        <v>17</v>
      </c>
      <c r="E9115" s="33" t="s">
        <v>31</v>
      </c>
      <c r="F9115" s="33" t="s">
        <v>32</v>
      </c>
      <c r="G9115" s="33" t="s">
        <v>20</v>
      </c>
      <c r="H9115" s="35">
        <v>40</v>
      </c>
      <c r="I9115" s="33" t="s">
        <v>21</v>
      </c>
      <c r="J9115" s="42">
        <v>44798</v>
      </c>
      <c r="K9115" s="33" t="s">
        <v>22</v>
      </c>
    </row>
    <row r="9116" spans="1:11">
      <c r="A9116" s="30" t="s">
        <v>20942</v>
      </c>
      <c r="B9116" s="30" t="s">
        <v>20943</v>
      </c>
      <c r="C9116" s="30" t="s">
        <v>4476</v>
      </c>
      <c r="D9116" s="30" t="s">
        <v>17</v>
      </c>
      <c r="E9116" s="30" t="s">
        <v>31</v>
      </c>
      <c r="F9116" s="30" t="s">
        <v>32</v>
      </c>
      <c r="G9116" s="30" t="s">
        <v>50</v>
      </c>
      <c r="H9116" s="32">
        <v>25</v>
      </c>
      <c r="I9116" s="30" t="s">
        <v>51</v>
      </c>
      <c r="J9116" s="41">
        <v>44839</v>
      </c>
      <c r="K9116" s="30" t="s">
        <v>22</v>
      </c>
    </row>
    <row r="9117" spans="1:11">
      <c r="A9117" s="33" t="s">
        <v>20944</v>
      </c>
      <c r="B9117" s="33" t="s">
        <v>20945</v>
      </c>
      <c r="C9117" s="33" t="s">
        <v>379</v>
      </c>
      <c r="D9117" s="33" t="s">
        <v>17</v>
      </c>
      <c r="E9117" s="33" t="s">
        <v>18</v>
      </c>
      <c r="F9117" s="33" t="s">
        <v>19</v>
      </c>
      <c r="G9117" s="33" t="s">
        <v>158</v>
      </c>
      <c r="H9117" s="35">
        <v>200</v>
      </c>
      <c r="I9117" s="33" t="s">
        <v>51</v>
      </c>
      <c r="J9117" s="42">
        <v>44883</v>
      </c>
      <c r="K9117" s="33" t="s">
        <v>22</v>
      </c>
    </row>
    <row r="9118" spans="1:11">
      <c r="A9118" s="30" t="s">
        <v>20946</v>
      </c>
      <c r="B9118" s="30" t="s">
        <v>20947</v>
      </c>
      <c r="C9118" s="30" t="s">
        <v>14483</v>
      </c>
      <c r="D9118" s="30" t="s">
        <v>17</v>
      </c>
      <c r="E9118" s="30" t="s">
        <v>18</v>
      </c>
      <c r="F9118" s="30" t="s">
        <v>19</v>
      </c>
      <c r="G9118" s="30" t="s">
        <v>20</v>
      </c>
      <c r="H9118" s="32">
        <v>137</v>
      </c>
      <c r="I9118" s="30" t="s">
        <v>21</v>
      </c>
      <c r="J9118" s="41">
        <v>44754</v>
      </c>
      <c r="K9118" s="30" t="s">
        <v>22</v>
      </c>
    </row>
    <row r="9119" spans="1:11">
      <c r="A9119" s="33" t="s">
        <v>20948</v>
      </c>
      <c r="B9119" s="33" t="s">
        <v>20949</v>
      </c>
      <c r="C9119" s="33" t="s">
        <v>20950</v>
      </c>
      <c r="D9119" s="33" t="s">
        <v>17</v>
      </c>
      <c r="E9119" s="33" t="s">
        <v>18</v>
      </c>
      <c r="F9119" s="33" t="s">
        <v>19</v>
      </c>
      <c r="G9119" s="33" t="s">
        <v>50</v>
      </c>
      <c r="H9119" s="35">
        <v>350</v>
      </c>
      <c r="I9119" s="33" t="s">
        <v>51</v>
      </c>
      <c r="J9119" s="42">
        <v>44690</v>
      </c>
      <c r="K9119" s="33" t="s">
        <v>22</v>
      </c>
    </row>
    <row r="9120" spans="1:11">
      <c r="A9120" s="30" t="s">
        <v>20951</v>
      </c>
      <c r="B9120" s="30" t="s">
        <v>20952</v>
      </c>
      <c r="C9120" s="30" t="s">
        <v>3647</v>
      </c>
      <c r="D9120" s="30" t="s">
        <v>17</v>
      </c>
      <c r="E9120" s="30" t="s">
        <v>18</v>
      </c>
      <c r="F9120" s="30" t="s">
        <v>19</v>
      </c>
      <c r="G9120" s="30" t="s">
        <v>20</v>
      </c>
      <c r="H9120" s="32">
        <v>1377</v>
      </c>
      <c r="I9120" s="30" t="s">
        <v>21</v>
      </c>
      <c r="J9120" s="41">
        <v>44804</v>
      </c>
      <c r="K9120" s="30" t="s">
        <v>22</v>
      </c>
    </row>
    <row r="9121" spans="1:11">
      <c r="A9121" s="33" t="s">
        <v>20953</v>
      </c>
      <c r="B9121" s="33" t="s">
        <v>20954</v>
      </c>
      <c r="C9121" s="33" t="s">
        <v>647</v>
      </c>
      <c r="D9121" s="33" t="s">
        <v>17</v>
      </c>
      <c r="E9121" s="33" t="s">
        <v>67</v>
      </c>
      <c r="F9121" s="33" t="s">
        <v>68</v>
      </c>
      <c r="G9121" s="33" t="s">
        <v>158</v>
      </c>
      <c r="H9121" s="35">
        <v>60</v>
      </c>
      <c r="I9121" s="33" t="s">
        <v>51</v>
      </c>
      <c r="J9121" s="42">
        <v>44783</v>
      </c>
      <c r="K9121" s="33" t="s">
        <v>22</v>
      </c>
    </row>
    <row r="9122" spans="1:11">
      <c r="A9122" s="30" t="s">
        <v>20955</v>
      </c>
      <c r="B9122" s="30" t="s">
        <v>20956</v>
      </c>
      <c r="C9122" s="30" t="s">
        <v>20576</v>
      </c>
      <c r="D9122" s="30" t="s">
        <v>17</v>
      </c>
      <c r="E9122" s="30" t="s">
        <v>26</v>
      </c>
      <c r="F9122" s="30" t="s">
        <v>27</v>
      </c>
      <c r="G9122" s="30" t="s">
        <v>20</v>
      </c>
      <c r="H9122" s="32">
        <v>78</v>
      </c>
      <c r="I9122" s="30" t="s">
        <v>21</v>
      </c>
      <c r="J9122" s="41">
        <v>44835</v>
      </c>
      <c r="K9122" s="30" t="s">
        <v>22</v>
      </c>
    </row>
    <row r="9123" spans="1:11">
      <c r="A9123" s="33" t="s">
        <v>20957</v>
      </c>
      <c r="B9123" s="33" t="s">
        <v>20958</v>
      </c>
      <c r="C9123" s="33" t="s">
        <v>20959</v>
      </c>
      <c r="D9123" s="33" t="s">
        <v>17</v>
      </c>
      <c r="E9123" s="33" t="s">
        <v>67</v>
      </c>
      <c r="F9123" s="33" t="s">
        <v>68</v>
      </c>
      <c r="G9123" s="33" t="s">
        <v>50</v>
      </c>
      <c r="H9123" s="35">
        <v>50</v>
      </c>
      <c r="I9123" s="33" t="s">
        <v>51</v>
      </c>
      <c r="J9123" s="42">
        <v>44777</v>
      </c>
      <c r="K9123" s="33" t="s">
        <v>22</v>
      </c>
    </row>
    <row r="9124" spans="1:11">
      <c r="A9124" s="30" t="s">
        <v>20960</v>
      </c>
      <c r="B9124" s="30" t="s">
        <v>20961</v>
      </c>
      <c r="C9124" s="30" t="s">
        <v>739</v>
      </c>
      <c r="D9124" s="30" t="s">
        <v>17</v>
      </c>
      <c r="E9124" s="30" t="s">
        <v>26</v>
      </c>
      <c r="F9124" s="30" t="s">
        <v>27</v>
      </c>
      <c r="G9124" s="30" t="s">
        <v>20</v>
      </c>
      <c r="H9124" s="32">
        <v>6</v>
      </c>
      <c r="I9124" s="30" t="s">
        <v>21</v>
      </c>
      <c r="J9124" s="41">
        <v>44571</v>
      </c>
      <c r="K9124" s="30" t="s">
        <v>22</v>
      </c>
    </row>
    <row r="9125" spans="1:11">
      <c r="A9125" s="33" t="s">
        <v>20962</v>
      </c>
      <c r="B9125" s="33" t="s">
        <v>20963</v>
      </c>
      <c r="C9125" s="33" t="s">
        <v>16941</v>
      </c>
      <c r="D9125" s="33" t="s">
        <v>17</v>
      </c>
      <c r="E9125" s="33" t="s">
        <v>31</v>
      </c>
      <c r="F9125" s="33" t="s">
        <v>32</v>
      </c>
      <c r="G9125" s="33" t="s">
        <v>140</v>
      </c>
      <c r="H9125" s="35">
        <v>25</v>
      </c>
      <c r="I9125" s="33" t="s">
        <v>51</v>
      </c>
      <c r="J9125" s="42">
        <v>44865</v>
      </c>
      <c r="K9125" s="33" t="s">
        <v>22</v>
      </c>
    </row>
    <row r="9126" spans="1:11">
      <c r="A9126" s="30" t="s">
        <v>20964</v>
      </c>
      <c r="B9126" s="30" t="s">
        <v>20965</v>
      </c>
      <c r="C9126" s="30" t="s">
        <v>11899</v>
      </c>
      <c r="D9126" s="30" t="s">
        <v>17</v>
      </c>
      <c r="E9126" s="30" t="s">
        <v>31</v>
      </c>
      <c r="F9126" s="30" t="s">
        <v>32</v>
      </c>
      <c r="G9126" s="30" t="s">
        <v>140</v>
      </c>
      <c r="H9126" s="32">
        <v>73</v>
      </c>
      <c r="I9126" s="30" t="s">
        <v>51</v>
      </c>
      <c r="J9126" s="41">
        <v>44747</v>
      </c>
      <c r="K9126" s="30" t="s">
        <v>22</v>
      </c>
    </row>
    <row r="9127" spans="1:11">
      <c r="A9127" s="33" t="s">
        <v>20966</v>
      </c>
      <c r="B9127" s="33" t="s">
        <v>20967</v>
      </c>
      <c r="C9127" s="33" t="s">
        <v>203</v>
      </c>
      <c r="D9127" s="33" t="s">
        <v>17</v>
      </c>
      <c r="E9127" s="33" t="s">
        <v>18</v>
      </c>
      <c r="F9127" s="33" t="s">
        <v>19</v>
      </c>
      <c r="G9127" s="33" t="s">
        <v>158</v>
      </c>
      <c r="H9127" s="35">
        <v>43</v>
      </c>
      <c r="I9127" s="33" t="s">
        <v>21</v>
      </c>
      <c r="J9127" s="42">
        <v>44669</v>
      </c>
      <c r="K9127" s="33" t="s">
        <v>22</v>
      </c>
    </row>
    <row r="9128" spans="1:11">
      <c r="A9128" s="30" t="s">
        <v>20968</v>
      </c>
      <c r="B9128" s="30" t="s">
        <v>20969</v>
      </c>
      <c r="C9128" s="30" t="s">
        <v>96</v>
      </c>
      <c r="D9128" s="30" t="s">
        <v>17</v>
      </c>
      <c r="E9128" s="30" t="s">
        <v>26</v>
      </c>
      <c r="F9128" s="30" t="s">
        <v>27</v>
      </c>
      <c r="G9128" s="30" t="s">
        <v>106</v>
      </c>
      <c r="H9128" s="32">
        <v>15</v>
      </c>
      <c r="I9128" s="30" t="s">
        <v>21</v>
      </c>
      <c r="J9128" s="41">
        <v>44811</v>
      </c>
      <c r="K9128" s="30" t="s">
        <v>22</v>
      </c>
    </row>
    <row r="9129" spans="1:11">
      <c r="A9129" s="33" t="s">
        <v>20970</v>
      </c>
      <c r="B9129" s="33" t="s">
        <v>20971</v>
      </c>
      <c r="C9129" s="33" t="s">
        <v>10459</v>
      </c>
      <c r="D9129" s="33" t="s">
        <v>17</v>
      </c>
      <c r="E9129" s="33" t="s">
        <v>26</v>
      </c>
      <c r="F9129" s="33" t="s">
        <v>27</v>
      </c>
      <c r="G9129" s="33" t="s">
        <v>20</v>
      </c>
      <c r="H9129" s="35">
        <v>43</v>
      </c>
      <c r="I9129" s="33" t="s">
        <v>21</v>
      </c>
      <c r="J9129" s="42">
        <v>44846</v>
      </c>
      <c r="K9129" s="33" t="s">
        <v>22</v>
      </c>
    </row>
    <row r="9130" spans="1:11">
      <c r="A9130" s="30" t="s">
        <v>20972</v>
      </c>
      <c r="B9130" s="30" t="s">
        <v>20973</v>
      </c>
      <c r="C9130" s="30" t="s">
        <v>1090</v>
      </c>
      <c r="D9130" s="30" t="s">
        <v>17</v>
      </c>
      <c r="E9130" s="30" t="s">
        <v>31</v>
      </c>
      <c r="F9130" s="30" t="s">
        <v>32</v>
      </c>
      <c r="G9130" s="30" t="s">
        <v>50</v>
      </c>
      <c r="H9130" s="32">
        <v>83</v>
      </c>
      <c r="I9130" s="30" t="s">
        <v>51</v>
      </c>
      <c r="J9130" s="41">
        <v>44610</v>
      </c>
      <c r="K9130" s="30" t="s">
        <v>22</v>
      </c>
    </row>
    <row r="9131" spans="1:11">
      <c r="A9131" s="33" t="s">
        <v>20974</v>
      </c>
      <c r="B9131" s="33" t="s">
        <v>20975</v>
      </c>
      <c r="C9131" s="33" t="s">
        <v>7246</v>
      </c>
      <c r="D9131" s="33" t="s">
        <v>17</v>
      </c>
      <c r="E9131" s="33" t="s">
        <v>26</v>
      </c>
      <c r="F9131" s="33" t="s">
        <v>27</v>
      </c>
      <c r="G9131" s="33" t="s">
        <v>20</v>
      </c>
      <c r="H9131" s="35">
        <v>27</v>
      </c>
      <c r="I9131" s="33" t="s">
        <v>21</v>
      </c>
      <c r="J9131" s="42">
        <v>44699</v>
      </c>
      <c r="K9131" s="33" t="s">
        <v>22</v>
      </c>
    </row>
    <row r="9132" spans="1:11">
      <c r="A9132" s="30" t="s">
        <v>20976</v>
      </c>
      <c r="B9132" s="30" t="s">
        <v>20977</v>
      </c>
      <c r="C9132" s="30" t="s">
        <v>190</v>
      </c>
      <c r="D9132" s="30" t="s">
        <v>17</v>
      </c>
      <c r="E9132" s="30" t="s">
        <v>212</v>
      </c>
      <c r="F9132" s="30" t="s">
        <v>213</v>
      </c>
      <c r="G9132" s="30" t="s">
        <v>20</v>
      </c>
      <c r="H9132" s="32">
        <v>45</v>
      </c>
      <c r="I9132" s="30" t="s">
        <v>21</v>
      </c>
      <c r="J9132" s="41">
        <v>44845</v>
      </c>
      <c r="K9132" s="30" t="s">
        <v>22</v>
      </c>
    </row>
    <row r="9133" spans="1:11">
      <c r="A9133" s="33" t="s">
        <v>20978</v>
      </c>
      <c r="B9133" s="33" t="s">
        <v>20979</v>
      </c>
      <c r="C9133" s="33" t="s">
        <v>374</v>
      </c>
      <c r="D9133" s="33" t="s">
        <v>17</v>
      </c>
      <c r="E9133" s="33" t="s">
        <v>26</v>
      </c>
      <c r="F9133" s="33" t="s">
        <v>27</v>
      </c>
      <c r="G9133" s="33" t="s">
        <v>20</v>
      </c>
      <c r="H9133" s="35">
        <v>36</v>
      </c>
      <c r="I9133" s="33" t="s">
        <v>21</v>
      </c>
      <c r="J9133" s="42">
        <v>44594</v>
      </c>
      <c r="K9133" s="33" t="s">
        <v>22</v>
      </c>
    </row>
    <row r="9134" spans="1:11">
      <c r="A9134" s="30" t="s">
        <v>20980</v>
      </c>
      <c r="B9134" s="30" t="s">
        <v>20981</v>
      </c>
      <c r="C9134" s="30" t="s">
        <v>75</v>
      </c>
      <c r="D9134" s="30" t="s">
        <v>17</v>
      </c>
      <c r="E9134" s="30" t="s">
        <v>26</v>
      </c>
      <c r="F9134" s="30" t="s">
        <v>27</v>
      </c>
      <c r="G9134" s="30" t="s">
        <v>20</v>
      </c>
      <c r="H9134" s="32">
        <v>8</v>
      </c>
      <c r="I9134" s="30" t="s">
        <v>21</v>
      </c>
      <c r="J9134" s="41">
        <v>44854</v>
      </c>
      <c r="K9134" s="30" t="s">
        <v>22</v>
      </c>
    </row>
    <row r="9135" spans="1:11">
      <c r="A9135" s="33" t="s">
        <v>20982</v>
      </c>
      <c r="B9135" s="33" t="s">
        <v>20983</v>
      </c>
      <c r="C9135" s="33" t="s">
        <v>109</v>
      </c>
      <c r="D9135" s="33" t="s">
        <v>17</v>
      </c>
      <c r="E9135" s="33" t="s">
        <v>26</v>
      </c>
      <c r="F9135" s="33" t="s">
        <v>27</v>
      </c>
      <c r="G9135" s="33" t="s">
        <v>158</v>
      </c>
      <c r="H9135" s="35">
        <v>61</v>
      </c>
      <c r="I9135" s="33" t="s">
        <v>21</v>
      </c>
      <c r="J9135" s="42">
        <v>44837</v>
      </c>
      <c r="K9135" s="33" t="s">
        <v>22</v>
      </c>
    </row>
    <row r="9136" spans="1:11">
      <c r="A9136" s="30" t="s">
        <v>20984</v>
      </c>
      <c r="B9136" s="30" t="s">
        <v>20985</v>
      </c>
      <c r="C9136" s="30" t="s">
        <v>20378</v>
      </c>
      <c r="D9136" s="30" t="s">
        <v>17</v>
      </c>
      <c r="E9136" s="30" t="s">
        <v>26</v>
      </c>
      <c r="F9136" s="30" t="s">
        <v>27</v>
      </c>
      <c r="G9136" s="30" t="s">
        <v>112</v>
      </c>
      <c r="H9136" s="32">
        <v>0</v>
      </c>
      <c r="I9136" s="30" t="s">
        <v>21</v>
      </c>
      <c r="J9136" s="41">
        <v>44699</v>
      </c>
      <c r="K9136" s="30" t="s">
        <v>22</v>
      </c>
    </row>
    <row r="9137" spans="1:11">
      <c r="A9137" s="33" t="s">
        <v>20986</v>
      </c>
      <c r="B9137" s="33" t="s">
        <v>20987</v>
      </c>
      <c r="C9137" s="33" t="s">
        <v>1003</v>
      </c>
      <c r="D9137" s="33" t="s">
        <v>17</v>
      </c>
      <c r="E9137" s="33" t="s">
        <v>31</v>
      </c>
      <c r="F9137" s="33" t="s">
        <v>32</v>
      </c>
      <c r="G9137" s="33" t="s">
        <v>112</v>
      </c>
      <c r="H9137" s="35">
        <v>0</v>
      </c>
      <c r="I9137" s="33" t="s">
        <v>21</v>
      </c>
      <c r="J9137" s="42">
        <v>44805</v>
      </c>
      <c r="K9137" s="33" t="s">
        <v>22</v>
      </c>
    </row>
    <row r="9138" spans="1:11">
      <c r="A9138" s="30" t="s">
        <v>20988</v>
      </c>
      <c r="B9138" s="30" t="s">
        <v>20989</v>
      </c>
      <c r="C9138" s="30" t="s">
        <v>136</v>
      </c>
      <c r="D9138" s="30" t="s">
        <v>17</v>
      </c>
      <c r="E9138" s="30" t="s">
        <v>26</v>
      </c>
      <c r="F9138" s="30" t="s">
        <v>27</v>
      </c>
      <c r="G9138" s="30" t="s">
        <v>20</v>
      </c>
      <c r="H9138" s="32">
        <v>47</v>
      </c>
      <c r="I9138" s="30" t="s">
        <v>21</v>
      </c>
      <c r="J9138" s="41">
        <v>44781</v>
      </c>
      <c r="K9138" s="30" t="s">
        <v>22</v>
      </c>
    </row>
    <row r="9139" spans="1:11">
      <c r="A9139" s="33" t="s">
        <v>20990</v>
      </c>
      <c r="B9139" s="33" t="s">
        <v>20991</v>
      </c>
      <c r="C9139" s="33" t="s">
        <v>8876</v>
      </c>
      <c r="D9139" s="33" t="s">
        <v>17</v>
      </c>
      <c r="E9139" s="33" t="s">
        <v>26</v>
      </c>
      <c r="F9139" s="33" t="s">
        <v>27</v>
      </c>
      <c r="G9139" s="33" t="s">
        <v>50</v>
      </c>
      <c r="H9139" s="35">
        <v>70</v>
      </c>
      <c r="I9139" s="33" t="s">
        <v>51</v>
      </c>
      <c r="J9139" s="42">
        <v>44896</v>
      </c>
      <c r="K9139" s="33" t="s">
        <v>22</v>
      </c>
    </row>
    <row r="9140" spans="1:11">
      <c r="A9140" s="30" t="s">
        <v>20992</v>
      </c>
      <c r="B9140" s="30" t="s">
        <v>20993</v>
      </c>
      <c r="C9140" s="30" t="s">
        <v>11148</v>
      </c>
      <c r="D9140" s="30" t="s">
        <v>17</v>
      </c>
      <c r="E9140" s="30" t="s">
        <v>67</v>
      </c>
      <c r="F9140" s="30" t="s">
        <v>68</v>
      </c>
      <c r="G9140" s="30" t="s">
        <v>158</v>
      </c>
      <c r="H9140" s="32">
        <v>48</v>
      </c>
      <c r="I9140" s="30" t="s">
        <v>51</v>
      </c>
      <c r="J9140" s="41">
        <v>44905</v>
      </c>
      <c r="K9140" s="30" t="s">
        <v>22</v>
      </c>
    </row>
    <row r="9141" spans="1:11">
      <c r="A9141" s="33" t="s">
        <v>20994</v>
      </c>
      <c r="B9141" s="33" t="s">
        <v>20995</v>
      </c>
      <c r="C9141" s="33" t="s">
        <v>2695</v>
      </c>
      <c r="D9141" s="33" t="s">
        <v>17</v>
      </c>
      <c r="E9141" s="33" t="s">
        <v>31</v>
      </c>
      <c r="F9141" s="33" t="s">
        <v>32</v>
      </c>
      <c r="G9141" s="33" t="s">
        <v>112</v>
      </c>
      <c r="H9141" s="35">
        <v>0</v>
      </c>
      <c r="I9141" s="33" t="s">
        <v>21</v>
      </c>
      <c r="J9141" s="42">
        <v>44652</v>
      </c>
      <c r="K9141" s="33" t="s">
        <v>22</v>
      </c>
    </row>
    <row r="9142" spans="1:11">
      <c r="A9142" s="30" t="s">
        <v>20996</v>
      </c>
      <c r="B9142" s="30" t="s">
        <v>20997</v>
      </c>
      <c r="C9142" s="30" t="s">
        <v>17647</v>
      </c>
      <c r="D9142" s="30" t="s">
        <v>17</v>
      </c>
      <c r="E9142" s="30" t="s">
        <v>26</v>
      </c>
      <c r="F9142" s="30" t="s">
        <v>27</v>
      </c>
      <c r="G9142" s="30" t="s">
        <v>106</v>
      </c>
      <c r="H9142" s="32">
        <v>31</v>
      </c>
      <c r="I9142" s="30" t="s">
        <v>21</v>
      </c>
      <c r="J9142" s="41">
        <v>44901</v>
      </c>
      <c r="K9142" s="30" t="s">
        <v>22</v>
      </c>
    </row>
    <row r="9143" spans="1:11">
      <c r="A9143" s="33" t="s">
        <v>20998</v>
      </c>
      <c r="B9143" s="33" t="s">
        <v>20999</v>
      </c>
      <c r="C9143" s="33" t="s">
        <v>5058</v>
      </c>
      <c r="D9143" s="33" t="s">
        <v>17</v>
      </c>
      <c r="E9143" s="33" t="s">
        <v>18</v>
      </c>
      <c r="F9143" s="33" t="s">
        <v>19</v>
      </c>
      <c r="G9143" s="33" t="s">
        <v>140</v>
      </c>
      <c r="H9143" s="35">
        <v>30</v>
      </c>
      <c r="I9143" s="33" t="s">
        <v>51</v>
      </c>
      <c r="J9143" s="42">
        <v>44785</v>
      </c>
      <c r="K9143" s="33" t="s">
        <v>22</v>
      </c>
    </row>
    <row r="9144" spans="1:11">
      <c r="A9144" s="30" t="s">
        <v>21000</v>
      </c>
      <c r="B9144" s="30" t="s">
        <v>21001</v>
      </c>
      <c r="C9144" s="30" t="s">
        <v>133</v>
      </c>
      <c r="D9144" s="30" t="s">
        <v>17</v>
      </c>
      <c r="E9144" s="30" t="s">
        <v>31</v>
      </c>
      <c r="F9144" s="30" t="s">
        <v>32</v>
      </c>
      <c r="G9144" s="30" t="s">
        <v>50</v>
      </c>
      <c r="H9144" s="32">
        <v>80</v>
      </c>
      <c r="I9144" s="30" t="s">
        <v>51</v>
      </c>
      <c r="J9144" s="41">
        <v>44582</v>
      </c>
      <c r="K9144" s="30" t="s">
        <v>22</v>
      </c>
    </row>
    <row r="9145" spans="1:11">
      <c r="A9145" s="33" t="s">
        <v>21002</v>
      </c>
      <c r="B9145" s="33" t="s">
        <v>21003</v>
      </c>
      <c r="C9145" s="33" t="s">
        <v>3594</v>
      </c>
      <c r="D9145" s="33" t="s">
        <v>17</v>
      </c>
      <c r="E9145" s="33" t="s">
        <v>45</v>
      </c>
      <c r="F9145" s="33" t="s">
        <v>46</v>
      </c>
      <c r="G9145" s="33" t="s">
        <v>158</v>
      </c>
      <c r="H9145" s="35">
        <v>286</v>
      </c>
      <c r="I9145" s="33" t="s">
        <v>21</v>
      </c>
      <c r="J9145" s="42">
        <v>44603</v>
      </c>
      <c r="K9145" s="33" t="s">
        <v>22</v>
      </c>
    </row>
    <row r="9146" spans="1:11">
      <c r="A9146" s="30" t="s">
        <v>21004</v>
      </c>
      <c r="B9146" s="30" t="s">
        <v>21005</v>
      </c>
      <c r="C9146" s="30" t="s">
        <v>21006</v>
      </c>
      <c r="D9146" s="30" t="s">
        <v>17</v>
      </c>
      <c r="E9146" s="30" t="s">
        <v>31</v>
      </c>
      <c r="F9146" s="30" t="s">
        <v>32</v>
      </c>
      <c r="G9146" s="30" t="s">
        <v>158</v>
      </c>
      <c r="H9146" s="32">
        <v>18</v>
      </c>
      <c r="I9146" s="30" t="s">
        <v>21</v>
      </c>
      <c r="J9146" s="41">
        <v>44714</v>
      </c>
      <c r="K9146" s="30" t="s">
        <v>22</v>
      </c>
    </row>
    <row r="9147" spans="1:11">
      <c r="A9147" s="33" t="s">
        <v>21007</v>
      </c>
      <c r="B9147" s="33" t="s">
        <v>21008</v>
      </c>
      <c r="C9147" s="33" t="s">
        <v>21009</v>
      </c>
      <c r="D9147" s="33" t="s">
        <v>17</v>
      </c>
      <c r="E9147" s="33" t="s">
        <v>31</v>
      </c>
      <c r="F9147" s="33" t="s">
        <v>32</v>
      </c>
      <c r="G9147" s="33" t="s">
        <v>20</v>
      </c>
      <c r="H9147" s="35">
        <v>79</v>
      </c>
      <c r="I9147" s="33" t="s">
        <v>21</v>
      </c>
      <c r="J9147" s="42">
        <v>44889</v>
      </c>
      <c r="K9147" s="33" t="s">
        <v>22</v>
      </c>
    </row>
    <row r="9148" spans="1:11">
      <c r="A9148" s="30" t="s">
        <v>21010</v>
      </c>
      <c r="B9148" s="30" t="s">
        <v>21011</v>
      </c>
      <c r="C9148" s="30" t="s">
        <v>60</v>
      </c>
      <c r="D9148" s="30" t="s">
        <v>17</v>
      </c>
      <c r="E9148" s="30" t="s">
        <v>18</v>
      </c>
      <c r="F9148" s="30" t="s">
        <v>19</v>
      </c>
      <c r="G9148" s="30" t="s">
        <v>20</v>
      </c>
      <c r="H9148" s="32">
        <v>307</v>
      </c>
      <c r="I9148" s="30" t="s">
        <v>21</v>
      </c>
      <c r="J9148" s="41">
        <v>44690</v>
      </c>
      <c r="K9148" s="30" t="s">
        <v>22</v>
      </c>
    </row>
    <row r="9149" spans="1:11">
      <c r="A9149" s="33" t="s">
        <v>21012</v>
      </c>
      <c r="B9149" s="33" t="s">
        <v>21013</v>
      </c>
      <c r="C9149" s="33" t="s">
        <v>399</v>
      </c>
      <c r="D9149" s="33" t="s">
        <v>17</v>
      </c>
      <c r="E9149" s="33" t="s">
        <v>18</v>
      </c>
      <c r="F9149" s="33" t="s">
        <v>19</v>
      </c>
      <c r="G9149" s="33" t="s">
        <v>158</v>
      </c>
      <c r="H9149" s="35">
        <v>530</v>
      </c>
      <c r="I9149" s="33" t="s">
        <v>21</v>
      </c>
      <c r="J9149" s="42">
        <v>44635</v>
      </c>
      <c r="K9149" s="33" t="s">
        <v>22</v>
      </c>
    </row>
    <row r="9150" spans="1:11">
      <c r="A9150" s="30" t="s">
        <v>21014</v>
      </c>
      <c r="B9150" s="30" t="s">
        <v>21015</v>
      </c>
      <c r="C9150" s="30" t="s">
        <v>14488</v>
      </c>
      <c r="D9150" s="30" t="s">
        <v>17</v>
      </c>
      <c r="E9150" s="30" t="s">
        <v>18</v>
      </c>
      <c r="F9150" s="30" t="s">
        <v>19</v>
      </c>
      <c r="G9150" s="30" t="s">
        <v>20</v>
      </c>
      <c r="H9150" s="32">
        <v>503</v>
      </c>
      <c r="I9150" s="30" t="s">
        <v>21</v>
      </c>
      <c r="J9150" s="41">
        <v>44796</v>
      </c>
      <c r="K9150" s="30" t="s">
        <v>22</v>
      </c>
    </row>
    <row r="9151" spans="1:11">
      <c r="A9151" s="33" t="s">
        <v>21016</v>
      </c>
      <c r="B9151" s="33" t="s">
        <v>21017</v>
      </c>
      <c r="C9151" s="33" t="s">
        <v>869</v>
      </c>
      <c r="D9151" s="33" t="s">
        <v>17</v>
      </c>
      <c r="E9151" s="33" t="s">
        <v>26</v>
      </c>
      <c r="F9151" s="33" t="s">
        <v>27</v>
      </c>
      <c r="G9151" s="33" t="s">
        <v>20</v>
      </c>
      <c r="H9151" s="35">
        <v>24</v>
      </c>
      <c r="I9151" s="33" t="s">
        <v>21</v>
      </c>
      <c r="J9151" s="42">
        <v>44852</v>
      </c>
      <c r="K9151" s="33" t="s">
        <v>22</v>
      </c>
    </row>
    <row r="9152" spans="1:11">
      <c r="A9152" s="30" t="s">
        <v>21018</v>
      </c>
      <c r="B9152" s="30" t="s">
        <v>21019</v>
      </c>
      <c r="C9152" s="30" t="s">
        <v>21020</v>
      </c>
      <c r="D9152" s="30" t="s">
        <v>17</v>
      </c>
      <c r="E9152" s="30" t="s">
        <v>45</v>
      </c>
      <c r="F9152" s="30" t="s">
        <v>46</v>
      </c>
      <c r="G9152" s="30" t="s">
        <v>112</v>
      </c>
      <c r="H9152" s="32">
        <v>0</v>
      </c>
      <c r="I9152" s="30" t="s">
        <v>21</v>
      </c>
      <c r="J9152" s="41">
        <v>44839</v>
      </c>
      <c r="K9152" s="30" t="s">
        <v>22</v>
      </c>
    </row>
    <row r="9153" spans="1:11">
      <c r="A9153" s="33" t="s">
        <v>21021</v>
      </c>
      <c r="B9153" s="33" t="s">
        <v>21022</v>
      </c>
      <c r="C9153" s="33" t="s">
        <v>925</v>
      </c>
      <c r="D9153" s="33" t="s">
        <v>17</v>
      </c>
      <c r="E9153" s="33" t="s">
        <v>18</v>
      </c>
      <c r="F9153" s="33" t="s">
        <v>19</v>
      </c>
      <c r="G9153" s="33" t="s">
        <v>158</v>
      </c>
      <c r="H9153" s="35">
        <v>443</v>
      </c>
      <c r="I9153" s="33" t="s">
        <v>21</v>
      </c>
      <c r="J9153" s="42">
        <v>44767</v>
      </c>
      <c r="K9153" s="33" t="s">
        <v>22</v>
      </c>
    </row>
    <row r="9154" spans="1:11">
      <c r="A9154" s="30" t="s">
        <v>21023</v>
      </c>
      <c r="B9154" s="30" t="s">
        <v>21024</v>
      </c>
      <c r="C9154" s="30" t="s">
        <v>15917</v>
      </c>
      <c r="D9154" s="30" t="s">
        <v>17</v>
      </c>
      <c r="E9154" s="30" t="s">
        <v>26</v>
      </c>
      <c r="F9154" s="30" t="s">
        <v>27</v>
      </c>
      <c r="G9154" s="30" t="s">
        <v>20</v>
      </c>
      <c r="H9154" s="32">
        <v>92</v>
      </c>
      <c r="I9154" s="30" t="s">
        <v>21</v>
      </c>
      <c r="J9154" s="41">
        <v>44648</v>
      </c>
      <c r="K9154" s="30" t="s">
        <v>22</v>
      </c>
    </row>
    <row r="9155" spans="1:11">
      <c r="A9155" s="33" t="s">
        <v>21025</v>
      </c>
      <c r="B9155" s="33" t="s">
        <v>21026</v>
      </c>
      <c r="C9155" s="33" t="s">
        <v>21027</v>
      </c>
      <c r="D9155" s="33" t="s">
        <v>17</v>
      </c>
      <c r="E9155" s="33" t="s">
        <v>26</v>
      </c>
      <c r="F9155" s="33" t="s">
        <v>27</v>
      </c>
      <c r="G9155" s="33" t="s">
        <v>20</v>
      </c>
      <c r="H9155" s="35">
        <v>57</v>
      </c>
      <c r="I9155" s="33" t="s">
        <v>21</v>
      </c>
      <c r="J9155" s="42">
        <v>44658</v>
      </c>
      <c r="K9155" s="33" t="s">
        <v>22</v>
      </c>
    </row>
    <row r="9156" spans="1:11">
      <c r="A9156" s="30" t="s">
        <v>21028</v>
      </c>
      <c r="B9156" s="30" t="s">
        <v>21029</v>
      </c>
      <c r="C9156" s="30" t="s">
        <v>21030</v>
      </c>
      <c r="D9156" s="30" t="s">
        <v>17</v>
      </c>
      <c r="E9156" s="30" t="s">
        <v>18</v>
      </c>
      <c r="F9156" s="30" t="s">
        <v>19</v>
      </c>
      <c r="G9156" s="30" t="s">
        <v>106</v>
      </c>
      <c r="H9156" s="32">
        <v>24</v>
      </c>
      <c r="I9156" s="30" t="s">
        <v>21</v>
      </c>
      <c r="J9156" s="41">
        <v>44806</v>
      </c>
      <c r="K9156" s="30" t="s">
        <v>22</v>
      </c>
    </row>
    <row r="9157" spans="1:11">
      <c r="A9157" s="33" t="s">
        <v>21031</v>
      </c>
      <c r="B9157" s="33" t="s">
        <v>21032</v>
      </c>
      <c r="C9157" s="33" t="s">
        <v>190</v>
      </c>
      <c r="D9157" s="33" t="s">
        <v>17</v>
      </c>
      <c r="E9157" s="33" t="s">
        <v>18</v>
      </c>
      <c r="F9157" s="33" t="s">
        <v>19</v>
      </c>
      <c r="G9157" s="33" t="s">
        <v>20</v>
      </c>
      <c r="H9157" s="35">
        <v>305</v>
      </c>
      <c r="I9157" s="33" t="s">
        <v>21</v>
      </c>
      <c r="J9157" s="42">
        <v>44698</v>
      </c>
      <c r="K9157" s="33" t="s">
        <v>22</v>
      </c>
    </row>
    <row r="9158" spans="1:11">
      <c r="A9158" s="30" t="s">
        <v>21033</v>
      </c>
      <c r="B9158" s="30" t="s">
        <v>21034</v>
      </c>
      <c r="C9158" s="30" t="s">
        <v>3892</v>
      </c>
      <c r="D9158" s="30" t="s">
        <v>17</v>
      </c>
      <c r="E9158" s="30" t="s">
        <v>18</v>
      </c>
      <c r="F9158" s="30" t="s">
        <v>19</v>
      </c>
      <c r="G9158" s="30" t="s">
        <v>20</v>
      </c>
      <c r="H9158" s="32">
        <v>136</v>
      </c>
      <c r="I9158" s="30" t="s">
        <v>21</v>
      </c>
      <c r="J9158" s="41">
        <v>44574</v>
      </c>
      <c r="K9158" s="30" t="s">
        <v>22</v>
      </c>
    </row>
    <row r="9159" spans="1:11">
      <c r="A9159" s="33" t="s">
        <v>21035</v>
      </c>
      <c r="B9159" s="33" t="s">
        <v>21036</v>
      </c>
      <c r="C9159" s="33" t="s">
        <v>21037</v>
      </c>
      <c r="D9159" s="33" t="s">
        <v>17</v>
      </c>
      <c r="E9159" s="33" t="s">
        <v>26</v>
      </c>
      <c r="F9159" s="33" t="s">
        <v>27</v>
      </c>
      <c r="G9159" s="33" t="s">
        <v>20</v>
      </c>
      <c r="H9159" s="35">
        <v>36</v>
      </c>
      <c r="I9159" s="33" t="s">
        <v>21</v>
      </c>
      <c r="J9159" s="42">
        <v>44887</v>
      </c>
      <c r="K9159" s="33" t="s">
        <v>22</v>
      </c>
    </row>
    <row r="9160" spans="1:11">
      <c r="A9160" s="30" t="s">
        <v>21038</v>
      </c>
      <c r="B9160" s="30" t="s">
        <v>21039</v>
      </c>
      <c r="C9160" s="30" t="s">
        <v>4810</v>
      </c>
      <c r="D9160" s="30" t="s">
        <v>17</v>
      </c>
      <c r="E9160" s="30" t="s">
        <v>26</v>
      </c>
      <c r="F9160" s="30" t="s">
        <v>27</v>
      </c>
      <c r="G9160" s="30" t="s">
        <v>20</v>
      </c>
      <c r="H9160" s="32">
        <v>32</v>
      </c>
      <c r="I9160" s="30" t="s">
        <v>21</v>
      </c>
      <c r="J9160" s="41">
        <v>44764</v>
      </c>
      <c r="K9160" s="30" t="s">
        <v>22</v>
      </c>
    </row>
    <row r="9161" spans="1:11">
      <c r="A9161" s="33" t="s">
        <v>21040</v>
      </c>
      <c r="B9161" s="33" t="s">
        <v>21041</v>
      </c>
      <c r="C9161" s="33" t="s">
        <v>407</v>
      </c>
      <c r="D9161" s="33" t="s">
        <v>17</v>
      </c>
      <c r="E9161" s="33" t="s">
        <v>67</v>
      </c>
      <c r="F9161" s="33" t="s">
        <v>68</v>
      </c>
      <c r="G9161" s="33" t="s">
        <v>20</v>
      </c>
      <c r="H9161" s="35">
        <v>74</v>
      </c>
      <c r="I9161" s="33" t="s">
        <v>21</v>
      </c>
      <c r="J9161" s="42">
        <v>44678</v>
      </c>
      <c r="K9161" s="33" t="s">
        <v>22</v>
      </c>
    </row>
    <row r="9162" spans="1:11">
      <c r="A9162" s="30" t="s">
        <v>21042</v>
      </c>
      <c r="B9162" s="30" t="s">
        <v>21043</v>
      </c>
      <c r="C9162" s="30" t="s">
        <v>21044</v>
      </c>
      <c r="D9162" s="30" t="s">
        <v>17</v>
      </c>
      <c r="E9162" s="30" t="s">
        <v>67</v>
      </c>
      <c r="F9162" s="30" t="s">
        <v>68</v>
      </c>
      <c r="G9162" s="30" t="s">
        <v>140</v>
      </c>
      <c r="H9162" s="32">
        <v>12</v>
      </c>
      <c r="I9162" s="30" t="s">
        <v>51</v>
      </c>
      <c r="J9162" s="41">
        <v>44776</v>
      </c>
      <c r="K9162" s="30" t="s">
        <v>22</v>
      </c>
    </row>
    <row r="9163" spans="1:11">
      <c r="A9163" s="33" t="s">
        <v>21045</v>
      </c>
      <c r="B9163" s="33" t="s">
        <v>21046</v>
      </c>
      <c r="C9163" s="33" t="s">
        <v>133</v>
      </c>
      <c r="D9163" s="33" t="s">
        <v>17</v>
      </c>
      <c r="E9163" s="33" t="s">
        <v>31</v>
      </c>
      <c r="F9163" s="33" t="s">
        <v>32</v>
      </c>
      <c r="G9163" s="33" t="s">
        <v>20</v>
      </c>
      <c r="H9163" s="35">
        <v>106</v>
      </c>
      <c r="I9163" s="33" t="s">
        <v>21</v>
      </c>
      <c r="J9163" s="42">
        <v>44682</v>
      </c>
      <c r="K9163" s="33" t="s">
        <v>22</v>
      </c>
    </row>
    <row r="9164" spans="1:11">
      <c r="A9164" s="30" t="s">
        <v>21047</v>
      </c>
      <c r="B9164" s="30" t="s">
        <v>21048</v>
      </c>
      <c r="C9164" s="30" t="s">
        <v>310</v>
      </c>
      <c r="D9164" s="30" t="s">
        <v>17</v>
      </c>
      <c r="E9164" s="30" t="s">
        <v>18</v>
      </c>
      <c r="F9164" s="30" t="s">
        <v>19</v>
      </c>
      <c r="G9164" s="30" t="s">
        <v>20</v>
      </c>
      <c r="H9164" s="32">
        <v>573</v>
      </c>
      <c r="I9164" s="30" t="s">
        <v>21</v>
      </c>
      <c r="J9164" s="41">
        <v>44802</v>
      </c>
      <c r="K9164" s="30" t="s">
        <v>22</v>
      </c>
    </row>
    <row r="9165" spans="1:11">
      <c r="A9165" s="33" t="s">
        <v>21049</v>
      </c>
      <c r="B9165" s="33" t="s">
        <v>21050</v>
      </c>
      <c r="C9165" s="33" t="s">
        <v>969</v>
      </c>
      <c r="D9165" s="33" t="s">
        <v>17</v>
      </c>
      <c r="E9165" s="33" t="s">
        <v>18</v>
      </c>
      <c r="F9165" s="33" t="s">
        <v>19</v>
      </c>
      <c r="G9165" s="33" t="s">
        <v>20</v>
      </c>
      <c r="H9165" s="35">
        <v>1029</v>
      </c>
      <c r="I9165" s="33" t="s">
        <v>21</v>
      </c>
      <c r="J9165" s="42">
        <v>44854</v>
      </c>
      <c r="K9165" s="33" t="s">
        <v>22</v>
      </c>
    </row>
    <row r="9166" spans="1:11">
      <c r="A9166" s="30" t="s">
        <v>21051</v>
      </c>
      <c r="B9166" s="30" t="s">
        <v>21052</v>
      </c>
      <c r="C9166" s="30" t="s">
        <v>1428</v>
      </c>
      <c r="D9166" s="30" t="s">
        <v>17</v>
      </c>
      <c r="E9166" s="30" t="s">
        <v>31</v>
      </c>
      <c r="F9166" s="30" t="s">
        <v>32</v>
      </c>
      <c r="G9166" s="30" t="s">
        <v>50</v>
      </c>
      <c r="H9166" s="32">
        <v>400</v>
      </c>
      <c r="I9166" s="30" t="s">
        <v>51</v>
      </c>
      <c r="J9166" s="41">
        <v>44652</v>
      </c>
      <c r="K9166" s="30" t="s">
        <v>22</v>
      </c>
    </row>
    <row r="9167" spans="1:11">
      <c r="A9167" s="33" t="s">
        <v>21053</v>
      </c>
      <c r="B9167" s="33" t="s">
        <v>21054</v>
      </c>
      <c r="C9167" s="33" t="s">
        <v>81</v>
      </c>
      <c r="D9167" s="33" t="s">
        <v>17</v>
      </c>
      <c r="E9167" s="33" t="s">
        <v>18</v>
      </c>
      <c r="F9167" s="33" t="s">
        <v>19</v>
      </c>
      <c r="G9167" s="33" t="s">
        <v>112</v>
      </c>
      <c r="H9167" s="35">
        <v>0</v>
      </c>
      <c r="I9167" s="33" t="s">
        <v>21</v>
      </c>
      <c r="J9167" s="42">
        <v>44742</v>
      </c>
      <c r="K9167" s="33" t="s">
        <v>22</v>
      </c>
    </row>
    <row r="9168" spans="1:11">
      <c r="A9168" s="30" t="s">
        <v>21055</v>
      </c>
      <c r="B9168" s="30" t="s">
        <v>21056</v>
      </c>
      <c r="C9168" s="30" t="s">
        <v>18132</v>
      </c>
      <c r="D9168" s="30" t="s">
        <v>17</v>
      </c>
      <c r="E9168" s="30" t="s">
        <v>31</v>
      </c>
      <c r="F9168" s="30" t="s">
        <v>32</v>
      </c>
      <c r="G9168" s="30" t="s">
        <v>106</v>
      </c>
      <c r="H9168" s="32">
        <v>16</v>
      </c>
      <c r="I9168" s="30" t="s">
        <v>21</v>
      </c>
      <c r="J9168" s="41">
        <v>44788</v>
      </c>
      <c r="K9168" s="30" t="s">
        <v>22</v>
      </c>
    </row>
    <row r="9169" spans="1:11">
      <c r="A9169" s="33" t="s">
        <v>21057</v>
      </c>
      <c r="B9169" s="33" t="s">
        <v>21058</v>
      </c>
      <c r="C9169" s="33" t="s">
        <v>249</v>
      </c>
      <c r="D9169" s="33" t="s">
        <v>17</v>
      </c>
      <c r="E9169" s="33" t="s">
        <v>18</v>
      </c>
      <c r="F9169" s="33" t="s">
        <v>19</v>
      </c>
      <c r="G9169" s="33" t="s">
        <v>20</v>
      </c>
      <c r="H9169" s="35">
        <v>159</v>
      </c>
      <c r="I9169" s="33" t="s">
        <v>21</v>
      </c>
      <c r="J9169" s="42">
        <v>44636</v>
      </c>
      <c r="K9169" s="33" t="s">
        <v>22</v>
      </c>
    </row>
    <row r="9170" spans="1:11">
      <c r="A9170" s="30" t="s">
        <v>21059</v>
      </c>
      <c r="B9170" s="30" t="s">
        <v>21060</v>
      </c>
      <c r="C9170" s="30" t="s">
        <v>5720</v>
      </c>
      <c r="D9170" s="30" t="s">
        <v>17</v>
      </c>
      <c r="E9170" s="30" t="s">
        <v>26</v>
      </c>
      <c r="F9170" s="30" t="s">
        <v>27</v>
      </c>
      <c r="G9170" s="30" t="s">
        <v>20</v>
      </c>
      <c r="H9170" s="32">
        <v>54</v>
      </c>
      <c r="I9170" s="30" t="s">
        <v>21</v>
      </c>
      <c r="J9170" s="41">
        <v>44816</v>
      </c>
      <c r="K9170" s="30" t="s">
        <v>22</v>
      </c>
    </row>
    <row r="9171" spans="1:11">
      <c r="A9171" s="33" t="s">
        <v>21061</v>
      </c>
      <c r="B9171" s="33" t="s">
        <v>21062</v>
      </c>
      <c r="C9171" s="33" t="s">
        <v>14737</v>
      </c>
      <c r="D9171" s="33" t="s">
        <v>17</v>
      </c>
      <c r="E9171" s="33" t="s">
        <v>26</v>
      </c>
      <c r="F9171" s="33" t="s">
        <v>27</v>
      </c>
      <c r="G9171" s="33" t="s">
        <v>20</v>
      </c>
      <c r="H9171" s="35">
        <v>8</v>
      </c>
      <c r="I9171" s="33" t="s">
        <v>21</v>
      </c>
      <c r="J9171" s="42">
        <v>44911</v>
      </c>
      <c r="K9171" s="33" t="s">
        <v>22</v>
      </c>
    </row>
    <row r="9172" spans="1:11">
      <c r="A9172" s="30" t="s">
        <v>21063</v>
      </c>
      <c r="B9172" s="30" t="s">
        <v>21064</v>
      </c>
      <c r="C9172" s="30" t="s">
        <v>318</v>
      </c>
      <c r="D9172" s="30" t="s">
        <v>17</v>
      </c>
      <c r="E9172" s="30" t="s">
        <v>18</v>
      </c>
      <c r="F9172" s="30" t="s">
        <v>19</v>
      </c>
      <c r="G9172" s="30" t="s">
        <v>158</v>
      </c>
      <c r="H9172" s="32">
        <v>515</v>
      </c>
      <c r="I9172" s="30" t="s">
        <v>21</v>
      </c>
      <c r="J9172" s="41">
        <v>44634</v>
      </c>
      <c r="K9172" s="30" t="s">
        <v>22</v>
      </c>
    </row>
    <row r="9173" spans="1:11">
      <c r="A9173" s="33" t="s">
        <v>21065</v>
      </c>
      <c r="B9173" s="33" t="s">
        <v>21066</v>
      </c>
      <c r="C9173" s="33" t="s">
        <v>7383</v>
      </c>
      <c r="D9173" s="33" t="s">
        <v>17</v>
      </c>
      <c r="E9173" s="33" t="s">
        <v>31</v>
      </c>
      <c r="F9173" s="33" t="s">
        <v>32</v>
      </c>
      <c r="G9173" s="33" t="s">
        <v>50</v>
      </c>
      <c r="H9173" s="35">
        <v>130</v>
      </c>
      <c r="I9173" s="33" t="s">
        <v>51</v>
      </c>
      <c r="J9173" s="42">
        <v>44592</v>
      </c>
      <c r="K9173" s="33" t="s">
        <v>22</v>
      </c>
    </row>
    <row r="9174" spans="1:11">
      <c r="A9174" s="30" t="s">
        <v>21067</v>
      </c>
      <c r="B9174" s="30" t="s">
        <v>21068</v>
      </c>
      <c r="C9174" s="30" t="s">
        <v>747</v>
      </c>
      <c r="D9174" s="30" t="s">
        <v>17</v>
      </c>
      <c r="E9174" s="30" t="s">
        <v>18</v>
      </c>
      <c r="F9174" s="30" t="s">
        <v>19</v>
      </c>
      <c r="G9174" s="30" t="s">
        <v>20</v>
      </c>
      <c r="H9174" s="32">
        <v>591</v>
      </c>
      <c r="I9174" s="30" t="s">
        <v>21</v>
      </c>
      <c r="J9174" s="41">
        <v>44770</v>
      </c>
      <c r="K9174" s="30" t="s">
        <v>22</v>
      </c>
    </row>
    <row r="9175" spans="1:11">
      <c r="A9175" s="33" t="s">
        <v>21069</v>
      </c>
      <c r="B9175" s="33" t="s">
        <v>21070</v>
      </c>
      <c r="C9175" s="33" t="s">
        <v>19346</v>
      </c>
      <c r="D9175" s="33" t="s">
        <v>17</v>
      </c>
      <c r="E9175" s="33" t="s">
        <v>31</v>
      </c>
      <c r="F9175" s="33" t="s">
        <v>32</v>
      </c>
      <c r="G9175" s="33" t="s">
        <v>20</v>
      </c>
      <c r="H9175" s="35">
        <v>23</v>
      </c>
      <c r="I9175" s="33" t="s">
        <v>21</v>
      </c>
      <c r="J9175" s="42">
        <v>44615</v>
      </c>
      <c r="K9175" s="33" t="s">
        <v>22</v>
      </c>
    </row>
    <row r="9176" spans="1:11">
      <c r="A9176" s="30" t="s">
        <v>21071</v>
      </c>
      <c r="B9176" s="30" t="s">
        <v>21072</v>
      </c>
      <c r="C9176" s="30" t="s">
        <v>178</v>
      </c>
      <c r="D9176" s="30" t="s">
        <v>17</v>
      </c>
      <c r="E9176" s="30" t="s">
        <v>26</v>
      </c>
      <c r="F9176" s="30" t="s">
        <v>27</v>
      </c>
      <c r="G9176" s="30" t="s">
        <v>20</v>
      </c>
      <c r="H9176" s="32">
        <v>151</v>
      </c>
      <c r="I9176" s="30" t="s">
        <v>21</v>
      </c>
      <c r="J9176" s="41">
        <v>44711</v>
      </c>
      <c r="K9176" s="30" t="s">
        <v>22</v>
      </c>
    </row>
    <row r="9177" spans="1:11">
      <c r="A9177" s="33" t="s">
        <v>21073</v>
      </c>
      <c r="B9177" s="33" t="s">
        <v>21074</v>
      </c>
      <c r="C9177" s="33" t="s">
        <v>5870</v>
      </c>
      <c r="D9177" s="33" t="s">
        <v>17</v>
      </c>
      <c r="E9177" s="33" t="s">
        <v>18</v>
      </c>
      <c r="F9177" s="33" t="s">
        <v>19</v>
      </c>
      <c r="G9177" s="33" t="s">
        <v>20</v>
      </c>
      <c r="H9177" s="35">
        <v>1072</v>
      </c>
      <c r="I9177" s="33" t="s">
        <v>21</v>
      </c>
      <c r="J9177" s="42">
        <v>44570</v>
      </c>
      <c r="K9177" s="33" t="s">
        <v>22</v>
      </c>
    </row>
    <row r="9178" spans="1:11">
      <c r="A9178" s="30" t="s">
        <v>21075</v>
      </c>
      <c r="B9178" s="30" t="s">
        <v>21076</v>
      </c>
      <c r="C9178" s="30" t="s">
        <v>9114</v>
      </c>
      <c r="D9178" s="30" t="s">
        <v>17</v>
      </c>
      <c r="E9178" s="30" t="s">
        <v>26</v>
      </c>
      <c r="F9178" s="30" t="s">
        <v>27</v>
      </c>
      <c r="G9178" s="30" t="s">
        <v>50</v>
      </c>
      <c r="H9178" s="32">
        <v>12</v>
      </c>
      <c r="I9178" s="30" t="s">
        <v>21</v>
      </c>
      <c r="J9178" s="41">
        <v>44817</v>
      </c>
      <c r="K9178" s="30" t="s">
        <v>22</v>
      </c>
    </row>
    <row r="9179" spans="1:11">
      <c r="A9179" s="33" t="s">
        <v>21077</v>
      </c>
      <c r="B9179" s="33" t="s">
        <v>21078</v>
      </c>
      <c r="C9179" s="33" t="s">
        <v>157</v>
      </c>
      <c r="D9179" s="33" t="s">
        <v>17</v>
      </c>
      <c r="E9179" s="33" t="s">
        <v>26</v>
      </c>
      <c r="F9179" s="33" t="s">
        <v>27</v>
      </c>
      <c r="G9179" s="33" t="s">
        <v>20</v>
      </c>
      <c r="H9179" s="35">
        <v>31</v>
      </c>
      <c r="I9179" s="33" t="s">
        <v>21</v>
      </c>
      <c r="J9179" s="42">
        <v>44706</v>
      </c>
      <c r="K9179" s="33" t="s">
        <v>22</v>
      </c>
    </row>
    <row r="9180" spans="1:11">
      <c r="A9180" s="30" t="s">
        <v>21079</v>
      </c>
      <c r="B9180" s="30" t="s">
        <v>21080</v>
      </c>
      <c r="C9180" s="30" t="s">
        <v>118</v>
      </c>
      <c r="D9180" s="30" t="s">
        <v>17</v>
      </c>
      <c r="E9180" s="30" t="s">
        <v>31</v>
      </c>
      <c r="F9180" s="30" t="s">
        <v>32</v>
      </c>
      <c r="G9180" s="30" t="s">
        <v>20</v>
      </c>
      <c r="H9180" s="32">
        <v>28</v>
      </c>
      <c r="I9180" s="30" t="s">
        <v>21</v>
      </c>
      <c r="J9180" s="41">
        <v>44914</v>
      </c>
      <c r="K9180" s="30" t="s">
        <v>22</v>
      </c>
    </row>
    <row r="9181" spans="1:11">
      <c r="A9181" s="33" t="s">
        <v>21081</v>
      </c>
      <c r="B9181" s="33" t="s">
        <v>21082</v>
      </c>
      <c r="C9181" s="33" t="s">
        <v>21083</v>
      </c>
      <c r="D9181" s="33" t="s">
        <v>17</v>
      </c>
      <c r="E9181" s="33" t="s">
        <v>31</v>
      </c>
      <c r="F9181" s="33" t="s">
        <v>32</v>
      </c>
      <c r="G9181" s="33" t="s">
        <v>50</v>
      </c>
      <c r="H9181" s="35">
        <v>24</v>
      </c>
      <c r="I9181" s="33" t="s">
        <v>51</v>
      </c>
      <c r="J9181" s="42">
        <v>44727</v>
      </c>
      <c r="K9181" s="33" t="s">
        <v>22</v>
      </c>
    </row>
    <row r="9182" spans="1:11">
      <c r="A9182" s="30" t="s">
        <v>21084</v>
      </c>
      <c r="B9182" s="30" t="s">
        <v>21085</v>
      </c>
      <c r="C9182" s="30" t="s">
        <v>1862</v>
      </c>
      <c r="D9182" s="30" t="s">
        <v>17</v>
      </c>
      <c r="E9182" s="30" t="s">
        <v>212</v>
      </c>
      <c r="F9182" s="30" t="s">
        <v>213</v>
      </c>
      <c r="G9182" s="30" t="s">
        <v>158</v>
      </c>
      <c r="H9182" s="32">
        <v>17</v>
      </c>
      <c r="I9182" s="30" t="s">
        <v>21</v>
      </c>
      <c r="J9182" s="41">
        <v>44753</v>
      </c>
      <c r="K9182" s="30" t="s">
        <v>22</v>
      </c>
    </row>
    <row r="9183" spans="1:11">
      <c r="A9183" s="33" t="s">
        <v>21086</v>
      </c>
      <c r="B9183" s="33" t="s">
        <v>21087</v>
      </c>
      <c r="C9183" s="33" t="s">
        <v>136</v>
      </c>
      <c r="D9183" s="33" t="s">
        <v>17</v>
      </c>
      <c r="E9183" s="33" t="s">
        <v>26</v>
      </c>
      <c r="F9183" s="33" t="s">
        <v>27</v>
      </c>
      <c r="G9183" s="33" t="s">
        <v>20</v>
      </c>
      <c r="H9183" s="35">
        <v>32</v>
      </c>
      <c r="I9183" s="33" t="s">
        <v>21</v>
      </c>
      <c r="J9183" s="42">
        <v>44750</v>
      </c>
      <c r="K9183" s="33" t="s">
        <v>22</v>
      </c>
    </row>
    <row r="9184" spans="1:11">
      <c r="A9184" s="30" t="s">
        <v>21088</v>
      </c>
      <c r="B9184" s="30" t="s">
        <v>21089</v>
      </c>
      <c r="C9184" s="30" t="s">
        <v>343</v>
      </c>
      <c r="D9184" s="30" t="s">
        <v>17</v>
      </c>
      <c r="E9184" s="30" t="s">
        <v>26</v>
      </c>
      <c r="F9184" s="30" t="s">
        <v>27</v>
      </c>
      <c r="G9184" s="30" t="s">
        <v>20</v>
      </c>
      <c r="H9184" s="32">
        <v>70</v>
      </c>
      <c r="I9184" s="30" t="s">
        <v>21</v>
      </c>
      <c r="J9184" s="41">
        <v>44658</v>
      </c>
      <c r="K9184" s="30" t="s">
        <v>22</v>
      </c>
    </row>
    <row r="9185" spans="1:11">
      <c r="A9185" s="33" t="s">
        <v>21090</v>
      </c>
      <c r="B9185" s="33" t="s">
        <v>21091</v>
      </c>
      <c r="C9185" s="33" t="s">
        <v>1270</v>
      </c>
      <c r="D9185" s="33" t="s">
        <v>17</v>
      </c>
      <c r="E9185" s="33" t="s">
        <v>212</v>
      </c>
      <c r="F9185" s="33" t="s">
        <v>213</v>
      </c>
      <c r="G9185" s="33" t="s">
        <v>158</v>
      </c>
      <c r="H9185" s="35">
        <v>640</v>
      </c>
      <c r="I9185" s="33" t="s">
        <v>21</v>
      </c>
      <c r="J9185" s="42">
        <v>44630</v>
      </c>
      <c r="K9185" s="33" t="s">
        <v>22</v>
      </c>
    </row>
    <row r="9186" spans="1:11">
      <c r="A9186" s="30" t="s">
        <v>21092</v>
      </c>
      <c r="B9186" s="30" t="s">
        <v>21093</v>
      </c>
      <c r="C9186" s="30" t="s">
        <v>5817</v>
      </c>
      <c r="D9186" s="30" t="s">
        <v>17</v>
      </c>
      <c r="E9186" s="30" t="s">
        <v>31</v>
      </c>
      <c r="F9186" s="30" t="s">
        <v>32</v>
      </c>
      <c r="G9186" s="30" t="s">
        <v>20</v>
      </c>
      <c r="H9186" s="32">
        <v>12</v>
      </c>
      <c r="I9186" s="30" t="s">
        <v>21</v>
      </c>
      <c r="J9186" s="41">
        <v>44837</v>
      </c>
      <c r="K9186" s="30" t="s">
        <v>22</v>
      </c>
    </row>
    <row r="9187" spans="1:11">
      <c r="A9187" s="33" t="s">
        <v>21094</v>
      </c>
      <c r="B9187" s="33" t="s">
        <v>21095</v>
      </c>
      <c r="C9187" s="33" t="s">
        <v>9952</v>
      </c>
      <c r="D9187" s="33" t="s">
        <v>17</v>
      </c>
      <c r="E9187" s="33" t="s">
        <v>31</v>
      </c>
      <c r="F9187" s="33" t="s">
        <v>32</v>
      </c>
      <c r="G9187" s="33" t="s">
        <v>140</v>
      </c>
      <c r="H9187" s="35">
        <v>108</v>
      </c>
      <c r="I9187" s="33" t="s">
        <v>51</v>
      </c>
      <c r="J9187" s="42">
        <v>44624</v>
      </c>
      <c r="K9187" s="33" t="s">
        <v>22</v>
      </c>
    </row>
    <row r="9188" spans="1:11">
      <c r="A9188" s="30" t="s">
        <v>21096</v>
      </c>
      <c r="B9188" s="30" t="s">
        <v>21097</v>
      </c>
      <c r="C9188" s="30" t="s">
        <v>21098</v>
      </c>
      <c r="D9188" s="30" t="s">
        <v>17</v>
      </c>
      <c r="E9188" s="30" t="s">
        <v>67</v>
      </c>
      <c r="F9188" s="30" t="s">
        <v>68</v>
      </c>
      <c r="G9188" s="30" t="s">
        <v>158</v>
      </c>
      <c r="H9188" s="32">
        <v>33</v>
      </c>
      <c r="I9188" s="30" t="s">
        <v>51</v>
      </c>
      <c r="J9188" s="41">
        <v>44582</v>
      </c>
      <c r="K9188" s="30" t="s">
        <v>22</v>
      </c>
    </row>
    <row r="9189" spans="1:11">
      <c r="A9189" s="33" t="s">
        <v>21099</v>
      </c>
      <c r="B9189" s="33" t="s">
        <v>21100</v>
      </c>
      <c r="C9189" s="33" t="s">
        <v>203</v>
      </c>
      <c r="D9189" s="33" t="s">
        <v>17</v>
      </c>
      <c r="E9189" s="33" t="s">
        <v>45</v>
      </c>
      <c r="F9189" s="33" t="s">
        <v>46</v>
      </c>
      <c r="G9189" s="33" t="s">
        <v>2613</v>
      </c>
      <c r="H9189" s="35">
        <v>1663</v>
      </c>
      <c r="I9189" s="33" t="s">
        <v>51</v>
      </c>
      <c r="J9189" s="42">
        <v>44795</v>
      </c>
      <c r="K9189" s="33" t="s">
        <v>22</v>
      </c>
    </row>
    <row r="9190" spans="1:11">
      <c r="A9190" s="30" t="s">
        <v>21101</v>
      </c>
      <c r="B9190" s="30" t="s">
        <v>21102</v>
      </c>
      <c r="C9190" s="30" t="s">
        <v>310</v>
      </c>
      <c r="D9190" s="30" t="s">
        <v>17</v>
      </c>
      <c r="E9190" s="30" t="s">
        <v>18</v>
      </c>
      <c r="F9190" s="30" t="s">
        <v>19</v>
      </c>
      <c r="G9190" s="30" t="s">
        <v>158</v>
      </c>
      <c r="H9190" s="32">
        <v>412</v>
      </c>
      <c r="I9190" s="30" t="s">
        <v>21</v>
      </c>
      <c r="J9190" s="41">
        <v>44783</v>
      </c>
      <c r="K9190" s="30" t="s">
        <v>22</v>
      </c>
    </row>
    <row r="9191" spans="1:11">
      <c r="A9191" s="33" t="s">
        <v>21103</v>
      </c>
      <c r="B9191" s="33" t="s">
        <v>21104</v>
      </c>
      <c r="C9191" s="33" t="s">
        <v>969</v>
      </c>
      <c r="D9191" s="33" t="s">
        <v>17</v>
      </c>
      <c r="E9191" s="33" t="s">
        <v>18</v>
      </c>
      <c r="F9191" s="33" t="s">
        <v>19</v>
      </c>
      <c r="G9191" s="33" t="s">
        <v>20</v>
      </c>
      <c r="H9191" s="35">
        <v>1045</v>
      </c>
      <c r="I9191" s="33" t="s">
        <v>21</v>
      </c>
      <c r="J9191" s="42">
        <v>44848</v>
      </c>
      <c r="K9191" s="33" t="s">
        <v>22</v>
      </c>
    </row>
    <row r="9192" spans="1:11">
      <c r="A9192" s="30" t="s">
        <v>21105</v>
      </c>
      <c r="B9192" s="30" t="s">
        <v>21106</v>
      </c>
      <c r="C9192" s="30" t="s">
        <v>310</v>
      </c>
      <c r="D9192" s="30" t="s">
        <v>17</v>
      </c>
      <c r="E9192" s="30" t="s">
        <v>18</v>
      </c>
      <c r="F9192" s="30" t="s">
        <v>19</v>
      </c>
      <c r="G9192" s="30" t="s">
        <v>20</v>
      </c>
      <c r="H9192" s="32">
        <v>683</v>
      </c>
      <c r="I9192" s="30" t="s">
        <v>21</v>
      </c>
      <c r="J9192" s="41">
        <v>44662</v>
      </c>
      <c r="K9192" s="30" t="s">
        <v>22</v>
      </c>
    </row>
    <row r="9193" spans="1:11">
      <c r="A9193" s="33" t="s">
        <v>21107</v>
      </c>
      <c r="B9193" s="33" t="s">
        <v>21108</v>
      </c>
      <c r="C9193" s="33" t="s">
        <v>2289</v>
      </c>
      <c r="D9193" s="33" t="s">
        <v>17</v>
      </c>
      <c r="E9193" s="33" t="s">
        <v>26</v>
      </c>
      <c r="F9193" s="33" t="s">
        <v>27</v>
      </c>
      <c r="G9193" s="33" t="s">
        <v>20</v>
      </c>
      <c r="H9193" s="35">
        <v>7</v>
      </c>
      <c r="I9193" s="33" t="s">
        <v>21</v>
      </c>
      <c r="J9193" s="42">
        <v>44782</v>
      </c>
      <c r="K9193" s="33" t="s">
        <v>22</v>
      </c>
    </row>
    <row r="9194" spans="1:11">
      <c r="A9194" s="30" t="s">
        <v>21109</v>
      </c>
      <c r="B9194" s="30" t="s">
        <v>21110</v>
      </c>
      <c r="C9194" s="30" t="s">
        <v>2972</v>
      </c>
      <c r="D9194" s="30" t="s">
        <v>17</v>
      </c>
      <c r="E9194" s="30" t="s">
        <v>18</v>
      </c>
      <c r="F9194" s="30" t="s">
        <v>19</v>
      </c>
      <c r="G9194" s="30" t="s">
        <v>140</v>
      </c>
      <c r="H9194" s="32">
        <v>540</v>
      </c>
      <c r="I9194" s="30" t="s">
        <v>51</v>
      </c>
      <c r="J9194" s="41">
        <v>44914</v>
      </c>
      <c r="K9194" s="30" t="s">
        <v>22</v>
      </c>
    </row>
    <row r="9195" spans="1:11">
      <c r="A9195" s="33" t="s">
        <v>21111</v>
      </c>
      <c r="B9195" s="33" t="s">
        <v>21112</v>
      </c>
      <c r="C9195" s="33" t="s">
        <v>8142</v>
      </c>
      <c r="D9195" s="33" t="s">
        <v>17</v>
      </c>
      <c r="E9195" s="33" t="s">
        <v>31</v>
      </c>
      <c r="F9195" s="33" t="s">
        <v>32</v>
      </c>
      <c r="G9195" s="33" t="s">
        <v>140</v>
      </c>
      <c r="H9195" s="35">
        <v>56</v>
      </c>
      <c r="I9195" s="33" t="s">
        <v>51</v>
      </c>
      <c r="J9195" s="42">
        <v>44708</v>
      </c>
      <c r="K9195" s="33" t="s">
        <v>22</v>
      </c>
    </row>
    <row r="9196" spans="1:11">
      <c r="A9196" s="30" t="s">
        <v>21113</v>
      </c>
      <c r="B9196" s="30" t="s">
        <v>21114</v>
      </c>
      <c r="C9196" s="30" t="s">
        <v>2772</v>
      </c>
      <c r="D9196" s="30" t="s">
        <v>17</v>
      </c>
      <c r="E9196" s="30" t="s">
        <v>31</v>
      </c>
      <c r="F9196" s="30" t="s">
        <v>32</v>
      </c>
      <c r="G9196" s="30" t="s">
        <v>158</v>
      </c>
      <c r="H9196" s="32">
        <v>250</v>
      </c>
      <c r="I9196" s="30" t="s">
        <v>51</v>
      </c>
      <c r="J9196" s="41">
        <v>44670</v>
      </c>
      <c r="K9196" s="30" t="s">
        <v>22</v>
      </c>
    </row>
    <row r="9197" spans="1:11">
      <c r="A9197" s="33" t="s">
        <v>21115</v>
      </c>
      <c r="B9197" s="33" t="s">
        <v>21116</v>
      </c>
      <c r="C9197" s="33" t="s">
        <v>118</v>
      </c>
      <c r="D9197" s="33" t="s">
        <v>17</v>
      </c>
      <c r="E9197" s="33" t="s">
        <v>26</v>
      </c>
      <c r="F9197" s="33" t="s">
        <v>27</v>
      </c>
      <c r="G9197" s="33" t="s">
        <v>20</v>
      </c>
      <c r="H9197" s="35">
        <v>20</v>
      </c>
      <c r="I9197" s="33" t="s">
        <v>21</v>
      </c>
      <c r="J9197" s="42">
        <v>44778</v>
      </c>
      <c r="K9197" s="33" t="s">
        <v>22</v>
      </c>
    </row>
    <row r="9198" spans="1:11">
      <c r="A9198" s="30" t="s">
        <v>21117</v>
      </c>
      <c r="B9198" s="30" t="s">
        <v>21118</v>
      </c>
      <c r="C9198" s="30" t="s">
        <v>109</v>
      </c>
      <c r="D9198" s="30" t="s">
        <v>17</v>
      </c>
      <c r="E9198" s="30" t="s">
        <v>31</v>
      </c>
      <c r="F9198" s="30" t="s">
        <v>32</v>
      </c>
      <c r="G9198" s="30" t="s">
        <v>20</v>
      </c>
      <c r="H9198" s="32">
        <v>159</v>
      </c>
      <c r="I9198" s="30" t="s">
        <v>21</v>
      </c>
      <c r="J9198" s="41">
        <v>44715</v>
      </c>
      <c r="K9198" s="30" t="s">
        <v>22</v>
      </c>
    </row>
    <row r="9199" spans="1:11">
      <c r="A9199" s="33" t="s">
        <v>21119</v>
      </c>
      <c r="B9199" s="33" t="s">
        <v>21120</v>
      </c>
      <c r="C9199" s="33" t="s">
        <v>16992</v>
      </c>
      <c r="D9199" s="33" t="s">
        <v>17</v>
      </c>
      <c r="E9199" s="33" t="s">
        <v>45</v>
      </c>
      <c r="F9199" s="33" t="s">
        <v>46</v>
      </c>
      <c r="G9199" s="33" t="s">
        <v>69</v>
      </c>
      <c r="H9199" s="35">
        <v>600</v>
      </c>
      <c r="I9199" s="33" t="s">
        <v>51</v>
      </c>
      <c r="J9199" s="42">
        <v>44672</v>
      </c>
      <c r="K9199" s="33" t="s">
        <v>22</v>
      </c>
    </row>
    <row r="9200" spans="1:11">
      <c r="A9200" s="30" t="s">
        <v>21121</v>
      </c>
      <c r="B9200" s="30" t="s">
        <v>21122</v>
      </c>
      <c r="C9200" s="30" t="s">
        <v>11407</v>
      </c>
      <c r="D9200" s="30" t="s">
        <v>17</v>
      </c>
      <c r="E9200" s="30" t="s">
        <v>26</v>
      </c>
      <c r="F9200" s="30" t="s">
        <v>27</v>
      </c>
      <c r="G9200" s="30" t="s">
        <v>106</v>
      </c>
      <c r="H9200" s="32">
        <v>38</v>
      </c>
      <c r="I9200" s="30" t="s">
        <v>21</v>
      </c>
      <c r="J9200" s="41">
        <v>44782</v>
      </c>
      <c r="K9200" s="30" t="s">
        <v>22</v>
      </c>
    </row>
    <row r="9201" spans="1:11">
      <c r="A9201" s="33" t="s">
        <v>21123</v>
      </c>
      <c r="B9201" s="33" t="s">
        <v>21124</v>
      </c>
      <c r="C9201" s="33" t="s">
        <v>4565</v>
      </c>
      <c r="D9201" s="33" t="s">
        <v>17</v>
      </c>
      <c r="E9201" s="33" t="s">
        <v>18</v>
      </c>
      <c r="F9201" s="33" t="s">
        <v>19</v>
      </c>
      <c r="G9201" s="33" t="s">
        <v>50</v>
      </c>
      <c r="H9201" s="35">
        <v>36</v>
      </c>
      <c r="I9201" s="33" t="s">
        <v>51</v>
      </c>
      <c r="J9201" s="42">
        <v>44771</v>
      </c>
      <c r="K9201" s="33" t="s">
        <v>22</v>
      </c>
    </row>
    <row r="9202" spans="1:11">
      <c r="A9202" s="30" t="s">
        <v>21125</v>
      </c>
      <c r="B9202" s="30" t="s">
        <v>21126</v>
      </c>
      <c r="C9202" s="30" t="s">
        <v>7749</v>
      </c>
      <c r="D9202" s="30" t="s">
        <v>17</v>
      </c>
      <c r="E9202" s="30" t="s">
        <v>31</v>
      </c>
      <c r="F9202" s="30" t="s">
        <v>32</v>
      </c>
      <c r="G9202" s="30" t="s">
        <v>50</v>
      </c>
      <c r="H9202" s="32">
        <v>200</v>
      </c>
      <c r="I9202" s="30" t="s">
        <v>51</v>
      </c>
      <c r="J9202" s="41">
        <v>44743</v>
      </c>
      <c r="K9202" s="30" t="s">
        <v>22</v>
      </c>
    </row>
    <row r="9203" spans="1:11">
      <c r="A9203" s="33" t="s">
        <v>21127</v>
      </c>
      <c r="B9203" s="33" t="s">
        <v>21128</v>
      </c>
      <c r="C9203" s="33" t="s">
        <v>310</v>
      </c>
      <c r="D9203" s="33" t="s">
        <v>17</v>
      </c>
      <c r="E9203" s="33" t="s">
        <v>18</v>
      </c>
      <c r="F9203" s="33" t="s">
        <v>19</v>
      </c>
      <c r="G9203" s="33" t="s">
        <v>20</v>
      </c>
      <c r="H9203" s="35">
        <v>1291</v>
      </c>
      <c r="I9203" s="33" t="s">
        <v>21</v>
      </c>
      <c r="J9203" s="42">
        <v>44713</v>
      </c>
      <c r="K9203" s="33" t="s">
        <v>22</v>
      </c>
    </row>
    <row r="9204" spans="1:11">
      <c r="A9204" s="30" t="s">
        <v>21129</v>
      </c>
      <c r="B9204" s="30" t="s">
        <v>21130</v>
      </c>
      <c r="C9204" s="30" t="s">
        <v>21131</v>
      </c>
      <c r="D9204" s="30" t="s">
        <v>17</v>
      </c>
      <c r="E9204" s="30" t="s">
        <v>26</v>
      </c>
      <c r="F9204" s="30" t="s">
        <v>27</v>
      </c>
      <c r="G9204" s="30" t="s">
        <v>50</v>
      </c>
      <c r="H9204" s="32">
        <v>78</v>
      </c>
      <c r="I9204" s="30" t="s">
        <v>51</v>
      </c>
      <c r="J9204" s="41">
        <v>44851</v>
      </c>
      <c r="K9204" s="30" t="s">
        <v>22</v>
      </c>
    </row>
    <row r="9205" spans="1:11">
      <c r="A9205" s="33" t="s">
        <v>21132</v>
      </c>
      <c r="B9205" s="33" t="s">
        <v>21133</v>
      </c>
      <c r="C9205" s="33" t="s">
        <v>7296</v>
      </c>
      <c r="D9205" s="33" t="s">
        <v>17</v>
      </c>
      <c r="E9205" s="33" t="s">
        <v>31</v>
      </c>
      <c r="F9205" s="33" t="s">
        <v>32</v>
      </c>
      <c r="G9205" s="33" t="s">
        <v>112</v>
      </c>
      <c r="H9205" s="35">
        <v>0</v>
      </c>
      <c r="I9205" s="33" t="s">
        <v>21</v>
      </c>
      <c r="J9205" s="42">
        <v>44848</v>
      </c>
      <c r="K9205" s="33" t="s">
        <v>22</v>
      </c>
    </row>
    <row r="9206" spans="1:11">
      <c r="A9206" s="30" t="s">
        <v>21134</v>
      </c>
      <c r="B9206" s="30" t="s">
        <v>21135</v>
      </c>
      <c r="C9206" s="30" t="s">
        <v>21136</v>
      </c>
      <c r="D9206" s="30" t="s">
        <v>17</v>
      </c>
      <c r="E9206" s="30" t="s">
        <v>18</v>
      </c>
      <c r="F9206" s="30" t="s">
        <v>19</v>
      </c>
      <c r="G9206" s="30" t="s">
        <v>20</v>
      </c>
      <c r="H9206" s="32">
        <v>198</v>
      </c>
      <c r="I9206" s="30" t="s">
        <v>21</v>
      </c>
      <c r="J9206" s="41">
        <v>44624</v>
      </c>
      <c r="K9206" s="30" t="s">
        <v>22</v>
      </c>
    </row>
    <row r="9207" spans="1:11">
      <c r="A9207" s="33" t="s">
        <v>21137</v>
      </c>
      <c r="B9207" s="33" t="s">
        <v>21138</v>
      </c>
      <c r="C9207" s="33" t="s">
        <v>3034</v>
      </c>
      <c r="D9207" s="33" t="s">
        <v>17</v>
      </c>
      <c r="E9207" s="33" t="s">
        <v>31</v>
      </c>
      <c r="F9207" s="33" t="s">
        <v>32</v>
      </c>
      <c r="G9207" s="33" t="s">
        <v>106</v>
      </c>
      <c r="H9207" s="35">
        <v>96</v>
      </c>
      <c r="I9207" s="33" t="s">
        <v>21</v>
      </c>
      <c r="J9207" s="42">
        <v>44796</v>
      </c>
      <c r="K9207" s="33" t="s">
        <v>22</v>
      </c>
    </row>
    <row r="9208" spans="1:11">
      <c r="A9208" s="30" t="s">
        <v>21139</v>
      </c>
      <c r="B9208" s="30" t="s">
        <v>21140</v>
      </c>
      <c r="C9208" s="30" t="s">
        <v>118</v>
      </c>
      <c r="D9208" s="30" t="s">
        <v>17</v>
      </c>
      <c r="E9208" s="30" t="s">
        <v>26</v>
      </c>
      <c r="F9208" s="30" t="s">
        <v>27</v>
      </c>
      <c r="G9208" s="30" t="s">
        <v>20</v>
      </c>
      <c r="H9208" s="32">
        <v>27</v>
      </c>
      <c r="I9208" s="30" t="s">
        <v>21</v>
      </c>
      <c r="J9208" s="41">
        <v>44726</v>
      </c>
      <c r="K9208" s="30" t="s">
        <v>22</v>
      </c>
    </row>
    <row r="9209" spans="1:11">
      <c r="A9209" s="33" t="s">
        <v>21141</v>
      </c>
      <c r="B9209" s="33" t="s">
        <v>21142</v>
      </c>
      <c r="C9209" s="33" t="s">
        <v>21143</v>
      </c>
      <c r="D9209" s="33" t="s">
        <v>17</v>
      </c>
      <c r="E9209" s="33" t="s">
        <v>18</v>
      </c>
      <c r="F9209" s="33" t="s">
        <v>19</v>
      </c>
      <c r="G9209" s="33" t="s">
        <v>50</v>
      </c>
      <c r="H9209" s="35">
        <v>450</v>
      </c>
      <c r="I9209" s="33" t="s">
        <v>51</v>
      </c>
      <c r="J9209" s="42">
        <v>44562</v>
      </c>
      <c r="K9209" s="33" t="s">
        <v>22</v>
      </c>
    </row>
    <row r="9210" spans="1:11">
      <c r="A9210" s="30" t="s">
        <v>21144</v>
      </c>
      <c r="B9210" s="30" t="s">
        <v>21145</v>
      </c>
      <c r="C9210" s="30" t="s">
        <v>11609</v>
      </c>
      <c r="D9210" s="30" t="s">
        <v>17</v>
      </c>
      <c r="E9210" s="30" t="s">
        <v>18</v>
      </c>
      <c r="F9210" s="30" t="s">
        <v>19</v>
      </c>
      <c r="G9210" s="30" t="s">
        <v>20</v>
      </c>
      <c r="H9210" s="32">
        <v>211</v>
      </c>
      <c r="I9210" s="30" t="s">
        <v>21</v>
      </c>
      <c r="J9210" s="41">
        <v>44924</v>
      </c>
      <c r="K9210" s="30" t="s">
        <v>22</v>
      </c>
    </row>
    <row r="9211" spans="1:11">
      <c r="A9211" s="33" t="s">
        <v>21146</v>
      </c>
      <c r="B9211" s="33" t="s">
        <v>21147</v>
      </c>
      <c r="C9211" s="33" t="s">
        <v>647</v>
      </c>
      <c r="D9211" s="33" t="s">
        <v>17</v>
      </c>
      <c r="E9211" s="33" t="s">
        <v>31</v>
      </c>
      <c r="F9211" s="33" t="s">
        <v>32</v>
      </c>
      <c r="G9211" s="33" t="s">
        <v>20</v>
      </c>
      <c r="H9211" s="35">
        <v>116</v>
      </c>
      <c r="I9211" s="33" t="s">
        <v>21</v>
      </c>
      <c r="J9211" s="42">
        <v>44867</v>
      </c>
      <c r="K9211" s="33" t="s">
        <v>22</v>
      </c>
    </row>
    <row r="9212" spans="1:11">
      <c r="A9212" s="30" t="s">
        <v>21148</v>
      </c>
      <c r="B9212" s="30" t="s">
        <v>21149</v>
      </c>
      <c r="C9212" s="30" t="s">
        <v>2562</v>
      </c>
      <c r="D9212" s="30" t="s">
        <v>17</v>
      </c>
      <c r="E9212" s="30" t="s">
        <v>67</v>
      </c>
      <c r="F9212" s="30" t="s">
        <v>68</v>
      </c>
      <c r="G9212" s="30" t="s">
        <v>50</v>
      </c>
      <c r="H9212" s="32">
        <v>54</v>
      </c>
      <c r="I9212" s="30" t="s">
        <v>51</v>
      </c>
      <c r="J9212" s="41">
        <v>44609</v>
      </c>
      <c r="K9212" s="30" t="s">
        <v>22</v>
      </c>
    </row>
    <row r="9213" spans="1:11">
      <c r="A9213" s="33" t="s">
        <v>21150</v>
      </c>
      <c r="B9213" s="33" t="s">
        <v>21151</v>
      </c>
      <c r="C9213" s="33" t="s">
        <v>7383</v>
      </c>
      <c r="D9213" s="33" t="s">
        <v>17</v>
      </c>
      <c r="E9213" s="33" t="s">
        <v>67</v>
      </c>
      <c r="F9213" s="33" t="s">
        <v>68</v>
      </c>
      <c r="G9213" s="33" t="s">
        <v>50</v>
      </c>
      <c r="H9213" s="35">
        <v>108</v>
      </c>
      <c r="I9213" s="33" t="s">
        <v>51</v>
      </c>
      <c r="J9213" s="42">
        <v>44773</v>
      </c>
      <c r="K9213" s="33" t="s">
        <v>22</v>
      </c>
    </row>
    <row r="9214" spans="1:11">
      <c r="A9214" s="30" t="s">
        <v>21152</v>
      </c>
      <c r="B9214" s="30" t="s">
        <v>21153</v>
      </c>
      <c r="C9214" s="30" t="s">
        <v>75</v>
      </c>
      <c r="D9214" s="30" t="s">
        <v>17</v>
      </c>
      <c r="E9214" s="30" t="s">
        <v>31</v>
      </c>
      <c r="F9214" s="30" t="s">
        <v>32</v>
      </c>
      <c r="G9214" s="30" t="s">
        <v>20</v>
      </c>
      <c r="H9214" s="32">
        <v>102</v>
      </c>
      <c r="I9214" s="30" t="s">
        <v>21</v>
      </c>
      <c r="J9214" s="41">
        <v>44586</v>
      </c>
      <c r="K9214" s="30" t="s">
        <v>22</v>
      </c>
    </row>
    <row r="9215" spans="1:11">
      <c r="A9215" s="33" t="s">
        <v>21154</v>
      </c>
      <c r="B9215" s="33" t="s">
        <v>21155</v>
      </c>
      <c r="C9215" s="33" t="s">
        <v>21156</v>
      </c>
      <c r="D9215" s="33" t="s">
        <v>17</v>
      </c>
      <c r="E9215" s="33" t="s">
        <v>18</v>
      </c>
      <c r="F9215" s="33" t="s">
        <v>19</v>
      </c>
      <c r="G9215" s="33" t="s">
        <v>106</v>
      </c>
      <c r="H9215" s="35">
        <v>8</v>
      </c>
      <c r="I9215" s="33" t="s">
        <v>21</v>
      </c>
      <c r="J9215" s="42">
        <v>44909</v>
      </c>
      <c r="K9215" s="33" t="s">
        <v>22</v>
      </c>
    </row>
    <row r="9216" spans="1:11">
      <c r="A9216" s="30" t="s">
        <v>21157</v>
      </c>
      <c r="B9216" s="30" t="s">
        <v>21158</v>
      </c>
      <c r="C9216" s="30" t="s">
        <v>21159</v>
      </c>
      <c r="D9216" s="30" t="s">
        <v>17</v>
      </c>
      <c r="E9216" s="30" t="s">
        <v>67</v>
      </c>
      <c r="F9216" s="30" t="s">
        <v>68</v>
      </c>
      <c r="G9216" s="30" t="s">
        <v>140</v>
      </c>
      <c r="H9216" s="32">
        <v>180</v>
      </c>
      <c r="I9216" s="30" t="s">
        <v>51</v>
      </c>
      <c r="J9216" s="41">
        <v>44749</v>
      </c>
      <c r="K9216" s="30" t="s">
        <v>22</v>
      </c>
    </row>
    <row r="9217" spans="1:11">
      <c r="A9217" s="33" t="s">
        <v>21160</v>
      </c>
      <c r="B9217" s="33" t="s">
        <v>21161</v>
      </c>
      <c r="C9217" s="33" t="s">
        <v>231</v>
      </c>
      <c r="D9217" s="33" t="s">
        <v>17</v>
      </c>
      <c r="E9217" s="33" t="s">
        <v>26</v>
      </c>
      <c r="F9217" s="33" t="s">
        <v>27</v>
      </c>
      <c r="G9217" s="33" t="s">
        <v>20</v>
      </c>
      <c r="H9217" s="35">
        <v>19</v>
      </c>
      <c r="I9217" s="33" t="s">
        <v>21</v>
      </c>
      <c r="J9217" s="42">
        <v>44889</v>
      </c>
      <c r="K9217" s="33" t="s">
        <v>22</v>
      </c>
    </row>
    <row r="9218" spans="1:11">
      <c r="A9218" s="30" t="s">
        <v>21162</v>
      </c>
      <c r="B9218" s="30" t="s">
        <v>21163</v>
      </c>
      <c r="C9218" s="30" t="s">
        <v>102</v>
      </c>
      <c r="D9218" s="30" t="s">
        <v>17</v>
      </c>
      <c r="E9218" s="30" t="s">
        <v>212</v>
      </c>
      <c r="F9218" s="30" t="s">
        <v>213</v>
      </c>
      <c r="G9218" s="30" t="s">
        <v>140</v>
      </c>
      <c r="H9218" s="32">
        <v>295</v>
      </c>
      <c r="I9218" s="30" t="s">
        <v>51</v>
      </c>
      <c r="J9218" s="41">
        <v>44629</v>
      </c>
      <c r="K9218" s="30" t="s">
        <v>22</v>
      </c>
    </row>
    <row r="9219" spans="1:11">
      <c r="A9219" s="33" t="s">
        <v>21164</v>
      </c>
      <c r="B9219" s="33" t="s">
        <v>21165</v>
      </c>
      <c r="C9219" s="33" t="s">
        <v>416</v>
      </c>
      <c r="D9219" s="33" t="s">
        <v>17</v>
      </c>
      <c r="E9219" s="33" t="s">
        <v>18</v>
      </c>
      <c r="F9219" s="33" t="s">
        <v>19</v>
      </c>
      <c r="G9219" s="33" t="s">
        <v>20</v>
      </c>
      <c r="H9219" s="35">
        <v>32</v>
      </c>
      <c r="I9219" s="33" t="s">
        <v>21</v>
      </c>
      <c r="J9219" s="42">
        <v>44768</v>
      </c>
      <c r="K9219" s="33" t="s">
        <v>22</v>
      </c>
    </row>
    <row r="9220" spans="1:11">
      <c r="A9220" s="30" t="s">
        <v>21166</v>
      </c>
      <c r="B9220" s="30" t="s">
        <v>21167</v>
      </c>
      <c r="C9220" s="30" t="s">
        <v>8052</v>
      </c>
      <c r="D9220" s="30" t="s">
        <v>17</v>
      </c>
      <c r="E9220" s="30" t="s">
        <v>26</v>
      </c>
      <c r="F9220" s="30" t="s">
        <v>27</v>
      </c>
      <c r="G9220" s="30" t="s">
        <v>106</v>
      </c>
      <c r="H9220" s="32">
        <v>57</v>
      </c>
      <c r="I9220" s="30" t="s">
        <v>21</v>
      </c>
      <c r="J9220" s="41">
        <v>44841</v>
      </c>
      <c r="K9220" s="30" t="s">
        <v>22</v>
      </c>
    </row>
    <row r="9221" spans="1:11">
      <c r="A9221" s="33" t="s">
        <v>21168</v>
      </c>
      <c r="B9221" s="33" t="s">
        <v>21169</v>
      </c>
      <c r="C9221" s="33" t="s">
        <v>1207</v>
      </c>
      <c r="D9221" s="33" t="s">
        <v>17</v>
      </c>
      <c r="E9221" s="33" t="s">
        <v>31</v>
      </c>
      <c r="F9221" s="33" t="s">
        <v>32</v>
      </c>
      <c r="G9221" s="33" t="s">
        <v>20</v>
      </c>
      <c r="H9221" s="35">
        <v>38</v>
      </c>
      <c r="I9221" s="33" t="s">
        <v>21</v>
      </c>
      <c r="J9221" s="42">
        <v>44588</v>
      </c>
      <c r="K9221" s="33" t="s">
        <v>22</v>
      </c>
    </row>
    <row r="9222" spans="1:11">
      <c r="A9222" s="30" t="s">
        <v>21170</v>
      </c>
      <c r="B9222" s="30" t="s">
        <v>21171</v>
      </c>
      <c r="C9222" s="30" t="s">
        <v>75</v>
      </c>
      <c r="D9222" s="30" t="s">
        <v>17</v>
      </c>
      <c r="E9222" s="30" t="s">
        <v>31</v>
      </c>
      <c r="F9222" s="30" t="s">
        <v>32</v>
      </c>
      <c r="G9222" s="30" t="s">
        <v>140</v>
      </c>
      <c r="H9222" s="32">
        <v>189</v>
      </c>
      <c r="I9222" s="30" t="s">
        <v>51</v>
      </c>
      <c r="J9222" s="41">
        <v>44904</v>
      </c>
      <c r="K9222" s="30" t="s">
        <v>22</v>
      </c>
    </row>
    <row r="9223" spans="1:11">
      <c r="A9223" s="33" t="s">
        <v>21172</v>
      </c>
      <c r="B9223" s="33" t="s">
        <v>21173</v>
      </c>
      <c r="C9223" s="33" t="s">
        <v>8653</v>
      </c>
      <c r="D9223" s="33" t="s">
        <v>17</v>
      </c>
      <c r="E9223" s="33" t="s">
        <v>18</v>
      </c>
      <c r="F9223" s="33" t="s">
        <v>19</v>
      </c>
      <c r="G9223" s="33" t="s">
        <v>20</v>
      </c>
      <c r="H9223" s="35">
        <v>329</v>
      </c>
      <c r="I9223" s="33" t="s">
        <v>21</v>
      </c>
      <c r="J9223" s="42">
        <v>44823</v>
      </c>
      <c r="K9223" s="33" t="s">
        <v>22</v>
      </c>
    </row>
    <row r="9224" spans="1:11">
      <c r="A9224" s="30" t="s">
        <v>21174</v>
      </c>
      <c r="B9224" s="30" t="s">
        <v>21175</v>
      </c>
      <c r="C9224" s="30" t="s">
        <v>2778</v>
      </c>
      <c r="D9224" s="30" t="s">
        <v>17</v>
      </c>
      <c r="E9224" s="30" t="s">
        <v>67</v>
      </c>
      <c r="F9224" s="30" t="s">
        <v>68</v>
      </c>
      <c r="G9224" s="30" t="s">
        <v>20</v>
      </c>
      <c r="H9224" s="32">
        <v>12</v>
      </c>
      <c r="I9224" s="30" t="s">
        <v>21</v>
      </c>
      <c r="J9224" s="41">
        <v>44774</v>
      </c>
      <c r="K9224" s="30" t="s">
        <v>22</v>
      </c>
    </row>
    <row r="9225" spans="1:11">
      <c r="A9225" s="33" t="s">
        <v>21176</v>
      </c>
      <c r="B9225" s="33" t="s">
        <v>21177</v>
      </c>
      <c r="C9225" s="33" t="s">
        <v>136</v>
      </c>
      <c r="D9225" s="33" t="s">
        <v>17</v>
      </c>
      <c r="E9225" s="33" t="s">
        <v>18</v>
      </c>
      <c r="F9225" s="33" t="s">
        <v>19</v>
      </c>
      <c r="G9225" s="33" t="s">
        <v>20</v>
      </c>
      <c r="H9225" s="35">
        <v>1667</v>
      </c>
      <c r="I9225" s="33" t="s">
        <v>21</v>
      </c>
      <c r="J9225" s="42">
        <v>44774</v>
      </c>
      <c r="K9225" s="33" t="s">
        <v>22</v>
      </c>
    </row>
    <row r="9226" spans="1:11">
      <c r="A9226" s="30" t="s">
        <v>21178</v>
      </c>
      <c r="B9226" s="30" t="s">
        <v>21179</v>
      </c>
      <c r="C9226" s="30" t="s">
        <v>149</v>
      </c>
      <c r="D9226" s="30" t="s">
        <v>17</v>
      </c>
      <c r="E9226" s="30" t="s">
        <v>31</v>
      </c>
      <c r="F9226" s="30" t="s">
        <v>32</v>
      </c>
      <c r="G9226" s="30" t="s">
        <v>50</v>
      </c>
      <c r="H9226" s="32">
        <v>30</v>
      </c>
      <c r="I9226" s="30" t="s">
        <v>51</v>
      </c>
      <c r="J9226" s="41">
        <v>44769</v>
      </c>
      <c r="K9226" s="30" t="s">
        <v>22</v>
      </c>
    </row>
    <row r="9227" spans="1:11">
      <c r="A9227" s="33" t="s">
        <v>21180</v>
      </c>
      <c r="B9227" s="33" t="s">
        <v>21181</v>
      </c>
      <c r="C9227" s="33" t="s">
        <v>21182</v>
      </c>
      <c r="D9227" s="33" t="s">
        <v>17</v>
      </c>
      <c r="E9227" s="33" t="s">
        <v>31</v>
      </c>
      <c r="F9227" s="33" t="s">
        <v>32</v>
      </c>
      <c r="G9227" s="33" t="s">
        <v>106</v>
      </c>
      <c r="H9227" s="35">
        <v>8</v>
      </c>
      <c r="I9227" s="33" t="s">
        <v>21</v>
      </c>
      <c r="J9227" s="42">
        <v>44773</v>
      </c>
      <c r="K9227" s="33" t="s">
        <v>22</v>
      </c>
    </row>
    <row r="9228" spans="1:11">
      <c r="A9228" s="30" t="s">
        <v>21183</v>
      </c>
      <c r="B9228" s="30" t="s">
        <v>21184</v>
      </c>
      <c r="C9228" s="30" t="s">
        <v>21185</v>
      </c>
      <c r="D9228" s="30" t="s">
        <v>17</v>
      </c>
      <c r="E9228" s="30" t="s">
        <v>26</v>
      </c>
      <c r="F9228" s="30" t="s">
        <v>27</v>
      </c>
      <c r="G9228" s="30" t="s">
        <v>50</v>
      </c>
      <c r="H9228" s="32">
        <v>280</v>
      </c>
      <c r="I9228" s="30" t="s">
        <v>51</v>
      </c>
      <c r="J9228" s="41">
        <v>44678</v>
      </c>
      <c r="K9228" s="30" t="s">
        <v>22</v>
      </c>
    </row>
    <row r="9229" spans="1:11">
      <c r="A9229" s="33" t="s">
        <v>21186</v>
      </c>
      <c r="B9229" s="33" t="s">
        <v>21187</v>
      </c>
      <c r="C9229" s="33" t="s">
        <v>587</v>
      </c>
      <c r="D9229" s="33" t="s">
        <v>17</v>
      </c>
      <c r="E9229" s="33" t="s">
        <v>26</v>
      </c>
      <c r="F9229" s="33" t="s">
        <v>27</v>
      </c>
      <c r="G9229" s="33" t="s">
        <v>20</v>
      </c>
      <c r="H9229" s="35">
        <v>24</v>
      </c>
      <c r="I9229" s="33" t="s">
        <v>21</v>
      </c>
      <c r="J9229" s="42">
        <v>44867</v>
      </c>
      <c r="K9229" s="33" t="s">
        <v>22</v>
      </c>
    </row>
    <row r="9230" spans="1:11">
      <c r="A9230" s="30" t="s">
        <v>21188</v>
      </c>
      <c r="B9230" s="30" t="s">
        <v>21189</v>
      </c>
      <c r="C9230" s="30" t="s">
        <v>21190</v>
      </c>
      <c r="D9230" s="30" t="s">
        <v>17</v>
      </c>
      <c r="E9230" s="30" t="s">
        <v>26</v>
      </c>
      <c r="F9230" s="30" t="s">
        <v>27</v>
      </c>
      <c r="G9230" s="30" t="s">
        <v>140</v>
      </c>
      <c r="H9230" s="32">
        <v>45</v>
      </c>
      <c r="I9230" s="30" t="s">
        <v>51</v>
      </c>
      <c r="J9230" s="41">
        <v>44921</v>
      </c>
      <c r="K9230" s="30" t="s">
        <v>22</v>
      </c>
    </row>
    <row r="9231" spans="1:11">
      <c r="A9231" s="33" t="s">
        <v>21191</v>
      </c>
      <c r="B9231" s="33" t="s">
        <v>21192</v>
      </c>
      <c r="C9231" s="33" t="s">
        <v>21193</v>
      </c>
      <c r="D9231" s="33" t="s">
        <v>17</v>
      </c>
      <c r="E9231" s="33" t="s">
        <v>26</v>
      </c>
      <c r="F9231" s="33" t="s">
        <v>27</v>
      </c>
      <c r="G9231" s="33" t="s">
        <v>106</v>
      </c>
      <c r="H9231" s="35">
        <v>29</v>
      </c>
      <c r="I9231" s="33" t="s">
        <v>21</v>
      </c>
      <c r="J9231" s="42">
        <v>44889</v>
      </c>
      <c r="K9231" s="33" t="s">
        <v>22</v>
      </c>
    </row>
    <row r="9232" spans="1:11">
      <c r="A9232" s="30" t="s">
        <v>21194</v>
      </c>
      <c r="B9232" s="30" t="s">
        <v>21195</v>
      </c>
      <c r="C9232" s="30" t="s">
        <v>21196</v>
      </c>
      <c r="D9232" s="30" t="s">
        <v>17</v>
      </c>
      <c r="E9232" s="30" t="s">
        <v>31</v>
      </c>
      <c r="F9232" s="30" t="s">
        <v>32</v>
      </c>
      <c r="G9232" s="30" t="s">
        <v>158</v>
      </c>
      <c r="H9232" s="32">
        <v>100</v>
      </c>
      <c r="I9232" s="30" t="s">
        <v>21</v>
      </c>
      <c r="J9232" s="41">
        <v>44656</v>
      </c>
      <c r="K9232" s="30" t="s">
        <v>22</v>
      </c>
    </row>
    <row r="9233" spans="1:11">
      <c r="A9233" s="33" t="s">
        <v>21197</v>
      </c>
      <c r="B9233" s="33" t="s">
        <v>21198</v>
      </c>
      <c r="C9233" s="33" t="s">
        <v>5842</v>
      </c>
      <c r="D9233" s="33" t="s">
        <v>17</v>
      </c>
      <c r="E9233" s="33" t="s">
        <v>26</v>
      </c>
      <c r="F9233" s="33" t="s">
        <v>27</v>
      </c>
      <c r="G9233" s="33" t="s">
        <v>106</v>
      </c>
      <c r="H9233" s="35">
        <v>50</v>
      </c>
      <c r="I9233" s="33" t="s">
        <v>21</v>
      </c>
      <c r="J9233" s="42">
        <v>44873</v>
      </c>
      <c r="K9233" s="33" t="s">
        <v>22</v>
      </c>
    </row>
    <row r="9234" spans="1:11">
      <c r="A9234" s="30" t="s">
        <v>21199</v>
      </c>
      <c r="B9234" s="30" t="s">
        <v>21200</v>
      </c>
      <c r="C9234" s="30" t="s">
        <v>969</v>
      </c>
      <c r="D9234" s="30" t="s">
        <v>17</v>
      </c>
      <c r="E9234" s="30" t="s">
        <v>18</v>
      </c>
      <c r="F9234" s="30" t="s">
        <v>19</v>
      </c>
      <c r="G9234" s="30" t="s">
        <v>140</v>
      </c>
      <c r="H9234" s="32">
        <v>123</v>
      </c>
      <c r="I9234" s="30" t="s">
        <v>51</v>
      </c>
      <c r="J9234" s="41">
        <v>44810</v>
      </c>
      <c r="K9234" s="30" t="s">
        <v>22</v>
      </c>
    </row>
    <row r="9235" spans="1:11">
      <c r="A9235" s="33" t="s">
        <v>21201</v>
      </c>
      <c r="B9235" s="33" t="s">
        <v>21202</v>
      </c>
      <c r="C9235" s="33" t="s">
        <v>109</v>
      </c>
      <c r="D9235" s="33" t="s">
        <v>17</v>
      </c>
      <c r="E9235" s="33" t="s">
        <v>18</v>
      </c>
      <c r="F9235" s="33" t="s">
        <v>19</v>
      </c>
      <c r="G9235" s="33" t="s">
        <v>20</v>
      </c>
      <c r="H9235" s="35">
        <v>62</v>
      </c>
      <c r="I9235" s="33" t="s">
        <v>21</v>
      </c>
      <c r="J9235" s="42">
        <v>44897</v>
      </c>
      <c r="K9235" s="33" t="s">
        <v>22</v>
      </c>
    </row>
    <row r="9236" spans="1:11">
      <c r="A9236" s="30" t="s">
        <v>21203</v>
      </c>
      <c r="B9236" s="30" t="s">
        <v>21204</v>
      </c>
      <c r="C9236" s="30" t="s">
        <v>21205</v>
      </c>
      <c r="D9236" s="30" t="s">
        <v>17</v>
      </c>
      <c r="E9236" s="30" t="s">
        <v>67</v>
      </c>
      <c r="F9236" s="30" t="s">
        <v>68</v>
      </c>
      <c r="G9236" s="30" t="s">
        <v>112</v>
      </c>
      <c r="H9236" s="32">
        <v>0</v>
      </c>
      <c r="I9236" s="30" t="s">
        <v>21</v>
      </c>
      <c r="J9236" s="41">
        <v>44910</v>
      </c>
      <c r="K9236" s="30" t="s">
        <v>22</v>
      </c>
    </row>
    <row r="9237" spans="1:11">
      <c r="A9237" s="33" t="s">
        <v>21206</v>
      </c>
      <c r="B9237" s="33" t="s">
        <v>21207</v>
      </c>
      <c r="C9237" s="33" t="s">
        <v>78</v>
      </c>
      <c r="D9237" s="33" t="s">
        <v>17</v>
      </c>
      <c r="E9237" s="33" t="s">
        <v>26</v>
      </c>
      <c r="F9237" s="33" t="s">
        <v>27</v>
      </c>
      <c r="G9237" s="33" t="s">
        <v>20</v>
      </c>
      <c r="H9237" s="35">
        <v>31</v>
      </c>
      <c r="I9237" s="33" t="s">
        <v>21</v>
      </c>
      <c r="J9237" s="42">
        <v>44823</v>
      </c>
      <c r="K9237" s="33" t="s">
        <v>22</v>
      </c>
    </row>
    <row r="9238" spans="1:11">
      <c r="A9238" s="30" t="s">
        <v>21208</v>
      </c>
      <c r="B9238" s="30" t="s">
        <v>21209</v>
      </c>
      <c r="C9238" s="30" t="s">
        <v>21210</v>
      </c>
      <c r="D9238" s="30" t="s">
        <v>17</v>
      </c>
      <c r="E9238" s="30" t="s">
        <v>67</v>
      </c>
      <c r="F9238" s="30" t="s">
        <v>68</v>
      </c>
      <c r="G9238" s="30" t="s">
        <v>158</v>
      </c>
      <c r="H9238" s="32">
        <v>10</v>
      </c>
      <c r="I9238" s="30" t="s">
        <v>51</v>
      </c>
      <c r="J9238" s="41">
        <v>44670</v>
      </c>
      <c r="K9238" s="30" t="s">
        <v>22</v>
      </c>
    </row>
    <row r="9239" spans="1:11">
      <c r="A9239" s="33" t="s">
        <v>21211</v>
      </c>
      <c r="B9239" s="33" t="s">
        <v>21212</v>
      </c>
      <c r="C9239" s="33" t="s">
        <v>15221</v>
      </c>
      <c r="D9239" s="33" t="s">
        <v>17</v>
      </c>
      <c r="E9239" s="33" t="s">
        <v>26</v>
      </c>
      <c r="F9239" s="33" t="s">
        <v>27</v>
      </c>
      <c r="G9239" s="33" t="s">
        <v>20</v>
      </c>
      <c r="H9239" s="35">
        <v>35</v>
      </c>
      <c r="I9239" s="33" t="s">
        <v>21</v>
      </c>
      <c r="J9239" s="42">
        <v>44892</v>
      </c>
      <c r="K9239" s="33" t="s">
        <v>22</v>
      </c>
    </row>
    <row r="9240" spans="1:11">
      <c r="A9240" s="30" t="s">
        <v>21213</v>
      </c>
      <c r="B9240" s="30" t="s">
        <v>21214</v>
      </c>
      <c r="C9240" s="30" t="s">
        <v>109</v>
      </c>
      <c r="D9240" s="30" t="s">
        <v>17</v>
      </c>
      <c r="E9240" s="30" t="s">
        <v>212</v>
      </c>
      <c r="F9240" s="30" t="s">
        <v>213</v>
      </c>
      <c r="G9240" s="30" t="s">
        <v>20</v>
      </c>
      <c r="H9240" s="32">
        <v>301</v>
      </c>
      <c r="I9240" s="30" t="s">
        <v>21</v>
      </c>
      <c r="J9240" s="41">
        <v>44603</v>
      </c>
      <c r="K9240" s="30" t="s">
        <v>22</v>
      </c>
    </row>
    <row r="9241" spans="1:11">
      <c r="A9241" s="33" t="s">
        <v>21215</v>
      </c>
      <c r="B9241" s="33" t="s">
        <v>21216</v>
      </c>
      <c r="C9241" s="33" t="s">
        <v>9493</v>
      </c>
      <c r="D9241" s="33" t="s">
        <v>17</v>
      </c>
      <c r="E9241" s="33" t="s">
        <v>26</v>
      </c>
      <c r="F9241" s="33" t="s">
        <v>27</v>
      </c>
      <c r="G9241" s="33" t="s">
        <v>158</v>
      </c>
      <c r="H9241" s="35">
        <v>44</v>
      </c>
      <c r="I9241" s="33" t="s">
        <v>51</v>
      </c>
      <c r="J9241" s="42">
        <v>44774</v>
      </c>
      <c r="K9241" s="33" t="s">
        <v>22</v>
      </c>
    </row>
    <row r="9242" spans="1:11">
      <c r="A9242" s="30" t="s">
        <v>21217</v>
      </c>
      <c r="B9242" s="30" t="s">
        <v>21218</v>
      </c>
      <c r="C9242" s="30" t="s">
        <v>21219</v>
      </c>
      <c r="D9242" s="30" t="s">
        <v>17</v>
      </c>
      <c r="E9242" s="30" t="s">
        <v>26</v>
      </c>
      <c r="F9242" s="30" t="s">
        <v>27</v>
      </c>
      <c r="G9242" s="30" t="s">
        <v>20</v>
      </c>
      <c r="H9242" s="32">
        <v>16</v>
      </c>
      <c r="I9242" s="30" t="s">
        <v>21</v>
      </c>
      <c r="J9242" s="41">
        <v>44781</v>
      </c>
      <c r="K9242" s="30" t="s">
        <v>22</v>
      </c>
    </row>
    <row r="9243" spans="1:11">
      <c r="A9243" s="33" t="s">
        <v>21220</v>
      </c>
      <c r="B9243" s="33" t="s">
        <v>21221</v>
      </c>
      <c r="C9243" s="33" t="s">
        <v>118</v>
      </c>
      <c r="D9243" s="33" t="s">
        <v>17</v>
      </c>
      <c r="E9243" s="33" t="s">
        <v>18</v>
      </c>
      <c r="F9243" s="33" t="s">
        <v>19</v>
      </c>
      <c r="G9243" s="33" t="s">
        <v>140</v>
      </c>
      <c r="H9243" s="35">
        <v>219</v>
      </c>
      <c r="I9243" s="33" t="s">
        <v>51</v>
      </c>
      <c r="J9243" s="42">
        <v>44648</v>
      </c>
      <c r="K9243" s="33" t="s">
        <v>22</v>
      </c>
    </row>
    <row r="9244" spans="1:11">
      <c r="A9244" s="30" t="s">
        <v>21222</v>
      </c>
      <c r="B9244" s="30" t="s">
        <v>21223</v>
      </c>
      <c r="C9244" s="30" t="s">
        <v>5226</v>
      </c>
      <c r="D9244" s="30" t="s">
        <v>17</v>
      </c>
      <c r="E9244" s="30" t="s">
        <v>26</v>
      </c>
      <c r="F9244" s="30" t="s">
        <v>27</v>
      </c>
      <c r="G9244" s="30" t="s">
        <v>20</v>
      </c>
      <c r="H9244" s="32">
        <v>24</v>
      </c>
      <c r="I9244" s="30" t="s">
        <v>21</v>
      </c>
      <c r="J9244" s="41">
        <v>44564</v>
      </c>
      <c r="K9244" s="30" t="s">
        <v>22</v>
      </c>
    </row>
    <row r="9245" spans="1:11">
      <c r="A9245" s="33" t="s">
        <v>21224</v>
      </c>
      <c r="B9245" s="33" t="s">
        <v>21225</v>
      </c>
      <c r="C9245" s="33" t="s">
        <v>318</v>
      </c>
      <c r="D9245" s="33" t="s">
        <v>17</v>
      </c>
      <c r="E9245" s="33" t="s">
        <v>26</v>
      </c>
      <c r="F9245" s="33" t="s">
        <v>27</v>
      </c>
      <c r="G9245" s="33" t="s">
        <v>20</v>
      </c>
      <c r="H9245" s="35">
        <v>146</v>
      </c>
      <c r="I9245" s="33" t="s">
        <v>21</v>
      </c>
      <c r="J9245" s="42">
        <v>44641</v>
      </c>
      <c r="K9245" s="33" t="s">
        <v>22</v>
      </c>
    </row>
    <row r="9246" spans="1:11">
      <c r="A9246" s="30" t="s">
        <v>21226</v>
      </c>
      <c r="B9246" s="30" t="s">
        <v>21227</v>
      </c>
      <c r="C9246" s="30" t="s">
        <v>6248</v>
      </c>
      <c r="D9246" s="30" t="s">
        <v>17</v>
      </c>
      <c r="E9246" s="30" t="s">
        <v>18</v>
      </c>
      <c r="F9246" s="30" t="s">
        <v>19</v>
      </c>
      <c r="G9246" s="30" t="s">
        <v>20</v>
      </c>
      <c r="H9246" s="32">
        <v>282</v>
      </c>
      <c r="I9246" s="30" t="s">
        <v>21</v>
      </c>
      <c r="J9246" s="41">
        <v>44593</v>
      </c>
      <c r="K9246" s="30" t="s">
        <v>22</v>
      </c>
    </row>
    <row r="9247" spans="1:11">
      <c r="A9247" s="33" t="s">
        <v>21228</v>
      </c>
      <c r="B9247" s="33" t="s">
        <v>21229</v>
      </c>
      <c r="C9247" s="33" t="s">
        <v>899</v>
      </c>
      <c r="D9247" s="33" t="s">
        <v>17</v>
      </c>
      <c r="E9247" s="33" t="s">
        <v>26</v>
      </c>
      <c r="F9247" s="33" t="s">
        <v>27</v>
      </c>
      <c r="G9247" s="33" t="s">
        <v>20</v>
      </c>
      <c r="H9247" s="35">
        <v>32</v>
      </c>
      <c r="I9247" s="33" t="s">
        <v>21</v>
      </c>
      <c r="J9247" s="42">
        <v>44670</v>
      </c>
      <c r="K9247" s="33" t="s">
        <v>22</v>
      </c>
    </row>
    <row r="9248" spans="1:11">
      <c r="A9248" s="30" t="s">
        <v>21230</v>
      </c>
      <c r="B9248" s="30" t="s">
        <v>21231</v>
      </c>
      <c r="C9248" s="30" t="s">
        <v>21232</v>
      </c>
      <c r="D9248" s="30" t="s">
        <v>17</v>
      </c>
      <c r="E9248" s="30" t="s">
        <v>31</v>
      </c>
      <c r="F9248" s="30" t="s">
        <v>32</v>
      </c>
      <c r="G9248" s="30" t="s">
        <v>20</v>
      </c>
      <c r="H9248" s="32">
        <v>234</v>
      </c>
      <c r="I9248" s="30" t="s">
        <v>21</v>
      </c>
      <c r="J9248" s="41">
        <v>44676</v>
      </c>
      <c r="K9248" s="30" t="s">
        <v>22</v>
      </c>
    </row>
    <row r="9249" spans="1:11">
      <c r="A9249" s="33" t="s">
        <v>21233</v>
      </c>
      <c r="B9249" s="33" t="s">
        <v>21234</v>
      </c>
      <c r="C9249" s="33" t="s">
        <v>16549</v>
      </c>
      <c r="D9249" s="33" t="s">
        <v>17</v>
      </c>
      <c r="E9249" s="33" t="s">
        <v>31</v>
      </c>
      <c r="F9249" s="33" t="s">
        <v>32</v>
      </c>
      <c r="G9249" s="33" t="s">
        <v>106</v>
      </c>
      <c r="H9249" s="35">
        <v>1</v>
      </c>
      <c r="I9249" s="33" t="s">
        <v>21</v>
      </c>
      <c r="J9249" s="42">
        <v>44629</v>
      </c>
      <c r="K9249" s="33" t="s">
        <v>22</v>
      </c>
    </row>
    <row r="9250" spans="1:11">
      <c r="A9250" s="30" t="s">
        <v>21235</v>
      </c>
      <c r="B9250" s="30" t="s">
        <v>21236</v>
      </c>
      <c r="C9250" s="30" t="s">
        <v>2313</v>
      </c>
      <c r="D9250" s="30" t="s">
        <v>17</v>
      </c>
      <c r="E9250" s="30" t="s">
        <v>31</v>
      </c>
      <c r="F9250" s="30" t="s">
        <v>32</v>
      </c>
      <c r="G9250" s="30" t="s">
        <v>158</v>
      </c>
      <c r="H9250" s="32">
        <v>320</v>
      </c>
      <c r="I9250" s="30" t="s">
        <v>21</v>
      </c>
      <c r="J9250" s="41">
        <v>44593</v>
      </c>
      <c r="K9250" s="30" t="s">
        <v>22</v>
      </c>
    </row>
    <row r="9251" spans="1:11">
      <c r="A9251" s="33" t="s">
        <v>21237</v>
      </c>
      <c r="B9251" s="33" t="s">
        <v>21238</v>
      </c>
      <c r="C9251" s="33" t="s">
        <v>2196</v>
      </c>
      <c r="D9251" s="33" t="s">
        <v>17</v>
      </c>
      <c r="E9251" s="33" t="s">
        <v>26</v>
      </c>
      <c r="F9251" s="33" t="s">
        <v>27</v>
      </c>
      <c r="G9251" s="33" t="s">
        <v>20</v>
      </c>
      <c r="H9251" s="35">
        <v>24</v>
      </c>
      <c r="I9251" s="33" t="s">
        <v>21</v>
      </c>
      <c r="J9251" s="42">
        <v>44631</v>
      </c>
      <c r="K9251" s="33" t="s">
        <v>22</v>
      </c>
    </row>
    <row r="9252" spans="1:11">
      <c r="A9252" s="30" t="s">
        <v>21239</v>
      </c>
      <c r="B9252" s="30" t="s">
        <v>21240</v>
      </c>
      <c r="C9252" s="30" t="s">
        <v>21241</v>
      </c>
      <c r="D9252" s="30" t="s">
        <v>17</v>
      </c>
      <c r="E9252" s="30" t="s">
        <v>26</v>
      </c>
      <c r="F9252" s="30" t="s">
        <v>27</v>
      </c>
      <c r="G9252" s="30" t="s">
        <v>20</v>
      </c>
      <c r="H9252" s="32">
        <v>77</v>
      </c>
      <c r="I9252" s="30" t="s">
        <v>21</v>
      </c>
      <c r="J9252" s="41">
        <v>44634</v>
      </c>
      <c r="K9252" s="30" t="s">
        <v>22</v>
      </c>
    </row>
    <row r="9253" spans="1:11">
      <c r="A9253" s="33" t="s">
        <v>21242</v>
      </c>
      <c r="B9253" s="33" t="s">
        <v>21243</v>
      </c>
      <c r="C9253" s="33" t="s">
        <v>21244</v>
      </c>
      <c r="D9253" s="33" t="s">
        <v>17</v>
      </c>
      <c r="E9253" s="33" t="s">
        <v>67</v>
      </c>
      <c r="F9253" s="33" t="s">
        <v>68</v>
      </c>
      <c r="G9253" s="33" t="s">
        <v>106</v>
      </c>
      <c r="H9253" s="35">
        <v>14</v>
      </c>
      <c r="I9253" s="33" t="s">
        <v>21</v>
      </c>
      <c r="J9253" s="42">
        <v>44714</v>
      </c>
      <c r="K9253" s="33" t="s">
        <v>22</v>
      </c>
    </row>
    <row r="9254" spans="1:11">
      <c r="A9254" s="30" t="s">
        <v>21245</v>
      </c>
      <c r="B9254" s="30" t="s">
        <v>21246</v>
      </c>
      <c r="C9254" s="30" t="s">
        <v>21247</v>
      </c>
      <c r="D9254" s="30" t="s">
        <v>17</v>
      </c>
      <c r="E9254" s="30" t="s">
        <v>31</v>
      </c>
      <c r="F9254" s="30" t="s">
        <v>32</v>
      </c>
      <c r="G9254" s="30" t="s">
        <v>20</v>
      </c>
      <c r="H9254" s="32">
        <v>168</v>
      </c>
      <c r="I9254" s="30" t="s">
        <v>21</v>
      </c>
      <c r="J9254" s="41">
        <v>44817</v>
      </c>
      <c r="K9254" s="30" t="s">
        <v>22</v>
      </c>
    </row>
    <row r="9255" spans="1:11">
      <c r="A9255" s="33" t="s">
        <v>21248</v>
      </c>
      <c r="B9255" s="33" t="s">
        <v>21249</v>
      </c>
      <c r="C9255" s="33" t="s">
        <v>96</v>
      </c>
      <c r="D9255" s="33" t="s">
        <v>17</v>
      </c>
      <c r="E9255" s="33" t="s">
        <v>26</v>
      </c>
      <c r="F9255" s="33" t="s">
        <v>27</v>
      </c>
      <c r="G9255" s="33" t="s">
        <v>106</v>
      </c>
      <c r="H9255" s="35">
        <v>18</v>
      </c>
      <c r="I9255" s="33" t="s">
        <v>21</v>
      </c>
      <c r="J9255" s="42">
        <v>44802</v>
      </c>
      <c r="K9255" s="33" t="s">
        <v>22</v>
      </c>
    </row>
    <row r="9256" spans="1:11">
      <c r="A9256" s="30" t="s">
        <v>21250</v>
      </c>
      <c r="B9256" s="30" t="s">
        <v>21251</v>
      </c>
      <c r="C9256" s="30" t="s">
        <v>20851</v>
      </c>
      <c r="D9256" s="30" t="s">
        <v>17</v>
      </c>
      <c r="E9256" s="30" t="s">
        <v>18</v>
      </c>
      <c r="F9256" s="30" t="s">
        <v>19</v>
      </c>
      <c r="G9256" s="30" t="s">
        <v>20</v>
      </c>
      <c r="H9256" s="32">
        <v>384</v>
      </c>
      <c r="I9256" s="30" t="s">
        <v>21</v>
      </c>
      <c r="J9256" s="41">
        <v>44740</v>
      </c>
      <c r="K9256" s="30" t="s">
        <v>22</v>
      </c>
    </row>
    <row r="9257" spans="1:11">
      <c r="A9257" s="33" t="s">
        <v>21252</v>
      </c>
      <c r="B9257" s="33" t="s">
        <v>21253</v>
      </c>
      <c r="C9257" s="33" t="s">
        <v>136</v>
      </c>
      <c r="D9257" s="33" t="s">
        <v>17</v>
      </c>
      <c r="E9257" s="33" t="s">
        <v>212</v>
      </c>
      <c r="F9257" s="33" t="s">
        <v>213</v>
      </c>
      <c r="G9257" s="33" t="s">
        <v>20</v>
      </c>
      <c r="H9257" s="35">
        <v>212</v>
      </c>
      <c r="I9257" s="33" t="s">
        <v>21</v>
      </c>
      <c r="J9257" s="42">
        <v>44924</v>
      </c>
      <c r="K9257" s="33" t="s">
        <v>22</v>
      </c>
    </row>
    <row r="9258" spans="1:11">
      <c r="A9258" s="30" t="s">
        <v>21254</v>
      </c>
      <c r="B9258" s="30" t="s">
        <v>21255</v>
      </c>
      <c r="C9258" s="30" t="s">
        <v>21256</v>
      </c>
      <c r="D9258" s="30" t="s">
        <v>17</v>
      </c>
      <c r="E9258" s="30" t="s">
        <v>31</v>
      </c>
      <c r="F9258" s="30" t="s">
        <v>32</v>
      </c>
      <c r="G9258" s="30" t="s">
        <v>20</v>
      </c>
      <c r="H9258" s="32">
        <v>190</v>
      </c>
      <c r="I9258" s="30" t="s">
        <v>21</v>
      </c>
      <c r="J9258" s="41">
        <v>44902</v>
      </c>
      <c r="K9258" s="30" t="s">
        <v>22</v>
      </c>
    </row>
    <row r="9259" spans="1:11">
      <c r="A9259" s="33" t="s">
        <v>21257</v>
      </c>
      <c r="B9259" s="33" t="s">
        <v>21258</v>
      </c>
      <c r="C9259" s="33" t="s">
        <v>14326</v>
      </c>
      <c r="D9259" s="33" t="s">
        <v>17</v>
      </c>
      <c r="E9259" s="33" t="s">
        <v>31</v>
      </c>
      <c r="F9259" s="33" t="s">
        <v>32</v>
      </c>
      <c r="G9259" s="33" t="s">
        <v>140</v>
      </c>
      <c r="H9259" s="35">
        <v>130</v>
      </c>
      <c r="I9259" s="33" t="s">
        <v>51</v>
      </c>
      <c r="J9259" s="42">
        <v>44581</v>
      </c>
      <c r="K9259" s="33" t="s">
        <v>22</v>
      </c>
    </row>
    <row r="9260" spans="1:11">
      <c r="A9260" s="30" t="s">
        <v>21259</v>
      </c>
      <c r="B9260" s="30" t="s">
        <v>21260</v>
      </c>
      <c r="C9260" s="30" t="s">
        <v>21261</v>
      </c>
      <c r="D9260" s="30" t="s">
        <v>17</v>
      </c>
      <c r="E9260" s="30" t="s">
        <v>31</v>
      </c>
      <c r="F9260" s="30" t="s">
        <v>32</v>
      </c>
      <c r="G9260" s="30" t="s">
        <v>50</v>
      </c>
      <c r="H9260" s="32">
        <v>62</v>
      </c>
      <c r="I9260" s="30" t="s">
        <v>51</v>
      </c>
      <c r="J9260" s="41">
        <v>44682</v>
      </c>
      <c r="K9260" s="30" t="s">
        <v>22</v>
      </c>
    </row>
    <row r="9261" spans="1:11">
      <c r="A9261" s="33" t="s">
        <v>21262</v>
      </c>
      <c r="B9261" s="33" t="s">
        <v>21263</v>
      </c>
      <c r="C9261" s="33" t="s">
        <v>21264</v>
      </c>
      <c r="D9261" s="33" t="s">
        <v>17</v>
      </c>
      <c r="E9261" s="33" t="s">
        <v>18</v>
      </c>
      <c r="F9261" s="33" t="s">
        <v>19</v>
      </c>
      <c r="G9261" s="33" t="s">
        <v>20</v>
      </c>
      <c r="H9261" s="35">
        <v>1412</v>
      </c>
      <c r="I9261" s="33" t="s">
        <v>21</v>
      </c>
      <c r="J9261" s="42">
        <v>44641</v>
      </c>
      <c r="K9261" s="33" t="s">
        <v>22</v>
      </c>
    </row>
    <row r="9262" spans="1:11">
      <c r="A9262" s="30" t="s">
        <v>21265</v>
      </c>
      <c r="B9262" s="30" t="s">
        <v>21266</v>
      </c>
      <c r="C9262" s="30" t="s">
        <v>462</v>
      </c>
      <c r="D9262" s="30" t="s">
        <v>17</v>
      </c>
      <c r="E9262" s="30" t="s">
        <v>31</v>
      </c>
      <c r="F9262" s="30" t="s">
        <v>32</v>
      </c>
      <c r="G9262" s="30" t="s">
        <v>20</v>
      </c>
      <c r="H9262" s="32">
        <v>804</v>
      </c>
      <c r="I9262" s="30" t="s">
        <v>21</v>
      </c>
      <c r="J9262" s="41">
        <v>44583</v>
      </c>
      <c r="K9262" s="30" t="s">
        <v>22</v>
      </c>
    </row>
    <row r="9263" spans="1:11">
      <c r="A9263" s="33" t="s">
        <v>21267</v>
      </c>
      <c r="B9263" s="33" t="s">
        <v>21268</v>
      </c>
      <c r="C9263" s="33" t="s">
        <v>3647</v>
      </c>
      <c r="D9263" s="33" t="s">
        <v>17</v>
      </c>
      <c r="E9263" s="33" t="s">
        <v>26</v>
      </c>
      <c r="F9263" s="33" t="s">
        <v>27</v>
      </c>
      <c r="G9263" s="33" t="s">
        <v>20</v>
      </c>
      <c r="H9263" s="35">
        <v>44</v>
      </c>
      <c r="I9263" s="33" t="s">
        <v>21</v>
      </c>
      <c r="J9263" s="42">
        <v>44686</v>
      </c>
      <c r="K9263" s="33" t="s">
        <v>22</v>
      </c>
    </row>
    <row r="9264" spans="1:11">
      <c r="A9264" s="30" t="s">
        <v>21269</v>
      </c>
      <c r="B9264" s="30" t="s">
        <v>21270</v>
      </c>
      <c r="C9264" s="30" t="s">
        <v>15585</v>
      </c>
      <c r="D9264" s="30" t="s">
        <v>17</v>
      </c>
      <c r="E9264" s="30" t="s">
        <v>31</v>
      </c>
      <c r="F9264" s="30" t="s">
        <v>32</v>
      </c>
      <c r="G9264" s="30" t="s">
        <v>20</v>
      </c>
      <c r="H9264" s="32">
        <v>60</v>
      </c>
      <c r="I9264" s="30" t="s">
        <v>21</v>
      </c>
      <c r="J9264" s="41">
        <v>44846</v>
      </c>
      <c r="K9264" s="30" t="s">
        <v>22</v>
      </c>
    </row>
    <row r="9265" spans="1:11">
      <c r="A9265" s="33" t="s">
        <v>21271</v>
      </c>
      <c r="B9265" s="33" t="s">
        <v>21272</v>
      </c>
      <c r="C9265" s="33" t="s">
        <v>11902</v>
      </c>
      <c r="D9265" s="33" t="s">
        <v>17</v>
      </c>
      <c r="E9265" s="33" t="s">
        <v>18</v>
      </c>
      <c r="F9265" s="33" t="s">
        <v>19</v>
      </c>
      <c r="G9265" s="33" t="s">
        <v>106</v>
      </c>
      <c r="H9265" s="35">
        <v>169</v>
      </c>
      <c r="I9265" s="33" t="s">
        <v>21</v>
      </c>
      <c r="J9265" s="42">
        <v>44622</v>
      </c>
      <c r="K9265" s="33" t="s">
        <v>22</v>
      </c>
    </row>
    <row r="9266" spans="1:11">
      <c r="A9266" s="30" t="s">
        <v>21273</v>
      </c>
      <c r="B9266" s="30" t="s">
        <v>21274</v>
      </c>
      <c r="C9266" s="30" t="s">
        <v>1406</v>
      </c>
      <c r="D9266" s="30" t="s">
        <v>17</v>
      </c>
      <c r="E9266" s="30" t="s">
        <v>67</v>
      </c>
      <c r="F9266" s="30" t="s">
        <v>68</v>
      </c>
      <c r="G9266" s="30" t="s">
        <v>20</v>
      </c>
      <c r="H9266" s="32">
        <v>52</v>
      </c>
      <c r="I9266" s="30" t="s">
        <v>21</v>
      </c>
      <c r="J9266" s="41">
        <v>44662</v>
      </c>
      <c r="K9266" s="30" t="s">
        <v>22</v>
      </c>
    </row>
    <row r="9267" spans="1:11">
      <c r="A9267" s="33" t="s">
        <v>21275</v>
      </c>
      <c r="B9267" s="33" t="s">
        <v>21276</v>
      </c>
      <c r="C9267" s="33" t="s">
        <v>11280</v>
      </c>
      <c r="D9267" s="33" t="s">
        <v>17</v>
      </c>
      <c r="E9267" s="33" t="s">
        <v>26</v>
      </c>
      <c r="F9267" s="33" t="s">
        <v>27</v>
      </c>
      <c r="G9267" s="33" t="s">
        <v>106</v>
      </c>
      <c r="H9267" s="35">
        <v>5</v>
      </c>
      <c r="I9267" s="33" t="s">
        <v>21</v>
      </c>
      <c r="J9267" s="42">
        <v>44650</v>
      </c>
      <c r="K9267" s="33" t="s">
        <v>22</v>
      </c>
    </row>
    <row r="9268" spans="1:11">
      <c r="A9268" s="30" t="s">
        <v>21277</v>
      </c>
      <c r="B9268" s="30" t="s">
        <v>21278</v>
      </c>
      <c r="C9268" s="30" t="s">
        <v>5616</v>
      </c>
      <c r="D9268" s="30" t="s">
        <v>17</v>
      </c>
      <c r="E9268" s="30" t="s">
        <v>31</v>
      </c>
      <c r="F9268" s="30" t="s">
        <v>32</v>
      </c>
      <c r="G9268" s="30" t="s">
        <v>112</v>
      </c>
      <c r="H9268" s="32">
        <v>0</v>
      </c>
      <c r="I9268" s="30" t="s">
        <v>21</v>
      </c>
      <c r="J9268" s="41">
        <v>44621</v>
      </c>
      <c r="K9268" s="30" t="s">
        <v>22</v>
      </c>
    </row>
    <row r="9269" spans="1:11">
      <c r="A9269" s="33" t="s">
        <v>21279</v>
      </c>
      <c r="B9269" s="33" t="s">
        <v>21280</v>
      </c>
      <c r="C9269" s="33" t="s">
        <v>190</v>
      </c>
      <c r="D9269" s="33" t="s">
        <v>17</v>
      </c>
      <c r="E9269" s="33" t="s">
        <v>26</v>
      </c>
      <c r="F9269" s="33" t="s">
        <v>27</v>
      </c>
      <c r="G9269" s="33" t="s">
        <v>20</v>
      </c>
      <c r="H9269" s="35">
        <v>54</v>
      </c>
      <c r="I9269" s="33" t="s">
        <v>21</v>
      </c>
      <c r="J9269" s="42">
        <v>44824</v>
      </c>
      <c r="K9269" s="33" t="s">
        <v>22</v>
      </c>
    </row>
    <row r="9270" spans="1:11">
      <c r="A9270" s="30" t="s">
        <v>21281</v>
      </c>
      <c r="B9270" s="30" t="s">
        <v>21282</v>
      </c>
      <c r="C9270" s="30" t="s">
        <v>5251</v>
      </c>
      <c r="D9270" s="30" t="s">
        <v>17</v>
      </c>
      <c r="E9270" s="30" t="s">
        <v>31</v>
      </c>
      <c r="F9270" s="30" t="s">
        <v>32</v>
      </c>
      <c r="G9270" s="30" t="s">
        <v>20</v>
      </c>
      <c r="H9270" s="32">
        <v>93</v>
      </c>
      <c r="I9270" s="30" t="s">
        <v>21</v>
      </c>
      <c r="J9270" s="41">
        <v>44860</v>
      </c>
      <c r="K9270" s="30" t="s">
        <v>22</v>
      </c>
    </row>
    <row r="9271" spans="1:11">
      <c r="A9271" s="33" t="s">
        <v>21283</v>
      </c>
      <c r="B9271" s="33" t="s">
        <v>21284</v>
      </c>
      <c r="C9271" s="33" t="s">
        <v>18761</v>
      </c>
      <c r="D9271" s="33" t="s">
        <v>17</v>
      </c>
      <c r="E9271" s="33" t="s">
        <v>67</v>
      </c>
      <c r="F9271" s="33" t="s">
        <v>68</v>
      </c>
      <c r="G9271" s="33" t="s">
        <v>158</v>
      </c>
      <c r="H9271" s="35">
        <v>40</v>
      </c>
      <c r="I9271" s="33" t="s">
        <v>51</v>
      </c>
      <c r="J9271" s="42">
        <v>44798</v>
      </c>
      <c r="K9271" s="33" t="s">
        <v>22</v>
      </c>
    </row>
    <row r="9272" spans="1:11">
      <c r="A9272" s="30" t="s">
        <v>21285</v>
      </c>
      <c r="B9272" s="30" t="s">
        <v>21286</v>
      </c>
      <c r="C9272" s="30" t="s">
        <v>2313</v>
      </c>
      <c r="D9272" s="30" t="s">
        <v>17</v>
      </c>
      <c r="E9272" s="30" t="s">
        <v>31</v>
      </c>
      <c r="F9272" s="30" t="s">
        <v>32</v>
      </c>
      <c r="G9272" s="30" t="s">
        <v>112</v>
      </c>
      <c r="H9272" s="32">
        <v>0</v>
      </c>
      <c r="I9272" s="30" t="s">
        <v>21</v>
      </c>
      <c r="J9272" s="41">
        <v>44773</v>
      </c>
      <c r="K9272" s="30" t="s">
        <v>22</v>
      </c>
    </row>
    <row r="9273" spans="1:11">
      <c r="A9273" s="33" t="s">
        <v>21287</v>
      </c>
      <c r="B9273" s="33" t="s">
        <v>21288</v>
      </c>
      <c r="C9273" s="33" t="s">
        <v>801</v>
      </c>
      <c r="D9273" s="33" t="s">
        <v>17</v>
      </c>
      <c r="E9273" s="33" t="s">
        <v>18</v>
      </c>
      <c r="F9273" s="33" t="s">
        <v>19</v>
      </c>
      <c r="G9273" s="33" t="s">
        <v>158</v>
      </c>
      <c r="H9273" s="35">
        <v>45</v>
      </c>
      <c r="I9273" s="33" t="s">
        <v>21</v>
      </c>
      <c r="J9273" s="42">
        <v>44582</v>
      </c>
      <c r="K9273" s="33" t="s">
        <v>22</v>
      </c>
    </row>
    <row r="9274" spans="1:11">
      <c r="A9274" s="30" t="s">
        <v>21289</v>
      </c>
      <c r="B9274" s="30" t="s">
        <v>21290</v>
      </c>
      <c r="C9274" s="30" t="s">
        <v>3775</v>
      </c>
      <c r="D9274" s="30" t="s">
        <v>17</v>
      </c>
      <c r="E9274" s="30" t="s">
        <v>26</v>
      </c>
      <c r="F9274" s="30" t="s">
        <v>27</v>
      </c>
      <c r="G9274" s="30" t="s">
        <v>20</v>
      </c>
      <c r="H9274" s="32">
        <v>32</v>
      </c>
      <c r="I9274" s="30" t="s">
        <v>21</v>
      </c>
      <c r="J9274" s="41">
        <v>44690</v>
      </c>
      <c r="K9274" s="30" t="s">
        <v>22</v>
      </c>
    </row>
    <row r="9275" spans="1:11">
      <c r="A9275" s="33" t="s">
        <v>21291</v>
      </c>
      <c r="B9275" s="33" t="s">
        <v>21292</v>
      </c>
      <c r="C9275" s="33" t="s">
        <v>109</v>
      </c>
      <c r="D9275" s="33" t="s">
        <v>17</v>
      </c>
      <c r="E9275" s="33" t="s">
        <v>18</v>
      </c>
      <c r="F9275" s="33" t="s">
        <v>19</v>
      </c>
      <c r="G9275" s="33" t="s">
        <v>158</v>
      </c>
      <c r="H9275" s="35">
        <v>90</v>
      </c>
      <c r="I9275" s="33" t="s">
        <v>21</v>
      </c>
      <c r="J9275" s="42">
        <v>44925</v>
      </c>
      <c r="K9275" s="33" t="s">
        <v>22</v>
      </c>
    </row>
    <row r="9276" spans="1:11">
      <c r="A9276" s="30" t="s">
        <v>21293</v>
      </c>
      <c r="B9276" s="30" t="s">
        <v>21294</v>
      </c>
      <c r="C9276" s="30" t="s">
        <v>647</v>
      </c>
      <c r="D9276" s="30" t="s">
        <v>17</v>
      </c>
      <c r="E9276" s="30" t="s">
        <v>26</v>
      </c>
      <c r="F9276" s="30" t="s">
        <v>27</v>
      </c>
      <c r="G9276" s="30" t="s">
        <v>20</v>
      </c>
      <c r="H9276" s="32">
        <v>12</v>
      </c>
      <c r="I9276" s="30" t="s">
        <v>21</v>
      </c>
      <c r="J9276" s="41">
        <v>44693</v>
      </c>
      <c r="K9276" s="30" t="s">
        <v>22</v>
      </c>
    </row>
    <row r="9277" spans="1:11">
      <c r="A9277" s="33" t="s">
        <v>21295</v>
      </c>
      <c r="B9277" s="33" t="s">
        <v>21296</v>
      </c>
      <c r="C9277" s="33" t="s">
        <v>4348</v>
      </c>
      <c r="D9277" s="33" t="s">
        <v>17</v>
      </c>
      <c r="E9277" s="33" t="s">
        <v>26</v>
      </c>
      <c r="F9277" s="33" t="s">
        <v>27</v>
      </c>
      <c r="G9277" s="33" t="s">
        <v>158</v>
      </c>
      <c r="H9277" s="35">
        <v>82</v>
      </c>
      <c r="I9277" s="33" t="s">
        <v>21</v>
      </c>
      <c r="J9277" s="42">
        <v>44701</v>
      </c>
      <c r="K9277" s="33" t="s">
        <v>22</v>
      </c>
    </row>
    <row r="9278" spans="1:11">
      <c r="A9278" s="30" t="s">
        <v>21297</v>
      </c>
      <c r="B9278" s="30" t="s">
        <v>21298</v>
      </c>
      <c r="C9278" s="30" t="s">
        <v>1504</v>
      </c>
      <c r="D9278" s="30" t="s">
        <v>17</v>
      </c>
      <c r="E9278" s="30" t="s">
        <v>26</v>
      </c>
      <c r="F9278" s="30" t="s">
        <v>27</v>
      </c>
      <c r="G9278" s="30" t="s">
        <v>20</v>
      </c>
      <c r="H9278" s="32">
        <v>28</v>
      </c>
      <c r="I9278" s="30" t="s">
        <v>21</v>
      </c>
      <c r="J9278" s="41">
        <v>44582</v>
      </c>
      <c r="K9278" s="30" t="s">
        <v>22</v>
      </c>
    </row>
    <row r="9279" spans="1:11">
      <c r="A9279" s="33" t="s">
        <v>21299</v>
      </c>
      <c r="B9279" s="33" t="s">
        <v>21300</v>
      </c>
      <c r="C9279" s="33" t="s">
        <v>2490</v>
      </c>
      <c r="D9279" s="33" t="s">
        <v>17</v>
      </c>
      <c r="E9279" s="33" t="s">
        <v>31</v>
      </c>
      <c r="F9279" s="33" t="s">
        <v>32</v>
      </c>
      <c r="G9279" s="33" t="s">
        <v>20</v>
      </c>
      <c r="H9279" s="35">
        <v>150</v>
      </c>
      <c r="I9279" s="33" t="s">
        <v>21</v>
      </c>
      <c r="J9279" s="42">
        <v>44890</v>
      </c>
      <c r="K9279" s="33" t="s">
        <v>22</v>
      </c>
    </row>
    <row r="9280" spans="1:11">
      <c r="A9280" s="30" t="s">
        <v>21301</v>
      </c>
      <c r="B9280" s="30" t="s">
        <v>21302</v>
      </c>
      <c r="C9280" s="30" t="s">
        <v>149</v>
      </c>
      <c r="D9280" s="30" t="s">
        <v>17</v>
      </c>
      <c r="E9280" s="30" t="s">
        <v>26</v>
      </c>
      <c r="F9280" s="30" t="s">
        <v>27</v>
      </c>
      <c r="G9280" s="30" t="s">
        <v>50</v>
      </c>
      <c r="H9280" s="32">
        <v>6</v>
      </c>
      <c r="I9280" s="30" t="s">
        <v>21</v>
      </c>
      <c r="J9280" s="41">
        <v>44799</v>
      </c>
      <c r="K9280" s="30" t="s">
        <v>22</v>
      </c>
    </row>
    <row r="9281" spans="1:11">
      <c r="A9281" s="33" t="s">
        <v>21303</v>
      </c>
      <c r="B9281" s="33" t="s">
        <v>21304</v>
      </c>
      <c r="C9281" s="33" t="s">
        <v>21305</v>
      </c>
      <c r="D9281" s="33" t="s">
        <v>17</v>
      </c>
      <c r="E9281" s="33" t="s">
        <v>26</v>
      </c>
      <c r="F9281" s="33" t="s">
        <v>27</v>
      </c>
      <c r="G9281" s="33" t="s">
        <v>50</v>
      </c>
      <c r="H9281" s="35">
        <v>24</v>
      </c>
      <c r="I9281" s="33" t="s">
        <v>51</v>
      </c>
      <c r="J9281" s="42">
        <v>44893</v>
      </c>
      <c r="K9281" s="33" t="s">
        <v>22</v>
      </c>
    </row>
    <row r="9282" spans="1:11">
      <c r="A9282" s="30" t="s">
        <v>21306</v>
      </c>
      <c r="B9282" s="30" t="s">
        <v>21307</v>
      </c>
      <c r="C9282" s="30" t="s">
        <v>995</v>
      </c>
      <c r="D9282" s="30" t="s">
        <v>17</v>
      </c>
      <c r="E9282" s="30" t="s">
        <v>31</v>
      </c>
      <c r="F9282" s="30" t="s">
        <v>32</v>
      </c>
      <c r="G9282" s="30" t="s">
        <v>20</v>
      </c>
      <c r="H9282" s="32">
        <v>43</v>
      </c>
      <c r="I9282" s="30" t="s">
        <v>21</v>
      </c>
      <c r="J9282" s="41">
        <v>44571</v>
      </c>
      <c r="K9282" s="30" t="s">
        <v>22</v>
      </c>
    </row>
    <row r="9283" spans="1:11">
      <c r="A9283" s="33" t="s">
        <v>21308</v>
      </c>
      <c r="B9283" s="33" t="s">
        <v>21309</v>
      </c>
      <c r="C9283" s="33" t="s">
        <v>570</v>
      </c>
      <c r="D9283" s="33" t="s">
        <v>17</v>
      </c>
      <c r="E9283" s="33" t="s">
        <v>45</v>
      </c>
      <c r="F9283" s="33" t="s">
        <v>46</v>
      </c>
      <c r="G9283" s="33" t="s">
        <v>20</v>
      </c>
      <c r="H9283" s="35">
        <v>63</v>
      </c>
      <c r="I9283" s="33" t="s">
        <v>21</v>
      </c>
      <c r="J9283" s="42">
        <v>44873</v>
      </c>
      <c r="K9283" s="33" t="s">
        <v>22</v>
      </c>
    </row>
    <row r="9284" spans="1:11">
      <c r="A9284" s="30" t="s">
        <v>21310</v>
      </c>
      <c r="B9284" s="30" t="s">
        <v>21311</v>
      </c>
      <c r="C9284" s="30" t="s">
        <v>21312</v>
      </c>
      <c r="D9284" s="30" t="s">
        <v>17</v>
      </c>
      <c r="E9284" s="30" t="s">
        <v>45</v>
      </c>
      <c r="F9284" s="30" t="s">
        <v>46</v>
      </c>
      <c r="G9284" s="30" t="s">
        <v>50</v>
      </c>
      <c r="H9284" s="32">
        <v>348</v>
      </c>
      <c r="I9284" s="30" t="s">
        <v>51</v>
      </c>
      <c r="J9284" s="41">
        <v>44915</v>
      </c>
      <c r="K9284" s="30" t="s">
        <v>22</v>
      </c>
    </row>
    <row r="9285" spans="1:11">
      <c r="A9285" s="33" t="s">
        <v>21313</v>
      </c>
      <c r="B9285" s="33" t="s">
        <v>21314</v>
      </c>
      <c r="C9285" s="33" t="s">
        <v>1228</v>
      </c>
      <c r="D9285" s="33" t="s">
        <v>17</v>
      </c>
      <c r="E9285" s="33" t="s">
        <v>31</v>
      </c>
      <c r="F9285" s="33" t="s">
        <v>32</v>
      </c>
      <c r="G9285" s="33" t="s">
        <v>112</v>
      </c>
      <c r="H9285" s="35">
        <v>0</v>
      </c>
      <c r="I9285" s="33" t="s">
        <v>21</v>
      </c>
      <c r="J9285" s="42">
        <v>44721</v>
      </c>
      <c r="K9285" s="33" t="s">
        <v>22</v>
      </c>
    </row>
    <row r="9286" spans="1:11">
      <c r="A9286" s="30" t="s">
        <v>21315</v>
      </c>
      <c r="B9286" s="30" t="s">
        <v>21316</v>
      </c>
      <c r="C9286" s="30" t="s">
        <v>10892</v>
      </c>
      <c r="D9286" s="30" t="s">
        <v>17</v>
      </c>
      <c r="E9286" s="30" t="s">
        <v>45</v>
      </c>
      <c r="F9286" s="30" t="s">
        <v>46</v>
      </c>
      <c r="G9286" s="30" t="s">
        <v>106</v>
      </c>
      <c r="H9286" s="32">
        <v>155</v>
      </c>
      <c r="I9286" s="30" t="s">
        <v>21</v>
      </c>
      <c r="J9286" s="41">
        <v>44593</v>
      </c>
      <c r="K9286" s="30" t="s">
        <v>22</v>
      </c>
    </row>
    <row r="9287" spans="1:11">
      <c r="A9287" s="33" t="s">
        <v>21317</v>
      </c>
      <c r="B9287" s="33" t="s">
        <v>21318</v>
      </c>
      <c r="C9287" s="33" t="s">
        <v>21319</v>
      </c>
      <c r="D9287" s="33" t="s">
        <v>17</v>
      </c>
      <c r="E9287" s="33" t="s">
        <v>67</v>
      </c>
      <c r="F9287" s="33" t="s">
        <v>68</v>
      </c>
      <c r="G9287" s="33" t="s">
        <v>20</v>
      </c>
      <c r="H9287" s="35">
        <v>18</v>
      </c>
      <c r="I9287" s="33" t="s">
        <v>21</v>
      </c>
      <c r="J9287" s="42">
        <v>44651</v>
      </c>
      <c r="K9287" s="33" t="s">
        <v>22</v>
      </c>
    </row>
    <row r="9288" spans="1:11">
      <c r="A9288" s="30" t="s">
        <v>21320</v>
      </c>
      <c r="B9288" s="30" t="s">
        <v>21321</v>
      </c>
      <c r="C9288" s="30" t="s">
        <v>14643</v>
      </c>
      <c r="D9288" s="30" t="s">
        <v>17</v>
      </c>
      <c r="E9288" s="30" t="s">
        <v>18</v>
      </c>
      <c r="F9288" s="30" t="s">
        <v>19</v>
      </c>
      <c r="G9288" s="30" t="s">
        <v>158</v>
      </c>
      <c r="H9288" s="32">
        <v>102</v>
      </c>
      <c r="I9288" s="30" t="s">
        <v>21</v>
      </c>
      <c r="J9288" s="41">
        <v>44791</v>
      </c>
      <c r="K9288" s="30" t="s">
        <v>22</v>
      </c>
    </row>
    <row r="9289" spans="1:11">
      <c r="A9289" s="33" t="s">
        <v>21322</v>
      </c>
      <c r="B9289" s="33" t="s">
        <v>21323</v>
      </c>
      <c r="C9289" s="33" t="s">
        <v>136</v>
      </c>
      <c r="D9289" s="33" t="s">
        <v>17</v>
      </c>
      <c r="E9289" s="33" t="s">
        <v>26</v>
      </c>
      <c r="F9289" s="33" t="s">
        <v>27</v>
      </c>
      <c r="G9289" s="33" t="s">
        <v>106</v>
      </c>
      <c r="H9289" s="35">
        <v>102</v>
      </c>
      <c r="I9289" s="33" t="s">
        <v>21</v>
      </c>
      <c r="J9289" s="42">
        <v>44784</v>
      </c>
      <c r="K9289" s="33" t="s">
        <v>22</v>
      </c>
    </row>
    <row r="9290" spans="1:11">
      <c r="A9290" s="30" t="s">
        <v>21324</v>
      </c>
      <c r="B9290" s="30" t="s">
        <v>21325</v>
      </c>
      <c r="C9290" s="30" t="s">
        <v>20206</v>
      </c>
      <c r="D9290" s="30" t="s">
        <v>17</v>
      </c>
      <c r="E9290" s="30" t="s">
        <v>18</v>
      </c>
      <c r="F9290" s="30" t="s">
        <v>19</v>
      </c>
      <c r="G9290" s="30" t="s">
        <v>20</v>
      </c>
      <c r="H9290" s="32">
        <v>330</v>
      </c>
      <c r="I9290" s="30" t="s">
        <v>21</v>
      </c>
      <c r="J9290" s="41">
        <v>44649</v>
      </c>
      <c r="K9290" s="30" t="s">
        <v>22</v>
      </c>
    </row>
    <row r="9291" spans="1:11">
      <c r="A9291" s="33" t="s">
        <v>21326</v>
      </c>
      <c r="B9291" s="33" t="s">
        <v>21327</v>
      </c>
      <c r="C9291" s="33" t="s">
        <v>647</v>
      </c>
      <c r="D9291" s="33" t="s">
        <v>17</v>
      </c>
      <c r="E9291" s="33" t="s">
        <v>18</v>
      </c>
      <c r="F9291" s="33" t="s">
        <v>19</v>
      </c>
      <c r="G9291" s="33" t="s">
        <v>20</v>
      </c>
      <c r="H9291" s="35">
        <v>2162</v>
      </c>
      <c r="I9291" s="33" t="s">
        <v>21</v>
      </c>
      <c r="J9291" s="42">
        <v>44785</v>
      </c>
      <c r="K9291" s="33" t="s">
        <v>22</v>
      </c>
    </row>
    <row r="9292" spans="1:11">
      <c r="A9292" s="30" t="s">
        <v>21328</v>
      </c>
      <c r="B9292" s="30" t="s">
        <v>21329</v>
      </c>
      <c r="C9292" s="30" t="s">
        <v>5535</v>
      </c>
      <c r="D9292" s="30" t="s">
        <v>17</v>
      </c>
      <c r="E9292" s="30" t="s">
        <v>31</v>
      </c>
      <c r="F9292" s="30" t="s">
        <v>32</v>
      </c>
      <c r="G9292" s="30" t="s">
        <v>140</v>
      </c>
      <c r="H9292" s="32">
        <v>66</v>
      </c>
      <c r="I9292" s="30" t="s">
        <v>51</v>
      </c>
      <c r="J9292" s="41">
        <v>44784</v>
      </c>
      <c r="K9292" s="30" t="s">
        <v>22</v>
      </c>
    </row>
    <row r="9293" spans="1:11">
      <c r="A9293" s="33" t="s">
        <v>21330</v>
      </c>
      <c r="B9293" s="33" t="s">
        <v>21331</v>
      </c>
      <c r="C9293" s="33" t="s">
        <v>21332</v>
      </c>
      <c r="D9293" s="33" t="s">
        <v>17</v>
      </c>
      <c r="E9293" s="33" t="s">
        <v>31</v>
      </c>
      <c r="F9293" s="33" t="s">
        <v>32</v>
      </c>
      <c r="G9293" s="33" t="s">
        <v>106</v>
      </c>
      <c r="H9293" s="35">
        <v>7</v>
      </c>
      <c r="I9293" s="33" t="s">
        <v>21</v>
      </c>
      <c r="J9293" s="42">
        <v>44763</v>
      </c>
      <c r="K9293" s="33" t="s">
        <v>22</v>
      </c>
    </row>
    <row r="9294" spans="1:11">
      <c r="A9294" s="30" t="s">
        <v>21333</v>
      </c>
      <c r="B9294" s="30" t="s">
        <v>21334</v>
      </c>
      <c r="C9294" s="30" t="s">
        <v>7768</v>
      </c>
      <c r="D9294" s="30" t="s">
        <v>17</v>
      </c>
      <c r="E9294" s="30" t="s">
        <v>26</v>
      </c>
      <c r="F9294" s="30" t="s">
        <v>27</v>
      </c>
      <c r="G9294" s="30" t="s">
        <v>50</v>
      </c>
      <c r="H9294" s="32">
        <v>36</v>
      </c>
      <c r="I9294" s="30" t="s">
        <v>51</v>
      </c>
      <c r="J9294" s="41">
        <v>44866</v>
      </c>
      <c r="K9294" s="30" t="s">
        <v>22</v>
      </c>
    </row>
    <row r="9295" spans="1:11">
      <c r="A9295" s="33" t="s">
        <v>21335</v>
      </c>
      <c r="B9295" s="33" t="s">
        <v>21336</v>
      </c>
      <c r="C9295" s="33" t="s">
        <v>21337</v>
      </c>
      <c r="D9295" s="33" t="s">
        <v>17</v>
      </c>
      <c r="E9295" s="33" t="s">
        <v>26</v>
      </c>
      <c r="F9295" s="33" t="s">
        <v>27</v>
      </c>
      <c r="G9295" s="33" t="s">
        <v>106</v>
      </c>
      <c r="H9295" s="35">
        <v>57</v>
      </c>
      <c r="I9295" s="33" t="s">
        <v>21</v>
      </c>
      <c r="J9295" s="42">
        <v>44649</v>
      </c>
      <c r="K9295" s="33" t="s">
        <v>22</v>
      </c>
    </row>
    <row r="9296" spans="1:11">
      <c r="A9296" s="30" t="s">
        <v>21338</v>
      </c>
      <c r="B9296" s="30" t="s">
        <v>21339</v>
      </c>
      <c r="C9296" s="30" t="s">
        <v>21340</v>
      </c>
      <c r="D9296" s="30" t="s">
        <v>17</v>
      </c>
      <c r="E9296" s="30" t="s">
        <v>31</v>
      </c>
      <c r="F9296" s="30" t="s">
        <v>32</v>
      </c>
      <c r="G9296" s="30" t="s">
        <v>20</v>
      </c>
      <c r="H9296" s="32">
        <v>24</v>
      </c>
      <c r="I9296" s="30" t="s">
        <v>21</v>
      </c>
      <c r="J9296" s="41">
        <v>44749</v>
      </c>
      <c r="K9296" s="30" t="s">
        <v>22</v>
      </c>
    </row>
    <row r="9297" spans="1:11">
      <c r="A9297" s="33" t="s">
        <v>21341</v>
      </c>
      <c r="B9297" s="33" t="s">
        <v>21342</v>
      </c>
      <c r="C9297" s="33" t="s">
        <v>549</v>
      </c>
      <c r="D9297" s="33" t="s">
        <v>17</v>
      </c>
      <c r="E9297" s="33" t="s">
        <v>26</v>
      </c>
      <c r="F9297" s="33" t="s">
        <v>27</v>
      </c>
      <c r="G9297" s="33" t="s">
        <v>20</v>
      </c>
      <c r="H9297" s="35">
        <v>21</v>
      </c>
      <c r="I9297" s="33" t="s">
        <v>21</v>
      </c>
      <c r="J9297" s="42">
        <v>44923</v>
      </c>
      <c r="K9297" s="33" t="s">
        <v>22</v>
      </c>
    </row>
    <row r="9298" spans="1:11">
      <c r="A9298" s="30" t="s">
        <v>21343</v>
      </c>
      <c r="B9298" s="30" t="s">
        <v>21344</v>
      </c>
      <c r="C9298" s="30" t="s">
        <v>3983</v>
      </c>
      <c r="D9298" s="30" t="s">
        <v>17</v>
      </c>
      <c r="E9298" s="30" t="s">
        <v>67</v>
      </c>
      <c r="F9298" s="30" t="s">
        <v>68</v>
      </c>
      <c r="G9298" s="30" t="s">
        <v>112</v>
      </c>
      <c r="H9298" s="32">
        <v>0</v>
      </c>
      <c r="I9298" s="30" t="s">
        <v>21</v>
      </c>
      <c r="J9298" s="41">
        <v>44682</v>
      </c>
      <c r="K9298" s="30" t="s">
        <v>22</v>
      </c>
    </row>
    <row r="9299" spans="1:11">
      <c r="A9299" s="33" t="s">
        <v>21345</v>
      </c>
      <c r="B9299" s="33" t="s">
        <v>21346</v>
      </c>
      <c r="C9299" s="33" t="s">
        <v>21347</v>
      </c>
      <c r="D9299" s="33" t="s">
        <v>17</v>
      </c>
      <c r="E9299" s="33" t="s">
        <v>31</v>
      </c>
      <c r="F9299" s="33" t="s">
        <v>32</v>
      </c>
      <c r="G9299" s="33" t="s">
        <v>106</v>
      </c>
      <c r="H9299" s="35">
        <v>17</v>
      </c>
      <c r="I9299" s="33" t="s">
        <v>21</v>
      </c>
      <c r="J9299" s="42">
        <v>44649</v>
      </c>
      <c r="K9299" s="33" t="s">
        <v>22</v>
      </c>
    </row>
    <row r="9300" spans="1:11">
      <c r="A9300" s="30" t="s">
        <v>21348</v>
      </c>
      <c r="B9300" s="30" t="s">
        <v>21349</v>
      </c>
      <c r="C9300" s="30" t="s">
        <v>2256</v>
      </c>
      <c r="D9300" s="30" t="s">
        <v>17</v>
      </c>
      <c r="E9300" s="30" t="s">
        <v>330</v>
      </c>
      <c r="F9300" s="30" t="s">
        <v>331</v>
      </c>
      <c r="G9300" s="30" t="s">
        <v>20</v>
      </c>
      <c r="H9300" s="32">
        <v>13</v>
      </c>
      <c r="I9300" s="30" t="s">
        <v>21</v>
      </c>
      <c r="J9300" s="41">
        <v>44713</v>
      </c>
      <c r="K9300" s="30" t="s">
        <v>22</v>
      </c>
    </row>
    <row r="9301" spans="1:11">
      <c r="A9301" s="33" t="s">
        <v>21350</v>
      </c>
      <c r="B9301" s="33" t="s">
        <v>21351</v>
      </c>
      <c r="C9301" s="33" t="s">
        <v>96</v>
      </c>
      <c r="D9301" s="33" t="s">
        <v>17</v>
      </c>
      <c r="E9301" s="33" t="s">
        <v>26</v>
      </c>
      <c r="F9301" s="33" t="s">
        <v>27</v>
      </c>
      <c r="G9301" s="33" t="s">
        <v>140</v>
      </c>
      <c r="H9301" s="35">
        <v>267</v>
      </c>
      <c r="I9301" s="33" t="s">
        <v>51</v>
      </c>
      <c r="J9301" s="42">
        <v>44747</v>
      </c>
      <c r="K9301" s="33" t="s">
        <v>22</v>
      </c>
    </row>
    <row r="9302" spans="1:11">
      <c r="A9302" s="30" t="s">
        <v>21352</v>
      </c>
      <c r="B9302" s="30" t="s">
        <v>21353</v>
      </c>
      <c r="C9302" s="30" t="s">
        <v>21354</v>
      </c>
      <c r="D9302" s="30" t="s">
        <v>17</v>
      </c>
      <c r="E9302" s="30" t="s">
        <v>26</v>
      </c>
      <c r="F9302" s="30" t="s">
        <v>27</v>
      </c>
      <c r="G9302" s="30" t="s">
        <v>140</v>
      </c>
      <c r="H9302" s="32">
        <v>38</v>
      </c>
      <c r="I9302" s="30" t="s">
        <v>51</v>
      </c>
      <c r="J9302" s="41">
        <v>44859</v>
      </c>
      <c r="K9302" s="30" t="s">
        <v>22</v>
      </c>
    </row>
    <row r="9303" spans="1:11">
      <c r="A9303" s="33" t="s">
        <v>21355</v>
      </c>
      <c r="B9303" s="33" t="s">
        <v>21356</v>
      </c>
      <c r="C9303" s="33" t="s">
        <v>995</v>
      </c>
      <c r="D9303" s="33" t="s">
        <v>17</v>
      </c>
      <c r="E9303" s="33" t="s">
        <v>31</v>
      </c>
      <c r="F9303" s="33" t="s">
        <v>32</v>
      </c>
      <c r="G9303" s="33" t="s">
        <v>20</v>
      </c>
      <c r="H9303" s="35">
        <v>180</v>
      </c>
      <c r="I9303" s="33" t="s">
        <v>21</v>
      </c>
      <c r="J9303" s="42">
        <v>44573</v>
      </c>
      <c r="K9303" s="33" t="s">
        <v>22</v>
      </c>
    </row>
    <row r="9304" spans="1:11">
      <c r="A9304" s="30" t="s">
        <v>21357</v>
      </c>
      <c r="B9304" s="30" t="s">
        <v>21358</v>
      </c>
      <c r="C9304" s="30" t="s">
        <v>7296</v>
      </c>
      <c r="D9304" s="30" t="s">
        <v>17</v>
      </c>
      <c r="E9304" s="30" t="s">
        <v>26</v>
      </c>
      <c r="F9304" s="30" t="s">
        <v>27</v>
      </c>
      <c r="G9304" s="30" t="s">
        <v>106</v>
      </c>
      <c r="H9304" s="32">
        <v>9</v>
      </c>
      <c r="I9304" s="30" t="s">
        <v>21</v>
      </c>
      <c r="J9304" s="41">
        <v>44568</v>
      </c>
      <c r="K9304" s="30" t="s">
        <v>22</v>
      </c>
    </row>
    <row r="9305" spans="1:11">
      <c r="A9305" s="33" t="s">
        <v>21359</v>
      </c>
      <c r="B9305" s="33" t="s">
        <v>21360</v>
      </c>
      <c r="C9305" s="33" t="s">
        <v>21361</v>
      </c>
      <c r="D9305" s="33" t="s">
        <v>17</v>
      </c>
      <c r="E9305" s="33" t="s">
        <v>26</v>
      </c>
      <c r="F9305" s="33" t="s">
        <v>27</v>
      </c>
      <c r="G9305" s="33" t="s">
        <v>112</v>
      </c>
      <c r="H9305" s="35">
        <v>0</v>
      </c>
      <c r="I9305" s="33" t="s">
        <v>21</v>
      </c>
      <c r="J9305" s="42">
        <v>44771</v>
      </c>
      <c r="K9305" s="33" t="s">
        <v>22</v>
      </c>
    </row>
    <row r="9306" spans="1:11">
      <c r="A9306" s="30" t="s">
        <v>21362</v>
      </c>
      <c r="B9306" s="30" t="s">
        <v>21363</v>
      </c>
      <c r="C9306" s="30" t="s">
        <v>231</v>
      </c>
      <c r="D9306" s="30" t="s">
        <v>17</v>
      </c>
      <c r="E9306" s="30" t="s">
        <v>31</v>
      </c>
      <c r="F9306" s="30" t="s">
        <v>32</v>
      </c>
      <c r="G9306" s="30" t="s">
        <v>106</v>
      </c>
      <c r="H9306" s="32">
        <v>99</v>
      </c>
      <c r="I9306" s="30" t="s">
        <v>21</v>
      </c>
      <c r="J9306" s="41">
        <v>44908</v>
      </c>
      <c r="K9306" s="30" t="s">
        <v>22</v>
      </c>
    </row>
    <row r="9307" spans="1:11">
      <c r="A9307" s="33" t="s">
        <v>21364</v>
      </c>
      <c r="B9307" s="33" t="s">
        <v>21365</v>
      </c>
      <c r="C9307" s="33" t="s">
        <v>21366</v>
      </c>
      <c r="D9307" s="33" t="s">
        <v>17</v>
      </c>
      <c r="E9307" s="33" t="s">
        <v>330</v>
      </c>
      <c r="F9307" s="33" t="s">
        <v>331</v>
      </c>
      <c r="G9307" s="33" t="s">
        <v>50</v>
      </c>
      <c r="H9307" s="35">
        <v>19</v>
      </c>
      <c r="I9307" s="33" t="s">
        <v>51</v>
      </c>
      <c r="J9307" s="42">
        <v>44878</v>
      </c>
      <c r="K9307" s="33" t="s">
        <v>22</v>
      </c>
    </row>
    <row r="9308" spans="1:11">
      <c r="A9308" s="30" t="s">
        <v>21367</v>
      </c>
      <c r="B9308" s="30" t="s">
        <v>21368</v>
      </c>
      <c r="C9308" s="30" t="s">
        <v>21369</v>
      </c>
      <c r="D9308" s="30" t="s">
        <v>17</v>
      </c>
      <c r="E9308" s="30" t="s">
        <v>18</v>
      </c>
      <c r="F9308" s="30" t="s">
        <v>19</v>
      </c>
      <c r="G9308" s="30" t="s">
        <v>50</v>
      </c>
      <c r="H9308" s="32">
        <v>294</v>
      </c>
      <c r="I9308" s="30" t="s">
        <v>51</v>
      </c>
      <c r="J9308" s="41">
        <v>44585</v>
      </c>
      <c r="K9308" s="30" t="s">
        <v>22</v>
      </c>
    </row>
    <row r="9309" spans="1:11">
      <c r="A9309" s="33" t="s">
        <v>21370</v>
      </c>
      <c r="B9309" s="33" t="s">
        <v>21371</v>
      </c>
      <c r="C9309" s="33" t="s">
        <v>8204</v>
      </c>
      <c r="D9309" s="33" t="s">
        <v>17</v>
      </c>
      <c r="E9309" s="33" t="s">
        <v>26</v>
      </c>
      <c r="F9309" s="33" t="s">
        <v>27</v>
      </c>
      <c r="G9309" s="33" t="s">
        <v>106</v>
      </c>
      <c r="H9309" s="35">
        <v>43</v>
      </c>
      <c r="I9309" s="33" t="s">
        <v>21</v>
      </c>
      <c r="J9309" s="42">
        <v>44672</v>
      </c>
      <c r="K9309" s="33" t="s">
        <v>22</v>
      </c>
    </row>
    <row r="9310" spans="1:11">
      <c r="A9310" s="30" t="s">
        <v>21372</v>
      </c>
      <c r="B9310" s="30" t="s">
        <v>21373</v>
      </c>
      <c r="C9310" s="30" t="s">
        <v>10556</v>
      </c>
      <c r="D9310" s="30" t="s">
        <v>17</v>
      </c>
      <c r="E9310" s="30" t="s">
        <v>18</v>
      </c>
      <c r="F9310" s="30" t="s">
        <v>19</v>
      </c>
      <c r="G9310" s="30" t="s">
        <v>140</v>
      </c>
      <c r="H9310" s="32">
        <v>2500</v>
      </c>
      <c r="I9310" s="30" t="s">
        <v>51</v>
      </c>
      <c r="J9310" s="41">
        <v>44922</v>
      </c>
      <c r="K9310" s="30" t="s">
        <v>22</v>
      </c>
    </row>
    <row r="9311" spans="1:11">
      <c r="A9311" s="33" t="s">
        <v>21374</v>
      </c>
      <c r="B9311" s="33" t="s">
        <v>21375</v>
      </c>
      <c r="C9311" s="33" t="s">
        <v>118</v>
      </c>
      <c r="D9311" s="33" t="s">
        <v>17</v>
      </c>
      <c r="E9311" s="33" t="s">
        <v>26</v>
      </c>
      <c r="F9311" s="33" t="s">
        <v>27</v>
      </c>
      <c r="G9311" s="33" t="s">
        <v>158</v>
      </c>
      <c r="H9311" s="35">
        <v>284</v>
      </c>
      <c r="I9311" s="33" t="s">
        <v>51</v>
      </c>
      <c r="J9311" s="42">
        <v>44869</v>
      </c>
      <c r="K9311" s="33" t="s">
        <v>22</v>
      </c>
    </row>
    <row r="9312" spans="1:11">
      <c r="A9312" s="30" t="s">
        <v>21376</v>
      </c>
      <c r="B9312" s="30" t="s">
        <v>21377</v>
      </c>
      <c r="C9312" s="30" t="s">
        <v>8350</v>
      </c>
      <c r="D9312" s="30" t="s">
        <v>17</v>
      </c>
      <c r="E9312" s="30" t="s">
        <v>31</v>
      </c>
      <c r="F9312" s="30" t="s">
        <v>32</v>
      </c>
      <c r="G9312" s="30" t="s">
        <v>112</v>
      </c>
      <c r="H9312" s="32">
        <v>0</v>
      </c>
      <c r="I9312" s="30" t="s">
        <v>21</v>
      </c>
      <c r="J9312" s="41">
        <v>44600</v>
      </c>
      <c r="K9312" s="30" t="s">
        <v>22</v>
      </c>
    </row>
    <row r="9313" spans="1:11">
      <c r="A9313" s="33" t="s">
        <v>21378</v>
      </c>
      <c r="B9313" s="33" t="s">
        <v>21379</v>
      </c>
      <c r="C9313" s="33" t="s">
        <v>187</v>
      </c>
      <c r="D9313" s="33" t="s">
        <v>17</v>
      </c>
      <c r="E9313" s="33" t="s">
        <v>67</v>
      </c>
      <c r="F9313" s="33" t="s">
        <v>68</v>
      </c>
      <c r="G9313" s="33" t="s">
        <v>50</v>
      </c>
      <c r="H9313" s="35">
        <v>90</v>
      </c>
      <c r="I9313" s="33" t="s">
        <v>51</v>
      </c>
      <c r="J9313" s="42">
        <v>44562</v>
      </c>
      <c r="K9313" s="33" t="s">
        <v>22</v>
      </c>
    </row>
    <row r="9314" spans="1:11">
      <c r="A9314" s="30" t="s">
        <v>21380</v>
      </c>
      <c r="B9314" s="30" t="s">
        <v>21381</v>
      </c>
      <c r="C9314" s="30" t="s">
        <v>14572</v>
      </c>
      <c r="D9314" s="30" t="s">
        <v>17</v>
      </c>
      <c r="E9314" s="30" t="s">
        <v>31</v>
      </c>
      <c r="F9314" s="30" t="s">
        <v>32</v>
      </c>
      <c r="G9314" s="30" t="s">
        <v>106</v>
      </c>
      <c r="H9314" s="32">
        <v>1</v>
      </c>
      <c r="I9314" s="30" t="s">
        <v>21</v>
      </c>
      <c r="J9314" s="41">
        <v>44736</v>
      </c>
      <c r="K9314" s="30" t="s">
        <v>22</v>
      </c>
    </row>
    <row r="9315" spans="1:11">
      <c r="A9315" s="33" t="s">
        <v>21382</v>
      </c>
      <c r="B9315" s="33" t="s">
        <v>21383</v>
      </c>
      <c r="C9315" s="33" t="s">
        <v>13471</v>
      </c>
      <c r="D9315" s="33" t="s">
        <v>17</v>
      </c>
      <c r="E9315" s="33" t="s">
        <v>31</v>
      </c>
      <c r="F9315" s="33" t="s">
        <v>32</v>
      </c>
      <c r="G9315" s="33" t="s">
        <v>20</v>
      </c>
      <c r="H9315" s="35">
        <v>420</v>
      </c>
      <c r="I9315" s="33" t="s">
        <v>21</v>
      </c>
      <c r="J9315" s="42">
        <v>44636</v>
      </c>
      <c r="K9315" s="33" t="s">
        <v>22</v>
      </c>
    </row>
    <row r="9316" spans="1:11">
      <c r="A9316" s="30" t="s">
        <v>21384</v>
      </c>
      <c r="B9316" s="30" t="s">
        <v>21385</v>
      </c>
      <c r="C9316" s="30" t="s">
        <v>190</v>
      </c>
      <c r="D9316" s="30" t="s">
        <v>17</v>
      </c>
      <c r="E9316" s="30" t="s">
        <v>26</v>
      </c>
      <c r="F9316" s="30" t="s">
        <v>27</v>
      </c>
      <c r="G9316" s="30" t="s">
        <v>20</v>
      </c>
      <c r="H9316" s="32">
        <v>93</v>
      </c>
      <c r="I9316" s="30" t="s">
        <v>21</v>
      </c>
      <c r="J9316" s="41">
        <v>44900</v>
      </c>
      <c r="K9316" s="30" t="s">
        <v>22</v>
      </c>
    </row>
    <row r="9317" spans="1:11">
      <c r="A9317" s="33" t="s">
        <v>21386</v>
      </c>
      <c r="B9317" s="33" t="s">
        <v>21387</v>
      </c>
      <c r="C9317" s="33" t="s">
        <v>190</v>
      </c>
      <c r="D9317" s="33" t="s">
        <v>17</v>
      </c>
      <c r="E9317" s="33" t="s">
        <v>31</v>
      </c>
      <c r="F9317" s="33" t="s">
        <v>32</v>
      </c>
      <c r="G9317" s="33" t="s">
        <v>140</v>
      </c>
      <c r="H9317" s="35">
        <v>454</v>
      </c>
      <c r="I9317" s="33" t="s">
        <v>51</v>
      </c>
      <c r="J9317" s="42">
        <v>44810</v>
      </c>
      <c r="K9317" s="33" t="s">
        <v>22</v>
      </c>
    </row>
    <row r="9318" spans="1:11">
      <c r="A9318" s="30" t="s">
        <v>21388</v>
      </c>
      <c r="B9318" s="30" t="s">
        <v>21389</v>
      </c>
      <c r="C9318" s="30" t="s">
        <v>1498</v>
      </c>
      <c r="D9318" s="30" t="s">
        <v>17</v>
      </c>
      <c r="E9318" s="30" t="s">
        <v>26</v>
      </c>
      <c r="F9318" s="30" t="s">
        <v>27</v>
      </c>
      <c r="G9318" s="30" t="s">
        <v>20</v>
      </c>
      <c r="H9318" s="32">
        <v>50</v>
      </c>
      <c r="I9318" s="30" t="s">
        <v>21</v>
      </c>
      <c r="J9318" s="41">
        <v>44805</v>
      </c>
      <c r="K9318" s="30" t="s">
        <v>22</v>
      </c>
    </row>
    <row r="9319" spans="1:11">
      <c r="A9319" s="33" t="s">
        <v>21390</v>
      </c>
      <c r="B9319" s="33" t="s">
        <v>21391</v>
      </c>
      <c r="C9319" s="33" t="s">
        <v>8115</v>
      </c>
      <c r="D9319" s="33" t="s">
        <v>17</v>
      </c>
      <c r="E9319" s="33" t="s">
        <v>18</v>
      </c>
      <c r="F9319" s="33" t="s">
        <v>19</v>
      </c>
      <c r="G9319" s="33" t="s">
        <v>20</v>
      </c>
      <c r="H9319" s="35">
        <v>306</v>
      </c>
      <c r="I9319" s="33" t="s">
        <v>21</v>
      </c>
      <c r="J9319" s="42">
        <v>44581</v>
      </c>
      <c r="K9319" s="33" t="s">
        <v>22</v>
      </c>
    </row>
    <row r="9320" spans="1:11">
      <c r="A9320" s="30" t="s">
        <v>21392</v>
      </c>
      <c r="B9320" s="30" t="s">
        <v>21393</v>
      </c>
      <c r="C9320" s="30" t="s">
        <v>8490</v>
      </c>
      <c r="D9320" s="30" t="s">
        <v>17</v>
      </c>
      <c r="E9320" s="30" t="s">
        <v>26</v>
      </c>
      <c r="F9320" s="30" t="s">
        <v>27</v>
      </c>
      <c r="G9320" s="30" t="s">
        <v>106</v>
      </c>
      <c r="H9320" s="32">
        <v>8</v>
      </c>
      <c r="I9320" s="30" t="s">
        <v>21</v>
      </c>
      <c r="J9320" s="41">
        <v>44670</v>
      </c>
      <c r="K9320" s="30" t="s">
        <v>22</v>
      </c>
    </row>
    <row r="9321" spans="1:11">
      <c r="A9321" s="33" t="s">
        <v>21394</v>
      </c>
      <c r="B9321" s="33" t="s">
        <v>21395</v>
      </c>
      <c r="C9321" s="33" t="s">
        <v>102</v>
      </c>
      <c r="D9321" s="33" t="s">
        <v>17</v>
      </c>
      <c r="E9321" s="33" t="s">
        <v>26</v>
      </c>
      <c r="F9321" s="33" t="s">
        <v>27</v>
      </c>
      <c r="G9321" s="33" t="s">
        <v>20</v>
      </c>
      <c r="H9321" s="35">
        <v>30</v>
      </c>
      <c r="I9321" s="33" t="s">
        <v>21</v>
      </c>
      <c r="J9321" s="42">
        <v>44711</v>
      </c>
      <c r="K9321" s="33" t="s">
        <v>22</v>
      </c>
    </row>
    <row r="9322" spans="1:11">
      <c r="A9322" s="30" t="s">
        <v>21396</v>
      </c>
      <c r="B9322" s="30" t="s">
        <v>21397</v>
      </c>
      <c r="C9322" s="30" t="s">
        <v>60</v>
      </c>
      <c r="D9322" s="30" t="s">
        <v>17</v>
      </c>
      <c r="E9322" s="30" t="s">
        <v>18</v>
      </c>
      <c r="F9322" s="30" t="s">
        <v>19</v>
      </c>
      <c r="G9322" s="30" t="s">
        <v>140</v>
      </c>
      <c r="H9322" s="32">
        <v>26</v>
      </c>
      <c r="I9322" s="30" t="s">
        <v>51</v>
      </c>
      <c r="J9322" s="41">
        <v>44775</v>
      </c>
      <c r="K9322" s="30" t="s">
        <v>22</v>
      </c>
    </row>
    <row r="9323" spans="1:11">
      <c r="A9323" s="33" t="s">
        <v>21398</v>
      </c>
      <c r="B9323" s="33" t="s">
        <v>21399</v>
      </c>
      <c r="C9323" s="33" t="s">
        <v>6279</v>
      </c>
      <c r="D9323" s="33" t="s">
        <v>17</v>
      </c>
      <c r="E9323" s="33" t="s">
        <v>67</v>
      </c>
      <c r="F9323" s="33" t="s">
        <v>68</v>
      </c>
      <c r="G9323" s="33" t="s">
        <v>20</v>
      </c>
      <c r="H9323" s="35">
        <v>40</v>
      </c>
      <c r="I9323" s="33" t="s">
        <v>21</v>
      </c>
      <c r="J9323" s="42">
        <v>44874</v>
      </c>
      <c r="K9323" s="33" t="s">
        <v>22</v>
      </c>
    </row>
    <row r="9324" spans="1:11">
      <c r="A9324" s="30" t="s">
        <v>21400</v>
      </c>
      <c r="B9324" s="30" t="s">
        <v>21401</v>
      </c>
      <c r="C9324" s="30" t="s">
        <v>21402</v>
      </c>
      <c r="D9324" s="30" t="s">
        <v>17</v>
      </c>
      <c r="E9324" s="30" t="s">
        <v>26</v>
      </c>
      <c r="F9324" s="30" t="s">
        <v>27</v>
      </c>
      <c r="G9324" s="30" t="s">
        <v>20</v>
      </c>
      <c r="H9324" s="32">
        <v>47</v>
      </c>
      <c r="I9324" s="30" t="s">
        <v>21</v>
      </c>
      <c r="J9324" s="41">
        <v>44707</v>
      </c>
      <c r="K9324" s="30" t="s">
        <v>22</v>
      </c>
    </row>
    <row r="9325" spans="1:11">
      <c r="A9325" s="33" t="s">
        <v>21403</v>
      </c>
      <c r="B9325" s="33" t="s">
        <v>21404</v>
      </c>
      <c r="C9325" s="33" t="s">
        <v>21405</v>
      </c>
      <c r="D9325" s="33" t="s">
        <v>17</v>
      </c>
      <c r="E9325" s="33" t="s">
        <v>45</v>
      </c>
      <c r="F9325" s="33" t="s">
        <v>46</v>
      </c>
      <c r="G9325" s="33" t="s">
        <v>106</v>
      </c>
      <c r="H9325" s="35">
        <v>4</v>
      </c>
      <c r="I9325" s="33" t="s">
        <v>21</v>
      </c>
      <c r="J9325" s="42">
        <v>44664</v>
      </c>
      <c r="K9325" s="33" t="s">
        <v>22</v>
      </c>
    </row>
    <row r="9326" spans="1:11">
      <c r="A9326" s="30" t="s">
        <v>21406</v>
      </c>
      <c r="B9326" s="30" t="s">
        <v>21407</v>
      </c>
      <c r="C9326" s="30" t="s">
        <v>2292</v>
      </c>
      <c r="D9326" s="30" t="s">
        <v>17</v>
      </c>
      <c r="E9326" s="30" t="s">
        <v>18</v>
      </c>
      <c r="F9326" s="30" t="s">
        <v>19</v>
      </c>
      <c r="G9326" s="30" t="s">
        <v>106</v>
      </c>
      <c r="H9326" s="32">
        <v>2192</v>
      </c>
      <c r="I9326" s="30" t="s">
        <v>21</v>
      </c>
      <c r="J9326" s="41">
        <v>44652</v>
      </c>
      <c r="K9326" s="30" t="s">
        <v>22</v>
      </c>
    </row>
    <row r="9327" spans="1:11">
      <c r="A9327" s="33" t="s">
        <v>21408</v>
      </c>
      <c r="B9327" s="33" t="s">
        <v>21409</v>
      </c>
      <c r="C9327" s="33" t="s">
        <v>21354</v>
      </c>
      <c r="D9327" s="33" t="s">
        <v>17</v>
      </c>
      <c r="E9327" s="33" t="s">
        <v>67</v>
      </c>
      <c r="F9327" s="33" t="s">
        <v>68</v>
      </c>
      <c r="G9327" s="33" t="s">
        <v>140</v>
      </c>
      <c r="H9327" s="35">
        <v>46</v>
      </c>
      <c r="I9327" s="33" t="s">
        <v>51</v>
      </c>
      <c r="J9327" s="42">
        <v>44860</v>
      </c>
      <c r="K9327" s="33" t="s">
        <v>22</v>
      </c>
    </row>
    <row r="9328" spans="1:11">
      <c r="A9328" s="30" t="s">
        <v>21410</v>
      </c>
      <c r="B9328" s="30" t="s">
        <v>21411</v>
      </c>
      <c r="C9328" s="30" t="s">
        <v>3892</v>
      </c>
      <c r="D9328" s="30" t="s">
        <v>17</v>
      </c>
      <c r="E9328" s="30" t="s">
        <v>18</v>
      </c>
      <c r="F9328" s="30" t="s">
        <v>19</v>
      </c>
      <c r="G9328" s="30" t="s">
        <v>20</v>
      </c>
      <c r="H9328" s="32">
        <v>153</v>
      </c>
      <c r="I9328" s="30" t="s">
        <v>21</v>
      </c>
      <c r="J9328" s="41">
        <v>44733</v>
      </c>
      <c r="K9328" s="30" t="s">
        <v>22</v>
      </c>
    </row>
    <row r="9329" spans="1:11">
      <c r="A9329" s="33" t="s">
        <v>21412</v>
      </c>
      <c r="B9329" s="33" t="s">
        <v>21413</v>
      </c>
      <c r="C9329" s="33" t="s">
        <v>21083</v>
      </c>
      <c r="D9329" s="33" t="s">
        <v>17</v>
      </c>
      <c r="E9329" s="33" t="s">
        <v>31</v>
      </c>
      <c r="F9329" s="33" t="s">
        <v>32</v>
      </c>
      <c r="G9329" s="33" t="s">
        <v>50</v>
      </c>
      <c r="H9329" s="35">
        <v>24</v>
      </c>
      <c r="I9329" s="33" t="s">
        <v>51</v>
      </c>
      <c r="J9329" s="42">
        <v>44729</v>
      </c>
      <c r="K9329" s="33" t="s">
        <v>22</v>
      </c>
    </row>
    <row r="9330" spans="1:11">
      <c r="A9330" s="30" t="s">
        <v>21414</v>
      </c>
      <c r="B9330" s="30" t="s">
        <v>21415</v>
      </c>
      <c r="C9330" s="30" t="s">
        <v>13464</v>
      </c>
      <c r="D9330" s="30" t="s">
        <v>17</v>
      </c>
      <c r="E9330" s="30" t="s">
        <v>45</v>
      </c>
      <c r="F9330" s="30" t="s">
        <v>46</v>
      </c>
      <c r="G9330" s="30" t="s">
        <v>50</v>
      </c>
      <c r="H9330" s="32">
        <v>1900</v>
      </c>
      <c r="I9330" s="30" t="s">
        <v>51</v>
      </c>
      <c r="J9330" s="41">
        <v>44562</v>
      </c>
      <c r="K9330" s="30" t="s">
        <v>22</v>
      </c>
    </row>
    <row r="9331" spans="1:11">
      <c r="A9331" s="33" t="s">
        <v>21416</v>
      </c>
      <c r="B9331" s="33" t="s">
        <v>21417</v>
      </c>
      <c r="C9331" s="33" t="s">
        <v>1498</v>
      </c>
      <c r="D9331" s="33" t="s">
        <v>17</v>
      </c>
      <c r="E9331" s="33" t="s">
        <v>26</v>
      </c>
      <c r="F9331" s="33" t="s">
        <v>27</v>
      </c>
      <c r="G9331" s="33" t="s">
        <v>20</v>
      </c>
      <c r="H9331" s="35">
        <v>24</v>
      </c>
      <c r="I9331" s="33" t="s">
        <v>21</v>
      </c>
      <c r="J9331" s="42">
        <v>44751</v>
      </c>
      <c r="K9331" s="33" t="s">
        <v>22</v>
      </c>
    </row>
    <row r="9332" spans="1:11">
      <c r="A9332" s="30" t="s">
        <v>21418</v>
      </c>
      <c r="B9332" s="30" t="s">
        <v>21419</v>
      </c>
      <c r="C9332" s="30" t="s">
        <v>11337</v>
      </c>
      <c r="D9332" s="30" t="s">
        <v>17</v>
      </c>
      <c r="E9332" s="30" t="s">
        <v>45</v>
      </c>
      <c r="F9332" s="30" t="s">
        <v>46</v>
      </c>
      <c r="G9332" s="30" t="s">
        <v>106</v>
      </c>
      <c r="H9332" s="32">
        <v>2</v>
      </c>
      <c r="I9332" s="30" t="s">
        <v>21</v>
      </c>
      <c r="J9332" s="41">
        <v>44757</v>
      </c>
      <c r="K9332" s="30" t="s">
        <v>22</v>
      </c>
    </row>
    <row r="9333" spans="1:11">
      <c r="A9333" s="33" t="s">
        <v>21420</v>
      </c>
      <c r="B9333" s="33" t="s">
        <v>21421</v>
      </c>
      <c r="C9333" s="33" t="s">
        <v>2812</v>
      </c>
      <c r="D9333" s="33" t="s">
        <v>17</v>
      </c>
      <c r="E9333" s="33" t="s">
        <v>18</v>
      </c>
      <c r="F9333" s="33" t="s">
        <v>19</v>
      </c>
      <c r="G9333" s="33" t="s">
        <v>20</v>
      </c>
      <c r="H9333" s="35">
        <v>100</v>
      </c>
      <c r="I9333" s="33" t="s">
        <v>21</v>
      </c>
      <c r="J9333" s="42">
        <v>44804</v>
      </c>
      <c r="K9333" s="33" t="s">
        <v>22</v>
      </c>
    </row>
    <row r="9334" spans="1:11">
      <c r="A9334" s="30" t="s">
        <v>21422</v>
      </c>
      <c r="B9334" s="30" t="s">
        <v>21423</v>
      </c>
      <c r="C9334" s="30" t="s">
        <v>1718</v>
      </c>
      <c r="D9334" s="30" t="s">
        <v>17</v>
      </c>
      <c r="E9334" s="30" t="s">
        <v>18</v>
      </c>
      <c r="F9334" s="30" t="s">
        <v>19</v>
      </c>
      <c r="G9334" s="30" t="s">
        <v>20</v>
      </c>
      <c r="H9334" s="32">
        <v>413</v>
      </c>
      <c r="I9334" s="30" t="s">
        <v>21</v>
      </c>
      <c r="J9334" s="41">
        <v>44740</v>
      </c>
      <c r="K9334" s="30" t="s">
        <v>22</v>
      </c>
    </row>
    <row r="9335" spans="1:11">
      <c r="A9335" s="33" t="s">
        <v>21424</v>
      </c>
      <c r="B9335" s="33" t="s">
        <v>21425</v>
      </c>
      <c r="C9335" s="33" t="s">
        <v>21426</v>
      </c>
      <c r="D9335" s="33" t="s">
        <v>17</v>
      </c>
      <c r="E9335" s="33" t="s">
        <v>31</v>
      </c>
      <c r="F9335" s="33" t="s">
        <v>32</v>
      </c>
      <c r="G9335" s="33" t="s">
        <v>112</v>
      </c>
      <c r="H9335" s="35">
        <v>0</v>
      </c>
      <c r="I9335" s="33" t="s">
        <v>21</v>
      </c>
      <c r="J9335" s="42">
        <v>44706</v>
      </c>
      <c r="K9335" s="33" t="s">
        <v>22</v>
      </c>
    </row>
    <row r="9336" spans="1:11">
      <c r="A9336" s="30" t="s">
        <v>21427</v>
      </c>
      <c r="B9336" s="30" t="s">
        <v>21428</v>
      </c>
      <c r="C9336" s="30" t="s">
        <v>3246</v>
      </c>
      <c r="D9336" s="30" t="s">
        <v>17</v>
      </c>
      <c r="E9336" s="30" t="s">
        <v>31</v>
      </c>
      <c r="F9336" s="30" t="s">
        <v>32</v>
      </c>
      <c r="G9336" s="30" t="s">
        <v>20</v>
      </c>
      <c r="H9336" s="32">
        <v>41</v>
      </c>
      <c r="I9336" s="30" t="s">
        <v>21</v>
      </c>
      <c r="J9336" s="41">
        <v>44863</v>
      </c>
      <c r="K9336" s="30" t="s">
        <v>22</v>
      </c>
    </row>
    <row r="9337" spans="1:11">
      <c r="A9337" s="33" t="s">
        <v>21429</v>
      </c>
      <c r="B9337" s="33" t="s">
        <v>21430</v>
      </c>
      <c r="C9337" s="33" t="s">
        <v>11332</v>
      </c>
      <c r="D9337" s="33" t="s">
        <v>17</v>
      </c>
      <c r="E9337" s="33" t="s">
        <v>26</v>
      </c>
      <c r="F9337" s="33" t="s">
        <v>27</v>
      </c>
      <c r="G9337" s="33" t="s">
        <v>140</v>
      </c>
      <c r="H9337" s="35">
        <v>36</v>
      </c>
      <c r="I9337" s="33" t="s">
        <v>51</v>
      </c>
      <c r="J9337" s="42">
        <v>44772</v>
      </c>
      <c r="K9337" s="33" t="s">
        <v>22</v>
      </c>
    </row>
    <row r="9338" spans="1:11">
      <c r="A9338" s="30" t="s">
        <v>21431</v>
      </c>
      <c r="B9338" s="30" t="s">
        <v>21432</v>
      </c>
      <c r="C9338" s="30" t="s">
        <v>19121</v>
      </c>
      <c r="D9338" s="30" t="s">
        <v>17</v>
      </c>
      <c r="E9338" s="30" t="s">
        <v>67</v>
      </c>
      <c r="F9338" s="30" t="s">
        <v>68</v>
      </c>
      <c r="G9338" s="30" t="s">
        <v>140</v>
      </c>
      <c r="H9338" s="32">
        <v>86</v>
      </c>
      <c r="I9338" s="30" t="s">
        <v>51</v>
      </c>
      <c r="J9338" s="41">
        <v>44816</v>
      </c>
      <c r="K9338" s="30" t="s">
        <v>22</v>
      </c>
    </row>
    <row r="9339" spans="1:11">
      <c r="A9339" s="33" t="s">
        <v>21433</v>
      </c>
      <c r="B9339" s="33" t="s">
        <v>21434</v>
      </c>
      <c r="C9339" s="33" t="s">
        <v>3622</v>
      </c>
      <c r="D9339" s="33" t="s">
        <v>17</v>
      </c>
      <c r="E9339" s="33" t="s">
        <v>26</v>
      </c>
      <c r="F9339" s="33" t="s">
        <v>27</v>
      </c>
      <c r="G9339" s="33" t="s">
        <v>20</v>
      </c>
      <c r="H9339" s="35">
        <v>45</v>
      </c>
      <c r="I9339" s="33" t="s">
        <v>21</v>
      </c>
      <c r="J9339" s="42">
        <v>44784</v>
      </c>
      <c r="K9339" s="33" t="s">
        <v>22</v>
      </c>
    </row>
    <row r="9340" spans="1:11">
      <c r="A9340" s="30" t="s">
        <v>21435</v>
      </c>
      <c r="B9340" s="30" t="s">
        <v>21436</v>
      </c>
      <c r="C9340" s="30" t="s">
        <v>647</v>
      </c>
      <c r="D9340" s="30" t="s">
        <v>17</v>
      </c>
      <c r="E9340" s="30" t="s">
        <v>26</v>
      </c>
      <c r="F9340" s="30" t="s">
        <v>27</v>
      </c>
      <c r="G9340" s="30" t="s">
        <v>20</v>
      </c>
      <c r="H9340" s="32">
        <v>17</v>
      </c>
      <c r="I9340" s="30" t="s">
        <v>21</v>
      </c>
      <c r="J9340" s="41">
        <v>44736</v>
      </c>
      <c r="K9340" s="30" t="s">
        <v>22</v>
      </c>
    </row>
    <row r="9341" spans="1:11">
      <c r="A9341" s="33" t="s">
        <v>21437</v>
      </c>
      <c r="B9341" s="33" t="s">
        <v>21438</v>
      </c>
      <c r="C9341" s="33" t="s">
        <v>21439</v>
      </c>
      <c r="D9341" s="33" t="s">
        <v>17</v>
      </c>
      <c r="E9341" s="33" t="s">
        <v>26</v>
      </c>
      <c r="F9341" s="33" t="s">
        <v>27</v>
      </c>
      <c r="G9341" s="33" t="s">
        <v>112</v>
      </c>
      <c r="H9341" s="35">
        <v>0</v>
      </c>
      <c r="I9341" s="33" t="s">
        <v>21</v>
      </c>
      <c r="J9341" s="42">
        <v>44743</v>
      </c>
      <c r="K9341" s="33" t="s">
        <v>22</v>
      </c>
    </row>
    <row r="9342" spans="1:11">
      <c r="A9342" s="30" t="s">
        <v>21440</v>
      </c>
      <c r="B9342" s="30" t="s">
        <v>21441</v>
      </c>
      <c r="C9342" s="30" t="s">
        <v>190</v>
      </c>
      <c r="D9342" s="30" t="s">
        <v>17</v>
      </c>
      <c r="E9342" s="30" t="s">
        <v>18</v>
      </c>
      <c r="F9342" s="30" t="s">
        <v>19</v>
      </c>
      <c r="G9342" s="30" t="s">
        <v>20</v>
      </c>
      <c r="H9342" s="32">
        <v>559</v>
      </c>
      <c r="I9342" s="30" t="s">
        <v>21</v>
      </c>
      <c r="J9342" s="41">
        <v>44831</v>
      </c>
      <c r="K9342" s="30" t="s">
        <v>22</v>
      </c>
    </row>
    <row r="9343" spans="1:11">
      <c r="A9343" s="33" t="s">
        <v>21442</v>
      </c>
      <c r="B9343" s="33" t="s">
        <v>21443</v>
      </c>
      <c r="C9343" s="33" t="s">
        <v>432</v>
      </c>
      <c r="D9343" s="33" t="s">
        <v>17</v>
      </c>
      <c r="E9343" s="33" t="s">
        <v>26</v>
      </c>
      <c r="F9343" s="33" t="s">
        <v>27</v>
      </c>
      <c r="G9343" s="33" t="s">
        <v>50</v>
      </c>
      <c r="H9343" s="35">
        <v>36</v>
      </c>
      <c r="I9343" s="33" t="s">
        <v>21</v>
      </c>
      <c r="J9343" s="42">
        <v>44692</v>
      </c>
      <c r="K9343" s="33" t="s">
        <v>22</v>
      </c>
    </row>
    <row r="9344" spans="1:11">
      <c r="A9344" s="30" t="s">
        <v>21444</v>
      </c>
      <c r="B9344" s="30" t="s">
        <v>21445</v>
      </c>
      <c r="C9344" s="30" t="s">
        <v>1498</v>
      </c>
      <c r="D9344" s="30" t="s">
        <v>17</v>
      </c>
      <c r="E9344" s="30" t="s">
        <v>26</v>
      </c>
      <c r="F9344" s="30" t="s">
        <v>27</v>
      </c>
      <c r="G9344" s="30" t="s">
        <v>20</v>
      </c>
      <c r="H9344" s="32">
        <v>50</v>
      </c>
      <c r="I9344" s="30" t="s">
        <v>21</v>
      </c>
      <c r="J9344" s="41">
        <v>44834</v>
      </c>
      <c r="K9344" s="30" t="s">
        <v>22</v>
      </c>
    </row>
    <row r="9345" spans="1:11">
      <c r="A9345" s="33" t="s">
        <v>21446</v>
      </c>
      <c r="B9345" s="33" t="s">
        <v>21447</v>
      </c>
      <c r="C9345" s="33" t="s">
        <v>1148</v>
      </c>
      <c r="D9345" s="33" t="s">
        <v>17</v>
      </c>
      <c r="E9345" s="33" t="s">
        <v>18</v>
      </c>
      <c r="F9345" s="33" t="s">
        <v>19</v>
      </c>
      <c r="G9345" s="33" t="s">
        <v>158</v>
      </c>
      <c r="H9345" s="35">
        <v>524</v>
      </c>
      <c r="I9345" s="33" t="s">
        <v>21</v>
      </c>
      <c r="J9345" s="42">
        <v>44658</v>
      </c>
      <c r="K9345" s="33" t="s">
        <v>22</v>
      </c>
    </row>
    <row r="9346" spans="1:11">
      <c r="A9346" s="30" t="s">
        <v>21448</v>
      </c>
      <c r="B9346" s="30" t="s">
        <v>21449</v>
      </c>
      <c r="C9346" s="30" t="s">
        <v>12099</v>
      </c>
      <c r="D9346" s="30" t="s">
        <v>17</v>
      </c>
      <c r="E9346" s="30" t="s">
        <v>212</v>
      </c>
      <c r="F9346" s="30" t="s">
        <v>213</v>
      </c>
      <c r="G9346" s="30" t="s">
        <v>158</v>
      </c>
      <c r="H9346" s="32">
        <v>1536</v>
      </c>
      <c r="I9346" s="30" t="s">
        <v>21</v>
      </c>
      <c r="J9346" s="41">
        <v>44648</v>
      </c>
      <c r="K9346" s="30" t="s">
        <v>22</v>
      </c>
    </row>
    <row r="9347" spans="1:11">
      <c r="A9347" s="33" t="s">
        <v>21450</v>
      </c>
      <c r="B9347" s="33" t="s">
        <v>21451</v>
      </c>
      <c r="C9347" s="33" t="s">
        <v>81</v>
      </c>
      <c r="D9347" s="33" t="s">
        <v>17</v>
      </c>
      <c r="E9347" s="33" t="s">
        <v>26</v>
      </c>
      <c r="F9347" s="33" t="s">
        <v>27</v>
      </c>
      <c r="G9347" s="33" t="s">
        <v>20</v>
      </c>
      <c r="H9347" s="35">
        <v>18</v>
      </c>
      <c r="I9347" s="33" t="s">
        <v>21</v>
      </c>
      <c r="J9347" s="42">
        <v>44879</v>
      </c>
      <c r="K9347" s="33" t="s">
        <v>22</v>
      </c>
    </row>
    <row r="9348" spans="1:11">
      <c r="A9348" s="30" t="s">
        <v>21452</v>
      </c>
      <c r="B9348" s="30" t="s">
        <v>21453</v>
      </c>
      <c r="C9348" s="30" t="s">
        <v>1764</v>
      </c>
      <c r="D9348" s="30" t="s">
        <v>17</v>
      </c>
      <c r="E9348" s="30" t="s">
        <v>18</v>
      </c>
      <c r="F9348" s="30" t="s">
        <v>19</v>
      </c>
      <c r="G9348" s="30" t="s">
        <v>20</v>
      </c>
      <c r="H9348" s="32">
        <v>150</v>
      </c>
      <c r="I9348" s="30" t="s">
        <v>21</v>
      </c>
      <c r="J9348" s="41">
        <v>44717</v>
      </c>
      <c r="K9348" s="30" t="s">
        <v>22</v>
      </c>
    </row>
    <row r="9349" spans="1:11">
      <c r="A9349" s="33" t="s">
        <v>21454</v>
      </c>
      <c r="B9349" s="33" t="s">
        <v>21455</v>
      </c>
      <c r="C9349" s="33" t="s">
        <v>93</v>
      </c>
      <c r="D9349" s="33" t="s">
        <v>17</v>
      </c>
      <c r="E9349" s="33" t="s">
        <v>18</v>
      </c>
      <c r="F9349" s="33" t="s">
        <v>19</v>
      </c>
      <c r="G9349" s="33" t="s">
        <v>140</v>
      </c>
      <c r="H9349" s="35">
        <v>714</v>
      </c>
      <c r="I9349" s="33" t="s">
        <v>51</v>
      </c>
      <c r="J9349" s="42">
        <v>44574</v>
      </c>
      <c r="K9349" s="33" t="s">
        <v>22</v>
      </c>
    </row>
    <row r="9350" spans="1:11">
      <c r="A9350" s="30" t="s">
        <v>21456</v>
      </c>
      <c r="B9350" s="30" t="s">
        <v>21457</v>
      </c>
      <c r="C9350" s="30" t="s">
        <v>1801</v>
      </c>
      <c r="D9350" s="30" t="s">
        <v>17</v>
      </c>
      <c r="E9350" s="30" t="s">
        <v>26</v>
      </c>
      <c r="F9350" s="30" t="s">
        <v>27</v>
      </c>
      <c r="G9350" s="30" t="s">
        <v>158</v>
      </c>
      <c r="H9350" s="32">
        <v>214</v>
      </c>
      <c r="I9350" s="30" t="s">
        <v>21</v>
      </c>
      <c r="J9350" s="41">
        <v>44699</v>
      </c>
      <c r="K9350" s="30" t="s">
        <v>22</v>
      </c>
    </row>
    <row r="9351" spans="1:11">
      <c r="A9351" s="33" t="s">
        <v>21458</v>
      </c>
      <c r="B9351" s="33" t="s">
        <v>21459</v>
      </c>
      <c r="C9351" s="33" t="s">
        <v>10950</v>
      </c>
      <c r="D9351" s="33" t="s">
        <v>17</v>
      </c>
      <c r="E9351" s="33" t="s">
        <v>26</v>
      </c>
      <c r="F9351" s="33" t="s">
        <v>27</v>
      </c>
      <c r="G9351" s="33" t="s">
        <v>112</v>
      </c>
      <c r="H9351" s="35">
        <v>0</v>
      </c>
      <c r="I9351" s="33" t="s">
        <v>21</v>
      </c>
      <c r="J9351" s="42">
        <v>44587</v>
      </c>
      <c r="K9351" s="33" t="s">
        <v>22</v>
      </c>
    </row>
    <row r="9352" spans="1:11">
      <c r="A9352" s="30" t="s">
        <v>21460</v>
      </c>
      <c r="B9352" s="30" t="s">
        <v>21461</v>
      </c>
      <c r="C9352" s="30" t="s">
        <v>4260</v>
      </c>
      <c r="D9352" s="30" t="s">
        <v>17</v>
      </c>
      <c r="E9352" s="30" t="s">
        <v>18</v>
      </c>
      <c r="F9352" s="30" t="s">
        <v>19</v>
      </c>
      <c r="G9352" s="30" t="s">
        <v>50</v>
      </c>
      <c r="H9352" s="32">
        <v>78</v>
      </c>
      <c r="I9352" s="30" t="s">
        <v>51</v>
      </c>
      <c r="J9352" s="41">
        <v>44607</v>
      </c>
      <c r="K9352" s="30" t="s">
        <v>22</v>
      </c>
    </row>
    <row r="9353" spans="1:11">
      <c r="A9353" s="33" t="s">
        <v>21462</v>
      </c>
      <c r="B9353" s="33" t="s">
        <v>21463</v>
      </c>
      <c r="C9353" s="33" t="s">
        <v>149</v>
      </c>
      <c r="D9353" s="33" t="s">
        <v>17</v>
      </c>
      <c r="E9353" s="33" t="s">
        <v>26</v>
      </c>
      <c r="F9353" s="33" t="s">
        <v>27</v>
      </c>
      <c r="G9353" s="33" t="s">
        <v>20</v>
      </c>
      <c r="H9353" s="35">
        <v>20</v>
      </c>
      <c r="I9353" s="33" t="s">
        <v>21</v>
      </c>
      <c r="J9353" s="42">
        <v>44745</v>
      </c>
      <c r="K9353" s="33" t="s">
        <v>22</v>
      </c>
    </row>
    <row r="9354" spans="1:11">
      <c r="A9354" s="30" t="s">
        <v>21464</v>
      </c>
      <c r="B9354" s="30" t="s">
        <v>21465</v>
      </c>
      <c r="C9354" s="30" t="s">
        <v>96</v>
      </c>
      <c r="D9354" s="30" t="s">
        <v>17</v>
      </c>
      <c r="E9354" s="30" t="s">
        <v>18</v>
      </c>
      <c r="F9354" s="30" t="s">
        <v>19</v>
      </c>
      <c r="G9354" s="30" t="s">
        <v>106</v>
      </c>
      <c r="H9354" s="32">
        <v>242</v>
      </c>
      <c r="I9354" s="30" t="s">
        <v>21</v>
      </c>
      <c r="J9354" s="41">
        <v>44649</v>
      </c>
      <c r="K9354" s="30" t="s">
        <v>22</v>
      </c>
    </row>
    <row r="9355" spans="1:11">
      <c r="A9355" s="33" t="s">
        <v>21466</v>
      </c>
      <c r="B9355" s="33" t="s">
        <v>21467</v>
      </c>
      <c r="C9355" s="33" t="s">
        <v>12627</v>
      </c>
      <c r="D9355" s="33" t="s">
        <v>17</v>
      </c>
      <c r="E9355" s="33" t="s">
        <v>67</v>
      </c>
      <c r="F9355" s="33" t="s">
        <v>68</v>
      </c>
      <c r="G9355" s="33" t="s">
        <v>158</v>
      </c>
      <c r="H9355" s="35">
        <v>320</v>
      </c>
      <c r="I9355" s="33" t="s">
        <v>21</v>
      </c>
      <c r="J9355" s="42">
        <v>44572</v>
      </c>
      <c r="K9355" s="33" t="s">
        <v>22</v>
      </c>
    </row>
    <row r="9356" spans="1:11">
      <c r="A9356" s="30" t="s">
        <v>21468</v>
      </c>
      <c r="B9356" s="30" t="s">
        <v>21469</v>
      </c>
      <c r="C9356" s="30" t="s">
        <v>1090</v>
      </c>
      <c r="D9356" s="30" t="s">
        <v>17</v>
      </c>
      <c r="E9356" s="30" t="s">
        <v>26</v>
      </c>
      <c r="F9356" s="30" t="s">
        <v>27</v>
      </c>
      <c r="G9356" s="30" t="s">
        <v>50</v>
      </c>
      <c r="H9356" s="32">
        <v>40</v>
      </c>
      <c r="I9356" s="30" t="s">
        <v>51</v>
      </c>
      <c r="J9356" s="41">
        <v>44713</v>
      </c>
      <c r="K9356" s="30" t="s">
        <v>22</v>
      </c>
    </row>
    <row r="9357" spans="1:11">
      <c r="A9357" s="33" t="s">
        <v>21470</v>
      </c>
      <c r="B9357" s="33" t="s">
        <v>21471</v>
      </c>
      <c r="C9357" s="33" t="s">
        <v>231</v>
      </c>
      <c r="D9357" s="33" t="s">
        <v>17</v>
      </c>
      <c r="E9357" s="33" t="s">
        <v>26</v>
      </c>
      <c r="F9357" s="33" t="s">
        <v>27</v>
      </c>
      <c r="G9357" s="33" t="s">
        <v>20</v>
      </c>
      <c r="H9357" s="35">
        <v>82</v>
      </c>
      <c r="I9357" s="33" t="s">
        <v>21</v>
      </c>
      <c r="J9357" s="42">
        <v>44678</v>
      </c>
      <c r="K9357" s="33" t="s">
        <v>22</v>
      </c>
    </row>
    <row r="9358" spans="1:11">
      <c r="A9358" s="30" t="s">
        <v>21472</v>
      </c>
      <c r="B9358" s="30" t="s">
        <v>21473</v>
      </c>
      <c r="C9358" s="30" t="s">
        <v>21474</v>
      </c>
      <c r="D9358" s="30" t="s">
        <v>17</v>
      </c>
      <c r="E9358" s="30" t="s">
        <v>67</v>
      </c>
      <c r="F9358" s="30" t="s">
        <v>68</v>
      </c>
      <c r="G9358" s="30" t="s">
        <v>106</v>
      </c>
      <c r="H9358" s="32">
        <v>110</v>
      </c>
      <c r="I9358" s="30" t="s">
        <v>21</v>
      </c>
      <c r="J9358" s="41">
        <v>44643</v>
      </c>
      <c r="K9358" s="30" t="s">
        <v>22</v>
      </c>
    </row>
    <row r="9359" spans="1:11">
      <c r="A9359" s="33" t="s">
        <v>21475</v>
      </c>
      <c r="B9359" s="33" t="s">
        <v>21476</v>
      </c>
      <c r="C9359" s="33" t="s">
        <v>8426</v>
      </c>
      <c r="D9359" s="33" t="s">
        <v>17</v>
      </c>
      <c r="E9359" s="33" t="s">
        <v>31</v>
      </c>
      <c r="F9359" s="33" t="s">
        <v>32</v>
      </c>
      <c r="G9359" s="33" t="s">
        <v>20</v>
      </c>
      <c r="H9359" s="35">
        <v>235</v>
      </c>
      <c r="I9359" s="33" t="s">
        <v>21</v>
      </c>
      <c r="J9359" s="42">
        <v>44753</v>
      </c>
      <c r="K9359" s="33" t="s">
        <v>22</v>
      </c>
    </row>
    <row r="9360" spans="1:11">
      <c r="A9360" s="30" t="s">
        <v>21477</v>
      </c>
      <c r="B9360" s="30" t="s">
        <v>21478</v>
      </c>
      <c r="C9360" s="30" t="s">
        <v>2094</v>
      </c>
      <c r="D9360" s="30" t="s">
        <v>17</v>
      </c>
      <c r="E9360" s="30" t="s">
        <v>26</v>
      </c>
      <c r="F9360" s="30" t="s">
        <v>27</v>
      </c>
      <c r="G9360" s="30" t="s">
        <v>20</v>
      </c>
      <c r="H9360" s="32">
        <v>16</v>
      </c>
      <c r="I9360" s="30" t="s">
        <v>21</v>
      </c>
      <c r="J9360" s="41">
        <v>44718</v>
      </c>
      <c r="K9360" s="30" t="s">
        <v>22</v>
      </c>
    </row>
    <row r="9361" spans="1:11">
      <c r="A9361" s="33" t="s">
        <v>21479</v>
      </c>
      <c r="B9361" s="33" t="s">
        <v>21480</v>
      </c>
      <c r="C9361" s="33" t="s">
        <v>21481</v>
      </c>
      <c r="D9361" s="33" t="s">
        <v>17</v>
      </c>
      <c r="E9361" s="33" t="s">
        <v>31</v>
      </c>
      <c r="F9361" s="33" t="s">
        <v>32</v>
      </c>
      <c r="G9361" s="33" t="s">
        <v>20</v>
      </c>
      <c r="H9361" s="35">
        <v>239</v>
      </c>
      <c r="I9361" s="33" t="s">
        <v>21</v>
      </c>
      <c r="J9361" s="42">
        <v>44861</v>
      </c>
      <c r="K9361" s="33" t="s">
        <v>22</v>
      </c>
    </row>
    <row r="9362" spans="1:11">
      <c r="A9362" s="30" t="s">
        <v>21482</v>
      </c>
      <c r="B9362" s="30" t="s">
        <v>21483</v>
      </c>
      <c r="C9362" s="30" t="s">
        <v>3655</v>
      </c>
      <c r="D9362" s="30" t="s">
        <v>17</v>
      </c>
      <c r="E9362" s="30" t="s">
        <v>18</v>
      </c>
      <c r="F9362" s="30" t="s">
        <v>19</v>
      </c>
      <c r="G9362" s="30" t="s">
        <v>20</v>
      </c>
      <c r="H9362" s="32">
        <v>1134</v>
      </c>
      <c r="I9362" s="30" t="s">
        <v>21</v>
      </c>
      <c r="J9362" s="41">
        <v>44671</v>
      </c>
      <c r="K9362" s="30" t="s">
        <v>22</v>
      </c>
    </row>
    <row r="9363" spans="1:11">
      <c r="A9363" s="33" t="s">
        <v>21484</v>
      </c>
      <c r="B9363" s="33" t="s">
        <v>21485</v>
      </c>
      <c r="C9363" s="33" t="s">
        <v>3137</v>
      </c>
      <c r="D9363" s="33" t="s">
        <v>17</v>
      </c>
      <c r="E9363" s="33" t="s">
        <v>18</v>
      </c>
      <c r="F9363" s="33" t="s">
        <v>19</v>
      </c>
      <c r="G9363" s="33" t="s">
        <v>20</v>
      </c>
      <c r="H9363" s="35">
        <v>465</v>
      </c>
      <c r="I9363" s="33" t="s">
        <v>21</v>
      </c>
      <c r="J9363" s="42">
        <v>44690</v>
      </c>
      <c r="K9363" s="33" t="s">
        <v>22</v>
      </c>
    </row>
    <row r="9364" spans="1:11">
      <c r="A9364" s="30" t="s">
        <v>21486</v>
      </c>
      <c r="B9364" s="30" t="s">
        <v>21487</v>
      </c>
      <c r="C9364" s="30" t="s">
        <v>21488</v>
      </c>
      <c r="D9364" s="30" t="s">
        <v>17</v>
      </c>
      <c r="E9364" s="30" t="s">
        <v>212</v>
      </c>
      <c r="F9364" s="30" t="s">
        <v>213</v>
      </c>
      <c r="G9364" s="30" t="s">
        <v>20</v>
      </c>
      <c r="H9364" s="32">
        <v>125</v>
      </c>
      <c r="I9364" s="30" t="s">
        <v>21</v>
      </c>
      <c r="J9364" s="41">
        <v>44853</v>
      </c>
      <c r="K9364" s="30" t="s">
        <v>22</v>
      </c>
    </row>
    <row r="9365" spans="1:11">
      <c r="A9365" s="33" t="s">
        <v>21489</v>
      </c>
      <c r="B9365" s="33" t="s">
        <v>21490</v>
      </c>
      <c r="C9365" s="33" t="s">
        <v>170</v>
      </c>
      <c r="D9365" s="33" t="s">
        <v>17</v>
      </c>
      <c r="E9365" s="33" t="s">
        <v>26</v>
      </c>
      <c r="F9365" s="33" t="s">
        <v>27</v>
      </c>
      <c r="G9365" s="33" t="s">
        <v>20</v>
      </c>
      <c r="H9365" s="35">
        <v>24</v>
      </c>
      <c r="I9365" s="33" t="s">
        <v>21</v>
      </c>
      <c r="J9365" s="42">
        <v>44831</v>
      </c>
      <c r="K9365" s="33" t="s">
        <v>22</v>
      </c>
    </row>
    <row r="9366" spans="1:11">
      <c r="A9366" s="30" t="s">
        <v>21491</v>
      </c>
      <c r="B9366" s="30" t="s">
        <v>21492</v>
      </c>
      <c r="C9366" s="30" t="s">
        <v>1778</v>
      </c>
      <c r="D9366" s="30" t="s">
        <v>17</v>
      </c>
      <c r="E9366" s="30" t="s">
        <v>26</v>
      </c>
      <c r="F9366" s="30" t="s">
        <v>27</v>
      </c>
      <c r="G9366" s="30" t="s">
        <v>20</v>
      </c>
      <c r="H9366" s="32">
        <v>84</v>
      </c>
      <c r="I9366" s="30" t="s">
        <v>21</v>
      </c>
      <c r="J9366" s="41">
        <v>44921</v>
      </c>
      <c r="K9366" s="30" t="s">
        <v>22</v>
      </c>
    </row>
    <row r="9367" spans="1:11">
      <c r="A9367" s="33" t="s">
        <v>21493</v>
      </c>
      <c r="B9367" s="33" t="s">
        <v>21494</v>
      </c>
      <c r="C9367" s="33" t="s">
        <v>310</v>
      </c>
      <c r="D9367" s="33" t="s">
        <v>17</v>
      </c>
      <c r="E9367" s="33" t="s">
        <v>26</v>
      </c>
      <c r="F9367" s="33" t="s">
        <v>27</v>
      </c>
      <c r="G9367" s="33" t="s">
        <v>20</v>
      </c>
      <c r="H9367" s="35">
        <v>152</v>
      </c>
      <c r="I9367" s="33" t="s">
        <v>21</v>
      </c>
      <c r="J9367" s="42">
        <v>44734</v>
      </c>
      <c r="K9367" s="33" t="s">
        <v>22</v>
      </c>
    </row>
    <row r="9368" spans="1:11">
      <c r="A9368" s="30" t="s">
        <v>21495</v>
      </c>
      <c r="B9368" s="30" t="s">
        <v>21496</v>
      </c>
      <c r="C9368" s="30" t="s">
        <v>13577</v>
      </c>
      <c r="D9368" s="30" t="s">
        <v>17</v>
      </c>
      <c r="E9368" s="30" t="s">
        <v>26</v>
      </c>
      <c r="F9368" s="30" t="s">
        <v>27</v>
      </c>
      <c r="G9368" s="30" t="s">
        <v>20</v>
      </c>
      <c r="H9368" s="32">
        <v>7</v>
      </c>
      <c r="I9368" s="30" t="s">
        <v>21</v>
      </c>
      <c r="J9368" s="41">
        <v>44725</v>
      </c>
      <c r="K9368" s="30" t="s">
        <v>22</v>
      </c>
    </row>
    <row r="9369" spans="1:11">
      <c r="A9369" s="33" t="s">
        <v>21497</v>
      </c>
      <c r="B9369" s="33" t="s">
        <v>21498</v>
      </c>
      <c r="C9369" s="33" t="s">
        <v>136</v>
      </c>
      <c r="D9369" s="33" t="s">
        <v>17</v>
      </c>
      <c r="E9369" s="33" t="s">
        <v>26</v>
      </c>
      <c r="F9369" s="33" t="s">
        <v>27</v>
      </c>
      <c r="G9369" s="33" t="s">
        <v>20</v>
      </c>
      <c r="H9369" s="35">
        <v>39</v>
      </c>
      <c r="I9369" s="33" t="s">
        <v>21</v>
      </c>
      <c r="J9369" s="42">
        <v>44867</v>
      </c>
      <c r="K9369" s="33" t="s">
        <v>22</v>
      </c>
    </row>
    <row r="9370" spans="1:11">
      <c r="A9370" s="30" t="s">
        <v>21499</v>
      </c>
      <c r="B9370" s="30" t="s">
        <v>21500</v>
      </c>
      <c r="C9370" s="30" t="s">
        <v>11783</v>
      </c>
      <c r="D9370" s="30" t="s">
        <v>17</v>
      </c>
      <c r="E9370" s="30" t="s">
        <v>31</v>
      </c>
      <c r="F9370" s="30" t="s">
        <v>32</v>
      </c>
      <c r="G9370" s="30" t="s">
        <v>20</v>
      </c>
      <c r="H9370" s="32">
        <v>76</v>
      </c>
      <c r="I9370" s="30" t="s">
        <v>21</v>
      </c>
      <c r="J9370" s="41">
        <v>44680</v>
      </c>
      <c r="K9370" s="30" t="s">
        <v>22</v>
      </c>
    </row>
    <row r="9371" spans="1:11">
      <c r="A9371" s="33" t="s">
        <v>21501</v>
      </c>
      <c r="B9371" s="33" t="s">
        <v>21502</v>
      </c>
      <c r="C9371" s="33" t="s">
        <v>21503</v>
      </c>
      <c r="D9371" s="33" t="s">
        <v>17</v>
      </c>
      <c r="E9371" s="33" t="s">
        <v>26</v>
      </c>
      <c r="F9371" s="33" t="s">
        <v>27</v>
      </c>
      <c r="G9371" s="33" t="s">
        <v>106</v>
      </c>
      <c r="H9371" s="35">
        <v>54</v>
      </c>
      <c r="I9371" s="33" t="s">
        <v>21</v>
      </c>
      <c r="J9371" s="42">
        <v>44649</v>
      </c>
      <c r="K9371" s="33" t="s">
        <v>22</v>
      </c>
    </row>
    <row r="9372" spans="1:11">
      <c r="A9372" s="30" t="s">
        <v>21504</v>
      </c>
      <c r="B9372" s="30" t="s">
        <v>21505</v>
      </c>
      <c r="C9372" s="30" t="s">
        <v>190</v>
      </c>
      <c r="D9372" s="30" t="s">
        <v>17</v>
      </c>
      <c r="E9372" s="30" t="s">
        <v>26</v>
      </c>
      <c r="F9372" s="30" t="s">
        <v>27</v>
      </c>
      <c r="G9372" s="30" t="s">
        <v>20</v>
      </c>
      <c r="H9372" s="32">
        <v>6</v>
      </c>
      <c r="I9372" s="30" t="s">
        <v>21</v>
      </c>
      <c r="J9372" s="41">
        <v>44903</v>
      </c>
      <c r="K9372" s="30" t="s">
        <v>22</v>
      </c>
    </row>
    <row r="9373" spans="1:11">
      <c r="A9373" s="33" t="s">
        <v>21506</v>
      </c>
      <c r="B9373" s="33" t="s">
        <v>21507</v>
      </c>
      <c r="C9373" s="33" t="s">
        <v>5169</v>
      </c>
      <c r="D9373" s="33" t="s">
        <v>17</v>
      </c>
      <c r="E9373" s="33" t="s">
        <v>26</v>
      </c>
      <c r="F9373" s="33" t="s">
        <v>27</v>
      </c>
      <c r="G9373" s="33" t="s">
        <v>20</v>
      </c>
      <c r="H9373" s="35">
        <v>88</v>
      </c>
      <c r="I9373" s="33" t="s">
        <v>21</v>
      </c>
      <c r="J9373" s="42">
        <v>44608</v>
      </c>
      <c r="K9373" s="33" t="s">
        <v>22</v>
      </c>
    </row>
    <row r="9374" spans="1:11">
      <c r="A9374" s="30" t="s">
        <v>21508</v>
      </c>
      <c r="B9374" s="30" t="s">
        <v>21509</v>
      </c>
      <c r="C9374" s="30" t="s">
        <v>93</v>
      </c>
      <c r="D9374" s="30" t="s">
        <v>17</v>
      </c>
      <c r="E9374" s="30" t="s">
        <v>31</v>
      </c>
      <c r="F9374" s="30" t="s">
        <v>32</v>
      </c>
      <c r="G9374" s="30" t="s">
        <v>20</v>
      </c>
      <c r="H9374" s="32">
        <v>391</v>
      </c>
      <c r="I9374" s="30" t="s">
        <v>21</v>
      </c>
      <c r="J9374" s="41">
        <v>44747</v>
      </c>
      <c r="K9374" s="30" t="s">
        <v>22</v>
      </c>
    </row>
    <row r="9375" spans="1:11">
      <c r="A9375" s="33" t="s">
        <v>21510</v>
      </c>
      <c r="B9375" s="33" t="s">
        <v>21511</v>
      </c>
      <c r="C9375" s="33" t="s">
        <v>1813</v>
      </c>
      <c r="D9375" s="33" t="s">
        <v>17</v>
      </c>
      <c r="E9375" s="33" t="s">
        <v>212</v>
      </c>
      <c r="F9375" s="33" t="s">
        <v>213</v>
      </c>
      <c r="G9375" s="33" t="s">
        <v>20</v>
      </c>
      <c r="H9375" s="35">
        <v>150</v>
      </c>
      <c r="I9375" s="33" t="s">
        <v>21</v>
      </c>
      <c r="J9375" s="42">
        <v>44854</v>
      </c>
      <c r="K9375" s="33" t="s">
        <v>22</v>
      </c>
    </row>
    <row r="9376" spans="1:11">
      <c r="A9376" s="30" t="s">
        <v>21512</v>
      </c>
      <c r="B9376" s="30" t="s">
        <v>21513</v>
      </c>
      <c r="C9376" s="30" t="s">
        <v>60</v>
      </c>
      <c r="D9376" s="30" t="s">
        <v>17</v>
      </c>
      <c r="E9376" s="30" t="s">
        <v>18</v>
      </c>
      <c r="F9376" s="30" t="s">
        <v>19</v>
      </c>
      <c r="G9376" s="30" t="s">
        <v>20</v>
      </c>
      <c r="H9376" s="32">
        <v>86</v>
      </c>
      <c r="I9376" s="30" t="s">
        <v>21</v>
      </c>
      <c r="J9376" s="41">
        <v>44575</v>
      </c>
      <c r="K9376" s="30" t="s">
        <v>22</v>
      </c>
    </row>
    <row r="9377" spans="1:11">
      <c r="A9377" s="33" t="s">
        <v>21514</v>
      </c>
      <c r="B9377" s="33" t="s">
        <v>21515</v>
      </c>
      <c r="C9377" s="33" t="s">
        <v>5246</v>
      </c>
      <c r="D9377" s="33" t="s">
        <v>17</v>
      </c>
      <c r="E9377" s="33" t="s">
        <v>26</v>
      </c>
      <c r="F9377" s="33" t="s">
        <v>27</v>
      </c>
      <c r="G9377" s="33" t="s">
        <v>20</v>
      </c>
      <c r="H9377" s="35">
        <v>88</v>
      </c>
      <c r="I9377" s="33" t="s">
        <v>21</v>
      </c>
      <c r="J9377" s="42">
        <v>44701</v>
      </c>
      <c r="K9377" s="33" t="s">
        <v>22</v>
      </c>
    </row>
    <row r="9378" spans="1:11">
      <c r="A9378" s="30" t="s">
        <v>21516</v>
      </c>
      <c r="B9378" s="30" t="s">
        <v>21517</v>
      </c>
      <c r="C9378" s="30" t="s">
        <v>2313</v>
      </c>
      <c r="D9378" s="30" t="s">
        <v>17</v>
      </c>
      <c r="E9378" s="30" t="s">
        <v>212</v>
      </c>
      <c r="F9378" s="30" t="s">
        <v>213</v>
      </c>
      <c r="G9378" s="30" t="s">
        <v>158</v>
      </c>
      <c r="H9378" s="32">
        <v>218</v>
      </c>
      <c r="I9378" s="30" t="s">
        <v>51</v>
      </c>
      <c r="J9378" s="41">
        <v>44620</v>
      </c>
      <c r="K9378" s="30" t="s">
        <v>22</v>
      </c>
    </row>
    <row r="9379" spans="1:11">
      <c r="A9379" s="33" t="s">
        <v>21518</v>
      </c>
      <c r="B9379" s="33" t="s">
        <v>21519</v>
      </c>
      <c r="C9379" s="33" t="s">
        <v>379</v>
      </c>
      <c r="D9379" s="33" t="s">
        <v>17</v>
      </c>
      <c r="E9379" s="33" t="s">
        <v>31</v>
      </c>
      <c r="F9379" s="33" t="s">
        <v>32</v>
      </c>
      <c r="G9379" s="33" t="s">
        <v>158</v>
      </c>
      <c r="H9379" s="35">
        <v>75</v>
      </c>
      <c r="I9379" s="33" t="s">
        <v>51</v>
      </c>
      <c r="J9379" s="42">
        <v>44909</v>
      </c>
      <c r="K9379" s="33" t="s">
        <v>22</v>
      </c>
    </row>
    <row r="9380" spans="1:11">
      <c r="A9380" s="30" t="s">
        <v>21520</v>
      </c>
      <c r="B9380" s="30" t="s">
        <v>21521</v>
      </c>
      <c r="C9380" s="30" t="s">
        <v>57</v>
      </c>
      <c r="D9380" s="30" t="s">
        <v>17</v>
      </c>
      <c r="E9380" s="30" t="s">
        <v>26</v>
      </c>
      <c r="F9380" s="30" t="s">
        <v>27</v>
      </c>
      <c r="G9380" s="30" t="s">
        <v>20</v>
      </c>
      <c r="H9380" s="32">
        <v>37</v>
      </c>
      <c r="I9380" s="30" t="s">
        <v>21</v>
      </c>
      <c r="J9380" s="41">
        <v>44666</v>
      </c>
      <c r="K9380" s="30" t="s">
        <v>22</v>
      </c>
    </row>
    <row r="9381" spans="1:11">
      <c r="A9381" s="33" t="s">
        <v>21522</v>
      </c>
      <c r="B9381" s="33" t="s">
        <v>21523</v>
      </c>
      <c r="C9381" s="33" t="s">
        <v>9114</v>
      </c>
      <c r="D9381" s="33" t="s">
        <v>17</v>
      </c>
      <c r="E9381" s="33" t="s">
        <v>26</v>
      </c>
      <c r="F9381" s="33" t="s">
        <v>27</v>
      </c>
      <c r="G9381" s="33" t="s">
        <v>50</v>
      </c>
      <c r="H9381" s="35">
        <v>16</v>
      </c>
      <c r="I9381" s="33" t="s">
        <v>21</v>
      </c>
      <c r="J9381" s="42">
        <v>44862</v>
      </c>
      <c r="K9381" s="33" t="s">
        <v>22</v>
      </c>
    </row>
    <row r="9382" spans="1:11">
      <c r="A9382" s="30" t="s">
        <v>21524</v>
      </c>
      <c r="B9382" s="30" t="s">
        <v>21525</v>
      </c>
      <c r="C9382" s="30" t="s">
        <v>3439</v>
      </c>
      <c r="D9382" s="30" t="s">
        <v>17</v>
      </c>
      <c r="E9382" s="30" t="s">
        <v>67</v>
      </c>
      <c r="F9382" s="30" t="s">
        <v>68</v>
      </c>
      <c r="G9382" s="30" t="s">
        <v>158</v>
      </c>
      <c r="H9382" s="32">
        <v>48</v>
      </c>
      <c r="I9382" s="30" t="s">
        <v>21</v>
      </c>
      <c r="J9382" s="41">
        <v>44609</v>
      </c>
      <c r="K9382" s="30" t="s">
        <v>22</v>
      </c>
    </row>
    <row r="9383" spans="1:11">
      <c r="A9383" s="33" t="s">
        <v>21526</v>
      </c>
      <c r="B9383" s="33" t="s">
        <v>21527</v>
      </c>
      <c r="C9383" s="33" t="s">
        <v>6784</v>
      </c>
      <c r="D9383" s="33" t="s">
        <v>17</v>
      </c>
      <c r="E9383" s="33" t="s">
        <v>31</v>
      </c>
      <c r="F9383" s="33" t="s">
        <v>32</v>
      </c>
      <c r="G9383" s="33" t="s">
        <v>20</v>
      </c>
      <c r="H9383" s="35">
        <v>17</v>
      </c>
      <c r="I9383" s="33" t="s">
        <v>21</v>
      </c>
      <c r="J9383" s="42">
        <v>44754</v>
      </c>
      <c r="K9383" s="33" t="s">
        <v>22</v>
      </c>
    </row>
    <row r="9384" spans="1:11">
      <c r="A9384" s="30" t="s">
        <v>21528</v>
      </c>
      <c r="B9384" s="30" t="s">
        <v>21529</v>
      </c>
      <c r="C9384" s="30" t="s">
        <v>109</v>
      </c>
      <c r="D9384" s="30" t="s">
        <v>17</v>
      </c>
      <c r="E9384" s="30" t="s">
        <v>18</v>
      </c>
      <c r="F9384" s="30" t="s">
        <v>19</v>
      </c>
      <c r="G9384" s="30" t="s">
        <v>158</v>
      </c>
      <c r="H9384" s="32">
        <v>452</v>
      </c>
      <c r="I9384" s="30" t="s">
        <v>21</v>
      </c>
      <c r="J9384" s="41">
        <v>44756</v>
      </c>
      <c r="K9384" s="30" t="s">
        <v>22</v>
      </c>
    </row>
    <row r="9385" spans="1:11">
      <c r="A9385" s="33" t="s">
        <v>21530</v>
      </c>
      <c r="B9385" s="33" t="s">
        <v>21531</v>
      </c>
      <c r="C9385" s="33" t="s">
        <v>1313</v>
      </c>
      <c r="D9385" s="33" t="s">
        <v>17</v>
      </c>
      <c r="E9385" s="33" t="s">
        <v>26</v>
      </c>
      <c r="F9385" s="33" t="s">
        <v>27</v>
      </c>
      <c r="G9385" s="33" t="s">
        <v>20</v>
      </c>
      <c r="H9385" s="35">
        <v>58</v>
      </c>
      <c r="I9385" s="33" t="s">
        <v>21</v>
      </c>
      <c r="J9385" s="42">
        <v>44719</v>
      </c>
      <c r="K9385" s="33" t="s">
        <v>22</v>
      </c>
    </row>
    <row r="9386" spans="1:11">
      <c r="A9386" s="30" t="s">
        <v>21532</v>
      </c>
      <c r="B9386" s="30" t="s">
        <v>21533</v>
      </c>
      <c r="C9386" s="30" t="s">
        <v>318</v>
      </c>
      <c r="D9386" s="30" t="s">
        <v>17</v>
      </c>
      <c r="E9386" s="30" t="s">
        <v>26</v>
      </c>
      <c r="F9386" s="30" t="s">
        <v>27</v>
      </c>
      <c r="G9386" s="30" t="s">
        <v>20</v>
      </c>
      <c r="H9386" s="32">
        <v>32</v>
      </c>
      <c r="I9386" s="30" t="s">
        <v>21</v>
      </c>
      <c r="J9386" s="41">
        <v>44740</v>
      </c>
      <c r="K9386" s="30" t="s">
        <v>22</v>
      </c>
    </row>
    <row r="9387" spans="1:11">
      <c r="A9387" s="33" t="s">
        <v>21534</v>
      </c>
      <c r="B9387" s="33" t="s">
        <v>21535</v>
      </c>
      <c r="C9387" s="33" t="s">
        <v>1415</v>
      </c>
      <c r="D9387" s="33" t="s">
        <v>17</v>
      </c>
      <c r="E9387" s="33" t="s">
        <v>26</v>
      </c>
      <c r="F9387" s="33" t="s">
        <v>27</v>
      </c>
      <c r="G9387" s="33" t="s">
        <v>20</v>
      </c>
      <c r="H9387" s="35">
        <v>123</v>
      </c>
      <c r="I9387" s="33" t="s">
        <v>21</v>
      </c>
      <c r="J9387" s="42">
        <v>44602</v>
      </c>
      <c r="K9387" s="33" t="s">
        <v>22</v>
      </c>
    </row>
    <row r="9388" spans="1:11">
      <c r="A9388" s="30" t="s">
        <v>21536</v>
      </c>
      <c r="B9388" s="30" t="s">
        <v>21537</v>
      </c>
      <c r="C9388" s="30" t="s">
        <v>698</v>
      </c>
      <c r="D9388" s="30" t="s">
        <v>17</v>
      </c>
      <c r="E9388" s="30" t="s">
        <v>31</v>
      </c>
      <c r="F9388" s="30" t="s">
        <v>32</v>
      </c>
      <c r="G9388" s="30" t="s">
        <v>50</v>
      </c>
      <c r="H9388" s="32">
        <v>200</v>
      </c>
      <c r="I9388" s="30" t="s">
        <v>51</v>
      </c>
      <c r="J9388" s="41">
        <v>44672</v>
      </c>
      <c r="K9388" s="30" t="s">
        <v>22</v>
      </c>
    </row>
    <row r="9389" spans="1:11">
      <c r="A9389" s="33" t="s">
        <v>21538</v>
      </c>
      <c r="B9389" s="33" t="s">
        <v>21539</v>
      </c>
      <c r="C9389" s="33" t="s">
        <v>13116</v>
      </c>
      <c r="D9389" s="33" t="s">
        <v>17</v>
      </c>
      <c r="E9389" s="33" t="s">
        <v>26</v>
      </c>
      <c r="F9389" s="33" t="s">
        <v>27</v>
      </c>
      <c r="G9389" s="33" t="s">
        <v>106</v>
      </c>
      <c r="H9389" s="35">
        <v>77</v>
      </c>
      <c r="I9389" s="33" t="s">
        <v>21</v>
      </c>
      <c r="J9389" s="42">
        <v>44644</v>
      </c>
      <c r="K9389" s="33" t="s">
        <v>22</v>
      </c>
    </row>
    <row r="9390" spans="1:11">
      <c r="A9390" s="30" t="s">
        <v>21540</v>
      </c>
      <c r="B9390" s="30" t="s">
        <v>21541</v>
      </c>
      <c r="C9390" s="30" t="s">
        <v>187</v>
      </c>
      <c r="D9390" s="30" t="s">
        <v>17</v>
      </c>
      <c r="E9390" s="30" t="s">
        <v>18</v>
      </c>
      <c r="F9390" s="30" t="s">
        <v>19</v>
      </c>
      <c r="G9390" s="30" t="s">
        <v>50</v>
      </c>
      <c r="H9390" s="32">
        <v>390</v>
      </c>
      <c r="I9390" s="30" t="s">
        <v>51</v>
      </c>
      <c r="J9390" s="41">
        <v>44586</v>
      </c>
      <c r="K9390" s="30" t="s">
        <v>22</v>
      </c>
    </row>
    <row r="9391" spans="1:11">
      <c r="A9391" s="33" t="s">
        <v>21542</v>
      </c>
      <c r="B9391" s="33" t="s">
        <v>21543</v>
      </c>
      <c r="C9391" s="33" t="s">
        <v>9487</v>
      </c>
      <c r="D9391" s="33" t="s">
        <v>17</v>
      </c>
      <c r="E9391" s="33" t="s">
        <v>31</v>
      </c>
      <c r="F9391" s="33" t="s">
        <v>32</v>
      </c>
      <c r="G9391" s="33" t="s">
        <v>50</v>
      </c>
      <c r="H9391" s="35">
        <v>20</v>
      </c>
      <c r="I9391" s="33" t="s">
        <v>51</v>
      </c>
      <c r="J9391" s="42">
        <v>44774</v>
      </c>
      <c r="K9391" s="33" t="s">
        <v>22</v>
      </c>
    </row>
    <row r="9392" spans="1:11">
      <c r="A9392" s="30" t="s">
        <v>21544</v>
      </c>
      <c r="B9392" s="30" t="s">
        <v>21545</v>
      </c>
      <c r="C9392" s="30" t="s">
        <v>21546</v>
      </c>
      <c r="D9392" s="30" t="s">
        <v>17</v>
      </c>
      <c r="E9392" s="30" t="s">
        <v>31</v>
      </c>
      <c r="F9392" s="30" t="s">
        <v>32</v>
      </c>
      <c r="G9392" s="30" t="s">
        <v>20</v>
      </c>
      <c r="H9392" s="32">
        <v>51</v>
      </c>
      <c r="I9392" s="30" t="s">
        <v>21</v>
      </c>
      <c r="J9392" s="41">
        <v>44776</v>
      </c>
      <c r="K9392" s="30" t="s">
        <v>22</v>
      </c>
    </row>
    <row r="9393" spans="1:11">
      <c r="A9393" s="33" t="s">
        <v>21547</v>
      </c>
      <c r="B9393" s="33" t="s">
        <v>21548</v>
      </c>
      <c r="C9393" s="33" t="s">
        <v>21549</v>
      </c>
      <c r="D9393" s="33" t="s">
        <v>17</v>
      </c>
      <c r="E9393" s="33" t="s">
        <v>31</v>
      </c>
      <c r="F9393" s="33" t="s">
        <v>32</v>
      </c>
      <c r="G9393" s="33" t="s">
        <v>140</v>
      </c>
      <c r="H9393" s="35">
        <v>56</v>
      </c>
      <c r="I9393" s="33" t="s">
        <v>51</v>
      </c>
      <c r="J9393" s="42">
        <v>44599</v>
      </c>
      <c r="K9393" s="33" t="s">
        <v>22</v>
      </c>
    </row>
    <row r="9394" spans="1:11">
      <c r="A9394" s="30" t="s">
        <v>21550</v>
      </c>
      <c r="B9394" s="30" t="s">
        <v>21551</v>
      </c>
      <c r="C9394" s="30" t="s">
        <v>4863</v>
      </c>
      <c r="D9394" s="30" t="s">
        <v>17</v>
      </c>
      <c r="E9394" s="30" t="s">
        <v>212</v>
      </c>
      <c r="F9394" s="30" t="s">
        <v>213</v>
      </c>
      <c r="G9394" s="30" t="s">
        <v>50</v>
      </c>
      <c r="H9394" s="32">
        <v>126</v>
      </c>
      <c r="I9394" s="30" t="s">
        <v>51</v>
      </c>
      <c r="J9394" s="41">
        <v>44576</v>
      </c>
      <c r="K9394" s="30" t="s">
        <v>22</v>
      </c>
    </row>
    <row r="9395" spans="1:11">
      <c r="A9395" s="33" t="s">
        <v>21552</v>
      </c>
      <c r="B9395" s="33" t="s">
        <v>21553</v>
      </c>
      <c r="C9395" s="33" t="s">
        <v>21554</v>
      </c>
      <c r="D9395" s="33" t="s">
        <v>17</v>
      </c>
      <c r="E9395" s="33" t="s">
        <v>26</v>
      </c>
      <c r="F9395" s="33" t="s">
        <v>27</v>
      </c>
      <c r="G9395" s="33" t="s">
        <v>20</v>
      </c>
      <c r="H9395" s="35">
        <v>40</v>
      </c>
      <c r="I9395" s="33" t="s">
        <v>21</v>
      </c>
      <c r="J9395" s="42">
        <v>44907</v>
      </c>
      <c r="K9395" s="33" t="s">
        <v>22</v>
      </c>
    </row>
    <row r="9396" spans="1:11">
      <c r="A9396" s="30" t="s">
        <v>21555</v>
      </c>
      <c r="B9396" s="30" t="s">
        <v>21556</v>
      </c>
      <c r="C9396" s="30" t="s">
        <v>5401</v>
      </c>
      <c r="D9396" s="30" t="s">
        <v>17</v>
      </c>
      <c r="E9396" s="30" t="s">
        <v>26</v>
      </c>
      <c r="F9396" s="30" t="s">
        <v>27</v>
      </c>
      <c r="G9396" s="30" t="s">
        <v>20</v>
      </c>
      <c r="H9396" s="32">
        <v>47</v>
      </c>
      <c r="I9396" s="30" t="s">
        <v>21</v>
      </c>
      <c r="J9396" s="41">
        <v>44756</v>
      </c>
      <c r="K9396" s="30" t="s">
        <v>22</v>
      </c>
    </row>
    <row r="9397" spans="1:11">
      <c r="A9397" s="33" t="s">
        <v>21557</v>
      </c>
      <c r="B9397" s="33" t="s">
        <v>21558</v>
      </c>
      <c r="C9397" s="33" t="s">
        <v>3589</v>
      </c>
      <c r="D9397" s="33" t="s">
        <v>17</v>
      </c>
      <c r="E9397" s="33" t="s">
        <v>26</v>
      </c>
      <c r="F9397" s="33" t="s">
        <v>27</v>
      </c>
      <c r="G9397" s="33" t="s">
        <v>158</v>
      </c>
      <c r="H9397" s="35">
        <v>180</v>
      </c>
      <c r="I9397" s="33" t="s">
        <v>51</v>
      </c>
      <c r="J9397" s="42">
        <v>44607</v>
      </c>
      <c r="K9397" s="33" t="s">
        <v>22</v>
      </c>
    </row>
    <row r="9398" spans="1:11">
      <c r="A9398" s="30" t="s">
        <v>21559</v>
      </c>
      <c r="B9398" s="30" t="s">
        <v>21560</v>
      </c>
      <c r="C9398" s="30" t="s">
        <v>10616</v>
      </c>
      <c r="D9398" s="30" t="s">
        <v>17</v>
      </c>
      <c r="E9398" s="30" t="s">
        <v>18</v>
      </c>
      <c r="F9398" s="30" t="s">
        <v>19</v>
      </c>
      <c r="G9398" s="30" t="s">
        <v>20</v>
      </c>
      <c r="H9398" s="32">
        <v>581</v>
      </c>
      <c r="I9398" s="30" t="s">
        <v>21</v>
      </c>
      <c r="J9398" s="41">
        <v>44615</v>
      </c>
      <c r="K9398" s="30" t="s">
        <v>22</v>
      </c>
    </row>
    <row r="9399" spans="1:11">
      <c r="A9399" s="33" t="s">
        <v>21561</v>
      </c>
      <c r="B9399" s="33" t="s">
        <v>21562</v>
      </c>
      <c r="C9399" s="33" t="s">
        <v>190</v>
      </c>
      <c r="D9399" s="33" t="s">
        <v>17</v>
      </c>
      <c r="E9399" s="33" t="s">
        <v>18</v>
      </c>
      <c r="F9399" s="33" t="s">
        <v>19</v>
      </c>
      <c r="G9399" s="33" t="s">
        <v>20</v>
      </c>
      <c r="H9399" s="35">
        <v>190</v>
      </c>
      <c r="I9399" s="33" t="s">
        <v>21</v>
      </c>
      <c r="J9399" s="42">
        <v>44832</v>
      </c>
      <c r="K9399" s="33" t="s">
        <v>22</v>
      </c>
    </row>
    <row r="9400" spans="1:11">
      <c r="A9400" s="30" t="s">
        <v>21563</v>
      </c>
      <c r="B9400" s="30" t="s">
        <v>21564</v>
      </c>
      <c r="C9400" s="30" t="s">
        <v>21565</v>
      </c>
      <c r="D9400" s="30" t="s">
        <v>17</v>
      </c>
      <c r="E9400" s="30" t="s">
        <v>26</v>
      </c>
      <c r="F9400" s="30" t="s">
        <v>27</v>
      </c>
      <c r="G9400" s="30" t="s">
        <v>106</v>
      </c>
      <c r="H9400" s="32">
        <v>5</v>
      </c>
      <c r="I9400" s="30" t="s">
        <v>21</v>
      </c>
      <c r="J9400" s="41">
        <v>44810</v>
      </c>
      <c r="K9400" s="30" t="s">
        <v>22</v>
      </c>
    </row>
    <row r="9401" spans="1:11">
      <c r="A9401" s="33" t="s">
        <v>21566</v>
      </c>
      <c r="B9401" s="33" t="s">
        <v>21567</v>
      </c>
      <c r="C9401" s="33" t="s">
        <v>246</v>
      </c>
      <c r="D9401" s="33" t="s">
        <v>17</v>
      </c>
      <c r="E9401" s="33" t="s">
        <v>31</v>
      </c>
      <c r="F9401" s="33" t="s">
        <v>32</v>
      </c>
      <c r="G9401" s="33" t="s">
        <v>50</v>
      </c>
      <c r="H9401" s="35">
        <v>97</v>
      </c>
      <c r="I9401" s="33" t="s">
        <v>51</v>
      </c>
      <c r="J9401" s="42">
        <v>44682</v>
      </c>
      <c r="K9401" s="33" t="s">
        <v>22</v>
      </c>
    </row>
    <row r="9402" spans="1:11">
      <c r="A9402" s="30" t="s">
        <v>21568</v>
      </c>
      <c r="B9402" s="30" t="s">
        <v>21569</v>
      </c>
      <c r="C9402" s="30" t="s">
        <v>9890</v>
      </c>
      <c r="D9402" s="30" t="s">
        <v>17</v>
      </c>
      <c r="E9402" s="30" t="s">
        <v>67</v>
      </c>
      <c r="F9402" s="30" t="s">
        <v>68</v>
      </c>
      <c r="G9402" s="30" t="s">
        <v>50</v>
      </c>
      <c r="H9402" s="32">
        <v>78</v>
      </c>
      <c r="I9402" s="30" t="s">
        <v>51</v>
      </c>
      <c r="J9402" s="41">
        <v>44645</v>
      </c>
      <c r="K9402" s="30" t="s">
        <v>22</v>
      </c>
    </row>
    <row r="9403" spans="1:11">
      <c r="A9403" s="33" t="s">
        <v>21570</v>
      </c>
      <c r="B9403" s="33" t="s">
        <v>21571</v>
      </c>
      <c r="C9403" s="33" t="s">
        <v>969</v>
      </c>
      <c r="D9403" s="33" t="s">
        <v>17</v>
      </c>
      <c r="E9403" s="33" t="s">
        <v>31</v>
      </c>
      <c r="F9403" s="33" t="s">
        <v>32</v>
      </c>
      <c r="G9403" s="33" t="s">
        <v>20</v>
      </c>
      <c r="H9403" s="35">
        <v>174</v>
      </c>
      <c r="I9403" s="33" t="s">
        <v>21</v>
      </c>
      <c r="J9403" s="42">
        <v>44642</v>
      </c>
      <c r="K9403" s="33" t="s">
        <v>22</v>
      </c>
    </row>
    <row r="9404" spans="1:11">
      <c r="A9404" s="30" t="s">
        <v>21572</v>
      </c>
      <c r="B9404" s="30" t="s">
        <v>21573</v>
      </c>
      <c r="C9404" s="30" t="s">
        <v>18047</v>
      </c>
      <c r="D9404" s="30" t="s">
        <v>17</v>
      </c>
      <c r="E9404" s="30" t="s">
        <v>26</v>
      </c>
      <c r="F9404" s="30" t="s">
        <v>27</v>
      </c>
      <c r="G9404" s="30" t="s">
        <v>50</v>
      </c>
      <c r="H9404" s="32">
        <v>24</v>
      </c>
      <c r="I9404" s="30" t="s">
        <v>51</v>
      </c>
      <c r="J9404" s="41">
        <v>44580</v>
      </c>
      <c r="K9404" s="30" t="s">
        <v>22</v>
      </c>
    </row>
    <row r="9405" spans="1:11">
      <c r="A9405" s="33" t="s">
        <v>21574</v>
      </c>
      <c r="B9405" s="33" t="s">
        <v>21575</v>
      </c>
      <c r="C9405" s="33" t="s">
        <v>21576</v>
      </c>
      <c r="D9405" s="33" t="s">
        <v>17</v>
      </c>
      <c r="E9405" s="33" t="s">
        <v>67</v>
      </c>
      <c r="F9405" s="33" t="s">
        <v>68</v>
      </c>
      <c r="G9405" s="33" t="s">
        <v>20</v>
      </c>
      <c r="H9405" s="35">
        <v>480</v>
      </c>
      <c r="I9405" s="33" t="s">
        <v>21</v>
      </c>
      <c r="J9405" s="42">
        <v>44569</v>
      </c>
      <c r="K9405" s="33" t="s">
        <v>22</v>
      </c>
    </row>
    <row r="9406" spans="1:11">
      <c r="A9406" s="30" t="s">
        <v>21577</v>
      </c>
      <c r="B9406" s="30" t="s">
        <v>21578</v>
      </c>
      <c r="C9406" s="30" t="s">
        <v>3971</v>
      </c>
      <c r="D9406" s="30" t="s">
        <v>17</v>
      </c>
      <c r="E9406" s="30" t="s">
        <v>26</v>
      </c>
      <c r="F9406" s="30" t="s">
        <v>27</v>
      </c>
      <c r="G9406" s="30" t="s">
        <v>20</v>
      </c>
      <c r="H9406" s="32">
        <v>16</v>
      </c>
      <c r="I9406" s="30" t="s">
        <v>21</v>
      </c>
      <c r="J9406" s="41">
        <v>44805</v>
      </c>
      <c r="K9406" s="30" t="s">
        <v>22</v>
      </c>
    </row>
    <row r="9407" spans="1:11">
      <c r="A9407" s="33" t="s">
        <v>21579</v>
      </c>
      <c r="B9407" s="33" t="s">
        <v>21580</v>
      </c>
      <c r="C9407" s="33" t="s">
        <v>149</v>
      </c>
      <c r="D9407" s="33" t="s">
        <v>17</v>
      </c>
      <c r="E9407" s="33" t="s">
        <v>31</v>
      </c>
      <c r="F9407" s="33" t="s">
        <v>32</v>
      </c>
      <c r="G9407" s="33" t="s">
        <v>50</v>
      </c>
      <c r="H9407" s="35">
        <v>402</v>
      </c>
      <c r="I9407" s="33" t="s">
        <v>51</v>
      </c>
      <c r="J9407" s="42">
        <v>44704</v>
      </c>
      <c r="K9407" s="33" t="s">
        <v>22</v>
      </c>
    </row>
    <row r="9408" spans="1:11">
      <c r="A9408" s="30" t="s">
        <v>21581</v>
      </c>
      <c r="B9408" s="30" t="s">
        <v>21582</v>
      </c>
      <c r="C9408" s="30" t="s">
        <v>21583</v>
      </c>
      <c r="D9408" s="30" t="s">
        <v>17</v>
      </c>
      <c r="E9408" s="30" t="s">
        <v>18</v>
      </c>
      <c r="F9408" s="30" t="s">
        <v>19</v>
      </c>
      <c r="G9408" s="30" t="s">
        <v>20</v>
      </c>
      <c r="H9408" s="32">
        <v>335</v>
      </c>
      <c r="I9408" s="30" t="s">
        <v>21</v>
      </c>
      <c r="J9408" s="41">
        <v>44790</v>
      </c>
      <c r="K9408" s="30" t="s">
        <v>22</v>
      </c>
    </row>
    <row r="9409" spans="1:11">
      <c r="A9409" s="33" t="s">
        <v>21584</v>
      </c>
      <c r="B9409" s="33" t="s">
        <v>21585</v>
      </c>
      <c r="C9409" s="33" t="s">
        <v>21586</v>
      </c>
      <c r="D9409" s="33" t="s">
        <v>17</v>
      </c>
      <c r="E9409" s="33" t="s">
        <v>26</v>
      </c>
      <c r="F9409" s="33" t="s">
        <v>27</v>
      </c>
      <c r="G9409" s="33" t="s">
        <v>20</v>
      </c>
      <c r="H9409" s="35">
        <v>25</v>
      </c>
      <c r="I9409" s="33" t="s">
        <v>21</v>
      </c>
      <c r="J9409" s="42">
        <v>44565</v>
      </c>
      <c r="K9409" s="33" t="s">
        <v>22</v>
      </c>
    </row>
    <row r="9410" spans="1:11">
      <c r="A9410" s="30" t="s">
        <v>21587</v>
      </c>
      <c r="B9410" s="30" t="s">
        <v>21588</v>
      </c>
      <c r="C9410" s="30" t="s">
        <v>252</v>
      </c>
      <c r="D9410" s="30" t="s">
        <v>17</v>
      </c>
      <c r="E9410" s="30" t="s">
        <v>67</v>
      </c>
      <c r="F9410" s="30" t="s">
        <v>68</v>
      </c>
      <c r="G9410" s="30" t="s">
        <v>158</v>
      </c>
      <c r="H9410" s="32">
        <v>154</v>
      </c>
      <c r="I9410" s="30" t="s">
        <v>51</v>
      </c>
      <c r="J9410" s="41">
        <v>44685</v>
      </c>
      <c r="K9410" s="30" t="s">
        <v>22</v>
      </c>
    </row>
    <row r="9411" spans="1:11">
      <c r="A9411" s="33" t="s">
        <v>21589</v>
      </c>
      <c r="B9411" s="33" t="s">
        <v>21590</v>
      </c>
      <c r="C9411" s="33" t="s">
        <v>6607</v>
      </c>
      <c r="D9411" s="33" t="s">
        <v>17</v>
      </c>
      <c r="E9411" s="33" t="s">
        <v>26</v>
      </c>
      <c r="F9411" s="33" t="s">
        <v>27</v>
      </c>
      <c r="G9411" s="33" t="s">
        <v>20</v>
      </c>
      <c r="H9411" s="35">
        <v>6</v>
      </c>
      <c r="I9411" s="33" t="s">
        <v>21</v>
      </c>
      <c r="J9411" s="42">
        <v>44613</v>
      </c>
      <c r="K9411" s="33" t="s">
        <v>22</v>
      </c>
    </row>
    <row r="9412" spans="1:11">
      <c r="A9412" s="30" t="s">
        <v>21591</v>
      </c>
      <c r="B9412" s="30" t="s">
        <v>21592</v>
      </c>
      <c r="C9412" s="30" t="s">
        <v>17650</v>
      </c>
      <c r="D9412" s="30" t="s">
        <v>17</v>
      </c>
      <c r="E9412" s="30" t="s">
        <v>26</v>
      </c>
      <c r="F9412" s="30" t="s">
        <v>27</v>
      </c>
      <c r="G9412" s="30" t="s">
        <v>20</v>
      </c>
      <c r="H9412" s="32">
        <v>72</v>
      </c>
      <c r="I9412" s="30" t="s">
        <v>21</v>
      </c>
      <c r="J9412" s="41">
        <v>44781</v>
      </c>
      <c r="K9412" s="30" t="s">
        <v>22</v>
      </c>
    </row>
    <row r="9413" spans="1:11">
      <c r="A9413" s="33" t="s">
        <v>21593</v>
      </c>
      <c r="B9413" s="33" t="s">
        <v>21594</v>
      </c>
      <c r="C9413" s="33" t="s">
        <v>5251</v>
      </c>
      <c r="D9413" s="33" t="s">
        <v>17</v>
      </c>
      <c r="E9413" s="33" t="s">
        <v>31</v>
      </c>
      <c r="F9413" s="33" t="s">
        <v>32</v>
      </c>
      <c r="G9413" s="33" t="s">
        <v>50</v>
      </c>
      <c r="H9413" s="35">
        <v>120</v>
      </c>
      <c r="I9413" s="33" t="s">
        <v>51</v>
      </c>
      <c r="J9413" s="42">
        <v>44805</v>
      </c>
      <c r="K9413" s="33" t="s">
        <v>22</v>
      </c>
    </row>
    <row r="9414" spans="1:11">
      <c r="A9414" s="30" t="s">
        <v>21595</v>
      </c>
      <c r="B9414" s="30" t="s">
        <v>21596</v>
      </c>
      <c r="C9414" s="30" t="s">
        <v>21597</v>
      </c>
      <c r="D9414" s="30" t="s">
        <v>17</v>
      </c>
      <c r="E9414" s="30" t="s">
        <v>26</v>
      </c>
      <c r="F9414" s="30" t="s">
        <v>27</v>
      </c>
      <c r="G9414" s="30" t="s">
        <v>50</v>
      </c>
      <c r="H9414" s="32">
        <v>4</v>
      </c>
      <c r="I9414" s="30" t="s">
        <v>51</v>
      </c>
      <c r="J9414" s="41">
        <v>44805</v>
      </c>
      <c r="K9414" s="30" t="s">
        <v>22</v>
      </c>
    </row>
    <row r="9415" spans="1:11">
      <c r="A9415" s="33" t="s">
        <v>21598</v>
      </c>
      <c r="B9415" s="33" t="s">
        <v>21599</v>
      </c>
      <c r="C9415" s="33" t="s">
        <v>297</v>
      </c>
      <c r="D9415" s="33" t="s">
        <v>17</v>
      </c>
      <c r="E9415" s="33" t="s">
        <v>31</v>
      </c>
      <c r="F9415" s="33" t="s">
        <v>32</v>
      </c>
      <c r="G9415" s="33" t="s">
        <v>112</v>
      </c>
      <c r="H9415" s="35">
        <v>0</v>
      </c>
      <c r="I9415" s="33" t="s">
        <v>21</v>
      </c>
      <c r="J9415" s="42">
        <v>44824</v>
      </c>
      <c r="K9415" s="33" t="s">
        <v>22</v>
      </c>
    </row>
    <row r="9416" spans="1:11">
      <c r="A9416" s="30" t="s">
        <v>21600</v>
      </c>
      <c r="B9416" s="30" t="s">
        <v>21601</v>
      </c>
      <c r="C9416" s="30" t="s">
        <v>11793</v>
      </c>
      <c r="D9416" s="30" t="s">
        <v>17</v>
      </c>
      <c r="E9416" s="30" t="s">
        <v>330</v>
      </c>
      <c r="F9416" s="30" t="s">
        <v>331</v>
      </c>
      <c r="G9416" s="30" t="s">
        <v>140</v>
      </c>
      <c r="H9416" s="32">
        <v>7</v>
      </c>
      <c r="I9416" s="30" t="s">
        <v>51</v>
      </c>
      <c r="J9416" s="41">
        <v>44587</v>
      </c>
      <c r="K9416" s="30" t="s">
        <v>22</v>
      </c>
    </row>
    <row r="9417" spans="1:11">
      <c r="A9417" s="33" t="s">
        <v>21602</v>
      </c>
      <c r="B9417" s="33" t="s">
        <v>21603</v>
      </c>
      <c r="C9417" s="33" t="s">
        <v>3760</v>
      </c>
      <c r="D9417" s="33" t="s">
        <v>17</v>
      </c>
      <c r="E9417" s="33" t="s">
        <v>31</v>
      </c>
      <c r="F9417" s="33" t="s">
        <v>32</v>
      </c>
      <c r="G9417" s="33" t="s">
        <v>20</v>
      </c>
      <c r="H9417" s="35">
        <v>400</v>
      </c>
      <c r="I9417" s="33" t="s">
        <v>21</v>
      </c>
      <c r="J9417" s="42">
        <v>44645</v>
      </c>
      <c r="K9417" s="33" t="s">
        <v>22</v>
      </c>
    </row>
    <row r="9418" spans="1:11">
      <c r="A9418" s="30" t="s">
        <v>21604</v>
      </c>
      <c r="B9418" s="30" t="s">
        <v>21605</v>
      </c>
      <c r="C9418" s="30" t="s">
        <v>96</v>
      </c>
      <c r="D9418" s="30" t="s">
        <v>17</v>
      </c>
      <c r="E9418" s="30" t="s">
        <v>18</v>
      </c>
      <c r="F9418" s="30" t="s">
        <v>19</v>
      </c>
      <c r="G9418" s="30" t="s">
        <v>140</v>
      </c>
      <c r="H9418" s="32">
        <v>1116</v>
      </c>
      <c r="I9418" s="30" t="s">
        <v>51</v>
      </c>
      <c r="J9418" s="41">
        <v>44875</v>
      </c>
      <c r="K9418" s="30" t="s">
        <v>22</v>
      </c>
    </row>
    <row r="9419" spans="1:11">
      <c r="A9419" s="33" t="s">
        <v>21606</v>
      </c>
      <c r="B9419" s="33" t="s">
        <v>21607</v>
      </c>
      <c r="C9419" s="33" t="s">
        <v>149</v>
      </c>
      <c r="D9419" s="33" t="s">
        <v>17</v>
      </c>
      <c r="E9419" s="33" t="s">
        <v>18</v>
      </c>
      <c r="F9419" s="33" t="s">
        <v>19</v>
      </c>
      <c r="G9419" s="33" t="s">
        <v>50</v>
      </c>
      <c r="H9419" s="35">
        <v>357</v>
      </c>
      <c r="I9419" s="33" t="s">
        <v>51</v>
      </c>
      <c r="J9419" s="42">
        <v>44743</v>
      </c>
      <c r="K9419" s="33" t="s">
        <v>22</v>
      </c>
    </row>
    <row r="9420" spans="1:11">
      <c r="A9420" s="30" t="s">
        <v>21608</v>
      </c>
      <c r="B9420" s="30" t="s">
        <v>21609</v>
      </c>
      <c r="C9420" s="30" t="s">
        <v>5401</v>
      </c>
      <c r="D9420" s="30" t="s">
        <v>17</v>
      </c>
      <c r="E9420" s="30" t="s">
        <v>45</v>
      </c>
      <c r="F9420" s="30" t="s">
        <v>46</v>
      </c>
      <c r="G9420" s="30" t="s">
        <v>140</v>
      </c>
      <c r="H9420" s="32">
        <v>63</v>
      </c>
      <c r="I9420" s="30" t="s">
        <v>51</v>
      </c>
      <c r="J9420" s="41">
        <v>44763</v>
      </c>
      <c r="K9420" s="30" t="s">
        <v>22</v>
      </c>
    </row>
    <row r="9421" spans="1:11">
      <c r="A9421" s="33" t="s">
        <v>21610</v>
      </c>
      <c r="B9421" s="33" t="s">
        <v>21611</v>
      </c>
      <c r="C9421" s="33" t="s">
        <v>21612</v>
      </c>
      <c r="D9421" s="33" t="s">
        <v>17</v>
      </c>
      <c r="E9421" s="33" t="s">
        <v>67</v>
      </c>
      <c r="F9421" s="33" t="s">
        <v>68</v>
      </c>
      <c r="G9421" s="33" t="s">
        <v>158</v>
      </c>
      <c r="H9421" s="35">
        <v>86</v>
      </c>
      <c r="I9421" s="33" t="s">
        <v>21</v>
      </c>
      <c r="J9421" s="42">
        <v>44785</v>
      </c>
      <c r="K9421" s="33" t="s">
        <v>22</v>
      </c>
    </row>
    <row r="9422" spans="1:11">
      <c r="A9422" s="30" t="s">
        <v>21613</v>
      </c>
      <c r="B9422" s="30" t="s">
        <v>21614</v>
      </c>
      <c r="C9422" s="30" t="s">
        <v>14483</v>
      </c>
      <c r="D9422" s="30" t="s">
        <v>17</v>
      </c>
      <c r="E9422" s="30" t="s">
        <v>26</v>
      </c>
      <c r="F9422" s="30" t="s">
        <v>27</v>
      </c>
      <c r="G9422" s="30" t="s">
        <v>50</v>
      </c>
      <c r="H9422" s="32">
        <v>120</v>
      </c>
      <c r="I9422" s="30" t="s">
        <v>51</v>
      </c>
      <c r="J9422" s="41">
        <v>44719</v>
      </c>
      <c r="K9422" s="30" t="s">
        <v>22</v>
      </c>
    </row>
    <row r="9423" spans="1:11">
      <c r="A9423" s="33" t="s">
        <v>21615</v>
      </c>
      <c r="B9423" s="33" t="s">
        <v>21616</v>
      </c>
      <c r="C9423" s="33" t="s">
        <v>5372</v>
      </c>
      <c r="D9423" s="33" t="s">
        <v>17</v>
      </c>
      <c r="E9423" s="33" t="s">
        <v>31</v>
      </c>
      <c r="F9423" s="33" t="s">
        <v>32</v>
      </c>
      <c r="G9423" s="33" t="s">
        <v>158</v>
      </c>
      <c r="H9423" s="35">
        <v>95</v>
      </c>
      <c r="I9423" s="33" t="s">
        <v>21</v>
      </c>
      <c r="J9423" s="42">
        <v>44821</v>
      </c>
      <c r="K9423" s="33" t="s">
        <v>22</v>
      </c>
    </row>
    <row r="9424" spans="1:11">
      <c r="A9424" s="30" t="s">
        <v>21617</v>
      </c>
      <c r="B9424" s="30" t="s">
        <v>21618</v>
      </c>
      <c r="C9424" s="30" t="s">
        <v>10699</v>
      </c>
      <c r="D9424" s="30" t="s">
        <v>17</v>
      </c>
      <c r="E9424" s="30" t="s">
        <v>26</v>
      </c>
      <c r="F9424" s="30" t="s">
        <v>27</v>
      </c>
      <c r="G9424" s="30" t="s">
        <v>20</v>
      </c>
      <c r="H9424" s="32">
        <v>36</v>
      </c>
      <c r="I9424" s="30" t="s">
        <v>21</v>
      </c>
      <c r="J9424" s="41">
        <v>44666</v>
      </c>
      <c r="K9424" s="30" t="s">
        <v>22</v>
      </c>
    </row>
    <row r="9425" spans="1:11">
      <c r="A9425" s="33" t="s">
        <v>21619</v>
      </c>
      <c r="B9425" s="33" t="s">
        <v>21620</v>
      </c>
      <c r="C9425" s="33" t="s">
        <v>8451</v>
      </c>
      <c r="D9425" s="33" t="s">
        <v>17</v>
      </c>
      <c r="E9425" s="33" t="s">
        <v>26</v>
      </c>
      <c r="F9425" s="33" t="s">
        <v>27</v>
      </c>
      <c r="G9425" s="33" t="s">
        <v>158</v>
      </c>
      <c r="H9425" s="35">
        <v>36</v>
      </c>
      <c r="I9425" s="33" t="s">
        <v>21</v>
      </c>
      <c r="J9425" s="42">
        <v>44726</v>
      </c>
      <c r="K9425" s="33" t="s">
        <v>22</v>
      </c>
    </row>
    <row r="9426" spans="1:11">
      <c r="A9426" s="30" t="s">
        <v>21621</v>
      </c>
      <c r="B9426" s="30" t="s">
        <v>21622</v>
      </c>
      <c r="C9426" s="30" t="s">
        <v>12277</v>
      </c>
      <c r="D9426" s="30" t="s">
        <v>17</v>
      </c>
      <c r="E9426" s="30" t="s">
        <v>31</v>
      </c>
      <c r="F9426" s="30" t="s">
        <v>32</v>
      </c>
      <c r="G9426" s="30" t="s">
        <v>20</v>
      </c>
      <c r="H9426" s="32">
        <v>2</v>
      </c>
      <c r="I9426" s="30" t="s">
        <v>21</v>
      </c>
      <c r="J9426" s="41">
        <v>44888</v>
      </c>
      <c r="K9426" s="30" t="s">
        <v>22</v>
      </c>
    </row>
    <row r="9427" spans="1:11">
      <c r="A9427" s="33" t="s">
        <v>21623</v>
      </c>
      <c r="B9427" s="33" t="s">
        <v>21624</v>
      </c>
      <c r="C9427" s="33" t="s">
        <v>11899</v>
      </c>
      <c r="D9427" s="33" t="s">
        <v>17</v>
      </c>
      <c r="E9427" s="33" t="s">
        <v>18</v>
      </c>
      <c r="F9427" s="33" t="s">
        <v>19</v>
      </c>
      <c r="G9427" s="33" t="s">
        <v>106</v>
      </c>
      <c r="H9427" s="35">
        <v>1</v>
      </c>
      <c r="I9427" s="33" t="s">
        <v>21</v>
      </c>
      <c r="J9427" s="42">
        <v>44578</v>
      </c>
      <c r="K9427" s="33" t="s">
        <v>22</v>
      </c>
    </row>
    <row r="9428" spans="1:11">
      <c r="A9428" s="30" t="s">
        <v>21625</v>
      </c>
      <c r="B9428" s="30" t="s">
        <v>21626</v>
      </c>
      <c r="C9428" s="30" t="s">
        <v>11366</v>
      </c>
      <c r="D9428" s="30" t="s">
        <v>17</v>
      </c>
      <c r="E9428" s="30" t="s">
        <v>18</v>
      </c>
      <c r="F9428" s="30" t="s">
        <v>19</v>
      </c>
      <c r="G9428" s="30" t="s">
        <v>20</v>
      </c>
      <c r="H9428" s="32">
        <v>302</v>
      </c>
      <c r="I9428" s="30" t="s">
        <v>21</v>
      </c>
      <c r="J9428" s="41">
        <v>44757</v>
      </c>
      <c r="K9428" s="30" t="s">
        <v>22</v>
      </c>
    </row>
    <row r="9429" spans="1:11">
      <c r="A9429" s="33" t="s">
        <v>21627</v>
      </c>
      <c r="B9429" s="33" t="s">
        <v>21628</v>
      </c>
      <c r="C9429" s="33" t="s">
        <v>1480</v>
      </c>
      <c r="D9429" s="33" t="s">
        <v>17</v>
      </c>
      <c r="E9429" s="33" t="s">
        <v>31</v>
      </c>
      <c r="F9429" s="33" t="s">
        <v>32</v>
      </c>
      <c r="G9429" s="33" t="s">
        <v>20</v>
      </c>
      <c r="H9429" s="35">
        <v>354</v>
      </c>
      <c r="I9429" s="33" t="s">
        <v>21</v>
      </c>
      <c r="J9429" s="42">
        <v>44859</v>
      </c>
      <c r="K9429" s="33" t="s">
        <v>22</v>
      </c>
    </row>
    <row r="9430" spans="1:11">
      <c r="A9430" s="30" t="s">
        <v>21629</v>
      </c>
      <c r="B9430" s="30" t="s">
        <v>21630</v>
      </c>
      <c r="C9430" s="30" t="s">
        <v>3665</v>
      </c>
      <c r="D9430" s="30" t="s">
        <v>17</v>
      </c>
      <c r="E9430" s="30" t="s">
        <v>18</v>
      </c>
      <c r="F9430" s="30" t="s">
        <v>19</v>
      </c>
      <c r="G9430" s="30" t="s">
        <v>69</v>
      </c>
      <c r="H9430" s="32">
        <v>800</v>
      </c>
      <c r="I9430" s="30" t="s">
        <v>51</v>
      </c>
      <c r="J9430" s="41">
        <v>44740</v>
      </c>
      <c r="K9430" s="30" t="s">
        <v>22</v>
      </c>
    </row>
    <row r="9431" spans="1:11">
      <c r="A9431" s="33" t="s">
        <v>21631</v>
      </c>
      <c r="B9431" s="33" t="s">
        <v>21632</v>
      </c>
      <c r="C9431" s="33" t="s">
        <v>21633</v>
      </c>
      <c r="D9431" s="33" t="s">
        <v>17</v>
      </c>
      <c r="E9431" s="33" t="s">
        <v>26</v>
      </c>
      <c r="F9431" s="33" t="s">
        <v>27</v>
      </c>
      <c r="G9431" s="33" t="s">
        <v>20</v>
      </c>
      <c r="H9431" s="35">
        <v>207</v>
      </c>
      <c r="I9431" s="33" t="s">
        <v>21</v>
      </c>
      <c r="J9431" s="42">
        <v>44571</v>
      </c>
      <c r="K9431" s="33" t="s">
        <v>22</v>
      </c>
    </row>
    <row r="9432" spans="1:11">
      <c r="A9432" s="30" t="s">
        <v>21634</v>
      </c>
      <c r="B9432" s="30" t="s">
        <v>21635</v>
      </c>
      <c r="C9432" s="30" t="s">
        <v>21636</v>
      </c>
      <c r="D9432" s="30" t="s">
        <v>17</v>
      </c>
      <c r="E9432" s="30" t="s">
        <v>18</v>
      </c>
      <c r="F9432" s="30" t="s">
        <v>19</v>
      </c>
      <c r="G9432" s="30" t="s">
        <v>20</v>
      </c>
      <c r="H9432" s="32">
        <v>136</v>
      </c>
      <c r="I9432" s="30" t="s">
        <v>21</v>
      </c>
      <c r="J9432" s="41">
        <v>44799</v>
      </c>
      <c r="K9432" s="30" t="s">
        <v>22</v>
      </c>
    </row>
    <row r="9433" spans="1:11">
      <c r="A9433" s="33" t="s">
        <v>21637</v>
      </c>
      <c r="B9433" s="33" t="s">
        <v>21638</v>
      </c>
      <c r="C9433" s="33" t="s">
        <v>18774</v>
      </c>
      <c r="D9433" s="33" t="s">
        <v>17</v>
      </c>
      <c r="E9433" s="33" t="s">
        <v>45</v>
      </c>
      <c r="F9433" s="33" t="s">
        <v>46</v>
      </c>
      <c r="G9433" s="33" t="s">
        <v>50</v>
      </c>
      <c r="H9433" s="35">
        <v>54</v>
      </c>
      <c r="I9433" s="33" t="s">
        <v>51</v>
      </c>
      <c r="J9433" s="42">
        <v>44895</v>
      </c>
      <c r="K9433" s="33" t="s">
        <v>22</v>
      </c>
    </row>
    <row r="9434" spans="1:11">
      <c r="A9434" s="30" t="s">
        <v>21639</v>
      </c>
      <c r="B9434" s="30" t="s">
        <v>21640</v>
      </c>
      <c r="C9434" s="30" t="s">
        <v>21641</v>
      </c>
      <c r="D9434" s="30" t="s">
        <v>17</v>
      </c>
      <c r="E9434" s="30" t="s">
        <v>26</v>
      </c>
      <c r="F9434" s="30" t="s">
        <v>27</v>
      </c>
      <c r="G9434" s="30" t="s">
        <v>20</v>
      </c>
      <c r="H9434" s="32">
        <v>16</v>
      </c>
      <c r="I9434" s="30" t="s">
        <v>21</v>
      </c>
      <c r="J9434" s="41">
        <v>44704</v>
      </c>
      <c r="K9434" s="30" t="s">
        <v>22</v>
      </c>
    </row>
    <row r="9435" spans="1:11">
      <c r="A9435" s="33" t="s">
        <v>21642</v>
      </c>
      <c r="B9435" s="33" t="s">
        <v>21643</v>
      </c>
      <c r="C9435" s="33" t="s">
        <v>362</v>
      </c>
      <c r="D9435" s="33" t="s">
        <v>17</v>
      </c>
      <c r="E9435" s="33" t="s">
        <v>26</v>
      </c>
      <c r="F9435" s="33" t="s">
        <v>27</v>
      </c>
      <c r="G9435" s="33" t="s">
        <v>20</v>
      </c>
      <c r="H9435" s="35">
        <v>14</v>
      </c>
      <c r="I9435" s="33" t="s">
        <v>21</v>
      </c>
      <c r="J9435" s="42">
        <v>44620</v>
      </c>
      <c r="K9435" s="33" t="s">
        <v>22</v>
      </c>
    </row>
    <row r="9436" spans="1:11">
      <c r="A9436" s="30" t="s">
        <v>21644</v>
      </c>
      <c r="B9436" s="30" t="s">
        <v>21645</v>
      </c>
      <c r="C9436" s="30" t="s">
        <v>109</v>
      </c>
      <c r="D9436" s="30" t="s">
        <v>17</v>
      </c>
      <c r="E9436" s="30" t="s">
        <v>212</v>
      </c>
      <c r="F9436" s="30" t="s">
        <v>213</v>
      </c>
      <c r="G9436" s="30" t="s">
        <v>20</v>
      </c>
      <c r="H9436" s="32">
        <v>105</v>
      </c>
      <c r="I9436" s="30" t="s">
        <v>21</v>
      </c>
      <c r="J9436" s="41">
        <v>44629</v>
      </c>
      <c r="K9436" s="30" t="s">
        <v>22</v>
      </c>
    </row>
    <row r="9437" spans="1:11">
      <c r="A9437" s="33" t="s">
        <v>21646</v>
      </c>
      <c r="B9437" s="33" t="s">
        <v>21647</v>
      </c>
      <c r="C9437" s="33" t="s">
        <v>231</v>
      </c>
      <c r="D9437" s="33" t="s">
        <v>17</v>
      </c>
      <c r="E9437" s="33" t="s">
        <v>18</v>
      </c>
      <c r="F9437" s="33" t="s">
        <v>19</v>
      </c>
      <c r="G9437" s="33" t="s">
        <v>20</v>
      </c>
      <c r="H9437" s="35">
        <v>54</v>
      </c>
      <c r="I9437" s="33" t="s">
        <v>21</v>
      </c>
      <c r="J9437" s="42">
        <v>44657</v>
      </c>
      <c r="K9437" s="33" t="s">
        <v>22</v>
      </c>
    </row>
    <row r="9438" spans="1:11">
      <c r="A9438" s="30" t="s">
        <v>21648</v>
      </c>
      <c r="B9438" s="30" t="s">
        <v>21649</v>
      </c>
      <c r="C9438" s="30" t="s">
        <v>1136</v>
      </c>
      <c r="D9438" s="30" t="s">
        <v>17</v>
      </c>
      <c r="E9438" s="30" t="s">
        <v>67</v>
      </c>
      <c r="F9438" s="30" t="s">
        <v>68</v>
      </c>
      <c r="G9438" s="30" t="s">
        <v>20</v>
      </c>
      <c r="H9438" s="32">
        <v>865</v>
      </c>
      <c r="I9438" s="30" t="s">
        <v>21</v>
      </c>
      <c r="J9438" s="41">
        <v>44882</v>
      </c>
      <c r="K9438" s="30" t="s">
        <v>22</v>
      </c>
    </row>
    <row r="9439" spans="1:11">
      <c r="A9439" s="33" t="s">
        <v>21650</v>
      </c>
      <c r="B9439" s="33" t="s">
        <v>21651</v>
      </c>
      <c r="C9439" s="33" t="s">
        <v>16883</v>
      </c>
      <c r="D9439" s="33" t="s">
        <v>17</v>
      </c>
      <c r="E9439" s="33" t="s">
        <v>31</v>
      </c>
      <c r="F9439" s="33" t="s">
        <v>32</v>
      </c>
      <c r="G9439" s="33" t="s">
        <v>20</v>
      </c>
      <c r="H9439" s="35">
        <v>24</v>
      </c>
      <c r="I9439" s="33" t="s">
        <v>21</v>
      </c>
      <c r="J9439" s="42">
        <v>44664</v>
      </c>
      <c r="K9439" s="33" t="s">
        <v>22</v>
      </c>
    </row>
    <row r="9440" spans="1:11">
      <c r="A9440" s="30" t="s">
        <v>21652</v>
      </c>
      <c r="B9440" s="30" t="s">
        <v>21653</v>
      </c>
      <c r="C9440" s="30" t="s">
        <v>21654</v>
      </c>
      <c r="D9440" s="30" t="s">
        <v>17</v>
      </c>
      <c r="E9440" s="30" t="s">
        <v>26</v>
      </c>
      <c r="F9440" s="30" t="s">
        <v>27</v>
      </c>
      <c r="G9440" s="30" t="s">
        <v>20</v>
      </c>
      <c r="H9440" s="32">
        <v>97</v>
      </c>
      <c r="I9440" s="30" t="s">
        <v>21</v>
      </c>
      <c r="J9440" s="41">
        <v>44896</v>
      </c>
      <c r="K9440" s="30" t="s">
        <v>22</v>
      </c>
    </row>
    <row r="9441" spans="1:11">
      <c r="A9441" s="33" t="s">
        <v>21655</v>
      </c>
      <c r="B9441" s="33" t="s">
        <v>21656</v>
      </c>
      <c r="C9441" s="33" t="s">
        <v>5040</v>
      </c>
      <c r="D9441" s="33" t="s">
        <v>17</v>
      </c>
      <c r="E9441" s="33" t="s">
        <v>212</v>
      </c>
      <c r="F9441" s="33" t="s">
        <v>213</v>
      </c>
      <c r="G9441" s="33" t="s">
        <v>50</v>
      </c>
      <c r="H9441" s="35">
        <v>37920</v>
      </c>
      <c r="I9441" s="33" t="s">
        <v>51</v>
      </c>
      <c r="J9441" s="42">
        <v>44772</v>
      </c>
      <c r="K9441" s="33" t="s">
        <v>22</v>
      </c>
    </row>
    <row r="9442" spans="1:11">
      <c r="A9442" s="30" t="s">
        <v>21657</v>
      </c>
      <c r="B9442" s="30" t="s">
        <v>21658</v>
      </c>
      <c r="C9442" s="30" t="s">
        <v>30</v>
      </c>
      <c r="D9442" s="30" t="s">
        <v>17</v>
      </c>
      <c r="E9442" s="30" t="s">
        <v>18</v>
      </c>
      <c r="F9442" s="30" t="s">
        <v>19</v>
      </c>
      <c r="G9442" s="30" t="s">
        <v>106</v>
      </c>
      <c r="H9442" s="32">
        <v>117</v>
      </c>
      <c r="I9442" s="30" t="s">
        <v>21</v>
      </c>
      <c r="J9442" s="41">
        <v>44697</v>
      </c>
      <c r="K9442" s="30" t="s">
        <v>22</v>
      </c>
    </row>
    <row r="9443" spans="1:11">
      <c r="A9443" s="33" t="s">
        <v>21659</v>
      </c>
      <c r="B9443" s="33" t="s">
        <v>21660</v>
      </c>
      <c r="C9443" s="33" t="s">
        <v>698</v>
      </c>
      <c r="D9443" s="33" t="s">
        <v>17</v>
      </c>
      <c r="E9443" s="33" t="s">
        <v>31</v>
      </c>
      <c r="F9443" s="33" t="s">
        <v>32</v>
      </c>
      <c r="G9443" s="33" t="s">
        <v>50</v>
      </c>
      <c r="H9443" s="35">
        <v>231</v>
      </c>
      <c r="I9443" s="33" t="s">
        <v>51</v>
      </c>
      <c r="J9443" s="42">
        <v>44727</v>
      </c>
      <c r="K9443" s="33" t="s">
        <v>22</v>
      </c>
    </row>
    <row r="9444" spans="1:11">
      <c r="A9444" s="30" t="s">
        <v>21661</v>
      </c>
      <c r="B9444" s="30" t="s">
        <v>21662</v>
      </c>
      <c r="C9444" s="30" t="s">
        <v>3871</v>
      </c>
      <c r="D9444" s="30" t="s">
        <v>17</v>
      </c>
      <c r="E9444" s="30" t="s">
        <v>18</v>
      </c>
      <c r="F9444" s="30" t="s">
        <v>19</v>
      </c>
      <c r="G9444" s="30" t="s">
        <v>20</v>
      </c>
      <c r="H9444" s="32">
        <v>392</v>
      </c>
      <c r="I9444" s="30" t="s">
        <v>21</v>
      </c>
      <c r="J9444" s="41">
        <v>44659</v>
      </c>
      <c r="K9444" s="30" t="s">
        <v>22</v>
      </c>
    </row>
    <row r="9445" spans="1:11">
      <c r="A9445" s="33" t="s">
        <v>21663</v>
      </c>
      <c r="B9445" s="33" t="s">
        <v>21664</v>
      </c>
      <c r="C9445" s="33" t="s">
        <v>21665</v>
      </c>
      <c r="D9445" s="33" t="s">
        <v>17</v>
      </c>
      <c r="E9445" s="33" t="s">
        <v>18</v>
      </c>
      <c r="F9445" s="33" t="s">
        <v>19</v>
      </c>
      <c r="G9445" s="33" t="s">
        <v>69</v>
      </c>
      <c r="H9445" s="35">
        <v>274</v>
      </c>
      <c r="I9445" s="33" t="s">
        <v>51</v>
      </c>
      <c r="J9445" s="42">
        <v>44682</v>
      </c>
      <c r="K9445" s="33" t="s">
        <v>22</v>
      </c>
    </row>
    <row r="9446" spans="1:11">
      <c r="A9446" s="30" t="s">
        <v>21666</v>
      </c>
      <c r="B9446" s="30" t="s">
        <v>21667</v>
      </c>
      <c r="C9446" s="30" t="s">
        <v>96</v>
      </c>
      <c r="D9446" s="30" t="s">
        <v>17</v>
      </c>
      <c r="E9446" s="30" t="s">
        <v>26</v>
      </c>
      <c r="F9446" s="30" t="s">
        <v>27</v>
      </c>
      <c r="G9446" s="30" t="s">
        <v>20</v>
      </c>
      <c r="H9446" s="32">
        <v>6</v>
      </c>
      <c r="I9446" s="30" t="s">
        <v>21</v>
      </c>
      <c r="J9446" s="41">
        <v>44651</v>
      </c>
      <c r="K9446" s="30" t="s">
        <v>22</v>
      </c>
    </row>
    <row r="9447" spans="1:11">
      <c r="A9447" s="33" t="s">
        <v>21668</v>
      </c>
      <c r="B9447" s="33" t="s">
        <v>21669</v>
      </c>
      <c r="C9447" s="33" t="s">
        <v>353</v>
      </c>
      <c r="D9447" s="33" t="s">
        <v>17</v>
      </c>
      <c r="E9447" s="33" t="s">
        <v>18</v>
      </c>
      <c r="F9447" s="33" t="s">
        <v>19</v>
      </c>
      <c r="G9447" s="33" t="s">
        <v>20</v>
      </c>
      <c r="H9447" s="35">
        <v>59</v>
      </c>
      <c r="I9447" s="33" t="s">
        <v>21</v>
      </c>
      <c r="J9447" s="42">
        <v>44782</v>
      </c>
      <c r="K9447" s="33" t="s">
        <v>22</v>
      </c>
    </row>
    <row r="9448" spans="1:11">
      <c r="A9448" s="30" t="s">
        <v>21670</v>
      </c>
      <c r="B9448" s="30" t="s">
        <v>21671</v>
      </c>
      <c r="C9448" s="30" t="s">
        <v>7094</v>
      </c>
      <c r="D9448" s="30" t="s">
        <v>17</v>
      </c>
      <c r="E9448" s="30" t="s">
        <v>18</v>
      </c>
      <c r="F9448" s="30" t="s">
        <v>19</v>
      </c>
      <c r="G9448" s="30" t="s">
        <v>112</v>
      </c>
      <c r="H9448" s="32">
        <v>0</v>
      </c>
      <c r="I9448" s="30" t="s">
        <v>21</v>
      </c>
      <c r="J9448" s="41">
        <v>44652</v>
      </c>
      <c r="K9448" s="30" t="s">
        <v>22</v>
      </c>
    </row>
    <row r="9449" spans="1:11">
      <c r="A9449" s="33" t="s">
        <v>21672</v>
      </c>
      <c r="B9449" s="33" t="s">
        <v>21673</v>
      </c>
      <c r="C9449" s="33" t="s">
        <v>21674</v>
      </c>
      <c r="D9449" s="33" t="s">
        <v>17</v>
      </c>
      <c r="E9449" s="33" t="s">
        <v>67</v>
      </c>
      <c r="F9449" s="33" t="s">
        <v>68</v>
      </c>
      <c r="G9449" s="33" t="s">
        <v>20</v>
      </c>
      <c r="H9449" s="35">
        <v>14</v>
      </c>
      <c r="I9449" s="33" t="s">
        <v>21</v>
      </c>
      <c r="J9449" s="42">
        <v>44839</v>
      </c>
      <c r="K9449" s="33" t="s">
        <v>22</v>
      </c>
    </row>
    <row r="9450" spans="1:11">
      <c r="A9450" s="30" t="s">
        <v>21675</v>
      </c>
      <c r="B9450" s="30" t="s">
        <v>21676</v>
      </c>
      <c r="C9450" s="30" t="s">
        <v>96</v>
      </c>
      <c r="D9450" s="30" t="s">
        <v>17</v>
      </c>
      <c r="E9450" s="30" t="s">
        <v>26</v>
      </c>
      <c r="F9450" s="30" t="s">
        <v>27</v>
      </c>
      <c r="G9450" s="30" t="s">
        <v>20</v>
      </c>
      <c r="H9450" s="32">
        <v>20</v>
      </c>
      <c r="I9450" s="30" t="s">
        <v>21</v>
      </c>
      <c r="J9450" s="41">
        <v>44851</v>
      </c>
      <c r="K9450" s="30" t="s">
        <v>22</v>
      </c>
    </row>
    <row r="9451" spans="1:11">
      <c r="A9451" s="33" t="s">
        <v>21677</v>
      </c>
      <c r="B9451" s="33" t="s">
        <v>21678</v>
      </c>
      <c r="C9451" s="33" t="s">
        <v>178</v>
      </c>
      <c r="D9451" s="33" t="s">
        <v>17</v>
      </c>
      <c r="E9451" s="33" t="s">
        <v>31</v>
      </c>
      <c r="F9451" s="33" t="s">
        <v>32</v>
      </c>
      <c r="G9451" s="33" t="s">
        <v>20</v>
      </c>
      <c r="H9451" s="35">
        <v>29</v>
      </c>
      <c r="I9451" s="33" t="s">
        <v>21</v>
      </c>
      <c r="J9451" s="42">
        <v>44775</v>
      </c>
      <c r="K9451" s="33" t="s">
        <v>22</v>
      </c>
    </row>
    <row r="9452" spans="1:11">
      <c r="A9452" s="30" t="s">
        <v>21679</v>
      </c>
      <c r="B9452" s="30" t="s">
        <v>21680</v>
      </c>
      <c r="C9452" s="30" t="s">
        <v>13133</v>
      </c>
      <c r="D9452" s="30" t="s">
        <v>17</v>
      </c>
      <c r="E9452" s="30" t="s">
        <v>26</v>
      </c>
      <c r="F9452" s="30" t="s">
        <v>27</v>
      </c>
      <c r="G9452" s="30" t="s">
        <v>158</v>
      </c>
      <c r="H9452" s="32">
        <v>158</v>
      </c>
      <c r="I9452" s="30" t="s">
        <v>51</v>
      </c>
      <c r="J9452" s="41">
        <v>44700</v>
      </c>
      <c r="K9452" s="30" t="s">
        <v>22</v>
      </c>
    </row>
    <row r="9453" spans="1:11">
      <c r="A9453" s="33" t="s">
        <v>21681</v>
      </c>
      <c r="B9453" s="33" t="s">
        <v>21682</v>
      </c>
      <c r="C9453" s="33" t="s">
        <v>9234</v>
      </c>
      <c r="D9453" s="33" t="s">
        <v>17</v>
      </c>
      <c r="E9453" s="33" t="s">
        <v>26</v>
      </c>
      <c r="F9453" s="33" t="s">
        <v>27</v>
      </c>
      <c r="G9453" s="33" t="s">
        <v>20</v>
      </c>
      <c r="H9453" s="35">
        <v>15</v>
      </c>
      <c r="I9453" s="33" t="s">
        <v>21</v>
      </c>
      <c r="J9453" s="42">
        <v>44683</v>
      </c>
      <c r="K9453" s="33" t="s">
        <v>22</v>
      </c>
    </row>
    <row r="9454" spans="1:11">
      <c r="A9454" s="30" t="s">
        <v>21683</v>
      </c>
      <c r="B9454" s="30" t="s">
        <v>21684</v>
      </c>
      <c r="C9454" s="30" t="s">
        <v>1154</v>
      </c>
      <c r="D9454" s="30" t="s">
        <v>17</v>
      </c>
      <c r="E9454" s="30" t="s">
        <v>18</v>
      </c>
      <c r="F9454" s="30" t="s">
        <v>19</v>
      </c>
      <c r="G9454" s="30" t="s">
        <v>20</v>
      </c>
      <c r="H9454" s="32">
        <v>2068</v>
      </c>
      <c r="I9454" s="30" t="s">
        <v>21</v>
      </c>
      <c r="J9454" s="41">
        <v>44925</v>
      </c>
      <c r="K9454" s="30" t="s">
        <v>22</v>
      </c>
    </row>
    <row r="9455" spans="1:11">
      <c r="A9455" s="33" t="s">
        <v>21685</v>
      </c>
      <c r="B9455" s="33" t="s">
        <v>21686</v>
      </c>
      <c r="C9455" s="33" t="s">
        <v>1151</v>
      </c>
      <c r="D9455" s="33" t="s">
        <v>17</v>
      </c>
      <c r="E9455" s="33" t="s">
        <v>67</v>
      </c>
      <c r="F9455" s="33" t="s">
        <v>68</v>
      </c>
      <c r="G9455" s="33" t="s">
        <v>20</v>
      </c>
      <c r="H9455" s="35">
        <v>62</v>
      </c>
      <c r="I9455" s="33" t="s">
        <v>21</v>
      </c>
      <c r="J9455" s="42">
        <v>44593</v>
      </c>
      <c r="K9455" s="33" t="s">
        <v>22</v>
      </c>
    </row>
    <row r="9456" spans="1:11">
      <c r="A9456" s="30" t="s">
        <v>21687</v>
      </c>
      <c r="B9456" s="30" t="s">
        <v>21688</v>
      </c>
      <c r="C9456" s="30" t="s">
        <v>318</v>
      </c>
      <c r="D9456" s="30" t="s">
        <v>17</v>
      </c>
      <c r="E9456" s="30" t="s">
        <v>31</v>
      </c>
      <c r="F9456" s="30" t="s">
        <v>32</v>
      </c>
      <c r="G9456" s="30" t="s">
        <v>106</v>
      </c>
      <c r="H9456" s="32">
        <v>42</v>
      </c>
      <c r="I9456" s="30" t="s">
        <v>21</v>
      </c>
      <c r="J9456" s="41">
        <v>44589</v>
      </c>
      <c r="K9456" s="30" t="s">
        <v>22</v>
      </c>
    </row>
    <row r="9457" spans="1:11">
      <c r="A9457" s="33" t="s">
        <v>21689</v>
      </c>
      <c r="B9457" s="33" t="s">
        <v>21690</v>
      </c>
      <c r="C9457" s="33" t="s">
        <v>21691</v>
      </c>
      <c r="D9457" s="33" t="s">
        <v>17</v>
      </c>
      <c r="E9457" s="33" t="s">
        <v>18</v>
      </c>
      <c r="F9457" s="33" t="s">
        <v>19</v>
      </c>
      <c r="G9457" s="33" t="s">
        <v>20</v>
      </c>
      <c r="H9457" s="35">
        <v>443</v>
      </c>
      <c r="I9457" s="33" t="s">
        <v>21</v>
      </c>
      <c r="J9457" s="42">
        <v>44621</v>
      </c>
      <c r="K9457" s="33" t="s">
        <v>22</v>
      </c>
    </row>
    <row r="9458" spans="1:11">
      <c r="A9458" s="30" t="s">
        <v>21692</v>
      </c>
      <c r="B9458" s="30" t="s">
        <v>21693</v>
      </c>
      <c r="C9458" s="30" t="s">
        <v>109</v>
      </c>
      <c r="D9458" s="30" t="s">
        <v>17</v>
      </c>
      <c r="E9458" s="30" t="s">
        <v>18</v>
      </c>
      <c r="F9458" s="30" t="s">
        <v>19</v>
      </c>
      <c r="G9458" s="30" t="s">
        <v>20</v>
      </c>
      <c r="H9458" s="32">
        <v>34</v>
      </c>
      <c r="I9458" s="30" t="s">
        <v>21</v>
      </c>
      <c r="J9458" s="41">
        <v>44578</v>
      </c>
      <c r="K9458" s="30" t="s">
        <v>22</v>
      </c>
    </row>
    <row r="9459" spans="1:11">
      <c r="A9459" s="33" t="s">
        <v>21694</v>
      </c>
      <c r="B9459" s="33" t="s">
        <v>21695</v>
      </c>
      <c r="C9459" s="33" t="s">
        <v>8250</v>
      </c>
      <c r="D9459" s="33" t="s">
        <v>17</v>
      </c>
      <c r="E9459" s="33" t="s">
        <v>31</v>
      </c>
      <c r="F9459" s="33" t="s">
        <v>32</v>
      </c>
      <c r="G9459" s="33" t="s">
        <v>158</v>
      </c>
      <c r="H9459" s="35">
        <v>63</v>
      </c>
      <c r="I9459" s="33" t="s">
        <v>21</v>
      </c>
      <c r="J9459" s="42">
        <v>44714</v>
      </c>
      <c r="K9459" s="33" t="s">
        <v>22</v>
      </c>
    </row>
    <row r="9460" spans="1:11">
      <c r="A9460" s="30" t="s">
        <v>21696</v>
      </c>
      <c r="B9460" s="30" t="s">
        <v>21697</v>
      </c>
      <c r="C9460" s="30" t="s">
        <v>1801</v>
      </c>
      <c r="D9460" s="30" t="s">
        <v>17</v>
      </c>
      <c r="E9460" s="30" t="s">
        <v>67</v>
      </c>
      <c r="F9460" s="30" t="s">
        <v>68</v>
      </c>
      <c r="G9460" s="30" t="s">
        <v>20</v>
      </c>
      <c r="H9460" s="32">
        <v>32</v>
      </c>
      <c r="I9460" s="30" t="s">
        <v>21</v>
      </c>
      <c r="J9460" s="41">
        <v>44693</v>
      </c>
      <c r="K9460" s="30" t="s">
        <v>22</v>
      </c>
    </row>
    <row r="9461" spans="1:11">
      <c r="A9461" s="33" t="s">
        <v>21698</v>
      </c>
      <c r="B9461" s="33" t="s">
        <v>21699</v>
      </c>
      <c r="C9461" s="33" t="s">
        <v>102</v>
      </c>
      <c r="D9461" s="33" t="s">
        <v>17</v>
      </c>
      <c r="E9461" s="33" t="s">
        <v>26</v>
      </c>
      <c r="F9461" s="33" t="s">
        <v>27</v>
      </c>
      <c r="G9461" s="33" t="s">
        <v>20</v>
      </c>
      <c r="H9461" s="35">
        <v>10</v>
      </c>
      <c r="I9461" s="33" t="s">
        <v>21</v>
      </c>
      <c r="J9461" s="42">
        <v>44739</v>
      </c>
      <c r="K9461" s="33" t="s">
        <v>22</v>
      </c>
    </row>
    <row r="9462" spans="1:11">
      <c r="A9462" s="30" t="s">
        <v>21700</v>
      </c>
      <c r="B9462" s="30" t="s">
        <v>21701</v>
      </c>
      <c r="C9462" s="30" t="s">
        <v>96</v>
      </c>
      <c r="D9462" s="30" t="s">
        <v>17</v>
      </c>
      <c r="E9462" s="30" t="s">
        <v>67</v>
      </c>
      <c r="F9462" s="30" t="s">
        <v>68</v>
      </c>
      <c r="G9462" s="30" t="s">
        <v>106</v>
      </c>
      <c r="H9462" s="32">
        <v>10</v>
      </c>
      <c r="I9462" s="30" t="s">
        <v>21</v>
      </c>
      <c r="J9462" s="41">
        <v>44774</v>
      </c>
      <c r="K9462" s="30" t="s">
        <v>22</v>
      </c>
    </row>
    <row r="9463" spans="1:11">
      <c r="A9463" s="33" t="s">
        <v>21702</v>
      </c>
      <c r="B9463" s="33" t="s">
        <v>21703</v>
      </c>
      <c r="C9463" s="33" t="s">
        <v>21704</v>
      </c>
      <c r="D9463" s="33" t="s">
        <v>17</v>
      </c>
      <c r="E9463" s="33" t="s">
        <v>18</v>
      </c>
      <c r="F9463" s="33" t="s">
        <v>19</v>
      </c>
      <c r="G9463" s="33" t="s">
        <v>140</v>
      </c>
      <c r="H9463" s="35">
        <v>690</v>
      </c>
      <c r="I9463" s="33" t="s">
        <v>51</v>
      </c>
      <c r="J9463" s="42">
        <v>44585</v>
      </c>
      <c r="K9463" s="33" t="s">
        <v>22</v>
      </c>
    </row>
    <row r="9464" spans="1:11">
      <c r="A9464" s="30" t="s">
        <v>21705</v>
      </c>
      <c r="B9464" s="30" t="s">
        <v>21706</v>
      </c>
      <c r="C9464" s="30" t="s">
        <v>2822</v>
      </c>
      <c r="D9464" s="30" t="s">
        <v>17</v>
      </c>
      <c r="E9464" s="30" t="s">
        <v>31</v>
      </c>
      <c r="F9464" s="30" t="s">
        <v>32</v>
      </c>
      <c r="G9464" s="30" t="s">
        <v>20</v>
      </c>
      <c r="H9464" s="32">
        <v>251</v>
      </c>
      <c r="I9464" s="30" t="s">
        <v>21</v>
      </c>
      <c r="J9464" s="41">
        <v>44593</v>
      </c>
      <c r="K9464" s="30" t="s">
        <v>22</v>
      </c>
    </row>
    <row r="9465" spans="1:11">
      <c r="A9465" s="33" t="s">
        <v>21707</v>
      </c>
      <c r="B9465" s="33" t="s">
        <v>21708</v>
      </c>
      <c r="C9465" s="33" t="s">
        <v>1136</v>
      </c>
      <c r="D9465" s="33" t="s">
        <v>17</v>
      </c>
      <c r="E9465" s="33" t="s">
        <v>67</v>
      </c>
      <c r="F9465" s="33" t="s">
        <v>68</v>
      </c>
      <c r="G9465" s="33" t="s">
        <v>20</v>
      </c>
      <c r="H9465" s="35">
        <v>682</v>
      </c>
      <c r="I9465" s="33" t="s">
        <v>21</v>
      </c>
      <c r="J9465" s="42">
        <v>44893</v>
      </c>
      <c r="K9465" s="33" t="s">
        <v>22</v>
      </c>
    </row>
    <row r="9466" spans="1:11">
      <c r="A9466" s="30" t="s">
        <v>21709</v>
      </c>
      <c r="B9466" s="30" t="s">
        <v>21710</v>
      </c>
      <c r="C9466" s="30" t="s">
        <v>684</v>
      </c>
      <c r="D9466" s="30" t="s">
        <v>17</v>
      </c>
      <c r="E9466" s="30" t="s">
        <v>18</v>
      </c>
      <c r="F9466" s="30" t="s">
        <v>19</v>
      </c>
      <c r="G9466" s="30" t="s">
        <v>20</v>
      </c>
      <c r="H9466" s="32">
        <v>367</v>
      </c>
      <c r="I9466" s="30" t="s">
        <v>21</v>
      </c>
      <c r="J9466" s="41">
        <v>44782</v>
      </c>
      <c r="K9466" s="30" t="s">
        <v>22</v>
      </c>
    </row>
    <row r="9467" spans="1:11">
      <c r="A9467" s="33" t="s">
        <v>21711</v>
      </c>
      <c r="B9467" s="33" t="s">
        <v>21712</v>
      </c>
      <c r="C9467" s="33" t="s">
        <v>4742</v>
      </c>
      <c r="D9467" s="33" t="s">
        <v>17</v>
      </c>
      <c r="E9467" s="33" t="s">
        <v>18</v>
      </c>
      <c r="F9467" s="33" t="s">
        <v>19</v>
      </c>
      <c r="G9467" s="33" t="s">
        <v>20</v>
      </c>
      <c r="H9467" s="35">
        <v>1750</v>
      </c>
      <c r="I9467" s="33" t="s">
        <v>21</v>
      </c>
      <c r="J9467" s="42">
        <v>44713</v>
      </c>
      <c r="K9467" s="33" t="s">
        <v>22</v>
      </c>
    </row>
    <row r="9468" spans="1:11">
      <c r="A9468" s="30" t="s">
        <v>21713</v>
      </c>
      <c r="B9468" s="30" t="s">
        <v>21714</v>
      </c>
      <c r="C9468" s="30" t="s">
        <v>647</v>
      </c>
      <c r="D9468" s="30" t="s">
        <v>17</v>
      </c>
      <c r="E9468" s="30" t="s">
        <v>67</v>
      </c>
      <c r="F9468" s="30" t="s">
        <v>68</v>
      </c>
      <c r="G9468" s="30" t="s">
        <v>106</v>
      </c>
      <c r="H9468" s="32">
        <v>27</v>
      </c>
      <c r="I9468" s="30" t="s">
        <v>21</v>
      </c>
      <c r="J9468" s="41">
        <v>44749</v>
      </c>
      <c r="K9468" s="30" t="s">
        <v>22</v>
      </c>
    </row>
    <row r="9469" spans="1:11">
      <c r="A9469" s="33" t="s">
        <v>21715</v>
      </c>
      <c r="B9469" s="33" t="s">
        <v>21716</v>
      </c>
      <c r="C9469" s="33" t="s">
        <v>190</v>
      </c>
      <c r="D9469" s="33" t="s">
        <v>17</v>
      </c>
      <c r="E9469" s="33" t="s">
        <v>18</v>
      </c>
      <c r="F9469" s="33" t="s">
        <v>19</v>
      </c>
      <c r="G9469" s="33" t="s">
        <v>140</v>
      </c>
      <c r="H9469" s="35">
        <v>2870</v>
      </c>
      <c r="I9469" s="33" t="s">
        <v>51</v>
      </c>
      <c r="J9469" s="42">
        <v>44908</v>
      </c>
      <c r="K9469" s="33" t="s">
        <v>22</v>
      </c>
    </row>
    <row r="9470" spans="1:11">
      <c r="A9470" s="30" t="s">
        <v>21717</v>
      </c>
      <c r="B9470" s="30" t="s">
        <v>21718</v>
      </c>
      <c r="C9470" s="30" t="s">
        <v>21719</v>
      </c>
      <c r="D9470" s="30" t="s">
        <v>17</v>
      </c>
      <c r="E9470" s="30" t="s">
        <v>26</v>
      </c>
      <c r="F9470" s="30" t="s">
        <v>27</v>
      </c>
      <c r="G9470" s="30" t="s">
        <v>50</v>
      </c>
      <c r="H9470" s="32">
        <v>32</v>
      </c>
      <c r="I9470" s="30" t="s">
        <v>51</v>
      </c>
      <c r="J9470" s="41">
        <v>44679</v>
      </c>
      <c r="K9470" s="30" t="s">
        <v>22</v>
      </c>
    </row>
    <row r="9471" spans="1:11">
      <c r="A9471" s="33" t="s">
        <v>21720</v>
      </c>
      <c r="B9471" s="33" t="s">
        <v>21721</v>
      </c>
      <c r="C9471" s="33" t="s">
        <v>102</v>
      </c>
      <c r="D9471" s="33" t="s">
        <v>17</v>
      </c>
      <c r="E9471" s="33" t="s">
        <v>18</v>
      </c>
      <c r="F9471" s="33" t="s">
        <v>19</v>
      </c>
      <c r="G9471" s="33" t="s">
        <v>20</v>
      </c>
      <c r="H9471" s="35">
        <v>211</v>
      </c>
      <c r="I9471" s="33" t="s">
        <v>21</v>
      </c>
      <c r="J9471" s="42">
        <v>44755</v>
      </c>
      <c r="K9471" s="33" t="s">
        <v>22</v>
      </c>
    </row>
    <row r="9472" spans="1:11">
      <c r="A9472" s="30" t="s">
        <v>21722</v>
      </c>
      <c r="B9472" s="30" t="s">
        <v>21723</v>
      </c>
      <c r="C9472" s="30" t="s">
        <v>6202</v>
      </c>
      <c r="D9472" s="30" t="s">
        <v>17</v>
      </c>
      <c r="E9472" s="30" t="s">
        <v>45</v>
      </c>
      <c r="F9472" s="30" t="s">
        <v>46</v>
      </c>
      <c r="G9472" s="30" t="s">
        <v>20</v>
      </c>
      <c r="H9472" s="32">
        <v>360</v>
      </c>
      <c r="I9472" s="30" t="s">
        <v>21</v>
      </c>
      <c r="J9472" s="41">
        <v>44664</v>
      </c>
      <c r="K9472" s="30" t="s">
        <v>22</v>
      </c>
    </row>
    <row r="9473" spans="1:11">
      <c r="A9473" s="33" t="s">
        <v>21724</v>
      </c>
      <c r="B9473" s="33" t="s">
        <v>21725</v>
      </c>
      <c r="C9473" s="33" t="s">
        <v>356</v>
      </c>
      <c r="D9473" s="33" t="s">
        <v>17</v>
      </c>
      <c r="E9473" s="33" t="s">
        <v>18</v>
      </c>
      <c r="F9473" s="33" t="s">
        <v>19</v>
      </c>
      <c r="G9473" s="33" t="s">
        <v>20</v>
      </c>
      <c r="H9473" s="35">
        <v>153</v>
      </c>
      <c r="I9473" s="33" t="s">
        <v>21</v>
      </c>
      <c r="J9473" s="42">
        <v>44835</v>
      </c>
      <c r="K9473" s="33" t="s">
        <v>22</v>
      </c>
    </row>
    <row r="9474" spans="1:11">
      <c r="A9474" s="30" t="s">
        <v>21726</v>
      </c>
      <c r="B9474" s="30" t="s">
        <v>21727</v>
      </c>
      <c r="C9474" s="30" t="s">
        <v>21728</v>
      </c>
      <c r="D9474" s="30" t="s">
        <v>17</v>
      </c>
      <c r="E9474" s="30" t="s">
        <v>31</v>
      </c>
      <c r="F9474" s="30" t="s">
        <v>32</v>
      </c>
      <c r="G9474" s="30" t="s">
        <v>20</v>
      </c>
      <c r="H9474" s="32">
        <v>248</v>
      </c>
      <c r="I9474" s="30" t="s">
        <v>21</v>
      </c>
      <c r="J9474" s="41">
        <v>44802</v>
      </c>
      <c r="K9474" s="30" t="s">
        <v>22</v>
      </c>
    </row>
    <row r="9475" spans="1:11">
      <c r="A9475" s="33" t="s">
        <v>21729</v>
      </c>
      <c r="B9475" s="33" t="s">
        <v>21730</v>
      </c>
      <c r="C9475" s="33" t="s">
        <v>1090</v>
      </c>
      <c r="D9475" s="33" t="s">
        <v>17</v>
      </c>
      <c r="E9475" s="33" t="s">
        <v>67</v>
      </c>
      <c r="F9475" s="33" t="s">
        <v>68</v>
      </c>
      <c r="G9475" s="33" t="s">
        <v>106</v>
      </c>
      <c r="H9475" s="35">
        <v>1</v>
      </c>
      <c r="I9475" s="33" t="s">
        <v>21</v>
      </c>
      <c r="J9475" s="42">
        <v>44726</v>
      </c>
      <c r="K9475" s="33" t="s">
        <v>22</v>
      </c>
    </row>
    <row r="9476" spans="1:11">
      <c r="A9476" s="30" t="s">
        <v>21731</v>
      </c>
      <c r="B9476" s="30" t="s">
        <v>21732</v>
      </c>
      <c r="C9476" s="30" t="s">
        <v>1130</v>
      </c>
      <c r="D9476" s="30" t="s">
        <v>17</v>
      </c>
      <c r="E9476" s="30" t="s">
        <v>31</v>
      </c>
      <c r="F9476" s="30" t="s">
        <v>32</v>
      </c>
      <c r="G9476" s="30" t="s">
        <v>69</v>
      </c>
      <c r="H9476" s="32">
        <v>150</v>
      </c>
      <c r="I9476" s="30" t="s">
        <v>51</v>
      </c>
      <c r="J9476" s="41">
        <v>44896</v>
      </c>
      <c r="K9476" s="30" t="s">
        <v>22</v>
      </c>
    </row>
    <row r="9477" spans="1:11">
      <c r="A9477" s="33" t="s">
        <v>21733</v>
      </c>
      <c r="B9477" s="33" t="s">
        <v>21734</v>
      </c>
      <c r="C9477" s="33" t="s">
        <v>4527</v>
      </c>
      <c r="D9477" s="33" t="s">
        <v>17</v>
      </c>
      <c r="E9477" s="33" t="s">
        <v>26</v>
      </c>
      <c r="F9477" s="33" t="s">
        <v>27</v>
      </c>
      <c r="G9477" s="33" t="s">
        <v>20</v>
      </c>
      <c r="H9477" s="35">
        <v>14</v>
      </c>
      <c r="I9477" s="33" t="s">
        <v>21</v>
      </c>
      <c r="J9477" s="42">
        <v>44664</v>
      </c>
      <c r="K9477" s="33" t="s">
        <v>22</v>
      </c>
    </row>
    <row r="9478" spans="1:11">
      <c r="A9478" s="30" t="s">
        <v>21735</v>
      </c>
      <c r="B9478" s="30" t="s">
        <v>21736</v>
      </c>
      <c r="C9478" s="30" t="s">
        <v>5725</v>
      </c>
      <c r="D9478" s="30" t="s">
        <v>17</v>
      </c>
      <c r="E9478" s="30" t="s">
        <v>67</v>
      </c>
      <c r="F9478" s="30" t="s">
        <v>68</v>
      </c>
      <c r="G9478" s="30" t="s">
        <v>158</v>
      </c>
      <c r="H9478" s="32">
        <v>97</v>
      </c>
      <c r="I9478" s="30" t="s">
        <v>21</v>
      </c>
      <c r="J9478" s="41">
        <v>44840</v>
      </c>
      <c r="K9478" s="30" t="s">
        <v>22</v>
      </c>
    </row>
    <row r="9479" spans="1:11">
      <c r="A9479" s="33" t="s">
        <v>21737</v>
      </c>
      <c r="B9479" s="33" t="s">
        <v>21738</v>
      </c>
      <c r="C9479" s="33" t="s">
        <v>136</v>
      </c>
      <c r="D9479" s="33" t="s">
        <v>17</v>
      </c>
      <c r="E9479" s="33" t="s">
        <v>26</v>
      </c>
      <c r="F9479" s="33" t="s">
        <v>27</v>
      </c>
      <c r="G9479" s="33" t="s">
        <v>20</v>
      </c>
      <c r="H9479" s="35">
        <v>36</v>
      </c>
      <c r="I9479" s="33" t="s">
        <v>21</v>
      </c>
      <c r="J9479" s="42">
        <v>44818</v>
      </c>
      <c r="K9479" s="33" t="s">
        <v>22</v>
      </c>
    </row>
    <row r="9480" spans="1:11">
      <c r="A9480" s="30" t="s">
        <v>21739</v>
      </c>
      <c r="B9480" s="30" t="s">
        <v>21740</v>
      </c>
      <c r="C9480" s="30" t="s">
        <v>8164</v>
      </c>
      <c r="D9480" s="30" t="s">
        <v>17</v>
      </c>
      <c r="E9480" s="30" t="s">
        <v>31</v>
      </c>
      <c r="F9480" s="30" t="s">
        <v>32</v>
      </c>
      <c r="G9480" s="30" t="s">
        <v>20</v>
      </c>
      <c r="H9480" s="32">
        <v>197</v>
      </c>
      <c r="I9480" s="30" t="s">
        <v>21</v>
      </c>
      <c r="J9480" s="41">
        <v>44741</v>
      </c>
      <c r="K9480" s="30" t="s">
        <v>22</v>
      </c>
    </row>
    <row r="9481" spans="1:11">
      <c r="A9481" s="33" t="s">
        <v>21741</v>
      </c>
      <c r="B9481" s="33" t="s">
        <v>21742</v>
      </c>
      <c r="C9481" s="33" t="s">
        <v>21743</v>
      </c>
      <c r="D9481" s="33" t="s">
        <v>17</v>
      </c>
      <c r="E9481" s="33" t="s">
        <v>18</v>
      </c>
      <c r="F9481" s="33" t="s">
        <v>19</v>
      </c>
      <c r="G9481" s="33" t="s">
        <v>140</v>
      </c>
      <c r="H9481" s="35">
        <v>4</v>
      </c>
      <c r="I9481" s="33" t="s">
        <v>51</v>
      </c>
      <c r="J9481" s="42">
        <v>44770</v>
      </c>
      <c r="K9481" s="33" t="s">
        <v>22</v>
      </c>
    </row>
    <row r="9482" spans="1:11">
      <c r="A9482" s="30" t="s">
        <v>21744</v>
      </c>
      <c r="B9482" s="30" t="s">
        <v>21745</v>
      </c>
      <c r="C9482" s="30" t="s">
        <v>14483</v>
      </c>
      <c r="D9482" s="30" t="s">
        <v>17</v>
      </c>
      <c r="E9482" s="30" t="s">
        <v>31</v>
      </c>
      <c r="F9482" s="30" t="s">
        <v>32</v>
      </c>
      <c r="G9482" s="30" t="s">
        <v>20</v>
      </c>
      <c r="H9482" s="32">
        <v>51</v>
      </c>
      <c r="I9482" s="30" t="s">
        <v>21</v>
      </c>
      <c r="J9482" s="41">
        <v>44567</v>
      </c>
      <c r="K9482" s="30" t="s">
        <v>22</v>
      </c>
    </row>
    <row r="9483" spans="1:11">
      <c r="A9483" s="33" t="s">
        <v>21746</v>
      </c>
      <c r="B9483" s="33" t="s">
        <v>21747</v>
      </c>
      <c r="C9483" s="33" t="s">
        <v>21232</v>
      </c>
      <c r="D9483" s="33" t="s">
        <v>17</v>
      </c>
      <c r="E9483" s="33" t="s">
        <v>31</v>
      </c>
      <c r="F9483" s="33" t="s">
        <v>32</v>
      </c>
      <c r="G9483" s="33" t="s">
        <v>20</v>
      </c>
      <c r="H9483" s="35">
        <v>207</v>
      </c>
      <c r="I9483" s="33" t="s">
        <v>21</v>
      </c>
      <c r="J9483" s="42">
        <v>44908</v>
      </c>
      <c r="K9483" s="33" t="s">
        <v>22</v>
      </c>
    </row>
    <row r="9484" spans="1:11">
      <c r="A9484" s="30" t="s">
        <v>21748</v>
      </c>
      <c r="B9484" s="30" t="s">
        <v>21749</v>
      </c>
      <c r="C9484" s="30" t="s">
        <v>3459</v>
      </c>
      <c r="D9484" s="30" t="s">
        <v>17</v>
      </c>
      <c r="E9484" s="30" t="s">
        <v>26</v>
      </c>
      <c r="F9484" s="30" t="s">
        <v>27</v>
      </c>
      <c r="G9484" s="30" t="s">
        <v>20</v>
      </c>
      <c r="H9484" s="32">
        <v>43</v>
      </c>
      <c r="I9484" s="30" t="s">
        <v>21</v>
      </c>
      <c r="J9484" s="41">
        <v>44662</v>
      </c>
      <c r="K9484" s="30" t="s">
        <v>22</v>
      </c>
    </row>
    <row r="9485" spans="1:11">
      <c r="A9485" s="33" t="s">
        <v>21750</v>
      </c>
      <c r="B9485" s="33" t="s">
        <v>21751</v>
      </c>
      <c r="C9485" s="33" t="s">
        <v>21752</v>
      </c>
      <c r="D9485" s="33" t="s">
        <v>17</v>
      </c>
      <c r="E9485" s="33" t="s">
        <v>26</v>
      </c>
      <c r="F9485" s="33" t="s">
        <v>27</v>
      </c>
      <c r="G9485" s="33" t="s">
        <v>20</v>
      </c>
      <c r="H9485" s="35">
        <v>29</v>
      </c>
      <c r="I9485" s="33" t="s">
        <v>21</v>
      </c>
      <c r="J9485" s="42">
        <v>44900</v>
      </c>
      <c r="K9485" s="33" t="s">
        <v>22</v>
      </c>
    </row>
    <row r="9486" spans="1:11">
      <c r="A9486" s="30" t="s">
        <v>21753</v>
      </c>
      <c r="B9486" s="30" t="s">
        <v>21754</v>
      </c>
      <c r="C9486" s="30" t="s">
        <v>136</v>
      </c>
      <c r="D9486" s="30" t="s">
        <v>17</v>
      </c>
      <c r="E9486" s="30" t="s">
        <v>31</v>
      </c>
      <c r="F9486" s="30" t="s">
        <v>32</v>
      </c>
      <c r="G9486" s="30" t="s">
        <v>20</v>
      </c>
      <c r="H9486" s="32">
        <v>155</v>
      </c>
      <c r="I9486" s="30" t="s">
        <v>21</v>
      </c>
      <c r="J9486" s="41">
        <v>44587</v>
      </c>
      <c r="K9486" s="30" t="s">
        <v>22</v>
      </c>
    </row>
    <row r="9487" spans="1:11">
      <c r="A9487" s="33" t="s">
        <v>21755</v>
      </c>
      <c r="B9487" s="33" t="s">
        <v>21756</v>
      </c>
      <c r="C9487" s="33" t="s">
        <v>14825</v>
      </c>
      <c r="D9487" s="33" t="s">
        <v>17</v>
      </c>
      <c r="E9487" s="33" t="s">
        <v>67</v>
      </c>
      <c r="F9487" s="33" t="s">
        <v>68</v>
      </c>
      <c r="G9487" s="33" t="s">
        <v>50</v>
      </c>
      <c r="H9487" s="35">
        <v>88</v>
      </c>
      <c r="I9487" s="33" t="s">
        <v>51</v>
      </c>
      <c r="J9487" s="42">
        <v>44635</v>
      </c>
      <c r="K9487" s="33" t="s">
        <v>22</v>
      </c>
    </row>
    <row r="9488" spans="1:11">
      <c r="A9488" s="30" t="s">
        <v>21757</v>
      </c>
      <c r="B9488" s="30" t="s">
        <v>21758</v>
      </c>
      <c r="C9488" s="30" t="s">
        <v>969</v>
      </c>
      <c r="D9488" s="30" t="s">
        <v>17</v>
      </c>
      <c r="E9488" s="30" t="s">
        <v>212</v>
      </c>
      <c r="F9488" s="30" t="s">
        <v>213</v>
      </c>
      <c r="G9488" s="30" t="s">
        <v>20</v>
      </c>
      <c r="H9488" s="32">
        <v>463</v>
      </c>
      <c r="I9488" s="30" t="s">
        <v>21</v>
      </c>
      <c r="J9488" s="41">
        <v>44848</v>
      </c>
      <c r="K9488" s="30" t="s">
        <v>22</v>
      </c>
    </row>
    <row r="9489" spans="1:11">
      <c r="A9489" s="33" t="s">
        <v>21759</v>
      </c>
      <c r="B9489" s="33" t="s">
        <v>21760</v>
      </c>
      <c r="C9489" s="33" t="s">
        <v>96</v>
      </c>
      <c r="D9489" s="33" t="s">
        <v>17</v>
      </c>
      <c r="E9489" s="33" t="s">
        <v>18</v>
      </c>
      <c r="F9489" s="33" t="s">
        <v>19</v>
      </c>
      <c r="G9489" s="33" t="s">
        <v>20</v>
      </c>
      <c r="H9489" s="35">
        <v>200</v>
      </c>
      <c r="I9489" s="33" t="s">
        <v>21</v>
      </c>
      <c r="J9489" s="42">
        <v>44758</v>
      </c>
      <c r="K9489" s="33" t="s">
        <v>22</v>
      </c>
    </row>
    <row r="9490" spans="1:11">
      <c r="A9490" s="30" t="s">
        <v>21761</v>
      </c>
      <c r="B9490" s="30" t="s">
        <v>21762</v>
      </c>
      <c r="C9490" s="30" t="s">
        <v>1383</v>
      </c>
      <c r="D9490" s="30" t="s">
        <v>17</v>
      </c>
      <c r="E9490" s="30" t="s">
        <v>26</v>
      </c>
      <c r="F9490" s="30" t="s">
        <v>27</v>
      </c>
      <c r="G9490" s="30" t="s">
        <v>140</v>
      </c>
      <c r="H9490" s="32">
        <v>200</v>
      </c>
      <c r="I9490" s="30" t="s">
        <v>51</v>
      </c>
      <c r="J9490" s="41">
        <v>44729</v>
      </c>
      <c r="K9490" s="30" t="s">
        <v>22</v>
      </c>
    </row>
    <row r="9491" spans="1:11">
      <c r="A9491" s="33" t="s">
        <v>21763</v>
      </c>
      <c r="B9491" s="33" t="s">
        <v>21764</v>
      </c>
      <c r="C9491" s="33" t="s">
        <v>16448</v>
      </c>
      <c r="D9491" s="33" t="s">
        <v>17</v>
      </c>
      <c r="E9491" s="33" t="s">
        <v>67</v>
      </c>
      <c r="F9491" s="33" t="s">
        <v>68</v>
      </c>
      <c r="G9491" s="33" t="s">
        <v>20</v>
      </c>
      <c r="H9491" s="35">
        <v>10</v>
      </c>
      <c r="I9491" s="33" t="s">
        <v>21</v>
      </c>
      <c r="J9491" s="42">
        <v>44662</v>
      </c>
      <c r="K9491" s="33" t="s">
        <v>22</v>
      </c>
    </row>
    <row r="9492" spans="1:11">
      <c r="A9492" s="30" t="s">
        <v>21765</v>
      </c>
      <c r="B9492" s="30" t="s">
        <v>21766</v>
      </c>
      <c r="C9492" s="30" t="s">
        <v>14049</v>
      </c>
      <c r="D9492" s="30" t="s">
        <v>17</v>
      </c>
      <c r="E9492" s="30" t="s">
        <v>18</v>
      </c>
      <c r="F9492" s="30" t="s">
        <v>19</v>
      </c>
      <c r="G9492" s="30" t="s">
        <v>158</v>
      </c>
      <c r="H9492" s="32">
        <v>288</v>
      </c>
      <c r="I9492" s="30" t="s">
        <v>21</v>
      </c>
      <c r="J9492" s="41">
        <v>44831</v>
      </c>
      <c r="K9492" s="30" t="s">
        <v>22</v>
      </c>
    </row>
    <row r="9493" spans="1:11">
      <c r="A9493" s="33" t="s">
        <v>21767</v>
      </c>
      <c r="B9493" s="33" t="s">
        <v>21768</v>
      </c>
      <c r="C9493" s="33" t="s">
        <v>2354</v>
      </c>
      <c r="D9493" s="33" t="s">
        <v>17</v>
      </c>
      <c r="E9493" s="33" t="s">
        <v>18</v>
      </c>
      <c r="F9493" s="33" t="s">
        <v>19</v>
      </c>
      <c r="G9493" s="33" t="s">
        <v>20</v>
      </c>
      <c r="H9493" s="35">
        <v>145</v>
      </c>
      <c r="I9493" s="33" t="s">
        <v>21</v>
      </c>
      <c r="J9493" s="42">
        <v>44606</v>
      </c>
      <c r="K9493" s="33" t="s">
        <v>22</v>
      </c>
    </row>
    <row r="9494" spans="1:11">
      <c r="A9494" s="30" t="s">
        <v>21769</v>
      </c>
      <c r="B9494" s="30" t="s">
        <v>21770</v>
      </c>
      <c r="C9494" s="30" t="s">
        <v>21771</v>
      </c>
      <c r="D9494" s="30" t="s">
        <v>17</v>
      </c>
      <c r="E9494" s="30" t="s">
        <v>26</v>
      </c>
      <c r="F9494" s="30" t="s">
        <v>27</v>
      </c>
      <c r="G9494" s="30" t="s">
        <v>50</v>
      </c>
      <c r="H9494" s="32">
        <v>48</v>
      </c>
      <c r="I9494" s="30" t="s">
        <v>51</v>
      </c>
      <c r="J9494" s="41">
        <v>44881</v>
      </c>
      <c r="K9494" s="30" t="s">
        <v>22</v>
      </c>
    </row>
    <row r="9495" spans="1:11">
      <c r="A9495" s="33" t="s">
        <v>21772</v>
      </c>
      <c r="B9495" s="33" t="s">
        <v>21773</v>
      </c>
      <c r="C9495" s="33" t="s">
        <v>75</v>
      </c>
      <c r="D9495" s="33" t="s">
        <v>17</v>
      </c>
      <c r="E9495" s="33" t="s">
        <v>26</v>
      </c>
      <c r="F9495" s="33" t="s">
        <v>27</v>
      </c>
      <c r="G9495" s="33" t="s">
        <v>20</v>
      </c>
      <c r="H9495" s="35">
        <v>70</v>
      </c>
      <c r="I9495" s="33" t="s">
        <v>21</v>
      </c>
      <c r="J9495" s="42">
        <v>44904</v>
      </c>
      <c r="K9495" s="33" t="s">
        <v>22</v>
      </c>
    </row>
    <row r="9496" spans="1:11">
      <c r="A9496" s="30" t="s">
        <v>21774</v>
      </c>
      <c r="B9496" s="30" t="s">
        <v>21775</v>
      </c>
      <c r="C9496" s="30" t="s">
        <v>6351</v>
      </c>
      <c r="D9496" s="30" t="s">
        <v>17</v>
      </c>
      <c r="E9496" s="30" t="s">
        <v>26</v>
      </c>
      <c r="F9496" s="30" t="s">
        <v>27</v>
      </c>
      <c r="G9496" s="30" t="s">
        <v>20</v>
      </c>
      <c r="H9496" s="32">
        <v>48</v>
      </c>
      <c r="I9496" s="30" t="s">
        <v>21</v>
      </c>
      <c r="J9496" s="41">
        <v>44684</v>
      </c>
      <c r="K9496" s="30" t="s">
        <v>22</v>
      </c>
    </row>
    <row r="9497" spans="1:11">
      <c r="A9497" s="33" t="s">
        <v>21776</v>
      </c>
      <c r="B9497" s="33" t="s">
        <v>21777</v>
      </c>
      <c r="C9497" s="33" t="s">
        <v>7749</v>
      </c>
      <c r="D9497" s="33" t="s">
        <v>17</v>
      </c>
      <c r="E9497" s="33" t="s">
        <v>31</v>
      </c>
      <c r="F9497" s="33" t="s">
        <v>32</v>
      </c>
      <c r="G9497" s="33" t="s">
        <v>50</v>
      </c>
      <c r="H9497" s="35">
        <v>96</v>
      </c>
      <c r="I9497" s="33" t="s">
        <v>51</v>
      </c>
      <c r="J9497" s="42">
        <v>44563</v>
      </c>
      <c r="K9497" s="33" t="s">
        <v>22</v>
      </c>
    </row>
    <row r="9498" spans="1:11">
      <c r="A9498" s="30" t="s">
        <v>21778</v>
      </c>
      <c r="B9498" s="30" t="s">
        <v>21779</v>
      </c>
      <c r="C9498" s="30" t="s">
        <v>216</v>
      </c>
      <c r="D9498" s="30" t="s">
        <v>17</v>
      </c>
      <c r="E9498" s="30" t="s">
        <v>26</v>
      </c>
      <c r="F9498" s="30" t="s">
        <v>27</v>
      </c>
      <c r="G9498" s="30" t="s">
        <v>106</v>
      </c>
      <c r="H9498" s="32">
        <v>5</v>
      </c>
      <c r="I9498" s="30" t="s">
        <v>21</v>
      </c>
      <c r="J9498" s="41">
        <v>44609</v>
      </c>
      <c r="K9498" s="30" t="s">
        <v>22</v>
      </c>
    </row>
    <row r="9499" spans="1:11">
      <c r="A9499" s="33" t="s">
        <v>21780</v>
      </c>
      <c r="B9499" s="33" t="s">
        <v>21781</v>
      </c>
      <c r="C9499" s="33" t="s">
        <v>1604</v>
      </c>
      <c r="D9499" s="33" t="s">
        <v>17</v>
      </c>
      <c r="E9499" s="33" t="s">
        <v>67</v>
      </c>
      <c r="F9499" s="33" t="s">
        <v>68</v>
      </c>
      <c r="G9499" s="33" t="s">
        <v>140</v>
      </c>
      <c r="H9499" s="35">
        <v>100</v>
      </c>
      <c r="I9499" s="33" t="s">
        <v>51</v>
      </c>
      <c r="J9499" s="42">
        <v>44883</v>
      </c>
      <c r="K9499" s="33" t="s">
        <v>22</v>
      </c>
    </row>
    <row r="9500" spans="1:11">
      <c r="A9500" s="30" t="s">
        <v>21782</v>
      </c>
      <c r="B9500" s="30" t="s">
        <v>21783</v>
      </c>
      <c r="C9500" s="30" t="s">
        <v>925</v>
      </c>
      <c r="D9500" s="30" t="s">
        <v>17</v>
      </c>
      <c r="E9500" s="30" t="s">
        <v>26</v>
      </c>
      <c r="F9500" s="30" t="s">
        <v>27</v>
      </c>
      <c r="G9500" s="30" t="s">
        <v>106</v>
      </c>
      <c r="H9500" s="32">
        <v>18</v>
      </c>
      <c r="I9500" s="30" t="s">
        <v>21</v>
      </c>
      <c r="J9500" s="41">
        <v>44792</v>
      </c>
      <c r="K9500" s="30" t="s">
        <v>22</v>
      </c>
    </row>
    <row r="9501" spans="1:11">
      <c r="A9501" s="33" t="s">
        <v>21784</v>
      </c>
      <c r="B9501" s="33" t="s">
        <v>21785</v>
      </c>
      <c r="C9501" s="33" t="s">
        <v>96</v>
      </c>
      <c r="D9501" s="33" t="s">
        <v>17</v>
      </c>
      <c r="E9501" s="33" t="s">
        <v>31</v>
      </c>
      <c r="F9501" s="33" t="s">
        <v>32</v>
      </c>
      <c r="G9501" s="33" t="s">
        <v>140</v>
      </c>
      <c r="H9501" s="35">
        <v>91</v>
      </c>
      <c r="I9501" s="33" t="s">
        <v>51</v>
      </c>
      <c r="J9501" s="42">
        <v>44594</v>
      </c>
      <c r="K9501" s="33" t="s">
        <v>22</v>
      </c>
    </row>
    <row r="9502" spans="1:11">
      <c r="A9502" s="30" t="s">
        <v>21786</v>
      </c>
      <c r="B9502" s="30" t="s">
        <v>21787</v>
      </c>
      <c r="C9502" s="30" t="s">
        <v>21788</v>
      </c>
      <c r="D9502" s="30" t="s">
        <v>17</v>
      </c>
      <c r="E9502" s="30" t="s">
        <v>18</v>
      </c>
      <c r="F9502" s="30" t="s">
        <v>19</v>
      </c>
      <c r="G9502" s="30" t="s">
        <v>20</v>
      </c>
      <c r="H9502" s="32">
        <v>249</v>
      </c>
      <c r="I9502" s="30" t="s">
        <v>21</v>
      </c>
      <c r="J9502" s="41">
        <v>44726</v>
      </c>
      <c r="K9502" s="30" t="s">
        <v>22</v>
      </c>
    </row>
    <row r="9503" spans="1:11">
      <c r="A9503" s="33" t="s">
        <v>21789</v>
      </c>
      <c r="B9503" s="33" t="s">
        <v>21790</v>
      </c>
      <c r="C9503" s="33" t="s">
        <v>21791</v>
      </c>
      <c r="D9503" s="33" t="s">
        <v>17</v>
      </c>
      <c r="E9503" s="33" t="s">
        <v>67</v>
      </c>
      <c r="F9503" s="33" t="s">
        <v>68</v>
      </c>
      <c r="G9503" s="33" t="s">
        <v>50</v>
      </c>
      <c r="H9503" s="35">
        <v>84</v>
      </c>
      <c r="I9503" s="33" t="s">
        <v>51</v>
      </c>
      <c r="J9503" s="42">
        <v>44925</v>
      </c>
      <c r="K9503" s="33" t="s">
        <v>22</v>
      </c>
    </row>
    <row r="9504" spans="1:11">
      <c r="A9504" s="30" t="s">
        <v>21792</v>
      </c>
      <c r="B9504" s="30" t="s">
        <v>21793</v>
      </c>
      <c r="C9504" s="30" t="s">
        <v>10699</v>
      </c>
      <c r="D9504" s="30" t="s">
        <v>17</v>
      </c>
      <c r="E9504" s="30" t="s">
        <v>26</v>
      </c>
      <c r="F9504" s="30" t="s">
        <v>27</v>
      </c>
      <c r="G9504" s="30" t="s">
        <v>20</v>
      </c>
      <c r="H9504" s="32">
        <v>50</v>
      </c>
      <c r="I9504" s="30" t="s">
        <v>21</v>
      </c>
      <c r="J9504" s="41">
        <v>44884</v>
      </c>
      <c r="K9504" s="30" t="s">
        <v>22</v>
      </c>
    </row>
    <row r="9505" spans="1:11">
      <c r="A9505" s="33" t="s">
        <v>21794</v>
      </c>
      <c r="B9505" s="33" t="s">
        <v>21795</v>
      </c>
      <c r="C9505" s="33" t="s">
        <v>11375</v>
      </c>
      <c r="D9505" s="33" t="s">
        <v>17</v>
      </c>
      <c r="E9505" s="33" t="s">
        <v>31</v>
      </c>
      <c r="F9505" s="33" t="s">
        <v>32</v>
      </c>
      <c r="G9505" s="33" t="s">
        <v>20</v>
      </c>
      <c r="H9505" s="35">
        <v>26</v>
      </c>
      <c r="I9505" s="33" t="s">
        <v>21</v>
      </c>
      <c r="J9505" s="42">
        <v>44805</v>
      </c>
      <c r="K9505" s="33" t="s">
        <v>22</v>
      </c>
    </row>
    <row r="9506" spans="1:11">
      <c r="A9506" s="30" t="s">
        <v>21796</v>
      </c>
      <c r="B9506" s="30" t="s">
        <v>21797</v>
      </c>
      <c r="C9506" s="30" t="s">
        <v>4133</v>
      </c>
      <c r="D9506" s="30" t="s">
        <v>17</v>
      </c>
      <c r="E9506" s="30" t="s">
        <v>26</v>
      </c>
      <c r="F9506" s="30" t="s">
        <v>27</v>
      </c>
      <c r="G9506" s="30" t="s">
        <v>106</v>
      </c>
      <c r="H9506" s="32">
        <v>83</v>
      </c>
      <c r="I9506" s="30" t="s">
        <v>21</v>
      </c>
      <c r="J9506" s="41">
        <v>44697</v>
      </c>
      <c r="K9506" s="30" t="s">
        <v>22</v>
      </c>
    </row>
    <row r="9507" spans="1:11">
      <c r="A9507" s="33" t="s">
        <v>21798</v>
      </c>
      <c r="B9507" s="33" t="s">
        <v>21799</v>
      </c>
      <c r="C9507" s="33" t="s">
        <v>190</v>
      </c>
      <c r="D9507" s="33" t="s">
        <v>17</v>
      </c>
      <c r="E9507" s="33" t="s">
        <v>31</v>
      </c>
      <c r="F9507" s="33" t="s">
        <v>32</v>
      </c>
      <c r="G9507" s="33" t="s">
        <v>20</v>
      </c>
      <c r="H9507" s="35">
        <v>381</v>
      </c>
      <c r="I9507" s="33" t="s">
        <v>21</v>
      </c>
      <c r="J9507" s="42">
        <v>44879</v>
      </c>
      <c r="K9507" s="33" t="s">
        <v>22</v>
      </c>
    </row>
    <row r="9508" spans="1:11">
      <c r="A9508" s="30" t="s">
        <v>21800</v>
      </c>
      <c r="B9508" s="30" t="s">
        <v>21801</v>
      </c>
      <c r="C9508" s="30" t="s">
        <v>21802</v>
      </c>
      <c r="D9508" s="30" t="s">
        <v>17</v>
      </c>
      <c r="E9508" s="30" t="s">
        <v>26</v>
      </c>
      <c r="F9508" s="30" t="s">
        <v>27</v>
      </c>
      <c r="G9508" s="30" t="s">
        <v>20</v>
      </c>
      <c r="H9508" s="32">
        <v>24</v>
      </c>
      <c r="I9508" s="30" t="s">
        <v>21</v>
      </c>
      <c r="J9508" s="41">
        <v>44763</v>
      </c>
      <c r="K9508" s="30" t="s">
        <v>22</v>
      </c>
    </row>
    <row r="9509" spans="1:11">
      <c r="A9509" s="33" t="s">
        <v>21803</v>
      </c>
      <c r="B9509" s="33" t="s">
        <v>21804</v>
      </c>
      <c r="C9509" s="33" t="s">
        <v>190</v>
      </c>
      <c r="D9509" s="33" t="s">
        <v>17</v>
      </c>
      <c r="E9509" s="33" t="s">
        <v>18</v>
      </c>
      <c r="F9509" s="33" t="s">
        <v>19</v>
      </c>
      <c r="G9509" s="33" t="s">
        <v>2613</v>
      </c>
      <c r="H9509" s="35">
        <v>214</v>
      </c>
      <c r="I9509" s="33" t="s">
        <v>51</v>
      </c>
      <c r="J9509" s="42">
        <v>44670</v>
      </c>
      <c r="K9509" s="33" t="s">
        <v>22</v>
      </c>
    </row>
    <row r="9510" spans="1:11">
      <c r="A9510" s="30" t="s">
        <v>21805</v>
      </c>
      <c r="B9510" s="30" t="s">
        <v>21806</v>
      </c>
      <c r="C9510" s="30" t="s">
        <v>5636</v>
      </c>
      <c r="D9510" s="30" t="s">
        <v>17</v>
      </c>
      <c r="E9510" s="30" t="s">
        <v>31</v>
      </c>
      <c r="F9510" s="30" t="s">
        <v>32</v>
      </c>
      <c r="G9510" s="30" t="s">
        <v>20</v>
      </c>
      <c r="H9510" s="32">
        <v>46</v>
      </c>
      <c r="I9510" s="30" t="s">
        <v>21</v>
      </c>
      <c r="J9510" s="41">
        <v>44893</v>
      </c>
      <c r="K9510" s="30" t="s">
        <v>22</v>
      </c>
    </row>
    <row r="9511" spans="1:11">
      <c r="A9511" s="33" t="s">
        <v>21807</v>
      </c>
      <c r="B9511" s="33" t="s">
        <v>21808</v>
      </c>
      <c r="C9511" s="33" t="s">
        <v>93</v>
      </c>
      <c r="D9511" s="33" t="s">
        <v>17</v>
      </c>
      <c r="E9511" s="33" t="s">
        <v>18</v>
      </c>
      <c r="F9511" s="33" t="s">
        <v>19</v>
      </c>
      <c r="G9511" s="33" t="s">
        <v>20</v>
      </c>
      <c r="H9511" s="35">
        <v>159</v>
      </c>
      <c r="I9511" s="33" t="s">
        <v>21</v>
      </c>
      <c r="J9511" s="42">
        <v>44683</v>
      </c>
      <c r="K9511" s="33" t="s">
        <v>22</v>
      </c>
    </row>
    <row r="9512" spans="1:11">
      <c r="A9512" s="30" t="s">
        <v>21809</v>
      </c>
      <c r="B9512" s="30" t="s">
        <v>21810</v>
      </c>
      <c r="C9512" s="30" t="s">
        <v>21811</v>
      </c>
      <c r="D9512" s="30" t="s">
        <v>17</v>
      </c>
      <c r="E9512" s="30" t="s">
        <v>26</v>
      </c>
      <c r="F9512" s="30" t="s">
        <v>27</v>
      </c>
      <c r="G9512" s="30" t="s">
        <v>50</v>
      </c>
      <c r="H9512" s="32">
        <v>40</v>
      </c>
      <c r="I9512" s="30" t="s">
        <v>51</v>
      </c>
      <c r="J9512" s="41">
        <v>44774</v>
      </c>
      <c r="K9512" s="30" t="s">
        <v>22</v>
      </c>
    </row>
    <row r="9513" spans="1:11">
      <c r="A9513" s="33" t="s">
        <v>21812</v>
      </c>
      <c r="B9513" s="33" t="s">
        <v>21813</v>
      </c>
      <c r="C9513" s="33" t="s">
        <v>21814</v>
      </c>
      <c r="D9513" s="33" t="s">
        <v>17</v>
      </c>
      <c r="E9513" s="33" t="s">
        <v>31</v>
      </c>
      <c r="F9513" s="33" t="s">
        <v>32</v>
      </c>
      <c r="G9513" s="33" t="s">
        <v>20</v>
      </c>
      <c r="H9513" s="35">
        <v>132</v>
      </c>
      <c r="I9513" s="33" t="s">
        <v>21</v>
      </c>
      <c r="J9513" s="42">
        <v>44644</v>
      </c>
      <c r="K9513" s="33" t="s">
        <v>22</v>
      </c>
    </row>
    <row r="9514" spans="1:11">
      <c r="A9514" s="30" t="s">
        <v>21815</v>
      </c>
      <c r="B9514" s="30" t="s">
        <v>21816</v>
      </c>
      <c r="C9514" s="30" t="s">
        <v>18998</v>
      </c>
      <c r="D9514" s="30" t="s">
        <v>17</v>
      </c>
      <c r="E9514" s="30" t="s">
        <v>18</v>
      </c>
      <c r="F9514" s="30" t="s">
        <v>19</v>
      </c>
      <c r="G9514" s="30" t="s">
        <v>158</v>
      </c>
      <c r="H9514" s="32">
        <v>688</v>
      </c>
      <c r="I9514" s="30" t="s">
        <v>21</v>
      </c>
      <c r="J9514" s="41">
        <v>44846</v>
      </c>
      <c r="K9514" s="30" t="s">
        <v>22</v>
      </c>
    </row>
    <row r="9515" spans="1:11">
      <c r="A9515" s="33" t="s">
        <v>21817</v>
      </c>
      <c r="B9515" s="33" t="s">
        <v>21818</v>
      </c>
      <c r="C9515" s="33" t="s">
        <v>3407</v>
      </c>
      <c r="D9515" s="33" t="s">
        <v>17</v>
      </c>
      <c r="E9515" s="33" t="s">
        <v>31</v>
      </c>
      <c r="F9515" s="33" t="s">
        <v>32</v>
      </c>
      <c r="G9515" s="33" t="s">
        <v>20</v>
      </c>
      <c r="H9515" s="35">
        <v>42</v>
      </c>
      <c r="I9515" s="33" t="s">
        <v>21</v>
      </c>
      <c r="J9515" s="42">
        <v>44785</v>
      </c>
      <c r="K9515" s="33" t="s">
        <v>22</v>
      </c>
    </row>
    <row r="9516" spans="1:11">
      <c r="A9516" s="30" t="s">
        <v>21819</v>
      </c>
      <c r="B9516" s="30" t="s">
        <v>21820</v>
      </c>
      <c r="C9516" s="30" t="s">
        <v>2228</v>
      </c>
      <c r="D9516" s="30" t="s">
        <v>17</v>
      </c>
      <c r="E9516" s="30" t="s">
        <v>31</v>
      </c>
      <c r="F9516" s="30" t="s">
        <v>32</v>
      </c>
      <c r="G9516" s="30" t="s">
        <v>158</v>
      </c>
      <c r="H9516" s="32">
        <v>74</v>
      </c>
      <c r="I9516" s="30" t="s">
        <v>21</v>
      </c>
      <c r="J9516" s="41">
        <v>44873</v>
      </c>
      <c r="K9516" s="30" t="s">
        <v>22</v>
      </c>
    </row>
    <row r="9517" spans="1:11">
      <c r="A9517" s="33" t="s">
        <v>21821</v>
      </c>
      <c r="B9517" s="33" t="s">
        <v>21822</v>
      </c>
      <c r="C9517" s="33" t="s">
        <v>7301</v>
      </c>
      <c r="D9517" s="33" t="s">
        <v>17</v>
      </c>
      <c r="E9517" s="33" t="s">
        <v>26</v>
      </c>
      <c r="F9517" s="33" t="s">
        <v>27</v>
      </c>
      <c r="G9517" s="33" t="s">
        <v>140</v>
      </c>
      <c r="H9517" s="35">
        <v>98</v>
      </c>
      <c r="I9517" s="33" t="s">
        <v>51</v>
      </c>
      <c r="J9517" s="42">
        <v>44719</v>
      </c>
      <c r="K9517" s="33" t="s">
        <v>22</v>
      </c>
    </row>
    <row r="9518" spans="1:11">
      <c r="A9518" s="30" t="s">
        <v>21823</v>
      </c>
      <c r="B9518" s="30" t="s">
        <v>21824</v>
      </c>
      <c r="C9518" s="30" t="s">
        <v>787</v>
      </c>
      <c r="D9518" s="30" t="s">
        <v>17</v>
      </c>
      <c r="E9518" s="30" t="s">
        <v>18</v>
      </c>
      <c r="F9518" s="30" t="s">
        <v>19</v>
      </c>
      <c r="G9518" s="30" t="s">
        <v>50</v>
      </c>
      <c r="H9518" s="32">
        <v>150</v>
      </c>
      <c r="I9518" s="30" t="s">
        <v>51</v>
      </c>
      <c r="J9518" s="41">
        <v>44867</v>
      </c>
      <c r="K9518" s="30" t="s">
        <v>22</v>
      </c>
    </row>
    <row r="9519" spans="1:11">
      <c r="A9519" s="33" t="s">
        <v>21825</v>
      </c>
      <c r="B9519" s="33" t="s">
        <v>21826</v>
      </c>
      <c r="C9519" s="33" t="s">
        <v>2196</v>
      </c>
      <c r="D9519" s="33" t="s">
        <v>17</v>
      </c>
      <c r="E9519" s="33" t="s">
        <v>45</v>
      </c>
      <c r="F9519" s="33" t="s">
        <v>46</v>
      </c>
      <c r="G9519" s="33" t="s">
        <v>158</v>
      </c>
      <c r="H9519" s="35">
        <v>111</v>
      </c>
      <c r="I9519" s="33" t="s">
        <v>21</v>
      </c>
      <c r="J9519" s="42">
        <v>44834</v>
      </c>
      <c r="K9519" s="33" t="s">
        <v>22</v>
      </c>
    </row>
    <row r="9520" spans="1:11">
      <c r="A9520" s="30" t="s">
        <v>21827</v>
      </c>
      <c r="B9520" s="30" t="s">
        <v>21828</v>
      </c>
      <c r="C9520" s="30" t="s">
        <v>5053</v>
      </c>
      <c r="D9520" s="30" t="s">
        <v>17</v>
      </c>
      <c r="E9520" s="30" t="s">
        <v>31</v>
      </c>
      <c r="F9520" s="30" t="s">
        <v>32</v>
      </c>
      <c r="G9520" s="30" t="s">
        <v>106</v>
      </c>
      <c r="H9520" s="32">
        <v>90</v>
      </c>
      <c r="I9520" s="30" t="s">
        <v>21</v>
      </c>
      <c r="J9520" s="41">
        <v>44693</v>
      </c>
      <c r="K9520" s="30" t="s">
        <v>22</v>
      </c>
    </row>
    <row r="9521" spans="1:11">
      <c r="A9521" s="33" t="s">
        <v>21829</v>
      </c>
      <c r="B9521" s="33" t="s">
        <v>21830</v>
      </c>
      <c r="C9521" s="33" t="s">
        <v>21831</v>
      </c>
      <c r="D9521" s="33" t="s">
        <v>17</v>
      </c>
      <c r="E9521" s="33" t="s">
        <v>67</v>
      </c>
      <c r="F9521" s="33" t="s">
        <v>68</v>
      </c>
      <c r="G9521" s="33" t="s">
        <v>106</v>
      </c>
      <c r="H9521" s="35">
        <v>5</v>
      </c>
      <c r="I9521" s="33" t="s">
        <v>21</v>
      </c>
      <c r="J9521" s="42">
        <v>44902</v>
      </c>
      <c r="K9521" s="33" t="s">
        <v>22</v>
      </c>
    </row>
    <row r="9522" spans="1:11">
      <c r="A9522" s="30" t="s">
        <v>21832</v>
      </c>
      <c r="B9522" s="30" t="s">
        <v>21833</v>
      </c>
      <c r="C9522" s="30" t="s">
        <v>969</v>
      </c>
      <c r="D9522" s="30" t="s">
        <v>17</v>
      </c>
      <c r="E9522" s="30" t="s">
        <v>26</v>
      </c>
      <c r="F9522" s="30" t="s">
        <v>27</v>
      </c>
      <c r="G9522" s="30" t="s">
        <v>20</v>
      </c>
      <c r="H9522" s="32">
        <v>24</v>
      </c>
      <c r="I9522" s="30" t="s">
        <v>21</v>
      </c>
      <c r="J9522" s="41">
        <v>44621</v>
      </c>
      <c r="K9522" s="30" t="s">
        <v>22</v>
      </c>
    </row>
    <row r="9523" spans="1:11">
      <c r="A9523" s="33" t="s">
        <v>21834</v>
      </c>
      <c r="B9523" s="33" t="s">
        <v>21835</v>
      </c>
      <c r="C9523" s="33" t="s">
        <v>13124</v>
      </c>
      <c r="D9523" s="33" t="s">
        <v>17</v>
      </c>
      <c r="E9523" s="33" t="s">
        <v>26</v>
      </c>
      <c r="F9523" s="33" t="s">
        <v>27</v>
      </c>
      <c r="G9523" s="33" t="s">
        <v>20</v>
      </c>
      <c r="H9523" s="35">
        <v>8</v>
      </c>
      <c r="I9523" s="33" t="s">
        <v>21</v>
      </c>
      <c r="J9523" s="42">
        <v>44641</v>
      </c>
      <c r="K9523" s="33" t="s">
        <v>22</v>
      </c>
    </row>
    <row r="9524" spans="1:11">
      <c r="A9524" s="30" t="s">
        <v>21836</v>
      </c>
      <c r="B9524" s="30" t="s">
        <v>21837</v>
      </c>
      <c r="C9524" s="30" t="s">
        <v>178</v>
      </c>
      <c r="D9524" s="30" t="s">
        <v>17</v>
      </c>
      <c r="E9524" s="30" t="s">
        <v>18</v>
      </c>
      <c r="F9524" s="30" t="s">
        <v>19</v>
      </c>
      <c r="G9524" s="30" t="s">
        <v>158</v>
      </c>
      <c r="H9524" s="32">
        <v>152</v>
      </c>
      <c r="I9524" s="30" t="s">
        <v>51</v>
      </c>
      <c r="J9524" s="41">
        <v>44803</v>
      </c>
      <c r="K9524" s="30" t="s">
        <v>22</v>
      </c>
    </row>
    <row r="9525" spans="1:11">
      <c r="A9525" s="33" t="s">
        <v>21838</v>
      </c>
      <c r="B9525" s="33" t="s">
        <v>21839</v>
      </c>
      <c r="C9525" s="33" t="s">
        <v>19435</v>
      </c>
      <c r="D9525" s="33" t="s">
        <v>17</v>
      </c>
      <c r="E9525" s="33" t="s">
        <v>67</v>
      </c>
      <c r="F9525" s="33" t="s">
        <v>68</v>
      </c>
      <c r="G9525" s="33" t="s">
        <v>140</v>
      </c>
      <c r="H9525" s="35">
        <v>80</v>
      </c>
      <c r="I9525" s="33" t="s">
        <v>51</v>
      </c>
      <c r="J9525" s="42">
        <v>44798</v>
      </c>
      <c r="K9525" s="33" t="s">
        <v>22</v>
      </c>
    </row>
    <row r="9526" spans="1:11">
      <c r="A9526" s="30" t="s">
        <v>21840</v>
      </c>
      <c r="B9526" s="30" t="s">
        <v>21841</v>
      </c>
      <c r="C9526" s="30" t="s">
        <v>78</v>
      </c>
      <c r="D9526" s="30" t="s">
        <v>17</v>
      </c>
      <c r="E9526" s="30" t="s">
        <v>26</v>
      </c>
      <c r="F9526" s="30" t="s">
        <v>27</v>
      </c>
      <c r="G9526" s="30" t="s">
        <v>20</v>
      </c>
      <c r="H9526" s="32">
        <v>41</v>
      </c>
      <c r="I9526" s="30" t="s">
        <v>21</v>
      </c>
      <c r="J9526" s="41">
        <v>44880</v>
      </c>
      <c r="K9526" s="30" t="s">
        <v>22</v>
      </c>
    </row>
    <row r="9527" spans="1:11">
      <c r="A9527" s="33" t="s">
        <v>21842</v>
      </c>
      <c r="B9527" s="33" t="s">
        <v>21843</v>
      </c>
      <c r="C9527" s="33" t="s">
        <v>136</v>
      </c>
      <c r="D9527" s="33" t="s">
        <v>17</v>
      </c>
      <c r="E9527" s="33" t="s">
        <v>26</v>
      </c>
      <c r="F9527" s="33" t="s">
        <v>27</v>
      </c>
      <c r="G9527" s="33" t="s">
        <v>20</v>
      </c>
      <c r="H9527" s="35">
        <v>168</v>
      </c>
      <c r="I9527" s="33" t="s">
        <v>21</v>
      </c>
      <c r="J9527" s="42">
        <v>44876</v>
      </c>
      <c r="K9527" s="33" t="s">
        <v>22</v>
      </c>
    </row>
    <row r="9528" spans="1:11">
      <c r="A9528" s="30" t="s">
        <v>21844</v>
      </c>
      <c r="B9528" s="30" t="s">
        <v>21845</v>
      </c>
      <c r="C9528" s="30" t="s">
        <v>8653</v>
      </c>
      <c r="D9528" s="30" t="s">
        <v>17</v>
      </c>
      <c r="E9528" s="30" t="s">
        <v>67</v>
      </c>
      <c r="F9528" s="30" t="s">
        <v>68</v>
      </c>
      <c r="G9528" s="30" t="s">
        <v>140</v>
      </c>
      <c r="H9528" s="32">
        <v>71</v>
      </c>
      <c r="I9528" s="30" t="s">
        <v>51</v>
      </c>
      <c r="J9528" s="41">
        <v>44650</v>
      </c>
      <c r="K9528" s="30" t="s">
        <v>22</v>
      </c>
    </row>
    <row r="9529" spans="1:11">
      <c r="A9529" s="33" t="s">
        <v>21846</v>
      </c>
      <c r="B9529" s="33" t="s">
        <v>21847</v>
      </c>
      <c r="C9529" s="33" t="s">
        <v>96</v>
      </c>
      <c r="D9529" s="33" t="s">
        <v>17</v>
      </c>
      <c r="E9529" s="33" t="s">
        <v>26</v>
      </c>
      <c r="F9529" s="33" t="s">
        <v>27</v>
      </c>
      <c r="G9529" s="33" t="s">
        <v>20</v>
      </c>
      <c r="H9529" s="35">
        <v>7</v>
      </c>
      <c r="I9529" s="33" t="s">
        <v>21</v>
      </c>
      <c r="J9529" s="42">
        <v>44867</v>
      </c>
      <c r="K9529" s="33" t="s">
        <v>22</v>
      </c>
    </row>
    <row r="9530" spans="1:11">
      <c r="A9530" s="30" t="s">
        <v>21848</v>
      </c>
      <c r="B9530" s="30" t="s">
        <v>21849</v>
      </c>
      <c r="C9530" s="30" t="s">
        <v>7072</v>
      </c>
      <c r="D9530" s="30" t="s">
        <v>17</v>
      </c>
      <c r="E9530" s="30" t="s">
        <v>26</v>
      </c>
      <c r="F9530" s="30" t="s">
        <v>27</v>
      </c>
      <c r="G9530" s="30" t="s">
        <v>20</v>
      </c>
      <c r="H9530" s="32">
        <v>6</v>
      </c>
      <c r="I9530" s="30" t="s">
        <v>21</v>
      </c>
      <c r="J9530" s="41">
        <v>44803</v>
      </c>
      <c r="K9530" s="30" t="s">
        <v>22</v>
      </c>
    </row>
    <row r="9531" spans="1:11">
      <c r="A9531" s="33" t="s">
        <v>21850</v>
      </c>
      <c r="B9531" s="33" t="s">
        <v>21851</v>
      </c>
      <c r="C9531" s="33" t="s">
        <v>178</v>
      </c>
      <c r="D9531" s="33" t="s">
        <v>17</v>
      </c>
      <c r="E9531" s="33" t="s">
        <v>18</v>
      </c>
      <c r="F9531" s="33" t="s">
        <v>19</v>
      </c>
      <c r="G9531" s="33" t="s">
        <v>158</v>
      </c>
      <c r="H9531" s="35">
        <v>922</v>
      </c>
      <c r="I9531" s="33" t="s">
        <v>51</v>
      </c>
      <c r="J9531" s="42">
        <v>44760</v>
      </c>
      <c r="K9531" s="33" t="s">
        <v>22</v>
      </c>
    </row>
    <row r="9532" spans="1:11">
      <c r="A9532" s="30" t="s">
        <v>21852</v>
      </c>
      <c r="B9532" s="30" t="s">
        <v>21853</v>
      </c>
      <c r="C9532" s="30" t="s">
        <v>11366</v>
      </c>
      <c r="D9532" s="30" t="s">
        <v>17</v>
      </c>
      <c r="E9532" s="30" t="s">
        <v>18</v>
      </c>
      <c r="F9532" s="30" t="s">
        <v>19</v>
      </c>
      <c r="G9532" s="30" t="s">
        <v>158</v>
      </c>
      <c r="H9532" s="32">
        <v>25</v>
      </c>
      <c r="I9532" s="30" t="s">
        <v>21</v>
      </c>
      <c r="J9532" s="41">
        <v>44916</v>
      </c>
      <c r="K9532" s="30" t="s">
        <v>22</v>
      </c>
    </row>
    <row r="9533" spans="1:11">
      <c r="A9533" s="33" t="s">
        <v>21854</v>
      </c>
      <c r="B9533" s="33" t="s">
        <v>21855</v>
      </c>
      <c r="C9533" s="33" t="s">
        <v>21856</v>
      </c>
      <c r="D9533" s="33" t="s">
        <v>17</v>
      </c>
      <c r="E9533" s="33" t="s">
        <v>26</v>
      </c>
      <c r="F9533" s="33" t="s">
        <v>27</v>
      </c>
      <c r="G9533" s="33" t="s">
        <v>20</v>
      </c>
      <c r="H9533" s="35">
        <v>26</v>
      </c>
      <c r="I9533" s="33" t="s">
        <v>21</v>
      </c>
      <c r="J9533" s="42">
        <v>44742</v>
      </c>
      <c r="K9533" s="33" t="s">
        <v>22</v>
      </c>
    </row>
    <row r="9534" spans="1:11">
      <c r="A9534" s="30" t="s">
        <v>21857</v>
      </c>
      <c r="B9534" s="30" t="s">
        <v>21858</v>
      </c>
      <c r="C9534" s="30" t="s">
        <v>15755</v>
      </c>
      <c r="D9534" s="30" t="s">
        <v>17</v>
      </c>
      <c r="E9534" s="30" t="s">
        <v>31</v>
      </c>
      <c r="F9534" s="30" t="s">
        <v>32</v>
      </c>
      <c r="G9534" s="30" t="s">
        <v>20</v>
      </c>
      <c r="H9534" s="32">
        <v>186</v>
      </c>
      <c r="I9534" s="30" t="s">
        <v>21</v>
      </c>
      <c r="J9534" s="41">
        <v>44670</v>
      </c>
      <c r="K9534" s="30" t="s">
        <v>22</v>
      </c>
    </row>
    <row r="9535" spans="1:11">
      <c r="A9535" s="33" t="s">
        <v>21859</v>
      </c>
      <c r="B9535" s="33" t="s">
        <v>21860</v>
      </c>
      <c r="C9535" s="33" t="s">
        <v>21861</v>
      </c>
      <c r="D9535" s="33" t="s">
        <v>17</v>
      </c>
      <c r="E9535" s="33" t="s">
        <v>31</v>
      </c>
      <c r="F9535" s="33" t="s">
        <v>32</v>
      </c>
      <c r="G9535" s="33" t="s">
        <v>20</v>
      </c>
      <c r="H9535" s="35">
        <v>154</v>
      </c>
      <c r="I9535" s="33" t="s">
        <v>21</v>
      </c>
      <c r="J9535" s="42">
        <v>44650</v>
      </c>
      <c r="K9535" s="33" t="s">
        <v>22</v>
      </c>
    </row>
    <row r="9536" spans="1:11">
      <c r="A9536" s="30" t="s">
        <v>21862</v>
      </c>
      <c r="B9536" s="30" t="s">
        <v>21863</v>
      </c>
      <c r="C9536" s="30" t="s">
        <v>21864</v>
      </c>
      <c r="D9536" s="30" t="s">
        <v>17</v>
      </c>
      <c r="E9536" s="30" t="s">
        <v>26</v>
      </c>
      <c r="F9536" s="30" t="s">
        <v>27</v>
      </c>
      <c r="G9536" s="30" t="s">
        <v>50</v>
      </c>
      <c r="H9536" s="32">
        <v>24</v>
      </c>
      <c r="I9536" s="30" t="s">
        <v>51</v>
      </c>
      <c r="J9536" s="41">
        <v>44880</v>
      </c>
      <c r="K9536" s="30" t="s">
        <v>22</v>
      </c>
    </row>
    <row r="9537" spans="1:11">
      <c r="A9537" s="33" t="s">
        <v>21865</v>
      </c>
      <c r="B9537" s="33" t="s">
        <v>21866</v>
      </c>
      <c r="C9537" s="33" t="s">
        <v>21867</v>
      </c>
      <c r="D9537" s="33" t="s">
        <v>17</v>
      </c>
      <c r="E9537" s="33" t="s">
        <v>67</v>
      </c>
      <c r="F9537" s="33" t="s">
        <v>68</v>
      </c>
      <c r="G9537" s="33" t="s">
        <v>20</v>
      </c>
      <c r="H9537" s="35">
        <v>6</v>
      </c>
      <c r="I9537" s="33" t="s">
        <v>21</v>
      </c>
      <c r="J9537" s="42">
        <v>44860</v>
      </c>
      <c r="K9537" s="33" t="s">
        <v>22</v>
      </c>
    </row>
    <row r="9538" spans="1:11">
      <c r="A9538" s="30" t="s">
        <v>21868</v>
      </c>
      <c r="B9538" s="30" t="s">
        <v>21869</v>
      </c>
      <c r="C9538" s="30" t="s">
        <v>109</v>
      </c>
      <c r="D9538" s="30" t="s">
        <v>17</v>
      </c>
      <c r="E9538" s="30" t="s">
        <v>31</v>
      </c>
      <c r="F9538" s="30" t="s">
        <v>32</v>
      </c>
      <c r="G9538" s="30" t="s">
        <v>106</v>
      </c>
      <c r="H9538" s="32">
        <v>39</v>
      </c>
      <c r="I9538" s="30" t="s">
        <v>21</v>
      </c>
      <c r="J9538" s="41">
        <v>44637</v>
      </c>
      <c r="K9538" s="30" t="s">
        <v>22</v>
      </c>
    </row>
    <row r="9539" spans="1:11">
      <c r="A9539" s="33" t="s">
        <v>21870</v>
      </c>
      <c r="B9539" s="33" t="s">
        <v>21871</v>
      </c>
      <c r="C9539" s="33" t="s">
        <v>1125</v>
      </c>
      <c r="D9539" s="33" t="s">
        <v>17</v>
      </c>
      <c r="E9539" s="33" t="s">
        <v>26</v>
      </c>
      <c r="F9539" s="33" t="s">
        <v>27</v>
      </c>
      <c r="G9539" s="33" t="s">
        <v>50</v>
      </c>
      <c r="H9539" s="35">
        <v>112</v>
      </c>
      <c r="I9539" s="33" t="s">
        <v>51</v>
      </c>
      <c r="J9539" s="42">
        <v>44627</v>
      </c>
      <c r="K9539" s="33" t="s">
        <v>22</v>
      </c>
    </row>
    <row r="9540" spans="1:11">
      <c r="A9540" s="30" t="s">
        <v>21872</v>
      </c>
      <c r="B9540" s="30" t="s">
        <v>21873</v>
      </c>
      <c r="C9540" s="30" t="s">
        <v>567</v>
      </c>
      <c r="D9540" s="30" t="s">
        <v>17</v>
      </c>
      <c r="E9540" s="30" t="s">
        <v>67</v>
      </c>
      <c r="F9540" s="30" t="s">
        <v>68</v>
      </c>
      <c r="G9540" s="30" t="s">
        <v>20</v>
      </c>
      <c r="H9540" s="32">
        <v>301</v>
      </c>
      <c r="I9540" s="30" t="s">
        <v>21</v>
      </c>
      <c r="J9540" s="41">
        <v>44697</v>
      </c>
      <c r="K9540" s="30" t="s">
        <v>22</v>
      </c>
    </row>
    <row r="9541" spans="1:11">
      <c r="A9541" s="33" t="s">
        <v>21874</v>
      </c>
      <c r="B9541" s="33" t="s">
        <v>21875</v>
      </c>
      <c r="C9541" s="33" t="s">
        <v>21876</v>
      </c>
      <c r="D9541" s="33" t="s">
        <v>17</v>
      </c>
      <c r="E9541" s="33" t="s">
        <v>26</v>
      </c>
      <c r="F9541" s="33" t="s">
        <v>27</v>
      </c>
      <c r="G9541" s="33" t="s">
        <v>140</v>
      </c>
      <c r="H9541" s="35">
        <v>65</v>
      </c>
      <c r="I9541" s="33" t="s">
        <v>51</v>
      </c>
      <c r="J9541" s="42">
        <v>44753</v>
      </c>
      <c r="K9541" s="33" t="s">
        <v>22</v>
      </c>
    </row>
    <row r="9542" spans="1:11">
      <c r="A9542" s="30" t="s">
        <v>21877</v>
      </c>
      <c r="B9542" s="30" t="s">
        <v>21878</v>
      </c>
      <c r="C9542" s="30" t="s">
        <v>1270</v>
      </c>
      <c r="D9542" s="30" t="s">
        <v>17</v>
      </c>
      <c r="E9542" s="30" t="s">
        <v>26</v>
      </c>
      <c r="F9542" s="30" t="s">
        <v>27</v>
      </c>
      <c r="G9542" s="30" t="s">
        <v>50</v>
      </c>
      <c r="H9542" s="32">
        <v>174</v>
      </c>
      <c r="I9542" s="30" t="s">
        <v>51</v>
      </c>
      <c r="J9542" s="41">
        <v>44566</v>
      </c>
      <c r="K9542" s="30" t="s">
        <v>22</v>
      </c>
    </row>
    <row r="9543" spans="1:11">
      <c r="A9543" s="33" t="s">
        <v>21879</v>
      </c>
      <c r="B9543" s="33" t="s">
        <v>21880</v>
      </c>
      <c r="C9543" s="33" t="s">
        <v>21881</v>
      </c>
      <c r="D9543" s="33" t="s">
        <v>17</v>
      </c>
      <c r="E9543" s="33" t="s">
        <v>330</v>
      </c>
      <c r="F9543" s="33" t="s">
        <v>331</v>
      </c>
      <c r="G9543" s="33" t="s">
        <v>50</v>
      </c>
      <c r="H9543" s="35">
        <v>40</v>
      </c>
      <c r="I9543" s="33" t="s">
        <v>51</v>
      </c>
      <c r="J9543" s="42">
        <v>44743</v>
      </c>
      <c r="K9543" s="33" t="s">
        <v>22</v>
      </c>
    </row>
    <row r="9544" spans="1:11">
      <c r="A9544" s="30" t="s">
        <v>21882</v>
      </c>
      <c r="B9544" s="30" t="s">
        <v>21883</v>
      </c>
      <c r="C9544" s="30" t="s">
        <v>118</v>
      </c>
      <c r="D9544" s="30" t="s">
        <v>17</v>
      </c>
      <c r="E9544" s="30" t="s">
        <v>26</v>
      </c>
      <c r="F9544" s="30" t="s">
        <v>27</v>
      </c>
      <c r="G9544" s="30" t="s">
        <v>20</v>
      </c>
      <c r="H9544" s="32">
        <v>24</v>
      </c>
      <c r="I9544" s="30" t="s">
        <v>21</v>
      </c>
      <c r="J9544" s="41">
        <v>44845</v>
      </c>
      <c r="K9544" s="30" t="s">
        <v>22</v>
      </c>
    </row>
    <row r="9545" spans="1:11">
      <c r="A9545" s="33" t="s">
        <v>21884</v>
      </c>
      <c r="B9545" s="33" t="s">
        <v>21885</v>
      </c>
      <c r="C9545" s="33" t="s">
        <v>60</v>
      </c>
      <c r="D9545" s="33" t="s">
        <v>17</v>
      </c>
      <c r="E9545" s="33" t="s">
        <v>26</v>
      </c>
      <c r="F9545" s="33" t="s">
        <v>27</v>
      </c>
      <c r="G9545" s="33" t="s">
        <v>20</v>
      </c>
      <c r="H9545" s="35">
        <v>100</v>
      </c>
      <c r="I9545" s="33" t="s">
        <v>21</v>
      </c>
      <c r="J9545" s="42">
        <v>44659</v>
      </c>
      <c r="K9545" s="33" t="s">
        <v>22</v>
      </c>
    </row>
    <row r="9546" spans="1:11">
      <c r="A9546" s="30" t="s">
        <v>21886</v>
      </c>
      <c r="B9546" s="30" t="s">
        <v>21887</v>
      </c>
      <c r="C9546" s="30" t="s">
        <v>475</v>
      </c>
      <c r="D9546" s="30" t="s">
        <v>17</v>
      </c>
      <c r="E9546" s="30" t="s">
        <v>67</v>
      </c>
      <c r="F9546" s="30" t="s">
        <v>68</v>
      </c>
      <c r="G9546" s="30" t="s">
        <v>106</v>
      </c>
      <c r="H9546" s="32">
        <v>40</v>
      </c>
      <c r="I9546" s="30" t="s">
        <v>21</v>
      </c>
      <c r="J9546" s="41">
        <v>44896</v>
      </c>
      <c r="K9546" s="30" t="s">
        <v>22</v>
      </c>
    </row>
    <row r="9547" spans="1:11">
      <c r="A9547" s="33" t="s">
        <v>21888</v>
      </c>
      <c r="B9547" s="33" t="s">
        <v>21889</v>
      </c>
      <c r="C9547" s="33" t="s">
        <v>4348</v>
      </c>
      <c r="D9547" s="33" t="s">
        <v>17</v>
      </c>
      <c r="E9547" s="33" t="s">
        <v>45</v>
      </c>
      <c r="F9547" s="33" t="s">
        <v>46</v>
      </c>
      <c r="G9547" s="33" t="s">
        <v>158</v>
      </c>
      <c r="H9547" s="35">
        <v>14</v>
      </c>
      <c r="I9547" s="33" t="s">
        <v>21</v>
      </c>
      <c r="J9547" s="42">
        <v>44567</v>
      </c>
      <c r="K9547" s="33" t="s">
        <v>22</v>
      </c>
    </row>
    <row r="9548" spans="1:11">
      <c r="A9548" s="30" t="s">
        <v>21890</v>
      </c>
      <c r="B9548" s="30" t="s">
        <v>21891</v>
      </c>
      <c r="C9548" s="30" t="s">
        <v>1498</v>
      </c>
      <c r="D9548" s="30" t="s">
        <v>17</v>
      </c>
      <c r="E9548" s="30" t="s">
        <v>26</v>
      </c>
      <c r="F9548" s="30" t="s">
        <v>27</v>
      </c>
      <c r="G9548" s="30" t="s">
        <v>50</v>
      </c>
      <c r="H9548" s="32">
        <v>268</v>
      </c>
      <c r="I9548" s="30" t="s">
        <v>51</v>
      </c>
      <c r="J9548" s="41">
        <v>44880</v>
      </c>
      <c r="K9548" s="30" t="s">
        <v>22</v>
      </c>
    </row>
    <row r="9549" spans="1:11">
      <c r="A9549" s="33" t="s">
        <v>21892</v>
      </c>
      <c r="B9549" s="33" t="s">
        <v>21893</v>
      </c>
      <c r="C9549" s="33" t="s">
        <v>8115</v>
      </c>
      <c r="D9549" s="33" t="s">
        <v>17</v>
      </c>
      <c r="E9549" s="33" t="s">
        <v>31</v>
      </c>
      <c r="F9549" s="33" t="s">
        <v>32</v>
      </c>
      <c r="G9549" s="33" t="s">
        <v>20</v>
      </c>
      <c r="H9549" s="35">
        <v>90</v>
      </c>
      <c r="I9549" s="33" t="s">
        <v>21</v>
      </c>
      <c r="J9549" s="42">
        <v>44778</v>
      </c>
      <c r="K9549" s="33" t="s">
        <v>22</v>
      </c>
    </row>
    <row r="9550" spans="1:11">
      <c r="A9550" s="30" t="s">
        <v>21894</v>
      </c>
      <c r="B9550" s="30" t="s">
        <v>21895</v>
      </c>
      <c r="C9550" s="30" t="s">
        <v>429</v>
      </c>
      <c r="D9550" s="30" t="s">
        <v>17</v>
      </c>
      <c r="E9550" s="30" t="s">
        <v>26</v>
      </c>
      <c r="F9550" s="30" t="s">
        <v>27</v>
      </c>
      <c r="G9550" s="30" t="s">
        <v>20</v>
      </c>
      <c r="H9550" s="32">
        <v>84</v>
      </c>
      <c r="I9550" s="30" t="s">
        <v>21</v>
      </c>
      <c r="J9550" s="41">
        <v>44767</v>
      </c>
      <c r="K9550" s="30" t="s">
        <v>22</v>
      </c>
    </row>
    <row r="9551" spans="1:11">
      <c r="A9551" s="33" t="s">
        <v>21896</v>
      </c>
      <c r="B9551" s="33" t="s">
        <v>21897</v>
      </c>
      <c r="C9551" s="33" t="s">
        <v>647</v>
      </c>
      <c r="D9551" s="33" t="s">
        <v>17</v>
      </c>
      <c r="E9551" s="33" t="s">
        <v>18</v>
      </c>
      <c r="F9551" s="33" t="s">
        <v>19</v>
      </c>
      <c r="G9551" s="33" t="s">
        <v>158</v>
      </c>
      <c r="H9551" s="35">
        <v>100</v>
      </c>
      <c r="I9551" s="33" t="s">
        <v>51</v>
      </c>
      <c r="J9551" s="42">
        <v>44653</v>
      </c>
      <c r="K9551" s="33" t="s">
        <v>22</v>
      </c>
    </row>
    <row r="9552" spans="1:11">
      <c r="A9552" s="30" t="s">
        <v>21898</v>
      </c>
      <c r="B9552" s="30" t="s">
        <v>21899</v>
      </c>
      <c r="C9552" s="30" t="s">
        <v>96</v>
      </c>
      <c r="D9552" s="30" t="s">
        <v>17</v>
      </c>
      <c r="E9552" s="30" t="s">
        <v>45</v>
      </c>
      <c r="F9552" s="30" t="s">
        <v>46</v>
      </c>
      <c r="G9552" s="30" t="s">
        <v>140</v>
      </c>
      <c r="H9552" s="32">
        <v>389</v>
      </c>
      <c r="I9552" s="30" t="s">
        <v>51</v>
      </c>
      <c r="J9552" s="41">
        <v>44826</v>
      </c>
      <c r="K9552" s="30" t="s">
        <v>22</v>
      </c>
    </row>
    <row r="9553" spans="1:11">
      <c r="A9553" s="33" t="s">
        <v>21900</v>
      </c>
      <c r="B9553" s="33" t="s">
        <v>21901</v>
      </c>
      <c r="C9553" s="33" t="s">
        <v>736</v>
      </c>
      <c r="D9553" s="33" t="s">
        <v>17</v>
      </c>
      <c r="E9553" s="33" t="s">
        <v>18</v>
      </c>
      <c r="F9553" s="33" t="s">
        <v>19</v>
      </c>
      <c r="G9553" s="33" t="s">
        <v>158</v>
      </c>
      <c r="H9553" s="35">
        <v>240</v>
      </c>
      <c r="I9553" s="33" t="s">
        <v>51</v>
      </c>
      <c r="J9553" s="42">
        <v>44739</v>
      </c>
      <c r="K9553" s="33" t="s">
        <v>22</v>
      </c>
    </row>
    <row r="9554" spans="1:11">
      <c r="A9554" s="30" t="s">
        <v>21902</v>
      </c>
      <c r="B9554" s="30" t="s">
        <v>21903</v>
      </c>
      <c r="C9554" s="30" t="s">
        <v>15221</v>
      </c>
      <c r="D9554" s="30" t="s">
        <v>17</v>
      </c>
      <c r="E9554" s="30" t="s">
        <v>26</v>
      </c>
      <c r="F9554" s="30" t="s">
        <v>27</v>
      </c>
      <c r="G9554" s="30" t="s">
        <v>140</v>
      </c>
      <c r="H9554" s="32">
        <v>121</v>
      </c>
      <c r="I9554" s="30" t="s">
        <v>51</v>
      </c>
      <c r="J9554" s="41">
        <v>44755</v>
      </c>
      <c r="K9554" s="30" t="s">
        <v>22</v>
      </c>
    </row>
    <row r="9555" spans="1:11">
      <c r="A9555" s="33" t="s">
        <v>21904</v>
      </c>
      <c r="B9555" s="33" t="s">
        <v>21905</v>
      </c>
      <c r="C9555" s="33" t="s">
        <v>379</v>
      </c>
      <c r="D9555" s="33" t="s">
        <v>17</v>
      </c>
      <c r="E9555" s="33" t="s">
        <v>18</v>
      </c>
      <c r="F9555" s="33" t="s">
        <v>19</v>
      </c>
      <c r="G9555" s="33" t="s">
        <v>158</v>
      </c>
      <c r="H9555" s="35">
        <v>900</v>
      </c>
      <c r="I9555" s="33" t="s">
        <v>51</v>
      </c>
      <c r="J9555" s="42">
        <v>44676</v>
      </c>
      <c r="K9555" s="33" t="s">
        <v>22</v>
      </c>
    </row>
    <row r="9556" spans="1:11">
      <c r="A9556" s="30" t="s">
        <v>21906</v>
      </c>
      <c r="B9556" s="30" t="s">
        <v>21907</v>
      </c>
      <c r="C9556" s="30" t="s">
        <v>379</v>
      </c>
      <c r="D9556" s="30" t="s">
        <v>17</v>
      </c>
      <c r="E9556" s="30" t="s">
        <v>31</v>
      </c>
      <c r="F9556" s="30" t="s">
        <v>32</v>
      </c>
      <c r="G9556" s="30" t="s">
        <v>7780</v>
      </c>
      <c r="H9556" s="32">
        <v>50</v>
      </c>
      <c r="I9556" s="30" t="s">
        <v>51</v>
      </c>
      <c r="J9556" s="41">
        <v>44757</v>
      </c>
      <c r="K9556" s="30" t="s">
        <v>22</v>
      </c>
    </row>
    <row r="9557" spans="1:11">
      <c r="A9557" s="33" t="s">
        <v>21908</v>
      </c>
      <c r="B9557" s="33" t="s">
        <v>21909</v>
      </c>
      <c r="C9557" s="33" t="s">
        <v>21261</v>
      </c>
      <c r="D9557" s="33" t="s">
        <v>17</v>
      </c>
      <c r="E9557" s="33" t="s">
        <v>67</v>
      </c>
      <c r="F9557" s="33" t="s">
        <v>68</v>
      </c>
      <c r="G9557" s="33" t="s">
        <v>50</v>
      </c>
      <c r="H9557" s="35">
        <v>30</v>
      </c>
      <c r="I9557" s="33" t="s">
        <v>51</v>
      </c>
      <c r="J9557" s="42">
        <v>44682</v>
      </c>
      <c r="K9557" s="33" t="s">
        <v>22</v>
      </c>
    </row>
    <row r="9558" spans="1:11">
      <c r="A9558" s="30" t="s">
        <v>21910</v>
      </c>
      <c r="B9558" s="30" t="s">
        <v>21911</v>
      </c>
      <c r="C9558" s="30" t="s">
        <v>647</v>
      </c>
      <c r="D9558" s="30" t="s">
        <v>17</v>
      </c>
      <c r="E9558" s="30" t="s">
        <v>26</v>
      </c>
      <c r="F9558" s="30" t="s">
        <v>27</v>
      </c>
      <c r="G9558" s="30" t="s">
        <v>158</v>
      </c>
      <c r="H9558" s="32">
        <v>12</v>
      </c>
      <c r="I9558" s="30" t="s">
        <v>51</v>
      </c>
      <c r="J9558" s="41">
        <v>44721</v>
      </c>
      <c r="K9558" s="30" t="s">
        <v>22</v>
      </c>
    </row>
    <row r="9559" spans="1:11">
      <c r="A9559" s="33" t="s">
        <v>21912</v>
      </c>
      <c r="B9559" s="33" t="s">
        <v>21913</v>
      </c>
      <c r="C9559" s="33" t="s">
        <v>5395</v>
      </c>
      <c r="D9559" s="33" t="s">
        <v>17</v>
      </c>
      <c r="E9559" s="33" t="s">
        <v>67</v>
      </c>
      <c r="F9559" s="33" t="s">
        <v>68</v>
      </c>
      <c r="G9559" s="33" t="s">
        <v>50</v>
      </c>
      <c r="H9559" s="35">
        <v>74</v>
      </c>
      <c r="I9559" s="33" t="s">
        <v>51</v>
      </c>
      <c r="J9559" s="42">
        <v>44621</v>
      </c>
      <c r="K9559" s="33" t="s">
        <v>22</v>
      </c>
    </row>
    <row r="9560" spans="1:11">
      <c r="A9560" s="30" t="s">
        <v>21914</v>
      </c>
      <c r="B9560" s="30" t="s">
        <v>21915</v>
      </c>
      <c r="C9560" s="30" t="s">
        <v>136</v>
      </c>
      <c r="D9560" s="30" t="s">
        <v>17</v>
      </c>
      <c r="E9560" s="30" t="s">
        <v>31</v>
      </c>
      <c r="F9560" s="30" t="s">
        <v>32</v>
      </c>
      <c r="G9560" s="30" t="s">
        <v>20</v>
      </c>
      <c r="H9560" s="32">
        <v>507</v>
      </c>
      <c r="I9560" s="30" t="s">
        <v>21</v>
      </c>
      <c r="J9560" s="41">
        <v>44881</v>
      </c>
      <c r="K9560" s="30" t="s">
        <v>22</v>
      </c>
    </row>
    <row r="9561" spans="1:11">
      <c r="A9561" s="33" t="s">
        <v>21916</v>
      </c>
      <c r="B9561" s="33" t="s">
        <v>21917</v>
      </c>
      <c r="C9561" s="33" t="s">
        <v>1561</v>
      </c>
      <c r="D9561" s="33" t="s">
        <v>17</v>
      </c>
      <c r="E9561" s="33" t="s">
        <v>31</v>
      </c>
      <c r="F9561" s="33" t="s">
        <v>32</v>
      </c>
      <c r="G9561" s="33" t="s">
        <v>158</v>
      </c>
      <c r="H9561" s="35">
        <v>102</v>
      </c>
      <c r="I9561" s="33" t="s">
        <v>51</v>
      </c>
      <c r="J9561" s="42">
        <v>44834</v>
      </c>
      <c r="K9561" s="33" t="s">
        <v>22</v>
      </c>
    </row>
    <row r="9562" spans="1:11">
      <c r="A9562" s="30" t="s">
        <v>21918</v>
      </c>
      <c r="B9562" s="30" t="s">
        <v>21919</v>
      </c>
      <c r="C9562" s="30" t="s">
        <v>178</v>
      </c>
      <c r="D9562" s="30" t="s">
        <v>17</v>
      </c>
      <c r="E9562" s="30" t="s">
        <v>31</v>
      </c>
      <c r="F9562" s="30" t="s">
        <v>32</v>
      </c>
      <c r="G9562" s="30" t="s">
        <v>112</v>
      </c>
      <c r="H9562" s="32">
        <v>0</v>
      </c>
      <c r="I9562" s="30" t="s">
        <v>21</v>
      </c>
      <c r="J9562" s="41">
        <v>44734</v>
      </c>
      <c r="K9562" s="30" t="s">
        <v>22</v>
      </c>
    </row>
    <row r="9563" spans="1:11">
      <c r="A9563" s="33" t="s">
        <v>21920</v>
      </c>
      <c r="B9563" s="33" t="s">
        <v>21921</v>
      </c>
      <c r="C9563" s="33" t="s">
        <v>7759</v>
      </c>
      <c r="D9563" s="33" t="s">
        <v>17</v>
      </c>
      <c r="E9563" s="33" t="s">
        <v>31</v>
      </c>
      <c r="F9563" s="33" t="s">
        <v>32</v>
      </c>
      <c r="G9563" s="33" t="s">
        <v>106</v>
      </c>
      <c r="H9563" s="35">
        <v>16</v>
      </c>
      <c r="I9563" s="33" t="s">
        <v>21</v>
      </c>
      <c r="J9563" s="42">
        <v>44670</v>
      </c>
      <c r="K9563" s="33" t="s">
        <v>22</v>
      </c>
    </row>
    <row r="9564" spans="1:11">
      <c r="A9564" s="30" t="s">
        <v>21922</v>
      </c>
      <c r="B9564" s="30" t="s">
        <v>21923</v>
      </c>
      <c r="C9564" s="30" t="s">
        <v>21924</v>
      </c>
      <c r="D9564" s="30" t="s">
        <v>17</v>
      </c>
      <c r="E9564" s="30" t="s">
        <v>31</v>
      </c>
      <c r="F9564" s="30" t="s">
        <v>32</v>
      </c>
      <c r="G9564" s="30" t="s">
        <v>20</v>
      </c>
      <c r="H9564" s="32">
        <v>61</v>
      </c>
      <c r="I9564" s="30" t="s">
        <v>21</v>
      </c>
      <c r="J9564" s="41">
        <v>44623</v>
      </c>
      <c r="K9564" s="30" t="s">
        <v>22</v>
      </c>
    </row>
    <row r="9565" spans="1:11">
      <c r="A9565" s="33" t="s">
        <v>21925</v>
      </c>
      <c r="B9565" s="33" t="s">
        <v>21926</v>
      </c>
      <c r="C9565" s="33" t="s">
        <v>13882</v>
      </c>
      <c r="D9565" s="33" t="s">
        <v>17</v>
      </c>
      <c r="E9565" s="33" t="s">
        <v>26</v>
      </c>
      <c r="F9565" s="33" t="s">
        <v>27</v>
      </c>
      <c r="G9565" s="33" t="s">
        <v>50</v>
      </c>
      <c r="H9565" s="35">
        <v>30</v>
      </c>
      <c r="I9565" s="33" t="s">
        <v>51</v>
      </c>
      <c r="J9565" s="42">
        <v>44767</v>
      </c>
      <c r="K9565" s="33" t="s">
        <v>22</v>
      </c>
    </row>
    <row r="9566" spans="1:11">
      <c r="A9566" s="30" t="s">
        <v>21927</v>
      </c>
      <c r="B9566" s="30" t="s">
        <v>21928</v>
      </c>
      <c r="C9566" s="30" t="s">
        <v>1019</v>
      </c>
      <c r="D9566" s="30" t="s">
        <v>17</v>
      </c>
      <c r="E9566" s="30" t="s">
        <v>18</v>
      </c>
      <c r="F9566" s="30" t="s">
        <v>19</v>
      </c>
      <c r="G9566" s="30" t="s">
        <v>140</v>
      </c>
      <c r="H9566" s="32">
        <v>60</v>
      </c>
      <c r="I9566" s="30" t="s">
        <v>51</v>
      </c>
      <c r="J9566" s="41">
        <v>44907</v>
      </c>
      <c r="K9566" s="30" t="s">
        <v>22</v>
      </c>
    </row>
    <row r="9567" spans="1:11">
      <c r="A9567" s="33" t="s">
        <v>21929</v>
      </c>
      <c r="B9567" s="33" t="s">
        <v>21930</v>
      </c>
      <c r="C9567" s="33" t="s">
        <v>7911</v>
      </c>
      <c r="D9567" s="33" t="s">
        <v>17</v>
      </c>
      <c r="E9567" s="33" t="s">
        <v>26</v>
      </c>
      <c r="F9567" s="33" t="s">
        <v>27</v>
      </c>
      <c r="G9567" s="33" t="s">
        <v>20</v>
      </c>
      <c r="H9567" s="35">
        <v>40</v>
      </c>
      <c r="I9567" s="33" t="s">
        <v>21</v>
      </c>
      <c r="J9567" s="42">
        <v>44849</v>
      </c>
      <c r="K9567" s="33" t="s">
        <v>22</v>
      </c>
    </row>
    <row r="9568" spans="1:11">
      <c r="A9568" s="30" t="s">
        <v>21931</v>
      </c>
      <c r="B9568" s="30" t="s">
        <v>21932</v>
      </c>
      <c r="C9568" s="30" t="s">
        <v>9506</v>
      </c>
      <c r="D9568" s="30" t="s">
        <v>17</v>
      </c>
      <c r="E9568" s="30" t="s">
        <v>45</v>
      </c>
      <c r="F9568" s="30" t="s">
        <v>46</v>
      </c>
      <c r="G9568" s="30" t="s">
        <v>20</v>
      </c>
      <c r="H9568" s="32">
        <v>157</v>
      </c>
      <c r="I9568" s="30" t="s">
        <v>21</v>
      </c>
      <c r="J9568" s="41">
        <v>44769</v>
      </c>
      <c r="K9568" s="30" t="s">
        <v>22</v>
      </c>
    </row>
    <row r="9569" spans="1:11">
      <c r="A9569" s="33" t="s">
        <v>21933</v>
      </c>
      <c r="B9569" s="33" t="s">
        <v>21934</v>
      </c>
      <c r="C9569" s="33" t="s">
        <v>318</v>
      </c>
      <c r="D9569" s="33" t="s">
        <v>17</v>
      </c>
      <c r="E9569" s="33" t="s">
        <v>31</v>
      </c>
      <c r="F9569" s="33" t="s">
        <v>32</v>
      </c>
      <c r="G9569" s="33" t="s">
        <v>20</v>
      </c>
      <c r="H9569" s="35">
        <v>30</v>
      </c>
      <c r="I9569" s="33" t="s">
        <v>21</v>
      </c>
      <c r="J9569" s="42">
        <v>44678</v>
      </c>
      <c r="K9569" s="33" t="s">
        <v>22</v>
      </c>
    </row>
    <row r="9570" spans="1:11">
      <c r="A9570" s="30" t="s">
        <v>21935</v>
      </c>
      <c r="B9570" s="30" t="s">
        <v>21936</v>
      </c>
      <c r="C9570" s="30" t="s">
        <v>21937</v>
      </c>
      <c r="D9570" s="30" t="s">
        <v>17</v>
      </c>
      <c r="E9570" s="30" t="s">
        <v>31</v>
      </c>
      <c r="F9570" s="30" t="s">
        <v>32</v>
      </c>
      <c r="G9570" s="30" t="s">
        <v>106</v>
      </c>
      <c r="H9570" s="32">
        <v>6</v>
      </c>
      <c r="I9570" s="30" t="s">
        <v>21</v>
      </c>
      <c r="J9570" s="41">
        <v>44614</v>
      </c>
      <c r="K9570" s="30" t="s">
        <v>22</v>
      </c>
    </row>
    <row r="9571" spans="1:11">
      <c r="A9571" s="33" t="s">
        <v>21938</v>
      </c>
      <c r="B9571" s="33" t="s">
        <v>21939</v>
      </c>
      <c r="C9571" s="33" t="s">
        <v>570</v>
      </c>
      <c r="D9571" s="33" t="s">
        <v>17</v>
      </c>
      <c r="E9571" s="33" t="s">
        <v>31</v>
      </c>
      <c r="F9571" s="33" t="s">
        <v>32</v>
      </c>
      <c r="G9571" s="33" t="s">
        <v>50</v>
      </c>
      <c r="H9571" s="35">
        <v>360</v>
      </c>
      <c r="I9571" s="33" t="s">
        <v>51</v>
      </c>
      <c r="J9571" s="42">
        <v>44925</v>
      </c>
      <c r="K9571" s="33" t="s">
        <v>22</v>
      </c>
    </row>
    <row r="9572" spans="1:11">
      <c r="A9572" s="30" t="s">
        <v>21940</v>
      </c>
      <c r="B9572" s="30" t="s">
        <v>21941</v>
      </c>
      <c r="C9572" s="30" t="s">
        <v>78</v>
      </c>
      <c r="D9572" s="30" t="s">
        <v>17</v>
      </c>
      <c r="E9572" s="30" t="s">
        <v>18</v>
      </c>
      <c r="F9572" s="30" t="s">
        <v>19</v>
      </c>
      <c r="G9572" s="30" t="s">
        <v>50</v>
      </c>
      <c r="H9572" s="32">
        <v>108</v>
      </c>
      <c r="I9572" s="30" t="s">
        <v>51</v>
      </c>
      <c r="J9572" s="41">
        <v>44832</v>
      </c>
      <c r="K9572" s="30" t="s">
        <v>22</v>
      </c>
    </row>
    <row r="9573" spans="1:11">
      <c r="A9573" s="33" t="s">
        <v>21942</v>
      </c>
      <c r="B9573" s="33" t="s">
        <v>21943</v>
      </c>
      <c r="C9573" s="33" t="s">
        <v>78</v>
      </c>
      <c r="D9573" s="33" t="s">
        <v>17</v>
      </c>
      <c r="E9573" s="33" t="s">
        <v>26</v>
      </c>
      <c r="F9573" s="33" t="s">
        <v>27</v>
      </c>
      <c r="G9573" s="33" t="s">
        <v>20</v>
      </c>
      <c r="H9573" s="35">
        <v>28</v>
      </c>
      <c r="I9573" s="33" t="s">
        <v>21</v>
      </c>
      <c r="J9573" s="42">
        <v>44733</v>
      </c>
      <c r="K9573" s="33" t="s">
        <v>22</v>
      </c>
    </row>
    <row r="9574" spans="1:11">
      <c r="A9574" s="30" t="s">
        <v>21944</v>
      </c>
      <c r="B9574" s="30" t="s">
        <v>21945</v>
      </c>
      <c r="C9574" s="30" t="s">
        <v>1080</v>
      </c>
      <c r="D9574" s="30" t="s">
        <v>17</v>
      </c>
      <c r="E9574" s="30" t="s">
        <v>26</v>
      </c>
      <c r="F9574" s="30" t="s">
        <v>27</v>
      </c>
      <c r="G9574" s="30" t="s">
        <v>20</v>
      </c>
      <c r="H9574" s="32">
        <v>56</v>
      </c>
      <c r="I9574" s="30" t="s">
        <v>21</v>
      </c>
      <c r="J9574" s="41">
        <v>44688</v>
      </c>
      <c r="K9574" s="30" t="s">
        <v>22</v>
      </c>
    </row>
    <row r="9575" spans="1:11">
      <c r="A9575" s="33" t="s">
        <v>21946</v>
      </c>
      <c r="B9575" s="33" t="s">
        <v>21947</v>
      </c>
      <c r="C9575" s="33" t="s">
        <v>21337</v>
      </c>
      <c r="D9575" s="33" t="s">
        <v>17</v>
      </c>
      <c r="E9575" s="33" t="s">
        <v>26</v>
      </c>
      <c r="F9575" s="33" t="s">
        <v>27</v>
      </c>
      <c r="G9575" s="33" t="s">
        <v>106</v>
      </c>
      <c r="H9575" s="35">
        <v>39</v>
      </c>
      <c r="I9575" s="33" t="s">
        <v>21</v>
      </c>
      <c r="J9575" s="42">
        <v>44914</v>
      </c>
      <c r="K9575" s="33" t="s">
        <v>22</v>
      </c>
    </row>
    <row r="9576" spans="1:11">
      <c r="A9576" s="30" t="s">
        <v>21948</v>
      </c>
      <c r="B9576" s="30" t="s">
        <v>21949</v>
      </c>
      <c r="C9576" s="30" t="s">
        <v>3647</v>
      </c>
      <c r="D9576" s="30" t="s">
        <v>17</v>
      </c>
      <c r="E9576" s="30" t="s">
        <v>26</v>
      </c>
      <c r="F9576" s="30" t="s">
        <v>27</v>
      </c>
      <c r="G9576" s="30" t="s">
        <v>20</v>
      </c>
      <c r="H9576" s="32">
        <v>44</v>
      </c>
      <c r="I9576" s="30" t="s">
        <v>21</v>
      </c>
      <c r="J9576" s="41">
        <v>44771</v>
      </c>
      <c r="K9576" s="30" t="s">
        <v>22</v>
      </c>
    </row>
    <row r="9577" spans="1:11">
      <c r="A9577" s="33" t="s">
        <v>21950</v>
      </c>
      <c r="B9577" s="33" t="s">
        <v>21951</v>
      </c>
      <c r="C9577" s="33" t="s">
        <v>2054</v>
      </c>
      <c r="D9577" s="33" t="s">
        <v>17</v>
      </c>
      <c r="E9577" s="33" t="s">
        <v>18</v>
      </c>
      <c r="F9577" s="33" t="s">
        <v>19</v>
      </c>
      <c r="G9577" s="33" t="s">
        <v>20</v>
      </c>
      <c r="H9577" s="35">
        <v>101</v>
      </c>
      <c r="I9577" s="33" t="s">
        <v>21</v>
      </c>
      <c r="J9577" s="42">
        <v>44734</v>
      </c>
      <c r="K9577" s="33" t="s">
        <v>22</v>
      </c>
    </row>
    <row r="9578" spans="1:11">
      <c r="A9578" s="30" t="s">
        <v>21952</v>
      </c>
      <c r="B9578" s="30" t="s">
        <v>21953</v>
      </c>
      <c r="C9578" s="30" t="s">
        <v>6814</v>
      </c>
      <c r="D9578" s="30" t="s">
        <v>17</v>
      </c>
      <c r="E9578" s="30" t="s">
        <v>67</v>
      </c>
      <c r="F9578" s="30" t="s">
        <v>68</v>
      </c>
      <c r="G9578" s="30" t="s">
        <v>140</v>
      </c>
      <c r="H9578" s="32">
        <v>150</v>
      </c>
      <c r="I9578" s="30" t="s">
        <v>51</v>
      </c>
      <c r="J9578" s="41">
        <v>44628</v>
      </c>
      <c r="K9578" s="30" t="s">
        <v>22</v>
      </c>
    </row>
    <row r="9579" spans="1:11">
      <c r="A9579" s="33" t="s">
        <v>21954</v>
      </c>
      <c r="B9579" s="33" t="s">
        <v>21955</v>
      </c>
      <c r="C9579" s="33" t="s">
        <v>21956</v>
      </c>
      <c r="D9579" s="33" t="s">
        <v>17</v>
      </c>
      <c r="E9579" s="33" t="s">
        <v>31</v>
      </c>
      <c r="F9579" s="33" t="s">
        <v>32</v>
      </c>
      <c r="G9579" s="33" t="s">
        <v>20</v>
      </c>
      <c r="H9579" s="35">
        <v>26</v>
      </c>
      <c r="I9579" s="33" t="s">
        <v>21</v>
      </c>
      <c r="J9579" s="42">
        <v>44747</v>
      </c>
      <c r="K9579" s="33" t="s">
        <v>22</v>
      </c>
    </row>
    <row r="9580" spans="1:11">
      <c r="A9580" s="30" t="s">
        <v>21957</v>
      </c>
      <c r="B9580" s="30" t="s">
        <v>21958</v>
      </c>
      <c r="C9580" s="30" t="s">
        <v>1237</v>
      </c>
      <c r="D9580" s="30" t="s">
        <v>17</v>
      </c>
      <c r="E9580" s="30" t="s">
        <v>31</v>
      </c>
      <c r="F9580" s="30" t="s">
        <v>32</v>
      </c>
      <c r="G9580" s="30" t="s">
        <v>20</v>
      </c>
      <c r="H9580" s="32">
        <v>160</v>
      </c>
      <c r="I9580" s="30" t="s">
        <v>21</v>
      </c>
      <c r="J9580" s="41">
        <v>44859</v>
      </c>
      <c r="K9580" s="30" t="s">
        <v>22</v>
      </c>
    </row>
    <row r="9581" spans="1:11">
      <c r="A9581" s="33" t="s">
        <v>21959</v>
      </c>
      <c r="B9581" s="33" t="s">
        <v>21960</v>
      </c>
      <c r="C9581" s="33" t="s">
        <v>21961</v>
      </c>
      <c r="D9581" s="33" t="s">
        <v>17</v>
      </c>
      <c r="E9581" s="33" t="s">
        <v>26</v>
      </c>
      <c r="F9581" s="33" t="s">
        <v>27</v>
      </c>
      <c r="G9581" s="33" t="s">
        <v>20</v>
      </c>
      <c r="H9581" s="35">
        <v>63</v>
      </c>
      <c r="I9581" s="33" t="s">
        <v>21</v>
      </c>
      <c r="J9581" s="42">
        <v>44921</v>
      </c>
      <c r="K9581" s="33" t="s">
        <v>22</v>
      </c>
    </row>
    <row r="9582" spans="1:11">
      <c r="A9582" s="30" t="s">
        <v>21962</v>
      </c>
      <c r="B9582" s="30" t="s">
        <v>21963</v>
      </c>
      <c r="C9582" s="30" t="s">
        <v>21964</v>
      </c>
      <c r="D9582" s="30" t="s">
        <v>17</v>
      </c>
      <c r="E9582" s="30" t="s">
        <v>31</v>
      </c>
      <c r="F9582" s="30" t="s">
        <v>32</v>
      </c>
      <c r="G9582" s="30" t="s">
        <v>140</v>
      </c>
      <c r="H9582" s="32">
        <v>142</v>
      </c>
      <c r="I9582" s="30" t="s">
        <v>51</v>
      </c>
      <c r="J9582" s="41">
        <v>44766</v>
      </c>
      <c r="K9582" s="30" t="s">
        <v>22</v>
      </c>
    </row>
    <row r="9583" spans="1:11">
      <c r="A9583" s="33" t="s">
        <v>21965</v>
      </c>
      <c r="B9583" s="33" t="s">
        <v>21966</v>
      </c>
      <c r="C9583" s="33" t="s">
        <v>21967</v>
      </c>
      <c r="D9583" s="33" t="s">
        <v>17</v>
      </c>
      <c r="E9583" s="33" t="s">
        <v>26</v>
      </c>
      <c r="F9583" s="33" t="s">
        <v>27</v>
      </c>
      <c r="G9583" s="33" t="s">
        <v>20</v>
      </c>
      <c r="H9583" s="35">
        <v>44</v>
      </c>
      <c r="I9583" s="33" t="s">
        <v>21</v>
      </c>
      <c r="J9583" s="42">
        <v>44718</v>
      </c>
      <c r="K9583" s="33" t="s">
        <v>22</v>
      </c>
    </row>
    <row r="9584" spans="1:11">
      <c r="A9584" s="30" t="s">
        <v>21968</v>
      </c>
      <c r="B9584" s="30" t="s">
        <v>21969</v>
      </c>
      <c r="C9584" s="30" t="s">
        <v>102</v>
      </c>
      <c r="D9584" s="30" t="s">
        <v>17</v>
      </c>
      <c r="E9584" s="30" t="s">
        <v>26</v>
      </c>
      <c r="F9584" s="30" t="s">
        <v>27</v>
      </c>
      <c r="G9584" s="30" t="s">
        <v>20</v>
      </c>
      <c r="H9584" s="32">
        <v>60</v>
      </c>
      <c r="I9584" s="30" t="s">
        <v>21</v>
      </c>
      <c r="J9584" s="41">
        <v>44711</v>
      </c>
      <c r="K9584" s="30" t="s">
        <v>22</v>
      </c>
    </row>
    <row r="9585" spans="1:11">
      <c r="A9585" s="33" t="s">
        <v>21970</v>
      </c>
      <c r="B9585" s="33" t="s">
        <v>21971</v>
      </c>
      <c r="C9585" s="33" t="s">
        <v>1090</v>
      </c>
      <c r="D9585" s="33" t="s">
        <v>17</v>
      </c>
      <c r="E9585" s="33" t="s">
        <v>67</v>
      </c>
      <c r="F9585" s="33" t="s">
        <v>68</v>
      </c>
      <c r="G9585" s="33" t="s">
        <v>50</v>
      </c>
      <c r="H9585" s="35">
        <v>54</v>
      </c>
      <c r="I9585" s="33" t="s">
        <v>51</v>
      </c>
      <c r="J9585" s="42">
        <v>44873</v>
      </c>
      <c r="K9585" s="33" t="s">
        <v>22</v>
      </c>
    </row>
    <row r="9586" spans="1:11">
      <c r="A9586" s="30" t="s">
        <v>21972</v>
      </c>
      <c r="B9586" s="30" t="s">
        <v>21973</v>
      </c>
      <c r="C9586" s="30" t="s">
        <v>2922</v>
      </c>
      <c r="D9586" s="30" t="s">
        <v>17</v>
      </c>
      <c r="E9586" s="30" t="s">
        <v>31</v>
      </c>
      <c r="F9586" s="30" t="s">
        <v>32</v>
      </c>
      <c r="G9586" s="30" t="s">
        <v>140</v>
      </c>
      <c r="H9586" s="32">
        <v>30</v>
      </c>
      <c r="I9586" s="30" t="s">
        <v>51</v>
      </c>
      <c r="J9586" s="41">
        <v>44649</v>
      </c>
      <c r="K9586" s="30" t="s">
        <v>22</v>
      </c>
    </row>
    <row r="9587" spans="1:11">
      <c r="A9587" s="33" t="s">
        <v>21974</v>
      </c>
      <c r="B9587" s="33" t="s">
        <v>21975</v>
      </c>
      <c r="C9587" s="33" t="s">
        <v>2612</v>
      </c>
      <c r="D9587" s="33" t="s">
        <v>17</v>
      </c>
      <c r="E9587" s="33" t="s">
        <v>45</v>
      </c>
      <c r="F9587" s="33" t="s">
        <v>46</v>
      </c>
      <c r="G9587" s="33" t="s">
        <v>158</v>
      </c>
      <c r="H9587" s="35">
        <v>183</v>
      </c>
      <c r="I9587" s="33" t="s">
        <v>21</v>
      </c>
      <c r="J9587" s="42">
        <v>44613</v>
      </c>
      <c r="K9587" s="33" t="s">
        <v>22</v>
      </c>
    </row>
    <row r="9588" spans="1:11">
      <c r="A9588" s="30" t="s">
        <v>21976</v>
      </c>
      <c r="B9588" s="30" t="s">
        <v>21977</v>
      </c>
      <c r="C9588" s="30" t="s">
        <v>21978</v>
      </c>
      <c r="D9588" s="30" t="s">
        <v>17</v>
      </c>
      <c r="E9588" s="30" t="s">
        <v>45</v>
      </c>
      <c r="F9588" s="30" t="s">
        <v>46</v>
      </c>
      <c r="G9588" s="30" t="s">
        <v>158</v>
      </c>
      <c r="H9588" s="32">
        <v>30</v>
      </c>
      <c r="I9588" s="30" t="s">
        <v>51</v>
      </c>
      <c r="J9588" s="41">
        <v>44735</v>
      </c>
      <c r="K9588" s="30" t="s">
        <v>22</v>
      </c>
    </row>
    <row r="9589" spans="1:11">
      <c r="A9589" s="33" t="s">
        <v>21979</v>
      </c>
      <c r="B9589" s="33" t="s">
        <v>21980</v>
      </c>
      <c r="C9589" s="33" t="s">
        <v>647</v>
      </c>
      <c r="D9589" s="33" t="s">
        <v>17</v>
      </c>
      <c r="E9589" s="33" t="s">
        <v>212</v>
      </c>
      <c r="F9589" s="33" t="s">
        <v>213</v>
      </c>
      <c r="G9589" s="33" t="s">
        <v>20</v>
      </c>
      <c r="H9589" s="35">
        <v>168</v>
      </c>
      <c r="I9589" s="33" t="s">
        <v>21</v>
      </c>
      <c r="J9589" s="42">
        <v>44645</v>
      </c>
      <c r="K9589" s="33" t="s">
        <v>22</v>
      </c>
    </row>
    <row r="9590" spans="1:11">
      <c r="A9590" s="30" t="s">
        <v>21981</v>
      </c>
      <c r="B9590" s="30" t="s">
        <v>21982</v>
      </c>
      <c r="C9590" s="30" t="s">
        <v>1923</v>
      </c>
      <c r="D9590" s="30" t="s">
        <v>17</v>
      </c>
      <c r="E9590" s="30" t="s">
        <v>18</v>
      </c>
      <c r="F9590" s="30" t="s">
        <v>19</v>
      </c>
      <c r="G9590" s="30" t="s">
        <v>20</v>
      </c>
      <c r="H9590" s="32">
        <v>875</v>
      </c>
      <c r="I9590" s="30" t="s">
        <v>21</v>
      </c>
      <c r="J9590" s="41">
        <v>44618</v>
      </c>
      <c r="K9590" s="30" t="s">
        <v>22</v>
      </c>
    </row>
    <row r="9591" spans="1:11">
      <c r="A9591" s="33" t="s">
        <v>21983</v>
      </c>
      <c r="B9591" s="33" t="s">
        <v>21984</v>
      </c>
      <c r="C9591" s="33" t="s">
        <v>130</v>
      </c>
      <c r="D9591" s="33" t="s">
        <v>17</v>
      </c>
      <c r="E9591" s="33" t="s">
        <v>31</v>
      </c>
      <c r="F9591" s="33" t="s">
        <v>32</v>
      </c>
      <c r="G9591" s="33" t="s">
        <v>106</v>
      </c>
      <c r="H9591" s="35">
        <v>83</v>
      </c>
      <c r="I9591" s="33" t="s">
        <v>21</v>
      </c>
      <c r="J9591" s="42">
        <v>44701</v>
      </c>
      <c r="K9591" s="33" t="s">
        <v>22</v>
      </c>
    </row>
    <row r="9592" spans="1:11">
      <c r="A9592" s="30" t="s">
        <v>21985</v>
      </c>
      <c r="B9592" s="30" t="s">
        <v>21986</v>
      </c>
      <c r="C9592" s="30" t="s">
        <v>549</v>
      </c>
      <c r="D9592" s="30" t="s">
        <v>17</v>
      </c>
      <c r="E9592" s="30" t="s">
        <v>26</v>
      </c>
      <c r="F9592" s="30" t="s">
        <v>27</v>
      </c>
      <c r="G9592" s="30" t="s">
        <v>20</v>
      </c>
      <c r="H9592" s="32">
        <v>24</v>
      </c>
      <c r="I9592" s="30" t="s">
        <v>21</v>
      </c>
      <c r="J9592" s="41">
        <v>44655</v>
      </c>
      <c r="K9592" s="30" t="s">
        <v>22</v>
      </c>
    </row>
    <row r="9593" spans="1:11">
      <c r="A9593" s="33" t="s">
        <v>21987</v>
      </c>
      <c r="B9593" s="33" t="s">
        <v>21988</v>
      </c>
      <c r="C9593" s="33" t="s">
        <v>78</v>
      </c>
      <c r="D9593" s="33" t="s">
        <v>17</v>
      </c>
      <c r="E9593" s="33" t="s">
        <v>31</v>
      </c>
      <c r="F9593" s="33" t="s">
        <v>32</v>
      </c>
      <c r="G9593" s="33" t="s">
        <v>20</v>
      </c>
      <c r="H9593" s="35">
        <v>121</v>
      </c>
      <c r="I9593" s="33" t="s">
        <v>21</v>
      </c>
      <c r="J9593" s="42">
        <v>44915</v>
      </c>
      <c r="K9593" s="33" t="s">
        <v>22</v>
      </c>
    </row>
    <row r="9594" spans="1:11">
      <c r="A9594" s="30" t="s">
        <v>21989</v>
      </c>
      <c r="B9594" s="30" t="s">
        <v>21990</v>
      </c>
      <c r="C9594" s="30" t="s">
        <v>118</v>
      </c>
      <c r="D9594" s="30" t="s">
        <v>17</v>
      </c>
      <c r="E9594" s="30" t="s">
        <v>212</v>
      </c>
      <c r="F9594" s="30" t="s">
        <v>213</v>
      </c>
      <c r="G9594" s="30" t="s">
        <v>20</v>
      </c>
      <c r="H9594" s="32">
        <v>100</v>
      </c>
      <c r="I9594" s="30" t="s">
        <v>21</v>
      </c>
      <c r="J9594" s="41">
        <v>44799</v>
      </c>
      <c r="K9594" s="30" t="s">
        <v>22</v>
      </c>
    </row>
    <row r="9595" spans="1:11">
      <c r="A9595" s="33" t="s">
        <v>21991</v>
      </c>
      <c r="B9595" s="33" t="s">
        <v>21992</v>
      </c>
      <c r="C9595" s="33" t="s">
        <v>379</v>
      </c>
      <c r="D9595" s="33" t="s">
        <v>17</v>
      </c>
      <c r="E9595" s="33" t="s">
        <v>31</v>
      </c>
      <c r="F9595" s="33" t="s">
        <v>32</v>
      </c>
      <c r="G9595" s="33" t="s">
        <v>50</v>
      </c>
      <c r="H9595" s="35">
        <v>156</v>
      </c>
      <c r="I9595" s="33" t="s">
        <v>51</v>
      </c>
      <c r="J9595" s="42">
        <v>44579</v>
      </c>
      <c r="K9595" s="33" t="s">
        <v>22</v>
      </c>
    </row>
    <row r="9596" spans="1:11">
      <c r="A9596" s="30" t="s">
        <v>21993</v>
      </c>
      <c r="B9596" s="30" t="s">
        <v>21994</v>
      </c>
      <c r="C9596" s="30" t="s">
        <v>1698</v>
      </c>
      <c r="D9596" s="30" t="s">
        <v>17</v>
      </c>
      <c r="E9596" s="30" t="s">
        <v>67</v>
      </c>
      <c r="F9596" s="30" t="s">
        <v>68</v>
      </c>
      <c r="G9596" s="30" t="s">
        <v>20</v>
      </c>
      <c r="H9596" s="32">
        <v>20</v>
      </c>
      <c r="I9596" s="30" t="s">
        <v>21</v>
      </c>
      <c r="J9596" s="41">
        <v>44771</v>
      </c>
      <c r="K9596" s="30" t="s">
        <v>22</v>
      </c>
    </row>
    <row r="9597" spans="1:11">
      <c r="A9597" s="33" t="s">
        <v>21995</v>
      </c>
      <c r="B9597" s="33" t="s">
        <v>21996</v>
      </c>
      <c r="C9597" s="33" t="s">
        <v>399</v>
      </c>
      <c r="D9597" s="33" t="s">
        <v>17</v>
      </c>
      <c r="E9597" s="33" t="s">
        <v>26</v>
      </c>
      <c r="F9597" s="33" t="s">
        <v>27</v>
      </c>
      <c r="G9597" s="33" t="s">
        <v>20</v>
      </c>
      <c r="H9597" s="35">
        <v>19</v>
      </c>
      <c r="I9597" s="33" t="s">
        <v>21</v>
      </c>
      <c r="J9597" s="42">
        <v>44880</v>
      </c>
      <c r="K9597" s="33" t="s">
        <v>22</v>
      </c>
    </row>
    <row r="9598" spans="1:11">
      <c r="A9598" s="30" t="s">
        <v>21997</v>
      </c>
      <c r="B9598" s="30" t="s">
        <v>21998</v>
      </c>
      <c r="C9598" s="30" t="s">
        <v>12564</v>
      </c>
      <c r="D9598" s="30" t="s">
        <v>17</v>
      </c>
      <c r="E9598" s="30" t="s">
        <v>18</v>
      </c>
      <c r="F9598" s="30" t="s">
        <v>19</v>
      </c>
      <c r="G9598" s="30" t="s">
        <v>106</v>
      </c>
      <c r="H9598" s="32">
        <v>85</v>
      </c>
      <c r="I9598" s="30" t="s">
        <v>21</v>
      </c>
      <c r="J9598" s="41">
        <v>44726</v>
      </c>
      <c r="K9598" s="30" t="s">
        <v>22</v>
      </c>
    </row>
    <row r="9599" spans="1:11">
      <c r="A9599" s="33" t="s">
        <v>21999</v>
      </c>
      <c r="B9599" s="33" t="s">
        <v>22000</v>
      </c>
      <c r="C9599" s="33" t="s">
        <v>22001</v>
      </c>
      <c r="D9599" s="33" t="s">
        <v>17</v>
      </c>
      <c r="E9599" s="33" t="s">
        <v>18</v>
      </c>
      <c r="F9599" s="33" t="s">
        <v>19</v>
      </c>
      <c r="G9599" s="33" t="s">
        <v>112</v>
      </c>
      <c r="H9599" s="35">
        <v>0</v>
      </c>
      <c r="I9599" s="33" t="s">
        <v>21</v>
      </c>
      <c r="J9599" s="42">
        <v>44834</v>
      </c>
      <c r="K9599" s="33" t="s">
        <v>22</v>
      </c>
    </row>
    <row r="9600" spans="1:11">
      <c r="A9600" s="30" t="s">
        <v>22002</v>
      </c>
      <c r="B9600" s="30" t="s">
        <v>22003</v>
      </c>
      <c r="C9600" s="30" t="s">
        <v>130</v>
      </c>
      <c r="D9600" s="30" t="s">
        <v>17</v>
      </c>
      <c r="E9600" s="30" t="s">
        <v>31</v>
      </c>
      <c r="F9600" s="30" t="s">
        <v>32</v>
      </c>
      <c r="G9600" s="30" t="s">
        <v>140</v>
      </c>
      <c r="H9600" s="32">
        <v>25</v>
      </c>
      <c r="I9600" s="30" t="s">
        <v>51</v>
      </c>
      <c r="J9600" s="41">
        <v>44873</v>
      </c>
      <c r="K9600" s="30" t="s">
        <v>22</v>
      </c>
    </row>
    <row r="9601" spans="1:11">
      <c r="A9601" s="33" t="s">
        <v>22004</v>
      </c>
      <c r="B9601" s="33" t="s">
        <v>22005</v>
      </c>
      <c r="C9601" s="33" t="s">
        <v>75</v>
      </c>
      <c r="D9601" s="33" t="s">
        <v>17</v>
      </c>
      <c r="E9601" s="33" t="s">
        <v>26</v>
      </c>
      <c r="F9601" s="33" t="s">
        <v>27</v>
      </c>
      <c r="G9601" s="33" t="s">
        <v>20</v>
      </c>
      <c r="H9601" s="35">
        <v>104</v>
      </c>
      <c r="I9601" s="33" t="s">
        <v>21</v>
      </c>
      <c r="J9601" s="42">
        <v>44683</v>
      </c>
      <c r="K9601" s="33" t="s">
        <v>22</v>
      </c>
    </row>
    <row r="9602" spans="1:11">
      <c r="A9602" s="30" t="s">
        <v>22006</v>
      </c>
      <c r="B9602" s="30" t="s">
        <v>22007</v>
      </c>
      <c r="C9602" s="30" t="s">
        <v>136</v>
      </c>
      <c r="D9602" s="30" t="s">
        <v>17</v>
      </c>
      <c r="E9602" s="30" t="s">
        <v>212</v>
      </c>
      <c r="F9602" s="30" t="s">
        <v>213</v>
      </c>
      <c r="G9602" s="30" t="s">
        <v>20</v>
      </c>
      <c r="H9602" s="32">
        <v>282</v>
      </c>
      <c r="I9602" s="30" t="s">
        <v>21</v>
      </c>
      <c r="J9602" s="41">
        <v>44895</v>
      </c>
      <c r="K9602" s="30" t="s">
        <v>22</v>
      </c>
    </row>
    <row r="9603" spans="1:11">
      <c r="A9603" s="33" t="s">
        <v>22008</v>
      </c>
      <c r="B9603" s="33" t="s">
        <v>22009</v>
      </c>
      <c r="C9603" s="33" t="s">
        <v>22010</v>
      </c>
      <c r="D9603" s="33" t="s">
        <v>17</v>
      </c>
      <c r="E9603" s="33" t="s">
        <v>26</v>
      </c>
      <c r="F9603" s="33" t="s">
        <v>27</v>
      </c>
      <c r="G9603" s="33" t="s">
        <v>50</v>
      </c>
      <c r="H9603" s="35">
        <v>1</v>
      </c>
      <c r="I9603" s="33" t="s">
        <v>21</v>
      </c>
      <c r="J9603" s="42">
        <v>44852</v>
      </c>
      <c r="K9603" s="33" t="s">
        <v>22</v>
      </c>
    </row>
    <row r="9604" spans="1:11">
      <c r="A9604" s="30" t="s">
        <v>22011</v>
      </c>
      <c r="B9604" s="30" t="s">
        <v>22012</v>
      </c>
      <c r="C9604" s="30" t="s">
        <v>7556</v>
      </c>
      <c r="D9604" s="30" t="s">
        <v>17</v>
      </c>
      <c r="E9604" s="30" t="s">
        <v>18</v>
      </c>
      <c r="F9604" s="30" t="s">
        <v>19</v>
      </c>
      <c r="G9604" s="30" t="s">
        <v>106</v>
      </c>
      <c r="H9604" s="32">
        <v>68</v>
      </c>
      <c r="I9604" s="30" t="s">
        <v>21</v>
      </c>
      <c r="J9604" s="41">
        <v>44697</v>
      </c>
      <c r="K9604" s="30" t="s">
        <v>22</v>
      </c>
    </row>
    <row r="9605" spans="1:11">
      <c r="A9605" s="33" t="s">
        <v>22013</v>
      </c>
      <c r="B9605" s="33" t="s">
        <v>22014</v>
      </c>
      <c r="C9605" s="33" t="s">
        <v>801</v>
      </c>
      <c r="D9605" s="33" t="s">
        <v>17</v>
      </c>
      <c r="E9605" s="33" t="s">
        <v>18</v>
      </c>
      <c r="F9605" s="33" t="s">
        <v>19</v>
      </c>
      <c r="G9605" s="33" t="s">
        <v>2613</v>
      </c>
      <c r="H9605" s="35">
        <v>864</v>
      </c>
      <c r="I9605" s="33" t="s">
        <v>51</v>
      </c>
      <c r="J9605" s="42">
        <v>44722</v>
      </c>
      <c r="K9605" s="33" t="s">
        <v>22</v>
      </c>
    </row>
    <row r="9606" spans="1:11">
      <c r="A9606" s="30" t="s">
        <v>22015</v>
      </c>
      <c r="B9606" s="30" t="s">
        <v>22016</v>
      </c>
      <c r="C9606" s="30" t="s">
        <v>387</v>
      </c>
      <c r="D9606" s="30" t="s">
        <v>17</v>
      </c>
      <c r="E9606" s="30" t="s">
        <v>26</v>
      </c>
      <c r="F9606" s="30" t="s">
        <v>27</v>
      </c>
      <c r="G9606" s="30" t="s">
        <v>20</v>
      </c>
      <c r="H9606" s="32">
        <v>6</v>
      </c>
      <c r="I9606" s="30" t="s">
        <v>21</v>
      </c>
      <c r="J9606" s="41">
        <v>44566</v>
      </c>
      <c r="K9606" s="30" t="s">
        <v>22</v>
      </c>
    </row>
    <row r="9607" spans="1:11">
      <c r="A9607" s="33" t="s">
        <v>22017</v>
      </c>
      <c r="B9607" s="33" t="s">
        <v>22018</v>
      </c>
      <c r="C9607" s="33" t="s">
        <v>22019</v>
      </c>
      <c r="D9607" s="33" t="s">
        <v>17</v>
      </c>
      <c r="E9607" s="33" t="s">
        <v>31</v>
      </c>
      <c r="F9607" s="33" t="s">
        <v>32</v>
      </c>
      <c r="G9607" s="33" t="s">
        <v>20</v>
      </c>
      <c r="H9607" s="35">
        <v>41</v>
      </c>
      <c r="I9607" s="33" t="s">
        <v>21</v>
      </c>
      <c r="J9607" s="42">
        <v>44873</v>
      </c>
      <c r="K9607" s="33" t="s">
        <v>22</v>
      </c>
    </row>
    <row r="9608" spans="1:11">
      <c r="A9608" s="30" t="s">
        <v>22020</v>
      </c>
      <c r="B9608" s="30" t="s">
        <v>22021</v>
      </c>
      <c r="C9608" s="30" t="s">
        <v>549</v>
      </c>
      <c r="D9608" s="30" t="s">
        <v>17</v>
      </c>
      <c r="E9608" s="30" t="s">
        <v>18</v>
      </c>
      <c r="F9608" s="30" t="s">
        <v>19</v>
      </c>
      <c r="G9608" s="30" t="s">
        <v>20</v>
      </c>
      <c r="H9608" s="32">
        <v>84</v>
      </c>
      <c r="I9608" s="30" t="s">
        <v>21</v>
      </c>
      <c r="J9608" s="41">
        <v>44650</v>
      </c>
      <c r="K9608" s="30" t="s">
        <v>22</v>
      </c>
    </row>
    <row r="9609" spans="1:11">
      <c r="A9609" s="33" t="s">
        <v>22022</v>
      </c>
      <c r="B9609" s="33" t="s">
        <v>22023</v>
      </c>
      <c r="C9609" s="33" t="s">
        <v>9078</v>
      </c>
      <c r="D9609" s="33" t="s">
        <v>17</v>
      </c>
      <c r="E9609" s="33" t="s">
        <v>26</v>
      </c>
      <c r="F9609" s="33" t="s">
        <v>27</v>
      </c>
      <c r="G9609" s="33" t="s">
        <v>140</v>
      </c>
      <c r="H9609" s="35">
        <v>480</v>
      </c>
      <c r="I9609" s="33" t="s">
        <v>51</v>
      </c>
      <c r="J9609" s="42">
        <v>44648</v>
      </c>
      <c r="K9609" s="33" t="s">
        <v>22</v>
      </c>
    </row>
    <row r="9610" spans="1:11">
      <c r="A9610" s="30" t="s">
        <v>22024</v>
      </c>
      <c r="B9610" s="30" t="s">
        <v>22025</v>
      </c>
      <c r="C9610" s="30" t="s">
        <v>19148</v>
      </c>
      <c r="D9610" s="30" t="s">
        <v>17</v>
      </c>
      <c r="E9610" s="30" t="s">
        <v>67</v>
      </c>
      <c r="F9610" s="30" t="s">
        <v>68</v>
      </c>
      <c r="G9610" s="30" t="s">
        <v>112</v>
      </c>
      <c r="H9610" s="32">
        <v>0</v>
      </c>
      <c r="I9610" s="30" t="s">
        <v>21</v>
      </c>
      <c r="J9610" s="41">
        <v>44743</v>
      </c>
      <c r="K9610" s="30" t="s">
        <v>22</v>
      </c>
    </row>
    <row r="9611" spans="1:11">
      <c r="A9611" s="33" t="s">
        <v>22026</v>
      </c>
      <c r="B9611" s="33" t="s">
        <v>22027</v>
      </c>
      <c r="C9611" s="33" t="s">
        <v>1112</v>
      </c>
      <c r="D9611" s="33" t="s">
        <v>17</v>
      </c>
      <c r="E9611" s="33" t="s">
        <v>31</v>
      </c>
      <c r="F9611" s="33" t="s">
        <v>32</v>
      </c>
      <c r="G9611" s="33" t="s">
        <v>158</v>
      </c>
      <c r="H9611" s="35">
        <v>16</v>
      </c>
      <c r="I9611" s="33" t="s">
        <v>51</v>
      </c>
      <c r="J9611" s="42">
        <v>44686</v>
      </c>
      <c r="K9611" s="33" t="s">
        <v>22</v>
      </c>
    </row>
    <row r="9612" spans="1:11">
      <c r="A9612" s="30" t="s">
        <v>22028</v>
      </c>
      <c r="B9612" s="30" t="s">
        <v>22029</v>
      </c>
      <c r="C9612" s="30" t="s">
        <v>6442</v>
      </c>
      <c r="D9612" s="30" t="s">
        <v>17</v>
      </c>
      <c r="E9612" s="30" t="s">
        <v>26</v>
      </c>
      <c r="F9612" s="30" t="s">
        <v>27</v>
      </c>
      <c r="G9612" s="30" t="s">
        <v>106</v>
      </c>
      <c r="H9612" s="32">
        <v>2</v>
      </c>
      <c r="I9612" s="30" t="s">
        <v>21</v>
      </c>
      <c r="J9612" s="41">
        <v>44663</v>
      </c>
      <c r="K9612" s="30" t="s">
        <v>22</v>
      </c>
    </row>
    <row r="9613" spans="1:11">
      <c r="A9613" s="33" t="s">
        <v>22030</v>
      </c>
      <c r="B9613" s="33" t="s">
        <v>22031</v>
      </c>
      <c r="C9613" s="33" t="s">
        <v>20744</v>
      </c>
      <c r="D9613" s="33" t="s">
        <v>17</v>
      </c>
      <c r="E9613" s="33" t="s">
        <v>26</v>
      </c>
      <c r="F9613" s="33" t="s">
        <v>27</v>
      </c>
      <c r="G9613" s="33" t="s">
        <v>112</v>
      </c>
      <c r="H9613" s="35">
        <v>0</v>
      </c>
      <c r="I9613" s="33" t="s">
        <v>21</v>
      </c>
      <c r="J9613" s="42">
        <v>44805</v>
      </c>
      <c r="K9613" s="33" t="s">
        <v>22</v>
      </c>
    </row>
    <row r="9614" spans="1:11">
      <c r="A9614" s="30" t="s">
        <v>22032</v>
      </c>
      <c r="B9614" s="30" t="s">
        <v>22033</v>
      </c>
      <c r="C9614" s="30" t="s">
        <v>730</v>
      </c>
      <c r="D9614" s="30" t="s">
        <v>17</v>
      </c>
      <c r="E9614" s="30" t="s">
        <v>26</v>
      </c>
      <c r="F9614" s="30" t="s">
        <v>27</v>
      </c>
      <c r="G9614" s="30" t="s">
        <v>20</v>
      </c>
      <c r="H9614" s="32">
        <v>8</v>
      </c>
      <c r="I9614" s="30" t="s">
        <v>21</v>
      </c>
      <c r="J9614" s="41">
        <v>44585</v>
      </c>
      <c r="K9614" s="30" t="s">
        <v>22</v>
      </c>
    </row>
    <row r="9615" spans="1:11">
      <c r="A9615" s="33" t="s">
        <v>22034</v>
      </c>
      <c r="B9615" s="33" t="s">
        <v>22035</v>
      </c>
      <c r="C9615" s="33" t="s">
        <v>136</v>
      </c>
      <c r="D9615" s="33" t="s">
        <v>17</v>
      </c>
      <c r="E9615" s="33" t="s">
        <v>26</v>
      </c>
      <c r="F9615" s="33" t="s">
        <v>27</v>
      </c>
      <c r="G9615" s="33" t="s">
        <v>20</v>
      </c>
      <c r="H9615" s="35">
        <v>18</v>
      </c>
      <c r="I9615" s="33" t="s">
        <v>21</v>
      </c>
      <c r="J9615" s="42">
        <v>44880</v>
      </c>
      <c r="K9615" s="33" t="s">
        <v>22</v>
      </c>
    </row>
    <row r="9616" spans="1:11">
      <c r="A9616" s="30" t="s">
        <v>22036</v>
      </c>
      <c r="B9616" s="30" t="s">
        <v>22037</v>
      </c>
      <c r="C9616" s="30" t="s">
        <v>231</v>
      </c>
      <c r="D9616" s="30" t="s">
        <v>17</v>
      </c>
      <c r="E9616" s="30" t="s">
        <v>26</v>
      </c>
      <c r="F9616" s="30" t="s">
        <v>27</v>
      </c>
      <c r="G9616" s="30" t="s">
        <v>20</v>
      </c>
      <c r="H9616" s="32">
        <v>24</v>
      </c>
      <c r="I9616" s="30" t="s">
        <v>21</v>
      </c>
      <c r="J9616" s="41">
        <v>44788</v>
      </c>
      <c r="K9616" s="30" t="s">
        <v>22</v>
      </c>
    </row>
    <row r="9617" spans="1:11">
      <c r="A9617" s="33" t="s">
        <v>22038</v>
      </c>
      <c r="B9617" s="33" t="s">
        <v>22039</v>
      </c>
      <c r="C9617" s="33" t="s">
        <v>102</v>
      </c>
      <c r="D9617" s="33" t="s">
        <v>17</v>
      </c>
      <c r="E9617" s="33" t="s">
        <v>67</v>
      </c>
      <c r="F9617" s="33" t="s">
        <v>68</v>
      </c>
      <c r="G9617" s="33" t="s">
        <v>158</v>
      </c>
      <c r="H9617" s="35">
        <v>166</v>
      </c>
      <c r="I9617" s="33" t="s">
        <v>21</v>
      </c>
      <c r="J9617" s="42">
        <v>44785</v>
      </c>
      <c r="K9617" s="33" t="s">
        <v>22</v>
      </c>
    </row>
    <row r="9618" spans="1:11">
      <c r="A9618" s="30" t="s">
        <v>22040</v>
      </c>
      <c r="B9618" s="30" t="s">
        <v>22041</v>
      </c>
      <c r="C9618" s="30" t="s">
        <v>1191</v>
      </c>
      <c r="D9618" s="30" t="s">
        <v>17</v>
      </c>
      <c r="E9618" s="30" t="s">
        <v>212</v>
      </c>
      <c r="F9618" s="30" t="s">
        <v>213</v>
      </c>
      <c r="G9618" s="30" t="s">
        <v>50</v>
      </c>
      <c r="H9618" s="32">
        <v>360</v>
      </c>
      <c r="I9618" s="30" t="s">
        <v>51</v>
      </c>
      <c r="J9618" s="41">
        <v>44763</v>
      </c>
      <c r="K9618" s="30" t="s">
        <v>22</v>
      </c>
    </row>
    <row r="9619" spans="1:11">
      <c r="A9619" s="33" t="s">
        <v>22042</v>
      </c>
      <c r="B9619" s="33" t="s">
        <v>22043</v>
      </c>
      <c r="C9619" s="33" t="s">
        <v>822</v>
      </c>
      <c r="D9619" s="33" t="s">
        <v>17</v>
      </c>
      <c r="E9619" s="33" t="s">
        <v>18</v>
      </c>
      <c r="F9619" s="33" t="s">
        <v>19</v>
      </c>
      <c r="G9619" s="33" t="s">
        <v>158</v>
      </c>
      <c r="H9619" s="35">
        <v>526</v>
      </c>
      <c r="I9619" s="33" t="s">
        <v>21</v>
      </c>
      <c r="J9619" s="42">
        <v>44694</v>
      </c>
      <c r="K9619" s="33" t="s">
        <v>22</v>
      </c>
    </row>
    <row r="9620" spans="1:11">
      <c r="A9620" s="30" t="s">
        <v>22044</v>
      </c>
      <c r="B9620" s="30" t="s">
        <v>22045</v>
      </c>
      <c r="C9620" s="30" t="s">
        <v>96</v>
      </c>
      <c r="D9620" s="30" t="s">
        <v>17</v>
      </c>
      <c r="E9620" s="30" t="s">
        <v>26</v>
      </c>
      <c r="F9620" s="30" t="s">
        <v>27</v>
      </c>
      <c r="G9620" s="30" t="s">
        <v>20</v>
      </c>
      <c r="H9620" s="32">
        <v>14</v>
      </c>
      <c r="I9620" s="30" t="s">
        <v>21</v>
      </c>
      <c r="J9620" s="41">
        <v>44630</v>
      </c>
      <c r="K9620" s="30" t="s">
        <v>22</v>
      </c>
    </row>
    <row r="9621" spans="1:11">
      <c r="A9621" s="33" t="s">
        <v>22046</v>
      </c>
      <c r="B9621" s="33" t="s">
        <v>22047</v>
      </c>
      <c r="C9621" s="33" t="s">
        <v>2500</v>
      </c>
      <c r="D9621" s="33" t="s">
        <v>17</v>
      </c>
      <c r="E9621" s="33" t="s">
        <v>18</v>
      </c>
      <c r="F9621" s="33" t="s">
        <v>19</v>
      </c>
      <c r="G9621" s="33" t="s">
        <v>106</v>
      </c>
      <c r="H9621" s="35">
        <v>64</v>
      </c>
      <c r="I9621" s="33" t="s">
        <v>21</v>
      </c>
      <c r="J9621" s="42">
        <v>44637</v>
      </c>
      <c r="K9621" s="33" t="s">
        <v>22</v>
      </c>
    </row>
    <row r="9622" spans="1:11">
      <c r="A9622" s="30" t="s">
        <v>22048</v>
      </c>
      <c r="B9622" s="30" t="s">
        <v>22049</v>
      </c>
      <c r="C9622" s="30" t="s">
        <v>2562</v>
      </c>
      <c r="D9622" s="30" t="s">
        <v>17</v>
      </c>
      <c r="E9622" s="30" t="s">
        <v>31</v>
      </c>
      <c r="F9622" s="30" t="s">
        <v>32</v>
      </c>
      <c r="G9622" s="30" t="s">
        <v>20</v>
      </c>
      <c r="H9622" s="32">
        <v>52</v>
      </c>
      <c r="I9622" s="30" t="s">
        <v>21</v>
      </c>
      <c r="J9622" s="41">
        <v>44573</v>
      </c>
      <c r="K9622" s="30" t="s">
        <v>22</v>
      </c>
    </row>
    <row r="9623" spans="1:11">
      <c r="A9623" s="33" t="s">
        <v>22050</v>
      </c>
      <c r="B9623" s="33" t="s">
        <v>22051</v>
      </c>
      <c r="C9623" s="33" t="s">
        <v>154</v>
      </c>
      <c r="D9623" s="33" t="s">
        <v>17</v>
      </c>
      <c r="E9623" s="33" t="s">
        <v>26</v>
      </c>
      <c r="F9623" s="33" t="s">
        <v>27</v>
      </c>
      <c r="G9623" s="33" t="s">
        <v>106</v>
      </c>
      <c r="H9623" s="35">
        <v>157</v>
      </c>
      <c r="I9623" s="33" t="s">
        <v>21</v>
      </c>
      <c r="J9623" s="42">
        <v>44748</v>
      </c>
      <c r="K9623" s="33" t="s">
        <v>22</v>
      </c>
    </row>
    <row r="9624" spans="1:11">
      <c r="A9624" s="30" t="s">
        <v>22052</v>
      </c>
      <c r="B9624" s="30" t="s">
        <v>22053</v>
      </c>
      <c r="C9624" s="30" t="s">
        <v>9629</v>
      </c>
      <c r="D9624" s="30" t="s">
        <v>17</v>
      </c>
      <c r="E9624" s="30" t="s">
        <v>26</v>
      </c>
      <c r="F9624" s="30" t="s">
        <v>27</v>
      </c>
      <c r="G9624" s="30" t="s">
        <v>50</v>
      </c>
      <c r="H9624" s="32">
        <v>54</v>
      </c>
      <c r="I9624" s="30" t="s">
        <v>51</v>
      </c>
      <c r="J9624" s="41">
        <v>44886</v>
      </c>
      <c r="K9624" s="30" t="s">
        <v>22</v>
      </c>
    </row>
    <row r="9625" spans="1:11">
      <c r="A9625" s="33" t="s">
        <v>22054</v>
      </c>
      <c r="B9625" s="33" t="s">
        <v>22055</v>
      </c>
      <c r="C9625" s="33" t="s">
        <v>638</v>
      </c>
      <c r="D9625" s="33" t="s">
        <v>17</v>
      </c>
      <c r="E9625" s="33" t="s">
        <v>67</v>
      </c>
      <c r="F9625" s="33" t="s">
        <v>68</v>
      </c>
      <c r="G9625" s="33" t="s">
        <v>106</v>
      </c>
      <c r="H9625" s="35">
        <v>132</v>
      </c>
      <c r="I9625" s="33" t="s">
        <v>21</v>
      </c>
      <c r="J9625" s="42">
        <v>44664</v>
      </c>
      <c r="K9625" s="33" t="s">
        <v>22</v>
      </c>
    </row>
    <row r="9626" spans="1:11">
      <c r="A9626" s="30" t="s">
        <v>22056</v>
      </c>
      <c r="B9626" s="30" t="s">
        <v>22057</v>
      </c>
      <c r="C9626" s="30" t="s">
        <v>14643</v>
      </c>
      <c r="D9626" s="30" t="s">
        <v>17</v>
      </c>
      <c r="E9626" s="30" t="s">
        <v>26</v>
      </c>
      <c r="F9626" s="30" t="s">
        <v>27</v>
      </c>
      <c r="G9626" s="30" t="s">
        <v>140</v>
      </c>
      <c r="H9626" s="32">
        <v>62</v>
      </c>
      <c r="I9626" s="30" t="s">
        <v>51</v>
      </c>
      <c r="J9626" s="41">
        <v>44579</v>
      </c>
      <c r="K9626" s="30" t="s">
        <v>22</v>
      </c>
    </row>
    <row r="9627" spans="1:11">
      <c r="A9627" s="33" t="s">
        <v>22058</v>
      </c>
      <c r="B9627" s="33" t="s">
        <v>22059</v>
      </c>
      <c r="C9627" s="33" t="s">
        <v>60</v>
      </c>
      <c r="D9627" s="33" t="s">
        <v>17</v>
      </c>
      <c r="E9627" s="33" t="s">
        <v>26</v>
      </c>
      <c r="F9627" s="33" t="s">
        <v>27</v>
      </c>
      <c r="G9627" s="33" t="s">
        <v>20</v>
      </c>
      <c r="H9627" s="35">
        <v>64</v>
      </c>
      <c r="I9627" s="33" t="s">
        <v>21</v>
      </c>
      <c r="J9627" s="42">
        <v>44821</v>
      </c>
      <c r="K9627" s="33" t="s">
        <v>22</v>
      </c>
    </row>
    <row r="9628" spans="1:11">
      <c r="A9628" s="30" t="s">
        <v>22060</v>
      </c>
      <c r="B9628" s="30" t="s">
        <v>22061</v>
      </c>
      <c r="C9628" s="30" t="s">
        <v>22062</v>
      </c>
      <c r="D9628" s="30" t="s">
        <v>17</v>
      </c>
      <c r="E9628" s="30" t="s">
        <v>26</v>
      </c>
      <c r="F9628" s="30" t="s">
        <v>27</v>
      </c>
      <c r="G9628" s="30" t="s">
        <v>106</v>
      </c>
      <c r="H9628" s="32">
        <v>58</v>
      </c>
      <c r="I9628" s="30" t="s">
        <v>21</v>
      </c>
      <c r="J9628" s="41">
        <v>44642</v>
      </c>
      <c r="K9628" s="30" t="s">
        <v>22</v>
      </c>
    </row>
    <row r="9629" spans="1:11">
      <c r="A9629" s="33" t="s">
        <v>22063</v>
      </c>
      <c r="B9629" s="33" t="s">
        <v>22064</v>
      </c>
      <c r="C9629" s="33" t="s">
        <v>9286</v>
      </c>
      <c r="D9629" s="33" t="s">
        <v>17</v>
      </c>
      <c r="E9629" s="33" t="s">
        <v>26</v>
      </c>
      <c r="F9629" s="33" t="s">
        <v>27</v>
      </c>
      <c r="G9629" s="33" t="s">
        <v>20</v>
      </c>
      <c r="H9629" s="35">
        <v>22</v>
      </c>
      <c r="I9629" s="33" t="s">
        <v>21</v>
      </c>
      <c r="J9629" s="42">
        <v>44662</v>
      </c>
      <c r="K9629" s="33" t="s">
        <v>22</v>
      </c>
    </row>
    <row r="9630" spans="1:11">
      <c r="A9630" s="30" t="s">
        <v>22065</v>
      </c>
      <c r="B9630" s="30" t="s">
        <v>22066</v>
      </c>
      <c r="C9630" s="30" t="s">
        <v>22067</v>
      </c>
      <c r="D9630" s="30" t="s">
        <v>17</v>
      </c>
      <c r="E9630" s="30" t="s">
        <v>26</v>
      </c>
      <c r="F9630" s="30" t="s">
        <v>27</v>
      </c>
      <c r="G9630" s="30" t="s">
        <v>140</v>
      </c>
      <c r="H9630" s="32">
        <v>275</v>
      </c>
      <c r="I9630" s="30" t="s">
        <v>51</v>
      </c>
      <c r="J9630" s="41">
        <v>44713</v>
      </c>
      <c r="K9630" s="30" t="s">
        <v>22</v>
      </c>
    </row>
    <row r="9631" spans="1:11">
      <c r="A9631" s="33" t="s">
        <v>22068</v>
      </c>
      <c r="B9631" s="33" t="s">
        <v>22069</v>
      </c>
      <c r="C9631" s="33" t="s">
        <v>399</v>
      </c>
      <c r="D9631" s="33" t="s">
        <v>17</v>
      </c>
      <c r="E9631" s="33" t="s">
        <v>31</v>
      </c>
      <c r="F9631" s="33" t="s">
        <v>32</v>
      </c>
      <c r="G9631" s="33" t="s">
        <v>20</v>
      </c>
      <c r="H9631" s="35">
        <v>337</v>
      </c>
      <c r="I9631" s="33" t="s">
        <v>21</v>
      </c>
      <c r="J9631" s="42">
        <v>44816</v>
      </c>
      <c r="K9631" s="33" t="s">
        <v>22</v>
      </c>
    </row>
    <row r="9632" spans="1:11">
      <c r="A9632" s="30" t="s">
        <v>22070</v>
      </c>
      <c r="B9632" s="30" t="s">
        <v>22071</v>
      </c>
      <c r="C9632" s="30" t="s">
        <v>57</v>
      </c>
      <c r="D9632" s="30" t="s">
        <v>17</v>
      </c>
      <c r="E9632" s="30" t="s">
        <v>26</v>
      </c>
      <c r="F9632" s="30" t="s">
        <v>27</v>
      </c>
      <c r="G9632" s="30" t="s">
        <v>20</v>
      </c>
      <c r="H9632" s="32">
        <v>60</v>
      </c>
      <c r="I9632" s="30" t="s">
        <v>21</v>
      </c>
      <c r="J9632" s="41">
        <v>44795</v>
      </c>
      <c r="K9632" s="30" t="s">
        <v>22</v>
      </c>
    </row>
    <row r="9633" spans="1:11">
      <c r="A9633" s="33" t="s">
        <v>22072</v>
      </c>
      <c r="B9633" s="33" t="s">
        <v>22073</v>
      </c>
      <c r="C9633" s="33" t="s">
        <v>96</v>
      </c>
      <c r="D9633" s="33" t="s">
        <v>17</v>
      </c>
      <c r="E9633" s="33" t="s">
        <v>18</v>
      </c>
      <c r="F9633" s="33" t="s">
        <v>19</v>
      </c>
      <c r="G9633" s="33" t="s">
        <v>20</v>
      </c>
      <c r="H9633" s="35">
        <v>3547</v>
      </c>
      <c r="I9633" s="33" t="s">
        <v>21</v>
      </c>
      <c r="J9633" s="42">
        <v>44907</v>
      </c>
      <c r="K9633" s="33" t="s">
        <v>22</v>
      </c>
    </row>
    <row r="9634" spans="1:11">
      <c r="A9634" s="30" t="s">
        <v>22074</v>
      </c>
      <c r="B9634" s="30" t="s">
        <v>22075</v>
      </c>
      <c r="C9634" s="30" t="s">
        <v>9385</v>
      </c>
      <c r="D9634" s="30" t="s">
        <v>17</v>
      </c>
      <c r="E9634" s="30" t="s">
        <v>67</v>
      </c>
      <c r="F9634" s="30" t="s">
        <v>68</v>
      </c>
      <c r="G9634" s="30" t="s">
        <v>112</v>
      </c>
      <c r="H9634" s="32">
        <v>0</v>
      </c>
      <c r="I9634" s="30" t="s">
        <v>21</v>
      </c>
      <c r="J9634" s="41">
        <v>44774</v>
      </c>
      <c r="K9634" s="30" t="s">
        <v>22</v>
      </c>
    </row>
    <row r="9635" spans="1:11">
      <c r="A9635" s="33" t="s">
        <v>22076</v>
      </c>
      <c r="B9635" s="33" t="s">
        <v>22077</v>
      </c>
      <c r="C9635" s="33" t="s">
        <v>22078</v>
      </c>
      <c r="D9635" s="33" t="s">
        <v>17</v>
      </c>
      <c r="E9635" s="33" t="s">
        <v>67</v>
      </c>
      <c r="F9635" s="33" t="s">
        <v>68</v>
      </c>
      <c r="G9635" s="33" t="s">
        <v>112</v>
      </c>
      <c r="H9635" s="35">
        <v>0</v>
      </c>
      <c r="I9635" s="33" t="s">
        <v>21</v>
      </c>
      <c r="J9635" s="42">
        <v>44713</v>
      </c>
      <c r="K9635" s="33" t="s">
        <v>22</v>
      </c>
    </row>
    <row r="9636" spans="1:11">
      <c r="A9636" s="30" t="s">
        <v>22079</v>
      </c>
      <c r="B9636" s="30" t="s">
        <v>22080</v>
      </c>
      <c r="C9636" s="30" t="s">
        <v>190</v>
      </c>
      <c r="D9636" s="30" t="s">
        <v>17</v>
      </c>
      <c r="E9636" s="30" t="s">
        <v>31</v>
      </c>
      <c r="F9636" s="30" t="s">
        <v>32</v>
      </c>
      <c r="G9636" s="30" t="s">
        <v>20</v>
      </c>
      <c r="H9636" s="32">
        <v>670</v>
      </c>
      <c r="I9636" s="30" t="s">
        <v>21</v>
      </c>
      <c r="J9636" s="41">
        <v>44588</v>
      </c>
      <c r="K9636" s="30" t="s">
        <v>22</v>
      </c>
    </row>
    <row r="9637" spans="1:11">
      <c r="A9637" s="33" t="s">
        <v>22081</v>
      </c>
      <c r="B9637" s="33" t="s">
        <v>22082</v>
      </c>
      <c r="C9637" s="33" t="s">
        <v>22083</v>
      </c>
      <c r="D9637" s="33" t="s">
        <v>17</v>
      </c>
      <c r="E9637" s="33" t="s">
        <v>26</v>
      </c>
      <c r="F9637" s="33" t="s">
        <v>27</v>
      </c>
      <c r="G9637" s="33" t="s">
        <v>20</v>
      </c>
      <c r="H9637" s="35">
        <v>88</v>
      </c>
      <c r="I9637" s="33" t="s">
        <v>21</v>
      </c>
      <c r="J9637" s="42">
        <v>44917</v>
      </c>
      <c r="K9637" s="33" t="s">
        <v>22</v>
      </c>
    </row>
    <row r="9638" spans="1:11">
      <c r="A9638" s="30" t="s">
        <v>22084</v>
      </c>
      <c r="B9638" s="30" t="s">
        <v>22085</v>
      </c>
      <c r="C9638" s="30" t="s">
        <v>1698</v>
      </c>
      <c r="D9638" s="30" t="s">
        <v>17</v>
      </c>
      <c r="E9638" s="30" t="s">
        <v>31</v>
      </c>
      <c r="F9638" s="30" t="s">
        <v>32</v>
      </c>
      <c r="G9638" s="30" t="s">
        <v>20</v>
      </c>
      <c r="H9638" s="32">
        <v>12</v>
      </c>
      <c r="I9638" s="30" t="s">
        <v>21</v>
      </c>
      <c r="J9638" s="41">
        <v>44630</v>
      </c>
      <c r="K9638" s="30" t="s">
        <v>22</v>
      </c>
    </row>
    <row r="9639" spans="1:11">
      <c r="A9639" s="33" t="s">
        <v>22086</v>
      </c>
      <c r="B9639" s="33" t="s">
        <v>22087</v>
      </c>
      <c r="C9639" s="33" t="s">
        <v>22088</v>
      </c>
      <c r="D9639" s="33" t="s">
        <v>17</v>
      </c>
      <c r="E9639" s="33" t="s">
        <v>26</v>
      </c>
      <c r="F9639" s="33" t="s">
        <v>27</v>
      </c>
      <c r="G9639" s="33" t="s">
        <v>20</v>
      </c>
      <c r="H9639" s="35">
        <v>31</v>
      </c>
      <c r="I9639" s="33" t="s">
        <v>21</v>
      </c>
      <c r="J9639" s="42">
        <v>44565</v>
      </c>
      <c r="K9639" s="33" t="s">
        <v>22</v>
      </c>
    </row>
    <row r="9640" spans="1:11">
      <c r="A9640" s="30" t="s">
        <v>22089</v>
      </c>
      <c r="B9640" s="30" t="s">
        <v>22090</v>
      </c>
      <c r="C9640" s="30" t="s">
        <v>102</v>
      </c>
      <c r="D9640" s="30" t="s">
        <v>17</v>
      </c>
      <c r="E9640" s="30" t="s">
        <v>31</v>
      </c>
      <c r="F9640" s="30" t="s">
        <v>32</v>
      </c>
      <c r="G9640" s="30" t="s">
        <v>106</v>
      </c>
      <c r="H9640" s="32">
        <v>5</v>
      </c>
      <c r="I9640" s="30" t="s">
        <v>21</v>
      </c>
      <c r="J9640" s="41">
        <v>44585</v>
      </c>
      <c r="K9640" s="30" t="s">
        <v>22</v>
      </c>
    </row>
    <row r="9641" spans="1:11">
      <c r="A9641" s="33" t="s">
        <v>22091</v>
      </c>
      <c r="B9641" s="33" t="s">
        <v>22092</v>
      </c>
      <c r="C9641" s="33" t="s">
        <v>75</v>
      </c>
      <c r="D9641" s="33" t="s">
        <v>17</v>
      </c>
      <c r="E9641" s="33" t="s">
        <v>26</v>
      </c>
      <c r="F9641" s="33" t="s">
        <v>27</v>
      </c>
      <c r="G9641" s="33" t="s">
        <v>20</v>
      </c>
      <c r="H9641" s="35">
        <v>7</v>
      </c>
      <c r="I9641" s="33" t="s">
        <v>21</v>
      </c>
      <c r="J9641" s="42">
        <v>44729</v>
      </c>
      <c r="K9641" s="33" t="s">
        <v>22</v>
      </c>
    </row>
    <row r="9642" spans="1:11">
      <c r="A9642" s="30" t="s">
        <v>22093</v>
      </c>
      <c r="B9642" s="30" t="s">
        <v>22094</v>
      </c>
      <c r="C9642" s="30" t="s">
        <v>22095</v>
      </c>
      <c r="D9642" s="30" t="s">
        <v>17</v>
      </c>
      <c r="E9642" s="30" t="s">
        <v>26</v>
      </c>
      <c r="F9642" s="30" t="s">
        <v>27</v>
      </c>
      <c r="G9642" s="30" t="s">
        <v>20</v>
      </c>
      <c r="H9642" s="32">
        <v>40</v>
      </c>
      <c r="I9642" s="30" t="s">
        <v>21</v>
      </c>
      <c r="J9642" s="41">
        <v>44690</v>
      </c>
      <c r="K9642" s="30" t="s">
        <v>22</v>
      </c>
    </row>
    <row r="9643" spans="1:11">
      <c r="A9643" s="33" t="s">
        <v>22096</v>
      </c>
      <c r="B9643" s="33" t="s">
        <v>22097</v>
      </c>
      <c r="C9643" s="33" t="s">
        <v>969</v>
      </c>
      <c r="D9643" s="33" t="s">
        <v>17</v>
      </c>
      <c r="E9643" s="33" t="s">
        <v>67</v>
      </c>
      <c r="F9643" s="33" t="s">
        <v>68</v>
      </c>
      <c r="G9643" s="33" t="s">
        <v>20</v>
      </c>
      <c r="H9643" s="35">
        <v>155</v>
      </c>
      <c r="I9643" s="33" t="s">
        <v>21</v>
      </c>
      <c r="J9643" s="42">
        <v>44817</v>
      </c>
      <c r="K9643" s="33" t="s">
        <v>22</v>
      </c>
    </row>
    <row r="9644" spans="1:11">
      <c r="A9644" s="30" t="s">
        <v>22098</v>
      </c>
      <c r="B9644" s="30" t="s">
        <v>22099</v>
      </c>
      <c r="C9644" s="30" t="s">
        <v>203</v>
      </c>
      <c r="D9644" s="30" t="s">
        <v>17</v>
      </c>
      <c r="E9644" s="30" t="s">
        <v>31</v>
      </c>
      <c r="F9644" s="30" t="s">
        <v>32</v>
      </c>
      <c r="G9644" s="30" t="s">
        <v>106</v>
      </c>
      <c r="H9644" s="32">
        <v>22</v>
      </c>
      <c r="I9644" s="30" t="s">
        <v>21</v>
      </c>
      <c r="J9644" s="41">
        <v>44713</v>
      </c>
      <c r="K9644" s="30" t="s">
        <v>22</v>
      </c>
    </row>
    <row r="9645" spans="1:11">
      <c r="A9645" s="33" t="s">
        <v>22100</v>
      </c>
      <c r="B9645" s="33" t="s">
        <v>22101</v>
      </c>
      <c r="C9645" s="33" t="s">
        <v>443</v>
      </c>
      <c r="D9645" s="33" t="s">
        <v>17</v>
      </c>
      <c r="E9645" s="33" t="s">
        <v>212</v>
      </c>
      <c r="F9645" s="33" t="s">
        <v>213</v>
      </c>
      <c r="G9645" s="33" t="s">
        <v>20</v>
      </c>
      <c r="H9645" s="35">
        <v>1260</v>
      </c>
      <c r="I9645" s="33" t="s">
        <v>21</v>
      </c>
      <c r="J9645" s="42">
        <v>44892</v>
      </c>
      <c r="K9645" s="33" t="s">
        <v>22</v>
      </c>
    </row>
    <row r="9646" spans="1:11">
      <c r="A9646" s="30" t="s">
        <v>22102</v>
      </c>
      <c r="B9646" s="30" t="s">
        <v>22103</v>
      </c>
      <c r="C9646" s="30" t="s">
        <v>379</v>
      </c>
      <c r="D9646" s="30" t="s">
        <v>17</v>
      </c>
      <c r="E9646" s="30" t="s">
        <v>18</v>
      </c>
      <c r="F9646" s="30" t="s">
        <v>19</v>
      </c>
      <c r="G9646" s="30" t="s">
        <v>112</v>
      </c>
      <c r="H9646" s="32">
        <v>0</v>
      </c>
      <c r="I9646" s="30" t="s">
        <v>21</v>
      </c>
      <c r="J9646" s="41">
        <v>44834</v>
      </c>
      <c r="K9646" s="30" t="s">
        <v>22</v>
      </c>
    </row>
    <row r="9647" spans="1:11">
      <c r="A9647" s="33" t="s">
        <v>22104</v>
      </c>
      <c r="B9647" s="33" t="s">
        <v>22105</v>
      </c>
      <c r="C9647" s="33" t="s">
        <v>2094</v>
      </c>
      <c r="D9647" s="33" t="s">
        <v>17</v>
      </c>
      <c r="E9647" s="33" t="s">
        <v>26</v>
      </c>
      <c r="F9647" s="33" t="s">
        <v>27</v>
      </c>
      <c r="G9647" s="33" t="s">
        <v>20</v>
      </c>
      <c r="H9647" s="35">
        <v>18</v>
      </c>
      <c r="I9647" s="33" t="s">
        <v>21</v>
      </c>
      <c r="J9647" s="42">
        <v>44753</v>
      </c>
      <c r="K9647" s="33" t="s">
        <v>22</v>
      </c>
    </row>
    <row r="9648" spans="1:11">
      <c r="A9648" s="30" t="s">
        <v>22106</v>
      </c>
      <c r="B9648" s="30" t="s">
        <v>22107</v>
      </c>
      <c r="C9648" s="30" t="s">
        <v>102</v>
      </c>
      <c r="D9648" s="30" t="s">
        <v>17</v>
      </c>
      <c r="E9648" s="30" t="s">
        <v>26</v>
      </c>
      <c r="F9648" s="30" t="s">
        <v>27</v>
      </c>
      <c r="G9648" s="30" t="s">
        <v>20</v>
      </c>
      <c r="H9648" s="32">
        <v>14</v>
      </c>
      <c r="I9648" s="30" t="s">
        <v>21</v>
      </c>
      <c r="J9648" s="41">
        <v>44763</v>
      </c>
      <c r="K9648" s="30" t="s">
        <v>22</v>
      </c>
    </row>
    <row r="9649" spans="1:11">
      <c r="A9649" s="33" t="s">
        <v>22108</v>
      </c>
      <c r="B9649" s="33" t="s">
        <v>22109</v>
      </c>
      <c r="C9649" s="33" t="s">
        <v>9825</v>
      </c>
      <c r="D9649" s="33" t="s">
        <v>17</v>
      </c>
      <c r="E9649" s="33" t="s">
        <v>26</v>
      </c>
      <c r="F9649" s="33" t="s">
        <v>27</v>
      </c>
      <c r="G9649" s="33" t="s">
        <v>20</v>
      </c>
      <c r="H9649" s="35">
        <v>33</v>
      </c>
      <c r="I9649" s="33" t="s">
        <v>21</v>
      </c>
      <c r="J9649" s="42">
        <v>44684</v>
      </c>
      <c r="K9649" s="33" t="s">
        <v>22</v>
      </c>
    </row>
    <row r="9650" spans="1:11">
      <c r="A9650" s="30" t="s">
        <v>22110</v>
      </c>
      <c r="B9650" s="30" t="s">
        <v>22111</v>
      </c>
      <c r="C9650" s="30" t="s">
        <v>21261</v>
      </c>
      <c r="D9650" s="30" t="s">
        <v>17</v>
      </c>
      <c r="E9650" s="30" t="s">
        <v>26</v>
      </c>
      <c r="F9650" s="30" t="s">
        <v>27</v>
      </c>
      <c r="G9650" s="30" t="s">
        <v>20</v>
      </c>
      <c r="H9650" s="32">
        <v>12</v>
      </c>
      <c r="I9650" s="30" t="s">
        <v>21</v>
      </c>
      <c r="J9650" s="41">
        <v>44769</v>
      </c>
      <c r="K9650" s="30" t="s">
        <v>22</v>
      </c>
    </row>
    <row r="9651" spans="1:11">
      <c r="A9651" s="33" t="s">
        <v>22112</v>
      </c>
      <c r="B9651" s="33" t="s">
        <v>22113</v>
      </c>
      <c r="C9651" s="33" t="s">
        <v>13241</v>
      </c>
      <c r="D9651" s="33" t="s">
        <v>17</v>
      </c>
      <c r="E9651" s="33" t="s">
        <v>26</v>
      </c>
      <c r="F9651" s="33" t="s">
        <v>27</v>
      </c>
      <c r="G9651" s="33" t="s">
        <v>20</v>
      </c>
      <c r="H9651" s="35">
        <v>12</v>
      </c>
      <c r="I9651" s="33" t="s">
        <v>21</v>
      </c>
      <c r="J9651" s="42">
        <v>44615</v>
      </c>
      <c r="K9651" s="33" t="s">
        <v>22</v>
      </c>
    </row>
    <row r="9652" spans="1:11">
      <c r="A9652" s="30" t="s">
        <v>22114</v>
      </c>
      <c r="B9652" s="30" t="s">
        <v>22115</v>
      </c>
      <c r="C9652" s="30" t="s">
        <v>3296</v>
      </c>
      <c r="D9652" s="30" t="s">
        <v>17</v>
      </c>
      <c r="E9652" s="30" t="s">
        <v>18</v>
      </c>
      <c r="F9652" s="30" t="s">
        <v>19</v>
      </c>
      <c r="G9652" s="30" t="s">
        <v>20</v>
      </c>
      <c r="H9652" s="32">
        <v>607</v>
      </c>
      <c r="I9652" s="30" t="s">
        <v>21</v>
      </c>
      <c r="J9652" s="41">
        <v>44693</v>
      </c>
      <c r="K9652" s="30" t="s">
        <v>22</v>
      </c>
    </row>
    <row r="9653" spans="1:11">
      <c r="A9653" s="33" t="s">
        <v>22116</v>
      </c>
      <c r="B9653" s="33" t="s">
        <v>22117</v>
      </c>
      <c r="C9653" s="33" t="s">
        <v>22118</v>
      </c>
      <c r="D9653" s="33" t="s">
        <v>17</v>
      </c>
      <c r="E9653" s="33" t="s">
        <v>31</v>
      </c>
      <c r="F9653" s="33" t="s">
        <v>32</v>
      </c>
      <c r="G9653" s="33" t="s">
        <v>20</v>
      </c>
      <c r="H9653" s="35">
        <v>200</v>
      </c>
      <c r="I9653" s="33" t="s">
        <v>21</v>
      </c>
      <c r="J9653" s="42">
        <v>44782</v>
      </c>
      <c r="K9653" s="33" t="s">
        <v>22</v>
      </c>
    </row>
    <row r="9654" spans="1:11">
      <c r="A9654" s="30" t="s">
        <v>22119</v>
      </c>
      <c r="B9654" s="30" t="s">
        <v>22120</v>
      </c>
      <c r="C9654" s="30" t="s">
        <v>774</v>
      </c>
      <c r="D9654" s="30" t="s">
        <v>17</v>
      </c>
      <c r="E9654" s="30" t="s">
        <v>18</v>
      </c>
      <c r="F9654" s="30" t="s">
        <v>19</v>
      </c>
      <c r="G9654" s="30" t="s">
        <v>20</v>
      </c>
      <c r="H9654" s="32">
        <v>167</v>
      </c>
      <c r="I9654" s="30" t="s">
        <v>21</v>
      </c>
      <c r="J9654" s="41">
        <v>44579</v>
      </c>
      <c r="K9654" s="30" t="s">
        <v>22</v>
      </c>
    </row>
    <row r="9655" spans="1:11">
      <c r="A9655" s="33" t="s">
        <v>22121</v>
      </c>
      <c r="B9655" s="33" t="s">
        <v>22122</v>
      </c>
      <c r="C9655" s="33" t="s">
        <v>5169</v>
      </c>
      <c r="D9655" s="33" t="s">
        <v>17</v>
      </c>
      <c r="E9655" s="33" t="s">
        <v>26</v>
      </c>
      <c r="F9655" s="33" t="s">
        <v>27</v>
      </c>
      <c r="G9655" s="33" t="s">
        <v>20</v>
      </c>
      <c r="H9655" s="35">
        <v>24</v>
      </c>
      <c r="I9655" s="33" t="s">
        <v>21</v>
      </c>
      <c r="J9655" s="42">
        <v>44620</v>
      </c>
      <c r="K9655" s="33" t="s">
        <v>22</v>
      </c>
    </row>
    <row r="9656" spans="1:11">
      <c r="A9656" s="30" t="s">
        <v>22123</v>
      </c>
      <c r="B9656" s="30" t="s">
        <v>22124</v>
      </c>
      <c r="C9656" s="30" t="s">
        <v>22125</v>
      </c>
      <c r="D9656" s="30" t="s">
        <v>17</v>
      </c>
      <c r="E9656" s="30" t="s">
        <v>18</v>
      </c>
      <c r="F9656" s="30" t="s">
        <v>19</v>
      </c>
      <c r="G9656" s="30" t="s">
        <v>50</v>
      </c>
      <c r="H9656" s="32">
        <v>40</v>
      </c>
      <c r="I9656" s="30" t="s">
        <v>51</v>
      </c>
      <c r="J9656" s="41">
        <v>44623</v>
      </c>
      <c r="K9656" s="30" t="s">
        <v>22</v>
      </c>
    </row>
    <row r="9657" spans="1:11">
      <c r="A9657" s="33" t="s">
        <v>22126</v>
      </c>
      <c r="B9657" s="33" t="s">
        <v>22127</v>
      </c>
      <c r="C9657" s="33" t="s">
        <v>178</v>
      </c>
      <c r="D9657" s="33" t="s">
        <v>17</v>
      </c>
      <c r="E9657" s="33" t="s">
        <v>31</v>
      </c>
      <c r="F9657" s="33" t="s">
        <v>32</v>
      </c>
      <c r="G9657" s="33" t="s">
        <v>140</v>
      </c>
      <c r="H9657" s="35">
        <v>40</v>
      </c>
      <c r="I9657" s="33" t="s">
        <v>51</v>
      </c>
      <c r="J9657" s="42">
        <v>44693</v>
      </c>
      <c r="K9657" s="33" t="s">
        <v>22</v>
      </c>
    </row>
    <row r="9658" spans="1:11">
      <c r="A9658" s="30" t="s">
        <v>22128</v>
      </c>
      <c r="B9658" s="30" t="s">
        <v>22129</v>
      </c>
      <c r="C9658" s="30" t="s">
        <v>93</v>
      </c>
      <c r="D9658" s="30" t="s">
        <v>17</v>
      </c>
      <c r="E9658" s="30" t="s">
        <v>18</v>
      </c>
      <c r="F9658" s="30" t="s">
        <v>19</v>
      </c>
      <c r="G9658" s="30" t="s">
        <v>20</v>
      </c>
      <c r="H9658" s="32">
        <v>638</v>
      </c>
      <c r="I9658" s="30" t="s">
        <v>21</v>
      </c>
      <c r="J9658" s="41">
        <v>44636</v>
      </c>
      <c r="K9658" s="30" t="s">
        <v>22</v>
      </c>
    </row>
    <row r="9659" spans="1:11">
      <c r="A9659" s="33" t="s">
        <v>22130</v>
      </c>
      <c r="B9659" s="33" t="s">
        <v>22131</v>
      </c>
      <c r="C9659" s="33" t="s">
        <v>429</v>
      </c>
      <c r="D9659" s="33" t="s">
        <v>17</v>
      </c>
      <c r="E9659" s="33" t="s">
        <v>26</v>
      </c>
      <c r="F9659" s="33" t="s">
        <v>27</v>
      </c>
      <c r="G9659" s="33" t="s">
        <v>20</v>
      </c>
      <c r="H9659" s="35">
        <v>56</v>
      </c>
      <c r="I9659" s="33" t="s">
        <v>21</v>
      </c>
      <c r="J9659" s="42">
        <v>44571</v>
      </c>
      <c r="K9659" s="33" t="s">
        <v>22</v>
      </c>
    </row>
    <row r="9660" spans="1:11">
      <c r="A9660" s="30" t="s">
        <v>22132</v>
      </c>
      <c r="B9660" s="30" t="s">
        <v>22133</v>
      </c>
      <c r="C9660" s="30" t="s">
        <v>190</v>
      </c>
      <c r="D9660" s="30" t="s">
        <v>17</v>
      </c>
      <c r="E9660" s="30" t="s">
        <v>18</v>
      </c>
      <c r="F9660" s="30" t="s">
        <v>19</v>
      </c>
      <c r="G9660" s="30" t="s">
        <v>158</v>
      </c>
      <c r="H9660" s="32">
        <v>594</v>
      </c>
      <c r="I9660" s="30" t="s">
        <v>21</v>
      </c>
      <c r="J9660" s="41">
        <v>44819</v>
      </c>
      <c r="K9660" s="30" t="s">
        <v>22</v>
      </c>
    </row>
    <row r="9661" spans="1:11">
      <c r="A9661" s="33" t="s">
        <v>22134</v>
      </c>
      <c r="B9661" s="33" t="s">
        <v>22135</v>
      </c>
      <c r="C9661" s="33" t="s">
        <v>22067</v>
      </c>
      <c r="D9661" s="33" t="s">
        <v>17</v>
      </c>
      <c r="E9661" s="33" t="s">
        <v>26</v>
      </c>
      <c r="F9661" s="33" t="s">
        <v>27</v>
      </c>
      <c r="G9661" s="33" t="s">
        <v>20</v>
      </c>
      <c r="H9661" s="35">
        <v>31</v>
      </c>
      <c r="I9661" s="33" t="s">
        <v>21</v>
      </c>
      <c r="J9661" s="42">
        <v>44567</v>
      </c>
      <c r="K9661" s="33" t="s">
        <v>22</v>
      </c>
    </row>
    <row r="9662" spans="1:11">
      <c r="A9662" s="30" t="s">
        <v>22136</v>
      </c>
      <c r="B9662" s="30" t="s">
        <v>22137</v>
      </c>
      <c r="C9662" s="30" t="s">
        <v>3429</v>
      </c>
      <c r="D9662" s="30" t="s">
        <v>17</v>
      </c>
      <c r="E9662" s="30" t="s">
        <v>26</v>
      </c>
      <c r="F9662" s="30" t="s">
        <v>27</v>
      </c>
      <c r="G9662" s="30" t="s">
        <v>20</v>
      </c>
      <c r="H9662" s="32">
        <v>24</v>
      </c>
      <c r="I9662" s="30" t="s">
        <v>21</v>
      </c>
      <c r="J9662" s="41">
        <v>44724</v>
      </c>
      <c r="K9662" s="30" t="s">
        <v>22</v>
      </c>
    </row>
    <row r="9663" spans="1:11">
      <c r="A9663" s="33" t="s">
        <v>22138</v>
      </c>
      <c r="B9663" s="33" t="s">
        <v>22139</v>
      </c>
      <c r="C9663" s="33" t="s">
        <v>22140</v>
      </c>
      <c r="D9663" s="33" t="s">
        <v>17</v>
      </c>
      <c r="E9663" s="33" t="s">
        <v>67</v>
      </c>
      <c r="F9663" s="33" t="s">
        <v>68</v>
      </c>
      <c r="G9663" s="33" t="s">
        <v>50</v>
      </c>
      <c r="H9663" s="35">
        <v>9</v>
      </c>
      <c r="I9663" s="33" t="s">
        <v>51</v>
      </c>
      <c r="J9663" s="42">
        <v>44824</v>
      </c>
      <c r="K9663" s="33" t="s">
        <v>22</v>
      </c>
    </row>
    <row r="9664" spans="1:11">
      <c r="A9664" s="30" t="s">
        <v>22141</v>
      </c>
      <c r="B9664" s="30" t="s">
        <v>22142</v>
      </c>
      <c r="C9664" s="30" t="s">
        <v>3243</v>
      </c>
      <c r="D9664" s="30" t="s">
        <v>17</v>
      </c>
      <c r="E9664" s="30" t="s">
        <v>26</v>
      </c>
      <c r="F9664" s="30" t="s">
        <v>27</v>
      </c>
      <c r="G9664" s="30" t="s">
        <v>20</v>
      </c>
      <c r="H9664" s="32">
        <v>24</v>
      </c>
      <c r="I9664" s="30" t="s">
        <v>21</v>
      </c>
      <c r="J9664" s="41">
        <v>44898</v>
      </c>
      <c r="K9664" s="30" t="s">
        <v>22</v>
      </c>
    </row>
    <row r="9665" spans="1:11">
      <c r="A9665" s="33" t="s">
        <v>22143</v>
      </c>
      <c r="B9665" s="33" t="s">
        <v>22144</v>
      </c>
      <c r="C9665" s="33" t="s">
        <v>22145</v>
      </c>
      <c r="D9665" s="33" t="s">
        <v>17</v>
      </c>
      <c r="E9665" s="33" t="s">
        <v>26</v>
      </c>
      <c r="F9665" s="33" t="s">
        <v>27</v>
      </c>
      <c r="G9665" s="33" t="s">
        <v>20</v>
      </c>
      <c r="H9665" s="35">
        <v>22</v>
      </c>
      <c r="I9665" s="33" t="s">
        <v>21</v>
      </c>
      <c r="J9665" s="42">
        <v>44604</v>
      </c>
      <c r="K9665" s="33" t="s">
        <v>22</v>
      </c>
    </row>
    <row r="9666" spans="1:11">
      <c r="A9666" s="30" t="s">
        <v>22146</v>
      </c>
      <c r="B9666" s="30" t="s">
        <v>22147</v>
      </c>
      <c r="C9666" s="30" t="s">
        <v>310</v>
      </c>
      <c r="D9666" s="30" t="s">
        <v>17</v>
      </c>
      <c r="E9666" s="30" t="s">
        <v>18</v>
      </c>
      <c r="F9666" s="30" t="s">
        <v>19</v>
      </c>
      <c r="G9666" s="30" t="s">
        <v>158</v>
      </c>
      <c r="H9666" s="32">
        <v>153</v>
      </c>
      <c r="I9666" s="30" t="s">
        <v>51</v>
      </c>
      <c r="J9666" s="41">
        <v>44644</v>
      </c>
      <c r="K9666" s="30" t="s">
        <v>22</v>
      </c>
    </row>
    <row r="9667" spans="1:11">
      <c r="A9667" s="33" t="s">
        <v>22148</v>
      </c>
      <c r="B9667" s="33" t="s">
        <v>22149</v>
      </c>
      <c r="C9667" s="33" t="s">
        <v>231</v>
      </c>
      <c r="D9667" s="33" t="s">
        <v>17</v>
      </c>
      <c r="E9667" s="33" t="s">
        <v>26</v>
      </c>
      <c r="F9667" s="33" t="s">
        <v>27</v>
      </c>
      <c r="G9667" s="33" t="s">
        <v>20</v>
      </c>
      <c r="H9667" s="35">
        <v>14</v>
      </c>
      <c r="I9667" s="33" t="s">
        <v>21</v>
      </c>
      <c r="J9667" s="42">
        <v>44823</v>
      </c>
      <c r="K9667" s="33" t="s">
        <v>22</v>
      </c>
    </row>
    <row r="9668" spans="1:11">
      <c r="A9668" s="30" t="s">
        <v>22150</v>
      </c>
      <c r="B9668" s="30" t="s">
        <v>22151</v>
      </c>
      <c r="C9668" s="30" t="s">
        <v>535</v>
      </c>
      <c r="D9668" s="30" t="s">
        <v>17</v>
      </c>
      <c r="E9668" s="30" t="s">
        <v>67</v>
      </c>
      <c r="F9668" s="30" t="s">
        <v>68</v>
      </c>
      <c r="G9668" s="30" t="s">
        <v>140</v>
      </c>
      <c r="H9668" s="32">
        <v>282</v>
      </c>
      <c r="I9668" s="30" t="s">
        <v>51</v>
      </c>
      <c r="J9668" s="41">
        <v>44711</v>
      </c>
      <c r="K9668" s="30" t="s">
        <v>22</v>
      </c>
    </row>
    <row r="9669" spans="1:11">
      <c r="A9669" s="33" t="s">
        <v>22152</v>
      </c>
      <c r="B9669" s="33" t="s">
        <v>22153</v>
      </c>
      <c r="C9669" s="33" t="s">
        <v>844</v>
      </c>
      <c r="D9669" s="33" t="s">
        <v>17</v>
      </c>
      <c r="E9669" s="33" t="s">
        <v>18</v>
      </c>
      <c r="F9669" s="33" t="s">
        <v>19</v>
      </c>
      <c r="G9669" s="33" t="s">
        <v>20</v>
      </c>
      <c r="H9669" s="35">
        <v>800</v>
      </c>
      <c r="I9669" s="33" t="s">
        <v>21</v>
      </c>
      <c r="J9669" s="42">
        <v>44810</v>
      </c>
      <c r="K9669" s="33" t="s">
        <v>22</v>
      </c>
    </row>
    <row r="9670" spans="1:11">
      <c r="A9670" s="30" t="s">
        <v>22154</v>
      </c>
      <c r="B9670" s="30" t="s">
        <v>22155</v>
      </c>
      <c r="C9670" s="30" t="s">
        <v>149</v>
      </c>
      <c r="D9670" s="30" t="s">
        <v>17</v>
      </c>
      <c r="E9670" s="30" t="s">
        <v>31</v>
      </c>
      <c r="F9670" s="30" t="s">
        <v>32</v>
      </c>
      <c r="G9670" s="30" t="s">
        <v>20</v>
      </c>
      <c r="H9670" s="32">
        <v>38</v>
      </c>
      <c r="I9670" s="30" t="s">
        <v>21</v>
      </c>
      <c r="J9670" s="41">
        <v>44575</v>
      </c>
      <c r="K9670" s="30" t="s">
        <v>22</v>
      </c>
    </row>
    <row r="9671" spans="1:11">
      <c r="A9671" s="33" t="s">
        <v>22156</v>
      </c>
      <c r="B9671" s="33" t="s">
        <v>22157</v>
      </c>
      <c r="C9671" s="33" t="s">
        <v>118</v>
      </c>
      <c r="D9671" s="33" t="s">
        <v>17</v>
      </c>
      <c r="E9671" s="33" t="s">
        <v>26</v>
      </c>
      <c r="F9671" s="33" t="s">
        <v>27</v>
      </c>
      <c r="G9671" s="33" t="s">
        <v>20</v>
      </c>
      <c r="H9671" s="35">
        <v>16</v>
      </c>
      <c r="I9671" s="33" t="s">
        <v>21</v>
      </c>
      <c r="J9671" s="42">
        <v>44704</v>
      </c>
      <c r="K9671" s="33" t="s">
        <v>22</v>
      </c>
    </row>
    <row r="9672" spans="1:11">
      <c r="A9672" s="30" t="s">
        <v>22158</v>
      </c>
      <c r="B9672" s="30" t="s">
        <v>22159</v>
      </c>
      <c r="C9672" s="30" t="s">
        <v>22160</v>
      </c>
      <c r="D9672" s="30" t="s">
        <v>17</v>
      </c>
      <c r="E9672" s="30" t="s">
        <v>31</v>
      </c>
      <c r="F9672" s="30" t="s">
        <v>32</v>
      </c>
      <c r="G9672" s="30" t="s">
        <v>106</v>
      </c>
      <c r="H9672" s="32">
        <v>166</v>
      </c>
      <c r="I9672" s="30" t="s">
        <v>21</v>
      </c>
      <c r="J9672" s="41">
        <v>44733</v>
      </c>
      <c r="K9672" s="30" t="s">
        <v>22</v>
      </c>
    </row>
    <row r="9673" spans="1:11">
      <c r="A9673" s="33" t="s">
        <v>22161</v>
      </c>
      <c r="B9673" s="33" t="s">
        <v>22162</v>
      </c>
      <c r="C9673" s="33" t="s">
        <v>1745</v>
      </c>
      <c r="D9673" s="33" t="s">
        <v>17</v>
      </c>
      <c r="E9673" s="33" t="s">
        <v>67</v>
      </c>
      <c r="F9673" s="33" t="s">
        <v>68</v>
      </c>
      <c r="G9673" s="33" t="s">
        <v>20</v>
      </c>
      <c r="H9673" s="35">
        <v>117</v>
      </c>
      <c r="I9673" s="33" t="s">
        <v>21</v>
      </c>
      <c r="J9673" s="42">
        <v>44572</v>
      </c>
      <c r="K9673" s="33" t="s">
        <v>22</v>
      </c>
    </row>
    <row r="9674" spans="1:11">
      <c r="A9674" s="30" t="s">
        <v>22163</v>
      </c>
      <c r="B9674" s="30" t="s">
        <v>22164</v>
      </c>
      <c r="C9674" s="30" t="s">
        <v>462</v>
      </c>
      <c r="D9674" s="30" t="s">
        <v>17</v>
      </c>
      <c r="E9674" s="30" t="s">
        <v>18</v>
      </c>
      <c r="F9674" s="30" t="s">
        <v>19</v>
      </c>
      <c r="G9674" s="30" t="s">
        <v>20</v>
      </c>
      <c r="H9674" s="32">
        <v>250</v>
      </c>
      <c r="I9674" s="30" t="s">
        <v>21</v>
      </c>
      <c r="J9674" s="41">
        <v>44772</v>
      </c>
      <c r="K9674" s="30" t="s">
        <v>22</v>
      </c>
    </row>
    <row r="9675" spans="1:11">
      <c r="A9675" s="33" t="s">
        <v>22165</v>
      </c>
      <c r="B9675" s="33" t="s">
        <v>22166</v>
      </c>
      <c r="C9675" s="33" t="s">
        <v>3258</v>
      </c>
      <c r="D9675" s="33" t="s">
        <v>17</v>
      </c>
      <c r="E9675" s="33" t="s">
        <v>212</v>
      </c>
      <c r="F9675" s="33" t="s">
        <v>213</v>
      </c>
      <c r="G9675" s="33" t="s">
        <v>112</v>
      </c>
      <c r="H9675" s="35">
        <v>0</v>
      </c>
      <c r="I9675" s="33" t="s">
        <v>21</v>
      </c>
      <c r="J9675" s="42">
        <v>44694</v>
      </c>
      <c r="K9675" s="33" t="s">
        <v>22</v>
      </c>
    </row>
    <row r="9676" spans="1:11">
      <c r="A9676" s="30" t="s">
        <v>22167</v>
      </c>
      <c r="B9676" s="30" t="s">
        <v>22168</v>
      </c>
      <c r="C9676" s="30" t="s">
        <v>22169</v>
      </c>
      <c r="D9676" s="30" t="s">
        <v>17</v>
      </c>
      <c r="E9676" s="30" t="s">
        <v>67</v>
      </c>
      <c r="F9676" s="30" t="s">
        <v>68</v>
      </c>
      <c r="G9676" s="30" t="s">
        <v>140</v>
      </c>
      <c r="H9676" s="32">
        <v>105</v>
      </c>
      <c r="I9676" s="30" t="s">
        <v>51</v>
      </c>
      <c r="J9676" s="41">
        <v>44910</v>
      </c>
      <c r="K9676" s="30" t="s">
        <v>22</v>
      </c>
    </row>
    <row r="9677" spans="1:11">
      <c r="A9677" s="33" t="s">
        <v>22170</v>
      </c>
      <c r="B9677" s="33" t="s">
        <v>22171</v>
      </c>
      <c r="C9677" s="33" t="s">
        <v>22172</v>
      </c>
      <c r="D9677" s="33" t="s">
        <v>17</v>
      </c>
      <c r="E9677" s="33" t="s">
        <v>26</v>
      </c>
      <c r="F9677" s="33" t="s">
        <v>27</v>
      </c>
      <c r="G9677" s="33" t="s">
        <v>158</v>
      </c>
      <c r="H9677" s="35">
        <v>48</v>
      </c>
      <c r="I9677" s="33" t="s">
        <v>51</v>
      </c>
      <c r="J9677" s="42">
        <v>44662</v>
      </c>
      <c r="K9677" s="33" t="s">
        <v>22</v>
      </c>
    </row>
    <row r="9678" spans="1:11">
      <c r="A9678" s="30" t="s">
        <v>22173</v>
      </c>
      <c r="B9678" s="30" t="s">
        <v>22174</v>
      </c>
      <c r="C9678" s="30" t="s">
        <v>3978</v>
      </c>
      <c r="D9678" s="30" t="s">
        <v>17</v>
      </c>
      <c r="E9678" s="30" t="s">
        <v>18</v>
      </c>
      <c r="F9678" s="30" t="s">
        <v>19</v>
      </c>
      <c r="G9678" s="30" t="s">
        <v>140</v>
      </c>
      <c r="H9678" s="32">
        <v>45</v>
      </c>
      <c r="I9678" s="30" t="s">
        <v>51</v>
      </c>
      <c r="J9678" s="41">
        <v>44880</v>
      </c>
      <c r="K9678" s="30" t="s">
        <v>22</v>
      </c>
    </row>
    <row r="9679" spans="1:11">
      <c r="A9679" s="33" t="s">
        <v>22175</v>
      </c>
      <c r="B9679" s="33" t="s">
        <v>22176</v>
      </c>
      <c r="C9679" s="33" t="s">
        <v>109</v>
      </c>
      <c r="D9679" s="33" t="s">
        <v>17</v>
      </c>
      <c r="E9679" s="33" t="s">
        <v>31</v>
      </c>
      <c r="F9679" s="33" t="s">
        <v>32</v>
      </c>
      <c r="G9679" s="33" t="s">
        <v>20</v>
      </c>
      <c r="H9679" s="35">
        <v>20</v>
      </c>
      <c r="I9679" s="33" t="s">
        <v>21</v>
      </c>
      <c r="J9679" s="42">
        <v>44887</v>
      </c>
      <c r="K9679" s="33" t="s">
        <v>22</v>
      </c>
    </row>
    <row r="9680" spans="1:11">
      <c r="A9680" s="30" t="s">
        <v>22177</v>
      </c>
      <c r="B9680" s="30" t="s">
        <v>22178</v>
      </c>
      <c r="C9680" s="30" t="s">
        <v>1085</v>
      </c>
      <c r="D9680" s="30" t="s">
        <v>17</v>
      </c>
      <c r="E9680" s="30" t="s">
        <v>67</v>
      </c>
      <c r="F9680" s="30" t="s">
        <v>68</v>
      </c>
      <c r="G9680" s="30" t="s">
        <v>20</v>
      </c>
      <c r="H9680" s="32">
        <v>68</v>
      </c>
      <c r="I9680" s="30" t="s">
        <v>21</v>
      </c>
      <c r="J9680" s="41">
        <v>44630</v>
      </c>
      <c r="K9680" s="30" t="s">
        <v>22</v>
      </c>
    </row>
    <row r="9681" spans="1:11">
      <c r="A9681" s="33" t="s">
        <v>22179</v>
      </c>
      <c r="B9681" s="33" t="s">
        <v>22180</v>
      </c>
      <c r="C9681" s="33" t="s">
        <v>178</v>
      </c>
      <c r="D9681" s="33" t="s">
        <v>17</v>
      </c>
      <c r="E9681" s="33" t="s">
        <v>31</v>
      </c>
      <c r="F9681" s="33" t="s">
        <v>32</v>
      </c>
      <c r="G9681" s="33" t="s">
        <v>20</v>
      </c>
      <c r="H9681" s="35">
        <v>470</v>
      </c>
      <c r="I9681" s="33" t="s">
        <v>21</v>
      </c>
      <c r="J9681" s="42">
        <v>44764</v>
      </c>
      <c r="K9681" s="33" t="s">
        <v>22</v>
      </c>
    </row>
    <row r="9682" spans="1:11">
      <c r="A9682" s="30" t="s">
        <v>22181</v>
      </c>
      <c r="B9682" s="30" t="s">
        <v>22182</v>
      </c>
      <c r="C9682" s="30" t="s">
        <v>136</v>
      </c>
      <c r="D9682" s="30" t="s">
        <v>17</v>
      </c>
      <c r="E9682" s="30" t="s">
        <v>26</v>
      </c>
      <c r="F9682" s="30" t="s">
        <v>27</v>
      </c>
      <c r="G9682" s="30" t="s">
        <v>20</v>
      </c>
      <c r="H9682" s="32">
        <v>32</v>
      </c>
      <c r="I9682" s="30" t="s">
        <v>21</v>
      </c>
      <c r="J9682" s="41">
        <v>44851</v>
      </c>
      <c r="K9682" s="30" t="s">
        <v>22</v>
      </c>
    </row>
    <row r="9683" spans="1:11">
      <c r="A9683" s="33" t="s">
        <v>22183</v>
      </c>
      <c r="B9683" s="33" t="s">
        <v>22184</v>
      </c>
      <c r="C9683" s="33" t="s">
        <v>78</v>
      </c>
      <c r="D9683" s="33" t="s">
        <v>17</v>
      </c>
      <c r="E9683" s="33" t="s">
        <v>18</v>
      </c>
      <c r="F9683" s="33" t="s">
        <v>19</v>
      </c>
      <c r="G9683" s="33" t="s">
        <v>20</v>
      </c>
      <c r="H9683" s="35">
        <v>172</v>
      </c>
      <c r="I9683" s="33" t="s">
        <v>21</v>
      </c>
      <c r="J9683" s="42">
        <v>44846</v>
      </c>
      <c r="K9683" s="33" t="s">
        <v>22</v>
      </c>
    </row>
    <row r="9684" spans="1:11">
      <c r="A9684" s="30" t="s">
        <v>22185</v>
      </c>
      <c r="B9684" s="30" t="s">
        <v>22186</v>
      </c>
      <c r="C9684" s="30" t="s">
        <v>1701</v>
      </c>
      <c r="D9684" s="30" t="s">
        <v>17</v>
      </c>
      <c r="E9684" s="30" t="s">
        <v>31</v>
      </c>
      <c r="F9684" s="30" t="s">
        <v>32</v>
      </c>
      <c r="G9684" s="30" t="s">
        <v>20</v>
      </c>
      <c r="H9684" s="32">
        <v>30</v>
      </c>
      <c r="I9684" s="30" t="s">
        <v>21</v>
      </c>
      <c r="J9684" s="41">
        <v>44663</v>
      </c>
      <c r="K9684" s="30" t="s">
        <v>22</v>
      </c>
    </row>
    <row r="9685" spans="1:11">
      <c r="A9685" s="33" t="s">
        <v>22187</v>
      </c>
      <c r="B9685" s="33" t="s">
        <v>22188</v>
      </c>
      <c r="C9685" s="33" t="s">
        <v>6663</v>
      </c>
      <c r="D9685" s="33" t="s">
        <v>17</v>
      </c>
      <c r="E9685" s="33" t="s">
        <v>67</v>
      </c>
      <c r="F9685" s="33" t="s">
        <v>68</v>
      </c>
      <c r="G9685" s="33" t="s">
        <v>20</v>
      </c>
      <c r="H9685" s="35">
        <v>26</v>
      </c>
      <c r="I9685" s="33" t="s">
        <v>21</v>
      </c>
      <c r="J9685" s="42">
        <v>44670</v>
      </c>
      <c r="K9685" s="33" t="s">
        <v>22</v>
      </c>
    </row>
    <row r="9686" spans="1:11">
      <c r="A9686" s="30" t="s">
        <v>22189</v>
      </c>
      <c r="B9686" s="30" t="s">
        <v>22190</v>
      </c>
      <c r="C9686" s="30" t="s">
        <v>925</v>
      </c>
      <c r="D9686" s="30" t="s">
        <v>17</v>
      </c>
      <c r="E9686" s="30" t="s">
        <v>18</v>
      </c>
      <c r="F9686" s="30" t="s">
        <v>19</v>
      </c>
      <c r="G9686" s="30" t="s">
        <v>158</v>
      </c>
      <c r="H9686" s="32">
        <v>1021</v>
      </c>
      <c r="I9686" s="30" t="s">
        <v>21</v>
      </c>
      <c r="J9686" s="41">
        <v>44846</v>
      </c>
      <c r="K9686" s="30" t="s">
        <v>22</v>
      </c>
    </row>
    <row r="9687" spans="1:11">
      <c r="A9687" s="33" t="s">
        <v>22191</v>
      </c>
      <c r="B9687" s="33" t="s">
        <v>22192</v>
      </c>
      <c r="C9687" s="33" t="s">
        <v>22193</v>
      </c>
      <c r="D9687" s="33" t="s">
        <v>17</v>
      </c>
      <c r="E9687" s="33" t="s">
        <v>330</v>
      </c>
      <c r="F9687" s="33" t="s">
        <v>331</v>
      </c>
      <c r="G9687" s="33" t="s">
        <v>20</v>
      </c>
      <c r="H9687" s="35">
        <v>1</v>
      </c>
      <c r="I9687" s="33" t="s">
        <v>21</v>
      </c>
      <c r="J9687" s="42">
        <v>44565</v>
      </c>
      <c r="K9687" s="33" t="s">
        <v>22</v>
      </c>
    </row>
    <row r="9688" spans="1:11">
      <c r="A9688" s="30" t="s">
        <v>22194</v>
      </c>
      <c r="B9688" s="30" t="s">
        <v>22195</v>
      </c>
      <c r="C9688" s="30" t="s">
        <v>3013</v>
      </c>
      <c r="D9688" s="30" t="s">
        <v>17</v>
      </c>
      <c r="E9688" s="30" t="s">
        <v>26</v>
      </c>
      <c r="F9688" s="30" t="s">
        <v>27</v>
      </c>
      <c r="G9688" s="30" t="s">
        <v>140</v>
      </c>
      <c r="H9688" s="32">
        <v>214</v>
      </c>
      <c r="I9688" s="30" t="s">
        <v>51</v>
      </c>
      <c r="J9688" s="41">
        <v>44726</v>
      </c>
      <c r="K9688" s="30" t="s">
        <v>22</v>
      </c>
    </row>
    <row r="9689" spans="1:11">
      <c r="A9689" s="33" t="s">
        <v>22196</v>
      </c>
      <c r="B9689" s="33" t="s">
        <v>22197</v>
      </c>
      <c r="C9689" s="33" t="s">
        <v>20576</v>
      </c>
      <c r="D9689" s="33" t="s">
        <v>17</v>
      </c>
      <c r="E9689" s="33" t="s">
        <v>26</v>
      </c>
      <c r="F9689" s="33" t="s">
        <v>27</v>
      </c>
      <c r="G9689" s="33" t="s">
        <v>20</v>
      </c>
      <c r="H9689" s="35">
        <v>24</v>
      </c>
      <c r="I9689" s="33" t="s">
        <v>21</v>
      </c>
      <c r="J9689" s="42">
        <v>44910</v>
      </c>
      <c r="K9689" s="33" t="s">
        <v>22</v>
      </c>
    </row>
    <row r="9690" spans="1:11">
      <c r="A9690" s="30" t="s">
        <v>22198</v>
      </c>
      <c r="B9690" s="30" t="s">
        <v>22199</v>
      </c>
      <c r="C9690" s="30" t="s">
        <v>18591</v>
      </c>
      <c r="D9690" s="30" t="s">
        <v>17</v>
      </c>
      <c r="E9690" s="30" t="s">
        <v>26</v>
      </c>
      <c r="F9690" s="30" t="s">
        <v>27</v>
      </c>
      <c r="G9690" s="30" t="s">
        <v>158</v>
      </c>
      <c r="H9690" s="32">
        <v>70</v>
      </c>
      <c r="I9690" s="30" t="s">
        <v>51</v>
      </c>
      <c r="J9690" s="41">
        <v>44581</v>
      </c>
      <c r="K9690" s="30" t="s">
        <v>22</v>
      </c>
    </row>
    <row r="9691" spans="1:11">
      <c r="A9691" s="33" t="s">
        <v>22200</v>
      </c>
      <c r="B9691" s="33" t="s">
        <v>22201</v>
      </c>
      <c r="C9691" s="33" t="s">
        <v>4453</v>
      </c>
      <c r="D9691" s="33" t="s">
        <v>17</v>
      </c>
      <c r="E9691" s="33" t="s">
        <v>18</v>
      </c>
      <c r="F9691" s="33" t="s">
        <v>19</v>
      </c>
      <c r="G9691" s="33" t="s">
        <v>112</v>
      </c>
      <c r="H9691" s="35">
        <v>0</v>
      </c>
      <c r="I9691" s="33" t="s">
        <v>21</v>
      </c>
      <c r="J9691" s="42">
        <v>44896</v>
      </c>
      <c r="K9691" s="33" t="s">
        <v>22</v>
      </c>
    </row>
    <row r="9692" spans="1:11">
      <c r="A9692" s="30" t="s">
        <v>22202</v>
      </c>
      <c r="B9692" s="30" t="s">
        <v>22203</v>
      </c>
      <c r="C9692" s="30" t="s">
        <v>216</v>
      </c>
      <c r="D9692" s="30" t="s">
        <v>17</v>
      </c>
      <c r="E9692" s="30" t="s">
        <v>26</v>
      </c>
      <c r="F9692" s="30" t="s">
        <v>27</v>
      </c>
      <c r="G9692" s="30" t="s">
        <v>20</v>
      </c>
      <c r="H9692" s="32">
        <v>86</v>
      </c>
      <c r="I9692" s="30" t="s">
        <v>21</v>
      </c>
      <c r="J9692" s="41">
        <v>44581</v>
      </c>
      <c r="K9692" s="30" t="s">
        <v>22</v>
      </c>
    </row>
    <row r="9693" spans="1:11">
      <c r="A9693" s="33" t="s">
        <v>22204</v>
      </c>
      <c r="B9693" s="33" t="s">
        <v>22205</v>
      </c>
      <c r="C9693" s="33" t="s">
        <v>7158</v>
      </c>
      <c r="D9693" s="33" t="s">
        <v>17</v>
      </c>
      <c r="E9693" s="33" t="s">
        <v>18</v>
      </c>
      <c r="F9693" s="33" t="s">
        <v>19</v>
      </c>
      <c r="G9693" s="33" t="s">
        <v>20</v>
      </c>
      <c r="H9693" s="35">
        <v>39</v>
      </c>
      <c r="I9693" s="33" t="s">
        <v>21</v>
      </c>
      <c r="J9693" s="42">
        <v>44788</v>
      </c>
      <c r="K9693" s="33" t="s">
        <v>22</v>
      </c>
    </row>
    <row r="9694" spans="1:11">
      <c r="A9694" s="30" t="s">
        <v>22206</v>
      </c>
      <c r="B9694" s="30" t="s">
        <v>22207</v>
      </c>
      <c r="C9694" s="30" t="s">
        <v>22208</v>
      </c>
      <c r="D9694" s="30" t="s">
        <v>17</v>
      </c>
      <c r="E9694" s="30" t="s">
        <v>31</v>
      </c>
      <c r="F9694" s="30" t="s">
        <v>32</v>
      </c>
      <c r="G9694" s="30" t="s">
        <v>20</v>
      </c>
      <c r="H9694" s="32">
        <v>80</v>
      </c>
      <c r="I9694" s="30" t="s">
        <v>21</v>
      </c>
      <c r="J9694" s="41">
        <v>44859</v>
      </c>
      <c r="K9694" s="30" t="s">
        <v>22</v>
      </c>
    </row>
    <row r="9695" spans="1:11">
      <c r="A9695" s="33" t="s">
        <v>22209</v>
      </c>
      <c r="B9695" s="33" t="s">
        <v>22210</v>
      </c>
      <c r="C9695" s="33" t="s">
        <v>8931</v>
      </c>
      <c r="D9695" s="33" t="s">
        <v>17</v>
      </c>
      <c r="E9695" s="33" t="s">
        <v>67</v>
      </c>
      <c r="F9695" s="33" t="s">
        <v>68</v>
      </c>
      <c r="G9695" s="33" t="s">
        <v>140</v>
      </c>
      <c r="H9695" s="35">
        <v>130</v>
      </c>
      <c r="I9695" s="33" t="s">
        <v>51</v>
      </c>
      <c r="J9695" s="42">
        <v>44803</v>
      </c>
      <c r="K9695" s="33" t="s">
        <v>22</v>
      </c>
    </row>
    <row r="9696" spans="1:11">
      <c r="A9696" s="30" t="s">
        <v>22211</v>
      </c>
      <c r="B9696" s="30" t="s">
        <v>22212</v>
      </c>
      <c r="C9696" s="30" t="s">
        <v>3278</v>
      </c>
      <c r="D9696" s="30" t="s">
        <v>17</v>
      </c>
      <c r="E9696" s="30" t="s">
        <v>31</v>
      </c>
      <c r="F9696" s="30" t="s">
        <v>32</v>
      </c>
      <c r="G9696" s="30" t="s">
        <v>20</v>
      </c>
      <c r="H9696" s="32">
        <v>121</v>
      </c>
      <c r="I9696" s="30" t="s">
        <v>21</v>
      </c>
      <c r="J9696" s="41">
        <v>44832</v>
      </c>
      <c r="K9696" s="30" t="s">
        <v>22</v>
      </c>
    </row>
    <row r="9697" spans="1:11">
      <c r="A9697" s="33" t="s">
        <v>22213</v>
      </c>
      <c r="B9697" s="33" t="s">
        <v>22214</v>
      </c>
      <c r="C9697" s="33" t="s">
        <v>21312</v>
      </c>
      <c r="D9697" s="33" t="s">
        <v>17</v>
      </c>
      <c r="E9697" s="33" t="s">
        <v>18</v>
      </c>
      <c r="F9697" s="33" t="s">
        <v>19</v>
      </c>
      <c r="G9697" s="33" t="s">
        <v>140</v>
      </c>
      <c r="H9697" s="35">
        <v>512</v>
      </c>
      <c r="I9697" s="33" t="s">
        <v>51</v>
      </c>
      <c r="J9697" s="42">
        <v>44915</v>
      </c>
      <c r="K9697" s="33" t="s">
        <v>22</v>
      </c>
    </row>
    <row r="9698" spans="1:11">
      <c r="A9698" s="30" t="s">
        <v>22215</v>
      </c>
      <c r="B9698" s="30" t="s">
        <v>22216</v>
      </c>
      <c r="C9698" s="30" t="s">
        <v>22217</v>
      </c>
      <c r="D9698" s="30" t="s">
        <v>17</v>
      </c>
      <c r="E9698" s="30" t="s">
        <v>212</v>
      </c>
      <c r="F9698" s="30" t="s">
        <v>213</v>
      </c>
      <c r="G9698" s="30" t="s">
        <v>50</v>
      </c>
      <c r="H9698" s="32">
        <v>30</v>
      </c>
      <c r="I9698" s="30" t="s">
        <v>51</v>
      </c>
      <c r="J9698" s="41">
        <v>44621</v>
      </c>
      <c r="K9698" s="30" t="s">
        <v>22</v>
      </c>
    </row>
    <row r="9699" spans="1:11">
      <c r="A9699" s="33" t="s">
        <v>22218</v>
      </c>
      <c r="B9699" s="33" t="s">
        <v>22219</v>
      </c>
      <c r="C9699" s="33" t="s">
        <v>22220</v>
      </c>
      <c r="D9699" s="33" t="s">
        <v>17</v>
      </c>
      <c r="E9699" s="33" t="s">
        <v>31</v>
      </c>
      <c r="F9699" s="33" t="s">
        <v>32</v>
      </c>
      <c r="G9699" s="33" t="s">
        <v>140</v>
      </c>
      <c r="H9699" s="35">
        <v>350</v>
      </c>
      <c r="I9699" s="33" t="s">
        <v>51</v>
      </c>
      <c r="J9699" s="42">
        <v>44802</v>
      </c>
      <c r="K9699" s="33" t="s">
        <v>22</v>
      </c>
    </row>
    <row r="9700" spans="1:11">
      <c r="A9700" s="30" t="s">
        <v>22221</v>
      </c>
      <c r="B9700" s="30" t="s">
        <v>22222</v>
      </c>
      <c r="C9700" s="30" t="s">
        <v>118</v>
      </c>
      <c r="D9700" s="30" t="s">
        <v>17</v>
      </c>
      <c r="E9700" s="30" t="s">
        <v>18</v>
      </c>
      <c r="F9700" s="30" t="s">
        <v>19</v>
      </c>
      <c r="G9700" s="30" t="s">
        <v>158</v>
      </c>
      <c r="H9700" s="32">
        <v>474</v>
      </c>
      <c r="I9700" s="30" t="s">
        <v>21</v>
      </c>
      <c r="J9700" s="41">
        <v>44848</v>
      </c>
      <c r="K9700" s="30" t="s">
        <v>22</v>
      </c>
    </row>
    <row r="9701" spans="1:11">
      <c r="A9701" s="33" t="s">
        <v>22223</v>
      </c>
      <c r="B9701" s="33" t="s">
        <v>22224</v>
      </c>
      <c r="C9701" s="33" t="s">
        <v>190</v>
      </c>
      <c r="D9701" s="33" t="s">
        <v>17</v>
      </c>
      <c r="E9701" s="33" t="s">
        <v>26</v>
      </c>
      <c r="F9701" s="33" t="s">
        <v>27</v>
      </c>
      <c r="G9701" s="33" t="s">
        <v>20</v>
      </c>
      <c r="H9701" s="35">
        <v>16</v>
      </c>
      <c r="I9701" s="33" t="s">
        <v>21</v>
      </c>
      <c r="J9701" s="42">
        <v>44872</v>
      </c>
      <c r="K9701" s="33" t="s">
        <v>22</v>
      </c>
    </row>
    <row r="9702" spans="1:11">
      <c r="A9702" s="30" t="s">
        <v>22225</v>
      </c>
      <c r="B9702" s="30" t="s">
        <v>22226</v>
      </c>
      <c r="C9702" s="30" t="s">
        <v>3655</v>
      </c>
      <c r="D9702" s="30" t="s">
        <v>17</v>
      </c>
      <c r="E9702" s="30" t="s">
        <v>26</v>
      </c>
      <c r="F9702" s="30" t="s">
        <v>27</v>
      </c>
      <c r="G9702" s="30" t="s">
        <v>20</v>
      </c>
      <c r="H9702" s="32">
        <v>383</v>
      </c>
      <c r="I9702" s="30" t="s">
        <v>21</v>
      </c>
      <c r="J9702" s="41">
        <v>44873</v>
      </c>
      <c r="K9702" s="30" t="s">
        <v>22</v>
      </c>
    </row>
    <row r="9703" spans="1:11">
      <c r="A9703" s="33" t="s">
        <v>22227</v>
      </c>
      <c r="B9703" s="33" t="s">
        <v>22228</v>
      </c>
      <c r="C9703" s="33" t="s">
        <v>22229</v>
      </c>
      <c r="D9703" s="33" t="s">
        <v>17</v>
      </c>
      <c r="E9703" s="33" t="s">
        <v>67</v>
      </c>
      <c r="F9703" s="33" t="s">
        <v>68</v>
      </c>
      <c r="G9703" s="33" t="s">
        <v>140</v>
      </c>
      <c r="H9703" s="35">
        <v>32</v>
      </c>
      <c r="I9703" s="33" t="s">
        <v>51</v>
      </c>
      <c r="J9703" s="42">
        <v>44754</v>
      </c>
      <c r="K9703" s="33" t="s">
        <v>22</v>
      </c>
    </row>
    <row r="9704" spans="1:11">
      <c r="A9704" s="30" t="s">
        <v>22230</v>
      </c>
      <c r="B9704" s="30" t="s">
        <v>22231</v>
      </c>
      <c r="C9704" s="30" t="s">
        <v>22232</v>
      </c>
      <c r="D9704" s="30" t="s">
        <v>17</v>
      </c>
      <c r="E9704" s="30" t="s">
        <v>31</v>
      </c>
      <c r="F9704" s="30" t="s">
        <v>32</v>
      </c>
      <c r="G9704" s="30" t="s">
        <v>20</v>
      </c>
      <c r="H9704" s="32">
        <v>294</v>
      </c>
      <c r="I9704" s="30" t="s">
        <v>21</v>
      </c>
      <c r="J9704" s="41">
        <v>44749</v>
      </c>
      <c r="K9704" s="30" t="s">
        <v>22</v>
      </c>
    </row>
    <row r="9705" spans="1:11">
      <c r="A9705" s="33" t="s">
        <v>22233</v>
      </c>
      <c r="B9705" s="33" t="s">
        <v>22234</v>
      </c>
      <c r="C9705" s="33" t="s">
        <v>216</v>
      </c>
      <c r="D9705" s="33" t="s">
        <v>17</v>
      </c>
      <c r="E9705" s="33" t="s">
        <v>26</v>
      </c>
      <c r="F9705" s="33" t="s">
        <v>27</v>
      </c>
      <c r="G9705" s="33" t="s">
        <v>20</v>
      </c>
      <c r="H9705" s="35">
        <v>32</v>
      </c>
      <c r="I9705" s="33" t="s">
        <v>21</v>
      </c>
      <c r="J9705" s="42">
        <v>44721</v>
      </c>
      <c r="K9705" s="33" t="s">
        <v>22</v>
      </c>
    </row>
    <row r="9706" spans="1:11">
      <c r="A9706" s="30" t="s">
        <v>22235</v>
      </c>
      <c r="B9706" s="30" t="s">
        <v>22236</v>
      </c>
      <c r="C9706" s="30" t="s">
        <v>647</v>
      </c>
      <c r="D9706" s="30" t="s">
        <v>17</v>
      </c>
      <c r="E9706" s="30" t="s">
        <v>26</v>
      </c>
      <c r="F9706" s="30" t="s">
        <v>27</v>
      </c>
      <c r="G9706" s="30" t="s">
        <v>20</v>
      </c>
      <c r="H9706" s="32">
        <v>24</v>
      </c>
      <c r="I9706" s="30" t="s">
        <v>21</v>
      </c>
      <c r="J9706" s="41">
        <v>44859</v>
      </c>
      <c r="K9706" s="30" t="s">
        <v>22</v>
      </c>
    </row>
    <row r="9707" spans="1:11">
      <c r="A9707" s="33" t="s">
        <v>22237</v>
      </c>
      <c r="B9707" s="33" t="s">
        <v>22238</v>
      </c>
      <c r="C9707" s="33" t="s">
        <v>2382</v>
      </c>
      <c r="D9707" s="33" t="s">
        <v>17</v>
      </c>
      <c r="E9707" s="33" t="s">
        <v>67</v>
      </c>
      <c r="F9707" s="33" t="s">
        <v>68</v>
      </c>
      <c r="G9707" s="33" t="s">
        <v>140</v>
      </c>
      <c r="H9707" s="35">
        <v>102</v>
      </c>
      <c r="I9707" s="33" t="s">
        <v>51</v>
      </c>
      <c r="J9707" s="42">
        <v>44915</v>
      </c>
      <c r="K9707" s="33" t="s">
        <v>22</v>
      </c>
    </row>
    <row r="9708" spans="1:11">
      <c r="A9708" s="30" t="s">
        <v>22239</v>
      </c>
      <c r="B9708" s="30" t="s">
        <v>22240</v>
      </c>
      <c r="C9708" s="30" t="s">
        <v>3957</v>
      </c>
      <c r="D9708" s="30" t="s">
        <v>17</v>
      </c>
      <c r="E9708" s="30" t="s">
        <v>26</v>
      </c>
      <c r="F9708" s="30" t="s">
        <v>27</v>
      </c>
      <c r="G9708" s="30" t="s">
        <v>158</v>
      </c>
      <c r="H9708" s="32">
        <v>12</v>
      </c>
      <c r="I9708" s="30" t="s">
        <v>51</v>
      </c>
      <c r="J9708" s="41">
        <v>44824</v>
      </c>
      <c r="K9708" s="30" t="s">
        <v>22</v>
      </c>
    </row>
    <row r="9709" spans="1:11">
      <c r="A9709" s="33" t="s">
        <v>22241</v>
      </c>
      <c r="B9709" s="33" t="s">
        <v>22242</v>
      </c>
      <c r="C9709" s="33" t="s">
        <v>203</v>
      </c>
      <c r="D9709" s="33" t="s">
        <v>17</v>
      </c>
      <c r="E9709" s="33" t="s">
        <v>67</v>
      </c>
      <c r="F9709" s="33" t="s">
        <v>68</v>
      </c>
      <c r="G9709" s="33" t="s">
        <v>106</v>
      </c>
      <c r="H9709" s="35">
        <v>33</v>
      </c>
      <c r="I9709" s="33" t="s">
        <v>21</v>
      </c>
      <c r="J9709" s="42">
        <v>44824</v>
      </c>
      <c r="K9709" s="33" t="s">
        <v>22</v>
      </c>
    </row>
    <row r="9710" spans="1:11">
      <c r="A9710" s="30" t="s">
        <v>22243</v>
      </c>
      <c r="B9710" s="30" t="s">
        <v>22244</v>
      </c>
      <c r="C9710" s="30" t="s">
        <v>22245</v>
      </c>
      <c r="D9710" s="30" t="s">
        <v>17</v>
      </c>
      <c r="E9710" s="30" t="s">
        <v>67</v>
      </c>
      <c r="F9710" s="30" t="s">
        <v>68</v>
      </c>
      <c r="G9710" s="30" t="s">
        <v>106</v>
      </c>
      <c r="H9710" s="32">
        <v>31</v>
      </c>
      <c r="I9710" s="30" t="s">
        <v>21</v>
      </c>
      <c r="J9710" s="41">
        <v>44651</v>
      </c>
      <c r="K9710" s="30" t="s">
        <v>22</v>
      </c>
    </row>
    <row r="9711" spans="1:11">
      <c r="A9711" s="33" t="s">
        <v>22246</v>
      </c>
      <c r="B9711" s="33" t="s">
        <v>22247</v>
      </c>
      <c r="C9711" s="33" t="s">
        <v>8602</v>
      </c>
      <c r="D9711" s="33" t="s">
        <v>17</v>
      </c>
      <c r="E9711" s="33" t="s">
        <v>212</v>
      </c>
      <c r="F9711" s="33" t="s">
        <v>213</v>
      </c>
      <c r="G9711" s="33" t="s">
        <v>20</v>
      </c>
      <c r="H9711" s="35">
        <v>79</v>
      </c>
      <c r="I9711" s="33" t="s">
        <v>21</v>
      </c>
      <c r="J9711" s="42">
        <v>44592</v>
      </c>
      <c r="K9711" s="33" t="s">
        <v>22</v>
      </c>
    </row>
    <row r="9712" spans="1:11">
      <c r="A9712" s="30" t="s">
        <v>22248</v>
      </c>
      <c r="B9712" s="30" t="s">
        <v>22249</v>
      </c>
      <c r="C9712" s="30" t="s">
        <v>136</v>
      </c>
      <c r="D9712" s="30" t="s">
        <v>17</v>
      </c>
      <c r="E9712" s="30" t="s">
        <v>26</v>
      </c>
      <c r="F9712" s="30" t="s">
        <v>27</v>
      </c>
      <c r="G9712" s="30" t="s">
        <v>20</v>
      </c>
      <c r="H9712" s="32">
        <v>450</v>
      </c>
      <c r="I9712" s="30" t="s">
        <v>21</v>
      </c>
      <c r="J9712" s="41">
        <v>44900</v>
      </c>
      <c r="K9712" s="30" t="s">
        <v>22</v>
      </c>
    </row>
    <row r="9713" spans="1:11">
      <c r="A9713" s="33" t="s">
        <v>22250</v>
      </c>
      <c r="B9713" s="33" t="s">
        <v>22251</v>
      </c>
      <c r="C9713" s="33" t="s">
        <v>190</v>
      </c>
      <c r="D9713" s="33" t="s">
        <v>17</v>
      </c>
      <c r="E9713" s="33" t="s">
        <v>26</v>
      </c>
      <c r="F9713" s="33" t="s">
        <v>27</v>
      </c>
      <c r="G9713" s="33" t="s">
        <v>20</v>
      </c>
      <c r="H9713" s="35">
        <v>108</v>
      </c>
      <c r="I9713" s="33" t="s">
        <v>21</v>
      </c>
      <c r="J9713" s="42">
        <v>44845</v>
      </c>
      <c r="K9713" s="33" t="s">
        <v>22</v>
      </c>
    </row>
    <row r="9714" spans="1:11">
      <c r="A9714" s="30" t="s">
        <v>22252</v>
      </c>
      <c r="B9714" s="30" t="s">
        <v>22253</v>
      </c>
      <c r="C9714" s="30" t="s">
        <v>1908</v>
      </c>
      <c r="D9714" s="30" t="s">
        <v>17</v>
      </c>
      <c r="E9714" s="30" t="s">
        <v>26</v>
      </c>
      <c r="F9714" s="30" t="s">
        <v>27</v>
      </c>
      <c r="G9714" s="30" t="s">
        <v>20</v>
      </c>
      <c r="H9714" s="32">
        <v>16</v>
      </c>
      <c r="I9714" s="30" t="s">
        <v>21</v>
      </c>
      <c r="J9714" s="41">
        <v>44651</v>
      </c>
      <c r="K9714" s="30" t="s">
        <v>22</v>
      </c>
    </row>
    <row r="9715" spans="1:11">
      <c r="A9715" s="33" t="s">
        <v>22254</v>
      </c>
      <c r="B9715" s="33" t="s">
        <v>22255</v>
      </c>
      <c r="C9715" s="33" t="s">
        <v>3270</v>
      </c>
      <c r="D9715" s="33" t="s">
        <v>17</v>
      </c>
      <c r="E9715" s="33" t="s">
        <v>26</v>
      </c>
      <c r="F9715" s="33" t="s">
        <v>27</v>
      </c>
      <c r="G9715" s="33" t="s">
        <v>106</v>
      </c>
      <c r="H9715" s="35">
        <v>5</v>
      </c>
      <c r="I9715" s="33" t="s">
        <v>21</v>
      </c>
      <c r="J9715" s="42">
        <v>44712</v>
      </c>
      <c r="K9715" s="33" t="s">
        <v>22</v>
      </c>
    </row>
    <row r="9716" spans="1:11">
      <c r="A9716" s="30" t="s">
        <v>22256</v>
      </c>
      <c r="B9716" s="30" t="s">
        <v>22257</v>
      </c>
      <c r="C9716" s="30" t="s">
        <v>22258</v>
      </c>
      <c r="D9716" s="30" t="s">
        <v>17</v>
      </c>
      <c r="E9716" s="30" t="s">
        <v>26</v>
      </c>
      <c r="F9716" s="30" t="s">
        <v>27</v>
      </c>
      <c r="G9716" s="30" t="s">
        <v>20</v>
      </c>
      <c r="H9716" s="32">
        <v>28</v>
      </c>
      <c r="I9716" s="30" t="s">
        <v>21</v>
      </c>
      <c r="J9716" s="41">
        <v>44741</v>
      </c>
      <c r="K9716" s="30" t="s">
        <v>22</v>
      </c>
    </row>
    <row r="9717" spans="1:11">
      <c r="A9717" s="33" t="s">
        <v>22259</v>
      </c>
      <c r="B9717" s="33" t="s">
        <v>22260</v>
      </c>
      <c r="C9717" s="33" t="s">
        <v>6325</v>
      </c>
      <c r="D9717" s="33" t="s">
        <v>17</v>
      </c>
      <c r="E9717" s="33" t="s">
        <v>31</v>
      </c>
      <c r="F9717" s="33" t="s">
        <v>32</v>
      </c>
      <c r="G9717" s="33" t="s">
        <v>20</v>
      </c>
      <c r="H9717" s="35">
        <v>253</v>
      </c>
      <c r="I9717" s="33" t="s">
        <v>21</v>
      </c>
      <c r="J9717" s="42">
        <v>44645</v>
      </c>
      <c r="K9717" s="33" t="s">
        <v>22</v>
      </c>
    </row>
    <row r="9718" spans="1:11">
      <c r="A9718" s="30" t="s">
        <v>22261</v>
      </c>
      <c r="B9718" s="30" t="s">
        <v>22262</v>
      </c>
      <c r="C9718" s="30" t="s">
        <v>647</v>
      </c>
      <c r="D9718" s="30" t="s">
        <v>17</v>
      </c>
      <c r="E9718" s="30" t="s">
        <v>26</v>
      </c>
      <c r="F9718" s="30" t="s">
        <v>27</v>
      </c>
      <c r="G9718" s="30" t="s">
        <v>158</v>
      </c>
      <c r="H9718" s="32">
        <v>70</v>
      </c>
      <c r="I9718" s="30" t="s">
        <v>51</v>
      </c>
      <c r="J9718" s="41">
        <v>44728</v>
      </c>
      <c r="K9718" s="30" t="s">
        <v>22</v>
      </c>
    </row>
    <row r="9719" spans="1:11">
      <c r="A9719" s="33" t="s">
        <v>22263</v>
      </c>
      <c r="B9719" s="33" t="s">
        <v>22264</v>
      </c>
      <c r="C9719" s="33" t="s">
        <v>8554</v>
      </c>
      <c r="D9719" s="33" t="s">
        <v>17</v>
      </c>
      <c r="E9719" s="33" t="s">
        <v>18</v>
      </c>
      <c r="F9719" s="33" t="s">
        <v>19</v>
      </c>
      <c r="G9719" s="33" t="s">
        <v>20</v>
      </c>
      <c r="H9719" s="35">
        <v>1200</v>
      </c>
      <c r="I9719" s="33" t="s">
        <v>21</v>
      </c>
      <c r="J9719" s="42">
        <v>44855</v>
      </c>
      <c r="K9719" s="33" t="s">
        <v>22</v>
      </c>
    </row>
    <row r="9720" spans="1:11">
      <c r="A9720" s="30" t="s">
        <v>22265</v>
      </c>
      <c r="B9720" s="30" t="s">
        <v>22266</v>
      </c>
      <c r="C9720" s="30" t="s">
        <v>190</v>
      </c>
      <c r="D9720" s="30" t="s">
        <v>17</v>
      </c>
      <c r="E9720" s="30" t="s">
        <v>67</v>
      </c>
      <c r="F9720" s="30" t="s">
        <v>68</v>
      </c>
      <c r="G9720" s="30" t="s">
        <v>158</v>
      </c>
      <c r="H9720" s="32">
        <v>174</v>
      </c>
      <c r="I9720" s="30" t="s">
        <v>21</v>
      </c>
      <c r="J9720" s="41">
        <v>44714</v>
      </c>
      <c r="K9720" s="30" t="s">
        <v>22</v>
      </c>
    </row>
    <row r="9721" spans="1:11">
      <c r="A9721" s="33" t="s">
        <v>22267</v>
      </c>
      <c r="B9721" s="33" t="s">
        <v>22268</v>
      </c>
      <c r="C9721" s="33" t="s">
        <v>22269</v>
      </c>
      <c r="D9721" s="33" t="s">
        <v>17</v>
      </c>
      <c r="E9721" s="33" t="s">
        <v>26</v>
      </c>
      <c r="F9721" s="33" t="s">
        <v>27</v>
      </c>
      <c r="G9721" s="33" t="s">
        <v>140</v>
      </c>
      <c r="H9721" s="35">
        <v>150</v>
      </c>
      <c r="I9721" s="33" t="s">
        <v>51</v>
      </c>
      <c r="J9721" s="42">
        <v>44854</v>
      </c>
      <c r="K9721" s="33" t="s">
        <v>22</v>
      </c>
    </row>
    <row r="9722" spans="1:11">
      <c r="A9722" s="30" t="s">
        <v>22270</v>
      </c>
      <c r="B9722" s="30" t="s">
        <v>22271</v>
      </c>
      <c r="C9722" s="30" t="s">
        <v>359</v>
      </c>
      <c r="D9722" s="30" t="s">
        <v>17</v>
      </c>
      <c r="E9722" s="30" t="s">
        <v>67</v>
      </c>
      <c r="F9722" s="30" t="s">
        <v>68</v>
      </c>
      <c r="G9722" s="30" t="s">
        <v>140</v>
      </c>
      <c r="H9722" s="32">
        <v>265</v>
      </c>
      <c r="I9722" s="30" t="s">
        <v>51</v>
      </c>
      <c r="J9722" s="41">
        <v>44834</v>
      </c>
      <c r="K9722" s="30" t="s">
        <v>22</v>
      </c>
    </row>
    <row r="9723" spans="1:11">
      <c r="A9723" s="33" t="s">
        <v>22272</v>
      </c>
      <c r="B9723" s="33" t="s">
        <v>22273</v>
      </c>
      <c r="C9723" s="33" t="s">
        <v>8281</v>
      </c>
      <c r="D9723" s="33" t="s">
        <v>17</v>
      </c>
      <c r="E9723" s="33" t="s">
        <v>31</v>
      </c>
      <c r="F9723" s="33" t="s">
        <v>32</v>
      </c>
      <c r="G9723" s="33" t="s">
        <v>20</v>
      </c>
      <c r="H9723" s="35">
        <v>86</v>
      </c>
      <c r="I9723" s="33" t="s">
        <v>21</v>
      </c>
      <c r="J9723" s="42">
        <v>44694</v>
      </c>
      <c r="K9723" s="33" t="s">
        <v>22</v>
      </c>
    </row>
    <row r="9724" spans="1:11">
      <c r="A9724" s="30" t="s">
        <v>22274</v>
      </c>
      <c r="B9724" s="30" t="s">
        <v>22275</v>
      </c>
      <c r="C9724" s="30" t="s">
        <v>231</v>
      </c>
      <c r="D9724" s="30" t="s">
        <v>17</v>
      </c>
      <c r="E9724" s="30" t="s">
        <v>26</v>
      </c>
      <c r="F9724" s="30" t="s">
        <v>27</v>
      </c>
      <c r="G9724" s="30" t="s">
        <v>20</v>
      </c>
      <c r="H9724" s="32">
        <v>92</v>
      </c>
      <c r="I9724" s="30" t="s">
        <v>21</v>
      </c>
      <c r="J9724" s="41">
        <v>44714</v>
      </c>
      <c r="K9724" s="30" t="s">
        <v>22</v>
      </c>
    </row>
    <row r="9725" spans="1:11">
      <c r="A9725" s="33" t="s">
        <v>22276</v>
      </c>
      <c r="B9725" s="33" t="s">
        <v>22277</v>
      </c>
      <c r="C9725" s="33" t="s">
        <v>93</v>
      </c>
      <c r="D9725" s="33" t="s">
        <v>17</v>
      </c>
      <c r="E9725" s="33" t="s">
        <v>26</v>
      </c>
      <c r="F9725" s="33" t="s">
        <v>27</v>
      </c>
      <c r="G9725" s="33" t="s">
        <v>20</v>
      </c>
      <c r="H9725" s="35">
        <v>90</v>
      </c>
      <c r="I9725" s="33" t="s">
        <v>21</v>
      </c>
      <c r="J9725" s="42">
        <v>44803</v>
      </c>
      <c r="K9725" s="33" t="s">
        <v>22</v>
      </c>
    </row>
    <row r="9726" spans="1:11">
      <c r="A9726" s="30" t="s">
        <v>22278</v>
      </c>
      <c r="B9726" s="30" t="s">
        <v>22279</v>
      </c>
      <c r="C9726" s="30" t="s">
        <v>11320</v>
      </c>
      <c r="D9726" s="30" t="s">
        <v>17</v>
      </c>
      <c r="E9726" s="30" t="s">
        <v>26</v>
      </c>
      <c r="F9726" s="30" t="s">
        <v>27</v>
      </c>
      <c r="G9726" s="30" t="s">
        <v>20</v>
      </c>
      <c r="H9726" s="32">
        <v>30</v>
      </c>
      <c r="I9726" s="30" t="s">
        <v>21</v>
      </c>
      <c r="J9726" s="41">
        <v>44704</v>
      </c>
      <c r="K9726" s="30" t="s">
        <v>22</v>
      </c>
    </row>
    <row r="9727" spans="1:11">
      <c r="A9727" s="33" t="s">
        <v>22280</v>
      </c>
      <c r="B9727" s="33" t="s">
        <v>22281</v>
      </c>
      <c r="C9727" s="33" t="s">
        <v>22282</v>
      </c>
      <c r="D9727" s="33" t="s">
        <v>17</v>
      </c>
      <c r="E9727" s="33" t="s">
        <v>330</v>
      </c>
      <c r="F9727" s="33" t="s">
        <v>331</v>
      </c>
      <c r="G9727" s="33" t="s">
        <v>50</v>
      </c>
      <c r="H9727" s="35">
        <v>20</v>
      </c>
      <c r="I9727" s="33" t="s">
        <v>51</v>
      </c>
      <c r="J9727" s="42">
        <v>44816</v>
      </c>
      <c r="K9727" s="33" t="s">
        <v>22</v>
      </c>
    </row>
    <row r="9728" spans="1:11">
      <c r="A9728" s="30" t="s">
        <v>22283</v>
      </c>
      <c r="B9728" s="30" t="s">
        <v>22284</v>
      </c>
      <c r="C9728" s="30" t="s">
        <v>2772</v>
      </c>
      <c r="D9728" s="30" t="s">
        <v>17</v>
      </c>
      <c r="E9728" s="30" t="s">
        <v>18</v>
      </c>
      <c r="F9728" s="30" t="s">
        <v>19</v>
      </c>
      <c r="G9728" s="30" t="s">
        <v>158</v>
      </c>
      <c r="H9728" s="32">
        <v>105</v>
      </c>
      <c r="I9728" s="30" t="s">
        <v>51</v>
      </c>
      <c r="J9728" s="41">
        <v>44907</v>
      </c>
      <c r="K9728" s="30" t="s">
        <v>22</v>
      </c>
    </row>
    <row r="9729" spans="1:11">
      <c r="A9729" s="33" t="s">
        <v>22285</v>
      </c>
      <c r="B9729" s="33" t="s">
        <v>22286</v>
      </c>
      <c r="C9729" s="33" t="s">
        <v>3296</v>
      </c>
      <c r="D9729" s="33" t="s">
        <v>17</v>
      </c>
      <c r="E9729" s="33" t="s">
        <v>26</v>
      </c>
      <c r="F9729" s="33" t="s">
        <v>27</v>
      </c>
      <c r="G9729" s="33" t="s">
        <v>50</v>
      </c>
      <c r="H9729" s="35">
        <v>50</v>
      </c>
      <c r="I9729" s="33" t="s">
        <v>51</v>
      </c>
      <c r="J9729" s="42">
        <v>44682</v>
      </c>
      <c r="K9729" s="33" t="s">
        <v>22</v>
      </c>
    </row>
    <row r="9730" spans="1:11">
      <c r="A9730" s="30" t="s">
        <v>22287</v>
      </c>
      <c r="B9730" s="30" t="s">
        <v>22288</v>
      </c>
      <c r="C9730" s="30" t="s">
        <v>78</v>
      </c>
      <c r="D9730" s="30" t="s">
        <v>17</v>
      </c>
      <c r="E9730" s="30" t="s">
        <v>26</v>
      </c>
      <c r="F9730" s="30" t="s">
        <v>27</v>
      </c>
      <c r="G9730" s="30" t="s">
        <v>20</v>
      </c>
      <c r="H9730" s="32">
        <v>37</v>
      </c>
      <c r="I9730" s="30" t="s">
        <v>21</v>
      </c>
      <c r="J9730" s="41">
        <v>44820</v>
      </c>
      <c r="K9730" s="30" t="s">
        <v>22</v>
      </c>
    </row>
    <row r="9731" spans="1:11">
      <c r="A9731" s="33" t="s">
        <v>22289</v>
      </c>
      <c r="B9731" s="33" t="s">
        <v>22290</v>
      </c>
      <c r="C9731" s="33" t="s">
        <v>6955</v>
      </c>
      <c r="D9731" s="33" t="s">
        <v>17</v>
      </c>
      <c r="E9731" s="33" t="s">
        <v>18</v>
      </c>
      <c r="F9731" s="33" t="s">
        <v>19</v>
      </c>
      <c r="G9731" s="33" t="s">
        <v>20</v>
      </c>
      <c r="H9731" s="35">
        <v>45</v>
      </c>
      <c r="I9731" s="33" t="s">
        <v>21</v>
      </c>
      <c r="J9731" s="42">
        <v>44600</v>
      </c>
      <c r="K9731" s="33" t="s">
        <v>22</v>
      </c>
    </row>
    <row r="9732" spans="1:11">
      <c r="A9732" s="30" t="s">
        <v>22291</v>
      </c>
      <c r="B9732" s="30" t="s">
        <v>22292</v>
      </c>
      <c r="C9732" s="30" t="s">
        <v>21241</v>
      </c>
      <c r="D9732" s="30" t="s">
        <v>17</v>
      </c>
      <c r="E9732" s="30" t="s">
        <v>31</v>
      </c>
      <c r="F9732" s="30" t="s">
        <v>32</v>
      </c>
      <c r="G9732" s="30" t="s">
        <v>20</v>
      </c>
      <c r="H9732" s="32">
        <v>59</v>
      </c>
      <c r="I9732" s="30" t="s">
        <v>21</v>
      </c>
      <c r="J9732" s="41">
        <v>44813</v>
      </c>
      <c r="K9732" s="30" t="s">
        <v>22</v>
      </c>
    </row>
    <row r="9733" spans="1:11">
      <c r="A9733" s="33" t="s">
        <v>22293</v>
      </c>
      <c r="B9733" s="33" t="s">
        <v>22294</v>
      </c>
      <c r="C9733" s="33" t="s">
        <v>6442</v>
      </c>
      <c r="D9733" s="33" t="s">
        <v>17</v>
      </c>
      <c r="E9733" s="33" t="s">
        <v>18</v>
      </c>
      <c r="F9733" s="33" t="s">
        <v>19</v>
      </c>
      <c r="G9733" s="33" t="s">
        <v>158</v>
      </c>
      <c r="H9733" s="35">
        <v>901</v>
      </c>
      <c r="I9733" s="33" t="s">
        <v>21</v>
      </c>
      <c r="J9733" s="42">
        <v>44811</v>
      </c>
      <c r="K9733" s="33" t="s">
        <v>22</v>
      </c>
    </row>
    <row r="9734" spans="1:11">
      <c r="A9734" s="30" t="s">
        <v>22295</v>
      </c>
      <c r="B9734" s="30" t="s">
        <v>22296</v>
      </c>
      <c r="C9734" s="30" t="s">
        <v>63</v>
      </c>
      <c r="D9734" s="30" t="s">
        <v>17</v>
      </c>
      <c r="E9734" s="30" t="s">
        <v>26</v>
      </c>
      <c r="F9734" s="30" t="s">
        <v>27</v>
      </c>
      <c r="G9734" s="30" t="s">
        <v>20</v>
      </c>
      <c r="H9734" s="32">
        <v>240</v>
      </c>
      <c r="I9734" s="30" t="s">
        <v>21</v>
      </c>
      <c r="J9734" s="41">
        <v>44599</v>
      </c>
      <c r="K9734" s="30" t="s">
        <v>22</v>
      </c>
    </row>
    <row r="9735" spans="1:11">
      <c r="A9735" s="33" t="s">
        <v>22297</v>
      </c>
      <c r="B9735" s="33" t="s">
        <v>22298</v>
      </c>
      <c r="C9735" s="33" t="s">
        <v>2618</v>
      </c>
      <c r="D9735" s="33" t="s">
        <v>17</v>
      </c>
      <c r="E9735" s="33" t="s">
        <v>18</v>
      </c>
      <c r="F9735" s="33" t="s">
        <v>19</v>
      </c>
      <c r="G9735" s="33" t="s">
        <v>106</v>
      </c>
      <c r="H9735" s="35">
        <v>166</v>
      </c>
      <c r="I9735" s="33" t="s">
        <v>21</v>
      </c>
      <c r="J9735" s="42">
        <v>44840</v>
      </c>
      <c r="K9735" s="33" t="s">
        <v>22</v>
      </c>
    </row>
    <row r="9736" spans="1:11">
      <c r="A9736" s="30" t="s">
        <v>22299</v>
      </c>
      <c r="B9736" s="30" t="s">
        <v>22300</v>
      </c>
      <c r="C9736" s="30" t="s">
        <v>22301</v>
      </c>
      <c r="D9736" s="30" t="s">
        <v>17</v>
      </c>
      <c r="E9736" s="30" t="s">
        <v>31</v>
      </c>
      <c r="F9736" s="30" t="s">
        <v>32</v>
      </c>
      <c r="G9736" s="30" t="s">
        <v>140</v>
      </c>
      <c r="H9736" s="32">
        <v>30</v>
      </c>
      <c r="I9736" s="30" t="s">
        <v>51</v>
      </c>
      <c r="J9736" s="41">
        <v>44743</v>
      </c>
      <c r="K9736" s="30" t="s">
        <v>22</v>
      </c>
    </row>
    <row r="9737" spans="1:11">
      <c r="A9737" s="33" t="s">
        <v>22302</v>
      </c>
      <c r="B9737" s="33" t="s">
        <v>22303</v>
      </c>
      <c r="C9737" s="33" t="s">
        <v>7578</v>
      </c>
      <c r="D9737" s="33" t="s">
        <v>17</v>
      </c>
      <c r="E9737" s="33" t="s">
        <v>212</v>
      </c>
      <c r="F9737" s="33" t="s">
        <v>213</v>
      </c>
      <c r="G9737" s="33" t="s">
        <v>50</v>
      </c>
      <c r="H9737" s="35">
        <v>14</v>
      </c>
      <c r="I9737" s="33" t="s">
        <v>51</v>
      </c>
      <c r="J9737" s="42">
        <v>44798</v>
      </c>
      <c r="K9737" s="33" t="s">
        <v>22</v>
      </c>
    </row>
    <row r="9738" spans="1:11">
      <c r="A9738" s="30" t="s">
        <v>22304</v>
      </c>
      <c r="B9738" s="30" t="s">
        <v>22305</v>
      </c>
      <c r="C9738" s="30" t="s">
        <v>1422</v>
      </c>
      <c r="D9738" s="30" t="s">
        <v>17</v>
      </c>
      <c r="E9738" s="30" t="s">
        <v>26</v>
      </c>
      <c r="F9738" s="30" t="s">
        <v>27</v>
      </c>
      <c r="G9738" s="30" t="s">
        <v>20</v>
      </c>
      <c r="H9738" s="32">
        <v>45</v>
      </c>
      <c r="I9738" s="30" t="s">
        <v>21</v>
      </c>
      <c r="J9738" s="41">
        <v>44662</v>
      </c>
      <c r="K9738" s="30" t="s">
        <v>22</v>
      </c>
    </row>
    <row r="9739" spans="1:11">
      <c r="A9739" s="33" t="s">
        <v>22306</v>
      </c>
      <c r="B9739" s="33" t="s">
        <v>22307</v>
      </c>
      <c r="C9739" s="33" t="s">
        <v>136</v>
      </c>
      <c r="D9739" s="33" t="s">
        <v>17</v>
      </c>
      <c r="E9739" s="33" t="s">
        <v>18</v>
      </c>
      <c r="F9739" s="33" t="s">
        <v>19</v>
      </c>
      <c r="G9739" s="33" t="s">
        <v>20</v>
      </c>
      <c r="H9739" s="35">
        <v>86</v>
      </c>
      <c r="I9739" s="33" t="s">
        <v>21</v>
      </c>
      <c r="J9739" s="42">
        <v>44914</v>
      </c>
      <c r="K9739" s="33" t="s">
        <v>22</v>
      </c>
    </row>
    <row r="9740" spans="1:11">
      <c r="A9740" s="30" t="s">
        <v>22308</v>
      </c>
      <c r="B9740" s="30" t="s">
        <v>22309</v>
      </c>
      <c r="C9740" s="30" t="s">
        <v>1250</v>
      </c>
      <c r="D9740" s="30" t="s">
        <v>17</v>
      </c>
      <c r="E9740" s="30" t="s">
        <v>26</v>
      </c>
      <c r="F9740" s="30" t="s">
        <v>27</v>
      </c>
      <c r="G9740" s="30" t="s">
        <v>20</v>
      </c>
      <c r="H9740" s="32">
        <v>54</v>
      </c>
      <c r="I9740" s="30" t="s">
        <v>21</v>
      </c>
      <c r="J9740" s="41">
        <v>44876</v>
      </c>
      <c r="K9740" s="30" t="s">
        <v>22</v>
      </c>
    </row>
    <row r="9741" spans="1:11">
      <c r="A9741" s="33" t="s">
        <v>22310</v>
      </c>
      <c r="B9741" s="33" t="s">
        <v>22311</v>
      </c>
      <c r="C9741" s="33" t="s">
        <v>22312</v>
      </c>
      <c r="D9741" s="33" t="s">
        <v>17</v>
      </c>
      <c r="E9741" s="33" t="s">
        <v>67</v>
      </c>
      <c r="F9741" s="33" t="s">
        <v>68</v>
      </c>
      <c r="G9741" s="33" t="s">
        <v>106</v>
      </c>
      <c r="H9741" s="35">
        <v>14</v>
      </c>
      <c r="I9741" s="33" t="s">
        <v>21</v>
      </c>
      <c r="J9741" s="42">
        <v>44904</v>
      </c>
      <c r="K9741" s="33" t="s">
        <v>22</v>
      </c>
    </row>
    <row r="9742" spans="1:11">
      <c r="A9742" s="30" t="s">
        <v>22313</v>
      </c>
      <c r="B9742" s="30" t="s">
        <v>22314</v>
      </c>
      <c r="C9742" s="30" t="s">
        <v>3647</v>
      </c>
      <c r="D9742" s="30" t="s">
        <v>17</v>
      </c>
      <c r="E9742" s="30" t="s">
        <v>31</v>
      </c>
      <c r="F9742" s="30" t="s">
        <v>32</v>
      </c>
      <c r="G9742" s="30" t="s">
        <v>20</v>
      </c>
      <c r="H9742" s="32">
        <v>25</v>
      </c>
      <c r="I9742" s="30" t="s">
        <v>21</v>
      </c>
      <c r="J9742" s="41">
        <v>44776</v>
      </c>
      <c r="K9742" s="30" t="s">
        <v>22</v>
      </c>
    </row>
    <row r="9743" spans="1:11">
      <c r="A9743" s="33" t="s">
        <v>22315</v>
      </c>
      <c r="B9743" s="33" t="s">
        <v>22316</v>
      </c>
      <c r="C9743" s="33" t="s">
        <v>387</v>
      </c>
      <c r="D9743" s="33" t="s">
        <v>17</v>
      </c>
      <c r="E9743" s="33" t="s">
        <v>26</v>
      </c>
      <c r="F9743" s="33" t="s">
        <v>27</v>
      </c>
      <c r="G9743" s="33" t="s">
        <v>20</v>
      </c>
      <c r="H9743" s="35">
        <v>8</v>
      </c>
      <c r="I9743" s="33" t="s">
        <v>21</v>
      </c>
      <c r="J9743" s="42">
        <v>44643</v>
      </c>
      <c r="K9743" s="33" t="s">
        <v>22</v>
      </c>
    </row>
    <row r="9744" spans="1:11">
      <c r="A9744" s="30" t="s">
        <v>22317</v>
      </c>
      <c r="B9744" s="30" t="s">
        <v>22318</v>
      </c>
      <c r="C9744" s="30" t="s">
        <v>22319</v>
      </c>
      <c r="D9744" s="30" t="s">
        <v>17</v>
      </c>
      <c r="E9744" s="30" t="s">
        <v>26</v>
      </c>
      <c r="F9744" s="30" t="s">
        <v>27</v>
      </c>
      <c r="G9744" s="30" t="s">
        <v>158</v>
      </c>
      <c r="H9744" s="32">
        <v>10</v>
      </c>
      <c r="I9744" s="30" t="s">
        <v>51</v>
      </c>
      <c r="J9744" s="41">
        <v>44867</v>
      </c>
      <c r="K9744" s="30" t="s">
        <v>22</v>
      </c>
    </row>
    <row r="9745" spans="1:11">
      <c r="A9745" s="33" t="s">
        <v>22320</v>
      </c>
      <c r="B9745" s="33" t="s">
        <v>22321</v>
      </c>
      <c r="C9745" s="33" t="s">
        <v>190</v>
      </c>
      <c r="D9745" s="33" t="s">
        <v>17</v>
      </c>
      <c r="E9745" s="33" t="s">
        <v>26</v>
      </c>
      <c r="F9745" s="33" t="s">
        <v>27</v>
      </c>
      <c r="G9745" s="33" t="s">
        <v>20</v>
      </c>
      <c r="H9745" s="35">
        <v>32</v>
      </c>
      <c r="I9745" s="33" t="s">
        <v>21</v>
      </c>
      <c r="J9745" s="42">
        <v>44742</v>
      </c>
      <c r="K9745" s="33" t="s">
        <v>22</v>
      </c>
    </row>
    <row r="9746" spans="1:11">
      <c r="A9746" s="30" t="s">
        <v>22322</v>
      </c>
      <c r="B9746" s="30" t="s">
        <v>22323</v>
      </c>
      <c r="C9746" s="30" t="s">
        <v>22324</v>
      </c>
      <c r="D9746" s="30" t="s">
        <v>17</v>
      </c>
      <c r="E9746" s="30" t="s">
        <v>31</v>
      </c>
      <c r="F9746" s="30" t="s">
        <v>32</v>
      </c>
      <c r="G9746" s="30" t="s">
        <v>50</v>
      </c>
      <c r="H9746" s="32">
        <v>15</v>
      </c>
      <c r="I9746" s="30" t="s">
        <v>51</v>
      </c>
      <c r="J9746" s="41">
        <v>44562</v>
      </c>
      <c r="K9746" s="30" t="s">
        <v>22</v>
      </c>
    </row>
    <row r="9747" spans="1:11">
      <c r="A9747" s="33" t="s">
        <v>22325</v>
      </c>
      <c r="B9747" s="33" t="s">
        <v>22326</v>
      </c>
      <c r="C9747" s="33" t="s">
        <v>22327</v>
      </c>
      <c r="D9747" s="33" t="s">
        <v>17</v>
      </c>
      <c r="E9747" s="33" t="s">
        <v>31</v>
      </c>
      <c r="F9747" s="33" t="s">
        <v>32</v>
      </c>
      <c r="G9747" s="33" t="s">
        <v>50</v>
      </c>
      <c r="H9747" s="35">
        <v>200</v>
      </c>
      <c r="I9747" s="33" t="s">
        <v>51</v>
      </c>
      <c r="J9747" s="42">
        <v>44886</v>
      </c>
      <c r="K9747" s="33" t="s">
        <v>22</v>
      </c>
    </row>
    <row r="9748" spans="1:11">
      <c r="A9748" s="30" t="s">
        <v>22328</v>
      </c>
      <c r="B9748" s="30" t="s">
        <v>22329</v>
      </c>
      <c r="C9748" s="30" t="s">
        <v>10515</v>
      </c>
      <c r="D9748" s="30" t="s">
        <v>17</v>
      </c>
      <c r="E9748" s="30" t="s">
        <v>67</v>
      </c>
      <c r="F9748" s="30" t="s">
        <v>68</v>
      </c>
      <c r="G9748" s="30" t="s">
        <v>140</v>
      </c>
      <c r="H9748" s="32">
        <v>360</v>
      </c>
      <c r="I9748" s="30" t="s">
        <v>51</v>
      </c>
      <c r="J9748" s="41">
        <v>44788</v>
      </c>
      <c r="K9748" s="30" t="s">
        <v>22</v>
      </c>
    </row>
    <row r="9749" spans="1:11">
      <c r="A9749" s="33" t="s">
        <v>22330</v>
      </c>
      <c r="B9749" s="33" t="s">
        <v>22331</v>
      </c>
      <c r="C9749" s="33" t="s">
        <v>203</v>
      </c>
      <c r="D9749" s="33" t="s">
        <v>17</v>
      </c>
      <c r="E9749" s="33" t="s">
        <v>212</v>
      </c>
      <c r="F9749" s="33" t="s">
        <v>213</v>
      </c>
      <c r="G9749" s="33" t="s">
        <v>106</v>
      </c>
      <c r="H9749" s="35">
        <v>62</v>
      </c>
      <c r="I9749" s="33" t="s">
        <v>21</v>
      </c>
      <c r="J9749" s="42">
        <v>44900</v>
      </c>
      <c r="K9749" s="33" t="s">
        <v>22</v>
      </c>
    </row>
    <row r="9750" spans="1:11">
      <c r="A9750" s="30" t="s">
        <v>22332</v>
      </c>
      <c r="B9750" s="30" t="s">
        <v>22333</v>
      </c>
      <c r="C9750" s="30" t="s">
        <v>93</v>
      </c>
      <c r="D9750" s="30" t="s">
        <v>17</v>
      </c>
      <c r="E9750" s="30" t="s">
        <v>18</v>
      </c>
      <c r="F9750" s="30" t="s">
        <v>19</v>
      </c>
      <c r="G9750" s="30" t="s">
        <v>20</v>
      </c>
      <c r="H9750" s="32">
        <v>309</v>
      </c>
      <c r="I9750" s="30" t="s">
        <v>21</v>
      </c>
      <c r="J9750" s="41">
        <v>44628</v>
      </c>
      <c r="K9750" s="30" t="s">
        <v>22</v>
      </c>
    </row>
    <row r="9751" spans="1:11">
      <c r="A9751" s="33" t="s">
        <v>22334</v>
      </c>
      <c r="B9751" s="33" t="s">
        <v>22335</v>
      </c>
      <c r="C9751" s="33" t="s">
        <v>22336</v>
      </c>
      <c r="D9751" s="33" t="s">
        <v>17</v>
      </c>
      <c r="E9751" s="33" t="s">
        <v>26</v>
      </c>
      <c r="F9751" s="33" t="s">
        <v>27</v>
      </c>
      <c r="G9751" s="33" t="s">
        <v>20</v>
      </c>
      <c r="H9751" s="35">
        <v>34</v>
      </c>
      <c r="I9751" s="33" t="s">
        <v>21</v>
      </c>
      <c r="J9751" s="42">
        <v>44700</v>
      </c>
      <c r="K9751" s="33" t="s">
        <v>22</v>
      </c>
    </row>
    <row r="9752" spans="1:11">
      <c r="A9752" s="30" t="s">
        <v>22337</v>
      </c>
      <c r="B9752" s="30" t="s">
        <v>22338</v>
      </c>
      <c r="C9752" s="30" t="s">
        <v>22208</v>
      </c>
      <c r="D9752" s="30" t="s">
        <v>17</v>
      </c>
      <c r="E9752" s="30" t="s">
        <v>212</v>
      </c>
      <c r="F9752" s="30" t="s">
        <v>213</v>
      </c>
      <c r="G9752" s="30" t="s">
        <v>106</v>
      </c>
      <c r="H9752" s="32">
        <v>19</v>
      </c>
      <c r="I9752" s="30" t="s">
        <v>21</v>
      </c>
      <c r="J9752" s="41">
        <v>44616</v>
      </c>
      <c r="K9752" s="30" t="s">
        <v>22</v>
      </c>
    </row>
    <row r="9753" spans="1:11">
      <c r="A9753" s="33" t="s">
        <v>22339</v>
      </c>
      <c r="B9753" s="33" t="s">
        <v>22340</v>
      </c>
      <c r="C9753" s="33" t="s">
        <v>203</v>
      </c>
      <c r="D9753" s="33" t="s">
        <v>17</v>
      </c>
      <c r="E9753" s="33" t="s">
        <v>26</v>
      </c>
      <c r="F9753" s="33" t="s">
        <v>27</v>
      </c>
      <c r="G9753" s="33" t="s">
        <v>20</v>
      </c>
      <c r="H9753" s="35">
        <v>22</v>
      </c>
      <c r="I9753" s="33" t="s">
        <v>21</v>
      </c>
      <c r="J9753" s="42">
        <v>44630</v>
      </c>
      <c r="K9753" s="33" t="s">
        <v>22</v>
      </c>
    </row>
    <row r="9754" spans="1:11">
      <c r="A9754" s="30" t="s">
        <v>22341</v>
      </c>
      <c r="B9754" s="30" t="s">
        <v>22342</v>
      </c>
      <c r="C9754" s="30" t="s">
        <v>7935</v>
      </c>
      <c r="D9754" s="30" t="s">
        <v>17</v>
      </c>
      <c r="E9754" s="30" t="s">
        <v>67</v>
      </c>
      <c r="F9754" s="30" t="s">
        <v>68</v>
      </c>
      <c r="G9754" s="30" t="s">
        <v>20</v>
      </c>
      <c r="H9754" s="32">
        <v>22</v>
      </c>
      <c r="I9754" s="30" t="s">
        <v>21</v>
      </c>
      <c r="J9754" s="41">
        <v>44743</v>
      </c>
      <c r="K9754" s="30" t="s">
        <v>22</v>
      </c>
    </row>
    <row r="9755" spans="1:11">
      <c r="A9755" s="33" t="s">
        <v>22343</v>
      </c>
      <c r="B9755" s="33" t="s">
        <v>22344</v>
      </c>
      <c r="C9755" s="33" t="s">
        <v>718</v>
      </c>
      <c r="D9755" s="33" t="s">
        <v>17</v>
      </c>
      <c r="E9755" s="33" t="s">
        <v>26</v>
      </c>
      <c r="F9755" s="33" t="s">
        <v>27</v>
      </c>
      <c r="G9755" s="33" t="s">
        <v>50</v>
      </c>
      <c r="H9755" s="35">
        <v>82</v>
      </c>
      <c r="I9755" s="33" t="s">
        <v>51</v>
      </c>
      <c r="J9755" s="42">
        <v>44701</v>
      </c>
      <c r="K9755" s="33" t="s">
        <v>22</v>
      </c>
    </row>
    <row r="9756" spans="1:11">
      <c r="A9756" s="30" t="s">
        <v>22345</v>
      </c>
      <c r="B9756" s="30" t="s">
        <v>22346</v>
      </c>
      <c r="C9756" s="30" t="s">
        <v>22347</v>
      </c>
      <c r="D9756" s="30" t="s">
        <v>17</v>
      </c>
      <c r="E9756" s="30" t="s">
        <v>26</v>
      </c>
      <c r="F9756" s="30" t="s">
        <v>27</v>
      </c>
      <c r="G9756" s="30" t="s">
        <v>20</v>
      </c>
      <c r="H9756" s="32">
        <v>32</v>
      </c>
      <c r="I9756" s="30" t="s">
        <v>21</v>
      </c>
      <c r="J9756" s="41">
        <v>44747</v>
      </c>
      <c r="K9756" s="30" t="s">
        <v>22</v>
      </c>
    </row>
    <row r="9757" spans="1:11">
      <c r="A9757" s="33" t="s">
        <v>22348</v>
      </c>
      <c r="B9757" s="33" t="s">
        <v>22349</v>
      </c>
      <c r="C9757" s="33" t="s">
        <v>17410</v>
      </c>
      <c r="D9757" s="33" t="s">
        <v>17</v>
      </c>
      <c r="E9757" s="33" t="s">
        <v>26</v>
      </c>
      <c r="F9757" s="33" t="s">
        <v>27</v>
      </c>
      <c r="G9757" s="33" t="s">
        <v>50</v>
      </c>
      <c r="H9757" s="35">
        <v>16</v>
      </c>
      <c r="I9757" s="33" t="s">
        <v>51</v>
      </c>
      <c r="J9757" s="42">
        <v>44736</v>
      </c>
      <c r="K9757" s="33" t="s">
        <v>22</v>
      </c>
    </row>
    <row r="9758" spans="1:11">
      <c r="A9758" s="30" t="s">
        <v>22350</v>
      </c>
      <c r="B9758" s="30" t="s">
        <v>22351</v>
      </c>
      <c r="C9758" s="30" t="s">
        <v>379</v>
      </c>
      <c r="D9758" s="30" t="s">
        <v>17</v>
      </c>
      <c r="E9758" s="30" t="s">
        <v>18</v>
      </c>
      <c r="F9758" s="30" t="s">
        <v>19</v>
      </c>
      <c r="G9758" s="30" t="s">
        <v>158</v>
      </c>
      <c r="H9758" s="32">
        <v>511</v>
      </c>
      <c r="I9758" s="30" t="s">
        <v>21</v>
      </c>
      <c r="J9758" s="41">
        <v>44698</v>
      </c>
      <c r="K9758" s="30" t="s">
        <v>22</v>
      </c>
    </row>
    <row r="9759" spans="1:11">
      <c r="A9759" s="33" t="s">
        <v>22352</v>
      </c>
      <c r="B9759" s="33" t="s">
        <v>22353</v>
      </c>
      <c r="C9759" s="33" t="s">
        <v>8151</v>
      </c>
      <c r="D9759" s="33" t="s">
        <v>17</v>
      </c>
      <c r="E9759" s="33" t="s">
        <v>26</v>
      </c>
      <c r="F9759" s="33" t="s">
        <v>27</v>
      </c>
      <c r="G9759" s="33" t="s">
        <v>20</v>
      </c>
      <c r="H9759" s="35">
        <v>36</v>
      </c>
      <c r="I9759" s="33" t="s">
        <v>21</v>
      </c>
      <c r="J9759" s="42">
        <v>44699</v>
      </c>
      <c r="K9759" s="33" t="s">
        <v>22</v>
      </c>
    </row>
    <row r="9760" spans="1:11">
      <c r="A9760" s="30" t="s">
        <v>22354</v>
      </c>
      <c r="B9760" s="30" t="s">
        <v>22355</v>
      </c>
      <c r="C9760" s="30" t="s">
        <v>18324</v>
      </c>
      <c r="D9760" s="30" t="s">
        <v>17</v>
      </c>
      <c r="E9760" s="30" t="s">
        <v>26</v>
      </c>
      <c r="F9760" s="30" t="s">
        <v>27</v>
      </c>
      <c r="G9760" s="30" t="s">
        <v>20</v>
      </c>
      <c r="H9760" s="32">
        <v>50</v>
      </c>
      <c r="I9760" s="30" t="s">
        <v>21</v>
      </c>
      <c r="J9760" s="41">
        <v>44781</v>
      </c>
      <c r="K9760" s="30" t="s">
        <v>22</v>
      </c>
    </row>
    <row r="9761" spans="1:11">
      <c r="A9761" s="33" t="s">
        <v>22356</v>
      </c>
      <c r="B9761" s="33" t="s">
        <v>22357</v>
      </c>
      <c r="C9761" s="33" t="s">
        <v>190</v>
      </c>
      <c r="D9761" s="33" t="s">
        <v>17</v>
      </c>
      <c r="E9761" s="33" t="s">
        <v>26</v>
      </c>
      <c r="F9761" s="33" t="s">
        <v>27</v>
      </c>
      <c r="G9761" s="33" t="s">
        <v>20</v>
      </c>
      <c r="H9761" s="35">
        <v>180</v>
      </c>
      <c r="I9761" s="33" t="s">
        <v>21</v>
      </c>
      <c r="J9761" s="42">
        <v>44642</v>
      </c>
      <c r="K9761" s="33" t="s">
        <v>22</v>
      </c>
    </row>
    <row r="9762" spans="1:11">
      <c r="A9762" s="30" t="s">
        <v>22358</v>
      </c>
      <c r="B9762" s="30" t="s">
        <v>22359</v>
      </c>
      <c r="C9762" s="30" t="s">
        <v>7736</v>
      </c>
      <c r="D9762" s="30" t="s">
        <v>17</v>
      </c>
      <c r="E9762" s="30" t="s">
        <v>26</v>
      </c>
      <c r="F9762" s="30" t="s">
        <v>27</v>
      </c>
      <c r="G9762" s="30" t="s">
        <v>20</v>
      </c>
      <c r="H9762" s="32">
        <v>36</v>
      </c>
      <c r="I9762" s="30" t="s">
        <v>21</v>
      </c>
      <c r="J9762" s="41">
        <v>44672</v>
      </c>
      <c r="K9762" s="30" t="s">
        <v>22</v>
      </c>
    </row>
    <row r="9763" spans="1:11">
      <c r="A9763" s="33" t="s">
        <v>22360</v>
      </c>
      <c r="B9763" s="33" t="s">
        <v>22361</v>
      </c>
      <c r="C9763" s="33" t="s">
        <v>1090</v>
      </c>
      <c r="D9763" s="33" t="s">
        <v>17</v>
      </c>
      <c r="E9763" s="33" t="s">
        <v>67</v>
      </c>
      <c r="F9763" s="33" t="s">
        <v>68</v>
      </c>
      <c r="G9763" s="33" t="s">
        <v>50</v>
      </c>
      <c r="H9763" s="35">
        <v>94</v>
      </c>
      <c r="I9763" s="33" t="s">
        <v>51</v>
      </c>
      <c r="J9763" s="42">
        <v>44624</v>
      </c>
      <c r="K9763" s="33" t="s">
        <v>22</v>
      </c>
    </row>
    <row r="9764" spans="1:11">
      <c r="A9764" s="30" t="s">
        <v>22362</v>
      </c>
      <c r="B9764" s="30" t="s">
        <v>22363</v>
      </c>
      <c r="C9764" s="30" t="s">
        <v>231</v>
      </c>
      <c r="D9764" s="30" t="s">
        <v>17</v>
      </c>
      <c r="E9764" s="30" t="s">
        <v>26</v>
      </c>
      <c r="F9764" s="30" t="s">
        <v>27</v>
      </c>
      <c r="G9764" s="30" t="s">
        <v>20</v>
      </c>
      <c r="H9764" s="32">
        <v>6</v>
      </c>
      <c r="I9764" s="30" t="s">
        <v>21</v>
      </c>
      <c r="J9764" s="41">
        <v>44746</v>
      </c>
      <c r="K9764" s="30" t="s">
        <v>22</v>
      </c>
    </row>
    <row r="9765" spans="1:11">
      <c r="A9765" s="33" t="s">
        <v>22364</v>
      </c>
      <c r="B9765" s="33" t="s">
        <v>22365</v>
      </c>
      <c r="C9765" s="33" t="s">
        <v>22366</v>
      </c>
      <c r="D9765" s="33" t="s">
        <v>17</v>
      </c>
      <c r="E9765" s="33" t="s">
        <v>18</v>
      </c>
      <c r="F9765" s="33" t="s">
        <v>19</v>
      </c>
      <c r="G9765" s="33" t="s">
        <v>158</v>
      </c>
      <c r="H9765" s="35">
        <v>1535</v>
      </c>
      <c r="I9765" s="33" t="s">
        <v>21</v>
      </c>
      <c r="J9765" s="42">
        <v>44918</v>
      </c>
      <c r="K9765" s="33" t="s">
        <v>22</v>
      </c>
    </row>
    <row r="9766" spans="1:11">
      <c r="A9766" s="30" t="s">
        <v>22367</v>
      </c>
      <c r="B9766" s="30" t="s">
        <v>22368</v>
      </c>
      <c r="C9766" s="30" t="s">
        <v>2807</v>
      </c>
      <c r="D9766" s="30" t="s">
        <v>17</v>
      </c>
      <c r="E9766" s="30" t="s">
        <v>26</v>
      </c>
      <c r="F9766" s="30" t="s">
        <v>27</v>
      </c>
      <c r="G9766" s="30" t="s">
        <v>20</v>
      </c>
      <c r="H9766" s="32">
        <v>40</v>
      </c>
      <c r="I9766" s="30" t="s">
        <v>21</v>
      </c>
      <c r="J9766" s="41">
        <v>44915</v>
      </c>
      <c r="K9766" s="30" t="s">
        <v>22</v>
      </c>
    </row>
    <row r="9767" spans="1:11">
      <c r="A9767" s="33" t="s">
        <v>22369</v>
      </c>
      <c r="B9767" s="33" t="s">
        <v>22370</v>
      </c>
      <c r="C9767" s="33" t="s">
        <v>93</v>
      </c>
      <c r="D9767" s="33" t="s">
        <v>17</v>
      </c>
      <c r="E9767" s="33" t="s">
        <v>26</v>
      </c>
      <c r="F9767" s="33" t="s">
        <v>27</v>
      </c>
      <c r="G9767" s="33" t="s">
        <v>20</v>
      </c>
      <c r="H9767" s="35">
        <v>40</v>
      </c>
      <c r="I9767" s="33" t="s">
        <v>21</v>
      </c>
      <c r="J9767" s="42">
        <v>44852</v>
      </c>
      <c r="K9767" s="33" t="s">
        <v>22</v>
      </c>
    </row>
    <row r="9768" spans="1:11">
      <c r="A9768" s="30" t="s">
        <v>22371</v>
      </c>
      <c r="B9768" s="30" t="s">
        <v>22372</v>
      </c>
      <c r="C9768" s="30" t="s">
        <v>15421</v>
      </c>
      <c r="D9768" s="30" t="s">
        <v>17</v>
      </c>
      <c r="E9768" s="30" t="s">
        <v>26</v>
      </c>
      <c r="F9768" s="30" t="s">
        <v>27</v>
      </c>
      <c r="G9768" s="30" t="s">
        <v>20</v>
      </c>
      <c r="H9768" s="32">
        <v>25</v>
      </c>
      <c r="I9768" s="30" t="s">
        <v>21</v>
      </c>
      <c r="J9768" s="41">
        <v>44585</v>
      </c>
      <c r="K9768" s="30" t="s">
        <v>22</v>
      </c>
    </row>
    <row r="9769" spans="1:11">
      <c r="A9769" s="33" t="s">
        <v>22373</v>
      </c>
      <c r="B9769" s="33" t="s">
        <v>22374</v>
      </c>
      <c r="C9769" s="33" t="s">
        <v>3296</v>
      </c>
      <c r="D9769" s="33" t="s">
        <v>17</v>
      </c>
      <c r="E9769" s="33" t="s">
        <v>26</v>
      </c>
      <c r="F9769" s="33" t="s">
        <v>27</v>
      </c>
      <c r="G9769" s="33" t="s">
        <v>50</v>
      </c>
      <c r="H9769" s="35">
        <v>90</v>
      </c>
      <c r="I9769" s="33" t="s">
        <v>51</v>
      </c>
      <c r="J9769" s="42">
        <v>44750</v>
      </c>
      <c r="K9769" s="33" t="s">
        <v>22</v>
      </c>
    </row>
    <row r="9770" spans="1:11">
      <c r="A9770" s="30" t="s">
        <v>22375</v>
      </c>
      <c r="B9770" s="30" t="s">
        <v>22376</v>
      </c>
      <c r="C9770" s="30" t="s">
        <v>3451</v>
      </c>
      <c r="D9770" s="30" t="s">
        <v>17</v>
      </c>
      <c r="E9770" s="30" t="s">
        <v>26</v>
      </c>
      <c r="F9770" s="30" t="s">
        <v>27</v>
      </c>
      <c r="G9770" s="30" t="s">
        <v>20</v>
      </c>
      <c r="H9770" s="32">
        <v>43</v>
      </c>
      <c r="I9770" s="30" t="s">
        <v>21</v>
      </c>
      <c r="J9770" s="41">
        <v>44802</v>
      </c>
      <c r="K9770" s="30" t="s">
        <v>22</v>
      </c>
    </row>
    <row r="9771" spans="1:11">
      <c r="A9771" s="33" t="s">
        <v>22377</v>
      </c>
      <c r="B9771" s="33" t="s">
        <v>22378</v>
      </c>
      <c r="C9771" s="33" t="s">
        <v>5352</v>
      </c>
      <c r="D9771" s="33" t="s">
        <v>17</v>
      </c>
      <c r="E9771" s="33" t="s">
        <v>67</v>
      </c>
      <c r="F9771" s="33" t="s">
        <v>68</v>
      </c>
      <c r="G9771" s="33" t="s">
        <v>112</v>
      </c>
      <c r="H9771" s="35">
        <v>0</v>
      </c>
      <c r="I9771" s="33" t="s">
        <v>21</v>
      </c>
      <c r="J9771" s="42">
        <v>44805</v>
      </c>
      <c r="K9771" s="33" t="s">
        <v>22</v>
      </c>
    </row>
    <row r="9772" spans="1:11">
      <c r="A9772" s="30" t="s">
        <v>22379</v>
      </c>
      <c r="B9772" s="30" t="s">
        <v>22380</v>
      </c>
      <c r="C9772" s="30" t="s">
        <v>374</v>
      </c>
      <c r="D9772" s="30" t="s">
        <v>17</v>
      </c>
      <c r="E9772" s="30" t="s">
        <v>31</v>
      </c>
      <c r="F9772" s="30" t="s">
        <v>32</v>
      </c>
      <c r="G9772" s="30" t="s">
        <v>158</v>
      </c>
      <c r="H9772" s="32">
        <v>90</v>
      </c>
      <c r="I9772" s="30" t="s">
        <v>51</v>
      </c>
      <c r="J9772" s="41">
        <v>44887</v>
      </c>
      <c r="K9772" s="30" t="s">
        <v>22</v>
      </c>
    </row>
    <row r="9773" spans="1:11">
      <c r="A9773" s="33" t="s">
        <v>22381</v>
      </c>
      <c r="B9773" s="33" t="s">
        <v>22382</v>
      </c>
      <c r="C9773" s="33" t="s">
        <v>22383</v>
      </c>
      <c r="D9773" s="33" t="s">
        <v>17</v>
      </c>
      <c r="E9773" s="33" t="s">
        <v>26</v>
      </c>
      <c r="F9773" s="33" t="s">
        <v>27</v>
      </c>
      <c r="G9773" s="33" t="s">
        <v>20</v>
      </c>
      <c r="H9773" s="35">
        <v>36</v>
      </c>
      <c r="I9773" s="33" t="s">
        <v>21</v>
      </c>
      <c r="J9773" s="42">
        <v>44803</v>
      </c>
      <c r="K9773" s="33" t="s">
        <v>22</v>
      </c>
    </row>
    <row r="9774" spans="1:11">
      <c r="A9774" s="30" t="s">
        <v>22384</v>
      </c>
      <c r="B9774" s="30" t="s">
        <v>22385</v>
      </c>
      <c r="C9774" s="30" t="s">
        <v>154</v>
      </c>
      <c r="D9774" s="30" t="s">
        <v>17</v>
      </c>
      <c r="E9774" s="30" t="s">
        <v>67</v>
      </c>
      <c r="F9774" s="30" t="s">
        <v>68</v>
      </c>
      <c r="G9774" s="30" t="s">
        <v>158</v>
      </c>
      <c r="H9774" s="32">
        <v>125</v>
      </c>
      <c r="I9774" s="30" t="s">
        <v>21</v>
      </c>
      <c r="J9774" s="41">
        <v>44809</v>
      </c>
      <c r="K9774" s="30" t="s">
        <v>22</v>
      </c>
    </row>
    <row r="9775" spans="1:11">
      <c r="A9775" s="33" t="s">
        <v>22386</v>
      </c>
      <c r="B9775" s="33" t="s">
        <v>22387</v>
      </c>
      <c r="C9775" s="33" t="s">
        <v>22388</v>
      </c>
      <c r="D9775" s="33" t="s">
        <v>17</v>
      </c>
      <c r="E9775" s="33" t="s">
        <v>31</v>
      </c>
      <c r="F9775" s="33" t="s">
        <v>32</v>
      </c>
      <c r="G9775" s="33" t="s">
        <v>158</v>
      </c>
      <c r="H9775" s="35">
        <v>24</v>
      </c>
      <c r="I9775" s="33" t="s">
        <v>51</v>
      </c>
      <c r="J9775" s="42">
        <v>44838</v>
      </c>
      <c r="K9775" s="33" t="s">
        <v>22</v>
      </c>
    </row>
    <row r="9776" spans="1:11">
      <c r="A9776" s="30" t="s">
        <v>22389</v>
      </c>
      <c r="B9776" s="30" t="s">
        <v>22390</v>
      </c>
      <c r="C9776" s="30" t="s">
        <v>1133</v>
      </c>
      <c r="D9776" s="30" t="s">
        <v>17</v>
      </c>
      <c r="E9776" s="30" t="s">
        <v>26</v>
      </c>
      <c r="F9776" s="30" t="s">
        <v>27</v>
      </c>
      <c r="G9776" s="30" t="s">
        <v>140</v>
      </c>
      <c r="H9776" s="32">
        <v>190</v>
      </c>
      <c r="I9776" s="30" t="s">
        <v>51</v>
      </c>
      <c r="J9776" s="41">
        <v>44804</v>
      </c>
      <c r="K9776" s="30" t="s">
        <v>22</v>
      </c>
    </row>
    <row r="9777" spans="1:11">
      <c r="A9777" s="33" t="s">
        <v>22391</v>
      </c>
      <c r="B9777" s="33" t="s">
        <v>22392</v>
      </c>
      <c r="C9777" s="33" t="s">
        <v>20206</v>
      </c>
      <c r="D9777" s="33" t="s">
        <v>17</v>
      </c>
      <c r="E9777" s="33" t="s">
        <v>26</v>
      </c>
      <c r="F9777" s="33" t="s">
        <v>27</v>
      </c>
      <c r="G9777" s="33" t="s">
        <v>20</v>
      </c>
      <c r="H9777" s="35">
        <v>24</v>
      </c>
      <c r="I9777" s="33" t="s">
        <v>21</v>
      </c>
      <c r="J9777" s="42">
        <v>44688</v>
      </c>
      <c r="K9777" s="33" t="s">
        <v>22</v>
      </c>
    </row>
    <row r="9778" spans="1:11">
      <c r="A9778" s="30" t="s">
        <v>22393</v>
      </c>
      <c r="B9778" s="30" t="s">
        <v>22394</v>
      </c>
      <c r="C9778" s="30" t="s">
        <v>1112</v>
      </c>
      <c r="D9778" s="30" t="s">
        <v>17</v>
      </c>
      <c r="E9778" s="30" t="s">
        <v>31</v>
      </c>
      <c r="F9778" s="30" t="s">
        <v>32</v>
      </c>
      <c r="G9778" s="30" t="s">
        <v>140</v>
      </c>
      <c r="H9778" s="32">
        <v>18</v>
      </c>
      <c r="I9778" s="30" t="s">
        <v>51</v>
      </c>
      <c r="J9778" s="41">
        <v>44623</v>
      </c>
      <c r="K9778" s="30" t="s">
        <v>22</v>
      </c>
    </row>
    <row r="9779" spans="1:11">
      <c r="A9779" s="33" t="s">
        <v>22395</v>
      </c>
      <c r="B9779" s="33" t="s">
        <v>22396</v>
      </c>
      <c r="C9779" s="33" t="s">
        <v>3238</v>
      </c>
      <c r="D9779" s="33" t="s">
        <v>17</v>
      </c>
      <c r="E9779" s="33" t="s">
        <v>31</v>
      </c>
      <c r="F9779" s="33" t="s">
        <v>32</v>
      </c>
      <c r="G9779" s="33" t="s">
        <v>112</v>
      </c>
      <c r="H9779" s="35">
        <v>0</v>
      </c>
      <c r="I9779" s="33" t="s">
        <v>21</v>
      </c>
      <c r="J9779" s="42">
        <v>44727</v>
      </c>
      <c r="K9779" s="33" t="s">
        <v>22</v>
      </c>
    </row>
    <row r="9780" spans="1:11">
      <c r="A9780" s="30" t="s">
        <v>22397</v>
      </c>
      <c r="B9780" s="30" t="s">
        <v>22398</v>
      </c>
      <c r="C9780" s="30" t="s">
        <v>2472</v>
      </c>
      <c r="D9780" s="30" t="s">
        <v>17</v>
      </c>
      <c r="E9780" s="30" t="s">
        <v>26</v>
      </c>
      <c r="F9780" s="30" t="s">
        <v>27</v>
      </c>
      <c r="G9780" s="30" t="s">
        <v>20</v>
      </c>
      <c r="H9780" s="32">
        <v>392</v>
      </c>
      <c r="I9780" s="30" t="s">
        <v>21</v>
      </c>
      <c r="J9780" s="41">
        <v>44848</v>
      </c>
      <c r="K9780" s="30" t="s">
        <v>22</v>
      </c>
    </row>
    <row r="9781" spans="1:11">
      <c r="A9781" s="33" t="s">
        <v>22399</v>
      </c>
      <c r="B9781" s="33" t="s">
        <v>22400</v>
      </c>
      <c r="C9781" s="33" t="s">
        <v>190</v>
      </c>
      <c r="D9781" s="33" t="s">
        <v>17</v>
      </c>
      <c r="E9781" s="33" t="s">
        <v>67</v>
      </c>
      <c r="F9781" s="33" t="s">
        <v>68</v>
      </c>
      <c r="G9781" s="33" t="s">
        <v>158</v>
      </c>
      <c r="H9781" s="35">
        <v>36</v>
      </c>
      <c r="I9781" s="33" t="s">
        <v>21</v>
      </c>
      <c r="J9781" s="42">
        <v>44582</v>
      </c>
      <c r="K9781" s="33" t="s">
        <v>22</v>
      </c>
    </row>
    <row r="9782" spans="1:11">
      <c r="A9782" s="30" t="s">
        <v>22401</v>
      </c>
      <c r="B9782" s="30" t="s">
        <v>22402</v>
      </c>
      <c r="C9782" s="30" t="s">
        <v>22403</v>
      </c>
      <c r="D9782" s="30" t="s">
        <v>17</v>
      </c>
      <c r="E9782" s="30" t="s">
        <v>31</v>
      </c>
      <c r="F9782" s="30" t="s">
        <v>32</v>
      </c>
      <c r="G9782" s="30" t="s">
        <v>20</v>
      </c>
      <c r="H9782" s="32">
        <v>120</v>
      </c>
      <c r="I9782" s="30" t="s">
        <v>21</v>
      </c>
      <c r="J9782" s="41">
        <v>44725</v>
      </c>
      <c r="K9782" s="30" t="s">
        <v>22</v>
      </c>
    </row>
    <row r="9783" spans="1:11">
      <c r="A9783" s="33" t="s">
        <v>22404</v>
      </c>
      <c r="B9783" s="33" t="s">
        <v>22405</v>
      </c>
      <c r="C9783" s="33" t="s">
        <v>7304</v>
      </c>
      <c r="D9783" s="33" t="s">
        <v>17</v>
      </c>
      <c r="E9783" s="33" t="s">
        <v>31</v>
      </c>
      <c r="F9783" s="33" t="s">
        <v>32</v>
      </c>
      <c r="G9783" s="33" t="s">
        <v>106</v>
      </c>
      <c r="H9783" s="35">
        <v>26</v>
      </c>
      <c r="I9783" s="33" t="s">
        <v>21</v>
      </c>
      <c r="J9783" s="42">
        <v>44593</v>
      </c>
      <c r="K9783" s="33" t="s">
        <v>22</v>
      </c>
    </row>
    <row r="9784" spans="1:11">
      <c r="A9784" s="30" t="s">
        <v>22406</v>
      </c>
      <c r="B9784" s="30" t="s">
        <v>4633</v>
      </c>
      <c r="C9784" s="30" t="s">
        <v>4634</v>
      </c>
      <c r="D9784" s="30" t="s">
        <v>17</v>
      </c>
      <c r="E9784" s="30" t="s">
        <v>26</v>
      </c>
      <c r="F9784" s="30" t="s">
        <v>27</v>
      </c>
      <c r="G9784" s="30" t="s">
        <v>20</v>
      </c>
      <c r="H9784" s="32">
        <v>36</v>
      </c>
      <c r="I9784" s="30" t="s">
        <v>21</v>
      </c>
      <c r="J9784" s="41">
        <v>44618</v>
      </c>
      <c r="K9784" s="30" t="s">
        <v>22</v>
      </c>
    </row>
    <row r="9785" spans="1:11">
      <c r="A9785" s="33" t="s">
        <v>22407</v>
      </c>
      <c r="B9785" s="33" t="s">
        <v>22408</v>
      </c>
      <c r="C9785" s="33" t="s">
        <v>1523</v>
      </c>
      <c r="D9785" s="33" t="s">
        <v>17</v>
      </c>
      <c r="E9785" s="33" t="s">
        <v>31</v>
      </c>
      <c r="F9785" s="33" t="s">
        <v>32</v>
      </c>
      <c r="G9785" s="33" t="s">
        <v>50</v>
      </c>
      <c r="H9785" s="35">
        <v>200</v>
      </c>
      <c r="I9785" s="33" t="s">
        <v>51</v>
      </c>
      <c r="J9785" s="42">
        <v>44712</v>
      </c>
      <c r="K9785" s="33" t="s">
        <v>22</v>
      </c>
    </row>
    <row r="9786" spans="1:11">
      <c r="A9786" s="30" t="s">
        <v>22409</v>
      </c>
      <c r="B9786" s="30" t="s">
        <v>22410</v>
      </c>
      <c r="C9786" s="30" t="s">
        <v>22411</v>
      </c>
      <c r="D9786" s="30" t="s">
        <v>17</v>
      </c>
      <c r="E9786" s="30" t="s">
        <v>212</v>
      </c>
      <c r="F9786" s="30" t="s">
        <v>213</v>
      </c>
      <c r="G9786" s="30" t="s">
        <v>158</v>
      </c>
      <c r="H9786" s="32">
        <v>125</v>
      </c>
      <c r="I9786" s="30" t="s">
        <v>21</v>
      </c>
      <c r="J9786" s="41">
        <v>44889</v>
      </c>
      <c r="K9786" s="30" t="s">
        <v>22</v>
      </c>
    </row>
    <row r="9787" spans="1:11">
      <c r="A9787" s="33" t="s">
        <v>22412</v>
      </c>
      <c r="B9787" s="33" t="s">
        <v>22413</v>
      </c>
      <c r="C9787" s="33" t="s">
        <v>1350</v>
      </c>
      <c r="D9787" s="33" t="s">
        <v>17</v>
      </c>
      <c r="E9787" s="33" t="s">
        <v>18</v>
      </c>
      <c r="F9787" s="33" t="s">
        <v>19</v>
      </c>
      <c r="G9787" s="33" t="s">
        <v>50</v>
      </c>
      <c r="H9787" s="35">
        <v>408</v>
      </c>
      <c r="I9787" s="33" t="s">
        <v>51</v>
      </c>
      <c r="J9787" s="42">
        <v>44581</v>
      </c>
      <c r="K9787" s="33" t="s">
        <v>22</v>
      </c>
    </row>
    <row r="9788" spans="1:11">
      <c r="A9788" s="30" t="s">
        <v>22414</v>
      </c>
      <c r="B9788" s="30" t="s">
        <v>22415</v>
      </c>
      <c r="C9788" s="30" t="s">
        <v>157</v>
      </c>
      <c r="D9788" s="30" t="s">
        <v>17</v>
      </c>
      <c r="E9788" s="30" t="s">
        <v>26</v>
      </c>
      <c r="F9788" s="30" t="s">
        <v>27</v>
      </c>
      <c r="G9788" s="30" t="s">
        <v>20</v>
      </c>
      <c r="H9788" s="32">
        <v>100</v>
      </c>
      <c r="I9788" s="30" t="s">
        <v>21</v>
      </c>
      <c r="J9788" s="41">
        <v>44880</v>
      </c>
      <c r="K9788" s="30" t="s">
        <v>22</v>
      </c>
    </row>
    <row r="9789" spans="1:11">
      <c r="A9789" s="33" t="s">
        <v>22416</v>
      </c>
      <c r="B9789" s="33" t="s">
        <v>22417</v>
      </c>
      <c r="C9789" s="33" t="s">
        <v>7072</v>
      </c>
      <c r="D9789" s="33" t="s">
        <v>17</v>
      </c>
      <c r="E9789" s="33" t="s">
        <v>26</v>
      </c>
      <c r="F9789" s="33" t="s">
        <v>27</v>
      </c>
      <c r="G9789" s="33" t="s">
        <v>140</v>
      </c>
      <c r="H9789" s="35">
        <v>246</v>
      </c>
      <c r="I9789" s="33" t="s">
        <v>51</v>
      </c>
      <c r="J9789" s="42">
        <v>44636</v>
      </c>
      <c r="K9789" s="33" t="s">
        <v>22</v>
      </c>
    </row>
    <row r="9790" spans="1:11">
      <c r="A9790" s="30" t="s">
        <v>22418</v>
      </c>
      <c r="B9790" s="30" t="s">
        <v>22419</v>
      </c>
      <c r="C9790" s="30" t="s">
        <v>5229</v>
      </c>
      <c r="D9790" s="30" t="s">
        <v>17</v>
      </c>
      <c r="E9790" s="30" t="s">
        <v>67</v>
      </c>
      <c r="F9790" s="30" t="s">
        <v>68</v>
      </c>
      <c r="G9790" s="30" t="s">
        <v>20</v>
      </c>
      <c r="H9790" s="32">
        <v>34</v>
      </c>
      <c r="I9790" s="30" t="s">
        <v>21</v>
      </c>
      <c r="J9790" s="41">
        <v>44586</v>
      </c>
      <c r="K9790" s="30" t="s">
        <v>22</v>
      </c>
    </row>
    <row r="9791" spans="1:11">
      <c r="A9791" s="33" t="s">
        <v>22420</v>
      </c>
      <c r="B9791" s="33" t="s">
        <v>22421</v>
      </c>
      <c r="C9791" s="33" t="s">
        <v>5802</v>
      </c>
      <c r="D9791" s="33" t="s">
        <v>17</v>
      </c>
      <c r="E9791" s="33" t="s">
        <v>31</v>
      </c>
      <c r="F9791" s="33" t="s">
        <v>32</v>
      </c>
      <c r="G9791" s="33" t="s">
        <v>20</v>
      </c>
      <c r="H9791" s="35">
        <v>39</v>
      </c>
      <c r="I9791" s="33" t="s">
        <v>21</v>
      </c>
      <c r="J9791" s="42">
        <v>44664</v>
      </c>
      <c r="K9791" s="33" t="s">
        <v>22</v>
      </c>
    </row>
    <row r="9792" spans="1:11">
      <c r="A9792" s="30" t="s">
        <v>22422</v>
      </c>
      <c r="B9792" s="30" t="s">
        <v>22423</v>
      </c>
      <c r="C9792" s="30" t="s">
        <v>20427</v>
      </c>
      <c r="D9792" s="30" t="s">
        <v>17</v>
      </c>
      <c r="E9792" s="30" t="s">
        <v>26</v>
      </c>
      <c r="F9792" s="30" t="s">
        <v>27</v>
      </c>
      <c r="G9792" s="30" t="s">
        <v>20</v>
      </c>
      <c r="H9792" s="32">
        <v>30</v>
      </c>
      <c r="I9792" s="30" t="s">
        <v>21</v>
      </c>
      <c r="J9792" s="41">
        <v>44771</v>
      </c>
      <c r="K9792" s="30" t="s">
        <v>22</v>
      </c>
    </row>
    <row r="9793" spans="1:11">
      <c r="A9793" s="33" t="s">
        <v>22424</v>
      </c>
      <c r="B9793" s="33" t="s">
        <v>22425</v>
      </c>
      <c r="C9793" s="33" t="s">
        <v>136</v>
      </c>
      <c r="D9793" s="33" t="s">
        <v>17</v>
      </c>
      <c r="E9793" s="33" t="s">
        <v>31</v>
      </c>
      <c r="F9793" s="33" t="s">
        <v>32</v>
      </c>
      <c r="G9793" s="33" t="s">
        <v>20</v>
      </c>
      <c r="H9793" s="35">
        <v>131</v>
      </c>
      <c r="I9793" s="33" t="s">
        <v>21</v>
      </c>
      <c r="J9793" s="42">
        <v>44879</v>
      </c>
      <c r="K9793" s="33" t="s">
        <v>22</v>
      </c>
    </row>
    <row r="9794" spans="1:11">
      <c r="A9794" s="30" t="s">
        <v>22426</v>
      </c>
      <c r="B9794" s="30" t="s">
        <v>22427</v>
      </c>
      <c r="C9794" s="30" t="s">
        <v>22428</v>
      </c>
      <c r="D9794" s="30" t="s">
        <v>17</v>
      </c>
      <c r="E9794" s="30" t="s">
        <v>31</v>
      </c>
      <c r="F9794" s="30" t="s">
        <v>32</v>
      </c>
      <c r="G9794" s="30" t="s">
        <v>20</v>
      </c>
      <c r="H9794" s="32">
        <v>40</v>
      </c>
      <c r="I9794" s="30" t="s">
        <v>21</v>
      </c>
      <c r="J9794" s="41">
        <v>44837</v>
      </c>
      <c r="K9794" s="30" t="s">
        <v>22</v>
      </c>
    </row>
    <row r="9795" spans="1:11">
      <c r="A9795" s="33" t="s">
        <v>22429</v>
      </c>
      <c r="B9795" s="33" t="s">
        <v>22430</v>
      </c>
      <c r="C9795" s="33" t="s">
        <v>644</v>
      </c>
      <c r="D9795" s="33" t="s">
        <v>17</v>
      </c>
      <c r="E9795" s="33" t="s">
        <v>31</v>
      </c>
      <c r="F9795" s="33" t="s">
        <v>32</v>
      </c>
      <c r="G9795" s="33" t="s">
        <v>50</v>
      </c>
      <c r="H9795" s="35">
        <v>50</v>
      </c>
      <c r="I9795" s="33" t="s">
        <v>51</v>
      </c>
      <c r="J9795" s="42">
        <v>44670</v>
      </c>
      <c r="K9795" s="33" t="s">
        <v>22</v>
      </c>
    </row>
    <row r="9796" spans="1:11">
      <c r="A9796" s="30" t="s">
        <v>22431</v>
      </c>
      <c r="B9796" s="30" t="s">
        <v>22432</v>
      </c>
      <c r="C9796" s="30" t="s">
        <v>801</v>
      </c>
      <c r="D9796" s="30" t="s">
        <v>17</v>
      </c>
      <c r="E9796" s="30" t="s">
        <v>26</v>
      </c>
      <c r="F9796" s="30" t="s">
        <v>27</v>
      </c>
      <c r="G9796" s="30" t="s">
        <v>20</v>
      </c>
      <c r="H9796" s="32">
        <v>72</v>
      </c>
      <c r="I9796" s="30" t="s">
        <v>21</v>
      </c>
      <c r="J9796" s="41">
        <v>44585</v>
      </c>
      <c r="K9796" s="30" t="s">
        <v>22</v>
      </c>
    </row>
    <row r="9797" spans="1:11">
      <c r="A9797" s="33" t="s">
        <v>22433</v>
      </c>
      <c r="B9797" s="33" t="s">
        <v>22434</v>
      </c>
      <c r="C9797" s="33" t="s">
        <v>22435</v>
      </c>
      <c r="D9797" s="33" t="s">
        <v>17</v>
      </c>
      <c r="E9797" s="33" t="s">
        <v>31</v>
      </c>
      <c r="F9797" s="33" t="s">
        <v>32</v>
      </c>
      <c r="G9797" s="33" t="s">
        <v>50</v>
      </c>
      <c r="H9797" s="35">
        <v>180</v>
      </c>
      <c r="I9797" s="33" t="s">
        <v>51</v>
      </c>
      <c r="J9797" s="42">
        <v>44778</v>
      </c>
      <c r="K9797" s="33" t="s">
        <v>22</v>
      </c>
    </row>
    <row r="9798" spans="1:11">
      <c r="A9798" s="30" t="s">
        <v>22436</v>
      </c>
      <c r="B9798" s="30" t="s">
        <v>22437</v>
      </c>
      <c r="C9798" s="30" t="s">
        <v>1287</v>
      </c>
      <c r="D9798" s="30" t="s">
        <v>17</v>
      </c>
      <c r="E9798" s="30" t="s">
        <v>18</v>
      </c>
      <c r="F9798" s="30" t="s">
        <v>19</v>
      </c>
      <c r="G9798" s="30" t="s">
        <v>158</v>
      </c>
      <c r="H9798" s="32">
        <v>293</v>
      </c>
      <c r="I9798" s="30" t="s">
        <v>21</v>
      </c>
      <c r="J9798" s="41">
        <v>44652</v>
      </c>
      <c r="K9798" s="30" t="s">
        <v>22</v>
      </c>
    </row>
    <row r="9799" spans="1:11">
      <c r="A9799" s="33" t="s">
        <v>22438</v>
      </c>
      <c r="B9799" s="33" t="s">
        <v>22439</v>
      </c>
      <c r="C9799" s="33" t="s">
        <v>2264</v>
      </c>
      <c r="D9799" s="33" t="s">
        <v>17</v>
      </c>
      <c r="E9799" s="33" t="s">
        <v>26</v>
      </c>
      <c r="F9799" s="33" t="s">
        <v>27</v>
      </c>
      <c r="G9799" s="33" t="s">
        <v>112</v>
      </c>
      <c r="H9799" s="35">
        <v>0</v>
      </c>
      <c r="I9799" s="33" t="s">
        <v>21</v>
      </c>
      <c r="J9799" s="42">
        <v>44652</v>
      </c>
      <c r="K9799" s="33" t="s">
        <v>22</v>
      </c>
    </row>
    <row r="9800" spans="1:11">
      <c r="A9800" s="30" t="s">
        <v>22440</v>
      </c>
      <c r="B9800" s="30" t="s">
        <v>22441</v>
      </c>
      <c r="C9800" s="30" t="s">
        <v>3892</v>
      </c>
      <c r="D9800" s="30" t="s">
        <v>17</v>
      </c>
      <c r="E9800" s="30" t="s">
        <v>26</v>
      </c>
      <c r="F9800" s="30" t="s">
        <v>27</v>
      </c>
      <c r="G9800" s="30" t="s">
        <v>20</v>
      </c>
      <c r="H9800" s="32">
        <v>15</v>
      </c>
      <c r="I9800" s="30" t="s">
        <v>21</v>
      </c>
      <c r="J9800" s="41">
        <v>44810</v>
      </c>
      <c r="K9800" s="30" t="s">
        <v>22</v>
      </c>
    </row>
    <row r="9801" spans="1:11">
      <c r="A9801" s="33" t="s">
        <v>22442</v>
      </c>
      <c r="B9801" s="33" t="s">
        <v>22443</v>
      </c>
      <c r="C9801" s="33" t="s">
        <v>102</v>
      </c>
      <c r="D9801" s="33" t="s">
        <v>17</v>
      </c>
      <c r="E9801" s="33" t="s">
        <v>31</v>
      </c>
      <c r="F9801" s="33" t="s">
        <v>32</v>
      </c>
      <c r="G9801" s="33" t="s">
        <v>20</v>
      </c>
      <c r="H9801" s="35">
        <v>255</v>
      </c>
      <c r="I9801" s="33" t="s">
        <v>21</v>
      </c>
      <c r="J9801" s="42">
        <v>44595</v>
      </c>
      <c r="K9801" s="33" t="s">
        <v>22</v>
      </c>
    </row>
    <row r="9802" spans="1:11">
      <c r="A9802" s="30" t="s">
        <v>22444</v>
      </c>
      <c r="B9802" s="30" t="s">
        <v>22445</v>
      </c>
      <c r="C9802" s="30" t="s">
        <v>957</v>
      </c>
      <c r="D9802" s="30" t="s">
        <v>17</v>
      </c>
      <c r="E9802" s="30" t="s">
        <v>18</v>
      </c>
      <c r="F9802" s="30" t="s">
        <v>19</v>
      </c>
      <c r="G9802" s="30" t="s">
        <v>158</v>
      </c>
      <c r="H9802" s="32">
        <v>381</v>
      </c>
      <c r="I9802" s="30" t="s">
        <v>21</v>
      </c>
      <c r="J9802" s="41">
        <v>44741</v>
      </c>
      <c r="K9802" s="30" t="s">
        <v>22</v>
      </c>
    </row>
    <row r="9803" spans="1:11">
      <c r="A9803" s="33" t="s">
        <v>22446</v>
      </c>
      <c r="B9803" s="33" t="s">
        <v>22447</v>
      </c>
      <c r="C9803" s="33" t="s">
        <v>21156</v>
      </c>
      <c r="D9803" s="33" t="s">
        <v>17</v>
      </c>
      <c r="E9803" s="33" t="s">
        <v>26</v>
      </c>
      <c r="F9803" s="33" t="s">
        <v>27</v>
      </c>
      <c r="G9803" s="33" t="s">
        <v>20</v>
      </c>
      <c r="H9803" s="35">
        <v>12</v>
      </c>
      <c r="I9803" s="33" t="s">
        <v>21</v>
      </c>
      <c r="J9803" s="42">
        <v>44650</v>
      </c>
      <c r="K9803" s="33" t="s">
        <v>22</v>
      </c>
    </row>
    <row r="9804" spans="1:11">
      <c r="A9804" s="30" t="s">
        <v>22448</v>
      </c>
      <c r="B9804" s="30" t="s">
        <v>22449</v>
      </c>
      <c r="C9804" s="30" t="s">
        <v>102</v>
      </c>
      <c r="D9804" s="30" t="s">
        <v>17</v>
      </c>
      <c r="E9804" s="30" t="s">
        <v>18</v>
      </c>
      <c r="F9804" s="30" t="s">
        <v>19</v>
      </c>
      <c r="G9804" s="30" t="s">
        <v>158</v>
      </c>
      <c r="H9804" s="32">
        <v>418</v>
      </c>
      <c r="I9804" s="30" t="s">
        <v>21</v>
      </c>
      <c r="J9804" s="41">
        <v>44817</v>
      </c>
      <c r="K9804" s="30" t="s">
        <v>22</v>
      </c>
    </row>
    <row r="9805" spans="1:11">
      <c r="A9805" s="33" t="s">
        <v>22450</v>
      </c>
      <c r="B9805" s="33" t="s">
        <v>22451</v>
      </c>
      <c r="C9805" s="33" t="s">
        <v>22452</v>
      </c>
      <c r="D9805" s="33" t="s">
        <v>17</v>
      </c>
      <c r="E9805" s="33" t="s">
        <v>67</v>
      </c>
      <c r="F9805" s="33" t="s">
        <v>68</v>
      </c>
      <c r="G9805" s="33" t="s">
        <v>140</v>
      </c>
      <c r="H9805" s="35">
        <v>78</v>
      </c>
      <c r="I9805" s="33" t="s">
        <v>51</v>
      </c>
      <c r="J9805" s="42">
        <v>44599</v>
      </c>
      <c r="K9805" s="33" t="s">
        <v>22</v>
      </c>
    </row>
    <row r="9806" spans="1:11">
      <c r="A9806" s="30" t="s">
        <v>22453</v>
      </c>
      <c r="B9806" s="30" t="s">
        <v>22454</v>
      </c>
      <c r="C9806" s="30" t="s">
        <v>2153</v>
      </c>
      <c r="D9806" s="30" t="s">
        <v>17</v>
      </c>
      <c r="E9806" s="30" t="s">
        <v>31</v>
      </c>
      <c r="F9806" s="30" t="s">
        <v>32</v>
      </c>
      <c r="G9806" s="30" t="s">
        <v>20</v>
      </c>
      <c r="H9806" s="32">
        <v>34</v>
      </c>
      <c r="I9806" s="30" t="s">
        <v>21</v>
      </c>
      <c r="J9806" s="41">
        <v>44620</v>
      </c>
      <c r="K9806" s="30" t="s">
        <v>22</v>
      </c>
    </row>
    <row r="9807" spans="1:11">
      <c r="A9807" s="33" t="s">
        <v>22455</v>
      </c>
      <c r="B9807" s="33" t="s">
        <v>22456</v>
      </c>
      <c r="C9807" s="33" t="s">
        <v>22457</v>
      </c>
      <c r="D9807" s="33" t="s">
        <v>17</v>
      </c>
      <c r="E9807" s="33" t="s">
        <v>330</v>
      </c>
      <c r="F9807" s="33" t="s">
        <v>331</v>
      </c>
      <c r="G9807" s="33" t="s">
        <v>112</v>
      </c>
      <c r="H9807" s="35">
        <v>0</v>
      </c>
      <c r="I9807" s="33" t="s">
        <v>21</v>
      </c>
      <c r="J9807" s="42">
        <v>44896</v>
      </c>
      <c r="K9807" s="33" t="s">
        <v>22</v>
      </c>
    </row>
    <row r="9808" spans="1:11">
      <c r="A9808" s="30" t="s">
        <v>22458</v>
      </c>
      <c r="B9808" s="30" t="s">
        <v>22459</v>
      </c>
      <c r="C9808" s="30" t="s">
        <v>4348</v>
      </c>
      <c r="D9808" s="30" t="s">
        <v>17</v>
      </c>
      <c r="E9808" s="30" t="s">
        <v>67</v>
      </c>
      <c r="F9808" s="30" t="s">
        <v>68</v>
      </c>
      <c r="G9808" s="30" t="s">
        <v>140</v>
      </c>
      <c r="H9808" s="32">
        <v>40</v>
      </c>
      <c r="I9808" s="30" t="s">
        <v>51</v>
      </c>
      <c r="J9808" s="41">
        <v>44830</v>
      </c>
      <c r="K9808" s="30" t="s">
        <v>22</v>
      </c>
    </row>
    <row r="9809" spans="1:11">
      <c r="A9809" s="33" t="s">
        <v>22460</v>
      </c>
      <c r="B9809" s="33" t="s">
        <v>22461</v>
      </c>
      <c r="C9809" s="33" t="s">
        <v>647</v>
      </c>
      <c r="D9809" s="33" t="s">
        <v>17</v>
      </c>
      <c r="E9809" s="33" t="s">
        <v>45</v>
      </c>
      <c r="F9809" s="33" t="s">
        <v>46</v>
      </c>
      <c r="G9809" s="33" t="s">
        <v>140</v>
      </c>
      <c r="H9809" s="35">
        <v>290</v>
      </c>
      <c r="I9809" s="33" t="s">
        <v>51</v>
      </c>
      <c r="J9809" s="42">
        <v>44575</v>
      </c>
      <c r="K9809" s="33" t="s">
        <v>22</v>
      </c>
    </row>
    <row r="9810" spans="1:11">
      <c r="A9810" s="30" t="s">
        <v>22462</v>
      </c>
      <c r="B9810" s="30" t="s">
        <v>22463</v>
      </c>
      <c r="C9810" s="30" t="s">
        <v>22464</v>
      </c>
      <c r="D9810" s="30" t="s">
        <v>17</v>
      </c>
      <c r="E9810" s="30" t="s">
        <v>67</v>
      </c>
      <c r="F9810" s="30" t="s">
        <v>68</v>
      </c>
      <c r="G9810" s="30" t="s">
        <v>106</v>
      </c>
      <c r="H9810" s="32">
        <v>15</v>
      </c>
      <c r="I9810" s="30" t="s">
        <v>21</v>
      </c>
      <c r="J9810" s="41">
        <v>44894</v>
      </c>
      <c r="K9810" s="30" t="s">
        <v>22</v>
      </c>
    </row>
    <row r="9811" spans="1:11">
      <c r="A9811" s="33" t="s">
        <v>22465</v>
      </c>
      <c r="B9811" s="33" t="s">
        <v>22466</v>
      </c>
      <c r="C9811" s="33" t="s">
        <v>130</v>
      </c>
      <c r="D9811" s="33" t="s">
        <v>17</v>
      </c>
      <c r="E9811" s="33" t="s">
        <v>18</v>
      </c>
      <c r="F9811" s="33" t="s">
        <v>19</v>
      </c>
      <c r="G9811" s="33" t="s">
        <v>158</v>
      </c>
      <c r="H9811" s="35">
        <v>82</v>
      </c>
      <c r="I9811" s="33" t="s">
        <v>21</v>
      </c>
      <c r="J9811" s="42">
        <v>44918</v>
      </c>
      <c r="K9811" s="33" t="s">
        <v>22</v>
      </c>
    </row>
    <row r="9812" spans="1:11">
      <c r="A9812" s="30" t="s">
        <v>22467</v>
      </c>
      <c r="B9812" s="30" t="s">
        <v>22468</v>
      </c>
      <c r="C9812" s="30" t="s">
        <v>8247</v>
      </c>
      <c r="D9812" s="30" t="s">
        <v>17</v>
      </c>
      <c r="E9812" s="30" t="s">
        <v>31</v>
      </c>
      <c r="F9812" s="30" t="s">
        <v>32</v>
      </c>
      <c r="G9812" s="30" t="s">
        <v>20</v>
      </c>
      <c r="H9812" s="32">
        <v>28</v>
      </c>
      <c r="I9812" s="30" t="s">
        <v>21</v>
      </c>
      <c r="J9812" s="41">
        <v>44825</v>
      </c>
      <c r="K9812" s="30" t="s">
        <v>22</v>
      </c>
    </row>
    <row r="9813" spans="1:11">
      <c r="A9813" s="33" t="s">
        <v>22469</v>
      </c>
      <c r="B9813" s="33" t="s">
        <v>22470</v>
      </c>
      <c r="C9813" s="33" t="s">
        <v>22471</v>
      </c>
      <c r="D9813" s="33" t="s">
        <v>17</v>
      </c>
      <c r="E9813" s="33" t="s">
        <v>67</v>
      </c>
      <c r="F9813" s="33" t="s">
        <v>68</v>
      </c>
      <c r="G9813" s="33" t="s">
        <v>20</v>
      </c>
      <c r="H9813" s="35">
        <v>30</v>
      </c>
      <c r="I9813" s="33" t="s">
        <v>21</v>
      </c>
      <c r="J9813" s="42">
        <v>44641</v>
      </c>
      <c r="K9813" s="33" t="s">
        <v>22</v>
      </c>
    </row>
    <row r="9814" spans="1:11">
      <c r="A9814" s="30" t="s">
        <v>22472</v>
      </c>
      <c r="B9814" s="30" t="s">
        <v>22473</v>
      </c>
      <c r="C9814" s="30" t="s">
        <v>19803</v>
      </c>
      <c r="D9814" s="30" t="s">
        <v>17</v>
      </c>
      <c r="E9814" s="30" t="s">
        <v>18</v>
      </c>
      <c r="F9814" s="30" t="s">
        <v>19</v>
      </c>
      <c r="G9814" s="30" t="s">
        <v>20</v>
      </c>
      <c r="H9814" s="32">
        <v>400</v>
      </c>
      <c r="I9814" s="30" t="s">
        <v>21</v>
      </c>
      <c r="J9814" s="41">
        <v>44768</v>
      </c>
      <c r="K9814" s="30" t="s">
        <v>22</v>
      </c>
    </row>
    <row r="9815" spans="1:11">
      <c r="A9815" s="33" t="s">
        <v>22474</v>
      </c>
      <c r="B9815" s="33" t="s">
        <v>22475</v>
      </c>
      <c r="C9815" s="33" t="s">
        <v>410</v>
      </c>
      <c r="D9815" s="33" t="s">
        <v>17</v>
      </c>
      <c r="E9815" s="33" t="s">
        <v>26</v>
      </c>
      <c r="F9815" s="33" t="s">
        <v>27</v>
      </c>
      <c r="G9815" s="33" t="s">
        <v>50</v>
      </c>
      <c r="H9815" s="35">
        <v>71</v>
      </c>
      <c r="I9815" s="33" t="s">
        <v>51</v>
      </c>
      <c r="J9815" s="42">
        <v>44692</v>
      </c>
      <c r="K9815" s="33" t="s">
        <v>22</v>
      </c>
    </row>
    <row r="9816" spans="1:11">
      <c r="A9816" s="30" t="s">
        <v>22476</v>
      </c>
      <c r="B9816" s="30" t="s">
        <v>22477</v>
      </c>
      <c r="C9816" s="30" t="s">
        <v>60</v>
      </c>
      <c r="D9816" s="30" t="s">
        <v>17</v>
      </c>
      <c r="E9816" s="30" t="s">
        <v>26</v>
      </c>
      <c r="F9816" s="30" t="s">
        <v>27</v>
      </c>
      <c r="G9816" s="30" t="s">
        <v>20</v>
      </c>
      <c r="H9816" s="32">
        <v>16</v>
      </c>
      <c r="I9816" s="30" t="s">
        <v>21</v>
      </c>
      <c r="J9816" s="41">
        <v>44764</v>
      </c>
      <c r="K9816" s="30" t="s">
        <v>22</v>
      </c>
    </row>
    <row r="9817" spans="1:11">
      <c r="A9817" s="33" t="s">
        <v>22478</v>
      </c>
      <c r="B9817" s="33" t="s">
        <v>22479</v>
      </c>
      <c r="C9817" s="33" t="s">
        <v>109</v>
      </c>
      <c r="D9817" s="33" t="s">
        <v>17</v>
      </c>
      <c r="E9817" s="33" t="s">
        <v>31</v>
      </c>
      <c r="F9817" s="33" t="s">
        <v>32</v>
      </c>
      <c r="G9817" s="33" t="s">
        <v>112</v>
      </c>
      <c r="H9817" s="35">
        <v>0</v>
      </c>
      <c r="I9817" s="33" t="s">
        <v>21</v>
      </c>
      <c r="J9817" s="42">
        <v>44592</v>
      </c>
      <c r="K9817" s="33" t="s">
        <v>22</v>
      </c>
    </row>
    <row r="9818" spans="1:11">
      <c r="A9818" s="30" t="s">
        <v>22480</v>
      </c>
      <c r="B9818" s="30" t="s">
        <v>22481</v>
      </c>
      <c r="C9818" s="30" t="s">
        <v>22482</v>
      </c>
      <c r="D9818" s="30" t="s">
        <v>17</v>
      </c>
      <c r="E9818" s="30" t="s">
        <v>31</v>
      </c>
      <c r="F9818" s="30" t="s">
        <v>32</v>
      </c>
      <c r="G9818" s="30" t="s">
        <v>140</v>
      </c>
      <c r="H9818" s="32">
        <v>60</v>
      </c>
      <c r="I9818" s="30" t="s">
        <v>51</v>
      </c>
      <c r="J9818" s="41">
        <v>44769</v>
      </c>
      <c r="K9818" s="30" t="s">
        <v>22</v>
      </c>
    </row>
    <row r="9819" spans="1:11">
      <c r="A9819" s="33" t="s">
        <v>22483</v>
      </c>
      <c r="B9819" s="33" t="s">
        <v>22484</v>
      </c>
      <c r="C9819" s="33" t="s">
        <v>10188</v>
      </c>
      <c r="D9819" s="33" t="s">
        <v>17</v>
      </c>
      <c r="E9819" s="33" t="s">
        <v>31</v>
      </c>
      <c r="F9819" s="33" t="s">
        <v>32</v>
      </c>
      <c r="G9819" s="33" t="s">
        <v>20</v>
      </c>
      <c r="H9819" s="35">
        <v>280</v>
      </c>
      <c r="I9819" s="33" t="s">
        <v>21</v>
      </c>
      <c r="J9819" s="42">
        <v>44749</v>
      </c>
      <c r="K9819" s="33" t="s">
        <v>22</v>
      </c>
    </row>
    <row r="9820" spans="1:11">
      <c r="A9820" s="30" t="s">
        <v>22485</v>
      </c>
      <c r="B9820" s="30" t="s">
        <v>22486</v>
      </c>
      <c r="C9820" s="30" t="s">
        <v>1207</v>
      </c>
      <c r="D9820" s="30" t="s">
        <v>17</v>
      </c>
      <c r="E9820" s="30" t="s">
        <v>212</v>
      </c>
      <c r="F9820" s="30" t="s">
        <v>213</v>
      </c>
      <c r="G9820" s="30" t="s">
        <v>158</v>
      </c>
      <c r="H9820" s="32">
        <v>153</v>
      </c>
      <c r="I9820" s="30" t="s">
        <v>21</v>
      </c>
      <c r="J9820" s="41">
        <v>44600</v>
      </c>
      <c r="K9820" s="30" t="s">
        <v>22</v>
      </c>
    </row>
    <row r="9821" spans="1:11">
      <c r="A9821" s="33" t="s">
        <v>22487</v>
      </c>
      <c r="B9821" s="33" t="s">
        <v>22488</v>
      </c>
      <c r="C9821" s="33" t="s">
        <v>969</v>
      </c>
      <c r="D9821" s="33" t="s">
        <v>17</v>
      </c>
      <c r="E9821" s="33" t="s">
        <v>18</v>
      </c>
      <c r="F9821" s="33" t="s">
        <v>19</v>
      </c>
      <c r="G9821" s="33" t="s">
        <v>20</v>
      </c>
      <c r="H9821" s="35">
        <v>1544</v>
      </c>
      <c r="I9821" s="33" t="s">
        <v>21</v>
      </c>
      <c r="J9821" s="42">
        <v>44862</v>
      </c>
      <c r="K9821" s="33" t="s">
        <v>22</v>
      </c>
    </row>
    <row r="9822" spans="1:11">
      <c r="A9822" s="30" t="s">
        <v>22489</v>
      </c>
      <c r="B9822" s="30" t="s">
        <v>22490</v>
      </c>
      <c r="C9822" s="30" t="s">
        <v>157</v>
      </c>
      <c r="D9822" s="30" t="s">
        <v>17</v>
      </c>
      <c r="E9822" s="30" t="s">
        <v>18</v>
      </c>
      <c r="F9822" s="30" t="s">
        <v>19</v>
      </c>
      <c r="G9822" s="30" t="s">
        <v>20</v>
      </c>
      <c r="H9822" s="32">
        <v>15</v>
      </c>
      <c r="I9822" s="30" t="s">
        <v>21</v>
      </c>
      <c r="J9822" s="41">
        <v>44817</v>
      </c>
      <c r="K9822" s="30" t="s">
        <v>22</v>
      </c>
    </row>
    <row r="9823" spans="1:11">
      <c r="A9823" s="33" t="s">
        <v>22491</v>
      </c>
      <c r="B9823" s="33" t="s">
        <v>22492</v>
      </c>
      <c r="C9823" s="33" t="s">
        <v>9057</v>
      </c>
      <c r="D9823" s="33" t="s">
        <v>17</v>
      </c>
      <c r="E9823" s="33" t="s">
        <v>31</v>
      </c>
      <c r="F9823" s="33" t="s">
        <v>32</v>
      </c>
      <c r="G9823" s="33" t="s">
        <v>158</v>
      </c>
      <c r="H9823" s="35">
        <v>154</v>
      </c>
      <c r="I9823" s="33" t="s">
        <v>21</v>
      </c>
      <c r="J9823" s="42">
        <v>44649</v>
      </c>
      <c r="K9823" s="33" t="s">
        <v>22</v>
      </c>
    </row>
    <row r="9824" spans="1:11">
      <c r="A9824" s="30" t="s">
        <v>22493</v>
      </c>
      <c r="B9824" s="30" t="s">
        <v>22494</v>
      </c>
      <c r="C9824" s="30" t="s">
        <v>93</v>
      </c>
      <c r="D9824" s="30" t="s">
        <v>17</v>
      </c>
      <c r="E9824" s="30" t="s">
        <v>31</v>
      </c>
      <c r="F9824" s="30" t="s">
        <v>32</v>
      </c>
      <c r="G9824" s="30" t="s">
        <v>106</v>
      </c>
      <c r="H9824" s="32">
        <v>9</v>
      </c>
      <c r="I9824" s="30" t="s">
        <v>21</v>
      </c>
      <c r="J9824" s="41">
        <v>44886</v>
      </c>
      <c r="K9824" s="30" t="s">
        <v>22</v>
      </c>
    </row>
    <row r="9825" spans="1:11">
      <c r="A9825" s="33" t="s">
        <v>22495</v>
      </c>
      <c r="B9825" s="33" t="s">
        <v>22496</v>
      </c>
      <c r="C9825" s="33" t="s">
        <v>17832</v>
      </c>
      <c r="D9825" s="33" t="s">
        <v>17</v>
      </c>
      <c r="E9825" s="33" t="s">
        <v>26</v>
      </c>
      <c r="F9825" s="33" t="s">
        <v>27</v>
      </c>
      <c r="G9825" s="33" t="s">
        <v>20</v>
      </c>
      <c r="H9825" s="35">
        <v>26</v>
      </c>
      <c r="I9825" s="33" t="s">
        <v>21</v>
      </c>
      <c r="J9825" s="42">
        <v>44571</v>
      </c>
      <c r="K9825" s="33" t="s">
        <v>22</v>
      </c>
    </row>
    <row r="9826" spans="1:11">
      <c r="A9826" s="30" t="s">
        <v>22497</v>
      </c>
      <c r="B9826" s="30" t="s">
        <v>22498</v>
      </c>
      <c r="C9826" s="30" t="s">
        <v>1658</v>
      </c>
      <c r="D9826" s="30" t="s">
        <v>17</v>
      </c>
      <c r="E9826" s="30" t="s">
        <v>18</v>
      </c>
      <c r="F9826" s="30" t="s">
        <v>19</v>
      </c>
      <c r="G9826" s="30" t="s">
        <v>20</v>
      </c>
      <c r="H9826" s="32">
        <v>2600</v>
      </c>
      <c r="I9826" s="30" t="s">
        <v>21</v>
      </c>
      <c r="J9826" s="41">
        <v>44835</v>
      </c>
      <c r="K9826" s="30" t="s">
        <v>22</v>
      </c>
    </row>
    <row r="9827" spans="1:11">
      <c r="A9827" s="33" t="s">
        <v>22499</v>
      </c>
      <c r="B9827" s="33" t="s">
        <v>22500</v>
      </c>
      <c r="C9827" s="33" t="s">
        <v>925</v>
      </c>
      <c r="D9827" s="33" t="s">
        <v>17</v>
      </c>
      <c r="E9827" s="33" t="s">
        <v>31</v>
      </c>
      <c r="F9827" s="33" t="s">
        <v>32</v>
      </c>
      <c r="G9827" s="33" t="s">
        <v>20</v>
      </c>
      <c r="H9827" s="35">
        <v>20</v>
      </c>
      <c r="I9827" s="33" t="s">
        <v>21</v>
      </c>
      <c r="J9827" s="42">
        <v>44721</v>
      </c>
      <c r="K9827" s="33" t="s">
        <v>22</v>
      </c>
    </row>
    <row r="9828" spans="1:11">
      <c r="A9828" s="30" t="s">
        <v>22501</v>
      </c>
      <c r="B9828" s="30" t="s">
        <v>22502</v>
      </c>
      <c r="C9828" s="30" t="s">
        <v>60</v>
      </c>
      <c r="D9828" s="30" t="s">
        <v>17</v>
      </c>
      <c r="E9828" s="30" t="s">
        <v>26</v>
      </c>
      <c r="F9828" s="30" t="s">
        <v>27</v>
      </c>
      <c r="G9828" s="30" t="s">
        <v>20</v>
      </c>
      <c r="H9828" s="32">
        <v>31</v>
      </c>
      <c r="I9828" s="30" t="s">
        <v>21</v>
      </c>
      <c r="J9828" s="41">
        <v>44910</v>
      </c>
      <c r="K9828" s="30" t="s">
        <v>22</v>
      </c>
    </row>
    <row r="9829" spans="1:11">
      <c r="A9829" s="33" t="s">
        <v>22503</v>
      </c>
      <c r="B9829" s="33" t="s">
        <v>22504</v>
      </c>
      <c r="C9829" s="33" t="s">
        <v>12630</v>
      </c>
      <c r="D9829" s="33" t="s">
        <v>17</v>
      </c>
      <c r="E9829" s="33" t="s">
        <v>18</v>
      </c>
      <c r="F9829" s="33" t="s">
        <v>19</v>
      </c>
      <c r="G9829" s="33" t="s">
        <v>20</v>
      </c>
      <c r="H9829" s="35">
        <v>182</v>
      </c>
      <c r="I9829" s="33" t="s">
        <v>21</v>
      </c>
      <c r="J9829" s="42">
        <v>44694</v>
      </c>
      <c r="K9829" s="33" t="s">
        <v>22</v>
      </c>
    </row>
    <row r="9830" spans="1:11">
      <c r="A9830" s="30" t="s">
        <v>22505</v>
      </c>
      <c r="B9830" s="30" t="s">
        <v>22506</v>
      </c>
      <c r="C9830" s="30" t="s">
        <v>4320</v>
      </c>
      <c r="D9830" s="30" t="s">
        <v>17</v>
      </c>
      <c r="E9830" s="30" t="s">
        <v>67</v>
      </c>
      <c r="F9830" s="30" t="s">
        <v>68</v>
      </c>
      <c r="G9830" s="30" t="s">
        <v>20</v>
      </c>
      <c r="H9830" s="32">
        <v>56</v>
      </c>
      <c r="I9830" s="30" t="s">
        <v>21</v>
      </c>
      <c r="J9830" s="41">
        <v>44685</v>
      </c>
      <c r="K9830" s="30" t="s">
        <v>22</v>
      </c>
    </row>
    <row r="9831" spans="1:11">
      <c r="A9831" s="33" t="s">
        <v>22507</v>
      </c>
      <c r="B9831" s="33" t="s">
        <v>22508</v>
      </c>
      <c r="C9831" s="33" t="s">
        <v>1826</v>
      </c>
      <c r="D9831" s="33" t="s">
        <v>17</v>
      </c>
      <c r="E9831" s="33" t="s">
        <v>18</v>
      </c>
      <c r="F9831" s="33" t="s">
        <v>19</v>
      </c>
      <c r="G9831" s="33" t="s">
        <v>106</v>
      </c>
      <c r="H9831" s="35">
        <v>153</v>
      </c>
      <c r="I9831" s="33" t="s">
        <v>21</v>
      </c>
      <c r="J9831" s="42">
        <v>44909</v>
      </c>
      <c r="K9831" s="33" t="s">
        <v>22</v>
      </c>
    </row>
    <row r="9832" spans="1:11">
      <c r="A9832" s="30" t="s">
        <v>22509</v>
      </c>
      <c r="B9832" s="30" t="s">
        <v>22510</v>
      </c>
      <c r="C9832" s="30" t="s">
        <v>2346</v>
      </c>
      <c r="D9832" s="30" t="s">
        <v>17</v>
      </c>
      <c r="E9832" s="30" t="s">
        <v>67</v>
      </c>
      <c r="F9832" s="30" t="s">
        <v>68</v>
      </c>
      <c r="G9832" s="30" t="s">
        <v>106</v>
      </c>
      <c r="H9832" s="32">
        <v>1</v>
      </c>
      <c r="I9832" s="30" t="s">
        <v>21</v>
      </c>
      <c r="J9832" s="41">
        <v>44665</v>
      </c>
      <c r="K9832" s="30" t="s">
        <v>22</v>
      </c>
    </row>
    <row r="9833" spans="1:11">
      <c r="A9833" s="33" t="s">
        <v>22511</v>
      </c>
      <c r="B9833" s="33" t="s">
        <v>22512</v>
      </c>
      <c r="C9833" s="33" t="s">
        <v>93</v>
      </c>
      <c r="D9833" s="33" t="s">
        <v>17</v>
      </c>
      <c r="E9833" s="33" t="s">
        <v>18</v>
      </c>
      <c r="F9833" s="33" t="s">
        <v>19</v>
      </c>
      <c r="G9833" s="33" t="s">
        <v>2613</v>
      </c>
      <c r="H9833" s="35">
        <v>1200</v>
      </c>
      <c r="I9833" s="33" t="s">
        <v>51</v>
      </c>
      <c r="J9833" s="42">
        <v>44575</v>
      </c>
      <c r="K9833" s="33" t="s">
        <v>22</v>
      </c>
    </row>
    <row r="9834" spans="1:11">
      <c r="A9834" s="30" t="s">
        <v>22513</v>
      </c>
      <c r="B9834" s="30" t="s">
        <v>22514</v>
      </c>
      <c r="C9834" s="30" t="s">
        <v>222</v>
      </c>
      <c r="D9834" s="30" t="s">
        <v>17</v>
      </c>
      <c r="E9834" s="30" t="s">
        <v>26</v>
      </c>
      <c r="F9834" s="30" t="s">
        <v>27</v>
      </c>
      <c r="G9834" s="30" t="s">
        <v>106</v>
      </c>
      <c r="H9834" s="32">
        <v>88</v>
      </c>
      <c r="I9834" s="30" t="s">
        <v>21</v>
      </c>
      <c r="J9834" s="41">
        <v>44712</v>
      </c>
      <c r="K9834" s="30" t="s">
        <v>22</v>
      </c>
    </row>
    <row r="9835" spans="1:11">
      <c r="A9835" s="33" t="s">
        <v>22515</v>
      </c>
      <c r="B9835" s="33" t="s">
        <v>22516</v>
      </c>
      <c r="C9835" s="33" t="s">
        <v>22517</v>
      </c>
      <c r="D9835" s="33" t="s">
        <v>17</v>
      </c>
      <c r="E9835" s="33" t="s">
        <v>67</v>
      </c>
      <c r="F9835" s="33" t="s">
        <v>68</v>
      </c>
      <c r="G9835" s="33" t="s">
        <v>106</v>
      </c>
      <c r="H9835" s="35">
        <v>14</v>
      </c>
      <c r="I9835" s="33" t="s">
        <v>21</v>
      </c>
      <c r="J9835" s="42">
        <v>44880</v>
      </c>
      <c r="K9835" s="33" t="s">
        <v>22</v>
      </c>
    </row>
    <row r="9836" spans="1:11">
      <c r="A9836" s="30" t="s">
        <v>22518</v>
      </c>
      <c r="B9836" s="30" t="s">
        <v>22519</v>
      </c>
      <c r="C9836" s="30" t="s">
        <v>3312</v>
      </c>
      <c r="D9836" s="30" t="s">
        <v>17</v>
      </c>
      <c r="E9836" s="30" t="s">
        <v>18</v>
      </c>
      <c r="F9836" s="30" t="s">
        <v>19</v>
      </c>
      <c r="G9836" s="30" t="s">
        <v>20</v>
      </c>
      <c r="H9836" s="32">
        <v>61</v>
      </c>
      <c r="I9836" s="30" t="s">
        <v>21</v>
      </c>
      <c r="J9836" s="41">
        <v>44657</v>
      </c>
      <c r="K9836" s="30" t="s">
        <v>22</v>
      </c>
    </row>
    <row r="9837" spans="1:11">
      <c r="A9837" s="33" t="s">
        <v>22520</v>
      </c>
      <c r="B9837" s="33" t="s">
        <v>22521</v>
      </c>
      <c r="C9837" s="33" t="s">
        <v>102</v>
      </c>
      <c r="D9837" s="33" t="s">
        <v>17</v>
      </c>
      <c r="E9837" s="33" t="s">
        <v>26</v>
      </c>
      <c r="F9837" s="33" t="s">
        <v>27</v>
      </c>
      <c r="G9837" s="33" t="s">
        <v>20</v>
      </c>
      <c r="H9837" s="35">
        <v>15</v>
      </c>
      <c r="I9837" s="33" t="s">
        <v>21</v>
      </c>
      <c r="J9837" s="42">
        <v>44776</v>
      </c>
      <c r="K9837" s="33" t="s">
        <v>22</v>
      </c>
    </row>
    <row r="9838" spans="1:11">
      <c r="A9838" s="30" t="s">
        <v>22522</v>
      </c>
      <c r="B9838" s="30" t="s">
        <v>22523</v>
      </c>
      <c r="C9838" s="30" t="s">
        <v>78</v>
      </c>
      <c r="D9838" s="30" t="s">
        <v>17</v>
      </c>
      <c r="E9838" s="30" t="s">
        <v>26</v>
      </c>
      <c r="F9838" s="30" t="s">
        <v>27</v>
      </c>
      <c r="G9838" s="30" t="s">
        <v>20</v>
      </c>
      <c r="H9838" s="32">
        <v>16</v>
      </c>
      <c r="I9838" s="30" t="s">
        <v>21</v>
      </c>
      <c r="J9838" s="41">
        <v>44797</v>
      </c>
      <c r="K9838" s="30" t="s">
        <v>22</v>
      </c>
    </row>
    <row r="9839" spans="1:11">
      <c r="A9839" s="33" t="s">
        <v>22524</v>
      </c>
      <c r="B9839" s="33" t="s">
        <v>22525</v>
      </c>
      <c r="C9839" s="33" t="s">
        <v>190</v>
      </c>
      <c r="D9839" s="33" t="s">
        <v>17</v>
      </c>
      <c r="E9839" s="33" t="s">
        <v>26</v>
      </c>
      <c r="F9839" s="33" t="s">
        <v>27</v>
      </c>
      <c r="G9839" s="33" t="s">
        <v>20</v>
      </c>
      <c r="H9839" s="35">
        <v>46</v>
      </c>
      <c r="I9839" s="33" t="s">
        <v>21</v>
      </c>
      <c r="J9839" s="42">
        <v>44641</v>
      </c>
      <c r="K9839" s="33" t="s">
        <v>22</v>
      </c>
    </row>
    <row r="9840" spans="1:11">
      <c r="A9840" s="30" t="s">
        <v>22526</v>
      </c>
      <c r="B9840" s="30" t="s">
        <v>22527</v>
      </c>
      <c r="C9840" s="30" t="s">
        <v>102</v>
      </c>
      <c r="D9840" s="30" t="s">
        <v>17</v>
      </c>
      <c r="E9840" s="30" t="s">
        <v>18</v>
      </c>
      <c r="F9840" s="30" t="s">
        <v>19</v>
      </c>
      <c r="G9840" s="30" t="s">
        <v>140</v>
      </c>
      <c r="H9840" s="32">
        <v>1590</v>
      </c>
      <c r="I9840" s="30" t="s">
        <v>51</v>
      </c>
      <c r="J9840" s="41">
        <v>44859</v>
      </c>
      <c r="K9840" s="30" t="s">
        <v>22</v>
      </c>
    </row>
    <row r="9841" spans="1:11">
      <c r="A9841" s="33" t="s">
        <v>22528</v>
      </c>
      <c r="B9841" s="33" t="s">
        <v>22529</v>
      </c>
      <c r="C9841" s="33" t="s">
        <v>22530</v>
      </c>
      <c r="D9841" s="33" t="s">
        <v>17</v>
      </c>
      <c r="E9841" s="33" t="s">
        <v>67</v>
      </c>
      <c r="F9841" s="33" t="s">
        <v>68</v>
      </c>
      <c r="G9841" s="33" t="s">
        <v>112</v>
      </c>
      <c r="H9841" s="35">
        <v>0</v>
      </c>
      <c r="I9841" s="33" t="s">
        <v>21</v>
      </c>
      <c r="J9841" s="42">
        <v>44834</v>
      </c>
      <c r="K9841" s="33" t="s">
        <v>22</v>
      </c>
    </row>
    <row r="9842" spans="1:11">
      <c r="A9842" s="30" t="s">
        <v>22531</v>
      </c>
      <c r="B9842" s="30" t="s">
        <v>22532</v>
      </c>
      <c r="C9842" s="30" t="s">
        <v>2171</v>
      </c>
      <c r="D9842" s="30" t="s">
        <v>17</v>
      </c>
      <c r="E9842" s="30" t="s">
        <v>26</v>
      </c>
      <c r="F9842" s="30" t="s">
        <v>27</v>
      </c>
      <c r="G9842" s="30" t="s">
        <v>20</v>
      </c>
      <c r="H9842" s="32">
        <v>180</v>
      </c>
      <c r="I9842" s="30" t="s">
        <v>21</v>
      </c>
      <c r="J9842" s="41">
        <v>44662</v>
      </c>
      <c r="K9842" s="30" t="s">
        <v>22</v>
      </c>
    </row>
    <row r="9843" spans="1:11">
      <c r="A9843" s="33" t="s">
        <v>22533</v>
      </c>
      <c r="B9843" s="33" t="s">
        <v>22534</v>
      </c>
      <c r="C9843" s="33" t="s">
        <v>178</v>
      </c>
      <c r="D9843" s="33" t="s">
        <v>17</v>
      </c>
      <c r="E9843" s="33" t="s">
        <v>18</v>
      </c>
      <c r="F9843" s="33" t="s">
        <v>19</v>
      </c>
      <c r="G9843" s="33" t="s">
        <v>112</v>
      </c>
      <c r="H9843" s="35">
        <v>0</v>
      </c>
      <c r="I9843" s="33" t="s">
        <v>21</v>
      </c>
      <c r="J9843" s="42">
        <v>44895</v>
      </c>
      <c r="K9843" s="33" t="s">
        <v>22</v>
      </c>
    </row>
    <row r="9844" spans="1:11">
      <c r="A9844" s="30" t="s">
        <v>22535</v>
      </c>
      <c r="B9844" s="30" t="s">
        <v>22536</v>
      </c>
      <c r="C9844" s="30" t="s">
        <v>12304</v>
      </c>
      <c r="D9844" s="30" t="s">
        <v>17</v>
      </c>
      <c r="E9844" s="30" t="s">
        <v>31</v>
      </c>
      <c r="F9844" s="30" t="s">
        <v>32</v>
      </c>
      <c r="G9844" s="30" t="s">
        <v>20</v>
      </c>
      <c r="H9844" s="32">
        <v>242</v>
      </c>
      <c r="I9844" s="30" t="s">
        <v>21</v>
      </c>
      <c r="J9844" s="41">
        <v>44903</v>
      </c>
      <c r="K9844" s="30" t="s">
        <v>22</v>
      </c>
    </row>
    <row r="9845" spans="1:11">
      <c r="A9845" s="33" t="s">
        <v>22537</v>
      </c>
      <c r="B9845" s="33" t="s">
        <v>22538</v>
      </c>
      <c r="C9845" s="33" t="s">
        <v>2618</v>
      </c>
      <c r="D9845" s="33" t="s">
        <v>17</v>
      </c>
      <c r="E9845" s="33" t="s">
        <v>31</v>
      </c>
      <c r="F9845" s="33" t="s">
        <v>32</v>
      </c>
      <c r="G9845" s="33" t="s">
        <v>158</v>
      </c>
      <c r="H9845" s="35">
        <v>256</v>
      </c>
      <c r="I9845" s="33" t="s">
        <v>21</v>
      </c>
      <c r="J9845" s="42">
        <v>44790</v>
      </c>
      <c r="K9845" s="33" t="s">
        <v>22</v>
      </c>
    </row>
    <row r="9846" spans="1:11">
      <c r="A9846" s="30" t="s">
        <v>22539</v>
      </c>
      <c r="B9846" s="30" t="s">
        <v>22540</v>
      </c>
      <c r="C9846" s="30" t="s">
        <v>20710</v>
      </c>
      <c r="D9846" s="30" t="s">
        <v>17</v>
      </c>
      <c r="E9846" s="30" t="s">
        <v>18</v>
      </c>
      <c r="F9846" s="30" t="s">
        <v>19</v>
      </c>
      <c r="G9846" s="30" t="s">
        <v>20</v>
      </c>
      <c r="H9846" s="32">
        <v>1369</v>
      </c>
      <c r="I9846" s="30" t="s">
        <v>21</v>
      </c>
      <c r="J9846" s="41">
        <v>44855</v>
      </c>
      <c r="K9846" s="30" t="s">
        <v>22</v>
      </c>
    </row>
    <row r="9847" spans="1:11">
      <c r="A9847" s="33" t="s">
        <v>22541</v>
      </c>
      <c r="B9847" s="33" t="s">
        <v>22542</v>
      </c>
      <c r="C9847" s="33" t="s">
        <v>450</v>
      </c>
      <c r="D9847" s="33" t="s">
        <v>17</v>
      </c>
      <c r="E9847" s="33" t="s">
        <v>26</v>
      </c>
      <c r="F9847" s="33" t="s">
        <v>27</v>
      </c>
      <c r="G9847" s="33" t="s">
        <v>20</v>
      </c>
      <c r="H9847" s="35">
        <v>13</v>
      </c>
      <c r="I9847" s="33" t="s">
        <v>21</v>
      </c>
      <c r="J9847" s="42">
        <v>44741</v>
      </c>
      <c r="K9847" s="33" t="s">
        <v>22</v>
      </c>
    </row>
    <row r="9848" spans="1:11">
      <c r="A9848" s="30" t="s">
        <v>22543</v>
      </c>
      <c r="B9848" s="30" t="s">
        <v>22544</v>
      </c>
      <c r="C9848" s="30" t="s">
        <v>109</v>
      </c>
      <c r="D9848" s="30" t="s">
        <v>17</v>
      </c>
      <c r="E9848" s="30" t="s">
        <v>212</v>
      </c>
      <c r="F9848" s="30" t="s">
        <v>213</v>
      </c>
      <c r="G9848" s="30" t="s">
        <v>158</v>
      </c>
      <c r="H9848" s="32">
        <v>134</v>
      </c>
      <c r="I9848" s="30" t="s">
        <v>21</v>
      </c>
      <c r="J9848" s="41">
        <v>44749</v>
      </c>
      <c r="K9848" s="30" t="s">
        <v>22</v>
      </c>
    </row>
    <row r="9849" spans="1:11">
      <c r="A9849" s="33" t="s">
        <v>22545</v>
      </c>
      <c r="B9849" s="33" t="s">
        <v>22546</v>
      </c>
      <c r="C9849" s="33" t="s">
        <v>9725</v>
      </c>
      <c r="D9849" s="33" t="s">
        <v>17</v>
      </c>
      <c r="E9849" s="33" t="s">
        <v>26</v>
      </c>
      <c r="F9849" s="33" t="s">
        <v>27</v>
      </c>
      <c r="G9849" s="33" t="s">
        <v>20</v>
      </c>
      <c r="H9849" s="35">
        <v>30</v>
      </c>
      <c r="I9849" s="33" t="s">
        <v>21</v>
      </c>
      <c r="J9849" s="42">
        <v>44608</v>
      </c>
      <c r="K9849" s="33" t="s">
        <v>22</v>
      </c>
    </row>
    <row r="9850" spans="1:11">
      <c r="A9850" s="30" t="s">
        <v>22547</v>
      </c>
      <c r="B9850" s="30" t="s">
        <v>22548</v>
      </c>
      <c r="C9850" s="30" t="s">
        <v>6379</v>
      </c>
      <c r="D9850" s="30" t="s">
        <v>17</v>
      </c>
      <c r="E9850" s="30" t="s">
        <v>31</v>
      </c>
      <c r="F9850" s="30" t="s">
        <v>32</v>
      </c>
      <c r="G9850" s="30" t="s">
        <v>106</v>
      </c>
      <c r="H9850" s="32">
        <v>8</v>
      </c>
      <c r="I9850" s="30" t="s">
        <v>21</v>
      </c>
      <c r="J9850" s="41">
        <v>44592</v>
      </c>
      <c r="K9850" s="30" t="s">
        <v>22</v>
      </c>
    </row>
    <row r="9851" spans="1:11">
      <c r="A9851" s="33" t="s">
        <v>22549</v>
      </c>
      <c r="B9851" s="33" t="s">
        <v>22550</v>
      </c>
      <c r="C9851" s="33" t="s">
        <v>2286</v>
      </c>
      <c r="D9851" s="33" t="s">
        <v>17</v>
      </c>
      <c r="E9851" s="33" t="s">
        <v>26</v>
      </c>
      <c r="F9851" s="33" t="s">
        <v>27</v>
      </c>
      <c r="G9851" s="33" t="s">
        <v>20</v>
      </c>
      <c r="H9851" s="35">
        <v>15</v>
      </c>
      <c r="I9851" s="33" t="s">
        <v>21</v>
      </c>
      <c r="J9851" s="42">
        <v>44851</v>
      </c>
      <c r="K9851" s="33" t="s">
        <v>22</v>
      </c>
    </row>
    <row r="9852" spans="1:11">
      <c r="A9852" s="30" t="s">
        <v>22551</v>
      </c>
      <c r="B9852" s="30" t="s">
        <v>22552</v>
      </c>
      <c r="C9852" s="30" t="s">
        <v>203</v>
      </c>
      <c r="D9852" s="30" t="s">
        <v>17</v>
      </c>
      <c r="E9852" s="30" t="s">
        <v>26</v>
      </c>
      <c r="F9852" s="30" t="s">
        <v>27</v>
      </c>
      <c r="G9852" s="30" t="s">
        <v>20</v>
      </c>
      <c r="H9852" s="32">
        <v>16</v>
      </c>
      <c r="I9852" s="30" t="s">
        <v>21</v>
      </c>
      <c r="J9852" s="41">
        <v>44610</v>
      </c>
      <c r="K9852" s="30" t="s">
        <v>22</v>
      </c>
    </row>
    <row r="9853" spans="1:11">
      <c r="A9853" s="33" t="s">
        <v>22553</v>
      </c>
      <c r="B9853" s="33" t="s">
        <v>22554</v>
      </c>
      <c r="C9853" s="33" t="s">
        <v>13269</v>
      </c>
      <c r="D9853" s="33" t="s">
        <v>17</v>
      </c>
      <c r="E9853" s="33" t="s">
        <v>31</v>
      </c>
      <c r="F9853" s="33" t="s">
        <v>32</v>
      </c>
      <c r="G9853" s="33" t="s">
        <v>112</v>
      </c>
      <c r="H9853" s="35">
        <v>0</v>
      </c>
      <c r="I9853" s="33" t="s">
        <v>21</v>
      </c>
      <c r="J9853" s="42">
        <v>44652</v>
      </c>
      <c r="K9853" s="33" t="s">
        <v>22</v>
      </c>
    </row>
    <row r="9854" spans="1:11">
      <c r="A9854" s="30" t="s">
        <v>22555</v>
      </c>
      <c r="B9854" s="30" t="s">
        <v>22556</v>
      </c>
      <c r="C9854" s="30" t="s">
        <v>22557</v>
      </c>
      <c r="D9854" s="30" t="s">
        <v>17</v>
      </c>
      <c r="E9854" s="30" t="s">
        <v>26</v>
      </c>
      <c r="F9854" s="30" t="s">
        <v>27</v>
      </c>
      <c r="G9854" s="30" t="s">
        <v>20</v>
      </c>
      <c r="H9854" s="32">
        <v>73</v>
      </c>
      <c r="I9854" s="30" t="s">
        <v>21</v>
      </c>
      <c r="J9854" s="41">
        <v>44722</v>
      </c>
      <c r="K9854" s="30" t="s">
        <v>22</v>
      </c>
    </row>
    <row r="9855" spans="1:11">
      <c r="A9855" s="33" t="s">
        <v>22558</v>
      </c>
      <c r="B9855" s="33" t="s">
        <v>22559</v>
      </c>
      <c r="C9855" s="33" t="s">
        <v>22560</v>
      </c>
      <c r="D9855" s="33" t="s">
        <v>17</v>
      </c>
      <c r="E9855" s="33" t="s">
        <v>31</v>
      </c>
      <c r="F9855" s="33" t="s">
        <v>32</v>
      </c>
      <c r="G9855" s="33" t="s">
        <v>20</v>
      </c>
      <c r="H9855" s="35">
        <v>27</v>
      </c>
      <c r="I9855" s="33" t="s">
        <v>21</v>
      </c>
      <c r="J9855" s="42">
        <v>44894</v>
      </c>
      <c r="K9855" s="33" t="s">
        <v>22</v>
      </c>
    </row>
    <row r="9856" spans="1:11">
      <c r="A9856" s="30" t="s">
        <v>22561</v>
      </c>
      <c r="B9856" s="30" t="s">
        <v>22562</v>
      </c>
      <c r="C9856" s="30" t="s">
        <v>969</v>
      </c>
      <c r="D9856" s="30" t="s">
        <v>17</v>
      </c>
      <c r="E9856" s="30" t="s">
        <v>31</v>
      </c>
      <c r="F9856" s="30" t="s">
        <v>32</v>
      </c>
      <c r="G9856" s="30" t="s">
        <v>20</v>
      </c>
      <c r="H9856" s="32">
        <v>127</v>
      </c>
      <c r="I9856" s="30" t="s">
        <v>21</v>
      </c>
      <c r="J9856" s="41">
        <v>44768</v>
      </c>
      <c r="K9856" s="30" t="s">
        <v>22</v>
      </c>
    </row>
    <row r="9857" spans="1:11">
      <c r="A9857" s="33" t="s">
        <v>22563</v>
      </c>
      <c r="B9857" s="33" t="s">
        <v>22564</v>
      </c>
      <c r="C9857" s="33" t="s">
        <v>22565</v>
      </c>
      <c r="D9857" s="33" t="s">
        <v>17</v>
      </c>
      <c r="E9857" s="33" t="s">
        <v>18</v>
      </c>
      <c r="F9857" s="33" t="s">
        <v>19</v>
      </c>
      <c r="G9857" s="33" t="s">
        <v>20</v>
      </c>
      <c r="H9857" s="35">
        <v>173</v>
      </c>
      <c r="I9857" s="33" t="s">
        <v>21</v>
      </c>
      <c r="J9857" s="42">
        <v>44925</v>
      </c>
      <c r="K9857" s="33" t="s">
        <v>22</v>
      </c>
    </row>
    <row r="9858" spans="1:11">
      <c r="A9858" s="30" t="s">
        <v>22566</v>
      </c>
      <c r="B9858" s="30" t="s">
        <v>22567</v>
      </c>
      <c r="C9858" s="30" t="s">
        <v>22568</v>
      </c>
      <c r="D9858" s="30" t="s">
        <v>17</v>
      </c>
      <c r="E9858" s="30" t="s">
        <v>67</v>
      </c>
      <c r="F9858" s="30" t="s">
        <v>68</v>
      </c>
      <c r="G9858" s="30" t="s">
        <v>50</v>
      </c>
      <c r="H9858" s="32">
        <v>186</v>
      </c>
      <c r="I9858" s="30" t="s">
        <v>51</v>
      </c>
      <c r="J9858" s="41">
        <v>44651</v>
      </c>
      <c r="K9858" s="30" t="s">
        <v>22</v>
      </c>
    </row>
    <row r="9859" spans="1:11">
      <c r="A9859" s="33" t="s">
        <v>22569</v>
      </c>
      <c r="B9859" s="33" t="s">
        <v>22570</v>
      </c>
      <c r="C9859" s="33" t="s">
        <v>15545</v>
      </c>
      <c r="D9859" s="33" t="s">
        <v>17</v>
      </c>
      <c r="E9859" s="33" t="s">
        <v>31</v>
      </c>
      <c r="F9859" s="33" t="s">
        <v>32</v>
      </c>
      <c r="G9859" s="33" t="s">
        <v>20</v>
      </c>
      <c r="H9859" s="35">
        <v>67</v>
      </c>
      <c r="I9859" s="33" t="s">
        <v>21</v>
      </c>
      <c r="J9859" s="42">
        <v>44916</v>
      </c>
      <c r="K9859" s="33" t="s">
        <v>22</v>
      </c>
    </row>
    <row r="9860" spans="1:11">
      <c r="A9860" s="30" t="s">
        <v>22571</v>
      </c>
      <c r="B9860" s="30" t="s">
        <v>22572</v>
      </c>
      <c r="C9860" s="30" t="s">
        <v>22573</v>
      </c>
      <c r="D9860" s="30" t="s">
        <v>17</v>
      </c>
      <c r="E9860" s="30" t="s">
        <v>67</v>
      </c>
      <c r="F9860" s="30" t="s">
        <v>68</v>
      </c>
      <c r="G9860" s="30" t="s">
        <v>158</v>
      </c>
      <c r="H9860" s="32">
        <v>1123</v>
      </c>
      <c r="I9860" s="30" t="s">
        <v>51</v>
      </c>
      <c r="J9860" s="41">
        <v>44761</v>
      </c>
      <c r="K9860" s="30" t="s">
        <v>22</v>
      </c>
    </row>
    <row r="9861" spans="1:11">
      <c r="A9861" s="33" t="s">
        <v>22574</v>
      </c>
      <c r="B9861" s="33" t="s">
        <v>22575</v>
      </c>
      <c r="C9861" s="33" t="s">
        <v>6017</v>
      </c>
      <c r="D9861" s="33" t="s">
        <v>17</v>
      </c>
      <c r="E9861" s="33" t="s">
        <v>18</v>
      </c>
      <c r="F9861" s="33" t="s">
        <v>19</v>
      </c>
      <c r="G9861" s="33" t="s">
        <v>20</v>
      </c>
      <c r="H9861" s="35">
        <v>166</v>
      </c>
      <c r="I9861" s="33" t="s">
        <v>21</v>
      </c>
      <c r="J9861" s="42">
        <v>44732</v>
      </c>
      <c r="K9861" s="33" t="s">
        <v>22</v>
      </c>
    </row>
    <row r="9862" spans="1:11">
      <c r="A9862" s="30" t="s">
        <v>22576</v>
      </c>
      <c r="B9862" s="30" t="s">
        <v>22577</v>
      </c>
      <c r="C9862" s="30" t="s">
        <v>1267</v>
      </c>
      <c r="D9862" s="30" t="s">
        <v>17</v>
      </c>
      <c r="E9862" s="30" t="s">
        <v>26</v>
      </c>
      <c r="F9862" s="30" t="s">
        <v>27</v>
      </c>
      <c r="G9862" s="30" t="s">
        <v>20</v>
      </c>
      <c r="H9862" s="32">
        <v>24</v>
      </c>
      <c r="I9862" s="30" t="s">
        <v>21</v>
      </c>
      <c r="J9862" s="41">
        <v>44602</v>
      </c>
      <c r="K9862" s="30" t="s">
        <v>22</v>
      </c>
    </row>
    <row r="9863" spans="1:11">
      <c r="A9863" s="33" t="s">
        <v>22578</v>
      </c>
      <c r="B9863" s="33" t="s">
        <v>22579</v>
      </c>
      <c r="C9863" s="33" t="s">
        <v>9493</v>
      </c>
      <c r="D9863" s="33" t="s">
        <v>17</v>
      </c>
      <c r="E9863" s="33" t="s">
        <v>31</v>
      </c>
      <c r="F9863" s="33" t="s">
        <v>32</v>
      </c>
      <c r="G9863" s="33" t="s">
        <v>106</v>
      </c>
      <c r="H9863" s="35">
        <v>5</v>
      </c>
      <c r="I9863" s="33" t="s">
        <v>21</v>
      </c>
      <c r="J9863" s="42">
        <v>44607</v>
      </c>
      <c r="K9863" s="33" t="s">
        <v>22</v>
      </c>
    </row>
    <row r="9864" spans="1:11">
      <c r="A9864" s="30" t="s">
        <v>22580</v>
      </c>
      <c r="B9864" s="30" t="s">
        <v>22581</v>
      </c>
      <c r="C9864" s="30" t="s">
        <v>8049</v>
      </c>
      <c r="D9864" s="30" t="s">
        <v>17</v>
      </c>
      <c r="E9864" s="30" t="s">
        <v>26</v>
      </c>
      <c r="F9864" s="30" t="s">
        <v>27</v>
      </c>
      <c r="G9864" s="30" t="s">
        <v>50</v>
      </c>
      <c r="H9864" s="32">
        <v>120</v>
      </c>
      <c r="I9864" s="30" t="s">
        <v>51</v>
      </c>
      <c r="J9864" s="41">
        <v>44896</v>
      </c>
      <c r="K9864" s="30" t="s">
        <v>22</v>
      </c>
    </row>
    <row r="9865" spans="1:11">
      <c r="A9865" s="33" t="s">
        <v>22582</v>
      </c>
      <c r="B9865" s="33" t="s">
        <v>22583</v>
      </c>
      <c r="C9865" s="33" t="s">
        <v>252</v>
      </c>
      <c r="D9865" s="33" t="s">
        <v>17</v>
      </c>
      <c r="E9865" s="33" t="s">
        <v>31</v>
      </c>
      <c r="F9865" s="33" t="s">
        <v>32</v>
      </c>
      <c r="G9865" s="33" t="s">
        <v>20</v>
      </c>
      <c r="H9865" s="35">
        <v>40</v>
      </c>
      <c r="I9865" s="33" t="s">
        <v>21</v>
      </c>
      <c r="J9865" s="42">
        <v>44776</v>
      </c>
      <c r="K9865" s="33" t="s">
        <v>22</v>
      </c>
    </row>
    <row r="9866" spans="1:11">
      <c r="A9866" s="30" t="s">
        <v>22584</v>
      </c>
      <c r="B9866" s="30" t="s">
        <v>22585</v>
      </c>
      <c r="C9866" s="30" t="s">
        <v>22586</v>
      </c>
      <c r="D9866" s="30" t="s">
        <v>17</v>
      </c>
      <c r="E9866" s="30" t="s">
        <v>31</v>
      </c>
      <c r="F9866" s="30" t="s">
        <v>32</v>
      </c>
      <c r="G9866" s="30" t="s">
        <v>140</v>
      </c>
      <c r="H9866" s="32">
        <v>95</v>
      </c>
      <c r="I9866" s="30" t="s">
        <v>51</v>
      </c>
      <c r="J9866" s="41">
        <v>44695</v>
      </c>
      <c r="K9866" s="30" t="s">
        <v>22</v>
      </c>
    </row>
    <row r="9867" spans="1:11">
      <c r="A9867" s="33" t="s">
        <v>22587</v>
      </c>
      <c r="B9867" s="33" t="s">
        <v>22588</v>
      </c>
      <c r="C9867" s="33" t="s">
        <v>2706</v>
      </c>
      <c r="D9867" s="33" t="s">
        <v>17</v>
      </c>
      <c r="E9867" s="33" t="s">
        <v>26</v>
      </c>
      <c r="F9867" s="33" t="s">
        <v>27</v>
      </c>
      <c r="G9867" s="33" t="s">
        <v>20</v>
      </c>
      <c r="H9867" s="35">
        <v>12</v>
      </c>
      <c r="I9867" s="33" t="s">
        <v>21</v>
      </c>
      <c r="J9867" s="42">
        <v>44781</v>
      </c>
      <c r="K9867" s="33" t="s">
        <v>22</v>
      </c>
    </row>
    <row r="9868" spans="1:11">
      <c r="A9868" s="30" t="s">
        <v>22589</v>
      </c>
      <c r="B9868" s="30" t="s">
        <v>22590</v>
      </c>
      <c r="C9868" s="30" t="s">
        <v>310</v>
      </c>
      <c r="D9868" s="30" t="s">
        <v>17</v>
      </c>
      <c r="E9868" s="30" t="s">
        <v>31</v>
      </c>
      <c r="F9868" s="30" t="s">
        <v>32</v>
      </c>
      <c r="G9868" s="30" t="s">
        <v>20</v>
      </c>
      <c r="H9868" s="32">
        <v>245</v>
      </c>
      <c r="I9868" s="30" t="s">
        <v>21</v>
      </c>
      <c r="J9868" s="41">
        <v>44781</v>
      </c>
      <c r="K9868" s="30" t="s">
        <v>22</v>
      </c>
    </row>
    <row r="9869" spans="1:11">
      <c r="A9869" s="33" t="s">
        <v>22591</v>
      </c>
      <c r="B9869" s="33" t="s">
        <v>22592</v>
      </c>
      <c r="C9869" s="33" t="s">
        <v>1165</v>
      </c>
      <c r="D9869" s="33" t="s">
        <v>17</v>
      </c>
      <c r="E9869" s="33" t="s">
        <v>31</v>
      </c>
      <c r="F9869" s="33" t="s">
        <v>32</v>
      </c>
      <c r="G9869" s="33" t="s">
        <v>20</v>
      </c>
      <c r="H9869" s="35">
        <v>53</v>
      </c>
      <c r="I9869" s="33" t="s">
        <v>21</v>
      </c>
      <c r="J9869" s="42">
        <v>44827</v>
      </c>
      <c r="K9869" s="33" t="s">
        <v>22</v>
      </c>
    </row>
    <row r="9870" spans="1:11">
      <c r="A9870" s="30" t="s">
        <v>22593</v>
      </c>
      <c r="B9870" s="30" t="s">
        <v>22594</v>
      </c>
      <c r="C9870" s="30" t="s">
        <v>795</v>
      </c>
      <c r="D9870" s="30" t="s">
        <v>17</v>
      </c>
      <c r="E9870" s="30" t="s">
        <v>26</v>
      </c>
      <c r="F9870" s="30" t="s">
        <v>27</v>
      </c>
      <c r="G9870" s="30" t="s">
        <v>20</v>
      </c>
      <c r="H9870" s="32">
        <v>26</v>
      </c>
      <c r="I9870" s="30" t="s">
        <v>21</v>
      </c>
      <c r="J9870" s="41">
        <v>44858</v>
      </c>
      <c r="K9870" s="30" t="s">
        <v>22</v>
      </c>
    </row>
    <row r="9871" spans="1:11">
      <c r="A9871" s="33" t="s">
        <v>22595</v>
      </c>
      <c r="B9871" s="33" t="s">
        <v>22596</v>
      </c>
      <c r="C9871" s="33" t="s">
        <v>22597</v>
      </c>
      <c r="D9871" s="33" t="s">
        <v>17</v>
      </c>
      <c r="E9871" s="33" t="s">
        <v>26</v>
      </c>
      <c r="F9871" s="33" t="s">
        <v>27</v>
      </c>
      <c r="G9871" s="33" t="s">
        <v>20</v>
      </c>
      <c r="H9871" s="35">
        <v>14</v>
      </c>
      <c r="I9871" s="33" t="s">
        <v>21</v>
      </c>
      <c r="J9871" s="42">
        <v>44637</v>
      </c>
      <c r="K9871" s="33" t="s">
        <v>22</v>
      </c>
    </row>
    <row r="9872" spans="1:11">
      <c r="A9872" s="30" t="s">
        <v>22598</v>
      </c>
      <c r="B9872" s="30" t="s">
        <v>22599</v>
      </c>
      <c r="C9872" s="30" t="s">
        <v>22600</v>
      </c>
      <c r="D9872" s="30" t="s">
        <v>17</v>
      </c>
      <c r="E9872" s="30" t="s">
        <v>67</v>
      </c>
      <c r="F9872" s="30" t="s">
        <v>68</v>
      </c>
      <c r="G9872" s="30" t="s">
        <v>69</v>
      </c>
      <c r="H9872" s="32">
        <v>82</v>
      </c>
      <c r="I9872" s="30" t="s">
        <v>51</v>
      </c>
      <c r="J9872" s="41">
        <v>44817</v>
      </c>
      <c r="K9872" s="30" t="s">
        <v>22</v>
      </c>
    </row>
    <row r="9873" spans="1:11">
      <c r="A9873" s="33" t="s">
        <v>22601</v>
      </c>
      <c r="B9873" s="33" t="s">
        <v>22602</v>
      </c>
      <c r="C9873" s="33" t="s">
        <v>109</v>
      </c>
      <c r="D9873" s="33" t="s">
        <v>17</v>
      </c>
      <c r="E9873" s="33" t="s">
        <v>31</v>
      </c>
      <c r="F9873" s="33" t="s">
        <v>32</v>
      </c>
      <c r="G9873" s="33" t="s">
        <v>106</v>
      </c>
      <c r="H9873" s="35">
        <v>2</v>
      </c>
      <c r="I9873" s="33" t="s">
        <v>21</v>
      </c>
      <c r="J9873" s="42">
        <v>44657</v>
      </c>
      <c r="K9873" s="33" t="s">
        <v>22</v>
      </c>
    </row>
    <row r="9874" spans="1:11">
      <c r="A9874" s="30" t="s">
        <v>22603</v>
      </c>
      <c r="B9874" s="30" t="s">
        <v>22604</v>
      </c>
      <c r="C9874" s="30" t="s">
        <v>22605</v>
      </c>
      <c r="D9874" s="30" t="s">
        <v>17</v>
      </c>
      <c r="E9874" s="30" t="s">
        <v>26</v>
      </c>
      <c r="F9874" s="30" t="s">
        <v>27</v>
      </c>
      <c r="G9874" s="30" t="s">
        <v>50</v>
      </c>
      <c r="H9874" s="32">
        <v>60</v>
      </c>
      <c r="I9874" s="30" t="s">
        <v>21</v>
      </c>
      <c r="J9874" s="41">
        <v>44750</v>
      </c>
      <c r="K9874" s="30" t="s">
        <v>22</v>
      </c>
    </row>
    <row r="9875" spans="1:11">
      <c r="A9875" s="33" t="s">
        <v>22606</v>
      </c>
      <c r="B9875" s="33" t="s">
        <v>22607</v>
      </c>
      <c r="C9875" s="33" t="s">
        <v>190</v>
      </c>
      <c r="D9875" s="33" t="s">
        <v>17</v>
      </c>
      <c r="E9875" s="33" t="s">
        <v>26</v>
      </c>
      <c r="F9875" s="33" t="s">
        <v>27</v>
      </c>
      <c r="G9875" s="33" t="s">
        <v>20</v>
      </c>
      <c r="H9875" s="35">
        <v>16</v>
      </c>
      <c r="I9875" s="33" t="s">
        <v>21</v>
      </c>
      <c r="J9875" s="42">
        <v>44617</v>
      </c>
      <c r="K9875" s="33" t="s">
        <v>22</v>
      </c>
    </row>
    <row r="9876" spans="1:11">
      <c r="A9876" s="30" t="s">
        <v>22608</v>
      </c>
      <c r="B9876" s="30" t="s">
        <v>22609</v>
      </c>
      <c r="C9876" s="30" t="s">
        <v>12750</v>
      </c>
      <c r="D9876" s="30" t="s">
        <v>17</v>
      </c>
      <c r="E9876" s="30" t="s">
        <v>18</v>
      </c>
      <c r="F9876" s="30" t="s">
        <v>19</v>
      </c>
      <c r="G9876" s="30" t="s">
        <v>20</v>
      </c>
      <c r="H9876" s="32">
        <v>277</v>
      </c>
      <c r="I9876" s="30" t="s">
        <v>21</v>
      </c>
      <c r="J9876" s="41">
        <v>44679</v>
      </c>
      <c r="K9876" s="30" t="s">
        <v>22</v>
      </c>
    </row>
    <row r="9877" spans="1:11">
      <c r="A9877" s="33" t="s">
        <v>22610</v>
      </c>
      <c r="B9877" s="33" t="s">
        <v>22611</v>
      </c>
      <c r="C9877" s="33" t="s">
        <v>443</v>
      </c>
      <c r="D9877" s="33" t="s">
        <v>17</v>
      </c>
      <c r="E9877" s="33" t="s">
        <v>18</v>
      </c>
      <c r="F9877" s="33" t="s">
        <v>19</v>
      </c>
      <c r="G9877" s="33" t="s">
        <v>20</v>
      </c>
      <c r="H9877" s="35">
        <v>2202</v>
      </c>
      <c r="I9877" s="33" t="s">
        <v>21</v>
      </c>
      <c r="J9877" s="42">
        <v>44760</v>
      </c>
      <c r="K9877" s="33" t="s">
        <v>22</v>
      </c>
    </row>
    <row r="9878" spans="1:11">
      <c r="A9878" s="30" t="s">
        <v>22612</v>
      </c>
      <c r="B9878" s="30" t="s">
        <v>22613</v>
      </c>
      <c r="C9878" s="30" t="s">
        <v>22614</v>
      </c>
      <c r="D9878" s="30" t="s">
        <v>17</v>
      </c>
      <c r="E9878" s="30" t="s">
        <v>18</v>
      </c>
      <c r="F9878" s="30" t="s">
        <v>19</v>
      </c>
      <c r="G9878" s="30" t="s">
        <v>140</v>
      </c>
      <c r="H9878" s="32">
        <v>338</v>
      </c>
      <c r="I9878" s="30" t="s">
        <v>51</v>
      </c>
      <c r="J9878" s="41">
        <v>44644</v>
      </c>
      <c r="K9878" s="30" t="s">
        <v>22</v>
      </c>
    </row>
    <row r="9879" spans="1:11">
      <c r="A9879" s="33" t="s">
        <v>22615</v>
      </c>
      <c r="B9879" s="33" t="s">
        <v>22616</v>
      </c>
      <c r="C9879" s="33" t="s">
        <v>22617</v>
      </c>
      <c r="D9879" s="33" t="s">
        <v>17</v>
      </c>
      <c r="E9879" s="33" t="s">
        <v>26</v>
      </c>
      <c r="F9879" s="33" t="s">
        <v>27</v>
      </c>
      <c r="G9879" s="33" t="s">
        <v>50</v>
      </c>
      <c r="H9879" s="35">
        <v>40</v>
      </c>
      <c r="I9879" s="33" t="s">
        <v>51</v>
      </c>
      <c r="J9879" s="42">
        <v>44687</v>
      </c>
      <c r="K9879" s="33" t="s">
        <v>22</v>
      </c>
    </row>
    <row r="9880" spans="1:11">
      <c r="A9880" s="30" t="s">
        <v>22618</v>
      </c>
      <c r="B9880" s="30" t="s">
        <v>22619</v>
      </c>
      <c r="C9880" s="30" t="s">
        <v>644</v>
      </c>
      <c r="D9880" s="30" t="s">
        <v>17</v>
      </c>
      <c r="E9880" s="30" t="s">
        <v>31</v>
      </c>
      <c r="F9880" s="30" t="s">
        <v>32</v>
      </c>
      <c r="G9880" s="30" t="s">
        <v>50</v>
      </c>
      <c r="H9880" s="32">
        <v>40</v>
      </c>
      <c r="I9880" s="30" t="s">
        <v>51</v>
      </c>
      <c r="J9880" s="41">
        <v>44707</v>
      </c>
      <c r="K9880" s="30" t="s">
        <v>22</v>
      </c>
    </row>
    <row r="9881" spans="1:11">
      <c r="A9881" s="33" t="s">
        <v>22620</v>
      </c>
      <c r="B9881" s="33" t="s">
        <v>22621</v>
      </c>
      <c r="C9881" s="33" t="s">
        <v>8421</v>
      </c>
      <c r="D9881" s="33" t="s">
        <v>17</v>
      </c>
      <c r="E9881" s="33" t="s">
        <v>212</v>
      </c>
      <c r="F9881" s="33" t="s">
        <v>213</v>
      </c>
      <c r="G9881" s="33" t="s">
        <v>20</v>
      </c>
      <c r="H9881" s="35">
        <v>15</v>
      </c>
      <c r="I9881" s="33" t="s">
        <v>21</v>
      </c>
      <c r="J9881" s="42">
        <v>44783</v>
      </c>
      <c r="K9881" s="33" t="s">
        <v>22</v>
      </c>
    </row>
    <row r="9882" spans="1:11">
      <c r="A9882" s="30" t="s">
        <v>22622</v>
      </c>
      <c r="B9882" s="30" t="s">
        <v>22623</v>
      </c>
      <c r="C9882" s="30" t="s">
        <v>190</v>
      </c>
      <c r="D9882" s="30" t="s">
        <v>17</v>
      </c>
      <c r="E9882" s="30" t="s">
        <v>26</v>
      </c>
      <c r="F9882" s="30" t="s">
        <v>27</v>
      </c>
      <c r="G9882" s="30" t="s">
        <v>20</v>
      </c>
      <c r="H9882" s="32">
        <v>45</v>
      </c>
      <c r="I9882" s="30" t="s">
        <v>21</v>
      </c>
      <c r="J9882" s="41">
        <v>44638</v>
      </c>
      <c r="K9882" s="30" t="s">
        <v>22</v>
      </c>
    </row>
    <row r="9883" spans="1:11">
      <c r="A9883" s="33" t="s">
        <v>22624</v>
      </c>
      <c r="B9883" s="33" t="s">
        <v>22625</v>
      </c>
      <c r="C9883" s="33" t="s">
        <v>10589</v>
      </c>
      <c r="D9883" s="33" t="s">
        <v>17</v>
      </c>
      <c r="E9883" s="33" t="s">
        <v>26</v>
      </c>
      <c r="F9883" s="33" t="s">
        <v>27</v>
      </c>
      <c r="G9883" s="33" t="s">
        <v>106</v>
      </c>
      <c r="H9883" s="35">
        <v>20</v>
      </c>
      <c r="I9883" s="33" t="s">
        <v>21</v>
      </c>
      <c r="J9883" s="42">
        <v>44574</v>
      </c>
      <c r="K9883" s="33" t="s">
        <v>22</v>
      </c>
    </row>
    <row r="9884" spans="1:11">
      <c r="A9884" s="30" t="s">
        <v>22626</v>
      </c>
      <c r="B9884" s="30" t="s">
        <v>22627</v>
      </c>
      <c r="C9884" s="30" t="s">
        <v>190</v>
      </c>
      <c r="D9884" s="30" t="s">
        <v>17</v>
      </c>
      <c r="E9884" s="30" t="s">
        <v>18</v>
      </c>
      <c r="F9884" s="30" t="s">
        <v>19</v>
      </c>
      <c r="G9884" s="30" t="s">
        <v>158</v>
      </c>
      <c r="H9884" s="32">
        <v>1174</v>
      </c>
      <c r="I9884" s="30" t="s">
        <v>21</v>
      </c>
      <c r="J9884" s="41">
        <v>44893</v>
      </c>
      <c r="K9884" s="30" t="s">
        <v>22</v>
      </c>
    </row>
    <row r="9885" spans="1:11">
      <c r="A9885" s="33" t="s">
        <v>22628</v>
      </c>
      <c r="B9885" s="33" t="s">
        <v>22629</v>
      </c>
      <c r="C9885" s="33" t="s">
        <v>190</v>
      </c>
      <c r="D9885" s="33" t="s">
        <v>17</v>
      </c>
      <c r="E9885" s="33" t="s">
        <v>18</v>
      </c>
      <c r="F9885" s="33" t="s">
        <v>19</v>
      </c>
      <c r="G9885" s="33" t="s">
        <v>106</v>
      </c>
      <c r="H9885" s="35">
        <v>125</v>
      </c>
      <c r="I9885" s="33" t="s">
        <v>21</v>
      </c>
      <c r="J9885" s="42">
        <v>44782</v>
      </c>
      <c r="K9885" s="33" t="s">
        <v>22</v>
      </c>
    </row>
    <row r="9886" spans="1:11">
      <c r="A9886" s="30" t="s">
        <v>22630</v>
      </c>
      <c r="B9886" s="30" t="s">
        <v>22631</v>
      </c>
      <c r="C9886" s="30" t="s">
        <v>22632</v>
      </c>
      <c r="D9886" s="30" t="s">
        <v>17</v>
      </c>
      <c r="E9886" s="30" t="s">
        <v>26</v>
      </c>
      <c r="F9886" s="30" t="s">
        <v>27</v>
      </c>
      <c r="G9886" s="30" t="s">
        <v>158</v>
      </c>
      <c r="H9886" s="32">
        <v>11</v>
      </c>
      <c r="I9886" s="30" t="s">
        <v>21</v>
      </c>
      <c r="J9886" s="41">
        <v>44722</v>
      </c>
      <c r="K9886" s="30" t="s">
        <v>22</v>
      </c>
    </row>
    <row r="9887" spans="1:11">
      <c r="A9887" s="33" t="s">
        <v>22633</v>
      </c>
      <c r="B9887" s="33" t="s">
        <v>22634</v>
      </c>
      <c r="C9887" s="33" t="s">
        <v>647</v>
      </c>
      <c r="D9887" s="33" t="s">
        <v>17</v>
      </c>
      <c r="E9887" s="33" t="s">
        <v>18</v>
      </c>
      <c r="F9887" s="33" t="s">
        <v>19</v>
      </c>
      <c r="G9887" s="33" t="s">
        <v>20</v>
      </c>
      <c r="H9887" s="35">
        <v>1484</v>
      </c>
      <c r="I9887" s="33" t="s">
        <v>21</v>
      </c>
      <c r="J9887" s="42">
        <v>44872</v>
      </c>
      <c r="K9887" s="33" t="s">
        <v>22</v>
      </c>
    </row>
    <row r="9888" spans="1:11">
      <c r="A9888" s="30" t="s">
        <v>22635</v>
      </c>
      <c r="B9888" s="30" t="s">
        <v>22636</v>
      </c>
      <c r="C9888" s="30" t="s">
        <v>3293</v>
      </c>
      <c r="D9888" s="30" t="s">
        <v>17</v>
      </c>
      <c r="E9888" s="30" t="s">
        <v>31</v>
      </c>
      <c r="F9888" s="30" t="s">
        <v>32</v>
      </c>
      <c r="G9888" s="30" t="s">
        <v>106</v>
      </c>
      <c r="H9888" s="32">
        <v>19</v>
      </c>
      <c r="I9888" s="30" t="s">
        <v>21</v>
      </c>
      <c r="J9888" s="41">
        <v>44806</v>
      </c>
      <c r="K9888" s="30" t="s">
        <v>22</v>
      </c>
    </row>
    <row r="9889" spans="1:11">
      <c r="A9889" s="33" t="s">
        <v>22637</v>
      </c>
      <c r="B9889" s="33" t="s">
        <v>22638</v>
      </c>
      <c r="C9889" s="33" t="s">
        <v>78</v>
      </c>
      <c r="D9889" s="33" t="s">
        <v>17</v>
      </c>
      <c r="E9889" s="33" t="s">
        <v>26</v>
      </c>
      <c r="F9889" s="33" t="s">
        <v>27</v>
      </c>
      <c r="G9889" s="33" t="s">
        <v>20</v>
      </c>
      <c r="H9889" s="35">
        <v>63</v>
      </c>
      <c r="I9889" s="33" t="s">
        <v>21</v>
      </c>
      <c r="J9889" s="42">
        <v>44615</v>
      </c>
      <c r="K9889" s="33" t="s">
        <v>22</v>
      </c>
    </row>
    <row r="9890" spans="1:11">
      <c r="A9890" s="30" t="s">
        <v>22639</v>
      </c>
      <c r="B9890" s="30" t="s">
        <v>22640</v>
      </c>
      <c r="C9890" s="30" t="s">
        <v>1428</v>
      </c>
      <c r="D9890" s="30" t="s">
        <v>17</v>
      </c>
      <c r="E9890" s="30" t="s">
        <v>31</v>
      </c>
      <c r="F9890" s="30" t="s">
        <v>32</v>
      </c>
      <c r="G9890" s="30" t="s">
        <v>50</v>
      </c>
      <c r="H9890" s="32">
        <v>400</v>
      </c>
      <c r="I9890" s="30" t="s">
        <v>51</v>
      </c>
      <c r="J9890" s="41">
        <v>44743</v>
      </c>
      <c r="K9890" s="30" t="s">
        <v>22</v>
      </c>
    </row>
    <row r="9891" spans="1:11">
      <c r="A9891" s="33" t="s">
        <v>22641</v>
      </c>
      <c r="B9891" s="33" t="s">
        <v>22642</v>
      </c>
      <c r="C9891" s="33" t="s">
        <v>4345</v>
      </c>
      <c r="D9891" s="33" t="s">
        <v>17</v>
      </c>
      <c r="E9891" s="33" t="s">
        <v>31</v>
      </c>
      <c r="F9891" s="33" t="s">
        <v>32</v>
      </c>
      <c r="G9891" s="33" t="s">
        <v>20</v>
      </c>
      <c r="H9891" s="35">
        <v>48</v>
      </c>
      <c r="I9891" s="33" t="s">
        <v>21</v>
      </c>
      <c r="J9891" s="42">
        <v>44680</v>
      </c>
      <c r="K9891" s="33" t="s">
        <v>22</v>
      </c>
    </row>
    <row r="9892" spans="1:11">
      <c r="A9892" s="30" t="s">
        <v>22643</v>
      </c>
      <c r="B9892" s="30" t="s">
        <v>22644</v>
      </c>
      <c r="C9892" s="30" t="s">
        <v>13771</v>
      </c>
      <c r="D9892" s="30" t="s">
        <v>17</v>
      </c>
      <c r="E9892" s="30" t="s">
        <v>67</v>
      </c>
      <c r="F9892" s="30" t="s">
        <v>68</v>
      </c>
      <c r="G9892" s="30" t="s">
        <v>158</v>
      </c>
      <c r="H9892" s="32">
        <v>9</v>
      </c>
      <c r="I9892" s="30" t="s">
        <v>51</v>
      </c>
      <c r="J9892" s="41">
        <v>44680</v>
      </c>
      <c r="K9892" s="30" t="s">
        <v>22</v>
      </c>
    </row>
    <row r="9893" spans="1:11">
      <c r="A9893" s="33" t="s">
        <v>22645</v>
      </c>
      <c r="B9893" s="33" t="s">
        <v>22646</v>
      </c>
      <c r="C9893" s="33" t="s">
        <v>22647</v>
      </c>
      <c r="D9893" s="33" t="s">
        <v>17</v>
      </c>
      <c r="E9893" s="33" t="s">
        <v>26</v>
      </c>
      <c r="F9893" s="33" t="s">
        <v>27</v>
      </c>
      <c r="G9893" s="33" t="s">
        <v>20</v>
      </c>
      <c r="H9893" s="35">
        <v>60</v>
      </c>
      <c r="I9893" s="33" t="s">
        <v>21</v>
      </c>
      <c r="J9893" s="42">
        <v>44825</v>
      </c>
      <c r="K9893" s="33" t="s">
        <v>22</v>
      </c>
    </row>
    <row r="9894" spans="1:11">
      <c r="A9894" s="30" t="s">
        <v>22648</v>
      </c>
      <c r="B9894" s="30" t="s">
        <v>22649</v>
      </c>
      <c r="C9894" s="30" t="s">
        <v>22650</v>
      </c>
      <c r="D9894" s="30" t="s">
        <v>17</v>
      </c>
      <c r="E9894" s="30" t="s">
        <v>31</v>
      </c>
      <c r="F9894" s="30" t="s">
        <v>32</v>
      </c>
      <c r="G9894" s="30" t="s">
        <v>50</v>
      </c>
      <c r="H9894" s="32">
        <v>163</v>
      </c>
      <c r="I9894" s="30" t="s">
        <v>51</v>
      </c>
      <c r="J9894" s="41">
        <v>44804</v>
      </c>
      <c r="K9894" s="30" t="s">
        <v>22</v>
      </c>
    </row>
    <row r="9895" spans="1:11">
      <c r="A9895" s="33" t="s">
        <v>22651</v>
      </c>
      <c r="B9895" s="33" t="s">
        <v>22652</v>
      </c>
      <c r="C9895" s="33" t="s">
        <v>17697</v>
      </c>
      <c r="D9895" s="33" t="s">
        <v>17</v>
      </c>
      <c r="E9895" s="33" t="s">
        <v>212</v>
      </c>
      <c r="F9895" s="33" t="s">
        <v>213</v>
      </c>
      <c r="G9895" s="33" t="s">
        <v>20</v>
      </c>
      <c r="H9895" s="35">
        <v>110</v>
      </c>
      <c r="I9895" s="33" t="s">
        <v>21</v>
      </c>
      <c r="J9895" s="42">
        <v>44592</v>
      </c>
      <c r="K9895" s="33" t="s">
        <v>22</v>
      </c>
    </row>
    <row r="9896" spans="1:11">
      <c r="A9896" s="30" t="s">
        <v>22653</v>
      </c>
      <c r="B9896" s="30" t="s">
        <v>22654</v>
      </c>
      <c r="C9896" s="30" t="s">
        <v>22655</v>
      </c>
      <c r="D9896" s="30" t="s">
        <v>17</v>
      </c>
      <c r="E9896" s="30" t="s">
        <v>31</v>
      </c>
      <c r="F9896" s="30" t="s">
        <v>32</v>
      </c>
      <c r="G9896" s="30" t="s">
        <v>20</v>
      </c>
      <c r="H9896" s="32">
        <v>28</v>
      </c>
      <c r="I9896" s="30" t="s">
        <v>21</v>
      </c>
      <c r="J9896" s="41">
        <v>44783</v>
      </c>
      <c r="K9896" s="30" t="s">
        <v>22</v>
      </c>
    </row>
    <row r="9897" spans="1:11">
      <c r="A9897" s="33" t="s">
        <v>22656</v>
      </c>
      <c r="B9897" s="33" t="s">
        <v>22657</v>
      </c>
      <c r="C9897" s="33" t="s">
        <v>109</v>
      </c>
      <c r="D9897" s="33" t="s">
        <v>17</v>
      </c>
      <c r="E9897" s="33" t="s">
        <v>26</v>
      </c>
      <c r="F9897" s="33" t="s">
        <v>27</v>
      </c>
      <c r="G9897" s="33" t="s">
        <v>106</v>
      </c>
      <c r="H9897" s="35">
        <v>9</v>
      </c>
      <c r="I9897" s="33" t="s">
        <v>21</v>
      </c>
      <c r="J9897" s="42">
        <v>44664</v>
      </c>
      <c r="K9897" s="33" t="s">
        <v>22</v>
      </c>
    </row>
    <row r="9898" spans="1:11">
      <c r="A9898" s="30" t="s">
        <v>22658</v>
      </c>
      <c r="B9898" s="30" t="s">
        <v>22659</v>
      </c>
      <c r="C9898" s="30" t="s">
        <v>222</v>
      </c>
      <c r="D9898" s="30" t="s">
        <v>17</v>
      </c>
      <c r="E9898" s="30" t="s">
        <v>31</v>
      </c>
      <c r="F9898" s="30" t="s">
        <v>32</v>
      </c>
      <c r="G9898" s="30" t="s">
        <v>158</v>
      </c>
      <c r="H9898" s="32">
        <v>187</v>
      </c>
      <c r="I9898" s="30" t="s">
        <v>21</v>
      </c>
      <c r="J9898" s="41">
        <v>44629</v>
      </c>
      <c r="K9898" s="30" t="s">
        <v>22</v>
      </c>
    </row>
    <row r="9899" spans="1:11">
      <c r="A9899" s="33" t="s">
        <v>22660</v>
      </c>
      <c r="B9899" s="33" t="s">
        <v>22661</v>
      </c>
      <c r="C9899" s="33" t="s">
        <v>2772</v>
      </c>
      <c r="D9899" s="33" t="s">
        <v>17</v>
      </c>
      <c r="E9899" s="33" t="s">
        <v>18</v>
      </c>
      <c r="F9899" s="33" t="s">
        <v>19</v>
      </c>
      <c r="G9899" s="33" t="s">
        <v>20</v>
      </c>
      <c r="H9899" s="35">
        <v>44</v>
      </c>
      <c r="I9899" s="33" t="s">
        <v>21</v>
      </c>
      <c r="J9899" s="42">
        <v>44642</v>
      </c>
      <c r="K9899" s="33" t="s">
        <v>22</v>
      </c>
    </row>
    <row r="9900" spans="1:11">
      <c r="A9900" s="30" t="s">
        <v>22662</v>
      </c>
      <c r="B9900" s="30" t="s">
        <v>22663</v>
      </c>
      <c r="C9900" s="30" t="s">
        <v>1136</v>
      </c>
      <c r="D9900" s="30" t="s">
        <v>17</v>
      </c>
      <c r="E9900" s="30" t="s">
        <v>18</v>
      </c>
      <c r="F9900" s="30" t="s">
        <v>19</v>
      </c>
      <c r="G9900" s="30" t="s">
        <v>20</v>
      </c>
      <c r="H9900" s="32">
        <v>1308</v>
      </c>
      <c r="I9900" s="30" t="s">
        <v>21</v>
      </c>
      <c r="J9900" s="41">
        <v>44861</v>
      </c>
      <c r="K9900" s="30" t="s">
        <v>22</v>
      </c>
    </row>
    <row r="9901" spans="1:11">
      <c r="A9901" s="33" t="s">
        <v>22664</v>
      </c>
      <c r="B9901" s="33" t="s">
        <v>22665</v>
      </c>
      <c r="C9901" s="33" t="s">
        <v>4218</v>
      </c>
      <c r="D9901" s="33" t="s">
        <v>17</v>
      </c>
      <c r="E9901" s="33" t="s">
        <v>26</v>
      </c>
      <c r="F9901" s="33" t="s">
        <v>27</v>
      </c>
      <c r="G9901" s="33" t="s">
        <v>20</v>
      </c>
      <c r="H9901" s="35">
        <v>36</v>
      </c>
      <c r="I9901" s="33" t="s">
        <v>21</v>
      </c>
      <c r="J9901" s="42">
        <v>44867</v>
      </c>
      <c r="K9901" s="33" t="s">
        <v>22</v>
      </c>
    </row>
    <row r="9902" spans="1:11">
      <c r="A9902" s="30" t="s">
        <v>22666</v>
      </c>
      <c r="B9902" s="30" t="s">
        <v>22667</v>
      </c>
      <c r="C9902" s="30" t="s">
        <v>22668</v>
      </c>
      <c r="D9902" s="30" t="s">
        <v>17</v>
      </c>
      <c r="E9902" s="30" t="s">
        <v>18</v>
      </c>
      <c r="F9902" s="30" t="s">
        <v>19</v>
      </c>
      <c r="G9902" s="30" t="s">
        <v>106</v>
      </c>
      <c r="H9902" s="32">
        <v>12</v>
      </c>
      <c r="I9902" s="30" t="s">
        <v>21</v>
      </c>
      <c r="J9902" s="41">
        <v>44728</v>
      </c>
      <c r="K9902" s="30" t="s">
        <v>22</v>
      </c>
    </row>
    <row r="9903" spans="1:11">
      <c r="A9903" s="33" t="s">
        <v>22669</v>
      </c>
      <c r="B9903" s="33" t="s">
        <v>22670</v>
      </c>
      <c r="C9903" s="33" t="s">
        <v>387</v>
      </c>
      <c r="D9903" s="33" t="s">
        <v>17</v>
      </c>
      <c r="E9903" s="33" t="s">
        <v>26</v>
      </c>
      <c r="F9903" s="33" t="s">
        <v>27</v>
      </c>
      <c r="G9903" s="33" t="s">
        <v>20</v>
      </c>
      <c r="H9903" s="35">
        <v>8</v>
      </c>
      <c r="I9903" s="33" t="s">
        <v>21</v>
      </c>
      <c r="J9903" s="42">
        <v>44579</v>
      </c>
      <c r="K9903" s="33" t="s">
        <v>22</v>
      </c>
    </row>
    <row r="9904" spans="1:11">
      <c r="A9904" s="30" t="s">
        <v>22671</v>
      </c>
      <c r="B9904" s="30" t="s">
        <v>22672</v>
      </c>
      <c r="C9904" s="30" t="s">
        <v>22673</v>
      </c>
      <c r="D9904" s="30" t="s">
        <v>17</v>
      </c>
      <c r="E9904" s="30" t="s">
        <v>67</v>
      </c>
      <c r="F9904" s="30" t="s">
        <v>68</v>
      </c>
      <c r="G9904" s="30" t="s">
        <v>106</v>
      </c>
      <c r="H9904" s="32">
        <v>8</v>
      </c>
      <c r="I9904" s="30" t="s">
        <v>21</v>
      </c>
      <c r="J9904" s="41">
        <v>44655</v>
      </c>
      <c r="K9904" s="30" t="s">
        <v>22</v>
      </c>
    </row>
    <row r="9905" spans="1:11">
      <c r="A9905" s="33" t="s">
        <v>22674</v>
      </c>
      <c r="B9905" s="33" t="s">
        <v>22675</v>
      </c>
      <c r="C9905" s="33" t="s">
        <v>14816</v>
      </c>
      <c r="D9905" s="33" t="s">
        <v>17</v>
      </c>
      <c r="E9905" s="33" t="s">
        <v>26</v>
      </c>
      <c r="F9905" s="33" t="s">
        <v>27</v>
      </c>
      <c r="G9905" s="33" t="s">
        <v>50</v>
      </c>
      <c r="H9905" s="35">
        <v>156</v>
      </c>
      <c r="I9905" s="33" t="s">
        <v>51</v>
      </c>
      <c r="J9905" s="42">
        <v>44609</v>
      </c>
      <c r="K9905" s="33" t="s">
        <v>22</v>
      </c>
    </row>
    <row r="9906" spans="1:11">
      <c r="A9906" s="30" t="s">
        <v>22676</v>
      </c>
      <c r="B9906" s="30" t="s">
        <v>22677</v>
      </c>
      <c r="C9906" s="30" t="s">
        <v>10422</v>
      </c>
      <c r="D9906" s="30" t="s">
        <v>17</v>
      </c>
      <c r="E9906" s="30" t="s">
        <v>26</v>
      </c>
      <c r="F9906" s="30" t="s">
        <v>27</v>
      </c>
      <c r="G9906" s="30" t="s">
        <v>20</v>
      </c>
      <c r="H9906" s="32">
        <v>54</v>
      </c>
      <c r="I9906" s="30" t="s">
        <v>21</v>
      </c>
      <c r="J9906" s="41">
        <v>44613</v>
      </c>
      <c r="K9906" s="30" t="s">
        <v>22</v>
      </c>
    </row>
    <row r="9907" spans="1:11">
      <c r="A9907" s="33" t="s">
        <v>22678</v>
      </c>
      <c r="B9907" s="33" t="s">
        <v>22679</v>
      </c>
      <c r="C9907" s="33" t="s">
        <v>22680</v>
      </c>
      <c r="D9907" s="33" t="s">
        <v>17</v>
      </c>
      <c r="E9907" s="33" t="s">
        <v>18</v>
      </c>
      <c r="F9907" s="33" t="s">
        <v>19</v>
      </c>
      <c r="G9907" s="33" t="s">
        <v>140</v>
      </c>
      <c r="H9907" s="35">
        <v>375</v>
      </c>
      <c r="I9907" s="33" t="s">
        <v>51</v>
      </c>
      <c r="J9907" s="42">
        <v>44866</v>
      </c>
      <c r="K9907" s="33" t="s">
        <v>22</v>
      </c>
    </row>
    <row r="9908" spans="1:11">
      <c r="A9908" s="30" t="s">
        <v>22681</v>
      </c>
      <c r="B9908" s="30" t="s">
        <v>22682</v>
      </c>
      <c r="C9908" s="30" t="s">
        <v>4064</v>
      </c>
      <c r="D9908" s="30" t="s">
        <v>17</v>
      </c>
      <c r="E9908" s="30" t="s">
        <v>31</v>
      </c>
      <c r="F9908" s="30" t="s">
        <v>32</v>
      </c>
      <c r="G9908" s="30" t="s">
        <v>20</v>
      </c>
      <c r="H9908" s="32">
        <v>83</v>
      </c>
      <c r="I9908" s="30" t="s">
        <v>21</v>
      </c>
      <c r="J9908" s="41">
        <v>44636</v>
      </c>
      <c r="K9908" s="30" t="s">
        <v>22</v>
      </c>
    </row>
    <row r="9909" spans="1:11">
      <c r="A9909" s="33" t="s">
        <v>22683</v>
      </c>
      <c r="B9909" s="33" t="s">
        <v>22684</v>
      </c>
      <c r="C9909" s="33" t="s">
        <v>10556</v>
      </c>
      <c r="D9909" s="33" t="s">
        <v>17</v>
      </c>
      <c r="E9909" s="33" t="s">
        <v>18</v>
      </c>
      <c r="F9909" s="33" t="s">
        <v>19</v>
      </c>
      <c r="G9909" s="33" t="s">
        <v>106</v>
      </c>
      <c r="H9909" s="35">
        <v>417</v>
      </c>
      <c r="I9909" s="33" t="s">
        <v>21</v>
      </c>
      <c r="J9909" s="42">
        <v>44831</v>
      </c>
      <c r="K9909" s="33" t="s">
        <v>22</v>
      </c>
    </row>
    <row r="9910" spans="1:11">
      <c r="A9910" s="30" t="s">
        <v>22685</v>
      </c>
      <c r="B9910" s="30" t="s">
        <v>22686</v>
      </c>
      <c r="C9910" s="30" t="s">
        <v>6190</v>
      </c>
      <c r="D9910" s="30" t="s">
        <v>17</v>
      </c>
      <c r="E9910" s="30" t="s">
        <v>212</v>
      </c>
      <c r="F9910" s="30" t="s">
        <v>213</v>
      </c>
      <c r="G9910" s="30" t="s">
        <v>20</v>
      </c>
      <c r="H9910" s="32">
        <v>301</v>
      </c>
      <c r="I9910" s="30" t="s">
        <v>21</v>
      </c>
      <c r="J9910" s="41">
        <v>44693</v>
      </c>
      <c r="K9910" s="30" t="s">
        <v>22</v>
      </c>
    </row>
    <row r="9911" spans="1:11">
      <c r="A9911" s="33" t="s">
        <v>22687</v>
      </c>
      <c r="B9911" s="33" t="s">
        <v>22688</v>
      </c>
      <c r="C9911" s="33" t="s">
        <v>75</v>
      </c>
      <c r="D9911" s="33" t="s">
        <v>17</v>
      </c>
      <c r="E9911" s="33" t="s">
        <v>45</v>
      </c>
      <c r="F9911" s="33" t="s">
        <v>46</v>
      </c>
      <c r="G9911" s="33" t="s">
        <v>158</v>
      </c>
      <c r="H9911" s="35">
        <v>230</v>
      </c>
      <c r="I9911" s="33" t="s">
        <v>51</v>
      </c>
      <c r="J9911" s="42">
        <v>44909</v>
      </c>
      <c r="K9911" s="33" t="s">
        <v>22</v>
      </c>
    </row>
    <row r="9912" spans="1:11">
      <c r="A9912" s="30" t="s">
        <v>22689</v>
      </c>
      <c r="B9912" s="30" t="s">
        <v>22690</v>
      </c>
      <c r="C9912" s="30" t="s">
        <v>7020</v>
      </c>
      <c r="D9912" s="30" t="s">
        <v>17</v>
      </c>
      <c r="E9912" s="30" t="s">
        <v>26</v>
      </c>
      <c r="F9912" s="30" t="s">
        <v>27</v>
      </c>
      <c r="G9912" s="30" t="s">
        <v>20</v>
      </c>
      <c r="H9912" s="32">
        <v>5</v>
      </c>
      <c r="I9912" s="30" t="s">
        <v>21</v>
      </c>
      <c r="J9912" s="41">
        <v>44679</v>
      </c>
      <c r="K9912" s="30" t="s">
        <v>22</v>
      </c>
    </row>
    <row r="9913" spans="1:11">
      <c r="A9913" s="33" t="s">
        <v>22691</v>
      </c>
      <c r="B9913" s="33" t="s">
        <v>22692</v>
      </c>
      <c r="C9913" s="33" t="s">
        <v>379</v>
      </c>
      <c r="D9913" s="33" t="s">
        <v>17</v>
      </c>
      <c r="E9913" s="33" t="s">
        <v>26</v>
      </c>
      <c r="F9913" s="33" t="s">
        <v>27</v>
      </c>
      <c r="G9913" s="33" t="s">
        <v>50</v>
      </c>
      <c r="H9913" s="35">
        <v>82</v>
      </c>
      <c r="I9913" s="33" t="s">
        <v>51</v>
      </c>
      <c r="J9913" s="42">
        <v>44715</v>
      </c>
      <c r="K9913" s="33" t="s">
        <v>22</v>
      </c>
    </row>
    <row r="9914" spans="1:11">
      <c r="A9914" s="30" t="s">
        <v>22693</v>
      </c>
      <c r="B9914" s="30" t="s">
        <v>22694</v>
      </c>
      <c r="C9914" s="30" t="s">
        <v>22695</v>
      </c>
      <c r="D9914" s="30" t="s">
        <v>17</v>
      </c>
      <c r="E9914" s="30" t="s">
        <v>26</v>
      </c>
      <c r="F9914" s="30" t="s">
        <v>27</v>
      </c>
      <c r="G9914" s="30" t="s">
        <v>20</v>
      </c>
      <c r="H9914" s="32">
        <v>24</v>
      </c>
      <c r="I9914" s="30" t="s">
        <v>21</v>
      </c>
      <c r="J9914" s="41">
        <v>44585</v>
      </c>
      <c r="K9914" s="30" t="s">
        <v>22</v>
      </c>
    </row>
    <row r="9915" spans="1:11">
      <c r="A9915" s="33" t="s">
        <v>22696</v>
      </c>
      <c r="B9915" s="33" t="s">
        <v>22697</v>
      </c>
      <c r="C9915" s="33" t="s">
        <v>96</v>
      </c>
      <c r="D9915" s="33" t="s">
        <v>17</v>
      </c>
      <c r="E9915" s="33" t="s">
        <v>26</v>
      </c>
      <c r="F9915" s="33" t="s">
        <v>27</v>
      </c>
      <c r="G9915" s="33" t="s">
        <v>20</v>
      </c>
      <c r="H9915" s="35">
        <v>94</v>
      </c>
      <c r="I9915" s="33" t="s">
        <v>21</v>
      </c>
      <c r="J9915" s="42">
        <v>44851</v>
      </c>
      <c r="K9915" s="33" t="s">
        <v>22</v>
      </c>
    </row>
    <row r="9916" spans="1:11">
      <c r="A9916" s="30" t="s">
        <v>22698</v>
      </c>
      <c r="B9916" s="30" t="s">
        <v>22699</v>
      </c>
      <c r="C9916" s="30" t="s">
        <v>4671</v>
      </c>
      <c r="D9916" s="30" t="s">
        <v>17</v>
      </c>
      <c r="E9916" s="30" t="s">
        <v>26</v>
      </c>
      <c r="F9916" s="30" t="s">
        <v>27</v>
      </c>
      <c r="G9916" s="30" t="s">
        <v>20</v>
      </c>
      <c r="H9916" s="32">
        <v>27</v>
      </c>
      <c r="I9916" s="30" t="s">
        <v>21</v>
      </c>
      <c r="J9916" s="41">
        <v>44693</v>
      </c>
      <c r="K9916" s="30" t="s">
        <v>22</v>
      </c>
    </row>
    <row r="9917" spans="1:11">
      <c r="A9917" s="33" t="s">
        <v>22700</v>
      </c>
      <c r="B9917" s="33" t="s">
        <v>22701</v>
      </c>
      <c r="C9917" s="33" t="s">
        <v>6571</v>
      </c>
      <c r="D9917" s="33" t="s">
        <v>17</v>
      </c>
      <c r="E9917" s="33" t="s">
        <v>18</v>
      </c>
      <c r="F9917" s="33" t="s">
        <v>19</v>
      </c>
      <c r="G9917" s="33" t="s">
        <v>20</v>
      </c>
      <c r="H9917" s="35">
        <v>480</v>
      </c>
      <c r="I9917" s="33" t="s">
        <v>21</v>
      </c>
      <c r="J9917" s="42">
        <v>44648</v>
      </c>
      <c r="K9917" s="33" t="s">
        <v>22</v>
      </c>
    </row>
    <row r="9918" spans="1:11">
      <c r="A9918" s="30" t="s">
        <v>22702</v>
      </c>
      <c r="B9918" s="30" t="s">
        <v>22703</v>
      </c>
      <c r="C9918" s="30" t="s">
        <v>178</v>
      </c>
      <c r="D9918" s="30" t="s">
        <v>17</v>
      </c>
      <c r="E9918" s="30" t="s">
        <v>212</v>
      </c>
      <c r="F9918" s="30" t="s">
        <v>213</v>
      </c>
      <c r="G9918" s="30" t="s">
        <v>20</v>
      </c>
      <c r="H9918" s="32">
        <v>70</v>
      </c>
      <c r="I9918" s="30" t="s">
        <v>21</v>
      </c>
      <c r="J9918" s="41">
        <v>44664</v>
      </c>
      <c r="K9918" s="30" t="s">
        <v>22</v>
      </c>
    </row>
    <row r="9919" spans="1:11">
      <c r="A9919" s="33" t="s">
        <v>22704</v>
      </c>
      <c r="B9919" s="33" t="s">
        <v>22705</v>
      </c>
      <c r="C9919" s="33" t="s">
        <v>7094</v>
      </c>
      <c r="D9919" s="33" t="s">
        <v>17</v>
      </c>
      <c r="E9919" s="33" t="s">
        <v>18</v>
      </c>
      <c r="F9919" s="33" t="s">
        <v>19</v>
      </c>
      <c r="G9919" s="33" t="s">
        <v>112</v>
      </c>
      <c r="H9919" s="35">
        <v>0</v>
      </c>
      <c r="I9919" s="33" t="s">
        <v>21</v>
      </c>
      <c r="J9919" s="42">
        <v>44774</v>
      </c>
      <c r="K9919" s="33" t="s">
        <v>22</v>
      </c>
    </row>
    <row r="9920" spans="1:11">
      <c r="A9920" s="30" t="s">
        <v>22706</v>
      </c>
      <c r="B9920" s="30" t="s">
        <v>22707</v>
      </c>
      <c r="C9920" s="30" t="s">
        <v>4315</v>
      </c>
      <c r="D9920" s="30" t="s">
        <v>17</v>
      </c>
      <c r="E9920" s="30" t="s">
        <v>31</v>
      </c>
      <c r="F9920" s="30" t="s">
        <v>32</v>
      </c>
      <c r="G9920" s="30" t="s">
        <v>140</v>
      </c>
      <c r="H9920" s="32">
        <v>200</v>
      </c>
      <c r="I9920" s="30" t="s">
        <v>51</v>
      </c>
      <c r="J9920" s="41">
        <v>44666</v>
      </c>
      <c r="K9920" s="30" t="s">
        <v>22</v>
      </c>
    </row>
    <row r="9921" spans="1:11">
      <c r="A9921" s="33" t="s">
        <v>22708</v>
      </c>
      <c r="B9921" s="33" t="s">
        <v>22709</v>
      </c>
      <c r="C9921" s="33" t="s">
        <v>3964</v>
      </c>
      <c r="D9921" s="33" t="s">
        <v>17</v>
      </c>
      <c r="E9921" s="33" t="s">
        <v>31</v>
      </c>
      <c r="F9921" s="33" t="s">
        <v>32</v>
      </c>
      <c r="G9921" s="33" t="s">
        <v>50</v>
      </c>
      <c r="H9921" s="35">
        <v>99</v>
      </c>
      <c r="I9921" s="33" t="s">
        <v>51</v>
      </c>
      <c r="J9921" s="42">
        <v>44643</v>
      </c>
      <c r="K9921" s="33" t="s">
        <v>22</v>
      </c>
    </row>
    <row r="9922" spans="1:11">
      <c r="A9922" s="30" t="s">
        <v>22710</v>
      </c>
      <c r="B9922" s="30" t="s">
        <v>22711</v>
      </c>
      <c r="C9922" s="30" t="s">
        <v>3914</v>
      </c>
      <c r="D9922" s="30" t="s">
        <v>17</v>
      </c>
      <c r="E9922" s="30" t="s">
        <v>18</v>
      </c>
      <c r="F9922" s="30" t="s">
        <v>19</v>
      </c>
      <c r="G9922" s="30" t="s">
        <v>140</v>
      </c>
      <c r="H9922" s="32">
        <v>970</v>
      </c>
      <c r="I9922" s="30" t="s">
        <v>51</v>
      </c>
      <c r="J9922" s="41">
        <v>44743</v>
      </c>
      <c r="K9922" s="30" t="s">
        <v>22</v>
      </c>
    </row>
    <row r="9923" spans="1:11">
      <c r="A9923" s="33" t="s">
        <v>22712</v>
      </c>
      <c r="B9923" s="33" t="s">
        <v>22713</v>
      </c>
      <c r="C9923" s="33" t="s">
        <v>21347</v>
      </c>
      <c r="D9923" s="33" t="s">
        <v>17</v>
      </c>
      <c r="E9923" s="33" t="s">
        <v>26</v>
      </c>
      <c r="F9923" s="33" t="s">
        <v>27</v>
      </c>
      <c r="G9923" s="33" t="s">
        <v>140</v>
      </c>
      <c r="H9923" s="35">
        <v>64</v>
      </c>
      <c r="I9923" s="33" t="s">
        <v>51</v>
      </c>
      <c r="J9923" s="42">
        <v>44624</v>
      </c>
      <c r="K9923" s="33" t="s">
        <v>22</v>
      </c>
    </row>
    <row r="9924" spans="1:11">
      <c r="A9924" s="30" t="s">
        <v>22714</v>
      </c>
      <c r="B9924" s="30" t="s">
        <v>22715</v>
      </c>
      <c r="C9924" s="30" t="s">
        <v>231</v>
      </c>
      <c r="D9924" s="30" t="s">
        <v>17</v>
      </c>
      <c r="E9924" s="30" t="s">
        <v>26</v>
      </c>
      <c r="F9924" s="30" t="s">
        <v>27</v>
      </c>
      <c r="G9924" s="30" t="s">
        <v>158</v>
      </c>
      <c r="H9924" s="32">
        <v>42</v>
      </c>
      <c r="I9924" s="30" t="s">
        <v>21</v>
      </c>
      <c r="J9924" s="41">
        <v>44698</v>
      </c>
      <c r="K9924" s="30" t="s">
        <v>22</v>
      </c>
    </row>
    <row r="9925" spans="1:11">
      <c r="A9925" s="33" t="s">
        <v>22716</v>
      </c>
      <c r="B9925" s="33" t="s">
        <v>22717</v>
      </c>
      <c r="C9925" s="33" t="s">
        <v>7015</v>
      </c>
      <c r="D9925" s="33" t="s">
        <v>17</v>
      </c>
      <c r="E9925" s="33" t="s">
        <v>212</v>
      </c>
      <c r="F9925" s="33" t="s">
        <v>213</v>
      </c>
      <c r="G9925" s="33" t="s">
        <v>20</v>
      </c>
      <c r="H9925" s="35">
        <v>270</v>
      </c>
      <c r="I9925" s="33" t="s">
        <v>21</v>
      </c>
      <c r="J9925" s="42">
        <v>44893</v>
      </c>
      <c r="K9925" s="33" t="s">
        <v>22</v>
      </c>
    </row>
    <row r="9926" spans="1:11">
      <c r="A9926" s="30" t="s">
        <v>22718</v>
      </c>
      <c r="B9926" s="30" t="s">
        <v>22719</v>
      </c>
      <c r="C9926" s="30" t="s">
        <v>102</v>
      </c>
      <c r="D9926" s="30" t="s">
        <v>17</v>
      </c>
      <c r="E9926" s="30" t="s">
        <v>26</v>
      </c>
      <c r="F9926" s="30" t="s">
        <v>27</v>
      </c>
      <c r="G9926" s="30" t="s">
        <v>158</v>
      </c>
      <c r="H9926" s="32">
        <v>196</v>
      </c>
      <c r="I9926" s="30" t="s">
        <v>21</v>
      </c>
      <c r="J9926" s="41">
        <v>44838</v>
      </c>
      <c r="K9926" s="30" t="s">
        <v>22</v>
      </c>
    </row>
    <row r="9927" spans="1:11">
      <c r="A9927" s="33" t="s">
        <v>22720</v>
      </c>
      <c r="B9927" s="33" t="s">
        <v>22721</v>
      </c>
      <c r="C9927" s="33" t="s">
        <v>22722</v>
      </c>
      <c r="D9927" s="33" t="s">
        <v>17</v>
      </c>
      <c r="E9927" s="33" t="s">
        <v>26</v>
      </c>
      <c r="F9927" s="33" t="s">
        <v>27</v>
      </c>
      <c r="G9927" s="33" t="s">
        <v>20</v>
      </c>
      <c r="H9927" s="35">
        <v>6</v>
      </c>
      <c r="I9927" s="33" t="s">
        <v>21</v>
      </c>
      <c r="J9927" s="42">
        <v>44585</v>
      </c>
      <c r="K9927" s="33" t="s">
        <v>22</v>
      </c>
    </row>
    <row r="9928" spans="1:11">
      <c r="A9928" s="30" t="s">
        <v>22723</v>
      </c>
      <c r="B9928" s="30" t="s">
        <v>22724</v>
      </c>
      <c r="C9928" s="30" t="s">
        <v>60</v>
      </c>
      <c r="D9928" s="30" t="s">
        <v>17</v>
      </c>
      <c r="E9928" s="30" t="s">
        <v>26</v>
      </c>
      <c r="F9928" s="30" t="s">
        <v>27</v>
      </c>
      <c r="G9928" s="30" t="s">
        <v>20</v>
      </c>
      <c r="H9928" s="32">
        <v>70</v>
      </c>
      <c r="I9928" s="30" t="s">
        <v>21</v>
      </c>
      <c r="J9928" s="41">
        <v>44909</v>
      </c>
      <c r="K9928" s="30" t="s">
        <v>22</v>
      </c>
    </row>
    <row r="9929" spans="1:11">
      <c r="A9929" s="33" t="s">
        <v>22725</v>
      </c>
      <c r="B9929" s="33" t="s">
        <v>22726</v>
      </c>
      <c r="C9929" s="33" t="s">
        <v>17608</v>
      </c>
      <c r="D9929" s="33" t="s">
        <v>17</v>
      </c>
      <c r="E9929" s="33" t="s">
        <v>26</v>
      </c>
      <c r="F9929" s="33" t="s">
        <v>27</v>
      </c>
      <c r="G9929" s="33" t="s">
        <v>20</v>
      </c>
      <c r="H9929" s="35">
        <v>22</v>
      </c>
      <c r="I9929" s="33" t="s">
        <v>21</v>
      </c>
      <c r="J9929" s="42">
        <v>44914</v>
      </c>
      <c r="K9929" s="33" t="s">
        <v>22</v>
      </c>
    </row>
    <row r="9930" spans="1:11">
      <c r="A9930" s="30" t="s">
        <v>22727</v>
      </c>
      <c r="B9930" s="30" t="s">
        <v>22728</v>
      </c>
      <c r="C9930" s="30" t="s">
        <v>203</v>
      </c>
      <c r="D9930" s="30" t="s">
        <v>17</v>
      </c>
      <c r="E9930" s="30" t="s">
        <v>18</v>
      </c>
      <c r="F9930" s="30" t="s">
        <v>19</v>
      </c>
      <c r="G9930" s="30" t="s">
        <v>106</v>
      </c>
      <c r="H9930" s="32">
        <v>3</v>
      </c>
      <c r="I9930" s="30" t="s">
        <v>21</v>
      </c>
      <c r="J9930" s="41">
        <v>44609</v>
      </c>
      <c r="K9930" s="30" t="s">
        <v>22</v>
      </c>
    </row>
    <row r="9931" spans="1:11">
      <c r="A9931" s="33" t="s">
        <v>22729</v>
      </c>
      <c r="B9931" s="33" t="s">
        <v>22730</v>
      </c>
      <c r="C9931" s="33" t="s">
        <v>231</v>
      </c>
      <c r="D9931" s="33" t="s">
        <v>17</v>
      </c>
      <c r="E9931" s="33" t="s">
        <v>26</v>
      </c>
      <c r="F9931" s="33" t="s">
        <v>27</v>
      </c>
      <c r="G9931" s="33" t="s">
        <v>20</v>
      </c>
      <c r="H9931" s="35">
        <v>77</v>
      </c>
      <c r="I9931" s="33" t="s">
        <v>21</v>
      </c>
      <c r="J9931" s="42">
        <v>44833</v>
      </c>
      <c r="K9931" s="33" t="s">
        <v>22</v>
      </c>
    </row>
    <row r="9932" spans="1:11">
      <c r="A9932" s="30" t="s">
        <v>22731</v>
      </c>
      <c r="B9932" s="30" t="s">
        <v>22732</v>
      </c>
      <c r="C9932" s="30" t="s">
        <v>78</v>
      </c>
      <c r="D9932" s="30" t="s">
        <v>17</v>
      </c>
      <c r="E9932" s="30" t="s">
        <v>26</v>
      </c>
      <c r="F9932" s="30" t="s">
        <v>27</v>
      </c>
      <c r="G9932" s="30" t="s">
        <v>20</v>
      </c>
      <c r="H9932" s="32">
        <v>32</v>
      </c>
      <c r="I9932" s="30" t="s">
        <v>21</v>
      </c>
      <c r="J9932" s="41">
        <v>44580</v>
      </c>
      <c r="K9932" s="30" t="s">
        <v>22</v>
      </c>
    </row>
    <row r="9933" spans="1:11">
      <c r="A9933" s="33" t="s">
        <v>22733</v>
      </c>
      <c r="B9933" s="33" t="s">
        <v>22734</v>
      </c>
      <c r="C9933" s="33" t="s">
        <v>20135</v>
      </c>
      <c r="D9933" s="33" t="s">
        <v>17</v>
      </c>
      <c r="E9933" s="33" t="s">
        <v>26</v>
      </c>
      <c r="F9933" s="33" t="s">
        <v>27</v>
      </c>
      <c r="G9933" s="33" t="s">
        <v>20</v>
      </c>
      <c r="H9933" s="35">
        <v>58</v>
      </c>
      <c r="I9933" s="33" t="s">
        <v>21</v>
      </c>
      <c r="J9933" s="42">
        <v>44862</v>
      </c>
      <c r="K9933" s="33" t="s">
        <v>22</v>
      </c>
    </row>
    <row r="9934" spans="1:11">
      <c r="A9934" s="30" t="s">
        <v>22735</v>
      </c>
      <c r="B9934" s="30" t="s">
        <v>22736</v>
      </c>
      <c r="C9934" s="30" t="s">
        <v>14274</v>
      </c>
      <c r="D9934" s="30" t="s">
        <v>17</v>
      </c>
      <c r="E9934" s="30" t="s">
        <v>67</v>
      </c>
      <c r="F9934" s="30" t="s">
        <v>68</v>
      </c>
      <c r="G9934" s="30" t="s">
        <v>50</v>
      </c>
      <c r="H9934" s="32">
        <v>10</v>
      </c>
      <c r="I9934" s="30" t="s">
        <v>51</v>
      </c>
      <c r="J9934" s="41">
        <v>44858</v>
      </c>
      <c r="K9934" s="30" t="s">
        <v>22</v>
      </c>
    </row>
    <row r="9935" spans="1:11">
      <c r="A9935" s="33" t="s">
        <v>22737</v>
      </c>
      <c r="B9935" s="33" t="s">
        <v>22738</v>
      </c>
      <c r="C9935" s="33" t="s">
        <v>22739</v>
      </c>
      <c r="D9935" s="33" t="s">
        <v>17</v>
      </c>
      <c r="E9935" s="33" t="s">
        <v>31</v>
      </c>
      <c r="F9935" s="33" t="s">
        <v>32</v>
      </c>
      <c r="G9935" s="33" t="s">
        <v>106</v>
      </c>
      <c r="H9935" s="35">
        <v>17</v>
      </c>
      <c r="I9935" s="33" t="s">
        <v>21</v>
      </c>
      <c r="J9935" s="42">
        <v>44798</v>
      </c>
      <c r="K9935" s="33" t="s">
        <v>22</v>
      </c>
    </row>
    <row r="9936" spans="1:11">
      <c r="A9936" s="30" t="s">
        <v>22740</v>
      </c>
      <c r="B9936" s="30" t="s">
        <v>17566</v>
      </c>
      <c r="C9936" s="30" t="s">
        <v>17567</v>
      </c>
      <c r="D9936" s="30" t="s">
        <v>17</v>
      </c>
      <c r="E9936" s="30" t="s">
        <v>26</v>
      </c>
      <c r="F9936" s="30" t="s">
        <v>27</v>
      </c>
      <c r="G9936" s="30" t="s">
        <v>50</v>
      </c>
      <c r="H9936" s="32">
        <v>34</v>
      </c>
      <c r="I9936" s="30" t="s">
        <v>51</v>
      </c>
      <c r="J9936" s="41">
        <v>44866</v>
      </c>
      <c r="K9936" s="30" t="s">
        <v>22</v>
      </c>
    </row>
    <row r="9937" spans="1:11">
      <c r="A9937" s="33" t="s">
        <v>22741</v>
      </c>
      <c r="B9937" s="33" t="s">
        <v>22742</v>
      </c>
      <c r="C9937" s="33" t="s">
        <v>13574</v>
      </c>
      <c r="D9937" s="33" t="s">
        <v>17</v>
      </c>
      <c r="E9937" s="33" t="s">
        <v>26</v>
      </c>
      <c r="F9937" s="33" t="s">
        <v>27</v>
      </c>
      <c r="G9937" s="33" t="s">
        <v>20</v>
      </c>
      <c r="H9937" s="35">
        <v>32</v>
      </c>
      <c r="I9937" s="33" t="s">
        <v>21</v>
      </c>
      <c r="J9937" s="42">
        <v>44593</v>
      </c>
      <c r="K9937" s="33" t="s">
        <v>22</v>
      </c>
    </row>
    <row r="9938" spans="1:11">
      <c r="A9938" s="30" t="s">
        <v>22743</v>
      </c>
      <c r="B9938" s="30" t="s">
        <v>22744</v>
      </c>
      <c r="C9938" s="30" t="s">
        <v>6721</v>
      </c>
      <c r="D9938" s="30" t="s">
        <v>17</v>
      </c>
      <c r="E9938" s="30" t="s">
        <v>26</v>
      </c>
      <c r="F9938" s="30" t="s">
        <v>27</v>
      </c>
      <c r="G9938" s="30" t="s">
        <v>20</v>
      </c>
      <c r="H9938" s="32">
        <v>96</v>
      </c>
      <c r="I9938" s="30" t="s">
        <v>21</v>
      </c>
      <c r="J9938" s="41">
        <v>44807</v>
      </c>
      <c r="K9938" s="30" t="s">
        <v>22</v>
      </c>
    </row>
    <row r="9939" spans="1:11">
      <c r="A9939" s="33" t="s">
        <v>22745</v>
      </c>
      <c r="B9939" s="33" t="s">
        <v>22746</v>
      </c>
      <c r="C9939" s="33" t="s">
        <v>1090</v>
      </c>
      <c r="D9939" s="33" t="s">
        <v>17</v>
      </c>
      <c r="E9939" s="33" t="s">
        <v>67</v>
      </c>
      <c r="F9939" s="33" t="s">
        <v>68</v>
      </c>
      <c r="G9939" s="33" t="s">
        <v>50</v>
      </c>
      <c r="H9939" s="35">
        <v>128</v>
      </c>
      <c r="I9939" s="33" t="s">
        <v>51</v>
      </c>
      <c r="J9939" s="42">
        <v>44824</v>
      </c>
      <c r="K9939" s="33" t="s">
        <v>22</v>
      </c>
    </row>
    <row r="9940" spans="1:11">
      <c r="A9940" s="30" t="s">
        <v>22747</v>
      </c>
      <c r="B9940" s="30" t="s">
        <v>22748</v>
      </c>
      <c r="C9940" s="30" t="s">
        <v>753</v>
      </c>
      <c r="D9940" s="30" t="s">
        <v>17</v>
      </c>
      <c r="E9940" s="30" t="s">
        <v>31</v>
      </c>
      <c r="F9940" s="30" t="s">
        <v>32</v>
      </c>
      <c r="G9940" s="30" t="s">
        <v>106</v>
      </c>
      <c r="H9940" s="32">
        <v>127</v>
      </c>
      <c r="I9940" s="30" t="s">
        <v>21</v>
      </c>
      <c r="J9940" s="41">
        <v>44860</v>
      </c>
      <c r="K9940" s="30" t="s">
        <v>22</v>
      </c>
    </row>
    <row r="9941" spans="1:11">
      <c r="A9941" s="33" t="s">
        <v>22749</v>
      </c>
      <c r="B9941" s="33" t="s">
        <v>22750</v>
      </c>
      <c r="C9941" s="33" t="s">
        <v>21961</v>
      </c>
      <c r="D9941" s="33" t="s">
        <v>17</v>
      </c>
      <c r="E9941" s="33" t="s">
        <v>26</v>
      </c>
      <c r="F9941" s="33" t="s">
        <v>27</v>
      </c>
      <c r="G9941" s="33" t="s">
        <v>20</v>
      </c>
      <c r="H9941" s="35">
        <v>10</v>
      </c>
      <c r="I9941" s="33" t="s">
        <v>21</v>
      </c>
      <c r="J9941" s="42">
        <v>44750</v>
      </c>
      <c r="K9941" s="33" t="s">
        <v>22</v>
      </c>
    </row>
    <row r="9942" spans="1:11">
      <c r="A9942" s="30" t="s">
        <v>22751</v>
      </c>
      <c r="B9942" s="30" t="s">
        <v>22752</v>
      </c>
      <c r="C9942" s="30" t="s">
        <v>102</v>
      </c>
      <c r="D9942" s="30" t="s">
        <v>17</v>
      </c>
      <c r="E9942" s="30" t="s">
        <v>31</v>
      </c>
      <c r="F9942" s="30" t="s">
        <v>32</v>
      </c>
      <c r="G9942" s="30" t="s">
        <v>106</v>
      </c>
      <c r="H9942" s="32">
        <v>18</v>
      </c>
      <c r="I9942" s="30" t="s">
        <v>21</v>
      </c>
      <c r="J9942" s="41">
        <v>44903</v>
      </c>
      <c r="K9942" s="30" t="s">
        <v>22</v>
      </c>
    </row>
    <row r="9943" spans="1:11">
      <c r="A9943" s="33" t="s">
        <v>22753</v>
      </c>
      <c r="B9943" s="33" t="s">
        <v>22754</v>
      </c>
      <c r="C9943" s="33" t="s">
        <v>6445</v>
      </c>
      <c r="D9943" s="33" t="s">
        <v>17</v>
      </c>
      <c r="E9943" s="33" t="s">
        <v>26</v>
      </c>
      <c r="F9943" s="33" t="s">
        <v>27</v>
      </c>
      <c r="G9943" s="33" t="s">
        <v>20</v>
      </c>
      <c r="H9943" s="35">
        <v>29</v>
      </c>
      <c r="I9943" s="33" t="s">
        <v>21</v>
      </c>
      <c r="J9943" s="42">
        <v>44907</v>
      </c>
      <c r="K9943" s="33" t="s">
        <v>22</v>
      </c>
    </row>
    <row r="9944" spans="1:11">
      <c r="A9944" s="30" t="s">
        <v>22755</v>
      </c>
      <c r="B9944" s="30" t="s">
        <v>22756</v>
      </c>
      <c r="C9944" s="30" t="s">
        <v>109</v>
      </c>
      <c r="D9944" s="30" t="s">
        <v>17</v>
      </c>
      <c r="E9944" s="30" t="s">
        <v>212</v>
      </c>
      <c r="F9944" s="30" t="s">
        <v>213</v>
      </c>
      <c r="G9944" s="30" t="s">
        <v>20</v>
      </c>
      <c r="H9944" s="32">
        <v>1770</v>
      </c>
      <c r="I9944" s="30" t="s">
        <v>21</v>
      </c>
      <c r="J9944" s="41">
        <v>44659</v>
      </c>
      <c r="K9944" s="30" t="s">
        <v>22</v>
      </c>
    </row>
    <row r="9945" spans="1:11">
      <c r="A9945" s="33" t="s">
        <v>22757</v>
      </c>
      <c r="B9945" s="33" t="s">
        <v>22758</v>
      </c>
      <c r="C9945" s="33" t="s">
        <v>22759</v>
      </c>
      <c r="D9945" s="33" t="s">
        <v>17</v>
      </c>
      <c r="E9945" s="33" t="s">
        <v>26</v>
      </c>
      <c r="F9945" s="33" t="s">
        <v>27</v>
      </c>
      <c r="G9945" s="33" t="s">
        <v>20</v>
      </c>
      <c r="H9945" s="35">
        <v>32</v>
      </c>
      <c r="I9945" s="33" t="s">
        <v>21</v>
      </c>
      <c r="J9945" s="42">
        <v>44894</v>
      </c>
      <c r="K9945" s="33" t="s">
        <v>22</v>
      </c>
    </row>
    <row r="9946" spans="1:11">
      <c r="A9946" s="30" t="s">
        <v>22760</v>
      </c>
      <c r="B9946" s="30" t="s">
        <v>22761</v>
      </c>
      <c r="C9946" s="30" t="s">
        <v>22762</v>
      </c>
      <c r="D9946" s="30" t="s">
        <v>17</v>
      </c>
      <c r="E9946" s="30" t="s">
        <v>26</v>
      </c>
      <c r="F9946" s="30" t="s">
        <v>27</v>
      </c>
      <c r="G9946" s="30" t="s">
        <v>20</v>
      </c>
      <c r="H9946" s="32">
        <v>32</v>
      </c>
      <c r="I9946" s="30" t="s">
        <v>21</v>
      </c>
      <c r="J9946" s="41">
        <v>44843</v>
      </c>
      <c r="K9946" s="30" t="s">
        <v>22</v>
      </c>
    </row>
    <row r="9947" spans="1:11">
      <c r="A9947" s="33" t="s">
        <v>22763</v>
      </c>
      <c r="B9947" s="33" t="s">
        <v>22764</v>
      </c>
      <c r="C9947" s="33" t="s">
        <v>822</v>
      </c>
      <c r="D9947" s="33" t="s">
        <v>17</v>
      </c>
      <c r="E9947" s="33" t="s">
        <v>31</v>
      </c>
      <c r="F9947" s="33" t="s">
        <v>32</v>
      </c>
      <c r="G9947" s="33" t="s">
        <v>20</v>
      </c>
      <c r="H9947" s="35">
        <v>120</v>
      </c>
      <c r="I9947" s="33" t="s">
        <v>21</v>
      </c>
      <c r="J9947" s="42">
        <v>44776</v>
      </c>
      <c r="K9947" s="33" t="s">
        <v>22</v>
      </c>
    </row>
    <row r="9948" spans="1:11">
      <c r="A9948" s="30" t="s">
        <v>22765</v>
      </c>
      <c r="B9948" s="30" t="s">
        <v>22766</v>
      </c>
      <c r="C9948" s="30" t="s">
        <v>1618</v>
      </c>
      <c r="D9948" s="30" t="s">
        <v>17</v>
      </c>
      <c r="E9948" s="30" t="s">
        <v>67</v>
      </c>
      <c r="F9948" s="30" t="s">
        <v>68</v>
      </c>
      <c r="G9948" s="30" t="s">
        <v>20</v>
      </c>
      <c r="H9948" s="32">
        <v>16</v>
      </c>
      <c r="I9948" s="30" t="s">
        <v>21</v>
      </c>
      <c r="J9948" s="41">
        <v>44844</v>
      </c>
      <c r="K9948" s="30" t="s">
        <v>22</v>
      </c>
    </row>
    <row r="9949" spans="1:11">
      <c r="A9949" s="33" t="s">
        <v>22767</v>
      </c>
      <c r="B9949" s="33" t="s">
        <v>22768</v>
      </c>
      <c r="C9949" s="33" t="s">
        <v>22769</v>
      </c>
      <c r="D9949" s="33" t="s">
        <v>17</v>
      </c>
      <c r="E9949" s="33" t="s">
        <v>31</v>
      </c>
      <c r="F9949" s="33" t="s">
        <v>32</v>
      </c>
      <c r="G9949" s="33" t="s">
        <v>20</v>
      </c>
      <c r="H9949" s="35">
        <v>120</v>
      </c>
      <c r="I9949" s="33" t="s">
        <v>21</v>
      </c>
      <c r="J9949" s="42">
        <v>44853</v>
      </c>
      <c r="K9949" s="33" t="s">
        <v>22</v>
      </c>
    </row>
    <row r="9950" spans="1:11">
      <c r="A9950" s="30" t="s">
        <v>22770</v>
      </c>
      <c r="B9950" s="30" t="s">
        <v>22771</v>
      </c>
      <c r="C9950" s="30" t="s">
        <v>16821</v>
      </c>
      <c r="D9950" s="30" t="s">
        <v>17</v>
      </c>
      <c r="E9950" s="30" t="s">
        <v>18</v>
      </c>
      <c r="F9950" s="30" t="s">
        <v>19</v>
      </c>
      <c r="G9950" s="30" t="s">
        <v>140</v>
      </c>
      <c r="H9950" s="32">
        <v>482</v>
      </c>
      <c r="I9950" s="30" t="s">
        <v>51</v>
      </c>
      <c r="J9950" s="41">
        <v>44665</v>
      </c>
      <c r="K9950" s="30" t="s">
        <v>22</v>
      </c>
    </row>
    <row r="9951" spans="1:11">
      <c r="A9951" s="33" t="s">
        <v>22772</v>
      </c>
      <c r="B9951" s="33" t="s">
        <v>22773</v>
      </c>
      <c r="C9951" s="33" t="s">
        <v>9629</v>
      </c>
      <c r="D9951" s="33" t="s">
        <v>17</v>
      </c>
      <c r="E9951" s="33" t="s">
        <v>67</v>
      </c>
      <c r="F9951" s="33" t="s">
        <v>68</v>
      </c>
      <c r="G9951" s="33" t="s">
        <v>50</v>
      </c>
      <c r="H9951" s="35">
        <v>200</v>
      </c>
      <c r="I9951" s="33" t="s">
        <v>51</v>
      </c>
      <c r="J9951" s="42">
        <v>44750</v>
      </c>
      <c r="K9951" s="33" t="s">
        <v>22</v>
      </c>
    </row>
    <row r="9952" spans="1:11">
      <c r="A9952" s="30" t="s">
        <v>22774</v>
      </c>
      <c r="B9952" s="30" t="s">
        <v>22775</v>
      </c>
      <c r="C9952" s="30" t="s">
        <v>21185</v>
      </c>
      <c r="D9952" s="30" t="s">
        <v>17</v>
      </c>
      <c r="E9952" s="30" t="s">
        <v>26</v>
      </c>
      <c r="F9952" s="30" t="s">
        <v>27</v>
      </c>
      <c r="G9952" s="30" t="s">
        <v>106</v>
      </c>
      <c r="H9952" s="32">
        <v>29</v>
      </c>
      <c r="I9952" s="30" t="s">
        <v>21</v>
      </c>
      <c r="J9952" s="41">
        <v>44644</v>
      </c>
      <c r="K9952" s="30" t="s">
        <v>22</v>
      </c>
    </row>
    <row r="9953" spans="1:11">
      <c r="A9953" s="33" t="s">
        <v>22776</v>
      </c>
      <c r="B9953" s="33" t="s">
        <v>22777</v>
      </c>
      <c r="C9953" s="33" t="s">
        <v>985</v>
      </c>
      <c r="D9953" s="33" t="s">
        <v>17</v>
      </c>
      <c r="E9953" s="33" t="s">
        <v>26</v>
      </c>
      <c r="F9953" s="33" t="s">
        <v>27</v>
      </c>
      <c r="G9953" s="33" t="s">
        <v>20</v>
      </c>
      <c r="H9953" s="35">
        <v>36</v>
      </c>
      <c r="I9953" s="33" t="s">
        <v>21</v>
      </c>
      <c r="J9953" s="42">
        <v>44851</v>
      </c>
      <c r="K9953" s="33" t="s">
        <v>22</v>
      </c>
    </row>
    <row r="9954" spans="1:11">
      <c r="A9954" s="30" t="s">
        <v>22778</v>
      </c>
      <c r="B9954" s="30" t="s">
        <v>22779</v>
      </c>
      <c r="C9954" s="30" t="s">
        <v>5158</v>
      </c>
      <c r="D9954" s="30" t="s">
        <v>17</v>
      </c>
      <c r="E9954" s="30" t="s">
        <v>26</v>
      </c>
      <c r="F9954" s="30" t="s">
        <v>27</v>
      </c>
      <c r="G9954" s="30" t="s">
        <v>158</v>
      </c>
      <c r="H9954" s="32">
        <v>157</v>
      </c>
      <c r="I9954" s="30" t="s">
        <v>51</v>
      </c>
      <c r="J9954" s="41">
        <v>44776</v>
      </c>
      <c r="K9954" s="30" t="s">
        <v>22</v>
      </c>
    </row>
    <row r="9955" spans="1:11">
      <c r="A9955" s="33" t="s">
        <v>22780</v>
      </c>
      <c r="B9955" s="33" t="s">
        <v>22781</v>
      </c>
      <c r="C9955" s="33" t="s">
        <v>14816</v>
      </c>
      <c r="D9955" s="33" t="s">
        <v>17</v>
      </c>
      <c r="E9955" s="33" t="s">
        <v>26</v>
      </c>
      <c r="F9955" s="33" t="s">
        <v>27</v>
      </c>
      <c r="G9955" s="33" t="s">
        <v>50</v>
      </c>
      <c r="H9955" s="35">
        <v>106</v>
      </c>
      <c r="I9955" s="33" t="s">
        <v>51</v>
      </c>
      <c r="J9955" s="42">
        <v>44682</v>
      </c>
      <c r="K9955" s="33" t="s">
        <v>22</v>
      </c>
    </row>
    <row r="9956" spans="1:11">
      <c r="A9956" s="30" t="s">
        <v>22782</v>
      </c>
      <c r="B9956" s="30" t="s">
        <v>22783</v>
      </c>
      <c r="C9956" s="30" t="s">
        <v>17629</v>
      </c>
      <c r="D9956" s="30" t="s">
        <v>17</v>
      </c>
      <c r="E9956" s="30" t="s">
        <v>26</v>
      </c>
      <c r="F9956" s="30" t="s">
        <v>27</v>
      </c>
      <c r="G9956" s="30" t="s">
        <v>112</v>
      </c>
      <c r="H9956" s="32">
        <v>0</v>
      </c>
      <c r="I9956" s="30" t="s">
        <v>21</v>
      </c>
      <c r="J9956" s="41">
        <v>44713</v>
      </c>
      <c r="K9956" s="30" t="s">
        <v>22</v>
      </c>
    </row>
    <row r="9957" spans="1:11">
      <c r="A9957" s="33" t="s">
        <v>22784</v>
      </c>
      <c r="B9957" s="33" t="s">
        <v>22785</v>
      </c>
      <c r="C9957" s="33" t="s">
        <v>44</v>
      </c>
      <c r="D9957" s="33" t="s">
        <v>17</v>
      </c>
      <c r="E9957" s="33" t="s">
        <v>67</v>
      </c>
      <c r="F9957" s="33" t="s">
        <v>68</v>
      </c>
      <c r="G9957" s="33" t="s">
        <v>158</v>
      </c>
      <c r="H9957" s="35">
        <v>43</v>
      </c>
      <c r="I9957" s="33" t="s">
        <v>21</v>
      </c>
      <c r="J9957" s="42">
        <v>44775</v>
      </c>
      <c r="K9957" s="33" t="s">
        <v>22</v>
      </c>
    </row>
    <row r="9958" spans="1:11">
      <c r="A9958" s="30" t="s">
        <v>22786</v>
      </c>
      <c r="B9958" s="30" t="s">
        <v>22787</v>
      </c>
      <c r="C9958" s="30" t="s">
        <v>6300</v>
      </c>
      <c r="D9958" s="30" t="s">
        <v>17</v>
      </c>
      <c r="E9958" s="30" t="s">
        <v>67</v>
      </c>
      <c r="F9958" s="30" t="s">
        <v>68</v>
      </c>
      <c r="G9958" s="30" t="s">
        <v>106</v>
      </c>
      <c r="H9958" s="32">
        <v>20</v>
      </c>
      <c r="I9958" s="30" t="s">
        <v>21</v>
      </c>
      <c r="J9958" s="41">
        <v>44705</v>
      </c>
      <c r="K9958" s="30" t="s">
        <v>22</v>
      </c>
    </row>
    <row r="9959" spans="1:11">
      <c r="A9959" s="33" t="s">
        <v>22788</v>
      </c>
      <c r="B9959" s="33" t="s">
        <v>22789</v>
      </c>
      <c r="C9959" s="33" t="s">
        <v>102</v>
      </c>
      <c r="D9959" s="33" t="s">
        <v>17</v>
      </c>
      <c r="E9959" s="33" t="s">
        <v>26</v>
      </c>
      <c r="F9959" s="33" t="s">
        <v>27</v>
      </c>
      <c r="G9959" s="33" t="s">
        <v>20</v>
      </c>
      <c r="H9959" s="35">
        <v>31</v>
      </c>
      <c r="I9959" s="33" t="s">
        <v>21</v>
      </c>
      <c r="J9959" s="42">
        <v>44705</v>
      </c>
      <c r="K9959" s="33" t="s">
        <v>22</v>
      </c>
    </row>
    <row r="9960" spans="1:11">
      <c r="A9960" s="30" t="s">
        <v>22790</v>
      </c>
      <c r="B9960" s="30" t="s">
        <v>22791</v>
      </c>
      <c r="C9960" s="30" t="s">
        <v>12576</v>
      </c>
      <c r="D9960" s="30" t="s">
        <v>17</v>
      </c>
      <c r="E9960" s="30" t="s">
        <v>31</v>
      </c>
      <c r="F9960" s="30" t="s">
        <v>32</v>
      </c>
      <c r="G9960" s="30" t="s">
        <v>158</v>
      </c>
      <c r="H9960" s="32">
        <v>48</v>
      </c>
      <c r="I9960" s="30" t="s">
        <v>21</v>
      </c>
      <c r="J9960" s="41">
        <v>44812</v>
      </c>
      <c r="K9960" s="30" t="s">
        <v>22</v>
      </c>
    </row>
    <row r="9961" spans="1:11">
      <c r="A9961" s="33" t="s">
        <v>22792</v>
      </c>
      <c r="B9961" s="33" t="s">
        <v>22793</v>
      </c>
      <c r="C9961" s="33" t="s">
        <v>22794</v>
      </c>
      <c r="D9961" s="33" t="s">
        <v>17</v>
      </c>
      <c r="E9961" s="33" t="s">
        <v>26</v>
      </c>
      <c r="F9961" s="33" t="s">
        <v>27</v>
      </c>
      <c r="G9961" s="33" t="s">
        <v>158</v>
      </c>
      <c r="H9961" s="35">
        <v>72</v>
      </c>
      <c r="I9961" s="33" t="s">
        <v>51</v>
      </c>
      <c r="J9961" s="42">
        <v>44618</v>
      </c>
      <c r="K9961" s="33" t="s">
        <v>22</v>
      </c>
    </row>
    <row r="9962" spans="1:11">
      <c r="A9962" s="30" t="s">
        <v>22795</v>
      </c>
      <c r="B9962" s="30" t="s">
        <v>22796</v>
      </c>
      <c r="C9962" s="30" t="s">
        <v>22118</v>
      </c>
      <c r="D9962" s="30" t="s">
        <v>17</v>
      </c>
      <c r="E9962" s="30" t="s">
        <v>26</v>
      </c>
      <c r="F9962" s="30" t="s">
        <v>27</v>
      </c>
      <c r="G9962" s="30" t="s">
        <v>20</v>
      </c>
      <c r="H9962" s="32">
        <v>150</v>
      </c>
      <c r="I9962" s="30" t="s">
        <v>21</v>
      </c>
      <c r="J9962" s="41">
        <v>44571</v>
      </c>
      <c r="K9962" s="30" t="s">
        <v>22</v>
      </c>
    </row>
    <row r="9963" spans="1:11">
      <c r="A9963" s="33" t="s">
        <v>22797</v>
      </c>
      <c r="B9963" s="33" t="s">
        <v>22798</v>
      </c>
      <c r="C9963" s="33" t="s">
        <v>450</v>
      </c>
      <c r="D9963" s="33" t="s">
        <v>17</v>
      </c>
      <c r="E9963" s="33" t="s">
        <v>26</v>
      </c>
      <c r="F9963" s="33" t="s">
        <v>27</v>
      </c>
      <c r="G9963" s="33" t="s">
        <v>106</v>
      </c>
      <c r="H9963" s="35">
        <v>26</v>
      </c>
      <c r="I9963" s="33" t="s">
        <v>21</v>
      </c>
      <c r="J9963" s="42">
        <v>44658</v>
      </c>
      <c r="K9963" s="33" t="s">
        <v>22</v>
      </c>
    </row>
    <row r="9964" spans="1:11">
      <c r="A9964" s="30" t="s">
        <v>22799</v>
      </c>
      <c r="B9964" s="30" t="s">
        <v>22800</v>
      </c>
      <c r="C9964" s="30" t="s">
        <v>22801</v>
      </c>
      <c r="D9964" s="30" t="s">
        <v>17</v>
      </c>
      <c r="E9964" s="30" t="s">
        <v>26</v>
      </c>
      <c r="F9964" s="30" t="s">
        <v>27</v>
      </c>
      <c r="G9964" s="30" t="s">
        <v>50</v>
      </c>
      <c r="H9964" s="32">
        <v>62</v>
      </c>
      <c r="I9964" s="30" t="s">
        <v>51</v>
      </c>
      <c r="J9964" s="41">
        <v>44593</v>
      </c>
      <c r="K9964" s="30" t="s">
        <v>22</v>
      </c>
    </row>
    <row r="9965" spans="1:11">
      <c r="A9965" s="33" t="s">
        <v>22802</v>
      </c>
      <c r="B9965" s="33" t="s">
        <v>22803</v>
      </c>
      <c r="C9965" s="33" t="s">
        <v>190</v>
      </c>
      <c r="D9965" s="33" t="s">
        <v>17</v>
      </c>
      <c r="E9965" s="33" t="s">
        <v>26</v>
      </c>
      <c r="F9965" s="33" t="s">
        <v>27</v>
      </c>
      <c r="G9965" s="33" t="s">
        <v>20</v>
      </c>
      <c r="H9965" s="35">
        <v>24</v>
      </c>
      <c r="I9965" s="33" t="s">
        <v>21</v>
      </c>
      <c r="J9965" s="42">
        <v>44655</v>
      </c>
      <c r="K9965" s="33" t="s">
        <v>22</v>
      </c>
    </row>
    <row r="9966" spans="1:11">
      <c r="A9966" s="30" t="s">
        <v>22804</v>
      </c>
      <c r="B9966" s="30" t="s">
        <v>22805</v>
      </c>
      <c r="C9966" s="30" t="s">
        <v>4267</v>
      </c>
      <c r="D9966" s="30" t="s">
        <v>17</v>
      </c>
      <c r="E9966" s="30" t="s">
        <v>26</v>
      </c>
      <c r="F9966" s="30" t="s">
        <v>27</v>
      </c>
      <c r="G9966" s="30" t="s">
        <v>112</v>
      </c>
      <c r="H9966" s="32">
        <v>0</v>
      </c>
      <c r="I9966" s="30" t="s">
        <v>21</v>
      </c>
      <c r="J9966" s="41">
        <v>44770</v>
      </c>
      <c r="K9966" s="30" t="s">
        <v>22</v>
      </c>
    </row>
    <row r="9967" spans="1:11">
      <c r="A9967" s="33" t="s">
        <v>22806</v>
      </c>
      <c r="B9967" s="33" t="s">
        <v>22807</v>
      </c>
      <c r="C9967" s="33" t="s">
        <v>136</v>
      </c>
      <c r="D9967" s="33" t="s">
        <v>17</v>
      </c>
      <c r="E9967" s="33" t="s">
        <v>26</v>
      </c>
      <c r="F9967" s="33" t="s">
        <v>27</v>
      </c>
      <c r="G9967" s="33" t="s">
        <v>20</v>
      </c>
      <c r="H9967" s="35">
        <v>15</v>
      </c>
      <c r="I9967" s="33" t="s">
        <v>21</v>
      </c>
      <c r="J9967" s="42">
        <v>44596</v>
      </c>
      <c r="K9967" s="33" t="s">
        <v>22</v>
      </c>
    </row>
    <row r="9968" spans="1:11">
      <c r="A9968" s="30" t="s">
        <v>22808</v>
      </c>
      <c r="B9968" s="30" t="s">
        <v>22809</v>
      </c>
      <c r="C9968" s="30" t="s">
        <v>22810</v>
      </c>
      <c r="D9968" s="30" t="s">
        <v>17</v>
      </c>
      <c r="E9968" s="30" t="s">
        <v>67</v>
      </c>
      <c r="F9968" s="30" t="s">
        <v>68</v>
      </c>
      <c r="G9968" s="30" t="s">
        <v>106</v>
      </c>
      <c r="H9968" s="32">
        <v>7</v>
      </c>
      <c r="I9968" s="30" t="s">
        <v>21</v>
      </c>
      <c r="J9968" s="41">
        <v>44900</v>
      </c>
      <c r="K9968" s="30" t="s">
        <v>22</v>
      </c>
    </row>
    <row r="9969" spans="1:11">
      <c r="A9969" s="33" t="s">
        <v>22811</v>
      </c>
      <c r="B9969" s="33" t="s">
        <v>22812</v>
      </c>
      <c r="C9969" s="33" t="s">
        <v>190</v>
      </c>
      <c r="D9969" s="33" t="s">
        <v>17</v>
      </c>
      <c r="E9969" s="33" t="s">
        <v>18</v>
      </c>
      <c r="F9969" s="33" t="s">
        <v>19</v>
      </c>
      <c r="G9969" s="33" t="s">
        <v>158</v>
      </c>
      <c r="H9969" s="35">
        <v>644</v>
      </c>
      <c r="I9969" s="33" t="s">
        <v>21</v>
      </c>
      <c r="J9969" s="42">
        <v>44697</v>
      </c>
      <c r="K9969" s="33" t="s">
        <v>22</v>
      </c>
    </row>
    <row r="9970" spans="1:11">
      <c r="A9970" s="30" t="s">
        <v>22813</v>
      </c>
      <c r="B9970" s="30" t="s">
        <v>22814</v>
      </c>
      <c r="C9970" s="30" t="s">
        <v>231</v>
      </c>
      <c r="D9970" s="30" t="s">
        <v>17</v>
      </c>
      <c r="E9970" s="30" t="s">
        <v>26</v>
      </c>
      <c r="F9970" s="30" t="s">
        <v>27</v>
      </c>
      <c r="G9970" s="30" t="s">
        <v>20</v>
      </c>
      <c r="H9970" s="32">
        <v>12</v>
      </c>
      <c r="I9970" s="30" t="s">
        <v>21</v>
      </c>
      <c r="J9970" s="41">
        <v>44812</v>
      </c>
      <c r="K9970" s="30" t="s">
        <v>22</v>
      </c>
    </row>
    <row r="9971" spans="1:11">
      <c r="A9971" s="33" t="s">
        <v>22815</v>
      </c>
      <c r="B9971" s="33" t="s">
        <v>22816</v>
      </c>
      <c r="C9971" s="33" t="s">
        <v>3775</v>
      </c>
      <c r="D9971" s="33" t="s">
        <v>17</v>
      </c>
      <c r="E9971" s="33" t="s">
        <v>26</v>
      </c>
      <c r="F9971" s="33" t="s">
        <v>27</v>
      </c>
      <c r="G9971" s="33" t="s">
        <v>20</v>
      </c>
      <c r="H9971" s="35">
        <v>48</v>
      </c>
      <c r="I9971" s="33" t="s">
        <v>21</v>
      </c>
      <c r="J9971" s="42">
        <v>44679</v>
      </c>
      <c r="K9971" s="33" t="s">
        <v>22</v>
      </c>
    </row>
    <row r="9972" spans="1:11">
      <c r="A9972" s="30" t="s">
        <v>22817</v>
      </c>
      <c r="B9972" s="30" t="s">
        <v>22818</v>
      </c>
      <c r="C9972" s="30" t="s">
        <v>1003</v>
      </c>
      <c r="D9972" s="30" t="s">
        <v>17</v>
      </c>
      <c r="E9972" s="30" t="s">
        <v>67</v>
      </c>
      <c r="F9972" s="30" t="s">
        <v>68</v>
      </c>
      <c r="G9972" s="30" t="s">
        <v>50</v>
      </c>
      <c r="H9972" s="32">
        <v>484</v>
      </c>
      <c r="I9972" s="30" t="s">
        <v>51</v>
      </c>
      <c r="J9972" s="41">
        <v>44729</v>
      </c>
      <c r="K9972" s="30" t="s">
        <v>22</v>
      </c>
    </row>
    <row r="9973" spans="1:11">
      <c r="A9973" s="33" t="s">
        <v>22819</v>
      </c>
      <c r="B9973" s="33" t="s">
        <v>22820</v>
      </c>
      <c r="C9973" s="33" t="s">
        <v>20116</v>
      </c>
      <c r="D9973" s="33" t="s">
        <v>17</v>
      </c>
      <c r="E9973" s="33" t="s">
        <v>330</v>
      </c>
      <c r="F9973" s="33" t="s">
        <v>331</v>
      </c>
      <c r="G9973" s="33" t="s">
        <v>20</v>
      </c>
      <c r="H9973" s="35">
        <v>111</v>
      </c>
      <c r="I9973" s="33" t="s">
        <v>21</v>
      </c>
      <c r="J9973" s="42">
        <v>44753</v>
      </c>
      <c r="K9973" s="33" t="s">
        <v>22</v>
      </c>
    </row>
    <row r="9974" spans="1:11">
      <c r="A9974" s="30" t="s">
        <v>22821</v>
      </c>
      <c r="B9974" s="30" t="s">
        <v>22822</v>
      </c>
      <c r="C9974" s="30" t="s">
        <v>20684</v>
      </c>
      <c r="D9974" s="30" t="s">
        <v>17</v>
      </c>
      <c r="E9974" s="30" t="s">
        <v>31</v>
      </c>
      <c r="F9974" s="30" t="s">
        <v>32</v>
      </c>
      <c r="G9974" s="30" t="s">
        <v>112</v>
      </c>
      <c r="H9974" s="32">
        <v>0</v>
      </c>
      <c r="I9974" s="30" t="s">
        <v>21</v>
      </c>
      <c r="J9974" s="41">
        <v>44621</v>
      </c>
      <c r="K9974" s="30" t="s">
        <v>22</v>
      </c>
    </row>
    <row r="9975" spans="1:11">
      <c r="A9975" s="33" t="s">
        <v>22823</v>
      </c>
      <c r="B9975" s="33" t="s">
        <v>22824</v>
      </c>
      <c r="C9975" s="33" t="s">
        <v>7020</v>
      </c>
      <c r="D9975" s="33" t="s">
        <v>17</v>
      </c>
      <c r="E9975" s="33" t="s">
        <v>26</v>
      </c>
      <c r="F9975" s="33" t="s">
        <v>27</v>
      </c>
      <c r="G9975" s="33" t="s">
        <v>20</v>
      </c>
      <c r="H9975" s="35">
        <v>80</v>
      </c>
      <c r="I9975" s="33" t="s">
        <v>21</v>
      </c>
      <c r="J9975" s="42">
        <v>44720</v>
      </c>
      <c r="K9975" s="33" t="s">
        <v>22</v>
      </c>
    </row>
    <row r="9976" spans="1:11">
      <c r="A9976" s="30" t="s">
        <v>22825</v>
      </c>
      <c r="B9976" s="30" t="s">
        <v>22826</v>
      </c>
      <c r="C9976" s="30" t="s">
        <v>6498</v>
      </c>
      <c r="D9976" s="30" t="s">
        <v>17</v>
      </c>
      <c r="E9976" s="30" t="s">
        <v>330</v>
      </c>
      <c r="F9976" s="30" t="s">
        <v>331</v>
      </c>
      <c r="G9976" s="30" t="s">
        <v>20</v>
      </c>
      <c r="H9976" s="32">
        <v>10</v>
      </c>
      <c r="I9976" s="30" t="s">
        <v>21</v>
      </c>
      <c r="J9976" s="41">
        <v>44743</v>
      </c>
      <c r="K9976" s="30" t="s">
        <v>22</v>
      </c>
    </row>
    <row r="9977" spans="1:11">
      <c r="A9977" s="33" t="s">
        <v>22827</v>
      </c>
      <c r="B9977" s="33" t="s">
        <v>22828</v>
      </c>
      <c r="C9977" s="33" t="s">
        <v>5084</v>
      </c>
      <c r="D9977" s="33" t="s">
        <v>17</v>
      </c>
      <c r="E9977" s="33" t="s">
        <v>26</v>
      </c>
      <c r="F9977" s="33" t="s">
        <v>27</v>
      </c>
      <c r="G9977" s="33" t="s">
        <v>50</v>
      </c>
      <c r="H9977" s="35">
        <v>139</v>
      </c>
      <c r="I9977" s="33" t="s">
        <v>51</v>
      </c>
      <c r="J9977" s="42">
        <v>44896</v>
      </c>
      <c r="K9977" s="33" t="s">
        <v>22</v>
      </c>
    </row>
    <row r="9978" spans="1:11">
      <c r="A9978" s="30" t="s">
        <v>22829</v>
      </c>
      <c r="B9978" s="30" t="s">
        <v>22830</v>
      </c>
      <c r="C9978" s="30" t="s">
        <v>13088</v>
      </c>
      <c r="D9978" s="30" t="s">
        <v>17</v>
      </c>
      <c r="E9978" s="30" t="s">
        <v>45</v>
      </c>
      <c r="F9978" s="30" t="s">
        <v>46</v>
      </c>
      <c r="G9978" s="30" t="s">
        <v>158</v>
      </c>
      <c r="H9978" s="32">
        <v>71</v>
      </c>
      <c r="I9978" s="30" t="s">
        <v>21</v>
      </c>
      <c r="J9978" s="41">
        <v>44740</v>
      </c>
      <c r="K9978" s="30" t="s">
        <v>22</v>
      </c>
    </row>
    <row r="9979" spans="1:11">
      <c r="A9979" s="33" t="s">
        <v>22831</v>
      </c>
      <c r="B9979" s="33" t="s">
        <v>22832</v>
      </c>
      <c r="C9979" s="33" t="s">
        <v>149</v>
      </c>
      <c r="D9979" s="33" t="s">
        <v>17</v>
      </c>
      <c r="E9979" s="33" t="s">
        <v>26</v>
      </c>
      <c r="F9979" s="33" t="s">
        <v>27</v>
      </c>
      <c r="G9979" s="33" t="s">
        <v>20</v>
      </c>
      <c r="H9979" s="35">
        <v>24</v>
      </c>
      <c r="I9979" s="33" t="s">
        <v>21</v>
      </c>
      <c r="J9979" s="42">
        <v>44693</v>
      </c>
      <c r="K9979" s="33" t="s">
        <v>22</v>
      </c>
    </row>
    <row r="9980" spans="1:11">
      <c r="A9980" s="30" t="s">
        <v>22833</v>
      </c>
      <c r="B9980" s="30" t="s">
        <v>22834</v>
      </c>
      <c r="C9980" s="30" t="s">
        <v>17647</v>
      </c>
      <c r="D9980" s="30" t="s">
        <v>17</v>
      </c>
      <c r="E9980" s="30" t="s">
        <v>31</v>
      </c>
      <c r="F9980" s="30" t="s">
        <v>32</v>
      </c>
      <c r="G9980" s="30" t="s">
        <v>20</v>
      </c>
      <c r="H9980" s="32">
        <v>290</v>
      </c>
      <c r="I9980" s="30" t="s">
        <v>21</v>
      </c>
      <c r="J9980" s="41">
        <v>44652</v>
      </c>
      <c r="K9980" s="30" t="s">
        <v>22</v>
      </c>
    </row>
    <row r="9981" spans="1:11">
      <c r="A9981" s="33" t="s">
        <v>22835</v>
      </c>
      <c r="B9981" s="33" t="s">
        <v>22836</v>
      </c>
      <c r="C9981" s="33" t="s">
        <v>22837</v>
      </c>
      <c r="D9981" s="33" t="s">
        <v>17</v>
      </c>
      <c r="E9981" s="33" t="s">
        <v>26</v>
      </c>
      <c r="F9981" s="33" t="s">
        <v>27</v>
      </c>
      <c r="G9981" s="33" t="s">
        <v>20</v>
      </c>
      <c r="H9981" s="35">
        <v>32</v>
      </c>
      <c r="I9981" s="33" t="s">
        <v>21</v>
      </c>
      <c r="J9981" s="42">
        <v>44806</v>
      </c>
      <c r="K9981" s="33" t="s">
        <v>22</v>
      </c>
    </row>
    <row r="9982" spans="1:11">
      <c r="A9982" s="30" t="s">
        <v>22838</v>
      </c>
      <c r="B9982" s="30" t="s">
        <v>22839</v>
      </c>
      <c r="C9982" s="30" t="s">
        <v>2490</v>
      </c>
      <c r="D9982" s="30" t="s">
        <v>17</v>
      </c>
      <c r="E9982" s="30" t="s">
        <v>26</v>
      </c>
      <c r="F9982" s="30" t="s">
        <v>27</v>
      </c>
      <c r="G9982" s="30" t="s">
        <v>20</v>
      </c>
      <c r="H9982" s="32">
        <v>104</v>
      </c>
      <c r="I9982" s="30" t="s">
        <v>21</v>
      </c>
      <c r="J9982" s="41">
        <v>44617</v>
      </c>
      <c r="K9982" s="30" t="s">
        <v>22</v>
      </c>
    </row>
    <row r="9983" spans="1:11">
      <c r="A9983" s="33" t="s">
        <v>22840</v>
      </c>
      <c r="B9983" s="33" t="s">
        <v>22841</v>
      </c>
      <c r="C9983" s="33" t="s">
        <v>222</v>
      </c>
      <c r="D9983" s="33" t="s">
        <v>17</v>
      </c>
      <c r="E9983" s="33" t="s">
        <v>31</v>
      </c>
      <c r="F9983" s="33" t="s">
        <v>32</v>
      </c>
      <c r="G9983" s="33" t="s">
        <v>20</v>
      </c>
      <c r="H9983" s="35">
        <v>342</v>
      </c>
      <c r="I9983" s="33" t="s">
        <v>21</v>
      </c>
      <c r="J9983" s="42">
        <v>44847</v>
      </c>
      <c r="K9983" s="33" t="s">
        <v>22</v>
      </c>
    </row>
    <row r="9984" spans="1:11">
      <c r="A9984" s="30" t="s">
        <v>22842</v>
      </c>
      <c r="B9984" s="30" t="s">
        <v>22843</v>
      </c>
      <c r="C9984" s="30" t="s">
        <v>1383</v>
      </c>
      <c r="D9984" s="30" t="s">
        <v>17</v>
      </c>
      <c r="E9984" s="30" t="s">
        <v>31</v>
      </c>
      <c r="F9984" s="30" t="s">
        <v>32</v>
      </c>
      <c r="G9984" s="30" t="s">
        <v>106</v>
      </c>
      <c r="H9984" s="32">
        <v>41</v>
      </c>
      <c r="I9984" s="30" t="s">
        <v>21</v>
      </c>
      <c r="J9984" s="41">
        <v>44733</v>
      </c>
      <c r="K9984" s="30" t="s">
        <v>22</v>
      </c>
    </row>
    <row r="9985" spans="1:11">
      <c r="A9985" s="33" t="s">
        <v>22844</v>
      </c>
      <c r="B9985" s="33" t="s">
        <v>22845</v>
      </c>
      <c r="C9985" s="33" t="s">
        <v>22846</v>
      </c>
      <c r="D9985" s="33" t="s">
        <v>17</v>
      </c>
      <c r="E9985" s="33" t="s">
        <v>26</v>
      </c>
      <c r="F9985" s="33" t="s">
        <v>27</v>
      </c>
      <c r="G9985" s="33" t="s">
        <v>20</v>
      </c>
      <c r="H9985" s="35">
        <v>40</v>
      </c>
      <c r="I9985" s="33" t="s">
        <v>21</v>
      </c>
      <c r="J9985" s="42">
        <v>44732</v>
      </c>
      <c r="K9985" s="33" t="s">
        <v>22</v>
      </c>
    </row>
    <row r="9986" spans="1:11">
      <c r="A9986" s="30" t="s">
        <v>22847</v>
      </c>
      <c r="B9986" s="30" t="s">
        <v>22848</v>
      </c>
      <c r="C9986" s="30" t="s">
        <v>10300</v>
      </c>
      <c r="D9986" s="30" t="s">
        <v>17</v>
      </c>
      <c r="E9986" s="30" t="s">
        <v>18</v>
      </c>
      <c r="F9986" s="30" t="s">
        <v>19</v>
      </c>
      <c r="G9986" s="30" t="s">
        <v>20</v>
      </c>
      <c r="H9986" s="32">
        <v>240</v>
      </c>
      <c r="I9986" s="30" t="s">
        <v>21</v>
      </c>
      <c r="J9986" s="41">
        <v>44761</v>
      </c>
      <c r="K9986" s="30" t="s">
        <v>22</v>
      </c>
    </row>
    <row r="9987" spans="1:11">
      <c r="A9987" s="33" t="s">
        <v>22849</v>
      </c>
      <c r="B9987" s="33" t="s">
        <v>22850</v>
      </c>
      <c r="C9987" s="33" t="s">
        <v>603</v>
      </c>
      <c r="D9987" s="33" t="s">
        <v>17</v>
      </c>
      <c r="E9987" s="33" t="s">
        <v>26</v>
      </c>
      <c r="F9987" s="33" t="s">
        <v>27</v>
      </c>
      <c r="G9987" s="33" t="s">
        <v>20</v>
      </c>
      <c r="H9987" s="35">
        <v>29</v>
      </c>
      <c r="I9987" s="33" t="s">
        <v>21</v>
      </c>
      <c r="J9987" s="42">
        <v>44844</v>
      </c>
      <c r="K9987" s="33" t="s">
        <v>22</v>
      </c>
    </row>
    <row r="9988" spans="1:11">
      <c r="A9988" s="30" t="s">
        <v>22851</v>
      </c>
      <c r="B9988" s="30" t="s">
        <v>22852</v>
      </c>
      <c r="C9988" s="30" t="s">
        <v>6097</v>
      </c>
      <c r="D9988" s="30" t="s">
        <v>17</v>
      </c>
      <c r="E9988" s="30" t="s">
        <v>67</v>
      </c>
      <c r="F9988" s="30" t="s">
        <v>68</v>
      </c>
      <c r="G9988" s="30" t="s">
        <v>140</v>
      </c>
      <c r="H9988" s="32">
        <v>70</v>
      </c>
      <c r="I9988" s="30" t="s">
        <v>51</v>
      </c>
      <c r="J9988" s="41">
        <v>44721</v>
      </c>
      <c r="K9988" s="30" t="s">
        <v>22</v>
      </c>
    </row>
    <row r="9989" spans="1:11">
      <c r="A9989" s="33" t="s">
        <v>22853</v>
      </c>
      <c r="B9989" s="33" t="s">
        <v>22854</v>
      </c>
      <c r="C9989" s="33" t="s">
        <v>969</v>
      </c>
      <c r="D9989" s="33" t="s">
        <v>17</v>
      </c>
      <c r="E9989" s="33" t="s">
        <v>26</v>
      </c>
      <c r="F9989" s="33" t="s">
        <v>27</v>
      </c>
      <c r="G9989" s="33" t="s">
        <v>20</v>
      </c>
      <c r="H9989" s="35">
        <v>48</v>
      </c>
      <c r="I9989" s="33" t="s">
        <v>21</v>
      </c>
      <c r="J9989" s="42">
        <v>44721</v>
      </c>
      <c r="K9989" s="33" t="s">
        <v>22</v>
      </c>
    </row>
    <row r="9990" spans="1:11">
      <c r="A9990" s="30" t="s">
        <v>22855</v>
      </c>
      <c r="B9990" s="30" t="s">
        <v>22856</v>
      </c>
      <c r="C9990" s="30" t="s">
        <v>8543</v>
      </c>
      <c r="D9990" s="30" t="s">
        <v>17</v>
      </c>
      <c r="E9990" s="30" t="s">
        <v>26</v>
      </c>
      <c r="F9990" s="30" t="s">
        <v>27</v>
      </c>
      <c r="G9990" s="30" t="s">
        <v>20</v>
      </c>
      <c r="H9990" s="32">
        <v>30</v>
      </c>
      <c r="I9990" s="30" t="s">
        <v>21</v>
      </c>
      <c r="J9990" s="41">
        <v>44893</v>
      </c>
      <c r="K9990" s="30" t="s">
        <v>22</v>
      </c>
    </row>
    <row r="9991" spans="1:11">
      <c r="A9991" s="33" t="s">
        <v>22857</v>
      </c>
      <c r="B9991" s="33" t="s">
        <v>22858</v>
      </c>
      <c r="C9991" s="33" t="s">
        <v>231</v>
      </c>
      <c r="D9991" s="33" t="s">
        <v>17</v>
      </c>
      <c r="E9991" s="33" t="s">
        <v>26</v>
      </c>
      <c r="F9991" s="33" t="s">
        <v>27</v>
      </c>
      <c r="G9991" s="33" t="s">
        <v>20</v>
      </c>
      <c r="H9991" s="35">
        <v>94</v>
      </c>
      <c r="I9991" s="33" t="s">
        <v>21</v>
      </c>
      <c r="J9991" s="42">
        <v>44831</v>
      </c>
      <c r="K9991" s="33" t="s">
        <v>22</v>
      </c>
    </row>
    <row r="9992" spans="1:11">
      <c r="A9992" s="30" t="s">
        <v>22859</v>
      </c>
      <c r="B9992" s="30" t="s">
        <v>22860</v>
      </c>
      <c r="C9992" s="30" t="s">
        <v>1908</v>
      </c>
      <c r="D9992" s="30" t="s">
        <v>17</v>
      </c>
      <c r="E9992" s="30" t="s">
        <v>31</v>
      </c>
      <c r="F9992" s="30" t="s">
        <v>32</v>
      </c>
      <c r="G9992" s="30" t="s">
        <v>20</v>
      </c>
      <c r="H9992" s="32">
        <v>84</v>
      </c>
      <c r="I9992" s="30" t="s">
        <v>21</v>
      </c>
      <c r="J9992" s="41">
        <v>44774</v>
      </c>
      <c r="K9992" s="30" t="s">
        <v>22</v>
      </c>
    </row>
    <row r="9993" spans="1:11">
      <c r="A9993" s="33" t="s">
        <v>22861</v>
      </c>
      <c r="B9993" s="33" t="s">
        <v>22862</v>
      </c>
      <c r="C9993" s="33" t="s">
        <v>969</v>
      </c>
      <c r="D9993" s="33" t="s">
        <v>17</v>
      </c>
      <c r="E9993" s="33" t="s">
        <v>26</v>
      </c>
      <c r="F9993" s="33" t="s">
        <v>27</v>
      </c>
      <c r="G9993" s="33" t="s">
        <v>112</v>
      </c>
      <c r="H9993" s="35">
        <v>0</v>
      </c>
      <c r="I9993" s="33" t="s">
        <v>21</v>
      </c>
      <c r="J9993" s="42">
        <v>44672</v>
      </c>
      <c r="K9993" s="33" t="s">
        <v>22</v>
      </c>
    </row>
    <row r="9994" spans="1:11">
      <c r="A9994" s="30" t="s">
        <v>22863</v>
      </c>
      <c r="B9994" s="30" t="s">
        <v>22864</v>
      </c>
      <c r="C9994" s="30" t="s">
        <v>75</v>
      </c>
      <c r="D9994" s="30" t="s">
        <v>17</v>
      </c>
      <c r="E9994" s="30" t="s">
        <v>31</v>
      </c>
      <c r="F9994" s="30" t="s">
        <v>32</v>
      </c>
      <c r="G9994" s="30" t="s">
        <v>20</v>
      </c>
      <c r="H9994" s="32">
        <v>58</v>
      </c>
      <c r="I9994" s="30" t="s">
        <v>21</v>
      </c>
      <c r="J9994" s="41">
        <v>44645</v>
      </c>
      <c r="K9994" s="30" t="s">
        <v>22</v>
      </c>
    </row>
    <row r="9995" spans="1:11">
      <c r="A9995" s="33" t="s">
        <v>22865</v>
      </c>
      <c r="B9995" s="33" t="s">
        <v>22866</v>
      </c>
      <c r="C9995" s="33" t="s">
        <v>20851</v>
      </c>
      <c r="D9995" s="33" t="s">
        <v>17</v>
      </c>
      <c r="E9995" s="33" t="s">
        <v>26</v>
      </c>
      <c r="F9995" s="33" t="s">
        <v>27</v>
      </c>
      <c r="G9995" s="33" t="s">
        <v>20</v>
      </c>
      <c r="H9995" s="35">
        <v>190</v>
      </c>
      <c r="I9995" s="33" t="s">
        <v>21</v>
      </c>
      <c r="J9995" s="42">
        <v>44629</v>
      </c>
      <c r="K9995" s="33" t="s">
        <v>22</v>
      </c>
    </row>
    <row r="9996" spans="1:11">
      <c r="A9996" s="30" t="s">
        <v>22867</v>
      </c>
      <c r="B9996" s="30" t="s">
        <v>22868</v>
      </c>
      <c r="C9996" s="30" t="s">
        <v>5032</v>
      </c>
      <c r="D9996" s="30" t="s">
        <v>17</v>
      </c>
      <c r="E9996" s="30" t="s">
        <v>26</v>
      </c>
      <c r="F9996" s="30" t="s">
        <v>27</v>
      </c>
      <c r="G9996" s="30" t="s">
        <v>140</v>
      </c>
      <c r="H9996" s="32">
        <v>55</v>
      </c>
      <c r="I9996" s="30" t="s">
        <v>51</v>
      </c>
      <c r="J9996" s="41">
        <v>44830</v>
      </c>
      <c r="K9996" s="30" t="s">
        <v>22</v>
      </c>
    </row>
    <row r="9997" spans="1:11">
      <c r="A9997" s="33" t="s">
        <v>22869</v>
      </c>
      <c r="B9997" s="33" t="s">
        <v>22870</v>
      </c>
      <c r="C9997" s="33" t="s">
        <v>22871</v>
      </c>
      <c r="D9997" s="33" t="s">
        <v>17</v>
      </c>
      <c r="E9997" s="33" t="s">
        <v>26</v>
      </c>
      <c r="F9997" s="33" t="s">
        <v>27</v>
      </c>
      <c r="G9997" s="33" t="s">
        <v>50</v>
      </c>
      <c r="H9997" s="35">
        <v>16</v>
      </c>
      <c r="I9997" s="33" t="s">
        <v>51</v>
      </c>
      <c r="J9997" s="42">
        <v>44835</v>
      </c>
      <c r="K9997" s="33" t="s">
        <v>22</v>
      </c>
    </row>
    <row r="9998" spans="1:11">
      <c r="A9998" s="30" t="s">
        <v>22872</v>
      </c>
      <c r="B9998" s="30" t="s">
        <v>22873</v>
      </c>
      <c r="C9998" s="30" t="s">
        <v>203</v>
      </c>
      <c r="D9998" s="30" t="s">
        <v>17</v>
      </c>
      <c r="E9998" s="30" t="s">
        <v>18</v>
      </c>
      <c r="F9998" s="30" t="s">
        <v>19</v>
      </c>
      <c r="G9998" s="30" t="s">
        <v>20</v>
      </c>
      <c r="H9998" s="32">
        <v>51</v>
      </c>
      <c r="I9998" s="30" t="s">
        <v>21</v>
      </c>
      <c r="J9998" s="41">
        <v>44886</v>
      </c>
      <c r="K9998" s="30" t="s">
        <v>22</v>
      </c>
    </row>
    <row r="9999" spans="1:11">
      <c r="A9999" s="33" t="s">
        <v>22874</v>
      </c>
      <c r="B9999" s="33" t="s">
        <v>22875</v>
      </c>
      <c r="C9999" s="33" t="s">
        <v>5053</v>
      </c>
      <c r="D9999" s="33" t="s">
        <v>17</v>
      </c>
      <c r="E9999" s="33" t="s">
        <v>18</v>
      </c>
      <c r="F9999" s="33" t="s">
        <v>19</v>
      </c>
      <c r="G9999" s="33" t="s">
        <v>106</v>
      </c>
      <c r="H9999" s="35">
        <v>1081</v>
      </c>
      <c r="I9999" s="33" t="s">
        <v>21</v>
      </c>
      <c r="J9999" s="42">
        <v>44872</v>
      </c>
      <c r="K9999" s="33" t="s">
        <v>22</v>
      </c>
    </row>
    <row r="10000" spans="1:11">
      <c r="A10000" s="30" t="s">
        <v>22876</v>
      </c>
      <c r="B10000" s="30" t="s">
        <v>22877</v>
      </c>
      <c r="C10000" s="30" t="s">
        <v>11847</v>
      </c>
      <c r="D10000" s="30" t="s">
        <v>17</v>
      </c>
      <c r="E10000" s="30" t="s">
        <v>26</v>
      </c>
      <c r="F10000" s="30" t="s">
        <v>27</v>
      </c>
      <c r="G10000" s="30" t="s">
        <v>20</v>
      </c>
      <c r="H10000" s="32">
        <v>24</v>
      </c>
      <c r="I10000" s="30" t="s">
        <v>21</v>
      </c>
      <c r="J10000" s="41">
        <v>44722</v>
      </c>
      <c r="K10000" s="30" t="s">
        <v>22</v>
      </c>
    </row>
    <row r="10001" spans="1:11">
      <c r="A10001" s="33" t="s">
        <v>22878</v>
      </c>
      <c r="B10001" s="33" t="s">
        <v>22879</v>
      </c>
      <c r="C10001" s="33" t="s">
        <v>504</v>
      </c>
      <c r="D10001" s="33" t="s">
        <v>17</v>
      </c>
      <c r="E10001" s="33" t="s">
        <v>26</v>
      </c>
      <c r="F10001" s="33" t="s">
        <v>27</v>
      </c>
      <c r="G10001" s="33" t="s">
        <v>140</v>
      </c>
      <c r="H10001" s="35">
        <v>70</v>
      </c>
      <c r="I10001" s="33" t="s">
        <v>51</v>
      </c>
      <c r="J10001" s="42">
        <v>44739</v>
      </c>
      <c r="K10001" s="33" t="s">
        <v>22</v>
      </c>
    </row>
    <row r="10002" spans="1:11">
      <c r="A10002" s="30" t="s">
        <v>22880</v>
      </c>
      <c r="B10002" s="30" t="s">
        <v>22881</v>
      </c>
      <c r="C10002" s="30" t="s">
        <v>178</v>
      </c>
      <c r="D10002" s="30" t="s">
        <v>17</v>
      </c>
      <c r="E10002" s="30" t="s">
        <v>67</v>
      </c>
      <c r="F10002" s="30" t="s">
        <v>68</v>
      </c>
      <c r="G10002" s="30" t="s">
        <v>106</v>
      </c>
      <c r="H10002" s="32">
        <v>8</v>
      </c>
      <c r="I10002" s="30" t="s">
        <v>21</v>
      </c>
      <c r="J10002" s="41">
        <v>44691</v>
      </c>
      <c r="K10002" s="30" t="s">
        <v>22</v>
      </c>
    </row>
    <row r="10003" spans="1:11">
      <c r="A10003" s="33" t="s">
        <v>22882</v>
      </c>
      <c r="B10003" s="33" t="s">
        <v>22883</v>
      </c>
      <c r="C10003" s="33" t="s">
        <v>787</v>
      </c>
      <c r="D10003" s="33" t="s">
        <v>17</v>
      </c>
      <c r="E10003" s="33" t="s">
        <v>67</v>
      </c>
      <c r="F10003" s="33" t="s">
        <v>68</v>
      </c>
      <c r="G10003" s="33" t="s">
        <v>140</v>
      </c>
      <c r="H10003" s="35">
        <v>70</v>
      </c>
      <c r="I10003" s="33" t="s">
        <v>51</v>
      </c>
      <c r="J10003" s="42">
        <v>44922</v>
      </c>
      <c r="K10003" s="33" t="s">
        <v>22</v>
      </c>
    </row>
    <row r="10004" spans="1:11">
      <c r="A10004" s="30" t="s">
        <v>22884</v>
      </c>
      <c r="B10004" s="30" t="s">
        <v>22885</v>
      </c>
      <c r="C10004" s="30" t="s">
        <v>22886</v>
      </c>
      <c r="D10004" s="30" t="s">
        <v>17</v>
      </c>
      <c r="E10004" s="30" t="s">
        <v>26</v>
      </c>
      <c r="F10004" s="30" t="s">
        <v>27</v>
      </c>
      <c r="G10004" s="30" t="s">
        <v>20</v>
      </c>
      <c r="H10004" s="32">
        <v>62</v>
      </c>
      <c r="I10004" s="30" t="s">
        <v>21</v>
      </c>
      <c r="J10004" s="41">
        <v>44806</v>
      </c>
      <c r="K10004" s="30" t="s">
        <v>22</v>
      </c>
    </row>
    <row r="10005" spans="1:11">
      <c r="A10005" s="33" t="s">
        <v>22887</v>
      </c>
      <c r="B10005" s="33" t="s">
        <v>22888</v>
      </c>
      <c r="C10005" s="33" t="s">
        <v>22889</v>
      </c>
      <c r="D10005" s="33" t="s">
        <v>17</v>
      </c>
      <c r="E10005" s="33" t="s">
        <v>26</v>
      </c>
      <c r="F10005" s="33" t="s">
        <v>27</v>
      </c>
      <c r="G10005" s="33" t="s">
        <v>20</v>
      </c>
      <c r="H10005" s="35">
        <v>48</v>
      </c>
      <c r="I10005" s="33" t="s">
        <v>21</v>
      </c>
      <c r="J10005" s="42">
        <v>44620</v>
      </c>
      <c r="K10005" s="33" t="s">
        <v>22</v>
      </c>
    </row>
    <row r="10006" spans="1:11">
      <c r="A10006" s="30" t="s">
        <v>22890</v>
      </c>
      <c r="B10006" s="30" t="s">
        <v>22891</v>
      </c>
      <c r="C10006" s="30" t="s">
        <v>22892</v>
      </c>
      <c r="D10006" s="30" t="s">
        <v>17</v>
      </c>
      <c r="E10006" s="30" t="s">
        <v>26</v>
      </c>
      <c r="F10006" s="30" t="s">
        <v>27</v>
      </c>
      <c r="G10006" s="30" t="s">
        <v>20</v>
      </c>
      <c r="H10006" s="32">
        <v>48</v>
      </c>
      <c r="I10006" s="30" t="s">
        <v>21</v>
      </c>
      <c r="J10006" s="41">
        <v>44585</v>
      </c>
      <c r="K10006" s="30" t="s">
        <v>22</v>
      </c>
    </row>
    <row r="10007" spans="1:11">
      <c r="A10007" s="33" t="s">
        <v>22893</v>
      </c>
      <c r="B10007" s="33" t="s">
        <v>22894</v>
      </c>
      <c r="C10007" s="33" t="s">
        <v>93</v>
      </c>
      <c r="D10007" s="33" t="s">
        <v>17</v>
      </c>
      <c r="E10007" s="33" t="s">
        <v>31</v>
      </c>
      <c r="F10007" s="33" t="s">
        <v>32</v>
      </c>
      <c r="G10007" s="33" t="s">
        <v>106</v>
      </c>
      <c r="H10007" s="35">
        <v>176</v>
      </c>
      <c r="I10007" s="33" t="s">
        <v>21</v>
      </c>
      <c r="J10007" s="42">
        <v>44592</v>
      </c>
      <c r="K10007" s="33" t="s">
        <v>22</v>
      </c>
    </row>
    <row r="10008" spans="1:11">
      <c r="A10008" s="30" t="s">
        <v>22895</v>
      </c>
      <c r="B10008" s="30" t="s">
        <v>22896</v>
      </c>
      <c r="C10008" s="30" t="s">
        <v>102</v>
      </c>
      <c r="D10008" s="30" t="s">
        <v>17</v>
      </c>
      <c r="E10008" s="30" t="s">
        <v>31</v>
      </c>
      <c r="F10008" s="30" t="s">
        <v>32</v>
      </c>
      <c r="G10008" s="30" t="s">
        <v>158</v>
      </c>
      <c r="H10008" s="32">
        <v>703</v>
      </c>
      <c r="I10008" s="30" t="s">
        <v>21</v>
      </c>
      <c r="J10008" s="41">
        <v>44764</v>
      </c>
      <c r="K10008" s="30" t="s">
        <v>22</v>
      </c>
    </row>
    <row r="10009" spans="1:11">
      <c r="A10009" s="33" t="s">
        <v>22897</v>
      </c>
      <c r="B10009" s="33" t="s">
        <v>22898</v>
      </c>
      <c r="C10009" s="33" t="s">
        <v>22899</v>
      </c>
      <c r="D10009" s="33" t="s">
        <v>17</v>
      </c>
      <c r="E10009" s="33" t="s">
        <v>26</v>
      </c>
      <c r="F10009" s="33" t="s">
        <v>27</v>
      </c>
      <c r="G10009" s="33" t="s">
        <v>20</v>
      </c>
      <c r="H10009" s="35">
        <v>48</v>
      </c>
      <c r="I10009" s="33" t="s">
        <v>21</v>
      </c>
      <c r="J10009" s="42">
        <v>44753</v>
      </c>
      <c r="K10009" s="33" t="s">
        <v>22</v>
      </c>
    </row>
    <row r="10010" spans="1:11">
      <c r="A10010" s="30" t="s">
        <v>22900</v>
      </c>
      <c r="B10010" s="30" t="s">
        <v>22901</v>
      </c>
      <c r="C10010" s="30" t="s">
        <v>93</v>
      </c>
      <c r="D10010" s="30" t="s">
        <v>17</v>
      </c>
      <c r="E10010" s="30" t="s">
        <v>26</v>
      </c>
      <c r="F10010" s="30" t="s">
        <v>27</v>
      </c>
      <c r="G10010" s="30" t="s">
        <v>106</v>
      </c>
      <c r="H10010" s="32">
        <v>24</v>
      </c>
      <c r="I10010" s="30" t="s">
        <v>21</v>
      </c>
      <c r="J10010" s="41">
        <v>44767</v>
      </c>
      <c r="K10010" s="30" t="s">
        <v>22</v>
      </c>
    </row>
    <row r="10011" spans="1:11">
      <c r="A10011" s="33" t="s">
        <v>22902</v>
      </c>
      <c r="B10011" s="33" t="s">
        <v>22903</v>
      </c>
      <c r="C10011" s="33" t="s">
        <v>75</v>
      </c>
      <c r="D10011" s="33" t="s">
        <v>17</v>
      </c>
      <c r="E10011" s="33" t="s">
        <v>18</v>
      </c>
      <c r="F10011" s="33" t="s">
        <v>19</v>
      </c>
      <c r="G10011" s="33" t="s">
        <v>20</v>
      </c>
      <c r="H10011" s="35">
        <v>38</v>
      </c>
      <c r="I10011" s="33" t="s">
        <v>21</v>
      </c>
      <c r="J10011" s="42">
        <v>44792</v>
      </c>
      <c r="K10011" s="33" t="s">
        <v>22</v>
      </c>
    </row>
    <row r="10012" spans="1:11">
      <c r="A10012" s="30" t="s">
        <v>22904</v>
      </c>
      <c r="B10012" s="30" t="s">
        <v>22905</v>
      </c>
      <c r="C10012" s="30" t="s">
        <v>2472</v>
      </c>
      <c r="D10012" s="30" t="s">
        <v>17</v>
      </c>
      <c r="E10012" s="30" t="s">
        <v>31</v>
      </c>
      <c r="F10012" s="30" t="s">
        <v>32</v>
      </c>
      <c r="G10012" s="30" t="s">
        <v>20</v>
      </c>
      <c r="H10012" s="32">
        <v>172</v>
      </c>
      <c r="I10012" s="30" t="s">
        <v>21</v>
      </c>
      <c r="J10012" s="41">
        <v>44867</v>
      </c>
      <c r="K10012" s="30" t="s">
        <v>22</v>
      </c>
    </row>
    <row r="10013" spans="1:11">
      <c r="A10013" s="33" t="s">
        <v>22906</v>
      </c>
      <c r="B10013" s="33" t="s">
        <v>22907</v>
      </c>
      <c r="C10013" s="33" t="s">
        <v>2739</v>
      </c>
      <c r="D10013" s="33" t="s">
        <v>17</v>
      </c>
      <c r="E10013" s="33" t="s">
        <v>18</v>
      </c>
      <c r="F10013" s="33" t="s">
        <v>19</v>
      </c>
      <c r="G10013" s="33" t="s">
        <v>20</v>
      </c>
      <c r="H10013" s="35">
        <v>230</v>
      </c>
      <c r="I10013" s="33" t="s">
        <v>21</v>
      </c>
      <c r="J10013" s="42">
        <v>44861</v>
      </c>
      <c r="K10013" s="33" t="s">
        <v>22</v>
      </c>
    </row>
    <row r="10014" spans="1:11">
      <c r="A10014" s="30" t="s">
        <v>22908</v>
      </c>
      <c r="B10014" s="30" t="s">
        <v>22909</v>
      </c>
      <c r="C10014" s="30" t="s">
        <v>1469</v>
      </c>
      <c r="D10014" s="30" t="s">
        <v>17</v>
      </c>
      <c r="E10014" s="30" t="s">
        <v>18</v>
      </c>
      <c r="F10014" s="30" t="s">
        <v>19</v>
      </c>
      <c r="G10014" s="30" t="s">
        <v>20</v>
      </c>
      <c r="H10014" s="32">
        <v>605</v>
      </c>
      <c r="I10014" s="30" t="s">
        <v>21</v>
      </c>
      <c r="J10014" s="41">
        <v>44771</v>
      </c>
      <c r="K10014" s="30" t="s">
        <v>22</v>
      </c>
    </row>
    <row r="10015" spans="1:11">
      <c r="A10015" s="33" t="s">
        <v>22910</v>
      </c>
      <c r="B10015" s="33" t="s">
        <v>22911</v>
      </c>
      <c r="C10015" s="33" t="s">
        <v>17843</v>
      </c>
      <c r="D10015" s="33" t="s">
        <v>17</v>
      </c>
      <c r="E10015" s="33" t="s">
        <v>26</v>
      </c>
      <c r="F10015" s="33" t="s">
        <v>27</v>
      </c>
      <c r="G10015" s="33" t="s">
        <v>106</v>
      </c>
      <c r="H10015" s="35">
        <v>96</v>
      </c>
      <c r="I10015" s="33" t="s">
        <v>21</v>
      </c>
      <c r="J10015" s="42">
        <v>44578</v>
      </c>
      <c r="K10015" s="33" t="s">
        <v>22</v>
      </c>
    </row>
    <row r="10016" spans="1:11">
      <c r="A10016" s="30" t="s">
        <v>22912</v>
      </c>
      <c r="B10016" s="30" t="s">
        <v>22913</v>
      </c>
      <c r="C10016" s="30" t="s">
        <v>22914</v>
      </c>
      <c r="D10016" s="30" t="s">
        <v>17</v>
      </c>
      <c r="E10016" s="30" t="s">
        <v>212</v>
      </c>
      <c r="F10016" s="30" t="s">
        <v>213</v>
      </c>
      <c r="G10016" s="30" t="s">
        <v>20</v>
      </c>
      <c r="H10016" s="32">
        <v>250</v>
      </c>
      <c r="I10016" s="30" t="s">
        <v>21</v>
      </c>
      <c r="J10016" s="41">
        <v>44692</v>
      </c>
      <c r="K10016" s="30" t="s">
        <v>22</v>
      </c>
    </row>
    <row r="10017" spans="1:11">
      <c r="A10017" s="33" t="s">
        <v>22915</v>
      </c>
      <c r="B10017" s="33" t="s">
        <v>22916</v>
      </c>
      <c r="C10017" s="33" t="s">
        <v>11434</v>
      </c>
      <c r="D10017" s="33" t="s">
        <v>17</v>
      </c>
      <c r="E10017" s="33" t="s">
        <v>45</v>
      </c>
      <c r="F10017" s="33" t="s">
        <v>46</v>
      </c>
      <c r="G10017" s="33" t="s">
        <v>20</v>
      </c>
      <c r="H10017" s="35">
        <v>900</v>
      </c>
      <c r="I10017" s="33" t="s">
        <v>21</v>
      </c>
      <c r="J10017" s="42">
        <v>44759</v>
      </c>
      <c r="K10017" s="33" t="s">
        <v>22</v>
      </c>
    </row>
    <row r="10018" spans="1:11">
      <c r="A10018" s="30" t="s">
        <v>22917</v>
      </c>
      <c r="B10018" s="30" t="s">
        <v>22918</v>
      </c>
      <c r="C10018" s="30" t="s">
        <v>5246</v>
      </c>
      <c r="D10018" s="30" t="s">
        <v>17</v>
      </c>
      <c r="E10018" s="30" t="s">
        <v>18</v>
      </c>
      <c r="F10018" s="30" t="s">
        <v>19</v>
      </c>
      <c r="G10018" s="30" t="s">
        <v>20</v>
      </c>
      <c r="H10018" s="32">
        <v>1359</v>
      </c>
      <c r="I10018" s="30" t="s">
        <v>21</v>
      </c>
      <c r="J10018" s="41">
        <v>44877</v>
      </c>
      <c r="K10018" s="30" t="s">
        <v>22</v>
      </c>
    </row>
    <row r="10019" spans="1:11">
      <c r="A10019" s="33" t="s">
        <v>22919</v>
      </c>
      <c r="B10019" s="33" t="s">
        <v>22920</v>
      </c>
      <c r="C10019" s="33" t="s">
        <v>136</v>
      </c>
      <c r="D10019" s="33" t="s">
        <v>17</v>
      </c>
      <c r="E10019" s="33" t="s">
        <v>31</v>
      </c>
      <c r="F10019" s="33" t="s">
        <v>32</v>
      </c>
      <c r="G10019" s="33" t="s">
        <v>20</v>
      </c>
      <c r="H10019" s="35">
        <v>233</v>
      </c>
      <c r="I10019" s="33" t="s">
        <v>21</v>
      </c>
      <c r="J10019" s="42">
        <v>44889</v>
      </c>
      <c r="K10019" s="33" t="s">
        <v>22</v>
      </c>
    </row>
    <row r="10020" spans="1:11">
      <c r="A10020" s="30" t="s">
        <v>22921</v>
      </c>
      <c r="B10020" s="30" t="s">
        <v>22922</v>
      </c>
      <c r="C10020" s="30" t="s">
        <v>20707</v>
      </c>
      <c r="D10020" s="30" t="s">
        <v>17</v>
      </c>
      <c r="E10020" s="30" t="s">
        <v>26</v>
      </c>
      <c r="F10020" s="30" t="s">
        <v>27</v>
      </c>
      <c r="G10020" s="30" t="s">
        <v>20</v>
      </c>
      <c r="H10020" s="32">
        <v>77</v>
      </c>
      <c r="I10020" s="30" t="s">
        <v>21</v>
      </c>
      <c r="J10020" s="41">
        <v>44720</v>
      </c>
      <c r="K10020" s="30" t="s">
        <v>22</v>
      </c>
    </row>
    <row r="10021" spans="1:11">
      <c r="A10021" s="33" t="s">
        <v>22923</v>
      </c>
      <c r="B10021" s="33" t="s">
        <v>22924</v>
      </c>
      <c r="C10021" s="33" t="s">
        <v>96</v>
      </c>
      <c r="D10021" s="33" t="s">
        <v>17</v>
      </c>
      <c r="E10021" s="33" t="s">
        <v>18</v>
      </c>
      <c r="F10021" s="33" t="s">
        <v>19</v>
      </c>
      <c r="G10021" s="33" t="s">
        <v>20</v>
      </c>
      <c r="H10021" s="35">
        <v>541</v>
      </c>
      <c r="I10021" s="33" t="s">
        <v>21</v>
      </c>
      <c r="J10021" s="42">
        <v>44820</v>
      </c>
      <c r="K10021" s="33" t="s">
        <v>22</v>
      </c>
    </row>
    <row r="10022" spans="1:11">
      <c r="A10022" s="30" t="s">
        <v>22925</v>
      </c>
      <c r="B10022" s="30" t="s">
        <v>22926</v>
      </c>
      <c r="C10022" s="30" t="s">
        <v>1090</v>
      </c>
      <c r="D10022" s="30" t="s">
        <v>17</v>
      </c>
      <c r="E10022" s="30" t="s">
        <v>31</v>
      </c>
      <c r="F10022" s="30" t="s">
        <v>32</v>
      </c>
      <c r="G10022" s="30" t="s">
        <v>50</v>
      </c>
      <c r="H10022" s="32">
        <v>94</v>
      </c>
      <c r="I10022" s="30" t="s">
        <v>51</v>
      </c>
      <c r="J10022" s="41">
        <v>44791</v>
      </c>
      <c r="K10022" s="30" t="s">
        <v>22</v>
      </c>
    </row>
    <row r="10023" spans="1:11">
      <c r="A10023" s="33" t="s">
        <v>22927</v>
      </c>
      <c r="B10023" s="33" t="s">
        <v>22928</v>
      </c>
      <c r="C10023" s="33" t="s">
        <v>75</v>
      </c>
      <c r="D10023" s="33" t="s">
        <v>17</v>
      </c>
      <c r="E10023" s="33" t="s">
        <v>67</v>
      </c>
      <c r="F10023" s="33" t="s">
        <v>68</v>
      </c>
      <c r="G10023" s="33" t="s">
        <v>106</v>
      </c>
      <c r="H10023" s="35">
        <v>36</v>
      </c>
      <c r="I10023" s="33" t="s">
        <v>21</v>
      </c>
      <c r="J10023" s="42">
        <v>44838</v>
      </c>
      <c r="K10023" s="33" t="s">
        <v>22</v>
      </c>
    </row>
    <row r="10024" spans="1:11">
      <c r="A10024" s="30" t="s">
        <v>22929</v>
      </c>
      <c r="B10024" s="30" t="s">
        <v>22930</v>
      </c>
      <c r="C10024" s="30" t="s">
        <v>2599</v>
      </c>
      <c r="D10024" s="30" t="s">
        <v>17</v>
      </c>
      <c r="E10024" s="30" t="s">
        <v>31</v>
      </c>
      <c r="F10024" s="30" t="s">
        <v>32</v>
      </c>
      <c r="G10024" s="30" t="s">
        <v>20</v>
      </c>
      <c r="H10024" s="32">
        <v>162</v>
      </c>
      <c r="I10024" s="30" t="s">
        <v>21</v>
      </c>
      <c r="J10024" s="41">
        <v>44740</v>
      </c>
      <c r="K10024" s="30" t="s">
        <v>22</v>
      </c>
    </row>
    <row r="10025" spans="1:11">
      <c r="A10025" s="33" t="s">
        <v>22931</v>
      </c>
      <c r="B10025" s="33" t="s">
        <v>22932</v>
      </c>
      <c r="C10025" s="33" t="s">
        <v>22933</v>
      </c>
      <c r="D10025" s="33" t="s">
        <v>17</v>
      </c>
      <c r="E10025" s="33" t="s">
        <v>26</v>
      </c>
      <c r="F10025" s="33" t="s">
        <v>27</v>
      </c>
      <c r="G10025" s="33" t="s">
        <v>20</v>
      </c>
      <c r="H10025" s="35">
        <v>17</v>
      </c>
      <c r="I10025" s="33" t="s">
        <v>21</v>
      </c>
      <c r="J10025" s="42">
        <v>44844</v>
      </c>
      <c r="K10025" s="33" t="s">
        <v>22</v>
      </c>
    </row>
    <row r="10026" spans="1:11">
      <c r="A10026" s="30" t="s">
        <v>22934</v>
      </c>
      <c r="B10026" s="30" t="s">
        <v>22935</v>
      </c>
      <c r="C10026" s="30" t="s">
        <v>22936</v>
      </c>
      <c r="D10026" s="30" t="s">
        <v>17</v>
      </c>
      <c r="E10026" s="30" t="s">
        <v>31</v>
      </c>
      <c r="F10026" s="30" t="s">
        <v>32</v>
      </c>
      <c r="G10026" s="30" t="s">
        <v>106</v>
      </c>
      <c r="H10026" s="32">
        <v>3</v>
      </c>
      <c r="I10026" s="30" t="s">
        <v>21</v>
      </c>
      <c r="J10026" s="41">
        <v>44631</v>
      </c>
      <c r="K10026" s="30" t="s">
        <v>22</v>
      </c>
    </row>
    <row r="10027" spans="1:11">
      <c r="A10027" s="33" t="s">
        <v>22937</v>
      </c>
      <c r="B10027" s="33" t="s">
        <v>22938</v>
      </c>
      <c r="C10027" s="33" t="s">
        <v>310</v>
      </c>
      <c r="D10027" s="33" t="s">
        <v>17</v>
      </c>
      <c r="E10027" s="33" t="s">
        <v>26</v>
      </c>
      <c r="F10027" s="33" t="s">
        <v>27</v>
      </c>
      <c r="G10027" s="33" t="s">
        <v>20</v>
      </c>
      <c r="H10027" s="35">
        <v>152</v>
      </c>
      <c r="I10027" s="33" t="s">
        <v>21</v>
      </c>
      <c r="J10027" s="42">
        <v>44663</v>
      </c>
      <c r="K10027" s="33" t="s">
        <v>22</v>
      </c>
    </row>
    <row r="10028" spans="1:11">
      <c r="A10028" s="30" t="s">
        <v>22939</v>
      </c>
      <c r="B10028" s="30" t="s">
        <v>22940</v>
      </c>
      <c r="C10028" s="30" t="s">
        <v>21241</v>
      </c>
      <c r="D10028" s="30" t="s">
        <v>17</v>
      </c>
      <c r="E10028" s="30" t="s">
        <v>26</v>
      </c>
      <c r="F10028" s="30" t="s">
        <v>27</v>
      </c>
      <c r="G10028" s="30" t="s">
        <v>20</v>
      </c>
      <c r="H10028" s="32">
        <v>28</v>
      </c>
      <c r="I10028" s="30" t="s">
        <v>21</v>
      </c>
      <c r="J10028" s="41">
        <v>44852</v>
      </c>
      <c r="K10028" s="30" t="s">
        <v>22</v>
      </c>
    </row>
    <row r="10029" spans="1:11">
      <c r="A10029" s="33" t="s">
        <v>22941</v>
      </c>
      <c r="B10029" s="33" t="s">
        <v>22942</v>
      </c>
      <c r="C10029" s="33" t="s">
        <v>99</v>
      </c>
      <c r="D10029" s="33" t="s">
        <v>17</v>
      </c>
      <c r="E10029" s="33" t="s">
        <v>26</v>
      </c>
      <c r="F10029" s="33" t="s">
        <v>27</v>
      </c>
      <c r="G10029" s="33" t="s">
        <v>20</v>
      </c>
      <c r="H10029" s="35">
        <v>18</v>
      </c>
      <c r="I10029" s="33" t="s">
        <v>21</v>
      </c>
      <c r="J10029" s="42">
        <v>44635</v>
      </c>
      <c r="K10029" s="33" t="s">
        <v>22</v>
      </c>
    </row>
    <row r="10030" spans="1:11">
      <c r="A10030" s="30" t="s">
        <v>22943</v>
      </c>
      <c r="B10030" s="30" t="s">
        <v>22944</v>
      </c>
      <c r="C10030" s="30" t="s">
        <v>3137</v>
      </c>
      <c r="D10030" s="30" t="s">
        <v>17</v>
      </c>
      <c r="E10030" s="30" t="s">
        <v>212</v>
      </c>
      <c r="F10030" s="30" t="s">
        <v>213</v>
      </c>
      <c r="G10030" s="30" t="s">
        <v>20</v>
      </c>
      <c r="H10030" s="32">
        <v>136</v>
      </c>
      <c r="I10030" s="30" t="s">
        <v>21</v>
      </c>
      <c r="J10030" s="41">
        <v>44648</v>
      </c>
      <c r="K10030" s="30" t="s">
        <v>22</v>
      </c>
    </row>
    <row r="10031" spans="1:11">
      <c r="A10031" s="33" t="s">
        <v>22945</v>
      </c>
      <c r="B10031" s="33" t="s">
        <v>22946</v>
      </c>
      <c r="C10031" s="33" t="s">
        <v>22947</v>
      </c>
      <c r="D10031" s="33" t="s">
        <v>17</v>
      </c>
      <c r="E10031" s="33" t="s">
        <v>18</v>
      </c>
      <c r="F10031" s="33" t="s">
        <v>19</v>
      </c>
      <c r="G10031" s="33" t="s">
        <v>140</v>
      </c>
      <c r="H10031" s="35">
        <v>290</v>
      </c>
      <c r="I10031" s="33" t="s">
        <v>51</v>
      </c>
      <c r="J10031" s="42">
        <v>44692</v>
      </c>
      <c r="K10031" s="33" t="s">
        <v>22</v>
      </c>
    </row>
    <row r="10032" spans="1:11">
      <c r="A10032" s="30" t="s">
        <v>22948</v>
      </c>
      <c r="B10032" s="30" t="s">
        <v>22949</v>
      </c>
      <c r="C10032" s="30" t="s">
        <v>121</v>
      </c>
      <c r="D10032" s="30" t="s">
        <v>17</v>
      </c>
      <c r="E10032" s="30" t="s">
        <v>67</v>
      </c>
      <c r="F10032" s="30" t="s">
        <v>68</v>
      </c>
      <c r="G10032" s="30" t="s">
        <v>106</v>
      </c>
      <c r="H10032" s="32">
        <v>2</v>
      </c>
      <c r="I10032" s="30" t="s">
        <v>21</v>
      </c>
      <c r="J10032" s="41">
        <v>44600</v>
      </c>
      <c r="K10032" s="30" t="s">
        <v>22</v>
      </c>
    </row>
    <row r="10033" spans="1:11">
      <c r="A10033" s="33" t="s">
        <v>22950</v>
      </c>
      <c r="B10033" s="33" t="s">
        <v>22951</v>
      </c>
      <c r="C10033" s="33" t="s">
        <v>2684</v>
      </c>
      <c r="D10033" s="33" t="s">
        <v>17</v>
      </c>
      <c r="E10033" s="33" t="s">
        <v>26</v>
      </c>
      <c r="F10033" s="33" t="s">
        <v>27</v>
      </c>
      <c r="G10033" s="33" t="s">
        <v>20</v>
      </c>
      <c r="H10033" s="35">
        <v>16</v>
      </c>
      <c r="I10033" s="33" t="s">
        <v>21</v>
      </c>
      <c r="J10033" s="42">
        <v>44572</v>
      </c>
      <c r="K10033" s="33" t="s">
        <v>22</v>
      </c>
    </row>
    <row r="10034" spans="1:11">
      <c r="A10034" s="30" t="s">
        <v>22952</v>
      </c>
      <c r="B10034" s="30" t="s">
        <v>22953</v>
      </c>
      <c r="C10034" s="30" t="s">
        <v>96</v>
      </c>
      <c r="D10034" s="30" t="s">
        <v>17</v>
      </c>
      <c r="E10034" s="30" t="s">
        <v>26</v>
      </c>
      <c r="F10034" s="30" t="s">
        <v>27</v>
      </c>
      <c r="G10034" s="30" t="s">
        <v>112</v>
      </c>
      <c r="H10034" s="32">
        <v>0</v>
      </c>
      <c r="I10034" s="30" t="s">
        <v>21</v>
      </c>
      <c r="J10034" s="41">
        <v>44614</v>
      </c>
      <c r="K10034" s="30" t="s">
        <v>22</v>
      </c>
    </row>
    <row r="10035" spans="1:11">
      <c r="A10035" s="33" t="s">
        <v>22954</v>
      </c>
      <c r="B10035" s="33" t="s">
        <v>22955</v>
      </c>
      <c r="C10035" s="33" t="s">
        <v>22956</v>
      </c>
      <c r="D10035" s="33" t="s">
        <v>17</v>
      </c>
      <c r="E10035" s="33" t="s">
        <v>26</v>
      </c>
      <c r="F10035" s="33" t="s">
        <v>27</v>
      </c>
      <c r="G10035" s="33" t="s">
        <v>140</v>
      </c>
      <c r="H10035" s="35">
        <v>34</v>
      </c>
      <c r="I10035" s="33" t="s">
        <v>51</v>
      </c>
      <c r="J10035" s="42">
        <v>44735</v>
      </c>
      <c r="K10035" s="33" t="s">
        <v>22</v>
      </c>
    </row>
    <row r="10036" spans="1:11">
      <c r="A10036" s="30" t="s">
        <v>22957</v>
      </c>
      <c r="B10036" s="30" t="s">
        <v>22958</v>
      </c>
      <c r="C10036" s="30" t="s">
        <v>4596</v>
      </c>
      <c r="D10036" s="30" t="s">
        <v>17</v>
      </c>
      <c r="E10036" s="30" t="s">
        <v>18</v>
      </c>
      <c r="F10036" s="30" t="s">
        <v>19</v>
      </c>
      <c r="G10036" s="30" t="s">
        <v>20</v>
      </c>
      <c r="H10036" s="32">
        <v>271</v>
      </c>
      <c r="I10036" s="30" t="s">
        <v>21</v>
      </c>
      <c r="J10036" s="41">
        <v>44747</v>
      </c>
      <c r="K10036" s="30" t="s">
        <v>22</v>
      </c>
    </row>
    <row r="10037" spans="1:11">
      <c r="A10037" s="33" t="s">
        <v>22959</v>
      </c>
      <c r="B10037" s="33" t="s">
        <v>22960</v>
      </c>
      <c r="C10037" s="33" t="s">
        <v>4071</v>
      </c>
      <c r="D10037" s="33" t="s">
        <v>17</v>
      </c>
      <c r="E10037" s="33" t="s">
        <v>31</v>
      </c>
      <c r="F10037" s="33" t="s">
        <v>32</v>
      </c>
      <c r="G10037" s="33" t="s">
        <v>20</v>
      </c>
      <c r="H10037" s="35">
        <v>60</v>
      </c>
      <c r="I10037" s="33" t="s">
        <v>21</v>
      </c>
      <c r="J10037" s="42">
        <v>44635</v>
      </c>
      <c r="K10037" s="33" t="s">
        <v>22</v>
      </c>
    </row>
    <row r="10038" spans="1:11">
      <c r="A10038" s="30" t="s">
        <v>22961</v>
      </c>
      <c r="B10038" s="30" t="s">
        <v>22962</v>
      </c>
      <c r="C10038" s="30" t="s">
        <v>17285</v>
      </c>
      <c r="D10038" s="30" t="s">
        <v>17</v>
      </c>
      <c r="E10038" s="30" t="s">
        <v>31</v>
      </c>
      <c r="F10038" s="30" t="s">
        <v>32</v>
      </c>
      <c r="G10038" s="30" t="s">
        <v>20</v>
      </c>
      <c r="H10038" s="32">
        <v>65</v>
      </c>
      <c r="I10038" s="30" t="s">
        <v>21</v>
      </c>
      <c r="J10038" s="41">
        <v>44813</v>
      </c>
      <c r="K10038" s="30" t="s">
        <v>22</v>
      </c>
    </row>
    <row r="10039" spans="1:11">
      <c r="A10039" s="33" t="s">
        <v>22963</v>
      </c>
      <c r="B10039" s="33" t="s">
        <v>22964</v>
      </c>
      <c r="C10039" s="33" t="s">
        <v>13290</v>
      </c>
      <c r="D10039" s="33" t="s">
        <v>17</v>
      </c>
      <c r="E10039" s="33" t="s">
        <v>67</v>
      </c>
      <c r="F10039" s="33" t="s">
        <v>68</v>
      </c>
      <c r="G10039" s="33" t="s">
        <v>106</v>
      </c>
      <c r="H10039" s="35">
        <v>14</v>
      </c>
      <c r="I10039" s="33" t="s">
        <v>21</v>
      </c>
      <c r="J10039" s="42">
        <v>44845</v>
      </c>
      <c r="K10039" s="33" t="s">
        <v>22</v>
      </c>
    </row>
    <row r="10040" spans="1:11">
      <c r="A10040" s="30" t="s">
        <v>22965</v>
      </c>
      <c r="B10040" s="30" t="s">
        <v>22966</v>
      </c>
      <c r="C10040" s="30" t="s">
        <v>22967</v>
      </c>
      <c r="D10040" s="30" t="s">
        <v>17</v>
      </c>
      <c r="E10040" s="30" t="s">
        <v>31</v>
      </c>
      <c r="F10040" s="30" t="s">
        <v>32</v>
      </c>
      <c r="G10040" s="30" t="s">
        <v>20</v>
      </c>
      <c r="H10040" s="32">
        <v>203</v>
      </c>
      <c r="I10040" s="30" t="s">
        <v>21</v>
      </c>
      <c r="J10040" s="41">
        <v>44802</v>
      </c>
      <c r="K10040" s="30" t="s">
        <v>22</v>
      </c>
    </row>
    <row r="10041" spans="1:11">
      <c r="A10041" s="33" t="s">
        <v>22968</v>
      </c>
      <c r="B10041" s="33" t="s">
        <v>22969</v>
      </c>
      <c r="C10041" s="33" t="s">
        <v>4282</v>
      </c>
      <c r="D10041" s="33" t="s">
        <v>17</v>
      </c>
      <c r="E10041" s="33" t="s">
        <v>31</v>
      </c>
      <c r="F10041" s="33" t="s">
        <v>32</v>
      </c>
      <c r="G10041" s="33" t="s">
        <v>50</v>
      </c>
      <c r="H10041" s="35">
        <v>30</v>
      </c>
      <c r="I10041" s="33" t="s">
        <v>51</v>
      </c>
      <c r="J10041" s="42">
        <v>44621</v>
      </c>
      <c r="K10041" s="33" t="s">
        <v>22</v>
      </c>
    </row>
    <row r="10042" spans="1:11">
      <c r="A10042" s="30" t="s">
        <v>22970</v>
      </c>
      <c r="B10042" s="30" t="s">
        <v>22971</v>
      </c>
      <c r="C10042" s="30" t="s">
        <v>16052</v>
      </c>
      <c r="D10042" s="30" t="s">
        <v>17</v>
      </c>
      <c r="E10042" s="30" t="s">
        <v>330</v>
      </c>
      <c r="F10042" s="30" t="s">
        <v>331</v>
      </c>
      <c r="G10042" s="30" t="s">
        <v>20</v>
      </c>
      <c r="H10042" s="32">
        <v>75</v>
      </c>
      <c r="I10042" s="30" t="s">
        <v>21</v>
      </c>
      <c r="J10042" s="41">
        <v>44789</v>
      </c>
      <c r="K10042" s="30" t="s">
        <v>22</v>
      </c>
    </row>
    <row r="10043" spans="1:11">
      <c r="A10043" s="33" t="s">
        <v>22972</v>
      </c>
      <c r="B10043" s="33" t="s">
        <v>22973</v>
      </c>
      <c r="C10043" s="33" t="s">
        <v>22974</v>
      </c>
      <c r="D10043" s="33" t="s">
        <v>17</v>
      </c>
      <c r="E10043" s="33" t="s">
        <v>26</v>
      </c>
      <c r="F10043" s="33" t="s">
        <v>27</v>
      </c>
      <c r="G10043" s="33" t="s">
        <v>106</v>
      </c>
      <c r="H10043" s="35">
        <v>56</v>
      </c>
      <c r="I10043" s="33" t="s">
        <v>21</v>
      </c>
      <c r="J10043" s="42">
        <v>44665</v>
      </c>
      <c r="K10043" s="33" t="s">
        <v>22</v>
      </c>
    </row>
    <row r="10044" spans="1:11">
      <c r="A10044" s="30" t="s">
        <v>22975</v>
      </c>
      <c r="B10044" s="30" t="s">
        <v>22976</v>
      </c>
      <c r="C10044" s="30" t="s">
        <v>510</v>
      </c>
      <c r="D10044" s="30" t="s">
        <v>17</v>
      </c>
      <c r="E10044" s="30" t="s">
        <v>330</v>
      </c>
      <c r="F10044" s="30" t="s">
        <v>331</v>
      </c>
      <c r="G10044" s="30" t="s">
        <v>140</v>
      </c>
      <c r="H10044" s="32">
        <v>45</v>
      </c>
      <c r="I10044" s="30" t="s">
        <v>51</v>
      </c>
      <c r="J10044" s="41">
        <v>44658</v>
      </c>
      <c r="K10044" s="30" t="s">
        <v>22</v>
      </c>
    </row>
    <row r="10045" spans="1:11">
      <c r="A10045" s="33" t="s">
        <v>22977</v>
      </c>
      <c r="B10045" s="33" t="s">
        <v>22978</v>
      </c>
      <c r="C10045" s="33" t="s">
        <v>102</v>
      </c>
      <c r="D10045" s="33" t="s">
        <v>17</v>
      </c>
      <c r="E10045" s="33" t="s">
        <v>26</v>
      </c>
      <c r="F10045" s="33" t="s">
        <v>27</v>
      </c>
      <c r="G10045" s="33" t="s">
        <v>112</v>
      </c>
      <c r="H10045" s="35">
        <v>0</v>
      </c>
      <c r="I10045" s="33" t="s">
        <v>21</v>
      </c>
      <c r="J10045" s="42">
        <v>44621</v>
      </c>
      <c r="K10045" s="33" t="s">
        <v>22</v>
      </c>
    </row>
    <row r="10046" spans="1:11">
      <c r="A10046" s="30" t="s">
        <v>22979</v>
      </c>
      <c r="B10046" s="30" t="s">
        <v>22980</v>
      </c>
      <c r="C10046" s="30" t="s">
        <v>3934</v>
      </c>
      <c r="D10046" s="30" t="s">
        <v>17</v>
      </c>
      <c r="E10046" s="30" t="s">
        <v>31</v>
      </c>
      <c r="F10046" s="30" t="s">
        <v>32</v>
      </c>
      <c r="G10046" s="30" t="s">
        <v>112</v>
      </c>
      <c r="H10046" s="32">
        <v>0</v>
      </c>
      <c r="I10046" s="30" t="s">
        <v>21</v>
      </c>
      <c r="J10046" s="41">
        <v>44656</v>
      </c>
      <c r="K10046" s="30" t="s">
        <v>22</v>
      </c>
    </row>
    <row r="10047" spans="1:11">
      <c r="A10047" s="33" t="s">
        <v>22981</v>
      </c>
      <c r="B10047" s="33" t="s">
        <v>22982</v>
      </c>
      <c r="C10047" s="33" t="s">
        <v>9095</v>
      </c>
      <c r="D10047" s="33" t="s">
        <v>17</v>
      </c>
      <c r="E10047" s="33" t="s">
        <v>18</v>
      </c>
      <c r="F10047" s="33" t="s">
        <v>19</v>
      </c>
      <c r="G10047" s="33" t="s">
        <v>20</v>
      </c>
      <c r="H10047" s="35">
        <v>558</v>
      </c>
      <c r="I10047" s="33" t="s">
        <v>21</v>
      </c>
      <c r="J10047" s="42">
        <v>44636</v>
      </c>
      <c r="K10047" s="33" t="s">
        <v>22</v>
      </c>
    </row>
    <row r="10048" spans="1:11">
      <c r="A10048" s="30" t="s">
        <v>22983</v>
      </c>
      <c r="B10048" s="30" t="s">
        <v>22984</v>
      </c>
      <c r="C10048" s="30" t="s">
        <v>606</v>
      </c>
      <c r="D10048" s="30" t="s">
        <v>17</v>
      </c>
      <c r="E10048" s="30" t="s">
        <v>26</v>
      </c>
      <c r="F10048" s="30" t="s">
        <v>27</v>
      </c>
      <c r="G10048" s="30" t="s">
        <v>20</v>
      </c>
      <c r="H10048" s="32">
        <v>34</v>
      </c>
      <c r="I10048" s="30" t="s">
        <v>21</v>
      </c>
      <c r="J10048" s="41">
        <v>44795</v>
      </c>
      <c r="K10048" s="30" t="s">
        <v>22</v>
      </c>
    </row>
    <row r="10049" spans="1:11">
      <c r="A10049" s="33" t="s">
        <v>22985</v>
      </c>
      <c r="B10049" s="33" t="s">
        <v>22986</v>
      </c>
      <c r="C10049" s="33" t="s">
        <v>1219</v>
      </c>
      <c r="D10049" s="33" t="s">
        <v>17</v>
      </c>
      <c r="E10049" s="33" t="s">
        <v>31</v>
      </c>
      <c r="F10049" s="33" t="s">
        <v>32</v>
      </c>
      <c r="G10049" s="33" t="s">
        <v>20</v>
      </c>
      <c r="H10049" s="35">
        <v>48</v>
      </c>
      <c r="I10049" s="33" t="s">
        <v>21</v>
      </c>
      <c r="J10049" s="42">
        <v>44637</v>
      </c>
      <c r="K10049" s="33" t="s">
        <v>22</v>
      </c>
    </row>
    <row r="10050" spans="1:11">
      <c r="A10050" s="30" t="s">
        <v>22987</v>
      </c>
      <c r="B10050" s="30" t="s">
        <v>22988</v>
      </c>
      <c r="C10050" s="30" t="s">
        <v>22989</v>
      </c>
      <c r="D10050" s="30" t="s">
        <v>17</v>
      </c>
      <c r="E10050" s="30" t="s">
        <v>31</v>
      </c>
      <c r="F10050" s="30" t="s">
        <v>32</v>
      </c>
      <c r="G10050" s="30" t="s">
        <v>158</v>
      </c>
      <c r="H10050" s="32">
        <v>54</v>
      </c>
      <c r="I10050" s="30" t="s">
        <v>21</v>
      </c>
      <c r="J10050" s="41">
        <v>44656</v>
      </c>
      <c r="K10050" s="30" t="s">
        <v>22</v>
      </c>
    </row>
    <row r="10051" spans="1:11">
      <c r="A10051" s="33" t="s">
        <v>22990</v>
      </c>
      <c r="B10051" s="33" t="s">
        <v>22991</v>
      </c>
      <c r="C10051" s="33" t="s">
        <v>22992</v>
      </c>
      <c r="D10051" s="33" t="s">
        <v>17</v>
      </c>
      <c r="E10051" s="33" t="s">
        <v>31</v>
      </c>
      <c r="F10051" s="33" t="s">
        <v>32</v>
      </c>
      <c r="G10051" s="33" t="s">
        <v>106</v>
      </c>
      <c r="H10051" s="35">
        <v>1</v>
      </c>
      <c r="I10051" s="33" t="s">
        <v>21</v>
      </c>
      <c r="J10051" s="42">
        <v>44839</v>
      </c>
      <c r="K10051" s="33" t="s">
        <v>22</v>
      </c>
    </row>
    <row r="10052" spans="1:11">
      <c r="A10052" s="30" t="s">
        <v>22993</v>
      </c>
      <c r="B10052" s="30" t="s">
        <v>22994</v>
      </c>
      <c r="C10052" s="30" t="s">
        <v>3137</v>
      </c>
      <c r="D10052" s="30" t="s">
        <v>17</v>
      </c>
      <c r="E10052" s="30" t="s">
        <v>18</v>
      </c>
      <c r="F10052" s="30" t="s">
        <v>19</v>
      </c>
      <c r="G10052" s="30" t="s">
        <v>20</v>
      </c>
      <c r="H10052" s="32">
        <v>467</v>
      </c>
      <c r="I10052" s="30" t="s">
        <v>21</v>
      </c>
      <c r="J10052" s="41">
        <v>44760</v>
      </c>
      <c r="K10052" s="30" t="s">
        <v>22</v>
      </c>
    </row>
    <row r="10053" spans="1:11">
      <c r="A10053" s="33" t="s">
        <v>22995</v>
      </c>
      <c r="B10053" s="33" t="s">
        <v>22996</v>
      </c>
      <c r="C10053" s="33" t="s">
        <v>96</v>
      </c>
      <c r="D10053" s="33" t="s">
        <v>17</v>
      </c>
      <c r="E10053" s="33" t="s">
        <v>212</v>
      </c>
      <c r="F10053" s="33" t="s">
        <v>213</v>
      </c>
      <c r="G10053" s="33" t="s">
        <v>20</v>
      </c>
      <c r="H10053" s="35">
        <v>200</v>
      </c>
      <c r="I10053" s="33" t="s">
        <v>21</v>
      </c>
      <c r="J10053" s="42">
        <v>44840</v>
      </c>
      <c r="K10053" s="33" t="s">
        <v>22</v>
      </c>
    </row>
    <row r="10054" spans="1:11">
      <c r="A10054" s="30" t="s">
        <v>22997</v>
      </c>
      <c r="B10054" s="30" t="s">
        <v>22998</v>
      </c>
      <c r="C10054" s="30" t="s">
        <v>22999</v>
      </c>
      <c r="D10054" s="30" t="s">
        <v>17</v>
      </c>
      <c r="E10054" s="30" t="s">
        <v>26</v>
      </c>
      <c r="F10054" s="30" t="s">
        <v>27</v>
      </c>
      <c r="G10054" s="30" t="s">
        <v>20</v>
      </c>
      <c r="H10054" s="32">
        <v>24</v>
      </c>
      <c r="I10054" s="30" t="s">
        <v>21</v>
      </c>
      <c r="J10054" s="41">
        <v>44850</v>
      </c>
      <c r="K10054" s="30" t="s">
        <v>22</v>
      </c>
    </row>
    <row r="10055" spans="1:11">
      <c r="A10055" s="33" t="s">
        <v>23000</v>
      </c>
      <c r="B10055" s="33" t="s">
        <v>23001</v>
      </c>
      <c r="C10055" s="33" t="s">
        <v>8851</v>
      </c>
      <c r="D10055" s="33" t="s">
        <v>17</v>
      </c>
      <c r="E10055" s="33" t="s">
        <v>330</v>
      </c>
      <c r="F10055" s="33" t="s">
        <v>331</v>
      </c>
      <c r="G10055" s="33" t="s">
        <v>20</v>
      </c>
      <c r="H10055" s="35">
        <v>21</v>
      </c>
      <c r="I10055" s="33" t="s">
        <v>21</v>
      </c>
      <c r="J10055" s="42">
        <v>44851</v>
      </c>
      <c r="K10055" s="33" t="s">
        <v>22</v>
      </c>
    </row>
    <row r="10056" spans="1:11">
      <c r="A10056" s="30" t="s">
        <v>23002</v>
      </c>
      <c r="B10056" s="30" t="s">
        <v>23003</v>
      </c>
      <c r="C10056" s="30" t="s">
        <v>11434</v>
      </c>
      <c r="D10056" s="30" t="s">
        <v>17</v>
      </c>
      <c r="E10056" s="30" t="s">
        <v>67</v>
      </c>
      <c r="F10056" s="30" t="s">
        <v>68</v>
      </c>
      <c r="G10056" s="30" t="s">
        <v>50</v>
      </c>
      <c r="H10056" s="32">
        <v>76</v>
      </c>
      <c r="I10056" s="30" t="s">
        <v>51</v>
      </c>
      <c r="J10056" s="41">
        <v>44629</v>
      </c>
      <c r="K10056" s="30" t="s">
        <v>22</v>
      </c>
    </row>
    <row r="10057" spans="1:11">
      <c r="A10057" s="33" t="s">
        <v>23004</v>
      </c>
      <c r="B10057" s="33" t="s">
        <v>23005</v>
      </c>
      <c r="C10057" s="33" t="s">
        <v>4872</v>
      </c>
      <c r="D10057" s="33" t="s">
        <v>17</v>
      </c>
      <c r="E10057" s="33" t="s">
        <v>18</v>
      </c>
      <c r="F10057" s="33" t="s">
        <v>19</v>
      </c>
      <c r="G10057" s="33" t="s">
        <v>20</v>
      </c>
      <c r="H10057" s="35">
        <v>154</v>
      </c>
      <c r="I10057" s="33" t="s">
        <v>21</v>
      </c>
      <c r="J10057" s="42">
        <v>44680</v>
      </c>
      <c r="K10057" s="33" t="s">
        <v>22</v>
      </c>
    </row>
    <row r="10058" spans="1:11">
      <c r="A10058" s="30" t="s">
        <v>23006</v>
      </c>
      <c r="B10058" s="30" t="s">
        <v>23007</v>
      </c>
      <c r="C10058" s="30" t="s">
        <v>231</v>
      </c>
      <c r="D10058" s="30" t="s">
        <v>17</v>
      </c>
      <c r="E10058" s="30" t="s">
        <v>26</v>
      </c>
      <c r="F10058" s="30" t="s">
        <v>27</v>
      </c>
      <c r="G10058" s="30" t="s">
        <v>20</v>
      </c>
      <c r="H10058" s="32">
        <v>139</v>
      </c>
      <c r="I10058" s="30" t="s">
        <v>21</v>
      </c>
      <c r="J10058" s="41">
        <v>44587</v>
      </c>
      <c r="K10058" s="30" t="s">
        <v>22</v>
      </c>
    </row>
    <row r="10059" spans="1:11">
      <c r="A10059" s="33" t="s">
        <v>23008</v>
      </c>
      <c r="B10059" s="33" t="s">
        <v>23009</v>
      </c>
      <c r="C10059" s="33" t="s">
        <v>2054</v>
      </c>
      <c r="D10059" s="33" t="s">
        <v>17</v>
      </c>
      <c r="E10059" s="33" t="s">
        <v>18</v>
      </c>
      <c r="F10059" s="33" t="s">
        <v>19</v>
      </c>
      <c r="G10059" s="33" t="s">
        <v>158</v>
      </c>
      <c r="H10059" s="35">
        <v>200</v>
      </c>
      <c r="I10059" s="33" t="s">
        <v>51</v>
      </c>
      <c r="J10059" s="42">
        <v>44606</v>
      </c>
      <c r="K10059" s="33" t="s">
        <v>22</v>
      </c>
    </row>
    <row r="10060" spans="1:11">
      <c r="A10060" s="30" t="s">
        <v>23010</v>
      </c>
      <c r="B10060" s="30" t="s">
        <v>23011</v>
      </c>
      <c r="C10060" s="30" t="s">
        <v>318</v>
      </c>
      <c r="D10060" s="30" t="s">
        <v>17</v>
      </c>
      <c r="E10060" s="30" t="s">
        <v>31</v>
      </c>
      <c r="F10060" s="30" t="s">
        <v>32</v>
      </c>
      <c r="G10060" s="30" t="s">
        <v>106</v>
      </c>
      <c r="H10060" s="32">
        <v>72</v>
      </c>
      <c r="I10060" s="30" t="s">
        <v>21</v>
      </c>
      <c r="J10060" s="41">
        <v>44924</v>
      </c>
      <c r="K10060" s="30" t="s">
        <v>22</v>
      </c>
    </row>
    <row r="10061" spans="1:11">
      <c r="A10061" s="33" t="s">
        <v>23012</v>
      </c>
      <c r="B10061" s="33" t="s">
        <v>23013</v>
      </c>
      <c r="C10061" s="33" t="s">
        <v>23014</v>
      </c>
      <c r="D10061" s="33" t="s">
        <v>17</v>
      </c>
      <c r="E10061" s="33" t="s">
        <v>67</v>
      </c>
      <c r="F10061" s="33" t="s">
        <v>68</v>
      </c>
      <c r="G10061" s="33" t="s">
        <v>50</v>
      </c>
      <c r="H10061" s="35">
        <v>24</v>
      </c>
      <c r="I10061" s="33" t="s">
        <v>51</v>
      </c>
      <c r="J10061" s="42">
        <v>44713</v>
      </c>
      <c r="K10061" s="33" t="s">
        <v>22</v>
      </c>
    </row>
    <row r="10062" spans="1:11">
      <c r="A10062" s="30" t="s">
        <v>23015</v>
      </c>
      <c r="B10062" s="30" t="s">
        <v>23016</v>
      </c>
      <c r="C10062" s="30" t="s">
        <v>23017</v>
      </c>
      <c r="D10062" s="30" t="s">
        <v>17</v>
      </c>
      <c r="E10062" s="30" t="s">
        <v>26</v>
      </c>
      <c r="F10062" s="30" t="s">
        <v>27</v>
      </c>
      <c r="G10062" s="30" t="s">
        <v>20</v>
      </c>
      <c r="H10062" s="32">
        <v>34</v>
      </c>
      <c r="I10062" s="30" t="s">
        <v>21</v>
      </c>
      <c r="J10062" s="41">
        <v>44692</v>
      </c>
      <c r="K10062" s="30" t="s">
        <v>22</v>
      </c>
    </row>
    <row r="10063" spans="1:11">
      <c r="A10063" s="33" t="s">
        <v>23018</v>
      </c>
      <c r="B10063" s="33" t="s">
        <v>23019</v>
      </c>
      <c r="C10063" s="33" t="s">
        <v>1701</v>
      </c>
      <c r="D10063" s="33" t="s">
        <v>17</v>
      </c>
      <c r="E10063" s="33" t="s">
        <v>31</v>
      </c>
      <c r="F10063" s="33" t="s">
        <v>32</v>
      </c>
      <c r="G10063" s="33" t="s">
        <v>106</v>
      </c>
      <c r="H10063" s="35">
        <v>16</v>
      </c>
      <c r="I10063" s="33" t="s">
        <v>21</v>
      </c>
      <c r="J10063" s="42">
        <v>44578</v>
      </c>
      <c r="K10063" s="33" t="s">
        <v>22</v>
      </c>
    </row>
    <row r="10064" spans="1:11">
      <c r="A10064" s="30" t="s">
        <v>23020</v>
      </c>
      <c r="B10064" s="30" t="s">
        <v>23021</v>
      </c>
      <c r="C10064" s="30" t="s">
        <v>3451</v>
      </c>
      <c r="D10064" s="30" t="s">
        <v>17</v>
      </c>
      <c r="E10064" s="30" t="s">
        <v>26</v>
      </c>
      <c r="F10064" s="30" t="s">
        <v>27</v>
      </c>
      <c r="G10064" s="30" t="s">
        <v>20</v>
      </c>
      <c r="H10064" s="32">
        <v>28</v>
      </c>
      <c r="I10064" s="30" t="s">
        <v>21</v>
      </c>
      <c r="J10064" s="41">
        <v>44912</v>
      </c>
      <c r="K10064" s="30" t="s">
        <v>22</v>
      </c>
    </row>
    <row r="10065" spans="1:11">
      <c r="A10065" s="33" t="s">
        <v>23022</v>
      </c>
      <c r="B10065" s="33" t="s">
        <v>23023</v>
      </c>
      <c r="C10065" s="33" t="s">
        <v>23024</v>
      </c>
      <c r="D10065" s="33" t="s">
        <v>17</v>
      </c>
      <c r="E10065" s="33" t="s">
        <v>212</v>
      </c>
      <c r="F10065" s="33" t="s">
        <v>213</v>
      </c>
      <c r="G10065" s="33" t="s">
        <v>140</v>
      </c>
      <c r="H10065" s="35">
        <v>60</v>
      </c>
      <c r="I10065" s="33" t="s">
        <v>51</v>
      </c>
      <c r="J10065" s="42">
        <v>44707</v>
      </c>
      <c r="K10065" s="33" t="s">
        <v>22</v>
      </c>
    </row>
    <row r="10066" spans="1:11">
      <c r="A10066" s="30" t="s">
        <v>23025</v>
      </c>
      <c r="B10066" s="30" t="s">
        <v>23026</v>
      </c>
      <c r="C10066" s="30" t="s">
        <v>17076</v>
      </c>
      <c r="D10066" s="30" t="s">
        <v>17</v>
      </c>
      <c r="E10066" s="30" t="s">
        <v>31</v>
      </c>
      <c r="F10066" s="30" t="s">
        <v>32</v>
      </c>
      <c r="G10066" s="30" t="s">
        <v>20</v>
      </c>
      <c r="H10066" s="32">
        <v>15</v>
      </c>
      <c r="I10066" s="30" t="s">
        <v>21</v>
      </c>
      <c r="J10066" s="41">
        <v>44665</v>
      </c>
      <c r="K10066" s="30" t="s">
        <v>22</v>
      </c>
    </row>
    <row r="10067" spans="1:11">
      <c r="A10067" s="33" t="s">
        <v>23027</v>
      </c>
      <c r="B10067" s="33" t="s">
        <v>23028</v>
      </c>
      <c r="C10067" s="33" t="s">
        <v>20206</v>
      </c>
      <c r="D10067" s="33" t="s">
        <v>17</v>
      </c>
      <c r="E10067" s="33" t="s">
        <v>18</v>
      </c>
      <c r="F10067" s="33" t="s">
        <v>19</v>
      </c>
      <c r="G10067" s="33" t="s">
        <v>20</v>
      </c>
      <c r="H10067" s="35">
        <v>323</v>
      </c>
      <c r="I10067" s="33" t="s">
        <v>21</v>
      </c>
      <c r="J10067" s="42">
        <v>44634</v>
      </c>
      <c r="K10067" s="33" t="s">
        <v>22</v>
      </c>
    </row>
    <row r="10068" spans="1:11">
      <c r="A10068" s="30" t="s">
        <v>23029</v>
      </c>
      <c r="B10068" s="30" t="s">
        <v>23030</v>
      </c>
      <c r="C10068" s="30" t="s">
        <v>7662</v>
      </c>
      <c r="D10068" s="30" t="s">
        <v>17</v>
      </c>
      <c r="E10068" s="30" t="s">
        <v>31</v>
      </c>
      <c r="F10068" s="30" t="s">
        <v>32</v>
      </c>
      <c r="G10068" s="30" t="s">
        <v>106</v>
      </c>
      <c r="H10068" s="32">
        <v>14</v>
      </c>
      <c r="I10068" s="30" t="s">
        <v>21</v>
      </c>
      <c r="J10068" s="41">
        <v>44719</v>
      </c>
      <c r="K10068" s="30" t="s">
        <v>22</v>
      </c>
    </row>
    <row r="10069" spans="1:11">
      <c r="A10069" s="33" t="s">
        <v>23031</v>
      </c>
      <c r="B10069" s="33" t="s">
        <v>23032</v>
      </c>
      <c r="C10069" s="33" t="s">
        <v>2888</v>
      </c>
      <c r="D10069" s="33" t="s">
        <v>17</v>
      </c>
      <c r="E10069" s="33" t="s">
        <v>330</v>
      </c>
      <c r="F10069" s="33" t="s">
        <v>331</v>
      </c>
      <c r="G10069" s="33" t="s">
        <v>140</v>
      </c>
      <c r="H10069" s="35">
        <v>3</v>
      </c>
      <c r="I10069" s="33" t="s">
        <v>51</v>
      </c>
      <c r="J10069" s="42">
        <v>44842</v>
      </c>
      <c r="K10069" s="33" t="s">
        <v>22</v>
      </c>
    </row>
    <row r="10070" spans="1:11">
      <c r="A10070" s="30" t="s">
        <v>23033</v>
      </c>
      <c r="B10070" s="30" t="s">
        <v>23034</v>
      </c>
      <c r="C10070" s="30" t="s">
        <v>2807</v>
      </c>
      <c r="D10070" s="30" t="s">
        <v>17</v>
      </c>
      <c r="E10070" s="30" t="s">
        <v>45</v>
      </c>
      <c r="F10070" s="30" t="s">
        <v>46</v>
      </c>
      <c r="G10070" s="30" t="s">
        <v>140</v>
      </c>
      <c r="H10070" s="32">
        <v>3110</v>
      </c>
      <c r="I10070" s="30" t="s">
        <v>51</v>
      </c>
      <c r="J10070" s="41">
        <v>44855</v>
      </c>
      <c r="K10070" s="30" t="s">
        <v>22</v>
      </c>
    </row>
    <row r="10071" spans="1:11">
      <c r="A10071" s="33" t="s">
        <v>23035</v>
      </c>
      <c r="B10071" s="33" t="s">
        <v>23036</v>
      </c>
      <c r="C10071" s="33" t="s">
        <v>1090</v>
      </c>
      <c r="D10071" s="33" t="s">
        <v>17</v>
      </c>
      <c r="E10071" s="33" t="s">
        <v>31</v>
      </c>
      <c r="F10071" s="33" t="s">
        <v>32</v>
      </c>
      <c r="G10071" s="33" t="s">
        <v>69</v>
      </c>
      <c r="H10071" s="35">
        <v>120</v>
      </c>
      <c r="I10071" s="33" t="s">
        <v>51</v>
      </c>
      <c r="J10071" s="42">
        <v>44627</v>
      </c>
      <c r="K10071" s="33" t="s">
        <v>22</v>
      </c>
    </row>
    <row r="10072" spans="1:11">
      <c r="A10072" s="30" t="s">
        <v>23037</v>
      </c>
      <c r="B10072" s="30" t="s">
        <v>23038</v>
      </c>
      <c r="C10072" s="30" t="s">
        <v>318</v>
      </c>
      <c r="D10072" s="30" t="s">
        <v>17</v>
      </c>
      <c r="E10072" s="30" t="s">
        <v>26</v>
      </c>
      <c r="F10072" s="30" t="s">
        <v>27</v>
      </c>
      <c r="G10072" s="30" t="s">
        <v>106</v>
      </c>
      <c r="H10072" s="32">
        <v>74</v>
      </c>
      <c r="I10072" s="30" t="s">
        <v>21</v>
      </c>
      <c r="J10072" s="41">
        <v>44649</v>
      </c>
      <c r="K10072" s="30" t="s">
        <v>22</v>
      </c>
    </row>
    <row r="10073" spans="1:11">
      <c r="A10073" s="33" t="s">
        <v>23039</v>
      </c>
      <c r="B10073" s="33" t="s">
        <v>23040</v>
      </c>
      <c r="C10073" s="33" t="s">
        <v>16443</v>
      </c>
      <c r="D10073" s="33" t="s">
        <v>17</v>
      </c>
      <c r="E10073" s="33" t="s">
        <v>67</v>
      </c>
      <c r="F10073" s="33" t="s">
        <v>68</v>
      </c>
      <c r="G10073" s="33" t="s">
        <v>50</v>
      </c>
      <c r="H10073" s="35">
        <v>20</v>
      </c>
      <c r="I10073" s="33" t="s">
        <v>51</v>
      </c>
      <c r="J10073" s="42">
        <v>44742</v>
      </c>
      <c r="K10073" s="33" t="s">
        <v>22</v>
      </c>
    </row>
    <row r="10074" spans="1:11">
      <c r="A10074" s="30" t="s">
        <v>23041</v>
      </c>
      <c r="B10074" s="30" t="s">
        <v>23042</v>
      </c>
      <c r="C10074" s="30" t="s">
        <v>7072</v>
      </c>
      <c r="D10074" s="30" t="s">
        <v>17</v>
      </c>
      <c r="E10074" s="30" t="s">
        <v>31</v>
      </c>
      <c r="F10074" s="30" t="s">
        <v>32</v>
      </c>
      <c r="G10074" s="30" t="s">
        <v>140</v>
      </c>
      <c r="H10074" s="32">
        <v>110</v>
      </c>
      <c r="I10074" s="30" t="s">
        <v>51</v>
      </c>
      <c r="J10074" s="41">
        <v>44701</v>
      </c>
      <c r="K10074" s="30" t="s">
        <v>22</v>
      </c>
    </row>
    <row r="10075" spans="1:11">
      <c r="A10075" s="33" t="s">
        <v>23043</v>
      </c>
      <c r="B10075" s="33" t="s">
        <v>23044</v>
      </c>
      <c r="C10075" s="33" t="s">
        <v>795</v>
      </c>
      <c r="D10075" s="33" t="s">
        <v>17</v>
      </c>
      <c r="E10075" s="33" t="s">
        <v>18</v>
      </c>
      <c r="F10075" s="33" t="s">
        <v>19</v>
      </c>
      <c r="G10075" s="33" t="s">
        <v>158</v>
      </c>
      <c r="H10075" s="35">
        <v>549</v>
      </c>
      <c r="I10075" s="33" t="s">
        <v>21</v>
      </c>
      <c r="J10075" s="42">
        <v>44824</v>
      </c>
      <c r="K10075" s="33" t="s">
        <v>22</v>
      </c>
    </row>
    <row r="10076" spans="1:11">
      <c r="A10076" s="30" t="s">
        <v>23045</v>
      </c>
      <c r="B10076" s="30" t="s">
        <v>23046</v>
      </c>
      <c r="C10076" s="30" t="s">
        <v>17877</v>
      </c>
      <c r="D10076" s="30" t="s">
        <v>17</v>
      </c>
      <c r="E10076" s="30" t="s">
        <v>26</v>
      </c>
      <c r="F10076" s="30" t="s">
        <v>27</v>
      </c>
      <c r="G10076" s="30" t="s">
        <v>140</v>
      </c>
      <c r="H10076" s="32">
        <v>130</v>
      </c>
      <c r="I10076" s="30" t="s">
        <v>51</v>
      </c>
      <c r="J10076" s="41">
        <v>44755</v>
      </c>
      <c r="K10076" s="30" t="s">
        <v>22</v>
      </c>
    </row>
    <row r="10077" spans="1:11">
      <c r="A10077" s="33" t="s">
        <v>23047</v>
      </c>
      <c r="B10077" s="33" t="s">
        <v>23048</v>
      </c>
      <c r="C10077" s="33" t="s">
        <v>698</v>
      </c>
      <c r="D10077" s="33" t="s">
        <v>17</v>
      </c>
      <c r="E10077" s="33" t="s">
        <v>45</v>
      </c>
      <c r="F10077" s="33" t="s">
        <v>46</v>
      </c>
      <c r="G10077" s="33" t="s">
        <v>140</v>
      </c>
      <c r="H10077" s="35">
        <v>286</v>
      </c>
      <c r="I10077" s="33" t="s">
        <v>51</v>
      </c>
      <c r="J10077" s="42">
        <v>44658</v>
      </c>
      <c r="K10077" s="33" t="s">
        <v>22</v>
      </c>
    </row>
    <row r="10078" spans="1:11">
      <c r="A10078" s="30" t="s">
        <v>23049</v>
      </c>
      <c r="B10078" s="30" t="s">
        <v>23050</v>
      </c>
      <c r="C10078" s="30" t="s">
        <v>23051</v>
      </c>
      <c r="D10078" s="30" t="s">
        <v>17</v>
      </c>
      <c r="E10078" s="30" t="s">
        <v>26</v>
      </c>
      <c r="F10078" s="30" t="s">
        <v>27</v>
      </c>
      <c r="G10078" s="30" t="s">
        <v>140</v>
      </c>
      <c r="H10078" s="32">
        <v>70</v>
      </c>
      <c r="I10078" s="30" t="s">
        <v>51</v>
      </c>
      <c r="J10078" s="41">
        <v>44680</v>
      </c>
      <c r="K10078" s="30" t="s">
        <v>22</v>
      </c>
    </row>
    <row r="10079" spans="1:11">
      <c r="A10079" s="33" t="s">
        <v>23052</v>
      </c>
      <c r="B10079" s="33" t="s">
        <v>23053</v>
      </c>
      <c r="C10079" s="33" t="s">
        <v>3034</v>
      </c>
      <c r="D10079" s="33" t="s">
        <v>17</v>
      </c>
      <c r="E10079" s="33" t="s">
        <v>31</v>
      </c>
      <c r="F10079" s="33" t="s">
        <v>32</v>
      </c>
      <c r="G10079" s="33" t="s">
        <v>20</v>
      </c>
      <c r="H10079" s="35">
        <v>205</v>
      </c>
      <c r="I10079" s="33" t="s">
        <v>21</v>
      </c>
      <c r="J10079" s="42">
        <v>44686</v>
      </c>
      <c r="K10079" s="33" t="s">
        <v>22</v>
      </c>
    </row>
    <row r="10080" spans="1:11">
      <c r="A10080" s="30" t="s">
        <v>23054</v>
      </c>
      <c r="B10080" s="30" t="s">
        <v>23055</v>
      </c>
      <c r="C10080" s="30" t="s">
        <v>23056</v>
      </c>
      <c r="D10080" s="30" t="s">
        <v>17</v>
      </c>
      <c r="E10080" s="30" t="s">
        <v>26</v>
      </c>
      <c r="F10080" s="30" t="s">
        <v>27</v>
      </c>
      <c r="G10080" s="30" t="s">
        <v>20</v>
      </c>
      <c r="H10080" s="32">
        <v>48</v>
      </c>
      <c r="I10080" s="30" t="s">
        <v>21</v>
      </c>
      <c r="J10080" s="41">
        <v>44739</v>
      </c>
      <c r="K10080" s="30" t="s">
        <v>22</v>
      </c>
    </row>
    <row r="10081" spans="1:11">
      <c r="A10081" s="33" t="s">
        <v>23057</v>
      </c>
      <c r="B10081" s="33" t="s">
        <v>23058</v>
      </c>
      <c r="C10081" s="33" t="s">
        <v>11912</v>
      </c>
      <c r="D10081" s="33" t="s">
        <v>17</v>
      </c>
      <c r="E10081" s="33" t="s">
        <v>26</v>
      </c>
      <c r="F10081" s="33" t="s">
        <v>27</v>
      </c>
      <c r="G10081" s="33" t="s">
        <v>50</v>
      </c>
      <c r="H10081" s="35">
        <v>48</v>
      </c>
      <c r="I10081" s="33" t="s">
        <v>51</v>
      </c>
      <c r="J10081" s="42">
        <v>44642</v>
      </c>
      <c r="K10081" s="33" t="s">
        <v>22</v>
      </c>
    </row>
    <row r="10082" spans="1:11">
      <c r="A10082" s="30" t="s">
        <v>23059</v>
      </c>
      <c r="B10082" s="30" t="s">
        <v>23060</v>
      </c>
      <c r="C10082" s="30" t="s">
        <v>647</v>
      </c>
      <c r="D10082" s="30" t="s">
        <v>17</v>
      </c>
      <c r="E10082" s="30" t="s">
        <v>67</v>
      </c>
      <c r="F10082" s="30" t="s">
        <v>68</v>
      </c>
      <c r="G10082" s="30" t="s">
        <v>20</v>
      </c>
      <c r="H10082" s="32">
        <v>90</v>
      </c>
      <c r="I10082" s="30" t="s">
        <v>21</v>
      </c>
      <c r="J10082" s="41">
        <v>44769</v>
      </c>
      <c r="K10082" s="30" t="s">
        <v>22</v>
      </c>
    </row>
    <row r="10083" spans="1:11">
      <c r="A10083" s="33" t="s">
        <v>23061</v>
      </c>
      <c r="B10083" s="33" t="s">
        <v>23062</v>
      </c>
      <c r="C10083" s="33" t="s">
        <v>21196</v>
      </c>
      <c r="D10083" s="33" t="s">
        <v>17</v>
      </c>
      <c r="E10083" s="33" t="s">
        <v>18</v>
      </c>
      <c r="F10083" s="33" t="s">
        <v>19</v>
      </c>
      <c r="G10083" s="33" t="s">
        <v>20</v>
      </c>
      <c r="H10083" s="35">
        <v>467</v>
      </c>
      <c r="I10083" s="33" t="s">
        <v>21</v>
      </c>
      <c r="J10083" s="42">
        <v>44649</v>
      </c>
      <c r="K10083" s="33" t="s">
        <v>22</v>
      </c>
    </row>
    <row r="10084" spans="1:11">
      <c r="A10084" s="30" t="s">
        <v>23063</v>
      </c>
      <c r="B10084" s="30" t="s">
        <v>23064</v>
      </c>
      <c r="C10084" s="30" t="s">
        <v>3986</v>
      </c>
      <c r="D10084" s="30" t="s">
        <v>17</v>
      </c>
      <c r="E10084" s="30" t="s">
        <v>18</v>
      </c>
      <c r="F10084" s="30" t="s">
        <v>19</v>
      </c>
      <c r="G10084" s="30" t="s">
        <v>69</v>
      </c>
      <c r="H10084" s="32">
        <v>268</v>
      </c>
      <c r="I10084" s="30" t="s">
        <v>51</v>
      </c>
      <c r="J10084" s="41">
        <v>44693</v>
      </c>
      <c r="K10084" s="30" t="s">
        <v>22</v>
      </c>
    </row>
    <row r="10085" spans="1:11">
      <c r="A10085" s="33" t="s">
        <v>23065</v>
      </c>
      <c r="B10085" s="33" t="s">
        <v>23066</v>
      </c>
      <c r="C10085" s="33" t="s">
        <v>2663</v>
      </c>
      <c r="D10085" s="33" t="s">
        <v>17</v>
      </c>
      <c r="E10085" s="33" t="s">
        <v>26</v>
      </c>
      <c r="F10085" s="33" t="s">
        <v>27</v>
      </c>
      <c r="G10085" s="33" t="s">
        <v>20</v>
      </c>
      <c r="H10085" s="35">
        <v>36</v>
      </c>
      <c r="I10085" s="33" t="s">
        <v>21</v>
      </c>
      <c r="J10085" s="42">
        <v>44594</v>
      </c>
      <c r="K10085" s="33" t="s">
        <v>22</v>
      </c>
    </row>
    <row r="10086" spans="1:11">
      <c r="A10086" s="30" t="s">
        <v>23067</v>
      </c>
      <c r="B10086" s="30" t="s">
        <v>23068</v>
      </c>
      <c r="C10086" s="30" t="s">
        <v>535</v>
      </c>
      <c r="D10086" s="30" t="s">
        <v>17</v>
      </c>
      <c r="E10086" s="30" t="s">
        <v>26</v>
      </c>
      <c r="F10086" s="30" t="s">
        <v>27</v>
      </c>
      <c r="G10086" s="30" t="s">
        <v>20</v>
      </c>
      <c r="H10086" s="32">
        <v>14</v>
      </c>
      <c r="I10086" s="30" t="s">
        <v>21</v>
      </c>
      <c r="J10086" s="41">
        <v>44705</v>
      </c>
      <c r="K10086" s="30" t="s">
        <v>22</v>
      </c>
    </row>
    <row r="10087" spans="1:11">
      <c r="A10087" s="33" t="s">
        <v>23069</v>
      </c>
      <c r="B10087" s="33" t="s">
        <v>23070</v>
      </c>
      <c r="C10087" s="33" t="s">
        <v>23071</v>
      </c>
      <c r="D10087" s="33" t="s">
        <v>17</v>
      </c>
      <c r="E10087" s="33" t="s">
        <v>31</v>
      </c>
      <c r="F10087" s="33" t="s">
        <v>32</v>
      </c>
      <c r="G10087" s="33" t="s">
        <v>106</v>
      </c>
      <c r="H10087" s="35">
        <v>1</v>
      </c>
      <c r="I10087" s="33" t="s">
        <v>21</v>
      </c>
      <c r="J10087" s="42">
        <v>44713</v>
      </c>
      <c r="K10087" s="33" t="s">
        <v>22</v>
      </c>
    </row>
    <row r="10088" spans="1:11">
      <c r="A10088" s="30" t="s">
        <v>23072</v>
      </c>
      <c r="B10088" s="30" t="s">
        <v>23073</v>
      </c>
      <c r="C10088" s="30" t="s">
        <v>23074</v>
      </c>
      <c r="D10088" s="30" t="s">
        <v>17</v>
      </c>
      <c r="E10088" s="30" t="s">
        <v>26</v>
      </c>
      <c r="F10088" s="30" t="s">
        <v>27</v>
      </c>
      <c r="G10088" s="30" t="s">
        <v>20</v>
      </c>
      <c r="H10088" s="32">
        <v>26</v>
      </c>
      <c r="I10088" s="30" t="s">
        <v>21</v>
      </c>
      <c r="J10088" s="41">
        <v>44574</v>
      </c>
      <c r="K10088" s="30" t="s">
        <v>22</v>
      </c>
    </row>
    <row r="10089" spans="1:11">
      <c r="A10089" s="33" t="s">
        <v>23075</v>
      </c>
      <c r="B10089" s="33" t="s">
        <v>23076</v>
      </c>
      <c r="C10089" s="33" t="s">
        <v>23077</v>
      </c>
      <c r="D10089" s="33" t="s">
        <v>17</v>
      </c>
      <c r="E10089" s="33" t="s">
        <v>18</v>
      </c>
      <c r="F10089" s="33" t="s">
        <v>19</v>
      </c>
      <c r="G10089" s="33" t="s">
        <v>158</v>
      </c>
      <c r="H10089" s="35">
        <v>60</v>
      </c>
      <c r="I10089" s="33" t="s">
        <v>21</v>
      </c>
      <c r="J10089" s="42">
        <v>44887</v>
      </c>
      <c r="K10089" s="33" t="s">
        <v>22</v>
      </c>
    </row>
    <row r="10090" spans="1:11">
      <c r="A10090" s="30" t="s">
        <v>23078</v>
      </c>
      <c r="B10090" s="30" t="s">
        <v>23079</v>
      </c>
      <c r="C10090" s="30" t="s">
        <v>209</v>
      </c>
      <c r="D10090" s="30" t="s">
        <v>17</v>
      </c>
      <c r="E10090" s="30" t="s">
        <v>18</v>
      </c>
      <c r="F10090" s="30" t="s">
        <v>19</v>
      </c>
      <c r="G10090" s="30" t="s">
        <v>140</v>
      </c>
      <c r="H10090" s="32">
        <v>865</v>
      </c>
      <c r="I10090" s="30" t="s">
        <v>51</v>
      </c>
      <c r="J10090" s="41">
        <v>44684</v>
      </c>
      <c r="K10090" s="30" t="s">
        <v>22</v>
      </c>
    </row>
    <row r="10091" spans="1:11">
      <c r="A10091" s="33" t="s">
        <v>23080</v>
      </c>
      <c r="B10091" s="33" t="s">
        <v>23081</v>
      </c>
      <c r="C10091" s="33" t="s">
        <v>524</v>
      </c>
      <c r="D10091" s="33" t="s">
        <v>17</v>
      </c>
      <c r="E10091" s="33" t="s">
        <v>31</v>
      </c>
      <c r="F10091" s="33" t="s">
        <v>32</v>
      </c>
      <c r="G10091" s="33" t="s">
        <v>20</v>
      </c>
      <c r="H10091" s="35">
        <v>99</v>
      </c>
      <c r="I10091" s="33" t="s">
        <v>21</v>
      </c>
      <c r="J10091" s="42">
        <v>44677</v>
      </c>
      <c r="K10091" s="33" t="s">
        <v>22</v>
      </c>
    </row>
    <row r="10092" spans="1:11">
      <c r="A10092" s="30" t="s">
        <v>23082</v>
      </c>
      <c r="B10092" s="30" t="s">
        <v>23083</v>
      </c>
      <c r="C10092" s="30" t="s">
        <v>136</v>
      </c>
      <c r="D10092" s="30" t="s">
        <v>17</v>
      </c>
      <c r="E10092" s="30" t="s">
        <v>18</v>
      </c>
      <c r="F10092" s="30" t="s">
        <v>19</v>
      </c>
      <c r="G10092" s="30" t="s">
        <v>20</v>
      </c>
      <c r="H10092" s="32">
        <v>469</v>
      </c>
      <c r="I10092" s="30" t="s">
        <v>21</v>
      </c>
      <c r="J10092" s="41">
        <v>44733</v>
      </c>
      <c r="K10092" s="30" t="s">
        <v>22</v>
      </c>
    </row>
    <row r="10093" spans="1:11">
      <c r="A10093" s="33" t="s">
        <v>23084</v>
      </c>
      <c r="B10093" s="33" t="s">
        <v>23085</v>
      </c>
      <c r="C10093" s="33" t="s">
        <v>5636</v>
      </c>
      <c r="D10093" s="33" t="s">
        <v>17</v>
      </c>
      <c r="E10093" s="33" t="s">
        <v>31</v>
      </c>
      <c r="F10093" s="33" t="s">
        <v>32</v>
      </c>
      <c r="G10093" s="33" t="s">
        <v>112</v>
      </c>
      <c r="H10093" s="35">
        <v>0</v>
      </c>
      <c r="I10093" s="33" t="s">
        <v>21</v>
      </c>
      <c r="J10093" s="42">
        <v>44774</v>
      </c>
      <c r="K10093" s="33" t="s">
        <v>22</v>
      </c>
    </row>
    <row r="10094" spans="1:11">
      <c r="A10094" s="30" t="s">
        <v>23086</v>
      </c>
      <c r="B10094" s="30" t="s">
        <v>23087</v>
      </c>
      <c r="C10094" s="30" t="s">
        <v>19167</v>
      </c>
      <c r="D10094" s="30" t="s">
        <v>17</v>
      </c>
      <c r="E10094" s="30" t="s">
        <v>67</v>
      </c>
      <c r="F10094" s="30" t="s">
        <v>68</v>
      </c>
      <c r="G10094" s="30" t="s">
        <v>140</v>
      </c>
      <c r="H10094" s="32">
        <v>48</v>
      </c>
      <c r="I10094" s="30" t="s">
        <v>51</v>
      </c>
      <c r="J10094" s="41">
        <v>44776</v>
      </c>
      <c r="K10094" s="30" t="s">
        <v>22</v>
      </c>
    </row>
    <row r="10095" spans="1:11">
      <c r="A10095" s="33" t="s">
        <v>23088</v>
      </c>
      <c r="B10095" s="33" t="s">
        <v>23089</v>
      </c>
      <c r="C10095" s="33" t="s">
        <v>23090</v>
      </c>
      <c r="D10095" s="33" t="s">
        <v>17</v>
      </c>
      <c r="E10095" s="33" t="s">
        <v>26</v>
      </c>
      <c r="F10095" s="33" t="s">
        <v>27</v>
      </c>
      <c r="G10095" s="33" t="s">
        <v>20</v>
      </c>
      <c r="H10095" s="35">
        <v>60</v>
      </c>
      <c r="I10095" s="33" t="s">
        <v>21</v>
      </c>
      <c r="J10095" s="42">
        <v>44837</v>
      </c>
      <c r="K10095" s="33" t="s">
        <v>22</v>
      </c>
    </row>
    <row r="10096" spans="1:11">
      <c r="A10096" s="30" t="s">
        <v>23091</v>
      </c>
      <c r="B10096" s="30" t="s">
        <v>23092</v>
      </c>
      <c r="C10096" s="30" t="s">
        <v>382</v>
      </c>
      <c r="D10096" s="30" t="s">
        <v>17</v>
      </c>
      <c r="E10096" s="30" t="s">
        <v>31</v>
      </c>
      <c r="F10096" s="30" t="s">
        <v>32</v>
      </c>
      <c r="G10096" s="30" t="s">
        <v>20</v>
      </c>
      <c r="H10096" s="32">
        <v>391</v>
      </c>
      <c r="I10096" s="30" t="s">
        <v>21</v>
      </c>
      <c r="J10096" s="41">
        <v>44651</v>
      </c>
      <c r="K10096" s="30" t="s">
        <v>22</v>
      </c>
    </row>
    <row r="10097" spans="1:11">
      <c r="A10097" s="33" t="s">
        <v>23093</v>
      </c>
      <c r="B10097" s="33" t="s">
        <v>23094</v>
      </c>
      <c r="C10097" s="33" t="s">
        <v>11239</v>
      </c>
      <c r="D10097" s="33" t="s">
        <v>17</v>
      </c>
      <c r="E10097" s="33" t="s">
        <v>45</v>
      </c>
      <c r="F10097" s="33" t="s">
        <v>46</v>
      </c>
      <c r="G10097" s="33" t="s">
        <v>20</v>
      </c>
      <c r="H10097" s="35">
        <v>150</v>
      </c>
      <c r="I10097" s="33" t="s">
        <v>21</v>
      </c>
      <c r="J10097" s="42">
        <v>44582</v>
      </c>
      <c r="K10097" s="33" t="s">
        <v>22</v>
      </c>
    </row>
    <row r="10098" spans="1:11">
      <c r="A10098" s="30" t="s">
        <v>23095</v>
      </c>
      <c r="B10098" s="30" t="s">
        <v>23096</v>
      </c>
      <c r="C10098" s="30" t="s">
        <v>13241</v>
      </c>
      <c r="D10098" s="30" t="s">
        <v>17</v>
      </c>
      <c r="E10098" s="30" t="s">
        <v>31</v>
      </c>
      <c r="F10098" s="30" t="s">
        <v>32</v>
      </c>
      <c r="G10098" s="30" t="s">
        <v>20</v>
      </c>
      <c r="H10098" s="32">
        <v>158</v>
      </c>
      <c r="I10098" s="30" t="s">
        <v>21</v>
      </c>
      <c r="J10098" s="41">
        <v>44842</v>
      </c>
      <c r="K10098" s="30" t="s">
        <v>22</v>
      </c>
    </row>
    <row r="10099" spans="1:11">
      <c r="A10099" s="33" t="s">
        <v>23097</v>
      </c>
      <c r="B10099" s="33" t="s">
        <v>23098</v>
      </c>
      <c r="C10099" s="33" t="s">
        <v>8900</v>
      </c>
      <c r="D10099" s="33" t="s">
        <v>17</v>
      </c>
      <c r="E10099" s="33" t="s">
        <v>18</v>
      </c>
      <c r="F10099" s="33" t="s">
        <v>19</v>
      </c>
      <c r="G10099" s="33" t="s">
        <v>20</v>
      </c>
      <c r="H10099" s="35">
        <v>268</v>
      </c>
      <c r="I10099" s="33" t="s">
        <v>21</v>
      </c>
      <c r="J10099" s="42">
        <v>44819</v>
      </c>
      <c r="K10099" s="33" t="s">
        <v>22</v>
      </c>
    </row>
    <row r="10100" spans="1:11">
      <c r="A10100" s="30" t="s">
        <v>23099</v>
      </c>
      <c r="B10100" s="30" t="s">
        <v>23100</v>
      </c>
      <c r="C10100" s="30" t="s">
        <v>14176</v>
      </c>
      <c r="D10100" s="30" t="s">
        <v>17</v>
      </c>
      <c r="E10100" s="30" t="s">
        <v>18</v>
      </c>
      <c r="F10100" s="30" t="s">
        <v>19</v>
      </c>
      <c r="G10100" s="30" t="s">
        <v>20</v>
      </c>
      <c r="H10100" s="32">
        <v>354</v>
      </c>
      <c r="I10100" s="30" t="s">
        <v>21</v>
      </c>
      <c r="J10100" s="41">
        <v>44767</v>
      </c>
      <c r="K10100" s="30" t="s">
        <v>22</v>
      </c>
    </row>
    <row r="10101" spans="1:11">
      <c r="A10101" s="33" t="s">
        <v>23101</v>
      </c>
      <c r="B10101" s="33" t="s">
        <v>23102</v>
      </c>
      <c r="C10101" s="33" t="s">
        <v>118</v>
      </c>
      <c r="D10101" s="33" t="s">
        <v>17</v>
      </c>
      <c r="E10101" s="33" t="s">
        <v>18</v>
      </c>
      <c r="F10101" s="33" t="s">
        <v>19</v>
      </c>
      <c r="G10101" s="33" t="s">
        <v>20</v>
      </c>
      <c r="H10101" s="35">
        <v>36</v>
      </c>
      <c r="I10101" s="33" t="s">
        <v>21</v>
      </c>
      <c r="J10101" s="42">
        <v>44643</v>
      </c>
      <c r="K10101" s="33" t="s">
        <v>22</v>
      </c>
    </row>
    <row r="10102" spans="1:11">
      <c r="A10102" s="30" t="s">
        <v>23103</v>
      </c>
      <c r="B10102" s="30" t="s">
        <v>23104</v>
      </c>
      <c r="C10102" s="30" t="s">
        <v>3790</v>
      </c>
      <c r="D10102" s="30" t="s">
        <v>17</v>
      </c>
      <c r="E10102" s="30" t="s">
        <v>26</v>
      </c>
      <c r="F10102" s="30" t="s">
        <v>27</v>
      </c>
      <c r="G10102" s="30" t="s">
        <v>20</v>
      </c>
      <c r="H10102" s="32">
        <v>15</v>
      </c>
      <c r="I10102" s="30" t="s">
        <v>21</v>
      </c>
      <c r="J10102" s="41">
        <v>44748</v>
      </c>
      <c r="K10102" s="30" t="s">
        <v>22</v>
      </c>
    </row>
    <row r="10103" spans="1:11">
      <c r="A10103" s="33" t="s">
        <v>23105</v>
      </c>
      <c r="B10103" s="33" t="s">
        <v>23106</v>
      </c>
      <c r="C10103" s="33" t="s">
        <v>231</v>
      </c>
      <c r="D10103" s="33" t="s">
        <v>17</v>
      </c>
      <c r="E10103" s="33" t="s">
        <v>18</v>
      </c>
      <c r="F10103" s="33" t="s">
        <v>19</v>
      </c>
      <c r="G10103" s="33" t="s">
        <v>20</v>
      </c>
      <c r="H10103" s="35">
        <v>1177</v>
      </c>
      <c r="I10103" s="33" t="s">
        <v>21</v>
      </c>
      <c r="J10103" s="42">
        <v>44840</v>
      </c>
      <c r="K10103" s="33" t="s">
        <v>22</v>
      </c>
    </row>
    <row r="10104" spans="1:11">
      <c r="A10104" s="30" t="s">
        <v>23107</v>
      </c>
      <c r="B10104" s="30" t="s">
        <v>23108</v>
      </c>
      <c r="C10104" s="30" t="s">
        <v>1826</v>
      </c>
      <c r="D10104" s="30" t="s">
        <v>17</v>
      </c>
      <c r="E10104" s="30" t="s">
        <v>31</v>
      </c>
      <c r="F10104" s="30" t="s">
        <v>32</v>
      </c>
      <c r="G10104" s="30" t="s">
        <v>20</v>
      </c>
      <c r="H10104" s="32">
        <v>86</v>
      </c>
      <c r="I10104" s="30" t="s">
        <v>21</v>
      </c>
      <c r="J10104" s="41">
        <v>44718</v>
      </c>
      <c r="K10104" s="30" t="s">
        <v>22</v>
      </c>
    </row>
    <row r="10105" spans="1:11">
      <c r="A10105" s="33" t="s">
        <v>23109</v>
      </c>
      <c r="B10105" s="33" t="s">
        <v>23110</v>
      </c>
      <c r="C10105" s="33" t="s">
        <v>187</v>
      </c>
      <c r="D10105" s="33" t="s">
        <v>17</v>
      </c>
      <c r="E10105" s="33" t="s">
        <v>67</v>
      </c>
      <c r="F10105" s="33" t="s">
        <v>68</v>
      </c>
      <c r="G10105" s="33" t="s">
        <v>50</v>
      </c>
      <c r="H10105" s="35">
        <v>160</v>
      </c>
      <c r="I10105" s="33" t="s">
        <v>51</v>
      </c>
      <c r="J10105" s="42">
        <v>44631</v>
      </c>
      <c r="K10105" s="33" t="s">
        <v>22</v>
      </c>
    </row>
    <row r="10106" spans="1:11">
      <c r="A10106" s="30" t="s">
        <v>23111</v>
      </c>
      <c r="B10106" s="30" t="s">
        <v>23112</v>
      </c>
      <c r="C10106" s="30" t="s">
        <v>93</v>
      </c>
      <c r="D10106" s="30" t="s">
        <v>17</v>
      </c>
      <c r="E10106" s="30" t="s">
        <v>26</v>
      </c>
      <c r="F10106" s="30" t="s">
        <v>27</v>
      </c>
      <c r="G10106" s="30" t="s">
        <v>20</v>
      </c>
      <c r="H10106" s="32">
        <v>17</v>
      </c>
      <c r="I10106" s="30" t="s">
        <v>21</v>
      </c>
      <c r="J10106" s="41">
        <v>44897</v>
      </c>
      <c r="K10106" s="30" t="s">
        <v>22</v>
      </c>
    </row>
    <row r="10107" spans="1:11">
      <c r="A10107" s="33" t="s">
        <v>23113</v>
      </c>
      <c r="B10107" s="33" t="s">
        <v>23114</v>
      </c>
      <c r="C10107" s="33" t="s">
        <v>4348</v>
      </c>
      <c r="D10107" s="33" t="s">
        <v>17</v>
      </c>
      <c r="E10107" s="33" t="s">
        <v>67</v>
      </c>
      <c r="F10107" s="33" t="s">
        <v>68</v>
      </c>
      <c r="G10107" s="33" t="s">
        <v>158</v>
      </c>
      <c r="H10107" s="35">
        <v>12</v>
      </c>
      <c r="I10107" s="33" t="s">
        <v>21</v>
      </c>
      <c r="J10107" s="42">
        <v>44783</v>
      </c>
      <c r="K10107" s="33" t="s">
        <v>22</v>
      </c>
    </row>
    <row r="10108" spans="1:11">
      <c r="A10108" s="30" t="s">
        <v>23115</v>
      </c>
      <c r="B10108" s="30" t="s">
        <v>23116</v>
      </c>
      <c r="C10108" s="30" t="s">
        <v>6470</v>
      </c>
      <c r="D10108" s="30" t="s">
        <v>17</v>
      </c>
      <c r="E10108" s="30" t="s">
        <v>18</v>
      </c>
      <c r="F10108" s="30" t="s">
        <v>19</v>
      </c>
      <c r="G10108" s="30" t="s">
        <v>106</v>
      </c>
      <c r="H10108" s="32">
        <v>4</v>
      </c>
      <c r="I10108" s="30" t="s">
        <v>21</v>
      </c>
      <c r="J10108" s="41">
        <v>44873</v>
      </c>
      <c r="K10108" s="30" t="s">
        <v>22</v>
      </c>
    </row>
    <row r="10109" spans="1:11">
      <c r="A10109" s="33" t="s">
        <v>23117</v>
      </c>
      <c r="B10109" s="33" t="s">
        <v>23118</v>
      </c>
      <c r="C10109" s="33" t="s">
        <v>15911</v>
      </c>
      <c r="D10109" s="33" t="s">
        <v>17</v>
      </c>
      <c r="E10109" s="33" t="s">
        <v>26</v>
      </c>
      <c r="F10109" s="33" t="s">
        <v>27</v>
      </c>
      <c r="G10109" s="33" t="s">
        <v>106</v>
      </c>
      <c r="H10109" s="35">
        <v>49</v>
      </c>
      <c r="I10109" s="33" t="s">
        <v>21</v>
      </c>
      <c r="J10109" s="42">
        <v>44645</v>
      </c>
      <c r="K10109" s="33" t="s">
        <v>22</v>
      </c>
    </row>
    <row r="10110" spans="1:11">
      <c r="A10110" s="30" t="s">
        <v>23119</v>
      </c>
      <c r="B10110" s="30" t="s">
        <v>23120</v>
      </c>
      <c r="C10110" s="30" t="s">
        <v>3489</v>
      </c>
      <c r="D10110" s="30" t="s">
        <v>17</v>
      </c>
      <c r="E10110" s="30" t="s">
        <v>18</v>
      </c>
      <c r="F10110" s="30" t="s">
        <v>19</v>
      </c>
      <c r="G10110" s="30" t="s">
        <v>158</v>
      </c>
      <c r="H10110" s="32">
        <v>55</v>
      </c>
      <c r="I10110" s="30" t="s">
        <v>51</v>
      </c>
      <c r="J10110" s="41">
        <v>44729</v>
      </c>
      <c r="K10110" s="30" t="s">
        <v>22</v>
      </c>
    </row>
    <row r="10111" spans="1:11">
      <c r="A10111" s="33" t="s">
        <v>23121</v>
      </c>
      <c r="B10111" s="33" t="s">
        <v>23122</v>
      </c>
      <c r="C10111" s="33" t="s">
        <v>23123</v>
      </c>
      <c r="D10111" s="33" t="s">
        <v>17</v>
      </c>
      <c r="E10111" s="33" t="s">
        <v>212</v>
      </c>
      <c r="F10111" s="33" t="s">
        <v>213</v>
      </c>
      <c r="G10111" s="33" t="s">
        <v>2613</v>
      </c>
      <c r="H10111" s="35">
        <v>15</v>
      </c>
      <c r="I10111" s="33" t="s">
        <v>51</v>
      </c>
      <c r="J10111" s="42">
        <v>44897</v>
      </c>
      <c r="K10111" s="33" t="s">
        <v>22</v>
      </c>
    </row>
    <row r="10112" spans="1:11">
      <c r="A10112" s="30" t="s">
        <v>23124</v>
      </c>
      <c r="B10112" s="30" t="s">
        <v>23125</v>
      </c>
      <c r="C10112" s="30" t="s">
        <v>2663</v>
      </c>
      <c r="D10112" s="30" t="s">
        <v>17</v>
      </c>
      <c r="E10112" s="30" t="s">
        <v>26</v>
      </c>
      <c r="F10112" s="30" t="s">
        <v>27</v>
      </c>
      <c r="G10112" s="30" t="s">
        <v>20</v>
      </c>
      <c r="H10112" s="32">
        <v>20</v>
      </c>
      <c r="I10112" s="30" t="s">
        <v>21</v>
      </c>
      <c r="J10112" s="41">
        <v>44790</v>
      </c>
      <c r="K10112" s="30" t="s">
        <v>22</v>
      </c>
    </row>
    <row r="10113" spans="1:11">
      <c r="A10113" s="33" t="s">
        <v>23126</v>
      </c>
      <c r="B10113" s="33" t="s">
        <v>23127</v>
      </c>
      <c r="C10113" s="33" t="s">
        <v>1090</v>
      </c>
      <c r="D10113" s="33" t="s">
        <v>17</v>
      </c>
      <c r="E10113" s="33" t="s">
        <v>26</v>
      </c>
      <c r="F10113" s="33" t="s">
        <v>27</v>
      </c>
      <c r="G10113" s="33" t="s">
        <v>50</v>
      </c>
      <c r="H10113" s="35">
        <v>176</v>
      </c>
      <c r="I10113" s="33" t="s">
        <v>51</v>
      </c>
      <c r="J10113" s="42">
        <v>44769</v>
      </c>
      <c r="K10113" s="33" t="s">
        <v>22</v>
      </c>
    </row>
    <row r="10114" spans="1:11">
      <c r="A10114" s="30" t="s">
        <v>23128</v>
      </c>
      <c r="B10114" s="30" t="s">
        <v>23129</v>
      </c>
      <c r="C10114" s="30" t="s">
        <v>187</v>
      </c>
      <c r="D10114" s="30" t="s">
        <v>17</v>
      </c>
      <c r="E10114" s="30" t="s">
        <v>18</v>
      </c>
      <c r="F10114" s="30" t="s">
        <v>19</v>
      </c>
      <c r="G10114" s="30" t="s">
        <v>158</v>
      </c>
      <c r="H10114" s="32">
        <v>432</v>
      </c>
      <c r="I10114" s="30" t="s">
        <v>21</v>
      </c>
      <c r="J10114" s="41">
        <v>44743</v>
      </c>
      <c r="K10114" s="30" t="s">
        <v>22</v>
      </c>
    </row>
    <row r="10115" spans="1:11">
      <c r="A10115" s="33" t="s">
        <v>23130</v>
      </c>
      <c r="B10115" s="33" t="s">
        <v>23131</v>
      </c>
      <c r="C10115" s="33" t="s">
        <v>11407</v>
      </c>
      <c r="D10115" s="33" t="s">
        <v>17</v>
      </c>
      <c r="E10115" s="33" t="s">
        <v>26</v>
      </c>
      <c r="F10115" s="33" t="s">
        <v>27</v>
      </c>
      <c r="G10115" s="33" t="s">
        <v>106</v>
      </c>
      <c r="H10115" s="35">
        <v>19</v>
      </c>
      <c r="I10115" s="33" t="s">
        <v>21</v>
      </c>
      <c r="J10115" s="42">
        <v>44699</v>
      </c>
      <c r="K10115" s="33" t="s">
        <v>22</v>
      </c>
    </row>
    <row r="10116" spans="1:11">
      <c r="A10116" s="30" t="s">
        <v>23132</v>
      </c>
      <c r="B10116" s="30" t="s">
        <v>23133</v>
      </c>
      <c r="C10116" s="30" t="s">
        <v>379</v>
      </c>
      <c r="D10116" s="30" t="s">
        <v>17</v>
      </c>
      <c r="E10116" s="30" t="s">
        <v>18</v>
      </c>
      <c r="F10116" s="30" t="s">
        <v>19</v>
      </c>
      <c r="G10116" s="30" t="s">
        <v>20</v>
      </c>
      <c r="H10116" s="32">
        <v>514</v>
      </c>
      <c r="I10116" s="30" t="s">
        <v>21</v>
      </c>
      <c r="J10116" s="41">
        <v>44729</v>
      </c>
      <c r="K10116" s="30" t="s">
        <v>22</v>
      </c>
    </row>
    <row r="10117" spans="1:11">
      <c r="A10117" s="33" t="s">
        <v>23134</v>
      </c>
      <c r="B10117" s="33" t="s">
        <v>23135</v>
      </c>
      <c r="C10117" s="33" t="s">
        <v>343</v>
      </c>
      <c r="D10117" s="33" t="s">
        <v>17</v>
      </c>
      <c r="E10117" s="33" t="s">
        <v>18</v>
      </c>
      <c r="F10117" s="33" t="s">
        <v>19</v>
      </c>
      <c r="G10117" s="33" t="s">
        <v>20</v>
      </c>
      <c r="H10117" s="35">
        <v>30</v>
      </c>
      <c r="I10117" s="33" t="s">
        <v>21</v>
      </c>
      <c r="J10117" s="42">
        <v>44631</v>
      </c>
      <c r="K10117" s="33" t="s">
        <v>22</v>
      </c>
    </row>
    <row r="10118" spans="1:11">
      <c r="A10118" s="30" t="s">
        <v>23136</v>
      </c>
      <c r="B10118" s="30" t="s">
        <v>23137</v>
      </c>
      <c r="C10118" s="30" t="s">
        <v>75</v>
      </c>
      <c r="D10118" s="30" t="s">
        <v>17</v>
      </c>
      <c r="E10118" s="30" t="s">
        <v>26</v>
      </c>
      <c r="F10118" s="30" t="s">
        <v>27</v>
      </c>
      <c r="G10118" s="30" t="s">
        <v>20</v>
      </c>
      <c r="H10118" s="32">
        <v>45</v>
      </c>
      <c r="I10118" s="30" t="s">
        <v>21</v>
      </c>
      <c r="J10118" s="41">
        <v>44672</v>
      </c>
      <c r="K10118" s="30" t="s">
        <v>22</v>
      </c>
    </row>
    <row r="10119" spans="1:11">
      <c r="A10119" s="33" t="s">
        <v>23138</v>
      </c>
      <c r="B10119" s="33" t="s">
        <v>23139</v>
      </c>
      <c r="C10119" s="33" t="s">
        <v>10696</v>
      </c>
      <c r="D10119" s="33" t="s">
        <v>17</v>
      </c>
      <c r="E10119" s="33" t="s">
        <v>26</v>
      </c>
      <c r="F10119" s="33" t="s">
        <v>27</v>
      </c>
      <c r="G10119" s="33" t="s">
        <v>50</v>
      </c>
      <c r="H10119" s="35">
        <v>10</v>
      </c>
      <c r="I10119" s="33" t="s">
        <v>51</v>
      </c>
      <c r="J10119" s="42">
        <v>44805</v>
      </c>
      <c r="K10119" s="33" t="s">
        <v>22</v>
      </c>
    </row>
    <row r="10120" spans="1:11">
      <c r="A10120" s="30" t="s">
        <v>23140</v>
      </c>
      <c r="B10120" s="30" t="s">
        <v>23141</v>
      </c>
      <c r="C10120" s="30" t="s">
        <v>23142</v>
      </c>
      <c r="D10120" s="30" t="s">
        <v>17</v>
      </c>
      <c r="E10120" s="30" t="s">
        <v>67</v>
      </c>
      <c r="F10120" s="30" t="s">
        <v>68</v>
      </c>
      <c r="G10120" s="30" t="s">
        <v>140</v>
      </c>
      <c r="H10120" s="32">
        <v>49</v>
      </c>
      <c r="I10120" s="30" t="s">
        <v>51</v>
      </c>
      <c r="J10120" s="41">
        <v>44712</v>
      </c>
      <c r="K10120" s="30" t="s">
        <v>22</v>
      </c>
    </row>
    <row r="10121" spans="1:11">
      <c r="A10121" s="33" t="s">
        <v>23143</v>
      </c>
      <c r="B10121" s="33" t="s">
        <v>23144</v>
      </c>
      <c r="C10121" s="33" t="s">
        <v>23145</v>
      </c>
      <c r="D10121" s="33" t="s">
        <v>17</v>
      </c>
      <c r="E10121" s="33" t="s">
        <v>26</v>
      </c>
      <c r="F10121" s="33" t="s">
        <v>27</v>
      </c>
      <c r="G10121" s="33" t="s">
        <v>20</v>
      </c>
      <c r="H10121" s="35">
        <v>36</v>
      </c>
      <c r="I10121" s="33" t="s">
        <v>21</v>
      </c>
      <c r="J10121" s="42">
        <v>44764</v>
      </c>
      <c r="K10121" s="33" t="s">
        <v>22</v>
      </c>
    </row>
    <row r="10122" spans="1:11">
      <c r="A10122" s="30" t="s">
        <v>23146</v>
      </c>
      <c r="B10122" s="30" t="s">
        <v>23147</v>
      </c>
      <c r="C10122" s="30" t="s">
        <v>2323</v>
      </c>
      <c r="D10122" s="30" t="s">
        <v>17</v>
      </c>
      <c r="E10122" s="30" t="s">
        <v>67</v>
      </c>
      <c r="F10122" s="30" t="s">
        <v>68</v>
      </c>
      <c r="G10122" s="30" t="s">
        <v>140</v>
      </c>
      <c r="H10122" s="32">
        <v>133</v>
      </c>
      <c r="I10122" s="30" t="s">
        <v>51</v>
      </c>
      <c r="J10122" s="41">
        <v>44585</v>
      </c>
      <c r="K10122" s="30" t="s">
        <v>22</v>
      </c>
    </row>
    <row r="10123" spans="1:11">
      <c r="A10123" s="33" t="s">
        <v>23148</v>
      </c>
      <c r="B10123" s="33" t="s">
        <v>23149</v>
      </c>
      <c r="C10123" s="33" t="s">
        <v>4742</v>
      </c>
      <c r="D10123" s="33" t="s">
        <v>17</v>
      </c>
      <c r="E10123" s="33" t="s">
        <v>212</v>
      </c>
      <c r="F10123" s="33" t="s">
        <v>213</v>
      </c>
      <c r="G10123" s="33" t="s">
        <v>20</v>
      </c>
      <c r="H10123" s="35">
        <v>395</v>
      </c>
      <c r="I10123" s="33" t="s">
        <v>21</v>
      </c>
      <c r="J10123" s="42">
        <v>44569</v>
      </c>
      <c r="K10123" s="33" t="s">
        <v>22</v>
      </c>
    </row>
    <row r="10124" spans="1:11">
      <c r="A10124" s="30" t="s">
        <v>23150</v>
      </c>
      <c r="B10124" s="30" t="s">
        <v>23151</v>
      </c>
      <c r="C10124" s="30" t="s">
        <v>9629</v>
      </c>
      <c r="D10124" s="30" t="s">
        <v>17</v>
      </c>
      <c r="E10124" s="30" t="s">
        <v>67</v>
      </c>
      <c r="F10124" s="30" t="s">
        <v>68</v>
      </c>
      <c r="G10124" s="30" t="s">
        <v>50</v>
      </c>
      <c r="H10124" s="32">
        <v>200</v>
      </c>
      <c r="I10124" s="30" t="s">
        <v>51</v>
      </c>
      <c r="J10124" s="41">
        <v>44662</v>
      </c>
      <c r="K10124" s="30" t="s">
        <v>22</v>
      </c>
    </row>
    <row r="10125" spans="1:11">
      <c r="A10125" s="33" t="s">
        <v>23152</v>
      </c>
      <c r="B10125" s="33" t="s">
        <v>23153</v>
      </c>
      <c r="C10125" s="33" t="s">
        <v>440</v>
      </c>
      <c r="D10125" s="33" t="s">
        <v>17</v>
      </c>
      <c r="E10125" s="33" t="s">
        <v>18</v>
      </c>
      <c r="F10125" s="33" t="s">
        <v>19</v>
      </c>
      <c r="G10125" s="33" t="s">
        <v>50</v>
      </c>
      <c r="H10125" s="35">
        <v>400</v>
      </c>
      <c r="I10125" s="33" t="s">
        <v>51</v>
      </c>
      <c r="J10125" s="42">
        <v>44896</v>
      </c>
      <c r="K10125" s="33" t="s">
        <v>22</v>
      </c>
    </row>
    <row r="10126" spans="1:11">
      <c r="A10126" s="30" t="s">
        <v>23154</v>
      </c>
      <c r="B10126" s="30" t="s">
        <v>23155</v>
      </c>
      <c r="C10126" s="30" t="s">
        <v>2508</v>
      </c>
      <c r="D10126" s="30" t="s">
        <v>17</v>
      </c>
      <c r="E10126" s="30" t="s">
        <v>18</v>
      </c>
      <c r="F10126" s="30" t="s">
        <v>19</v>
      </c>
      <c r="G10126" s="30" t="s">
        <v>158</v>
      </c>
      <c r="H10126" s="32">
        <v>180</v>
      </c>
      <c r="I10126" s="30" t="s">
        <v>21</v>
      </c>
      <c r="J10126" s="41">
        <v>44880</v>
      </c>
      <c r="K10126" s="30" t="s">
        <v>22</v>
      </c>
    </row>
    <row r="10127" spans="1:11">
      <c r="A10127" s="33" t="s">
        <v>23156</v>
      </c>
      <c r="B10127" s="33" t="s">
        <v>23157</v>
      </c>
      <c r="C10127" s="33" t="s">
        <v>14307</v>
      </c>
      <c r="D10127" s="33" t="s">
        <v>17</v>
      </c>
      <c r="E10127" s="33" t="s">
        <v>31</v>
      </c>
      <c r="F10127" s="33" t="s">
        <v>32</v>
      </c>
      <c r="G10127" s="33" t="s">
        <v>20</v>
      </c>
      <c r="H10127" s="35">
        <v>177</v>
      </c>
      <c r="I10127" s="33" t="s">
        <v>21</v>
      </c>
      <c r="J10127" s="42">
        <v>44567</v>
      </c>
      <c r="K10127" s="33" t="s">
        <v>22</v>
      </c>
    </row>
    <row r="10128" spans="1:11">
      <c r="A10128" s="30" t="s">
        <v>23158</v>
      </c>
      <c r="B10128" s="30" t="s">
        <v>23159</v>
      </c>
      <c r="C10128" s="30" t="s">
        <v>7072</v>
      </c>
      <c r="D10128" s="30" t="s">
        <v>17</v>
      </c>
      <c r="E10128" s="30" t="s">
        <v>26</v>
      </c>
      <c r="F10128" s="30" t="s">
        <v>27</v>
      </c>
      <c r="G10128" s="30" t="s">
        <v>20</v>
      </c>
      <c r="H10128" s="32">
        <v>21</v>
      </c>
      <c r="I10128" s="30" t="s">
        <v>21</v>
      </c>
      <c r="J10128" s="41">
        <v>44719</v>
      </c>
      <c r="K10128" s="30" t="s">
        <v>22</v>
      </c>
    </row>
    <row r="10129" spans="1:11">
      <c r="A10129" s="33" t="s">
        <v>23160</v>
      </c>
      <c r="B10129" s="33" t="s">
        <v>23161</v>
      </c>
      <c r="C10129" s="33" t="s">
        <v>23162</v>
      </c>
      <c r="D10129" s="33" t="s">
        <v>17</v>
      </c>
      <c r="E10129" s="33" t="s">
        <v>330</v>
      </c>
      <c r="F10129" s="33" t="s">
        <v>331</v>
      </c>
      <c r="G10129" s="33" t="s">
        <v>106</v>
      </c>
      <c r="H10129" s="35">
        <v>3</v>
      </c>
      <c r="I10129" s="33" t="s">
        <v>21</v>
      </c>
      <c r="J10129" s="42">
        <v>44685</v>
      </c>
      <c r="K10129" s="33" t="s">
        <v>22</v>
      </c>
    </row>
    <row r="10130" spans="1:11">
      <c r="A10130" s="30" t="s">
        <v>23163</v>
      </c>
      <c r="B10130" s="30" t="s">
        <v>23164</v>
      </c>
      <c r="C10130" s="30" t="s">
        <v>54</v>
      </c>
      <c r="D10130" s="30" t="s">
        <v>17</v>
      </c>
      <c r="E10130" s="30" t="s">
        <v>18</v>
      </c>
      <c r="F10130" s="30" t="s">
        <v>19</v>
      </c>
      <c r="G10130" s="30" t="s">
        <v>106</v>
      </c>
      <c r="H10130" s="32">
        <v>202</v>
      </c>
      <c r="I10130" s="30" t="s">
        <v>21</v>
      </c>
      <c r="J10130" s="41">
        <v>44572</v>
      </c>
      <c r="K10130" s="30" t="s">
        <v>22</v>
      </c>
    </row>
    <row r="10131" spans="1:11">
      <c r="A10131" s="33" t="s">
        <v>23165</v>
      </c>
      <c r="B10131" s="33" t="s">
        <v>23166</v>
      </c>
      <c r="C10131" s="33" t="s">
        <v>3057</v>
      </c>
      <c r="D10131" s="33" t="s">
        <v>17</v>
      </c>
      <c r="E10131" s="33" t="s">
        <v>26</v>
      </c>
      <c r="F10131" s="33" t="s">
        <v>27</v>
      </c>
      <c r="G10131" s="33" t="s">
        <v>106</v>
      </c>
      <c r="H10131" s="35">
        <v>2</v>
      </c>
      <c r="I10131" s="33" t="s">
        <v>21</v>
      </c>
      <c r="J10131" s="42">
        <v>44666</v>
      </c>
      <c r="K10131" s="33" t="s">
        <v>22</v>
      </c>
    </row>
    <row r="10132" spans="1:11">
      <c r="A10132" s="30" t="s">
        <v>23167</v>
      </c>
      <c r="B10132" s="30" t="s">
        <v>23168</v>
      </c>
      <c r="C10132" s="30" t="s">
        <v>3451</v>
      </c>
      <c r="D10132" s="30" t="s">
        <v>17</v>
      </c>
      <c r="E10132" s="30" t="s">
        <v>67</v>
      </c>
      <c r="F10132" s="30" t="s">
        <v>68</v>
      </c>
      <c r="G10132" s="30" t="s">
        <v>20</v>
      </c>
      <c r="H10132" s="32">
        <v>60</v>
      </c>
      <c r="I10132" s="30" t="s">
        <v>21</v>
      </c>
      <c r="J10132" s="41">
        <v>44756</v>
      </c>
      <c r="K10132" s="30" t="s">
        <v>22</v>
      </c>
    </row>
    <row r="10133" spans="1:11">
      <c r="A10133" s="33" t="s">
        <v>23169</v>
      </c>
      <c r="B10133" s="33" t="s">
        <v>23170</v>
      </c>
      <c r="C10133" s="33" t="s">
        <v>567</v>
      </c>
      <c r="D10133" s="33" t="s">
        <v>17</v>
      </c>
      <c r="E10133" s="33" t="s">
        <v>26</v>
      </c>
      <c r="F10133" s="33" t="s">
        <v>27</v>
      </c>
      <c r="G10133" s="33" t="s">
        <v>20</v>
      </c>
      <c r="H10133" s="35">
        <v>21</v>
      </c>
      <c r="I10133" s="33" t="s">
        <v>21</v>
      </c>
      <c r="J10133" s="42">
        <v>44572</v>
      </c>
      <c r="K10133" s="33" t="s">
        <v>22</v>
      </c>
    </row>
    <row r="10134" spans="1:11">
      <c r="A10134" s="30" t="s">
        <v>23171</v>
      </c>
      <c r="B10134" s="30" t="s">
        <v>23172</v>
      </c>
      <c r="C10134" s="30" t="s">
        <v>733</v>
      </c>
      <c r="D10134" s="30" t="s">
        <v>17</v>
      </c>
      <c r="E10134" s="30" t="s">
        <v>31</v>
      </c>
      <c r="F10134" s="30" t="s">
        <v>32</v>
      </c>
      <c r="G10134" s="30" t="s">
        <v>20</v>
      </c>
      <c r="H10134" s="32">
        <v>290</v>
      </c>
      <c r="I10134" s="30" t="s">
        <v>21</v>
      </c>
      <c r="J10134" s="41">
        <v>44834</v>
      </c>
      <c r="K10134" s="30" t="s">
        <v>22</v>
      </c>
    </row>
    <row r="10135" spans="1:11">
      <c r="A10135" s="33" t="s">
        <v>23173</v>
      </c>
      <c r="B10135" s="33" t="s">
        <v>23174</v>
      </c>
      <c r="C10135" s="33" t="s">
        <v>969</v>
      </c>
      <c r="D10135" s="33" t="s">
        <v>17</v>
      </c>
      <c r="E10135" s="33" t="s">
        <v>26</v>
      </c>
      <c r="F10135" s="33" t="s">
        <v>27</v>
      </c>
      <c r="G10135" s="33" t="s">
        <v>20</v>
      </c>
      <c r="H10135" s="35">
        <v>38</v>
      </c>
      <c r="I10135" s="33" t="s">
        <v>21</v>
      </c>
      <c r="J10135" s="42">
        <v>44869</v>
      </c>
      <c r="K10135" s="33" t="s">
        <v>22</v>
      </c>
    </row>
    <row r="10136" spans="1:11">
      <c r="A10136" s="30" t="s">
        <v>23175</v>
      </c>
      <c r="B10136" s="30" t="s">
        <v>23176</v>
      </c>
      <c r="C10136" s="30" t="s">
        <v>4730</v>
      </c>
      <c r="D10136" s="30" t="s">
        <v>17</v>
      </c>
      <c r="E10136" s="30" t="s">
        <v>26</v>
      </c>
      <c r="F10136" s="30" t="s">
        <v>27</v>
      </c>
      <c r="G10136" s="30" t="s">
        <v>20</v>
      </c>
      <c r="H10136" s="32">
        <v>6</v>
      </c>
      <c r="I10136" s="30" t="s">
        <v>21</v>
      </c>
      <c r="J10136" s="41">
        <v>44775</v>
      </c>
      <c r="K10136" s="30" t="s">
        <v>22</v>
      </c>
    </row>
    <row r="10137" spans="1:11">
      <c r="A10137" s="33" t="s">
        <v>23177</v>
      </c>
      <c r="B10137" s="33" t="s">
        <v>23178</v>
      </c>
      <c r="C10137" s="33" t="s">
        <v>407</v>
      </c>
      <c r="D10137" s="33" t="s">
        <v>17</v>
      </c>
      <c r="E10137" s="33" t="s">
        <v>18</v>
      </c>
      <c r="F10137" s="33" t="s">
        <v>19</v>
      </c>
      <c r="G10137" s="33" t="s">
        <v>20</v>
      </c>
      <c r="H10137" s="35">
        <v>354</v>
      </c>
      <c r="I10137" s="33" t="s">
        <v>21</v>
      </c>
      <c r="J10137" s="42">
        <v>44859</v>
      </c>
      <c r="K10137" s="33" t="s">
        <v>22</v>
      </c>
    </row>
    <row r="10138" spans="1:11">
      <c r="A10138" s="30" t="s">
        <v>23179</v>
      </c>
      <c r="B10138" s="30" t="s">
        <v>23180</v>
      </c>
      <c r="C10138" s="30" t="s">
        <v>310</v>
      </c>
      <c r="D10138" s="30" t="s">
        <v>17</v>
      </c>
      <c r="E10138" s="30" t="s">
        <v>26</v>
      </c>
      <c r="F10138" s="30" t="s">
        <v>27</v>
      </c>
      <c r="G10138" s="30" t="s">
        <v>20</v>
      </c>
      <c r="H10138" s="32">
        <v>24</v>
      </c>
      <c r="I10138" s="30" t="s">
        <v>21</v>
      </c>
      <c r="J10138" s="41">
        <v>44623</v>
      </c>
      <c r="K10138" s="30" t="s">
        <v>22</v>
      </c>
    </row>
    <row r="10139" spans="1:11">
      <c r="A10139" s="33" t="s">
        <v>23181</v>
      </c>
      <c r="B10139" s="33" t="s">
        <v>23182</v>
      </c>
      <c r="C10139" s="33" t="s">
        <v>23183</v>
      </c>
      <c r="D10139" s="33" t="s">
        <v>17</v>
      </c>
      <c r="E10139" s="33" t="s">
        <v>67</v>
      </c>
      <c r="F10139" s="33" t="s">
        <v>68</v>
      </c>
      <c r="G10139" s="33" t="s">
        <v>106</v>
      </c>
      <c r="H10139" s="35">
        <v>23</v>
      </c>
      <c r="I10139" s="33" t="s">
        <v>21</v>
      </c>
      <c r="J10139" s="42">
        <v>44771</v>
      </c>
      <c r="K10139" s="33" t="s">
        <v>22</v>
      </c>
    </row>
    <row r="10140" spans="1:11">
      <c r="A10140" s="30" t="s">
        <v>23184</v>
      </c>
      <c r="B10140" s="30" t="s">
        <v>23185</v>
      </c>
      <c r="C10140" s="30" t="s">
        <v>1469</v>
      </c>
      <c r="D10140" s="30" t="s">
        <v>17</v>
      </c>
      <c r="E10140" s="30" t="s">
        <v>26</v>
      </c>
      <c r="F10140" s="30" t="s">
        <v>27</v>
      </c>
      <c r="G10140" s="30" t="s">
        <v>20</v>
      </c>
      <c r="H10140" s="32">
        <v>192</v>
      </c>
      <c r="I10140" s="30" t="s">
        <v>21</v>
      </c>
      <c r="J10140" s="41">
        <v>44784</v>
      </c>
      <c r="K10140" s="30" t="s">
        <v>22</v>
      </c>
    </row>
    <row r="10141" spans="1:11">
      <c r="A10141" s="33" t="s">
        <v>23186</v>
      </c>
      <c r="B10141" s="33" t="s">
        <v>23187</v>
      </c>
      <c r="C10141" s="33" t="s">
        <v>899</v>
      </c>
      <c r="D10141" s="33" t="s">
        <v>17</v>
      </c>
      <c r="E10141" s="33" t="s">
        <v>31</v>
      </c>
      <c r="F10141" s="33" t="s">
        <v>32</v>
      </c>
      <c r="G10141" s="33" t="s">
        <v>112</v>
      </c>
      <c r="H10141" s="35">
        <v>0</v>
      </c>
      <c r="I10141" s="33" t="s">
        <v>21</v>
      </c>
      <c r="J10141" s="42">
        <v>44892</v>
      </c>
      <c r="K10141" s="33" t="s">
        <v>22</v>
      </c>
    </row>
    <row r="10142" spans="1:11">
      <c r="A10142" s="30" t="s">
        <v>23188</v>
      </c>
      <c r="B10142" s="30" t="s">
        <v>23189</v>
      </c>
      <c r="C10142" s="30" t="s">
        <v>17901</v>
      </c>
      <c r="D10142" s="30" t="s">
        <v>17</v>
      </c>
      <c r="E10142" s="30" t="s">
        <v>31</v>
      </c>
      <c r="F10142" s="30" t="s">
        <v>32</v>
      </c>
      <c r="G10142" s="30" t="s">
        <v>50</v>
      </c>
      <c r="H10142" s="32">
        <v>20</v>
      </c>
      <c r="I10142" s="30" t="s">
        <v>51</v>
      </c>
      <c r="J10142" s="41">
        <v>44824</v>
      </c>
      <c r="K10142" s="30" t="s">
        <v>22</v>
      </c>
    </row>
    <row r="10143" spans="1:11">
      <c r="A10143" s="33" t="s">
        <v>23190</v>
      </c>
      <c r="B10143" s="33" t="s">
        <v>23191</v>
      </c>
      <c r="C10143" s="33" t="s">
        <v>15911</v>
      </c>
      <c r="D10143" s="33" t="s">
        <v>17</v>
      </c>
      <c r="E10143" s="33" t="s">
        <v>26</v>
      </c>
      <c r="F10143" s="33" t="s">
        <v>27</v>
      </c>
      <c r="G10143" s="33" t="s">
        <v>20</v>
      </c>
      <c r="H10143" s="35">
        <v>89</v>
      </c>
      <c r="I10143" s="33" t="s">
        <v>21</v>
      </c>
      <c r="J10143" s="42">
        <v>44903</v>
      </c>
      <c r="K10143" s="33" t="s">
        <v>22</v>
      </c>
    </row>
    <row r="10144" spans="1:11">
      <c r="A10144" s="30" t="s">
        <v>23192</v>
      </c>
      <c r="B10144" s="30" t="s">
        <v>23193</v>
      </c>
      <c r="C10144" s="30" t="s">
        <v>157</v>
      </c>
      <c r="D10144" s="30" t="s">
        <v>17</v>
      </c>
      <c r="E10144" s="30" t="s">
        <v>26</v>
      </c>
      <c r="F10144" s="30" t="s">
        <v>27</v>
      </c>
      <c r="G10144" s="30" t="s">
        <v>106</v>
      </c>
      <c r="H10144" s="32">
        <v>1</v>
      </c>
      <c r="I10144" s="30" t="s">
        <v>21</v>
      </c>
      <c r="J10144" s="41">
        <v>44622</v>
      </c>
      <c r="K10144" s="30" t="s">
        <v>22</v>
      </c>
    </row>
    <row r="10145" spans="1:11">
      <c r="A10145" s="33" t="s">
        <v>23194</v>
      </c>
      <c r="B10145" s="33" t="s">
        <v>23195</v>
      </c>
      <c r="C10145" s="33" t="s">
        <v>7280</v>
      </c>
      <c r="D10145" s="33" t="s">
        <v>17</v>
      </c>
      <c r="E10145" s="33" t="s">
        <v>31</v>
      </c>
      <c r="F10145" s="33" t="s">
        <v>32</v>
      </c>
      <c r="G10145" s="33" t="s">
        <v>20</v>
      </c>
      <c r="H10145" s="35">
        <v>125</v>
      </c>
      <c r="I10145" s="33" t="s">
        <v>21</v>
      </c>
      <c r="J10145" s="42">
        <v>44895</v>
      </c>
      <c r="K10145" s="33" t="s">
        <v>22</v>
      </c>
    </row>
    <row r="10146" spans="1:11">
      <c r="A10146" s="30" t="s">
        <v>23196</v>
      </c>
      <c r="B10146" s="30" t="s">
        <v>23197</v>
      </c>
      <c r="C10146" s="30" t="s">
        <v>20619</v>
      </c>
      <c r="D10146" s="30" t="s">
        <v>17</v>
      </c>
      <c r="E10146" s="30" t="s">
        <v>212</v>
      </c>
      <c r="F10146" s="30" t="s">
        <v>213</v>
      </c>
      <c r="G10146" s="30" t="s">
        <v>50</v>
      </c>
      <c r="H10146" s="32">
        <v>256</v>
      </c>
      <c r="I10146" s="30" t="s">
        <v>51</v>
      </c>
      <c r="J10146" s="41">
        <v>44593</v>
      </c>
      <c r="K10146" s="30" t="s">
        <v>22</v>
      </c>
    </row>
    <row r="10147" spans="1:11">
      <c r="A10147" s="33" t="s">
        <v>23198</v>
      </c>
      <c r="B10147" s="33" t="s">
        <v>23199</v>
      </c>
      <c r="C10147" s="33" t="s">
        <v>23200</v>
      </c>
      <c r="D10147" s="33" t="s">
        <v>17</v>
      </c>
      <c r="E10147" s="33" t="s">
        <v>26</v>
      </c>
      <c r="F10147" s="33" t="s">
        <v>27</v>
      </c>
      <c r="G10147" s="33" t="s">
        <v>158</v>
      </c>
      <c r="H10147" s="35">
        <v>19</v>
      </c>
      <c r="I10147" s="33" t="s">
        <v>21</v>
      </c>
      <c r="J10147" s="42">
        <v>44894</v>
      </c>
      <c r="K10147" s="33" t="s">
        <v>22</v>
      </c>
    </row>
    <row r="10148" spans="1:11">
      <c r="A10148" s="30" t="s">
        <v>23201</v>
      </c>
      <c r="B10148" s="30" t="s">
        <v>23202</v>
      </c>
      <c r="C10148" s="30" t="s">
        <v>524</v>
      </c>
      <c r="D10148" s="30" t="s">
        <v>17</v>
      </c>
      <c r="E10148" s="30" t="s">
        <v>26</v>
      </c>
      <c r="F10148" s="30" t="s">
        <v>27</v>
      </c>
      <c r="G10148" s="30" t="s">
        <v>20</v>
      </c>
      <c r="H10148" s="32">
        <v>82</v>
      </c>
      <c r="I10148" s="30" t="s">
        <v>21</v>
      </c>
      <c r="J10148" s="41">
        <v>44833</v>
      </c>
      <c r="K10148" s="30" t="s">
        <v>22</v>
      </c>
    </row>
    <row r="10149" spans="1:11">
      <c r="A10149" s="33" t="s">
        <v>23203</v>
      </c>
      <c r="B10149" s="33" t="s">
        <v>23204</v>
      </c>
      <c r="C10149" s="33" t="s">
        <v>5232</v>
      </c>
      <c r="D10149" s="33" t="s">
        <v>17</v>
      </c>
      <c r="E10149" s="33" t="s">
        <v>31</v>
      </c>
      <c r="F10149" s="33" t="s">
        <v>32</v>
      </c>
      <c r="G10149" s="33" t="s">
        <v>20</v>
      </c>
      <c r="H10149" s="35">
        <v>104</v>
      </c>
      <c r="I10149" s="33" t="s">
        <v>21</v>
      </c>
      <c r="J10149" s="42">
        <v>44727</v>
      </c>
      <c r="K10149" s="33" t="s">
        <v>22</v>
      </c>
    </row>
    <row r="10150" spans="1:11">
      <c r="A10150" s="30" t="s">
        <v>23205</v>
      </c>
      <c r="B10150" s="30" t="s">
        <v>23206</v>
      </c>
      <c r="C10150" s="30" t="s">
        <v>1877</v>
      </c>
      <c r="D10150" s="30" t="s">
        <v>17</v>
      </c>
      <c r="E10150" s="30" t="s">
        <v>26</v>
      </c>
      <c r="F10150" s="30" t="s">
        <v>27</v>
      </c>
      <c r="G10150" s="30" t="s">
        <v>20</v>
      </c>
      <c r="H10150" s="32">
        <v>86</v>
      </c>
      <c r="I10150" s="30" t="s">
        <v>21</v>
      </c>
      <c r="J10150" s="41">
        <v>44791</v>
      </c>
      <c r="K10150" s="30" t="s">
        <v>22</v>
      </c>
    </row>
    <row r="10151" spans="1:11">
      <c r="A10151" s="33" t="s">
        <v>23207</v>
      </c>
      <c r="B10151" s="33" t="s">
        <v>23208</v>
      </c>
      <c r="C10151" s="33" t="s">
        <v>23209</v>
      </c>
      <c r="D10151" s="33" t="s">
        <v>17</v>
      </c>
      <c r="E10151" s="33" t="s">
        <v>18</v>
      </c>
      <c r="F10151" s="33" t="s">
        <v>19</v>
      </c>
      <c r="G10151" s="33" t="s">
        <v>20</v>
      </c>
      <c r="H10151" s="35">
        <v>151</v>
      </c>
      <c r="I10151" s="33" t="s">
        <v>21</v>
      </c>
      <c r="J10151" s="42">
        <v>44882</v>
      </c>
      <c r="K10151" s="33" t="s">
        <v>22</v>
      </c>
    </row>
    <row r="10152" spans="1:11">
      <c r="A10152" s="30" t="s">
        <v>23210</v>
      </c>
      <c r="B10152" s="30" t="s">
        <v>23211</v>
      </c>
      <c r="C10152" s="30" t="s">
        <v>93</v>
      </c>
      <c r="D10152" s="30" t="s">
        <v>17</v>
      </c>
      <c r="E10152" s="30" t="s">
        <v>31</v>
      </c>
      <c r="F10152" s="30" t="s">
        <v>32</v>
      </c>
      <c r="G10152" s="30" t="s">
        <v>20</v>
      </c>
      <c r="H10152" s="32">
        <v>83</v>
      </c>
      <c r="I10152" s="30" t="s">
        <v>21</v>
      </c>
      <c r="J10152" s="41">
        <v>44649</v>
      </c>
      <c r="K10152" s="30" t="s">
        <v>22</v>
      </c>
    </row>
    <row r="10153" spans="1:11">
      <c r="A10153" s="33" t="s">
        <v>23212</v>
      </c>
      <c r="B10153" s="33" t="s">
        <v>23213</v>
      </c>
      <c r="C10153" s="33" t="s">
        <v>222</v>
      </c>
      <c r="D10153" s="33" t="s">
        <v>17</v>
      </c>
      <c r="E10153" s="33" t="s">
        <v>31</v>
      </c>
      <c r="F10153" s="33" t="s">
        <v>32</v>
      </c>
      <c r="G10153" s="33" t="s">
        <v>20</v>
      </c>
      <c r="H10153" s="35">
        <v>65</v>
      </c>
      <c r="I10153" s="33" t="s">
        <v>21</v>
      </c>
      <c r="J10153" s="42">
        <v>44854</v>
      </c>
      <c r="K10153" s="33" t="s">
        <v>22</v>
      </c>
    </row>
    <row r="10154" spans="1:11">
      <c r="A10154" s="30" t="s">
        <v>23214</v>
      </c>
      <c r="B10154" s="30" t="s">
        <v>23215</v>
      </c>
      <c r="C10154" s="30" t="s">
        <v>6955</v>
      </c>
      <c r="D10154" s="30" t="s">
        <v>17</v>
      </c>
      <c r="E10154" s="30" t="s">
        <v>26</v>
      </c>
      <c r="F10154" s="30" t="s">
        <v>27</v>
      </c>
      <c r="G10154" s="30" t="s">
        <v>20</v>
      </c>
      <c r="H10154" s="32">
        <v>61</v>
      </c>
      <c r="I10154" s="30" t="s">
        <v>21</v>
      </c>
      <c r="J10154" s="41">
        <v>44622</v>
      </c>
      <c r="K10154" s="30" t="s">
        <v>22</v>
      </c>
    </row>
    <row r="10155" spans="1:11">
      <c r="A10155" s="33" t="s">
        <v>23216</v>
      </c>
      <c r="B10155" s="33" t="s">
        <v>23217</v>
      </c>
      <c r="C10155" s="33" t="s">
        <v>12295</v>
      </c>
      <c r="D10155" s="33" t="s">
        <v>17</v>
      </c>
      <c r="E10155" s="33" t="s">
        <v>31</v>
      </c>
      <c r="F10155" s="33" t="s">
        <v>32</v>
      </c>
      <c r="G10155" s="33" t="s">
        <v>20</v>
      </c>
      <c r="H10155" s="35">
        <v>12</v>
      </c>
      <c r="I10155" s="33" t="s">
        <v>21</v>
      </c>
      <c r="J10155" s="42">
        <v>44621</v>
      </c>
      <c r="K10155" s="33" t="s">
        <v>22</v>
      </c>
    </row>
    <row r="10156" spans="1:11">
      <c r="A10156" s="30" t="s">
        <v>23218</v>
      </c>
      <c r="B10156" s="30" t="s">
        <v>23219</v>
      </c>
      <c r="C10156" s="30" t="s">
        <v>353</v>
      </c>
      <c r="D10156" s="30" t="s">
        <v>17</v>
      </c>
      <c r="E10156" s="30" t="s">
        <v>18</v>
      </c>
      <c r="F10156" s="30" t="s">
        <v>19</v>
      </c>
      <c r="G10156" s="30" t="s">
        <v>20</v>
      </c>
      <c r="H10156" s="32">
        <v>60</v>
      </c>
      <c r="I10156" s="30" t="s">
        <v>21</v>
      </c>
      <c r="J10156" s="41">
        <v>44685</v>
      </c>
      <c r="K10156" s="30" t="s">
        <v>22</v>
      </c>
    </row>
    <row r="10157" spans="1:11">
      <c r="A10157" s="33" t="s">
        <v>23220</v>
      </c>
      <c r="B10157" s="33" t="s">
        <v>23221</v>
      </c>
      <c r="C10157" s="33" t="s">
        <v>787</v>
      </c>
      <c r="D10157" s="33" t="s">
        <v>17</v>
      </c>
      <c r="E10157" s="33" t="s">
        <v>26</v>
      </c>
      <c r="F10157" s="33" t="s">
        <v>27</v>
      </c>
      <c r="G10157" s="33" t="s">
        <v>50</v>
      </c>
      <c r="H10157" s="35">
        <v>22</v>
      </c>
      <c r="I10157" s="33" t="s">
        <v>51</v>
      </c>
      <c r="J10157" s="42">
        <v>44712</v>
      </c>
      <c r="K10157" s="33" t="s">
        <v>22</v>
      </c>
    </row>
    <row r="10158" spans="1:11">
      <c r="A10158" s="30" t="s">
        <v>23222</v>
      </c>
      <c r="B10158" s="30" t="s">
        <v>23223</v>
      </c>
      <c r="C10158" s="30" t="s">
        <v>12879</v>
      </c>
      <c r="D10158" s="30" t="s">
        <v>17</v>
      </c>
      <c r="E10158" s="30" t="s">
        <v>18</v>
      </c>
      <c r="F10158" s="30" t="s">
        <v>19</v>
      </c>
      <c r="G10158" s="30" t="s">
        <v>20</v>
      </c>
      <c r="H10158" s="32">
        <v>684</v>
      </c>
      <c r="I10158" s="30" t="s">
        <v>21</v>
      </c>
      <c r="J10158" s="41">
        <v>44734</v>
      </c>
      <c r="K10158" s="30" t="s">
        <v>22</v>
      </c>
    </row>
    <row r="10159" spans="1:11">
      <c r="A10159" s="33" t="s">
        <v>23224</v>
      </c>
      <c r="B10159" s="33" t="s">
        <v>23225</v>
      </c>
      <c r="C10159" s="33" t="s">
        <v>14476</v>
      </c>
      <c r="D10159" s="33" t="s">
        <v>17</v>
      </c>
      <c r="E10159" s="33" t="s">
        <v>45</v>
      </c>
      <c r="F10159" s="33" t="s">
        <v>46</v>
      </c>
      <c r="G10159" s="33" t="s">
        <v>140</v>
      </c>
      <c r="H10159" s="35">
        <v>156</v>
      </c>
      <c r="I10159" s="33" t="s">
        <v>51</v>
      </c>
      <c r="J10159" s="42">
        <v>44700</v>
      </c>
      <c r="K10159" s="33" t="s">
        <v>22</v>
      </c>
    </row>
    <row r="10160" spans="1:11">
      <c r="A10160" s="30" t="s">
        <v>23226</v>
      </c>
      <c r="B10160" s="30" t="s">
        <v>23227</v>
      </c>
      <c r="C10160" s="30" t="s">
        <v>12366</v>
      </c>
      <c r="D10160" s="30" t="s">
        <v>17</v>
      </c>
      <c r="E10160" s="30" t="s">
        <v>26</v>
      </c>
      <c r="F10160" s="30" t="s">
        <v>27</v>
      </c>
      <c r="G10160" s="30" t="s">
        <v>140</v>
      </c>
      <c r="H10160" s="32">
        <v>36</v>
      </c>
      <c r="I10160" s="30" t="s">
        <v>51</v>
      </c>
      <c r="J10160" s="41">
        <v>44685</v>
      </c>
      <c r="K10160" s="30" t="s">
        <v>22</v>
      </c>
    </row>
    <row r="10161" spans="1:11">
      <c r="A10161" s="33" t="s">
        <v>23228</v>
      </c>
      <c r="B10161" s="33" t="s">
        <v>23229</v>
      </c>
      <c r="C10161" s="33" t="s">
        <v>190</v>
      </c>
      <c r="D10161" s="33" t="s">
        <v>17</v>
      </c>
      <c r="E10161" s="33" t="s">
        <v>26</v>
      </c>
      <c r="F10161" s="33" t="s">
        <v>27</v>
      </c>
      <c r="G10161" s="33" t="s">
        <v>20</v>
      </c>
      <c r="H10161" s="35">
        <v>21</v>
      </c>
      <c r="I10161" s="33" t="s">
        <v>21</v>
      </c>
      <c r="J10161" s="42">
        <v>44610</v>
      </c>
      <c r="K10161" s="33" t="s">
        <v>22</v>
      </c>
    </row>
    <row r="10162" spans="1:11">
      <c r="A10162" s="30" t="s">
        <v>23230</v>
      </c>
      <c r="B10162" s="30" t="s">
        <v>23231</v>
      </c>
      <c r="C10162" s="30" t="s">
        <v>16259</v>
      </c>
      <c r="D10162" s="30" t="s">
        <v>17</v>
      </c>
      <c r="E10162" s="30" t="s">
        <v>31</v>
      </c>
      <c r="F10162" s="30" t="s">
        <v>32</v>
      </c>
      <c r="G10162" s="30" t="s">
        <v>20</v>
      </c>
      <c r="H10162" s="32">
        <v>20</v>
      </c>
      <c r="I10162" s="30" t="s">
        <v>21</v>
      </c>
      <c r="J10162" s="41">
        <v>44705</v>
      </c>
      <c r="K10162" s="30" t="s">
        <v>22</v>
      </c>
    </row>
    <row r="10163" spans="1:11">
      <c r="A10163" s="33" t="s">
        <v>23232</v>
      </c>
      <c r="B10163" s="33" t="s">
        <v>23233</v>
      </c>
      <c r="C10163" s="33" t="s">
        <v>102</v>
      </c>
      <c r="D10163" s="33" t="s">
        <v>17</v>
      </c>
      <c r="E10163" s="33" t="s">
        <v>67</v>
      </c>
      <c r="F10163" s="33" t="s">
        <v>68</v>
      </c>
      <c r="G10163" s="33" t="s">
        <v>140</v>
      </c>
      <c r="H10163" s="35">
        <v>235</v>
      </c>
      <c r="I10163" s="33" t="s">
        <v>51</v>
      </c>
      <c r="J10163" s="42">
        <v>44662</v>
      </c>
      <c r="K10163" s="33" t="s">
        <v>22</v>
      </c>
    </row>
    <row r="10164" spans="1:11">
      <c r="A10164" s="30" t="s">
        <v>23234</v>
      </c>
      <c r="B10164" s="30" t="s">
        <v>23235</v>
      </c>
      <c r="C10164" s="30" t="s">
        <v>1498</v>
      </c>
      <c r="D10164" s="30" t="s">
        <v>17</v>
      </c>
      <c r="E10164" s="30" t="s">
        <v>18</v>
      </c>
      <c r="F10164" s="30" t="s">
        <v>19</v>
      </c>
      <c r="G10164" s="30" t="s">
        <v>20</v>
      </c>
      <c r="H10164" s="32">
        <v>367</v>
      </c>
      <c r="I10164" s="30" t="s">
        <v>21</v>
      </c>
      <c r="J10164" s="41">
        <v>44872</v>
      </c>
      <c r="K10164" s="30" t="s">
        <v>22</v>
      </c>
    </row>
    <row r="10165" spans="1:11">
      <c r="A10165" s="33" t="s">
        <v>23236</v>
      </c>
      <c r="B10165" s="33" t="s">
        <v>23237</v>
      </c>
      <c r="C10165" s="33" t="s">
        <v>23238</v>
      </c>
      <c r="D10165" s="33" t="s">
        <v>17</v>
      </c>
      <c r="E10165" s="33" t="s">
        <v>26</v>
      </c>
      <c r="F10165" s="33" t="s">
        <v>27</v>
      </c>
      <c r="G10165" s="33" t="s">
        <v>158</v>
      </c>
      <c r="H10165" s="35">
        <v>42</v>
      </c>
      <c r="I10165" s="33" t="s">
        <v>21</v>
      </c>
      <c r="J10165" s="42">
        <v>44671</v>
      </c>
      <c r="K10165" s="33" t="s">
        <v>22</v>
      </c>
    </row>
    <row r="10166" spans="1:11">
      <c r="A10166" s="30" t="s">
        <v>23239</v>
      </c>
      <c r="B10166" s="30" t="s">
        <v>23240</v>
      </c>
      <c r="C10166" s="30" t="s">
        <v>23241</v>
      </c>
      <c r="D10166" s="30" t="s">
        <v>17</v>
      </c>
      <c r="E10166" s="30" t="s">
        <v>18</v>
      </c>
      <c r="F10166" s="30" t="s">
        <v>19</v>
      </c>
      <c r="G10166" s="30" t="s">
        <v>20</v>
      </c>
      <c r="H10166" s="32">
        <v>530</v>
      </c>
      <c r="I10166" s="30" t="s">
        <v>21</v>
      </c>
      <c r="J10166" s="41">
        <v>44801</v>
      </c>
      <c r="K10166" s="30" t="s">
        <v>22</v>
      </c>
    </row>
    <row r="10167" spans="1:11">
      <c r="A10167" s="33" t="s">
        <v>23242</v>
      </c>
      <c r="B10167" s="33" t="s">
        <v>23243</v>
      </c>
      <c r="C10167" s="33" t="s">
        <v>8768</v>
      </c>
      <c r="D10167" s="33" t="s">
        <v>17</v>
      </c>
      <c r="E10167" s="33" t="s">
        <v>26</v>
      </c>
      <c r="F10167" s="33" t="s">
        <v>27</v>
      </c>
      <c r="G10167" s="33" t="s">
        <v>20</v>
      </c>
      <c r="H10167" s="35">
        <v>30</v>
      </c>
      <c r="I10167" s="33" t="s">
        <v>21</v>
      </c>
      <c r="J10167" s="42">
        <v>44591</v>
      </c>
      <c r="K10167" s="33" t="s">
        <v>22</v>
      </c>
    </row>
    <row r="10168" spans="1:11">
      <c r="A10168" s="30" t="s">
        <v>23244</v>
      </c>
      <c r="B10168" s="30" t="s">
        <v>23245</v>
      </c>
      <c r="C10168" s="30" t="s">
        <v>190</v>
      </c>
      <c r="D10168" s="30" t="s">
        <v>17</v>
      </c>
      <c r="E10168" s="30" t="s">
        <v>31</v>
      </c>
      <c r="F10168" s="30" t="s">
        <v>32</v>
      </c>
      <c r="G10168" s="30" t="s">
        <v>140</v>
      </c>
      <c r="H10168" s="32">
        <v>630</v>
      </c>
      <c r="I10168" s="30" t="s">
        <v>51</v>
      </c>
      <c r="J10168" s="41">
        <v>44665</v>
      </c>
      <c r="K10168" s="30" t="s">
        <v>22</v>
      </c>
    </row>
    <row r="10169" spans="1:11">
      <c r="A10169" s="33" t="s">
        <v>23246</v>
      </c>
      <c r="B10169" s="33" t="s">
        <v>23247</v>
      </c>
      <c r="C10169" s="33" t="s">
        <v>178</v>
      </c>
      <c r="D10169" s="33" t="s">
        <v>17</v>
      </c>
      <c r="E10169" s="33" t="s">
        <v>18</v>
      </c>
      <c r="F10169" s="33" t="s">
        <v>19</v>
      </c>
      <c r="G10169" s="33" t="s">
        <v>158</v>
      </c>
      <c r="H10169" s="35">
        <v>1300</v>
      </c>
      <c r="I10169" s="33" t="s">
        <v>51</v>
      </c>
      <c r="J10169" s="42">
        <v>44684</v>
      </c>
      <c r="K10169" s="33" t="s">
        <v>22</v>
      </c>
    </row>
    <row r="10170" spans="1:11">
      <c r="A10170" s="30" t="s">
        <v>23248</v>
      </c>
      <c r="B10170" s="30" t="s">
        <v>23249</v>
      </c>
      <c r="C10170" s="30" t="s">
        <v>75</v>
      </c>
      <c r="D10170" s="30" t="s">
        <v>17</v>
      </c>
      <c r="E10170" s="30" t="s">
        <v>26</v>
      </c>
      <c r="F10170" s="30" t="s">
        <v>27</v>
      </c>
      <c r="G10170" s="30" t="s">
        <v>20</v>
      </c>
      <c r="H10170" s="32">
        <v>36</v>
      </c>
      <c r="I10170" s="30" t="s">
        <v>21</v>
      </c>
      <c r="J10170" s="41">
        <v>44754</v>
      </c>
      <c r="K10170" s="30" t="s">
        <v>22</v>
      </c>
    </row>
    <row r="10171" spans="1:11">
      <c r="A10171" s="33" t="s">
        <v>23250</v>
      </c>
      <c r="B10171" s="33" t="s">
        <v>23251</v>
      </c>
      <c r="C10171" s="33" t="s">
        <v>178</v>
      </c>
      <c r="D10171" s="33" t="s">
        <v>17</v>
      </c>
      <c r="E10171" s="33" t="s">
        <v>18</v>
      </c>
      <c r="F10171" s="33" t="s">
        <v>19</v>
      </c>
      <c r="G10171" s="33" t="s">
        <v>20</v>
      </c>
      <c r="H10171" s="35">
        <v>236</v>
      </c>
      <c r="I10171" s="33" t="s">
        <v>21</v>
      </c>
      <c r="J10171" s="42">
        <v>44684</v>
      </c>
      <c r="K10171" s="33" t="s">
        <v>22</v>
      </c>
    </row>
    <row r="10172" spans="1:11">
      <c r="A10172" s="30" t="s">
        <v>23252</v>
      </c>
      <c r="B10172" s="30" t="s">
        <v>23253</v>
      </c>
      <c r="C10172" s="30" t="s">
        <v>11703</v>
      </c>
      <c r="D10172" s="30" t="s">
        <v>17</v>
      </c>
      <c r="E10172" s="30" t="s">
        <v>26</v>
      </c>
      <c r="F10172" s="30" t="s">
        <v>27</v>
      </c>
      <c r="G10172" s="30" t="s">
        <v>106</v>
      </c>
      <c r="H10172" s="32">
        <v>35</v>
      </c>
      <c r="I10172" s="30" t="s">
        <v>21</v>
      </c>
      <c r="J10172" s="41">
        <v>44615</v>
      </c>
      <c r="K10172" s="30" t="s">
        <v>22</v>
      </c>
    </row>
    <row r="10173" spans="1:11">
      <c r="A10173" s="33" t="s">
        <v>23254</v>
      </c>
      <c r="B10173" s="33" t="s">
        <v>23255</v>
      </c>
      <c r="C10173" s="33" t="s">
        <v>5805</v>
      </c>
      <c r="D10173" s="33" t="s">
        <v>17</v>
      </c>
      <c r="E10173" s="33" t="s">
        <v>31</v>
      </c>
      <c r="F10173" s="33" t="s">
        <v>32</v>
      </c>
      <c r="G10173" s="33" t="s">
        <v>20</v>
      </c>
      <c r="H10173" s="35">
        <v>208</v>
      </c>
      <c r="I10173" s="33" t="s">
        <v>21</v>
      </c>
      <c r="J10173" s="42">
        <v>44700</v>
      </c>
      <c r="K10173" s="33" t="s">
        <v>22</v>
      </c>
    </row>
    <row r="10174" spans="1:11">
      <c r="A10174" s="30" t="s">
        <v>23256</v>
      </c>
      <c r="B10174" s="30" t="s">
        <v>23257</v>
      </c>
      <c r="C10174" s="30" t="s">
        <v>7094</v>
      </c>
      <c r="D10174" s="30" t="s">
        <v>17</v>
      </c>
      <c r="E10174" s="30" t="s">
        <v>18</v>
      </c>
      <c r="F10174" s="30" t="s">
        <v>19</v>
      </c>
      <c r="G10174" s="30" t="s">
        <v>50</v>
      </c>
      <c r="H10174" s="32">
        <v>134</v>
      </c>
      <c r="I10174" s="30" t="s">
        <v>51</v>
      </c>
      <c r="J10174" s="41">
        <v>44764</v>
      </c>
      <c r="K10174" s="30" t="s">
        <v>22</v>
      </c>
    </row>
    <row r="10175" spans="1:11">
      <c r="A10175" s="33" t="s">
        <v>23258</v>
      </c>
      <c r="B10175" s="33" t="s">
        <v>23259</v>
      </c>
      <c r="C10175" s="33" t="s">
        <v>379</v>
      </c>
      <c r="D10175" s="33" t="s">
        <v>17</v>
      </c>
      <c r="E10175" s="33" t="s">
        <v>31</v>
      </c>
      <c r="F10175" s="33" t="s">
        <v>32</v>
      </c>
      <c r="G10175" s="33" t="s">
        <v>50</v>
      </c>
      <c r="H10175" s="35">
        <v>20</v>
      </c>
      <c r="I10175" s="33" t="s">
        <v>51</v>
      </c>
      <c r="J10175" s="42">
        <v>44727</v>
      </c>
      <c r="K10175" s="33" t="s">
        <v>22</v>
      </c>
    </row>
    <row r="10176" spans="1:11">
      <c r="A10176" s="30" t="s">
        <v>23260</v>
      </c>
      <c r="B10176" s="30" t="s">
        <v>23261</v>
      </c>
      <c r="C10176" s="30" t="s">
        <v>23262</v>
      </c>
      <c r="D10176" s="30" t="s">
        <v>17</v>
      </c>
      <c r="E10176" s="30" t="s">
        <v>26</v>
      </c>
      <c r="F10176" s="30" t="s">
        <v>27</v>
      </c>
      <c r="G10176" s="30" t="s">
        <v>20</v>
      </c>
      <c r="H10176" s="32">
        <v>19</v>
      </c>
      <c r="I10176" s="30" t="s">
        <v>21</v>
      </c>
      <c r="J10176" s="41">
        <v>44768</v>
      </c>
      <c r="K10176" s="30" t="s">
        <v>22</v>
      </c>
    </row>
    <row r="10177" spans="1:11">
      <c r="A10177" s="33" t="s">
        <v>23263</v>
      </c>
      <c r="B10177" s="33" t="s">
        <v>23264</v>
      </c>
      <c r="C10177" s="33" t="s">
        <v>310</v>
      </c>
      <c r="D10177" s="33" t="s">
        <v>17</v>
      </c>
      <c r="E10177" s="33" t="s">
        <v>26</v>
      </c>
      <c r="F10177" s="33" t="s">
        <v>27</v>
      </c>
      <c r="G10177" s="33" t="s">
        <v>20</v>
      </c>
      <c r="H10177" s="35">
        <v>60</v>
      </c>
      <c r="I10177" s="33" t="s">
        <v>21</v>
      </c>
      <c r="J10177" s="42">
        <v>44600</v>
      </c>
      <c r="K10177" s="33" t="s">
        <v>22</v>
      </c>
    </row>
    <row r="10178" spans="1:11">
      <c r="A10178" s="30" t="s">
        <v>23265</v>
      </c>
      <c r="B10178" s="30" t="s">
        <v>23266</v>
      </c>
      <c r="C10178" s="30" t="s">
        <v>23267</v>
      </c>
      <c r="D10178" s="30" t="s">
        <v>17</v>
      </c>
      <c r="E10178" s="30" t="s">
        <v>26</v>
      </c>
      <c r="F10178" s="30" t="s">
        <v>27</v>
      </c>
      <c r="G10178" s="30" t="s">
        <v>20</v>
      </c>
      <c r="H10178" s="32">
        <v>76</v>
      </c>
      <c r="I10178" s="30" t="s">
        <v>21</v>
      </c>
      <c r="J10178" s="41">
        <v>44754</v>
      </c>
      <c r="K10178" s="30" t="s">
        <v>22</v>
      </c>
    </row>
    <row r="10179" spans="1:11">
      <c r="A10179" s="33" t="s">
        <v>23268</v>
      </c>
      <c r="B10179" s="33" t="s">
        <v>23269</v>
      </c>
      <c r="C10179" s="33" t="s">
        <v>136</v>
      </c>
      <c r="D10179" s="33" t="s">
        <v>17</v>
      </c>
      <c r="E10179" s="33" t="s">
        <v>26</v>
      </c>
      <c r="F10179" s="33" t="s">
        <v>27</v>
      </c>
      <c r="G10179" s="33" t="s">
        <v>20</v>
      </c>
      <c r="H10179" s="35">
        <v>25</v>
      </c>
      <c r="I10179" s="33" t="s">
        <v>21</v>
      </c>
      <c r="J10179" s="42">
        <v>44606</v>
      </c>
      <c r="K10179" s="33" t="s">
        <v>22</v>
      </c>
    </row>
    <row r="10180" spans="1:11">
      <c r="A10180" s="30" t="s">
        <v>23270</v>
      </c>
      <c r="B10180" s="30" t="s">
        <v>23271</v>
      </c>
      <c r="C10180" s="30" t="s">
        <v>570</v>
      </c>
      <c r="D10180" s="30" t="s">
        <v>17</v>
      </c>
      <c r="E10180" s="30" t="s">
        <v>26</v>
      </c>
      <c r="F10180" s="30" t="s">
        <v>27</v>
      </c>
      <c r="G10180" s="30" t="s">
        <v>50</v>
      </c>
      <c r="H10180" s="32">
        <v>290</v>
      </c>
      <c r="I10180" s="30" t="s">
        <v>51</v>
      </c>
      <c r="J10180" s="41">
        <v>44834</v>
      </c>
      <c r="K10180" s="30" t="s">
        <v>22</v>
      </c>
    </row>
    <row r="10181" spans="1:11">
      <c r="A10181" s="33" t="s">
        <v>23272</v>
      </c>
      <c r="B10181" s="33" t="s">
        <v>23273</v>
      </c>
      <c r="C10181" s="33" t="s">
        <v>510</v>
      </c>
      <c r="D10181" s="33" t="s">
        <v>17</v>
      </c>
      <c r="E10181" s="33" t="s">
        <v>330</v>
      </c>
      <c r="F10181" s="33" t="s">
        <v>331</v>
      </c>
      <c r="G10181" s="33" t="s">
        <v>140</v>
      </c>
      <c r="H10181" s="35">
        <v>150</v>
      </c>
      <c r="I10181" s="33" t="s">
        <v>51</v>
      </c>
      <c r="J10181" s="42">
        <v>44582</v>
      </c>
      <c r="K10181" s="33" t="s">
        <v>22</v>
      </c>
    </row>
    <row r="10182" spans="1:11">
      <c r="A10182" s="30" t="s">
        <v>23274</v>
      </c>
      <c r="B10182" s="30" t="s">
        <v>23275</v>
      </c>
      <c r="C10182" s="30" t="s">
        <v>23276</v>
      </c>
      <c r="D10182" s="30" t="s">
        <v>17</v>
      </c>
      <c r="E10182" s="30" t="s">
        <v>31</v>
      </c>
      <c r="F10182" s="30" t="s">
        <v>32</v>
      </c>
      <c r="G10182" s="30" t="s">
        <v>50</v>
      </c>
      <c r="H10182" s="32">
        <v>120</v>
      </c>
      <c r="I10182" s="30" t="s">
        <v>51</v>
      </c>
      <c r="J10182" s="41">
        <v>44607</v>
      </c>
      <c r="K10182" s="30" t="s">
        <v>22</v>
      </c>
    </row>
    <row r="10183" spans="1:11">
      <c r="A10183" s="33" t="s">
        <v>23277</v>
      </c>
      <c r="B10183" s="33" t="s">
        <v>23278</v>
      </c>
      <c r="C10183" s="33" t="s">
        <v>17564</v>
      </c>
      <c r="D10183" s="33" t="s">
        <v>17</v>
      </c>
      <c r="E10183" s="33" t="s">
        <v>31</v>
      </c>
      <c r="F10183" s="33" t="s">
        <v>32</v>
      </c>
      <c r="G10183" s="33" t="s">
        <v>158</v>
      </c>
      <c r="H10183" s="35">
        <v>234</v>
      </c>
      <c r="I10183" s="33" t="s">
        <v>21</v>
      </c>
      <c r="J10183" s="42">
        <v>44895</v>
      </c>
      <c r="K10183" s="33" t="s">
        <v>22</v>
      </c>
    </row>
    <row r="10184" spans="1:11">
      <c r="A10184" s="30" t="s">
        <v>23279</v>
      </c>
      <c r="B10184" s="30" t="s">
        <v>23280</v>
      </c>
      <c r="C10184" s="30" t="s">
        <v>4029</v>
      </c>
      <c r="D10184" s="30" t="s">
        <v>17</v>
      </c>
      <c r="E10184" s="30" t="s">
        <v>67</v>
      </c>
      <c r="F10184" s="30" t="s">
        <v>68</v>
      </c>
      <c r="G10184" s="30" t="s">
        <v>50</v>
      </c>
      <c r="H10184" s="32">
        <v>26</v>
      </c>
      <c r="I10184" s="30" t="s">
        <v>51</v>
      </c>
      <c r="J10184" s="41">
        <v>44805</v>
      </c>
      <c r="K10184" s="30" t="s">
        <v>22</v>
      </c>
    </row>
    <row r="10185" spans="1:11">
      <c r="A10185" s="33" t="s">
        <v>23281</v>
      </c>
      <c r="B10185" s="33" t="s">
        <v>23282</v>
      </c>
      <c r="C10185" s="33" t="s">
        <v>23283</v>
      </c>
      <c r="D10185" s="33" t="s">
        <v>17</v>
      </c>
      <c r="E10185" s="33" t="s">
        <v>18</v>
      </c>
      <c r="F10185" s="33" t="s">
        <v>19</v>
      </c>
      <c r="G10185" s="33" t="s">
        <v>50</v>
      </c>
      <c r="H10185" s="35">
        <v>408</v>
      </c>
      <c r="I10185" s="33" t="s">
        <v>51</v>
      </c>
      <c r="J10185" s="42">
        <v>44652</v>
      </c>
      <c r="K10185" s="33" t="s">
        <v>22</v>
      </c>
    </row>
    <row r="10186" spans="1:11">
      <c r="A10186" s="30" t="s">
        <v>23284</v>
      </c>
      <c r="B10186" s="30" t="s">
        <v>23285</v>
      </c>
      <c r="C10186" s="30" t="s">
        <v>3299</v>
      </c>
      <c r="D10186" s="30" t="s">
        <v>17</v>
      </c>
      <c r="E10186" s="30" t="s">
        <v>31</v>
      </c>
      <c r="F10186" s="30" t="s">
        <v>32</v>
      </c>
      <c r="G10186" s="30" t="s">
        <v>50</v>
      </c>
      <c r="H10186" s="32">
        <v>516</v>
      </c>
      <c r="I10186" s="30" t="s">
        <v>21</v>
      </c>
      <c r="J10186" s="41">
        <v>44706</v>
      </c>
      <c r="K10186" s="30" t="s">
        <v>22</v>
      </c>
    </row>
    <row r="10187" spans="1:11">
      <c r="A10187" s="33" t="s">
        <v>23286</v>
      </c>
      <c r="B10187" s="33" t="s">
        <v>23287</v>
      </c>
      <c r="C10187" s="33" t="s">
        <v>130</v>
      </c>
      <c r="D10187" s="33" t="s">
        <v>17</v>
      </c>
      <c r="E10187" s="33" t="s">
        <v>67</v>
      </c>
      <c r="F10187" s="33" t="s">
        <v>68</v>
      </c>
      <c r="G10187" s="33" t="s">
        <v>158</v>
      </c>
      <c r="H10187" s="35">
        <v>53</v>
      </c>
      <c r="I10187" s="33" t="s">
        <v>21</v>
      </c>
      <c r="J10187" s="42">
        <v>44761</v>
      </c>
      <c r="K10187" s="33" t="s">
        <v>22</v>
      </c>
    </row>
    <row r="10188" spans="1:11">
      <c r="A10188" s="30" t="s">
        <v>23288</v>
      </c>
      <c r="B10188" s="30" t="s">
        <v>23289</v>
      </c>
      <c r="C10188" s="30" t="s">
        <v>2866</v>
      </c>
      <c r="D10188" s="30" t="s">
        <v>17</v>
      </c>
      <c r="E10188" s="30" t="s">
        <v>31</v>
      </c>
      <c r="F10188" s="30" t="s">
        <v>32</v>
      </c>
      <c r="G10188" s="30" t="s">
        <v>158</v>
      </c>
      <c r="H10188" s="32">
        <v>58</v>
      </c>
      <c r="I10188" s="30" t="s">
        <v>21</v>
      </c>
      <c r="J10188" s="41">
        <v>44917</v>
      </c>
      <c r="K10188" s="30" t="s">
        <v>22</v>
      </c>
    </row>
    <row r="10189" spans="1:11">
      <c r="A10189" s="33" t="s">
        <v>23290</v>
      </c>
      <c r="B10189" s="33" t="s">
        <v>23291</v>
      </c>
      <c r="C10189" s="33" t="s">
        <v>11772</v>
      </c>
      <c r="D10189" s="33" t="s">
        <v>17</v>
      </c>
      <c r="E10189" s="33" t="s">
        <v>31</v>
      </c>
      <c r="F10189" s="33" t="s">
        <v>32</v>
      </c>
      <c r="G10189" s="33" t="s">
        <v>20</v>
      </c>
      <c r="H10189" s="35">
        <v>61</v>
      </c>
      <c r="I10189" s="33" t="s">
        <v>21</v>
      </c>
      <c r="J10189" s="42">
        <v>44887</v>
      </c>
      <c r="K10189" s="33" t="s">
        <v>22</v>
      </c>
    </row>
    <row r="10190" spans="1:11">
      <c r="A10190" s="30" t="s">
        <v>23292</v>
      </c>
      <c r="B10190" s="30" t="s">
        <v>23293</v>
      </c>
      <c r="C10190" s="30" t="s">
        <v>795</v>
      </c>
      <c r="D10190" s="30" t="s">
        <v>17</v>
      </c>
      <c r="E10190" s="30" t="s">
        <v>18</v>
      </c>
      <c r="F10190" s="30" t="s">
        <v>19</v>
      </c>
      <c r="G10190" s="30" t="s">
        <v>158</v>
      </c>
      <c r="H10190" s="32">
        <v>72</v>
      </c>
      <c r="I10190" s="30" t="s">
        <v>21</v>
      </c>
      <c r="J10190" s="41">
        <v>44842</v>
      </c>
      <c r="K10190" s="30" t="s">
        <v>22</v>
      </c>
    </row>
    <row r="10191" spans="1:11">
      <c r="A10191" s="33" t="s">
        <v>23294</v>
      </c>
      <c r="B10191" s="33" t="s">
        <v>23295</v>
      </c>
      <c r="C10191" s="33" t="s">
        <v>102</v>
      </c>
      <c r="D10191" s="33" t="s">
        <v>17</v>
      </c>
      <c r="E10191" s="33" t="s">
        <v>18</v>
      </c>
      <c r="F10191" s="33" t="s">
        <v>19</v>
      </c>
      <c r="G10191" s="33" t="s">
        <v>106</v>
      </c>
      <c r="H10191" s="35">
        <v>871</v>
      </c>
      <c r="I10191" s="33" t="s">
        <v>21</v>
      </c>
      <c r="J10191" s="42">
        <v>44826</v>
      </c>
      <c r="K10191" s="33" t="s">
        <v>22</v>
      </c>
    </row>
    <row r="10192" spans="1:11">
      <c r="A10192" s="30" t="s">
        <v>23296</v>
      </c>
      <c r="B10192" s="30" t="s">
        <v>23297</v>
      </c>
      <c r="C10192" s="30" t="s">
        <v>1598</v>
      </c>
      <c r="D10192" s="30" t="s">
        <v>17</v>
      </c>
      <c r="E10192" s="30" t="s">
        <v>26</v>
      </c>
      <c r="F10192" s="30" t="s">
        <v>27</v>
      </c>
      <c r="G10192" s="30" t="s">
        <v>50</v>
      </c>
      <c r="H10192" s="32">
        <v>320</v>
      </c>
      <c r="I10192" s="30" t="s">
        <v>51</v>
      </c>
      <c r="J10192" s="41">
        <v>44642</v>
      </c>
      <c r="K10192" s="30" t="s">
        <v>22</v>
      </c>
    </row>
    <row r="10193" spans="1:11">
      <c r="A10193" s="33" t="s">
        <v>23298</v>
      </c>
      <c r="B10193" s="33" t="s">
        <v>23299</v>
      </c>
      <c r="C10193" s="33" t="s">
        <v>102</v>
      </c>
      <c r="D10193" s="33" t="s">
        <v>17</v>
      </c>
      <c r="E10193" s="33" t="s">
        <v>31</v>
      </c>
      <c r="F10193" s="33" t="s">
        <v>32</v>
      </c>
      <c r="G10193" s="33" t="s">
        <v>20</v>
      </c>
      <c r="H10193" s="35">
        <v>90</v>
      </c>
      <c r="I10193" s="33" t="s">
        <v>21</v>
      </c>
      <c r="J10193" s="42">
        <v>44725</v>
      </c>
      <c r="K10193" s="33" t="s">
        <v>22</v>
      </c>
    </row>
    <row r="10194" spans="1:11">
      <c r="A10194" s="30" t="s">
        <v>23300</v>
      </c>
      <c r="B10194" s="30" t="s">
        <v>23301</v>
      </c>
      <c r="C10194" s="30" t="s">
        <v>11542</v>
      </c>
      <c r="D10194" s="30" t="s">
        <v>17</v>
      </c>
      <c r="E10194" s="30" t="s">
        <v>67</v>
      </c>
      <c r="F10194" s="30" t="s">
        <v>68</v>
      </c>
      <c r="G10194" s="30" t="s">
        <v>69</v>
      </c>
      <c r="H10194" s="32">
        <v>24</v>
      </c>
      <c r="I10194" s="30" t="s">
        <v>51</v>
      </c>
      <c r="J10194" s="41">
        <v>44616</v>
      </c>
      <c r="K10194" s="30" t="s">
        <v>22</v>
      </c>
    </row>
    <row r="10195" spans="1:11">
      <c r="A10195" s="33" t="s">
        <v>23302</v>
      </c>
      <c r="B10195" s="33" t="s">
        <v>23303</v>
      </c>
      <c r="C10195" s="33" t="s">
        <v>23304</v>
      </c>
      <c r="D10195" s="33" t="s">
        <v>17</v>
      </c>
      <c r="E10195" s="33" t="s">
        <v>212</v>
      </c>
      <c r="F10195" s="33" t="s">
        <v>213</v>
      </c>
      <c r="G10195" s="33" t="s">
        <v>50</v>
      </c>
      <c r="H10195" s="35">
        <v>60</v>
      </c>
      <c r="I10195" s="33" t="s">
        <v>51</v>
      </c>
      <c r="J10195" s="42">
        <v>44866</v>
      </c>
      <c r="K10195" s="33" t="s">
        <v>22</v>
      </c>
    </row>
    <row r="10196" spans="1:11">
      <c r="A10196" s="30" t="s">
        <v>23305</v>
      </c>
      <c r="B10196" s="30" t="s">
        <v>23306</v>
      </c>
      <c r="C10196" s="30" t="s">
        <v>8554</v>
      </c>
      <c r="D10196" s="30" t="s">
        <v>17</v>
      </c>
      <c r="E10196" s="30" t="s">
        <v>67</v>
      </c>
      <c r="F10196" s="30" t="s">
        <v>68</v>
      </c>
      <c r="G10196" s="30" t="s">
        <v>20</v>
      </c>
      <c r="H10196" s="32">
        <v>76</v>
      </c>
      <c r="I10196" s="30" t="s">
        <v>21</v>
      </c>
      <c r="J10196" s="41">
        <v>44708</v>
      </c>
      <c r="K10196" s="30" t="s">
        <v>22</v>
      </c>
    </row>
    <row r="10197" spans="1:11">
      <c r="A10197" s="33" t="s">
        <v>23307</v>
      </c>
      <c r="B10197" s="33" t="s">
        <v>23308</v>
      </c>
      <c r="C10197" s="33" t="s">
        <v>5279</v>
      </c>
      <c r="D10197" s="33" t="s">
        <v>17</v>
      </c>
      <c r="E10197" s="33" t="s">
        <v>18</v>
      </c>
      <c r="F10197" s="33" t="s">
        <v>19</v>
      </c>
      <c r="G10197" s="33" t="s">
        <v>158</v>
      </c>
      <c r="H10197" s="35">
        <v>14</v>
      </c>
      <c r="I10197" s="33" t="s">
        <v>51</v>
      </c>
      <c r="J10197" s="42">
        <v>44865</v>
      </c>
      <c r="K10197" s="33" t="s">
        <v>22</v>
      </c>
    </row>
    <row r="10198" spans="1:11">
      <c r="A10198" s="30" t="s">
        <v>23309</v>
      </c>
      <c r="B10198" s="30" t="s">
        <v>23310</v>
      </c>
      <c r="C10198" s="30" t="s">
        <v>23311</v>
      </c>
      <c r="D10198" s="30" t="s">
        <v>17</v>
      </c>
      <c r="E10198" s="30" t="s">
        <v>26</v>
      </c>
      <c r="F10198" s="30" t="s">
        <v>27</v>
      </c>
      <c r="G10198" s="30" t="s">
        <v>20</v>
      </c>
      <c r="H10198" s="32">
        <v>15</v>
      </c>
      <c r="I10198" s="30" t="s">
        <v>21</v>
      </c>
      <c r="J10198" s="41">
        <v>44679</v>
      </c>
      <c r="K10198" s="30" t="s">
        <v>22</v>
      </c>
    </row>
    <row r="10199" spans="1:11">
      <c r="A10199" s="33" t="s">
        <v>23312</v>
      </c>
      <c r="B10199" s="33" t="s">
        <v>23313</v>
      </c>
      <c r="C10199" s="33" t="s">
        <v>9020</v>
      </c>
      <c r="D10199" s="33" t="s">
        <v>17</v>
      </c>
      <c r="E10199" s="33" t="s">
        <v>67</v>
      </c>
      <c r="F10199" s="33" t="s">
        <v>68</v>
      </c>
      <c r="G10199" s="33" t="s">
        <v>50</v>
      </c>
      <c r="H10199" s="35">
        <v>50</v>
      </c>
      <c r="I10199" s="33" t="s">
        <v>51</v>
      </c>
      <c r="J10199" s="42">
        <v>44905</v>
      </c>
      <c r="K10199" s="33" t="s">
        <v>22</v>
      </c>
    </row>
    <row r="10200" spans="1:11">
      <c r="A10200" s="30" t="s">
        <v>23314</v>
      </c>
      <c r="B10200" s="30" t="s">
        <v>23315</v>
      </c>
      <c r="C10200" s="30" t="s">
        <v>5948</v>
      </c>
      <c r="D10200" s="30" t="s">
        <v>17</v>
      </c>
      <c r="E10200" s="30" t="s">
        <v>18</v>
      </c>
      <c r="F10200" s="30" t="s">
        <v>19</v>
      </c>
      <c r="G10200" s="30" t="s">
        <v>20</v>
      </c>
      <c r="H10200" s="32">
        <v>81</v>
      </c>
      <c r="I10200" s="30" t="s">
        <v>21</v>
      </c>
      <c r="J10200" s="41">
        <v>44565</v>
      </c>
      <c r="K10200" s="30" t="s">
        <v>22</v>
      </c>
    </row>
    <row r="10201" spans="1:11">
      <c r="A10201" s="33" t="s">
        <v>23316</v>
      </c>
      <c r="B10201" s="33" t="s">
        <v>23317</v>
      </c>
      <c r="C10201" s="33" t="s">
        <v>709</v>
      </c>
      <c r="D10201" s="33" t="s">
        <v>17</v>
      </c>
      <c r="E10201" s="33" t="s">
        <v>26</v>
      </c>
      <c r="F10201" s="33" t="s">
        <v>27</v>
      </c>
      <c r="G10201" s="33" t="s">
        <v>50</v>
      </c>
      <c r="H10201" s="35">
        <v>37</v>
      </c>
      <c r="I10201" s="33" t="s">
        <v>51</v>
      </c>
      <c r="J10201" s="42">
        <v>44713</v>
      </c>
      <c r="K10201" s="33" t="s">
        <v>22</v>
      </c>
    </row>
    <row r="10202" spans="1:11">
      <c r="A10202" s="30" t="s">
        <v>23318</v>
      </c>
      <c r="B10202" s="30" t="s">
        <v>23319</v>
      </c>
      <c r="C10202" s="30" t="s">
        <v>21924</v>
      </c>
      <c r="D10202" s="30" t="s">
        <v>17</v>
      </c>
      <c r="E10202" s="30" t="s">
        <v>45</v>
      </c>
      <c r="F10202" s="30" t="s">
        <v>46</v>
      </c>
      <c r="G10202" s="30" t="s">
        <v>158</v>
      </c>
      <c r="H10202" s="32">
        <v>166</v>
      </c>
      <c r="I10202" s="30" t="s">
        <v>21</v>
      </c>
      <c r="J10202" s="41">
        <v>44572</v>
      </c>
      <c r="K10202" s="30" t="s">
        <v>22</v>
      </c>
    </row>
    <row r="10203" spans="1:11">
      <c r="A10203" s="33" t="s">
        <v>23320</v>
      </c>
      <c r="B10203" s="33" t="s">
        <v>23321</v>
      </c>
      <c r="C10203" s="33" t="s">
        <v>3922</v>
      </c>
      <c r="D10203" s="33" t="s">
        <v>17</v>
      </c>
      <c r="E10203" s="33" t="s">
        <v>45</v>
      </c>
      <c r="F10203" s="33" t="s">
        <v>46</v>
      </c>
      <c r="G10203" s="33" t="s">
        <v>112</v>
      </c>
      <c r="H10203" s="35">
        <v>0</v>
      </c>
      <c r="I10203" s="33" t="s">
        <v>21</v>
      </c>
      <c r="J10203" s="42">
        <v>44823</v>
      </c>
      <c r="K10203" s="33" t="s">
        <v>22</v>
      </c>
    </row>
    <row r="10204" spans="1:11">
      <c r="A10204" s="30" t="s">
        <v>23322</v>
      </c>
      <c r="B10204" s="30" t="s">
        <v>23323</v>
      </c>
      <c r="C10204" s="30" t="s">
        <v>190</v>
      </c>
      <c r="D10204" s="30" t="s">
        <v>17</v>
      </c>
      <c r="E10204" s="30" t="s">
        <v>18</v>
      </c>
      <c r="F10204" s="30" t="s">
        <v>19</v>
      </c>
      <c r="G10204" s="30" t="s">
        <v>158</v>
      </c>
      <c r="H10204" s="32">
        <v>345</v>
      </c>
      <c r="I10204" s="30" t="s">
        <v>21</v>
      </c>
      <c r="J10204" s="41">
        <v>44776</v>
      </c>
      <c r="K10204" s="30" t="s">
        <v>22</v>
      </c>
    </row>
    <row r="10205" spans="1:11">
      <c r="A10205" s="33" t="s">
        <v>23324</v>
      </c>
      <c r="B10205" s="33" t="s">
        <v>23325</v>
      </c>
      <c r="C10205" s="33" t="s">
        <v>7861</v>
      </c>
      <c r="D10205" s="33" t="s">
        <v>17</v>
      </c>
      <c r="E10205" s="33" t="s">
        <v>26</v>
      </c>
      <c r="F10205" s="33" t="s">
        <v>27</v>
      </c>
      <c r="G10205" s="33" t="s">
        <v>20</v>
      </c>
      <c r="H10205" s="35">
        <v>32</v>
      </c>
      <c r="I10205" s="33" t="s">
        <v>21</v>
      </c>
      <c r="J10205" s="42">
        <v>44719</v>
      </c>
      <c r="K10205" s="33" t="s">
        <v>22</v>
      </c>
    </row>
    <row r="10206" spans="1:11">
      <c r="A10206" s="30" t="s">
        <v>23326</v>
      </c>
      <c r="B10206" s="30" t="s">
        <v>23327</v>
      </c>
      <c r="C10206" s="30" t="s">
        <v>23328</v>
      </c>
      <c r="D10206" s="30" t="s">
        <v>17</v>
      </c>
      <c r="E10206" s="30" t="s">
        <v>26</v>
      </c>
      <c r="F10206" s="30" t="s">
        <v>27</v>
      </c>
      <c r="G10206" s="30" t="s">
        <v>50</v>
      </c>
      <c r="H10206" s="32">
        <v>8</v>
      </c>
      <c r="I10206" s="30" t="s">
        <v>51</v>
      </c>
      <c r="J10206" s="41">
        <v>44805</v>
      </c>
      <c r="K10206" s="30" t="s">
        <v>22</v>
      </c>
    </row>
    <row r="10207" spans="1:11">
      <c r="A10207" s="33" t="s">
        <v>23329</v>
      </c>
      <c r="B10207" s="33" t="s">
        <v>23330</v>
      </c>
      <c r="C10207" s="33" t="s">
        <v>5817</v>
      </c>
      <c r="D10207" s="33" t="s">
        <v>17</v>
      </c>
      <c r="E10207" s="33" t="s">
        <v>31</v>
      </c>
      <c r="F10207" s="33" t="s">
        <v>32</v>
      </c>
      <c r="G10207" s="33" t="s">
        <v>20</v>
      </c>
      <c r="H10207" s="35">
        <v>10</v>
      </c>
      <c r="I10207" s="33" t="s">
        <v>21</v>
      </c>
      <c r="J10207" s="42">
        <v>44603</v>
      </c>
      <c r="K10207" s="33" t="s">
        <v>22</v>
      </c>
    </row>
    <row r="10208" spans="1:11">
      <c r="A10208" s="30" t="s">
        <v>23331</v>
      </c>
      <c r="B10208" s="30" t="s">
        <v>23332</v>
      </c>
      <c r="C10208" s="30" t="s">
        <v>23333</v>
      </c>
      <c r="D10208" s="30" t="s">
        <v>17</v>
      </c>
      <c r="E10208" s="30" t="s">
        <v>26</v>
      </c>
      <c r="F10208" s="30" t="s">
        <v>27</v>
      </c>
      <c r="G10208" s="30" t="s">
        <v>50</v>
      </c>
      <c r="H10208" s="32">
        <v>30</v>
      </c>
      <c r="I10208" s="30" t="s">
        <v>51</v>
      </c>
      <c r="J10208" s="41">
        <v>44781</v>
      </c>
      <c r="K10208" s="30" t="s">
        <v>22</v>
      </c>
    </row>
    <row r="10209" spans="1:11">
      <c r="A10209" s="33" t="s">
        <v>23334</v>
      </c>
      <c r="B10209" s="33" t="s">
        <v>23335</v>
      </c>
      <c r="C10209" s="33" t="s">
        <v>2022</v>
      </c>
      <c r="D10209" s="33" t="s">
        <v>17</v>
      </c>
      <c r="E10209" s="33" t="s">
        <v>26</v>
      </c>
      <c r="F10209" s="33" t="s">
        <v>27</v>
      </c>
      <c r="G10209" s="33" t="s">
        <v>20</v>
      </c>
      <c r="H10209" s="35">
        <v>23</v>
      </c>
      <c r="I10209" s="33" t="s">
        <v>21</v>
      </c>
      <c r="J10209" s="42">
        <v>44706</v>
      </c>
      <c r="K10209" s="33" t="s">
        <v>22</v>
      </c>
    </row>
    <row r="10210" spans="1:11">
      <c r="A10210" s="30" t="s">
        <v>23336</v>
      </c>
      <c r="B10210" s="30" t="s">
        <v>23337</v>
      </c>
      <c r="C10210" s="30" t="s">
        <v>2196</v>
      </c>
      <c r="D10210" s="30" t="s">
        <v>17</v>
      </c>
      <c r="E10210" s="30" t="s">
        <v>26</v>
      </c>
      <c r="F10210" s="30" t="s">
        <v>27</v>
      </c>
      <c r="G10210" s="30" t="s">
        <v>20</v>
      </c>
      <c r="H10210" s="32">
        <v>26</v>
      </c>
      <c r="I10210" s="30" t="s">
        <v>21</v>
      </c>
      <c r="J10210" s="41">
        <v>44755</v>
      </c>
      <c r="K10210" s="30" t="s">
        <v>22</v>
      </c>
    </row>
    <row r="10211" spans="1:11">
      <c r="A10211" s="33" t="s">
        <v>23338</v>
      </c>
      <c r="B10211" s="33" t="s">
        <v>23339</v>
      </c>
      <c r="C10211" s="33" t="s">
        <v>23340</v>
      </c>
      <c r="D10211" s="33" t="s">
        <v>17</v>
      </c>
      <c r="E10211" s="33" t="s">
        <v>67</v>
      </c>
      <c r="F10211" s="33" t="s">
        <v>68</v>
      </c>
      <c r="G10211" s="33" t="s">
        <v>20</v>
      </c>
      <c r="H10211" s="35">
        <v>160</v>
      </c>
      <c r="I10211" s="33" t="s">
        <v>21</v>
      </c>
      <c r="J10211" s="42">
        <v>44567</v>
      </c>
      <c r="K10211" s="33" t="s">
        <v>22</v>
      </c>
    </row>
    <row r="10212" spans="1:11">
      <c r="A10212" s="30" t="s">
        <v>23341</v>
      </c>
      <c r="B10212" s="30" t="s">
        <v>23342</v>
      </c>
      <c r="C10212" s="30" t="s">
        <v>124</v>
      </c>
      <c r="D10212" s="30" t="s">
        <v>17</v>
      </c>
      <c r="E10212" s="30" t="s">
        <v>26</v>
      </c>
      <c r="F10212" s="30" t="s">
        <v>27</v>
      </c>
      <c r="G10212" s="30" t="s">
        <v>20</v>
      </c>
      <c r="H10212" s="32">
        <v>74</v>
      </c>
      <c r="I10212" s="30" t="s">
        <v>21</v>
      </c>
      <c r="J10212" s="41">
        <v>44615</v>
      </c>
      <c r="K10212" s="30" t="s">
        <v>22</v>
      </c>
    </row>
    <row r="10213" spans="1:11">
      <c r="A10213" s="33" t="s">
        <v>23343</v>
      </c>
      <c r="B10213" s="33" t="s">
        <v>23344</v>
      </c>
      <c r="C10213" s="33" t="s">
        <v>4931</v>
      </c>
      <c r="D10213" s="33" t="s">
        <v>17</v>
      </c>
      <c r="E10213" s="33" t="s">
        <v>26</v>
      </c>
      <c r="F10213" s="33" t="s">
        <v>27</v>
      </c>
      <c r="G10213" s="33" t="s">
        <v>106</v>
      </c>
      <c r="H10213" s="35">
        <v>9</v>
      </c>
      <c r="I10213" s="33" t="s">
        <v>21</v>
      </c>
      <c r="J10213" s="42">
        <v>44740</v>
      </c>
      <c r="K10213" s="33" t="s">
        <v>22</v>
      </c>
    </row>
    <row r="10214" spans="1:11">
      <c r="A10214" s="30" t="s">
        <v>23345</v>
      </c>
      <c r="B10214" s="30" t="s">
        <v>23346</v>
      </c>
      <c r="C10214" s="30" t="s">
        <v>1504</v>
      </c>
      <c r="D10214" s="30" t="s">
        <v>17</v>
      </c>
      <c r="E10214" s="30" t="s">
        <v>67</v>
      </c>
      <c r="F10214" s="30" t="s">
        <v>68</v>
      </c>
      <c r="G10214" s="30" t="s">
        <v>69</v>
      </c>
      <c r="H10214" s="32">
        <v>216</v>
      </c>
      <c r="I10214" s="30" t="s">
        <v>51</v>
      </c>
      <c r="J10214" s="41">
        <v>44778</v>
      </c>
      <c r="K10214" s="30" t="s">
        <v>22</v>
      </c>
    </row>
    <row r="10215" spans="1:11">
      <c r="A10215" s="33" t="s">
        <v>23347</v>
      </c>
      <c r="B10215" s="33" t="s">
        <v>23348</v>
      </c>
      <c r="C10215" s="33" t="s">
        <v>2663</v>
      </c>
      <c r="D10215" s="33" t="s">
        <v>17</v>
      </c>
      <c r="E10215" s="33" t="s">
        <v>26</v>
      </c>
      <c r="F10215" s="33" t="s">
        <v>27</v>
      </c>
      <c r="G10215" s="33" t="s">
        <v>20</v>
      </c>
      <c r="H10215" s="35">
        <v>22</v>
      </c>
      <c r="I10215" s="33" t="s">
        <v>21</v>
      </c>
      <c r="J10215" s="42">
        <v>44610</v>
      </c>
      <c r="K10215" s="33" t="s">
        <v>22</v>
      </c>
    </row>
    <row r="10216" spans="1:11">
      <c r="A10216" s="30" t="s">
        <v>23349</v>
      </c>
      <c r="B10216" s="30" t="s">
        <v>23350</v>
      </c>
      <c r="C10216" s="30" t="s">
        <v>23351</v>
      </c>
      <c r="D10216" s="30" t="s">
        <v>17</v>
      </c>
      <c r="E10216" s="30" t="s">
        <v>212</v>
      </c>
      <c r="F10216" s="30" t="s">
        <v>213</v>
      </c>
      <c r="G10216" s="30" t="s">
        <v>50</v>
      </c>
      <c r="H10216" s="32">
        <v>500</v>
      </c>
      <c r="I10216" s="30" t="s">
        <v>51</v>
      </c>
      <c r="J10216" s="41">
        <v>44648</v>
      </c>
      <c r="K10216" s="30" t="s">
        <v>22</v>
      </c>
    </row>
    <row r="10217" spans="1:11">
      <c r="A10217" s="33" t="s">
        <v>23352</v>
      </c>
      <c r="B10217" s="33" t="s">
        <v>23353</v>
      </c>
      <c r="C10217" s="33" t="s">
        <v>14307</v>
      </c>
      <c r="D10217" s="33" t="s">
        <v>17</v>
      </c>
      <c r="E10217" s="33" t="s">
        <v>31</v>
      </c>
      <c r="F10217" s="33" t="s">
        <v>32</v>
      </c>
      <c r="G10217" s="33" t="s">
        <v>20</v>
      </c>
      <c r="H10217" s="35">
        <v>150</v>
      </c>
      <c r="I10217" s="33" t="s">
        <v>21</v>
      </c>
      <c r="J10217" s="42">
        <v>44587</v>
      </c>
      <c r="K10217" s="33" t="s">
        <v>22</v>
      </c>
    </row>
    <row r="10218" spans="1:11">
      <c r="A10218" s="30" t="s">
        <v>23354</v>
      </c>
      <c r="B10218" s="30" t="s">
        <v>23355</v>
      </c>
      <c r="C10218" s="30" t="s">
        <v>157</v>
      </c>
      <c r="D10218" s="30" t="s">
        <v>17</v>
      </c>
      <c r="E10218" s="30" t="s">
        <v>67</v>
      </c>
      <c r="F10218" s="30" t="s">
        <v>68</v>
      </c>
      <c r="G10218" s="30" t="s">
        <v>106</v>
      </c>
      <c r="H10218" s="32">
        <v>61</v>
      </c>
      <c r="I10218" s="30" t="s">
        <v>21</v>
      </c>
      <c r="J10218" s="41">
        <v>44665</v>
      </c>
      <c r="K10218" s="30" t="s">
        <v>22</v>
      </c>
    </row>
    <row r="10219" spans="1:11">
      <c r="A10219" s="33" t="s">
        <v>23356</v>
      </c>
      <c r="B10219" s="33" t="s">
        <v>23357</v>
      </c>
      <c r="C10219" s="33" t="s">
        <v>7787</v>
      </c>
      <c r="D10219" s="33" t="s">
        <v>17</v>
      </c>
      <c r="E10219" s="33" t="s">
        <v>26</v>
      </c>
      <c r="F10219" s="33" t="s">
        <v>27</v>
      </c>
      <c r="G10219" s="33" t="s">
        <v>20</v>
      </c>
      <c r="H10219" s="35">
        <v>64</v>
      </c>
      <c r="I10219" s="33" t="s">
        <v>21</v>
      </c>
      <c r="J10219" s="42">
        <v>44790</v>
      </c>
      <c r="K10219" s="33" t="s">
        <v>22</v>
      </c>
    </row>
    <row r="10220" spans="1:11">
      <c r="A10220" s="30" t="s">
        <v>23358</v>
      </c>
      <c r="B10220" s="30" t="s">
        <v>23359</v>
      </c>
      <c r="C10220" s="30" t="s">
        <v>23360</v>
      </c>
      <c r="D10220" s="30" t="s">
        <v>17</v>
      </c>
      <c r="E10220" s="30" t="s">
        <v>330</v>
      </c>
      <c r="F10220" s="30" t="s">
        <v>331</v>
      </c>
      <c r="G10220" s="30" t="s">
        <v>112</v>
      </c>
      <c r="H10220" s="32">
        <v>0</v>
      </c>
      <c r="I10220" s="30" t="s">
        <v>21</v>
      </c>
      <c r="J10220" s="41">
        <v>44645</v>
      </c>
      <c r="K10220" s="30" t="s">
        <v>22</v>
      </c>
    </row>
    <row r="10221" spans="1:11">
      <c r="A10221" s="33" t="s">
        <v>23361</v>
      </c>
      <c r="B10221" s="33" t="s">
        <v>23362</v>
      </c>
      <c r="C10221" s="33" t="s">
        <v>23363</v>
      </c>
      <c r="D10221" s="33" t="s">
        <v>17</v>
      </c>
      <c r="E10221" s="33" t="s">
        <v>26</v>
      </c>
      <c r="F10221" s="33" t="s">
        <v>27</v>
      </c>
      <c r="G10221" s="33" t="s">
        <v>106</v>
      </c>
      <c r="H10221" s="35">
        <v>103</v>
      </c>
      <c r="I10221" s="33" t="s">
        <v>21</v>
      </c>
      <c r="J10221" s="42">
        <v>44732</v>
      </c>
      <c r="K10221" s="33" t="s">
        <v>22</v>
      </c>
    </row>
    <row r="10222" spans="1:11">
      <c r="A10222" s="30" t="s">
        <v>23364</v>
      </c>
      <c r="B10222" s="30" t="s">
        <v>23365</v>
      </c>
      <c r="C10222" s="30" t="s">
        <v>23366</v>
      </c>
      <c r="D10222" s="30" t="s">
        <v>17</v>
      </c>
      <c r="E10222" s="30" t="s">
        <v>67</v>
      </c>
      <c r="F10222" s="30" t="s">
        <v>68</v>
      </c>
      <c r="G10222" s="30" t="s">
        <v>106</v>
      </c>
      <c r="H10222" s="32">
        <v>1</v>
      </c>
      <c r="I10222" s="30" t="s">
        <v>21</v>
      </c>
      <c r="J10222" s="41">
        <v>44810</v>
      </c>
      <c r="K10222" s="30" t="s">
        <v>22</v>
      </c>
    </row>
    <row r="10223" spans="1:11">
      <c r="A10223" s="33" t="s">
        <v>23367</v>
      </c>
      <c r="B10223" s="33" t="s">
        <v>23368</v>
      </c>
      <c r="C10223" s="33" t="s">
        <v>6847</v>
      </c>
      <c r="D10223" s="33" t="s">
        <v>17</v>
      </c>
      <c r="E10223" s="33" t="s">
        <v>26</v>
      </c>
      <c r="F10223" s="33" t="s">
        <v>27</v>
      </c>
      <c r="G10223" s="33" t="s">
        <v>20</v>
      </c>
      <c r="H10223" s="35">
        <v>18</v>
      </c>
      <c r="I10223" s="33" t="s">
        <v>21</v>
      </c>
      <c r="J10223" s="42">
        <v>44586</v>
      </c>
      <c r="K10223" s="33" t="s">
        <v>22</v>
      </c>
    </row>
    <row r="10224" spans="1:11">
      <c r="A10224" s="30" t="s">
        <v>23369</v>
      </c>
      <c r="B10224" s="30" t="s">
        <v>23370</v>
      </c>
      <c r="C10224" s="30" t="s">
        <v>96</v>
      </c>
      <c r="D10224" s="30" t="s">
        <v>17</v>
      </c>
      <c r="E10224" s="30" t="s">
        <v>26</v>
      </c>
      <c r="F10224" s="30" t="s">
        <v>27</v>
      </c>
      <c r="G10224" s="30" t="s">
        <v>20</v>
      </c>
      <c r="H10224" s="32">
        <v>82</v>
      </c>
      <c r="I10224" s="30" t="s">
        <v>21</v>
      </c>
      <c r="J10224" s="41">
        <v>44781</v>
      </c>
      <c r="K10224" s="30" t="s">
        <v>22</v>
      </c>
    </row>
    <row r="10225" spans="1:11">
      <c r="A10225" s="33" t="s">
        <v>23371</v>
      </c>
      <c r="B10225" s="33" t="s">
        <v>23372</v>
      </c>
      <c r="C10225" s="33" t="s">
        <v>23373</v>
      </c>
      <c r="D10225" s="33" t="s">
        <v>17</v>
      </c>
      <c r="E10225" s="33" t="s">
        <v>31</v>
      </c>
      <c r="F10225" s="33" t="s">
        <v>32</v>
      </c>
      <c r="G10225" s="33" t="s">
        <v>106</v>
      </c>
      <c r="H10225" s="35">
        <v>19</v>
      </c>
      <c r="I10225" s="33" t="s">
        <v>21</v>
      </c>
      <c r="J10225" s="42">
        <v>44691</v>
      </c>
      <c r="K10225" s="33" t="s">
        <v>22</v>
      </c>
    </row>
    <row r="10226" spans="1:11">
      <c r="A10226" s="30" t="s">
        <v>23374</v>
      </c>
      <c r="B10226" s="30" t="s">
        <v>23375</v>
      </c>
      <c r="C10226" s="30" t="s">
        <v>203</v>
      </c>
      <c r="D10226" s="30" t="s">
        <v>17</v>
      </c>
      <c r="E10226" s="30" t="s">
        <v>31</v>
      </c>
      <c r="F10226" s="30" t="s">
        <v>32</v>
      </c>
      <c r="G10226" s="30" t="s">
        <v>158</v>
      </c>
      <c r="H10226" s="32">
        <v>48</v>
      </c>
      <c r="I10226" s="30" t="s">
        <v>21</v>
      </c>
      <c r="J10226" s="41">
        <v>44721</v>
      </c>
      <c r="K10226" s="30" t="s">
        <v>22</v>
      </c>
    </row>
    <row r="10227" spans="1:11">
      <c r="A10227" s="33" t="s">
        <v>23376</v>
      </c>
      <c r="B10227" s="33" t="s">
        <v>23377</v>
      </c>
      <c r="C10227" s="33" t="s">
        <v>57</v>
      </c>
      <c r="D10227" s="33" t="s">
        <v>17</v>
      </c>
      <c r="E10227" s="33" t="s">
        <v>31</v>
      </c>
      <c r="F10227" s="33" t="s">
        <v>32</v>
      </c>
      <c r="G10227" s="33" t="s">
        <v>140</v>
      </c>
      <c r="H10227" s="35">
        <v>102</v>
      </c>
      <c r="I10227" s="33" t="s">
        <v>51</v>
      </c>
      <c r="J10227" s="42">
        <v>44771</v>
      </c>
      <c r="K10227" s="33" t="s">
        <v>22</v>
      </c>
    </row>
    <row r="10228" spans="1:11">
      <c r="A10228" s="30" t="s">
        <v>23378</v>
      </c>
      <c r="B10228" s="30" t="s">
        <v>23379</v>
      </c>
      <c r="C10228" s="30" t="s">
        <v>44</v>
      </c>
      <c r="D10228" s="30" t="s">
        <v>17</v>
      </c>
      <c r="E10228" s="30" t="s">
        <v>26</v>
      </c>
      <c r="F10228" s="30" t="s">
        <v>27</v>
      </c>
      <c r="G10228" s="30" t="s">
        <v>20</v>
      </c>
      <c r="H10228" s="32">
        <v>64</v>
      </c>
      <c r="I10228" s="30" t="s">
        <v>21</v>
      </c>
      <c r="J10228" s="41">
        <v>44858</v>
      </c>
      <c r="K10228" s="30" t="s">
        <v>22</v>
      </c>
    </row>
    <row r="10229" spans="1:11">
      <c r="A10229" s="33" t="s">
        <v>23380</v>
      </c>
      <c r="B10229" s="33" t="s">
        <v>23381</v>
      </c>
      <c r="C10229" s="33" t="s">
        <v>2054</v>
      </c>
      <c r="D10229" s="33" t="s">
        <v>17</v>
      </c>
      <c r="E10229" s="33" t="s">
        <v>45</v>
      </c>
      <c r="F10229" s="33" t="s">
        <v>46</v>
      </c>
      <c r="G10229" s="33" t="s">
        <v>106</v>
      </c>
      <c r="H10229" s="35">
        <v>359</v>
      </c>
      <c r="I10229" s="33" t="s">
        <v>21</v>
      </c>
      <c r="J10229" s="42">
        <v>44704</v>
      </c>
      <c r="K10229" s="33" t="s">
        <v>22</v>
      </c>
    </row>
    <row r="10230" spans="1:11">
      <c r="A10230" s="30" t="s">
        <v>23382</v>
      </c>
      <c r="B10230" s="30" t="s">
        <v>23383</v>
      </c>
      <c r="C10230" s="30" t="s">
        <v>1718</v>
      </c>
      <c r="D10230" s="30" t="s">
        <v>17</v>
      </c>
      <c r="E10230" s="30" t="s">
        <v>26</v>
      </c>
      <c r="F10230" s="30" t="s">
        <v>27</v>
      </c>
      <c r="G10230" s="30" t="s">
        <v>20</v>
      </c>
      <c r="H10230" s="32">
        <v>209</v>
      </c>
      <c r="I10230" s="30" t="s">
        <v>21</v>
      </c>
      <c r="J10230" s="41">
        <v>44741</v>
      </c>
      <c r="K10230" s="30" t="s">
        <v>22</v>
      </c>
    </row>
    <row r="10231" spans="1:11">
      <c r="A10231" s="33" t="s">
        <v>23384</v>
      </c>
      <c r="B10231" s="33" t="s">
        <v>23385</v>
      </c>
      <c r="C10231" s="33" t="s">
        <v>4348</v>
      </c>
      <c r="D10231" s="33" t="s">
        <v>17</v>
      </c>
      <c r="E10231" s="33" t="s">
        <v>26</v>
      </c>
      <c r="F10231" s="33" t="s">
        <v>27</v>
      </c>
      <c r="G10231" s="33" t="s">
        <v>140</v>
      </c>
      <c r="H10231" s="35">
        <v>36</v>
      </c>
      <c r="I10231" s="33" t="s">
        <v>51</v>
      </c>
      <c r="J10231" s="42">
        <v>44784</v>
      </c>
      <c r="K10231" s="33" t="s">
        <v>22</v>
      </c>
    </row>
    <row r="10232" spans="1:11">
      <c r="A10232" s="30" t="s">
        <v>23386</v>
      </c>
      <c r="B10232" s="30" t="s">
        <v>23387</v>
      </c>
      <c r="C10232" s="30" t="s">
        <v>11023</v>
      </c>
      <c r="D10232" s="30" t="s">
        <v>17</v>
      </c>
      <c r="E10232" s="30" t="s">
        <v>31</v>
      </c>
      <c r="F10232" s="30" t="s">
        <v>32</v>
      </c>
      <c r="G10232" s="30" t="s">
        <v>106</v>
      </c>
      <c r="H10232" s="32">
        <v>1</v>
      </c>
      <c r="I10232" s="30" t="s">
        <v>21</v>
      </c>
      <c r="J10232" s="41">
        <v>44684</v>
      </c>
      <c r="K10232" s="30" t="s">
        <v>22</v>
      </c>
    </row>
    <row r="10233" spans="1:11">
      <c r="A10233" s="33" t="s">
        <v>23388</v>
      </c>
      <c r="B10233" s="33" t="s">
        <v>23389</v>
      </c>
      <c r="C10233" s="33" t="s">
        <v>23390</v>
      </c>
      <c r="D10233" s="33" t="s">
        <v>17</v>
      </c>
      <c r="E10233" s="33" t="s">
        <v>18</v>
      </c>
      <c r="F10233" s="33" t="s">
        <v>19</v>
      </c>
      <c r="G10233" s="33" t="s">
        <v>50</v>
      </c>
      <c r="H10233" s="35">
        <v>100</v>
      </c>
      <c r="I10233" s="33" t="s">
        <v>51</v>
      </c>
      <c r="J10233" s="42">
        <v>44574</v>
      </c>
      <c r="K10233" s="33" t="s">
        <v>22</v>
      </c>
    </row>
    <row r="10234" spans="1:11">
      <c r="A10234" s="30" t="s">
        <v>23391</v>
      </c>
      <c r="B10234" s="30" t="s">
        <v>23392</v>
      </c>
      <c r="C10234" s="30" t="s">
        <v>149</v>
      </c>
      <c r="D10234" s="30" t="s">
        <v>17</v>
      </c>
      <c r="E10234" s="30" t="s">
        <v>31</v>
      </c>
      <c r="F10234" s="30" t="s">
        <v>32</v>
      </c>
      <c r="G10234" s="30" t="s">
        <v>50</v>
      </c>
      <c r="H10234" s="32">
        <v>64</v>
      </c>
      <c r="I10234" s="30" t="s">
        <v>51</v>
      </c>
      <c r="J10234" s="41">
        <v>44785</v>
      </c>
      <c r="K10234" s="30" t="s">
        <v>22</v>
      </c>
    </row>
    <row r="10235" spans="1:11">
      <c r="A10235" s="33" t="s">
        <v>23393</v>
      </c>
      <c r="B10235" s="33" t="s">
        <v>23394</v>
      </c>
      <c r="C10235" s="33" t="s">
        <v>93</v>
      </c>
      <c r="D10235" s="33" t="s">
        <v>17</v>
      </c>
      <c r="E10235" s="33" t="s">
        <v>18</v>
      </c>
      <c r="F10235" s="33" t="s">
        <v>19</v>
      </c>
      <c r="G10235" s="33" t="s">
        <v>106</v>
      </c>
      <c r="H10235" s="35">
        <v>34</v>
      </c>
      <c r="I10235" s="33" t="s">
        <v>21</v>
      </c>
      <c r="J10235" s="42">
        <v>44791</v>
      </c>
      <c r="K10235" s="33" t="s">
        <v>22</v>
      </c>
    </row>
    <row r="10236" spans="1:11">
      <c r="A10236" s="30" t="s">
        <v>23395</v>
      </c>
      <c r="B10236" s="30" t="s">
        <v>23396</v>
      </c>
      <c r="C10236" s="30" t="s">
        <v>23397</v>
      </c>
      <c r="D10236" s="30" t="s">
        <v>17</v>
      </c>
      <c r="E10236" s="30" t="s">
        <v>67</v>
      </c>
      <c r="F10236" s="30" t="s">
        <v>68</v>
      </c>
      <c r="G10236" s="30" t="s">
        <v>140</v>
      </c>
      <c r="H10236" s="32">
        <v>36</v>
      </c>
      <c r="I10236" s="30" t="s">
        <v>51</v>
      </c>
      <c r="J10236" s="41">
        <v>44873</v>
      </c>
      <c r="K10236" s="30" t="s">
        <v>22</v>
      </c>
    </row>
    <row r="10237" spans="1:11">
      <c r="A10237" s="33" t="s">
        <v>23398</v>
      </c>
      <c r="B10237" s="33" t="s">
        <v>23399</v>
      </c>
      <c r="C10237" s="33" t="s">
        <v>23400</v>
      </c>
      <c r="D10237" s="33" t="s">
        <v>17</v>
      </c>
      <c r="E10237" s="33" t="s">
        <v>67</v>
      </c>
      <c r="F10237" s="33" t="s">
        <v>68</v>
      </c>
      <c r="G10237" s="33" t="s">
        <v>140</v>
      </c>
      <c r="H10237" s="35">
        <v>200</v>
      </c>
      <c r="I10237" s="33" t="s">
        <v>51</v>
      </c>
      <c r="J10237" s="42">
        <v>44755</v>
      </c>
      <c r="K10237" s="33" t="s">
        <v>22</v>
      </c>
    </row>
    <row r="10238" spans="1:11">
      <c r="A10238" s="30" t="s">
        <v>23401</v>
      </c>
      <c r="B10238" s="30" t="s">
        <v>23402</v>
      </c>
      <c r="C10238" s="30" t="s">
        <v>329</v>
      </c>
      <c r="D10238" s="30" t="s">
        <v>17</v>
      </c>
      <c r="E10238" s="30" t="s">
        <v>18</v>
      </c>
      <c r="F10238" s="30" t="s">
        <v>19</v>
      </c>
      <c r="G10238" s="30" t="s">
        <v>106</v>
      </c>
      <c r="H10238" s="32">
        <v>91</v>
      </c>
      <c r="I10238" s="30" t="s">
        <v>21</v>
      </c>
      <c r="J10238" s="41">
        <v>44617</v>
      </c>
      <c r="K10238" s="30" t="s">
        <v>22</v>
      </c>
    </row>
    <row r="10239" spans="1:11">
      <c r="A10239" s="33" t="s">
        <v>23403</v>
      </c>
      <c r="B10239" s="33" t="s">
        <v>23404</v>
      </c>
      <c r="C10239" s="33" t="s">
        <v>429</v>
      </c>
      <c r="D10239" s="33" t="s">
        <v>17</v>
      </c>
      <c r="E10239" s="33" t="s">
        <v>26</v>
      </c>
      <c r="F10239" s="33" t="s">
        <v>27</v>
      </c>
      <c r="G10239" s="33" t="s">
        <v>20</v>
      </c>
      <c r="H10239" s="35">
        <v>24</v>
      </c>
      <c r="I10239" s="33" t="s">
        <v>21</v>
      </c>
      <c r="J10239" s="42">
        <v>44830</v>
      </c>
      <c r="K10239" s="33" t="s">
        <v>22</v>
      </c>
    </row>
    <row r="10240" spans="1:11">
      <c r="A10240" s="30" t="s">
        <v>23405</v>
      </c>
      <c r="B10240" s="30" t="s">
        <v>23406</v>
      </c>
      <c r="C10240" s="30" t="s">
        <v>4210</v>
      </c>
      <c r="D10240" s="30" t="s">
        <v>17</v>
      </c>
      <c r="E10240" s="30" t="s">
        <v>26</v>
      </c>
      <c r="F10240" s="30" t="s">
        <v>27</v>
      </c>
      <c r="G10240" s="30" t="s">
        <v>112</v>
      </c>
      <c r="H10240" s="32">
        <v>0</v>
      </c>
      <c r="I10240" s="30" t="s">
        <v>21</v>
      </c>
      <c r="J10240" s="41">
        <v>44620</v>
      </c>
      <c r="K10240" s="30" t="s">
        <v>22</v>
      </c>
    </row>
    <row r="10241" spans="1:11">
      <c r="A10241" s="33" t="s">
        <v>23407</v>
      </c>
      <c r="B10241" s="33" t="s">
        <v>23408</v>
      </c>
      <c r="C10241" s="33" t="s">
        <v>310</v>
      </c>
      <c r="D10241" s="33" t="s">
        <v>17</v>
      </c>
      <c r="E10241" s="33" t="s">
        <v>26</v>
      </c>
      <c r="F10241" s="33" t="s">
        <v>27</v>
      </c>
      <c r="G10241" s="33" t="s">
        <v>20</v>
      </c>
      <c r="H10241" s="35">
        <v>144</v>
      </c>
      <c r="I10241" s="33" t="s">
        <v>21</v>
      </c>
      <c r="J10241" s="42">
        <v>44692</v>
      </c>
      <c r="K10241" s="33" t="s">
        <v>22</v>
      </c>
    </row>
    <row r="10242" spans="1:11">
      <c r="A10242" s="30" t="s">
        <v>23409</v>
      </c>
      <c r="B10242" s="30" t="s">
        <v>23410</v>
      </c>
      <c r="C10242" s="30" t="s">
        <v>157</v>
      </c>
      <c r="D10242" s="30" t="s">
        <v>17</v>
      </c>
      <c r="E10242" s="30" t="s">
        <v>18</v>
      </c>
      <c r="F10242" s="30" t="s">
        <v>19</v>
      </c>
      <c r="G10242" s="30" t="s">
        <v>20</v>
      </c>
      <c r="H10242" s="32">
        <v>150</v>
      </c>
      <c r="I10242" s="30" t="s">
        <v>21</v>
      </c>
      <c r="J10242" s="41">
        <v>44666</v>
      </c>
      <c r="K10242" s="30" t="s">
        <v>22</v>
      </c>
    </row>
    <row r="10243" spans="1:11">
      <c r="A10243" s="33" t="s">
        <v>23411</v>
      </c>
      <c r="B10243" s="33" t="s">
        <v>23412</v>
      </c>
      <c r="C10243" s="33" t="s">
        <v>190</v>
      </c>
      <c r="D10243" s="33" t="s">
        <v>17</v>
      </c>
      <c r="E10243" s="33" t="s">
        <v>31</v>
      </c>
      <c r="F10243" s="33" t="s">
        <v>32</v>
      </c>
      <c r="G10243" s="33" t="s">
        <v>20</v>
      </c>
      <c r="H10243" s="35">
        <v>175</v>
      </c>
      <c r="I10243" s="33" t="s">
        <v>21</v>
      </c>
      <c r="J10243" s="42">
        <v>44657</v>
      </c>
      <c r="K10243" s="33" t="s">
        <v>22</v>
      </c>
    </row>
    <row r="10244" spans="1:11">
      <c r="A10244" s="30" t="s">
        <v>23413</v>
      </c>
      <c r="B10244" s="30" t="s">
        <v>23414</v>
      </c>
      <c r="C10244" s="30" t="s">
        <v>23415</v>
      </c>
      <c r="D10244" s="30" t="s">
        <v>17</v>
      </c>
      <c r="E10244" s="30" t="s">
        <v>26</v>
      </c>
      <c r="F10244" s="30" t="s">
        <v>27</v>
      </c>
      <c r="G10244" s="30" t="s">
        <v>50</v>
      </c>
      <c r="H10244" s="32">
        <v>9</v>
      </c>
      <c r="I10244" s="30" t="s">
        <v>51</v>
      </c>
      <c r="J10244" s="41">
        <v>44730</v>
      </c>
      <c r="K10244" s="30" t="s">
        <v>22</v>
      </c>
    </row>
    <row r="10245" spans="1:11">
      <c r="A10245" s="33" t="s">
        <v>23416</v>
      </c>
      <c r="B10245" s="33" t="s">
        <v>23417</v>
      </c>
      <c r="C10245" s="33" t="s">
        <v>1529</v>
      </c>
      <c r="D10245" s="33" t="s">
        <v>17</v>
      </c>
      <c r="E10245" s="33" t="s">
        <v>67</v>
      </c>
      <c r="F10245" s="33" t="s">
        <v>68</v>
      </c>
      <c r="G10245" s="33" t="s">
        <v>158</v>
      </c>
      <c r="H10245" s="35">
        <v>15</v>
      </c>
      <c r="I10245" s="33" t="s">
        <v>51</v>
      </c>
      <c r="J10245" s="42">
        <v>44711</v>
      </c>
      <c r="K10245" s="33" t="s">
        <v>22</v>
      </c>
    </row>
    <row r="10246" spans="1:11">
      <c r="A10246" s="30" t="s">
        <v>23418</v>
      </c>
      <c r="B10246" s="30" t="s">
        <v>23419</v>
      </c>
      <c r="C10246" s="30" t="s">
        <v>222</v>
      </c>
      <c r="D10246" s="30" t="s">
        <v>17</v>
      </c>
      <c r="E10246" s="30" t="s">
        <v>18</v>
      </c>
      <c r="F10246" s="30" t="s">
        <v>19</v>
      </c>
      <c r="G10246" s="30" t="s">
        <v>158</v>
      </c>
      <c r="H10246" s="32">
        <v>586</v>
      </c>
      <c r="I10246" s="30" t="s">
        <v>21</v>
      </c>
      <c r="J10246" s="41">
        <v>44750</v>
      </c>
      <c r="K10246" s="30" t="s">
        <v>22</v>
      </c>
    </row>
    <row r="10247" spans="1:11">
      <c r="A10247" s="33" t="s">
        <v>23420</v>
      </c>
      <c r="B10247" s="33" t="s">
        <v>23421</v>
      </c>
      <c r="C10247" s="33" t="s">
        <v>3610</v>
      </c>
      <c r="D10247" s="33" t="s">
        <v>17</v>
      </c>
      <c r="E10247" s="33" t="s">
        <v>26</v>
      </c>
      <c r="F10247" s="33" t="s">
        <v>27</v>
      </c>
      <c r="G10247" s="33" t="s">
        <v>50</v>
      </c>
      <c r="H10247" s="35">
        <v>20</v>
      </c>
      <c r="I10247" s="33" t="s">
        <v>51</v>
      </c>
      <c r="J10247" s="42">
        <v>44879</v>
      </c>
      <c r="K10247" s="33" t="s">
        <v>22</v>
      </c>
    </row>
    <row r="10248" spans="1:11">
      <c r="A10248" s="30" t="s">
        <v>23422</v>
      </c>
      <c r="B10248" s="30" t="s">
        <v>23423</v>
      </c>
      <c r="C10248" s="30" t="s">
        <v>1683</v>
      </c>
      <c r="D10248" s="30" t="s">
        <v>17</v>
      </c>
      <c r="E10248" s="30" t="s">
        <v>26</v>
      </c>
      <c r="F10248" s="30" t="s">
        <v>27</v>
      </c>
      <c r="G10248" s="30" t="s">
        <v>158</v>
      </c>
      <c r="H10248" s="32">
        <v>6</v>
      </c>
      <c r="I10248" s="30" t="s">
        <v>21</v>
      </c>
      <c r="J10248" s="41">
        <v>44914</v>
      </c>
      <c r="K10248" s="30" t="s">
        <v>22</v>
      </c>
    </row>
    <row r="10249" spans="1:11">
      <c r="A10249" s="33" t="s">
        <v>23424</v>
      </c>
      <c r="B10249" s="33" t="s">
        <v>23425</v>
      </c>
      <c r="C10249" s="33" t="s">
        <v>252</v>
      </c>
      <c r="D10249" s="33" t="s">
        <v>17</v>
      </c>
      <c r="E10249" s="33" t="s">
        <v>31</v>
      </c>
      <c r="F10249" s="33" t="s">
        <v>32</v>
      </c>
      <c r="G10249" s="33" t="s">
        <v>158</v>
      </c>
      <c r="H10249" s="35">
        <v>254</v>
      </c>
      <c r="I10249" s="33" t="s">
        <v>51</v>
      </c>
      <c r="J10249" s="42">
        <v>44739</v>
      </c>
      <c r="K10249" s="33" t="s">
        <v>22</v>
      </c>
    </row>
    <row r="10250" spans="1:11">
      <c r="A10250" s="30" t="s">
        <v>23426</v>
      </c>
      <c r="B10250" s="30" t="s">
        <v>23427</v>
      </c>
      <c r="C10250" s="30" t="s">
        <v>23428</v>
      </c>
      <c r="D10250" s="30" t="s">
        <v>17</v>
      </c>
      <c r="E10250" s="30" t="s">
        <v>26</v>
      </c>
      <c r="F10250" s="30" t="s">
        <v>27</v>
      </c>
      <c r="G10250" s="30" t="s">
        <v>20</v>
      </c>
      <c r="H10250" s="32">
        <v>10</v>
      </c>
      <c r="I10250" s="30" t="s">
        <v>21</v>
      </c>
      <c r="J10250" s="41">
        <v>44562</v>
      </c>
      <c r="K10250" s="30" t="s">
        <v>22</v>
      </c>
    </row>
    <row r="10251" spans="1:11">
      <c r="A10251" s="33" t="s">
        <v>23429</v>
      </c>
      <c r="B10251" s="33" t="s">
        <v>23430</v>
      </c>
      <c r="C10251" s="33" t="s">
        <v>203</v>
      </c>
      <c r="D10251" s="33" t="s">
        <v>17</v>
      </c>
      <c r="E10251" s="33" t="s">
        <v>67</v>
      </c>
      <c r="F10251" s="33" t="s">
        <v>68</v>
      </c>
      <c r="G10251" s="33" t="s">
        <v>140</v>
      </c>
      <c r="H10251" s="35">
        <v>542</v>
      </c>
      <c r="I10251" s="33" t="s">
        <v>51</v>
      </c>
      <c r="J10251" s="42">
        <v>44894</v>
      </c>
      <c r="K10251" s="33" t="s">
        <v>22</v>
      </c>
    </row>
    <row r="10252" spans="1:11">
      <c r="A10252" s="30" t="s">
        <v>23431</v>
      </c>
      <c r="B10252" s="30" t="s">
        <v>23432</v>
      </c>
      <c r="C10252" s="30" t="s">
        <v>178</v>
      </c>
      <c r="D10252" s="30" t="s">
        <v>17</v>
      </c>
      <c r="E10252" s="30" t="s">
        <v>26</v>
      </c>
      <c r="F10252" s="30" t="s">
        <v>27</v>
      </c>
      <c r="G10252" s="30" t="s">
        <v>140</v>
      </c>
      <c r="H10252" s="32">
        <v>332</v>
      </c>
      <c r="I10252" s="30" t="s">
        <v>51</v>
      </c>
      <c r="J10252" s="41">
        <v>44627</v>
      </c>
      <c r="K10252" s="30" t="s">
        <v>22</v>
      </c>
    </row>
    <row r="10253" spans="1:11">
      <c r="A10253" s="33" t="s">
        <v>23433</v>
      </c>
      <c r="B10253" s="33" t="s">
        <v>23434</v>
      </c>
      <c r="C10253" s="33" t="s">
        <v>10079</v>
      </c>
      <c r="D10253" s="33" t="s">
        <v>17</v>
      </c>
      <c r="E10253" s="33" t="s">
        <v>26</v>
      </c>
      <c r="F10253" s="33" t="s">
        <v>27</v>
      </c>
      <c r="G10253" s="33" t="s">
        <v>20</v>
      </c>
      <c r="H10253" s="35">
        <v>80</v>
      </c>
      <c r="I10253" s="33" t="s">
        <v>21</v>
      </c>
      <c r="J10253" s="42">
        <v>44788</v>
      </c>
      <c r="K10253" s="33" t="s">
        <v>22</v>
      </c>
    </row>
    <row r="10254" spans="1:11">
      <c r="A10254" s="30" t="s">
        <v>23435</v>
      </c>
      <c r="B10254" s="30" t="s">
        <v>23436</v>
      </c>
      <c r="C10254" s="30" t="s">
        <v>647</v>
      </c>
      <c r="D10254" s="30" t="s">
        <v>17</v>
      </c>
      <c r="E10254" s="30" t="s">
        <v>26</v>
      </c>
      <c r="F10254" s="30" t="s">
        <v>27</v>
      </c>
      <c r="G10254" s="30" t="s">
        <v>20</v>
      </c>
      <c r="H10254" s="32">
        <v>14</v>
      </c>
      <c r="I10254" s="30" t="s">
        <v>21</v>
      </c>
      <c r="J10254" s="41">
        <v>44726</v>
      </c>
      <c r="K10254" s="30" t="s">
        <v>22</v>
      </c>
    </row>
    <row r="10255" spans="1:11">
      <c r="A10255" s="33" t="s">
        <v>23437</v>
      </c>
      <c r="B10255" s="33" t="s">
        <v>23438</v>
      </c>
      <c r="C10255" s="33" t="s">
        <v>2739</v>
      </c>
      <c r="D10255" s="33" t="s">
        <v>17</v>
      </c>
      <c r="E10255" s="33" t="s">
        <v>18</v>
      </c>
      <c r="F10255" s="33" t="s">
        <v>19</v>
      </c>
      <c r="G10255" s="33" t="s">
        <v>20</v>
      </c>
      <c r="H10255" s="35">
        <v>252</v>
      </c>
      <c r="I10255" s="33" t="s">
        <v>21</v>
      </c>
      <c r="J10255" s="42">
        <v>44790</v>
      </c>
      <c r="K10255" s="33" t="s">
        <v>22</v>
      </c>
    </row>
    <row r="10256" spans="1:11">
      <c r="A10256" s="30" t="s">
        <v>23439</v>
      </c>
      <c r="B10256" s="30" t="s">
        <v>23440</v>
      </c>
      <c r="C10256" s="30" t="s">
        <v>1219</v>
      </c>
      <c r="D10256" s="30" t="s">
        <v>17</v>
      </c>
      <c r="E10256" s="30" t="s">
        <v>18</v>
      </c>
      <c r="F10256" s="30" t="s">
        <v>19</v>
      </c>
      <c r="G10256" s="30" t="s">
        <v>158</v>
      </c>
      <c r="H10256" s="32">
        <v>324</v>
      </c>
      <c r="I10256" s="30" t="s">
        <v>21</v>
      </c>
      <c r="J10256" s="41">
        <v>44908</v>
      </c>
      <c r="K10256" s="30" t="s">
        <v>22</v>
      </c>
    </row>
    <row r="10257" spans="1:11">
      <c r="A10257" s="33" t="s">
        <v>23441</v>
      </c>
      <c r="B10257" s="33" t="s">
        <v>23442</v>
      </c>
      <c r="C10257" s="33" t="s">
        <v>23443</v>
      </c>
      <c r="D10257" s="33" t="s">
        <v>17</v>
      </c>
      <c r="E10257" s="33" t="s">
        <v>31</v>
      </c>
      <c r="F10257" s="33" t="s">
        <v>32</v>
      </c>
      <c r="G10257" s="33" t="s">
        <v>20</v>
      </c>
      <c r="H10257" s="35">
        <v>274</v>
      </c>
      <c r="I10257" s="33" t="s">
        <v>21</v>
      </c>
      <c r="J10257" s="42">
        <v>44716</v>
      </c>
      <c r="K10257" s="33" t="s">
        <v>22</v>
      </c>
    </row>
    <row r="10258" spans="1:11">
      <c r="A10258" s="30" t="s">
        <v>23444</v>
      </c>
      <c r="B10258" s="30" t="s">
        <v>23445</v>
      </c>
      <c r="C10258" s="30" t="s">
        <v>23446</v>
      </c>
      <c r="D10258" s="30" t="s">
        <v>17</v>
      </c>
      <c r="E10258" s="30" t="s">
        <v>26</v>
      </c>
      <c r="F10258" s="30" t="s">
        <v>27</v>
      </c>
      <c r="G10258" s="30" t="s">
        <v>20</v>
      </c>
      <c r="H10258" s="32">
        <v>24</v>
      </c>
      <c r="I10258" s="30" t="s">
        <v>21</v>
      </c>
      <c r="J10258" s="41">
        <v>44713</v>
      </c>
      <c r="K10258" s="30" t="s">
        <v>22</v>
      </c>
    </row>
    <row r="10259" spans="1:11">
      <c r="A10259" s="33" t="s">
        <v>23447</v>
      </c>
      <c r="B10259" s="33" t="s">
        <v>23448</v>
      </c>
      <c r="C10259" s="33" t="s">
        <v>193</v>
      </c>
      <c r="D10259" s="33" t="s">
        <v>17</v>
      </c>
      <c r="E10259" s="33" t="s">
        <v>26</v>
      </c>
      <c r="F10259" s="33" t="s">
        <v>27</v>
      </c>
      <c r="G10259" s="33" t="s">
        <v>20</v>
      </c>
      <c r="H10259" s="35">
        <v>30</v>
      </c>
      <c r="I10259" s="33" t="s">
        <v>21</v>
      </c>
      <c r="J10259" s="42">
        <v>44606</v>
      </c>
      <c r="K10259" s="33" t="s">
        <v>22</v>
      </c>
    </row>
    <row r="10260" spans="1:11">
      <c r="A10260" s="30" t="s">
        <v>23449</v>
      </c>
      <c r="B10260" s="30" t="s">
        <v>23450</v>
      </c>
      <c r="C10260" s="30" t="s">
        <v>190</v>
      </c>
      <c r="D10260" s="30" t="s">
        <v>17</v>
      </c>
      <c r="E10260" s="30" t="s">
        <v>45</v>
      </c>
      <c r="F10260" s="30" t="s">
        <v>46</v>
      </c>
      <c r="G10260" s="30" t="s">
        <v>20</v>
      </c>
      <c r="H10260" s="32">
        <v>3882</v>
      </c>
      <c r="I10260" s="30" t="s">
        <v>21</v>
      </c>
      <c r="J10260" s="41">
        <v>44911</v>
      </c>
      <c r="K10260" s="30" t="s">
        <v>22</v>
      </c>
    </row>
    <row r="10261" spans="1:11">
      <c r="A10261" s="33" t="s">
        <v>23451</v>
      </c>
      <c r="B10261" s="33" t="s">
        <v>23452</v>
      </c>
      <c r="C10261" s="33" t="s">
        <v>23453</v>
      </c>
      <c r="D10261" s="33" t="s">
        <v>17</v>
      </c>
      <c r="E10261" s="33" t="s">
        <v>26</v>
      </c>
      <c r="F10261" s="33" t="s">
        <v>27</v>
      </c>
      <c r="G10261" s="33" t="s">
        <v>20</v>
      </c>
      <c r="H10261" s="35">
        <v>16</v>
      </c>
      <c r="I10261" s="33" t="s">
        <v>21</v>
      </c>
      <c r="J10261" s="42">
        <v>44756</v>
      </c>
      <c r="K10261" s="33" t="s">
        <v>22</v>
      </c>
    </row>
    <row r="10262" spans="1:11">
      <c r="A10262" s="30" t="s">
        <v>23454</v>
      </c>
      <c r="B10262" s="30" t="s">
        <v>23455</v>
      </c>
      <c r="C10262" s="30" t="s">
        <v>187</v>
      </c>
      <c r="D10262" s="30" t="s">
        <v>17</v>
      </c>
      <c r="E10262" s="30" t="s">
        <v>26</v>
      </c>
      <c r="F10262" s="30" t="s">
        <v>27</v>
      </c>
      <c r="G10262" s="30" t="s">
        <v>50</v>
      </c>
      <c r="H10262" s="32">
        <v>50</v>
      </c>
      <c r="I10262" s="30" t="s">
        <v>51</v>
      </c>
      <c r="J10262" s="41">
        <v>44782</v>
      </c>
      <c r="K10262" s="30" t="s">
        <v>22</v>
      </c>
    </row>
    <row r="10263" spans="1:11">
      <c r="A10263" s="33" t="s">
        <v>23456</v>
      </c>
      <c r="B10263" s="33" t="s">
        <v>23457</v>
      </c>
      <c r="C10263" s="33" t="s">
        <v>21337</v>
      </c>
      <c r="D10263" s="33" t="s">
        <v>17</v>
      </c>
      <c r="E10263" s="33" t="s">
        <v>67</v>
      </c>
      <c r="F10263" s="33" t="s">
        <v>68</v>
      </c>
      <c r="G10263" s="33" t="s">
        <v>140</v>
      </c>
      <c r="H10263" s="35">
        <v>155</v>
      </c>
      <c r="I10263" s="33" t="s">
        <v>51</v>
      </c>
      <c r="J10263" s="42">
        <v>44774</v>
      </c>
      <c r="K10263" s="33" t="s">
        <v>22</v>
      </c>
    </row>
    <row r="10264" spans="1:11">
      <c r="A10264" s="30" t="s">
        <v>23458</v>
      </c>
      <c r="B10264" s="30" t="s">
        <v>23459</v>
      </c>
      <c r="C10264" s="30" t="s">
        <v>3610</v>
      </c>
      <c r="D10264" s="30" t="s">
        <v>17</v>
      </c>
      <c r="E10264" s="30" t="s">
        <v>26</v>
      </c>
      <c r="F10264" s="30" t="s">
        <v>27</v>
      </c>
      <c r="G10264" s="30" t="s">
        <v>20</v>
      </c>
      <c r="H10264" s="32">
        <v>60</v>
      </c>
      <c r="I10264" s="30" t="s">
        <v>21</v>
      </c>
      <c r="J10264" s="41">
        <v>44730</v>
      </c>
      <c r="K10264" s="30" t="s">
        <v>22</v>
      </c>
    </row>
    <row r="10265" spans="1:11">
      <c r="A10265" s="33" t="s">
        <v>23460</v>
      </c>
      <c r="B10265" s="33" t="s">
        <v>23461</v>
      </c>
      <c r="C10265" s="33" t="s">
        <v>6179</v>
      </c>
      <c r="D10265" s="33" t="s">
        <v>17</v>
      </c>
      <c r="E10265" s="33" t="s">
        <v>31</v>
      </c>
      <c r="F10265" s="33" t="s">
        <v>32</v>
      </c>
      <c r="G10265" s="33" t="s">
        <v>106</v>
      </c>
      <c r="H10265" s="35">
        <v>13</v>
      </c>
      <c r="I10265" s="33" t="s">
        <v>21</v>
      </c>
      <c r="J10265" s="42">
        <v>44882</v>
      </c>
      <c r="K10265" s="33" t="s">
        <v>22</v>
      </c>
    </row>
    <row r="10266" spans="1:11">
      <c r="A10266" s="30" t="s">
        <v>23462</v>
      </c>
      <c r="B10266" s="30" t="s">
        <v>23463</v>
      </c>
      <c r="C10266" s="30" t="s">
        <v>2208</v>
      </c>
      <c r="D10266" s="30" t="s">
        <v>17</v>
      </c>
      <c r="E10266" s="30" t="s">
        <v>31</v>
      </c>
      <c r="F10266" s="30" t="s">
        <v>32</v>
      </c>
      <c r="G10266" s="30" t="s">
        <v>50</v>
      </c>
      <c r="H10266" s="32">
        <v>105</v>
      </c>
      <c r="I10266" s="30" t="s">
        <v>51</v>
      </c>
      <c r="J10266" s="41">
        <v>44743</v>
      </c>
      <c r="K10266" s="30" t="s">
        <v>22</v>
      </c>
    </row>
    <row r="10267" spans="1:11">
      <c r="A10267" s="33" t="s">
        <v>23464</v>
      </c>
      <c r="B10267" s="33" t="s">
        <v>23465</v>
      </c>
      <c r="C10267" s="33" t="s">
        <v>23466</v>
      </c>
      <c r="D10267" s="33" t="s">
        <v>17</v>
      </c>
      <c r="E10267" s="33" t="s">
        <v>330</v>
      </c>
      <c r="F10267" s="33" t="s">
        <v>331</v>
      </c>
      <c r="G10267" s="33" t="s">
        <v>20</v>
      </c>
      <c r="H10267" s="35">
        <v>60</v>
      </c>
      <c r="I10267" s="33" t="s">
        <v>21</v>
      </c>
      <c r="J10267" s="42">
        <v>44615</v>
      </c>
      <c r="K10267" s="33" t="s">
        <v>22</v>
      </c>
    </row>
    <row r="10268" spans="1:11">
      <c r="A10268" s="30" t="s">
        <v>23467</v>
      </c>
      <c r="B10268" s="30" t="s">
        <v>23468</v>
      </c>
      <c r="C10268" s="30" t="s">
        <v>102</v>
      </c>
      <c r="D10268" s="30" t="s">
        <v>17</v>
      </c>
      <c r="E10268" s="30" t="s">
        <v>26</v>
      </c>
      <c r="F10268" s="30" t="s">
        <v>27</v>
      </c>
      <c r="G10268" s="30" t="s">
        <v>106</v>
      </c>
      <c r="H10268" s="32">
        <v>60</v>
      </c>
      <c r="I10268" s="30" t="s">
        <v>21</v>
      </c>
      <c r="J10268" s="41">
        <v>44746</v>
      </c>
      <c r="K10268" s="30" t="s">
        <v>22</v>
      </c>
    </row>
    <row r="10269" spans="1:11">
      <c r="A10269" s="33" t="s">
        <v>23469</v>
      </c>
      <c r="B10269" s="33" t="s">
        <v>23470</v>
      </c>
      <c r="C10269" s="33" t="s">
        <v>1207</v>
      </c>
      <c r="D10269" s="33" t="s">
        <v>17</v>
      </c>
      <c r="E10269" s="33" t="s">
        <v>26</v>
      </c>
      <c r="F10269" s="33" t="s">
        <v>27</v>
      </c>
      <c r="G10269" s="33" t="s">
        <v>20</v>
      </c>
      <c r="H10269" s="35">
        <v>15</v>
      </c>
      <c r="I10269" s="33" t="s">
        <v>21</v>
      </c>
      <c r="J10269" s="42">
        <v>44795</v>
      </c>
      <c r="K10269" s="33" t="s">
        <v>22</v>
      </c>
    </row>
    <row r="10270" spans="1:11">
      <c r="A10270" s="30" t="s">
        <v>23471</v>
      </c>
      <c r="B10270" s="30" t="s">
        <v>23472</v>
      </c>
      <c r="C10270" s="30" t="s">
        <v>11899</v>
      </c>
      <c r="D10270" s="30" t="s">
        <v>17</v>
      </c>
      <c r="E10270" s="30" t="s">
        <v>31</v>
      </c>
      <c r="F10270" s="30" t="s">
        <v>32</v>
      </c>
      <c r="G10270" s="30" t="s">
        <v>50</v>
      </c>
      <c r="H10270" s="32">
        <v>212</v>
      </c>
      <c r="I10270" s="30" t="s">
        <v>51</v>
      </c>
      <c r="J10270" s="41">
        <v>44721</v>
      </c>
      <c r="K10270" s="30" t="s">
        <v>22</v>
      </c>
    </row>
    <row r="10271" spans="1:11">
      <c r="A10271" s="33" t="s">
        <v>23473</v>
      </c>
      <c r="B10271" s="33" t="s">
        <v>23474</v>
      </c>
      <c r="C10271" s="33" t="s">
        <v>23475</v>
      </c>
      <c r="D10271" s="33" t="s">
        <v>17</v>
      </c>
      <c r="E10271" s="33" t="s">
        <v>26</v>
      </c>
      <c r="F10271" s="33" t="s">
        <v>27</v>
      </c>
      <c r="G10271" s="33" t="s">
        <v>20</v>
      </c>
      <c r="H10271" s="35">
        <v>69</v>
      </c>
      <c r="I10271" s="33" t="s">
        <v>21</v>
      </c>
      <c r="J10271" s="42">
        <v>44902</v>
      </c>
      <c r="K10271" s="33" t="s">
        <v>22</v>
      </c>
    </row>
    <row r="10272" spans="1:11">
      <c r="A10272" s="30" t="s">
        <v>23476</v>
      </c>
      <c r="B10272" s="30" t="s">
        <v>23477</v>
      </c>
      <c r="C10272" s="30" t="s">
        <v>1305</v>
      </c>
      <c r="D10272" s="30" t="s">
        <v>17</v>
      </c>
      <c r="E10272" s="30" t="s">
        <v>26</v>
      </c>
      <c r="F10272" s="30" t="s">
        <v>27</v>
      </c>
      <c r="G10272" s="30" t="s">
        <v>20</v>
      </c>
      <c r="H10272" s="32">
        <v>177</v>
      </c>
      <c r="I10272" s="30" t="s">
        <v>21</v>
      </c>
      <c r="J10272" s="41">
        <v>44711</v>
      </c>
      <c r="K10272" s="30" t="s">
        <v>22</v>
      </c>
    </row>
    <row r="10273" spans="1:11">
      <c r="A10273" s="33" t="s">
        <v>23478</v>
      </c>
      <c r="B10273" s="33" t="s">
        <v>23479</v>
      </c>
      <c r="C10273" s="33" t="s">
        <v>190</v>
      </c>
      <c r="D10273" s="33" t="s">
        <v>17</v>
      </c>
      <c r="E10273" s="33" t="s">
        <v>26</v>
      </c>
      <c r="F10273" s="33" t="s">
        <v>27</v>
      </c>
      <c r="G10273" s="33" t="s">
        <v>20</v>
      </c>
      <c r="H10273" s="35">
        <v>20</v>
      </c>
      <c r="I10273" s="33" t="s">
        <v>21</v>
      </c>
      <c r="J10273" s="42">
        <v>44582</v>
      </c>
      <c r="K10273" s="33" t="s">
        <v>22</v>
      </c>
    </row>
    <row r="10274" spans="1:11">
      <c r="A10274" s="30" t="s">
        <v>23480</v>
      </c>
      <c r="B10274" s="30" t="s">
        <v>23481</v>
      </c>
      <c r="C10274" s="30" t="s">
        <v>318</v>
      </c>
      <c r="D10274" s="30" t="s">
        <v>17</v>
      </c>
      <c r="E10274" s="30" t="s">
        <v>212</v>
      </c>
      <c r="F10274" s="30" t="s">
        <v>213</v>
      </c>
      <c r="G10274" s="30" t="s">
        <v>158</v>
      </c>
      <c r="H10274" s="32">
        <v>6019</v>
      </c>
      <c r="I10274" s="30" t="s">
        <v>21</v>
      </c>
      <c r="J10274" s="41">
        <v>44860</v>
      </c>
      <c r="K10274" s="30" t="s">
        <v>22</v>
      </c>
    </row>
    <row r="10275" spans="1:11">
      <c r="A10275" s="33" t="s">
        <v>23482</v>
      </c>
      <c r="B10275" s="33" t="s">
        <v>23483</v>
      </c>
      <c r="C10275" s="33" t="s">
        <v>44</v>
      </c>
      <c r="D10275" s="33" t="s">
        <v>17</v>
      </c>
      <c r="E10275" s="33" t="s">
        <v>18</v>
      </c>
      <c r="F10275" s="33" t="s">
        <v>19</v>
      </c>
      <c r="G10275" s="33" t="s">
        <v>106</v>
      </c>
      <c r="H10275" s="35">
        <v>3</v>
      </c>
      <c r="I10275" s="33" t="s">
        <v>21</v>
      </c>
      <c r="J10275" s="42">
        <v>44840</v>
      </c>
      <c r="K10275" s="33" t="s">
        <v>22</v>
      </c>
    </row>
    <row r="10276" spans="1:11">
      <c r="A10276" s="30" t="s">
        <v>23484</v>
      </c>
      <c r="B10276" s="30" t="s">
        <v>23485</v>
      </c>
      <c r="C10276" s="30" t="s">
        <v>1674</v>
      </c>
      <c r="D10276" s="30" t="s">
        <v>17</v>
      </c>
      <c r="E10276" s="30" t="s">
        <v>18</v>
      </c>
      <c r="F10276" s="30" t="s">
        <v>19</v>
      </c>
      <c r="G10276" s="30" t="s">
        <v>140</v>
      </c>
      <c r="H10276" s="32">
        <v>450</v>
      </c>
      <c r="I10276" s="30" t="s">
        <v>51</v>
      </c>
      <c r="J10276" s="41">
        <v>44763</v>
      </c>
      <c r="K10276" s="30" t="s">
        <v>22</v>
      </c>
    </row>
    <row r="10277" spans="1:11">
      <c r="A10277" s="33" t="s">
        <v>23486</v>
      </c>
      <c r="B10277" s="33" t="s">
        <v>23487</v>
      </c>
      <c r="C10277" s="33" t="s">
        <v>1422</v>
      </c>
      <c r="D10277" s="33" t="s">
        <v>17</v>
      </c>
      <c r="E10277" s="33" t="s">
        <v>31</v>
      </c>
      <c r="F10277" s="33" t="s">
        <v>32</v>
      </c>
      <c r="G10277" s="33" t="s">
        <v>20</v>
      </c>
      <c r="H10277" s="35">
        <v>50</v>
      </c>
      <c r="I10277" s="33" t="s">
        <v>21</v>
      </c>
      <c r="J10277" s="42">
        <v>44845</v>
      </c>
      <c r="K10277" s="33" t="s">
        <v>22</v>
      </c>
    </row>
    <row r="10278" spans="1:11">
      <c r="A10278" s="30" t="s">
        <v>23488</v>
      </c>
      <c r="B10278" s="30" t="s">
        <v>23489</v>
      </c>
      <c r="C10278" s="30" t="s">
        <v>23490</v>
      </c>
      <c r="D10278" s="30" t="s">
        <v>17</v>
      </c>
      <c r="E10278" s="30" t="s">
        <v>18</v>
      </c>
      <c r="F10278" s="30" t="s">
        <v>19</v>
      </c>
      <c r="G10278" s="30" t="s">
        <v>50</v>
      </c>
      <c r="H10278" s="32">
        <v>480</v>
      </c>
      <c r="I10278" s="30" t="s">
        <v>51</v>
      </c>
      <c r="J10278" s="41">
        <v>44880</v>
      </c>
      <c r="K10278" s="30" t="s">
        <v>22</v>
      </c>
    </row>
    <row r="10279" spans="1:11">
      <c r="A10279" s="33" t="s">
        <v>23491</v>
      </c>
      <c r="B10279" s="33" t="s">
        <v>23492</v>
      </c>
      <c r="C10279" s="33" t="s">
        <v>8204</v>
      </c>
      <c r="D10279" s="33" t="s">
        <v>17</v>
      </c>
      <c r="E10279" s="33" t="s">
        <v>26</v>
      </c>
      <c r="F10279" s="33" t="s">
        <v>27</v>
      </c>
      <c r="G10279" s="33" t="s">
        <v>112</v>
      </c>
      <c r="H10279" s="35">
        <v>0</v>
      </c>
      <c r="I10279" s="33" t="s">
        <v>21</v>
      </c>
      <c r="J10279" s="42">
        <v>44926</v>
      </c>
      <c r="K10279" s="33" t="s">
        <v>22</v>
      </c>
    </row>
    <row r="10280" spans="1:11">
      <c r="A10280" s="30" t="s">
        <v>23493</v>
      </c>
      <c r="B10280" s="30" t="s">
        <v>23494</v>
      </c>
      <c r="C10280" s="30" t="s">
        <v>23495</v>
      </c>
      <c r="D10280" s="30" t="s">
        <v>17</v>
      </c>
      <c r="E10280" s="30" t="s">
        <v>18</v>
      </c>
      <c r="F10280" s="30" t="s">
        <v>19</v>
      </c>
      <c r="G10280" s="30" t="s">
        <v>50</v>
      </c>
      <c r="H10280" s="32">
        <v>336</v>
      </c>
      <c r="I10280" s="30" t="s">
        <v>51</v>
      </c>
      <c r="J10280" s="41">
        <v>44808</v>
      </c>
      <c r="K10280" s="30" t="s">
        <v>22</v>
      </c>
    </row>
    <row r="10281" spans="1:11">
      <c r="A10281" s="33" t="s">
        <v>23496</v>
      </c>
      <c r="B10281" s="33" t="s">
        <v>23497</v>
      </c>
      <c r="C10281" s="33" t="s">
        <v>1042</v>
      </c>
      <c r="D10281" s="33" t="s">
        <v>17</v>
      </c>
      <c r="E10281" s="33" t="s">
        <v>31</v>
      </c>
      <c r="F10281" s="33" t="s">
        <v>32</v>
      </c>
      <c r="G10281" s="33" t="s">
        <v>20</v>
      </c>
      <c r="H10281" s="35">
        <v>8</v>
      </c>
      <c r="I10281" s="33" t="s">
        <v>21</v>
      </c>
      <c r="J10281" s="42">
        <v>44756</v>
      </c>
      <c r="K10281" s="33" t="s">
        <v>22</v>
      </c>
    </row>
    <row r="10282" spans="1:11">
      <c r="A10282" s="30" t="s">
        <v>23498</v>
      </c>
      <c r="B10282" s="30" t="s">
        <v>23499</v>
      </c>
      <c r="C10282" s="30" t="s">
        <v>1461</v>
      </c>
      <c r="D10282" s="30" t="s">
        <v>17</v>
      </c>
      <c r="E10282" s="30" t="s">
        <v>67</v>
      </c>
      <c r="F10282" s="30" t="s">
        <v>68</v>
      </c>
      <c r="G10282" s="30" t="s">
        <v>140</v>
      </c>
      <c r="H10282" s="32">
        <v>49</v>
      </c>
      <c r="I10282" s="30" t="s">
        <v>51</v>
      </c>
      <c r="J10282" s="41">
        <v>44748</v>
      </c>
      <c r="K10282" s="30" t="s">
        <v>22</v>
      </c>
    </row>
    <row r="10283" spans="1:11">
      <c r="A10283" s="33" t="s">
        <v>23500</v>
      </c>
      <c r="B10283" s="33" t="s">
        <v>23501</v>
      </c>
      <c r="C10283" s="33" t="s">
        <v>969</v>
      </c>
      <c r="D10283" s="33" t="s">
        <v>17</v>
      </c>
      <c r="E10283" s="33" t="s">
        <v>26</v>
      </c>
      <c r="F10283" s="33" t="s">
        <v>27</v>
      </c>
      <c r="G10283" s="33" t="s">
        <v>20</v>
      </c>
      <c r="H10283" s="35">
        <v>23</v>
      </c>
      <c r="I10283" s="33" t="s">
        <v>21</v>
      </c>
      <c r="J10283" s="42">
        <v>44784</v>
      </c>
      <c r="K10283" s="33" t="s">
        <v>22</v>
      </c>
    </row>
    <row r="10284" spans="1:11">
      <c r="A10284" s="30" t="s">
        <v>23502</v>
      </c>
      <c r="B10284" s="30" t="s">
        <v>23503</v>
      </c>
      <c r="C10284" s="30" t="s">
        <v>399</v>
      </c>
      <c r="D10284" s="30" t="s">
        <v>17</v>
      </c>
      <c r="E10284" s="30" t="s">
        <v>212</v>
      </c>
      <c r="F10284" s="30" t="s">
        <v>213</v>
      </c>
      <c r="G10284" s="30" t="s">
        <v>112</v>
      </c>
      <c r="H10284" s="32">
        <v>0</v>
      </c>
      <c r="I10284" s="30" t="s">
        <v>21</v>
      </c>
      <c r="J10284" s="41">
        <v>44802</v>
      </c>
      <c r="K10284" s="30" t="s">
        <v>22</v>
      </c>
    </row>
    <row r="10285" spans="1:11">
      <c r="A10285" s="33" t="s">
        <v>23504</v>
      </c>
      <c r="B10285" s="33" t="s">
        <v>23505</v>
      </c>
      <c r="C10285" s="33" t="s">
        <v>5984</v>
      </c>
      <c r="D10285" s="33" t="s">
        <v>17</v>
      </c>
      <c r="E10285" s="33" t="s">
        <v>31</v>
      </c>
      <c r="F10285" s="33" t="s">
        <v>32</v>
      </c>
      <c r="G10285" s="33" t="s">
        <v>158</v>
      </c>
      <c r="H10285" s="35">
        <v>60</v>
      </c>
      <c r="I10285" s="33" t="s">
        <v>51</v>
      </c>
      <c r="J10285" s="42">
        <v>44887</v>
      </c>
      <c r="K10285" s="33" t="s">
        <v>22</v>
      </c>
    </row>
    <row r="10286" spans="1:11">
      <c r="A10286" s="30" t="s">
        <v>23506</v>
      </c>
      <c r="B10286" s="30" t="s">
        <v>23507</v>
      </c>
      <c r="C10286" s="30" t="s">
        <v>109</v>
      </c>
      <c r="D10286" s="30" t="s">
        <v>17</v>
      </c>
      <c r="E10286" s="30" t="s">
        <v>31</v>
      </c>
      <c r="F10286" s="30" t="s">
        <v>32</v>
      </c>
      <c r="G10286" s="30" t="s">
        <v>106</v>
      </c>
      <c r="H10286" s="32">
        <v>146</v>
      </c>
      <c r="I10286" s="30" t="s">
        <v>21</v>
      </c>
      <c r="J10286" s="41">
        <v>44623</v>
      </c>
      <c r="K10286" s="30" t="s">
        <v>22</v>
      </c>
    </row>
    <row r="10287" spans="1:11">
      <c r="A10287" s="33" t="s">
        <v>23508</v>
      </c>
      <c r="B10287" s="33" t="s">
        <v>23509</v>
      </c>
      <c r="C10287" s="33" t="s">
        <v>2663</v>
      </c>
      <c r="D10287" s="33" t="s">
        <v>17</v>
      </c>
      <c r="E10287" s="33" t="s">
        <v>26</v>
      </c>
      <c r="F10287" s="33" t="s">
        <v>27</v>
      </c>
      <c r="G10287" s="33" t="s">
        <v>20</v>
      </c>
      <c r="H10287" s="35">
        <v>18</v>
      </c>
      <c r="I10287" s="33" t="s">
        <v>21</v>
      </c>
      <c r="J10287" s="42">
        <v>44796</v>
      </c>
      <c r="K10287" s="33" t="s">
        <v>22</v>
      </c>
    </row>
    <row r="10288" spans="1:11">
      <c r="A10288" s="30" t="s">
        <v>23510</v>
      </c>
      <c r="B10288" s="30" t="s">
        <v>23511</v>
      </c>
      <c r="C10288" s="30" t="s">
        <v>6892</v>
      </c>
      <c r="D10288" s="30" t="s">
        <v>17</v>
      </c>
      <c r="E10288" s="30" t="s">
        <v>18</v>
      </c>
      <c r="F10288" s="30" t="s">
        <v>19</v>
      </c>
      <c r="G10288" s="30" t="s">
        <v>140</v>
      </c>
      <c r="H10288" s="32">
        <v>53</v>
      </c>
      <c r="I10288" s="30" t="s">
        <v>51</v>
      </c>
      <c r="J10288" s="41">
        <v>44742</v>
      </c>
      <c r="K10288" s="30" t="s">
        <v>22</v>
      </c>
    </row>
    <row r="10289" spans="1:11">
      <c r="A10289" s="33" t="s">
        <v>23512</v>
      </c>
      <c r="B10289" s="33" t="s">
        <v>23513</v>
      </c>
      <c r="C10289" s="33" t="s">
        <v>925</v>
      </c>
      <c r="D10289" s="33" t="s">
        <v>17</v>
      </c>
      <c r="E10289" s="33" t="s">
        <v>18</v>
      </c>
      <c r="F10289" s="33" t="s">
        <v>19</v>
      </c>
      <c r="G10289" s="33" t="s">
        <v>140</v>
      </c>
      <c r="H10289" s="35">
        <v>1514</v>
      </c>
      <c r="I10289" s="33" t="s">
        <v>51</v>
      </c>
      <c r="J10289" s="42">
        <v>44907</v>
      </c>
      <c r="K10289" s="33" t="s">
        <v>22</v>
      </c>
    </row>
    <row r="10290" spans="1:11">
      <c r="A10290" s="30" t="s">
        <v>23514</v>
      </c>
      <c r="B10290" s="30" t="s">
        <v>23515</v>
      </c>
      <c r="C10290" s="30" t="s">
        <v>4328</v>
      </c>
      <c r="D10290" s="30" t="s">
        <v>17</v>
      </c>
      <c r="E10290" s="30" t="s">
        <v>26</v>
      </c>
      <c r="F10290" s="30" t="s">
        <v>27</v>
      </c>
      <c r="G10290" s="30" t="s">
        <v>20</v>
      </c>
      <c r="H10290" s="32">
        <v>56</v>
      </c>
      <c r="I10290" s="30" t="s">
        <v>21</v>
      </c>
      <c r="J10290" s="41">
        <v>44823</v>
      </c>
      <c r="K10290" s="30" t="s">
        <v>22</v>
      </c>
    </row>
    <row r="10291" spans="1:11">
      <c r="A10291" s="33" t="s">
        <v>23516</v>
      </c>
      <c r="B10291" s="33" t="s">
        <v>23517</v>
      </c>
      <c r="C10291" s="33" t="s">
        <v>23518</v>
      </c>
      <c r="D10291" s="33" t="s">
        <v>17</v>
      </c>
      <c r="E10291" s="33" t="s">
        <v>26</v>
      </c>
      <c r="F10291" s="33" t="s">
        <v>27</v>
      </c>
      <c r="G10291" s="33" t="s">
        <v>50</v>
      </c>
      <c r="H10291" s="35">
        <v>26</v>
      </c>
      <c r="I10291" s="33" t="s">
        <v>51</v>
      </c>
      <c r="J10291" s="42">
        <v>44768</v>
      </c>
      <c r="K10291" s="33" t="s">
        <v>22</v>
      </c>
    </row>
    <row r="10292" spans="1:11">
      <c r="A10292" s="30" t="s">
        <v>23519</v>
      </c>
      <c r="B10292" s="30" t="s">
        <v>23520</v>
      </c>
      <c r="C10292" s="30" t="s">
        <v>16466</v>
      </c>
      <c r="D10292" s="30" t="s">
        <v>17</v>
      </c>
      <c r="E10292" s="30" t="s">
        <v>26</v>
      </c>
      <c r="F10292" s="30" t="s">
        <v>27</v>
      </c>
      <c r="G10292" s="30" t="s">
        <v>20</v>
      </c>
      <c r="H10292" s="32">
        <v>16</v>
      </c>
      <c r="I10292" s="30" t="s">
        <v>21</v>
      </c>
      <c r="J10292" s="41">
        <v>44602</v>
      </c>
      <c r="K10292" s="30" t="s">
        <v>22</v>
      </c>
    </row>
    <row r="10293" spans="1:11">
      <c r="A10293" s="33" t="s">
        <v>23521</v>
      </c>
      <c r="B10293" s="33" t="s">
        <v>23522</v>
      </c>
      <c r="C10293" s="33" t="s">
        <v>3892</v>
      </c>
      <c r="D10293" s="33" t="s">
        <v>17</v>
      </c>
      <c r="E10293" s="33" t="s">
        <v>212</v>
      </c>
      <c r="F10293" s="33" t="s">
        <v>213</v>
      </c>
      <c r="G10293" s="33" t="s">
        <v>20</v>
      </c>
      <c r="H10293" s="35">
        <v>385</v>
      </c>
      <c r="I10293" s="33" t="s">
        <v>21</v>
      </c>
      <c r="J10293" s="42">
        <v>44763</v>
      </c>
      <c r="K10293" s="33" t="s">
        <v>22</v>
      </c>
    </row>
    <row r="10294" spans="1:11">
      <c r="A10294" s="30" t="s">
        <v>23523</v>
      </c>
      <c r="B10294" s="30" t="s">
        <v>23524</v>
      </c>
      <c r="C10294" s="30" t="s">
        <v>203</v>
      </c>
      <c r="D10294" s="30" t="s">
        <v>17</v>
      </c>
      <c r="E10294" s="30" t="s">
        <v>26</v>
      </c>
      <c r="F10294" s="30" t="s">
        <v>27</v>
      </c>
      <c r="G10294" s="30" t="s">
        <v>106</v>
      </c>
      <c r="H10294" s="32">
        <v>56</v>
      </c>
      <c r="I10294" s="30" t="s">
        <v>21</v>
      </c>
      <c r="J10294" s="41">
        <v>44837</v>
      </c>
      <c r="K10294" s="30" t="s">
        <v>22</v>
      </c>
    </row>
    <row r="10295" spans="1:11">
      <c r="A10295" s="33" t="s">
        <v>23525</v>
      </c>
      <c r="B10295" s="33" t="s">
        <v>23526</v>
      </c>
      <c r="C10295" s="33" t="s">
        <v>19368</v>
      </c>
      <c r="D10295" s="33" t="s">
        <v>17</v>
      </c>
      <c r="E10295" s="33" t="s">
        <v>31</v>
      </c>
      <c r="F10295" s="33" t="s">
        <v>32</v>
      </c>
      <c r="G10295" s="33" t="s">
        <v>20</v>
      </c>
      <c r="H10295" s="35">
        <v>948</v>
      </c>
      <c r="I10295" s="33" t="s">
        <v>21</v>
      </c>
      <c r="J10295" s="42">
        <v>44592</v>
      </c>
      <c r="K10295" s="33" t="s">
        <v>22</v>
      </c>
    </row>
    <row r="10296" spans="1:11">
      <c r="A10296" s="30" t="s">
        <v>23527</v>
      </c>
      <c r="B10296" s="30" t="s">
        <v>23528</v>
      </c>
      <c r="C10296" s="30" t="s">
        <v>23529</v>
      </c>
      <c r="D10296" s="30" t="s">
        <v>17</v>
      </c>
      <c r="E10296" s="30" t="s">
        <v>26</v>
      </c>
      <c r="F10296" s="30" t="s">
        <v>27</v>
      </c>
      <c r="G10296" s="30" t="s">
        <v>20</v>
      </c>
      <c r="H10296" s="32">
        <v>76</v>
      </c>
      <c r="I10296" s="30" t="s">
        <v>21</v>
      </c>
      <c r="J10296" s="41">
        <v>44921</v>
      </c>
      <c r="K10296" s="30" t="s">
        <v>22</v>
      </c>
    </row>
    <row r="10297" spans="1:11">
      <c r="A10297" s="33" t="s">
        <v>23530</v>
      </c>
      <c r="B10297" s="33" t="s">
        <v>23531</v>
      </c>
      <c r="C10297" s="33" t="s">
        <v>4181</v>
      </c>
      <c r="D10297" s="33" t="s">
        <v>17</v>
      </c>
      <c r="E10297" s="33" t="s">
        <v>26</v>
      </c>
      <c r="F10297" s="33" t="s">
        <v>27</v>
      </c>
      <c r="G10297" s="33" t="s">
        <v>112</v>
      </c>
      <c r="H10297" s="35">
        <v>0</v>
      </c>
      <c r="I10297" s="33" t="s">
        <v>21</v>
      </c>
      <c r="J10297" s="42">
        <v>44620</v>
      </c>
      <c r="K10297" s="33" t="s">
        <v>22</v>
      </c>
    </row>
    <row r="10298" spans="1:11">
      <c r="A10298" s="30" t="s">
        <v>23532</v>
      </c>
      <c r="B10298" s="30" t="s">
        <v>23533</v>
      </c>
      <c r="C10298" s="30" t="s">
        <v>931</v>
      </c>
      <c r="D10298" s="30" t="s">
        <v>17</v>
      </c>
      <c r="E10298" s="30" t="s">
        <v>67</v>
      </c>
      <c r="F10298" s="30" t="s">
        <v>68</v>
      </c>
      <c r="G10298" s="30" t="s">
        <v>106</v>
      </c>
      <c r="H10298" s="32">
        <v>13</v>
      </c>
      <c r="I10298" s="30" t="s">
        <v>21</v>
      </c>
      <c r="J10298" s="41">
        <v>44679</v>
      </c>
      <c r="K10298" s="30" t="s">
        <v>22</v>
      </c>
    </row>
    <row r="10299" spans="1:11">
      <c r="A10299" s="33" t="s">
        <v>23534</v>
      </c>
      <c r="B10299" s="33" t="s">
        <v>23535</v>
      </c>
      <c r="C10299" s="33" t="s">
        <v>12630</v>
      </c>
      <c r="D10299" s="33" t="s">
        <v>17</v>
      </c>
      <c r="E10299" s="33" t="s">
        <v>18</v>
      </c>
      <c r="F10299" s="33" t="s">
        <v>19</v>
      </c>
      <c r="G10299" s="33" t="s">
        <v>20</v>
      </c>
      <c r="H10299" s="35">
        <v>196</v>
      </c>
      <c r="I10299" s="33" t="s">
        <v>21</v>
      </c>
      <c r="J10299" s="42">
        <v>44588</v>
      </c>
      <c r="K10299" s="33" t="s">
        <v>22</v>
      </c>
    </row>
    <row r="10300" spans="1:11">
      <c r="A10300" s="30" t="s">
        <v>23536</v>
      </c>
      <c r="B10300" s="30" t="s">
        <v>23537</v>
      </c>
      <c r="C10300" s="30" t="s">
        <v>6351</v>
      </c>
      <c r="D10300" s="30" t="s">
        <v>17</v>
      </c>
      <c r="E10300" s="30" t="s">
        <v>26</v>
      </c>
      <c r="F10300" s="30" t="s">
        <v>27</v>
      </c>
      <c r="G10300" s="30" t="s">
        <v>20</v>
      </c>
      <c r="H10300" s="32">
        <v>48</v>
      </c>
      <c r="I10300" s="30" t="s">
        <v>21</v>
      </c>
      <c r="J10300" s="41">
        <v>44607</v>
      </c>
      <c r="K10300" s="30" t="s">
        <v>22</v>
      </c>
    </row>
    <row r="10301" spans="1:11">
      <c r="A10301" s="33" t="s">
        <v>23538</v>
      </c>
      <c r="B10301" s="33" t="s">
        <v>23539</v>
      </c>
      <c r="C10301" s="33" t="s">
        <v>4484</v>
      </c>
      <c r="D10301" s="33" t="s">
        <v>17</v>
      </c>
      <c r="E10301" s="33" t="s">
        <v>18</v>
      </c>
      <c r="F10301" s="33" t="s">
        <v>19</v>
      </c>
      <c r="G10301" s="33" t="s">
        <v>20</v>
      </c>
      <c r="H10301" s="35">
        <v>188</v>
      </c>
      <c r="I10301" s="33" t="s">
        <v>21</v>
      </c>
      <c r="J10301" s="42">
        <v>44665</v>
      </c>
      <c r="K10301" s="33" t="s">
        <v>22</v>
      </c>
    </row>
    <row r="10302" spans="1:11">
      <c r="A10302" s="30" t="s">
        <v>23540</v>
      </c>
      <c r="B10302" s="30" t="s">
        <v>23541</v>
      </c>
      <c r="C10302" s="30" t="s">
        <v>7423</v>
      </c>
      <c r="D10302" s="30" t="s">
        <v>17</v>
      </c>
      <c r="E10302" s="30" t="s">
        <v>31</v>
      </c>
      <c r="F10302" s="30" t="s">
        <v>32</v>
      </c>
      <c r="G10302" s="30" t="s">
        <v>106</v>
      </c>
      <c r="H10302" s="32">
        <v>7</v>
      </c>
      <c r="I10302" s="30" t="s">
        <v>21</v>
      </c>
      <c r="J10302" s="41">
        <v>44790</v>
      </c>
      <c r="K10302" s="30" t="s">
        <v>22</v>
      </c>
    </row>
    <row r="10303" spans="1:11">
      <c r="A10303" s="33" t="s">
        <v>23542</v>
      </c>
      <c r="B10303" s="33" t="s">
        <v>23543</v>
      </c>
      <c r="C10303" s="33" t="s">
        <v>96</v>
      </c>
      <c r="D10303" s="33" t="s">
        <v>17</v>
      </c>
      <c r="E10303" s="33" t="s">
        <v>18</v>
      </c>
      <c r="F10303" s="33" t="s">
        <v>19</v>
      </c>
      <c r="G10303" s="33" t="s">
        <v>106</v>
      </c>
      <c r="H10303" s="35">
        <v>88</v>
      </c>
      <c r="I10303" s="33" t="s">
        <v>21</v>
      </c>
      <c r="J10303" s="42">
        <v>44711</v>
      </c>
      <c r="K10303" s="33" t="s">
        <v>22</v>
      </c>
    </row>
    <row r="10304" spans="1:11">
      <c r="A10304" s="30" t="s">
        <v>23544</v>
      </c>
      <c r="B10304" s="30" t="s">
        <v>23545</v>
      </c>
      <c r="C10304" s="30" t="s">
        <v>130</v>
      </c>
      <c r="D10304" s="30" t="s">
        <v>17</v>
      </c>
      <c r="E10304" s="30" t="s">
        <v>18</v>
      </c>
      <c r="F10304" s="30" t="s">
        <v>19</v>
      </c>
      <c r="G10304" s="30" t="s">
        <v>112</v>
      </c>
      <c r="H10304" s="32">
        <v>0</v>
      </c>
      <c r="I10304" s="30" t="s">
        <v>21</v>
      </c>
      <c r="J10304" s="41">
        <v>44631</v>
      </c>
      <c r="K10304" s="30" t="s">
        <v>22</v>
      </c>
    </row>
    <row r="10305" spans="1:11">
      <c r="A10305" s="33" t="s">
        <v>23546</v>
      </c>
      <c r="B10305" s="33" t="s">
        <v>23547</v>
      </c>
      <c r="C10305" s="33" t="s">
        <v>2562</v>
      </c>
      <c r="D10305" s="33" t="s">
        <v>17</v>
      </c>
      <c r="E10305" s="33" t="s">
        <v>31</v>
      </c>
      <c r="F10305" s="33" t="s">
        <v>32</v>
      </c>
      <c r="G10305" s="33" t="s">
        <v>20</v>
      </c>
      <c r="H10305" s="35">
        <v>24</v>
      </c>
      <c r="I10305" s="33" t="s">
        <v>21</v>
      </c>
      <c r="J10305" s="42">
        <v>44841</v>
      </c>
      <c r="K10305" s="33" t="s">
        <v>22</v>
      </c>
    </row>
    <row r="10306" spans="1:11">
      <c r="A10306" s="30" t="s">
        <v>23548</v>
      </c>
      <c r="B10306" s="30" t="s">
        <v>23549</v>
      </c>
      <c r="C10306" s="30" t="s">
        <v>127</v>
      </c>
      <c r="D10306" s="30" t="s">
        <v>17</v>
      </c>
      <c r="E10306" s="30" t="s">
        <v>31</v>
      </c>
      <c r="F10306" s="30" t="s">
        <v>32</v>
      </c>
      <c r="G10306" s="30" t="s">
        <v>20</v>
      </c>
      <c r="H10306" s="32">
        <v>65</v>
      </c>
      <c r="I10306" s="30" t="s">
        <v>21</v>
      </c>
      <c r="J10306" s="41">
        <v>44895</v>
      </c>
      <c r="K10306" s="30" t="s">
        <v>22</v>
      </c>
    </row>
    <row r="10307" spans="1:11">
      <c r="A10307" s="33" t="s">
        <v>23550</v>
      </c>
      <c r="B10307" s="33" t="s">
        <v>23551</v>
      </c>
      <c r="C10307" s="33" t="s">
        <v>1136</v>
      </c>
      <c r="D10307" s="33" t="s">
        <v>17</v>
      </c>
      <c r="E10307" s="33" t="s">
        <v>18</v>
      </c>
      <c r="F10307" s="33" t="s">
        <v>19</v>
      </c>
      <c r="G10307" s="33" t="s">
        <v>106</v>
      </c>
      <c r="H10307" s="35">
        <v>366</v>
      </c>
      <c r="I10307" s="33" t="s">
        <v>21</v>
      </c>
      <c r="J10307" s="42">
        <v>44875</v>
      </c>
      <c r="K10307" s="33" t="s">
        <v>22</v>
      </c>
    </row>
    <row r="10308" spans="1:11">
      <c r="A10308" s="30" t="s">
        <v>23552</v>
      </c>
      <c r="B10308" s="30" t="s">
        <v>23553</v>
      </c>
      <c r="C10308" s="30" t="s">
        <v>7935</v>
      </c>
      <c r="D10308" s="30" t="s">
        <v>17</v>
      </c>
      <c r="E10308" s="30" t="s">
        <v>18</v>
      </c>
      <c r="F10308" s="30" t="s">
        <v>19</v>
      </c>
      <c r="G10308" s="30" t="s">
        <v>158</v>
      </c>
      <c r="H10308" s="32">
        <v>256</v>
      </c>
      <c r="I10308" s="30" t="s">
        <v>51</v>
      </c>
      <c r="J10308" s="41">
        <v>44610</v>
      </c>
      <c r="K10308" s="30" t="s">
        <v>22</v>
      </c>
    </row>
    <row r="10309" spans="1:11">
      <c r="A10309" s="33" t="s">
        <v>23554</v>
      </c>
      <c r="B10309" s="33" t="s">
        <v>23555</v>
      </c>
      <c r="C10309" s="33" t="s">
        <v>6176</v>
      </c>
      <c r="D10309" s="33" t="s">
        <v>17</v>
      </c>
      <c r="E10309" s="33" t="s">
        <v>31</v>
      </c>
      <c r="F10309" s="33" t="s">
        <v>32</v>
      </c>
      <c r="G10309" s="33" t="s">
        <v>20</v>
      </c>
      <c r="H10309" s="35">
        <v>86</v>
      </c>
      <c r="I10309" s="33" t="s">
        <v>21</v>
      </c>
      <c r="J10309" s="42">
        <v>44700</v>
      </c>
      <c r="K10309" s="33" t="s">
        <v>22</v>
      </c>
    </row>
    <row r="10310" spans="1:11">
      <c r="A10310" s="30" t="s">
        <v>23556</v>
      </c>
      <c r="B10310" s="30" t="s">
        <v>23557</v>
      </c>
      <c r="C10310" s="30" t="s">
        <v>96</v>
      </c>
      <c r="D10310" s="30" t="s">
        <v>17</v>
      </c>
      <c r="E10310" s="30" t="s">
        <v>26</v>
      </c>
      <c r="F10310" s="30" t="s">
        <v>27</v>
      </c>
      <c r="G10310" s="30" t="s">
        <v>20</v>
      </c>
      <c r="H10310" s="32">
        <v>35</v>
      </c>
      <c r="I10310" s="30" t="s">
        <v>21</v>
      </c>
      <c r="J10310" s="41">
        <v>44851</v>
      </c>
      <c r="K10310" s="30" t="s">
        <v>22</v>
      </c>
    </row>
    <row r="10311" spans="1:11">
      <c r="A10311" s="33" t="s">
        <v>23558</v>
      </c>
      <c r="B10311" s="33" t="s">
        <v>23559</v>
      </c>
      <c r="C10311" s="33" t="s">
        <v>203</v>
      </c>
      <c r="D10311" s="33" t="s">
        <v>17</v>
      </c>
      <c r="E10311" s="33" t="s">
        <v>212</v>
      </c>
      <c r="F10311" s="33" t="s">
        <v>213</v>
      </c>
      <c r="G10311" s="33" t="s">
        <v>20</v>
      </c>
      <c r="H10311" s="35">
        <v>124</v>
      </c>
      <c r="I10311" s="33" t="s">
        <v>21</v>
      </c>
      <c r="J10311" s="42">
        <v>44588</v>
      </c>
      <c r="K10311" s="33" t="s">
        <v>22</v>
      </c>
    </row>
    <row r="10312" spans="1:11">
      <c r="A10312" s="30" t="s">
        <v>23560</v>
      </c>
      <c r="B10312" s="30" t="s">
        <v>23561</v>
      </c>
      <c r="C10312" s="30" t="s">
        <v>136</v>
      </c>
      <c r="D10312" s="30" t="s">
        <v>17</v>
      </c>
      <c r="E10312" s="30" t="s">
        <v>31</v>
      </c>
      <c r="F10312" s="30" t="s">
        <v>32</v>
      </c>
      <c r="G10312" s="30" t="s">
        <v>106</v>
      </c>
      <c r="H10312" s="32">
        <v>491</v>
      </c>
      <c r="I10312" s="30" t="s">
        <v>21</v>
      </c>
      <c r="J10312" s="41">
        <v>44804</v>
      </c>
      <c r="K10312" s="30" t="s">
        <v>22</v>
      </c>
    </row>
    <row r="10313" spans="1:11">
      <c r="A10313" s="33" t="s">
        <v>23562</v>
      </c>
      <c r="B10313" s="33" t="s">
        <v>23563</v>
      </c>
      <c r="C10313" s="33" t="s">
        <v>23564</v>
      </c>
      <c r="D10313" s="33" t="s">
        <v>17</v>
      </c>
      <c r="E10313" s="33" t="s">
        <v>31</v>
      </c>
      <c r="F10313" s="33" t="s">
        <v>32</v>
      </c>
      <c r="G10313" s="33" t="s">
        <v>140</v>
      </c>
      <c r="H10313" s="35">
        <v>21</v>
      </c>
      <c r="I10313" s="33" t="s">
        <v>51</v>
      </c>
      <c r="J10313" s="42">
        <v>44834</v>
      </c>
      <c r="K10313" s="33" t="s">
        <v>22</v>
      </c>
    </row>
    <row r="10314" spans="1:11">
      <c r="A10314" s="30" t="s">
        <v>23565</v>
      </c>
      <c r="B10314" s="30" t="s">
        <v>23566</v>
      </c>
      <c r="C10314" s="30" t="s">
        <v>234</v>
      </c>
      <c r="D10314" s="30" t="s">
        <v>17</v>
      </c>
      <c r="E10314" s="30" t="s">
        <v>26</v>
      </c>
      <c r="F10314" s="30" t="s">
        <v>27</v>
      </c>
      <c r="G10314" s="30" t="s">
        <v>20</v>
      </c>
      <c r="H10314" s="32">
        <v>20</v>
      </c>
      <c r="I10314" s="30" t="s">
        <v>21</v>
      </c>
      <c r="J10314" s="41">
        <v>44665</v>
      </c>
      <c r="K10314" s="30" t="s">
        <v>22</v>
      </c>
    </row>
    <row r="10315" spans="1:11">
      <c r="A10315" s="33" t="s">
        <v>23567</v>
      </c>
      <c r="B10315" s="33" t="s">
        <v>23568</v>
      </c>
      <c r="C10315" s="33" t="s">
        <v>684</v>
      </c>
      <c r="D10315" s="33" t="s">
        <v>17</v>
      </c>
      <c r="E10315" s="33" t="s">
        <v>18</v>
      </c>
      <c r="F10315" s="33" t="s">
        <v>19</v>
      </c>
      <c r="G10315" s="33" t="s">
        <v>140</v>
      </c>
      <c r="H10315" s="35">
        <v>810</v>
      </c>
      <c r="I10315" s="33" t="s">
        <v>51</v>
      </c>
      <c r="J10315" s="42">
        <v>44824</v>
      </c>
      <c r="K10315" s="33" t="s">
        <v>22</v>
      </c>
    </row>
    <row r="10316" spans="1:11">
      <c r="A10316" s="30" t="s">
        <v>23569</v>
      </c>
      <c r="B10316" s="30" t="s">
        <v>23570</v>
      </c>
      <c r="C10316" s="30" t="s">
        <v>7578</v>
      </c>
      <c r="D10316" s="30" t="s">
        <v>17</v>
      </c>
      <c r="E10316" s="30" t="s">
        <v>212</v>
      </c>
      <c r="F10316" s="30" t="s">
        <v>213</v>
      </c>
      <c r="G10316" s="30" t="s">
        <v>20</v>
      </c>
      <c r="H10316" s="32">
        <v>14</v>
      </c>
      <c r="I10316" s="30" t="s">
        <v>21</v>
      </c>
      <c r="J10316" s="41">
        <v>44567</v>
      </c>
      <c r="K10316" s="30" t="s">
        <v>22</v>
      </c>
    </row>
    <row r="10317" spans="1:11">
      <c r="A10317" s="33" t="s">
        <v>23571</v>
      </c>
      <c r="B10317" s="33" t="s">
        <v>23572</v>
      </c>
      <c r="C10317" s="33" t="s">
        <v>969</v>
      </c>
      <c r="D10317" s="33" t="s">
        <v>17</v>
      </c>
      <c r="E10317" s="33" t="s">
        <v>18</v>
      </c>
      <c r="F10317" s="33" t="s">
        <v>19</v>
      </c>
      <c r="G10317" s="33" t="s">
        <v>20</v>
      </c>
      <c r="H10317" s="35">
        <v>857</v>
      </c>
      <c r="I10317" s="33" t="s">
        <v>21</v>
      </c>
      <c r="J10317" s="42">
        <v>44901</v>
      </c>
      <c r="K10317" s="33" t="s">
        <v>22</v>
      </c>
    </row>
    <row r="10318" spans="1:11">
      <c r="A10318" s="30" t="s">
        <v>23573</v>
      </c>
      <c r="B10318" s="30" t="s">
        <v>23574</v>
      </c>
      <c r="C10318" s="30" t="s">
        <v>57</v>
      </c>
      <c r="D10318" s="30" t="s">
        <v>17</v>
      </c>
      <c r="E10318" s="30" t="s">
        <v>26</v>
      </c>
      <c r="F10318" s="30" t="s">
        <v>27</v>
      </c>
      <c r="G10318" s="30" t="s">
        <v>20</v>
      </c>
      <c r="H10318" s="32">
        <v>44</v>
      </c>
      <c r="I10318" s="30" t="s">
        <v>21</v>
      </c>
      <c r="J10318" s="41">
        <v>44588</v>
      </c>
      <c r="K10318" s="30" t="s">
        <v>22</v>
      </c>
    </row>
    <row r="10319" spans="1:11">
      <c r="A10319" s="33" t="s">
        <v>23575</v>
      </c>
      <c r="B10319" s="33" t="s">
        <v>23576</v>
      </c>
      <c r="C10319" s="33" t="s">
        <v>19939</v>
      </c>
      <c r="D10319" s="33" t="s">
        <v>17</v>
      </c>
      <c r="E10319" s="33" t="s">
        <v>31</v>
      </c>
      <c r="F10319" s="33" t="s">
        <v>32</v>
      </c>
      <c r="G10319" s="33" t="s">
        <v>20</v>
      </c>
      <c r="H10319" s="35">
        <v>58</v>
      </c>
      <c r="I10319" s="33" t="s">
        <v>21</v>
      </c>
      <c r="J10319" s="42">
        <v>44901</v>
      </c>
      <c r="K10319" s="33" t="s">
        <v>22</v>
      </c>
    </row>
    <row r="10320" spans="1:11">
      <c r="A10320" s="30" t="s">
        <v>23577</v>
      </c>
      <c r="B10320" s="30" t="s">
        <v>23578</v>
      </c>
      <c r="C10320" s="30" t="s">
        <v>23579</v>
      </c>
      <c r="D10320" s="30" t="s">
        <v>17</v>
      </c>
      <c r="E10320" s="30" t="s">
        <v>26</v>
      </c>
      <c r="F10320" s="30" t="s">
        <v>27</v>
      </c>
      <c r="G10320" s="30" t="s">
        <v>20</v>
      </c>
      <c r="H10320" s="32">
        <v>32</v>
      </c>
      <c r="I10320" s="30" t="s">
        <v>21</v>
      </c>
      <c r="J10320" s="41">
        <v>44749</v>
      </c>
      <c r="K10320" s="30" t="s">
        <v>22</v>
      </c>
    </row>
    <row r="10321" spans="1:11">
      <c r="A10321" s="33" t="s">
        <v>23580</v>
      </c>
      <c r="B10321" s="33" t="s">
        <v>23581</v>
      </c>
      <c r="C10321" s="33" t="s">
        <v>149</v>
      </c>
      <c r="D10321" s="33" t="s">
        <v>17</v>
      </c>
      <c r="E10321" s="33" t="s">
        <v>26</v>
      </c>
      <c r="F10321" s="33" t="s">
        <v>27</v>
      </c>
      <c r="G10321" s="33" t="s">
        <v>20</v>
      </c>
      <c r="H10321" s="35">
        <v>14</v>
      </c>
      <c r="I10321" s="33" t="s">
        <v>21</v>
      </c>
      <c r="J10321" s="42">
        <v>44737</v>
      </c>
      <c r="K10321" s="33" t="s">
        <v>22</v>
      </c>
    </row>
    <row r="10322" spans="1:11">
      <c r="A10322" s="30" t="s">
        <v>23582</v>
      </c>
      <c r="B10322" s="30" t="s">
        <v>23583</v>
      </c>
      <c r="C10322" s="30" t="s">
        <v>18047</v>
      </c>
      <c r="D10322" s="30" t="s">
        <v>17</v>
      </c>
      <c r="E10322" s="30" t="s">
        <v>31</v>
      </c>
      <c r="F10322" s="30" t="s">
        <v>32</v>
      </c>
      <c r="G10322" s="30" t="s">
        <v>50</v>
      </c>
      <c r="H10322" s="32">
        <v>150</v>
      </c>
      <c r="I10322" s="30" t="s">
        <v>51</v>
      </c>
      <c r="J10322" s="41">
        <v>44727</v>
      </c>
      <c r="K10322" s="30" t="s">
        <v>22</v>
      </c>
    </row>
    <row r="10323" spans="1:11">
      <c r="A10323" s="33" t="s">
        <v>23584</v>
      </c>
      <c r="B10323" s="33" t="s">
        <v>23585</v>
      </c>
      <c r="C10323" s="33" t="s">
        <v>18652</v>
      </c>
      <c r="D10323" s="33" t="s">
        <v>17</v>
      </c>
      <c r="E10323" s="33" t="s">
        <v>26</v>
      </c>
      <c r="F10323" s="33" t="s">
        <v>27</v>
      </c>
      <c r="G10323" s="33" t="s">
        <v>20</v>
      </c>
      <c r="H10323" s="35">
        <v>31</v>
      </c>
      <c r="I10323" s="33" t="s">
        <v>21</v>
      </c>
      <c r="J10323" s="42">
        <v>44570</v>
      </c>
      <c r="K10323" s="33" t="s">
        <v>22</v>
      </c>
    </row>
    <row r="10324" spans="1:11">
      <c r="A10324" s="30" t="s">
        <v>23586</v>
      </c>
      <c r="B10324" s="30" t="s">
        <v>23587</v>
      </c>
      <c r="C10324" s="30" t="s">
        <v>149</v>
      </c>
      <c r="D10324" s="30" t="s">
        <v>17</v>
      </c>
      <c r="E10324" s="30" t="s">
        <v>67</v>
      </c>
      <c r="F10324" s="30" t="s">
        <v>68</v>
      </c>
      <c r="G10324" s="30" t="s">
        <v>140</v>
      </c>
      <c r="H10324" s="32">
        <v>83</v>
      </c>
      <c r="I10324" s="30" t="s">
        <v>51</v>
      </c>
      <c r="J10324" s="41">
        <v>44711</v>
      </c>
      <c r="K10324" s="30" t="s">
        <v>22</v>
      </c>
    </row>
    <row r="10325" spans="1:11">
      <c r="A10325" s="33" t="s">
        <v>23588</v>
      </c>
      <c r="B10325" s="33" t="s">
        <v>23589</v>
      </c>
      <c r="C10325" s="33" t="s">
        <v>23590</v>
      </c>
      <c r="D10325" s="33" t="s">
        <v>17</v>
      </c>
      <c r="E10325" s="33" t="s">
        <v>67</v>
      </c>
      <c r="F10325" s="33" t="s">
        <v>68</v>
      </c>
      <c r="G10325" s="33" t="s">
        <v>140</v>
      </c>
      <c r="H10325" s="35">
        <v>359</v>
      </c>
      <c r="I10325" s="33" t="s">
        <v>51</v>
      </c>
      <c r="J10325" s="42">
        <v>44565</v>
      </c>
      <c r="K10325" s="33" t="s">
        <v>22</v>
      </c>
    </row>
    <row r="10326" spans="1:11">
      <c r="A10326" s="30" t="s">
        <v>23591</v>
      </c>
      <c r="B10326" s="30" t="s">
        <v>23592</v>
      </c>
      <c r="C10326" s="30" t="s">
        <v>567</v>
      </c>
      <c r="D10326" s="30" t="s">
        <v>17</v>
      </c>
      <c r="E10326" s="30" t="s">
        <v>26</v>
      </c>
      <c r="F10326" s="30" t="s">
        <v>27</v>
      </c>
      <c r="G10326" s="30" t="s">
        <v>106</v>
      </c>
      <c r="H10326" s="32">
        <v>2</v>
      </c>
      <c r="I10326" s="30" t="s">
        <v>21</v>
      </c>
      <c r="J10326" s="41">
        <v>44682</v>
      </c>
      <c r="K10326" s="30" t="s">
        <v>22</v>
      </c>
    </row>
    <row r="10327" spans="1:11">
      <c r="A10327" s="33" t="s">
        <v>23593</v>
      </c>
      <c r="B10327" s="33" t="s">
        <v>23594</v>
      </c>
      <c r="C10327" s="33" t="s">
        <v>5401</v>
      </c>
      <c r="D10327" s="33" t="s">
        <v>17</v>
      </c>
      <c r="E10327" s="33" t="s">
        <v>67</v>
      </c>
      <c r="F10327" s="33" t="s">
        <v>68</v>
      </c>
      <c r="G10327" s="33" t="s">
        <v>158</v>
      </c>
      <c r="H10327" s="35">
        <v>85</v>
      </c>
      <c r="I10327" s="33" t="s">
        <v>21</v>
      </c>
      <c r="J10327" s="42">
        <v>44593</v>
      </c>
      <c r="K10327" s="33" t="s">
        <v>22</v>
      </c>
    </row>
    <row r="10328" spans="1:11">
      <c r="A10328" s="30" t="s">
        <v>23595</v>
      </c>
      <c r="B10328" s="30" t="s">
        <v>23596</v>
      </c>
      <c r="C10328" s="30" t="s">
        <v>869</v>
      </c>
      <c r="D10328" s="30" t="s">
        <v>17</v>
      </c>
      <c r="E10328" s="30" t="s">
        <v>18</v>
      </c>
      <c r="F10328" s="30" t="s">
        <v>19</v>
      </c>
      <c r="G10328" s="30" t="s">
        <v>20</v>
      </c>
      <c r="H10328" s="32">
        <v>204</v>
      </c>
      <c r="I10328" s="30" t="s">
        <v>21</v>
      </c>
      <c r="J10328" s="41">
        <v>44831</v>
      </c>
      <c r="K10328" s="30" t="s">
        <v>22</v>
      </c>
    </row>
    <row r="10329" spans="1:11">
      <c r="A10329" s="33" t="s">
        <v>23597</v>
      </c>
      <c r="B10329" s="33" t="s">
        <v>23598</v>
      </c>
      <c r="C10329" s="33" t="s">
        <v>231</v>
      </c>
      <c r="D10329" s="33" t="s">
        <v>17</v>
      </c>
      <c r="E10329" s="33" t="s">
        <v>18</v>
      </c>
      <c r="F10329" s="33" t="s">
        <v>19</v>
      </c>
      <c r="G10329" s="33" t="s">
        <v>20</v>
      </c>
      <c r="H10329" s="35">
        <v>39</v>
      </c>
      <c r="I10329" s="33" t="s">
        <v>21</v>
      </c>
      <c r="J10329" s="42">
        <v>44635</v>
      </c>
      <c r="K10329" s="33" t="s">
        <v>22</v>
      </c>
    </row>
    <row r="10330" spans="1:11">
      <c r="A10330" s="30" t="s">
        <v>23599</v>
      </c>
      <c r="B10330" s="30" t="s">
        <v>23600</v>
      </c>
      <c r="C10330" s="30" t="s">
        <v>2289</v>
      </c>
      <c r="D10330" s="30" t="s">
        <v>17</v>
      </c>
      <c r="E10330" s="30" t="s">
        <v>26</v>
      </c>
      <c r="F10330" s="30" t="s">
        <v>27</v>
      </c>
      <c r="G10330" s="30" t="s">
        <v>20</v>
      </c>
      <c r="H10330" s="32">
        <v>23</v>
      </c>
      <c r="I10330" s="30" t="s">
        <v>21</v>
      </c>
      <c r="J10330" s="41">
        <v>44620</v>
      </c>
      <c r="K10330" s="30" t="s">
        <v>22</v>
      </c>
    </row>
    <row r="10331" spans="1:11">
      <c r="A10331" s="33" t="s">
        <v>23601</v>
      </c>
      <c r="B10331" s="33" t="s">
        <v>23602</v>
      </c>
      <c r="C10331" s="33" t="s">
        <v>14394</v>
      </c>
      <c r="D10331" s="33" t="s">
        <v>17</v>
      </c>
      <c r="E10331" s="33" t="s">
        <v>26</v>
      </c>
      <c r="F10331" s="33" t="s">
        <v>27</v>
      </c>
      <c r="G10331" s="33" t="s">
        <v>106</v>
      </c>
      <c r="H10331" s="35">
        <v>23</v>
      </c>
      <c r="I10331" s="33" t="s">
        <v>21</v>
      </c>
      <c r="J10331" s="42">
        <v>44844</v>
      </c>
      <c r="K10331" s="33" t="s">
        <v>22</v>
      </c>
    </row>
    <row r="10332" spans="1:11">
      <c r="A10332" s="30" t="s">
        <v>23603</v>
      </c>
      <c r="B10332" s="30" t="s">
        <v>23604</v>
      </c>
      <c r="C10332" s="30" t="s">
        <v>109</v>
      </c>
      <c r="D10332" s="30" t="s">
        <v>17</v>
      </c>
      <c r="E10332" s="30" t="s">
        <v>18</v>
      </c>
      <c r="F10332" s="30" t="s">
        <v>19</v>
      </c>
      <c r="G10332" s="30" t="s">
        <v>20</v>
      </c>
      <c r="H10332" s="32">
        <v>51</v>
      </c>
      <c r="I10332" s="30" t="s">
        <v>21</v>
      </c>
      <c r="J10332" s="41">
        <v>44792</v>
      </c>
      <c r="K10332" s="30" t="s">
        <v>22</v>
      </c>
    </row>
    <row r="10333" spans="1:11">
      <c r="A10333" s="33" t="s">
        <v>23605</v>
      </c>
      <c r="B10333" s="33" t="s">
        <v>23606</v>
      </c>
      <c r="C10333" s="33" t="s">
        <v>3459</v>
      </c>
      <c r="D10333" s="33" t="s">
        <v>17</v>
      </c>
      <c r="E10333" s="33" t="s">
        <v>18</v>
      </c>
      <c r="F10333" s="33" t="s">
        <v>19</v>
      </c>
      <c r="G10333" s="33" t="s">
        <v>20</v>
      </c>
      <c r="H10333" s="35">
        <v>160</v>
      </c>
      <c r="I10333" s="33" t="s">
        <v>21</v>
      </c>
      <c r="J10333" s="42">
        <v>44648</v>
      </c>
      <c r="K10333" s="33" t="s">
        <v>22</v>
      </c>
    </row>
    <row r="10334" spans="1:11">
      <c r="A10334" s="30" t="s">
        <v>23607</v>
      </c>
      <c r="B10334" s="30" t="s">
        <v>23608</v>
      </c>
      <c r="C10334" s="30" t="s">
        <v>13616</v>
      </c>
      <c r="D10334" s="30" t="s">
        <v>17</v>
      </c>
      <c r="E10334" s="30" t="s">
        <v>26</v>
      </c>
      <c r="F10334" s="30" t="s">
        <v>27</v>
      </c>
      <c r="G10334" s="30" t="s">
        <v>20</v>
      </c>
      <c r="H10334" s="32">
        <v>103</v>
      </c>
      <c r="I10334" s="30" t="s">
        <v>21</v>
      </c>
      <c r="J10334" s="41">
        <v>44839</v>
      </c>
      <c r="K10334" s="30" t="s">
        <v>22</v>
      </c>
    </row>
    <row r="10335" spans="1:11">
      <c r="A10335" s="33" t="s">
        <v>23609</v>
      </c>
      <c r="B10335" s="33" t="s">
        <v>23610</v>
      </c>
      <c r="C10335" s="33" t="s">
        <v>2220</v>
      </c>
      <c r="D10335" s="33" t="s">
        <v>17</v>
      </c>
      <c r="E10335" s="33" t="s">
        <v>45</v>
      </c>
      <c r="F10335" s="33" t="s">
        <v>46</v>
      </c>
      <c r="G10335" s="33" t="s">
        <v>20</v>
      </c>
      <c r="H10335" s="35">
        <v>237</v>
      </c>
      <c r="I10335" s="33" t="s">
        <v>21</v>
      </c>
      <c r="J10335" s="42">
        <v>44782</v>
      </c>
      <c r="K10335" s="33" t="s">
        <v>22</v>
      </c>
    </row>
    <row r="10336" spans="1:11">
      <c r="A10336" s="30" t="s">
        <v>23611</v>
      </c>
      <c r="B10336" s="30" t="s">
        <v>23612</v>
      </c>
      <c r="C10336" s="30" t="s">
        <v>178</v>
      </c>
      <c r="D10336" s="30" t="s">
        <v>17</v>
      </c>
      <c r="E10336" s="30" t="s">
        <v>31</v>
      </c>
      <c r="F10336" s="30" t="s">
        <v>32</v>
      </c>
      <c r="G10336" s="30" t="s">
        <v>20</v>
      </c>
      <c r="H10336" s="32">
        <v>179</v>
      </c>
      <c r="I10336" s="30" t="s">
        <v>21</v>
      </c>
      <c r="J10336" s="41">
        <v>44655</v>
      </c>
      <c r="K10336" s="30" t="s">
        <v>22</v>
      </c>
    </row>
    <row r="10337" spans="1:11">
      <c r="A10337" s="33" t="s">
        <v>23613</v>
      </c>
      <c r="B10337" s="33" t="s">
        <v>23614</v>
      </c>
      <c r="C10337" s="33" t="s">
        <v>136</v>
      </c>
      <c r="D10337" s="33" t="s">
        <v>17</v>
      </c>
      <c r="E10337" s="33" t="s">
        <v>26</v>
      </c>
      <c r="F10337" s="33" t="s">
        <v>27</v>
      </c>
      <c r="G10337" s="33" t="s">
        <v>20</v>
      </c>
      <c r="H10337" s="35">
        <v>33</v>
      </c>
      <c r="I10337" s="33" t="s">
        <v>21</v>
      </c>
      <c r="J10337" s="42">
        <v>44740</v>
      </c>
      <c r="K10337" s="33" t="s">
        <v>22</v>
      </c>
    </row>
    <row r="10338" spans="1:11">
      <c r="A10338" s="30" t="s">
        <v>23615</v>
      </c>
      <c r="B10338" s="30" t="s">
        <v>23616</v>
      </c>
      <c r="C10338" s="30" t="s">
        <v>14331</v>
      </c>
      <c r="D10338" s="30" t="s">
        <v>17</v>
      </c>
      <c r="E10338" s="30" t="s">
        <v>67</v>
      </c>
      <c r="F10338" s="30" t="s">
        <v>68</v>
      </c>
      <c r="G10338" s="30" t="s">
        <v>20</v>
      </c>
      <c r="H10338" s="32">
        <v>70</v>
      </c>
      <c r="I10338" s="30" t="s">
        <v>21</v>
      </c>
      <c r="J10338" s="41">
        <v>44874</v>
      </c>
      <c r="K10338" s="30" t="s">
        <v>22</v>
      </c>
    </row>
    <row r="10339" spans="1:11">
      <c r="A10339" s="33" t="s">
        <v>23617</v>
      </c>
      <c r="B10339" s="33" t="s">
        <v>23618</v>
      </c>
      <c r="C10339" s="33" t="s">
        <v>187</v>
      </c>
      <c r="D10339" s="33" t="s">
        <v>17</v>
      </c>
      <c r="E10339" s="33" t="s">
        <v>26</v>
      </c>
      <c r="F10339" s="33" t="s">
        <v>27</v>
      </c>
      <c r="G10339" s="33" t="s">
        <v>50</v>
      </c>
      <c r="H10339" s="35">
        <v>56</v>
      </c>
      <c r="I10339" s="33" t="s">
        <v>51</v>
      </c>
      <c r="J10339" s="42">
        <v>44652</v>
      </c>
      <c r="K10339" s="33" t="s">
        <v>22</v>
      </c>
    </row>
    <row r="10340" spans="1:11">
      <c r="A10340" s="30" t="s">
        <v>23619</v>
      </c>
      <c r="B10340" s="30" t="s">
        <v>23620</v>
      </c>
      <c r="C10340" s="30" t="s">
        <v>75</v>
      </c>
      <c r="D10340" s="30" t="s">
        <v>17</v>
      </c>
      <c r="E10340" s="30" t="s">
        <v>31</v>
      </c>
      <c r="F10340" s="30" t="s">
        <v>32</v>
      </c>
      <c r="G10340" s="30" t="s">
        <v>106</v>
      </c>
      <c r="H10340" s="32">
        <v>94</v>
      </c>
      <c r="I10340" s="30" t="s">
        <v>21</v>
      </c>
      <c r="J10340" s="41">
        <v>44873</v>
      </c>
      <c r="K10340" s="30" t="s">
        <v>22</v>
      </c>
    </row>
    <row r="10341" spans="1:11">
      <c r="A10341" s="33" t="s">
        <v>23621</v>
      </c>
      <c r="B10341" s="33" t="s">
        <v>23622</v>
      </c>
      <c r="C10341" s="33" t="s">
        <v>6470</v>
      </c>
      <c r="D10341" s="33" t="s">
        <v>17</v>
      </c>
      <c r="E10341" s="33" t="s">
        <v>18</v>
      </c>
      <c r="F10341" s="33" t="s">
        <v>19</v>
      </c>
      <c r="G10341" s="33" t="s">
        <v>140</v>
      </c>
      <c r="H10341" s="35">
        <v>280</v>
      </c>
      <c r="I10341" s="33" t="s">
        <v>51</v>
      </c>
      <c r="J10341" s="42">
        <v>44627</v>
      </c>
      <c r="K10341" s="33" t="s">
        <v>22</v>
      </c>
    </row>
    <row r="10342" spans="1:11">
      <c r="A10342" s="30" t="s">
        <v>23623</v>
      </c>
      <c r="B10342" s="30" t="s">
        <v>23624</v>
      </c>
      <c r="C10342" s="30" t="s">
        <v>1165</v>
      </c>
      <c r="D10342" s="30" t="s">
        <v>17</v>
      </c>
      <c r="E10342" s="30" t="s">
        <v>31</v>
      </c>
      <c r="F10342" s="30" t="s">
        <v>32</v>
      </c>
      <c r="G10342" s="30" t="s">
        <v>20</v>
      </c>
      <c r="H10342" s="32">
        <v>54</v>
      </c>
      <c r="I10342" s="30" t="s">
        <v>21</v>
      </c>
      <c r="J10342" s="41">
        <v>44651</v>
      </c>
      <c r="K10342" s="30" t="s">
        <v>22</v>
      </c>
    </row>
    <row r="10343" spans="1:11">
      <c r="A10343" s="33" t="s">
        <v>23625</v>
      </c>
      <c r="B10343" s="33" t="s">
        <v>23626</v>
      </c>
      <c r="C10343" s="33" t="s">
        <v>647</v>
      </c>
      <c r="D10343" s="33" t="s">
        <v>17</v>
      </c>
      <c r="E10343" s="33" t="s">
        <v>26</v>
      </c>
      <c r="F10343" s="33" t="s">
        <v>27</v>
      </c>
      <c r="G10343" s="33" t="s">
        <v>20</v>
      </c>
      <c r="H10343" s="35">
        <v>6</v>
      </c>
      <c r="I10343" s="33" t="s">
        <v>21</v>
      </c>
      <c r="J10343" s="42">
        <v>44694</v>
      </c>
      <c r="K10343" s="33" t="s">
        <v>22</v>
      </c>
    </row>
    <row r="10344" spans="1:11">
      <c r="A10344" s="30" t="s">
        <v>23627</v>
      </c>
      <c r="B10344" s="30" t="s">
        <v>23628</v>
      </c>
      <c r="C10344" s="30" t="s">
        <v>450</v>
      </c>
      <c r="D10344" s="30" t="s">
        <v>17</v>
      </c>
      <c r="E10344" s="30" t="s">
        <v>26</v>
      </c>
      <c r="F10344" s="30" t="s">
        <v>27</v>
      </c>
      <c r="G10344" s="30" t="s">
        <v>20</v>
      </c>
      <c r="H10344" s="32">
        <v>61</v>
      </c>
      <c r="I10344" s="30" t="s">
        <v>21</v>
      </c>
      <c r="J10344" s="41">
        <v>44572</v>
      </c>
      <c r="K10344" s="30" t="s">
        <v>22</v>
      </c>
    </row>
    <row r="10345" spans="1:11">
      <c r="A10345" s="33" t="s">
        <v>23629</v>
      </c>
      <c r="B10345" s="33" t="s">
        <v>23630</v>
      </c>
      <c r="C10345" s="33" t="s">
        <v>969</v>
      </c>
      <c r="D10345" s="33" t="s">
        <v>17</v>
      </c>
      <c r="E10345" s="33" t="s">
        <v>31</v>
      </c>
      <c r="F10345" s="33" t="s">
        <v>32</v>
      </c>
      <c r="G10345" s="33" t="s">
        <v>20</v>
      </c>
      <c r="H10345" s="35">
        <v>388</v>
      </c>
      <c r="I10345" s="33" t="s">
        <v>21</v>
      </c>
      <c r="J10345" s="42">
        <v>44728</v>
      </c>
      <c r="K10345" s="33" t="s">
        <v>22</v>
      </c>
    </row>
    <row r="10346" spans="1:11">
      <c r="A10346" s="30" t="s">
        <v>23631</v>
      </c>
      <c r="B10346" s="30" t="s">
        <v>23632</v>
      </c>
      <c r="C10346" s="30" t="s">
        <v>2772</v>
      </c>
      <c r="D10346" s="30" t="s">
        <v>17</v>
      </c>
      <c r="E10346" s="30" t="s">
        <v>18</v>
      </c>
      <c r="F10346" s="30" t="s">
        <v>19</v>
      </c>
      <c r="G10346" s="30" t="s">
        <v>158</v>
      </c>
      <c r="H10346" s="32">
        <v>270</v>
      </c>
      <c r="I10346" s="30" t="s">
        <v>51</v>
      </c>
      <c r="J10346" s="41">
        <v>44775</v>
      </c>
      <c r="K10346" s="30" t="s">
        <v>22</v>
      </c>
    </row>
    <row r="10347" spans="1:11">
      <c r="A10347" s="33" t="s">
        <v>23633</v>
      </c>
      <c r="B10347" s="33" t="s">
        <v>23634</v>
      </c>
      <c r="C10347" s="33" t="s">
        <v>93</v>
      </c>
      <c r="D10347" s="33" t="s">
        <v>17</v>
      </c>
      <c r="E10347" s="33" t="s">
        <v>26</v>
      </c>
      <c r="F10347" s="33" t="s">
        <v>27</v>
      </c>
      <c r="G10347" s="33" t="s">
        <v>158</v>
      </c>
      <c r="H10347" s="35">
        <v>34</v>
      </c>
      <c r="I10347" s="33" t="s">
        <v>21</v>
      </c>
      <c r="J10347" s="42">
        <v>44698</v>
      </c>
      <c r="K10347" s="33" t="s">
        <v>22</v>
      </c>
    </row>
    <row r="10348" spans="1:11">
      <c r="A10348" s="30" t="s">
        <v>23635</v>
      </c>
      <c r="B10348" s="30" t="s">
        <v>23636</v>
      </c>
      <c r="C10348" s="30" t="s">
        <v>23637</v>
      </c>
      <c r="D10348" s="30" t="s">
        <v>17</v>
      </c>
      <c r="E10348" s="30" t="s">
        <v>31</v>
      </c>
      <c r="F10348" s="30" t="s">
        <v>32</v>
      </c>
      <c r="G10348" s="30" t="s">
        <v>106</v>
      </c>
      <c r="H10348" s="32">
        <v>6</v>
      </c>
      <c r="I10348" s="30" t="s">
        <v>21</v>
      </c>
      <c r="J10348" s="41">
        <v>44847</v>
      </c>
      <c r="K10348" s="30" t="s">
        <v>22</v>
      </c>
    </row>
    <row r="10349" spans="1:11">
      <c r="A10349" s="33" t="s">
        <v>23638</v>
      </c>
      <c r="B10349" s="33" t="s">
        <v>23639</v>
      </c>
      <c r="C10349" s="33" t="s">
        <v>109</v>
      </c>
      <c r="D10349" s="33" t="s">
        <v>17</v>
      </c>
      <c r="E10349" s="33" t="s">
        <v>26</v>
      </c>
      <c r="F10349" s="33" t="s">
        <v>27</v>
      </c>
      <c r="G10349" s="33" t="s">
        <v>20</v>
      </c>
      <c r="H10349" s="35">
        <v>14</v>
      </c>
      <c r="I10349" s="33" t="s">
        <v>21</v>
      </c>
      <c r="J10349" s="42">
        <v>44679</v>
      </c>
      <c r="K10349" s="33" t="s">
        <v>22</v>
      </c>
    </row>
    <row r="10350" spans="1:11">
      <c r="A10350" s="30" t="s">
        <v>23640</v>
      </c>
      <c r="B10350" s="30" t="s">
        <v>23641</v>
      </c>
      <c r="C10350" s="30" t="s">
        <v>231</v>
      </c>
      <c r="D10350" s="30" t="s">
        <v>17</v>
      </c>
      <c r="E10350" s="30" t="s">
        <v>26</v>
      </c>
      <c r="F10350" s="30" t="s">
        <v>27</v>
      </c>
      <c r="G10350" s="30" t="s">
        <v>20</v>
      </c>
      <c r="H10350" s="32">
        <v>104</v>
      </c>
      <c r="I10350" s="30" t="s">
        <v>21</v>
      </c>
      <c r="J10350" s="41">
        <v>44704</v>
      </c>
      <c r="K10350" s="30" t="s">
        <v>22</v>
      </c>
    </row>
    <row r="10351" spans="1:11">
      <c r="A10351" s="33" t="s">
        <v>23642</v>
      </c>
      <c r="B10351" s="33" t="s">
        <v>23643</v>
      </c>
      <c r="C10351" s="33" t="s">
        <v>231</v>
      </c>
      <c r="D10351" s="33" t="s">
        <v>17</v>
      </c>
      <c r="E10351" s="33" t="s">
        <v>26</v>
      </c>
      <c r="F10351" s="33" t="s">
        <v>27</v>
      </c>
      <c r="G10351" s="33" t="s">
        <v>112</v>
      </c>
      <c r="H10351" s="35">
        <v>0</v>
      </c>
      <c r="I10351" s="33" t="s">
        <v>21</v>
      </c>
      <c r="J10351" s="42">
        <v>44872</v>
      </c>
      <c r="K10351" s="33" t="s">
        <v>22</v>
      </c>
    </row>
    <row r="10352" spans="1:11">
      <c r="A10352" s="30" t="s">
        <v>23644</v>
      </c>
      <c r="B10352" s="30" t="s">
        <v>23645</v>
      </c>
      <c r="C10352" s="30" t="s">
        <v>524</v>
      </c>
      <c r="D10352" s="30" t="s">
        <v>17</v>
      </c>
      <c r="E10352" s="30" t="s">
        <v>31</v>
      </c>
      <c r="F10352" s="30" t="s">
        <v>32</v>
      </c>
      <c r="G10352" s="30" t="s">
        <v>20</v>
      </c>
      <c r="H10352" s="32">
        <v>231</v>
      </c>
      <c r="I10352" s="30" t="s">
        <v>21</v>
      </c>
      <c r="J10352" s="41">
        <v>44875</v>
      </c>
      <c r="K10352" s="30" t="s">
        <v>22</v>
      </c>
    </row>
    <row r="10353" spans="1:11">
      <c r="A10353" s="33" t="s">
        <v>23646</v>
      </c>
      <c r="B10353" s="33" t="s">
        <v>23647</v>
      </c>
      <c r="C10353" s="33" t="s">
        <v>4668</v>
      </c>
      <c r="D10353" s="33" t="s">
        <v>17</v>
      </c>
      <c r="E10353" s="33" t="s">
        <v>26</v>
      </c>
      <c r="F10353" s="33" t="s">
        <v>27</v>
      </c>
      <c r="G10353" s="33" t="s">
        <v>20</v>
      </c>
      <c r="H10353" s="35">
        <v>60</v>
      </c>
      <c r="I10353" s="33" t="s">
        <v>21</v>
      </c>
      <c r="J10353" s="42">
        <v>44835</v>
      </c>
      <c r="K10353" s="33" t="s">
        <v>22</v>
      </c>
    </row>
    <row r="10354" spans="1:11">
      <c r="A10354" s="30" t="s">
        <v>23648</v>
      </c>
      <c r="B10354" s="30" t="s">
        <v>23649</v>
      </c>
      <c r="C10354" s="30" t="s">
        <v>23650</v>
      </c>
      <c r="D10354" s="30" t="s">
        <v>17</v>
      </c>
      <c r="E10354" s="30" t="s">
        <v>45</v>
      </c>
      <c r="F10354" s="30" t="s">
        <v>46</v>
      </c>
      <c r="G10354" s="30" t="s">
        <v>50</v>
      </c>
      <c r="H10354" s="32">
        <v>324</v>
      </c>
      <c r="I10354" s="30" t="s">
        <v>51</v>
      </c>
      <c r="J10354" s="41">
        <v>44875</v>
      </c>
      <c r="K10354" s="30" t="s">
        <v>22</v>
      </c>
    </row>
    <row r="10355" spans="1:11">
      <c r="A10355" s="33" t="s">
        <v>23651</v>
      </c>
      <c r="B10355" s="33" t="s">
        <v>23652</v>
      </c>
      <c r="C10355" s="33" t="s">
        <v>1504</v>
      </c>
      <c r="D10355" s="33" t="s">
        <v>17</v>
      </c>
      <c r="E10355" s="33" t="s">
        <v>67</v>
      </c>
      <c r="F10355" s="33" t="s">
        <v>68</v>
      </c>
      <c r="G10355" s="33" t="s">
        <v>50</v>
      </c>
      <c r="H10355" s="35">
        <v>272</v>
      </c>
      <c r="I10355" s="33" t="s">
        <v>51</v>
      </c>
      <c r="J10355" s="42">
        <v>44835</v>
      </c>
      <c r="K10355" s="33" t="s">
        <v>22</v>
      </c>
    </row>
    <row r="10356" spans="1:11">
      <c r="A10356" s="30" t="s">
        <v>23653</v>
      </c>
      <c r="B10356" s="30" t="s">
        <v>23654</v>
      </c>
      <c r="C10356" s="30" t="s">
        <v>6202</v>
      </c>
      <c r="D10356" s="30" t="s">
        <v>17</v>
      </c>
      <c r="E10356" s="30" t="s">
        <v>18</v>
      </c>
      <c r="F10356" s="30" t="s">
        <v>19</v>
      </c>
      <c r="G10356" s="30" t="s">
        <v>20</v>
      </c>
      <c r="H10356" s="32">
        <v>1050</v>
      </c>
      <c r="I10356" s="30" t="s">
        <v>21</v>
      </c>
      <c r="J10356" s="41">
        <v>44843</v>
      </c>
      <c r="K10356" s="30" t="s">
        <v>22</v>
      </c>
    </row>
    <row r="10357" spans="1:11">
      <c r="A10357" s="33" t="s">
        <v>23655</v>
      </c>
      <c r="B10357" s="33" t="s">
        <v>23656</v>
      </c>
      <c r="C10357" s="33" t="s">
        <v>102</v>
      </c>
      <c r="D10357" s="33" t="s">
        <v>17</v>
      </c>
      <c r="E10357" s="33" t="s">
        <v>67</v>
      </c>
      <c r="F10357" s="33" t="s">
        <v>68</v>
      </c>
      <c r="G10357" s="33" t="s">
        <v>140</v>
      </c>
      <c r="H10357" s="35">
        <v>225</v>
      </c>
      <c r="I10357" s="33" t="s">
        <v>51</v>
      </c>
      <c r="J10357" s="42">
        <v>44771</v>
      </c>
      <c r="K10357" s="33" t="s">
        <v>22</v>
      </c>
    </row>
    <row r="10358" spans="1:11">
      <c r="A10358" s="30" t="s">
        <v>23657</v>
      </c>
      <c r="B10358" s="30" t="s">
        <v>23658</v>
      </c>
      <c r="C10358" s="30" t="s">
        <v>9073</v>
      </c>
      <c r="D10358" s="30" t="s">
        <v>17</v>
      </c>
      <c r="E10358" s="30" t="s">
        <v>31</v>
      </c>
      <c r="F10358" s="30" t="s">
        <v>32</v>
      </c>
      <c r="G10358" s="30" t="s">
        <v>158</v>
      </c>
      <c r="H10358" s="32">
        <v>69</v>
      </c>
      <c r="I10358" s="30" t="s">
        <v>21</v>
      </c>
      <c r="J10358" s="41">
        <v>44796</v>
      </c>
      <c r="K10358" s="30" t="s">
        <v>22</v>
      </c>
    </row>
    <row r="10359" spans="1:11">
      <c r="A10359" s="33" t="s">
        <v>23659</v>
      </c>
      <c r="B10359" s="33" t="s">
        <v>23660</v>
      </c>
      <c r="C10359" s="33" t="s">
        <v>609</v>
      </c>
      <c r="D10359" s="33" t="s">
        <v>17</v>
      </c>
      <c r="E10359" s="33" t="s">
        <v>26</v>
      </c>
      <c r="F10359" s="33" t="s">
        <v>27</v>
      </c>
      <c r="G10359" s="33" t="s">
        <v>20</v>
      </c>
      <c r="H10359" s="35">
        <v>50</v>
      </c>
      <c r="I10359" s="33" t="s">
        <v>21</v>
      </c>
      <c r="J10359" s="42">
        <v>44827</v>
      </c>
      <c r="K10359" s="33" t="s">
        <v>22</v>
      </c>
    </row>
    <row r="10360" spans="1:11">
      <c r="A10360" s="30" t="s">
        <v>23661</v>
      </c>
      <c r="B10360" s="30" t="s">
        <v>23662</v>
      </c>
      <c r="C10360" s="30" t="s">
        <v>19116</v>
      </c>
      <c r="D10360" s="30" t="s">
        <v>17</v>
      </c>
      <c r="E10360" s="30" t="s">
        <v>212</v>
      </c>
      <c r="F10360" s="30" t="s">
        <v>213</v>
      </c>
      <c r="G10360" s="30" t="s">
        <v>20</v>
      </c>
      <c r="H10360" s="32">
        <v>200</v>
      </c>
      <c r="I10360" s="30" t="s">
        <v>21</v>
      </c>
      <c r="J10360" s="41">
        <v>44689</v>
      </c>
      <c r="K10360" s="30" t="s">
        <v>22</v>
      </c>
    </row>
    <row r="10361" spans="1:11">
      <c r="A10361" s="33" t="s">
        <v>23663</v>
      </c>
      <c r="B10361" s="33" t="s">
        <v>23664</v>
      </c>
      <c r="C10361" s="33" t="s">
        <v>60</v>
      </c>
      <c r="D10361" s="33" t="s">
        <v>17</v>
      </c>
      <c r="E10361" s="33" t="s">
        <v>18</v>
      </c>
      <c r="F10361" s="33" t="s">
        <v>19</v>
      </c>
      <c r="G10361" s="33" t="s">
        <v>158</v>
      </c>
      <c r="H10361" s="35">
        <v>297</v>
      </c>
      <c r="I10361" s="33" t="s">
        <v>21</v>
      </c>
      <c r="J10361" s="42">
        <v>44888</v>
      </c>
      <c r="K10361" s="33" t="s">
        <v>22</v>
      </c>
    </row>
    <row r="10362" spans="1:11">
      <c r="A10362" s="30" t="s">
        <v>23665</v>
      </c>
      <c r="B10362" s="30" t="s">
        <v>23666</v>
      </c>
      <c r="C10362" s="30" t="s">
        <v>93</v>
      </c>
      <c r="D10362" s="30" t="s">
        <v>17</v>
      </c>
      <c r="E10362" s="30" t="s">
        <v>31</v>
      </c>
      <c r="F10362" s="30" t="s">
        <v>32</v>
      </c>
      <c r="G10362" s="30" t="s">
        <v>140</v>
      </c>
      <c r="H10362" s="32">
        <v>75</v>
      </c>
      <c r="I10362" s="30" t="s">
        <v>51</v>
      </c>
      <c r="J10362" s="41">
        <v>44648</v>
      </c>
      <c r="K10362" s="30" t="s">
        <v>22</v>
      </c>
    </row>
    <row r="10363" spans="1:11">
      <c r="A10363" s="33" t="s">
        <v>23667</v>
      </c>
      <c r="B10363" s="33" t="s">
        <v>23668</v>
      </c>
      <c r="C10363" s="33" t="s">
        <v>231</v>
      </c>
      <c r="D10363" s="33" t="s">
        <v>17</v>
      </c>
      <c r="E10363" s="33" t="s">
        <v>26</v>
      </c>
      <c r="F10363" s="33" t="s">
        <v>27</v>
      </c>
      <c r="G10363" s="33" t="s">
        <v>20</v>
      </c>
      <c r="H10363" s="35">
        <v>13</v>
      </c>
      <c r="I10363" s="33" t="s">
        <v>21</v>
      </c>
      <c r="J10363" s="42">
        <v>44735</v>
      </c>
      <c r="K10363" s="33" t="s">
        <v>22</v>
      </c>
    </row>
    <row r="10364" spans="1:11">
      <c r="A10364" s="30" t="s">
        <v>23669</v>
      </c>
      <c r="B10364" s="30" t="s">
        <v>23670</v>
      </c>
      <c r="C10364" s="30" t="s">
        <v>2472</v>
      </c>
      <c r="D10364" s="30" t="s">
        <v>17</v>
      </c>
      <c r="E10364" s="30" t="s">
        <v>67</v>
      </c>
      <c r="F10364" s="30" t="s">
        <v>68</v>
      </c>
      <c r="G10364" s="30" t="s">
        <v>140</v>
      </c>
      <c r="H10364" s="32">
        <v>56</v>
      </c>
      <c r="I10364" s="30" t="s">
        <v>51</v>
      </c>
      <c r="J10364" s="41">
        <v>44628</v>
      </c>
      <c r="K10364" s="30" t="s">
        <v>22</v>
      </c>
    </row>
    <row r="10365" spans="1:11">
      <c r="A10365" s="33" t="s">
        <v>23671</v>
      </c>
      <c r="B10365" s="33" t="s">
        <v>23672</v>
      </c>
      <c r="C10365" s="33" t="s">
        <v>2132</v>
      </c>
      <c r="D10365" s="33" t="s">
        <v>17</v>
      </c>
      <c r="E10365" s="33" t="s">
        <v>18</v>
      </c>
      <c r="F10365" s="33" t="s">
        <v>19</v>
      </c>
      <c r="G10365" s="33" t="s">
        <v>20</v>
      </c>
      <c r="H10365" s="35">
        <v>58</v>
      </c>
      <c r="I10365" s="33" t="s">
        <v>21</v>
      </c>
      <c r="J10365" s="42">
        <v>44635</v>
      </c>
      <c r="K10365" s="33" t="s">
        <v>22</v>
      </c>
    </row>
    <row r="10366" spans="1:11">
      <c r="A10366" s="30" t="s">
        <v>23673</v>
      </c>
      <c r="B10366" s="30" t="s">
        <v>23674</v>
      </c>
      <c r="C10366" s="30" t="s">
        <v>1391</v>
      </c>
      <c r="D10366" s="30" t="s">
        <v>17</v>
      </c>
      <c r="E10366" s="30" t="s">
        <v>45</v>
      </c>
      <c r="F10366" s="30" t="s">
        <v>46</v>
      </c>
      <c r="G10366" s="30" t="s">
        <v>20</v>
      </c>
      <c r="H10366" s="32">
        <v>3600</v>
      </c>
      <c r="I10366" s="30" t="s">
        <v>21</v>
      </c>
      <c r="J10366" s="41">
        <v>44764</v>
      </c>
      <c r="K10366" s="30" t="s">
        <v>22</v>
      </c>
    </row>
    <row r="10367" spans="1:11">
      <c r="A10367" s="33" t="s">
        <v>23675</v>
      </c>
      <c r="B10367" s="33" t="s">
        <v>23676</v>
      </c>
      <c r="C10367" s="33" t="s">
        <v>23677</v>
      </c>
      <c r="D10367" s="33" t="s">
        <v>17</v>
      </c>
      <c r="E10367" s="33" t="s">
        <v>26</v>
      </c>
      <c r="F10367" s="33" t="s">
        <v>27</v>
      </c>
      <c r="G10367" s="33" t="s">
        <v>20</v>
      </c>
      <c r="H10367" s="35">
        <v>40</v>
      </c>
      <c r="I10367" s="33" t="s">
        <v>21</v>
      </c>
      <c r="J10367" s="42">
        <v>44601</v>
      </c>
      <c r="K10367" s="33" t="s">
        <v>22</v>
      </c>
    </row>
    <row r="10368" spans="1:11">
      <c r="A10368" s="30" t="s">
        <v>23678</v>
      </c>
      <c r="B10368" s="30" t="s">
        <v>23679</v>
      </c>
      <c r="C10368" s="30" t="s">
        <v>2759</v>
      </c>
      <c r="D10368" s="30" t="s">
        <v>17</v>
      </c>
      <c r="E10368" s="30" t="s">
        <v>67</v>
      </c>
      <c r="F10368" s="30" t="s">
        <v>68</v>
      </c>
      <c r="G10368" s="30" t="s">
        <v>20</v>
      </c>
      <c r="H10368" s="32">
        <v>18</v>
      </c>
      <c r="I10368" s="30" t="s">
        <v>21</v>
      </c>
      <c r="J10368" s="41">
        <v>44665</v>
      </c>
      <c r="K10368" s="30" t="s">
        <v>22</v>
      </c>
    </row>
    <row r="10369" spans="1:11">
      <c r="A10369" s="33" t="s">
        <v>23680</v>
      </c>
      <c r="B10369" s="33" t="s">
        <v>23681</v>
      </c>
      <c r="C10369" s="33" t="s">
        <v>4668</v>
      </c>
      <c r="D10369" s="33" t="s">
        <v>17</v>
      </c>
      <c r="E10369" s="33" t="s">
        <v>26</v>
      </c>
      <c r="F10369" s="33" t="s">
        <v>27</v>
      </c>
      <c r="G10369" s="33" t="s">
        <v>20</v>
      </c>
      <c r="H10369" s="35">
        <v>24</v>
      </c>
      <c r="I10369" s="33" t="s">
        <v>21</v>
      </c>
      <c r="J10369" s="42">
        <v>44896</v>
      </c>
      <c r="K10369" s="33" t="s">
        <v>22</v>
      </c>
    </row>
    <row r="10370" spans="1:11">
      <c r="A10370" s="30" t="s">
        <v>23682</v>
      </c>
      <c r="B10370" s="30" t="s">
        <v>23683</v>
      </c>
      <c r="C10370" s="30" t="s">
        <v>23684</v>
      </c>
      <c r="D10370" s="30" t="s">
        <v>17</v>
      </c>
      <c r="E10370" s="30" t="s">
        <v>31</v>
      </c>
      <c r="F10370" s="30" t="s">
        <v>32</v>
      </c>
      <c r="G10370" s="30" t="s">
        <v>20</v>
      </c>
      <c r="H10370" s="32">
        <v>111</v>
      </c>
      <c r="I10370" s="30" t="s">
        <v>21</v>
      </c>
      <c r="J10370" s="41">
        <v>44651</v>
      </c>
      <c r="K10370" s="30" t="s">
        <v>22</v>
      </c>
    </row>
    <row r="10371" spans="1:11">
      <c r="A10371" s="33" t="s">
        <v>23685</v>
      </c>
      <c r="B10371" s="33" t="s">
        <v>23686</v>
      </c>
      <c r="C10371" s="33" t="s">
        <v>2490</v>
      </c>
      <c r="D10371" s="33" t="s">
        <v>17</v>
      </c>
      <c r="E10371" s="33" t="s">
        <v>26</v>
      </c>
      <c r="F10371" s="33" t="s">
        <v>27</v>
      </c>
      <c r="G10371" s="33" t="s">
        <v>20</v>
      </c>
      <c r="H10371" s="35">
        <v>48</v>
      </c>
      <c r="I10371" s="33" t="s">
        <v>21</v>
      </c>
      <c r="J10371" s="42">
        <v>44698</v>
      </c>
      <c r="K10371" s="33" t="s">
        <v>22</v>
      </c>
    </row>
    <row r="10372" spans="1:11">
      <c r="A10372" s="30" t="s">
        <v>23687</v>
      </c>
      <c r="B10372" s="30" t="s">
        <v>23688</v>
      </c>
      <c r="C10372" s="30" t="s">
        <v>801</v>
      </c>
      <c r="D10372" s="30" t="s">
        <v>17</v>
      </c>
      <c r="E10372" s="30" t="s">
        <v>18</v>
      </c>
      <c r="F10372" s="30" t="s">
        <v>19</v>
      </c>
      <c r="G10372" s="30" t="s">
        <v>106</v>
      </c>
      <c r="H10372" s="32">
        <v>1027</v>
      </c>
      <c r="I10372" s="30" t="s">
        <v>21</v>
      </c>
      <c r="J10372" s="41">
        <v>44714</v>
      </c>
      <c r="K10372" s="30" t="s">
        <v>22</v>
      </c>
    </row>
    <row r="10373" spans="1:11">
      <c r="A10373" s="33" t="s">
        <v>23689</v>
      </c>
      <c r="B10373" s="33" t="s">
        <v>23690</v>
      </c>
      <c r="C10373" s="33" t="s">
        <v>3775</v>
      </c>
      <c r="D10373" s="33" t="s">
        <v>17</v>
      </c>
      <c r="E10373" s="33" t="s">
        <v>26</v>
      </c>
      <c r="F10373" s="33" t="s">
        <v>27</v>
      </c>
      <c r="G10373" s="33" t="s">
        <v>20</v>
      </c>
      <c r="H10373" s="35">
        <v>36</v>
      </c>
      <c r="I10373" s="33" t="s">
        <v>21</v>
      </c>
      <c r="J10373" s="42">
        <v>44777</v>
      </c>
      <c r="K10373" s="33" t="s">
        <v>22</v>
      </c>
    </row>
    <row r="10374" spans="1:11">
      <c r="A10374" s="30" t="s">
        <v>23691</v>
      </c>
      <c r="B10374" s="30" t="s">
        <v>23692</v>
      </c>
      <c r="C10374" s="30" t="s">
        <v>6784</v>
      </c>
      <c r="D10374" s="30" t="s">
        <v>17</v>
      </c>
      <c r="E10374" s="30" t="s">
        <v>31</v>
      </c>
      <c r="F10374" s="30" t="s">
        <v>32</v>
      </c>
      <c r="G10374" s="30" t="s">
        <v>20</v>
      </c>
      <c r="H10374" s="32">
        <v>28</v>
      </c>
      <c r="I10374" s="30" t="s">
        <v>21</v>
      </c>
      <c r="J10374" s="41">
        <v>44848</v>
      </c>
      <c r="K10374" s="30" t="s">
        <v>22</v>
      </c>
    </row>
    <row r="10375" spans="1:11">
      <c r="A10375" s="33" t="s">
        <v>23693</v>
      </c>
      <c r="B10375" s="33" t="s">
        <v>23694</v>
      </c>
      <c r="C10375" s="33" t="s">
        <v>2562</v>
      </c>
      <c r="D10375" s="33" t="s">
        <v>17</v>
      </c>
      <c r="E10375" s="33" t="s">
        <v>67</v>
      </c>
      <c r="F10375" s="33" t="s">
        <v>68</v>
      </c>
      <c r="G10375" s="33" t="s">
        <v>50</v>
      </c>
      <c r="H10375" s="35">
        <v>40</v>
      </c>
      <c r="I10375" s="33" t="s">
        <v>51</v>
      </c>
      <c r="J10375" s="42">
        <v>44864</v>
      </c>
      <c r="K10375" s="33" t="s">
        <v>22</v>
      </c>
    </row>
    <row r="10376" spans="1:11">
      <c r="A10376" s="30" t="s">
        <v>23695</v>
      </c>
      <c r="B10376" s="30" t="s">
        <v>23696</v>
      </c>
      <c r="C10376" s="30" t="s">
        <v>787</v>
      </c>
      <c r="D10376" s="30" t="s">
        <v>17</v>
      </c>
      <c r="E10376" s="30" t="s">
        <v>26</v>
      </c>
      <c r="F10376" s="30" t="s">
        <v>27</v>
      </c>
      <c r="G10376" s="30" t="s">
        <v>50</v>
      </c>
      <c r="H10376" s="32">
        <v>60</v>
      </c>
      <c r="I10376" s="30" t="s">
        <v>51</v>
      </c>
      <c r="J10376" s="41">
        <v>44617</v>
      </c>
      <c r="K10376" s="30" t="s">
        <v>22</v>
      </c>
    </row>
    <row r="10377" spans="1:11">
      <c r="A10377" s="33" t="s">
        <v>23697</v>
      </c>
      <c r="B10377" s="33" t="s">
        <v>23698</v>
      </c>
      <c r="C10377" s="33" t="s">
        <v>1872</v>
      </c>
      <c r="D10377" s="33" t="s">
        <v>17</v>
      </c>
      <c r="E10377" s="33" t="s">
        <v>31</v>
      </c>
      <c r="F10377" s="33" t="s">
        <v>32</v>
      </c>
      <c r="G10377" s="33" t="s">
        <v>158</v>
      </c>
      <c r="H10377" s="35">
        <v>17</v>
      </c>
      <c r="I10377" s="33" t="s">
        <v>21</v>
      </c>
      <c r="J10377" s="42">
        <v>44823</v>
      </c>
      <c r="K10377" s="33" t="s">
        <v>22</v>
      </c>
    </row>
    <row r="10378" spans="1:11">
      <c r="A10378" s="30" t="s">
        <v>23699</v>
      </c>
      <c r="B10378" s="30" t="s">
        <v>23700</v>
      </c>
      <c r="C10378" s="30" t="s">
        <v>3114</v>
      </c>
      <c r="D10378" s="30" t="s">
        <v>17</v>
      </c>
      <c r="E10378" s="30" t="s">
        <v>26</v>
      </c>
      <c r="F10378" s="30" t="s">
        <v>27</v>
      </c>
      <c r="G10378" s="30" t="s">
        <v>50</v>
      </c>
      <c r="H10378" s="32">
        <v>18</v>
      </c>
      <c r="I10378" s="30" t="s">
        <v>51</v>
      </c>
      <c r="J10378" s="41">
        <v>44682</v>
      </c>
      <c r="K10378" s="30" t="s">
        <v>22</v>
      </c>
    </row>
    <row r="10379" spans="1:11">
      <c r="A10379" s="33" t="s">
        <v>23701</v>
      </c>
      <c r="B10379" s="33" t="s">
        <v>23702</v>
      </c>
      <c r="C10379" s="33" t="s">
        <v>23703</v>
      </c>
      <c r="D10379" s="33" t="s">
        <v>17</v>
      </c>
      <c r="E10379" s="33" t="s">
        <v>26</v>
      </c>
      <c r="F10379" s="33" t="s">
        <v>27</v>
      </c>
      <c r="G10379" s="33" t="s">
        <v>140</v>
      </c>
      <c r="H10379" s="35">
        <v>272</v>
      </c>
      <c r="I10379" s="33" t="s">
        <v>51</v>
      </c>
      <c r="J10379" s="42">
        <v>44819</v>
      </c>
      <c r="K10379" s="33" t="s">
        <v>22</v>
      </c>
    </row>
    <row r="10380" spans="1:11">
      <c r="A10380" s="30" t="s">
        <v>23704</v>
      </c>
      <c r="B10380" s="30" t="s">
        <v>23705</v>
      </c>
      <c r="C10380" s="30" t="s">
        <v>1003</v>
      </c>
      <c r="D10380" s="30" t="s">
        <v>17</v>
      </c>
      <c r="E10380" s="30" t="s">
        <v>67</v>
      </c>
      <c r="F10380" s="30" t="s">
        <v>68</v>
      </c>
      <c r="G10380" s="30" t="s">
        <v>140</v>
      </c>
      <c r="H10380" s="32">
        <v>222</v>
      </c>
      <c r="I10380" s="30" t="s">
        <v>51</v>
      </c>
      <c r="J10380" s="41">
        <v>44880</v>
      </c>
      <c r="K10380" s="30" t="s">
        <v>22</v>
      </c>
    </row>
    <row r="10381" spans="1:11">
      <c r="A10381" s="33" t="s">
        <v>23706</v>
      </c>
      <c r="B10381" s="33" t="s">
        <v>23707</v>
      </c>
      <c r="C10381" s="33" t="s">
        <v>23708</v>
      </c>
      <c r="D10381" s="33" t="s">
        <v>17</v>
      </c>
      <c r="E10381" s="33" t="s">
        <v>67</v>
      </c>
      <c r="F10381" s="33" t="s">
        <v>68</v>
      </c>
      <c r="G10381" s="33" t="s">
        <v>112</v>
      </c>
      <c r="H10381" s="35">
        <v>0</v>
      </c>
      <c r="I10381" s="33" t="s">
        <v>21</v>
      </c>
      <c r="J10381" s="42">
        <v>44652</v>
      </c>
      <c r="K10381" s="33" t="s">
        <v>22</v>
      </c>
    </row>
    <row r="10382" spans="1:11">
      <c r="A10382" s="30" t="s">
        <v>23709</v>
      </c>
      <c r="B10382" s="30" t="s">
        <v>23710</v>
      </c>
      <c r="C10382" s="30" t="s">
        <v>149</v>
      </c>
      <c r="D10382" s="30" t="s">
        <v>17</v>
      </c>
      <c r="E10382" s="30" t="s">
        <v>26</v>
      </c>
      <c r="F10382" s="30" t="s">
        <v>27</v>
      </c>
      <c r="G10382" s="30" t="s">
        <v>158</v>
      </c>
      <c r="H10382" s="32">
        <v>74</v>
      </c>
      <c r="I10382" s="30" t="s">
        <v>21</v>
      </c>
      <c r="J10382" s="41">
        <v>44729</v>
      </c>
      <c r="K10382" s="30" t="s">
        <v>22</v>
      </c>
    </row>
    <row r="10383" spans="1:11">
      <c r="A10383" s="33" t="s">
        <v>23711</v>
      </c>
      <c r="B10383" s="33" t="s">
        <v>23712</v>
      </c>
      <c r="C10383" s="33" t="s">
        <v>118</v>
      </c>
      <c r="D10383" s="33" t="s">
        <v>17</v>
      </c>
      <c r="E10383" s="33" t="s">
        <v>31</v>
      </c>
      <c r="F10383" s="33" t="s">
        <v>32</v>
      </c>
      <c r="G10383" s="33" t="s">
        <v>20</v>
      </c>
      <c r="H10383" s="35">
        <v>77</v>
      </c>
      <c r="I10383" s="33" t="s">
        <v>21</v>
      </c>
      <c r="J10383" s="42">
        <v>44916</v>
      </c>
      <c r="K10383" s="33" t="s">
        <v>22</v>
      </c>
    </row>
    <row r="10384" spans="1:11">
      <c r="A10384" s="30" t="s">
        <v>23713</v>
      </c>
      <c r="B10384" s="30" t="s">
        <v>23714</v>
      </c>
      <c r="C10384" s="30" t="s">
        <v>96</v>
      </c>
      <c r="D10384" s="30" t="s">
        <v>17</v>
      </c>
      <c r="E10384" s="30" t="s">
        <v>18</v>
      </c>
      <c r="F10384" s="30" t="s">
        <v>19</v>
      </c>
      <c r="G10384" s="30" t="s">
        <v>106</v>
      </c>
      <c r="H10384" s="32">
        <v>1</v>
      </c>
      <c r="I10384" s="30" t="s">
        <v>21</v>
      </c>
      <c r="J10384" s="41">
        <v>44736</v>
      </c>
      <c r="K10384" s="30" t="s">
        <v>22</v>
      </c>
    </row>
    <row r="10385" spans="1:11">
      <c r="A10385" s="33" t="s">
        <v>23715</v>
      </c>
      <c r="B10385" s="33" t="s">
        <v>23716</v>
      </c>
      <c r="C10385" s="33" t="s">
        <v>23717</v>
      </c>
      <c r="D10385" s="33" t="s">
        <v>17</v>
      </c>
      <c r="E10385" s="33" t="s">
        <v>31</v>
      </c>
      <c r="F10385" s="33" t="s">
        <v>32</v>
      </c>
      <c r="G10385" s="33" t="s">
        <v>50</v>
      </c>
      <c r="H10385" s="35">
        <v>64</v>
      </c>
      <c r="I10385" s="33" t="s">
        <v>51</v>
      </c>
      <c r="J10385" s="42">
        <v>44727</v>
      </c>
      <c r="K10385" s="33" t="s">
        <v>22</v>
      </c>
    </row>
    <row r="10386" spans="1:11">
      <c r="A10386" s="30" t="s">
        <v>23718</v>
      </c>
      <c r="B10386" s="30" t="s">
        <v>23719</v>
      </c>
      <c r="C10386" s="30" t="s">
        <v>379</v>
      </c>
      <c r="D10386" s="30" t="s">
        <v>17</v>
      </c>
      <c r="E10386" s="30" t="s">
        <v>31</v>
      </c>
      <c r="F10386" s="30" t="s">
        <v>32</v>
      </c>
      <c r="G10386" s="30" t="s">
        <v>50</v>
      </c>
      <c r="H10386" s="32">
        <v>30</v>
      </c>
      <c r="I10386" s="30" t="s">
        <v>51</v>
      </c>
      <c r="J10386" s="41">
        <v>44854</v>
      </c>
      <c r="K10386" s="30" t="s">
        <v>22</v>
      </c>
    </row>
    <row r="10387" spans="1:11">
      <c r="A10387" s="33" t="s">
        <v>23720</v>
      </c>
      <c r="B10387" s="33" t="s">
        <v>23721</v>
      </c>
      <c r="C10387" s="33" t="s">
        <v>8092</v>
      </c>
      <c r="D10387" s="33" t="s">
        <v>17</v>
      </c>
      <c r="E10387" s="33" t="s">
        <v>31</v>
      </c>
      <c r="F10387" s="33" t="s">
        <v>32</v>
      </c>
      <c r="G10387" s="33" t="s">
        <v>20</v>
      </c>
      <c r="H10387" s="35">
        <v>265</v>
      </c>
      <c r="I10387" s="33" t="s">
        <v>21</v>
      </c>
      <c r="J10387" s="42">
        <v>44853</v>
      </c>
      <c r="K10387" s="33" t="s">
        <v>22</v>
      </c>
    </row>
    <row r="10388" spans="1:11">
      <c r="A10388" s="30" t="s">
        <v>23722</v>
      </c>
      <c r="B10388" s="30" t="s">
        <v>23723</v>
      </c>
      <c r="C10388" s="30" t="s">
        <v>570</v>
      </c>
      <c r="D10388" s="30" t="s">
        <v>17</v>
      </c>
      <c r="E10388" s="30" t="s">
        <v>31</v>
      </c>
      <c r="F10388" s="30" t="s">
        <v>32</v>
      </c>
      <c r="G10388" s="30" t="s">
        <v>50</v>
      </c>
      <c r="H10388" s="32">
        <v>100</v>
      </c>
      <c r="I10388" s="30" t="s">
        <v>51</v>
      </c>
      <c r="J10388" s="41">
        <v>44713</v>
      </c>
      <c r="K10388" s="30" t="s">
        <v>22</v>
      </c>
    </row>
    <row r="10389" spans="1:11">
      <c r="A10389" s="33" t="s">
        <v>23724</v>
      </c>
      <c r="B10389" s="33" t="s">
        <v>23725</v>
      </c>
      <c r="C10389" s="33" t="s">
        <v>231</v>
      </c>
      <c r="D10389" s="33" t="s">
        <v>17</v>
      </c>
      <c r="E10389" s="33" t="s">
        <v>26</v>
      </c>
      <c r="F10389" s="33" t="s">
        <v>27</v>
      </c>
      <c r="G10389" s="33" t="s">
        <v>20</v>
      </c>
      <c r="H10389" s="35">
        <v>36</v>
      </c>
      <c r="I10389" s="33" t="s">
        <v>21</v>
      </c>
      <c r="J10389" s="42">
        <v>44596</v>
      </c>
      <c r="K10389" s="33" t="s">
        <v>22</v>
      </c>
    </row>
    <row r="10390" spans="1:11">
      <c r="A10390" s="30" t="s">
        <v>23726</v>
      </c>
      <c r="B10390" s="30" t="s">
        <v>23727</v>
      </c>
      <c r="C10390" s="30" t="s">
        <v>23728</v>
      </c>
      <c r="D10390" s="30" t="s">
        <v>17</v>
      </c>
      <c r="E10390" s="30" t="s">
        <v>26</v>
      </c>
      <c r="F10390" s="30" t="s">
        <v>27</v>
      </c>
      <c r="G10390" s="30" t="s">
        <v>106</v>
      </c>
      <c r="H10390" s="32">
        <v>22</v>
      </c>
      <c r="I10390" s="30" t="s">
        <v>21</v>
      </c>
      <c r="J10390" s="41">
        <v>44606</v>
      </c>
      <c r="K10390" s="30" t="s">
        <v>22</v>
      </c>
    </row>
    <row r="10391" spans="1:11">
      <c r="A10391" s="33" t="s">
        <v>23729</v>
      </c>
      <c r="B10391" s="33" t="s">
        <v>23730</v>
      </c>
      <c r="C10391" s="33" t="s">
        <v>19803</v>
      </c>
      <c r="D10391" s="33" t="s">
        <v>17</v>
      </c>
      <c r="E10391" s="33" t="s">
        <v>26</v>
      </c>
      <c r="F10391" s="33" t="s">
        <v>27</v>
      </c>
      <c r="G10391" s="33" t="s">
        <v>20</v>
      </c>
      <c r="H10391" s="35">
        <v>43</v>
      </c>
      <c r="I10391" s="33" t="s">
        <v>21</v>
      </c>
      <c r="J10391" s="42">
        <v>44789</v>
      </c>
      <c r="K10391" s="33" t="s">
        <v>22</v>
      </c>
    </row>
    <row r="10392" spans="1:11">
      <c r="A10392" s="30" t="s">
        <v>23731</v>
      </c>
      <c r="B10392" s="30" t="s">
        <v>23732</v>
      </c>
      <c r="C10392" s="30" t="s">
        <v>798</v>
      </c>
      <c r="D10392" s="30" t="s">
        <v>17</v>
      </c>
      <c r="E10392" s="30" t="s">
        <v>31</v>
      </c>
      <c r="F10392" s="30" t="s">
        <v>32</v>
      </c>
      <c r="G10392" s="30" t="s">
        <v>20</v>
      </c>
      <c r="H10392" s="32">
        <v>10</v>
      </c>
      <c r="I10392" s="30" t="s">
        <v>21</v>
      </c>
      <c r="J10392" s="41">
        <v>44755</v>
      </c>
      <c r="K10392" s="30" t="s">
        <v>22</v>
      </c>
    </row>
    <row r="10393" spans="1:11">
      <c r="A10393" s="33" t="s">
        <v>23733</v>
      </c>
      <c r="B10393" s="33" t="s">
        <v>23734</v>
      </c>
      <c r="C10393" s="33" t="s">
        <v>11375</v>
      </c>
      <c r="D10393" s="33" t="s">
        <v>17</v>
      </c>
      <c r="E10393" s="33" t="s">
        <v>31</v>
      </c>
      <c r="F10393" s="33" t="s">
        <v>32</v>
      </c>
      <c r="G10393" s="33" t="s">
        <v>20</v>
      </c>
      <c r="H10393" s="35">
        <v>66</v>
      </c>
      <c r="I10393" s="33" t="s">
        <v>21</v>
      </c>
      <c r="J10393" s="42">
        <v>44764</v>
      </c>
      <c r="K10393" s="33" t="s">
        <v>22</v>
      </c>
    </row>
    <row r="10394" spans="1:11">
      <c r="A10394" s="30" t="s">
        <v>23735</v>
      </c>
      <c r="B10394" s="30" t="s">
        <v>23736</v>
      </c>
      <c r="C10394" s="30" t="s">
        <v>23737</v>
      </c>
      <c r="D10394" s="30" t="s">
        <v>17</v>
      </c>
      <c r="E10394" s="30" t="s">
        <v>67</v>
      </c>
      <c r="F10394" s="30" t="s">
        <v>68</v>
      </c>
      <c r="G10394" s="30" t="s">
        <v>140</v>
      </c>
      <c r="H10394" s="32">
        <v>107</v>
      </c>
      <c r="I10394" s="30" t="s">
        <v>51</v>
      </c>
      <c r="J10394" s="41">
        <v>44865</v>
      </c>
      <c r="K10394" s="30" t="s">
        <v>22</v>
      </c>
    </row>
    <row r="10395" spans="1:11">
      <c r="A10395" s="33" t="s">
        <v>23738</v>
      </c>
      <c r="B10395" s="33" t="s">
        <v>23739</v>
      </c>
      <c r="C10395" s="33" t="s">
        <v>2913</v>
      </c>
      <c r="D10395" s="33" t="s">
        <v>17</v>
      </c>
      <c r="E10395" s="33" t="s">
        <v>31</v>
      </c>
      <c r="F10395" s="33" t="s">
        <v>32</v>
      </c>
      <c r="G10395" s="33" t="s">
        <v>112</v>
      </c>
      <c r="H10395" s="35">
        <v>0</v>
      </c>
      <c r="I10395" s="33" t="s">
        <v>21</v>
      </c>
      <c r="J10395" s="42">
        <v>44682</v>
      </c>
      <c r="K10395" s="33" t="s">
        <v>22</v>
      </c>
    </row>
    <row r="10396" spans="1:11">
      <c r="A10396" s="30" t="s">
        <v>23740</v>
      </c>
      <c r="B10396" s="30" t="s">
        <v>23741</v>
      </c>
      <c r="C10396" s="30" t="s">
        <v>9895</v>
      </c>
      <c r="D10396" s="30" t="s">
        <v>17</v>
      </c>
      <c r="E10396" s="30" t="s">
        <v>31</v>
      </c>
      <c r="F10396" s="30" t="s">
        <v>32</v>
      </c>
      <c r="G10396" s="30" t="s">
        <v>106</v>
      </c>
      <c r="H10396" s="32">
        <v>7</v>
      </c>
      <c r="I10396" s="30" t="s">
        <v>21</v>
      </c>
      <c r="J10396" s="41">
        <v>44909</v>
      </c>
      <c r="K10396" s="30" t="s">
        <v>22</v>
      </c>
    </row>
    <row r="10397" spans="1:11">
      <c r="A10397" s="33" t="s">
        <v>23742</v>
      </c>
      <c r="B10397" s="33" t="s">
        <v>23743</v>
      </c>
      <c r="C10397" s="33" t="s">
        <v>18431</v>
      </c>
      <c r="D10397" s="33" t="s">
        <v>17</v>
      </c>
      <c r="E10397" s="33" t="s">
        <v>26</v>
      </c>
      <c r="F10397" s="33" t="s">
        <v>27</v>
      </c>
      <c r="G10397" s="33" t="s">
        <v>20</v>
      </c>
      <c r="H10397" s="35">
        <v>9</v>
      </c>
      <c r="I10397" s="33" t="s">
        <v>21</v>
      </c>
      <c r="J10397" s="42">
        <v>44902</v>
      </c>
      <c r="K10397" s="33" t="s">
        <v>22</v>
      </c>
    </row>
    <row r="10398" spans="1:11">
      <c r="A10398" s="30" t="s">
        <v>23744</v>
      </c>
      <c r="B10398" s="30" t="s">
        <v>23745</v>
      </c>
      <c r="C10398" s="30" t="s">
        <v>23746</v>
      </c>
      <c r="D10398" s="30" t="s">
        <v>17</v>
      </c>
      <c r="E10398" s="30" t="s">
        <v>31</v>
      </c>
      <c r="F10398" s="30" t="s">
        <v>32</v>
      </c>
      <c r="G10398" s="30" t="s">
        <v>158</v>
      </c>
      <c r="H10398" s="32">
        <v>87</v>
      </c>
      <c r="I10398" s="30" t="s">
        <v>21</v>
      </c>
      <c r="J10398" s="41">
        <v>44907</v>
      </c>
      <c r="K10398" s="30" t="s">
        <v>22</v>
      </c>
    </row>
    <row r="10399" spans="1:11">
      <c r="A10399" s="33" t="s">
        <v>23747</v>
      </c>
      <c r="B10399" s="33" t="s">
        <v>23748</v>
      </c>
      <c r="C10399" s="33" t="s">
        <v>1210</v>
      </c>
      <c r="D10399" s="33" t="s">
        <v>17</v>
      </c>
      <c r="E10399" s="33" t="s">
        <v>26</v>
      </c>
      <c r="F10399" s="33" t="s">
        <v>27</v>
      </c>
      <c r="G10399" s="33" t="s">
        <v>20</v>
      </c>
      <c r="H10399" s="35">
        <v>33</v>
      </c>
      <c r="I10399" s="33" t="s">
        <v>21</v>
      </c>
      <c r="J10399" s="42">
        <v>44645</v>
      </c>
      <c r="K10399" s="33" t="s">
        <v>22</v>
      </c>
    </row>
    <row r="10400" spans="1:11">
      <c r="A10400" s="30" t="s">
        <v>23749</v>
      </c>
      <c r="B10400" s="30" t="s">
        <v>23750</v>
      </c>
      <c r="C10400" s="30" t="s">
        <v>23751</v>
      </c>
      <c r="D10400" s="30" t="s">
        <v>17</v>
      </c>
      <c r="E10400" s="30" t="s">
        <v>31</v>
      </c>
      <c r="F10400" s="30" t="s">
        <v>32</v>
      </c>
      <c r="G10400" s="30" t="s">
        <v>20</v>
      </c>
      <c r="H10400" s="32">
        <v>188</v>
      </c>
      <c r="I10400" s="30" t="s">
        <v>21</v>
      </c>
      <c r="J10400" s="41">
        <v>44743</v>
      </c>
      <c r="K10400" s="30" t="s">
        <v>22</v>
      </c>
    </row>
    <row r="10401" spans="1:11">
      <c r="A10401" s="33" t="s">
        <v>23752</v>
      </c>
      <c r="B10401" s="33" t="s">
        <v>23753</v>
      </c>
      <c r="C10401" s="33" t="s">
        <v>2225</v>
      </c>
      <c r="D10401" s="33" t="s">
        <v>17</v>
      </c>
      <c r="E10401" s="33" t="s">
        <v>67</v>
      </c>
      <c r="F10401" s="33" t="s">
        <v>68</v>
      </c>
      <c r="G10401" s="33" t="s">
        <v>106</v>
      </c>
      <c r="H10401" s="35">
        <v>7</v>
      </c>
      <c r="I10401" s="33" t="s">
        <v>21</v>
      </c>
      <c r="J10401" s="42">
        <v>44573</v>
      </c>
      <c r="K10401" s="33" t="s">
        <v>22</v>
      </c>
    </row>
    <row r="10402" spans="1:11">
      <c r="A10402" s="30" t="s">
        <v>23754</v>
      </c>
      <c r="B10402" s="30" t="s">
        <v>23755</v>
      </c>
      <c r="C10402" s="30" t="s">
        <v>23756</v>
      </c>
      <c r="D10402" s="30" t="s">
        <v>17</v>
      </c>
      <c r="E10402" s="30" t="s">
        <v>31</v>
      </c>
      <c r="F10402" s="30" t="s">
        <v>32</v>
      </c>
      <c r="G10402" s="30" t="s">
        <v>50</v>
      </c>
      <c r="H10402" s="32">
        <v>130</v>
      </c>
      <c r="I10402" s="30" t="s">
        <v>51</v>
      </c>
      <c r="J10402" s="41">
        <v>44835</v>
      </c>
      <c r="K10402" s="30" t="s">
        <v>22</v>
      </c>
    </row>
    <row r="10403" spans="1:11">
      <c r="A10403" s="33" t="s">
        <v>23757</v>
      </c>
      <c r="B10403" s="33" t="s">
        <v>23758</v>
      </c>
      <c r="C10403" s="33" t="s">
        <v>136</v>
      </c>
      <c r="D10403" s="33" t="s">
        <v>17</v>
      </c>
      <c r="E10403" s="33" t="s">
        <v>26</v>
      </c>
      <c r="F10403" s="33" t="s">
        <v>27</v>
      </c>
      <c r="G10403" s="33" t="s">
        <v>106</v>
      </c>
      <c r="H10403" s="35">
        <v>27</v>
      </c>
      <c r="I10403" s="33" t="s">
        <v>21</v>
      </c>
      <c r="J10403" s="42">
        <v>44566</v>
      </c>
      <c r="K10403" s="33" t="s">
        <v>22</v>
      </c>
    </row>
    <row r="10404" spans="1:11">
      <c r="A10404" s="30" t="s">
        <v>23759</v>
      </c>
      <c r="B10404" s="30" t="s">
        <v>23760</v>
      </c>
      <c r="C10404" s="30" t="s">
        <v>462</v>
      </c>
      <c r="D10404" s="30" t="s">
        <v>17</v>
      </c>
      <c r="E10404" s="30" t="s">
        <v>18</v>
      </c>
      <c r="F10404" s="30" t="s">
        <v>19</v>
      </c>
      <c r="G10404" s="30" t="s">
        <v>20</v>
      </c>
      <c r="H10404" s="32">
        <v>200</v>
      </c>
      <c r="I10404" s="30" t="s">
        <v>21</v>
      </c>
      <c r="J10404" s="41">
        <v>44751</v>
      </c>
      <c r="K10404" s="30" t="s">
        <v>22</v>
      </c>
    </row>
    <row r="10405" spans="1:11">
      <c r="A10405" s="33" t="s">
        <v>23761</v>
      </c>
      <c r="B10405" s="33" t="s">
        <v>23762</v>
      </c>
      <c r="C10405" s="33" t="s">
        <v>149</v>
      </c>
      <c r="D10405" s="33" t="s">
        <v>17</v>
      </c>
      <c r="E10405" s="33" t="s">
        <v>26</v>
      </c>
      <c r="F10405" s="33" t="s">
        <v>27</v>
      </c>
      <c r="G10405" s="33" t="s">
        <v>50</v>
      </c>
      <c r="H10405" s="35">
        <v>6</v>
      </c>
      <c r="I10405" s="33" t="s">
        <v>21</v>
      </c>
      <c r="J10405" s="42">
        <v>44719</v>
      </c>
      <c r="K10405" s="33" t="s">
        <v>22</v>
      </c>
    </row>
    <row r="10406" spans="1:11">
      <c r="A10406" s="30" t="s">
        <v>23763</v>
      </c>
      <c r="B10406" s="30" t="s">
        <v>23764</v>
      </c>
      <c r="C10406" s="30" t="s">
        <v>21196</v>
      </c>
      <c r="D10406" s="30" t="s">
        <v>17</v>
      </c>
      <c r="E10406" s="30" t="s">
        <v>212</v>
      </c>
      <c r="F10406" s="30" t="s">
        <v>213</v>
      </c>
      <c r="G10406" s="30" t="s">
        <v>20</v>
      </c>
      <c r="H10406" s="32">
        <v>44</v>
      </c>
      <c r="I10406" s="30" t="s">
        <v>21</v>
      </c>
      <c r="J10406" s="41">
        <v>44720</v>
      </c>
      <c r="K10406" s="30" t="s">
        <v>22</v>
      </c>
    </row>
    <row r="10407" spans="1:11">
      <c r="A10407" s="33" t="s">
        <v>23765</v>
      </c>
      <c r="B10407" s="33" t="s">
        <v>23766</v>
      </c>
      <c r="C10407" s="33" t="s">
        <v>149</v>
      </c>
      <c r="D10407" s="33" t="s">
        <v>17</v>
      </c>
      <c r="E10407" s="33" t="s">
        <v>26</v>
      </c>
      <c r="F10407" s="33" t="s">
        <v>27</v>
      </c>
      <c r="G10407" s="33" t="s">
        <v>20</v>
      </c>
      <c r="H10407" s="35">
        <v>22</v>
      </c>
      <c r="I10407" s="33" t="s">
        <v>21</v>
      </c>
      <c r="J10407" s="42">
        <v>44680</v>
      </c>
      <c r="K10407" s="33" t="s">
        <v>22</v>
      </c>
    </row>
    <row r="10408" spans="1:11">
      <c r="A10408" s="30" t="s">
        <v>23767</v>
      </c>
      <c r="B10408" s="30" t="s">
        <v>23768</v>
      </c>
      <c r="C10408" s="30" t="s">
        <v>23769</v>
      </c>
      <c r="D10408" s="30" t="s">
        <v>17</v>
      </c>
      <c r="E10408" s="30" t="s">
        <v>18</v>
      </c>
      <c r="F10408" s="30" t="s">
        <v>19</v>
      </c>
      <c r="G10408" s="30" t="s">
        <v>140</v>
      </c>
      <c r="H10408" s="32">
        <v>40</v>
      </c>
      <c r="I10408" s="30" t="s">
        <v>51</v>
      </c>
      <c r="J10408" s="41">
        <v>44882</v>
      </c>
      <c r="K10408" s="30" t="s">
        <v>22</v>
      </c>
    </row>
    <row r="10409" spans="1:11">
      <c r="A10409" s="33" t="s">
        <v>23770</v>
      </c>
      <c r="B10409" s="33" t="s">
        <v>23771</v>
      </c>
      <c r="C10409" s="33" t="s">
        <v>1808</v>
      </c>
      <c r="D10409" s="33" t="s">
        <v>17</v>
      </c>
      <c r="E10409" s="33" t="s">
        <v>18</v>
      </c>
      <c r="F10409" s="33" t="s">
        <v>19</v>
      </c>
      <c r="G10409" s="33" t="s">
        <v>140</v>
      </c>
      <c r="H10409" s="35">
        <v>680</v>
      </c>
      <c r="I10409" s="33" t="s">
        <v>51</v>
      </c>
      <c r="J10409" s="42">
        <v>44720</v>
      </c>
      <c r="K10409" s="33" t="s">
        <v>22</v>
      </c>
    </row>
    <row r="10410" spans="1:11">
      <c r="A10410" s="30" t="s">
        <v>23772</v>
      </c>
      <c r="B10410" s="30" t="s">
        <v>23773</v>
      </c>
      <c r="C10410" s="30" t="s">
        <v>1042</v>
      </c>
      <c r="D10410" s="30" t="s">
        <v>17</v>
      </c>
      <c r="E10410" s="30" t="s">
        <v>31</v>
      </c>
      <c r="F10410" s="30" t="s">
        <v>32</v>
      </c>
      <c r="G10410" s="30" t="s">
        <v>20</v>
      </c>
      <c r="H10410" s="32">
        <v>51</v>
      </c>
      <c r="I10410" s="30" t="s">
        <v>21</v>
      </c>
      <c r="J10410" s="41">
        <v>44658</v>
      </c>
      <c r="K10410" s="30" t="s">
        <v>22</v>
      </c>
    </row>
    <row r="10411" spans="1:11">
      <c r="A10411" s="33" t="s">
        <v>23774</v>
      </c>
      <c r="B10411" s="33" t="s">
        <v>23775</v>
      </c>
      <c r="C10411" s="33" t="s">
        <v>847</v>
      </c>
      <c r="D10411" s="33" t="s">
        <v>17</v>
      </c>
      <c r="E10411" s="33" t="s">
        <v>330</v>
      </c>
      <c r="F10411" s="33" t="s">
        <v>331</v>
      </c>
      <c r="G10411" s="33" t="s">
        <v>50</v>
      </c>
      <c r="H10411" s="35">
        <v>10</v>
      </c>
      <c r="I10411" s="33" t="s">
        <v>51</v>
      </c>
      <c r="J10411" s="42">
        <v>44922</v>
      </c>
      <c r="K10411" s="33" t="s">
        <v>22</v>
      </c>
    </row>
    <row r="10412" spans="1:11">
      <c r="A10412" s="30" t="s">
        <v>23776</v>
      </c>
      <c r="B10412" s="30" t="s">
        <v>23777</v>
      </c>
      <c r="C10412" s="30" t="s">
        <v>15585</v>
      </c>
      <c r="D10412" s="30" t="s">
        <v>17</v>
      </c>
      <c r="E10412" s="30" t="s">
        <v>18</v>
      </c>
      <c r="F10412" s="30" t="s">
        <v>19</v>
      </c>
      <c r="G10412" s="30" t="s">
        <v>20</v>
      </c>
      <c r="H10412" s="32">
        <v>754</v>
      </c>
      <c r="I10412" s="30" t="s">
        <v>21</v>
      </c>
      <c r="J10412" s="41">
        <v>44825</v>
      </c>
      <c r="K10412" s="30" t="s">
        <v>22</v>
      </c>
    </row>
    <row r="10413" spans="1:11">
      <c r="A10413" s="33" t="s">
        <v>23778</v>
      </c>
      <c r="B10413" s="33" t="s">
        <v>23779</v>
      </c>
      <c r="C10413" s="33" t="s">
        <v>216</v>
      </c>
      <c r="D10413" s="33" t="s">
        <v>17</v>
      </c>
      <c r="E10413" s="33" t="s">
        <v>18</v>
      </c>
      <c r="F10413" s="33" t="s">
        <v>19</v>
      </c>
      <c r="G10413" s="33" t="s">
        <v>20</v>
      </c>
      <c r="H10413" s="35">
        <v>502</v>
      </c>
      <c r="I10413" s="33" t="s">
        <v>21</v>
      </c>
      <c r="J10413" s="42">
        <v>44860</v>
      </c>
      <c r="K10413" s="33" t="s">
        <v>22</v>
      </c>
    </row>
    <row r="10414" spans="1:11">
      <c r="A10414" s="30" t="s">
        <v>23780</v>
      </c>
      <c r="B10414" s="30" t="s">
        <v>23781</v>
      </c>
      <c r="C10414" s="30" t="s">
        <v>102</v>
      </c>
      <c r="D10414" s="30" t="s">
        <v>17</v>
      </c>
      <c r="E10414" s="30" t="s">
        <v>31</v>
      </c>
      <c r="F10414" s="30" t="s">
        <v>32</v>
      </c>
      <c r="G10414" s="30" t="s">
        <v>140</v>
      </c>
      <c r="H10414" s="32">
        <v>520</v>
      </c>
      <c r="I10414" s="30" t="s">
        <v>51</v>
      </c>
      <c r="J10414" s="41">
        <v>44876</v>
      </c>
      <c r="K10414" s="30" t="s">
        <v>22</v>
      </c>
    </row>
    <row r="10415" spans="1:11">
      <c r="A10415" s="33" t="s">
        <v>23782</v>
      </c>
      <c r="B10415" s="33" t="s">
        <v>23783</v>
      </c>
      <c r="C10415" s="33" t="s">
        <v>1191</v>
      </c>
      <c r="D10415" s="33" t="s">
        <v>17</v>
      </c>
      <c r="E10415" s="33" t="s">
        <v>18</v>
      </c>
      <c r="F10415" s="33" t="s">
        <v>19</v>
      </c>
      <c r="G10415" s="33" t="s">
        <v>50</v>
      </c>
      <c r="H10415" s="35">
        <v>1804</v>
      </c>
      <c r="I10415" s="33" t="s">
        <v>21</v>
      </c>
      <c r="J10415" s="42">
        <v>44708</v>
      </c>
      <c r="K10415" s="33" t="s">
        <v>22</v>
      </c>
    </row>
    <row r="10416" spans="1:11">
      <c r="A10416" s="30" t="s">
        <v>23784</v>
      </c>
      <c r="B10416" s="30" t="s">
        <v>23785</v>
      </c>
      <c r="C10416" s="30" t="s">
        <v>9464</v>
      </c>
      <c r="D10416" s="30" t="s">
        <v>17</v>
      </c>
      <c r="E10416" s="30" t="s">
        <v>26</v>
      </c>
      <c r="F10416" s="30" t="s">
        <v>27</v>
      </c>
      <c r="G10416" s="30" t="s">
        <v>50</v>
      </c>
      <c r="H10416" s="32">
        <v>10</v>
      </c>
      <c r="I10416" s="30" t="s">
        <v>51</v>
      </c>
      <c r="J10416" s="41">
        <v>44775</v>
      </c>
      <c r="K10416" s="30" t="s">
        <v>22</v>
      </c>
    </row>
    <row r="10417" spans="1:11">
      <c r="A10417" s="33" t="s">
        <v>23786</v>
      </c>
      <c r="B10417" s="33" t="s">
        <v>23787</v>
      </c>
      <c r="C10417" s="33" t="s">
        <v>23788</v>
      </c>
      <c r="D10417" s="33" t="s">
        <v>17</v>
      </c>
      <c r="E10417" s="33" t="s">
        <v>31</v>
      </c>
      <c r="F10417" s="33" t="s">
        <v>32</v>
      </c>
      <c r="G10417" s="33" t="s">
        <v>20</v>
      </c>
      <c r="H10417" s="35">
        <v>158</v>
      </c>
      <c r="I10417" s="33" t="s">
        <v>21</v>
      </c>
      <c r="J10417" s="42">
        <v>44643</v>
      </c>
      <c r="K10417" s="33" t="s">
        <v>22</v>
      </c>
    </row>
    <row r="10418" spans="1:11">
      <c r="A10418" s="30" t="s">
        <v>23789</v>
      </c>
      <c r="B10418" s="30" t="s">
        <v>23790</v>
      </c>
      <c r="C10418" s="30" t="s">
        <v>1112</v>
      </c>
      <c r="D10418" s="30" t="s">
        <v>17</v>
      </c>
      <c r="E10418" s="30" t="s">
        <v>26</v>
      </c>
      <c r="F10418" s="30" t="s">
        <v>27</v>
      </c>
      <c r="G10418" s="30" t="s">
        <v>20</v>
      </c>
      <c r="H10418" s="32">
        <v>24</v>
      </c>
      <c r="I10418" s="30" t="s">
        <v>21</v>
      </c>
      <c r="J10418" s="41">
        <v>44775</v>
      </c>
      <c r="K10418" s="30" t="s">
        <v>22</v>
      </c>
    </row>
    <row r="10419" spans="1:11">
      <c r="A10419" s="33" t="s">
        <v>23791</v>
      </c>
      <c r="B10419" s="33" t="s">
        <v>23792</v>
      </c>
      <c r="C10419" s="33" t="s">
        <v>399</v>
      </c>
      <c r="D10419" s="33" t="s">
        <v>17</v>
      </c>
      <c r="E10419" s="33" t="s">
        <v>67</v>
      </c>
      <c r="F10419" s="33" t="s">
        <v>68</v>
      </c>
      <c r="G10419" s="33" t="s">
        <v>20</v>
      </c>
      <c r="H10419" s="35">
        <v>111</v>
      </c>
      <c r="I10419" s="33" t="s">
        <v>21</v>
      </c>
      <c r="J10419" s="42">
        <v>44865</v>
      </c>
      <c r="K10419" s="33" t="s">
        <v>22</v>
      </c>
    </row>
    <row r="10420" spans="1:11">
      <c r="A10420" s="30" t="s">
        <v>23793</v>
      </c>
      <c r="B10420" s="30" t="s">
        <v>23794</v>
      </c>
      <c r="C10420" s="30" t="s">
        <v>23795</v>
      </c>
      <c r="D10420" s="30" t="s">
        <v>17</v>
      </c>
      <c r="E10420" s="30" t="s">
        <v>67</v>
      </c>
      <c r="F10420" s="30" t="s">
        <v>68</v>
      </c>
      <c r="G10420" s="30" t="s">
        <v>106</v>
      </c>
      <c r="H10420" s="32">
        <v>24</v>
      </c>
      <c r="I10420" s="30" t="s">
        <v>21</v>
      </c>
      <c r="J10420" s="41">
        <v>44792</v>
      </c>
      <c r="K10420" s="30" t="s">
        <v>22</v>
      </c>
    </row>
    <row r="10421" spans="1:11">
      <c r="A10421" s="33" t="s">
        <v>23796</v>
      </c>
      <c r="B10421" s="33" t="s">
        <v>23797</v>
      </c>
      <c r="C10421" s="33" t="s">
        <v>5530</v>
      </c>
      <c r="D10421" s="33" t="s">
        <v>17</v>
      </c>
      <c r="E10421" s="33" t="s">
        <v>26</v>
      </c>
      <c r="F10421" s="33" t="s">
        <v>27</v>
      </c>
      <c r="G10421" s="33" t="s">
        <v>20</v>
      </c>
      <c r="H10421" s="35">
        <v>6</v>
      </c>
      <c r="I10421" s="33" t="s">
        <v>21</v>
      </c>
      <c r="J10421" s="42">
        <v>44727</v>
      </c>
      <c r="K10421" s="33" t="s">
        <v>22</v>
      </c>
    </row>
    <row r="10422" spans="1:11">
      <c r="A10422" s="30" t="s">
        <v>23798</v>
      </c>
      <c r="B10422" s="30" t="s">
        <v>23799</v>
      </c>
      <c r="C10422" s="30" t="s">
        <v>5410</v>
      </c>
      <c r="D10422" s="30" t="s">
        <v>17</v>
      </c>
      <c r="E10422" s="30" t="s">
        <v>67</v>
      </c>
      <c r="F10422" s="30" t="s">
        <v>68</v>
      </c>
      <c r="G10422" s="30" t="s">
        <v>106</v>
      </c>
      <c r="H10422" s="32">
        <v>29</v>
      </c>
      <c r="I10422" s="30" t="s">
        <v>21</v>
      </c>
      <c r="J10422" s="41">
        <v>44831</v>
      </c>
      <c r="K10422" s="30" t="s">
        <v>22</v>
      </c>
    </row>
    <row r="10423" spans="1:11">
      <c r="A10423" s="33" t="s">
        <v>23800</v>
      </c>
      <c r="B10423" s="33" t="s">
        <v>23801</v>
      </c>
      <c r="C10423" s="33" t="s">
        <v>16821</v>
      </c>
      <c r="D10423" s="33" t="s">
        <v>17</v>
      </c>
      <c r="E10423" s="33" t="s">
        <v>31</v>
      </c>
      <c r="F10423" s="33" t="s">
        <v>32</v>
      </c>
      <c r="G10423" s="33" t="s">
        <v>158</v>
      </c>
      <c r="H10423" s="35">
        <v>237</v>
      </c>
      <c r="I10423" s="33" t="s">
        <v>51</v>
      </c>
      <c r="J10423" s="42">
        <v>44739</v>
      </c>
      <c r="K10423" s="33" t="s">
        <v>22</v>
      </c>
    </row>
    <row r="10424" spans="1:11">
      <c r="A10424" s="30" t="s">
        <v>23802</v>
      </c>
      <c r="B10424" s="30" t="s">
        <v>23803</v>
      </c>
      <c r="C10424" s="30" t="s">
        <v>203</v>
      </c>
      <c r="D10424" s="30" t="s">
        <v>17</v>
      </c>
      <c r="E10424" s="30" t="s">
        <v>31</v>
      </c>
      <c r="F10424" s="30" t="s">
        <v>32</v>
      </c>
      <c r="G10424" s="30" t="s">
        <v>20</v>
      </c>
      <c r="H10424" s="32">
        <v>49</v>
      </c>
      <c r="I10424" s="30" t="s">
        <v>21</v>
      </c>
      <c r="J10424" s="41">
        <v>44700</v>
      </c>
      <c r="K10424" s="30" t="s">
        <v>22</v>
      </c>
    </row>
    <row r="10425" spans="1:11">
      <c r="A10425" s="33" t="s">
        <v>23804</v>
      </c>
      <c r="B10425" s="33" t="s">
        <v>23805</v>
      </c>
      <c r="C10425" s="33" t="s">
        <v>4796</v>
      </c>
      <c r="D10425" s="33" t="s">
        <v>17</v>
      </c>
      <c r="E10425" s="33" t="s">
        <v>26</v>
      </c>
      <c r="F10425" s="33" t="s">
        <v>27</v>
      </c>
      <c r="G10425" s="33" t="s">
        <v>20</v>
      </c>
      <c r="H10425" s="35">
        <v>29</v>
      </c>
      <c r="I10425" s="33" t="s">
        <v>21</v>
      </c>
      <c r="J10425" s="42">
        <v>44793</v>
      </c>
      <c r="K10425" s="33" t="s">
        <v>22</v>
      </c>
    </row>
    <row r="10426" spans="1:11">
      <c r="A10426" s="30" t="s">
        <v>23806</v>
      </c>
      <c r="B10426" s="30" t="s">
        <v>23807</v>
      </c>
      <c r="C10426" s="30" t="s">
        <v>2472</v>
      </c>
      <c r="D10426" s="30" t="s">
        <v>17</v>
      </c>
      <c r="E10426" s="30" t="s">
        <v>18</v>
      </c>
      <c r="F10426" s="30" t="s">
        <v>19</v>
      </c>
      <c r="G10426" s="30" t="s">
        <v>20</v>
      </c>
      <c r="H10426" s="32">
        <v>1807</v>
      </c>
      <c r="I10426" s="30" t="s">
        <v>21</v>
      </c>
      <c r="J10426" s="41">
        <v>44733</v>
      </c>
      <c r="K10426" s="30" t="s">
        <v>22</v>
      </c>
    </row>
    <row r="10427" spans="1:11">
      <c r="A10427" s="33" t="s">
        <v>23808</v>
      </c>
      <c r="B10427" s="33" t="s">
        <v>23809</v>
      </c>
      <c r="C10427" s="33" t="s">
        <v>1733</v>
      </c>
      <c r="D10427" s="33" t="s">
        <v>17</v>
      </c>
      <c r="E10427" s="33" t="s">
        <v>67</v>
      </c>
      <c r="F10427" s="33" t="s">
        <v>68</v>
      </c>
      <c r="G10427" s="33" t="s">
        <v>158</v>
      </c>
      <c r="H10427" s="35">
        <v>263</v>
      </c>
      <c r="I10427" s="33" t="s">
        <v>51</v>
      </c>
      <c r="J10427" s="42">
        <v>44851</v>
      </c>
      <c r="K10427" s="33" t="s">
        <v>22</v>
      </c>
    </row>
    <row r="10428" spans="1:11">
      <c r="A10428" s="30" t="s">
        <v>23810</v>
      </c>
      <c r="B10428" s="30" t="s">
        <v>23811</v>
      </c>
      <c r="C10428" s="30" t="s">
        <v>3892</v>
      </c>
      <c r="D10428" s="30" t="s">
        <v>17</v>
      </c>
      <c r="E10428" s="30" t="s">
        <v>18</v>
      </c>
      <c r="F10428" s="30" t="s">
        <v>19</v>
      </c>
      <c r="G10428" s="30" t="s">
        <v>20</v>
      </c>
      <c r="H10428" s="32">
        <v>513</v>
      </c>
      <c r="I10428" s="30" t="s">
        <v>21</v>
      </c>
      <c r="J10428" s="41">
        <v>44727</v>
      </c>
      <c r="K10428" s="30" t="s">
        <v>22</v>
      </c>
    </row>
    <row r="10429" spans="1:11">
      <c r="A10429" s="33" t="s">
        <v>23812</v>
      </c>
      <c r="B10429" s="33" t="s">
        <v>23813</v>
      </c>
      <c r="C10429" s="33" t="s">
        <v>11649</v>
      </c>
      <c r="D10429" s="33" t="s">
        <v>17</v>
      </c>
      <c r="E10429" s="33" t="s">
        <v>31</v>
      </c>
      <c r="F10429" s="33" t="s">
        <v>32</v>
      </c>
      <c r="G10429" s="33" t="s">
        <v>20</v>
      </c>
      <c r="H10429" s="35">
        <v>250</v>
      </c>
      <c r="I10429" s="33" t="s">
        <v>21</v>
      </c>
      <c r="J10429" s="42">
        <v>44579</v>
      </c>
      <c r="K10429" s="33" t="s">
        <v>22</v>
      </c>
    </row>
    <row r="10430" spans="1:11">
      <c r="A10430" s="30" t="s">
        <v>23814</v>
      </c>
      <c r="B10430" s="30" t="s">
        <v>23815</v>
      </c>
      <c r="C10430" s="30" t="s">
        <v>23816</v>
      </c>
      <c r="D10430" s="30" t="s">
        <v>17</v>
      </c>
      <c r="E10430" s="30" t="s">
        <v>26</v>
      </c>
      <c r="F10430" s="30" t="s">
        <v>27</v>
      </c>
      <c r="G10430" s="30" t="s">
        <v>20</v>
      </c>
      <c r="H10430" s="32">
        <v>25</v>
      </c>
      <c r="I10430" s="30" t="s">
        <v>21</v>
      </c>
      <c r="J10430" s="41">
        <v>44747</v>
      </c>
      <c r="K10430" s="30" t="s">
        <v>22</v>
      </c>
    </row>
    <row r="10431" spans="1:11">
      <c r="A10431" s="33" t="s">
        <v>23817</v>
      </c>
      <c r="B10431" s="33" t="s">
        <v>23818</v>
      </c>
      <c r="C10431" s="33" t="s">
        <v>75</v>
      </c>
      <c r="D10431" s="33" t="s">
        <v>17</v>
      </c>
      <c r="E10431" s="33" t="s">
        <v>18</v>
      </c>
      <c r="F10431" s="33" t="s">
        <v>19</v>
      </c>
      <c r="G10431" s="33" t="s">
        <v>20</v>
      </c>
      <c r="H10431" s="35">
        <v>580</v>
      </c>
      <c r="I10431" s="33" t="s">
        <v>21</v>
      </c>
      <c r="J10431" s="42">
        <v>44909</v>
      </c>
      <c r="K10431" s="33" t="s">
        <v>22</v>
      </c>
    </row>
    <row r="10432" spans="1:11">
      <c r="A10432" s="30" t="s">
        <v>23819</v>
      </c>
      <c r="B10432" s="30" t="s">
        <v>23820</v>
      </c>
      <c r="C10432" s="30" t="s">
        <v>3299</v>
      </c>
      <c r="D10432" s="30" t="s">
        <v>17</v>
      </c>
      <c r="E10432" s="30" t="s">
        <v>26</v>
      </c>
      <c r="F10432" s="30" t="s">
        <v>27</v>
      </c>
      <c r="G10432" s="30" t="s">
        <v>20</v>
      </c>
      <c r="H10432" s="32">
        <v>234</v>
      </c>
      <c r="I10432" s="30" t="s">
        <v>21</v>
      </c>
      <c r="J10432" s="41">
        <v>44730</v>
      </c>
      <c r="K10432" s="30" t="s">
        <v>22</v>
      </c>
    </row>
    <row r="10433" spans="1:11">
      <c r="A10433" s="33" t="s">
        <v>23821</v>
      </c>
      <c r="B10433" s="33" t="s">
        <v>23822</v>
      </c>
      <c r="C10433" s="33" t="s">
        <v>23823</v>
      </c>
      <c r="D10433" s="33" t="s">
        <v>17</v>
      </c>
      <c r="E10433" s="33" t="s">
        <v>26</v>
      </c>
      <c r="F10433" s="33" t="s">
        <v>27</v>
      </c>
      <c r="G10433" s="33" t="s">
        <v>50</v>
      </c>
      <c r="H10433" s="35">
        <v>48</v>
      </c>
      <c r="I10433" s="33" t="s">
        <v>51</v>
      </c>
      <c r="J10433" s="42">
        <v>44881</v>
      </c>
      <c r="K10433" s="33" t="s">
        <v>22</v>
      </c>
    </row>
    <row r="10434" spans="1:11">
      <c r="A10434" s="30" t="s">
        <v>23824</v>
      </c>
      <c r="B10434" s="30" t="s">
        <v>23825</v>
      </c>
      <c r="C10434" s="30" t="s">
        <v>801</v>
      </c>
      <c r="D10434" s="30" t="s">
        <v>17</v>
      </c>
      <c r="E10434" s="30" t="s">
        <v>26</v>
      </c>
      <c r="F10434" s="30" t="s">
        <v>27</v>
      </c>
      <c r="G10434" s="30" t="s">
        <v>20</v>
      </c>
      <c r="H10434" s="32">
        <v>123</v>
      </c>
      <c r="I10434" s="30" t="s">
        <v>21</v>
      </c>
      <c r="J10434" s="41">
        <v>44593</v>
      </c>
      <c r="K10434" s="30" t="s">
        <v>22</v>
      </c>
    </row>
    <row r="10435" spans="1:11">
      <c r="A10435" s="33" t="s">
        <v>23826</v>
      </c>
      <c r="B10435" s="33" t="s">
        <v>23827</v>
      </c>
      <c r="C10435" s="33" t="s">
        <v>23828</v>
      </c>
      <c r="D10435" s="33" t="s">
        <v>17</v>
      </c>
      <c r="E10435" s="33" t="s">
        <v>26</v>
      </c>
      <c r="F10435" s="33" t="s">
        <v>27</v>
      </c>
      <c r="G10435" s="33" t="s">
        <v>20</v>
      </c>
      <c r="H10435" s="35">
        <v>40</v>
      </c>
      <c r="I10435" s="33" t="s">
        <v>21</v>
      </c>
      <c r="J10435" s="42">
        <v>44690</v>
      </c>
      <c r="K10435" s="33" t="s">
        <v>22</v>
      </c>
    </row>
    <row r="10436" spans="1:11">
      <c r="A10436" s="30" t="s">
        <v>23829</v>
      </c>
      <c r="B10436" s="30" t="s">
        <v>23830</v>
      </c>
      <c r="C10436" s="30" t="s">
        <v>23831</v>
      </c>
      <c r="D10436" s="30" t="s">
        <v>17</v>
      </c>
      <c r="E10436" s="30" t="s">
        <v>26</v>
      </c>
      <c r="F10436" s="30" t="s">
        <v>27</v>
      </c>
      <c r="G10436" s="30" t="s">
        <v>20</v>
      </c>
      <c r="H10436" s="32">
        <v>38</v>
      </c>
      <c r="I10436" s="30" t="s">
        <v>21</v>
      </c>
      <c r="J10436" s="41">
        <v>44910</v>
      </c>
      <c r="K10436" s="30" t="s">
        <v>22</v>
      </c>
    </row>
    <row r="10437" spans="1:11">
      <c r="A10437" s="33" t="s">
        <v>23832</v>
      </c>
      <c r="B10437" s="33" t="s">
        <v>23833</v>
      </c>
      <c r="C10437" s="33" t="s">
        <v>124</v>
      </c>
      <c r="D10437" s="33" t="s">
        <v>17</v>
      </c>
      <c r="E10437" s="33" t="s">
        <v>26</v>
      </c>
      <c r="F10437" s="33" t="s">
        <v>27</v>
      </c>
      <c r="G10437" s="33" t="s">
        <v>20</v>
      </c>
      <c r="H10437" s="35">
        <v>54</v>
      </c>
      <c r="I10437" s="33" t="s">
        <v>21</v>
      </c>
      <c r="J10437" s="42">
        <v>44662</v>
      </c>
      <c r="K10437" s="33" t="s">
        <v>22</v>
      </c>
    </row>
    <row r="10438" spans="1:11">
      <c r="A10438" s="30" t="s">
        <v>23834</v>
      </c>
      <c r="B10438" s="30" t="s">
        <v>23835</v>
      </c>
      <c r="C10438" s="30" t="s">
        <v>109</v>
      </c>
      <c r="D10438" s="30" t="s">
        <v>17</v>
      </c>
      <c r="E10438" s="30" t="s">
        <v>26</v>
      </c>
      <c r="F10438" s="30" t="s">
        <v>27</v>
      </c>
      <c r="G10438" s="30" t="s">
        <v>20</v>
      </c>
      <c r="H10438" s="32">
        <v>110</v>
      </c>
      <c r="I10438" s="30" t="s">
        <v>21</v>
      </c>
      <c r="J10438" s="41">
        <v>44680</v>
      </c>
      <c r="K10438" s="30" t="s">
        <v>22</v>
      </c>
    </row>
    <row r="10439" spans="1:11">
      <c r="A10439" s="33" t="s">
        <v>23836</v>
      </c>
      <c r="B10439" s="33" t="s">
        <v>23837</v>
      </c>
      <c r="C10439" s="33" t="s">
        <v>2244</v>
      </c>
      <c r="D10439" s="33" t="s">
        <v>17</v>
      </c>
      <c r="E10439" s="33" t="s">
        <v>26</v>
      </c>
      <c r="F10439" s="33" t="s">
        <v>27</v>
      </c>
      <c r="G10439" s="33" t="s">
        <v>20</v>
      </c>
      <c r="H10439" s="35">
        <v>1</v>
      </c>
      <c r="I10439" s="33" t="s">
        <v>21</v>
      </c>
      <c r="J10439" s="42">
        <v>44624</v>
      </c>
      <c r="K10439" s="33" t="s">
        <v>22</v>
      </c>
    </row>
    <row r="10440" spans="1:11">
      <c r="A10440" s="30" t="s">
        <v>23838</v>
      </c>
      <c r="B10440" s="30" t="s">
        <v>23839</v>
      </c>
      <c r="C10440" s="30" t="s">
        <v>948</v>
      </c>
      <c r="D10440" s="30" t="s">
        <v>17</v>
      </c>
      <c r="E10440" s="30" t="s">
        <v>26</v>
      </c>
      <c r="F10440" s="30" t="s">
        <v>27</v>
      </c>
      <c r="G10440" s="30" t="s">
        <v>20</v>
      </c>
      <c r="H10440" s="32">
        <v>6</v>
      </c>
      <c r="I10440" s="30" t="s">
        <v>21</v>
      </c>
      <c r="J10440" s="41">
        <v>44811</v>
      </c>
      <c r="K10440" s="30" t="s">
        <v>22</v>
      </c>
    </row>
    <row r="10441" spans="1:11">
      <c r="A10441" s="33" t="s">
        <v>23840</v>
      </c>
      <c r="B10441" s="33" t="s">
        <v>23841</v>
      </c>
      <c r="C10441" s="33" t="s">
        <v>23842</v>
      </c>
      <c r="D10441" s="33" t="s">
        <v>17</v>
      </c>
      <c r="E10441" s="33" t="s">
        <v>212</v>
      </c>
      <c r="F10441" s="33" t="s">
        <v>213</v>
      </c>
      <c r="G10441" s="33" t="s">
        <v>20</v>
      </c>
      <c r="H10441" s="35">
        <v>46</v>
      </c>
      <c r="I10441" s="33" t="s">
        <v>21</v>
      </c>
      <c r="J10441" s="42">
        <v>44907</v>
      </c>
      <c r="K10441" s="33" t="s">
        <v>22</v>
      </c>
    </row>
    <row r="10442" spans="1:11">
      <c r="A10442" s="30" t="s">
        <v>23843</v>
      </c>
      <c r="B10442" s="30" t="s">
        <v>23844</v>
      </c>
      <c r="C10442" s="30" t="s">
        <v>1112</v>
      </c>
      <c r="D10442" s="30" t="s">
        <v>17</v>
      </c>
      <c r="E10442" s="30" t="s">
        <v>26</v>
      </c>
      <c r="F10442" s="30" t="s">
        <v>27</v>
      </c>
      <c r="G10442" s="30" t="s">
        <v>20</v>
      </c>
      <c r="H10442" s="32">
        <v>40</v>
      </c>
      <c r="I10442" s="30" t="s">
        <v>21</v>
      </c>
      <c r="J10442" s="41">
        <v>44806</v>
      </c>
      <c r="K10442" s="30" t="s">
        <v>22</v>
      </c>
    </row>
    <row r="10443" spans="1:11">
      <c r="A10443" s="33" t="s">
        <v>23845</v>
      </c>
      <c r="B10443" s="33" t="s">
        <v>23846</v>
      </c>
      <c r="C10443" s="33" t="s">
        <v>23847</v>
      </c>
      <c r="D10443" s="33" t="s">
        <v>17</v>
      </c>
      <c r="E10443" s="33" t="s">
        <v>18</v>
      </c>
      <c r="F10443" s="33" t="s">
        <v>19</v>
      </c>
      <c r="G10443" s="33" t="s">
        <v>140</v>
      </c>
      <c r="H10443" s="35">
        <v>750</v>
      </c>
      <c r="I10443" s="33" t="s">
        <v>51</v>
      </c>
      <c r="J10443" s="42">
        <v>44784</v>
      </c>
      <c r="K10443" s="33" t="s">
        <v>22</v>
      </c>
    </row>
    <row r="10444" spans="1:11">
      <c r="A10444" s="30" t="s">
        <v>23848</v>
      </c>
      <c r="B10444" s="30" t="s">
        <v>23849</v>
      </c>
      <c r="C10444" s="30" t="s">
        <v>2562</v>
      </c>
      <c r="D10444" s="30" t="s">
        <v>17</v>
      </c>
      <c r="E10444" s="30" t="s">
        <v>18</v>
      </c>
      <c r="F10444" s="30" t="s">
        <v>19</v>
      </c>
      <c r="G10444" s="30" t="s">
        <v>20</v>
      </c>
      <c r="H10444" s="32">
        <v>180</v>
      </c>
      <c r="I10444" s="30" t="s">
        <v>21</v>
      </c>
      <c r="J10444" s="41">
        <v>44782</v>
      </c>
      <c r="K10444" s="30" t="s">
        <v>22</v>
      </c>
    </row>
    <row r="10445" spans="1:11">
      <c r="A10445" s="33" t="s">
        <v>23850</v>
      </c>
      <c r="B10445" s="33" t="s">
        <v>23851</v>
      </c>
      <c r="C10445" s="33" t="s">
        <v>23852</v>
      </c>
      <c r="D10445" s="33" t="s">
        <v>17</v>
      </c>
      <c r="E10445" s="33" t="s">
        <v>26</v>
      </c>
      <c r="F10445" s="33" t="s">
        <v>27</v>
      </c>
      <c r="G10445" s="33" t="s">
        <v>20</v>
      </c>
      <c r="H10445" s="35">
        <v>68</v>
      </c>
      <c r="I10445" s="33" t="s">
        <v>21</v>
      </c>
      <c r="J10445" s="42">
        <v>44807</v>
      </c>
      <c r="K10445" s="33" t="s">
        <v>22</v>
      </c>
    </row>
    <row r="10446" spans="1:11">
      <c r="A10446" s="30" t="s">
        <v>23853</v>
      </c>
      <c r="B10446" s="30" t="s">
        <v>23854</v>
      </c>
      <c r="C10446" s="30" t="s">
        <v>23855</v>
      </c>
      <c r="D10446" s="30" t="s">
        <v>17</v>
      </c>
      <c r="E10446" s="30" t="s">
        <v>31</v>
      </c>
      <c r="F10446" s="30" t="s">
        <v>32</v>
      </c>
      <c r="G10446" s="30" t="s">
        <v>20</v>
      </c>
      <c r="H10446" s="32">
        <v>8</v>
      </c>
      <c r="I10446" s="30" t="s">
        <v>21</v>
      </c>
      <c r="J10446" s="41">
        <v>44882</v>
      </c>
      <c r="K10446" s="30" t="s">
        <v>22</v>
      </c>
    </row>
    <row r="10447" spans="1:11">
      <c r="A10447" s="33" t="s">
        <v>23856</v>
      </c>
      <c r="B10447" s="33" t="s">
        <v>23857</v>
      </c>
      <c r="C10447" s="33" t="s">
        <v>187</v>
      </c>
      <c r="D10447" s="33" t="s">
        <v>17</v>
      </c>
      <c r="E10447" s="33" t="s">
        <v>26</v>
      </c>
      <c r="F10447" s="33" t="s">
        <v>27</v>
      </c>
      <c r="G10447" s="33" t="s">
        <v>50</v>
      </c>
      <c r="H10447" s="35">
        <v>38</v>
      </c>
      <c r="I10447" s="33" t="s">
        <v>51</v>
      </c>
      <c r="J10447" s="42">
        <v>44566</v>
      </c>
      <c r="K10447" s="33" t="s">
        <v>22</v>
      </c>
    </row>
    <row r="10448" spans="1:11">
      <c r="A10448" s="30" t="s">
        <v>23858</v>
      </c>
      <c r="B10448" s="30" t="s">
        <v>23859</v>
      </c>
      <c r="C10448" s="30" t="s">
        <v>3013</v>
      </c>
      <c r="D10448" s="30" t="s">
        <v>17</v>
      </c>
      <c r="E10448" s="30" t="s">
        <v>26</v>
      </c>
      <c r="F10448" s="30" t="s">
        <v>27</v>
      </c>
      <c r="G10448" s="30" t="s">
        <v>20</v>
      </c>
      <c r="H10448" s="32">
        <v>84</v>
      </c>
      <c r="I10448" s="30" t="s">
        <v>21</v>
      </c>
      <c r="J10448" s="41">
        <v>44897</v>
      </c>
      <c r="K10448" s="30" t="s">
        <v>22</v>
      </c>
    </row>
    <row r="10449" spans="1:11">
      <c r="A10449" s="33" t="s">
        <v>23860</v>
      </c>
      <c r="B10449" s="33" t="s">
        <v>23861</v>
      </c>
      <c r="C10449" s="33" t="s">
        <v>96</v>
      </c>
      <c r="D10449" s="33" t="s">
        <v>17</v>
      </c>
      <c r="E10449" s="33" t="s">
        <v>26</v>
      </c>
      <c r="F10449" s="33" t="s">
        <v>27</v>
      </c>
      <c r="G10449" s="33" t="s">
        <v>158</v>
      </c>
      <c r="H10449" s="35">
        <v>59</v>
      </c>
      <c r="I10449" s="33" t="s">
        <v>51</v>
      </c>
      <c r="J10449" s="42">
        <v>44909</v>
      </c>
      <c r="K10449" s="33" t="s">
        <v>22</v>
      </c>
    </row>
    <row r="10450" spans="1:11">
      <c r="A10450" s="30" t="s">
        <v>23862</v>
      </c>
      <c r="B10450" s="30" t="s">
        <v>23863</v>
      </c>
      <c r="C10450" s="30" t="s">
        <v>684</v>
      </c>
      <c r="D10450" s="30" t="s">
        <v>17</v>
      </c>
      <c r="E10450" s="30" t="s">
        <v>26</v>
      </c>
      <c r="F10450" s="30" t="s">
        <v>27</v>
      </c>
      <c r="G10450" s="30" t="s">
        <v>20</v>
      </c>
      <c r="H10450" s="32">
        <v>16</v>
      </c>
      <c r="I10450" s="30" t="s">
        <v>21</v>
      </c>
      <c r="J10450" s="41">
        <v>44719</v>
      </c>
      <c r="K10450" s="30" t="s">
        <v>22</v>
      </c>
    </row>
    <row r="10451" spans="1:11">
      <c r="A10451" s="33" t="s">
        <v>23864</v>
      </c>
      <c r="B10451" s="33" t="s">
        <v>23865</v>
      </c>
      <c r="C10451" s="33" t="s">
        <v>23866</v>
      </c>
      <c r="D10451" s="33" t="s">
        <v>17</v>
      </c>
      <c r="E10451" s="33" t="s">
        <v>31</v>
      </c>
      <c r="F10451" s="33" t="s">
        <v>32</v>
      </c>
      <c r="G10451" s="33" t="s">
        <v>106</v>
      </c>
      <c r="H10451" s="35">
        <v>3</v>
      </c>
      <c r="I10451" s="33" t="s">
        <v>21</v>
      </c>
      <c r="J10451" s="42">
        <v>44574</v>
      </c>
      <c r="K10451" s="33" t="s">
        <v>22</v>
      </c>
    </row>
    <row r="10452" spans="1:11">
      <c r="A10452" s="30" t="s">
        <v>23867</v>
      </c>
      <c r="B10452" s="30" t="s">
        <v>23868</v>
      </c>
      <c r="C10452" s="30" t="s">
        <v>5229</v>
      </c>
      <c r="D10452" s="30" t="s">
        <v>17</v>
      </c>
      <c r="E10452" s="30" t="s">
        <v>18</v>
      </c>
      <c r="F10452" s="30" t="s">
        <v>19</v>
      </c>
      <c r="G10452" s="30" t="s">
        <v>20</v>
      </c>
      <c r="H10452" s="32">
        <v>705</v>
      </c>
      <c r="I10452" s="30" t="s">
        <v>21</v>
      </c>
      <c r="J10452" s="41">
        <v>44764</v>
      </c>
      <c r="K10452" s="30" t="s">
        <v>22</v>
      </c>
    </row>
    <row r="10453" spans="1:11">
      <c r="A10453" s="33" t="s">
        <v>23869</v>
      </c>
      <c r="B10453" s="33" t="s">
        <v>23870</v>
      </c>
      <c r="C10453" s="33" t="s">
        <v>6962</v>
      </c>
      <c r="D10453" s="33" t="s">
        <v>17</v>
      </c>
      <c r="E10453" s="33" t="s">
        <v>18</v>
      </c>
      <c r="F10453" s="33" t="s">
        <v>19</v>
      </c>
      <c r="G10453" s="33" t="s">
        <v>158</v>
      </c>
      <c r="H10453" s="35">
        <v>997</v>
      </c>
      <c r="I10453" s="33" t="s">
        <v>21</v>
      </c>
      <c r="J10453" s="42">
        <v>44900</v>
      </c>
      <c r="K10453" s="33" t="s">
        <v>22</v>
      </c>
    </row>
    <row r="10454" spans="1:11">
      <c r="A10454" s="30" t="s">
        <v>23871</v>
      </c>
      <c r="B10454" s="30" t="s">
        <v>23872</v>
      </c>
      <c r="C10454" s="30" t="s">
        <v>2472</v>
      </c>
      <c r="D10454" s="30" t="s">
        <v>17</v>
      </c>
      <c r="E10454" s="30" t="s">
        <v>18</v>
      </c>
      <c r="F10454" s="30" t="s">
        <v>19</v>
      </c>
      <c r="G10454" s="30" t="s">
        <v>20</v>
      </c>
      <c r="H10454" s="32">
        <v>3317</v>
      </c>
      <c r="I10454" s="30" t="s">
        <v>21</v>
      </c>
      <c r="J10454" s="41">
        <v>44652</v>
      </c>
      <c r="K10454" s="30" t="s">
        <v>22</v>
      </c>
    </row>
    <row r="10455" spans="1:11">
      <c r="A10455" s="33" t="s">
        <v>23873</v>
      </c>
      <c r="B10455" s="33" t="s">
        <v>23874</v>
      </c>
      <c r="C10455" s="33" t="s">
        <v>23875</v>
      </c>
      <c r="D10455" s="33" t="s">
        <v>17</v>
      </c>
      <c r="E10455" s="33" t="s">
        <v>67</v>
      </c>
      <c r="F10455" s="33" t="s">
        <v>68</v>
      </c>
      <c r="G10455" s="33" t="s">
        <v>112</v>
      </c>
      <c r="H10455" s="35">
        <v>0</v>
      </c>
      <c r="I10455" s="33" t="s">
        <v>21</v>
      </c>
      <c r="J10455" s="42">
        <v>44835</v>
      </c>
      <c r="K10455" s="33" t="s">
        <v>22</v>
      </c>
    </row>
    <row r="10456" spans="1:11">
      <c r="A10456" s="30" t="s">
        <v>23876</v>
      </c>
      <c r="B10456" s="30" t="s">
        <v>23877</v>
      </c>
      <c r="C10456" s="30" t="s">
        <v>701</v>
      </c>
      <c r="D10456" s="30" t="s">
        <v>17</v>
      </c>
      <c r="E10456" s="30" t="s">
        <v>31</v>
      </c>
      <c r="F10456" s="30" t="s">
        <v>32</v>
      </c>
      <c r="G10456" s="30" t="s">
        <v>69</v>
      </c>
      <c r="H10456" s="32">
        <v>200</v>
      </c>
      <c r="I10456" s="30" t="s">
        <v>51</v>
      </c>
      <c r="J10456" s="41">
        <v>44602</v>
      </c>
      <c r="K10456" s="30" t="s">
        <v>22</v>
      </c>
    </row>
    <row r="10457" spans="1:11">
      <c r="A10457" s="33" t="s">
        <v>23878</v>
      </c>
      <c r="B10457" s="33" t="s">
        <v>23879</v>
      </c>
      <c r="C10457" s="33" t="s">
        <v>75</v>
      </c>
      <c r="D10457" s="33" t="s">
        <v>17</v>
      </c>
      <c r="E10457" s="33" t="s">
        <v>67</v>
      </c>
      <c r="F10457" s="33" t="s">
        <v>68</v>
      </c>
      <c r="G10457" s="33" t="s">
        <v>20</v>
      </c>
      <c r="H10457" s="35">
        <v>83</v>
      </c>
      <c r="I10457" s="33" t="s">
        <v>21</v>
      </c>
      <c r="J10457" s="42">
        <v>44686</v>
      </c>
      <c r="K10457" s="33" t="s">
        <v>22</v>
      </c>
    </row>
    <row r="10458" spans="1:11">
      <c r="A10458" s="30" t="s">
        <v>23880</v>
      </c>
      <c r="B10458" s="30" t="s">
        <v>23881</v>
      </c>
      <c r="C10458" s="30" t="s">
        <v>149</v>
      </c>
      <c r="D10458" s="30" t="s">
        <v>17</v>
      </c>
      <c r="E10458" s="30" t="s">
        <v>31</v>
      </c>
      <c r="F10458" s="30" t="s">
        <v>32</v>
      </c>
      <c r="G10458" s="30" t="s">
        <v>106</v>
      </c>
      <c r="H10458" s="32">
        <v>31</v>
      </c>
      <c r="I10458" s="30" t="s">
        <v>21</v>
      </c>
      <c r="J10458" s="41">
        <v>44782</v>
      </c>
      <c r="K10458" s="30" t="s">
        <v>22</v>
      </c>
    </row>
    <row r="10459" spans="1:11">
      <c r="A10459" s="33" t="s">
        <v>23882</v>
      </c>
      <c r="B10459" s="33" t="s">
        <v>23883</v>
      </c>
      <c r="C10459" s="33" t="s">
        <v>149</v>
      </c>
      <c r="D10459" s="33" t="s">
        <v>17</v>
      </c>
      <c r="E10459" s="33" t="s">
        <v>26</v>
      </c>
      <c r="F10459" s="33" t="s">
        <v>27</v>
      </c>
      <c r="G10459" s="33" t="s">
        <v>20</v>
      </c>
      <c r="H10459" s="35">
        <v>36</v>
      </c>
      <c r="I10459" s="33" t="s">
        <v>21</v>
      </c>
      <c r="J10459" s="42">
        <v>44628</v>
      </c>
      <c r="K10459" s="33" t="s">
        <v>22</v>
      </c>
    </row>
    <row r="10460" spans="1:11">
      <c r="A10460" s="30" t="s">
        <v>23884</v>
      </c>
      <c r="B10460" s="30" t="s">
        <v>23885</v>
      </c>
      <c r="C10460" s="30" t="s">
        <v>14421</v>
      </c>
      <c r="D10460" s="30" t="s">
        <v>17</v>
      </c>
      <c r="E10460" s="30" t="s">
        <v>26</v>
      </c>
      <c r="F10460" s="30" t="s">
        <v>27</v>
      </c>
      <c r="G10460" s="30" t="s">
        <v>20</v>
      </c>
      <c r="H10460" s="32">
        <v>15</v>
      </c>
      <c r="I10460" s="30" t="s">
        <v>21</v>
      </c>
      <c r="J10460" s="41">
        <v>44893</v>
      </c>
      <c r="K10460" s="30" t="s">
        <v>22</v>
      </c>
    </row>
    <row r="10461" spans="1:11">
      <c r="A10461" s="33" t="s">
        <v>23886</v>
      </c>
      <c r="B10461" s="33" t="s">
        <v>23887</v>
      </c>
      <c r="C10461" s="33" t="s">
        <v>23888</v>
      </c>
      <c r="D10461" s="33" t="s">
        <v>17</v>
      </c>
      <c r="E10461" s="33" t="s">
        <v>18</v>
      </c>
      <c r="F10461" s="33" t="s">
        <v>19</v>
      </c>
      <c r="G10461" s="33" t="s">
        <v>106</v>
      </c>
      <c r="H10461" s="35">
        <v>68</v>
      </c>
      <c r="I10461" s="33" t="s">
        <v>21</v>
      </c>
      <c r="J10461" s="42">
        <v>44776</v>
      </c>
      <c r="K10461" s="33" t="s">
        <v>22</v>
      </c>
    </row>
    <row r="10462" spans="1:11">
      <c r="A10462" s="30" t="s">
        <v>23889</v>
      </c>
      <c r="B10462" s="30" t="s">
        <v>23890</v>
      </c>
      <c r="C10462" s="30" t="s">
        <v>23891</v>
      </c>
      <c r="D10462" s="30" t="s">
        <v>17</v>
      </c>
      <c r="E10462" s="30" t="s">
        <v>26</v>
      </c>
      <c r="F10462" s="30" t="s">
        <v>27</v>
      </c>
      <c r="G10462" s="30" t="s">
        <v>140</v>
      </c>
      <c r="H10462" s="32">
        <v>74</v>
      </c>
      <c r="I10462" s="30" t="s">
        <v>51</v>
      </c>
      <c r="J10462" s="41">
        <v>44564</v>
      </c>
      <c r="K10462" s="30" t="s">
        <v>22</v>
      </c>
    </row>
    <row r="10463" spans="1:11">
      <c r="A10463" s="33" t="s">
        <v>23892</v>
      </c>
      <c r="B10463" s="33" t="s">
        <v>23893</v>
      </c>
      <c r="C10463" s="33" t="s">
        <v>7035</v>
      </c>
      <c r="D10463" s="33" t="s">
        <v>17</v>
      </c>
      <c r="E10463" s="33" t="s">
        <v>31</v>
      </c>
      <c r="F10463" s="33" t="s">
        <v>32</v>
      </c>
      <c r="G10463" s="33" t="s">
        <v>20</v>
      </c>
      <c r="H10463" s="35">
        <v>39</v>
      </c>
      <c r="I10463" s="33" t="s">
        <v>21</v>
      </c>
      <c r="J10463" s="42">
        <v>44917</v>
      </c>
      <c r="K10463" s="33" t="s">
        <v>22</v>
      </c>
    </row>
    <row r="10464" spans="1:11">
      <c r="A10464" s="30" t="s">
        <v>23894</v>
      </c>
      <c r="B10464" s="30" t="s">
        <v>23895</v>
      </c>
      <c r="C10464" s="30" t="s">
        <v>329</v>
      </c>
      <c r="D10464" s="30" t="s">
        <v>17</v>
      </c>
      <c r="E10464" s="30" t="s">
        <v>31</v>
      </c>
      <c r="F10464" s="30" t="s">
        <v>32</v>
      </c>
      <c r="G10464" s="30" t="s">
        <v>20</v>
      </c>
      <c r="H10464" s="32">
        <v>150</v>
      </c>
      <c r="I10464" s="30" t="s">
        <v>21</v>
      </c>
      <c r="J10464" s="41">
        <v>44748</v>
      </c>
      <c r="K10464" s="30" t="s">
        <v>22</v>
      </c>
    </row>
    <row r="10465" spans="1:11">
      <c r="A10465" s="33" t="s">
        <v>23896</v>
      </c>
      <c r="B10465" s="33" t="s">
        <v>23897</v>
      </c>
      <c r="C10465" s="33" t="s">
        <v>23898</v>
      </c>
      <c r="D10465" s="33" t="s">
        <v>17</v>
      </c>
      <c r="E10465" s="33" t="s">
        <v>67</v>
      </c>
      <c r="F10465" s="33" t="s">
        <v>68</v>
      </c>
      <c r="G10465" s="33" t="s">
        <v>20</v>
      </c>
      <c r="H10465" s="35">
        <v>20</v>
      </c>
      <c r="I10465" s="33" t="s">
        <v>21</v>
      </c>
      <c r="J10465" s="42">
        <v>44896</v>
      </c>
      <c r="K10465" s="33" t="s">
        <v>22</v>
      </c>
    </row>
    <row r="10466" spans="1:11">
      <c r="A10466" s="30" t="s">
        <v>23899</v>
      </c>
      <c r="B10466" s="30" t="s">
        <v>23900</v>
      </c>
      <c r="C10466" s="30" t="s">
        <v>5093</v>
      </c>
      <c r="D10466" s="30" t="s">
        <v>17</v>
      </c>
      <c r="E10466" s="30" t="s">
        <v>18</v>
      </c>
      <c r="F10466" s="30" t="s">
        <v>19</v>
      </c>
      <c r="G10466" s="30" t="s">
        <v>20</v>
      </c>
      <c r="H10466" s="32">
        <v>268</v>
      </c>
      <c r="I10466" s="30" t="s">
        <v>21</v>
      </c>
      <c r="J10466" s="41">
        <v>44830</v>
      </c>
      <c r="K10466" s="30" t="s">
        <v>22</v>
      </c>
    </row>
    <row r="10467" spans="1:11">
      <c r="A10467" s="33" t="s">
        <v>23901</v>
      </c>
      <c r="B10467" s="33" t="s">
        <v>23902</v>
      </c>
      <c r="C10467" s="33" t="s">
        <v>1543</v>
      </c>
      <c r="D10467" s="33" t="s">
        <v>17</v>
      </c>
      <c r="E10467" s="33" t="s">
        <v>26</v>
      </c>
      <c r="F10467" s="33" t="s">
        <v>27</v>
      </c>
      <c r="G10467" s="33" t="s">
        <v>20</v>
      </c>
      <c r="H10467" s="35">
        <v>20</v>
      </c>
      <c r="I10467" s="33" t="s">
        <v>21</v>
      </c>
      <c r="J10467" s="42">
        <v>44790</v>
      </c>
      <c r="K10467" s="33" t="s">
        <v>22</v>
      </c>
    </row>
    <row r="10468" spans="1:11">
      <c r="A10468" s="30" t="s">
        <v>23903</v>
      </c>
      <c r="B10468" s="30" t="s">
        <v>23904</v>
      </c>
      <c r="C10468" s="30" t="s">
        <v>130</v>
      </c>
      <c r="D10468" s="30" t="s">
        <v>17</v>
      </c>
      <c r="E10468" s="30" t="s">
        <v>18</v>
      </c>
      <c r="F10468" s="30" t="s">
        <v>19</v>
      </c>
      <c r="G10468" s="30" t="s">
        <v>112</v>
      </c>
      <c r="H10468" s="32">
        <v>0</v>
      </c>
      <c r="I10468" s="30" t="s">
        <v>21</v>
      </c>
      <c r="J10468" s="41">
        <v>44925</v>
      </c>
      <c r="K10468" s="30" t="s">
        <v>22</v>
      </c>
    </row>
    <row r="10469" spans="1:11">
      <c r="A10469" s="33" t="s">
        <v>23905</v>
      </c>
      <c r="B10469" s="33" t="s">
        <v>23906</v>
      </c>
      <c r="C10469" s="33" t="s">
        <v>23907</v>
      </c>
      <c r="D10469" s="33" t="s">
        <v>17</v>
      </c>
      <c r="E10469" s="33" t="s">
        <v>26</v>
      </c>
      <c r="F10469" s="33" t="s">
        <v>27</v>
      </c>
      <c r="G10469" s="33" t="s">
        <v>50</v>
      </c>
      <c r="H10469" s="35">
        <v>255</v>
      </c>
      <c r="I10469" s="33" t="s">
        <v>51</v>
      </c>
      <c r="J10469" s="42">
        <v>44626</v>
      </c>
      <c r="K10469" s="33" t="s">
        <v>22</v>
      </c>
    </row>
    <row r="10470" spans="1:11">
      <c r="A10470" s="30" t="s">
        <v>23908</v>
      </c>
      <c r="B10470" s="30" t="s">
        <v>23909</v>
      </c>
      <c r="C10470" s="30" t="s">
        <v>23910</v>
      </c>
      <c r="D10470" s="30" t="s">
        <v>17</v>
      </c>
      <c r="E10470" s="30" t="s">
        <v>18</v>
      </c>
      <c r="F10470" s="30" t="s">
        <v>19</v>
      </c>
      <c r="G10470" s="30" t="s">
        <v>20</v>
      </c>
      <c r="H10470" s="32">
        <v>240</v>
      </c>
      <c r="I10470" s="30" t="s">
        <v>21</v>
      </c>
      <c r="J10470" s="41">
        <v>44663</v>
      </c>
      <c r="K10470" s="30" t="s">
        <v>22</v>
      </c>
    </row>
    <row r="10471" spans="1:11">
      <c r="A10471" s="33" t="s">
        <v>23911</v>
      </c>
      <c r="B10471" s="33" t="s">
        <v>23912</v>
      </c>
      <c r="C10471" s="33" t="s">
        <v>318</v>
      </c>
      <c r="D10471" s="33" t="s">
        <v>17</v>
      </c>
      <c r="E10471" s="33" t="s">
        <v>67</v>
      </c>
      <c r="F10471" s="33" t="s">
        <v>68</v>
      </c>
      <c r="G10471" s="33" t="s">
        <v>106</v>
      </c>
      <c r="H10471" s="35">
        <v>260</v>
      </c>
      <c r="I10471" s="33" t="s">
        <v>21</v>
      </c>
      <c r="J10471" s="42">
        <v>44827</v>
      </c>
      <c r="K10471" s="33" t="s">
        <v>22</v>
      </c>
    </row>
    <row r="10472" spans="1:11">
      <c r="A10472" s="30" t="s">
        <v>23913</v>
      </c>
      <c r="B10472" s="30" t="s">
        <v>23914</v>
      </c>
      <c r="C10472" s="30" t="s">
        <v>109</v>
      </c>
      <c r="D10472" s="30" t="s">
        <v>17</v>
      </c>
      <c r="E10472" s="30" t="s">
        <v>26</v>
      </c>
      <c r="F10472" s="30" t="s">
        <v>27</v>
      </c>
      <c r="G10472" s="30" t="s">
        <v>106</v>
      </c>
      <c r="H10472" s="32">
        <v>12</v>
      </c>
      <c r="I10472" s="30" t="s">
        <v>21</v>
      </c>
      <c r="J10472" s="41">
        <v>44922</v>
      </c>
      <c r="K10472" s="30" t="s">
        <v>22</v>
      </c>
    </row>
    <row r="10473" spans="1:11">
      <c r="A10473" s="33" t="s">
        <v>23915</v>
      </c>
      <c r="B10473" s="33" t="s">
        <v>23916</v>
      </c>
      <c r="C10473" s="33" t="s">
        <v>11599</v>
      </c>
      <c r="D10473" s="33" t="s">
        <v>17</v>
      </c>
      <c r="E10473" s="33" t="s">
        <v>45</v>
      </c>
      <c r="F10473" s="33" t="s">
        <v>46</v>
      </c>
      <c r="G10473" s="33" t="s">
        <v>20</v>
      </c>
      <c r="H10473" s="35">
        <v>129</v>
      </c>
      <c r="I10473" s="33" t="s">
        <v>21</v>
      </c>
      <c r="J10473" s="42">
        <v>44602</v>
      </c>
      <c r="K10473" s="33" t="s">
        <v>22</v>
      </c>
    </row>
    <row r="10474" spans="1:11">
      <c r="A10474" s="30" t="s">
        <v>23917</v>
      </c>
      <c r="B10474" s="30" t="s">
        <v>23918</v>
      </c>
      <c r="C10474" s="30" t="s">
        <v>2022</v>
      </c>
      <c r="D10474" s="30" t="s">
        <v>17</v>
      </c>
      <c r="E10474" s="30" t="s">
        <v>26</v>
      </c>
      <c r="F10474" s="30" t="s">
        <v>27</v>
      </c>
      <c r="G10474" s="30" t="s">
        <v>20</v>
      </c>
      <c r="H10474" s="32">
        <v>40</v>
      </c>
      <c r="I10474" s="30" t="s">
        <v>21</v>
      </c>
      <c r="J10474" s="41">
        <v>44596</v>
      </c>
      <c r="K10474" s="30" t="s">
        <v>22</v>
      </c>
    </row>
    <row r="10475" spans="1:11">
      <c r="A10475" s="33" t="s">
        <v>23919</v>
      </c>
      <c r="B10475" s="33" t="s">
        <v>23920</v>
      </c>
      <c r="C10475" s="33" t="s">
        <v>11068</v>
      </c>
      <c r="D10475" s="33" t="s">
        <v>17</v>
      </c>
      <c r="E10475" s="33" t="s">
        <v>26</v>
      </c>
      <c r="F10475" s="33" t="s">
        <v>27</v>
      </c>
      <c r="G10475" s="33" t="s">
        <v>20</v>
      </c>
      <c r="H10475" s="35">
        <v>23</v>
      </c>
      <c r="I10475" s="33" t="s">
        <v>21</v>
      </c>
      <c r="J10475" s="42">
        <v>44657</v>
      </c>
      <c r="K10475" s="33" t="s">
        <v>22</v>
      </c>
    </row>
    <row r="10476" spans="1:11">
      <c r="A10476" s="30" t="s">
        <v>23921</v>
      </c>
      <c r="B10476" s="30" t="s">
        <v>23922</v>
      </c>
      <c r="C10476" s="30" t="s">
        <v>23238</v>
      </c>
      <c r="D10476" s="30" t="s">
        <v>17</v>
      </c>
      <c r="E10476" s="30" t="s">
        <v>330</v>
      </c>
      <c r="F10476" s="30" t="s">
        <v>331</v>
      </c>
      <c r="G10476" s="30" t="s">
        <v>20</v>
      </c>
      <c r="H10476" s="32">
        <v>32</v>
      </c>
      <c r="I10476" s="30" t="s">
        <v>21</v>
      </c>
      <c r="J10476" s="41">
        <v>44769</v>
      </c>
      <c r="K10476" s="30" t="s">
        <v>22</v>
      </c>
    </row>
    <row r="10477" spans="1:11">
      <c r="A10477" s="33" t="s">
        <v>23923</v>
      </c>
      <c r="B10477" s="33" t="s">
        <v>23924</v>
      </c>
      <c r="C10477" s="33" t="s">
        <v>3594</v>
      </c>
      <c r="D10477" s="33" t="s">
        <v>17</v>
      </c>
      <c r="E10477" s="33" t="s">
        <v>18</v>
      </c>
      <c r="F10477" s="33" t="s">
        <v>19</v>
      </c>
      <c r="G10477" s="33" t="s">
        <v>158</v>
      </c>
      <c r="H10477" s="35">
        <v>30</v>
      </c>
      <c r="I10477" s="33" t="s">
        <v>21</v>
      </c>
      <c r="J10477" s="42">
        <v>44718</v>
      </c>
      <c r="K10477" s="33" t="s">
        <v>22</v>
      </c>
    </row>
    <row r="10478" spans="1:11">
      <c r="A10478" s="30" t="s">
        <v>23925</v>
      </c>
      <c r="B10478" s="30" t="s">
        <v>23926</v>
      </c>
      <c r="C10478" s="30" t="s">
        <v>7328</v>
      </c>
      <c r="D10478" s="30" t="s">
        <v>17</v>
      </c>
      <c r="E10478" s="30" t="s">
        <v>31</v>
      </c>
      <c r="F10478" s="30" t="s">
        <v>32</v>
      </c>
      <c r="G10478" s="30" t="s">
        <v>2613</v>
      </c>
      <c r="H10478" s="32">
        <v>225</v>
      </c>
      <c r="I10478" s="30" t="s">
        <v>51</v>
      </c>
      <c r="J10478" s="41">
        <v>44754</v>
      </c>
      <c r="K10478" s="30" t="s">
        <v>22</v>
      </c>
    </row>
    <row r="10479" spans="1:11">
      <c r="A10479" s="33" t="s">
        <v>23927</v>
      </c>
      <c r="B10479" s="33" t="s">
        <v>23928</v>
      </c>
      <c r="C10479" s="33" t="s">
        <v>23929</v>
      </c>
      <c r="D10479" s="33" t="s">
        <v>17</v>
      </c>
      <c r="E10479" s="33" t="s">
        <v>26</v>
      </c>
      <c r="F10479" s="33" t="s">
        <v>27</v>
      </c>
      <c r="G10479" s="33" t="s">
        <v>20</v>
      </c>
      <c r="H10479" s="35">
        <v>50</v>
      </c>
      <c r="I10479" s="33" t="s">
        <v>21</v>
      </c>
      <c r="J10479" s="42">
        <v>44818</v>
      </c>
      <c r="K10479" s="33" t="s">
        <v>22</v>
      </c>
    </row>
    <row r="10480" spans="1:11">
      <c r="A10480" s="30" t="s">
        <v>23930</v>
      </c>
      <c r="B10480" s="30" t="s">
        <v>23931</v>
      </c>
      <c r="C10480" s="30" t="s">
        <v>1151</v>
      </c>
      <c r="D10480" s="30" t="s">
        <v>17</v>
      </c>
      <c r="E10480" s="30" t="s">
        <v>67</v>
      </c>
      <c r="F10480" s="30" t="s">
        <v>68</v>
      </c>
      <c r="G10480" s="30" t="s">
        <v>20</v>
      </c>
      <c r="H10480" s="32">
        <v>127</v>
      </c>
      <c r="I10480" s="30" t="s">
        <v>21</v>
      </c>
      <c r="J10480" s="41">
        <v>44741</v>
      </c>
      <c r="K10480" s="30" t="s">
        <v>22</v>
      </c>
    </row>
    <row r="10481" spans="1:11">
      <c r="A10481" s="33" t="s">
        <v>23932</v>
      </c>
      <c r="B10481" s="33" t="s">
        <v>23933</v>
      </c>
      <c r="C10481" s="33" t="s">
        <v>18998</v>
      </c>
      <c r="D10481" s="33" t="s">
        <v>17</v>
      </c>
      <c r="E10481" s="33" t="s">
        <v>212</v>
      </c>
      <c r="F10481" s="33" t="s">
        <v>213</v>
      </c>
      <c r="G10481" s="33" t="s">
        <v>106</v>
      </c>
      <c r="H10481" s="35">
        <v>34</v>
      </c>
      <c r="I10481" s="33" t="s">
        <v>21</v>
      </c>
      <c r="J10481" s="42">
        <v>44582</v>
      </c>
      <c r="K10481" s="33" t="s">
        <v>22</v>
      </c>
    </row>
    <row r="10482" spans="1:11">
      <c r="A10482" s="30" t="s">
        <v>23934</v>
      </c>
      <c r="B10482" s="30" t="s">
        <v>23935</v>
      </c>
      <c r="C10482" s="30" t="s">
        <v>93</v>
      </c>
      <c r="D10482" s="30" t="s">
        <v>17</v>
      </c>
      <c r="E10482" s="30" t="s">
        <v>26</v>
      </c>
      <c r="F10482" s="30" t="s">
        <v>27</v>
      </c>
      <c r="G10482" s="30" t="s">
        <v>158</v>
      </c>
      <c r="H10482" s="32">
        <v>288</v>
      </c>
      <c r="I10482" s="30" t="s">
        <v>21</v>
      </c>
      <c r="J10482" s="41">
        <v>44900</v>
      </c>
      <c r="K10482" s="30" t="s">
        <v>22</v>
      </c>
    </row>
    <row r="10483" spans="1:11">
      <c r="A10483" s="33" t="s">
        <v>23936</v>
      </c>
      <c r="B10483" s="33" t="s">
        <v>23937</v>
      </c>
      <c r="C10483" s="33" t="s">
        <v>2934</v>
      </c>
      <c r="D10483" s="33" t="s">
        <v>17</v>
      </c>
      <c r="E10483" s="33" t="s">
        <v>26</v>
      </c>
      <c r="F10483" s="33" t="s">
        <v>27</v>
      </c>
      <c r="G10483" s="33" t="s">
        <v>50</v>
      </c>
      <c r="H10483" s="35">
        <v>20</v>
      </c>
      <c r="I10483" s="33" t="s">
        <v>51</v>
      </c>
      <c r="J10483" s="42">
        <v>44713</v>
      </c>
      <c r="K10483" s="33" t="s">
        <v>22</v>
      </c>
    </row>
    <row r="10484" spans="1:11">
      <c r="A10484" s="30" t="s">
        <v>23938</v>
      </c>
      <c r="B10484" s="30" t="s">
        <v>23939</v>
      </c>
      <c r="C10484" s="30" t="s">
        <v>17917</v>
      </c>
      <c r="D10484" s="30" t="s">
        <v>17</v>
      </c>
      <c r="E10484" s="30" t="s">
        <v>31</v>
      </c>
      <c r="F10484" s="30" t="s">
        <v>32</v>
      </c>
      <c r="G10484" s="30" t="s">
        <v>158</v>
      </c>
      <c r="H10484" s="32">
        <v>60</v>
      </c>
      <c r="I10484" s="30" t="s">
        <v>51</v>
      </c>
      <c r="J10484" s="41">
        <v>44781</v>
      </c>
      <c r="K10484" s="30" t="s">
        <v>22</v>
      </c>
    </row>
    <row r="10485" spans="1:11">
      <c r="A10485" s="33" t="s">
        <v>23940</v>
      </c>
      <c r="B10485" s="33" t="s">
        <v>23941</v>
      </c>
      <c r="C10485" s="33" t="s">
        <v>1313</v>
      </c>
      <c r="D10485" s="33" t="s">
        <v>17</v>
      </c>
      <c r="E10485" s="33" t="s">
        <v>26</v>
      </c>
      <c r="F10485" s="33" t="s">
        <v>27</v>
      </c>
      <c r="G10485" s="33" t="s">
        <v>112</v>
      </c>
      <c r="H10485" s="35">
        <v>0</v>
      </c>
      <c r="I10485" s="33" t="s">
        <v>21</v>
      </c>
      <c r="J10485" s="42">
        <v>44896</v>
      </c>
      <c r="K10485" s="33" t="s">
        <v>22</v>
      </c>
    </row>
    <row r="10486" spans="1:11">
      <c r="A10486" s="30" t="s">
        <v>23942</v>
      </c>
      <c r="B10486" s="30" t="s">
        <v>23943</v>
      </c>
      <c r="C10486" s="30" t="s">
        <v>387</v>
      </c>
      <c r="D10486" s="30" t="s">
        <v>17</v>
      </c>
      <c r="E10486" s="30" t="s">
        <v>67</v>
      </c>
      <c r="F10486" s="30" t="s">
        <v>68</v>
      </c>
      <c r="G10486" s="30" t="s">
        <v>140</v>
      </c>
      <c r="H10486" s="32">
        <v>42</v>
      </c>
      <c r="I10486" s="30" t="s">
        <v>51</v>
      </c>
      <c r="J10486" s="41">
        <v>44914</v>
      </c>
      <c r="K10486" s="30" t="s">
        <v>22</v>
      </c>
    </row>
    <row r="10487" spans="1:11">
      <c r="A10487" s="33" t="s">
        <v>23944</v>
      </c>
      <c r="B10487" s="33" t="s">
        <v>23945</v>
      </c>
      <c r="C10487" s="33" t="s">
        <v>96</v>
      </c>
      <c r="D10487" s="33" t="s">
        <v>17</v>
      </c>
      <c r="E10487" s="33" t="s">
        <v>26</v>
      </c>
      <c r="F10487" s="33" t="s">
        <v>27</v>
      </c>
      <c r="G10487" s="33" t="s">
        <v>112</v>
      </c>
      <c r="H10487" s="35">
        <v>0</v>
      </c>
      <c r="I10487" s="33" t="s">
        <v>21</v>
      </c>
      <c r="J10487" s="42">
        <v>44644</v>
      </c>
      <c r="K10487" s="33" t="s">
        <v>22</v>
      </c>
    </row>
    <row r="10488" spans="1:11">
      <c r="A10488" s="30" t="s">
        <v>23946</v>
      </c>
      <c r="B10488" s="30" t="s">
        <v>23947</v>
      </c>
      <c r="C10488" s="30" t="s">
        <v>102</v>
      </c>
      <c r="D10488" s="30" t="s">
        <v>17</v>
      </c>
      <c r="E10488" s="30" t="s">
        <v>18</v>
      </c>
      <c r="F10488" s="30" t="s">
        <v>19</v>
      </c>
      <c r="G10488" s="30" t="s">
        <v>20</v>
      </c>
      <c r="H10488" s="32">
        <v>513</v>
      </c>
      <c r="I10488" s="30" t="s">
        <v>21</v>
      </c>
      <c r="J10488" s="41">
        <v>44734</v>
      </c>
      <c r="K10488" s="30" t="s">
        <v>22</v>
      </c>
    </row>
    <row r="10489" spans="1:11">
      <c r="A10489" s="33" t="s">
        <v>23948</v>
      </c>
      <c r="B10489" s="33" t="s">
        <v>23949</v>
      </c>
      <c r="C10489" s="33" t="s">
        <v>60</v>
      </c>
      <c r="D10489" s="33" t="s">
        <v>17</v>
      </c>
      <c r="E10489" s="33" t="s">
        <v>18</v>
      </c>
      <c r="F10489" s="33" t="s">
        <v>19</v>
      </c>
      <c r="G10489" s="33" t="s">
        <v>158</v>
      </c>
      <c r="H10489" s="35">
        <v>13</v>
      </c>
      <c r="I10489" s="33" t="s">
        <v>21</v>
      </c>
      <c r="J10489" s="42">
        <v>44683</v>
      </c>
      <c r="K10489" s="33" t="s">
        <v>22</v>
      </c>
    </row>
    <row r="10490" spans="1:11">
      <c r="A10490" s="30" t="s">
        <v>23950</v>
      </c>
      <c r="B10490" s="30" t="s">
        <v>23951</v>
      </c>
      <c r="C10490" s="30" t="s">
        <v>8151</v>
      </c>
      <c r="D10490" s="30" t="s">
        <v>17</v>
      </c>
      <c r="E10490" s="30" t="s">
        <v>18</v>
      </c>
      <c r="F10490" s="30" t="s">
        <v>19</v>
      </c>
      <c r="G10490" s="30" t="s">
        <v>106</v>
      </c>
      <c r="H10490" s="32">
        <v>42</v>
      </c>
      <c r="I10490" s="30" t="s">
        <v>21</v>
      </c>
      <c r="J10490" s="41">
        <v>44672</v>
      </c>
      <c r="K10490" s="30" t="s">
        <v>22</v>
      </c>
    </row>
    <row r="10491" spans="1:11">
      <c r="A10491" s="33" t="s">
        <v>23952</v>
      </c>
      <c r="B10491" s="33" t="s">
        <v>23953</v>
      </c>
      <c r="C10491" s="33" t="s">
        <v>5842</v>
      </c>
      <c r="D10491" s="33" t="s">
        <v>17</v>
      </c>
      <c r="E10491" s="33" t="s">
        <v>26</v>
      </c>
      <c r="F10491" s="33" t="s">
        <v>27</v>
      </c>
      <c r="G10491" s="33" t="s">
        <v>20</v>
      </c>
      <c r="H10491" s="35">
        <v>26</v>
      </c>
      <c r="I10491" s="33" t="s">
        <v>21</v>
      </c>
      <c r="J10491" s="42">
        <v>44848</v>
      </c>
      <c r="K10491" s="33" t="s">
        <v>22</v>
      </c>
    </row>
    <row r="10492" spans="1:11">
      <c r="A10492" s="30" t="s">
        <v>23954</v>
      </c>
      <c r="B10492" s="30" t="s">
        <v>23955</v>
      </c>
      <c r="C10492" s="30" t="s">
        <v>23956</v>
      </c>
      <c r="D10492" s="30" t="s">
        <v>17</v>
      </c>
      <c r="E10492" s="30" t="s">
        <v>26</v>
      </c>
      <c r="F10492" s="30" t="s">
        <v>27</v>
      </c>
      <c r="G10492" s="30" t="s">
        <v>20</v>
      </c>
      <c r="H10492" s="32">
        <v>12</v>
      </c>
      <c r="I10492" s="30" t="s">
        <v>21</v>
      </c>
      <c r="J10492" s="41">
        <v>44881</v>
      </c>
      <c r="K10492" s="30" t="s">
        <v>22</v>
      </c>
    </row>
    <row r="10493" spans="1:11">
      <c r="A10493" s="33" t="s">
        <v>23957</v>
      </c>
      <c r="B10493" s="33" t="s">
        <v>23958</v>
      </c>
      <c r="C10493" s="33" t="s">
        <v>75</v>
      </c>
      <c r="D10493" s="33" t="s">
        <v>17</v>
      </c>
      <c r="E10493" s="33" t="s">
        <v>26</v>
      </c>
      <c r="F10493" s="33" t="s">
        <v>27</v>
      </c>
      <c r="G10493" s="33" t="s">
        <v>20</v>
      </c>
      <c r="H10493" s="35">
        <v>42</v>
      </c>
      <c r="I10493" s="33" t="s">
        <v>21</v>
      </c>
      <c r="J10493" s="42">
        <v>44694</v>
      </c>
      <c r="K10493" s="33" t="s">
        <v>22</v>
      </c>
    </row>
    <row r="10494" spans="1:11">
      <c r="A10494" s="30" t="s">
        <v>23959</v>
      </c>
      <c r="B10494" s="30" t="s">
        <v>23960</v>
      </c>
      <c r="C10494" s="30" t="s">
        <v>1469</v>
      </c>
      <c r="D10494" s="30" t="s">
        <v>17</v>
      </c>
      <c r="E10494" s="30" t="s">
        <v>45</v>
      </c>
      <c r="F10494" s="30" t="s">
        <v>46</v>
      </c>
      <c r="G10494" s="30" t="s">
        <v>20</v>
      </c>
      <c r="H10494" s="32">
        <v>258</v>
      </c>
      <c r="I10494" s="30" t="s">
        <v>21</v>
      </c>
      <c r="J10494" s="41">
        <v>44638</v>
      </c>
      <c r="K10494" s="30" t="s">
        <v>22</v>
      </c>
    </row>
    <row r="10495" spans="1:11">
      <c r="A10495" s="33" t="s">
        <v>23961</v>
      </c>
      <c r="B10495" s="33" t="s">
        <v>23962</v>
      </c>
      <c r="C10495" s="33" t="s">
        <v>9908</v>
      </c>
      <c r="D10495" s="33" t="s">
        <v>17</v>
      </c>
      <c r="E10495" s="33" t="s">
        <v>67</v>
      </c>
      <c r="F10495" s="33" t="s">
        <v>68</v>
      </c>
      <c r="G10495" s="33" t="s">
        <v>50</v>
      </c>
      <c r="H10495" s="35">
        <v>43</v>
      </c>
      <c r="I10495" s="33" t="s">
        <v>51</v>
      </c>
      <c r="J10495" s="42">
        <v>44882</v>
      </c>
      <c r="K10495" s="33" t="s">
        <v>22</v>
      </c>
    </row>
    <row r="10496" spans="1:11">
      <c r="A10496" s="30" t="s">
        <v>23963</v>
      </c>
      <c r="B10496" s="30" t="s">
        <v>23964</v>
      </c>
      <c r="C10496" s="30" t="s">
        <v>787</v>
      </c>
      <c r="D10496" s="30" t="s">
        <v>17</v>
      </c>
      <c r="E10496" s="30" t="s">
        <v>26</v>
      </c>
      <c r="F10496" s="30" t="s">
        <v>27</v>
      </c>
      <c r="G10496" s="30" t="s">
        <v>50</v>
      </c>
      <c r="H10496" s="32">
        <v>48</v>
      </c>
      <c r="I10496" s="30" t="s">
        <v>51</v>
      </c>
      <c r="J10496" s="41">
        <v>44884</v>
      </c>
      <c r="K10496" s="30" t="s">
        <v>22</v>
      </c>
    </row>
    <row r="10497" spans="1:11">
      <c r="A10497" s="33" t="s">
        <v>23965</v>
      </c>
      <c r="B10497" s="33" t="s">
        <v>23966</v>
      </c>
      <c r="C10497" s="33" t="s">
        <v>23967</v>
      </c>
      <c r="D10497" s="33" t="s">
        <v>17</v>
      </c>
      <c r="E10497" s="33" t="s">
        <v>26</v>
      </c>
      <c r="F10497" s="33" t="s">
        <v>27</v>
      </c>
      <c r="G10497" s="33" t="s">
        <v>112</v>
      </c>
      <c r="H10497" s="35">
        <v>0</v>
      </c>
      <c r="I10497" s="33" t="s">
        <v>21</v>
      </c>
      <c r="J10497" s="42">
        <v>44621</v>
      </c>
      <c r="K10497" s="33" t="s">
        <v>22</v>
      </c>
    </row>
    <row r="10498" spans="1:11">
      <c r="A10498" s="30" t="s">
        <v>23968</v>
      </c>
      <c r="B10498" s="30" t="s">
        <v>23969</v>
      </c>
      <c r="C10498" s="30" t="s">
        <v>6505</v>
      </c>
      <c r="D10498" s="30" t="s">
        <v>17</v>
      </c>
      <c r="E10498" s="30" t="s">
        <v>67</v>
      </c>
      <c r="F10498" s="30" t="s">
        <v>68</v>
      </c>
      <c r="G10498" s="30" t="s">
        <v>20</v>
      </c>
      <c r="H10498" s="32">
        <v>9</v>
      </c>
      <c r="I10498" s="30" t="s">
        <v>21</v>
      </c>
      <c r="J10498" s="41">
        <v>44774</v>
      </c>
      <c r="K10498" s="30" t="s">
        <v>22</v>
      </c>
    </row>
    <row r="10499" spans="1:11">
      <c r="A10499" s="33" t="s">
        <v>23970</v>
      </c>
      <c r="B10499" s="33" t="s">
        <v>23971</v>
      </c>
      <c r="C10499" s="33" t="s">
        <v>23972</v>
      </c>
      <c r="D10499" s="33" t="s">
        <v>17</v>
      </c>
      <c r="E10499" s="33" t="s">
        <v>18</v>
      </c>
      <c r="F10499" s="33" t="s">
        <v>19</v>
      </c>
      <c r="G10499" s="33" t="s">
        <v>140</v>
      </c>
      <c r="H10499" s="35">
        <v>7120</v>
      </c>
      <c r="I10499" s="33" t="s">
        <v>51</v>
      </c>
      <c r="J10499" s="42">
        <v>44851</v>
      </c>
      <c r="K10499" s="33" t="s">
        <v>22</v>
      </c>
    </row>
    <row r="10500" spans="1:11">
      <c r="A10500" s="30" t="s">
        <v>23973</v>
      </c>
      <c r="B10500" s="30" t="s">
        <v>23974</v>
      </c>
      <c r="C10500" s="30" t="s">
        <v>14447</v>
      </c>
      <c r="D10500" s="30" t="s">
        <v>17</v>
      </c>
      <c r="E10500" s="30" t="s">
        <v>31</v>
      </c>
      <c r="F10500" s="30" t="s">
        <v>32</v>
      </c>
      <c r="G10500" s="30" t="s">
        <v>20</v>
      </c>
      <c r="H10500" s="32">
        <v>104</v>
      </c>
      <c r="I10500" s="30" t="s">
        <v>21</v>
      </c>
      <c r="J10500" s="41">
        <v>44785</v>
      </c>
      <c r="K10500" s="30" t="s">
        <v>22</v>
      </c>
    </row>
    <row r="10501" spans="1:11">
      <c r="A10501" s="33" t="s">
        <v>23975</v>
      </c>
      <c r="B10501" s="33" t="s">
        <v>23976</v>
      </c>
      <c r="C10501" s="33" t="s">
        <v>203</v>
      </c>
      <c r="D10501" s="33" t="s">
        <v>17</v>
      </c>
      <c r="E10501" s="33" t="s">
        <v>31</v>
      </c>
      <c r="F10501" s="33" t="s">
        <v>32</v>
      </c>
      <c r="G10501" s="33" t="s">
        <v>106</v>
      </c>
      <c r="H10501" s="35">
        <v>305</v>
      </c>
      <c r="I10501" s="33" t="s">
        <v>21</v>
      </c>
      <c r="J10501" s="42">
        <v>44664</v>
      </c>
      <c r="K10501" s="33" t="s">
        <v>22</v>
      </c>
    </row>
    <row r="10502" spans="1:11">
      <c r="A10502" s="30" t="s">
        <v>23977</v>
      </c>
      <c r="B10502" s="30" t="s">
        <v>23978</v>
      </c>
      <c r="C10502" s="30" t="s">
        <v>1090</v>
      </c>
      <c r="D10502" s="30" t="s">
        <v>17</v>
      </c>
      <c r="E10502" s="30" t="s">
        <v>26</v>
      </c>
      <c r="F10502" s="30" t="s">
        <v>27</v>
      </c>
      <c r="G10502" s="30" t="s">
        <v>50</v>
      </c>
      <c r="H10502" s="32">
        <v>144</v>
      </c>
      <c r="I10502" s="30" t="s">
        <v>51</v>
      </c>
      <c r="J10502" s="41">
        <v>44568</v>
      </c>
      <c r="K10502" s="30" t="s">
        <v>22</v>
      </c>
    </row>
    <row r="10503" spans="1:11">
      <c r="A10503" s="33" t="s">
        <v>23979</v>
      </c>
      <c r="B10503" s="33" t="s">
        <v>23980</v>
      </c>
      <c r="C10503" s="33" t="s">
        <v>20839</v>
      </c>
      <c r="D10503" s="33" t="s">
        <v>17</v>
      </c>
      <c r="E10503" s="33" t="s">
        <v>31</v>
      </c>
      <c r="F10503" s="33" t="s">
        <v>32</v>
      </c>
      <c r="G10503" s="33" t="s">
        <v>20</v>
      </c>
      <c r="H10503" s="35">
        <v>9</v>
      </c>
      <c r="I10503" s="33" t="s">
        <v>21</v>
      </c>
      <c r="J10503" s="42">
        <v>44690</v>
      </c>
      <c r="K10503" s="33" t="s">
        <v>22</v>
      </c>
    </row>
    <row r="10504" spans="1:11">
      <c r="A10504" s="30" t="s">
        <v>23981</v>
      </c>
      <c r="B10504" s="30" t="s">
        <v>23982</v>
      </c>
      <c r="C10504" s="30" t="s">
        <v>75</v>
      </c>
      <c r="D10504" s="30" t="s">
        <v>17</v>
      </c>
      <c r="E10504" s="30" t="s">
        <v>26</v>
      </c>
      <c r="F10504" s="30" t="s">
        <v>27</v>
      </c>
      <c r="G10504" s="30" t="s">
        <v>20</v>
      </c>
      <c r="H10504" s="32">
        <v>30</v>
      </c>
      <c r="I10504" s="30" t="s">
        <v>21</v>
      </c>
      <c r="J10504" s="41">
        <v>44810</v>
      </c>
      <c r="K10504" s="30" t="s">
        <v>22</v>
      </c>
    </row>
    <row r="10505" spans="1:11">
      <c r="A10505" s="33" t="s">
        <v>23983</v>
      </c>
      <c r="B10505" s="33" t="s">
        <v>23984</v>
      </c>
      <c r="C10505" s="33" t="s">
        <v>60</v>
      </c>
      <c r="D10505" s="33" t="s">
        <v>17</v>
      </c>
      <c r="E10505" s="33" t="s">
        <v>31</v>
      </c>
      <c r="F10505" s="33" t="s">
        <v>32</v>
      </c>
      <c r="G10505" s="33" t="s">
        <v>20</v>
      </c>
      <c r="H10505" s="35">
        <v>194</v>
      </c>
      <c r="I10505" s="33" t="s">
        <v>21</v>
      </c>
      <c r="J10505" s="42">
        <v>44915</v>
      </c>
      <c r="K10505" s="33" t="s">
        <v>22</v>
      </c>
    </row>
    <row r="10506" spans="1:11">
      <c r="A10506" s="30" t="s">
        <v>23985</v>
      </c>
      <c r="B10506" s="30" t="s">
        <v>23986</v>
      </c>
      <c r="C10506" s="30" t="s">
        <v>15271</v>
      </c>
      <c r="D10506" s="30" t="s">
        <v>17</v>
      </c>
      <c r="E10506" s="30" t="s">
        <v>18</v>
      </c>
      <c r="F10506" s="30" t="s">
        <v>19</v>
      </c>
      <c r="G10506" s="30" t="s">
        <v>158</v>
      </c>
      <c r="H10506" s="32">
        <v>660</v>
      </c>
      <c r="I10506" s="30" t="s">
        <v>21</v>
      </c>
      <c r="J10506" s="41">
        <v>44742</v>
      </c>
      <c r="K10506" s="30" t="s">
        <v>22</v>
      </c>
    </row>
    <row r="10507" spans="1:11">
      <c r="A10507" s="33" t="s">
        <v>23987</v>
      </c>
      <c r="B10507" s="33" t="s">
        <v>23988</v>
      </c>
      <c r="C10507" s="33" t="s">
        <v>246</v>
      </c>
      <c r="D10507" s="33" t="s">
        <v>17</v>
      </c>
      <c r="E10507" s="33" t="s">
        <v>67</v>
      </c>
      <c r="F10507" s="33" t="s">
        <v>68</v>
      </c>
      <c r="G10507" s="33" t="s">
        <v>50</v>
      </c>
      <c r="H10507" s="35">
        <v>49</v>
      </c>
      <c r="I10507" s="33" t="s">
        <v>51</v>
      </c>
      <c r="J10507" s="42">
        <v>44828</v>
      </c>
      <c r="K10507" s="33" t="s">
        <v>22</v>
      </c>
    </row>
    <row r="10508" spans="1:11">
      <c r="A10508" s="30" t="s">
        <v>23989</v>
      </c>
      <c r="B10508" s="30" t="s">
        <v>23990</v>
      </c>
      <c r="C10508" s="30" t="s">
        <v>23991</v>
      </c>
      <c r="D10508" s="30" t="s">
        <v>17</v>
      </c>
      <c r="E10508" s="30" t="s">
        <v>26</v>
      </c>
      <c r="F10508" s="30" t="s">
        <v>27</v>
      </c>
      <c r="G10508" s="30" t="s">
        <v>20</v>
      </c>
      <c r="H10508" s="32">
        <v>32</v>
      </c>
      <c r="I10508" s="30" t="s">
        <v>21</v>
      </c>
      <c r="J10508" s="41">
        <v>44699</v>
      </c>
      <c r="K10508" s="30" t="s">
        <v>22</v>
      </c>
    </row>
    <row r="10509" spans="1:11">
      <c r="A10509" s="33" t="s">
        <v>23992</v>
      </c>
      <c r="B10509" s="33" t="s">
        <v>23993</v>
      </c>
      <c r="C10509" s="33" t="s">
        <v>44</v>
      </c>
      <c r="D10509" s="33" t="s">
        <v>17</v>
      </c>
      <c r="E10509" s="33" t="s">
        <v>26</v>
      </c>
      <c r="F10509" s="33" t="s">
        <v>27</v>
      </c>
      <c r="G10509" s="33" t="s">
        <v>20</v>
      </c>
      <c r="H10509" s="35">
        <v>104</v>
      </c>
      <c r="I10509" s="33" t="s">
        <v>21</v>
      </c>
      <c r="J10509" s="42">
        <v>44663</v>
      </c>
      <c r="K10509" s="33" t="s">
        <v>22</v>
      </c>
    </row>
    <row r="10510" spans="1:11">
      <c r="A10510" s="30" t="s">
        <v>23994</v>
      </c>
      <c r="B10510" s="30" t="s">
        <v>23995</v>
      </c>
      <c r="C10510" s="30" t="s">
        <v>23996</v>
      </c>
      <c r="D10510" s="30" t="s">
        <v>17</v>
      </c>
      <c r="E10510" s="30" t="s">
        <v>26</v>
      </c>
      <c r="F10510" s="30" t="s">
        <v>27</v>
      </c>
      <c r="G10510" s="30" t="s">
        <v>20</v>
      </c>
      <c r="H10510" s="32">
        <v>10</v>
      </c>
      <c r="I10510" s="30" t="s">
        <v>21</v>
      </c>
      <c r="J10510" s="41">
        <v>44641</v>
      </c>
      <c r="K10510" s="30" t="s">
        <v>22</v>
      </c>
    </row>
    <row r="10511" spans="1:11">
      <c r="A10511" s="33" t="s">
        <v>23997</v>
      </c>
      <c r="B10511" s="33" t="s">
        <v>23998</v>
      </c>
      <c r="C10511" s="33" t="s">
        <v>5372</v>
      </c>
      <c r="D10511" s="33" t="s">
        <v>17</v>
      </c>
      <c r="E10511" s="33" t="s">
        <v>26</v>
      </c>
      <c r="F10511" s="33" t="s">
        <v>27</v>
      </c>
      <c r="G10511" s="33" t="s">
        <v>106</v>
      </c>
      <c r="H10511" s="35">
        <v>316</v>
      </c>
      <c r="I10511" s="33" t="s">
        <v>21</v>
      </c>
      <c r="J10511" s="42">
        <v>44648</v>
      </c>
      <c r="K10511" s="33" t="s">
        <v>22</v>
      </c>
    </row>
    <row r="10512" spans="1:11">
      <c r="A10512" s="30" t="s">
        <v>23999</v>
      </c>
      <c r="B10512" s="30" t="s">
        <v>24000</v>
      </c>
      <c r="C10512" s="30" t="s">
        <v>24001</v>
      </c>
      <c r="D10512" s="30" t="s">
        <v>17</v>
      </c>
      <c r="E10512" s="30" t="s">
        <v>26</v>
      </c>
      <c r="F10512" s="30" t="s">
        <v>27</v>
      </c>
      <c r="G10512" s="30" t="s">
        <v>20</v>
      </c>
      <c r="H10512" s="32">
        <v>12</v>
      </c>
      <c r="I10512" s="30" t="s">
        <v>21</v>
      </c>
      <c r="J10512" s="41">
        <v>44740</v>
      </c>
      <c r="K10512" s="30" t="s">
        <v>22</v>
      </c>
    </row>
    <row r="10513" spans="1:11">
      <c r="A10513" s="33" t="s">
        <v>24002</v>
      </c>
      <c r="B10513" s="33" t="s">
        <v>24003</v>
      </c>
      <c r="C10513" s="33" t="s">
        <v>6001</v>
      </c>
      <c r="D10513" s="33" t="s">
        <v>17</v>
      </c>
      <c r="E10513" s="33" t="s">
        <v>26</v>
      </c>
      <c r="F10513" s="33" t="s">
        <v>27</v>
      </c>
      <c r="G10513" s="33" t="s">
        <v>50</v>
      </c>
      <c r="H10513" s="35">
        <v>24</v>
      </c>
      <c r="I10513" s="33" t="s">
        <v>51</v>
      </c>
      <c r="J10513" s="42">
        <v>44743</v>
      </c>
      <c r="K10513" s="33" t="s">
        <v>22</v>
      </c>
    </row>
    <row r="10514" spans="1:11">
      <c r="A10514" s="30" t="s">
        <v>24004</v>
      </c>
      <c r="B10514" s="30" t="s">
        <v>24005</v>
      </c>
      <c r="C10514" s="30" t="s">
        <v>969</v>
      </c>
      <c r="D10514" s="30" t="s">
        <v>17</v>
      </c>
      <c r="E10514" s="30" t="s">
        <v>31</v>
      </c>
      <c r="F10514" s="30" t="s">
        <v>32</v>
      </c>
      <c r="G10514" s="30" t="s">
        <v>20</v>
      </c>
      <c r="H10514" s="32">
        <v>177</v>
      </c>
      <c r="I10514" s="30" t="s">
        <v>21</v>
      </c>
      <c r="J10514" s="41">
        <v>44623</v>
      </c>
      <c r="K10514" s="30" t="s">
        <v>22</v>
      </c>
    </row>
    <row r="10515" spans="1:11">
      <c r="A10515" s="33" t="s">
        <v>24006</v>
      </c>
      <c r="B10515" s="33" t="s">
        <v>24007</v>
      </c>
      <c r="C10515" s="33" t="s">
        <v>54</v>
      </c>
      <c r="D10515" s="33" t="s">
        <v>17</v>
      </c>
      <c r="E10515" s="33" t="s">
        <v>26</v>
      </c>
      <c r="F10515" s="33" t="s">
        <v>27</v>
      </c>
      <c r="G10515" s="33" t="s">
        <v>20</v>
      </c>
      <c r="H10515" s="35">
        <v>29</v>
      </c>
      <c r="I10515" s="33" t="s">
        <v>21</v>
      </c>
      <c r="J10515" s="42">
        <v>44573</v>
      </c>
      <c r="K10515" s="33" t="s">
        <v>22</v>
      </c>
    </row>
    <row r="10516" spans="1:11">
      <c r="A10516" s="30" t="s">
        <v>24008</v>
      </c>
      <c r="B10516" s="30" t="s">
        <v>24009</v>
      </c>
      <c r="C10516" s="30" t="s">
        <v>3475</v>
      </c>
      <c r="D10516" s="30" t="s">
        <v>17</v>
      </c>
      <c r="E10516" s="30" t="s">
        <v>31</v>
      </c>
      <c r="F10516" s="30" t="s">
        <v>32</v>
      </c>
      <c r="G10516" s="30" t="s">
        <v>158</v>
      </c>
      <c r="H10516" s="32">
        <v>11</v>
      </c>
      <c r="I10516" s="30" t="s">
        <v>21</v>
      </c>
      <c r="J10516" s="41">
        <v>44804</v>
      </c>
      <c r="K10516" s="30" t="s">
        <v>22</v>
      </c>
    </row>
    <row r="10517" spans="1:11">
      <c r="A10517" s="33" t="s">
        <v>24010</v>
      </c>
      <c r="B10517" s="33" t="s">
        <v>24011</v>
      </c>
      <c r="C10517" s="33" t="s">
        <v>231</v>
      </c>
      <c r="D10517" s="33" t="s">
        <v>17</v>
      </c>
      <c r="E10517" s="33" t="s">
        <v>31</v>
      </c>
      <c r="F10517" s="33" t="s">
        <v>32</v>
      </c>
      <c r="G10517" s="33" t="s">
        <v>20</v>
      </c>
      <c r="H10517" s="35">
        <v>714</v>
      </c>
      <c r="I10517" s="33" t="s">
        <v>21</v>
      </c>
      <c r="J10517" s="42">
        <v>44572</v>
      </c>
      <c r="K10517" s="33" t="s">
        <v>22</v>
      </c>
    </row>
    <row r="10518" spans="1:11">
      <c r="A10518" s="30" t="s">
        <v>24012</v>
      </c>
      <c r="B10518" s="30" t="s">
        <v>24013</v>
      </c>
      <c r="C10518" s="30" t="s">
        <v>96</v>
      </c>
      <c r="D10518" s="30" t="s">
        <v>17</v>
      </c>
      <c r="E10518" s="30" t="s">
        <v>26</v>
      </c>
      <c r="F10518" s="30" t="s">
        <v>27</v>
      </c>
      <c r="G10518" s="30" t="s">
        <v>112</v>
      </c>
      <c r="H10518" s="32">
        <v>0</v>
      </c>
      <c r="I10518" s="30" t="s">
        <v>21</v>
      </c>
      <c r="J10518" s="41">
        <v>44788</v>
      </c>
      <c r="K10518" s="30" t="s">
        <v>22</v>
      </c>
    </row>
    <row r="10519" spans="1:11">
      <c r="A10519" s="33" t="s">
        <v>24014</v>
      </c>
      <c r="B10519" s="33" t="s">
        <v>24015</v>
      </c>
      <c r="C10519" s="33" t="s">
        <v>7296</v>
      </c>
      <c r="D10519" s="33" t="s">
        <v>17</v>
      </c>
      <c r="E10519" s="33" t="s">
        <v>26</v>
      </c>
      <c r="F10519" s="33" t="s">
        <v>27</v>
      </c>
      <c r="G10519" s="33" t="s">
        <v>20</v>
      </c>
      <c r="H10519" s="35">
        <v>20</v>
      </c>
      <c r="I10519" s="33" t="s">
        <v>21</v>
      </c>
      <c r="J10519" s="42">
        <v>44638</v>
      </c>
      <c r="K10519" s="33" t="s">
        <v>22</v>
      </c>
    </row>
    <row r="10520" spans="1:11">
      <c r="A10520" s="30" t="s">
        <v>24016</v>
      </c>
      <c r="B10520" s="30" t="s">
        <v>24017</v>
      </c>
      <c r="C10520" s="30" t="s">
        <v>19435</v>
      </c>
      <c r="D10520" s="30" t="s">
        <v>17</v>
      </c>
      <c r="E10520" s="30" t="s">
        <v>67</v>
      </c>
      <c r="F10520" s="30" t="s">
        <v>68</v>
      </c>
      <c r="G10520" s="30" t="s">
        <v>50</v>
      </c>
      <c r="H10520" s="32">
        <v>54</v>
      </c>
      <c r="I10520" s="30" t="s">
        <v>51</v>
      </c>
      <c r="J10520" s="41">
        <v>44813</v>
      </c>
      <c r="K10520" s="30" t="s">
        <v>22</v>
      </c>
    </row>
    <row r="10521" spans="1:11">
      <c r="A10521" s="33" t="s">
        <v>24018</v>
      </c>
      <c r="B10521" s="33" t="s">
        <v>24019</v>
      </c>
      <c r="C10521" s="33" t="s">
        <v>24020</v>
      </c>
      <c r="D10521" s="33" t="s">
        <v>17</v>
      </c>
      <c r="E10521" s="33" t="s">
        <v>31</v>
      </c>
      <c r="F10521" s="33" t="s">
        <v>32</v>
      </c>
      <c r="G10521" s="33" t="s">
        <v>50</v>
      </c>
      <c r="H10521" s="35">
        <v>6</v>
      </c>
      <c r="I10521" s="33" t="s">
        <v>51</v>
      </c>
      <c r="J10521" s="42">
        <v>44845</v>
      </c>
      <c r="K10521" s="33" t="s">
        <v>22</v>
      </c>
    </row>
    <row r="10522" spans="1:11">
      <c r="A10522" s="30" t="s">
        <v>24021</v>
      </c>
      <c r="B10522" s="30" t="s">
        <v>24022</v>
      </c>
      <c r="C10522" s="30" t="s">
        <v>13241</v>
      </c>
      <c r="D10522" s="30" t="s">
        <v>17</v>
      </c>
      <c r="E10522" s="30" t="s">
        <v>26</v>
      </c>
      <c r="F10522" s="30" t="s">
        <v>27</v>
      </c>
      <c r="G10522" s="30" t="s">
        <v>50</v>
      </c>
      <c r="H10522" s="32">
        <v>20</v>
      </c>
      <c r="I10522" s="30" t="s">
        <v>51</v>
      </c>
      <c r="J10522" s="41">
        <v>44562</v>
      </c>
      <c r="K10522" s="30" t="s">
        <v>22</v>
      </c>
    </row>
    <row r="10523" spans="1:11">
      <c r="A10523" s="33" t="s">
        <v>24023</v>
      </c>
      <c r="B10523" s="33" t="s">
        <v>24024</v>
      </c>
      <c r="C10523" s="33" t="s">
        <v>546</v>
      </c>
      <c r="D10523" s="33" t="s">
        <v>17</v>
      </c>
      <c r="E10523" s="33" t="s">
        <v>26</v>
      </c>
      <c r="F10523" s="33" t="s">
        <v>27</v>
      </c>
      <c r="G10523" s="33" t="s">
        <v>50</v>
      </c>
      <c r="H10523" s="35">
        <v>60</v>
      </c>
      <c r="I10523" s="33" t="s">
        <v>51</v>
      </c>
      <c r="J10523" s="42">
        <v>44614</v>
      </c>
      <c r="K10523" s="33" t="s">
        <v>22</v>
      </c>
    </row>
    <row r="10524" spans="1:11">
      <c r="A10524" s="30" t="s">
        <v>24025</v>
      </c>
      <c r="B10524" s="30" t="s">
        <v>24026</v>
      </c>
      <c r="C10524" s="30" t="s">
        <v>78</v>
      </c>
      <c r="D10524" s="30" t="s">
        <v>17</v>
      </c>
      <c r="E10524" s="30" t="s">
        <v>26</v>
      </c>
      <c r="F10524" s="30" t="s">
        <v>27</v>
      </c>
      <c r="G10524" s="30" t="s">
        <v>20</v>
      </c>
      <c r="H10524" s="32">
        <v>24</v>
      </c>
      <c r="I10524" s="30" t="s">
        <v>21</v>
      </c>
      <c r="J10524" s="41">
        <v>44768</v>
      </c>
      <c r="K10524" s="30" t="s">
        <v>22</v>
      </c>
    </row>
    <row r="10525" spans="1:11">
      <c r="A10525" s="33" t="s">
        <v>24027</v>
      </c>
      <c r="B10525" s="33" t="s">
        <v>24028</v>
      </c>
      <c r="C10525" s="33" t="s">
        <v>587</v>
      </c>
      <c r="D10525" s="33" t="s">
        <v>17</v>
      </c>
      <c r="E10525" s="33" t="s">
        <v>67</v>
      </c>
      <c r="F10525" s="33" t="s">
        <v>68</v>
      </c>
      <c r="G10525" s="33" t="s">
        <v>112</v>
      </c>
      <c r="H10525" s="35">
        <v>0</v>
      </c>
      <c r="I10525" s="33" t="s">
        <v>21</v>
      </c>
      <c r="J10525" s="42">
        <v>44805</v>
      </c>
      <c r="K10525" s="33" t="s">
        <v>22</v>
      </c>
    </row>
    <row r="10526" spans="1:11">
      <c r="A10526" s="30" t="s">
        <v>24029</v>
      </c>
      <c r="B10526" s="30" t="s">
        <v>24030</v>
      </c>
      <c r="C10526" s="30" t="s">
        <v>23888</v>
      </c>
      <c r="D10526" s="30" t="s">
        <v>17</v>
      </c>
      <c r="E10526" s="30" t="s">
        <v>26</v>
      </c>
      <c r="F10526" s="30" t="s">
        <v>27</v>
      </c>
      <c r="G10526" s="30" t="s">
        <v>20</v>
      </c>
      <c r="H10526" s="32">
        <v>6</v>
      </c>
      <c r="I10526" s="30" t="s">
        <v>21</v>
      </c>
      <c r="J10526" s="41">
        <v>44909</v>
      </c>
      <c r="K10526" s="30" t="s">
        <v>22</v>
      </c>
    </row>
    <row r="10527" spans="1:11">
      <c r="A10527" s="33" t="s">
        <v>24031</v>
      </c>
      <c r="B10527" s="33" t="s">
        <v>24032</v>
      </c>
      <c r="C10527" s="33" t="s">
        <v>16052</v>
      </c>
      <c r="D10527" s="33" t="s">
        <v>17</v>
      </c>
      <c r="E10527" s="33" t="s">
        <v>26</v>
      </c>
      <c r="F10527" s="33" t="s">
        <v>27</v>
      </c>
      <c r="G10527" s="33" t="s">
        <v>20</v>
      </c>
      <c r="H10527" s="35">
        <v>69</v>
      </c>
      <c r="I10527" s="33" t="s">
        <v>21</v>
      </c>
      <c r="J10527" s="42">
        <v>44896</v>
      </c>
      <c r="K10527" s="33" t="s">
        <v>22</v>
      </c>
    </row>
    <row r="10528" spans="1:11">
      <c r="A10528" s="30" t="s">
        <v>24033</v>
      </c>
      <c r="B10528" s="30" t="s">
        <v>24034</v>
      </c>
      <c r="C10528" s="30" t="s">
        <v>3673</v>
      </c>
      <c r="D10528" s="30" t="s">
        <v>17</v>
      </c>
      <c r="E10528" s="30" t="s">
        <v>31</v>
      </c>
      <c r="F10528" s="30" t="s">
        <v>32</v>
      </c>
      <c r="G10528" s="30" t="s">
        <v>50</v>
      </c>
      <c r="H10528" s="32">
        <v>90</v>
      </c>
      <c r="I10528" s="30" t="s">
        <v>51</v>
      </c>
      <c r="J10528" s="41">
        <v>44876</v>
      </c>
      <c r="K10528" s="30" t="s">
        <v>22</v>
      </c>
    </row>
    <row r="10529" spans="1:11">
      <c r="A10529" s="33" t="s">
        <v>24035</v>
      </c>
      <c r="B10529" s="33" t="s">
        <v>24036</v>
      </c>
      <c r="C10529" s="33" t="s">
        <v>1857</v>
      </c>
      <c r="D10529" s="33" t="s">
        <v>17</v>
      </c>
      <c r="E10529" s="33" t="s">
        <v>330</v>
      </c>
      <c r="F10529" s="33" t="s">
        <v>331</v>
      </c>
      <c r="G10529" s="33" t="s">
        <v>50</v>
      </c>
      <c r="H10529" s="35">
        <v>19</v>
      </c>
      <c r="I10529" s="33" t="s">
        <v>51</v>
      </c>
      <c r="J10529" s="42">
        <v>44630</v>
      </c>
      <c r="K10529" s="33" t="s">
        <v>22</v>
      </c>
    </row>
    <row r="10530" spans="1:11">
      <c r="A10530" s="30" t="s">
        <v>24037</v>
      </c>
      <c r="B10530" s="30" t="s">
        <v>24038</v>
      </c>
      <c r="C10530" s="30" t="s">
        <v>318</v>
      </c>
      <c r="D10530" s="30" t="s">
        <v>17</v>
      </c>
      <c r="E10530" s="30" t="s">
        <v>18</v>
      </c>
      <c r="F10530" s="30" t="s">
        <v>19</v>
      </c>
      <c r="G10530" s="30" t="s">
        <v>158</v>
      </c>
      <c r="H10530" s="32">
        <v>7297</v>
      </c>
      <c r="I10530" s="30" t="s">
        <v>21</v>
      </c>
      <c r="J10530" s="41">
        <v>44909</v>
      </c>
      <c r="K10530" s="30" t="s">
        <v>22</v>
      </c>
    </row>
    <row r="10531" spans="1:11">
      <c r="A10531" s="33" t="s">
        <v>24039</v>
      </c>
      <c r="B10531" s="33" t="s">
        <v>24040</v>
      </c>
      <c r="C10531" s="33" t="s">
        <v>480</v>
      </c>
      <c r="D10531" s="33" t="s">
        <v>17</v>
      </c>
      <c r="E10531" s="33" t="s">
        <v>18</v>
      </c>
      <c r="F10531" s="33" t="s">
        <v>19</v>
      </c>
      <c r="G10531" s="33" t="s">
        <v>20</v>
      </c>
      <c r="H10531" s="35">
        <v>84</v>
      </c>
      <c r="I10531" s="33" t="s">
        <v>21</v>
      </c>
      <c r="J10531" s="42">
        <v>44825</v>
      </c>
      <c r="K10531" s="33" t="s">
        <v>22</v>
      </c>
    </row>
    <row r="10532" spans="1:11">
      <c r="A10532" s="30" t="s">
        <v>24041</v>
      </c>
      <c r="B10532" s="30" t="s">
        <v>24042</v>
      </c>
      <c r="C10532" s="30" t="s">
        <v>4345</v>
      </c>
      <c r="D10532" s="30" t="s">
        <v>17</v>
      </c>
      <c r="E10532" s="30" t="s">
        <v>18</v>
      </c>
      <c r="F10532" s="30" t="s">
        <v>19</v>
      </c>
      <c r="G10532" s="30" t="s">
        <v>158</v>
      </c>
      <c r="H10532" s="32">
        <v>885</v>
      </c>
      <c r="I10532" s="30" t="s">
        <v>21</v>
      </c>
      <c r="J10532" s="41">
        <v>44908</v>
      </c>
      <c r="K10532" s="30" t="s">
        <v>22</v>
      </c>
    </row>
    <row r="10533" spans="1:11">
      <c r="A10533" s="33" t="s">
        <v>24043</v>
      </c>
      <c r="B10533" s="33" t="s">
        <v>24044</v>
      </c>
      <c r="C10533" s="33" t="s">
        <v>18809</v>
      </c>
      <c r="D10533" s="33" t="s">
        <v>17</v>
      </c>
      <c r="E10533" s="33" t="s">
        <v>18</v>
      </c>
      <c r="F10533" s="33" t="s">
        <v>19</v>
      </c>
      <c r="G10533" s="33" t="s">
        <v>158</v>
      </c>
      <c r="H10533" s="35">
        <v>845</v>
      </c>
      <c r="I10533" s="33" t="s">
        <v>51</v>
      </c>
      <c r="J10533" s="42">
        <v>44799</v>
      </c>
      <c r="K10533" s="33" t="s">
        <v>22</v>
      </c>
    </row>
    <row r="10534" spans="1:11">
      <c r="A10534" s="30" t="s">
        <v>24045</v>
      </c>
      <c r="B10534" s="30" t="s">
        <v>24046</v>
      </c>
      <c r="C10534" s="30" t="s">
        <v>96</v>
      </c>
      <c r="D10534" s="30" t="s">
        <v>17</v>
      </c>
      <c r="E10534" s="30" t="s">
        <v>212</v>
      </c>
      <c r="F10534" s="30" t="s">
        <v>213</v>
      </c>
      <c r="G10534" s="30" t="s">
        <v>20</v>
      </c>
      <c r="H10534" s="32">
        <v>1415</v>
      </c>
      <c r="I10534" s="30" t="s">
        <v>21</v>
      </c>
      <c r="J10534" s="41">
        <v>44624</v>
      </c>
      <c r="K10534" s="30" t="s">
        <v>22</v>
      </c>
    </row>
    <row r="10535" spans="1:11">
      <c r="A10535" s="33" t="s">
        <v>24047</v>
      </c>
      <c r="B10535" s="33" t="s">
        <v>24048</v>
      </c>
      <c r="C10535" s="33" t="s">
        <v>24049</v>
      </c>
      <c r="D10535" s="33" t="s">
        <v>17</v>
      </c>
      <c r="E10535" s="33" t="s">
        <v>45</v>
      </c>
      <c r="F10535" s="33" t="s">
        <v>46</v>
      </c>
      <c r="G10535" s="33" t="s">
        <v>106</v>
      </c>
      <c r="H10535" s="35">
        <v>3084</v>
      </c>
      <c r="I10535" s="33" t="s">
        <v>21</v>
      </c>
      <c r="J10535" s="42">
        <v>44679</v>
      </c>
      <c r="K10535" s="33" t="s">
        <v>22</v>
      </c>
    </row>
    <row r="10536" spans="1:11">
      <c r="A10536" s="30" t="s">
        <v>24050</v>
      </c>
      <c r="B10536" s="30" t="s">
        <v>24051</v>
      </c>
      <c r="C10536" s="30" t="s">
        <v>24052</v>
      </c>
      <c r="D10536" s="30" t="s">
        <v>17</v>
      </c>
      <c r="E10536" s="30" t="s">
        <v>26</v>
      </c>
      <c r="F10536" s="30" t="s">
        <v>27</v>
      </c>
      <c r="G10536" s="30" t="s">
        <v>158</v>
      </c>
      <c r="H10536" s="32">
        <v>16</v>
      </c>
      <c r="I10536" s="30" t="s">
        <v>51</v>
      </c>
      <c r="J10536" s="41">
        <v>44763</v>
      </c>
      <c r="K10536" s="30" t="s">
        <v>22</v>
      </c>
    </row>
    <row r="10537" spans="1:11">
      <c r="A10537" s="33" t="s">
        <v>24053</v>
      </c>
      <c r="B10537" s="33" t="s">
        <v>24054</v>
      </c>
      <c r="C10537" s="33" t="s">
        <v>5616</v>
      </c>
      <c r="D10537" s="33" t="s">
        <v>17</v>
      </c>
      <c r="E10537" s="33" t="s">
        <v>26</v>
      </c>
      <c r="F10537" s="33" t="s">
        <v>27</v>
      </c>
      <c r="G10537" s="33" t="s">
        <v>112</v>
      </c>
      <c r="H10537" s="35">
        <v>0</v>
      </c>
      <c r="I10537" s="33" t="s">
        <v>21</v>
      </c>
      <c r="J10537" s="42">
        <v>44682</v>
      </c>
      <c r="K10537" s="33" t="s">
        <v>22</v>
      </c>
    </row>
    <row r="10538" spans="1:11">
      <c r="A10538" s="30" t="s">
        <v>24055</v>
      </c>
      <c r="B10538" s="30" t="s">
        <v>24056</v>
      </c>
      <c r="C10538" s="30" t="s">
        <v>7880</v>
      </c>
      <c r="D10538" s="30" t="s">
        <v>17</v>
      </c>
      <c r="E10538" s="30" t="s">
        <v>26</v>
      </c>
      <c r="F10538" s="30" t="s">
        <v>27</v>
      </c>
      <c r="G10538" s="30" t="s">
        <v>7780</v>
      </c>
      <c r="H10538" s="32">
        <v>20</v>
      </c>
      <c r="I10538" s="30" t="s">
        <v>51</v>
      </c>
      <c r="J10538" s="41">
        <v>44652</v>
      </c>
      <c r="K10538" s="30" t="s">
        <v>22</v>
      </c>
    </row>
    <row r="10539" spans="1:11">
      <c r="A10539" s="33" t="s">
        <v>24057</v>
      </c>
      <c r="B10539" s="33" t="s">
        <v>24058</v>
      </c>
      <c r="C10539" s="33" t="s">
        <v>1270</v>
      </c>
      <c r="D10539" s="33" t="s">
        <v>17</v>
      </c>
      <c r="E10539" s="33" t="s">
        <v>26</v>
      </c>
      <c r="F10539" s="33" t="s">
        <v>27</v>
      </c>
      <c r="G10539" s="33" t="s">
        <v>140</v>
      </c>
      <c r="H10539" s="35">
        <v>108</v>
      </c>
      <c r="I10539" s="33" t="s">
        <v>51</v>
      </c>
      <c r="J10539" s="42">
        <v>44679</v>
      </c>
      <c r="K10539" s="33" t="s">
        <v>22</v>
      </c>
    </row>
    <row r="10540" spans="1:11">
      <c r="A10540" s="30" t="s">
        <v>24059</v>
      </c>
      <c r="B10540" s="30" t="s">
        <v>24060</v>
      </c>
      <c r="C10540" s="30" t="s">
        <v>18431</v>
      </c>
      <c r="D10540" s="30" t="s">
        <v>17</v>
      </c>
      <c r="E10540" s="30" t="s">
        <v>18</v>
      </c>
      <c r="F10540" s="30" t="s">
        <v>19</v>
      </c>
      <c r="G10540" s="30" t="s">
        <v>20</v>
      </c>
      <c r="H10540" s="32">
        <v>340</v>
      </c>
      <c r="I10540" s="30" t="s">
        <v>21</v>
      </c>
      <c r="J10540" s="41">
        <v>44764</v>
      </c>
      <c r="K10540" s="30" t="s">
        <v>22</v>
      </c>
    </row>
    <row r="10541" spans="1:11">
      <c r="A10541" s="33" t="s">
        <v>24061</v>
      </c>
      <c r="B10541" s="33" t="s">
        <v>24062</v>
      </c>
      <c r="C10541" s="33" t="s">
        <v>647</v>
      </c>
      <c r="D10541" s="33" t="s">
        <v>17</v>
      </c>
      <c r="E10541" s="33" t="s">
        <v>18</v>
      </c>
      <c r="F10541" s="33" t="s">
        <v>19</v>
      </c>
      <c r="G10541" s="33" t="s">
        <v>158</v>
      </c>
      <c r="H10541" s="35">
        <v>1800</v>
      </c>
      <c r="I10541" s="33" t="s">
        <v>51</v>
      </c>
      <c r="J10541" s="42">
        <v>44635</v>
      </c>
      <c r="K10541" s="33" t="s">
        <v>22</v>
      </c>
    </row>
    <row r="10542" spans="1:11">
      <c r="A10542" s="30" t="s">
        <v>24063</v>
      </c>
      <c r="B10542" s="30" t="s">
        <v>24064</v>
      </c>
      <c r="C10542" s="30" t="s">
        <v>24065</v>
      </c>
      <c r="D10542" s="30" t="s">
        <v>17</v>
      </c>
      <c r="E10542" s="30" t="s">
        <v>45</v>
      </c>
      <c r="F10542" s="30" t="s">
        <v>46</v>
      </c>
      <c r="G10542" s="30" t="s">
        <v>140</v>
      </c>
      <c r="H10542" s="32">
        <v>180</v>
      </c>
      <c r="I10542" s="30" t="s">
        <v>51</v>
      </c>
      <c r="J10542" s="41">
        <v>44649</v>
      </c>
      <c r="K10542" s="30" t="s">
        <v>22</v>
      </c>
    </row>
    <row r="10543" spans="1:11">
      <c r="A10543" s="33" t="s">
        <v>24066</v>
      </c>
      <c r="B10543" s="33" t="s">
        <v>24067</v>
      </c>
      <c r="C10543" s="33" t="s">
        <v>60</v>
      </c>
      <c r="D10543" s="33" t="s">
        <v>17</v>
      </c>
      <c r="E10543" s="33" t="s">
        <v>26</v>
      </c>
      <c r="F10543" s="33" t="s">
        <v>27</v>
      </c>
      <c r="G10543" s="33" t="s">
        <v>20</v>
      </c>
      <c r="H10543" s="35">
        <v>45</v>
      </c>
      <c r="I10543" s="33" t="s">
        <v>21</v>
      </c>
      <c r="J10543" s="42">
        <v>44728</v>
      </c>
      <c r="K10543" s="33" t="s">
        <v>22</v>
      </c>
    </row>
    <row r="10544" spans="1:11">
      <c r="A10544" s="30" t="s">
        <v>24068</v>
      </c>
      <c r="B10544" s="30" t="s">
        <v>24069</v>
      </c>
      <c r="C10544" s="30" t="s">
        <v>318</v>
      </c>
      <c r="D10544" s="30" t="s">
        <v>17</v>
      </c>
      <c r="E10544" s="30" t="s">
        <v>26</v>
      </c>
      <c r="F10544" s="30" t="s">
        <v>27</v>
      </c>
      <c r="G10544" s="30" t="s">
        <v>158</v>
      </c>
      <c r="H10544" s="32">
        <v>184</v>
      </c>
      <c r="I10544" s="30" t="s">
        <v>21</v>
      </c>
      <c r="J10544" s="41">
        <v>44797</v>
      </c>
      <c r="K10544" s="30" t="s">
        <v>22</v>
      </c>
    </row>
    <row r="10545" spans="1:11">
      <c r="A10545" s="33" t="s">
        <v>24070</v>
      </c>
      <c r="B10545" s="33" t="s">
        <v>24071</v>
      </c>
      <c r="C10545" s="33" t="s">
        <v>102</v>
      </c>
      <c r="D10545" s="33" t="s">
        <v>17</v>
      </c>
      <c r="E10545" s="33" t="s">
        <v>26</v>
      </c>
      <c r="F10545" s="33" t="s">
        <v>27</v>
      </c>
      <c r="G10545" s="33" t="s">
        <v>158</v>
      </c>
      <c r="H10545" s="35">
        <v>74</v>
      </c>
      <c r="I10545" s="33" t="s">
        <v>21</v>
      </c>
      <c r="J10545" s="42">
        <v>44706</v>
      </c>
      <c r="K10545" s="33" t="s">
        <v>22</v>
      </c>
    </row>
    <row r="10546" spans="1:11">
      <c r="A10546" s="30" t="s">
        <v>24072</v>
      </c>
      <c r="B10546" s="30" t="s">
        <v>24073</v>
      </c>
      <c r="C10546" s="30" t="s">
        <v>10699</v>
      </c>
      <c r="D10546" s="30" t="s">
        <v>17</v>
      </c>
      <c r="E10546" s="30" t="s">
        <v>26</v>
      </c>
      <c r="F10546" s="30" t="s">
        <v>27</v>
      </c>
      <c r="G10546" s="30" t="s">
        <v>20</v>
      </c>
      <c r="H10546" s="32">
        <v>50</v>
      </c>
      <c r="I10546" s="30" t="s">
        <v>21</v>
      </c>
      <c r="J10546" s="41">
        <v>44923</v>
      </c>
      <c r="K10546" s="30" t="s">
        <v>22</v>
      </c>
    </row>
    <row r="10547" spans="1:11">
      <c r="A10547" s="33" t="s">
        <v>24074</v>
      </c>
      <c r="B10547" s="33" t="s">
        <v>24075</v>
      </c>
      <c r="C10547" s="33" t="s">
        <v>647</v>
      </c>
      <c r="D10547" s="33" t="s">
        <v>17</v>
      </c>
      <c r="E10547" s="33" t="s">
        <v>31</v>
      </c>
      <c r="F10547" s="33" t="s">
        <v>32</v>
      </c>
      <c r="G10547" s="33" t="s">
        <v>158</v>
      </c>
      <c r="H10547" s="35">
        <v>60</v>
      </c>
      <c r="I10547" s="33" t="s">
        <v>51</v>
      </c>
      <c r="J10547" s="42">
        <v>44756</v>
      </c>
      <c r="K10547" s="33" t="s">
        <v>22</v>
      </c>
    </row>
    <row r="10548" spans="1:11">
      <c r="A10548" s="30" t="s">
        <v>24076</v>
      </c>
      <c r="B10548" s="30" t="s">
        <v>24077</v>
      </c>
      <c r="C10548" s="30" t="s">
        <v>7094</v>
      </c>
      <c r="D10548" s="30" t="s">
        <v>17</v>
      </c>
      <c r="E10548" s="30" t="s">
        <v>31</v>
      </c>
      <c r="F10548" s="30" t="s">
        <v>32</v>
      </c>
      <c r="G10548" s="30" t="s">
        <v>112</v>
      </c>
      <c r="H10548" s="32">
        <v>0</v>
      </c>
      <c r="I10548" s="30" t="s">
        <v>21</v>
      </c>
      <c r="J10548" s="41">
        <v>44743</v>
      </c>
      <c r="K10548" s="30" t="s">
        <v>22</v>
      </c>
    </row>
    <row r="10549" spans="1:11">
      <c r="A10549" s="33" t="s">
        <v>24078</v>
      </c>
      <c r="B10549" s="33" t="s">
        <v>24079</v>
      </c>
      <c r="C10549" s="33" t="s">
        <v>136</v>
      </c>
      <c r="D10549" s="33" t="s">
        <v>17</v>
      </c>
      <c r="E10549" s="33" t="s">
        <v>18</v>
      </c>
      <c r="F10549" s="33" t="s">
        <v>19</v>
      </c>
      <c r="G10549" s="33" t="s">
        <v>20</v>
      </c>
      <c r="H10549" s="35">
        <v>730</v>
      </c>
      <c r="I10549" s="33" t="s">
        <v>21</v>
      </c>
      <c r="J10549" s="42">
        <v>44784</v>
      </c>
      <c r="K10549" s="33" t="s">
        <v>22</v>
      </c>
    </row>
    <row r="10550" spans="1:11">
      <c r="A10550" s="30" t="s">
        <v>24080</v>
      </c>
      <c r="B10550" s="30" t="s">
        <v>24081</v>
      </c>
      <c r="C10550" s="30" t="s">
        <v>3157</v>
      </c>
      <c r="D10550" s="30" t="s">
        <v>17</v>
      </c>
      <c r="E10550" s="30" t="s">
        <v>31</v>
      </c>
      <c r="F10550" s="30" t="s">
        <v>32</v>
      </c>
      <c r="G10550" s="30" t="s">
        <v>140</v>
      </c>
      <c r="H10550" s="32">
        <v>180</v>
      </c>
      <c r="I10550" s="30" t="s">
        <v>51</v>
      </c>
      <c r="J10550" s="41">
        <v>44908</v>
      </c>
      <c r="K10550" s="30" t="s">
        <v>22</v>
      </c>
    </row>
    <row r="10551" spans="1:11">
      <c r="A10551" s="33" t="s">
        <v>24082</v>
      </c>
      <c r="B10551" s="33" t="s">
        <v>24083</v>
      </c>
      <c r="C10551" s="33" t="s">
        <v>1598</v>
      </c>
      <c r="D10551" s="33" t="s">
        <v>17</v>
      </c>
      <c r="E10551" s="33" t="s">
        <v>26</v>
      </c>
      <c r="F10551" s="33" t="s">
        <v>27</v>
      </c>
      <c r="G10551" s="33" t="s">
        <v>50</v>
      </c>
      <c r="H10551" s="35">
        <v>110</v>
      </c>
      <c r="I10551" s="33" t="s">
        <v>51</v>
      </c>
      <c r="J10551" s="42">
        <v>44621</v>
      </c>
      <c r="K10551" s="33" t="s">
        <v>22</v>
      </c>
    </row>
    <row r="10552" spans="1:11">
      <c r="A10552" s="30" t="s">
        <v>24084</v>
      </c>
      <c r="B10552" s="30" t="s">
        <v>24085</v>
      </c>
      <c r="C10552" s="30" t="s">
        <v>24086</v>
      </c>
      <c r="D10552" s="30" t="s">
        <v>17</v>
      </c>
      <c r="E10552" s="30" t="s">
        <v>26</v>
      </c>
      <c r="F10552" s="30" t="s">
        <v>27</v>
      </c>
      <c r="G10552" s="30" t="s">
        <v>106</v>
      </c>
      <c r="H10552" s="32">
        <v>3</v>
      </c>
      <c r="I10552" s="30" t="s">
        <v>21</v>
      </c>
      <c r="J10552" s="41">
        <v>44874</v>
      </c>
      <c r="K10552" s="30" t="s">
        <v>22</v>
      </c>
    </row>
    <row r="10553" spans="1:11">
      <c r="A10553" s="33" t="s">
        <v>24087</v>
      </c>
      <c r="B10553" s="33" t="s">
        <v>24088</v>
      </c>
      <c r="C10553" s="33" t="s">
        <v>21488</v>
      </c>
      <c r="D10553" s="33" t="s">
        <v>17</v>
      </c>
      <c r="E10553" s="33" t="s">
        <v>212</v>
      </c>
      <c r="F10553" s="33" t="s">
        <v>213</v>
      </c>
      <c r="G10553" s="33" t="s">
        <v>20</v>
      </c>
      <c r="H10553" s="35">
        <v>201</v>
      </c>
      <c r="I10553" s="33" t="s">
        <v>21</v>
      </c>
      <c r="J10553" s="42">
        <v>44656</v>
      </c>
      <c r="K10553" s="33" t="s">
        <v>22</v>
      </c>
    </row>
    <row r="10554" spans="1:11">
      <c r="A10554" s="30" t="s">
        <v>24089</v>
      </c>
      <c r="B10554" s="30" t="s">
        <v>24090</v>
      </c>
      <c r="C10554" s="30" t="s">
        <v>22019</v>
      </c>
      <c r="D10554" s="30" t="s">
        <v>17</v>
      </c>
      <c r="E10554" s="30" t="s">
        <v>67</v>
      </c>
      <c r="F10554" s="30" t="s">
        <v>68</v>
      </c>
      <c r="G10554" s="30" t="s">
        <v>20</v>
      </c>
      <c r="H10554" s="32">
        <v>52</v>
      </c>
      <c r="I10554" s="30" t="s">
        <v>21</v>
      </c>
      <c r="J10554" s="41">
        <v>44623</v>
      </c>
      <c r="K10554" s="30" t="s">
        <v>22</v>
      </c>
    </row>
    <row r="10555" spans="1:11">
      <c r="A10555" s="33" t="s">
        <v>24091</v>
      </c>
      <c r="B10555" s="33" t="s">
        <v>24092</v>
      </c>
      <c r="C10555" s="33" t="s">
        <v>13464</v>
      </c>
      <c r="D10555" s="33" t="s">
        <v>17</v>
      </c>
      <c r="E10555" s="33" t="s">
        <v>45</v>
      </c>
      <c r="F10555" s="33" t="s">
        <v>46</v>
      </c>
      <c r="G10555" s="33" t="s">
        <v>50</v>
      </c>
      <c r="H10555" s="35">
        <v>18000</v>
      </c>
      <c r="I10555" s="33" t="s">
        <v>51</v>
      </c>
      <c r="J10555" s="42">
        <v>44896</v>
      </c>
      <c r="K10555" s="33" t="s">
        <v>22</v>
      </c>
    </row>
    <row r="10556" spans="1:11">
      <c r="A10556" s="30" t="s">
        <v>24093</v>
      </c>
      <c r="B10556" s="30" t="s">
        <v>24094</v>
      </c>
      <c r="C10556" s="30" t="s">
        <v>2756</v>
      </c>
      <c r="D10556" s="30" t="s">
        <v>17</v>
      </c>
      <c r="E10556" s="30" t="s">
        <v>26</v>
      </c>
      <c r="F10556" s="30" t="s">
        <v>27</v>
      </c>
      <c r="G10556" s="30" t="s">
        <v>20</v>
      </c>
      <c r="H10556" s="32">
        <v>101</v>
      </c>
      <c r="I10556" s="30" t="s">
        <v>21</v>
      </c>
      <c r="J10556" s="41">
        <v>44907</v>
      </c>
      <c r="K10556" s="30" t="s">
        <v>22</v>
      </c>
    </row>
    <row r="10557" spans="1:11">
      <c r="A10557" s="33" t="s">
        <v>24095</v>
      </c>
      <c r="B10557" s="33" t="s">
        <v>24096</v>
      </c>
      <c r="C10557" s="33" t="s">
        <v>24097</v>
      </c>
      <c r="D10557" s="33" t="s">
        <v>17</v>
      </c>
      <c r="E10557" s="33" t="s">
        <v>330</v>
      </c>
      <c r="F10557" s="33" t="s">
        <v>331</v>
      </c>
      <c r="G10557" s="33" t="s">
        <v>140</v>
      </c>
      <c r="H10557" s="35">
        <v>50</v>
      </c>
      <c r="I10557" s="33" t="s">
        <v>51</v>
      </c>
      <c r="J10557" s="42">
        <v>44792</v>
      </c>
      <c r="K10557" s="33" t="s">
        <v>22</v>
      </c>
    </row>
    <row r="10558" spans="1:11">
      <c r="A10558" s="30" t="s">
        <v>24098</v>
      </c>
      <c r="B10558" s="30" t="s">
        <v>24099</v>
      </c>
      <c r="C10558" s="30" t="s">
        <v>96</v>
      </c>
      <c r="D10558" s="30" t="s">
        <v>17</v>
      </c>
      <c r="E10558" s="30" t="s">
        <v>18</v>
      </c>
      <c r="F10558" s="30" t="s">
        <v>19</v>
      </c>
      <c r="G10558" s="30" t="s">
        <v>140</v>
      </c>
      <c r="H10558" s="32">
        <v>640</v>
      </c>
      <c r="I10558" s="30" t="s">
        <v>51</v>
      </c>
      <c r="J10558" s="41">
        <v>44620</v>
      </c>
      <c r="K10558" s="30" t="s">
        <v>22</v>
      </c>
    </row>
    <row r="10559" spans="1:11">
      <c r="A10559" s="33" t="s">
        <v>24100</v>
      </c>
      <c r="B10559" s="33" t="s">
        <v>24101</v>
      </c>
      <c r="C10559" s="33" t="s">
        <v>14719</v>
      </c>
      <c r="D10559" s="33" t="s">
        <v>17</v>
      </c>
      <c r="E10559" s="33" t="s">
        <v>26</v>
      </c>
      <c r="F10559" s="33" t="s">
        <v>27</v>
      </c>
      <c r="G10559" s="33" t="s">
        <v>158</v>
      </c>
      <c r="H10559" s="35">
        <v>100</v>
      </c>
      <c r="I10559" s="33" t="s">
        <v>51</v>
      </c>
      <c r="J10559" s="42">
        <v>44924</v>
      </c>
      <c r="K10559" s="33" t="s">
        <v>22</v>
      </c>
    </row>
    <row r="10560" spans="1:11">
      <c r="A10560" s="30" t="s">
        <v>24102</v>
      </c>
      <c r="B10560" s="30" t="s">
        <v>24103</v>
      </c>
      <c r="C10560" s="30" t="s">
        <v>426</v>
      </c>
      <c r="D10560" s="30" t="s">
        <v>17</v>
      </c>
      <c r="E10560" s="30" t="s">
        <v>26</v>
      </c>
      <c r="F10560" s="30" t="s">
        <v>27</v>
      </c>
      <c r="G10560" s="30" t="s">
        <v>50</v>
      </c>
      <c r="H10560" s="32">
        <v>90</v>
      </c>
      <c r="I10560" s="30" t="s">
        <v>51</v>
      </c>
      <c r="J10560" s="41">
        <v>44834</v>
      </c>
      <c r="K10560" s="30" t="s">
        <v>22</v>
      </c>
    </row>
    <row r="10561" spans="1:11">
      <c r="A10561" s="33" t="s">
        <v>24104</v>
      </c>
      <c r="B10561" s="33" t="s">
        <v>24105</v>
      </c>
      <c r="C10561" s="33" t="s">
        <v>24106</v>
      </c>
      <c r="D10561" s="33" t="s">
        <v>17</v>
      </c>
      <c r="E10561" s="33" t="s">
        <v>26</v>
      </c>
      <c r="F10561" s="33" t="s">
        <v>27</v>
      </c>
      <c r="G10561" s="33" t="s">
        <v>20</v>
      </c>
      <c r="H10561" s="35">
        <v>30</v>
      </c>
      <c r="I10561" s="33" t="s">
        <v>21</v>
      </c>
      <c r="J10561" s="42">
        <v>44656</v>
      </c>
      <c r="K10561" s="33" t="s">
        <v>22</v>
      </c>
    </row>
    <row r="10562" spans="1:11">
      <c r="A10562" s="30" t="s">
        <v>24107</v>
      </c>
      <c r="B10562" s="30" t="s">
        <v>24108</v>
      </c>
      <c r="C10562" s="30" t="s">
        <v>24109</v>
      </c>
      <c r="D10562" s="30" t="s">
        <v>17</v>
      </c>
      <c r="E10562" s="30" t="s">
        <v>31</v>
      </c>
      <c r="F10562" s="30" t="s">
        <v>32</v>
      </c>
      <c r="G10562" s="30" t="s">
        <v>20</v>
      </c>
      <c r="H10562" s="32">
        <v>119</v>
      </c>
      <c r="I10562" s="30" t="s">
        <v>21</v>
      </c>
      <c r="J10562" s="41">
        <v>44831</v>
      </c>
      <c r="K10562" s="30" t="s">
        <v>22</v>
      </c>
    </row>
    <row r="10563" spans="1:11">
      <c r="A10563" s="33" t="s">
        <v>24110</v>
      </c>
      <c r="B10563" s="33" t="s">
        <v>24111</v>
      </c>
      <c r="C10563" s="33" t="s">
        <v>20075</v>
      </c>
      <c r="D10563" s="33" t="s">
        <v>17</v>
      </c>
      <c r="E10563" s="33" t="s">
        <v>31</v>
      </c>
      <c r="F10563" s="33" t="s">
        <v>32</v>
      </c>
      <c r="G10563" s="33" t="s">
        <v>106</v>
      </c>
      <c r="H10563" s="35">
        <v>229</v>
      </c>
      <c r="I10563" s="33" t="s">
        <v>21</v>
      </c>
      <c r="J10563" s="42">
        <v>44719</v>
      </c>
      <c r="K10563" s="33" t="s">
        <v>22</v>
      </c>
    </row>
    <row r="10564" spans="1:11">
      <c r="A10564" s="30" t="s">
        <v>24112</v>
      </c>
      <c r="B10564" s="30" t="s">
        <v>24113</v>
      </c>
      <c r="C10564" s="30" t="s">
        <v>7900</v>
      </c>
      <c r="D10564" s="30" t="s">
        <v>17</v>
      </c>
      <c r="E10564" s="30" t="s">
        <v>26</v>
      </c>
      <c r="F10564" s="30" t="s">
        <v>27</v>
      </c>
      <c r="G10564" s="30" t="s">
        <v>20</v>
      </c>
      <c r="H10564" s="32">
        <v>40</v>
      </c>
      <c r="I10564" s="30" t="s">
        <v>21</v>
      </c>
      <c r="J10564" s="41">
        <v>44578</v>
      </c>
      <c r="K10564" s="30" t="s">
        <v>22</v>
      </c>
    </row>
    <row r="10565" spans="1:11">
      <c r="A10565" s="33" t="s">
        <v>24114</v>
      </c>
      <c r="B10565" s="33" t="s">
        <v>24115</v>
      </c>
      <c r="C10565" s="33" t="s">
        <v>24116</v>
      </c>
      <c r="D10565" s="33" t="s">
        <v>17</v>
      </c>
      <c r="E10565" s="33" t="s">
        <v>31</v>
      </c>
      <c r="F10565" s="33" t="s">
        <v>32</v>
      </c>
      <c r="G10565" s="33" t="s">
        <v>158</v>
      </c>
      <c r="H10565" s="35">
        <v>50</v>
      </c>
      <c r="I10565" s="33" t="s">
        <v>51</v>
      </c>
      <c r="J10565" s="42">
        <v>44795</v>
      </c>
      <c r="K10565" s="33" t="s">
        <v>22</v>
      </c>
    </row>
    <row r="10566" spans="1:11">
      <c r="A10566" s="30" t="s">
        <v>24117</v>
      </c>
      <c r="B10566" s="30" t="s">
        <v>24118</v>
      </c>
      <c r="C10566" s="30" t="s">
        <v>44</v>
      </c>
      <c r="D10566" s="30" t="s">
        <v>17</v>
      </c>
      <c r="E10566" s="30" t="s">
        <v>31</v>
      </c>
      <c r="F10566" s="30" t="s">
        <v>32</v>
      </c>
      <c r="G10566" s="30" t="s">
        <v>106</v>
      </c>
      <c r="H10566" s="32">
        <v>20</v>
      </c>
      <c r="I10566" s="30" t="s">
        <v>21</v>
      </c>
      <c r="J10566" s="41">
        <v>44620</v>
      </c>
      <c r="K10566" s="30" t="s">
        <v>22</v>
      </c>
    </row>
    <row r="10567" spans="1:11">
      <c r="A10567" s="33" t="s">
        <v>24119</v>
      </c>
      <c r="B10567" s="33" t="s">
        <v>24120</v>
      </c>
      <c r="C10567" s="33" t="s">
        <v>252</v>
      </c>
      <c r="D10567" s="33" t="s">
        <v>17</v>
      </c>
      <c r="E10567" s="33" t="s">
        <v>67</v>
      </c>
      <c r="F10567" s="33" t="s">
        <v>68</v>
      </c>
      <c r="G10567" s="33" t="s">
        <v>20</v>
      </c>
      <c r="H10567" s="35">
        <v>154</v>
      </c>
      <c r="I10567" s="33" t="s">
        <v>21</v>
      </c>
      <c r="J10567" s="42">
        <v>44583</v>
      </c>
      <c r="K10567" s="33" t="s">
        <v>22</v>
      </c>
    </row>
    <row r="10568" spans="1:11">
      <c r="A10568" s="30" t="s">
        <v>24121</v>
      </c>
      <c r="B10568" s="30" t="s">
        <v>24122</v>
      </c>
      <c r="C10568" s="30" t="s">
        <v>102</v>
      </c>
      <c r="D10568" s="30" t="s">
        <v>17</v>
      </c>
      <c r="E10568" s="30" t="s">
        <v>26</v>
      </c>
      <c r="F10568" s="30" t="s">
        <v>27</v>
      </c>
      <c r="G10568" s="30" t="s">
        <v>20</v>
      </c>
      <c r="H10568" s="32">
        <v>8</v>
      </c>
      <c r="I10568" s="30" t="s">
        <v>21</v>
      </c>
      <c r="J10568" s="41">
        <v>44575</v>
      </c>
      <c r="K10568" s="30" t="s">
        <v>22</v>
      </c>
    </row>
    <row r="10569" spans="1:11">
      <c r="A10569" s="33" t="s">
        <v>24123</v>
      </c>
      <c r="B10569" s="33" t="s">
        <v>24124</v>
      </c>
      <c r="C10569" s="33" t="s">
        <v>24125</v>
      </c>
      <c r="D10569" s="33" t="s">
        <v>17</v>
      </c>
      <c r="E10569" s="33" t="s">
        <v>31</v>
      </c>
      <c r="F10569" s="33" t="s">
        <v>32</v>
      </c>
      <c r="G10569" s="33" t="s">
        <v>158</v>
      </c>
      <c r="H10569" s="35">
        <v>14</v>
      </c>
      <c r="I10569" s="33" t="s">
        <v>21</v>
      </c>
      <c r="J10569" s="42">
        <v>44904</v>
      </c>
      <c r="K10569" s="33" t="s">
        <v>22</v>
      </c>
    </row>
    <row r="10570" spans="1:11">
      <c r="A10570" s="30" t="s">
        <v>24126</v>
      </c>
      <c r="B10570" s="30" t="s">
        <v>24127</v>
      </c>
      <c r="C10570" s="30" t="s">
        <v>2354</v>
      </c>
      <c r="D10570" s="30" t="s">
        <v>17</v>
      </c>
      <c r="E10570" s="30" t="s">
        <v>31</v>
      </c>
      <c r="F10570" s="30" t="s">
        <v>32</v>
      </c>
      <c r="G10570" s="30" t="s">
        <v>20</v>
      </c>
      <c r="H10570" s="32">
        <v>91</v>
      </c>
      <c r="I10570" s="30" t="s">
        <v>21</v>
      </c>
      <c r="J10570" s="41">
        <v>44727</v>
      </c>
      <c r="K10570" s="30" t="s">
        <v>22</v>
      </c>
    </row>
    <row r="10571" spans="1:11">
      <c r="A10571" s="33" t="s">
        <v>24128</v>
      </c>
      <c r="B10571" s="33" t="s">
        <v>24129</v>
      </c>
      <c r="C10571" s="33" t="s">
        <v>24130</v>
      </c>
      <c r="D10571" s="33" t="s">
        <v>17</v>
      </c>
      <c r="E10571" s="33" t="s">
        <v>18</v>
      </c>
      <c r="F10571" s="33" t="s">
        <v>19</v>
      </c>
      <c r="G10571" s="33" t="s">
        <v>140</v>
      </c>
      <c r="H10571" s="35">
        <v>88</v>
      </c>
      <c r="I10571" s="33" t="s">
        <v>51</v>
      </c>
      <c r="J10571" s="42">
        <v>44728</v>
      </c>
      <c r="K10571" s="33" t="s">
        <v>22</v>
      </c>
    </row>
    <row r="10572" spans="1:11">
      <c r="A10572" s="30" t="s">
        <v>24131</v>
      </c>
      <c r="B10572" s="30" t="s">
        <v>24132</v>
      </c>
      <c r="C10572" s="30" t="s">
        <v>16878</v>
      </c>
      <c r="D10572" s="30" t="s">
        <v>17</v>
      </c>
      <c r="E10572" s="30" t="s">
        <v>45</v>
      </c>
      <c r="F10572" s="30" t="s">
        <v>46</v>
      </c>
      <c r="G10572" s="30" t="s">
        <v>106</v>
      </c>
      <c r="H10572" s="32">
        <v>177</v>
      </c>
      <c r="I10572" s="30" t="s">
        <v>21</v>
      </c>
      <c r="J10572" s="41">
        <v>44701</v>
      </c>
      <c r="K10572" s="30" t="s">
        <v>22</v>
      </c>
    </row>
    <row r="10573" spans="1:11">
      <c r="A10573" s="33" t="s">
        <v>24133</v>
      </c>
      <c r="B10573" s="33" t="s">
        <v>24134</v>
      </c>
      <c r="C10573" s="33" t="s">
        <v>23866</v>
      </c>
      <c r="D10573" s="33" t="s">
        <v>17</v>
      </c>
      <c r="E10573" s="33" t="s">
        <v>26</v>
      </c>
      <c r="F10573" s="33" t="s">
        <v>27</v>
      </c>
      <c r="G10573" s="33" t="s">
        <v>50</v>
      </c>
      <c r="H10573" s="35">
        <v>6</v>
      </c>
      <c r="I10573" s="33" t="s">
        <v>21</v>
      </c>
      <c r="J10573" s="42">
        <v>44863</v>
      </c>
      <c r="K10573" s="33" t="s">
        <v>22</v>
      </c>
    </row>
    <row r="10574" spans="1:11">
      <c r="A10574" s="30" t="s">
        <v>24135</v>
      </c>
      <c r="B10574" s="30" t="s">
        <v>24136</v>
      </c>
      <c r="C10574" s="30" t="s">
        <v>24137</v>
      </c>
      <c r="D10574" s="30" t="s">
        <v>17</v>
      </c>
      <c r="E10574" s="30" t="s">
        <v>26</v>
      </c>
      <c r="F10574" s="30" t="s">
        <v>27</v>
      </c>
      <c r="G10574" s="30" t="s">
        <v>106</v>
      </c>
      <c r="H10574" s="32">
        <v>2</v>
      </c>
      <c r="I10574" s="30" t="s">
        <v>21</v>
      </c>
      <c r="J10574" s="41">
        <v>44894</v>
      </c>
      <c r="K10574" s="30" t="s">
        <v>22</v>
      </c>
    </row>
    <row r="10575" spans="1:11">
      <c r="A10575" s="33" t="s">
        <v>24138</v>
      </c>
      <c r="B10575" s="33" t="s">
        <v>24139</v>
      </c>
      <c r="C10575" s="33" t="s">
        <v>24140</v>
      </c>
      <c r="D10575" s="33" t="s">
        <v>17</v>
      </c>
      <c r="E10575" s="33" t="s">
        <v>45</v>
      </c>
      <c r="F10575" s="33" t="s">
        <v>46</v>
      </c>
      <c r="G10575" s="33" t="s">
        <v>106</v>
      </c>
      <c r="H10575" s="35">
        <v>381</v>
      </c>
      <c r="I10575" s="33" t="s">
        <v>21</v>
      </c>
      <c r="J10575" s="42">
        <v>44589</v>
      </c>
      <c r="K10575" s="33" t="s">
        <v>22</v>
      </c>
    </row>
    <row r="10576" spans="1:11">
      <c r="A10576" s="30" t="s">
        <v>24141</v>
      </c>
      <c r="B10576" s="30" t="s">
        <v>24142</v>
      </c>
      <c r="C10576" s="30" t="s">
        <v>154</v>
      </c>
      <c r="D10576" s="30" t="s">
        <v>17</v>
      </c>
      <c r="E10576" s="30" t="s">
        <v>31</v>
      </c>
      <c r="F10576" s="30" t="s">
        <v>32</v>
      </c>
      <c r="G10576" s="30" t="s">
        <v>158</v>
      </c>
      <c r="H10576" s="32">
        <v>100</v>
      </c>
      <c r="I10576" s="30" t="s">
        <v>21</v>
      </c>
      <c r="J10576" s="41">
        <v>44859</v>
      </c>
      <c r="K10576" s="30" t="s">
        <v>22</v>
      </c>
    </row>
    <row r="10577" spans="1:11">
      <c r="A10577" s="33" t="s">
        <v>24143</v>
      </c>
      <c r="B10577" s="33" t="s">
        <v>24144</v>
      </c>
      <c r="C10577" s="33" t="s">
        <v>6784</v>
      </c>
      <c r="D10577" s="33" t="s">
        <v>17</v>
      </c>
      <c r="E10577" s="33" t="s">
        <v>31</v>
      </c>
      <c r="F10577" s="33" t="s">
        <v>32</v>
      </c>
      <c r="G10577" s="33" t="s">
        <v>20</v>
      </c>
      <c r="H10577" s="35">
        <v>18</v>
      </c>
      <c r="I10577" s="33" t="s">
        <v>21</v>
      </c>
      <c r="J10577" s="42">
        <v>44781</v>
      </c>
      <c r="K10577" s="33" t="s">
        <v>22</v>
      </c>
    </row>
    <row r="10578" spans="1:11">
      <c r="A10578" s="30" t="s">
        <v>24145</v>
      </c>
      <c r="B10578" s="30" t="s">
        <v>24146</v>
      </c>
      <c r="C10578" s="30" t="s">
        <v>22614</v>
      </c>
      <c r="D10578" s="30" t="s">
        <v>17</v>
      </c>
      <c r="E10578" s="30" t="s">
        <v>26</v>
      </c>
      <c r="F10578" s="30" t="s">
        <v>27</v>
      </c>
      <c r="G10578" s="30" t="s">
        <v>158</v>
      </c>
      <c r="H10578" s="32">
        <v>21</v>
      </c>
      <c r="I10578" s="30" t="s">
        <v>21</v>
      </c>
      <c r="J10578" s="41">
        <v>44844</v>
      </c>
      <c r="K10578" s="30" t="s">
        <v>22</v>
      </c>
    </row>
    <row r="10579" spans="1:11">
      <c r="A10579" s="33" t="s">
        <v>24147</v>
      </c>
      <c r="B10579" s="33" t="s">
        <v>24148</v>
      </c>
      <c r="C10579" s="33" t="s">
        <v>2753</v>
      </c>
      <c r="D10579" s="33" t="s">
        <v>17</v>
      </c>
      <c r="E10579" s="33" t="s">
        <v>18</v>
      </c>
      <c r="F10579" s="33" t="s">
        <v>19</v>
      </c>
      <c r="G10579" s="33" t="s">
        <v>140</v>
      </c>
      <c r="H10579" s="35">
        <v>780</v>
      </c>
      <c r="I10579" s="33" t="s">
        <v>51</v>
      </c>
      <c r="J10579" s="42">
        <v>44630</v>
      </c>
      <c r="K10579" s="33" t="s">
        <v>22</v>
      </c>
    </row>
    <row r="10580" spans="1:11">
      <c r="A10580" s="30" t="s">
        <v>24149</v>
      </c>
      <c r="B10580" s="30" t="s">
        <v>24150</v>
      </c>
      <c r="C10580" s="30" t="s">
        <v>96</v>
      </c>
      <c r="D10580" s="30" t="s">
        <v>17</v>
      </c>
      <c r="E10580" s="30" t="s">
        <v>26</v>
      </c>
      <c r="F10580" s="30" t="s">
        <v>27</v>
      </c>
      <c r="G10580" s="30" t="s">
        <v>20</v>
      </c>
      <c r="H10580" s="32">
        <v>141</v>
      </c>
      <c r="I10580" s="30" t="s">
        <v>21</v>
      </c>
      <c r="J10580" s="41">
        <v>44602</v>
      </c>
      <c r="K10580" s="30" t="s">
        <v>22</v>
      </c>
    </row>
    <row r="10581" spans="1:11">
      <c r="A10581" s="33" t="s">
        <v>24151</v>
      </c>
      <c r="B10581" s="33" t="s">
        <v>24152</v>
      </c>
      <c r="C10581" s="33" t="s">
        <v>969</v>
      </c>
      <c r="D10581" s="33" t="s">
        <v>17</v>
      </c>
      <c r="E10581" s="33" t="s">
        <v>31</v>
      </c>
      <c r="F10581" s="33" t="s">
        <v>32</v>
      </c>
      <c r="G10581" s="33" t="s">
        <v>20</v>
      </c>
      <c r="H10581" s="35">
        <v>801</v>
      </c>
      <c r="I10581" s="33" t="s">
        <v>21</v>
      </c>
      <c r="J10581" s="42">
        <v>44909</v>
      </c>
      <c r="K10581" s="33" t="s">
        <v>22</v>
      </c>
    </row>
    <row r="10582" spans="1:11">
      <c r="A10582" s="30" t="s">
        <v>24153</v>
      </c>
      <c r="B10582" s="30" t="s">
        <v>24154</v>
      </c>
      <c r="C10582" s="30" t="s">
        <v>644</v>
      </c>
      <c r="D10582" s="30" t="s">
        <v>17</v>
      </c>
      <c r="E10582" s="30" t="s">
        <v>67</v>
      </c>
      <c r="F10582" s="30" t="s">
        <v>68</v>
      </c>
      <c r="G10582" s="30" t="s">
        <v>140</v>
      </c>
      <c r="H10582" s="32">
        <v>135</v>
      </c>
      <c r="I10582" s="30" t="s">
        <v>51</v>
      </c>
      <c r="J10582" s="41">
        <v>44623</v>
      </c>
      <c r="K10582" s="30" t="s">
        <v>22</v>
      </c>
    </row>
    <row r="10583" spans="1:11">
      <c r="A10583" s="33" t="s">
        <v>24155</v>
      </c>
      <c r="B10583" s="33" t="s">
        <v>24156</v>
      </c>
      <c r="C10583" s="33" t="s">
        <v>124</v>
      </c>
      <c r="D10583" s="33" t="s">
        <v>17</v>
      </c>
      <c r="E10583" s="33" t="s">
        <v>31</v>
      </c>
      <c r="F10583" s="33" t="s">
        <v>32</v>
      </c>
      <c r="G10583" s="33" t="s">
        <v>20</v>
      </c>
      <c r="H10583" s="35">
        <v>102</v>
      </c>
      <c r="I10583" s="33" t="s">
        <v>21</v>
      </c>
      <c r="J10583" s="42">
        <v>44573</v>
      </c>
      <c r="K10583" s="33" t="s">
        <v>22</v>
      </c>
    </row>
    <row r="10584" spans="1:11">
      <c r="A10584" s="30" t="s">
        <v>24157</v>
      </c>
      <c r="B10584" s="30" t="s">
        <v>24158</v>
      </c>
      <c r="C10584" s="30" t="s">
        <v>11434</v>
      </c>
      <c r="D10584" s="30" t="s">
        <v>17</v>
      </c>
      <c r="E10584" s="30" t="s">
        <v>67</v>
      </c>
      <c r="F10584" s="30" t="s">
        <v>68</v>
      </c>
      <c r="G10584" s="30" t="s">
        <v>20</v>
      </c>
      <c r="H10584" s="32">
        <v>40</v>
      </c>
      <c r="I10584" s="30" t="s">
        <v>21</v>
      </c>
      <c r="J10584" s="41">
        <v>44609</v>
      </c>
      <c r="K10584" s="30" t="s">
        <v>22</v>
      </c>
    </row>
    <row r="10585" spans="1:11">
      <c r="A10585" s="33" t="s">
        <v>24159</v>
      </c>
      <c r="B10585" s="33" t="s">
        <v>24160</v>
      </c>
      <c r="C10585" s="33" t="s">
        <v>2565</v>
      </c>
      <c r="D10585" s="33" t="s">
        <v>17</v>
      </c>
      <c r="E10585" s="33" t="s">
        <v>67</v>
      </c>
      <c r="F10585" s="33" t="s">
        <v>68</v>
      </c>
      <c r="G10585" s="33" t="s">
        <v>20</v>
      </c>
      <c r="H10585" s="35">
        <v>60</v>
      </c>
      <c r="I10585" s="33" t="s">
        <v>21</v>
      </c>
      <c r="J10585" s="42">
        <v>44622</v>
      </c>
      <c r="K10585" s="33" t="s">
        <v>22</v>
      </c>
    </row>
    <row r="10586" spans="1:11">
      <c r="A10586" s="30" t="s">
        <v>24161</v>
      </c>
      <c r="B10586" s="30" t="s">
        <v>24162</v>
      </c>
      <c r="C10586" s="30" t="s">
        <v>310</v>
      </c>
      <c r="D10586" s="30" t="s">
        <v>17</v>
      </c>
      <c r="E10586" s="30" t="s">
        <v>18</v>
      </c>
      <c r="F10586" s="30" t="s">
        <v>19</v>
      </c>
      <c r="G10586" s="30" t="s">
        <v>20</v>
      </c>
      <c r="H10586" s="32">
        <v>70</v>
      </c>
      <c r="I10586" s="30" t="s">
        <v>21</v>
      </c>
      <c r="J10586" s="41">
        <v>44655</v>
      </c>
      <c r="K10586" s="30" t="s">
        <v>22</v>
      </c>
    </row>
    <row r="10587" spans="1:11">
      <c r="A10587" s="33" t="s">
        <v>24163</v>
      </c>
      <c r="B10587" s="33" t="s">
        <v>24164</v>
      </c>
      <c r="C10587" s="33" t="s">
        <v>6127</v>
      </c>
      <c r="D10587" s="33" t="s">
        <v>17</v>
      </c>
      <c r="E10587" s="33" t="s">
        <v>67</v>
      </c>
      <c r="F10587" s="33" t="s">
        <v>68</v>
      </c>
      <c r="G10587" s="33" t="s">
        <v>106</v>
      </c>
      <c r="H10587" s="35">
        <v>44</v>
      </c>
      <c r="I10587" s="33" t="s">
        <v>21</v>
      </c>
      <c r="J10587" s="42">
        <v>44617</v>
      </c>
      <c r="K10587" s="33" t="s">
        <v>22</v>
      </c>
    </row>
    <row r="10588" spans="1:11">
      <c r="A10588" s="30" t="s">
        <v>24165</v>
      </c>
      <c r="B10588" s="30" t="s">
        <v>24166</v>
      </c>
      <c r="C10588" s="30" t="s">
        <v>24167</v>
      </c>
      <c r="D10588" s="30" t="s">
        <v>17</v>
      </c>
      <c r="E10588" s="30" t="s">
        <v>45</v>
      </c>
      <c r="F10588" s="30" t="s">
        <v>46</v>
      </c>
      <c r="G10588" s="30" t="s">
        <v>50</v>
      </c>
      <c r="H10588" s="32">
        <v>128</v>
      </c>
      <c r="I10588" s="30" t="s">
        <v>51</v>
      </c>
      <c r="J10588" s="41">
        <v>44721</v>
      </c>
      <c r="K10588" s="30" t="s">
        <v>22</v>
      </c>
    </row>
    <row r="10589" spans="1:11">
      <c r="A10589" s="33" t="s">
        <v>24168</v>
      </c>
      <c r="B10589" s="33" t="s">
        <v>24169</v>
      </c>
      <c r="C10589" s="33" t="s">
        <v>310</v>
      </c>
      <c r="D10589" s="33" t="s">
        <v>17</v>
      </c>
      <c r="E10589" s="33" t="s">
        <v>26</v>
      </c>
      <c r="F10589" s="33" t="s">
        <v>27</v>
      </c>
      <c r="G10589" s="33" t="s">
        <v>20</v>
      </c>
      <c r="H10589" s="35">
        <v>24</v>
      </c>
      <c r="I10589" s="33" t="s">
        <v>21</v>
      </c>
      <c r="J10589" s="42">
        <v>44784</v>
      </c>
      <c r="K10589" s="33" t="s">
        <v>22</v>
      </c>
    </row>
    <row r="10590" spans="1:11">
      <c r="A10590" s="30" t="s">
        <v>24170</v>
      </c>
      <c r="B10590" s="30" t="s">
        <v>24171</v>
      </c>
      <c r="C10590" s="30" t="s">
        <v>5214</v>
      </c>
      <c r="D10590" s="30" t="s">
        <v>17</v>
      </c>
      <c r="E10590" s="30" t="s">
        <v>212</v>
      </c>
      <c r="F10590" s="30" t="s">
        <v>213</v>
      </c>
      <c r="G10590" s="30" t="s">
        <v>50</v>
      </c>
      <c r="H10590" s="32">
        <v>300</v>
      </c>
      <c r="I10590" s="30" t="s">
        <v>51</v>
      </c>
      <c r="J10590" s="41">
        <v>44748</v>
      </c>
      <c r="K10590" s="30" t="s">
        <v>22</v>
      </c>
    </row>
    <row r="10591" spans="1:11">
      <c r="A10591" s="33" t="s">
        <v>24172</v>
      </c>
      <c r="B10591" s="33" t="s">
        <v>24173</v>
      </c>
      <c r="C10591" s="33" t="s">
        <v>3978</v>
      </c>
      <c r="D10591" s="33" t="s">
        <v>17</v>
      </c>
      <c r="E10591" s="33" t="s">
        <v>31</v>
      </c>
      <c r="F10591" s="33" t="s">
        <v>32</v>
      </c>
      <c r="G10591" s="33" t="s">
        <v>20</v>
      </c>
      <c r="H10591" s="35">
        <v>12</v>
      </c>
      <c r="I10591" s="33" t="s">
        <v>21</v>
      </c>
      <c r="J10591" s="42">
        <v>44574</v>
      </c>
      <c r="K10591" s="33" t="s">
        <v>22</v>
      </c>
    </row>
    <row r="10592" spans="1:11">
      <c r="A10592" s="30" t="s">
        <v>24174</v>
      </c>
      <c r="B10592" s="30" t="s">
        <v>24175</v>
      </c>
      <c r="C10592" s="30" t="s">
        <v>24176</v>
      </c>
      <c r="D10592" s="30" t="s">
        <v>17</v>
      </c>
      <c r="E10592" s="30" t="s">
        <v>26</v>
      </c>
      <c r="F10592" s="30" t="s">
        <v>27</v>
      </c>
      <c r="G10592" s="30" t="s">
        <v>20</v>
      </c>
      <c r="H10592" s="32">
        <v>24</v>
      </c>
      <c r="I10592" s="30" t="s">
        <v>21</v>
      </c>
      <c r="J10592" s="41">
        <v>44896</v>
      </c>
      <c r="K10592" s="30" t="s">
        <v>22</v>
      </c>
    </row>
    <row r="10593" spans="1:11">
      <c r="A10593" s="33" t="s">
        <v>24177</v>
      </c>
      <c r="B10593" s="33" t="s">
        <v>24178</v>
      </c>
      <c r="C10593" s="33" t="s">
        <v>24179</v>
      </c>
      <c r="D10593" s="33" t="s">
        <v>17</v>
      </c>
      <c r="E10593" s="33" t="s">
        <v>67</v>
      </c>
      <c r="F10593" s="33" t="s">
        <v>68</v>
      </c>
      <c r="G10593" s="33" t="s">
        <v>158</v>
      </c>
      <c r="H10593" s="35">
        <v>58</v>
      </c>
      <c r="I10593" s="33" t="s">
        <v>51</v>
      </c>
      <c r="J10593" s="42">
        <v>44617</v>
      </c>
      <c r="K10593" s="33" t="s">
        <v>22</v>
      </c>
    </row>
    <row r="10594" spans="1:11">
      <c r="A10594" s="30" t="s">
        <v>24180</v>
      </c>
      <c r="B10594" s="30" t="s">
        <v>24181</v>
      </c>
      <c r="C10594" s="30" t="s">
        <v>16466</v>
      </c>
      <c r="D10594" s="30" t="s">
        <v>17</v>
      </c>
      <c r="E10594" s="30" t="s">
        <v>18</v>
      </c>
      <c r="F10594" s="30" t="s">
        <v>19</v>
      </c>
      <c r="G10594" s="30" t="s">
        <v>158</v>
      </c>
      <c r="H10594" s="32">
        <v>225</v>
      </c>
      <c r="I10594" s="30" t="s">
        <v>51</v>
      </c>
      <c r="J10594" s="41">
        <v>44651</v>
      </c>
      <c r="K10594" s="30" t="s">
        <v>22</v>
      </c>
    </row>
    <row r="10595" spans="1:11">
      <c r="A10595" s="33" t="s">
        <v>24182</v>
      </c>
      <c r="B10595" s="33" t="s">
        <v>24183</v>
      </c>
      <c r="C10595" s="33" t="s">
        <v>121</v>
      </c>
      <c r="D10595" s="33" t="s">
        <v>17</v>
      </c>
      <c r="E10595" s="33" t="s">
        <v>67</v>
      </c>
      <c r="F10595" s="33" t="s">
        <v>68</v>
      </c>
      <c r="G10595" s="33" t="s">
        <v>112</v>
      </c>
      <c r="H10595" s="35">
        <v>0</v>
      </c>
      <c r="I10595" s="33" t="s">
        <v>21</v>
      </c>
      <c r="J10595" s="42">
        <v>44621</v>
      </c>
      <c r="K10595" s="33" t="s">
        <v>22</v>
      </c>
    </row>
    <row r="10596" spans="1:11">
      <c r="A10596" s="30" t="s">
        <v>24184</v>
      </c>
      <c r="B10596" s="30" t="s">
        <v>24185</v>
      </c>
      <c r="C10596" s="30" t="s">
        <v>38</v>
      </c>
      <c r="D10596" s="30" t="s">
        <v>17</v>
      </c>
      <c r="E10596" s="30" t="s">
        <v>67</v>
      </c>
      <c r="F10596" s="30" t="s">
        <v>68</v>
      </c>
      <c r="G10596" s="30" t="s">
        <v>20</v>
      </c>
      <c r="H10596" s="32">
        <v>48</v>
      </c>
      <c r="I10596" s="30" t="s">
        <v>21</v>
      </c>
      <c r="J10596" s="41">
        <v>44571</v>
      </c>
      <c r="K10596" s="30" t="s">
        <v>22</v>
      </c>
    </row>
    <row r="10597" spans="1:11">
      <c r="A10597" s="33" t="s">
        <v>24186</v>
      </c>
      <c r="B10597" s="33" t="s">
        <v>24187</v>
      </c>
      <c r="C10597" s="33" t="s">
        <v>3660</v>
      </c>
      <c r="D10597" s="33" t="s">
        <v>17</v>
      </c>
      <c r="E10597" s="33" t="s">
        <v>31</v>
      </c>
      <c r="F10597" s="33" t="s">
        <v>32</v>
      </c>
      <c r="G10597" s="33" t="s">
        <v>20</v>
      </c>
      <c r="H10597" s="35">
        <v>161</v>
      </c>
      <c r="I10597" s="33" t="s">
        <v>21</v>
      </c>
      <c r="J10597" s="42">
        <v>44742</v>
      </c>
      <c r="K10597" s="33" t="s">
        <v>22</v>
      </c>
    </row>
    <row r="10598" spans="1:11">
      <c r="A10598" s="30" t="s">
        <v>24188</v>
      </c>
      <c r="B10598" s="30" t="s">
        <v>24189</v>
      </c>
      <c r="C10598" s="30" t="s">
        <v>4742</v>
      </c>
      <c r="D10598" s="30" t="s">
        <v>17</v>
      </c>
      <c r="E10598" s="30" t="s">
        <v>212</v>
      </c>
      <c r="F10598" s="30" t="s">
        <v>213</v>
      </c>
      <c r="G10598" s="30" t="s">
        <v>69</v>
      </c>
      <c r="H10598" s="32">
        <v>480</v>
      </c>
      <c r="I10598" s="30" t="s">
        <v>51</v>
      </c>
      <c r="J10598" s="41">
        <v>44915</v>
      </c>
      <c r="K10598" s="30" t="s">
        <v>22</v>
      </c>
    </row>
    <row r="10599" spans="1:11">
      <c r="A10599" s="33" t="s">
        <v>24190</v>
      </c>
      <c r="B10599" s="33" t="s">
        <v>24191</v>
      </c>
      <c r="C10599" s="33" t="s">
        <v>96</v>
      </c>
      <c r="D10599" s="33" t="s">
        <v>17</v>
      </c>
      <c r="E10599" s="33" t="s">
        <v>26</v>
      </c>
      <c r="F10599" s="33" t="s">
        <v>27</v>
      </c>
      <c r="G10599" s="33" t="s">
        <v>20</v>
      </c>
      <c r="H10599" s="35">
        <v>9</v>
      </c>
      <c r="I10599" s="33" t="s">
        <v>21</v>
      </c>
      <c r="J10599" s="42">
        <v>44917</v>
      </c>
      <c r="K10599" s="33" t="s">
        <v>22</v>
      </c>
    </row>
    <row r="10600" spans="1:11">
      <c r="A10600" s="30" t="s">
        <v>24192</v>
      </c>
      <c r="B10600" s="30" t="s">
        <v>24193</v>
      </c>
      <c r="C10600" s="30" t="s">
        <v>10300</v>
      </c>
      <c r="D10600" s="30" t="s">
        <v>17</v>
      </c>
      <c r="E10600" s="30" t="s">
        <v>26</v>
      </c>
      <c r="F10600" s="30" t="s">
        <v>27</v>
      </c>
      <c r="G10600" s="30" t="s">
        <v>20</v>
      </c>
      <c r="H10600" s="32">
        <v>24</v>
      </c>
      <c r="I10600" s="30" t="s">
        <v>21</v>
      </c>
      <c r="J10600" s="41">
        <v>44602</v>
      </c>
      <c r="K10600" s="30" t="s">
        <v>22</v>
      </c>
    </row>
    <row r="10601" spans="1:11">
      <c r="A10601" s="33" t="s">
        <v>24194</v>
      </c>
      <c r="B10601" s="33" t="s">
        <v>24195</v>
      </c>
      <c r="C10601" s="33" t="s">
        <v>18761</v>
      </c>
      <c r="D10601" s="33" t="s">
        <v>17</v>
      </c>
      <c r="E10601" s="33" t="s">
        <v>67</v>
      </c>
      <c r="F10601" s="33" t="s">
        <v>68</v>
      </c>
      <c r="G10601" s="33" t="s">
        <v>106</v>
      </c>
      <c r="H10601" s="35">
        <v>5</v>
      </c>
      <c r="I10601" s="33" t="s">
        <v>21</v>
      </c>
      <c r="J10601" s="42">
        <v>44672</v>
      </c>
      <c r="K10601" s="33" t="s">
        <v>22</v>
      </c>
    </row>
    <row r="10602" spans="1:11">
      <c r="A10602" s="30" t="s">
        <v>24196</v>
      </c>
      <c r="B10602" s="30" t="s">
        <v>24197</v>
      </c>
      <c r="C10602" s="30" t="s">
        <v>9989</v>
      </c>
      <c r="D10602" s="30" t="s">
        <v>17</v>
      </c>
      <c r="E10602" s="30" t="s">
        <v>26</v>
      </c>
      <c r="F10602" s="30" t="s">
        <v>27</v>
      </c>
      <c r="G10602" s="30" t="s">
        <v>112</v>
      </c>
      <c r="H10602" s="32">
        <v>0</v>
      </c>
      <c r="I10602" s="30" t="s">
        <v>21</v>
      </c>
      <c r="J10602" s="41">
        <v>44881</v>
      </c>
      <c r="K10602" s="30" t="s">
        <v>22</v>
      </c>
    </row>
    <row r="10603" spans="1:11">
      <c r="A10603" s="33" t="s">
        <v>24198</v>
      </c>
      <c r="B10603" s="33" t="s">
        <v>24199</v>
      </c>
      <c r="C10603" s="33" t="s">
        <v>24200</v>
      </c>
      <c r="D10603" s="33" t="s">
        <v>17</v>
      </c>
      <c r="E10603" s="33" t="s">
        <v>18</v>
      </c>
      <c r="F10603" s="33" t="s">
        <v>19</v>
      </c>
      <c r="G10603" s="33" t="s">
        <v>158</v>
      </c>
      <c r="H10603" s="35">
        <v>241</v>
      </c>
      <c r="I10603" s="33" t="s">
        <v>21</v>
      </c>
      <c r="J10603" s="42">
        <v>44865</v>
      </c>
      <c r="K10603" s="33" t="s">
        <v>22</v>
      </c>
    </row>
    <row r="10604" spans="1:11">
      <c r="A10604" s="30" t="s">
        <v>24201</v>
      </c>
      <c r="B10604" s="30" t="s">
        <v>24202</v>
      </c>
      <c r="C10604" s="30" t="s">
        <v>24203</v>
      </c>
      <c r="D10604" s="30" t="s">
        <v>17</v>
      </c>
      <c r="E10604" s="30" t="s">
        <v>26</v>
      </c>
      <c r="F10604" s="30" t="s">
        <v>27</v>
      </c>
      <c r="G10604" s="30" t="s">
        <v>20</v>
      </c>
      <c r="H10604" s="32">
        <v>9</v>
      </c>
      <c r="I10604" s="30" t="s">
        <v>21</v>
      </c>
      <c r="J10604" s="41">
        <v>44614</v>
      </c>
      <c r="K10604" s="30" t="s">
        <v>22</v>
      </c>
    </row>
    <row r="10605" spans="1:11">
      <c r="A10605" s="33" t="s">
        <v>24204</v>
      </c>
      <c r="B10605" s="33" t="s">
        <v>24205</v>
      </c>
      <c r="C10605" s="33" t="s">
        <v>12569</v>
      </c>
      <c r="D10605" s="33" t="s">
        <v>17</v>
      </c>
      <c r="E10605" s="33" t="s">
        <v>67</v>
      </c>
      <c r="F10605" s="33" t="s">
        <v>68</v>
      </c>
      <c r="G10605" s="33" t="s">
        <v>140</v>
      </c>
      <c r="H10605" s="35">
        <v>150</v>
      </c>
      <c r="I10605" s="33" t="s">
        <v>51</v>
      </c>
      <c r="J10605" s="42">
        <v>44718</v>
      </c>
      <c r="K10605" s="33" t="s">
        <v>22</v>
      </c>
    </row>
    <row r="10606" spans="1:11">
      <c r="A10606" s="30" t="s">
        <v>24206</v>
      </c>
      <c r="B10606" s="30" t="s">
        <v>24207</v>
      </c>
      <c r="C10606" s="30" t="s">
        <v>10860</v>
      </c>
      <c r="D10606" s="30" t="s">
        <v>17</v>
      </c>
      <c r="E10606" s="30" t="s">
        <v>31</v>
      </c>
      <c r="F10606" s="30" t="s">
        <v>32</v>
      </c>
      <c r="G10606" s="30" t="s">
        <v>106</v>
      </c>
      <c r="H10606" s="32">
        <v>8</v>
      </c>
      <c r="I10606" s="30" t="s">
        <v>21</v>
      </c>
      <c r="J10606" s="41">
        <v>44678</v>
      </c>
      <c r="K10606" s="30" t="s">
        <v>22</v>
      </c>
    </row>
    <row r="10607" spans="1:11">
      <c r="A10607" s="33" t="s">
        <v>24208</v>
      </c>
      <c r="B10607" s="33" t="s">
        <v>24209</v>
      </c>
      <c r="C10607" s="33" t="s">
        <v>3660</v>
      </c>
      <c r="D10607" s="33" t="s">
        <v>17</v>
      </c>
      <c r="E10607" s="33" t="s">
        <v>18</v>
      </c>
      <c r="F10607" s="33" t="s">
        <v>19</v>
      </c>
      <c r="G10607" s="33" t="s">
        <v>112</v>
      </c>
      <c r="H10607" s="35">
        <v>0</v>
      </c>
      <c r="I10607" s="33" t="s">
        <v>21</v>
      </c>
      <c r="J10607" s="42">
        <v>44805</v>
      </c>
      <c r="K10607" s="33" t="s">
        <v>22</v>
      </c>
    </row>
    <row r="10608" spans="1:11">
      <c r="A10608" s="30" t="s">
        <v>24210</v>
      </c>
      <c r="B10608" s="30" t="s">
        <v>24211</v>
      </c>
      <c r="C10608" s="30" t="s">
        <v>6903</v>
      </c>
      <c r="D10608" s="30" t="s">
        <v>17</v>
      </c>
      <c r="E10608" s="30" t="s">
        <v>31</v>
      </c>
      <c r="F10608" s="30" t="s">
        <v>32</v>
      </c>
      <c r="G10608" s="30" t="s">
        <v>112</v>
      </c>
      <c r="H10608" s="32">
        <v>0</v>
      </c>
      <c r="I10608" s="30" t="s">
        <v>21</v>
      </c>
      <c r="J10608" s="41">
        <v>44585</v>
      </c>
      <c r="K10608" s="30" t="s">
        <v>22</v>
      </c>
    </row>
    <row r="10609" spans="1:11">
      <c r="A10609" s="33" t="s">
        <v>24212</v>
      </c>
      <c r="B10609" s="33" t="s">
        <v>24213</v>
      </c>
      <c r="C10609" s="33" t="s">
        <v>22530</v>
      </c>
      <c r="D10609" s="33" t="s">
        <v>17</v>
      </c>
      <c r="E10609" s="33" t="s">
        <v>31</v>
      </c>
      <c r="F10609" s="33" t="s">
        <v>32</v>
      </c>
      <c r="G10609" s="33" t="s">
        <v>106</v>
      </c>
      <c r="H10609" s="35">
        <v>24</v>
      </c>
      <c r="I10609" s="33" t="s">
        <v>21</v>
      </c>
      <c r="J10609" s="42">
        <v>44641</v>
      </c>
      <c r="K10609" s="33" t="s">
        <v>22</v>
      </c>
    </row>
    <row r="10610" spans="1:11">
      <c r="A10610" s="30" t="s">
        <v>24214</v>
      </c>
      <c r="B10610" s="30" t="s">
        <v>24215</v>
      </c>
      <c r="C10610" s="30" t="s">
        <v>178</v>
      </c>
      <c r="D10610" s="30" t="s">
        <v>17</v>
      </c>
      <c r="E10610" s="30" t="s">
        <v>26</v>
      </c>
      <c r="F10610" s="30" t="s">
        <v>27</v>
      </c>
      <c r="G10610" s="30" t="s">
        <v>106</v>
      </c>
      <c r="H10610" s="32">
        <v>53</v>
      </c>
      <c r="I10610" s="30" t="s">
        <v>21</v>
      </c>
      <c r="J10610" s="41">
        <v>44610</v>
      </c>
      <c r="K10610" s="30" t="s">
        <v>22</v>
      </c>
    </row>
    <row r="10611" spans="1:11">
      <c r="A10611" s="33" t="s">
        <v>24216</v>
      </c>
      <c r="B10611" s="33" t="s">
        <v>24217</v>
      </c>
      <c r="C10611" s="33" t="s">
        <v>9078</v>
      </c>
      <c r="D10611" s="33" t="s">
        <v>17</v>
      </c>
      <c r="E10611" s="33" t="s">
        <v>31</v>
      </c>
      <c r="F10611" s="33" t="s">
        <v>32</v>
      </c>
      <c r="G10611" s="33" t="s">
        <v>158</v>
      </c>
      <c r="H10611" s="35">
        <v>70</v>
      </c>
      <c r="I10611" s="33" t="s">
        <v>21</v>
      </c>
      <c r="J10611" s="42">
        <v>44708</v>
      </c>
      <c r="K10611" s="33" t="s">
        <v>22</v>
      </c>
    </row>
    <row r="10612" spans="1:11">
      <c r="A10612" s="30" t="s">
        <v>24218</v>
      </c>
      <c r="B10612" s="30" t="s">
        <v>24219</v>
      </c>
      <c r="C10612" s="30" t="s">
        <v>24220</v>
      </c>
      <c r="D10612" s="30" t="s">
        <v>17</v>
      </c>
      <c r="E10612" s="30" t="s">
        <v>26</v>
      </c>
      <c r="F10612" s="30" t="s">
        <v>27</v>
      </c>
      <c r="G10612" s="30" t="s">
        <v>20</v>
      </c>
      <c r="H10612" s="32">
        <v>19</v>
      </c>
      <c r="I10612" s="30" t="s">
        <v>21</v>
      </c>
      <c r="J10612" s="41">
        <v>44659</v>
      </c>
      <c r="K10612" s="30" t="s">
        <v>22</v>
      </c>
    </row>
    <row r="10613" spans="1:11">
      <c r="A10613" s="33" t="s">
        <v>24221</v>
      </c>
      <c r="B10613" s="33" t="s">
        <v>24222</v>
      </c>
      <c r="C10613" s="33" t="s">
        <v>450</v>
      </c>
      <c r="D10613" s="33" t="s">
        <v>17</v>
      </c>
      <c r="E10613" s="33" t="s">
        <v>31</v>
      </c>
      <c r="F10613" s="33" t="s">
        <v>32</v>
      </c>
      <c r="G10613" s="33" t="s">
        <v>106</v>
      </c>
      <c r="H10613" s="35">
        <v>100</v>
      </c>
      <c r="I10613" s="33" t="s">
        <v>21</v>
      </c>
      <c r="J10613" s="42">
        <v>44575</v>
      </c>
      <c r="K10613" s="33" t="s">
        <v>22</v>
      </c>
    </row>
    <row r="10614" spans="1:11">
      <c r="A10614" s="30" t="s">
        <v>24223</v>
      </c>
      <c r="B10614" s="30" t="s">
        <v>24224</v>
      </c>
      <c r="C10614" s="30" t="s">
        <v>24225</v>
      </c>
      <c r="D10614" s="30" t="s">
        <v>17</v>
      </c>
      <c r="E10614" s="30" t="s">
        <v>26</v>
      </c>
      <c r="F10614" s="30" t="s">
        <v>27</v>
      </c>
      <c r="G10614" s="30" t="s">
        <v>158</v>
      </c>
      <c r="H10614" s="32">
        <v>27</v>
      </c>
      <c r="I10614" s="30" t="s">
        <v>21</v>
      </c>
      <c r="J10614" s="41">
        <v>44813</v>
      </c>
      <c r="K10614" s="30" t="s">
        <v>22</v>
      </c>
    </row>
    <row r="10615" spans="1:11">
      <c r="A10615" s="33" t="s">
        <v>24226</v>
      </c>
      <c r="B10615" s="33" t="s">
        <v>24227</v>
      </c>
      <c r="C10615" s="33" t="s">
        <v>157</v>
      </c>
      <c r="D10615" s="33" t="s">
        <v>17</v>
      </c>
      <c r="E10615" s="33" t="s">
        <v>26</v>
      </c>
      <c r="F10615" s="33" t="s">
        <v>27</v>
      </c>
      <c r="G10615" s="33" t="s">
        <v>20</v>
      </c>
      <c r="H10615" s="35">
        <v>13</v>
      </c>
      <c r="I10615" s="33" t="s">
        <v>21</v>
      </c>
      <c r="J10615" s="42">
        <v>44630</v>
      </c>
      <c r="K10615" s="33" t="s">
        <v>22</v>
      </c>
    </row>
    <row r="10616" spans="1:11">
      <c r="A10616" s="30" t="s">
        <v>24228</v>
      </c>
      <c r="B10616" s="30" t="s">
        <v>24229</v>
      </c>
      <c r="C10616" s="30" t="s">
        <v>2913</v>
      </c>
      <c r="D10616" s="30" t="s">
        <v>17</v>
      </c>
      <c r="E10616" s="30" t="s">
        <v>31</v>
      </c>
      <c r="F10616" s="30" t="s">
        <v>32</v>
      </c>
      <c r="G10616" s="30" t="s">
        <v>50</v>
      </c>
      <c r="H10616" s="32">
        <v>51645</v>
      </c>
      <c r="I10616" s="30" t="s">
        <v>51</v>
      </c>
      <c r="J10616" s="41">
        <v>44652</v>
      </c>
      <c r="K10616" s="30" t="s">
        <v>22</v>
      </c>
    </row>
    <row r="10617" spans="1:11">
      <c r="A10617" s="33" t="s">
        <v>24230</v>
      </c>
      <c r="B10617" s="33" t="s">
        <v>24231</v>
      </c>
      <c r="C10617" s="33" t="s">
        <v>399</v>
      </c>
      <c r="D10617" s="33" t="s">
        <v>17</v>
      </c>
      <c r="E10617" s="33" t="s">
        <v>18</v>
      </c>
      <c r="F10617" s="33" t="s">
        <v>19</v>
      </c>
      <c r="G10617" s="33" t="s">
        <v>20</v>
      </c>
      <c r="H10617" s="35">
        <v>680</v>
      </c>
      <c r="I10617" s="33" t="s">
        <v>21</v>
      </c>
      <c r="J10617" s="42">
        <v>44616</v>
      </c>
      <c r="K10617" s="33" t="s">
        <v>22</v>
      </c>
    </row>
    <row r="10618" spans="1:11">
      <c r="A10618" s="30" t="s">
        <v>24232</v>
      </c>
      <c r="B10618" s="30" t="s">
        <v>24233</v>
      </c>
      <c r="C10618" s="30" t="s">
        <v>57</v>
      </c>
      <c r="D10618" s="30" t="s">
        <v>17</v>
      </c>
      <c r="E10618" s="30" t="s">
        <v>31</v>
      </c>
      <c r="F10618" s="30" t="s">
        <v>32</v>
      </c>
      <c r="G10618" s="30" t="s">
        <v>20</v>
      </c>
      <c r="H10618" s="32">
        <v>96</v>
      </c>
      <c r="I10618" s="30" t="s">
        <v>21</v>
      </c>
      <c r="J10618" s="41">
        <v>44683</v>
      </c>
      <c r="K10618" s="30" t="s">
        <v>22</v>
      </c>
    </row>
    <row r="10619" spans="1:11">
      <c r="A10619" s="33" t="s">
        <v>24234</v>
      </c>
      <c r="B10619" s="33" t="s">
        <v>24235</v>
      </c>
      <c r="C10619" s="33" t="s">
        <v>9459</v>
      </c>
      <c r="D10619" s="33" t="s">
        <v>17</v>
      </c>
      <c r="E10619" s="33" t="s">
        <v>31</v>
      </c>
      <c r="F10619" s="33" t="s">
        <v>32</v>
      </c>
      <c r="G10619" s="33" t="s">
        <v>20</v>
      </c>
      <c r="H10619" s="35">
        <v>25</v>
      </c>
      <c r="I10619" s="33" t="s">
        <v>21</v>
      </c>
      <c r="J10619" s="42">
        <v>44629</v>
      </c>
      <c r="K10619" s="33" t="s">
        <v>22</v>
      </c>
    </row>
    <row r="10620" spans="1:11">
      <c r="A10620" s="30" t="s">
        <v>24236</v>
      </c>
      <c r="B10620" s="30" t="s">
        <v>24237</v>
      </c>
      <c r="C10620" s="30" t="s">
        <v>21185</v>
      </c>
      <c r="D10620" s="30" t="s">
        <v>17</v>
      </c>
      <c r="E10620" s="30" t="s">
        <v>26</v>
      </c>
      <c r="F10620" s="30" t="s">
        <v>27</v>
      </c>
      <c r="G10620" s="30" t="s">
        <v>50</v>
      </c>
      <c r="H10620" s="32">
        <v>48</v>
      </c>
      <c r="I10620" s="30" t="s">
        <v>51</v>
      </c>
      <c r="J10620" s="41">
        <v>44713</v>
      </c>
      <c r="K10620" s="30" t="s">
        <v>22</v>
      </c>
    </row>
    <row r="10621" spans="1:11">
      <c r="A10621" s="33" t="s">
        <v>24238</v>
      </c>
      <c r="B10621" s="33" t="s">
        <v>24239</v>
      </c>
      <c r="C10621" s="33" t="s">
        <v>12969</v>
      </c>
      <c r="D10621" s="33" t="s">
        <v>17</v>
      </c>
      <c r="E10621" s="33" t="s">
        <v>26</v>
      </c>
      <c r="F10621" s="33" t="s">
        <v>27</v>
      </c>
      <c r="G10621" s="33" t="s">
        <v>112</v>
      </c>
      <c r="H10621" s="35">
        <v>0</v>
      </c>
      <c r="I10621" s="33" t="s">
        <v>21</v>
      </c>
      <c r="J10621" s="42">
        <v>44774</v>
      </c>
      <c r="K10621" s="33" t="s">
        <v>22</v>
      </c>
    </row>
    <row r="10622" spans="1:11">
      <c r="A10622" s="30" t="s">
        <v>24240</v>
      </c>
      <c r="B10622" s="30" t="s">
        <v>24241</v>
      </c>
      <c r="C10622" s="30" t="s">
        <v>93</v>
      </c>
      <c r="D10622" s="30" t="s">
        <v>17</v>
      </c>
      <c r="E10622" s="30" t="s">
        <v>26</v>
      </c>
      <c r="F10622" s="30" t="s">
        <v>27</v>
      </c>
      <c r="G10622" s="30" t="s">
        <v>106</v>
      </c>
      <c r="H10622" s="32">
        <v>6</v>
      </c>
      <c r="I10622" s="30" t="s">
        <v>21</v>
      </c>
      <c r="J10622" s="41">
        <v>44748</v>
      </c>
      <c r="K10622" s="30" t="s">
        <v>22</v>
      </c>
    </row>
    <row r="10623" spans="1:11">
      <c r="A10623" s="33" t="s">
        <v>24242</v>
      </c>
      <c r="B10623" s="33" t="s">
        <v>24243</v>
      </c>
      <c r="C10623" s="33" t="s">
        <v>1290</v>
      </c>
      <c r="D10623" s="33" t="s">
        <v>17</v>
      </c>
      <c r="E10623" s="33" t="s">
        <v>67</v>
      </c>
      <c r="F10623" s="33" t="s">
        <v>68</v>
      </c>
      <c r="G10623" s="33" t="s">
        <v>20</v>
      </c>
      <c r="H10623" s="35">
        <v>24</v>
      </c>
      <c r="I10623" s="33" t="s">
        <v>21</v>
      </c>
      <c r="J10623" s="42">
        <v>44880</v>
      </c>
      <c r="K10623" s="33" t="s">
        <v>22</v>
      </c>
    </row>
    <row r="10624" spans="1:11">
      <c r="A10624" s="30" t="s">
        <v>24244</v>
      </c>
      <c r="B10624" s="30" t="s">
        <v>24245</v>
      </c>
      <c r="C10624" s="30" t="s">
        <v>847</v>
      </c>
      <c r="D10624" s="30" t="s">
        <v>17</v>
      </c>
      <c r="E10624" s="30" t="s">
        <v>330</v>
      </c>
      <c r="F10624" s="30" t="s">
        <v>331</v>
      </c>
      <c r="G10624" s="30" t="s">
        <v>50</v>
      </c>
      <c r="H10624" s="32">
        <v>18</v>
      </c>
      <c r="I10624" s="30" t="s">
        <v>51</v>
      </c>
      <c r="J10624" s="41">
        <v>44721</v>
      </c>
      <c r="K10624" s="30" t="s">
        <v>22</v>
      </c>
    </row>
    <row r="10625" spans="1:11">
      <c r="A10625" s="33" t="s">
        <v>24246</v>
      </c>
      <c r="B10625" s="33" t="s">
        <v>24247</v>
      </c>
      <c r="C10625" s="33" t="s">
        <v>9725</v>
      </c>
      <c r="D10625" s="33" t="s">
        <v>17</v>
      </c>
      <c r="E10625" s="33" t="s">
        <v>26</v>
      </c>
      <c r="F10625" s="33" t="s">
        <v>27</v>
      </c>
      <c r="G10625" s="33" t="s">
        <v>20</v>
      </c>
      <c r="H10625" s="35">
        <v>32</v>
      </c>
      <c r="I10625" s="33" t="s">
        <v>21</v>
      </c>
      <c r="J10625" s="42">
        <v>44855</v>
      </c>
      <c r="K10625" s="33" t="s">
        <v>22</v>
      </c>
    </row>
    <row r="10626" spans="1:11">
      <c r="A10626" s="30" t="s">
        <v>24248</v>
      </c>
      <c r="B10626" s="30" t="s">
        <v>24249</v>
      </c>
      <c r="C10626" s="30" t="s">
        <v>1003</v>
      </c>
      <c r="D10626" s="30" t="s">
        <v>17</v>
      </c>
      <c r="E10626" s="30" t="s">
        <v>67</v>
      </c>
      <c r="F10626" s="30" t="s">
        <v>68</v>
      </c>
      <c r="G10626" s="30" t="s">
        <v>50</v>
      </c>
      <c r="H10626" s="32">
        <v>110</v>
      </c>
      <c r="I10626" s="30" t="s">
        <v>51</v>
      </c>
      <c r="J10626" s="41">
        <v>44707</v>
      </c>
      <c r="K10626" s="30" t="s">
        <v>22</v>
      </c>
    </row>
    <row r="10627" spans="1:11">
      <c r="A10627" s="33" t="s">
        <v>24250</v>
      </c>
      <c r="B10627" s="33" t="s">
        <v>24251</v>
      </c>
      <c r="C10627" s="33" t="s">
        <v>22517</v>
      </c>
      <c r="D10627" s="33" t="s">
        <v>17</v>
      </c>
      <c r="E10627" s="33" t="s">
        <v>67</v>
      </c>
      <c r="F10627" s="33" t="s">
        <v>68</v>
      </c>
      <c r="G10627" s="33" t="s">
        <v>106</v>
      </c>
      <c r="H10627" s="35">
        <v>9</v>
      </c>
      <c r="I10627" s="33" t="s">
        <v>21</v>
      </c>
      <c r="J10627" s="42">
        <v>44741</v>
      </c>
      <c r="K10627" s="33" t="s">
        <v>22</v>
      </c>
    </row>
    <row r="10628" spans="1:11">
      <c r="A10628" s="30" t="s">
        <v>24252</v>
      </c>
      <c r="B10628" s="30" t="s">
        <v>24253</v>
      </c>
      <c r="C10628" s="30" t="s">
        <v>75</v>
      </c>
      <c r="D10628" s="30" t="s">
        <v>17</v>
      </c>
      <c r="E10628" s="30" t="s">
        <v>26</v>
      </c>
      <c r="F10628" s="30" t="s">
        <v>27</v>
      </c>
      <c r="G10628" s="30" t="s">
        <v>140</v>
      </c>
      <c r="H10628" s="32">
        <v>336</v>
      </c>
      <c r="I10628" s="30" t="s">
        <v>51</v>
      </c>
      <c r="J10628" s="41">
        <v>44721</v>
      </c>
      <c r="K10628" s="30" t="s">
        <v>22</v>
      </c>
    </row>
    <row r="10629" spans="1:11">
      <c r="A10629" s="33" t="s">
        <v>24254</v>
      </c>
      <c r="B10629" s="33" t="s">
        <v>24255</v>
      </c>
      <c r="C10629" s="33" t="s">
        <v>2562</v>
      </c>
      <c r="D10629" s="33" t="s">
        <v>17</v>
      </c>
      <c r="E10629" s="33" t="s">
        <v>18</v>
      </c>
      <c r="F10629" s="33" t="s">
        <v>19</v>
      </c>
      <c r="G10629" s="33" t="s">
        <v>20</v>
      </c>
      <c r="H10629" s="35">
        <v>500</v>
      </c>
      <c r="I10629" s="33" t="s">
        <v>21</v>
      </c>
      <c r="J10629" s="42">
        <v>44673</v>
      </c>
      <c r="K10629" s="33" t="s">
        <v>22</v>
      </c>
    </row>
    <row r="10630" spans="1:11">
      <c r="A10630" s="30" t="s">
        <v>24256</v>
      </c>
      <c r="B10630" s="30" t="s">
        <v>24257</v>
      </c>
      <c r="C10630" s="30" t="s">
        <v>6735</v>
      </c>
      <c r="D10630" s="30" t="s">
        <v>17</v>
      </c>
      <c r="E10630" s="30" t="s">
        <v>26</v>
      </c>
      <c r="F10630" s="30" t="s">
        <v>27</v>
      </c>
      <c r="G10630" s="30" t="s">
        <v>140</v>
      </c>
      <c r="H10630" s="32">
        <v>681</v>
      </c>
      <c r="I10630" s="30" t="s">
        <v>51</v>
      </c>
      <c r="J10630" s="41">
        <v>44720</v>
      </c>
      <c r="K10630" s="30" t="s">
        <v>22</v>
      </c>
    </row>
    <row r="10631" spans="1:11">
      <c r="A10631" s="33" t="s">
        <v>24258</v>
      </c>
      <c r="B10631" s="33" t="s">
        <v>24259</v>
      </c>
      <c r="C10631" s="33" t="s">
        <v>96</v>
      </c>
      <c r="D10631" s="33" t="s">
        <v>17</v>
      </c>
      <c r="E10631" s="33" t="s">
        <v>212</v>
      </c>
      <c r="F10631" s="33" t="s">
        <v>213</v>
      </c>
      <c r="G10631" s="33" t="s">
        <v>20</v>
      </c>
      <c r="H10631" s="35">
        <v>962</v>
      </c>
      <c r="I10631" s="33" t="s">
        <v>21</v>
      </c>
      <c r="J10631" s="42">
        <v>44872</v>
      </c>
      <c r="K10631" s="33" t="s">
        <v>22</v>
      </c>
    </row>
    <row r="10632" spans="1:11">
      <c r="A10632" s="30" t="s">
        <v>24260</v>
      </c>
      <c r="B10632" s="30" t="s">
        <v>24261</v>
      </c>
      <c r="C10632" s="30" t="s">
        <v>4682</v>
      </c>
      <c r="D10632" s="30" t="s">
        <v>17</v>
      </c>
      <c r="E10632" s="30" t="s">
        <v>31</v>
      </c>
      <c r="F10632" s="30" t="s">
        <v>32</v>
      </c>
      <c r="G10632" s="30" t="s">
        <v>158</v>
      </c>
      <c r="H10632" s="32">
        <v>176</v>
      </c>
      <c r="I10632" s="30" t="s">
        <v>21</v>
      </c>
      <c r="J10632" s="41">
        <v>44879</v>
      </c>
      <c r="K10632" s="30" t="s">
        <v>22</v>
      </c>
    </row>
    <row r="10633" spans="1:11">
      <c r="A10633" s="33" t="s">
        <v>24262</v>
      </c>
      <c r="B10633" s="33" t="s">
        <v>24263</v>
      </c>
      <c r="C10633" s="33" t="s">
        <v>14719</v>
      </c>
      <c r="D10633" s="33" t="s">
        <v>17</v>
      </c>
      <c r="E10633" s="33" t="s">
        <v>26</v>
      </c>
      <c r="F10633" s="33" t="s">
        <v>27</v>
      </c>
      <c r="G10633" s="33" t="s">
        <v>106</v>
      </c>
      <c r="H10633" s="35">
        <v>6</v>
      </c>
      <c r="I10633" s="33" t="s">
        <v>21</v>
      </c>
      <c r="J10633" s="42">
        <v>44835</v>
      </c>
      <c r="K10633" s="33" t="s">
        <v>22</v>
      </c>
    </row>
    <row r="10634" spans="1:11">
      <c r="A10634" s="30" t="s">
        <v>24264</v>
      </c>
      <c r="B10634" s="30" t="s">
        <v>24265</v>
      </c>
      <c r="C10634" s="30" t="s">
        <v>11599</v>
      </c>
      <c r="D10634" s="30" t="s">
        <v>17</v>
      </c>
      <c r="E10634" s="30" t="s">
        <v>18</v>
      </c>
      <c r="F10634" s="30" t="s">
        <v>19</v>
      </c>
      <c r="G10634" s="30" t="s">
        <v>140</v>
      </c>
      <c r="H10634" s="32">
        <v>120</v>
      </c>
      <c r="I10634" s="30" t="s">
        <v>51</v>
      </c>
      <c r="J10634" s="41">
        <v>44670</v>
      </c>
      <c r="K10634" s="30" t="s">
        <v>22</v>
      </c>
    </row>
    <row r="10635" spans="1:11">
      <c r="A10635" s="33" t="s">
        <v>24266</v>
      </c>
      <c r="B10635" s="33" t="s">
        <v>24267</v>
      </c>
      <c r="C10635" s="33" t="s">
        <v>8092</v>
      </c>
      <c r="D10635" s="33" t="s">
        <v>17</v>
      </c>
      <c r="E10635" s="33" t="s">
        <v>26</v>
      </c>
      <c r="F10635" s="33" t="s">
        <v>27</v>
      </c>
      <c r="G10635" s="33" t="s">
        <v>20</v>
      </c>
      <c r="H10635" s="35">
        <v>37</v>
      </c>
      <c r="I10635" s="33" t="s">
        <v>21</v>
      </c>
      <c r="J10635" s="42">
        <v>44621</v>
      </c>
      <c r="K10635" s="33" t="s">
        <v>22</v>
      </c>
    </row>
    <row r="10636" spans="1:11">
      <c r="A10636" s="30" t="s">
        <v>24268</v>
      </c>
      <c r="B10636" s="30" t="s">
        <v>24269</v>
      </c>
      <c r="C10636" s="30" t="s">
        <v>801</v>
      </c>
      <c r="D10636" s="30" t="s">
        <v>17</v>
      </c>
      <c r="E10636" s="30" t="s">
        <v>18</v>
      </c>
      <c r="F10636" s="30" t="s">
        <v>19</v>
      </c>
      <c r="G10636" s="30" t="s">
        <v>106</v>
      </c>
      <c r="H10636" s="32">
        <v>7</v>
      </c>
      <c r="I10636" s="30" t="s">
        <v>21</v>
      </c>
      <c r="J10636" s="41">
        <v>44799</v>
      </c>
      <c r="K10636" s="30" t="s">
        <v>22</v>
      </c>
    </row>
    <row r="10637" spans="1:11">
      <c r="A10637" s="33" t="s">
        <v>24270</v>
      </c>
      <c r="B10637" s="33" t="s">
        <v>24271</v>
      </c>
      <c r="C10637" s="33" t="s">
        <v>8881</v>
      </c>
      <c r="D10637" s="33" t="s">
        <v>17</v>
      </c>
      <c r="E10637" s="33" t="s">
        <v>18</v>
      </c>
      <c r="F10637" s="33" t="s">
        <v>19</v>
      </c>
      <c r="G10637" s="33" t="s">
        <v>20</v>
      </c>
      <c r="H10637" s="35">
        <v>523</v>
      </c>
      <c r="I10637" s="33" t="s">
        <v>21</v>
      </c>
      <c r="J10637" s="42">
        <v>44776</v>
      </c>
      <c r="K10637" s="33" t="s">
        <v>22</v>
      </c>
    </row>
    <row r="10638" spans="1:11">
      <c r="A10638" s="30" t="s">
        <v>24272</v>
      </c>
      <c r="B10638" s="30" t="s">
        <v>24273</v>
      </c>
      <c r="C10638" s="30" t="s">
        <v>136</v>
      </c>
      <c r="D10638" s="30" t="s">
        <v>17</v>
      </c>
      <c r="E10638" s="30" t="s">
        <v>26</v>
      </c>
      <c r="F10638" s="30" t="s">
        <v>27</v>
      </c>
      <c r="G10638" s="30" t="s">
        <v>112</v>
      </c>
      <c r="H10638" s="32">
        <v>0</v>
      </c>
      <c r="I10638" s="30" t="s">
        <v>21</v>
      </c>
      <c r="J10638" s="41">
        <v>44887</v>
      </c>
      <c r="K10638" s="30" t="s">
        <v>22</v>
      </c>
    </row>
    <row r="10639" spans="1:11">
      <c r="A10639" s="33" t="s">
        <v>24274</v>
      </c>
      <c r="B10639" s="33" t="s">
        <v>24275</v>
      </c>
      <c r="C10639" s="33" t="s">
        <v>24276</v>
      </c>
      <c r="D10639" s="33" t="s">
        <v>17</v>
      </c>
      <c r="E10639" s="33" t="s">
        <v>18</v>
      </c>
      <c r="F10639" s="33" t="s">
        <v>19</v>
      </c>
      <c r="G10639" s="33" t="s">
        <v>50</v>
      </c>
      <c r="H10639" s="35">
        <v>312</v>
      </c>
      <c r="I10639" s="33" t="s">
        <v>51</v>
      </c>
      <c r="J10639" s="42">
        <v>44911</v>
      </c>
      <c r="K10639" s="33" t="s">
        <v>22</v>
      </c>
    </row>
    <row r="10640" spans="1:11">
      <c r="A10640" s="30" t="s">
        <v>24277</v>
      </c>
      <c r="B10640" s="30" t="s">
        <v>24278</v>
      </c>
      <c r="C10640" s="30" t="s">
        <v>2594</v>
      </c>
      <c r="D10640" s="30" t="s">
        <v>17</v>
      </c>
      <c r="E10640" s="30" t="s">
        <v>31</v>
      </c>
      <c r="F10640" s="30" t="s">
        <v>32</v>
      </c>
      <c r="G10640" s="30" t="s">
        <v>158</v>
      </c>
      <c r="H10640" s="32">
        <v>36</v>
      </c>
      <c r="I10640" s="30" t="s">
        <v>21</v>
      </c>
      <c r="J10640" s="41">
        <v>44799</v>
      </c>
      <c r="K10640" s="30" t="s">
        <v>22</v>
      </c>
    </row>
    <row r="10641" spans="1:11">
      <c r="A10641" s="33" t="s">
        <v>24279</v>
      </c>
      <c r="B10641" s="33" t="s">
        <v>24280</v>
      </c>
      <c r="C10641" s="33" t="s">
        <v>222</v>
      </c>
      <c r="D10641" s="33" t="s">
        <v>17</v>
      </c>
      <c r="E10641" s="33" t="s">
        <v>18</v>
      </c>
      <c r="F10641" s="33" t="s">
        <v>19</v>
      </c>
      <c r="G10641" s="33" t="s">
        <v>158</v>
      </c>
      <c r="H10641" s="35">
        <v>740</v>
      </c>
      <c r="I10641" s="33" t="s">
        <v>21</v>
      </c>
      <c r="J10641" s="42">
        <v>44624</v>
      </c>
      <c r="K10641" s="33" t="s">
        <v>22</v>
      </c>
    </row>
    <row r="10642" spans="1:11">
      <c r="A10642" s="30" t="s">
        <v>24281</v>
      </c>
      <c r="B10642" s="30" t="s">
        <v>24282</v>
      </c>
      <c r="C10642" s="30" t="s">
        <v>6202</v>
      </c>
      <c r="D10642" s="30" t="s">
        <v>17</v>
      </c>
      <c r="E10642" s="30" t="s">
        <v>31</v>
      </c>
      <c r="F10642" s="30" t="s">
        <v>32</v>
      </c>
      <c r="G10642" s="30" t="s">
        <v>20</v>
      </c>
      <c r="H10642" s="32">
        <v>696</v>
      </c>
      <c r="I10642" s="30" t="s">
        <v>21</v>
      </c>
      <c r="J10642" s="41">
        <v>44805</v>
      </c>
      <c r="K10642" s="30" t="s">
        <v>22</v>
      </c>
    </row>
    <row r="10643" spans="1:11">
      <c r="A10643" s="33" t="s">
        <v>24283</v>
      </c>
      <c r="B10643" s="33" t="s">
        <v>24284</v>
      </c>
      <c r="C10643" s="33" t="s">
        <v>57</v>
      </c>
      <c r="D10643" s="33" t="s">
        <v>17</v>
      </c>
      <c r="E10643" s="33" t="s">
        <v>26</v>
      </c>
      <c r="F10643" s="33" t="s">
        <v>27</v>
      </c>
      <c r="G10643" s="33" t="s">
        <v>50</v>
      </c>
      <c r="H10643" s="35">
        <v>24</v>
      </c>
      <c r="I10643" s="33" t="s">
        <v>51</v>
      </c>
      <c r="J10643" s="42">
        <v>44606</v>
      </c>
      <c r="K10643" s="33" t="s">
        <v>22</v>
      </c>
    </row>
    <row r="10644" spans="1:11">
      <c r="A10644" s="30" t="s">
        <v>24285</v>
      </c>
      <c r="B10644" s="30" t="s">
        <v>24286</v>
      </c>
      <c r="C10644" s="30" t="s">
        <v>19073</v>
      </c>
      <c r="D10644" s="30" t="s">
        <v>17</v>
      </c>
      <c r="E10644" s="30" t="s">
        <v>31</v>
      </c>
      <c r="F10644" s="30" t="s">
        <v>32</v>
      </c>
      <c r="G10644" s="30" t="s">
        <v>140</v>
      </c>
      <c r="H10644" s="32">
        <v>60</v>
      </c>
      <c r="I10644" s="30" t="s">
        <v>51</v>
      </c>
      <c r="J10644" s="41">
        <v>44686</v>
      </c>
      <c r="K10644" s="30" t="s">
        <v>22</v>
      </c>
    </row>
    <row r="10645" spans="1:11">
      <c r="A10645" s="33" t="s">
        <v>24287</v>
      </c>
      <c r="B10645" s="33" t="s">
        <v>24288</v>
      </c>
      <c r="C10645" s="33" t="s">
        <v>353</v>
      </c>
      <c r="D10645" s="33" t="s">
        <v>17</v>
      </c>
      <c r="E10645" s="33" t="s">
        <v>26</v>
      </c>
      <c r="F10645" s="33" t="s">
        <v>27</v>
      </c>
      <c r="G10645" s="33" t="s">
        <v>50</v>
      </c>
      <c r="H10645" s="35">
        <v>12</v>
      </c>
      <c r="I10645" s="33" t="s">
        <v>51</v>
      </c>
      <c r="J10645" s="42">
        <v>44682</v>
      </c>
      <c r="K10645" s="33" t="s">
        <v>22</v>
      </c>
    </row>
    <row r="10646" spans="1:11">
      <c r="A10646" s="30" t="s">
        <v>24289</v>
      </c>
      <c r="B10646" s="30" t="s">
        <v>24290</v>
      </c>
      <c r="C10646" s="30" t="s">
        <v>24291</v>
      </c>
      <c r="D10646" s="30" t="s">
        <v>17</v>
      </c>
      <c r="E10646" s="30" t="s">
        <v>67</v>
      </c>
      <c r="F10646" s="30" t="s">
        <v>68</v>
      </c>
      <c r="G10646" s="30" t="s">
        <v>158</v>
      </c>
      <c r="H10646" s="32">
        <v>8</v>
      </c>
      <c r="I10646" s="30" t="s">
        <v>21</v>
      </c>
      <c r="J10646" s="41">
        <v>44797</v>
      </c>
      <c r="K10646" s="30" t="s">
        <v>22</v>
      </c>
    </row>
    <row r="10647" spans="1:11">
      <c r="A10647" s="33" t="s">
        <v>24292</v>
      </c>
      <c r="B10647" s="33" t="s">
        <v>24293</v>
      </c>
      <c r="C10647" s="33" t="s">
        <v>24294</v>
      </c>
      <c r="D10647" s="33" t="s">
        <v>17</v>
      </c>
      <c r="E10647" s="33" t="s">
        <v>26</v>
      </c>
      <c r="F10647" s="33" t="s">
        <v>27</v>
      </c>
      <c r="G10647" s="33" t="s">
        <v>20</v>
      </c>
      <c r="H10647" s="35">
        <v>78</v>
      </c>
      <c r="I10647" s="33" t="s">
        <v>21</v>
      </c>
      <c r="J10647" s="42">
        <v>44613</v>
      </c>
      <c r="K10647" s="33" t="s">
        <v>22</v>
      </c>
    </row>
    <row r="10648" spans="1:11">
      <c r="A10648" s="30" t="s">
        <v>24295</v>
      </c>
      <c r="B10648" s="30" t="s">
        <v>24296</v>
      </c>
      <c r="C10648" s="30" t="s">
        <v>11606</v>
      </c>
      <c r="D10648" s="30" t="s">
        <v>17</v>
      </c>
      <c r="E10648" s="30" t="s">
        <v>31</v>
      </c>
      <c r="F10648" s="30" t="s">
        <v>32</v>
      </c>
      <c r="G10648" s="30" t="s">
        <v>20</v>
      </c>
      <c r="H10648" s="32">
        <v>53</v>
      </c>
      <c r="I10648" s="30" t="s">
        <v>21</v>
      </c>
      <c r="J10648" s="41">
        <v>44648</v>
      </c>
      <c r="K10648" s="30" t="s">
        <v>22</v>
      </c>
    </row>
    <row r="10649" spans="1:11">
      <c r="A10649" s="33" t="s">
        <v>24297</v>
      </c>
      <c r="B10649" s="33" t="s">
        <v>24298</v>
      </c>
      <c r="C10649" s="33" t="s">
        <v>899</v>
      </c>
      <c r="D10649" s="33" t="s">
        <v>17</v>
      </c>
      <c r="E10649" s="33" t="s">
        <v>67</v>
      </c>
      <c r="F10649" s="33" t="s">
        <v>68</v>
      </c>
      <c r="G10649" s="33" t="s">
        <v>140</v>
      </c>
      <c r="H10649" s="35">
        <v>456</v>
      </c>
      <c r="I10649" s="33" t="s">
        <v>51</v>
      </c>
      <c r="J10649" s="42">
        <v>44855</v>
      </c>
      <c r="K10649" s="33" t="s">
        <v>22</v>
      </c>
    </row>
    <row r="10650" spans="1:11">
      <c r="A10650" s="30" t="s">
        <v>24299</v>
      </c>
      <c r="B10650" s="30" t="s">
        <v>24300</v>
      </c>
      <c r="C10650" s="30" t="s">
        <v>252</v>
      </c>
      <c r="D10650" s="30" t="s">
        <v>17</v>
      </c>
      <c r="E10650" s="30" t="s">
        <v>31</v>
      </c>
      <c r="F10650" s="30" t="s">
        <v>32</v>
      </c>
      <c r="G10650" s="30" t="s">
        <v>158</v>
      </c>
      <c r="H10650" s="32">
        <v>60</v>
      </c>
      <c r="I10650" s="30" t="s">
        <v>51</v>
      </c>
      <c r="J10650" s="41">
        <v>44740</v>
      </c>
      <c r="K10650" s="30" t="s">
        <v>22</v>
      </c>
    </row>
    <row r="10651" spans="1:11">
      <c r="A10651" s="33" t="s">
        <v>24301</v>
      </c>
      <c r="B10651" s="33" t="s">
        <v>24302</v>
      </c>
      <c r="C10651" s="33" t="s">
        <v>1003</v>
      </c>
      <c r="D10651" s="33" t="s">
        <v>17</v>
      </c>
      <c r="E10651" s="33" t="s">
        <v>18</v>
      </c>
      <c r="F10651" s="33" t="s">
        <v>19</v>
      </c>
      <c r="G10651" s="33" t="s">
        <v>158</v>
      </c>
      <c r="H10651" s="35">
        <v>443</v>
      </c>
      <c r="I10651" s="33" t="s">
        <v>21</v>
      </c>
      <c r="J10651" s="42">
        <v>44756</v>
      </c>
      <c r="K10651" s="33" t="s">
        <v>22</v>
      </c>
    </row>
    <row r="10652" spans="1:11">
      <c r="A10652" s="30" t="s">
        <v>24303</v>
      </c>
      <c r="B10652" s="30" t="s">
        <v>24304</v>
      </c>
      <c r="C10652" s="30" t="s">
        <v>102</v>
      </c>
      <c r="D10652" s="30" t="s">
        <v>17</v>
      </c>
      <c r="E10652" s="30" t="s">
        <v>26</v>
      </c>
      <c r="F10652" s="30" t="s">
        <v>27</v>
      </c>
      <c r="G10652" s="30" t="s">
        <v>20</v>
      </c>
      <c r="H10652" s="32">
        <v>10</v>
      </c>
      <c r="I10652" s="30" t="s">
        <v>21</v>
      </c>
      <c r="J10652" s="41">
        <v>44595</v>
      </c>
      <c r="K10652" s="30" t="s">
        <v>22</v>
      </c>
    </row>
    <row r="10653" spans="1:11">
      <c r="A10653" s="33" t="s">
        <v>24305</v>
      </c>
      <c r="B10653" s="33" t="s">
        <v>24306</v>
      </c>
      <c r="C10653" s="33" t="s">
        <v>178</v>
      </c>
      <c r="D10653" s="33" t="s">
        <v>17</v>
      </c>
      <c r="E10653" s="33" t="s">
        <v>18</v>
      </c>
      <c r="F10653" s="33" t="s">
        <v>19</v>
      </c>
      <c r="G10653" s="33" t="s">
        <v>20</v>
      </c>
      <c r="H10653" s="35">
        <v>35</v>
      </c>
      <c r="I10653" s="33" t="s">
        <v>21</v>
      </c>
      <c r="J10653" s="42">
        <v>44851</v>
      </c>
      <c r="K10653" s="33" t="s">
        <v>22</v>
      </c>
    </row>
    <row r="10654" spans="1:11">
      <c r="A10654" s="30" t="s">
        <v>24307</v>
      </c>
      <c r="B10654" s="30" t="s">
        <v>24308</v>
      </c>
      <c r="C10654" s="30" t="s">
        <v>16002</v>
      </c>
      <c r="D10654" s="30" t="s">
        <v>17</v>
      </c>
      <c r="E10654" s="30" t="s">
        <v>26</v>
      </c>
      <c r="F10654" s="30" t="s">
        <v>27</v>
      </c>
      <c r="G10654" s="30" t="s">
        <v>20</v>
      </c>
      <c r="H10654" s="32">
        <v>60</v>
      </c>
      <c r="I10654" s="30" t="s">
        <v>21</v>
      </c>
      <c r="J10654" s="41">
        <v>44797</v>
      </c>
      <c r="K10654" s="30" t="s">
        <v>22</v>
      </c>
    </row>
    <row r="10655" spans="1:11">
      <c r="A10655" s="33" t="s">
        <v>24309</v>
      </c>
      <c r="B10655" s="33" t="s">
        <v>24310</v>
      </c>
      <c r="C10655" s="33" t="s">
        <v>13534</v>
      </c>
      <c r="D10655" s="33" t="s">
        <v>17</v>
      </c>
      <c r="E10655" s="33" t="s">
        <v>26</v>
      </c>
      <c r="F10655" s="33" t="s">
        <v>27</v>
      </c>
      <c r="G10655" s="33" t="s">
        <v>50</v>
      </c>
      <c r="H10655" s="35">
        <v>30</v>
      </c>
      <c r="I10655" s="33" t="s">
        <v>51</v>
      </c>
      <c r="J10655" s="42">
        <v>44638</v>
      </c>
      <c r="K10655" s="33" t="s">
        <v>22</v>
      </c>
    </row>
    <row r="10656" spans="1:11">
      <c r="A10656" s="30" t="s">
        <v>24311</v>
      </c>
      <c r="B10656" s="30" t="s">
        <v>24312</v>
      </c>
      <c r="C10656" s="30" t="s">
        <v>24313</v>
      </c>
      <c r="D10656" s="30" t="s">
        <v>17</v>
      </c>
      <c r="E10656" s="30" t="s">
        <v>26</v>
      </c>
      <c r="F10656" s="30" t="s">
        <v>27</v>
      </c>
      <c r="G10656" s="30" t="s">
        <v>20</v>
      </c>
      <c r="H10656" s="32">
        <v>64</v>
      </c>
      <c r="I10656" s="30" t="s">
        <v>21</v>
      </c>
      <c r="J10656" s="41">
        <v>44669</v>
      </c>
      <c r="K10656" s="30" t="s">
        <v>22</v>
      </c>
    </row>
    <row r="10657" spans="1:11">
      <c r="A10657" s="33" t="s">
        <v>24314</v>
      </c>
      <c r="B10657" s="33" t="s">
        <v>24315</v>
      </c>
      <c r="C10657" s="33" t="s">
        <v>1598</v>
      </c>
      <c r="D10657" s="33" t="s">
        <v>17</v>
      </c>
      <c r="E10657" s="33" t="s">
        <v>31</v>
      </c>
      <c r="F10657" s="33" t="s">
        <v>32</v>
      </c>
      <c r="G10657" s="33" t="s">
        <v>20</v>
      </c>
      <c r="H10657" s="35">
        <v>132</v>
      </c>
      <c r="I10657" s="33" t="s">
        <v>21</v>
      </c>
      <c r="J10657" s="42">
        <v>44741</v>
      </c>
      <c r="K10657" s="33" t="s">
        <v>22</v>
      </c>
    </row>
    <row r="10658" spans="1:11">
      <c r="A10658" s="30" t="s">
        <v>24316</v>
      </c>
      <c r="B10658" s="30" t="s">
        <v>24317</v>
      </c>
      <c r="C10658" s="30" t="s">
        <v>11793</v>
      </c>
      <c r="D10658" s="30" t="s">
        <v>17</v>
      </c>
      <c r="E10658" s="30" t="s">
        <v>330</v>
      </c>
      <c r="F10658" s="30" t="s">
        <v>331</v>
      </c>
      <c r="G10658" s="30" t="s">
        <v>158</v>
      </c>
      <c r="H10658" s="32">
        <v>18</v>
      </c>
      <c r="I10658" s="30" t="s">
        <v>51</v>
      </c>
      <c r="J10658" s="41">
        <v>44601</v>
      </c>
      <c r="K10658" s="30" t="s">
        <v>22</v>
      </c>
    </row>
    <row r="10659" spans="1:11">
      <c r="A10659" s="33" t="s">
        <v>24318</v>
      </c>
      <c r="B10659" s="33" t="s">
        <v>24319</v>
      </c>
      <c r="C10659" s="33" t="s">
        <v>9825</v>
      </c>
      <c r="D10659" s="33" t="s">
        <v>17</v>
      </c>
      <c r="E10659" s="33" t="s">
        <v>26</v>
      </c>
      <c r="F10659" s="33" t="s">
        <v>27</v>
      </c>
      <c r="G10659" s="33" t="s">
        <v>20</v>
      </c>
      <c r="H10659" s="35">
        <v>62</v>
      </c>
      <c r="I10659" s="33" t="s">
        <v>21</v>
      </c>
      <c r="J10659" s="42">
        <v>44873</v>
      </c>
      <c r="K10659" s="33" t="s">
        <v>22</v>
      </c>
    </row>
    <row r="10660" spans="1:11">
      <c r="A10660" s="30" t="s">
        <v>24320</v>
      </c>
      <c r="B10660" s="30" t="s">
        <v>24321</v>
      </c>
      <c r="C10660" s="30" t="s">
        <v>6505</v>
      </c>
      <c r="D10660" s="30" t="s">
        <v>17</v>
      </c>
      <c r="E10660" s="30" t="s">
        <v>26</v>
      </c>
      <c r="F10660" s="30" t="s">
        <v>27</v>
      </c>
      <c r="G10660" s="30" t="s">
        <v>20</v>
      </c>
      <c r="H10660" s="32">
        <v>8</v>
      </c>
      <c r="I10660" s="30" t="s">
        <v>21</v>
      </c>
      <c r="J10660" s="41">
        <v>44774</v>
      </c>
      <c r="K10660" s="30" t="s">
        <v>22</v>
      </c>
    </row>
    <row r="10661" spans="1:11">
      <c r="A10661" s="33" t="s">
        <v>24322</v>
      </c>
      <c r="B10661" s="33" t="s">
        <v>24323</v>
      </c>
      <c r="C10661" s="33" t="s">
        <v>24324</v>
      </c>
      <c r="D10661" s="33" t="s">
        <v>17</v>
      </c>
      <c r="E10661" s="33" t="s">
        <v>67</v>
      </c>
      <c r="F10661" s="33" t="s">
        <v>68</v>
      </c>
      <c r="G10661" s="33" t="s">
        <v>158</v>
      </c>
      <c r="H10661" s="35">
        <v>200</v>
      </c>
      <c r="I10661" s="33" t="s">
        <v>51</v>
      </c>
      <c r="J10661" s="42">
        <v>44651</v>
      </c>
      <c r="K10661" s="33" t="s">
        <v>22</v>
      </c>
    </row>
    <row r="10662" spans="1:11">
      <c r="A10662" s="30" t="s">
        <v>24325</v>
      </c>
      <c r="B10662" s="30" t="s">
        <v>24326</v>
      </c>
      <c r="C10662" s="30" t="s">
        <v>6282</v>
      </c>
      <c r="D10662" s="30" t="s">
        <v>17</v>
      </c>
      <c r="E10662" s="30" t="s">
        <v>26</v>
      </c>
      <c r="F10662" s="30" t="s">
        <v>27</v>
      </c>
      <c r="G10662" s="30" t="s">
        <v>140</v>
      </c>
      <c r="H10662" s="32">
        <v>62</v>
      </c>
      <c r="I10662" s="30" t="s">
        <v>51</v>
      </c>
      <c r="J10662" s="41">
        <v>44714</v>
      </c>
      <c r="K10662" s="30" t="s">
        <v>22</v>
      </c>
    </row>
    <row r="10663" spans="1:11">
      <c r="A10663" s="33" t="s">
        <v>24327</v>
      </c>
      <c r="B10663" s="33" t="s">
        <v>24328</v>
      </c>
      <c r="C10663" s="33" t="s">
        <v>587</v>
      </c>
      <c r="D10663" s="33" t="s">
        <v>17</v>
      </c>
      <c r="E10663" s="33" t="s">
        <v>26</v>
      </c>
      <c r="F10663" s="33" t="s">
        <v>27</v>
      </c>
      <c r="G10663" s="33" t="s">
        <v>106</v>
      </c>
      <c r="H10663" s="35">
        <v>82</v>
      </c>
      <c r="I10663" s="33" t="s">
        <v>21</v>
      </c>
      <c r="J10663" s="42">
        <v>44649</v>
      </c>
      <c r="K10663" s="33" t="s">
        <v>22</v>
      </c>
    </row>
    <row r="10664" spans="1:11">
      <c r="A10664" s="30" t="s">
        <v>24329</v>
      </c>
      <c r="B10664" s="30" t="s">
        <v>24330</v>
      </c>
      <c r="C10664" s="30" t="s">
        <v>18431</v>
      </c>
      <c r="D10664" s="30" t="s">
        <v>17</v>
      </c>
      <c r="E10664" s="30" t="s">
        <v>18</v>
      </c>
      <c r="F10664" s="30" t="s">
        <v>19</v>
      </c>
      <c r="G10664" s="30" t="s">
        <v>20</v>
      </c>
      <c r="H10664" s="32">
        <v>500</v>
      </c>
      <c r="I10664" s="30" t="s">
        <v>21</v>
      </c>
      <c r="J10664" s="41">
        <v>44742</v>
      </c>
      <c r="K10664" s="30" t="s">
        <v>22</v>
      </c>
    </row>
    <row r="10665" spans="1:11">
      <c r="A10665" s="33" t="s">
        <v>24331</v>
      </c>
      <c r="B10665" s="33" t="s">
        <v>24332</v>
      </c>
      <c r="C10665" s="33" t="s">
        <v>109</v>
      </c>
      <c r="D10665" s="33" t="s">
        <v>17</v>
      </c>
      <c r="E10665" s="33" t="s">
        <v>31</v>
      </c>
      <c r="F10665" s="33" t="s">
        <v>32</v>
      </c>
      <c r="G10665" s="33" t="s">
        <v>106</v>
      </c>
      <c r="H10665" s="35">
        <v>101</v>
      </c>
      <c r="I10665" s="33" t="s">
        <v>21</v>
      </c>
      <c r="J10665" s="42">
        <v>44874</v>
      </c>
      <c r="K10665" s="33" t="s">
        <v>22</v>
      </c>
    </row>
    <row r="10666" spans="1:11">
      <c r="A10666" s="30" t="s">
        <v>24333</v>
      </c>
      <c r="B10666" s="30" t="s">
        <v>24334</v>
      </c>
      <c r="C10666" s="30" t="s">
        <v>1112</v>
      </c>
      <c r="D10666" s="30" t="s">
        <v>17</v>
      </c>
      <c r="E10666" s="30" t="s">
        <v>18</v>
      </c>
      <c r="F10666" s="30" t="s">
        <v>19</v>
      </c>
      <c r="G10666" s="30" t="s">
        <v>20</v>
      </c>
      <c r="H10666" s="32">
        <v>361</v>
      </c>
      <c r="I10666" s="30" t="s">
        <v>21</v>
      </c>
      <c r="J10666" s="41">
        <v>44697</v>
      </c>
      <c r="K10666" s="30" t="s">
        <v>22</v>
      </c>
    </row>
    <row r="10667" spans="1:11">
      <c r="A10667" s="33" t="s">
        <v>24335</v>
      </c>
      <c r="B10667" s="33" t="s">
        <v>24336</v>
      </c>
      <c r="C10667" s="33" t="s">
        <v>1701</v>
      </c>
      <c r="D10667" s="33" t="s">
        <v>17</v>
      </c>
      <c r="E10667" s="33" t="s">
        <v>26</v>
      </c>
      <c r="F10667" s="33" t="s">
        <v>27</v>
      </c>
      <c r="G10667" s="33" t="s">
        <v>140</v>
      </c>
      <c r="H10667" s="35">
        <v>87</v>
      </c>
      <c r="I10667" s="33" t="s">
        <v>51</v>
      </c>
      <c r="J10667" s="42">
        <v>44910</v>
      </c>
      <c r="K10667" s="33" t="s">
        <v>22</v>
      </c>
    </row>
    <row r="10668" spans="1:11">
      <c r="A10668" s="30" t="s">
        <v>24337</v>
      </c>
      <c r="B10668" s="30" t="s">
        <v>24338</v>
      </c>
      <c r="C10668" s="30" t="s">
        <v>9629</v>
      </c>
      <c r="D10668" s="30" t="s">
        <v>17</v>
      </c>
      <c r="E10668" s="30" t="s">
        <v>31</v>
      </c>
      <c r="F10668" s="30" t="s">
        <v>32</v>
      </c>
      <c r="G10668" s="30" t="s">
        <v>20</v>
      </c>
      <c r="H10668" s="32">
        <v>35</v>
      </c>
      <c r="I10668" s="30" t="s">
        <v>21</v>
      </c>
      <c r="J10668" s="41">
        <v>44673</v>
      </c>
      <c r="K10668" s="30" t="s">
        <v>22</v>
      </c>
    </row>
    <row r="10669" spans="1:11">
      <c r="A10669" s="33" t="s">
        <v>24339</v>
      </c>
      <c r="B10669" s="33" t="s">
        <v>24340</v>
      </c>
      <c r="C10669" s="33" t="s">
        <v>1090</v>
      </c>
      <c r="D10669" s="33" t="s">
        <v>17</v>
      </c>
      <c r="E10669" s="33" t="s">
        <v>31</v>
      </c>
      <c r="F10669" s="33" t="s">
        <v>32</v>
      </c>
      <c r="G10669" s="33" t="s">
        <v>50</v>
      </c>
      <c r="H10669" s="35">
        <v>450</v>
      </c>
      <c r="I10669" s="33" t="s">
        <v>21</v>
      </c>
      <c r="J10669" s="42">
        <v>44740</v>
      </c>
      <c r="K10669" s="33" t="s">
        <v>22</v>
      </c>
    </row>
    <row r="10670" spans="1:11">
      <c r="A10670" s="30" t="s">
        <v>24341</v>
      </c>
      <c r="B10670" s="30" t="s">
        <v>24342</v>
      </c>
      <c r="C10670" s="30" t="s">
        <v>24343</v>
      </c>
      <c r="D10670" s="30" t="s">
        <v>17</v>
      </c>
      <c r="E10670" s="30" t="s">
        <v>26</v>
      </c>
      <c r="F10670" s="30" t="s">
        <v>27</v>
      </c>
      <c r="G10670" s="30" t="s">
        <v>50</v>
      </c>
      <c r="H10670" s="32">
        <v>64</v>
      </c>
      <c r="I10670" s="30" t="s">
        <v>51</v>
      </c>
      <c r="J10670" s="41">
        <v>44666</v>
      </c>
      <c r="K10670" s="30" t="s">
        <v>22</v>
      </c>
    </row>
    <row r="10671" spans="1:11">
      <c r="A10671" s="33" t="s">
        <v>24344</v>
      </c>
      <c r="B10671" s="33" t="s">
        <v>24345</v>
      </c>
      <c r="C10671" s="33" t="s">
        <v>190</v>
      </c>
      <c r="D10671" s="33" t="s">
        <v>17</v>
      </c>
      <c r="E10671" s="33" t="s">
        <v>18</v>
      </c>
      <c r="F10671" s="33" t="s">
        <v>19</v>
      </c>
      <c r="G10671" s="33" t="s">
        <v>158</v>
      </c>
      <c r="H10671" s="35">
        <v>607</v>
      </c>
      <c r="I10671" s="33" t="s">
        <v>21</v>
      </c>
      <c r="J10671" s="42">
        <v>44816</v>
      </c>
      <c r="K10671" s="33" t="s">
        <v>22</v>
      </c>
    </row>
    <row r="10672" spans="1:11">
      <c r="A10672" s="30" t="s">
        <v>24346</v>
      </c>
      <c r="B10672" s="30" t="s">
        <v>24347</v>
      </c>
      <c r="C10672" s="30" t="s">
        <v>774</v>
      </c>
      <c r="D10672" s="30" t="s">
        <v>17</v>
      </c>
      <c r="E10672" s="30" t="s">
        <v>18</v>
      </c>
      <c r="F10672" s="30" t="s">
        <v>19</v>
      </c>
      <c r="G10672" s="30" t="s">
        <v>20</v>
      </c>
      <c r="H10672" s="32">
        <v>185</v>
      </c>
      <c r="I10672" s="30" t="s">
        <v>21</v>
      </c>
      <c r="J10672" s="41">
        <v>44607</v>
      </c>
      <c r="K10672" s="30" t="s">
        <v>22</v>
      </c>
    </row>
    <row r="10673" spans="1:11">
      <c r="A10673" s="33" t="s">
        <v>24348</v>
      </c>
      <c r="B10673" s="33" t="s">
        <v>24349</v>
      </c>
      <c r="C10673" s="33" t="s">
        <v>24350</v>
      </c>
      <c r="D10673" s="33" t="s">
        <v>17</v>
      </c>
      <c r="E10673" s="33" t="s">
        <v>18</v>
      </c>
      <c r="F10673" s="33" t="s">
        <v>19</v>
      </c>
      <c r="G10673" s="33" t="s">
        <v>140</v>
      </c>
      <c r="H10673" s="35">
        <v>170</v>
      </c>
      <c r="I10673" s="33" t="s">
        <v>51</v>
      </c>
      <c r="J10673" s="42">
        <v>44909</v>
      </c>
      <c r="K10673" s="33" t="s">
        <v>22</v>
      </c>
    </row>
    <row r="10674" spans="1:11">
      <c r="A10674" s="30" t="s">
        <v>24351</v>
      </c>
      <c r="B10674" s="30" t="s">
        <v>24352</v>
      </c>
      <c r="C10674" s="30" t="s">
        <v>22597</v>
      </c>
      <c r="D10674" s="30" t="s">
        <v>17</v>
      </c>
      <c r="E10674" s="30" t="s">
        <v>26</v>
      </c>
      <c r="F10674" s="30" t="s">
        <v>27</v>
      </c>
      <c r="G10674" s="30" t="s">
        <v>20</v>
      </c>
      <c r="H10674" s="32">
        <v>49</v>
      </c>
      <c r="I10674" s="30" t="s">
        <v>21</v>
      </c>
      <c r="J10674" s="41">
        <v>44693</v>
      </c>
      <c r="K10674" s="30" t="s">
        <v>22</v>
      </c>
    </row>
    <row r="10675" spans="1:11">
      <c r="A10675" s="33" t="s">
        <v>24353</v>
      </c>
      <c r="B10675" s="33" t="s">
        <v>24354</v>
      </c>
      <c r="C10675" s="33" t="s">
        <v>1024</v>
      </c>
      <c r="D10675" s="33" t="s">
        <v>17</v>
      </c>
      <c r="E10675" s="33" t="s">
        <v>26</v>
      </c>
      <c r="F10675" s="33" t="s">
        <v>27</v>
      </c>
      <c r="G10675" s="33" t="s">
        <v>20</v>
      </c>
      <c r="H10675" s="35">
        <v>68</v>
      </c>
      <c r="I10675" s="33" t="s">
        <v>21</v>
      </c>
      <c r="J10675" s="42">
        <v>44872</v>
      </c>
      <c r="K10675" s="33" t="s">
        <v>22</v>
      </c>
    </row>
    <row r="10676" spans="1:11">
      <c r="A10676" s="30" t="s">
        <v>24355</v>
      </c>
      <c r="B10676" s="30" t="s">
        <v>24356</v>
      </c>
      <c r="C10676" s="30" t="s">
        <v>11772</v>
      </c>
      <c r="D10676" s="30" t="s">
        <v>17</v>
      </c>
      <c r="E10676" s="30" t="s">
        <v>26</v>
      </c>
      <c r="F10676" s="30" t="s">
        <v>27</v>
      </c>
      <c r="G10676" s="30" t="s">
        <v>20</v>
      </c>
      <c r="H10676" s="32">
        <v>49</v>
      </c>
      <c r="I10676" s="30" t="s">
        <v>21</v>
      </c>
      <c r="J10676" s="41">
        <v>44845</v>
      </c>
      <c r="K10676" s="30" t="s">
        <v>22</v>
      </c>
    </row>
    <row r="10677" spans="1:11">
      <c r="A10677" s="33" t="s">
        <v>24357</v>
      </c>
      <c r="B10677" s="33" t="s">
        <v>24358</v>
      </c>
      <c r="C10677" s="33" t="s">
        <v>12772</v>
      </c>
      <c r="D10677" s="33" t="s">
        <v>17</v>
      </c>
      <c r="E10677" s="33" t="s">
        <v>26</v>
      </c>
      <c r="F10677" s="33" t="s">
        <v>27</v>
      </c>
      <c r="G10677" s="33" t="s">
        <v>158</v>
      </c>
      <c r="H10677" s="35">
        <v>15</v>
      </c>
      <c r="I10677" s="33" t="s">
        <v>21</v>
      </c>
      <c r="J10677" s="42">
        <v>44767</v>
      </c>
      <c r="K10677" s="33" t="s">
        <v>22</v>
      </c>
    </row>
    <row r="10678" spans="1:11">
      <c r="A10678" s="30" t="s">
        <v>24359</v>
      </c>
      <c r="B10678" s="30" t="s">
        <v>24360</v>
      </c>
      <c r="C10678" s="30" t="s">
        <v>1406</v>
      </c>
      <c r="D10678" s="30" t="s">
        <v>17</v>
      </c>
      <c r="E10678" s="30" t="s">
        <v>31</v>
      </c>
      <c r="F10678" s="30" t="s">
        <v>32</v>
      </c>
      <c r="G10678" s="30" t="s">
        <v>20</v>
      </c>
      <c r="H10678" s="32">
        <v>53</v>
      </c>
      <c r="I10678" s="30" t="s">
        <v>21</v>
      </c>
      <c r="J10678" s="41">
        <v>44823</v>
      </c>
      <c r="K10678" s="30" t="s">
        <v>22</v>
      </c>
    </row>
    <row r="10679" spans="1:11">
      <c r="A10679" s="33" t="s">
        <v>24361</v>
      </c>
      <c r="B10679" s="33" t="s">
        <v>24362</v>
      </c>
      <c r="C10679" s="33" t="s">
        <v>24363</v>
      </c>
      <c r="D10679" s="33" t="s">
        <v>17</v>
      </c>
      <c r="E10679" s="33" t="s">
        <v>26</v>
      </c>
      <c r="F10679" s="33" t="s">
        <v>27</v>
      </c>
      <c r="G10679" s="33" t="s">
        <v>50</v>
      </c>
      <c r="H10679" s="35">
        <v>56</v>
      </c>
      <c r="I10679" s="33" t="s">
        <v>51</v>
      </c>
      <c r="J10679" s="42">
        <v>44803</v>
      </c>
      <c r="K10679" s="33" t="s">
        <v>22</v>
      </c>
    </row>
    <row r="10680" spans="1:11">
      <c r="A10680" s="30" t="s">
        <v>24364</v>
      </c>
      <c r="B10680" s="30" t="s">
        <v>24365</v>
      </c>
      <c r="C10680" s="30" t="s">
        <v>10589</v>
      </c>
      <c r="D10680" s="30" t="s">
        <v>17</v>
      </c>
      <c r="E10680" s="30" t="s">
        <v>26</v>
      </c>
      <c r="F10680" s="30" t="s">
        <v>27</v>
      </c>
      <c r="G10680" s="30" t="s">
        <v>106</v>
      </c>
      <c r="H10680" s="32">
        <v>50</v>
      </c>
      <c r="I10680" s="30" t="s">
        <v>21</v>
      </c>
      <c r="J10680" s="41">
        <v>44658</v>
      </c>
      <c r="K10680" s="30" t="s">
        <v>22</v>
      </c>
    </row>
    <row r="10681" spans="1:11">
      <c r="A10681" s="33" t="s">
        <v>24366</v>
      </c>
      <c r="B10681" s="33" t="s">
        <v>24367</v>
      </c>
      <c r="C10681" s="33" t="s">
        <v>252</v>
      </c>
      <c r="D10681" s="33" t="s">
        <v>17</v>
      </c>
      <c r="E10681" s="33" t="s">
        <v>18</v>
      </c>
      <c r="F10681" s="33" t="s">
        <v>19</v>
      </c>
      <c r="G10681" s="33" t="s">
        <v>158</v>
      </c>
      <c r="H10681" s="35">
        <v>636</v>
      </c>
      <c r="I10681" s="33" t="s">
        <v>51</v>
      </c>
      <c r="J10681" s="42">
        <v>44733</v>
      </c>
      <c r="K10681" s="33" t="s">
        <v>22</v>
      </c>
    </row>
    <row r="10682" spans="1:11">
      <c r="A10682" s="30" t="s">
        <v>24368</v>
      </c>
      <c r="B10682" s="30" t="s">
        <v>24369</v>
      </c>
      <c r="C10682" s="30" t="s">
        <v>2978</v>
      </c>
      <c r="D10682" s="30" t="s">
        <v>17</v>
      </c>
      <c r="E10682" s="30" t="s">
        <v>26</v>
      </c>
      <c r="F10682" s="30" t="s">
        <v>27</v>
      </c>
      <c r="G10682" s="30" t="s">
        <v>140</v>
      </c>
      <c r="H10682" s="32">
        <v>110</v>
      </c>
      <c r="I10682" s="30" t="s">
        <v>51</v>
      </c>
      <c r="J10682" s="41">
        <v>44802</v>
      </c>
      <c r="K10682" s="30" t="s">
        <v>22</v>
      </c>
    </row>
    <row r="10683" spans="1:11">
      <c r="A10683" s="33" t="s">
        <v>24370</v>
      </c>
      <c r="B10683" s="33" t="s">
        <v>24371</v>
      </c>
      <c r="C10683" s="33" t="s">
        <v>715</v>
      </c>
      <c r="D10683" s="33" t="s">
        <v>17</v>
      </c>
      <c r="E10683" s="33" t="s">
        <v>26</v>
      </c>
      <c r="F10683" s="33" t="s">
        <v>27</v>
      </c>
      <c r="G10683" s="33" t="s">
        <v>140</v>
      </c>
      <c r="H10683" s="35">
        <v>398</v>
      </c>
      <c r="I10683" s="33" t="s">
        <v>51</v>
      </c>
      <c r="J10683" s="42">
        <v>44719</v>
      </c>
      <c r="K10683" s="33" t="s">
        <v>22</v>
      </c>
    </row>
    <row r="10684" spans="1:11">
      <c r="A10684" s="30" t="s">
        <v>24372</v>
      </c>
      <c r="B10684" s="30" t="s">
        <v>24373</v>
      </c>
      <c r="C10684" s="30" t="s">
        <v>7153</v>
      </c>
      <c r="D10684" s="30" t="s">
        <v>17</v>
      </c>
      <c r="E10684" s="30" t="s">
        <v>31</v>
      </c>
      <c r="F10684" s="30" t="s">
        <v>32</v>
      </c>
      <c r="G10684" s="30" t="s">
        <v>106</v>
      </c>
      <c r="H10684" s="32">
        <v>28</v>
      </c>
      <c r="I10684" s="30" t="s">
        <v>21</v>
      </c>
      <c r="J10684" s="41">
        <v>44581</v>
      </c>
      <c r="K10684" s="30" t="s">
        <v>22</v>
      </c>
    </row>
    <row r="10685" spans="1:11">
      <c r="A10685" s="33" t="s">
        <v>24374</v>
      </c>
      <c r="B10685" s="33" t="s">
        <v>24375</v>
      </c>
      <c r="C10685" s="33" t="s">
        <v>795</v>
      </c>
      <c r="D10685" s="33" t="s">
        <v>17</v>
      </c>
      <c r="E10685" s="33" t="s">
        <v>26</v>
      </c>
      <c r="F10685" s="33" t="s">
        <v>27</v>
      </c>
      <c r="G10685" s="33" t="s">
        <v>158</v>
      </c>
      <c r="H10685" s="35">
        <v>17</v>
      </c>
      <c r="I10685" s="33" t="s">
        <v>21</v>
      </c>
      <c r="J10685" s="42">
        <v>44838</v>
      </c>
      <c r="K10685" s="33" t="s">
        <v>22</v>
      </c>
    </row>
    <row r="10686" spans="1:11">
      <c r="A10686" s="30" t="s">
        <v>24376</v>
      </c>
      <c r="B10686" s="30" t="s">
        <v>24377</v>
      </c>
      <c r="C10686" s="30" t="s">
        <v>374</v>
      </c>
      <c r="D10686" s="30" t="s">
        <v>17</v>
      </c>
      <c r="E10686" s="30" t="s">
        <v>26</v>
      </c>
      <c r="F10686" s="30" t="s">
        <v>27</v>
      </c>
      <c r="G10686" s="30" t="s">
        <v>106</v>
      </c>
      <c r="H10686" s="32">
        <v>64</v>
      </c>
      <c r="I10686" s="30" t="s">
        <v>21</v>
      </c>
      <c r="J10686" s="41">
        <v>44897</v>
      </c>
      <c r="K10686" s="30" t="s">
        <v>22</v>
      </c>
    </row>
    <row r="10687" spans="1:11">
      <c r="A10687" s="33" t="s">
        <v>24378</v>
      </c>
      <c r="B10687" s="33" t="s">
        <v>24379</v>
      </c>
      <c r="C10687" s="33" t="s">
        <v>2062</v>
      </c>
      <c r="D10687" s="33" t="s">
        <v>17</v>
      </c>
      <c r="E10687" s="33" t="s">
        <v>26</v>
      </c>
      <c r="F10687" s="33" t="s">
        <v>27</v>
      </c>
      <c r="G10687" s="33" t="s">
        <v>50</v>
      </c>
      <c r="H10687" s="35">
        <v>64</v>
      </c>
      <c r="I10687" s="33" t="s">
        <v>51</v>
      </c>
      <c r="J10687" s="42">
        <v>44876</v>
      </c>
      <c r="K10687" s="33" t="s">
        <v>22</v>
      </c>
    </row>
    <row r="10688" spans="1:11">
      <c r="A10688" s="30" t="s">
        <v>24380</v>
      </c>
      <c r="B10688" s="30" t="s">
        <v>24381</v>
      </c>
      <c r="C10688" s="30" t="s">
        <v>15467</v>
      </c>
      <c r="D10688" s="30" t="s">
        <v>17</v>
      </c>
      <c r="E10688" s="30" t="s">
        <v>67</v>
      </c>
      <c r="F10688" s="30" t="s">
        <v>68</v>
      </c>
      <c r="G10688" s="30" t="s">
        <v>20</v>
      </c>
      <c r="H10688" s="32">
        <v>22</v>
      </c>
      <c r="I10688" s="30" t="s">
        <v>21</v>
      </c>
      <c r="J10688" s="41">
        <v>44833</v>
      </c>
      <c r="K10688" s="30" t="s">
        <v>22</v>
      </c>
    </row>
    <row r="10689" spans="1:11">
      <c r="A10689" s="33" t="s">
        <v>24382</v>
      </c>
      <c r="B10689" s="33" t="s">
        <v>24383</v>
      </c>
      <c r="C10689" s="33" t="s">
        <v>9629</v>
      </c>
      <c r="D10689" s="33" t="s">
        <v>17</v>
      </c>
      <c r="E10689" s="33" t="s">
        <v>67</v>
      </c>
      <c r="F10689" s="33" t="s">
        <v>68</v>
      </c>
      <c r="G10689" s="33" t="s">
        <v>158</v>
      </c>
      <c r="H10689" s="35">
        <v>42</v>
      </c>
      <c r="I10689" s="33" t="s">
        <v>21</v>
      </c>
      <c r="J10689" s="42">
        <v>44743</v>
      </c>
      <c r="K10689" s="33" t="s">
        <v>22</v>
      </c>
    </row>
    <row r="10690" spans="1:11">
      <c r="A10690" s="30" t="s">
        <v>24384</v>
      </c>
      <c r="B10690" s="30" t="s">
        <v>24385</v>
      </c>
      <c r="C10690" s="30" t="s">
        <v>130</v>
      </c>
      <c r="D10690" s="30" t="s">
        <v>17</v>
      </c>
      <c r="E10690" s="30" t="s">
        <v>18</v>
      </c>
      <c r="F10690" s="30" t="s">
        <v>19</v>
      </c>
      <c r="G10690" s="30" t="s">
        <v>106</v>
      </c>
      <c r="H10690" s="32">
        <v>13</v>
      </c>
      <c r="I10690" s="30" t="s">
        <v>21</v>
      </c>
      <c r="J10690" s="41">
        <v>44635</v>
      </c>
      <c r="K10690" s="30" t="s">
        <v>22</v>
      </c>
    </row>
    <row r="10691" spans="1:11">
      <c r="A10691" s="33" t="s">
        <v>24386</v>
      </c>
      <c r="B10691" s="33" t="s">
        <v>24387</v>
      </c>
      <c r="C10691" s="33" t="s">
        <v>3647</v>
      </c>
      <c r="D10691" s="33" t="s">
        <v>17</v>
      </c>
      <c r="E10691" s="33" t="s">
        <v>212</v>
      </c>
      <c r="F10691" s="33" t="s">
        <v>213</v>
      </c>
      <c r="G10691" s="33" t="s">
        <v>106</v>
      </c>
      <c r="H10691" s="35">
        <v>320</v>
      </c>
      <c r="I10691" s="33" t="s">
        <v>21</v>
      </c>
      <c r="J10691" s="42">
        <v>44617</v>
      </c>
      <c r="K10691" s="33" t="s">
        <v>22</v>
      </c>
    </row>
    <row r="10692" spans="1:11">
      <c r="A10692" s="30" t="s">
        <v>24388</v>
      </c>
      <c r="B10692" s="30" t="s">
        <v>24389</v>
      </c>
      <c r="C10692" s="30" t="s">
        <v>203</v>
      </c>
      <c r="D10692" s="30" t="s">
        <v>17</v>
      </c>
      <c r="E10692" s="30" t="s">
        <v>31</v>
      </c>
      <c r="F10692" s="30" t="s">
        <v>32</v>
      </c>
      <c r="G10692" s="30" t="s">
        <v>158</v>
      </c>
      <c r="H10692" s="32">
        <v>187</v>
      </c>
      <c r="I10692" s="30" t="s">
        <v>21</v>
      </c>
      <c r="J10692" s="41">
        <v>44890</v>
      </c>
      <c r="K10692" s="30" t="s">
        <v>22</v>
      </c>
    </row>
    <row r="10693" spans="1:11">
      <c r="A10693" s="33" t="s">
        <v>24390</v>
      </c>
      <c r="B10693" s="33" t="s">
        <v>24391</v>
      </c>
      <c r="C10693" s="33" t="s">
        <v>626</v>
      </c>
      <c r="D10693" s="33" t="s">
        <v>17</v>
      </c>
      <c r="E10693" s="33" t="s">
        <v>31</v>
      </c>
      <c r="F10693" s="33" t="s">
        <v>32</v>
      </c>
      <c r="G10693" s="33" t="s">
        <v>50</v>
      </c>
      <c r="H10693" s="35">
        <v>32</v>
      </c>
      <c r="I10693" s="33" t="s">
        <v>51</v>
      </c>
      <c r="J10693" s="42">
        <v>44673</v>
      </c>
      <c r="K10693" s="33" t="s">
        <v>22</v>
      </c>
    </row>
    <row r="10694" spans="1:11">
      <c r="A10694" s="30" t="s">
        <v>24392</v>
      </c>
      <c r="B10694" s="30" t="s">
        <v>24393</v>
      </c>
      <c r="C10694" s="30" t="s">
        <v>603</v>
      </c>
      <c r="D10694" s="30" t="s">
        <v>17</v>
      </c>
      <c r="E10694" s="30" t="s">
        <v>26</v>
      </c>
      <c r="F10694" s="30" t="s">
        <v>27</v>
      </c>
      <c r="G10694" s="30" t="s">
        <v>20</v>
      </c>
      <c r="H10694" s="32">
        <v>30</v>
      </c>
      <c r="I10694" s="30" t="s">
        <v>21</v>
      </c>
      <c r="J10694" s="41">
        <v>44894</v>
      </c>
      <c r="K10694" s="30" t="s">
        <v>22</v>
      </c>
    </row>
    <row r="10695" spans="1:11">
      <c r="A10695" s="33" t="s">
        <v>24394</v>
      </c>
      <c r="B10695" s="33" t="s">
        <v>24395</v>
      </c>
      <c r="C10695" s="33" t="s">
        <v>6585</v>
      </c>
      <c r="D10695" s="33" t="s">
        <v>17</v>
      </c>
      <c r="E10695" s="33" t="s">
        <v>26</v>
      </c>
      <c r="F10695" s="33" t="s">
        <v>27</v>
      </c>
      <c r="G10695" s="33" t="s">
        <v>20</v>
      </c>
      <c r="H10695" s="35">
        <v>56</v>
      </c>
      <c r="I10695" s="33" t="s">
        <v>21</v>
      </c>
      <c r="J10695" s="42">
        <v>44677</v>
      </c>
      <c r="K10695" s="33" t="s">
        <v>22</v>
      </c>
    </row>
    <row r="10696" spans="1:11">
      <c r="A10696" s="30" t="s">
        <v>24396</v>
      </c>
      <c r="B10696" s="30" t="s">
        <v>24397</v>
      </c>
      <c r="C10696" s="30" t="s">
        <v>24398</v>
      </c>
      <c r="D10696" s="30" t="s">
        <v>17</v>
      </c>
      <c r="E10696" s="30" t="s">
        <v>18</v>
      </c>
      <c r="F10696" s="30" t="s">
        <v>19</v>
      </c>
      <c r="G10696" s="30" t="s">
        <v>106</v>
      </c>
      <c r="H10696" s="32">
        <v>130</v>
      </c>
      <c r="I10696" s="30" t="s">
        <v>21</v>
      </c>
      <c r="J10696" s="41">
        <v>44613</v>
      </c>
      <c r="K10696" s="30" t="s">
        <v>22</v>
      </c>
    </row>
    <row r="10697" spans="1:11">
      <c r="A10697" s="33" t="s">
        <v>24399</v>
      </c>
      <c r="B10697" s="33" t="s">
        <v>24400</v>
      </c>
      <c r="C10697" s="33" t="s">
        <v>149</v>
      </c>
      <c r="D10697" s="33" t="s">
        <v>17</v>
      </c>
      <c r="E10697" s="33" t="s">
        <v>26</v>
      </c>
      <c r="F10697" s="33" t="s">
        <v>27</v>
      </c>
      <c r="G10697" s="33" t="s">
        <v>50</v>
      </c>
      <c r="H10697" s="35">
        <v>30</v>
      </c>
      <c r="I10697" s="33" t="s">
        <v>51</v>
      </c>
      <c r="J10697" s="42">
        <v>44913</v>
      </c>
      <c r="K10697" s="33" t="s">
        <v>22</v>
      </c>
    </row>
    <row r="10698" spans="1:11">
      <c r="A10698" s="30" t="s">
        <v>24401</v>
      </c>
      <c r="B10698" s="30" t="s">
        <v>24402</v>
      </c>
      <c r="C10698" s="30" t="s">
        <v>684</v>
      </c>
      <c r="D10698" s="30" t="s">
        <v>17</v>
      </c>
      <c r="E10698" s="30" t="s">
        <v>18</v>
      </c>
      <c r="F10698" s="30" t="s">
        <v>19</v>
      </c>
      <c r="G10698" s="30" t="s">
        <v>20</v>
      </c>
      <c r="H10698" s="32">
        <v>48</v>
      </c>
      <c r="I10698" s="30" t="s">
        <v>21</v>
      </c>
      <c r="J10698" s="41">
        <v>44624</v>
      </c>
      <c r="K10698" s="30" t="s">
        <v>22</v>
      </c>
    </row>
    <row r="10699" spans="1:11">
      <c r="A10699" s="33" t="s">
        <v>24403</v>
      </c>
      <c r="B10699" s="33" t="s">
        <v>24404</v>
      </c>
      <c r="C10699" s="33" t="s">
        <v>7468</v>
      </c>
      <c r="D10699" s="33" t="s">
        <v>17</v>
      </c>
      <c r="E10699" s="33" t="s">
        <v>67</v>
      </c>
      <c r="F10699" s="33" t="s">
        <v>68</v>
      </c>
      <c r="G10699" s="33" t="s">
        <v>106</v>
      </c>
      <c r="H10699" s="35">
        <v>128</v>
      </c>
      <c r="I10699" s="33" t="s">
        <v>21</v>
      </c>
      <c r="J10699" s="42">
        <v>44880</v>
      </c>
      <c r="K10699" s="33" t="s">
        <v>22</v>
      </c>
    </row>
    <row r="10700" spans="1:11">
      <c r="A10700" s="30" t="s">
        <v>24405</v>
      </c>
      <c r="B10700" s="30" t="s">
        <v>24406</v>
      </c>
      <c r="C10700" s="30" t="s">
        <v>24407</v>
      </c>
      <c r="D10700" s="30" t="s">
        <v>17</v>
      </c>
      <c r="E10700" s="30" t="s">
        <v>330</v>
      </c>
      <c r="F10700" s="30" t="s">
        <v>331</v>
      </c>
      <c r="G10700" s="30" t="s">
        <v>69</v>
      </c>
      <c r="H10700" s="32">
        <v>10</v>
      </c>
      <c r="I10700" s="30" t="s">
        <v>51</v>
      </c>
      <c r="J10700" s="41">
        <v>44826</v>
      </c>
      <c r="K10700" s="30" t="s">
        <v>22</v>
      </c>
    </row>
    <row r="10701" spans="1:11">
      <c r="A10701" s="33" t="s">
        <v>24408</v>
      </c>
      <c r="B10701" s="33" t="s">
        <v>24409</v>
      </c>
      <c r="C10701" s="33" t="s">
        <v>5251</v>
      </c>
      <c r="D10701" s="33" t="s">
        <v>17</v>
      </c>
      <c r="E10701" s="33" t="s">
        <v>67</v>
      </c>
      <c r="F10701" s="33" t="s">
        <v>68</v>
      </c>
      <c r="G10701" s="33" t="s">
        <v>50</v>
      </c>
      <c r="H10701" s="35">
        <v>120</v>
      </c>
      <c r="I10701" s="33" t="s">
        <v>51</v>
      </c>
      <c r="J10701" s="42">
        <v>44741</v>
      </c>
      <c r="K10701" s="33" t="s">
        <v>22</v>
      </c>
    </row>
    <row r="10702" spans="1:11">
      <c r="A10702" s="30" t="s">
        <v>24410</v>
      </c>
      <c r="B10702" s="30" t="s">
        <v>24411</v>
      </c>
      <c r="C10702" s="30" t="s">
        <v>136</v>
      </c>
      <c r="D10702" s="30" t="s">
        <v>17</v>
      </c>
      <c r="E10702" s="30" t="s">
        <v>26</v>
      </c>
      <c r="F10702" s="30" t="s">
        <v>27</v>
      </c>
      <c r="G10702" s="30" t="s">
        <v>158</v>
      </c>
      <c r="H10702" s="32">
        <v>17</v>
      </c>
      <c r="I10702" s="30" t="s">
        <v>21</v>
      </c>
      <c r="J10702" s="41">
        <v>44843</v>
      </c>
      <c r="K10702" s="30" t="s">
        <v>22</v>
      </c>
    </row>
    <row r="10703" spans="1:11">
      <c r="A10703" s="33" t="s">
        <v>24412</v>
      </c>
      <c r="B10703" s="33" t="s">
        <v>24413</v>
      </c>
      <c r="C10703" s="33" t="s">
        <v>24414</v>
      </c>
      <c r="D10703" s="33" t="s">
        <v>17</v>
      </c>
      <c r="E10703" s="33" t="s">
        <v>26</v>
      </c>
      <c r="F10703" s="33" t="s">
        <v>27</v>
      </c>
      <c r="G10703" s="33" t="s">
        <v>20</v>
      </c>
      <c r="H10703" s="35">
        <v>34</v>
      </c>
      <c r="I10703" s="33" t="s">
        <v>21</v>
      </c>
      <c r="J10703" s="42">
        <v>44580</v>
      </c>
      <c r="K10703" s="33" t="s">
        <v>22</v>
      </c>
    </row>
    <row r="10704" spans="1:11">
      <c r="A10704" s="30" t="s">
        <v>24415</v>
      </c>
      <c r="B10704" s="30" t="s">
        <v>24416</v>
      </c>
      <c r="C10704" s="30" t="s">
        <v>96</v>
      </c>
      <c r="D10704" s="30" t="s">
        <v>17</v>
      </c>
      <c r="E10704" s="30" t="s">
        <v>26</v>
      </c>
      <c r="F10704" s="30" t="s">
        <v>27</v>
      </c>
      <c r="G10704" s="30" t="s">
        <v>106</v>
      </c>
      <c r="H10704" s="32">
        <v>44</v>
      </c>
      <c r="I10704" s="30" t="s">
        <v>21</v>
      </c>
      <c r="J10704" s="41">
        <v>44872</v>
      </c>
      <c r="K10704" s="30" t="s">
        <v>22</v>
      </c>
    </row>
    <row r="10705" spans="1:11">
      <c r="A10705" s="33" t="s">
        <v>24417</v>
      </c>
      <c r="B10705" s="33" t="s">
        <v>24418</v>
      </c>
      <c r="C10705" s="33" t="s">
        <v>23852</v>
      </c>
      <c r="D10705" s="33" t="s">
        <v>17</v>
      </c>
      <c r="E10705" s="33" t="s">
        <v>26</v>
      </c>
      <c r="F10705" s="33" t="s">
        <v>27</v>
      </c>
      <c r="G10705" s="33" t="s">
        <v>20</v>
      </c>
      <c r="H10705" s="35">
        <v>60</v>
      </c>
      <c r="I10705" s="33" t="s">
        <v>21</v>
      </c>
      <c r="J10705" s="42">
        <v>44755</v>
      </c>
      <c r="K10705" s="33" t="s">
        <v>22</v>
      </c>
    </row>
    <row r="10706" spans="1:11">
      <c r="A10706" s="30" t="s">
        <v>24419</v>
      </c>
      <c r="B10706" s="30" t="s">
        <v>24420</v>
      </c>
      <c r="C10706" s="30" t="s">
        <v>190</v>
      </c>
      <c r="D10706" s="30" t="s">
        <v>17</v>
      </c>
      <c r="E10706" s="30" t="s">
        <v>18</v>
      </c>
      <c r="F10706" s="30" t="s">
        <v>19</v>
      </c>
      <c r="G10706" s="30" t="s">
        <v>158</v>
      </c>
      <c r="H10706" s="32">
        <v>760</v>
      </c>
      <c r="I10706" s="30" t="s">
        <v>21</v>
      </c>
      <c r="J10706" s="41">
        <v>44648</v>
      </c>
      <c r="K10706" s="30" t="s">
        <v>22</v>
      </c>
    </row>
    <row r="10707" spans="1:11">
      <c r="A10707" s="33" t="s">
        <v>24421</v>
      </c>
      <c r="B10707" s="33" t="s">
        <v>24422</v>
      </c>
      <c r="C10707" s="33" t="s">
        <v>190</v>
      </c>
      <c r="D10707" s="33" t="s">
        <v>17</v>
      </c>
      <c r="E10707" s="33" t="s">
        <v>26</v>
      </c>
      <c r="F10707" s="33" t="s">
        <v>27</v>
      </c>
      <c r="G10707" s="33" t="s">
        <v>20</v>
      </c>
      <c r="H10707" s="35">
        <v>14</v>
      </c>
      <c r="I10707" s="33" t="s">
        <v>21</v>
      </c>
      <c r="J10707" s="42">
        <v>44838</v>
      </c>
      <c r="K10707" s="33" t="s">
        <v>22</v>
      </c>
    </row>
    <row r="10708" spans="1:11">
      <c r="A10708" s="30" t="s">
        <v>24423</v>
      </c>
      <c r="B10708" s="30" t="s">
        <v>24424</v>
      </c>
      <c r="C10708" s="30" t="s">
        <v>24425</v>
      </c>
      <c r="D10708" s="30" t="s">
        <v>17</v>
      </c>
      <c r="E10708" s="30" t="s">
        <v>26</v>
      </c>
      <c r="F10708" s="30" t="s">
        <v>27</v>
      </c>
      <c r="G10708" s="30" t="s">
        <v>158</v>
      </c>
      <c r="H10708" s="32">
        <v>258</v>
      </c>
      <c r="I10708" s="30" t="s">
        <v>51</v>
      </c>
      <c r="J10708" s="41">
        <v>44839</v>
      </c>
      <c r="K10708" s="30" t="s">
        <v>22</v>
      </c>
    </row>
    <row r="10709" spans="1:11">
      <c r="A10709" s="33" t="s">
        <v>24426</v>
      </c>
      <c r="B10709" s="33" t="s">
        <v>24427</v>
      </c>
      <c r="C10709" s="33" t="s">
        <v>8151</v>
      </c>
      <c r="D10709" s="33" t="s">
        <v>17</v>
      </c>
      <c r="E10709" s="33" t="s">
        <v>26</v>
      </c>
      <c r="F10709" s="33" t="s">
        <v>27</v>
      </c>
      <c r="G10709" s="33" t="s">
        <v>20</v>
      </c>
      <c r="H10709" s="35">
        <v>24</v>
      </c>
      <c r="I10709" s="33" t="s">
        <v>21</v>
      </c>
      <c r="J10709" s="42">
        <v>44733</v>
      </c>
      <c r="K10709" s="33" t="s">
        <v>22</v>
      </c>
    </row>
    <row r="10710" spans="1:11">
      <c r="A10710" s="30" t="s">
        <v>24428</v>
      </c>
      <c r="B10710" s="30" t="s">
        <v>24429</v>
      </c>
      <c r="C10710" s="30" t="s">
        <v>3264</v>
      </c>
      <c r="D10710" s="30" t="s">
        <v>17</v>
      </c>
      <c r="E10710" s="30" t="s">
        <v>18</v>
      </c>
      <c r="F10710" s="30" t="s">
        <v>19</v>
      </c>
      <c r="G10710" s="30" t="s">
        <v>20</v>
      </c>
      <c r="H10710" s="32">
        <v>420</v>
      </c>
      <c r="I10710" s="30" t="s">
        <v>21</v>
      </c>
      <c r="J10710" s="41">
        <v>44895</v>
      </c>
      <c r="K10710" s="30" t="s">
        <v>22</v>
      </c>
    </row>
    <row r="10711" spans="1:11">
      <c r="A10711" s="33" t="s">
        <v>24430</v>
      </c>
      <c r="B10711" s="33" t="s">
        <v>24431</v>
      </c>
      <c r="C10711" s="33" t="s">
        <v>957</v>
      </c>
      <c r="D10711" s="33" t="s">
        <v>17</v>
      </c>
      <c r="E10711" s="33" t="s">
        <v>26</v>
      </c>
      <c r="F10711" s="33" t="s">
        <v>27</v>
      </c>
      <c r="G10711" s="33" t="s">
        <v>20</v>
      </c>
      <c r="H10711" s="35">
        <v>30</v>
      </c>
      <c r="I10711" s="33" t="s">
        <v>21</v>
      </c>
      <c r="J10711" s="42">
        <v>44706</v>
      </c>
      <c r="K10711" s="33" t="s">
        <v>22</v>
      </c>
    </row>
    <row r="10712" spans="1:11">
      <c r="A10712" s="30" t="s">
        <v>24432</v>
      </c>
      <c r="B10712" s="30" t="s">
        <v>24433</v>
      </c>
      <c r="C10712" s="30" t="s">
        <v>187</v>
      </c>
      <c r="D10712" s="30" t="s">
        <v>17</v>
      </c>
      <c r="E10712" s="30" t="s">
        <v>31</v>
      </c>
      <c r="F10712" s="30" t="s">
        <v>32</v>
      </c>
      <c r="G10712" s="30" t="s">
        <v>106</v>
      </c>
      <c r="H10712" s="32">
        <v>59</v>
      </c>
      <c r="I10712" s="30" t="s">
        <v>21</v>
      </c>
      <c r="J10712" s="41">
        <v>44701</v>
      </c>
      <c r="K10712" s="30" t="s">
        <v>22</v>
      </c>
    </row>
    <row r="10713" spans="1:11">
      <c r="A10713" s="33" t="s">
        <v>24434</v>
      </c>
      <c r="B10713" s="33" t="s">
        <v>24435</v>
      </c>
      <c r="C10713" s="33" t="s">
        <v>1801</v>
      </c>
      <c r="D10713" s="33" t="s">
        <v>17</v>
      </c>
      <c r="E10713" s="33" t="s">
        <v>45</v>
      </c>
      <c r="F10713" s="33" t="s">
        <v>46</v>
      </c>
      <c r="G10713" s="33" t="s">
        <v>20</v>
      </c>
      <c r="H10713" s="35">
        <v>1208</v>
      </c>
      <c r="I10713" s="33" t="s">
        <v>21</v>
      </c>
      <c r="J10713" s="42">
        <v>44792</v>
      </c>
      <c r="K10713" s="33" t="s">
        <v>22</v>
      </c>
    </row>
    <row r="10714" spans="1:11">
      <c r="A10714" s="30" t="s">
        <v>24436</v>
      </c>
      <c r="B10714" s="30" t="s">
        <v>24437</v>
      </c>
      <c r="C10714" s="30" t="s">
        <v>4737</v>
      </c>
      <c r="D10714" s="30" t="s">
        <v>17</v>
      </c>
      <c r="E10714" s="30" t="s">
        <v>26</v>
      </c>
      <c r="F10714" s="30" t="s">
        <v>27</v>
      </c>
      <c r="G10714" s="30" t="s">
        <v>20</v>
      </c>
      <c r="H10714" s="32">
        <v>8</v>
      </c>
      <c r="I10714" s="30" t="s">
        <v>21</v>
      </c>
      <c r="J10714" s="41">
        <v>44901</v>
      </c>
      <c r="K10714" s="30" t="s">
        <v>22</v>
      </c>
    </row>
    <row r="10715" spans="1:11">
      <c r="A10715" s="33" t="s">
        <v>24438</v>
      </c>
      <c r="B10715" s="33" t="s">
        <v>24439</v>
      </c>
      <c r="C10715" s="33" t="s">
        <v>2022</v>
      </c>
      <c r="D10715" s="33" t="s">
        <v>17</v>
      </c>
      <c r="E10715" s="33" t="s">
        <v>26</v>
      </c>
      <c r="F10715" s="33" t="s">
        <v>27</v>
      </c>
      <c r="G10715" s="33" t="s">
        <v>20</v>
      </c>
      <c r="H10715" s="35">
        <v>88</v>
      </c>
      <c r="I10715" s="33" t="s">
        <v>21</v>
      </c>
      <c r="J10715" s="42">
        <v>44733</v>
      </c>
      <c r="K10715" s="33" t="s">
        <v>22</v>
      </c>
    </row>
    <row r="10716" spans="1:11">
      <c r="A10716" s="30" t="s">
        <v>24440</v>
      </c>
      <c r="B10716" s="30" t="s">
        <v>24441</v>
      </c>
      <c r="C10716" s="30" t="s">
        <v>96</v>
      </c>
      <c r="D10716" s="30" t="s">
        <v>17</v>
      </c>
      <c r="E10716" s="30" t="s">
        <v>18</v>
      </c>
      <c r="F10716" s="30" t="s">
        <v>19</v>
      </c>
      <c r="G10716" s="30" t="s">
        <v>20</v>
      </c>
      <c r="H10716" s="32">
        <v>897</v>
      </c>
      <c r="I10716" s="30" t="s">
        <v>21</v>
      </c>
      <c r="J10716" s="41">
        <v>44782</v>
      </c>
      <c r="K10716" s="30" t="s">
        <v>22</v>
      </c>
    </row>
    <row r="10717" spans="1:11">
      <c r="A10717" s="33" t="s">
        <v>24442</v>
      </c>
      <c r="B10717" s="33" t="s">
        <v>24443</v>
      </c>
      <c r="C10717" s="33" t="s">
        <v>379</v>
      </c>
      <c r="D10717" s="33" t="s">
        <v>17</v>
      </c>
      <c r="E10717" s="33" t="s">
        <v>31</v>
      </c>
      <c r="F10717" s="33" t="s">
        <v>32</v>
      </c>
      <c r="G10717" s="33" t="s">
        <v>50</v>
      </c>
      <c r="H10717" s="35">
        <v>25</v>
      </c>
      <c r="I10717" s="33" t="s">
        <v>51</v>
      </c>
      <c r="J10717" s="42">
        <v>44643</v>
      </c>
      <c r="K10717" s="33" t="s">
        <v>22</v>
      </c>
    </row>
    <row r="10718" spans="1:11">
      <c r="A10718" s="30" t="s">
        <v>24444</v>
      </c>
      <c r="B10718" s="30" t="s">
        <v>24445</v>
      </c>
      <c r="C10718" s="30" t="s">
        <v>3459</v>
      </c>
      <c r="D10718" s="30" t="s">
        <v>17</v>
      </c>
      <c r="E10718" s="30" t="s">
        <v>26</v>
      </c>
      <c r="F10718" s="30" t="s">
        <v>27</v>
      </c>
      <c r="G10718" s="30" t="s">
        <v>20</v>
      </c>
      <c r="H10718" s="32">
        <v>105</v>
      </c>
      <c r="I10718" s="30" t="s">
        <v>21</v>
      </c>
      <c r="J10718" s="41">
        <v>44810</v>
      </c>
      <c r="K10718" s="30" t="s">
        <v>22</v>
      </c>
    </row>
    <row r="10719" spans="1:11">
      <c r="A10719" s="33" t="s">
        <v>24446</v>
      </c>
      <c r="B10719" s="33" t="s">
        <v>24447</v>
      </c>
      <c r="C10719" s="33" t="s">
        <v>2978</v>
      </c>
      <c r="D10719" s="33" t="s">
        <v>17</v>
      </c>
      <c r="E10719" s="33" t="s">
        <v>18</v>
      </c>
      <c r="F10719" s="33" t="s">
        <v>19</v>
      </c>
      <c r="G10719" s="33" t="s">
        <v>50</v>
      </c>
      <c r="H10719" s="35">
        <v>274</v>
      </c>
      <c r="I10719" s="33" t="s">
        <v>21</v>
      </c>
      <c r="J10719" s="42">
        <v>44706</v>
      </c>
      <c r="K10719" s="33" t="s">
        <v>22</v>
      </c>
    </row>
    <row r="10720" spans="1:11">
      <c r="A10720" s="30" t="s">
        <v>24448</v>
      </c>
      <c r="B10720" s="30" t="s">
        <v>24449</v>
      </c>
      <c r="C10720" s="30" t="s">
        <v>154</v>
      </c>
      <c r="D10720" s="30" t="s">
        <v>17</v>
      </c>
      <c r="E10720" s="30" t="s">
        <v>31</v>
      </c>
      <c r="F10720" s="30" t="s">
        <v>32</v>
      </c>
      <c r="G10720" s="30" t="s">
        <v>20</v>
      </c>
      <c r="H10720" s="32">
        <v>33</v>
      </c>
      <c r="I10720" s="30" t="s">
        <v>21</v>
      </c>
      <c r="J10720" s="41">
        <v>44587</v>
      </c>
      <c r="K10720" s="30" t="s">
        <v>22</v>
      </c>
    </row>
    <row r="10721" spans="1:11">
      <c r="A10721" s="33" t="s">
        <v>24450</v>
      </c>
      <c r="B10721" s="33" t="s">
        <v>24451</v>
      </c>
      <c r="C10721" s="33" t="s">
        <v>647</v>
      </c>
      <c r="D10721" s="33" t="s">
        <v>17</v>
      </c>
      <c r="E10721" s="33" t="s">
        <v>26</v>
      </c>
      <c r="F10721" s="33" t="s">
        <v>27</v>
      </c>
      <c r="G10721" s="33" t="s">
        <v>20</v>
      </c>
      <c r="H10721" s="35">
        <v>53</v>
      </c>
      <c r="I10721" s="33" t="s">
        <v>21</v>
      </c>
      <c r="J10721" s="42">
        <v>44754</v>
      </c>
      <c r="K10721" s="33" t="s">
        <v>22</v>
      </c>
    </row>
    <row r="10722" spans="1:11">
      <c r="A10722" s="30" t="s">
        <v>24452</v>
      </c>
      <c r="B10722" s="30" t="s">
        <v>24453</v>
      </c>
      <c r="C10722" s="30" t="s">
        <v>3224</v>
      </c>
      <c r="D10722" s="30" t="s">
        <v>17</v>
      </c>
      <c r="E10722" s="30" t="s">
        <v>31</v>
      </c>
      <c r="F10722" s="30" t="s">
        <v>32</v>
      </c>
      <c r="G10722" s="30" t="s">
        <v>140</v>
      </c>
      <c r="H10722" s="32">
        <v>230</v>
      </c>
      <c r="I10722" s="30" t="s">
        <v>51</v>
      </c>
      <c r="J10722" s="41">
        <v>44747</v>
      </c>
      <c r="K10722" s="30" t="s">
        <v>22</v>
      </c>
    </row>
    <row r="10723" spans="1:11">
      <c r="A10723" s="33" t="s">
        <v>24454</v>
      </c>
      <c r="B10723" s="33" t="s">
        <v>24455</v>
      </c>
      <c r="C10723" s="33" t="s">
        <v>510</v>
      </c>
      <c r="D10723" s="33" t="s">
        <v>17</v>
      </c>
      <c r="E10723" s="33" t="s">
        <v>330</v>
      </c>
      <c r="F10723" s="33" t="s">
        <v>331</v>
      </c>
      <c r="G10723" s="33" t="s">
        <v>20</v>
      </c>
      <c r="H10723" s="35">
        <v>16</v>
      </c>
      <c r="I10723" s="33" t="s">
        <v>21</v>
      </c>
      <c r="J10723" s="42">
        <v>44581</v>
      </c>
      <c r="K10723" s="33" t="s">
        <v>22</v>
      </c>
    </row>
    <row r="10724" spans="1:11">
      <c r="A10724" s="30" t="s">
        <v>24456</v>
      </c>
      <c r="B10724" s="30" t="s">
        <v>24457</v>
      </c>
      <c r="C10724" s="30" t="s">
        <v>817</v>
      </c>
      <c r="D10724" s="30" t="s">
        <v>17</v>
      </c>
      <c r="E10724" s="30" t="s">
        <v>31</v>
      </c>
      <c r="F10724" s="30" t="s">
        <v>32</v>
      </c>
      <c r="G10724" s="30" t="s">
        <v>20</v>
      </c>
      <c r="H10724" s="32">
        <v>67</v>
      </c>
      <c r="I10724" s="30" t="s">
        <v>21</v>
      </c>
      <c r="J10724" s="41">
        <v>44864</v>
      </c>
      <c r="K10724" s="30" t="s">
        <v>22</v>
      </c>
    </row>
    <row r="10725" spans="1:11">
      <c r="A10725" s="33" t="s">
        <v>24458</v>
      </c>
      <c r="B10725" s="33" t="s">
        <v>24459</v>
      </c>
      <c r="C10725" s="33" t="s">
        <v>1295</v>
      </c>
      <c r="D10725" s="33" t="s">
        <v>17</v>
      </c>
      <c r="E10725" s="33" t="s">
        <v>26</v>
      </c>
      <c r="F10725" s="33" t="s">
        <v>27</v>
      </c>
      <c r="G10725" s="33" t="s">
        <v>140</v>
      </c>
      <c r="H10725" s="35">
        <v>27</v>
      </c>
      <c r="I10725" s="33" t="s">
        <v>51</v>
      </c>
      <c r="J10725" s="42">
        <v>44918</v>
      </c>
      <c r="K10725" s="33" t="s">
        <v>22</v>
      </c>
    </row>
    <row r="10726" spans="1:11">
      <c r="A10726" s="30" t="s">
        <v>24460</v>
      </c>
      <c r="B10726" s="30" t="s">
        <v>24461</v>
      </c>
      <c r="C10726" s="30" t="s">
        <v>11899</v>
      </c>
      <c r="D10726" s="30" t="s">
        <v>17</v>
      </c>
      <c r="E10726" s="30" t="s">
        <v>26</v>
      </c>
      <c r="F10726" s="30" t="s">
        <v>27</v>
      </c>
      <c r="G10726" s="30" t="s">
        <v>50</v>
      </c>
      <c r="H10726" s="32">
        <v>132</v>
      </c>
      <c r="I10726" s="30" t="s">
        <v>51</v>
      </c>
      <c r="J10726" s="41">
        <v>44565</v>
      </c>
      <c r="K10726" s="30" t="s">
        <v>22</v>
      </c>
    </row>
    <row r="10727" spans="1:11">
      <c r="A10727" s="33" t="s">
        <v>24462</v>
      </c>
      <c r="B10727" s="33" t="s">
        <v>24463</v>
      </c>
      <c r="C10727" s="33" t="s">
        <v>24464</v>
      </c>
      <c r="D10727" s="33" t="s">
        <v>17</v>
      </c>
      <c r="E10727" s="33" t="s">
        <v>31</v>
      </c>
      <c r="F10727" s="33" t="s">
        <v>32</v>
      </c>
      <c r="G10727" s="33" t="s">
        <v>20</v>
      </c>
      <c r="H10727" s="35">
        <v>125</v>
      </c>
      <c r="I10727" s="33" t="s">
        <v>21</v>
      </c>
      <c r="J10727" s="42">
        <v>44726</v>
      </c>
      <c r="K10727" s="33" t="s">
        <v>22</v>
      </c>
    </row>
    <row r="10728" spans="1:11">
      <c r="A10728" s="30" t="s">
        <v>24465</v>
      </c>
      <c r="B10728" s="30" t="s">
        <v>24466</v>
      </c>
      <c r="C10728" s="30" t="s">
        <v>5746</v>
      </c>
      <c r="D10728" s="30" t="s">
        <v>17</v>
      </c>
      <c r="E10728" s="30" t="s">
        <v>67</v>
      </c>
      <c r="F10728" s="30" t="s">
        <v>68</v>
      </c>
      <c r="G10728" s="30" t="s">
        <v>106</v>
      </c>
      <c r="H10728" s="32">
        <v>13</v>
      </c>
      <c r="I10728" s="30" t="s">
        <v>21</v>
      </c>
      <c r="J10728" s="41">
        <v>44747</v>
      </c>
      <c r="K10728" s="30" t="s">
        <v>22</v>
      </c>
    </row>
    <row r="10729" spans="1:11">
      <c r="A10729" s="33" t="s">
        <v>24467</v>
      </c>
      <c r="B10729" s="33" t="s">
        <v>24468</v>
      </c>
      <c r="C10729" s="33" t="s">
        <v>60</v>
      </c>
      <c r="D10729" s="33" t="s">
        <v>17</v>
      </c>
      <c r="E10729" s="33" t="s">
        <v>26</v>
      </c>
      <c r="F10729" s="33" t="s">
        <v>27</v>
      </c>
      <c r="G10729" s="33" t="s">
        <v>20</v>
      </c>
      <c r="H10729" s="35">
        <v>16</v>
      </c>
      <c r="I10729" s="33" t="s">
        <v>21</v>
      </c>
      <c r="J10729" s="42">
        <v>44819</v>
      </c>
      <c r="K10729" s="33" t="s">
        <v>22</v>
      </c>
    </row>
    <row r="10730" spans="1:11">
      <c r="A10730" s="30" t="s">
        <v>24469</v>
      </c>
      <c r="B10730" s="30" t="s">
        <v>24470</v>
      </c>
      <c r="C10730" s="30" t="s">
        <v>7544</v>
      </c>
      <c r="D10730" s="30" t="s">
        <v>17</v>
      </c>
      <c r="E10730" s="30" t="s">
        <v>67</v>
      </c>
      <c r="F10730" s="30" t="s">
        <v>68</v>
      </c>
      <c r="G10730" s="30" t="s">
        <v>20</v>
      </c>
      <c r="H10730" s="32">
        <v>209</v>
      </c>
      <c r="I10730" s="30" t="s">
        <v>21</v>
      </c>
      <c r="J10730" s="41">
        <v>44811</v>
      </c>
      <c r="K10730" s="30" t="s">
        <v>22</v>
      </c>
    </row>
    <row r="10731" spans="1:11">
      <c r="A10731" s="33" t="s">
        <v>24471</v>
      </c>
      <c r="B10731" s="33" t="s">
        <v>24472</v>
      </c>
      <c r="C10731" s="33" t="s">
        <v>14012</v>
      </c>
      <c r="D10731" s="33" t="s">
        <v>17</v>
      </c>
      <c r="E10731" s="33" t="s">
        <v>31</v>
      </c>
      <c r="F10731" s="33" t="s">
        <v>32</v>
      </c>
      <c r="G10731" s="33" t="s">
        <v>50</v>
      </c>
      <c r="H10731" s="35">
        <v>90</v>
      </c>
      <c r="I10731" s="33" t="s">
        <v>51</v>
      </c>
      <c r="J10731" s="42">
        <v>44827</v>
      </c>
      <c r="K10731" s="33" t="s">
        <v>22</v>
      </c>
    </row>
    <row r="10732" spans="1:11">
      <c r="A10732" s="30" t="s">
        <v>24473</v>
      </c>
      <c r="B10732" s="30" t="s">
        <v>24474</v>
      </c>
      <c r="C10732" s="30" t="s">
        <v>24475</v>
      </c>
      <c r="D10732" s="30" t="s">
        <v>17</v>
      </c>
      <c r="E10732" s="30" t="s">
        <v>26</v>
      </c>
      <c r="F10732" s="30" t="s">
        <v>27</v>
      </c>
      <c r="G10732" s="30" t="s">
        <v>50</v>
      </c>
      <c r="H10732" s="32">
        <v>368</v>
      </c>
      <c r="I10732" s="30" t="s">
        <v>51</v>
      </c>
      <c r="J10732" s="41">
        <v>44896</v>
      </c>
      <c r="K10732" s="30" t="s">
        <v>22</v>
      </c>
    </row>
    <row r="10733" spans="1:11">
      <c r="A10733" s="33" t="s">
        <v>24476</v>
      </c>
      <c r="B10733" s="33" t="s">
        <v>24477</v>
      </c>
      <c r="C10733" s="33" t="s">
        <v>24478</v>
      </c>
      <c r="D10733" s="33" t="s">
        <v>17</v>
      </c>
      <c r="E10733" s="33" t="s">
        <v>26</v>
      </c>
      <c r="F10733" s="33" t="s">
        <v>27</v>
      </c>
      <c r="G10733" s="33" t="s">
        <v>20</v>
      </c>
      <c r="H10733" s="35">
        <v>22</v>
      </c>
      <c r="I10733" s="33" t="s">
        <v>21</v>
      </c>
      <c r="J10733" s="42">
        <v>44644</v>
      </c>
      <c r="K10733" s="33" t="s">
        <v>22</v>
      </c>
    </row>
    <row r="10734" spans="1:11">
      <c r="A10734" s="30" t="s">
        <v>24479</v>
      </c>
      <c r="B10734" s="30" t="s">
        <v>24480</v>
      </c>
      <c r="C10734" s="30" t="s">
        <v>136</v>
      </c>
      <c r="D10734" s="30" t="s">
        <v>17</v>
      </c>
      <c r="E10734" s="30" t="s">
        <v>26</v>
      </c>
      <c r="F10734" s="30" t="s">
        <v>27</v>
      </c>
      <c r="G10734" s="30" t="s">
        <v>20</v>
      </c>
      <c r="H10734" s="32">
        <v>31</v>
      </c>
      <c r="I10734" s="30" t="s">
        <v>21</v>
      </c>
      <c r="J10734" s="41">
        <v>44895</v>
      </c>
      <c r="K10734" s="30" t="s">
        <v>22</v>
      </c>
    </row>
    <row r="10735" spans="1:11">
      <c r="A10735" s="33" t="s">
        <v>24481</v>
      </c>
      <c r="B10735" s="33" t="s">
        <v>24482</v>
      </c>
      <c r="C10735" s="33" t="s">
        <v>3013</v>
      </c>
      <c r="D10735" s="33" t="s">
        <v>17</v>
      </c>
      <c r="E10735" s="33" t="s">
        <v>18</v>
      </c>
      <c r="F10735" s="33" t="s">
        <v>19</v>
      </c>
      <c r="G10735" s="33" t="s">
        <v>20</v>
      </c>
      <c r="H10735" s="35">
        <v>94</v>
      </c>
      <c r="I10735" s="33" t="s">
        <v>21</v>
      </c>
      <c r="J10735" s="42">
        <v>44873</v>
      </c>
      <c r="K10735" s="33" t="s">
        <v>22</v>
      </c>
    </row>
    <row r="10736" spans="1:11">
      <c r="A10736" s="30" t="s">
        <v>24483</v>
      </c>
      <c r="B10736" s="30" t="s">
        <v>24484</v>
      </c>
      <c r="C10736" s="30" t="s">
        <v>96</v>
      </c>
      <c r="D10736" s="30" t="s">
        <v>17</v>
      </c>
      <c r="E10736" s="30" t="s">
        <v>18</v>
      </c>
      <c r="F10736" s="30" t="s">
        <v>19</v>
      </c>
      <c r="G10736" s="30" t="s">
        <v>20</v>
      </c>
      <c r="H10736" s="32">
        <v>496</v>
      </c>
      <c r="I10736" s="30" t="s">
        <v>21</v>
      </c>
      <c r="J10736" s="41">
        <v>44782</v>
      </c>
      <c r="K10736" s="30" t="s">
        <v>22</v>
      </c>
    </row>
    <row r="10737" spans="1:11">
      <c r="A10737" s="33" t="s">
        <v>24485</v>
      </c>
      <c r="B10737" s="33" t="s">
        <v>24486</v>
      </c>
      <c r="C10737" s="33" t="s">
        <v>2196</v>
      </c>
      <c r="D10737" s="33" t="s">
        <v>17</v>
      </c>
      <c r="E10737" s="33" t="s">
        <v>31</v>
      </c>
      <c r="F10737" s="33" t="s">
        <v>32</v>
      </c>
      <c r="G10737" s="33" t="s">
        <v>20</v>
      </c>
      <c r="H10737" s="35">
        <v>42</v>
      </c>
      <c r="I10737" s="33" t="s">
        <v>21</v>
      </c>
      <c r="J10737" s="42">
        <v>44771</v>
      </c>
      <c r="K10737" s="33" t="s">
        <v>22</v>
      </c>
    </row>
    <row r="10738" spans="1:11">
      <c r="A10738" s="30" t="s">
        <v>24487</v>
      </c>
      <c r="B10738" s="30" t="s">
        <v>24488</v>
      </c>
      <c r="C10738" s="30" t="s">
        <v>3013</v>
      </c>
      <c r="D10738" s="30" t="s">
        <v>17</v>
      </c>
      <c r="E10738" s="30" t="s">
        <v>212</v>
      </c>
      <c r="F10738" s="30" t="s">
        <v>213</v>
      </c>
      <c r="G10738" s="30" t="s">
        <v>20</v>
      </c>
      <c r="H10738" s="32">
        <v>287</v>
      </c>
      <c r="I10738" s="30" t="s">
        <v>21</v>
      </c>
      <c r="J10738" s="41">
        <v>44699</v>
      </c>
      <c r="K10738" s="30" t="s">
        <v>22</v>
      </c>
    </row>
    <row r="10739" spans="1:11">
      <c r="A10739" s="33" t="s">
        <v>24489</v>
      </c>
      <c r="B10739" s="33" t="s">
        <v>24490</v>
      </c>
      <c r="C10739" s="33" t="s">
        <v>969</v>
      </c>
      <c r="D10739" s="33" t="s">
        <v>17</v>
      </c>
      <c r="E10739" s="33" t="s">
        <v>212</v>
      </c>
      <c r="F10739" s="33" t="s">
        <v>213</v>
      </c>
      <c r="G10739" s="33" t="s">
        <v>20</v>
      </c>
      <c r="H10739" s="35">
        <v>310</v>
      </c>
      <c r="I10739" s="33" t="s">
        <v>21</v>
      </c>
      <c r="J10739" s="42">
        <v>44688</v>
      </c>
      <c r="K10739" s="33" t="s">
        <v>22</v>
      </c>
    </row>
    <row r="10740" spans="1:11">
      <c r="A10740" s="30" t="s">
        <v>24491</v>
      </c>
      <c r="B10740" s="30" t="s">
        <v>24492</v>
      </c>
      <c r="C10740" s="30" t="s">
        <v>5100</v>
      </c>
      <c r="D10740" s="30" t="s">
        <v>17</v>
      </c>
      <c r="E10740" s="30" t="s">
        <v>26</v>
      </c>
      <c r="F10740" s="30" t="s">
        <v>27</v>
      </c>
      <c r="G10740" s="30" t="s">
        <v>50</v>
      </c>
      <c r="H10740" s="32">
        <v>24</v>
      </c>
      <c r="I10740" s="30" t="s">
        <v>51</v>
      </c>
      <c r="J10740" s="41">
        <v>44566</v>
      </c>
      <c r="K10740" s="30" t="s">
        <v>22</v>
      </c>
    </row>
    <row r="10741" spans="1:11">
      <c r="A10741" s="33" t="s">
        <v>24493</v>
      </c>
      <c r="B10741" s="33" t="s">
        <v>24494</v>
      </c>
      <c r="C10741" s="33" t="s">
        <v>19015</v>
      </c>
      <c r="D10741" s="33" t="s">
        <v>17</v>
      </c>
      <c r="E10741" s="33" t="s">
        <v>26</v>
      </c>
      <c r="F10741" s="33" t="s">
        <v>27</v>
      </c>
      <c r="G10741" s="33" t="s">
        <v>20</v>
      </c>
      <c r="H10741" s="35">
        <v>303</v>
      </c>
      <c r="I10741" s="33" t="s">
        <v>21</v>
      </c>
      <c r="J10741" s="42">
        <v>44726</v>
      </c>
      <c r="K10741" s="33" t="s">
        <v>22</v>
      </c>
    </row>
    <row r="10742" spans="1:11">
      <c r="A10742" s="30" t="s">
        <v>24495</v>
      </c>
      <c r="B10742" s="30" t="s">
        <v>24496</v>
      </c>
      <c r="C10742" s="30" t="s">
        <v>23590</v>
      </c>
      <c r="D10742" s="30" t="s">
        <v>17</v>
      </c>
      <c r="E10742" s="30" t="s">
        <v>67</v>
      </c>
      <c r="F10742" s="30" t="s">
        <v>68</v>
      </c>
      <c r="G10742" s="30" t="s">
        <v>140</v>
      </c>
      <c r="H10742" s="32">
        <v>840</v>
      </c>
      <c r="I10742" s="30" t="s">
        <v>51</v>
      </c>
      <c r="J10742" s="41">
        <v>44721</v>
      </c>
      <c r="K10742" s="30" t="s">
        <v>22</v>
      </c>
    </row>
    <row r="10743" spans="1:11">
      <c r="A10743" s="33" t="s">
        <v>24497</v>
      </c>
      <c r="B10743" s="33" t="s">
        <v>24498</v>
      </c>
      <c r="C10743" s="33" t="s">
        <v>96</v>
      </c>
      <c r="D10743" s="33" t="s">
        <v>17</v>
      </c>
      <c r="E10743" s="33" t="s">
        <v>18</v>
      </c>
      <c r="F10743" s="33" t="s">
        <v>19</v>
      </c>
      <c r="G10743" s="33" t="s">
        <v>20</v>
      </c>
      <c r="H10743" s="35">
        <v>607</v>
      </c>
      <c r="I10743" s="33" t="s">
        <v>21</v>
      </c>
      <c r="J10743" s="42">
        <v>44896</v>
      </c>
      <c r="K10743" s="33" t="s">
        <v>22</v>
      </c>
    </row>
    <row r="10744" spans="1:11">
      <c r="A10744" s="30" t="s">
        <v>24499</v>
      </c>
      <c r="B10744" s="30" t="s">
        <v>24500</v>
      </c>
      <c r="C10744" s="30" t="s">
        <v>936</v>
      </c>
      <c r="D10744" s="30" t="s">
        <v>17</v>
      </c>
      <c r="E10744" s="30" t="s">
        <v>31</v>
      </c>
      <c r="F10744" s="30" t="s">
        <v>32</v>
      </c>
      <c r="G10744" s="30" t="s">
        <v>106</v>
      </c>
      <c r="H10744" s="32">
        <v>47</v>
      </c>
      <c r="I10744" s="30" t="s">
        <v>21</v>
      </c>
      <c r="J10744" s="41">
        <v>44623</v>
      </c>
      <c r="K10744" s="30" t="s">
        <v>22</v>
      </c>
    </row>
    <row r="10745" spans="1:11">
      <c r="A10745" s="33" t="s">
        <v>24501</v>
      </c>
      <c r="B10745" s="33" t="s">
        <v>24502</v>
      </c>
      <c r="C10745" s="33" t="s">
        <v>3439</v>
      </c>
      <c r="D10745" s="33" t="s">
        <v>17</v>
      </c>
      <c r="E10745" s="33" t="s">
        <v>67</v>
      </c>
      <c r="F10745" s="33" t="s">
        <v>68</v>
      </c>
      <c r="G10745" s="33" t="s">
        <v>140</v>
      </c>
      <c r="H10745" s="35">
        <v>104</v>
      </c>
      <c r="I10745" s="33" t="s">
        <v>51</v>
      </c>
      <c r="J10745" s="42">
        <v>44790</v>
      </c>
      <c r="K10745" s="33" t="s">
        <v>22</v>
      </c>
    </row>
    <row r="10746" spans="1:11">
      <c r="A10746" s="30" t="s">
        <v>24503</v>
      </c>
      <c r="B10746" s="30" t="s">
        <v>24504</v>
      </c>
      <c r="C10746" s="30" t="s">
        <v>801</v>
      </c>
      <c r="D10746" s="30" t="s">
        <v>17</v>
      </c>
      <c r="E10746" s="30" t="s">
        <v>31</v>
      </c>
      <c r="F10746" s="30" t="s">
        <v>32</v>
      </c>
      <c r="G10746" s="30" t="s">
        <v>20</v>
      </c>
      <c r="H10746" s="32">
        <v>650</v>
      </c>
      <c r="I10746" s="30" t="s">
        <v>21</v>
      </c>
      <c r="J10746" s="41">
        <v>44670</v>
      </c>
      <c r="K10746" s="30" t="s">
        <v>22</v>
      </c>
    </row>
    <row r="10747" spans="1:11">
      <c r="A10747" s="33" t="s">
        <v>24505</v>
      </c>
      <c r="B10747" s="33" t="s">
        <v>24506</v>
      </c>
      <c r="C10747" s="33" t="s">
        <v>93</v>
      </c>
      <c r="D10747" s="33" t="s">
        <v>17</v>
      </c>
      <c r="E10747" s="33" t="s">
        <v>26</v>
      </c>
      <c r="F10747" s="33" t="s">
        <v>27</v>
      </c>
      <c r="G10747" s="33" t="s">
        <v>20</v>
      </c>
      <c r="H10747" s="35">
        <v>24</v>
      </c>
      <c r="I10747" s="33" t="s">
        <v>21</v>
      </c>
      <c r="J10747" s="42">
        <v>44831</v>
      </c>
      <c r="K10747" s="33" t="s">
        <v>22</v>
      </c>
    </row>
    <row r="10748" spans="1:11">
      <c r="A10748" s="30" t="s">
        <v>24507</v>
      </c>
      <c r="B10748" s="30" t="s">
        <v>24508</v>
      </c>
      <c r="C10748" s="30" t="s">
        <v>15148</v>
      </c>
      <c r="D10748" s="30" t="s">
        <v>17</v>
      </c>
      <c r="E10748" s="30" t="s">
        <v>31</v>
      </c>
      <c r="F10748" s="30" t="s">
        <v>32</v>
      </c>
      <c r="G10748" s="30" t="s">
        <v>20</v>
      </c>
      <c r="H10748" s="32">
        <v>99</v>
      </c>
      <c r="I10748" s="30" t="s">
        <v>21</v>
      </c>
      <c r="J10748" s="41">
        <v>44887</v>
      </c>
      <c r="K10748" s="30" t="s">
        <v>22</v>
      </c>
    </row>
    <row r="10749" spans="1:11">
      <c r="A10749" s="33" t="s">
        <v>24509</v>
      </c>
      <c r="B10749" s="33" t="s">
        <v>24510</v>
      </c>
      <c r="C10749" s="33" t="s">
        <v>24511</v>
      </c>
      <c r="D10749" s="33" t="s">
        <v>17</v>
      </c>
      <c r="E10749" s="33" t="s">
        <v>45</v>
      </c>
      <c r="F10749" s="33" t="s">
        <v>46</v>
      </c>
      <c r="G10749" s="33" t="s">
        <v>158</v>
      </c>
      <c r="H10749" s="35">
        <v>700</v>
      </c>
      <c r="I10749" s="33" t="s">
        <v>51</v>
      </c>
      <c r="J10749" s="42">
        <v>44604</v>
      </c>
      <c r="K10749" s="33" t="s">
        <v>22</v>
      </c>
    </row>
    <row r="10750" spans="1:11">
      <c r="A10750" s="30" t="s">
        <v>24512</v>
      </c>
      <c r="B10750" s="30" t="s">
        <v>24513</v>
      </c>
      <c r="C10750" s="30" t="s">
        <v>379</v>
      </c>
      <c r="D10750" s="30" t="s">
        <v>17</v>
      </c>
      <c r="E10750" s="30" t="s">
        <v>45</v>
      </c>
      <c r="F10750" s="30" t="s">
        <v>46</v>
      </c>
      <c r="G10750" s="30" t="s">
        <v>50</v>
      </c>
      <c r="H10750" s="32">
        <v>1550</v>
      </c>
      <c r="I10750" s="30" t="s">
        <v>51</v>
      </c>
      <c r="J10750" s="41">
        <v>44924</v>
      </c>
      <c r="K10750" s="30" t="s">
        <v>22</v>
      </c>
    </row>
    <row r="10751" spans="1:11">
      <c r="A10751" s="33" t="s">
        <v>24514</v>
      </c>
      <c r="B10751" s="33" t="s">
        <v>24515</v>
      </c>
      <c r="C10751" s="33" t="s">
        <v>96</v>
      </c>
      <c r="D10751" s="33" t="s">
        <v>17</v>
      </c>
      <c r="E10751" s="33" t="s">
        <v>26</v>
      </c>
      <c r="F10751" s="33" t="s">
        <v>27</v>
      </c>
      <c r="G10751" s="33" t="s">
        <v>20</v>
      </c>
      <c r="H10751" s="35">
        <v>59</v>
      </c>
      <c r="I10751" s="33" t="s">
        <v>21</v>
      </c>
      <c r="J10751" s="42">
        <v>44789</v>
      </c>
      <c r="K10751" s="33" t="s">
        <v>22</v>
      </c>
    </row>
    <row r="10752" spans="1:11">
      <c r="A10752" s="30" t="s">
        <v>24516</v>
      </c>
      <c r="B10752" s="30" t="s">
        <v>24517</v>
      </c>
      <c r="C10752" s="30" t="s">
        <v>136</v>
      </c>
      <c r="D10752" s="30" t="s">
        <v>17</v>
      </c>
      <c r="E10752" s="30" t="s">
        <v>18</v>
      </c>
      <c r="F10752" s="30" t="s">
        <v>19</v>
      </c>
      <c r="G10752" s="30" t="s">
        <v>20</v>
      </c>
      <c r="H10752" s="32">
        <v>928</v>
      </c>
      <c r="I10752" s="30" t="s">
        <v>21</v>
      </c>
      <c r="J10752" s="41">
        <v>44715</v>
      </c>
      <c r="K10752" s="30" t="s">
        <v>22</v>
      </c>
    </row>
    <row r="10753" spans="1:11">
      <c r="A10753" s="33" t="s">
        <v>24518</v>
      </c>
      <c r="B10753" s="33" t="s">
        <v>24519</v>
      </c>
      <c r="C10753" s="33" t="s">
        <v>24520</v>
      </c>
      <c r="D10753" s="33" t="s">
        <v>17</v>
      </c>
      <c r="E10753" s="33" t="s">
        <v>26</v>
      </c>
      <c r="F10753" s="33" t="s">
        <v>27</v>
      </c>
      <c r="G10753" s="33" t="s">
        <v>106</v>
      </c>
      <c r="H10753" s="35">
        <v>25</v>
      </c>
      <c r="I10753" s="33" t="s">
        <v>21</v>
      </c>
      <c r="J10753" s="42">
        <v>44837</v>
      </c>
      <c r="K10753" s="33" t="s">
        <v>22</v>
      </c>
    </row>
    <row r="10754" spans="1:11">
      <c r="A10754" s="30" t="s">
        <v>24521</v>
      </c>
      <c r="B10754" s="30" t="s">
        <v>24522</v>
      </c>
      <c r="C10754" s="30" t="s">
        <v>8566</v>
      </c>
      <c r="D10754" s="30" t="s">
        <v>17</v>
      </c>
      <c r="E10754" s="30" t="s">
        <v>31</v>
      </c>
      <c r="F10754" s="30" t="s">
        <v>32</v>
      </c>
      <c r="G10754" s="30" t="s">
        <v>112</v>
      </c>
      <c r="H10754" s="32">
        <v>0</v>
      </c>
      <c r="I10754" s="30" t="s">
        <v>21</v>
      </c>
      <c r="J10754" s="41">
        <v>44774</v>
      </c>
      <c r="K10754" s="30" t="s">
        <v>22</v>
      </c>
    </row>
    <row r="10755" spans="1:11">
      <c r="A10755" s="33" t="s">
        <v>24523</v>
      </c>
      <c r="B10755" s="33" t="s">
        <v>24524</v>
      </c>
      <c r="C10755" s="33" t="s">
        <v>3775</v>
      </c>
      <c r="D10755" s="33" t="s">
        <v>17</v>
      </c>
      <c r="E10755" s="33" t="s">
        <v>18</v>
      </c>
      <c r="F10755" s="33" t="s">
        <v>19</v>
      </c>
      <c r="G10755" s="33" t="s">
        <v>20</v>
      </c>
      <c r="H10755" s="35">
        <v>248</v>
      </c>
      <c r="I10755" s="33" t="s">
        <v>21</v>
      </c>
      <c r="J10755" s="42">
        <v>44874</v>
      </c>
      <c r="K10755" s="33" t="s">
        <v>22</v>
      </c>
    </row>
    <row r="10756" spans="1:11">
      <c r="A10756" s="30" t="s">
        <v>24525</v>
      </c>
      <c r="B10756" s="30" t="s">
        <v>24526</v>
      </c>
      <c r="C10756" s="30" t="s">
        <v>24527</v>
      </c>
      <c r="D10756" s="30" t="s">
        <v>17</v>
      </c>
      <c r="E10756" s="30" t="s">
        <v>212</v>
      </c>
      <c r="F10756" s="30" t="s">
        <v>213</v>
      </c>
      <c r="G10756" s="30" t="s">
        <v>20</v>
      </c>
      <c r="H10756" s="32">
        <v>430</v>
      </c>
      <c r="I10756" s="30" t="s">
        <v>21</v>
      </c>
      <c r="J10756" s="41">
        <v>44860</v>
      </c>
      <c r="K10756" s="30" t="s">
        <v>22</v>
      </c>
    </row>
    <row r="10757" spans="1:11">
      <c r="A10757" s="33" t="s">
        <v>24528</v>
      </c>
      <c r="B10757" s="33" t="s">
        <v>24529</v>
      </c>
      <c r="C10757" s="33" t="s">
        <v>124</v>
      </c>
      <c r="D10757" s="33" t="s">
        <v>17</v>
      </c>
      <c r="E10757" s="33" t="s">
        <v>26</v>
      </c>
      <c r="F10757" s="33" t="s">
        <v>27</v>
      </c>
      <c r="G10757" s="33" t="s">
        <v>20</v>
      </c>
      <c r="H10757" s="35">
        <v>32</v>
      </c>
      <c r="I10757" s="33" t="s">
        <v>21</v>
      </c>
      <c r="J10757" s="42">
        <v>44907</v>
      </c>
      <c r="K10757" s="33" t="s">
        <v>22</v>
      </c>
    </row>
    <row r="10758" spans="1:11">
      <c r="A10758" s="30" t="s">
        <v>24530</v>
      </c>
      <c r="B10758" s="30" t="s">
        <v>24531</v>
      </c>
      <c r="C10758" s="30" t="s">
        <v>2469</v>
      </c>
      <c r="D10758" s="30" t="s">
        <v>17</v>
      </c>
      <c r="E10758" s="30" t="s">
        <v>26</v>
      </c>
      <c r="F10758" s="30" t="s">
        <v>27</v>
      </c>
      <c r="G10758" s="30" t="s">
        <v>140</v>
      </c>
      <c r="H10758" s="32">
        <v>12</v>
      </c>
      <c r="I10758" s="30" t="s">
        <v>51</v>
      </c>
      <c r="J10758" s="41">
        <v>44894</v>
      </c>
      <c r="K10758" s="30" t="s">
        <v>22</v>
      </c>
    </row>
    <row r="10759" spans="1:11">
      <c r="A10759" s="33" t="s">
        <v>24532</v>
      </c>
      <c r="B10759" s="33" t="s">
        <v>24533</v>
      </c>
      <c r="C10759" s="33" t="s">
        <v>9900</v>
      </c>
      <c r="D10759" s="33" t="s">
        <v>17</v>
      </c>
      <c r="E10759" s="33" t="s">
        <v>31</v>
      </c>
      <c r="F10759" s="33" t="s">
        <v>32</v>
      </c>
      <c r="G10759" s="33" t="s">
        <v>20</v>
      </c>
      <c r="H10759" s="35">
        <v>204</v>
      </c>
      <c r="I10759" s="33" t="s">
        <v>21</v>
      </c>
      <c r="J10759" s="42">
        <v>44666</v>
      </c>
      <c r="K10759" s="33" t="s">
        <v>22</v>
      </c>
    </row>
    <row r="10760" spans="1:11">
      <c r="A10760" s="30" t="s">
        <v>24534</v>
      </c>
      <c r="B10760" s="30" t="s">
        <v>24535</v>
      </c>
      <c r="C10760" s="30" t="s">
        <v>231</v>
      </c>
      <c r="D10760" s="30" t="s">
        <v>17</v>
      </c>
      <c r="E10760" s="30" t="s">
        <v>26</v>
      </c>
      <c r="F10760" s="30" t="s">
        <v>27</v>
      </c>
      <c r="G10760" s="30" t="s">
        <v>20</v>
      </c>
      <c r="H10760" s="32">
        <v>24</v>
      </c>
      <c r="I10760" s="30" t="s">
        <v>21</v>
      </c>
      <c r="J10760" s="41">
        <v>44776</v>
      </c>
      <c r="K10760" s="30" t="s">
        <v>22</v>
      </c>
    </row>
    <row r="10761" spans="1:11">
      <c r="A10761" s="33" t="s">
        <v>24536</v>
      </c>
      <c r="B10761" s="33" t="s">
        <v>24537</v>
      </c>
      <c r="C10761" s="33" t="s">
        <v>24538</v>
      </c>
      <c r="D10761" s="33" t="s">
        <v>17</v>
      </c>
      <c r="E10761" s="33" t="s">
        <v>18</v>
      </c>
      <c r="F10761" s="33" t="s">
        <v>19</v>
      </c>
      <c r="G10761" s="33" t="s">
        <v>158</v>
      </c>
      <c r="H10761" s="35">
        <v>407</v>
      </c>
      <c r="I10761" s="33" t="s">
        <v>21</v>
      </c>
      <c r="J10761" s="42">
        <v>44698</v>
      </c>
      <c r="K10761" s="33" t="s">
        <v>22</v>
      </c>
    </row>
    <row r="10762" spans="1:11">
      <c r="A10762" s="30" t="s">
        <v>24539</v>
      </c>
      <c r="B10762" s="30" t="s">
        <v>24540</v>
      </c>
      <c r="C10762" s="30" t="s">
        <v>795</v>
      </c>
      <c r="D10762" s="30" t="s">
        <v>17</v>
      </c>
      <c r="E10762" s="30" t="s">
        <v>67</v>
      </c>
      <c r="F10762" s="30" t="s">
        <v>68</v>
      </c>
      <c r="G10762" s="30" t="s">
        <v>140</v>
      </c>
      <c r="H10762" s="32">
        <v>884</v>
      </c>
      <c r="I10762" s="30" t="s">
        <v>51</v>
      </c>
      <c r="J10762" s="41">
        <v>44902</v>
      </c>
      <c r="K10762" s="30" t="s">
        <v>22</v>
      </c>
    </row>
    <row r="10763" spans="1:11">
      <c r="A10763" s="33" t="s">
        <v>24541</v>
      </c>
      <c r="B10763" s="33" t="s">
        <v>24542</v>
      </c>
      <c r="C10763" s="33" t="s">
        <v>222</v>
      </c>
      <c r="D10763" s="33" t="s">
        <v>17</v>
      </c>
      <c r="E10763" s="33" t="s">
        <v>26</v>
      </c>
      <c r="F10763" s="33" t="s">
        <v>27</v>
      </c>
      <c r="G10763" s="33" t="s">
        <v>20</v>
      </c>
      <c r="H10763" s="35">
        <v>24</v>
      </c>
      <c r="I10763" s="33" t="s">
        <v>21</v>
      </c>
      <c r="J10763" s="42">
        <v>44873</v>
      </c>
      <c r="K10763" s="33" t="s">
        <v>22</v>
      </c>
    </row>
    <row r="10764" spans="1:11">
      <c r="A10764" s="30" t="s">
        <v>24543</v>
      </c>
      <c r="B10764" s="30" t="s">
        <v>24544</v>
      </c>
      <c r="C10764" s="30" t="s">
        <v>11073</v>
      </c>
      <c r="D10764" s="30" t="s">
        <v>17</v>
      </c>
      <c r="E10764" s="30" t="s">
        <v>26</v>
      </c>
      <c r="F10764" s="30" t="s">
        <v>27</v>
      </c>
      <c r="G10764" s="30" t="s">
        <v>20</v>
      </c>
      <c r="H10764" s="32">
        <v>6</v>
      </c>
      <c r="I10764" s="30" t="s">
        <v>21</v>
      </c>
      <c r="J10764" s="41">
        <v>44818</v>
      </c>
      <c r="K10764" s="30" t="s">
        <v>22</v>
      </c>
    </row>
    <row r="10765" spans="1:11">
      <c r="A10765" s="33" t="s">
        <v>24545</v>
      </c>
      <c r="B10765" s="33" t="s">
        <v>24546</v>
      </c>
      <c r="C10765" s="33" t="s">
        <v>3892</v>
      </c>
      <c r="D10765" s="33" t="s">
        <v>17</v>
      </c>
      <c r="E10765" s="33" t="s">
        <v>18</v>
      </c>
      <c r="F10765" s="33" t="s">
        <v>19</v>
      </c>
      <c r="G10765" s="33" t="s">
        <v>106</v>
      </c>
      <c r="H10765" s="35">
        <v>12</v>
      </c>
      <c r="I10765" s="33" t="s">
        <v>21</v>
      </c>
      <c r="J10765" s="42">
        <v>44902</v>
      </c>
      <c r="K10765" s="33" t="s">
        <v>22</v>
      </c>
    </row>
    <row r="10766" spans="1:11">
      <c r="A10766" s="30" t="s">
        <v>24547</v>
      </c>
      <c r="B10766" s="30" t="s">
        <v>24548</v>
      </c>
      <c r="C10766" s="30" t="s">
        <v>187</v>
      </c>
      <c r="D10766" s="30" t="s">
        <v>17</v>
      </c>
      <c r="E10766" s="30" t="s">
        <v>18</v>
      </c>
      <c r="F10766" s="30" t="s">
        <v>19</v>
      </c>
      <c r="G10766" s="30" t="s">
        <v>20</v>
      </c>
      <c r="H10766" s="32">
        <v>293</v>
      </c>
      <c r="I10766" s="30" t="s">
        <v>21</v>
      </c>
      <c r="J10766" s="41">
        <v>44638</v>
      </c>
      <c r="K10766" s="30" t="s">
        <v>22</v>
      </c>
    </row>
    <row r="10767" spans="1:11">
      <c r="A10767" s="33" t="s">
        <v>24549</v>
      </c>
      <c r="B10767" s="33" t="s">
        <v>24550</v>
      </c>
      <c r="C10767" s="33" t="s">
        <v>3934</v>
      </c>
      <c r="D10767" s="33" t="s">
        <v>17</v>
      </c>
      <c r="E10767" s="33" t="s">
        <v>31</v>
      </c>
      <c r="F10767" s="33" t="s">
        <v>32</v>
      </c>
      <c r="G10767" s="33" t="s">
        <v>106</v>
      </c>
      <c r="H10767" s="35">
        <v>11</v>
      </c>
      <c r="I10767" s="33" t="s">
        <v>21</v>
      </c>
      <c r="J10767" s="42">
        <v>44586</v>
      </c>
      <c r="K10767" s="33" t="s">
        <v>22</v>
      </c>
    </row>
    <row r="10768" spans="1:11">
      <c r="A10768" s="30" t="s">
        <v>24551</v>
      </c>
      <c r="B10768" s="30" t="s">
        <v>24552</v>
      </c>
      <c r="C10768" s="30" t="s">
        <v>149</v>
      </c>
      <c r="D10768" s="30" t="s">
        <v>17</v>
      </c>
      <c r="E10768" s="30" t="s">
        <v>26</v>
      </c>
      <c r="F10768" s="30" t="s">
        <v>27</v>
      </c>
      <c r="G10768" s="30" t="s">
        <v>20</v>
      </c>
      <c r="H10768" s="32">
        <v>20</v>
      </c>
      <c r="I10768" s="30" t="s">
        <v>21</v>
      </c>
      <c r="J10768" s="41">
        <v>44824</v>
      </c>
      <c r="K10768" s="30" t="s">
        <v>22</v>
      </c>
    </row>
    <row r="10769" spans="1:11">
      <c r="A10769" s="33" t="s">
        <v>24553</v>
      </c>
      <c r="B10769" s="33" t="s">
        <v>24554</v>
      </c>
      <c r="C10769" s="33" t="s">
        <v>2313</v>
      </c>
      <c r="D10769" s="33" t="s">
        <v>17</v>
      </c>
      <c r="E10769" s="33" t="s">
        <v>26</v>
      </c>
      <c r="F10769" s="33" t="s">
        <v>27</v>
      </c>
      <c r="G10769" s="33" t="s">
        <v>158</v>
      </c>
      <c r="H10769" s="35">
        <v>151</v>
      </c>
      <c r="I10769" s="33" t="s">
        <v>21</v>
      </c>
      <c r="J10769" s="42">
        <v>44903</v>
      </c>
      <c r="K10769" s="33" t="s">
        <v>22</v>
      </c>
    </row>
    <row r="10770" spans="1:11">
      <c r="A10770" s="30" t="s">
        <v>24555</v>
      </c>
      <c r="B10770" s="30" t="s">
        <v>24556</v>
      </c>
      <c r="C10770" s="30" t="s">
        <v>17999</v>
      </c>
      <c r="D10770" s="30" t="s">
        <v>17</v>
      </c>
      <c r="E10770" s="30" t="s">
        <v>31</v>
      </c>
      <c r="F10770" s="30" t="s">
        <v>32</v>
      </c>
      <c r="G10770" s="30" t="s">
        <v>106</v>
      </c>
      <c r="H10770" s="32">
        <v>10</v>
      </c>
      <c r="I10770" s="30" t="s">
        <v>21</v>
      </c>
      <c r="J10770" s="41">
        <v>44620</v>
      </c>
      <c r="K10770" s="30" t="s">
        <v>22</v>
      </c>
    </row>
    <row r="10771" spans="1:11">
      <c r="A10771" s="33" t="s">
        <v>24557</v>
      </c>
      <c r="B10771" s="33" t="s">
        <v>24558</v>
      </c>
      <c r="C10771" s="33" t="s">
        <v>9262</v>
      </c>
      <c r="D10771" s="33" t="s">
        <v>17</v>
      </c>
      <c r="E10771" s="33" t="s">
        <v>18</v>
      </c>
      <c r="F10771" s="33" t="s">
        <v>19</v>
      </c>
      <c r="G10771" s="33" t="s">
        <v>20</v>
      </c>
      <c r="H10771" s="35">
        <v>792</v>
      </c>
      <c r="I10771" s="33" t="s">
        <v>21</v>
      </c>
      <c r="J10771" s="42">
        <v>44581</v>
      </c>
      <c r="K10771" s="33" t="s">
        <v>22</v>
      </c>
    </row>
    <row r="10772" spans="1:11">
      <c r="A10772" s="30" t="s">
        <v>24559</v>
      </c>
      <c r="B10772" s="30" t="s">
        <v>24560</v>
      </c>
      <c r="C10772" s="30" t="s">
        <v>7015</v>
      </c>
      <c r="D10772" s="30" t="s">
        <v>17</v>
      </c>
      <c r="E10772" s="30" t="s">
        <v>212</v>
      </c>
      <c r="F10772" s="30" t="s">
        <v>213</v>
      </c>
      <c r="G10772" s="30" t="s">
        <v>20</v>
      </c>
      <c r="H10772" s="32">
        <v>192</v>
      </c>
      <c r="I10772" s="30" t="s">
        <v>21</v>
      </c>
      <c r="J10772" s="41">
        <v>44804</v>
      </c>
      <c r="K10772" s="30" t="s">
        <v>22</v>
      </c>
    </row>
    <row r="10773" spans="1:11">
      <c r="A10773" s="33" t="s">
        <v>24561</v>
      </c>
      <c r="B10773" s="33" t="s">
        <v>24562</v>
      </c>
      <c r="C10773" s="33" t="s">
        <v>24563</v>
      </c>
      <c r="D10773" s="33" t="s">
        <v>17</v>
      </c>
      <c r="E10773" s="33" t="s">
        <v>31</v>
      </c>
      <c r="F10773" s="33" t="s">
        <v>32</v>
      </c>
      <c r="G10773" s="33" t="s">
        <v>112</v>
      </c>
      <c r="H10773" s="35">
        <v>0</v>
      </c>
      <c r="I10773" s="33" t="s">
        <v>21</v>
      </c>
      <c r="J10773" s="42">
        <v>44672</v>
      </c>
      <c r="K10773" s="33" t="s">
        <v>22</v>
      </c>
    </row>
    <row r="10774" spans="1:11">
      <c r="A10774" s="30" t="s">
        <v>24564</v>
      </c>
      <c r="B10774" s="30" t="s">
        <v>24565</v>
      </c>
      <c r="C10774" s="30" t="s">
        <v>343</v>
      </c>
      <c r="D10774" s="30" t="s">
        <v>17</v>
      </c>
      <c r="E10774" s="30" t="s">
        <v>18</v>
      </c>
      <c r="F10774" s="30" t="s">
        <v>19</v>
      </c>
      <c r="G10774" s="30" t="s">
        <v>20</v>
      </c>
      <c r="H10774" s="32">
        <v>669</v>
      </c>
      <c r="I10774" s="30" t="s">
        <v>21</v>
      </c>
      <c r="J10774" s="41">
        <v>44655</v>
      </c>
      <c r="K10774" s="30" t="s">
        <v>22</v>
      </c>
    </row>
    <row r="10775" spans="1:11">
      <c r="A10775" s="33" t="s">
        <v>24566</v>
      </c>
      <c r="B10775" s="33" t="s">
        <v>24567</v>
      </c>
      <c r="C10775" s="33" t="s">
        <v>231</v>
      </c>
      <c r="D10775" s="33" t="s">
        <v>17</v>
      </c>
      <c r="E10775" s="33" t="s">
        <v>26</v>
      </c>
      <c r="F10775" s="33" t="s">
        <v>27</v>
      </c>
      <c r="G10775" s="33" t="s">
        <v>69</v>
      </c>
      <c r="H10775" s="35">
        <v>190</v>
      </c>
      <c r="I10775" s="33" t="s">
        <v>51</v>
      </c>
      <c r="J10775" s="42">
        <v>44648</v>
      </c>
      <c r="K10775" s="33" t="s">
        <v>22</v>
      </c>
    </row>
    <row r="10776" spans="1:11">
      <c r="A10776" s="30" t="s">
        <v>24568</v>
      </c>
      <c r="B10776" s="30" t="s">
        <v>24569</v>
      </c>
      <c r="C10776" s="30" t="s">
        <v>20089</v>
      </c>
      <c r="D10776" s="30" t="s">
        <v>17</v>
      </c>
      <c r="E10776" s="30" t="s">
        <v>18</v>
      </c>
      <c r="F10776" s="30" t="s">
        <v>19</v>
      </c>
      <c r="G10776" s="30" t="s">
        <v>20</v>
      </c>
      <c r="H10776" s="32">
        <v>113</v>
      </c>
      <c r="I10776" s="30" t="s">
        <v>21</v>
      </c>
      <c r="J10776" s="41">
        <v>44670</v>
      </c>
      <c r="K10776" s="30" t="s">
        <v>22</v>
      </c>
    </row>
    <row r="10777" spans="1:11">
      <c r="A10777" s="33" t="s">
        <v>24570</v>
      </c>
      <c r="B10777" s="33" t="s">
        <v>24571</v>
      </c>
      <c r="C10777" s="33" t="s">
        <v>24572</v>
      </c>
      <c r="D10777" s="33" t="s">
        <v>17</v>
      </c>
      <c r="E10777" s="33" t="s">
        <v>26</v>
      </c>
      <c r="F10777" s="33" t="s">
        <v>27</v>
      </c>
      <c r="G10777" s="33" t="s">
        <v>50</v>
      </c>
      <c r="H10777" s="35">
        <v>96</v>
      </c>
      <c r="I10777" s="33" t="s">
        <v>51</v>
      </c>
      <c r="J10777" s="42">
        <v>44774</v>
      </c>
      <c r="K10777" s="33" t="s">
        <v>22</v>
      </c>
    </row>
    <row r="10778" spans="1:11">
      <c r="A10778" s="30" t="s">
        <v>24573</v>
      </c>
      <c r="B10778" s="30" t="s">
        <v>24574</v>
      </c>
      <c r="C10778" s="30" t="s">
        <v>4877</v>
      </c>
      <c r="D10778" s="30" t="s">
        <v>17</v>
      </c>
      <c r="E10778" s="30" t="s">
        <v>31</v>
      </c>
      <c r="F10778" s="30" t="s">
        <v>32</v>
      </c>
      <c r="G10778" s="30" t="s">
        <v>20</v>
      </c>
      <c r="H10778" s="32">
        <v>46</v>
      </c>
      <c r="I10778" s="30" t="s">
        <v>21</v>
      </c>
      <c r="J10778" s="41">
        <v>44749</v>
      </c>
      <c r="K10778" s="30" t="s">
        <v>22</v>
      </c>
    </row>
    <row r="10779" spans="1:11">
      <c r="A10779" s="33" t="s">
        <v>24575</v>
      </c>
      <c r="B10779" s="33" t="s">
        <v>24576</v>
      </c>
      <c r="C10779" s="33" t="s">
        <v>24577</v>
      </c>
      <c r="D10779" s="33" t="s">
        <v>17</v>
      </c>
      <c r="E10779" s="33" t="s">
        <v>26</v>
      </c>
      <c r="F10779" s="33" t="s">
        <v>27</v>
      </c>
      <c r="G10779" s="33" t="s">
        <v>20</v>
      </c>
      <c r="H10779" s="35">
        <v>77</v>
      </c>
      <c r="I10779" s="33" t="s">
        <v>21</v>
      </c>
      <c r="J10779" s="42">
        <v>44726</v>
      </c>
      <c r="K10779" s="33" t="s">
        <v>22</v>
      </c>
    </row>
    <row r="10780" spans="1:11">
      <c r="A10780" s="30" t="s">
        <v>24578</v>
      </c>
      <c r="B10780" s="30" t="s">
        <v>24579</v>
      </c>
      <c r="C10780" s="30" t="s">
        <v>1504</v>
      </c>
      <c r="D10780" s="30" t="s">
        <v>17</v>
      </c>
      <c r="E10780" s="30" t="s">
        <v>31</v>
      </c>
      <c r="F10780" s="30" t="s">
        <v>32</v>
      </c>
      <c r="G10780" s="30" t="s">
        <v>50</v>
      </c>
      <c r="H10780" s="32">
        <v>40</v>
      </c>
      <c r="I10780" s="30" t="s">
        <v>51</v>
      </c>
      <c r="J10780" s="41">
        <v>44805</v>
      </c>
      <c r="K10780" s="30" t="s">
        <v>22</v>
      </c>
    </row>
    <row r="10781" spans="1:11">
      <c r="A10781" s="33" t="s">
        <v>24580</v>
      </c>
      <c r="B10781" s="33" t="s">
        <v>24581</v>
      </c>
      <c r="C10781" s="33" t="s">
        <v>24582</v>
      </c>
      <c r="D10781" s="33" t="s">
        <v>17</v>
      </c>
      <c r="E10781" s="33" t="s">
        <v>31</v>
      </c>
      <c r="F10781" s="33" t="s">
        <v>32</v>
      </c>
      <c r="G10781" s="33" t="s">
        <v>20</v>
      </c>
      <c r="H10781" s="35">
        <v>322</v>
      </c>
      <c r="I10781" s="33" t="s">
        <v>21</v>
      </c>
      <c r="J10781" s="42">
        <v>44596</v>
      </c>
      <c r="K10781" s="33" t="s">
        <v>22</v>
      </c>
    </row>
    <row r="10782" spans="1:11">
      <c r="A10782" s="30" t="s">
        <v>24583</v>
      </c>
      <c r="B10782" s="30" t="s">
        <v>24584</v>
      </c>
      <c r="C10782" s="30" t="s">
        <v>11211</v>
      </c>
      <c r="D10782" s="30" t="s">
        <v>17</v>
      </c>
      <c r="E10782" s="30" t="s">
        <v>67</v>
      </c>
      <c r="F10782" s="30" t="s">
        <v>68</v>
      </c>
      <c r="G10782" s="30" t="s">
        <v>106</v>
      </c>
      <c r="H10782" s="32">
        <v>45</v>
      </c>
      <c r="I10782" s="30" t="s">
        <v>21</v>
      </c>
      <c r="J10782" s="41">
        <v>44634</v>
      </c>
      <c r="K10782" s="30" t="s">
        <v>22</v>
      </c>
    </row>
    <row r="10783" spans="1:11">
      <c r="A10783" s="33" t="s">
        <v>24585</v>
      </c>
      <c r="B10783" s="33" t="s">
        <v>24586</v>
      </c>
      <c r="C10783" s="33" t="s">
        <v>3243</v>
      </c>
      <c r="D10783" s="33" t="s">
        <v>17</v>
      </c>
      <c r="E10783" s="33" t="s">
        <v>67</v>
      </c>
      <c r="F10783" s="33" t="s">
        <v>68</v>
      </c>
      <c r="G10783" s="33" t="s">
        <v>140</v>
      </c>
      <c r="H10783" s="35">
        <v>36</v>
      </c>
      <c r="I10783" s="33" t="s">
        <v>51</v>
      </c>
      <c r="J10783" s="42">
        <v>44799</v>
      </c>
      <c r="K10783" s="33" t="s">
        <v>22</v>
      </c>
    </row>
    <row r="10784" spans="1:11">
      <c r="A10784" s="30" t="s">
        <v>24587</v>
      </c>
      <c r="B10784" s="30" t="s">
        <v>24588</v>
      </c>
      <c r="C10784" s="30" t="s">
        <v>190</v>
      </c>
      <c r="D10784" s="30" t="s">
        <v>17</v>
      </c>
      <c r="E10784" s="30" t="s">
        <v>212</v>
      </c>
      <c r="F10784" s="30" t="s">
        <v>213</v>
      </c>
      <c r="G10784" s="30" t="s">
        <v>20</v>
      </c>
      <c r="H10784" s="32">
        <v>186</v>
      </c>
      <c r="I10784" s="30" t="s">
        <v>21</v>
      </c>
      <c r="J10784" s="41">
        <v>44644</v>
      </c>
      <c r="K10784" s="30" t="s">
        <v>22</v>
      </c>
    </row>
    <row r="10785" spans="1:11">
      <c r="A10785" s="33" t="s">
        <v>24589</v>
      </c>
      <c r="B10785" s="33" t="s">
        <v>24590</v>
      </c>
      <c r="C10785" s="33" t="s">
        <v>399</v>
      </c>
      <c r="D10785" s="33" t="s">
        <v>17</v>
      </c>
      <c r="E10785" s="33" t="s">
        <v>26</v>
      </c>
      <c r="F10785" s="33" t="s">
        <v>27</v>
      </c>
      <c r="G10785" s="33" t="s">
        <v>20</v>
      </c>
      <c r="H10785" s="35">
        <v>31</v>
      </c>
      <c r="I10785" s="33" t="s">
        <v>21</v>
      </c>
      <c r="J10785" s="42">
        <v>44725</v>
      </c>
      <c r="K10785" s="33" t="s">
        <v>22</v>
      </c>
    </row>
    <row r="10786" spans="1:11">
      <c r="A10786" s="30" t="s">
        <v>24591</v>
      </c>
      <c r="B10786" s="30" t="s">
        <v>24592</v>
      </c>
      <c r="C10786" s="30" t="s">
        <v>24593</v>
      </c>
      <c r="D10786" s="30" t="s">
        <v>17</v>
      </c>
      <c r="E10786" s="30" t="s">
        <v>18</v>
      </c>
      <c r="F10786" s="30" t="s">
        <v>19</v>
      </c>
      <c r="G10786" s="30" t="s">
        <v>106</v>
      </c>
      <c r="H10786" s="32">
        <v>42</v>
      </c>
      <c r="I10786" s="30" t="s">
        <v>21</v>
      </c>
      <c r="J10786" s="41">
        <v>44679</v>
      </c>
      <c r="K10786" s="30" t="s">
        <v>22</v>
      </c>
    </row>
    <row r="10787" spans="1:11">
      <c r="A10787" s="33" t="s">
        <v>24594</v>
      </c>
      <c r="B10787" s="33" t="s">
        <v>24595</v>
      </c>
      <c r="C10787" s="33" t="s">
        <v>801</v>
      </c>
      <c r="D10787" s="33" t="s">
        <v>17</v>
      </c>
      <c r="E10787" s="33" t="s">
        <v>26</v>
      </c>
      <c r="F10787" s="33" t="s">
        <v>27</v>
      </c>
      <c r="G10787" s="33" t="s">
        <v>106</v>
      </c>
      <c r="H10787" s="35">
        <v>8</v>
      </c>
      <c r="I10787" s="33" t="s">
        <v>21</v>
      </c>
      <c r="J10787" s="42">
        <v>44594</v>
      </c>
      <c r="K10787" s="33" t="s">
        <v>22</v>
      </c>
    </row>
    <row r="10788" spans="1:11">
      <c r="A10788" s="30" t="s">
        <v>24596</v>
      </c>
      <c r="B10788" s="30" t="s">
        <v>24597</v>
      </c>
      <c r="C10788" s="30" t="s">
        <v>647</v>
      </c>
      <c r="D10788" s="30" t="s">
        <v>17</v>
      </c>
      <c r="E10788" s="30" t="s">
        <v>18</v>
      </c>
      <c r="F10788" s="30" t="s">
        <v>19</v>
      </c>
      <c r="G10788" s="30" t="s">
        <v>20</v>
      </c>
      <c r="H10788" s="32">
        <v>165</v>
      </c>
      <c r="I10788" s="30" t="s">
        <v>21</v>
      </c>
      <c r="J10788" s="41">
        <v>44648</v>
      </c>
      <c r="K10788" s="30" t="s">
        <v>22</v>
      </c>
    </row>
    <row r="10789" spans="1:11">
      <c r="A10789" s="33" t="s">
        <v>24598</v>
      </c>
      <c r="B10789" s="33" t="s">
        <v>24599</v>
      </c>
      <c r="C10789" s="33" t="s">
        <v>57</v>
      </c>
      <c r="D10789" s="33" t="s">
        <v>17</v>
      </c>
      <c r="E10789" s="33" t="s">
        <v>26</v>
      </c>
      <c r="F10789" s="33" t="s">
        <v>27</v>
      </c>
      <c r="G10789" s="33" t="s">
        <v>112</v>
      </c>
      <c r="H10789" s="35">
        <v>0</v>
      </c>
      <c r="I10789" s="33" t="s">
        <v>21</v>
      </c>
      <c r="J10789" s="42">
        <v>44835</v>
      </c>
      <c r="K10789" s="33" t="s">
        <v>22</v>
      </c>
    </row>
    <row r="10790" spans="1:11">
      <c r="A10790" s="30" t="s">
        <v>24600</v>
      </c>
      <c r="B10790" s="30" t="s">
        <v>24601</v>
      </c>
      <c r="C10790" s="30" t="s">
        <v>4345</v>
      </c>
      <c r="D10790" s="30" t="s">
        <v>17</v>
      </c>
      <c r="E10790" s="30" t="s">
        <v>18</v>
      </c>
      <c r="F10790" s="30" t="s">
        <v>19</v>
      </c>
      <c r="G10790" s="30" t="s">
        <v>20</v>
      </c>
      <c r="H10790" s="32">
        <v>446</v>
      </c>
      <c r="I10790" s="30" t="s">
        <v>21</v>
      </c>
      <c r="J10790" s="41">
        <v>44804</v>
      </c>
      <c r="K10790" s="30" t="s">
        <v>22</v>
      </c>
    </row>
    <row r="10791" spans="1:11">
      <c r="A10791" s="33" t="s">
        <v>24602</v>
      </c>
      <c r="B10791" s="33" t="s">
        <v>24603</v>
      </c>
      <c r="C10791" s="33" t="s">
        <v>329</v>
      </c>
      <c r="D10791" s="33" t="s">
        <v>17</v>
      </c>
      <c r="E10791" s="33" t="s">
        <v>26</v>
      </c>
      <c r="F10791" s="33" t="s">
        <v>27</v>
      </c>
      <c r="G10791" s="33" t="s">
        <v>20</v>
      </c>
      <c r="H10791" s="35">
        <v>43</v>
      </c>
      <c r="I10791" s="33" t="s">
        <v>21</v>
      </c>
      <c r="J10791" s="42">
        <v>44698</v>
      </c>
      <c r="K10791" s="33" t="s">
        <v>22</v>
      </c>
    </row>
    <row r="10792" spans="1:11">
      <c r="A10792" s="30" t="s">
        <v>24604</v>
      </c>
      <c r="B10792" s="30" t="s">
        <v>24605</v>
      </c>
      <c r="C10792" s="30" t="s">
        <v>310</v>
      </c>
      <c r="D10792" s="30" t="s">
        <v>17</v>
      </c>
      <c r="E10792" s="30" t="s">
        <v>31</v>
      </c>
      <c r="F10792" s="30" t="s">
        <v>32</v>
      </c>
      <c r="G10792" s="30" t="s">
        <v>20</v>
      </c>
      <c r="H10792" s="32">
        <v>105</v>
      </c>
      <c r="I10792" s="30" t="s">
        <v>21</v>
      </c>
      <c r="J10792" s="41">
        <v>44775</v>
      </c>
      <c r="K10792" s="30" t="s">
        <v>22</v>
      </c>
    </row>
    <row r="10793" spans="1:11">
      <c r="A10793" s="33" t="s">
        <v>24606</v>
      </c>
      <c r="B10793" s="33" t="s">
        <v>24607</v>
      </c>
      <c r="C10793" s="33" t="s">
        <v>795</v>
      </c>
      <c r="D10793" s="33" t="s">
        <v>17</v>
      </c>
      <c r="E10793" s="33" t="s">
        <v>67</v>
      </c>
      <c r="F10793" s="33" t="s">
        <v>68</v>
      </c>
      <c r="G10793" s="33" t="s">
        <v>158</v>
      </c>
      <c r="H10793" s="35">
        <v>49</v>
      </c>
      <c r="I10793" s="33" t="s">
        <v>21</v>
      </c>
      <c r="J10793" s="42">
        <v>44630</v>
      </c>
      <c r="K10793" s="33" t="s">
        <v>22</v>
      </c>
    </row>
    <row r="10794" spans="1:11">
      <c r="A10794" s="30" t="s">
        <v>24608</v>
      </c>
      <c r="B10794" s="30" t="s">
        <v>24609</v>
      </c>
      <c r="C10794" s="30" t="s">
        <v>255</v>
      </c>
      <c r="D10794" s="30" t="s">
        <v>17</v>
      </c>
      <c r="E10794" s="30" t="s">
        <v>45</v>
      </c>
      <c r="F10794" s="30" t="s">
        <v>46</v>
      </c>
      <c r="G10794" s="30" t="s">
        <v>20</v>
      </c>
      <c r="H10794" s="32">
        <v>163</v>
      </c>
      <c r="I10794" s="30" t="s">
        <v>21</v>
      </c>
      <c r="J10794" s="41">
        <v>44649</v>
      </c>
      <c r="K10794" s="30" t="s">
        <v>22</v>
      </c>
    </row>
    <row r="10795" spans="1:11">
      <c r="A10795" s="33" t="s">
        <v>24610</v>
      </c>
      <c r="B10795" s="33" t="s">
        <v>24611</v>
      </c>
      <c r="C10795" s="33" t="s">
        <v>8519</v>
      </c>
      <c r="D10795" s="33" t="s">
        <v>17</v>
      </c>
      <c r="E10795" s="33" t="s">
        <v>26</v>
      </c>
      <c r="F10795" s="33" t="s">
        <v>27</v>
      </c>
      <c r="G10795" s="33" t="s">
        <v>20</v>
      </c>
      <c r="H10795" s="35">
        <v>24</v>
      </c>
      <c r="I10795" s="33" t="s">
        <v>21</v>
      </c>
      <c r="J10795" s="42">
        <v>44648</v>
      </c>
      <c r="K10795" s="33" t="s">
        <v>22</v>
      </c>
    </row>
    <row r="10796" spans="1:11">
      <c r="A10796" s="30" t="s">
        <v>24612</v>
      </c>
      <c r="B10796" s="30" t="s">
        <v>24613</v>
      </c>
      <c r="C10796" s="30" t="s">
        <v>24363</v>
      </c>
      <c r="D10796" s="30" t="s">
        <v>17</v>
      </c>
      <c r="E10796" s="30" t="s">
        <v>26</v>
      </c>
      <c r="F10796" s="30" t="s">
        <v>27</v>
      </c>
      <c r="G10796" s="30" t="s">
        <v>50</v>
      </c>
      <c r="H10796" s="32">
        <v>68</v>
      </c>
      <c r="I10796" s="30" t="s">
        <v>51</v>
      </c>
      <c r="J10796" s="41">
        <v>44896</v>
      </c>
      <c r="K10796" s="30" t="s">
        <v>22</v>
      </c>
    </row>
    <row r="10797" spans="1:11">
      <c r="A10797" s="33" t="s">
        <v>24614</v>
      </c>
      <c r="B10797" s="33" t="s">
        <v>24615</v>
      </c>
      <c r="C10797" s="33" t="s">
        <v>16549</v>
      </c>
      <c r="D10797" s="33" t="s">
        <v>17</v>
      </c>
      <c r="E10797" s="33" t="s">
        <v>31</v>
      </c>
      <c r="F10797" s="33" t="s">
        <v>32</v>
      </c>
      <c r="G10797" s="33" t="s">
        <v>158</v>
      </c>
      <c r="H10797" s="35">
        <v>15</v>
      </c>
      <c r="I10797" s="33" t="s">
        <v>21</v>
      </c>
      <c r="J10797" s="42">
        <v>44868</v>
      </c>
      <c r="K10797" s="33" t="s">
        <v>22</v>
      </c>
    </row>
    <row r="10798" spans="1:11">
      <c r="A10798" s="30" t="s">
        <v>24616</v>
      </c>
      <c r="B10798" s="30" t="s">
        <v>24617</v>
      </c>
      <c r="C10798" s="30" t="s">
        <v>24618</v>
      </c>
      <c r="D10798" s="30" t="s">
        <v>17</v>
      </c>
      <c r="E10798" s="30" t="s">
        <v>31</v>
      </c>
      <c r="F10798" s="30" t="s">
        <v>32</v>
      </c>
      <c r="G10798" s="30" t="s">
        <v>106</v>
      </c>
      <c r="H10798" s="32">
        <v>8</v>
      </c>
      <c r="I10798" s="30" t="s">
        <v>21</v>
      </c>
      <c r="J10798" s="41">
        <v>44735</v>
      </c>
      <c r="K10798" s="30" t="s">
        <v>22</v>
      </c>
    </row>
    <row r="10799" spans="1:11">
      <c r="A10799" s="33" t="s">
        <v>24619</v>
      </c>
      <c r="B10799" s="33" t="s">
        <v>24620</v>
      </c>
      <c r="C10799" s="33" t="s">
        <v>3444</v>
      </c>
      <c r="D10799" s="33" t="s">
        <v>17</v>
      </c>
      <c r="E10799" s="33" t="s">
        <v>31</v>
      </c>
      <c r="F10799" s="33" t="s">
        <v>32</v>
      </c>
      <c r="G10799" s="33" t="s">
        <v>112</v>
      </c>
      <c r="H10799" s="35">
        <v>0</v>
      </c>
      <c r="I10799" s="33" t="s">
        <v>21</v>
      </c>
      <c r="J10799" s="42">
        <v>44575</v>
      </c>
      <c r="K10799" s="33" t="s">
        <v>22</v>
      </c>
    </row>
    <row r="10800" spans="1:11">
      <c r="A10800" s="30" t="s">
        <v>24621</v>
      </c>
      <c r="B10800" s="30" t="s">
        <v>24622</v>
      </c>
      <c r="C10800" s="30" t="s">
        <v>231</v>
      </c>
      <c r="D10800" s="30" t="s">
        <v>17</v>
      </c>
      <c r="E10800" s="30" t="s">
        <v>31</v>
      </c>
      <c r="F10800" s="30" t="s">
        <v>32</v>
      </c>
      <c r="G10800" s="30" t="s">
        <v>112</v>
      </c>
      <c r="H10800" s="32">
        <v>0</v>
      </c>
      <c r="I10800" s="30" t="s">
        <v>21</v>
      </c>
      <c r="J10800" s="41">
        <v>44683</v>
      </c>
      <c r="K10800" s="30" t="s">
        <v>22</v>
      </c>
    </row>
    <row r="10801" spans="1:11">
      <c r="A10801" s="33" t="s">
        <v>24623</v>
      </c>
      <c r="B10801" s="33" t="s">
        <v>24624</v>
      </c>
      <c r="C10801" s="33" t="s">
        <v>326</v>
      </c>
      <c r="D10801" s="33" t="s">
        <v>17</v>
      </c>
      <c r="E10801" s="33" t="s">
        <v>67</v>
      </c>
      <c r="F10801" s="33" t="s">
        <v>68</v>
      </c>
      <c r="G10801" s="33" t="s">
        <v>106</v>
      </c>
      <c r="H10801" s="35">
        <v>60</v>
      </c>
      <c r="I10801" s="33" t="s">
        <v>21</v>
      </c>
      <c r="J10801" s="42">
        <v>44686</v>
      </c>
      <c r="K10801" s="33" t="s">
        <v>22</v>
      </c>
    </row>
    <row r="10802" spans="1:11">
      <c r="A10802" s="30" t="s">
        <v>24625</v>
      </c>
      <c r="B10802" s="30" t="s">
        <v>24626</v>
      </c>
      <c r="C10802" s="30" t="s">
        <v>13774</v>
      </c>
      <c r="D10802" s="30" t="s">
        <v>17</v>
      </c>
      <c r="E10802" s="30" t="s">
        <v>26</v>
      </c>
      <c r="F10802" s="30" t="s">
        <v>27</v>
      </c>
      <c r="G10802" s="30" t="s">
        <v>112</v>
      </c>
      <c r="H10802" s="32">
        <v>0</v>
      </c>
      <c r="I10802" s="30" t="s">
        <v>21</v>
      </c>
      <c r="J10802" s="41">
        <v>44591</v>
      </c>
      <c r="K10802" s="30" t="s">
        <v>22</v>
      </c>
    </row>
    <row r="10803" spans="1:11">
      <c r="A10803" s="33" t="s">
        <v>24627</v>
      </c>
      <c r="B10803" s="33" t="s">
        <v>24628</v>
      </c>
      <c r="C10803" s="33" t="s">
        <v>93</v>
      </c>
      <c r="D10803" s="33" t="s">
        <v>17</v>
      </c>
      <c r="E10803" s="33" t="s">
        <v>31</v>
      </c>
      <c r="F10803" s="33" t="s">
        <v>32</v>
      </c>
      <c r="G10803" s="33" t="s">
        <v>20</v>
      </c>
      <c r="H10803" s="35">
        <v>385</v>
      </c>
      <c r="I10803" s="33" t="s">
        <v>21</v>
      </c>
      <c r="J10803" s="42">
        <v>44742</v>
      </c>
      <c r="K10803" s="33" t="s">
        <v>22</v>
      </c>
    </row>
    <row r="10804" spans="1:11">
      <c r="A10804" s="30" t="s">
        <v>24629</v>
      </c>
      <c r="B10804" s="30" t="s">
        <v>24630</v>
      </c>
      <c r="C10804" s="30" t="s">
        <v>24631</v>
      </c>
      <c r="D10804" s="30" t="s">
        <v>17</v>
      </c>
      <c r="E10804" s="30" t="s">
        <v>26</v>
      </c>
      <c r="F10804" s="30" t="s">
        <v>27</v>
      </c>
      <c r="G10804" s="30" t="s">
        <v>50</v>
      </c>
      <c r="H10804" s="32">
        <v>60</v>
      </c>
      <c r="I10804" s="30" t="s">
        <v>51</v>
      </c>
      <c r="J10804" s="41">
        <v>44869</v>
      </c>
      <c r="K10804" s="30" t="s">
        <v>22</v>
      </c>
    </row>
    <row r="10805" spans="1:11">
      <c r="A10805" s="33" t="s">
        <v>24632</v>
      </c>
      <c r="B10805" s="33" t="s">
        <v>24633</v>
      </c>
      <c r="C10805" s="33" t="s">
        <v>21185</v>
      </c>
      <c r="D10805" s="33" t="s">
        <v>17</v>
      </c>
      <c r="E10805" s="33" t="s">
        <v>26</v>
      </c>
      <c r="F10805" s="33" t="s">
        <v>27</v>
      </c>
      <c r="G10805" s="33" t="s">
        <v>50</v>
      </c>
      <c r="H10805" s="35">
        <v>180</v>
      </c>
      <c r="I10805" s="33" t="s">
        <v>51</v>
      </c>
      <c r="J10805" s="42">
        <v>44585</v>
      </c>
      <c r="K10805" s="33" t="s">
        <v>22</v>
      </c>
    </row>
    <row r="10806" spans="1:11">
      <c r="A10806" s="30" t="s">
        <v>24634</v>
      </c>
      <c r="B10806" s="30" t="s">
        <v>24635</v>
      </c>
      <c r="C10806" s="30" t="s">
        <v>19371</v>
      </c>
      <c r="D10806" s="30" t="s">
        <v>17</v>
      </c>
      <c r="E10806" s="30" t="s">
        <v>26</v>
      </c>
      <c r="F10806" s="30" t="s">
        <v>27</v>
      </c>
      <c r="G10806" s="30" t="s">
        <v>20</v>
      </c>
      <c r="H10806" s="32">
        <v>37</v>
      </c>
      <c r="I10806" s="30" t="s">
        <v>21</v>
      </c>
      <c r="J10806" s="41">
        <v>44577</v>
      </c>
      <c r="K10806" s="30" t="s">
        <v>22</v>
      </c>
    </row>
    <row r="10807" spans="1:11">
      <c r="A10807" s="33" t="s">
        <v>24636</v>
      </c>
      <c r="B10807" s="33" t="s">
        <v>24637</v>
      </c>
      <c r="C10807" s="33" t="s">
        <v>787</v>
      </c>
      <c r="D10807" s="33" t="s">
        <v>17</v>
      </c>
      <c r="E10807" s="33" t="s">
        <v>26</v>
      </c>
      <c r="F10807" s="33" t="s">
        <v>27</v>
      </c>
      <c r="G10807" s="33" t="s">
        <v>50</v>
      </c>
      <c r="H10807" s="35">
        <v>154</v>
      </c>
      <c r="I10807" s="33" t="s">
        <v>51</v>
      </c>
      <c r="J10807" s="42">
        <v>44771</v>
      </c>
      <c r="K10807" s="33" t="s">
        <v>22</v>
      </c>
    </row>
    <row r="10808" spans="1:11">
      <c r="A10808" s="30" t="s">
        <v>24638</v>
      </c>
      <c r="B10808" s="30" t="s">
        <v>24639</v>
      </c>
      <c r="C10808" s="30" t="s">
        <v>3790</v>
      </c>
      <c r="D10808" s="30" t="s">
        <v>17</v>
      </c>
      <c r="E10808" s="30" t="s">
        <v>26</v>
      </c>
      <c r="F10808" s="30" t="s">
        <v>27</v>
      </c>
      <c r="G10808" s="30" t="s">
        <v>20</v>
      </c>
      <c r="H10808" s="32">
        <v>15</v>
      </c>
      <c r="I10808" s="30" t="s">
        <v>21</v>
      </c>
      <c r="J10808" s="41">
        <v>44613</v>
      </c>
      <c r="K10808" s="30" t="s">
        <v>22</v>
      </c>
    </row>
    <row r="10809" spans="1:11">
      <c r="A10809" s="33" t="s">
        <v>24640</v>
      </c>
      <c r="B10809" s="33" t="s">
        <v>24641</v>
      </c>
      <c r="C10809" s="33" t="s">
        <v>118</v>
      </c>
      <c r="D10809" s="33" t="s">
        <v>17</v>
      </c>
      <c r="E10809" s="33" t="s">
        <v>31</v>
      </c>
      <c r="F10809" s="33" t="s">
        <v>32</v>
      </c>
      <c r="G10809" s="33" t="s">
        <v>20</v>
      </c>
      <c r="H10809" s="35">
        <v>80</v>
      </c>
      <c r="I10809" s="33" t="s">
        <v>21</v>
      </c>
      <c r="J10809" s="42">
        <v>44608</v>
      </c>
      <c r="K10809" s="33" t="s">
        <v>22</v>
      </c>
    </row>
    <row r="10810" spans="1:11">
      <c r="A10810" s="30" t="s">
        <v>24642</v>
      </c>
      <c r="B10810" s="30" t="s">
        <v>24643</v>
      </c>
      <c r="C10810" s="30" t="s">
        <v>5822</v>
      </c>
      <c r="D10810" s="30" t="s">
        <v>17</v>
      </c>
      <c r="E10810" s="30" t="s">
        <v>31</v>
      </c>
      <c r="F10810" s="30" t="s">
        <v>32</v>
      </c>
      <c r="G10810" s="30" t="s">
        <v>20</v>
      </c>
      <c r="H10810" s="32">
        <v>32</v>
      </c>
      <c r="I10810" s="30" t="s">
        <v>21</v>
      </c>
      <c r="J10810" s="41">
        <v>44846</v>
      </c>
      <c r="K10810" s="30" t="s">
        <v>22</v>
      </c>
    </row>
    <row r="10811" spans="1:11">
      <c r="A10811" s="33" t="s">
        <v>24644</v>
      </c>
      <c r="B10811" s="33" t="s">
        <v>24645</v>
      </c>
      <c r="C10811" s="33" t="s">
        <v>24646</v>
      </c>
      <c r="D10811" s="33" t="s">
        <v>17</v>
      </c>
      <c r="E10811" s="33" t="s">
        <v>67</v>
      </c>
      <c r="F10811" s="33" t="s">
        <v>68</v>
      </c>
      <c r="G10811" s="33" t="s">
        <v>158</v>
      </c>
      <c r="H10811" s="35">
        <v>84</v>
      </c>
      <c r="I10811" s="33" t="s">
        <v>51</v>
      </c>
      <c r="J10811" s="42">
        <v>44861</v>
      </c>
      <c r="K10811" s="33" t="s">
        <v>22</v>
      </c>
    </row>
    <row r="10812" spans="1:11">
      <c r="A10812" s="30" t="s">
        <v>24647</v>
      </c>
      <c r="B10812" s="30" t="s">
        <v>24648</v>
      </c>
      <c r="C10812" s="30" t="s">
        <v>187</v>
      </c>
      <c r="D10812" s="30" t="s">
        <v>17</v>
      </c>
      <c r="E10812" s="30" t="s">
        <v>67</v>
      </c>
      <c r="F10812" s="30" t="s">
        <v>68</v>
      </c>
      <c r="G10812" s="30" t="s">
        <v>106</v>
      </c>
      <c r="H10812" s="32">
        <v>39</v>
      </c>
      <c r="I10812" s="30" t="s">
        <v>21</v>
      </c>
      <c r="J10812" s="41">
        <v>44798</v>
      </c>
      <c r="K10812" s="30" t="s">
        <v>22</v>
      </c>
    </row>
    <row r="10813" spans="1:11">
      <c r="A10813" s="33" t="s">
        <v>24649</v>
      </c>
      <c r="B10813" s="33" t="s">
        <v>24650</v>
      </c>
      <c r="C10813" s="33" t="s">
        <v>1808</v>
      </c>
      <c r="D10813" s="33" t="s">
        <v>17</v>
      </c>
      <c r="E10813" s="33" t="s">
        <v>31</v>
      </c>
      <c r="F10813" s="33" t="s">
        <v>32</v>
      </c>
      <c r="G10813" s="33" t="s">
        <v>20</v>
      </c>
      <c r="H10813" s="35">
        <v>29</v>
      </c>
      <c r="I10813" s="33" t="s">
        <v>21</v>
      </c>
      <c r="J10813" s="42">
        <v>44653</v>
      </c>
      <c r="K10813" s="33" t="s">
        <v>22</v>
      </c>
    </row>
    <row r="10814" spans="1:11">
      <c r="A10814" s="30" t="s">
        <v>24651</v>
      </c>
      <c r="B10814" s="30" t="s">
        <v>24652</v>
      </c>
      <c r="C10814" s="30" t="s">
        <v>4742</v>
      </c>
      <c r="D10814" s="30" t="s">
        <v>17</v>
      </c>
      <c r="E10814" s="30" t="s">
        <v>31</v>
      </c>
      <c r="F10814" s="30" t="s">
        <v>32</v>
      </c>
      <c r="G10814" s="30" t="s">
        <v>112</v>
      </c>
      <c r="H10814" s="32">
        <v>0</v>
      </c>
      <c r="I10814" s="30" t="s">
        <v>21</v>
      </c>
      <c r="J10814" s="41">
        <v>44602</v>
      </c>
      <c r="K10814" s="30" t="s">
        <v>22</v>
      </c>
    </row>
    <row r="10815" spans="1:11">
      <c r="A10815" s="33" t="s">
        <v>24653</v>
      </c>
      <c r="B10815" s="33" t="s">
        <v>24654</v>
      </c>
      <c r="C10815" s="33" t="s">
        <v>24655</v>
      </c>
      <c r="D10815" s="33" t="s">
        <v>17</v>
      </c>
      <c r="E10815" s="33" t="s">
        <v>26</v>
      </c>
      <c r="F10815" s="33" t="s">
        <v>27</v>
      </c>
      <c r="G10815" s="33" t="s">
        <v>106</v>
      </c>
      <c r="H10815" s="35">
        <v>89</v>
      </c>
      <c r="I10815" s="33" t="s">
        <v>21</v>
      </c>
      <c r="J10815" s="42">
        <v>44697</v>
      </c>
      <c r="K10815" s="33" t="s">
        <v>22</v>
      </c>
    </row>
    <row r="10816" spans="1:11">
      <c r="A10816" s="30" t="s">
        <v>24656</v>
      </c>
      <c r="B10816" s="30" t="s">
        <v>24657</v>
      </c>
      <c r="C10816" s="30" t="s">
        <v>3571</v>
      </c>
      <c r="D10816" s="30" t="s">
        <v>17</v>
      </c>
      <c r="E10816" s="30" t="s">
        <v>26</v>
      </c>
      <c r="F10816" s="30" t="s">
        <v>27</v>
      </c>
      <c r="G10816" s="30" t="s">
        <v>106</v>
      </c>
      <c r="H10816" s="32">
        <v>9</v>
      </c>
      <c r="I10816" s="30" t="s">
        <v>21</v>
      </c>
      <c r="J10816" s="41">
        <v>44603</v>
      </c>
      <c r="K10816" s="30" t="s">
        <v>22</v>
      </c>
    </row>
    <row r="10817" spans="1:11">
      <c r="A10817" s="33" t="s">
        <v>24658</v>
      </c>
      <c r="B10817" s="33" t="s">
        <v>24659</v>
      </c>
      <c r="C10817" s="33" t="s">
        <v>1350</v>
      </c>
      <c r="D10817" s="33" t="s">
        <v>17</v>
      </c>
      <c r="E10817" s="33" t="s">
        <v>26</v>
      </c>
      <c r="F10817" s="33" t="s">
        <v>27</v>
      </c>
      <c r="G10817" s="33" t="s">
        <v>106</v>
      </c>
      <c r="H10817" s="35">
        <v>15</v>
      </c>
      <c r="I10817" s="33" t="s">
        <v>21</v>
      </c>
      <c r="J10817" s="42">
        <v>44708</v>
      </c>
      <c r="K10817" s="33" t="s">
        <v>22</v>
      </c>
    </row>
    <row r="10818" spans="1:11">
      <c r="A10818" s="30" t="s">
        <v>24660</v>
      </c>
      <c r="B10818" s="30" t="s">
        <v>24661</v>
      </c>
      <c r="C10818" s="30" t="s">
        <v>6814</v>
      </c>
      <c r="D10818" s="30" t="s">
        <v>17</v>
      </c>
      <c r="E10818" s="30" t="s">
        <v>31</v>
      </c>
      <c r="F10818" s="30" t="s">
        <v>32</v>
      </c>
      <c r="G10818" s="30" t="s">
        <v>20</v>
      </c>
      <c r="H10818" s="32">
        <v>123</v>
      </c>
      <c r="I10818" s="30" t="s">
        <v>21</v>
      </c>
      <c r="J10818" s="41">
        <v>44564</v>
      </c>
      <c r="K10818" s="30" t="s">
        <v>22</v>
      </c>
    </row>
    <row r="10819" spans="1:11">
      <c r="A10819" s="33" t="s">
        <v>24662</v>
      </c>
      <c r="B10819" s="33" t="s">
        <v>24663</v>
      </c>
      <c r="C10819" s="33" t="s">
        <v>11402</v>
      </c>
      <c r="D10819" s="33" t="s">
        <v>17</v>
      </c>
      <c r="E10819" s="33" t="s">
        <v>67</v>
      </c>
      <c r="F10819" s="33" t="s">
        <v>68</v>
      </c>
      <c r="G10819" s="33" t="s">
        <v>140</v>
      </c>
      <c r="H10819" s="35">
        <v>12</v>
      </c>
      <c r="I10819" s="33" t="s">
        <v>51</v>
      </c>
      <c r="J10819" s="42">
        <v>44761</v>
      </c>
      <c r="K10819" s="33" t="s">
        <v>22</v>
      </c>
    </row>
    <row r="10820" spans="1:11">
      <c r="A10820" s="30" t="s">
        <v>24664</v>
      </c>
      <c r="B10820" s="30" t="s">
        <v>24665</v>
      </c>
      <c r="C10820" s="30" t="s">
        <v>6962</v>
      </c>
      <c r="D10820" s="30" t="s">
        <v>17</v>
      </c>
      <c r="E10820" s="30" t="s">
        <v>26</v>
      </c>
      <c r="F10820" s="30" t="s">
        <v>27</v>
      </c>
      <c r="G10820" s="30" t="s">
        <v>20</v>
      </c>
      <c r="H10820" s="32">
        <v>30</v>
      </c>
      <c r="I10820" s="30" t="s">
        <v>21</v>
      </c>
      <c r="J10820" s="41">
        <v>44841</v>
      </c>
      <c r="K10820" s="30" t="s">
        <v>22</v>
      </c>
    </row>
    <row r="10821" spans="1:11">
      <c r="A10821" s="33" t="s">
        <v>24666</v>
      </c>
      <c r="B10821" s="33" t="s">
        <v>24667</v>
      </c>
      <c r="C10821" s="33" t="s">
        <v>10646</v>
      </c>
      <c r="D10821" s="33" t="s">
        <v>17</v>
      </c>
      <c r="E10821" s="33" t="s">
        <v>212</v>
      </c>
      <c r="F10821" s="33" t="s">
        <v>213</v>
      </c>
      <c r="G10821" s="33" t="s">
        <v>20</v>
      </c>
      <c r="H10821" s="35">
        <v>33</v>
      </c>
      <c r="I10821" s="33" t="s">
        <v>21</v>
      </c>
      <c r="J10821" s="42">
        <v>44651</v>
      </c>
      <c r="K10821" s="33" t="s">
        <v>22</v>
      </c>
    </row>
    <row r="10822" spans="1:11">
      <c r="A10822" s="30" t="s">
        <v>24668</v>
      </c>
      <c r="B10822" s="30" t="s">
        <v>24669</v>
      </c>
      <c r="C10822" s="30" t="s">
        <v>11899</v>
      </c>
      <c r="D10822" s="30" t="s">
        <v>17</v>
      </c>
      <c r="E10822" s="30" t="s">
        <v>31</v>
      </c>
      <c r="F10822" s="30" t="s">
        <v>32</v>
      </c>
      <c r="G10822" s="30" t="s">
        <v>106</v>
      </c>
      <c r="H10822" s="32">
        <v>7</v>
      </c>
      <c r="I10822" s="30" t="s">
        <v>21</v>
      </c>
      <c r="J10822" s="41">
        <v>44817</v>
      </c>
      <c r="K10822" s="30" t="s">
        <v>22</v>
      </c>
    </row>
    <row r="10823" spans="1:11">
      <c r="A10823" s="33" t="s">
        <v>24670</v>
      </c>
      <c r="B10823" s="33" t="s">
        <v>24671</v>
      </c>
      <c r="C10823" s="33" t="s">
        <v>1908</v>
      </c>
      <c r="D10823" s="33" t="s">
        <v>17</v>
      </c>
      <c r="E10823" s="33" t="s">
        <v>18</v>
      </c>
      <c r="F10823" s="33" t="s">
        <v>19</v>
      </c>
      <c r="G10823" s="33" t="s">
        <v>20</v>
      </c>
      <c r="H10823" s="35">
        <v>822</v>
      </c>
      <c r="I10823" s="33" t="s">
        <v>21</v>
      </c>
      <c r="J10823" s="42">
        <v>44655</v>
      </c>
      <c r="K10823" s="33" t="s">
        <v>22</v>
      </c>
    </row>
    <row r="10824" spans="1:11">
      <c r="A10824" s="30" t="s">
        <v>24672</v>
      </c>
      <c r="B10824" s="30" t="s">
        <v>24673</v>
      </c>
      <c r="C10824" s="30" t="s">
        <v>2196</v>
      </c>
      <c r="D10824" s="30" t="s">
        <v>17</v>
      </c>
      <c r="E10824" s="30" t="s">
        <v>26</v>
      </c>
      <c r="F10824" s="30" t="s">
        <v>27</v>
      </c>
      <c r="G10824" s="30" t="s">
        <v>20</v>
      </c>
      <c r="H10824" s="32">
        <v>16</v>
      </c>
      <c r="I10824" s="30" t="s">
        <v>21</v>
      </c>
      <c r="J10824" s="41">
        <v>44631</v>
      </c>
      <c r="K10824" s="30" t="s">
        <v>22</v>
      </c>
    </row>
    <row r="10825" spans="1:11">
      <c r="A10825" s="33" t="s">
        <v>24674</v>
      </c>
      <c r="B10825" s="33" t="s">
        <v>24675</v>
      </c>
      <c r="C10825" s="33" t="s">
        <v>78</v>
      </c>
      <c r="D10825" s="33" t="s">
        <v>17</v>
      </c>
      <c r="E10825" s="33" t="s">
        <v>26</v>
      </c>
      <c r="F10825" s="33" t="s">
        <v>27</v>
      </c>
      <c r="G10825" s="33" t="s">
        <v>20</v>
      </c>
      <c r="H10825" s="35">
        <v>65</v>
      </c>
      <c r="I10825" s="33" t="s">
        <v>21</v>
      </c>
      <c r="J10825" s="42">
        <v>44575</v>
      </c>
      <c r="K10825" s="33" t="s">
        <v>22</v>
      </c>
    </row>
    <row r="10826" spans="1:11">
      <c r="A10826" s="30" t="s">
        <v>24676</v>
      </c>
      <c r="B10826" s="30" t="s">
        <v>24677</v>
      </c>
      <c r="C10826" s="30" t="s">
        <v>12455</v>
      </c>
      <c r="D10826" s="30" t="s">
        <v>17</v>
      </c>
      <c r="E10826" s="30" t="s">
        <v>26</v>
      </c>
      <c r="F10826" s="30" t="s">
        <v>27</v>
      </c>
      <c r="G10826" s="30" t="s">
        <v>140</v>
      </c>
      <c r="H10826" s="32">
        <v>50</v>
      </c>
      <c r="I10826" s="30" t="s">
        <v>51</v>
      </c>
      <c r="J10826" s="41">
        <v>44879</v>
      </c>
      <c r="K10826" s="30" t="s">
        <v>22</v>
      </c>
    </row>
    <row r="10827" spans="1:11">
      <c r="A10827" s="33" t="s">
        <v>24678</v>
      </c>
      <c r="B10827" s="33" t="s">
        <v>24679</v>
      </c>
      <c r="C10827" s="33" t="s">
        <v>9464</v>
      </c>
      <c r="D10827" s="33" t="s">
        <v>17</v>
      </c>
      <c r="E10827" s="33" t="s">
        <v>31</v>
      </c>
      <c r="F10827" s="33" t="s">
        <v>32</v>
      </c>
      <c r="G10827" s="33" t="s">
        <v>50</v>
      </c>
      <c r="H10827" s="35">
        <v>156</v>
      </c>
      <c r="I10827" s="33" t="s">
        <v>51</v>
      </c>
      <c r="J10827" s="42">
        <v>44896</v>
      </c>
      <c r="K10827" s="33" t="s">
        <v>22</v>
      </c>
    </row>
    <row r="10828" spans="1:11">
      <c r="A10828" s="30" t="s">
        <v>24680</v>
      </c>
      <c r="B10828" s="30" t="s">
        <v>24681</v>
      </c>
      <c r="C10828" s="30" t="s">
        <v>3647</v>
      </c>
      <c r="D10828" s="30" t="s">
        <v>17</v>
      </c>
      <c r="E10828" s="30" t="s">
        <v>18</v>
      </c>
      <c r="F10828" s="30" t="s">
        <v>19</v>
      </c>
      <c r="G10828" s="30" t="s">
        <v>20</v>
      </c>
      <c r="H10828" s="32">
        <v>3433</v>
      </c>
      <c r="I10828" s="30" t="s">
        <v>21</v>
      </c>
      <c r="J10828" s="41">
        <v>44679</v>
      </c>
      <c r="K10828" s="30" t="s">
        <v>22</v>
      </c>
    </row>
    <row r="10829" spans="1:11">
      <c r="A10829" s="33" t="s">
        <v>24682</v>
      </c>
      <c r="B10829" s="33" t="s">
        <v>24683</v>
      </c>
      <c r="C10829" s="33" t="s">
        <v>24684</v>
      </c>
      <c r="D10829" s="33" t="s">
        <v>17</v>
      </c>
      <c r="E10829" s="33" t="s">
        <v>26</v>
      </c>
      <c r="F10829" s="33" t="s">
        <v>27</v>
      </c>
      <c r="G10829" s="33" t="s">
        <v>20</v>
      </c>
      <c r="H10829" s="35">
        <v>66</v>
      </c>
      <c r="I10829" s="33" t="s">
        <v>21</v>
      </c>
      <c r="J10829" s="42">
        <v>44762</v>
      </c>
      <c r="K10829" s="33" t="s">
        <v>22</v>
      </c>
    </row>
    <row r="10830" spans="1:11">
      <c r="A10830" s="30" t="s">
        <v>24685</v>
      </c>
      <c r="B10830" s="30" t="s">
        <v>24686</v>
      </c>
      <c r="C10830" s="30" t="s">
        <v>715</v>
      </c>
      <c r="D10830" s="30" t="s">
        <v>17</v>
      </c>
      <c r="E10830" s="30" t="s">
        <v>18</v>
      </c>
      <c r="F10830" s="30" t="s">
        <v>19</v>
      </c>
      <c r="G10830" s="30" t="s">
        <v>20</v>
      </c>
      <c r="H10830" s="32">
        <v>278</v>
      </c>
      <c r="I10830" s="30" t="s">
        <v>21</v>
      </c>
      <c r="J10830" s="41">
        <v>44830</v>
      </c>
      <c r="K10830" s="30" t="s">
        <v>22</v>
      </c>
    </row>
    <row r="10831" spans="1:11">
      <c r="A10831" s="33" t="s">
        <v>24687</v>
      </c>
      <c r="B10831" s="33" t="s">
        <v>24688</v>
      </c>
      <c r="C10831" s="33" t="s">
        <v>647</v>
      </c>
      <c r="D10831" s="33" t="s">
        <v>17</v>
      </c>
      <c r="E10831" s="33" t="s">
        <v>18</v>
      </c>
      <c r="F10831" s="33" t="s">
        <v>19</v>
      </c>
      <c r="G10831" s="33" t="s">
        <v>158</v>
      </c>
      <c r="H10831" s="35">
        <v>611</v>
      </c>
      <c r="I10831" s="33" t="s">
        <v>21</v>
      </c>
      <c r="J10831" s="42">
        <v>44684</v>
      </c>
      <c r="K10831" s="33" t="s">
        <v>22</v>
      </c>
    </row>
    <row r="10832" spans="1:11">
      <c r="A10832" s="30" t="s">
        <v>24689</v>
      </c>
      <c r="B10832" s="30" t="s">
        <v>24690</v>
      </c>
      <c r="C10832" s="30" t="s">
        <v>1598</v>
      </c>
      <c r="D10832" s="30" t="s">
        <v>17</v>
      </c>
      <c r="E10832" s="30" t="s">
        <v>26</v>
      </c>
      <c r="F10832" s="30" t="s">
        <v>27</v>
      </c>
      <c r="G10832" s="30" t="s">
        <v>20</v>
      </c>
      <c r="H10832" s="32">
        <v>28</v>
      </c>
      <c r="I10832" s="30" t="s">
        <v>21</v>
      </c>
      <c r="J10832" s="41">
        <v>44783</v>
      </c>
      <c r="K10832" s="30" t="s">
        <v>22</v>
      </c>
    </row>
    <row r="10833" spans="1:11">
      <c r="A10833" s="33" t="s">
        <v>24691</v>
      </c>
      <c r="B10833" s="33" t="s">
        <v>24692</v>
      </c>
      <c r="C10833" s="33" t="s">
        <v>231</v>
      </c>
      <c r="D10833" s="33" t="s">
        <v>17</v>
      </c>
      <c r="E10833" s="33" t="s">
        <v>26</v>
      </c>
      <c r="F10833" s="33" t="s">
        <v>27</v>
      </c>
      <c r="G10833" s="33" t="s">
        <v>20</v>
      </c>
      <c r="H10833" s="35">
        <v>15</v>
      </c>
      <c r="I10833" s="33" t="s">
        <v>21</v>
      </c>
      <c r="J10833" s="42">
        <v>44638</v>
      </c>
      <c r="K10833" s="33" t="s">
        <v>22</v>
      </c>
    </row>
    <row r="10834" spans="1:11">
      <c r="A10834" s="30" t="s">
        <v>24693</v>
      </c>
      <c r="B10834" s="30" t="s">
        <v>24694</v>
      </c>
      <c r="C10834" s="30" t="s">
        <v>93</v>
      </c>
      <c r="D10834" s="30" t="s">
        <v>17</v>
      </c>
      <c r="E10834" s="30" t="s">
        <v>18</v>
      </c>
      <c r="F10834" s="30" t="s">
        <v>19</v>
      </c>
      <c r="G10834" s="30" t="s">
        <v>20</v>
      </c>
      <c r="H10834" s="32">
        <v>920</v>
      </c>
      <c r="I10834" s="30" t="s">
        <v>21</v>
      </c>
      <c r="J10834" s="41">
        <v>44893</v>
      </c>
      <c r="K10834" s="30" t="s">
        <v>22</v>
      </c>
    </row>
    <row r="10835" spans="1:11">
      <c r="A10835" s="33" t="s">
        <v>24695</v>
      </c>
      <c r="B10835" s="33" t="s">
        <v>24696</v>
      </c>
      <c r="C10835" s="33" t="s">
        <v>1191</v>
      </c>
      <c r="D10835" s="33" t="s">
        <v>17</v>
      </c>
      <c r="E10835" s="33" t="s">
        <v>67</v>
      </c>
      <c r="F10835" s="33" t="s">
        <v>68</v>
      </c>
      <c r="G10835" s="33" t="s">
        <v>50</v>
      </c>
      <c r="H10835" s="35">
        <v>280</v>
      </c>
      <c r="I10835" s="33" t="s">
        <v>21</v>
      </c>
      <c r="J10835" s="42">
        <v>44682</v>
      </c>
      <c r="K10835" s="33" t="s">
        <v>22</v>
      </c>
    </row>
    <row r="10836" spans="1:11">
      <c r="A10836" s="30" t="s">
        <v>24697</v>
      </c>
      <c r="B10836" s="30" t="s">
        <v>24698</v>
      </c>
      <c r="C10836" s="30" t="s">
        <v>24699</v>
      </c>
      <c r="D10836" s="30" t="s">
        <v>17</v>
      </c>
      <c r="E10836" s="30" t="s">
        <v>26</v>
      </c>
      <c r="F10836" s="30" t="s">
        <v>27</v>
      </c>
      <c r="G10836" s="30" t="s">
        <v>106</v>
      </c>
      <c r="H10836" s="32">
        <v>12</v>
      </c>
      <c r="I10836" s="30" t="s">
        <v>21</v>
      </c>
      <c r="J10836" s="41">
        <v>44705</v>
      </c>
      <c r="K10836" s="30" t="s">
        <v>22</v>
      </c>
    </row>
    <row r="10837" spans="1:11">
      <c r="A10837" s="33" t="s">
        <v>24700</v>
      </c>
      <c r="B10837" s="33" t="s">
        <v>24701</v>
      </c>
      <c r="C10837" s="33" t="s">
        <v>969</v>
      </c>
      <c r="D10837" s="33" t="s">
        <v>17</v>
      </c>
      <c r="E10837" s="33" t="s">
        <v>18</v>
      </c>
      <c r="F10837" s="33" t="s">
        <v>19</v>
      </c>
      <c r="G10837" s="33" t="s">
        <v>158</v>
      </c>
      <c r="H10837" s="35">
        <v>3038</v>
      </c>
      <c r="I10837" s="33" t="s">
        <v>51</v>
      </c>
      <c r="J10837" s="42">
        <v>44783</v>
      </c>
      <c r="K10837" s="33" t="s">
        <v>22</v>
      </c>
    </row>
    <row r="10838" spans="1:11">
      <c r="A10838" s="30" t="s">
        <v>24702</v>
      </c>
      <c r="B10838" s="30" t="s">
        <v>24703</v>
      </c>
      <c r="C10838" s="30" t="s">
        <v>136</v>
      </c>
      <c r="D10838" s="30" t="s">
        <v>17</v>
      </c>
      <c r="E10838" s="30" t="s">
        <v>26</v>
      </c>
      <c r="F10838" s="30" t="s">
        <v>27</v>
      </c>
      <c r="G10838" s="30" t="s">
        <v>20</v>
      </c>
      <c r="H10838" s="32">
        <v>38</v>
      </c>
      <c r="I10838" s="30" t="s">
        <v>21</v>
      </c>
      <c r="J10838" s="41">
        <v>44876</v>
      </c>
      <c r="K10838" s="30" t="s">
        <v>22</v>
      </c>
    </row>
    <row r="10839" spans="1:11">
      <c r="A10839" s="33" t="s">
        <v>24704</v>
      </c>
      <c r="B10839" s="33" t="s">
        <v>24705</v>
      </c>
      <c r="C10839" s="33" t="s">
        <v>7280</v>
      </c>
      <c r="D10839" s="33" t="s">
        <v>17</v>
      </c>
      <c r="E10839" s="33" t="s">
        <v>31</v>
      </c>
      <c r="F10839" s="33" t="s">
        <v>32</v>
      </c>
      <c r="G10839" s="33" t="s">
        <v>20</v>
      </c>
      <c r="H10839" s="35">
        <v>127</v>
      </c>
      <c r="I10839" s="33" t="s">
        <v>21</v>
      </c>
      <c r="J10839" s="42">
        <v>44830</v>
      </c>
      <c r="K10839" s="33" t="s">
        <v>22</v>
      </c>
    </row>
    <row r="10840" spans="1:11">
      <c r="A10840" s="30" t="s">
        <v>24706</v>
      </c>
      <c r="B10840" s="30" t="s">
        <v>24707</v>
      </c>
      <c r="C10840" s="30" t="s">
        <v>379</v>
      </c>
      <c r="D10840" s="30" t="s">
        <v>17</v>
      </c>
      <c r="E10840" s="30" t="s">
        <v>31</v>
      </c>
      <c r="F10840" s="30" t="s">
        <v>32</v>
      </c>
      <c r="G10840" s="30" t="s">
        <v>50</v>
      </c>
      <c r="H10840" s="32">
        <v>30</v>
      </c>
      <c r="I10840" s="30" t="s">
        <v>51</v>
      </c>
      <c r="J10840" s="41">
        <v>44641</v>
      </c>
      <c r="K10840" s="30" t="s">
        <v>22</v>
      </c>
    </row>
    <row r="10841" spans="1:11">
      <c r="A10841" s="33" t="s">
        <v>24708</v>
      </c>
      <c r="B10841" s="33" t="s">
        <v>24709</v>
      </c>
      <c r="C10841" s="33" t="s">
        <v>22597</v>
      </c>
      <c r="D10841" s="33" t="s">
        <v>17</v>
      </c>
      <c r="E10841" s="33" t="s">
        <v>31</v>
      </c>
      <c r="F10841" s="33" t="s">
        <v>32</v>
      </c>
      <c r="G10841" s="33" t="s">
        <v>20</v>
      </c>
      <c r="H10841" s="35">
        <v>228</v>
      </c>
      <c r="I10841" s="33" t="s">
        <v>21</v>
      </c>
      <c r="J10841" s="42">
        <v>44831</v>
      </c>
      <c r="K10841" s="33" t="s">
        <v>22</v>
      </c>
    </row>
    <row r="10842" spans="1:11">
      <c r="A10842" s="30" t="s">
        <v>24710</v>
      </c>
      <c r="B10842" s="30" t="s">
        <v>24711</v>
      </c>
      <c r="C10842" s="30" t="s">
        <v>2663</v>
      </c>
      <c r="D10842" s="30" t="s">
        <v>17</v>
      </c>
      <c r="E10842" s="30" t="s">
        <v>26</v>
      </c>
      <c r="F10842" s="30" t="s">
        <v>27</v>
      </c>
      <c r="G10842" s="30" t="s">
        <v>20</v>
      </c>
      <c r="H10842" s="32">
        <v>24</v>
      </c>
      <c r="I10842" s="30" t="s">
        <v>21</v>
      </c>
      <c r="J10842" s="41">
        <v>44807</v>
      </c>
      <c r="K10842" s="30" t="s">
        <v>22</v>
      </c>
    </row>
    <row r="10843" spans="1:11">
      <c r="A10843" s="33" t="s">
        <v>24712</v>
      </c>
      <c r="B10843" s="33" t="s">
        <v>24713</v>
      </c>
      <c r="C10843" s="33" t="s">
        <v>96</v>
      </c>
      <c r="D10843" s="33" t="s">
        <v>17</v>
      </c>
      <c r="E10843" s="33" t="s">
        <v>31</v>
      </c>
      <c r="F10843" s="33" t="s">
        <v>32</v>
      </c>
      <c r="G10843" s="33" t="s">
        <v>112</v>
      </c>
      <c r="H10843" s="35">
        <v>0</v>
      </c>
      <c r="I10843" s="33" t="s">
        <v>21</v>
      </c>
      <c r="J10843" s="42">
        <v>44908</v>
      </c>
      <c r="K10843" s="33" t="s">
        <v>22</v>
      </c>
    </row>
    <row r="10844" spans="1:11">
      <c r="A10844" s="30" t="s">
        <v>24714</v>
      </c>
      <c r="B10844" s="30" t="s">
        <v>24715</v>
      </c>
      <c r="C10844" s="30" t="s">
        <v>24716</v>
      </c>
      <c r="D10844" s="30" t="s">
        <v>17</v>
      </c>
      <c r="E10844" s="30" t="s">
        <v>31</v>
      </c>
      <c r="F10844" s="30" t="s">
        <v>32</v>
      </c>
      <c r="G10844" s="30" t="s">
        <v>50</v>
      </c>
      <c r="H10844" s="32">
        <v>50</v>
      </c>
      <c r="I10844" s="30" t="s">
        <v>51</v>
      </c>
      <c r="J10844" s="41">
        <v>44686</v>
      </c>
      <c r="K10844" s="30" t="s">
        <v>22</v>
      </c>
    </row>
    <row r="10845" spans="1:11">
      <c r="A10845" s="33" t="s">
        <v>24717</v>
      </c>
      <c r="B10845" s="33" t="s">
        <v>24718</v>
      </c>
      <c r="C10845" s="33" t="s">
        <v>9825</v>
      </c>
      <c r="D10845" s="33" t="s">
        <v>17</v>
      </c>
      <c r="E10845" s="33" t="s">
        <v>31</v>
      </c>
      <c r="F10845" s="33" t="s">
        <v>32</v>
      </c>
      <c r="G10845" s="33" t="s">
        <v>20</v>
      </c>
      <c r="H10845" s="35">
        <v>74</v>
      </c>
      <c r="I10845" s="33" t="s">
        <v>21</v>
      </c>
      <c r="J10845" s="42">
        <v>44762</v>
      </c>
      <c r="K10845" s="33" t="s">
        <v>22</v>
      </c>
    </row>
    <row r="10846" spans="1:11">
      <c r="A10846" s="30" t="s">
        <v>24719</v>
      </c>
      <c r="B10846" s="30" t="s">
        <v>24720</v>
      </c>
      <c r="C10846" s="30" t="s">
        <v>7072</v>
      </c>
      <c r="D10846" s="30" t="s">
        <v>17</v>
      </c>
      <c r="E10846" s="30" t="s">
        <v>18</v>
      </c>
      <c r="F10846" s="30" t="s">
        <v>19</v>
      </c>
      <c r="G10846" s="30" t="s">
        <v>158</v>
      </c>
      <c r="H10846" s="32">
        <v>254</v>
      </c>
      <c r="I10846" s="30" t="s">
        <v>51</v>
      </c>
      <c r="J10846" s="41">
        <v>44722</v>
      </c>
      <c r="K10846" s="30" t="s">
        <v>22</v>
      </c>
    </row>
    <row r="10847" spans="1:11">
      <c r="A10847" s="33" t="s">
        <v>24721</v>
      </c>
      <c r="B10847" s="33" t="s">
        <v>24722</v>
      </c>
      <c r="C10847" s="33" t="s">
        <v>24723</v>
      </c>
      <c r="D10847" s="33" t="s">
        <v>17</v>
      </c>
      <c r="E10847" s="33" t="s">
        <v>67</v>
      </c>
      <c r="F10847" s="33" t="s">
        <v>68</v>
      </c>
      <c r="G10847" s="33" t="s">
        <v>20</v>
      </c>
      <c r="H10847" s="35">
        <v>24</v>
      </c>
      <c r="I10847" s="33" t="s">
        <v>21</v>
      </c>
      <c r="J10847" s="42">
        <v>44734</v>
      </c>
      <c r="K10847" s="33" t="s">
        <v>22</v>
      </c>
    </row>
    <row r="10848" spans="1:11">
      <c r="A10848" s="30" t="s">
        <v>24724</v>
      </c>
      <c r="B10848" s="30" t="s">
        <v>24725</v>
      </c>
      <c r="C10848" s="30" t="s">
        <v>1112</v>
      </c>
      <c r="D10848" s="30" t="s">
        <v>17</v>
      </c>
      <c r="E10848" s="30" t="s">
        <v>18</v>
      </c>
      <c r="F10848" s="30" t="s">
        <v>19</v>
      </c>
      <c r="G10848" s="30" t="s">
        <v>20</v>
      </c>
      <c r="H10848" s="32">
        <v>249</v>
      </c>
      <c r="I10848" s="30" t="s">
        <v>21</v>
      </c>
      <c r="J10848" s="41">
        <v>44805</v>
      </c>
      <c r="K10848" s="30" t="s">
        <v>22</v>
      </c>
    </row>
    <row r="10849" spans="1:11">
      <c r="A10849" s="33" t="s">
        <v>24726</v>
      </c>
      <c r="B10849" s="33" t="s">
        <v>24727</v>
      </c>
      <c r="C10849" s="33" t="s">
        <v>10459</v>
      </c>
      <c r="D10849" s="33" t="s">
        <v>17</v>
      </c>
      <c r="E10849" s="33" t="s">
        <v>330</v>
      </c>
      <c r="F10849" s="33" t="s">
        <v>331</v>
      </c>
      <c r="G10849" s="33" t="s">
        <v>20</v>
      </c>
      <c r="H10849" s="35">
        <v>26</v>
      </c>
      <c r="I10849" s="33" t="s">
        <v>21</v>
      </c>
      <c r="J10849" s="42">
        <v>44630</v>
      </c>
      <c r="K10849" s="33" t="s">
        <v>22</v>
      </c>
    </row>
    <row r="10850" spans="1:11">
      <c r="A10850" s="30" t="s">
        <v>24728</v>
      </c>
      <c r="B10850" s="30" t="s">
        <v>24729</v>
      </c>
      <c r="C10850" s="30" t="s">
        <v>318</v>
      </c>
      <c r="D10850" s="30" t="s">
        <v>17</v>
      </c>
      <c r="E10850" s="30" t="s">
        <v>26</v>
      </c>
      <c r="F10850" s="30" t="s">
        <v>27</v>
      </c>
      <c r="G10850" s="30" t="s">
        <v>20</v>
      </c>
      <c r="H10850" s="32">
        <v>25</v>
      </c>
      <c r="I10850" s="30" t="s">
        <v>21</v>
      </c>
      <c r="J10850" s="41">
        <v>44817</v>
      </c>
      <c r="K10850" s="30" t="s">
        <v>22</v>
      </c>
    </row>
    <row r="10851" spans="1:11">
      <c r="A10851" s="33" t="s">
        <v>24730</v>
      </c>
      <c r="B10851" s="33" t="s">
        <v>24731</v>
      </c>
      <c r="C10851" s="33" t="s">
        <v>15527</v>
      </c>
      <c r="D10851" s="33" t="s">
        <v>17</v>
      </c>
      <c r="E10851" s="33" t="s">
        <v>18</v>
      </c>
      <c r="F10851" s="33" t="s">
        <v>19</v>
      </c>
      <c r="G10851" s="33" t="s">
        <v>20</v>
      </c>
      <c r="H10851" s="35">
        <v>2229</v>
      </c>
      <c r="I10851" s="33" t="s">
        <v>21</v>
      </c>
      <c r="J10851" s="42">
        <v>44852</v>
      </c>
      <c r="K10851" s="33" t="s">
        <v>22</v>
      </c>
    </row>
    <row r="10852" spans="1:11">
      <c r="A10852" s="30" t="s">
        <v>24732</v>
      </c>
      <c r="B10852" s="30" t="s">
        <v>24733</v>
      </c>
      <c r="C10852" s="30" t="s">
        <v>24734</v>
      </c>
      <c r="D10852" s="30" t="s">
        <v>17</v>
      </c>
      <c r="E10852" s="30" t="s">
        <v>330</v>
      </c>
      <c r="F10852" s="30" t="s">
        <v>331</v>
      </c>
      <c r="G10852" s="30" t="s">
        <v>50</v>
      </c>
      <c r="H10852" s="32">
        <v>15</v>
      </c>
      <c r="I10852" s="30" t="s">
        <v>51</v>
      </c>
      <c r="J10852" s="41">
        <v>44711</v>
      </c>
      <c r="K10852" s="30" t="s">
        <v>22</v>
      </c>
    </row>
    <row r="10853" spans="1:11">
      <c r="A10853" s="33" t="s">
        <v>24735</v>
      </c>
      <c r="B10853" s="33" t="s">
        <v>24736</v>
      </c>
      <c r="C10853" s="33" t="s">
        <v>6193</v>
      </c>
      <c r="D10853" s="33" t="s">
        <v>17</v>
      </c>
      <c r="E10853" s="33" t="s">
        <v>31</v>
      </c>
      <c r="F10853" s="33" t="s">
        <v>32</v>
      </c>
      <c r="G10853" s="33" t="s">
        <v>106</v>
      </c>
      <c r="H10853" s="35">
        <v>28</v>
      </c>
      <c r="I10853" s="33" t="s">
        <v>21</v>
      </c>
      <c r="J10853" s="42">
        <v>44581</v>
      </c>
      <c r="K10853" s="33" t="s">
        <v>22</v>
      </c>
    </row>
    <row r="10854" spans="1:11">
      <c r="A10854" s="30" t="s">
        <v>24737</v>
      </c>
      <c r="B10854" s="30" t="s">
        <v>24738</v>
      </c>
      <c r="C10854" s="30" t="s">
        <v>3964</v>
      </c>
      <c r="D10854" s="30" t="s">
        <v>17</v>
      </c>
      <c r="E10854" s="30" t="s">
        <v>67</v>
      </c>
      <c r="F10854" s="30" t="s">
        <v>68</v>
      </c>
      <c r="G10854" s="30" t="s">
        <v>50</v>
      </c>
      <c r="H10854" s="32">
        <v>30</v>
      </c>
      <c r="I10854" s="30" t="s">
        <v>51</v>
      </c>
      <c r="J10854" s="41">
        <v>44778</v>
      </c>
      <c r="K10854" s="30" t="s">
        <v>22</v>
      </c>
    </row>
    <row r="10855" spans="1:11">
      <c r="A10855" s="33" t="s">
        <v>24739</v>
      </c>
      <c r="B10855" s="33" t="s">
        <v>24740</v>
      </c>
      <c r="C10855" s="33" t="s">
        <v>24741</v>
      </c>
      <c r="D10855" s="33" t="s">
        <v>17</v>
      </c>
      <c r="E10855" s="33" t="s">
        <v>26</v>
      </c>
      <c r="F10855" s="33" t="s">
        <v>27</v>
      </c>
      <c r="G10855" s="33" t="s">
        <v>50</v>
      </c>
      <c r="H10855" s="35">
        <v>12</v>
      </c>
      <c r="I10855" s="33" t="s">
        <v>51</v>
      </c>
      <c r="J10855" s="42">
        <v>44562</v>
      </c>
      <c r="K10855" s="33" t="s">
        <v>22</v>
      </c>
    </row>
    <row r="10856" spans="1:11">
      <c r="A10856" s="30" t="s">
        <v>24742</v>
      </c>
      <c r="B10856" s="30" t="s">
        <v>24743</v>
      </c>
      <c r="C10856" s="30" t="s">
        <v>969</v>
      </c>
      <c r="D10856" s="30" t="s">
        <v>17</v>
      </c>
      <c r="E10856" s="30" t="s">
        <v>31</v>
      </c>
      <c r="F10856" s="30" t="s">
        <v>32</v>
      </c>
      <c r="G10856" s="30" t="s">
        <v>140</v>
      </c>
      <c r="H10856" s="32">
        <v>12</v>
      </c>
      <c r="I10856" s="30" t="s">
        <v>51</v>
      </c>
      <c r="J10856" s="41">
        <v>44886</v>
      </c>
      <c r="K10856" s="30" t="s">
        <v>22</v>
      </c>
    </row>
    <row r="10857" spans="1:11">
      <c r="A10857" s="33" t="s">
        <v>24744</v>
      </c>
      <c r="B10857" s="33" t="s">
        <v>24745</v>
      </c>
      <c r="C10857" s="33" t="s">
        <v>75</v>
      </c>
      <c r="D10857" s="33" t="s">
        <v>17</v>
      </c>
      <c r="E10857" s="33" t="s">
        <v>26</v>
      </c>
      <c r="F10857" s="33" t="s">
        <v>27</v>
      </c>
      <c r="G10857" s="33" t="s">
        <v>20</v>
      </c>
      <c r="H10857" s="35">
        <v>76</v>
      </c>
      <c r="I10857" s="33" t="s">
        <v>21</v>
      </c>
      <c r="J10857" s="42">
        <v>44876</v>
      </c>
      <c r="K10857" s="33" t="s">
        <v>22</v>
      </c>
    </row>
    <row r="10858" spans="1:11">
      <c r="A10858" s="30" t="s">
        <v>24746</v>
      </c>
      <c r="B10858" s="30" t="s">
        <v>24747</v>
      </c>
      <c r="C10858" s="30" t="s">
        <v>12330</v>
      </c>
      <c r="D10858" s="30" t="s">
        <v>17</v>
      </c>
      <c r="E10858" s="30" t="s">
        <v>31</v>
      </c>
      <c r="F10858" s="30" t="s">
        <v>32</v>
      </c>
      <c r="G10858" s="30" t="s">
        <v>112</v>
      </c>
      <c r="H10858" s="32">
        <v>0</v>
      </c>
      <c r="I10858" s="30" t="s">
        <v>21</v>
      </c>
      <c r="J10858" s="41">
        <v>44700</v>
      </c>
      <c r="K10858" s="30" t="s">
        <v>22</v>
      </c>
    </row>
    <row r="10859" spans="1:11">
      <c r="A10859" s="33" t="s">
        <v>24748</v>
      </c>
      <c r="B10859" s="33" t="s">
        <v>24749</v>
      </c>
      <c r="C10859" s="33" t="s">
        <v>222</v>
      </c>
      <c r="D10859" s="33" t="s">
        <v>17</v>
      </c>
      <c r="E10859" s="33" t="s">
        <v>26</v>
      </c>
      <c r="F10859" s="33" t="s">
        <v>27</v>
      </c>
      <c r="G10859" s="33" t="s">
        <v>20</v>
      </c>
      <c r="H10859" s="35">
        <v>80</v>
      </c>
      <c r="I10859" s="33" t="s">
        <v>21</v>
      </c>
      <c r="J10859" s="42">
        <v>44594</v>
      </c>
      <c r="K10859" s="33" t="s">
        <v>22</v>
      </c>
    </row>
    <row r="10860" spans="1:11">
      <c r="A10860" s="30" t="s">
        <v>24750</v>
      </c>
      <c r="B10860" s="30" t="s">
        <v>24751</v>
      </c>
      <c r="C10860" s="30" t="s">
        <v>216</v>
      </c>
      <c r="D10860" s="30" t="s">
        <v>17</v>
      </c>
      <c r="E10860" s="30" t="s">
        <v>26</v>
      </c>
      <c r="F10860" s="30" t="s">
        <v>27</v>
      </c>
      <c r="G10860" s="30" t="s">
        <v>20</v>
      </c>
      <c r="H10860" s="32">
        <v>216</v>
      </c>
      <c r="I10860" s="30" t="s">
        <v>21</v>
      </c>
      <c r="J10860" s="41">
        <v>44720</v>
      </c>
      <c r="K10860" s="30" t="s">
        <v>22</v>
      </c>
    </row>
    <row r="10861" spans="1:11">
      <c r="A10861" s="33" t="s">
        <v>24752</v>
      </c>
      <c r="B10861" s="33" t="s">
        <v>24753</v>
      </c>
      <c r="C10861" s="33" t="s">
        <v>24754</v>
      </c>
      <c r="D10861" s="33" t="s">
        <v>17</v>
      </c>
      <c r="E10861" s="33" t="s">
        <v>31</v>
      </c>
      <c r="F10861" s="33" t="s">
        <v>32</v>
      </c>
      <c r="G10861" s="33" t="s">
        <v>20</v>
      </c>
      <c r="H10861" s="35">
        <v>40</v>
      </c>
      <c r="I10861" s="33" t="s">
        <v>21</v>
      </c>
      <c r="J10861" s="42">
        <v>44705</v>
      </c>
      <c r="K10861" s="33" t="s">
        <v>22</v>
      </c>
    </row>
    <row r="10862" spans="1:11">
      <c r="A10862" s="30" t="s">
        <v>24755</v>
      </c>
      <c r="B10862" s="30" t="s">
        <v>24756</v>
      </c>
      <c r="C10862" s="30" t="s">
        <v>9163</v>
      </c>
      <c r="D10862" s="30" t="s">
        <v>17</v>
      </c>
      <c r="E10862" s="30" t="s">
        <v>26</v>
      </c>
      <c r="F10862" s="30" t="s">
        <v>27</v>
      </c>
      <c r="G10862" s="30" t="s">
        <v>20</v>
      </c>
      <c r="H10862" s="32">
        <v>10</v>
      </c>
      <c r="I10862" s="30" t="s">
        <v>21</v>
      </c>
      <c r="J10862" s="41">
        <v>44666</v>
      </c>
      <c r="K10862" s="30" t="s">
        <v>22</v>
      </c>
    </row>
    <row r="10863" spans="1:11">
      <c r="A10863" s="33" t="s">
        <v>24757</v>
      </c>
      <c r="B10863" s="33" t="s">
        <v>24758</v>
      </c>
      <c r="C10863" s="33" t="s">
        <v>24759</v>
      </c>
      <c r="D10863" s="33" t="s">
        <v>17</v>
      </c>
      <c r="E10863" s="33" t="s">
        <v>18</v>
      </c>
      <c r="F10863" s="33" t="s">
        <v>19</v>
      </c>
      <c r="G10863" s="33" t="s">
        <v>50</v>
      </c>
      <c r="H10863" s="35">
        <v>400</v>
      </c>
      <c r="I10863" s="33" t="s">
        <v>51</v>
      </c>
      <c r="J10863" s="42">
        <v>44774</v>
      </c>
      <c r="K10863" s="33" t="s">
        <v>22</v>
      </c>
    </row>
    <row r="10864" spans="1:11">
      <c r="A10864" s="30" t="s">
        <v>24760</v>
      </c>
      <c r="B10864" s="30" t="s">
        <v>24761</v>
      </c>
      <c r="C10864" s="30" t="s">
        <v>10651</v>
      </c>
      <c r="D10864" s="30" t="s">
        <v>17</v>
      </c>
      <c r="E10864" s="30" t="s">
        <v>31</v>
      </c>
      <c r="F10864" s="30" t="s">
        <v>32</v>
      </c>
      <c r="G10864" s="30" t="s">
        <v>20</v>
      </c>
      <c r="H10864" s="32">
        <v>42</v>
      </c>
      <c r="I10864" s="30" t="s">
        <v>21</v>
      </c>
      <c r="J10864" s="41">
        <v>44908</v>
      </c>
      <c r="K10864" s="30" t="s">
        <v>22</v>
      </c>
    </row>
    <row r="10865" spans="1:11">
      <c r="A10865" s="33" t="s">
        <v>24762</v>
      </c>
      <c r="B10865" s="33" t="s">
        <v>24763</v>
      </c>
      <c r="C10865" s="33" t="s">
        <v>78</v>
      </c>
      <c r="D10865" s="33" t="s">
        <v>17</v>
      </c>
      <c r="E10865" s="33" t="s">
        <v>212</v>
      </c>
      <c r="F10865" s="33" t="s">
        <v>213</v>
      </c>
      <c r="G10865" s="33" t="s">
        <v>50</v>
      </c>
      <c r="H10865" s="35">
        <v>180</v>
      </c>
      <c r="I10865" s="33" t="s">
        <v>51</v>
      </c>
      <c r="J10865" s="42">
        <v>44890</v>
      </c>
      <c r="K10865" s="33" t="s">
        <v>22</v>
      </c>
    </row>
    <row r="10866" spans="1:11">
      <c r="A10866" s="30" t="s">
        <v>24764</v>
      </c>
      <c r="B10866" s="30" t="s">
        <v>24765</v>
      </c>
      <c r="C10866" s="30" t="s">
        <v>19368</v>
      </c>
      <c r="D10866" s="30" t="s">
        <v>17</v>
      </c>
      <c r="E10866" s="30" t="s">
        <v>18</v>
      </c>
      <c r="F10866" s="30" t="s">
        <v>19</v>
      </c>
      <c r="G10866" s="30" t="s">
        <v>20</v>
      </c>
      <c r="H10866" s="32">
        <v>7623</v>
      </c>
      <c r="I10866" s="30" t="s">
        <v>21</v>
      </c>
      <c r="J10866" s="41">
        <v>44865</v>
      </c>
      <c r="K10866" s="30" t="s">
        <v>22</v>
      </c>
    </row>
    <row r="10867" spans="1:11">
      <c r="A10867" s="33" t="s">
        <v>24766</v>
      </c>
      <c r="B10867" s="33" t="s">
        <v>24767</v>
      </c>
      <c r="C10867" s="33" t="s">
        <v>24768</v>
      </c>
      <c r="D10867" s="33" t="s">
        <v>17</v>
      </c>
      <c r="E10867" s="33" t="s">
        <v>45</v>
      </c>
      <c r="F10867" s="33" t="s">
        <v>46</v>
      </c>
      <c r="G10867" s="33" t="s">
        <v>50</v>
      </c>
      <c r="H10867" s="35">
        <v>468</v>
      </c>
      <c r="I10867" s="33" t="s">
        <v>51</v>
      </c>
      <c r="J10867" s="42">
        <v>44634</v>
      </c>
      <c r="K10867" s="33" t="s">
        <v>22</v>
      </c>
    </row>
    <row r="10868" spans="1:11">
      <c r="A10868" s="30" t="s">
        <v>24769</v>
      </c>
      <c r="B10868" s="30" t="s">
        <v>24770</v>
      </c>
      <c r="C10868" s="30" t="s">
        <v>1498</v>
      </c>
      <c r="D10868" s="30" t="s">
        <v>17</v>
      </c>
      <c r="E10868" s="30" t="s">
        <v>26</v>
      </c>
      <c r="F10868" s="30" t="s">
        <v>27</v>
      </c>
      <c r="G10868" s="30" t="s">
        <v>20</v>
      </c>
      <c r="H10868" s="32">
        <v>48</v>
      </c>
      <c r="I10868" s="30" t="s">
        <v>21</v>
      </c>
      <c r="J10868" s="41">
        <v>44723</v>
      </c>
      <c r="K10868" s="30" t="s">
        <v>22</v>
      </c>
    </row>
    <row r="10869" spans="1:11">
      <c r="A10869" s="33" t="s">
        <v>24771</v>
      </c>
      <c r="B10869" s="33" t="s">
        <v>24772</v>
      </c>
      <c r="C10869" s="33" t="s">
        <v>399</v>
      </c>
      <c r="D10869" s="33" t="s">
        <v>17</v>
      </c>
      <c r="E10869" s="33" t="s">
        <v>18</v>
      </c>
      <c r="F10869" s="33" t="s">
        <v>19</v>
      </c>
      <c r="G10869" s="33" t="s">
        <v>20</v>
      </c>
      <c r="H10869" s="35">
        <v>574</v>
      </c>
      <c r="I10869" s="33" t="s">
        <v>21</v>
      </c>
      <c r="J10869" s="42">
        <v>44753</v>
      </c>
      <c r="K10869" s="33" t="s">
        <v>22</v>
      </c>
    </row>
    <row r="10870" spans="1:11">
      <c r="A10870" s="30" t="s">
        <v>24773</v>
      </c>
      <c r="B10870" s="30" t="s">
        <v>24774</v>
      </c>
      <c r="C10870" s="30" t="s">
        <v>157</v>
      </c>
      <c r="D10870" s="30" t="s">
        <v>17</v>
      </c>
      <c r="E10870" s="30" t="s">
        <v>18</v>
      </c>
      <c r="F10870" s="30" t="s">
        <v>19</v>
      </c>
      <c r="G10870" s="30" t="s">
        <v>106</v>
      </c>
      <c r="H10870" s="32">
        <v>352</v>
      </c>
      <c r="I10870" s="30" t="s">
        <v>21</v>
      </c>
      <c r="J10870" s="41">
        <v>44624</v>
      </c>
      <c r="K10870" s="30" t="s">
        <v>22</v>
      </c>
    </row>
    <row r="10871" spans="1:11">
      <c r="A10871" s="33" t="s">
        <v>24775</v>
      </c>
      <c r="B10871" s="33" t="s">
        <v>24776</v>
      </c>
      <c r="C10871" s="33" t="s">
        <v>102</v>
      </c>
      <c r="D10871" s="33" t="s">
        <v>17</v>
      </c>
      <c r="E10871" s="33" t="s">
        <v>31</v>
      </c>
      <c r="F10871" s="33" t="s">
        <v>32</v>
      </c>
      <c r="G10871" s="33" t="s">
        <v>158</v>
      </c>
      <c r="H10871" s="35">
        <v>577</v>
      </c>
      <c r="I10871" s="33" t="s">
        <v>21</v>
      </c>
      <c r="J10871" s="42">
        <v>44823</v>
      </c>
      <c r="K10871" s="33" t="s">
        <v>22</v>
      </c>
    </row>
    <row r="10872" spans="1:11">
      <c r="A10872" s="30" t="s">
        <v>24777</v>
      </c>
      <c r="B10872" s="30" t="s">
        <v>24778</v>
      </c>
      <c r="C10872" s="30" t="s">
        <v>13241</v>
      </c>
      <c r="D10872" s="30" t="s">
        <v>17</v>
      </c>
      <c r="E10872" s="30" t="s">
        <v>31</v>
      </c>
      <c r="F10872" s="30" t="s">
        <v>32</v>
      </c>
      <c r="G10872" s="30" t="s">
        <v>50</v>
      </c>
      <c r="H10872" s="32">
        <v>89</v>
      </c>
      <c r="I10872" s="30" t="s">
        <v>21</v>
      </c>
      <c r="J10872" s="41">
        <v>44854</v>
      </c>
      <c r="K10872" s="30" t="s">
        <v>22</v>
      </c>
    </row>
    <row r="10873" spans="1:11">
      <c r="A10873" s="33" t="s">
        <v>24779</v>
      </c>
      <c r="B10873" s="33" t="s">
        <v>24780</v>
      </c>
      <c r="C10873" s="33" t="s">
        <v>6703</v>
      </c>
      <c r="D10873" s="33" t="s">
        <v>17</v>
      </c>
      <c r="E10873" s="33" t="s">
        <v>18</v>
      </c>
      <c r="F10873" s="33" t="s">
        <v>19</v>
      </c>
      <c r="G10873" s="33" t="s">
        <v>50</v>
      </c>
      <c r="H10873" s="35">
        <v>602</v>
      </c>
      <c r="I10873" s="33" t="s">
        <v>51</v>
      </c>
      <c r="J10873" s="42">
        <v>44666</v>
      </c>
      <c r="K10873" s="33" t="s">
        <v>22</v>
      </c>
    </row>
    <row r="10874" spans="1:11">
      <c r="A10874" s="30" t="s">
        <v>24781</v>
      </c>
      <c r="B10874" s="30" t="s">
        <v>24782</v>
      </c>
      <c r="C10874" s="30" t="s">
        <v>24783</v>
      </c>
      <c r="D10874" s="30" t="s">
        <v>17</v>
      </c>
      <c r="E10874" s="30" t="s">
        <v>26</v>
      </c>
      <c r="F10874" s="30" t="s">
        <v>27</v>
      </c>
      <c r="G10874" s="30" t="s">
        <v>50</v>
      </c>
      <c r="H10874" s="32">
        <v>172</v>
      </c>
      <c r="I10874" s="30" t="s">
        <v>51</v>
      </c>
      <c r="J10874" s="41">
        <v>44651</v>
      </c>
      <c r="K10874" s="30" t="s">
        <v>22</v>
      </c>
    </row>
    <row r="10875" spans="1:11">
      <c r="A10875" s="33" t="s">
        <v>24784</v>
      </c>
      <c r="B10875" s="33" t="s">
        <v>24785</v>
      </c>
      <c r="C10875" s="33" t="s">
        <v>24786</v>
      </c>
      <c r="D10875" s="33" t="s">
        <v>17</v>
      </c>
      <c r="E10875" s="33" t="s">
        <v>18</v>
      </c>
      <c r="F10875" s="33" t="s">
        <v>19</v>
      </c>
      <c r="G10875" s="33" t="s">
        <v>158</v>
      </c>
      <c r="H10875" s="35">
        <v>87</v>
      </c>
      <c r="I10875" s="33" t="s">
        <v>21</v>
      </c>
      <c r="J10875" s="42">
        <v>44628</v>
      </c>
      <c r="K10875" s="33" t="s">
        <v>22</v>
      </c>
    </row>
    <row r="10876" spans="1:11">
      <c r="A10876" s="30" t="s">
        <v>24787</v>
      </c>
      <c r="B10876" s="30" t="s">
        <v>24788</v>
      </c>
      <c r="C10876" s="30" t="s">
        <v>190</v>
      </c>
      <c r="D10876" s="30" t="s">
        <v>17</v>
      </c>
      <c r="E10876" s="30" t="s">
        <v>26</v>
      </c>
      <c r="F10876" s="30" t="s">
        <v>27</v>
      </c>
      <c r="G10876" s="30" t="s">
        <v>20</v>
      </c>
      <c r="H10876" s="32">
        <v>108</v>
      </c>
      <c r="I10876" s="30" t="s">
        <v>21</v>
      </c>
      <c r="J10876" s="41">
        <v>44771</v>
      </c>
      <c r="K10876" s="30" t="s">
        <v>22</v>
      </c>
    </row>
    <row r="10877" spans="1:11">
      <c r="A10877" s="33" t="s">
        <v>24789</v>
      </c>
      <c r="B10877" s="33" t="s">
        <v>24790</v>
      </c>
      <c r="C10877" s="33" t="s">
        <v>5084</v>
      </c>
      <c r="D10877" s="33" t="s">
        <v>17</v>
      </c>
      <c r="E10877" s="33" t="s">
        <v>26</v>
      </c>
      <c r="F10877" s="33" t="s">
        <v>27</v>
      </c>
      <c r="G10877" s="33" t="s">
        <v>50</v>
      </c>
      <c r="H10877" s="35">
        <v>28</v>
      </c>
      <c r="I10877" s="33" t="s">
        <v>51</v>
      </c>
      <c r="J10877" s="42">
        <v>44651</v>
      </c>
      <c r="K10877" s="33" t="s">
        <v>22</v>
      </c>
    </row>
    <row r="10878" spans="1:11">
      <c r="A10878" s="30" t="s">
        <v>24791</v>
      </c>
      <c r="B10878" s="30" t="s">
        <v>24792</v>
      </c>
      <c r="C10878" s="30" t="s">
        <v>3655</v>
      </c>
      <c r="D10878" s="30" t="s">
        <v>17</v>
      </c>
      <c r="E10878" s="30" t="s">
        <v>18</v>
      </c>
      <c r="F10878" s="30" t="s">
        <v>19</v>
      </c>
      <c r="G10878" s="30" t="s">
        <v>158</v>
      </c>
      <c r="H10878" s="32">
        <v>4292</v>
      </c>
      <c r="I10878" s="30" t="s">
        <v>51</v>
      </c>
      <c r="J10878" s="41">
        <v>44827</v>
      </c>
      <c r="K10878" s="30" t="s">
        <v>22</v>
      </c>
    </row>
    <row r="10879" spans="1:11">
      <c r="A10879" s="33" t="s">
        <v>24793</v>
      </c>
      <c r="B10879" s="33" t="s">
        <v>24794</v>
      </c>
      <c r="C10879" s="33" t="s">
        <v>1801</v>
      </c>
      <c r="D10879" s="33" t="s">
        <v>17</v>
      </c>
      <c r="E10879" s="33" t="s">
        <v>26</v>
      </c>
      <c r="F10879" s="33" t="s">
        <v>27</v>
      </c>
      <c r="G10879" s="33" t="s">
        <v>140</v>
      </c>
      <c r="H10879" s="35">
        <v>122</v>
      </c>
      <c r="I10879" s="33" t="s">
        <v>51</v>
      </c>
      <c r="J10879" s="42">
        <v>44699</v>
      </c>
      <c r="K10879" s="33" t="s">
        <v>22</v>
      </c>
    </row>
    <row r="10880" spans="1:11">
      <c r="A10880" s="30" t="s">
        <v>24795</v>
      </c>
      <c r="B10880" s="30" t="s">
        <v>24796</v>
      </c>
      <c r="C10880" s="30" t="s">
        <v>190</v>
      </c>
      <c r="D10880" s="30" t="s">
        <v>17</v>
      </c>
      <c r="E10880" s="30" t="s">
        <v>26</v>
      </c>
      <c r="F10880" s="30" t="s">
        <v>27</v>
      </c>
      <c r="G10880" s="30" t="s">
        <v>20</v>
      </c>
      <c r="H10880" s="32">
        <v>12</v>
      </c>
      <c r="I10880" s="30" t="s">
        <v>21</v>
      </c>
      <c r="J10880" s="41">
        <v>44721</v>
      </c>
      <c r="K10880" s="30" t="s">
        <v>22</v>
      </c>
    </row>
    <row r="10881" spans="1:11">
      <c r="A10881" s="33" t="s">
        <v>24797</v>
      </c>
      <c r="B10881" s="33" t="s">
        <v>24798</v>
      </c>
      <c r="C10881" s="33" t="s">
        <v>10300</v>
      </c>
      <c r="D10881" s="33" t="s">
        <v>17</v>
      </c>
      <c r="E10881" s="33" t="s">
        <v>18</v>
      </c>
      <c r="F10881" s="33" t="s">
        <v>19</v>
      </c>
      <c r="G10881" s="33" t="s">
        <v>20</v>
      </c>
      <c r="H10881" s="35">
        <v>260</v>
      </c>
      <c r="I10881" s="33" t="s">
        <v>21</v>
      </c>
      <c r="J10881" s="42">
        <v>44778</v>
      </c>
      <c r="K10881" s="33" t="s">
        <v>22</v>
      </c>
    </row>
    <row r="10882" spans="1:11">
      <c r="A10882" s="30" t="s">
        <v>24799</v>
      </c>
      <c r="B10882" s="30" t="s">
        <v>24800</v>
      </c>
      <c r="C10882" s="30" t="s">
        <v>2472</v>
      </c>
      <c r="D10882" s="30" t="s">
        <v>17</v>
      </c>
      <c r="E10882" s="30" t="s">
        <v>26</v>
      </c>
      <c r="F10882" s="30" t="s">
        <v>27</v>
      </c>
      <c r="G10882" s="30" t="s">
        <v>20</v>
      </c>
      <c r="H10882" s="32">
        <v>48</v>
      </c>
      <c r="I10882" s="30" t="s">
        <v>21</v>
      </c>
      <c r="J10882" s="41">
        <v>44900</v>
      </c>
      <c r="K10882" s="30" t="s">
        <v>22</v>
      </c>
    </row>
    <row r="10883" spans="1:11">
      <c r="A10883" s="33" t="s">
        <v>24801</v>
      </c>
      <c r="B10883" s="33" t="s">
        <v>24802</v>
      </c>
      <c r="C10883" s="33" t="s">
        <v>310</v>
      </c>
      <c r="D10883" s="33" t="s">
        <v>17</v>
      </c>
      <c r="E10883" s="33" t="s">
        <v>212</v>
      </c>
      <c r="F10883" s="33" t="s">
        <v>213</v>
      </c>
      <c r="G10883" s="33" t="s">
        <v>20</v>
      </c>
      <c r="H10883" s="35">
        <v>104</v>
      </c>
      <c r="I10883" s="33" t="s">
        <v>21</v>
      </c>
      <c r="J10883" s="42">
        <v>44676</v>
      </c>
      <c r="K10883" s="33" t="s">
        <v>22</v>
      </c>
    </row>
    <row r="10884" spans="1:11">
      <c r="A10884" s="30" t="s">
        <v>24803</v>
      </c>
      <c r="B10884" s="30" t="s">
        <v>24804</v>
      </c>
      <c r="C10884" s="30" t="s">
        <v>11366</v>
      </c>
      <c r="D10884" s="30" t="s">
        <v>17</v>
      </c>
      <c r="E10884" s="30" t="s">
        <v>31</v>
      </c>
      <c r="F10884" s="30" t="s">
        <v>32</v>
      </c>
      <c r="G10884" s="30" t="s">
        <v>112</v>
      </c>
      <c r="H10884" s="32">
        <v>0</v>
      </c>
      <c r="I10884" s="30" t="s">
        <v>21</v>
      </c>
      <c r="J10884" s="41">
        <v>44838</v>
      </c>
      <c r="K10884" s="30" t="s">
        <v>22</v>
      </c>
    </row>
    <row r="10885" spans="1:11">
      <c r="A10885" s="33" t="s">
        <v>24805</v>
      </c>
      <c r="B10885" s="33" t="s">
        <v>24806</v>
      </c>
      <c r="C10885" s="33" t="s">
        <v>7831</v>
      </c>
      <c r="D10885" s="33" t="s">
        <v>17</v>
      </c>
      <c r="E10885" s="33" t="s">
        <v>330</v>
      </c>
      <c r="F10885" s="33" t="s">
        <v>331</v>
      </c>
      <c r="G10885" s="33" t="s">
        <v>106</v>
      </c>
      <c r="H10885" s="35">
        <v>80</v>
      </c>
      <c r="I10885" s="33" t="s">
        <v>21</v>
      </c>
      <c r="J10885" s="42">
        <v>44755</v>
      </c>
      <c r="K10885" s="33" t="s">
        <v>22</v>
      </c>
    </row>
    <row r="10886" spans="1:11">
      <c r="A10886" s="30" t="s">
        <v>24807</v>
      </c>
      <c r="B10886" s="30" t="s">
        <v>24808</v>
      </c>
      <c r="C10886" s="30" t="s">
        <v>24809</v>
      </c>
      <c r="D10886" s="30" t="s">
        <v>17</v>
      </c>
      <c r="E10886" s="30" t="s">
        <v>26</v>
      </c>
      <c r="F10886" s="30" t="s">
        <v>27</v>
      </c>
      <c r="G10886" s="30" t="s">
        <v>112</v>
      </c>
      <c r="H10886" s="32">
        <v>0</v>
      </c>
      <c r="I10886" s="30" t="s">
        <v>21</v>
      </c>
      <c r="J10886" s="41">
        <v>44638</v>
      </c>
      <c r="K10886" s="30" t="s">
        <v>22</v>
      </c>
    </row>
    <row r="10887" spans="1:11">
      <c r="A10887" s="33" t="s">
        <v>24810</v>
      </c>
      <c r="B10887" s="33" t="s">
        <v>24811</v>
      </c>
      <c r="C10887" s="33" t="s">
        <v>2511</v>
      </c>
      <c r="D10887" s="33" t="s">
        <v>17</v>
      </c>
      <c r="E10887" s="33" t="s">
        <v>45</v>
      </c>
      <c r="F10887" s="33" t="s">
        <v>46</v>
      </c>
      <c r="G10887" s="33" t="s">
        <v>50</v>
      </c>
      <c r="H10887" s="35">
        <v>1134</v>
      </c>
      <c r="I10887" s="33" t="s">
        <v>51</v>
      </c>
      <c r="J10887" s="42">
        <v>44663</v>
      </c>
      <c r="K10887" s="33" t="s">
        <v>22</v>
      </c>
    </row>
    <row r="10888" spans="1:11">
      <c r="A10888" s="30" t="s">
        <v>24812</v>
      </c>
      <c r="B10888" s="30" t="s">
        <v>24813</v>
      </c>
      <c r="C10888" s="30" t="s">
        <v>7153</v>
      </c>
      <c r="D10888" s="30" t="s">
        <v>17</v>
      </c>
      <c r="E10888" s="30" t="s">
        <v>26</v>
      </c>
      <c r="F10888" s="30" t="s">
        <v>27</v>
      </c>
      <c r="G10888" s="30" t="s">
        <v>20</v>
      </c>
      <c r="H10888" s="32">
        <v>32</v>
      </c>
      <c r="I10888" s="30" t="s">
        <v>21</v>
      </c>
      <c r="J10888" s="41">
        <v>44650</v>
      </c>
      <c r="K10888" s="30" t="s">
        <v>22</v>
      </c>
    </row>
    <row r="10889" spans="1:11">
      <c r="A10889" s="33" t="s">
        <v>24814</v>
      </c>
      <c r="B10889" s="33" t="s">
        <v>24815</v>
      </c>
      <c r="C10889" s="33" t="s">
        <v>6607</v>
      </c>
      <c r="D10889" s="33" t="s">
        <v>17</v>
      </c>
      <c r="E10889" s="33" t="s">
        <v>26</v>
      </c>
      <c r="F10889" s="33" t="s">
        <v>27</v>
      </c>
      <c r="G10889" s="33" t="s">
        <v>20</v>
      </c>
      <c r="H10889" s="35">
        <v>5</v>
      </c>
      <c r="I10889" s="33" t="s">
        <v>21</v>
      </c>
      <c r="J10889" s="42">
        <v>44656</v>
      </c>
      <c r="K10889" s="33" t="s">
        <v>22</v>
      </c>
    </row>
    <row r="10890" spans="1:11">
      <c r="A10890" s="30" t="s">
        <v>24816</v>
      </c>
      <c r="B10890" s="30" t="s">
        <v>24817</v>
      </c>
      <c r="C10890" s="30" t="s">
        <v>3698</v>
      </c>
      <c r="D10890" s="30" t="s">
        <v>17</v>
      </c>
      <c r="E10890" s="30" t="s">
        <v>31</v>
      </c>
      <c r="F10890" s="30" t="s">
        <v>32</v>
      </c>
      <c r="G10890" s="30" t="s">
        <v>20</v>
      </c>
      <c r="H10890" s="32">
        <v>12</v>
      </c>
      <c r="I10890" s="30" t="s">
        <v>21</v>
      </c>
      <c r="J10890" s="41">
        <v>44593</v>
      </c>
      <c r="K10890" s="30" t="s">
        <v>22</v>
      </c>
    </row>
    <row r="10891" spans="1:11">
      <c r="A10891" s="33" t="s">
        <v>24818</v>
      </c>
      <c r="B10891" s="33" t="s">
        <v>24819</v>
      </c>
      <c r="C10891" s="33" t="s">
        <v>24820</v>
      </c>
      <c r="D10891" s="33" t="s">
        <v>17</v>
      </c>
      <c r="E10891" s="33" t="s">
        <v>26</v>
      </c>
      <c r="F10891" s="33" t="s">
        <v>27</v>
      </c>
      <c r="G10891" s="33" t="s">
        <v>20</v>
      </c>
      <c r="H10891" s="35">
        <v>25</v>
      </c>
      <c r="I10891" s="33" t="s">
        <v>21</v>
      </c>
      <c r="J10891" s="42">
        <v>44901</v>
      </c>
      <c r="K10891" s="33" t="s">
        <v>22</v>
      </c>
    </row>
    <row r="10892" spans="1:11">
      <c r="A10892" s="30" t="s">
        <v>24821</v>
      </c>
      <c r="B10892" s="30" t="s">
        <v>24822</v>
      </c>
      <c r="C10892" s="30" t="s">
        <v>3871</v>
      </c>
      <c r="D10892" s="30" t="s">
        <v>17</v>
      </c>
      <c r="E10892" s="30" t="s">
        <v>18</v>
      </c>
      <c r="F10892" s="30" t="s">
        <v>19</v>
      </c>
      <c r="G10892" s="30" t="s">
        <v>20</v>
      </c>
      <c r="H10892" s="32">
        <v>824</v>
      </c>
      <c r="I10892" s="30" t="s">
        <v>21</v>
      </c>
      <c r="J10892" s="41">
        <v>44825</v>
      </c>
      <c r="K10892" s="30" t="s">
        <v>22</v>
      </c>
    </row>
    <row r="10893" spans="1:11">
      <c r="A10893" s="33" t="s">
        <v>24823</v>
      </c>
      <c r="B10893" s="33" t="s">
        <v>24824</v>
      </c>
      <c r="C10893" s="33" t="s">
        <v>1498</v>
      </c>
      <c r="D10893" s="33" t="s">
        <v>17</v>
      </c>
      <c r="E10893" s="33" t="s">
        <v>26</v>
      </c>
      <c r="F10893" s="33" t="s">
        <v>27</v>
      </c>
      <c r="G10893" s="33" t="s">
        <v>20</v>
      </c>
      <c r="H10893" s="35">
        <v>48</v>
      </c>
      <c r="I10893" s="33" t="s">
        <v>21</v>
      </c>
      <c r="J10893" s="42">
        <v>44737</v>
      </c>
      <c r="K10893" s="33" t="s">
        <v>22</v>
      </c>
    </row>
    <row r="10894" spans="1:11">
      <c r="A10894" s="30" t="s">
        <v>24825</v>
      </c>
      <c r="B10894" s="30" t="s">
        <v>24826</v>
      </c>
      <c r="C10894" s="30" t="s">
        <v>190</v>
      </c>
      <c r="D10894" s="30" t="s">
        <v>17</v>
      </c>
      <c r="E10894" s="30" t="s">
        <v>26</v>
      </c>
      <c r="F10894" s="30" t="s">
        <v>27</v>
      </c>
      <c r="G10894" s="30" t="s">
        <v>106</v>
      </c>
      <c r="H10894" s="32">
        <v>3</v>
      </c>
      <c r="I10894" s="30" t="s">
        <v>21</v>
      </c>
      <c r="J10894" s="41">
        <v>44783</v>
      </c>
      <c r="K10894" s="30" t="s">
        <v>22</v>
      </c>
    </row>
    <row r="10895" spans="1:11">
      <c r="A10895" s="33" t="s">
        <v>24827</v>
      </c>
      <c r="B10895" s="33" t="s">
        <v>24828</v>
      </c>
      <c r="C10895" s="33" t="s">
        <v>1598</v>
      </c>
      <c r="D10895" s="33" t="s">
        <v>17</v>
      </c>
      <c r="E10895" s="33" t="s">
        <v>26</v>
      </c>
      <c r="F10895" s="33" t="s">
        <v>27</v>
      </c>
      <c r="G10895" s="33" t="s">
        <v>112</v>
      </c>
      <c r="H10895" s="35">
        <v>0</v>
      </c>
      <c r="I10895" s="33" t="s">
        <v>21</v>
      </c>
      <c r="J10895" s="42">
        <v>44665</v>
      </c>
      <c r="K10895" s="33" t="s">
        <v>22</v>
      </c>
    </row>
    <row r="10896" spans="1:11">
      <c r="A10896" s="30" t="s">
        <v>24829</v>
      </c>
      <c r="B10896" s="30" t="s">
        <v>24830</v>
      </c>
      <c r="C10896" s="30" t="s">
        <v>1469</v>
      </c>
      <c r="D10896" s="30" t="s">
        <v>17</v>
      </c>
      <c r="E10896" s="30" t="s">
        <v>18</v>
      </c>
      <c r="F10896" s="30" t="s">
        <v>19</v>
      </c>
      <c r="G10896" s="30" t="s">
        <v>20</v>
      </c>
      <c r="H10896" s="32">
        <v>132</v>
      </c>
      <c r="I10896" s="30" t="s">
        <v>21</v>
      </c>
      <c r="J10896" s="41">
        <v>44690</v>
      </c>
      <c r="K10896" s="30" t="s">
        <v>22</v>
      </c>
    </row>
    <row r="10897" spans="1:11">
      <c r="A10897" s="33" t="s">
        <v>24831</v>
      </c>
      <c r="B10897" s="33" t="s">
        <v>24832</v>
      </c>
      <c r="C10897" s="33" t="s">
        <v>1826</v>
      </c>
      <c r="D10897" s="33" t="s">
        <v>17</v>
      </c>
      <c r="E10897" s="33" t="s">
        <v>31</v>
      </c>
      <c r="F10897" s="33" t="s">
        <v>32</v>
      </c>
      <c r="G10897" s="33" t="s">
        <v>20</v>
      </c>
      <c r="H10897" s="35">
        <v>69</v>
      </c>
      <c r="I10897" s="33" t="s">
        <v>21</v>
      </c>
      <c r="J10897" s="42">
        <v>44707</v>
      </c>
      <c r="K10897" s="33" t="s">
        <v>22</v>
      </c>
    </row>
    <row r="10898" spans="1:11">
      <c r="A10898" s="30" t="s">
        <v>24833</v>
      </c>
      <c r="B10898" s="30" t="s">
        <v>24834</v>
      </c>
      <c r="C10898" s="30" t="s">
        <v>19803</v>
      </c>
      <c r="D10898" s="30" t="s">
        <v>17</v>
      </c>
      <c r="E10898" s="30" t="s">
        <v>26</v>
      </c>
      <c r="F10898" s="30" t="s">
        <v>27</v>
      </c>
      <c r="G10898" s="30" t="s">
        <v>20</v>
      </c>
      <c r="H10898" s="32">
        <v>42</v>
      </c>
      <c r="I10898" s="30" t="s">
        <v>21</v>
      </c>
      <c r="J10898" s="41">
        <v>44789</v>
      </c>
      <c r="K10898" s="30" t="s">
        <v>22</v>
      </c>
    </row>
    <row r="10899" spans="1:11">
      <c r="A10899" s="33" t="s">
        <v>24835</v>
      </c>
      <c r="B10899" s="33" t="s">
        <v>24836</v>
      </c>
      <c r="C10899" s="33" t="s">
        <v>24837</v>
      </c>
      <c r="D10899" s="33" t="s">
        <v>17</v>
      </c>
      <c r="E10899" s="33" t="s">
        <v>67</v>
      </c>
      <c r="F10899" s="33" t="s">
        <v>68</v>
      </c>
      <c r="G10899" s="33" t="s">
        <v>50</v>
      </c>
      <c r="H10899" s="35">
        <v>100</v>
      </c>
      <c r="I10899" s="33" t="s">
        <v>51</v>
      </c>
      <c r="J10899" s="42">
        <v>44666</v>
      </c>
      <c r="K10899" s="33" t="s">
        <v>22</v>
      </c>
    </row>
    <row r="10900" spans="1:11">
      <c r="A10900" s="30" t="s">
        <v>24838</v>
      </c>
      <c r="B10900" s="30" t="s">
        <v>24839</v>
      </c>
      <c r="C10900" s="30" t="s">
        <v>24840</v>
      </c>
      <c r="D10900" s="30" t="s">
        <v>17</v>
      </c>
      <c r="E10900" s="30" t="s">
        <v>67</v>
      </c>
      <c r="F10900" s="30" t="s">
        <v>68</v>
      </c>
      <c r="G10900" s="30" t="s">
        <v>158</v>
      </c>
      <c r="H10900" s="32">
        <v>16</v>
      </c>
      <c r="I10900" s="30" t="s">
        <v>51</v>
      </c>
      <c r="J10900" s="41">
        <v>44637</v>
      </c>
      <c r="K10900" s="30" t="s">
        <v>22</v>
      </c>
    </row>
    <row r="10901" spans="1:11">
      <c r="A10901" s="33" t="s">
        <v>24841</v>
      </c>
      <c r="B10901" s="33" t="s">
        <v>24842</v>
      </c>
      <c r="C10901" s="33" t="s">
        <v>7759</v>
      </c>
      <c r="D10901" s="33" t="s">
        <v>17</v>
      </c>
      <c r="E10901" s="33" t="s">
        <v>31</v>
      </c>
      <c r="F10901" s="33" t="s">
        <v>32</v>
      </c>
      <c r="G10901" s="33" t="s">
        <v>158</v>
      </c>
      <c r="H10901" s="35">
        <v>9</v>
      </c>
      <c r="I10901" s="33" t="s">
        <v>21</v>
      </c>
      <c r="J10901" s="42">
        <v>44582</v>
      </c>
      <c r="K10901" s="33" t="s">
        <v>22</v>
      </c>
    </row>
    <row r="10902" spans="1:11">
      <c r="A10902" s="30" t="s">
        <v>24843</v>
      </c>
      <c r="B10902" s="30" t="s">
        <v>24844</v>
      </c>
      <c r="C10902" s="30" t="s">
        <v>231</v>
      </c>
      <c r="D10902" s="30" t="s">
        <v>17</v>
      </c>
      <c r="E10902" s="30" t="s">
        <v>26</v>
      </c>
      <c r="F10902" s="30" t="s">
        <v>27</v>
      </c>
      <c r="G10902" s="30" t="s">
        <v>20</v>
      </c>
      <c r="H10902" s="32">
        <v>21</v>
      </c>
      <c r="I10902" s="30" t="s">
        <v>21</v>
      </c>
      <c r="J10902" s="41">
        <v>44648</v>
      </c>
      <c r="K10902" s="30" t="s">
        <v>22</v>
      </c>
    </row>
    <row r="10903" spans="1:11">
      <c r="A10903" s="33" t="s">
        <v>24845</v>
      </c>
      <c r="B10903" s="33" t="s">
        <v>24846</v>
      </c>
      <c r="C10903" s="33" t="s">
        <v>136</v>
      </c>
      <c r="D10903" s="33" t="s">
        <v>17</v>
      </c>
      <c r="E10903" s="33" t="s">
        <v>26</v>
      </c>
      <c r="F10903" s="33" t="s">
        <v>27</v>
      </c>
      <c r="G10903" s="33" t="s">
        <v>20</v>
      </c>
      <c r="H10903" s="35">
        <v>32</v>
      </c>
      <c r="I10903" s="33" t="s">
        <v>21</v>
      </c>
      <c r="J10903" s="42">
        <v>44858</v>
      </c>
      <c r="K10903" s="33" t="s">
        <v>22</v>
      </c>
    </row>
    <row r="10904" spans="1:11">
      <c r="A10904" s="30" t="s">
        <v>24847</v>
      </c>
      <c r="B10904" s="30" t="s">
        <v>24848</v>
      </c>
      <c r="C10904" s="30" t="s">
        <v>10569</v>
      </c>
      <c r="D10904" s="30" t="s">
        <v>17</v>
      </c>
      <c r="E10904" s="30" t="s">
        <v>45</v>
      </c>
      <c r="F10904" s="30" t="s">
        <v>46</v>
      </c>
      <c r="G10904" s="30" t="s">
        <v>20</v>
      </c>
      <c r="H10904" s="32">
        <v>241</v>
      </c>
      <c r="I10904" s="30" t="s">
        <v>21</v>
      </c>
      <c r="J10904" s="41">
        <v>44693</v>
      </c>
      <c r="K10904" s="30" t="s">
        <v>22</v>
      </c>
    </row>
    <row r="10905" spans="1:11">
      <c r="A10905" s="33" t="s">
        <v>24849</v>
      </c>
      <c r="B10905" s="33" t="s">
        <v>24850</v>
      </c>
      <c r="C10905" s="33" t="s">
        <v>75</v>
      </c>
      <c r="D10905" s="33" t="s">
        <v>17</v>
      </c>
      <c r="E10905" s="33" t="s">
        <v>26</v>
      </c>
      <c r="F10905" s="33" t="s">
        <v>27</v>
      </c>
      <c r="G10905" s="33" t="s">
        <v>20</v>
      </c>
      <c r="H10905" s="35">
        <v>6</v>
      </c>
      <c r="I10905" s="33" t="s">
        <v>21</v>
      </c>
      <c r="J10905" s="42">
        <v>44769</v>
      </c>
      <c r="K10905" s="33" t="s">
        <v>22</v>
      </c>
    </row>
    <row r="10906" spans="1:11">
      <c r="A10906" s="30" t="s">
        <v>24851</v>
      </c>
      <c r="B10906" s="30" t="s">
        <v>24852</v>
      </c>
      <c r="C10906" s="30" t="s">
        <v>2756</v>
      </c>
      <c r="D10906" s="30" t="s">
        <v>17</v>
      </c>
      <c r="E10906" s="30" t="s">
        <v>31</v>
      </c>
      <c r="F10906" s="30" t="s">
        <v>32</v>
      </c>
      <c r="G10906" s="30" t="s">
        <v>158</v>
      </c>
      <c r="H10906" s="32">
        <v>240</v>
      </c>
      <c r="I10906" s="30" t="s">
        <v>51</v>
      </c>
      <c r="J10906" s="41">
        <v>44764</v>
      </c>
      <c r="K10906" s="30" t="s">
        <v>22</v>
      </c>
    </row>
    <row r="10907" spans="1:11">
      <c r="A10907" s="33" t="s">
        <v>24853</v>
      </c>
      <c r="B10907" s="33" t="s">
        <v>24854</v>
      </c>
      <c r="C10907" s="33" t="s">
        <v>3698</v>
      </c>
      <c r="D10907" s="33" t="s">
        <v>17</v>
      </c>
      <c r="E10907" s="33" t="s">
        <v>18</v>
      </c>
      <c r="F10907" s="33" t="s">
        <v>19</v>
      </c>
      <c r="G10907" s="33" t="s">
        <v>158</v>
      </c>
      <c r="H10907" s="35">
        <v>15</v>
      </c>
      <c r="I10907" s="33" t="s">
        <v>21</v>
      </c>
      <c r="J10907" s="42">
        <v>44797</v>
      </c>
      <c r="K10907" s="33" t="s">
        <v>22</v>
      </c>
    </row>
    <row r="10908" spans="1:11">
      <c r="A10908" s="30" t="s">
        <v>24855</v>
      </c>
      <c r="B10908" s="30" t="s">
        <v>24856</v>
      </c>
      <c r="C10908" s="30" t="s">
        <v>2472</v>
      </c>
      <c r="D10908" s="30" t="s">
        <v>17</v>
      </c>
      <c r="E10908" s="30" t="s">
        <v>18</v>
      </c>
      <c r="F10908" s="30" t="s">
        <v>19</v>
      </c>
      <c r="G10908" s="30" t="s">
        <v>20</v>
      </c>
      <c r="H10908" s="32">
        <v>6102</v>
      </c>
      <c r="I10908" s="30" t="s">
        <v>21</v>
      </c>
      <c r="J10908" s="41">
        <v>44718</v>
      </c>
      <c r="K10908" s="30" t="s">
        <v>22</v>
      </c>
    </row>
    <row r="10909" spans="1:11">
      <c r="A10909" s="33" t="s">
        <v>24857</v>
      </c>
      <c r="B10909" s="33" t="s">
        <v>24858</v>
      </c>
      <c r="C10909" s="33" t="s">
        <v>24859</v>
      </c>
      <c r="D10909" s="33" t="s">
        <v>17</v>
      </c>
      <c r="E10909" s="33" t="s">
        <v>31</v>
      </c>
      <c r="F10909" s="33" t="s">
        <v>32</v>
      </c>
      <c r="G10909" s="33" t="s">
        <v>20</v>
      </c>
      <c r="H10909" s="35">
        <v>92</v>
      </c>
      <c r="I10909" s="33" t="s">
        <v>21</v>
      </c>
      <c r="J10909" s="42">
        <v>44727</v>
      </c>
      <c r="K10909" s="33" t="s">
        <v>22</v>
      </c>
    </row>
    <row r="10910" spans="1:11">
      <c r="A10910" s="30" t="s">
        <v>24860</v>
      </c>
      <c r="B10910" s="30" t="s">
        <v>24861</v>
      </c>
      <c r="C10910" s="30" t="s">
        <v>24862</v>
      </c>
      <c r="D10910" s="30" t="s">
        <v>17</v>
      </c>
      <c r="E10910" s="30" t="s">
        <v>18</v>
      </c>
      <c r="F10910" s="30" t="s">
        <v>19</v>
      </c>
      <c r="G10910" s="30" t="s">
        <v>50</v>
      </c>
      <c r="H10910" s="32">
        <v>790</v>
      </c>
      <c r="I10910" s="30" t="s">
        <v>51</v>
      </c>
      <c r="J10910" s="41">
        <v>44666</v>
      </c>
      <c r="K10910" s="30" t="s">
        <v>22</v>
      </c>
    </row>
    <row r="10911" spans="1:11">
      <c r="A10911" s="33" t="s">
        <v>24863</v>
      </c>
      <c r="B10911" s="33" t="s">
        <v>24864</v>
      </c>
      <c r="C10911" s="33" t="s">
        <v>12750</v>
      </c>
      <c r="D10911" s="33" t="s">
        <v>17</v>
      </c>
      <c r="E10911" s="33" t="s">
        <v>18</v>
      </c>
      <c r="F10911" s="33" t="s">
        <v>19</v>
      </c>
      <c r="G10911" s="33" t="s">
        <v>158</v>
      </c>
      <c r="H10911" s="35">
        <v>312</v>
      </c>
      <c r="I10911" s="33" t="s">
        <v>51</v>
      </c>
      <c r="J10911" s="42">
        <v>44673</v>
      </c>
      <c r="K10911" s="33" t="s">
        <v>22</v>
      </c>
    </row>
    <row r="10912" spans="1:11">
      <c r="A10912" s="30" t="s">
        <v>24865</v>
      </c>
      <c r="B10912" s="30" t="s">
        <v>24866</v>
      </c>
      <c r="C10912" s="30" t="s">
        <v>3944</v>
      </c>
      <c r="D10912" s="30" t="s">
        <v>17</v>
      </c>
      <c r="E10912" s="30" t="s">
        <v>31</v>
      </c>
      <c r="F10912" s="30" t="s">
        <v>32</v>
      </c>
      <c r="G10912" s="30" t="s">
        <v>140</v>
      </c>
      <c r="H10912" s="32">
        <v>100</v>
      </c>
      <c r="I10912" s="30" t="s">
        <v>51</v>
      </c>
      <c r="J10912" s="41">
        <v>44587</v>
      </c>
      <c r="K10912" s="30" t="s">
        <v>22</v>
      </c>
    </row>
    <row r="10913" spans="1:11">
      <c r="A10913" s="33" t="s">
        <v>24867</v>
      </c>
      <c r="B10913" s="33" t="s">
        <v>24868</v>
      </c>
      <c r="C10913" s="33" t="s">
        <v>1305</v>
      </c>
      <c r="D10913" s="33" t="s">
        <v>17</v>
      </c>
      <c r="E10913" s="33" t="s">
        <v>31</v>
      </c>
      <c r="F10913" s="33" t="s">
        <v>32</v>
      </c>
      <c r="G10913" s="33" t="s">
        <v>158</v>
      </c>
      <c r="H10913" s="35">
        <v>68</v>
      </c>
      <c r="I10913" s="33" t="s">
        <v>21</v>
      </c>
      <c r="J10913" s="42">
        <v>44924</v>
      </c>
      <c r="K10913" s="33" t="s">
        <v>22</v>
      </c>
    </row>
    <row r="10914" spans="1:11">
      <c r="A10914" s="30" t="s">
        <v>24869</v>
      </c>
      <c r="B10914" s="30" t="s">
        <v>24870</v>
      </c>
      <c r="C10914" s="30" t="s">
        <v>187</v>
      </c>
      <c r="D10914" s="30" t="s">
        <v>17</v>
      </c>
      <c r="E10914" s="30" t="s">
        <v>26</v>
      </c>
      <c r="F10914" s="30" t="s">
        <v>27</v>
      </c>
      <c r="G10914" s="30" t="s">
        <v>50</v>
      </c>
      <c r="H10914" s="32">
        <v>30</v>
      </c>
      <c r="I10914" s="30" t="s">
        <v>51</v>
      </c>
      <c r="J10914" s="41">
        <v>44835</v>
      </c>
      <c r="K10914" s="30" t="s">
        <v>22</v>
      </c>
    </row>
    <row r="10915" spans="1:11">
      <c r="A10915" s="33" t="s">
        <v>24871</v>
      </c>
      <c r="B10915" s="33" t="s">
        <v>24872</v>
      </c>
      <c r="C10915" s="33" t="s">
        <v>24873</v>
      </c>
      <c r="D10915" s="33" t="s">
        <v>17</v>
      </c>
      <c r="E10915" s="33" t="s">
        <v>31</v>
      </c>
      <c r="F10915" s="33" t="s">
        <v>32</v>
      </c>
      <c r="G10915" s="33" t="s">
        <v>50</v>
      </c>
      <c r="H10915" s="35">
        <v>128</v>
      </c>
      <c r="I10915" s="33" t="s">
        <v>51</v>
      </c>
      <c r="J10915" s="42">
        <v>44683</v>
      </c>
      <c r="K10915" s="33" t="s">
        <v>22</v>
      </c>
    </row>
    <row r="10916" spans="1:11">
      <c r="A10916" s="30" t="s">
        <v>24874</v>
      </c>
      <c r="B10916" s="30" t="s">
        <v>24875</v>
      </c>
      <c r="C10916" s="30" t="s">
        <v>4315</v>
      </c>
      <c r="D10916" s="30" t="s">
        <v>17</v>
      </c>
      <c r="E10916" s="30" t="s">
        <v>18</v>
      </c>
      <c r="F10916" s="30" t="s">
        <v>19</v>
      </c>
      <c r="G10916" s="30" t="s">
        <v>140</v>
      </c>
      <c r="H10916" s="32">
        <v>330</v>
      </c>
      <c r="I10916" s="30" t="s">
        <v>51</v>
      </c>
      <c r="J10916" s="41">
        <v>44721</v>
      </c>
      <c r="K10916" s="30" t="s">
        <v>22</v>
      </c>
    </row>
    <row r="10917" spans="1:11">
      <c r="A10917" s="33" t="s">
        <v>24876</v>
      </c>
      <c r="B10917" s="33" t="s">
        <v>24877</v>
      </c>
      <c r="C10917" s="33" t="s">
        <v>78</v>
      </c>
      <c r="D10917" s="33" t="s">
        <v>17</v>
      </c>
      <c r="E10917" s="33" t="s">
        <v>18</v>
      </c>
      <c r="F10917" s="33" t="s">
        <v>19</v>
      </c>
      <c r="G10917" s="33" t="s">
        <v>50</v>
      </c>
      <c r="H10917" s="35">
        <v>228</v>
      </c>
      <c r="I10917" s="33" t="s">
        <v>51</v>
      </c>
      <c r="J10917" s="42">
        <v>44889</v>
      </c>
      <c r="K10917" s="33" t="s">
        <v>22</v>
      </c>
    </row>
    <row r="10918" spans="1:11">
      <c r="A10918" s="30" t="s">
        <v>24878</v>
      </c>
      <c r="B10918" s="30" t="s">
        <v>24879</v>
      </c>
      <c r="C10918" s="30" t="s">
        <v>178</v>
      </c>
      <c r="D10918" s="30" t="s">
        <v>17</v>
      </c>
      <c r="E10918" s="30" t="s">
        <v>26</v>
      </c>
      <c r="F10918" s="30" t="s">
        <v>27</v>
      </c>
      <c r="G10918" s="30" t="s">
        <v>20</v>
      </c>
      <c r="H10918" s="32">
        <v>36</v>
      </c>
      <c r="I10918" s="30" t="s">
        <v>21</v>
      </c>
      <c r="J10918" s="41">
        <v>44656</v>
      </c>
      <c r="K10918" s="30" t="s">
        <v>22</v>
      </c>
    </row>
    <row r="10919" spans="1:11">
      <c r="A10919" s="33" t="s">
        <v>24880</v>
      </c>
      <c r="B10919" s="33" t="s">
        <v>24881</v>
      </c>
      <c r="C10919" s="33" t="s">
        <v>899</v>
      </c>
      <c r="D10919" s="33" t="s">
        <v>17</v>
      </c>
      <c r="E10919" s="33" t="s">
        <v>26</v>
      </c>
      <c r="F10919" s="33" t="s">
        <v>27</v>
      </c>
      <c r="G10919" s="33" t="s">
        <v>20</v>
      </c>
      <c r="H10919" s="35">
        <v>28</v>
      </c>
      <c r="I10919" s="33" t="s">
        <v>21</v>
      </c>
      <c r="J10919" s="42">
        <v>44613</v>
      </c>
      <c r="K10919" s="33" t="s">
        <v>22</v>
      </c>
    </row>
    <row r="10920" spans="1:11">
      <c r="A10920" s="30" t="s">
        <v>24882</v>
      </c>
      <c r="B10920" s="30" t="s">
        <v>24883</v>
      </c>
      <c r="C10920" s="30" t="s">
        <v>379</v>
      </c>
      <c r="D10920" s="30" t="s">
        <v>17</v>
      </c>
      <c r="E10920" s="30" t="s">
        <v>26</v>
      </c>
      <c r="F10920" s="30" t="s">
        <v>27</v>
      </c>
      <c r="G10920" s="30" t="s">
        <v>50</v>
      </c>
      <c r="H10920" s="32">
        <v>220</v>
      </c>
      <c r="I10920" s="30" t="s">
        <v>51</v>
      </c>
      <c r="J10920" s="41">
        <v>44566</v>
      </c>
      <c r="K10920" s="30" t="s">
        <v>22</v>
      </c>
    </row>
    <row r="10921" spans="1:11">
      <c r="A10921" s="33" t="s">
        <v>24884</v>
      </c>
      <c r="B10921" s="33" t="s">
        <v>24885</v>
      </c>
      <c r="C10921" s="33" t="s">
        <v>149</v>
      </c>
      <c r="D10921" s="33" t="s">
        <v>17</v>
      </c>
      <c r="E10921" s="33" t="s">
        <v>26</v>
      </c>
      <c r="F10921" s="33" t="s">
        <v>27</v>
      </c>
      <c r="G10921" s="33" t="s">
        <v>20</v>
      </c>
      <c r="H10921" s="35">
        <v>159</v>
      </c>
      <c r="I10921" s="33" t="s">
        <v>21</v>
      </c>
      <c r="J10921" s="42">
        <v>44706</v>
      </c>
      <c r="K10921" s="33" t="s">
        <v>22</v>
      </c>
    </row>
    <row r="10922" spans="1:11">
      <c r="A10922" s="30" t="s">
        <v>24886</v>
      </c>
      <c r="B10922" s="30" t="s">
        <v>24887</v>
      </c>
      <c r="C10922" s="30" t="s">
        <v>6202</v>
      </c>
      <c r="D10922" s="30" t="s">
        <v>17</v>
      </c>
      <c r="E10922" s="30" t="s">
        <v>26</v>
      </c>
      <c r="F10922" s="30" t="s">
        <v>27</v>
      </c>
      <c r="G10922" s="30" t="s">
        <v>20</v>
      </c>
      <c r="H10922" s="32">
        <v>175</v>
      </c>
      <c r="I10922" s="30" t="s">
        <v>21</v>
      </c>
      <c r="J10922" s="41">
        <v>44608</v>
      </c>
      <c r="K10922" s="30" t="s">
        <v>22</v>
      </c>
    </row>
    <row r="10923" spans="1:11">
      <c r="A10923" s="33" t="s">
        <v>24888</v>
      </c>
      <c r="B10923" s="33" t="s">
        <v>24889</v>
      </c>
      <c r="C10923" s="33" t="s">
        <v>310</v>
      </c>
      <c r="D10923" s="33" t="s">
        <v>17</v>
      </c>
      <c r="E10923" s="33" t="s">
        <v>26</v>
      </c>
      <c r="F10923" s="33" t="s">
        <v>27</v>
      </c>
      <c r="G10923" s="33" t="s">
        <v>20</v>
      </c>
      <c r="H10923" s="35">
        <v>56</v>
      </c>
      <c r="I10923" s="33" t="s">
        <v>21</v>
      </c>
      <c r="J10923" s="42">
        <v>44880</v>
      </c>
      <c r="K10923" s="33" t="s">
        <v>22</v>
      </c>
    </row>
    <row r="10924" spans="1:11">
      <c r="A10924" s="30" t="s">
        <v>24890</v>
      </c>
      <c r="B10924" s="30" t="s">
        <v>24891</v>
      </c>
      <c r="C10924" s="30" t="s">
        <v>1090</v>
      </c>
      <c r="D10924" s="30" t="s">
        <v>17</v>
      </c>
      <c r="E10924" s="30" t="s">
        <v>26</v>
      </c>
      <c r="F10924" s="30" t="s">
        <v>27</v>
      </c>
      <c r="G10924" s="30" t="s">
        <v>20</v>
      </c>
      <c r="H10924" s="32">
        <v>21</v>
      </c>
      <c r="I10924" s="30" t="s">
        <v>21</v>
      </c>
      <c r="J10924" s="41">
        <v>44710</v>
      </c>
      <c r="K10924" s="30" t="s">
        <v>22</v>
      </c>
    </row>
    <row r="10925" spans="1:11">
      <c r="A10925" s="33" t="s">
        <v>24892</v>
      </c>
      <c r="B10925" s="33" t="s">
        <v>24893</v>
      </c>
      <c r="C10925" s="33" t="s">
        <v>187</v>
      </c>
      <c r="D10925" s="33" t="s">
        <v>17</v>
      </c>
      <c r="E10925" s="33" t="s">
        <v>67</v>
      </c>
      <c r="F10925" s="33" t="s">
        <v>68</v>
      </c>
      <c r="G10925" s="33" t="s">
        <v>50</v>
      </c>
      <c r="H10925" s="35">
        <v>127</v>
      </c>
      <c r="I10925" s="33" t="s">
        <v>51</v>
      </c>
      <c r="J10925" s="42">
        <v>44679</v>
      </c>
      <c r="K10925" s="33" t="s">
        <v>22</v>
      </c>
    </row>
    <row r="10926" spans="1:11">
      <c r="A10926" s="30" t="s">
        <v>24894</v>
      </c>
      <c r="B10926" s="30" t="s">
        <v>24895</v>
      </c>
      <c r="C10926" s="30" t="s">
        <v>23737</v>
      </c>
      <c r="D10926" s="30" t="s">
        <v>17</v>
      </c>
      <c r="E10926" s="30" t="s">
        <v>18</v>
      </c>
      <c r="F10926" s="30" t="s">
        <v>19</v>
      </c>
      <c r="G10926" s="30" t="s">
        <v>50</v>
      </c>
      <c r="H10926" s="32">
        <v>60</v>
      </c>
      <c r="I10926" s="30" t="s">
        <v>51</v>
      </c>
      <c r="J10926" s="41">
        <v>44805</v>
      </c>
      <c r="K10926" s="30" t="s">
        <v>22</v>
      </c>
    </row>
    <row r="10927" spans="1:11">
      <c r="A10927" s="33" t="s">
        <v>24896</v>
      </c>
      <c r="B10927" s="33" t="s">
        <v>24897</v>
      </c>
      <c r="C10927" s="33" t="s">
        <v>3655</v>
      </c>
      <c r="D10927" s="33" t="s">
        <v>17</v>
      </c>
      <c r="E10927" s="33" t="s">
        <v>26</v>
      </c>
      <c r="F10927" s="33" t="s">
        <v>27</v>
      </c>
      <c r="G10927" s="33" t="s">
        <v>140</v>
      </c>
      <c r="H10927" s="35">
        <v>320</v>
      </c>
      <c r="I10927" s="33" t="s">
        <v>51</v>
      </c>
      <c r="J10927" s="42">
        <v>44729</v>
      </c>
      <c r="K10927" s="33" t="s">
        <v>22</v>
      </c>
    </row>
    <row r="10928" spans="1:11">
      <c r="A10928" s="30" t="s">
        <v>24898</v>
      </c>
      <c r="B10928" s="30" t="s">
        <v>24899</v>
      </c>
      <c r="C10928" s="30" t="s">
        <v>647</v>
      </c>
      <c r="D10928" s="30" t="s">
        <v>17</v>
      </c>
      <c r="E10928" s="30" t="s">
        <v>31</v>
      </c>
      <c r="F10928" s="30" t="s">
        <v>32</v>
      </c>
      <c r="G10928" s="30" t="s">
        <v>20</v>
      </c>
      <c r="H10928" s="32">
        <v>1271</v>
      </c>
      <c r="I10928" s="30" t="s">
        <v>21</v>
      </c>
      <c r="J10928" s="41">
        <v>44811</v>
      </c>
      <c r="K10928" s="30" t="s">
        <v>22</v>
      </c>
    </row>
    <row r="10929" spans="1:11">
      <c r="A10929" s="33" t="s">
        <v>24900</v>
      </c>
      <c r="B10929" s="33" t="s">
        <v>24901</v>
      </c>
      <c r="C10929" s="33" t="s">
        <v>1571</v>
      </c>
      <c r="D10929" s="33" t="s">
        <v>17</v>
      </c>
      <c r="E10929" s="33" t="s">
        <v>31</v>
      </c>
      <c r="F10929" s="33" t="s">
        <v>32</v>
      </c>
      <c r="G10929" s="33" t="s">
        <v>50</v>
      </c>
      <c r="H10929" s="35">
        <v>80</v>
      </c>
      <c r="I10929" s="33" t="s">
        <v>51</v>
      </c>
      <c r="J10929" s="42">
        <v>44834</v>
      </c>
      <c r="K10929" s="33" t="s">
        <v>22</v>
      </c>
    </row>
    <row r="10930" spans="1:11">
      <c r="A10930" s="30" t="s">
        <v>24902</v>
      </c>
      <c r="B10930" s="30" t="s">
        <v>20474</v>
      </c>
      <c r="C10930" s="30" t="s">
        <v>1857</v>
      </c>
      <c r="D10930" s="30" t="s">
        <v>17</v>
      </c>
      <c r="E10930" s="30" t="s">
        <v>67</v>
      </c>
      <c r="F10930" s="30" t="s">
        <v>68</v>
      </c>
      <c r="G10930" s="30" t="s">
        <v>50</v>
      </c>
      <c r="H10930" s="32">
        <v>58</v>
      </c>
      <c r="I10930" s="30" t="s">
        <v>51</v>
      </c>
      <c r="J10930" s="41">
        <v>44652</v>
      </c>
      <c r="K10930" s="30" t="s">
        <v>22</v>
      </c>
    </row>
    <row r="10931" spans="1:11">
      <c r="A10931" s="33" t="s">
        <v>24903</v>
      </c>
      <c r="B10931" s="33" t="s">
        <v>24904</v>
      </c>
      <c r="C10931" s="33" t="s">
        <v>14640</v>
      </c>
      <c r="D10931" s="33" t="s">
        <v>17</v>
      </c>
      <c r="E10931" s="33" t="s">
        <v>26</v>
      </c>
      <c r="F10931" s="33" t="s">
        <v>27</v>
      </c>
      <c r="G10931" s="33" t="s">
        <v>20</v>
      </c>
      <c r="H10931" s="35">
        <v>70</v>
      </c>
      <c r="I10931" s="33" t="s">
        <v>21</v>
      </c>
      <c r="J10931" s="42">
        <v>44695</v>
      </c>
      <c r="K10931" s="33" t="s">
        <v>22</v>
      </c>
    </row>
    <row r="10932" spans="1:11">
      <c r="A10932" s="30" t="s">
        <v>24905</v>
      </c>
      <c r="B10932" s="30" t="s">
        <v>24906</v>
      </c>
      <c r="C10932" s="30" t="s">
        <v>24907</v>
      </c>
      <c r="D10932" s="30" t="s">
        <v>17</v>
      </c>
      <c r="E10932" s="30" t="s">
        <v>26</v>
      </c>
      <c r="F10932" s="30" t="s">
        <v>27</v>
      </c>
      <c r="G10932" s="30" t="s">
        <v>140</v>
      </c>
      <c r="H10932" s="32">
        <v>15</v>
      </c>
      <c r="I10932" s="30" t="s">
        <v>51</v>
      </c>
      <c r="J10932" s="41">
        <v>44711</v>
      </c>
      <c r="K10932" s="30" t="s">
        <v>22</v>
      </c>
    </row>
    <row r="10933" spans="1:11">
      <c r="A10933" s="33" t="s">
        <v>24908</v>
      </c>
      <c r="B10933" s="33" t="s">
        <v>24909</v>
      </c>
      <c r="C10933" s="33" t="s">
        <v>93</v>
      </c>
      <c r="D10933" s="33" t="s">
        <v>17</v>
      </c>
      <c r="E10933" s="33" t="s">
        <v>31</v>
      </c>
      <c r="F10933" s="33" t="s">
        <v>32</v>
      </c>
      <c r="G10933" s="33" t="s">
        <v>158</v>
      </c>
      <c r="H10933" s="35">
        <v>125</v>
      </c>
      <c r="I10933" s="33" t="s">
        <v>21</v>
      </c>
      <c r="J10933" s="42">
        <v>44832</v>
      </c>
      <c r="K10933" s="33" t="s">
        <v>22</v>
      </c>
    </row>
    <row r="10934" spans="1:11">
      <c r="A10934" s="30" t="s">
        <v>24910</v>
      </c>
      <c r="B10934" s="30" t="s">
        <v>24911</v>
      </c>
      <c r="C10934" s="30" t="s">
        <v>157</v>
      </c>
      <c r="D10934" s="30" t="s">
        <v>17</v>
      </c>
      <c r="E10934" s="30" t="s">
        <v>18</v>
      </c>
      <c r="F10934" s="30" t="s">
        <v>19</v>
      </c>
      <c r="G10934" s="30" t="s">
        <v>20</v>
      </c>
      <c r="H10934" s="32">
        <v>20</v>
      </c>
      <c r="I10934" s="30" t="s">
        <v>21</v>
      </c>
      <c r="J10934" s="41">
        <v>44682</v>
      </c>
      <c r="K10934" s="30" t="s">
        <v>22</v>
      </c>
    </row>
    <row r="10935" spans="1:11">
      <c r="A10935" s="33" t="s">
        <v>24912</v>
      </c>
      <c r="B10935" s="33" t="s">
        <v>24913</v>
      </c>
      <c r="C10935" s="33" t="s">
        <v>318</v>
      </c>
      <c r="D10935" s="33" t="s">
        <v>17</v>
      </c>
      <c r="E10935" s="33" t="s">
        <v>26</v>
      </c>
      <c r="F10935" s="33" t="s">
        <v>27</v>
      </c>
      <c r="G10935" s="33" t="s">
        <v>20</v>
      </c>
      <c r="H10935" s="35">
        <v>65</v>
      </c>
      <c r="I10935" s="33" t="s">
        <v>21</v>
      </c>
      <c r="J10935" s="42">
        <v>44768</v>
      </c>
      <c r="K10935" s="33" t="s">
        <v>22</v>
      </c>
    </row>
    <row r="10936" spans="1:11">
      <c r="A10936" s="30" t="s">
        <v>24914</v>
      </c>
      <c r="B10936" s="30" t="s">
        <v>24915</v>
      </c>
      <c r="C10936" s="30" t="s">
        <v>24916</v>
      </c>
      <c r="D10936" s="30" t="s">
        <v>17</v>
      </c>
      <c r="E10936" s="30" t="s">
        <v>67</v>
      </c>
      <c r="F10936" s="30" t="s">
        <v>68</v>
      </c>
      <c r="G10936" s="30" t="s">
        <v>140</v>
      </c>
      <c r="H10936" s="32">
        <v>80</v>
      </c>
      <c r="I10936" s="30" t="s">
        <v>51</v>
      </c>
      <c r="J10936" s="41">
        <v>44866</v>
      </c>
      <c r="K10936" s="30" t="s">
        <v>22</v>
      </c>
    </row>
    <row r="10937" spans="1:11">
      <c r="A10937" s="33" t="s">
        <v>24917</v>
      </c>
      <c r="B10937" s="33" t="s">
        <v>24918</v>
      </c>
      <c r="C10937" s="33" t="s">
        <v>6814</v>
      </c>
      <c r="D10937" s="33" t="s">
        <v>17</v>
      </c>
      <c r="E10937" s="33" t="s">
        <v>31</v>
      </c>
      <c r="F10937" s="33" t="s">
        <v>32</v>
      </c>
      <c r="G10937" s="33" t="s">
        <v>20</v>
      </c>
      <c r="H10937" s="35">
        <v>226</v>
      </c>
      <c r="I10937" s="33" t="s">
        <v>21</v>
      </c>
      <c r="J10937" s="42">
        <v>44564</v>
      </c>
      <c r="K10937" s="33" t="s">
        <v>22</v>
      </c>
    </row>
    <row r="10938" spans="1:11">
      <c r="A10938" s="30" t="s">
        <v>24919</v>
      </c>
      <c r="B10938" s="30" t="s">
        <v>24920</v>
      </c>
      <c r="C10938" s="30" t="s">
        <v>1136</v>
      </c>
      <c r="D10938" s="30" t="s">
        <v>17</v>
      </c>
      <c r="E10938" s="30" t="s">
        <v>26</v>
      </c>
      <c r="F10938" s="30" t="s">
        <v>27</v>
      </c>
      <c r="G10938" s="30" t="s">
        <v>20</v>
      </c>
      <c r="H10938" s="32">
        <v>233</v>
      </c>
      <c r="I10938" s="30" t="s">
        <v>21</v>
      </c>
      <c r="J10938" s="41">
        <v>44721</v>
      </c>
      <c r="K10938" s="30" t="s">
        <v>22</v>
      </c>
    </row>
    <row r="10939" spans="1:11">
      <c r="A10939" s="33" t="s">
        <v>24921</v>
      </c>
      <c r="B10939" s="33" t="s">
        <v>24922</v>
      </c>
      <c r="C10939" s="33" t="s">
        <v>24923</v>
      </c>
      <c r="D10939" s="33" t="s">
        <v>17</v>
      </c>
      <c r="E10939" s="33" t="s">
        <v>31</v>
      </c>
      <c r="F10939" s="33" t="s">
        <v>32</v>
      </c>
      <c r="G10939" s="33" t="s">
        <v>158</v>
      </c>
      <c r="H10939" s="35">
        <v>24</v>
      </c>
      <c r="I10939" s="33" t="s">
        <v>51</v>
      </c>
      <c r="J10939" s="42">
        <v>44673</v>
      </c>
      <c r="K10939" s="33" t="s">
        <v>22</v>
      </c>
    </row>
    <row r="10940" spans="1:11">
      <c r="A10940" s="30" t="s">
        <v>24924</v>
      </c>
      <c r="B10940" s="30" t="s">
        <v>24925</v>
      </c>
      <c r="C10940" s="30" t="s">
        <v>161</v>
      </c>
      <c r="D10940" s="30" t="s">
        <v>17</v>
      </c>
      <c r="E10940" s="30" t="s">
        <v>18</v>
      </c>
      <c r="F10940" s="30" t="s">
        <v>19</v>
      </c>
      <c r="G10940" s="30" t="s">
        <v>20</v>
      </c>
      <c r="H10940" s="32">
        <v>675</v>
      </c>
      <c r="I10940" s="30" t="s">
        <v>21</v>
      </c>
      <c r="J10940" s="41">
        <v>44917</v>
      </c>
      <c r="K10940" s="30" t="s">
        <v>22</v>
      </c>
    </row>
    <row r="10941" spans="1:11">
      <c r="A10941" s="33" t="s">
        <v>24926</v>
      </c>
      <c r="B10941" s="33" t="s">
        <v>24927</v>
      </c>
      <c r="C10941" s="33" t="s">
        <v>4282</v>
      </c>
      <c r="D10941" s="33" t="s">
        <v>17</v>
      </c>
      <c r="E10941" s="33" t="s">
        <v>31</v>
      </c>
      <c r="F10941" s="33" t="s">
        <v>32</v>
      </c>
      <c r="G10941" s="33" t="s">
        <v>50</v>
      </c>
      <c r="H10941" s="35">
        <v>44</v>
      </c>
      <c r="I10941" s="33" t="s">
        <v>51</v>
      </c>
      <c r="J10941" s="42">
        <v>44621</v>
      </c>
      <c r="K10941" s="33" t="s">
        <v>22</v>
      </c>
    </row>
    <row r="10942" spans="1:11">
      <c r="A10942" s="30" t="s">
        <v>24928</v>
      </c>
      <c r="B10942" s="30" t="s">
        <v>24929</v>
      </c>
      <c r="C10942" s="30" t="s">
        <v>24930</v>
      </c>
      <c r="D10942" s="30" t="s">
        <v>17</v>
      </c>
      <c r="E10942" s="30" t="s">
        <v>26</v>
      </c>
      <c r="F10942" s="30" t="s">
        <v>27</v>
      </c>
      <c r="G10942" s="30" t="s">
        <v>20</v>
      </c>
      <c r="H10942" s="32">
        <v>6</v>
      </c>
      <c r="I10942" s="30" t="s">
        <v>21</v>
      </c>
      <c r="J10942" s="41">
        <v>44686</v>
      </c>
      <c r="K10942" s="30" t="s">
        <v>22</v>
      </c>
    </row>
    <row r="10943" spans="1:11">
      <c r="A10943" s="33" t="s">
        <v>24931</v>
      </c>
      <c r="B10943" s="33" t="s">
        <v>24932</v>
      </c>
      <c r="C10943" s="33" t="s">
        <v>4348</v>
      </c>
      <c r="D10943" s="33" t="s">
        <v>17</v>
      </c>
      <c r="E10943" s="33" t="s">
        <v>26</v>
      </c>
      <c r="F10943" s="33" t="s">
        <v>27</v>
      </c>
      <c r="G10943" s="33" t="s">
        <v>158</v>
      </c>
      <c r="H10943" s="35">
        <v>4</v>
      </c>
      <c r="I10943" s="33" t="s">
        <v>21</v>
      </c>
      <c r="J10943" s="42">
        <v>44607</v>
      </c>
      <c r="K10943" s="33" t="s">
        <v>22</v>
      </c>
    </row>
    <row r="10944" spans="1:11">
      <c r="A10944" s="30" t="s">
        <v>24933</v>
      </c>
      <c r="B10944" s="30" t="s">
        <v>24934</v>
      </c>
      <c r="C10944" s="30" t="s">
        <v>15221</v>
      </c>
      <c r="D10944" s="30" t="s">
        <v>17</v>
      </c>
      <c r="E10944" s="30" t="s">
        <v>26</v>
      </c>
      <c r="F10944" s="30" t="s">
        <v>27</v>
      </c>
      <c r="G10944" s="30" t="s">
        <v>20</v>
      </c>
      <c r="H10944" s="32">
        <v>67</v>
      </c>
      <c r="I10944" s="30" t="s">
        <v>21</v>
      </c>
      <c r="J10944" s="41">
        <v>44880</v>
      </c>
      <c r="K10944" s="30" t="s">
        <v>22</v>
      </c>
    </row>
    <row r="10945" spans="1:11">
      <c r="A10945" s="33" t="s">
        <v>24935</v>
      </c>
      <c r="B10945" s="33" t="s">
        <v>24936</v>
      </c>
      <c r="C10945" s="33" t="s">
        <v>78</v>
      </c>
      <c r="D10945" s="33" t="s">
        <v>17</v>
      </c>
      <c r="E10945" s="33" t="s">
        <v>26</v>
      </c>
      <c r="F10945" s="33" t="s">
        <v>27</v>
      </c>
      <c r="G10945" s="33" t="s">
        <v>20</v>
      </c>
      <c r="H10945" s="35">
        <v>30</v>
      </c>
      <c r="I10945" s="33" t="s">
        <v>21</v>
      </c>
      <c r="J10945" s="42">
        <v>44867</v>
      </c>
      <c r="K10945" s="33" t="s">
        <v>22</v>
      </c>
    </row>
    <row r="10946" spans="1:11">
      <c r="A10946" s="30" t="s">
        <v>24937</v>
      </c>
      <c r="B10946" s="30" t="s">
        <v>24938</v>
      </c>
      <c r="C10946" s="30" t="s">
        <v>1770</v>
      </c>
      <c r="D10946" s="30" t="s">
        <v>17</v>
      </c>
      <c r="E10946" s="30" t="s">
        <v>31</v>
      </c>
      <c r="F10946" s="30" t="s">
        <v>32</v>
      </c>
      <c r="G10946" s="30" t="s">
        <v>158</v>
      </c>
      <c r="H10946" s="32">
        <v>76</v>
      </c>
      <c r="I10946" s="30" t="s">
        <v>21</v>
      </c>
      <c r="J10946" s="41">
        <v>44858</v>
      </c>
      <c r="K10946" s="30" t="s">
        <v>22</v>
      </c>
    </row>
    <row r="10947" spans="1:11">
      <c r="A10947" s="33" t="s">
        <v>24939</v>
      </c>
      <c r="B10947" s="33" t="s">
        <v>24940</v>
      </c>
      <c r="C10947" s="33" t="s">
        <v>24941</v>
      </c>
      <c r="D10947" s="33" t="s">
        <v>17</v>
      </c>
      <c r="E10947" s="33" t="s">
        <v>26</v>
      </c>
      <c r="F10947" s="33" t="s">
        <v>27</v>
      </c>
      <c r="G10947" s="33" t="s">
        <v>140</v>
      </c>
      <c r="H10947" s="35">
        <v>10</v>
      </c>
      <c r="I10947" s="33" t="s">
        <v>51</v>
      </c>
      <c r="J10947" s="42">
        <v>44701</v>
      </c>
      <c r="K10947" s="33" t="s">
        <v>22</v>
      </c>
    </row>
    <row r="10948" spans="1:11">
      <c r="A10948" s="30" t="s">
        <v>24942</v>
      </c>
      <c r="B10948" s="30" t="s">
        <v>24943</v>
      </c>
      <c r="C10948" s="30" t="s">
        <v>9057</v>
      </c>
      <c r="D10948" s="30" t="s">
        <v>17</v>
      </c>
      <c r="E10948" s="30" t="s">
        <v>26</v>
      </c>
      <c r="F10948" s="30" t="s">
        <v>27</v>
      </c>
      <c r="G10948" s="30" t="s">
        <v>20</v>
      </c>
      <c r="H10948" s="32">
        <v>96</v>
      </c>
      <c r="I10948" s="30" t="s">
        <v>21</v>
      </c>
      <c r="J10948" s="41">
        <v>44872</v>
      </c>
      <c r="K10948" s="30" t="s">
        <v>22</v>
      </c>
    </row>
    <row r="10949" spans="1:11">
      <c r="A10949" s="33" t="s">
        <v>24944</v>
      </c>
      <c r="B10949" s="33" t="s">
        <v>24945</v>
      </c>
      <c r="C10949" s="33" t="s">
        <v>1583</v>
      </c>
      <c r="D10949" s="33" t="s">
        <v>17</v>
      </c>
      <c r="E10949" s="33" t="s">
        <v>26</v>
      </c>
      <c r="F10949" s="33" t="s">
        <v>27</v>
      </c>
      <c r="G10949" s="33" t="s">
        <v>140</v>
      </c>
      <c r="H10949" s="35">
        <v>714</v>
      </c>
      <c r="I10949" s="33" t="s">
        <v>51</v>
      </c>
      <c r="J10949" s="42">
        <v>44859</v>
      </c>
      <c r="K10949" s="33" t="s">
        <v>22</v>
      </c>
    </row>
    <row r="10950" spans="1:11">
      <c r="A10950" s="30" t="s">
        <v>24946</v>
      </c>
      <c r="B10950" s="30" t="s">
        <v>24947</v>
      </c>
      <c r="C10950" s="30" t="s">
        <v>6127</v>
      </c>
      <c r="D10950" s="30" t="s">
        <v>17</v>
      </c>
      <c r="E10950" s="30" t="s">
        <v>26</v>
      </c>
      <c r="F10950" s="30" t="s">
        <v>27</v>
      </c>
      <c r="G10950" s="30" t="s">
        <v>140</v>
      </c>
      <c r="H10950" s="32">
        <v>60</v>
      </c>
      <c r="I10950" s="30" t="s">
        <v>51</v>
      </c>
      <c r="J10950" s="41">
        <v>44596</v>
      </c>
      <c r="K10950" s="30" t="s">
        <v>22</v>
      </c>
    </row>
    <row r="10951" spans="1:11">
      <c r="A10951" s="33" t="s">
        <v>24948</v>
      </c>
      <c r="B10951" s="33" t="s">
        <v>24949</v>
      </c>
      <c r="C10951" s="33" t="s">
        <v>23708</v>
      </c>
      <c r="D10951" s="33" t="s">
        <v>17</v>
      </c>
      <c r="E10951" s="33" t="s">
        <v>26</v>
      </c>
      <c r="F10951" s="33" t="s">
        <v>27</v>
      </c>
      <c r="G10951" s="33" t="s">
        <v>20</v>
      </c>
      <c r="H10951" s="35">
        <v>26</v>
      </c>
      <c r="I10951" s="33" t="s">
        <v>21</v>
      </c>
      <c r="J10951" s="42">
        <v>44894</v>
      </c>
      <c r="K10951" s="33" t="s">
        <v>22</v>
      </c>
    </row>
    <row r="10952" spans="1:11">
      <c r="A10952" s="30" t="s">
        <v>24950</v>
      </c>
      <c r="B10952" s="30" t="s">
        <v>24951</v>
      </c>
      <c r="C10952" s="30" t="s">
        <v>9961</v>
      </c>
      <c r="D10952" s="30" t="s">
        <v>17</v>
      </c>
      <c r="E10952" s="30" t="s">
        <v>26</v>
      </c>
      <c r="F10952" s="30" t="s">
        <v>27</v>
      </c>
      <c r="G10952" s="30" t="s">
        <v>50</v>
      </c>
      <c r="H10952" s="32">
        <v>48</v>
      </c>
      <c r="I10952" s="30" t="s">
        <v>21</v>
      </c>
      <c r="J10952" s="41">
        <v>44817</v>
      </c>
      <c r="K10952" s="30" t="s">
        <v>22</v>
      </c>
    </row>
    <row r="10953" spans="1:11">
      <c r="A10953" s="33" t="s">
        <v>24952</v>
      </c>
      <c r="B10953" s="33" t="s">
        <v>24953</v>
      </c>
      <c r="C10953" s="33" t="s">
        <v>12750</v>
      </c>
      <c r="D10953" s="33" t="s">
        <v>17</v>
      </c>
      <c r="E10953" s="33" t="s">
        <v>18</v>
      </c>
      <c r="F10953" s="33" t="s">
        <v>19</v>
      </c>
      <c r="G10953" s="33" t="s">
        <v>20</v>
      </c>
      <c r="H10953" s="35">
        <v>282</v>
      </c>
      <c r="I10953" s="33" t="s">
        <v>21</v>
      </c>
      <c r="J10953" s="42">
        <v>44742</v>
      </c>
      <c r="K10953" s="33" t="s">
        <v>22</v>
      </c>
    </row>
    <row r="10954" spans="1:11">
      <c r="A10954" s="30" t="s">
        <v>24954</v>
      </c>
      <c r="B10954" s="30" t="s">
        <v>24955</v>
      </c>
      <c r="C10954" s="30" t="s">
        <v>187</v>
      </c>
      <c r="D10954" s="30" t="s">
        <v>17</v>
      </c>
      <c r="E10954" s="30" t="s">
        <v>26</v>
      </c>
      <c r="F10954" s="30" t="s">
        <v>27</v>
      </c>
      <c r="G10954" s="30" t="s">
        <v>106</v>
      </c>
      <c r="H10954" s="32">
        <v>12</v>
      </c>
      <c r="I10954" s="30" t="s">
        <v>21</v>
      </c>
      <c r="J10954" s="41">
        <v>44818</v>
      </c>
      <c r="K10954" s="30" t="s">
        <v>22</v>
      </c>
    </row>
    <row r="10955" spans="1:11">
      <c r="A10955" s="33" t="s">
        <v>24956</v>
      </c>
      <c r="B10955" s="33" t="s">
        <v>24957</v>
      </c>
      <c r="C10955" s="33" t="s">
        <v>24958</v>
      </c>
      <c r="D10955" s="33" t="s">
        <v>17</v>
      </c>
      <c r="E10955" s="33" t="s">
        <v>26</v>
      </c>
      <c r="F10955" s="33" t="s">
        <v>27</v>
      </c>
      <c r="G10955" s="33" t="s">
        <v>20</v>
      </c>
      <c r="H10955" s="35">
        <v>12</v>
      </c>
      <c r="I10955" s="33" t="s">
        <v>21</v>
      </c>
      <c r="J10955" s="42">
        <v>44862</v>
      </c>
      <c r="K10955" s="33" t="s">
        <v>22</v>
      </c>
    </row>
    <row r="10956" spans="1:11">
      <c r="A10956" s="30" t="s">
        <v>24959</v>
      </c>
      <c r="B10956" s="30" t="s">
        <v>24960</v>
      </c>
      <c r="C10956" s="30" t="s">
        <v>15271</v>
      </c>
      <c r="D10956" s="30" t="s">
        <v>17</v>
      </c>
      <c r="E10956" s="30" t="s">
        <v>31</v>
      </c>
      <c r="F10956" s="30" t="s">
        <v>32</v>
      </c>
      <c r="G10956" s="30" t="s">
        <v>20</v>
      </c>
      <c r="H10956" s="32">
        <v>95</v>
      </c>
      <c r="I10956" s="30" t="s">
        <v>21</v>
      </c>
      <c r="J10956" s="41">
        <v>44624</v>
      </c>
      <c r="K10956" s="30" t="s">
        <v>22</v>
      </c>
    </row>
    <row r="10957" spans="1:11">
      <c r="A10957" s="33" t="s">
        <v>24961</v>
      </c>
      <c r="B10957" s="33" t="s">
        <v>24962</v>
      </c>
      <c r="C10957" s="33" t="s">
        <v>7423</v>
      </c>
      <c r="D10957" s="33" t="s">
        <v>17</v>
      </c>
      <c r="E10957" s="33" t="s">
        <v>26</v>
      </c>
      <c r="F10957" s="33" t="s">
        <v>27</v>
      </c>
      <c r="G10957" s="33" t="s">
        <v>106</v>
      </c>
      <c r="H10957" s="35">
        <v>66</v>
      </c>
      <c r="I10957" s="33" t="s">
        <v>21</v>
      </c>
      <c r="J10957" s="42">
        <v>44698</v>
      </c>
      <c r="K10957" s="33" t="s">
        <v>22</v>
      </c>
    </row>
    <row r="10958" spans="1:11">
      <c r="A10958" s="30" t="s">
        <v>24963</v>
      </c>
      <c r="B10958" s="30" t="s">
        <v>24964</v>
      </c>
      <c r="C10958" s="30" t="s">
        <v>16377</v>
      </c>
      <c r="D10958" s="30" t="s">
        <v>17</v>
      </c>
      <c r="E10958" s="30" t="s">
        <v>26</v>
      </c>
      <c r="F10958" s="30" t="s">
        <v>27</v>
      </c>
      <c r="G10958" s="30" t="s">
        <v>69</v>
      </c>
      <c r="H10958" s="32">
        <v>38</v>
      </c>
      <c r="I10958" s="30" t="s">
        <v>51</v>
      </c>
      <c r="J10958" s="41">
        <v>44793</v>
      </c>
      <c r="K10958" s="30" t="s">
        <v>22</v>
      </c>
    </row>
    <row r="10959" spans="1:11">
      <c r="A10959" s="33" t="s">
        <v>24965</v>
      </c>
      <c r="B10959" s="33" t="s">
        <v>24966</v>
      </c>
      <c r="C10959" s="33" t="s">
        <v>130</v>
      </c>
      <c r="D10959" s="33" t="s">
        <v>17</v>
      </c>
      <c r="E10959" s="33" t="s">
        <v>31</v>
      </c>
      <c r="F10959" s="33" t="s">
        <v>32</v>
      </c>
      <c r="G10959" s="33" t="s">
        <v>140</v>
      </c>
      <c r="H10959" s="35">
        <v>98</v>
      </c>
      <c r="I10959" s="33" t="s">
        <v>51</v>
      </c>
      <c r="J10959" s="42">
        <v>44686</v>
      </c>
      <c r="K10959" s="33" t="s">
        <v>22</v>
      </c>
    </row>
    <row r="10960" spans="1:11">
      <c r="A10960" s="30" t="s">
        <v>24967</v>
      </c>
      <c r="B10960" s="30" t="s">
        <v>24968</v>
      </c>
      <c r="C10960" s="30" t="s">
        <v>24783</v>
      </c>
      <c r="D10960" s="30" t="s">
        <v>17</v>
      </c>
      <c r="E10960" s="30" t="s">
        <v>26</v>
      </c>
      <c r="F10960" s="30" t="s">
        <v>27</v>
      </c>
      <c r="G10960" s="30" t="s">
        <v>50</v>
      </c>
      <c r="H10960" s="32">
        <v>72</v>
      </c>
      <c r="I10960" s="30" t="s">
        <v>51</v>
      </c>
      <c r="J10960" s="41">
        <v>44649</v>
      </c>
      <c r="K10960" s="30" t="s">
        <v>22</v>
      </c>
    </row>
    <row r="10961" spans="1:11">
      <c r="A10961" s="33" t="s">
        <v>24969</v>
      </c>
      <c r="B10961" s="33" t="s">
        <v>24970</v>
      </c>
      <c r="C10961" s="33" t="s">
        <v>231</v>
      </c>
      <c r="D10961" s="33" t="s">
        <v>17</v>
      </c>
      <c r="E10961" s="33" t="s">
        <v>26</v>
      </c>
      <c r="F10961" s="33" t="s">
        <v>27</v>
      </c>
      <c r="G10961" s="33" t="s">
        <v>20</v>
      </c>
      <c r="H10961" s="35">
        <v>24</v>
      </c>
      <c r="I10961" s="33" t="s">
        <v>21</v>
      </c>
      <c r="J10961" s="42">
        <v>44575</v>
      </c>
      <c r="K10961" s="33" t="s">
        <v>22</v>
      </c>
    </row>
    <row r="10962" spans="1:11">
      <c r="A10962" s="30" t="s">
        <v>24971</v>
      </c>
      <c r="B10962" s="30" t="s">
        <v>24972</v>
      </c>
      <c r="C10962" s="30" t="s">
        <v>24973</v>
      </c>
      <c r="D10962" s="30" t="s">
        <v>17</v>
      </c>
      <c r="E10962" s="30" t="s">
        <v>67</v>
      </c>
      <c r="F10962" s="30" t="s">
        <v>68</v>
      </c>
      <c r="G10962" s="30" t="s">
        <v>106</v>
      </c>
      <c r="H10962" s="32">
        <v>7</v>
      </c>
      <c r="I10962" s="30" t="s">
        <v>21</v>
      </c>
      <c r="J10962" s="41">
        <v>44803</v>
      </c>
      <c r="K10962" s="30" t="s">
        <v>22</v>
      </c>
    </row>
    <row r="10963" spans="1:11">
      <c r="A10963" s="33" t="s">
        <v>24974</v>
      </c>
      <c r="B10963" s="33" t="s">
        <v>24975</v>
      </c>
      <c r="C10963" s="33" t="s">
        <v>216</v>
      </c>
      <c r="D10963" s="33" t="s">
        <v>17</v>
      </c>
      <c r="E10963" s="33" t="s">
        <v>26</v>
      </c>
      <c r="F10963" s="33" t="s">
        <v>27</v>
      </c>
      <c r="G10963" s="33" t="s">
        <v>50</v>
      </c>
      <c r="H10963" s="35">
        <v>48</v>
      </c>
      <c r="I10963" s="33" t="s">
        <v>51</v>
      </c>
      <c r="J10963" s="42">
        <v>44775</v>
      </c>
      <c r="K10963" s="33" t="s">
        <v>22</v>
      </c>
    </row>
    <row r="10964" spans="1:11">
      <c r="A10964" s="30" t="s">
        <v>24976</v>
      </c>
      <c r="B10964" s="30" t="s">
        <v>24977</v>
      </c>
      <c r="C10964" s="30" t="s">
        <v>20773</v>
      </c>
      <c r="D10964" s="30" t="s">
        <v>17</v>
      </c>
      <c r="E10964" s="30" t="s">
        <v>26</v>
      </c>
      <c r="F10964" s="30" t="s">
        <v>27</v>
      </c>
      <c r="G10964" s="30" t="s">
        <v>20</v>
      </c>
      <c r="H10964" s="32">
        <v>12</v>
      </c>
      <c r="I10964" s="30" t="s">
        <v>21</v>
      </c>
      <c r="J10964" s="41">
        <v>44830</v>
      </c>
      <c r="K10964" s="30" t="s">
        <v>22</v>
      </c>
    </row>
    <row r="10965" spans="1:11">
      <c r="A10965" s="33" t="s">
        <v>24978</v>
      </c>
      <c r="B10965" s="33" t="s">
        <v>24979</v>
      </c>
      <c r="C10965" s="33" t="s">
        <v>178</v>
      </c>
      <c r="D10965" s="33" t="s">
        <v>17</v>
      </c>
      <c r="E10965" s="33" t="s">
        <v>26</v>
      </c>
      <c r="F10965" s="33" t="s">
        <v>27</v>
      </c>
      <c r="G10965" s="33" t="s">
        <v>140</v>
      </c>
      <c r="H10965" s="35">
        <v>121</v>
      </c>
      <c r="I10965" s="33" t="s">
        <v>51</v>
      </c>
      <c r="J10965" s="42">
        <v>44860</v>
      </c>
      <c r="K10965" s="33" t="s">
        <v>22</v>
      </c>
    </row>
    <row r="10966" spans="1:11">
      <c r="A10966" s="30" t="s">
        <v>24980</v>
      </c>
      <c r="B10966" s="30" t="s">
        <v>24981</v>
      </c>
      <c r="C10966" s="30" t="s">
        <v>8201</v>
      </c>
      <c r="D10966" s="30" t="s">
        <v>17</v>
      </c>
      <c r="E10966" s="30" t="s">
        <v>26</v>
      </c>
      <c r="F10966" s="30" t="s">
        <v>27</v>
      </c>
      <c r="G10966" s="30" t="s">
        <v>106</v>
      </c>
      <c r="H10966" s="32">
        <v>67</v>
      </c>
      <c r="I10966" s="30" t="s">
        <v>21</v>
      </c>
      <c r="J10966" s="41">
        <v>44568</v>
      </c>
      <c r="K10966" s="30" t="s">
        <v>22</v>
      </c>
    </row>
    <row r="10967" spans="1:11">
      <c r="A10967" s="33" t="s">
        <v>24982</v>
      </c>
      <c r="B10967" s="33" t="s">
        <v>24983</v>
      </c>
      <c r="C10967" s="33" t="s">
        <v>136</v>
      </c>
      <c r="D10967" s="33" t="s">
        <v>17</v>
      </c>
      <c r="E10967" s="33" t="s">
        <v>212</v>
      </c>
      <c r="F10967" s="33" t="s">
        <v>213</v>
      </c>
      <c r="G10967" s="33" t="s">
        <v>158</v>
      </c>
      <c r="H10967" s="35">
        <v>780</v>
      </c>
      <c r="I10967" s="33" t="s">
        <v>51</v>
      </c>
      <c r="J10967" s="42">
        <v>44774</v>
      </c>
      <c r="K10967" s="33" t="s">
        <v>22</v>
      </c>
    </row>
    <row r="10968" spans="1:11">
      <c r="A10968" s="30" t="s">
        <v>24984</v>
      </c>
      <c r="B10968" s="30" t="s">
        <v>24985</v>
      </c>
      <c r="C10968" s="30" t="s">
        <v>362</v>
      </c>
      <c r="D10968" s="30" t="s">
        <v>17</v>
      </c>
      <c r="E10968" s="30" t="s">
        <v>26</v>
      </c>
      <c r="F10968" s="30" t="s">
        <v>27</v>
      </c>
      <c r="G10968" s="30" t="s">
        <v>20</v>
      </c>
      <c r="H10968" s="32">
        <v>5</v>
      </c>
      <c r="I10968" s="30" t="s">
        <v>21</v>
      </c>
      <c r="J10968" s="41">
        <v>44670</v>
      </c>
      <c r="K10968" s="30" t="s">
        <v>22</v>
      </c>
    </row>
    <row r="10969" spans="1:11">
      <c r="A10969" s="33" t="s">
        <v>24986</v>
      </c>
      <c r="B10969" s="33" t="s">
        <v>24987</v>
      </c>
      <c r="C10969" s="33" t="s">
        <v>10046</v>
      </c>
      <c r="D10969" s="33" t="s">
        <v>17</v>
      </c>
      <c r="E10969" s="33" t="s">
        <v>31</v>
      </c>
      <c r="F10969" s="33" t="s">
        <v>32</v>
      </c>
      <c r="G10969" s="33" t="s">
        <v>20</v>
      </c>
      <c r="H10969" s="35">
        <v>75</v>
      </c>
      <c r="I10969" s="33" t="s">
        <v>21</v>
      </c>
      <c r="J10969" s="42">
        <v>44791</v>
      </c>
      <c r="K10969" s="33" t="s">
        <v>22</v>
      </c>
    </row>
    <row r="10970" spans="1:11">
      <c r="A10970" s="30" t="s">
        <v>24988</v>
      </c>
      <c r="B10970" s="30" t="s">
        <v>24989</v>
      </c>
      <c r="C10970" s="30" t="s">
        <v>3660</v>
      </c>
      <c r="D10970" s="30" t="s">
        <v>17</v>
      </c>
      <c r="E10970" s="30" t="s">
        <v>18</v>
      </c>
      <c r="F10970" s="30" t="s">
        <v>19</v>
      </c>
      <c r="G10970" s="30" t="s">
        <v>112</v>
      </c>
      <c r="H10970" s="32">
        <v>0</v>
      </c>
      <c r="I10970" s="30" t="s">
        <v>21</v>
      </c>
      <c r="J10970" s="41">
        <v>44805</v>
      </c>
      <c r="K10970" s="30" t="s">
        <v>22</v>
      </c>
    </row>
    <row r="10971" spans="1:11">
      <c r="A10971" s="33" t="s">
        <v>24990</v>
      </c>
      <c r="B10971" s="33" t="s">
        <v>24991</v>
      </c>
      <c r="C10971" s="33" t="s">
        <v>647</v>
      </c>
      <c r="D10971" s="33" t="s">
        <v>17</v>
      </c>
      <c r="E10971" s="33" t="s">
        <v>18</v>
      </c>
      <c r="F10971" s="33" t="s">
        <v>19</v>
      </c>
      <c r="G10971" s="33" t="s">
        <v>20</v>
      </c>
      <c r="H10971" s="35">
        <v>1080</v>
      </c>
      <c r="I10971" s="33" t="s">
        <v>21</v>
      </c>
      <c r="J10971" s="42">
        <v>44827</v>
      </c>
      <c r="K10971" s="33" t="s">
        <v>22</v>
      </c>
    </row>
    <row r="10972" spans="1:11">
      <c r="A10972" s="30" t="s">
        <v>24992</v>
      </c>
      <c r="B10972" s="30" t="s">
        <v>24993</v>
      </c>
      <c r="C10972" s="30" t="s">
        <v>1835</v>
      </c>
      <c r="D10972" s="30" t="s">
        <v>17</v>
      </c>
      <c r="E10972" s="30" t="s">
        <v>31</v>
      </c>
      <c r="F10972" s="30" t="s">
        <v>32</v>
      </c>
      <c r="G10972" s="30" t="s">
        <v>20</v>
      </c>
      <c r="H10972" s="32">
        <v>260</v>
      </c>
      <c r="I10972" s="30" t="s">
        <v>21</v>
      </c>
      <c r="J10972" s="41">
        <v>44760</v>
      </c>
      <c r="K10972" s="30" t="s">
        <v>22</v>
      </c>
    </row>
    <row r="10973" spans="1:11">
      <c r="A10973" s="33" t="s">
        <v>24994</v>
      </c>
      <c r="B10973" s="33" t="s">
        <v>24995</v>
      </c>
      <c r="C10973" s="33" t="s">
        <v>969</v>
      </c>
      <c r="D10973" s="33" t="s">
        <v>17</v>
      </c>
      <c r="E10973" s="33" t="s">
        <v>26</v>
      </c>
      <c r="F10973" s="33" t="s">
        <v>27</v>
      </c>
      <c r="G10973" s="33" t="s">
        <v>20</v>
      </c>
      <c r="H10973" s="35">
        <v>140</v>
      </c>
      <c r="I10973" s="33" t="s">
        <v>21</v>
      </c>
      <c r="J10973" s="42">
        <v>44908</v>
      </c>
      <c r="K10973" s="33" t="s">
        <v>22</v>
      </c>
    </row>
    <row r="10974" spans="1:11">
      <c r="A10974" s="30" t="s">
        <v>24996</v>
      </c>
      <c r="B10974" s="30" t="s">
        <v>24997</v>
      </c>
      <c r="C10974" s="30" t="s">
        <v>12561</v>
      </c>
      <c r="D10974" s="30" t="s">
        <v>17</v>
      </c>
      <c r="E10974" s="30" t="s">
        <v>26</v>
      </c>
      <c r="F10974" s="30" t="s">
        <v>27</v>
      </c>
      <c r="G10974" s="30" t="s">
        <v>50</v>
      </c>
      <c r="H10974" s="32">
        <v>54</v>
      </c>
      <c r="I10974" s="30" t="s">
        <v>51</v>
      </c>
      <c r="J10974" s="41">
        <v>44608</v>
      </c>
      <c r="K10974" s="30" t="s">
        <v>22</v>
      </c>
    </row>
    <row r="10975" spans="1:11">
      <c r="A10975" s="33" t="s">
        <v>24998</v>
      </c>
      <c r="B10975" s="33" t="s">
        <v>24999</v>
      </c>
      <c r="C10975" s="33" t="s">
        <v>969</v>
      </c>
      <c r="D10975" s="33" t="s">
        <v>17</v>
      </c>
      <c r="E10975" s="33" t="s">
        <v>31</v>
      </c>
      <c r="F10975" s="33" t="s">
        <v>32</v>
      </c>
      <c r="G10975" s="33" t="s">
        <v>158</v>
      </c>
      <c r="H10975" s="35">
        <v>351</v>
      </c>
      <c r="I10975" s="33" t="s">
        <v>21</v>
      </c>
      <c r="J10975" s="42">
        <v>44848</v>
      </c>
      <c r="K10975" s="33" t="s">
        <v>22</v>
      </c>
    </row>
    <row r="10976" spans="1:11">
      <c r="A10976" s="30" t="s">
        <v>25000</v>
      </c>
      <c r="B10976" s="30" t="s">
        <v>25001</v>
      </c>
      <c r="C10976" s="30" t="s">
        <v>157</v>
      </c>
      <c r="D10976" s="30" t="s">
        <v>17</v>
      </c>
      <c r="E10976" s="30" t="s">
        <v>18</v>
      </c>
      <c r="F10976" s="30" t="s">
        <v>19</v>
      </c>
      <c r="G10976" s="30" t="s">
        <v>20</v>
      </c>
      <c r="H10976" s="32">
        <v>20</v>
      </c>
      <c r="I10976" s="30" t="s">
        <v>21</v>
      </c>
      <c r="J10976" s="41">
        <v>44734</v>
      </c>
      <c r="K10976" s="30" t="s">
        <v>22</v>
      </c>
    </row>
    <row r="10977" spans="1:11">
      <c r="A10977" s="33" t="s">
        <v>25002</v>
      </c>
      <c r="B10977" s="33" t="s">
        <v>25003</v>
      </c>
      <c r="C10977" s="33" t="s">
        <v>25004</v>
      </c>
      <c r="D10977" s="33" t="s">
        <v>17</v>
      </c>
      <c r="E10977" s="33" t="s">
        <v>31</v>
      </c>
      <c r="F10977" s="33" t="s">
        <v>32</v>
      </c>
      <c r="G10977" s="33" t="s">
        <v>20</v>
      </c>
      <c r="H10977" s="35">
        <v>77</v>
      </c>
      <c r="I10977" s="33" t="s">
        <v>21</v>
      </c>
      <c r="J10977" s="42">
        <v>44743</v>
      </c>
      <c r="K10977" s="33" t="s">
        <v>22</v>
      </c>
    </row>
    <row r="10978" spans="1:11">
      <c r="A10978" s="30" t="s">
        <v>25005</v>
      </c>
      <c r="B10978" s="30" t="s">
        <v>25006</v>
      </c>
      <c r="C10978" s="30" t="s">
        <v>25007</v>
      </c>
      <c r="D10978" s="30" t="s">
        <v>17</v>
      </c>
      <c r="E10978" s="30" t="s">
        <v>26</v>
      </c>
      <c r="F10978" s="30" t="s">
        <v>27</v>
      </c>
      <c r="G10978" s="30" t="s">
        <v>20</v>
      </c>
      <c r="H10978" s="32">
        <v>20</v>
      </c>
      <c r="I10978" s="30" t="s">
        <v>21</v>
      </c>
      <c r="J10978" s="41">
        <v>44637</v>
      </c>
      <c r="K10978" s="30" t="s">
        <v>22</v>
      </c>
    </row>
    <row r="10979" spans="1:11">
      <c r="A10979" s="33" t="s">
        <v>25008</v>
      </c>
      <c r="B10979" s="33" t="s">
        <v>25009</v>
      </c>
      <c r="C10979" s="33" t="s">
        <v>3862</v>
      </c>
      <c r="D10979" s="33" t="s">
        <v>17</v>
      </c>
      <c r="E10979" s="33" t="s">
        <v>18</v>
      </c>
      <c r="F10979" s="33" t="s">
        <v>19</v>
      </c>
      <c r="G10979" s="33" t="s">
        <v>20</v>
      </c>
      <c r="H10979" s="35">
        <v>136</v>
      </c>
      <c r="I10979" s="33" t="s">
        <v>21</v>
      </c>
      <c r="J10979" s="42">
        <v>44614</v>
      </c>
      <c r="K10979" s="33" t="s">
        <v>22</v>
      </c>
    </row>
    <row r="10980" spans="1:11">
      <c r="A10980" s="30" t="s">
        <v>25010</v>
      </c>
      <c r="B10980" s="30" t="s">
        <v>25011</v>
      </c>
      <c r="C10980" s="30" t="s">
        <v>25012</v>
      </c>
      <c r="D10980" s="30" t="s">
        <v>17</v>
      </c>
      <c r="E10980" s="30" t="s">
        <v>212</v>
      </c>
      <c r="F10980" s="30" t="s">
        <v>213</v>
      </c>
      <c r="G10980" s="30" t="s">
        <v>20</v>
      </c>
      <c r="H10980" s="32">
        <v>565</v>
      </c>
      <c r="I10980" s="30" t="s">
        <v>21</v>
      </c>
      <c r="J10980" s="41">
        <v>44586</v>
      </c>
      <c r="K10980" s="30" t="s">
        <v>22</v>
      </c>
    </row>
    <row r="10981" spans="1:11">
      <c r="A10981" s="33" t="s">
        <v>25013</v>
      </c>
      <c r="B10981" s="33" t="s">
        <v>25014</v>
      </c>
      <c r="C10981" s="33" t="s">
        <v>2618</v>
      </c>
      <c r="D10981" s="33" t="s">
        <v>17</v>
      </c>
      <c r="E10981" s="33" t="s">
        <v>26</v>
      </c>
      <c r="F10981" s="33" t="s">
        <v>27</v>
      </c>
      <c r="G10981" s="33" t="s">
        <v>106</v>
      </c>
      <c r="H10981" s="35">
        <v>15</v>
      </c>
      <c r="I10981" s="33" t="s">
        <v>21</v>
      </c>
      <c r="J10981" s="42">
        <v>44622</v>
      </c>
      <c r="K10981" s="33" t="s">
        <v>22</v>
      </c>
    </row>
    <row r="10982" spans="1:11">
      <c r="A10982" s="30" t="s">
        <v>25015</v>
      </c>
      <c r="B10982" s="30" t="s">
        <v>25016</v>
      </c>
      <c r="C10982" s="30" t="s">
        <v>1090</v>
      </c>
      <c r="D10982" s="30" t="s">
        <v>17</v>
      </c>
      <c r="E10982" s="30" t="s">
        <v>26</v>
      </c>
      <c r="F10982" s="30" t="s">
        <v>27</v>
      </c>
      <c r="G10982" s="30" t="s">
        <v>50</v>
      </c>
      <c r="H10982" s="32">
        <v>40</v>
      </c>
      <c r="I10982" s="30" t="s">
        <v>51</v>
      </c>
      <c r="J10982" s="41">
        <v>44678</v>
      </c>
      <c r="K10982" s="30" t="s">
        <v>22</v>
      </c>
    </row>
    <row r="10983" spans="1:11">
      <c r="A10983" s="33" t="s">
        <v>25017</v>
      </c>
      <c r="B10983" s="33" t="s">
        <v>2340</v>
      </c>
      <c r="C10983" s="33" t="s">
        <v>157</v>
      </c>
      <c r="D10983" s="33" t="s">
        <v>17</v>
      </c>
      <c r="E10983" s="33" t="s">
        <v>26</v>
      </c>
      <c r="F10983" s="33" t="s">
        <v>27</v>
      </c>
      <c r="G10983" s="33" t="s">
        <v>106</v>
      </c>
      <c r="H10983" s="35">
        <v>48</v>
      </c>
      <c r="I10983" s="33" t="s">
        <v>21</v>
      </c>
      <c r="J10983" s="42">
        <v>44568</v>
      </c>
      <c r="K10983" s="33" t="s">
        <v>22</v>
      </c>
    </row>
    <row r="10984" spans="1:11">
      <c r="A10984" s="30" t="s">
        <v>25018</v>
      </c>
      <c r="B10984" s="30" t="s">
        <v>25019</v>
      </c>
      <c r="C10984" s="30" t="s">
        <v>4668</v>
      </c>
      <c r="D10984" s="30" t="s">
        <v>17</v>
      </c>
      <c r="E10984" s="30" t="s">
        <v>26</v>
      </c>
      <c r="F10984" s="30" t="s">
        <v>27</v>
      </c>
      <c r="G10984" s="30" t="s">
        <v>20</v>
      </c>
      <c r="H10984" s="32">
        <v>46</v>
      </c>
      <c r="I10984" s="30" t="s">
        <v>21</v>
      </c>
      <c r="J10984" s="41">
        <v>44866</v>
      </c>
      <c r="K10984" s="30" t="s">
        <v>22</v>
      </c>
    </row>
    <row r="10985" spans="1:11">
      <c r="A10985" s="33" t="s">
        <v>25020</v>
      </c>
      <c r="B10985" s="33" t="s">
        <v>25021</v>
      </c>
      <c r="C10985" s="33" t="s">
        <v>969</v>
      </c>
      <c r="D10985" s="33" t="s">
        <v>17</v>
      </c>
      <c r="E10985" s="33" t="s">
        <v>18</v>
      </c>
      <c r="F10985" s="33" t="s">
        <v>19</v>
      </c>
      <c r="G10985" s="33" t="s">
        <v>158</v>
      </c>
      <c r="H10985" s="35">
        <v>21</v>
      </c>
      <c r="I10985" s="33" t="s">
        <v>21</v>
      </c>
      <c r="J10985" s="42">
        <v>44602</v>
      </c>
      <c r="K10985" s="33" t="s">
        <v>22</v>
      </c>
    </row>
    <row r="10986" spans="1:11">
      <c r="A10986" s="30" t="s">
        <v>25022</v>
      </c>
      <c r="B10986" s="30" t="s">
        <v>25023</v>
      </c>
      <c r="C10986" s="30" t="s">
        <v>10079</v>
      </c>
      <c r="D10986" s="30" t="s">
        <v>17</v>
      </c>
      <c r="E10986" s="30" t="s">
        <v>67</v>
      </c>
      <c r="F10986" s="30" t="s">
        <v>68</v>
      </c>
      <c r="G10986" s="30" t="s">
        <v>20</v>
      </c>
      <c r="H10986" s="32">
        <v>48</v>
      </c>
      <c r="I10986" s="30" t="s">
        <v>21</v>
      </c>
      <c r="J10986" s="41">
        <v>44619</v>
      </c>
      <c r="K10986" s="30" t="s">
        <v>22</v>
      </c>
    </row>
    <row r="10987" spans="1:11">
      <c r="A10987" s="33" t="s">
        <v>25024</v>
      </c>
      <c r="B10987" s="33" t="s">
        <v>25025</v>
      </c>
      <c r="C10987" s="33" t="s">
        <v>178</v>
      </c>
      <c r="D10987" s="33" t="s">
        <v>17</v>
      </c>
      <c r="E10987" s="33" t="s">
        <v>31</v>
      </c>
      <c r="F10987" s="33" t="s">
        <v>32</v>
      </c>
      <c r="G10987" s="33" t="s">
        <v>20</v>
      </c>
      <c r="H10987" s="35">
        <v>93</v>
      </c>
      <c r="I10987" s="33" t="s">
        <v>21</v>
      </c>
      <c r="J10987" s="42">
        <v>44788</v>
      </c>
      <c r="K10987" s="33" t="s">
        <v>22</v>
      </c>
    </row>
    <row r="10988" spans="1:11">
      <c r="A10988" s="30" t="s">
        <v>25026</v>
      </c>
      <c r="B10988" s="30" t="s">
        <v>25027</v>
      </c>
      <c r="C10988" s="30" t="s">
        <v>1136</v>
      </c>
      <c r="D10988" s="30" t="s">
        <v>17</v>
      </c>
      <c r="E10988" s="30" t="s">
        <v>67</v>
      </c>
      <c r="F10988" s="30" t="s">
        <v>68</v>
      </c>
      <c r="G10988" s="30" t="s">
        <v>20</v>
      </c>
      <c r="H10988" s="32">
        <v>581</v>
      </c>
      <c r="I10988" s="30" t="s">
        <v>21</v>
      </c>
      <c r="J10988" s="41">
        <v>44868</v>
      </c>
      <c r="K10988" s="30" t="s">
        <v>22</v>
      </c>
    </row>
    <row r="10989" spans="1:11">
      <c r="A10989" s="33" t="s">
        <v>25028</v>
      </c>
      <c r="B10989" s="33" t="s">
        <v>25029</v>
      </c>
      <c r="C10989" s="33" t="s">
        <v>2123</v>
      </c>
      <c r="D10989" s="33" t="s">
        <v>17</v>
      </c>
      <c r="E10989" s="33" t="s">
        <v>31</v>
      </c>
      <c r="F10989" s="33" t="s">
        <v>32</v>
      </c>
      <c r="G10989" s="33" t="s">
        <v>20</v>
      </c>
      <c r="H10989" s="35">
        <v>80</v>
      </c>
      <c r="I10989" s="33" t="s">
        <v>21</v>
      </c>
      <c r="J10989" s="42">
        <v>44738</v>
      </c>
      <c r="K10989" s="33" t="s">
        <v>22</v>
      </c>
    </row>
    <row r="10990" spans="1:11">
      <c r="A10990" s="30" t="s">
        <v>25030</v>
      </c>
      <c r="B10990" s="30" t="s">
        <v>25031</v>
      </c>
      <c r="C10990" s="30" t="s">
        <v>3679</v>
      </c>
      <c r="D10990" s="30" t="s">
        <v>17</v>
      </c>
      <c r="E10990" s="30" t="s">
        <v>31</v>
      </c>
      <c r="F10990" s="30" t="s">
        <v>32</v>
      </c>
      <c r="G10990" s="30" t="s">
        <v>20</v>
      </c>
      <c r="H10990" s="32">
        <v>176</v>
      </c>
      <c r="I10990" s="30" t="s">
        <v>21</v>
      </c>
      <c r="J10990" s="41">
        <v>44778</v>
      </c>
      <c r="K10990" s="30" t="s">
        <v>22</v>
      </c>
    </row>
    <row r="10991" spans="1:11">
      <c r="A10991" s="33" t="s">
        <v>25032</v>
      </c>
      <c r="B10991" s="33" t="s">
        <v>25033</v>
      </c>
      <c r="C10991" s="33" t="s">
        <v>25034</v>
      </c>
      <c r="D10991" s="33" t="s">
        <v>17</v>
      </c>
      <c r="E10991" s="33" t="s">
        <v>18</v>
      </c>
      <c r="F10991" s="33" t="s">
        <v>19</v>
      </c>
      <c r="G10991" s="33" t="s">
        <v>140</v>
      </c>
      <c r="H10991" s="35">
        <v>150</v>
      </c>
      <c r="I10991" s="33" t="s">
        <v>51</v>
      </c>
      <c r="J10991" s="42">
        <v>44872</v>
      </c>
      <c r="K10991" s="33" t="s">
        <v>22</v>
      </c>
    </row>
    <row r="10992" spans="1:11">
      <c r="A10992" s="30" t="s">
        <v>25035</v>
      </c>
      <c r="B10992" s="30" t="s">
        <v>25036</v>
      </c>
      <c r="C10992" s="30" t="s">
        <v>23056</v>
      </c>
      <c r="D10992" s="30" t="s">
        <v>17</v>
      </c>
      <c r="E10992" s="30" t="s">
        <v>26</v>
      </c>
      <c r="F10992" s="30" t="s">
        <v>27</v>
      </c>
      <c r="G10992" s="30" t="s">
        <v>20</v>
      </c>
      <c r="H10992" s="32">
        <v>30</v>
      </c>
      <c r="I10992" s="30" t="s">
        <v>21</v>
      </c>
      <c r="J10992" s="41">
        <v>44823</v>
      </c>
      <c r="K10992" s="30" t="s">
        <v>22</v>
      </c>
    </row>
    <row r="10993" spans="1:11">
      <c r="A10993" s="33" t="s">
        <v>25037</v>
      </c>
      <c r="B10993" s="33" t="s">
        <v>25038</v>
      </c>
      <c r="C10993" s="33" t="s">
        <v>1801</v>
      </c>
      <c r="D10993" s="33" t="s">
        <v>17</v>
      </c>
      <c r="E10993" s="33" t="s">
        <v>26</v>
      </c>
      <c r="F10993" s="33" t="s">
        <v>27</v>
      </c>
      <c r="G10993" s="33" t="s">
        <v>50</v>
      </c>
      <c r="H10993" s="35">
        <v>108</v>
      </c>
      <c r="I10993" s="33" t="s">
        <v>51</v>
      </c>
      <c r="J10993" s="42">
        <v>44658</v>
      </c>
      <c r="K10993" s="33" t="s">
        <v>22</v>
      </c>
    </row>
    <row r="10994" spans="1:11">
      <c r="A10994" s="30" t="s">
        <v>25039</v>
      </c>
      <c r="B10994" s="30" t="s">
        <v>25040</v>
      </c>
      <c r="C10994" s="30" t="s">
        <v>25041</v>
      </c>
      <c r="D10994" s="30" t="s">
        <v>17</v>
      </c>
      <c r="E10994" s="30" t="s">
        <v>31</v>
      </c>
      <c r="F10994" s="30" t="s">
        <v>32</v>
      </c>
      <c r="G10994" s="30" t="s">
        <v>112</v>
      </c>
      <c r="H10994" s="32">
        <v>0</v>
      </c>
      <c r="I10994" s="30" t="s">
        <v>21</v>
      </c>
      <c r="J10994" s="41">
        <v>44805</v>
      </c>
      <c r="K10994" s="30" t="s">
        <v>22</v>
      </c>
    </row>
    <row r="10995" spans="1:11">
      <c r="A10995" s="33" t="s">
        <v>25042</v>
      </c>
      <c r="B10995" s="33" t="s">
        <v>25043</v>
      </c>
      <c r="C10995" s="33" t="s">
        <v>25044</v>
      </c>
      <c r="D10995" s="33" t="s">
        <v>17</v>
      </c>
      <c r="E10995" s="33" t="s">
        <v>67</v>
      </c>
      <c r="F10995" s="33" t="s">
        <v>68</v>
      </c>
      <c r="G10995" s="33" t="s">
        <v>158</v>
      </c>
      <c r="H10995" s="35">
        <v>53</v>
      </c>
      <c r="I10995" s="33" t="s">
        <v>51</v>
      </c>
      <c r="J10995" s="42">
        <v>44909</v>
      </c>
      <c r="K10995" s="33" t="s">
        <v>22</v>
      </c>
    </row>
    <row r="10996" spans="1:11">
      <c r="A10996" s="30" t="s">
        <v>25045</v>
      </c>
      <c r="B10996" s="30" t="s">
        <v>25046</v>
      </c>
      <c r="C10996" s="30" t="s">
        <v>25047</v>
      </c>
      <c r="D10996" s="30" t="s">
        <v>17</v>
      </c>
      <c r="E10996" s="30" t="s">
        <v>26</v>
      </c>
      <c r="F10996" s="30" t="s">
        <v>27</v>
      </c>
      <c r="G10996" s="30" t="s">
        <v>158</v>
      </c>
      <c r="H10996" s="32">
        <v>26</v>
      </c>
      <c r="I10996" s="30" t="s">
        <v>51</v>
      </c>
      <c r="J10996" s="41">
        <v>44837</v>
      </c>
      <c r="K10996" s="30" t="s">
        <v>22</v>
      </c>
    </row>
    <row r="10997" spans="1:11">
      <c r="A10997" s="33" t="s">
        <v>25048</v>
      </c>
      <c r="B10997" s="33" t="s">
        <v>25049</v>
      </c>
      <c r="C10997" s="33" t="s">
        <v>178</v>
      </c>
      <c r="D10997" s="33" t="s">
        <v>17</v>
      </c>
      <c r="E10997" s="33" t="s">
        <v>67</v>
      </c>
      <c r="F10997" s="33" t="s">
        <v>68</v>
      </c>
      <c r="G10997" s="33" t="s">
        <v>20</v>
      </c>
      <c r="H10997" s="35">
        <v>110</v>
      </c>
      <c r="I10997" s="33" t="s">
        <v>21</v>
      </c>
      <c r="J10997" s="42">
        <v>44594</v>
      </c>
      <c r="K10997" s="33" t="s">
        <v>22</v>
      </c>
    </row>
    <row r="10998" spans="1:11">
      <c r="A10998" s="30" t="s">
        <v>25050</v>
      </c>
      <c r="B10998" s="30" t="s">
        <v>25051</v>
      </c>
      <c r="C10998" s="30" t="s">
        <v>15097</v>
      </c>
      <c r="D10998" s="30" t="s">
        <v>17</v>
      </c>
      <c r="E10998" s="30" t="s">
        <v>26</v>
      </c>
      <c r="F10998" s="30" t="s">
        <v>27</v>
      </c>
      <c r="G10998" s="30" t="s">
        <v>140</v>
      </c>
      <c r="H10998" s="32">
        <v>31</v>
      </c>
      <c r="I10998" s="30" t="s">
        <v>51</v>
      </c>
      <c r="J10998" s="41">
        <v>44704</v>
      </c>
      <c r="K10998" s="30" t="s">
        <v>22</v>
      </c>
    </row>
    <row r="10999" spans="1:11">
      <c r="A10999" s="33" t="s">
        <v>25052</v>
      </c>
      <c r="B10999" s="33" t="s">
        <v>25053</v>
      </c>
      <c r="C10999" s="33" t="s">
        <v>190</v>
      </c>
      <c r="D10999" s="33" t="s">
        <v>17</v>
      </c>
      <c r="E10999" s="33" t="s">
        <v>18</v>
      </c>
      <c r="F10999" s="33" t="s">
        <v>19</v>
      </c>
      <c r="G10999" s="33" t="s">
        <v>140</v>
      </c>
      <c r="H10999" s="35">
        <v>860</v>
      </c>
      <c r="I10999" s="33" t="s">
        <v>51</v>
      </c>
      <c r="J10999" s="42">
        <v>44610</v>
      </c>
      <c r="K10999" s="33" t="s">
        <v>22</v>
      </c>
    </row>
    <row r="11000" spans="1:11">
      <c r="A11000" s="30" t="s">
        <v>25054</v>
      </c>
      <c r="B11000" s="30" t="s">
        <v>25055</v>
      </c>
      <c r="C11000" s="30" t="s">
        <v>6092</v>
      </c>
      <c r="D11000" s="30" t="s">
        <v>17</v>
      </c>
      <c r="E11000" s="30" t="s">
        <v>26</v>
      </c>
      <c r="F11000" s="30" t="s">
        <v>27</v>
      </c>
      <c r="G11000" s="30" t="s">
        <v>140</v>
      </c>
      <c r="H11000" s="32">
        <v>100</v>
      </c>
      <c r="I11000" s="30" t="s">
        <v>51</v>
      </c>
      <c r="J11000" s="41">
        <v>44689</v>
      </c>
      <c r="K11000" s="30" t="s">
        <v>22</v>
      </c>
    </row>
    <row r="11001" spans="1:11">
      <c r="A11001" s="33" t="s">
        <v>25056</v>
      </c>
      <c r="B11001" s="33" t="s">
        <v>25057</v>
      </c>
      <c r="C11001" s="33" t="s">
        <v>1270</v>
      </c>
      <c r="D11001" s="33" t="s">
        <v>17</v>
      </c>
      <c r="E11001" s="33" t="s">
        <v>26</v>
      </c>
      <c r="F11001" s="33" t="s">
        <v>27</v>
      </c>
      <c r="G11001" s="33" t="s">
        <v>50</v>
      </c>
      <c r="H11001" s="35">
        <v>76</v>
      </c>
      <c r="I11001" s="33" t="s">
        <v>51</v>
      </c>
      <c r="J11001" s="42">
        <v>44774</v>
      </c>
      <c r="K11001" s="33" t="s">
        <v>22</v>
      </c>
    </row>
    <row r="11002" spans="1:11">
      <c r="A11002" s="30" t="s">
        <v>25058</v>
      </c>
      <c r="B11002" s="30" t="s">
        <v>25059</v>
      </c>
      <c r="C11002" s="30" t="s">
        <v>6663</v>
      </c>
      <c r="D11002" s="30" t="s">
        <v>17</v>
      </c>
      <c r="E11002" s="30" t="s">
        <v>67</v>
      </c>
      <c r="F11002" s="30" t="s">
        <v>68</v>
      </c>
      <c r="G11002" s="30" t="s">
        <v>20</v>
      </c>
      <c r="H11002" s="32">
        <v>98</v>
      </c>
      <c r="I11002" s="30" t="s">
        <v>21</v>
      </c>
      <c r="J11002" s="41">
        <v>44805</v>
      </c>
      <c r="K11002" s="30" t="s">
        <v>22</v>
      </c>
    </row>
    <row r="11003" spans="1:11">
      <c r="A11003" s="33" t="s">
        <v>25060</v>
      </c>
      <c r="B11003" s="33" t="s">
        <v>25061</v>
      </c>
      <c r="C11003" s="33" t="s">
        <v>25062</v>
      </c>
      <c r="D11003" s="33" t="s">
        <v>17</v>
      </c>
      <c r="E11003" s="33" t="s">
        <v>67</v>
      </c>
      <c r="F11003" s="33" t="s">
        <v>68</v>
      </c>
      <c r="G11003" s="33" t="s">
        <v>140</v>
      </c>
      <c r="H11003" s="35">
        <v>18</v>
      </c>
      <c r="I11003" s="33" t="s">
        <v>51</v>
      </c>
      <c r="J11003" s="42">
        <v>44656</v>
      </c>
      <c r="K11003" s="33" t="s">
        <v>22</v>
      </c>
    </row>
    <row r="11004" spans="1:11">
      <c r="A11004" s="30" t="s">
        <v>25063</v>
      </c>
      <c r="B11004" s="30" t="s">
        <v>25064</v>
      </c>
      <c r="C11004" s="30" t="s">
        <v>25065</v>
      </c>
      <c r="D11004" s="30" t="s">
        <v>17</v>
      </c>
      <c r="E11004" s="30" t="s">
        <v>26</v>
      </c>
      <c r="F11004" s="30" t="s">
        <v>27</v>
      </c>
      <c r="G11004" s="30" t="s">
        <v>20</v>
      </c>
      <c r="H11004" s="32">
        <v>46</v>
      </c>
      <c r="I11004" s="30" t="s">
        <v>21</v>
      </c>
      <c r="J11004" s="41">
        <v>44679</v>
      </c>
      <c r="K11004" s="30" t="s">
        <v>22</v>
      </c>
    </row>
    <row r="11005" spans="1:11">
      <c r="A11005" s="33" t="s">
        <v>25066</v>
      </c>
      <c r="B11005" s="33" t="s">
        <v>25067</v>
      </c>
      <c r="C11005" s="33" t="s">
        <v>1996</v>
      </c>
      <c r="D11005" s="33" t="s">
        <v>17</v>
      </c>
      <c r="E11005" s="33" t="s">
        <v>67</v>
      </c>
      <c r="F11005" s="33" t="s">
        <v>68</v>
      </c>
      <c r="G11005" s="33" t="s">
        <v>20</v>
      </c>
      <c r="H11005" s="35">
        <v>56</v>
      </c>
      <c r="I11005" s="33" t="s">
        <v>21</v>
      </c>
      <c r="J11005" s="42">
        <v>44677</v>
      </c>
      <c r="K11005" s="33" t="s">
        <v>22</v>
      </c>
    </row>
    <row r="11006" spans="1:11">
      <c r="A11006" s="30" t="s">
        <v>25068</v>
      </c>
      <c r="B11006" s="30" t="s">
        <v>25069</v>
      </c>
      <c r="C11006" s="30" t="s">
        <v>13492</v>
      </c>
      <c r="D11006" s="30" t="s">
        <v>17</v>
      </c>
      <c r="E11006" s="30" t="s">
        <v>212</v>
      </c>
      <c r="F11006" s="30" t="s">
        <v>213</v>
      </c>
      <c r="G11006" s="30" t="s">
        <v>158</v>
      </c>
      <c r="H11006" s="32">
        <v>525</v>
      </c>
      <c r="I11006" s="30" t="s">
        <v>21</v>
      </c>
      <c r="J11006" s="41">
        <v>44907</v>
      </c>
      <c r="K11006" s="30" t="s">
        <v>22</v>
      </c>
    </row>
    <row r="11007" spans="1:11">
      <c r="A11007" s="33" t="s">
        <v>25070</v>
      </c>
      <c r="B11007" s="33" t="s">
        <v>25071</v>
      </c>
      <c r="C11007" s="33" t="s">
        <v>9688</v>
      </c>
      <c r="D11007" s="33" t="s">
        <v>17</v>
      </c>
      <c r="E11007" s="33" t="s">
        <v>26</v>
      </c>
      <c r="F11007" s="33" t="s">
        <v>27</v>
      </c>
      <c r="G11007" s="33" t="s">
        <v>20</v>
      </c>
      <c r="H11007" s="35">
        <v>66</v>
      </c>
      <c r="I11007" s="33" t="s">
        <v>21</v>
      </c>
      <c r="J11007" s="42">
        <v>44846</v>
      </c>
      <c r="K11007" s="33" t="s">
        <v>22</v>
      </c>
    </row>
    <row r="11008" spans="1:11">
      <c r="A11008" s="30" t="s">
        <v>25072</v>
      </c>
      <c r="B11008" s="30" t="s">
        <v>25073</v>
      </c>
      <c r="C11008" s="30" t="s">
        <v>25074</v>
      </c>
      <c r="D11008" s="30" t="s">
        <v>17</v>
      </c>
      <c r="E11008" s="30" t="s">
        <v>31</v>
      </c>
      <c r="F11008" s="30" t="s">
        <v>32</v>
      </c>
      <c r="G11008" s="30" t="s">
        <v>20</v>
      </c>
      <c r="H11008" s="32">
        <v>37</v>
      </c>
      <c r="I11008" s="30" t="s">
        <v>21</v>
      </c>
      <c r="J11008" s="41">
        <v>44602</v>
      </c>
      <c r="K11008" s="30" t="s">
        <v>22</v>
      </c>
    </row>
    <row r="11009" spans="1:11">
      <c r="A11009" s="33" t="s">
        <v>25075</v>
      </c>
      <c r="B11009" s="33" t="s">
        <v>25076</v>
      </c>
      <c r="C11009" s="33" t="s">
        <v>25077</v>
      </c>
      <c r="D11009" s="33" t="s">
        <v>17</v>
      </c>
      <c r="E11009" s="33" t="s">
        <v>67</v>
      </c>
      <c r="F11009" s="33" t="s">
        <v>68</v>
      </c>
      <c r="G11009" s="33" t="s">
        <v>50</v>
      </c>
      <c r="H11009" s="35">
        <v>45</v>
      </c>
      <c r="I11009" s="33" t="s">
        <v>51</v>
      </c>
      <c r="J11009" s="42">
        <v>44882</v>
      </c>
      <c r="K11009" s="33" t="s">
        <v>22</v>
      </c>
    </row>
    <row r="11010" spans="1:11">
      <c r="A11010" s="30" t="s">
        <v>25078</v>
      </c>
      <c r="B11010" s="30" t="s">
        <v>25079</v>
      </c>
      <c r="C11010" s="30" t="s">
        <v>6470</v>
      </c>
      <c r="D11010" s="30" t="s">
        <v>17</v>
      </c>
      <c r="E11010" s="30" t="s">
        <v>18</v>
      </c>
      <c r="F11010" s="30" t="s">
        <v>19</v>
      </c>
      <c r="G11010" s="30" t="s">
        <v>140</v>
      </c>
      <c r="H11010" s="32">
        <v>410</v>
      </c>
      <c r="I11010" s="30" t="s">
        <v>51</v>
      </c>
      <c r="J11010" s="41">
        <v>44796</v>
      </c>
      <c r="K11010" s="30" t="s">
        <v>22</v>
      </c>
    </row>
    <row r="11011" spans="1:11">
      <c r="A11011" s="33" t="s">
        <v>25080</v>
      </c>
      <c r="B11011" s="33" t="s">
        <v>25081</v>
      </c>
      <c r="C11011" s="33" t="s">
        <v>1801</v>
      </c>
      <c r="D11011" s="33" t="s">
        <v>17</v>
      </c>
      <c r="E11011" s="33" t="s">
        <v>31</v>
      </c>
      <c r="F11011" s="33" t="s">
        <v>32</v>
      </c>
      <c r="G11011" s="33" t="s">
        <v>50</v>
      </c>
      <c r="H11011" s="35">
        <v>110</v>
      </c>
      <c r="I11011" s="33" t="s">
        <v>51</v>
      </c>
      <c r="J11011" s="42">
        <v>44593</v>
      </c>
      <c r="K11011" s="33" t="s">
        <v>22</v>
      </c>
    </row>
    <row r="11012" spans="1:11">
      <c r="A11012" s="30" t="s">
        <v>25082</v>
      </c>
      <c r="B11012" s="30" t="s">
        <v>25083</v>
      </c>
      <c r="C11012" s="30" t="s">
        <v>21185</v>
      </c>
      <c r="D11012" s="30" t="s">
        <v>17</v>
      </c>
      <c r="E11012" s="30" t="s">
        <v>26</v>
      </c>
      <c r="F11012" s="30" t="s">
        <v>27</v>
      </c>
      <c r="G11012" s="30" t="s">
        <v>50</v>
      </c>
      <c r="H11012" s="32">
        <v>190</v>
      </c>
      <c r="I11012" s="30" t="s">
        <v>51</v>
      </c>
      <c r="J11012" s="41">
        <v>44593</v>
      </c>
      <c r="K11012" s="30" t="s">
        <v>22</v>
      </c>
    </row>
    <row r="11013" spans="1:11">
      <c r="A11013" s="33" t="s">
        <v>25084</v>
      </c>
      <c r="B11013" s="33" t="s">
        <v>25085</v>
      </c>
      <c r="C11013" s="33" t="s">
        <v>149</v>
      </c>
      <c r="D11013" s="33" t="s">
        <v>17</v>
      </c>
      <c r="E11013" s="33" t="s">
        <v>18</v>
      </c>
      <c r="F11013" s="33" t="s">
        <v>19</v>
      </c>
      <c r="G11013" s="33" t="s">
        <v>158</v>
      </c>
      <c r="H11013" s="35">
        <v>423</v>
      </c>
      <c r="I11013" s="33" t="s">
        <v>21</v>
      </c>
      <c r="J11013" s="42">
        <v>44782</v>
      </c>
      <c r="K11013" s="33" t="s">
        <v>22</v>
      </c>
    </row>
    <row r="11014" spans="1:11">
      <c r="A11014" s="30" t="s">
        <v>25086</v>
      </c>
      <c r="B11014" s="30" t="s">
        <v>25087</v>
      </c>
      <c r="C11014" s="30" t="s">
        <v>18818</v>
      </c>
      <c r="D11014" s="30" t="s">
        <v>17</v>
      </c>
      <c r="E11014" s="30" t="s">
        <v>31</v>
      </c>
      <c r="F11014" s="30" t="s">
        <v>32</v>
      </c>
      <c r="G11014" s="30" t="s">
        <v>140</v>
      </c>
      <c r="H11014" s="32">
        <v>164</v>
      </c>
      <c r="I11014" s="30" t="s">
        <v>51</v>
      </c>
      <c r="J11014" s="41">
        <v>44845</v>
      </c>
      <c r="K11014" s="30" t="s">
        <v>22</v>
      </c>
    </row>
    <row r="11015" spans="1:11">
      <c r="A11015" s="33" t="s">
        <v>25088</v>
      </c>
      <c r="B11015" s="33" t="s">
        <v>25089</v>
      </c>
      <c r="C11015" s="33" t="s">
        <v>1826</v>
      </c>
      <c r="D11015" s="33" t="s">
        <v>17</v>
      </c>
      <c r="E11015" s="33" t="s">
        <v>31</v>
      </c>
      <c r="F11015" s="33" t="s">
        <v>32</v>
      </c>
      <c r="G11015" s="33" t="s">
        <v>20</v>
      </c>
      <c r="H11015" s="35">
        <v>189</v>
      </c>
      <c r="I11015" s="33" t="s">
        <v>21</v>
      </c>
      <c r="J11015" s="42">
        <v>44587</v>
      </c>
      <c r="K11015" s="33" t="s">
        <v>22</v>
      </c>
    </row>
    <row r="11016" spans="1:11">
      <c r="A11016" s="30" t="s">
        <v>25090</v>
      </c>
      <c r="B11016" s="30" t="s">
        <v>25091</v>
      </c>
      <c r="C11016" s="30" t="s">
        <v>190</v>
      </c>
      <c r="D11016" s="30" t="s">
        <v>17</v>
      </c>
      <c r="E11016" s="30" t="s">
        <v>26</v>
      </c>
      <c r="F11016" s="30" t="s">
        <v>27</v>
      </c>
      <c r="G11016" s="30" t="s">
        <v>158</v>
      </c>
      <c r="H11016" s="32">
        <v>14</v>
      </c>
      <c r="I11016" s="30" t="s">
        <v>21</v>
      </c>
      <c r="J11016" s="41">
        <v>44827</v>
      </c>
      <c r="K11016" s="30" t="s">
        <v>22</v>
      </c>
    </row>
    <row r="11017" spans="1:11">
      <c r="A11017" s="33" t="s">
        <v>25092</v>
      </c>
      <c r="B11017" s="33" t="s">
        <v>25093</v>
      </c>
      <c r="C11017" s="33" t="s">
        <v>13241</v>
      </c>
      <c r="D11017" s="33" t="s">
        <v>17</v>
      </c>
      <c r="E11017" s="33" t="s">
        <v>26</v>
      </c>
      <c r="F11017" s="33" t="s">
        <v>27</v>
      </c>
      <c r="G11017" s="33" t="s">
        <v>20</v>
      </c>
      <c r="H11017" s="35">
        <v>71</v>
      </c>
      <c r="I11017" s="33" t="s">
        <v>21</v>
      </c>
      <c r="J11017" s="42">
        <v>44783</v>
      </c>
      <c r="K11017" s="33" t="s">
        <v>22</v>
      </c>
    </row>
    <row r="11018" spans="1:11">
      <c r="A11018" s="30" t="s">
        <v>25094</v>
      </c>
      <c r="B11018" s="30" t="s">
        <v>25095</v>
      </c>
      <c r="C11018" s="30" t="s">
        <v>9629</v>
      </c>
      <c r="D11018" s="30" t="s">
        <v>17</v>
      </c>
      <c r="E11018" s="30" t="s">
        <v>31</v>
      </c>
      <c r="F11018" s="30" t="s">
        <v>32</v>
      </c>
      <c r="G11018" s="30" t="s">
        <v>20</v>
      </c>
      <c r="H11018" s="32">
        <v>31</v>
      </c>
      <c r="I11018" s="30" t="s">
        <v>21</v>
      </c>
      <c r="J11018" s="41">
        <v>44786</v>
      </c>
      <c r="K11018" s="30" t="s">
        <v>22</v>
      </c>
    </row>
    <row r="11019" spans="1:11">
      <c r="A11019" s="33" t="s">
        <v>25096</v>
      </c>
      <c r="B11019" s="33" t="s">
        <v>25097</v>
      </c>
      <c r="C11019" s="33" t="s">
        <v>25098</v>
      </c>
      <c r="D11019" s="33" t="s">
        <v>17</v>
      </c>
      <c r="E11019" s="33" t="s">
        <v>45</v>
      </c>
      <c r="F11019" s="33" t="s">
        <v>46</v>
      </c>
      <c r="G11019" s="33" t="s">
        <v>158</v>
      </c>
      <c r="H11019" s="35">
        <v>90</v>
      </c>
      <c r="I11019" s="33" t="s">
        <v>21</v>
      </c>
      <c r="J11019" s="42">
        <v>44743</v>
      </c>
      <c r="K11019" s="33" t="s">
        <v>22</v>
      </c>
    </row>
    <row r="11020" spans="1:11">
      <c r="A11020" s="30" t="s">
        <v>25099</v>
      </c>
      <c r="B11020" s="30" t="s">
        <v>25100</v>
      </c>
      <c r="C11020" s="30" t="s">
        <v>25101</v>
      </c>
      <c r="D11020" s="30" t="s">
        <v>17</v>
      </c>
      <c r="E11020" s="30" t="s">
        <v>26</v>
      </c>
      <c r="F11020" s="30" t="s">
        <v>27</v>
      </c>
      <c r="G11020" s="30" t="s">
        <v>106</v>
      </c>
      <c r="H11020" s="32">
        <v>2</v>
      </c>
      <c r="I11020" s="30" t="s">
        <v>21</v>
      </c>
      <c r="J11020" s="41">
        <v>44869</v>
      </c>
      <c r="K11020" s="30" t="s">
        <v>22</v>
      </c>
    </row>
    <row r="11021" spans="1:11">
      <c r="A11021" s="33" t="s">
        <v>25102</v>
      </c>
      <c r="B11021" s="33" t="s">
        <v>25103</v>
      </c>
      <c r="C11021" s="33" t="s">
        <v>847</v>
      </c>
      <c r="D11021" s="33" t="s">
        <v>17</v>
      </c>
      <c r="E11021" s="33" t="s">
        <v>26</v>
      </c>
      <c r="F11021" s="33" t="s">
        <v>27</v>
      </c>
      <c r="G11021" s="33" t="s">
        <v>50</v>
      </c>
      <c r="H11021" s="35">
        <v>18</v>
      </c>
      <c r="I11021" s="33" t="s">
        <v>51</v>
      </c>
      <c r="J11021" s="42">
        <v>44830</v>
      </c>
      <c r="K11021" s="33" t="s">
        <v>22</v>
      </c>
    </row>
    <row r="11022" spans="1:11">
      <c r="A11022" s="30" t="s">
        <v>25104</v>
      </c>
      <c r="B11022" s="30" t="s">
        <v>25105</v>
      </c>
      <c r="C11022" s="30" t="s">
        <v>21185</v>
      </c>
      <c r="D11022" s="30" t="s">
        <v>17</v>
      </c>
      <c r="E11022" s="30" t="s">
        <v>31</v>
      </c>
      <c r="F11022" s="30" t="s">
        <v>32</v>
      </c>
      <c r="G11022" s="30" t="s">
        <v>106</v>
      </c>
      <c r="H11022" s="32">
        <v>7</v>
      </c>
      <c r="I11022" s="30" t="s">
        <v>21</v>
      </c>
      <c r="J11022" s="41">
        <v>44690</v>
      </c>
      <c r="K11022" s="30" t="s">
        <v>22</v>
      </c>
    </row>
    <row r="11023" spans="1:11">
      <c r="A11023" s="33" t="s">
        <v>25106</v>
      </c>
      <c r="B11023" s="33" t="s">
        <v>25107</v>
      </c>
      <c r="C11023" s="33" t="s">
        <v>25108</v>
      </c>
      <c r="D11023" s="33" t="s">
        <v>17</v>
      </c>
      <c r="E11023" s="33" t="s">
        <v>212</v>
      </c>
      <c r="F11023" s="33" t="s">
        <v>213</v>
      </c>
      <c r="G11023" s="33" t="s">
        <v>20</v>
      </c>
      <c r="H11023" s="35">
        <v>14</v>
      </c>
      <c r="I11023" s="33" t="s">
        <v>21</v>
      </c>
      <c r="J11023" s="42">
        <v>44909</v>
      </c>
      <c r="K11023" s="33" t="s">
        <v>22</v>
      </c>
    </row>
    <row r="11024" spans="1:11">
      <c r="A11024" s="30" t="s">
        <v>25109</v>
      </c>
      <c r="B11024" s="30" t="s">
        <v>25110</v>
      </c>
      <c r="C11024" s="30" t="s">
        <v>2775</v>
      </c>
      <c r="D11024" s="30" t="s">
        <v>17</v>
      </c>
      <c r="E11024" s="30" t="s">
        <v>26</v>
      </c>
      <c r="F11024" s="30" t="s">
        <v>27</v>
      </c>
      <c r="G11024" s="30" t="s">
        <v>20</v>
      </c>
      <c r="H11024" s="32">
        <v>32</v>
      </c>
      <c r="I11024" s="30" t="s">
        <v>21</v>
      </c>
      <c r="J11024" s="41">
        <v>44722</v>
      </c>
      <c r="K11024" s="30" t="s">
        <v>22</v>
      </c>
    </row>
    <row r="11025" spans="1:11">
      <c r="A11025" s="33" t="s">
        <v>25111</v>
      </c>
      <c r="B11025" s="33" t="s">
        <v>25112</v>
      </c>
      <c r="C11025" s="33" t="s">
        <v>9095</v>
      </c>
      <c r="D11025" s="33" t="s">
        <v>17</v>
      </c>
      <c r="E11025" s="33" t="s">
        <v>26</v>
      </c>
      <c r="F11025" s="33" t="s">
        <v>27</v>
      </c>
      <c r="G11025" s="33" t="s">
        <v>20</v>
      </c>
      <c r="H11025" s="35">
        <v>150</v>
      </c>
      <c r="I11025" s="33" t="s">
        <v>21</v>
      </c>
      <c r="J11025" s="42">
        <v>44727</v>
      </c>
      <c r="K11025" s="33" t="s">
        <v>22</v>
      </c>
    </row>
    <row r="11026" spans="1:11">
      <c r="A11026" s="30" t="s">
        <v>25113</v>
      </c>
      <c r="B11026" s="30" t="s">
        <v>25114</v>
      </c>
      <c r="C11026" s="30" t="s">
        <v>102</v>
      </c>
      <c r="D11026" s="30" t="s">
        <v>17</v>
      </c>
      <c r="E11026" s="30" t="s">
        <v>31</v>
      </c>
      <c r="F11026" s="30" t="s">
        <v>32</v>
      </c>
      <c r="G11026" s="30" t="s">
        <v>158</v>
      </c>
      <c r="H11026" s="32">
        <v>151</v>
      </c>
      <c r="I11026" s="30" t="s">
        <v>21</v>
      </c>
      <c r="J11026" s="41">
        <v>44621</v>
      </c>
      <c r="K11026" s="30" t="s">
        <v>22</v>
      </c>
    </row>
    <row r="11027" spans="1:11">
      <c r="A11027" s="33" t="s">
        <v>25115</v>
      </c>
      <c r="B11027" s="33" t="s">
        <v>25116</v>
      </c>
      <c r="C11027" s="33" t="s">
        <v>22999</v>
      </c>
      <c r="D11027" s="33" t="s">
        <v>17</v>
      </c>
      <c r="E11027" s="33" t="s">
        <v>26</v>
      </c>
      <c r="F11027" s="33" t="s">
        <v>27</v>
      </c>
      <c r="G11027" s="33" t="s">
        <v>140</v>
      </c>
      <c r="H11027" s="35">
        <v>72</v>
      </c>
      <c r="I11027" s="33" t="s">
        <v>51</v>
      </c>
      <c r="J11027" s="42">
        <v>44903</v>
      </c>
      <c r="K11027" s="33" t="s">
        <v>22</v>
      </c>
    </row>
    <row r="11028" spans="1:11">
      <c r="A11028" s="30" t="s">
        <v>25117</v>
      </c>
      <c r="B11028" s="30" t="s">
        <v>25118</v>
      </c>
      <c r="C11028" s="30" t="s">
        <v>25119</v>
      </c>
      <c r="D11028" s="30" t="s">
        <v>17</v>
      </c>
      <c r="E11028" s="30" t="s">
        <v>26</v>
      </c>
      <c r="F11028" s="30" t="s">
        <v>27</v>
      </c>
      <c r="G11028" s="30" t="s">
        <v>20</v>
      </c>
      <c r="H11028" s="32">
        <v>30</v>
      </c>
      <c r="I11028" s="30" t="s">
        <v>21</v>
      </c>
      <c r="J11028" s="41">
        <v>44594</v>
      </c>
      <c r="K11028" s="30" t="s">
        <v>22</v>
      </c>
    </row>
    <row r="11029" spans="1:11">
      <c r="A11029" s="33" t="s">
        <v>25120</v>
      </c>
      <c r="B11029" s="33" t="s">
        <v>25121</v>
      </c>
      <c r="C11029" s="33" t="s">
        <v>25122</v>
      </c>
      <c r="D11029" s="33" t="s">
        <v>17</v>
      </c>
      <c r="E11029" s="33" t="s">
        <v>31</v>
      </c>
      <c r="F11029" s="33" t="s">
        <v>32</v>
      </c>
      <c r="G11029" s="33" t="s">
        <v>20</v>
      </c>
      <c r="H11029" s="35">
        <v>25</v>
      </c>
      <c r="I11029" s="33" t="s">
        <v>21</v>
      </c>
      <c r="J11029" s="42">
        <v>44804</v>
      </c>
      <c r="K11029" s="33" t="s">
        <v>22</v>
      </c>
    </row>
    <row r="11030" spans="1:11">
      <c r="A11030" s="30" t="s">
        <v>25123</v>
      </c>
      <c r="B11030" s="30" t="s">
        <v>25124</v>
      </c>
      <c r="C11030" s="30" t="s">
        <v>178</v>
      </c>
      <c r="D11030" s="30" t="s">
        <v>17</v>
      </c>
      <c r="E11030" s="30" t="s">
        <v>31</v>
      </c>
      <c r="F11030" s="30" t="s">
        <v>32</v>
      </c>
      <c r="G11030" s="30" t="s">
        <v>158</v>
      </c>
      <c r="H11030" s="32">
        <v>46</v>
      </c>
      <c r="I11030" s="30" t="s">
        <v>21</v>
      </c>
      <c r="J11030" s="41">
        <v>44642</v>
      </c>
      <c r="K11030" s="30" t="s">
        <v>22</v>
      </c>
    </row>
    <row r="11031" spans="1:11">
      <c r="A11031" s="33" t="s">
        <v>25125</v>
      </c>
      <c r="B11031" s="33" t="s">
        <v>25126</v>
      </c>
      <c r="C11031" s="33" t="s">
        <v>118</v>
      </c>
      <c r="D11031" s="33" t="s">
        <v>17</v>
      </c>
      <c r="E11031" s="33" t="s">
        <v>18</v>
      </c>
      <c r="F11031" s="33" t="s">
        <v>19</v>
      </c>
      <c r="G11031" s="33" t="s">
        <v>106</v>
      </c>
      <c r="H11031" s="35">
        <v>14830</v>
      </c>
      <c r="I11031" s="33" t="s">
        <v>21</v>
      </c>
      <c r="J11031" s="42">
        <v>44900</v>
      </c>
      <c r="K11031" s="33" t="s">
        <v>22</v>
      </c>
    </row>
    <row r="11032" spans="1:11">
      <c r="A11032" s="30" t="s">
        <v>25127</v>
      </c>
      <c r="B11032" s="30" t="s">
        <v>25128</v>
      </c>
      <c r="C11032" s="30" t="s">
        <v>8069</v>
      </c>
      <c r="D11032" s="30" t="s">
        <v>17</v>
      </c>
      <c r="E11032" s="30" t="s">
        <v>26</v>
      </c>
      <c r="F11032" s="30" t="s">
        <v>27</v>
      </c>
      <c r="G11032" s="30" t="s">
        <v>20</v>
      </c>
      <c r="H11032" s="32">
        <v>27</v>
      </c>
      <c r="I11032" s="30" t="s">
        <v>21</v>
      </c>
      <c r="J11032" s="41">
        <v>44722</v>
      </c>
      <c r="K11032" s="30" t="s">
        <v>22</v>
      </c>
    </row>
    <row r="11033" spans="1:11">
      <c r="A11033" s="33" t="s">
        <v>25129</v>
      </c>
      <c r="B11033" s="33" t="s">
        <v>25130</v>
      </c>
      <c r="C11033" s="33" t="s">
        <v>136</v>
      </c>
      <c r="D11033" s="33" t="s">
        <v>17</v>
      </c>
      <c r="E11033" s="33" t="s">
        <v>18</v>
      </c>
      <c r="F11033" s="33" t="s">
        <v>19</v>
      </c>
      <c r="G11033" s="33" t="s">
        <v>158</v>
      </c>
      <c r="H11033" s="35">
        <v>15374</v>
      </c>
      <c r="I11033" s="33" t="s">
        <v>21</v>
      </c>
      <c r="J11033" s="42">
        <v>44845</v>
      </c>
      <c r="K11033" s="33" t="s">
        <v>22</v>
      </c>
    </row>
    <row r="11034" spans="1:11">
      <c r="A11034" s="30" t="s">
        <v>25131</v>
      </c>
      <c r="B11034" s="30" t="s">
        <v>25132</v>
      </c>
      <c r="C11034" s="30" t="s">
        <v>1090</v>
      </c>
      <c r="D11034" s="30" t="s">
        <v>17</v>
      </c>
      <c r="E11034" s="30" t="s">
        <v>31</v>
      </c>
      <c r="F11034" s="30" t="s">
        <v>32</v>
      </c>
      <c r="G11034" s="30" t="s">
        <v>106</v>
      </c>
      <c r="H11034" s="32">
        <v>132</v>
      </c>
      <c r="I11034" s="30" t="s">
        <v>21</v>
      </c>
      <c r="J11034" s="41">
        <v>44854</v>
      </c>
      <c r="K11034" s="30" t="s">
        <v>22</v>
      </c>
    </row>
    <row r="11035" spans="1:11">
      <c r="A11035" s="33" t="s">
        <v>25133</v>
      </c>
      <c r="B11035" s="33" t="s">
        <v>25134</v>
      </c>
      <c r="C11035" s="33" t="s">
        <v>4282</v>
      </c>
      <c r="D11035" s="33" t="s">
        <v>17</v>
      </c>
      <c r="E11035" s="33" t="s">
        <v>31</v>
      </c>
      <c r="F11035" s="33" t="s">
        <v>32</v>
      </c>
      <c r="G11035" s="33" t="s">
        <v>50</v>
      </c>
      <c r="H11035" s="35">
        <v>50</v>
      </c>
      <c r="I11035" s="33" t="s">
        <v>51</v>
      </c>
      <c r="J11035" s="42">
        <v>44788</v>
      </c>
      <c r="K11035" s="33" t="s">
        <v>22</v>
      </c>
    </row>
    <row r="11036" spans="1:11">
      <c r="A11036" s="30" t="s">
        <v>25135</v>
      </c>
      <c r="B11036" s="30" t="s">
        <v>25136</v>
      </c>
      <c r="C11036" s="30" t="s">
        <v>20032</v>
      </c>
      <c r="D11036" s="30" t="s">
        <v>17</v>
      </c>
      <c r="E11036" s="30" t="s">
        <v>18</v>
      </c>
      <c r="F11036" s="30" t="s">
        <v>19</v>
      </c>
      <c r="G11036" s="30" t="s">
        <v>20</v>
      </c>
      <c r="H11036" s="32">
        <v>1040</v>
      </c>
      <c r="I11036" s="30" t="s">
        <v>21</v>
      </c>
      <c r="J11036" s="41">
        <v>44687</v>
      </c>
      <c r="K11036" s="30" t="s">
        <v>22</v>
      </c>
    </row>
    <row r="11037" spans="1:11">
      <c r="A11037" s="33" t="s">
        <v>25137</v>
      </c>
      <c r="B11037" s="33" t="s">
        <v>25138</v>
      </c>
      <c r="C11037" s="33" t="s">
        <v>410</v>
      </c>
      <c r="D11037" s="33" t="s">
        <v>17</v>
      </c>
      <c r="E11037" s="33" t="s">
        <v>26</v>
      </c>
      <c r="F11037" s="33" t="s">
        <v>27</v>
      </c>
      <c r="G11037" s="33" t="s">
        <v>158</v>
      </c>
      <c r="H11037" s="35">
        <v>130</v>
      </c>
      <c r="I11037" s="33" t="s">
        <v>51</v>
      </c>
      <c r="J11037" s="42">
        <v>44651</v>
      </c>
      <c r="K11037" s="33" t="s">
        <v>22</v>
      </c>
    </row>
    <row r="11038" spans="1:11">
      <c r="A11038" s="30" t="s">
        <v>25139</v>
      </c>
      <c r="B11038" s="30" t="s">
        <v>25140</v>
      </c>
      <c r="C11038" s="30" t="s">
        <v>10974</v>
      </c>
      <c r="D11038" s="30" t="s">
        <v>17</v>
      </c>
      <c r="E11038" s="30" t="s">
        <v>18</v>
      </c>
      <c r="F11038" s="30" t="s">
        <v>19</v>
      </c>
      <c r="G11038" s="30" t="s">
        <v>2613</v>
      </c>
      <c r="H11038" s="32">
        <v>1850</v>
      </c>
      <c r="I11038" s="30" t="s">
        <v>51</v>
      </c>
      <c r="J11038" s="41">
        <v>44810</v>
      </c>
      <c r="K11038" s="30" t="s">
        <v>22</v>
      </c>
    </row>
    <row r="11039" spans="1:11">
      <c r="A11039" s="33" t="s">
        <v>25141</v>
      </c>
      <c r="B11039" s="33" t="s">
        <v>25142</v>
      </c>
      <c r="C11039" s="33" t="s">
        <v>25143</v>
      </c>
      <c r="D11039" s="33" t="s">
        <v>17</v>
      </c>
      <c r="E11039" s="33" t="s">
        <v>31</v>
      </c>
      <c r="F11039" s="33" t="s">
        <v>32</v>
      </c>
      <c r="G11039" s="33" t="s">
        <v>20</v>
      </c>
      <c r="H11039" s="35">
        <v>14</v>
      </c>
      <c r="I11039" s="33" t="s">
        <v>21</v>
      </c>
      <c r="J11039" s="42">
        <v>44581</v>
      </c>
      <c r="K11039" s="33" t="s">
        <v>22</v>
      </c>
    </row>
    <row r="11040" spans="1:11">
      <c r="A11040" s="30" t="s">
        <v>25144</v>
      </c>
      <c r="B11040" s="30" t="s">
        <v>25145</v>
      </c>
      <c r="C11040" s="30" t="s">
        <v>25146</v>
      </c>
      <c r="D11040" s="30" t="s">
        <v>17</v>
      </c>
      <c r="E11040" s="30" t="s">
        <v>18</v>
      </c>
      <c r="F11040" s="30" t="s">
        <v>19</v>
      </c>
      <c r="G11040" s="30" t="s">
        <v>106</v>
      </c>
      <c r="H11040" s="32">
        <v>23</v>
      </c>
      <c r="I11040" s="30" t="s">
        <v>21</v>
      </c>
      <c r="J11040" s="41">
        <v>44740</v>
      </c>
      <c r="K11040" s="30" t="s">
        <v>22</v>
      </c>
    </row>
    <row r="11041" spans="1:11">
      <c r="A11041" s="33" t="s">
        <v>25147</v>
      </c>
      <c r="B11041" s="33" t="s">
        <v>25148</v>
      </c>
      <c r="C11041" s="33" t="s">
        <v>1136</v>
      </c>
      <c r="D11041" s="33" t="s">
        <v>17</v>
      </c>
      <c r="E11041" s="33" t="s">
        <v>18</v>
      </c>
      <c r="F11041" s="33" t="s">
        <v>19</v>
      </c>
      <c r="G11041" s="33" t="s">
        <v>158</v>
      </c>
      <c r="H11041" s="35">
        <v>209</v>
      </c>
      <c r="I11041" s="33" t="s">
        <v>21</v>
      </c>
      <c r="J11041" s="42">
        <v>44796</v>
      </c>
      <c r="K11041" s="33" t="s">
        <v>22</v>
      </c>
    </row>
    <row r="11042" spans="1:11">
      <c r="A11042" s="30" t="s">
        <v>25149</v>
      </c>
      <c r="B11042" s="30" t="s">
        <v>25150</v>
      </c>
      <c r="C11042" s="30" t="s">
        <v>1576</v>
      </c>
      <c r="D11042" s="30" t="s">
        <v>17</v>
      </c>
      <c r="E11042" s="30" t="s">
        <v>31</v>
      </c>
      <c r="F11042" s="30" t="s">
        <v>32</v>
      </c>
      <c r="G11042" s="30" t="s">
        <v>20</v>
      </c>
      <c r="H11042" s="32">
        <v>130</v>
      </c>
      <c r="I11042" s="30" t="s">
        <v>21</v>
      </c>
      <c r="J11042" s="41">
        <v>44700</v>
      </c>
      <c r="K11042" s="30" t="s">
        <v>22</v>
      </c>
    </row>
    <row r="11043" spans="1:11">
      <c r="A11043" s="33" t="s">
        <v>25151</v>
      </c>
      <c r="B11043" s="33" t="s">
        <v>25152</v>
      </c>
      <c r="C11043" s="33" t="s">
        <v>25153</v>
      </c>
      <c r="D11043" s="33" t="s">
        <v>17</v>
      </c>
      <c r="E11043" s="33" t="s">
        <v>31</v>
      </c>
      <c r="F11043" s="33" t="s">
        <v>32</v>
      </c>
      <c r="G11043" s="33" t="s">
        <v>20</v>
      </c>
      <c r="H11043" s="35">
        <v>225</v>
      </c>
      <c r="I11043" s="33" t="s">
        <v>21</v>
      </c>
      <c r="J11043" s="42">
        <v>44771</v>
      </c>
      <c r="K11043" s="33" t="s">
        <v>22</v>
      </c>
    </row>
    <row r="11044" spans="1:11">
      <c r="A11044" s="30" t="s">
        <v>25154</v>
      </c>
      <c r="B11044" s="30" t="s">
        <v>25155</v>
      </c>
      <c r="C11044" s="30" t="s">
        <v>3489</v>
      </c>
      <c r="D11044" s="30" t="s">
        <v>17</v>
      </c>
      <c r="E11044" s="30" t="s">
        <v>67</v>
      </c>
      <c r="F11044" s="30" t="s">
        <v>68</v>
      </c>
      <c r="G11044" s="30" t="s">
        <v>158</v>
      </c>
      <c r="H11044" s="32">
        <v>44</v>
      </c>
      <c r="I11044" s="30" t="s">
        <v>51</v>
      </c>
      <c r="J11044" s="41">
        <v>44607</v>
      </c>
      <c r="K11044" s="30" t="s">
        <v>22</v>
      </c>
    </row>
    <row r="11045" spans="1:11">
      <c r="A11045" s="33" t="s">
        <v>25156</v>
      </c>
      <c r="B11045" s="33" t="s">
        <v>25157</v>
      </c>
      <c r="C11045" s="33" t="s">
        <v>4348</v>
      </c>
      <c r="D11045" s="33" t="s">
        <v>17</v>
      </c>
      <c r="E11045" s="33" t="s">
        <v>26</v>
      </c>
      <c r="F11045" s="33" t="s">
        <v>27</v>
      </c>
      <c r="G11045" s="33" t="s">
        <v>140</v>
      </c>
      <c r="H11045" s="35">
        <v>26</v>
      </c>
      <c r="I11045" s="33" t="s">
        <v>51</v>
      </c>
      <c r="J11045" s="42">
        <v>44782</v>
      </c>
      <c r="K11045" s="33" t="s">
        <v>22</v>
      </c>
    </row>
    <row r="11046" spans="1:11">
      <c r="A11046" s="30" t="s">
        <v>25158</v>
      </c>
      <c r="B11046" s="30" t="s">
        <v>25159</v>
      </c>
      <c r="C11046" s="30" t="s">
        <v>2739</v>
      </c>
      <c r="D11046" s="30" t="s">
        <v>17</v>
      </c>
      <c r="E11046" s="30" t="s">
        <v>26</v>
      </c>
      <c r="F11046" s="30" t="s">
        <v>27</v>
      </c>
      <c r="G11046" s="30" t="s">
        <v>20</v>
      </c>
      <c r="H11046" s="32">
        <v>54</v>
      </c>
      <c r="I11046" s="30" t="s">
        <v>21</v>
      </c>
      <c r="J11046" s="41">
        <v>44743</v>
      </c>
      <c r="K11046" s="30" t="s">
        <v>22</v>
      </c>
    </row>
    <row r="11047" spans="1:11">
      <c r="A11047" s="33" t="s">
        <v>25160</v>
      </c>
      <c r="B11047" s="33" t="s">
        <v>25161</v>
      </c>
      <c r="C11047" s="33" t="s">
        <v>3128</v>
      </c>
      <c r="D11047" s="33" t="s">
        <v>17</v>
      </c>
      <c r="E11047" s="33" t="s">
        <v>18</v>
      </c>
      <c r="F11047" s="33" t="s">
        <v>19</v>
      </c>
      <c r="G11047" s="33" t="s">
        <v>20</v>
      </c>
      <c r="H11047" s="35">
        <v>163</v>
      </c>
      <c r="I11047" s="33" t="s">
        <v>21</v>
      </c>
      <c r="J11047" s="42">
        <v>44778</v>
      </c>
      <c r="K11047" s="33" t="s">
        <v>22</v>
      </c>
    </row>
    <row r="11048" spans="1:11">
      <c r="A11048" s="30" t="s">
        <v>25162</v>
      </c>
      <c r="B11048" s="30" t="s">
        <v>25163</v>
      </c>
      <c r="C11048" s="30" t="s">
        <v>9234</v>
      </c>
      <c r="D11048" s="30" t="s">
        <v>17</v>
      </c>
      <c r="E11048" s="30" t="s">
        <v>26</v>
      </c>
      <c r="F11048" s="30" t="s">
        <v>27</v>
      </c>
      <c r="G11048" s="30" t="s">
        <v>20</v>
      </c>
      <c r="H11048" s="32">
        <v>10</v>
      </c>
      <c r="I11048" s="30" t="s">
        <v>21</v>
      </c>
      <c r="J11048" s="41">
        <v>44776</v>
      </c>
      <c r="K11048" s="30" t="s">
        <v>22</v>
      </c>
    </row>
    <row r="11049" spans="1:11">
      <c r="A11049" s="33" t="s">
        <v>25164</v>
      </c>
      <c r="B11049" s="33" t="s">
        <v>25165</v>
      </c>
      <c r="C11049" s="33" t="s">
        <v>1480</v>
      </c>
      <c r="D11049" s="33" t="s">
        <v>17</v>
      </c>
      <c r="E11049" s="33" t="s">
        <v>212</v>
      </c>
      <c r="F11049" s="33" t="s">
        <v>213</v>
      </c>
      <c r="G11049" s="33" t="s">
        <v>20</v>
      </c>
      <c r="H11049" s="35">
        <v>34</v>
      </c>
      <c r="I11049" s="33" t="s">
        <v>21</v>
      </c>
      <c r="J11049" s="42">
        <v>44922</v>
      </c>
      <c r="K11049" s="33" t="s">
        <v>22</v>
      </c>
    </row>
    <row r="11050" spans="1:11">
      <c r="A11050" s="30" t="s">
        <v>25166</v>
      </c>
      <c r="B11050" s="30" t="s">
        <v>25167</v>
      </c>
      <c r="C11050" s="30" t="s">
        <v>379</v>
      </c>
      <c r="D11050" s="30" t="s">
        <v>17</v>
      </c>
      <c r="E11050" s="30" t="s">
        <v>26</v>
      </c>
      <c r="F11050" s="30" t="s">
        <v>27</v>
      </c>
      <c r="G11050" s="30" t="s">
        <v>50</v>
      </c>
      <c r="H11050" s="32">
        <v>12</v>
      </c>
      <c r="I11050" s="30" t="s">
        <v>21</v>
      </c>
      <c r="J11050" s="41">
        <v>44904</v>
      </c>
      <c r="K11050" s="30" t="s">
        <v>22</v>
      </c>
    </row>
    <row r="11051" spans="1:11">
      <c r="A11051" s="33" t="s">
        <v>25168</v>
      </c>
      <c r="B11051" s="33" t="s">
        <v>25169</v>
      </c>
      <c r="C11051" s="33" t="s">
        <v>96</v>
      </c>
      <c r="D11051" s="33" t="s">
        <v>17</v>
      </c>
      <c r="E11051" s="33" t="s">
        <v>31</v>
      </c>
      <c r="F11051" s="33" t="s">
        <v>32</v>
      </c>
      <c r="G11051" s="33" t="s">
        <v>20</v>
      </c>
      <c r="H11051" s="35">
        <v>187</v>
      </c>
      <c r="I11051" s="33" t="s">
        <v>21</v>
      </c>
      <c r="J11051" s="42">
        <v>44886</v>
      </c>
      <c r="K11051" s="33" t="s">
        <v>22</v>
      </c>
    </row>
    <row r="11052" spans="1:11">
      <c r="A11052" s="30" t="s">
        <v>25170</v>
      </c>
      <c r="B11052" s="30" t="s">
        <v>25171</v>
      </c>
      <c r="C11052" s="30" t="s">
        <v>157</v>
      </c>
      <c r="D11052" s="30" t="s">
        <v>17</v>
      </c>
      <c r="E11052" s="30" t="s">
        <v>212</v>
      </c>
      <c r="F11052" s="30" t="s">
        <v>213</v>
      </c>
      <c r="G11052" s="30" t="s">
        <v>20</v>
      </c>
      <c r="H11052" s="32">
        <v>5</v>
      </c>
      <c r="I11052" s="30" t="s">
        <v>21</v>
      </c>
      <c r="J11052" s="41">
        <v>44672</v>
      </c>
      <c r="K11052" s="30" t="s">
        <v>22</v>
      </c>
    </row>
    <row r="11053" spans="1:11">
      <c r="A11053" s="33" t="s">
        <v>25172</v>
      </c>
      <c r="B11053" s="33" t="s">
        <v>25173</v>
      </c>
      <c r="C11053" s="33" t="s">
        <v>25174</v>
      </c>
      <c r="D11053" s="33" t="s">
        <v>17</v>
      </c>
      <c r="E11053" s="33" t="s">
        <v>212</v>
      </c>
      <c r="F11053" s="33" t="s">
        <v>213</v>
      </c>
      <c r="G11053" s="33" t="s">
        <v>140</v>
      </c>
      <c r="H11053" s="35">
        <v>34</v>
      </c>
      <c r="I11053" s="33" t="s">
        <v>51</v>
      </c>
      <c r="J11053" s="42">
        <v>44606</v>
      </c>
      <c r="K11053" s="33" t="s">
        <v>22</v>
      </c>
    </row>
    <row r="11054" spans="1:11">
      <c r="A11054" s="30" t="s">
        <v>25175</v>
      </c>
      <c r="B11054" s="30" t="s">
        <v>25176</v>
      </c>
      <c r="C11054" s="30" t="s">
        <v>25177</v>
      </c>
      <c r="D11054" s="30" t="s">
        <v>17</v>
      </c>
      <c r="E11054" s="30" t="s">
        <v>67</v>
      </c>
      <c r="F11054" s="30" t="s">
        <v>68</v>
      </c>
      <c r="G11054" s="30" t="s">
        <v>106</v>
      </c>
      <c r="H11054" s="32">
        <v>5</v>
      </c>
      <c r="I11054" s="30" t="s">
        <v>21</v>
      </c>
      <c r="J11054" s="41">
        <v>44783</v>
      </c>
      <c r="K11054" s="30" t="s">
        <v>22</v>
      </c>
    </row>
    <row r="11055" spans="1:11">
      <c r="A11055" s="33" t="s">
        <v>25178</v>
      </c>
      <c r="B11055" s="33" t="s">
        <v>25179</v>
      </c>
      <c r="C11055" s="33" t="s">
        <v>810</v>
      </c>
      <c r="D11055" s="33" t="s">
        <v>17</v>
      </c>
      <c r="E11055" s="33" t="s">
        <v>212</v>
      </c>
      <c r="F11055" s="33" t="s">
        <v>213</v>
      </c>
      <c r="G11055" s="33" t="s">
        <v>50</v>
      </c>
      <c r="H11055" s="35">
        <v>396</v>
      </c>
      <c r="I11055" s="33" t="s">
        <v>51</v>
      </c>
      <c r="J11055" s="42">
        <v>44708</v>
      </c>
      <c r="K11055" s="33" t="s">
        <v>22</v>
      </c>
    </row>
    <row r="11056" spans="1:11">
      <c r="A11056" s="30" t="s">
        <v>25180</v>
      </c>
      <c r="B11056" s="30" t="s">
        <v>25181</v>
      </c>
      <c r="C11056" s="30" t="s">
        <v>3665</v>
      </c>
      <c r="D11056" s="30" t="s">
        <v>17</v>
      </c>
      <c r="E11056" s="30" t="s">
        <v>67</v>
      </c>
      <c r="F11056" s="30" t="s">
        <v>68</v>
      </c>
      <c r="G11056" s="30" t="s">
        <v>140</v>
      </c>
      <c r="H11056" s="32">
        <v>78</v>
      </c>
      <c r="I11056" s="30" t="s">
        <v>51</v>
      </c>
      <c r="J11056" s="41">
        <v>44713</v>
      </c>
      <c r="K11056" s="30" t="s">
        <v>22</v>
      </c>
    </row>
    <row r="11057" spans="1:11">
      <c r="A11057" s="33" t="s">
        <v>25182</v>
      </c>
      <c r="B11057" s="33" t="s">
        <v>25183</v>
      </c>
      <c r="C11057" s="33" t="s">
        <v>549</v>
      </c>
      <c r="D11057" s="33" t="s">
        <v>17</v>
      </c>
      <c r="E11057" s="33" t="s">
        <v>18</v>
      </c>
      <c r="F11057" s="33" t="s">
        <v>19</v>
      </c>
      <c r="G11057" s="33" t="s">
        <v>20</v>
      </c>
      <c r="H11057" s="35">
        <v>26</v>
      </c>
      <c r="I11057" s="33" t="s">
        <v>21</v>
      </c>
      <c r="J11057" s="42">
        <v>44865</v>
      </c>
      <c r="K11057" s="33" t="s">
        <v>22</v>
      </c>
    </row>
    <row r="11058" spans="1:11">
      <c r="A11058" s="30" t="s">
        <v>25184</v>
      </c>
      <c r="B11058" s="30" t="s">
        <v>25185</v>
      </c>
      <c r="C11058" s="30" t="s">
        <v>25186</v>
      </c>
      <c r="D11058" s="30" t="s">
        <v>17</v>
      </c>
      <c r="E11058" s="30" t="s">
        <v>18</v>
      </c>
      <c r="F11058" s="30" t="s">
        <v>19</v>
      </c>
      <c r="G11058" s="30" t="s">
        <v>50</v>
      </c>
      <c r="H11058" s="32">
        <v>35</v>
      </c>
      <c r="I11058" s="30" t="s">
        <v>51</v>
      </c>
      <c r="J11058" s="41">
        <v>44791</v>
      </c>
      <c r="K11058" s="30" t="s">
        <v>22</v>
      </c>
    </row>
    <row r="11059" spans="1:11">
      <c r="A11059" s="33" t="s">
        <v>25187</v>
      </c>
      <c r="B11059" s="33" t="s">
        <v>25188</v>
      </c>
      <c r="C11059" s="33" t="s">
        <v>252</v>
      </c>
      <c r="D11059" s="33" t="s">
        <v>17</v>
      </c>
      <c r="E11059" s="33" t="s">
        <v>18</v>
      </c>
      <c r="F11059" s="33" t="s">
        <v>19</v>
      </c>
      <c r="G11059" s="33" t="s">
        <v>20</v>
      </c>
      <c r="H11059" s="35">
        <v>950</v>
      </c>
      <c r="I11059" s="33" t="s">
        <v>21</v>
      </c>
      <c r="J11059" s="42">
        <v>44659</v>
      </c>
      <c r="K11059" s="33" t="s">
        <v>22</v>
      </c>
    </row>
    <row r="11060" spans="1:11">
      <c r="A11060" s="30" t="s">
        <v>25189</v>
      </c>
      <c r="B11060" s="30" t="s">
        <v>25190</v>
      </c>
      <c r="C11060" s="30" t="s">
        <v>995</v>
      </c>
      <c r="D11060" s="30" t="s">
        <v>17</v>
      </c>
      <c r="E11060" s="30" t="s">
        <v>26</v>
      </c>
      <c r="F11060" s="30" t="s">
        <v>27</v>
      </c>
      <c r="G11060" s="30" t="s">
        <v>20</v>
      </c>
      <c r="H11060" s="32">
        <v>72</v>
      </c>
      <c r="I11060" s="30" t="s">
        <v>21</v>
      </c>
      <c r="J11060" s="41">
        <v>44841</v>
      </c>
      <c r="K11060" s="30" t="s">
        <v>22</v>
      </c>
    </row>
    <row r="11061" spans="1:11">
      <c r="A11061" s="33" t="s">
        <v>25191</v>
      </c>
      <c r="B11061" s="33" t="s">
        <v>25192</v>
      </c>
      <c r="C11061" s="33" t="s">
        <v>3270</v>
      </c>
      <c r="D11061" s="33" t="s">
        <v>17</v>
      </c>
      <c r="E11061" s="33" t="s">
        <v>26</v>
      </c>
      <c r="F11061" s="33" t="s">
        <v>27</v>
      </c>
      <c r="G11061" s="33" t="s">
        <v>112</v>
      </c>
      <c r="H11061" s="35">
        <v>0</v>
      </c>
      <c r="I11061" s="33" t="s">
        <v>21</v>
      </c>
      <c r="J11061" s="42">
        <v>44896</v>
      </c>
      <c r="K11061" s="33" t="s">
        <v>22</v>
      </c>
    </row>
    <row r="11062" spans="1:11">
      <c r="A11062" s="30" t="s">
        <v>25193</v>
      </c>
      <c r="B11062" s="30" t="s">
        <v>25194</v>
      </c>
      <c r="C11062" s="30" t="s">
        <v>6379</v>
      </c>
      <c r="D11062" s="30" t="s">
        <v>17</v>
      </c>
      <c r="E11062" s="30" t="s">
        <v>31</v>
      </c>
      <c r="F11062" s="30" t="s">
        <v>32</v>
      </c>
      <c r="G11062" s="30" t="s">
        <v>106</v>
      </c>
      <c r="H11062" s="32">
        <v>8</v>
      </c>
      <c r="I11062" s="30" t="s">
        <v>21</v>
      </c>
      <c r="J11062" s="41">
        <v>44754</v>
      </c>
      <c r="K11062" s="30" t="s">
        <v>22</v>
      </c>
    </row>
    <row r="11063" spans="1:11">
      <c r="A11063" s="33" t="s">
        <v>25195</v>
      </c>
      <c r="B11063" s="33" t="s">
        <v>25196</v>
      </c>
      <c r="C11063" s="33" t="s">
        <v>2472</v>
      </c>
      <c r="D11063" s="33" t="s">
        <v>17</v>
      </c>
      <c r="E11063" s="33" t="s">
        <v>67</v>
      </c>
      <c r="F11063" s="33" t="s">
        <v>68</v>
      </c>
      <c r="G11063" s="33" t="s">
        <v>140</v>
      </c>
      <c r="H11063" s="35">
        <v>361</v>
      </c>
      <c r="I11063" s="33" t="s">
        <v>51</v>
      </c>
      <c r="J11063" s="42">
        <v>44805</v>
      </c>
      <c r="K11063" s="33" t="s">
        <v>22</v>
      </c>
    </row>
    <row r="11064" spans="1:11">
      <c r="A11064" s="30" t="s">
        <v>25197</v>
      </c>
      <c r="B11064" s="30" t="s">
        <v>25198</v>
      </c>
      <c r="C11064" s="30" t="s">
        <v>149</v>
      </c>
      <c r="D11064" s="30" t="s">
        <v>17</v>
      </c>
      <c r="E11064" s="30" t="s">
        <v>18</v>
      </c>
      <c r="F11064" s="30" t="s">
        <v>19</v>
      </c>
      <c r="G11064" s="30" t="s">
        <v>112</v>
      </c>
      <c r="H11064" s="32">
        <v>0</v>
      </c>
      <c r="I11064" s="30" t="s">
        <v>21</v>
      </c>
      <c r="J11064" s="41">
        <v>44666</v>
      </c>
      <c r="K11064" s="30" t="s">
        <v>22</v>
      </c>
    </row>
    <row r="11065" spans="1:11">
      <c r="A11065" s="33" t="s">
        <v>25199</v>
      </c>
      <c r="B11065" s="33" t="s">
        <v>25200</v>
      </c>
      <c r="C11065" s="33" t="s">
        <v>4788</v>
      </c>
      <c r="D11065" s="33" t="s">
        <v>17</v>
      </c>
      <c r="E11065" s="33" t="s">
        <v>67</v>
      </c>
      <c r="F11065" s="33" t="s">
        <v>68</v>
      </c>
      <c r="G11065" s="33" t="s">
        <v>158</v>
      </c>
      <c r="H11065" s="35">
        <v>29</v>
      </c>
      <c r="I11065" s="33" t="s">
        <v>51</v>
      </c>
      <c r="J11065" s="42">
        <v>44698</v>
      </c>
      <c r="K11065" s="33" t="s">
        <v>22</v>
      </c>
    </row>
    <row r="11066" spans="1:11">
      <c r="A11066" s="30" t="s">
        <v>25201</v>
      </c>
      <c r="B11066" s="30" t="s">
        <v>25202</v>
      </c>
      <c r="C11066" s="30" t="s">
        <v>136</v>
      </c>
      <c r="D11066" s="30" t="s">
        <v>17</v>
      </c>
      <c r="E11066" s="30" t="s">
        <v>26</v>
      </c>
      <c r="F11066" s="30" t="s">
        <v>27</v>
      </c>
      <c r="G11066" s="30" t="s">
        <v>20</v>
      </c>
      <c r="H11066" s="32">
        <v>206</v>
      </c>
      <c r="I11066" s="30" t="s">
        <v>21</v>
      </c>
      <c r="J11066" s="41">
        <v>44691</v>
      </c>
      <c r="K11066" s="30" t="s">
        <v>22</v>
      </c>
    </row>
    <row r="11067" spans="1:11">
      <c r="A11067" s="33" t="s">
        <v>25203</v>
      </c>
      <c r="B11067" s="33" t="s">
        <v>25204</v>
      </c>
      <c r="C11067" s="33" t="s">
        <v>161</v>
      </c>
      <c r="D11067" s="33" t="s">
        <v>17</v>
      </c>
      <c r="E11067" s="33" t="s">
        <v>26</v>
      </c>
      <c r="F11067" s="33" t="s">
        <v>27</v>
      </c>
      <c r="G11067" s="33" t="s">
        <v>20</v>
      </c>
      <c r="H11067" s="35">
        <v>60</v>
      </c>
      <c r="I11067" s="33" t="s">
        <v>21</v>
      </c>
      <c r="J11067" s="42">
        <v>44786</v>
      </c>
      <c r="K11067" s="33" t="s">
        <v>22</v>
      </c>
    </row>
    <row r="11068" spans="1:11">
      <c r="A11068" s="30" t="s">
        <v>25205</v>
      </c>
      <c r="B11068" s="30" t="s">
        <v>25206</v>
      </c>
      <c r="C11068" s="30" t="s">
        <v>9908</v>
      </c>
      <c r="D11068" s="30" t="s">
        <v>17</v>
      </c>
      <c r="E11068" s="30" t="s">
        <v>31</v>
      </c>
      <c r="F11068" s="30" t="s">
        <v>32</v>
      </c>
      <c r="G11068" s="30" t="s">
        <v>140</v>
      </c>
      <c r="H11068" s="32">
        <v>33</v>
      </c>
      <c r="I11068" s="30" t="s">
        <v>51</v>
      </c>
      <c r="J11068" s="41">
        <v>44639</v>
      </c>
      <c r="K11068" s="30" t="s">
        <v>22</v>
      </c>
    </row>
    <row r="11069" spans="1:11">
      <c r="A11069" s="33" t="s">
        <v>25207</v>
      </c>
      <c r="B11069" s="33" t="s">
        <v>25208</v>
      </c>
      <c r="C11069" s="33" t="s">
        <v>2975</v>
      </c>
      <c r="D11069" s="33" t="s">
        <v>17</v>
      </c>
      <c r="E11069" s="33" t="s">
        <v>31</v>
      </c>
      <c r="F11069" s="33" t="s">
        <v>32</v>
      </c>
      <c r="G11069" s="33" t="s">
        <v>20</v>
      </c>
      <c r="H11069" s="35">
        <v>42</v>
      </c>
      <c r="I11069" s="33" t="s">
        <v>21</v>
      </c>
      <c r="J11069" s="42">
        <v>44658</v>
      </c>
      <c r="K11069" s="33" t="s">
        <v>22</v>
      </c>
    </row>
    <row r="11070" spans="1:11">
      <c r="A11070" s="30" t="s">
        <v>25209</v>
      </c>
      <c r="B11070" s="30" t="s">
        <v>25210</v>
      </c>
      <c r="C11070" s="30" t="s">
        <v>25211</v>
      </c>
      <c r="D11070" s="30" t="s">
        <v>17</v>
      </c>
      <c r="E11070" s="30" t="s">
        <v>18</v>
      </c>
      <c r="F11070" s="30" t="s">
        <v>19</v>
      </c>
      <c r="G11070" s="30" t="s">
        <v>20</v>
      </c>
      <c r="H11070" s="32">
        <v>150</v>
      </c>
      <c r="I11070" s="30" t="s">
        <v>21</v>
      </c>
      <c r="J11070" s="41">
        <v>44784</v>
      </c>
      <c r="K11070" s="30" t="s">
        <v>22</v>
      </c>
    </row>
    <row r="11071" spans="1:11">
      <c r="A11071" s="33" t="s">
        <v>25212</v>
      </c>
      <c r="B11071" s="33" t="s">
        <v>25213</v>
      </c>
      <c r="C11071" s="33" t="s">
        <v>78</v>
      </c>
      <c r="D11071" s="33" t="s">
        <v>17</v>
      </c>
      <c r="E11071" s="33" t="s">
        <v>26</v>
      </c>
      <c r="F11071" s="33" t="s">
        <v>27</v>
      </c>
      <c r="G11071" s="33" t="s">
        <v>20</v>
      </c>
      <c r="H11071" s="35">
        <v>31</v>
      </c>
      <c r="I11071" s="33" t="s">
        <v>21</v>
      </c>
      <c r="J11071" s="42">
        <v>44672</v>
      </c>
      <c r="K11071" s="33" t="s">
        <v>22</v>
      </c>
    </row>
    <row r="11072" spans="1:11">
      <c r="A11072" s="30" t="s">
        <v>25214</v>
      </c>
      <c r="B11072" s="30" t="s">
        <v>25215</v>
      </c>
      <c r="C11072" s="30" t="s">
        <v>5312</v>
      </c>
      <c r="D11072" s="30" t="s">
        <v>17</v>
      </c>
      <c r="E11072" s="30" t="s">
        <v>31</v>
      </c>
      <c r="F11072" s="30" t="s">
        <v>32</v>
      </c>
      <c r="G11072" s="30" t="s">
        <v>20</v>
      </c>
      <c r="H11072" s="32">
        <v>36</v>
      </c>
      <c r="I11072" s="30" t="s">
        <v>21</v>
      </c>
      <c r="J11072" s="41">
        <v>44673</v>
      </c>
      <c r="K11072" s="30" t="s">
        <v>22</v>
      </c>
    </row>
    <row r="11073" spans="1:11">
      <c r="A11073" s="33" t="s">
        <v>25216</v>
      </c>
      <c r="B11073" s="33" t="s">
        <v>25217</v>
      </c>
      <c r="C11073" s="33" t="s">
        <v>178</v>
      </c>
      <c r="D11073" s="33" t="s">
        <v>17</v>
      </c>
      <c r="E11073" s="33" t="s">
        <v>212</v>
      </c>
      <c r="F11073" s="33" t="s">
        <v>213</v>
      </c>
      <c r="G11073" s="33" t="s">
        <v>158</v>
      </c>
      <c r="H11073" s="35">
        <v>136</v>
      </c>
      <c r="I11073" s="33" t="s">
        <v>21</v>
      </c>
      <c r="J11073" s="42">
        <v>44732</v>
      </c>
      <c r="K11073" s="33" t="s">
        <v>22</v>
      </c>
    </row>
    <row r="11074" spans="1:11">
      <c r="A11074" s="30" t="s">
        <v>25218</v>
      </c>
      <c r="B11074" s="30" t="s">
        <v>25219</v>
      </c>
      <c r="C11074" s="30" t="s">
        <v>178</v>
      </c>
      <c r="D11074" s="30" t="s">
        <v>17</v>
      </c>
      <c r="E11074" s="30" t="s">
        <v>45</v>
      </c>
      <c r="F11074" s="30" t="s">
        <v>46</v>
      </c>
      <c r="G11074" s="30" t="s">
        <v>158</v>
      </c>
      <c r="H11074" s="32">
        <v>259</v>
      </c>
      <c r="I11074" s="30" t="s">
        <v>51</v>
      </c>
      <c r="J11074" s="41">
        <v>44714</v>
      </c>
      <c r="K11074" s="30" t="s">
        <v>22</v>
      </c>
    </row>
    <row r="11075" spans="1:11">
      <c r="A11075" s="33" t="s">
        <v>25220</v>
      </c>
      <c r="B11075" s="33" t="s">
        <v>25221</v>
      </c>
      <c r="C11075" s="33" t="s">
        <v>25222</v>
      </c>
      <c r="D11075" s="33" t="s">
        <v>17</v>
      </c>
      <c r="E11075" s="33" t="s">
        <v>18</v>
      </c>
      <c r="F11075" s="33" t="s">
        <v>19</v>
      </c>
      <c r="G11075" s="33" t="s">
        <v>158</v>
      </c>
      <c r="H11075" s="35">
        <v>1800</v>
      </c>
      <c r="I11075" s="33" t="s">
        <v>51</v>
      </c>
      <c r="J11075" s="42">
        <v>44869</v>
      </c>
      <c r="K11075" s="33" t="s">
        <v>22</v>
      </c>
    </row>
    <row r="11076" spans="1:11">
      <c r="A11076" s="30" t="s">
        <v>25223</v>
      </c>
      <c r="B11076" s="30" t="s">
        <v>25224</v>
      </c>
      <c r="C11076" s="30" t="s">
        <v>13534</v>
      </c>
      <c r="D11076" s="30" t="s">
        <v>17</v>
      </c>
      <c r="E11076" s="30" t="s">
        <v>18</v>
      </c>
      <c r="F11076" s="30" t="s">
        <v>19</v>
      </c>
      <c r="G11076" s="30" t="s">
        <v>50</v>
      </c>
      <c r="H11076" s="32">
        <v>2000</v>
      </c>
      <c r="I11076" s="30" t="s">
        <v>51</v>
      </c>
      <c r="J11076" s="41">
        <v>44835</v>
      </c>
      <c r="K11076" s="30" t="s">
        <v>22</v>
      </c>
    </row>
    <row r="11077" spans="1:11">
      <c r="A11077" s="33" t="s">
        <v>25225</v>
      </c>
      <c r="B11077" s="33" t="s">
        <v>25226</v>
      </c>
      <c r="C11077" s="33" t="s">
        <v>14559</v>
      </c>
      <c r="D11077" s="33" t="s">
        <v>17</v>
      </c>
      <c r="E11077" s="33" t="s">
        <v>67</v>
      </c>
      <c r="F11077" s="33" t="s">
        <v>68</v>
      </c>
      <c r="G11077" s="33" t="s">
        <v>112</v>
      </c>
      <c r="H11077" s="35">
        <v>0</v>
      </c>
      <c r="I11077" s="33" t="s">
        <v>21</v>
      </c>
      <c r="J11077" s="42">
        <v>44804</v>
      </c>
      <c r="K11077" s="33" t="s">
        <v>22</v>
      </c>
    </row>
    <row r="11078" spans="1:11">
      <c r="A11078" s="30" t="s">
        <v>25227</v>
      </c>
      <c r="B11078" s="30" t="s">
        <v>25228</v>
      </c>
      <c r="C11078" s="30" t="s">
        <v>4944</v>
      </c>
      <c r="D11078" s="30" t="s">
        <v>17</v>
      </c>
      <c r="E11078" s="30" t="s">
        <v>212</v>
      </c>
      <c r="F11078" s="30" t="s">
        <v>213</v>
      </c>
      <c r="G11078" s="30" t="s">
        <v>158</v>
      </c>
      <c r="H11078" s="32">
        <v>125</v>
      </c>
      <c r="I11078" s="30" t="s">
        <v>51</v>
      </c>
      <c r="J11078" s="41">
        <v>44718</v>
      </c>
      <c r="K11078" s="30" t="s">
        <v>22</v>
      </c>
    </row>
    <row r="11079" spans="1:11">
      <c r="A11079" s="33" t="s">
        <v>25229</v>
      </c>
      <c r="B11079" s="33" t="s">
        <v>25230</v>
      </c>
      <c r="C11079" s="33" t="s">
        <v>118</v>
      </c>
      <c r="D11079" s="33" t="s">
        <v>17</v>
      </c>
      <c r="E11079" s="33" t="s">
        <v>18</v>
      </c>
      <c r="F11079" s="33" t="s">
        <v>19</v>
      </c>
      <c r="G11079" s="33" t="s">
        <v>140</v>
      </c>
      <c r="H11079" s="35">
        <v>100</v>
      </c>
      <c r="I11079" s="33" t="s">
        <v>51</v>
      </c>
      <c r="J11079" s="42">
        <v>44873</v>
      </c>
      <c r="K11079" s="33" t="s">
        <v>22</v>
      </c>
    </row>
    <row r="11080" spans="1:11">
      <c r="A11080" s="30" t="s">
        <v>25231</v>
      </c>
      <c r="B11080" s="30" t="s">
        <v>25232</v>
      </c>
      <c r="C11080" s="30" t="s">
        <v>25233</v>
      </c>
      <c r="D11080" s="30" t="s">
        <v>17</v>
      </c>
      <c r="E11080" s="30" t="s">
        <v>18</v>
      </c>
      <c r="F11080" s="30" t="s">
        <v>19</v>
      </c>
      <c r="G11080" s="30" t="s">
        <v>20</v>
      </c>
      <c r="H11080" s="32">
        <v>76</v>
      </c>
      <c r="I11080" s="30" t="s">
        <v>21</v>
      </c>
      <c r="J11080" s="41">
        <v>44652</v>
      </c>
      <c r="K11080" s="30" t="s">
        <v>22</v>
      </c>
    </row>
    <row r="11081" spans="1:11">
      <c r="A11081" s="33" t="s">
        <v>25234</v>
      </c>
      <c r="B11081" s="33" t="s">
        <v>25235</v>
      </c>
      <c r="C11081" s="33" t="s">
        <v>5535</v>
      </c>
      <c r="D11081" s="33" t="s">
        <v>17</v>
      </c>
      <c r="E11081" s="33" t="s">
        <v>31</v>
      </c>
      <c r="F11081" s="33" t="s">
        <v>32</v>
      </c>
      <c r="G11081" s="33" t="s">
        <v>20</v>
      </c>
      <c r="H11081" s="35">
        <v>89</v>
      </c>
      <c r="I11081" s="33" t="s">
        <v>21</v>
      </c>
      <c r="J11081" s="42">
        <v>44790</v>
      </c>
      <c r="K11081" s="33" t="s">
        <v>22</v>
      </c>
    </row>
    <row r="11082" spans="1:11">
      <c r="A11082" s="30" t="s">
        <v>25236</v>
      </c>
      <c r="B11082" s="30" t="s">
        <v>25237</v>
      </c>
      <c r="C11082" s="30" t="s">
        <v>23888</v>
      </c>
      <c r="D11082" s="30" t="s">
        <v>17</v>
      </c>
      <c r="E11082" s="30" t="s">
        <v>18</v>
      </c>
      <c r="F11082" s="30" t="s">
        <v>19</v>
      </c>
      <c r="G11082" s="30" t="s">
        <v>20</v>
      </c>
      <c r="H11082" s="32">
        <v>150</v>
      </c>
      <c r="I11082" s="30" t="s">
        <v>21</v>
      </c>
      <c r="J11082" s="41">
        <v>44682</v>
      </c>
      <c r="K11082" s="30" t="s">
        <v>22</v>
      </c>
    </row>
    <row r="11083" spans="1:11">
      <c r="A11083" s="33" t="s">
        <v>25238</v>
      </c>
      <c r="B11083" s="33" t="s">
        <v>25239</v>
      </c>
      <c r="C11083" s="33" t="s">
        <v>149</v>
      </c>
      <c r="D11083" s="33" t="s">
        <v>17</v>
      </c>
      <c r="E11083" s="33" t="s">
        <v>45</v>
      </c>
      <c r="F11083" s="33" t="s">
        <v>46</v>
      </c>
      <c r="G11083" s="33" t="s">
        <v>20</v>
      </c>
      <c r="H11083" s="35">
        <v>320</v>
      </c>
      <c r="I11083" s="33" t="s">
        <v>21</v>
      </c>
      <c r="J11083" s="42">
        <v>44692</v>
      </c>
      <c r="K11083" s="33" t="s">
        <v>22</v>
      </c>
    </row>
    <row r="11084" spans="1:11">
      <c r="A11084" s="30" t="s">
        <v>25240</v>
      </c>
      <c r="B11084" s="30" t="s">
        <v>25241</v>
      </c>
      <c r="C11084" s="30" t="s">
        <v>1016</v>
      </c>
      <c r="D11084" s="30" t="s">
        <v>17</v>
      </c>
      <c r="E11084" s="30" t="s">
        <v>31</v>
      </c>
      <c r="F11084" s="30" t="s">
        <v>32</v>
      </c>
      <c r="G11084" s="30" t="s">
        <v>106</v>
      </c>
      <c r="H11084" s="32">
        <v>8</v>
      </c>
      <c r="I11084" s="30" t="s">
        <v>21</v>
      </c>
      <c r="J11084" s="41">
        <v>44851</v>
      </c>
      <c r="K11084" s="30" t="s">
        <v>22</v>
      </c>
    </row>
    <row r="11085" spans="1:11">
      <c r="A11085" s="33" t="s">
        <v>25242</v>
      </c>
      <c r="B11085" s="33" t="s">
        <v>25243</v>
      </c>
      <c r="C11085" s="33" t="s">
        <v>25244</v>
      </c>
      <c r="D11085" s="33" t="s">
        <v>17</v>
      </c>
      <c r="E11085" s="33" t="s">
        <v>31</v>
      </c>
      <c r="F11085" s="33" t="s">
        <v>32</v>
      </c>
      <c r="G11085" s="33" t="s">
        <v>20</v>
      </c>
      <c r="H11085" s="35">
        <v>25</v>
      </c>
      <c r="I11085" s="33" t="s">
        <v>21</v>
      </c>
      <c r="J11085" s="42">
        <v>44686</v>
      </c>
      <c r="K11085" s="33" t="s">
        <v>22</v>
      </c>
    </row>
    <row r="11086" spans="1:11">
      <c r="A11086" s="30" t="s">
        <v>25245</v>
      </c>
      <c r="B11086" s="30" t="s">
        <v>25246</v>
      </c>
      <c r="C11086" s="30" t="s">
        <v>10616</v>
      </c>
      <c r="D11086" s="30" t="s">
        <v>17</v>
      </c>
      <c r="E11086" s="30" t="s">
        <v>18</v>
      </c>
      <c r="F11086" s="30" t="s">
        <v>19</v>
      </c>
      <c r="G11086" s="30" t="s">
        <v>20</v>
      </c>
      <c r="H11086" s="32">
        <v>12</v>
      </c>
      <c r="I11086" s="30" t="s">
        <v>21</v>
      </c>
      <c r="J11086" s="41">
        <v>44814</v>
      </c>
      <c r="K11086" s="30" t="s">
        <v>22</v>
      </c>
    </row>
    <row r="11087" spans="1:11">
      <c r="A11087" s="33" t="s">
        <v>25247</v>
      </c>
      <c r="B11087" s="33" t="s">
        <v>25248</v>
      </c>
      <c r="C11087" s="33" t="s">
        <v>3293</v>
      </c>
      <c r="D11087" s="33" t="s">
        <v>17</v>
      </c>
      <c r="E11087" s="33" t="s">
        <v>26</v>
      </c>
      <c r="F11087" s="33" t="s">
        <v>27</v>
      </c>
      <c r="G11087" s="33" t="s">
        <v>20</v>
      </c>
      <c r="H11087" s="35">
        <v>12</v>
      </c>
      <c r="I11087" s="33" t="s">
        <v>21</v>
      </c>
      <c r="J11087" s="42">
        <v>44572</v>
      </c>
      <c r="K11087" s="33" t="s">
        <v>22</v>
      </c>
    </row>
    <row r="11088" spans="1:11">
      <c r="A11088" s="30" t="s">
        <v>25249</v>
      </c>
      <c r="B11088" s="30" t="s">
        <v>25250</v>
      </c>
      <c r="C11088" s="30" t="s">
        <v>25251</v>
      </c>
      <c r="D11088" s="30" t="s">
        <v>17</v>
      </c>
      <c r="E11088" s="30" t="s">
        <v>67</v>
      </c>
      <c r="F11088" s="30" t="s">
        <v>68</v>
      </c>
      <c r="G11088" s="30" t="s">
        <v>50</v>
      </c>
      <c r="H11088" s="32">
        <v>40</v>
      </c>
      <c r="I11088" s="30" t="s">
        <v>51</v>
      </c>
      <c r="J11088" s="41">
        <v>44753</v>
      </c>
      <c r="K11088" s="30" t="s">
        <v>22</v>
      </c>
    </row>
    <row r="11089" spans="1:11">
      <c r="A11089" s="33" t="s">
        <v>25252</v>
      </c>
      <c r="B11089" s="33" t="s">
        <v>25253</v>
      </c>
      <c r="C11089" s="33" t="s">
        <v>25254</v>
      </c>
      <c r="D11089" s="33" t="s">
        <v>17</v>
      </c>
      <c r="E11089" s="33" t="s">
        <v>31</v>
      </c>
      <c r="F11089" s="33" t="s">
        <v>32</v>
      </c>
      <c r="G11089" s="33" t="s">
        <v>20</v>
      </c>
      <c r="H11089" s="35">
        <v>5</v>
      </c>
      <c r="I11089" s="33" t="s">
        <v>21</v>
      </c>
      <c r="J11089" s="42">
        <v>44636</v>
      </c>
      <c r="K11089" s="33" t="s">
        <v>22</v>
      </c>
    </row>
    <row r="11090" spans="1:11">
      <c r="A11090" s="30" t="s">
        <v>25255</v>
      </c>
      <c r="B11090" s="30" t="s">
        <v>25256</v>
      </c>
      <c r="C11090" s="30" t="s">
        <v>2434</v>
      </c>
      <c r="D11090" s="30" t="s">
        <v>17</v>
      </c>
      <c r="E11090" s="30" t="s">
        <v>67</v>
      </c>
      <c r="F11090" s="30" t="s">
        <v>68</v>
      </c>
      <c r="G11090" s="30" t="s">
        <v>140</v>
      </c>
      <c r="H11090" s="32">
        <v>186</v>
      </c>
      <c r="I11090" s="30" t="s">
        <v>51</v>
      </c>
      <c r="J11090" s="41">
        <v>44727</v>
      </c>
      <c r="K11090" s="30" t="s">
        <v>22</v>
      </c>
    </row>
    <row r="11091" spans="1:11">
      <c r="A11091" s="33" t="s">
        <v>25257</v>
      </c>
      <c r="B11091" s="33" t="s">
        <v>25258</v>
      </c>
      <c r="C11091" s="33" t="s">
        <v>25259</v>
      </c>
      <c r="D11091" s="33" t="s">
        <v>17</v>
      </c>
      <c r="E11091" s="33" t="s">
        <v>26</v>
      </c>
      <c r="F11091" s="33" t="s">
        <v>27</v>
      </c>
      <c r="G11091" s="33" t="s">
        <v>20</v>
      </c>
      <c r="H11091" s="35">
        <v>23</v>
      </c>
      <c r="I11091" s="33" t="s">
        <v>21</v>
      </c>
      <c r="J11091" s="42">
        <v>44567</v>
      </c>
      <c r="K11091" s="33" t="s">
        <v>22</v>
      </c>
    </row>
    <row r="11092" spans="1:11">
      <c r="A11092" s="30" t="s">
        <v>25260</v>
      </c>
      <c r="B11092" s="30" t="s">
        <v>25261</v>
      </c>
      <c r="C11092" s="30" t="s">
        <v>136</v>
      </c>
      <c r="D11092" s="30" t="s">
        <v>17</v>
      </c>
      <c r="E11092" s="30" t="s">
        <v>31</v>
      </c>
      <c r="F11092" s="30" t="s">
        <v>32</v>
      </c>
      <c r="G11092" s="30" t="s">
        <v>20</v>
      </c>
      <c r="H11092" s="32">
        <v>320</v>
      </c>
      <c r="I11092" s="30" t="s">
        <v>21</v>
      </c>
      <c r="J11092" s="41">
        <v>44854</v>
      </c>
      <c r="K11092" s="30" t="s">
        <v>22</v>
      </c>
    </row>
    <row r="11093" spans="1:11">
      <c r="A11093" s="33" t="s">
        <v>25262</v>
      </c>
      <c r="B11093" s="33" t="s">
        <v>25263</v>
      </c>
      <c r="C11093" s="33" t="s">
        <v>2323</v>
      </c>
      <c r="D11093" s="33" t="s">
        <v>17</v>
      </c>
      <c r="E11093" s="33" t="s">
        <v>18</v>
      </c>
      <c r="F11093" s="33" t="s">
        <v>19</v>
      </c>
      <c r="G11093" s="33" t="s">
        <v>140</v>
      </c>
      <c r="H11093" s="35">
        <v>414</v>
      </c>
      <c r="I11093" s="33" t="s">
        <v>51</v>
      </c>
      <c r="J11093" s="42">
        <v>44873</v>
      </c>
      <c r="K11093" s="33" t="s">
        <v>22</v>
      </c>
    </row>
    <row r="11094" spans="1:11">
      <c r="A11094" s="30" t="s">
        <v>25264</v>
      </c>
      <c r="B11094" s="30" t="s">
        <v>25265</v>
      </c>
      <c r="C11094" s="30" t="s">
        <v>517</v>
      </c>
      <c r="D11094" s="30" t="s">
        <v>17</v>
      </c>
      <c r="E11094" s="30" t="s">
        <v>26</v>
      </c>
      <c r="F11094" s="30" t="s">
        <v>27</v>
      </c>
      <c r="G11094" s="30" t="s">
        <v>20</v>
      </c>
      <c r="H11094" s="32">
        <v>64</v>
      </c>
      <c r="I11094" s="30" t="s">
        <v>21</v>
      </c>
      <c r="J11094" s="41">
        <v>44566</v>
      </c>
      <c r="K11094" s="30" t="s">
        <v>22</v>
      </c>
    </row>
    <row r="11095" spans="1:11">
      <c r="A11095" s="33" t="s">
        <v>25266</v>
      </c>
      <c r="B11095" s="33" t="s">
        <v>25267</v>
      </c>
      <c r="C11095" s="33" t="s">
        <v>25268</v>
      </c>
      <c r="D11095" s="33" t="s">
        <v>17</v>
      </c>
      <c r="E11095" s="33" t="s">
        <v>26</v>
      </c>
      <c r="F11095" s="33" t="s">
        <v>27</v>
      </c>
      <c r="G11095" s="33" t="s">
        <v>20</v>
      </c>
      <c r="H11095" s="35">
        <v>43</v>
      </c>
      <c r="I11095" s="33" t="s">
        <v>21</v>
      </c>
      <c r="J11095" s="42">
        <v>44791</v>
      </c>
      <c r="K11095" s="33" t="s">
        <v>22</v>
      </c>
    </row>
    <row r="11096" spans="1:11">
      <c r="A11096" s="30" t="s">
        <v>25269</v>
      </c>
      <c r="B11096" s="30" t="s">
        <v>25270</v>
      </c>
      <c r="C11096" s="30" t="s">
        <v>1003</v>
      </c>
      <c r="D11096" s="30" t="s">
        <v>17</v>
      </c>
      <c r="E11096" s="30" t="s">
        <v>18</v>
      </c>
      <c r="F11096" s="30" t="s">
        <v>19</v>
      </c>
      <c r="G11096" s="30" t="s">
        <v>20</v>
      </c>
      <c r="H11096" s="32">
        <v>315</v>
      </c>
      <c r="I11096" s="30" t="s">
        <v>21</v>
      </c>
      <c r="J11096" s="41">
        <v>44645</v>
      </c>
      <c r="K11096" s="30" t="s">
        <v>22</v>
      </c>
    </row>
    <row r="11097" spans="1:11">
      <c r="A11097" s="33" t="s">
        <v>25271</v>
      </c>
      <c r="B11097" s="33" t="s">
        <v>25272</v>
      </c>
      <c r="C11097" s="33" t="s">
        <v>25273</v>
      </c>
      <c r="D11097" s="33" t="s">
        <v>17</v>
      </c>
      <c r="E11097" s="33" t="s">
        <v>45</v>
      </c>
      <c r="F11097" s="33" t="s">
        <v>46</v>
      </c>
      <c r="G11097" s="33" t="s">
        <v>20</v>
      </c>
      <c r="H11097" s="35">
        <v>69</v>
      </c>
      <c r="I11097" s="33" t="s">
        <v>21</v>
      </c>
      <c r="J11097" s="42">
        <v>44795</v>
      </c>
      <c r="K11097" s="33" t="s">
        <v>22</v>
      </c>
    </row>
    <row r="11098" spans="1:11">
      <c r="A11098" s="30" t="s">
        <v>25274</v>
      </c>
      <c r="B11098" s="30" t="s">
        <v>25275</v>
      </c>
      <c r="C11098" s="30" t="s">
        <v>190</v>
      </c>
      <c r="D11098" s="30" t="s">
        <v>17</v>
      </c>
      <c r="E11098" s="30" t="s">
        <v>18</v>
      </c>
      <c r="F11098" s="30" t="s">
        <v>19</v>
      </c>
      <c r="G11098" s="30" t="s">
        <v>158</v>
      </c>
      <c r="H11098" s="32">
        <v>368</v>
      </c>
      <c r="I11098" s="30" t="s">
        <v>21</v>
      </c>
      <c r="J11098" s="41">
        <v>44875</v>
      </c>
      <c r="K11098" s="30" t="s">
        <v>22</v>
      </c>
    </row>
    <row r="11099" spans="1:11">
      <c r="A11099" s="33" t="s">
        <v>25276</v>
      </c>
      <c r="B11099" s="33" t="s">
        <v>25277</v>
      </c>
      <c r="C11099" s="33" t="s">
        <v>13241</v>
      </c>
      <c r="D11099" s="33" t="s">
        <v>17</v>
      </c>
      <c r="E11099" s="33" t="s">
        <v>31</v>
      </c>
      <c r="F11099" s="33" t="s">
        <v>32</v>
      </c>
      <c r="G11099" s="33" t="s">
        <v>106</v>
      </c>
      <c r="H11099" s="35">
        <v>64</v>
      </c>
      <c r="I11099" s="33" t="s">
        <v>21</v>
      </c>
      <c r="J11099" s="42">
        <v>44627</v>
      </c>
      <c r="K11099" s="33" t="s">
        <v>22</v>
      </c>
    </row>
    <row r="11100" spans="1:11">
      <c r="A11100" s="30" t="s">
        <v>25278</v>
      </c>
      <c r="B11100" s="30" t="s">
        <v>25279</v>
      </c>
      <c r="C11100" s="30" t="s">
        <v>5842</v>
      </c>
      <c r="D11100" s="30" t="s">
        <v>17</v>
      </c>
      <c r="E11100" s="30" t="s">
        <v>26</v>
      </c>
      <c r="F11100" s="30" t="s">
        <v>27</v>
      </c>
      <c r="G11100" s="30" t="s">
        <v>20</v>
      </c>
      <c r="H11100" s="32">
        <v>52</v>
      </c>
      <c r="I11100" s="30" t="s">
        <v>21</v>
      </c>
      <c r="J11100" s="41">
        <v>44571</v>
      </c>
      <c r="K11100" s="30" t="s">
        <v>22</v>
      </c>
    </row>
    <row r="11101" spans="1:11">
      <c r="A11101" s="33" t="s">
        <v>25280</v>
      </c>
      <c r="B11101" s="33" t="s">
        <v>25281</v>
      </c>
      <c r="C11101" s="33" t="s">
        <v>4668</v>
      </c>
      <c r="D11101" s="33" t="s">
        <v>17</v>
      </c>
      <c r="E11101" s="33" t="s">
        <v>26</v>
      </c>
      <c r="F11101" s="33" t="s">
        <v>27</v>
      </c>
      <c r="G11101" s="33" t="s">
        <v>20</v>
      </c>
      <c r="H11101" s="35">
        <v>45</v>
      </c>
      <c r="I11101" s="33" t="s">
        <v>21</v>
      </c>
      <c r="J11101" s="42">
        <v>44713</v>
      </c>
      <c r="K11101" s="33" t="s">
        <v>22</v>
      </c>
    </row>
    <row r="11102" spans="1:11">
      <c r="A11102" s="30" t="s">
        <v>25282</v>
      </c>
      <c r="B11102" s="30" t="s">
        <v>25283</v>
      </c>
      <c r="C11102" s="30" t="s">
        <v>5996</v>
      </c>
      <c r="D11102" s="30" t="s">
        <v>17</v>
      </c>
      <c r="E11102" s="30" t="s">
        <v>26</v>
      </c>
      <c r="F11102" s="30" t="s">
        <v>27</v>
      </c>
      <c r="G11102" s="30" t="s">
        <v>140</v>
      </c>
      <c r="H11102" s="32">
        <v>70</v>
      </c>
      <c r="I11102" s="30" t="s">
        <v>51</v>
      </c>
      <c r="J11102" s="41">
        <v>44805</v>
      </c>
      <c r="K11102" s="30" t="s">
        <v>22</v>
      </c>
    </row>
    <row r="11103" spans="1:11">
      <c r="A11103" s="33" t="s">
        <v>25284</v>
      </c>
      <c r="B11103" s="33" t="s">
        <v>25285</v>
      </c>
      <c r="C11103" s="33" t="s">
        <v>3243</v>
      </c>
      <c r="D11103" s="33" t="s">
        <v>17</v>
      </c>
      <c r="E11103" s="33" t="s">
        <v>26</v>
      </c>
      <c r="F11103" s="33" t="s">
        <v>27</v>
      </c>
      <c r="G11103" s="33" t="s">
        <v>20</v>
      </c>
      <c r="H11103" s="35">
        <v>16</v>
      </c>
      <c r="I11103" s="33" t="s">
        <v>21</v>
      </c>
      <c r="J11103" s="42">
        <v>44714</v>
      </c>
      <c r="K11103" s="33" t="s">
        <v>22</v>
      </c>
    </row>
    <row r="11104" spans="1:11">
      <c r="A11104" s="30" t="s">
        <v>25286</v>
      </c>
      <c r="B11104" s="30" t="s">
        <v>25287</v>
      </c>
      <c r="C11104" s="30" t="s">
        <v>9651</v>
      </c>
      <c r="D11104" s="30" t="s">
        <v>17</v>
      </c>
      <c r="E11104" s="30" t="s">
        <v>26</v>
      </c>
      <c r="F11104" s="30" t="s">
        <v>27</v>
      </c>
      <c r="G11104" s="30" t="s">
        <v>50</v>
      </c>
      <c r="H11104" s="32">
        <v>36</v>
      </c>
      <c r="I11104" s="30" t="s">
        <v>51</v>
      </c>
      <c r="J11104" s="41">
        <v>44835</v>
      </c>
      <c r="K11104" s="30" t="s">
        <v>22</v>
      </c>
    </row>
    <row r="11105" spans="1:11">
      <c r="A11105" s="33" t="s">
        <v>25288</v>
      </c>
      <c r="B11105" s="33" t="s">
        <v>25289</v>
      </c>
      <c r="C11105" s="33" t="s">
        <v>5043</v>
      </c>
      <c r="D11105" s="33" t="s">
        <v>17</v>
      </c>
      <c r="E11105" s="33" t="s">
        <v>18</v>
      </c>
      <c r="F11105" s="33" t="s">
        <v>19</v>
      </c>
      <c r="G11105" s="33" t="s">
        <v>20</v>
      </c>
      <c r="H11105" s="35">
        <v>12</v>
      </c>
      <c r="I11105" s="33" t="s">
        <v>21</v>
      </c>
      <c r="J11105" s="42">
        <v>44628</v>
      </c>
      <c r="K11105" s="33" t="s">
        <v>22</v>
      </c>
    </row>
    <row r="11106" spans="1:11">
      <c r="A11106" s="30" t="s">
        <v>25290</v>
      </c>
      <c r="B11106" s="30" t="s">
        <v>25291</v>
      </c>
      <c r="C11106" s="30" t="s">
        <v>10855</v>
      </c>
      <c r="D11106" s="30" t="s">
        <v>17</v>
      </c>
      <c r="E11106" s="30" t="s">
        <v>26</v>
      </c>
      <c r="F11106" s="30" t="s">
        <v>27</v>
      </c>
      <c r="G11106" s="30" t="s">
        <v>50</v>
      </c>
      <c r="H11106" s="32">
        <v>100</v>
      </c>
      <c r="I11106" s="30" t="s">
        <v>51</v>
      </c>
      <c r="J11106" s="41">
        <v>44805</v>
      </c>
      <c r="K11106" s="30" t="s">
        <v>22</v>
      </c>
    </row>
    <row r="11107" spans="1:11">
      <c r="A11107" s="33" t="s">
        <v>25292</v>
      </c>
      <c r="B11107" s="33" t="s">
        <v>25293</v>
      </c>
      <c r="C11107" s="33" t="s">
        <v>1908</v>
      </c>
      <c r="D11107" s="33" t="s">
        <v>17</v>
      </c>
      <c r="E11107" s="33" t="s">
        <v>26</v>
      </c>
      <c r="F11107" s="33" t="s">
        <v>27</v>
      </c>
      <c r="G11107" s="33" t="s">
        <v>20</v>
      </c>
      <c r="H11107" s="35">
        <v>18</v>
      </c>
      <c r="I11107" s="33" t="s">
        <v>21</v>
      </c>
      <c r="J11107" s="42">
        <v>44880</v>
      </c>
      <c r="K11107" s="33" t="s">
        <v>22</v>
      </c>
    </row>
    <row r="11108" spans="1:11">
      <c r="A11108" s="30" t="s">
        <v>25294</v>
      </c>
      <c r="B11108" s="30" t="s">
        <v>25295</v>
      </c>
      <c r="C11108" s="30" t="s">
        <v>190</v>
      </c>
      <c r="D11108" s="30" t="s">
        <v>17</v>
      </c>
      <c r="E11108" s="30" t="s">
        <v>26</v>
      </c>
      <c r="F11108" s="30" t="s">
        <v>27</v>
      </c>
      <c r="G11108" s="30" t="s">
        <v>20</v>
      </c>
      <c r="H11108" s="32">
        <v>59</v>
      </c>
      <c r="I11108" s="30" t="s">
        <v>21</v>
      </c>
      <c r="J11108" s="41">
        <v>44725</v>
      </c>
      <c r="K11108" s="30" t="s">
        <v>22</v>
      </c>
    </row>
    <row r="11109" spans="1:11">
      <c r="A11109" s="33" t="s">
        <v>25296</v>
      </c>
      <c r="B11109" s="33" t="s">
        <v>25297</v>
      </c>
      <c r="C11109" s="33" t="s">
        <v>25298</v>
      </c>
      <c r="D11109" s="33" t="s">
        <v>17</v>
      </c>
      <c r="E11109" s="33" t="s">
        <v>18</v>
      </c>
      <c r="F11109" s="33" t="s">
        <v>19</v>
      </c>
      <c r="G11109" s="33" t="s">
        <v>158</v>
      </c>
      <c r="H11109" s="35">
        <v>701</v>
      </c>
      <c r="I11109" s="33" t="s">
        <v>51</v>
      </c>
      <c r="J11109" s="42">
        <v>44903</v>
      </c>
      <c r="K11109" s="33" t="s">
        <v>22</v>
      </c>
    </row>
    <row r="11110" spans="1:11">
      <c r="A11110" s="30" t="s">
        <v>25299</v>
      </c>
      <c r="B11110" s="30" t="s">
        <v>25300</v>
      </c>
      <c r="C11110" s="30" t="s">
        <v>25301</v>
      </c>
      <c r="D11110" s="30" t="s">
        <v>17</v>
      </c>
      <c r="E11110" s="30" t="s">
        <v>26</v>
      </c>
      <c r="F11110" s="30" t="s">
        <v>27</v>
      </c>
      <c r="G11110" s="30" t="s">
        <v>20</v>
      </c>
      <c r="H11110" s="32">
        <v>12</v>
      </c>
      <c r="I11110" s="30" t="s">
        <v>21</v>
      </c>
      <c r="J11110" s="41">
        <v>44652</v>
      </c>
      <c r="K11110" s="30" t="s">
        <v>22</v>
      </c>
    </row>
    <row r="11111" spans="1:11">
      <c r="A11111" s="33" t="s">
        <v>25302</v>
      </c>
      <c r="B11111" s="33" t="s">
        <v>25303</v>
      </c>
      <c r="C11111" s="33" t="s">
        <v>44</v>
      </c>
      <c r="D11111" s="33" t="s">
        <v>17</v>
      </c>
      <c r="E11111" s="33" t="s">
        <v>18</v>
      </c>
      <c r="F11111" s="33" t="s">
        <v>19</v>
      </c>
      <c r="G11111" s="33" t="s">
        <v>158</v>
      </c>
      <c r="H11111" s="35">
        <v>202</v>
      </c>
      <c r="I11111" s="33" t="s">
        <v>21</v>
      </c>
      <c r="J11111" s="42">
        <v>44774</v>
      </c>
      <c r="K11111" s="33" t="s">
        <v>22</v>
      </c>
    </row>
    <row r="11112" spans="1:11">
      <c r="A11112" s="30" t="s">
        <v>25304</v>
      </c>
      <c r="B11112" s="30" t="s">
        <v>25305</v>
      </c>
      <c r="C11112" s="30" t="s">
        <v>187</v>
      </c>
      <c r="D11112" s="30" t="s">
        <v>17</v>
      </c>
      <c r="E11112" s="30" t="s">
        <v>26</v>
      </c>
      <c r="F11112" s="30" t="s">
        <v>27</v>
      </c>
      <c r="G11112" s="30" t="s">
        <v>50</v>
      </c>
      <c r="H11112" s="32">
        <v>137</v>
      </c>
      <c r="I11112" s="30" t="s">
        <v>51</v>
      </c>
      <c r="J11112" s="41">
        <v>44866</v>
      </c>
      <c r="K11112" s="30" t="s">
        <v>22</v>
      </c>
    </row>
    <row r="11113" spans="1:11">
      <c r="A11113" s="33" t="s">
        <v>25306</v>
      </c>
      <c r="B11113" s="33" t="s">
        <v>25307</v>
      </c>
      <c r="C11113" s="33" t="s">
        <v>25308</v>
      </c>
      <c r="D11113" s="33" t="s">
        <v>17</v>
      </c>
      <c r="E11113" s="33" t="s">
        <v>26</v>
      </c>
      <c r="F11113" s="33" t="s">
        <v>27</v>
      </c>
      <c r="G11113" s="33" t="s">
        <v>106</v>
      </c>
      <c r="H11113" s="35">
        <v>13</v>
      </c>
      <c r="I11113" s="33" t="s">
        <v>21</v>
      </c>
      <c r="J11113" s="42">
        <v>44694</v>
      </c>
      <c r="K11113" s="33" t="s">
        <v>22</v>
      </c>
    </row>
    <row r="11114" spans="1:11">
      <c r="A11114" s="30" t="s">
        <v>25309</v>
      </c>
      <c r="B11114" s="30" t="s">
        <v>25310</v>
      </c>
      <c r="C11114" s="30" t="s">
        <v>96</v>
      </c>
      <c r="D11114" s="30" t="s">
        <v>17</v>
      </c>
      <c r="E11114" s="30" t="s">
        <v>31</v>
      </c>
      <c r="F11114" s="30" t="s">
        <v>32</v>
      </c>
      <c r="G11114" s="30" t="s">
        <v>106</v>
      </c>
      <c r="H11114" s="32">
        <v>10</v>
      </c>
      <c r="I11114" s="30" t="s">
        <v>21</v>
      </c>
      <c r="J11114" s="41">
        <v>44781</v>
      </c>
      <c r="K11114" s="30" t="s">
        <v>22</v>
      </c>
    </row>
    <row r="11115" spans="1:11">
      <c r="A11115" s="33" t="s">
        <v>25311</v>
      </c>
      <c r="B11115" s="33" t="s">
        <v>25312</v>
      </c>
      <c r="C11115" s="33" t="s">
        <v>23276</v>
      </c>
      <c r="D11115" s="33" t="s">
        <v>17</v>
      </c>
      <c r="E11115" s="33" t="s">
        <v>26</v>
      </c>
      <c r="F11115" s="33" t="s">
        <v>27</v>
      </c>
      <c r="G11115" s="33" t="s">
        <v>140</v>
      </c>
      <c r="H11115" s="35">
        <v>28</v>
      </c>
      <c r="I11115" s="33" t="s">
        <v>51</v>
      </c>
      <c r="J11115" s="42">
        <v>44888</v>
      </c>
      <c r="K11115" s="33" t="s">
        <v>22</v>
      </c>
    </row>
    <row r="11116" spans="1:11">
      <c r="A11116" s="30" t="s">
        <v>25313</v>
      </c>
      <c r="B11116" s="30" t="s">
        <v>25314</v>
      </c>
      <c r="C11116" s="30" t="s">
        <v>1090</v>
      </c>
      <c r="D11116" s="30" t="s">
        <v>17</v>
      </c>
      <c r="E11116" s="30" t="s">
        <v>26</v>
      </c>
      <c r="F11116" s="30" t="s">
        <v>27</v>
      </c>
      <c r="G11116" s="30" t="s">
        <v>50</v>
      </c>
      <c r="H11116" s="32">
        <v>116</v>
      </c>
      <c r="I11116" s="30" t="s">
        <v>51</v>
      </c>
      <c r="J11116" s="41">
        <v>44652</v>
      </c>
      <c r="K11116" s="30" t="s">
        <v>22</v>
      </c>
    </row>
    <row r="11117" spans="1:11">
      <c r="A11117" s="33" t="s">
        <v>25315</v>
      </c>
      <c r="B11117" s="33" t="s">
        <v>25316</v>
      </c>
      <c r="C11117" s="33" t="s">
        <v>25317</v>
      </c>
      <c r="D11117" s="33" t="s">
        <v>17</v>
      </c>
      <c r="E11117" s="33" t="s">
        <v>31</v>
      </c>
      <c r="F11117" s="33" t="s">
        <v>32</v>
      </c>
      <c r="G11117" s="33" t="s">
        <v>20</v>
      </c>
      <c r="H11117" s="35">
        <v>12</v>
      </c>
      <c r="I11117" s="33" t="s">
        <v>21</v>
      </c>
      <c r="J11117" s="42">
        <v>44665</v>
      </c>
      <c r="K11117" s="33" t="s">
        <v>22</v>
      </c>
    </row>
    <row r="11118" spans="1:11">
      <c r="A11118" s="30" t="s">
        <v>25318</v>
      </c>
      <c r="B11118" s="30" t="s">
        <v>25319</v>
      </c>
      <c r="C11118" s="30" t="s">
        <v>149</v>
      </c>
      <c r="D11118" s="30" t="s">
        <v>17</v>
      </c>
      <c r="E11118" s="30" t="s">
        <v>18</v>
      </c>
      <c r="F11118" s="30" t="s">
        <v>19</v>
      </c>
      <c r="G11118" s="30" t="s">
        <v>50</v>
      </c>
      <c r="H11118" s="32">
        <v>450</v>
      </c>
      <c r="I11118" s="30" t="s">
        <v>51</v>
      </c>
      <c r="J11118" s="41">
        <v>44812</v>
      </c>
      <c r="K11118" s="30" t="s">
        <v>22</v>
      </c>
    </row>
    <row r="11119" spans="1:11">
      <c r="A11119" s="33" t="s">
        <v>25320</v>
      </c>
      <c r="B11119" s="33" t="s">
        <v>25321</v>
      </c>
      <c r="C11119" s="33" t="s">
        <v>310</v>
      </c>
      <c r="D11119" s="33" t="s">
        <v>17</v>
      </c>
      <c r="E11119" s="33" t="s">
        <v>26</v>
      </c>
      <c r="F11119" s="33" t="s">
        <v>27</v>
      </c>
      <c r="G11119" s="33" t="s">
        <v>20</v>
      </c>
      <c r="H11119" s="35">
        <v>20</v>
      </c>
      <c r="I11119" s="33" t="s">
        <v>21</v>
      </c>
      <c r="J11119" s="42">
        <v>44734</v>
      </c>
      <c r="K11119" s="33" t="s">
        <v>22</v>
      </c>
    </row>
    <row r="11120" spans="1:11">
      <c r="A11120" s="30" t="s">
        <v>25322</v>
      </c>
      <c r="B11120" s="30" t="s">
        <v>25323</v>
      </c>
      <c r="C11120" s="30" t="s">
        <v>15836</v>
      </c>
      <c r="D11120" s="30" t="s">
        <v>17</v>
      </c>
      <c r="E11120" s="30" t="s">
        <v>26</v>
      </c>
      <c r="F11120" s="30" t="s">
        <v>27</v>
      </c>
      <c r="G11120" s="30" t="s">
        <v>20</v>
      </c>
      <c r="H11120" s="32">
        <v>65</v>
      </c>
      <c r="I11120" s="30" t="s">
        <v>21</v>
      </c>
      <c r="J11120" s="41">
        <v>44805</v>
      </c>
      <c r="K11120" s="30" t="s">
        <v>22</v>
      </c>
    </row>
    <row r="11121" spans="1:11">
      <c r="A11121" s="33" t="s">
        <v>25324</v>
      </c>
      <c r="B11121" s="33" t="s">
        <v>25325</v>
      </c>
      <c r="C11121" s="33" t="s">
        <v>1598</v>
      </c>
      <c r="D11121" s="33" t="s">
        <v>17</v>
      </c>
      <c r="E11121" s="33" t="s">
        <v>26</v>
      </c>
      <c r="F11121" s="33" t="s">
        <v>27</v>
      </c>
      <c r="G11121" s="33" t="s">
        <v>20</v>
      </c>
      <c r="H11121" s="35">
        <v>117</v>
      </c>
      <c r="I11121" s="33" t="s">
        <v>21</v>
      </c>
      <c r="J11121" s="42">
        <v>44664</v>
      </c>
      <c r="K11121" s="33" t="s">
        <v>22</v>
      </c>
    </row>
    <row r="11122" spans="1:11">
      <c r="A11122" s="30" t="s">
        <v>25326</v>
      </c>
      <c r="B11122" s="30" t="s">
        <v>25327</v>
      </c>
      <c r="C11122" s="30" t="s">
        <v>6417</v>
      </c>
      <c r="D11122" s="30" t="s">
        <v>17</v>
      </c>
      <c r="E11122" s="30" t="s">
        <v>26</v>
      </c>
      <c r="F11122" s="30" t="s">
        <v>27</v>
      </c>
      <c r="G11122" s="30" t="s">
        <v>106</v>
      </c>
      <c r="H11122" s="32">
        <v>25</v>
      </c>
      <c r="I11122" s="30" t="s">
        <v>21</v>
      </c>
      <c r="J11122" s="41">
        <v>44574</v>
      </c>
      <c r="K11122" s="30" t="s">
        <v>22</v>
      </c>
    </row>
    <row r="11123" spans="1:11">
      <c r="A11123" s="33" t="s">
        <v>25328</v>
      </c>
      <c r="B11123" s="33" t="s">
        <v>25329</v>
      </c>
      <c r="C11123" s="33" t="s">
        <v>1165</v>
      </c>
      <c r="D11123" s="33" t="s">
        <v>17</v>
      </c>
      <c r="E11123" s="33" t="s">
        <v>45</v>
      </c>
      <c r="F11123" s="33" t="s">
        <v>46</v>
      </c>
      <c r="G11123" s="33" t="s">
        <v>20</v>
      </c>
      <c r="H11123" s="35">
        <v>98</v>
      </c>
      <c r="I11123" s="33" t="s">
        <v>21</v>
      </c>
      <c r="J11123" s="42">
        <v>44721</v>
      </c>
      <c r="K11123" s="33" t="s">
        <v>22</v>
      </c>
    </row>
    <row r="11124" spans="1:11">
      <c r="A11124" s="30" t="s">
        <v>25330</v>
      </c>
      <c r="B11124" s="30" t="s">
        <v>25331</v>
      </c>
      <c r="C11124" s="30" t="s">
        <v>2748</v>
      </c>
      <c r="D11124" s="30" t="s">
        <v>17</v>
      </c>
      <c r="E11124" s="30" t="s">
        <v>18</v>
      </c>
      <c r="F11124" s="30" t="s">
        <v>19</v>
      </c>
      <c r="G11124" s="30" t="s">
        <v>140</v>
      </c>
      <c r="H11124" s="32">
        <v>300</v>
      </c>
      <c r="I11124" s="30" t="s">
        <v>51</v>
      </c>
      <c r="J11124" s="41">
        <v>44634</v>
      </c>
      <c r="K11124" s="30" t="s">
        <v>22</v>
      </c>
    </row>
    <row r="11125" spans="1:11">
      <c r="A11125" s="33" t="s">
        <v>25332</v>
      </c>
      <c r="B11125" s="33" t="s">
        <v>25333</v>
      </c>
      <c r="C11125" s="33" t="s">
        <v>3655</v>
      </c>
      <c r="D11125" s="33" t="s">
        <v>17</v>
      </c>
      <c r="E11125" s="33" t="s">
        <v>67</v>
      </c>
      <c r="F11125" s="33" t="s">
        <v>68</v>
      </c>
      <c r="G11125" s="33" t="s">
        <v>106</v>
      </c>
      <c r="H11125" s="35">
        <v>73</v>
      </c>
      <c r="I11125" s="33" t="s">
        <v>21</v>
      </c>
      <c r="J11125" s="42">
        <v>44642</v>
      </c>
      <c r="K11125" s="33" t="s">
        <v>22</v>
      </c>
    </row>
    <row r="11126" spans="1:11">
      <c r="A11126" s="30" t="s">
        <v>25334</v>
      </c>
      <c r="B11126" s="30" t="s">
        <v>25335</v>
      </c>
      <c r="C11126" s="30" t="s">
        <v>96</v>
      </c>
      <c r="D11126" s="30" t="s">
        <v>17</v>
      </c>
      <c r="E11126" s="30" t="s">
        <v>212</v>
      </c>
      <c r="F11126" s="30" t="s">
        <v>213</v>
      </c>
      <c r="G11126" s="30" t="s">
        <v>20</v>
      </c>
      <c r="H11126" s="32">
        <v>441</v>
      </c>
      <c r="I11126" s="30" t="s">
        <v>21</v>
      </c>
      <c r="J11126" s="41">
        <v>44635</v>
      </c>
      <c r="K11126" s="30" t="s">
        <v>22</v>
      </c>
    </row>
    <row r="11127" spans="1:11">
      <c r="A11127" s="33" t="s">
        <v>25336</v>
      </c>
      <c r="B11127" s="33" t="s">
        <v>25337</v>
      </c>
      <c r="C11127" s="33" t="s">
        <v>154</v>
      </c>
      <c r="D11127" s="33" t="s">
        <v>17</v>
      </c>
      <c r="E11127" s="33" t="s">
        <v>67</v>
      </c>
      <c r="F11127" s="33" t="s">
        <v>68</v>
      </c>
      <c r="G11127" s="33" t="s">
        <v>20</v>
      </c>
      <c r="H11127" s="35">
        <v>53</v>
      </c>
      <c r="I11127" s="33" t="s">
        <v>21</v>
      </c>
      <c r="J11127" s="42">
        <v>44676</v>
      </c>
      <c r="K11127" s="33" t="s">
        <v>22</v>
      </c>
    </row>
    <row r="11128" spans="1:11">
      <c r="A11128" s="30" t="s">
        <v>25338</v>
      </c>
      <c r="B11128" s="30" t="s">
        <v>25339</v>
      </c>
      <c r="C11128" s="30" t="s">
        <v>190</v>
      </c>
      <c r="D11128" s="30" t="s">
        <v>17</v>
      </c>
      <c r="E11128" s="30" t="s">
        <v>31</v>
      </c>
      <c r="F11128" s="30" t="s">
        <v>32</v>
      </c>
      <c r="G11128" s="30" t="s">
        <v>106</v>
      </c>
      <c r="H11128" s="32">
        <v>4</v>
      </c>
      <c r="I11128" s="30" t="s">
        <v>21</v>
      </c>
      <c r="J11128" s="41">
        <v>44580</v>
      </c>
      <c r="K11128" s="30" t="s">
        <v>22</v>
      </c>
    </row>
    <row r="11129" spans="1:11">
      <c r="A11129" s="33" t="s">
        <v>25340</v>
      </c>
      <c r="B11129" s="33" t="s">
        <v>25341</v>
      </c>
      <c r="C11129" s="33" t="s">
        <v>75</v>
      </c>
      <c r="D11129" s="33" t="s">
        <v>17</v>
      </c>
      <c r="E11129" s="33" t="s">
        <v>45</v>
      </c>
      <c r="F11129" s="33" t="s">
        <v>46</v>
      </c>
      <c r="G11129" s="33" t="s">
        <v>140</v>
      </c>
      <c r="H11129" s="35">
        <v>120</v>
      </c>
      <c r="I11129" s="33" t="s">
        <v>51</v>
      </c>
      <c r="J11129" s="42">
        <v>44711</v>
      </c>
      <c r="K11129" s="33" t="s">
        <v>22</v>
      </c>
    </row>
    <row r="11130" spans="1:11">
      <c r="A11130" s="30" t="s">
        <v>25342</v>
      </c>
      <c r="B11130" s="30" t="s">
        <v>25343</v>
      </c>
      <c r="C11130" s="30" t="s">
        <v>25344</v>
      </c>
      <c r="D11130" s="30" t="s">
        <v>17</v>
      </c>
      <c r="E11130" s="30" t="s">
        <v>330</v>
      </c>
      <c r="F11130" s="30" t="s">
        <v>331</v>
      </c>
      <c r="G11130" s="30" t="s">
        <v>20</v>
      </c>
      <c r="H11130" s="32">
        <v>45</v>
      </c>
      <c r="I11130" s="30" t="s">
        <v>21</v>
      </c>
      <c r="J11130" s="41">
        <v>44753</v>
      </c>
      <c r="K11130" s="30" t="s">
        <v>22</v>
      </c>
    </row>
    <row r="11131" spans="1:11">
      <c r="A11131" s="33" t="s">
        <v>25345</v>
      </c>
      <c r="B11131" s="33" t="s">
        <v>25346</v>
      </c>
      <c r="C11131" s="33" t="s">
        <v>25347</v>
      </c>
      <c r="D11131" s="33" t="s">
        <v>17</v>
      </c>
      <c r="E11131" s="33" t="s">
        <v>31</v>
      </c>
      <c r="F11131" s="33" t="s">
        <v>32</v>
      </c>
      <c r="G11131" s="33" t="s">
        <v>20</v>
      </c>
      <c r="H11131" s="35">
        <v>234</v>
      </c>
      <c r="I11131" s="33" t="s">
        <v>21</v>
      </c>
      <c r="J11131" s="42">
        <v>44861</v>
      </c>
      <c r="K11131" s="33" t="s">
        <v>22</v>
      </c>
    </row>
    <row r="11132" spans="1:11">
      <c r="A11132" s="30" t="s">
        <v>25348</v>
      </c>
      <c r="B11132" s="30" t="s">
        <v>25349</v>
      </c>
      <c r="C11132" s="30" t="s">
        <v>399</v>
      </c>
      <c r="D11132" s="30" t="s">
        <v>17</v>
      </c>
      <c r="E11132" s="30" t="s">
        <v>26</v>
      </c>
      <c r="F11132" s="30" t="s">
        <v>27</v>
      </c>
      <c r="G11132" s="30" t="s">
        <v>20</v>
      </c>
      <c r="H11132" s="32">
        <v>62</v>
      </c>
      <c r="I11132" s="30" t="s">
        <v>21</v>
      </c>
      <c r="J11132" s="41">
        <v>44861</v>
      </c>
      <c r="K11132" s="30" t="s">
        <v>22</v>
      </c>
    </row>
    <row r="11133" spans="1:11">
      <c r="A11133" s="33" t="s">
        <v>25350</v>
      </c>
      <c r="B11133" s="33" t="s">
        <v>25351</v>
      </c>
      <c r="C11133" s="33" t="s">
        <v>25352</v>
      </c>
      <c r="D11133" s="33" t="s">
        <v>17</v>
      </c>
      <c r="E11133" s="33" t="s">
        <v>31</v>
      </c>
      <c r="F11133" s="33" t="s">
        <v>32</v>
      </c>
      <c r="G11133" s="33" t="s">
        <v>106</v>
      </c>
      <c r="H11133" s="35">
        <v>35</v>
      </c>
      <c r="I11133" s="33" t="s">
        <v>21</v>
      </c>
      <c r="J11133" s="42">
        <v>44670</v>
      </c>
      <c r="K11133" s="33" t="s">
        <v>22</v>
      </c>
    </row>
    <row r="11134" spans="1:11">
      <c r="A11134" s="30" t="s">
        <v>25353</v>
      </c>
      <c r="B11134" s="30" t="s">
        <v>25354</v>
      </c>
      <c r="C11134" s="30" t="s">
        <v>25355</v>
      </c>
      <c r="D11134" s="30" t="s">
        <v>17</v>
      </c>
      <c r="E11134" s="30" t="s">
        <v>31</v>
      </c>
      <c r="F11134" s="30" t="s">
        <v>32</v>
      </c>
      <c r="G11134" s="30" t="s">
        <v>106</v>
      </c>
      <c r="H11134" s="32">
        <v>112</v>
      </c>
      <c r="I11134" s="30" t="s">
        <v>21</v>
      </c>
      <c r="J11134" s="41">
        <v>44719</v>
      </c>
      <c r="K11134" s="30" t="s">
        <v>22</v>
      </c>
    </row>
    <row r="11135" spans="1:11">
      <c r="A11135" s="33" t="s">
        <v>25356</v>
      </c>
      <c r="B11135" s="33" t="s">
        <v>25357</v>
      </c>
      <c r="C11135" s="33" t="s">
        <v>25358</v>
      </c>
      <c r="D11135" s="33" t="s">
        <v>17</v>
      </c>
      <c r="E11135" s="33" t="s">
        <v>67</v>
      </c>
      <c r="F11135" s="33" t="s">
        <v>68</v>
      </c>
      <c r="G11135" s="33" t="s">
        <v>158</v>
      </c>
      <c r="H11135" s="35">
        <v>174</v>
      </c>
      <c r="I11135" s="33" t="s">
        <v>51</v>
      </c>
      <c r="J11135" s="42">
        <v>44846</v>
      </c>
      <c r="K11135" s="33" t="s">
        <v>22</v>
      </c>
    </row>
    <row r="11136" spans="1:11">
      <c r="A11136" s="30" t="s">
        <v>25359</v>
      </c>
      <c r="B11136" s="30" t="s">
        <v>25360</v>
      </c>
      <c r="C11136" s="30" t="s">
        <v>3258</v>
      </c>
      <c r="D11136" s="30" t="s">
        <v>17</v>
      </c>
      <c r="E11136" s="30" t="s">
        <v>18</v>
      </c>
      <c r="F11136" s="30" t="s">
        <v>19</v>
      </c>
      <c r="G11136" s="30" t="s">
        <v>20</v>
      </c>
      <c r="H11136" s="32">
        <v>380</v>
      </c>
      <c r="I11136" s="30" t="s">
        <v>21</v>
      </c>
      <c r="J11136" s="41">
        <v>44694</v>
      </c>
      <c r="K11136" s="30" t="s">
        <v>22</v>
      </c>
    </row>
    <row r="11137" spans="1:11">
      <c r="A11137" s="33" t="s">
        <v>25361</v>
      </c>
      <c r="B11137" s="33" t="s">
        <v>25362</v>
      </c>
      <c r="C11137" s="33" t="s">
        <v>25363</v>
      </c>
      <c r="D11137" s="33" t="s">
        <v>17</v>
      </c>
      <c r="E11137" s="33" t="s">
        <v>26</v>
      </c>
      <c r="F11137" s="33" t="s">
        <v>27</v>
      </c>
      <c r="G11137" s="33" t="s">
        <v>20</v>
      </c>
      <c r="H11137" s="35">
        <v>10</v>
      </c>
      <c r="I11137" s="33" t="s">
        <v>21</v>
      </c>
      <c r="J11137" s="42">
        <v>44876</v>
      </c>
      <c r="K11137" s="33" t="s">
        <v>22</v>
      </c>
    </row>
    <row r="11138" spans="1:11">
      <c r="A11138" s="30" t="s">
        <v>25364</v>
      </c>
      <c r="B11138" s="30" t="s">
        <v>25365</v>
      </c>
      <c r="C11138" s="30" t="s">
        <v>9624</v>
      </c>
      <c r="D11138" s="30" t="s">
        <v>17</v>
      </c>
      <c r="E11138" s="30" t="s">
        <v>18</v>
      </c>
      <c r="F11138" s="30" t="s">
        <v>19</v>
      </c>
      <c r="G11138" s="30" t="s">
        <v>20</v>
      </c>
      <c r="H11138" s="32">
        <v>19</v>
      </c>
      <c r="I11138" s="30" t="s">
        <v>21</v>
      </c>
      <c r="J11138" s="41">
        <v>44727</v>
      </c>
      <c r="K11138" s="30" t="s">
        <v>22</v>
      </c>
    </row>
    <row r="11139" spans="1:11">
      <c r="A11139" s="33" t="s">
        <v>25366</v>
      </c>
      <c r="B11139" s="33" t="s">
        <v>25367</v>
      </c>
      <c r="C11139" s="33" t="s">
        <v>626</v>
      </c>
      <c r="D11139" s="33" t="s">
        <v>17</v>
      </c>
      <c r="E11139" s="33" t="s">
        <v>31</v>
      </c>
      <c r="F11139" s="33" t="s">
        <v>32</v>
      </c>
      <c r="G11139" s="33" t="s">
        <v>50</v>
      </c>
      <c r="H11139" s="35">
        <v>132</v>
      </c>
      <c r="I11139" s="33" t="s">
        <v>51</v>
      </c>
      <c r="J11139" s="42">
        <v>44725</v>
      </c>
      <c r="K11139" s="33" t="s">
        <v>22</v>
      </c>
    </row>
    <row r="11140" spans="1:11">
      <c r="A11140" s="30" t="s">
        <v>25368</v>
      </c>
      <c r="B11140" s="30" t="s">
        <v>25369</v>
      </c>
      <c r="C11140" s="30" t="s">
        <v>546</v>
      </c>
      <c r="D11140" s="30" t="s">
        <v>17</v>
      </c>
      <c r="E11140" s="30" t="s">
        <v>26</v>
      </c>
      <c r="F11140" s="30" t="s">
        <v>27</v>
      </c>
      <c r="G11140" s="30" t="s">
        <v>106</v>
      </c>
      <c r="H11140" s="32">
        <v>67</v>
      </c>
      <c r="I11140" s="30" t="s">
        <v>21</v>
      </c>
      <c r="J11140" s="41">
        <v>44844</v>
      </c>
      <c r="K11140" s="30" t="s">
        <v>22</v>
      </c>
    </row>
    <row r="11141" spans="1:11">
      <c r="A11141" s="33" t="s">
        <v>25370</v>
      </c>
      <c r="B11141" s="33" t="s">
        <v>25371</v>
      </c>
      <c r="C11141" s="33" t="s">
        <v>7035</v>
      </c>
      <c r="D11141" s="33" t="s">
        <v>17</v>
      </c>
      <c r="E11141" s="33" t="s">
        <v>31</v>
      </c>
      <c r="F11141" s="33" t="s">
        <v>32</v>
      </c>
      <c r="G11141" s="33" t="s">
        <v>106</v>
      </c>
      <c r="H11141" s="35">
        <v>1</v>
      </c>
      <c r="I11141" s="33" t="s">
        <v>21</v>
      </c>
      <c r="J11141" s="42">
        <v>44649</v>
      </c>
      <c r="K11141" s="33" t="s">
        <v>22</v>
      </c>
    </row>
    <row r="11142" spans="1:11">
      <c r="A11142" s="30" t="s">
        <v>25372</v>
      </c>
      <c r="B11142" s="30" t="s">
        <v>25373</v>
      </c>
      <c r="C11142" s="30" t="s">
        <v>443</v>
      </c>
      <c r="D11142" s="30" t="s">
        <v>17</v>
      </c>
      <c r="E11142" s="30" t="s">
        <v>18</v>
      </c>
      <c r="F11142" s="30" t="s">
        <v>19</v>
      </c>
      <c r="G11142" s="30" t="s">
        <v>20</v>
      </c>
      <c r="H11142" s="32">
        <v>217</v>
      </c>
      <c r="I11142" s="30" t="s">
        <v>21</v>
      </c>
      <c r="J11142" s="41">
        <v>44781</v>
      </c>
      <c r="K11142" s="30" t="s">
        <v>22</v>
      </c>
    </row>
    <row r="11143" spans="1:11">
      <c r="A11143" s="33" t="s">
        <v>25374</v>
      </c>
      <c r="B11143" s="33" t="s">
        <v>25375</v>
      </c>
      <c r="C11143" s="33" t="s">
        <v>149</v>
      </c>
      <c r="D11143" s="33" t="s">
        <v>17</v>
      </c>
      <c r="E11143" s="33" t="s">
        <v>31</v>
      </c>
      <c r="F11143" s="33" t="s">
        <v>32</v>
      </c>
      <c r="G11143" s="33" t="s">
        <v>50</v>
      </c>
      <c r="H11143" s="35">
        <v>455</v>
      </c>
      <c r="I11143" s="33" t="s">
        <v>21</v>
      </c>
      <c r="J11143" s="42">
        <v>44750</v>
      </c>
      <c r="K11143" s="33" t="s">
        <v>22</v>
      </c>
    </row>
    <row r="11144" spans="1:11">
      <c r="A11144" s="30" t="s">
        <v>25376</v>
      </c>
      <c r="B11144" s="30" t="s">
        <v>25377</v>
      </c>
      <c r="C11144" s="30" t="s">
        <v>25378</v>
      </c>
      <c r="D11144" s="30" t="s">
        <v>17</v>
      </c>
      <c r="E11144" s="30" t="s">
        <v>45</v>
      </c>
      <c r="F11144" s="30" t="s">
        <v>46</v>
      </c>
      <c r="G11144" s="30" t="s">
        <v>20</v>
      </c>
      <c r="H11144" s="32">
        <v>749</v>
      </c>
      <c r="I11144" s="30" t="s">
        <v>21</v>
      </c>
      <c r="J11144" s="41">
        <v>44902</v>
      </c>
      <c r="K11144" s="30" t="s">
        <v>22</v>
      </c>
    </row>
    <row r="11145" spans="1:11">
      <c r="A11145" s="33" t="s">
        <v>25379</v>
      </c>
      <c r="B11145" s="33" t="s">
        <v>25380</v>
      </c>
      <c r="C11145" s="33" t="s">
        <v>1598</v>
      </c>
      <c r="D11145" s="33" t="s">
        <v>17</v>
      </c>
      <c r="E11145" s="33" t="s">
        <v>26</v>
      </c>
      <c r="F11145" s="33" t="s">
        <v>27</v>
      </c>
      <c r="G11145" s="33" t="s">
        <v>20</v>
      </c>
      <c r="H11145" s="35">
        <v>20</v>
      </c>
      <c r="I11145" s="33" t="s">
        <v>21</v>
      </c>
      <c r="J11145" s="42">
        <v>44895</v>
      </c>
      <c r="K11145" s="33" t="s">
        <v>22</v>
      </c>
    </row>
    <row r="11146" spans="1:11">
      <c r="A11146" s="30" t="s">
        <v>25381</v>
      </c>
      <c r="B11146" s="30" t="s">
        <v>25382</v>
      </c>
      <c r="C11146" s="30" t="s">
        <v>718</v>
      </c>
      <c r="D11146" s="30" t="s">
        <v>17</v>
      </c>
      <c r="E11146" s="30" t="s">
        <v>67</v>
      </c>
      <c r="F11146" s="30" t="s">
        <v>68</v>
      </c>
      <c r="G11146" s="30" t="s">
        <v>50</v>
      </c>
      <c r="H11146" s="32">
        <v>158</v>
      </c>
      <c r="I11146" s="30" t="s">
        <v>51</v>
      </c>
      <c r="J11146" s="41">
        <v>44704</v>
      </c>
      <c r="K11146" s="30" t="s">
        <v>22</v>
      </c>
    </row>
    <row r="11147" spans="1:11">
      <c r="A11147" s="33" t="s">
        <v>25383</v>
      </c>
      <c r="B11147" s="33" t="s">
        <v>25384</v>
      </c>
      <c r="C11147" s="33" t="s">
        <v>96</v>
      </c>
      <c r="D11147" s="33" t="s">
        <v>17</v>
      </c>
      <c r="E11147" s="33" t="s">
        <v>26</v>
      </c>
      <c r="F11147" s="33" t="s">
        <v>27</v>
      </c>
      <c r="G11147" s="33" t="s">
        <v>20</v>
      </c>
      <c r="H11147" s="35">
        <v>21</v>
      </c>
      <c r="I11147" s="33" t="s">
        <v>21</v>
      </c>
      <c r="J11147" s="42">
        <v>44679</v>
      </c>
      <c r="K11147" s="33" t="s">
        <v>22</v>
      </c>
    </row>
    <row r="11148" spans="1:11">
      <c r="A11148" s="30" t="s">
        <v>25385</v>
      </c>
      <c r="B11148" s="30" t="s">
        <v>25386</v>
      </c>
      <c r="C11148" s="30" t="s">
        <v>6339</v>
      </c>
      <c r="D11148" s="30" t="s">
        <v>17</v>
      </c>
      <c r="E11148" s="30" t="s">
        <v>67</v>
      </c>
      <c r="F11148" s="30" t="s">
        <v>68</v>
      </c>
      <c r="G11148" s="30" t="s">
        <v>106</v>
      </c>
      <c r="H11148" s="32">
        <v>20</v>
      </c>
      <c r="I11148" s="30" t="s">
        <v>21</v>
      </c>
      <c r="J11148" s="41">
        <v>44644</v>
      </c>
      <c r="K11148" s="30" t="s">
        <v>22</v>
      </c>
    </row>
    <row r="11149" spans="1:11">
      <c r="A11149" s="33" t="s">
        <v>25387</v>
      </c>
      <c r="B11149" s="33" t="s">
        <v>25388</v>
      </c>
      <c r="C11149" s="33" t="s">
        <v>2054</v>
      </c>
      <c r="D11149" s="33" t="s">
        <v>17</v>
      </c>
      <c r="E11149" s="33" t="s">
        <v>31</v>
      </c>
      <c r="F11149" s="33" t="s">
        <v>32</v>
      </c>
      <c r="G11149" s="33" t="s">
        <v>20</v>
      </c>
      <c r="H11149" s="35">
        <v>5</v>
      </c>
      <c r="I11149" s="33" t="s">
        <v>21</v>
      </c>
      <c r="J11149" s="42">
        <v>44846</v>
      </c>
      <c r="K11149" s="33" t="s">
        <v>22</v>
      </c>
    </row>
    <row r="11150" spans="1:11">
      <c r="A11150" s="30" t="s">
        <v>25389</v>
      </c>
      <c r="B11150" s="30" t="s">
        <v>25390</v>
      </c>
      <c r="C11150" s="30" t="s">
        <v>96</v>
      </c>
      <c r="D11150" s="30" t="s">
        <v>17</v>
      </c>
      <c r="E11150" s="30" t="s">
        <v>31</v>
      </c>
      <c r="F11150" s="30" t="s">
        <v>32</v>
      </c>
      <c r="G11150" s="30" t="s">
        <v>20</v>
      </c>
      <c r="H11150" s="32">
        <v>436</v>
      </c>
      <c r="I11150" s="30" t="s">
        <v>21</v>
      </c>
      <c r="J11150" s="41">
        <v>44853</v>
      </c>
      <c r="K11150" s="30" t="s">
        <v>22</v>
      </c>
    </row>
    <row r="11151" spans="1:11">
      <c r="A11151" s="33" t="s">
        <v>25391</v>
      </c>
      <c r="B11151" s="33" t="s">
        <v>25392</v>
      </c>
      <c r="C11151" s="33" t="s">
        <v>18468</v>
      </c>
      <c r="D11151" s="33" t="s">
        <v>17</v>
      </c>
      <c r="E11151" s="33" t="s">
        <v>67</v>
      </c>
      <c r="F11151" s="33" t="s">
        <v>68</v>
      </c>
      <c r="G11151" s="33" t="s">
        <v>140</v>
      </c>
      <c r="H11151" s="35">
        <v>304</v>
      </c>
      <c r="I11151" s="33" t="s">
        <v>51</v>
      </c>
      <c r="J11151" s="42">
        <v>44733</v>
      </c>
      <c r="K11151" s="33" t="s">
        <v>22</v>
      </c>
    </row>
    <row r="11152" spans="1:11">
      <c r="A11152" s="30" t="s">
        <v>25393</v>
      </c>
      <c r="B11152" s="30" t="s">
        <v>25394</v>
      </c>
      <c r="C11152" s="30" t="s">
        <v>362</v>
      </c>
      <c r="D11152" s="30" t="s">
        <v>17</v>
      </c>
      <c r="E11152" s="30" t="s">
        <v>18</v>
      </c>
      <c r="F11152" s="30" t="s">
        <v>19</v>
      </c>
      <c r="G11152" s="30" t="s">
        <v>106</v>
      </c>
      <c r="H11152" s="32">
        <v>22</v>
      </c>
      <c r="I11152" s="30" t="s">
        <v>21</v>
      </c>
      <c r="J11152" s="41">
        <v>44768</v>
      </c>
      <c r="K11152" s="30" t="s">
        <v>22</v>
      </c>
    </row>
    <row r="11153" spans="1:11">
      <c r="A11153" s="33" t="s">
        <v>25395</v>
      </c>
      <c r="B11153" s="33" t="s">
        <v>25396</v>
      </c>
      <c r="C11153" s="33" t="s">
        <v>13520</v>
      </c>
      <c r="D11153" s="33" t="s">
        <v>17</v>
      </c>
      <c r="E11153" s="33" t="s">
        <v>31</v>
      </c>
      <c r="F11153" s="33" t="s">
        <v>32</v>
      </c>
      <c r="G11153" s="33" t="s">
        <v>20</v>
      </c>
      <c r="H11153" s="35">
        <v>34</v>
      </c>
      <c r="I11153" s="33" t="s">
        <v>21</v>
      </c>
      <c r="J11153" s="42">
        <v>44670</v>
      </c>
      <c r="K11153" s="33" t="s">
        <v>22</v>
      </c>
    </row>
    <row r="11154" spans="1:11">
      <c r="A11154" s="30" t="s">
        <v>25397</v>
      </c>
      <c r="B11154" s="30" t="s">
        <v>25398</v>
      </c>
      <c r="C11154" s="30" t="s">
        <v>17048</v>
      </c>
      <c r="D11154" s="30" t="s">
        <v>17</v>
      </c>
      <c r="E11154" s="30" t="s">
        <v>31</v>
      </c>
      <c r="F11154" s="30" t="s">
        <v>32</v>
      </c>
      <c r="G11154" s="30" t="s">
        <v>112</v>
      </c>
      <c r="H11154" s="32">
        <v>0</v>
      </c>
      <c r="I11154" s="30" t="s">
        <v>21</v>
      </c>
      <c r="J11154" s="41">
        <v>44887</v>
      </c>
      <c r="K11154" s="30" t="s">
        <v>22</v>
      </c>
    </row>
    <row r="11155" spans="1:11">
      <c r="A11155" s="33" t="s">
        <v>25399</v>
      </c>
      <c r="B11155" s="33" t="s">
        <v>25400</v>
      </c>
      <c r="C11155" s="33" t="s">
        <v>969</v>
      </c>
      <c r="D11155" s="33" t="s">
        <v>17</v>
      </c>
      <c r="E11155" s="33" t="s">
        <v>18</v>
      </c>
      <c r="F11155" s="33" t="s">
        <v>19</v>
      </c>
      <c r="G11155" s="33" t="s">
        <v>20</v>
      </c>
      <c r="H11155" s="35">
        <v>981</v>
      </c>
      <c r="I11155" s="33" t="s">
        <v>21</v>
      </c>
      <c r="J11155" s="42">
        <v>44902</v>
      </c>
      <c r="K11155" s="33" t="s">
        <v>22</v>
      </c>
    </row>
    <row r="11156" spans="1:11">
      <c r="A11156" s="30" t="s">
        <v>25401</v>
      </c>
      <c r="B11156" s="30" t="s">
        <v>25402</v>
      </c>
      <c r="C11156" s="30" t="s">
        <v>969</v>
      </c>
      <c r="D11156" s="30" t="s">
        <v>17</v>
      </c>
      <c r="E11156" s="30" t="s">
        <v>18</v>
      </c>
      <c r="F11156" s="30" t="s">
        <v>19</v>
      </c>
      <c r="G11156" s="30" t="s">
        <v>158</v>
      </c>
      <c r="H11156" s="32">
        <v>163</v>
      </c>
      <c r="I11156" s="30" t="s">
        <v>21</v>
      </c>
      <c r="J11156" s="41">
        <v>44756</v>
      </c>
      <c r="K11156" s="30" t="s">
        <v>22</v>
      </c>
    </row>
    <row r="11157" spans="1:11">
      <c r="A11157" s="33" t="s">
        <v>25403</v>
      </c>
      <c r="B11157" s="33" t="s">
        <v>25404</v>
      </c>
      <c r="C11157" s="33" t="s">
        <v>12295</v>
      </c>
      <c r="D11157" s="33" t="s">
        <v>17</v>
      </c>
      <c r="E11157" s="33" t="s">
        <v>31</v>
      </c>
      <c r="F11157" s="33" t="s">
        <v>32</v>
      </c>
      <c r="G11157" s="33" t="s">
        <v>20</v>
      </c>
      <c r="H11157" s="35">
        <v>19</v>
      </c>
      <c r="I11157" s="33" t="s">
        <v>21</v>
      </c>
      <c r="J11157" s="42">
        <v>44708</v>
      </c>
      <c r="K11157" s="33" t="s">
        <v>22</v>
      </c>
    </row>
    <row r="11158" spans="1:11">
      <c r="A11158" s="30" t="s">
        <v>25405</v>
      </c>
      <c r="B11158" s="30" t="s">
        <v>25406</v>
      </c>
      <c r="C11158" s="30" t="s">
        <v>14577</v>
      </c>
      <c r="D11158" s="30" t="s">
        <v>17</v>
      </c>
      <c r="E11158" s="30" t="s">
        <v>31</v>
      </c>
      <c r="F11158" s="30" t="s">
        <v>32</v>
      </c>
      <c r="G11158" s="30" t="s">
        <v>20</v>
      </c>
      <c r="H11158" s="32">
        <v>39</v>
      </c>
      <c r="I11158" s="30" t="s">
        <v>21</v>
      </c>
      <c r="J11158" s="41">
        <v>44826</v>
      </c>
      <c r="K11158" s="30" t="s">
        <v>22</v>
      </c>
    </row>
    <row r="11159" spans="1:11">
      <c r="A11159" s="33" t="s">
        <v>25407</v>
      </c>
      <c r="B11159" s="33" t="s">
        <v>25408</v>
      </c>
      <c r="C11159" s="33" t="s">
        <v>109</v>
      </c>
      <c r="D11159" s="33" t="s">
        <v>17</v>
      </c>
      <c r="E11159" s="33" t="s">
        <v>18</v>
      </c>
      <c r="F11159" s="33" t="s">
        <v>19</v>
      </c>
      <c r="G11159" s="33" t="s">
        <v>112</v>
      </c>
      <c r="H11159" s="35">
        <v>0</v>
      </c>
      <c r="I11159" s="33" t="s">
        <v>21</v>
      </c>
      <c r="J11159" s="42">
        <v>44789</v>
      </c>
      <c r="K11159" s="33" t="s">
        <v>22</v>
      </c>
    </row>
    <row r="11160" spans="1:11">
      <c r="A11160" s="30" t="s">
        <v>25409</v>
      </c>
      <c r="B11160" s="30" t="s">
        <v>25410</v>
      </c>
      <c r="C11160" s="30" t="s">
        <v>75</v>
      </c>
      <c r="D11160" s="30" t="s">
        <v>17</v>
      </c>
      <c r="E11160" s="30" t="s">
        <v>26</v>
      </c>
      <c r="F11160" s="30" t="s">
        <v>27</v>
      </c>
      <c r="G11160" s="30" t="s">
        <v>20</v>
      </c>
      <c r="H11160" s="32">
        <v>56</v>
      </c>
      <c r="I11160" s="30" t="s">
        <v>21</v>
      </c>
      <c r="J11160" s="41">
        <v>44659</v>
      </c>
      <c r="K11160" s="30" t="s">
        <v>22</v>
      </c>
    </row>
    <row r="11161" spans="1:11">
      <c r="A11161" s="33" t="s">
        <v>25411</v>
      </c>
      <c r="B11161" s="33" t="s">
        <v>25412</v>
      </c>
      <c r="C11161" s="33" t="s">
        <v>187</v>
      </c>
      <c r="D11161" s="33" t="s">
        <v>17</v>
      </c>
      <c r="E11161" s="33" t="s">
        <v>18</v>
      </c>
      <c r="F11161" s="33" t="s">
        <v>19</v>
      </c>
      <c r="G11161" s="33" t="s">
        <v>50</v>
      </c>
      <c r="H11161" s="35">
        <v>256</v>
      </c>
      <c r="I11161" s="33" t="s">
        <v>51</v>
      </c>
      <c r="J11161" s="42">
        <v>44621</v>
      </c>
      <c r="K11161" s="33" t="s">
        <v>22</v>
      </c>
    </row>
    <row r="11162" spans="1:11">
      <c r="A11162" s="30" t="s">
        <v>25413</v>
      </c>
      <c r="B11162" s="30" t="s">
        <v>25414</v>
      </c>
      <c r="C11162" s="30" t="s">
        <v>3167</v>
      </c>
      <c r="D11162" s="30" t="s">
        <v>17</v>
      </c>
      <c r="E11162" s="30" t="s">
        <v>26</v>
      </c>
      <c r="F11162" s="30" t="s">
        <v>27</v>
      </c>
      <c r="G11162" s="30" t="s">
        <v>50</v>
      </c>
      <c r="H11162" s="32">
        <v>6</v>
      </c>
      <c r="I11162" s="30" t="s">
        <v>51</v>
      </c>
      <c r="J11162" s="41">
        <v>44819</v>
      </c>
      <c r="K11162" s="30" t="s">
        <v>22</v>
      </c>
    </row>
    <row r="11163" spans="1:11">
      <c r="A11163" s="33" t="s">
        <v>25415</v>
      </c>
      <c r="B11163" s="33" t="s">
        <v>25416</v>
      </c>
      <c r="C11163" s="33" t="s">
        <v>187</v>
      </c>
      <c r="D11163" s="33" t="s">
        <v>17</v>
      </c>
      <c r="E11163" s="33" t="s">
        <v>26</v>
      </c>
      <c r="F11163" s="33" t="s">
        <v>27</v>
      </c>
      <c r="G11163" s="33" t="s">
        <v>50</v>
      </c>
      <c r="H11163" s="35">
        <v>70</v>
      </c>
      <c r="I11163" s="33" t="s">
        <v>51</v>
      </c>
      <c r="J11163" s="42">
        <v>44713</v>
      </c>
      <c r="K11163" s="33" t="s">
        <v>22</v>
      </c>
    </row>
    <row r="11164" spans="1:11">
      <c r="A11164" s="30" t="s">
        <v>25417</v>
      </c>
      <c r="B11164" s="30" t="s">
        <v>25418</v>
      </c>
      <c r="C11164" s="30" t="s">
        <v>7296</v>
      </c>
      <c r="D11164" s="30" t="s">
        <v>17</v>
      </c>
      <c r="E11164" s="30" t="s">
        <v>31</v>
      </c>
      <c r="F11164" s="30" t="s">
        <v>32</v>
      </c>
      <c r="G11164" s="30" t="s">
        <v>20</v>
      </c>
      <c r="H11164" s="32">
        <v>63</v>
      </c>
      <c r="I11164" s="30" t="s">
        <v>21</v>
      </c>
      <c r="J11164" s="41">
        <v>44791</v>
      </c>
      <c r="K11164" s="30" t="s">
        <v>22</v>
      </c>
    </row>
    <row r="11165" spans="1:11">
      <c r="A11165" s="33" t="s">
        <v>25419</v>
      </c>
      <c r="B11165" s="33" t="s">
        <v>25420</v>
      </c>
      <c r="C11165" s="33" t="s">
        <v>25421</v>
      </c>
      <c r="D11165" s="33" t="s">
        <v>17</v>
      </c>
      <c r="E11165" s="33" t="s">
        <v>18</v>
      </c>
      <c r="F11165" s="33" t="s">
        <v>19</v>
      </c>
      <c r="G11165" s="33" t="s">
        <v>50</v>
      </c>
      <c r="H11165" s="35">
        <v>500</v>
      </c>
      <c r="I11165" s="33" t="s">
        <v>51</v>
      </c>
      <c r="J11165" s="42">
        <v>44593</v>
      </c>
      <c r="K11165" s="33" t="s">
        <v>22</v>
      </c>
    </row>
    <row r="11166" spans="1:11">
      <c r="A11166" s="30" t="s">
        <v>25422</v>
      </c>
      <c r="B11166" s="30" t="s">
        <v>25423</v>
      </c>
      <c r="C11166" s="30" t="s">
        <v>3302</v>
      </c>
      <c r="D11166" s="30" t="s">
        <v>17</v>
      </c>
      <c r="E11166" s="30" t="s">
        <v>212</v>
      </c>
      <c r="F11166" s="30" t="s">
        <v>213</v>
      </c>
      <c r="G11166" s="30" t="s">
        <v>50</v>
      </c>
      <c r="H11166" s="32">
        <v>350</v>
      </c>
      <c r="I11166" s="30" t="s">
        <v>51</v>
      </c>
      <c r="J11166" s="41">
        <v>44866</v>
      </c>
      <c r="K11166" s="30" t="s">
        <v>22</v>
      </c>
    </row>
    <row r="11167" spans="1:11">
      <c r="A11167" s="33" t="s">
        <v>25424</v>
      </c>
      <c r="B11167" s="33" t="s">
        <v>25425</v>
      </c>
      <c r="C11167" s="33" t="s">
        <v>149</v>
      </c>
      <c r="D11167" s="33" t="s">
        <v>17</v>
      </c>
      <c r="E11167" s="33" t="s">
        <v>26</v>
      </c>
      <c r="F11167" s="33" t="s">
        <v>27</v>
      </c>
      <c r="G11167" s="33" t="s">
        <v>20</v>
      </c>
      <c r="H11167" s="35">
        <v>22</v>
      </c>
      <c r="I11167" s="33" t="s">
        <v>21</v>
      </c>
      <c r="J11167" s="42">
        <v>44634</v>
      </c>
      <c r="K11167" s="33" t="s">
        <v>22</v>
      </c>
    </row>
    <row r="11168" spans="1:11">
      <c r="A11168" s="30" t="s">
        <v>25426</v>
      </c>
      <c r="B11168" s="30" t="s">
        <v>25427</v>
      </c>
      <c r="C11168" s="30" t="s">
        <v>538</v>
      </c>
      <c r="D11168" s="30" t="s">
        <v>17</v>
      </c>
      <c r="E11168" s="30" t="s">
        <v>31</v>
      </c>
      <c r="F11168" s="30" t="s">
        <v>32</v>
      </c>
      <c r="G11168" s="30" t="s">
        <v>20</v>
      </c>
      <c r="H11168" s="32">
        <v>73</v>
      </c>
      <c r="I11168" s="30" t="s">
        <v>21</v>
      </c>
      <c r="J11168" s="41">
        <v>44726</v>
      </c>
      <c r="K11168" s="30" t="s">
        <v>22</v>
      </c>
    </row>
    <row r="11169" spans="1:11">
      <c r="A11169" s="33" t="s">
        <v>25428</v>
      </c>
      <c r="B11169" s="33" t="s">
        <v>25429</v>
      </c>
      <c r="C11169" s="33" t="s">
        <v>25430</v>
      </c>
      <c r="D11169" s="33" t="s">
        <v>17</v>
      </c>
      <c r="E11169" s="33" t="s">
        <v>31</v>
      </c>
      <c r="F11169" s="33" t="s">
        <v>32</v>
      </c>
      <c r="G11169" s="33" t="s">
        <v>20</v>
      </c>
      <c r="H11169" s="35">
        <v>125</v>
      </c>
      <c r="I11169" s="33" t="s">
        <v>21</v>
      </c>
      <c r="J11169" s="42">
        <v>44610</v>
      </c>
      <c r="K11169" s="33" t="s">
        <v>22</v>
      </c>
    </row>
    <row r="11170" spans="1:11">
      <c r="A11170" s="30" t="s">
        <v>25431</v>
      </c>
      <c r="B11170" s="30" t="s">
        <v>25432</v>
      </c>
      <c r="C11170" s="30" t="s">
        <v>450</v>
      </c>
      <c r="D11170" s="30" t="s">
        <v>17</v>
      </c>
      <c r="E11170" s="30" t="s">
        <v>31</v>
      </c>
      <c r="F11170" s="30" t="s">
        <v>32</v>
      </c>
      <c r="G11170" s="30" t="s">
        <v>112</v>
      </c>
      <c r="H11170" s="32">
        <v>0</v>
      </c>
      <c r="I11170" s="30" t="s">
        <v>21</v>
      </c>
      <c r="J11170" s="41">
        <v>44562</v>
      </c>
      <c r="K11170" s="30" t="s">
        <v>22</v>
      </c>
    </row>
    <row r="11171" spans="1:11">
      <c r="A11171" s="33" t="s">
        <v>25433</v>
      </c>
      <c r="B11171" s="33" t="s">
        <v>25434</v>
      </c>
      <c r="C11171" s="33" t="s">
        <v>25435</v>
      </c>
      <c r="D11171" s="33" t="s">
        <v>17</v>
      </c>
      <c r="E11171" s="33" t="s">
        <v>67</v>
      </c>
      <c r="F11171" s="33" t="s">
        <v>68</v>
      </c>
      <c r="G11171" s="33" t="s">
        <v>140</v>
      </c>
      <c r="H11171" s="35">
        <v>82</v>
      </c>
      <c r="I11171" s="33" t="s">
        <v>51</v>
      </c>
      <c r="J11171" s="42">
        <v>44762</v>
      </c>
      <c r="K11171" s="33" t="s">
        <v>22</v>
      </c>
    </row>
    <row r="11172" spans="1:11">
      <c r="A11172" s="30" t="s">
        <v>25436</v>
      </c>
      <c r="B11172" s="30" t="s">
        <v>25437</v>
      </c>
      <c r="C11172" s="30" t="s">
        <v>25438</v>
      </c>
      <c r="D11172" s="30" t="s">
        <v>17</v>
      </c>
      <c r="E11172" s="30" t="s">
        <v>31</v>
      </c>
      <c r="F11172" s="30" t="s">
        <v>32</v>
      </c>
      <c r="G11172" s="30" t="s">
        <v>20</v>
      </c>
      <c r="H11172" s="32">
        <v>51</v>
      </c>
      <c r="I11172" s="30" t="s">
        <v>21</v>
      </c>
      <c r="J11172" s="41">
        <v>44897</v>
      </c>
      <c r="K11172" s="30" t="s">
        <v>22</v>
      </c>
    </row>
    <row r="11173" spans="1:11">
      <c r="A11173" s="33" t="s">
        <v>25439</v>
      </c>
      <c r="B11173" s="33" t="s">
        <v>25440</v>
      </c>
      <c r="C11173" s="33" t="s">
        <v>25441</v>
      </c>
      <c r="D11173" s="33" t="s">
        <v>17</v>
      </c>
      <c r="E11173" s="33" t="s">
        <v>18</v>
      </c>
      <c r="F11173" s="33" t="s">
        <v>19</v>
      </c>
      <c r="G11173" s="33" t="s">
        <v>106</v>
      </c>
      <c r="H11173" s="35">
        <v>42</v>
      </c>
      <c r="I11173" s="33" t="s">
        <v>21</v>
      </c>
      <c r="J11173" s="42">
        <v>44875</v>
      </c>
      <c r="K11173" s="33" t="s">
        <v>22</v>
      </c>
    </row>
    <row r="11174" spans="1:11">
      <c r="A11174" s="30" t="s">
        <v>25442</v>
      </c>
      <c r="B11174" s="30" t="s">
        <v>25443</v>
      </c>
      <c r="C11174" s="30" t="s">
        <v>25444</v>
      </c>
      <c r="D11174" s="30" t="s">
        <v>17</v>
      </c>
      <c r="E11174" s="30" t="s">
        <v>67</v>
      </c>
      <c r="F11174" s="30" t="s">
        <v>68</v>
      </c>
      <c r="G11174" s="30" t="s">
        <v>158</v>
      </c>
      <c r="H11174" s="32">
        <v>15</v>
      </c>
      <c r="I11174" s="30" t="s">
        <v>51</v>
      </c>
      <c r="J11174" s="41">
        <v>44803</v>
      </c>
      <c r="K11174" s="30" t="s">
        <v>22</v>
      </c>
    </row>
    <row r="11175" spans="1:11">
      <c r="A11175" s="33" t="s">
        <v>25445</v>
      </c>
      <c r="B11175" s="33" t="s">
        <v>25446</v>
      </c>
      <c r="C11175" s="33" t="s">
        <v>96</v>
      </c>
      <c r="D11175" s="33" t="s">
        <v>17</v>
      </c>
      <c r="E11175" s="33" t="s">
        <v>26</v>
      </c>
      <c r="F11175" s="33" t="s">
        <v>27</v>
      </c>
      <c r="G11175" s="33" t="s">
        <v>20</v>
      </c>
      <c r="H11175" s="35">
        <v>12</v>
      </c>
      <c r="I11175" s="33" t="s">
        <v>21</v>
      </c>
      <c r="J11175" s="42">
        <v>44802</v>
      </c>
      <c r="K11175" s="33" t="s">
        <v>22</v>
      </c>
    </row>
    <row r="11176" spans="1:11">
      <c r="A11176" s="30" t="s">
        <v>25447</v>
      </c>
      <c r="B11176" s="30" t="s">
        <v>25448</v>
      </c>
      <c r="C11176" s="30" t="s">
        <v>647</v>
      </c>
      <c r="D11176" s="30" t="s">
        <v>17</v>
      </c>
      <c r="E11176" s="30" t="s">
        <v>26</v>
      </c>
      <c r="F11176" s="30" t="s">
        <v>27</v>
      </c>
      <c r="G11176" s="30" t="s">
        <v>20</v>
      </c>
      <c r="H11176" s="32">
        <v>36</v>
      </c>
      <c r="I11176" s="30" t="s">
        <v>21</v>
      </c>
      <c r="J11176" s="41">
        <v>44643</v>
      </c>
      <c r="K11176" s="30" t="s">
        <v>22</v>
      </c>
    </row>
    <row r="11177" spans="1:11">
      <c r="A11177" s="33" t="s">
        <v>25449</v>
      </c>
      <c r="B11177" s="33" t="s">
        <v>25450</v>
      </c>
      <c r="C11177" s="33" t="s">
        <v>14176</v>
      </c>
      <c r="D11177" s="33" t="s">
        <v>17</v>
      </c>
      <c r="E11177" s="33" t="s">
        <v>31</v>
      </c>
      <c r="F11177" s="33" t="s">
        <v>32</v>
      </c>
      <c r="G11177" s="33" t="s">
        <v>20</v>
      </c>
      <c r="H11177" s="35">
        <v>13</v>
      </c>
      <c r="I11177" s="33" t="s">
        <v>21</v>
      </c>
      <c r="J11177" s="42">
        <v>44573</v>
      </c>
      <c r="K11177" s="33" t="s">
        <v>22</v>
      </c>
    </row>
    <row r="11178" spans="1:11">
      <c r="A11178" s="30" t="s">
        <v>25451</v>
      </c>
      <c r="B11178" s="30" t="s">
        <v>25452</v>
      </c>
      <c r="C11178" s="30" t="s">
        <v>15501</v>
      </c>
      <c r="D11178" s="30" t="s">
        <v>17</v>
      </c>
      <c r="E11178" s="30" t="s">
        <v>31</v>
      </c>
      <c r="F11178" s="30" t="s">
        <v>32</v>
      </c>
      <c r="G11178" s="30" t="s">
        <v>106</v>
      </c>
      <c r="H11178" s="32">
        <v>61</v>
      </c>
      <c r="I11178" s="30" t="s">
        <v>21</v>
      </c>
      <c r="J11178" s="41">
        <v>44721</v>
      </c>
      <c r="K11178" s="30" t="s">
        <v>22</v>
      </c>
    </row>
    <row r="11179" spans="1:11">
      <c r="A11179" s="33" t="s">
        <v>25453</v>
      </c>
      <c r="B11179" s="33" t="s">
        <v>25454</v>
      </c>
      <c r="C11179" s="33" t="s">
        <v>231</v>
      </c>
      <c r="D11179" s="33" t="s">
        <v>17</v>
      </c>
      <c r="E11179" s="33" t="s">
        <v>26</v>
      </c>
      <c r="F11179" s="33" t="s">
        <v>27</v>
      </c>
      <c r="G11179" s="33" t="s">
        <v>106</v>
      </c>
      <c r="H11179" s="35">
        <v>48</v>
      </c>
      <c r="I11179" s="33" t="s">
        <v>21</v>
      </c>
      <c r="J11179" s="42">
        <v>44599</v>
      </c>
      <c r="K11179" s="33" t="s">
        <v>22</v>
      </c>
    </row>
    <row r="11180" spans="1:11">
      <c r="A11180" s="30" t="s">
        <v>25455</v>
      </c>
      <c r="B11180" s="30" t="s">
        <v>25456</v>
      </c>
      <c r="C11180" s="30" t="s">
        <v>10135</v>
      </c>
      <c r="D11180" s="30" t="s">
        <v>17</v>
      </c>
      <c r="E11180" s="30" t="s">
        <v>31</v>
      </c>
      <c r="F11180" s="30" t="s">
        <v>32</v>
      </c>
      <c r="G11180" s="30" t="s">
        <v>50</v>
      </c>
      <c r="H11180" s="32">
        <v>60</v>
      </c>
      <c r="I11180" s="30" t="s">
        <v>51</v>
      </c>
      <c r="J11180" s="41">
        <v>44593</v>
      </c>
      <c r="K11180" s="30" t="s">
        <v>22</v>
      </c>
    </row>
    <row r="11181" spans="1:11">
      <c r="A11181" s="33" t="s">
        <v>25457</v>
      </c>
      <c r="B11181" s="33" t="s">
        <v>25458</v>
      </c>
      <c r="C11181" s="33" t="s">
        <v>25459</v>
      </c>
      <c r="D11181" s="33" t="s">
        <v>17</v>
      </c>
      <c r="E11181" s="33" t="s">
        <v>67</v>
      </c>
      <c r="F11181" s="33" t="s">
        <v>68</v>
      </c>
      <c r="G11181" s="33" t="s">
        <v>20</v>
      </c>
      <c r="H11181" s="35">
        <v>75</v>
      </c>
      <c r="I11181" s="33" t="s">
        <v>21</v>
      </c>
      <c r="J11181" s="42">
        <v>44718</v>
      </c>
      <c r="K11181" s="33" t="s">
        <v>22</v>
      </c>
    </row>
    <row r="11182" spans="1:11">
      <c r="A11182" s="30" t="s">
        <v>25460</v>
      </c>
      <c r="B11182" s="30" t="s">
        <v>25461</v>
      </c>
      <c r="C11182" s="30" t="s">
        <v>1826</v>
      </c>
      <c r="D11182" s="30" t="s">
        <v>17</v>
      </c>
      <c r="E11182" s="30" t="s">
        <v>31</v>
      </c>
      <c r="F11182" s="30" t="s">
        <v>32</v>
      </c>
      <c r="G11182" s="30" t="s">
        <v>20</v>
      </c>
      <c r="H11182" s="32">
        <v>174</v>
      </c>
      <c r="I11182" s="30" t="s">
        <v>21</v>
      </c>
      <c r="J11182" s="41">
        <v>44894</v>
      </c>
      <c r="K11182" s="30" t="s">
        <v>22</v>
      </c>
    </row>
    <row r="11183" spans="1:11">
      <c r="A11183" s="33" t="s">
        <v>25462</v>
      </c>
      <c r="B11183" s="33" t="s">
        <v>25463</v>
      </c>
      <c r="C11183" s="33" t="s">
        <v>136</v>
      </c>
      <c r="D11183" s="33" t="s">
        <v>17</v>
      </c>
      <c r="E11183" s="33" t="s">
        <v>26</v>
      </c>
      <c r="F11183" s="33" t="s">
        <v>27</v>
      </c>
      <c r="G11183" s="33" t="s">
        <v>20</v>
      </c>
      <c r="H11183" s="35">
        <v>27</v>
      </c>
      <c r="I11183" s="33" t="s">
        <v>21</v>
      </c>
      <c r="J11183" s="42">
        <v>44747</v>
      </c>
      <c r="K11183" s="33" t="s">
        <v>22</v>
      </c>
    </row>
    <row r="11184" spans="1:11">
      <c r="A11184" s="30" t="s">
        <v>25464</v>
      </c>
      <c r="B11184" s="30" t="s">
        <v>25465</v>
      </c>
      <c r="C11184" s="30" t="s">
        <v>3267</v>
      </c>
      <c r="D11184" s="30" t="s">
        <v>17</v>
      </c>
      <c r="E11184" s="30" t="s">
        <v>18</v>
      </c>
      <c r="F11184" s="30" t="s">
        <v>19</v>
      </c>
      <c r="G11184" s="30" t="s">
        <v>158</v>
      </c>
      <c r="H11184" s="32">
        <v>269</v>
      </c>
      <c r="I11184" s="30" t="s">
        <v>21</v>
      </c>
      <c r="J11184" s="41">
        <v>44748</v>
      </c>
      <c r="K11184" s="30" t="s">
        <v>22</v>
      </c>
    </row>
    <row r="11185" spans="1:11">
      <c r="A11185" s="33" t="s">
        <v>25466</v>
      </c>
      <c r="B11185" s="33" t="s">
        <v>25467</v>
      </c>
      <c r="C11185" s="33" t="s">
        <v>93</v>
      </c>
      <c r="D11185" s="33" t="s">
        <v>17</v>
      </c>
      <c r="E11185" s="33" t="s">
        <v>26</v>
      </c>
      <c r="F11185" s="33" t="s">
        <v>27</v>
      </c>
      <c r="G11185" s="33" t="s">
        <v>158</v>
      </c>
      <c r="H11185" s="35">
        <v>283</v>
      </c>
      <c r="I11185" s="33" t="s">
        <v>21</v>
      </c>
      <c r="J11185" s="42">
        <v>44854</v>
      </c>
      <c r="K11185" s="33" t="s">
        <v>22</v>
      </c>
    </row>
    <row r="11186" spans="1:11">
      <c r="A11186" s="30" t="s">
        <v>25468</v>
      </c>
      <c r="B11186" s="30" t="s">
        <v>25469</v>
      </c>
      <c r="C11186" s="30" t="s">
        <v>161</v>
      </c>
      <c r="D11186" s="30" t="s">
        <v>17</v>
      </c>
      <c r="E11186" s="30" t="s">
        <v>31</v>
      </c>
      <c r="F11186" s="30" t="s">
        <v>32</v>
      </c>
      <c r="G11186" s="30" t="s">
        <v>20</v>
      </c>
      <c r="H11186" s="32">
        <v>240</v>
      </c>
      <c r="I11186" s="30" t="s">
        <v>21</v>
      </c>
      <c r="J11186" s="41">
        <v>44669</v>
      </c>
      <c r="K11186" s="30" t="s">
        <v>22</v>
      </c>
    </row>
    <row r="11187" spans="1:11">
      <c r="A11187" s="33" t="s">
        <v>25470</v>
      </c>
      <c r="B11187" s="33" t="s">
        <v>25471</v>
      </c>
      <c r="C11187" s="33" t="s">
        <v>25472</v>
      </c>
      <c r="D11187" s="33" t="s">
        <v>17</v>
      </c>
      <c r="E11187" s="33" t="s">
        <v>26</v>
      </c>
      <c r="F11187" s="33" t="s">
        <v>27</v>
      </c>
      <c r="G11187" s="33" t="s">
        <v>20</v>
      </c>
      <c r="H11187" s="35">
        <v>48</v>
      </c>
      <c r="I11187" s="33" t="s">
        <v>21</v>
      </c>
      <c r="J11187" s="42">
        <v>44693</v>
      </c>
      <c r="K11187" s="33" t="s">
        <v>22</v>
      </c>
    </row>
    <row r="11188" spans="1:11">
      <c r="A11188" s="30" t="s">
        <v>25473</v>
      </c>
      <c r="B11188" s="30" t="s">
        <v>25474</v>
      </c>
      <c r="C11188" s="30" t="s">
        <v>96</v>
      </c>
      <c r="D11188" s="30" t="s">
        <v>17</v>
      </c>
      <c r="E11188" s="30" t="s">
        <v>26</v>
      </c>
      <c r="F11188" s="30" t="s">
        <v>27</v>
      </c>
      <c r="G11188" s="30" t="s">
        <v>20</v>
      </c>
      <c r="H11188" s="32">
        <v>30</v>
      </c>
      <c r="I11188" s="30" t="s">
        <v>21</v>
      </c>
      <c r="J11188" s="41">
        <v>44722</v>
      </c>
      <c r="K11188" s="30" t="s">
        <v>22</v>
      </c>
    </row>
    <row r="11189" spans="1:11">
      <c r="A11189" s="33" t="s">
        <v>25475</v>
      </c>
      <c r="B11189" s="33" t="s">
        <v>25476</v>
      </c>
      <c r="C11189" s="33" t="s">
        <v>1583</v>
      </c>
      <c r="D11189" s="33" t="s">
        <v>17</v>
      </c>
      <c r="E11189" s="33" t="s">
        <v>26</v>
      </c>
      <c r="F11189" s="33" t="s">
        <v>27</v>
      </c>
      <c r="G11189" s="33" t="s">
        <v>106</v>
      </c>
      <c r="H11189" s="35">
        <v>250</v>
      </c>
      <c r="I11189" s="33" t="s">
        <v>21</v>
      </c>
      <c r="J11189" s="42">
        <v>44573</v>
      </c>
      <c r="K11189" s="33" t="s">
        <v>22</v>
      </c>
    </row>
    <row r="11190" spans="1:11">
      <c r="A11190" s="30" t="s">
        <v>25477</v>
      </c>
      <c r="B11190" s="30" t="s">
        <v>25478</v>
      </c>
      <c r="C11190" s="30" t="s">
        <v>136</v>
      </c>
      <c r="D11190" s="30" t="s">
        <v>17</v>
      </c>
      <c r="E11190" s="30" t="s">
        <v>26</v>
      </c>
      <c r="F11190" s="30" t="s">
        <v>27</v>
      </c>
      <c r="G11190" s="30" t="s">
        <v>20</v>
      </c>
      <c r="H11190" s="32">
        <v>84</v>
      </c>
      <c r="I11190" s="30" t="s">
        <v>21</v>
      </c>
      <c r="J11190" s="41">
        <v>44784</v>
      </c>
      <c r="K11190" s="30" t="s">
        <v>22</v>
      </c>
    </row>
    <row r="11191" spans="1:11">
      <c r="A11191" s="33" t="s">
        <v>25479</v>
      </c>
      <c r="B11191" s="33" t="s">
        <v>25480</v>
      </c>
      <c r="C11191" s="33" t="s">
        <v>554</v>
      </c>
      <c r="D11191" s="33" t="s">
        <v>17</v>
      </c>
      <c r="E11191" s="33" t="s">
        <v>26</v>
      </c>
      <c r="F11191" s="33" t="s">
        <v>27</v>
      </c>
      <c r="G11191" s="33" t="s">
        <v>20</v>
      </c>
      <c r="H11191" s="35">
        <v>160</v>
      </c>
      <c r="I11191" s="33" t="s">
        <v>21</v>
      </c>
      <c r="J11191" s="42">
        <v>44810</v>
      </c>
      <c r="K11191" s="33" t="s">
        <v>22</v>
      </c>
    </row>
    <row r="11192" spans="1:11">
      <c r="A11192" s="30" t="s">
        <v>25481</v>
      </c>
      <c r="B11192" s="30" t="s">
        <v>25482</v>
      </c>
      <c r="C11192" s="30" t="s">
        <v>25483</v>
      </c>
      <c r="D11192" s="30" t="s">
        <v>17</v>
      </c>
      <c r="E11192" s="30" t="s">
        <v>18</v>
      </c>
      <c r="F11192" s="30" t="s">
        <v>19</v>
      </c>
      <c r="G11192" s="30" t="s">
        <v>106</v>
      </c>
      <c r="H11192" s="32">
        <v>34</v>
      </c>
      <c r="I11192" s="30" t="s">
        <v>21</v>
      </c>
      <c r="J11192" s="41">
        <v>44868</v>
      </c>
      <c r="K11192" s="30" t="s">
        <v>22</v>
      </c>
    </row>
    <row r="11193" spans="1:11">
      <c r="A11193" s="33" t="s">
        <v>25484</v>
      </c>
      <c r="B11193" s="33" t="s">
        <v>25485</v>
      </c>
      <c r="C11193" s="33" t="s">
        <v>102</v>
      </c>
      <c r="D11193" s="33" t="s">
        <v>17</v>
      </c>
      <c r="E11193" s="33" t="s">
        <v>26</v>
      </c>
      <c r="F11193" s="33" t="s">
        <v>27</v>
      </c>
      <c r="G11193" s="33" t="s">
        <v>20</v>
      </c>
      <c r="H11193" s="35">
        <v>33</v>
      </c>
      <c r="I11193" s="33" t="s">
        <v>21</v>
      </c>
      <c r="J11193" s="42">
        <v>44615</v>
      </c>
      <c r="K11193" s="33" t="s">
        <v>22</v>
      </c>
    </row>
    <row r="11194" spans="1:11">
      <c r="A11194" s="30" t="s">
        <v>25486</v>
      </c>
      <c r="B11194" s="30" t="s">
        <v>25487</v>
      </c>
      <c r="C11194" s="30" t="s">
        <v>178</v>
      </c>
      <c r="D11194" s="30" t="s">
        <v>17</v>
      </c>
      <c r="E11194" s="30" t="s">
        <v>67</v>
      </c>
      <c r="F11194" s="30" t="s">
        <v>68</v>
      </c>
      <c r="G11194" s="30" t="s">
        <v>140</v>
      </c>
      <c r="H11194" s="32">
        <v>65</v>
      </c>
      <c r="I11194" s="30" t="s">
        <v>51</v>
      </c>
      <c r="J11194" s="41">
        <v>44881</v>
      </c>
      <c r="K11194" s="30" t="s">
        <v>22</v>
      </c>
    </row>
    <row r="11195" spans="1:11">
      <c r="A11195" s="33" t="s">
        <v>25488</v>
      </c>
      <c r="B11195" s="33" t="s">
        <v>25489</v>
      </c>
      <c r="C11195" s="33" t="s">
        <v>25490</v>
      </c>
      <c r="D11195" s="33" t="s">
        <v>17</v>
      </c>
      <c r="E11195" s="33" t="s">
        <v>31</v>
      </c>
      <c r="F11195" s="33" t="s">
        <v>32</v>
      </c>
      <c r="G11195" s="33" t="s">
        <v>140</v>
      </c>
      <c r="H11195" s="35">
        <v>99</v>
      </c>
      <c r="I11195" s="33" t="s">
        <v>51</v>
      </c>
      <c r="J11195" s="42">
        <v>44742</v>
      </c>
      <c r="K11195" s="33" t="s">
        <v>22</v>
      </c>
    </row>
    <row r="11196" spans="1:11">
      <c r="A11196" s="30" t="s">
        <v>25491</v>
      </c>
      <c r="B11196" s="30" t="s">
        <v>25492</v>
      </c>
      <c r="C11196" s="30" t="s">
        <v>130</v>
      </c>
      <c r="D11196" s="30" t="s">
        <v>17</v>
      </c>
      <c r="E11196" s="30" t="s">
        <v>18</v>
      </c>
      <c r="F11196" s="30" t="s">
        <v>19</v>
      </c>
      <c r="G11196" s="30" t="s">
        <v>20</v>
      </c>
      <c r="H11196" s="32">
        <v>103</v>
      </c>
      <c r="I11196" s="30" t="s">
        <v>21</v>
      </c>
      <c r="J11196" s="41">
        <v>44805</v>
      </c>
      <c r="K11196" s="30" t="s">
        <v>22</v>
      </c>
    </row>
    <row r="11197" spans="1:11">
      <c r="A11197" s="33" t="s">
        <v>25493</v>
      </c>
      <c r="B11197" s="33" t="s">
        <v>25494</v>
      </c>
      <c r="C11197" s="33" t="s">
        <v>5251</v>
      </c>
      <c r="D11197" s="33" t="s">
        <v>17</v>
      </c>
      <c r="E11197" s="33" t="s">
        <v>18</v>
      </c>
      <c r="F11197" s="33" t="s">
        <v>19</v>
      </c>
      <c r="G11197" s="33" t="s">
        <v>20</v>
      </c>
      <c r="H11197" s="35">
        <v>351</v>
      </c>
      <c r="I11197" s="33" t="s">
        <v>21</v>
      </c>
      <c r="J11197" s="42">
        <v>44922</v>
      </c>
      <c r="K11197" s="33" t="s">
        <v>22</v>
      </c>
    </row>
    <row r="11198" spans="1:11">
      <c r="A11198" s="30" t="s">
        <v>25495</v>
      </c>
      <c r="B11198" s="30" t="s">
        <v>25496</v>
      </c>
      <c r="C11198" s="30" t="s">
        <v>368</v>
      </c>
      <c r="D11198" s="30" t="s">
        <v>17</v>
      </c>
      <c r="E11198" s="30" t="s">
        <v>18</v>
      </c>
      <c r="F11198" s="30" t="s">
        <v>19</v>
      </c>
      <c r="G11198" s="30" t="s">
        <v>50</v>
      </c>
      <c r="H11198" s="32">
        <v>190</v>
      </c>
      <c r="I11198" s="30" t="s">
        <v>51</v>
      </c>
      <c r="J11198" s="41">
        <v>44739</v>
      </c>
      <c r="K11198" s="30" t="s">
        <v>22</v>
      </c>
    </row>
    <row r="11199" spans="1:11">
      <c r="A11199" s="33" t="s">
        <v>25497</v>
      </c>
      <c r="B11199" s="33" t="s">
        <v>25498</v>
      </c>
      <c r="C11199" s="33" t="s">
        <v>24759</v>
      </c>
      <c r="D11199" s="33" t="s">
        <v>17</v>
      </c>
      <c r="E11199" s="33" t="s">
        <v>18</v>
      </c>
      <c r="F11199" s="33" t="s">
        <v>19</v>
      </c>
      <c r="G11199" s="33" t="s">
        <v>50</v>
      </c>
      <c r="H11199" s="35">
        <v>300</v>
      </c>
      <c r="I11199" s="33" t="s">
        <v>51</v>
      </c>
      <c r="J11199" s="42">
        <v>44774</v>
      </c>
      <c r="K11199" s="33" t="s">
        <v>22</v>
      </c>
    </row>
    <row r="11200" spans="1:11">
      <c r="A11200" s="30" t="s">
        <v>25499</v>
      </c>
      <c r="B11200" s="30" t="s">
        <v>25500</v>
      </c>
      <c r="C11200" s="30" t="s">
        <v>118</v>
      </c>
      <c r="D11200" s="30" t="s">
        <v>17</v>
      </c>
      <c r="E11200" s="30" t="s">
        <v>26</v>
      </c>
      <c r="F11200" s="30" t="s">
        <v>27</v>
      </c>
      <c r="G11200" s="30" t="s">
        <v>20</v>
      </c>
      <c r="H11200" s="32">
        <v>18</v>
      </c>
      <c r="I11200" s="30" t="s">
        <v>21</v>
      </c>
      <c r="J11200" s="41">
        <v>44685</v>
      </c>
      <c r="K11200" s="30" t="s">
        <v>22</v>
      </c>
    </row>
    <row r="11201" spans="1:11">
      <c r="A11201" s="33" t="s">
        <v>25501</v>
      </c>
      <c r="B11201" s="33" t="s">
        <v>25502</v>
      </c>
      <c r="C11201" s="33" t="s">
        <v>535</v>
      </c>
      <c r="D11201" s="33" t="s">
        <v>17</v>
      </c>
      <c r="E11201" s="33" t="s">
        <v>26</v>
      </c>
      <c r="F11201" s="33" t="s">
        <v>27</v>
      </c>
      <c r="G11201" s="33" t="s">
        <v>20</v>
      </c>
      <c r="H11201" s="35">
        <v>25</v>
      </c>
      <c r="I11201" s="33" t="s">
        <v>21</v>
      </c>
      <c r="J11201" s="42">
        <v>44817</v>
      </c>
      <c r="K11201" s="33" t="s">
        <v>22</v>
      </c>
    </row>
    <row r="11202" spans="1:11">
      <c r="A11202" s="30" t="s">
        <v>25503</v>
      </c>
      <c r="B11202" s="30" t="s">
        <v>25504</v>
      </c>
      <c r="C11202" s="30" t="s">
        <v>25505</v>
      </c>
      <c r="D11202" s="30" t="s">
        <v>17</v>
      </c>
      <c r="E11202" s="30" t="s">
        <v>26</v>
      </c>
      <c r="F11202" s="30" t="s">
        <v>27</v>
      </c>
      <c r="G11202" s="30" t="s">
        <v>140</v>
      </c>
      <c r="H11202" s="32">
        <v>70</v>
      </c>
      <c r="I11202" s="30" t="s">
        <v>51</v>
      </c>
      <c r="J11202" s="41">
        <v>44659</v>
      </c>
      <c r="K11202" s="30" t="s">
        <v>22</v>
      </c>
    </row>
    <row r="11203" spans="1:11">
      <c r="A11203" s="33" t="s">
        <v>25506</v>
      </c>
      <c r="B11203" s="33" t="s">
        <v>25507</v>
      </c>
      <c r="C11203" s="33" t="s">
        <v>25508</v>
      </c>
      <c r="D11203" s="33" t="s">
        <v>17</v>
      </c>
      <c r="E11203" s="33" t="s">
        <v>212</v>
      </c>
      <c r="F11203" s="33" t="s">
        <v>213</v>
      </c>
      <c r="G11203" s="33" t="s">
        <v>50</v>
      </c>
      <c r="H11203" s="35">
        <v>50</v>
      </c>
      <c r="I11203" s="33" t="s">
        <v>51</v>
      </c>
      <c r="J11203" s="42">
        <v>44624</v>
      </c>
      <c r="K11203" s="33" t="s">
        <v>22</v>
      </c>
    </row>
    <row r="11204" spans="1:11">
      <c r="A11204" s="30" t="s">
        <v>25509</v>
      </c>
      <c r="B11204" s="30" t="s">
        <v>25510</v>
      </c>
      <c r="C11204" s="30" t="s">
        <v>2054</v>
      </c>
      <c r="D11204" s="30" t="s">
        <v>17</v>
      </c>
      <c r="E11204" s="30" t="s">
        <v>31</v>
      </c>
      <c r="F11204" s="30" t="s">
        <v>32</v>
      </c>
      <c r="G11204" s="30" t="s">
        <v>106</v>
      </c>
      <c r="H11204" s="32">
        <v>336</v>
      </c>
      <c r="I11204" s="30" t="s">
        <v>21</v>
      </c>
      <c r="J11204" s="41">
        <v>44696</v>
      </c>
      <c r="K11204" s="30" t="s">
        <v>22</v>
      </c>
    </row>
    <row r="11205" spans="1:11">
      <c r="A11205" s="33" t="s">
        <v>25511</v>
      </c>
      <c r="B11205" s="33" t="s">
        <v>25512</v>
      </c>
      <c r="C11205" s="33" t="s">
        <v>78</v>
      </c>
      <c r="D11205" s="33" t="s">
        <v>17</v>
      </c>
      <c r="E11205" s="33" t="s">
        <v>26</v>
      </c>
      <c r="F11205" s="33" t="s">
        <v>27</v>
      </c>
      <c r="G11205" s="33" t="s">
        <v>20</v>
      </c>
      <c r="H11205" s="35">
        <v>64</v>
      </c>
      <c r="I11205" s="33" t="s">
        <v>21</v>
      </c>
      <c r="J11205" s="42">
        <v>44635</v>
      </c>
      <c r="K11205" s="33" t="s">
        <v>22</v>
      </c>
    </row>
    <row r="11206" spans="1:11">
      <c r="A11206" s="30" t="s">
        <v>25513</v>
      </c>
      <c r="B11206" s="30" t="s">
        <v>25514</v>
      </c>
      <c r="C11206" s="30" t="s">
        <v>1270</v>
      </c>
      <c r="D11206" s="30" t="s">
        <v>17</v>
      </c>
      <c r="E11206" s="30" t="s">
        <v>67</v>
      </c>
      <c r="F11206" s="30" t="s">
        <v>68</v>
      </c>
      <c r="G11206" s="30" t="s">
        <v>140</v>
      </c>
      <c r="H11206" s="32">
        <v>176</v>
      </c>
      <c r="I11206" s="30" t="s">
        <v>51</v>
      </c>
      <c r="J11206" s="41">
        <v>44715</v>
      </c>
      <c r="K11206" s="30" t="s">
        <v>22</v>
      </c>
    </row>
    <row r="11207" spans="1:11">
      <c r="A11207" s="33" t="s">
        <v>25515</v>
      </c>
      <c r="B11207" s="33" t="s">
        <v>25516</v>
      </c>
      <c r="C11207" s="33" t="s">
        <v>25517</v>
      </c>
      <c r="D11207" s="33" t="s">
        <v>17</v>
      </c>
      <c r="E11207" s="33" t="s">
        <v>67</v>
      </c>
      <c r="F11207" s="33" t="s">
        <v>68</v>
      </c>
      <c r="G11207" s="33" t="s">
        <v>20</v>
      </c>
      <c r="H11207" s="35">
        <v>84</v>
      </c>
      <c r="I11207" s="33" t="s">
        <v>21</v>
      </c>
      <c r="J11207" s="42">
        <v>44803</v>
      </c>
      <c r="K11207" s="33" t="s">
        <v>22</v>
      </c>
    </row>
    <row r="11208" spans="1:11">
      <c r="A11208" s="30" t="s">
        <v>25518</v>
      </c>
      <c r="B11208" s="30" t="s">
        <v>25519</v>
      </c>
      <c r="C11208" s="30" t="s">
        <v>231</v>
      </c>
      <c r="D11208" s="30" t="s">
        <v>17</v>
      </c>
      <c r="E11208" s="30" t="s">
        <v>26</v>
      </c>
      <c r="F11208" s="30" t="s">
        <v>27</v>
      </c>
      <c r="G11208" s="30" t="s">
        <v>20</v>
      </c>
      <c r="H11208" s="32">
        <v>48</v>
      </c>
      <c r="I11208" s="30" t="s">
        <v>21</v>
      </c>
      <c r="J11208" s="41">
        <v>44663</v>
      </c>
      <c r="K11208" s="30" t="s">
        <v>22</v>
      </c>
    </row>
    <row r="11209" spans="1:11">
      <c r="A11209" s="33" t="s">
        <v>25520</v>
      </c>
      <c r="B11209" s="33" t="s">
        <v>25521</v>
      </c>
      <c r="C11209" s="33" t="s">
        <v>190</v>
      </c>
      <c r="D11209" s="33" t="s">
        <v>17</v>
      </c>
      <c r="E11209" s="33" t="s">
        <v>18</v>
      </c>
      <c r="F11209" s="33" t="s">
        <v>19</v>
      </c>
      <c r="G11209" s="33" t="s">
        <v>20</v>
      </c>
      <c r="H11209" s="35">
        <v>1172</v>
      </c>
      <c r="I11209" s="33" t="s">
        <v>21</v>
      </c>
      <c r="J11209" s="42">
        <v>44599</v>
      </c>
      <c r="K11209" s="33" t="s">
        <v>22</v>
      </c>
    </row>
    <row r="11210" spans="1:11">
      <c r="A11210" s="30" t="s">
        <v>25522</v>
      </c>
      <c r="B11210" s="30" t="s">
        <v>25523</v>
      </c>
      <c r="C11210" s="30" t="s">
        <v>7759</v>
      </c>
      <c r="D11210" s="30" t="s">
        <v>17</v>
      </c>
      <c r="E11210" s="30" t="s">
        <v>26</v>
      </c>
      <c r="F11210" s="30" t="s">
        <v>27</v>
      </c>
      <c r="G11210" s="30" t="s">
        <v>112</v>
      </c>
      <c r="H11210" s="32">
        <v>0</v>
      </c>
      <c r="I11210" s="30" t="s">
        <v>21</v>
      </c>
      <c r="J11210" s="41">
        <v>44644</v>
      </c>
      <c r="K11210" s="30" t="s">
        <v>22</v>
      </c>
    </row>
    <row r="11211" spans="1:11">
      <c r="A11211" s="33" t="s">
        <v>25524</v>
      </c>
      <c r="B11211" s="33" t="s">
        <v>25525</v>
      </c>
      <c r="C11211" s="33" t="s">
        <v>3660</v>
      </c>
      <c r="D11211" s="33" t="s">
        <v>17</v>
      </c>
      <c r="E11211" s="33" t="s">
        <v>212</v>
      </c>
      <c r="F11211" s="33" t="s">
        <v>213</v>
      </c>
      <c r="G11211" s="33" t="s">
        <v>140</v>
      </c>
      <c r="H11211" s="35">
        <v>60</v>
      </c>
      <c r="I11211" s="33" t="s">
        <v>51</v>
      </c>
      <c r="J11211" s="42">
        <v>44565</v>
      </c>
      <c r="K11211" s="33" t="s">
        <v>22</v>
      </c>
    </row>
    <row r="11212" spans="1:11">
      <c r="A11212" s="30" t="s">
        <v>25526</v>
      </c>
      <c r="B11212" s="30" t="s">
        <v>25527</v>
      </c>
      <c r="C11212" s="30" t="s">
        <v>3439</v>
      </c>
      <c r="D11212" s="30" t="s">
        <v>17</v>
      </c>
      <c r="E11212" s="30" t="s">
        <v>31</v>
      </c>
      <c r="F11212" s="30" t="s">
        <v>32</v>
      </c>
      <c r="G11212" s="30" t="s">
        <v>158</v>
      </c>
      <c r="H11212" s="32">
        <v>100</v>
      </c>
      <c r="I11212" s="30" t="s">
        <v>51</v>
      </c>
      <c r="J11212" s="41">
        <v>44831</v>
      </c>
      <c r="K11212" s="30" t="s">
        <v>22</v>
      </c>
    </row>
    <row r="11213" spans="1:11">
      <c r="A11213" s="33" t="s">
        <v>25528</v>
      </c>
      <c r="B11213" s="33" t="s">
        <v>25529</v>
      </c>
      <c r="C11213" s="33" t="s">
        <v>1270</v>
      </c>
      <c r="D11213" s="33" t="s">
        <v>17</v>
      </c>
      <c r="E11213" s="33" t="s">
        <v>26</v>
      </c>
      <c r="F11213" s="33" t="s">
        <v>27</v>
      </c>
      <c r="G11213" s="33" t="s">
        <v>50</v>
      </c>
      <c r="H11213" s="35">
        <v>51</v>
      </c>
      <c r="I11213" s="33" t="s">
        <v>51</v>
      </c>
      <c r="J11213" s="42">
        <v>44720</v>
      </c>
      <c r="K11213" s="33" t="s">
        <v>22</v>
      </c>
    </row>
    <row r="11214" spans="1:11">
      <c r="A11214" s="30" t="s">
        <v>25530</v>
      </c>
      <c r="B11214" s="30" t="s">
        <v>25531</v>
      </c>
      <c r="C11214" s="30" t="s">
        <v>13116</v>
      </c>
      <c r="D11214" s="30" t="s">
        <v>17</v>
      </c>
      <c r="E11214" s="30" t="s">
        <v>26</v>
      </c>
      <c r="F11214" s="30" t="s">
        <v>27</v>
      </c>
      <c r="G11214" s="30" t="s">
        <v>20</v>
      </c>
      <c r="H11214" s="32">
        <v>60</v>
      </c>
      <c r="I11214" s="30" t="s">
        <v>21</v>
      </c>
      <c r="J11214" s="41">
        <v>44677</v>
      </c>
      <c r="K11214" s="30" t="s">
        <v>22</v>
      </c>
    </row>
    <row r="11215" spans="1:11">
      <c r="A11215" s="33" t="s">
        <v>25532</v>
      </c>
      <c r="B11215" s="33" t="s">
        <v>25533</v>
      </c>
      <c r="C11215" s="33" t="s">
        <v>16867</v>
      </c>
      <c r="D11215" s="33" t="s">
        <v>17</v>
      </c>
      <c r="E11215" s="33" t="s">
        <v>31</v>
      </c>
      <c r="F11215" s="33" t="s">
        <v>32</v>
      </c>
      <c r="G11215" s="33" t="s">
        <v>20</v>
      </c>
      <c r="H11215" s="35">
        <v>150</v>
      </c>
      <c r="I11215" s="33" t="s">
        <v>21</v>
      </c>
      <c r="J11215" s="42">
        <v>44826</v>
      </c>
      <c r="K11215" s="33" t="s">
        <v>22</v>
      </c>
    </row>
    <row r="11216" spans="1:11">
      <c r="A11216" s="30" t="s">
        <v>25534</v>
      </c>
      <c r="B11216" s="30" t="s">
        <v>25535</v>
      </c>
      <c r="C11216" s="30" t="s">
        <v>899</v>
      </c>
      <c r="D11216" s="30" t="s">
        <v>17</v>
      </c>
      <c r="E11216" s="30" t="s">
        <v>26</v>
      </c>
      <c r="F11216" s="30" t="s">
        <v>27</v>
      </c>
      <c r="G11216" s="30" t="s">
        <v>20</v>
      </c>
      <c r="H11216" s="32">
        <v>32</v>
      </c>
      <c r="I11216" s="30" t="s">
        <v>21</v>
      </c>
      <c r="J11216" s="41">
        <v>44686</v>
      </c>
      <c r="K11216" s="30" t="s">
        <v>22</v>
      </c>
    </row>
    <row r="11217" spans="1:11">
      <c r="A11217" s="33" t="s">
        <v>25536</v>
      </c>
      <c r="B11217" s="33" t="s">
        <v>25537</v>
      </c>
      <c r="C11217" s="33" t="s">
        <v>17220</v>
      </c>
      <c r="D11217" s="33" t="s">
        <v>17</v>
      </c>
      <c r="E11217" s="33" t="s">
        <v>26</v>
      </c>
      <c r="F11217" s="33" t="s">
        <v>27</v>
      </c>
      <c r="G11217" s="33" t="s">
        <v>106</v>
      </c>
      <c r="H11217" s="35">
        <v>63</v>
      </c>
      <c r="I11217" s="33" t="s">
        <v>21</v>
      </c>
      <c r="J11217" s="42">
        <v>44658</v>
      </c>
      <c r="K11217" s="33" t="s">
        <v>22</v>
      </c>
    </row>
    <row r="11218" spans="1:11">
      <c r="A11218" s="30" t="s">
        <v>25538</v>
      </c>
      <c r="B11218" s="30" t="s">
        <v>25539</v>
      </c>
      <c r="C11218" s="30" t="s">
        <v>343</v>
      </c>
      <c r="D11218" s="30" t="s">
        <v>17</v>
      </c>
      <c r="E11218" s="30" t="s">
        <v>18</v>
      </c>
      <c r="F11218" s="30" t="s">
        <v>19</v>
      </c>
      <c r="G11218" s="30" t="s">
        <v>20</v>
      </c>
      <c r="H11218" s="32">
        <v>36</v>
      </c>
      <c r="I11218" s="30" t="s">
        <v>21</v>
      </c>
      <c r="J11218" s="41">
        <v>44697</v>
      </c>
      <c r="K11218" s="30" t="s">
        <v>22</v>
      </c>
    </row>
    <row r="11219" spans="1:11">
      <c r="A11219" s="33" t="s">
        <v>25540</v>
      </c>
      <c r="B11219" s="33" t="s">
        <v>25541</v>
      </c>
      <c r="C11219" s="33" t="s">
        <v>3004</v>
      </c>
      <c r="D11219" s="33" t="s">
        <v>17</v>
      </c>
      <c r="E11219" s="33" t="s">
        <v>18</v>
      </c>
      <c r="F11219" s="33" t="s">
        <v>19</v>
      </c>
      <c r="G11219" s="33" t="s">
        <v>140</v>
      </c>
      <c r="H11219" s="35">
        <v>737</v>
      </c>
      <c r="I11219" s="33" t="s">
        <v>51</v>
      </c>
      <c r="J11219" s="42">
        <v>44764</v>
      </c>
      <c r="K11219" s="33" t="s">
        <v>22</v>
      </c>
    </row>
    <row r="11220" spans="1:11">
      <c r="A11220" s="30" t="s">
        <v>25542</v>
      </c>
      <c r="B11220" s="30" t="s">
        <v>25543</v>
      </c>
      <c r="C11220" s="30" t="s">
        <v>5050</v>
      </c>
      <c r="D11220" s="30" t="s">
        <v>17</v>
      </c>
      <c r="E11220" s="30" t="s">
        <v>67</v>
      </c>
      <c r="F11220" s="30" t="s">
        <v>68</v>
      </c>
      <c r="G11220" s="30" t="s">
        <v>140</v>
      </c>
      <c r="H11220" s="32">
        <v>147</v>
      </c>
      <c r="I11220" s="30" t="s">
        <v>51</v>
      </c>
      <c r="J11220" s="41">
        <v>44799</v>
      </c>
      <c r="K11220" s="30" t="s">
        <v>22</v>
      </c>
    </row>
    <row r="11221" spans="1:11">
      <c r="A11221" s="33" t="s">
        <v>25544</v>
      </c>
      <c r="B11221" s="33" t="s">
        <v>25545</v>
      </c>
      <c r="C11221" s="33" t="s">
        <v>25546</v>
      </c>
      <c r="D11221" s="33" t="s">
        <v>17</v>
      </c>
      <c r="E11221" s="33" t="s">
        <v>26</v>
      </c>
      <c r="F11221" s="33" t="s">
        <v>27</v>
      </c>
      <c r="G11221" s="33" t="s">
        <v>50</v>
      </c>
      <c r="H11221" s="35">
        <v>4</v>
      </c>
      <c r="I11221" s="33" t="s">
        <v>51</v>
      </c>
      <c r="J11221" s="42">
        <v>44889</v>
      </c>
      <c r="K11221" s="33" t="s">
        <v>22</v>
      </c>
    </row>
    <row r="11222" spans="1:11">
      <c r="A11222" s="30" t="s">
        <v>25547</v>
      </c>
      <c r="B11222" s="30" t="s">
        <v>25548</v>
      </c>
      <c r="C11222" s="30" t="s">
        <v>25549</v>
      </c>
      <c r="D11222" s="30" t="s">
        <v>17</v>
      </c>
      <c r="E11222" s="30" t="s">
        <v>26</v>
      </c>
      <c r="F11222" s="30" t="s">
        <v>27</v>
      </c>
      <c r="G11222" s="30" t="s">
        <v>20</v>
      </c>
      <c r="H11222" s="32">
        <v>83</v>
      </c>
      <c r="I11222" s="30" t="s">
        <v>21</v>
      </c>
      <c r="J11222" s="41">
        <v>44842</v>
      </c>
      <c r="K11222" s="30" t="s">
        <v>22</v>
      </c>
    </row>
    <row r="11223" spans="1:11">
      <c r="A11223" s="33" t="s">
        <v>25550</v>
      </c>
      <c r="B11223" s="33" t="s">
        <v>25551</v>
      </c>
      <c r="C11223" s="33" t="s">
        <v>25552</v>
      </c>
      <c r="D11223" s="33" t="s">
        <v>17</v>
      </c>
      <c r="E11223" s="33" t="s">
        <v>31</v>
      </c>
      <c r="F11223" s="33" t="s">
        <v>32</v>
      </c>
      <c r="G11223" s="33" t="s">
        <v>50</v>
      </c>
      <c r="H11223" s="35">
        <v>114</v>
      </c>
      <c r="I11223" s="33" t="s">
        <v>21</v>
      </c>
      <c r="J11223" s="42">
        <v>44789</v>
      </c>
      <c r="K11223" s="33" t="s">
        <v>22</v>
      </c>
    </row>
    <row r="11224" spans="1:11">
      <c r="A11224" s="30" t="s">
        <v>25553</v>
      </c>
      <c r="B11224" s="30" t="s">
        <v>25554</v>
      </c>
      <c r="C11224" s="30" t="s">
        <v>6955</v>
      </c>
      <c r="D11224" s="30" t="s">
        <v>17</v>
      </c>
      <c r="E11224" s="30" t="s">
        <v>212</v>
      </c>
      <c r="F11224" s="30" t="s">
        <v>213</v>
      </c>
      <c r="G11224" s="30" t="s">
        <v>20</v>
      </c>
      <c r="H11224" s="32">
        <v>136</v>
      </c>
      <c r="I11224" s="30" t="s">
        <v>21</v>
      </c>
      <c r="J11224" s="41">
        <v>44872</v>
      </c>
      <c r="K11224" s="30" t="s">
        <v>22</v>
      </c>
    </row>
    <row r="11225" spans="1:11">
      <c r="A11225" s="33" t="s">
        <v>25555</v>
      </c>
      <c r="B11225" s="33" t="s">
        <v>25556</v>
      </c>
      <c r="C11225" s="33" t="s">
        <v>96</v>
      </c>
      <c r="D11225" s="33" t="s">
        <v>17</v>
      </c>
      <c r="E11225" s="33" t="s">
        <v>26</v>
      </c>
      <c r="F11225" s="33" t="s">
        <v>27</v>
      </c>
      <c r="G11225" s="33" t="s">
        <v>20</v>
      </c>
      <c r="H11225" s="35">
        <v>12</v>
      </c>
      <c r="I11225" s="33" t="s">
        <v>21</v>
      </c>
      <c r="J11225" s="42">
        <v>44623</v>
      </c>
      <c r="K11225" s="33" t="s">
        <v>22</v>
      </c>
    </row>
    <row r="11226" spans="1:11">
      <c r="A11226" s="30" t="s">
        <v>25557</v>
      </c>
      <c r="B11226" s="30" t="s">
        <v>25558</v>
      </c>
      <c r="C11226" s="30" t="s">
        <v>216</v>
      </c>
      <c r="D11226" s="30" t="s">
        <v>17</v>
      </c>
      <c r="E11226" s="30" t="s">
        <v>26</v>
      </c>
      <c r="F11226" s="30" t="s">
        <v>27</v>
      </c>
      <c r="G11226" s="30" t="s">
        <v>20</v>
      </c>
      <c r="H11226" s="32">
        <v>37</v>
      </c>
      <c r="I11226" s="30" t="s">
        <v>21</v>
      </c>
      <c r="J11226" s="41">
        <v>44602</v>
      </c>
      <c r="K11226" s="30" t="s">
        <v>22</v>
      </c>
    </row>
    <row r="11227" spans="1:11">
      <c r="A11227" s="33" t="s">
        <v>25559</v>
      </c>
      <c r="B11227" s="33" t="s">
        <v>25560</v>
      </c>
      <c r="C11227" s="33" t="s">
        <v>25561</v>
      </c>
      <c r="D11227" s="33" t="s">
        <v>17</v>
      </c>
      <c r="E11227" s="33" t="s">
        <v>26</v>
      </c>
      <c r="F11227" s="33" t="s">
        <v>27</v>
      </c>
      <c r="G11227" s="33" t="s">
        <v>20</v>
      </c>
      <c r="H11227" s="35">
        <v>204</v>
      </c>
      <c r="I11227" s="33" t="s">
        <v>21</v>
      </c>
      <c r="J11227" s="42">
        <v>44869</v>
      </c>
      <c r="K11227" s="33" t="s">
        <v>22</v>
      </c>
    </row>
    <row r="11228" spans="1:11">
      <c r="A11228" s="30" t="s">
        <v>25562</v>
      </c>
      <c r="B11228" s="30" t="s">
        <v>25563</v>
      </c>
      <c r="C11228" s="30" t="s">
        <v>246</v>
      </c>
      <c r="D11228" s="30" t="s">
        <v>17</v>
      </c>
      <c r="E11228" s="30" t="s">
        <v>26</v>
      </c>
      <c r="F11228" s="30" t="s">
        <v>27</v>
      </c>
      <c r="G11228" s="30" t="s">
        <v>50</v>
      </c>
      <c r="H11228" s="32">
        <v>118</v>
      </c>
      <c r="I11228" s="30" t="s">
        <v>51</v>
      </c>
      <c r="J11228" s="41">
        <v>44742</v>
      </c>
      <c r="K11228" s="30" t="s">
        <v>22</v>
      </c>
    </row>
    <row r="11229" spans="1:11">
      <c r="A11229" s="33" t="s">
        <v>25564</v>
      </c>
      <c r="B11229" s="33" t="s">
        <v>25565</v>
      </c>
      <c r="C11229" s="33" t="s">
        <v>472</v>
      </c>
      <c r="D11229" s="33" t="s">
        <v>17</v>
      </c>
      <c r="E11229" s="33" t="s">
        <v>31</v>
      </c>
      <c r="F11229" s="33" t="s">
        <v>32</v>
      </c>
      <c r="G11229" s="33" t="s">
        <v>158</v>
      </c>
      <c r="H11229" s="35">
        <v>40</v>
      </c>
      <c r="I11229" s="33" t="s">
        <v>51</v>
      </c>
      <c r="J11229" s="42">
        <v>44795</v>
      </c>
      <c r="K11229" s="33" t="s">
        <v>22</v>
      </c>
    </row>
    <row r="11230" spans="1:11">
      <c r="A11230" s="30" t="s">
        <v>25566</v>
      </c>
      <c r="B11230" s="30" t="s">
        <v>25567</v>
      </c>
      <c r="C11230" s="30" t="s">
        <v>9722</v>
      </c>
      <c r="D11230" s="30" t="s">
        <v>17</v>
      </c>
      <c r="E11230" s="30" t="s">
        <v>330</v>
      </c>
      <c r="F11230" s="30" t="s">
        <v>331</v>
      </c>
      <c r="G11230" s="30" t="s">
        <v>20</v>
      </c>
      <c r="H11230" s="32">
        <v>9</v>
      </c>
      <c r="I11230" s="30" t="s">
        <v>21</v>
      </c>
      <c r="J11230" s="41">
        <v>44893</v>
      </c>
      <c r="K11230" s="30" t="s">
        <v>22</v>
      </c>
    </row>
    <row r="11231" spans="1:11">
      <c r="A11231" s="33" t="s">
        <v>25568</v>
      </c>
      <c r="B11231" s="33" t="s">
        <v>25569</v>
      </c>
      <c r="C11231" s="33" t="s">
        <v>190</v>
      </c>
      <c r="D11231" s="33" t="s">
        <v>17</v>
      </c>
      <c r="E11231" s="33" t="s">
        <v>31</v>
      </c>
      <c r="F11231" s="33" t="s">
        <v>32</v>
      </c>
      <c r="G11231" s="33" t="s">
        <v>106</v>
      </c>
      <c r="H11231" s="35">
        <v>205</v>
      </c>
      <c r="I11231" s="33" t="s">
        <v>21</v>
      </c>
      <c r="J11231" s="42">
        <v>44865</v>
      </c>
      <c r="K11231" s="33" t="s">
        <v>22</v>
      </c>
    </row>
    <row r="11232" spans="1:11">
      <c r="A11232" s="30" t="s">
        <v>25570</v>
      </c>
      <c r="B11232" s="30" t="s">
        <v>25571</v>
      </c>
      <c r="C11232" s="30" t="s">
        <v>25572</v>
      </c>
      <c r="D11232" s="30" t="s">
        <v>17</v>
      </c>
      <c r="E11232" s="30" t="s">
        <v>26</v>
      </c>
      <c r="F11232" s="30" t="s">
        <v>27</v>
      </c>
      <c r="G11232" s="30" t="s">
        <v>20</v>
      </c>
      <c r="H11232" s="32">
        <v>135</v>
      </c>
      <c r="I11232" s="30" t="s">
        <v>21</v>
      </c>
      <c r="J11232" s="41">
        <v>44697</v>
      </c>
      <c r="K11232" s="30" t="s">
        <v>22</v>
      </c>
    </row>
    <row r="11233" spans="1:11">
      <c r="A11233" s="33" t="s">
        <v>25573</v>
      </c>
      <c r="B11233" s="33" t="s">
        <v>25574</v>
      </c>
      <c r="C11233" s="33" t="s">
        <v>8222</v>
      </c>
      <c r="D11233" s="33" t="s">
        <v>17</v>
      </c>
      <c r="E11233" s="33" t="s">
        <v>31</v>
      </c>
      <c r="F11233" s="33" t="s">
        <v>32</v>
      </c>
      <c r="G11233" s="33" t="s">
        <v>50</v>
      </c>
      <c r="H11233" s="35">
        <v>420</v>
      </c>
      <c r="I11233" s="33" t="s">
        <v>51</v>
      </c>
      <c r="J11233" s="42">
        <v>44828</v>
      </c>
      <c r="K11233" s="33" t="s">
        <v>22</v>
      </c>
    </row>
    <row r="11234" spans="1:11">
      <c r="A11234" s="30" t="s">
        <v>25575</v>
      </c>
      <c r="B11234" s="30" t="s">
        <v>25576</v>
      </c>
      <c r="C11234" s="30" t="s">
        <v>3862</v>
      </c>
      <c r="D11234" s="30" t="s">
        <v>17</v>
      </c>
      <c r="E11234" s="30" t="s">
        <v>18</v>
      </c>
      <c r="F11234" s="30" t="s">
        <v>19</v>
      </c>
      <c r="G11234" s="30" t="s">
        <v>20</v>
      </c>
      <c r="H11234" s="32">
        <v>145</v>
      </c>
      <c r="I11234" s="30" t="s">
        <v>21</v>
      </c>
      <c r="J11234" s="41">
        <v>44858</v>
      </c>
      <c r="K11234" s="30" t="s">
        <v>22</v>
      </c>
    </row>
    <row r="11235" spans="1:11">
      <c r="A11235" s="33" t="s">
        <v>25577</v>
      </c>
      <c r="B11235" s="33" t="s">
        <v>25578</v>
      </c>
      <c r="C11235" s="33" t="s">
        <v>9420</v>
      </c>
      <c r="D11235" s="33" t="s">
        <v>17</v>
      </c>
      <c r="E11235" s="33" t="s">
        <v>26</v>
      </c>
      <c r="F11235" s="33" t="s">
        <v>27</v>
      </c>
      <c r="G11235" s="33" t="s">
        <v>106</v>
      </c>
      <c r="H11235" s="35">
        <v>21</v>
      </c>
      <c r="I11235" s="33" t="s">
        <v>21</v>
      </c>
      <c r="J11235" s="42">
        <v>44854</v>
      </c>
      <c r="K11235" s="33" t="s">
        <v>22</v>
      </c>
    </row>
    <row r="11236" spans="1:11">
      <c r="A11236" s="30" t="s">
        <v>25579</v>
      </c>
      <c r="B11236" s="30" t="s">
        <v>25580</v>
      </c>
      <c r="C11236" s="30" t="s">
        <v>25581</v>
      </c>
      <c r="D11236" s="30" t="s">
        <v>17</v>
      </c>
      <c r="E11236" s="30" t="s">
        <v>26</v>
      </c>
      <c r="F11236" s="30" t="s">
        <v>27</v>
      </c>
      <c r="G11236" s="30" t="s">
        <v>20</v>
      </c>
      <c r="H11236" s="32">
        <v>32</v>
      </c>
      <c r="I11236" s="30" t="s">
        <v>21</v>
      </c>
      <c r="J11236" s="41">
        <v>44810</v>
      </c>
      <c r="K11236" s="30" t="s">
        <v>22</v>
      </c>
    </row>
    <row r="11237" spans="1:11">
      <c r="A11237" s="33" t="s">
        <v>25582</v>
      </c>
      <c r="B11237" s="33" t="s">
        <v>25583</v>
      </c>
      <c r="C11237" s="33" t="s">
        <v>6625</v>
      </c>
      <c r="D11237" s="33" t="s">
        <v>17</v>
      </c>
      <c r="E11237" s="33" t="s">
        <v>26</v>
      </c>
      <c r="F11237" s="33" t="s">
        <v>27</v>
      </c>
      <c r="G11237" s="33" t="s">
        <v>20</v>
      </c>
      <c r="H11237" s="35">
        <v>44</v>
      </c>
      <c r="I11237" s="33" t="s">
        <v>21</v>
      </c>
      <c r="J11237" s="42">
        <v>44872</v>
      </c>
      <c r="K11237" s="33" t="s">
        <v>22</v>
      </c>
    </row>
    <row r="11238" spans="1:11">
      <c r="A11238" s="30" t="s">
        <v>25584</v>
      </c>
      <c r="B11238" s="30" t="s">
        <v>25585</v>
      </c>
      <c r="C11238" s="30" t="s">
        <v>11905</v>
      </c>
      <c r="D11238" s="30" t="s">
        <v>17</v>
      </c>
      <c r="E11238" s="30" t="s">
        <v>26</v>
      </c>
      <c r="F11238" s="30" t="s">
        <v>27</v>
      </c>
      <c r="G11238" s="30" t="s">
        <v>20</v>
      </c>
      <c r="H11238" s="32">
        <v>16</v>
      </c>
      <c r="I11238" s="30" t="s">
        <v>21</v>
      </c>
      <c r="J11238" s="41">
        <v>44692</v>
      </c>
      <c r="K11238" s="30" t="s">
        <v>22</v>
      </c>
    </row>
    <row r="11239" spans="1:11">
      <c r="A11239" s="33" t="s">
        <v>25586</v>
      </c>
      <c r="B11239" s="33" t="s">
        <v>25587</v>
      </c>
      <c r="C11239" s="33" t="s">
        <v>157</v>
      </c>
      <c r="D11239" s="33" t="s">
        <v>17</v>
      </c>
      <c r="E11239" s="33" t="s">
        <v>67</v>
      </c>
      <c r="F11239" s="33" t="s">
        <v>68</v>
      </c>
      <c r="G11239" s="33" t="s">
        <v>106</v>
      </c>
      <c r="H11239" s="35">
        <v>69</v>
      </c>
      <c r="I11239" s="33" t="s">
        <v>21</v>
      </c>
      <c r="J11239" s="42">
        <v>44672</v>
      </c>
      <c r="K11239" s="33" t="s">
        <v>22</v>
      </c>
    </row>
    <row r="11240" spans="1:11">
      <c r="A11240" s="30" t="s">
        <v>25588</v>
      </c>
      <c r="B11240" s="30" t="s">
        <v>25589</v>
      </c>
      <c r="C11240" s="30" t="s">
        <v>136</v>
      </c>
      <c r="D11240" s="30" t="s">
        <v>17</v>
      </c>
      <c r="E11240" s="30" t="s">
        <v>18</v>
      </c>
      <c r="F11240" s="30" t="s">
        <v>19</v>
      </c>
      <c r="G11240" s="30" t="s">
        <v>20</v>
      </c>
      <c r="H11240" s="32">
        <v>99</v>
      </c>
      <c r="I11240" s="30" t="s">
        <v>21</v>
      </c>
      <c r="J11240" s="41">
        <v>44664</v>
      </c>
      <c r="K11240" s="30" t="s">
        <v>22</v>
      </c>
    </row>
    <row r="11241" spans="1:11">
      <c r="A11241" s="33" t="s">
        <v>25590</v>
      </c>
      <c r="B11241" s="33" t="s">
        <v>25591</v>
      </c>
      <c r="C11241" s="33" t="s">
        <v>3299</v>
      </c>
      <c r="D11241" s="33" t="s">
        <v>17</v>
      </c>
      <c r="E11241" s="33" t="s">
        <v>18</v>
      </c>
      <c r="F11241" s="33" t="s">
        <v>19</v>
      </c>
      <c r="G11241" s="33" t="s">
        <v>50</v>
      </c>
      <c r="H11241" s="35">
        <v>16000</v>
      </c>
      <c r="I11241" s="33" t="s">
        <v>51</v>
      </c>
      <c r="J11241" s="42">
        <v>44869</v>
      </c>
      <c r="K11241" s="33" t="s">
        <v>22</v>
      </c>
    </row>
    <row r="11242" spans="1:11">
      <c r="A11242" s="30" t="s">
        <v>25592</v>
      </c>
      <c r="B11242" s="30" t="s">
        <v>25593</v>
      </c>
      <c r="C11242" s="30" t="s">
        <v>25594</v>
      </c>
      <c r="D11242" s="30" t="s">
        <v>17</v>
      </c>
      <c r="E11242" s="30" t="s">
        <v>26</v>
      </c>
      <c r="F11242" s="30" t="s">
        <v>27</v>
      </c>
      <c r="G11242" s="30" t="s">
        <v>20</v>
      </c>
      <c r="H11242" s="32">
        <v>119</v>
      </c>
      <c r="I11242" s="30" t="s">
        <v>21</v>
      </c>
      <c r="J11242" s="41">
        <v>44733</v>
      </c>
      <c r="K11242" s="30" t="s">
        <v>22</v>
      </c>
    </row>
    <row r="11243" spans="1:11">
      <c r="A11243" s="33" t="s">
        <v>25595</v>
      </c>
      <c r="B11243" s="33" t="s">
        <v>25596</v>
      </c>
      <c r="C11243" s="33" t="s">
        <v>25597</v>
      </c>
      <c r="D11243" s="33" t="s">
        <v>17</v>
      </c>
      <c r="E11243" s="33" t="s">
        <v>26</v>
      </c>
      <c r="F11243" s="33" t="s">
        <v>27</v>
      </c>
      <c r="G11243" s="33" t="s">
        <v>20</v>
      </c>
      <c r="H11243" s="35">
        <v>24</v>
      </c>
      <c r="I11243" s="33" t="s">
        <v>21</v>
      </c>
      <c r="J11243" s="42">
        <v>44729</v>
      </c>
      <c r="K11243" s="33" t="s">
        <v>22</v>
      </c>
    </row>
    <row r="11244" spans="1:11">
      <c r="A11244" s="30" t="s">
        <v>25598</v>
      </c>
      <c r="B11244" s="30" t="s">
        <v>25599</v>
      </c>
      <c r="C11244" s="30" t="s">
        <v>14073</v>
      </c>
      <c r="D11244" s="30" t="s">
        <v>17</v>
      </c>
      <c r="E11244" s="30" t="s">
        <v>212</v>
      </c>
      <c r="F11244" s="30" t="s">
        <v>213</v>
      </c>
      <c r="G11244" s="30" t="s">
        <v>158</v>
      </c>
      <c r="H11244" s="32">
        <v>61</v>
      </c>
      <c r="I11244" s="30" t="s">
        <v>51</v>
      </c>
      <c r="J11244" s="41">
        <v>44790</v>
      </c>
      <c r="K11244" s="30" t="s">
        <v>22</v>
      </c>
    </row>
    <row r="11245" spans="1:11">
      <c r="A11245" s="33" t="s">
        <v>25600</v>
      </c>
      <c r="B11245" s="33" t="s">
        <v>25601</v>
      </c>
      <c r="C11245" s="33" t="s">
        <v>178</v>
      </c>
      <c r="D11245" s="33" t="s">
        <v>17</v>
      </c>
      <c r="E11245" s="33" t="s">
        <v>26</v>
      </c>
      <c r="F11245" s="33" t="s">
        <v>27</v>
      </c>
      <c r="G11245" s="33" t="s">
        <v>20</v>
      </c>
      <c r="H11245" s="35">
        <v>48</v>
      </c>
      <c r="I11245" s="33" t="s">
        <v>21</v>
      </c>
      <c r="J11245" s="42">
        <v>44898</v>
      </c>
      <c r="K11245" s="33" t="s">
        <v>22</v>
      </c>
    </row>
    <row r="11246" spans="1:11">
      <c r="A11246" s="30" t="s">
        <v>25602</v>
      </c>
      <c r="B11246" s="30" t="s">
        <v>25603</v>
      </c>
      <c r="C11246" s="30" t="s">
        <v>21811</v>
      </c>
      <c r="D11246" s="30" t="s">
        <v>17</v>
      </c>
      <c r="E11246" s="30" t="s">
        <v>212</v>
      </c>
      <c r="F11246" s="30" t="s">
        <v>213</v>
      </c>
      <c r="G11246" s="30" t="s">
        <v>50</v>
      </c>
      <c r="H11246" s="32">
        <v>360</v>
      </c>
      <c r="I11246" s="30" t="s">
        <v>21</v>
      </c>
      <c r="J11246" s="41">
        <v>44622</v>
      </c>
      <c r="K11246" s="30" t="s">
        <v>22</v>
      </c>
    </row>
    <row r="11247" spans="1:11">
      <c r="A11247" s="33" t="s">
        <v>25604</v>
      </c>
      <c r="B11247" s="33" t="s">
        <v>25605</v>
      </c>
      <c r="C11247" s="33" t="s">
        <v>329</v>
      </c>
      <c r="D11247" s="33" t="s">
        <v>17</v>
      </c>
      <c r="E11247" s="33" t="s">
        <v>18</v>
      </c>
      <c r="F11247" s="33" t="s">
        <v>19</v>
      </c>
      <c r="G11247" s="33" t="s">
        <v>112</v>
      </c>
      <c r="H11247" s="35">
        <v>0</v>
      </c>
      <c r="I11247" s="33" t="s">
        <v>21</v>
      </c>
      <c r="J11247" s="42">
        <v>44895</v>
      </c>
      <c r="K11247" s="33" t="s">
        <v>22</v>
      </c>
    </row>
    <row r="11248" spans="1:11">
      <c r="A11248" s="30" t="s">
        <v>25606</v>
      </c>
      <c r="B11248" s="30" t="s">
        <v>25607</v>
      </c>
      <c r="C11248" s="30" t="s">
        <v>356</v>
      </c>
      <c r="D11248" s="30" t="s">
        <v>17</v>
      </c>
      <c r="E11248" s="30" t="s">
        <v>26</v>
      </c>
      <c r="F11248" s="30" t="s">
        <v>27</v>
      </c>
      <c r="G11248" s="30" t="s">
        <v>140</v>
      </c>
      <c r="H11248" s="32">
        <v>24</v>
      </c>
      <c r="I11248" s="30" t="s">
        <v>51</v>
      </c>
      <c r="J11248" s="41">
        <v>44923</v>
      </c>
      <c r="K11248" s="30" t="s">
        <v>22</v>
      </c>
    </row>
    <row r="11249" spans="1:11">
      <c r="A11249" s="33" t="s">
        <v>25608</v>
      </c>
      <c r="B11249" s="33" t="s">
        <v>25609</v>
      </c>
      <c r="C11249" s="33" t="s">
        <v>787</v>
      </c>
      <c r="D11249" s="33" t="s">
        <v>17</v>
      </c>
      <c r="E11249" s="33" t="s">
        <v>31</v>
      </c>
      <c r="F11249" s="33" t="s">
        <v>32</v>
      </c>
      <c r="G11249" s="33" t="s">
        <v>50</v>
      </c>
      <c r="H11249" s="35">
        <v>30</v>
      </c>
      <c r="I11249" s="33" t="s">
        <v>51</v>
      </c>
      <c r="J11249" s="42">
        <v>44613</v>
      </c>
      <c r="K11249" s="33" t="s">
        <v>22</v>
      </c>
    </row>
    <row r="11250" spans="1:11">
      <c r="A11250" s="30" t="s">
        <v>25610</v>
      </c>
      <c r="B11250" s="30" t="s">
        <v>25611</v>
      </c>
      <c r="C11250" s="30" t="s">
        <v>1267</v>
      </c>
      <c r="D11250" s="30" t="s">
        <v>17</v>
      </c>
      <c r="E11250" s="30" t="s">
        <v>18</v>
      </c>
      <c r="F11250" s="30" t="s">
        <v>19</v>
      </c>
      <c r="G11250" s="30" t="s">
        <v>158</v>
      </c>
      <c r="H11250" s="32">
        <v>1040</v>
      </c>
      <c r="I11250" s="30" t="s">
        <v>21</v>
      </c>
      <c r="J11250" s="41">
        <v>44886</v>
      </c>
      <c r="K11250" s="30" t="s">
        <v>22</v>
      </c>
    </row>
    <row r="11251" spans="1:11">
      <c r="A11251" s="33" t="s">
        <v>25612</v>
      </c>
      <c r="B11251" s="33" t="s">
        <v>25613</v>
      </c>
      <c r="C11251" s="33" t="s">
        <v>231</v>
      </c>
      <c r="D11251" s="33" t="s">
        <v>17</v>
      </c>
      <c r="E11251" s="33" t="s">
        <v>26</v>
      </c>
      <c r="F11251" s="33" t="s">
        <v>27</v>
      </c>
      <c r="G11251" s="33" t="s">
        <v>106</v>
      </c>
      <c r="H11251" s="35">
        <v>2</v>
      </c>
      <c r="I11251" s="33" t="s">
        <v>21</v>
      </c>
      <c r="J11251" s="42">
        <v>44831</v>
      </c>
      <c r="K11251" s="33" t="s">
        <v>22</v>
      </c>
    </row>
    <row r="11252" spans="1:11">
      <c r="A11252" s="30" t="s">
        <v>25614</v>
      </c>
      <c r="B11252" s="30" t="s">
        <v>25615</v>
      </c>
      <c r="C11252" s="30" t="s">
        <v>25616</v>
      </c>
      <c r="D11252" s="30" t="s">
        <v>17</v>
      </c>
      <c r="E11252" s="30" t="s">
        <v>26</v>
      </c>
      <c r="F11252" s="30" t="s">
        <v>27</v>
      </c>
      <c r="G11252" s="30" t="s">
        <v>20</v>
      </c>
      <c r="H11252" s="32">
        <v>50</v>
      </c>
      <c r="I11252" s="30" t="s">
        <v>21</v>
      </c>
      <c r="J11252" s="41">
        <v>44854</v>
      </c>
      <c r="K11252" s="30" t="s">
        <v>22</v>
      </c>
    </row>
    <row r="11253" spans="1:11">
      <c r="A11253" s="33" t="s">
        <v>25617</v>
      </c>
      <c r="B11253" s="33" t="s">
        <v>25618</v>
      </c>
      <c r="C11253" s="33" t="s">
        <v>5774</v>
      </c>
      <c r="D11253" s="33" t="s">
        <v>17</v>
      </c>
      <c r="E11253" s="33" t="s">
        <v>31</v>
      </c>
      <c r="F11253" s="33" t="s">
        <v>32</v>
      </c>
      <c r="G11253" s="33" t="s">
        <v>20</v>
      </c>
      <c r="H11253" s="35">
        <v>180</v>
      </c>
      <c r="I11253" s="33" t="s">
        <v>21</v>
      </c>
      <c r="J11253" s="42">
        <v>44908</v>
      </c>
      <c r="K11253" s="33" t="s">
        <v>22</v>
      </c>
    </row>
    <row r="11254" spans="1:11">
      <c r="A11254" s="30" t="s">
        <v>25619</v>
      </c>
      <c r="B11254" s="30" t="s">
        <v>25620</v>
      </c>
      <c r="C11254" s="30" t="s">
        <v>969</v>
      </c>
      <c r="D11254" s="30" t="s">
        <v>17</v>
      </c>
      <c r="E11254" s="30" t="s">
        <v>26</v>
      </c>
      <c r="F11254" s="30" t="s">
        <v>27</v>
      </c>
      <c r="G11254" s="30" t="s">
        <v>20</v>
      </c>
      <c r="H11254" s="32">
        <v>140</v>
      </c>
      <c r="I11254" s="30" t="s">
        <v>21</v>
      </c>
      <c r="J11254" s="41">
        <v>44699</v>
      </c>
      <c r="K11254" s="30" t="s">
        <v>22</v>
      </c>
    </row>
    <row r="11255" spans="1:11">
      <c r="A11255" s="33" t="s">
        <v>25621</v>
      </c>
      <c r="B11255" s="33" t="s">
        <v>25622</v>
      </c>
      <c r="C11255" s="33" t="s">
        <v>109</v>
      </c>
      <c r="D11255" s="33" t="s">
        <v>17</v>
      </c>
      <c r="E11255" s="33" t="s">
        <v>212</v>
      </c>
      <c r="F11255" s="33" t="s">
        <v>213</v>
      </c>
      <c r="G11255" s="33" t="s">
        <v>140</v>
      </c>
      <c r="H11255" s="35">
        <v>347</v>
      </c>
      <c r="I11255" s="33" t="s">
        <v>51</v>
      </c>
      <c r="J11255" s="42">
        <v>44803</v>
      </c>
      <c r="K11255" s="33" t="s">
        <v>22</v>
      </c>
    </row>
    <row r="11256" spans="1:11">
      <c r="A11256" s="30" t="s">
        <v>25623</v>
      </c>
      <c r="B11256" s="30" t="s">
        <v>13099</v>
      </c>
      <c r="C11256" s="30" t="s">
        <v>1422</v>
      </c>
      <c r="D11256" s="30" t="s">
        <v>17</v>
      </c>
      <c r="E11256" s="30" t="s">
        <v>18</v>
      </c>
      <c r="F11256" s="30" t="s">
        <v>19</v>
      </c>
      <c r="G11256" s="30" t="s">
        <v>20</v>
      </c>
      <c r="H11256" s="32">
        <v>2480</v>
      </c>
      <c r="I11256" s="30" t="s">
        <v>21</v>
      </c>
      <c r="J11256" s="41">
        <v>44605</v>
      </c>
      <c r="K11256" s="30" t="s">
        <v>22</v>
      </c>
    </row>
    <row r="11257" spans="1:11">
      <c r="A11257" s="33" t="s">
        <v>25624</v>
      </c>
      <c r="B11257" s="33" t="s">
        <v>25625</v>
      </c>
      <c r="C11257" s="33" t="s">
        <v>2150</v>
      </c>
      <c r="D11257" s="33" t="s">
        <v>17</v>
      </c>
      <c r="E11257" s="33" t="s">
        <v>67</v>
      </c>
      <c r="F11257" s="33" t="s">
        <v>68</v>
      </c>
      <c r="G11257" s="33" t="s">
        <v>106</v>
      </c>
      <c r="H11257" s="35">
        <v>54</v>
      </c>
      <c r="I11257" s="33" t="s">
        <v>21</v>
      </c>
      <c r="J11257" s="42">
        <v>44658</v>
      </c>
      <c r="K11257" s="33" t="s">
        <v>22</v>
      </c>
    </row>
    <row r="11258" spans="1:11">
      <c r="A11258" s="30" t="s">
        <v>25626</v>
      </c>
      <c r="B11258" s="30" t="s">
        <v>25627</v>
      </c>
      <c r="C11258" s="30" t="s">
        <v>102</v>
      </c>
      <c r="D11258" s="30" t="s">
        <v>17</v>
      </c>
      <c r="E11258" s="30" t="s">
        <v>31</v>
      </c>
      <c r="F11258" s="30" t="s">
        <v>32</v>
      </c>
      <c r="G11258" s="30" t="s">
        <v>20</v>
      </c>
      <c r="H11258" s="32">
        <v>163</v>
      </c>
      <c r="I11258" s="30" t="s">
        <v>21</v>
      </c>
      <c r="J11258" s="41">
        <v>44749</v>
      </c>
      <c r="K11258" s="30" t="s">
        <v>22</v>
      </c>
    </row>
    <row r="11259" spans="1:11">
      <c r="A11259" s="33" t="s">
        <v>25628</v>
      </c>
      <c r="B11259" s="33" t="s">
        <v>25629</v>
      </c>
      <c r="C11259" s="33" t="s">
        <v>2264</v>
      </c>
      <c r="D11259" s="33" t="s">
        <v>17</v>
      </c>
      <c r="E11259" s="33" t="s">
        <v>18</v>
      </c>
      <c r="F11259" s="33" t="s">
        <v>19</v>
      </c>
      <c r="G11259" s="33" t="s">
        <v>20</v>
      </c>
      <c r="H11259" s="35">
        <v>1831</v>
      </c>
      <c r="I11259" s="33" t="s">
        <v>21</v>
      </c>
      <c r="J11259" s="42">
        <v>44725</v>
      </c>
      <c r="K11259" s="33" t="s">
        <v>22</v>
      </c>
    </row>
    <row r="11260" spans="1:11">
      <c r="A11260" s="30" t="s">
        <v>25630</v>
      </c>
      <c r="B11260" s="30" t="s">
        <v>25631</v>
      </c>
      <c r="C11260" s="30" t="s">
        <v>25632</v>
      </c>
      <c r="D11260" s="30" t="s">
        <v>17</v>
      </c>
      <c r="E11260" s="30" t="s">
        <v>67</v>
      </c>
      <c r="F11260" s="30" t="s">
        <v>68</v>
      </c>
      <c r="G11260" s="30" t="s">
        <v>50</v>
      </c>
      <c r="H11260" s="32">
        <v>26</v>
      </c>
      <c r="I11260" s="30" t="s">
        <v>51</v>
      </c>
      <c r="J11260" s="41">
        <v>44743</v>
      </c>
      <c r="K11260" s="30" t="s">
        <v>22</v>
      </c>
    </row>
    <row r="11261" spans="1:11">
      <c r="A11261" s="33" t="s">
        <v>25633</v>
      </c>
      <c r="B11261" s="33" t="s">
        <v>25634</v>
      </c>
      <c r="C11261" s="33" t="s">
        <v>1428</v>
      </c>
      <c r="D11261" s="33" t="s">
        <v>17</v>
      </c>
      <c r="E11261" s="33" t="s">
        <v>67</v>
      </c>
      <c r="F11261" s="33" t="s">
        <v>68</v>
      </c>
      <c r="G11261" s="33" t="s">
        <v>112</v>
      </c>
      <c r="H11261" s="35">
        <v>0</v>
      </c>
      <c r="I11261" s="33" t="s">
        <v>21</v>
      </c>
      <c r="J11261" s="42">
        <v>44576</v>
      </c>
      <c r="K11261" s="33" t="s">
        <v>22</v>
      </c>
    </row>
    <row r="11262" spans="1:11">
      <c r="A11262" s="30" t="s">
        <v>25635</v>
      </c>
      <c r="B11262" s="30" t="s">
        <v>25636</v>
      </c>
      <c r="C11262" s="30" t="s">
        <v>9605</v>
      </c>
      <c r="D11262" s="30" t="s">
        <v>17</v>
      </c>
      <c r="E11262" s="30" t="s">
        <v>67</v>
      </c>
      <c r="F11262" s="30" t="s">
        <v>68</v>
      </c>
      <c r="G11262" s="30" t="s">
        <v>158</v>
      </c>
      <c r="H11262" s="32">
        <v>392</v>
      </c>
      <c r="I11262" s="30" t="s">
        <v>51</v>
      </c>
      <c r="J11262" s="41">
        <v>44799</v>
      </c>
      <c r="K11262" s="30" t="s">
        <v>22</v>
      </c>
    </row>
    <row r="11263" spans="1:11">
      <c r="A11263" s="33" t="s">
        <v>25637</v>
      </c>
      <c r="B11263" s="33" t="s">
        <v>25638</v>
      </c>
      <c r="C11263" s="33" t="s">
        <v>102</v>
      </c>
      <c r="D11263" s="33" t="s">
        <v>17</v>
      </c>
      <c r="E11263" s="33" t="s">
        <v>26</v>
      </c>
      <c r="F11263" s="33" t="s">
        <v>27</v>
      </c>
      <c r="G11263" s="33" t="s">
        <v>20</v>
      </c>
      <c r="H11263" s="35">
        <v>11</v>
      </c>
      <c r="I11263" s="33" t="s">
        <v>21</v>
      </c>
      <c r="J11263" s="42">
        <v>44670</v>
      </c>
      <c r="K11263" s="33" t="s">
        <v>22</v>
      </c>
    </row>
    <row r="11264" spans="1:11">
      <c r="A11264" s="30" t="s">
        <v>25639</v>
      </c>
      <c r="B11264" s="30" t="s">
        <v>25640</v>
      </c>
      <c r="C11264" s="30" t="s">
        <v>25641</v>
      </c>
      <c r="D11264" s="30" t="s">
        <v>17</v>
      </c>
      <c r="E11264" s="30" t="s">
        <v>45</v>
      </c>
      <c r="F11264" s="30" t="s">
        <v>46</v>
      </c>
      <c r="G11264" s="30" t="s">
        <v>20</v>
      </c>
      <c r="H11264" s="32">
        <v>209</v>
      </c>
      <c r="I11264" s="30" t="s">
        <v>21</v>
      </c>
      <c r="J11264" s="41">
        <v>44614</v>
      </c>
      <c r="K11264" s="30" t="s">
        <v>22</v>
      </c>
    </row>
    <row r="11265" spans="1:11">
      <c r="A11265" s="33" t="s">
        <v>25642</v>
      </c>
      <c r="B11265" s="33" t="s">
        <v>25643</v>
      </c>
      <c r="C11265" s="33" t="s">
        <v>1428</v>
      </c>
      <c r="D11265" s="33" t="s">
        <v>17</v>
      </c>
      <c r="E11265" s="33" t="s">
        <v>18</v>
      </c>
      <c r="F11265" s="33" t="s">
        <v>19</v>
      </c>
      <c r="G11265" s="33" t="s">
        <v>50</v>
      </c>
      <c r="H11265" s="35">
        <v>1800</v>
      </c>
      <c r="I11265" s="33" t="s">
        <v>51</v>
      </c>
      <c r="J11265" s="42">
        <v>44711</v>
      </c>
      <c r="K11265" s="33" t="s">
        <v>22</v>
      </c>
    </row>
    <row r="11266" spans="1:11">
      <c r="A11266" s="30" t="s">
        <v>25644</v>
      </c>
      <c r="B11266" s="30" t="s">
        <v>25645</v>
      </c>
      <c r="C11266" s="30" t="s">
        <v>5372</v>
      </c>
      <c r="D11266" s="30" t="s">
        <v>17</v>
      </c>
      <c r="E11266" s="30" t="s">
        <v>31</v>
      </c>
      <c r="F11266" s="30" t="s">
        <v>32</v>
      </c>
      <c r="G11266" s="30" t="s">
        <v>106</v>
      </c>
      <c r="H11266" s="32">
        <v>2977</v>
      </c>
      <c r="I11266" s="30" t="s">
        <v>21</v>
      </c>
      <c r="J11266" s="41">
        <v>44864</v>
      </c>
      <c r="K11266" s="30" t="s">
        <v>22</v>
      </c>
    </row>
    <row r="11267" spans="1:11">
      <c r="A11267" s="33" t="s">
        <v>25646</v>
      </c>
      <c r="B11267" s="33" t="s">
        <v>25647</v>
      </c>
      <c r="C11267" s="33" t="s">
        <v>2313</v>
      </c>
      <c r="D11267" s="33" t="s">
        <v>17</v>
      </c>
      <c r="E11267" s="33" t="s">
        <v>212</v>
      </c>
      <c r="F11267" s="33" t="s">
        <v>213</v>
      </c>
      <c r="G11267" s="33" t="s">
        <v>158</v>
      </c>
      <c r="H11267" s="35">
        <v>403</v>
      </c>
      <c r="I11267" s="33" t="s">
        <v>21</v>
      </c>
      <c r="J11267" s="42">
        <v>44649</v>
      </c>
      <c r="K11267" s="33" t="s">
        <v>22</v>
      </c>
    </row>
    <row r="11268" spans="1:11">
      <c r="A11268" s="30" t="s">
        <v>25648</v>
      </c>
      <c r="B11268" s="30" t="s">
        <v>25649</v>
      </c>
      <c r="C11268" s="30" t="s">
        <v>13636</v>
      </c>
      <c r="D11268" s="30" t="s">
        <v>17</v>
      </c>
      <c r="E11268" s="30" t="s">
        <v>67</v>
      </c>
      <c r="F11268" s="30" t="s">
        <v>68</v>
      </c>
      <c r="G11268" s="30" t="s">
        <v>106</v>
      </c>
      <c r="H11268" s="32">
        <v>23</v>
      </c>
      <c r="I11268" s="30" t="s">
        <v>21</v>
      </c>
      <c r="J11268" s="41">
        <v>44622</v>
      </c>
      <c r="K11268" s="30" t="s">
        <v>22</v>
      </c>
    </row>
    <row r="11269" spans="1:11">
      <c r="A11269" s="33" t="s">
        <v>25650</v>
      </c>
      <c r="B11269" s="33" t="s">
        <v>25651</v>
      </c>
      <c r="C11269" s="33" t="s">
        <v>3957</v>
      </c>
      <c r="D11269" s="33" t="s">
        <v>17</v>
      </c>
      <c r="E11269" s="33" t="s">
        <v>26</v>
      </c>
      <c r="F11269" s="33" t="s">
        <v>27</v>
      </c>
      <c r="G11269" s="33" t="s">
        <v>20</v>
      </c>
      <c r="H11269" s="35">
        <v>15</v>
      </c>
      <c r="I11269" s="33" t="s">
        <v>21</v>
      </c>
      <c r="J11269" s="42">
        <v>44797</v>
      </c>
      <c r="K11269" s="33" t="s">
        <v>22</v>
      </c>
    </row>
    <row r="11270" spans="1:11">
      <c r="A11270" s="30" t="s">
        <v>25652</v>
      </c>
      <c r="B11270" s="30" t="s">
        <v>25653</v>
      </c>
      <c r="C11270" s="30" t="s">
        <v>25654</v>
      </c>
      <c r="D11270" s="30" t="s">
        <v>17</v>
      </c>
      <c r="E11270" s="30" t="s">
        <v>67</v>
      </c>
      <c r="F11270" s="30" t="s">
        <v>68</v>
      </c>
      <c r="G11270" s="30" t="s">
        <v>140</v>
      </c>
      <c r="H11270" s="32">
        <v>28</v>
      </c>
      <c r="I11270" s="30" t="s">
        <v>51</v>
      </c>
      <c r="J11270" s="41">
        <v>44817</v>
      </c>
      <c r="K11270" s="30" t="s">
        <v>22</v>
      </c>
    </row>
    <row r="11271" spans="1:11">
      <c r="A11271" s="33" t="s">
        <v>25655</v>
      </c>
      <c r="B11271" s="33" t="s">
        <v>25656</v>
      </c>
      <c r="C11271" s="33" t="s">
        <v>3439</v>
      </c>
      <c r="D11271" s="33" t="s">
        <v>17</v>
      </c>
      <c r="E11271" s="33" t="s">
        <v>67</v>
      </c>
      <c r="F11271" s="33" t="s">
        <v>68</v>
      </c>
      <c r="G11271" s="33" t="s">
        <v>140</v>
      </c>
      <c r="H11271" s="35">
        <v>240</v>
      </c>
      <c r="I11271" s="33" t="s">
        <v>51</v>
      </c>
      <c r="J11271" s="42">
        <v>44665</v>
      </c>
      <c r="K11271" s="33" t="s">
        <v>22</v>
      </c>
    </row>
    <row r="11272" spans="1:11">
      <c r="A11272" s="30" t="s">
        <v>25657</v>
      </c>
      <c r="B11272" s="30" t="s">
        <v>25658</v>
      </c>
      <c r="C11272" s="30" t="s">
        <v>1813</v>
      </c>
      <c r="D11272" s="30" t="s">
        <v>17</v>
      </c>
      <c r="E11272" s="30" t="s">
        <v>18</v>
      </c>
      <c r="F11272" s="30" t="s">
        <v>19</v>
      </c>
      <c r="G11272" s="30" t="s">
        <v>50</v>
      </c>
      <c r="H11272" s="32">
        <v>380</v>
      </c>
      <c r="I11272" s="30" t="s">
        <v>51</v>
      </c>
      <c r="J11272" s="41">
        <v>44734</v>
      </c>
      <c r="K11272" s="30" t="s">
        <v>22</v>
      </c>
    </row>
    <row r="11273" spans="1:11">
      <c r="A11273" s="33" t="s">
        <v>25659</v>
      </c>
      <c r="B11273" s="33" t="s">
        <v>25660</v>
      </c>
      <c r="C11273" s="33" t="s">
        <v>14737</v>
      </c>
      <c r="D11273" s="33" t="s">
        <v>17</v>
      </c>
      <c r="E11273" s="33" t="s">
        <v>67</v>
      </c>
      <c r="F11273" s="33" t="s">
        <v>68</v>
      </c>
      <c r="G11273" s="33" t="s">
        <v>20</v>
      </c>
      <c r="H11273" s="35">
        <v>40</v>
      </c>
      <c r="I11273" s="33" t="s">
        <v>21</v>
      </c>
      <c r="J11273" s="42">
        <v>44910</v>
      </c>
      <c r="K11273" s="33" t="s">
        <v>22</v>
      </c>
    </row>
    <row r="11274" spans="1:11">
      <c r="A11274" s="30" t="s">
        <v>25661</v>
      </c>
      <c r="B11274" s="30" t="s">
        <v>25662</v>
      </c>
      <c r="C11274" s="30" t="s">
        <v>650</v>
      </c>
      <c r="D11274" s="30" t="s">
        <v>17</v>
      </c>
      <c r="E11274" s="30" t="s">
        <v>26</v>
      </c>
      <c r="F11274" s="30" t="s">
        <v>27</v>
      </c>
      <c r="G11274" s="30" t="s">
        <v>106</v>
      </c>
      <c r="H11274" s="32">
        <v>5</v>
      </c>
      <c r="I11274" s="30" t="s">
        <v>21</v>
      </c>
      <c r="J11274" s="41">
        <v>44813</v>
      </c>
      <c r="K11274" s="30" t="s">
        <v>22</v>
      </c>
    </row>
    <row r="11275" spans="1:11">
      <c r="A11275" s="33" t="s">
        <v>25663</v>
      </c>
      <c r="B11275" s="33" t="s">
        <v>25664</v>
      </c>
      <c r="C11275" s="33" t="s">
        <v>93</v>
      </c>
      <c r="D11275" s="33" t="s">
        <v>17</v>
      </c>
      <c r="E11275" s="33" t="s">
        <v>18</v>
      </c>
      <c r="F11275" s="33" t="s">
        <v>19</v>
      </c>
      <c r="G11275" s="33" t="s">
        <v>20</v>
      </c>
      <c r="H11275" s="35">
        <v>123</v>
      </c>
      <c r="I11275" s="33" t="s">
        <v>21</v>
      </c>
      <c r="J11275" s="42">
        <v>44924</v>
      </c>
      <c r="K11275" s="33" t="s">
        <v>22</v>
      </c>
    </row>
    <row r="11276" spans="1:11">
      <c r="A11276" s="30" t="s">
        <v>25665</v>
      </c>
      <c r="B11276" s="30" t="s">
        <v>25666</v>
      </c>
      <c r="C11276" s="30" t="s">
        <v>25667</v>
      </c>
      <c r="D11276" s="30" t="s">
        <v>17</v>
      </c>
      <c r="E11276" s="30" t="s">
        <v>26</v>
      </c>
      <c r="F11276" s="30" t="s">
        <v>27</v>
      </c>
      <c r="G11276" s="30" t="s">
        <v>140</v>
      </c>
      <c r="H11276" s="32">
        <v>12</v>
      </c>
      <c r="I11276" s="30" t="s">
        <v>51</v>
      </c>
      <c r="J11276" s="41">
        <v>44874</v>
      </c>
      <c r="K11276" s="30" t="s">
        <v>22</v>
      </c>
    </row>
    <row r="11277" spans="1:11">
      <c r="A11277" s="33" t="s">
        <v>25668</v>
      </c>
      <c r="B11277" s="33" t="s">
        <v>25669</v>
      </c>
      <c r="C11277" s="33" t="s">
        <v>178</v>
      </c>
      <c r="D11277" s="33" t="s">
        <v>17</v>
      </c>
      <c r="E11277" s="33" t="s">
        <v>18</v>
      </c>
      <c r="F11277" s="33" t="s">
        <v>19</v>
      </c>
      <c r="G11277" s="33" t="s">
        <v>158</v>
      </c>
      <c r="H11277" s="35">
        <v>208</v>
      </c>
      <c r="I11277" s="33" t="s">
        <v>21</v>
      </c>
      <c r="J11277" s="42">
        <v>44676</v>
      </c>
      <c r="K11277" s="33" t="s">
        <v>22</v>
      </c>
    </row>
    <row r="11278" spans="1:11">
      <c r="A11278" s="30" t="s">
        <v>25670</v>
      </c>
      <c r="B11278" s="30" t="s">
        <v>25671</v>
      </c>
      <c r="C11278" s="30" t="s">
        <v>25672</v>
      </c>
      <c r="D11278" s="30" t="s">
        <v>17</v>
      </c>
      <c r="E11278" s="30" t="s">
        <v>18</v>
      </c>
      <c r="F11278" s="30" t="s">
        <v>19</v>
      </c>
      <c r="G11278" s="30" t="s">
        <v>20</v>
      </c>
      <c r="H11278" s="32">
        <v>466</v>
      </c>
      <c r="I11278" s="30" t="s">
        <v>21</v>
      </c>
      <c r="J11278" s="41">
        <v>44830</v>
      </c>
      <c r="K11278" s="30" t="s">
        <v>22</v>
      </c>
    </row>
    <row r="11279" spans="1:11">
      <c r="A11279" s="33" t="s">
        <v>25673</v>
      </c>
      <c r="B11279" s="33" t="s">
        <v>25674</v>
      </c>
      <c r="C11279" s="33" t="s">
        <v>10840</v>
      </c>
      <c r="D11279" s="33" t="s">
        <v>17</v>
      </c>
      <c r="E11279" s="33" t="s">
        <v>18</v>
      </c>
      <c r="F11279" s="33" t="s">
        <v>19</v>
      </c>
      <c r="G11279" s="33" t="s">
        <v>20</v>
      </c>
      <c r="H11279" s="35">
        <v>285</v>
      </c>
      <c r="I11279" s="33" t="s">
        <v>21</v>
      </c>
      <c r="J11279" s="42">
        <v>44795</v>
      </c>
      <c r="K11279" s="33" t="s">
        <v>22</v>
      </c>
    </row>
    <row r="11280" spans="1:11">
      <c r="A11280" s="30" t="s">
        <v>25675</v>
      </c>
      <c r="B11280" s="30" t="s">
        <v>25676</v>
      </c>
      <c r="C11280" s="30" t="s">
        <v>647</v>
      </c>
      <c r="D11280" s="30" t="s">
        <v>17</v>
      </c>
      <c r="E11280" s="30" t="s">
        <v>18</v>
      </c>
      <c r="F11280" s="30" t="s">
        <v>19</v>
      </c>
      <c r="G11280" s="30" t="s">
        <v>20</v>
      </c>
      <c r="H11280" s="32">
        <v>2663</v>
      </c>
      <c r="I11280" s="30" t="s">
        <v>21</v>
      </c>
      <c r="J11280" s="41">
        <v>44755</v>
      </c>
      <c r="K11280" s="30" t="s">
        <v>22</v>
      </c>
    </row>
    <row r="11281" spans="1:11">
      <c r="A11281" s="33" t="s">
        <v>25677</v>
      </c>
      <c r="B11281" s="33" t="s">
        <v>25678</v>
      </c>
      <c r="C11281" s="33" t="s">
        <v>25679</v>
      </c>
      <c r="D11281" s="33" t="s">
        <v>17</v>
      </c>
      <c r="E11281" s="33" t="s">
        <v>18</v>
      </c>
      <c r="F11281" s="33" t="s">
        <v>19</v>
      </c>
      <c r="G11281" s="33" t="s">
        <v>106</v>
      </c>
      <c r="H11281" s="35">
        <v>14</v>
      </c>
      <c r="I11281" s="33" t="s">
        <v>21</v>
      </c>
      <c r="J11281" s="42">
        <v>44883</v>
      </c>
      <c r="K11281" s="33" t="s">
        <v>22</v>
      </c>
    </row>
    <row r="11282" spans="1:11">
      <c r="A11282" s="30" t="s">
        <v>25680</v>
      </c>
      <c r="B11282" s="30" t="s">
        <v>25681</v>
      </c>
      <c r="C11282" s="30" t="s">
        <v>1210</v>
      </c>
      <c r="D11282" s="30" t="s">
        <v>17</v>
      </c>
      <c r="E11282" s="30" t="s">
        <v>18</v>
      </c>
      <c r="F11282" s="30" t="s">
        <v>19</v>
      </c>
      <c r="G11282" s="30" t="s">
        <v>140</v>
      </c>
      <c r="H11282" s="32">
        <v>34</v>
      </c>
      <c r="I11282" s="30" t="s">
        <v>51</v>
      </c>
      <c r="J11282" s="41">
        <v>44788</v>
      </c>
      <c r="K11282" s="30" t="s">
        <v>22</v>
      </c>
    </row>
    <row r="11283" spans="1:11">
      <c r="A11283" s="33" t="s">
        <v>25682</v>
      </c>
      <c r="B11283" s="33" t="s">
        <v>25683</v>
      </c>
      <c r="C11283" s="33" t="s">
        <v>8937</v>
      </c>
      <c r="D11283" s="33" t="s">
        <v>17</v>
      </c>
      <c r="E11283" s="33" t="s">
        <v>26</v>
      </c>
      <c r="F11283" s="33" t="s">
        <v>27</v>
      </c>
      <c r="G11283" s="33" t="s">
        <v>20</v>
      </c>
      <c r="H11283" s="35">
        <v>5</v>
      </c>
      <c r="I11283" s="33" t="s">
        <v>21</v>
      </c>
      <c r="J11283" s="42">
        <v>44742</v>
      </c>
      <c r="K11283" s="33" t="s">
        <v>22</v>
      </c>
    </row>
    <row r="11284" spans="1:11">
      <c r="A11284" s="30" t="s">
        <v>25684</v>
      </c>
      <c r="B11284" s="30" t="s">
        <v>25685</v>
      </c>
      <c r="C11284" s="30" t="s">
        <v>5144</v>
      </c>
      <c r="D11284" s="30" t="s">
        <v>17</v>
      </c>
      <c r="E11284" s="30" t="s">
        <v>31</v>
      </c>
      <c r="F11284" s="30" t="s">
        <v>32</v>
      </c>
      <c r="G11284" s="30" t="s">
        <v>50</v>
      </c>
      <c r="H11284" s="32">
        <v>20</v>
      </c>
      <c r="I11284" s="30" t="s">
        <v>21</v>
      </c>
      <c r="J11284" s="41">
        <v>44587</v>
      </c>
      <c r="K11284" s="30" t="s">
        <v>22</v>
      </c>
    </row>
    <row r="11285" spans="1:11">
      <c r="A11285" s="33" t="s">
        <v>25686</v>
      </c>
      <c r="B11285" s="33" t="s">
        <v>25687</v>
      </c>
      <c r="C11285" s="33" t="s">
        <v>1945</v>
      </c>
      <c r="D11285" s="33" t="s">
        <v>17</v>
      </c>
      <c r="E11285" s="33" t="s">
        <v>31</v>
      </c>
      <c r="F11285" s="33" t="s">
        <v>32</v>
      </c>
      <c r="G11285" s="33" t="s">
        <v>106</v>
      </c>
      <c r="H11285" s="35">
        <v>27</v>
      </c>
      <c r="I11285" s="33" t="s">
        <v>21</v>
      </c>
      <c r="J11285" s="42">
        <v>44696</v>
      </c>
      <c r="K11285" s="33" t="s">
        <v>22</v>
      </c>
    </row>
    <row r="11286" spans="1:11">
      <c r="A11286" s="30" t="s">
        <v>25688</v>
      </c>
      <c r="B11286" s="30" t="s">
        <v>25689</v>
      </c>
      <c r="C11286" s="30" t="s">
        <v>2978</v>
      </c>
      <c r="D11286" s="30" t="s">
        <v>17</v>
      </c>
      <c r="E11286" s="30" t="s">
        <v>26</v>
      </c>
      <c r="F11286" s="30" t="s">
        <v>27</v>
      </c>
      <c r="G11286" s="30" t="s">
        <v>50</v>
      </c>
      <c r="H11286" s="32">
        <v>60</v>
      </c>
      <c r="I11286" s="30" t="s">
        <v>51</v>
      </c>
      <c r="J11286" s="41">
        <v>44580</v>
      </c>
      <c r="K11286" s="30" t="s">
        <v>22</v>
      </c>
    </row>
    <row r="11287" spans="1:11">
      <c r="A11287" s="33" t="s">
        <v>25690</v>
      </c>
      <c r="B11287" s="33" t="s">
        <v>25691</v>
      </c>
      <c r="C11287" s="33" t="s">
        <v>5916</v>
      </c>
      <c r="D11287" s="33" t="s">
        <v>17</v>
      </c>
      <c r="E11287" s="33" t="s">
        <v>18</v>
      </c>
      <c r="F11287" s="33" t="s">
        <v>19</v>
      </c>
      <c r="G11287" s="33" t="s">
        <v>106</v>
      </c>
      <c r="H11287" s="35">
        <v>13</v>
      </c>
      <c r="I11287" s="33" t="s">
        <v>21</v>
      </c>
      <c r="J11287" s="42">
        <v>44909</v>
      </c>
      <c r="K11287" s="33" t="s">
        <v>22</v>
      </c>
    </row>
    <row r="11288" spans="1:11">
      <c r="A11288" s="30" t="s">
        <v>25692</v>
      </c>
      <c r="B11288" s="30" t="s">
        <v>25693</v>
      </c>
      <c r="C11288" s="30" t="s">
        <v>15258</v>
      </c>
      <c r="D11288" s="30" t="s">
        <v>17</v>
      </c>
      <c r="E11288" s="30" t="s">
        <v>18</v>
      </c>
      <c r="F11288" s="30" t="s">
        <v>19</v>
      </c>
      <c r="G11288" s="30" t="s">
        <v>140</v>
      </c>
      <c r="H11288" s="32">
        <v>685</v>
      </c>
      <c r="I11288" s="30" t="s">
        <v>51</v>
      </c>
      <c r="J11288" s="41">
        <v>44566</v>
      </c>
      <c r="K11288" s="30" t="s">
        <v>22</v>
      </c>
    </row>
    <row r="11289" spans="1:11">
      <c r="A11289" s="33" t="s">
        <v>25694</v>
      </c>
      <c r="B11289" s="33" t="s">
        <v>25695</v>
      </c>
      <c r="C11289" s="33" t="s">
        <v>12549</v>
      </c>
      <c r="D11289" s="33" t="s">
        <v>17</v>
      </c>
      <c r="E11289" s="33" t="s">
        <v>67</v>
      </c>
      <c r="F11289" s="33" t="s">
        <v>68</v>
      </c>
      <c r="G11289" s="33" t="s">
        <v>158</v>
      </c>
      <c r="H11289" s="35">
        <v>181</v>
      </c>
      <c r="I11289" s="33" t="s">
        <v>51</v>
      </c>
      <c r="J11289" s="42">
        <v>44714</v>
      </c>
      <c r="K11289" s="33" t="s">
        <v>22</v>
      </c>
    </row>
    <row r="11290" spans="1:11">
      <c r="A11290" s="30" t="s">
        <v>25696</v>
      </c>
      <c r="B11290" s="30" t="s">
        <v>25697</v>
      </c>
      <c r="C11290" s="30" t="s">
        <v>13584</v>
      </c>
      <c r="D11290" s="30" t="s">
        <v>17</v>
      </c>
      <c r="E11290" s="30" t="s">
        <v>45</v>
      </c>
      <c r="F11290" s="30" t="s">
        <v>46</v>
      </c>
      <c r="G11290" s="30" t="s">
        <v>50</v>
      </c>
      <c r="H11290" s="32">
        <v>438</v>
      </c>
      <c r="I11290" s="30" t="s">
        <v>51</v>
      </c>
      <c r="J11290" s="41">
        <v>44652</v>
      </c>
      <c r="K11290" s="30" t="s">
        <v>22</v>
      </c>
    </row>
    <row r="11291" spans="1:11">
      <c r="A11291" s="33" t="s">
        <v>25698</v>
      </c>
      <c r="B11291" s="33" t="s">
        <v>25699</v>
      </c>
      <c r="C11291" s="33" t="s">
        <v>10569</v>
      </c>
      <c r="D11291" s="33" t="s">
        <v>17</v>
      </c>
      <c r="E11291" s="33" t="s">
        <v>18</v>
      </c>
      <c r="F11291" s="33" t="s">
        <v>19</v>
      </c>
      <c r="G11291" s="33" t="s">
        <v>20</v>
      </c>
      <c r="H11291" s="35">
        <v>2646</v>
      </c>
      <c r="I11291" s="33" t="s">
        <v>21</v>
      </c>
      <c r="J11291" s="42">
        <v>44595</v>
      </c>
      <c r="K11291" s="33" t="s">
        <v>22</v>
      </c>
    </row>
    <row r="11292" spans="1:11">
      <c r="A11292" s="30" t="s">
        <v>25700</v>
      </c>
      <c r="B11292" s="30" t="s">
        <v>25701</v>
      </c>
      <c r="C11292" s="30" t="s">
        <v>25702</v>
      </c>
      <c r="D11292" s="30" t="s">
        <v>17</v>
      </c>
      <c r="E11292" s="30" t="s">
        <v>67</v>
      </c>
      <c r="F11292" s="30" t="s">
        <v>68</v>
      </c>
      <c r="G11292" s="30" t="s">
        <v>50</v>
      </c>
      <c r="H11292" s="32">
        <v>30</v>
      </c>
      <c r="I11292" s="30" t="s">
        <v>51</v>
      </c>
      <c r="J11292" s="41">
        <v>44805</v>
      </c>
      <c r="K11292" s="30" t="s">
        <v>22</v>
      </c>
    </row>
    <row r="11293" spans="1:11">
      <c r="A11293" s="33" t="s">
        <v>25703</v>
      </c>
      <c r="B11293" s="33" t="s">
        <v>25704</v>
      </c>
      <c r="C11293" s="33" t="s">
        <v>429</v>
      </c>
      <c r="D11293" s="33" t="s">
        <v>17</v>
      </c>
      <c r="E11293" s="33" t="s">
        <v>26</v>
      </c>
      <c r="F11293" s="33" t="s">
        <v>27</v>
      </c>
      <c r="G11293" s="33" t="s">
        <v>20</v>
      </c>
      <c r="H11293" s="35">
        <v>14</v>
      </c>
      <c r="I11293" s="33" t="s">
        <v>21</v>
      </c>
      <c r="J11293" s="42">
        <v>44574</v>
      </c>
      <c r="K11293" s="33" t="s">
        <v>22</v>
      </c>
    </row>
    <row r="11294" spans="1:11">
      <c r="A11294" s="30" t="s">
        <v>25705</v>
      </c>
      <c r="B11294" s="30" t="s">
        <v>25706</v>
      </c>
      <c r="C11294" s="30" t="s">
        <v>4622</v>
      </c>
      <c r="D11294" s="30" t="s">
        <v>17</v>
      </c>
      <c r="E11294" s="30" t="s">
        <v>18</v>
      </c>
      <c r="F11294" s="30" t="s">
        <v>19</v>
      </c>
      <c r="G11294" s="30" t="s">
        <v>20</v>
      </c>
      <c r="H11294" s="32">
        <v>331</v>
      </c>
      <c r="I11294" s="30" t="s">
        <v>21</v>
      </c>
      <c r="J11294" s="41">
        <v>44777</v>
      </c>
      <c r="K11294" s="30" t="s">
        <v>22</v>
      </c>
    </row>
    <row r="11295" spans="1:11">
      <c r="A11295" s="33" t="s">
        <v>25707</v>
      </c>
      <c r="B11295" s="33" t="s">
        <v>25708</v>
      </c>
      <c r="C11295" s="33" t="s">
        <v>25709</v>
      </c>
      <c r="D11295" s="33" t="s">
        <v>17</v>
      </c>
      <c r="E11295" s="33" t="s">
        <v>26</v>
      </c>
      <c r="F11295" s="33" t="s">
        <v>27</v>
      </c>
      <c r="G11295" s="33" t="s">
        <v>20</v>
      </c>
      <c r="H11295" s="35">
        <v>43</v>
      </c>
      <c r="I11295" s="33" t="s">
        <v>21</v>
      </c>
      <c r="J11295" s="42">
        <v>44669</v>
      </c>
      <c r="K11295" s="33" t="s">
        <v>22</v>
      </c>
    </row>
    <row r="11296" spans="1:11">
      <c r="A11296" s="30" t="s">
        <v>25710</v>
      </c>
      <c r="B11296" s="30" t="s">
        <v>25711</v>
      </c>
      <c r="C11296" s="30" t="s">
        <v>1509</v>
      </c>
      <c r="D11296" s="30" t="s">
        <v>17</v>
      </c>
      <c r="E11296" s="30" t="s">
        <v>18</v>
      </c>
      <c r="F11296" s="30" t="s">
        <v>19</v>
      </c>
      <c r="G11296" s="30" t="s">
        <v>112</v>
      </c>
      <c r="H11296" s="32">
        <v>0</v>
      </c>
      <c r="I11296" s="30" t="s">
        <v>21</v>
      </c>
      <c r="J11296" s="41">
        <v>44804</v>
      </c>
      <c r="K11296" s="30" t="s">
        <v>22</v>
      </c>
    </row>
    <row r="11297" spans="1:11">
      <c r="A11297" s="33" t="s">
        <v>25712</v>
      </c>
      <c r="B11297" s="33" t="s">
        <v>25713</v>
      </c>
      <c r="C11297" s="33" t="s">
        <v>25714</v>
      </c>
      <c r="D11297" s="33" t="s">
        <v>17</v>
      </c>
      <c r="E11297" s="33" t="s">
        <v>67</v>
      </c>
      <c r="F11297" s="33" t="s">
        <v>68</v>
      </c>
      <c r="G11297" s="33" t="s">
        <v>20</v>
      </c>
      <c r="H11297" s="35">
        <v>35</v>
      </c>
      <c r="I11297" s="33" t="s">
        <v>21</v>
      </c>
      <c r="J11297" s="42">
        <v>44575</v>
      </c>
      <c r="K11297" s="33" t="s">
        <v>22</v>
      </c>
    </row>
    <row r="11298" spans="1:11">
      <c r="A11298" s="30" t="s">
        <v>25715</v>
      </c>
      <c r="B11298" s="30" t="s">
        <v>25716</v>
      </c>
      <c r="C11298" s="30" t="s">
        <v>5434</v>
      </c>
      <c r="D11298" s="30" t="s">
        <v>17</v>
      </c>
      <c r="E11298" s="30" t="s">
        <v>31</v>
      </c>
      <c r="F11298" s="30" t="s">
        <v>32</v>
      </c>
      <c r="G11298" s="30" t="s">
        <v>106</v>
      </c>
      <c r="H11298" s="32">
        <v>2</v>
      </c>
      <c r="I11298" s="30" t="s">
        <v>21</v>
      </c>
      <c r="J11298" s="41">
        <v>44754</v>
      </c>
      <c r="K11298" s="30" t="s">
        <v>22</v>
      </c>
    </row>
    <row r="11299" spans="1:11">
      <c r="A11299" s="33" t="s">
        <v>25717</v>
      </c>
      <c r="B11299" s="33" t="s">
        <v>25718</v>
      </c>
      <c r="C11299" s="33" t="s">
        <v>15609</v>
      </c>
      <c r="D11299" s="33" t="s">
        <v>17</v>
      </c>
      <c r="E11299" s="33" t="s">
        <v>26</v>
      </c>
      <c r="F11299" s="33" t="s">
        <v>27</v>
      </c>
      <c r="G11299" s="33" t="s">
        <v>20</v>
      </c>
      <c r="H11299" s="35">
        <v>17</v>
      </c>
      <c r="I11299" s="33" t="s">
        <v>21</v>
      </c>
      <c r="J11299" s="42">
        <v>44684</v>
      </c>
      <c r="K11299" s="33" t="s">
        <v>22</v>
      </c>
    </row>
    <row r="11300" spans="1:11">
      <c r="A11300" s="30" t="s">
        <v>25719</v>
      </c>
      <c r="B11300" s="30" t="s">
        <v>25720</v>
      </c>
      <c r="C11300" s="30" t="s">
        <v>8611</v>
      </c>
      <c r="D11300" s="30" t="s">
        <v>17</v>
      </c>
      <c r="E11300" s="30" t="s">
        <v>31</v>
      </c>
      <c r="F11300" s="30" t="s">
        <v>32</v>
      </c>
      <c r="G11300" s="30" t="s">
        <v>20</v>
      </c>
      <c r="H11300" s="32">
        <v>121</v>
      </c>
      <c r="I11300" s="30" t="s">
        <v>21</v>
      </c>
      <c r="J11300" s="41">
        <v>44825</v>
      </c>
      <c r="K11300" s="30" t="s">
        <v>22</v>
      </c>
    </row>
    <row r="11301" spans="1:11">
      <c r="A11301" s="33" t="s">
        <v>25721</v>
      </c>
      <c r="B11301" s="33" t="s">
        <v>25722</v>
      </c>
      <c r="C11301" s="33" t="s">
        <v>8059</v>
      </c>
      <c r="D11301" s="33" t="s">
        <v>17</v>
      </c>
      <c r="E11301" s="33" t="s">
        <v>18</v>
      </c>
      <c r="F11301" s="33" t="s">
        <v>19</v>
      </c>
      <c r="G11301" s="33" t="s">
        <v>20</v>
      </c>
      <c r="H11301" s="35">
        <v>232</v>
      </c>
      <c r="I11301" s="33" t="s">
        <v>21</v>
      </c>
      <c r="J11301" s="42">
        <v>44770</v>
      </c>
      <c r="K11301" s="33" t="s">
        <v>22</v>
      </c>
    </row>
    <row r="11302" spans="1:11">
      <c r="A11302" s="30" t="s">
        <v>25723</v>
      </c>
      <c r="B11302" s="30" t="s">
        <v>25724</v>
      </c>
      <c r="C11302" s="30" t="s">
        <v>969</v>
      </c>
      <c r="D11302" s="30" t="s">
        <v>17</v>
      </c>
      <c r="E11302" s="30" t="s">
        <v>18</v>
      </c>
      <c r="F11302" s="30" t="s">
        <v>19</v>
      </c>
      <c r="G11302" s="30" t="s">
        <v>20</v>
      </c>
      <c r="H11302" s="32">
        <v>16</v>
      </c>
      <c r="I11302" s="30" t="s">
        <v>21</v>
      </c>
      <c r="J11302" s="41">
        <v>44756</v>
      </c>
      <c r="K11302" s="30" t="s">
        <v>22</v>
      </c>
    </row>
    <row r="11303" spans="1:11">
      <c r="A11303" s="33" t="s">
        <v>25725</v>
      </c>
      <c r="B11303" s="33" t="s">
        <v>25726</v>
      </c>
      <c r="C11303" s="33" t="s">
        <v>429</v>
      </c>
      <c r="D11303" s="33" t="s">
        <v>17</v>
      </c>
      <c r="E11303" s="33" t="s">
        <v>26</v>
      </c>
      <c r="F11303" s="33" t="s">
        <v>27</v>
      </c>
      <c r="G11303" s="33" t="s">
        <v>20</v>
      </c>
      <c r="H11303" s="35">
        <v>6</v>
      </c>
      <c r="I11303" s="33" t="s">
        <v>21</v>
      </c>
      <c r="J11303" s="42">
        <v>44607</v>
      </c>
      <c r="K11303" s="33" t="s">
        <v>22</v>
      </c>
    </row>
    <row r="11304" spans="1:11">
      <c r="A11304" s="30" t="s">
        <v>25727</v>
      </c>
      <c r="B11304" s="30" t="s">
        <v>25728</v>
      </c>
      <c r="C11304" s="30" t="s">
        <v>1770</v>
      </c>
      <c r="D11304" s="30" t="s">
        <v>17</v>
      </c>
      <c r="E11304" s="30" t="s">
        <v>26</v>
      </c>
      <c r="F11304" s="30" t="s">
        <v>27</v>
      </c>
      <c r="G11304" s="30" t="s">
        <v>20</v>
      </c>
      <c r="H11304" s="32">
        <v>10</v>
      </c>
      <c r="I11304" s="30" t="s">
        <v>21</v>
      </c>
      <c r="J11304" s="41">
        <v>44785</v>
      </c>
      <c r="K11304" s="30" t="s">
        <v>22</v>
      </c>
    </row>
    <row r="11305" spans="1:11">
      <c r="A11305" s="33" t="s">
        <v>25729</v>
      </c>
      <c r="B11305" s="33" t="s">
        <v>25730</v>
      </c>
      <c r="C11305" s="33" t="s">
        <v>178</v>
      </c>
      <c r="D11305" s="33" t="s">
        <v>17</v>
      </c>
      <c r="E11305" s="33" t="s">
        <v>18</v>
      </c>
      <c r="F11305" s="33" t="s">
        <v>19</v>
      </c>
      <c r="G11305" s="33" t="s">
        <v>106</v>
      </c>
      <c r="H11305" s="35">
        <v>25</v>
      </c>
      <c r="I11305" s="33" t="s">
        <v>21</v>
      </c>
      <c r="J11305" s="42">
        <v>44670</v>
      </c>
      <c r="K11305" s="33" t="s">
        <v>22</v>
      </c>
    </row>
    <row r="11306" spans="1:11">
      <c r="A11306" s="30" t="s">
        <v>25731</v>
      </c>
      <c r="B11306" s="30" t="s">
        <v>25732</v>
      </c>
      <c r="C11306" s="30" t="s">
        <v>1543</v>
      </c>
      <c r="D11306" s="30" t="s">
        <v>17</v>
      </c>
      <c r="E11306" s="30" t="s">
        <v>31</v>
      </c>
      <c r="F11306" s="30" t="s">
        <v>32</v>
      </c>
      <c r="G11306" s="30" t="s">
        <v>158</v>
      </c>
      <c r="H11306" s="32">
        <v>91</v>
      </c>
      <c r="I11306" s="30" t="s">
        <v>21</v>
      </c>
      <c r="J11306" s="41">
        <v>44833</v>
      </c>
      <c r="K11306" s="30" t="s">
        <v>22</v>
      </c>
    </row>
    <row r="11307" spans="1:11">
      <c r="A11307" s="33" t="s">
        <v>25733</v>
      </c>
      <c r="B11307" s="33" t="s">
        <v>25734</v>
      </c>
      <c r="C11307" s="33" t="s">
        <v>3647</v>
      </c>
      <c r="D11307" s="33" t="s">
        <v>17</v>
      </c>
      <c r="E11307" s="33" t="s">
        <v>18</v>
      </c>
      <c r="F11307" s="33" t="s">
        <v>19</v>
      </c>
      <c r="G11307" s="33" t="s">
        <v>20</v>
      </c>
      <c r="H11307" s="35">
        <v>78</v>
      </c>
      <c r="I11307" s="33" t="s">
        <v>21</v>
      </c>
      <c r="J11307" s="42">
        <v>44616</v>
      </c>
      <c r="K11307" s="33" t="s">
        <v>22</v>
      </c>
    </row>
    <row r="11308" spans="1:11">
      <c r="A11308" s="30" t="s">
        <v>25735</v>
      </c>
      <c r="B11308" s="30" t="s">
        <v>25736</v>
      </c>
      <c r="C11308" s="30" t="s">
        <v>96</v>
      </c>
      <c r="D11308" s="30" t="s">
        <v>17</v>
      </c>
      <c r="E11308" s="30" t="s">
        <v>26</v>
      </c>
      <c r="F11308" s="30" t="s">
        <v>27</v>
      </c>
      <c r="G11308" s="30" t="s">
        <v>20</v>
      </c>
      <c r="H11308" s="32">
        <v>12</v>
      </c>
      <c r="I11308" s="30" t="s">
        <v>21</v>
      </c>
      <c r="J11308" s="41">
        <v>44729</v>
      </c>
      <c r="K11308" s="30" t="s">
        <v>22</v>
      </c>
    </row>
    <row r="11309" spans="1:11">
      <c r="A11309" s="33" t="s">
        <v>25737</v>
      </c>
      <c r="B11309" s="33" t="s">
        <v>25738</v>
      </c>
      <c r="C11309" s="33" t="s">
        <v>14483</v>
      </c>
      <c r="D11309" s="33" t="s">
        <v>17</v>
      </c>
      <c r="E11309" s="33" t="s">
        <v>212</v>
      </c>
      <c r="F11309" s="33" t="s">
        <v>213</v>
      </c>
      <c r="G11309" s="33" t="s">
        <v>50</v>
      </c>
      <c r="H11309" s="35">
        <v>38</v>
      </c>
      <c r="I11309" s="33" t="s">
        <v>51</v>
      </c>
      <c r="J11309" s="42">
        <v>44827</v>
      </c>
      <c r="K11309" s="33" t="s">
        <v>22</v>
      </c>
    </row>
    <row r="11310" spans="1:11">
      <c r="A11310" s="30" t="s">
        <v>25739</v>
      </c>
      <c r="B11310" s="30" t="s">
        <v>25740</v>
      </c>
      <c r="C11310" s="30" t="s">
        <v>925</v>
      </c>
      <c r="D11310" s="30" t="s">
        <v>17</v>
      </c>
      <c r="E11310" s="30" t="s">
        <v>31</v>
      </c>
      <c r="F11310" s="30" t="s">
        <v>32</v>
      </c>
      <c r="G11310" s="30" t="s">
        <v>106</v>
      </c>
      <c r="H11310" s="32">
        <v>77</v>
      </c>
      <c r="I11310" s="30" t="s">
        <v>21</v>
      </c>
      <c r="J11310" s="41">
        <v>44750</v>
      </c>
      <c r="K11310" s="30" t="s">
        <v>22</v>
      </c>
    </row>
    <row r="11311" spans="1:11">
      <c r="A11311" s="33" t="s">
        <v>25741</v>
      </c>
      <c r="B11311" s="33" t="s">
        <v>25742</v>
      </c>
      <c r="C11311" s="33" t="s">
        <v>2663</v>
      </c>
      <c r="D11311" s="33" t="s">
        <v>17</v>
      </c>
      <c r="E11311" s="33" t="s">
        <v>26</v>
      </c>
      <c r="F11311" s="33" t="s">
        <v>27</v>
      </c>
      <c r="G11311" s="33" t="s">
        <v>20</v>
      </c>
      <c r="H11311" s="35">
        <v>16</v>
      </c>
      <c r="I11311" s="33" t="s">
        <v>21</v>
      </c>
      <c r="J11311" s="42">
        <v>44835</v>
      </c>
      <c r="K11311" s="33" t="s">
        <v>22</v>
      </c>
    </row>
    <row r="11312" spans="1:11">
      <c r="A11312" s="30" t="s">
        <v>25743</v>
      </c>
      <c r="B11312" s="30" t="s">
        <v>25744</v>
      </c>
      <c r="C11312" s="30" t="s">
        <v>102</v>
      </c>
      <c r="D11312" s="30" t="s">
        <v>17</v>
      </c>
      <c r="E11312" s="30" t="s">
        <v>26</v>
      </c>
      <c r="F11312" s="30" t="s">
        <v>27</v>
      </c>
      <c r="G11312" s="30" t="s">
        <v>158</v>
      </c>
      <c r="H11312" s="32">
        <v>167</v>
      </c>
      <c r="I11312" s="30" t="s">
        <v>21</v>
      </c>
      <c r="J11312" s="41">
        <v>44791</v>
      </c>
      <c r="K11312" s="30" t="s">
        <v>22</v>
      </c>
    </row>
    <row r="11313" spans="1:11">
      <c r="A11313" s="33" t="s">
        <v>25745</v>
      </c>
      <c r="B11313" s="33" t="s">
        <v>25746</v>
      </c>
      <c r="C11313" s="33" t="s">
        <v>969</v>
      </c>
      <c r="D11313" s="33" t="s">
        <v>17</v>
      </c>
      <c r="E11313" s="33" t="s">
        <v>26</v>
      </c>
      <c r="F11313" s="33" t="s">
        <v>27</v>
      </c>
      <c r="G11313" s="33" t="s">
        <v>158</v>
      </c>
      <c r="H11313" s="35">
        <v>152</v>
      </c>
      <c r="I11313" s="33" t="s">
        <v>21</v>
      </c>
      <c r="J11313" s="42">
        <v>44642</v>
      </c>
      <c r="K11313" s="33" t="s">
        <v>22</v>
      </c>
    </row>
    <row r="11314" spans="1:11">
      <c r="A11314" s="30" t="s">
        <v>25747</v>
      </c>
      <c r="B11314" s="30" t="s">
        <v>25748</v>
      </c>
      <c r="C11314" s="30" t="s">
        <v>1305</v>
      </c>
      <c r="D11314" s="30" t="s">
        <v>17</v>
      </c>
      <c r="E11314" s="30" t="s">
        <v>18</v>
      </c>
      <c r="F11314" s="30" t="s">
        <v>19</v>
      </c>
      <c r="G11314" s="30" t="s">
        <v>20</v>
      </c>
      <c r="H11314" s="32">
        <v>147</v>
      </c>
      <c r="I11314" s="30" t="s">
        <v>21</v>
      </c>
      <c r="J11314" s="41">
        <v>44803</v>
      </c>
      <c r="K11314" s="30" t="s">
        <v>22</v>
      </c>
    </row>
    <row r="11315" spans="1:11">
      <c r="A11315" s="33" t="s">
        <v>25749</v>
      </c>
      <c r="B11315" s="33" t="s">
        <v>25750</v>
      </c>
      <c r="C11315" s="33" t="s">
        <v>130</v>
      </c>
      <c r="D11315" s="33" t="s">
        <v>17</v>
      </c>
      <c r="E11315" s="33" t="s">
        <v>26</v>
      </c>
      <c r="F11315" s="33" t="s">
        <v>27</v>
      </c>
      <c r="G11315" s="33" t="s">
        <v>140</v>
      </c>
      <c r="H11315" s="35">
        <v>604</v>
      </c>
      <c r="I11315" s="33" t="s">
        <v>51</v>
      </c>
      <c r="J11315" s="42">
        <v>44747</v>
      </c>
      <c r="K11315" s="33" t="s">
        <v>22</v>
      </c>
    </row>
    <row r="11316" spans="1:11">
      <c r="A11316" s="30" t="s">
        <v>25751</v>
      </c>
      <c r="B11316" s="30" t="s">
        <v>25752</v>
      </c>
      <c r="C11316" s="30" t="s">
        <v>102</v>
      </c>
      <c r="D11316" s="30" t="s">
        <v>17</v>
      </c>
      <c r="E11316" s="30" t="s">
        <v>18</v>
      </c>
      <c r="F11316" s="30" t="s">
        <v>19</v>
      </c>
      <c r="G11316" s="30" t="s">
        <v>158</v>
      </c>
      <c r="H11316" s="32">
        <v>350</v>
      </c>
      <c r="I11316" s="30" t="s">
        <v>21</v>
      </c>
      <c r="J11316" s="41">
        <v>44580</v>
      </c>
      <c r="K11316" s="30" t="s">
        <v>22</v>
      </c>
    </row>
    <row r="11317" spans="1:11">
      <c r="A11317" s="33" t="s">
        <v>25753</v>
      </c>
      <c r="B11317" s="33" t="s">
        <v>25754</v>
      </c>
      <c r="C11317" s="33" t="s">
        <v>10038</v>
      </c>
      <c r="D11317" s="33" t="s">
        <v>17</v>
      </c>
      <c r="E11317" s="33" t="s">
        <v>26</v>
      </c>
      <c r="F11317" s="33" t="s">
        <v>27</v>
      </c>
      <c r="G11317" s="33" t="s">
        <v>20</v>
      </c>
      <c r="H11317" s="35">
        <v>62</v>
      </c>
      <c r="I11317" s="33" t="s">
        <v>21</v>
      </c>
      <c r="J11317" s="42">
        <v>44606</v>
      </c>
      <c r="K11317" s="33" t="s">
        <v>22</v>
      </c>
    </row>
    <row r="11318" spans="1:11">
      <c r="A11318" s="30" t="s">
        <v>25755</v>
      </c>
      <c r="B11318" s="30" t="s">
        <v>25756</v>
      </c>
      <c r="C11318" s="30" t="s">
        <v>450</v>
      </c>
      <c r="D11318" s="30" t="s">
        <v>17</v>
      </c>
      <c r="E11318" s="30" t="s">
        <v>31</v>
      </c>
      <c r="F11318" s="30" t="s">
        <v>32</v>
      </c>
      <c r="G11318" s="30" t="s">
        <v>112</v>
      </c>
      <c r="H11318" s="32">
        <v>0</v>
      </c>
      <c r="I11318" s="30" t="s">
        <v>21</v>
      </c>
      <c r="J11318" s="41">
        <v>44562</v>
      </c>
      <c r="K11318" s="30" t="s">
        <v>22</v>
      </c>
    </row>
    <row r="11319" spans="1:11">
      <c r="A11319" s="33" t="s">
        <v>25757</v>
      </c>
      <c r="B11319" s="33" t="s">
        <v>25758</v>
      </c>
      <c r="C11319" s="33" t="s">
        <v>25759</v>
      </c>
      <c r="D11319" s="33" t="s">
        <v>17</v>
      </c>
      <c r="E11319" s="33" t="s">
        <v>18</v>
      </c>
      <c r="F11319" s="33" t="s">
        <v>19</v>
      </c>
      <c r="G11319" s="33" t="s">
        <v>20</v>
      </c>
      <c r="H11319" s="35">
        <v>1485</v>
      </c>
      <c r="I11319" s="33" t="s">
        <v>21</v>
      </c>
      <c r="J11319" s="42">
        <v>44666</v>
      </c>
      <c r="K11319" s="33" t="s">
        <v>22</v>
      </c>
    </row>
    <row r="11320" spans="1:11">
      <c r="A11320" s="30" t="s">
        <v>25760</v>
      </c>
      <c r="B11320" s="30" t="s">
        <v>25761</v>
      </c>
      <c r="C11320" s="30" t="s">
        <v>231</v>
      </c>
      <c r="D11320" s="30" t="s">
        <v>17</v>
      </c>
      <c r="E11320" s="30" t="s">
        <v>45</v>
      </c>
      <c r="F11320" s="30" t="s">
        <v>46</v>
      </c>
      <c r="G11320" s="30" t="s">
        <v>20</v>
      </c>
      <c r="H11320" s="32">
        <v>400</v>
      </c>
      <c r="I11320" s="30" t="s">
        <v>21</v>
      </c>
      <c r="J11320" s="41">
        <v>44651</v>
      </c>
      <c r="K11320" s="30" t="s">
        <v>22</v>
      </c>
    </row>
    <row r="11321" spans="1:11">
      <c r="A11321" s="33" t="s">
        <v>25762</v>
      </c>
      <c r="B11321" s="33" t="s">
        <v>25763</v>
      </c>
      <c r="C11321" s="33" t="s">
        <v>3451</v>
      </c>
      <c r="D11321" s="33" t="s">
        <v>17</v>
      </c>
      <c r="E11321" s="33" t="s">
        <v>26</v>
      </c>
      <c r="F11321" s="33" t="s">
        <v>27</v>
      </c>
      <c r="G11321" s="33" t="s">
        <v>20</v>
      </c>
      <c r="H11321" s="35">
        <v>52</v>
      </c>
      <c r="I11321" s="33" t="s">
        <v>21</v>
      </c>
      <c r="J11321" s="42">
        <v>44742</v>
      </c>
      <c r="K11321" s="33" t="s">
        <v>22</v>
      </c>
    </row>
    <row r="11322" spans="1:11">
      <c r="A11322" s="30" t="s">
        <v>25764</v>
      </c>
      <c r="B11322" s="30" t="s">
        <v>25765</v>
      </c>
      <c r="C11322" s="30" t="s">
        <v>11899</v>
      </c>
      <c r="D11322" s="30" t="s">
        <v>17</v>
      </c>
      <c r="E11322" s="30" t="s">
        <v>67</v>
      </c>
      <c r="F11322" s="30" t="s">
        <v>68</v>
      </c>
      <c r="G11322" s="30" t="s">
        <v>158</v>
      </c>
      <c r="H11322" s="32">
        <v>220</v>
      </c>
      <c r="I11322" s="30" t="s">
        <v>21</v>
      </c>
      <c r="J11322" s="41">
        <v>44925</v>
      </c>
      <c r="K11322" s="30" t="s">
        <v>22</v>
      </c>
    </row>
    <row r="11323" spans="1:11">
      <c r="A11323" s="33" t="s">
        <v>25766</v>
      </c>
      <c r="B11323" s="33" t="s">
        <v>25767</v>
      </c>
      <c r="C11323" s="33" t="s">
        <v>5870</v>
      </c>
      <c r="D11323" s="33" t="s">
        <v>17</v>
      </c>
      <c r="E11323" s="33" t="s">
        <v>18</v>
      </c>
      <c r="F11323" s="33" t="s">
        <v>19</v>
      </c>
      <c r="G11323" s="33" t="s">
        <v>50</v>
      </c>
      <c r="H11323" s="35">
        <v>2216</v>
      </c>
      <c r="I11323" s="33" t="s">
        <v>51</v>
      </c>
      <c r="J11323" s="42">
        <v>44820</v>
      </c>
      <c r="K11323" s="33" t="s">
        <v>22</v>
      </c>
    </row>
    <row r="11324" spans="1:11">
      <c r="A11324" s="30" t="s">
        <v>25768</v>
      </c>
      <c r="B11324" s="30" t="s">
        <v>25769</v>
      </c>
      <c r="C11324" s="30" t="s">
        <v>25770</v>
      </c>
      <c r="D11324" s="30" t="s">
        <v>17</v>
      </c>
      <c r="E11324" s="30" t="s">
        <v>18</v>
      </c>
      <c r="F11324" s="30" t="s">
        <v>19</v>
      </c>
      <c r="G11324" s="30" t="s">
        <v>20</v>
      </c>
      <c r="H11324" s="32">
        <v>64</v>
      </c>
      <c r="I11324" s="30" t="s">
        <v>21</v>
      </c>
      <c r="J11324" s="41">
        <v>44713</v>
      </c>
      <c r="K11324" s="30" t="s">
        <v>22</v>
      </c>
    </row>
    <row r="11325" spans="1:11">
      <c r="A11325" s="33" t="s">
        <v>25771</v>
      </c>
      <c r="B11325" s="33" t="s">
        <v>25772</v>
      </c>
      <c r="C11325" s="33" t="s">
        <v>25773</v>
      </c>
      <c r="D11325" s="33" t="s">
        <v>17</v>
      </c>
      <c r="E11325" s="33" t="s">
        <v>330</v>
      </c>
      <c r="F11325" s="33" t="s">
        <v>331</v>
      </c>
      <c r="G11325" s="33" t="s">
        <v>20</v>
      </c>
      <c r="H11325" s="35">
        <v>28</v>
      </c>
      <c r="I11325" s="33" t="s">
        <v>21</v>
      </c>
      <c r="J11325" s="42">
        <v>44643</v>
      </c>
      <c r="K11325" s="33" t="s">
        <v>22</v>
      </c>
    </row>
    <row r="11326" spans="1:11">
      <c r="A11326" s="30" t="s">
        <v>25774</v>
      </c>
      <c r="B11326" s="30" t="s">
        <v>25775</v>
      </c>
      <c r="C11326" s="30" t="s">
        <v>190</v>
      </c>
      <c r="D11326" s="30" t="s">
        <v>17</v>
      </c>
      <c r="E11326" s="30" t="s">
        <v>26</v>
      </c>
      <c r="F11326" s="30" t="s">
        <v>27</v>
      </c>
      <c r="G11326" s="30" t="s">
        <v>20</v>
      </c>
      <c r="H11326" s="32">
        <v>21</v>
      </c>
      <c r="I11326" s="30" t="s">
        <v>21</v>
      </c>
      <c r="J11326" s="41">
        <v>44869</v>
      </c>
      <c r="K11326" s="30" t="s">
        <v>22</v>
      </c>
    </row>
    <row r="11327" spans="1:11">
      <c r="A11327" s="33" t="s">
        <v>25776</v>
      </c>
      <c r="B11327" s="33" t="s">
        <v>25777</v>
      </c>
      <c r="C11327" s="33" t="s">
        <v>5214</v>
      </c>
      <c r="D11327" s="33" t="s">
        <v>17</v>
      </c>
      <c r="E11327" s="33" t="s">
        <v>31</v>
      </c>
      <c r="F11327" s="33" t="s">
        <v>32</v>
      </c>
      <c r="G11327" s="33" t="s">
        <v>20</v>
      </c>
      <c r="H11327" s="35">
        <v>32</v>
      </c>
      <c r="I11327" s="33" t="s">
        <v>21</v>
      </c>
      <c r="J11327" s="42">
        <v>44658</v>
      </c>
      <c r="K11327" s="33" t="s">
        <v>22</v>
      </c>
    </row>
    <row r="11328" spans="1:11">
      <c r="A11328" s="30" t="s">
        <v>25778</v>
      </c>
      <c r="B11328" s="30" t="s">
        <v>25779</v>
      </c>
      <c r="C11328" s="30" t="s">
        <v>255</v>
      </c>
      <c r="D11328" s="30" t="s">
        <v>17</v>
      </c>
      <c r="E11328" s="30" t="s">
        <v>18</v>
      </c>
      <c r="F11328" s="30" t="s">
        <v>19</v>
      </c>
      <c r="G11328" s="30" t="s">
        <v>20</v>
      </c>
      <c r="H11328" s="32">
        <v>171</v>
      </c>
      <c r="I11328" s="30" t="s">
        <v>21</v>
      </c>
      <c r="J11328" s="41">
        <v>44866</v>
      </c>
      <c r="K11328" s="30" t="s">
        <v>22</v>
      </c>
    </row>
    <row r="11329" spans="1:11">
      <c r="A11329" s="33" t="s">
        <v>25780</v>
      </c>
      <c r="B11329" s="33" t="s">
        <v>25781</v>
      </c>
      <c r="C11329" s="33" t="s">
        <v>231</v>
      </c>
      <c r="D11329" s="33" t="s">
        <v>17</v>
      </c>
      <c r="E11329" s="33" t="s">
        <v>31</v>
      </c>
      <c r="F11329" s="33" t="s">
        <v>32</v>
      </c>
      <c r="G11329" s="33" t="s">
        <v>20</v>
      </c>
      <c r="H11329" s="35">
        <v>214</v>
      </c>
      <c r="I11329" s="33" t="s">
        <v>21</v>
      </c>
      <c r="J11329" s="42">
        <v>44908</v>
      </c>
      <c r="K11329" s="33" t="s">
        <v>22</v>
      </c>
    </row>
    <row r="11330" spans="1:11">
      <c r="A11330" s="30" t="s">
        <v>25782</v>
      </c>
      <c r="B11330" s="30" t="s">
        <v>25783</v>
      </c>
      <c r="C11330" s="30" t="s">
        <v>25784</v>
      </c>
      <c r="D11330" s="30" t="s">
        <v>17</v>
      </c>
      <c r="E11330" s="30" t="s">
        <v>26</v>
      </c>
      <c r="F11330" s="30" t="s">
        <v>27</v>
      </c>
      <c r="G11330" s="30" t="s">
        <v>112</v>
      </c>
      <c r="H11330" s="32">
        <v>0</v>
      </c>
      <c r="I11330" s="30" t="s">
        <v>21</v>
      </c>
      <c r="J11330" s="41">
        <v>44743</v>
      </c>
      <c r="K11330" s="30" t="s">
        <v>22</v>
      </c>
    </row>
    <row r="11331" spans="1:11">
      <c r="A11331" s="33" t="s">
        <v>25785</v>
      </c>
      <c r="B11331" s="33" t="s">
        <v>25786</v>
      </c>
      <c r="C11331" s="33" t="s">
        <v>12388</v>
      </c>
      <c r="D11331" s="33" t="s">
        <v>17</v>
      </c>
      <c r="E11331" s="33" t="s">
        <v>31</v>
      </c>
      <c r="F11331" s="33" t="s">
        <v>32</v>
      </c>
      <c r="G11331" s="33" t="s">
        <v>106</v>
      </c>
      <c r="H11331" s="35">
        <v>27</v>
      </c>
      <c r="I11331" s="33" t="s">
        <v>21</v>
      </c>
      <c r="J11331" s="42">
        <v>44922</v>
      </c>
      <c r="K11331" s="33" t="s">
        <v>22</v>
      </c>
    </row>
    <row r="11332" spans="1:11">
      <c r="A11332" s="30" t="s">
        <v>25787</v>
      </c>
      <c r="B11332" s="30" t="s">
        <v>25788</v>
      </c>
      <c r="C11332" s="30" t="s">
        <v>25789</v>
      </c>
      <c r="D11332" s="30" t="s">
        <v>17</v>
      </c>
      <c r="E11332" s="30" t="s">
        <v>26</v>
      </c>
      <c r="F11332" s="30" t="s">
        <v>27</v>
      </c>
      <c r="G11332" s="30" t="s">
        <v>20</v>
      </c>
      <c r="H11332" s="32">
        <v>31</v>
      </c>
      <c r="I11332" s="30" t="s">
        <v>21</v>
      </c>
      <c r="J11332" s="41">
        <v>44672</v>
      </c>
      <c r="K11332" s="30" t="s">
        <v>22</v>
      </c>
    </row>
    <row r="11333" spans="1:11">
      <c r="A11333" s="33" t="s">
        <v>25790</v>
      </c>
      <c r="B11333" s="33" t="s">
        <v>25791</v>
      </c>
      <c r="C11333" s="33" t="s">
        <v>25792</v>
      </c>
      <c r="D11333" s="33" t="s">
        <v>17</v>
      </c>
      <c r="E11333" s="33" t="s">
        <v>26</v>
      </c>
      <c r="F11333" s="33" t="s">
        <v>27</v>
      </c>
      <c r="G11333" s="33" t="s">
        <v>106</v>
      </c>
      <c r="H11333" s="35">
        <v>46</v>
      </c>
      <c r="I11333" s="33" t="s">
        <v>21</v>
      </c>
      <c r="J11333" s="42">
        <v>44880</v>
      </c>
      <c r="K11333" s="33" t="s">
        <v>22</v>
      </c>
    </row>
    <row r="11334" spans="1:11">
      <c r="A11334" s="30" t="s">
        <v>25793</v>
      </c>
      <c r="B11334" s="30" t="s">
        <v>25794</v>
      </c>
      <c r="C11334" s="30" t="s">
        <v>25795</v>
      </c>
      <c r="D11334" s="30" t="s">
        <v>17</v>
      </c>
      <c r="E11334" s="30" t="s">
        <v>26</v>
      </c>
      <c r="F11334" s="30" t="s">
        <v>27</v>
      </c>
      <c r="G11334" s="30" t="s">
        <v>20</v>
      </c>
      <c r="H11334" s="32">
        <v>32</v>
      </c>
      <c r="I11334" s="30" t="s">
        <v>21</v>
      </c>
      <c r="J11334" s="41">
        <v>44788</v>
      </c>
      <c r="K11334" s="30" t="s">
        <v>22</v>
      </c>
    </row>
    <row r="11335" spans="1:11">
      <c r="A11335" s="33" t="s">
        <v>25796</v>
      </c>
      <c r="B11335" s="33" t="s">
        <v>25797</v>
      </c>
      <c r="C11335" s="33" t="s">
        <v>14816</v>
      </c>
      <c r="D11335" s="33" t="s">
        <v>17</v>
      </c>
      <c r="E11335" s="33" t="s">
        <v>26</v>
      </c>
      <c r="F11335" s="33" t="s">
        <v>27</v>
      </c>
      <c r="G11335" s="33" t="s">
        <v>20</v>
      </c>
      <c r="H11335" s="35">
        <v>78</v>
      </c>
      <c r="I11335" s="33" t="s">
        <v>21</v>
      </c>
      <c r="J11335" s="42">
        <v>44747</v>
      </c>
      <c r="K11335" s="33" t="s">
        <v>22</v>
      </c>
    </row>
    <row r="11336" spans="1:11">
      <c r="A11336" s="30" t="s">
        <v>25798</v>
      </c>
      <c r="B11336" s="30" t="s">
        <v>25799</v>
      </c>
      <c r="C11336" s="30" t="s">
        <v>6134</v>
      </c>
      <c r="D11336" s="30" t="s">
        <v>17</v>
      </c>
      <c r="E11336" s="30" t="s">
        <v>26</v>
      </c>
      <c r="F11336" s="30" t="s">
        <v>27</v>
      </c>
      <c r="G11336" s="30" t="s">
        <v>20</v>
      </c>
      <c r="H11336" s="32">
        <v>78</v>
      </c>
      <c r="I11336" s="30" t="s">
        <v>21</v>
      </c>
      <c r="J11336" s="41">
        <v>44711</v>
      </c>
      <c r="K11336" s="30" t="s">
        <v>22</v>
      </c>
    </row>
    <row r="11337" spans="1:11">
      <c r="A11337" s="33" t="s">
        <v>25800</v>
      </c>
      <c r="B11337" s="33" t="s">
        <v>25801</v>
      </c>
      <c r="C11337" s="33" t="s">
        <v>4634</v>
      </c>
      <c r="D11337" s="33" t="s">
        <v>17</v>
      </c>
      <c r="E11337" s="33" t="s">
        <v>26</v>
      </c>
      <c r="F11337" s="33" t="s">
        <v>27</v>
      </c>
      <c r="G11337" s="33" t="s">
        <v>20</v>
      </c>
      <c r="H11337" s="35">
        <v>10</v>
      </c>
      <c r="I11337" s="33" t="s">
        <v>21</v>
      </c>
      <c r="J11337" s="42">
        <v>44632</v>
      </c>
      <c r="K11337" s="33" t="s">
        <v>22</v>
      </c>
    </row>
    <row r="11338" spans="1:11">
      <c r="A11338" s="30" t="s">
        <v>25802</v>
      </c>
      <c r="B11338" s="30" t="s">
        <v>25803</v>
      </c>
      <c r="C11338" s="30" t="s">
        <v>109</v>
      </c>
      <c r="D11338" s="30" t="s">
        <v>17</v>
      </c>
      <c r="E11338" s="30" t="s">
        <v>26</v>
      </c>
      <c r="F11338" s="30" t="s">
        <v>27</v>
      </c>
      <c r="G11338" s="30" t="s">
        <v>20</v>
      </c>
      <c r="H11338" s="32">
        <v>48</v>
      </c>
      <c r="I11338" s="30" t="s">
        <v>21</v>
      </c>
      <c r="J11338" s="41">
        <v>44629</v>
      </c>
      <c r="K11338" s="30" t="s">
        <v>22</v>
      </c>
    </row>
    <row r="11339" spans="1:11">
      <c r="A11339" s="33" t="s">
        <v>25804</v>
      </c>
      <c r="B11339" s="33" t="s">
        <v>25805</v>
      </c>
      <c r="C11339" s="33" t="s">
        <v>985</v>
      </c>
      <c r="D11339" s="33" t="s">
        <v>17</v>
      </c>
      <c r="E11339" s="33" t="s">
        <v>26</v>
      </c>
      <c r="F11339" s="33" t="s">
        <v>27</v>
      </c>
      <c r="G11339" s="33" t="s">
        <v>20</v>
      </c>
      <c r="H11339" s="35">
        <v>136</v>
      </c>
      <c r="I11339" s="33" t="s">
        <v>21</v>
      </c>
      <c r="J11339" s="42">
        <v>44614</v>
      </c>
      <c r="K11339" s="33" t="s">
        <v>22</v>
      </c>
    </row>
    <row r="11340" spans="1:11">
      <c r="A11340" s="30" t="s">
        <v>25806</v>
      </c>
      <c r="B11340" s="30" t="s">
        <v>25807</v>
      </c>
      <c r="C11340" s="30" t="s">
        <v>407</v>
      </c>
      <c r="D11340" s="30" t="s">
        <v>17</v>
      </c>
      <c r="E11340" s="30" t="s">
        <v>26</v>
      </c>
      <c r="F11340" s="30" t="s">
        <v>27</v>
      </c>
      <c r="G11340" s="30" t="s">
        <v>50</v>
      </c>
      <c r="H11340" s="32">
        <v>28</v>
      </c>
      <c r="I11340" s="30" t="s">
        <v>51</v>
      </c>
      <c r="J11340" s="41">
        <v>44562</v>
      </c>
      <c r="K11340" s="30" t="s">
        <v>22</v>
      </c>
    </row>
    <row r="11341" spans="1:11">
      <c r="A11341" s="33" t="s">
        <v>25808</v>
      </c>
      <c r="B11341" s="33" t="s">
        <v>25809</v>
      </c>
      <c r="C11341" s="33" t="s">
        <v>149</v>
      </c>
      <c r="D11341" s="33" t="s">
        <v>17</v>
      </c>
      <c r="E11341" s="33" t="s">
        <v>26</v>
      </c>
      <c r="F11341" s="33" t="s">
        <v>27</v>
      </c>
      <c r="G11341" s="33" t="s">
        <v>50</v>
      </c>
      <c r="H11341" s="35">
        <v>90</v>
      </c>
      <c r="I11341" s="33" t="s">
        <v>51</v>
      </c>
      <c r="J11341" s="42">
        <v>44681</v>
      </c>
      <c r="K11341" s="33" t="s">
        <v>22</v>
      </c>
    </row>
    <row r="11342" spans="1:11">
      <c r="A11342" s="30" t="s">
        <v>25810</v>
      </c>
      <c r="B11342" s="30" t="s">
        <v>25811</v>
      </c>
      <c r="C11342" s="30" t="s">
        <v>75</v>
      </c>
      <c r="D11342" s="30" t="s">
        <v>17</v>
      </c>
      <c r="E11342" s="30" t="s">
        <v>212</v>
      </c>
      <c r="F11342" s="30" t="s">
        <v>213</v>
      </c>
      <c r="G11342" s="30" t="s">
        <v>20</v>
      </c>
      <c r="H11342" s="32">
        <v>154</v>
      </c>
      <c r="I11342" s="30" t="s">
        <v>21</v>
      </c>
      <c r="J11342" s="41">
        <v>44840</v>
      </c>
      <c r="K11342" s="30" t="s">
        <v>22</v>
      </c>
    </row>
    <row r="11343" spans="1:11">
      <c r="A11343" s="33" t="s">
        <v>25812</v>
      </c>
      <c r="B11343" s="33" t="s">
        <v>25813</v>
      </c>
      <c r="C11343" s="33" t="s">
        <v>75</v>
      </c>
      <c r="D11343" s="33" t="s">
        <v>17</v>
      </c>
      <c r="E11343" s="33" t="s">
        <v>31</v>
      </c>
      <c r="F11343" s="33" t="s">
        <v>32</v>
      </c>
      <c r="G11343" s="33" t="s">
        <v>106</v>
      </c>
      <c r="H11343" s="35">
        <v>10</v>
      </c>
      <c r="I11343" s="33" t="s">
        <v>21</v>
      </c>
      <c r="J11343" s="42">
        <v>44606</v>
      </c>
      <c r="K11343" s="33" t="s">
        <v>22</v>
      </c>
    </row>
    <row r="11344" spans="1:11">
      <c r="A11344" s="30" t="s">
        <v>25814</v>
      </c>
      <c r="B11344" s="30" t="s">
        <v>25815</v>
      </c>
      <c r="C11344" s="30" t="s">
        <v>1658</v>
      </c>
      <c r="D11344" s="30" t="s">
        <v>17</v>
      </c>
      <c r="E11344" s="30" t="s">
        <v>18</v>
      </c>
      <c r="F11344" s="30" t="s">
        <v>19</v>
      </c>
      <c r="G11344" s="30" t="s">
        <v>20</v>
      </c>
      <c r="H11344" s="32">
        <v>2852</v>
      </c>
      <c r="I11344" s="30" t="s">
        <v>21</v>
      </c>
      <c r="J11344" s="41">
        <v>44753</v>
      </c>
      <c r="K11344" s="30" t="s">
        <v>22</v>
      </c>
    </row>
    <row r="11345" spans="1:11">
      <c r="A11345" s="33" t="s">
        <v>25816</v>
      </c>
      <c r="B11345" s="33" t="s">
        <v>25817</v>
      </c>
      <c r="C11345" s="33" t="s">
        <v>5696</v>
      </c>
      <c r="D11345" s="33" t="s">
        <v>17</v>
      </c>
      <c r="E11345" s="33" t="s">
        <v>26</v>
      </c>
      <c r="F11345" s="33" t="s">
        <v>27</v>
      </c>
      <c r="G11345" s="33" t="s">
        <v>20</v>
      </c>
      <c r="H11345" s="35">
        <v>24</v>
      </c>
      <c r="I11345" s="33" t="s">
        <v>21</v>
      </c>
      <c r="J11345" s="42">
        <v>44761</v>
      </c>
      <c r="K11345" s="33" t="s">
        <v>22</v>
      </c>
    </row>
    <row r="11346" spans="1:11">
      <c r="A11346" s="30" t="s">
        <v>25818</v>
      </c>
      <c r="B11346" s="30" t="s">
        <v>25819</v>
      </c>
      <c r="C11346" s="30" t="s">
        <v>1517</v>
      </c>
      <c r="D11346" s="30" t="s">
        <v>17</v>
      </c>
      <c r="E11346" s="30" t="s">
        <v>18</v>
      </c>
      <c r="F11346" s="30" t="s">
        <v>19</v>
      </c>
      <c r="G11346" s="30" t="s">
        <v>20</v>
      </c>
      <c r="H11346" s="32">
        <v>807</v>
      </c>
      <c r="I11346" s="30" t="s">
        <v>21</v>
      </c>
      <c r="J11346" s="41">
        <v>44823</v>
      </c>
      <c r="K11346" s="30" t="s">
        <v>22</v>
      </c>
    </row>
    <row r="11347" spans="1:11">
      <c r="A11347" s="33" t="s">
        <v>25820</v>
      </c>
      <c r="B11347" s="33" t="s">
        <v>25821</v>
      </c>
      <c r="C11347" s="33" t="s">
        <v>647</v>
      </c>
      <c r="D11347" s="33" t="s">
        <v>17</v>
      </c>
      <c r="E11347" s="33" t="s">
        <v>31</v>
      </c>
      <c r="F11347" s="33" t="s">
        <v>32</v>
      </c>
      <c r="G11347" s="33" t="s">
        <v>20</v>
      </c>
      <c r="H11347" s="35">
        <v>203</v>
      </c>
      <c r="I11347" s="33" t="s">
        <v>21</v>
      </c>
      <c r="J11347" s="42">
        <v>44852</v>
      </c>
      <c r="K11347" s="33" t="s">
        <v>22</v>
      </c>
    </row>
    <row r="11348" spans="1:11">
      <c r="A11348" s="30" t="s">
        <v>25822</v>
      </c>
      <c r="B11348" s="30" t="s">
        <v>25823</v>
      </c>
      <c r="C11348" s="30" t="s">
        <v>8653</v>
      </c>
      <c r="D11348" s="30" t="s">
        <v>17</v>
      </c>
      <c r="E11348" s="30" t="s">
        <v>18</v>
      </c>
      <c r="F11348" s="30" t="s">
        <v>19</v>
      </c>
      <c r="G11348" s="30" t="s">
        <v>20</v>
      </c>
      <c r="H11348" s="32">
        <v>300</v>
      </c>
      <c r="I11348" s="30" t="s">
        <v>21</v>
      </c>
      <c r="J11348" s="41">
        <v>44578</v>
      </c>
      <c r="K11348" s="30" t="s">
        <v>22</v>
      </c>
    </row>
    <row r="11349" spans="1:11">
      <c r="A11349" s="33" t="s">
        <v>25824</v>
      </c>
      <c r="B11349" s="33" t="s">
        <v>25825</v>
      </c>
      <c r="C11349" s="33" t="s">
        <v>25826</v>
      </c>
      <c r="D11349" s="33" t="s">
        <v>17</v>
      </c>
      <c r="E11349" s="33" t="s">
        <v>26</v>
      </c>
      <c r="F11349" s="33" t="s">
        <v>27</v>
      </c>
      <c r="G11349" s="33" t="s">
        <v>20</v>
      </c>
      <c r="H11349" s="35">
        <v>56</v>
      </c>
      <c r="I11349" s="33" t="s">
        <v>21</v>
      </c>
      <c r="J11349" s="42">
        <v>44847</v>
      </c>
      <c r="K11349" s="33" t="s">
        <v>22</v>
      </c>
    </row>
    <row r="11350" spans="1:11">
      <c r="A11350" s="30" t="s">
        <v>25827</v>
      </c>
      <c r="B11350" s="30" t="s">
        <v>25828</v>
      </c>
      <c r="C11350" s="30" t="s">
        <v>1085</v>
      </c>
      <c r="D11350" s="30" t="s">
        <v>17</v>
      </c>
      <c r="E11350" s="30" t="s">
        <v>31</v>
      </c>
      <c r="F11350" s="30" t="s">
        <v>32</v>
      </c>
      <c r="G11350" s="30" t="s">
        <v>140</v>
      </c>
      <c r="H11350" s="32">
        <v>168</v>
      </c>
      <c r="I11350" s="30" t="s">
        <v>51</v>
      </c>
      <c r="J11350" s="41">
        <v>44810</v>
      </c>
      <c r="K11350" s="30" t="s">
        <v>22</v>
      </c>
    </row>
    <row r="11351" spans="1:11">
      <c r="A11351" s="33" t="s">
        <v>25829</v>
      </c>
      <c r="B11351" s="33" t="s">
        <v>25830</v>
      </c>
      <c r="C11351" s="33" t="s">
        <v>801</v>
      </c>
      <c r="D11351" s="33" t="s">
        <v>17</v>
      </c>
      <c r="E11351" s="33" t="s">
        <v>26</v>
      </c>
      <c r="F11351" s="33" t="s">
        <v>27</v>
      </c>
      <c r="G11351" s="33" t="s">
        <v>158</v>
      </c>
      <c r="H11351" s="35">
        <v>62</v>
      </c>
      <c r="I11351" s="33" t="s">
        <v>21</v>
      </c>
      <c r="J11351" s="42">
        <v>44844</v>
      </c>
      <c r="K11351" s="33" t="s">
        <v>22</v>
      </c>
    </row>
    <row r="11352" spans="1:11">
      <c r="A11352" s="30" t="s">
        <v>25831</v>
      </c>
      <c r="B11352" s="30" t="s">
        <v>25832</v>
      </c>
      <c r="C11352" s="30" t="s">
        <v>9190</v>
      </c>
      <c r="D11352" s="30" t="s">
        <v>17</v>
      </c>
      <c r="E11352" s="30" t="s">
        <v>31</v>
      </c>
      <c r="F11352" s="30" t="s">
        <v>32</v>
      </c>
      <c r="G11352" s="30" t="s">
        <v>20</v>
      </c>
      <c r="H11352" s="32">
        <v>16</v>
      </c>
      <c r="I11352" s="30" t="s">
        <v>21</v>
      </c>
      <c r="J11352" s="41">
        <v>44921</v>
      </c>
      <c r="K11352" s="30" t="s">
        <v>22</v>
      </c>
    </row>
    <row r="11353" spans="1:11">
      <c r="A11353" s="33" t="s">
        <v>25833</v>
      </c>
      <c r="B11353" s="33" t="s">
        <v>25834</v>
      </c>
      <c r="C11353" s="33" t="s">
        <v>190</v>
      </c>
      <c r="D11353" s="33" t="s">
        <v>17</v>
      </c>
      <c r="E11353" s="33" t="s">
        <v>31</v>
      </c>
      <c r="F11353" s="33" t="s">
        <v>32</v>
      </c>
      <c r="G11353" s="33" t="s">
        <v>158</v>
      </c>
      <c r="H11353" s="35">
        <v>194</v>
      </c>
      <c r="I11353" s="33" t="s">
        <v>21</v>
      </c>
      <c r="J11353" s="42">
        <v>44784</v>
      </c>
      <c r="K11353" s="33" t="s">
        <v>22</v>
      </c>
    </row>
    <row r="11354" spans="1:11">
      <c r="A11354" s="30" t="s">
        <v>25835</v>
      </c>
      <c r="B11354" s="30" t="s">
        <v>25836</v>
      </c>
      <c r="C11354" s="30" t="s">
        <v>7246</v>
      </c>
      <c r="D11354" s="30" t="s">
        <v>17</v>
      </c>
      <c r="E11354" s="30" t="s">
        <v>26</v>
      </c>
      <c r="F11354" s="30" t="s">
        <v>27</v>
      </c>
      <c r="G11354" s="30" t="s">
        <v>20</v>
      </c>
      <c r="H11354" s="32">
        <v>24</v>
      </c>
      <c r="I11354" s="30" t="s">
        <v>21</v>
      </c>
      <c r="J11354" s="41">
        <v>44690</v>
      </c>
      <c r="K11354" s="30" t="s">
        <v>22</v>
      </c>
    </row>
    <row r="11355" spans="1:11">
      <c r="A11355" s="33" t="s">
        <v>25837</v>
      </c>
      <c r="B11355" s="33" t="s">
        <v>25838</v>
      </c>
      <c r="C11355" s="33" t="s">
        <v>1090</v>
      </c>
      <c r="D11355" s="33" t="s">
        <v>17</v>
      </c>
      <c r="E11355" s="33" t="s">
        <v>31</v>
      </c>
      <c r="F11355" s="33" t="s">
        <v>32</v>
      </c>
      <c r="G11355" s="33" t="s">
        <v>50</v>
      </c>
      <c r="H11355" s="35">
        <v>53</v>
      </c>
      <c r="I11355" s="33" t="s">
        <v>51</v>
      </c>
      <c r="J11355" s="42">
        <v>44901</v>
      </c>
      <c r="K11355" s="33" t="s">
        <v>22</v>
      </c>
    </row>
    <row r="11356" spans="1:11">
      <c r="A11356" s="30" t="s">
        <v>25839</v>
      </c>
      <c r="B11356" s="30" t="s">
        <v>25840</v>
      </c>
      <c r="C11356" s="30" t="s">
        <v>157</v>
      </c>
      <c r="D11356" s="30" t="s">
        <v>17</v>
      </c>
      <c r="E11356" s="30" t="s">
        <v>26</v>
      </c>
      <c r="F11356" s="30" t="s">
        <v>27</v>
      </c>
      <c r="G11356" s="30" t="s">
        <v>106</v>
      </c>
      <c r="H11356" s="32">
        <v>2</v>
      </c>
      <c r="I11356" s="30" t="s">
        <v>21</v>
      </c>
      <c r="J11356" s="41">
        <v>44566</v>
      </c>
      <c r="K11356" s="30" t="s">
        <v>22</v>
      </c>
    </row>
    <row r="11357" spans="1:11">
      <c r="A11357" s="33" t="s">
        <v>25841</v>
      </c>
      <c r="B11357" s="33" t="s">
        <v>25842</v>
      </c>
      <c r="C11357" s="33" t="s">
        <v>936</v>
      </c>
      <c r="D11357" s="33" t="s">
        <v>17</v>
      </c>
      <c r="E11357" s="33" t="s">
        <v>18</v>
      </c>
      <c r="F11357" s="33" t="s">
        <v>19</v>
      </c>
      <c r="G11357" s="33" t="s">
        <v>106</v>
      </c>
      <c r="H11357" s="35">
        <v>3</v>
      </c>
      <c r="I11357" s="33" t="s">
        <v>21</v>
      </c>
      <c r="J11357" s="42">
        <v>44865</v>
      </c>
      <c r="K11357" s="33" t="s">
        <v>22</v>
      </c>
    </row>
    <row r="11358" spans="1:11">
      <c r="A11358" s="30" t="s">
        <v>25843</v>
      </c>
      <c r="B11358" s="30" t="s">
        <v>25844</v>
      </c>
      <c r="C11358" s="30" t="s">
        <v>44</v>
      </c>
      <c r="D11358" s="30" t="s">
        <v>17</v>
      </c>
      <c r="E11358" s="30" t="s">
        <v>26</v>
      </c>
      <c r="F11358" s="30" t="s">
        <v>27</v>
      </c>
      <c r="G11358" s="30" t="s">
        <v>20</v>
      </c>
      <c r="H11358" s="32">
        <v>45</v>
      </c>
      <c r="I11358" s="30" t="s">
        <v>21</v>
      </c>
      <c r="J11358" s="41">
        <v>44568</v>
      </c>
      <c r="K11358" s="30" t="s">
        <v>22</v>
      </c>
    </row>
    <row r="11359" spans="1:11">
      <c r="A11359" s="33" t="s">
        <v>25845</v>
      </c>
      <c r="B11359" s="33" t="s">
        <v>25846</v>
      </c>
      <c r="C11359" s="33" t="s">
        <v>1428</v>
      </c>
      <c r="D11359" s="33" t="s">
        <v>17</v>
      </c>
      <c r="E11359" s="33" t="s">
        <v>31</v>
      </c>
      <c r="F11359" s="33" t="s">
        <v>32</v>
      </c>
      <c r="G11359" s="33" t="s">
        <v>50</v>
      </c>
      <c r="H11359" s="35">
        <v>300</v>
      </c>
      <c r="I11359" s="33" t="s">
        <v>51</v>
      </c>
      <c r="J11359" s="42">
        <v>44743</v>
      </c>
      <c r="K11359" s="33" t="s">
        <v>22</v>
      </c>
    </row>
    <row r="11360" spans="1:11">
      <c r="A11360" s="30" t="s">
        <v>25847</v>
      </c>
      <c r="B11360" s="30" t="s">
        <v>25848</v>
      </c>
      <c r="C11360" s="30" t="s">
        <v>10288</v>
      </c>
      <c r="D11360" s="30" t="s">
        <v>17</v>
      </c>
      <c r="E11360" s="30" t="s">
        <v>18</v>
      </c>
      <c r="F11360" s="30" t="s">
        <v>19</v>
      </c>
      <c r="G11360" s="30" t="s">
        <v>50</v>
      </c>
      <c r="H11360" s="32">
        <v>1200</v>
      </c>
      <c r="I11360" s="30" t="s">
        <v>21</v>
      </c>
      <c r="J11360" s="41">
        <v>44805</v>
      </c>
      <c r="K11360" s="30" t="s">
        <v>22</v>
      </c>
    </row>
    <row r="11361" spans="1:11">
      <c r="A11361" s="33" t="s">
        <v>25849</v>
      </c>
      <c r="B11361" s="33" t="s">
        <v>25850</v>
      </c>
      <c r="C11361" s="33" t="s">
        <v>25851</v>
      </c>
      <c r="D11361" s="33" t="s">
        <v>17</v>
      </c>
      <c r="E11361" s="33" t="s">
        <v>26</v>
      </c>
      <c r="F11361" s="33" t="s">
        <v>27</v>
      </c>
      <c r="G11361" s="33" t="s">
        <v>50</v>
      </c>
      <c r="H11361" s="35">
        <v>18</v>
      </c>
      <c r="I11361" s="33" t="s">
        <v>51</v>
      </c>
      <c r="J11361" s="42">
        <v>44760</v>
      </c>
      <c r="K11361" s="33" t="s">
        <v>22</v>
      </c>
    </row>
    <row r="11362" spans="1:11">
      <c r="A11362" s="30" t="s">
        <v>25852</v>
      </c>
      <c r="B11362" s="30" t="s">
        <v>25853</v>
      </c>
      <c r="C11362" s="30" t="s">
        <v>25854</v>
      </c>
      <c r="D11362" s="30" t="s">
        <v>17</v>
      </c>
      <c r="E11362" s="30" t="s">
        <v>18</v>
      </c>
      <c r="F11362" s="30" t="s">
        <v>19</v>
      </c>
      <c r="G11362" s="30" t="s">
        <v>20</v>
      </c>
      <c r="H11362" s="32">
        <v>306</v>
      </c>
      <c r="I11362" s="30" t="s">
        <v>21</v>
      </c>
      <c r="J11362" s="41">
        <v>44644</v>
      </c>
      <c r="K11362" s="30" t="s">
        <v>22</v>
      </c>
    </row>
    <row r="11363" spans="1:11">
      <c r="A11363" s="33" t="s">
        <v>25855</v>
      </c>
      <c r="B11363" s="33" t="s">
        <v>25856</v>
      </c>
      <c r="C11363" s="33" t="s">
        <v>15659</v>
      </c>
      <c r="D11363" s="33" t="s">
        <v>17</v>
      </c>
      <c r="E11363" s="33" t="s">
        <v>67</v>
      </c>
      <c r="F11363" s="33" t="s">
        <v>68</v>
      </c>
      <c r="G11363" s="33" t="s">
        <v>20</v>
      </c>
      <c r="H11363" s="35">
        <v>21</v>
      </c>
      <c r="I11363" s="33" t="s">
        <v>21</v>
      </c>
      <c r="J11363" s="42">
        <v>44832</v>
      </c>
      <c r="K11363" s="33" t="s">
        <v>22</v>
      </c>
    </row>
    <row r="11364" spans="1:11">
      <c r="A11364" s="30" t="s">
        <v>25857</v>
      </c>
      <c r="B11364" s="30" t="s">
        <v>25858</v>
      </c>
      <c r="C11364" s="30" t="s">
        <v>16196</v>
      </c>
      <c r="D11364" s="30" t="s">
        <v>17</v>
      </c>
      <c r="E11364" s="30" t="s">
        <v>26</v>
      </c>
      <c r="F11364" s="30" t="s">
        <v>27</v>
      </c>
      <c r="G11364" s="30" t="s">
        <v>140</v>
      </c>
      <c r="H11364" s="32">
        <v>572</v>
      </c>
      <c r="I11364" s="30" t="s">
        <v>51</v>
      </c>
      <c r="J11364" s="41">
        <v>44664</v>
      </c>
      <c r="K11364" s="30" t="s">
        <v>22</v>
      </c>
    </row>
    <row r="11365" spans="1:11">
      <c r="A11365" s="33" t="s">
        <v>25859</v>
      </c>
      <c r="B11365" s="33" t="s">
        <v>25860</v>
      </c>
      <c r="C11365" s="33" t="s">
        <v>44</v>
      </c>
      <c r="D11365" s="33" t="s">
        <v>17</v>
      </c>
      <c r="E11365" s="33" t="s">
        <v>67</v>
      </c>
      <c r="F11365" s="33" t="s">
        <v>68</v>
      </c>
      <c r="G11365" s="33" t="s">
        <v>140</v>
      </c>
      <c r="H11365" s="35">
        <v>172</v>
      </c>
      <c r="I11365" s="33" t="s">
        <v>51</v>
      </c>
      <c r="J11365" s="42">
        <v>44922</v>
      </c>
      <c r="K11365" s="33" t="s">
        <v>22</v>
      </c>
    </row>
    <row r="11366" spans="1:11">
      <c r="A11366" s="30" t="s">
        <v>25861</v>
      </c>
      <c r="B11366" s="30" t="s">
        <v>25862</v>
      </c>
      <c r="C11366" s="30" t="s">
        <v>24200</v>
      </c>
      <c r="D11366" s="30" t="s">
        <v>17</v>
      </c>
      <c r="E11366" s="30" t="s">
        <v>31</v>
      </c>
      <c r="F11366" s="30" t="s">
        <v>32</v>
      </c>
      <c r="G11366" s="30" t="s">
        <v>20</v>
      </c>
      <c r="H11366" s="32">
        <v>26</v>
      </c>
      <c r="I11366" s="30" t="s">
        <v>21</v>
      </c>
      <c r="J11366" s="41">
        <v>44879</v>
      </c>
      <c r="K11366" s="30" t="s">
        <v>22</v>
      </c>
    </row>
    <row r="11367" spans="1:11">
      <c r="A11367" s="33" t="s">
        <v>25863</v>
      </c>
      <c r="B11367" s="33" t="s">
        <v>25864</v>
      </c>
      <c r="C11367" s="33" t="s">
        <v>14483</v>
      </c>
      <c r="D11367" s="33" t="s">
        <v>17</v>
      </c>
      <c r="E11367" s="33" t="s">
        <v>26</v>
      </c>
      <c r="F11367" s="33" t="s">
        <v>27</v>
      </c>
      <c r="G11367" s="33" t="s">
        <v>20</v>
      </c>
      <c r="H11367" s="35">
        <v>96</v>
      </c>
      <c r="I11367" s="33" t="s">
        <v>21</v>
      </c>
      <c r="J11367" s="42">
        <v>44826</v>
      </c>
      <c r="K11367" s="33" t="s">
        <v>22</v>
      </c>
    </row>
    <row r="11368" spans="1:11">
      <c r="A11368" s="30" t="s">
        <v>25865</v>
      </c>
      <c r="B11368" s="30" t="s">
        <v>25866</v>
      </c>
      <c r="C11368" s="30" t="s">
        <v>4596</v>
      </c>
      <c r="D11368" s="30" t="s">
        <v>17</v>
      </c>
      <c r="E11368" s="30" t="s">
        <v>18</v>
      </c>
      <c r="F11368" s="30" t="s">
        <v>19</v>
      </c>
      <c r="G11368" s="30" t="s">
        <v>20</v>
      </c>
      <c r="H11368" s="32">
        <v>157</v>
      </c>
      <c r="I11368" s="30" t="s">
        <v>21</v>
      </c>
      <c r="J11368" s="41">
        <v>44756</v>
      </c>
      <c r="K11368" s="30" t="s">
        <v>22</v>
      </c>
    </row>
    <row r="11369" spans="1:11">
      <c r="A11369" s="33" t="s">
        <v>25867</v>
      </c>
      <c r="B11369" s="33" t="s">
        <v>25868</v>
      </c>
      <c r="C11369" s="33" t="s">
        <v>8069</v>
      </c>
      <c r="D11369" s="33" t="s">
        <v>17</v>
      </c>
      <c r="E11369" s="33" t="s">
        <v>26</v>
      </c>
      <c r="F11369" s="33" t="s">
        <v>27</v>
      </c>
      <c r="G11369" s="33" t="s">
        <v>20</v>
      </c>
      <c r="H11369" s="35">
        <v>32</v>
      </c>
      <c r="I11369" s="33" t="s">
        <v>21</v>
      </c>
      <c r="J11369" s="42">
        <v>44839</v>
      </c>
      <c r="K11369" s="33" t="s">
        <v>22</v>
      </c>
    </row>
    <row r="11370" spans="1:11">
      <c r="A11370" s="30" t="s">
        <v>25869</v>
      </c>
      <c r="B11370" s="30" t="s">
        <v>25870</v>
      </c>
      <c r="C11370" s="30" t="s">
        <v>3594</v>
      </c>
      <c r="D11370" s="30" t="s">
        <v>17</v>
      </c>
      <c r="E11370" s="30" t="s">
        <v>18</v>
      </c>
      <c r="F11370" s="30" t="s">
        <v>19</v>
      </c>
      <c r="G11370" s="30" t="s">
        <v>158</v>
      </c>
      <c r="H11370" s="32">
        <v>49</v>
      </c>
      <c r="I11370" s="30" t="s">
        <v>21</v>
      </c>
      <c r="J11370" s="41">
        <v>44720</v>
      </c>
      <c r="K11370" s="30" t="s">
        <v>22</v>
      </c>
    </row>
    <row r="11371" spans="1:11">
      <c r="A11371" s="33" t="s">
        <v>25871</v>
      </c>
      <c r="B11371" s="33" t="s">
        <v>25872</v>
      </c>
      <c r="C11371" s="33" t="s">
        <v>985</v>
      </c>
      <c r="D11371" s="33" t="s">
        <v>17</v>
      </c>
      <c r="E11371" s="33" t="s">
        <v>26</v>
      </c>
      <c r="F11371" s="33" t="s">
        <v>27</v>
      </c>
      <c r="G11371" s="33" t="s">
        <v>106</v>
      </c>
      <c r="H11371" s="35">
        <v>5</v>
      </c>
      <c r="I11371" s="33" t="s">
        <v>21</v>
      </c>
      <c r="J11371" s="42">
        <v>44673</v>
      </c>
      <c r="K11371" s="33" t="s">
        <v>22</v>
      </c>
    </row>
    <row r="11372" spans="1:11">
      <c r="A11372" s="30" t="s">
        <v>25873</v>
      </c>
      <c r="B11372" s="30" t="s">
        <v>25874</v>
      </c>
      <c r="C11372" s="30" t="s">
        <v>2684</v>
      </c>
      <c r="D11372" s="30" t="s">
        <v>17</v>
      </c>
      <c r="E11372" s="30" t="s">
        <v>31</v>
      </c>
      <c r="F11372" s="30" t="s">
        <v>32</v>
      </c>
      <c r="G11372" s="30" t="s">
        <v>158</v>
      </c>
      <c r="H11372" s="32">
        <v>50</v>
      </c>
      <c r="I11372" s="30" t="s">
        <v>51</v>
      </c>
      <c r="J11372" s="41">
        <v>44804</v>
      </c>
      <c r="K11372" s="30" t="s">
        <v>22</v>
      </c>
    </row>
    <row r="11373" spans="1:11">
      <c r="A11373" s="33" t="s">
        <v>25875</v>
      </c>
      <c r="B11373" s="33" t="s">
        <v>25876</v>
      </c>
      <c r="C11373" s="33" t="s">
        <v>407</v>
      </c>
      <c r="D11373" s="33" t="s">
        <v>17</v>
      </c>
      <c r="E11373" s="33" t="s">
        <v>26</v>
      </c>
      <c r="F11373" s="33" t="s">
        <v>27</v>
      </c>
      <c r="G11373" s="33" t="s">
        <v>20</v>
      </c>
      <c r="H11373" s="35">
        <v>100</v>
      </c>
      <c r="I11373" s="33" t="s">
        <v>21</v>
      </c>
      <c r="J11373" s="42">
        <v>44645</v>
      </c>
      <c r="K11373" s="33" t="s">
        <v>22</v>
      </c>
    </row>
    <row r="11374" spans="1:11">
      <c r="A11374" s="30" t="s">
        <v>25877</v>
      </c>
      <c r="B11374" s="30" t="s">
        <v>25878</v>
      </c>
      <c r="C11374" s="30" t="s">
        <v>25879</v>
      </c>
      <c r="D11374" s="30" t="s">
        <v>17</v>
      </c>
      <c r="E11374" s="30" t="s">
        <v>31</v>
      </c>
      <c r="F11374" s="30" t="s">
        <v>32</v>
      </c>
      <c r="G11374" s="30" t="s">
        <v>20</v>
      </c>
      <c r="H11374" s="32">
        <v>76</v>
      </c>
      <c r="I11374" s="30" t="s">
        <v>21</v>
      </c>
      <c r="J11374" s="41">
        <v>44606</v>
      </c>
      <c r="K11374" s="30" t="s">
        <v>22</v>
      </c>
    </row>
    <row r="11375" spans="1:11">
      <c r="A11375" s="33" t="s">
        <v>25880</v>
      </c>
      <c r="B11375" s="33" t="s">
        <v>25881</v>
      </c>
      <c r="C11375" s="33" t="s">
        <v>387</v>
      </c>
      <c r="D11375" s="33" t="s">
        <v>17</v>
      </c>
      <c r="E11375" s="33" t="s">
        <v>212</v>
      </c>
      <c r="F11375" s="33" t="s">
        <v>213</v>
      </c>
      <c r="G11375" s="33" t="s">
        <v>20</v>
      </c>
      <c r="H11375" s="35">
        <v>608</v>
      </c>
      <c r="I11375" s="33" t="s">
        <v>21</v>
      </c>
      <c r="J11375" s="42">
        <v>44743</v>
      </c>
      <c r="K11375" s="33" t="s">
        <v>22</v>
      </c>
    </row>
    <row r="11376" spans="1:11">
      <c r="A11376" s="30" t="s">
        <v>25882</v>
      </c>
      <c r="B11376" s="30" t="s">
        <v>25883</v>
      </c>
      <c r="C11376" s="30" t="s">
        <v>19167</v>
      </c>
      <c r="D11376" s="30" t="s">
        <v>17</v>
      </c>
      <c r="E11376" s="30" t="s">
        <v>26</v>
      </c>
      <c r="F11376" s="30" t="s">
        <v>27</v>
      </c>
      <c r="G11376" s="30" t="s">
        <v>20</v>
      </c>
      <c r="H11376" s="32">
        <v>12</v>
      </c>
      <c r="I11376" s="30" t="s">
        <v>21</v>
      </c>
      <c r="J11376" s="41">
        <v>44677</v>
      </c>
      <c r="K11376" s="30" t="s">
        <v>22</v>
      </c>
    </row>
    <row r="11377" spans="1:11">
      <c r="A11377" s="33" t="s">
        <v>25884</v>
      </c>
      <c r="B11377" s="33" t="s">
        <v>25885</v>
      </c>
      <c r="C11377" s="33" t="s">
        <v>25886</v>
      </c>
      <c r="D11377" s="33" t="s">
        <v>17</v>
      </c>
      <c r="E11377" s="33" t="s">
        <v>330</v>
      </c>
      <c r="F11377" s="33" t="s">
        <v>331</v>
      </c>
      <c r="G11377" s="33" t="s">
        <v>50</v>
      </c>
      <c r="H11377" s="35">
        <v>48</v>
      </c>
      <c r="I11377" s="33" t="s">
        <v>51</v>
      </c>
      <c r="J11377" s="42">
        <v>44705</v>
      </c>
      <c r="K11377" s="33" t="s">
        <v>22</v>
      </c>
    </row>
    <row r="11378" spans="1:11">
      <c r="A11378" s="30" t="s">
        <v>25887</v>
      </c>
      <c r="B11378" s="30" t="s">
        <v>25888</v>
      </c>
      <c r="C11378" s="30" t="s">
        <v>25889</v>
      </c>
      <c r="D11378" s="30" t="s">
        <v>17</v>
      </c>
      <c r="E11378" s="30" t="s">
        <v>67</v>
      </c>
      <c r="F11378" s="30" t="s">
        <v>68</v>
      </c>
      <c r="G11378" s="30" t="s">
        <v>20</v>
      </c>
      <c r="H11378" s="32">
        <v>51</v>
      </c>
      <c r="I11378" s="30" t="s">
        <v>21</v>
      </c>
      <c r="J11378" s="41">
        <v>44747</v>
      </c>
      <c r="K11378" s="30" t="s">
        <v>22</v>
      </c>
    </row>
    <row r="11379" spans="1:11">
      <c r="A11379" s="33" t="s">
        <v>25890</v>
      </c>
      <c r="B11379" s="33" t="s">
        <v>25891</v>
      </c>
      <c r="C11379" s="33" t="s">
        <v>8151</v>
      </c>
      <c r="D11379" s="33" t="s">
        <v>17</v>
      </c>
      <c r="E11379" s="33" t="s">
        <v>18</v>
      </c>
      <c r="F11379" s="33" t="s">
        <v>19</v>
      </c>
      <c r="G11379" s="33" t="s">
        <v>20</v>
      </c>
      <c r="H11379" s="35">
        <v>45</v>
      </c>
      <c r="I11379" s="33" t="s">
        <v>21</v>
      </c>
      <c r="J11379" s="42">
        <v>44665</v>
      </c>
      <c r="K11379" s="33" t="s">
        <v>22</v>
      </c>
    </row>
    <row r="11380" spans="1:11">
      <c r="A11380" s="30" t="s">
        <v>25892</v>
      </c>
      <c r="B11380" s="30" t="s">
        <v>25893</v>
      </c>
      <c r="C11380" s="30" t="s">
        <v>25894</v>
      </c>
      <c r="D11380" s="30" t="s">
        <v>17</v>
      </c>
      <c r="E11380" s="30" t="s">
        <v>26</v>
      </c>
      <c r="F11380" s="30" t="s">
        <v>27</v>
      </c>
      <c r="G11380" s="30" t="s">
        <v>20</v>
      </c>
      <c r="H11380" s="32">
        <v>64</v>
      </c>
      <c r="I11380" s="30" t="s">
        <v>21</v>
      </c>
      <c r="J11380" s="41">
        <v>44865</v>
      </c>
      <c r="K11380" s="30" t="s">
        <v>22</v>
      </c>
    </row>
    <row r="11381" spans="1:11">
      <c r="A11381" s="33" t="s">
        <v>25895</v>
      </c>
      <c r="B11381" s="33" t="s">
        <v>25896</v>
      </c>
      <c r="C11381" s="33" t="s">
        <v>25897</v>
      </c>
      <c r="D11381" s="33" t="s">
        <v>17</v>
      </c>
      <c r="E11381" s="33" t="s">
        <v>26</v>
      </c>
      <c r="F11381" s="33" t="s">
        <v>27</v>
      </c>
      <c r="G11381" s="33" t="s">
        <v>20</v>
      </c>
      <c r="H11381" s="35">
        <v>45</v>
      </c>
      <c r="I11381" s="33" t="s">
        <v>21</v>
      </c>
      <c r="J11381" s="42">
        <v>44623</v>
      </c>
      <c r="K11381" s="33" t="s">
        <v>22</v>
      </c>
    </row>
    <row r="11382" spans="1:11">
      <c r="A11382" s="30" t="s">
        <v>25898</v>
      </c>
      <c r="B11382" s="30" t="s">
        <v>25899</v>
      </c>
      <c r="C11382" s="30" t="s">
        <v>25900</v>
      </c>
      <c r="D11382" s="30" t="s">
        <v>17</v>
      </c>
      <c r="E11382" s="30" t="s">
        <v>330</v>
      </c>
      <c r="F11382" s="30" t="s">
        <v>331</v>
      </c>
      <c r="G11382" s="30" t="s">
        <v>50</v>
      </c>
      <c r="H11382" s="32">
        <v>120</v>
      </c>
      <c r="I11382" s="30" t="s">
        <v>51</v>
      </c>
      <c r="J11382" s="41">
        <v>44621</v>
      </c>
      <c r="K11382" s="30" t="s">
        <v>22</v>
      </c>
    </row>
    <row r="11383" spans="1:11">
      <c r="A11383" s="33" t="s">
        <v>25901</v>
      </c>
      <c r="B11383" s="33" t="s">
        <v>25902</v>
      </c>
      <c r="C11383" s="33" t="s">
        <v>603</v>
      </c>
      <c r="D11383" s="33" t="s">
        <v>17</v>
      </c>
      <c r="E11383" s="33" t="s">
        <v>26</v>
      </c>
      <c r="F11383" s="33" t="s">
        <v>27</v>
      </c>
      <c r="G11383" s="33" t="s">
        <v>20</v>
      </c>
      <c r="H11383" s="35">
        <v>30</v>
      </c>
      <c r="I11383" s="33" t="s">
        <v>21</v>
      </c>
      <c r="J11383" s="42">
        <v>44880</v>
      </c>
      <c r="K11383" s="33" t="s">
        <v>22</v>
      </c>
    </row>
    <row r="11384" spans="1:11">
      <c r="A11384" s="30" t="s">
        <v>25903</v>
      </c>
      <c r="B11384" s="30" t="s">
        <v>25904</v>
      </c>
      <c r="C11384" s="30" t="s">
        <v>96</v>
      </c>
      <c r="D11384" s="30" t="s">
        <v>17</v>
      </c>
      <c r="E11384" s="30" t="s">
        <v>26</v>
      </c>
      <c r="F11384" s="30" t="s">
        <v>27</v>
      </c>
      <c r="G11384" s="30" t="s">
        <v>20</v>
      </c>
      <c r="H11384" s="32">
        <v>12</v>
      </c>
      <c r="I11384" s="30" t="s">
        <v>21</v>
      </c>
      <c r="J11384" s="41">
        <v>44630</v>
      </c>
      <c r="K11384" s="30" t="s">
        <v>22</v>
      </c>
    </row>
    <row r="11385" spans="1:11">
      <c r="A11385" s="33" t="s">
        <v>25905</v>
      </c>
      <c r="B11385" s="33" t="s">
        <v>25906</v>
      </c>
      <c r="C11385" s="33" t="s">
        <v>9464</v>
      </c>
      <c r="D11385" s="33" t="s">
        <v>17</v>
      </c>
      <c r="E11385" s="33" t="s">
        <v>31</v>
      </c>
      <c r="F11385" s="33" t="s">
        <v>32</v>
      </c>
      <c r="G11385" s="33" t="s">
        <v>50</v>
      </c>
      <c r="H11385" s="35">
        <v>190</v>
      </c>
      <c r="I11385" s="33" t="s">
        <v>51</v>
      </c>
      <c r="J11385" s="42">
        <v>44805</v>
      </c>
      <c r="K11385" s="33" t="s">
        <v>22</v>
      </c>
    </row>
    <row r="11386" spans="1:11">
      <c r="A11386" s="30" t="s">
        <v>25907</v>
      </c>
      <c r="B11386" s="30" t="s">
        <v>25908</v>
      </c>
      <c r="C11386" s="30" t="s">
        <v>7449</v>
      </c>
      <c r="D11386" s="30" t="s">
        <v>17</v>
      </c>
      <c r="E11386" s="30" t="s">
        <v>31</v>
      </c>
      <c r="F11386" s="30" t="s">
        <v>32</v>
      </c>
      <c r="G11386" s="30" t="s">
        <v>20</v>
      </c>
      <c r="H11386" s="32">
        <v>35</v>
      </c>
      <c r="I11386" s="30" t="s">
        <v>21</v>
      </c>
      <c r="J11386" s="41">
        <v>44782</v>
      </c>
      <c r="K11386" s="30" t="s">
        <v>22</v>
      </c>
    </row>
    <row r="11387" spans="1:11">
      <c r="A11387" s="33" t="s">
        <v>25909</v>
      </c>
      <c r="B11387" s="33" t="s">
        <v>25910</v>
      </c>
      <c r="C11387" s="33" t="s">
        <v>102</v>
      </c>
      <c r="D11387" s="33" t="s">
        <v>17</v>
      </c>
      <c r="E11387" s="33" t="s">
        <v>31</v>
      </c>
      <c r="F11387" s="33" t="s">
        <v>32</v>
      </c>
      <c r="G11387" s="33" t="s">
        <v>158</v>
      </c>
      <c r="H11387" s="35">
        <v>36</v>
      </c>
      <c r="I11387" s="33" t="s">
        <v>21</v>
      </c>
      <c r="J11387" s="42">
        <v>44747</v>
      </c>
      <c r="K11387" s="33" t="s">
        <v>22</v>
      </c>
    </row>
    <row r="11388" spans="1:11">
      <c r="A11388" s="30" t="s">
        <v>25911</v>
      </c>
      <c r="B11388" s="30" t="s">
        <v>25912</v>
      </c>
      <c r="C11388" s="30" t="s">
        <v>6176</v>
      </c>
      <c r="D11388" s="30" t="s">
        <v>17</v>
      </c>
      <c r="E11388" s="30" t="s">
        <v>31</v>
      </c>
      <c r="F11388" s="30" t="s">
        <v>32</v>
      </c>
      <c r="G11388" s="30" t="s">
        <v>20</v>
      </c>
      <c r="H11388" s="32">
        <v>79</v>
      </c>
      <c r="I11388" s="30" t="s">
        <v>21</v>
      </c>
      <c r="J11388" s="41">
        <v>44917</v>
      </c>
      <c r="K11388" s="30" t="s">
        <v>22</v>
      </c>
    </row>
    <row r="11389" spans="1:11">
      <c r="A11389" s="33" t="s">
        <v>25913</v>
      </c>
      <c r="B11389" s="33" t="s">
        <v>25914</v>
      </c>
      <c r="C11389" s="33" t="s">
        <v>25915</v>
      </c>
      <c r="D11389" s="33" t="s">
        <v>17</v>
      </c>
      <c r="E11389" s="33" t="s">
        <v>26</v>
      </c>
      <c r="F11389" s="33" t="s">
        <v>27</v>
      </c>
      <c r="G11389" s="33" t="s">
        <v>20</v>
      </c>
      <c r="H11389" s="35">
        <v>6</v>
      </c>
      <c r="I11389" s="33" t="s">
        <v>21</v>
      </c>
      <c r="J11389" s="42">
        <v>44725</v>
      </c>
      <c r="K11389" s="33" t="s">
        <v>22</v>
      </c>
    </row>
    <row r="11390" spans="1:11">
      <c r="A11390" s="30" t="s">
        <v>25916</v>
      </c>
      <c r="B11390" s="30" t="s">
        <v>25917</v>
      </c>
      <c r="C11390" s="30" t="s">
        <v>3922</v>
      </c>
      <c r="D11390" s="30" t="s">
        <v>17</v>
      </c>
      <c r="E11390" s="30" t="s">
        <v>18</v>
      </c>
      <c r="F11390" s="30" t="s">
        <v>19</v>
      </c>
      <c r="G11390" s="30" t="s">
        <v>20</v>
      </c>
      <c r="H11390" s="32">
        <v>636</v>
      </c>
      <c r="I11390" s="30" t="s">
        <v>21</v>
      </c>
      <c r="J11390" s="41">
        <v>44916</v>
      </c>
      <c r="K11390" s="30" t="s">
        <v>22</v>
      </c>
    </row>
    <row r="11391" spans="1:11">
      <c r="A11391" s="33" t="s">
        <v>25918</v>
      </c>
      <c r="B11391" s="33" t="s">
        <v>25919</v>
      </c>
      <c r="C11391" s="33" t="s">
        <v>318</v>
      </c>
      <c r="D11391" s="33" t="s">
        <v>17</v>
      </c>
      <c r="E11391" s="33" t="s">
        <v>18</v>
      </c>
      <c r="F11391" s="33" t="s">
        <v>19</v>
      </c>
      <c r="G11391" s="33" t="s">
        <v>20</v>
      </c>
      <c r="H11391" s="35">
        <v>160</v>
      </c>
      <c r="I11391" s="33" t="s">
        <v>21</v>
      </c>
      <c r="J11391" s="42">
        <v>44670</v>
      </c>
      <c r="K11391" s="33" t="s">
        <v>22</v>
      </c>
    </row>
    <row r="11392" spans="1:11">
      <c r="A11392" s="30" t="s">
        <v>25920</v>
      </c>
      <c r="B11392" s="30" t="s">
        <v>25921</v>
      </c>
      <c r="C11392" s="30" t="s">
        <v>399</v>
      </c>
      <c r="D11392" s="30" t="s">
        <v>17</v>
      </c>
      <c r="E11392" s="30" t="s">
        <v>26</v>
      </c>
      <c r="F11392" s="30" t="s">
        <v>27</v>
      </c>
      <c r="G11392" s="30" t="s">
        <v>20</v>
      </c>
      <c r="H11392" s="32">
        <v>61</v>
      </c>
      <c r="I11392" s="30" t="s">
        <v>21</v>
      </c>
      <c r="J11392" s="41">
        <v>44679</v>
      </c>
      <c r="K11392" s="30" t="s">
        <v>22</v>
      </c>
    </row>
    <row r="11393" spans="1:11">
      <c r="A11393" s="33" t="s">
        <v>25922</v>
      </c>
      <c r="B11393" s="33" t="s">
        <v>25923</v>
      </c>
      <c r="C11393" s="33" t="s">
        <v>75</v>
      </c>
      <c r="D11393" s="33" t="s">
        <v>17</v>
      </c>
      <c r="E11393" s="33" t="s">
        <v>26</v>
      </c>
      <c r="F11393" s="33" t="s">
        <v>27</v>
      </c>
      <c r="G11393" s="33" t="s">
        <v>20</v>
      </c>
      <c r="H11393" s="35">
        <v>68</v>
      </c>
      <c r="I11393" s="33" t="s">
        <v>21</v>
      </c>
      <c r="J11393" s="42">
        <v>44816</v>
      </c>
      <c r="K11393" s="33" t="s">
        <v>22</v>
      </c>
    </row>
    <row r="11394" spans="1:11">
      <c r="A11394" s="30" t="s">
        <v>25924</v>
      </c>
      <c r="B11394" s="30" t="s">
        <v>25925</v>
      </c>
      <c r="C11394" s="30" t="s">
        <v>96</v>
      </c>
      <c r="D11394" s="30" t="s">
        <v>17</v>
      </c>
      <c r="E11394" s="30" t="s">
        <v>26</v>
      </c>
      <c r="F11394" s="30" t="s">
        <v>27</v>
      </c>
      <c r="G11394" s="30" t="s">
        <v>158</v>
      </c>
      <c r="H11394" s="32">
        <v>25</v>
      </c>
      <c r="I11394" s="30" t="s">
        <v>21</v>
      </c>
      <c r="J11394" s="41">
        <v>44741</v>
      </c>
      <c r="K11394" s="30" t="s">
        <v>22</v>
      </c>
    </row>
    <row r="11395" spans="1:11">
      <c r="A11395" s="33" t="s">
        <v>25926</v>
      </c>
      <c r="B11395" s="33" t="s">
        <v>25927</v>
      </c>
      <c r="C11395" s="33" t="s">
        <v>25928</v>
      </c>
      <c r="D11395" s="33" t="s">
        <v>17</v>
      </c>
      <c r="E11395" s="33" t="s">
        <v>26</v>
      </c>
      <c r="F11395" s="33" t="s">
        <v>27</v>
      </c>
      <c r="G11395" s="33" t="s">
        <v>20</v>
      </c>
      <c r="H11395" s="35">
        <v>73</v>
      </c>
      <c r="I11395" s="33" t="s">
        <v>21</v>
      </c>
      <c r="J11395" s="42">
        <v>44606</v>
      </c>
      <c r="K11395" s="33" t="s">
        <v>22</v>
      </c>
    </row>
    <row r="11396" spans="1:11">
      <c r="A11396" s="30" t="s">
        <v>25929</v>
      </c>
      <c r="B11396" s="30" t="s">
        <v>25930</v>
      </c>
      <c r="C11396" s="30" t="s">
        <v>362</v>
      </c>
      <c r="D11396" s="30" t="s">
        <v>17</v>
      </c>
      <c r="E11396" s="30" t="s">
        <v>67</v>
      </c>
      <c r="F11396" s="30" t="s">
        <v>68</v>
      </c>
      <c r="G11396" s="30" t="s">
        <v>106</v>
      </c>
      <c r="H11396" s="32">
        <v>130</v>
      </c>
      <c r="I11396" s="30" t="s">
        <v>21</v>
      </c>
      <c r="J11396" s="41">
        <v>44629</v>
      </c>
      <c r="K11396" s="30" t="s">
        <v>22</v>
      </c>
    </row>
    <row r="11397" spans="1:11">
      <c r="A11397" s="33" t="s">
        <v>25931</v>
      </c>
      <c r="B11397" s="33" t="s">
        <v>25932</v>
      </c>
      <c r="C11397" s="33" t="s">
        <v>25933</v>
      </c>
      <c r="D11397" s="33" t="s">
        <v>17</v>
      </c>
      <c r="E11397" s="33" t="s">
        <v>31</v>
      </c>
      <c r="F11397" s="33" t="s">
        <v>32</v>
      </c>
      <c r="G11397" s="33" t="s">
        <v>20</v>
      </c>
      <c r="H11397" s="35">
        <v>72</v>
      </c>
      <c r="I11397" s="33" t="s">
        <v>21</v>
      </c>
      <c r="J11397" s="42">
        <v>44641</v>
      </c>
      <c r="K11397" s="33" t="s">
        <v>22</v>
      </c>
    </row>
    <row r="11398" spans="1:11">
      <c r="A11398" s="30" t="s">
        <v>25934</v>
      </c>
      <c r="B11398" s="30" t="s">
        <v>25935</v>
      </c>
      <c r="C11398" s="30" t="s">
        <v>22617</v>
      </c>
      <c r="D11398" s="30" t="s">
        <v>17</v>
      </c>
      <c r="E11398" s="30" t="s">
        <v>31</v>
      </c>
      <c r="F11398" s="30" t="s">
        <v>32</v>
      </c>
      <c r="G11398" s="30" t="s">
        <v>50</v>
      </c>
      <c r="H11398" s="32">
        <v>130</v>
      </c>
      <c r="I11398" s="30" t="s">
        <v>51</v>
      </c>
      <c r="J11398" s="41">
        <v>44642</v>
      </c>
      <c r="K11398" s="30" t="s">
        <v>22</v>
      </c>
    </row>
    <row r="11399" spans="1:11">
      <c r="A11399" s="33" t="s">
        <v>25936</v>
      </c>
      <c r="B11399" s="33" t="s">
        <v>25937</v>
      </c>
      <c r="C11399" s="33" t="s">
        <v>1305</v>
      </c>
      <c r="D11399" s="33" t="s">
        <v>17</v>
      </c>
      <c r="E11399" s="33" t="s">
        <v>26</v>
      </c>
      <c r="F11399" s="33" t="s">
        <v>27</v>
      </c>
      <c r="G11399" s="33" t="s">
        <v>20</v>
      </c>
      <c r="H11399" s="35">
        <v>34</v>
      </c>
      <c r="I11399" s="33" t="s">
        <v>21</v>
      </c>
      <c r="J11399" s="42">
        <v>44861</v>
      </c>
      <c r="K11399" s="33" t="s">
        <v>22</v>
      </c>
    </row>
    <row r="11400" spans="1:11">
      <c r="A11400" s="30" t="s">
        <v>25938</v>
      </c>
      <c r="B11400" s="30" t="s">
        <v>25939</v>
      </c>
      <c r="C11400" s="30" t="s">
        <v>109</v>
      </c>
      <c r="D11400" s="30" t="s">
        <v>17</v>
      </c>
      <c r="E11400" s="30" t="s">
        <v>31</v>
      </c>
      <c r="F11400" s="30" t="s">
        <v>32</v>
      </c>
      <c r="G11400" s="30" t="s">
        <v>140</v>
      </c>
      <c r="H11400" s="32">
        <v>240</v>
      </c>
      <c r="I11400" s="30" t="s">
        <v>51</v>
      </c>
      <c r="J11400" s="41">
        <v>44783</v>
      </c>
      <c r="K11400" s="30" t="s">
        <v>22</v>
      </c>
    </row>
    <row r="11401" spans="1:11">
      <c r="A11401" s="33" t="s">
        <v>25940</v>
      </c>
      <c r="B11401" s="33" t="s">
        <v>25941</v>
      </c>
      <c r="C11401" s="33" t="s">
        <v>7127</v>
      </c>
      <c r="D11401" s="33" t="s">
        <v>17</v>
      </c>
      <c r="E11401" s="33" t="s">
        <v>31</v>
      </c>
      <c r="F11401" s="33" t="s">
        <v>32</v>
      </c>
      <c r="G11401" s="33" t="s">
        <v>140</v>
      </c>
      <c r="H11401" s="35">
        <v>20</v>
      </c>
      <c r="I11401" s="33" t="s">
        <v>51</v>
      </c>
      <c r="J11401" s="42">
        <v>44922</v>
      </c>
      <c r="K11401" s="33" t="s">
        <v>22</v>
      </c>
    </row>
    <row r="11402" spans="1:11">
      <c r="A11402" s="30" t="s">
        <v>25942</v>
      </c>
      <c r="B11402" s="30" t="s">
        <v>25943</v>
      </c>
      <c r="C11402" s="30" t="s">
        <v>25944</v>
      </c>
      <c r="D11402" s="30" t="s">
        <v>17</v>
      </c>
      <c r="E11402" s="30" t="s">
        <v>18</v>
      </c>
      <c r="F11402" s="30" t="s">
        <v>19</v>
      </c>
      <c r="G11402" s="30" t="s">
        <v>20</v>
      </c>
      <c r="H11402" s="32">
        <v>104</v>
      </c>
      <c r="I11402" s="30" t="s">
        <v>21</v>
      </c>
      <c r="J11402" s="41">
        <v>44648</v>
      </c>
      <c r="K11402" s="30" t="s">
        <v>22</v>
      </c>
    </row>
    <row r="11403" spans="1:11">
      <c r="A11403" s="33" t="s">
        <v>25945</v>
      </c>
      <c r="B11403" s="33" t="s">
        <v>25946</v>
      </c>
      <c r="C11403" s="33" t="s">
        <v>178</v>
      </c>
      <c r="D11403" s="33" t="s">
        <v>17</v>
      </c>
      <c r="E11403" s="33" t="s">
        <v>18</v>
      </c>
      <c r="F11403" s="33" t="s">
        <v>19</v>
      </c>
      <c r="G11403" s="33" t="s">
        <v>20</v>
      </c>
      <c r="H11403" s="35">
        <v>346</v>
      </c>
      <c r="I11403" s="33" t="s">
        <v>21</v>
      </c>
      <c r="J11403" s="42">
        <v>44747</v>
      </c>
      <c r="K11403" s="33" t="s">
        <v>22</v>
      </c>
    </row>
    <row r="11404" spans="1:11">
      <c r="A11404" s="30" t="s">
        <v>25947</v>
      </c>
      <c r="B11404" s="30" t="s">
        <v>25948</v>
      </c>
      <c r="C11404" s="30" t="s">
        <v>24768</v>
      </c>
      <c r="D11404" s="30" t="s">
        <v>17</v>
      </c>
      <c r="E11404" s="30" t="s">
        <v>45</v>
      </c>
      <c r="F11404" s="30" t="s">
        <v>46</v>
      </c>
      <c r="G11404" s="30" t="s">
        <v>50</v>
      </c>
      <c r="H11404" s="32">
        <v>488</v>
      </c>
      <c r="I11404" s="30" t="s">
        <v>51</v>
      </c>
      <c r="J11404" s="41">
        <v>44634</v>
      </c>
      <c r="K11404" s="30" t="s">
        <v>22</v>
      </c>
    </row>
    <row r="11405" spans="1:11">
      <c r="A11405" s="33" t="s">
        <v>25949</v>
      </c>
      <c r="B11405" s="33" t="s">
        <v>25950</v>
      </c>
      <c r="C11405" s="33" t="s">
        <v>2382</v>
      </c>
      <c r="D11405" s="33" t="s">
        <v>17</v>
      </c>
      <c r="E11405" s="33" t="s">
        <v>67</v>
      </c>
      <c r="F11405" s="33" t="s">
        <v>68</v>
      </c>
      <c r="G11405" s="33" t="s">
        <v>20</v>
      </c>
      <c r="H11405" s="35">
        <v>21</v>
      </c>
      <c r="I11405" s="33" t="s">
        <v>21</v>
      </c>
      <c r="J11405" s="42">
        <v>44791</v>
      </c>
      <c r="K11405" s="33" t="s">
        <v>22</v>
      </c>
    </row>
    <row r="11406" spans="1:11">
      <c r="A11406" s="30" t="s">
        <v>25951</v>
      </c>
      <c r="B11406" s="30" t="s">
        <v>25952</v>
      </c>
      <c r="C11406" s="30" t="s">
        <v>25953</v>
      </c>
      <c r="D11406" s="30" t="s">
        <v>17</v>
      </c>
      <c r="E11406" s="30" t="s">
        <v>26</v>
      </c>
      <c r="F11406" s="30" t="s">
        <v>27</v>
      </c>
      <c r="G11406" s="30" t="s">
        <v>20</v>
      </c>
      <c r="H11406" s="32">
        <v>36</v>
      </c>
      <c r="I11406" s="30" t="s">
        <v>21</v>
      </c>
      <c r="J11406" s="41">
        <v>44761</v>
      </c>
      <c r="K11406" s="30" t="s">
        <v>22</v>
      </c>
    </row>
    <row r="11407" spans="1:11">
      <c r="A11407" s="33" t="s">
        <v>25954</v>
      </c>
      <c r="B11407" s="33" t="s">
        <v>25955</v>
      </c>
      <c r="C11407" s="33" t="s">
        <v>7897</v>
      </c>
      <c r="D11407" s="33" t="s">
        <v>17</v>
      </c>
      <c r="E11407" s="33" t="s">
        <v>67</v>
      </c>
      <c r="F11407" s="33" t="s">
        <v>68</v>
      </c>
      <c r="G11407" s="33" t="s">
        <v>106</v>
      </c>
      <c r="H11407" s="35">
        <v>14</v>
      </c>
      <c r="I11407" s="33" t="s">
        <v>21</v>
      </c>
      <c r="J11407" s="42">
        <v>44733</v>
      </c>
      <c r="K11407" s="33" t="s">
        <v>22</v>
      </c>
    </row>
    <row r="11408" spans="1:11">
      <c r="A11408" s="30" t="s">
        <v>25956</v>
      </c>
      <c r="B11408" s="30" t="s">
        <v>25957</v>
      </c>
      <c r="C11408" s="30" t="s">
        <v>429</v>
      </c>
      <c r="D11408" s="30" t="s">
        <v>17</v>
      </c>
      <c r="E11408" s="30" t="s">
        <v>26</v>
      </c>
      <c r="F11408" s="30" t="s">
        <v>27</v>
      </c>
      <c r="G11408" s="30" t="s">
        <v>20</v>
      </c>
      <c r="H11408" s="32">
        <v>36</v>
      </c>
      <c r="I11408" s="30" t="s">
        <v>21</v>
      </c>
      <c r="J11408" s="41">
        <v>44873</v>
      </c>
      <c r="K11408" s="30" t="s">
        <v>22</v>
      </c>
    </row>
    <row r="11409" spans="1:11">
      <c r="A11409" s="33" t="s">
        <v>25958</v>
      </c>
      <c r="B11409" s="33" t="s">
        <v>25959</v>
      </c>
      <c r="C11409" s="33" t="s">
        <v>203</v>
      </c>
      <c r="D11409" s="33" t="s">
        <v>17</v>
      </c>
      <c r="E11409" s="33" t="s">
        <v>26</v>
      </c>
      <c r="F11409" s="33" t="s">
        <v>27</v>
      </c>
      <c r="G11409" s="33" t="s">
        <v>20</v>
      </c>
      <c r="H11409" s="35">
        <v>10</v>
      </c>
      <c r="I11409" s="33" t="s">
        <v>21</v>
      </c>
      <c r="J11409" s="42">
        <v>44638</v>
      </c>
      <c r="K11409" s="33" t="s">
        <v>22</v>
      </c>
    </row>
    <row r="11410" spans="1:11">
      <c r="A11410" s="30" t="s">
        <v>25960</v>
      </c>
      <c r="B11410" s="30" t="s">
        <v>25961</v>
      </c>
      <c r="C11410" s="30" t="s">
        <v>102</v>
      </c>
      <c r="D11410" s="30" t="s">
        <v>17</v>
      </c>
      <c r="E11410" s="30" t="s">
        <v>26</v>
      </c>
      <c r="F11410" s="30" t="s">
        <v>27</v>
      </c>
      <c r="G11410" s="30" t="s">
        <v>20</v>
      </c>
      <c r="H11410" s="32">
        <v>20</v>
      </c>
      <c r="I11410" s="30" t="s">
        <v>21</v>
      </c>
      <c r="J11410" s="41">
        <v>44795</v>
      </c>
      <c r="K11410" s="30" t="s">
        <v>22</v>
      </c>
    </row>
    <row r="11411" spans="1:11">
      <c r="A11411" s="33" t="s">
        <v>25962</v>
      </c>
      <c r="B11411" s="33" t="s">
        <v>25963</v>
      </c>
      <c r="C11411" s="33" t="s">
        <v>1598</v>
      </c>
      <c r="D11411" s="33" t="s">
        <v>17</v>
      </c>
      <c r="E11411" s="33" t="s">
        <v>67</v>
      </c>
      <c r="F11411" s="33" t="s">
        <v>68</v>
      </c>
      <c r="G11411" s="33" t="s">
        <v>112</v>
      </c>
      <c r="H11411" s="35">
        <v>0</v>
      </c>
      <c r="I11411" s="33" t="s">
        <v>21</v>
      </c>
      <c r="J11411" s="42">
        <v>44866</v>
      </c>
      <c r="K11411" s="33" t="s">
        <v>22</v>
      </c>
    </row>
    <row r="11412" spans="1:11">
      <c r="A11412" s="30" t="s">
        <v>25964</v>
      </c>
      <c r="B11412" s="30" t="s">
        <v>25965</v>
      </c>
      <c r="C11412" s="30" t="s">
        <v>10288</v>
      </c>
      <c r="D11412" s="30" t="s">
        <v>17</v>
      </c>
      <c r="E11412" s="30" t="s">
        <v>67</v>
      </c>
      <c r="F11412" s="30" t="s">
        <v>68</v>
      </c>
      <c r="G11412" s="30" t="s">
        <v>50</v>
      </c>
      <c r="H11412" s="32">
        <v>60</v>
      </c>
      <c r="I11412" s="30" t="s">
        <v>21</v>
      </c>
      <c r="J11412" s="41">
        <v>44714</v>
      </c>
      <c r="K11412" s="30" t="s">
        <v>22</v>
      </c>
    </row>
    <row r="11413" spans="1:11">
      <c r="A11413" s="33" t="s">
        <v>25966</v>
      </c>
      <c r="B11413" s="33" t="s">
        <v>25967</v>
      </c>
      <c r="C11413" s="33" t="s">
        <v>44</v>
      </c>
      <c r="D11413" s="33" t="s">
        <v>17</v>
      </c>
      <c r="E11413" s="33" t="s">
        <v>18</v>
      </c>
      <c r="F11413" s="33" t="s">
        <v>19</v>
      </c>
      <c r="G11413" s="33" t="s">
        <v>158</v>
      </c>
      <c r="H11413" s="35">
        <v>63</v>
      </c>
      <c r="I11413" s="33" t="s">
        <v>21</v>
      </c>
      <c r="J11413" s="42">
        <v>44886</v>
      </c>
      <c r="K11413" s="33" t="s">
        <v>22</v>
      </c>
    </row>
    <row r="11414" spans="1:11">
      <c r="A11414" s="30" t="s">
        <v>25968</v>
      </c>
      <c r="B11414" s="30" t="s">
        <v>25969</v>
      </c>
      <c r="C11414" s="30" t="s">
        <v>21136</v>
      </c>
      <c r="D11414" s="30" t="s">
        <v>17</v>
      </c>
      <c r="E11414" s="30" t="s">
        <v>31</v>
      </c>
      <c r="F11414" s="30" t="s">
        <v>32</v>
      </c>
      <c r="G11414" s="30" t="s">
        <v>20</v>
      </c>
      <c r="H11414" s="32">
        <v>50</v>
      </c>
      <c r="I11414" s="30" t="s">
        <v>21</v>
      </c>
      <c r="J11414" s="41">
        <v>44648</v>
      </c>
      <c r="K11414" s="30" t="s">
        <v>22</v>
      </c>
    </row>
    <row r="11415" spans="1:11">
      <c r="A11415" s="33" t="s">
        <v>25970</v>
      </c>
      <c r="B11415" s="33" t="s">
        <v>25971</v>
      </c>
      <c r="C11415" s="33" t="s">
        <v>136</v>
      </c>
      <c r="D11415" s="33" t="s">
        <v>17</v>
      </c>
      <c r="E11415" s="33" t="s">
        <v>26</v>
      </c>
      <c r="F11415" s="33" t="s">
        <v>27</v>
      </c>
      <c r="G11415" s="33" t="s">
        <v>20</v>
      </c>
      <c r="H11415" s="35">
        <v>26</v>
      </c>
      <c r="I11415" s="33" t="s">
        <v>21</v>
      </c>
      <c r="J11415" s="42">
        <v>44774</v>
      </c>
      <c r="K11415" s="33" t="s">
        <v>22</v>
      </c>
    </row>
    <row r="11416" spans="1:11">
      <c r="A11416" s="30" t="s">
        <v>25972</v>
      </c>
      <c r="B11416" s="30" t="s">
        <v>25973</v>
      </c>
      <c r="C11416" s="30" t="s">
        <v>11796</v>
      </c>
      <c r="D11416" s="30" t="s">
        <v>17</v>
      </c>
      <c r="E11416" s="30" t="s">
        <v>26</v>
      </c>
      <c r="F11416" s="30" t="s">
        <v>27</v>
      </c>
      <c r="G11416" s="30" t="s">
        <v>20</v>
      </c>
      <c r="H11416" s="32">
        <v>34</v>
      </c>
      <c r="I11416" s="30" t="s">
        <v>21</v>
      </c>
      <c r="J11416" s="41">
        <v>44833</v>
      </c>
      <c r="K11416" s="30" t="s">
        <v>22</v>
      </c>
    </row>
    <row r="11417" spans="1:11">
      <c r="A11417" s="33" t="s">
        <v>25974</v>
      </c>
      <c r="B11417" s="33" t="s">
        <v>25975</v>
      </c>
      <c r="C11417" s="33" t="s">
        <v>25976</v>
      </c>
      <c r="D11417" s="33" t="s">
        <v>17</v>
      </c>
      <c r="E11417" s="33" t="s">
        <v>45</v>
      </c>
      <c r="F11417" s="33" t="s">
        <v>46</v>
      </c>
      <c r="G11417" s="33" t="s">
        <v>20</v>
      </c>
      <c r="H11417" s="35">
        <v>62</v>
      </c>
      <c r="I11417" s="33" t="s">
        <v>21</v>
      </c>
      <c r="J11417" s="42">
        <v>44901</v>
      </c>
      <c r="K11417" s="33" t="s">
        <v>22</v>
      </c>
    </row>
    <row r="11418" spans="1:11">
      <c r="A11418" s="30" t="s">
        <v>25977</v>
      </c>
      <c r="B11418" s="30" t="s">
        <v>25978</v>
      </c>
      <c r="C11418" s="30" t="s">
        <v>9234</v>
      </c>
      <c r="D11418" s="30" t="s">
        <v>17</v>
      </c>
      <c r="E11418" s="30" t="s">
        <v>18</v>
      </c>
      <c r="F11418" s="30" t="s">
        <v>19</v>
      </c>
      <c r="G11418" s="30" t="s">
        <v>20</v>
      </c>
      <c r="H11418" s="32">
        <v>15</v>
      </c>
      <c r="I11418" s="30" t="s">
        <v>21</v>
      </c>
      <c r="J11418" s="41">
        <v>44860</v>
      </c>
      <c r="K11418" s="30" t="s">
        <v>22</v>
      </c>
    </row>
    <row r="11419" spans="1:11">
      <c r="A11419" s="33" t="s">
        <v>25979</v>
      </c>
      <c r="B11419" s="33" t="s">
        <v>25980</v>
      </c>
      <c r="C11419" s="33" t="s">
        <v>118</v>
      </c>
      <c r="D11419" s="33" t="s">
        <v>17</v>
      </c>
      <c r="E11419" s="33" t="s">
        <v>26</v>
      </c>
      <c r="F11419" s="33" t="s">
        <v>27</v>
      </c>
      <c r="G11419" s="33" t="s">
        <v>158</v>
      </c>
      <c r="H11419" s="35">
        <v>129</v>
      </c>
      <c r="I11419" s="33" t="s">
        <v>21</v>
      </c>
      <c r="J11419" s="42">
        <v>44845</v>
      </c>
      <c r="K11419" s="33" t="s">
        <v>22</v>
      </c>
    </row>
    <row r="11420" spans="1:11">
      <c r="A11420" s="30" t="s">
        <v>25981</v>
      </c>
      <c r="B11420" s="30" t="s">
        <v>25982</v>
      </c>
      <c r="C11420" s="30" t="s">
        <v>190</v>
      </c>
      <c r="D11420" s="30" t="s">
        <v>17</v>
      </c>
      <c r="E11420" s="30" t="s">
        <v>26</v>
      </c>
      <c r="F11420" s="30" t="s">
        <v>27</v>
      </c>
      <c r="G11420" s="30" t="s">
        <v>20</v>
      </c>
      <c r="H11420" s="32">
        <v>6</v>
      </c>
      <c r="I11420" s="30" t="s">
        <v>21</v>
      </c>
      <c r="J11420" s="41">
        <v>44691</v>
      </c>
      <c r="K11420" s="30" t="s">
        <v>22</v>
      </c>
    </row>
    <row r="11421" spans="1:11">
      <c r="A11421" s="33" t="s">
        <v>25983</v>
      </c>
      <c r="B11421" s="33" t="s">
        <v>25984</v>
      </c>
      <c r="C11421" s="33" t="s">
        <v>681</v>
      </c>
      <c r="D11421" s="33" t="s">
        <v>17</v>
      </c>
      <c r="E11421" s="33" t="s">
        <v>45</v>
      </c>
      <c r="F11421" s="33" t="s">
        <v>46</v>
      </c>
      <c r="G11421" s="33" t="s">
        <v>158</v>
      </c>
      <c r="H11421" s="35">
        <v>225</v>
      </c>
      <c r="I11421" s="33" t="s">
        <v>51</v>
      </c>
      <c r="J11421" s="42">
        <v>44693</v>
      </c>
      <c r="K11421" s="33" t="s">
        <v>22</v>
      </c>
    </row>
    <row r="11422" spans="1:11">
      <c r="A11422" s="30" t="s">
        <v>25985</v>
      </c>
      <c r="B11422" s="30" t="s">
        <v>25986</v>
      </c>
      <c r="C11422" s="30" t="s">
        <v>57</v>
      </c>
      <c r="D11422" s="30" t="s">
        <v>17</v>
      </c>
      <c r="E11422" s="30" t="s">
        <v>26</v>
      </c>
      <c r="F11422" s="30" t="s">
        <v>27</v>
      </c>
      <c r="G11422" s="30" t="s">
        <v>20</v>
      </c>
      <c r="H11422" s="32">
        <v>36</v>
      </c>
      <c r="I11422" s="30" t="s">
        <v>21</v>
      </c>
      <c r="J11422" s="41">
        <v>44825</v>
      </c>
      <c r="K11422" s="30" t="s">
        <v>22</v>
      </c>
    </row>
    <row r="11423" spans="1:11">
      <c r="A11423" s="33" t="s">
        <v>25987</v>
      </c>
      <c r="B11423" s="33" t="s">
        <v>25988</v>
      </c>
      <c r="C11423" s="33" t="s">
        <v>25989</v>
      </c>
      <c r="D11423" s="33" t="s">
        <v>17</v>
      </c>
      <c r="E11423" s="33" t="s">
        <v>26</v>
      </c>
      <c r="F11423" s="33" t="s">
        <v>27</v>
      </c>
      <c r="G11423" s="33" t="s">
        <v>140</v>
      </c>
      <c r="H11423" s="35">
        <v>310</v>
      </c>
      <c r="I11423" s="33" t="s">
        <v>51</v>
      </c>
      <c r="J11423" s="42">
        <v>44866</v>
      </c>
      <c r="K11423" s="33" t="s">
        <v>22</v>
      </c>
    </row>
    <row r="11424" spans="1:11">
      <c r="A11424" s="30" t="s">
        <v>25990</v>
      </c>
      <c r="B11424" s="30" t="s">
        <v>25991</v>
      </c>
      <c r="C11424" s="30" t="s">
        <v>109</v>
      </c>
      <c r="D11424" s="30" t="s">
        <v>17</v>
      </c>
      <c r="E11424" s="30" t="s">
        <v>31</v>
      </c>
      <c r="F11424" s="30" t="s">
        <v>32</v>
      </c>
      <c r="G11424" s="30" t="s">
        <v>106</v>
      </c>
      <c r="H11424" s="32">
        <v>2</v>
      </c>
      <c r="I11424" s="30" t="s">
        <v>21</v>
      </c>
      <c r="J11424" s="41">
        <v>44628</v>
      </c>
      <c r="K11424" s="30" t="s">
        <v>22</v>
      </c>
    </row>
    <row r="11425" spans="1:11">
      <c r="A11425" s="33" t="s">
        <v>25992</v>
      </c>
      <c r="B11425" s="33" t="s">
        <v>25993</v>
      </c>
      <c r="C11425" s="33" t="s">
        <v>25994</v>
      </c>
      <c r="D11425" s="33" t="s">
        <v>17</v>
      </c>
      <c r="E11425" s="33" t="s">
        <v>67</v>
      </c>
      <c r="F11425" s="33" t="s">
        <v>68</v>
      </c>
      <c r="G11425" s="33" t="s">
        <v>158</v>
      </c>
      <c r="H11425" s="35">
        <v>2</v>
      </c>
      <c r="I11425" s="33" t="s">
        <v>21</v>
      </c>
      <c r="J11425" s="42">
        <v>44896</v>
      </c>
      <c r="K11425" s="33" t="s">
        <v>22</v>
      </c>
    </row>
    <row r="11426" spans="1:11">
      <c r="A11426" s="30" t="s">
        <v>25995</v>
      </c>
      <c r="B11426" s="30" t="s">
        <v>25996</v>
      </c>
      <c r="C11426" s="30" t="s">
        <v>25997</v>
      </c>
      <c r="D11426" s="30" t="s">
        <v>17</v>
      </c>
      <c r="E11426" s="30" t="s">
        <v>26</v>
      </c>
      <c r="F11426" s="30" t="s">
        <v>27</v>
      </c>
      <c r="G11426" s="30" t="s">
        <v>20</v>
      </c>
      <c r="H11426" s="32">
        <v>36</v>
      </c>
      <c r="I11426" s="30" t="s">
        <v>21</v>
      </c>
      <c r="J11426" s="41">
        <v>44644</v>
      </c>
      <c r="K11426" s="30" t="s">
        <v>22</v>
      </c>
    </row>
    <row r="11427" spans="1:11">
      <c r="A11427" s="33" t="s">
        <v>25998</v>
      </c>
      <c r="B11427" s="33" t="s">
        <v>25999</v>
      </c>
      <c r="C11427" s="33" t="s">
        <v>26000</v>
      </c>
      <c r="D11427" s="33" t="s">
        <v>17</v>
      </c>
      <c r="E11427" s="33" t="s">
        <v>26</v>
      </c>
      <c r="F11427" s="33" t="s">
        <v>27</v>
      </c>
      <c r="G11427" s="33" t="s">
        <v>50</v>
      </c>
      <c r="H11427" s="35">
        <v>24</v>
      </c>
      <c r="I11427" s="33" t="s">
        <v>51</v>
      </c>
      <c r="J11427" s="42">
        <v>44676</v>
      </c>
      <c r="K11427" s="33" t="s">
        <v>22</v>
      </c>
    </row>
    <row r="11428" spans="1:11">
      <c r="A11428" s="30" t="s">
        <v>26001</v>
      </c>
      <c r="B11428" s="30" t="s">
        <v>26002</v>
      </c>
      <c r="C11428" s="30" t="s">
        <v>26003</v>
      </c>
      <c r="D11428" s="30" t="s">
        <v>17</v>
      </c>
      <c r="E11428" s="30" t="s">
        <v>26</v>
      </c>
      <c r="F11428" s="30" t="s">
        <v>27</v>
      </c>
      <c r="G11428" s="30" t="s">
        <v>20</v>
      </c>
      <c r="H11428" s="32">
        <v>32</v>
      </c>
      <c r="I11428" s="30" t="s">
        <v>21</v>
      </c>
      <c r="J11428" s="41">
        <v>44781</v>
      </c>
      <c r="K11428" s="30" t="s">
        <v>22</v>
      </c>
    </row>
    <row r="11429" spans="1:11">
      <c r="A11429" s="33" t="s">
        <v>26004</v>
      </c>
      <c r="B11429" s="33" t="s">
        <v>26005</v>
      </c>
      <c r="C11429" s="33" t="s">
        <v>17877</v>
      </c>
      <c r="D11429" s="33" t="s">
        <v>17</v>
      </c>
      <c r="E11429" s="33" t="s">
        <v>26</v>
      </c>
      <c r="F11429" s="33" t="s">
        <v>27</v>
      </c>
      <c r="G11429" s="33" t="s">
        <v>20</v>
      </c>
      <c r="H11429" s="35">
        <v>17</v>
      </c>
      <c r="I11429" s="33" t="s">
        <v>21</v>
      </c>
      <c r="J11429" s="42">
        <v>44830</v>
      </c>
      <c r="K11429" s="33" t="s">
        <v>22</v>
      </c>
    </row>
    <row r="11430" spans="1:11">
      <c r="A11430" s="30" t="s">
        <v>26006</v>
      </c>
      <c r="B11430" s="30" t="s">
        <v>26007</v>
      </c>
      <c r="C11430" s="30" t="s">
        <v>535</v>
      </c>
      <c r="D11430" s="30" t="s">
        <v>17</v>
      </c>
      <c r="E11430" s="30" t="s">
        <v>26</v>
      </c>
      <c r="F11430" s="30" t="s">
        <v>27</v>
      </c>
      <c r="G11430" s="30" t="s">
        <v>20</v>
      </c>
      <c r="H11430" s="32">
        <v>32</v>
      </c>
      <c r="I11430" s="30" t="s">
        <v>21</v>
      </c>
      <c r="J11430" s="41">
        <v>44783</v>
      </c>
      <c r="K11430" s="30" t="s">
        <v>22</v>
      </c>
    </row>
    <row r="11431" spans="1:11">
      <c r="A11431" s="33" t="s">
        <v>26008</v>
      </c>
      <c r="B11431" s="33" t="s">
        <v>26009</v>
      </c>
      <c r="C11431" s="33" t="s">
        <v>450</v>
      </c>
      <c r="D11431" s="33" t="s">
        <v>17</v>
      </c>
      <c r="E11431" s="33" t="s">
        <v>26</v>
      </c>
      <c r="F11431" s="33" t="s">
        <v>27</v>
      </c>
      <c r="G11431" s="33" t="s">
        <v>158</v>
      </c>
      <c r="H11431" s="35">
        <v>48</v>
      </c>
      <c r="I11431" s="33" t="s">
        <v>21</v>
      </c>
      <c r="J11431" s="42">
        <v>44789</v>
      </c>
      <c r="K11431" s="33" t="s">
        <v>22</v>
      </c>
    </row>
    <row r="11432" spans="1:11">
      <c r="A11432" s="30" t="s">
        <v>26010</v>
      </c>
      <c r="B11432" s="30" t="s">
        <v>26011</v>
      </c>
      <c r="C11432" s="30" t="s">
        <v>9629</v>
      </c>
      <c r="D11432" s="30" t="s">
        <v>17</v>
      </c>
      <c r="E11432" s="30" t="s">
        <v>26</v>
      </c>
      <c r="F11432" s="30" t="s">
        <v>27</v>
      </c>
      <c r="G11432" s="30" t="s">
        <v>50</v>
      </c>
      <c r="H11432" s="32">
        <v>20</v>
      </c>
      <c r="I11432" s="30" t="s">
        <v>51</v>
      </c>
      <c r="J11432" s="41">
        <v>44691</v>
      </c>
      <c r="K11432" s="30" t="s">
        <v>22</v>
      </c>
    </row>
    <row r="11433" spans="1:11">
      <c r="A11433" s="33" t="s">
        <v>26012</v>
      </c>
      <c r="B11433" s="33" t="s">
        <v>26013</v>
      </c>
      <c r="C11433" s="33" t="s">
        <v>136</v>
      </c>
      <c r="D11433" s="33" t="s">
        <v>17</v>
      </c>
      <c r="E11433" s="33" t="s">
        <v>26</v>
      </c>
      <c r="F11433" s="33" t="s">
        <v>27</v>
      </c>
      <c r="G11433" s="33" t="s">
        <v>20</v>
      </c>
      <c r="H11433" s="35">
        <v>90</v>
      </c>
      <c r="I11433" s="33" t="s">
        <v>21</v>
      </c>
      <c r="J11433" s="42">
        <v>44719</v>
      </c>
      <c r="K11433" s="33" t="s">
        <v>22</v>
      </c>
    </row>
    <row r="11434" spans="1:11">
      <c r="A11434" s="30" t="s">
        <v>26014</v>
      </c>
      <c r="B11434" s="30" t="s">
        <v>26015</v>
      </c>
      <c r="C11434" s="30" t="s">
        <v>5842</v>
      </c>
      <c r="D11434" s="30" t="s">
        <v>17</v>
      </c>
      <c r="E11434" s="30" t="s">
        <v>67</v>
      </c>
      <c r="F11434" s="30" t="s">
        <v>68</v>
      </c>
      <c r="G11434" s="30" t="s">
        <v>20</v>
      </c>
      <c r="H11434" s="32">
        <v>93</v>
      </c>
      <c r="I11434" s="30" t="s">
        <v>21</v>
      </c>
      <c r="J11434" s="41">
        <v>44614</v>
      </c>
      <c r="K11434" s="30" t="s">
        <v>22</v>
      </c>
    </row>
    <row r="11435" spans="1:11">
      <c r="A11435" s="33" t="s">
        <v>26016</v>
      </c>
      <c r="B11435" s="33" t="s">
        <v>26017</v>
      </c>
      <c r="C11435" s="33" t="s">
        <v>1583</v>
      </c>
      <c r="D11435" s="33" t="s">
        <v>17</v>
      </c>
      <c r="E11435" s="33" t="s">
        <v>18</v>
      </c>
      <c r="F11435" s="33" t="s">
        <v>19</v>
      </c>
      <c r="G11435" s="33" t="s">
        <v>140</v>
      </c>
      <c r="H11435" s="35">
        <v>400</v>
      </c>
      <c r="I11435" s="33" t="s">
        <v>51</v>
      </c>
      <c r="J11435" s="42">
        <v>44858</v>
      </c>
      <c r="K11435" s="33" t="s">
        <v>22</v>
      </c>
    </row>
    <row r="11436" spans="1:11">
      <c r="A11436" s="30" t="s">
        <v>26018</v>
      </c>
      <c r="B11436" s="30" t="s">
        <v>26019</v>
      </c>
      <c r="C11436" s="30" t="s">
        <v>102</v>
      </c>
      <c r="D11436" s="30" t="s">
        <v>17</v>
      </c>
      <c r="E11436" s="30" t="s">
        <v>18</v>
      </c>
      <c r="F11436" s="30" t="s">
        <v>19</v>
      </c>
      <c r="G11436" s="30" t="s">
        <v>158</v>
      </c>
      <c r="H11436" s="32">
        <v>50</v>
      </c>
      <c r="I11436" s="30" t="s">
        <v>21</v>
      </c>
      <c r="J11436" s="41">
        <v>44803</v>
      </c>
      <c r="K11436" s="30" t="s">
        <v>22</v>
      </c>
    </row>
    <row r="11437" spans="1:11">
      <c r="A11437" s="33" t="s">
        <v>26020</v>
      </c>
      <c r="B11437" s="33" t="s">
        <v>26021</v>
      </c>
      <c r="C11437" s="33" t="s">
        <v>187</v>
      </c>
      <c r="D11437" s="33" t="s">
        <v>17</v>
      </c>
      <c r="E11437" s="33" t="s">
        <v>26</v>
      </c>
      <c r="F11437" s="33" t="s">
        <v>27</v>
      </c>
      <c r="G11437" s="33" t="s">
        <v>106</v>
      </c>
      <c r="H11437" s="35">
        <v>9</v>
      </c>
      <c r="I11437" s="33" t="s">
        <v>21</v>
      </c>
      <c r="J11437" s="42">
        <v>44774</v>
      </c>
      <c r="K11437" s="33" t="s">
        <v>22</v>
      </c>
    </row>
    <row r="11438" spans="1:11">
      <c r="A11438" s="30" t="s">
        <v>26022</v>
      </c>
      <c r="B11438" s="30" t="s">
        <v>26023</v>
      </c>
      <c r="C11438" s="30" t="s">
        <v>15208</v>
      </c>
      <c r="D11438" s="30" t="s">
        <v>17</v>
      </c>
      <c r="E11438" s="30" t="s">
        <v>26</v>
      </c>
      <c r="F11438" s="30" t="s">
        <v>27</v>
      </c>
      <c r="G11438" s="30" t="s">
        <v>20</v>
      </c>
      <c r="H11438" s="32">
        <v>18</v>
      </c>
      <c r="I11438" s="30" t="s">
        <v>21</v>
      </c>
      <c r="J11438" s="41">
        <v>44783</v>
      </c>
      <c r="K11438" s="30" t="s">
        <v>22</v>
      </c>
    </row>
    <row r="11439" spans="1:11">
      <c r="A11439" s="33" t="s">
        <v>26024</v>
      </c>
      <c r="B11439" s="33" t="s">
        <v>26025</v>
      </c>
      <c r="C11439" s="33" t="s">
        <v>1383</v>
      </c>
      <c r="D11439" s="33" t="s">
        <v>17</v>
      </c>
      <c r="E11439" s="33" t="s">
        <v>26</v>
      </c>
      <c r="F11439" s="33" t="s">
        <v>27</v>
      </c>
      <c r="G11439" s="33" t="s">
        <v>106</v>
      </c>
      <c r="H11439" s="35">
        <v>128</v>
      </c>
      <c r="I11439" s="33" t="s">
        <v>21</v>
      </c>
      <c r="J11439" s="42">
        <v>44755</v>
      </c>
      <c r="K11439" s="33" t="s">
        <v>22</v>
      </c>
    </row>
    <row r="11440" spans="1:11">
      <c r="A11440" s="30" t="s">
        <v>26026</v>
      </c>
      <c r="B11440" s="30" t="s">
        <v>26027</v>
      </c>
      <c r="C11440" s="30" t="s">
        <v>26028</v>
      </c>
      <c r="D11440" s="30" t="s">
        <v>17</v>
      </c>
      <c r="E11440" s="30" t="s">
        <v>31</v>
      </c>
      <c r="F11440" s="30" t="s">
        <v>32</v>
      </c>
      <c r="G11440" s="30" t="s">
        <v>112</v>
      </c>
      <c r="H11440" s="32">
        <v>0</v>
      </c>
      <c r="I11440" s="30" t="s">
        <v>21</v>
      </c>
      <c r="J11440" s="41">
        <v>44896</v>
      </c>
      <c r="K11440" s="30" t="s">
        <v>22</v>
      </c>
    </row>
    <row r="11441" spans="1:11">
      <c r="A11441" s="33" t="s">
        <v>26029</v>
      </c>
      <c r="B11441" s="33" t="s">
        <v>26030</v>
      </c>
      <c r="C11441" s="33" t="s">
        <v>75</v>
      </c>
      <c r="D11441" s="33" t="s">
        <v>17</v>
      </c>
      <c r="E11441" s="33" t="s">
        <v>26</v>
      </c>
      <c r="F11441" s="33" t="s">
        <v>27</v>
      </c>
      <c r="G11441" s="33" t="s">
        <v>106</v>
      </c>
      <c r="H11441" s="35">
        <v>5</v>
      </c>
      <c r="I11441" s="33" t="s">
        <v>21</v>
      </c>
      <c r="J11441" s="42">
        <v>44818</v>
      </c>
      <c r="K11441" s="33" t="s">
        <v>22</v>
      </c>
    </row>
    <row r="11442" spans="1:11">
      <c r="A11442" s="30" t="s">
        <v>26031</v>
      </c>
      <c r="B11442" s="30" t="s">
        <v>26032</v>
      </c>
      <c r="C11442" s="30" t="s">
        <v>15650</v>
      </c>
      <c r="D11442" s="30" t="s">
        <v>17</v>
      </c>
      <c r="E11442" s="30" t="s">
        <v>31</v>
      </c>
      <c r="F11442" s="30" t="s">
        <v>32</v>
      </c>
      <c r="G11442" s="30" t="s">
        <v>20</v>
      </c>
      <c r="H11442" s="32">
        <v>103</v>
      </c>
      <c r="I11442" s="30" t="s">
        <v>21</v>
      </c>
      <c r="J11442" s="41">
        <v>44614</v>
      </c>
      <c r="K11442" s="30" t="s">
        <v>22</v>
      </c>
    </row>
    <row r="11443" spans="1:11">
      <c r="A11443" s="33" t="s">
        <v>26033</v>
      </c>
      <c r="B11443" s="33" t="s">
        <v>26034</v>
      </c>
      <c r="C11443" s="33" t="s">
        <v>647</v>
      </c>
      <c r="D11443" s="33" t="s">
        <v>17</v>
      </c>
      <c r="E11443" s="33" t="s">
        <v>18</v>
      </c>
      <c r="F11443" s="33" t="s">
        <v>19</v>
      </c>
      <c r="G11443" s="33" t="s">
        <v>20</v>
      </c>
      <c r="H11443" s="35">
        <v>717</v>
      </c>
      <c r="I11443" s="33" t="s">
        <v>21</v>
      </c>
      <c r="J11443" s="42">
        <v>44754</v>
      </c>
      <c r="K11443" s="33" t="s">
        <v>22</v>
      </c>
    </row>
    <row r="11444" spans="1:11">
      <c r="A11444" s="30" t="s">
        <v>26035</v>
      </c>
      <c r="B11444" s="30" t="s">
        <v>26036</v>
      </c>
      <c r="C11444" s="30" t="s">
        <v>252</v>
      </c>
      <c r="D11444" s="30" t="s">
        <v>17</v>
      </c>
      <c r="E11444" s="30" t="s">
        <v>18</v>
      </c>
      <c r="F11444" s="30" t="s">
        <v>19</v>
      </c>
      <c r="G11444" s="30" t="s">
        <v>50</v>
      </c>
      <c r="H11444" s="32">
        <v>60</v>
      </c>
      <c r="I11444" s="30" t="s">
        <v>51</v>
      </c>
      <c r="J11444" s="41">
        <v>44607</v>
      </c>
      <c r="K11444" s="30" t="s">
        <v>22</v>
      </c>
    </row>
    <row r="11445" spans="1:11">
      <c r="A11445" s="33" t="s">
        <v>26037</v>
      </c>
      <c r="B11445" s="33" t="s">
        <v>26038</v>
      </c>
      <c r="C11445" s="33" t="s">
        <v>318</v>
      </c>
      <c r="D11445" s="33" t="s">
        <v>17</v>
      </c>
      <c r="E11445" s="33" t="s">
        <v>31</v>
      </c>
      <c r="F11445" s="33" t="s">
        <v>32</v>
      </c>
      <c r="G11445" s="33" t="s">
        <v>106</v>
      </c>
      <c r="H11445" s="35">
        <v>155</v>
      </c>
      <c r="I11445" s="33" t="s">
        <v>21</v>
      </c>
      <c r="J11445" s="42">
        <v>44713</v>
      </c>
      <c r="K11445" s="33" t="s">
        <v>22</v>
      </c>
    </row>
    <row r="11446" spans="1:11">
      <c r="A11446" s="30" t="s">
        <v>26039</v>
      </c>
      <c r="B11446" s="30" t="s">
        <v>26040</v>
      </c>
      <c r="C11446" s="30" t="s">
        <v>157</v>
      </c>
      <c r="D11446" s="30" t="s">
        <v>17</v>
      </c>
      <c r="E11446" s="30" t="s">
        <v>212</v>
      </c>
      <c r="F11446" s="30" t="s">
        <v>213</v>
      </c>
      <c r="G11446" s="30" t="s">
        <v>20</v>
      </c>
      <c r="H11446" s="32">
        <v>10</v>
      </c>
      <c r="I11446" s="30" t="s">
        <v>21</v>
      </c>
      <c r="J11446" s="41">
        <v>44893</v>
      </c>
      <c r="K11446" s="30" t="s">
        <v>22</v>
      </c>
    </row>
    <row r="11447" spans="1:11">
      <c r="A11447" s="33" t="s">
        <v>26041</v>
      </c>
      <c r="B11447" s="33" t="s">
        <v>26042</v>
      </c>
      <c r="C11447" s="33" t="s">
        <v>136</v>
      </c>
      <c r="D11447" s="33" t="s">
        <v>17</v>
      </c>
      <c r="E11447" s="33" t="s">
        <v>26</v>
      </c>
      <c r="F11447" s="33" t="s">
        <v>27</v>
      </c>
      <c r="G11447" s="33" t="s">
        <v>158</v>
      </c>
      <c r="H11447" s="35">
        <v>193</v>
      </c>
      <c r="I11447" s="33" t="s">
        <v>21</v>
      </c>
      <c r="J11447" s="42">
        <v>44692</v>
      </c>
      <c r="K11447" s="33" t="s">
        <v>22</v>
      </c>
    </row>
    <row r="11448" spans="1:11">
      <c r="A11448" s="30" t="s">
        <v>26043</v>
      </c>
      <c r="B11448" s="30" t="s">
        <v>26044</v>
      </c>
      <c r="C11448" s="30" t="s">
        <v>7736</v>
      </c>
      <c r="D11448" s="30" t="s">
        <v>17</v>
      </c>
      <c r="E11448" s="30" t="s">
        <v>31</v>
      </c>
      <c r="F11448" s="30" t="s">
        <v>32</v>
      </c>
      <c r="G11448" s="30" t="s">
        <v>20</v>
      </c>
      <c r="H11448" s="32">
        <v>81</v>
      </c>
      <c r="I11448" s="30" t="s">
        <v>21</v>
      </c>
      <c r="J11448" s="41">
        <v>44616</v>
      </c>
      <c r="K11448" s="30" t="s">
        <v>22</v>
      </c>
    </row>
    <row r="11449" spans="1:11">
      <c r="A11449" s="33" t="s">
        <v>26045</v>
      </c>
      <c r="B11449" s="33" t="s">
        <v>26046</v>
      </c>
      <c r="C11449" s="33" t="s">
        <v>3185</v>
      </c>
      <c r="D11449" s="33" t="s">
        <v>17</v>
      </c>
      <c r="E11449" s="33" t="s">
        <v>18</v>
      </c>
      <c r="F11449" s="33" t="s">
        <v>19</v>
      </c>
      <c r="G11449" s="33" t="s">
        <v>20</v>
      </c>
      <c r="H11449" s="35">
        <v>840</v>
      </c>
      <c r="I11449" s="33" t="s">
        <v>21</v>
      </c>
      <c r="J11449" s="42">
        <v>44904</v>
      </c>
      <c r="K11449" s="33" t="s">
        <v>22</v>
      </c>
    </row>
    <row r="11450" spans="1:11">
      <c r="A11450" s="30" t="s">
        <v>26047</v>
      </c>
      <c r="B11450" s="30" t="s">
        <v>26048</v>
      </c>
      <c r="C11450" s="30" t="s">
        <v>847</v>
      </c>
      <c r="D11450" s="30" t="s">
        <v>17</v>
      </c>
      <c r="E11450" s="30" t="s">
        <v>26</v>
      </c>
      <c r="F11450" s="30" t="s">
        <v>27</v>
      </c>
      <c r="G11450" s="30" t="s">
        <v>140</v>
      </c>
      <c r="H11450" s="32">
        <v>24</v>
      </c>
      <c r="I11450" s="30" t="s">
        <v>51</v>
      </c>
      <c r="J11450" s="41">
        <v>44925</v>
      </c>
      <c r="K11450" s="30" t="s">
        <v>22</v>
      </c>
    </row>
    <row r="11451" spans="1:11">
      <c r="A11451" s="33" t="s">
        <v>26049</v>
      </c>
      <c r="B11451" s="33" t="s">
        <v>26050</v>
      </c>
      <c r="C11451" s="33" t="s">
        <v>20283</v>
      </c>
      <c r="D11451" s="33" t="s">
        <v>17</v>
      </c>
      <c r="E11451" s="33" t="s">
        <v>26</v>
      </c>
      <c r="F11451" s="33" t="s">
        <v>27</v>
      </c>
      <c r="G11451" s="33" t="s">
        <v>20</v>
      </c>
      <c r="H11451" s="35">
        <v>26</v>
      </c>
      <c r="I11451" s="33" t="s">
        <v>21</v>
      </c>
      <c r="J11451" s="42">
        <v>44783</v>
      </c>
      <c r="K11451" s="33" t="s">
        <v>22</v>
      </c>
    </row>
    <row r="11452" spans="1:11">
      <c r="A11452" s="30" t="s">
        <v>26051</v>
      </c>
      <c r="B11452" s="30" t="s">
        <v>26052</v>
      </c>
      <c r="C11452" s="30" t="s">
        <v>2927</v>
      </c>
      <c r="D11452" s="30" t="s">
        <v>17</v>
      </c>
      <c r="E11452" s="30" t="s">
        <v>31</v>
      </c>
      <c r="F11452" s="30" t="s">
        <v>32</v>
      </c>
      <c r="G11452" s="30" t="s">
        <v>106</v>
      </c>
      <c r="H11452" s="32">
        <v>2</v>
      </c>
      <c r="I11452" s="30" t="s">
        <v>21</v>
      </c>
      <c r="J11452" s="41">
        <v>44610</v>
      </c>
      <c r="K11452" s="30" t="s">
        <v>22</v>
      </c>
    </row>
    <row r="11453" spans="1:11">
      <c r="A11453" s="33" t="s">
        <v>26053</v>
      </c>
      <c r="B11453" s="33" t="s">
        <v>26054</v>
      </c>
      <c r="C11453" s="33" t="s">
        <v>109</v>
      </c>
      <c r="D11453" s="33" t="s">
        <v>17</v>
      </c>
      <c r="E11453" s="33" t="s">
        <v>31</v>
      </c>
      <c r="F11453" s="33" t="s">
        <v>32</v>
      </c>
      <c r="G11453" s="33" t="s">
        <v>140</v>
      </c>
      <c r="H11453" s="35">
        <v>42</v>
      </c>
      <c r="I11453" s="33" t="s">
        <v>51</v>
      </c>
      <c r="J11453" s="42">
        <v>44802</v>
      </c>
      <c r="K11453" s="33" t="s">
        <v>22</v>
      </c>
    </row>
    <row r="11454" spans="1:11">
      <c r="A11454" s="30" t="s">
        <v>26055</v>
      </c>
      <c r="B11454" s="30" t="s">
        <v>26056</v>
      </c>
      <c r="C11454" s="30" t="s">
        <v>17523</v>
      </c>
      <c r="D11454" s="30" t="s">
        <v>17</v>
      </c>
      <c r="E11454" s="30" t="s">
        <v>26</v>
      </c>
      <c r="F11454" s="30" t="s">
        <v>27</v>
      </c>
      <c r="G11454" s="30" t="s">
        <v>50</v>
      </c>
      <c r="H11454" s="32">
        <v>410</v>
      </c>
      <c r="I11454" s="30" t="s">
        <v>51</v>
      </c>
      <c r="J11454" s="41">
        <v>44652</v>
      </c>
      <c r="K11454" s="30" t="s">
        <v>22</v>
      </c>
    </row>
    <row r="11455" spans="1:11">
      <c r="A11455" s="33" t="s">
        <v>26057</v>
      </c>
      <c r="B11455" s="33" t="s">
        <v>26058</v>
      </c>
      <c r="C11455" s="33" t="s">
        <v>26059</v>
      </c>
      <c r="D11455" s="33" t="s">
        <v>17</v>
      </c>
      <c r="E11455" s="33" t="s">
        <v>26</v>
      </c>
      <c r="F11455" s="33" t="s">
        <v>27</v>
      </c>
      <c r="G11455" s="33" t="s">
        <v>140</v>
      </c>
      <c r="H11455" s="35">
        <v>50</v>
      </c>
      <c r="I11455" s="33" t="s">
        <v>51</v>
      </c>
      <c r="J11455" s="42">
        <v>44670</v>
      </c>
      <c r="K11455" s="33" t="s">
        <v>22</v>
      </c>
    </row>
    <row r="11456" spans="1:11">
      <c r="A11456" s="30" t="s">
        <v>26060</v>
      </c>
      <c r="B11456" s="30" t="s">
        <v>26061</v>
      </c>
      <c r="C11456" s="30" t="s">
        <v>1846</v>
      </c>
      <c r="D11456" s="30" t="s">
        <v>17</v>
      </c>
      <c r="E11456" s="30" t="s">
        <v>18</v>
      </c>
      <c r="F11456" s="30" t="s">
        <v>19</v>
      </c>
      <c r="G11456" s="30" t="s">
        <v>20</v>
      </c>
      <c r="H11456" s="32">
        <v>51</v>
      </c>
      <c r="I11456" s="30" t="s">
        <v>21</v>
      </c>
      <c r="J11456" s="41">
        <v>44778</v>
      </c>
      <c r="K11456" s="30" t="s">
        <v>22</v>
      </c>
    </row>
    <row r="11457" spans="1:11">
      <c r="A11457" s="33" t="s">
        <v>26062</v>
      </c>
      <c r="B11457" s="33" t="s">
        <v>26063</v>
      </c>
      <c r="C11457" s="33" t="s">
        <v>14737</v>
      </c>
      <c r="D11457" s="33" t="s">
        <v>17</v>
      </c>
      <c r="E11457" s="33" t="s">
        <v>31</v>
      </c>
      <c r="F11457" s="33" t="s">
        <v>32</v>
      </c>
      <c r="G11457" s="33" t="s">
        <v>20</v>
      </c>
      <c r="H11457" s="35">
        <v>333</v>
      </c>
      <c r="I11457" s="33" t="s">
        <v>21</v>
      </c>
      <c r="J11457" s="42">
        <v>44687</v>
      </c>
      <c r="K11457" s="33" t="s">
        <v>22</v>
      </c>
    </row>
    <row r="11458" spans="1:11">
      <c r="A11458" s="30" t="s">
        <v>26064</v>
      </c>
      <c r="B11458" s="30" t="s">
        <v>26065</v>
      </c>
      <c r="C11458" s="30" t="s">
        <v>26066</v>
      </c>
      <c r="D11458" s="30" t="s">
        <v>17</v>
      </c>
      <c r="E11458" s="30" t="s">
        <v>26</v>
      </c>
      <c r="F11458" s="30" t="s">
        <v>27</v>
      </c>
      <c r="G11458" s="30" t="s">
        <v>50</v>
      </c>
      <c r="H11458" s="32">
        <v>24</v>
      </c>
      <c r="I11458" s="30" t="s">
        <v>51</v>
      </c>
      <c r="J11458" s="41">
        <v>44743</v>
      </c>
      <c r="K11458" s="30" t="s">
        <v>22</v>
      </c>
    </row>
    <row r="11459" spans="1:11">
      <c r="A11459" s="33" t="s">
        <v>26067</v>
      </c>
      <c r="B11459" s="33" t="s">
        <v>26068</v>
      </c>
      <c r="C11459" s="33" t="s">
        <v>3790</v>
      </c>
      <c r="D11459" s="33" t="s">
        <v>17</v>
      </c>
      <c r="E11459" s="33" t="s">
        <v>26</v>
      </c>
      <c r="F11459" s="33" t="s">
        <v>27</v>
      </c>
      <c r="G11459" s="33" t="s">
        <v>20</v>
      </c>
      <c r="H11459" s="35">
        <v>15</v>
      </c>
      <c r="I11459" s="33" t="s">
        <v>21</v>
      </c>
      <c r="J11459" s="42">
        <v>44634</v>
      </c>
      <c r="K11459" s="33" t="s">
        <v>22</v>
      </c>
    </row>
    <row r="11460" spans="1:11">
      <c r="A11460" s="30" t="s">
        <v>26069</v>
      </c>
      <c r="B11460" s="30" t="s">
        <v>26070</v>
      </c>
      <c r="C11460" s="30" t="s">
        <v>26071</v>
      </c>
      <c r="D11460" s="30" t="s">
        <v>17</v>
      </c>
      <c r="E11460" s="30" t="s">
        <v>26</v>
      </c>
      <c r="F11460" s="30" t="s">
        <v>27</v>
      </c>
      <c r="G11460" s="30" t="s">
        <v>140</v>
      </c>
      <c r="H11460" s="32">
        <v>48</v>
      </c>
      <c r="I11460" s="30" t="s">
        <v>51</v>
      </c>
      <c r="J11460" s="41">
        <v>44886</v>
      </c>
      <c r="K11460" s="30" t="s">
        <v>22</v>
      </c>
    </row>
    <row r="11461" spans="1:11">
      <c r="A11461" s="33" t="s">
        <v>26072</v>
      </c>
      <c r="B11461" s="33" t="s">
        <v>26073</v>
      </c>
      <c r="C11461" s="33" t="s">
        <v>1509</v>
      </c>
      <c r="D11461" s="33" t="s">
        <v>17</v>
      </c>
      <c r="E11461" s="33" t="s">
        <v>212</v>
      </c>
      <c r="F11461" s="33" t="s">
        <v>213</v>
      </c>
      <c r="G11461" s="33" t="s">
        <v>140</v>
      </c>
      <c r="H11461" s="35">
        <v>5</v>
      </c>
      <c r="I11461" s="33" t="s">
        <v>51</v>
      </c>
      <c r="J11461" s="42">
        <v>44866</v>
      </c>
      <c r="K11461" s="33" t="s">
        <v>22</v>
      </c>
    </row>
    <row r="11462" spans="1:11">
      <c r="A11462" s="30" t="s">
        <v>26074</v>
      </c>
      <c r="B11462" s="30" t="s">
        <v>26075</v>
      </c>
      <c r="C11462" s="30" t="s">
        <v>5352</v>
      </c>
      <c r="D11462" s="30" t="s">
        <v>17</v>
      </c>
      <c r="E11462" s="30" t="s">
        <v>67</v>
      </c>
      <c r="F11462" s="30" t="s">
        <v>68</v>
      </c>
      <c r="G11462" s="30" t="s">
        <v>112</v>
      </c>
      <c r="H11462" s="32">
        <v>0</v>
      </c>
      <c r="I11462" s="30" t="s">
        <v>21</v>
      </c>
      <c r="J11462" s="41">
        <v>44835</v>
      </c>
      <c r="K11462" s="30" t="s">
        <v>22</v>
      </c>
    </row>
    <row r="11463" spans="1:11">
      <c r="A11463" s="33" t="s">
        <v>26076</v>
      </c>
      <c r="B11463" s="33" t="s">
        <v>26077</v>
      </c>
      <c r="C11463" s="33" t="s">
        <v>96</v>
      </c>
      <c r="D11463" s="33" t="s">
        <v>17</v>
      </c>
      <c r="E11463" s="33" t="s">
        <v>18</v>
      </c>
      <c r="F11463" s="33" t="s">
        <v>19</v>
      </c>
      <c r="G11463" s="33" t="s">
        <v>20</v>
      </c>
      <c r="H11463" s="35">
        <v>261</v>
      </c>
      <c r="I11463" s="33" t="s">
        <v>21</v>
      </c>
      <c r="J11463" s="42">
        <v>44609</v>
      </c>
      <c r="K11463" s="33" t="s">
        <v>22</v>
      </c>
    </row>
    <row r="11464" spans="1:11">
      <c r="A11464" s="30" t="s">
        <v>26078</v>
      </c>
      <c r="B11464" s="30" t="s">
        <v>26079</v>
      </c>
      <c r="C11464" s="30" t="s">
        <v>26080</v>
      </c>
      <c r="D11464" s="30" t="s">
        <v>17</v>
      </c>
      <c r="E11464" s="30" t="s">
        <v>26</v>
      </c>
      <c r="F11464" s="30" t="s">
        <v>27</v>
      </c>
      <c r="G11464" s="30" t="s">
        <v>112</v>
      </c>
      <c r="H11464" s="32">
        <v>0</v>
      </c>
      <c r="I11464" s="30" t="s">
        <v>21</v>
      </c>
      <c r="J11464" s="41">
        <v>44812</v>
      </c>
      <c r="K11464" s="30" t="s">
        <v>22</v>
      </c>
    </row>
    <row r="11465" spans="1:11">
      <c r="A11465" s="33" t="s">
        <v>26081</v>
      </c>
      <c r="B11465" s="33" t="s">
        <v>26082</v>
      </c>
      <c r="C11465" s="33" t="s">
        <v>465</v>
      </c>
      <c r="D11465" s="33" t="s">
        <v>17</v>
      </c>
      <c r="E11465" s="33" t="s">
        <v>26</v>
      </c>
      <c r="F11465" s="33" t="s">
        <v>27</v>
      </c>
      <c r="G11465" s="33" t="s">
        <v>20</v>
      </c>
      <c r="H11465" s="35">
        <v>6</v>
      </c>
      <c r="I11465" s="33" t="s">
        <v>21</v>
      </c>
      <c r="J11465" s="42">
        <v>44805</v>
      </c>
      <c r="K11465" s="33" t="s">
        <v>22</v>
      </c>
    </row>
    <row r="11466" spans="1:11">
      <c r="A11466" s="30" t="s">
        <v>26083</v>
      </c>
      <c r="B11466" s="30" t="s">
        <v>26084</v>
      </c>
      <c r="C11466" s="30" t="s">
        <v>252</v>
      </c>
      <c r="D11466" s="30" t="s">
        <v>17</v>
      </c>
      <c r="E11466" s="30" t="s">
        <v>18</v>
      </c>
      <c r="F11466" s="30" t="s">
        <v>19</v>
      </c>
      <c r="G11466" s="30" t="s">
        <v>158</v>
      </c>
      <c r="H11466" s="32">
        <v>398</v>
      </c>
      <c r="I11466" s="30" t="s">
        <v>21</v>
      </c>
      <c r="J11466" s="41">
        <v>44874</v>
      </c>
      <c r="K11466" s="30" t="s">
        <v>22</v>
      </c>
    </row>
    <row r="11467" spans="1:11">
      <c r="A11467" s="33" t="s">
        <v>26085</v>
      </c>
      <c r="B11467" s="33" t="s">
        <v>26086</v>
      </c>
      <c r="C11467" s="33" t="s">
        <v>570</v>
      </c>
      <c r="D11467" s="33" t="s">
        <v>17</v>
      </c>
      <c r="E11467" s="33" t="s">
        <v>67</v>
      </c>
      <c r="F11467" s="33" t="s">
        <v>68</v>
      </c>
      <c r="G11467" s="33" t="s">
        <v>50</v>
      </c>
      <c r="H11467" s="35">
        <v>60</v>
      </c>
      <c r="I11467" s="33" t="s">
        <v>51</v>
      </c>
      <c r="J11467" s="42">
        <v>44620</v>
      </c>
      <c r="K11467" s="33" t="s">
        <v>22</v>
      </c>
    </row>
    <row r="11468" spans="1:11">
      <c r="A11468" s="30" t="s">
        <v>26087</v>
      </c>
      <c r="B11468" s="30" t="s">
        <v>26088</v>
      </c>
      <c r="C11468" s="30" t="s">
        <v>26089</v>
      </c>
      <c r="D11468" s="30" t="s">
        <v>17</v>
      </c>
      <c r="E11468" s="30" t="s">
        <v>26</v>
      </c>
      <c r="F11468" s="30" t="s">
        <v>27</v>
      </c>
      <c r="G11468" s="30" t="s">
        <v>20</v>
      </c>
      <c r="H11468" s="32">
        <v>48</v>
      </c>
      <c r="I11468" s="30" t="s">
        <v>21</v>
      </c>
      <c r="J11468" s="41">
        <v>44799</v>
      </c>
      <c r="K11468" s="30" t="s">
        <v>22</v>
      </c>
    </row>
    <row r="11469" spans="1:11">
      <c r="A11469" s="33" t="s">
        <v>26090</v>
      </c>
      <c r="B11469" s="33" t="s">
        <v>26091</v>
      </c>
      <c r="C11469" s="33" t="s">
        <v>10369</v>
      </c>
      <c r="D11469" s="33" t="s">
        <v>17</v>
      </c>
      <c r="E11469" s="33" t="s">
        <v>31</v>
      </c>
      <c r="F11469" s="33" t="s">
        <v>32</v>
      </c>
      <c r="G11469" s="33" t="s">
        <v>106</v>
      </c>
      <c r="H11469" s="35">
        <v>16</v>
      </c>
      <c r="I11469" s="33" t="s">
        <v>21</v>
      </c>
      <c r="J11469" s="42">
        <v>44778</v>
      </c>
      <c r="K11469" s="33" t="s">
        <v>22</v>
      </c>
    </row>
    <row r="11470" spans="1:11">
      <c r="A11470" s="30" t="s">
        <v>26092</v>
      </c>
      <c r="B11470" s="30" t="s">
        <v>26093</v>
      </c>
      <c r="C11470" s="30" t="s">
        <v>1655</v>
      </c>
      <c r="D11470" s="30" t="s">
        <v>17</v>
      </c>
      <c r="E11470" s="30" t="s">
        <v>18</v>
      </c>
      <c r="F11470" s="30" t="s">
        <v>19</v>
      </c>
      <c r="G11470" s="30" t="s">
        <v>106</v>
      </c>
      <c r="H11470" s="32">
        <v>456</v>
      </c>
      <c r="I11470" s="30" t="s">
        <v>21</v>
      </c>
      <c r="J11470" s="41">
        <v>44571</v>
      </c>
      <c r="K11470" s="30" t="s">
        <v>22</v>
      </c>
    </row>
    <row r="11471" spans="1:11">
      <c r="A11471" s="33" t="s">
        <v>26094</v>
      </c>
      <c r="B11471" s="33" t="s">
        <v>26095</v>
      </c>
      <c r="C11471" s="33" t="s">
        <v>25421</v>
      </c>
      <c r="D11471" s="33" t="s">
        <v>17</v>
      </c>
      <c r="E11471" s="33" t="s">
        <v>18</v>
      </c>
      <c r="F11471" s="33" t="s">
        <v>19</v>
      </c>
      <c r="G11471" s="33" t="s">
        <v>50</v>
      </c>
      <c r="H11471" s="35">
        <v>340</v>
      </c>
      <c r="I11471" s="33" t="s">
        <v>51</v>
      </c>
      <c r="J11471" s="42">
        <v>44774</v>
      </c>
      <c r="K11471" s="33" t="s">
        <v>22</v>
      </c>
    </row>
    <row r="11472" spans="1:11">
      <c r="A11472" s="30" t="s">
        <v>26096</v>
      </c>
      <c r="B11472" s="30" t="s">
        <v>26097</v>
      </c>
      <c r="C11472" s="30" t="s">
        <v>149</v>
      </c>
      <c r="D11472" s="30" t="s">
        <v>17</v>
      </c>
      <c r="E11472" s="30" t="s">
        <v>31</v>
      </c>
      <c r="F11472" s="30" t="s">
        <v>32</v>
      </c>
      <c r="G11472" s="30" t="s">
        <v>106</v>
      </c>
      <c r="H11472" s="32">
        <v>25</v>
      </c>
      <c r="I11472" s="30" t="s">
        <v>21</v>
      </c>
      <c r="J11472" s="41">
        <v>44673</v>
      </c>
      <c r="K11472" s="30" t="s">
        <v>22</v>
      </c>
    </row>
    <row r="11473" spans="1:11">
      <c r="A11473" s="33" t="s">
        <v>26098</v>
      </c>
      <c r="B11473" s="33" t="s">
        <v>26099</v>
      </c>
      <c r="C11473" s="33" t="s">
        <v>12879</v>
      </c>
      <c r="D11473" s="33" t="s">
        <v>17</v>
      </c>
      <c r="E11473" s="33" t="s">
        <v>67</v>
      </c>
      <c r="F11473" s="33" t="s">
        <v>68</v>
      </c>
      <c r="G11473" s="33" t="s">
        <v>158</v>
      </c>
      <c r="H11473" s="35">
        <v>120</v>
      </c>
      <c r="I11473" s="33" t="s">
        <v>51</v>
      </c>
      <c r="J11473" s="42">
        <v>44747</v>
      </c>
      <c r="K11473" s="33" t="s">
        <v>22</v>
      </c>
    </row>
    <row r="11474" spans="1:11">
      <c r="A11474" s="30" t="s">
        <v>26100</v>
      </c>
      <c r="B11474" s="30" t="s">
        <v>26101</v>
      </c>
      <c r="C11474" s="30" t="s">
        <v>936</v>
      </c>
      <c r="D11474" s="30" t="s">
        <v>17</v>
      </c>
      <c r="E11474" s="30" t="s">
        <v>31</v>
      </c>
      <c r="F11474" s="30" t="s">
        <v>32</v>
      </c>
      <c r="G11474" s="30" t="s">
        <v>20</v>
      </c>
      <c r="H11474" s="32">
        <v>169</v>
      </c>
      <c r="I11474" s="30" t="s">
        <v>21</v>
      </c>
      <c r="J11474" s="41">
        <v>44896</v>
      </c>
      <c r="K11474" s="30" t="s">
        <v>22</v>
      </c>
    </row>
    <row r="11475" spans="1:11">
      <c r="A11475" s="33" t="s">
        <v>26102</v>
      </c>
      <c r="B11475" s="33" t="s">
        <v>26103</v>
      </c>
      <c r="C11475" s="33" t="s">
        <v>928</v>
      </c>
      <c r="D11475" s="33" t="s">
        <v>17</v>
      </c>
      <c r="E11475" s="33" t="s">
        <v>31</v>
      </c>
      <c r="F11475" s="33" t="s">
        <v>32</v>
      </c>
      <c r="G11475" s="33" t="s">
        <v>158</v>
      </c>
      <c r="H11475" s="35">
        <v>120</v>
      </c>
      <c r="I11475" s="33" t="s">
        <v>51</v>
      </c>
      <c r="J11475" s="42">
        <v>44713</v>
      </c>
      <c r="K11475" s="33" t="s">
        <v>22</v>
      </c>
    </row>
    <row r="11476" spans="1:11">
      <c r="A11476" s="30" t="s">
        <v>26104</v>
      </c>
      <c r="B11476" s="30" t="s">
        <v>26105</v>
      </c>
      <c r="C11476" s="30" t="s">
        <v>96</v>
      </c>
      <c r="D11476" s="30" t="s">
        <v>17</v>
      </c>
      <c r="E11476" s="30" t="s">
        <v>26</v>
      </c>
      <c r="F11476" s="30" t="s">
        <v>27</v>
      </c>
      <c r="G11476" s="30" t="s">
        <v>20</v>
      </c>
      <c r="H11476" s="32">
        <v>18</v>
      </c>
      <c r="I11476" s="30" t="s">
        <v>21</v>
      </c>
      <c r="J11476" s="41">
        <v>44743</v>
      </c>
      <c r="K11476" s="30" t="s">
        <v>22</v>
      </c>
    </row>
    <row r="11477" spans="1:11">
      <c r="A11477" s="33" t="s">
        <v>26106</v>
      </c>
      <c r="B11477" s="33" t="s">
        <v>26107</v>
      </c>
      <c r="C11477" s="33" t="s">
        <v>26108</v>
      </c>
      <c r="D11477" s="33" t="s">
        <v>17</v>
      </c>
      <c r="E11477" s="33" t="s">
        <v>26</v>
      </c>
      <c r="F11477" s="33" t="s">
        <v>27</v>
      </c>
      <c r="G11477" s="33" t="s">
        <v>20</v>
      </c>
      <c r="H11477" s="35">
        <v>18</v>
      </c>
      <c r="I11477" s="33" t="s">
        <v>21</v>
      </c>
      <c r="J11477" s="42">
        <v>44690</v>
      </c>
      <c r="K11477" s="33" t="s">
        <v>22</v>
      </c>
    </row>
    <row r="11478" spans="1:11">
      <c r="A11478" s="30" t="s">
        <v>26109</v>
      </c>
      <c r="B11478" s="30" t="s">
        <v>26110</v>
      </c>
      <c r="C11478" s="30" t="s">
        <v>178</v>
      </c>
      <c r="D11478" s="30" t="s">
        <v>17</v>
      </c>
      <c r="E11478" s="30" t="s">
        <v>31</v>
      </c>
      <c r="F11478" s="30" t="s">
        <v>32</v>
      </c>
      <c r="G11478" s="30" t="s">
        <v>20</v>
      </c>
      <c r="H11478" s="32">
        <v>95</v>
      </c>
      <c r="I11478" s="30" t="s">
        <v>21</v>
      </c>
      <c r="J11478" s="41">
        <v>44629</v>
      </c>
      <c r="K11478" s="30" t="s">
        <v>22</v>
      </c>
    </row>
    <row r="11479" spans="1:11">
      <c r="A11479" s="33" t="s">
        <v>26111</v>
      </c>
      <c r="B11479" s="33" t="s">
        <v>26112</v>
      </c>
      <c r="C11479" s="33" t="s">
        <v>1680</v>
      </c>
      <c r="D11479" s="33" t="s">
        <v>17</v>
      </c>
      <c r="E11479" s="33" t="s">
        <v>67</v>
      </c>
      <c r="F11479" s="33" t="s">
        <v>68</v>
      </c>
      <c r="G11479" s="33" t="s">
        <v>20</v>
      </c>
      <c r="H11479" s="35">
        <v>320</v>
      </c>
      <c r="I11479" s="33" t="s">
        <v>21</v>
      </c>
      <c r="J11479" s="42">
        <v>44818</v>
      </c>
      <c r="K11479" s="33" t="s">
        <v>22</v>
      </c>
    </row>
    <row r="11480" spans="1:11">
      <c r="A11480" s="30" t="s">
        <v>26113</v>
      </c>
      <c r="B11480" s="30" t="s">
        <v>26114</v>
      </c>
      <c r="C11480" s="30" t="s">
        <v>178</v>
      </c>
      <c r="D11480" s="30" t="s">
        <v>17</v>
      </c>
      <c r="E11480" s="30" t="s">
        <v>18</v>
      </c>
      <c r="F11480" s="30" t="s">
        <v>19</v>
      </c>
      <c r="G11480" s="30" t="s">
        <v>158</v>
      </c>
      <c r="H11480" s="32">
        <v>188</v>
      </c>
      <c r="I11480" s="30" t="s">
        <v>21</v>
      </c>
      <c r="J11480" s="41">
        <v>44700</v>
      </c>
      <c r="K11480" s="30" t="s">
        <v>22</v>
      </c>
    </row>
    <row r="11481" spans="1:11">
      <c r="A11481" s="33" t="s">
        <v>26115</v>
      </c>
      <c r="B11481" s="33" t="s">
        <v>26116</v>
      </c>
      <c r="C11481" s="33" t="s">
        <v>190</v>
      </c>
      <c r="D11481" s="33" t="s">
        <v>17</v>
      </c>
      <c r="E11481" s="33" t="s">
        <v>26</v>
      </c>
      <c r="F11481" s="33" t="s">
        <v>27</v>
      </c>
      <c r="G11481" s="33" t="s">
        <v>106</v>
      </c>
      <c r="H11481" s="35">
        <v>31</v>
      </c>
      <c r="I11481" s="33" t="s">
        <v>21</v>
      </c>
      <c r="J11481" s="42">
        <v>44915</v>
      </c>
      <c r="K11481" s="33" t="s">
        <v>22</v>
      </c>
    </row>
    <row r="11482" spans="1:11">
      <c r="A11482" s="30" t="s">
        <v>26117</v>
      </c>
      <c r="B11482" s="30" t="s">
        <v>26118</v>
      </c>
      <c r="C11482" s="30" t="s">
        <v>16560</v>
      </c>
      <c r="D11482" s="30" t="s">
        <v>17</v>
      </c>
      <c r="E11482" s="30" t="s">
        <v>26</v>
      </c>
      <c r="F11482" s="30" t="s">
        <v>27</v>
      </c>
      <c r="G11482" s="30" t="s">
        <v>50</v>
      </c>
      <c r="H11482" s="32">
        <v>5</v>
      </c>
      <c r="I11482" s="30" t="s">
        <v>21</v>
      </c>
      <c r="J11482" s="41">
        <v>44915</v>
      </c>
      <c r="K11482" s="30" t="s">
        <v>22</v>
      </c>
    </row>
    <row r="11483" spans="1:11">
      <c r="A11483" s="33" t="s">
        <v>26119</v>
      </c>
      <c r="B11483" s="33" t="s">
        <v>12962</v>
      </c>
      <c r="C11483" s="33" t="s">
        <v>8262</v>
      </c>
      <c r="D11483" s="33" t="s">
        <v>17</v>
      </c>
      <c r="E11483" s="33" t="s">
        <v>26</v>
      </c>
      <c r="F11483" s="33" t="s">
        <v>27</v>
      </c>
      <c r="G11483" s="33" t="s">
        <v>20</v>
      </c>
      <c r="H11483" s="35">
        <v>51</v>
      </c>
      <c r="I11483" s="33" t="s">
        <v>21</v>
      </c>
      <c r="J11483" s="42">
        <v>44735</v>
      </c>
      <c r="K11483" s="33" t="s">
        <v>22</v>
      </c>
    </row>
    <row r="11484" spans="1:11">
      <c r="A11484" s="30" t="s">
        <v>26120</v>
      </c>
      <c r="B11484" s="30" t="s">
        <v>26121</v>
      </c>
      <c r="C11484" s="30" t="s">
        <v>2978</v>
      </c>
      <c r="D11484" s="30" t="s">
        <v>17</v>
      </c>
      <c r="E11484" s="30" t="s">
        <v>18</v>
      </c>
      <c r="F11484" s="30" t="s">
        <v>19</v>
      </c>
      <c r="G11484" s="30" t="s">
        <v>140</v>
      </c>
      <c r="H11484" s="32">
        <v>202</v>
      </c>
      <c r="I11484" s="30" t="s">
        <v>51</v>
      </c>
      <c r="J11484" s="41">
        <v>44705</v>
      </c>
      <c r="K11484" s="30" t="s">
        <v>22</v>
      </c>
    </row>
    <row r="11485" spans="1:11">
      <c r="A11485" s="33" t="s">
        <v>26122</v>
      </c>
      <c r="B11485" s="33" t="s">
        <v>26123</v>
      </c>
      <c r="C11485" s="33" t="s">
        <v>1428</v>
      </c>
      <c r="D11485" s="33" t="s">
        <v>17</v>
      </c>
      <c r="E11485" s="33" t="s">
        <v>31</v>
      </c>
      <c r="F11485" s="33" t="s">
        <v>32</v>
      </c>
      <c r="G11485" s="33" t="s">
        <v>50</v>
      </c>
      <c r="H11485" s="35">
        <v>600</v>
      </c>
      <c r="I11485" s="33" t="s">
        <v>51</v>
      </c>
      <c r="J11485" s="42">
        <v>44640</v>
      </c>
      <c r="K11485" s="33" t="s">
        <v>22</v>
      </c>
    </row>
    <row r="11486" spans="1:11">
      <c r="A11486" s="30" t="s">
        <v>26124</v>
      </c>
      <c r="B11486" s="30" t="s">
        <v>26125</v>
      </c>
      <c r="C11486" s="30" t="s">
        <v>143</v>
      </c>
      <c r="D11486" s="30" t="s">
        <v>17</v>
      </c>
      <c r="E11486" s="30" t="s">
        <v>26</v>
      </c>
      <c r="F11486" s="30" t="s">
        <v>27</v>
      </c>
      <c r="G11486" s="30" t="s">
        <v>106</v>
      </c>
      <c r="H11486" s="32">
        <v>9</v>
      </c>
      <c r="I11486" s="30" t="s">
        <v>21</v>
      </c>
      <c r="J11486" s="41">
        <v>44701</v>
      </c>
      <c r="K11486" s="30" t="s">
        <v>22</v>
      </c>
    </row>
    <row r="11487" spans="1:11">
      <c r="A11487" s="33" t="s">
        <v>26126</v>
      </c>
      <c r="B11487" s="33" t="s">
        <v>26127</v>
      </c>
      <c r="C11487" s="33" t="s">
        <v>3698</v>
      </c>
      <c r="D11487" s="33" t="s">
        <v>17</v>
      </c>
      <c r="E11487" s="33" t="s">
        <v>18</v>
      </c>
      <c r="F11487" s="33" t="s">
        <v>19</v>
      </c>
      <c r="G11487" s="33" t="s">
        <v>20</v>
      </c>
      <c r="H11487" s="35">
        <v>24</v>
      </c>
      <c r="I11487" s="33" t="s">
        <v>21</v>
      </c>
      <c r="J11487" s="42">
        <v>44854</v>
      </c>
      <c r="K11487" s="33" t="s">
        <v>22</v>
      </c>
    </row>
    <row r="11488" spans="1:11">
      <c r="A11488" s="30" t="s">
        <v>26128</v>
      </c>
      <c r="B11488" s="30" t="s">
        <v>26129</v>
      </c>
      <c r="C11488" s="30" t="s">
        <v>1228</v>
      </c>
      <c r="D11488" s="30" t="s">
        <v>17</v>
      </c>
      <c r="E11488" s="30" t="s">
        <v>18</v>
      </c>
      <c r="F11488" s="30" t="s">
        <v>19</v>
      </c>
      <c r="G11488" s="30" t="s">
        <v>20</v>
      </c>
      <c r="H11488" s="32">
        <v>171</v>
      </c>
      <c r="I11488" s="30" t="s">
        <v>21</v>
      </c>
      <c r="J11488" s="41">
        <v>44806</v>
      </c>
      <c r="K11488" s="30" t="s">
        <v>22</v>
      </c>
    </row>
    <row r="11489" spans="1:11">
      <c r="A11489" s="33" t="s">
        <v>26130</v>
      </c>
      <c r="B11489" s="33" t="s">
        <v>26131</v>
      </c>
      <c r="C11489" s="33" t="s">
        <v>13026</v>
      </c>
      <c r="D11489" s="33" t="s">
        <v>17</v>
      </c>
      <c r="E11489" s="33" t="s">
        <v>212</v>
      </c>
      <c r="F11489" s="33" t="s">
        <v>213</v>
      </c>
      <c r="G11489" s="33" t="s">
        <v>50</v>
      </c>
      <c r="H11489" s="35">
        <v>100</v>
      </c>
      <c r="I11489" s="33" t="s">
        <v>51</v>
      </c>
      <c r="J11489" s="42">
        <v>44889</v>
      </c>
      <c r="K11489" s="33" t="s">
        <v>22</v>
      </c>
    </row>
    <row r="11490" spans="1:11">
      <c r="A11490" s="30" t="s">
        <v>26132</v>
      </c>
      <c r="B11490" s="30" t="s">
        <v>26133</v>
      </c>
      <c r="C11490" s="30" t="s">
        <v>178</v>
      </c>
      <c r="D11490" s="30" t="s">
        <v>17</v>
      </c>
      <c r="E11490" s="30" t="s">
        <v>31</v>
      </c>
      <c r="F11490" s="30" t="s">
        <v>32</v>
      </c>
      <c r="G11490" s="30" t="s">
        <v>106</v>
      </c>
      <c r="H11490" s="32">
        <v>7</v>
      </c>
      <c r="I11490" s="30" t="s">
        <v>21</v>
      </c>
      <c r="J11490" s="41">
        <v>44911</v>
      </c>
      <c r="K11490" s="30" t="s">
        <v>22</v>
      </c>
    </row>
    <row r="11491" spans="1:11">
      <c r="A11491" s="33" t="s">
        <v>26134</v>
      </c>
      <c r="B11491" s="33" t="s">
        <v>26135</v>
      </c>
      <c r="C11491" s="33" t="s">
        <v>190</v>
      </c>
      <c r="D11491" s="33" t="s">
        <v>17</v>
      </c>
      <c r="E11491" s="33" t="s">
        <v>31</v>
      </c>
      <c r="F11491" s="33" t="s">
        <v>32</v>
      </c>
      <c r="G11491" s="33" t="s">
        <v>158</v>
      </c>
      <c r="H11491" s="35">
        <v>47</v>
      </c>
      <c r="I11491" s="33" t="s">
        <v>21</v>
      </c>
      <c r="J11491" s="42">
        <v>44880</v>
      </c>
      <c r="K11491" s="33" t="s">
        <v>22</v>
      </c>
    </row>
    <row r="11492" spans="1:11">
      <c r="A11492" s="30" t="s">
        <v>26136</v>
      </c>
      <c r="B11492" s="30" t="s">
        <v>26137</v>
      </c>
      <c r="C11492" s="30" t="s">
        <v>190</v>
      </c>
      <c r="D11492" s="30" t="s">
        <v>17</v>
      </c>
      <c r="E11492" s="30" t="s">
        <v>67</v>
      </c>
      <c r="F11492" s="30" t="s">
        <v>68</v>
      </c>
      <c r="G11492" s="30" t="s">
        <v>158</v>
      </c>
      <c r="H11492" s="32">
        <v>119</v>
      </c>
      <c r="I11492" s="30" t="s">
        <v>21</v>
      </c>
      <c r="J11492" s="41">
        <v>44753</v>
      </c>
      <c r="K11492" s="30" t="s">
        <v>22</v>
      </c>
    </row>
    <row r="11493" spans="1:11">
      <c r="A11493" s="33" t="s">
        <v>26138</v>
      </c>
      <c r="B11493" s="33" t="s">
        <v>26139</v>
      </c>
      <c r="C11493" s="33" t="s">
        <v>718</v>
      </c>
      <c r="D11493" s="33" t="s">
        <v>17</v>
      </c>
      <c r="E11493" s="33" t="s">
        <v>18</v>
      </c>
      <c r="F11493" s="33" t="s">
        <v>19</v>
      </c>
      <c r="G11493" s="33" t="s">
        <v>50</v>
      </c>
      <c r="H11493" s="35">
        <v>330</v>
      </c>
      <c r="I11493" s="33" t="s">
        <v>51</v>
      </c>
      <c r="J11493" s="42">
        <v>44712</v>
      </c>
      <c r="K11493" s="33" t="s">
        <v>22</v>
      </c>
    </row>
    <row r="11494" spans="1:11">
      <c r="A11494" s="30" t="s">
        <v>26140</v>
      </c>
      <c r="B11494" s="30" t="s">
        <v>26141</v>
      </c>
      <c r="C11494" s="30" t="s">
        <v>17877</v>
      </c>
      <c r="D11494" s="30" t="s">
        <v>17</v>
      </c>
      <c r="E11494" s="30" t="s">
        <v>26</v>
      </c>
      <c r="F11494" s="30" t="s">
        <v>27</v>
      </c>
      <c r="G11494" s="30" t="s">
        <v>20</v>
      </c>
      <c r="H11494" s="32">
        <v>31</v>
      </c>
      <c r="I11494" s="30" t="s">
        <v>21</v>
      </c>
      <c r="J11494" s="41">
        <v>44670</v>
      </c>
      <c r="K11494" s="30" t="s">
        <v>22</v>
      </c>
    </row>
    <row r="11495" spans="1:11">
      <c r="A11495" s="33" t="s">
        <v>26142</v>
      </c>
      <c r="B11495" s="33" t="s">
        <v>26143</v>
      </c>
      <c r="C11495" s="33" t="s">
        <v>12253</v>
      </c>
      <c r="D11495" s="33" t="s">
        <v>17</v>
      </c>
      <c r="E11495" s="33" t="s">
        <v>45</v>
      </c>
      <c r="F11495" s="33" t="s">
        <v>46</v>
      </c>
      <c r="G11495" s="33" t="s">
        <v>20</v>
      </c>
      <c r="H11495" s="35">
        <v>56</v>
      </c>
      <c r="I11495" s="33" t="s">
        <v>21</v>
      </c>
      <c r="J11495" s="42">
        <v>44562</v>
      </c>
      <c r="K11495" s="33" t="s">
        <v>22</v>
      </c>
    </row>
    <row r="11496" spans="1:11">
      <c r="A11496" s="30" t="s">
        <v>26144</v>
      </c>
      <c r="B11496" s="30" t="s">
        <v>26145</v>
      </c>
      <c r="C11496" s="30" t="s">
        <v>16104</v>
      </c>
      <c r="D11496" s="30" t="s">
        <v>17</v>
      </c>
      <c r="E11496" s="30" t="s">
        <v>45</v>
      </c>
      <c r="F11496" s="30" t="s">
        <v>46</v>
      </c>
      <c r="G11496" s="30" t="s">
        <v>20</v>
      </c>
      <c r="H11496" s="32">
        <v>74</v>
      </c>
      <c r="I11496" s="30" t="s">
        <v>21</v>
      </c>
      <c r="J11496" s="41">
        <v>44693</v>
      </c>
      <c r="K11496" s="30" t="s">
        <v>22</v>
      </c>
    </row>
    <row r="11497" spans="1:11">
      <c r="A11497" s="33" t="s">
        <v>26146</v>
      </c>
      <c r="B11497" s="33" t="s">
        <v>26147</v>
      </c>
      <c r="C11497" s="33" t="s">
        <v>26148</v>
      </c>
      <c r="D11497" s="33" t="s">
        <v>17</v>
      </c>
      <c r="E11497" s="33" t="s">
        <v>212</v>
      </c>
      <c r="F11497" s="33" t="s">
        <v>213</v>
      </c>
      <c r="G11497" s="33" t="s">
        <v>50</v>
      </c>
      <c r="H11497" s="35">
        <v>104</v>
      </c>
      <c r="I11497" s="33" t="s">
        <v>21</v>
      </c>
      <c r="J11497" s="42">
        <v>44587</v>
      </c>
      <c r="K11497" s="33" t="s">
        <v>22</v>
      </c>
    </row>
    <row r="11498" spans="1:11">
      <c r="A11498" s="30" t="s">
        <v>26149</v>
      </c>
      <c r="B11498" s="30" t="s">
        <v>26150</v>
      </c>
      <c r="C11498" s="30" t="s">
        <v>14331</v>
      </c>
      <c r="D11498" s="30" t="s">
        <v>17</v>
      </c>
      <c r="E11498" s="30" t="s">
        <v>31</v>
      </c>
      <c r="F11498" s="30" t="s">
        <v>32</v>
      </c>
      <c r="G11498" s="30" t="s">
        <v>20</v>
      </c>
      <c r="H11498" s="32">
        <v>37</v>
      </c>
      <c r="I11498" s="30" t="s">
        <v>21</v>
      </c>
      <c r="J11498" s="41">
        <v>44777</v>
      </c>
      <c r="K11498" s="30" t="s">
        <v>22</v>
      </c>
    </row>
    <row r="11499" spans="1:11">
      <c r="A11499" s="33" t="s">
        <v>26151</v>
      </c>
      <c r="B11499" s="33" t="s">
        <v>26152</v>
      </c>
      <c r="C11499" s="33" t="s">
        <v>26153</v>
      </c>
      <c r="D11499" s="33" t="s">
        <v>17</v>
      </c>
      <c r="E11499" s="33" t="s">
        <v>26</v>
      </c>
      <c r="F11499" s="33" t="s">
        <v>27</v>
      </c>
      <c r="G11499" s="33" t="s">
        <v>106</v>
      </c>
      <c r="H11499" s="35">
        <v>21</v>
      </c>
      <c r="I11499" s="33" t="s">
        <v>21</v>
      </c>
      <c r="J11499" s="42">
        <v>44910</v>
      </c>
      <c r="K11499" s="33" t="s">
        <v>22</v>
      </c>
    </row>
    <row r="11500" spans="1:11">
      <c r="A11500" s="30" t="s">
        <v>26154</v>
      </c>
      <c r="B11500" s="30" t="s">
        <v>26155</v>
      </c>
      <c r="C11500" s="30" t="s">
        <v>3665</v>
      </c>
      <c r="D11500" s="30" t="s">
        <v>17</v>
      </c>
      <c r="E11500" s="30" t="s">
        <v>31</v>
      </c>
      <c r="F11500" s="30" t="s">
        <v>32</v>
      </c>
      <c r="G11500" s="30" t="s">
        <v>50</v>
      </c>
      <c r="H11500" s="32">
        <v>72</v>
      </c>
      <c r="I11500" s="30" t="s">
        <v>51</v>
      </c>
      <c r="J11500" s="41">
        <v>44743</v>
      </c>
      <c r="K11500" s="30" t="s">
        <v>22</v>
      </c>
    </row>
    <row r="11501" spans="1:11">
      <c r="A11501" s="33" t="s">
        <v>26156</v>
      </c>
      <c r="B11501" s="33" t="s">
        <v>26157</v>
      </c>
      <c r="C11501" s="33" t="s">
        <v>15097</v>
      </c>
      <c r="D11501" s="33" t="s">
        <v>17</v>
      </c>
      <c r="E11501" s="33" t="s">
        <v>67</v>
      </c>
      <c r="F11501" s="33" t="s">
        <v>68</v>
      </c>
      <c r="G11501" s="33" t="s">
        <v>106</v>
      </c>
      <c r="H11501" s="35">
        <v>6</v>
      </c>
      <c r="I11501" s="33" t="s">
        <v>21</v>
      </c>
      <c r="J11501" s="42">
        <v>44818</v>
      </c>
      <c r="K11501" s="33" t="s">
        <v>22</v>
      </c>
    </row>
    <row r="11502" spans="1:11">
      <c r="A11502" s="30" t="s">
        <v>26158</v>
      </c>
      <c r="B11502" s="30" t="s">
        <v>26159</v>
      </c>
      <c r="C11502" s="30" t="s">
        <v>11703</v>
      </c>
      <c r="D11502" s="30" t="s">
        <v>17</v>
      </c>
      <c r="E11502" s="30" t="s">
        <v>26</v>
      </c>
      <c r="F11502" s="30" t="s">
        <v>27</v>
      </c>
      <c r="G11502" s="30" t="s">
        <v>106</v>
      </c>
      <c r="H11502" s="32">
        <v>5</v>
      </c>
      <c r="I11502" s="30" t="s">
        <v>21</v>
      </c>
      <c r="J11502" s="41">
        <v>44910</v>
      </c>
      <c r="K11502" s="30" t="s">
        <v>22</v>
      </c>
    </row>
    <row r="11503" spans="1:11">
      <c r="A11503" s="33" t="s">
        <v>26160</v>
      </c>
      <c r="B11503" s="33" t="s">
        <v>26161</v>
      </c>
      <c r="C11503" s="33" t="s">
        <v>16936</v>
      </c>
      <c r="D11503" s="33" t="s">
        <v>17</v>
      </c>
      <c r="E11503" s="33" t="s">
        <v>26</v>
      </c>
      <c r="F11503" s="33" t="s">
        <v>27</v>
      </c>
      <c r="G11503" s="33" t="s">
        <v>20</v>
      </c>
      <c r="H11503" s="35">
        <v>33</v>
      </c>
      <c r="I11503" s="33" t="s">
        <v>21</v>
      </c>
      <c r="J11503" s="42">
        <v>44616</v>
      </c>
      <c r="K11503" s="33" t="s">
        <v>22</v>
      </c>
    </row>
    <row r="11504" spans="1:11">
      <c r="A11504" s="30" t="s">
        <v>26162</v>
      </c>
      <c r="B11504" s="30" t="s">
        <v>26163</v>
      </c>
      <c r="C11504" s="30" t="s">
        <v>26164</v>
      </c>
      <c r="D11504" s="30" t="s">
        <v>17</v>
      </c>
      <c r="E11504" s="30" t="s">
        <v>26</v>
      </c>
      <c r="F11504" s="30" t="s">
        <v>27</v>
      </c>
      <c r="G11504" s="30" t="s">
        <v>20</v>
      </c>
      <c r="H11504" s="32">
        <v>30</v>
      </c>
      <c r="I11504" s="30" t="s">
        <v>21</v>
      </c>
      <c r="J11504" s="41">
        <v>44624</v>
      </c>
      <c r="K11504" s="30" t="s">
        <v>22</v>
      </c>
    </row>
    <row r="11505" spans="1:11">
      <c r="A11505" s="33" t="s">
        <v>26165</v>
      </c>
      <c r="B11505" s="33" t="s">
        <v>26166</v>
      </c>
      <c r="C11505" s="33" t="s">
        <v>9464</v>
      </c>
      <c r="D11505" s="33" t="s">
        <v>17</v>
      </c>
      <c r="E11505" s="33" t="s">
        <v>18</v>
      </c>
      <c r="F11505" s="33" t="s">
        <v>19</v>
      </c>
      <c r="G11505" s="33" t="s">
        <v>50</v>
      </c>
      <c r="H11505" s="35">
        <v>238</v>
      </c>
      <c r="I11505" s="33" t="s">
        <v>51</v>
      </c>
      <c r="J11505" s="42">
        <v>44599</v>
      </c>
      <c r="K11505" s="33" t="s">
        <v>22</v>
      </c>
    </row>
    <row r="11506" spans="1:11">
      <c r="A11506" s="30" t="s">
        <v>26167</v>
      </c>
      <c r="B11506" s="30" t="s">
        <v>26168</v>
      </c>
      <c r="C11506" s="30" t="s">
        <v>3296</v>
      </c>
      <c r="D11506" s="30" t="s">
        <v>17</v>
      </c>
      <c r="E11506" s="30" t="s">
        <v>26</v>
      </c>
      <c r="F11506" s="30" t="s">
        <v>27</v>
      </c>
      <c r="G11506" s="30" t="s">
        <v>50</v>
      </c>
      <c r="H11506" s="32">
        <v>88</v>
      </c>
      <c r="I11506" s="30" t="s">
        <v>51</v>
      </c>
      <c r="J11506" s="41">
        <v>44802</v>
      </c>
      <c r="K11506" s="30" t="s">
        <v>22</v>
      </c>
    </row>
    <row r="11507" spans="1:11">
      <c r="A11507" s="33" t="s">
        <v>26169</v>
      </c>
      <c r="B11507" s="33" t="s">
        <v>26170</v>
      </c>
      <c r="C11507" s="33" t="s">
        <v>1343</v>
      </c>
      <c r="D11507" s="33" t="s">
        <v>17</v>
      </c>
      <c r="E11507" s="33" t="s">
        <v>31</v>
      </c>
      <c r="F11507" s="33" t="s">
        <v>32</v>
      </c>
      <c r="G11507" s="33" t="s">
        <v>140</v>
      </c>
      <c r="H11507" s="35">
        <v>192</v>
      </c>
      <c r="I11507" s="33" t="s">
        <v>51</v>
      </c>
      <c r="J11507" s="42">
        <v>44804</v>
      </c>
      <c r="K11507" s="33" t="s">
        <v>22</v>
      </c>
    </row>
    <row r="11508" spans="1:11">
      <c r="A11508" s="30" t="s">
        <v>26171</v>
      </c>
      <c r="B11508" s="30" t="s">
        <v>26172</v>
      </c>
      <c r="C11508" s="30" t="s">
        <v>26173</v>
      </c>
      <c r="D11508" s="30" t="s">
        <v>17</v>
      </c>
      <c r="E11508" s="30" t="s">
        <v>67</v>
      </c>
      <c r="F11508" s="30" t="s">
        <v>68</v>
      </c>
      <c r="G11508" s="30" t="s">
        <v>106</v>
      </c>
      <c r="H11508" s="32">
        <v>8</v>
      </c>
      <c r="I11508" s="30" t="s">
        <v>21</v>
      </c>
      <c r="J11508" s="41">
        <v>44882</v>
      </c>
      <c r="K11508" s="30" t="s">
        <v>22</v>
      </c>
    </row>
    <row r="11509" spans="1:11">
      <c r="A11509" s="33" t="s">
        <v>26174</v>
      </c>
      <c r="B11509" s="33" t="s">
        <v>26175</v>
      </c>
      <c r="C11509" s="33" t="s">
        <v>96</v>
      </c>
      <c r="D11509" s="33" t="s">
        <v>17</v>
      </c>
      <c r="E11509" s="33" t="s">
        <v>31</v>
      </c>
      <c r="F11509" s="33" t="s">
        <v>32</v>
      </c>
      <c r="G11509" s="33" t="s">
        <v>106</v>
      </c>
      <c r="H11509" s="35">
        <v>455</v>
      </c>
      <c r="I11509" s="33" t="s">
        <v>21</v>
      </c>
      <c r="J11509" s="42">
        <v>44830</v>
      </c>
      <c r="K11509" s="33" t="s">
        <v>22</v>
      </c>
    </row>
    <row r="11510" spans="1:11">
      <c r="A11510" s="30" t="s">
        <v>26176</v>
      </c>
      <c r="B11510" s="30" t="s">
        <v>26177</v>
      </c>
      <c r="C11510" s="30" t="s">
        <v>7035</v>
      </c>
      <c r="D11510" s="30" t="s">
        <v>17</v>
      </c>
      <c r="E11510" s="30" t="s">
        <v>26</v>
      </c>
      <c r="F11510" s="30" t="s">
        <v>27</v>
      </c>
      <c r="G11510" s="30" t="s">
        <v>20</v>
      </c>
      <c r="H11510" s="32">
        <v>30</v>
      </c>
      <c r="I11510" s="30" t="s">
        <v>21</v>
      </c>
      <c r="J11510" s="41">
        <v>44838</v>
      </c>
      <c r="K11510" s="30" t="s">
        <v>22</v>
      </c>
    </row>
    <row r="11511" spans="1:11">
      <c r="A11511" s="33" t="s">
        <v>26178</v>
      </c>
      <c r="B11511" s="33" t="s">
        <v>26179</v>
      </c>
      <c r="C11511" s="33" t="s">
        <v>9464</v>
      </c>
      <c r="D11511" s="33" t="s">
        <v>17</v>
      </c>
      <c r="E11511" s="33" t="s">
        <v>26</v>
      </c>
      <c r="F11511" s="33" t="s">
        <v>27</v>
      </c>
      <c r="G11511" s="33" t="s">
        <v>7780</v>
      </c>
      <c r="H11511" s="35">
        <v>232</v>
      </c>
      <c r="I11511" s="33" t="s">
        <v>51</v>
      </c>
      <c r="J11511" s="42">
        <v>44652</v>
      </c>
      <c r="K11511" s="33" t="s">
        <v>22</v>
      </c>
    </row>
    <row r="11512" spans="1:11">
      <c r="A11512" s="30" t="s">
        <v>26180</v>
      </c>
      <c r="B11512" s="30" t="s">
        <v>26181</v>
      </c>
      <c r="C11512" s="30" t="s">
        <v>2546</v>
      </c>
      <c r="D11512" s="30" t="s">
        <v>17</v>
      </c>
      <c r="E11512" s="30" t="s">
        <v>26</v>
      </c>
      <c r="F11512" s="30" t="s">
        <v>27</v>
      </c>
      <c r="G11512" s="30" t="s">
        <v>158</v>
      </c>
      <c r="H11512" s="32">
        <v>46</v>
      </c>
      <c r="I11512" s="30" t="s">
        <v>51</v>
      </c>
      <c r="J11512" s="41">
        <v>44851</v>
      </c>
      <c r="K11512" s="30" t="s">
        <v>22</v>
      </c>
    </row>
    <row r="11513" spans="1:11">
      <c r="A11513" s="33" t="s">
        <v>26182</v>
      </c>
      <c r="B11513" s="33" t="s">
        <v>26183</v>
      </c>
      <c r="C11513" s="33" t="s">
        <v>26184</v>
      </c>
      <c r="D11513" s="33" t="s">
        <v>17</v>
      </c>
      <c r="E11513" s="33" t="s">
        <v>67</v>
      </c>
      <c r="F11513" s="33" t="s">
        <v>68</v>
      </c>
      <c r="G11513" s="33" t="s">
        <v>140</v>
      </c>
      <c r="H11513" s="35">
        <v>36</v>
      </c>
      <c r="I11513" s="33" t="s">
        <v>51</v>
      </c>
      <c r="J11513" s="42">
        <v>44651</v>
      </c>
      <c r="K11513" s="33" t="s">
        <v>22</v>
      </c>
    </row>
    <row r="11514" spans="1:11">
      <c r="A11514" s="30" t="s">
        <v>26185</v>
      </c>
      <c r="B11514" s="30" t="s">
        <v>26186</v>
      </c>
      <c r="C11514" s="30" t="s">
        <v>15271</v>
      </c>
      <c r="D11514" s="30" t="s">
        <v>17</v>
      </c>
      <c r="E11514" s="30" t="s">
        <v>67</v>
      </c>
      <c r="F11514" s="30" t="s">
        <v>68</v>
      </c>
      <c r="G11514" s="30" t="s">
        <v>20</v>
      </c>
      <c r="H11514" s="32">
        <v>84</v>
      </c>
      <c r="I11514" s="30" t="s">
        <v>21</v>
      </c>
      <c r="J11514" s="41">
        <v>44762</v>
      </c>
      <c r="K11514" s="30" t="s">
        <v>22</v>
      </c>
    </row>
    <row r="11515" spans="1:11">
      <c r="A11515" s="33" t="s">
        <v>26187</v>
      </c>
      <c r="B11515" s="33" t="s">
        <v>26188</v>
      </c>
      <c r="C11515" s="33" t="s">
        <v>13779</v>
      </c>
      <c r="D11515" s="33" t="s">
        <v>17</v>
      </c>
      <c r="E11515" s="33" t="s">
        <v>31</v>
      </c>
      <c r="F11515" s="33" t="s">
        <v>32</v>
      </c>
      <c r="G11515" s="33" t="s">
        <v>20</v>
      </c>
      <c r="H11515" s="35">
        <v>167</v>
      </c>
      <c r="I11515" s="33" t="s">
        <v>21</v>
      </c>
      <c r="J11515" s="42">
        <v>44893</v>
      </c>
      <c r="K11515" s="33" t="s">
        <v>22</v>
      </c>
    </row>
    <row r="11516" spans="1:11">
      <c r="A11516" s="30" t="s">
        <v>26189</v>
      </c>
      <c r="B11516" s="30" t="s">
        <v>26190</v>
      </c>
      <c r="C11516" s="30" t="s">
        <v>203</v>
      </c>
      <c r="D11516" s="30" t="s">
        <v>17</v>
      </c>
      <c r="E11516" s="30" t="s">
        <v>26</v>
      </c>
      <c r="F11516" s="30" t="s">
        <v>27</v>
      </c>
      <c r="G11516" s="30" t="s">
        <v>20</v>
      </c>
      <c r="H11516" s="32">
        <v>32</v>
      </c>
      <c r="I11516" s="30" t="s">
        <v>21</v>
      </c>
      <c r="J11516" s="41">
        <v>44679</v>
      </c>
      <c r="K11516" s="30" t="s">
        <v>22</v>
      </c>
    </row>
    <row r="11517" spans="1:11">
      <c r="A11517" s="33" t="s">
        <v>26191</v>
      </c>
      <c r="B11517" s="33" t="s">
        <v>26192</v>
      </c>
      <c r="C11517" s="33" t="s">
        <v>26193</v>
      </c>
      <c r="D11517" s="33" t="s">
        <v>17</v>
      </c>
      <c r="E11517" s="33" t="s">
        <v>67</v>
      </c>
      <c r="F11517" s="33" t="s">
        <v>68</v>
      </c>
      <c r="G11517" s="33" t="s">
        <v>140</v>
      </c>
      <c r="H11517" s="35">
        <v>100</v>
      </c>
      <c r="I11517" s="33" t="s">
        <v>51</v>
      </c>
      <c r="J11517" s="42">
        <v>44677</v>
      </c>
      <c r="K11517" s="33" t="s">
        <v>22</v>
      </c>
    </row>
    <row r="11518" spans="1:11">
      <c r="A11518" s="30" t="s">
        <v>26194</v>
      </c>
      <c r="B11518" s="30" t="s">
        <v>26195</v>
      </c>
      <c r="C11518" s="30" t="s">
        <v>26196</v>
      </c>
      <c r="D11518" s="30" t="s">
        <v>17</v>
      </c>
      <c r="E11518" s="30" t="s">
        <v>26</v>
      </c>
      <c r="F11518" s="30" t="s">
        <v>27</v>
      </c>
      <c r="G11518" s="30" t="s">
        <v>158</v>
      </c>
      <c r="H11518" s="32">
        <v>9</v>
      </c>
      <c r="I11518" s="30" t="s">
        <v>21</v>
      </c>
      <c r="J11518" s="41">
        <v>44744</v>
      </c>
      <c r="K11518" s="30" t="s">
        <v>22</v>
      </c>
    </row>
    <row r="11519" spans="1:11">
      <c r="A11519" s="33" t="s">
        <v>26197</v>
      </c>
      <c r="B11519" s="33" t="s">
        <v>26198</v>
      </c>
      <c r="C11519" s="33" t="s">
        <v>26199</v>
      </c>
      <c r="D11519" s="33" t="s">
        <v>17</v>
      </c>
      <c r="E11519" s="33" t="s">
        <v>26</v>
      </c>
      <c r="F11519" s="33" t="s">
        <v>27</v>
      </c>
      <c r="G11519" s="33" t="s">
        <v>140</v>
      </c>
      <c r="H11519" s="35">
        <v>77</v>
      </c>
      <c r="I11519" s="33" t="s">
        <v>51</v>
      </c>
      <c r="J11519" s="42">
        <v>44606</v>
      </c>
      <c r="K11519" s="33" t="s">
        <v>22</v>
      </c>
    </row>
    <row r="11520" spans="1:11">
      <c r="A11520" s="30" t="s">
        <v>26200</v>
      </c>
      <c r="B11520" s="30" t="s">
        <v>26201</v>
      </c>
      <c r="C11520" s="30" t="s">
        <v>96</v>
      </c>
      <c r="D11520" s="30" t="s">
        <v>17</v>
      </c>
      <c r="E11520" s="30" t="s">
        <v>18</v>
      </c>
      <c r="F11520" s="30" t="s">
        <v>19</v>
      </c>
      <c r="G11520" s="30" t="s">
        <v>20</v>
      </c>
      <c r="H11520" s="32">
        <v>12546</v>
      </c>
      <c r="I11520" s="30" t="s">
        <v>21</v>
      </c>
      <c r="J11520" s="41">
        <v>44777</v>
      </c>
      <c r="K11520" s="30" t="s">
        <v>22</v>
      </c>
    </row>
    <row r="11521" spans="1:11">
      <c r="A11521" s="33" t="s">
        <v>26202</v>
      </c>
      <c r="B11521" s="33" t="s">
        <v>26203</v>
      </c>
      <c r="C11521" s="33" t="s">
        <v>149</v>
      </c>
      <c r="D11521" s="33" t="s">
        <v>17</v>
      </c>
      <c r="E11521" s="33" t="s">
        <v>45</v>
      </c>
      <c r="F11521" s="33" t="s">
        <v>46</v>
      </c>
      <c r="G11521" s="33" t="s">
        <v>50</v>
      </c>
      <c r="H11521" s="35">
        <v>357</v>
      </c>
      <c r="I11521" s="33" t="s">
        <v>51</v>
      </c>
      <c r="J11521" s="42">
        <v>44814</v>
      </c>
      <c r="K11521" s="33" t="s">
        <v>22</v>
      </c>
    </row>
    <row r="11522" spans="1:11">
      <c r="A11522" s="30" t="s">
        <v>26204</v>
      </c>
      <c r="B11522" s="30" t="s">
        <v>26205</v>
      </c>
      <c r="C11522" s="30" t="s">
        <v>109</v>
      </c>
      <c r="D11522" s="30" t="s">
        <v>17</v>
      </c>
      <c r="E11522" s="30" t="s">
        <v>26</v>
      </c>
      <c r="F11522" s="30" t="s">
        <v>27</v>
      </c>
      <c r="G11522" s="30" t="s">
        <v>106</v>
      </c>
      <c r="H11522" s="32">
        <v>18</v>
      </c>
      <c r="I11522" s="30" t="s">
        <v>21</v>
      </c>
      <c r="J11522" s="41">
        <v>44585</v>
      </c>
      <c r="K11522" s="30" t="s">
        <v>22</v>
      </c>
    </row>
    <row r="11523" spans="1:11">
      <c r="A11523" s="33" t="s">
        <v>26206</v>
      </c>
      <c r="B11523" s="33" t="s">
        <v>26207</v>
      </c>
      <c r="C11523" s="33" t="s">
        <v>695</v>
      </c>
      <c r="D11523" s="33" t="s">
        <v>17</v>
      </c>
      <c r="E11523" s="33" t="s">
        <v>31</v>
      </c>
      <c r="F11523" s="33" t="s">
        <v>32</v>
      </c>
      <c r="G11523" s="33" t="s">
        <v>20</v>
      </c>
      <c r="H11523" s="35">
        <v>116</v>
      </c>
      <c r="I11523" s="33" t="s">
        <v>21</v>
      </c>
      <c r="J11523" s="42">
        <v>44715</v>
      </c>
      <c r="K11523" s="33" t="s">
        <v>22</v>
      </c>
    </row>
    <row r="11524" spans="1:11">
      <c r="A11524" s="30" t="s">
        <v>26208</v>
      </c>
      <c r="B11524" s="30" t="s">
        <v>26209</v>
      </c>
      <c r="C11524" s="30" t="s">
        <v>1835</v>
      </c>
      <c r="D11524" s="30" t="s">
        <v>17</v>
      </c>
      <c r="E11524" s="30" t="s">
        <v>31</v>
      </c>
      <c r="F11524" s="30" t="s">
        <v>32</v>
      </c>
      <c r="G11524" s="30" t="s">
        <v>20</v>
      </c>
      <c r="H11524" s="32">
        <v>1056</v>
      </c>
      <c r="I11524" s="30" t="s">
        <v>21</v>
      </c>
      <c r="J11524" s="41">
        <v>44798</v>
      </c>
      <c r="K11524" s="30" t="s">
        <v>22</v>
      </c>
    </row>
    <row r="11525" spans="1:11">
      <c r="A11525" s="33" t="s">
        <v>26210</v>
      </c>
      <c r="B11525" s="33" t="s">
        <v>26211</v>
      </c>
      <c r="C11525" s="33" t="s">
        <v>3264</v>
      </c>
      <c r="D11525" s="33" t="s">
        <v>17</v>
      </c>
      <c r="E11525" s="33" t="s">
        <v>18</v>
      </c>
      <c r="F11525" s="33" t="s">
        <v>19</v>
      </c>
      <c r="G11525" s="33" t="s">
        <v>140</v>
      </c>
      <c r="H11525" s="35">
        <v>38</v>
      </c>
      <c r="I11525" s="33" t="s">
        <v>51</v>
      </c>
      <c r="J11525" s="42">
        <v>44743</v>
      </c>
      <c r="K11525" s="33" t="s">
        <v>22</v>
      </c>
    </row>
    <row r="11526" spans="1:11">
      <c r="A11526" s="30" t="s">
        <v>26212</v>
      </c>
      <c r="B11526" s="30" t="s">
        <v>26213</v>
      </c>
      <c r="C11526" s="30" t="s">
        <v>26214</v>
      </c>
      <c r="D11526" s="30" t="s">
        <v>17</v>
      </c>
      <c r="E11526" s="30" t="s">
        <v>26</v>
      </c>
      <c r="F11526" s="30" t="s">
        <v>27</v>
      </c>
      <c r="G11526" s="30" t="s">
        <v>20</v>
      </c>
      <c r="H11526" s="32">
        <v>38</v>
      </c>
      <c r="I11526" s="30" t="s">
        <v>21</v>
      </c>
      <c r="J11526" s="41">
        <v>44743</v>
      </c>
      <c r="K11526" s="30" t="s">
        <v>22</v>
      </c>
    </row>
    <row r="11527" spans="1:11">
      <c r="A11527" s="33" t="s">
        <v>26215</v>
      </c>
      <c r="B11527" s="33" t="s">
        <v>26216</v>
      </c>
      <c r="C11527" s="33" t="s">
        <v>1583</v>
      </c>
      <c r="D11527" s="33" t="s">
        <v>17</v>
      </c>
      <c r="E11527" s="33" t="s">
        <v>18</v>
      </c>
      <c r="F11527" s="33" t="s">
        <v>19</v>
      </c>
      <c r="G11527" s="33" t="s">
        <v>158</v>
      </c>
      <c r="H11527" s="35">
        <v>654</v>
      </c>
      <c r="I11527" s="33" t="s">
        <v>21</v>
      </c>
      <c r="J11527" s="42">
        <v>44627</v>
      </c>
      <c r="K11527" s="33" t="s">
        <v>22</v>
      </c>
    </row>
    <row r="11528" spans="1:11">
      <c r="A11528" s="30" t="s">
        <v>26217</v>
      </c>
      <c r="B11528" s="30" t="s">
        <v>26218</v>
      </c>
      <c r="C11528" s="30" t="s">
        <v>26219</v>
      </c>
      <c r="D11528" s="30" t="s">
        <v>17</v>
      </c>
      <c r="E11528" s="30" t="s">
        <v>31</v>
      </c>
      <c r="F11528" s="30" t="s">
        <v>32</v>
      </c>
      <c r="G11528" s="30" t="s">
        <v>158</v>
      </c>
      <c r="H11528" s="32">
        <v>210</v>
      </c>
      <c r="I11528" s="30" t="s">
        <v>51</v>
      </c>
      <c r="J11528" s="41">
        <v>44847</v>
      </c>
      <c r="K11528" s="30" t="s">
        <v>22</v>
      </c>
    </row>
    <row r="11529" spans="1:11">
      <c r="A11529" s="33" t="s">
        <v>26220</v>
      </c>
      <c r="B11529" s="33" t="s">
        <v>26221</v>
      </c>
      <c r="C11529" s="33" t="s">
        <v>2888</v>
      </c>
      <c r="D11529" s="33" t="s">
        <v>17</v>
      </c>
      <c r="E11529" s="33" t="s">
        <v>330</v>
      </c>
      <c r="F11529" s="33" t="s">
        <v>331</v>
      </c>
      <c r="G11529" s="33" t="s">
        <v>140</v>
      </c>
      <c r="H11529" s="35">
        <v>3</v>
      </c>
      <c r="I11529" s="33" t="s">
        <v>51</v>
      </c>
      <c r="J11529" s="42">
        <v>44708</v>
      </c>
      <c r="K11529" s="33" t="s">
        <v>22</v>
      </c>
    </row>
    <row r="11530" spans="1:11">
      <c r="A11530" s="30" t="s">
        <v>26222</v>
      </c>
      <c r="B11530" s="30" t="s">
        <v>26223</v>
      </c>
      <c r="C11530" s="30" t="s">
        <v>26224</v>
      </c>
      <c r="D11530" s="30" t="s">
        <v>17</v>
      </c>
      <c r="E11530" s="30" t="s">
        <v>26</v>
      </c>
      <c r="F11530" s="30" t="s">
        <v>27</v>
      </c>
      <c r="G11530" s="30" t="s">
        <v>50</v>
      </c>
      <c r="H11530" s="32">
        <v>20</v>
      </c>
      <c r="I11530" s="30" t="s">
        <v>51</v>
      </c>
      <c r="J11530" s="41">
        <v>44833</v>
      </c>
      <c r="K11530" s="30" t="s">
        <v>22</v>
      </c>
    </row>
    <row r="11531" spans="1:11">
      <c r="A11531" s="33" t="s">
        <v>26225</v>
      </c>
      <c r="B11531" s="33" t="s">
        <v>26226</v>
      </c>
      <c r="C11531" s="33" t="s">
        <v>26227</v>
      </c>
      <c r="D11531" s="33" t="s">
        <v>17</v>
      </c>
      <c r="E11531" s="33" t="s">
        <v>31</v>
      </c>
      <c r="F11531" s="33" t="s">
        <v>32</v>
      </c>
      <c r="G11531" s="33" t="s">
        <v>20</v>
      </c>
      <c r="H11531" s="35">
        <v>112</v>
      </c>
      <c r="I11531" s="33" t="s">
        <v>21</v>
      </c>
      <c r="J11531" s="42">
        <v>44729</v>
      </c>
      <c r="K11531" s="33" t="s">
        <v>22</v>
      </c>
    </row>
    <row r="11532" spans="1:11">
      <c r="A11532" s="30" t="s">
        <v>26228</v>
      </c>
      <c r="B11532" s="30" t="s">
        <v>26229</v>
      </c>
      <c r="C11532" s="30" t="s">
        <v>629</v>
      </c>
      <c r="D11532" s="30" t="s">
        <v>17</v>
      </c>
      <c r="E11532" s="30" t="s">
        <v>18</v>
      </c>
      <c r="F11532" s="30" t="s">
        <v>19</v>
      </c>
      <c r="G11532" s="30" t="s">
        <v>106</v>
      </c>
      <c r="H11532" s="32">
        <v>5</v>
      </c>
      <c r="I11532" s="30" t="s">
        <v>21</v>
      </c>
      <c r="J11532" s="41">
        <v>44662</v>
      </c>
      <c r="K11532" s="30" t="s">
        <v>22</v>
      </c>
    </row>
    <row r="11533" spans="1:11">
      <c r="A11533" s="33" t="s">
        <v>26230</v>
      </c>
      <c r="B11533" s="33" t="s">
        <v>26231</v>
      </c>
      <c r="C11533" s="33" t="s">
        <v>26232</v>
      </c>
      <c r="D11533" s="33" t="s">
        <v>17</v>
      </c>
      <c r="E11533" s="33" t="s">
        <v>26</v>
      </c>
      <c r="F11533" s="33" t="s">
        <v>27</v>
      </c>
      <c r="G11533" s="33" t="s">
        <v>20</v>
      </c>
      <c r="H11533" s="35">
        <v>10</v>
      </c>
      <c r="I11533" s="33" t="s">
        <v>21</v>
      </c>
      <c r="J11533" s="42">
        <v>44628</v>
      </c>
      <c r="K11533" s="33" t="s">
        <v>22</v>
      </c>
    </row>
    <row r="11534" spans="1:11">
      <c r="A11534" s="30" t="s">
        <v>26233</v>
      </c>
      <c r="B11534" s="30" t="s">
        <v>26234</v>
      </c>
      <c r="C11534" s="30" t="s">
        <v>26235</v>
      </c>
      <c r="D11534" s="30" t="s">
        <v>17</v>
      </c>
      <c r="E11534" s="30" t="s">
        <v>26</v>
      </c>
      <c r="F11534" s="30" t="s">
        <v>27</v>
      </c>
      <c r="G11534" s="30" t="s">
        <v>20</v>
      </c>
      <c r="H11534" s="32">
        <v>24</v>
      </c>
      <c r="I11534" s="30" t="s">
        <v>21</v>
      </c>
      <c r="J11534" s="41">
        <v>44714</v>
      </c>
      <c r="K11534" s="30" t="s">
        <v>22</v>
      </c>
    </row>
    <row r="11535" spans="1:11">
      <c r="A11535" s="33" t="s">
        <v>26236</v>
      </c>
      <c r="B11535" s="33" t="s">
        <v>26237</v>
      </c>
      <c r="C11535" s="33" t="s">
        <v>130</v>
      </c>
      <c r="D11535" s="33" t="s">
        <v>17</v>
      </c>
      <c r="E11535" s="33" t="s">
        <v>31</v>
      </c>
      <c r="F11535" s="33" t="s">
        <v>32</v>
      </c>
      <c r="G11535" s="33" t="s">
        <v>20</v>
      </c>
      <c r="H11535" s="35">
        <v>8</v>
      </c>
      <c r="I11535" s="33" t="s">
        <v>21</v>
      </c>
      <c r="J11535" s="42">
        <v>44680</v>
      </c>
      <c r="K11535" s="33" t="s">
        <v>22</v>
      </c>
    </row>
    <row r="11536" spans="1:11">
      <c r="A11536" s="30" t="s">
        <v>26238</v>
      </c>
      <c r="B11536" s="30" t="s">
        <v>26239</v>
      </c>
      <c r="C11536" s="30" t="s">
        <v>187</v>
      </c>
      <c r="D11536" s="30" t="s">
        <v>17</v>
      </c>
      <c r="E11536" s="30" t="s">
        <v>31</v>
      </c>
      <c r="F11536" s="30" t="s">
        <v>32</v>
      </c>
      <c r="G11536" s="30" t="s">
        <v>106</v>
      </c>
      <c r="H11536" s="32">
        <v>71</v>
      </c>
      <c r="I11536" s="30" t="s">
        <v>21</v>
      </c>
      <c r="J11536" s="41">
        <v>44799</v>
      </c>
      <c r="K11536" s="30" t="s">
        <v>22</v>
      </c>
    </row>
    <row r="11537" spans="1:11">
      <c r="A11537" s="33" t="s">
        <v>26240</v>
      </c>
      <c r="B11537" s="33" t="s">
        <v>26241</v>
      </c>
      <c r="C11537" s="33" t="s">
        <v>11001</v>
      </c>
      <c r="D11537" s="33" t="s">
        <v>17</v>
      </c>
      <c r="E11537" s="33" t="s">
        <v>31</v>
      </c>
      <c r="F11537" s="33" t="s">
        <v>32</v>
      </c>
      <c r="G11537" s="33" t="s">
        <v>50</v>
      </c>
      <c r="H11537" s="35">
        <v>20</v>
      </c>
      <c r="I11537" s="33" t="s">
        <v>21</v>
      </c>
      <c r="J11537" s="42">
        <v>44572</v>
      </c>
      <c r="K11537" s="33" t="s">
        <v>22</v>
      </c>
    </row>
    <row r="11538" spans="1:11">
      <c r="A11538" s="30" t="s">
        <v>26242</v>
      </c>
      <c r="B11538" s="30" t="s">
        <v>26243</v>
      </c>
      <c r="C11538" s="30" t="s">
        <v>9528</v>
      </c>
      <c r="D11538" s="30" t="s">
        <v>17</v>
      </c>
      <c r="E11538" s="30" t="s">
        <v>31</v>
      </c>
      <c r="F11538" s="30" t="s">
        <v>32</v>
      </c>
      <c r="G11538" s="30" t="s">
        <v>20</v>
      </c>
      <c r="H11538" s="32">
        <v>24</v>
      </c>
      <c r="I11538" s="30" t="s">
        <v>21</v>
      </c>
      <c r="J11538" s="41">
        <v>44623</v>
      </c>
      <c r="K11538" s="30" t="s">
        <v>22</v>
      </c>
    </row>
    <row r="11539" spans="1:11">
      <c r="A11539" s="33" t="s">
        <v>26244</v>
      </c>
      <c r="B11539" s="33" t="s">
        <v>26245</v>
      </c>
      <c r="C11539" s="33" t="s">
        <v>995</v>
      </c>
      <c r="D11539" s="33" t="s">
        <v>17</v>
      </c>
      <c r="E11539" s="33" t="s">
        <v>26</v>
      </c>
      <c r="F11539" s="33" t="s">
        <v>27</v>
      </c>
      <c r="G11539" s="33" t="s">
        <v>112</v>
      </c>
      <c r="H11539" s="35">
        <v>0</v>
      </c>
      <c r="I11539" s="33" t="s">
        <v>21</v>
      </c>
      <c r="J11539" s="42">
        <v>44893</v>
      </c>
      <c r="K11539" s="33" t="s">
        <v>22</v>
      </c>
    </row>
    <row r="11540" spans="1:11">
      <c r="A11540" s="30" t="s">
        <v>26246</v>
      </c>
      <c r="B11540" s="30" t="s">
        <v>26247</v>
      </c>
      <c r="C11540" s="30" t="s">
        <v>26248</v>
      </c>
      <c r="D11540" s="30" t="s">
        <v>17</v>
      </c>
      <c r="E11540" s="30" t="s">
        <v>26</v>
      </c>
      <c r="F11540" s="30" t="s">
        <v>27</v>
      </c>
      <c r="G11540" s="30" t="s">
        <v>20</v>
      </c>
      <c r="H11540" s="32">
        <v>79</v>
      </c>
      <c r="I11540" s="30" t="s">
        <v>21</v>
      </c>
      <c r="J11540" s="41">
        <v>44820</v>
      </c>
      <c r="K11540" s="30" t="s">
        <v>22</v>
      </c>
    </row>
    <row r="11541" spans="1:11">
      <c r="A11541" s="33" t="s">
        <v>26249</v>
      </c>
      <c r="B11541" s="33" t="s">
        <v>26250</v>
      </c>
      <c r="C11541" s="33" t="s">
        <v>26251</v>
      </c>
      <c r="D11541" s="33" t="s">
        <v>17</v>
      </c>
      <c r="E11541" s="33" t="s">
        <v>31</v>
      </c>
      <c r="F11541" s="33" t="s">
        <v>32</v>
      </c>
      <c r="G11541" s="33" t="s">
        <v>50</v>
      </c>
      <c r="H11541" s="35">
        <v>1000</v>
      </c>
      <c r="I11541" s="33" t="s">
        <v>51</v>
      </c>
      <c r="J11541" s="42">
        <v>44713</v>
      </c>
      <c r="K11541" s="33" t="s">
        <v>22</v>
      </c>
    </row>
    <row r="11542" spans="1:11">
      <c r="A11542" s="30" t="s">
        <v>26252</v>
      </c>
      <c r="B11542" s="30" t="s">
        <v>26253</v>
      </c>
      <c r="C11542" s="30" t="s">
        <v>12222</v>
      </c>
      <c r="D11542" s="30" t="s">
        <v>17</v>
      </c>
      <c r="E11542" s="30" t="s">
        <v>26</v>
      </c>
      <c r="F11542" s="30" t="s">
        <v>27</v>
      </c>
      <c r="G11542" s="30" t="s">
        <v>140</v>
      </c>
      <c r="H11542" s="32">
        <v>36</v>
      </c>
      <c r="I11542" s="30" t="s">
        <v>51</v>
      </c>
      <c r="J11542" s="41">
        <v>44725</v>
      </c>
      <c r="K11542" s="30" t="s">
        <v>22</v>
      </c>
    </row>
    <row r="11543" spans="1:11">
      <c r="A11543" s="33" t="s">
        <v>26254</v>
      </c>
      <c r="B11543" s="33" t="s">
        <v>26255</v>
      </c>
      <c r="C11543" s="33" t="s">
        <v>11001</v>
      </c>
      <c r="D11543" s="33" t="s">
        <v>17</v>
      </c>
      <c r="E11543" s="33" t="s">
        <v>330</v>
      </c>
      <c r="F11543" s="33" t="s">
        <v>331</v>
      </c>
      <c r="G11543" s="33" t="s">
        <v>50</v>
      </c>
      <c r="H11543" s="35">
        <v>48</v>
      </c>
      <c r="I11543" s="33" t="s">
        <v>21</v>
      </c>
      <c r="J11543" s="42">
        <v>44820</v>
      </c>
      <c r="K11543" s="33" t="s">
        <v>22</v>
      </c>
    </row>
    <row r="11544" spans="1:11">
      <c r="A11544" s="30" t="s">
        <v>26256</v>
      </c>
      <c r="B11544" s="30" t="s">
        <v>26257</v>
      </c>
      <c r="C11544" s="30" t="s">
        <v>318</v>
      </c>
      <c r="D11544" s="30" t="s">
        <v>17</v>
      </c>
      <c r="E11544" s="30" t="s">
        <v>67</v>
      </c>
      <c r="F11544" s="30" t="s">
        <v>68</v>
      </c>
      <c r="G11544" s="30" t="s">
        <v>158</v>
      </c>
      <c r="H11544" s="32">
        <v>72</v>
      </c>
      <c r="I11544" s="30" t="s">
        <v>21</v>
      </c>
      <c r="J11544" s="41">
        <v>44698</v>
      </c>
      <c r="K11544" s="30" t="s">
        <v>22</v>
      </c>
    </row>
    <row r="11545" spans="1:11">
      <c r="A11545" s="33" t="s">
        <v>26258</v>
      </c>
      <c r="B11545" s="33" t="s">
        <v>26259</v>
      </c>
      <c r="C11545" s="33" t="s">
        <v>379</v>
      </c>
      <c r="D11545" s="33" t="s">
        <v>17</v>
      </c>
      <c r="E11545" s="33" t="s">
        <v>26</v>
      </c>
      <c r="F11545" s="33" t="s">
        <v>27</v>
      </c>
      <c r="G11545" s="33" t="s">
        <v>50</v>
      </c>
      <c r="H11545" s="35">
        <v>20</v>
      </c>
      <c r="I11545" s="33" t="s">
        <v>51</v>
      </c>
      <c r="J11545" s="42">
        <v>44909</v>
      </c>
      <c r="K11545" s="33" t="s">
        <v>22</v>
      </c>
    </row>
    <row r="11546" spans="1:11">
      <c r="A11546" s="30" t="s">
        <v>26260</v>
      </c>
      <c r="B11546" s="30" t="s">
        <v>26261</v>
      </c>
      <c r="C11546" s="30" t="s">
        <v>957</v>
      </c>
      <c r="D11546" s="30" t="s">
        <v>17</v>
      </c>
      <c r="E11546" s="30" t="s">
        <v>31</v>
      </c>
      <c r="F11546" s="30" t="s">
        <v>32</v>
      </c>
      <c r="G11546" s="30" t="s">
        <v>140</v>
      </c>
      <c r="H11546" s="32">
        <v>279</v>
      </c>
      <c r="I11546" s="30" t="s">
        <v>51</v>
      </c>
      <c r="J11546" s="41">
        <v>44880</v>
      </c>
      <c r="K11546" s="30" t="s">
        <v>22</v>
      </c>
    </row>
    <row r="11547" spans="1:11">
      <c r="A11547" s="33" t="s">
        <v>26262</v>
      </c>
      <c r="B11547" s="33" t="s">
        <v>26263</v>
      </c>
      <c r="C11547" s="33" t="s">
        <v>25953</v>
      </c>
      <c r="D11547" s="33" t="s">
        <v>17</v>
      </c>
      <c r="E11547" s="33" t="s">
        <v>26</v>
      </c>
      <c r="F11547" s="33" t="s">
        <v>27</v>
      </c>
      <c r="G11547" s="33" t="s">
        <v>106</v>
      </c>
      <c r="H11547" s="35">
        <v>88</v>
      </c>
      <c r="I11547" s="33" t="s">
        <v>21</v>
      </c>
      <c r="J11547" s="42">
        <v>44659</v>
      </c>
      <c r="K11547" s="33" t="s">
        <v>22</v>
      </c>
    </row>
    <row r="11548" spans="1:11">
      <c r="A11548" s="30" t="s">
        <v>26264</v>
      </c>
      <c r="B11548" s="30" t="s">
        <v>26265</v>
      </c>
      <c r="C11548" s="30" t="s">
        <v>4634</v>
      </c>
      <c r="D11548" s="30" t="s">
        <v>17</v>
      </c>
      <c r="E11548" s="30" t="s">
        <v>26</v>
      </c>
      <c r="F11548" s="30" t="s">
        <v>27</v>
      </c>
      <c r="G11548" s="30" t="s">
        <v>20</v>
      </c>
      <c r="H11548" s="32">
        <v>28</v>
      </c>
      <c r="I11548" s="30" t="s">
        <v>21</v>
      </c>
      <c r="J11548" s="41">
        <v>44662</v>
      </c>
      <c r="K11548" s="30" t="s">
        <v>22</v>
      </c>
    </row>
    <row r="11549" spans="1:11">
      <c r="A11549" s="33" t="s">
        <v>26266</v>
      </c>
      <c r="B11549" s="33" t="s">
        <v>26267</v>
      </c>
      <c r="C11549" s="33" t="s">
        <v>18821</v>
      </c>
      <c r="D11549" s="33" t="s">
        <v>17</v>
      </c>
      <c r="E11549" s="33" t="s">
        <v>26</v>
      </c>
      <c r="F11549" s="33" t="s">
        <v>27</v>
      </c>
      <c r="G11549" s="33" t="s">
        <v>20</v>
      </c>
      <c r="H11549" s="35">
        <v>24</v>
      </c>
      <c r="I11549" s="33" t="s">
        <v>21</v>
      </c>
      <c r="J11549" s="42">
        <v>44666</v>
      </c>
      <c r="K11549" s="33" t="s">
        <v>22</v>
      </c>
    </row>
    <row r="11550" spans="1:11">
      <c r="A11550" s="30" t="s">
        <v>26268</v>
      </c>
      <c r="B11550" s="30" t="s">
        <v>26269</v>
      </c>
      <c r="C11550" s="30" t="s">
        <v>13864</v>
      </c>
      <c r="D11550" s="30" t="s">
        <v>17</v>
      </c>
      <c r="E11550" s="30" t="s">
        <v>26</v>
      </c>
      <c r="F11550" s="30" t="s">
        <v>27</v>
      </c>
      <c r="G11550" s="30" t="s">
        <v>20</v>
      </c>
      <c r="H11550" s="32">
        <v>51</v>
      </c>
      <c r="I11550" s="30" t="s">
        <v>21</v>
      </c>
      <c r="J11550" s="41">
        <v>44713</v>
      </c>
      <c r="K11550" s="30" t="s">
        <v>22</v>
      </c>
    </row>
    <row r="11551" spans="1:11">
      <c r="A11551" s="33" t="s">
        <v>26270</v>
      </c>
      <c r="B11551" s="33" t="s">
        <v>26271</v>
      </c>
      <c r="C11551" s="33" t="s">
        <v>399</v>
      </c>
      <c r="D11551" s="33" t="s">
        <v>17</v>
      </c>
      <c r="E11551" s="33" t="s">
        <v>18</v>
      </c>
      <c r="F11551" s="33" t="s">
        <v>19</v>
      </c>
      <c r="G11551" s="33" t="s">
        <v>20</v>
      </c>
      <c r="H11551" s="35">
        <v>101</v>
      </c>
      <c r="I11551" s="33" t="s">
        <v>21</v>
      </c>
      <c r="J11551" s="42">
        <v>44914</v>
      </c>
      <c r="K11551" s="33" t="s">
        <v>22</v>
      </c>
    </row>
    <row r="11552" spans="1:11">
      <c r="A11552" s="30" t="s">
        <v>26272</v>
      </c>
      <c r="B11552" s="30" t="s">
        <v>26273</v>
      </c>
      <c r="C11552" s="30" t="s">
        <v>17020</v>
      </c>
      <c r="D11552" s="30" t="s">
        <v>17</v>
      </c>
      <c r="E11552" s="30" t="s">
        <v>45</v>
      </c>
      <c r="F11552" s="30" t="s">
        <v>46</v>
      </c>
      <c r="G11552" s="30" t="s">
        <v>20</v>
      </c>
      <c r="H11552" s="32">
        <v>4065</v>
      </c>
      <c r="I11552" s="30" t="s">
        <v>21</v>
      </c>
      <c r="J11552" s="41">
        <v>44874</v>
      </c>
      <c r="K11552" s="30" t="s">
        <v>22</v>
      </c>
    </row>
    <row r="11553" spans="1:11">
      <c r="A11553" s="33" t="s">
        <v>26274</v>
      </c>
      <c r="B11553" s="33" t="s">
        <v>26275</v>
      </c>
      <c r="C11553" s="33" t="s">
        <v>5987</v>
      </c>
      <c r="D11553" s="33" t="s">
        <v>17</v>
      </c>
      <c r="E11553" s="33" t="s">
        <v>26</v>
      </c>
      <c r="F11553" s="33" t="s">
        <v>27</v>
      </c>
      <c r="G11553" s="33" t="s">
        <v>20</v>
      </c>
      <c r="H11553" s="35">
        <v>64</v>
      </c>
      <c r="I11553" s="33" t="s">
        <v>21</v>
      </c>
      <c r="J11553" s="42">
        <v>44899</v>
      </c>
      <c r="K11553" s="33" t="s">
        <v>22</v>
      </c>
    </row>
    <row r="11554" spans="1:11">
      <c r="A11554" s="30" t="s">
        <v>26276</v>
      </c>
      <c r="B11554" s="30" t="s">
        <v>26277</v>
      </c>
      <c r="C11554" s="30" t="s">
        <v>17076</v>
      </c>
      <c r="D11554" s="30" t="s">
        <v>17</v>
      </c>
      <c r="E11554" s="30" t="s">
        <v>26</v>
      </c>
      <c r="F11554" s="30" t="s">
        <v>27</v>
      </c>
      <c r="G11554" s="30" t="s">
        <v>20</v>
      </c>
      <c r="H11554" s="32">
        <v>27</v>
      </c>
      <c r="I11554" s="30" t="s">
        <v>21</v>
      </c>
      <c r="J11554" s="41">
        <v>44909</v>
      </c>
      <c r="K11554" s="30" t="s">
        <v>22</v>
      </c>
    </row>
    <row r="11555" spans="1:11">
      <c r="A11555" s="33" t="s">
        <v>26278</v>
      </c>
      <c r="B11555" s="33" t="s">
        <v>26279</v>
      </c>
      <c r="C11555" s="33" t="s">
        <v>12783</v>
      </c>
      <c r="D11555" s="33" t="s">
        <v>17</v>
      </c>
      <c r="E11555" s="33" t="s">
        <v>18</v>
      </c>
      <c r="F11555" s="33" t="s">
        <v>19</v>
      </c>
      <c r="G11555" s="33" t="s">
        <v>106</v>
      </c>
      <c r="H11555" s="35">
        <v>105</v>
      </c>
      <c r="I11555" s="33" t="s">
        <v>21</v>
      </c>
      <c r="J11555" s="42">
        <v>44799</v>
      </c>
      <c r="K11555" s="33" t="s">
        <v>22</v>
      </c>
    </row>
    <row r="11556" spans="1:11">
      <c r="A11556" s="30" t="s">
        <v>26280</v>
      </c>
      <c r="B11556" s="30" t="s">
        <v>26281</v>
      </c>
      <c r="C11556" s="30" t="s">
        <v>26282</v>
      </c>
      <c r="D11556" s="30" t="s">
        <v>17</v>
      </c>
      <c r="E11556" s="30" t="s">
        <v>26</v>
      </c>
      <c r="F11556" s="30" t="s">
        <v>27</v>
      </c>
      <c r="G11556" s="30" t="s">
        <v>50</v>
      </c>
      <c r="H11556" s="32">
        <v>24</v>
      </c>
      <c r="I11556" s="30" t="s">
        <v>51</v>
      </c>
      <c r="J11556" s="41">
        <v>44867</v>
      </c>
      <c r="K11556" s="30" t="s">
        <v>22</v>
      </c>
    </row>
    <row r="11557" spans="1:11">
      <c r="A11557" s="33" t="s">
        <v>26283</v>
      </c>
      <c r="B11557" s="33" t="s">
        <v>26284</v>
      </c>
      <c r="C11557" s="33" t="s">
        <v>11434</v>
      </c>
      <c r="D11557" s="33" t="s">
        <v>17</v>
      </c>
      <c r="E11557" s="33" t="s">
        <v>26</v>
      </c>
      <c r="F11557" s="33" t="s">
        <v>27</v>
      </c>
      <c r="G11557" s="33" t="s">
        <v>50</v>
      </c>
      <c r="H11557" s="35">
        <v>60</v>
      </c>
      <c r="I11557" s="33" t="s">
        <v>51</v>
      </c>
      <c r="J11557" s="42">
        <v>44564</v>
      </c>
      <c r="K11557" s="33" t="s">
        <v>22</v>
      </c>
    </row>
    <row r="11558" spans="1:11">
      <c r="A11558" s="30" t="s">
        <v>26285</v>
      </c>
      <c r="B11558" s="30" t="s">
        <v>26286</v>
      </c>
      <c r="C11558" s="30" t="s">
        <v>16878</v>
      </c>
      <c r="D11558" s="30" t="s">
        <v>17</v>
      </c>
      <c r="E11558" s="30" t="s">
        <v>26</v>
      </c>
      <c r="F11558" s="30" t="s">
        <v>27</v>
      </c>
      <c r="G11558" s="30" t="s">
        <v>20</v>
      </c>
      <c r="H11558" s="32">
        <v>40</v>
      </c>
      <c r="I11558" s="30" t="s">
        <v>21</v>
      </c>
      <c r="J11558" s="41">
        <v>44613</v>
      </c>
      <c r="K11558" s="30" t="s">
        <v>22</v>
      </c>
    </row>
    <row r="11559" spans="1:11">
      <c r="A11559" s="33" t="s">
        <v>26287</v>
      </c>
      <c r="B11559" s="33" t="s">
        <v>26288</v>
      </c>
      <c r="C11559" s="33" t="s">
        <v>118</v>
      </c>
      <c r="D11559" s="33" t="s">
        <v>17</v>
      </c>
      <c r="E11559" s="33" t="s">
        <v>26</v>
      </c>
      <c r="F11559" s="33" t="s">
        <v>27</v>
      </c>
      <c r="G11559" s="33" t="s">
        <v>106</v>
      </c>
      <c r="H11559" s="35">
        <v>22</v>
      </c>
      <c r="I11559" s="33" t="s">
        <v>21</v>
      </c>
      <c r="J11559" s="42">
        <v>44824</v>
      </c>
      <c r="K11559" s="33" t="s">
        <v>22</v>
      </c>
    </row>
    <row r="11560" spans="1:11">
      <c r="A11560" s="30" t="s">
        <v>26289</v>
      </c>
      <c r="B11560" s="30" t="s">
        <v>26290</v>
      </c>
      <c r="C11560" s="30" t="s">
        <v>26291</v>
      </c>
      <c r="D11560" s="30" t="s">
        <v>17</v>
      </c>
      <c r="E11560" s="30" t="s">
        <v>26</v>
      </c>
      <c r="F11560" s="30" t="s">
        <v>27</v>
      </c>
      <c r="G11560" s="30" t="s">
        <v>20</v>
      </c>
      <c r="H11560" s="32">
        <v>6</v>
      </c>
      <c r="I11560" s="30" t="s">
        <v>21</v>
      </c>
      <c r="J11560" s="41">
        <v>44725</v>
      </c>
      <c r="K11560" s="30" t="s">
        <v>22</v>
      </c>
    </row>
    <row r="11561" spans="1:11">
      <c r="A11561" s="33" t="s">
        <v>26292</v>
      </c>
      <c r="B11561" s="33" t="s">
        <v>26293</v>
      </c>
      <c r="C11561" s="33" t="s">
        <v>10311</v>
      </c>
      <c r="D11561" s="33" t="s">
        <v>17</v>
      </c>
      <c r="E11561" s="33" t="s">
        <v>31</v>
      </c>
      <c r="F11561" s="33" t="s">
        <v>32</v>
      </c>
      <c r="G11561" s="33" t="s">
        <v>20</v>
      </c>
      <c r="H11561" s="35">
        <v>83</v>
      </c>
      <c r="I11561" s="33" t="s">
        <v>21</v>
      </c>
      <c r="J11561" s="42">
        <v>44607</v>
      </c>
      <c r="K11561" s="33" t="s">
        <v>22</v>
      </c>
    </row>
    <row r="11562" spans="1:11">
      <c r="A11562" s="30" t="s">
        <v>26294</v>
      </c>
      <c r="B11562" s="30" t="s">
        <v>26295</v>
      </c>
      <c r="C11562" s="30" t="s">
        <v>21612</v>
      </c>
      <c r="D11562" s="30" t="s">
        <v>17</v>
      </c>
      <c r="E11562" s="30" t="s">
        <v>67</v>
      </c>
      <c r="F11562" s="30" t="s">
        <v>68</v>
      </c>
      <c r="G11562" s="30" t="s">
        <v>140</v>
      </c>
      <c r="H11562" s="32">
        <v>116</v>
      </c>
      <c r="I11562" s="30" t="s">
        <v>51</v>
      </c>
      <c r="J11562" s="41">
        <v>44809</v>
      </c>
      <c r="K11562" s="30" t="s">
        <v>22</v>
      </c>
    </row>
    <row r="11563" spans="1:11">
      <c r="A11563" s="33" t="s">
        <v>26296</v>
      </c>
      <c r="B11563" s="33" t="s">
        <v>26297</v>
      </c>
      <c r="C11563" s="33" t="s">
        <v>178</v>
      </c>
      <c r="D11563" s="33" t="s">
        <v>17</v>
      </c>
      <c r="E11563" s="33" t="s">
        <v>26</v>
      </c>
      <c r="F11563" s="33" t="s">
        <v>27</v>
      </c>
      <c r="G11563" s="33" t="s">
        <v>20</v>
      </c>
      <c r="H11563" s="35">
        <v>43</v>
      </c>
      <c r="I11563" s="33" t="s">
        <v>21</v>
      </c>
      <c r="J11563" s="42">
        <v>44869</v>
      </c>
      <c r="K11563" s="33" t="s">
        <v>22</v>
      </c>
    </row>
    <row r="11564" spans="1:11">
      <c r="A11564" s="30" t="s">
        <v>26298</v>
      </c>
      <c r="B11564" s="30" t="s">
        <v>26299</v>
      </c>
      <c r="C11564" s="30" t="s">
        <v>1598</v>
      </c>
      <c r="D11564" s="30" t="s">
        <v>17</v>
      </c>
      <c r="E11564" s="30" t="s">
        <v>26</v>
      </c>
      <c r="F11564" s="30" t="s">
        <v>27</v>
      </c>
      <c r="G11564" s="30" t="s">
        <v>20</v>
      </c>
      <c r="H11564" s="32">
        <v>24</v>
      </c>
      <c r="I11564" s="30" t="s">
        <v>21</v>
      </c>
      <c r="J11564" s="41">
        <v>44774</v>
      </c>
      <c r="K11564" s="30" t="s">
        <v>22</v>
      </c>
    </row>
    <row r="11565" spans="1:11">
      <c r="A11565" s="33" t="s">
        <v>26300</v>
      </c>
      <c r="B11565" s="33" t="s">
        <v>26301</v>
      </c>
      <c r="C11565" s="33" t="s">
        <v>26302</v>
      </c>
      <c r="D11565" s="33" t="s">
        <v>17</v>
      </c>
      <c r="E11565" s="33" t="s">
        <v>31</v>
      </c>
      <c r="F11565" s="33" t="s">
        <v>32</v>
      </c>
      <c r="G11565" s="33" t="s">
        <v>50</v>
      </c>
      <c r="H11565" s="35">
        <v>35</v>
      </c>
      <c r="I11565" s="33" t="s">
        <v>51</v>
      </c>
      <c r="J11565" s="42">
        <v>44574</v>
      </c>
      <c r="K11565" s="33" t="s">
        <v>22</v>
      </c>
    </row>
    <row r="11566" spans="1:11">
      <c r="A11566" s="30" t="s">
        <v>26303</v>
      </c>
      <c r="B11566" s="30" t="s">
        <v>26304</v>
      </c>
      <c r="C11566" s="30" t="s">
        <v>26305</v>
      </c>
      <c r="D11566" s="30" t="s">
        <v>17</v>
      </c>
      <c r="E11566" s="30" t="s">
        <v>31</v>
      </c>
      <c r="F11566" s="30" t="s">
        <v>32</v>
      </c>
      <c r="G11566" s="30" t="s">
        <v>50</v>
      </c>
      <c r="H11566" s="32">
        <v>314</v>
      </c>
      <c r="I11566" s="30" t="s">
        <v>51</v>
      </c>
      <c r="J11566" s="41">
        <v>44761</v>
      </c>
      <c r="K11566" s="30" t="s">
        <v>22</v>
      </c>
    </row>
    <row r="11567" spans="1:11">
      <c r="A11567" s="33" t="s">
        <v>26306</v>
      </c>
      <c r="B11567" s="33" t="s">
        <v>26307</v>
      </c>
      <c r="C11567" s="33" t="s">
        <v>4315</v>
      </c>
      <c r="D11567" s="33" t="s">
        <v>17</v>
      </c>
      <c r="E11567" s="33" t="s">
        <v>26</v>
      </c>
      <c r="F11567" s="33" t="s">
        <v>27</v>
      </c>
      <c r="G11567" s="33" t="s">
        <v>20</v>
      </c>
      <c r="H11567" s="35">
        <v>57</v>
      </c>
      <c r="I11567" s="33" t="s">
        <v>21</v>
      </c>
      <c r="J11567" s="42">
        <v>44799</v>
      </c>
      <c r="K11567" s="33" t="s">
        <v>22</v>
      </c>
    </row>
    <row r="11568" spans="1:11">
      <c r="A11568" s="30" t="s">
        <v>26308</v>
      </c>
      <c r="B11568" s="30" t="s">
        <v>26309</v>
      </c>
      <c r="C11568" s="30" t="s">
        <v>11793</v>
      </c>
      <c r="D11568" s="30" t="s">
        <v>17</v>
      </c>
      <c r="E11568" s="30" t="s">
        <v>330</v>
      </c>
      <c r="F11568" s="30" t="s">
        <v>331</v>
      </c>
      <c r="G11568" s="30" t="s">
        <v>50</v>
      </c>
      <c r="H11568" s="32">
        <v>9</v>
      </c>
      <c r="I11568" s="30" t="s">
        <v>51</v>
      </c>
      <c r="J11568" s="41">
        <v>44855</v>
      </c>
      <c r="K11568" s="30" t="s">
        <v>22</v>
      </c>
    </row>
    <row r="11569" spans="1:11">
      <c r="A11569" s="33" t="s">
        <v>26310</v>
      </c>
      <c r="B11569" s="33" t="s">
        <v>26311</v>
      </c>
      <c r="C11569" s="33" t="s">
        <v>4306</v>
      </c>
      <c r="D11569" s="33" t="s">
        <v>17</v>
      </c>
      <c r="E11569" s="33" t="s">
        <v>67</v>
      </c>
      <c r="F11569" s="33" t="s">
        <v>68</v>
      </c>
      <c r="G11569" s="33" t="s">
        <v>106</v>
      </c>
      <c r="H11569" s="35">
        <v>8</v>
      </c>
      <c r="I11569" s="33" t="s">
        <v>21</v>
      </c>
      <c r="J11569" s="42">
        <v>44909</v>
      </c>
      <c r="K11569" s="33" t="s">
        <v>22</v>
      </c>
    </row>
    <row r="11570" spans="1:11">
      <c r="A11570" s="30" t="s">
        <v>26312</v>
      </c>
      <c r="B11570" s="30" t="s">
        <v>26313</v>
      </c>
      <c r="C11570" s="30" t="s">
        <v>7721</v>
      </c>
      <c r="D11570" s="30" t="s">
        <v>17</v>
      </c>
      <c r="E11570" s="30" t="s">
        <v>31</v>
      </c>
      <c r="F11570" s="30" t="s">
        <v>32</v>
      </c>
      <c r="G11570" s="30" t="s">
        <v>106</v>
      </c>
      <c r="H11570" s="32">
        <v>31</v>
      </c>
      <c r="I11570" s="30" t="s">
        <v>21</v>
      </c>
      <c r="J11570" s="41">
        <v>44706</v>
      </c>
      <c r="K11570" s="30" t="s">
        <v>22</v>
      </c>
    </row>
    <row r="11571" spans="1:11">
      <c r="A11571" s="33" t="s">
        <v>26314</v>
      </c>
      <c r="B11571" s="33" t="s">
        <v>26315</v>
      </c>
      <c r="C11571" s="33" t="s">
        <v>969</v>
      </c>
      <c r="D11571" s="33" t="s">
        <v>17</v>
      </c>
      <c r="E11571" s="33" t="s">
        <v>67</v>
      </c>
      <c r="F11571" s="33" t="s">
        <v>68</v>
      </c>
      <c r="G11571" s="33" t="s">
        <v>20</v>
      </c>
      <c r="H11571" s="35">
        <v>1009</v>
      </c>
      <c r="I11571" s="33" t="s">
        <v>21</v>
      </c>
      <c r="J11571" s="42">
        <v>44893</v>
      </c>
      <c r="K11571" s="33" t="s">
        <v>22</v>
      </c>
    </row>
    <row r="11572" spans="1:11">
      <c r="A11572" s="30" t="s">
        <v>26316</v>
      </c>
      <c r="B11572" s="30" t="s">
        <v>26317</v>
      </c>
      <c r="C11572" s="30" t="s">
        <v>2196</v>
      </c>
      <c r="D11572" s="30" t="s">
        <v>17</v>
      </c>
      <c r="E11572" s="30" t="s">
        <v>26</v>
      </c>
      <c r="F11572" s="30" t="s">
        <v>27</v>
      </c>
      <c r="G11572" s="30" t="s">
        <v>20</v>
      </c>
      <c r="H11572" s="32">
        <v>59</v>
      </c>
      <c r="I11572" s="30" t="s">
        <v>21</v>
      </c>
      <c r="J11572" s="41">
        <v>44713</v>
      </c>
      <c r="K11572" s="30" t="s">
        <v>22</v>
      </c>
    </row>
    <row r="11573" spans="1:11">
      <c r="A11573" s="33" t="s">
        <v>26318</v>
      </c>
      <c r="B11573" s="33" t="s">
        <v>26319</v>
      </c>
      <c r="C11573" s="33" t="s">
        <v>1270</v>
      </c>
      <c r="D11573" s="33" t="s">
        <v>17</v>
      </c>
      <c r="E11573" s="33" t="s">
        <v>26</v>
      </c>
      <c r="F11573" s="33" t="s">
        <v>27</v>
      </c>
      <c r="G11573" s="33" t="s">
        <v>50</v>
      </c>
      <c r="H11573" s="35">
        <v>32</v>
      </c>
      <c r="I11573" s="33" t="s">
        <v>51</v>
      </c>
      <c r="J11573" s="42">
        <v>44621</v>
      </c>
      <c r="K11573" s="33" t="s">
        <v>22</v>
      </c>
    </row>
    <row r="11574" spans="1:11">
      <c r="A11574" s="30" t="s">
        <v>26320</v>
      </c>
      <c r="B11574" s="30" t="s">
        <v>26321</v>
      </c>
      <c r="C11574" s="30" t="s">
        <v>18761</v>
      </c>
      <c r="D11574" s="30" t="s">
        <v>17</v>
      </c>
      <c r="E11574" s="30" t="s">
        <v>67</v>
      </c>
      <c r="F11574" s="30" t="s">
        <v>68</v>
      </c>
      <c r="G11574" s="30" t="s">
        <v>106</v>
      </c>
      <c r="H11574" s="32">
        <v>2</v>
      </c>
      <c r="I11574" s="30" t="s">
        <v>21</v>
      </c>
      <c r="J11574" s="41">
        <v>44706</v>
      </c>
      <c r="K11574" s="30" t="s">
        <v>22</v>
      </c>
    </row>
    <row r="11575" spans="1:11">
      <c r="A11575" s="33" t="s">
        <v>26322</v>
      </c>
      <c r="B11575" s="33" t="s">
        <v>26323</v>
      </c>
      <c r="C11575" s="33" t="s">
        <v>102</v>
      </c>
      <c r="D11575" s="33" t="s">
        <v>17</v>
      </c>
      <c r="E11575" s="33" t="s">
        <v>31</v>
      </c>
      <c r="F11575" s="33" t="s">
        <v>32</v>
      </c>
      <c r="G11575" s="33" t="s">
        <v>20</v>
      </c>
      <c r="H11575" s="35">
        <v>36</v>
      </c>
      <c r="I11575" s="33" t="s">
        <v>21</v>
      </c>
      <c r="J11575" s="42">
        <v>44901</v>
      </c>
      <c r="K11575" s="33" t="s">
        <v>22</v>
      </c>
    </row>
    <row r="11576" spans="1:11">
      <c r="A11576" s="30" t="s">
        <v>26324</v>
      </c>
      <c r="B11576" s="30" t="s">
        <v>26325</v>
      </c>
      <c r="C11576" s="30" t="s">
        <v>14559</v>
      </c>
      <c r="D11576" s="30" t="s">
        <v>17</v>
      </c>
      <c r="E11576" s="30" t="s">
        <v>26</v>
      </c>
      <c r="F11576" s="30" t="s">
        <v>27</v>
      </c>
      <c r="G11576" s="30" t="s">
        <v>106</v>
      </c>
      <c r="H11576" s="32">
        <v>23</v>
      </c>
      <c r="I11576" s="30" t="s">
        <v>21</v>
      </c>
      <c r="J11576" s="41">
        <v>44882</v>
      </c>
      <c r="K11576" s="30" t="s">
        <v>22</v>
      </c>
    </row>
    <row r="11577" spans="1:11">
      <c r="A11577" s="33" t="s">
        <v>26326</v>
      </c>
      <c r="B11577" s="33" t="s">
        <v>26327</v>
      </c>
      <c r="C11577" s="33" t="s">
        <v>8007</v>
      </c>
      <c r="D11577" s="33" t="s">
        <v>17</v>
      </c>
      <c r="E11577" s="33" t="s">
        <v>18</v>
      </c>
      <c r="F11577" s="33" t="s">
        <v>19</v>
      </c>
      <c r="G11577" s="33" t="s">
        <v>20</v>
      </c>
      <c r="H11577" s="35">
        <v>59</v>
      </c>
      <c r="I11577" s="33" t="s">
        <v>21</v>
      </c>
      <c r="J11577" s="42">
        <v>44715</v>
      </c>
      <c r="K11577" s="33" t="s">
        <v>22</v>
      </c>
    </row>
    <row r="11578" spans="1:11">
      <c r="A11578" s="30" t="s">
        <v>26328</v>
      </c>
      <c r="B11578" s="30" t="s">
        <v>26329</v>
      </c>
      <c r="C11578" s="30" t="s">
        <v>7640</v>
      </c>
      <c r="D11578" s="30" t="s">
        <v>17</v>
      </c>
      <c r="E11578" s="30" t="s">
        <v>18</v>
      </c>
      <c r="F11578" s="30" t="s">
        <v>19</v>
      </c>
      <c r="G11578" s="30" t="s">
        <v>158</v>
      </c>
      <c r="H11578" s="32">
        <v>106</v>
      </c>
      <c r="I11578" s="30" t="s">
        <v>21</v>
      </c>
      <c r="J11578" s="41">
        <v>44734</v>
      </c>
      <c r="K11578" s="30" t="s">
        <v>22</v>
      </c>
    </row>
    <row r="11579" spans="1:11">
      <c r="A11579" s="33" t="s">
        <v>26330</v>
      </c>
      <c r="B11579" s="33" t="s">
        <v>26331</v>
      </c>
      <c r="C11579" s="33" t="s">
        <v>109</v>
      </c>
      <c r="D11579" s="33" t="s">
        <v>17</v>
      </c>
      <c r="E11579" s="33" t="s">
        <v>67</v>
      </c>
      <c r="F11579" s="33" t="s">
        <v>68</v>
      </c>
      <c r="G11579" s="33" t="s">
        <v>158</v>
      </c>
      <c r="H11579" s="35">
        <v>74</v>
      </c>
      <c r="I11579" s="33" t="s">
        <v>21</v>
      </c>
      <c r="J11579" s="42">
        <v>44858</v>
      </c>
      <c r="K11579" s="33" t="s">
        <v>22</v>
      </c>
    </row>
    <row r="11580" spans="1:11">
      <c r="A11580" s="30" t="s">
        <v>26332</v>
      </c>
      <c r="B11580" s="30" t="s">
        <v>26333</v>
      </c>
      <c r="C11580" s="30" t="s">
        <v>736</v>
      </c>
      <c r="D11580" s="30" t="s">
        <v>17</v>
      </c>
      <c r="E11580" s="30" t="s">
        <v>18</v>
      </c>
      <c r="F11580" s="30" t="s">
        <v>19</v>
      </c>
      <c r="G11580" s="30" t="s">
        <v>106</v>
      </c>
      <c r="H11580" s="32">
        <v>109</v>
      </c>
      <c r="I11580" s="30" t="s">
        <v>21</v>
      </c>
      <c r="J11580" s="41">
        <v>44871</v>
      </c>
      <c r="K11580" s="30" t="s">
        <v>22</v>
      </c>
    </row>
    <row r="11581" spans="1:11">
      <c r="A11581" s="33" t="s">
        <v>26334</v>
      </c>
      <c r="B11581" s="33" t="s">
        <v>26335</v>
      </c>
      <c r="C11581" s="33" t="s">
        <v>157</v>
      </c>
      <c r="D11581" s="33" t="s">
        <v>17</v>
      </c>
      <c r="E11581" s="33" t="s">
        <v>31</v>
      </c>
      <c r="F11581" s="33" t="s">
        <v>32</v>
      </c>
      <c r="G11581" s="33" t="s">
        <v>20</v>
      </c>
      <c r="H11581" s="35">
        <v>305</v>
      </c>
      <c r="I11581" s="33" t="s">
        <v>21</v>
      </c>
      <c r="J11581" s="42">
        <v>44567</v>
      </c>
      <c r="K11581" s="33" t="s">
        <v>22</v>
      </c>
    </row>
    <row r="11582" spans="1:11">
      <c r="A11582" s="30" t="s">
        <v>26336</v>
      </c>
      <c r="B11582" s="30" t="s">
        <v>26337</v>
      </c>
      <c r="C11582" s="30" t="s">
        <v>21402</v>
      </c>
      <c r="D11582" s="30" t="s">
        <v>17</v>
      </c>
      <c r="E11582" s="30" t="s">
        <v>26</v>
      </c>
      <c r="F11582" s="30" t="s">
        <v>27</v>
      </c>
      <c r="G11582" s="30" t="s">
        <v>20</v>
      </c>
      <c r="H11582" s="32">
        <v>51</v>
      </c>
      <c r="I11582" s="30" t="s">
        <v>21</v>
      </c>
      <c r="J11582" s="41">
        <v>44742</v>
      </c>
      <c r="K11582" s="30" t="s">
        <v>22</v>
      </c>
    </row>
    <row r="11583" spans="1:11">
      <c r="A11583" s="33" t="s">
        <v>26338</v>
      </c>
      <c r="B11583" s="33" t="s">
        <v>26339</v>
      </c>
      <c r="C11583" s="33" t="s">
        <v>26340</v>
      </c>
      <c r="D11583" s="33" t="s">
        <v>17</v>
      </c>
      <c r="E11583" s="33" t="s">
        <v>67</v>
      </c>
      <c r="F11583" s="33" t="s">
        <v>68</v>
      </c>
      <c r="G11583" s="33" t="s">
        <v>20</v>
      </c>
      <c r="H11583" s="35">
        <v>835</v>
      </c>
      <c r="I11583" s="33" t="s">
        <v>21</v>
      </c>
      <c r="J11583" s="42">
        <v>44614</v>
      </c>
      <c r="K11583" s="33" t="s">
        <v>22</v>
      </c>
    </row>
    <row r="11584" spans="1:11">
      <c r="A11584" s="30" t="s">
        <v>26341</v>
      </c>
      <c r="B11584" s="30" t="s">
        <v>26342</v>
      </c>
      <c r="C11584" s="30" t="s">
        <v>969</v>
      </c>
      <c r="D11584" s="30" t="s">
        <v>17</v>
      </c>
      <c r="E11584" s="30" t="s">
        <v>26</v>
      </c>
      <c r="F11584" s="30" t="s">
        <v>27</v>
      </c>
      <c r="G11584" s="30" t="s">
        <v>20</v>
      </c>
      <c r="H11584" s="32">
        <v>185</v>
      </c>
      <c r="I11584" s="30" t="s">
        <v>21</v>
      </c>
      <c r="J11584" s="41">
        <v>44785</v>
      </c>
      <c r="K11584" s="30" t="s">
        <v>22</v>
      </c>
    </row>
    <row r="11585" spans="1:11">
      <c r="A11585" s="33" t="s">
        <v>26343</v>
      </c>
      <c r="B11585" s="33" t="s">
        <v>26344</v>
      </c>
      <c r="C11585" s="33" t="s">
        <v>647</v>
      </c>
      <c r="D11585" s="33" t="s">
        <v>17</v>
      </c>
      <c r="E11585" s="33" t="s">
        <v>31</v>
      </c>
      <c r="F11585" s="33" t="s">
        <v>32</v>
      </c>
      <c r="G11585" s="33" t="s">
        <v>112</v>
      </c>
      <c r="H11585" s="35">
        <v>0</v>
      </c>
      <c r="I11585" s="33" t="s">
        <v>21</v>
      </c>
      <c r="J11585" s="42">
        <v>44851</v>
      </c>
      <c r="K11585" s="33" t="s">
        <v>22</v>
      </c>
    </row>
    <row r="11586" spans="1:11">
      <c r="A11586" s="30" t="s">
        <v>26345</v>
      </c>
      <c r="B11586" s="30" t="s">
        <v>26346</v>
      </c>
      <c r="C11586" s="30" t="s">
        <v>190</v>
      </c>
      <c r="D11586" s="30" t="s">
        <v>17</v>
      </c>
      <c r="E11586" s="30" t="s">
        <v>26</v>
      </c>
      <c r="F11586" s="30" t="s">
        <v>27</v>
      </c>
      <c r="G11586" s="30" t="s">
        <v>20</v>
      </c>
      <c r="H11586" s="32">
        <v>30</v>
      </c>
      <c r="I11586" s="30" t="s">
        <v>21</v>
      </c>
      <c r="J11586" s="41">
        <v>44784</v>
      </c>
      <c r="K11586" s="30" t="s">
        <v>22</v>
      </c>
    </row>
    <row r="11587" spans="1:11">
      <c r="A11587" s="33" t="s">
        <v>26347</v>
      </c>
      <c r="B11587" s="33" t="s">
        <v>26348</v>
      </c>
      <c r="C11587" s="33" t="s">
        <v>16936</v>
      </c>
      <c r="D11587" s="33" t="s">
        <v>17</v>
      </c>
      <c r="E11587" s="33" t="s">
        <v>26</v>
      </c>
      <c r="F11587" s="33" t="s">
        <v>27</v>
      </c>
      <c r="G11587" s="33" t="s">
        <v>20</v>
      </c>
      <c r="H11587" s="35">
        <v>21</v>
      </c>
      <c r="I11587" s="33" t="s">
        <v>21</v>
      </c>
      <c r="J11587" s="42">
        <v>44813</v>
      </c>
      <c r="K11587" s="33" t="s">
        <v>22</v>
      </c>
    </row>
    <row r="11588" spans="1:11">
      <c r="A11588" s="30" t="s">
        <v>26349</v>
      </c>
      <c r="B11588" s="30" t="s">
        <v>26350</v>
      </c>
      <c r="C11588" s="30" t="s">
        <v>3302</v>
      </c>
      <c r="D11588" s="30" t="s">
        <v>17</v>
      </c>
      <c r="E11588" s="30" t="s">
        <v>212</v>
      </c>
      <c r="F11588" s="30" t="s">
        <v>213</v>
      </c>
      <c r="G11588" s="30" t="s">
        <v>112</v>
      </c>
      <c r="H11588" s="32">
        <v>0</v>
      </c>
      <c r="I11588" s="30" t="s">
        <v>21</v>
      </c>
      <c r="J11588" s="41">
        <v>44774</v>
      </c>
      <c r="K11588" s="30" t="s">
        <v>22</v>
      </c>
    </row>
    <row r="11589" spans="1:11">
      <c r="A11589" s="33" t="s">
        <v>26351</v>
      </c>
      <c r="B11589" s="33" t="s">
        <v>26352</v>
      </c>
      <c r="C11589" s="33" t="s">
        <v>644</v>
      </c>
      <c r="D11589" s="33" t="s">
        <v>17</v>
      </c>
      <c r="E11589" s="33" t="s">
        <v>18</v>
      </c>
      <c r="F11589" s="33" t="s">
        <v>19</v>
      </c>
      <c r="G11589" s="33" t="s">
        <v>140</v>
      </c>
      <c r="H11589" s="35">
        <v>452</v>
      </c>
      <c r="I11589" s="33" t="s">
        <v>51</v>
      </c>
      <c r="J11589" s="42">
        <v>44726</v>
      </c>
      <c r="K11589" s="33" t="s">
        <v>22</v>
      </c>
    </row>
    <row r="11590" spans="1:11">
      <c r="A11590" s="30" t="s">
        <v>26353</v>
      </c>
      <c r="B11590" s="30" t="s">
        <v>26354</v>
      </c>
      <c r="C11590" s="30" t="s">
        <v>96</v>
      </c>
      <c r="D11590" s="30" t="s">
        <v>17</v>
      </c>
      <c r="E11590" s="30" t="s">
        <v>26</v>
      </c>
      <c r="F11590" s="30" t="s">
        <v>27</v>
      </c>
      <c r="G11590" s="30" t="s">
        <v>158</v>
      </c>
      <c r="H11590" s="32">
        <v>6</v>
      </c>
      <c r="I11590" s="30" t="s">
        <v>21</v>
      </c>
      <c r="J11590" s="41">
        <v>44789</v>
      </c>
      <c r="K11590" s="30" t="s">
        <v>22</v>
      </c>
    </row>
    <row r="11591" spans="1:11">
      <c r="A11591" s="33" t="s">
        <v>26355</v>
      </c>
      <c r="B11591" s="33" t="s">
        <v>26356</v>
      </c>
      <c r="C11591" s="33" t="s">
        <v>22655</v>
      </c>
      <c r="D11591" s="33" t="s">
        <v>17</v>
      </c>
      <c r="E11591" s="33" t="s">
        <v>31</v>
      </c>
      <c r="F11591" s="33" t="s">
        <v>32</v>
      </c>
      <c r="G11591" s="33" t="s">
        <v>20</v>
      </c>
      <c r="H11591" s="35">
        <v>48</v>
      </c>
      <c r="I11591" s="33" t="s">
        <v>21</v>
      </c>
      <c r="J11591" s="42">
        <v>44925</v>
      </c>
      <c r="K11591" s="33" t="s">
        <v>22</v>
      </c>
    </row>
    <row r="11592" spans="1:11">
      <c r="A11592" s="30" t="s">
        <v>26357</v>
      </c>
      <c r="B11592" s="30" t="s">
        <v>26358</v>
      </c>
      <c r="C11592" s="30" t="s">
        <v>2313</v>
      </c>
      <c r="D11592" s="30" t="s">
        <v>17</v>
      </c>
      <c r="E11592" s="30" t="s">
        <v>26</v>
      </c>
      <c r="F11592" s="30" t="s">
        <v>27</v>
      </c>
      <c r="G11592" s="30" t="s">
        <v>140</v>
      </c>
      <c r="H11592" s="32">
        <v>450</v>
      </c>
      <c r="I11592" s="30" t="s">
        <v>51</v>
      </c>
      <c r="J11592" s="41">
        <v>44854</v>
      </c>
      <c r="K11592" s="30" t="s">
        <v>22</v>
      </c>
    </row>
    <row r="11593" spans="1:11">
      <c r="A11593" s="33" t="s">
        <v>26359</v>
      </c>
      <c r="B11593" s="33" t="s">
        <v>26360</v>
      </c>
      <c r="C11593" s="33" t="s">
        <v>26361</v>
      </c>
      <c r="D11593" s="33" t="s">
        <v>17</v>
      </c>
      <c r="E11593" s="33" t="s">
        <v>330</v>
      </c>
      <c r="F11593" s="33" t="s">
        <v>331</v>
      </c>
      <c r="G11593" s="33" t="s">
        <v>50</v>
      </c>
      <c r="H11593" s="35">
        <v>120</v>
      </c>
      <c r="I11593" s="33" t="s">
        <v>21</v>
      </c>
      <c r="J11593" s="42">
        <v>44695</v>
      </c>
      <c r="K11593" s="33" t="s">
        <v>22</v>
      </c>
    </row>
    <row r="11594" spans="1:11">
      <c r="A11594" s="30" t="s">
        <v>26362</v>
      </c>
      <c r="B11594" s="30" t="s">
        <v>26363</v>
      </c>
      <c r="C11594" s="30" t="s">
        <v>7153</v>
      </c>
      <c r="D11594" s="30" t="s">
        <v>17</v>
      </c>
      <c r="E11594" s="30" t="s">
        <v>26</v>
      </c>
      <c r="F11594" s="30" t="s">
        <v>27</v>
      </c>
      <c r="G11594" s="30" t="s">
        <v>20</v>
      </c>
      <c r="H11594" s="32">
        <v>8</v>
      </c>
      <c r="I11594" s="30" t="s">
        <v>21</v>
      </c>
      <c r="J11594" s="41">
        <v>44755</v>
      </c>
      <c r="K11594" s="30" t="s">
        <v>22</v>
      </c>
    </row>
    <row r="11595" spans="1:11">
      <c r="A11595" s="33" t="s">
        <v>26364</v>
      </c>
      <c r="B11595" s="33" t="s">
        <v>26365</v>
      </c>
      <c r="C11595" s="33" t="s">
        <v>3673</v>
      </c>
      <c r="D11595" s="33" t="s">
        <v>17</v>
      </c>
      <c r="E11595" s="33" t="s">
        <v>26</v>
      </c>
      <c r="F11595" s="33" t="s">
        <v>27</v>
      </c>
      <c r="G11595" s="33" t="s">
        <v>20</v>
      </c>
      <c r="H11595" s="35">
        <v>56</v>
      </c>
      <c r="I11595" s="33" t="s">
        <v>21</v>
      </c>
      <c r="J11595" s="42">
        <v>44894</v>
      </c>
      <c r="K11595" s="33" t="s">
        <v>22</v>
      </c>
    </row>
    <row r="11596" spans="1:11">
      <c r="A11596" s="30" t="s">
        <v>26366</v>
      </c>
      <c r="B11596" s="30" t="s">
        <v>26367</v>
      </c>
      <c r="C11596" s="30" t="s">
        <v>72</v>
      </c>
      <c r="D11596" s="30" t="s">
        <v>17</v>
      </c>
      <c r="E11596" s="30" t="s">
        <v>26</v>
      </c>
      <c r="F11596" s="30" t="s">
        <v>27</v>
      </c>
      <c r="G11596" s="30" t="s">
        <v>20</v>
      </c>
      <c r="H11596" s="32">
        <v>36</v>
      </c>
      <c r="I11596" s="30" t="s">
        <v>21</v>
      </c>
      <c r="J11596" s="41">
        <v>44718</v>
      </c>
      <c r="K11596" s="30" t="s">
        <v>22</v>
      </c>
    </row>
    <row r="11597" spans="1:11">
      <c r="A11597" s="33" t="s">
        <v>26368</v>
      </c>
      <c r="B11597" s="33" t="s">
        <v>26369</v>
      </c>
      <c r="C11597" s="33" t="s">
        <v>78</v>
      </c>
      <c r="D11597" s="33" t="s">
        <v>17</v>
      </c>
      <c r="E11597" s="33" t="s">
        <v>26</v>
      </c>
      <c r="F11597" s="33" t="s">
        <v>27</v>
      </c>
      <c r="G11597" s="33" t="s">
        <v>20</v>
      </c>
      <c r="H11597" s="35">
        <v>69</v>
      </c>
      <c r="I11597" s="33" t="s">
        <v>21</v>
      </c>
      <c r="J11597" s="42">
        <v>44915</v>
      </c>
      <c r="K11597" s="33" t="s">
        <v>22</v>
      </c>
    </row>
    <row r="11598" spans="1:11">
      <c r="A11598" s="30" t="s">
        <v>26370</v>
      </c>
      <c r="B11598" s="30" t="s">
        <v>26371</v>
      </c>
      <c r="C11598" s="30" t="s">
        <v>1305</v>
      </c>
      <c r="D11598" s="30" t="s">
        <v>17</v>
      </c>
      <c r="E11598" s="30" t="s">
        <v>18</v>
      </c>
      <c r="F11598" s="30" t="s">
        <v>19</v>
      </c>
      <c r="G11598" s="30" t="s">
        <v>20</v>
      </c>
      <c r="H11598" s="32">
        <v>195</v>
      </c>
      <c r="I11598" s="30" t="s">
        <v>21</v>
      </c>
      <c r="J11598" s="41">
        <v>44882</v>
      </c>
      <c r="K11598" s="30" t="s">
        <v>22</v>
      </c>
    </row>
    <row r="11599" spans="1:11">
      <c r="A11599" s="33" t="s">
        <v>26372</v>
      </c>
      <c r="B11599" s="33" t="s">
        <v>26373</v>
      </c>
      <c r="C11599" s="33" t="s">
        <v>26374</v>
      </c>
      <c r="D11599" s="33" t="s">
        <v>17</v>
      </c>
      <c r="E11599" s="33" t="s">
        <v>26</v>
      </c>
      <c r="F11599" s="33" t="s">
        <v>27</v>
      </c>
      <c r="G11599" s="33" t="s">
        <v>140</v>
      </c>
      <c r="H11599" s="35">
        <v>30</v>
      </c>
      <c r="I11599" s="33" t="s">
        <v>51</v>
      </c>
      <c r="J11599" s="42">
        <v>44796</v>
      </c>
      <c r="K11599" s="33" t="s">
        <v>22</v>
      </c>
    </row>
    <row r="11600" spans="1:11">
      <c r="A11600" s="30" t="s">
        <v>26375</v>
      </c>
      <c r="B11600" s="30" t="s">
        <v>26376</v>
      </c>
      <c r="C11600" s="30" t="s">
        <v>149</v>
      </c>
      <c r="D11600" s="30" t="s">
        <v>17</v>
      </c>
      <c r="E11600" s="30" t="s">
        <v>31</v>
      </c>
      <c r="F11600" s="30" t="s">
        <v>32</v>
      </c>
      <c r="G11600" s="30" t="s">
        <v>20</v>
      </c>
      <c r="H11600" s="32">
        <v>85</v>
      </c>
      <c r="I11600" s="30" t="s">
        <v>21</v>
      </c>
      <c r="J11600" s="41">
        <v>44626</v>
      </c>
      <c r="K11600" s="30" t="s">
        <v>22</v>
      </c>
    </row>
    <row r="11601" spans="1:11">
      <c r="A11601" s="33" t="s">
        <v>26377</v>
      </c>
      <c r="B11601" s="33" t="s">
        <v>26378</v>
      </c>
      <c r="C11601" s="33" t="s">
        <v>26379</v>
      </c>
      <c r="D11601" s="33" t="s">
        <v>17</v>
      </c>
      <c r="E11601" s="33" t="s">
        <v>26</v>
      </c>
      <c r="F11601" s="33" t="s">
        <v>27</v>
      </c>
      <c r="G11601" s="33" t="s">
        <v>50</v>
      </c>
      <c r="H11601" s="35">
        <v>74</v>
      </c>
      <c r="I11601" s="33" t="s">
        <v>51</v>
      </c>
      <c r="J11601" s="42">
        <v>44610</v>
      </c>
      <c r="K11601" s="33" t="s">
        <v>22</v>
      </c>
    </row>
    <row r="11602" spans="1:11">
      <c r="A11602" s="30" t="s">
        <v>26380</v>
      </c>
      <c r="B11602" s="30" t="s">
        <v>26381</v>
      </c>
      <c r="C11602" s="30" t="s">
        <v>190</v>
      </c>
      <c r="D11602" s="30" t="s">
        <v>17</v>
      </c>
      <c r="E11602" s="30" t="s">
        <v>31</v>
      </c>
      <c r="F11602" s="30" t="s">
        <v>32</v>
      </c>
      <c r="G11602" s="30" t="s">
        <v>106</v>
      </c>
      <c r="H11602" s="32">
        <v>251</v>
      </c>
      <c r="I11602" s="30" t="s">
        <v>21</v>
      </c>
      <c r="J11602" s="41">
        <v>44721</v>
      </c>
      <c r="K11602" s="30" t="s">
        <v>22</v>
      </c>
    </row>
    <row r="11603" spans="1:11">
      <c r="A11603" s="33" t="s">
        <v>26382</v>
      </c>
      <c r="B11603" s="33" t="s">
        <v>26383</v>
      </c>
      <c r="C11603" s="33" t="s">
        <v>374</v>
      </c>
      <c r="D11603" s="33" t="s">
        <v>17</v>
      </c>
      <c r="E11603" s="33" t="s">
        <v>26</v>
      </c>
      <c r="F11603" s="33" t="s">
        <v>27</v>
      </c>
      <c r="G11603" s="33" t="s">
        <v>20</v>
      </c>
      <c r="H11603" s="35">
        <v>11</v>
      </c>
      <c r="I11603" s="33" t="s">
        <v>21</v>
      </c>
      <c r="J11603" s="42">
        <v>44581</v>
      </c>
      <c r="K11603" s="33" t="s">
        <v>22</v>
      </c>
    </row>
    <row r="11604" spans="1:11">
      <c r="A11604" s="30" t="s">
        <v>26384</v>
      </c>
      <c r="B11604" s="30" t="s">
        <v>26385</v>
      </c>
      <c r="C11604" s="30" t="s">
        <v>969</v>
      </c>
      <c r="D11604" s="30" t="s">
        <v>17</v>
      </c>
      <c r="E11604" s="30" t="s">
        <v>18</v>
      </c>
      <c r="F11604" s="30" t="s">
        <v>19</v>
      </c>
      <c r="G11604" s="30" t="s">
        <v>20</v>
      </c>
      <c r="H11604" s="32">
        <v>264</v>
      </c>
      <c r="I11604" s="30" t="s">
        <v>21</v>
      </c>
      <c r="J11604" s="41">
        <v>44669</v>
      </c>
      <c r="K11604" s="30" t="s">
        <v>22</v>
      </c>
    </row>
    <row r="11605" spans="1:11">
      <c r="A11605" s="33" t="s">
        <v>26386</v>
      </c>
      <c r="B11605" s="33" t="s">
        <v>26387</v>
      </c>
      <c r="C11605" s="33" t="s">
        <v>26388</v>
      </c>
      <c r="D11605" s="33" t="s">
        <v>17</v>
      </c>
      <c r="E11605" s="33" t="s">
        <v>67</v>
      </c>
      <c r="F11605" s="33" t="s">
        <v>68</v>
      </c>
      <c r="G11605" s="33" t="s">
        <v>50</v>
      </c>
      <c r="H11605" s="35">
        <v>10</v>
      </c>
      <c r="I11605" s="33" t="s">
        <v>51</v>
      </c>
      <c r="J11605" s="42">
        <v>44576</v>
      </c>
      <c r="K11605" s="33" t="s">
        <v>22</v>
      </c>
    </row>
    <row r="11606" spans="1:11">
      <c r="A11606" s="30" t="s">
        <v>26389</v>
      </c>
      <c r="B11606" s="30" t="s">
        <v>26390</v>
      </c>
      <c r="C11606" s="30" t="s">
        <v>26391</v>
      </c>
      <c r="D11606" s="30" t="s">
        <v>17</v>
      </c>
      <c r="E11606" s="30" t="s">
        <v>26</v>
      </c>
      <c r="F11606" s="30" t="s">
        <v>27</v>
      </c>
      <c r="G11606" s="30" t="s">
        <v>50</v>
      </c>
      <c r="H11606" s="32">
        <v>189</v>
      </c>
      <c r="I11606" s="30" t="s">
        <v>51</v>
      </c>
      <c r="J11606" s="41">
        <v>44923</v>
      </c>
      <c r="K11606" s="30" t="s">
        <v>22</v>
      </c>
    </row>
    <row r="11607" spans="1:11">
      <c r="A11607" s="33" t="s">
        <v>26392</v>
      </c>
      <c r="B11607" s="33" t="s">
        <v>26393</v>
      </c>
      <c r="C11607" s="33" t="s">
        <v>109</v>
      </c>
      <c r="D11607" s="33" t="s">
        <v>17</v>
      </c>
      <c r="E11607" s="33" t="s">
        <v>67</v>
      </c>
      <c r="F11607" s="33" t="s">
        <v>68</v>
      </c>
      <c r="G11607" s="33" t="s">
        <v>158</v>
      </c>
      <c r="H11607" s="35">
        <v>24</v>
      </c>
      <c r="I11607" s="33" t="s">
        <v>21</v>
      </c>
      <c r="J11607" s="42">
        <v>44755</v>
      </c>
      <c r="K11607" s="33" t="s">
        <v>22</v>
      </c>
    </row>
    <row r="11608" spans="1:11">
      <c r="A11608" s="30" t="s">
        <v>26394</v>
      </c>
      <c r="B11608" s="30" t="s">
        <v>26395</v>
      </c>
      <c r="C11608" s="30" t="s">
        <v>26396</v>
      </c>
      <c r="D11608" s="30" t="s">
        <v>17</v>
      </c>
      <c r="E11608" s="30" t="s">
        <v>26</v>
      </c>
      <c r="F11608" s="30" t="s">
        <v>27</v>
      </c>
      <c r="G11608" s="30" t="s">
        <v>50</v>
      </c>
      <c r="H11608" s="32">
        <v>36</v>
      </c>
      <c r="I11608" s="30" t="s">
        <v>51</v>
      </c>
      <c r="J11608" s="41">
        <v>44872</v>
      </c>
      <c r="K11608" s="30" t="s">
        <v>22</v>
      </c>
    </row>
    <row r="11609" spans="1:11">
      <c r="A11609" s="33" t="s">
        <v>26397</v>
      </c>
      <c r="B11609" s="33" t="s">
        <v>26398</v>
      </c>
      <c r="C11609" s="33" t="s">
        <v>23816</v>
      </c>
      <c r="D11609" s="33" t="s">
        <v>17</v>
      </c>
      <c r="E11609" s="33" t="s">
        <v>26</v>
      </c>
      <c r="F11609" s="33" t="s">
        <v>27</v>
      </c>
      <c r="G11609" s="33" t="s">
        <v>106</v>
      </c>
      <c r="H11609" s="35">
        <v>19</v>
      </c>
      <c r="I11609" s="33" t="s">
        <v>21</v>
      </c>
      <c r="J11609" s="42">
        <v>44674</v>
      </c>
      <c r="K11609" s="33" t="s">
        <v>22</v>
      </c>
    </row>
    <row r="11610" spans="1:11">
      <c r="A11610" s="30" t="s">
        <v>26399</v>
      </c>
      <c r="B11610" s="30" t="s">
        <v>26400</v>
      </c>
      <c r="C11610" s="30" t="s">
        <v>2302</v>
      </c>
      <c r="D11610" s="30" t="s">
        <v>17</v>
      </c>
      <c r="E11610" s="30" t="s">
        <v>26</v>
      </c>
      <c r="F11610" s="30" t="s">
        <v>27</v>
      </c>
      <c r="G11610" s="30" t="s">
        <v>20</v>
      </c>
      <c r="H11610" s="32">
        <v>15</v>
      </c>
      <c r="I11610" s="30" t="s">
        <v>21</v>
      </c>
      <c r="J11610" s="41">
        <v>44630</v>
      </c>
      <c r="K11610" s="30" t="s">
        <v>22</v>
      </c>
    </row>
    <row r="11611" spans="1:11">
      <c r="A11611" s="33" t="s">
        <v>26401</v>
      </c>
      <c r="B11611" s="33" t="s">
        <v>26402</v>
      </c>
      <c r="C11611" s="33" t="s">
        <v>3278</v>
      </c>
      <c r="D11611" s="33" t="s">
        <v>17</v>
      </c>
      <c r="E11611" s="33" t="s">
        <v>67</v>
      </c>
      <c r="F11611" s="33" t="s">
        <v>68</v>
      </c>
      <c r="G11611" s="33" t="s">
        <v>158</v>
      </c>
      <c r="H11611" s="35">
        <v>92</v>
      </c>
      <c r="I11611" s="33" t="s">
        <v>51</v>
      </c>
      <c r="J11611" s="42">
        <v>44846</v>
      </c>
      <c r="K11611" s="33" t="s">
        <v>22</v>
      </c>
    </row>
    <row r="11612" spans="1:11">
      <c r="A11612" s="30" t="s">
        <v>26403</v>
      </c>
      <c r="B11612" s="30" t="s">
        <v>26404</v>
      </c>
      <c r="C11612" s="30" t="s">
        <v>7900</v>
      </c>
      <c r="D11612" s="30" t="s">
        <v>17</v>
      </c>
      <c r="E11612" s="30" t="s">
        <v>26</v>
      </c>
      <c r="F11612" s="30" t="s">
        <v>27</v>
      </c>
      <c r="G11612" s="30" t="s">
        <v>20</v>
      </c>
      <c r="H11612" s="32">
        <v>44</v>
      </c>
      <c r="I11612" s="30" t="s">
        <v>21</v>
      </c>
      <c r="J11612" s="41">
        <v>44714</v>
      </c>
      <c r="K11612" s="30" t="s">
        <v>22</v>
      </c>
    </row>
    <row r="11613" spans="1:11">
      <c r="A11613" s="33" t="s">
        <v>26405</v>
      </c>
      <c r="B11613" s="33" t="s">
        <v>26406</v>
      </c>
      <c r="C11613" s="33" t="s">
        <v>26407</v>
      </c>
      <c r="D11613" s="33" t="s">
        <v>17</v>
      </c>
      <c r="E11613" s="33" t="s">
        <v>67</v>
      </c>
      <c r="F11613" s="33" t="s">
        <v>68</v>
      </c>
      <c r="G11613" s="33" t="s">
        <v>20</v>
      </c>
      <c r="H11613" s="35">
        <v>140</v>
      </c>
      <c r="I11613" s="33" t="s">
        <v>21</v>
      </c>
      <c r="J11613" s="42">
        <v>44642</v>
      </c>
      <c r="K11613" s="33" t="s">
        <v>22</v>
      </c>
    </row>
    <row r="11614" spans="1:11">
      <c r="A11614" s="30" t="s">
        <v>26408</v>
      </c>
      <c r="B11614" s="30" t="s">
        <v>26409</v>
      </c>
      <c r="C11614" s="30" t="s">
        <v>7449</v>
      </c>
      <c r="D11614" s="30" t="s">
        <v>17</v>
      </c>
      <c r="E11614" s="30" t="s">
        <v>18</v>
      </c>
      <c r="F11614" s="30" t="s">
        <v>19</v>
      </c>
      <c r="G11614" s="30" t="s">
        <v>158</v>
      </c>
      <c r="H11614" s="32">
        <v>231</v>
      </c>
      <c r="I11614" s="30" t="s">
        <v>21</v>
      </c>
      <c r="J11614" s="41">
        <v>44826</v>
      </c>
      <c r="K11614" s="30" t="s">
        <v>22</v>
      </c>
    </row>
    <row r="11615" spans="1:11">
      <c r="A11615" s="33" t="s">
        <v>26410</v>
      </c>
      <c r="B11615" s="33" t="s">
        <v>26411</v>
      </c>
      <c r="C11615" s="33" t="s">
        <v>149</v>
      </c>
      <c r="D11615" s="33" t="s">
        <v>17</v>
      </c>
      <c r="E11615" s="33" t="s">
        <v>26</v>
      </c>
      <c r="F11615" s="33" t="s">
        <v>27</v>
      </c>
      <c r="G11615" s="33" t="s">
        <v>158</v>
      </c>
      <c r="H11615" s="35">
        <v>102</v>
      </c>
      <c r="I11615" s="33" t="s">
        <v>21</v>
      </c>
      <c r="J11615" s="42">
        <v>44825</v>
      </c>
      <c r="K11615" s="33" t="s">
        <v>22</v>
      </c>
    </row>
    <row r="11616" spans="1:11">
      <c r="A11616" s="30" t="s">
        <v>26412</v>
      </c>
      <c r="B11616" s="30" t="s">
        <v>26413</v>
      </c>
      <c r="C11616" s="30" t="s">
        <v>26414</v>
      </c>
      <c r="D11616" s="30" t="s">
        <v>17</v>
      </c>
      <c r="E11616" s="30" t="s">
        <v>26</v>
      </c>
      <c r="F11616" s="30" t="s">
        <v>27</v>
      </c>
      <c r="G11616" s="30" t="s">
        <v>20</v>
      </c>
      <c r="H11616" s="32">
        <v>20</v>
      </c>
      <c r="I11616" s="30" t="s">
        <v>21</v>
      </c>
      <c r="J11616" s="41">
        <v>44834</v>
      </c>
      <c r="K11616" s="30" t="s">
        <v>22</v>
      </c>
    </row>
    <row r="11617" spans="1:11">
      <c r="A11617" s="33" t="s">
        <v>26415</v>
      </c>
      <c r="B11617" s="33" t="s">
        <v>26416</v>
      </c>
      <c r="C11617" s="33" t="s">
        <v>57</v>
      </c>
      <c r="D11617" s="33" t="s">
        <v>17</v>
      </c>
      <c r="E11617" s="33" t="s">
        <v>26</v>
      </c>
      <c r="F11617" s="33" t="s">
        <v>27</v>
      </c>
      <c r="G11617" s="33" t="s">
        <v>50</v>
      </c>
      <c r="H11617" s="35">
        <v>53</v>
      </c>
      <c r="I11617" s="33" t="s">
        <v>51</v>
      </c>
      <c r="J11617" s="42">
        <v>44799</v>
      </c>
      <c r="K11617" s="33" t="s">
        <v>22</v>
      </c>
    </row>
    <row r="11618" spans="1:11">
      <c r="A11618" s="30" t="s">
        <v>26417</v>
      </c>
      <c r="B11618" s="30" t="s">
        <v>26418</v>
      </c>
      <c r="C11618" s="30" t="s">
        <v>279</v>
      </c>
      <c r="D11618" s="30" t="s">
        <v>17</v>
      </c>
      <c r="E11618" s="30" t="s">
        <v>31</v>
      </c>
      <c r="F11618" s="30" t="s">
        <v>32</v>
      </c>
      <c r="G11618" s="30" t="s">
        <v>20</v>
      </c>
      <c r="H11618" s="32">
        <v>79</v>
      </c>
      <c r="I11618" s="30" t="s">
        <v>21</v>
      </c>
      <c r="J11618" s="41">
        <v>44594</v>
      </c>
      <c r="K11618" s="30" t="s">
        <v>22</v>
      </c>
    </row>
    <row r="11619" spans="1:11">
      <c r="A11619" s="33" t="s">
        <v>26419</v>
      </c>
      <c r="B11619" s="33" t="s">
        <v>26420</v>
      </c>
      <c r="C11619" s="33" t="s">
        <v>149</v>
      </c>
      <c r="D11619" s="33" t="s">
        <v>17</v>
      </c>
      <c r="E11619" s="33" t="s">
        <v>31</v>
      </c>
      <c r="F11619" s="33" t="s">
        <v>32</v>
      </c>
      <c r="G11619" s="33" t="s">
        <v>20</v>
      </c>
      <c r="H11619" s="35">
        <v>251</v>
      </c>
      <c r="I11619" s="33" t="s">
        <v>21</v>
      </c>
      <c r="J11619" s="42">
        <v>44805</v>
      </c>
      <c r="K11619" s="33" t="s">
        <v>22</v>
      </c>
    </row>
    <row r="11620" spans="1:11">
      <c r="A11620" s="30" t="s">
        <v>26421</v>
      </c>
      <c r="B11620" s="30" t="s">
        <v>26422</v>
      </c>
      <c r="C11620" s="30" t="s">
        <v>443</v>
      </c>
      <c r="D11620" s="30" t="s">
        <v>17</v>
      </c>
      <c r="E11620" s="30" t="s">
        <v>212</v>
      </c>
      <c r="F11620" s="30" t="s">
        <v>213</v>
      </c>
      <c r="G11620" s="30" t="s">
        <v>50</v>
      </c>
      <c r="H11620" s="32">
        <v>474</v>
      </c>
      <c r="I11620" s="30" t="s">
        <v>51</v>
      </c>
      <c r="J11620" s="41">
        <v>44772</v>
      </c>
      <c r="K11620" s="30" t="s">
        <v>22</v>
      </c>
    </row>
    <row r="11621" spans="1:11">
      <c r="A11621" s="33" t="s">
        <v>26423</v>
      </c>
      <c r="B11621" s="33" t="s">
        <v>26424</v>
      </c>
      <c r="C11621" s="33" t="s">
        <v>75</v>
      </c>
      <c r="D11621" s="33" t="s">
        <v>17</v>
      </c>
      <c r="E11621" s="33" t="s">
        <v>26</v>
      </c>
      <c r="F11621" s="33" t="s">
        <v>27</v>
      </c>
      <c r="G11621" s="33" t="s">
        <v>20</v>
      </c>
      <c r="H11621" s="35">
        <v>24</v>
      </c>
      <c r="I11621" s="33" t="s">
        <v>21</v>
      </c>
      <c r="J11621" s="42">
        <v>44832</v>
      </c>
      <c r="K11621" s="33" t="s">
        <v>22</v>
      </c>
    </row>
    <row r="11622" spans="1:11">
      <c r="A11622" s="30" t="s">
        <v>26425</v>
      </c>
      <c r="B11622" s="30" t="s">
        <v>26426</v>
      </c>
      <c r="C11622" s="30" t="s">
        <v>1136</v>
      </c>
      <c r="D11622" s="30" t="s">
        <v>17</v>
      </c>
      <c r="E11622" s="30" t="s">
        <v>26</v>
      </c>
      <c r="F11622" s="30" t="s">
        <v>27</v>
      </c>
      <c r="G11622" s="30" t="s">
        <v>20</v>
      </c>
      <c r="H11622" s="32">
        <v>388</v>
      </c>
      <c r="I11622" s="30" t="s">
        <v>21</v>
      </c>
      <c r="J11622" s="41">
        <v>44662</v>
      </c>
      <c r="K11622" s="30" t="s">
        <v>22</v>
      </c>
    </row>
    <row r="11623" spans="1:11">
      <c r="A11623" s="33" t="s">
        <v>26427</v>
      </c>
      <c r="B11623" s="33" t="s">
        <v>26428</v>
      </c>
      <c r="C11623" s="33" t="s">
        <v>647</v>
      </c>
      <c r="D11623" s="33" t="s">
        <v>17</v>
      </c>
      <c r="E11623" s="33" t="s">
        <v>26</v>
      </c>
      <c r="F11623" s="33" t="s">
        <v>27</v>
      </c>
      <c r="G11623" s="33" t="s">
        <v>20</v>
      </c>
      <c r="H11623" s="35">
        <v>56</v>
      </c>
      <c r="I11623" s="33" t="s">
        <v>21</v>
      </c>
      <c r="J11623" s="42">
        <v>44809</v>
      </c>
      <c r="K11623" s="33" t="s">
        <v>22</v>
      </c>
    </row>
    <row r="11624" spans="1:11">
      <c r="A11624" s="30" t="s">
        <v>26429</v>
      </c>
      <c r="B11624" s="30" t="s">
        <v>26430</v>
      </c>
      <c r="C11624" s="30" t="s">
        <v>318</v>
      </c>
      <c r="D11624" s="30" t="s">
        <v>17</v>
      </c>
      <c r="E11624" s="30" t="s">
        <v>18</v>
      </c>
      <c r="F11624" s="30" t="s">
        <v>19</v>
      </c>
      <c r="G11624" s="30" t="s">
        <v>20</v>
      </c>
      <c r="H11624" s="32">
        <v>769</v>
      </c>
      <c r="I11624" s="30" t="s">
        <v>21</v>
      </c>
      <c r="J11624" s="41">
        <v>44712</v>
      </c>
      <c r="K11624" s="30" t="s">
        <v>22</v>
      </c>
    </row>
    <row r="11625" spans="1:11">
      <c r="A11625" s="33" t="s">
        <v>26431</v>
      </c>
      <c r="B11625" s="33" t="s">
        <v>26432</v>
      </c>
      <c r="C11625" s="33" t="s">
        <v>399</v>
      </c>
      <c r="D11625" s="33" t="s">
        <v>17</v>
      </c>
      <c r="E11625" s="33" t="s">
        <v>26</v>
      </c>
      <c r="F11625" s="33" t="s">
        <v>27</v>
      </c>
      <c r="G11625" s="33" t="s">
        <v>106</v>
      </c>
      <c r="H11625" s="35">
        <v>34</v>
      </c>
      <c r="I11625" s="33" t="s">
        <v>21</v>
      </c>
      <c r="J11625" s="42">
        <v>44811</v>
      </c>
      <c r="K11625" s="33" t="s">
        <v>22</v>
      </c>
    </row>
    <row r="11626" spans="1:11">
      <c r="A11626" s="30" t="s">
        <v>26433</v>
      </c>
      <c r="B11626" s="30" t="s">
        <v>26434</v>
      </c>
      <c r="C11626" s="30" t="s">
        <v>136</v>
      </c>
      <c r="D11626" s="30" t="s">
        <v>17</v>
      </c>
      <c r="E11626" s="30" t="s">
        <v>26</v>
      </c>
      <c r="F11626" s="30" t="s">
        <v>27</v>
      </c>
      <c r="G11626" s="30" t="s">
        <v>20</v>
      </c>
      <c r="H11626" s="32">
        <v>396</v>
      </c>
      <c r="I11626" s="30" t="s">
        <v>21</v>
      </c>
      <c r="J11626" s="41">
        <v>44804</v>
      </c>
      <c r="K11626" s="30" t="s">
        <v>22</v>
      </c>
    </row>
    <row r="11627" spans="1:11">
      <c r="A11627" s="33" t="s">
        <v>26435</v>
      </c>
      <c r="B11627" s="33" t="s">
        <v>26436</v>
      </c>
      <c r="C11627" s="33" t="s">
        <v>20203</v>
      </c>
      <c r="D11627" s="33" t="s">
        <v>17</v>
      </c>
      <c r="E11627" s="33" t="s">
        <v>67</v>
      </c>
      <c r="F11627" s="33" t="s">
        <v>68</v>
      </c>
      <c r="G11627" s="33" t="s">
        <v>140</v>
      </c>
      <c r="H11627" s="35">
        <v>267</v>
      </c>
      <c r="I11627" s="33" t="s">
        <v>51</v>
      </c>
      <c r="J11627" s="42">
        <v>44711</v>
      </c>
      <c r="K11627" s="33" t="s">
        <v>22</v>
      </c>
    </row>
    <row r="11628" spans="1:11">
      <c r="A11628" s="30" t="s">
        <v>26437</v>
      </c>
      <c r="B11628" s="30" t="s">
        <v>26438</v>
      </c>
      <c r="C11628" s="30" t="s">
        <v>321</v>
      </c>
      <c r="D11628" s="30" t="s">
        <v>17</v>
      </c>
      <c r="E11628" s="30" t="s">
        <v>18</v>
      </c>
      <c r="F11628" s="30" t="s">
        <v>19</v>
      </c>
      <c r="G11628" s="30" t="s">
        <v>158</v>
      </c>
      <c r="H11628" s="32">
        <v>470</v>
      </c>
      <c r="I11628" s="30" t="s">
        <v>21</v>
      </c>
      <c r="J11628" s="41">
        <v>44908</v>
      </c>
      <c r="K11628" s="30" t="s">
        <v>22</v>
      </c>
    </row>
    <row r="11629" spans="1:11">
      <c r="A11629" s="33" t="s">
        <v>26439</v>
      </c>
      <c r="B11629" s="33" t="s">
        <v>26440</v>
      </c>
      <c r="C11629" s="33" t="s">
        <v>9895</v>
      </c>
      <c r="D11629" s="33" t="s">
        <v>17</v>
      </c>
      <c r="E11629" s="33" t="s">
        <v>31</v>
      </c>
      <c r="F11629" s="33" t="s">
        <v>32</v>
      </c>
      <c r="G11629" s="33" t="s">
        <v>158</v>
      </c>
      <c r="H11629" s="35">
        <v>12</v>
      </c>
      <c r="I11629" s="33" t="s">
        <v>51</v>
      </c>
      <c r="J11629" s="42">
        <v>44741</v>
      </c>
      <c r="K11629" s="33" t="s">
        <v>22</v>
      </c>
    </row>
    <row r="11630" spans="1:11">
      <c r="A11630" s="30" t="s">
        <v>26441</v>
      </c>
      <c r="B11630" s="30" t="s">
        <v>26442</v>
      </c>
      <c r="C11630" s="30" t="s">
        <v>5229</v>
      </c>
      <c r="D11630" s="30" t="s">
        <v>17</v>
      </c>
      <c r="E11630" s="30" t="s">
        <v>26</v>
      </c>
      <c r="F11630" s="30" t="s">
        <v>27</v>
      </c>
      <c r="G11630" s="30" t="s">
        <v>140</v>
      </c>
      <c r="H11630" s="32">
        <v>30</v>
      </c>
      <c r="I11630" s="30" t="s">
        <v>51</v>
      </c>
      <c r="J11630" s="41">
        <v>44918</v>
      </c>
      <c r="K11630" s="30" t="s">
        <v>22</v>
      </c>
    </row>
    <row r="11631" spans="1:11">
      <c r="A11631" s="33" t="s">
        <v>26443</v>
      </c>
      <c r="B11631" s="33" t="s">
        <v>26444</v>
      </c>
      <c r="C11631" s="33" t="s">
        <v>252</v>
      </c>
      <c r="D11631" s="33" t="s">
        <v>17</v>
      </c>
      <c r="E11631" s="33" t="s">
        <v>31</v>
      </c>
      <c r="F11631" s="33" t="s">
        <v>32</v>
      </c>
      <c r="G11631" s="33" t="s">
        <v>158</v>
      </c>
      <c r="H11631" s="35">
        <v>120</v>
      </c>
      <c r="I11631" s="33" t="s">
        <v>51</v>
      </c>
      <c r="J11631" s="42">
        <v>44643</v>
      </c>
      <c r="K11631" s="33" t="s">
        <v>22</v>
      </c>
    </row>
    <row r="11632" spans="1:11">
      <c r="A11632" s="30" t="s">
        <v>26445</v>
      </c>
      <c r="B11632" s="30" t="s">
        <v>26446</v>
      </c>
      <c r="C11632" s="30" t="s">
        <v>187</v>
      </c>
      <c r="D11632" s="30" t="s">
        <v>17</v>
      </c>
      <c r="E11632" s="30" t="s">
        <v>26</v>
      </c>
      <c r="F11632" s="30" t="s">
        <v>27</v>
      </c>
      <c r="G11632" s="30" t="s">
        <v>20</v>
      </c>
      <c r="H11632" s="32">
        <v>63</v>
      </c>
      <c r="I11632" s="30" t="s">
        <v>21</v>
      </c>
      <c r="J11632" s="41">
        <v>44710</v>
      </c>
      <c r="K11632" s="30" t="s">
        <v>22</v>
      </c>
    </row>
    <row r="11633" spans="1:11">
      <c r="A11633" s="33" t="s">
        <v>26447</v>
      </c>
      <c r="B11633" s="33" t="s">
        <v>26448</v>
      </c>
      <c r="C11633" s="33" t="s">
        <v>252</v>
      </c>
      <c r="D11633" s="33" t="s">
        <v>17</v>
      </c>
      <c r="E11633" s="33" t="s">
        <v>18</v>
      </c>
      <c r="F11633" s="33" t="s">
        <v>19</v>
      </c>
      <c r="G11633" s="33" t="s">
        <v>20</v>
      </c>
      <c r="H11633" s="35">
        <v>246</v>
      </c>
      <c r="I11633" s="33" t="s">
        <v>21</v>
      </c>
      <c r="J11633" s="42">
        <v>44587</v>
      </c>
      <c r="K11633" s="33" t="s">
        <v>22</v>
      </c>
    </row>
    <row r="11634" spans="1:11">
      <c r="A11634" s="30" t="s">
        <v>26449</v>
      </c>
      <c r="B11634" s="30" t="s">
        <v>26450</v>
      </c>
      <c r="C11634" s="30" t="s">
        <v>7756</v>
      </c>
      <c r="D11634" s="30" t="s">
        <v>17</v>
      </c>
      <c r="E11634" s="30" t="s">
        <v>18</v>
      </c>
      <c r="F11634" s="30" t="s">
        <v>19</v>
      </c>
      <c r="G11634" s="30" t="s">
        <v>20</v>
      </c>
      <c r="H11634" s="32">
        <v>2516</v>
      </c>
      <c r="I11634" s="30" t="s">
        <v>21</v>
      </c>
      <c r="J11634" s="41">
        <v>44806</v>
      </c>
      <c r="K11634" s="30" t="s">
        <v>22</v>
      </c>
    </row>
    <row r="11635" spans="1:11">
      <c r="A11635" s="33" t="s">
        <v>26451</v>
      </c>
      <c r="B11635" s="33" t="s">
        <v>26452</v>
      </c>
      <c r="C11635" s="33" t="s">
        <v>2022</v>
      </c>
      <c r="D11635" s="33" t="s">
        <v>17</v>
      </c>
      <c r="E11635" s="33" t="s">
        <v>26</v>
      </c>
      <c r="F11635" s="33" t="s">
        <v>27</v>
      </c>
      <c r="G11635" s="33" t="s">
        <v>20</v>
      </c>
      <c r="H11635" s="35">
        <v>28</v>
      </c>
      <c r="I11635" s="33" t="s">
        <v>21</v>
      </c>
      <c r="J11635" s="42">
        <v>44734</v>
      </c>
      <c r="K11635" s="33" t="s">
        <v>22</v>
      </c>
    </row>
    <row r="11636" spans="1:11">
      <c r="A11636" s="30" t="s">
        <v>26453</v>
      </c>
      <c r="B11636" s="30" t="s">
        <v>26454</v>
      </c>
      <c r="C11636" s="30" t="s">
        <v>318</v>
      </c>
      <c r="D11636" s="30" t="s">
        <v>17</v>
      </c>
      <c r="E11636" s="30" t="s">
        <v>18</v>
      </c>
      <c r="F11636" s="30" t="s">
        <v>19</v>
      </c>
      <c r="G11636" s="30" t="s">
        <v>20</v>
      </c>
      <c r="H11636" s="32">
        <v>176</v>
      </c>
      <c r="I11636" s="30" t="s">
        <v>21</v>
      </c>
      <c r="J11636" s="41">
        <v>44628</v>
      </c>
      <c r="K11636" s="30" t="s">
        <v>22</v>
      </c>
    </row>
    <row r="11637" spans="1:11">
      <c r="A11637" s="33" t="s">
        <v>26455</v>
      </c>
      <c r="B11637" s="33" t="s">
        <v>26456</v>
      </c>
      <c r="C11637" s="33" t="s">
        <v>23276</v>
      </c>
      <c r="D11637" s="33" t="s">
        <v>17</v>
      </c>
      <c r="E11637" s="33" t="s">
        <v>31</v>
      </c>
      <c r="F11637" s="33" t="s">
        <v>32</v>
      </c>
      <c r="G11637" s="33" t="s">
        <v>112</v>
      </c>
      <c r="H11637" s="35">
        <v>0</v>
      </c>
      <c r="I11637" s="33" t="s">
        <v>21</v>
      </c>
      <c r="J11637" s="42">
        <v>44681</v>
      </c>
      <c r="K11637" s="33" t="s">
        <v>22</v>
      </c>
    </row>
    <row r="11638" spans="1:11">
      <c r="A11638" s="30" t="s">
        <v>26457</v>
      </c>
      <c r="B11638" s="30" t="s">
        <v>26458</v>
      </c>
      <c r="C11638" s="30" t="s">
        <v>10028</v>
      </c>
      <c r="D11638" s="30" t="s">
        <v>17</v>
      </c>
      <c r="E11638" s="30" t="s">
        <v>26</v>
      </c>
      <c r="F11638" s="30" t="s">
        <v>27</v>
      </c>
      <c r="G11638" s="30" t="s">
        <v>20</v>
      </c>
      <c r="H11638" s="32">
        <v>12</v>
      </c>
      <c r="I11638" s="30" t="s">
        <v>21</v>
      </c>
      <c r="J11638" s="41">
        <v>44818</v>
      </c>
      <c r="K11638" s="30" t="s">
        <v>22</v>
      </c>
    </row>
    <row r="11639" spans="1:11">
      <c r="A11639" s="33" t="s">
        <v>26459</v>
      </c>
      <c r="B11639" s="33" t="s">
        <v>26460</v>
      </c>
      <c r="C11639" s="33" t="s">
        <v>318</v>
      </c>
      <c r="D11639" s="33" t="s">
        <v>17</v>
      </c>
      <c r="E11639" s="33" t="s">
        <v>31</v>
      </c>
      <c r="F11639" s="33" t="s">
        <v>32</v>
      </c>
      <c r="G11639" s="33" t="s">
        <v>106</v>
      </c>
      <c r="H11639" s="35">
        <v>221</v>
      </c>
      <c r="I11639" s="33" t="s">
        <v>21</v>
      </c>
      <c r="J11639" s="42">
        <v>44592</v>
      </c>
      <c r="K11639" s="33" t="s">
        <v>22</v>
      </c>
    </row>
    <row r="11640" spans="1:11">
      <c r="A11640" s="30" t="s">
        <v>26461</v>
      </c>
      <c r="B11640" s="30" t="s">
        <v>26462</v>
      </c>
      <c r="C11640" s="30" t="s">
        <v>7736</v>
      </c>
      <c r="D11640" s="30" t="s">
        <v>17</v>
      </c>
      <c r="E11640" s="30" t="s">
        <v>26</v>
      </c>
      <c r="F11640" s="30" t="s">
        <v>27</v>
      </c>
      <c r="G11640" s="30" t="s">
        <v>50</v>
      </c>
      <c r="H11640" s="32">
        <v>40</v>
      </c>
      <c r="I11640" s="30" t="s">
        <v>51</v>
      </c>
      <c r="J11640" s="41">
        <v>44887</v>
      </c>
      <c r="K11640" s="30" t="s">
        <v>22</v>
      </c>
    </row>
    <row r="11641" spans="1:11">
      <c r="A11641" s="33" t="s">
        <v>26463</v>
      </c>
      <c r="B11641" s="33" t="s">
        <v>26464</v>
      </c>
      <c r="C11641" s="33" t="s">
        <v>2839</v>
      </c>
      <c r="D11641" s="33" t="s">
        <v>17</v>
      </c>
      <c r="E11641" s="33" t="s">
        <v>26</v>
      </c>
      <c r="F11641" s="33" t="s">
        <v>27</v>
      </c>
      <c r="G11641" s="33" t="s">
        <v>50</v>
      </c>
      <c r="H11641" s="35">
        <v>54</v>
      </c>
      <c r="I11641" s="33" t="s">
        <v>51</v>
      </c>
      <c r="J11641" s="42">
        <v>44577</v>
      </c>
      <c r="K11641" s="33" t="s">
        <v>22</v>
      </c>
    </row>
    <row r="11642" spans="1:11">
      <c r="A11642" s="30" t="s">
        <v>26465</v>
      </c>
      <c r="B11642" s="30" t="s">
        <v>26466</v>
      </c>
      <c r="C11642" s="30" t="s">
        <v>60</v>
      </c>
      <c r="D11642" s="30" t="s">
        <v>17</v>
      </c>
      <c r="E11642" s="30" t="s">
        <v>26</v>
      </c>
      <c r="F11642" s="30" t="s">
        <v>27</v>
      </c>
      <c r="G11642" s="30" t="s">
        <v>20</v>
      </c>
      <c r="H11642" s="32">
        <v>127</v>
      </c>
      <c r="I11642" s="30" t="s">
        <v>21</v>
      </c>
      <c r="J11642" s="41">
        <v>44847</v>
      </c>
      <c r="K11642" s="30" t="s">
        <v>22</v>
      </c>
    </row>
    <row r="11643" spans="1:11">
      <c r="A11643" s="33" t="s">
        <v>26467</v>
      </c>
      <c r="B11643" s="33" t="s">
        <v>26468</v>
      </c>
      <c r="C11643" s="33" t="s">
        <v>1469</v>
      </c>
      <c r="D11643" s="33" t="s">
        <v>17</v>
      </c>
      <c r="E11643" s="33" t="s">
        <v>212</v>
      </c>
      <c r="F11643" s="33" t="s">
        <v>213</v>
      </c>
      <c r="G11643" s="33" t="s">
        <v>20</v>
      </c>
      <c r="H11643" s="35">
        <v>150</v>
      </c>
      <c r="I11643" s="33" t="s">
        <v>21</v>
      </c>
      <c r="J11643" s="42">
        <v>44596</v>
      </c>
      <c r="K11643" s="33" t="s">
        <v>22</v>
      </c>
    </row>
    <row r="11644" spans="1:11">
      <c r="A11644" s="30" t="s">
        <v>26469</v>
      </c>
      <c r="B11644" s="30" t="s">
        <v>26470</v>
      </c>
      <c r="C11644" s="30" t="s">
        <v>969</v>
      </c>
      <c r="D11644" s="30" t="s">
        <v>17</v>
      </c>
      <c r="E11644" s="30" t="s">
        <v>26</v>
      </c>
      <c r="F11644" s="30" t="s">
        <v>27</v>
      </c>
      <c r="G11644" s="30" t="s">
        <v>20</v>
      </c>
      <c r="H11644" s="32">
        <v>99</v>
      </c>
      <c r="I11644" s="30" t="s">
        <v>21</v>
      </c>
      <c r="J11644" s="41">
        <v>44644</v>
      </c>
      <c r="K11644" s="30" t="s">
        <v>22</v>
      </c>
    </row>
    <row r="11645" spans="1:11">
      <c r="A11645" s="33" t="s">
        <v>26471</v>
      </c>
      <c r="B11645" s="33" t="s">
        <v>26472</v>
      </c>
      <c r="C11645" s="33" t="s">
        <v>231</v>
      </c>
      <c r="D11645" s="33" t="s">
        <v>17</v>
      </c>
      <c r="E11645" s="33" t="s">
        <v>26</v>
      </c>
      <c r="F11645" s="33" t="s">
        <v>27</v>
      </c>
      <c r="G11645" s="33" t="s">
        <v>158</v>
      </c>
      <c r="H11645" s="35">
        <v>14</v>
      </c>
      <c r="I11645" s="33" t="s">
        <v>21</v>
      </c>
      <c r="J11645" s="42">
        <v>44623</v>
      </c>
      <c r="K11645" s="33" t="s">
        <v>22</v>
      </c>
    </row>
    <row r="11646" spans="1:11">
      <c r="A11646" s="30" t="s">
        <v>26473</v>
      </c>
      <c r="B11646" s="30" t="s">
        <v>26474</v>
      </c>
      <c r="C11646" s="30" t="s">
        <v>647</v>
      </c>
      <c r="D11646" s="30" t="s">
        <v>17</v>
      </c>
      <c r="E11646" s="30" t="s">
        <v>18</v>
      </c>
      <c r="F11646" s="30" t="s">
        <v>19</v>
      </c>
      <c r="G11646" s="30" t="s">
        <v>20</v>
      </c>
      <c r="H11646" s="32">
        <v>313</v>
      </c>
      <c r="I11646" s="30" t="s">
        <v>21</v>
      </c>
      <c r="J11646" s="41">
        <v>44755</v>
      </c>
      <c r="K11646" s="30" t="s">
        <v>22</v>
      </c>
    </row>
    <row r="11647" spans="1:11">
      <c r="A11647" s="33" t="s">
        <v>26475</v>
      </c>
      <c r="B11647" s="33" t="s">
        <v>26476</v>
      </c>
      <c r="C11647" s="33" t="s">
        <v>26477</v>
      </c>
      <c r="D11647" s="33" t="s">
        <v>17</v>
      </c>
      <c r="E11647" s="33" t="s">
        <v>18</v>
      </c>
      <c r="F11647" s="33" t="s">
        <v>19</v>
      </c>
      <c r="G11647" s="33" t="s">
        <v>50</v>
      </c>
      <c r="H11647" s="35">
        <v>1800</v>
      </c>
      <c r="I11647" s="33" t="s">
        <v>51</v>
      </c>
      <c r="J11647" s="42">
        <v>44713</v>
      </c>
      <c r="K11647" s="33" t="s">
        <v>22</v>
      </c>
    </row>
    <row r="11648" spans="1:11">
      <c r="A11648" s="30" t="s">
        <v>26478</v>
      </c>
      <c r="B11648" s="30" t="s">
        <v>26479</v>
      </c>
      <c r="C11648" s="30" t="s">
        <v>3034</v>
      </c>
      <c r="D11648" s="30" t="s">
        <v>17</v>
      </c>
      <c r="E11648" s="30" t="s">
        <v>45</v>
      </c>
      <c r="F11648" s="30" t="s">
        <v>46</v>
      </c>
      <c r="G11648" s="30" t="s">
        <v>106</v>
      </c>
      <c r="H11648" s="32">
        <v>351</v>
      </c>
      <c r="I11648" s="30" t="s">
        <v>21</v>
      </c>
      <c r="J11648" s="41">
        <v>44886</v>
      </c>
      <c r="K11648" s="30" t="s">
        <v>22</v>
      </c>
    </row>
    <row r="11649" spans="1:11">
      <c r="A11649" s="33" t="s">
        <v>26480</v>
      </c>
      <c r="B11649" s="33" t="s">
        <v>26481</v>
      </c>
      <c r="C11649" s="33" t="s">
        <v>44</v>
      </c>
      <c r="D11649" s="33" t="s">
        <v>17</v>
      </c>
      <c r="E11649" s="33" t="s">
        <v>18</v>
      </c>
      <c r="F11649" s="33" t="s">
        <v>19</v>
      </c>
      <c r="G11649" s="33" t="s">
        <v>158</v>
      </c>
      <c r="H11649" s="35">
        <v>1546</v>
      </c>
      <c r="I11649" s="33" t="s">
        <v>21</v>
      </c>
      <c r="J11649" s="42">
        <v>44756</v>
      </c>
      <c r="K11649" s="33" t="s">
        <v>22</v>
      </c>
    </row>
    <row r="11650" spans="1:11">
      <c r="A11650" s="30" t="s">
        <v>26482</v>
      </c>
      <c r="B11650" s="30" t="s">
        <v>26483</v>
      </c>
      <c r="C11650" s="30" t="s">
        <v>8653</v>
      </c>
      <c r="D11650" s="30" t="s">
        <v>17</v>
      </c>
      <c r="E11650" s="30" t="s">
        <v>26</v>
      </c>
      <c r="F11650" s="30" t="s">
        <v>27</v>
      </c>
      <c r="G11650" s="30" t="s">
        <v>20</v>
      </c>
      <c r="H11650" s="32">
        <v>30</v>
      </c>
      <c r="I11650" s="30" t="s">
        <v>21</v>
      </c>
      <c r="J11650" s="41">
        <v>44834</v>
      </c>
      <c r="K11650" s="30" t="s">
        <v>22</v>
      </c>
    </row>
    <row r="11651" spans="1:11">
      <c r="A11651" s="33" t="s">
        <v>26484</v>
      </c>
      <c r="B11651" s="33" t="s">
        <v>26485</v>
      </c>
      <c r="C11651" s="33" t="s">
        <v>26486</v>
      </c>
      <c r="D11651" s="33" t="s">
        <v>17</v>
      </c>
      <c r="E11651" s="33" t="s">
        <v>26</v>
      </c>
      <c r="F11651" s="33" t="s">
        <v>27</v>
      </c>
      <c r="G11651" s="33" t="s">
        <v>50</v>
      </c>
      <c r="H11651" s="35">
        <v>6</v>
      </c>
      <c r="I11651" s="33" t="s">
        <v>51</v>
      </c>
      <c r="J11651" s="42">
        <v>44713</v>
      </c>
      <c r="K11651" s="33" t="s">
        <v>22</v>
      </c>
    </row>
    <row r="11652" spans="1:11">
      <c r="A11652" s="30" t="s">
        <v>26487</v>
      </c>
      <c r="B11652" s="30" t="s">
        <v>26488</v>
      </c>
      <c r="C11652" s="30" t="s">
        <v>26489</v>
      </c>
      <c r="D11652" s="30" t="s">
        <v>17</v>
      </c>
      <c r="E11652" s="30" t="s">
        <v>18</v>
      </c>
      <c r="F11652" s="30" t="s">
        <v>19</v>
      </c>
      <c r="G11652" s="30" t="s">
        <v>158</v>
      </c>
      <c r="H11652" s="32">
        <v>187</v>
      </c>
      <c r="I11652" s="30" t="s">
        <v>21</v>
      </c>
      <c r="J11652" s="41">
        <v>44733</v>
      </c>
      <c r="K11652" s="30" t="s">
        <v>22</v>
      </c>
    </row>
    <row r="11653" spans="1:11">
      <c r="A11653" s="33" t="s">
        <v>26490</v>
      </c>
      <c r="B11653" s="33" t="s">
        <v>26491</v>
      </c>
      <c r="C11653" s="33" t="s">
        <v>190</v>
      </c>
      <c r="D11653" s="33" t="s">
        <v>17</v>
      </c>
      <c r="E11653" s="33" t="s">
        <v>26</v>
      </c>
      <c r="F11653" s="33" t="s">
        <v>27</v>
      </c>
      <c r="G11653" s="33" t="s">
        <v>20</v>
      </c>
      <c r="H11653" s="35">
        <v>36</v>
      </c>
      <c r="I11653" s="33" t="s">
        <v>21</v>
      </c>
      <c r="J11653" s="42">
        <v>44907</v>
      </c>
      <c r="K11653" s="33" t="s">
        <v>22</v>
      </c>
    </row>
    <row r="11654" spans="1:11">
      <c r="A11654" s="30" t="s">
        <v>26492</v>
      </c>
      <c r="B11654" s="30" t="s">
        <v>26493</v>
      </c>
      <c r="C11654" s="30" t="s">
        <v>26494</v>
      </c>
      <c r="D11654" s="30" t="s">
        <v>17</v>
      </c>
      <c r="E11654" s="30" t="s">
        <v>31</v>
      </c>
      <c r="F11654" s="30" t="s">
        <v>32</v>
      </c>
      <c r="G11654" s="30" t="s">
        <v>20</v>
      </c>
      <c r="H11654" s="32">
        <v>6</v>
      </c>
      <c r="I11654" s="30" t="s">
        <v>21</v>
      </c>
      <c r="J11654" s="41">
        <v>44671</v>
      </c>
      <c r="K11654" s="30" t="s">
        <v>22</v>
      </c>
    </row>
    <row r="11655" spans="1:11">
      <c r="A11655" s="33" t="s">
        <v>26495</v>
      </c>
      <c r="B11655" s="33" t="s">
        <v>26496</v>
      </c>
      <c r="C11655" s="33" t="s">
        <v>26497</v>
      </c>
      <c r="D11655" s="33" t="s">
        <v>17</v>
      </c>
      <c r="E11655" s="33" t="s">
        <v>31</v>
      </c>
      <c r="F11655" s="33" t="s">
        <v>32</v>
      </c>
      <c r="G11655" s="33" t="s">
        <v>140</v>
      </c>
      <c r="H11655" s="35">
        <v>99</v>
      </c>
      <c r="I11655" s="33" t="s">
        <v>51</v>
      </c>
      <c r="J11655" s="42">
        <v>44805</v>
      </c>
      <c r="K11655" s="33" t="s">
        <v>22</v>
      </c>
    </row>
    <row r="11656" spans="1:11">
      <c r="A11656" s="30" t="s">
        <v>26498</v>
      </c>
      <c r="B11656" s="30" t="s">
        <v>26499</v>
      </c>
      <c r="C11656" s="30" t="s">
        <v>96</v>
      </c>
      <c r="D11656" s="30" t="s">
        <v>17</v>
      </c>
      <c r="E11656" s="30" t="s">
        <v>18</v>
      </c>
      <c r="F11656" s="30" t="s">
        <v>19</v>
      </c>
      <c r="G11656" s="30" t="s">
        <v>20</v>
      </c>
      <c r="H11656" s="32">
        <v>45789</v>
      </c>
      <c r="I11656" s="30" t="s">
        <v>21</v>
      </c>
      <c r="J11656" s="41">
        <v>44816</v>
      </c>
      <c r="K11656" s="30" t="s">
        <v>22</v>
      </c>
    </row>
    <row r="11657" spans="1:11">
      <c r="A11657" s="33" t="s">
        <v>26500</v>
      </c>
      <c r="B11657" s="33" t="s">
        <v>26501</v>
      </c>
      <c r="C11657" s="33" t="s">
        <v>23428</v>
      </c>
      <c r="D11657" s="33" t="s">
        <v>17</v>
      </c>
      <c r="E11657" s="33" t="s">
        <v>26</v>
      </c>
      <c r="F11657" s="33" t="s">
        <v>27</v>
      </c>
      <c r="G11657" s="33" t="s">
        <v>20</v>
      </c>
      <c r="H11657" s="35">
        <v>12</v>
      </c>
      <c r="I11657" s="33" t="s">
        <v>21</v>
      </c>
      <c r="J11657" s="42">
        <v>44573</v>
      </c>
      <c r="K11657" s="33" t="s">
        <v>22</v>
      </c>
    </row>
    <row r="11658" spans="1:11">
      <c r="A11658" s="30" t="s">
        <v>26502</v>
      </c>
      <c r="B11658" s="30" t="s">
        <v>26503</v>
      </c>
      <c r="C11658" s="30" t="s">
        <v>26504</v>
      </c>
      <c r="D11658" s="30" t="s">
        <v>17</v>
      </c>
      <c r="E11658" s="30" t="s">
        <v>18</v>
      </c>
      <c r="F11658" s="30" t="s">
        <v>19</v>
      </c>
      <c r="G11658" s="30" t="s">
        <v>20</v>
      </c>
      <c r="H11658" s="32">
        <v>230</v>
      </c>
      <c r="I11658" s="30" t="s">
        <v>21</v>
      </c>
      <c r="J11658" s="41">
        <v>44582</v>
      </c>
      <c r="K11658" s="30" t="s">
        <v>22</v>
      </c>
    </row>
    <row r="11659" spans="1:11">
      <c r="A11659" s="33" t="s">
        <v>26505</v>
      </c>
      <c r="B11659" s="33" t="s">
        <v>26506</v>
      </c>
      <c r="C11659" s="33" t="s">
        <v>26507</v>
      </c>
      <c r="D11659" s="33" t="s">
        <v>17</v>
      </c>
      <c r="E11659" s="33" t="s">
        <v>26</v>
      </c>
      <c r="F11659" s="33" t="s">
        <v>27</v>
      </c>
      <c r="G11659" s="33" t="s">
        <v>50</v>
      </c>
      <c r="H11659" s="35">
        <v>36</v>
      </c>
      <c r="I11659" s="33" t="s">
        <v>51</v>
      </c>
      <c r="J11659" s="42">
        <v>44581</v>
      </c>
      <c r="K11659" s="33" t="s">
        <v>22</v>
      </c>
    </row>
    <row r="11660" spans="1:11">
      <c r="A11660" s="30" t="s">
        <v>26508</v>
      </c>
      <c r="B11660" s="30" t="s">
        <v>26509</v>
      </c>
      <c r="C11660" s="30" t="s">
        <v>1267</v>
      </c>
      <c r="D11660" s="30" t="s">
        <v>17</v>
      </c>
      <c r="E11660" s="30" t="s">
        <v>31</v>
      </c>
      <c r="F11660" s="30" t="s">
        <v>32</v>
      </c>
      <c r="G11660" s="30" t="s">
        <v>158</v>
      </c>
      <c r="H11660" s="32">
        <v>332</v>
      </c>
      <c r="I11660" s="30" t="s">
        <v>21</v>
      </c>
      <c r="J11660" s="41">
        <v>44722</v>
      </c>
      <c r="K11660" s="30" t="s">
        <v>22</v>
      </c>
    </row>
    <row r="11661" spans="1:11">
      <c r="A11661" s="33" t="s">
        <v>26510</v>
      </c>
      <c r="B11661" s="33" t="s">
        <v>26511</v>
      </c>
      <c r="C11661" s="33" t="s">
        <v>318</v>
      </c>
      <c r="D11661" s="33" t="s">
        <v>17</v>
      </c>
      <c r="E11661" s="33" t="s">
        <v>31</v>
      </c>
      <c r="F11661" s="33" t="s">
        <v>32</v>
      </c>
      <c r="G11661" s="33" t="s">
        <v>106</v>
      </c>
      <c r="H11661" s="35">
        <v>174</v>
      </c>
      <c r="I11661" s="33" t="s">
        <v>21</v>
      </c>
      <c r="J11661" s="42">
        <v>44869</v>
      </c>
      <c r="K11661" s="33" t="s">
        <v>22</v>
      </c>
    </row>
    <row r="11662" spans="1:11">
      <c r="A11662" s="30" t="s">
        <v>26512</v>
      </c>
      <c r="B11662" s="30" t="s">
        <v>26513</v>
      </c>
      <c r="C11662" s="30" t="s">
        <v>7459</v>
      </c>
      <c r="D11662" s="30" t="s">
        <v>17</v>
      </c>
      <c r="E11662" s="30" t="s">
        <v>26</v>
      </c>
      <c r="F11662" s="30" t="s">
        <v>27</v>
      </c>
      <c r="G11662" s="30" t="s">
        <v>112</v>
      </c>
      <c r="H11662" s="32">
        <v>0</v>
      </c>
      <c r="I11662" s="30" t="s">
        <v>21</v>
      </c>
      <c r="J11662" s="41">
        <v>44607</v>
      </c>
      <c r="K11662" s="30" t="s">
        <v>22</v>
      </c>
    </row>
    <row r="11663" spans="1:11">
      <c r="A11663" s="33" t="s">
        <v>26514</v>
      </c>
      <c r="B11663" s="33" t="s">
        <v>26515</v>
      </c>
      <c r="C11663" s="33" t="s">
        <v>26516</v>
      </c>
      <c r="D11663" s="33" t="s">
        <v>17</v>
      </c>
      <c r="E11663" s="33" t="s">
        <v>31</v>
      </c>
      <c r="F11663" s="33" t="s">
        <v>32</v>
      </c>
      <c r="G11663" s="33" t="s">
        <v>112</v>
      </c>
      <c r="H11663" s="35">
        <v>0</v>
      </c>
      <c r="I11663" s="33" t="s">
        <v>21</v>
      </c>
      <c r="J11663" s="42">
        <v>44562</v>
      </c>
      <c r="K11663" s="33" t="s">
        <v>22</v>
      </c>
    </row>
    <row r="11664" spans="1:11">
      <c r="A11664" s="30" t="s">
        <v>26517</v>
      </c>
      <c r="B11664" s="30" t="s">
        <v>26518</v>
      </c>
      <c r="C11664" s="30" t="s">
        <v>2313</v>
      </c>
      <c r="D11664" s="30" t="s">
        <v>17</v>
      </c>
      <c r="E11664" s="30" t="s">
        <v>18</v>
      </c>
      <c r="F11664" s="30" t="s">
        <v>19</v>
      </c>
      <c r="G11664" s="30" t="s">
        <v>158</v>
      </c>
      <c r="H11664" s="32">
        <v>373</v>
      </c>
      <c r="I11664" s="30" t="s">
        <v>21</v>
      </c>
      <c r="J11664" s="41">
        <v>44776</v>
      </c>
      <c r="K11664" s="30" t="s">
        <v>22</v>
      </c>
    </row>
    <row r="11665" spans="1:11">
      <c r="A11665" s="33" t="s">
        <v>26519</v>
      </c>
      <c r="B11665" s="33" t="s">
        <v>26520</v>
      </c>
      <c r="C11665" s="33" t="s">
        <v>4612</v>
      </c>
      <c r="D11665" s="33" t="s">
        <v>17</v>
      </c>
      <c r="E11665" s="33" t="s">
        <v>26</v>
      </c>
      <c r="F11665" s="33" t="s">
        <v>27</v>
      </c>
      <c r="G11665" s="33" t="s">
        <v>140</v>
      </c>
      <c r="H11665" s="35">
        <v>24</v>
      </c>
      <c r="I11665" s="33" t="s">
        <v>51</v>
      </c>
      <c r="J11665" s="42">
        <v>44922</v>
      </c>
      <c r="K11665" s="33" t="s">
        <v>22</v>
      </c>
    </row>
    <row r="11666" spans="1:11">
      <c r="A11666" s="30" t="s">
        <v>26521</v>
      </c>
      <c r="B11666" s="30" t="s">
        <v>26522</v>
      </c>
      <c r="C11666" s="30" t="s">
        <v>96</v>
      </c>
      <c r="D11666" s="30" t="s">
        <v>17</v>
      </c>
      <c r="E11666" s="30" t="s">
        <v>26</v>
      </c>
      <c r="F11666" s="30" t="s">
        <v>27</v>
      </c>
      <c r="G11666" s="30" t="s">
        <v>20</v>
      </c>
      <c r="H11666" s="32">
        <v>8</v>
      </c>
      <c r="I11666" s="30" t="s">
        <v>21</v>
      </c>
      <c r="J11666" s="41">
        <v>44907</v>
      </c>
      <c r="K11666" s="30" t="s">
        <v>22</v>
      </c>
    </row>
    <row r="11667" spans="1:11">
      <c r="A11667" s="33" t="s">
        <v>26523</v>
      </c>
      <c r="B11667" s="33" t="s">
        <v>26524</v>
      </c>
      <c r="C11667" s="33" t="s">
        <v>310</v>
      </c>
      <c r="D11667" s="33" t="s">
        <v>17</v>
      </c>
      <c r="E11667" s="33" t="s">
        <v>26</v>
      </c>
      <c r="F11667" s="33" t="s">
        <v>27</v>
      </c>
      <c r="G11667" s="33" t="s">
        <v>20</v>
      </c>
      <c r="H11667" s="35">
        <v>18</v>
      </c>
      <c r="I11667" s="33" t="s">
        <v>21</v>
      </c>
      <c r="J11667" s="42">
        <v>44580</v>
      </c>
      <c r="K11667" s="33" t="s">
        <v>22</v>
      </c>
    </row>
    <row r="11668" spans="1:11">
      <c r="A11668" s="30" t="s">
        <v>26525</v>
      </c>
      <c r="B11668" s="30" t="s">
        <v>26526</v>
      </c>
      <c r="C11668" s="30" t="s">
        <v>517</v>
      </c>
      <c r="D11668" s="30" t="s">
        <v>17</v>
      </c>
      <c r="E11668" s="30" t="s">
        <v>18</v>
      </c>
      <c r="F11668" s="30" t="s">
        <v>19</v>
      </c>
      <c r="G11668" s="30" t="s">
        <v>140</v>
      </c>
      <c r="H11668" s="32">
        <v>520</v>
      </c>
      <c r="I11668" s="30" t="s">
        <v>51</v>
      </c>
      <c r="J11668" s="41">
        <v>44769</v>
      </c>
      <c r="K11668" s="30" t="s">
        <v>22</v>
      </c>
    </row>
    <row r="11669" spans="1:11">
      <c r="A11669" s="33" t="s">
        <v>26527</v>
      </c>
      <c r="B11669" s="33" t="s">
        <v>26528</v>
      </c>
      <c r="C11669" s="33" t="s">
        <v>26529</v>
      </c>
      <c r="D11669" s="33" t="s">
        <v>17</v>
      </c>
      <c r="E11669" s="33" t="s">
        <v>31</v>
      </c>
      <c r="F11669" s="33" t="s">
        <v>32</v>
      </c>
      <c r="G11669" s="33" t="s">
        <v>50</v>
      </c>
      <c r="H11669" s="35">
        <v>15</v>
      </c>
      <c r="I11669" s="33" t="s">
        <v>51</v>
      </c>
      <c r="J11669" s="42">
        <v>44684</v>
      </c>
      <c r="K11669" s="33" t="s">
        <v>22</v>
      </c>
    </row>
    <row r="11670" spans="1:11">
      <c r="A11670" s="30" t="s">
        <v>26530</v>
      </c>
      <c r="B11670" s="30" t="s">
        <v>26531</v>
      </c>
      <c r="C11670" s="30" t="s">
        <v>4596</v>
      </c>
      <c r="D11670" s="30" t="s">
        <v>17</v>
      </c>
      <c r="E11670" s="30" t="s">
        <v>18</v>
      </c>
      <c r="F11670" s="30" t="s">
        <v>19</v>
      </c>
      <c r="G11670" s="30" t="s">
        <v>20</v>
      </c>
      <c r="H11670" s="32">
        <v>214</v>
      </c>
      <c r="I11670" s="30" t="s">
        <v>21</v>
      </c>
      <c r="J11670" s="41">
        <v>44846</v>
      </c>
      <c r="K11670" s="30" t="s">
        <v>22</v>
      </c>
    </row>
    <row r="11671" spans="1:11">
      <c r="A11671" s="33" t="s">
        <v>26532</v>
      </c>
      <c r="B11671" s="33" t="s">
        <v>26533</v>
      </c>
      <c r="C11671" s="33" t="s">
        <v>1770</v>
      </c>
      <c r="D11671" s="33" t="s">
        <v>17</v>
      </c>
      <c r="E11671" s="33" t="s">
        <v>31</v>
      </c>
      <c r="F11671" s="33" t="s">
        <v>32</v>
      </c>
      <c r="G11671" s="33" t="s">
        <v>158</v>
      </c>
      <c r="H11671" s="35">
        <v>244</v>
      </c>
      <c r="I11671" s="33" t="s">
        <v>21</v>
      </c>
      <c r="J11671" s="42">
        <v>44875</v>
      </c>
      <c r="K11671" s="33" t="s">
        <v>22</v>
      </c>
    </row>
    <row r="11672" spans="1:11">
      <c r="A11672" s="30" t="s">
        <v>26534</v>
      </c>
      <c r="B11672" s="30" t="s">
        <v>26535</v>
      </c>
      <c r="C11672" s="30" t="s">
        <v>75</v>
      </c>
      <c r="D11672" s="30" t="s">
        <v>17</v>
      </c>
      <c r="E11672" s="30" t="s">
        <v>31</v>
      </c>
      <c r="F11672" s="30" t="s">
        <v>32</v>
      </c>
      <c r="G11672" s="30" t="s">
        <v>158</v>
      </c>
      <c r="H11672" s="32">
        <v>34</v>
      </c>
      <c r="I11672" s="30" t="s">
        <v>21</v>
      </c>
      <c r="J11672" s="41">
        <v>44792</v>
      </c>
      <c r="K11672" s="30" t="s">
        <v>22</v>
      </c>
    </row>
    <row r="11673" spans="1:11">
      <c r="A11673" s="33" t="s">
        <v>26536</v>
      </c>
      <c r="B11673" s="33" t="s">
        <v>26537</v>
      </c>
      <c r="C11673" s="33" t="s">
        <v>1090</v>
      </c>
      <c r="D11673" s="33" t="s">
        <v>17</v>
      </c>
      <c r="E11673" s="33" t="s">
        <v>67</v>
      </c>
      <c r="F11673" s="33" t="s">
        <v>68</v>
      </c>
      <c r="G11673" s="33" t="s">
        <v>50</v>
      </c>
      <c r="H11673" s="35">
        <v>126</v>
      </c>
      <c r="I11673" s="33" t="s">
        <v>51</v>
      </c>
      <c r="J11673" s="42">
        <v>44774</v>
      </c>
      <c r="K11673" s="33" t="s">
        <v>22</v>
      </c>
    </row>
    <row r="11674" spans="1:11">
      <c r="A11674" s="30" t="s">
        <v>26538</v>
      </c>
      <c r="B11674" s="30" t="s">
        <v>26539</v>
      </c>
      <c r="C11674" s="30" t="s">
        <v>1112</v>
      </c>
      <c r="D11674" s="30" t="s">
        <v>17</v>
      </c>
      <c r="E11674" s="30" t="s">
        <v>26</v>
      </c>
      <c r="F11674" s="30" t="s">
        <v>27</v>
      </c>
      <c r="G11674" s="30" t="s">
        <v>20</v>
      </c>
      <c r="H11674" s="32">
        <v>40</v>
      </c>
      <c r="I11674" s="30" t="s">
        <v>21</v>
      </c>
      <c r="J11674" s="41">
        <v>44851</v>
      </c>
      <c r="K11674" s="30" t="s">
        <v>22</v>
      </c>
    </row>
    <row r="11675" spans="1:11">
      <c r="A11675" s="33" t="s">
        <v>26540</v>
      </c>
      <c r="B11675" s="33" t="s">
        <v>26541</v>
      </c>
      <c r="C11675" s="33" t="s">
        <v>969</v>
      </c>
      <c r="D11675" s="33" t="s">
        <v>17</v>
      </c>
      <c r="E11675" s="33" t="s">
        <v>26</v>
      </c>
      <c r="F11675" s="33" t="s">
        <v>27</v>
      </c>
      <c r="G11675" s="33" t="s">
        <v>20</v>
      </c>
      <c r="H11675" s="35">
        <v>8</v>
      </c>
      <c r="I11675" s="33" t="s">
        <v>21</v>
      </c>
      <c r="J11675" s="42">
        <v>44761</v>
      </c>
      <c r="K11675" s="33" t="s">
        <v>22</v>
      </c>
    </row>
    <row r="11676" spans="1:11">
      <c r="A11676" s="30" t="s">
        <v>26542</v>
      </c>
      <c r="B11676" s="30" t="s">
        <v>26543</v>
      </c>
      <c r="C11676" s="30" t="s">
        <v>10300</v>
      </c>
      <c r="D11676" s="30" t="s">
        <v>17</v>
      </c>
      <c r="E11676" s="30" t="s">
        <v>18</v>
      </c>
      <c r="F11676" s="30" t="s">
        <v>19</v>
      </c>
      <c r="G11676" s="30" t="s">
        <v>20</v>
      </c>
      <c r="H11676" s="32">
        <v>268</v>
      </c>
      <c r="I11676" s="30" t="s">
        <v>21</v>
      </c>
      <c r="J11676" s="41">
        <v>44589</v>
      </c>
      <c r="K11676" s="30" t="s">
        <v>22</v>
      </c>
    </row>
    <row r="11677" spans="1:11">
      <c r="A11677" s="33" t="s">
        <v>26544</v>
      </c>
      <c r="B11677" s="33" t="s">
        <v>26545</v>
      </c>
      <c r="C11677" s="33" t="s">
        <v>109</v>
      </c>
      <c r="D11677" s="33" t="s">
        <v>17</v>
      </c>
      <c r="E11677" s="33" t="s">
        <v>26</v>
      </c>
      <c r="F11677" s="33" t="s">
        <v>27</v>
      </c>
      <c r="G11677" s="33" t="s">
        <v>106</v>
      </c>
      <c r="H11677" s="35">
        <v>41</v>
      </c>
      <c r="I11677" s="33" t="s">
        <v>21</v>
      </c>
      <c r="J11677" s="42">
        <v>44839</v>
      </c>
      <c r="K11677" s="33" t="s">
        <v>22</v>
      </c>
    </row>
    <row r="11678" spans="1:11">
      <c r="A11678" s="30" t="s">
        <v>26546</v>
      </c>
      <c r="B11678" s="30" t="s">
        <v>26547</v>
      </c>
      <c r="C11678" s="30" t="s">
        <v>26548</v>
      </c>
      <c r="D11678" s="30" t="s">
        <v>17</v>
      </c>
      <c r="E11678" s="30" t="s">
        <v>26</v>
      </c>
      <c r="F11678" s="30" t="s">
        <v>27</v>
      </c>
      <c r="G11678" s="30" t="s">
        <v>158</v>
      </c>
      <c r="H11678" s="32">
        <v>320</v>
      </c>
      <c r="I11678" s="30" t="s">
        <v>51</v>
      </c>
      <c r="J11678" s="41">
        <v>44740</v>
      </c>
      <c r="K11678" s="30" t="s">
        <v>22</v>
      </c>
    </row>
    <row r="11679" spans="1:11">
      <c r="A11679" s="33" t="s">
        <v>26549</v>
      </c>
      <c r="B11679" s="33" t="s">
        <v>26550</v>
      </c>
      <c r="C11679" s="33" t="s">
        <v>6215</v>
      </c>
      <c r="D11679" s="33" t="s">
        <v>17</v>
      </c>
      <c r="E11679" s="33" t="s">
        <v>18</v>
      </c>
      <c r="F11679" s="33" t="s">
        <v>19</v>
      </c>
      <c r="G11679" s="33" t="s">
        <v>140</v>
      </c>
      <c r="H11679" s="35">
        <v>170</v>
      </c>
      <c r="I11679" s="33" t="s">
        <v>51</v>
      </c>
      <c r="J11679" s="42">
        <v>44921</v>
      </c>
      <c r="K11679" s="33" t="s">
        <v>22</v>
      </c>
    </row>
    <row r="11680" spans="1:11">
      <c r="A11680" s="30" t="s">
        <v>26551</v>
      </c>
      <c r="B11680" s="30" t="s">
        <v>26552</v>
      </c>
      <c r="C11680" s="30" t="s">
        <v>25933</v>
      </c>
      <c r="D11680" s="30" t="s">
        <v>17</v>
      </c>
      <c r="E11680" s="30" t="s">
        <v>31</v>
      </c>
      <c r="F11680" s="30" t="s">
        <v>32</v>
      </c>
      <c r="G11680" s="30" t="s">
        <v>106</v>
      </c>
      <c r="H11680" s="32">
        <v>67</v>
      </c>
      <c r="I11680" s="30" t="s">
        <v>21</v>
      </c>
      <c r="J11680" s="41">
        <v>44910</v>
      </c>
      <c r="K11680" s="30" t="s">
        <v>22</v>
      </c>
    </row>
    <row r="11681" spans="1:11">
      <c r="A11681" s="33" t="s">
        <v>26553</v>
      </c>
      <c r="B11681" s="33" t="s">
        <v>26554</v>
      </c>
      <c r="C11681" s="33" t="s">
        <v>2562</v>
      </c>
      <c r="D11681" s="33" t="s">
        <v>17</v>
      </c>
      <c r="E11681" s="33" t="s">
        <v>31</v>
      </c>
      <c r="F11681" s="33" t="s">
        <v>32</v>
      </c>
      <c r="G11681" s="33" t="s">
        <v>50</v>
      </c>
      <c r="H11681" s="35">
        <v>50</v>
      </c>
      <c r="I11681" s="33" t="s">
        <v>51</v>
      </c>
      <c r="J11681" s="42">
        <v>44803</v>
      </c>
      <c r="K11681" s="33" t="s">
        <v>22</v>
      </c>
    </row>
    <row r="11682" spans="1:11">
      <c r="A11682" s="30" t="s">
        <v>26555</v>
      </c>
      <c r="B11682" s="30" t="s">
        <v>26556</v>
      </c>
      <c r="C11682" s="30" t="s">
        <v>570</v>
      </c>
      <c r="D11682" s="30" t="s">
        <v>17</v>
      </c>
      <c r="E11682" s="30" t="s">
        <v>26</v>
      </c>
      <c r="F11682" s="30" t="s">
        <v>27</v>
      </c>
      <c r="G11682" s="30" t="s">
        <v>50</v>
      </c>
      <c r="H11682" s="32">
        <v>86</v>
      </c>
      <c r="I11682" s="30" t="s">
        <v>51</v>
      </c>
      <c r="J11682" s="41">
        <v>44745</v>
      </c>
      <c r="K11682" s="30" t="s">
        <v>22</v>
      </c>
    </row>
    <row r="11683" spans="1:11">
      <c r="A11683" s="33" t="s">
        <v>26557</v>
      </c>
      <c r="B11683" s="33" t="s">
        <v>26558</v>
      </c>
      <c r="C11683" s="33" t="s">
        <v>157</v>
      </c>
      <c r="D11683" s="33" t="s">
        <v>17</v>
      </c>
      <c r="E11683" s="33" t="s">
        <v>31</v>
      </c>
      <c r="F11683" s="33" t="s">
        <v>32</v>
      </c>
      <c r="G11683" s="33" t="s">
        <v>20</v>
      </c>
      <c r="H11683" s="35">
        <v>158</v>
      </c>
      <c r="I11683" s="33" t="s">
        <v>21</v>
      </c>
      <c r="J11683" s="42">
        <v>44881</v>
      </c>
      <c r="K11683" s="33" t="s">
        <v>22</v>
      </c>
    </row>
    <row r="11684" spans="1:11">
      <c r="A11684" s="30" t="s">
        <v>26559</v>
      </c>
      <c r="B11684" s="30" t="s">
        <v>26560</v>
      </c>
      <c r="C11684" s="30" t="s">
        <v>22573</v>
      </c>
      <c r="D11684" s="30" t="s">
        <v>17</v>
      </c>
      <c r="E11684" s="30" t="s">
        <v>67</v>
      </c>
      <c r="F11684" s="30" t="s">
        <v>68</v>
      </c>
      <c r="G11684" s="30" t="s">
        <v>140</v>
      </c>
      <c r="H11684" s="32">
        <v>796</v>
      </c>
      <c r="I11684" s="30" t="s">
        <v>51</v>
      </c>
      <c r="J11684" s="41">
        <v>44592</v>
      </c>
      <c r="K11684" s="30" t="s">
        <v>22</v>
      </c>
    </row>
    <row r="11685" spans="1:11">
      <c r="A11685" s="33" t="s">
        <v>26561</v>
      </c>
      <c r="B11685" s="33" t="s">
        <v>26562</v>
      </c>
      <c r="C11685" s="33" t="s">
        <v>96</v>
      </c>
      <c r="D11685" s="33" t="s">
        <v>17</v>
      </c>
      <c r="E11685" s="33" t="s">
        <v>212</v>
      </c>
      <c r="F11685" s="33" t="s">
        <v>213</v>
      </c>
      <c r="G11685" s="33" t="s">
        <v>158</v>
      </c>
      <c r="H11685" s="35">
        <v>319</v>
      </c>
      <c r="I11685" s="33" t="s">
        <v>21</v>
      </c>
      <c r="J11685" s="42">
        <v>44886</v>
      </c>
      <c r="K11685" s="33" t="s">
        <v>22</v>
      </c>
    </row>
    <row r="11686" spans="1:11">
      <c r="A11686" s="30" t="s">
        <v>26563</v>
      </c>
      <c r="B11686" s="30" t="s">
        <v>26564</v>
      </c>
      <c r="C11686" s="30" t="s">
        <v>26565</v>
      </c>
      <c r="D11686" s="30" t="s">
        <v>17</v>
      </c>
      <c r="E11686" s="30" t="s">
        <v>26</v>
      </c>
      <c r="F11686" s="30" t="s">
        <v>27</v>
      </c>
      <c r="G11686" s="30" t="s">
        <v>20</v>
      </c>
      <c r="H11686" s="32">
        <v>18</v>
      </c>
      <c r="I11686" s="30" t="s">
        <v>21</v>
      </c>
      <c r="J11686" s="41">
        <v>44698</v>
      </c>
      <c r="K11686" s="30" t="s">
        <v>22</v>
      </c>
    </row>
    <row r="11687" spans="1:11">
      <c r="A11687" s="33" t="s">
        <v>26566</v>
      </c>
      <c r="B11687" s="33" t="s">
        <v>26567</v>
      </c>
      <c r="C11687" s="33" t="s">
        <v>26568</v>
      </c>
      <c r="D11687" s="33" t="s">
        <v>17</v>
      </c>
      <c r="E11687" s="33" t="s">
        <v>31</v>
      </c>
      <c r="F11687" s="33" t="s">
        <v>32</v>
      </c>
      <c r="G11687" s="33" t="s">
        <v>50</v>
      </c>
      <c r="H11687" s="35">
        <v>122</v>
      </c>
      <c r="I11687" s="33" t="s">
        <v>51</v>
      </c>
      <c r="J11687" s="42">
        <v>44835</v>
      </c>
      <c r="K11687" s="33" t="s">
        <v>22</v>
      </c>
    </row>
    <row r="11688" spans="1:11">
      <c r="A11688" s="30" t="s">
        <v>26569</v>
      </c>
      <c r="B11688" s="30" t="s">
        <v>26570</v>
      </c>
      <c r="C11688" s="30" t="s">
        <v>4282</v>
      </c>
      <c r="D11688" s="30" t="s">
        <v>17</v>
      </c>
      <c r="E11688" s="30" t="s">
        <v>45</v>
      </c>
      <c r="F11688" s="30" t="s">
        <v>46</v>
      </c>
      <c r="G11688" s="30" t="s">
        <v>50</v>
      </c>
      <c r="H11688" s="32">
        <v>30</v>
      </c>
      <c r="I11688" s="30" t="s">
        <v>51</v>
      </c>
      <c r="J11688" s="41">
        <v>44621</v>
      </c>
      <c r="K11688" s="30" t="s">
        <v>22</v>
      </c>
    </row>
    <row r="11689" spans="1:11">
      <c r="A11689" s="33" t="s">
        <v>26571</v>
      </c>
      <c r="B11689" s="33" t="s">
        <v>26572</v>
      </c>
      <c r="C11689" s="33" t="s">
        <v>26573</v>
      </c>
      <c r="D11689" s="33" t="s">
        <v>17</v>
      </c>
      <c r="E11689" s="33" t="s">
        <v>26</v>
      </c>
      <c r="F11689" s="33" t="s">
        <v>27</v>
      </c>
      <c r="G11689" s="33" t="s">
        <v>106</v>
      </c>
      <c r="H11689" s="35">
        <v>8</v>
      </c>
      <c r="I11689" s="33" t="s">
        <v>21</v>
      </c>
      <c r="J11689" s="42">
        <v>44585</v>
      </c>
      <c r="K11689" s="33" t="s">
        <v>22</v>
      </c>
    </row>
    <row r="11690" spans="1:11">
      <c r="A11690" s="30" t="s">
        <v>26574</v>
      </c>
      <c r="B11690" s="30" t="s">
        <v>26575</v>
      </c>
      <c r="C11690" s="30" t="s">
        <v>26576</v>
      </c>
      <c r="D11690" s="30" t="s">
        <v>17</v>
      </c>
      <c r="E11690" s="30" t="s">
        <v>26</v>
      </c>
      <c r="F11690" s="30" t="s">
        <v>27</v>
      </c>
      <c r="G11690" s="30" t="s">
        <v>20</v>
      </c>
      <c r="H11690" s="32">
        <v>121</v>
      </c>
      <c r="I11690" s="30" t="s">
        <v>21</v>
      </c>
      <c r="J11690" s="41">
        <v>44599</v>
      </c>
      <c r="K11690" s="30" t="s">
        <v>22</v>
      </c>
    </row>
    <row r="11691" spans="1:11">
      <c r="A11691" s="33" t="s">
        <v>26577</v>
      </c>
      <c r="B11691" s="33" t="s">
        <v>26578</v>
      </c>
      <c r="C11691" s="33" t="s">
        <v>109</v>
      </c>
      <c r="D11691" s="33" t="s">
        <v>17</v>
      </c>
      <c r="E11691" s="33" t="s">
        <v>31</v>
      </c>
      <c r="F11691" s="33" t="s">
        <v>32</v>
      </c>
      <c r="G11691" s="33" t="s">
        <v>158</v>
      </c>
      <c r="H11691" s="35">
        <v>41</v>
      </c>
      <c r="I11691" s="33" t="s">
        <v>21</v>
      </c>
      <c r="J11691" s="42">
        <v>44588</v>
      </c>
      <c r="K11691" s="33" t="s">
        <v>22</v>
      </c>
    </row>
    <row r="11692" spans="1:11">
      <c r="A11692" s="30" t="s">
        <v>26579</v>
      </c>
      <c r="B11692" s="30" t="s">
        <v>26580</v>
      </c>
      <c r="C11692" s="30" t="s">
        <v>26581</v>
      </c>
      <c r="D11692" s="30" t="s">
        <v>17</v>
      </c>
      <c r="E11692" s="30" t="s">
        <v>67</v>
      </c>
      <c r="F11692" s="30" t="s">
        <v>68</v>
      </c>
      <c r="G11692" s="30" t="s">
        <v>20</v>
      </c>
      <c r="H11692" s="32">
        <v>13</v>
      </c>
      <c r="I11692" s="30" t="s">
        <v>21</v>
      </c>
      <c r="J11692" s="41">
        <v>44797</v>
      </c>
      <c r="K11692" s="30" t="s">
        <v>22</v>
      </c>
    </row>
    <row r="11693" spans="1:11">
      <c r="A11693" s="33" t="s">
        <v>26582</v>
      </c>
      <c r="B11693" s="33" t="s">
        <v>26583</v>
      </c>
      <c r="C11693" s="33" t="s">
        <v>26584</v>
      </c>
      <c r="D11693" s="33" t="s">
        <v>17</v>
      </c>
      <c r="E11693" s="33" t="s">
        <v>26</v>
      </c>
      <c r="F11693" s="33" t="s">
        <v>27</v>
      </c>
      <c r="G11693" s="33" t="s">
        <v>20</v>
      </c>
      <c r="H11693" s="35">
        <v>14</v>
      </c>
      <c r="I11693" s="33" t="s">
        <v>21</v>
      </c>
      <c r="J11693" s="42">
        <v>44652</v>
      </c>
      <c r="K11693" s="33" t="s">
        <v>22</v>
      </c>
    </row>
    <row r="11694" spans="1:11">
      <c r="A11694" s="30" t="s">
        <v>26585</v>
      </c>
      <c r="B11694" s="30" t="s">
        <v>26586</v>
      </c>
      <c r="C11694" s="30" t="s">
        <v>20200</v>
      </c>
      <c r="D11694" s="30" t="s">
        <v>17</v>
      </c>
      <c r="E11694" s="30" t="s">
        <v>26</v>
      </c>
      <c r="F11694" s="30" t="s">
        <v>27</v>
      </c>
      <c r="G11694" s="30" t="s">
        <v>158</v>
      </c>
      <c r="H11694" s="32">
        <v>10</v>
      </c>
      <c r="I11694" s="30" t="s">
        <v>21</v>
      </c>
      <c r="J11694" s="41">
        <v>44872</v>
      </c>
      <c r="K11694" s="30" t="s">
        <v>22</v>
      </c>
    </row>
    <row r="11695" spans="1:11">
      <c r="A11695" s="33" t="s">
        <v>26587</v>
      </c>
      <c r="B11695" s="33" t="s">
        <v>26588</v>
      </c>
      <c r="C11695" s="33" t="s">
        <v>10674</v>
      </c>
      <c r="D11695" s="33" t="s">
        <v>17</v>
      </c>
      <c r="E11695" s="33" t="s">
        <v>18</v>
      </c>
      <c r="F11695" s="33" t="s">
        <v>19</v>
      </c>
      <c r="G11695" s="33" t="s">
        <v>2613</v>
      </c>
      <c r="H11695" s="35">
        <v>250</v>
      </c>
      <c r="I11695" s="33" t="s">
        <v>51</v>
      </c>
      <c r="J11695" s="42">
        <v>44923</v>
      </c>
      <c r="K11695" s="33" t="s">
        <v>22</v>
      </c>
    </row>
    <row r="11696" spans="1:11">
      <c r="A11696" s="30" t="s">
        <v>26589</v>
      </c>
      <c r="B11696" s="30" t="s">
        <v>26590</v>
      </c>
      <c r="C11696" s="30" t="s">
        <v>1974</v>
      </c>
      <c r="D11696" s="30" t="s">
        <v>17</v>
      </c>
      <c r="E11696" s="30" t="s">
        <v>31</v>
      </c>
      <c r="F11696" s="30" t="s">
        <v>32</v>
      </c>
      <c r="G11696" s="30" t="s">
        <v>106</v>
      </c>
      <c r="H11696" s="32">
        <v>2</v>
      </c>
      <c r="I11696" s="30" t="s">
        <v>21</v>
      </c>
      <c r="J11696" s="41">
        <v>44662</v>
      </c>
      <c r="K11696" s="30" t="s">
        <v>22</v>
      </c>
    </row>
    <row r="11697" spans="1:11">
      <c r="A11697" s="33" t="s">
        <v>26591</v>
      </c>
      <c r="B11697" s="33" t="s">
        <v>26592</v>
      </c>
      <c r="C11697" s="33" t="s">
        <v>252</v>
      </c>
      <c r="D11697" s="33" t="s">
        <v>17</v>
      </c>
      <c r="E11697" s="33" t="s">
        <v>26</v>
      </c>
      <c r="F11697" s="33" t="s">
        <v>27</v>
      </c>
      <c r="G11697" s="33" t="s">
        <v>50</v>
      </c>
      <c r="H11697" s="35">
        <v>30</v>
      </c>
      <c r="I11697" s="33" t="s">
        <v>51</v>
      </c>
      <c r="J11697" s="42">
        <v>44635</v>
      </c>
      <c r="K11697" s="33" t="s">
        <v>22</v>
      </c>
    </row>
    <row r="11698" spans="1:11">
      <c r="A11698" s="30" t="s">
        <v>26593</v>
      </c>
      <c r="B11698" s="30" t="s">
        <v>26594</v>
      </c>
      <c r="C11698" s="30" t="s">
        <v>2123</v>
      </c>
      <c r="D11698" s="30" t="s">
        <v>17</v>
      </c>
      <c r="E11698" s="30" t="s">
        <v>26</v>
      </c>
      <c r="F11698" s="30" t="s">
        <v>27</v>
      </c>
      <c r="G11698" s="30" t="s">
        <v>20</v>
      </c>
      <c r="H11698" s="32">
        <v>6</v>
      </c>
      <c r="I11698" s="30" t="s">
        <v>21</v>
      </c>
      <c r="J11698" s="41">
        <v>44754</v>
      </c>
      <c r="K11698" s="30" t="s">
        <v>22</v>
      </c>
    </row>
    <row r="11699" spans="1:11">
      <c r="A11699" s="33" t="s">
        <v>26595</v>
      </c>
      <c r="B11699" s="33" t="s">
        <v>26596</v>
      </c>
      <c r="C11699" s="33" t="s">
        <v>26597</v>
      </c>
      <c r="D11699" s="33" t="s">
        <v>17</v>
      </c>
      <c r="E11699" s="33" t="s">
        <v>26</v>
      </c>
      <c r="F11699" s="33" t="s">
        <v>27</v>
      </c>
      <c r="G11699" s="33" t="s">
        <v>20</v>
      </c>
      <c r="H11699" s="35">
        <v>39</v>
      </c>
      <c r="I11699" s="33" t="s">
        <v>21</v>
      </c>
      <c r="J11699" s="42">
        <v>44631</v>
      </c>
      <c r="K11699" s="33" t="s">
        <v>22</v>
      </c>
    </row>
    <row r="11700" spans="1:11">
      <c r="A11700" s="30" t="s">
        <v>26598</v>
      </c>
      <c r="B11700" s="30" t="s">
        <v>26599</v>
      </c>
      <c r="C11700" s="30" t="s">
        <v>22083</v>
      </c>
      <c r="D11700" s="30" t="s">
        <v>17</v>
      </c>
      <c r="E11700" s="30" t="s">
        <v>26</v>
      </c>
      <c r="F11700" s="30" t="s">
        <v>27</v>
      </c>
      <c r="G11700" s="30" t="s">
        <v>158</v>
      </c>
      <c r="H11700" s="32">
        <v>69</v>
      </c>
      <c r="I11700" s="30" t="s">
        <v>21</v>
      </c>
      <c r="J11700" s="41">
        <v>44911</v>
      </c>
      <c r="K11700" s="30" t="s">
        <v>22</v>
      </c>
    </row>
    <row r="11701" spans="1:11">
      <c r="A11701" s="33" t="s">
        <v>26600</v>
      </c>
      <c r="B11701" s="33" t="s">
        <v>26601</v>
      </c>
      <c r="C11701" s="33" t="s">
        <v>26602</v>
      </c>
      <c r="D11701" s="33" t="s">
        <v>17</v>
      </c>
      <c r="E11701" s="33" t="s">
        <v>212</v>
      </c>
      <c r="F11701" s="33" t="s">
        <v>213</v>
      </c>
      <c r="G11701" s="33" t="s">
        <v>106</v>
      </c>
      <c r="H11701" s="35">
        <v>312</v>
      </c>
      <c r="I11701" s="33" t="s">
        <v>21</v>
      </c>
      <c r="J11701" s="42">
        <v>44774</v>
      </c>
      <c r="K11701" s="33" t="s">
        <v>22</v>
      </c>
    </row>
    <row r="11702" spans="1:11">
      <c r="A11702" s="30" t="s">
        <v>26603</v>
      </c>
      <c r="B11702" s="30" t="s">
        <v>26604</v>
      </c>
      <c r="C11702" s="30" t="s">
        <v>2778</v>
      </c>
      <c r="D11702" s="30" t="s">
        <v>17</v>
      </c>
      <c r="E11702" s="30" t="s">
        <v>67</v>
      </c>
      <c r="F11702" s="30" t="s">
        <v>68</v>
      </c>
      <c r="G11702" s="30" t="s">
        <v>158</v>
      </c>
      <c r="H11702" s="32">
        <v>153</v>
      </c>
      <c r="I11702" s="30" t="s">
        <v>51</v>
      </c>
      <c r="J11702" s="41">
        <v>44663</v>
      </c>
      <c r="K11702" s="30" t="s">
        <v>22</v>
      </c>
    </row>
    <row r="11703" spans="1:11">
      <c r="A11703" s="33" t="s">
        <v>26605</v>
      </c>
      <c r="B11703" s="33" t="s">
        <v>26606</v>
      </c>
      <c r="C11703" s="33" t="s">
        <v>149</v>
      </c>
      <c r="D11703" s="33" t="s">
        <v>17</v>
      </c>
      <c r="E11703" s="33" t="s">
        <v>26</v>
      </c>
      <c r="F11703" s="33" t="s">
        <v>27</v>
      </c>
      <c r="G11703" s="33" t="s">
        <v>20</v>
      </c>
      <c r="H11703" s="35">
        <v>20</v>
      </c>
      <c r="I11703" s="33" t="s">
        <v>21</v>
      </c>
      <c r="J11703" s="42">
        <v>44869</v>
      </c>
      <c r="K11703" s="33" t="s">
        <v>22</v>
      </c>
    </row>
    <row r="11704" spans="1:11">
      <c r="A11704" s="30" t="s">
        <v>26607</v>
      </c>
      <c r="B11704" s="30" t="s">
        <v>26608</v>
      </c>
      <c r="C11704" s="30" t="s">
        <v>25672</v>
      </c>
      <c r="D11704" s="30" t="s">
        <v>17</v>
      </c>
      <c r="E11704" s="30" t="s">
        <v>18</v>
      </c>
      <c r="F11704" s="30" t="s">
        <v>19</v>
      </c>
      <c r="G11704" s="30" t="s">
        <v>20</v>
      </c>
      <c r="H11704" s="32">
        <v>714</v>
      </c>
      <c r="I11704" s="30" t="s">
        <v>21</v>
      </c>
      <c r="J11704" s="41">
        <v>44819</v>
      </c>
      <c r="K11704" s="30" t="s">
        <v>22</v>
      </c>
    </row>
    <row r="11705" spans="1:11">
      <c r="A11705" s="33" t="s">
        <v>26609</v>
      </c>
      <c r="B11705" s="33" t="s">
        <v>26610</v>
      </c>
      <c r="C11705" s="33" t="s">
        <v>109</v>
      </c>
      <c r="D11705" s="33" t="s">
        <v>17</v>
      </c>
      <c r="E11705" s="33" t="s">
        <v>18</v>
      </c>
      <c r="F11705" s="33" t="s">
        <v>19</v>
      </c>
      <c r="G11705" s="33" t="s">
        <v>158</v>
      </c>
      <c r="H11705" s="35">
        <v>568</v>
      </c>
      <c r="I11705" s="33" t="s">
        <v>21</v>
      </c>
      <c r="J11705" s="42">
        <v>44886</v>
      </c>
      <c r="K11705" s="33" t="s">
        <v>22</v>
      </c>
    </row>
    <row r="11706" spans="1:11">
      <c r="A11706" s="30" t="s">
        <v>26611</v>
      </c>
      <c r="B11706" s="30" t="s">
        <v>26612</v>
      </c>
      <c r="C11706" s="30" t="s">
        <v>4345</v>
      </c>
      <c r="D11706" s="30" t="s">
        <v>17</v>
      </c>
      <c r="E11706" s="30" t="s">
        <v>26</v>
      </c>
      <c r="F11706" s="30" t="s">
        <v>27</v>
      </c>
      <c r="G11706" s="30" t="s">
        <v>140</v>
      </c>
      <c r="H11706" s="32">
        <v>40</v>
      </c>
      <c r="I11706" s="30" t="s">
        <v>51</v>
      </c>
      <c r="J11706" s="41">
        <v>44763</v>
      </c>
      <c r="K11706" s="30" t="s">
        <v>22</v>
      </c>
    </row>
    <row r="11707" spans="1:11">
      <c r="A11707" s="33" t="s">
        <v>26613</v>
      </c>
      <c r="B11707" s="33" t="s">
        <v>26614</v>
      </c>
      <c r="C11707" s="33" t="s">
        <v>647</v>
      </c>
      <c r="D11707" s="33" t="s">
        <v>17</v>
      </c>
      <c r="E11707" s="33" t="s">
        <v>31</v>
      </c>
      <c r="F11707" s="33" t="s">
        <v>32</v>
      </c>
      <c r="G11707" s="33" t="s">
        <v>20</v>
      </c>
      <c r="H11707" s="35">
        <v>160</v>
      </c>
      <c r="I11707" s="33" t="s">
        <v>21</v>
      </c>
      <c r="J11707" s="42">
        <v>44767</v>
      </c>
      <c r="K11707" s="33" t="s">
        <v>22</v>
      </c>
    </row>
    <row r="11708" spans="1:11">
      <c r="A11708" s="30" t="s">
        <v>26615</v>
      </c>
      <c r="B11708" s="30" t="s">
        <v>26616</v>
      </c>
      <c r="C11708" s="30" t="s">
        <v>16</v>
      </c>
      <c r="D11708" s="30" t="s">
        <v>17</v>
      </c>
      <c r="E11708" s="30" t="s">
        <v>18</v>
      </c>
      <c r="F11708" s="30" t="s">
        <v>19</v>
      </c>
      <c r="G11708" s="30" t="s">
        <v>20</v>
      </c>
      <c r="H11708" s="32">
        <v>287</v>
      </c>
      <c r="I11708" s="30" t="s">
        <v>21</v>
      </c>
      <c r="J11708" s="41">
        <v>44845</v>
      </c>
      <c r="K11708" s="30" t="s">
        <v>22</v>
      </c>
    </row>
    <row r="11709" spans="1:11">
      <c r="A11709" s="33" t="s">
        <v>26617</v>
      </c>
      <c r="B11709" s="33" t="s">
        <v>26618</v>
      </c>
      <c r="C11709" s="33" t="s">
        <v>2067</v>
      </c>
      <c r="D11709" s="33" t="s">
        <v>17</v>
      </c>
      <c r="E11709" s="33" t="s">
        <v>18</v>
      </c>
      <c r="F11709" s="33" t="s">
        <v>19</v>
      </c>
      <c r="G11709" s="33" t="s">
        <v>69</v>
      </c>
      <c r="H11709" s="35">
        <v>334</v>
      </c>
      <c r="I11709" s="33" t="s">
        <v>51</v>
      </c>
      <c r="J11709" s="42">
        <v>44743</v>
      </c>
      <c r="K11709" s="33" t="s">
        <v>22</v>
      </c>
    </row>
    <row r="11710" spans="1:11">
      <c r="A11710" s="30" t="s">
        <v>26619</v>
      </c>
      <c r="B11710" s="30" t="s">
        <v>26620</v>
      </c>
      <c r="C11710" s="30" t="s">
        <v>190</v>
      </c>
      <c r="D11710" s="30" t="s">
        <v>17</v>
      </c>
      <c r="E11710" s="30" t="s">
        <v>26</v>
      </c>
      <c r="F11710" s="30" t="s">
        <v>27</v>
      </c>
      <c r="G11710" s="30" t="s">
        <v>20</v>
      </c>
      <c r="H11710" s="32">
        <v>24</v>
      </c>
      <c r="I11710" s="30" t="s">
        <v>21</v>
      </c>
      <c r="J11710" s="41">
        <v>44797</v>
      </c>
      <c r="K11710" s="30" t="s">
        <v>22</v>
      </c>
    </row>
    <row r="11711" spans="1:11">
      <c r="A11711" s="33" t="s">
        <v>26621</v>
      </c>
      <c r="B11711" s="33" t="s">
        <v>26622</v>
      </c>
      <c r="C11711" s="33" t="s">
        <v>190</v>
      </c>
      <c r="D11711" s="33" t="s">
        <v>17</v>
      </c>
      <c r="E11711" s="33" t="s">
        <v>212</v>
      </c>
      <c r="F11711" s="33" t="s">
        <v>213</v>
      </c>
      <c r="G11711" s="33" t="s">
        <v>20</v>
      </c>
      <c r="H11711" s="35">
        <v>182</v>
      </c>
      <c r="I11711" s="33" t="s">
        <v>21</v>
      </c>
      <c r="J11711" s="42">
        <v>44617</v>
      </c>
      <c r="K11711" s="33" t="s">
        <v>22</v>
      </c>
    </row>
    <row r="11712" spans="1:11">
      <c r="A11712" s="30" t="s">
        <v>26623</v>
      </c>
      <c r="B11712" s="30" t="s">
        <v>26624</v>
      </c>
      <c r="C11712" s="30" t="s">
        <v>11899</v>
      </c>
      <c r="D11712" s="30" t="s">
        <v>17</v>
      </c>
      <c r="E11712" s="30" t="s">
        <v>67</v>
      </c>
      <c r="F11712" s="30" t="s">
        <v>68</v>
      </c>
      <c r="G11712" s="30" t="s">
        <v>50</v>
      </c>
      <c r="H11712" s="32">
        <v>129</v>
      </c>
      <c r="I11712" s="30" t="s">
        <v>51</v>
      </c>
      <c r="J11712" s="41">
        <v>44775</v>
      </c>
      <c r="K11712" s="30" t="s">
        <v>22</v>
      </c>
    </row>
    <row r="11713" spans="1:11">
      <c r="A11713" s="33" t="s">
        <v>26625</v>
      </c>
      <c r="B11713" s="33" t="s">
        <v>26626</v>
      </c>
      <c r="C11713" s="33" t="s">
        <v>26627</v>
      </c>
      <c r="D11713" s="33" t="s">
        <v>17</v>
      </c>
      <c r="E11713" s="33" t="s">
        <v>26</v>
      </c>
      <c r="F11713" s="33" t="s">
        <v>27</v>
      </c>
      <c r="G11713" s="33" t="s">
        <v>20</v>
      </c>
      <c r="H11713" s="35">
        <v>9</v>
      </c>
      <c r="I11713" s="33" t="s">
        <v>21</v>
      </c>
      <c r="J11713" s="42">
        <v>44804</v>
      </c>
      <c r="K11713" s="33" t="s">
        <v>22</v>
      </c>
    </row>
    <row r="11714" spans="1:11">
      <c r="A11714" s="30" t="s">
        <v>26628</v>
      </c>
      <c r="B11714" s="30" t="s">
        <v>26629</v>
      </c>
      <c r="C11714" s="30" t="s">
        <v>252</v>
      </c>
      <c r="D11714" s="30" t="s">
        <v>17</v>
      </c>
      <c r="E11714" s="30" t="s">
        <v>26</v>
      </c>
      <c r="F11714" s="30" t="s">
        <v>27</v>
      </c>
      <c r="G11714" s="30" t="s">
        <v>20</v>
      </c>
      <c r="H11714" s="32">
        <v>42</v>
      </c>
      <c r="I11714" s="30" t="s">
        <v>21</v>
      </c>
      <c r="J11714" s="41">
        <v>44638</v>
      </c>
      <c r="K11714" s="30" t="s">
        <v>22</v>
      </c>
    </row>
    <row r="11715" spans="1:11">
      <c r="A11715" s="33" t="s">
        <v>26630</v>
      </c>
      <c r="B11715" s="33" t="s">
        <v>26631</v>
      </c>
      <c r="C11715" s="33" t="s">
        <v>178</v>
      </c>
      <c r="D11715" s="33" t="s">
        <v>17</v>
      </c>
      <c r="E11715" s="33" t="s">
        <v>26</v>
      </c>
      <c r="F11715" s="33" t="s">
        <v>27</v>
      </c>
      <c r="G11715" s="33" t="s">
        <v>106</v>
      </c>
      <c r="H11715" s="35">
        <v>23</v>
      </c>
      <c r="I11715" s="33" t="s">
        <v>21</v>
      </c>
      <c r="J11715" s="42">
        <v>44586</v>
      </c>
      <c r="K11715" s="33" t="s">
        <v>22</v>
      </c>
    </row>
    <row r="11716" spans="1:11">
      <c r="A11716" s="30" t="s">
        <v>26632</v>
      </c>
      <c r="B11716" s="30" t="s">
        <v>26633</v>
      </c>
      <c r="C11716" s="30" t="s">
        <v>1598</v>
      </c>
      <c r="D11716" s="30" t="s">
        <v>17</v>
      </c>
      <c r="E11716" s="30" t="s">
        <v>31</v>
      </c>
      <c r="F11716" s="30" t="s">
        <v>32</v>
      </c>
      <c r="G11716" s="30" t="s">
        <v>20</v>
      </c>
      <c r="H11716" s="32">
        <v>150</v>
      </c>
      <c r="I11716" s="30" t="s">
        <v>21</v>
      </c>
      <c r="J11716" s="41">
        <v>44743</v>
      </c>
      <c r="K11716" s="30" t="s">
        <v>22</v>
      </c>
    </row>
    <row r="11717" spans="1:11">
      <c r="A11717" s="33" t="s">
        <v>26634</v>
      </c>
      <c r="B11717" s="33" t="s">
        <v>26635</v>
      </c>
      <c r="C11717" s="33" t="s">
        <v>25549</v>
      </c>
      <c r="D11717" s="33" t="s">
        <v>17</v>
      </c>
      <c r="E11717" s="33" t="s">
        <v>18</v>
      </c>
      <c r="F11717" s="33" t="s">
        <v>19</v>
      </c>
      <c r="G11717" s="33" t="s">
        <v>50</v>
      </c>
      <c r="H11717" s="35">
        <v>84</v>
      </c>
      <c r="I11717" s="33" t="s">
        <v>51</v>
      </c>
      <c r="J11717" s="42">
        <v>44593</v>
      </c>
      <c r="K11717" s="33" t="s">
        <v>22</v>
      </c>
    </row>
    <row r="11718" spans="1:11">
      <c r="A11718" s="30" t="s">
        <v>26636</v>
      </c>
      <c r="B11718" s="30" t="s">
        <v>26637</v>
      </c>
      <c r="C11718" s="30" t="s">
        <v>26638</v>
      </c>
      <c r="D11718" s="30" t="s">
        <v>17</v>
      </c>
      <c r="E11718" s="30" t="s">
        <v>26</v>
      </c>
      <c r="F11718" s="30" t="s">
        <v>27</v>
      </c>
      <c r="G11718" s="30" t="s">
        <v>20</v>
      </c>
      <c r="H11718" s="32">
        <v>22</v>
      </c>
      <c r="I11718" s="30" t="s">
        <v>21</v>
      </c>
      <c r="J11718" s="41">
        <v>44768</v>
      </c>
      <c r="K11718" s="30" t="s">
        <v>22</v>
      </c>
    </row>
    <row r="11719" spans="1:11">
      <c r="A11719" s="33" t="s">
        <v>26639</v>
      </c>
      <c r="B11719" s="33" t="s">
        <v>26640</v>
      </c>
      <c r="C11719" s="33" t="s">
        <v>26641</v>
      </c>
      <c r="D11719" s="33" t="s">
        <v>17</v>
      </c>
      <c r="E11719" s="33" t="s">
        <v>26</v>
      </c>
      <c r="F11719" s="33" t="s">
        <v>27</v>
      </c>
      <c r="G11719" s="33" t="s">
        <v>20</v>
      </c>
      <c r="H11719" s="35">
        <v>32</v>
      </c>
      <c r="I11719" s="33" t="s">
        <v>21</v>
      </c>
      <c r="J11719" s="42">
        <v>44812</v>
      </c>
      <c r="K11719" s="33" t="s">
        <v>22</v>
      </c>
    </row>
    <row r="11720" spans="1:11">
      <c r="A11720" s="30" t="s">
        <v>26642</v>
      </c>
      <c r="B11720" s="30" t="s">
        <v>26643</v>
      </c>
      <c r="C11720" s="30" t="s">
        <v>1003</v>
      </c>
      <c r="D11720" s="30" t="s">
        <v>17</v>
      </c>
      <c r="E11720" s="30" t="s">
        <v>26</v>
      </c>
      <c r="F11720" s="30" t="s">
        <v>27</v>
      </c>
      <c r="G11720" s="30" t="s">
        <v>20</v>
      </c>
      <c r="H11720" s="32">
        <v>6</v>
      </c>
      <c r="I11720" s="30" t="s">
        <v>21</v>
      </c>
      <c r="J11720" s="41">
        <v>44565</v>
      </c>
      <c r="K11720" s="30" t="s">
        <v>22</v>
      </c>
    </row>
    <row r="11721" spans="1:11">
      <c r="A11721" s="33" t="s">
        <v>26644</v>
      </c>
      <c r="B11721" s="33" t="s">
        <v>26645</v>
      </c>
      <c r="C11721" s="33" t="s">
        <v>26646</v>
      </c>
      <c r="D11721" s="33" t="s">
        <v>17</v>
      </c>
      <c r="E11721" s="33" t="s">
        <v>26</v>
      </c>
      <c r="F11721" s="33" t="s">
        <v>27</v>
      </c>
      <c r="G11721" s="33" t="s">
        <v>20</v>
      </c>
      <c r="H11721" s="35">
        <v>22</v>
      </c>
      <c r="I11721" s="33" t="s">
        <v>21</v>
      </c>
      <c r="J11721" s="42">
        <v>44924</v>
      </c>
      <c r="K11721" s="33" t="s">
        <v>22</v>
      </c>
    </row>
    <row r="11722" spans="1:11">
      <c r="A11722" s="30" t="s">
        <v>26647</v>
      </c>
      <c r="B11722" s="30" t="s">
        <v>26648</v>
      </c>
      <c r="C11722" s="30" t="s">
        <v>1085</v>
      </c>
      <c r="D11722" s="30" t="s">
        <v>17</v>
      </c>
      <c r="E11722" s="30" t="s">
        <v>67</v>
      </c>
      <c r="F11722" s="30" t="s">
        <v>68</v>
      </c>
      <c r="G11722" s="30" t="s">
        <v>140</v>
      </c>
      <c r="H11722" s="32">
        <v>70</v>
      </c>
      <c r="I11722" s="30" t="s">
        <v>51</v>
      </c>
      <c r="J11722" s="41">
        <v>44903</v>
      </c>
      <c r="K11722" s="30" t="s">
        <v>22</v>
      </c>
    </row>
    <row r="11723" spans="1:11">
      <c r="A11723" s="33" t="s">
        <v>26649</v>
      </c>
      <c r="B11723" s="33" t="s">
        <v>26650</v>
      </c>
      <c r="C11723" s="33" t="s">
        <v>13241</v>
      </c>
      <c r="D11723" s="33" t="s">
        <v>17</v>
      </c>
      <c r="E11723" s="33" t="s">
        <v>26</v>
      </c>
      <c r="F11723" s="33" t="s">
        <v>27</v>
      </c>
      <c r="G11723" s="33" t="s">
        <v>20</v>
      </c>
      <c r="H11723" s="35">
        <v>54</v>
      </c>
      <c r="I11723" s="33" t="s">
        <v>21</v>
      </c>
      <c r="J11723" s="42">
        <v>44630</v>
      </c>
      <c r="K11723" s="33" t="s">
        <v>22</v>
      </c>
    </row>
    <row r="11724" spans="1:11">
      <c r="A11724" s="30" t="s">
        <v>26651</v>
      </c>
      <c r="B11724" s="30" t="s">
        <v>26652</v>
      </c>
      <c r="C11724" s="30" t="s">
        <v>1165</v>
      </c>
      <c r="D11724" s="30" t="s">
        <v>17</v>
      </c>
      <c r="E11724" s="30" t="s">
        <v>45</v>
      </c>
      <c r="F11724" s="30" t="s">
        <v>46</v>
      </c>
      <c r="G11724" s="30" t="s">
        <v>2613</v>
      </c>
      <c r="H11724" s="32">
        <v>12</v>
      </c>
      <c r="I11724" s="30" t="s">
        <v>51</v>
      </c>
      <c r="J11724" s="41">
        <v>44791</v>
      </c>
      <c r="K11724" s="30" t="s">
        <v>22</v>
      </c>
    </row>
    <row r="11725" spans="1:11">
      <c r="A11725" s="33" t="s">
        <v>26653</v>
      </c>
      <c r="B11725" s="33" t="s">
        <v>26654</v>
      </c>
      <c r="C11725" s="33" t="s">
        <v>2171</v>
      </c>
      <c r="D11725" s="33" t="s">
        <v>17</v>
      </c>
      <c r="E11725" s="33" t="s">
        <v>26</v>
      </c>
      <c r="F11725" s="33" t="s">
        <v>27</v>
      </c>
      <c r="G11725" s="33" t="s">
        <v>106</v>
      </c>
      <c r="H11725" s="35">
        <v>31</v>
      </c>
      <c r="I11725" s="33" t="s">
        <v>21</v>
      </c>
      <c r="J11725" s="42">
        <v>44670</v>
      </c>
      <c r="K11725" s="33" t="s">
        <v>22</v>
      </c>
    </row>
    <row r="11726" spans="1:11">
      <c r="A11726" s="30" t="s">
        <v>26655</v>
      </c>
      <c r="B11726" s="30" t="s">
        <v>26656</v>
      </c>
      <c r="C11726" s="30" t="s">
        <v>684</v>
      </c>
      <c r="D11726" s="30" t="s">
        <v>17</v>
      </c>
      <c r="E11726" s="30" t="s">
        <v>18</v>
      </c>
      <c r="F11726" s="30" t="s">
        <v>19</v>
      </c>
      <c r="G11726" s="30" t="s">
        <v>158</v>
      </c>
      <c r="H11726" s="32">
        <v>939</v>
      </c>
      <c r="I11726" s="30" t="s">
        <v>21</v>
      </c>
      <c r="J11726" s="41">
        <v>44735</v>
      </c>
      <c r="K11726" s="30" t="s">
        <v>22</v>
      </c>
    </row>
    <row r="11727" spans="1:11">
      <c r="A11727" s="33" t="s">
        <v>26657</v>
      </c>
      <c r="B11727" s="33" t="s">
        <v>26658</v>
      </c>
      <c r="C11727" s="33" t="s">
        <v>136</v>
      </c>
      <c r="D11727" s="33" t="s">
        <v>17</v>
      </c>
      <c r="E11727" s="33" t="s">
        <v>26</v>
      </c>
      <c r="F11727" s="33" t="s">
        <v>27</v>
      </c>
      <c r="G11727" s="33" t="s">
        <v>20</v>
      </c>
      <c r="H11727" s="35">
        <v>10</v>
      </c>
      <c r="I11727" s="33" t="s">
        <v>21</v>
      </c>
      <c r="J11727" s="42">
        <v>44637</v>
      </c>
      <c r="K11727" s="33" t="s">
        <v>22</v>
      </c>
    </row>
    <row r="11728" spans="1:11">
      <c r="A11728" s="30" t="s">
        <v>26659</v>
      </c>
      <c r="B11728" s="30" t="s">
        <v>26660</v>
      </c>
      <c r="C11728" s="30" t="s">
        <v>1391</v>
      </c>
      <c r="D11728" s="30" t="s">
        <v>17</v>
      </c>
      <c r="E11728" s="30" t="s">
        <v>18</v>
      </c>
      <c r="F11728" s="30" t="s">
        <v>19</v>
      </c>
      <c r="G11728" s="30" t="s">
        <v>20</v>
      </c>
      <c r="H11728" s="32">
        <v>911</v>
      </c>
      <c r="I11728" s="30" t="s">
        <v>21</v>
      </c>
      <c r="J11728" s="41">
        <v>44753</v>
      </c>
      <c r="K11728" s="30" t="s">
        <v>22</v>
      </c>
    </row>
    <row r="11729" spans="1:11">
      <c r="A11729" s="33" t="s">
        <v>26661</v>
      </c>
      <c r="B11729" s="33" t="s">
        <v>26662</v>
      </c>
      <c r="C11729" s="33" t="s">
        <v>26663</v>
      </c>
      <c r="D11729" s="33" t="s">
        <v>17</v>
      </c>
      <c r="E11729" s="33" t="s">
        <v>330</v>
      </c>
      <c r="F11729" s="33" t="s">
        <v>331</v>
      </c>
      <c r="G11729" s="33" t="s">
        <v>106</v>
      </c>
      <c r="H11729" s="35">
        <v>56</v>
      </c>
      <c r="I11729" s="33" t="s">
        <v>21</v>
      </c>
      <c r="J11729" s="42">
        <v>44907</v>
      </c>
      <c r="K11729" s="33" t="s">
        <v>22</v>
      </c>
    </row>
    <row r="11730" spans="1:11">
      <c r="A11730" s="30" t="s">
        <v>26664</v>
      </c>
      <c r="B11730" s="30" t="s">
        <v>26665</v>
      </c>
      <c r="C11730" s="30" t="s">
        <v>3299</v>
      </c>
      <c r="D11730" s="30" t="s">
        <v>17</v>
      </c>
      <c r="E11730" s="30" t="s">
        <v>18</v>
      </c>
      <c r="F11730" s="30" t="s">
        <v>19</v>
      </c>
      <c r="G11730" s="30" t="s">
        <v>140</v>
      </c>
      <c r="H11730" s="32">
        <v>13500</v>
      </c>
      <c r="I11730" s="30" t="s">
        <v>51</v>
      </c>
      <c r="J11730" s="41">
        <v>44716</v>
      </c>
      <c r="K11730" s="30" t="s">
        <v>22</v>
      </c>
    </row>
    <row r="11731" spans="1:11">
      <c r="A11731" s="33" t="s">
        <v>26666</v>
      </c>
      <c r="B11731" s="33" t="s">
        <v>26667</v>
      </c>
      <c r="C11731" s="33" t="s">
        <v>2562</v>
      </c>
      <c r="D11731" s="33" t="s">
        <v>17</v>
      </c>
      <c r="E11731" s="33" t="s">
        <v>26</v>
      </c>
      <c r="F11731" s="33" t="s">
        <v>27</v>
      </c>
      <c r="G11731" s="33" t="s">
        <v>20</v>
      </c>
      <c r="H11731" s="35">
        <v>48</v>
      </c>
      <c r="I11731" s="33" t="s">
        <v>21</v>
      </c>
      <c r="J11731" s="42">
        <v>44705</v>
      </c>
      <c r="K11731" s="33" t="s">
        <v>22</v>
      </c>
    </row>
    <row r="11732" spans="1:11">
      <c r="A11732" s="30" t="s">
        <v>26668</v>
      </c>
      <c r="B11732" s="30" t="s">
        <v>26669</v>
      </c>
      <c r="C11732" s="30" t="s">
        <v>109</v>
      </c>
      <c r="D11732" s="30" t="s">
        <v>17</v>
      </c>
      <c r="E11732" s="30" t="s">
        <v>26</v>
      </c>
      <c r="F11732" s="30" t="s">
        <v>27</v>
      </c>
      <c r="G11732" s="30" t="s">
        <v>20</v>
      </c>
      <c r="H11732" s="32">
        <v>27</v>
      </c>
      <c r="I11732" s="30" t="s">
        <v>21</v>
      </c>
      <c r="J11732" s="41">
        <v>44698</v>
      </c>
      <c r="K11732" s="30" t="s">
        <v>22</v>
      </c>
    </row>
    <row r="11733" spans="1:11">
      <c r="A11733" s="33" t="s">
        <v>26670</v>
      </c>
      <c r="B11733" s="33" t="s">
        <v>26671</v>
      </c>
      <c r="C11733" s="33" t="s">
        <v>334</v>
      </c>
      <c r="D11733" s="33" t="s">
        <v>17</v>
      </c>
      <c r="E11733" s="33" t="s">
        <v>212</v>
      </c>
      <c r="F11733" s="33" t="s">
        <v>213</v>
      </c>
      <c r="G11733" s="33" t="s">
        <v>20</v>
      </c>
      <c r="H11733" s="35">
        <v>404</v>
      </c>
      <c r="I11733" s="33" t="s">
        <v>21</v>
      </c>
      <c r="J11733" s="42">
        <v>44568</v>
      </c>
      <c r="K11733" s="33" t="s">
        <v>22</v>
      </c>
    </row>
    <row r="11734" spans="1:11">
      <c r="A11734" s="30" t="s">
        <v>26672</v>
      </c>
      <c r="B11734" s="30" t="s">
        <v>26673</v>
      </c>
      <c r="C11734" s="30" t="s">
        <v>231</v>
      </c>
      <c r="D11734" s="30" t="s">
        <v>17</v>
      </c>
      <c r="E11734" s="30" t="s">
        <v>18</v>
      </c>
      <c r="F11734" s="30" t="s">
        <v>19</v>
      </c>
      <c r="G11734" s="30" t="s">
        <v>106</v>
      </c>
      <c r="H11734" s="32">
        <v>1356</v>
      </c>
      <c r="I11734" s="30" t="s">
        <v>21</v>
      </c>
      <c r="J11734" s="41">
        <v>44641</v>
      </c>
      <c r="K11734" s="30" t="s">
        <v>22</v>
      </c>
    </row>
    <row r="11735" spans="1:11">
      <c r="A11735" s="33" t="s">
        <v>26674</v>
      </c>
      <c r="B11735" s="33" t="s">
        <v>26675</v>
      </c>
      <c r="C11735" s="33" t="s">
        <v>136</v>
      </c>
      <c r="D11735" s="33" t="s">
        <v>17</v>
      </c>
      <c r="E11735" s="33" t="s">
        <v>26</v>
      </c>
      <c r="F11735" s="33" t="s">
        <v>27</v>
      </c>
      <c r="G11735" s="33" t="s">
        <v>20</v>
      </c>
      <c r="H11735" s="35">
        <v>94</v>
      </c>
      <c r="I11735" s="33" t="s">
        <v>21</v>
      </c>
      <c r="J11735" s="42">
        <v>44714</v>
      </c>
      <c r="K11735" s="33" t="s">
        <v>22</v>
      </c>
    </row>
    <row r="11736" spans="1:11">
      <c r="A11736" s="30" t="s">
        <v>26676</v>
      </c>
      <c r="B11736" s="30" t="s">
        <v>26677</v>
      </c>
      <c r="C11736" s="30" t="s">
        <v>23708</v>
      </c>
      <c r="D11736" s="30" t="s">
        <v>17</v>
      </c>
      <c r="E11736" s="30" t="s">
        <v>31</v>
      </c>
      <c r="F11736" s="30" t="s">
        <v>32</v>
      </c>
      <c r="G11736" s="30" t="s">
        <v>112</v>
      </c>
      <c r="H11736" s="32">
        <v>0</v>
      </c>
      <c r="I11736" s="30" t="s">
        <v>21</v>
      </c>
      <c r="J11736" s="41">
        <v>44896</v>
      </c>
      <c r="K11736" s="30" t="s">
        <v>22</v>
      </c>
    </row>
    <row r="11737" spans="1:11">
      <c r="A11737" s="33" t="s">
        <v>26678</v>
      </c>
      <c r="B11737" s="33" t="s">
        <v>26679</v>
      </c>
      <c r="C11737" s="33" t="s">
        <v>19745</v>
      </c>
      <c r="D11737" s="33" t="s">
        <v>17</v>
      </c>
      <c r="E11737" s="33" t="s">
        <v>18</v>
      </c>
      <c r="F11737" s="33" t="s">
        <v>19</v>
      </c>
      <c r="G11737" s="33" t="s">
        <v>106</v>
      </c>
      <c r="H11737" s="35">
        <v>91</v>
      </c>
      <c r="I11737" s="33" t="s">
        <v>21</v>
      </c>
      <c r="J11737" s="42">
        <v>44732</v>
      </c>
      <c r="K11737" s="33" t="s">
        <v>22</v>
      </c>
    </row>
    <row r="11738" spans="1:11">
      <c r="A11738" s="30" t="s">
        <v>26680</v>
      </c>
      <c r="B11738" s="30" t="s">
        <v>26681</v>
      </c>
      <c r="C11738" s="30" t="s">
        <v>26682</v>
      </c>
      <c r="D11738" s="30" t="s">
        <v>17</v>
      </c>
      <c r="E11738" s="30" t="s">
        <v>31</v>
      </c>
      <c r="F11738" s="30" t="s">
        <v>32</v>
      </c>
      <c r="G11738" s="30" t="s">
        <v>20</v>
      </c>
      <c r="H11738" s="32">
        <v>207</v>
      </c>
      <c r="I11738" s="30" t="s">
        <v>21</v>
      </c>
      <c r="J11738" s="41">
        <v>44586</v>
      </c>
      <c r="K11738" s="30" t="s">
        <v>22</v>
      </c>
    </row>
    <row r="11739" spans="1:11">
      <c r="A11739" s="33" t="s">
        <v>26683</v>
      </c>
      <c r="B11739" s="33" t="s">
        <v>26684</v>
      </c>
      <c r="C11739" s="33" t="s">
        <v>1517</v>
      </c>
      <c r="D11739" s="33" t="s">
        <v>17</v>
      </c>
      <c r="E11739" s="33" t="s">
        <v>18</v>
      </c>
      <c r="F11739" s="33" t="s">
        <v>19</v>
      </c>
      <c r="G11739" s="33" t="s">
        <v>20</v>
      </c>
      <c r="H11739" s="35">
        <v>1050</v>
      </c>
      <c r="I11739" s="33" t="s">
        <v>21</v>
      </c>
      <c r="J11739" s="42">
        <v>44880</v>
      </c>
      <c r="K11739" s="33" t="s">
        <v>22</v>
      </c>
    </row>
    <row r="11740" spans="1:11">
      <c r="A11740" s="30" t="s">
        <v>26685</v>
      </c>
      <c r="B11740" s="30" t="s">
        <v>26686</v>
      </c>
      <c r="C11740" s="30" t="s">
        <v>11824</v>
      </c>
      <c r="D11740" s="30" t="s">
        <v>17</v>
      </c>
      <c r="E11740" s="30" t="s">
        <v>67</v>
      </c>
      <c r="F11740" s="30" t="s">
        <v>68</v>
      </c>
      <c r="G11740" s="30" t="s">
        <v>50</v>
      </c>
      <c r="H11740" s="32">
        <v>330</v>
      </c>
      <c r="I11740" s="30" t="s">
        <v>51</v>
      </c>
      <c r="J11740" s="41">
        <v>44665</v>
      </c>
      <c r="K11740" s="30" t="s">
        <v>22</v>
      </c>
    </row>
    <row r="11741" spans="1:11">
      <c r="A11741" s="33" t="s">
        <v>26687</v>
      </c>
      <c r="B11741" s="33" t="s">
        <v>26688</v>
      </c>
      <c r="C11741" s="33" t="s">
        <v>109</v>
      </c>
      <c r="D11741" s="33" t="s">
        <v>17</v>
      </c>
      <c r="E11741" s="33" t="s">
        <v>212</v>
      </c>
      <c r="F11741" s="33" t="s">
        <v>213</v>
      </c>
      <c r="G11741" s="33" t="s">
        <v>20</v>
      </c>
      <c r="H11741" s="35">
        <v>50</v>
      </c>
      <c r="I11741" s="33" t="s">
        <v>21</v>
      </c>
      <c r="J11741" s="42">
        <v>44807</v>
      </c>
      <c r="K11741" s="33" t="s">
        <v>22</v>
      </c>
    </row>
    <row r="11742" spans="1:11">
      <c r="A11742" s="30" t="s">
        <v>26689</v>
      </c>
      <c r="B11742" s="30" t="s">
        <v>26690</v>
      </c>
      <c r="C11742" s="30" t="s">
        <v>2927</v>
      </c>
      <c r="D11742" s="30" t="s">
        <v>17</v>
      </c>
      <c r="E11742" s="30" t="s">
        <v>18</v>
      </c>
      <c r="F11742" s="30" t="s">
        <v>19</v>
      </c>
      <c r="G11742" s="30" t="s">
        <v>158</v>
      </c>
      <c r="H11742" s="32">
        <v>29</v>
      </c>
      <c r="I11742" s="30" t="s">
        <v>21</v>
      </c>
      <c r="J11742" s="41">
        <v>44859</v>
      </c>
      <c r="K11742" s="30" t="s">
        <v>22</v>
      </c>
    </row>
    <row r="11743" spans="1:11">
      <c r="A11743" s="33" t="s">
        <v>26691</v>
      </c>
      <c r="B11743" s="33" t="s">
        <v>26692</v>
      </c>
      <c r="C11743" s="33" t="s">
        <v>11793</v>
      </c>
      <c r="D11743" s="33" t="s">
        <v>17</v>
      </c>
      <c r="E11743" s="33" t="s">
        <v>31</v>
      </c>
      <c r="F11743" s="33" t="s">
        <v>32</v>
      </c>
      <c r="G11743" s="33" t="s">
        <v>140</v>
      </c>
      <c r="H11743" s="35">
        <v>100</v>
      </c>
      <c r="I11743" s="33" t="s">
        <v>51</v>
      </c>
      <c r="J11743" s="42">
        <v>44754</v>
      </c>
      <c r="K11743" s="33" t="s">
        <v>22</v>
      </c>
    </row>
    <row r="11744" spans="1:11">
      <c r="A11744" s="30" t="s">
        <v>26693</v>
      </c>
      <c r="B11744" s="30" t="s">
        <v>26694</v>
      </c>
      <c r="C11744" s="30" t="s">
        <v>5845</v>
      </c>
      <c r="D11744" s="30" t="s">
        <v>17</v>
      </c>
      <c r="E11744" s="30" t="s">
        <v>26</v>
      </c>
      <c r="F11744" s="30" t="s">
        <v>27</v>
      </c>
      <c r="G11744" s="30" t="s">
        <v>20</v>
      </c>
      <c r="H11744" s="32">
        <v>16</v>
      </c>
      <c r="I11744" s="30" t="s">
        <v>21</v>
      </c>
      <c r="J11744" s="41">
        <v>44853</v>
      </c>
      <c r="K11744" s="30" t="s">
        <v>22</v>
      </c>
    </row>
    <row r="11745" spans="1:11">
      <c r="A11745" s="33" t="s">
        <v>26695</v>
      </c>
      <c r="B11745" s="33" t="s">
        <v>26696</v>
      </c>
      <c r="C11745" s="33" t="s">
        <v>9825</v>
      </c>
      <c r="D11745" s="33" t="s">
        <v>17</v>
      </c>
      <c r="E11745" s="33" t="s">
        <v>26</v>
      </c>
      <c r="F11745" s="33" t="s">
        <v>27</v>
      </c>
      <c r="G11745" s="33" t="s">
        <v>20</v>
      </c>
      <c r="H11745" s="35">
        <v>12</v>
      </c>
      <c r="I11745" s="33" t="s">
        <v>21</v>
      </c>
      <c r="J11745" s="42">
        <v>44580</v>
      </c>
      <c r="K11745" s="33" t="s">
        <v>22</v>
      </c>
    </row>
    <row r="11746" spans="1:11">
      <c r="A11746" s="30" t="s">
        <v>26697</v>
      </c>
      <c r="B11746" s="30" t="s">
        <v>26698</v>
      </c>
      <c r="C11746" s="30" t="s">
        <v>2609</v>
      </c>
      <c r="D11746" s="30" t="s">
        <v>17</v>
      </c>
      <c r="E11746" s="30" t="s">
        <v>18</v>
      </c>
      <c r="F11746" s="30" t="s">
        <v>19</v>
      </c>
      <c r="G11746" s="30" t="s">
        <v>106</v>
      </c>
      <c r="H11746" s="32">
        <v>414</v>
      </c>
      <c r="I11746" s="30" t="s">
        <v>21</v>
      </c>
      <c r="J11746" s="41">
        <v>44678</v>
      </c>
      <c r="K11746" s="30" t="s">
        <v>22</v>
      </c>
    </row>
    <row r="11747" spans="1:11">
      <c r="A11747" s="33" t="s">
        <v>26699</v>
      </c>
      <c r="B11747" s="33" t="s">
        <v>26700</v>
      </c>
      <c r="C11747" s="33" t="s">
        <v>26071</v>
      </c>
      <c r="D11747" s="33" t="s">
        <v>17</v>
      </c>
      <c r="E11747" s="33" t="s">
        <v>26</v>
      </c>
      <c r="F11747" s="33" t="s">
        <v>27</v>
      </c>
      <c r="G11747" s="33" t="s">
        <v>20</v>
      </c>
      <c r="H11747" s="35">
        <v>26</v>
      </c>
      <c r="I11747" s="33" t="s">
        <v>21</v>
      </c>
      <c r="J11747" s="42">
        <v>44882</v>
      </c>
      <c r="K11747" s="33" t="s">
        <v>22</v>
      </c>
    </row>
    <row r="11748" spans="1:11">
      <c r="A11748" s="30" t="s">
        <v>26701</v>
      </c>
      <c r="B11748" s="30" t="s">
        <v>26702</v>
      </c>
      <c r="C11748" s="30" t="s">
        <v>795</v>
      </c>
      <c r="D11748" s="30" t="s">
        <v>17</v>
      </c>
      <c r="E11748" s="30" t="s">
        <v>31</v>
      </c>
      <c r="F11748" s="30" t="s">
        <v>32</v>
      </c>
      <c r="G11748" s="30" t="s">
        <v>158</v>
      </c>
      <c r="H11748" s="32">
        <v>184</v>
      </c>
      <c r="I11748" s="30" t="s">
        <v>51</v>
      </c>
      <c r="J11748" s="41">
        <v>44790</v>
      </c>
      <c r="K11748" s="30" t="s">
        <v>22</v>
      </c>
    </row>
    <row r="11749" spans="1:11">
      <c r="A11749" s="33" t="s">
        <v>26703</v>
      </c>
      <c r="B11749" s="33" t="s">
        <v>26704</v>
      </c>
      <c r="C11749" s="33" t="s">
        <v>7588</v>
      </c>
      <c r="D11749" s="33" t="s">
        <v>17</v>
      </c>
      <c r="E11749" s="33" t="s">
        <v>18</v>
      </c>
      <c r="F11749" s="33" t="s">
        <v>19</v>
      </c>
      <c r="G11749" s="33" t="s">
        <v>20</v>
      </c>
      <c r="H11749" s="35">
        <v>4205</v>
      </c>
      <c r="I11749" s="33" t="s">
        <v>21</v>
      </c>
      <c r="J11749" s="42">
        <v>44803</v>
      </c>
      <c r="K11749" s="33" t="s">
        <v>22</v>
      </c>
    </row>
    <row r="11750" spans="1:11">
      <c r="A11750" s="30" t="s">
        <v>26705</v>
      </c>
      <c r="B11750" s="30" t="s">
        <v>26706</v>
      </c>
      <c r="C11750" s="30" t="s">
        <v>546</v>
      </c>
      <c r="D11750" s="30" t="s">
        <v>17</v>
      </c>
      <c r="E11750" s="30" t="s">
        <v>26</v>
      </c>
      <c r="F11750" s="30" t="s">
        <v>27</v>
      </c>
      <c r="G11750" s="30" t="s">
        <v>50</v>
      </c>
      <c r="H11750" s="32">
        <v>86</v>
      </c>
      <c r="I11750" s="30" t="s">
        <v>51</v>
      </c>
      <c r="J11750" s="41">
        <v>44902</v>
      </c>
      <c r="K11750" s="30" t="s">
        <v>22</v>
      </c>
    </row>
    <row r="11751" spans="1:11">
      <c r="A11751" s="33" t="s">
        <v>26707</v>
      </c>
      <c r="B11751" s="33" t="s">
        <v>26708</v>
      </c>
      <c r="C11751" s="33" t="s">
        <v>860</v>
      </c>
      <c r="D11751" s="33" t="s">
        <v>17</v>
      </c>
      <c r="E11751" s="33" t="s">
        <v>18</v>
      </c>
      <c r="F11751" s="33" t="s">
        <v>19</v>
      </c>
      <c r="G11751" s="33" t="s">
        <v>158</v>
      </c>
      <c r="H11751" s="35">
        <v>62</v>
      </c>
      <c r="I11751" s="33" t="s">
        <v>51</v>
      </c>
      <c r="J11751" s="42">
        <v>44896</v>
      </c>
      <c r="K11751" s="33" t="s">
        <v>22</v>
      </c>
    </row>
    <row r="11752" spans="1:11">
      <c r="A11752" s="30" t="s">
        <v>26709</v>
      </c>
      <c r="B11752" s="30" t="s">
        <v>26710</v>
      </c>
      <c r="C11752" s="30" t="s">
        <v>1148</v>
      </c>
      <c r="D11752" s="30" t="s">
        <v>17</v>
      </c>
      <c r="E11752" s="30" t="s">
        <v>18</v>
      </c>
      <c r="F11752" s="30" t="s">
        <v>19</v>
      </c>
      <c r="G11752" s="30" t="s">
        <v>158</v>
      </c>
      <c r="H11752" s="32">
        <v>466</v>
      </c>
      <c r="I11752" s="30" t="s">
        <v>51</v>
      </c>
      <c r="J11752" s="41">
        <v>44776</v>
      </c>
      <c r="K11752" s="30" t="s">
        <v>22</v>
      </c>
    </row>
    <row r="11753" spans="1:11">
      <c r="A11753" s="33" t="s">
        <v>26711</v>
      </c>
      <c r="B11753" s="33" t="s">
        <v>26712</v>
      </c>
      <c r="C11753" s="33" t="s">
        <v>3258</v>
      </c>
      <c r="D11753" s="33" t="s">
        <v>17</v>
      </c>
      <c r="E11753" s="33" t="s">
        <v>18</v>
      </c>
      <c r="F11753" s="33" t="s">
        <v>19</v>
      </c>
      <c r="G11753" s="33" t="s">
        <v>20</v>
      </c>
      <c r="H11753" s="35">
        <v>229</v>
      </c>
      <c r="I11753" s="33" t="s">
        <v>21</v>
      </c>
      <c r="J11753" s="42">
        <v>44883</v>
      </c>
      <c r="K11753" s="33" t="s">
        <v>22</v>
      </c>
    </row>
    <row r="11754" spans="1:11">
      <c r="A11754" s="30" t="s">
        <v>26713</v>
      </c>
      <c r="B11754" s="30" t="s">
        <v>26714</v>
      </c>
      <c r="C11754" s="30" t="s">
        <v>2894</v>
      </c>
      <c r="D11754" s="30" t="s">
        <v>17</v>
      </c>
      <c r="E11754" s="30" t="s">
        <v>18</v>
      </c>
      <c r="F11754" s="30" t="s">
        <v>19</v>
      </c>
      <c r="G11754" s="30" t="s">
        <v>140</v>
      </c>
      <c r="H11754" s="32">
        <v>386</v>
      </c>
      <c r="I11754" s="30" t="s">
        <v>51</v>
      </c>
      <c r="J11754" s="41">
        <v>44921</v>
      </c>
      <c r="K11754" s="30" t="s">
        <v>22</v>
      </c>
    </row>
    <row r="11755" spans="1:11">
      <c r="A11755" s="33" t="s">
        <v>26715</v>
      </c>
      <c r="B11755" s="33" t="s">
        <v>26716</v>
      </c>
      <c r="C11755" s="33" t="s">
        <v>2618</v>
      </c>
      <c r="D11755" s="33" t="s">
        <v>17</v>
      </c>
      <c r="E11755" s="33" t="s">
        <v>26</v>
      </c>
      <c r="F11755" s="33" t="s">
        <v>27</v>
      </c>
      <c r="G11755" s="33" t="s">
        <v>158</v>
      </c>
      <c r="H11755" s="35">
        <v>120</v>
      </c>
      <c r="I11755" s="33" t="s">
        <v>21</v>
      </c>
      <c r="J11755" s="42">
        <v>44719</v>
      </c>
      <c r="K11755" s="33" t="s">
        <v>22</v>
      </c>
    </row>
    <row r="11756" spans="1:11">
      <c r="A11756" s="30" t="s">
        <v>26717</v>
      </c>
      <c r="B11756" s="30" t="s">
        <v>26718</v>
      </c>
      <c r="C11756" s="30" t="s">
        <v>2609</v>
      </c>
      <c r="D11756" s="30" t="s">
        <v>17</v>
      </c>
      <c r="E11756" s="30" t="s">
        <v>18</v>
      </c>
      <c r="F11756" s="30" t="s">
        <v>19</v>
      </c>
      <c r="G11756" s="30" t="s">
        <v>20</v>
      </c>
      <c r="H11756" s="32">
        <v>104</v>
      </c>
      <c r="I11756" s="30" t="s">
        <v>21</v>
      </c>
      <c r="J11756" s="41">
        <v>44580</v>
      </c>
      <c r="K11756" s="30" t="s">
        <v>22</v>
      </c>
    </row>
    <row r="11757" spans="1:11">
      <c r="A11757" s="33" t="s">
        <v>26719</v>
      </c>
      <c r="B11757" s="33" t="s">
        <v>26720</v>
      </c>
      <c r="C11757" s="33" t="s">
        <v>5158</v>
      </c>
      <c r="D11757" s="33" t="s">
        <v>17</v>
      </c>
      <c r="E11757" s="33" t="s">
        <v>212</v>
      </c>
      <c r="F11757" s="33" t="s">
        <v>213</v>
      </c>
      <c r="G11757" s="33" t="s">
        <v>20</v>
      </c>
      <c r="H11757" s="35">
        <v>9</v>
      </c>
      <c r="I11757" s="33" t="s">
        <v>21</v>
      </c>
      <c r="J11757" s="42">
        <v>44811</v>
      </c>
      <c r="K11757" s="33" t="s">
        <v>22</v>
      </c>
    </row>
    <row r="11758" spans="1:11">
      <c r="A11758" s="30" t="s">
        <v>26721</v>
      </c>
      <c r="B11758" s="30" t="s">
        <v>26722</v>
      </c>
      <c r="C11758" s="30" t="s">
        <v>899</v>
      </c>
      <c r="D11758" s="30" t="s">
        <v>17</v>
      </c>
      <c r="E11758" s="30" t="s">
        <v>67</v>
      </c>
      <c r="F11758" s="30" t="s">
        <v>68</v>
      </c>
      <c r="G11758" s="30" t="s">
        <v>140</v>
      </c>
      <c r="H11758" s="32">
        <v>133</v>
      </c>
      <c r="I11758" s="30" t="s">
        <v>51</v>
      </c>
      <c r="J11758" s="41">
        <v>44865</v>
      </c>
      <c r="K11758" s="30" t="s">
        <v>22</v>
      </c>
    </row>
    <row r="11759" spans="1:11">
      <c r="A11759" s="33" t="s">
        <v>26723</v>
      </c>
      <c r="B11759" s="33" t="s">
        <v>26724</v>
      </c>
      <c r="C11759" s="33" t="s">
        <v>26725</v>
      </c>
      <c r="D11759" s="33" t="s">
        <v>17</v>
      </c>
      <c r="E11759" s="33" t="s">
        <v>31</v>
      </c>
      <c r="F11759" s="33" t="s">
        <v>32</v>
      </c>
      <c r="G11759" s="33" t="s">
        <v>20</v>
      </c>
      <c r="H11759" s="35">
        <v>99</v>
      </c>
      <c r="I11759" s="33" t="s">
        <v>21</v>
      </c>
      <c r="J11759" s="42">
        <v>44658</v>
      </c>
      <c r="K11759" s="33" t="s">
        <v>22</v>
      </c>
    </row>
    <row r="11760" spans="1:11">
      <c r="A11760" s="30" t="s">
        <v>26726</v>
      </c>
      <c r="B11760" s="30" t="s">
        <v>26727</v>
      </c>
      <c r="C11760" s="30" t="s">
        <v>26728</v>
      </c>
      <c r="D11760" s="30" t="s">
        <v>17</v>
      </c>
      <c r="E11760" s="30" t="s">
        <v>45</v>
      </c>
      <c r="F11760" s="30" t="s">
        <v>46</v>
      </c>
      <c r="G11760" s="30" t="s">
        <v>50</v>
      </c>
      <c r="H11760" s="32">
        <v>40</v>
      </c>
      <c r="I11760" s="30" t="s">
        <v>51</v>
      </c>
      <c r="J11760" s="41">
        <v>44666</v>
      </c>
      <c r="K11760" s="30" t="s">
        <v>22</v>
      </c>
    </row>
    <row r="11761" spans="1:11">
      <c r="A11761" s="33" t="s">
        <v>26729</v>
      </c>
      <c r="B11761" s="33" t="s">
        <v>26730</v>
      </c>
      <c r="C11761" s="33" t="s">
        <v>379</v>
      </c>
      <c r="D11761" s="33" t="s">
        <v>17</v>
      </c>
      <c r="E11761" s="33" t="s">
        <v>26</v>
      </c>
      <c r="F11761" s="33" t="s">
        <v>27</v>
      </c>
      <c r="G11761" s="33" t="s">
        <v>112</v>
      </c>
      <c r="H11761" s="35">
        <v>0</v>
      </c>
      <c r="I11761" s="33" t="s">
        <v>21</v>
      </c>
      <c r="J11761" s="42">
        <v>44760</v>
      </c>
      <c r="K11761" s="33" t="s">
        <v>22</v>
      </c>
    </row>
    <row r="11762" spans="1:11">
      <c r="A11762" s="30" t="s">
        <v>26731</v>
      </c>
      <c r="B11762" s="30" t="s">
        <v>26732</v>
      </c>
      <c r="C11762" s="30" t="s">
        <v>9629</v>
      </c>
      <c r="D11762" s="30" t="s">
        <v>17</v>
      </c>
      <c r="E11762" s="30" t="s">
        <v>31</v>
      </c>
      <c r="F11762" s="30" t="s">
        <v>32</v>
      </c>
      <c r="G11762" s="30" t="s">
        <v>158</v>
      </c>
      <c r="H11762" s="32">
        <v>99</v>
      </c>
      <c r="I11762" s="30" t="s">
        <v>51</v>
      </c>
      <c r="J11762" s="41">
        <v>44708</v>
      </c>
      <c r="K11762" s="30" t="s">
        <v>22</v>
      </c>
    </row>
    <row r="11763" spans="1:11">
      <c r="A11763" s="33" t="s">
        <v>26733</v>
      </c>
      <c r="B11763" s="33" t="s">
        <v>26734</v>
      </c>
      <c r="C11763" s="33" t="s">
        <v>647</v>
      </c>
      <c r="D11763" s="33" t="s">
        <v>17</v>
      </c>
      <c r="E11763" s="33" t="s">
        <v>18</v>
      </c>
      <c r="F11763" s="33" t="s">
        <v>19</v>
      </c>
      <c r="G11763" s="33" t="s">
        <v>158</v>
      </c>
      <c r="H11763" s="35">
        <v>1590</v>
      </c>
      <c r="I11763" s="33" t="s">
        <v>51</v>
      </c>
      <c r="J11763" s="42">
        <v>44688</v>
      </c>
      <c r="K11763" s="33" t="s">
        <v>22</v>
      </c>
    </row>
    <row r="11764" spans="1:11">
      <c r="A11764" s="30" t="s">
        <v>26735</v>
      </c>
      <c r="B11764" s="30" t="s">
        <v>26736</v>
      </c>
      <c r="C11764" s="30" t="s">
        <v>26737</v>
      </c>
      <c r="D11764" s="30" t="s">
        <v>17</v>
      </c>
      <c r="E11764" s="30" t="s">
        <v>26</v>
      </c>
      <c r="F11764" s="30" t="s">
        <v>27</v>
      </c>
      <c r="G11764" s="30" t="s">
        <v>158</v>
      </c>
      <c r="H11764" s="32">
        <v>160</v>
      </c>
      <c r="I11764" s="30" t="s">
        <v>21</v>
      </c>
      <c r="J11764" s="41">
        <v>44742</v>
      </c>
      <c r="K11764" s="30" t="s">
        <v>22</v>
      </c>
    </row>
    <row r="11765" spans="1:11">
      <c r="A11765" s="33" t="s">
        <v>26738</v>
      </c>
      <c r="B11765" s="33" t="s">
        <v>26739</v>
      </c>
      <c r="C11765" s="33" t="s">
        <v>11783</v>
      </c>
      <c r="D11765" s="33" t="s">
        <v>17</v>
      </c>
      <c r="E11765" s="33" t="s">
        <v>26</v>
      </c>
      <c r="F11765" s="33" t="s">
        <v>27</v>
      </c>
      <c r="G11765" s="33" t="s">
        <v>20</v>
      </c>
      <c r="H11765" s="35">
        <v>18</v>
      </c>
      <c r="I11765" s="33" t="s">
        <v>21</v>
      </c>
      <c r="J11765" s="42">
        <v>44572</v>
      </c>
      <c r="K11765" s="33" t="s">
        <v>22</v>
      </c>
    </row>
    <row r="11766" spans="1:11">
      <c r="A11766" s="30" t="s">
        <v>26740</v>
      </c>
      <c r="B11766" s="30" t="s">
        <v>26741</v>
      </c>
      <c r="C11766" s="30" t="s">
        <v>14394</v>
      </c>
      <c r="D11766" s="30" t="s">
        <v>17</v>
      </c>
      <c r="E11766" s="30" t="s">
        <v>26</v>
      </c>
      <c r="F11766" s="30" t="s">
        <v>27</v>
      </c>
      <c r="G11766" s="30" t="s">
        <v>140</v>
      </c>
      <c r="H11766" s="32">
        <v>307</v>
      </c>
      <c r="I11766" s="30" t="s">
        <v>51</v>
      </c>
      <c r="J11766" s="41">
        <v>44725</v>
      </c>
      <c r="K11766" s="30" t="s">
        <v>22</v>
      </c>
    </row>
    <row r="11767" spans="1:11">
      <c r="A11767" s="33" t="s">
        <v>26742</v>
      </c>
      <c r="B11767" s="33" t="s">
        <v>26743</v>
      </c>
      <c r="C11767" s="33" t="s">
        <v>20420</v>
      </c>
      <c r="D11767" s="33" t="s">
        <v>17</v>
      </c>
      <c r="E11767" s="33" t="s">
        <v>26</v>
      </c>
      <c r="F11767" s="33" t="s">
        <v>27</v>
      </c>
      <c r="G11767" s="33" t="s">
        <v>20</v>
      </c>
      <c r="H11767" s="35">
        <v>32</v>
      </c>
      <c r="I11767" s="33" t="s">
        <v>21</v>
      </c>
      <c r="J11767" s="42">
        <v>44750</v>
      </c>
      <c r="K11767" s="33" t="s">
        <v>22</v>
      </c>
    </row>
    <row r="11768" spans="1:11">
      <c r="A11768" s="30" t="s">
        <v>26744</v>
      </c>
      <c r="B11768" s="30" t="s">
        <v>26745</v>
      </c>
      <c r="C11768" s="30" t="s">
        <v>26746</v>
      </c>
      <c r="D11768" s="30" t="s">
        <v>17</v>
      </c>
      <c r="E11768" s="30" t="s">
        <v>26</v>
      </c>
      <c r="F11768" s="30" t="s">
        <v>27</v>
      </c>
      <c r="G11768" s="30" t="s">
        <v>20</v>
      </c>
      <c r="H11768" s="32">
        <v>24</v>
      </c>
      <c r="I11768" s="30" t="s">
        <v>21</v>
      </c>
      <c r="J11768" s="41">
        <v>44599</v>
      </c>
      <c r="K11768" s="30" t="s">
        <v>22</v>
      </c>
    </row>
    <row r="11769" spans="1:11">
      <c r="A11769" s="33" t="s">
        <v>26747</v>
      </c>
      <c r="B11769" s="33" t="s">
        <v>26748</v>
      </c>
      <c r="C11769" s="33" t="s">
        <v>8250</v>
      </c>
      <c r="D11769" s="33" t="s">
        <v>17</v>
      </c>
      <c r="E11769" s="33" t="s">
        <v>26</v>
      </c>
      <c r="F11769" s="33" t="s">
        <v>27</v>
      </c>
      <c r="G11769" s="33" t="s">
        <v>20</v>
      </c>
      <c r="H11769" s="35">
        <v>37</v>
      </c>
      <c r="I11769" s="33" t="s">
        <v>21</v>
      </c>
      <c r="J11769" s="42">
        <v>44804</v>
      </c>
      <c r="K11769" s="33" t="s">
        <v>22</v>
      </c>
    </row>
    <row r="11770" spans="1:11">
      <c r="A11770" s="30" t="s">
        <v>26749</v>
      </c>
      <c r="B11770" s="30" t="s">
        <v>26750</v>
      </c>
      <c r="C11770" s="30" t="s">
        <v>222</v>
      </c>
      <c r="D11770" s="30" t="s">
        <v>17</v>
      </c>
      <c r="E11770" s="30" t="s">
        <v>26</v>
      </c>
      <c r="F11770" s="30" t="s">
        <v>27</v>
      </c>
      <c r="G11770" s="30" t="s">
        <v>20</v>
      </c>
      <c r="H11770" s="32">
        <v>64</v>
      </c>
      <c r="I11770" s="30" t="s">
        <v>21</v>
      </c>
      <c r="J11770" s="41">
        <v>44732</v>
      </c>
      <c r="K11770" s="30" t="s">
        <v>22</v>
      </c>
    </row>
    <row r="11771" spans="1:11">
      <c r="A11771" s="33" t="s">
        <v>26751</v>
      </c>
      <c r="B11771" s="33" t="s">
        <v>26752</v>
      </c>
      <c r="C11771" s="33" t="s">
        <v>1102</v>
      </c>
      <c r="D11771" s="33" t="s">
        <v>17</v>
      </c>
      <c r="E11771" s="33" t="s">
        <v>67</v>
      </c>
      <c r="F11771" s="33" t="s">
        <v>68</v>
      </c>
      <c r="G11771" s="33" t="s">
        <v>20</v>
      </c>
      <c r="H11771" s="35">
        <v>190</v>
      </c>
      <c r="I11771" s="33" t="s">
        <v>21</v>
      </c>
      <c r="J11771" s="42">
        <v>44583</v>
      </c>
      <c r="K11771" s="33" t="s">
        <v>22</v>
      </c>
    </row>
    <row r="11772" spans="1:11">
      <c r="A11772" s="30" t="s">
        <v>26753</v>
      </c>
      <c r="B11772" s="30" t="s">
        <v>26754</v>
      </c>
      <c r="C11772" s="30" t="s">
        <v>382</v>
      </c>
      <c r="D11772" s="30" t="s">
        <v>17</v>
      </c>
      <c r="E11772" s="30" t="s">
        <v>26</v>
      </c>
      <c r="F11772" s="30" t="s">
        <v>27</v>
      </c>
      <c r="G11772" s="30" t="s">
        <v>20</v>
      </c>
      <c r="H11772" s="32">
        <v>55</v>
      </c>
      <c r="I11772" s="30" t="s">
        <v>21</v>
      </c>
      <c r="J11772" s="41">
        <v>44593</v>
      </c>
      <c r="K11772" s="30" t="s">
        <v>22</v>
      </c>
    </row>
    <row r="11773" spans="1:11">
      <c r="A11773" s="33" t="s">
        <v>26755</v>
      </c>
      <c r="B11773" s="33" t="s">
        <v>26756</v>
      </c>
      <c r="C11773" s="33" t="s">
        <v>149</v>
      </c>
      <c r="D11773" s="33" t="s">
        <v>17</v>
      </c>
      <c r="E11773" s="33" t="s">
        <v>26</v>
      </c>
      <c r="F11773" s="33" t="s">
        <v>27</v>
      </c>
      <c r="G11773" s="33" t="s">
        <v>20</v>
      </c>
      <c r="H11773" s="35">
        <v>17</v>
      </c>
      <c r="I11773" s="33" t="s">
        <v>21</v>
      </c>
      <c r="J11773" s="42">
        <v>44565</v>
      </c>
      <c r="K11773" s="33" t="s">
        <v>22</v>
      </c>
    </row>
    <row r="11774" spans="1:11">
      <c r="A11774" s="30" t="s">
        <v>26757</v>
      </c>
      <c r="B11774" s="30" t="s">
        <v>26758</v>
      </c>
      <c r="C11774" s="30" t="s">
        <v>187</v>
      </c>
      <c r="D11774" s="30" t="s">
        <v>17</v>
      </c>
      <c r="E11774" s="30" t="s">
        <v>26</v>
      </c>
      <c r="F11774" s="30" t="s">
        <v>27</v>
      </c>
      <c r="G11774" s="30" t="s">
        <v>50</v>
      </c>
      <c r="H11774" s="32">
        <v>126</v>
      </c>
      <c r="I11774" s="30" t="s">
        <v>51</v>
      </c>
      <c r="J11774" s="41">
        <v>44610</v>
      </c>
      <c r="K11774" s="30" t="s">
        <v>22</v>
      </c>
    </row>
    <row r="11775" spans="1:11">
      <c r="A11775" s="33" t="s">
        <v>26759</v>
      </c>
      <c r="B11775" s="33" t="s">
        <v>26760</v>
      </c>
      <c r="C11775" s="33" t="s">
        <v>2039</v>
      </c>
      <c r="D11775" s="33" t="s">
        <v>17</v>
      </c>
      <c r="E11775" s="33" t="s">
        <v>31</v>
      </c>
      <c r="F11775" s="33" t="s">
        <v>32</v>
      </c>
      <c r="G11775" s="33" t="s">
        <v>106</v>
      </c>
      <c r="H11775" s="35">
        <v>40</v>
      </c>
      <c r="I11775" s="33" t="s">
        <v>21</v>
      </c>
      <c r="J11775" s="42">
        <v>44677</v>
      </c>
      <c r="K11775" s="33" t="s">
        <v>22</v>
      </c>
    </row>
    <row r="11776" spans="1:11">
      <c r="A11776" s="30" t="s">
        <v>26761</v>
      </c>
      <c r="B11776" s="30" t="s">
        <v>26762</v>
      </c>
      <c r="C11776" s="30" t="s">
        <v>1733</v>
      </c>
      <c r="D11776" s="30" t="s">
        <v>17</v>
      </c>
      <c r="E11776" s="30" t="s">
        <v>26</v>
      </c>
      <c r="F11776" s="30" t="s">
        <v>27</v>
      </c>
      <c r="G11776" s="30" t="s">
        <v>112</v>
      </c>
      <c r="H11776" s="32">
        <v>0</v>
      </c>
      <c r="I11776" s="30" t="s">
        <v>21</v>
      </c>
      <c r="J11776" s="41">
        <v>44855</v>
      </c>
      <c r="K11776" s="30" t="s">
        <v>22</v>
      </c>
    </row>
    <row r="11777" spans="1:11">
      <c r="A11777" s="33" t="s">
        <v>26763</v>
      </c>
      <c r="B11777" s="33" t="s">
        <v>26764</v>
      </c>
      <c r="C11777" s="33" t="s">
        <v>15090</v>
      </c>
      <c r="D11777" s="33" t="s">
        <v>17</v>
      </c>
      <c r="E11777" s="33" t="s">
        <v>26</v>
      </c>
      <c r="F11777" s="33" t="s">
        <v>27</v>
      </c>
      <c r="G11777" s="33" t="s">
        <v>20</v>
      </c>
      <c r="H11777" s="35">
        <v>24</v>
      </c>
      <c r="I11777" s="33" t="s">
        <v>21</v>
      </c>
      <c r="J11777" s="42">
        <v>44606</v>
      </c>
      <c r="K11777" s="33" t="s">
        <v>22</v>
      </c>
    </row>
    <row r="11778" spans="1:11">
      <c r="A11778" s="30" t="s">
        <v>26765</v>
      </c>
      <c r="B11778" s="30" t="s">
        <v>26766</v>
      </c>
      <c r="C11778" s="30" t="s">
        <v>109</v>
      </c>
      <c r="D11778" s="30" t="s">
        <v>17</v>
      </c>
      <c r="E11778" s="30" t="s">
        <v>212</v>
      </c>
      <c r="F11778" s="30" t="s">
        <v>213</v>
      </c>
      <c r="G11778" s="30" t="s">
        <v>20</v>
      </c>
      <c r="H11778" s="32">
        <v>180</v>
      </c>
      <c r="I11778" s="30" t="s">
        <v>21</v>
      </c>
      <c r="J11778" s="41">
        <v>44586</v>
      </c>
      <c r="K11778" s="30" t="s">
        <v>22</v>
      </c>
    </row>
    <row r="11779" spans="1:11">
      <c r="A11779" s="33" t="s">
        <v>26767</v>
      </c>
      <c r="B11779" s="33" t="s">
        <v>26768</v>
      </c>
      <c r="C11779" s="33" t="s">
        <v>72</v>
      </c>
      <c r="D11779" s="33" t="s">
        <v>17</v>
      </c>
      <c r="E11779" s="33" t="s">
        <v>26</v>
      </c>
      <c r="F11779" s="33" t="s">
        <v>27</v>
      </c>
      <c r="G11779" s="33" t="s">
        <v>20</v>
      </c>
      <c r="H11779" s="35">
        <v>28</v>
      </c>
      <c r="I11779" s="33" t="s">
        <v>21</v>
      </c>
      <c r="J11779" s="42">
        <v>44720</v>
      </c>
      <c r="K11779" s="33" t="s">
        <v>22</v>
      </c>
    </row>
    <row r="11780" spans="1:11">
      <c r="A11780" s="30" t="s">
        <v>26769</v>
      </c>
      <c r="B11780" s="30" t="s">
        <v>26770</v>
      </c>
      <c r="C11780" s="30" t="s">
        <v>26771</v>
      </c>
      <c r="D11780" s="30" t="s">
        <v>17</v>
      </c>
      <c r="E11780" s="30" t="s">
        <v>31</v>
      </c>
      <c r="F11780" s="30" t="s">
        <v>32</v>
      </c>
      <c r="G11780" s="30" t="s">
        <v>106</v>
      </c>
      <c r="H11780" s="32">
        <v>11</v>
      </c>
      <c r="I11780" s="30" t="s">
        <v>21</v>
      </c>
      <c r="J11780" s="41">
        <v>44680</v>
      </c>
      <c r="K11780" s="30" t="s">
        <v>22</v>
      </c>
    </row>
    <row r="11781" spans="1:11">
      <c r="A11781" s="33" t="s">
        <v>26772</v>
      </c>
      <c r="B11781" s="33" t="s">
        <v>26773</v>
      </c>
      <c r="C11781" s="33" t="s">
        <v>22530</v>
      </c>
      <c r="D11781" s="33" t="s">
        <v>17</v>
      </c>
      <c r="E11781" s="33" t="s">
        <v>67</v>
      </c>
      <c r="F11781" s="33" t="s">
        <v>68</v>
      </c>
      <c r="G11781" s="33" t="s">
        <v>140</v>
      </c>
      <c r="H11781" s="35">
        <v>48</v>
      </c>
      <c r="I11781" s="33" t="s">
        <v>51</v>
      </c>
      <c r="J11781" s="42">
        <v>44610</v>
      </c>
      <c r="K11781" s="33" t="s">
        <v>22</v>
      </c>
    </row>
    <row r="11782" spans="1:11">
      <c r="A11782" s="30" t="s">
        <v>26774</v>
      </c>
      <c r="B11782" s="30" t="s">
        <v>26775</v>
      </c>
      <c r="C11782" s="30" t="s">
        <v>1391</v>
      </c>
      <c r="D11782" s="30" t="s">
        <v>17</v>
      </c>
      <c r="E11782" s="30" t="s">
        <v>31</v>
      </c>
      <c r="F11782" s="30" t="s">
        <v>32</v>
      </c>
      <c r="G11782" s="30" t="s">
        <v>20</v>
      </c>
      <c r="H11782" s="32">
        <v>384</v>
      </c>
      <c r="I11782" s="30" t="s">
        <v>21</v>
      </c>
      <c r="J11782" s="41">
        <v>44620</v>
      </c>
      <c r="K11782" s="30" t="s">
        <v>22</v>
      </c>
    </row>
    <row r="11783" spans="1:11">
      <c r="A11783" s="33" t="s">
        <v>26776</v>
      </c>
      <c r="B11783" s="33" t="s">
        <v>26777</v>
      </c>
      <c r="C11783" s="33" t="s">
        <v>18511</v>
      </c>
      <c r="D11783" s="33" t="s">
        <v>17</v>
      </c>
      <c r="E11783" s="33" t="s">
        <v>330</v>
      </c>
      <c r="F11783" s="33" t="s">
        <v>331</v>
      </c>
      <c r="G11783" s="33" t="s">
        <v>50</v>
      </c>
      <c r="H11783" s="35">
        <v>20</v>
      </c>
      <c r="I11783" s="33" t="s">
        <v>51</v>
      </c>
      <c r="J11783" s="42">
        <v>44852</v>
      </c>
      <c r="K11783" s="33" t="s">
        <v>22</v>
      </c>
    </row>
    <row r="11784" spans="1:11">
      <c r="A11784" s="30" t="s">
        <v>26778</v>
      </c>
      <c r="B11784" s="30" t="s">
        <v>26779</v>
      </c>
      <c r="C11784" s="30" t="s">
        <v>995</v>
      </c>
      <c r="D11784" s="30" t="s">
        <v>17</v>
      </c>
      <c r="E11784" s="30" t="s">
        <v>31</v>
      </c>
      <c r="F11784" s="30" t="s">
        <v>32</v>
      </c>
      <c r="G11784" s="30" t="s">
        <v>20</v>
      </c>
      <c r="H11784" s="32">
        <v>19</v>
      </c>
      <c r="I11784" s="30" t="s">
        <v>21</v>
      </c>
      <c r="J11784" s="41">
        <v>44740</v>
      </c>
      <c r="K11784" s="30" t="s">
        <v>22</v>
      </c>
    </row>
    <row r="11785" spans="1:11">
      <c r="A11785" s="33" t="s">
        <v>26780</v>
      </c>
      <c r="B11785" s="33" t="s">
        <v>26781</v>
      </c>
      <c r="C11785" s="33" t="s">
        <v>1324</v>
      </c>
      <c r="D11785" s="33" t="s">
        <v>17</v>
      </c>
      <c r="E11785" s="33" t="s">
        <v>31</v>
      </c>
      <c r="F11785" s="33" t="s">
        <v>32</v>
      </c>
      <c r="G11785" s="33" t="s">
        <v>112</v>
      </c>
      <c r="H11785" s="35">
        <v>0</v>
      </c>
      <c r="I11785" s="33" t="s">
        <v>21</v>
      </c>
      <c r="J11785" s="42">
        <v>44652</v>
      </c>
      <c r="K11785" s="33" t="s">
        <v>22</v>
      </c>
    </row>
    <row r="11786" spans="1:11">
      <c r="A11786" s="30" t="s">
        <v>26782</v>
      </c>
      <c r="B11786" s="30" t="s">
        <v>26783</v>
      </c>
      <c r="C11786" s="30" t="s">
        <v>96</v>
      </c>
      <c r="D11786" s="30" t="s">
        <v>17</v>
      </c>
      <c r="E11786" s="30" t="s">
        <v>26</v>
      </c>
      <c r="F11786" s="30" t="s">
        <v>27</v>
      </c>
      <c r="G11786" s="30" t="s">
        <v>20</v>
      </c>
      <c r="H11786" s="32">
        <v>9</v>
      </c>
      <c r="I11786" s="30" t="s">
        <v>21</v>
      </c>
      <c r="J11786" s="41">
        <v>44706</v>
      </c>
      <c r="K11786" s="30" t="s">
        <v>22</v>
      </c>
    </row>
    <row r="11787" spans="1:11">
      <c r="A11787" s="33" t="s">
        <v>26784</v>
      </c>
      <c r="B11787" s="33" t="s">
        <v>26785</v>
      </c>
      <c r="C11787" s="33" t="s">
        <v>231</v>
      </c>
      <c r="D11787" s="33" t="s">
        <v>17</v>
      </c>
      <c r="E11787" s="33" t="s">
        <v>26</v>
      </c>
      <c r="F11787" s="33" t="s">
        <v>27</v>
      </c>
      <c r="G11787" s="33" t="s">
        <v>20</v>
      </c>
      <c r="H11787" s="35">
        <v>62</v>
      </c>
      <c r="I11787" s="33" t="s">
        <v>21</v>
      </c>
      <c r="J11787" s="42">
        <v>44762</v>
      </c>
      <c r="K11787" s="33" t="s">
        <v>22</v>
      </c>
    </row>
    <row r="11788" spans="1:11">
      <c r="A11788" s="30" t="s">
        <v>26786</v>
      </c>
      <c r="B11788" s="30" t="s">
        <v>26787</v>
      </c>
      <c r="C11788" s="30" t="s">
        <v>462</v>
      </c>
      <c r="D11788" s="30" t="s">
        <v>17</v>
      </c>
      <c r="E11788" s="30" t="s">
        <v>26</v>
      </c>
      <c r="F11788" s="30" t="s">
        <v>27</v>
      </c>
      <c r="G11788" s="30" t="s">
        <v>20</v>
      </c>
      <c r="H11788" s="32">
        <v>107</v>
      </c>
      <c r="I11788" s="30" t="s">
        <v>21</v>
      </c>
      <c r="J11788" s="41">
        <v>44687</v>
      </c>
      <c r="K11788" s="30" t="s">
        <v>22</v>
      </c>
    </row>
    <row r="11789" spans="1:11">
      <c r="A11789" s="33" t="s">
        <v>26788</v>
      </c>
      <c r="B11789" s="33" t="s">
        <v>26789</v>
      </c>
      <c r="C11789" s="33" t="s">
        <v>118</v>
      </c>
      <c r="D11789" s="33" t="s">
        <v>17</v>
      </c>
      <c r="E11789" s="33" t="s">
        <v>26</v>
      </c>
      <c r="F11789" s="33" t="s">
        <v>27</v>
      </c>
      <c r="G11789" s="33" t="s">
        <v>20</v>
      </c>
      <c r="H11789" s="35">
        <v>51</v>
      </c>
      <c r="I11789" s="33" t="s">
        <v>21</v>
      </c>
      <c r="J11789" s="42">
        <v>44792</v>
      </c>
      <c r="K11789" s="33" t="s">
        <v>22</v>
      </c>
    </row>
    <row r="11790" spans="1:11">
      <c r="A11790" s="30" t="s">
        <v>26790</v>
      </c>
      <c r="B11790" s="30" t="s">
        <v>26791</v>
      </c>
      <c r="C11790" s="30" t="s">
        <v>3137</v>
      </c>
      <c r="D11790" s="30" t="s">
        <v>17</v>
      </c>
      <c r="E11790" s="30" t="s">
        <v>18</v>
      </c>
      <c r="F11790" s="30" t="s">
        <v>19</v>
      </c>
      <c r="G11790" s="30" t="s">
        <v>20</v>
      </c>
      <c r="H11790" s="32">
        <v>275</v>
      </c>
      <c r="I11790" s="30" t="s">
        <v>21</v>
      </c>
      <c r="J11790" s="41">
        <v>44866</v>
      </c>
      <c r="K11790" s="30" t="s">
        <v>22</v>
      </c>
    </row>
    <row r="11791" spans="1:11">
      <c r="A11791" s="33" t="s">
        <v>26792</v>
      </c>
      <c r="B11791" s="33" t="s">
        <v>26793</v>
      </c>
      <c r="C11791" s="33" t="s">
        <v>13241</v>
      </c>
      <c r="D11791" s="33" t="s">
        <v>17</v>
      </c>
      <c r="E11791" s="33" t="s">
        <v>67</v>
      </c>
      <c r="F11791" s="33" t="s">
        <v>68</v>
      </c>
      <c r="G11791" s="33" t="s">
        <v>140</v>
      </c>
      <c r="H11791" s="35">
        <v>150</v>
      </c>
      <c r="I11791" s="33" t="s">
        <v>51</v>
      </c>
      <c r="J11791" s="42">
        <v>44888</v>
      </c>
      <c r="K11791" s="33" t="s">
        <v>22</v>
      </c>
    </row>
    <row r="11792" spans="1:11">
      <c r="A11792" s="30" t="s">
        <v>26794</v>
      </c>
      <c r="B11792" s="30" t="s">
        <v>26795</v>
      </c>
      <c r="C11792" s="30" t="s">
        <v>26796</v>
      </c>
      <c r="D11792" s="30" t="s">
        <v>17</v>
      </c>
      <c r="E11792" s="30" t="s">
        <v>18</v>
      </c>
      <c r="F11792" s="30" t="s">
        <v>19</v>
      </c>
      <c r="G11792" s="30" t="s">
        <v>50</v>
      </c>
      <c r="H11792" s="32">
        <v>1275</v>
      </c>
      <c r="I11792" s="30" t="s">
        <v>51</v>
      </c>
      <c r="J11792" s="41">
        <v>44593</v>
      </c>
      <c r="K11792" s="30" t="s">
        <v>22</v>
      </c>
    </row>
    <row r="11793" spans="1:11">
      <c r="A11793" s="33" t="s">
        <v>26797</v>
      </c>
      <c r="B11793" s="33" t="s">
        <v>26798</v>
      </c>
      <c r="C11793" s="33" t="s">
        <v>7094</v>
      </c>
      <c r="D11793" s="33" t="s">
        <v>17</v>
      </c>
      <c r="E11793" s="33" t="s">
        <v>18</v>
      </c>
      <c r="F11793" s="33" t="s">
        <v>19</v>
      </c>
      <c r="G11793" s="33" t="s">
        <v>50</v>
      </c>
      <c r="H11793" s="35">
        <v>134</v>
      </c>
      <c r="I11793" s="33" t="s">
        <v>51</v>
      </c>
      <c r="J11793" s="42">
        <v>44764</v>
      </c>
      <c r="K11793" s="33" t="s">
        <v>22</v>
      </c>
    </row>
    <row r="11794" spans="1:11">
      <c r="A11794" s="30" t="s">
        <v>26799</v>
      </c>
      <c r="B11794" s="30" t="s">
        <v>26800</v>
      </c>
      <c r="C11794" s="30" t="s">
        <v>3278</v>
      </c>
      <c r="D11794" s="30" t="s">
        <v>17</v>
      </c>
      <c r="E11794" s="30" t="s">
        <v>67</v>
      </c>
      <c r="F11794" s="30" t="s">
        <v>68</v>
      </c>
      <c r="G11794" s="30" t="s">
        <v>106</v>
      </c>
      <c r="H11794" s="32">
        <v>22</v>
      </c>
      <c r="I11794" s="30" t="s">
        <v>21</v>
      </c>
      <c r="J11794" s="41">
        <v>44817</v>
      </c>
      <c r="K11794" s="30" t="s">
        <v>22</v>
      </c>
    </row>
    <row r="11795" spans="1:11">
      <c r="A11795" s="33" t="s">
        <v>26801</v>
      </c>
      <c r="B11795" s="33" t="s">
        <v>26802</v>
      </c>
      <c r="C11795" s="33" t="s">
        <v>13428</v>
      </c>
      <c r="D11795" s="33" t="s">
        <v>17</v>
      </c>
      <c r="E11795" s="33" t="s">
        <v>31</v>
      </c>
      <c r="F11795" s="33" t="s">
        <v>32</v>
      </c>
      <c r="G11795" s="33" t="s">
        <v>20</v>
      </c>
      <c r="H11795" s="35">
        <v>42</v>
      </c>
      <c r="I11795" s="33" t="s">
        <v>21</v>
      </c>
      <c r="J11795" s="42">
        <v>44741</v>
      </c>
      <c r="K11795" s="33" t="s">
        <v>22</v>
      </c>
    </row>
    <row r="11796" spans="1:11">
      <c r="A11796" s="30" t="s">
        <v>26803</v>
      </c>
      <c r="B11796" s="30" t="s">
        <v>26804</v>
      </c>
      <c r="C11796" s="30" t="s">
        <v>26805</v>
      </c>
      <c r="D11796" s="30" t="s">
        <v>17</v>
      </c>
      <c r="E11796" s="30" t="s">
        <v>31</v>
      </c>
      <c r="F11796" s="30" t="s">
        <v>32</v>
      </c>
      <c r="G11796" s="30" t="s">
        <v>69</v>
      </c>
      <c r="H11796" s="32">
        <v>15</v>
      </c>
      <c r="I11796" s="30" t="s">
        <v>21</v>
      </c>
      <c r="J11796" s="41">
        <v>44785</v>
      </c>
      <c r="K11796" s="30" t="s">
        <v>22</v>
      </c>
    </row>
    <row r="11797" spans="1:11">
      <c r="A11797" s="33" t="s">
        <v>26806</v>
      </c>
      <c r="B11797" s="33" t="s">
        <v>26807</v>
      </c>
      <c r="C11797" s="33" t="s">
        <v>647</v>
      </c>
      <c r="D11797" s="33" t="s">
        <v>17</v>
      </c>
      <c r="E11797" s="33" t="s">
        <v>18</v>
      </c>
      <c r="F11797" s="33" t="s">
        <v>19</v>
      </c>
      <c r="G11797" s="33" t="s">
        <v>158</v>
      </c>
      <c r="H11797" s="35">
        <v>280</v>
      </c>
      <c r="I11797" s="33" t="s">
        <v>51</v>
      </c>
      <c r="J11797" s="42">
        <v>44595</v>
      </c>
      <c r="K11797" s="33" t="s">
        <v>22</v>
      </c>
    </row>
    <row r="11798" spans="1:11">
      <c r="A11798" s="30" t="s">
        <v>26808</v>
      </c>
      <c r="B11798" s="30" t="s">
        <v>26809</v>
      </c>
      <c r="C11798" s="30" t="s">
        <v>26810</v>
      </c>
      <c r="D11798" s="30" t="s">
        <v>17</v>
      </c>
      <c r="E11798" s="30" t="s">
        <v>67</v>
      </c>
      <c r="F11798" s="30" t="s">
        <v>68</v>
      </c>
      <c r="G11798" s="30" t="s">
        <v>20</v>
      </c>
      <c r="H11798" s="32">
        <v>201</v>
      </c>
      <c r="I11798" s="30" t="s">
        <v>21</v>
      </c>
      <c r="J11798" s="41">
        <v>44767</v>
      </c>
      <c r="K11798" s="30" t="s">
        <v>22</v>
      </c>
    </row>
    <row r="11799" spans="1:11">
      <c r="A11799" s="33" t="s">
        <v>26811</v>
      </c>
      <c r="B11799" s="33" t="s">
        <v>26812</v>
      </c>
      <c r="C11799" s="33" t="s">
        <v>17454</v>
      </c>
      <c r="D11799" s="33" t="s">
        <v>17</v>
      </c>
      <c r="E11799" s="33" t="s">
        <v>26</v>
      </c>
      <c r="F11799" s="33" t="s">
        <v>27</v>
      </c>
      <c r="G11799" s="33" t="s">
        <v>50</v>
      </c>
      <c r="H11799" s="35">
        <v>30</v>
      </c>
      <c r="I11799" s="33" t="s">
        <v>51</v>
      </c>
      <c r="J11799" s="42">
        <v>44572</v>
      </c>
      <c r="K11799" s="33" t="s">
        <v>22</v>
      </c>
    </row>
    <row r="11800" spans="1:11">
      <c r="A11800" s="30" t="s">
        <v>26813</v>
      </c>
      <c r="B11800" s="30" t="s">
        <v>26814</v>
      </c>
      <c r="C11800" s="30" t="s">
        <v>44</v>
      </c>
      <c r="D11800" s="30" t="s">
        <v>17</v>
      </c>
      <c r="E11800" s="30" t="s">
        <v>31</v>
      </c>
      <c r="F11800" s="30" t="s">
        <v>32</v>
      </c>
      <c r="G11800" s="30" t="s">
        <v>20</v>
      </c>
      <c r="H11800" s="32">
        <v>217</v>
      </c>
      <c r="I11800" s="30" t="s">
        <v>21</v>
      </c>
      <c r="J11800" s="41">
        <v>44788</v>
      </c>
      <c r="K11800" s="30" t="s">
        <v>22</v>
      </c>
    </row>
    <row r="11801" spans="1:11">
      <c r="A11801" s="33" t="s">
        <v>26815</v>
      </c>
      <c r="B11801" s="33" t="s">
        <v>26816</v>
      </c>
      <c r="C11801" s="33" t="s">
        <v>2472</v>
      </c>
      <c r="D11801" s="33" t="s">
        <v>17</v>
      </c>
      <c r="E11801" s="33" t="s">
        <v>31</v>
      </c>
      <c r="F11801" s="33" t="s">
        <v>32</v>
      </c>
      <c r="G11801" s="33" t="s">
        <v>106</v>
      </c>
      <c r="H11801" s="35">
        <v>68</v>
      </c>
      <c r="I11801" s="33" t="s">
        <v>21</v>
      </c>
      <c r="J11801" s="42">
        <v>44834</v>
      </c>
      <c r="K11801" s="33" t="s">
        <v>22</v>
      </c>
    </row>
    <row r="11802" spans="1:11">
      <c r="A11802" s="30" t="s">
        <v>26817</v>
      </c>
      <c r="B11802" s="30" t="s">
        <v>26818</v>
      </c>
      <c r="C11802" s="30" t="s">
        <v>3625</v>
      </c>
      <c r="D11802" s="30" t="s">
        <v>17</v>
      </c>
      <c r="E11802" s="30" t="s">
        <v>45</v>
      </c>
      <c r="F11802" s="30" t="s">
        <v>46</v>
      </c>
      <c r="G11802" s="30" t="s">
        <v>106</v>
      </c>
      <c r="H11802" s="32">
        <v>23</v>
      </c>
      <c r="I11802" s="30" t="s">
        <v>21</v>
      </c>
      <c r="J11802" s="41">
        <v>44715</v>
      </c>
      <c r="K11802" s="30" t="s">
        <v>22</v>
      </c>
    </row>
    <row r="11803" spans="1:11">
      <c r="A11803" s="33" t="s">
        <v>26819</v>
      </c>
      <c r="B11803" s="33" t="s">
        <v>26820</v>
      </c>
      <c r="C11803" s="33" t="s">
        <v>4345</v>
      </c>
      <c r="D11803" s="33" t="s">
        <v>17</v>
      </c>
      <c r="E11803" s="33" t="s">
        <v>18</v>
      </c>
      <c r="F11803" s="33" t="s">
        <v>19</v>
      </c>
      <c r="G11803" s="33" t="s">
        <v>158</v>
      </c>
      <c r="H11803" s="35">
        <v>151</v>
      </c>
      <c r="I11803" s="33" t="s">
        <v>21</v>
      </c>
      <c r="J11803" s="42">
        <v>44565</v>
      </c>
      <c r="K11803" s="33" t="s">
        <v>22</v>
      </c>
    </row>
    <row r="11804" spans="1:11">
      <c r="A11804" s="30" t="s">
        <v>26821</v>
      </c>
      <c r="B11804" s="30" t="s">
        <v>26822</v>
      </c>
      <c r="C11804" s="30" t="s">
        <v>149</v>
      </c>
      <c r="D11804" s="30" t="s">
        <v>17</v>
      </c>
      <c r="E11804" s="30" t="s">
        <v>31</v>
      </c>
      <c r="F11804" s="30" t="s">
        <v>32</v>
      </c>
      <c r="G11804" s="30" t="s">
        <v>20</v>
      </c>
      <c r="H11804" s="32">
        <v>85</v>
      </c>
      <c r="I11804" s="30" t="s">
        <v>21</v>
      </c>
      <c r="J11804" s="41">
        <v>44917</v>
      </c>
      <c r="K11804" s="30" t="s">
        <v>22</v>
      </c>
    </row>
    <row r="11805" spans="1:11">
      <c r="A11805" s="33" t="s">
        <v>26823</v>
      </c>
      <c r="B11805" s="33" t="s">
        <v>26824</v>
      </c>
      <c r="C11805" s="33" t="s">
        <v>3384</v>
      </c>
      <c r="D11805" s="33" t="s">
        <v>17</v>
      </c>
      <c r="E11805" s="33" t="s">
        <v>26</v>
      </c>
      <c r="F11805" s="33" t="s">
        <v>27</v>
      </c>
      <c r="G11805" s="33" t="s">
        <v>20</v>
      </c>
      <c r="H11805" s="35">
        <v>7</v>
      </c>
      <c r="I11805" s="33" t="s">
        <v>21</v>
      </c>
      <c r="J11805" s="42">
        <v>44888</v>
      </c>
      <c r="K11805" s="33" t="s">
        <v>22</v>
      </c>
    </row>
    <row r="11806" spans="1:11">
      <c r="A11806" s="30" t="s">
        <v>26825</v>
      </c>
      <c r="B11806" s="30" t="s">
        <v>26826</v>
      </c>
      <c r="C11806" s="30" t="s">
        <v>109</v>
      </c>
      <c r="D11806" s="30" t="s">
        <v>17</v>
      </c>
      <c r="E11806" s="30" t="s">
        <v>212</v>
      </c>
      <c r="F11806" s="30" t="s">
        <v>213</v>
      </c>
      <c r="G11806" s="30" t="s">
        <v>158</v>
      </c>
      <c r="H11806" s="32">
        <v>136</v>
      </c>
      <c r="I11806" s="30" t="s">
        <v>21</v>
      </c>
      <c r="J11806" s="41">
        <v>44622</v>
      </c>
      <c r="K11806" s="30" t="s">
        <v>22</v>
      </c>
    </row>
    <row r="11807" spans="1:11">
      <c r="A11807" s="33" t="s">
        <v>26827</v>
      </c>
      <c r="B11807" s="33" t="s">
        <v>26828</v>
      </c>
      <c r="C11807" s="33" t="s">
        <v>109</v>
      </c>
      <c r="D11807" s="33" t="s">
        <v>17</v>
      </c>
      <c r="E11807" s="33" t="s">
        <v>26</v>
      </c>
      <c r="F11807" s="33" t="s">
        <v>27</v>
      </c>
      <c r="G11807" s="33" t="s">
        <v>20</v>
      </c>
      <c r="H11807" s="35">
        <v>14</v>
      </c>
      <c r="I11807" s="33" t="s">
        <v>21</v>
      </c>
      <c r="J11807" s="42">
        <v>44698</v>
      </c>
      <c r="K11807" s="33" t="s">
        <v>22</v>
      </c>
    </row>
    <row r="11808" spans="1:11">
      <c r="A11808" s="30" t="s">
        <v>26829</v>
      </c>
      <c r="B11808" s="30" t="s">
        <v>26830</v>
      </c>
      <c r="C11808" s="30" t="s">
        <v>26831</v>
      </c>
      <c r="D11808" s="30" t="s">
        <v>17</v>
      </c>
      <c r="E11808" s="30" t="s">
        <v>26</v>
      </c>
      <c r="F11808" s="30" t="s">
        <v>27</v>
      </c>
      <c r="G11808" s="30" t="s">
        <v>140</v>
      </c>
      <c r="H11808" s="32">
        <v>260</v>
      </c>
      <c r="I11808" s="30" t="s">
        <v>51</v>
      </c>
      <c r="J11808" s="41">
        <v>44909</v>
      </c>
      <c r="K11808" s="30" t="s">
        <v>22</v>
      </c>
    </row>
    <row r="11809" spans="1:11">
      <c r="A11809" s="33" t="s">
        <v>26832</v>
      </c>
      <c r="B11809" s="33" t="s">
        <v>26833</v>
      </c>
      <c r="C11809" s="33" t="s">
        <v>26834</v>
      </c>
      <c r="D11809" s="33" t="s">
        <v>17</v>
      </c>
      <c r="E11809" s="33" t="s">
        <v>31</v>
      </c>
      <c r="F11809" s="33" t="s">
        <v>32</v>
      </c>
      <c r="G11809" s="33" t="s">
        <v>106</v>
      </c>
      <c r="H11809" s="35">
        <v>1</v>
      </c>
      <c r="I11809" s="33" t="s">
        <v>21</v>
      </c>
      <c r="J11809" s="42">
        <v>44830</v>
      </c>
      <c r="K11809" s="33" t="s">
        <v>22</v>
      </c>
    </row>
    <row r="11810" spans="1:11">
      <c r="A11810" s="30" t="s">
        <v>26835</v>
      </c>
      <c r="B11810" s="30" t="s">
        <v>26836</v>
      </c>
      <c r="C11810" s="30" t="s">
        <v>26837</v>
      </c>
      <c r="D11810" s="30" t="s">
        <v>17</v>
      </c>
      <c r="E11810" s="30" t="s">
        <v>330</v>
      </c>
      <c r="F11810" s="30" t="s">
        <v>331</v>
      </c>
      <c r="G11810" s="30" t="s">
        <v>50</v>
      </c>
      <c r="H11810" s="32">
        <v>12</v>
      </c>
      <c r="I11810" s="30" t="s">
        <v>51</v>
      </c>
      <c r="J11810" s="41">
        <v>44805</v>
      </c>
      <c r="K11810" s="30" t="s">
        <v>22</v>
      </c>
    </row>
    <row r="11811" spans="1:11">
      <c r="A11811" s="33" t="s">
        <v>26838</v>
      </c>
      <c r="B11811" s="33" t="s">
        <v>26839</v>
      </c>
      <c r="C11811" s="33" t="s">
        <v>7449</v>
      </c>
      <c r="D11811" s="33" t="s">
        <v>17</v>
      </c>
      <c r="E11811" s="33" t="s">
        <v>31</v>
      </c>
      <c r="F11811" s="33" t="s">
        <v>32</v>
      </c>
      <c r="G11811" s="33" t="s">
        <v>158</v>
      </c>
      <c r="H11811" s="35">
        <v>136</v>
      </c>
      <c r="I11811" s="33" t="s">
        <v>21</v>
      </c>
      <c r="J11811" s="42">
        <v>44757</v>
      </c>
      <c r="K11811" s="33" t="s">
        <v>22</v>
      </c>
    </row>
    <row r="11812" spans="1:11">
      <c r="A11812" s="30" t="s">
        <v>26840</v>
      </c>
      <c r="B11812" s="30" t="s">
        <v>26841</v>
      </c>
      <c r="C11812" s="30" t="s">
        <v>15434</v>
      </c>
      <c r="D11812" s="30" t="s">
        <v>17</v>
      </c>
      <c r="E11812" s="30" t="s">
        <v>31</v>
      </c>
      <c r="F11812" s="30" t="s">
        <v>32</v>
      </c>
      <c r="G11812" s="30" t="s">
        <v>20</v>
      </c>
      <c r="H11812" s="32">
        <v>180</v>
      </c>
      <c r="I11812" s="30" t="s">
        <v>21</v>
      </c>
      <c r="J11812" s="41">
        <v>44690</v>
      </c>
      <c r="K11812" s="30" t="s">
        <v>22</v>
      </c>
    </row>
    <row r="11813" spans="1:11">
      <c r="A11813" s="33" t="s">
        <v>26842</v>
      </c>
      <c r="B11813" s="33" t="s">
        <v>26843</v>
      </c>
      <c r="C11813" s="33" t="s">
        <v>995</v>
      </c>
      <c r="D11813" s="33" t="s">
        <v>17</v>
      </c>
      <c r="E11813" s="33" t="s">
        <v>26</v>
      </c>
      <c r="F11813" s="33" t="s">
        <v>27</v>
      </c>
      <c r="G11813" s="33" t="s">
        <v>20</v>
      </c>
      <c r="H11813" s="35">
        <v>18</v>
      </c>
      <c r="I11813" s="33" t="s">
        <v>21</v>
      </c>
      <c r="J11813" s="42">
        <v>44775</v>
      </c>
      <c r="K11813" s="33" t="s">
        <v>22</v>
      </c>
    </row>
    <row r="11814" spans="1:11">
      <c r="A11814" s="30" t="s">
        <v>26844</v>
      </c>
      <c r="B11814" s="30" t="s">
        <v>26845</v>
      </c>
      <c r="C11814" s="30" t="s">
        <v>1102</v>
      </c>
      <c r="D11814" s="30" t="s">
        <v>17</v>
      </c>
      <c r="E11814" s="30" t="s">
        <v>31</v>
      </c>
      <c r="F11814" s="30" t="s">
        <v>32</v>
      </c>
      <c r="G11814" s="30" t="s">
        <v>20</v>
      </c>
      <c r="H11814" s="32">
        <v>21</v>
      </c>
      <c r="I11814" s="30" t="s">
        <v>21</v>
      </c>
      <c r="J11814" s="41">
        <v>44831</v>
      </c>
      <c r="K11814" s="30" t="s">
        <v>22</v>
      </c>
    </row>
    <row r="11815" spans="1:11">
      <c r="A11815" s="33" t="s">
        <v>26846</v>
      </c>
      <c r="B11815" s="33" t="s">
        <v>26847</v>
      </c>
      <c r="C11815" s="33" t="s">
        <v>736</v>
      </c>
      <c r="D11815" s="33" t="s">
        <v>17</v>
      </c>
      <c r="E11815" s="33" t="s">
        <v>18</v>
      </c>
      <c r="F11815" s="33" t="s">
        <v>19</v>
      </c>
      <c r="G11815" s="33" t="s">
        <v>20</v>
      </c>
      <c r="H11815" s="35">
        <v>114</v>
      </c>
      <c r="I11815" s="33" t="s">
        <v>21</v>
      </c>
      <c r="J11815" s="42">
        <v>44888</v>
      </c>
      <c r="K11815" s="33" t="s">
        <v>22</v>
      </c>
    </row>
    <row r="11816" spans="1:11">
      <c r="A11816" s="30" t="s">
        <v>26848</v>
      </c>
      <c r="B11816" s="30" t="s">
        <v>26849</v>
      </c>
      <c r="C11816" s="30" t="s">
        <v>26850</v>
      </c>
      <c r="D11816" s="30" t="s">
        <v>17</v>
      </c>
      <c r="E11816" s="30" t="s">
        <v>26</v>
      </c>
      <c r="F11816" s="30" t="s">
        <v>27</v>
      </c>
      <c r="G11816" s="30" t="s">
        <v>50</v>
      </c>
      <c r="H11816" s="32">
        <v>22</v>
      </c>
      <c r="I11816" s="30" t="s">
        <v>51</v>
      </c>
      <c r="J11816" s="41">
        <v>44582</v>
      </c>
      <c r="K11816" s="30" t="s">
        <v>22</v>
      </c>
    </row>
    <row r="11817" spans="1:11">
      <c r="A11817" s="33" t="s">
        <v>26851</v>
      </c>
      <c r="B11817" s="33" t="s">
        <v>26852</v>
      </c>
      <c r="C11817" s="33" t="s">
        <v>5372</v>
      </c>
      <c r="D11817" s="33" t="s">
        <v>17</v>
      </c>
      <c r="E11817" s="33" t="s">
        <v>26</v>
      </c>
      <c r="F11817" s="33" t="s">
        <v>27</v>
      </c>
      <c r="G11817" s="33" t="s">
        <v>140</v>
      </c>
      <c r="H11817" s="35">
        <v>144</v>
      </c>
      <c r="I11817" s="33" t="s">
        <v>51</v>
      </c>
      <c r="J11817" s="42">
        <v>44825</v>
      </c>
      <c r="K11817" s="33" t="s">
        <v>22</v>
      </c>
    </row>
    <row r="11818" spans="1:11">
      <c r="A11818" s="30" t="s">
        <v>26853</v>
      </c>
      <c r="B11818" s="30" t="s">
        <v>26854</v>
      </c>
      <c r="C11818" s="30" t="s">
        <v>2878</v>
      </c>
      <c r="D11818" s="30" t="s">
        <v>17</v>
      </c>
      <c r="E11818" s="30" t="s">
        <v>31</v>
      </c>
      <c r="F11818" s="30" t="s">
        <v>32</v>
      </c>
      <c r="G11818" s="30" t="s">
        <v>106</v>
      </c>
      <c r="H11818" s="32">
        <v>179</v>
      </c>
      <c r="I11818" s="30" t="s">
        <v>21</v>
      </c>
      <c r="J11818" s="41">
        <v>44749</v>
      </c>
      <c r="K11818" s="30" t="s">
        <v>22</v>
      </c>
    </row>
    <row r="11819" spans="1:11">
      <c r="A11819" s="33" t="s">
        <v>26855</v>
      </c>
      <c r="B11819" s="33" t="s">
        <v>26856</v>
      </c>
      <c r="C11819" s="33" t="s">
        <v>647</v>
      </c>
      <c r="D11819" s="33" t="s">
        <v>17</v>
      </c>
      <c r="E11819" s="33" t="s">
        <v>18</v>
      </c>
      <c r="F11819" s="33" t="s">
        <v>19</v>
      </c>
      <c r="G11819" s="33" t="s">
        <v>20</v>
      </c>
      <c r="H11819" s="35">
        <v>739</v>
      </c>
      <c r="I11819" s="33" t="s">
        <v>21</v>
      </c>
      <c r="J11819" s="42">
        <v>44644</v>
      </c>
      <c r="K11819" s="33" t="s">
        <v>22</v>
      </c>
    </row>
    <row r="11820" spans="1:11">
      <c r="A11820" s="30" t="s">
        <v>26857</v>
      </c>
      <c r="B11820" s="30" t="s">
        <v>26858</v>
      </c>
      <c r="C11820" s="30" t="s">
        <v>4029</v>
      </c>
      <c r="D11820" s="30" t="s">
        <v>17</v>
      </c>
      <c r="E11820" s="30" t="s">
        <v>31</v>
      </c>
      <c r="F11820" s="30" t="s">
        <v>32</v>
      </c>
      <c r="G11820" s="30" t="s">
        <v>50</v>
      </c>
      <c r="H11820" s="32">
        <v>20</v>
      </c>
      <c r="I11820" s="30" t="s">
        <v>51</v>
      </c>
      <c r="J11820" s="41">
        <v>44864</v>
      </c>
      <c r="K11820" s="30" t="s">
        <v>22</v>
      </c>
    </row>
    <row r="11821" spans="1:11">
      <c r="A11821" s="33" t="s">
        <v>26859</v>
      </c>
      <c r="B11821" s="33" t="s">
        <v>26860</v>
      </c>
      <c r="C11821" s="33" t="s">
        <v>326</v>
      </c>
      <c r="D11821" s="33" t="s">
        <v>17</v>
      </c>
      <c r="E11821" s="33" t="s">
        <v>67</v>
      </c>
      <c r="F11821" s="33" t="s">
        <v>68</v>
      </c>
      <c r="G11821" s="33" t="s">
        <v>20</v>
      </c>
      <c r="H11821" s="35">
        <v>21</v>
      </c>
      <c r="I11821" s="33" t="s">
        <v>21</v>
      </c>
      <c r="J11821" s="42">
        <v>44851</v>
      </c>
      <c r="K11821" s="33" t="s">
        <v>22</v>
      </c>
    </row>
    <row r="11822" spans="1:11">
      <c r="A11822" s="30" t="s">
        <v>26861</v>
      </c>
      <c r="B11822" s="30" t="s">
        <v>26862</v>
      </c>
      <c r="C11822" s="30" t="s">
        <v>3243</v>
      </c>
      <c r="D11822" s="30" t="s">
        <v>17</v>
      </c>
      <c r="E11822" s="30" t="s">
        <v>31</v>
      </c>
      <c r="F11822" s="30" t="s">
        <v>32</v>
      </c>
      <c r="G11822" s="30" t="s">
        <v>20</v>
      </c>
      <c r="H11822" s="32">
        <v>104</v>
      </c>
      <c r="I11822" s="30" t="s">
        <v>21</v>
      </c>
      <c r="J11822" s="41">
        <v>44641</v>
      </c>
      <c r="K11822" s="30" t="s">
        <v>22</v>
      </c>
    </row>
    <row r="11823" spans="1:11">
      <c r="A11823" s="33" t="s">
        <v>26863</v>
      </c>
      <c r="B11823" s="33" t="s">
        <v>26864</v>
      </c>
      <c r="C11823" s="33" t="s">
        <v>26865</v>
      </c>
      <c r="D11823" s="33" t="s">
        <v>17</v>
      </c>
      <c r="E11823" s="33" t="s">
        <v>67</v>
      </c>
      <c r="F11823" s="33" t="s">
        <v>68</v>
      </c>
      <c r="G11823" s="33" t="s">
        <v>106</v>
      </c>
      <c r="H11823" s="35">
        <v>27</v>
      </c>
      <c r="I11823" s="33" t="s">
        <v>21</v>
      </c>
      <c r="J11823" s="42">
        <v>44916</v>
      </c>
      <c r="K11823" s="33" t="s">
        <v>22</v>
      </c>
    </row>
    <row r="11824" spans="1:11">
      <c r="A11824" s="30" t="s">
        <v>26866</v>
      </c>
      <c r="B11824" s="30" t="s">
        <v>26867</v>
      </c>
      <c r="C11824" s="30" t="s">
        <v>26868</v>
      </c>
      <c r="D11824" s="30" t="s">
        <v>17</v>
      </c>
      <c r="E11824" s="30" t="s">
        <v>31</v>
      </c>
      <c r="F11824" s="30" t="s">
        <v>32</v>
      </c>
      <c r="G11824" s="30" t="s">
        <v>20</v>
      </c>
      <c r="H11824" s="32">
        <v>221</v>
      </c>
      <c r="I11824" s="30" t="s">
        <v>21</v>
      </c>
      <c r="J11824" s="41">
        <v>44720</v>
      </c>
      <c r="K11824" s="30" t="s">
        <v>22</v>
      </c>
    </row>
    <row r="11825" spans="1:11">
      <c r="A11825" s="33" t="s">
        <v>26869</v>
      </c>
      <c r="B11825" s="33" t="s">
        <v>26870</v>
      </c>
      <c r="C11825" s="33" t="s">
        <v>203</v>
      </c>
      <c r="D11825" s="33" t="s">
        <v>17</v>
      </c>
      <c r="E11825" s="33" t="s">
        <v>18</v>
      </c>
      <c r="F11825" s="33" t="s">
        <v>19</v>
      </c>
      <c r="G11825" s="33" t="s">
        <v>140</v>
      </c>
      <c r="H11825" s="35">
        <v>284</v>
      </c>
      <c r="I11825" s="33" t="s">
        <v>51</v>
      </c>
      <c r="J11825" s="42">
        <v>44607</v>
      </c>
      <c r="K11825" s="33" t="s">
        <v>22</v>
      </c>
    </row>
    <row r="11826" spans="1:11">
      <c r="A11826" s="30" t="s">
        <v>26871</v>
      </c>
      <c r="B11826" s="30" t="s">
        <v>26872</v>
      </c>
      <c r="C11826" s="30" t="s">
        <v>10028</v>
      </c>
      <c r="D11826" s="30" t="s">
        <v>17</v>
      </c>
      <c r="E11826" s="30" t="s">
        <v>18</v>
      </c>
      <c r="F11826" s="30" t="s">
        <v>19</v>
      </c>
      <c r="G11826" s="30" t="s">
        <v>140</v>
      </c>
      <c r="H11826" s="32">
        <v>220</v>
      </c>
      <c r="I11826" s="30" t="s">
        <v>51</v>
      </c>
      <c r="J11826" s="41">
        <v>44742</v>
      </c>
      <c r="K11826" s="30" t="s">
        <v>22</v>
      </c>
    </row>
    <row r="11827" spans="1:11">
      <c r="A11827" s="33" t="s">
        <v>26873</v>
      </c>
      <c r="B11827" s="33" t="s">
        <v>26874</v>
      </c>
      <c r="C11827" s="33" t="s">
        <v>154</v>
      </c>
      <c r="D11827" s="33" t="s">
        <v>17</v>
      </c>
      <c r="E11827" s="33" t="s">
        <v>26</v>
      </c>
      <c r="F11827" s="33" t="s">
        <v>27</v>
      </c>
      <c r="G11827" s="33" t="s">
        <v>20</v>
      </c>
      <c r="H11827" s="35">
        <v>43</v>
      </c>
      <c r="I11827" s="33" t="s">
        <v>21</v>
      </c>
      <c r="J11827" s="42">
        <v>44719</v>
      </c>
      <c r="K11827" s="33" t="s">
        <v>22</v>
      </c>
    </row>
    <row r="11828" spans="1:11">
      <c r="A11828" s="30" t="s">
        <v>26875</v>
      </c>
      <c r="B11828" s="30" t="s">
        <v>26876</v>
      </c>
      <c r="C11828" s="30" t="s">
        <v>178</v>
      </c>
      <c r="D11828" s="30" t="s">
        <v>17</v>
      </c>
      <c r="E11828" s="30" t="s">
        <v>18</v>
      </c>
      <c r="F11828" s="30" t="s">
        <v>19</v>
      </c>
      <c r="G11828" s="30" t="s">
        <v>158</v>
      </c>
      <c r="H11828" s="32">
        <v>1290</v>
      </c>
      <c r="I11828" s="30" t="s">
        <v>51</v>
      </c>
      <c r="J11828" s="41">
        <v>44924</v>
      </c>
      <c r="K11828" s="30" t="s">
        <v>22</v>
      </c>
    </row>
    <row r="11829" spans="1:11">
      <c r="A11829" s="33" t="s">
        <v>26877</v>
      </c>
      <c r="B11829" s="33" t="s">
        <v>26878</v>
      </c>
      <c r="C11829" s="33" t="s">
        <v>647</v>
      </c>
      <c r="D11829" s="33" t="s">
        <v>17</v>
      </c>
      <c r="E11829" s="33" t="s">
        <v>26</v>
      </c>
      <c r="F11829" s="33" t="s">
        <v>27</v>
      </c>
      <c r="G11829" s="33" t="s">
        <v>20</v>
      </c>
      <c r="H11829" s="35">
        <v>12</v>
      </c>
      <c r="I11829" s="33" t="s">
        <v>21</v>
      </c>
      <c r="J11829" s="42">
        <v>44711</v>
      </c>
      <c r="K11829" s="33" t="s">
        <v>22</v>
      </c>
    </row>
    <row r="11830" spans="1:11">
      <c r="A11830" s="30" t="s">
        <v>26879</v>
      </c>
      <c r="B11830" s="30" t="s">
        <v>26880</v>
      </c>
      <c r="C11830" s="30" t="s">
        <v>3106</v>
      </c>
      <c r="D11830" s="30" t="s">
        <v>17</v>
      </c>
      <c r="E11830" s="30" t="s">
        <v>26</v>
      </c>
      <c r="F11830" s="30" t="s">
        <v>27</v>
      </c>
      <c r="G11830" s="30" t="s">
        <v>20</v>
      </c>
      <c r="H11830" s="32">
        <v>87</v>
      </c>
      <c r="I11830" s="30" t="s">
        <v>21</v>
      </c>
      <c r="J11830" s="41">
        <v>44663</v>
      </c>
      <c r="K11830" s="30" t="s">
        <v>22</v>
      </c>
    </row>
    <row r="11831" spans="1:11">
      <c r="A11831" s="33" t="s">
        <v>26881</v>
      </c>
      <c r="B11831" s="33" t="s">
        <v>26882</v>
      </c>
      <c r="C11831" s="33" t="s">
        <v>93</v>
      </c>
      <c r="D11831" s="33" t="s">
        <v>17</v>
      </c>
      <c r="E11831" s="33" t="s">
        <v>18</v>
      </c>
      <c r="F11831" s="33" t="s">
        <v>19</v>
      </c>
      <c r="G11831" s="33" t="s">
        <v>140</v>
      </c>
      <c r="H11831" s="35">
        <v>1059</v>
      </c>
      <c r="I11831" s="33" t="s">
        <v>51</v>
      </c>
      <c r="J11831" s="42">
        <v>44574</v>
      </c>
      <c r="K11831" s="33" t="s">
        <v>22</v>
      </c>
    </row>
    <row r="11832" spans="1:11">
      <c r="A11832" s="30" t="s">
        <v>26883</v>
      </c>
      <c r="B11832" s="30" t="s">
        <v>26884</v>
      </c>
      <c r="C11832" s="30" t="s">
        <v>26885</v>
      </c>
      <c r="D11832" s="30" t="s">
        <v>17</v>
      </c>
      <c r="E11832" s="30" t="s">
        <v>18</v>
      </c>
      <c r="F11832" s="30" t="s">
        <v>19</v>
      </c>
      <c r="G11832" s="30" t="s">
        <v>20</v>
      </c>
      <c r="H11832" s="32">
        <v>458</v>
      </c>
      <c r="I11832" s="30" t="s">
        <v>21</v>
      </c>
      <c r="J11832" s="41">
        <v>44621</v>
      </c>
      <c r="K11832" s="30" t="s">
        <v>22</v>
      </c>
    </row>
    <row r="11833" spans="1:11">
      <c r="A11833" s="33" t="s">
        <v>26886</v>
      </c>
      <c r="B11833" s="33" t="s">
        <v>26887</v>
      </c>
      <c r="C11833" s="33" t="s">
        <v>2772</v>
      </c>
      <c r="D11833" s="33" t="s">
        <v>17</v>
      </c>
      <c r="E11833" s="33" t="s">
        <v>18</v>
      </c>
      <c r="F11833" s="33" t="s">
        <v>19</v>
      </c>
      <c r="G11833" s="33" t="s">
        <v>158</v>
      </c>
      <c r="H11833" s="35">
        <v>261</v>
      </c>
      <c r="I11833" s="33" t="s">
        <v>51</v>
      </c>
      <c r="J11833" s="42">
        <v>44902</v>
      </c>
      <c r="K11833" s="33" t="s">
        <v>22</v>
      </c>
    </row>
    <row r="11834" spans="1:11">
      <c r="A11834" s="30" t="s">
        <v>26888</v>
      </c>
      <c r="B11834" s="30" t="s">
        <v>26889</v>
      </c>
      <c r="C11834" s="30" t="s">
        <v>4612</v>
      </c>
      <c r="D11834" s="30" t="s">
        <v>17</v>
      </c>
      <c r="E11834" s="30" t="s">
        <v>26</v>
      </c>
      <c r="F11834" s="30" t="s">
        <v>27</v>
      </c>
      <c r="G11834" s="30" t="s">
        <v>112</v>
      </c>
      <c r="H11834" s="32">
        <v>0</v>
      </c>
      <c r="I11834" s="30" t="s">
        <v>21</v>
      </c>
      <c r="J11834" s="41">
        <v>44866</v>
      </c>
      <c r="K11834" s="30" t="s">
        <v>22</v>
      </c>
    </row>
    <row r="11835" spans="1:11">
      <c r="A11835" s="33" t="s">
        <v>26890</v>
      </c>
      <c r="B11835" s="33" t="s">
        <v>26891</v>
      </c>
      <c r="C11835" s="33" t="s">
        <v>387</v>
      </c>
      <c r="D11835" s="33" t="s">
        <v>17</v>
      </c>
      <c r="E11835" s="33" t="s">
        <v>212</v>
      </c>
      <c r="F11835" s="33" t="s">
        <v>213</v>
      </c>
      <c r="G11835" s="33" t="s">
        <v>106</v>
      </c>
      <c r="H11835" s="35">
        <v>32</v>
      </c>
      <c r="I11835" s="33" t="s">
        <v>21</v>
      </c>
      <c r="J11835" s="42">
        <v>44624</v>
      </c>
      <c r="K11835" s="33" t="s">
        <v>22</v>
      </c>
    </row>
    <row r="11836" spans="1:11">
      <c r="A11836" s="30" t="s">
        <v>26892</v>
      </c>
      <c r="B11836" s="30" t="s">
        <v>26893</v>
      </c>
      <c r="C11836" s="30" t="s">
        <v>12569</v>
      </c>
      <c r="D11836" s="30" t="s">
        <v>17</v>
      </c>
      <c r="E11836" s="30" t="s">
        <v>31</v>
      </c>
      <c r="F11836" s="30" t="s">
        <v>32</v>
      </c>
      <c r="G11836" s="30" t="s">
        <v>20</v>
      </c>
      <c r="H11836" s="32">
        <v>75</v>
      </c>
      <c r="I11836" s="30" t="s">
        <v>21</v>
      </c>
      <c r="J11836" s="41">
        <v>44865</v>
      </c>
      <c r="K11836" s="30" t="s">
        <v>22</v>
      </c>
    </row>
    <row r="11837" spans="1:11">
      <c r="A11837" s="33" t="s">
        <v>26894</v>
      </c>
      <c r="B11837" s="33" t="s">
        <v>26895</v>
      </c>
      <c r="C11837" s="33" t="s">
        <v>8262</v>
      </c>
      <c r="D11837" s="33" t="s">
        <v>17</v>
      </c>
      <c r="E11837" s="33" t="s">
        <v>212</v>
      </c>
      <c r="F11837" s="33" t="s">
        <v>213</v>
      </c>
      <c r="G11837" s="33" t="s">
        <v>20</v>
      </c>
      <c r="H11837" s="35">
        <v>483</v>
      </c>
      <c r="I11837" s="33" t="s">
        <v>21</v>
      </c>
      <c r="J11837" s="42">
        <v>44911</v>
      </c>
      <c r="K11837" s="33" t="s">
        <v>22</v>
      </c>
    </row>
    <row r="11838" spans="1:11">
      <c r="A11838" s="30" t="s">
        <v>26896</v>
      </c>
      <c r="B11838" s="30" t="s">
        <v>26897</v>
      </c>
      <c r="C11838" s="30" t="s">
        <v>19148</v>
      </c>
      <c r="D11838" s="30" t="s">
        <v>17</v>
      </c>
      <c r="E11838" s="30" t="s">
        <v>67</v>
      </c>
      <c r="F11838" s="30" t="s">
        <v>68</v>
      </c>
      <c r="G11838" s="30" t="s">
        <v>106</v>
      </c>
      <c r="H11838" s="32">
        <v>9</v>
      </c>
      <c r="I11838" s="30" t="s">
        <v>21</v>
      </c>
      <c r="J11838" s="41">
        <v>44890</v>
      </c>
      <c r="K11838" s="30" t="s">
        <v>22</v>
      </c>
    </row>
    <row r="11839" spans="1:11">
      <c r="A11839" s="33" t="s">
        <v>26898</v>
      </c>
      <c r="B11839" s="33" t="s">
        <v>26899</v>
      </c>
      <c r="C11839" s="33" t="s">
        <v>5845</v>
      </c>
      <c r="D11839" s="33" t="s">
        <v>17</v>
      </c>
      <c r="E11839" s="33" t="s">
        <v>26</v>
      </c>
      <c r="F11839" s="33" t="s">
        <v>27</v>
      </c>
      <c r="G11839" s="33" t="s">
        <v>20</v>
      </c>
      <c r="H11839" s="35">
        <v>151</v>
      </c>
      <c r="I11839" s="33" t="s">
        <v>21</v>
      </c>
      <c r="J11839" s="42">
        <v>44585</v>
      </c>
      <c r="K11839" s="33" t="s">
        <v>22</v>
      </c>
    </row>
    <row r="11840" spans="1:11">
      <c r="A11840" s="30" t="s">
        <v>26900</v>
      </c>
      <c r="B11840" s="30" t="s">
        <v>26901</v>
      </c>
      <c r="C11840" s="30" t="s">
        <v>136</v>
      </c>
      <c r="D11840" s="30" t="s">
        <v>17</v>
      </c>
      <c r="E11840" s="30" t="s">
        <v>26</v>
      </c>
      <c r="F11840" s="30" t="s">
        <v>27</v>
      </c>
      <c r="G11840" s="30" t="s">
        <v>20</v>
      </c>
      <c r="H11840" s="32">
        <v>29</v>
      </c>
      <c r="I11840" s="30" t="s">
        <v>21</v>
      </c>
      <c r="J11840" s="41">
        <v>44881</v>
      </c>
      <c r="K11840" s="30" t="s">
        <v>22</v>
      </c>
    </row>
    <row r="11841" spans="1:11">
      <c r="A11841" s="33" t="s">
        <v>26902</v>
      </c>
      <c r="B11841" s="33" t="s">
        <v>26903</v>
      </c>
      <c r="C11841" s="33" t="s">
        <v>8888</v>
      </c>
      <c r="D11841" s="33" t="s">
        <v>17</v>
      </c>
      <c r="E11841" s="33" t="s">
        <v>26</v>
      </c>
      <c r="F11841" s="33" t="s">
        <v>27</v>
      </c>
      <c r="G11841" s="33" t="s">
        <v>50</v>
      </c>
      <c r="H11841" s="35">
        <v>56</v>
      </c>
      <c r="I11841" s="33" t="s">
        <v>51</v>
      </c>
      <c r="J11841" s="42">
        <v>44715</v>
      </c>
      <c r="K11841" s="33" t="s">
        <v>22</v>
      </c>
    </row>
    <row r="11842" spans="1:11">
      <c r="A11842" s="30" t="s">
        <v>26904</v>
      </c>
      <c r="B11842" s="30" t="s">
        <v>26905</v>
      </c>
      <c r="C11842" s="30" t="s">
        <v>18733</v>
      </c>
      <c r="D11842" s="30" t="s">
        <v>17</v>
      </c>
      <c r="E11842" s="30" t="s">
        <v>18</v>
      </c>
      <c r="F11842" s="30" t="s">
        <v>19</v>
      </c>
      <c r="G11842" s="30" t="s">
        <v>20</v>
      </c>
      <c r="H11842" s="32">
        <v>2351</v>
      </c>
      <c r="I11842" s="30" t="s">
        <v>21</v>
      </c>
      <c r="J11842" s="41">
        <v>44683</v>
      </c>
      <c r="K11842" s="30" t="s">
        <v>22</v>
      </c>
    </row>
    <row r="11843" spans="1:11">
      <c r="A11843" s="33" t="s">
        <v>26906</v>
      </c>
      <c r="B11843" s="33" t="s">
        <v>26907</v>
      </c>
      <c r="C11843" s="33" t="s">
        <v>11899</v>
      </c>
      <c r="D11843" s="33" t="s">
        <v>17</v>
      </c>
      <c r="E11843" s="33" t="s">
        <v>67</v>
      </c>
      <c r="F11843" s="33" t="s">
        <v>68</v>
      </c>
      <c r="G11843" s="33" t="s">
        <v>50</v>
      </c>
      <c r="H11843" s="35">
        <v>168</v>
      </c>
      <c r="I11843" s="33" t="s">
        <v>51</v>
      </c>
      <c r="J11843" s="42">
        <v>44788</v>
      </c>
      <c r="K11843" s="33" t="s">
        <v>22</v>
      </c>
    </row>
    <row r="11844" spans="1:11">
      <c r="A11844" s="30" t="s">
        <v>26908</v>
      </c>
      <c r="B11844" s="30" t="s">
        <v>26909</v>
      </c>
      <c r="C11844" s="30" t="s">
        <v>21340</v>
      </c>
      <c r="D11844" s="30" t="s">
        <v>17</v>
      </c>
      <c r="E11844" s="30" t="s">
        <v>26</v>
      </c>
      <c r="F11844" s="30" t="s">
        <v>27</v>
      </c>
      <c r="G11844" s="30" t="s">
        <v>20</v>
      </c>
      <c r="H11844" s="32">
        <v>46</v>
      </c>
      <c r="I11844" s="30" t="s">
        <v>21</v>
      </c>
      <c r="J11844" s="41">
        <v>44782</v>
      </c>
      <c r="K11844" s="30" t="s">
        <v>22</v>
      </c>
    </row>
    <row r="11845" spans="1:11">
      <c r="A11845" s="33" t="s">
        <v>26910</v>
      </c>
      <c r="B11845" s="33" t="s">
        <v>26911</v>
      </c>
      <c r="C11845" s="33" t="s">
        <v>26912</v>
      </c>
      <c r="D11845" s="33" t="s">
        <v>17</v>
      </c>
      <c r="E11845" s="33" t="s">
        <v>67</v>
      </c>
      <c r="F11845" s="33" t="s">
        <v>68</v>
      </c>
      <c r="G11845" s="33" t="s">
        <v>158</v>
      </c>
      <c r="H11845" s="35">
        <v>70</v>
      </c>
      <c r="I11845" s="33" t="s">
        <v>51</v>
      </c>
      <c r="J11845" s="42">
        <v>44788</v>
      </c>
      <c r="K11845" s="33" t="s">
        <v>22</v>
      </c>
    </row>
    <row r="11846" spans="1:11">
      <c r="A11846" s="30" t="s">
        <v>26913</v>
      </c>
      <c r="B11846" s="30" t="s">
        <v>26914</v>
      </c>
      <c r="C11846" s="30" t="s">
        <v>22435</v>
      </c>
      <c r="D11846" s="30" t="s">
        <v>17</v>
      </c>
      <c r="E11846" s="30" t="s">
        <v>18</v>
      </c>
      <c r="F11846" s="30" t="s">
        <v>19</v>
      </c>
      <c r="G11846" s="30" t="s">
        <v>50</v>
      </c>
      <c r="H11846" s="32">
        <v>400</v>
      </c>
      <c r="I11846" s="30" t="s">
        <v>51</v>
      </c>
      <c r="J11846" s="41">
        <v>44895</v>
      </c>
      <c r="K11846" s="30" t="s">
        <v>22</v>
      </c>
    </row>
    <row r="11847" spans="1:11">
      <c r="A11847" s="33" t="s">
        <v>26915</v>
      </c>
      <c r="B11847" s="33" t="s">
        <v>26916</v>
      </c>
      <c r="C11847" s="33" t="s">
        <v>4596</v>
      </c>
      <c r="D11847" s="33" t="s">
        <v>17</v>
      </c>
      <c r="E11847" s="33" t="s">
        <v>26</v>
      </c>
      <c r="F11847" s="33" t="s">
        <v>27</v>
      </c>
      <c r="G11847" s="33" t="s">
        <v>20</v>
      </c>
      <c r="H11847" s="35">
        <v>44</v>
      </c>
      <c r="I11847" s="33" t="s">
        <v>21</v>
      </c>
      <c r="J11847" s="42">
        <v>44852</v>
      </c>
      <c r="K11847" s="33" t="s">
        <v>22</v>
      </c>
    </row>
    <row r="11848" spans="1:11">
      <c r="A11848" s="30" t="s">
        <v>26917</v>
      </c>
      <c r="B11848" s="30" t="s">
        <v>26918</v>
      </c>
      <c r="C11848" s="30" t="s">
        <v>1661</v>
      </c>
      <c r="D11848" s="30" t="s">
        <v>17</v>
      </c>
      <c r="E11848" s="30" t="s">
        <v>31</v>
      </c>
      <c r="F11848" s="30" t="s">
        <v>32</v>
      </c>
      <c r="G11848" s="30" t="s">
        <v>20</v>
      </c>
      <c r="H11848" s="32">
        <v>78</v>
      </c>
      <c r="I11848" s="30" t="s">
        <v>21</v>
      </c>
      <c r="J11848" s="41">
        <v>44607</v>
      </c>
      <c r="K11848" s="30" t="s">
        <v>22</v>
      </c>
    </row>
    <row r="11849" spans="1:11">
      <c r="A11849" s="33" t="s">
        <v>26919</v>
      </c>
      <c r="B11849" s="33" t="s">
        <v>26920</v>
      </c>
      <c r="C11849" s="33" t="s">
        <v>969</v>
      </c>
      <c r="D11849" s="33" t="s">
        <v>17</v>
      </c>
      <c r="E11849" s="33" t="s">
        <v>18</v>
      </c>
      <c r="F11849" s="33" t="s">
        <v>19</v>
      </c>
      <c r="G11849" s="33" t="s">
        <v>112</v>
      </c>
      <c r="H11849" s="35">
        <v>0</v>
      </c>
      <c r="I11849" s="33" t="s">
        <v>21</v>
      </c>
      <c r="J11849" s="42">
        <v>44631</v>
      </c>
      <c r="K11849" s="33" t="s">
        <v>22</v>
      </c>
    </row>
    <row r="11850" spans="1:11">
      <c r="A11850" s="30" t="s">
        <v>26921</v>
      </c>
      <c r="B11850" s="30" t="s">
        <v>26922</v>
      </c>
      <c r="C11850" s="30" t="s">
        <v>969</v>
      </c>
      <c r="D11850" s="30" t="s">
        <v>17</v>
      </c>
      <c r="E11850" s="30" t="s">
        <v>67</v>
      </c>
      <c r="F11850" s="30" t="s">
        <v>68</v>
      </c>
      <c r="G11850" s="30" t="s">
        <v>158</v>
      </c>
      <c r="H11850" s="32">
        <v>20</v>
      </c>
      <c r="I11850" s="30" t="s">
        <v>21</v>
      </c>
      <c r="J11850" s="41">
        <v>44761</v>
      </c>
      <c r="K11850" s="30" t="s">
        <v>22</v>
      </c>
    </row>
    <row r="11851" spans="1:11">
      <c r="A11851" s="33" t="s">
        <v>26923</v>
      </c>
      <c r="B11851" s="33" t="s">
        <v>26924</v>
      </c>
      <c r="C11851" s="33" t="s">
        <v>609</v>
      </c>
      <c r="D11851" s="33" t="s">
        <v>17</v>
      </c>
      <c r="E11851" s="33" t="s">
        <v>18</v>
      </c>
      <c r="F11851" s="33" t="s">
        <v>19</v>
      </c>
      <c r="G11851" s="33" t="s">
        <v>20</v>
      </c>
      <c r="H11851" s="35">
        <v>111</v>
      </c>
      <c r="I11851" s="33" t="s">
        <v>21</v>
      </c>
      <c r="J11851" s="42">
        <v>44742</v>
      </c>
      <c r="K11851" s="33" t="s">
        <v>22</v>
      </c>
    </row>
    <row r="11852" spans="1:11">
      <c r="A11852" s="30" t="s">
        <v>26925</v>
      </c>
      <c r="B11852" s="30" t="s">
        <v>26926</v>
      </c>
      <c r="C11852" s="30" t="s">
        <v>7163</v>
      </c>
      <c r="D11852" s="30" t="s">
        <v>17</v>
      </c>
      <c r="E11852" s="30" t="s">
        <v>212</v>
      </c>
      <c r="F11852" s="30" t="s">
        <v>213</v>
      </c>
      <c r="G11852" s="30" t="s">
        <v>50</v>
      </c>
      <c r="H11852" s="32">
        <v>60</v>
      </c>
      <c r="I11852" s="30" t="s">
        <v>51</v>
      </c>
      <c r="J11852" s="41">
        <v>44834</v>
      </c>
      <c r="K11852" s="30" t="s">
        <v>22</v>
      </c>
    </row>
    <row r="11853" spans="1:11">
      <c r="A11853" s="33" t="s">
        <v>26927</v>
      </c>
      <c r="B11853" s="33" t="s">
        <v>26928</v>
      </c>
      <c r="C11853" s="33" t="s">
        <v>3655</v>
      </c>
      <c r="D11853" s="33" t="s">
        <v>17</v>
      </c>
      <c r="E11853" s="33" t="s">
        <v>26</v>
      </c>
      <c r="F11853" s="33" t="s">
        <v>27</v>
      </c>
      <c r="G11853" s="33" t="s">
        <v>20</v>
      </c>
      <c r="H11853" s="35">
        <v>60</v>
      </c>
      <c r="I11853" s="33" t="s">
        <v>21</v>
      </c>
      <c r="J11853" s="42">
        <v>44910</v>
      </c>
      <c r="K11853" s="33" t="s">
        <v>22</v>
      </c>
    </row>
    <row r="11854" spans="1:11">
      <c r="A11854" s="30" t="s">
        <v>26929</v>
      </c>
      <c r="B11854" s="30" t="s">
        <v>26930</v>
      </c>
      <c r="C11854" s="30" t="s">
        <v>187</v>
      </c>
      <c r="D11854" s="30" t="s">
        <v>17</v>
      </c>
      <c r="E11854" s="30" t="s">
        <v>31</v>
      </c>
      <c r="F11854" s="30" t="s">
        <v>32</v>
      </c>
      <c r="G11854" s="30" t="s">
        <v>106</v>
      </c>
      <c r="H11854" s="32">
        <v>26</v>
      </c>
      <c r="I11854" s="30" t="s">
        <v>21</v>
      </c>
      <c r="J11854" s="41">
        <v>44781</v>
      </c>
      <c r="K11854" s="30" t="s">
        <v>22</v>
      </c>
    </row>
    <row r="11855" spans="1:11">
      <c r="A11855" s="33" t="s">
        <v>26931</v>
      </c>
      <c r="B11855" s="33" t="s">
        <v>26932</v>
      </c>
      <c r="C11855" s="33" t="s">
        <v>102</v>
      </c>
      <c r="D11855" s="33" t="s">
        <v>17</v>
      </c>
      <c r="E11855" s="33" t="s">
        <v>26</v>
      </c>
      <c r="F11855" s="33" t="s">
        <v>27</v>
      </c>
      <c r="G11855" s="33" t="s">
        <v>112</v>
      </c>
      <c r="H11855" s="35">
        <v>0</v>
      </c>
      <c r="I11855" s="33" t="s">
        <v>21</v>
      </c>
      <c r="J11855" s="42">
        <v>44805</v>
      </c>
      <c r="K11855" s="33" t="s">
        <v>22</v>
      </c>
    </row>
    <row r="11856" spans="1:11">
      <c r="A11856" s="30" t="s">
        <v>26933</v>
      </c>
      <c r="B11856" s="30" t="s">
        <v>26934</v>
      </c>
      <c r="C11856" s="30" t="s">
        <v>1718</v>
      </c>
      <c r="D11856" s="30" t="s">
        <v>17</v>
      </c>
      <c r="E11856" s="30" t="s">
        <v>18</v>
      </c>
      <c r="F11856" s="30" t="s">
        <v>19</v>
      </c>
      <c r="G11856" s="30" t="s">
        <v>20</v>
      </c>
      <c r="H11856" s="32">
        <v>532</v>
      </c>
      <c r="I11856" s="30" t="s">
        <v>21</v>
      </c>
      <c r="J11856" s="41">
        <v>44796</v>
      </c>
      <c r="K11856" s="30" t="s">
        <v>22</v>
      </c>
    </row>
    <row r="11857" spans="1:11">
      <c r="A11857" s="33" t="s">
        <v>26935</v>
      </c>
      <c r="B11857" s="33" t="s">
        <v>26936</v>
      </c>
      <c r="C11857" s="33" t="s">
        <v>1801</v>
      </c>
      <c r="D11857" s="33" t="s">
        <v>17</v>
      </c>
      <c r="E11857" s="33" t="s">
        <v>45</v>
      </c>
      <c r="F11857" s="33" t="s">
        <v>46</v>
      </c>
      <c r="G11857" s="33" t="s">
        <v>50</v>
      </c>
      <c r="H11857" s="35">
        <v>670</v>
      </c>
      <c r="I11857" s="33" t="s">
        <v>51</v>
      </c>
      <c r="J11857" s="42">
        <v>44707</v>
      </c>
      <c r="K11857" s="33" t="s">
        <v>22</v>
      </c>
    </row>
    <row r="11858" spans="1:11">
      <c r="A11858" s="30" t="s">
        <v>26937</v>
      </c>
      <c r="B11858" s="30" t="s">
        <v>26938</v>
      </c>
      <c r="C11858" s="30" t="s">
        <v>231</v>
      </c>
      <c r="D11858" s="30" t="s">
        <v>17</v>
      </c>
      <c r="E11858" s="30" t="s">
        <v>18</v>
      </c>
      <c r="F11858" s="30" t="s">
        <v>19</v>
      </c>
      <c r="G11858" s="30" t="s">
        <v>20</v>
      </c>
      <c r="H11858" s="32">
        <v>11</v>
      </c>
      <c r="I11858" s="30" t="s">
        <v>21</v>
      </c>
      <c r="J11858" s="41">
        <v>44609</v>
      </c>
      <c r="K11858" s="30" t="s">
        <v>22</v>
      </c>
    </row>
    <row r="11859" spans="1:11">
      <c r="A11859" s="33" t="s">
        <v>26939</v>
      </c>
      <c r="B11859" s="33" t="s">
        <v>26940</v>
      </c>
      <c r="C11859" s="33" t="s">
        <v>3914</v>
      </c>
      <c r="D11859" s="33" t="s">
        <v>17</v>
      </c>
      <c r="E11859" s="33" t="s">
        <v>31</v>
      </c>
      <c r="F11859" s="33" t="s">
        <v>32</v>
      </c>
      <c r="G11859" s="33" t="s">
        <v>112</v>
      </c>
      <c r="H11859" s="35">
        <v>0</v>
      </c>
      <c r="I11859" s="33" t="s">
        <v>21</v>
      </c>
      <c r="J11859" s="42">
        <v>44902</v>
      </c>
      <c r="K11859" s="33" t="s">
        <v>22</v>
      </c>
    </row>
    <row r="11860" spans="1:11">
      <c r="A11860" s="30" t="s">
        <v>26941</v>
      </c>
      <c r="B11860" s="30" t="s">
        <v>26942</v>
      </c>
      <c r="C11860" s="30" t="s">
        <v>26943</v>
      </c>
      <c r="D11860" s="30" t="s">
        <v>17</v>
      </c>
      <c r="E11860" s="30" t="s">
        <v>18</v>
      </c>
      <c r="F11860" s="30" t="s">
        <v>19</v>
      </c>
      <c r="G11860" s="30" t="s">
        <v>20</v>
      </c>
      <c r="H11860" s="32">
        <v>325</v>
      </c>
      <c r="I11860" s="30" t="s">
        <v>21</v>
      </c>
      <c r="J11860" s="41">
        <v>44782</v>
      </c>
      <c r="K11860" s="30" t="s">
        <v>22</v>
      </c>
    </row>
    <row r="11861" spans="1:11">
      <c r="A11861" s="33" t="s">
        <v>26944</v>
      </c>
      <c r="B11861" s="33" t="s">
        <v>26945</v>
      </c>
      <c r="C11861" s="33" t="s">
        <v>7120</v>
      </c>
      <c r="D11861" s="33" t="s">
        <v>17</v>
      </c>
      <c r="E11861" s="33" t="s">
        <v>26</v>
      </c>
      <c r="F11861" s="33" t="s">
        <v>27</v>
      </c>
      <c r="G11861" s="33" t="s">
        <v>140</v>
      </c>
      <c r="H11861" s="35">
        <v>38</v>
      </c>
      <c r="I11861" s="33" t="s">
        <v>51</v>
      </c>
      <c r="J11861" s="42">
        <v>44787</v>
      </c>
      <c r="K11861" s="33" t="s">
        <v>22</v>
      </c>
    </row>
    <row r="11862" spans="1:11">
      <c r="A11862" s="30" t="s">
        <v>26946</v>
      </c>
      <c r="B11862" s="30" t="s">
        <v>26947</v>
      </c>
      <c r="C11862" s="30" t="s">
        <v>6437</v>
      </c>
      <c r="D11862" s="30" t="s">
        <v>17</v>
      </c>
      <c r="E11862" s="30" t="s">
        <v>26</v>
      </c>
      <c r="F11862" s="30" t="s">
        <v>27</v>
      </c>
      <c r="G11862" s="30" t="s">
        <v>20</v>
      </c>
      <c r="H11862" s="32">
        <v>13</v>
      </c>
      <c r="I11862" s="30" t="s">
        <v>21</v>
      </c>
      <c r="J11862" s="41">
        <v>44837</v>
      </c>
      <c r="K11862" s="30" t="s">
        <v>22</v>
      </c>
    </row>
    <row r="11863" spans="1:11">
      <c r="A11863" s="33" t="s">
        <v>26948</v>
      </c>
      <c r="B11863" s="33" t="s">
        <v>26949</v>
      </c>
      <c r="C11863" s="33" t="s">
        <v>190</v>
      </c>
      <c r="D11863" s="33" t="s">
        <v>17</v>
      </c>
      <c r="E11863" s="33" t="s">
        <v>18</v>
      </c>
      <c r="F11863" s="33" t="s">
        <v>19</v>
      </c>
      <c r="G11863" s="33" t="s">
        <v>158</v>
      </c>
      <c r="H11863" s="35">
        <v>1350</v>
      </c>
      <c r="I11863" s="33" t="s">
        <v>21</v>
      </c>
      <c r="J11863" s="42">
        <v>44924</v>
      </c>
      <c r="K11863" s="33" t="s">
        <v>22</v>
      </c>
    </row>
    <row r="11864" spans="1:11">
      <c r="A11864" s="30" t="s">
        <v>26950</v>
      </c>
      <c r="B11864" s="30" t="s">
        <v>26951</v>
      </c>
      <c r="C11864" s="30" t="s">
        <v>26952</v>
      </c>
      <c r="D11864" s="30" t="s">
        <v>17</v>
      </c>
      <c r="E11864" s="30" t="s">
        <v>26</v>
      </c>
      <c r="F11864" s="30" t="s">
        <v>27</v>
      </c>
      <c r="G11864" s="30" t="s">
        <v>50</v>
      </c>
      <c r="H11864" s="32">
        <v>56</v>
      </c>
      <c r="I11864" s="30" t="s">
        <v>51</v>
      </c>
      <c r="J11864" s="41">
        <v>44849</v>
      </c>
      <c r="K11864" s="30" t="s">
        <v>22</v>
      </c>
    </row>
    <row r="11865" spans="1:11">
      <c r="A11865" s="33" t="s">
        <v>26953</v>
      </c>
      <c r="B11865" s="33" t="s">
        <v>26954</v>
      </c>
      <c r="C11865" s="33" t="s">
        <v>26955</v>
      </c>
      <c r="D11865" s="33" t="s">
        <v>17</v>
      </c>
      <c r="E11865" s="33" t="s">
        <v>31</v>
      </c>
      <c r="F11865" s="33" t="s">
        <v>32</v>
      </c>
      <c r="G11865" s="33" t="s">
        <v>50</v>
      </c>
      <c r="H11865" s="35">
        <v>125</v>
      </c>
      <c r="I11865" s="33" t="s">
        <v>51</v>
      </c>
      <c r="J11865" s="42">
        <v>44742</v>
      </c>
      <c r="K11865" s="33" t="s">
        <v>22</v>
      </c>
    </row>
    <row r="11866" spans="1:11">
      <c r="A11866" s="30" t="s">
        <v>26956</v>
      </c>
      <c r="B11866" s="30" t="s">
        <v>26957</v>
      </c>
      <c r="C11866" s="30" t="s">
        <v>899</v>
      </c>
      <c r="D11866" s="30" t="s">
        <v>17</v>
      </c>
      <c r="E11866" s="30" t="s">
        <v>26</v>
      </c>
      <c r="F11866" s="30" t="s">
        <v>27</v>
      </c>
      <c r="G11866" s="30" t="s">
        <v>20</v>
      </c>
      <c r="H11866" s="32">
        <v>6</v>
      </c>
      <c r="I11866" s="30" t="s">
        <v>21</v>
      </c>
      <c r="J11866" s="41">
        <v>44768</v>
      </c>
      <c r="K11866" s="30" t="s">
        <v>22</v>
      </c>
    </row>
    <row r="11867" spans="1:11">
      <c r="A11867" s="33" t="s">
        <v>26958</v>
      </c>
      <c r="B11867" s="33" t="s">
        <v>26959</v>
      </c>
      <c r="C11867" s="33" t="s">
        <v>957</v>
      </c>
      <c r="D11867" s="33" t="s">
        <v>17</v>
      </c>
      <c r="E11867" s="33" t="s">
        <v>26</v>
      </c>
      <c r="F11867" s="33" t="s">
        <v>27</v>
      </c>
      <c r="G11867" s="33" t="s">
        <v>20</v>
      </c>
      <c r="H11867" s="35">
        <v>19</v>
      </c>
      <c r="I11867" s="33" t="s">
        <v>21</v>
      </c>
      <c r="J11867" s="42">
        <v>44623</v>
      </c>
      <c r="K11867" s="33" t="s">
        <v>22</v>
      </c>
    </row>
    <row r="11868" spans="1:11">
      <c r="A11868" s="30" t="s">
        <v>26960</v>
      </c>
      <c r="B11868" s="30" t="s">
        <v>26961</v>
      </c>
      <c r="C11868" s="30" t="s">
        <v>12712</v>
      </c>
      <c r="D11868" s="30" t="s">
        <v>17</v>
      </c>
      <c r="E11868" s="30" t="s">
        <v>31</v>
      </c>
      <c r="F11868" s="30" t="s">
        <v>32</v>
      </c>
      <c r="G11868" s="30" t="s">
        <v>106</v>
      </c>
      <c r="H11868" s="32">
        <v>119</v>
      </c>
      <c r="I11868" s="30" t="s">
        <v>21</v>
      </c>
      <c r="J11868" s="41">
        <v>44819</v>
      </c>
      <c r="K11868" s="30" t="s">
        <v>22</v>
      </c>
    </row>
    <row r="11869" spans="1:11">
      <c r="A11869" s="33" t="s">
        <v>26962</v>
      </c>
      <c r="B11869" s="33" t="s">
        <v>26963</v>
      </c>
      <c r="C11869" s="33" t="s">
        <v>3177</v>
      </c>
      <c r="D11869" s="33" t="s">
        <v>17</v>
      </c>
      <c r="E11869" s="33" t="s">
        <v>31</v>
      </c>
      <c r="F11869" s="33" t="s">
        <v>32</v>
      </c>
      <c r="G11869" s="33" t="s">
        <v>20</v>
      </c>
      <c r="H11869" s="35">
        <v>68</v>
      </c>
      <c r="I11869" s="33" t="s">
        <v>21</v>
      </c>
      <c r="J11869" s="42">
        <v>44754</v>
      </c>
      <c r="K11869" s="33" t="s">
        <v>22</v>
      </c>
    </row>
    <row r="11870" spans="1:11">
      <c r="A11870" s="30" t="s">
        <v>26964</v>
      </c>
      <c r="B11870" s="30" t="s">
        <v>26965</v>
      </c>
      <c r="C11870" s="30" t="s">
        <v>1857</v>
      </c>
      <c r="D11870" s="30" t="s">
        <v>17</v>
      </c>
      <c r="E11870" s="30" t="s">
        <v>330</v>
      </c>
      <c r="F11870" s="30" t="s">
        <v>331</v>
      </c>
      <c r="G11870" s="30" t="s">
        <v>50</v>
      </c>
      <c r="H11870" s="32">
        <v>6</v>
      </c>
      <c r="I11870" s="30" t="s">
        <v>51</v>
      </c>
      <c r="J11870" s="41">
        <v>44607</v>
      </c>
      <c r="K11870" s="30" t="s">
        <v>22</v>
      </c>
    </row>
    <row r="11871" spans="1:11">
      <c r="A11871" s="33" t="s">
        <v>26966</v>
      </c>
      <c r="B11871" s="33" t="s">
        <v>26967</v>
      </c>
      <c r="C11871" s="33" t="s">
        <v>1601</v>
      </c>
      <c r="D11871" s="33" t="s">
        <v>17</v>
      </c>
      <c r="E11871" s="33" t="s">
        <v>31</v>
      </c>
      <c r="F11871" s="33" t="s">
        <v>32</v>
      </c>
      <c r="G11871" s="33" t="s">
        <v>106</v>
      </c>
      <c r="H11871" s="35">
        <v>1</v>
      </c>
      <c r="I11871" s="33" t="s">
        <v>21</v>
      </c>
      <c r="J11871" s="42">
        <v>44796</v>
      </c>
      <c r="K11871" s="33" t="s">
        <v>22</v>
      </c>
    </row>
    <row r="11872" spans="1:11">
      <c r="A11872" s="30" t="s">
        <v>26968</v>
      </c>
      <c r="B11872" s="30" t="s">
        <v>26969</v>
      </c>
      <c r="C11872" s="30" t="s">
        <v>2434</v>
      </c>
      <c r="D11872" s="30" t="s">
        <v>17</v>
      </c>
      <c r="E11872" s="30" t="s">
        <v>26</v>
      </c>
      <c r="F11872" s="30" t="s">
        <v>27</v>
      </c>
      <c r="G11872" s="30" t="s">
        <v>20</v>
      </c>
      <c r="H11872" s="32">
        <v>6</v>
      </c>
      <c r="I11872" s="30" t="s">
        <v>21</v>
      </c>
      <c r="J11872" s="41">
        <v>44601</v>
      </c>
      <c r="K11872" s="30" t="s">
        <v>22</v>
      </c>
    </row>
    <row r="11873" spans="1:11">
      <c r="A11873" s="33" t="s">
        <v>26970</v>
      </c>
      <c r="B11873" s="33" t="s">
        <v>26971</v>
      </c>
      <c r="C11873" s="33" t="s">
        <v>26972</v>
      </c>
      <c r="D11873" s="33" t="s">
        <v>17</v>
      </c>
      <c r="E11873" s="33" t="s">
        <v>26</v>
      </c>
      <c r="F11873" s="33" t="s">
        <v>27</v>
      </c>
      <c r="G11873" s="33" t="s">
        <v>158</v>
      </c>
      <c r="H11873" s="35">
        <v>95</v>
      </c>
      <c r="I11873" s="33" t="s">
        <v>51</v>
      </c>
      <c r="J11873" s="42">
        <v>44700</v>
      </c>
      <c r="K11873" s="33" t="s">
        <v>22</v>
      </c>
    </row>
    <row r="11874" spans="1:11">
      <c r="A11874" s="30" t="s">
        <v>26973</v>
      </c>
      <c r="B11874" s="30" t="s">
        <v>26974</v>
      </c>
      <c r="C11874" s="30" t="s">
        <v>60</v>
      </c>
      <c r="D11874" s="30" t="s">
        <v>17</v>
      </c>
      <c r="E11874" s="30" t="s">
        <v>18</v>
      </c>
      <c r="F11874" s="30" t="s">
        <v>19</v>
      </c>
      <c r="G11874" s="30" t="s">
        <v>158</v>
      </c>
      <c r="H11874" s="32">
        <v>16</v>
      </c>
      <c r="I11874" s="30" t="s">
        <v>21</v>
      </c>
      <c r="J11874" s="41">
        <v>44684</v>
      </c>
      <c r="K11874" s="30" t="s">
        <v>22</v>
      </c>
    </row>
    <row r="11875" spans="1:11">
      <c r="A11875" s="33" t="s">
        <v>26975</v>
      </c>
      <c r="B11875" s="33" t="s">
        <v>26976</v>
      </c>
      <c r="C11875" s="33" t="s">
        <v>2196</v>
      </c>
      <c r="D11875" s="33" t="s">
        <v>17</v>
      </c>
      <c r="E11875" s="33" t="s">
        <v>26</v>
      </c>
      <c r="F11875" s="33" t="s">
        <v>27</v>
      </c>
      <c r="G11875" s="33" t="s">
        <v>20</v>
      </c>
      <c r="H11875" s="35">
        <v>32</v>
      </c>
      <c r="I11875" s="33" t="s">
        <v>21</v>
      </c>
      <c r="J11875" s="42">
        <v>44622</v>
      </c>
      <c r="K11875" s="33" t="s">
        <v>22</v>
      </c>
    </row>
    <row r="11876" spans="1:11">
      <c r="A11876" s="30" t="s">
        <v>26977</v>
      </c>
      <c r="B11876" s="30" t="s">
        <v>26978</v>
      </c>
      <c r="C11876" s="30" t="s">
        <v>450</v>
      </c>
      <c r="D11876" s="30" t="s">
        <v>17</v>
      </c>
      <c r="E11876" s="30" t="s">
        <v>26</v>
      </c>
      <c r="F11876" s="30" t="s">
        <v>27</v>
      </c>
      <c r="G11876" s="30" t="s">
        <v>20</v>
      </c>
      <c r="H11876" s="32">
        <v>90</v>
      </c>
      <c r="I11876" s="30" t="s">
        <v>21</v>
      </c>
      <c r="J11876" s="41">
        <v>44816</v>
      </c>
      <c r="K11876" s="30" t="s">
        <v>22</v>
      </c>
    </row>
    <row r="11877" spans="1:11">
      <c r="A11877" s="33" t="s">
        <v>26979</v>
      </c>
      <c r="B11877" s="33" t="s">
        <v>26980</v>
      </c>
      <c r="C11877" s="33" t="s">
        <v>26981</v>
      </c>
      <c r="D11877" s="33" t="s">
        <v>17</v>
      </c>
      <c r="E11877" s="33" t="s">
        <v>31</v>
      </c>
      <c r="F11877" s="33" t="s">
        <v>32</v>
      </c>
      <c r="G11877" s="33" t="s">
        <v>20</v>
      </c>
      <c r="H11877" s="35">
        <v>66</v>
      </c>
      <c r="I11877" s="33" t="s">
        <v>21</v>
      </c>
      <c r="J11877" s="42">
        <v>44923</v>
      </c>
      <c r="K11877" s="33" t="s">
        <v>22</v>
      </c>
    </row>
    <row r="11878" spans="1:11">
      <c r="A11878" s="30" t="s">
        <v>26982</v>
      </c>
      <c r="B11878" s="30" t="s">
        <v>26983</v>
      </c>
      <c r="C11878" s="30" t="s">
        <v>157</v>
      </c>
      <c r="D11878" s="30" t="s">
        <v>17</v>
      </c>
      <c r="E11878" s="30" t="s">
        <v>26</v>
      </c>
      <c r="F11878" s="30" t="s">
        <v>27</v>
      </c>
      <c r="G11878" s="30" t="s">
        <v>112</v>
      </c>
      <c r="H11878" s="32">
        <v>0</v>
      </c>
      <c r="I11878" s="30" t="s">
        <v>21</v>
      </c>
      <c r="J11878" s="41">
        <v>44845</v>
      </c>
      <c r="K11878" s="30" t="s">
        <v>22</v>
      </c>
    </row>
    <row r="11879" spans="1:11">
      <c r="A11879" s="33" t="s">
        <v>26984</v>
      </c>
      <c r="B11879" s="33" t="s">
        <v>26985</v>
      </c>
      <c r="C11879" s="33" t="s">
        <v>13584</v>
      </c>
      <c r="D11879" s="33" t="s">
        <v>17</v>
      </c>
      <c r="E11879" s="33" t="s">
        <v>18</v>
      </c>
      <c r="F11879" s="33" t="s">
        <v>19</v>
      </c>
      <c r="G11879" s="33" t="s">
        <v>50</v>
      </c>
      <c r="H11879" s="35">
        <v>700</v>
      </c>
      <c r="I11879" s="33" t="s">
        <v>51</v>
      </c>
      <c r="J11879" s="42">
        <v>44576</v>
      </c>
      <c r="K11879" s="33" t="s">
        <v>22</v>
      </c>
    </row>
    <row r="11880" spans="1:11">
      <c r="A11880" s="30" t="s">
        <v>26986</v>
      </c>
      <c r="B11880" s="30" t="s">
        <v>26987</v>
      </c>
      <c r="C11880" s="30" t="s">
        <v>26988</v>
      </c>
      <c r="D11880" s="30" t="s">
        <v>17</v>
      </c>
      <c r="E11880" s="30" t="s">
        <v>67</v>
      </c>
      <c r="F11880" s="30" t="s">
        <v>68</v>
      </c>
      <c r="G11880" s="30" t="s">
        <v>140</v>
      </c>
      <c r="H11880" s="32">
        <v>180</v>
      </c>
      <c r="I11880" s="30" t="s">
        <v>51</v>
      </c>
      <c r="J11880" s="41">
        <v>44776</v>
      </c>
      <c r="K11880" s="30" t="s">
        <v>22</v>
      </c>
    </row>
    <row r="11881" spans="1:11">
      <c r="A11881" s="33" t="s">
        <v>26989</v>
      </c>
      <c r="B11881" s="33" t="s">
        <v>26990</v>
      </c>
      <c r="C11881" s="33" t="s">
        <v>21956</v>
      </c>
      <c r="D11881" s="33" t="s">
        <v>17</v>
      </c>
      <c r="E11881" s="33" t="s">
        <v>31</v>
      </c>
      <c r="F11881" s="33" t="s">
        <v>32</v>
      </c>
      <c r="G11881" s="33" t="s">
        <v>20</v>
      </c>
      <c r="H11881" s="35">
        <v>40</v>
      </c>
      <c r="I11881" s="33" t="s">
        <v>21</v>
      </c>
      <c r="J11881" s="42">
        <v>44616</v>
      </c>
      <c r="K11881" s="33" t="s">
        <v>22</v>
      </c>
    </row>
    <row r="11882" spans="1:11">
      <c r="A11882" s="30" t="s">
        <v>26991</v>
      </c>
      <c r="B11882" s="30" t="s">
        <v>26992</v>
      </c>
      <c r="C11882" s="30" t="s">
        <v>1796</v>
      </c>
      <c r="D11882" s="30" t="s">
        <v>17</v>
      </c>
      <c r="E11882" s="30" t="s">
        <v>18</v>
      </c>
      <c r="F11882" s="30" t="s">
        <v>19</v>
      </c>
      <c r="G11882" s="30" t="s">
        <v>20</v>
      </c>
      <c r="H11882" s="32">
        <v>450</v>
      </c>
      <c r="I11882" s="30" t="s">
        <v>21</v>
      </c>
      <c r="J11882" s="41">
        <v>44773</v>
      </c>
      <c r="K11882" s="30" t="s">
        <v>22</v>
      </c>
    </row>
    <row r="11883" spans="1:11">
      <c r="A11883" s="33" t="s">
        <v>26993</v>
      </c>
      <c r="B11883" s="33" t="s">
        <v>26994</v>
      </c>
      <c r="C11883" s="33" t="s">
        <v>26995</v>
      </c>
      <c r="D11883" s="33" t="s">
        <v>17</v>
      </c>
      <c r="E11883" s="33" t="s">
        <v>31</v>
      </c>
      <c r="F11883" s="33" t="s">
        <v>32</v>
      </c>
      <c r="G11883" s="33" t="s">
        <v>140</v>
      </c>
      <c r="H11883" s="35">
        <v>120</v>
      </c>
      <c r="I11883" s="33" t="s">
        <v>51</v>
      </c>
      <c r="J11883" s="42">
        <v>44781</v>
      </c>
      <c r="K11883" s="33" t="s">
        <v>22</v>
      </c>
    </row>
    <row r="11884" spans="1:11">
      <c r="A11884" s="30" t="s">
        <v>26996</v>
      </c>
      <c r="B11884" s="30" t="s">
        <v>26997</v>
      </c>
      <c r="C11884" s="30" t="s">
        <v>368</v>
      </c>
      <c r="D11884" s="30" t="s">
        <v>17</v>
      </c>
      <c r="E11884" s="30" t="s">
        <v>212</v>
      </c>
      <c r="F11884" s="30" t="s">
        <v>213</v>
      </c>
      <c r="G11884" s="30" t="s">
        <v>20</v>
      </c>
      <c r="H11884" s="32">
        <v>52</v>
      </c>
      <c r="I11884" s="30" t="s">
        <v>21</v>
      </c>
      <c r="J11884" s="41">
        <v>44679</v>
      </c>
      <c r="K11884" s="30" t="s">
        <v>22</v>
      </c>
    </row>
    <row r="11885" spans="1:11">
      <c r="A11885" s="33" t="s">
        <v>26998</v>
      </c>
      <c r="B11885" s="33" t="s">
        <v>26999</v>
      </c>
      <c r="C11885" s="33" t="s">
        <v>11073</v>
      </c>
      <c r="D11885" s="33" t="s">
        <v>17</v>
      </c>
      <c r="E11885" s="33" t="s">
        <v>18</v>
      </c>
      <c r="F11885" s="33" t="s">
        <v>19</v>
      </c>
      <c r="G11885" s="33" t="s">
        <v>140</v>
      </c>
      <c r="H11885" s="35">
        <v>350</v>
      </c>
      <c r="I11885" s="33" t="s">
        <v>51</v>
      </c>
      <c r="J11885" s="42">
        <v>44575</v>
      </c>
      <c r="K11885" s="33" t="s">
        <v>22</v>
      </c>
    </row>
    <row r="11886" spans="1:11">
      <c r="A11886" s="30" t="s">
        <v>27000</v>
      </c>
      <c r="B11886" s="30" t="s">
        <v>27001</v>
      </c>
      <c r="C11886" s="30" t="s">
        <v>203</v>
      </c>
      <c r="D11886" s="30" t="s">
        <v>17</v>
      </c>
      <c r="E11886" s="30" t="s">
        <v>18</v>
      </c>
      <c r="F11886" s="30" t="s">
        <v>19</v>
      </c>
      <c r="G11886" s="30" t="s">
        <v>158</v>
      </c>
      <c r="H11886" s="32">
        <v>104</v>
      </c>
      <c r="I11886" s="30" t="s">
        <v>21</v>
      </c>
      <c r="J11886" s="41">
        <v>44684</v>
      </c>
      <c r="K11886" s="30" t="s">
        <v>22</v>
      </c>
    </row>
    <row r="11887" spans="1:11">
      <c r="A11887" s="33" t="s">
        <v>27002</v>
      </c>
      <c r="B11887" s="33" t="s">
        <v>27003</v>
      </c>
      <c r="C11887" s="33" t="s">
        <v>21924</v>
      </c>
      <c r="D11887" s="33" t="s">
        <v>17</v>
      </c>
      <c r="E11887" s="33" t="s">
        <v>31</v>
      </c>
      <c r="F11887" s="33" t="s">
        <v>32</v>
      </c>
      <c r="G11887" s="33" t="s">
        <v>20</v>
      </c>
      <c r="H11887" s="35">
        <v>75</v>
      </c>
      <c r="I11887" s="33" t="s">
        <v>21</v>
      </c>
      <c r="J11887" s="42">
        <v>44767</v>
      </c>
      <c r="K11887" s="33" t="s">
        <v>22</v>
      </c>
    </row>
    <row r="11888" spans="1:11">
      <c r="A11888" s="30" t="s">
        <v>27004</v>
      </c>
      <c r="B11888" s="30" t="s">
        <v>27005</v>
      </c>
      <c r="C11888" s="30" t="s">
        <v>203</v>
      </c>
      <c r="D11888" s="30" t="s">
        <v>17</v>
      </c>
      <c r="E11888" s="30" t="s">
        <v>26</v>
      </c>
      <c r="F11888" s="30" t="s">
        <v>27</v>
      </c>
      <c r="G11888" s="30" t="s">
        <v>20</v>
      </c>
      <c r="H11888" s="32">
        <v>36</v>
      </c>
      <c r="I11888" s="30" t="s">
        <v>21</v>
      </c>
      <c r="J11888" s="41">
        <v>44720</v>
      </c>
      <c r="K11888" s="30" t="s">
        <v>22</v>
      </c>
    </row>
    <row r="11889" spans="1:11">
      <c r="A11889" s="33" t="s">
        <v>27006</v>
      </c>
      <c r="B11889" s="33" t="s">
        <v>27007</v>
      </c>
      <c r="C11889" s="33" t="s">
        <v>701</v>
      </c>
      <c r="D11889" s="33" t="s">
        <v>17</v>
      </c>
      <c r="E11889" s="33" t="s">
        <v>67</v>
      </c>
      <c r="F11889" s="33" t="s">
        <v>68</v>
      </c>
      <c r="G11889" s="33" t="s">
        <v>20</v>
      </c>
      <c r="H11889" s="35">
        <v>300</v>
      </c>
      <c r="I11889" s="33" t="s">
        <v>21</v>
      </c>
      <c r="J11889" s="42">
        <v>44571</v>
      </c>
      <c r="K11889" s="33" t="s">
        <v>22</v>
      </c>
    </row>
    <row r="11890" spans="1:11">
      <c r="A11890" s="30" t="s">
        <v>27008</v>
      </c>
      <c r="B11890" s="30" t="s">
        <v>27009</v>
      </c>
      <c r="C11890" s="30" t="s">
        <v>96</v>
      </c>
      <c r="D11890" s="30" t="s">
        <v>17</v>
      </c>
      <c r="E11890" s="30" t="s">
        <v>18</v>
      </c>
      <c r="F11890" s="30" t="s">
        <v>19</v>
      </c>
      <c r="G11890" s="30" t="s">
        <v>158</v>
      </c>
      <c r="H11890" s="32">
        <v>854</v>
      </c>
      <c r="I11890" s="30" t="s">
        <v>21</v>
      </c>
      <c r="J11890" s="41">
        <v>44645</v>
      </c>
      <c r="K11890" s="30" t="s">
        <v>22</v>
      </c>
    </row>
    <row r="11891" spans="1:11">
      <c r="A11891" s="33" t="s">
        <v>27010</v>
      </c>
      <c r="B11891" s="33" t="s">
        <v>27011</v>
      </c>
      <c r="C11891" s="33" t="s">
        <v>27012</v>
      </c>
      <c r="D11891" s="33" t="s">
        <v>17</v>
      </c>
      <c r="E11891" s="33" t="s">
        <v>31</v>
      </c>
      <c r="F11891" s="33" t="s">
        <v>32</v>
      </c>
      <c r="G11891" s="33" t="s">
        <v>50</v>
      </c>
      <c r="H11891" s="35">
        <v>80</v>
      </c>
      <c r="I11891" s="33" t="s">
        <v>51</v>
      </c>
      <c r="J11891" s="42">
        <v>44768</v>
      </c>
      <c r="K11891" s="33" t="s">
        <v>22</v>
      </c>
    </row>
    <row r="11892" spans="1:11">
      <c r="A11892" s="30" t="s">
        <v>27013</v>
      </c>
      <c r="B11892" s="30" t="s">
        <v>27014</v>
      </c>
      <c r="C11892" s="30" t="s">
        <v>109</v>
      </c>
      <c r="D11892" s="30" t="s">
        <v>17</v>
      </c>
      <c r="E11892" s="30" t="s">
        <v>31</v>
      </c>
      <c r="F11892" s="30" t="s">
        <v>32</v>
      </c>
      <c r="G11892" s="30" t="s">
        <v>158</v>
      </c>
      <c r="H11892" s="32">
        <v>95</v>
      </c>
      <c r="I11892" s="30" t="s">
        <v>21</v>
      </c>
      <c r="J11892" s="41">
        <v>44901</v>
      </c>
      <c r="K11892" s="30" t="s">
        <v>22</v>
      </c>
    </row>
    <row r="11893" spans="1:11">
      <c r="A11893" s="33" t="s">
        <v>27015</v>
      </c>
      <c r="B11893" s="33" t="s">
        <v>27016</v>
      </c>
      <c r="C11893" s="33" t="s">
        <v>15199</v>
      </c>
      <c r="D11893" s="33" t="s">
        <v>17</v>
      </c>
      <c r="E11893" s="33" t="s">
        <v>26</v>
      </c>
      <c r="F11893" s="33" t="s">
        <v>27</v>
      </c>
      <c r="G11893" s="33" t="s">
        <v>20</v>
      </c>
      <c r="H11893" s="35">
        <v>22</v>
      </c>
      <c r="I11893" s="33" t="s">
        <v>21</v>
      </c>
      <c r="J11893" s="42">
        <v>44831</v>
      </c>
      <c r="K11893" s="33" t="s">
        <v>22</v>
      </c>
    </row>
    <row r="11894" spans="1:11">
      <c r="A11894" s="30" t="s">
        <v>27017</v>
      </c>
      <c r="B11894" s="30" t="s">
        <v>27018</v>
      </c>
      <c r="C11894" s="30" t="s">
        <v>4557</v>
      </c>
      <c r="D11894" s="30" t="s">
        <v>17</v>
      </c>
      <c r="E11894" s="30" t="s">
        <v>31</v>
      </c>
      <c r="F11894" s="30" t="s">
        <v>32</v>
      </c>
      <c r="G11894" s="30" t="s">
        <v>158</v>
      </c>
      <c r="H11894" s="32">
        <v>10</v>
      </c>
      <c r="I11894" s="30" t="s">
        <v>21</v>
      </c>
      <c r="J11894" s="41">
        <v>44767</v>
      </c>
      <c r="K11894" s="30" t="s">
        <v>22</v>
      </c>
    </row>
    <row r="11895" spans="1:11">
      <c r="A11895" s="33" t="s">
        <v>27019</v>
      </c>
      <c r="B11895" s="33" t="s">
        <v>27020</v>
      </c>
      <c r="C11895" s="33" t="s">
        <v>27021</v>
      </c>
      <c r="D11895" s="33" t="s">
        <v>17</v>
      </c>
      <c r="E11895" s="33" t="s">
        <v>26</v>
      </c>
      <c r="F11895" s="33" t="s">
        <v>27</v>
      </c>
      <c r="G11895" s="33" t="s">
        <v>140</v>
      </c>
      <c r="H11895" s="35">
        <v>50</v>
      </c>
      <c r="I11895" s="33" t="s">
        <v>51</v>
      </c>
      <c r="J11895" s="42">
        <v>44851</v>
      </c>
      <c r="K11895" s="33" t="s">
        <v>22</v>
      </c>
    </row>
    <row r="11896" spans="1:11">
      <c r="A11896" s="30" t="s">
        <v>27022</v>
      </c>
      <c r="B11896" s="30" t="s">
        <v>27023</v>
      </c>
      <c r="C11896" s="30" t="s">
        <v>93</v>
      </c>
      <c r="D11896" s="30" t="s">
        <v>17</v>
      </c>
      <c r="E11896" s="30" t="s">
        <v>26</v>
      </c>
      <c r="F11896" s="30" t="s">
        <v>27</v>
      </c>
      <c r="G11896" s="30" t="s">
        <v>20</v>
      </c>
      <c r="H11896" s="32">
        <v>16</v>
      </c>
      <c r="I11896" s="30" t="s">
        <v>21</v>
      </c>
      <c r="J11896" s="41">
        <v>44579</v>
      </c>
      <c r="K11896" s="30" t="s">
        <v>22</v>
      </c>
    </row>
    <row r="11897" spans="1:11">
      <c r="A11897" s="33" t="s">
        <v>27024</v>
      </c>
      <c r="B11897" s="33" t="s">
        <v>27025</v>
      </c>
      <c r="C11897" s="33" t="s">
        <v>22557</v>
      </c>
      <c r="D11897" s="33" t="s">
        <v>17</v>
      </c>
      <c r="E11897" s="33" t="s">
        <v>31</v>
      </c>
      <c r="F11897" s="33" t="s">
        <v>32</v>
      </c>
      <c r="G11897" s="33" t="s">
        <v>20</v>
      </c>
      <c r="H11897" s="35">
        <v>101</v>
      </c>
      <c r="I11897" s="33" t="s">
        <v>21</v>
      </c>
      <c r="J11897" s="42">
        <v>44608</v>
      </c>
      <c r="K11897" s="33" t="s">
        <v>22</v>
      </c>
    </row>
    <row r="11898" spans="1:11">
      <c r="A11898" s="30" t="s">
        <v>27026</v>
      </c>
      <c r="B11898" s="30" t="s">
        <v>27027</v>
      </c>
      <c r="C11898" s="30" t="s">
        <v>118</v>
      </c>
      <c r="D11898" s="30" t="s">
        <v>17</v>
      </c>
      <c r="E11898" s="30" t="s">
        <v>212</v>
      </c>
      <c r="F11898" s="30" t="s">
        <v>213</v>
      </c>
      <c r="G11898" s="30" t="s">
        <v>20</v>
      </c>
      <c r="H11898" s="32">
        <v>205</v>
      </c>
      <c r="I11898" s="30" t="s">
        <v>21</v>
      </c>
      <c r="J11898" s="41">
        <v>44911</v>
      </c>
      <c r="K11898" s="30" t="s">
        <v>22</v>
      </c>
    </row>
    <row r="11899" spans="1:11">
      <c r="A11899" s="33" t="s">
        <v>27028</v>
      </c>
      <c r="B11899" s="33" t="s">
        <v>27029</v>
      </c>
      <c r="C11899" s="33" t="s">
        <v>187</v>
      </c>
      <c r="D11899" s="33" t="s">
        <v>17</v>
      </c>
      <c r="E11899" s="33" t="s">
        <v>26</v>
      </c>
      <c r="F11899" s="33" t="s">
        <v>27</v>
      </c>
      <c r="G11899" s="33" t="s">
        <v>50</v>
      </c>
      <c r="H11899" s="35">
        <v>135</v>
      </c>
      <c r="I11899" s="33" t="s">
        <v>51</v>
      </c>
      <c r="J11899" s="42">
        <v>44806</v>
      </c>
      <c r="K11899" s="33" t="s">
        <v>22</v>
      </c>
    </row>
    <row r="11900" spans="1:11">
      <c r="A11900" s="30" t="s">
        <v>27030</v>
      </c>
      <c r="B11900" s="30" t="s">
        <v>27031</v>
      </c>
      <c r="C11900" s="30" t="s">
        <v>60</v>
      </c>
      <c r="D11900" s="30" t="s">
        <v>17</v>
      </c>
      <c r="E11900" s="30" t="s">
        <v>26</v>
      </c>
      <c r="F11900" s="30" t="s">
        <v>27</v>
      </c>
      <c r="G11900" s="30" t="s">
        <v>20</v>
      </c>
      <c r="H11900" s="32">
        <v>88</v>
      </c>
      <c r="I11900" s="30" t="s">
        <v>21</v>
      </c>
      <c r="J11900" s="41">
        <v>44658</v>
      </c>
      <c r="K11900" s="30" t="s">
        <v>22</v>
      </c>
    </row>
    <row r="11901" spans="1:11">
      <c r="A11901" s="33" t="s">
        <v>27032</v>
      </c>
      <c r="B11901" s="33" t="s">
        <v>27033</v>
      </c>
      <c r="C11901" s="33" t="s">
        <v>2153</v>
      </c>
      <c r="D11901" s="33" t="s">
        <v>17</v>
      </c>
      <c r="E11901" s="33" t="s">
        <v>18</v>
      </c>
      <c r="F11901" s="33" t="s">
        <v>19</v>
      </c>
      <c r="G11901" s="33" t="s">
        <v>20</v>
      </c>
      <c r="H11901" s="35">
        <v>162</v>
      </c>
      <c r="I11901" s="33" t="s">
        <v>21</v>
      </c>
      <c r="J11901" s="42">
        <v>44635</v>
      </c>
      <c r="K11901" s="33" t="s">
        <v>22</v>
      </c>
    </row>
    <row r="11902" spans="1:11">
      <c r="A11902" s="30" t="s">
        <v>27034</v>
      </c>
      <c r="B11902" s="30" t="s">
        <v>27035</v>
      </c>
      <c r="C11902" s="30" t="s">
        <v>27036</v>
      </c>
      <c r="D11902" s="30" t="s">
        <v>17</v>
      </c>
      <c r="E11902" s="30" t="s">
        <v>26</v>
      </c>
      <c r="F11902" s="30" t="s">
        <v>27</v>
      </c>
      <c r="G11902" s="30" t="s">
        <v>20</v>
      </c>
      <c r="H11902" s="32">
        <v>35</v>
      </c>
      <c r="I11902" s="30" t="s">
        <v>21</v>
      </c>
      <c r="J11902" s="41">
        <v>44658</v>
      </c>
      <c r="K11902" s="30" t="s">
        <v>22</v>
      </c>
    </row>
    <row r="11903" spans="1:11">
      <c r="A11903" s="33" t="s">
        <v>27037</v>
      </c>
      <c r="B11903" s="33" t="s">
        <v>27038</v>
      </c>
      <c r="C11903" s="33" t="s">
        <v>27039</v>
      </c>
      <c r="D11903" s="33" t="s">
        <v>17</v>
      </c>
      <c r="E11903" s="33" t="s">
        <v>31</v>
      </c>
      <c r="F11903" s="33" t="s">
        <v>32</v>
      </c>
      <c r="G11903" s="33" t="s">
        <v>20</v>
      </c>
      <c r="H11903" s="35">
        <v>3</v>
      </c>
      <c r="I11903" s="33" t="s">
        <v>21</v>
      </c>
      <c r="J11903" s="42">
        <v>44893</v>
      </c>
      <c r="K11903" s="33" t="s">
        <v>22</v>
      </c>
    </row>
    <row r="11904" spans="1:11">
      <c r="A11904" s="30" t="s">
        <v>27040</v>
      </c>
      <c r="B11904" s="30" t="s">
        <v>27041</v>
      </c>
      <c r="C11904" s="30" t="s">
        <v>136</v>
      </c>
      <c r="D11904" s="30" t="s">
        <v>17</v>
      </c>
      <c r="E11904" s="30" t="s">
        <v>18</v>
      </c>
      <c r="F11904" s="30" t="s">
        <v>19</v>
      </c>
      <c r="G11904" s="30" t="s">
        <v>158</v>
      </c>
      <c r="H11904" s="32">
        <v>1500</v>
      </c>
      <c r="I11904" s="30" t="s">
        <v>51</v>
      </c>
      <c r="J11904" s="41">
        <v>44844</v>
      </c>
      <c r="K11904" s="30" t="s">
        <v>22</v>
      </c>
    </row>
    <row r="11905" spans="1:11">
      <c r="A11905" s="33" t="s">
        <v>27042</v>
      </c>
      <c r="B11905" s="33" t="s">
        <v>27043</v>
      </c>
      <c r="C11905" s="33" t="s">
        <v>252</v>
      </c>
      <c r="D11905" s="33" t="s">
        <v>17</v>
      </c>
      <c r="E11905" s="33" t="s">
        <v>31</v>
      </c>
      <c r="F11905" s="33" t="s">
        <v>32</v>
      </c>
      <c r="G11905" s="33" t="s">
        <v>106</v>
      </c>
      <c r="H11905" s="35">
        <v>1</v>
      </c>
      <c r="I11905" s="33" t="s">
        <v>21</v>
      </c>
      <c r="J11905" s="42">
        <v>44603</v>
      </c>
      <c r="K11905" s="33" t="s">
        <v>22</v>
      </c>
    </row>
    <row r="11906" spans="1:11">
      <c r="A11906" s="30" t="s">
        <v>27044</v>
      </c>
      <c r="B11906" s="30" t="s">
        <v>27045</v>
      </c>
      <c r="C11906" s="30" t="s">
        <v>27046</v>
      </c>
      <c r="D11906" s="30" t="s">
        <v>17</v>
      </c>
      <c r="E11906" s="30" t="s">
        <v>26</v>
      </c>
      <c r="F11906" s="30" t="s">
        <v>27</v>
      </c>
      <c r="G11906" s="30" t="s">
        <v>20</v>
      </c>
      <c r="H11906" s="32">
        <v>64</v>
      </c>
      <c r="I11906" s="30" t="s">
        <v>21</v>
      </c>
      <c r="J11906" s="41">
        <v>44911</v>
      </c>
      <c r="K11906" s="30" t="s">
        <v>22</v>
      </c>
    </row>
    <row r="11907" spans="1:11">
      <c r="A11907" s="33" t="s">
        <v>27047</v>
      </c>
      <c r="B11907" s="33" t="s">
        <v>27048</v>
      </c>
      <c r="C11907" s="33" t="s">
        <v>647</v>
      </c>
      <c r="D11907" s="33" t="s">
        <v>17</v>
      </c>
      <c r="E11907" s="33" t="s">
        <v>26</v>
      </c>
      <c r="F11907" s="33" t="s">
        <v>27</v>
      </c>
      <c r="G11907" s="33" t="s">
        <v>20</v>
      </c>
      <c r="H11907" s="35">
        <v>16</v>
      </c>
      <c r="I11907" s="33" t="s">
        <v>21</v>
      </c>
      <c r="J11907" s="42">
        <v>44741</v>
      </c>
      <c r="K11907" s="33" t="s">
        <v>22</v>
      </c>
    </row>
    <row r="11908" spans="1:11">
      <c r="A11908" s="30" t="s">
        <v>27049</v>
      </c>
      <c r="B11908" s="30" t="s">
        <v>27050</v>
      </c>
      <c r="C11908" s="30" t="s">
        <v>27051</v>
      </c>
      <c r="D11908" s="30" t="s">
        <v>17</v>
      </c>
      <c r="E11908" s="30" t="s">
        <v>26</v>
      </c>
      <c r="F11908" s="30" t="s">
        <v>27</v>
      </c>
      <c r="G11908" s="30" t="s">
        <v>140</v>
      </c>
      <c r="H11908" s="32">
        <v>55</v>
      </c>
      <c r="I11908" s="30" t="s">
        <v>51</v>
      </c>
      <c r="J11908" s="41">
        <v>44915</v>
      </c>
      <c r="K11908" s="30" t="s">
        <v>22</v>
      </c>
    </row>
    <row r="11909" spans="1:11">
      <c r="A11909" s="33" t="s">
        <v>27052</v>
      </c>
      <c r="B11909" s="33" t="s">
        <v>27053</v>
      </c>
      <c r="C11909" s="33" t="s">
        <v>2196</v>
      </c>
      <c r="D11909" s="33" t="s">
        <v>17</v>
      </c>
      <c r="E11909" s="33" t="s">
        <v>26</v>
      </c>
      <c r="F11909" s="33" t="s">
        <v>27</v>
      </c>
      <c r="G11909" s="33" t="s">
        <v>20</v>
      </c>
      <c r="H11909" s="35">
        <v>40</v>
      </c>
      <c r="I11909" s="33" t="s">
        <v>21</v>
      </c>
      <c r="J11909" s="42">
        <v>44757</v>
      </c>
      <c r="K11909" s="33" t="s">
        <v>22</v>
      </c>
    </row>
    <row r="11910" spans="1:11">
      <c r="A11910" s="30" t="s">
        <v>27054</v>
      </c>
      <c r="B11910" s="30" t="s">
        <v>27055</v>
      </c>
      <c r="C11910" s="30" t="s">
        <v>1313</v>
      </c>
      <c r="D11910" s="30" t="s">
        <v>17</v>
      </c>
      <c r="E11910" s="30" t="s">
        <v>26</v>
      </c>
      <c r="F11910" s="30" t="s">
        <v>27</v>
      </c>
      <c r="G11910" s="30" t="s">
        <v>50</v>
      </c>
      <c r="H11910" s="32">
        <v>10</v>
      </c>
      <c r="I11910" s="30" t="s">
        <v>51</v>
      </c>
      <c r="J11910" s="41">
        <v>44804</v>
      </c>
      <c r="K11910" s="30" t="s">
        <v>22</v>
      </c>
    </row>
    <row r="11911" spans="1:11">
      <c r="A11911" s="33" t="s">
        <v>27056</v>
      </c>
      <c r="B11911" s="33" t="s">
        <v>27057</v>
      </c>
      <c r="C11911" s="33" t="s">
        <v>969</v>
      </c>
      <c r="D11911" s="33" t="s">
        <v>17</v>
      </c>
      <c r="E11911" s="33" t="s">
        <v>18</v>
      </c>
      <c r="F11911" s="33" t="s">
        <v>19</v>
      </c>
      <c r="G11911" s="33" t="s">
        <v>20</v>
      </c>
      <c r="H11911" s="35">
        <v>276</v>
      </c>
      <c r="I11911" s="33" t="s">
        <v>21</v>
      </c>
      <c r="J11911" s="42">
        <v>44673</v>
      </c>
      <c r="K11911" s="33" t="s">
        <v>22</v>
      </c>
    </row>
    <row r="11912" spans="1:11">
      <c r="A11912" s="30" t="s">
        <v>27058</v>
      </c>
      <c r="B11912" s="30" t="s">
        <v>27059</v>
      </c>
      <c r="C11912" s="30" t="s">
        <v>10422</v>
      </c>
      <c r="D11912" s="30" t="s">
        <v>17</v>
      </c>
      <c r="E11912" s="30" t="s">
        <v>26</v>
      </c>
      <c r="F11912" s="30" t="s">
        <v>27</v>
      </c>
      <c r="G11912" s="30" t="s">
        <v>140</v>
      </c>
      <c r="H11912" s="32">
        <v>200</v>
      </c>
      <c r="I11912" s="30" t="s">
        <v>51</v>
      </c>
      <c r="J11912" s="41">
        <v>44606</v>
      </c>
      <c r="K11912" s="30" t="s">
        <v>22</v>
      </c>
    </row>
    <row r="11913" spans="1:11">
      <c r="A11913" s="33" t="s">
        <v>27060</v>
      </c>
      <c r="B11913" s="33" t="s">
        <v>27061</v>
      </c>
      <c r="C11913" s="33" t="s">
        <v>27062</v>
      </c>
      <c r="D11913" s="33" t="s">
        <v>17</v>
      </c>
      <c r="E11913" s="33" t="s">
        <v>212</v>
      </c>
      <c r="F11913" s="33" t="s">
        <v>213</v>
      </c>
      <c r="G11913" s="33" t="s">
        <v>20</v>
      </c>
      <c r="H11913" s="35">
        <v>17</v>
      </c>
      <c r="I11913" s="33" t="s">
        <v>21</v>
      </c>
      <c r="J11913" s="42">
        <v>44673</v>
      </c>
      <c r="K11913" s="33" t="s">
        <v>22</v>
      </c>
    </row>
    <row r="11914" spans="1:11">
      <c r="A11914" s="30" t="s">
        <v>27063</v>
      </c>
      <c r="B11914" s="30" t="s">
        <v>27064</v>
      </c>
      <c r="C11914" s="30" t="s">
        <v>27065</v>
      </c>
      <c r="D11914" s="30" t="s">
        <v>17</v>
      </c>
      <c r="E11914" s="30" t="s">
        <v>18</v>
      </c>
      <c r="F11914" s="30" t="s">
        <v>19</v>
      </c>
      <c r="G11914" s="30" t="s">
        <v>158</v>
      </c>
      <c r="H11914" s="32">
        <v>40</v>
      </c>
      <c r="I11914" s="30" t="s">
        <v>21</v>
      </c>
      <c r="J11914" s="41">
        <v>44816</v>
      </c>
      <c r="K11914" s="30" t="s">
        <v>22</v>
      </c>
    </row>
    <row r="11915" spans="1:11">
      <c r="A11915" s="33" t="s">
        <v>27066</v>
      </c>
      <c r="B11915" s="33" t="s">
        <v>27067</v>
      </c>
      <c r="C11915" s="33" t="s">
        <v>6721</v>
      </c>
      <c r="D11915" s="33" t="s">
        <v>17</v>
      </c>
      <c r="E11915" s="33" t="s">
        <v>26</v>
      </c>
      <c r="F11915" s="33" t="s">
        <v>27</v>
      </c>
      <c r="G11915" s="33" t="s">
        <v>20</v>
      </c>
      <c r="H11915" s="35">
        <v>58</v>
      </c>
      <c r="I11915" s="33" t="s">
        <v>21</v>
      </c>
      <c r="J11915" s="42">
        <v>44870</v>
      </c>
      <c r="K11915" s="33" t="s">
        <v>22</v>
      </c>
    </row>
    <row r="11916" spans="1:11">
      <c r="A11916" s="30" t="s">
        <v>27068</v>
      </c>
      <c r="B11916" s="30" t="s">
        <v>27069</v>
      </c>
      <c r="C11916" s="30" t="s">
        <v>93</v>
      </c>
      <c r="D11916" s="30" t="s">
        <v>17</v>
      </c>
      <c r="E11916" s="30" t="s">
        <v>31</v>
      </c>
      <c r="F11916" s="30" t="s">
        <v>32</v>
      </c>
      <c r="G11916" s="30" t="s">
        <v>20</v>
      </c>
      <c r="H11916" s="32">
        <v>700</v>
      </c>
      <c r="I11916" s="30" t="s">
        <v>21</v>
      </c>
      <c r="J11916" s="41">
        <v>44806</v>
      </c>
      <c r="K11916" s="30" t="s">
        <v>22</v>
      </c>
    </row>
    <row r="11917" spans="1:11">
      <c r="A11917" s="33" t="s">
        <v>27070</v>
      </c>
      <c r="B11917" s="33" t="s">
        <v>27071</v>
      </c>
      <c r="C11917" s="33" t="s">
        <v>13290</v>
      </c>
      <c r="D11917" s="33" t="s">
        <v>17</v>
      </c>
      <c r="E11917" s="33" t="s">
        <v>67</v>
      </c>
      <c r="F11917" s="33" t="s">
        <v>68</v>
      </c>
      <c r="G11917" s="33" t="s">
        <v>106</v>
      </c>
      <c r="H11917" s="35">
        <v>26</v>
      </c>
      <c r="I11917" s="33" t="s">
        <v>21</v>
      </c>
      <c r="J11917" s="42">
        <v>44670</v>
      </c>
      <c r="K11917" s="33" t="s">
        <v>22</v>
      </c>
    </row>
    <row r="11918" spans="1:11">
      <c r="A11918" s="30" t="s">
        <v>27072</v>
      </c>
      <c r="B11918" s="30" t="s">
        <v>27073</v>
      </c>
      <c r="C11918" s="30" t="s">
        <v>27074</v>
      </c>
      <c r="D11918" s="30" t="s">
        <v>17</v>
      </c>
      <c r="E11918" s="30" t="s">
        <v>31</v>
      </c>
      <c r="F11918" s="30" t="s">
        <v>32</v>
      </c>
      <c r="G11918" s="30" t="s">
        <v>20</v>
      </c>
      <c r="H11918" s="32">
        <v>199</v>
      </c>
      <c r="I11918" s="30" t="s">
        <v>21</v>
      </c>
      <c r="J11918" s="41">
        <v>44839</v>
      </c>
      <c r="K11918" s="30" t="s">
        <v>22</v>
      </c>
    </row>
    <row r="11919" spans="1:11">
      <c r="A11919" s="33" t="s">
        <v>27075</v>
      </c>
      <c r="B11919" s="33" t="s">
        <v>27076</v>
      </c>
      <c r="C11919" s="33" t="s">
        <v>9885</v>
      </c>
      <c r="D11919" s="33" t="s">
        <v>17</v>
      </c>
      <c r="E11919" s="33" t="s">
        <v>67</v>
      </c>
      <c r="F11919" s="33" t="s">
        <v>68</v>
      </c>
      <c r="G11919" s="33" t="s">
        <v>106</v>
      </c>
      <c r="H11919" s="35">
        <v>17</v>
      </c>
      <c r="I11919" s="33" t="s">
        <v>21</v>
      </c>
      <c r="J11919" s="42">
        <v>44641</v>
      </c>
      <c r="K11919" s="33" t="s">
        <v>22</v>
      </c>
    </row>
    <row r="11920" spans="1:11">
      <c r="A11920" s="30" t="s">
        <v>27077</v>
      </c>
      <c r="B11920" s="30" t="s">
        <v>27078</v>
      </c>
      <c r="C11920" s="30" t="s">
        <v>187</v>
      </c>
      <c r="D11920" s="30" t="s">
        <v>17</v>
      </c>
      <c r="E11920" s="30" t="s">
        <v>31</v>
      </c>
      <c r="F11920" s="30" t="s">
        <v>32</v>
      </c>
      <c r="G11920" s="30" t="s">
        <v>20</v>
      </c>
      <c r="H11920" s="32">
        <v>47</v>
      </c>
      <c r="I11920" s="30" t="s">
        <v>21</v>
      </c>
      <c r="J11920" s="41">
        <v>44861</v>
      </c>
      <c r="K11920" s="30" t="s">
        <v>22</v>
      </c>
    </row>
    <row r="11921" spans="1:11">
      <c r="A11921" s="33" t="s">
        <v>27079</v>
      </c>
      <c r="B11921" s="33" t="s">
        <v>27080</v>
      </c>
      <c r="C11921" s="33" t="s">
        <v>356</v>
      </c>
      <c r="D11921" s="33" t="s">
        <v>17</v>
      </c>
      <c r="E11921" s="33" t="s">
        <v>18</v>
      </c>
      <c r="F11921" s="33" t="s">
        <v>19</v>
      </c>
      <c r="G11921" s="33" t="s">
        <v>20</v>
      </c>
      <c r="H11921" s="35">
        <v>542</v>
      </c>
      <c r="I11921" s="33" t="s">
        <v>21</v>
      </c>
      <c r="J11921" s="42">
        <v>44819</v>
      </c>
      <c r="K11921" s="33" t="s">
        <v>22</v>
      </c>
    </row>
    <row r="11922" spans="1:11">
      <c r="A11922" s="30" t="s">
        <v>27081</v>
      </c>
      <c r="B11922" s="30" t="s">
        <v>27082</v>
      </c>
      <c r="C11922" s="30" t="s">
        <v>25709</v>
      </c>
      <c r="D11922" s="30" t="s">
        <v>17</v>
      </c>
      <c r="E11922" s="30" t="s">
        <v>330</v>
      </c>
      <c r="F11922" s="30" t="s">
        <v>331</v>
      </c>
      <c r="G11922" s="30" t="s">
        <v>20</v>
      </c>
      <c r="H11922" s="32">
        <v>124</v>
      </c>
      <c r="I11922" s="30" t="s">
        <v>21</v>
      </c>
      <c r="J11922" s="41">
        <v>44669</v>
      </c>
      <c r="K11922" s="30" t="s">
        <v>22</v>
      </c>
    </row>
    <row r="11923" spans="1:11">
      <c r="A11923" s="33" t="s">
        <v>27083</v>
      </c>
      <c r="B11923" s="33" t="s">
        <v>27084</v>
      </c>
      <c r="C11923" s="33" t="s">
        <v>16002</v>
      </c>
      <c r="D11923" s="33" t="s">
        <v>17</v>
      </c>
      <c r="E11923" s="33" t="s">
        <v>26</v>
      </c>
      <c r="F11923" s="33" t="s">
        <v>27</v>
      </c>
      <c r="G11923" s="33" t="s">
        <v>20</v>
      </c>
      <c r="H11923" s="35">
        <v>24</v>
      </c>
      <c r="I11923" s="33" t="s">
        <v>21</v>
      </c>
      <c r="J11923" s="42">
        <v>44875</v>
      </c>
      <c r="K11923" s="33" t="s">
        <v>22</v>
      </c>
    </row>
    <row r="11924" spans="1:11">
      <c r="A11924" s="30" t="s">
        <v>27085</v>
      </c>
      <c r="B11924" s="30" t="s">
        <v>27086</v>
      </c>
      <c r="C11924" s="30" t="s">
        <v>136</v>
      </c>
      <c r="D11924" s="30" t="s">
        <v>17</v>
      </c>
      <c r="E11924" s="30" t="s">
        <v>26</v>
      </c>
      <c r="F11924" s="30" t="s">
        <v>27</v>
      </c>
      <c r="G11924" s="30" t="s">
        <v>20</v>
      </c>
      <c r="H11924" s="32">
        <v>148</v>
      </c>
      <c r="I11924" s="30" t="s">
        <v>21</v>
      </c>
      <c r="J11924" s="41">
        <v>44650</v>
      </c>
      <c r="K11924" s="30" t="s">
        <v>22</v>
      </c>
    </row>
    <row r="11925" spans="1:11">
      <c r="A11925" s="33" t="s">
        <v>27087</v>
      </c>
      <c r="B11925" s="33" t="s">
        <v>27088</v>
      </c>
      <c r="C11925" s="33" t="s">
        <v>948</v>
      </c>
      <c r="D11925" s="33" t="s">
        <v>17</v>
      </c>
      <c r="E11925" s="33" t="s">
        <v>31</v>
      </c>
      <c r="F11925" s="33" t="s">
        <v>32</v>
      </c>
      <c r="G11925" s="33" t="s">
        <v>20</v>
      </c>
      <c r="H11925" s="35">
        <v>126</v>
      </c>
      <c r="I11925" s="33" t="s">
        <v>21</v>
      </c>
      <c r="J11925" s="42">
        <v>44740</v>
      </c>
      <c r="K11925" s="33" t="s">
        <v>22</v>
      </c>
    </row>
    <row r="11926" spans="1:11">
      <c r="A11926" s="30" t="s">
        <v>27089</v>
      </c>
      <c r="B11926" s="30" t="s">
        <v>27090</v>
      </c>
      <c r="C11926" s="30" t="s">
        <v>27091</v>
      </c>
      <c r="D11926" s="30" t="s">
        <v>17</v>
      </c>
      <c r="E11926" s="30" t="s">
        <v>26</v>
      </c>
      <c r="F11926" s="30" t="s">
        <v>27</v>
      </c>
      <c r="G11926" s="30" t="s">
        <v>20</v>
      </c>
      <c r="H11926" s="32">
        <v>26</v>
      </c>
      <c r="I11926" s="30" t="s">
        <v>21</v>
      </c>
      <c r="J11926" s="41">
        <v>44698</v>
      </c>
      <c r="K11926" s="30" t="s">
        <v>22</v>
      </c>
    </row>
    <row r="11927" spans="1:11">
      <c r="A11927" s="33" t="s">
        <v>27092</v>
      </c>
      <c r="B11927" s="33" t="s">
        <v>27093</v>
      </c>
      <c r="C11927" s="33" t="s">
        <v>11378</v>
      </c>
      <c r="D11927" s="33" t="s">
        <v>17</v>
      </c>
      <c r="E11927" s="33" t="s">
        <v>31</v>
      </c>
      <c r="F11927" s="33" t="s">
        <v>32</v>
      </c>
      <c r="G11927" s="33" t="s">
        <v>20</v>
      </c>
      <c r="H11927" s="35">
        <v>36</v>
      </c>
      <c r="I11927" s="33" t="s">
        <v>21</v>
      </c>
      <c r="J11927" s="42">
        <v>44914</v>
      </c>
      <c r="K11927" s="33" t="s">
        <v>22</v>
      </c>
    </row>
    <row r="11928" spans="1:11">
      <c r="A11928" s="30" t="s">
        <v>27094</v>
      </c>
      <c r="B11928" s="30" t="s">
        <v>27095</v>
      </c>
      <c r="C11928" s="30" t="s">
        <v>11719</v>
      </c>
      <c r="D11928" s="30" t="s">
        <v>17</v>
      </c>
      <c r="E11928" s="30" t="s">
        <v>26</v>
      </c>
      <c r="F11928" s="30" t="s">
        <v>27</v>
      </c>
      <c r="G11928" s="30" t="s">
        <v>20</v>
      </c>
      <c r="H11928" s="32">
        <v>40</v>
      </c>
      <c r="I11928" s="30" t="s">
        <v>21</v>
      </c>
      <c r="J11928" s="41">
        <v>44630</v>
      </c>
      <c r="K11928" s="30" t="s">
        <v>22</v>
      </c>
    </row>
    <row r="11929" spans="1:11">
      <c r="A11929" s="33" t="s">
        <v>27096</v>
      </c>
      <c r="B11929" s="33" t="s">
        <v>27097</v>
      </c>
      <c r="C11929" s="33" t="s">
        <v>27098</v>
      </c>
      <c r="D11929" s="33" t="s">
        <v>17</v>
      </c>
      <c r="E11929" s="33" t="s">
        <v>26</v>
      </c>
      <c r="F11929" s="33" t="s">
        <v>27</v>
      </c>
      <c r="G11929" s="33" t="s">
        <v>20</v>
      </c>
      <c r="H11929" s="35">
        <v>27</v>
      </c>
      <c r="I11929" s="33" t="s">
        <v>21</v>
      </c>
      <c r="J11929" s="42">
        <v>44743</v>
      </c>
      <c r="K11929" s="33" t="s">
        <v>22</v>
      </c>
    </row>
    <row r="11930" spans="1:11">
      <c r="A11930" s="30" t="s">
        <v>27099</v>
      </c>
      <c r="B11930" s="30" t="s">
        <v>27100</v>
      </c>
      <c r="C11930" s="30" t="s">
        <v>4532</v>
      </c>
      <c r="D11930" s="30" t="s">
        <v>17</v>
      </c>
      <c r="E11930" s="30" t="s">
        <v>26</v>
      </c>
      <c r="F11930" s="30" t="s">
        <v>27</v>
      </c>
      <c r="G11930" s="30" t="s">
        <v>50</v>
      </c>
      <c r="H11930" s="32">
        <v>60</v>
      </c>
      <c r="I11930" s="30" t="s">
        <v>51</v>
      </c>
      <c r="J11930" s="41">
        <v>44653</v>
      </c>
      <c r="K11930" s="30" t="s">
        <v>22</v>
      </c>
    </row>
    <row r="11931" spans="1:11">
      <c r="A11931" s="33" t="s">
        <v>27101</v>
      </c>
      <c r="B11931" s="33" t="s">
        <v>27102</v>
      </c>
      <c r="C11931" s="33" t="s">
        <v>6379</v>
      </c>
      <c r="D11931" s="33" t="s">
        <v>17</v>
      </c>
      <c r="E11931" s="33" t="s">
        <v>31</v>
      </c>
      <c r="F11931" s="33" t="s">
        <v>32</v>
      </c>
      <c r="G11931" s="33" t="s">
        <v>106</v>
      </c>
      <c r="H11931" s="35">
        <v>19</v>
      </c>
      <c r="I11931" s="33" t="s">
        <v>21</v>
      </c>
      <c r="J11931" s="42">
        <v>44719</v>
      </c>
      <c r="K11931" s="33" t="s">
        <v>22</v>
      </c>
    </row>
    <row r="11932" spans="1:11">
      <c r="A11932" s="30" t="s">
        <v>27103</v>
      </c>
      <c r="B11932" s="30" t="s">
        <v>27104</v>
      </c>
      <c r="C11932" s="30" t="s">
        <v>318</v>
      </c>
      <c r="D11932" s="30" t="s">
        <v>17</v>
      </c>
      <c r="E11932" s="30" t="s">
        <v>18</v>
      </c>
      <c r="F11932" s="30" t="s">
        <v>19</v>
      </c>
      <c r="G11932" s="30" t="s">
        <v>140</v>
      </c>
      <c r="H11932" s="32">
        <v>60</v>
      </c>
      <c r="I11932" s="30" t="s">
        <v>51</v>
      </c>
      <c r="J11932" s="41">
        <v>44637</v>
      </c>
      <c r="K11932" s="30" t="s">
        <v>22</v>
      </c>
    </row>
    <row r="11933" spans="1:11">
      <c r="A11933" s="33" t="s">
        <v>27105</v>
      </c>
      <c r="B11933" s="33" t="s">
        <v>27106</v>
      </c>
      <c r="C11933" s="33" t="s">
        <v>387</v>
      </c>
      <c r="D11933" s="33" t="s">
        <v>17</v>
      </c>
      <c r="E11933" s="33" t="s">
        <v>26</v>
      </c>
      <c r="F11933" s="33" t="s">
        <v>27</v>
      </c>
      <c r="G11933" s="33" t="s">
        <v>20</v>
      </c>
      <c r="H11933" s="35">
        <v>58</v>
      </c>
      <c r="I11933" s="33" t="s">
        <v>21</v>
      </c>
      <c r="J11933" s="42">
        <v>44638</v>
      </c>
      <c r="K11933" s="33" t="s">
        <v>22</v>
      </c>
    </row>
    <row r="11934" spans="1:11">
      <c r="A11934" s="30" t="s">
        <v>27107</v>
      </c>
      <c r="B11934" s="30" t="s">
        <v>27108</v>
      </c>
      <c r="C11934" s="30" t="s">
        <v>27109</v>
      </c>
      <c r="D11934" s="30" t="s">
        <v>17</v>
      </c>
      <c r="E11934" s="30" t="s">
        <v>18</v>
      </c>
      <c r="F11934" s="30" t="s">
        <v>19</v>
      </c>
      <c r="G11934" s="30" t="s">
        <v>158</v>
      </c>
      <c r="H11934" s="32">
        <v>488</v>
      </c>
      <c r="I11934" s="30" t="s">
        <v>51</v>
      </c>
      <c r="J11934" s="41">
        <v>44740</v>
      </c>
      <c r="K11934" s="30" t="s">
        <v>22</v>
      </c>
    </row>
    <row r="11935" spans="1:11">
      <c r="A11935" s="33" t="s">
        <v>27110</v>
      </c>
      <c r="B11935" s="33" t="s">
        <v>27111</v>
      </c>
      <c r="C11935" s="33" t="s">
        <v>149</v>
      </c>
      <c r="D11935" s="33" t="s">
        <v>17</v>
      </c>
      <c r="E11935" s="33" t="s">
        <v>26</v>
      </c>
      <c r="F11935" s="33" t="s">
        <v>27</v>
      </c>
      <c r="G11935" s="33" t="s">
        <v>20</v>
      </c>
      <c r="H11935" s="35">
        <v>24</v>
      </c>
      <c r="I11935" s="33" t="s">
        <v>21</v>
      </c>
      <c r="J11935" s="42">
        <v>44846</v>
      </c>
      <c r="K11935" s="33" t="s">
        <v>22</v>
      </c>
    </row>
    <row r="11936" spans="1:11">
      <c r="A11936" s="30" t="s">
        <v>27112</v>
      </c>
      <c r="B11936" s="30" t="s">
        <v>27113</v>
      </c>
      <c r="C11936" s="30" t="s">
        <v>426</v>
      </c>
      <c r="D11936" s="30" t="s">
        <v>17</v>
      </c>
      <c r="E11936" s="30" t="s">
        <v>26</v>
      </c>
      <c r="F11936" s="30" t="s">
        <v>27</v>
      </c>
      <c r="G11936" s="30" t="s">
        <v>106</v>
      </c>
      <c r="H11936" s="32">
        <v>2</v>
      </c>
      <c r="I11936" s="30" t="s">
        <v>21</v>
      </c>
      <c r="J11936" s="41">
        <v>44567</v>
      </c>
      <c r="K11936" s="30" t="s">
        <v>22</v>
      </c>
    </row>
    <row r="11937" spans="1:11">
      <c r="A11937" s="33" t="s">
        <v>27114</v>
      </c>
      <c r="B11937" s="33" t="s">
        <v>27115</v>
      </c>
      <c r="C11937" s="33" t="s">
        <v>2094</v>
      </c>
      <c r="D11937" s="33" t="s">
        <v>17</v>
      </c>
      <c r="E11937" s="33" t="s">
        <v>26</v>
      </c>
      <c r="F11937" s="33" t="s">
        <v>27</v>
      </c>
      <c r="G11937" s="33" t="s">
        <v>20</v>
      </c>
      <c r="H11937" s="35">
        <v>21</v>
      </c>
      <c r="I11937" s="33" t="s">
        <v>21</v>
      </c>
      <c r="J11937" s="42">
        <v>44713</v>
      </c>
      <c r="K11937" s="33" t="s">
        <v>22</v>
      </c>
    </row>
    <row r="11938" spans="1:11">
      <c r="A11938" s="30" t="s">
        <v>27116</v>
      </c>
      <c r="B11938" s="30" t="s">
        <v>12230</v>
      </c>
      <c r="C11938" s="30" t="s">
        <v>2709</v>
      </c>
      <c r="D11938" s="30" t="s">
        <v>17</v>
      </c>
      <c r="E11938" s="30" t="s">
        <v>31</v>
      </c>
      <c r="F11938" s="30" t="s">
        <v>32</v>
      </c>
      <c r="G11938" s="30" t="s">
        <v>50</v>
      </c>
      <c r="H11938" s="32">
        <v>2520</v>
      </c>
      <c r="I11938" s="30" t="s">
        <v>51</v>
      </c>
      <c r="J11938" s="41">
        <v>44652</v>
      </c>
      <c r="K11938" s="30" t="s">
        <v>22</v>
      </c>
    </row>
    <row r="11939" spans="1:11">
      <c r="A11939" s="33" t="s">
        <v>27117</v>
      </c>
      <c r="B11939" s="33" t="s">
        <v>27118</v>
      </c>
      <c r="C11939" s="33" t="s">
        <v>118</v>
      </c>
      <c r="D11939" s="33" t="s">
        <v>17</v>
      </c>
      <c r="E11939" s="33" t="s">
        <v>31</v>
      </c>
      <c r="F11939" s="33" t="s">
        <v>32</v>
      </c>
      <c r="G11939" s="33" t="s">
        <v>20</v>
      </c>
      <c r="H11939" s="35">
        <v>1664</v>
      </c>
      <c r="I11939" s="33" t="s">
        <v>21</v>
      </c>
      <c r="J11939" s="42">
        <v>44735</v>
      </c>
      <c r="K11939" s="33" t="s">
        <v>22</v>
      </c>
    </row>
    <row r="11940" spans="1:11">
      <c r="A11940" s="30" t="s">
        <v>27119</v>
      </c>
      <c r="B11940" s="30" t="s">
        <v>27120</v>
      </c>
      <c r="C11940" s="30" t="s">
        <v>4634</v>
      </c>
      <c r="D11940" s="30" t="s">
        <v>17</v>
      </c>
      <c r="E11940" s="30" t="s">
        <v>26</v>
      </c>
      <c r="F11940" s="30" t="s">
        <v>27</v>
      </c>
      <c r="G11940" s="30" t="s">
        <v>20</v>
      </c>
      <c r="H11940" s="32">
        <v>44</v>
      </c>
      <c r="I11940" s="30" t="s">
        <v>21</v>
      </c>
      <c r="J11940" s="41">
        <v>44606</v>
      </c>
      <c r="K11940" s="30" t="s">
        <v>22</v>
      </c>
    </row>
    <row r="11941" spans="1:11">
      <c r="A11941" s="33" t="s">
        <v>27121</v>
      </c>
      <c r="B11941" s="33" t="s">
        <v>27122</v>
      </c>
      <c r="C11941" s="33" t="s">
        <v>27123</v>
      </c>
      <c r="D11941" s="33" t="s">
        <v>17</v>
      </c>
      <c r="E11941" s="33" t="s">
        <v>67</v>
      </c>
      <c r="F11941" s="33" t="s">
        <v>68</v>
      </c>
      <c r="G11941" s="33" t="s">
        <v>20</v>
      </c>
      <c r="H11941" s="35">
        <v>44</v>
      </c>
      <c r="I11941" s="33" t="s">
        <v>21</v>
      </c>
      <c r="J11941" s="42">
        <v>44644</v>
      </c>
      <c r="K11941" s="33" t="s">
        <v>22</v>
      </c>
    </row>
    <row r="11942" spans="1:11">
      <c r="A11942" s="30" t="s">
        <v>27124</v>
      </c>
      <c r="B11942" s="30" t="s">
        <v>27125</v>
      </c>
      <c r="C11942" s="30" t="s">
        <v>9807</v>
      </c>
      <c r="D11942" s="30" t="s">
        <v>17</v>
      </c>
      <c r="E11942" s="30" t="s">
        <v>67</v>
      </c>
      <c r="F11942" s="30" t="s">
        <v>68</v>
      </c>
      <c r="G11942" s="30" t="s">
        <v>106</v>
      </c>
      <c r="H11942" s="32">
        <v>24</v>
      </c>
      <c r="I11942" s="30" t="s">
        <v>21</v>
      </c>
      <c r="J11942" s="41">
        <v>44778</v>
      </c>
      <c r="K11942" s="30" t="s">
        <v>22</v>
      </c>
    </row>
    <row r="11943" spans="1:11">
      <c r="A11943" s="33" t="s">
        <v>27126</v>
      </c>
      <c r="B11943" s="33" t="s">
        <v>27127</v>
      </c>
      <c r="C11943" s="33" t="s">
        <v>23262</v>
      </c>
      <c r="D11943" s="33" t="s">
        <v>17</v>
      </c>
      <c r="E11943" s="33" t="s">
        <v>26</v>
      </c>
      <c r="F11943" s="33" t="s">
        <v>27</v>
      </c>
      <c r="G11943" s="33" t="s">
        <v>20</v>
      </c>
      <c r="H11943" s="35">
        <v>12</v>
      </c>
      <c r="I11943" s="33" t="s">
        <v>21</v>
      </c>
      <c r="J11943" s="42">
        <v>44659</v>
      </c>
      <c r="K11943" s="33" t="s">
        <v>22</v>
      </c>
    </row>
    <row r="11944" spans="1:11">
      <c r="A11944" s="30" t="s">
        <v>27128</v>
      </c>
      <c r="B11944" s="30" t="s">
        <v>27129</v>
      </c>
      <c r="C11944" s="30" t="s">
        <v>15795</v>
      </c>
      <c r="D11944" s="30" t="s">
        <v>17</v>
      </c>
      <c r="E11944" s="30" t="s">
        <v>31</v>
      </c>
      <c r="F11944" s="30" t="s">
        <v>32</v>
      </c>
      <c r="G11944" s="30" t="s">
        <v>50</v>
      </c>
      <c r="H11944" s="32">
        <v>240</v>
      </c>
      <c r="I11944" s="30" t="s">
        <v>51</v>
      </c>
      <c r="J11944" s="41">
        <v>44727</v>
      </c>
      <c r="K11944" s="30" t="s">
        <v>22</v>
      </c>
    </row>
    <row r="11945" spans="1:11">
      <c r="A11945" s="33" t="s">
        <v>27130</v>
      </c>
      <c r="B11945" s="33" t="s">
        <v>27131</v>
      </c>
      <c r="C11945" s="33" t="s">
        <v>109</v>
      </c>
      <c r="D11945" s="33" t="s">
        <v>17</v>
      </c>
      <c r="E11945" s="33" t="s">
        <v>31</v>
      </c>
      <c r="F11945" s="33" t="s">
        <v>32</v>
      </c>
      <c r="G11945" s="33" t="s">
        <v>106</v>
      </c>
      <c r="H11945" s="35">
        <v>4</v>
      </c>
      <c r="I11945" s="33" t="s">
        <v>21</v>
      </c>
      <c r="J11945" s="42">
        <v>44783</v>
      </c>
      <c r="K11945" s="33" t="s">
        <v>22</v>
      </c>
    </row>
    <row r="11946" spans="1:11">
      <c r="A11946" s="30" t="s">
        <v>27132</v>
      </c>
      <c r="B11946" s="30" t="s">
        <v>27133</v>
      </c>
      <c r="C11946" s="30" t="s">
        <v>10569</v>
      </c>
      <c r="D11946" s="30" t="s">
        <v>17</v>
      </c>
      <c r="E11946" s="30" t="s">
        <v>31</v>
      </c>
      <c r="F11946" s="30" t="s">
        <v>32</v>
      </c>
      <c r="G11946" s="30" t="s">
        <v>20</v>
      </c>
      <c r="H11946" s="32">
        <v>26</v>
      </c>
      <c r="I11946" s="30" t="s">
        <v>21</v>
      </c>
      <c r="J11946" s="41">
        <v>44645</v>
      </c>
      <c r="K11946" s="30" t="s">
        <v>22</v>
      </c>
    </row>
    <row r="11947" spans="1:11">
      <c r="A11947" s="33" t="s">
        <v>27134</v>
      </c>
      <c r="B11947" s="33" t="s">
        <v>27135</v>
      </c>
      <c r="C11947" s="33" t="s">
        <v>387</v>
      </c>
      <c r="D11947" s="33" t="s">
        <v>17</v>
      </c>
      <c r="E11947" s="33" t="s">
        <v>26</v>
      </c>
      <c r="F11947" s="33" t="s">
        <v>27</v>
      </c>
      <c r="G11947" s="33" t="s">
        <v>20</v>
      </c>
      <c r="H11947" s="35">
        <v>6</v>
      </c>
      <c r="I11947" s="33" t="s">
        <v>21</v>
      </c>
      <c r="J11947" s="42">
        <v>44651</v>
      </c>
      <c r="K11947" s="33" t="s">
        <v>22</v>
      </c>
    </row>
    <row r="11948" spans="1:11">
      <c r="A11948" s="30" t="s">
        <v>27136</v>
      </c>
      <c r="B11948" s="30" t="s">
        <v>27137</v>
      </c>
      <c r="C11948" s="30" t="s">
        <v>7072</v>
      </c>
      <c r="D11948" s="30" t="s">
        <v>17</v>
      </c>
      <c r="E11948" s="30" t="s">
        <v>31</v>
      </c>
      <c r="F11948" s="30" t="s">
        <v>32</v>
      </c>
      <c r="G11948" s="30" t="s">
        <v>158</v>
      </c>
      <c r="H11948" s="32">
        <v>321</v>
      </c>
      <c r="I11948" s="30" t="s">
        <v>21</v>
      </c>
      <c r="J11948" s="41">
        <v>44895</v>
      </c>
      <c r="K11948" s="30" t="s">
        <v>22</v>
      </c>
    </row>
    <row r="11949" spans="1:11">
      <c r="A11949" s="33" t="s">
        <v>27138</v>
      </c>
      <c r="B11949" s="33" t="s">
        <v>27139</v>
      </c>
      <c r="C11949" s="33" t="s">
        <v>1267</v>
      </c>
      <c r="D11949" s="33" t="s">
        <v>17</v>
      </c>
      <c r="E11949" s="33" t="s">
        <v>26</v>
      </c>
      <c r="F11949" s="33" t="s">
        <v>27</v>
      </c>
      <c r="G11949" s="33" t="s">
        <v>140</v>
      </c>
      <c r="H11949" s="35">
        <v>362</v>
      </c>
      <c r="I11949" s="33" t="s">
        <v>51</v>
      </c>
      <c r="J11949" s="42">
        <v>44860</v>
      </c>
      <c r="K11949" s="33" t="s">
        <v>22</v>
      </c>
    </row>
    <row r="11950" spans="1:11">
      <c r="A11950" s="30" t="s">
        <v>27140</v>
      </c>
      <c r="B11950" s="30" t="s">
        <v>27141</v>
      </c>
      <c r="C11950" s="30" t="s">
        <v>252</v>
      </c>
      <c r="D11950" s="30" t="s">
        <v>17</v>
      </c>
      <c r="E11950" s="30" t="s">
        <v>26</v>
      </c>
      <c r="F11950" s="30" t="s">
        <v>27</v>
      </c>
      <c r="G11950" s="30" t="s">
        <v>20</v>
      </c>
      <c r="H11950" s="32">
        <v>100</v>
      </c>
      <c r="I11950" s="30" t="s">
        <v>21</v>
      </c>
      <c r="J11950" s="41">
        <v>44859</v>
      </c>
      <c r="K11950" s="30" t="s">
        <v>22</v>
      </c>
    </row>
    <row r="11951" spans="1:11">
      <c r="A11951" s="33" t="s">
        <v>27142</v>
      </c>
      <c r="B11951" s="33" t="s">
        <v>27143</v>
      </c>
      <c r="C11951" s="33" t="s">
        <v>2472</v>
      </c>
      <c r="D11951" s="33" t="s">
        <v>17</v>
      </c>
      <c r="E11951" s="33" t="s">
        <v>26</v>
      </c>
      <c r="F11951" s="33" t="s">
        <v>27</v>
      </c>
      <c r="G11951" s="33" t="s">
        <v>20</v>
      </c>
      <c r="H11951" s="35">
        <v>308</v>
      </c>
      <c r="I11951" s="33" t="s">
        <v>21</v>
      </c>
      <c r="J11951" s="42">
        <v>44705</v>
      </c>
      <c r="K11951" s="33" t="s">
        <v>22</v>
      </c>
    </row>
    <row r="11952" spans="1:11">
      <c r="A11952" s="30" t="s">
        <v>27144</v>
      </c>
      <c r="B11952" s="30" t="s">
        <v>27145</v>
      </c>
      <c r="C11952" s="30" t="s">
        <v>3004</v>
      </c>
      <c r="D11952" s="30" t="s">
        <v>17</v>
      </c>
      <c r="E11952" s="30" t="s">
        <v>26</v>
      </c>
      <c r="F11952" s="30" t="s">
        <v>27</v>
      </c>
      <c r="G11952" s="30" t="s">
        <v>20</v>
      </c>
      <c r="H11952" s="32">
        <v>46</v>
      </c>
      <c r="I11952" s="30" t="s">
        <v>21</v>
      </c>
      <c r="J11952" s="41">
        <v>44670</v>
      </c>
      <c r="K11952" s="30" t="s">
        <v>22</v>
      </c>
    </row>
    <row r="11953" spans="1:11">
      <c r="A11953" s="33" t="s">
        <v>27146</v>
      </c>
      <c r="B11953" s="33" t="s">
        <v>27147</v>
      </c>
      <c r="C11953" s="33" t="s">
        <v>3914</v>
      </c>
      <c r="D11953" s="33" t="s">
        <v>17</v>
      </c>
      <c r="E11953" s="33" t="s">
        <v>26</v>
      </c>
      <c r="F11953" s="33" t="s">
        <v>27</v>
      </c>
      <c r="G11953" s="33" t="s">
        <v>106</v>
      </c>
      <c r="H11953" s="35">
        <v>4</v>
      </c>
      <c r="I11953" s="33" t="s">
        <v>21</v>
      </c>
      <c r="J11953" s="42">
        <v>44914</v>
      </c>
      <c r="K11953" s="33" t="s">
        <v>22</v>
      </c>
    </row>
    <row r="11954" spans="1:11">
      <c r="A11954" s="30" t="s">
        <v>27148</v>
      </c>
      <c r="B11954" s="30" t="s">
        <v>27149</v>
      </c>
      <c r="C11954" s="30" t="s">
        <v>44</v>
      </c>
      <c r="D11954" s="30" t="s">
        <v>17</v>
      </c>
      <c r="E11954" s="30" t="s">
        <v>26</v>
      </c>
      <c r="F11954" s="30" t="s">
        <v>27</v>
      </c>
      <c r="G11954" s="30" t="s">
        <v>140</v>
      </c>
      <c r="H11954" s="32">
        <v>317</v>
      </c>
      <c r="I11954" s="30" t="s">
        <v>51</v>
      </c>
      <c r="J11954" s="41">
        <v>44790</v>
      </c>
      <c r="K11954" s="30" t="s">
        <v>22</v>
      </c>
    </row>
    <row r="11955" spans="1:11">
      <c r="A11955" s="33" t="s">
        <v>27150</v>
      </c>
      <c r="B11955" s="33" t="s">
        <v>27151</v>
      </c>
      <c r="C11955" s="33" t="s">
        <v>27152</v>
      </c>
      <c r="D11955" s="33" t="s">
        <v>17</v>
      </c>
      <c r="E11955" s="33" t="s">
        <v>31</v>
      </c>
      <c r="F11955" s="33" t="s">
        <v>32</v>
      </c>
      <c r="G11955" s="33" t="s">
        <v>7780</v>
      </c>
      <c r="H11955" s="35">
        <v>28</v>
      </c>
      <c r="I11955" s="33" t="s">
        <v>51</v>
      </c>
      <c r="J11955" s="42">
        <v>44743</v>
      </c>
      <c r="K11955" s="33" t="s">
        <v>22</v>
      </c>
    </row>
    <row r="11956" spans="1:11">
      <c r="A11956" s="30" t="s">
        <v>27153</v>
      </c>
      <c r="B11956" s="30" t="s">
        <v>27154</v>
      </c>
      <c r="C11956" s="30" t="s">
        <v>6179</v>
      </c>
      <c r="D11956" s="30" t="s">
        <v>17</v>
      </c>
      <c r="E11956" s="30" t="s">
        <v>26</v>
      </c>
      <c r="F11956" s="30" t="s">
        <v>27</v>
      </c>
      <c r="G11956" s="30" t="s">
        <v>20</v>
      </c>
      <c r="H11956" s="32">
        <v>42</v>
      </c>
      <c r="I11956" s="30" t="s">
        <v>21</v>
      </c>
      <c r="J11956" s="41">
        <v>44664</v>
      </c>
      <c r="K11956" s="30" t="s">
        <v>22</v>
      </c>
    </row>
    <row r="11957" spans="1:11">
      <c r="A11957" s="33" t="s">
        <v>27155</v>
      </c>
      <c r="B11957" s="33" t="s">
        <v>27156</v>
      </c>
      <c r="C11957" s="33" t="s">
        <v>26379</v>
      </c>
      <c r="D11957" s="33" t="s">
        <v>17</v>
      </c>
      <c r="E11957" s="33" t="s">
        <v>26</v>
      </c>
      <c r="F11957" s="33" t="s">
        <v>27</v>
      </c>
      <c r="G11957" s="33" t="s">
        <v>140</v>
      </c>
      <c r="H11957" s="35">
        <v>114</v>
      </c>
      <c r="I11957" s="33" t="s">
        <v>51</v>
      </c>
      <c r="J11957" s="42">
        <v>44762</v>
      </c>
      <c r="K11957" s="33" t="s">
        <v>22</v>
      </c>
    </row>
    <row r="11958" spans="1:11">
      <c r="A11958" s="30" t="s">
        <v>27157</v>
      </c>
      <c r="B11958" s="30" t="s">
        <v>27158</v>
      </c>
      <c r="C11958" s="30" t="s">
        <v>27159</v>
      </c>
      <c r="D11958" s="30" t="s">
        <v>17</v>
      </c>
      <c r="E11958" s="30" t="s">
        <v>31</v>
      </c>
      <c r="F11958" s="30" t="s">
        <v>32</v>
      </c>
      <c r="G11958" s="30" t="s">
        <v>106</v>
      </c>
      <c r="H11958" s="32">
        <v>20</v>
      </c>
      <c r="I11958" s="30" t="s">
        <v>21</v>
      </c>
      <c r="J11958" s="41">
        <v>44909</v>
      </c>
      <c r="K11958" s="30" t="s">
        <v>22</v>
      </c>
    </row>
    <row r="11959" spans="1:11">
      <c r="A11959" s="33" t="s">
        <v>27160</v>
      </c>
      <c r="B11959" s="33" t="s">
        <v>27161</v>
      </c>
      <c r="C11959" s="33" t="s">
        <v>1415</v>
      </c>
      <c r="D11959" s="33" t="s">
        <v>17</v>
      </c>
      <c r="E11959" s="33" t="s">
        <v>31</v>
      </c>
      <c r="F11959" s="33" t="s">
        <v>32</v>
      </c>
      <c r="G11959" s="33" t="s">
        <v>20</v>
      </c>
      <c r="H11959" s="35">
        <v>123</v>
      </c>
      <c r="I11959" s="33" t="s">
        <v>21</v>
      </c>
      <c r="J11959" s="42">
        <v>44592</v>
      </c>
      <c r="K11959" s="33" t="s">
        <v>22</v>
      </c>
    </row>
    <row r="11960" spans="1:11">
      <c r="A11960" s="30" t="s">
        <v>27162</v>
      </c>
      <c r="B11960" s="30" t="s">
        <v>27163</v>
      </c>
      <c r="C11960" s="30" t="s">
        <v>187</v>
      </c>
      <c r="D11960" s="30" t="s">
        <v>17</v>
      </c>
      <c r="E11960" s="30" t="s">
        <v>330</v>
      </c>
      <c r="F11960" s="30" t="s">
        <v>331</v>
      </c>
      <c r="G11960" s="30" t="s">
        <v>50</v>
      </c>
      <c r="H11960" s="32">
        <v>88</v>
      </c>
      <c r="I11960" s="30" t="s">
        <v>51</v>
      </c>
      <c r="J11960" s="41">
        <v>44713</v>
      </c>
      <c r="K11960" s="30" t="s">
        <v>22</v>
      </c>
    </row>
    <row r="11961" spans="1:11">
      <c r="A11961" s="33" t="s">
        <v>27164</v>
      </c>
      <c r="B11961" s="33" t="s">
        <v>27165</v>
      </c>
      <c r="C11961" s="33" t="s">
        <v>27166</v>
      </c>
      <c r="D11961" s="33" t="s">
        <v>17</v>
      </c>
      <c r="E11961" s="33" t="s">
        <v>67</v>
      </c>
      <c r="F11961" s="33" t="s">
        <v>68</v>
      </c>
      <c r="G11961" s="33" t="s">
        <v>20</v>
      </c>
      <c r="H11961" s="35">
        <v>69</v>
      </c>
      <c r="I11961" s="33" t="s">
        <v>21</v>
      </c>
      <c r="J11961" s="42">
        <v>44603</v>
      </c>
      <c r="K11961" s="33" t="s">
        <v>22</v>
      </c>
    </row>
    <row r="11962" spans="1:11">
      <c r="A11962" s="30" t="s">
        <v>27167</v>
      </c>
      <c r="B11962" s="30" t="s">
        <v>27168</v>
      </c>
      <c r="C11962" s="30" t="s">
        <v>190</v>
      </c>
      <c r="D11962" s="30" t="s">
        <v>17</v>
      </c>
      <c r="E11962" s="30" t="s">
        <v>67</v>
      </c>
      <c r="F11962" s="30" t="s">
        <v>68</v>
      </c>
      <c r="G11962" s="30" t="s">
        <v>140</v>
      </c>
      <c r="H11962" s="32">
        <v>695</v>
      </c>
      <c r="I11962" s="30" t="s">
        <v>51</v>
      </c>
      <c r="J11962" s="41">
        <v>44736</v>
      </c>
      <c r="K11962" s="30" t="s">
        <v>22</v>
      </c>
    </row>
    <row r="11963" spans="1:11">
      <c r="A11963" s="33" t="s">
        <v>27169</v>
      </c>
      <c r="B11963" s="33" t="s">
        <v>27170</v>
      </c>
      <c r="C11963" s="33" t="s">
        <v>27171</v>
      </c>
      <c r="D11963" s="33" t="s">
        <v>17</v>
      </c>
      <c r="E11963" s="33" t="s">
        <v>26</v>
      </c>
      <c r="F11963" s="33" t="s">
        <v>27</v>
      </c>
      <c r="G11963" s="33" t="s">
        <v>20</v>
      </c>
      <c r="H11963" s="35">
        <v>10</v>
      </c>
      <c r="I11963" s="33" t="s">
        <v>21</v>
      </c>
      <c r="J11963" s="42">
        <v>44580</v>
      </c>
      <c r="K11963" s="33" t="s">
        <v>22</v>
      </c>
    </row>
    <row r="11964" spans="1:11">
      <c r="A11964" s="30" t="s">
        <v>27172</v>
      </c>
      <c r="B11964" s="30" t="s">
        <v>27173</v>
      </c>
      <c r="C11964" s="30" t="s">
        <v>969</v>
      </c>
      <c r="D11964" s="30" t="s">
        <v>17</v>
      </c>
      <c r="E11964" s="30" t="s">
        <v>18</v>
      </c>
      <c r="F11964" s="30" t="s">
        <v>19</v>
      </c>
      <c r="G11964" s="30" t="s">
        <v>20</v>
      </c>
      <c r="H11964" s="32">
        <v>9</v>
      </c>
      <c r="I11964" s="30" t="s">
        <v>21</v>
      </c>
      <c r="J11964" s="41">
        <v>44594</v>
      </c>
      <c r="K11964" s="30" t="s">
        <v>22</v>
      </c>
    </row>
    <row r="11965" spans="1:11">
      <c r="A11965" s="33" t="s">
        <v>27174</v>
      </c>
      <c r="B11965" s="33" t="s">
        <v>27175</v>
      </c>
      <c r="C11965" s="33" t="s">
        <v>17961</v>
      </c>
      <c r="D11965" s="33" t="s">
        <v>17</v>
      </c>
      <c r="E11965" s="33" t="s">
        <v>26</v>
      </c>
      <c r="F11965" s="33" t="s">
        <v>27</v>
      </c>
      <c r="G11965" s="33" t="s">
        <v>20</v>
      </c>
      <c r="H11965" s="35">
        <v>64</v>
      </c>
      <c r="I11965" s="33" t="s">
        <v>21</v>
      </c>
      <c r="J11965" s="42">
        <v>44917</v>
      </c>
      <c r="K11965" s="33" t="s">
        <v>22</v>
      </c>
    </row>
    <row r="11966" spans="1:11">
      <c r="A11966" s="30" t="s">
        <v>27176</v>
      </c>
      <c r="B11966" s="30" t="s">
        <v>27177</v>
      </c>
      <c r="C11966" s="30" t="s">
        <v>136</v>
      </c>
      <c r="D11966" s="30" t="s">
        <v>17</v>
      </c>
      <c r="E11966" s="30" t="s">
        <v>26</v>
      </c>
      <c r="F11966" s="30" t="s">
        <v>27</v>
      </c>
      <c r="G11966" s="30" t="s">
        <v>20</v>
      </c>
      <c r="H11966" s="32">
        <v>72</v>
      </c>
      <c r="I11966" s="30" t="s">
        <v>21</v>
      </c>
      <c r="J11966" s="41">
        <v>44707</v>
      </c>
      <c r="K11966" s="30" t="s">
        <v>22</v>
      </c>
    </row>
    <row r="11967" spans="1:11">
      <c r="A11967" s="33" t="s">
        <v>27178</v>
      </c>
      <c r="B11967" s="33" t="s">
        <v>27179</v>
      </c>
      <c r="C11967" s="33" t="s">
        <v>78</v>
      </c>
      <c r="D11967" s="33" t="s">
        <v>17</v>
      </c>
      <c r="E11967" s="33" t="s">
        <v>26</v>
      </c>
      <c r="F11967" s="33" t="s">
        <v>27</v>
      </c>
      <c r="G11967" s="33" t="s">
        <v>20</v>
      </c>
      <c r="H11967" s="35">
        <v>30</v>
      </c>
      <c r="I11967" s="33" t="s">
        <v>21</v>
      </c>
      <c r="J11967" s="42">
        <v>44819</v>
      </c>
      <c r="K11967" s="33" t="s">
        <v>22</v>
      </c>
    </row>
    <row r="11968" spans="1:11">
      <c r="A11968" s="30" t="s">
        <v>27180</v>
      </c>
      <c r="B11968" s="30" t="s">
        <v>27181</v>
      </c>
      <c r="C11968" s="30" t="s">
        <v>2772</v>
      </c>
      <c r="D11968" s="30" t="s">
        <v>17</v>
      </c>
      <c r="E11968" s="30" t="s">
        <v>18</v>
      </c>
      <c r="F11968" s="30" t="s">
        <v>19</v>
      </c>
      <c r="G11968" s="30" t="s">
        <v>50</v>
      </c>
      <c r="H11968" s="32">
        <v>366</v>
      </c>
      <c r="I11968" s="30" t="s">
        <v>21</v>
      </c>
      <c r="J11968" s="41">
        <v>44760</v>
      </c>
      <c r="K11968" s="30" t="s">
        <v>22</v>
      </c>
    </row>
    <row r="11969" spans="1:11">
      <c r="A11969" s="33" t="s">
        <v>27182</v>
      </c>
      <c r="B11969" s="33" t="s">
        <v>27183</v>
      </c>
      <c r="C11969" s="33" t="s">
        <v>1428</v>
      </c>
      <c r="D11969" s="33" t="s">
        <v>17</v>
      </c>
      <c r="E11969" s="33" t="s">
        <v>31</v>
      </c>
      <c r="F11969" s="33" t="s">
        <v>32</v>
      </c>
      <c r="G11969" s="33" t="s">
        <v>112</v>
      </c>
      <c r="H11969" s="35">
        <v>0</v>
      </c>
      <c r="I11969" s="33" t="s">
        <v>21</v>
      </c>
      <c r="J11969" s="42">
        <v>44676</v>
      </c>
      <c r="K11969" s="33" t="s">
        <v>22</v>
      </c>
    </row>
    <row r="11970" spans="1:11">
      <c r="A11970" s="30" t="s">
        <v>27184</v>
      </c>
      <c r="B11970" s="30" t="s">
        <v>27185</v>
      </c>
      <c r="C11970" s="30" t="s">
        <v>5372</v>
      </c>
      <c r="D11970" s="30" t="s">
        <v>17</v>
      </c>
      <c r="E11970" s="30" t="s">
        <v>67</v>
      </c>
      <c r="F11970" s="30" t="s">
        <v>68</v>
      </c>
      <c r="G11970" s="30" t="s">
        <v>140</v>
      </c>
      <c r="H11970" s="32">
        <v>645</v>
      </c>
      <c r="I11970" s="30" t="s">
        <v>51</v>
      </c>
      <c r="J11970" s="41">
        <v>44664</v>
      </c>
      <c r="K11970" s="30" t="s">
        <v>22</v>
      </c>
    </row>
    <row r="11971" spans="1:11">
      <c r="A11971" s="33" t="s">
        <v>27186</v>
      </c>
      <c r="B11971" s="33" t="s">
        <v>27187</v>
      </c>
      <c r="C11971" s="33" t="s">
        <v>1428</v>
      </c>
      <c r="D11971" s="33" t="s">
        <v>17</v>
      </c>
      <c r="E11971" s="33" t="s">
        <v>31</v>
      </c>
      <c r="F11971" s="33" t="s">
        <v>32</v>
      </c>
      <c r="G11971" s="33" t="s">
        <v>112</v>
      </c>
      <c r="H11971" s="35">
        <v>0</v>
      </c>
      <c r="I11971" s="33" t="s">
        <v>21</v>
      </c>
      <c r="J11971" s="42">
        <v>44652</v>
      </c>
      <c r="K11971" s="33" t="s">
        <v>22</v>
      </c>
    </row>
    <row r="11972" spans="1:11">
      <c r="A11972" s="30" t="s">
        <v>27188</v>
      </c>
      <c r="B11972" s="30" t="s">
        <v>27189</v>
      </c>
      <c r="C11972" s="30" t="s">
        <v>27190</v>
      </c>
      <c r="D11972" s="30" t="s">
        <v>17</v>
      </c>
      <c r="E11972" s="30" t="s">
        <v>26</v>
      </c>
      <c r="F11972" s="30" t="s">
        <v>27</v>
      </c>
      <c r="G11972" s="30" t="s">
        <v>50</v>
      </c>
      <c r="H11972" s="32">
        <v>72</v>
      </c>
      <c r="I11972" s="30" t="s">
        <v>51</v>
      </c>
      <c r="J11972" s="41">
        <v>44880</v>
      </c>
      <c r="K11972" s="30" t="s">
        <v>22</v>
      </c>
    </row>
    <row r="11973" spans="1:11">
      <c r="A11973" s="33" t="s">
        <v>27191</v>
      </c>
      <c r="B11973" s="33" t="s">
        <v>27192</v>
      </c>
      <c r="C11973" s="33" t="s">
        <v>9464</v>
      </c>
      <c r="D11973" s="33" t="s">
        <v>17</v>
      </c>
      <c r="E11973" s="33" t="s">
        <v>18</v>
      </c>
      <c r="F11973" s="33" t="s">
        <v>19</v>
      </c>
      <c r="G11973" s="33" t="s">
        <v>158</v>
      </c>
      <c r="H11973" s="35">
        <v>397</v>
      </c>
      <c r="I11973" s="33" t="s">
        <v>21</v>
      </c>
      <c r="J11973" s="42">
        <v>44634</v>
      </c>
      <c r="K11973" s="33" t="s">
        <v>22</v>
      </c>
    </row>
    <row r="11974" spans="1:11">
      <c r="A11974" s="30" t="s">
        <v>27193</v>
      </c>
      <c r="B11974" s="30" t="s">
        <v>27194</v>
      </c>
      <c r="C11974" s="30" t="s">
        <v>14483</v>
      </c>
      <c r="D11974" s="30" t="s">
        <v>17</v>
      </c>
      <c r="E11974" s="30" t="s">
        <v>18</v>
      </c>
      <c r="F11974" s="30" t="s">
        <v>19</v>
      </c>
      <c r="G11974" s="30" t="s">
        <v>50</v>
      </c>
      <c r="H11974" s="32">
        <v>752</v>
      </c>
      <c r="I11974" s="30" t="s">
        <v>51</v>
      </c>
      <c r="J11974" s="41">
        <v>44711</v>
      </c>
      <c r="K11974" s="30" t="s">
        <v>22</v>
      </c>
    </row>
    <row r="11975" spans="1:11">
      <c r="A11975" s="33" t="s">
        <v>27195</v>
      </c>
      <c r="B11975" s="33" t="s">
        <v>27196</v>
      </c>
      <c r="C11975" s="33" t="s">
        <v>2196</v>
      </c>
      <c r="D11975" s="33" t="s">
        <v>17</v>
      </c>
      <c r="E11975" s="33" t="s">
        <v>26</v>
      </c>
      <c r="F11975" s="33" t="s">
        <v>27</v>
      </c>
      <c r="G11975" s="33" t="s">
        <v>20</v>
      </c>
      <c r="H11975" s="35">
        <v>28</v>
      </c>
      <c r="I11975" s="33" t="s">
        <v>21</v>
      </c>
      <c r="J11975" s="42">
        <v>44869</v>
      </c>
      <c r="K11975" s="33" t="s">
        <v>22</v>
      </c>
    </row>
    <row r="11976" spans="1:11">
      <c r="A11976" s="30" t="s">
        <v>27197</v>
      </c>
      <c r="B11976" s="30" t="s">
        <v>27198</v>
      </c>
      <c r="C11976" s="30" t="s">
        <v>136</v>
      </c>
      <c r="D11976" s="30" t="s">
        <v>17</v>
      </c>
      <c r="E11976" s="30" t="s">
        <v>31</v>
      </c>
      <c r="F11976" s="30" t="s">
        <v>32</v>
      </c>
      <c r="G11976" s="30" t="s">
        <v>20</v>
      </c>
      <c r="H11976" s="32">
        <v>205</v>
      </c>
      <c r="I11976" s="30" t="s">
        <v>21</v>
      </c>
      <c r="J11976" s="41">
        <v>44762</v>
      </c>
      <c r="K11976" s="30" t="s">
        <v>22</v>
      </c>
    </row>
    <row r="11977" spans="1:11">
      <c r="A11977" s="33" t="s">
        <v>27199</v>
      </c>
      <c r="B11977" s="33" t="s">
        <v>27200</v>
      </c>
      <c r="C11977" s="33" t="s">
        <v>136</v>
      </c>
      <c r="D11977" s="33" t="s">
        <v>17</v>
      </c>
      <c r="E11977" s="33" t="s">
        <v>26</v>
      </c>
      <c r="F11977" s="33" t="s">
        <v>27</v>
      </c>
      <c r="G11977" s="33" t="s">
        <v>20</v>
      </c>
      <c r="H11977" s="35">
        <v>113</v>
      </c>
      <c r="I11977" s="33" t="s">
        <v>21</v>
      </c>
      <c r="J11977" s="42">
        <v>44749</v>
      </c>
      <c r="K11977" s="33" t="s">
        <v>22</v>
      </c>
    </row>
    <row r="11978" spans="1:11">
      <c r="A11978" s="30" t="s">
        <v>27201</v>
      </c>
      <c r="B11978" s="30" t="s">
        <v>27202</v>
      </c>
      <c r="C11978" s="30" t="s">
        <v>6625</v>
      </c>
      <c r="D11978" s="30" t="s">
        <v>17</v>
      </c>
      <c r="E11978" s="30" t="s">
        <v>212</v>
      </c>
      <c r="F11978" s="30" t="s">
        <v>213</v>
      </c>
      <c r="G11978" s="30" t="s">
        <v>106</v>
      </c>
      <c r="H11978" s="32">
        <v>3</v>
      </c>
      <c r="I11978" s="30" t="s">
        <v>21</v>
      </c>
      <c r="J11978" s="41">
        <v>44777</v>
      </c>
      <c r="K11978" s="30" t="s">
        <v>22</v>
      </c>
    </row>
    <row r="11979" spans="1:11">
      <c r="A11979" s="33" t="s">
        <v>27203</v>
      </c>
      <c r="B11979" s="33" t="s">
        <v>27204</v>
      </c>
      <c r="C11979" s="33" t="s">
        <v>27205</v>
      </c>
      <c r="D11979" s="33" t="s">
        <v>17</v>
      </c>
      <c r="E11979" s="33" t="s">
        <v>26</v>
      </c>
      <c r="F11979" s="33" t="s">
        <v>27</v>
      </c>
      <c r="G11979" s="33" t="s">
        <v>20</v>
      </c>
      <c r="H11979" s="35">
        <v>71</v>
      </c>
      <c r="I11979" s="33" t="s">
        <v>21</v>
      </c>
      <c r="J11979" s="42">
        <v>44662</v>
      </c>
      <c r="K11979" s="33" t="s">
        <v>22</v>
      </c>
    </row>
    <row r="11980" spans="1:11">
      <c r="A11980" s="30" t="s">
        <v>27206</v>
      </c>
      <c r="B11980" s="30" t="s">
        <v>27207</v>
      </c>
      <c r="C11980" s="30" t="s">
        <v>27208</v>
      </c>
      <c r="D11980" s="30" t="s">
        <v>17</v>
      </c>
      <c r="E11980" s="30" t="s">
        <v>67</v>
      </c>
      <c r="F11980" s="30" t="s">
        <v>68</v>
      </c>
      <c r="G11980" s="30" t="s">
        <v>140</v>
      </c>
      <c r="H11980" s="32">
        <v>332</v>
      </c>
      <c r="I11980" s="30" t="s">
        <v>51</v>
      </c>
      <c r="J11980" s="41">
        <v>44645</v>
      </c>
      <c r="K11980" s="30" t="s">
        <v>22</v>
      </c>
    </row>
    <row r="11981" spans="1:11">
      <c r="A11981" s="33" t="s">
        <v>27209</v>
      </c>
      <c r="B11981" s="33" t="s">
        <v>27210</v>
      </c>
      <c r="C11981" s="33" t="s">
        <v>27211</v>
      </c>
      <c r="D11981" s="33" t="s">
        <v>17</v>
      </c>
      <c r="E11981" s="33" t="s">
        <v>67</v>
      </c>
      <c r="F11981" s="33" t="s">
        <v>68</v>
      </c>
      <c r="G11981" s="33" t="s">
        <v>140</v>
      </c>
      <c r="H11981" s="35">
        <v>9</v>
      </c>
      <c r="I11981" s="33" t="s">
        <v>51</v>
      </c>
      <c r="J11981" s="42">
        <v>44895</v>
      </c>
      <c r="K11981" s="33" t="s">
        <v>22</v>
      </c>
    </row>
    <row r="11982" spans="1:11">
      <c r="A11982" s="30" t="s">
        <v>27212</v>
      </c>
      <c r="B11982" s="30" t="s">
        <v>27213</v>
      </c>
      <c r="C11982" s="30" t="s">
        <v>27214</v>
      </c>
      <c r="D11982" s="30" t="s">
        <v>17</v>
      </c>
      <c r="E11982" s="30" t="s">
        <v>26</v>
      </c>
      <c r="F11982" s="30" t="s">
        <v>27</v>
      </c>
      <c r="G11982" s="30" t="s">
        <v>20</v>
      </c>
      <c r="H11982" s="32">
        <v>104</v>
      </c>
      <c r="I11982" s="30" t="s">
        <v>21</v>
      </c>
      <c r="J11982" s="41">
        <v>44628</v>
      </c>
      <c r="K11982" s="30" t="s">
        <v>22</v>
      </c>
    </row>
    <row r="11983" spans="1:11">
      <c r="A11983" s="33" t="s">
        <v>27215</v>
      </c>
      <c r="B11983" s="33" t="s">
        <v>27216</v>
      </c>
      <c r="C11983" s="33" t="s">
        <v>27217</v>
      </c>
      <c r="D11983" s="33" t="s">
        <v>17</v>
      </c>
      <c r="E11983" s="33" t="s">
        <v>330</v>
      </c>
      <c r="F11983" s="33" t="s">
        <v>331</v>
      </c>
      <c r="G11983" s="33" t="s">
        <v>20</v>
      </c>
      <c r="H11983" s="35">
        <v>2</v>
      </c>
      <c r="I11983" s="33" t="s">
        <v>21</v>
      </c>
      <c r="J11983" s="42">
        <v>44582</v>
      </c>
      <c r="K11983" s="33" t="s">
        <v>22</v>
      </c>
    </row>
    <row r="11984" spans="1:11">
      <c r="A11984" s="30" t="s">
        <v>27218</v>
      </c>
      <c r="B11984" s="30" t="s">
        <v>27219</v>
      </c>
      <c r="C11984" s="30" t="s">
        <v>18572</v>
      </c>
      <c r="D11984" s="30" t="s">
        <v>17</v>
      </c>
      <c r="E11984" s="30" t="s">
        <v>26</v>
      </c>
      <c r="F11984" s="30" t="s">
        <v>27</v>
      </c>
      <c r="G11984" s="30" t="s">
        <v>20</v>
      </c>
      <c r="H11984" s="32">
        <v>26</v>
      </c>
      <c r="I11984" s="30" t="s">
        <v>21</v>
      </c>
      <c r="J11984" s="41">
        <v>44721</v>
      </c>
      <c r="K11984" s="30" t="s">
        <v>22</v>
      </c>
    </row>
    <row r="11985" spans="1:11">
      <c r="A11985" s="33" t="s">
        <v>27220</v>
      </c>
      <c r="B11985" s="33" t="s">
        <v>27221</v>
      </c>
      <c r="C11985" s="33" t="s">
        <v>9095</v>
      </c>
      <c r="D11985" s="33" t="s">
        <v>17</v>
      </c>
      <c r="E11985" s="33" t="s">
        <v>26</v>
      </c>
      <c r="F11985" s="33" t="s">
        <v>27</v>
      </c>
      <c r="G11985" s="33" t="s">
        <v>20</v>
      </c>
      <c r="H11985" s="35">
        <v>257</v>
      </c>
      <c r="I11985" s="33" t="s">
        <v>21</v>
      </c>
      <c r="J11985" s="42">
        <v>44621</v>
      </c>
      <c r="K11985" s="33" t="s">
        <v>22</v>
      </c>
    </row>
    <row r="11986" spans="1:11">
      <c r="A11986" s="30" t="s">
        <v>27222</v>
      </c>
      <c r="B11986" s="30" t="s">
        <v>27223</v>
      </c>
      <c r="C11986" s="30" t="s">
        <v>203</v>
      </c>
      <c r="D11986" s="30" t="s">
        <v>17</v>
      </c>
      <c r="E11986" s="30" t="s">
        <v>18</v>
      </c>
      <c r="F11986" s="30" t="s">
        <v>19</v>
      </c>
      <c r="G11986" s="30" t="s">
        <v>158</v>
      </c>
      <c r="H11986" s="32">
        <v>122</v>
      </c>
      <c r="I11986" s="30" t="s">
        <v>21</v>
      </c>
      <c r="J11986" s="41">
        <v>44631</v>
      </c>
      <c r="K11986" s="30" t="s">
        <v>22</v>
      </c>
    </row>
    <row r="11987" spans="1:11">
      <c r="A11987" s="33" t="s">
        <v>27224</v>
      </c>
      <c r="B11987" s="33" t="s">
        <v>27225</v>
      </c>
      <c r="C11987" s="33" t="s">
        <v>5139</v>
      </c>
      <c r="D11987" s="33" t="s">
        <v>17</v>
      </c>
      <c r="E11987" s="33" t="s">
        <v>18</v>
      </c>
      <c r="F11987" s="33" t="s">
        <v>19</v>
      </c>
      <c r="G11987" s="33" t="s">
        <v>106</v>
      </c>
      <c r="H11987" s="35">
        <v>260</v>
      </c>
      <c r="I11987" s="33" t="s">
        <v>21</v>
      </c>
      <c r="J11987" s="42">
        <v>44728</v>
      </c>
      <c r="K11987" s="33" t="s">
        <v>22</v>
      </c>
    </row>
    <row r="11988" spans="1:11">
      <c r="A11988" s="30" t="s">
        <v>27226</v>
      </c>
      <c r="B11988" s="30" t="s">
        <v>27227</v>
      </c>
      <c r="C11988" s="30" t="s">
        <v>26361</v>
      </c>
      <c r="D11988" s="30" t="s">
        <v>17</v>
      </c>
      <c r="E11988" s="30" t="s">
        <v>26</v>
      </c>
      <c r="F11988" s="30" t="s">
        <v>27</v>
      </c>
      <c r="G11988" s="30" t="s">
        <v>50</v>
      </c>
      <c r="H11988" s="32">
        <v>100</v>
      </c>
      <c r="I11988" s="30" t="s">
        <v>21</v>
      </c>
      <c r="J11988" s="41">
        <v>44761</v>
      </c>
      <c r="K11988" s="30" t="s">
        <v>22</v>
      </c>
    </row>
    <row r="11989" spans="1:11">
      <c r="A11989" s="33" t="s">
        <v>27228</v>
      </c>
      <c r="B11989" s="33" t="s">
        <v>27229</v>
      </c>
      <c r="C11989" s="33" t="s">
        <v>1498</v>
      </c>
      <c r="D11989" s="33" t="s">
        <v>17</v>
      </c>
      <c r="E11989" s="33" t="s">
        <v>18</v>
      </c>
      <c r="F11989" s="33" t="s">
        <v>19</v>
      </c>
      <c r="G11989" s="33" t="s">
        <v>20</v>
      </c>
      <c r="H11989" s="35">
        <v>471</v>
      </c>
      <c r="I11989" s="33" t="s">
        <v>21</v>
      </c>
      <c r="J11989" s="42">
        <v>44818</v>
      </c>
      <c r="K11989" s="33" t="s">
        <v>22</v>
      </c>
    </row>
    <row r="11990" spans="1:11">
      <c r="A11990" s="30" t="s">
        <v>27230</v>
      </c>
      <c r="B11990" s="30" t="s">
        <v>27231</v>
      </c>
      <c r="C11990" s="30" t="s">
        <v>161</v>
      </c>
      <c r="D11990" s="30" t="s">
        <v>17</v>
      </c>
      <c r="E11990" s="30" t="s">
        <v>67</v>
      </c>
      <c r="F11990" s="30" t="s">
        <v>68</v>
      </c>
      <c r="G11990" s="30" t="s">
        <v>20</v>
      </c>
      <c r="H11990" s="32">
        <v>31</v>
      </c>
      <c r="I11990" s="30" t="s">
        <v>21</v>
      </c>
      <c r="J11990" s="41">
        <v>44859</v>
      </c>
      <c r="K11990" s="30" t="s">
        <v>22</v>
      </c>
    </row>
    <row r="11991" spans="1:11">
      <c r="A11991" s="33" t="s">
        <v>27232</v>
      </c>
      <c r="B11991" s="33" t="s">
        <v>27233</v>
      </c>
      <c r="C11991" s="33" t="s">
        <v>27234</v>
      </c>
      <c r="D11991" s="33" t="s">
        <v>17</v>
      </c>
      <c r="E11991" s="33" t="s">
        <v>31</v>
      </c>
      <c r="F11991" s="33" t="s">
        <v>32</v>
      </c>
      <c r="G11991" s="33" t="s">
        <v>20</v>
      </c>
      <c r="H11991" s="35">
        <v>26</v>
      </c>
      <c r="I11991" s="33" t="s">
        <v>21</v>
      </c>
      <c r="J11991" s="42">
        <v>44608</v>
      </c>
      <c r="K11991" s="33" t="s">
        <v>22</v>
      </c>
    </row>
    <row r="11992" spans="1:11">
      <c r="A11992" s="30" t="s">
        <v>27235</v>
      </c>
      <c r="B11992" s="30" t="s">
        <v>27236</v>
      </c>
      <c r="C11992" s="30" t="s">
        <v>11462</v>
      </c>
      <c r="D11992" s="30" t="s">
        <v>17</v>
      </c>
      <c r="E11992" s="30" t="s">
        <v>26</v>
      </c>
      <c r="F11992" s="30" t="s">
        <v>27</v>
      </c>
      <c r="G11992" s="30" t="s">
        <v>20</v>
      </c>
      <c r="H11992" s="32">
        <v>8</v>
      </c>
      <c r="I11992" s="30" t="s">
        <v>21</v>
      </c>
      <c r="J11992" s="41">
        <v>44874</v>
      </c>
      <c r="K11992" s="30" t="s">
        <v>22</v>
      </c>
    </row>
    <row r="11993" spans="1:11">
      <c r="A11993" s="33" t="s">
        <v>27237</v>
      </c>
      <c r="B11993" s="33" t="s">
        <v>27238</v>
      </c>
      <c r="C11993" s="33" t="s">
        <v>6202</v>
      </c>
      <c r="D11993" s="33" t="s">
        <v>17</v>
      </c>
      <c r="E11993" s="33" t="s">
        <v>18</v>
      </c>
      <c r="F11993" s="33" t="s">
        <v>19</v>
      </c>
      <c r="G11993" s="33" t="s">
        <v>20</v>
      </c>
      <c r="H11993" s="35">
        <v>4050</v>
      </c>
      <c r="I11993" s="33" t="s">
        <v>21</v>
      </c>
      <c r="J11993" s="42">
        <v>44719</v>
      </c>
      <c r="K11993" s="33" t="s">
        <v>22</v>
      </c>
    </row>
    <row r="11994" spans="1:11">
      <c r="A11994" s="30" t="s">
        <v>27239</v>
      </c>
      <c r="B11994" s="30" t="s">
        <v>27240</v>
      </c>
      <c r="C11994" s="30" t="s">
        <v>27241</v>
      </c>
      <c r="D11994" s="30" t="s">
        <v>17</v>
      </c>
      <c r="E11994" s="30" t="s">
        <v>26</v>
      </c>
      <c r="F11994" s="30" t="s">
        <v>27</v>
      </c>
      <c r="G11994" s="30" t="s">
        <v>106</v>
      </c>
      <c r="H11994" s="32">
        <v>60</v>
      </c>
      <c r="I11994" s="30" t="s">
        <v>21</v>
      </c>
      <c r="J11994" s="41">
        <v>44699</v>
      </c>
      <c r="K11994" s="30" t="s">
        <v>22</v>
      </c>
    </row>
    <row r="11995" spans="1:11">
      <c r="A11995" s="33" t="s">
        <v>27242</v>
      </c>
      <c r="B11995" s="33" t="s">
        <v>27243</v>
      </c>
      <c r="C11995" s="33" t="s">
        <v>8350</v>
      </c>
      <c r="D11995" s="33" t="s">
        <v>17</v>
      </c>
      <c r="E11995" s="33" t="s">
        <v>212</v>
      </c>
      <c r="F11995" s="33" t="s">
        <v>213</v>
      </c>
      <c r="G11995" s="33" t="s">
        <v>50</v>
      </c>
      <c r="H11995" s="35">
        <v>162</v>
      </c>
      <c r="I11995" s="33" t="s">
        <v>51</v>
      </c>
      <c r="J11995" s="42">
        <v>44784</v>
      </c>
      <c r="K11995" s="33" t="s">
        <v>22</v>
      </c>
    </row>
    <row r="11996" spans="1:11">
      <c r="A11996" s="30" t="s">
        <v>27244</v>
      </c>
      <c r="B11996" s="30" t="s">
        <v>27245</v>
      </c>
      <c r="C11996" s="30" t="s">
        <v>27246</v>
      </c>
      <c r="D11996" s="30" t="s">
        <v>17</v>
      </c>
      <c r="E11996" s="30" t="s">
        <v>31</v>
      </c>
      <c r="F11996" s="30" t="s">
        <v>32</v>
      </c>
      <c r="G11996" s="30" t="s">
        <v>112</v>
      </c>
      <c r="H11996" s="32">
        <v>0</v>
      </c>
      <c r="I11996" s="30" t="s">
        <v>21</v>
      </c>
      <c r="J11996" s="41">
        <v>44682</v>
      </c>
      <c r="K11996" s="30" t="s">
        <v>22</v>
      </c>
    </row>
    <row r="11997" spans="1:11">
      <c r="A11997" s="33" t="s">
        <v>27247</v>
      </c>
      <c r="B11997" s="33" t="s">
        <v>27248</v>
      </c>
      <c r="C11997" s="33" t="s">
        <v>27249</v>
      </c>
      <c r="D11997" s="33" t="s">
        <v>17</v>
      </c>
      <c r="E11997" s="33" t="s">
        <v>26</v>
      </c>
      <c r="F11997" s="33" t="s">
        <v>27</v>
      </c>
      <c r="G11997" s="33" t="s">
        <v>20</v>
      </c>
      <c r="H11997" s="35">
        <v>34</v>
      </c>
      <c r="I11997" s="33" t="s">
        <v>21</v>
      </c>
      <c r="J11997" s="42">
        <v>44782</v>
      </c>
      <c r="K11997" s="33" t="s">
        <v>22</v>
      </c>
    </row>
    <row r="11998" spans="1:11">
      <c r="A11998" s="30" t="s">
        <v>27250</v>
      </c>
      <c r="B11998" s="30" t="s">
        <v>27251</v>
      </c>
      <c r="C11998" s="30" t="s">
        <v>647</v>
      </c>
      <c r="D11998" s="30" t="s">
        <v>17</v>
      </c>
      <c r="E11998" s="30" t="s">
        <v>26</v>
      </c>
      <c r="F11998" s="30" t="s">
        <v>27</v>
      </c>
      <c r="G11998" s="30" t="s">
        <v>20</v>
      </c>
      <c r="H11998" s="32">
        <v>14</v>
      </c>
      <c r="I11998" s="30" t="s">
        <v>21</v>
      </c>
      <c r="J11998" s="41">
        <v>44754</v>
      </c>
      <c r="K11998" s="30" t="s">
        <v>22</v>
      </c>
    </row>
    <row r="11999" spans="1:11">
      <c r="A11999" s="33" t="s">
        <v>27252</v>
      </c>
      <c r="B11999" s="33" t="s">
        <v>27253</v>
      </c>
      <c r="C11999" s="33" t="s">
        <v>19649</v>
      </c>
      <c r="D11999" s="33" t="s">
        <v>17</v>
      </c>
      <c r="E11999" s="33" t="s">
        <v>18</v>
      </c>
      <c r="F11999" s="33" t="s">
        <v>19</v>
      </c>
      <c r="G11999" s="33" t="s">
        <v>158</v>
      </c>
      <c r="H11999" s="35">
        <v>292</v>
      </c>
      <c r="I11999" s="33" t="s">
        <v>51</v>
      </c>
      <c r="J11999" s="42">
        <v>44774</v>
      </c>
      <c r="K11999" s="33" t="s">
        <v>22</v>
      </c>
    </row>
    <row r="12000" spans="1:11">
      <c r="A12000" s="30" t="s">
        <v>27254</v>
      </c>
      <c r="B12000" s="30" t="s">
        <v>27255</v>
      </c>
      <c r="C12000" s="30" t="s">
        <v>252</v>
      </c>
      <c r="D12000" s="30" t="s">
        <v>17</v>
      </c>
      <c r="E12000" s="30" t="s">
        <v>67</v>
      </c>
      <c r="F12000" s="30" t="s">
        <v>68</v>
      </c>
      <c r="G12000" s="30" t="s">
        <v>20</v>
      </c>
      <c r="H12000" s="32">
        <v>128</v>
      </c>
      <c r="I12000" s="30" t="s">
        <v>21</v>
      </c>
      <c r="J12000" s="41">
        <v>44632</v>
      </c>
      <c r="K12000" s="30" t="s">
        <v>22</v>
      </c>
    </row>
    <row r="12001" spans="1:11">
      <c r="A12001" s="33" t="s">
        <v>27256</v>
      </c>
      <c r="B12001" s="33" t="s">
        <v>27257</v>
      </c>
      <c r="C12001" s="33" t="s">
        <v>1178</v>
      </c>
      <c r="D12001" s="33" t="s">
        <v>17</v>
      </c>
      <c r="E12001" s="33" t="s">
        <v>31</v>
      </c>
      <c r="F12001" s="33" t="s">
        <v>32</v>
      </c>
      <c r="G12001" s="33" t="s">
        <v>20</v>
      </c>
      <c r="H12001" s="35">
        <v>27</v>
      </c>
      <c r="I12001" s="33" t="s">
        <v>21</v>
      </c>
      <c r="J12001" s="42">
        <v>44614</v>
      </c>
      <c r="K12001" s="33" t="s">
        <v>22</v>
      </c>
    </row>
    <row r="12002" spans="1:11">
      <c r="A12002" s="30" t="s">
        <v>27258</v>
      </c>
      <c r="B12002" s="30" t="s">
        <v>27259</v>
      </c>
      <c r="C12002" s="30" t="s">
        <v>27260</v>
      </c>
      <c r="D12002" s="30" t="s">
        <v>17</v>
      </c>
      <c r="E12002" s="30" t="s">
        <v>212</v>
      </c>
      <c r="F12002" s="30" t="s">
        <v>213</v>
      </c>
      <c r="G12002" s="30" t="s">
        <v>50</v>
      </c>
      <c r="H12002" s="32">
        <v>630</v>
      </c>
      <c r="I12002" s="30" t="s">
        <v>51</v>
      </c>
      <c r="J12002" s="41">
        <v>44581</v>
      </c>
      <c r="K12002" s="30" t="s">
        <v>22</v>
      </c>
    </row>
    <row r="12003" spans="1:11">
      <c r="A12003" s="33" t="s">
        <v>27261</v>
      </c>
      <c r="B12003" s="33" t="s">
        <v>27262</v>
      </c>
      <c r="C12003" s="33" t="s">
        <v>647</v>
      </c>
      <c r="D12003" s="33" t="s">
        <v>17</v>
      </c>
      <c r="E12003" s="33" t="s">
        <v>26</v>
      </c>
      <c r="F12003" s="33" t="s">
        <v>27</v>
      </c>
      <c r="G12003" s="33" t="s">
        <v>20</v>
      </c>
      <c r="H12003" s="35">
        <v>34</v>
      </c>
      <c r="I12003" s="33" t="s">
        <v>21</v>
      </c>
      <c r="J12003" s="42">
        <v>44824</v>
      </c>
      <c r="K12003" s="33" t="s">
        <v>22</v>
      </c>
    </row>
    <row r="12004" spans="1:11">
      <c r="A12004" s="30" t="s">
        <v>27263</v>
      </c>
      <c r="B12004" s="30" t="s">
        <v>27264</v>
      </c>
      <c r="C12004" s="30" t="s">
        <v>4108</v>
      </c>
      <c r="D12004" s="30" t="s">
        <v>17</v>
      </c>
      <c r="E12004" s="30" t="s">
        <v>31</v>
      </c>
      <c r="F12004" s="30" t="s">
        <v>32</v>
      </c>
      <c r="G12004" s="30" t="s">
        <v>20</v>
      </c>
      <c r="H12004" s="32">
        <v>21</v>
      </c>
      <c r="I12004" s="30" t="s">
        <v>21</v>
      </c>
      <c r="J12004" s="41">
        <v>44713</v>
      </c>
      <c r="K12004" s="30" t="s">
        <v>22</v>
      </c>
    </row>
    <row r="12005" spans="1:11">
      <c r="A12005" s="33" t="s">
        <v>27265</v>
      </c>
      <c r="B12005" s="33" t="s">
        <v>27266</v>
      </c>
      <c r="C12005" s="33" t="s">
        <v>13520</v>
      </c>
      <c r="D12005" s="33" t="s">
        <v>17</v>
      </c>
      <c r="E12005" s="33" t="s">
        <v>45</v>
      </c>
      <c r="F12005" s="33" t="s">
        <v>46</v>
      </c>
      <c r="G12005" s="33" t="s">
        <v>2613</v>
      </c>
      <c r="H12005" s="35">
        <v>150</v>
      </c>
      <c r="I12005" s="33" t="s">
        <v>51</v>
      </c>
      <c r="J12005" s="42">
        <v>44923</v>
      </c>
      <c r="K12005" s="33" t="s">
        <v>22</v>
      </c>
    </row>
    <row r="12006" spans="1:11">
      <c r="A12006" s="30" t="s">
        <v>27267</v>
      </c>
      <c r="B12006" s="30" t="s">
        <v>27268</v>
      </c>
      <c r="C12006" s="30" t="s">
        <v>10288</v>
      </c>
      <c r="D12006" s="30" t="s">
        <v>17</v>
      </c>
      <c r="E12006" s="30" t="s">
        <v>67</v>
      </c>
      <c r="F12006" s="30" t="s">
        <v>68</v>
      </c>
      <c r="G12006" s="30" t="s">
        <v>50</v>
      </c>
      <c r="H12006" s="32">
        <v>84</v>
      </c>
      <c r="I12006" s="30" t="s">
        <v>21</v>
      </c>
      <c r="J12006" s="41">
        <v>44579</v>
      </c>
      <c r="K12006" s="30" t="s">
        <v>22</v>
      </c>
    </row>
    <row r="12007" spans="1:11">
      <c r="A12007" s="33" t="s">
        <v>27269</v>
      </c>
      <c r="B12007" s="33" t="s">
        <v>27270</v>
      </c>
      <c r="C12007" s="33" t="s">
        <v>13870</v>
      </c>
      <c r="D12007" s="33" t="s">
        <v>17</v>
      </c>
      <c r="E12007" s="33" t="s">
        <v>18</v>
      </c>
      <c r="F12007" s="33" t="s">
        <v>19</v>
      </c>
      <c r="G12007" s="33" t="s">
        <v>20</v>
      </c>
      <c r="H12007" s="35">
        <v>55</v>
      </c>
      <c r="I12007" s="33" t="s">
        <v>21</v>
      </c>
      <c r="J12007" s="42">
        <v>44705</v>
      </c>
      <c r="K12007" s="33" t="s">
        <v>22</v>
      </c>
    </row>
    <row r="12008" spans="1:11">
      <c r="A12008" s="30" t="s">
        <v>27271</v>
      </c>
      <c r="B12008" s="30" t="s">
        <v>27272</v>
      </c>
      <c r="C12008" s="30" t="s">
        <v>27273</v>
      </c>
      <c r="D12008" s="30" t="s">
        <v>17</v>
      </c>
      <c r="E12008" s="30" t="s">
        <v>31</v>
      </c>
      <c r="F12008" s="30" t="s">
        <v>32</v>
      </c>
      <c r="G12008" s="30" t="s">
        <v>20</v>
      </c>
      <c r="H12008" s="32">
        <v>53</v>
      </c>
      <c r="I12008" s="30" t="s">
        <v>21</v>
      </c>
      <c r="J12008" s="41">
        <v>44803</v>
      </c>
      <c r="K12008" s="30" t="s">
        <v>22</v>
      </c>
    </row>
    <row r="12009" spans="1:11">
      <c r="A12009" s="33" t="s">
        <v>27274</v>
      </c>
      <c r="B12009" s="33" t="s">
        <v>27275</v>
      </c>
      <c r="C12009" s="33" t="s">
        <v>15999</v>
      </c>
      <c r="D12009" s="33" t="s">
        <v>17</v>
      </c>
      <c r="E12009" s="33" t="s">
        <v>26</v>
      </c>
      <c r="F12009" s="33" t="s">
        <v>27</v>
      </c>
      <c r="G12009" s="33" t="s">
        <v>20</v>
      </c>
      <c r="H12009" s="35">
        <v>25</v>
      </c>
      <c r="I12009" s="33" t="s">
        <v>21</v>
      </c>
      <c r="J12009" s="42">
        <v>44683</v>
      </c>
      <c r="K12009" s="33" t="s">
        <v>22</v>
      </c>
    </row>
    <row r="12010" spans="1:11">
      <c r="A12010" s="30" t="s">
        <v>27276</v>
      </c>
      <c r="B12010" s="30" t="s">
        <v>27277</v>
      </c>
      <c r="C12010" s="30" t="s">
        <v>216</v>
      </c>
      <c r="D12010" s="30" t="s">
        <v>17</v>
      </c>
      <c r="E12010" s="30" t="s">
        <v>26</v>
      </c>
      <c r="F12010" s="30" t="s">
        <v>27</v>
      </c>
      <c r="G12010" s="30" t="s">
        <v>20</v>
      </c>
      <c r="H12010" s="32">
        <v>207</v>
      </c>
      <c r="I12010" s="30" t="s">
        <v>21</v>
      </c>
      <c r="J12010" s="41">
        <v>44824</v>
      </c>
      <c r="K12010" s="30" t="s">
        <v>22</v>
      </c>
    </row>
    <row r="12011" spans="1:11">
      <c r="A12011" s="33" t="s">
        <v>27278</v>
      </c>
      <c r="B12011" s="33" t="s">
        <v>27279</v>
      </c>
      <c r="C12011" s="33" t="s">
        <v>2825</v>
      </c>
      <c r="D12011" s="33" t="s">
        <v>17</v>
      </c>
      <c r="E12011" s="33" t="s">
        <v>26</v>
      </c>
      <c r="F12011" s="33" t="s">
        <v>27</v>
      </c>
      <c r="G12011" s="33" t="s">
        <v>20</v>
      </c>
      <c r="H12011" s="35">
        <v>38</v>
      </c>
      <c r="I12011" s="33" t="s">
        <v>21</v>
      </c>
      <c r="J12011" s="42">
        <v>44739</v>
      </c>
      <c r="K12011" s="33" t="s">
        <v>22</v>
      </c>
    </row>
    <row r="12012" spans="1:11">
      <c r="A12012" s="30" t="s">
        <v>27280</v>
      </c>
      <c r="B12012" s="30" t="s">
        <v>27281</v>
      </c>
      <c r="C12012" s="30" t="s">
        <v>93</v>
      </c>
      <c r="D12012" s="30" t="s">
        <v>17</v>
      </c>
      <c r="E12012" s="30" t="s">
        <v>212</v>
      </c>
      <c r="F12012" s="30" t="s">
        <v>213</v>
      </c>
      <c r="G12012" s="30" t="s">
        <v>20</v>
      </c>
      <c r="H12012" s="32">
        <v>263</v>
      </c>
      <c r="I12012" s="30" t="s">
        <v>21</v>
      </c>
      <c r="J12012" s="41">
        <v>44627</v>
      </c>
      <c r="K12012" s="30" t="s">
        <v>22</v>
      </c>
    </row>
    <row r="12013" spans="1:11">
      <c r="A12013" s="33" t="s">
        <v>27282</v>
      </c>
      <c r="B12013" s="33" t="s">
        <v>27283</v>
      </c>
      <c r="C12013" s="33" t="s">
        <v>27284</v>
      </c>
      <c r="D12013" s="33" t="s">
        <v>17</v>
      </c>
      <c r="E12013" s="33" t="s">
        <v>18</v>
      </c>
      <c r="F12013" s="33" t="s">
        <v>19</v>
      </c>
      <c r="G12013" s="33" t="s">
        <v>158</v>
      </c>
      <c r="H12013" s="35">
        <v>439</v>
      </c>
      <c r="I12013" s="33" t="s">
        <v>21</v>
      </c>
      <c r="J12013" s="42">
        <v>44606</v>
      </c>
      <c r="K12013" s="33" t="s">
        <v>22</v>
      </c>
    </row>
    <row r="12014" spans="1:11">
      <c r="A12014" s="30" t="s">
        <v>27285</v>
      </c>
      <c r="B12014" s="30" t="s">
        <v>27286</v>
      </c>
      <c r="C12014" s="30" t="s">
        <v>2695</v>
      </c>
      <c r="D12014" s="30" t="s">
        <v>17</v>
      </c>
      <c r="E12014" s="30" t="s">
        <v>26</v>
      </c>
      <c r="F12014" s="30" t="s">
        <v>27</v>
      </c>
      <c r="G12014" s="30" t="s">
        <v>20</v>
      </c>
      <c r="H12014" s="32">
        <v>20</v>
      </c>
      <c r="I12014" s="30" t="s">
        <v>21</v>
      </c>
      <c r="J12014" s="41">
        <v>44739</v>
      </c>
      <c r="K12014" s="30" t="s">
        <v>22</v>
      </c>
    </row>
    <row r="12015" spans="1:11">
      <c r="A12015" s="33" t="s">
        <v>27287</v>
      </c>
      <c r="B12015" s="33" t="s">
        <v>27288</v>
      </c>
      <c r="C12015" s="33" t="s">
        <v>20739</v>
      </c>
      <c r="D12015" s="33" t="s">
        <v>17</v>
      </c>
      <c r="E12015" s="33" t="s">
        <v>31</v>
      </c>
      <c r="F12015" s="33" t="s">
        <v>32</v>
      </c>
      <c r="G12015" s="33" t="s">
        <v>20</v>
      </c>
      <c r="H12015" s="35">
        <v>62</v>
      </c>
      <c r="I12015" s="33" t="s">
        <v>21</v>
      </c>
      <c r="J12015" s="42">
        <v>44637</v>
      </c>
      <c r="K12015" s="33" t="s">
        <v>22</v>
      </c>
    </row>
    <row r="12016" spans="1:11">
      <c r="A12016" s="30" t="s">
        <v>27289</v>
      </c>
      <c r="B12016" s="30" t="s">
        <v>27290</v>
      </c>
      <c r="C12016" s="30" t="s">
        <v>118</v>
      </c>
      <c r="D12016" s="30" t="s">
        <v>17</v>
      </c>
      <c r="E12016" s="30" t="s">
        <v>26</v>
      </c>
      <c r="F12016" s="30" t="s">
        <v>27</v>
      </c>
      <c r="G12016" s="30" t="s">
        <v>20</v>
      </c>
      <c r="H12016" s="32">
        <v>56</v>
      </c>
      <c r="I12016" s="30" t="s">
        <v>21</v>
      </c>
      <c r="J12016" s="41">
        <v>44812</v>
      </c>
      <c r="K12016" s="30" t="s">
        <v>22</v>
      </c>
    </row>
    <row r="12017" spans="1:11">
      <c r="A12017" s="33" t="s">
        <v>27291</v>
      </c>
      <c r="B12017" s="33" t="s">
        <v>27292</v>
      </c>
      <c r="C12017" s="33" t="s">
        <v>701</v>
      </c>
      <c r="D12017" s="33" t="s">
        <v>17</v>
      </c>
      <c r="E12017" s="33" t="s">
        <v>18</v>
      </c>
      <c r="F12017" s="33" t="s">
        <v>19</v>
      </c>
      <c r="G12017" s="33" t="s">
        <v>50</v>
      </c>
      <c r="H12017" s="35">
        <v>400</v>
      </c>
      <c r="I12017" s="33" t="s">
        <v>51</v>
      </c>
      <c r="J12017" s="42">
        <v>44872</v>
      </c>
      <c r="K12017" s="33" t="s">
        <v>22</v>
      </c>
    </row>
    <row r="12018" spans="1:11">
      <c r="A12018" s="30" t="s">
        <v>27293</v>
      </c>
      <c r="B12018" s="30" t="s">
        <v>27294</v>
      </c>
      <c r="C12018" s="30" t="s">
        <v>136</v>
      </c>
      <c r="D12018" s="30" t="s">
        <v>17</v>
      </c>
      <c r="E12018" s="30" t="s">
        <v>18</v>
      </c>
      <c r="F12018" s="30" t="s">
        <v>19</v>
      </c>
      <c r="G12018" s="30" t="s">
        <v>158</v>
      </c>
      <c r="H12018" s="32">
        <v>8000</v>
      </c>
      <c r="I12018" s="30" t="s">
        <v>51</v>
      </c>
      <c r="J12018" s="41">
        <v>44838</v>
      </c>
      <c r="K12018" s="30" t="s">
        <v>22</v>
      </c>
    </row>
    <row r="12019" spans="1:11">
      <c r="A12019" s="33" t="s">
        <v>27295</v>
      </c>
      <c r="B12019" s="33" t="s">
        <v>27296</v>
      </c>
      <c r="C12019" s="33" t="s">
        <v>60</v>
      </c>
      <c r="D12019" s="33" t="s">
        <v>17</v>
      </c>
      <c r="E12019" s="33" t="s">
        <v>18</v>
      </c>
      <c r="F12019" s="33" t="s">
        <v>19</v>
      </c>
      <c r="G12019" s="33" t="s">
        <v>158</v>
      </c>
      <c r="H12019" s="35">
        <v>210</v>
      </c>
      <c r="I12019" s="33" t="s">
        <v>51</v>
      </c>
      <c r="J12019" s="42">
        <v>44733</v>
      </c>
      <c r="K12019" s="33" t="s">
        <v>22</v>
      </c>
    </row>
    <row r="12020" spans="1:11">
      <c r="A12020" s="30" t="s">
        <v>27297</v>
      </c>
      <c r="B12020" s="30" t="s">
        <v>27298</v>
      </c>
      <c r="C12020" s="30" t="s">
        <v>27299</v>
      </c>
      <c r="D12020" s="30" t="s">
        <v>17</v>
      </c>
      <c r="E12020" s="30" t="s">
        <v>45</v>
      </c>
      <c r="F12020" s="30" t="s">
        <v>46</v>
      </c>
      <c r="G12020" s="30" t="s">
        <v>50</v>
      </c>
      <c r="H12020" s="32">
        <v>400</v>
      </c>
      <c r="I12020" s="30" t="s">
        <v>51</v>
      </c>
      <c r="J12020" s="41">
        <v>44612</v>
      </c>
      <c r="K12020" s="30" t="s">
        <v>22</v>
      </c>
    </row>
    <row r="12021" spans="1:11">
      <c r="A12021" s="33" t="s">
        <v>27300</v>
      </c>
      <c r="B12021" s="33" t="s">
        <v>27301</v>
      </c>
      <c r="C12021" s="33" t="s">
        <v>11643</v>
      </c>
      <c r="D12021" s="33" t="s">
        <v>17</v>
      </c>
      <c r="E12021" s="33" t="s">
        <v>31</v>
      </c>
      <c r="F12021" s="33" t="s">
        <v>32</v>
      </c>
      <c r="G12021" s="33" t="s">
        <v>158</v>
      </c>
      <c r="H12021" s="35">
        <v>25</v>
      </c>
      <c r="I12021" s="33" t="s">
        <v>21</v>
      </c>
      <c r="J12021" s="42">
        <v>44669</v>
      </c>
      <c r="K12021" s="33" t="s">
        <v>22</v>
      </c>
    </row>
    <row r="12022" spans="1:11">
      <c r="A12022" s="30" t="s">
        <v>27302</v>
      </c>
      <c r="B12022" s="30" t="s">
        <v>27303</v>
      </c>
      <c r="C12022" s="30" t="s">
        <v>12099</v>
      </c>
      <c r="D12022" s="30" t="s">
        <v>17</v>
      </c>
      <c r="E12022" s="30" t="s">
        <v>18</v>
      </c>
      <c r="F12022" s="30" t="s">
        <v>19</v>
      </c>
      <c r="G12022" s="30" t="s">
        <v>20</v>
      </c>
      <c r="H12022" s="32">
        <v>1542</v>
      </c>
      <c r="I12022" s="30" t="s">
        <v>21</v>
      </c>
      <c r="J12022" s="41">
        <v>44775</v>
      </c>
      <c r="K12022" s="30" t="s">
        <v>22</v>
      </c>
    </row>
    <row r="12023" spans="1:11">
      <c r="A12023" s="33" t="s">
        <v>27304</v>
      </c>
      <c r="B12023" s="33" t="s">
        <v>27305</v>
      </c>
      <c r="C12023" s="33" t="s">
        <v>549</v>
      </c>
      <c r="D12023" s="33" t="s">
        <v>17</v>
      </c>
      <c r="E12023" s="33" t="s">
        <v>31</v>
      </c>
      <c r="F12023" s="33" t="s">
        <v>32</v>
      </c>
      <c r="G12023" s="33" t="s">
        <v>20</v>
      </c>
      <c r="H12023" s="35">
        <v>63</v>
      </c>
      <c r="I12023" s="33" t="s">
        <v>21</v>
      </c>
      <c r="J12023" s="42">
        <v>44916</v>
      </c>
      <c r="K12023" s="33" t="s">
        <v>22</v>
      </c>
    </row>
    <row r="12024" spans="1:11">
      <c r="A12024" s="30" t="s">
        <v>27306</v>
      </c>
      <c r="B12024" s="30" t="s">
        <v>27307</v>
      </c>
      <c r="C12024" s="30" t="s">
        <v>7035</v>
      </c>
      <c r="D12024" s="30" t="s">
        <v>17</v>
      </c>
      <c r="E12024" s="30" t="s">
        <v>31</v>
      </c>
      <c r="F12024" s="30" t="s">
        <v>32</v>
      </c>
      <c r="G12024" s="30" t="s">
        <v>20</v>
      </c>
      <c r="H12024" s="32">
        <v>102</v>
      </c>
      <c r="I12024" s="30" t="s">
        <v>21</v>
      </c>
      <c r="J12024" s="41">
        <v>44797</v>
      </c>
      <c r="K12024" s="30" t="s">
        <v>22</v>
      </c>
    </row>
    <row r="12025" spans="1:11">
      <c r="A12025" s="33" t="s">
        <v>27308</v>
      </c>
      <c r="B12025" s="33" t="s">
        <v>27309</v>
      </c>
      <c r="C12025" s="33" t="s">
        <v>27310</v>
      </c>
      <c r="D12025" s="33" t="s">
        <v>17</v>
      </c>
      <c r="E12025" s="33" t="s">
        <v>67</v>
      </c>
      <c r="F12025" s="33" t="s">
        <v>68</v>
      </c>
      <c r="G12025" s="33" t="s">
        <v>20</v>
      </c>
      <c r="H12025" s="35">
        <v>17</v>
      </c>
      <c r="I12025" s="33" t="s">
        <v>21</v>
      </c>
      <c r="J12025" s="42">
        <v>44698</v>
      </c>
      <c r="K12025" s="33" t="s">
        <v>22</v>
      </c>
    </row>
    <row r="12026" spans="1:11">
      <c r="A12026" s="30" t="s">
        <v>27311</v>
      </c>
      <c r="B12026" s="30" t="s">
        <v>27312</v>
      </c>
      <c r="C12026" s="30" t="s">
        <v>733</v>
      </c>
      <c r="D12026" s="30" t="s">
        <v>17</v>
      </c>
      <c r="E12026" s="30" t="s">
        <v>18</v>
      </c>
      <c r="F12026" s="30" t="s">
        <v>19</v>
      </c>
      <c r="G12026" s="30" t="s">
        <v>20</v>
      </c>
      <c r="H12026" s="32">
        <v>365</v>
      </c>
      <c r="I12026" s="30" t="s">
        <v>21</v>
      </c>
      <c r="J12026" s="41">
        <v>44834</v>
      </c>
      <c r="K12026" s="30" t="s">
        <v>22</v>
      </c>
    </row>
    <row r="12027" spans="1:11">
      <c r="A12027" s="33" t="s">
        <v>27313</v>
      </c>
      <c r="B12027" s="33" t="s">
        <v>27314</v>
      </c>
      <c r="C12027" s="33" t="s">
        <v>8250</v>
      </c>
      <c r="D12027" s="33" t="s">
        <v>17</v>
      </c>
      <c r="E12027" s="33" t="s">
        <v>18</v>
      </c>
      <c r="F12027" s="33" t="s">
        <v>19</v>
      </c>
      <c r="G12027" s="33" t="s">
        <v>158</v>
      </c>
      <c r="H12027" s="35">
        <v>815</v>
      </c>
      <c r="I12027" s="33" t="s">
        <v>51</v>
      </c>
      <c r="J12027" s="42">
        <v>44683</v>
      </c>
      <c r="K12027" s="33" t="s">
        <v>22</v>
      </c>
    </row>
    <row r="12028" spans="1:11">
      <c r="A12028" s="30" t="s">
        <v>27315</v>
      </c>
      <c r="B12028" s="30" t="s">
        <v>27316</v>
      </c>
      <c r="C12028" s="30" t="s">
        <v>18084</v>
      </c>
      <c r="D12028" s="30" t="s">
        <v>17</v>
      </c>
      <c r="E12028" s="30" t="s">
        <v>31</v>
      </c>
      <c r="F12028" s="30" t="s">
        <v>32</v>
      </c>
      <c r="G12028" s="30" t="s">
        <v>20</v>
      </c>
      <c r="H12028" s="32">
        <v>64</v>
      </c>
      <c r="I12028" s="30" t="s">
        <v>21</v>
      </c>
      <c r="J12028" s="41">
        <v>44662</v>
      </c>
      <c r="K12028" s="30" t="s">
        <v>22</v>
      </c>
    </row>
    <row r="12029" spans="1:11">
      <c r="A12029" s="33" t="s">
        <v>27317</v>
      </c>
      <c r="B12029" s="33" t="s">
        <v>27318</v>
      </c>
      <c r="C12029" s="33" t="s">
        <v>5493</v>
      </c>
      <c r="D12029" s="33" t="s">
        <v>17</v>
      </c>
      <c r="E12029" s="33" t="s">
        <v>18</v>
      </c>
      <c r="F12029" s="33" t="s">
        <v>19</v>
      </c>
      <c r="G12029" s="33" t="s">
        <v>2613</v>
      </c>
      <c r="H12029" s="35">
        <v>180</v>
      </c>
      <c r="I12029" s="33" t="s">
        <v>51</v>
      </c>
      <c r="J12029" s="42">
        <v>44747</v>
      </c>
      <c r="K12029" s="33" t="s">
        <v>22</v>
      </c>
    </row>
    <row r="12030" spans="1:11">
      <c r="A12030" s="30" t="s">
        <v>27319</v>
      </c>
      <c r="B12030" s="30" t="s">
        <v>27320</v>
      </c>
      <c r="C12030" s="30" t="s">
        <v>2094</v>
      </c>
      <c r="D12030" s="30" t="s">
        <v>17</v>
      </c>
      <c r="E12030" s="30" t="s">
        <v>26</v>
      </c>
      <c r="F12030" s="30" t="s">
        <v>27</v>
      </c>
      <c r="G12030" s="30" t="s">
        <v>20</v>
      </c>
      <c r="H12030" s="32">
        <v>20</v>
      </c>
      <c r="I12030" s="30" t="s">
        <v>21</v>
      </c>
      <c r="J12030" s="41">
        <v>44733</v>
      </c>
      <c r="K12030" s="30" t="s">
        <v>22</v>
      </c>
    </row>
    <row r="12031" spans="1:11">
      <c r="A12031" s="33" t="s">
        <v>27321</v>
      </c>
      <c r="B12031" s="33" t="s">
        <v>27322</v>
      </c>
      <c r="C12031" s="33" t="s">
        <v>130</v>
      </c>
      <c r="D12031" s="33" t="s">
        <v>17</v>
      </c>
      <c r="E12031" s="33" t="s">
        <v>31</v>
      </c>
      <c r="F12031" s="33" t="s">
        <v>32</v>
      </c>
      <c r="G12031" s="33" t="s">
        <v>20</v>
      </c>
      <c r="H12031" s="35">
        <v>64</v>
      </c>
      <c r="I12031" s="33" t="s">
        <v>21</v>
      </c>
      <c r="J12031" s="42">
        <v>44888</v>
      </c>
      <c r="K12031" s="33" t="s">
        <v>22</v>
      </c>
    </row>
    <row r="12032" spans="1:11">
      <c r="A12032" s="30" t="s">
        <v>27323</v>
      </c>
      <c r="B12032" s="30" t="s">
        <v>27324</v>
      </c>
      <c r="C12032" s="30" t="s">
        <v>17981</v>
      </c>
      <c r="D12032" s="30" t="s">
        <v>17</v>
      </c>
      <c r="E12032" s="30" t="s">
        <v>67</v>
      </c>
      <c r="F12032" s="30" t="s">
        <v>68</v>
      </c>
      <c r="G12032" s="30" t="s">
        <v>140</v>
      </c>
      <c r="H12032" s="32">
        <v>203</v>
      </c>
      <c r="I12032" s="30" t="s">
        <v>51</v>
      </c>
      <c r="J12032" s="41">
        <v>44866</v>
      </c>
      <c r="K12032" s="30" t="s">
        <v>22</v>
      </c>
    </row>
    <row r="12033" spans="1:11">
      <c r="A12033" s="33" t="s">
        <v>27325</v>
      </c>
      <c r="B12033" s="33" t="s">
        <v>27326</v>
      </c>
      <c r="C12033" s="33" t="s">
        <v>2099</v>
      </c>
      <c r="D12033" s="33" t="s">
        <v>17</v>
      </c>
      <c r="E12033" s="33" t="s">
        <v>31</v>
      </c>
      <c r="F12033" s="33" t="s">
        <v>32</v>
      </c>
      <c r="G12033" s="33" t="s">
        <v>20</v>
      </c>
      <c r="H12033" s="35">
        <v>188</v>
      </c>
      <c r="I12033" s="33" t="s">
        <v>21</v>
      </c>
      <c r="J12033" s="42">
        <v>44803</v>
      </c>
      <c r="K12033" s="33" t="s">
        <v>22</v>
      </c>
    </row>
    <row r="12034" spans="1:11">
      <c r="A12034" s="30" t="s">
        <v>27327</v>
      </c>
      <c r="B12034" s="30" t="s">
        <v>27328</v>
      </c>
      <c r="C12034" s="30" t="s">
        <v>715</v>
      </c>
      <c r="D12034" s="30" t="s">
        <v>17</v>
      </c>
      <c r="E12034" s="30" t="s">
        <v>26</v>
      </c>
      <c r="F12034" s="30" t="s">
        <v>27</v>
      </c>
      <c r="G12034" s="30" t="s">
        <v>106</v>
      </c>
      <c r="H12034" s="32">
        <v>36</v>
      </c>
      <c r="I12034" s="30" t="s">
        <v>21</v>
      </c>
      <c r="J12034" s="41">
        <v>44627</v>
      </c>
      <c r="K12034" s="30" t="s">
        <v>22</v>
      </c>
    </row>
    <row r="12035" spans="1:11">
      <c r="A12035" s="33" t="s">
        <v>27329</v>
      </c>
      <c r="B12035" s="33" t="s">
        <v>27330</v>
      </c>
      <c r="C12035" s="33" t="s">
        <v>21009</v>
      </c>
      <c r="D12035" s="33" t="s">
        <v>17</v>
      </c>
      <c r="E12035" s="33" t="s">
        <v>31</v>
      </c>
      <c r="F12035" s="33" t="s">
        <v>32</v>
      </c>
      <c r="G12035" s="33" t="s">
        <v>158</v>
      </c>
      <c r="H12035" s="35">
        <v>92</v>
      </c>
      <c r="I12035" s="33" t="s">
        <v>21</v>
      </c>
      <c r="J12035" s="42">
        <v>44873</v>
      </c>
      <c r="K12035" s="33" t="s">
        <v>22</v>
      </c>
    </row>
    <row r="12036" spans="1:11">
      <c r="A12036" s="30" t="s">
        <v>27331</v>
      </c>
      <c r="B12036" s="30" t="s">
        <v>27332</v>
      </c>
      <c r="C12036" s="30" t="s">
        <v>9605</v>
      </c>
      <c r="D12036" s="30" t="s">
        <v>17</v>
      </c>
      <c r="E12036" s="30" t="s">
        <v>67</v>
      </c>
      <c r="F12036" s="30" t="s">
        <v>68</v>
      </c>
      <c r="G12036" s="30" t="s">
        <v>106</v>
      </c>
      <c r="H12036" s="32">
        <v>24</v>
      </c>
      <c r="I12036" s="30" t="s">
        <v>21</v>
      </c>
      <c r="J12036" s="41">
        <v>44707</v>
      </c>
      <c r="K12036" s="30" t="s">
        <v>22</v>
      </c>
    </row>
    <row r="12037" spans="1:11">
      <c r="A12037" s="33" t="s">
        <v>27333</v>
      </c>
      <c r="B12037" s="33" t="s">
        <v>27334</v>
      </c>
      <c r="C12037" s="33" t="s">
        <v>21332</v>
      </c>
      <c r="D12037" s="33" t="s">
        <v>17</v>
      </c>
      <c r="E12037" s="33" t="s">
        <v>26</v>
      </c>
      <c r="F12037" s="33" t="s">
        <v>27</v>
      </c>
      <c r="G12037" s="33" t="s">
        <v>106</v>
      </c>
      <c r="H12037" s="35">
        <v>34</v>
      </c>
      <c r="I12037" s="33" t="s">
        <v>21</v>
      </c>
      <c r="J12037" s="42">
        <v>44673</v>
      </c>
      <c r="K12037" s="33" t="s">
        <v>22</v>
      </c>
    </row>
    <row r="12038" spans="1:11">
      <c r="A12038" s="30" t="s">
        <v>27335</v>
      </c>
      <c r="B12038" s="30" t="s">
        <v>27336</v>
      </c>
      <c r="C12038" s="30" t="s">
        <v>19435</v>
      </c>
      <c r="D12038" s="30" t="s">
        <v>17</v>
      </c>
      <c r="E12038" s="30" t="s">
        <v>26</v>
      </c>
      <c r="F12038" s="30" t="s">
        <v>27</v>
      </c>
      <c r="G12038" s="30" t="s">
        <v>20</v>
      </c>
      <c r="H12038" s="32">
        <v>30</v>
      </c>
      <c r="I12038" s="30" t="s">
        <v>21</v>
      </c>
      <c r="J12038" s="41">
        <v>44847</v>
      </c>
      <c r="K12038" s="30" t="s">
        <v>22</v>
      </c>
    </row>
    <row r="12039" spans="1:11">
      <c r="A12039" s="33" t="s">
        <v>27337</v>
      </c>
      <c r="B12039" s="33" t="s">
        <v>27338</v>
      </c>
      <c r="C12039" s="33" t="s">
        <v>102</v>
      </c>
      <c r="D12039" s="33" t="s">
        <v>17</v>
      </c>
      <c r="E12039" s="33" t="s">
        <v>26</v>
      </c>
      <c r="F12039" s="33" t="s">
        <v>27</v>
      </c>
      <c r="G12039" s="33" t="s">
        <v>20</v>
      </c>
      <c r="H12039" s="35">
        <v>32</v>
      </c>
      <c r="I12039" s="33" t="s">
        <v>21</v>
      </c>
      <c r="J12039" s="42">
        <v>44719</v>
      </c>
      <c r="K12039" s="33" t="s">
        <v>22</v>
      </c>
    </row>
    <row r="12040" spans="1:11">
      <c r="A12040" s="30" t="s">
        <v>27339</v>
      </c>
      <c r="B12040" s="30" t="s">
        <v>27340</v>
      </c>
      <c r="C12040" s="30" t="s">
        <v>3229</v>
      </c>
      <c r="D12040" s="30" t="s">
        <v>17</v>
      </c>
      <c r="E12040" s="30" t="s">
        <v>26</v>
      </c>
      <c r="F12040" s="30" t="s">
        <v>27</v>
      </c>
      <c r="G12040" s="30" t="s">
        <v>112</v>
      </c>
      <c r="H12040" s="32">
        <v>0</v>
      </c>
      <c r="I12040" s="30" t="s">
        <v>21</v>
      </c>
      <c r="J12040" s="41">
        <v>44835</v>
      </c>
      <c r="K12040" s="30" t="s">
        <v>22</v>
      </c>
    </row>
    <row r="12041" spans="1:11">
      <c r="A12041" s="33" t="s">
        <v>27341</v>
      </c>
      <c r="B12041" s="33" t="s">
        <v>27342</v>
      </c>
      <c r="C12041" s="33" t="s">
        <v>18305</v>
      </c>
      <c r="D12041" s="33" t="s">
        <v>17</v>
      </c>
      <c r="E12041" s="33" t="s">
        <v>31</v>
      </c>
      <c r="F12041" s="33" t="s">
        <v>32</v>
      </c>
      <c r="G12041" s="33" t="s">
        <v>20</v>
      </c>
      <c r="H12041" s="35">
        <v>6</v>
      </c>
      <c r="I12041" s="33" t="s">
        <v>21</v>
      </c>
      <c r="J12041" s="42">
        <v>44747</v>
      </c>
      <c r="K12041" s="33" t="s">
        <v>22</v>
      </c>
    </row>
    <row r="12042" spans="1:11">
      <c r="A12042" s="30" t="s">
        <v>27343</v>
      </c>
      <c r="B12042" s="30" t="s">
        <v>27344</v>
      </c>
      <c r="C12042" s="30" t="s">
        <v>4962</v>
      </c>
      <c r="D12042" s="30" t="s">
        <v>17</v>
      </c>
      <c r="E12042" s="30" t="s">
        <v>26</v>
      </c>
      <c r="F12042" s="30" t="s">
        <v>27</v>
      </c>
      <c r="G12042" s="30" t="s">
        <v>20</v>
      </c>
      <c r="H12042" s="32">
        <v>38</v>
      </c>
      <c r="I12042" s="30" t="s">
        <v>21</v>
      </c>
      <c r="J12042" s="41">
        <v>44832</v>
      </c>
      <c r="K12042" s="30" t="s">
        <v>22</v>
      </c>
    </row>
    <row r="12043" spans="1:11">
      <c r="A12043" s="33" t="s">
        <v>27345</v>
      </c>
      <c r="B12043" s="33" t="s">
        <v>27346</v>
      </c>
      <c r="C12043" s="33" t="s">
        <v>27347</v>
      </c>
      <c r="D12043" s="33" t="s">
        <v>17</v>
      </c>
      <c r="E12043" s="33" t="s">
        <v>18</v>
      </c>
      <c r="F12043" s="33" t="s">
        <v>19</v>
      </c>
      <c r="G12043" s="33" t="s">
        <v>20</v>
      </c>
      <c r="H12043" s="35">
        <v>218</v>
      </c>
      <c r="I12043" s="33" t="s">
        <v>21</v>
      </c>
      <c r="J12043" s="42">
        <v>44924</v>
      </c>
      <c r="K12043" s="33" t="s">
        <v>22</v>
      </c>
    </row>
    <row r="12044" spans="1:11">
      <c r="A12044" s="30" t="s">
        <v>27348</v>
      </c>
      <c r="B12044" s="30" t="s">
        <v>27349</v>
      </c>
      <c r="C12044" s="30" t="s">
        <v>318</v>
      </c>
      <c r="D12044" s="30" t="s">
        <v>17</v>
      </c>
      <c r="E12044" s="30" t="s">
        <v>26</v>
      </c>
      <c r="F12044" s="30" t="s">
        <v>27</v>
      </c>
      <c r="G12044" s="30" t="s">
        <v>20</v>
      </c>
      <c r="H12044" s="32">
        <v>16</v>
      </c>
      <c r="I12044" s="30" t="s">
        <v>21</v>
      </c>
      <c r="J12044" s="41">
        <v>44756</v>
      </c>
      <c r="K12044" s="30" t="s">
        <v>22</v>
      </c>
    </row>
    <row r="12045" spans="1:11">
      <c r="A12045" s="33" t="s">
        <v>27350</v>
      </c>
      <c r="B12045" s="33" t="s">
        <v>27351</v>
      </c>
      <c r="C12045" s="33" t="s">
        <v>9621</v>
      </c>
      <c r="D12045" s="33" t="s">
        <v>17</v>
      </c>
      <c r="E12045" s="33" t="s">
        <v>26</v>
      </c>
      <c r="F12045" s="33" t="s">
        <v>27</v>
      </c>
      <c r="G12045" s="33" t="s">
        <v>20</v>
      </c>
      <c r="H12045" s="35">
        <v>32</v>
      </c>
      <c r="I12045" s="33" t="s">
        <v>21</v>
      </c>
      <c r="J12045" s="42">
        <v>44698</v>
      </c>
      <c r="K12045" s="33" t="s">
        <v>22</v>
      </c>
    </row>
    <row r="12046" spans="1:11">
      <c r="A12046" s="30" t="s">
        <v>27352</v>
      </c>
      <c r="B12046" s="30" t="s">
        <v>27353</v>
      </c>
      <c r="C12046" s="30" t="s">
        <v>27354</v>
      </c>
      <c r="D12046" s="30" t="s">
        <v>17</v>
      </c>
      <c r="E12046" s="30" t="s">
        <v>26</v>
      </c>
      <c r="F12046" s="30" t="s">
        <v>27</v>
      </c>
      <c r="G12046" s="30" t="s">
        <v>50</v>
      </c>
      <c r="H12046" s="32">
        <v>12</v>
      </c>
      <c r="I12046" s="30" t="s">
        <v>51</v>
      </c>
      <c r="J12046" s="41">
        <v>44759</v>
      </c>
      <c r="K12046" s="30" t="s">
        <v>22</v>
      </c>
    </row>
    <row r="12047" spans="1:11">
      <c r="A12047" s="33" t="s">
        <v>27355</v>
      </c>
      <c r="B12047" s="33" t="s">
        <v>27356</v>
      </c>
      <c r="C12047" s="33" t="s">
        <v>136</v>
      </c>
      <c r="D12047" s="33" t="s">
        <v>17</v>
      </c>
      <c r="E12047" s="33" t="s">
        <v>26</v>
      </c>
      <c r="F12047" s="33" t="s">
        <v>27</v>
      </c>
      <c r="G12047" s="33" t="s">
        <v>20</v>
      </c>
      <c r="H12047" s="35">
        <v>20</v>
      </c>
      <c r="I12047" s="33" t="s">
        <v>21</v>
      </c>
      <c r="J12047" s="42">
        <v>44816</v>
      </c>
      <c r="K12047" s="33" t="s">
        <v>22</v>
      </c>
    </row>
    <row r="12048" spans="1:11">
      <c r="A12048" s="30" t="s">
        <v>27357</v>
      </c>
      <c r="B12048" s="30" t="s">
        <v>27358</v>
      </c>
      <c r="C12048" s="30" t="s">
        <v>969</v>
      </c>
      <c r="D12048" s="30" t="s">
        <v>17</v>
      </c>
      <c r="E12048" s="30" t="s">
        <v>67</v>
      </c>
      <c r="F12048" s="30" t="s">
        <v>68</v>
      </c>
      <c r="G12048" s="30" t="s">
        <v>158</v>
      </c>
      <c r="H12048" s="32">
        <v>14</v>
      </c>
      <c r="I12048" s="30" t="s">
        <v>21</v>
      </c>
      <c r="J12048" s="41">
        <v>44804</v>
      </c>
      <c r="K12048" s="30" t="s">
        <v>22</v>
      </c>
    </row>
    <row r="12049" spans="1:11">
      <c r="A12049" s="33" t="s">
        <v>27359</v>
      </c>
      <c r="B12049" s="33" t="s">
        <v>27360</v>
      </c>
      <c r="C12049" s="33" t="s">
        <v>399</v>
      </c>
      <c r="D12049" s="33" t="s">
        <v>17</v>
      </c>
      <c r="E12049" s="33" t="s">
        <v>26</v>
      </c>
      <c r="F12049" s="33" t="s">
        <v>27</v>
      </c>
      <c r="G12049" s="33" t="s">
        <v>20</v>
      </c>
      <c r="H12049" s="35">
        <v>24</v>
      </c>
      <c r="I12049" s="33" t="s">
        <v>21</v>
      </c>
      <c r="J12049" s="42">
        <v>44823</v>
      </c>
      <c r="K12049" s="33" t="s">
        <v>22</v>
      </c>
    </row>
    <row r="12050" spans="1:11">
      <c r="A12050" s="30" t="s">
        <v>27361</v>
      </c>
      <c r="B12050" s="30" t="s">
        <v>27362</v>
      </c>
      <c r="C12050" s="30" t="s">
        <v>3361</v>
      </c>
      <c r="D12050" s="30" t="s">
        <v>17</v>
      </c>
      <c r="E12050" s="30" t="s">
        <v>26</v>
      </c>
      <c r="F12050" s="30" t="s">
        <v>27</v>
      </c>
      <c r="G12050" s="30" t="s">
        <v>20</v>
      </c>
      <c r="H12050" s="32">
        <v>42</v>
      </c>
      <c r="I12050" s="30" t="s">
        <v>21</v>
      </c>
      <c r="J12050" s="41">
        <v>44609</v>
      </c>
      <c r="K12050" s="30" t="s">
        <v>22</v>
      </c>
    </row>
    <row r="12051" spans="1:11">
      <c r="A12051" s="33" t="s">
        <v>27363</v>
      </c>
      <c r="B12051" s="33" t="s">
        <v>27364</v>
      </c>
      <c r="C12051" s="33" t="s">
        <v>18761</v>
      </c>
      <c r="D12051" s="33" t="s">
        <v>17</v>
      </c>
      <c r="E12051" s="33" t="s">
        <v>67</v>
      </c>
      <c r="F12051" s="33" t="s">
        <v>68</v>
      </c>
      <c r="G12051" s="33" t="s">
        <v>112</v>
      </c>
      <c r="H12051" s="35">
        <v>0</v>
      </c>
      <c r="I12051" s="33" t="s">
        <v>21</v>
      </c>
      <c r="J12051" s="42">
        <v>44727</v>
      </c>
      <c r="K12051" s="33" t="s">
        <v>22</v>
      </c>
    </row>
    <row r="12052" spans="1:11">
      <c r="A12052" s="30" t="s">
        <v>27365</v>
      </c>
      <c r="B12052" s="30" t="s">
        <v>27366</v>
      </c>
      <c r="C12052" s="30" t="s">
        <v>5822</v>
      </c>
      <c r="D12052" s="30" t="s">
        <v>17</v>
      </c>
      <c r="E12052" s="30" t="s">
        <v>31</v>
      </c>
      <c r="F12052" s="30" t="s">
        <v>32</v>
      </c>
      <c r="G12052" s="30" t="s">
        <v>20</v>
      </c>
      <c r="H12052" s="32">
        <v>22</v>
      </c>
      <c r="I12052" s="30" t="s">
        <v>21</v>
      </c>
      <c r="J12052" s="41">
        <v>44722</v>
      </c>
      <c r="K12052" s="30" t="s">
        <v>22</v>
      </c>
    </row>
    <row r="12053" spans="1:11">
      <c r="A12053" s="33" t="s">
        <v>27367</v>
      </c>
      <c r="B12053" s="33" t="s">
        <v>27368</v>
      </c>
      <c r="C12053" s="33" t="s">
        <v>96</v>
      </c>
      <c r="D12053" s="33" t="s">
        <v>17</v>
      </c>
      <c r="E12053" s="33" t="s">
        <v>18</v>
      </c>
      <c r="F12053" s="33" t="s">
        <v>19</v>
      </c>
      <c r="G12053" s="33" t="s">
        <v>20</v>
      </c>
      <c r="H12053" s="35">
        <v>1471</v>
      </c>
      <c r="I12053" s="33" t="s">
        <v>21</v>
      </c>
      <c r="J12053" s="42">
        <v>44664</v>
      </c>
      <c r="K12053" s="33" t="s">
        <v>22</v>
      </c>
    </row>
    <row r="12054" spans="1:11">
      <c r="A12054" s="30" t="s">
        <v>27369</v>
      </c>
      <c r="B12054" s="30" t="s">
        <v>27370</v>
      </c>
      <c r="C12054" s="30" t="s">
        <v>570</v>
      </c>
      <c r="D12054" s="30" t="s">
        <v>17</v>
      </c>
      <c r="E12054" s="30" t="s">
        <v>18</v>
      </c>
      <c r="F12054" s="30" t="s">
        <v>19</v>
      </c>
      <c r="G12054" s="30" t="s">
        <v>50</v>
      </c>
      <c r="H12054" s="32">
        <v>498</v>
      </c>
      <c r="I12054" s="30" t="s">
        <v>51</v>
      </c>
      <c r="J12054" s="41">
        <v>44827</v>
      </c>
      <c r="K12054" s="30" t="s">
        <v>22</v>
      </c>
    </row>
    <row r="12055" spans="1:11">
      <c r="A12055" s="33" t="s">
        <v>27371</v>
      </c>
      <c r="B12055" s="33" t="s">
        <v>27372</v>
      </c>
      <c r="C12055" s="33" t="s">
        <v>15148</v>
      </c>
      <c r="D12055" s="33" t="s">
        <v>17</v>
      </c>
      <c r="E12055" s="33" t="s">
        <v>18</v>
      </c>
      <c r="F12055" s="33" t="s">
        <v>19</v>
      </c>
      <c r="G12055" s="33" t="s">
        <v>20</v>
      </c>
      <c r="H12055" s="35">
        <v>301</v>
      </c>
      <c r="I12055" s="33" t="s">
        <v>21</v>
      </c>
      <c r="J12055" s="42">
        <v>44644</v>
      </c>
      <c r="K12055" s="33" t="s">
        <v>22</v>
      </c>
    </row>
    <row r="12056" spans="1:11">
      <c r="A12056" s="30" t="s">
        <v>27373</v>
      </c>
      <c r="B12056" s="30" t="s">
        <v>27374</v>
      </c>
      <c r="C12056" s="30" t="s">
        <v>3892</v>
      </c>
      <c r="D12056" s="30" t="s">
        <v>17</v>
      </c>
      <c r="E12056" s="30" t="s">
        <v>31</v>
      </c>
      <c r="F12056" s="30" t="s">
        <v>32</v>
      </c>
      <c r="G12056" s="30" t="s">
        <v>20</v>
      </c>
      <c r="H12056" s="32">
        <v>35</v>
      </c>
      <c r="I12056" s="30" t="s">
        <v>21</v>
      </c>
      <c r="J12056" s="41">
        <v>44670</v>
      </c>
      <c r="K12056" s="30" t="s">
        <v>22</v>
      </c>
    </row>
    <row r="12057" spans="1:11">
      <c r="A12057" s="33" t="s">
        <v>27375</v>
      </c>
      <c r="B12057" s="33" t="s">
        <v>27376</v>
      </c>
      <c r="C12057" s="33" t="s">
        <v>2748</v>
      </c>
      <c r="D12057" s="33" t="s">
        <v>17</v>
      </c>
      <c r="E12057" s="33" t="s">
        <v>26</v>
      </c>
      <c r="F12057" s="33" t="s">
        <v>27</v>
      </c>
      <c r="G12057" s="33" t="s">
        <v>158</v>
      </c>
      <c r="H12057" s="35">
        <v>38</v>
      </c>
      <c r="I12057" s="33" t="s">
        <v>21</v>
      </c>
      <c r="J12057" s="42">
        <v>44656</v>
      </c>
      <c r="K12057" s="33" t="s">
        <v>22</v>
      </c>
    </row>
    <row r="12058" spans="1:11">
      <c r="A12058" s="30" t="s">
        <v>27377</v>
      </c>
      <c r="B12058" s="30" t="s">
        <v>27378</v>
      </c>
      <c r="C12058" s="30" t="s">
        <v>27379</v>
      </c>
      <c r="D12058" s="30" t="s">
        <v>17</v>
      </c>
      <c r="E12058" s="30" t="s">
        <v>26</v>
      </c>
      <c r="F12058" s="30" t="s">
        <v>27</v>
      </c>
      <c r="G12058" s="30" t="s">
        <v>20</v>
      </c>
      <c r="H12058" s="32">
        <v>25</v>
      </c>
      <c r="I12058" s="30" t="s">
        <v>21</v>
      </c>
      <c r="J12058" s="41">
        <v>44774</v>
      </c>
      <c r="K12058" s="30" t="s">
        <v>22</v>
      </c>
    </row>
    <row r="12059" spans="1:11">
      <c r="A12059" s="33" t="s">
        <v>27380</v>
      </c>
      <c r="B12059" s="33" t="s">
        <v>27381</v>
      </c>
      <c r="C12059" s="33" t="s">
        <v>17254</v>
      </c>
      <c r="D12059" s="33" t="s">
        <v>17</v>
      </c>
      <c r="E12059" s="33" t="s">
        <v>26</v>
      </c>
      <c r="F12059" s="33" t="s">
        <v>27</v>
      </c>
      <c r="G12059" s="33" t="s">
        <v>20</v>
      </c>
      <c r="H12059" s="35">
        <v>4</v>
      </c>
      <c r="I12059" s="33" t="s">
        <v>21</v>
      </c>
      <c r="J12059" s="42">
        <v>44757</v>
      </c>
      <c r="K12059" s="33" t="s">
        <v>22</v>
      </c>
    </row>
    <row r="12060" spans="1:11">
      <c r="A12060" s="30" t="s">
        <v>27382</v>
      </c>
      <c r="B12060" s="30" t="s">
        <v>27383</v>
      </c>
      <c r="C12060" s="30" t="s">
        <v>379</v>
      </c>
      <c r="D12060" s="30" t="s">
        <v>17</v>
      </c>
      <c r="E12060" s="30" t="s">
        <v>31</v>
      </c>
      <c r="F12060" s="30" t="s">
        <v>32</v>
      </c>
      <c r="G12060" s="30" t="s">
        <v>50</v>
      </c>
      <c r="H12060" s="32">
        <v>60</v>
      </c>
      <c r="I12060" s="30" t="s">
        <v>51</v>
      </c>
      <c r="J12060" s="41">
        <v>44798</v>
      </c>
      <c r="K12060" s="30" t="s">
        <v>22</v>
      </c>
    </row>
    <row r="12061" spans="1:11">
      <c r="A12061" s="33" t="s">
        <v>27384</v>
      </c>
      <c r="B12061" s="33" t="s">
        <v>27385</v>
      </c>
      <c r="C12061" s="33" t="s">
        <v>190</v>
      </c>
      <c r="D12061" s="33" t="s">
        <v>17</v>
      </c>
      <c r="E12061" s="33" t="s">
        <v>26</v>
      </c>
      <c r="F12061" s="33" t="s">
        <v>27</v>
      </c>
      <c r="G12061" s="33" t="s">
        <v>106</v>
      </c>
      <c r="H12061" s="35">
        <v>24</v>
      </c>
      <c r="I12061" s="33" t="s">
        <v>21</v>
      </c>
      <c r="J12061" s="42">
        <v>44810</v>
      </c>
      <c r="K12061" s="33" t="s">
        <v>22</v>
      </c>
    </row>
    <row r="12062" spans="1:11">
      <c r="A12062" s="30" t="s">
        <v>27386</v>
      </c>
      <c r="B12062" s="30" t="s">
        <v>27387</v>
      </c>
      <c r="C12062" s="30" t="s">
        <v>27388</v>
      </c>
      <c r="D12062" s="30" t="s">
        <v>17</v>
      </c>
      <c r="E12062" s="30" t="s">
        <v>67</v>
      </c>
      <c r="F12062" s="30" t="s">
        <v>68</v>
      </c>
      <c r="G12062" s="30" t="s">
        <v>50</v>
      </c>
      <c r="H12062" s="32">
        <v>136</v>
      </c>
      <c r="I12062" s="30" t="s">
        <v>51</v>
      </c>
      <c r="J12062" s="41">
        <v>44868</v>
      </c>
      <c r="K12062" s="30" t="s">
        <v>22</v>
      </c>
    </row>
    <row r="12063" spans="1:11">
      <c r="A12063" s="33" t="s">
        <v>27389</v>
      </c>
      <c r="B12063" s="33" t="s">
        <v>27390</v>
      </c>
      <c r="C12063" s="33" t="s">
        <v>27391</v>
      </c>
      <c r="D12063" s="33" t="s">
        <v>17</v>
      </c>
      <c r="E12063" s="33" t="s">
        <v>67</v>
      </c>
      <c r="F12063" s="33" t="s">
        <v>68</v>
      </c>
      <c r="G12063" s="33" t="s">
        <v>50</v>
      </c>
      <c r="H12063" s="35">
        <v>56</v>
      </c>
      <c r="I12063" s="33" t="s">
        <v>51</v>
      </c>
      <c r="J12063" s="42">
        <v>44918</v>
      </c>
      <c r="K12063" s="33" t="s">
        <v>22</v>
      </c>
    </row>
    <row r="12064" spans="1:11">
      <c r="A12064" s="30" t="s">
        <v>27392</v>
      </c>
      <c r="B12064" s="30" t="s">
        <v>27393</v>
      </c>
      <c r="C12064" s="30" t="s">
        <v>27394</v>
      </c>
      <c r="D12064" s="30" t="s">
        <v>17</v>
      </c>
      <c r="E12064" s="30" t="s">
        <v>45</v>
      </c>
      <c r="F12064" s="30" t="s">
        <v>46</v>
      </c>
      <c r="G12064" s="30" t="s">
        <v>69</v>
      </c>
      <c r="H12064" s="32">
        <v>580</v>
      </c>
      <c r="I12064" s="30" t="s">
        <v>51</v>
      </c>
      <c r="J12064" s="41">
        <v>44739</v>
      </c>
      <c r="K12064" s="30" t="s">
        <v>22</v>
      </c>
    </row>
    <row r="12065" spans="1:11">
      <c r="A12065" s="33" t="s">
        <v>27395</v>
      </c>
      <c r="B12065" s="33" t="s">
        <v>27396</v>
      </c>
      <c r="C12065" s="33" t="s">
        <v>3290</v>
      </c>
      <c r="D12065" s="33" t="s">
        <v>17</v>
      </c>
      <c r="E12065" s="33" t="s">
        <v>45</v>
      </c>
      <c r="F12065" s="33" t="s">
        <v>46</v>
      </c>
      <c r="G12065" s="33" t="s">
        <v>50</v>
      </c>
      <c r="H12065" s="35">
        <v>525</v>
      </c>
      <c r="I12065" s="33" t="s">
        <v>51</v>
      </c>
      <c r="J12065" s="42">
        <v>44727</v>
      </c>
      <c r="K12065" s="33" t="s">
        <v>22</v>
      </c>
    </row>
    <row r="12066" spans="1:11">
      <c r="A12066" s="30" t="s">
        <v>27397</v>
      </c>
      <c r="B12066" s="30" t="s">
        <v>27398</v>
      </c>
      <c r="C12066" s="30" t="s">
        <v>3121</v>
      </c>
      <c r="D12066" s="30" t="s">
        <v>17</v>
      </c>
      <c r="E12066" s="30" t="s">
        <v>31</v>
      </c>
      <c r="F12066" s="30" t="s">
        <v>32</v>
      </c>
      <c r="G12066" s="30" t="s">
        <v>20</v>
      </c>
      <c r="H12066" s="32">
        <v>15</v>
      </c>
      <c r="I12066" s="30" t="s">
        <v>21</v>
      </c>
      <c r="J12066" s="41">
        <v>44610</v>
      </c>
      <c r="K12066" s="30" t="s">
        <v>22</v>
      </c>
    </row>
    <row r="12067" spans="1:11">
      <c r="A12067" s="33" t="s">
        <v>27399</v>
      </c>
      <c r="B12067" s="33" t="s">
        <v>27400</v>
      </c>
      <c r="C12067" s="33" t="s">
        <v>157</v>
      </c>
      <c r="D12067" s="33" t="s">
        <v>17</v>
      </c>
      <c r="E12067" s="33" t="s">
        <v>26</v>
      </c>
      <c r="F12067" s="33" t="s">
        <v>27</v>
      </c>
      <c r="G12067" s="33" t="s">
        <v>20</v>
      </c>
      <c r="H12067" s="35">
        <v>17</v>
      </c>
      <c r="I12067" s="33" t="s">
        <v>21</v>
      </c>
      <c r="J12067" s="42">
        <v>44789</v>
      </c>
      <c r="K12067" s="33" t="s">
        <v>22</v>
      </c>
    </row>
    <row r="12068" spans="1:11">
      <c r="A12068" s="30" t="s">
        <v>27401</v>
      </c>
      <c r="B12068" s="30" t="s">
        <v>27402</v>
      </c>
      <c r="C12068" s="30" t="s">
        <v>102</v>
      </c>
      <c r="D12068" s="30" t="s">
        <v>17</v>
      </c>
      <c r="E12068" s="30" t="s">
        <v>45</v>
      </c>
      <c r="F12068" s="30" t="s">
        <v>46</v>
      </c>
      <c r="G12068" s="30" t="s">
        <v>140</v>
      </c>
      <c r="H12068" s="32">
        <v>201</v>
      </c>
      <c r="I12068" s="30" t="s">
        <v>51</v>
      </c>
      <c r="J12068" s="41">
        <v>44827</v>
      </c>
      <c r="K12068" s="30" t="s">
        <v>22</v>
      </c>
    </row>
    <row r="12069" spans="1:11">
      <c r="A12069" s="33" t="s">
        <v>27403</v>
      </c>
      <c r="B12069" s="33" t="s">
        <v>27404</v>
      </c>
      <c r="C12069" s="33" t="s">
        <v>25421</v>
      </c>
      <c r="D12069" s="33" t="s">
        <v>17</v>
      </c>
      <c r="E12069" s="33" t="s">
        <v>31</v>
      </c>
      <c r="F12069" s="33" t="s">
        <v>32</v>
      </c>
      <c r="G12069" s="33" t="s">
        <v>50</v>
      </c>
      <c r="H12069" s="35">
        <v>40</v>
      </c>
      <c r="I12069" s="33" t="s">
        <v>51</v>
      </c>
      <c r="J12069" s="42">
        <v>44621</v>
      </c>
      <c r="K12069" s="33" t="s">
        <v>22</v>
      </c>
    </row>
    <row r="12070" spans="1:11">
      <c r="A12070" s="30" t="s">
        <v>27405</v>
      </c>
      <c r="B12070" s="30" t="s">
        <v>27406</v>
      </c>
      <c r="C12070" s="30" t="s">
        <v>379</v>
      </c>
      <c r="D12070" s="30" t="s">
        <v>17</v>
      </c>
      <c r="E12070" s="30" t="s">
        <v>18</v>
      </c>
      <c r="F12070" s="30" t="s">
        <v>19</v>
      </c>
      <c r="G12070" s="30" t="s">
        <v>112</v>
      </c>
      <c r="H12070" s="32">
        <v>0</v>
      </c>
      <c r="I12070" s="30" t="s">
        <v>21</v>
      </c>
      <c r="J12070" s="41">
        <v>44880</v>
      </c>
      <c r="K12070" s="30" t="s">
        <v>22</v>
      </c>
    </row>
    <row r="12071" spans="1:11">
      <c r="A12071" s="33" t="s">
        <v>27407</v>
      </c>
      <c r="B12071" s="33" t="s">
        <v>27408</v>
      </c>
      <c r="C12071" s="33" t="s">
        <v>96</v>
      </c>
      <c r="D12071" s="33" t="s">
        <v>17</v>
      </c>
      <c r="E12071" s="33" t="s">
        <v>26</v>
      </c>
      <c r="F12071" s="33" t="s">
        <v>27</v>
      </c>
      <c r="G12071" s="33" t="s">
        <v>20</v>
      </c>
      <c r="H12071" s="35">
        <v>394</v>
      </c>
      <c r="I12071" s="33" t="s">
        <v>21</v>
      </c>
      <c r="J12071" s="42">
        <v>44788</v>
      </c>
      <c r="K12071" s="33" t="s">
        <v>22</v>
      </c>
    </row>
    <row r="12072" spans="1:11">
      <c r="A12072" s="30" t="s">
        <v>27409</v>
      </c>
      <c r="B12072" s="30" t="s">
        <v>27410</v>
      </c>
      <c r="C12072" s="30" t="s">
        <v>136</v>
      </c>
      <c r="D12072" s="30" t="s">
        <v>17</v>
      </c>
      <c r="E12072" s="30" t="s">
        <v>31</v>
      </c>
      <c r="F12072" s="30" t="s">
        <v>32</v>
      </c>
      <c r="G12072" s="30" t="s">
        <v>20</v>
      </c>
      <c r="H12072" s="32">
        <v>147</v>
      </c>
      <c r="I12072" s="30" t="s">
        <v>21</v>
      </c>
      <c r="J12072" s="41">
        <v>44887</v>
      </c>
      <c r="K12072" s="30" t="s">
        <v>22</v>
      </c>
    </row>
    <row r="12073" spans="1:11">
      <c r="A12073" s="33" t="s">
        <v>27411</v>
      </c>
      <c r="B12073" s="33" t="s">
        <v>27412</v>
      </c>
      <c r="C12073" s="33" t="s">
        <v>109</v>
      </c>
      <c r="D12073" s="33" t="s">
        <v>17</v>
      </c>
      <c r="E12073" s="33" t="s">
        <v>31</v>
      </c>
      <c r="F12073" s="33" t="s">
        <v>32</v>
      </c>
      <c r="G12073" s="33" t="s">
        <v>158</v>
      </c>
      <c r="H12073" s="35">
        <v>34</v>
      </c>
      <c r="I12073" s="33" t="s">
        <v>21</v>
      </c>
      <c r="J12073" s="42">
        <v>44876</v>
      </c>
      <c r="K12073" s="33" t="s">
        <v>22</v>
      </c>
    </row>
    <row r="12074" spans="1:11">
      <c r="A12074" s="30" t="s">
        <v>27413</v>
      </c>
      <c r="B12074" s="30" t="s">
        <v>27414</v>
      </c>
      <c r="C12074" s="30" t="s">
        <v>190</v>
      </c>
      <c r="D12074" s="30" t="s">
        <v>17</v>
      </c>
      <c r="E12074" s="30" t="s">
        <v>26</v>
      </c>
      <c r="F12074" s="30" t="s">
        <v>27</v>
      </c>
      <c r="G12074" s="30" t="s">
        <v>20</v>
      </c>
      <c r="H12074" s="32">
        <v>112</v>
      </c>
      <c r="I12074" s="30" t="s">
        <v>21</v>
      </c>
      <c r="J12074" s="41">
        <v>44754</v>
      </c>
      <c r="K12074" s="30" t="s">
        <v>22</v>
      </c>
    </row>
    <row r="12075" spans="1:11">
      <c r="A12075" s="33" t="s">
        <v>27415</v>
      </c>
      <c r="B12075" s="33" t="s">
        <v>27416</v>
      </c>
      <c r="C12075" s="33" t="s">
        <v>644</v>
      </c>
      <c r="D12075" s="33" t="s">
        <v>17</v>
      </c>
      <c r="E12075" s="33" t="s">
        <v>26</v>
      </c>
      <c r="F12075" s="33" t="s">
        <v>27</v>
      </c>
      <c r="G12075" s="33" t="s">
        <v>50</v>
      </c>
      <c r="H12075" s="35">
        <v>24</v>
      </c>
      <c r="I12075" s="33" t="s">
        <v>51</v>
      </c>
      <c r="J12075" s="42">
        <v>44832</v>
      </c>
      <c r="K12075" s="33" t="s">
        <v>22</v>
      </c>
    </row>
    <row r="12076" spans="1:11">
      <c r="A12076" s="30" t="s">
        <v>27417</v>
      </c>
      <c r="B12076" s="30" t="s">
        <v>27418</v>
      </c>
      <c r="C12076" s="30" t="s">
        <v>27419</v>
      </c>
      <c r="D12076" s="30" t="s">
        <v>17</v>
      </c>
      <c r="E12076" s="30" t="s">
        <v>26</v>
      </c>
      <c r="F12076" s="30" t="s">
        <v>27</v>
      </c>
      <c r="G12076" s="30" t="s">
        <v>106</v>
      </c>
      <c r="H12076" s="32">
        <v>5</v>
      </c>
      <c r="I12076" s="30" t="s">
        <v>21</v>
      </c>
      <c r="J12076" s="41">
        <v>44575</v>
      </c>
      <c r="K12076" s="30" t="s">
        <v>22</v>
      </c>
    </row>
    <row r="12077" spans="1:11">
      <c r="A12077" s="33" t="s">
        <v>27420</v>
      </c>
      <c r="B12077" s="33" t="s">
        <v>27421</v>
      </c>
      <c r="C12077" s="33" t="s">
        <v>318</v>
      </c>
      <c r="D12077" s="33" t="s">
        <v>17</v>
      </c>
      <c r="E12077" s="33" t="s">
        <v>18</v>
      </c>
      <c r="F12077" s="33" t="s">
        <v>19</v>
      </c>
      <c r="G12077" s="33" t="s">
        <v>20</v>
      </c>
      <c r="H12077" s="35">
        <v>726</v>
      </c>
      <c r="I12077" s="33" t="s">
        <v>21</v>
      </c>
      <c r="J12077" s="42">
        <v>44909</v>
      </c>
      <c r="K12077" s="33" t="s">
        <v>22</v>
      </c>
    </row>
    <row r="12078" spans="1:11">
      <c r="A12078" s="30" t="s">
        <v>27422</v>
      </c>
      <c r="B12078" s="30" t="s">
        <v>27423</v>
      </c>
      <c r="C12078" s="30" t="s">
        <v>24538</v>
      </c>
      <c r="D12078" s="30" t="s">
        <v>17</v>
      </c>
      <c r="E12078" s="30" t="s">
        <v>31</v>
      </c>
      <c r="F12078" s="30" t="s">
        <v>32</v>
      </c>
      <c r="G12078" s="30" t="s">
        <v>20</v>
      </c>
      <c r="H12078" s="32">
        <v>63</v>
      </c>
      <c r="I12078" s="30" t="s">
        <v>21</v>
      </c>
      <c r="J12078" s="41">
        <v>44662</v>
      </c>
      <c r="K12078" s="30" t="s">
        <v>22</v>
      </c>
    </row>
    <row r="12079" spans="1:11">
      <c r="A12079" s="33" t="s">
        <v>27424</v>
      </c>
      <c r="B12079" s="33" t="s">
        <v>27425</v>
      </c>
      <c r="C12079" s="33" t="s">
        <v>1504</v>
      </c>
      <c r="D12079" s="33" t="s">
        <v>17</v>
      </c>
      <c r="E12079" s="33" t="s">
        <v>67</v>
      </c>
      <c r="F12079" s="33" t="s">
        <v>68</v>
      </c>
      <c r="G12079" s="33" t="s">
        <v>50</v>
      </c>
      <c r="H12079" s="35">
        <v>120</v>
      </c>
      <c r="I12079" s="33" t="s">
        <v>51</v>
      </c>
      <c r="J12079" s="42">
        <v>44750</v>
      </c>
      <c r="K12079" s="33" t="s">
        <v>22</v>
      </c>
    </row>
    <row r="12080" spans="1:11">
      <c r="A12080" s="30" t="s">
        <v>27426</v>
      </c>
      <c r="B12080" s="30" t="s">
        <v>27427</v>
      </c>
      <c r="C12080" s="30" t="s">
        <v>1718</v>
      </c>
      <c r="D12080" s="30" t="s">
        <v>17</v>
      </c>
      <c r="E12080" s="30" t="s">
        <v>26</v>
      </c>
      <c r="F12080" s="30" t="s">
        <v>27</v>
      </c>
      <c r="G12080" s="30" t="s">
        <v>20</v>
      </c>
      <c r="H12080" s="32">
        <v>336</v>
      </c>
      <c r="I12080" s="30" t="s">
        <v>21</v>
      </c>
      <c r="J12080" s="41">
        <v>44911</v>
      </c>
      <c r="K12080" s="30" t="s">
        <v>22</v>
      </c>
    </row>
    <row r="12081" spans="1:11">
      <c r="A12081" s="33" t="s">
        <v>27428</v>
      </c>
      <c r="B12081" s="33" t="s">
        <v>27429</v>
      </c>
      <c r="C12081" s="33" t="s">
        <v>27430</v>
      </c>
      <c r="D12081" s="33" t="s">
        <v>17</v>
      </c>
      <c r="E12081" s="33" t="s">
        <v>26</v>
      </c>
      <c r="F12081" s="33" t="s">
        <v>27</v>
      </c>
      <c r="G12081" s="33" t="s">
        <v>20</v>
      </c>
      <c r="H12081" s="35">
        <v>64</v>
      </c>
      <c r="I12081" s="33" t="s">
        <v>21</v>
      </c>
      <c r="J12081" s="42">
        <v>44722</v>
      </c>
      <c r="K12081" s="33" t="s">
        <v>22</v>
      </c>
    </row>
    <row r="12082" spans="1:11">
      <c r="A12082" s="30" t="s">
        <v>27431</v>
      </c>
      <c r="B12082" s="30" t="s">
        <v>27432</v>
      </c>
      <c r="C12082" s="30" t="s">
        <v>27433</v>
      </c>
      <c r="D12082" s="30" t="s">
        <v>17</v>
      </c>
      <c r="E12082" s="30" t="s">
        <v>31</v>
      </c>
      <c r="F12082" s="30" t="s">
        <v>32</v>
      </c>
      <c r="G12082" s="30" t="s">
        <v>50</v>
      </c>
      <c r="H12082" s="32">
        <v>24</v>
      </c>
      <c r="I12082" s="30" t="s">
        <v>51</v>
      </c>
      <c r="J12082" s="41">
        <v>44682</v>
      </c>
      <c r="K12082" s="30" t="s">
        <v>22</v>
      </c>
    </row>
    <row r="12083" spans="1:11">
      <c r="A12083" s="33" t="s">
        <v>27434</v>
      </c>
      <c r="B12083" s="33" t="s">
        <v>27435</v>
      </c>
      <c r="C12083" s="33" t="s">
        <v>27436</v>
      </c>
      <c r="D12083" s="33" t="s">
        <v>17</v>
      </c>
      <c r="E12083" s="33" t="s">
        <v>67</v>
      </c>
      <c r="F12083" s="33" t="s">
        <v>68</v>
      </c>
      <c r="G12083" s="33" t="s">
        <v>158</v>
      </c>
      <c r="H12083" s="35">
        <v>62</v>
      </c>
      <c r="I12083" s="33" t="s">
        <v>51</v>
      </c>
      <c r="J12083" s="42">
        <v>44712</v>
      </c>
      <c r="K12083" s="33" t="s">
        <v>22</v>
      </c>
    </row>
    <row r="12084" spans="1:11">
      <c r="A12084" s="30" t="s">
        <v>27437</v>
      </c>
      <c r="B12084" s="30" t="s">
        <v>27438</v>
      </c>
      <c r="C12084" s="30" t="s">
        <v>178</v>
      </c>
      <c r="D12084" s="30" t="s">
        <v>17</v>
      </c>
      <c r="E12084" s="30" t="s">
        <v>26</v>
      </c>
      <c r="F12084" s="30" t="s">
        <v>27</v>
      </c>
      <c r="G12084" s="30" t="s">
        <v>20</v>
      </c>
      <c r="H12084" s="32">
        <v>2</v>
      </c>
      <c r="I12084" s="30" t="s">
        <v>21</v>
      </c>
      <c r="J12084" s="41">
        <v>44722</v>
      </c>
      <c r="K12084" s="30" t="s">
        <v>22</v>
      </c>
    </row>
    <row r="12085" spans="1:11">
      <c r="A12085" s="33" t="s">
        <v>27439</v>
      </c>
      <c r="B12085" s="33" t="s">
        <v>27440</v>
      </c>
      <c r="C12085" s="33" t="s">
        <v>178</v>
      </c>
      <c r="D12085" s="33" t="s">
        <v>17</v>
      </c>
      <c r="E12085" s="33" t="s">
        <v>26</v>
      </c>
      <c r="F12085" s="33" t="s">
        <v>27</v>
      </c>
      <c r="G12085" s="33" t="s">
        <v>20</v>
      </c>
      <c r="H12085" s="35">
        <v>60</v>
      </c>
      <c r="I12085" s="33" t="s">
        <v>21</v>
      </c>
      <c r="J12085" s="42">
        <v>44826</v>
      </c>
      <c r="K12085" s="33" t="s">
        <v>22</v>
      </c>
    </row>
    <row r="12086" spans="1:11">
      <c r="A12086" s="30" t="s">
        <v>27441</v>
      </c>
      <c r="B12086" s="30" t="s">
        <v>27442</v>
      </c>
      <c r="C12086" s="30" t="s">
        <v>109</v>
      </c>
      <c r="D12086" s="30" t="s">
        <v>17</v>
      </c>
      <c r="E12086" s="30" t="s">
        <v>26</v>
      </c>
      <c r="F12086" s="30" t="s">
        <v>27</v>
      </c>
      <c r="G12086" s="30" t="s">
        <v>20</v>
      </c>
      <c r="H12086" s="32">
        <v>38</v>
      </c>
      <c r="I12086" s="30" t="s">
        <v>21</v>
      </c>
      <c r="J12086" s="41">
        <v>44897</v>
      </c>
      <c r="K12086" s="30" t="s">
        <v>22</v>
      </c>
    </row>
    <row r="12087" spans="1:11">
      <c r="A12087" s="33" t="s">
        <v>27443</v>
      </c>
      <c r="B12087" s="33" t="s">
        <v>27444</v>
      </c>
      <c r="C12087" s="33" t="s">
        <v>1928</v>
      </c>
      <c r="D12087" s="33" t="s">
        <v>17</v>
      </c>
      <c r="E12087" s="33" t="s">
        <v>26</v>
      </c>
      <c r="F12087" s="33" t="s">
        <v>27</v>
      </c>
      <c r="G12087" s="33" t="s">
        <v>20</v>
      </c>
      <c r="H12087" s="35">
        <v>83</v>
      </c>
      <c r="I12087" s="33" t="s">
        <v>21</v>
      </c>
      <c r="J12087" s="42">
        <v>44887</v>
      </c>
      <c r="K12087" s="33" t="s">
        <v>22</v>
      </c>
    </row>
    <row r="12088" spans="1:11">
      <c r="A12088" s="30" t="s">
        <v>27445</v>
      </c>
      <c r="B12088" s="30" t="s">
        <v>27446</v>
      </c>
      <c r="C12088" s="30" t="s">
        <v>78</v>
      </c>
      <c r="D12088" s="30" t="s">
        <v>17</v>
      </c>
      <c r="E12088" s="30" t="s">
        <v>26</v>
      </c>
      <c r="F12088" s="30" t="s">
        <v>27</v>
      </c>
      <c r="G12088" s="30" t="s">
        <v>20</v>
      </c>
      <c r="H12088" s="32">
        <v>17</v>
      </c>
      <c r="I12088" s="30" t="s">
        <v>21</v>
      </c>
      <c r="J12088" s="41">
        <v>44620</v>
      </c>
      <c r="K12088" s="30" t="s">
        <v>22</v>
      </c>
    </row>
    <row r="12089" spans="1:11">
      <c r="A12089" s="33" t="s">
        <v>27447</v>
      </c>
      <c r="B12089" s="33" t="s">
        <v>27448</v>
      </c>
      <c r="C12089" s="33" t="s">
        <v>231</v>
      </c>
      <c r="D12089" s="33" t="s">
        <v>17</v>
      </c>
      <c r="E12089" s="33" t="s">
        <v>26</v>
      </c>
      <c r="F12089" s="33" t="s">
        <v>27</v>
      </c>
      <c r="G12089" s="33" t="s">
        <v>20</v>
      </c>
      <c r="H12089" s="35">
        <v>200</v>
      </c>
      <c r="I12089" s="33" t="s">
        <v>21</v>
      </c>
      <c r="J12089" s="42">
        <v>44610</v>
      </c>
      <c r="K12089" s="33" t="s">
        <v>22</v>
      </c>
    </row>
    <row r="12090" spans="1:11">
      <c r="A12090" s="30" t="s">
        <v>27449</v>
      </c>
      <c r="B12090" s="30" t="s">
        <v>27450</v>
      </c>
      <c r="C12090" s="30" t="s">
        <v>27451</v>
      </c>
      <c r="D12090" s="30" t="s">
        <v>17</v>
      </c>
      <c r="E12090" s="30" t="s">
        <v>26</v>
      </c>
      <c r="F12090" s="30" t="s">
        <v>27</v>
      </c>
      <c r="G12090" s="30" t="s">
        <v>20</v>
      </c>
      <c r="H12090" s="32">
        <v>16</v>
      </c>
      <c r="I12090" s="30" t="s">
        <v>21</v>
      </c>
      <c r="J12090" s="41">
        <v>44592</v>
      </c>
      <c r="K12090" s="30" t="s">
        <v>22</v>
      </c>
    </row>
    <row r="12091" spans="1:11">
      <c r="A12091" s="33" t="s">
        <v>27452</v>
      </c>
      <c r="B12091" s="33" t="s">
        <v>27453</v>
      </c>
      <c r="C12091" s="33" t="s">
        <v>3622</v>
      </c>
      <c r="D12091" s="33" t="s">
        <v>17</v>
      </c>
      <c r="E12091" s="33" t="s">
        <v>26</v>
      </c>
      <c r="F12091" s="33" t="s">
        <v>27</v>
      </c>
      <c r="G12091" s="33" t="s">
        <v>140</v>
      </c>
      <c r="H12091" s="35">
        <v>101</v>
      </c>
      <c r="I12091" s="33" t="s">
        <v>51</v>
      </c>
      <c r="J12091" s="42">
        <v>44685</v>
      </c>
      <c r="K12091" s="33" t="s">
        <v>22</v>
      </c>
    </row>
    <row r="12092" spans="1:11">
      <c r="A12092" s="30" t="s">
        <v>27454</v>
      </c>
      <c r="B12092" s="30" t="s">
        <v>27455</v>
      </c>
      <c r="C12092" s="30" t="s">
        <v>6071</v>
      </c>
      <c r="D12092" s="30" t="s">
        <v>17</v>
      </c>
      <c r="E12092" s="30" t="s">
        <v>26</v>
      </c>
      <c r="F12092" s="30" t="s">
        <v>27</v>
      </c>
      <c r="G12092" s="30" t="s">
        <v>50</v>
      </c>
      <c r="H12092" s="32">
        <v>150</v>
      </c>
      <c r="I12092" s="30" t="s">
        <v>51</v>
      </c>
      <c r="J12092" s="41">
        <v>44888</v>
      </c>
      <c r="K12092" s="30" t="s">
        <v>22</v>
      </c>
    </row>
    <row r="12093" spans="1:11">
      <c r="A12093" s="33" t="s">
        <v>27456</v>
      </c>
      <c r="B12093" s="33" t="s">
        <v>27457</v>
      </c>
      <c r="C12093" s="33" t="s">
        <v>27458</v>
      </c>
      <c r="D12093" s="33" t="s">
        <v>17</v>
      </c>
      <c r="E12093" s="33" t="s">
        <v>26</v>
      </c>
      <c r="F12093" s="33" t="s">
        <v>27</v>
      </c>
      <c r="G12093" s="33" t="s">
        <v>20</v>
      </c>
      <c r="H12093" s="35">
        <v>64</v>
      </c>
      <c r="I12093" s="33" t="s">
        <v>21</v>
      </c>
      <c r="J12093" s="42">
        <v>44911</v>
      </c>
      <c r="K12093" s="33" t="s">
        <v>22</v>
      </c>
    </row>
    <row r="12094" spans="1:11">
      <c r="A12094" s="30" t="s">
        <v>27459</v>
      </c>
      <c r="B12094" s="30" t="s">
        <v>27460</v>
      </c>
      <c r="C12094" s="30" t="s">
        <v>146</v>
      </c>
      <c r="D12094" s="30" t="s">
        <v>17</v>
      </c>
      <c r="E12094" s="30" t="s">
        <v>26</v>
      </c>
      <c r="F12094" s="30" t="s">
        <v>27</v>
      </c>
      <c r="G12094" s="30" t="s">
        <v>20</v>
      </c>
      <c r="H12094" s="32">
        <v>56</v>
      </c>
      <c r="I12094" s="30" t="s">
        <v>21</v>
      </c>
      <c r="J12094" s="41">
        <v>44789</v>
      </c>
      <c r="K12094" s="30" t="s">
        <v>22</v>
      </c>
    </row>
    <row r="12095" spans="1:11">
      <c r="A12095" s="33" t="s">
        <v>27461</v>
      </c>
      <c r="B12095" s="33" t="s">
        <v>27462</v>
      </c>
      <c r="C12095" s="33" t="s">
        <v>149</v>
      </c>
      <c r="D12095" s="33" t="s">
        <v>17</v>
      </c>
      <c r="E12095" s="33" t="s">
        <v>26</v>
      </c>
      <c r="F12095" s="33" t="s">
        <v>27</v>
      </c>
      <c r="G12095" s="33" t="s">
        <v>20</v>
      </c>
      <c r="H12095" s="35">
        <v>38</v>
      </c>
      <c r="I12095" s="33" t="s">
        <v>21</v>
      </c>
      <c r="J12095" s="42">
        <v>44693</v>
      </c>
      <c r="K12095" s="33" t="s">
        <v>22</v>
      </c>
    </row>
    <row r="12096" spans="1:11">
      <c r="A12096" s="30" t="s">
        <v>27463</v>
      </c>
      <c r="B12096" s="30" t="s">
        <v>27464</v>
      </c>
      <c r="C12096" s="30" t="s">
        <v>75</v>
      </c>
      <c r="D12096" s="30" t="s">
        <v>17</v>
      </c>
      <c r="E12096" s="30" t="s">
        <v>31</v>
      </c>
      <c r="F12096" s="30" t="s">
        <v>32</v>
      </c>
      <c r="G12096" s="30" t="s">
        <v>158</v>
      </c>
      <c r="H12096" s="32">
        <v>19</v>
      </c>
      <c r="I12096" s="30" t="s">
        <v>21</v>
      </c>
      <c r="J12096" s="41">
        <v>44578</v>
      </c>
      <c r="K12096" s="30" t="s">
        <v>22</v>
      </c>
    </row>
    <row r="12097" spans="1:11">
      <c r="A12097" s="33" t="s">
        <v>27465</v>
      </c>
      <c r="B12097" s="33" t="s">
        <v>27466</v>
      </c>
      <c r="C12097" s="33" t="s">
        <v>8554</v>
      </c>
      <c r="D12097" s="33" t="s">
        <v>17</v>
      </c>
      <c r="E12097" s="33" t="s">
        <v>18</v>
      </c>
      <c r="F12097" s="33" t="s">
        <v>19</v>
      </c>
      <c r="G12097" s="33" t="s">
        <v>20</v>
      </c>
      <c r="H12097" s="35">
        <v>465</v>
      </c>
      <c r="I12097" s="33" t="s">
        <v>21</v>
      </c>
      <c r="J12097" s="42">
        <v>44725</v>
      </c>
      <c r="K12097" s="33" t="s">
        <v>22</v>
      </c>
    </row>
    <row r="12098" spans="1:11">
      <c r="A12098" s="30" t="s">
        <v>27467</v>
      </c>
      <c r="B12098" s="30" t="s">
        <v>27468</v>
      </c>
      <c r="C12098" s="30" t="s">
        <v>310</v>
      </c>
      <c r="D12098" s="30" t="s">
        <v>17</v>
      </c>
      <c r="E12098" s="30" t="s">
        <v>18</v>
      </c>
      <c r="F12098" s="30" t="s">
        <v>19</v>
      </c>
      <c r="G12098" s="30" t="s">
        <v>20</v>
      </c>
      <c r="H12098" s="32">
        <v>388</v>
      </c>
      <c r="I12098" s="30" t="s">
        <v>21</v>
      </c>
      <c r="J12098" s="41">
        <v>44776</v>
      </c>
      <c r="K12098" s="30" t="s">
        <v>22</v>
      </c>
    </row>
    <row r="12099" spans="1:11">
      <c r="A12099" s="33" t="s">
        <v>27469</v>
      </c>
      <c r="B12099" s="33" t="s">
        <v>27470</v>
      </c>
      <c r="C12099" s="33" t="s">
        <v>27471</v>
      </c>
      <c r="D12099" s="33" t="s">
        <v>17</v>
      </c>
      <c r="E12099" s="33" t="s">
        <v>31</v>
      </c>
      <c r="F12099" s="33" t="s">
        <v>32</v>
      </c>
      <c r="G12099" s="33" t="s">
        <v>50</v>
      </c>
      <c r="H12099" s="35">
        <v>30</v>
      </c>
      <c r="I12099" s="33" t="s">
        <v>51</v>
      </c>
      <c r="J12099" s="42">
        <v>44641</v>
      </c>
      <c r="K12099" s="33" t="s">
        <v>22</v>
      </c>
    </row>
    <row r="12100" spans="1:11">
      <c r="A12100" s="30" t="s">
        <v>27472</v>
      </c>
      <c r="B12100" s="30" t="s">
        <v>27473</v>
      </c>
      <c r="C12100" s="30" t="s">
        <v>3790</v>
      </c>
      <c r="D12100" s="30" t="s">
        <v>17</v>
      </c>
      <c r="E12100" s="30" t="s">
        <v>26</v>
      </c>
      <c r="F12100" s="30" t="s">
        <v>27</v>
      </c>
      <c r="G12100" s="30" t="s">
        <v>20</v>
      </c>
      <c r="H12100" s="32">
        <v>44</v>
      </c>
      <c r="I12100" s="30" t="s">
        <v>21</v>
      </c>
      <c r="J12100" s="41">
        <v>44881</v>
      </c>
      <c r="K12100" s="30" t="s">
        <v>22</v>
      </c>
    </row>
    <row r="12101" spans="1:11">
      <c r="A12101" s="33" t="s">
        <v>27474</v>
      </c>
      <c r="B12101" s="33" t="s">
        <v>27475</v>
      </c>
      <c r="C12101" s="33" t="s">
        <v>5040</v>
      </c>
      <c r="D12101" s="33" t="s">
        <v>17</v>
      </c>
      <c r="E12101" s="33" t="s">
        <v>212</v>
      </c>
      <c r="F12101" s="33" t="s">
        <v>213</v>
      </c>
      <c r="G12101" s="33" t="s">
        <v>50</v>
      </c>
      <c r="H12101" s="35">
        <v>45400</v>
      </c>
      <c r="I12101" s="33" t="s">
        <v>51</v>
      </c>
      <c r="J12101" s="42">
        <v>44748</v>
      </c>
      <c r="K12101" s="33" t="s">
        <v>22</v>
      </c>
    </row>
    <row r="12102" spans="1:11">
      <c r="A12102" s="30" t="s">
        <v>27476</v>
      </c>
      <c r="B12102" s="30" t="s">
        <v>27477</v>
      </c>
      <c r="C12102" s="30" t="s">
        <v>2900</v>
      </c>
      <c r="D12102" s="30" t="s">
        <v>17</v>
      </c>
      <c r="E12102" s="30" t="s">
        <v>31</v>
      </c>
      <c r="F12102" s="30" t="s">
        <v>32</v>
      </c>
      <c r="G12102" s="30" t="s">
        <v>50</v>
      </c>
      <c r="H12102" s="32">
        <v>32</v>
      </c>
      <c r="I12102" s="30" t="s">
        <v>51</v>
      </c>
      <c r="J12102" s="41">
        <v>44572</v>
      </c>
      <c r="K12102" s="30" t="s">
        <v>22</v>
      </c>
    </row>
    <row r="12103" spans="1:11">
      <c r="A12103" s="33" t="s">
        <v>27478</v>
      </c>
      <c r="B12103" s="33" t="s">
        <v>27479</v>
      </c>
      <c r="C12103" s="33" t="s">
        <v>27480</v>
      </c>
      <c r="D12103" s="33" t="s">
        <v>17</v>
      </c>
      <c r="E12103" s="33" t="s">
        <v>26</v>
      </c>
      <c r="F12103" s="33" t="s">
        <v>27</v>
      </c>
      <c r="G12103" s="33" t="s">
        <v>20</v>
      </c>
      <c r="H12103" s="35">
        <v>24</v>
      </c>
      <c r="I12103" s="33" t="s">
        <v>21</v>
      </c>
      <c r="J12103" s="42">
        <v>44924</v>
      </c>
      <c r="K12103" s="33" t="s">
        <v>22</v>
      </c>
    </row>
    <row r="12104" spans="1:11">
      <c r="A12104" s="30" t="s">
        <v>27481</v>
      </c>
      <c r="B12104" s="30" t="s">
        <v>27482</v>
      </c>
      <c r="C12104" s="30" t="s">
        <v>21185</v>
      </c>
      <c r="D12104" s="30" t="s">
        <v>17</v>
      </c>
      <c r="E12104" s="30" t="s">
        <v>26</v>
      </c>
      <c r="F12104" s="30" t="s">
        <v>27</v>
      </c>
      <c r="G12104" s="30" t="s">
        <v>50</v>
      </c>
      <c r="H12104" s="32">
        <v>180</v>
      </c>
      <c r="I12104" s="30" t="s">
        <v>51</v>
      </c>
      <c r="J12104" s="41">
        <v>44642</v>
      </c>
      <c r="K12104" s="30" t="s">
        <v>22</v>
      </c>
    </row>
    <row r="12105" spans="1:11">
      <c r="A12105" s="33" t="s">
        <v>27483</v>
      </c>
      <c r="B12105" s="33" t="s">
        <v>27484</v>
      </c>
      <c r="C12105" s="33" t="s">
        <v>2054</v>
      </c>
      <c r="D12105" s="33" t="s">
        <v>17</v>
      </c>
      <c r="E12105" s="33" t="s">
        <v>18</v>
      </c>
      <c r="F12105" s="33" t="s">
        <v>19</v>
      </c>
      <c r="G12105" s="33" t="s">
        <v>158</v>
      </c>
      <c r="H12105" s="35">
        <v>130</v>
      </c>
      <c r="I12105" s="33" t="s">
        <v>21</v>
      </c>
      <c r="J12105" s="42">
        <v>44903</v>
      </c>
      <c r="K12105" s="33" t="s">
        <v>22</v>
      </c>
    </row>
    <row r="12106" spans="1:11">
      <c r="A12106" s="30" t="s">
        <v>27485</v>
      </c>
      <c r="B12106" s="30" t="s">
        <v>27486</v>
      </c>
      <c r="C12106" s="30" t="s">
        <v>27487</v>
      </c>
      <c r="D12106" s="30" t="s">
        <v>17</v>
      </c>
      <c r="E12106" s="30" t="s">
        <v>31</v>
      </c>
      <c r="F12106" s="30" t="s">
        <v>32</v>
      </c>
      <c r="G12106" s="30" t="s">
        <v>20</v>
      </c>
      <c r="H12106" s="32">
        <v>63</v>
      </c>
      <c r="I12106" s="30" t="s">
        <v>21</v>
      </c>
      <c r="J12106" s="41">
        <v>44683</v>
      </c>
      <c r="K12106" s="30" t="s">
        <v>22</v>
      </c>
    </row>
    <row r="12107" spans="1:11">
      <c r="A12107" s="33" t="s">
        <v>27488</v>
      </c>
      <c r="B12107" s="33" t="s">
        <v>27489</v>
      </c>
      <c r="C12107" s="33" t="s">
        <v>16469</v>
      </c>
      <c r="D12107" s="33" t="s">
        <v>17</v>
      </c>
      <c r="E12107" s="33" t="s">
        <v>26</v>
      </c>
      <c r="F12107" s="33" t="s">
        <v>27</v>
      </c>
      <c r="G12107" s="33" t="s">
        <v>20</v>
      </c>
      <c r="H12107" s="35">
        <v>48</v>
      </c>
      <c r="I12107" s="33" t="s">
        <v>21</v>
      </c>
      <c r="J12107" s="42">
        <v>44718</v>
      </c>
      <c r="K12107" s="33" t="s">
        <v>22</v>
      </c>
    </row>
    <row r="12108" spans="1:11">
      <c r="A12108" s="30" t="s">
        <v>27490</v>
      </c>
      <c r="B12108" s="30" t="s">
        <v>27491</v>
      </c>
      <c r="C12108" s="30" t="s">
        <v>4210</v>
      </c>
      <c r="D12108" s="30" t="s">
        <v>17</v>
      </c>
      <c r="E12108" s="30" t="s">
        <v>26</v>
      </c>
      <c r="F12108" s="30" t="s">
        <v>27</v>
      </c>
      <c r="G12108" s="30" t="s">
        <v>50</v>
      </c>
      <c r="H12108" s="32">
        <v>20</v>
      </c>
      <c r="I12108" s="30" t="s">
        <v>51</v>
      </c>
      <c r="J12108" s="41">
        <v>44644</v>
      </c>
      <c r="K12108" s="30" t="s">
        <v>22</v>
      </c>
    </row>
    <row r="12109" spans="1:11">
      <c r="A12109" s="33" t="s">
        <v>27492</v>
      </c>
      <c r="B12109" s="33" t="s">
        <v>27493</v>
      </c>
      <c r="C12109" s="33" t="s">
        <v>7449</v>
      </c>
      <c r="D12109" s="33" t="s">
        <v>17</v>
      </c>
      <c r="E12109" s="33" t="s">
        <v>31</v>
      </c>
      <c r="F12109" s="33" t="s">
        <v>32</v>
      </c>
      <c r="G12109" s="33" t="s">
        <v>106</v>
      </c>
      <c r="H12109" s="35">
        <v>19</v>
      </c>
      <c r="I12109" s="33" t="s">
        <v>21</v>
      </c>
      <c r="J12109" s="42">
        <v>44866</v>
      </c>
      <c r="K12109" s="33" t="s">
        <v>22</v>
      </c>
    </row>
    <row r="12110" spans="1:11">
      <c r="A12110" s="30" t="s">
        <v>27494</v>
      </c>
      <c r="B12110" s="30" t="s">
        <v>27495</v>
      </c>
      <c r="C12110" s="30" t="s">
        <v>5845</v>
      </c>
      <c r="D12110" s="30" t="s">
        <v>17</v>
      </c>
      <c r="E12110" s="30" t="s">
        <v>26</v>
      </c>
      <c r="F12110" s="30" t="s">
        <v>27</v>
      </c>
      <c r="G12110" s="30" t="s">
        <v>20</v>
      </c>
      <c r="H12110" s="32">
        <v>32</v>
      </c>
      <c r="I12110" s="30" t="s">
        <v>21</v>
      </c>
      <c r="J12110" s="41">
        <v>44680</v>
      </c>
      <c r="K12110" s="30" t="s">
        <v>22</v>
      </c>
    </row>
    <row r="12111" spans="1:11">
      <c r="A12111" s="33" t="s">
        <v>27496</v>
      </c>
      <c r="B12111" s="33" t="s">
        <v>27497</v>
      </c>
      <c r="C12111" s="33" t="s">
        <v>118</v>
      </c>
      <c r="D12111" s="33" t="s">
        <v>17</v>
      </c>
      <c r="E12111" s="33" t="s">
        <v>212</v>
      </c>
      <c r="F12111" s="33" t="s">
        <v>213</v>
      </c>
      <c r="G12111" s="33" t="s">
        <v>20</v>
      </c>
      <c r="H12111" s="35">
        <v>21</v>
      </c>
      <c r="I12111" s="33" t="s">
        <v>21</v>
      </c>
      <c r="J12111" s="42">
        <v>44770</v>
      </c>
      <c r="K12111" s="33" t="s">
        <v>22</v>
      </c>
    </row>
    <row r="12112" spans="1:11">
      <c r="A12112" s="30" t="s">
        <v>27498</v>
      </c>
      <c r="B12112" s="30" t="s">
        <v>27499</v>
      </c>
      <c r="C12112" s="30" t="s">
        <v>102</v>
      </c>
      <c r="D12112" s="30" t="s">
        <v>17</v>
      </c>
      <c r="E12112" s="30" t="s">
        <v>18</v>
      </c>
      <c r="F12112" s="30" t="s">
        <v>19</v>
      </c>
      <c r="G12112" s="30" t="s">
        <v>140</v>
      </c>
      <c r="H12112" s="32">
        <v>500</v>
      </c>
      <c r="I12112" s="30" t="s">
        <v>51</v>
      </c>
      <c r="J12112" s="41">
        <v>44910</v>
      </c>
      <c r="K12112" s="30" t="s">
        <v>22</v>
      </c>
    </row>
    <row r="12113" spans="1:11">
      <c r="A12113" s="33" t="s">
        <v>27500</v>
      </c>
      <c r="B12113" s="33" t="s">
        <v>27501</v>
      </c>
      <c r="C12113" s="33" t="s">
        <v>27502</v>
      </c>
      <c r="D12113" s="33" t="s">
        <v>17</v>
      </c>
      <c r="E12113" s="33" t="s">
        <v>45</v>
      </c>
      <c r="F12113" s="33" t="s">
        <v>46</v>
      </c>
      <c r="G12113" s="33" t="s">
        <v>140</v>
      </c>
      <c r="H12113" s="35">
        <v>71</v>
      </c>
      <c r="I12113" s="33" t="s">
        <v>51</v>
      </c>
      <c r="J12113" s="42">
        <v>44846</v>
      </c>
      <c r="K12113" s="33" t="s">
        <v>22</v>
      </c>
    </row>
    <row r="12114" spans="1:11">
      <c r="A12114" s="30" t="s">
        <v>27503</v>
      </c>
      <c r="B12114" s="30" t="s">
        <v>27504</v>
      </c>
      <c r="C12114" s="30" t="s">
        <v>178</v>
      </c>
      <c r="D12114" s="30" t="s">
        <v>17</v>
      </c>
      <c r="E12114" s="30" t="s">
        <v>26</v>
      </c>
      <c r="F12114" s="30" t="s">
        <v>27</v>
      </c>
      <c r="G12114" s="30" t="s">
        <v>112</v>
      </c>
      <c r="H12114" s="32">
        <v>0</v>
      </c>
      <c r="I12114" s="30" t="s">
        <v>21</v>
      </c>
      <c r="J12114" s="41">
        <v>44738</v>
      </c>
      <c r="K12114" s="30" t="s">
        <v>22</v>
      </c>
    </row>
    <row r="12115" spans="1:11">
      <c r="A12115" s="33" t="s">
        <v>27505</v>
      </c>
      <c r="B12115" s="33" t="s">
        <v>27506</v>
      </c>
      <c r="C12115" s="33" t="s">
        <v>27507</v>
      </c>
      <c r="D12115" s="33" t="s">
        <v>17</v>
      </c>
      <c r="E12115" s="33" t="s">
        <v>26</v>
      </c>
      <c r="F12115" s="33" t="s">
        <v>27</v>
      </c>
      <c r="G12115" s="33" t="s">
        <v>50</v>
      </c>
      <c r="H12115" s="35">
        <v>6</v>
      </c>
      <c r="I12115" s="33" t="s">
        <v>51</v>
      </c>
      <c r="J12115" s="42">
        <v>44797</v>
      </c>
      <c r="K12115" s="33" t="s">
        <v>22</v>
      </c>
    </row>
    <row r="12116" spans="1:11">
      <c r="A12116" s="30" t="s">
        <v>27508</v>
      </c>
      <c r="B12116" s="30" t="s">
        <v>27509</v>
      </c>
      <c r="C12116" s="30" t="s">
        <v>3757</v>
      </c>
      <c r="D12116" s="30" t="s">
        <v>17</v>
      </c>
      <c r="E12116" s="30" t="s">
        <v>26</v>
      </c>
      <c r="F12116" s="30" t="s">
        <v>27</v>
      </c>
      <c r="G12116" s="30" t="s">
        <v>20</v>
      </c>
      <c r="H12116" s="32">
        <v>48</v>
      </c>
      <c r="I12116" s="30" t="s">
        <v>21</v>
      </c>
      <c r="J12116" s="41">
        <v>44894</v>
      </c>
      <c r="K12116" s="30" t="s">
        <v>22</v>
      </c>
    </row>
    <row r="12117" spans="1:11">
      <c r="A12117" s="33" t="s">
        <v>27510</v>
      </c>
      <c r="B12117" s="33" t="s">
        <v>27511</v>
      </c>
      <c r="C12117" s="33" t="s">
        <v>925</v>
      </c>
      <c r="D12117" s="33" t="s">
        <v>17</v>
      </c>
      <c r="E12117" s="33" t="s">
        <v>31</v>
      </c>
      <c r="F12117" s="33" t="s">
        <v>32</v>
      </c>
      <c r="G12117" s="33" t="s">
        <v>158</v>
      </c>
      <c r="H12117" s="35">
        <v>193</v>
      </c>
      <c r="I12117" s="33" t="s">
        <v>21</v>
      </c>
      <c r="J12117" s="42">
        <v>44711</v>
      </c>
      <c r="K12117" s="33" t="s">
        <v>22</v>
      </c>
    </row>
    <row r="12118" spans="1:11">
      <c r="A12118" s="30" t="s">
        <v>27512</v>
      </c>
      <c r="B12118" s="30" t="s">
        <v>27513</v>
      </c>
      <c r="C12118" s="30" t="s">
        <v>27514</v>
      </c>
      <c r="D12118" s="30" t="s">
        <v>17</v>
      </c>
      <c r="E12118" s="30" t="s">
        <v>26</v>
      </c>
      <c r="F12118" s="30" t="s">
        <v>27</v>
      </c>
      <c r="G12118" s="30" t="s">
        <v>50</v>
      </c>
      <c r="H12118" s="32">
        <v>78</v>
      </c>
      <c r="I12118" s="30" t="s">
        <v>51</v>
      </c>
      <c r="J12118" s="41">
        <v>44831</v>
      </c>
      <c r="K12118" s="30" t="s">
        <v>22</v>
      </c>
    </row>
    <row r="12119" spans="1:11">
      <c r="A12119" s="33" t="s">
        <v>27515</v>
      </c>
      <c r="B12119" s="33" t="s">
        <v>27516</v>
      </c>
      <c r="C12119" s="33" t="s">
        <v>16002</v>
      </c>
      <c r="D12119" s="33" t="s">
        <v>17</v>
      </c>
      <c r="E12119" s="33" t="s">
        <v>26</v>
      </c>
      <c r="F12119" s="33" t="s">
        <v>27</v>
      </c>
      <c r="G12119" s="33" t="s">
        <v>20</v>
      </c>
      <c r="H12119" s="35">
        <v>72</v>
      </c>
      <c r="I12119" s="33" t="s">
        <v>21</v>
      </c>
      <c r="J12119" s="42">
        <v>44609</v>
      </c>
      <c r="K12119" s="33" t="s">
        <v>22</v>
      </c>
    </row>
    <row r="12120" spans="1:11">
      <c r="A12120" s="30" t="s">
        <v>27517</v>
      </c>
      <c r="B12120" s="30" t="s">
        <v>27518</v>
      </c>
      <c r="C12120" s="30" t="s">
        <v>13584</v>
      </c>
      <c r="D12120" s="30" t="s">
        <v>17</v>
      </c>
      <c r="E12120" s="30" t="s">
        <v>26</v>
      </c>
      <c r="F12120" s="30" t="s">
        <v>27</v>
      </c>
      <c r="G12120" s="30" t="s">
        <v>20</v>
      </c>
      <c r="H12120" s="32">
        <v>24</v>
      </c>
      <c r="I12120" s="30" t="s">
        <v>21</v>
      </c>
      <c r="J12120" s="41">
        <v>44663</v>
      </c>
      <c r="K12120" s="30" t="s">
        <v>22</v>
      </c>
    </row>
    <row r="12121" spans="1:11">
      <c r="A12121" s="33" t="s">
        <v>27519</v>
      </c>
      <c r="B12121" s="33" t="s">
        <v>27520</v>
      </c>
      <c r="C12121" s="33" t="s">
        <v>2208</v>
      </c>
      <c r="D12121" s="33" t="s">
        <v>17</v>
      </c>
      <c r="E12121" s="33" t="s">
        <v>67</v>
      </c>
      <c r="F12121" s="33" t="s">
        <v>68</v>
      </c>
      <c r="G12121" s="33" t="s">
        <v>20</v>
      </c>
      <c r="H12121" s="35">
        <v>30</v>
      </c>
      <c r="I12121" s="33" t="s">
        <v>21</v>
      </c>
      <c r="J12121" s="42">
        <v>44750</v>
      </c>
      <c r="K12121" s="33" t="s">
        <v>22</v>
      </c>
    </row>
    <row r="12122" spans="1:11">
      <c r="A12122" s="30" t="s">
        <v>27521</v>
      </c>
      <c r="B12122" s="30" t="s">
        <v>27522</v>
      </c>
      <c r="C12122" s="30" t="s">
        <v>22650</v>
      </c>
      <c r="D12122" s="30" t="s">
        <v>17</v>
      </c>
      <c r="E12122" s="30" t="s">
        <v>67</v>
      </c>
      <c r="F12122" s="30" t="s">
        <v>68</v>
      </c>
      <c r="G12122" s="30" t="s">
        <v>50</v>
      </c>
      <c r="H12122" s="32">
        <v>180</v>
      </c>
      <c r="I12122" s="30" t="s">
        <v>51</v>
      </c>
      <c r="J12122" s="41">
        <v>44747</v>
      </c>
      <c r="K12122" s="30" t="s">
        <v>22</v>
      </c>
    </row>
    <row r="12123" spans="1:11">
      <c r="A12123" s="33" t="s">
        <v>27523</v>
      </c>
      <c r="B12123" s="33" t="s">
        <v>27524</v>
      </c>
      <c r="C12123" s="33" t="s">
        <v>23238</v>
      </c>
      <c r="D12123" s="33" t="s">
        <v>17</v>
      </c>
      <c r="E12123" s="33" t="s">
        <v>67</v>
      </c>
      <c r="F12123" s="33" t="s">
        <v>68</v>
      </c>
      <c r="G12123" s="33" t="s">
        <v>106</v>
      </c>
      <c r="H12123" s="35">
        <v>9</v>
      </c>
      <c r="I12123" s="33" t="s">
        <v>21</v>
      </c>
      <c r="J12123" s="42">
        <v>44861</v>
      </c>
      <c r="K12123" s="33" t="s">
        <v>22</v>
      </c>
    </row>
    <row r="12124" spans="1:11">
      <c r="A12124" s="30" t="s">
        <v>27525</v>
      </c>
      <c r="B12124" s="30" t="s">
        <v>27526</v>
      </c>
      <c r="C12124" s="30" t="s">
        <v>27527</v>
      </c>
      <c r="D12124" s="30" t="s">
        <v>17</v>
      </c>
      <c r="E12124" s="30" t="s">
        <v>330</v>
      </c>
      <c r="F12124" s="30" t="s">
        <v>331</v>
      </c>
      <c r="G12124" s="30" t="s">
        <v>50</v>
      </c>
      <c r="H12124" s="32">
        <v>10</v>
      </c>
      <c r="I12124" s="30" t="s">
        <v>51</v>
      </c>
      <c r="J12124" s="41">
        <v>44897</v>
      </c>
      <c r="K12124" s="30" t="s">
        <v>22</v>
      </c>
    </row>
    <row r="12125" spans="1:11">
      <c r="A12125" s="33" t="s">
        <v>27528</v>
      </c>
      <c r="B12125" s="33" t="s">
        <v>27529</v>
      </c>
      <c r="C12125" s="33" t="s">
        <v>399</v>
      </c>
      <c r="D12125" s="33" t="s">
        <v>17</v>
      </c>
      <c r="E12125" s="33" t="s">
        <v>31</v>
      </c>
      <c r="F12125" s="33" t="s">
        <v>32</v>
      </c>
      <c r="G12125" s="33" t="s">
        <v>20</v>
      </c>
      <c r="H12125" s="35">
        <v>122</v>
      </c>
      <c r="I12125" s="33" t="s">
        <v>21</v>
      </c>
      <c r="J12125" s="42">
        <v>44663</v>
      </c>
      <c r="K12125" s="33" t="s">
        <v>22</v>
      </c>
    </row>
    <row r="12126" spans="1:11">
      <c r="A12126" s="30" t="s">
        <v>27530</v>
      </c>
      <c r="B12126" s="30" t="s">
        <v>27531</v>
      </c>
      <c r="C12126" s="30" t="s">
        <v>27532</v>
      </c>
      <c r="D12126" s="30" t="s">
        <v>17</v>
      </c>
      <c r="E12126" s="30" t="s">
        <v>31</v>
      </c>
      <c r="F12126" s="30" t="s">
        <v>32</v>
      </c>
      <c r="G12126" s="30" t="s">
        <v>106</v>
      </c>
      <c r="H12126" s="32">
        <v>22</v>
      </c>
      <c r="I12126" s="30" t="s">
        <v>21</v>
      </c>
      <c r="J12126" s="41">
        <v>44635</v>
      </c>
      <c r="K12126" s="30" t="s">
        <v>22</v>
      </c>
    </row>
    <row r="12127" spans="1:11">
      <c r="A12127" s="33" t="s">
        <v>27533</v>
      </c>
      <c r="B12127" s="33" t="s">
        <v>27534</v>
      </c>
      <c r="C12127" s="33" t="s">
        <v>1112</v>
      </c>
      <c r="D12127" s="33" t="s">
        <v>17</v>
      </c>
      <c r="E12127" s="33" t="s">
        <v>26</v>
      </c>
      <c r="F12127" s="33" t="s">
        <v>27</v>
      </c>
      <c r="G12127" s="33" t="s">
        <v>20</v>
      </c>
      <c r="H12127" s="35">
        <v>16</v>
      </c>
      <c r="I12127" s="33" t="s">
        <v>21</v>
      </c>
      <c r="J12127" s="42">
        <v>44897</v>
      </c>
      <c r="K12127" s="33" t="s">
        <v>22</v>
      </c>
    </row>
    <row r="12128" spans="1:11">
      <c r="A12128" s="30" t="s">
        <v>27535</v>
      </c>
      <c r="B12128" s="30" t="s">
        <v>27536</v>
      </c>
      <c r="C12128" s="30" t="s">
        <v>109</v>
      </c>
      <c r="D12128" s="30" t="s">
        <v>17</v>
      </c>
      <c r="E12128" s="30" t="s">
        <v>18</v>
      </c>
      <c r="F12128" s="30" t="s">
        <v>19</v>
      </c>
      <c r="G12128" s="30" t="s">
        <v>158</v>
      </c>
      <c r="H12128" s="32">
        <v>696</v>
      </c>
      <c r="I12128" s="30" t="s">
        <v>21</v>
      </c>
      <c r="J12128" s="41">
        <v>44904</v>
      </c>
      <c r="K12128" s="30" t="s">
        <v>22</v>
      </c>
    </row>
    <row r="12129" spans="1:11">
      <c r="A12129" s="33" t="s">
        <v>27537</v>
      </c>
      <c r="B12129" s="33" t="s">
        <v>27538</v>
      </c>
      <c r="C12129" s="33" t="s">
        <v>178</v>
      </c>
      <c r="D12129" s="33" t="s">
        <v>17</v>
      </c>
      <c r="E12129" s="33" t="s">
        <v>212</v>
      </c>
      <c r="F12129" s="33" t="s">
        <v>213</v>
      </c>
      <c r="G12129" s="33" t="s">
        <v>106</v>
      </c>
      <c r="H12129" s="35">
        <v>4</v>
      </c>
      <c r="I12129" s="33" t="s">
        <v>21</v>
      </c>
      <c r="J12129" s="42">
        <v>44775</v>
      </c>
      <c r="K12129" s="33" t="s">
        <v>22</v>
      </c>
    </row>
    <row r="12130" spans="1:11">
      <c r="A12130" s="30" t="s">
        <v>27539</v>
      </c>
      <c r="B12130" s="30" t="s">
        <v>27540</v>
      </c>
      <c r="C12130" s="30" t="s">
        <v>3205</v>
      </c>
      <c r="D12130" s="30" t="s">
        <v>17</v>
      </c>
      <c r="E12130" s="30" t="s">
        <v>26</v>
      </c>
      <c r="F12130" s="30" t="s">
        <v>27</v>
      </c>
      <c r="G12130" s="30" t="s">
        <v>106</v>
      </c>
      <c r="H12130" s="32">
        <v>6</v>
      </c>
      <c r="I12130" s="30" t="s">
        <v>21</v>
      </c>
      <c r="J12130" s="41">
        <v>44910</v>
      </c>
      <c r="K12130" s="30" t="s">
        <v>22</v>
      </c>
    </row>
    <row r="12131" spans="1:11">
      <c r="A12131" s="33" t="s">
        <v>27541</v>
      </c>
      <c r="B12131" s="33" t="s">
        <v>27542</v>
      </c>
      <c r="C12131" s="33" t="s">
        <v>96</v>
      </c>
      <c r="D12131" s="33" t="s">
        <v>17</v>
      </c>
      <c r="E12131" s="33" t="s">
        <v>31</v>
      </c>
      <c r="F12131" s="33" t="s">
        <v>32</v>
      </c>
      <c r="G12131" s="33" t="s">
        <v>158</v>
      </c>
      <c r="H12131" s="35">
        <v>35</v>
      </c>
      <c r="I12131" s="33" t="s">
        <v>21</v>
      </c>
      <c r="J12131" s="42">
        <v>44749</v>
      </c>
      <c r="K12131" s="33" t="s">
        <v>22</v>
      </c>
    </row>
    <row r="12132" spans="1:11">
      <c r="A12132" s="30" t="s">
        <v>27543</v>
      </c>
      <c r="B12132" s="30" t="s">
        <v>27544</v>
      </c>
      <c r="C12132" s="30" t="s">
        <v>1431</v>
      </c>
      <c r="D12132" s="30" t="s">
        <v>17</v>
      </c>
      <c r="E12132" s="30" t="s">
        <v>31</v>
      </c>
      <c r="F12132" s="30" t="s">
        <v>32</v>
      </c>
      <c r="G12132" s="30" t="s">
        <v>20</v>
      </c>
      <c r="H12132" s="32">
        <v>83</v>
      </c>
      <c r="I12132" s="30" t="s">
        <v>21</v>
      </c>
      <c r="J12132" s="41">
        <v>44694</v>
      </c>
      <c r="K12132" s="30" t="s">
        <v>22</v>
      </c>
    </row>
    <row r="12133" spans="1:11">
      <c r="A12133" s="33" t="s">
        <v>27545</v>
      </c>
      <c r="B12133" s="33" t="s">
        <v>27546</v>
      </c>
      <c r="C12133" s="33" t="s">
        <v>27547</v>
      </c>
      <c r="D12133" s="33" t="s">
        <v>17</v>
      </c>
      <c r="E12133" s="33" t="s">
        <v>18</v>
      </c>
      <c r="F12133" s="33" t="s">
        <v>19</v>
      </c>
      <c r="G12133" s="33" t="s">
        <v>140</v>
      </c>
      <c r="H12133" s="35">
        <v>168</v>
      </c>
      <c r="I12133" s="33" t="s">
        <v>51</v>
      </c>
      <c r="J12133" s="42">
        <v>44741</v>
      </c>
      <c r="K12133" s="33" t="s">
        <v>22</v>
      </c>
    </row>
    <row r="12134" spans="1:11">
      <c r="A12134" s="30" t="s">
        <v>27548</v>
      </c>
      <c r="B12134" s="30" t="s">
        <v>27549</v>
      </c>
      <c r="C12134" s="30" t="s">
        <v>8234</v>
      </c>
      <c r="D12134" s="30" t="s">
        <v>17</v>
      </c>
      <c r="E12134" s="30" t="s">
        <v>26</v>
      </c>
      <c r="F12134" s="30" t="s">
        <v>27</v>
      </c>
      <c r="G12134" s="30" t="s">
        <v>140</v>
      </c>
      <c r="H12134" s="32">
        <v>61</v>
      </c>
      <c r="I12134" s="30" t="s">
        <v>51</v>
      </c>
      <c r="J12134" s="41">
        <v>44839</v>
      </c>
      <c r="K12134" s="30" t="s">
        <v>22</v>
      </c>
    </row>
    <row r="12135" spans="1:11">
      <c r="A12135" s="33" t="s">
        <v>27550</v>
      </c>
      <c r="B12135" s="33" t="s">
        <v>27551</v>
      </c>
      <c r="C12135" s="33" t="s">
        <v>16469</v>
      </c>
      <c r="D12135" s="33" t="s">
        <v>17</v>
      </c>
      <c r="E12135" s="33" t="s">
        <v>26</v>
      </c>
      <c r="F12135" s="33" t="s">
        <v>27</v>
      </c>
      <c r="G12135" s="33" t="s">
        <v>140</v>
      </c>
      <c r="H12135" s="35">
        <v>150</v>
      </c>
      <c r="I12135" s="33" t="s">
        <v>51</v>
      </c>
      <c r="J12135" s="42">
        <v>44781</v>
      </c>
      <c r="K12135" s="33" t="s">
        <v>22</v>
      </c>
    </row>
    <row r="12136" spans="1:11">
      <c r="A12136" s="30" t="s">
        <v>27552</v>
      </c>
      <c r="B12136" s="30" t="s">
        <v>27553</v>
      </c>
      <c r="C12136" s="30" t="s">
        <v>27554</v>
      </c>
      <c r="D12136" s="30" t="s">
        <v>17</v>
      </c>
      <c r="E12136" s="30" t="s">
        <v>18</v>
      </c>
      <c r="F12136" s="30" t="s">
        <v>19</v>
      </c>
      <c r="G12136" s="30" t="s">
        <v>50</v>
      </c>
      <c r="H12136" s="32">
        <v>120</v>
      </c>
      <c r="I12136" s="30" t="s">
        <v>51</v>
      </c>
      <c r="J12136" s="41">
        <v>44652</v>
      </c>
      <c r="K12136" s="30" t="s">
        <v>22</v>
      </c>
    </row>
    <row r="12137" spans="1:11">
      <c r="A12137" s="33" t="s">
        <v>27555</v>
      </c>
      <c r="B12137" s="33" t="s">
        <v>27556</v>
      </c>
      <c r="C12137" s="33" t="s">
        <v>5701</v>
      </c>
      <c r="D12137" s="33" t="s">
        <v>17</v>
      </c>
      <c r="E12137" s="33" t="s">
        <v>18</v>
      </c>
      <c r="F12137" s="33" t="s">
        <v>19</v>
      </c>
      <c r="G12137" s="33" t="s">
        <v>20</v>
      </c>
      <c r="H12137" s="35">
        <v>496</v>
      </c>
      <c r="I12137" s="33" t="s">
        <v>21</v>
      </c>
      <c r="J12137" s="42">
        <v>44883</v>
      </c>
      <c r="K12137" s="33" t="s">
        <v>22</v>
      </c>
    </row>
    <row r="12138" spans="1:11">
      <c r="A12138" s="30" t="s">
        <v>27557</v>
      </c>
      <c r="B12138" s="30" t="s">
        <v>27558</v>
      </c>
      <c r="C12138" s="30" t="s">
        <v>27559</v>
      </c>
      <c r="D12138" s="30" t="s">
        <v>17</v>
      </c>
      <c r="E12138" s="30" t="s">
        <v>26</v>
      </c>
      <c r="F12138" s="30" t="s">
        <v>27</v>
      </c>
      <c r="G12138" s="30" t="s">
        <v>140</v>
      </c>
      <c r="H12138" s="32">
        <v>100</v>
      </c>
      <c r="I12138" s="30" t="s">
        <v>51</v>
      </c>
      <c r="J12138" s="41">
        <v>44785</v>
      </c>
      <c r="K12138" s="30" t="s">
        <v>22</v>
      </c>
    </row>
    <row r="12139" spans="1:11">
      <c r="A12139" s="33" t="s">
        <v>27560</v>
      </c>
      <c r="B12139" s="33" t="s">
        <v>27561</v>
      </c>
      <c r="C12139" s="33" t="s">
        <v>109</v>
      </c>
      <c r="D12139" s="33" t="s">
        <v>17</v>
      </c>
      <c r="E12139" s="33" t="s">
        <v>18</v>
      </c>
      <c r="F12139" s="33" t="s">
        <v>19</v>
      </c>
      <c r="G12139" s="33" t="s">
        <v>20</v>
      </c>
      <c r="H12139" s="35">
        <v>151</v>
      </c>
      <c r="I12139" s="33" t="s">
        <v>21</v>
      </c>
      <c r="J12139" s="42">
        <v>44833</v>
      </c>
      <c r="K12139" s="33" t="s">
        <v>22</v>
      </c>
    </row>
    <row r="12140" spans="1:11">
      <c r="A12140" s="30" t="s">
        <v>27562</v>
      </c>
      <c r="B12140" s="30" t="s">
        <v>27563</v>
      </c>
      <c r="C12140" s="30" t="s">
        <v>23056</v>
      </c>
      <c r="D12140" s="30" t="s">
        <v>17</v>
      </c>
      <c r="E12140" s="30" t="s">
        <v>26</v>
      </c>
      <c r="F12140" s="30" t="s">
        <v>27</v>
      </c>
      <c r="G12140" s="30" t="s">
        <v>20</v>
      </c>
      <c r="H12140" s="32">
        <v>24</v>
      </c>
      <c r="I12140" s="30" t="s">
        <v>21</v>
      </c>
      <c r="J12140" s="41">
        <v>44822</v>
      </c>
      <c r="K12140" s="30" t="s">
        <v>22</v>
      </c>
    </row>
    <row r="12141" spans="1:11">
      <c r="A12141" s="33" t="s">
        <v>27564</v>
      </c>
      <c r="B12141" s="33" t="s">
        <v>27565</v>
      </c>
      <c r="C12141" s="33" t="s">
        <v>12904</v>
      </c>
      <c r="D12141" s="33" t="s">
        <v>17</v>
      </c>
      <c r="E12141" s="33" t="s">
        <v>26</v>
      </c>
      <c r="F12141" s="33" t="s">
        <v>27</v>
      </c>
      <c r="G12141" s="33" t="s">
        <v>50</v>
      </c>
      <c r="H12141" s="35">
        <v>24</v>
      </c>
      <c r="I12141" s="33" t="s">
        <v>21</v>
      </c>
      <c r="J12141" s="42">
        <v>44648</v>
      </c>
      <c r="K12141" s="33" t="s">
        <v>22</v>
      </c>
    </row>
    <row r="12142" spans="1:11">
      <c r="A12142" s="30" t="s">
        <v>27566</v>
      </c>
      <c r="B12142" s="30" t="s">
        <v>27567</v>
      </c>
      <c r="C12142" s="30" t="s">
        <v>1250</v>
      </c>
      <c r="D12142" s="30" t="s">
        <v>17</v>
      </c>
      <c r="E12142" s="30" t="s">
        <v>26</v>
      </c>
      <c r="F12142" s="30" t="s">
        <v>27</v>
      </c>
      <c r="G12142" s="30" t="s">
        <v>20</v>
      </c>
      <c r="H12142" s="32">
        <v>31</v>
      </c>
      <c r="I12142" s="30" t="s">
        <v>21</v>
      </c>
      <c r="J12142" s="41">
        <v>44780</v>
      </c>
      <c r="K12142" s="30" t="s">
        <v>22</v>
      </c>
    </row>
    <row r="12143" spans="1:11">
      <c r="A12143" s="33" t="s">
        <v>27568</v>
      </c>
      <c r="B12143" s="33" t="s">
        <v>27569</v>
      </c>
      <c r="C12143" s="33" t="s">
        <v>216</v>
      </c>
      <c r="D12143" s="33" t="s">
        <v>17</v>
      </c>
      <c r="E12143" s="33" t="s">
        <v>26</v>
      </c>
      <c r="F12143" s="33" t="s">
        <v>27</v>
      </c>
      <c r="G12143" s="33" t="s">
        <v>20</v>
      </c>
      <c r="H12143" s="35">
        <v>375</v>
      </c>
      <c r="I12143" s="33" t="s">
        <v>21</v>
      </c>
      <c r="J12143" s="42">
        <v>44774</v>
      </c>
      <c r="K12143" s="33" t="s">
        <v>22</v>
      </c>
    </row>
    <row r="12144" spans="1:11">
      <c r="A12144" s="30" t="s">
        <v>27570</v>
      </c>
      <c r="B12144" s="30" t="s">
        <v>27571</v>
      </c>
      <c r="C12144" s="30" t="s">
        <v>6001</v>
      </c>
      <c r="D12144" s="30" t="s">
        <v>17</v>
      </c>
      <c r="E12144" s="30" t="s">
        <v>26</v>
      </c>
      <c r="F12144" s="30" t="s">
        <v>27</v>
      </c>
      <c r="G12144" s="30" t="s">
        <v>50</v>
      </c>
      <c r="H12144" s="32">
        <v>10</v>
      </c>
      <c r="I12144" s="30" t="s">
        <v>51</v>
      </c>
      <c r="J12144" s="41">
        <v>44743</v>
      </c>
      <c r="K12144" s="30" t="s">
        <v>22</v>
      </c>
    </row>
    <row r="12145" spans="1:11">
      <c r="A12145" s="33" t="s">
        <v>27572</v>
      </c>
      <c r="B12145" s="33" t="s">
        <v>27573</v>
      </c>
      <c r="C12145" s="33" t="s">
        <v>27574</v>
      </c>
      <c r="D12145" s="33" t="s">
        <v>17</v>
      </c>
      <c r="E12145" s="33" t="s">
        <v>26</v>
      </c>
      <c r="F12145" s="33" t="s">
        <v>27</v>
      </c>
      <c r="G12145" s="33" t="s">
        <v>20</v>
      </c>
      <c r="H12145" s="35">
        <v>86</v>
      </c>
      <c r="I12145" s="33" t="s">
        <v>21</v>
      </c>
      <c r="J12145" s="42">
        <v>44848</v>
      </c>
      <c r="K12145" s="33" t="s">
        <v>22</v>
      </c>
    </row>
    <row r="12146" spans="1:11">
      <c r="A12146" s="30" t="s">
        <v>27575</v>
      </c>
      <c r="B12146" s="30" t="s">
        <v>27576</v>
      </c>
      <c r="C12146" s="30" t="s">
        <v>93</v>
      </c>
      <c r="D12146" s="30" t="s">
        <v>17</v>
      </c>
      <c r="E12146" s="30" t="s">
        <v>31</v>
      </c>
      <c r="F12146" s="30" t="s">
        <v>32</v>
      </c>
      <c r="G12146" s="30" t="s">
        <v>20</v>
      </c>
      <c r="H12146" s="32">
        <v>106</v>
      </c>
      <c r="I12146" s="30" t="s">
        <v>21</v>
      </c>
      <c r="J12146" s="41">
        <v>44788</v>
      </c>
      <c r="K12146" s="30" t="s">
        <v>22</v>
      </c>
    </row>
    <row r="12147" spans="1:11">
      <c r="A12147" s="33" t="s">
        <v>27577</v>
      </c>
      <c r="B12147" s="33" t="s">
        <v>27578</v>
      </c>
      <c r="C12147" s="33" t="s">
        <v>27579</v>
      </c>
      <c r="D12147" s="33" t="s">
        <v>17</v>
      </c>
      <c r="E12147" s="33" t="s">
        <v>26</v>
      </c>
      <c r="F12147" s="33" t="s">
        <v>27</v>
      </c>
      <c r="G12147" s="33" t="s">
        <v>112</v>
      </c>
      <c r="H12147" s="35">
        <v>0</v>
      </c>
      <c r="I12147" s="33" t="s">
        <v>21</v>
      </c>
      <c r="J12147" s="42">
        <v>44562</v>
      </c>
      <c r="K12147" s="33" t="s">
        <v>22</v>
      </c>
    </row>
    <row r="12148" spans="1:11">
      <c r="A12148" s="30" t="s">
        <v>27580</v>
      </c>
      <c r="B12148" s="30" t="s">
        <v>27581</v>
      </c>
      <c r="C12148" s="30" t="s">
        <v>109</v>
      </c>
      <c r="D12148" s="30" t="s">
        <v>17</v>
      </c>
      <c r="E12148" s="30" t="s">
        <v>212</v>
      </c>
      <c r="F12148" s="30" t="s">
        <v>213</v>
      </c>
      <c r="G12148" s="30" t="s">
        <v>20</v>
      </c>
      <c r="H12148" s="32">
        <v>40</v>
      </c>
      <c r="I12148" s="30" t="s">
        <v>21</v>
      </c>
      <c r="J12148" s="41">
        <v>44782</v>
      </c>
      <c r="K12148" s="30" t="s">
        <v>22</v>
      </c>
    </row>
    <row r="12149" spans="1:11">
      <c r="A12149" s="33" t="s">
        <v>27582</v>
      </c>
      <c r="B12149" s="33" t="s">
        <v>27583</v>
      </c>
      <c r="C12149" s="33" t="s">
        <v>736</v>
      </c>
      <c r="D12149" s="33" t="s">
        <v>17</v>
      </c>
      <c r="E12149" s="33" t="s">
        <v>31</v>
      </c>
      <c r="F12149" s="33" t="s">
        <v>32</v>
      </c>
      <c r="G12149" s="33" t="s">
        <v>158</v>
      </c>
      <c r="H12149" s="35">
        <v>277</v>
      </c>
      <c r="I12149" s="33" t="s">
        <v>51</v>
      </c>
      <c r="J12149" s="42">
        <v>44910</v>
      </c>
      <c r="K12149" s="33" t="s">
        <v>22</v>
      </c>
    </row>
    <row r="12150" spans="1:11">
      <c r="A12150" s="30" t="s">
        <v>27584</v>
      </c>
      <c r="B12150" s="30" t="s">
        <v>27585</v>
      </c>
      <c r="C12150" s="30" t="s">
        <v>17868</v>
      </c>
      <c r="D12150" s="30" t="s">
        <v>17</v>
      </c>
      <c r="E12150" s="30" t="s">
        <v>31</v>
      </c>
      <c r="F12150" s="30" t="s">
        <v>32</v>
      </c>
      <c r="G12150" s="30" t="s">
        <v>20</v>
      </c>
      <c r="H12150" s="32">
        <v>151</v>
      </c>
      <c r="I12150" s="30" t="s">
        <v>21</v>
      </c>
      <c r="J12150" s="41">
        <v>44594</v>
      </c>
      <c r="K12150" s="30" t="s">
        <v>22</v>
      </c>
    </row>
    <row r="12151" spans="1:11">
      <c r="A12151" s="33" t="s">
        <v>27586</v>
      </c>
      <c r="B12151" s="33" t="s">
        <v>27587</v>
      </c>
      <c r="C12151" s="33" t="s">
        <v>1136</v>
      </c>
      <c r="D12151" s="33" t="s">
        <v>17</v>
      </c>
      <c r="E12151" s="33" t="s">
        <v>67</v>
      </c>
      <c r="F12151" s="33" t="s">
        <v>68</v>
      </c>
      <c r="G12151" s="33" t="s">
        <v>20</v>
      </c>
      <c r="H12151" s="35">
        <v>560</v>
      </c>
      <c r="I12151" s="33" t="s">
        <v>21</v>
      </c>
      <c r="J12151" s="42">
        <v>44837</v>
      </c>
      <c r="K12151" s="33" t="s">
        <v>22</v>
      </c>
    </row>
    <row r="12152" spans="1:11">
      <c r="A12152" s="30" t="s">
        <v>27588</v>
      </c>
      <c r="B12152" s="30" t="s">
        <v>27589</v>
      </c>
      <c r="C12152" s="30" t="s">
        <v>1085</v>
      </c>
      <c r="D12152" s="30" t="s">
        <v>17</v>
      </c>
      <c r="E12152" s="30" t="s">
        <v>67</v>
      </c>
      <c r="F12152" s="30" t="s">
        <v>68</v>
      </c>
      <c r="G12152" s="30" t="s">
        <v>158</v>
      </c>
      <c r="H12152" s="32">
        <v>140</v>
      </c>
      <c r="I12152" s="30" t="s">
        <v>51</v>
      </c>
      <c r="J12152" s="41">
        <v>44846</v>
      </c>
      <c r="K12152" s="30" t="s">
        <v>22</v>
      </c>
    </row>
    <row r="12153" spans="1:11">
      <c r="A12153" s="33" t="s">
        <v>27590</v>
      </c>
      <c r="B12153" s="33" t="s">
        <v>27591</v>
      </c>
      <c r="C12153" s="33" t="s">
        <v>5304</v>
      </c>
      <c r="D12153" s="33" t="s">
        <v>17</v>
      </c>
      <c r="E12153" s="33" t="s">
        <v>31</v>
      </c>
      <c r="F12153" s="33" t="s">
        <v>32</v>
      </c>
      <c r="G12153" s="33" t="s">
        <v>20</v>
      </c>
      <c r="H12153" s="35">
        <v>94</v>
      </c>
      <c r="I12153" s="33" t="s">
        <v>21</v>
      </c>
      <c r="J12153" s="42">
        <v>44616</v>
      </c>
      <c r="K12153" s="33" t="s">
        <v>22</v>
      </c>
    </row>
    <row r="12154" spans="1:11">
      <c r="A12154" s="30" t="s">
        <v>27592</v>
      </c>
      <c r="B12154" s="30" t="s">
        <v>27593</v>
      </c>
      <c r="C12154" s="30" t="s">
        <v>14394</v>
      </c>
      <c r="D12154" s="30" t="s">
        <v>17</v>
      </c>
      <c r="E12154" s="30" t="s">
        <v>26</v>
      </c>
      <c r="F12154" s="30" t="s">
        <v>27</v>
      </c>
      <c r="G12154" s="30" t="s">
        <v>20</v>
      </c>
      <c r="H12154" s="32">
        <v>60</v>
      </c>
      <c r="I12154" s="30" t="s">
        <v>21</v>
      </c>
      <c r="J12154" s="41">
        <v>44909</v>
      </c>
      <c r="K12154" s="30" t="s">
        <v>22</v>
      </c>
    </row>
    <row r="12155" spans="1:11">
      <c r="A12155" s="33" t="s">
        <v>27594</v>
      </c>
      <c r="B12155" s="33" t="s">
        <v>27595</v>
      </c>
      <c r="C12155" s="33" t="s">
        <v>10515</v>
      </c>
      <c r="D12155" s="33" t="s">
        <v>17</v>
      </c>
      <c r="E12155" s="33" t="s">
        <v>26</v>
      </c>
      <c r="F12155" s="33" t="s">
        <v>27</v>
      </c>
      <c r="G12155" s="33" t="s">
        <v>106</v>
      </c>
      <c r="H12155" s="35">
        <v>44</v>
      </c>
      <c r="I12155" s="33" t="s">
        <v>21</v>
      </c>
      <c r="J12155" s="42">
        <v>44683</v>
      </c>
      <c r="K12155" s="33" t="s">
        <v>22</v>
      </c>
    </row>
    <row r="12156" spans="1:11">
      <c r="A12156" s="30" t="s">
        <v>27596</v>
      </c>
      <c r="B12156" s="30" t="s">
        <v>27597</v>
      </c>
      <c r="C12156" s="30" t="s">
        <v>22067</v>
      </c>
      <c r="D12156" s="30" t="s">
        <v>17</v>
      </c>
      <c r="E12156" s="30" t="s">
        <v>67</v>
      </c>
      <c r="F12156" s="30" t="s">
        <v>68</v>
      </c>
      <c r="G12156" s="30" t="s">
        <v>140</v>
      </c>
      <c r="H12156" s="32">
        <v>350</v>
      </c>
      <c r="I12156" s="30" t="s">
        <v>51</v>
      </c>
      <c r="J12156" s="41">
        <v>44630</v>
      </c>
      <c r="K12156" s="30" t="s">
        <v>22</v>
      </c>
    </row>
    <row r="12157" spans="1:11">
      <c r="A12157" s="33" t="s">
        <v>27598</v>
      </c>
      <c r="B12157" s="33" t="s">
        <v>27599</v>
      </c>
      <c r="C12157" s="33" t="s">
        <v>2395</v>
      </c>
      <c r="D12157" s="33" t="s">
        <v>17</v>
      </c>
      <c r="E12157" s="33" t="s">
        <v>26</v>
      </c>
      <c r="F12157" s="33" t="s">
        <v>27</v>
      </c>
      <c r="G12157" s="33" t="s">
        <v>20</v>
      </c>
      <c r="H12157" s="35">
        <v>24</v>
      </c>
      <c r="I12157" s="33" t="s">
        <v>21</v>
      </c>
      <c r="J12157" s="42">
        <v>44837</v>
      </c>
      <c r="K12157" s="33" t="s">
        <v>22</v>
      </c>
    </row>
    <row r="12158" spans="1:11">
      <c r="A12158" s="30" t="s">
        <v>27600</v>
      </c>
      <c r="B12158" s="30" t="s">
        <v>27601</v>
      </c>
      <c r="C12158" s="30" t="s">
        <v>27602</v>
      </c>
      <c r="D12158" s="30" t="s">
        <v>17</v>
      </c>
      <c r="E12158" s="30" t="s">
        <v>67</v>
      </c>
      <c r="F12158" s="30" t="s">
        <v>68</v>
      </c>
      <c r="G12158" s="30" t="s">
        <v>106</v>
      </c>
      <c r="H12158" s="32">
        <v>7</v>
      </c>
      <c r="I12158" s="30" t="s">
        <v>21</v>
      </c>
      <c r="J12158" s="41">
        <v>44596</v>
      </c>
      <c r="K12158" s="30" t="s">
        <v>22</v>
      </c>
    </row>
    <row r="12159" spans="1:11">
      <c r="A12159" s="33" t="s">
        <v>27603</v>
      </c>
      <c r="B12159" s="33" t="s">
        <v>27604</v>
      </c>
      <c r="C12159" s="33" t="s">
        <v>8979</v>
      </c>
      <c r="D12159" s="33" t="s">
        <v>17</v>
      </c>
      <c r="E12159" s="33" t="s">
        <v>18</v>
      </c>
      <c r="F12159" s="33" t="s">
        <v>19</v>
      </c>
      <c r="G12159" s="33" t="s">
        <v>20</v>
      </c>
      <c r="H12159" s="35">
        <v>771</v>
      </c>
      <c r="I12159" s="33" t="s">
        <v>21</v>
      </c>
      <c r="J12159" s="42">
        <v>44680</v>
      </c>
      <c r="K12159" s="33" t="s">
        <v>22</v>
      </c>
    </row>
    <row r="12160" spans="1:11">
      <c r="A12160" s="30" t="s">
        <v>27605</v>
      </c>
      <c r="B12160" s="30" t="s">
        <v>27606</v>
      </c>
      <c r="C12160" s="30" t="s">
        <v>26059</v>
      </c>
      <c r="D12160" s="30" t="s">
        <v>17</v>
      </c>
      <c r="E12160" s="30" t="s">
        <v>26</v>
      </c>
      <c r="F12160" s="30" t="s">
        <v>27</v>
      </c>
      <c r="G12160" s="30" t="s">
        <v>140</v>
      </c>
      <c r="H12160" s="32">
        <v>60</v>
      </c>
      <c r="I12160" s="30" t="s">
        <v>51</v>
      </c>
      <c r="J12160" s="41">
        <v>44588</v>
      </c>
      <c r="K12160" s="30" t="s">
        <v>22</v>
      </c>
    </row>
    <row r="12161" spans="1:11">
      <c r="A12161" s="33" t="s">
        <v>27607</v>
      </c>
      <c r="B12161" s="33" t="s">
        <v>27608</v>
      </c>
      <c r="C12161" s="33" t="s">
        <v>27609</v>
      </c>
      <c r="D12161" s="33" t="s">
        <v>17</v>
      </c>
      <c r="E12161" s="33" t="s">
        <v>31</v>
      </c>
      <c r="F12161" s="33" t="s">
        <v>32</v>
      </c>
      <c r="G12161" s="33" t="s">
        <v>106</v>
      </c>
      <c r="H12161" s="35">
        <v>36</v>
      </c>
      <c r="I12161" s="33" t="s">
        <v>21</v>
      </c>
      <c r="J12161" s="42">
        <v>44665</v>
      </c>
      <c r="K12161" s="33" t="s">
        <v>22</v>
      </c>
    </row>
    <row r="12162" spans="1:11">
      <c r="A12162" s="30" t="s">
        <v>27610</v>
      </c>
      <c r="B12162" s="30" t="s">
        <v>27611</v>
      </c>
      <c r="C12162" s="30" t="s">
        <v>15908</v>
      </c>
      <c r="D12162" s="30" t="s">
        <v>17</v>
      </c>
      <c r="E12162" s="30" t="s">
        <v>67</v>
      </c>
      <c r="F12162" s="30" t="s">
        <v>68</v>
      </c>
      <c r="G12162" s="30" t="s">
        <v>112</v>
      </c>
      <c r="H12162" s="32">
        <v>0</v>
      </c>
      <c r="I12162" s="30" t="s">
        <v>21</v>
      </c>
      <c r="J12162" s="41">
        <v>44562</v>
      </c>
      <c r="K12162" s="30" t="s">
        <v>22</v>
      </c>
    </row>
    <row r="12163" spans="1:11">
      <c r="A12163" s="33" t="s">
        <v>27612</v>
      </c>
      <c r="B12163" s="33" t="s">
        <v>27613</v>
      </c>
      <c r="C12163" s="33" t="s">
        <v>3378</v>
      </c>
      <c r="D12163" s="33" t="s">
        <v>17</v>
      </c>
      <c r="E12163" s="33" t="s">
        <v>26</v>
      </c>
      <c r="F12163" s="33" t="s">
        <v>27</v>
      </c>
      <c r="G12163" s="33" t="s">
        <v>69</v>
      </c>
      <c r="H12163" s="35">
        <v>32</v>
      </c>
      <c r="I12163" s="33" t="s">
        <v>51</v>
      </c>
      <c r="J12163" s="42">
        <v>44579</v>
      </c>
      <c r="K12163" s="33" t="s">
        <v>22</v>
      </c>
    </row>
    <row r="12164" spans="1:11">
      <c r="A12164" s="30" t="s">
        <v>27614</v>
      </c>
      <c r="B12164" s="30" t="s">
        <v>27615</v>
      </c>
      <c r="C12164" s="30" t="s">
        <v>27616</v>
      </c>
      <c r="D12164" s="30" t="s">
        <v>17</v>
      </c>
      <c r="E12164" s="30" t="s">
        <v>31</v>
      </c>
      <c r="F12164" s="30" t="s">
        <v>32</v>
      </c>
      <c r="G12164" s="30" t="s">
        <v>106</v>
      </c>
      <c r="H12164" s="32">
        <v>100</v>
      </c>
      <c r="I12164" s="30" t="s">
        <v>21</v>
      </c>
      <c r="J12164" s="41">
        <v>44704</v>
      </c>
      <c r="K12164" s="30" t="s">
        <v>22</v>
      </c>
    </row>
    <row r="12165" spans="1:11">
      <c r="A12165" s="33" t="s">
        <v>27617</v>
      </c>
      <c r="B12165" s="33" t="s">
        <v>27618</v>
      </c>
      <c r="C12165" s="33" t="s">
        <v>57</v>
      </c>
      <c r="D12165" s="33" t="s">
        <v>17</v>
      </c>
      <c r="E12165" s="33" t="s">
        <v>18</v>
      </c>
      <c r="F12165" s="33" t="s">
        <v>19</v>
      </c>
      <c r="G12165" s="33" t="s">
        <v>50</v>
      </c>
      <c r="H12165" s="35">
        <v>340</v>
      </c>
      <c r="I12165" s="33" t="s">
        <v>21</v>
      </c>
      <c r="J12165" s="42">
        <v>44832</v>
      </c>
      <c r="K12165" s="33" t="s">
        <v>22</v>
      </c>
    </row>
    <row r="12166" spans="1:11">
      <c r="A12166" s="30" t="s">
        <v>27619</v>
      </c>
      <c r="B12166" s="30" t="s">
        <v>27620</v>
      </c>
      <c r="C12166" s="30" t="s">
        <v>27241</v>
      </c>
      <c r="D12166" s="30" t="s">
        <v>17</v>
      </c>
      <c r="E12166" s="30" t="s">
        <v>26</v>
      </c>
      <c r="F12166" s="30" t="s">
        <v>27</v>
      </c>
      <c r="G12166" s="30" t="s">
        <v>50</v>
      </c>
      <c r="H12166" s="32">
        <v>72</v>
      </c>
      <c r="I12166" s="30" t="s">
        <v>21</v>
      </c>
      <c r="J12166" s="41">
        <v>44739</v>
      </c>
      <c r="K12166" s="30" t="s">
        <v>22</v>
      </c>
    </row>
    <row r="12167" spans="1:11">
      <c r="A12167" s="33" t="s">
        <v>27621</v>
      </c>
      <c r="B12167" s="33" t="s">
        <v>27622</v>
      </c>
      <c r="C12167" s="33" t="s">
        <v>136</v>
      </c>
      <c r="D12167" s="33" t="s">
        <v>17</v>
      </c>
      <c r="E12167" s="33" t="s">
        <v>18</v>
      </c>
      <c r="F12167" s="33" t="s">
        <v>19</v>
      </c>
      <c r="G12167" s="33" t="s">
        <v>20</v>
      </c>
      <c r="H12167" s="35">
        <v>692</v>
      </c>
      <c r="I12167" s="33" t="s">
        <v>21</v>
      </c>
      <c r="J12167" s="42">
        <v>44785</v>
      </c>
      <c r="K12167" s="33" t="s">
        <v>22</v>
      </c>
    </row>
    <row r="12168" spans="1:11">
      <c r="A12168" s="30" t="s">
        <v>27623</v>
      </c>
      <c r="B12168" s="30" t="s">
        <v>27624</v>
      </c>
      <c r="C12168" s="30" t="s">
        <v>14176</v>
      </c>
      <c r="D12168" s="30" t="s">
        <v>17</v>
      </c>
      <c r="E12168" s="30" t="s">
        <v>18</v>
      </c>
      <c r="F12168" s="30" t="s">
        <v>19</v>
      </c>
      <c r="G12168" s="30" t="s">
        <v>158</v>
      </c>
      <c r="H12168" s="32">
        <v>9541</v>
      </c>
      <c r="I12168" s="30" t="s">
        <v>21</v>
      </c>
      <c r="J12168" s="41">
        <v>44599</v>
      </c>
      <c r="K12168" s="30" t="s">
        <v>22</v>
      </c>
    </row>
    <row r="12169" spans="1:11">
      <c r="A12169" s="33" t="s">
        <v>27625</v>
      </c>
      <c r="B12169" s="33" t="s">
        <v>27626</v>
      </c>
      <c r="C12169" s="33" t="s">
        <v>27627</v>
      </c>
      <c r="D12169" s="33" t="s">
        <v>17</v>
      </c>
      <c r="E12169" s="33" t="s">
        <v>31</v>
      </c>
      <c r="F12169" s="33" t="s">
        <v>32</v>
      </c>
      <c r="G12169" s="33" t="s">
        <v>20</v>
      </c>
      <c r="H12169" s="35">
        <v>257</v>
      </c>
      <c r="I12169" s="33" t="s">
        <v>21</v>
      </c>
      <c r="J12169" s="42">
        <v>44739</v>
      </c>
      <c r="K12169" s="33" t="s">
        <v>22</v>
      </c>
    </row>
    <row r="12170" spans="1:11">
      <c r="A12170" s="30" t="s">
        <v>27628</v>
      </c>
      <c r="B12170" s="30" t="s">
        <v>27629</v>
      </c>
      <c r="C12170" s="30" t="s">
        <v>3964</v>
      </c>
      <c r="D12170" s="30" t="s">
        <v>17</v>
      </c>
      <c r="E12170" s="30" t="s">
        <v>31</v>
      </c>
      <c r="F12170" s="30" t="s">
        <v>32</v>
      </c>
      <c r="G12170" s="30" t="s">
        <v>50</v>
      </c>
      <c r="H12170" s="32">
        <v>60</v>
      </c>
      <c r="I12170" s="30" t="s">
        <v>51</v>
      </c>
      <c r="J12170" s="41">
        <v>44580</v>
      </c>
      <c r="K12170" s="30" t="s">
        <v>22</v>
      </c>
    </row>
    <row r="12171" spans="1:11">
      <c r="A12171" s="33" t="s">
        <v>27630</v>
      </c>
      <c r="B12171" s="33" t="s">
        <v>27631</v>
      </c>
      <c r="C12171" s="33" t="s">
        <v>2313</v>
      </c>
      <c r="D12171" s="33" t="s">
        <v>17</v>
      </c>
      <c r="E12171" s="33" t="s">
        <v>26</v>
      </c>
      <c r="F12171" s="33" t="s">
        <v>27</v>
      </c>
      <c r="G12171" s="33" t="s">
        <v>20</v>
      </c>
      <c r="H12171" s="35">
        <v>57</v>
      </c>
      <c r="I12171" s="33" t="s">
        <v>21</v>
      </c>
      <c r="J12171" s="42">
        <v>44790</v>
      </c>
      <c r="K12171" s="33" t="s">
        <v>22</v>
      </c>
    </row>
    <row r="12172" spans="1:11">
      <c r="A12172" s="30" t="s">
        <v>27632</v>
      </c>
      <c r="B12172" s="30" t="s">
        <v>27633</v>
      </c>
      <c r="C12172" s="30" t="s">
        <v>1077</v>
      </c>
      <c r="D12172" s="30" t="s">
        <v>17</v>
      </c>
      <c r="E12172" s="30" t="s">
        <v>26</v>
      </c>
      <c r="F12172" s="30" t="s">
        <v>27</v>
      </c>
      <c r="G12172" s="30" t="s">
        <v>20</v>
      </c>
      <c r="H12172" s="32">
        <v>114</v>
      </c>
      <c r="I12172" s="30" t="s">
        <v>21</v>
      </c>
      <c r="J12172" s="41">
        <v>44599</v>
      </c>
      <c r="K12172" s="30" t="s">
        <v>22</v>
      </c>
    </row>
    <row r="12173" spans="1:11">
      <c r="A12173" s="33" t="s">
        <v>27634</v>
      </c>
      <c r="B12173" s="33" t="s">
        <v>27635</v>
      </c>
      <c r="C12173" s="33" t="s">
        <v>93</v>
      </c>
      <c r="D12173" s="33" t="s">
        <v>17</v>
      </c>
      <c r="E12173" s="33" t="s">
        <v>18</v>
      </c>
      <c r="F12173" s="33" t="s">
        <v>19</v>
      </c>
      <c r="G12173" s="33" t="s">
        <v>20</v>
      </c>
      <c r="H12173" s="35">
        <v>986</v>
      </c>
      <c r="I12173" s="33" t="s">
        <v>21</v>
      </c>
      <c r="J12173" s="42">
        <v>44617</v>
      </c>
      <c r="K12173" s="33" t="s">
        <v>22</v>
      </c>
    </row>
    <row r="12174" spans="1:11">
      <c r="A12174" s="30" t="s">
        <v>27636</v>
      </c>
      <c r="B12174" s="30" t="s">
        <v>27637</v>
      </c>
      <c r="C12174" s="30" t="s">
        <v>16235</v>
      </c>
      <c r="D12174" s="30" t="s">
        <v>17</v>
      </c>
      <c r="E12174" s="30" t="s">
        <v>18</v>
      </c>
      <c r="F12174" s="30" t="s">
        <v>19</v>
      </c>
      <c r="G12174" s="30" t="s">
        <v>20</v>
      </c>
      <c r="H12174" s="32">
        <v>20</v>
      </c>
      <c r="I12174" s="30" t="s">
        <v>21</v>
      </c>
      <c r="J12174" s="41">
        <v>44908</v>
      </c>
      <c r="K12174" s="30" t="s">
        <v>22</v>
      </c>
    </row>
    <row r="12175" spans="1:11">
      <c r="A12175" s="33" t="s">
        <v>27638</v>
      </c>
      <c r="B12175" s="33" t="s">
        <v>27639</v>
      </c>
      <c r="C12175" s="33" t="s">
        <v>1908</v>
      </c>
      <c r="D12175" s="33" t="s">
        <v>17</v>
      </c>
      <c r="E12175" s="33" t="s">
        <v>26</v>
      </c>
      <c r="F12175" s="33" t="s">
        <v>27</v>
      </c>
      <c r="G12175" s="33" t="s">
        <v>20</v>
      </c>
      <c r="H12175" s="35">
        <v>32</v>
      </c>
      <c r="I12175" s="33" t="s">
        <v>21</v>
      </c>
      <c r="J12175" s="42">
        <v>44844</v>
      </c>
      <c r="K12175" s="33" t="s">
        <v>22</v>
      </c>
    </row>
    <row r="12176" spans="1:11">
      <c r="A12176" s="30" t="s">
        <v>27640</v>
      </c>
      <c r="B12176" s="30" t="s">
        <v>27641</v>
      </c>
      <c r="C12176" s="30" t="s">
        <v>4345</v>
      </c>
      <c r="D12176" s="30" t="s">
        <v>17</v>
      </c>
      <c r="E12176" s="30" t="s">
        <v>18</v>
      </c>
      <c r="F12176" s="30" t="s">
        <v>19</v>
      </c>
      <c r="G12176" s="30" t="s">
        <v>158</v>
      </c>
      <c r="H12176" s="32">
        <v>154</v>
      </c>
      <c r="I12176" s="30" t="s">
        <v>21</v>
      </c>
      <c r="J12176" s="41">
        <v>44755</v>
      </c>
      <c r="K12176" s="30" t="s">
        <v>22</v>
      </c>
    </row>
    <row r="12177" spans="1:11">
      <c r="A12177" s="33" t="s">
        <v>27642</v>
      </c>
      <c r="B12177" s="33" t="s">
        <v>27643</v>
      </c>
      <c r="C12177" s="33" t="s">
        <v>587</v>
      </c>
      <c r="D12177" s="33" t="s">
        <v>17</v>
      </c>
      <c r="E12177" s="33" t="s">
        <v>67</v>
      </c>
      <c r="F12177" s="33" t="s">
        <v>68</v>
      </c>
      <c r="G12177" s="33" t="s">
        <v>112</v>
      </c>
      <c r="H12177" s="35">
        <v>0</v>
      </c>
      <c r="I12177" s="33" t="s">
        <v>21</v>
      </c>
      <c r="J12177" s="42">
        <v>44805</v>
      </c>
      <c r="K12177" s="33" t="s">
        <v>22</v>
      </c>
    </row>
    <row r="12178" spans="1:11">
      <c r="A12178" s="30" t="s">
        <v>27644</v>
      </c>
      <c r="B12178" s="30" t="s">
        <v>27645</v>
      </c>
      <c r="C12178" s="30" t="s">
        <v>3243</v>
      </c>
      <c r="D12178" s="30" t="s">
        <v>17</v>
      </c>
      <c r="E12178" s="30" t="s">
        <v>26</v>
      </c>
      <c r="F12178" s="30" t="s">
        <v>27</v>
      </c>
      <c r="G12178" s="30" t="s">
        <v>20</v>
      </c>
      <c r="H12178" s="32">
        <v>24</v>
      </c>
      <c r="I12178" s="30" t="s">
        <v>21</v>
      </c>
      <c r="J12178" s="41">
        <v>44885</v>
      </c>
      <c r="K12178" s="30" t="s">
        <v>22</v>
      </c>
    </row>
    <row r="12179" spans="1:11">
      <c r="A12179" s="33" t="s">
        <v>27646</v>
      </c>
      <c r="B12179" s="33" t="s">
        <v>27647</v>
      </c>
      <c r="C12179" s="33" t="s">
        <v>14176</v>
      </c>
      <c r="D12179" s="33" t="s">
        <v>17</v>
      </c>
      <c r="E12179" s="33" t="s">
        <v>31</v>
      </c>
      <c r="F12179" s="33" t="s">
        <v>32</v>
      </c>
      <c r="G12179" s="33" t="s">
        <v>20</v>
      </c>
      <c r="H12179" s="35">
        <v>102</v>
      </c>
      <c r="I12179" s="33" t="s">
        <v>21</v>
      </c>
      <c r="J12179" s="42">
        <v>44739</v>
      </c>
      <c r="K12179" s="33" t="s">
        <v>22</v>
      </c>
    </row>
    <row r="12180" spans="1:11">
      <c r="A12180" s="30" t="s">
        <v>27648</v>
      </c>
      <c r="B12180" s="30" t="s">
        <v>27649</v>
      </c>
      <c r="C12180" s="30" t="s">
        <v>20576</v>
      </c>
      <c r="D12180" s="30" t="s">
        <v>17</v>
      </c>
      <c r="E12180" s="30" t="s">
        <v>45</v>
      </c>
      <c r="F12180" s="30" t="s">
        <v>46</v>
      </c>
      <c r="G12180" s="30" t="s">
        <v>20</v>
      </c>
      <c r="H12180" s="32">
        <v>1246</v>
      </c>
      <c r="I12180" s="30" t="s">
        <v>21</v>
      </c>
      <c r="J12180" s="41">
        <v>44914</v>
      </c>
      <c r="K12180" s="30" t="s">
        <v>22</v>
      </c>
    </row>
    <row r="12181" spans="1:11">
      <c r="A12181" s="33" t="s">
        <v>27650</v>
      </c>
      <c r="B12181" s="33" t="s">
        <v>27651</v>
      </c>
      <c r="C12181" s="33" t="s">
        <v>5757</v>
      </c>
      <c r="D12181" s="33" t="s">
        <v>17</v>
      </c>
      <c r="E12181" s="33" t="s">
        <v>212</v>
      </c>
      <c r="F12181" s="33" t="s">
        <v>213</v>
      </c>
      <c r="G12181" s="33" t="s">
        <v>158</v>
      </c>
      <c r="H12181" s="35">
        <v>447</v>
      </c>
      <c r="I12181" s="33" t="s">
        <v>21</v>
      </c>
      <c r="J12181" s="42">
        <v>44858</v>
      </c>
      <c r="K12181" s="33" t="s">
        <v>22</v>
      </c>
    </row>
    <row r="12182" spans="1:11">
      <c r="A12182" s="30" t="s">
        <v>27652</v>
      </c>
      <c r="B12182" s="30" t="s">
        <v>27653</v>
      </c>
      <c r="C12182" s="30" t="s">
        <v>27654</v>
      </c>
      <c r="D12182" s="30" t="s">
        <v>17</v>
      </c>
      <c r="E12182" s="30" t="s">
        <v>26</v>
      </c>
      <c r="F12182" s="30" t="s">
        <v>27</v>
      </c>
      <c r="G12182" s="30" t="s">
        <v>140</v>
      </c>
      <c r="H12182" s="32">
        <v>75</v>
      </c>
      <c r="I12182" s="30" t="s">
        <v>51</v>
      </c>
      <c r="J12182" s="41">
        <v>44916</v>
      </c>
      <c r="K12182" s="30" t="s">
        <v>22</v>
      </c>
    </row>
    <row r="12183" spans="1:11">
      <c r="A12183" s="33" t="s">
        <v>27655</v>
      </c>
      <c r="B12183" s="33" t="s">
        <v>27656</v>
      </c>
      <c r="C12183" s="33" t="s">
        <v>2562</v>
      </c>
      <c r="D12183" s="33" t="s">
        <v>17</v>
      </c>
      <c r="E12183" s="33" t="s">
        <v>31</v>
      </c>
      <c r="F12183" s="33" t="s">
        <v>32</v>
      </c>
      <c r="G12183" s="33" t="s">
        <v>50</v>
      </c>
      <c r="H12183" s="35">
        <v>240</v>
      </c>
      <c r="I12183" s="33" t="s">
        <v>51</v>
      </c>
      <c r="J12183" s="42">
        <v>44922</v>
      </c>
      <c r="K12183" s="33" t="s">
        <v>22</v>
      </c>
    </row>
    <row r="12184" spans="1:11">
      <c r="A12184" s="30" t="s">
        <v>27657</v>
      </c>
      <c r="B12184" s="30" t="s">
        <v>27658</v>
      </c>
      <c r="C12184" s="30" t="s">
        <v>187</v>
      </c>
      <c r="D12184" s="30" t="s">
        <v>17</v>
      </c>
      <c r="E12184" s="30" t="s">
        <v>26</v>
      </c>
      <c r="F12184" s="30" t="s">
        <v>27</v>
      </c>
      <c r="G12184" s="30" t="s">
        <v>50</v>
      </c>
      <c r="H12184" s="32">
        <v>7</v>
      </c>
      <c r="I12184" s="30" t="s">
        <v>21</v>
      </c>
      <c r="J12184" s="41">
        <v>44771</v>
      </c>
      <c r="K12184" s="30" t="s">
        <v>22</v>
      </c>
    </row>
    <row r="12185" spans="1:11">
      <c r="A12185" s="33" t="s">
        <v>27659</v>
      </c>
      <c r="B12185" s="33" t="s">
        <v>27660</v>
      </c>
      <c r="C12185" s="33" t="s">
        <v>127</v>
      </c>
      <c r="D12185" s="33" t="s">
        <v>17</v>
      </c>
      <c r="E12185" s="33" t="s">
        <v>26</v>
      </c>
      <c r="F12185" s="33" t="s">
        <v>27</v>
      </c>
      <c r="G12185" s="33" t="s">
        <v>20</v>
      </c>
      <c r="H12185" s="35">
        <v>26</v>
      </c>
      <c r="I12185" s="33" t="s">
        <v>21</v>
      </c>
      <c r="J12185" s="42">
        <v>44743</v>
      </c>
      <c r="K12185" s="33" t="s">
        <v>22</v>
      </c>
    </row>
    <row r="12186" spans="1:11">
      <c r="A12186" s="30" t="s">
        <v>27661</v>
      </c>
      <c r="B12186" s="30" t="s">
        <v>27662</v>
      </c>
      <c r="C12186" s="30" t="s">
        <v>16459</v>
      </c>
      <c r="D12186" s="30" t="s">
        <v>17</v>
      </c>
      <c r="E12186" s="30" t="s">
        <v>31</v>
      </c>
      <c r="F12186" s="30" t="s">
        <v>32</v>
      </c>
      <c r="G12186" s="30" t="s">
        <v>20</v>
      </c>
      <c r="H12186" s="32">
        <v>109</v>
      </c>
      <c r="I12186" s="30" t="s">
        <v>21</v>
      </c>
      <c r="J12186" s="41">
        <v>44770</v>
      </c>
      <c r="K12186" s="30" t="s">
        <v>22</v>
      </c>
    </row>
    <row r="12187" spans="1:11">
      <c r="A12187" s="33" t="s">
        <v>27663</v>
      </c>
      <c r="B12187" s="33" t="s">
        <v>27664</v>
      </c>
      <c r="C12187" s="33" t="s">
        <v>687</v>
      </c>
      <c r="D12187" s="33" t="s">
        <v>17</v>
      </c>
      <c r="E12187" s="33" t="s">
        <v>31</v>
      </c>
      <c r="F12187" s="33" t="s">
        <v>32</v>
      </c>
      <c r="G12187" s="33" t="s">
        <v>20</v>
      </c>
      <c r="H12187" s="35">
        <v>91</v>
      </c>
      <c r="I12187" s="33" t="s">
        <v>21</v>
      </c>
      <c r="J12187" s="42">
        <v>44616</v>
      </c>
      <c r="K12187" s="33" t="s">
        <v>22</v>
      </c>
    </row>
    <row r="12188" spans="1:11">
      <c r="A12188" s="30" t="s">
        <v>27665</v>
      </c>
      <c r="B12188" s="30" t="s">
        <v>27666</v>
      </c>
      <c r="C12188" s="30" t="s">
        <v>17647</v>
      </c>
      <c r="D12188" s="30" t="s">
        <v>17</v>
      </c>
      <c r="E12188" s="30" t="s">
        <v>31</v>
      </c>
      <c r="F12188" s="30" t="s">
        <v>32</v>
      </c>
      <c r="G12188" s="30" t="s">
        <v>20</v>
      </c>
      <c r="H12188" s="32">
        <v>345</v>
      </c>
      <c r="I12188" s="30" t="s">
        <v>21</v>
      </c>
      <c r="J12188" s="41">
        <v>44688</v>
      </c>
      <c r="K12188" s="30" t="s">
        <v>22</v>
      </c>
    </row>
    <row r="12189" spans="1:11">
      <c r="A12189" s="33" t="s">
        <v>27667</v>
      </c>
      <c r="B12189" s="33" t="s">
        <v>27668</v>
      </c>
      <c r="C12189" s="33" t="s">
        <v>75</v>
      </c>
      <c r="D12189" s="33" t="s">
        <v>17</v>
      </c>
      <c r="E12189" s="33" t="s">
        <v>18</v>
      </c>
      <c r="F12189" s="33" t="s">
        <v>19</v>
      </c>
      <c r="G12189" s="33" t="s">
        <v>106</v>
      </c>
      <c r="H12189" s="35">
        <v>770</v>
      </c>
      <c r="I12189" s="33" t="s">
        <v>21</v>
      </c>
      <c r="J12189" s="42">
        <v>44679</v>
      </c>
      <c r="K12189" s="33" t="s">
        <v>22</v>
      </c>
    </row>
    <row r="12190" spans="1:11">
      <c r="A12190" s="30" t="s">
        <v>27669</v>
      </c>
      <c r="B12190" s="30" t="s">
        <v>27670</v>
      </c>
      <c r="C12190" s="30" t="s">
        <v>27671</v>
      </c>
      <c r="D12190" s="30" t="s">
        <v>17</v>
      </c>
      <c r="E12190" s="30" t="s">
        <v>26</v>
      </c>
      <c r="F12190" s="30" t="s">
        <v>27</v>
      </c>
      <c r="G12190" s="30" t="s">
        <v>106</v>
      </c>
      <c r="H12190" s="32">
        <v>5</v>
      </c>
      <c r="I12190" s="30" t="s">
        <v>21</v>
      </c>
      <c r="J12190" s="41">
        <v>44860</v>
      </c>
      <c r="K12190" s="30" t="s">
        <v>22</v>
      </c>
    </row>
    <row r="12191" spans="1:11">
      <c r="A12191" s="33" t="s">
        <v>27672</v>
      </c>
      <c r="B12191" s="33" t="s">
        <v>27673</v>
      </c>
      <c r="C12191" s="33" t="s">
        <v>2153</v>
      </c>
      <c r="D12191" s="33" t="s">
        <v>17</v>
      </c>
      <c r="E12191" s="33" t="s">
        <v>31</v>
      </c>
      <c r="F12191" s="33" t="s">
        <v>32</v>
      </c>
      <c r="G12191" s="33" t="s">
        <v>20</v>
      </c>
      <c r="H12191" s="35">
        <v>50</v>
      </c>
      <c r="I12191" s="33" t="s">
        <v>21</v>
      </c>
      <c r="J12191" s="42">
        <v>44627</v>
      </c>
      <c r="K12191" s="33" t="s">
        <v>22</v>
      </c>
    </row>
    <row r="12192" spans="1:11">
      <c r="A12192" s="30" t="s">
        <v>27674</v>
      </c>
      <c r="B12192" s="30" t="s">
        <v>27675</v>
      </c>
      <c r="C12192" s="30" t="s">
        <v>27241</v>
      </c>
      <c r="D12192" s="30" t="s">
        <v>17</v>
      </c>
      <c r="E12192" s="30" t="s">
        <v>26</v>
      </c>
      <c r="F12192" s="30" t="s">
        <v>27</v>
      </c>
      <c r="G12192" s="30" t="s">
        <v>50</v>
      </c>
      <c r="H12192" s="32">
        <v>64</v>
      </c>
      <c r="I12192" s="30" t="s">
        <v>21</v>
      </c>
      <c r="J12192" s="41">
        <v>44705</v>
      </c>
      <c r="K12192" s="30" t="s">
        <v>22</v>
      </c>
    </row>
    <row r="12193" spans="1:11">
      <c r="A12193" s="33" t="s">
        <v>27676</v>
      </c>
      <c r="B12193" s="33" t="s">
        <v>27677</v>
      </c>
      <c r="C12193" s="33" t="s">
        <v>96</v>
      </c>
      <c r="D12193" s="33" t="s">
        <v>17</v>
      </c>
      <c r="E12193" s="33" t="s">
        <v>26</v>
      </c>
      <c r="F12193" s="33" t="s">
        <v>27</v>
      </c>
      <c r="G12193" s="33" t="s">
        <v>20</v>
      </c>
      <c r="H12193" s="35">
        <v>6</v>
      </c>
      <c r="I12193" s="33" t="s">
        <v>21</v>
      </c>
      <c r="J12193" s="42">
        <v>44916</v>
      </c>
      <c r="K12193" s="33" t="s">
        <v>22</v>
      </c>
    </row>
    <row r="12194" spans="1:11">
      <c r="A12194" s="30" t="s">
        <v>27678</v>
      </c>
      <c r="B12194" s="30" t="s">
        <v>27679</v>
      </c>
      <c r="C12194" s="30" t="s">
        <v>9023</v>
      </c>
      <c r="D12194" s="30" t="s">
        <v>17</v>
      </c>
      <c r="E12194" s="30" t="s">
        <v>31</v>
      </c>
      <c r="F12194" s="30" t="s">
        <v>32</v>
      </c>
      <c r="G12194" s="30" t="s">
        <v>20</v>
      </c>
      <c r="H12194" s="32">
        <v>80</v>
      </c>
      <c r="I12194" s="30" t="s">
        <v>21</v>
      </c>
      <c r="J12194" s="41">
        <v>44774</v>
      </c>
      <c r="K12194" s="30" t="s">
        <v>22</v>
      </c>
    </row>
    <row r="12195" spans="1:11">
      <c r="A12195" s="33" t="s">
        <v>27680</v>
      </c>
      <c r="B12195" s="33" t="s">
        <v>27681</v>
      </c>
      <c r="C12195" s="33" t="s">
        <v>310</v>
      </c>
      <c r="D12195" s="33" t="s">
        <v>17</v>
      </c>
      <c r="E12195" s="33" t="s">
        <v>31</v>
      </c>
      <c r="F12195" s="33" t="s">
        <v>32</v>
      </c>
      <c r="G12195" s="33" t="s">
        <v>20</v>
      </c>
      <c r="H12195" s="35">
        <v>96</v>
      </c>
      <c r="I12195" s="33" t="s">
        <v>21</v>
      </c>
      <c r="J12195" s="42">
        <v>44749</v>
      </c>
      <c r="K12195" s="33" t="s">
        <v>22</v>
      </c>
    </row>
    <row r="12196" spans="1:11">
      <c r="A12196" s="30" t="s">
        <v>27682</v>
      </c>
      <c r="B12196" s="30" t="s">
        <v>27683</v>
      </c>
      <c r="C12196" s="30" t="s">
        <v>27684</v>
      </c>
      <c r="D12196" s="30" t="s">
        <v>17</v>
      </c>
      <c r="E12196" s="30" t="s">
        <v>31</v>
      </c>
      <c r="F12196" s="30" t="s">
        <v>32</v>
      </c>
      <c r="G12196" s="30" t="s">
        <v>112</v>
      </c>
      <c r="H12196" s="32">
        <v>0</v>
      </c>
      <c r="I12196" s="30" t="s">
        <v>21</v>
      </c>
      <c r="J12196" s="41">
        <v>44805</v>
      </c>
      <c r="K12196" s="30" t="s">
        <v>22</v>
      </c>
    </row>
    <row r="12197" spans="1:11">
      <c r="A12197" s="33" t="s">
        <v>27685</v>
      </c>
      <c r="B12197" s="33" t="s">
        <v>27686</v>
      </c>
      <c r="C12197" s="33" t="s">
        <v>2706</v>
      </c>
      <c r="D12197" s="33" t="s">
        <v>17</v>
      </c>
      <c r="E12197" s="33" t="s">
        <v>31</v>
      </c>
      <c r="F12197" s="33" t="s">
        <v>32</v>
      </c>
      <c r="G12197" s="33" t="s">
        <v>20</v>
      </c>
      <c r="H12197" s="35">
        <v>98</v>
      </c>
      <c r="I12197" s="33" t="s">
        <v>21</v>
      </c>
      <c r="J12197" s="42">
        <v>44657</v>
      </c>
      <c r="K12197" s="33" t="s">
        <v>22</v>
      </c>
    </row>
    <row r="12198" spans="1:11">
      <c r="A12198" s="30" t="s">
        <v>27687</v>
      </c>
      <c r="B12198" s="30" t="s">
        <v>27688</v>
      </c>
      <c r="C12198" s="30" t="s">
        <v>27689</v>
      </c>
      <c r="D12198" s="30" t="s">
        <v>17</v>
      </c>
      <c r="E12198" s="30" t="s">
        <v>26</v>
      </c>
      <c r="F12198" s="30" t="s">
        <v>27</v>
      </c>
      <c r="G12198" s="30" t="s">
        <v>20</v>
      </c>
      <c r="H12198" s="32">
        <v>27</v>
      </c>
      <c r="I12198" s="30" t="s">
        <v>21</v>
      </c>
      <c r="J12198" s="41">
        <v>44728</v>
      </c>
      <c r="K12198" s="30" t="s">
        <v>22</v>
      </c>
    </row>
    <row r="12199" spans="1:11">
      <c r="A12199" s="33" t="s">
        <v>27690</v>
      </c>
      <c r="B12199" s="33" t="s">
        <v>27691</v>
      </c>
      <c r="C12199" s="33" t="s">
        <v>27692</v>
      </c>
      <c r="D12199" s="33" t="s">
        <v>17</v>
      </c>
      <c r="E12199" s="33" t="s">
        <v>31</v>
      </c>
      <c r="F12199" s="33" t="s">
        <v>32</v>
      </c>
      <c r="G12199" s="33" t="s">
        <v>106</v>
      </c>
      <c r="H12199" s="35">
        <v>3</v>
      </c>
      <c r="I12199" s="33" t="s">
        <v>21</v>
      </c>
      <c r="J12199" s="42">
        <v>44641</v>
      </c>
      <c r="K12199" s="33" t="s">
        <v>22</v>
      </c>
    </row>
    <row r="12200" spans="1:11">
      <c r="A12200" s="30" t="s">
        <v>27693</v>
      </c>
      <c r="B12200" s="30" t="s">
        <v>27694</v>
      </c>
      <c r="C12200" s="30" t="s">
        <v>27695</v>
      </c>
      <c r="D12200" s="30" t="s">
        <v>17</v>
      </c>
      <c r="E12200" s="30" t="s">
        <v>67</v>
      </c>
      <c r="F12200" s="30" t="s">
        <v>68</v>
      </c>
      <c r="G12200" s="30" t="s">
        <v>140</v>
      </c>
      <c r="H12200" s="32">
        <v>61</v>
      </c>
      <c r="I12200" s="30" t="s">
        <v>51</v>
      </c>
      <c r="J12200" s="41">
        <v>44831</v>
      </c>
      <c r="K12200" s="30" t="s">
        <v>22</v>
      </c>
    </row>
    <row r="12201" spans="1:11">
      <c r="A12201" s="33" t="s">
        <v>27696</v>
      </c>
      <c r="B12201" s="33" t="s">
        <v>27697</v>
      </c>
      <c r="C12201" s="33" t="s">
        <v>96</v>
      </c>
      <c r="D12201" s="33" t="s">
        <v>17</v>
      </c>
      <c r="E12201" s="33" t="s">
        <v>31</v>
      </c>
      <c r="F12201" s="33" t="s">
        <v>32</v>
      </c>
      <c r="G12201" s="33" t="s">
        <v>20</v>
      </c>
      <c r="H12201" s="35">
        <v>306</v>
      </c>
      <c r="I12201" s="33" t="s">
        <v>21</v>
      </c>
      <c r="J12201" s="42">
        <v>44785</v>
      </c>
      <c r="K12201" s="33" t="s">
        <v>22</v>
      </c>
    </row>
    <row r="12202" spans="1:11">
      <c r="A12202" s="30" t="s">
        <v>27698</v>
      </c>
      <c r="B12202" s="30" t="s">
        <v>27699</v>
      </c>
      <c r="C12202" s="30" t="s">
        <v>1210</v>
      </c>
      <c r="D12202" s="30" t="s">
        <v>17</v>
      </c>
      <c r="E12202" s="30" t="s">
        <v>31</v>
      </c>
      <c r="F12202" s="30" t="s">
        <v>32</v>
      </c>
      <c r="G12202" s="30" t="s">
        <v>140</v>
      </c>
      <c r="H12202" s="32">
        <v>100</v>
      </c>
      <c r="I12202" s="30" t="s">
        <v>51</v>
      </c>
      <c r="J12202" s="41">
        <v>44869</v>
      </c>
      <c r="K12202" s="30" t="s">
        <v>22</v>
      </c>
    </row>
    <row r="12203" spans="1:11">
      <c r="A12203" s="33" t="s">
        <v>27700</v>
      </c>
      <c r="B12203" s="33" t="s">
        <v>27701</v>
      </c>
      <c r="C12203" s="33" t="s">
        <v>13534</v>
      </c>
      <c r="D12203" s="33" t="s">
        <v>17</v>
      </c>
      <c r="E12203" s="33" t="s">
        <v>18</v>
      </c>
      <c r="F12203" s="33" t="s">
        <v>19</v>
      </c>
      <c r="G12203" s="33" t="s">
        <v>50</v>
      </c>
      <c r="H12203" s="35">
        <v>600</v>
      </c>
      <c r="I12203" s="33" t="s">
        <v>21</v>
      </c>
      <c r="J12203" s="42">
        <v>44853</v>
      </c>
      <c r="K12203" s="33" t="s">
        <v>22</v>
      </c>
    </row>
    <row r="12204" spans="1:11">
      <c r="A12204" s="30" t="s">
        <v>27702</v>
      </c>
      <c r="B12204" s="30" t="s">
        <v>27703</v>
      </c>
      <c r="C12204" s="30" t="s">
        <v>7834</v>
      </c>
      <c r="D12204" s="30" t="s">
        <v>17</v>
      </c>
      <c r="E12204" s="30" t="s">
        <v>26</v>
      </c>
      <c r="F12204" s="30" t="s">
        <v>27</v>
      </c>
      <c r="G12204" s="30" t="s">
        <v>20</v>
      </c>
      <c r="H12204" s="32">
        <v>90</v>
      </c>
      <c r="I12204" s="30" t="s">
        <v>21</v>
      </c>
      <c r="J12204" s="41">
        <v>44740</v>
      </c>
      <c r="K12204" s="30" t="s">
        <v>22</v>
      </c>
    </row>
    <row r="12205" spans="1:11">
      <c r="A12205" s="33" t="s">
        <v>27704</v>
      </c>
      <c r="B12205" s="33" t="s">
        <v>27705</v>
      </c>
      <c r="C12205" s="33" t="s">
        <v>93</v>
      </c>
      <c r="D12205" s="33" t="s">
        <v>17</v>
      </c>
      <c r="E12205" s="33" t="s">
        <v>212</v>
      </c>
      <c r="F12205" s="33" t="s">
        <v>213</v>
      </c>
      <c r="G12205" s="33" t="s">
        <v>20</v>
      </c>
      <c r="H12205" s="35">
        <v>87</v>
      </c>
      <c r="I12205" s="33" t="s">
        <v>21</v>
      </c>
      <c r="J12205" s="42">
        <v>44749</v>
      </c>
      <c r="K12205" s="33" t="s">
        <v>22</v>
      </c>
    </row>
    <row r="12206" spans="1:11">
      <c r="A12206" s="30" t="s">
        <v>27706</v>
      </c>
      <c r="B12206" s="30" t="s">
        <v>27707</v>
      </c>
      <c r="C12206" s="30" t="s">
        <v>11643</v>
      </c>
      <c r="D12206" s="30" t="s">
        <v>17</v>
      </c>
      <c r="E12206" s="30" t="s">
        <v>31</v>
      </c>
      <c r="F12206" s="30" t="s">
        <v>32</v>
      </c>
      <c r="G12206" s="30" t="s">
        <v>20</v>
      </c>
      <c r="H12206" s="32">
        <v>181</v>
      </c>
      <c r="I12206" s="30" t="s">
        <v>21</v>
      </c>
      <c r="J12206" s="41">
        <v>44707</v>
      </c>
      <c r="K12206" s="30" t="s">
        <v>22</v>
      </c>
    </row>
    <row r="12207" spans="1:11">
      <c r="A12207" s="33" t="s">
        <v>27708</v>
      </c>
      <c r="B12207" s="33" t="s">
        <v>27709</v>
      </c>
      <c r="C12207" s="33" t="s">
        <v>27710</v>
      </c>
      <c r="D12207" s="33" t="s">
        <v>17</v>
      </c>
      <c r="E12207" s="33" t="s">
        <v>26</v>
      </c>
      <c r="F12207" s="33" t="s">
        <v>27</v>
      </c>
      <c r="G12207" s="33" t="s">
        <v>140</v>
      </c>
      <c r="H12207" s="35">
        <v>48</v>
      </c>
      <c r="I12207" s="33" t="s">
        <v>51</v>
      </c>
      <c r="J12207" s="42">
        <v>44917</v>
      </c>
      <c r="K12207" s="33" t="s">
        <v>22</v>
      </c>
    </row>
    <row r="12208" spans="1:11">
      <c r="A12208" s="30" t="s">
        <v>27711</v>
      </c>
      <c r="B12208" s="30" t="s">
        <v>27712</v>
      </c>
      <c r="C12208" s="30" t="s">
        <v>246</v>
      </c>
      <c r="D12208" s="30" t="s">
        <v>17</v>
      </c>
      <c r="E12208" s="30" t="s">
        <v>26</v>
      </c>
      <c r="F12208" s="30" t="s">
        <v>27</v>
      </c>
      <c r="G12208" s="30" t="s">
        <v>50</v>
      </c>
      <c r="H12208" s="32">
        <v>54</v>
      </c>
      <c r="I12208" s="30" t="s">
        <v>51</v>
      </c>
      <c r="J12208" s="41">
        <v>44698</v>
      </c>
      <c r="K12208" s="30" t="s">
        <v>22</v>
      </c>
    </row>
    <row r="12209" spans="1:11">
      <c r="A12209" s="33" t="s">
        <v>27713</v>
      </c>
      <c r="B12209" s="33" t="s">
        <v>27714</v>
      </c>
      <c r="C12209" s="33" t="s">
        <v>2493</v>
      </c>
      <c r="D12209" s="33" t="s">
        <v>17</v>
      </c>
      <c r="E12209" s="33" t="s">
        <v>26</v>
      </c>
      <c r="F12209" s="33" t="s">
        <v>27</v>
      </c>
      <c r="G12209" s="33" t="s">
        <v>140</v>
      </c>
      <c r="H12209" s="35">
        <v>288</v>
      </c>
      <c r="I12209" s="33" t="s">
        <v>51</v>
      </c>
      <c r="J12209" s="42">
        <v>44713</v>
      </c>
      <c r="K12209" s="33" t="s">
        <v>22</v>
      </c>
    </row>
    <row r="12210" spans="1:11">
      <c r="A12210" s="30" t="s">
        <v>27715</v>
      </c>
      <c r="B12210" s="30" t="s">
        <v>27716</v>
      </c>
      <c r="C12210" s="30" t="s">
        <v>216</v>
      </c>
      <c r="D12210" s="30" t="s">
        <v>17</v>
      </c>
      <c r="E12210" s="30" t="s">
        <v>26</v>
      </c>
      <c r="F12210" s="30" t="s">
        <v>27</v>
      </c>
      <c r="G12210" s="30" t="s">
        <v>140</v>
      </c>
      <c r="H12210" s="32">
        <v>182</v>
      </c>
      <c r="I12210" s="30" t="s">
        <v>51</v>
      </c>
      <c r="J12210" s="41">
        <v>44895</v>
      </c>
      <c r="K12210" s="30" t="s">
        <v>22</v>
      </c>
    </row>
    <row r="12211" spans="1:11">
      <c r="A12211" s="33" t="s">
        <v>27717</v>
      </c>
      <c r="B12211" s="33" t="s">
        <v>27718</v>
      </c>
      <c r="C12211" s="33" t="s">
        <v>7588</v>
      </c>
      <c r="D12211" s="33" t="s">
        <v>17</v>
      </c>
      <c r="E12211" s="33" t="s">
        <v>18</v>
      </c>
      <c r="F12211" s="33" t="s">
        <v>19</v>
      </c>
      <c r="G12211" s="33" t="s">
        <v>106</v>
      </c>
      <c r="H12211" s="35">
        <v>20419</v>
      </c>
      <c r="I12211" s="33" t="s">
        <v>21</v>
      </c>
      <c r="J12211" s="42">
        <v>44670</v>
      </c>
      <c r="K12211" s="33" t="s">
        <v>22</v>
      </c>
    </row>
    <row r="12212" spans="1:11">
      <c r="A12212" s="30" t="s">
        <v>27719</v>
      </c>
      <c r="B12212" s="30" t="s">
        <v>27720</v>
      </c>
      <c r="C12212" s="30" t="s">
        <v>109</v>
      </c>
      <c r="D12212" s="30" t="s">
        <v>17</v>
      </c>
      <c r="E12212" s="30" t="s">
        <v>31</v>
      </c>
      <c r="F12212" s="30" t="s">
        <v>32</v>
      </c>
      <c r="G12212" s="30" t="s">
        <v>20</v>
      </c>
      <c r="H12212" s="32">
        <v>21</v>
      </c>
      <c r="I12212" s="30" t="s">
        <v>21</v>
      </c>
      <c r="J12212" s="41">
        <v>44769</v>
      </c>
      <c r="K12212" s="30" t="s">
        <v>22</v>
      </c>
    </row>
    <row r="12213" spans="1:11">
      <c r="A12213" s="33" t="s">
        <v>27721</v>
      </c>
      <c r="B12213" s="33" t="s">
        <v>27722</v>
      </c>
      <c r="C12213" s="33" t="s">
        <v>7072</v>
      </c>
      <c r="D12213" s="33" t="s">
        <v>17</v>
      </c>
      <c r="E12213" s="33" t="s">
        <v>31</v>
      </c>
      <c r="F12213" s="33" t="s">
        <v>32</v>
      </c>
      <c r="G12213" s="33" t="s">
        <v>158</v>
      </c>
      <c r="H12213" s="35">
        <v>175</v>
      </c>
      <c r="I12213" s="33" t="s">
        <v>51</v>
      </c>
      <c r="J12213" s="42">
        <v>44790</v>
      </c>
      <c r="K12213" s="33" t="s">
        <v>22</v>
      </c>
    </row>
    <row r="12214" spans="1:11">
      <c r="A12214" s="30" t="s">
        <v>27723</v>
      </c>
      <c r="B12214" s="30" t="s">
        <v>27724</v>
      </c>
      <c r="C12214" s="30" t="s">
        <v>4108</v>
      </c>
      <c r="D12214" s="30" t="s">
        <v>17</v>
      </c>
      <c r="E12214" s="30" t="s">
        <v>31</v>
      </c>
      <c r="F12214" s="30" t="s">
        <v>32</v>
      </c>
      <c r="G12214" s="30" t="s">
        <v>20</v>
      </c>
      <c r="H12214" s="32">
        <v>148</v>
      </c>
      <c r="I12214" s="30" t="s">
        <v>21</v>
      </c>
      <c r="J12214" s="41">
        <v>44595</v>
      </c>
      <c r="K12214" s="30" t="s">
        <v>22</v>
      </c>
    </row>
    <row r="12215" spans="1:11">
      <c r="A12215" s="33" t="s">
        <v>27725</v>
      </c>
      <c r="B12215" s="33" t="s">
        <v>27726</v>
      </c>
      <c r="C12215" s="33" t="s">
        <v>16521</v>
      </c>
      <c r="D12215" s="33" t="s">
        <v>17</v>
      </c>
      <c r="E12215" s="33" t="s">
        <v>26</v>
      </c>
      <c r="F12215" s="33" t="s">
        <v>27</v>
      </c>
      <c r="G12215" s="33" t="s">
        <v>50</v>
      </c>
      <c r="H12215" s="35">
        <v>34</v>
      </c>
      <c r="I12215" s="33" t="s">
        <v>51</v>
      </c>
      <c r="J12215" s="42">
        <v>44652</v>
      </c>
      <c r="K12215" s="33" t="s">
        <v>22</v>
      </c>
    </row>
    <row r="12216" spans="1:11">
      <c r="A12216" s="30" t="s">
        <v>27727</v>
      </c>
      <c r="B12216" s="30" t="s">
        <v>27728</v>
      </c>
      <c r="C12216" s="30" t="s">
        <v>5243</v>
      </c>
      <c r="D12216" s="30" t="s">
        <v>17</v>
      </c>
      <c r="E12216" s="30" t="s">
        <v>26</v>
      </c>
      <c r="F12216" s="30" t="s">
        <v>27</v>
      </c>
      <c r="G12216" s="30" t="s">
        <v>20</v>
      </c>
      <c r="H12216" s="32">
        <v>7</v>
      </c>
      <c r="I12216" s="30" t="s">
        <v>21</v>
      </c>
      <c r="J12216" s="41">
        <v>44585</v>
      </c>
      <c r="K12216" s="30" t="s">
        <v>22</v>
      </c>
    </row>
    <row r="12217" spans="1:11">
      <c r="A12217" s="33" t="s">
        <v>27729</v>
      </c>
      <c r="B12217" s="33" t="s">
        <v>27730</v>
      </c>
      <c r="C12217" s="33" t="s">
        <v>11764</v>
      </c>
      <c r="D12217" s="33" t="s">
        <v>17</v>
      </c>
      <c r="E12217" s="33" t="s">
        <v>26</v>
      </c>
      <c r="F12217" s="33" t="s">
        <v>27</v>
      </c>
      <c r="G12217" s="33" t="s">
        <v>20</v>
      </c>
      <c r="H12217" s="35">
        <v>16</v>
      </c>
      <c r="I12217" s="33" t="s">
        <v>21</v>
      </c>
      <c r="J12217" s="42">
        <v>44663</v>
      </c>
      <c r="K12217" s="33" t="s">
        <v>22</v>
      </c>
    </row>
    <row r="12218" spans="1:11">
      <c r="A12218" s="30" t="s">
        <v>27731</v>
      </c>
      <c r="B12218" s="30" t="s">
        <v>27732</v>
      </c>
      <c r="C12218" s="30" t="s">
        <v>190</v>
      </c>
      <c r="D12218" s="30" t="s">
        <v>17</v>
      </c>
      <c r="E12218" s="30" t="s">
        <v>18</v>
      </c>
      <c r="F12218" s="30" t="s">
        <v>19</v>
      </c>
      <c r="G12218" s="30" t="s">
        <v>158</v>
      </c>
      <c r="H12218" s="32">
        <v>390</v>
      </c>
      <c r="I12218" s="30" t="s">
        <v>21</v>
      </c>
      <c r="J12218" s="41">
        <v>44613</v>
      </c>
      <c r="K12218" s="30" t="s">
        <v>22</v>
      </c>
    </row>
    <row r="12219" spans="1:11">
      <c r="A12219" s="33" t="s">
        <v>27733</v>
      </c>
      <c r="B12219" s="33" t="s">
        <v>27734</v>
      </c>
      <c r="C12219" s="33" t="s">
        <v>96</v>
      </c>
      <c r="D12219" s="33" t="s">
        <v>17</v>
      </c>
      <c r="E12219" s="33" t="s">
        <v>26</v>
      </c>
      <c r="F12219" s="33" t="s">
        <v>27</v>
      </c>
      <c r="G12219" s="33" t="s">
        <v>140</v>
      </c>
      <c r="H12219" s="35">
        <v>124</v>
      </c>
      <c r="I12219" s="33" t="s">
        <v>51</v>
      </c>
      <c r="J12219" s="42">
        <v>44895</v>
      </c>
      <c r="K12219" s="33" t="s">
        <v>22</v>
      </c>
    </row>
    <row r="12220" spans="1:11">
      <c r="A12220" s="30" t="s">
        <v>27735</v>
      </c>
      <c r="B12220" s="30" t="s">
        <v>27736</v>
      </c>
      <c r="C12220" s="30" t="s">
        <v>11606</v>
      </c>
      <c r="D12220" s="30" t="s">
        <v>17</v>
      </c>
      <c r="E12220" s="30" t="s">
        <v>31</v>
      </c>
      <c r="F12220" s="30" t="s">
        <v>32</v>
      </c>
      <c r="G12220" s="30" t="s">
        <v>106</v>
      </c>
      <c r="H12220" s="32">
        <v>17</v>
      </c>
      <c r="I12220" s="30" t="s">
        <v>21</v>
      </c>
      <c r="J12220" s="41">
        <v>44880</v>
      </c>
      <c r="K12220" s="30" t="s">
        <v>22</v>
      </c>
    </row>
    <row r="12221" spans="1:11">
      <c r="A12221" s="33" t="s">
        <v>27737</v>
      </c>
      <c r="B12221" s="33" t="s">
        <v>27738</v>
      </c>
      <c r="C12221" s="33" t="s">
        <v>21633</v>
      </c>
      <c r="D12221" s="33" t="s">
        <v>17</v>
      </c>
      <c r="E12221" s="33" t="s">
        <v>18</v>
      </c>
      <c r="F12221" s="33" t="s">
        <v>19</v>
      </c>
      <c r="G12221" s="33" t="s">
        <v>20</v>
      </c>
      <c r="H12221" s="35">
        <v>504</v>
      </c>
      <c r="I12221" s="33" t="s">
        <v>21</v>
      </c>
      <c r="J12221" s="42">
        <v>44746</v>
      </c>
      <c r="K12221" s="33" t="s">
        <v>22</v>
      </c>
    </row>
    <row r="12222" spans="1:11">
      <c r="A12222" s="30" t="s">
        <v>27739</v>
      </c>
      <c r="B12222" s="30" t="s">
        <v>27740</v>
      </c>
      <c r="C12222" s="30" t="s">
        <v>118</v>
      </c>
      <c r="D12222" s="30" t="s">
        <v>17</v>
      </c>
      <c r="E12222" s="30" t="s">
        <v>212</v>
      </c>
      <c r="F12222" s="30" t="s">
        <v>213</v>
      </c>
      <c r="G12222" s="30" t="s">
        <v>140</v>
      </c>
      <c r="H12222" s="32">
        <v>50</v>
      </c>
      <c r="I12222" s="30" t="s">
        <v>51</v>
      </c>
      <c r="J12222" s="41">
        <v>44776</v>
      </c>
      <c r="K12222" s="30" t="s">
        <v>22</v>
      </c>
    </row>
    <row r="12223" spans="1:11">
      <c r="A12223" s="33" t="s">
        <v>27741</v>
      </c>
      <c r="B12223" s="33" t="s">
        <v>27742</v>
      </c>
      <c r="C12223" s="33" t="s">
        <v>96</v>
      </c>
      <c r="D12223" s="33" t="s">
        <v>17</v>
      </c>
      <c r="E12223" s="33" t="s">
        <v>18</v>
      </c>
      <c r="F12223" s="33" t="s">
        <v>19</v>
      </c>
      <c r="G12223" s="33" t="s">
        <v>106</v>
      </c>
      <c r="H12223" s="35">
        <v>126</v>
      </c>
      <c r="I12223" s="33" t="s">
        <v>21</v>
      </c>
      <c r="J12223" s="42">
        <v>44686</v>
      </c>
      <c r="K12223" s="33" t="s">
        <v>22</v>
      </c>
    </row>
    <row r="12224" spans="1:11">
      <c r="A12224" s="30" t="s">
        <v>27743</v>
      </c>
      <c r="B12224" s="30" t="s">
        <v>27744</v>
      </c>
      <c r="C12224" s="30" t="s">
        <v>9885</v>
      </c>
      <c r="D12224" s="30" t="s">
        <v>17</v>
      </c>
      <c r="E12224" s="30" t="s">
        <v>45</v>
      </c>
      <c r="F12224" s="30" t="s">
        <v>46</v>
      </c>
      <c r="G12224" s="30" t="s">
        <v>106</v>
      </c>
      <c r="H12224" s="32">
        <v>451</v>
      </c>
      <c r="I12224" s="30" t="s">
        <v>21</v>
      </c>
      <c r="J12224" s="41">
        <v>44644</v>
      </c>
      <c r="K12224" s="30" t="s">
        <v>22</v>
      </c>
    </row>
    <row r="12225" spans="1:11">
      <c r="A12225" s="33" t="s">
        <v>27745</v>
      </c>
      <c r="B12225" s="33" t="s">
        <v>27746</v>
      </c>
      <c r="C12225" s="33" t="s">
        <v>2472</v>
      </c>
      <c r="D12225" s="33" t="s">
        <v>17</v>
      </c>
      <c r="E12225" s="33" t="s">
        <v>67</v>
      </c>
      <c r="F12225" s="33" t="s">
        <v>68</v>
      </c>
      <c r="G12225" s="33" t="s">
        <v>20</v>
      </c>
      <c r="H12225" s="35">
        <v>572</v>
      </c>
      <c r="I12225" s="33" t="s">
        <v>21</v>
      </c>
      <c r="J12225" s="42">
        <v>44657</v>
      </c>
      <c r="K12225" s="33" t="s">
        <v>22</v>
      </c>
    </row>
    <row r="12226" spans="1:11">
      <c r="A12226" s="30" t="s">
        <v>27747</v>
      </c>
      <c r="B12226" s="30" t="s">
        <v>27748</v>
      </c>
      <c r="C12226" s="30" t="s">
        <v>1350</v>
      </c>
      <c r="D12226" s="30" t="s">
        <v>17</v>
      </c>
      <c r="E12226" s="30" t="s">
        <v>31</v>
      </c>
      <c r="F12226" s="30" t="s">
        <v>32</v>
      </c>
      <c r="G12226" s="30" t="s">
        <v>20</v>
      </c>
      <c r="H12226" s="32">
        <v>95</v>
      </c>
      <c r="I12226" s="30" t="s">
        <v>21</v>
      </c>
      <c r="J12226" s="41">
        <v>44768</v>
      </c>
      <c r="K12226" s="30" t="s">
        <v>22</v>
      </c>
    </row>
    <row r="12227" spans="1:11">
      <c r="A12227" s="33" t="s">
        <v>27749</v>
      </c>
      <c r="B12227" s="33" t="s">
        <v>27750</v>
      </c>
      <c r="C12227" s="33" t="s">
        <v>75</v>
      </c>
      <c r="D12227" s="33" t="s">
        <v>17</v>
      </c>
      <c r="E12227" s="33" t="s">
        <v>26</v>
      </c>
      <c r="F12227" s="33" t="s">
        <v>27</v>
      </c>
      <c r="G12227" s="33" t="s">
        <v>20</v>
      </c>
      <c r="H12227" s="35">
        <v>42</v>
      </c>
      <c r="I12227" s="33" t="s">
        <v>21</v>
      </c>
      <c r="J12227" s="42">
        <v>44855</v>
      </c>
      <c r="K12227" s="33" t="s">
        <v>22</v>
      </c>
    </row>
    <row r="12228" spans="1:11">
      <c r="A12228" s="30" t="s">
        <v>27751</v>
      </c>
      <c r="B12228" s="30" t="s">
        <v>27752</v>
      </c>
      <c r="C12228" s="30" t="s">
        <v>647</v>
      </c>
      <c r="D12228" s="30" t="s">
        <v>17</v>
      </c>
      <c r="E12228" s="30" t="s">
        <v>31</v>
      </c>
      <c r="F12228" s="30" t="s">
        <v>32</v>
      </c>
      <c r="G12228" s="30" t="s">
        <v>158</v>
      </c>
      <c r="H12228" s="32">
        <v>189</v>
      </c>
      <c r="I12228" s="30" t="s">
        <v>51</v>
      </c>
      <c r="J12228" s="41">
        <v>44763</v>
      </c>
      <c r="K12228" s="30" t="s">
        <v>22</v>
      </c>
    </row>
    <row r="12229" spans="1:11">
      <c r="A12229" s="33" t="s">
        <v>27753</v>
      </c>
      <c r="B12229" s="33" t="s">
        <v>27754</v>
      </c>
      <c r="C12229" s="33" t="s">
        <v>3673</v>
      </c>
      <c r="D12229" s="33" t="s">
        <v>17</v>
      </c>
      <c r="E12229" s="33" t="s">
        <v>26</v>
      </c>
      <c r="F12229" s="33" t="s">
        <v>27</v>
      </c>
      <c r="G12229" s="33" t="s">
        <v>50</v>
      </c>
      <c r="H12229" s="35">
        <v>70</v>
      </c>
      <c r="I12229" s="33" t="s">
        <v>51</v>
      </c>
      <c r="J12229" s="42">
        <v>44683</v>
      </c>
      <c r="K12229" s="33" t="s">
        <v>22</v>
      </c>
    </row>
    <row r="12230" spans="1:11">
      <c r="A12230" s="30" t="s">
        <v>27755</v>
      </c>
      <c r="B12230" s="30" t="s">
        <v>27756</v>
      </c>
      <c r="C12230" s="30" t="s">
        <v>7132</v>
      </c>
      <c r="D12230" s="30" t="s">
        <v>17</v>
      </c>
      <c r="E12230" s="30" t="s">
        <v>67</v>
      </c>
      <c r="F12230" s="30" t="s">
        <v>68</v>
      </c>
      <c r="G12230" s="30" t="s">
        <v>50</v>
      </c>
      <c r="H12230" s="32">
        <v>15</v>
      </c>
      <c r="I12230" s="30" t="s">
        <v>21</v>
      </c>
      <c r="J12230" s="41">
        <v>44879</v>
      </c>
      <c r="K12230" s="30" t="s">
        <v>22</v>
      </c>
    </row>
    <row r="12231" spans="1:11">
      <c r="A12231" s="33" t="s">
        <v>27757</v>
      </c>
      <c r="B12231" s="33" t="s">
        <v>27758</v>
      </c>
      <c r="C12231" s="33" t="s">
        <v>109</v>
      </c>
      <c r="D12231" s="33" t="s">
        <v>17</v>
      </c>
      <c r="E12231" s="33" t="s">
        <v>26</v>
      </c>
      <c r="F12231" s="33" t="s">
        <v>27</v>
      </c>
      <c r="G12231" s="33" t="s">
        <v>20</v>
      </c>
      <c r="H12231" s="35">
        <v>33</v>
      </c>
      <c r="I12231" s="33" t="s">
        <v>21</v>
      </c>
      <c r="J12231" s="42">
        <v>44684</v>
      </c>
      <c r="K12231" s="33" t="s">
        <v>22</v>
      </c>
    </row>
    <row r="12232" spans="1:11">
      <c r="A12232" s="30" t="s">
        <v>27759</v>
      </c>
      <c r="B12232" s="30" t="s">
        <v>27760</v>
      </c>
      <c r="C12232" s="30" t="s">
        <v>10300</v>
      </c>
      <c r="D12232" s="30" t="s">
        <v>17</v>
      </c>
      <c r="E12232" s="30" t="s">
        <v>18</v>
      </c>
      <c r="F12232" s="30" t="s">
        <v>19</v>
      </c>
      <c r="G12232" s="30" t="s">
        <v>20</v>
      </c>
      <c r="H12232" s="32">
        <v>220</v>
      </c>
      <c r="I12232" s="30" t="s">
        <v>21</v>
      </c>
      <c r="J12232" s="41">
        <v>44846</v>
      </c>
      <c r="K12232" s="30" t="s">
        <v>22</v>
      </c>
    </row>
    <row r="12233" spans="1:11">
      <c r="A12233" s="33" t="s">
        <v>27761</v>
      </c>
      <c r="B12233" s="33" t="s">
        <v>27762</v>
      </c>
      <c r="C12233" s="33" t="s">
        <v>647</v>
      </c>
      <c r="D12233" s="33" t="s">
        <v>17</v>
      </c>
      <c r="E12233" s="33" t="s">
        <v>26</v>
      </c>
      <c r="F12233" s="33" t="s">
        <v>27</v>
      </c>
      <c r="G12233" s="33" t="s">
        <v>20</v>
      </c>
      <c r="H12233" s="35">
        <v>38</v>
      </c>
      <c r="I12233" s="33" t="s">
        <v>21</v>
      </c>
      <c r="J12233" s="42">
        <v>44678</v>
      </c>
      <c r="K12233" s="33" t="s">
        <v>22</v>
      </c>
    </row>
    <row r="12234" spans="1:11">
      <c r="A12234" s="30" t="s">
        <v>27763</v>
      </c>
      <c r="B12234" s="30" t="s">
        <v>27764</v>
      </c>
      <c r="C12234" s="30" t="s">
        <v>779</v>
      </c>
      <c r="D12234" s="30" t="s">
        <v>17</v>
      </c>
      <c r="E12234" s="30" t="s">
        <v>212</v>
      </c>
      <c r="F12234" s="30" t="s">
        <v>213</v>
      </c>
      <c r="G12234" s="30" t="s">
        <v>20</v>
      </c>
      <c r="H12234" s="32">
        <v>50</v>
      </c>
      <c r="I12234" s="30" t="s">
        <v>21</v>
      </c>
      <c r="J12234" s="41">
        <v>44575</v>
      </c>
      <c r="K12234" s="30" t="s">
        <v>22</v>
      </c>
    </row>
    <row r="12235" spans="1:11">
      <c r="A12235" s="33" t="s">
        <v>27765</v>
      </c>
      <c r="B12235" s="33" t="s">
        <v>27766</v>
      </c>
      <c r="C12235" s="33" t="s">
        <v>450</v>
      </c>
      <c r="D12235" s="33" t="s">
        <v>17</v>
      </c>
      <c r="E12235" s="33" t="s">
        <v>31</v>
      </c>
      <c r="F12235" s="33" t="s">
        <v>32</v>
      </c>
      <c r="G12235" s="33" t="s">
        <v>106</v>
      </c>
      <c r="H12235" s="35">
        <v>70</v>
      </c>
      <c r="I12235" s="33" t="s">
        <v>21</v>
      </c>
      <c r="J12235" s="42">
        <v>44678</v>
      </c>
      <c r="K12235" s="33" t="s">
        <v>22</v>
      </c>
    </row>
    <row r="12236" spans="1:11">
      <c r="A12236" s="30" t="s">
        <v>27767</v>
      </c>
      <c r="B12236" s="30" t="s">
        <v>27768</v>
      </c>
      <c r="C12236" s="30" t="s">
        <v>14028</v>
      </c>
      <c r="D12236" s="30" t="s">
        <v>17</v>
      </c>
      <c r="E12236" s="30" t="s">
        <v>26</v>
      </c>
      <c r="F12236" s="30" t="s">
        <v>27</v>
      </c>
      <c r="G12236" s="30" t="s">
        <v>112</v>
      </c>
      <c r="H12236" s="32">
        <v>0</v>
      </c>
      <c r="I12236" s="30" t="s">
        <v>21</v>
      </c>
      <c r="J12236" s="41">
        <v>44682</v>
      </c>
      <c r="K12236" s="30" t="s">
        <v>22</v>
      </c>
    </row>
    <row r="12237" spans="1:11">
      <c r="A12237" s="33" t="s">
        <v>27769</v>
      </c>
      <c r="B12237" s="33" t="s">
        <v>27770</v>
      </c>
      <c r="C12237" s="33" t="s">
        <v>1270</v>
      </c>
      <c r="D12237" s="33" t="s">
        <v>17</v>
      </c>
      <c r="E12237" s="33" t="s">
        <v>67</v>
      </c>
      <c r="F12237" s="33" t="s">
        <v>68</v>
      </c>
      <c r="G12237" s="33" t="s">
        <v>140</v>
      </c>
      <c r="H12237" s="35">
        <v>354</v>
      </c>
      <c r="I12237" s="33" t="s">
        <v>51</v>
      </c>
      <c r="J12237" s="42">
        <v>44622</v>
      </c>
      <c r="K12237" s="33" t="s">
        <v>22</v>
      </c>
    </row>
    <row r="12238" spans="1:11">
      <c r="A12238" s="30" t="s">
        <v>27771</v>
      </c>
      <c r="B12238" s="30" t="s">
        <v>27772</v>
      </c>
      <c r="C12238" s="30" t="s">
        <v>10183</v>
      </c>
      <c r="D12238" s="30" t="s">
        <v>17</v>
      </c>
      <c r="E12238" s="30" t="s">
        <v>67</v>
      </c>
      <c r="F12238" s="30" t="s">
        <v>68</v>
      </c>
      <c r="G12238" s="30" t="s">
        <v>140</v>
      </c>
      <c r="H12238" s="32">
        <v>73</v>
      </c>
      <c r="I12238" s="30" t="s">
        <v>51</v>
      </c>
      <c r="J12238" s="41">
        <v>44804</v>
      </c>
      <c r="K12238" s="30" t="s">
        <v>22</v>
      </c>
    </row>
    <row r="12239" spans="1:11">
      <c r="A12239" s="33" t="s">
        <v>27773</v>
      </c>
      <c r="B12239" s="33" t="s">
        <v>27774</v>
      </c>
      <c r="C12239" s="33" t="s">
        <v>96</v>
      </c>
      <c r="D12239" s="33" t="s">
        <v>17</v>
      </c>
      <c r="E12239" s="33" t="s">
        <v>26</v>
      </c>
      <c r="F12239" s="33" t="s">
        <v>27</v>
      </c>
      <c r="G12239" s="33" t="s">
        <v>20</v>
      </c>
      <c r="H12239" s="35">
        <v>15</v>
      </c>
      <c r="I12239" s="33" t="s">
        <v>21</v>
      </c>
      <c r="J12239" s="42">
        <v>44804</v>
      </c>
      <c r="K12239" s="33" t="s">
        <v>22</v>
      </c>
    </row>
    <row r="12240" spans="1:11">
      <c r="A12240" s="30" t="s">
        <v>27775</v>
      </c>
      <c r="B12240" s="30" t="s">
        <v>27776</v>
      </c>
      <c r="C12240" s="30" t="s">
        <v>27777</v>
      </c>
      <c r="D12240" s="30" t="s">
        <v>17</v>
      </c>
      <c r="E12240" s="30" t="s">
        <v>212</v>
      </c>
      <c r="F12240" s="30" t="s">
        <v>213</v>
      </c>
      <c r="G12240" s="30" t="s">
        <v>20</v>
      </c>
      <c r="H12240" s="32">
        <v>58</v>
      </c>
      <c r="I12240" s="30" t="s">
        <v>21</v>
      </c>
      <c r="J12240" s="41">
        <v>44910</v>
      </c>
      <c r="K12240" s="30" t="s">
        <v>22</v>
      </c>
    </row>
    <row r="12241" spans="1:11">
      <c r="A12241" s="33" t="s">
        <v>27778</v>
      </c>
      <c r="B12241" s="33" t="s">
        <v>27779</v>
      </c>
      <c r="C12241" s="33" t="s">
        <v>2546</v>
      </c>
      <c r="D12241" s="33" t="s">
        <v>17</v>
      </c>
      <c r="E12241" s="33" t="s">
        <v>18</v>
      </c>
      <c r="F12241" s="33" t="s">
        <v>19</v>
      </c>
      <c r="G12241" s="33" t="s">
        <v>20</v>
      </c>
      <c r="H12241" s="35">
        <v>555</v>
      </c>
      <c r="I12241" s="33" t="s">
        <v>21</v>
      </c>
      <c r="J12241" s="42">
        <v>44845</v>
      </c>
      <c r="K12241" s="33" t="s">
        <v>22</v>
      </c>
    </row>
    <row r="12242" spans="1:11">
      <c r="A12242" s="30" t="s">
        <v>27780</v>
      </c>
      <c r="B12242" s="30" t="s">
        <v>27781</v>
      </c>
      <c r="C12242" s="30" t="s">
        <v>3917</v>
      </c>
      <c r="D12242" s="30" t="s">
        <v>17</v>
      </c>
      <c r="E12242" s="30" t="s">
        <v>26</v>
      </c>
      <c r="F12242" s="30" t="s">
        <v>27</v>
      </c>
      <c r="G12242" s="30" t="s">
        <v>20</v>
      </c>
      <c r="H12242" s="32">
        <v>9</v>
      </c>
      <c r="I12242" s="30" t="s">
        <v>21</v>
      </c>
      <c r="J12242" s="41">
        <v>44778</v>
      </c>
      <c r="K12242" s="30" t="s">
        <v>22</v>
      </c>
    </row>
    <row r="12243" spans="1:11">
      <c r="A12243" s="33" t="s">
        <v>27782</v>
      </c>
      <c r="B12243" s="33" t="s">
        <v>27783</v>
      </c>
      <c r="C12243" s="33" t="s">
        <v>124</v>
      </c>
      <c r="D12243" s="33" t="s">
        <v>17</v>
      </c>
      <c r="E12243" s="33" t="s">
        <v>18</v>
      </c>
      <c r="F12243" s="33" t="s">
        <v>19</v>
      </c>
      <c r="G12243" s="33" t="s">
        <v>20</v>
      </c>
      <c r="H12243" s="35">
        <v>545</v>
      </c>
      <c r="I12243" s="33" t="s">
        <v>21</v>
      </c>
      <c r="J12243" s="42">
        <v>44729</v>
      </c>
      <c r="K12243" s="33" t="s">
        <v>22</v>
      </c>
    </row>
    <row r="12244" spans="1:11">
      <c r="A12244" s="30" t="s">
        <v>27784</v>
      </c>
      <c r="B12244" s="30" t="s">
        <v>27785</v>
      </c>
      <c r="C12244" s="30" t="s">
        <v>14719</v>
      </c>
      <c r="D12244" s="30" t="s">
        <v>17</v>
      </c>
      <c r="E12244" s="30" t="s">
        <v>26</v>
      </c>
      <c r="F12244" s="30" t="s">
        <v>27</v>
      </c>
      <c r="G12244" s="30" t="s">
        <v>106</v>
      </c>
      <c r="H12244" s="32">
        <v>28</v>
      </c>
      <c r="I12244" s="30" t="s">
        <v>21</v>
      </c>
      <c r="J12244" s="41">
        <v>44636</v>
      </c>
      <c r="K12244" s="30" t="s">
        <v>22</v>
      </c>
    </row>
    <row r="12245" spans="1:11">
      <c r="A12245" s="33" t="s">
        <v>27786</v>
      </c>
      <c r="B12245" s="33" t="s">
        <v>27787</v>
      </c>
      <c r="C12245" s="33" t="s">
        <v>14457</v>
      </c>
      <c r="D12245" s="33" t="s">
        <v>17</v>
      </c>
      <c r="E12245" s="33" t="s">
        <v>67</v>
      </c>
      <c r="F12245" s="33" t="s">
        <v>68</v>
      </c>
      <c r="G12245" s="33" t="s">
        <v>140</v>
      </c>
      <c r="H12245" s="35">
        <v>754</v>
      </c>
      <c r="I12245" s="33" t="s">
        <v>51</v>
      </c>
      <c r="J12245" s="42">
        <v>44712</v>
      </c>
      <c r="K12245" s="33" t="s">
        <v>22</v>
      </c>
    </row>
    <row r="12246" spans="1:11">
      <c r="A12246" s="30" t="s">
        <v>27788</v>
      </c>
      <c r="B12246" s="30" t="s">
        <v>27789</v>
      </c>
      <c r="C12246" s="30" t="s">
        <v>157</v>
      </c>
      <c r="D12246" s="30" t="s">
        <v>17</v>
      </c>
      <c r="E12246" s="30" t="s">
        <v>18</v>
      </c>
      <c r="F12246" s="30" t="s">
        <v>19</v>
      </c>
      <c r="G12246" s="30" t="s">
        <v>20</v>
      </c>
      <c r="H12246" s="32">
        <v>16</v>
      </c>
      <c r="I12246" s="30" t="s">
        <v>21</v>
      </c>
      <c r="J12246" s="41">
        <v>44585</v>
      </c>
      <c r="K12246" s="30" t="s">
        <v>22</v>
      </c>
    </row>
    <row r="12247" spans="1:11">
      <c r="A12247" s="33" t="s">
        <v>27790</v>
      </c>
      <c r="B12247" s="33" t="s">
        <v>27791</v>
      </c>
      <c r="C12247" s="33" t="s">
        <v>149</v>
      </c>
      <c r="D12247" s="33" t="s">
        <v>17</v>
      </c>
      <c r="E12247" s="33" t="s">
        <v>67</v>
      </c>
      <c r="F12247" s="33" t="s">
        <v>68</v>
      </c>
      <c r="G12247" s="33" t="s">
        <v>140</v>
      </c>
      <c r="H12247" s="35">
        <v>324</v>
      </c>
      <c r="I12247" s="33" t="s">
        <v>51</v>
      </c>
      <c r="J12247" s="42">
        <v>44819</v>
      </c>
      <c r="K12247" s="33" t="s">
        <v>22</v>
      </c>
    </row>
    <row r="12248" spans="1:11">
      <c r="A12248" s="30" t="s">
        <v>27792</v>
      </c>
      <c r="B12248" s="30" t="s">
        <v>27793</v>
      </c>
      <c r="C12248" s="30" t="s">
        <v>6962</v>
      </c>
      <c r="D12248" s="30" t="s">
        <v>17</v>
      </c>
      <c r="E12248" s="30" t="s">
        <v>18</v>
      </c>
      <c r="F12248" s="30" t="s">
        <v>19</v>
      </c>
      <c r="G12248" s="30" t="s">
        <v>20</v>
      </c>
      <c r="H12248" s="32">
        <v>957</v>
      </c>
      <c r="I12248" s="30" t="s">
        <v>21</v>
      </c>
      <c r="J12248" s="41">
        <v>44859</v>
      </c>
      <c r="K12248" s="30" t="s">
        <v>22</v>
      </c>
    </row>
    <row r="12249" spans="1:11">
      <c r="A12249" s="33" t="s">
        <v>27794</v>
      </c>
      <c r="B12249" s="33" t="s">
        <v>27795</v>
      </c>
      <c r="C12249" s="33" t="s">
        <v>7831</v>
      </c>
      <c r="D12249" s="33" t="s">
        <v>17</v>
      </c>
      <c r="E12249" s="33" t="s">
        <v>31</v>
      </c>
      <c r="F12249" s="33" t="s">
        <v>32</v>
      </c>
      <c r="G12249" s="33" t="s">
        <v>106</v>
      </c>
      <c r="H12249" s="35">
        <v>4</v>
      </c>
      <c r="I12249" s="33" t="s">
        <v>21</v>
      </c>
      <c r="J12249" s="42">
        <v>44706</v>
      </c>
      <c r="K12249" s="33" t="s">
        <v>22</v>
      </c>
    </row>
    <row r="12250" spans="1:11">
      <c r="A12250" s="30" t="s">
        <v>27796</v>
      </c>
      <c r="B12250" s="30" t="s">
        <v>27797</v>
      </c>
      <c r="C12250" s="30" t="s">
        <v>11599</v>
      </c>
      <c r="D12250" s="30" t="s">
        <v>17</v>
      </c>
      <c r="E12250" s="30" t="s">
        <v>212</v>
      </c>
      <c r="F12250" s="30" t="s">
        <v>213</v>
      </c>
      <c r="G12250" s="30" t="s">
        <v>20</v>
      </c>
      <c r="H12250" s="32">
        <v>22</v>
      </c>
      <c r="I12250" s="30" t="s">
        <v>21</v>
      </c>
      <c r="J12250" s="41">
        <v>44777</v>
      </c>
      <c r="K12250" s="30" t="s">
        <v>22</v>
      </c>
    </row>
    <row r="12251" spans="1:11">
      <c r="A12251" s="33" t="s">
        <v>27798</v>
      </c>
      <c r="B12251" s="33" t="s">
        <v>27799</v>
      </c>
      <c r="C12251" s="33" t="s">
        <v>27800</v>
      </c>
      <c r="D12251" s="33" t="s">
        <v>17</v>
      </c>
      <c r="E12251" s="33" t="s">
        <v>31</v>
      </c>
      <c r="F12251" s="33" t="s">
        <v>32</v>
      </c>
      <c r="G12251" s="33" t="s">
        <v>140</v>
      </c>
      <c r="H12251" s="35">
        <v>80</v>
      </c>
      <c r="I12251" s="33" t="s">
        <v>51</v>
      </c>
      <c r="J12251" s="42">
        <v>44866</v>
      </c>
      <c r="K12251" s="33" t="s">
        <v>22</v>
      </c>
    </row>
    <row r="12252" spans="1:11">
      <c r="A12252" s="30" t="s">
        <v>27801</v>
      </c>
      <c r="B12252" s="30" t="s">
        <v>27802</v>
      </c>
      <c r="C12252" s="30" t="s">
        <v>27803</v>
      </c>
      <c r="D12252" s="30" t="s">
        <v>17</v>
      </c>
      <c r="E12252" s="30" t="s">
        <v>26</v>
      </c>
      <c r="F12252" s="30" t="s">
        <v>27</v>
      </c>
      <c r="G12252" s="30" t="s">
        <v>20</v>
      </c>
      <c r="H12252" s="32">
        <v>21</v>
      </c>
      <c r="I12252" s="30" t="s">
        <v>21</v>
      </c>
      <c r="J12252" s="41">
        <v>44562</v>
      </c>
      <c r="K12252" s="30" t="s">
        <v>22</v>
      </c>
    </row>
    <row r="12253" spans="1:11">
      <c r="A12253" s="33" t="s">
        <v>27804</v>
      </c>
      <c r="B12253" s="33" t="s">
        <v>27805</v>
      </c>
      <c r="C12253" s="33" t="s">
        <v>21185</v>
      </c>
      <c r="D12253" s="33" t="s">
        <v>17</v>
      </c>
      <c r="E12253" s="33" t="s">
        <v>26</v>
      </c>
      <c r="F12253" s="33" t="s">
        <v>27</v>
      </c>
      <c r="G12253" s="33" t="s">
        <v>50</v>
      </c>
      <c r="H12253" s="35">
        <v>60</v>
      </c>
      <c r="I12253" s="33" t="s">
        <v>51</v>
      </c>
      <c r="J12253" s="42">
        <v>44682</v>
      </c>
      <c r="K12253" s="33" t="s">
        <v>22</v>
      </c>
    </row>
    <row r="12254" spans="1:11">
      <c r="A12254" s="30" t="s">
        <v>27806</v>
      </c>
      <c r="B12254" s="30" t="s">
        <v>27807</v>
      </c>
      <c r="C12254" s="30" t="s">
        <v>190</v>
      </c>
      <c r="D12254" s="30" t="s">
        <v>17</v>
      </c>
      <c r="E12254" s="30" t="s">
        <v>26</v>
      </c>
      <c r="F12254" s="30" t="s">
        <v>27</v>
      </c>
      <c r="G12254" s="30" t="s">
        <v>20</v>
      </c>
      <c r="H12254" s="32">
        <v>41</v>
      </c>
      <c r="I12254" s="30" t="s">
        <v>21</v>
      </c>
      <c r="J12254" s="41">
        <v>44747</v>
      </c>
      <c r="K12254" s="30" t="s">
        <v>22</v>
      </c>
    </row>
    <row r="12255" spans="1:11">
      <c r="A12255" s="33" t="s">
        <v>27808</v>
      </c>
      <c r="B12255" s="33" t="s">
        <v>27809</v>
      </c>
      <c r="C12255" s="33" t="s">
        <v>1698</v>
      </c>
      <c r="D12255" s="33" t="s">
        <v>17</v>
      </c>
      <c r="E12255" s="33" t="s">
        <v>67</v>
      </c>
      <c r="F12255" s="33" t="s">
        <v>68</v>
      </c>
      <c r="G12255" s="33" t="s">
        <v>20</v>
      </c>
      <c r="H12255" s="35">
        <v>48</v>
      </c>
      <c r="I12255" s="33" t="s">
        <v>21</v>
      </c>
      <c r="J12255" s="42">
        <v>44829</v>
      </c>
      <c r="K12255" s="33" t="s">
        <v>22</v>
      </c>
    </row>
    <row r="12256" spans="1:11">
      <c r="A12256" s="30" t="s">
        <v>27810</v>
      </c>
      <c r="B12256" s="30" t="s">
        <v>27811</v>
      </c>
      <c r="C12256" s="30" t="s">
        <v>2822</v>
      </c>
      <c r="D12256" s="30" t="s">
        <v>17</v>
      </c>
      <c r="E12256" s="30" t="s">
        <v>31</v>
      </c>
      <c r="F12256" s="30" t="s">
        <v>32</v>
      </c>
      <c r="G12256" s="30" t="s">
        <v>20</v>
      </c>
      <c r="H12256" s="32">
        <v>250</v>
      </c>
      <c r="I12256" s="30" t="s">
        <v>21</v>
      </c>
      <c r="J12256" s="41">
        <v>44692</v>
      </c>
      <c r="K12256" s="30" t="s">
        <v>22</v>
      </c>
    </row>
    <row r="12257" spans="1:11">
      <c r="A12257" s="33" t="s">
        <v>27812</v>
      </c>
      <c r="B12257" s="33" t="s">
        <v>27813</v>
      </c>
      <c r="C12257" s="33" t="s">
        <v>9577</v>
      </c>
      <c r="D12257" s="33" t="s">
        <v>17</v>
      </c>
      <c r="E12257" s="33" t="s">
        <v>31</v>
      </c>
      <c r="F12257" s="33" t="s">
        <v>32</v>
      </c>
      <c r="G12257" s="33" t="s">
        <v>106</v>
      </c>
      <c r="H12257" s="35">
        <v>9</v>
      </c>
      <c r="I12257" s="33" t="s">
        <v>21</v>
      </c>
      <c r="J12257" s="42">
        <v>44621</v>
      </c>
      <c r="K12257" s="33" t="s">
        <v>22</v>
      </c>
    </row>
    <row r="12258" spans="1:11">
      <c r="A12258" s="30" t="s">
        <v>27814</v>
      </c>
      <c r="B12258" s="30" t="s">
        <v>27815</v>
      </c>
      <c r="C12258" s="30" t="s">
        <v>11863</v>
      </c>
      <c r="D12258" s="30" t="s">
        <v>17</v>
      </c>
      <c r="E12258" s="30" t="s">
        <v>31</v>
      </c>
      <c r="F12258" s="30" t="s">
        <v>32</v>
      </c>
      <c r="G12258" s="30" t="s">
        <v>20</v>
      </c>
      <c r="H12258" s="32">
        <v>27</v>
      </c>
      <c r="I12258" s="30" t="s">
        <v>21</v>
      </c>
      <c r="J12258" s="41">
        <v>44823</v>
      </c>
      <c r="K12258" s="30" t="s">
        <v>22</v>
      </c>
    </row>
    <row r="12259" spans="1:11">
      <c r="A12259" s="33" t="s">
        <v>27816</v>
      </c>
      <c r="B12259" s="33" t="s">
        <v>27817</v>
      </c>
      <c r="C12259" s="33" t="s">
        <v>647</v>
      </c>
      <c r="D12259" s="33" t="s">
        <v>17</v>
      </c>
      <c r="E12259" s="33" t="s">
        <v>26</v>
      </c>
      <c r="F12259" s="33" t="s">
        <v>27</v>
      </c>
      <c r="G12259" s="33" t="s">
        <v>20</v>
      </c>
      <c r="H12259" s="35">
        <v>8</v>
      </c>
      <c r="I12259" s="33" t="s">
        <v>21</v>
      </c>
      <c r="J12259" s="42">
        <v>44788</v>
      </c>
      <c r="K12259" s="33" t="s">
        <v>22</v>
      </c>
    </row>
    <row r="12260" spans="1:11">
      <c r="A12260" s="30" t="s">
        <v>27818</v>
      </c>
      <c r="B12260" s="30" t="s">
        <v>27819</v>
      </c>
      <c r="C12260" s="30" t="s">
        <v>22160</v>
      </c>
      <c r="D12260" s="30" t="s">
        <v>17</v>
      </c>
      <c r="E12260" s="30" t="s">
        <v>31</v>
      </c>
      <c r="F12260" s="30" t="s">
        <v>32</v>
      </c>
      <c r="G12260" s="30" t="s">
        <v>106</v>
      </c>
      <c r="H12260" s="32">
        <v>16</v>
      </c>
      <c r="I12260" s="30" t="s">
        <v>21</v>
      </c>
      <c r="J12260" s="41">
        <v>44917</v>
      </c>
      <c r="K12260" s="30" t="s">
        <v>22</v>
      </c>
    </row>
    <row r="12261" spans="1:11">
      <c r="A12261" s="33" t="s">
        <v>27820</v>
      </c>
      <c r="B12261" s="33" t="s">
        <v>27821</v>
      </c>
      <c r="C12261" s="33" t="s">
        <v>27822</v>
      </c>
      <c r="D12261" s="33" t="s">
        <v>17</v>
      </c>
      <c r="E12261" s="33" t="s">
        <v>26</v>
      </c>
      <c r="F12261" s="33" t="s">
        <v>27</v>
      </c>
      <c r="G12261" s="33" t="s">
        <v>50</v>
      </c>
      <c r="H12261" s="35">
        <v>54</v>
      </c>
      <c r="I12261" s="33" t="s">
        <v>51</v>
      </c>
      <c r="J12261" s="42">
        <v>44581</v>
      </c>
      <c r="K12261" s="33" t="s">
        <v>22</v>
      </c>
    </row>
    <row r="12262" spans="1:11">
      <c r="A12262" s="30" t="s">
        <v>27823</v>
      </c>
      <c r="B12262" s="30" t="s">
        <v>27824</v>
      </c>
      <c r="C12262" s="30" t="s">
        <v>985</v>
      </c>
      <c r="D12262" s="30" t="s">
        <v>17</v>
      </c>
      <c r="E12262" s="30" t="s">
        <v>18</v>
      </c>
      <c r="F12262" s="30" t="s">
        <v>19</v>
      </c>
      <c r="G12262" s="30" t="s">
        <v>20</v>
      </c>
      <c r="H12262" s="32">
        <v>2285</v>
      </c>
      <c r="I12262" s="30" t="s">
        <v>21</v>
      </c>
      <c r="J12262" s="41">
        <v>44890</v>
      </c>
      <c r="K12262" s="30" t="s">
        <v>22</v>
      </c>
    </row>
    <row r="12263" spans="1:11">
      <c r="A12263" s="33" t="s">
        <v>27825</v>
      </c>
      <c r="B12263" s="33" t="s">
        <v>27826</v>
      </c>
      <c r="C12263" s="33" t="s">
        <v>27827</v>
      </c>
      <c r="D12263" s="33" t="s">
        <v>17</v>
      </c>
      <c r="E12263" s="33" t="s">
        <v>26</v>
      </c>
      <c r="F12263" s="33" t="s">
        <v>27</v>
      </c>
      <c r="G12263" s="33" t="s">
        <v>20</v>
      </c>
      <c r="H12263" s="35">
        <v>47</v>
      </c>
      <c r="I12263" s="33" t="s">
        <v>21</v>
      </c>
      <c r="J12263" s="42">
        <v>44669</v>
      </c>
      <c r="K12263" s="33" t="s">
        <v>22</v>
      </c>
    </row>
    <row r="12264" spans="1:11">
      <c r="A12264" s="30" t="s">
        <v>27828</v>
      </c>
      <c r="B12264" s="30" t="s">
        <v>27829</v>
      </c>
      <c r="C12264" s="30" t="s">
        <v>2264</v>
      </c>
      <c r="D12264" s="30" t="s">
        <v>17</v>
      </c>
      <c r="E12264" s="30" t="s">
        <v>26</v>
      </c>
      <c r="F12264" s="30" t="s">
        <v>27</v>
      </c>
      <c r="G12264" s="30" t="s">
        <v>20</v>
      </c>
      <c r="H12264" s="32">
        <v>153</v>
      </c>
      <c r="I12264" s="30" t="s">
        <v>21</v>
      </c>
      <c r="J12264" s="41">
        <v>44711</v>
      </c>
      <c r="K12264" s="30" t="s">
        <v>22</v>
      </c>
    </row>
    <row r="12265" spans="1:11">
      <c r="A12265" s="33" t="s">
        <v>27830</v>
      </c>
      <c r="B12265" s="33" t="s">
        <v>27831</v>
      </c>
      <c r="C12265" s="33" t="s">
        <v>6473</v>
      </c>
      <c r="D12265" s="33" t="s">
        <v>17</v>
      </c>
      <c r="E12265" s="33" t="s">
        <v>330</v>
      </c>
      <c r="F12265" s="33" t="s">
        <v>331</v>
      </c>
      <c r="G12265" s="33" t="s">
        <v>140</v>
      </c>
      <c r="H12265" s="35">
        <v>30</v>
      </c>
      <c r="I12265" s="33" t="s">
        <v>51</v>
      </c>
      <c r="J12265" s="42">
        <v>44903</v>
      </c>
      <c r="K12265" s="33" t="s">
        <v>22</v>
      </c>
    </row>
    <row r="12266" spans="1:11">
      <c r="A12266" s="30" t="s">
        <v>27832</v>
      </c>
      <c r="B12266" s="30" t="s">
        <v>27833</v>
      </c>
      <c r="C12266" s="30" t="s">
        <v>647</v>
      </c>
      <c r="D12266" s="30" t="s">
        <v>17</v>
      </c>
      <c r="E12266" s="30" t="s">
        <v>18</v>
      </c>
      <c r="F12266" s="30" t="s">
        <v>19</v>
      </c>
      <c r="G12266" s="30" t="s">
        <v>158</v>
      </c>
      <c r="H12266" s="32">
        <v>249</v>
      </c>
      <c r="I12266" s="30" t="s">
        <v>51</v>
      </c>
      <c r="J12266" s="41">
        <v>44769</v>
      </c>
      <c r="K12266" s="30" t="s">
        <v>22</v>
      </c>
    </row>
    <row r="12267" spans="1:11">
      <c r="A12267" s="33" t="s">
        <v>27834</v>
      </c>
      <c r="B12267" s="33" t="s">
        <v>27835</v>
      </c>
      <c r="C12267" s="33" t="s">
        <v>26235</v>
      </c>
      <c r="D12267" s="33" t="s">
        <v>17</v>
      </c>
      <c r="E12267" s="33" t="s">
        <v>26</v>
      </c>
      <c r="F12267" s="33" t="s">
        <v>27</v>
      </c>
      <c r="G12267" s="33" t="s">
        <v>20</v>
      </c>
      <c r="H12267" s="35">
        <v>30</v>
      </c>
      <c r="I12267" s="33" t="s">
        <v>21</v>
      </c>
      <c r="J12267" s="42">
        <v>44607</v>
      </c>
      <c r="K12267" s="33" t="s">
        <v>22</v>
      </c>
    </row>
    <row r="12268" spans="1:11">
      <c r="A12268" s="30" t="s">
        <v>27836</v>
      </c>
      <c r="B12268" s="30" t="s">
        <v>27837</v>
      </c>
      <c r="C12268" s="30" t="s">
        <v>190</v>
      </c>
      <c r="D12268" s="30" t="s">
        <v>17</v>
      </c>
      <c r="E12268" s="30" t="s">
        <v>26</v>
      </c>
      <c r="F12268" s="30" t="s">
        <v>27</v>
      </c>
      <c r="G12268" s="30" t="s">
        <v>20</v>
      </c>
      <c r="H12268" s="32">
        <v>46</v>
      </c>
      <c r="I12268" s="30" t="s">
        <v>21</v>
      </c>
      <c r="J12268" s="41">
        <v>44641</v>
      </c>
      <c r="K12268" s="30" t="s">
        <v>22</v>
      </c>
    </row>
    <row r="12269" spans="1:11">
      <c r="A12269" s="33" t="s">
        <v>27838</v>
      </c>
      <c r="B12269" s="33" t="s">
        <v>27839</v>
      </c>
      <c r="C12269" s="33" t="s">
        <v>12357</v>
      </c>
      <c r="D12269" s="33" t="s">
        <v>17</v>
      </c>
      <c r="E12269" s="33" t="s">
        <v>26</v>
      </c>
      <c r="F12269" s="33" t="s">
        <v>27</v>
      </c>
      <c r="G12269" s="33" t="s">
        <v>20</v>
      </c>
      <c r="H12269" s="35">
        <v>77</v>
      </c>
      <c r="I12269" s="33" t="s">
        <v>21</v>
      </c>
      <c r="J12269" s="42">
        <v>44676</v>
      </c>
      <c r="K12269" s="33" t="s">
        <v>22</v>
      </c>
    </row>
    <row r="12270" spans="1:11">
      <c r="A12270" s="30" t="s">
        <v>27840</v>
      </c>
      <c r="B12270" s="30" t="s">
        <v>27841</v>
      </c>
      <c r="C12270" s="30" t="s">
        <v>16710</v>
      </c>
      <c r="D12270" s="30" t="s">
        <v>17</v>
      </c>
      <c r="E12270" s="30" t="s">
        <v>67</v>
      </c>
      <c r="F12270" s="30" t="s">
        <v>68</v>
      </c>
      <c r="G12270" s="30" t="s">
        <v>20</v>
      </c>
      <c r="H12270" s="32">
        <v>72</v>
      </c>
      <c r="I12270" s="30" t="s">
        <v>21</v>
      </c>
      <c r="J12270" s="41">
        <v>44807</v>
      </c>
      <c r="K12270" s="30" t="s">
        <v>22</v>
      </c>
    </row>
    <row r="12271" spans="1:11">
      <c r="A12271" s="33" t="s">
        <v>27842</v>
      </c>
      <c r="B12271" s="33" t="s">
        <v>27843</v>
      </c>
      <c r="C12271" s="33" t="s">
        <v>1764</v>
      </c>
      <c r="D12271" s="33" t="s">
        <v>17</v>
      </c>
      <c r="E12271" s="33" t="s">
        <v>31</v>
      </c>
      <c r="F12271" s="33" t="s">
        <v>32</v>
      </c>
      <c r="G12271" s="33" t="s">
        <v>20</v>
      </c>
      <c r="H12271" s="35">
        <v>92</v>
      </c>
      <c r="I12271" s="33" t="s">
        <v>21</v>
      </c>
      <c r="J12271" s="42">
        <v>44579</v>
      </c>
      <c r="K12271" s="33" t="s">
        <v>22</v>
      </c>
    </row>
    <row r="12272" spans="1:11">
      <c r="A12272" s="30" t="s">
        <v>27844</v>
      </c>
      <c r="B12272" s="30" t="s">
        <v>27845</v>
      </c>
      <c r="C12272" s="30" t="s">
        <v>2022</v>
      </c>
      <c r="D12272" s="30" t="s">
        <v>17</v>
      </c>
      <c r="E12272" s="30" t="s">
        <v>18</v>
      </c>
      <c r="F12272" s="30" t="s">
        <v>19</v>
      </c>
      <c r="G12272" s="30" t="s">
        <v>140</v>
      </c>
      <c r="H12272" s="32">
        <v>280</v>
      </c>
      <c r="I12272" s="30" t="s">
        <v>51</v>
      </c>
      <c r="J12272" s="41">
        <v>44685</v>
      </c>
      <c r="K12272" s="30" t="s">
        <v>22</v>
      </c>
    </row>
    <row r="12273" spans="1:11">
      <c r="A12273" s="33" t="s">
        <v>27846</v>
      </c>
      <c r="B12273" s="33" t="s">
        <v>27847</v>
      </c>
      <c r="C12273" s="33" t="s">
        <v>27848</v>
      </c>
      <c r="D12273" s="33" t="s">
        <v>17</v>
      </c>
      <c r="E12273" s="33" t="s">
        <v>67</v>
      </c>
      <c r="F12273" s="33" t="s">
        <v>68</v>
      </c>
      <c r="G12273" s="33" t="s">
        <v>20</v>
      </c>
      <c r="H12273" s="35">
        <v>8</v>
      </c>
      <c r="I12273" s="33" t="s">
        <v>21</v>
      </c>
      <c r="J12273" s="42">
        <v>44889</v>
      </c>
      <c r="K12273" s="33" t="s">
        <v>22</v>
      </c>
    </row>
    <row r="12274" spans="1:11">
      <c r="A12274" s="30" t="s">
        <v>27849</v>
      </c>
      <c r="B12274" s="30" t="s">
        <v>27850</v>
      </c>
      <c r="C12274" s="30" t="s">
        <v>11899</v>
      </c>
      <c r="D12274" s="30" t="s">
        <v>17</v>
      </c>
      <c r="E12274" s="30" t="s">
        <v>26</v>
      </c>
      <c r="F12274" s="30" t="s">
        <v>27</v>
      </c>
      <c r="G12274" s="30" t="s">
        <v>20</v>
      </c>
      <c r="H12274" s="32">
        <v>19</v>
      </c>
      <c r="I12274" s="30" t="s">
        <v>21</v>
      </c>
      <c r="J12274" s="41">
        <v>44763</v>
      </c>
      <c r="K12274" s="30" t="s">
        <v>22</v>
      </c>
    </row>
    <row r="12275" spans="1:11">
      <c r="A12275" s="33" t="s">
        <v>27851</v>
      </c>
      <c r="B12275" s="33" t="s">
        <v>27852</v>
      </c>
      <c r="C12275" s="33" t="s">
        <v>9190</v>
      </c>
      <c r="D12275" s="33" t="s">
        <v>17</v>
      </c>
      <c r="E12275" s="33" t="s">
        <v>31</v>
      </c>
      <c r="F12275" s="33" t="s">
        <v>32</v>
      </c>
      <c r="G12275" s="33" t="s">
        <v>158</v>
      </c>
      <c r="H12275" s="35">
        <v>16</v>
      </c>
      <c r="I12275" s="33" t="s">
        <v>51</v>
      </c>
      <c r="J12275" s="42">
        <v>44819</v>
      </c>
      <c r="K12275" s="33" t="s">
        <v>22</v>
      </c>
    </row>
    <row r="12276" spans="1:11">
      <c r="A12276" s="30" t="s">
        <v>27853</v>
      </c>
      <c r="B12276" s="30" t="s">
        <v>27854</v>
      </c>
      <c r="C12276" s="30" t="s">
        <v>75</v>
      </c>
      <c r="D12276" s="30" t="s">
        <v>17</v>
      </c>
      <c r="E12276" s="30" t="s">
        <v>31</v>
      </c>
      <c r="F12276" s="30" t="s">
        <v>32</v>
      </c>
      <c r="G12276" s="30" t="s">
        <v>158</v>
      </c>
      <c r="H12276" s="32">
        <v>94</v>
      </c>
      <c r="I12276" s="30" t="s">
        <v>21</v>
      </c>
      <c r="J12276" s="41">
        <v>44851</v>
      </c>
      <c r="K12276" s="30" t="s">
        <v>22</v>
      </c>
    </row>
    <row r="12277" spans="1:11">
      <c r="A12277" s="33" t="s">
        <v>27855</v>
      </c>
      <c r="B12277" s="33" t="s">
        <v>27856</v>
      </c>
      <c r="C12277" s="33" t="s">
        <v>945</v>
      </c>
      <c r="D12277" s="33" t="s">
        <v>17</v>
      </c>
      <c r="E12277" s="33" t="s">
        <v>31</v>
      </c>
      <c r="F12277" s="33" t="s">
        <v>32</v>
      </c>
      <c r="G12277" s="33" t="s">
        <v>112</v>
      </c>
      <c r="H12277" s="35">
        <v>0</v>
      </c>
      <c r="I12277" s="33" t="s">
        <v>21</v>
      </c>
      <c r="J12277" s="42">
        <v>44581</v>
      </c>
      <c r="K12277" s="33" t="s">
        <v>22</v>
      </c>
    </row>
    <row r="12278" spans="1:11">
      <c r="A12278" s="30" t="s">
        <v>27857</v>
      </c>
      <c r="B12278" s="30" t="s">
        <v>27858</v>
      </c>
      <c r="C12278" s="30" t="s">
        <v>6571</v>
      </c>
      <c r="D12278" s="30" t="s">
        <v>17</v>
      </c>
      <c r="E12278" s="30" t="s">
        <v>18</v>
      </c>
      <c r="F12278" s="30" t="s">
        <v>19</v>
      </c>
      <c r="G12278" s="30" t="s">
        <v>140</v>
      </c>
      <c r="H12278" s="32">
        <v>730</v>
      </c>
      <c r="I12278" s="30" t="s">
        <v>51</v>
      </c>
      <c r="J12278" s="41">
        <v>44896</v>
      </c>
      <c r="K12278" s="30" t="s">
        <v>22</v>
      </c>
    </row>
    <row r="12279" spans="1:11">
      <c r="A12279" s="33" t="s">
        <v>27859</v>
      </c>
      <c r="B12279" s="33" t="s">
        <v>27860</v>
      </c>
      <c r="C12279" s="33" t="s">
        <v>93</v>
      </c>
      <c r="D12279" s="33" t="s">
        <v>17</v>
      </c>
      <c r="E12279" s="33" t="s">
        <v>26</v>
      </c>
      <c r="F12279" s="33" t="s">
        <v>27</v>
      </c>
      <c r="G12279" s="33" t="s">
        <v>20</v>
      </c>
      <c r="H12279" s="35">
        <v>24</v>
      </c>
      <c r="I12279" s="33" t="s">
        <v>21</v>
      </c>
      <c r="J12279" s="42">
        <v>44824</v>
      </c>
      <c r="K12279" s="33" t="s">
        <v>22</v>
      </c>
    </row>
    <row r="12280" spans="1:11">
      <c r="A12280" s="30" t="s">
        <v>27861</v>
      </c>
      <c r="B12280" s="30" t="s">
        <v>27862</v>
      </c>
      <c r="C12280" s="30" t="s">
        <v>6001</v>
      </c>
      <c r="D12280" s="30" t="s">
        <v>17</v>
      </c>
      <c r="E12280" s="30" t="s">
        <v>26</v>
      </c>
      <c r="F12280" s="30" t="s">
        <v>27</v>
      </c>
      <c r="G12280" s="30" t="s">
        <v>50</v>
      </c>
      <c r="H12280" s="32">
        <v>15</v>
      </c>
      <c r="I12280" s="30" t="s">
        <v>51</v>
      </c>
      <c r="J12280" s="41">
        <v>44652</v>
      </c>
      <c r="K12280" s="30" t="s">
        <v>22</v>
      </c>
    </row>
    <row r="12281" spans="1:11">
      <c r="A12281" s="33" t="s">
        <v>27863</v>
      </c>
      <c r="B12281" s="33" t="s">
        <v>27864</v>
      </c>
      <c r="C12281" s="33" t="s">
        <v>2220</v>
      </c>
      <c r="D12281" s="33" t="s">
        <v>17</v>
      </c>
      <c r="E12281" s="33" t="s">
        <v>45</v>
      </c>
      <c r="F12281" s="33" t="s">
        <v>46</v>
      </c>
      <c r="G12281" s="33" t="s">
        <v>106</v>
      </c>
      <c r="H12281" s="35">
        <v>209</v>
      </c>
      <c r="I12281" s="33" t="s">
        <v>21</v>
      </c>
      <c r="J12281" s="42">
        <v>44867</v>
      </c>
      <c r="K12281" s="33" t="s">
        <v>22</v>
      </c>
    </row>
    <row r="12282" spans="1:11">
      <c r="A12282" s="30" t="s">
        <v>27865</v>
      </c>
      <c r="B12282" s="30" t="s">
        <v>27866</v>
      </c>
      <c r="C12282" s="30" t="s">
        <v>2500</v>
      </c>
      <c r="D12282" s="30" t="s">
        <v>17</v>
      </c>
      <c r="E12282" s="30" t="s">
        <v>67</v>
      </c>
      <c r="F12282" s="30" t="s">
        <v>68</v>
      </c>
      <c r="G12282" s="30" t="s">
        <v>140</v>
      </c>
      <c r="H12282" s="32">
        <v>606</v>
      </c>
      <c r="I12282" s="30" t="s">
        <v>51</v>
      </c>
      <c r="J12282" s="41">
        <v>44620</v>
      </c>
      <c r="K12282" s="30" t="s">
        <v>22</v>
      </c>
    </row>
    <row r="12283" spans="1:11">
      <c r="A12283" s="33" t="s">
        <v>27867</v>
      </c>
      <c r="B12283" s="33" t="s">
        <v>27868</v>
      </c>
      <c r="C12283" s="33" t="s">
        <v>149</v>
      </c>
      <c r="D12283" s="33" t="s">
        <v>17</v>
      </c>
      <c r="E12283" s="33" t="s">
        <v>18</v>
      </c>
      <c r="F12283" s="33" t="s">
        <v>19</v>
      </c>
      <c r="G12283" s="33" t="s">
        <v>158</v>
      </c>
      <c r="H12283" s="35">
        <v>381</v>
      </c>
      <c r="I12283" s="33" t="s">
        <v>21</v>
      </c>
      <c r="J12283" s="42">
        <v>44777</v>
      </c>
      <c r="K12283" s="33" t="s">
        <v>22</v>
      </c>
    </row>
    <row r="12284" spans="1:11">
      <c r="A12284" s="30" t="s">
        <v>27869</v>
      </c>
      <c r="B12284" s="30" t="s">
        <v>27870</v>
      </c>
      <c r="C12284" s="30" t="s">
        <v>27871</v>
      </c>
      <c r="D12284" s="30" t="s">
        <v>17</v>
      </c>
      <c r="E12284" s="30" t="s">
        <v>26</v>
      </c>
      <c r="F12284" s="30" t="s">
        <v>27</v>
      </c>
      <c r="G12284" s="30" t="s">
        <v>20</v>
      </c>
      <c r="H12284" s="32">
        <v>23</v>
      </c>
      <c r="I12284" s="30" t="s">
        <v>21</v>
      </c>
      <c r="J12284" s="41">
        <v>44623</v>
      </c>
      <c r="K12284" s="30" t="s">
        <v>22</v>
      </c>
    </row>
    <row r="12285" spans="1:11">
      <c r="A12285" s="33" t="s">
        <v>27872</v>
      </c>
      <c r="B12285" s="33" t="s">
        <v>27873</v>
      </c>
      <c r="C12285" s="33" t="s">
        <v>190</v>
      </c>
      <c r="D12285" s="33" t="s">
        <v>17</v>
      </c>
      <c r="E12285" s="33" t="s">
        <v>18</v>
      </c>
      <c r="F12285" s="33" t="s">
        <v>19</v>
      </c>
      <c r="G12285" s="33" t="s">
        <v>158</v>
      </c>
      <c r="H12285" s="35">
        <v>1051</v>
      </c>
      <c r="I12285" s="33" t="s">
        <v>21</v>
      </c>
      <c r="J12285" s="42">
        <v>44599</v>
      </c>
      <c r="K12285" s="33" t="s">
        <v>22</v>
      </c>
    </row>
    <row r="12286" spans="1:11">
      <c r="A12286" s="30" t="s">
        <v>27874</v>
      </c>
      <c r="B12286" s="30" t="s">
        <v>27875</v>
      </c>
      <c r="C12286" s="30" t="s">
        <v>14394</v>
      </c>
      <c r="D12286" s="30" t="s">
        <v>17</v>
      </c>
      <c r="E12286" s="30" t="s">
        <v>31</v>
      </c>
      <c r="F12286" s="30" t="s">
        <v>32</v>
      </c>
      <c r="G12286" s="30" t="s">
        <v>158</v>
      </c>
      <c r="H12286" s="32">
        <v>170</v>
      </c>
      <c r="I12286" s="30" t="s">
        <v>51</v>
      </c>
      <c r="J12286" s="41">
        <v>44763</v>
      </c>
      <c r="K12286" s="30" t="s">
        <v>22</v>
      </c>
    </row>
    <row r="12287" spans="1:11">
      <c r="A12287" s="33" t="s">
        <v>27876</v>
      </c>
      <c r="B12287" s="33" t="s">
        <v>27877</v>
      </c>
      <c r="C12287" s="33" t="s">
        <v>12440</v>
      </c>
      <c r="D12287" s="33" t="s">
        <v>17</v>
      </c>
      <c r="E12287" s="33" t="s">
        <v>67</v>
      </c>
      <c r="F12287" s="33" t="s">
        <v>68</v>
      </c>
      <c r="G12287" s="33" t="s">
        <v>20</v>
      </c>
      <c r="H12287" s="35">
        <v>95</v>
      </c>
      <c r="I12287" s="33" t="s">
        <v>21</v>
      </c>
      <c r="J12287" s="42">
        <v>44579</v>
      </c>
      <c r="K12287" s="33" t="s">
        <v>22</v>
      </c>
    </row>
    <row r="12288" spans="1:11">
      <c r="A12288" s="30" t="s">
        <v>27878</v>
      </c>
      <c r="B12288" s="30" t="s">
        <v>27879</v>
      </c>
      <c r="C12288" s="30" t="s">
        <v>3514</v>
      </c>
      <c r="D12288" s="30" t="s">
        <v>17</v>
      </c>
      <c r="E12288" s="30" t="s">
        <v>31</v>
      </c>
      <c r="F12288" s="30" t="s">
        <v>32</v>
      </c>
      <c r="G12288" s="30" t="s">
        <v>20</v>
      </c>
      <c r="H12288" s="32">
        <v>62</v>
      </c>
      <c r="I12288" s="30" t="s">
        <v>21</v>
      </c>
      <c r="J12288" s="41">
        <v>44840</v>
      </c>
      <c r="K12288" s="30" t="s">
        <v>22</v>
      </c>
    </row>
    <row r="12289" spans="1:11">
      <c r="A12289" s="33" t="s">
        <v>27880</v>
      </c>
      <c r="B12289" s="33" t="s">
        <v>27881</v>
      </c>
      <c r="C12289" s="33" t="s">
        <v>255</v>
      </c>
      <c r="D12289" s="33" t="s">
        <v>17</v>
      </c>
      <c r="E12289" s="33" t="s">
        <v>18</v>
      </c>
      <c r="F12289" s="33" t="s">
        <v>19</v>
      </c>
      <c r="G12289" s="33" t="s">
        <v>158</v>
      </c>
      <c r="H12289" s="35">
        <v>314</v>
      </c>
      <c r="I12289" s="33" t="s">
        <v>21</v>
      </c>
      <c r="J12289" s="42">
        <v>44866</v>
      </c>
      <c r="K12289" s="33" t="s">
        <v>22</v>
      </c>
    </row>
    <row r="12290" spans="1:11">
      <c r="A12290" s="30" t="s">
        <v>27882</v>
      </c>
      <c r="B12290" s="30" t="s">
        <v>27883</v>
      </c>
      <c r="C12290" s="30" t="s">
        <v>7345</v>
      </c>
      <c r="D12290" s="30" t="s">
        <v>17</v>
      </c>
      <c r="E12290" s="30" t="s">
        <v>18</v>
      </c>
      <c r="F12290" s="30" t="s">
        <v>19</v>
      </c>
      <c r="G12290" s="30" t="s">
        <v>158</v>
      </c>
      <c r="H12290" s="32">
        <v>2750</v>
      </c>
      <c r="I12290" s="30" t="s">
        <v>21</v>
      </c>
      <c r="J12290" s="41">
        <v>44643</v>
      </c>
      <c r="K12290" s="30" t="s">
        <v>22</v>
      </c>
    </row>
    <row r="12291" spans="1:11">
      <c r="A12291" s="33" t="s">
        <v>27884</v>
      </c>
      <c r="B12291" s="33" t="s">
        <v>27885</v>
      </c>
      <c r="C12291" s="33" t="s">
        <v>27886</v>
      </c>
      <c r="D12291" s="33" t="s">
        <v>17</v>
      </c>
      <c r="E12291" s="33" t="s">
        <v>18</v>
      </c>
      <c r="F12291" s="33" t="s">
        <v>19</v>
      </c>
      <c r="G12291" s="33" t="s">
        <v>140</v>
      </c>
      <c r="H12291" s="35">
        <v>129</v>
      </c>
      <c r="I12291" s="33" t="s">
        <v>51</v>
      </c>
      <c r="J12291" s="42">
        <v>44727</v>
      </c>
      <c r="K12291" s="33" t="s">
        <v>22</v>
      </c>
    </row>
    <row r="12292" spans="1:11">
      <c r="A12292" s="30" t="s">
        <v>27887</v>
      </c>
      <c r="B12292" s="30" t="s">
        <v>27888</v>
      </c>
      <c r="C12292" s="30" t="s">
        <v>139</v>
      </c>
      <c r="D12292" s="30" t="s">
        <v>17</v>
      </c>
      <c r="E12292" s="30" t="s">
        <v>67</v>
      </c>
      <c r="F12292" s="30" t="s">
        <v>68</v>
      </c>
      <c r="G12292" s="30" t="s">
        <v>106</v>
      </c>
      <c r="H12292" s="32">
        <v>18</v>
      </c>
      <c r="I12292" s="30" t="s">
        <v>21</v>
      </c>
      <c r="J12292" s="41">
        <v>44770</v>
      </c>
      <c r="K12292" s="30" t="s">
        <v>22</v>
      </c>
    </row>
    <row r="12293" spans="1:11">
      <c r="A12293" s="33" t="s">
        <v>27889</v>
      </c>
      <c r="B12293" s="33" t="s">
        <v>27890</v>
      </c>
      <c r="C12293" s="33" t="s">
        <v>96</v>
      </c>
      <c r="D12293" s="33" t="s">
        <v>17</v>
      </c>
      <c r="E12293" s="33" t="s">
        <v>18</v>
      </c>
      <c r="F12293" s="33" t="s">
        <v>19</v>
      </c>
      <c r="G12293" s="33" t="s">
        <v>140</v>
      </c>
      <c r="H12293" s="35">
        <v>160</v>
      </c>
      <c r="I12293" s="33" t="s">
        <v>51</v>
      </c>
      <c r="J12293" s="42">
        <v>44627</v>
      </c>
      <c r="K12293" s="33" t="s">
        <v>22</v>
      </c>
    </row>
    <row r="12294" spans="1:11">
      <c r="A12294" s="30" t="s">
        <v>27891</v>
      </c>
      <c r="B12294" s="30" t="s">
        <v>27892</v>
      </c>
      <c r="C12294" s="30" t="s">
        <v>75</v>
      </c>
      <c r="D12294" s="30" t="s">
        <v>17</v>
      </c>
      <c r="E12294" s="30" t="s">
        <v>67</v>
      </c>
      <c r="F12294" s="30" t="s">
        <v>68</v>
      </c>
      <c r="G12294" s="30" t="s">
        <v>20</v>
      </c>
      <c r="H12294" s="32">
        <v>68</v>
      </c>
      <c r="I12294" s="30" t="s">
        <v>21</v>
      </c>
      <c r="J12294" s="41">
        <v>44775</v>
      </c>
      <c r="K12294" s="30" t="s">
        <v>22</v>
      </c>
    </row>
    <row r="12295" spans="1:11">
      <c r="A12295" s="33" t="s">
        <v>27893</v>
      </c>
      <c r="B12295" s="33" t="s">
        <v>27894</v>
      </c>
      <c r="C12295" s="33" t="s">
        <v>4863</v>
      </c>
      <c r="D12295" s="33" t="s">
        <v>17</v>
      </c>
      <c r="E12295" s="33" t="s">
        <v>212</v>
      </c>
      <c r="F12295" s="33" t="s">
        <v>213</v>
      </c>
      <c r="G12295" s="33" t="s">
        <v>50</v>
      </c>
      <c r="H12295" s="35">
        <v>40</v>
      </c>
      <c r="I12295" s="33" t="s">
        <v>51</v>
      </c>
      <c r="J12295" s="42">
        <v>44926</v>
      </c>
      <c r="K12295" s="33" t="s">
        <v>22</v>
      </c>
    </row>
    <row r="12296" spans="1:11">
      <c r="A12296" s="30" t="s">
        <v>27895</v>
      </c>
      <c r="B12296" s="30" t="s">
        <v>27896</v>
      </c>
      <c r="C12296" s="30" t="s">
        <v>801</v>
      </c>
      <c r="D12296" s="30" t="s">
        <v>17</v>
      </c>
      <c r="E12296" s="30" t="s">
        <v>26</v>
      </c>
      <c r="F12296" s="30" t="s">
        <v>27</v>
      </c>
      <c r="G12296" s="30" t="s">
        <v>20</v>
      </c>
      <c r="H12296" s="32">
        <v>84</v>
      </c>
      <c r="I12296" s="30" t="s">
        <v>21</v>
      </c>
      <c r="J12296" s="41">
        <v>44609</v>
      </c>
      <c r="K12296" s="30" t="s">
        <v>22</v>
      </c>
    </row>
    <row r="12297" spans="1:11">
      <c r="A12297" s="33" t="s">
        <v>27897</v>
      </c>
      <c r="B12297" s="33" t="s">
        <v>27898</v>
      </c>
      <c r="C12297" s="33" t="s">
        <v>136</v>
      </c>
      <c r="D12297" s="33" t="s">
        <v>17</v>
      </c>
      <c r="E12297" s="33" t="s">
        <v>31</v>
      </c>
      <c r="F12297" s="33" t="s">
        <v>32</v>
      </c>
      <c r="G12297" s="33" t="s">
        <v>20</v>
      </c>
      <c r="H12297" s="35">
        <v>138</v>
      </c>
      <c r="I12297" s="33" t="s">
        <v>21</v>
      </c>
      <c r="J12297" s="42">
        <v>44903</v>
      </c>
      <c r="K12297" s="33" t="s">
        <v>22</v>
      </c>
    </row>
    <row r="12298" spans="1:11">
      <c r="A12298" s="30" t="s">
        <v>27899</v>
      </c>
      <c r="B12298" s="30" t="s">
        <v>27900</v>
      </c>
      <c r="C12298" s="30" t="s">
        <v>14559</v>
      </c>
      <c r="D12298" s="30" t="s">
        <v>17</v>
      </c>
      <c r="E12298" s="30" t="s">
        <v>26</v>
      </c>
      <c r="F12298" s="30" t="s">
        <v>27</v>
      </c>
      <c r="G12298" s="30" t="s">
        <v>106</v>
      </c>
      <c r="H12298" s="32">
        <v>3</v>
      </c>
      <c r="I12298" s="30" t="s">
        <v>21</v>
      </c>
      <c r="J12298" s="41">
        <v>44706</v>
      </c>
      <c r="K12298" s="30" t="s">
        <v>22</v>
      </c>
    </row>
    <row r="12299" spans="1:11">
      <c r="A12299" s="33" t="s">
        <v>27901</v>
      </c>
      <c r="B12299" s="33" t="s">
        <v>27902</v>
      </c>
      <c r="C12299" s="33" t="s">
        <v>379</v>
      </c>
      <c r="D12299" s="33" t="s">
        <v>17</v>
      </c>
      <c r="E12299" s="33" t="s">
        <v>26</v>
      </c>
      <c r="F12299" s="33" t="s">
        <v>27</v>
      </c>
      <c r="G12299" s="33" t="s">
        <v>50</v>
      </c>
      <c r="H12299" s="35">
        <v>11</v>
      </c>
      <c r="I12299" s="33" t="s">
        <v>51</v>
      </c>
      <c r="J12299" s="42">
        <v>44897</v>
      </c>
      <c r="K12299" s="33" t="s">
        <v>22</v>
      </c>
    </row>
    <row r="12300" spans="1:11">
      <c r="A12300" s="30" t="s">
        <v>27903</v>
      </c>
      <c r="B12300" s="30" t="s">
        <v>27904</v>
      </c>
      <c r="C12300" s="30" t="s">
        <v>450</v>
      </c>
      <c r="D12300" s="30" t="s">
        <v>17</v>
      </c>
      <c r="E12300" s="30" t="s">
        <v>26</v>
      </c>
      <c r="F12300" s="30" t="s">
        <v>27</v>
      </c>
      <c r="G12300" s="30" t="s">
        <v>20</v>
      </c>
      <c r="H12300" s="32">
        <v>42</v>
      </c>
      <c r="I12300" s="30" t="s">
        <v>21</v>
      </c>
      <c r="J12300" s="41">
        <v>44847</v>
      </c>
      <c r="K12300" s="30" t="s">
        <v>22</v>
      </c>
    </row>
    <row r="12301" spans="1:11">
      <c r="A12301" s="33" t="s">
        <v>27905</v>
      </c>
      <c r="B12301" s="33" t="s">
        <v>27906</v>
      </c>
      <c r="C12301" s="33" t="s">
        <v>136</v>
      </c>
      <c r="D12301" s="33" t="s">
        <v>17</v>
      </c>
      <c r="E12301" s="33" t="s">
        <v>26</v>
      </c>
      <c r="F12301" s="33" t="s">
        <v>27</v>
      </c>
      <c r="G12301" s="33" t="s">
        <v>20</v>
      </c>
      <c r="H12301" s="35">
        <v>80</v>
      </c>
      <c r="I12301" s="33" t="s">
        <v>21</v>
      </c>
      <c r="J12301" s="42">
        <v>44690</v>
      </c>
      <c r="K12301" s="33" t="s">
        <v>22</v>
      </c>
    </row>
    <row r="12302" spans="1:11">
      <c r="A12302" s="30" t="s">
        <v>27907</v>
      </c>
      <c r="B12302" s="30" t="s">
        <v>27908</v>
      </c>
      <c r="C12302" s="30" t="s">
        <v>6017</v>
      </c>
      <c r="D12302" s="30" t="s">
        <v>17</v>
      </c>
      <c r="E12302" s="30" t="s">
        <v>18</v>
      </c>
      <c r="F12302" s="30" t="s">
        <v>19</v>
      </c>
      <c r="G12302" s="30" t="s">
        <v>20</v>
      </c>
      <c r="H12302" s="32">
        <v>22</v>
      </c>
      <c r="I12302" s="30" t="s">
        <v>21</v>
      </c>
      <c r="J12302" s="41">
        <v>44589</v>
      </c>
      <c r="K12302" s="30" t="s">
        <v>22</v>
      </c>
    </row>
    <row r="12303" spans="1:11">
      <c r="A12303" s="33" t="s">
        <v>27909</v>
      </c>
      <c r="B12303" s="33" t="s">
        <v>27910</v>
      </c>
      <c r="C12303" s="33" t="s">
        <v>24820</v>
      </c>
      <c r="D12303" s="33" t="s">
        <v>17</v>
      </c>
      <c r="E12303" s="33" t="s">
        <v>26</v>
      </c>
      <c r="F12303" s="33" t="s">
        <v>27</v>
      </c>
      <c r="G12303" s="33" t="s">
        <v>158</v>
      </c>
      <c r="H12303" s="35">
        <v>150</v>
      </c>
      <c r="I12303" s="33" t="s">
        <v>51</v>
      </c>
      <c r="J12303" s="42">
        <v>44701</v>
      </c>
      <c r="K12303" s="33" t="s">
        <v>22</v>
      </c>
    </row>
    <row r="12304" spans="1:11">
      <c r="A12304" s="30" t="s">
        <v>27911</v>
      </c>
      <c r="B12304" s="30" t="s">
        <v>27912</v>
      </c>
      <c r="C12304" s="30" t="s">
        <v>684</v>
      </c>
      <c r="D12304" s="30" t="s">
        <v>17</v>
      </c>
      <c r="E12304" s="30" t="s">
        <v>26</v>
      </c>
      <c r="F12304" s="30" t="s">
        <v>27</v>
      </c>
      <c r="G12304" s="30" t="s">
        <v>106</v>
      </c>
      <c r="H12304" s="32">
        <v>9</v>
      </c>
      <c r="I12304" s="30" t="s">
        <v>21</v>
      </c>
      <c r="J12304" s="41">
        <v>44581</v>
      </c>
      <c r="K12304" s="30" t="s">
        <v>22</v>
      </c>
    </row>
    <row r="12305" spans="1:11">
      <c r="A12305" s="33" t="s">
        <v>27913</v>
      </c>
      <c r="B12305" s="33" t="s">
        <v>27914</v>
      </c>
      <c r="C12305" s="33" t="s">
        <v>27915</v>
      </c>
      <c r="D12305" s="33" t="s">
        <v>17</v>
      </c>
      <c r="E12305" s="33" t="s">
        <v>26</v>
      </c>
      <c r="F12305" s="33" t="s">
        <v>27</v>
      </c>
      <c r="G12305" s="33" t="s">
        <v>50</v>
      </c>
      <c r="H12305" s="35">
        <v>60</v>
      </c>
      <c r="I12305" s="33" t="s">
        <v>51</v>
      </c>
      <c r="J12305" s="42">
        <v>44620</v>
      </c>
      <c r="K12305" s="33" t="s">
        <v>22</v>
      </c>
    </row>
    <row r="12306" spans="1:11">
      <c r="A12306" s="30" t="s">
        <v>27916</v>
      </c>
      <c r="B12306" s="30" t="s">
        <v>27917</v>
      </c>
      <c r="C12306" s="30" t="s">
        <v>318</v>
      </c>
      <c r="D12306" s="30" t="s">
        <v>17</v>
      </c>
      <c r="E12306" s="30" t="s">
        <v>18</v>
      </c>
      <c r="F12306" s="30" t="s">
        <v>19</v>
      </c>
      <c r="G12306" s="30" t="s">
        <v>20</v>
      </c>
      <c r="H12306" s="32">
        <v>547</v>
      </c>
      <c r="I12306" s="30" t="s">
        <v>21</v>
      </c>
      <c r="J12306" s="41">
        <v>44627</v>
      </c>
      <c r="K12306" s="30" t="s">
        <v>22</v>
      </c>
    </row>
    <row r="12307" spans="1:11">
      <c r="A12307" s="33" t="s">
        <v>27918</v>
      </c>
      <c r="B12307" s="33" t="s">
        <v>27919</v>
      </c>
      <c r="C12307" s="33" t="s">
        <v>3944</v>
      </c>
      <c r="D12307" s="33" t="s">
        <v>17</v>
      </c>
      <c r="E12307" s="33" t="s">
        <v>67</v>
      </c>
      <c r="F12307" s="33" t="s">
        <v>68</v>
      </c>
      <c r="G12307" s="33" t="s">
        <v>20</v>
      </c>
      <c r="H12307" s="35">
        <v>17</v>
      </c>
      <c r="I12307" s="33" t="s">
        <v>21</v>
      </c>
      <c r="J12307" s="42">
        <v>44719</v>
      </c>
      <c r="K12307" s="33" t="s">
        <v>22</v>
      </c>
    </row>
    <row r="12308" spans="1:11">
      <c r="A12308" s="30" t="s">
        <v>27920</v>
      </c>
      <c r="B12308" s="30" t="s">
        <v>27921</v>
      </c>
      <c r="C12308" s="30" t="s">
        <v>27922</v>
      </c>
      <c r="D12308" s="30" t="s">
        <v>17</v>
      </c>
      <c r="E12308" s="30" t="s">
        <v>26</v>
      </c>
      <c r="F12308" s="30" t="s">
        <v>27</v>
      </c>
      <c r="G12308" s="30" t="s">
        <v>106</v>
      </c>
      <c r="H12308" s="32">
        <v>55</v>
      </c>
      <c r="I12308" s="30" t="s">
        <v>21</v>
      </c>
      <c r="J12308" s="41">
        <v>44585</v>
      </c>
      <c r="K12308" s="30" t="s">
        <v>22</v>
      </c>
    </row>
    <row r="12309" spans="1:11">
      <c r="A12309" s="33" t="s">
        <v>27923</v>
      </c>
      <c r="B12309" s="33" t="s">
        <v>27924</v>
      </c>
      <c r="C12309" s="33" t="s">
        <v>178</v>
      </c>
      <c r="D12309" s="33" t="s">
        <v>17</v>
      </c>
      <c r="E12309" s="33" t="s">
        <v>67</v>
      </c>
      <c r="F12309" s="33" t="s">
        <v>68</v>
      </c>
      <c r="G12309" s="33" t="s">
        <v>158</v>
      </c>
      <c r="H12309" s="35">
        <v>90</v>
      </c>
      <c r="I12309" s="33" t="s">
        <v>51</v>
      </c>
      <c r="J12309" s="42">
        <v>44851</v>
      </c>
      <c r="K12309" s="33" t="s">
        <v>22</v>
      </c>
    </row>
    <row r="12310" spans="1:11">
      <c r="A12310" s="30" t="s">
        <v>27925</v>
      </c>
      <c r="B12310" s="30" t="s">
        <v>27926</v>
      </c>
      <c r="C12310" s="30" t="s">
        <v>14394</v>
      </c>
      <c r="D12310" s="30" t="s">
        <v>17</v>
      </c>
      <c r="E12310" s="30" t="s">
        <v>31</v>
      </c>
      <c r="F12310" s="30" t="s">
        <v>32</v>
      </c>
      <c r="G12310" s="30" t="s">
        <v>106</v>
      </c>
      <c r="H12310" s="32">
        <v>3</v>
      </c>
      <c r="I12310" s="30" t="s">
        <v>21</v>
      </c>
      <c r="J12310" s="41">
        <v>44666</v>
      </c>
      <c r="K12310" s="30" t="s">
        <v>22</v>
      </c>
    </row>
    <row r="12311" spans="1:11">
      <c r="A12311" s="33" t="s">
        <v>27927</v>
      </c>
      <c r="B12311" s="33" t="s">
        <v>27928</v>
      </c>
      <c r="C12311" s="33" t="s">
        <v>3258</v>
      </c>
      <c r="D12311" s="33" t="s">
        <v>17</v>
      </c>
      <c r="E12311" s="33" t="s">
        <v>18</v>
      </c>
      <c r="F12311" s="33" t="s">
        <v>19</v>
      </c>
      <c r="G12311" s="33" t="s">
        <v>20</v>
      </c>
      <c r="H12311" s="35">
        <v>188</v>
      </c>
      <c r="I12311" s="33" t="s">
        <v>21</v>
      </c>
      <c r="J12311" s="42">
        <v>44846</v>
      </c>
      <c r="K12311" s="33" t="s">
        <v>22</v>
      </c>
    </row>
    <row r="12312" spans="1:11">
      <c r="A12312" s="30" t="s">
        <v>27929</v>
      </c>
      <c r="B12312" s="30" t="s">
        <v>27930</v>
      </c>
      <c r="C12312" s="30" t="s">
        <v>8554</v>
      </c>
      <c r="D12312" s="30" t="s">
        <v>17</v>
      </c>
      <c r="E12312" s="30" t="s">
        <v>67</v>
      </c>
      <c r="F12312" s="30" t="s">
        <v>68</v>
      </c>
      <c r="G12312" s="30" t="s">
        <v>158</v>
      </c>
      <c r="H12312" s="32">
        <v>136</v>
      </c>
      <c r="I12312" s="30" t="s">
        <v>51</v>
      </c>
      <c r="J12312" s="41">
        <v>44628</v>
      </c>
      <c r="K12312" s="30" t="s">
        <v>22</v>
      </c>
    </row>
    <row r="12313" spans="1:11">
      <c r="A12313" s="33" t="s">
        <v>27931</v>
      </c>
      <c r="B12313" s="33" t="s">
        <v>27932</v>
      </c>
      <c r="C12313" s="33" t="s">
        <v>969</v>
      </c>
      <c r="D12313" s="33" t="s">
        <v>17</v>
      </c>
      <c r="E12313" s="33" t="s">
        <v>31</v>
      </c>
      <c r="F12313" s="33" t="s">
        <v>32</v>
      </c>
      <c r="G12313" s="33" t="s">
        <v>20</v>
      </c>
      <c r="H12313" s="35">
        <v>226</v>
      </c>
      <c r="I12313" s="33" t="s">
        <v>21</v>
      </c>
      <c r="J12313" s="42">
        <v>44881</v>
      </c>
      <c r="K12313" s="33" t="s">
        <v>22</v>
      </c>
    </row>
    <row r="12314" spans="1:11">
      <c r="A12314" s="30" t="s">
        <v>27933</v>
      </c>
      <c r="B12314" s="30" t="s">
        <v>27934</v>
      </c>
      <c r="C12314" s="30" t="s">
        <v>6205</v>
      </c>
      <c r="D12314" s="30" t="s">
        <v>17</v>
      </c>
      <c r="E12314" s="30" t="s">
        <v>212</v>
      </c>
      <c r="F12314" s="30" t="s">
        <v>213</v>
      </c>
      <c r="G12314" s="30" t="s">
        <v>50</v>
      </c>
      <c r="H12314" s="32">
        <v>180</v>
      </c>
      <c r="I12314" s="30" t="s">
        <v>51</v>
      </c>
      <c r="J12314" s="41">
        <v>44670</v>
      </c>
      <c r="K12314" s="30" t="s">
        <v>22</v>
      </c>
    </row>
    <row r="12315" spans="1:11">
      <c r="A12315" s="33" t="s">
        <v>27935</v>
      </c>
      <c r="B12315" s="33" t="s">
        <v>27936</v>
      </c>
      <c r="C12315" s="33" t="s">
        <v>75</v>
      </c>
      <c r="D12315" s="33" t="s">
        <v>17</v>
      </c>
      <c r="E12315" s="33" t="s">
        <v>31</v>
      </c>
      <c r="F12315" s="33" t="s">
        <v>32</v>
      </c>
      <c r="G12315" s="33" t="s">
        <v>106</v>
      </c>
      <c r="H12315" s="35">
        <v>31</v>
      </c>
      <c r="I12315" s="33" t="s">
        <v>21</v>
      </c>
      <c r="J12315" s="42">
        <v>44879</v>
      </c>
      <c r="K12315" s="33" t="s">
        <v>22</v>
      </c>
    </row>
    <row r="12316" spans="1:11">
      <c r="A12316" s="30" t="s">
        <v>27937</v>
      </c>
      <c r="B12316" s="30" t="s">
        <v>27938</v>
      </c>
      <c r="C12316" s="30" t="s">
        <v>27939</v>
      </c>
      <c r="D12316" s="30" t="s">
        <v>17</v>
      </c>
      <c r="E12316" s="30" t="s">
        <v>67</v>
      </c>
      <c r="F12316" s="30" t="s">
        <v>68</v>
      </c>
      <c r="G12316" s="30" t="s">
        <v>50</v>
      </c>
      <c r="H12316" s="32">
        <v>126</v>
      </c>
      <c r="I12316" s="30" t="s">
        <v>51</v>
      </c>
      <c r="J12316" s="41">
        <v>44659</v>
      </c>
      <c r="K12316" s="30" t="s">
        <v>22</v>
      </c>
    </row>
    <row r="12317" spans="1:11">
      <c r="A12317" s="33" t="s">
        <v>27940</v>
      </c>
      <c r="B12317" s="33" t="s">
        <v>27941</v>
      </c>
      <c r="C12317" s="33" t="s">
        <v>11530</v>
      </c>
      <c r="D12317" s="33" t="s">
        <v>17</v>
      </c>
      <c r="E12317" s="33" t="s">
        <v>18</v>
      </c>
      <c r="F12317" s="33" t="s">
        <v>19</v>
      </c>
      <c r="G12317" s="33" t="s">
        <v>20</v>
      </c>
      <c r="H12317" s="35">
        <v>172</v>
      </c>
      <c r="I12317" s="33" t="s">
        <v>21</v>
      </c>
      <c r="J12317" s="42">
        <v>44907</v>
      </c>
      <c r="K12317" s="33" t="s">
        <v>22</v>
      </c>
    </row>
    <row r="12318" spans="1:11">
      <c r="A12318" s="30" t="s">
        <v>27942</v>
      </c>
      <c r="B12318" s="30" t="s">
        <v>27943</v>
      </c>
      <c r="C12318" s="30" t="s">
        <v>75</v>
      </c>
      <c r="D12318" s="30" t="s">
        <v>17</v>
      </c>
      <c r="E12318" s="30" t="s">
        <v>26</v>
      </c>
      <c r="F12318" s="30" t="s">
        <v>27</v>
      </c>
      <c r="G12318" s="30" t="s">
        <v>20</v>
      </c>
      <c r="H12318" s="32">
        <v>158</v>
      </c>
      <c r="I12318" s="30" t="s">
        <v>21</v>
      </c>
      <c r="J12318" s="41">
        <v>44697</v>
      </c>
      <c r="K12318" s="30" t="s">
        <v>22</v>
      </c>
    </row>
    <row r="12319" spans="1:11">
      <c r="A12319" s="33" t="s">
        <v>27944</v>
      </c>
      <c r="B12319" s="33" t="s">
        <v>27945</v>
      </c>
      <c r="C12319" s="33" t="s">
        <v>24097</v>
      </c>
      <c r="D12319" s="33" t="s">
        <v>17</v>
      </c>
      <c r="E12319" s="33" t="s">
        <v>330</v>
      </c>
      <c r="F12319" s="33" t="s">
        <v>331</v>
      </c>
      <c r="G12319" s="33" t="s">
        <v>140</v>
      </c>
      <c r="H12319" s="35">
        <v>50</v>
      </c>
      <c r="I12319" s="33" t="s">
        <v>51</v>
      </c>
      <c r="J12319" s="42">
        <v>44845</v>
      </c>
      <c r="K12319" s="33" t="s">
        <v>22</v>
      </c>
    </row>
    <row r="12320" spans="1:11">
      <c r="A12320" s="30" t="s">
        <v>27946</v>
      </c>
      <c r="B12320" s="30" t="s">
        <v>27947</v>
      </c>
      <c r="C12320" s="30" t="s">
        <v>12330</v>
      </c>
      <c r="D12320" s="30" t="s">
        <v>17</v>
      </c>
      <c r="E12320" s="30" t="s">
        <v>26</v>
      </c>
      <c r="F12320" s="30" t="s">
        <v>27</v>
      </c>
      <c r="G12320" s="30" t="s">
        <v>20</v>
      </c>
      <c r="H12320" s="32">
        <v>342</v>
      </c>
      <c r="I12320" s="30" t="s">
        <v>21</v>
      </c>
      <c r="J12320" s="41">
        <v>44620</v>
      </c>
      <c r="K12320" s="30" t="s">
        <v>22</v>
      </c>
    </row>
    <row r="12321" spans="1:11">
      <c r="A12321" s="33" t="s">
        <v>27948</v>
      </c>
      <c r="B12321" s="33" t="s">
        <v>27949</v>
      </c>
      <c r="C12321" s="33" t="s">
        <v>310</v>
      </c>
      <c r="D12321" s="33" t="s">
        <v>17</v>
      </c>
      <c r="E12321" s="33" t="s">
        <v>26</v>
      </c>
      <c r="F12321" s="33" t="s">
        <v>27</v>
      </c>
      <c r="G12321" s="33" t="s">
        <v>20</v>
      </c>
      <c r="H12321" s="35">
        <v>65</v>
      </c>
      <c r="I12321" s="33" t="s">
        <v>21</v>
      </c>
      <c r="J12321" s="42">
        <v>44648</v>
      </c>
      <c r="K12321" s="33" t="s">
        <v>22</v>
      </c>
    </row>
    <row r="12322" spans="1:11">
      <c r="A12322" s="30" t="s">
        <v>27950</v>
      </c>
      <c r="B12322" s="30" t="s">
        <v>27951</v>
      </c>
      <c r="C12322" s="30" t="s">
        <v>524</v>
      </c>
      <c r="D12322" s="30" t="s">
        <v>17</v>
      </c>
      <c r="E12322" s="30" t="s">
        <v>26</v>
      </c>
      <c r="F12322" s="30" t="s">
        <v>27</v>
      </c>
      <c r="G12322" s="30" t="s">
        <v>20</v>
      </c>
      <c r="H12322" s="32">
        <v>36</v>
      </c>
      <c r="I12322" s="30" t="s">
        <v>21</v>
      </c>
      <c r="J12322" s="41">
        <v>44840</v>
      </c>
      <c r="K12322" s="30" t="s">
        <v>22</v>
      </c>
    </row>
    <row r="12323" spans="1:11">
      <c r="A12323" s="33" t="s">
        <v>27952</v>
      </c>
      <c r="B12323" s="33" t="s">
        <v>27953</v>
      </c>
      <c r="C12323" s="33" t="s">
        <v>5817</v>
      </c>
      <c r="D12323" s="33" t="s">
        <v>17</v>
      </c>
      <c r="E12323" s="33" t="s">
        <v>31</v>
      </c>
      <c r="F12323" s="33" t="s">
        <v>32</v>
      </c>
      <c r="G12323" s="33" t="s">
        <v>20</v>
      </c>
      <c r="H12323" s="35">
        <v>75</v>
      </c>
      <c r="I12323" s="33" t="s">
        <v>21</v>
      </c>
      <c r="J12323" s="42">
        <v>44606</v>
      </c>
      <c r="K12323" s="33" t="s">
        <v>22</v>
      </c>
    </row>
    <row r="12324" spans="1:11">
      <c r="A12324" s="30" t="s">
        <v>27954</v>
      </c>
      <c r="B12324" s="30" t="s">
        <v>27955</v>
      </c>
      <c r="C12324" s="30" t="s">
        <v>1877</v>
      </c>
      <c r="D12324" s="30" t="s">
        <v>17</v>
      </c>
      <c r="E12324" s="30" t="s">
        <v>26</v>
      </c>
      <c r="F12324" s="30" t="s">
        <v>27</v>
      </c>
      <c r="G12324" s="30" t="s">
        <v>106</v>
      </c>
      <c r="H12324" s="32">
        <v>106</v>
      </c>
      <c r="I12324" s="30" t="s">
        <v>21</v>
      </c>
      <c r="J12324" s="41">
        <v>44637</v>
      </c>
      <c r="K12324" s="30" t="s">
        <v>22</v>
      </c>
    </row>
    <row r="12325" spans="1:11">
      <c r="A12325" s="33" t="s">
        <v>27956</v>
      </c>
      <c r="B12325" s="33" t="s">
        <v>27957</v>
      </c>
      <c r="C12325" s="33" t="s">
        <v>644</v>
      </c>
      <c r="D12325" s="33" t="s">
        <v>17</v>
      </c>
      <c r="E12325" s="33" t="s">
        <v>31</v>
      </c>
      <c r="F12325" s="33" t="s">
        <v>32</v>
      </c>
      <c r="G12325" s="33" t="s">
        <v>20</v>
      </c>
      <c r="H12325" s="35">
        <v>29</v>
      </c>
      <c r="I12325" s="33" t="s">
        <v>21</v>
      </c>
      <c r="J12325" s="42">
        <v>44876</v>
      </c>
      <c r="K12325" s="33" t="s">
        <v>22</v>
      </c>
    </row>
    <row r="12326" spans="1:11">
      <c r="A12326" s="30" t="s">
        <v>27958</v>
      </c>
      <c r="B12326" s="30" t="s">
        <v>27959</v>
      </c>
      <c r="C12326" s="30" t="s">
        <v>136</v>
      </c>
      <c r="D12326" s="30" t="s">
        <v>17</v>
      </c>
      <c r="E12326" s="30" t="s">
        <v>26</v>
      </c>
      <c r="F12326" s="30" t="s">
        <v>27</v>
      </c>
      <c r="G12326" s="30" t="s">
        <v>20</v>
      </c>
      <c r="H12326" s="32">
        <v>115</v>
      </c>
      <c r="I12326" s="30" t="s">
        <v>21</v>
      </c>
      <c r="J12326" s="41">
        <v>44720</v>
      </c>
      <c r="K12326" s="30" t="s">
        <v>22</v>
      </c>
    </row>
    <row r="12327" spans="1:11">
      <c r="A12327" s="33" t="s">
        <v>27960</v>
      </c>
      <c r="B12327" s="33" t="s">
        <v>27961</v>
      </c>
      <c r="C12327" s="33" t="s">
        <v>27962</v>
      </c>
      <c r="D12327" s="33" t="s">
        <v>17</v>
      </c>
      <c r="E12327" s="33" t="s">
        <v>330</v>
      </c>
      <c r="F12327" s="33" t="s">
        <v>331</v>
      </c>
      <c r="G12327" s="33" t="s">
        <v>20</v>
      </c>
      <c r="H12327" s="35">
        <v>10</v>
      </c>
      <c r="I12327" s="33" t="s">
        <v>21</v>
      </c>
      <c r="J12327" s="42">
        <v>44861</v>
      </c>
      <c r="K12327" s="33" t="s">
        <v>22</v>
      </c>
    </row>
    <row r="12328" spans="1:11">
      <c r="A12328" s="30" t="s">
        <v>27963</v>
      </c>
      <c r="B12328" s="30" t="s">
        <v>27964</v>
      </c>
      <c r="C12328" s="30" t="s">
        <v>310</v>
      </c>
      <c r="D12328" s="30" t="s">
        <v>17</v>
      </c>
      <c r="E12328" s="30" t="s">
        <v>18</v>
      </c>
      <c r="F12328" s="30" t="s">
        <v>19</v>
      </c>
      <c r="G12328" s="30" t="s">
        <v>20</v>
      </c>
      <c r="H12328" s="32">
        <v>150</v>
      </c>
      <c r="I12328" s="30" t="s">
        <v>21</v>
      </c>
      <c r="J12328" s="41">
        <v>44788</v>
      </c>
      <c r="K12328" s="30" t="s">
        <v>22</v>
      </c>
    </row>
    <row r="12329" spans="1:11">
      <c r="A12329" s="33" t="s">
        <v>27965</v>
      </c>
      <c r="B12329" s="33" t="s">
        <v>27966</v>
      </c>
      <c r="C12329" s="33" t="s">
        <v>570</v>
      </c>
      <c r="D12329" s="33" t="s">
        <v>17</v>
      </c>
      <c r="E12329" s="33" t="s">
        <v>26</v>
      </c>
      <c r="F12329" s="33" t="s">
        <v>27</v>
      </c>
      <c r="G12329" s="33" t="s">
        <v>50</v>
      </c>
      <c r="H12329" s="35">
        <v>72</v>
      </c>
      <c r="I12329" s="33" t="s">
        <v>51</v>
      </c>
      <c r="J12329" s="42">
        <v>44859</v>
      </c>
      <c r="K12329" s="33" t="s">
        <v>22</v>
      </c>
    </row>
    <row r="12330" spans="1:11">
      <c r="A12330" s="30" t="s">
        <v>27967</v>
      </c>
      <c r="B12330" s="30" t="s">
        <v>27968</v>
      </c>
      <c r="C12330" s="30" t="s">
        <v>93</v>
      </c>
      <c r="D12330" s="30" t="s">
        <v>17</v>
      </c>
      <c r="E12330" s="30" t="s">
        <v>18</v>
      </c>
      <c r="F12330" s="30" t="s">
        <v>19</v>
      </c>
      <c r="G12330" s="30" t="s">
        <v>20</v>
      </c>
      <c r="H12330" s="32">
        <v>161</v>
      </c>
      <c r="I12330" s="30" t="s">
        <v>21</v>
      </c>
      <c r="J12330" s="41">
        <v>44749</v>
      </c>
      <c r="K12330" s="30" t="s">
        <v>22</v>
      </c>
    </row>
    <row r="12331" spans="1:11">
      <c r="A12331" s="33" t="s">
        <v>27969</v>
      </c>
      <c r="B12331" s="33" t="s">
        <v>27970</v>
      </c>
      <c r="C12331" s="33" t="s">
        <v>193</v>
      </c>
      <c r="D12331" s="33" t="s">
        <v>17</v>
      </c>
      <c r="E12331" s="33" t="s">
        <v>26</v>
      </c>
      <c r="F12331" s="33" t="s">
        <v>27</v>
      </c>
      <c r="G12331" s="33" t="s">
        <v>20</v>
      </c>
      <c r="H12331" s="35">
        <v>22</v>
      </c>
      <c r="I12331" s="33" t="s">
        <v>21</v>
      </c>
      <c r="J12331" s="42">
        <v>44922</v>
      </c>
      <c r="K12331" s="33" t="s">
        <v>22</v>
      </c>
    </row>
    <row r="12332" spans="1:11">
      <c r="A12332" s="30" t="s">
        <v>27971</v>
      </c>
      <c r="B12332" s="30" t="s">
        <v>27972</v>
      </c>
      <c r="C12332" s="30" t="s">
        <v>27922</v>
      </c>
      <c r="D12332" s="30" t="s">
        <v>17</v>
      </c>
      <c r="E12332" s="30" t="s">
        <v>67</v>
      </c>
      <c r="F12332" s="30" t="s">
        <v>68</v>
      </c>
      <c r="G12332" s="30" t="s">
        <v>20</v>
      </c>
      <c r="H12332" s="32">
        <v>443</v>
      </c>
      <c r="I12332" s="30" t="s">
        <v>21</v>
      </c>
      <c r="J12332" s="41">
        <v>44790</v>
      </c>
      <c r="K12332" s="30" t="s">
        <v>22</v>
      </c>
    </row>
    <row r="12333" spans="1:11">
      <c r="A12333" s="33" t="s">
        <v>27973</v>
      </c>
      <c r="B12333" s="33" t="s">
        <v>27974</v>
      </c>
      <c r="C12333" s="33" t="s">
        <v>1324</v>
      </c>
      <c r="D12333" s="33" t="s">
        <v>17</v>
      </c>
      <c r="E12333" s="33" t="s">
        <v>31</v>
      </c>
      <c r="F12333" s="33" t="s">
        <v>32</v>
      </c>
      <c r="G12333" s="33" t="s">
        <v>106</v>
      </c>
      <c r="H12333" s="35">
        <v>17</v>
      </c>
      <c r="I12333" s="33" t="s">
        <v>21</v>
      </c>
      <c r="J12333" s="42">
        <v>44746</v>
      </c>
      <c r="K12333" s="33" t="s">
        <v>22</v>
      </c>
    </row>
    <row r="12334" spans="1:11">
      <c r="A12334" s="30" t="s">
        <v>27975</v>
      </c>
      <c r="B12334" s="30" t="s">
        <v>27976</v>
      </c>
      <c r="C12334" s="30" t="s">
        <v>20710</v>
      </c>
      <c r="D12334" s="30" t="s">
        <v>17</v>
      </c>
      <c r="E12334" s="30" t="s">
        <v>26</v>
      </c>
      <c r="F12334" s="30" t="s">
        <v>27</v>
      </c>
      <c r="G12334" s="30" t="s">
        <v>112</v>
      </c>
      <c r="H12334" s="32">
        <v>0</v>
      </c>
      <c r="I12334" s="30" t="s">
        <v>21</v>
      </c>
      <c r="J12334" s="41">
        <v>44683</v>
      </c>
      <c r="K12334" s="30" t="s">
        <v>22</v>
      </c>
    </row>
    <row r="12335" spans="1:11">
      <c r="A12335" s="33" t="s">
        <v>27977</v>
      </c>
      <c r="B12335" s="33" t="s">
        <v>27978</v>
      </c>
      <c r="C12335" s="33" t="s">
        <v>17567</v>
      </c>
      <c r="D12335" s="33" t="s">
        <v>17</v>
      </c>
      <c r="E12335" s="33" t="s">
        <v>26</v>
      </c>
      <c r="F12335" s="33" t="s">
        <v>27</v>
      </c>
      <c r="G12335" s="33" t="s">
        <v>50</v>
      </c>
      <c r="H12335" s="35">
        <v>37</v>
      </c>
      <c r="I12335" s="33" t="s">
        <v>51</v>
      </c>
      <c r="J12335" s="42">
        <v>44803</v>
      </c>
      <c r="K12335" s="33" t="s">
        <v>22</v>
      </c>
    </row>
    <row r="12336" spans="1:11">
      <c r="A12336" s="30" t="s">
        <v>27979</v>
      </c>
      <c r="B12336" s="30" t="s">
        <v>27980</v>
      </c>
      <c r="C12336" s="30" t="s">
        <v>27981</v>
      </c>
      <c r="D12336" s="30" t="s">
        <v>17</v>
      </c>
      <c r="E12336" s="30" t="s">
        <v>18</v>
      </c>
      <c r="F12336" s="30" t="s">
        <v>19</v>
      </c>
      <c r="G12336" s="30" t="s">
        <v>158</v>
      </c>
      <c r="H12336" s="32">
        <v>30</v>
      </c>
      <c r="I12336" s="30" t="s">
        <v>51</v>
      </c>
      <c r="J12336" s="41">
        <v>44722</v>
      </c>
      <c r="K12336" s="30" t="s">
        <v>22</v>
      </c>
    </row>
    <row r="12337" spans="1:11">
      <c r="A12337" s="33" t="s">
        <v>27982</v>
      </c>
      <c r="B12337" s="33" t="s">
        <v>27983</v>
      </c>
      <c r="C12337" s="33" t="s">
        <v>21691</v>
      </c>
      <c r="D12337" s="33" t="s">
        <v>17</v>
      </c>
      <c r="E12337" s="33" t="s">
        <v>26</v>
      </c>
      <c r="F12337" s="33" t="s">
        <v>27</v>
      </c>
      <c r="G12337" s="33" t="s">
        <v>20</v>
      </c>
      <c r="H12337" s="35">
        <v>17</v>
      </c>
      <c r="I12337" s="33" t="s">
        <v>21</v>
      </c>
      <c r="J12337" s="42">
        <v>44881</v>
      </c>
      <c r="K12337" s="33" t="s">
        <v>22</v>
      </c>
    </row>
    <row r="12338" spans="1:11">
      <c r="A12338" s="30" t="s">
        <v>27984</v>
      </c>
      <c r="B12338" s="30" t="s">
        <v>27985</v>
      </c>
      <c r="C12338" s="30" t="s">
        <v>27986</v>
      </c>
      <c r="D12338" s="30" t="s">
        <v>17</v>
      </c>
      <c r="E12338" s="30" t="s">
        <v>67</v>
      </c>
      <c r="F12338" s="30" t="s">
        <v>68</v>
      </c>
      <c r="G12338" s="30" t="s">
        <v>20</v>
      </c>
      <c r="H12338" s="32">
        <v>57</v>
      </c>
      <c r="I12338" s="30" t="s">
        <v>21</v>
      </c>
      <c r="J12338" s="41">
        <v>44775</v>
      </c>
      <c r="K12338" s="30" t="s">
        <v>22</v>
      </c>
    </row>
    <row r="12339" spans="1:11">
      <c r="A12339" s="33" t="s">
        <v>27987</v>
      </c>
      <c r="B12339" s="33" t="s">
        <v>27988</v>
      </c>
      <c r="C12339" s="33" t="s">
        <v>2825</v>
      </c>
      <c r="D12339" s="33" t="s">
        <v>17</v>
      </c>
      <c r="E12339" s="33" t="s">
        <v>31</v>
      </c>
      <c r="F12339" s="33" t="s">
        <v>32</v>
      </c>
      <c r="G12339" s="33" t="s">
        <v>106</v>
      </c>
      <c r="H12339" s="35">
        <v>287</v>
      </c>
      <c r="I12339" s="33" t="s">
        <v>21</v>
      </c>
      <c r="J12339" s="42">
        <v>44718</v>
      </c>
      <c r="K12339" s="33" t="s">
        <v>22</v>
      </c>
    </row>
    <row r="12340" spans="1:11">
      <c r="A12340" s="30" t="s">
        <v>27989</v>
      </c>
      <c r="B12340" s="30" t="s">
        <v>27990</v>
      </c>
      <c r="C12340" s="30" t="s">
        <v>5084</v>
      </c>
      <c r="D12340" s="30" t="s">
        <v>17</v>
      </c>
      <c r="E12340" s="30" t="s">
        <v>26</v>
      </c>
      <c r="F12340" s="30" t="s">
        <v>27</v>
      </c>
      <c r="G12340" s="30" t="s">
        <v>20</v>
      </c>
      <c r="H12340" s="32">
        <v>102</v>
      </c>
      <c r="I12340" s="30" t="s">
        <v>21</v>
      </c>
      <c r="J12340" s="41">
        <v>44707</v>
      </c>
      <c r="K12340" s="30" t="s">
        <v>22</v>
      </c>
    </row>
    <row r="12341" spans="1:11">
      <c r="A12341" s="33" t="s">
        <v>27991</v>
      </c>
      <c r="B12341" s="33" t="s">
        <v>27992</v>
      </c>
      <c r="C12341" s="33" t="s">
        <v>3655</v>
      </c>
      <c r="D12341" s="33" t="s">
        <v>17</v>
      </c>
      <c r="E12341" s="33" t="s">
        <v>67</v>
      </c>
      <c r="F12341" s="33" t="s">
        <v>68</v>
      </c>
      <c r="G12341" s="33" t="s">
        <v>106</v>
      </c>
      <c r="H12341" s="35">
        <v>13</v>
      </c>
      <c r="I12341" s="33" t="s">
        <v>21</v>
      </c>
      <c r="J12341" s="42">
        <v>44579</v>
      </c>
      <c r="K12341" s="33" t="s">
        <v>22</v>
      </c>
    </row>
    <row r="12342" spans="1:11">
      <c r="A12342" s="30" t="s">
        <v>27993</v>
      </c>
      <c r="B12342" s="30" t="s">
        <v>27994</v>
      </c>
      <c r="C12342" s="30" t="s">
        <v>5251</v>
      </c>
      <c r="D12342" s="30" t="s">
        <v>17</v>
      </c>
      <c r="E12342" s="30" t="s">
        <v>31</v>
      </c>
      <c r="F12342" s="30" t="s">
        <v>32</v>
      </c>
      <c r="G12342" s="30" t="s">
        <v>50</v>
      </c>
      <c r="H12342" s="32">
        <v>30</v>
      </c>
      <c r="I12342" s="30" t="s">
        <v>51</v>
      </c>
      <c r="J12342" s="41">
        <v>44586</v>
      </c>
      <c r="K12342" s="30" t="s">
        <v>22</v>
      </c>
    </row>
    <row r="12343" spans="1:11">
      <c r="A12343" s="33" t="s">
        <v>27995</v>
      </c>
      <c r="B12343" s="33" t="s">
        <v>27996</v>
      </c>
      <c r="C12343" s="33" t="s">
        <v>96</v>
      </c>
      <c r="D12343" s="33" t="s">
        <v>17</v>
      </c>
      <c r="E12343" s="33" t="s">
        <v>212</v>
      </c>
      <c r="F12343" s="33" t="s">
        <v>213</v>
      </c>
      <c r="G12343" s="33" t="s">
        <v>20</v>
      </c>
      <c r="H12343" s="35">
        <v>813</v>
      </c>
      <c r="I12343" s="33" t="s">
        <v>21</v>
      </c>
      <c r="J12343" s="42">
        <v>44852</v>
      </c>
      <c r="K12343" s="33" t="s">
        <v>22</v>
      </c>
    </row>
    <row r="12344" spans="1:11">
      <c r="A12344" s="30" t="s">
        <v>27997</v>
      </c>
      <c r="B12344" s="30" t="s">
        <v>27998</v>
      </c>
      <c r="C12344" s="30" t="s">
        <v>4348</v>
      </c>
      <c r="D12344" s="30" t="s">
        <v>17</v>
      </c>
      <c r="E12344" s="30" t="s">
        <v>26</v>
      </c>
      <c r="F12344" s="30" t="s">
        <v>27</v>
      </c>
      <c r="G12344" s="30" t="s">
        <v>158</v>
      </c>
      <c r="H12344" s="32">
        <v>22</v>
      </c>
      <c r="I12344" s="30" t="s">
        <v>21</v>
      </c>
      <c r="J12344" s="41">
        <v>44713</v>
      </c>
      <c r="K12344" s="30" t="s">
        <v>22</v>
      </c>
    </row>
    <row r="12345" spans="1:11">
      <c r="A12345" s="33" t="s">
        <v>27999</v>
      </c>
      <c r="B12345" s="33" t="s">
        <v>28000</v>
      </c>
      <c r="C12345" s="33" t="s">
        <v>136</v>
      </c>
      <c r="D12345" s="33" t="s">
        <v>17</v>
      </c>
      <c r="E12345" s="33" t="s">
        <v>26</v>
      </c>
      <c r="F12345" s="33" t="s">
        <v>27</v>
      </c>
      <c r="G12345" s="33" t="s">
        <v>158</v>
      </c>
      <c r="H12345" s="35">
        <v>70</v>
      </c>
      <c r="I12345" s="33" t="s">
        <v>21</v>
      </c>
      <c r="J12345" s="42">
        <v>44643</v>
      </c>
      <c r="K12345" s="33" t="s">
        <v>22</v>
      </c>
    </row>
    <row r="12346" spans="1:11">
      <c r="A12346" s="30" t="s">
        <v>28001</v>
      </c>
      <c r="B12346" s="30" t="s">
        <v>28002</v>
      </c>
      <c r="C12346" s="30" t="s">
        <v>25308</v>
      </c>
      <c r="D12346" s="30" t="s">
        <v>17</v>
      </c>
      <c r="E12346" s="30" t="s">
        <v>26</v>
      </c>
      <c r="F12346" s="30" t="s">
        <v>27</v>
      </c>
      <c r="G12346" s="30" t="s">
        <v>20</v>
      </c>
      <c r="H12346" s="32">
        <v>153</v>
      </c>
      <c r="I12346" s="30" t="s">
        <v>21</v>
      </c>
      <c r="J12346" s="41">
        <v>44734</v>
      </c>
      <c r="K12346" s="30" t="s">
        <v>22</v>
      </c>
    </row>
    <row r="12347" spans="1:11">
      <c r="A12347" s="33" t="s">
        <v>28003</v>
      </c>
      <c r="B12347" s="33" t="s">
        <v>28004</v>
      </c>
      <c r="C12347" s="33" t="s">
        <v>28005</v>
      </c>
      <c r="D12347" s="33" t="s">
        <v>17</v>
      </c>
      <c r="E12347" s="33" t="s">
        <v>18</v>
      </c>
      <c r="F12347" s="33" t="s">
        <v>19</v>
      </c>
      <c r="G12347" s="33" t="s">
        <v>112</v>
      </c>
      <c r="H12347" s="35">
        <v>0</v>
      </c>
      <c r="I12347" s="33" t="s">
        <v>21</v>
      </c>
      <c r="J12347" s="42">
        <v>44704</v>
      </c>
      <c r="K12347" s="33" t="s">
        <v>22</v>
      </c>
    </row>
    <row r="12348" spans="1:11">
      <c r="A12348" s="30" t="s">
        <v>28006</v>
      </c>
      <c r="B12348" s="30" t="s">
        <v>28007</v>
      </c>
      <c r="C12348" s="30" t="s">
        <v>1767</v>
      </c>
      <c r="D12348" s="30" t="s">
        <v>17</v>
      </c>
      <c r="E12348" s="30" t="s">
        <v>26</v>
      </c>
      <c r="F12348" s="30" t="s">
        <v>27</v>
      </c>
      <c r="G12348" s="30" t="s">
        <v>20</v>
      </c>
      <c r="H12348" s="32">
        <v>16</v>
      </c>
      <c r="I12348" s="30" t="s">
        <v>21</v>
      </c>
      <c r="J12348" s="41">
        <v>44889</v>
      </c>
      <c r="K12348" s="30" t="s">
        <v>22</v>
      </c>
    </row>
    <row r="12349" spans="1:11">
      <c r="A12349" s="33" t="s">
        <v>28008</v>
      </c>
      <c r="B12349" s="33" t="s">
        <v>28009</v>
      </c>
      <c r="C12349" s="33" t="s">
        <v>3462</v>
      </c>
      <c r="D12349" s="33" t="s">
        <v>17</v>
      </c>
      <c r="E12349" s="33" t="s">
        <v>31</v>
      </c>
      <c r="F12349" s="33" t="s">
        <v>32</v>
      </c>
      <c r="G12349" s="33" t="s">
        <v>50</v>
      </c>
      <c r="H12349" s="35">
        <v>186</v>
      </c>
      <c r="I12349" s="33" t="s">
        <v>51</v>
      </c>
      <c r="J12349" s="42">
        <v>44616</v>
      </c>
      <c r="K12349" s="33" t="s">
        <v>22</v>
      </c>
    </row>
    <row r="12350" spans="1:11">
      <c r="A12350" s="30" t="s">
        <v>28010</v>
      </c>
      <c r="B12350" s="30" t="s">
        <v>28011</v>
      </c>
      <c r="C12350" s="30" t="s">
        <v>3655</v>
      </c>
      <c r="D12350" s="30" t="s">
        <v>17</v>
      </c>
      <c r="E12350" s="30" t="s">
        <v>45</v>
      </c>
      <c r="F12350" s="30" t="s">
        <v>46</v>
      </c>
      <c r="G12350" s="30" t="s">
        <v>20</v>
      </c>
      <c r="H12350" s="32">
        <v>1453</v>
      </c>
      <c r="I12350" s="30" t="s">
        <v>21</v>
      </c>
      <c r="J12350" s="41">
        <v>44768</v>
      </c>
      <c r="K12350" s="30" t="s">
        <v>22</v>
      </c>
    </row>
    <row r="12351" spans="1:11">
      <c r="A12351" s="33" t="s">
        <v>28012</v>
      </c>
      <c r="B12351" s="33" t="s">
        <v>28013</v>
      </c>
      <c r="C12351" s="33" t="s">
        <v>5757</v>
      </c>
      <c r="D12351" s="33" t="s">
        <v>17</v>
      </c>
      <c r="E12351" s="33" t="s">
        <v>26</v>
      </c>
      <c r="F12351" s="33" t="s">
        <v>27</v>
      </c>
      <c r="G12351" s="33" t="s">
        <v>20</v>
      </c>
      <c r="H12351" s="35">
        <v>69</v>
      </c>
      <c r="I12351" s="33" t="s">
        <v>21</v>
      </c>
      <c r="J12351" s="42">
        <v>44771</v>
      </c>
      <c r="K12351" s="33" t="s">
        <v>22</v>
      </c>
    </row>
    <row r="12352" spans="1:11">
      <c r="A12352" s="30" t="s">
        <v>28014</v>
      </c>
      <c r="B12352" s="30" t="s">
        <v>28015</v>
      </c>
      <c r="C12352" s="30" t="s">
        <v>801</v>
      </c>
      <c r="D12352" s="30" t="s">
        <v>17</v>
      </c>
      <c r="E12352" s="30" t="s">
        <v>45</v>
      </c>
      <c r="F12352" s="30" t="s">
        <v>46</v>
      </c>
      <c r="G12352" s="30" t="s">
        <v>158</v>
      </c>
      <c r="H12352" s="32">
        <v>450</v>
      </c>
      <c r="I12352" s="30" t="s">
        <v>51</v>
      </c>
      <c r="J12352" s="41">
        <v>44817</v>
      </c>
      <c r="K12352" s="30" t="s">
        <v>22</v>
      </c>
    </row>
    <row r="12353" spans="1:11">
      <c r="A12353" s="33" t="s">
        <v>28016</v>
      </c>
      <c r="B12353" s="33" t="s">
        <v>28017</v>
      </c>
      <c r="C12353" s="33" t="s">
        <v>118</v>
      </c>
      <c r="D12353" s="33" t="s">
        <v>17</v>
      </c>
      <c r="E12353" s="33" t="s">
        <v>26</v>
      </c>
      <c r="F12353" s="33" t="s">
        <v>27</v>
      </c>
      <c r="G12353" s="33" t="s">
        <v>20</v>
      </c>
      <c r="H12353" s="35">
        <v>45</v>
      </c>
      <c r="I12353" s="33" t="s">
        <v>21</v>
      </c>
      <c r="J12353" s="42">
        <v>44784</v>
      </c>
      <c r="K12353" s="33" t="s">
        <v>22</v>
      </c>
    </row>
    <row r="12354" spans="1:11">
      <c r="A12354" s="30" t="s">
        <v>28018</v>
      </c>
      <c r="B12354" s="30" t="s">
        <v>28019</v>
      </c>
      <c r="C12354" s="30" t="s">
        <v>894</v>
      </c>
      <c r="D12354" s="30" t="s">
        <v>17</v>
      </c>
      <c r="E12354" s="30" t="s">
        <v>26</v>
      </c>
      <c r="F12354" s="30" t="s">
        <v>27</v>
      </c>
      <c r="G12354" s="30" t="s">
        <v>20</v>
      </c>
      <c r="H12354" s="32">
        <v>16</v>
      </c>
      <c r="I12354" s="30" t="s">
        <v>21</v>
      </c>
      <c r="J12354" s="41">
        <v>44900</v>
      </c>
      <c r="K12354" s="30" t="s">
        <v>22</v>
      </c>
    </row>
    <row r="12355" spans="1:11">
      <c r="A12355" s="33" t="s">
        <v>28020</v>
      </c>
      <c r="B12355" s="33" t="s">
        <v>28021</v>
      </c>
      <c r="C12355" s="33" t="s">
        <v>26340</v>
      </c>
      <c r="D12355" s="33" t="s">
        <v>17</v>
      </c>
      <c r="E12355" s="33" t="s">
        <v>31</v>
      </c>
      <c r="F12355" s="33" t="s">
        <v>32</v>
      </c>
      <c r="G12355" s="33" t="s">
        <v>20</v>
      </c>
      <c r="H12355" s="35">
        <v>207</v>
      </c>
      <c r="I12355" s="33" t="s">
        <v>21</v>
      </c>
      <c r="J12355" s="42">
        <v>44727</v>
      </c>
      <c r="K12355" s="33" t="s">
        <v>22</v>
      </c>
    </row>
    <row r="12356" spans="1:11">
      <c r="A12356" s="30" t="s">
        <v>28022</v>
      </c>
      <c r="B12356" s="30" t="s">
        <v>28023</v>
      </c>
      <c r="C12356" s="30" t="s">
        <v>647</v>
      </c>
      <c r="D12356" s="30" t="s">
        <v>17</v>
      </c>
      <c r="E12356" s="30" t="s">
        <v>26</v>
      </c>
      <c r="F12356" s="30" t="s">
        <v>27</v>
      </c>
      <c r="G12356" s="30" t="s">
        <v>20</v>
      </c>
      <c r="H12356" s="32">
        <v>90</v>
      </c>
      <c r="I12356" s="30" t="s">
        <v>21</v>
      </c>
      <c r="J12356" s="41">
        <v>44916</v>
      </c>
      <c r="K12356" s="30" t="s">
        <v>22</v>
      </c>
    </row>
    <row r="12357" spans="1:11">
      <c r="A12357" s="33" t="s">
        <v>28024</v>
      </c>
      <c r="B12357" s="33" t="s">
        <v>28025</v>
      </c>
      <c r="C12357" s="33" t="s">
        <v>524</v>
      </c>
      <c r="D12357" s="33" t="s">
        <v>17</v>
      </c>
      <c r="E12357" s="33" t="s">
        <v>26</v>
      </c>
      <c r="F12357" s="33" t="s">
        <v>27</v>
      </c>
      <c r="G12357" s="33" t="s">
        <v>20</v>
      </c>
      <c r="H12357" s="35">
        <v>24</v>
      </c>
      <c r="I12357" s="33" t="s">
        <v>21</v>
      </c>
      <c r="J12357" s="42">
        <v>44840</v>
      </c>
      <c r="K12357" s="33" t="s">
        <v>22</v>
      </c>
    </row>
    <row r="12358" spans="1:11">
      <c r="A12358" s="30" t="s">
        <v>28026</v>
      </c>
      <c r="B12358" s="30" t="s">
        <v>28027</v>
      </c>
      <c r="C12358" s="30" t="s">
        <v>28028</v>
      </c>
      <c r="D12358" s="30" t="s">
        <v>17</v>
      </c>
      <c r="E12358" s="30" t="s">
        <v>26</v>
      </c>
      <c r="F12358" s="30" t="s">
        <v>27</v>
      </c>
      <c r="G12358" s="30" t="s">
        <v>20</v>
      </c>
      <c r="H12358" s="32">
        <v>64</v>
      </c>
      <c r="I12358" s="30" t="s">
        <v>21</v>
      </c>
      <c r="J12358" s="41">
        <v>44578</v>
      </c>
      <c r="K12358" s="30" t="s">
        <v>22</v>
      </c>
    </row>
    <row r="12359" spans="1:11">
      <c r="A12359" s="33" t="s">
        <v>28029</v>
      </c>
      <c r="B12359" s="33" t="s">
        <v>28030</v>
      </c>
      <c r="C12359" s="33" t="s">
        <v>1042</v>
      </c>
      <c r="D12359" s="33" t="s">
        <v>17</v>
      </c>
      <c r="E12359" s="33" t="s">
        <v>31</v>
      </c>
      <c r="F12359" s="33" t="s">
        <v>32</v>
      </c>
      <c r="G12359" s="33" t="s">
        <v>20</v>
      </c>
      <c r="H12359" s="35">
        <v>63</v>
      </c>
      <c r="I12359" s="33" t="s">
        <v>21</v>
      </c>
      <c r="J12359" s="42">
        <v>44629</v>
      </c>
      <c r="K12359" s="33" t="s">
        <v>22</v>
      </c>
    </row>
    <row r="12360" spans="1:11">
      <c r="A12360" s="30" t="s">
        <v>28031</v>
      </c>
      <c r="B12360" s="30" t="s">
        <v>28032</v>
      </c>
      <c r="C12360" s="30" t="s">
        <v>157</v>
      </c>
      <c r="D12360" s="30" t="s">
        <v>17</v>
      </c>
      <c r="E12360" s="30" t="s">
        <v>31</v>
      </c>
      <c r="F12360" s="30" t="s">
        <v>32</v>
      </c>
      <c r="G12360" s="30" t="s">
        <v>20</v>
      </c>
      <c r="H12360" s="32">
        <v>153</v>
      </c>
      <c r="I12360" s="30" t="s">
        <v>21</v>
      </c>
      <c r="J12360" s="41">
        <v>44742</v>
      </c>
      <c r="K12360" s="30" t="s">
        <v>22</v>
      </c>
    </row>
    <row r="12361" spans="1:11">
      <c r="A12361" s="33" t="s">
        <v>28033</v>
      </c>
      <c r="B12361" s="33" t="s">
        <v>28034</v>
      </c>
      <c r="C12361" s="33" t="s">
        <v>1428</v>
      </c>
      <c r="D12361" s="33" t="s">
        <v>17</v>
      </c>
      <c r="E12361" s="33" t="s">
        <v>18</v>
      </c>
      <c r="F12361" s="33" t="s">
        <v>19</v>
      </c>
      <c r="G12361" s="33" t="s">
        <v>50</v>
      </c>
      <c r="H12361" s="35">
        <v>10000</v>
      </c>
      <c r="I12361" s="33" t="s">
        <v>51</v>
      </c>
      <c r="J12361" s="42">
        <v>44921</v>
      </c>
      <c r="K12361" s="33" t="s">
        <v>22</v>
      </c>
    </row>
    <row r="12362" spans="1:11">
      <c r="A12362" s="30" t="s">
        <v>28035</v>
      </c>
      <c r="B12362" s="30" t="s">
        <v>28036</v>
      </c>
      <c r="C12362" s="30" t="s">
        <v>5845</v>
      </c>
      <c r="D12362" s="30" t="s">
        <v>17</v>
      </c>
      <c r="E12362" s="30" t="s">
        <v>26</v>
      </c>
      <c r="F12362" s="30" t="s">
        <v>27</v>
      </c>
      <c r="G12362" s="30" t="s">
        <v>20</v>
      </c>
      <c r="H12362" s="32">
        <v>25</v>
      </c>
      <c r="I12362" s="30" t="s">
        <v>21</v>
      </c>
      <c r="J12362" s="41">
        <v>44910</v>
      </c>
      <c r="K12362" s="30" t="s">
        <v>22</v>
      </c>
    </row>
    <row r="12363" spans="1:11">
      <c r="A12363" s="33" t="s">
        <v>28037</v>
      </c>
      <c r="B12363" s="33" t="s">
        <v>28038</v>
      </c>
      <c r="C12363" s="33" t="s">
        <v>28039</v>
      </c>
      <c r="D12363" s="33" t="s">
        <v>17</v>
      </c>
      <c r="E12363" s="33" t="s">
        <v>26</v>
      </c>
      <c r="F12363" s="33" t="s">
        <v>27</v>
      </c>
      <c r="G12363" s="33" t="s">
        <v>106</v>
      </c>
      <c r="H12363" s="35">
        <v>22</v>
      </c>
      <c r="I12363" s="33" t="s">
        <v>21</v>
      </c>
      <c r="J12363" s="42">
        <v>44750</v>
      </c>
      <c r="K12363" s="33" t="s">
        <v>22</v>
      </c>
    </row>
    <row r="12364" spans="1:11">
      <c r="A12364" s="30" t="s">
        <v>28040</v>
      </c>
      <c r="B12364" s="30" t="s">
        <v>28041</v>
      </c>
      <c r="C12364" s="30" t="s">
        <v>2822</v>
      </c>
      <c r="D12364" s="30" t="s">
        <v>17</v>
      </c>
      <c r="E12364" s="30" t="s">
        <v>31</v>
      </c>
      <c r="F12364" s="30" t="s">
        <v>32</v>
      </c>
      <c r="G12364" s="30" t="s">
        <v>106</v>
      </c>
      <c r="H12364" s="32">
        <v>47</v>
      </c>
      <c r="I12364" s="30" t="s">
        <v>21</v>
      </c>
      <c r="J12364" s="41">
        <v>44754</v>
      </c>
      <c r="K12364" s="30" t="s">
        <v>22</v>
      </c>
    </row>
    <row r="12365" spans="1:11">
      <c r="A12365" s="33" t="s">
        <v>28042</v>
      </c>
      <c r="B12365" s="33" t="s">
        <v>28043</v>
      </c>
      <c r="C12365" s="33" t="s">
        <v>379</v>
      </c>
      <c r="D12365" s="33" t="s">
        <v>17</v>
      </c>
      <c r="E12365" s="33" t="s">
        <v>67</v>
      </c>
      <c r="F12365" s="33" t="s">
        <v>68</v>
      </c>
      <c r="G12365" s="33" t="s">
        <v>50</v>
      </c>
      <c r="H12365" s="35">
        <v>150</v>
      </c>
      <c r="I12365" s="33" t="s">
        <v>51</v>
      </c>
      <c r="J12365" s="42">
        <v>44684</v>
      </c>
      <c r="K12365" s="33" t="s">
        <v>22</v>
      </c>
    </row>
    <row r="12366" spans="1:11">
      <c r="A12366" s="30" t="s">
        <v>28044</v>
      </c>
      <c r="B12366" s="30" t="s">
        <v>28045</v>
      </c>
      <c r="C12366" s="30" t="s">
        <v>343</v>
      </c>
      <c r="D12366" s="30" t="s">
        <v>17</v>
      </c>
      <c r="E12366" s="30" t="s">
        <v>18</v>
      </c>
      <c r="F12366" s="30" t="s">
        <v>19</v>
      </c>
      <c r="G12366" s="30" t="s">
        <v>20</v>
      </c>
      <c r="H12366" s="32">
        <v>556</v>
      </c>
      <c r="I12366" s="30" t="s">
        <v>21</v>
      </c>
      <c r="J12366" s="41">
        <v>44872</v>
      </c>
      <c r="K12366" s="30" t="s">
        <v>22</v>
      </c>
    </row>
    <row r="12367" spans="1:11">
      <c r="A12367" s="33" t="s">
        <v>28046</v>
      </c>
      <c r="B12367" s="33" t="s">
        <v>28047</v>
      </c>
      <c r="C12367" s="33" t="s">
        <v>3660</v>
      </c>
      <c r="D12367" s="33" t="s">
        <v>17</v>
      </c>
      <c r="E12367" s="33" t="s">
        <v>31</v>
      </c>
      <c r="F12367" s="33" t="s">
        <v>32</v>
      </c>
      <c r="G12367" s="33" t="s">
        <v>20</v>
      </c>
      <c r="H12367" s="35">
        <v>77</v>
      </c>
      <c r="I12367" s="33" t="s">
        <v>21</v>
      </c>
      <c r="J12367" s="42">
        <v>44832</v>
      </c>
      <c r="K12367" s="33" t="s">
        <v>22</v>
      </c>
    </row>
    <row r="12368" spans="1:11">
      <c r="A12368" s="30" t="s">
        <v>28048</v>
      </c>
      <c r="B12368" s="30" t="s">
        <v>28049</v>
      </c>
      <c r="C12368" s="30" t="s">
        <v>4260</v>
      </c>
      <c r="D12368" s="30" t="s">
        <v>17</v>
      </c>
      <c r="E12368" s="30" t="s">
        <v>18</v>
      </c>
      <c r="F12368" s="30" t="s">
        <v>19</v>
      </c>
      <c r="G12368" s="30" t="s">
        <v>20</v>
      </c>
      <c r="H12368" s="32">
        <v>163</v>
      </c>
      <c r="I12368" s="30" t="s">
        <v>21</v>
      </c>
      <c r="J12368" s="41">
        <v>44742</v>
      </c>
      <c r="K12368" s="30" t="s">
        <v>22</v>
      </c>
    </row>
    <row r="12369" spans="1:11">
      <c r="A12369" s="33" t="s">
        <v>28050</v>
      </c>
      <c r="B12369" s="33" t="s">
        <v>28051</v>
      </c>
      <c r="C12369" s="33" t="s">
        <v>318</v>
      </c>
      <c r="D12369" s="33" t="s">
        <v>17</v>
      </c>
      <c r="E12369" s="33" t="s">
        <v>26</v>
      </c>
      <c r="F12369" s="33" t="s">
        <v>27</v>
      </c>
      <c r="G12369" s="33" t="s">
        <v>20</v>
      </c>
      <c r="H12369" s="35">
        <v>33</v>
      </c>
      <c r="I12369" s="33" t="s">
        <v>21</v>
      </c>
      <c r="J12369" s="42">
        <v>44817</v>
      </c>
      <c r="K12369" s="33" t="s">
        <v>22</v>
      </c>
    </row>
    <row r="12370" spans="1:11">
      <c r="A12370" s="30" t="s">
        <v>28052</v>
      </c>
      <c r="B12370" s="30" t="s">
        <v>28053</v>
      </c>
      <c r="C12370" s="30" t="s">
        <v>28054</v>
      </c>
      <c r="D12370" s="30" t="s">
        <v>17</v>
      </c>
      <c r="E12370" s="30" t="s">
        <v>67</v>
      </c>
      <c r="F12370" s="30" t="s">
        <v>68</v>
      </c>
      <c r="G12370" s="30" t="s">
        <v>50</v>
      </c>
      <c r="H12370" s="32">
        <v>36</v>
      </c>
      <c r="I12370" s="30" t="s">
        <v>51</v>
      </c>
      <c r="J12370" s="41">
        <v>44717</v>
      </c>
      <c r="K12370" s="30" t="s">
        <v>22</v>
      </c>
    </row>
    <row r="12371" spans="1:11">
      <c r="A12371" s="33" t="s">
        <v>28055</v>
      </c>
      <c r="B12371" s="33" t="s">
        <v>28056</v>
      </c>
      <c r="C12371" s="33" t="s">
        <v>93</v>
      </c>
      <c r="D12371" s="33" t="s">
        <v>17</v>
      </c>
      <c r="E12371" s="33" t="s">
        <v>18</v>
      </c>
      <c r="F12371" s="33" t="s">
        <v>19</v>
      </c>
      <c r="G12371" s="33" t="s">
        <v>20</v>
      </c>
      <c r="H12371" s="35">
        <v>198</v>
      </c>
      <c r="I12371" s="33" t="s">
        <v>21</v>
      </c>
      <c r="J12371" s="42">
        <v>44811</v>
      </c>
      <c r="K12371" s="33" t="s">
        <v>22</v>
      </c>
    </row>
    <row r="12372" spans="1:11">
      <c r="A12372" s="30" t="s">
        <v>28057</v>
      </c>
      <c r="B12372" s="30" t="s">
        <v>28058</v>
      </c>
      <c r="C12372" s="30" t="s">
        <v>190</v>
      </c>
      <c r="D12372" s="30" t="s">
        <v>17</v>
      </c>
      <c r="E12372" s="30" t="s">
        <v>18</v>
      </c>
      <c r="F12372" s="30" t="s">
        <v>19</v>
      </c>
      <c r="G12372" s="30" t="s">
        <v>106</v>
      </c>
      <c r="H12372" s="32">
        <v>12</v>
      </c>
      <c r="I12372" s="30" t="s">
        <v>21</v>
      </c>
      <c r="J12372" s="41">
        <v>44579</v>
      </c>
      <c r="K12372" s="30" t="s">
        <v>22</v>
      </c>
    </row>
    <row r="12373" spans="1:11">
      <c r="A12373" s="33" t="s">
        <v>28059</v>
      </c>
      <c r="B12373" s="33" t="s">
        <v>28060</v>
      </c>
      <c r="C12373" s="33" t="s">
        <v>93</v>
      </c>
      <c r="D12373" s="33" t="s">
        <v>17</v>
      </c>
      <c r="E12373" s="33" t="s">
        <v>18</v>
      </c>
      <c r="F12373" s="33" t="s">
        <v>19</v>
      </c>
      <c r="G12373" s="33" t="s">
        <v>20</v>
      </c>
      <c r="H12373" s="35">
        <v>74</v>
      </c>
      <c r="I12373" s="33" t="s">
        <v>21</v>
      </c>
      <c r="J12373" s="42">
        <v>44764</v>
      </c>
      <c r="K12373" s="33" t="s">
        <v>22</v>
      </c>
    </row>
    <row r="12374" spans="1:11">
      <c r="A12374" s="30" t="s">
        <v>28061</v>
      </c>
      <c r="B12374" s="30" t="s">
        <v>28062</v>
      </c>
      <c r="C12374" s="30" t="s">
        <v>7035</v>
      </c>
      <c r="D12374" s="30" t="s">
        <v>17</v>
      </c>
      <c r="E12374" s="30" t="s">
        <v>26</v>
      </c>
      <c r="F12374" s="30" t="s">
        <v>27</v>
      </c>
      <c r="G12374" s="30" t="s">
        <v>20</v>
      </c>
      <c r="H12374" s="32">
        <v>48</v>
      </c>
      <c r="I12374" s="30" t="s">
        <v>21</v>
      </c>
      <c r="J12374" s="41">
        <v>44678</v>
      </c>
      <c r="K12374" s="30" t="s">
        <v>22</v>
      </c>
    </row>
    <row r="12375" spans="1:11">
      <c r="A12375" s="33" t="s">
        <v>28063</v>
      </c>
      <c r="B12375" s="33" t="s">
        <v>28064</v>
      </c>
      <c r="C12375" s="33" t="s">
        <v>28065</v>
      </c>
      <c r="D12375" s="33" t="s">
        <v>17</v>
      </c>
      <c r="E12375" s="33" t="s">
        <v>26</v>
      </c>
      <c r="F12375" s="33" t="s">
        <v>27</v>
      </c>
      <c r="G12375" s="33" t="s">
        <v>20</v>
      </c>
      <c r="H12375" s="35">
        <v>45</v>
      </c>
      <c r="I12375" s="33" t="s">
        <v>21</v>
      </c>
      <c r="J12375" s="42">
        <v>44744</v>
      </c>
      <c r="K12375" s="33" t="s">
        <v>22</v>
      </c>
    </row>
    <row r="12376" spans="1:11">
      <c r="A12376" s="30" t="s">
        <v>28066</v>
      </c>
      <c r="B12376" s="30" t="s">
        <v>28067</v>
      </c>
      <c r="C12376" s="30" t="s">
        <v>28068</v>
      </c>
      <c r="D12376" s="30" t="s">
        <v>17</v>
      </c>
      <c r="E12376" s="30" t="s">
        <v>26</v>
      </c>
      <c r="F12376" s="30" t="s">
        <v>27</v>
      </c>
      <c r="G12376" s="30" t="s">
        <v>106</v>
      </c>
      <c r="H12376" s="32">
        <v>3</v>
      </c>
      <c r="I12376" s="30" t="s">
        <v>21</v>
      </c>
      <c r="J12376" s="41">
        <v>44585</v>
      </c>
      <c r="K12376" s="30" t="s">
        <v>22</v>
      </c>
    </row>
    <row r="12377" spans="1:11">
      <c r="A12377" s="33" t="s">
        <v>28069</v>
      </c>
      <c r="B12377" s="33" t="s">
        <v>28070</v>
      </c>
      <c r="C12377" s="33" t="s">
        <v>26080</v>
      </c>
      <c r="D12377" s="33" t="s">
        <v>17</v>
      </c>
      <c r="E12377" s="33" t="s">
        <v>26</v>
      </c>
      <c r="F12377" s="33" t="s">
        <v>27</v>
      </c>
      <c r="G12377" s="33" t="s">
        <v>106</v>
      </c>
      <c r="H12377" s="35">
        <v>3</v>
      </c>
      <c r="I12377" s="33" t="s">
        <v>21</v>
      </c>
      <c r="J12377" s="42">
        <v>44715</v>
      </c>
      <c r="K12377" s="33" t="s">
        <v>22</v>
      </c>
    </row>
    <row r="12378" spans="1:11">
      <c r="A12378" s="30" t="s">
        <v>28071</v>
      </c>
      <c r="B12378" s="30" t="s">
        <v>28072</v>
      </c>
      <c r="C12378" s="30" t="s">
        <v>2660</v>
      </c>
      <c r="D12378" s="30" t="s">
        <v>17</v>
      </c>
      <c r="E12378" s="30" t="s">
        <v>26</v>
      </c>
      <c r="F12378" s="30" t="s">
        <v>27</v>
      </c>
      <c r="G12378" s="30" t="s">
        <v>20</v>
      </c>
      <c r="H12378" s="32">
        <v>32</v>
      </c>
      <c r="I12378" s="30" t="s">
        <v>21</v>
      </c>
      <c r="J12378" s="41">
        <v>44846</v>
      </c>
      <c r="K12378" s="30" t="s">
        <v>22</v>
      </c>
    </row>
    <row r="12379" spans="1:11">
      <c r="A12379" s="33" t="s">
        <v>28073</v>
      </c>
      <c r="B12379" s="33" t="s">
        <v>28074</v>
      </c>
      <c r="C12379" s="33" t="s">
        <v>20132</v>
      </c>
      <c r="D12379" s="33" t="s">
        <v>17</v>
      </c>
      <c r="E12379" s="33" t="s">
        <v>18</v>
      </c>
      <c r="F12379" s="33" t="s">
        <v>19</v>
      </c>
      <c r="G12379" s="33" t="s">
        <v>20</v>
      </c>
      <c r="H12379" s="35">
        <v>26</v>
      </c>
      <c r="I12379" s="33" t="s">
        <v>21</v>
      </c>
      <c r="J12379" s="42">
        <v>44924</v>
      </c>
      <c r="K12379" s="33" t="s">
        <v>22</v>
      </c>
    </row>
    <row r="12380" spans="1:11">
      <c r="A12380" s="30" t="s">
        <v>28075</v>
      </c>
      <c r="B12380" s="30" t="s">
        <v>28076</v>
      </c>
      <c r="C12380" s="30" t="s">
        <v>925</v>
      </c>
      <c r="D12380" s="30" t="s">
        <v>17</v>
      </c>
      <c r="E12380" s="30" t="s">
        <v>18</v>
      </c>
      <c r="F12380" s="30" t="s">
        <v>19</v>
      </c>
      <c r="G12380" s="30" t="s">
        <v>106</v>
      </c>
      <c r="H12380" s="32">
        <v>468</v>
      </c>
      <c r="I12380" s="30" t="s">
        <v>21</v>
      </c>
      <c r="J12380" s="41">
        <v>44870</v>
      </c>
      <c r="K12380" s="30" t="s">
        <v>22</v>
      </c>
    </row>
    <row r="12381" spans="1:11">
      <c r="A12381" s="33" t="s">
        <v>28077</v>
      </c>
      <c r="B12381" s="33" t="s">
        <v>28078</v>
      </c>
      <c r="C12381" s="33" t="s">
        <v>1846</v>
      </c>
      <c r="D12381" s="33" t="s">
        <v>17</v>
      </c>
      <c r="E12381" s="33" t="s">
        <v>18</v>
      </c>
      <c r="F12381" s="33" t="s">
        <v>19</v>
      </c>
      <c r="G12381" s="33" t="s">
        <v>20</v>
      </c>
      <c r="H12381" s="35">
        <v>43</v>
      </c>
      <c r="I12381" s="33" t="s">
        <v>21</v>
      </c>
      <c r="J12381" s="42">
        <v>44713</v>
      </c>
      <c r="K12381" s="33" t="s">
        <v>22</v>
      </c>
    </row>
    <row r="12382" spans="1:11">
      <c r="A12382" s="30" t="s">
        <v>28079</v>
      </c>
      <c r="B12382" s="30" t="s">
        <v>28080</v>
      </c>
      <c r="C12382" s="30" t="s">
        <v>25317</v>
      </c>
      <c r="D12382" s="30" t="s">
        <v>17</v>
      </c>
      <c r="E12382" s="30" t="s">
        <v>31</v>
      </c>
      <c r="F12382" s="30" t="s">
        <v>32</v>
      </c>
      <c r="G12382" s="30" t="s">
        <v>20</v>
      </c>
      <c r="H12382" s="32">
        <v>208</v>
      </c>
      <c r="I12382" s="30" t="s">
        <v>21</v>
      </c>
      <c r="J12382" s="41">
        <v>44682</v>
      </c>
      <c r="K12382" s="30" t="s">
        <v>22</v>
      </c>
    </row>
    <row r="12383" spans="1:11">
      <c r="A12383" s="33" t="s">
        <v>28081</v>
      </c>
      <c r="B12383" s="33" t="s">
        <v>28082</v>
      </c>
      <c r="C12383" s="33" t="s">
        <v>4796</v>
      </c>
      <c r="D12383" s="33" t="s">
        <v>17</v>
      </c>
      <c r="E12383" s="33" t="s">
        <v>212</v>
      </c>
      <c r="F12383" s="33" t="s">
        <v>213</v>
      </c>
      <c r="G12383" s="33" t="s">
        <v>20</v>
      </c>
      <c r="H12383" s="35">
        <v>96</v>
      </c>
      <c r="I12383" s="33" t="s">
        <v>21</v>
      </c>
      <c r="J12383" s="42">
        <v>44807</v>
      </c>
      <c r="K12383" s="33" t="s">
        <v>22</v>
      </c>
    </row>
    <row r="12384" spans="1:11">
      <c r="A12384" s="30" t="s">
        <v>28083</v>
      </c>
      <c r="B12384" s="30" t="s">
        <v>28084</v>
      </c>
      <c r="C12384" s="30" t="s">
        <v>28085</v>
      </c>
      <c r="D12384" s="30" t="s">
        <v>17</v>
      </c>
      <c r="E12384" s="30" t="s">
        <v>18</v>
      </c>
      <c r="F12384" s="30" t="s">
        <v>19</v>
      </c>
      <c r="G12384" s="30" t="s">
        <v>140</v>
      </c>
      <c r="H12384" s="32">
        <v>200</v>
      </c>
      <c r="I12384" s="30" t="s">
        <v>51</v>
      </c>
      <c r="J12384" s="41">
        <v>44893</v>
      </c>
      <c r="K12384" s="30" t="s">
        <v>22</v>
      </c>
    </row>
    <row r="12385" spans="1:11">
      <c r="A12385" s="33" t="s">
        <v>28086</v>
      </c>
      <c r="B12385" s="33" t="s">
        <v>28087</v>
      </c>
      <c r="C12385" s="33" t="s">
        <v>3451</v>
      </c>
      <c r="D12385" s="33" t="s">
        <v>17</v>
      </c>
      <c r="E12385" s="33" t="s">
        <v>26</v>
      </c>
      <c r="F12385" s="33" t="s">
        <v>27</v>
      </c>
      <c r="G12385" s="33" t="s">
        <v>20</v>
      </c>
      <c r="H12385" s="35">
        <v>24</v>
      </c>
      <c r="I12385" s="33" t="s">
        <v>21</v>
      </c>
      <c r="J12385" s="42">
        <v>44628</v>
      </c>
      <c r="K12385" s="33" t="s">
        <v>22</v>
      </c>
    </row>
    <row r="12386" spans="1:11">
      <c r="A12386" s="30" t="s">
        <v>28088</v>
      </c>
      <c r="B12386" s="30" t="s">
        <v>28089</v>
      </c>
      <c r="C12386" s="30" t="s">
        <v>102</v>
      </c>
      <c r="D12386" s="30" t="s">
        <v>17</v>
      </c>
      <c r="E12386" s="30" t="s">
        <v>26</v>
      </c>
      <c r="F12386" s="30" t="s">
        <v>27</v>
      </c>
      <c r="G12386" s="30" t="s">
        <v>20</v>
      </c>
      <c r="H12386" s="32">
        <v>40</v>
      </c>
      <c r="I12386" s="30" t="s">
        <v>21</v>
      </c>
      <c r="J12386" s="41">
        <v>44818</v>
      </c>
      <c r="K12386" s="30" t="s">
        <v>22</v>
      </c>
    </row>
    <row r="12387" spans="1:11">
      <c r="A12387" s="33" t="s">
        <v>28090</v>
      </c>
      <c r="B12387" s="33" t="s">
        <v>28091</v>
      </c>
      <c r="C12387" s="33" t="s">
        <v>969</v>
      </c>
      <c r="D12387" s="33" t="s">
        <v>17</v>
      </c>
      <c r="E12387" s="33" t="s">
        <v>26</v>
      </c>
      <c r="F12387" s="33" t="s">
        <v>27</v>
      </c>
      <c r="G12387" s="33" t="s">
        <v>20</v>
      </c>
      <c r="H12387" s="35">
        <v>324</v>
      </c>
      <c r="I12387" s="33" t="s">
        <v>21</v>
      </c>
      <c r="J12387" s="42">
        <v>44782</v>
      </c>
      <c r="K12387" s="33" t="s">
        <v>22</v>
      </c>
    </row>
    <row r="12388" spans="1:11">
      <c r="A12388" s="30" t="s">
        <v>28092</v>
      </c>
      <c r="B12388" s="30" t="s">
        <v>28093</v>
      </c>
      <c r="C12388" s="30" t="s">
        <v>28094</v>
      </c>
      <c r="D12388" s="30" t="s">
        <v>17</v>
      </c>
      <c r="E12388" s="30" t="s">
        <v>26</v>
      </c>
      <c r="F12388" s="30" t="s">
        <v>27</v>
      </c>
      <c r="G12388" s="30" t="s">
        <v>106</v>
      </c>
      <c r="H12388" s="32">
        <v>33</v>
      </c>
      <c r="I12388" s="30" t="s">
        <v>21</v>
      </c>
      <c r="J12388" s="41">
        <v>44591</v>
      </c>
      <c r="K12388" s="30" t="s">
        <v>22</v>
      </c>
    </row>
    <row r="12389" spans="1:11">
      <c r="A12389" s="33" t="s">
        <v>28095</v>
      </c>
      <c r="B12389" s="33" t="s">
        <v>28096</v>
      </c>
      <c r="C12389" s="33" t="s">
        <v>26227</v>
      </c>
      <c r="D12389" s="33" t="s">
        <v>17</v>
      </c>
      <c r="E12389" s="33" t="s">
        <v>26</v>
      </c>
      <c r="F12389" s="33" t="s">
        <v>27</v>
      </c>
      <c r="G12389" s="33" t="s">
        <v>20</v>
      </c>
      <c r="H12389" s="35">
        <v>20</v>
      </c>
      <c r="I12389" s="33" t="s">
        <v>21</v>
      </c>
      <c r="J12389" s="42">
        <v>44572</v>
      </c>
      <c r="K12389" s="33" t="s">
        <v>22</v>
      </c>
    </row>
    <row r="12390" spans="1:11">
      <c r="A12390" s="30" t="s">
        <v>28097</v>
      </c>
      <c r="B12390" s="30" t="s">
        <v>28098</v>
      </c>
      <c r="C12390" s="30" t="s">
        <v>2609</v>
      </c>
      <c r="D12390" s="30" t="s">
        <v>17</v>
      </c>
      <c r="E12390" s="30" t="s">
        <v>31</v>
      </c>
      <c r="F12390" s="30" t="s">
        <v>32</v>
      </c>
      <c r="G12390" s="30" t="s">
        <v>20</v>
      </c>
      <c r="H12390" s="32">
        <v>66</v>
      </c>
      <c r="I12390" s="30" t="s">
        <v>21</v>
      </c>
      <c r="J12390" s="41">
        <v>44901</v>
      </c>
      <c r="K12390" s="30" t="s">
        <v>22</v>
      </c>
    </row>
    <row r="12391" spans="1:11">
      <c r="A12391" s="33" t="s">
        <v>28099</v>
      </c>
      <c r="B12391" s="33" t="s">
        <v>28100</v>
      </c>
      <c r="C12391" s="33" t="s">
        <v>1598</v>
      </c>
      <c r="D12391" s="33" t="s">
        <v>17</v>
      </c>
      <c r="E12391" s="33" t="s">
        <v>26</v>
      </c>
      <c r="F12391" s="33" t="s">
        <v>27</v>
      </c>
      <c r="G12391" s="33" t="s">
        <v>140</v>
      </c>
      <c r="H12391" s="35">
        <v>144</v>
      </c>
      <c r="I12391" s="33" t="s">
        <v>51</v>
      </c>
      <c r="J12391" s="42">
        <v>44824</v>
      </c>
      <c r="K12391" s="33" t="s">
        <v>22</v>
      </c>
    </row>
    <row r="12392" spans="1:11">
      <c r="A12392" s="30" t="s">
        <v>28101</v>
      </c>
      <c r="B12392" s="30" t="s">
        <v>28102</v>
      </c>
      <c r="C12392" s="30" t="s">
        <v>23769</v>
      </c>
      <c r="D12392" s="30" t="s">
        <v>17</v>
      </c>
      <c r="E12392" s="30" t="s">
        <v>18</v>
      </c>
      <c r="F12392" s="30" t="s">
        <v>19</v>
      </c>
      <c r="G12392" s="30" t="s">
        <v>140</v>
      </c>
      <c r="H12392" s="32">
        <v>77</v>
      </c>
      <c r="I12392" s="30" t="s">
        <v>51</v>
      </c>
      <c r="J12392" s="41">
        <v>44916</v>
      </c>
      <c r="K12392" s="30" t="s">
        <v>22</v>
      </c>
    </row>
    <row r="12393" spans="1:11">
      <c r="A12393" s="33" t="s">
        <v>28103</v>
      </c>
      <c r="B12393" s="33" t="s">
        <v>28104</v>
      </c>
      <c r="C12393" s="33" t="s">
        <v>3944</v>
      </c>
      <c r="D12393" s="33" t="s">
        <v>17</v>
      </c>
      <c r="E12393" s="33" t="s">
        <v>26</v>
      </c>
      <c r="F12393" s="33" t="s">
        <v>27</v>
      </c>
      <c r="G12393" s="33" t="s">
        <v>50</v>
      </c>
      <c r="H12393" s="35">
        <v>48</v>
      </c>
      <c r="I12393" s="33" t="s">
        <v>51</v>
      </c>
      <c r="J12393" s="42">
        <v>44759</v>
      </c>
      <c r="K12393" s="33" t="s">
        <v>22</v>
      </c>
    </row>
    <row r="12394" spans="1:11">
      <c r="A12394" s="30" t="s">
        <v>28105</v>
      </c>
      <c r="B12394" s="30" t="s">
        <v>28106</v>
      </c>
      <c r="C12394" s="30" t="s">
        <v>1598</v>
      </c>
      <c r="D12394" s="30" t="s">
        <v>17</v>
      </c>
      <c r="E12394" s="30" t="s">
        <v>31</v>
      </c>
      <c r="F12394" s="30" t="s">
        <v>32</v>
      </c>
      <c r="G12394" s="30" t="s">
        <v>7780</v>
      </c>
      <c r="H12394" s="32">
        <v>100</v>
      </c>
      <c r="I12394" s="30" t="s">
        <v>51</v>
      </c>
      <c r="J12394" s="41">
        <v>44645</v>
      </c>
      <c r="K12394" s="30" t="s">
        <v>22</v>
      </c>
    </row>
    <row r="12395" spans="1:11">
      <c r="A12395" s="33" t="s">
        <v>28107</v>
      </c>
      <c r="B12395" s="33" t="s">
        <v>28108</v>
      </c>
      <c r="C12395" s="33" t="s">
        <v>28109</v>
      </c>
      <c r="D12395" s="33" t="s">
        <v>17</v>
      </c>
      <c r="E12395" s="33" t="s">
        <v>67</v>
      </c>
      <c r="F12395" s="33" t="s">
        <v>68</v>
      </c>
      <c r="G12395" s="33" t="s">
        <v>20</v>
      </c>
      <c r="H12395" s="35">
        <v>20</v>
      </c>
      <c r="I12395" s="33" t="s">
        <v>21</v>
      </c>
      <c r="J12395" s="42">
        <v>44691</v>
      </c>
      <c r="K12395" s="33" t="s">
        <v>22</v>
      </c>
    </row>
    <row r="12396" spans="1:11">
      <c r="A12396" s="30" t="s">
        <v>28110</v>
      </c>
      <c r="B12396" s="30" t="s">
        <v>28111</v>
      </c>
      <c r="C12396" s="30" t="s">
        <v>3610</v>
      </c>
      <c r="D12396" s="30" t="s">
        <v>17</v>
      </c>
      <c r="E12396" s="30" t="s">
        <v>26</v>
      </c>
      <c r="F12396" s="30" t="s">
        <v>27</v>
      </c>
      <c r="G12396" s="30" t="s">
        <v>20</v>
      </c>
      <c r="H12396" s="32">
        <v>16</v>
      </c>
      <c r="I12396" s="30" t="s">
        <v>21</v>
      </c>
      <c r="J12396" s="41">
        <v>44854</v>
      </c>
      <c r="K12396" s="30" t="s">
        <v>22</v>
      </c>
    </row>
    <row r="12397" spans="1:11">
      <c r="A12397" s="33" t="s">
        <v>28112</v>
      </c>
      <c r="B12397" s="33" t="s">
        <v>28113</v>
      </c>
      <c r="C12397" s="33" t="s">
        <v>822</v>
      </c>
      <c r="D12397" s="33" t="s">
        <v>17</v>
      </c>
      <c r="E12397" s="33" t="s">
        <v>18</v>
      </c>
      <c r="F12397" s="33" t="s">
        <v>19</v>
      </c>
      <c r="G12397" s="33" t="s">
        <v>158</v>
      </c>
      <c r="H12397" s="35">
        <v>777</v>
      </c>
      <c r="I12397" s="33" t="s">
        <v>51</v>
      </c>
      <c r="J12397" s="42">
        <v>44635</v>
      </c>
      <c r="K12397" s="33" t="s">
        <v>22</v>
      </c>
    </row>
    <row r="12398" spans="1:11">
      <c r="A12398" s="30" t="s">
        <v>28114</v>
      </c>
      <c r="B12398" s="30" t="s">
        <v>28115</v>
      </c>
      <c r="C12398" s="30" t="s">
        <v>570</v>
      </c>
      <c r="D12398" s="30" t="s">
        <v>17</v>
      </c>
      <c r="E12398" s="30" t="s">
        <v>31</v>
      </c>
      <c r="F12398" s="30" t="s">
        <v>32</v>
      </c>
      <c r="G12398" s="30" t="s">
        <v>50</v>
      </c>
      <c r="H12398" s="32">
        <v>60</v>
      </c>
      <c r="I12398" s="30" t="s">
        <v>51</v>
      </c>
      <c r="J12398" s="41">
        <v>44833</v>
      </c>
      <c r="K12398" s="30" t="s">
        <v>22</v>
      </c>
    </row>
    <row r="12399" spans="1:11">
      <c r="A12399" s="33" t="s">
        <v>28116</v>
      </c>
      <c r="B12399" s="33" t="s">
        <v>28117</v>
      </c>
      <c r="C12399" s="33" t="s">
        <v>399</v>
      </c>
      <c r="D12399" s="33" t="s">
        <v>17</v>
      </c>
      <c r="E12399" s="33" t="s">
        <v>45</v>
      </c>
      <c r="F12399" s="33" t="s">
        <v>46</v>
      </c>
      <c r="G12399" s="33" t="s">
        <v>2613</v>
      </c>
      <c r="H12399" s="35">
        <v>600</v>
      </c>
      <c r="I12399" s="33" t="s">
        <v>51</v>
      </c>
      <c r="J12399" s="42">
        <v>44656</v>
      </c>
      <c r="K12399" s="33" t="s">
        <v>22</v>
      </c>
    </row>
    <row r="12400" spans="1:11">
      <c r="A12400" s="30" t="s">
        <v>28118</v>
      </c>
      <c r="B12400" s="30" t="s">
        <v>28119</v>
      </c>
      <c r="C12400" s="30" t="s">
        <v>16025</v>
      </c>
      <c r="D12400" s="30" t="s">
        <v>17</v>
      </c>
      <c r="E12400" s="30" t="s">
        <v>31</v>
      </c>
      <c r="F12400" s="30" t="s">
        <v>32</v>
      </c>
      <c r="G12400" s="30" t="s">
        <v>50</v>
      </c>
      <c r="H12400" s="32">
        <v>12</v>
      </c>
      <c r="I12400" s="30" t="s">
        <v>51</v>
      </c>
      <c r="J12400" s="41">
        <v>44857</v>
      </c>
      <c r="K12400" s="30" t="s">
        <v>22</v>
      </c>
    </row>
    <row r="12401" spans="1:11">
      <c r="A12401" s="33" t="s">
        <v>28120</v>
      </c>
      <c r="B12401" s="33" t="s">
        <v>28121</v>
      </c>
      <c r="C12401" s="33" t="s">
        <v>2094</v>
      </c>
      <c r="D12401" s="33" t="s">
        <v>17</v>
      </c>
      <c r="E12401" s="33" t="s">
        <v>26</v>
      </c>
      <c r="F12401" s="33" t="s">
        <v>27</v>
      </c>
      <c r="G12401" s="33" t="s">
        <v>20</v>
      </c>
      <c r="H12401" s="35">
        <v>48</v>
      </c>
      <c r="I12401" s="33" t="s">
        <v>21</v>
      </c>
      <c r="J12401" s="42">
        <v>44565</v>
      </c>
      <c r="K12401" s="33" t="s">
        <v>22</v>
      </c>
    </row>
    <row r="12402" spans="1:11">
      <c r="A12402" s="30" t="s">
        <v>28122</v>
      </c>
      <c r="B12402" s="30" t="s">
        <v>28123</v>
      </c>
      <c r="C12402" s="30" t="s">
        <v>11476</v>
      </c>
      <c r="D12402" s="30" t="s">
        <v>17</v>
      </c>
      <c r="E12402" s="30" t="s">
        <v>31</v>
      </c>
      <c r="F12402" s="30" t="s">
        <v>32</v>
      </c>
      <c r="G12402" s="30" t="s">
        <v>50</v>
      </c>
      <c r="H12402" s="32">
        <v>18</v>
      </c>
      <c r="I12402" s="30" t="s">
        <v>51</v>
      </c>
      <c r="J12402" s="41">
        <v>44649</v>
      </c>
      <c r="K12402" s="30" t="s">
        <v>22</v>
      </c>
    </row>
    <row r="12403" spans="1:11">
      <c r="A12403" s="33" t="s">
        <v>28124</v>
      </c>
      <c r="B12403" s="33" t="s">
        <v>28125</v>
      </c>
      <c r="C12403" s="33" t="s">
        <v>28126</v>
      </c>
      <c r="D12403" s="33" t="s">
        <v>17</v>
      </c>
      <c r="E12403" s="33" t="s">
        <v>26</v>
      </c>
      <c r="F12403" s="33" t="s">
        <v>27</v>
      </c>
      <c r="G12403" s="33" t="s">
        <v>140</v>
      </c>
      <c r="H12403" s="35">
        <v>18</v>
      </c>
      <c r="I12403" s="33" t="s">
        <v>51</v>
      </c>
      <c r="J12403" s="42">
        <v>44630</v>
      </c>
      <c r="K12403" s="33" t="s">
        <v>22</v>
      </c>
    </row>
    <row r="12404" spans="1:11">
      <c r="A12404" s="30" t="s">
        <v>28127</v>
      </c>
      <c r="B12404" s="30" t="s">
        <v>28128</v>
      </c>
      <c r="C12404" s="30" t="s">
        <v>17017</v>
      </c>
      <c r="D12404" s="30" t="s">
        <v>17</v>
      </c>
      <c r="E12404" s="30" t="s">
        <v>26</v>
      </c>
      <c r="F12404" s="30" t="s">
        <v>27</v>
      </c>
      <c r="G12404" s="30" t="s">
        <v>20</v>
      </c>
      <c r="H12404" s="32">
        <v>10</v>
      </c>
      <c r="I12404" s="30" t="s">
        <v>21</v>
      </c>
      <c r="J12404" s="41">
        <v>44642</v>
      </c>
      <c r="K12404" s="30" t="s">
        <v>22</v>
      </c>
    </row>
    <row r="12405" spans="1:11">
      <c r="A12405" s="33" t="s">
        <v>28129</v>
      </c>
      <c r="B12405" s="33" t="s">
        <v>28130</v>
      </c>
      <c r="C12405" s="33" t="s">
        <v>28131</v>
      </c>
      <c r="D12405" s="33" t="s">
        <v>17</v>
      </c>
      <c r="E12405" s="33" t="s">
        <v>26</v>
      </c>
      <c r="F12405" s="33" t="s">
        <v>27</v>
      </c>
      <c r="G12405" s="33" t="s">
        <v>20</v>
      </c>
      <c r="H12405" s="35">
        <v>127</v>
      </c>
      <c r="I12405" s="33" t="s">
        <v>21</v>
      </c>
      <c r="J12405" s="42">
        <v>44830</v>
      </c>
      <c r="K12405" s="33" t="s">
        <v>22</v>
      </c>
    </row>
    <row r="12406" spans="1:11">
      <c r="A12406" s="30" t="s">
        <v>28132</v>
      </c>
      <c r="B12406" s="30" t="s">
        <v>28133</v>
      </c>
      <c r="C12406" s="30" t="s">
        <v>14559</v>
      </c>
      <c r="D12406" s="30" t="s">
        <v>17</v>
      </c>
      <c r="E12406" s="30" t="s">
        <v>26</v>
      </c>
      <c r="F12406" s="30" t="s">
        <v>27</v>
      </c>
      <c r="G12406" s="30" t="s">
        <v>112</v>
      </c>
      <c r="H12406" s="32">
        <v>0</v>
      </c>
      <c r="I12406" s="30" t="s">
        <v>21</v>
      </c>
      <c r="J12406" s="41">
        <v>44621</v>
      </c>
      <c r="K12406" s="30" t="s">
        <v>22</v>
      </c>
    </row>
    <row r="12407" spans="1:11">
      <c r="A12407" s="33" t="s">
        <v>28134</v>
      </c>
      <c r="B12407" s="33" t="s">
        <v>28135</v>
      </c>
      <c r="C12407" s="33" t="s">
        <v>28136</v>
      </c>
      <c r="D12407" s="33" t="s">
        <v>17</v>
      </c>
      <c r="E12407" s="33" t="s">
        <v>67</v>
      </c>
      <c r="F12407" s="33" t="s">
        <v>68</v>
      </c>
      <c r="G12407" s="33" t="s">
        <v>20</v>
      </c>
      <c r="H12407" s="35">
        <v>65</v>
      </c>
      <c r="I12407" s="33" t="s">
        <v>21</v>
      </c>
      <c r="J12407" s="42">
        <v>44685</v>
      </c>
      <c r="K12407" s="33" t="s">
        <v>22</v>
      </c>
    </row>
    <row r="12408" spans="1:11">
      <c r="A12408" s="30" t="s">
        <v>28137</v>
      </c>
      <c r="B12408" s="30" t="s">
        <v>28138</v>
      </c>
      <c r="C12408" s="30" t="s">
        <v>318</v>
      </c>
      <c r="D12408" s="30" t="s">
        <v>17</v>
      </c>
      <c r="E12408" s="30" t="s">
        <v>26</v>
      </c>
      <c r="F12408" s="30" t="s">
        <v>27</v>
      </c>
      <c r="G12408" s="30" t="s">
        <v>20</v>
      </c>
      <c r="H12408" s="32">
        <v>16</v>
      </c>
      <c r="I12408" s="30" t="s">
        <v>21</v>
      </c>
      <c r="J12408" s="41">
        <v>44756</v>
      </c>
      <c r="K12408" s="30" t="s">
        <v>22</v>
      </c>
    </row>
    <row r="12409" spans="1:11">
      <c r="A12409" s="33" t="s">
        <v>28139</v>
      </c>
      <c r="B12409" s="33" t="s">
        <v>28140</v>
      </c>
      <c r="C12409" s="33" t="s">
        <v>3848</v>
      </c>
      <c r="D12409" s="33" t="s">
        <v>17</v>
      </c>
      <c r="E12409" s="33" t="s">
        <v>330</v>
      </c>
      <c r="F12409" s="33" t="s">
        <v>331</v>
      </c>
      <c r="G12409" s="33" t="s">
        <v>50</v>
      </c>
      <c r="H12409" s="35">
        <v>100</v>
      </c>
      <c r="I12409" s="33" t="s">
        <v>51</v>
      </c>
      <c r="J12409" s="42">
        <v>44693</v>
      </c>
      <c r="K12409" s="33" t="s">
        <v>22</v>
      </c>
    </row>
    <row r="12410" spans="1:11">
      <c r="A12410" s="30" t="s">
        <v>28141</v>
      </c>
      <c r="B12410" s="30" t="s">
        <v>28142</v>
      </c>
      <c r="C12410" s="30" t="s">
        <v>96</v>
      </c>
      <c r="D12410" s="30" t="s">
        <v>17</v>
      </c>
      <c r="E12410" s="30" t="s">
        <v>26</v>
      </c>
      <c r="F12410" s="30" t="s">
        <v>27</v>
      </c>
      <c r="G12410" s="30" t="s">
        <v>20</v>
      </c>
      <c r="H12410" s="32">
        <v>22</v>
      </c>
      <c r="I12410" s="30" t="s">
        <v>21</v>
      </c>
      <c r="J12410" s="41">
        <v>44833</v>
      </c>
      <c r="K12410" s="30" t="s">
        <v>22</v>
      </c>
    </row>
    <row r="12411" spans="1:11">
      <c r="A12411" s="33" t="s">
        <v>28143</v>
      </c>
      <c r="B12411" s="33" t="s">
        <v>28144</v>
      </c>
      <c r="C12411" s="33" t="s">
        <v>4176</v>
      </c>
      <c r="D12411" s="33" t="s">
        <v>17</v>
      </c>
      <c r="E12411" s="33" t="s">
        <v>18</v>
      </c>
      <c r="F12411" s="33" t="s">
        <v>19</v>
      </c>
      <c r="G12411" s="33" t="s">
        <v>20</v>
      </c>
      <c r="H12411" s="35">
        <v>333</v>
      </c>
      <c r="I12411" s="33" t="s">
        <v>21</v>
      </c>
      <c r="J12411" s="42">
        <v>44917</v>
      </c>
      <c r="K12411" s="33" t="s">
        <v>22</v>
      </c>
    </row>
    <row r="12412" spans="1:11">
      <c r="A12412" s="30" t="s">
        <v>28145</v>
      </c>
      <c r="B12412" s="30" t="s">
        <v>28146</v>
      </c>
      <c r="C12412" s="30" t="s">
        <v>60</v>
      </c>
      <c r="D12412" s="30" t="s">
        <v>17</v>
      </c>
      <c r="E12412" s="30" t="s">
        <v>26</v>
      </c>
      <c r="F12412" s="30" t="s">
        <v>27</v>
      </c>
      <c r="G12412" s="30" t="s">
        <v>20</v>
      </c>
      <c r="H12412" s="32">
        <v>36</v>
      </c>
      <c r="I12412" s="30" t="s">
        <v>21</v>
      </c>
      <c r="J12412" s="41">
        <v>44848</v>
      </c>
      <c r="K12412" s="30" t="s">
        <v>22</v>
      </c>
    </row>
    <row r="12413" spans="1:11">
      <c r="A12413" s="33" t="s">
        <v>28147</v>
      </c>
      <c r="B12413" s="33" t="s">
        <v>28148</v>
      </c>
      <c r="C12413" s="33" t="s">
        <v>11899</v>
      </c>
      <c r="D12413" s="33" t="s">
        <v>17</v>
      </c>
      <c r="E12413" s="33" t="s">
        <v>26</v>
      </c>
      <c r="F12413" s="33" t="s">
        <v>27</v>
      </c>
      <c r="G12413" s="33" t="s">
        <v>50</v>
      </c>
      <c r="H12413" s="35">
        <v>25</v>
      </c>
      <c r="I12413" s="33" t="s">
        <v>21</v>
      </c>
      <c r="J12413" s="42">
        <v>44602</v>
      </c>
      <c r="K12413" s="33" t="s">
        <v>22</v>
      </c>
    </row>
    <row r="12414" spans="1:11">
      <c r="A12414" s="30" t="s">
        <v>28149</v>
      </c>
      <c r="B12414" s="30" t="s">
        <v>28150</v>
      </c>
      <c r="C12414" s="30" t="s">
        <v>3302</v>
      </c>
      <c r="D12414" s="30" t="s">
        <v>17</v>
      </c>
      <c r="E12414" s="30" t="s">
        <v>18</v>
      </c>
      <c r="F12414" s="30" t="s">
        <v>19</v>
      </c>
      <c r="G12414" s="30" t="s">
        <v>50</v>
      </c>
      <c r="H12414" s="32">
        <v>200</v>
      </c>
      <c r="I12414" s="30" t="s">
        <v>51</v>
      </c>
      <c r="J12414" s="41">
        <v>44593</v>
      </c>
      <c r="K12414" s="30" t="s">
        <v>22</v>
      </c>
    </row>
    <row r="12415" spans="1:11">
      <c r="A12415" s="33" t="s">
        <v>28151</v>
      </c>
      <c r="B12415" s="33" t="s">
        <v>28152</v>
      </c>
      <c r="C12415" s="33" t="s">
        <v>28153</v>
      </c>
      <c r="D12415" s="33" t="s">
        <v>17</v>
      </c>
      <c r="E12415" s="33" t="s">
        <v>67</v>
      </c>
      <c r="F12415" s="33" t="s">
        <v>68</v>
      </c>
      <c r="G12415" s="33" t="s">
        <v>140</v>
      </c>
      <c r="H12415" s="35">
        <v>312</v>
      </c>
      <c r="I12415" s="33" t="s">
        <v>51</v>
      </c>
      <c r="J12415" s="42">
        <v>44706</v>
      </c>
      <c r="K12415" s="33" t="s">
        <v>22</v>
      </c>
    </row>
    <row r="12416" spans="1:11">
      <c r="A12416" s="30" t="s">
        <v>28154</v>
      </c>
      <c r="B12416" s="30" t="s">
        <v>28155</v>
      </c>
      <c r="C12416" s="30" t="s">
        <v>12969</v>
      </c>
      <c r="D12416" s="30" t="s">
        <v>17</v>
      </c>
      <c r="E12416" s="30" t="s">
        <v>26</v>
      </c>
      <c r="F12416" s="30" t="s">
        <v>27</v>
      </c>
      <c r="G12416" s="30" t="s">
        <v>106</v>
      </c>
      <c r="H12416" s="32">
        <v>1</v>
      </c>
      <c r="I12416" s="30" t="s">
        <v>21</v>
      </c>
      <c r="J12416" s="41">
        <v>44797</v>
      </c>
      <c r="K12416" s="30" t="s">
        <v>22</v>
      </c>
    </row>
    <row r="12417" spans="1:11">
      <c r="A12417" s="33" t="s">
        <v>28156</v>
      </c>
      <c r="B12417" s="33" t="s">
        <v>28157</v>
      </c>
      <c r="C12417" s="33" t="s">
        <v>190</v>
      </c>
      <c r="D12417" s="33" t="s">
        <v>17</v>
      </c>
      <c r="E12417" s="33" t="s">
        <v>26</v>
      </c>
      <c r="F12417" s="33" t="s">
        <v>27</v>
      </c>
      <c r="G12417" s="33" t="s">
        <v>20</v>
      </c>
      <c r="H12417" s="35">
        <v>16</v>
      </c>
      <c r="I12417" s="33" t="s">
        <v>21</v>
      </c>
      <c r="J12417" s="42">
        <v>44797</v>
      </c>
      <c r="K12417" s="33" t="s">
        <v>22</v>
      </c>
    </row>
    <row r="12418" spans="1:11">
      <c r="A12418" s="30" t="s">
        <v>28158</v>
      </c>
      <c r="B12418" s="30" t="s">
        <v>28159</v>
      </c>
      <c r="C12418" s="30" t="s">
        <v>17650</v>
      </c>
      <c r="D12418" s="30" t="s">
        <v>17</v>
      </c>
      <c r="E12418" s="30" t="s">
        <v>26</v>
      </c>
      <c r="F12418" s="30" t="s">
        <v>27</v>
      </c>
      <c r="G12418" s="30" t="s">
        <v>20</v>
      </c>
      <c r="H12418" s="32">
        <v>44</v>
      </c>
      <c r="I12418" s="30" t="s">
        <v>21</v>
      </c>
      <c r="J12418" s="41">
        <v>44747</v>
      </c>
      <c r="K12418" s="30" t="s">
        <v>22</v>
      </c>
    </row>
    <row r="12419" spans="1:11">
      <c r="A12419" s="33" t="s">
        <v>28160</v>
      </c>
      <c r="B12419" s="33" t="s">
        <v>28161</v>
      </c>
      <c r="C12419" s="33" t="s">
        <v>2305</v>
      </c>
      <c r="D12419" s="33" t="s">
        <v>17</v>
      </c>
      <c r="E12419" s="33" t="s">
        <v>26</v>
      </c>
      <c r="F12419" s="33" t="s">
        <v>27</v>
      </c>
      <c r="G12419" s="33" t="s">
        <v>20</v>
      </c>
      <c r="H12419" s="35">
        <v>40</v>
      </c>
      <c r="I12419" s="33" t="s">
        <v>21</v>
      </c>
      <c r="J12419" s="42">
        <v>44749</v>
      </c>
      <c r="K12419" s="33" t="s">
        <v>22</v>
      </c>
    </row>
    <row r="12420" spans="1:11">
      <c r="A12420" s="30" t="s">
        <v>28162</v>
      </c>
      <c r="B12420" s="30" t="s">
        <v>28163</v>
      </c>
      <c r="C12420" s="30" t="s">
        <v>28164</v>
      </c>
      <c r="D12420" s="30" t="s">
        <v>17</v>
      </c>
      <c r="E12420" s="30" t="s">
        <v>31</v>
      </c>
      <c r="F12420" s="30" t="s">
        <v>32</v>
      </c>
      <c r="G12420" s="30" t="s">
        <v>20</v>
      </c>
      <c r="H12420" s="32">
        <v>111</v>
      </c>
      <c r="I12420" s="30" t="s">
        <v>21</v>
      </c>
      <c r="J12420" s="41">
        <v>44743</v>
      </c>
      <c r="K12420" s="30" t="s">
        <v>22</v>
      </c>
    </row>
    <row r="12421" spans="1:11">
      <c r="A12421" s="33" t="s">
        <v>28165</v>
      </c>
      <c r="B12421" s="33" t="s">
        <v>28166</v>
      </c>
      <c r="C12421" s="33" t="s">
        <v>7246</v>
      </c>
      <c r="D12421" s="33" t="s">
        <v>17</v>
      </c>
      <c r="E12421" s="33" t="s">
        <v>18</v>
      </c>
      <c r="F12421" s="33" t="s">
        <v>19</v>
      </c>
      <c r="G12421" s="33" t="s">
        <v>20</v>
      </c>
      <c r="H12421" s="35">
        <v>776</v>
      </c>
      <c r="I12421" s="33" t="s">
        <v>21</v>
      </c>
      <c r="J12421" s="42">
        <v>44578</v>
      </c>
      <c r="K12421" s="33" t="s">
        <v>22</v>
      </c>
    </row>
    <row r="12422" spans="1:11">
      <c r="A12422" s="30" t="s">
        <v>28167</v>
      </c>
      <c r="B12422" s="30" t="s">
        <v>28168</v>
      </c>
      <c r="C12422" s="30" t="s">
        <v>695</v>
      </c>
      <c r="D12422" s="30" t="s">
        <v>17</v>
      </c>
      <c r="E12422" s="30" t="s">
        <v>330</v>
      </c>
      <c r="F12422" s="30" t="s">
        <v>331</v>
      </c>
      <c r="G12422" s="30" t="s">
        <v>112</v>
      </c>
      <c r="H12422" s="32">
        <v>0</v>
      </c>
      <c r="I12422" s="30" t="s">
        <v>21</v>
      </c>
      <c r="J12422" s="41">
        <v>44865</v>
      </c>
      <c r="K12422" s="30" t="s">
        <v>22</v>
      </c>
    </row>
    <row r="12423" spans="1:11">
      <c r="A12423" s="33" t="s">
        <v>28169</v>
      </c>
      <c r="B12423" s="33" t="s">
        <v>28170</v>
      </c>
      <c r="C12423" s="33" t="s">
        <v>28171</v>
      </c>
      <c r="D12423" s="33" t="s">
        <v>17</v>
      </c>
      <c r="E12423" s="33" t="s">
        <v>330</v>
      </c>
      <c r="F12423" s="33" t="s">
        <v>331</v>
      </c>
      <c r="G12423" s="33" t="s">
        <v>20</v>
      </c>
      <c r="H12423" s="35">
        <v>12</v>
      </c>
      <c r="I12423" s="33" t="s">
        <v>21</v>
      </c>
      <c r="J12423" s="42">
        <v>44900</v>
      </c>
      <c r="K12423" s="33" t="s">
        <v>22</v>
      </c>
    </row>
    <row r="12424" spans="1:11">
      <c r="A12424" s="30" t="s">
        <v>28172</v>
      </c>
      <c r="B12424" s="30" t="s">
        <v>28173</v>
      </c>
      <c r="C12424" s="30" t="s">
        <v>14661</v>
      </c>
      <c r="D12424" s="30" t="s">
        <v>17</v>
      </c>
      <c r="E12424" s="30" t="s">
        <v>31</v>
      </c>
      <c r="F12424" s="30" t="s">
        <v>32</v>
      </c>
      <c r="G12424" s="30" t="s">
        <v>106</v>
      </c>
      <c r="H12424" s="32">
        <v>25</v>
      </c>
      <c r="I12424" s="30" t="s">
        <v>21</v>
      </c>
      <c r="J12424" s="41">
        <v>44760</v>
      </c>
      <c r="K12424" s="30" t="s">
        <v>22</v>
      </c>
    </row>
    <row r="12425" spans="1:11">
      <c r="A12425" s="33" t="s">
        <v>28174</v>
      </c>
      <c r="B12425" s="33" t="s">
        <v>28175</v>
      </c>
      <c r="C12425" s="33" t="s">
        <v>9234</v>
      </c>
      <c r="D12425" s="33" t="s">
        <v>17</v>
      </c>
      <c r="E12425" s="33" t="s">
        <v>18</v>
      </c>
      <c r="F12425" s="33" t="s">
        <v>19</v>
      </c>
      <c r="G12425" s="33" t="s">
        <v>158</v>
      </c>
      <c r="H12425" s="35">
        <v>80</v>
      </c>
      <c r="I12425" s="33" t="s">
        <v>51</v>
      </c>
      <c r="J12425" s="42">
        <v>44762</v>
      </c>
      <c r="K12425" s="33" t="s">
        <v>22</v>
      </c>
    </row>
    <row r="12426" spans="1:11">
      <c r="A12426" s="30" t="s">
        <v>28176</v>
      </c>
      <c r="B12426" s="30" t="s">
        <v>28177</v>
      </c>
      <c r="C12426" s="30" t="s">
        <v>28178</v>
      </c>
      <c r="D12426" s="30" t="s">
        <v>17</v>
      </c>
      <c r="E12426" s="30" t="s">
        <v>26</v>
      </c>
      <c r="F12426" s="30" t="s">
        <v>27</v>
      </c>
      <c r="G12426" s="30" t="s">
        <v>20</v>
      </c>
      <c r="H12426" s="32">
        <v>65</v>
      </c>
      <c r="I12426" s="30" t="s">
        <v>21</v>
      </c>
      <c r="J12426" s="41">
        <v>44832</v>
      </c>
      <c r="K12426" s="30" t="s">
        <v>22</v>
      </c>
    </row>
    <row r="12427" spans="1:11">
      <c r="A12427" s="33" t="s">
        <v>28179</v>
      </c>
      <c r="B12427" s="33" t="s">
        <v>28180</v>
      </c>
      <c r="C12427" s="33" t="s">
        <v>14457</v>
      </c>
      <c r="D12427" s="33" t="s">
        <v>17</v>
      </c>
      <c r="E12427" s="33" t="s">
        <v>26</v>
      </c>
      <c r="F12427" s="33" t="s">
        <v>27</v>
      </c>
      <c r="G12427" s="33" t="s">
        <v>158</v>
      </c>
      <c r="H12427" s="35">
        <v>222</v>
      </c>
      <c r="I12427" s="33" t="s">
        <v>51</v>
      </c>
      <c r="J12427" s="42">
        <v>44823</v>
      </c>
      <c r="K12427" s="33" t="s">
        <v>22</v>
      </c>
    </row>
    <row r="12428" spans="1:11">
      <c r="A12428" s="30" t="s">
        <v>28181</v>
      </c>
      <c r="B12428" s="30" t="s">
        <v>28182</v>
      </c>
      <c r="C12428" s="30" t="s">
        <v>7831</v>
      </c>
      <c r="D12428" s="30" t="s">
        <v>17</v>
      </c>
      <c r="E12428" s="30" t="s">
        <v>67</v>
      </c>
      <c r="F12428" s="30" t="s">
        <v>68</v>
      </c>
      <c r="G12428" s="30" t="s">
        <v>140</v>
      </c>
      <c r="H12428" s="32">
        <v>30</v>
      </c>
      <c r="I12428" s="30" t="s">
        <v>51</v>
      </c>
      <c r="J12428" s="41">
        <v>44753</v>
      </c>
      <c r="K12428" s="30" t="s">
        <v>22</v>
      </c>
    </row>
    <row r="12429" spans="1:11">
      <c r="A12429" s="33" t="s">
        <v>28183</v>
      </c>
      <c r="B12429" s="33" t="s">
        <v>28184</v>
      </c>
      <c r="C12429" s="33" t="s">
        <v>12985</v>
      </c>
      <c r="D12429" s="33" t="s">
        <v>17</v>
      </c>
      <c r="E12429" s="33" t="s">
        <v>67</v>
      </c>
      <c r="F12429" s="33" t="s">
        <v>68</v>
      </c>
      <c r="G12429" s="33" t="s">
        <v>140</v>
      </c>
      <c r="H12429" s="35">
        <v>168</v>
      </c>
      <c r="I12429" s="33" t="s">
        <v>51</v>
      </c>
      <c r="J12429" s="42">
        <v>44658</v>
      </c>
      <c r="K12429" s="33" t="s">
        <v>22</v>
      </c>
    </row>
    <row r="12430" spans="1:11">
      <c r="A12430" s="30" t="s">
        <v>28185</v>
      </c>
      <c r="B12430" s="30" t="s">
        <v>28186</v>
      </c>
      <c r="C12430" s="30" t="s">
        <v>3655</v>
      </c>
      <c r="D12430" s="30" t="s">
        <v>17</v>
      </c>
      <c r="E12430" s="30" t="s">
        <v>31</v>
      </c>
      <c r="F12430" s="30" t="s">
        <v>32</v>
      </c>
      <c r="G12430" s="30" t="s">
        <v>20</v>
      </c>
      <c r="H12430" s="32">
        <v>1019</v>
      </c>
      <c r="I12430" s="30" t="s">
        <v>21</v>
      </c>
      <c r="J12430" s="41">
        <v>44862</v>
      </c>
      <c r="K12430" s="30" t="s">
        <v>22</v>
      </c>
    </row>
    <row r="12431" spans="1:11">
      <c r="A12431" s="33" t="s">
        <v>28187</v>
      </c>
      <c r="B12431" s="33" t="s">
        <v>28188</v>
      </c>
      <c r="C12431" s="33" t="s">
        <v>93</v>
      </c>
      <c r="D12431" s="33" t="s">
        <v>17</v>
      </c>
      <c r="E12431" s="33" t="s">
        <v>18</v>
      </c>
      <c r="F12431" s="33" t="s">
        <v>19</v>
      </c>
      <c r="G12431" s="33" t="s">
        <v>20</v>
      </c>
      <c r="H12431" s="35">
        <v>75</v>
      </c>
      <c r="I12431" s="33" t="s">
        <v>21</v>
      </c>
      <c r="J12431" s="42">
        <v>44642</v>
      </c>
      <c r="K12431" s="33" t="s">
        <v>22</v>
      </c>
    </row>
    <row r="12432" spans="1:11">
      <c r="A12432" s="30" t="s">
        <v>28189</v>
      </c>
      <c r="B12432" s="30" t="s">
        <v>28190</v>
      </c>
      <c r="C12432" s="30" t="s">
        <v>443</v>
      </c>
      <c r="D12432" s="30" t="s">
        <v>17</v>
      </c>
      <c r="E12432" s="30" t="s">
        <v>212</v>
      </c>
      <c r="F12432" s="30" t="s">
        <v>213</v>
      </c>
      <c r="G12432" s="30" t="s">
        <v>20</v>
      </c>
      <c r="H12432" s="32">
        <v>1800</v>
      </c>
      <c r="I12432" s="30" t="s">
        <v>21</v>
      </c>
      <c r="J12432" s="41">
        <v>44859</v>
      </c>
      <c r="K12432" s="30" t="s">
        <v>22</v>
      </c>
    </row>
    <row r="12433" spans="1:11">
      <c r="A12433" s="33" t="s">
        <v>28191</v>
      </c>
      <c r="B12433" s="33" t="s">
        <v>28192</v>
      </c>
      <c r="C12433" s="33" t="s">
        <v>535</v>
      </c>
      <c r="D12433" s="33" t="s">
        <v>17</v>
      </c>
      <c r="E12433" s="33" t="s">
        <v>18</v>
      </c>
      <c r="F12433" s="33" t="s">
        <v>19</v>
      </c>
      <c r="G12433" s="33" t="s">
        <v>20</v>
      </c>
      <c r="H12433" s="35">
        <v>2093</v>
      </c>
      <c r="I12433" s="33" t="s">
        <v>21</v>
      </c>
      <c r="J12433" s="42">
        <v>44776</v>
      </c>
      <c r="K12433" s="33" t="s">
        <v>22</v>
      </c>
    </row>
    <row r="12434" spans="1:11">
      <c r="A12434" s="30" t="s">
        <v>28193</v>
      </c>
      <c r="B12434" s="30" t="s">
        <v>28194</v>
      </c>
      <c r="C12434" s="30" t="s">
        <v>178</v>
      </c>
      <c r="D12434" s="30" t="s">
        <v>17</v>
      </c>
      <c r="E12434" s="30" t="s">
        <v>67</v>
      </c>
      <c r="F12434" s="30" t="s">
        <v>68</v>
      </c>
      <c r="G12434" s="30" t="s">
        <v>106</v>
      </c>
      <c r="H12434" s="32">
        <v>40</v>
      </c>
      <c r="I12434" s="30" t="s">
        <v>21</v>
      </c>
      <c r="J12434" s="41">
        <v>44621</v>
      </c>
      <c r="K12434" s="30" t="s">
        <v>22</v>
      </c>
    </row>
    <row r="12435" spans="1:11">
      <c r="A12435" s="33" t="s">
        <v>28195</v>
      </c>
      <c r="B12435" s="33" t="s">
        <v>28196</v>
      </c>
      <c r="C12435" s="33" t="s">
        <v>22557</v>
      </c>
      <c r="D12435" s="33" t="s">
        <v>17</v>
      </c>
      <c r="E12435" s="33" t="s">
        <v>26</v>
      </c>
      <c r="F12435" s="33" t="s">
        <v>27</v>
      </c>
      <c r="G12435" s="33" t="s">
        <v>20</v>
      </c>
      <c r="H12435" s="35">
        <v>41</v>
      </c>
      <c r="I12435" s="33" t="s">
        <v>21</v>
      </c>
      <c r="J12435" s="42">
        <v>44691</v>
      </c>
      <c r="K12435" s="33" t="s">
        <v>22</v>
      </c>
    </row>
    <row r="12436" spans="1:11">
      <c r="A12436" s="30" t="s">
        <v>28197</v>
      </c>
      <c r="B12436" s="30" t="s">
        <v>28198</v>
      </c>
      <c r="C12436" s="30" t="s">
        <v>8151</v>
      </c>
      <c r="D12436" s="30" t="s">
        <v>17</v>
      </c>
      <c r="E12436" s="30" t="s">
        <v>31</v>
      </c>
      <c r="F12436" s="30" t="s">
        <v>32</v>
      </c>
      <c r="G12436" s="30" t="s">
        <v>112</v>
      </c>
      <c r="H12436" s="32">
        <v>0</v>
      </c>
      <c r="I12436" s="30" t="s">
        <v>21</v>
      </c>
      <c r="J12436" s="41">
        <v>44713</v>
      </c>
      <c r="K12436" s="30" t="s">
        <v>22</v>
      </c>
    </row>
    <row r="12437" spans="1:11">
      <c r="A12437" s="33" t="s">
        <v>28199</v>
      </c>
      <c r="B12437" s="33" t="s">
        <v>28200</v>
      </c>
      <c r="C12437" s="33" t="s">
        <v>109</v>
      </c>
      <c r="D12437" s="33" t="s">
        <v>17</v>
      </c>
      <c r="E12437" s="33" t="s">
        <v>31</v>
      </c>
      <c r="F12437" s="33" t="s">
        <v>32</v>
      </c>
      <c r="G12437" s="33" t="s">
        <v>106</v>
      </c>
      <c r="H12437" s="35">
        <v>47</v>
      </c>
      <c r="I12437" s="33" t="s">
        <v>21</v>
      </c>
      <c r="J12437" s="42">
        <v>44742</v>
      </c>
      <c r="K12437" s="33" t="s">
        <v>22</v>
      </c>
    </row>
    <row r="12438" spans="1:11">
      <c r="A12438" s="30" t="s">
        <v>28201</v>
      </c>
      <c r="B12438" s="30" t="s">
        <v>28202</v>
      </c>
      <c r="C12438" s="30" t="s">
        <v>5050</v>
      </c>
      <c r="D12438" s="30" t="s">
        <v>17</v>
      </c>
      <c r="E12438" s="30" t="s">
        <v>26</v>
      </c>
      <c r="F12438" s="30" t="s">
        <v>27</v>
      </c>
      <c r="G12438" s="30" t="s">
        <v>20</v>
      </c>
      <c r="H12438" s="32">
        <v>46</v>
      </c>
      <c r="I12438" s="30" t="s">
        <v>21</v>
      </c>
      <c r="J12438" s="41">
        <v>44866</v>
      </c>
      <c r="K12438" s="30" t="s">
        <v>22</v>
      </c>
    </row>
    <row r="12439" spans="1:11">
      <c r="A12439" s="33" t="s">
        <v>28203</v>
      </c>
      <c r="B12439" s="33" t="s">
        <v>28204</v>
      </c>
      <c r="C12439" s="33" t="s">
        <v>5984</v>
      </c>
      <c r="D12439" s="33" t="s">
        <v>17</v>
      </c>
      <c r="E12439" s="33" t="s">
        <v>31</v>
      </c>
      <c r="F12439" s="33" t="s">
        <v>32</v>
      </c>
      <c r="G12439" s="33" t="s">
        <v>20</v>
      </c>
      <c r="H12439" s="35">
        <v>16</v>
      </c>
      <c r="I12439" s="33" t="s">
        <v>21</v>
      </c>
      <c r="J12439" s="42">
        <v>44616</v>
      </c>
      <c r="K12439" s="33" t="s">
        <v>22</v>
      </c>
    </row>
    <row r="12440" spans="1:11">
      <c r="A12440" s="30" t="s">
        <v>28205</v>
      </c>
      <c r="B12440" s="30" t="s">
        <v>28206</v>
      </c>
      <c r="C12440" s="30" t="s">
        <v>7667</v>
      </c>
      <c r="D12440" s="30" t="s">
        <v>17</v>
      </c>
      <c r="E12440" s="30" t="s">
        <v>67</v>
      </c>
      <c r="F12440" s="30" t="s">
        <v>68</v>
      </c>
      <c r="G12440" s="30" t="s">
        <v>20</v>
      </c>
      <c r="H12440" s="32">
        <v>117</v>
      </c>
      <c r="I12440" s="30" t="s">
        <v>21</v>
      </c>
      <c r="J12440" s="41">
        <v>44588</v>
      </c>
      <c r="K12440" s="30" t="s">
        <v>22</v>
      </c>
    </row>
    <row r="12441" spans="1:11">
      <c r="A12441" s="33" t="s">
        <v>28207</v>
      </c>
      <c r="B12441" s="33" t="s">
        <v>28208</v>
      </c>
      <c r="C12441" s="33" t="s">
        <v>8653</v>
      </c>
      <c r="D12441" s="33" t="s">
        <v>17</v>
      </c>
      <c r="E12441" s="33" t="s">
        <v>31</v>
      </c>
      <c r="F12441" s="33" t="s">
        <v>32</v>
      </c>
      <c r="G12441" s="33" t="s">
        <v>158</v>
      </c>
      <c r="H12441" s="35">
        <v>58</v>
      </c>
      <c r="I12441" s="33" t="s">
        <v>51</v>
      </c>
      <c r="J12441" s="42">
        <v>44804</v>
      </c>
      <c r="K12441" s="33" t="s">
        <v>22</v>
      </c>
    </row>
    <row r="12442" spans="1:11">
      <c r="A12442" s="30" t="s">
        <v>28209</v>
      </c>
      <c r="B12442" s="30" t="s">
        <v>28210</v>
      </c>
      <c r="C12442" s="30" t="s">
        <v>2012</v>
      </c>
      <c r="D12442" s="30" t="s">
        <v>17</v>
      </c>
      <c r="E12442" s="30" t="s">
        <v>18</v>
      </c>
      <c r="F12442" s="30" t="s">
        <v>19</v>
      </c>
      <c r="G12442" s="30" t="s">
        <v>20</v>
      </c>
      <c r="H12442" s="32">
        <v>214</v>
      </c>
      <c r="I12442" s="30" t="s">
        <v>21</v>
      </c>
      <c r="J12442" s="41">
        <v>44706</v>
      </c>
      <c r="K12442" s="30" t="s">
        <v>22</v>
      </c>
    </row>
    <row r="12443" spans="1:11">
      <c r="A12443" s="33" t="s">
        <v>28211</v>
      </c>
      <c r="B12443" s="33" t="s">
        <v>28212</v>
      </c>
      <c r="C12443" s="33" t="s">
        <v>28213</v>
      </c>
      <c r="D12443" s="33" t="s">
        <v>17</v>
      </c>
      <c r="E12443" s="33" t="s">
        <v>67</v>
      </c>
      <c r="F12443" s="33" t="s">
        <v>68</v>
      </c>
      <c r="G12443" s="33" t="s">
        <v>50</v>
      </c>
      <c r="H12443" s="35">
        <v>76</v>
      </c>
      <c r="I12443" s="33" t="s">
        <v>51</v>
      </c>
      <c r="J12443" s="42">
        <v>44910</v>
      </c>
      <c r="K12443" s="33" t="s">
        <v>22</v>
      </c>
    </row>
    <row r="12444" spans="1:11">
      <c r="A12444" s="30" t="s">
        <v>28214</v>
      </c>
      <c r="B12444" s="30" t="s">
        <v>28215</v>
      </c>
      <c r="C12444" s="30" t="s">
        <v>96</v>
      </c>
      <c r="D12444" s="30" t="s">
        <v>17</v>
      </c>
      <c r="E12444" s="30" t="s">
        <v>18</v>
      </c>
      <c r="F12444" s="30" t="s">
        <v>19</v>
      </c>
      <c r="G12444" s="30" t="s">
        <v>20</v>
      </c>
      <c r="H12444" s="32">
        <v>241</v>
      </c>
      <c r="I12444" s="30" t="s">
        <v>21</v>
      </c>
      <c r="J12444" s="41">
        <v>44700</v>
      </c>
      <c r="K12444" s="30" t="s">
        <v>22</v>
      </c>
    </row>
    <row r="12445" spans="1:11">
      <c r="A12445" s="33" t="s">
        <v>28216</v>
      </c>
      <c r="B12445" s="33" t="s">
        <v>28217</v>
      </c>
      <c r="C12445" s="33" t="s">
        <v>15104</v>
      </c>
      <c r="D12445" s="33" t="s">
        <v>17</v>
      </c>
      <c r="E12445" s="33" t="s">
        <v>26</v>
      </c>
      <c r="F12445" s="33" t="s">
        <v>27</v>
      </c>
      <c r="G12445" s="33" t="s">
        <v>20</v>
      </c>
      <c r="H12445" s="35">
        <v>40</v>
      </c>
      <c r="I12445" s="33" t="s">
        <v>21</v>
      </c>
      <c r="J12445" s="42">
        <v>44853</v>
      </c>
      <c r="K12445" s="33" t="s">
        <v>22</v>
      </c>
    </row>
    <row r="12446" spans="1:11">
      <c r="A12446" s="30" t="s">
        <v>28218</v>
      </c>
      <c r="B12446" s="30" t="s">
        <v>28219</v>
      </c>
      <c r="C12446" s="30" t="s">
        <v>15408</v>
      </c>
      <c r="D12446" s="30" t="s">
        <v>17</v>
      </c>
      <c r="E12446" s="30" t="s">
        <v>18</v>
      </c>
      <c r="F12446" s="30" t="s">
        <v>19</v>
      </c>
      <c r="G12446" s="30" t="s">
        <v>20</v>
      </c>
      <c r="H12446" s="32">
        <v>380</v>
      </c>
      <c r="I12446" s="30" t="s">
        <v>21</v>
      </c>
      <c r="J12446" s="41">
        <v>44883</v>
      </c>
      <c r="K12446" s="30" t="s">
        <v>22</v>
      </c>
    </row>
    <row r="12447" spans="1:11">
      <c r="A12447" s="33" t="s">
        <v>28220</v>
      </c>
      <c r="B12447" s="33" t="s">
        <v>28221</v>
      </c>
      <c r="C12447" s="33" t="s">
        <v>203</v>
      </c>
      <c r="D12447" s="33" t="s">
        <v>17</v>
      </c>
      <c r="E12447" s="33" t="s">
        <v>18</v>
      </c>
      <c r="F12447" s="33" t="s">
        <v>19</v>
      </c>
      <c r="G12447" s="33" t="s">
        <v>20</v>
      </c>
      <c r="H12447" s="35">
        <v>15</v>
      </c>
      <c r="I12447" s="33" t="s">
        <v>21</v>
      </c>
      <c r="J12447" s="42">
        <v>44798</v>
      </c>
      <c r="K12447" s="33" t="s">
        <v>22</v>
      </c>
    </row>
    <row r="12448" spans="1:11">
      <c r="A12448" s="30" t="s">
        <v>28222</v>
      </c>
      <c r="B12448" s="30" t="s">
        <v>28223</v>
      </c>
      <c r="C12448" s="30" t="s">
        <v>310</v>
      </c>
      <c r="D12448" s="30" t="s">
        <v>17</v>
      </c>
      <c r="E12448" s="30" t="s">
        <v>26</v>
      </c>
      <c r="F12448" s="30" t="s">
        <v>27</v>
      </c>
      <c r="G12448" s="30" t="s">
        <v>20</v>
      </c>
      <c r="H12448" s="32">
        <v>161</v>
      </c>
      <c r="I12448" s="30" t="s">
        <v>21</v>
      </c>
      <c r="J12448" s="41">
        <v>44671</v>
      </c>
      <c r="K12448" s="30" t="s">
        <v>22</v>
      </c>
    </row>
    <row r="12449" spans="1:11">
      <c r="A12449" s="33" t="s">
        <v>28224</v>
      </c>
      <c r="B12449" s="33" t="s">
        <v>28225</v>
      </c>
      <c r="C12449" s="33" t="s">
        <v>28226</v>
      </c>
      <c r="D12449" s="33" t="s">
        <v>17</v>
      </c>
      <c r="E12449" s="33" t="s">
        <v>212</v>
      </c>
      <c r="F12449" s="33" t="s">
        <v>213</v>
      </c>
      <c r="G12449" s="33" t="s">
        <v>20</v>
      </c>
      <c r="H12449" s="35">
        <v>119</v>
      </c>
      <c r="I12449" s="33" t="s">
        <v>21</v>
      </c>
      <c r="J12449" s="42">
        <v>44624</v>
      </c>
      <c r="K12449" s="33" t="s">
        <v>22</v>
      </c>
    </row>
    <row r="12450" spans="1:11">
      <c r="A12450" s="30" t="s">
        <v>28227</v>
      </c>
      <c r="B12450" s="30" t="s">
        <v>28228</v>
      </c>
      <c r="C12450" s="30" t="s">
        <v>28229</v>
      </c>
      <c r="D12450" s="30" t="s">
        <v>17</v>
      </c>
      <c r="E12450" s="30" t="s">
        <v>31</v>
      </c>
      <c r="F12450" s="30" t="s">
        <v>32</v>
      </c>
      <c r="G12450" s="30" t="s">
        <v>20</v>
      </c>
      <c r="H12450" s="32">
        <v>102</v>
      </c>
      <c r="I12450" s="30" t="s">
        <v>21</v>
      </c>
      <c r="J12450" s="41">
        <v>44593</v>
      </c>
      <c r="K12450" s="30" t="s">
        <v>22</v>
      </c>
    </row>
    <row r="12451" spans="1:11">
      <c r="A12451" s="33" t="s">
        <v>28230</v>
      </c>
      <c r="B12451" s="33" t="s">
        <v>28231</v>
      </c>
      <c r="C12451" s="33" t="s">
        <v>1571</v>
      </c>
      <c r="D12451" s="33" t="s">
        <v>17</v>
      </c>
      <c r="E12451" s="33" t="s">
        <v>26</v>
      </c>
      <c r="F12451" s="33" t="s">
        <v>27</v>
      </c>
      <c r="G12451" s="33" t="s">
        <v>20</v>
      </c>
      <c r="H12451" s="35">
        <v>16</v>
      </c>
      <c r="I12451" s="33" t="s">
        <v>21</v>
      </c>
      <c r="J12451" s="42">
        <v>44765</v>
      </c>
      <c r="K12451" s="33" t="s">
        <v>22</v>
      </c>
    </row>
    <row r="12452" spans="1:11">
      <c r="A12452" s="30" t="s">
        <v>28232</v>
      </c>
      <c r="B12452" s="30" t="s">
        <v>28233</v>
      </c>
      <c r="C12452" s="30" t="s">
        <v>450</v>
      </c>
      <c r="D12452" s="30" t="s">
        <v>17</v>
      </c>
      <c r="E12452" s="30" t="s">
        <v>45</v>
      </c>
      <c r="F12452" s="30" t="s">
        <v>46</v>
      </c>
      <c r="G12452" s="30" t="s">
        <v>158</v>
      </c>
      <c r="H12452" s="32">
        <v>12</v>
      </c>
      <c r="I12452" s="30" t="s">
        <v>21</v>
      </c>
      <c r="J12452" s="41">
        <v>44735</v>
      </c>
      <c r="K12452" s="30" t="s">
        <v>22</v>
      </c>
    </row>
    <row r="12453" spans="1:11">
      <c r="A12453" s="33" t="s">
        <v>28234</v>
      </c>
      <c r="B12453" s="33" t="s">
        <v>28235</v>
      </c>
      <c r="C12453" s="33" t="s">
        <v>187</v>
      </c>
      <c r="D12453" s="33" t="s">
        <v>17</v>
      </c>
      <c r="E12453" s="33" t="s">
        <v>67</v>
      </c>
      <c r="F12453" s="33" t="s">
        <v>68</v>
      </c>
      <c r="G12453" s="33" t="s">
        <v>50</v>
      </c>
      <c r="H12453" s="35">
        <v>92</v>
      </c>
      <c r="I12453" s="33" t="s">
        <v>51</v>
      </c>
      <c r="J12453" s="42">
        <v>44721</v>
      </c>
      <c r="K12453" s="33" t="s">
        <v>22</v>
      </c>
    </row>
    <row r="12454" spans="1:11">
      <c r="A12454" s="30" t="s">
        <v>28236</v>
      </c>
      <c r="B12454" s="30" t="s">
        <v>28237</v>
      </c>
      <c r="C12454" s="30" t="s">
        <v>4082</v>
      </c>
      <c r="D12454" s="30" t="s">
        <v>17</v>
      </c>
      <c r="E12454" s="30" t="s">
        <v>31</v>
      </c>
      <c r="F12454" s="30" t="s">
        <v>32</v>
      </c>
      <c r="G12454" s="30" t="s">
        <v>20</v>
      </c>
      <c r="H12454" s="32">
        <v>207</v>
      </c>
      <c r="I12454" s="30" t="s">
        <v>21</v>
      </c>
      <c r="J12454" s="41">
        <v>44620</v>
      </c>
      <c r="K12454" s="30" t="s">
        <v>22</v>
      </c>
    </row>
    <row r="12455" spans="1:11">
      <c r="A12455" s="33" t="s">
        <v>28238</v>
      </c>
      <c r="B12455" s="33" t="s">
        <v>28239</v>
      </c>
      <c r="C12455" s="33" t="s">
        <v>549</v>
      </c>
      <c r="D12455" s="33" t="s">
        <v>17</v>
      </c>
      <c r="E12455" s="33" t="s">
        <v>18</v>
      </c>
      <c r="F12455" s="33" t="s">
        <v>19</v>
      </c>
      <c r="G12455" s="33" t="s">
        <v>2613</v>
      </c>
      <c r="H12455" s="35">
        <v>300</v>
      </c>
      <c r="I12455" s="33" t="s">
        <v>51</v>
      </c>
      <c r="J12455" s="42">
        <v>44595</v>
      </c>
      <c r="K12455" s="33" t="s">
        <v>22</v>
      </c>
    </row>
    <row r="12456" spans="1:11">
      <c r="A12456" s="30" t="s">
        <v>28240</v>
      </c>
      <c r="B12456" s="30" t="s">
        <v>28241</v>
      </c>
      <c r="C12456" s="30" t="s">
        <v>2292</v>
      </c>
      <c r="D12456" s="30" t="s">
        <v>17</v>
      </c>
      <c r="E12456" s="30" t="s">
        <v>18</v>
      </c>
      <c r="F12456" s="30" t="s">
        <v>19</v>
      </c>
      <c r="G12456" s="30" t="s">
        <v>20</v>
      </c>
      <c r="H12456" s="32">
        <v>7</v>
      </c>
      <c r="I12456" s="30" t="s">
        <v>21</v>
      </c>
      <c r="J12456" s="41">
        <v>44879</v>
      </c>
      <c r="K12456" s="30" t="s">
        <v>22</v>
      </c>
    </row>
    <row r="12457" spans="1:11">
      <c r="A12457" s="33" t="s">
        <v>28242</v>
      </c>
      <c r="B12457" s="33" t="s">
        <v>28243</v>
      </c>
      <c r="C12457" s="33" t="s">
        <v>3459</v>
      </c>
      <c r="D12457" s="33" t="s">
        <v>17</v>
      </c>
      <c r="E12457" s="33" t="s">
        <v>26</v>
      </c>
      <c r="F12457" s="33" t="s">
        <v>27</v>
      </c>
      <c r="G12457" s="33" t="s">
        <v>20</v>
      </c>
      <c r="H12457" s="35">
        <v>122</v>
      </c>
      <c r="I12457" s="33" t="s">
        <v>21</v>
      </c>
      <c r="J12457" s="42">
        <v>44631</v>
      </c>
      <c r="K12457" s="33" t="s">
        <v>22</v>
      </c>
    </row>
    <row r="12458" spans="1:11">
      <c r="A12458" s="30" t="s">
        <v>28244</v>
      </c>
      <c r="B12458" s="30" t="s">
        <v>28245</v>
      </c>
      <c r="C12458" s="30" t="s">
        <v>15795</v>
      </c>
      <c r="D12458" s="30" t="s">
        <v>17</v>
      </c>
      <c r="E12458" s="30" t="s">
        <v>31</v>
      </c>
      <c r="F12458" s="30" t="s">
        <v>32</v>
      </c>
      <c r="G12458" s="30" t="s">
        <v>50</v>
      </c>
      <c r="H12458" s="32">
        <v>195</v>
      </c>
      <c r="I12458" s="30" t="s">
        <v>51</v>
      </c>
      <c r="J12458" s="41">
        <v>44701</v>
      </c>
      <c r="K12458" s="30" t="s">
        <v>22</v>
      </c>
    </row>
    <row r="12459" spans="1:11">
      <c r="A12459" s="33" t="s">
        <v>28246</v>
      </c>
      <c r="B12459" s="33" t="s">
        <v>28247</v>
      </c>
      <c r="C12459" s="33" t="s">
        <v>2612</v>
      </c>
      <c r="D12459" s="33" t="s">
        <v>17</v>
      </c>
      <c r="E12459" s="33" t="s">
        <v>31</v>
      </c>
      <c r="F12459" s="33" t="s">
        <v>32</v>
      </c>
      <c r="G12459" s="33" t="s">
        <v>106</v>
      </c>
      <c r="H12459" s="35">
        <v>2</v>
      </c>
      <c r="I12459" s="33" t="s">
        <v>21</v>
      </c>
      <c r="J12459" s="42">
        <v>44679</v>
      </c>
      <c r="K12459" s="33" t="s">
        <v>22</v>
      </c>
    </row>
    <row r="12460" spans="1:11">
      <c r="A12460" s="30" t="s">
        <v>28248</v>
      </c>
      <c r="B12460" s="30" t="s">
        <v>28249</v>
      </c>
      <c r="C12460" s="30" t="s">
        <v>28250</v>
      </c>
      <c r="D12460" s="30" t="s">
        <v>17</v>
      </c>
      <c r="E12460" s="30" t="s">
        <v>31</v>
      </c>
      <c r="F12460" s="30" t="s">
        <v>32</v>
      </c>
      <c r="G12460" s="30" t="s">
        <v>20</v>
      </c>
      <c r="H12460" s="32">
        <v>43</v>
      </c>
      <c r="I12460" s="30" t="s">
        <v>21</v>
      </c>
      <c r="J12460" s="41">
        <v>44727</v>
      </c>
      <c r="K12460" s="30" t="s">
        <v>22</v>
      </c>
    </row>
    <row r="12461" spans="1:11">
      <c r="A12461" s="33" t="s">
        <v>28251</v>
      </c>
      <c r="B12461" s="33" t="s">
        <v>28252</v>
      </c>
      <c r="C12461" s="33" t="s">
        <v>28253</v>
      </c>
      <c r="D12461" s="33" t="s">
        <v>17</v>
      </c>
      <c r="E12461" s="33" t="s">
        <v>67</v>
      </c>
      <c r="F12461" s="33" t="s">
        <v>68</v>
      </c>
      <c r="G12461" s="33" t="s">
        <v>140</v>
      </c>
      <c r="H12461" s="35">
        <v>40</v>
      </c>
      <c r="I12461" s="33" t="s">
        <v>51</v>
      </c>
      <c r="J12461" s="42">
        <v>44784</v>
      </c>
      <c r="K12461" s="33" t="s">
        <v>22</v>
      </c>
    </row>
    <row r="12462" spans="1:11">
      <c r="A12462" s="30" t="s">
        <v>28254</v>
      </c>
      <c r="B12462" s="30" t="s">
        <v>28255</v>
      </c>
      <c r="C12462" s="30" t="s">
        <v>2094</v>
      </c>
      <c r="D12462" s="30" t="s">
        <v>17</v>
      </c>
      <c r="E12462" s="30" t="s">
        <v>26</v>
      </c>
      <c r="F12462" s="30" t="s">
        <v>27</v>
      </c>
      <c r="G12462" s="30" t="s">
        <v>20</v>
      </c>
      <c r="H12462" s="32">
        <v>16</v>
      </c>
      <c r="I12462" s="30" t="s">
        <v>21</v>
      </c>
      <c r="J12462" s="41">
        <v>44726</v>
      </c>
      <c r="K12462" s="30" t="s">
        <v>22</v>
      </c>
    </row>
    <row r="12463" spans="1:11">
      <c r="A12463" s="33" t="s">
        <v>28256</v>
      </c>
      <c r="B12463" s="33" t="s">
        <v>28257</v>
      </c>
      <c r="C12463" s="33" t="s">
        <v>28258</v>
      </c>
      <c r="D12463" s="33" t="s">
        <v>17</v>
      </c>
      <c r="E12463" s="33" t="s">
        <v>330</v>
      </c>
      <c r="F12463" s="33" t="s">
        <v>331</v>
      </c>
      <c r="G12463" s="33" t="s">
        <v>20</v>
      </c>
      <c r="H12463" s="35">
        <v>33</v>
      </c>
      <c r="I12463" s="33" t="s">
        <v>21</v>
      </c>
      <c r="J12463" s="42">
        <v>44707</v>
      </c>
      <c r="K12463" s="33" t="s">
        <v>22</v>
      </c>
    </row>
    <row r="12464" spans="1:11">
      <c r="A12464" s="30" t="s">
        <v>28259</v>
      </c>
      <c r="B12464" s="30" t="s">
        <v>28260</v>
      </c>
      <c r="C12464" s="30" t="s">
        <v>14176</v>
      </c>
      <c r="D12464" s="30" t="s">
        <v>17</v>
      </c>
      <c r="E12464" s="30" t="s">
        <v>31</v>
      </c>
      <c r="F12464" s="30" t="s">
        <v>32</v>
      </c>
      <c r="G12464" s="30" t="s">
        <v>20</v>
      </c>
      <c r="H12464" s="32">
        <v>119</v>
      </c>
      <c r="I12464" s="30" t="s">
        <v>21</v>
      </c>
      <c r="J12464" s="41">
        <v>44629</v>
      </c>
      <c r="K12464" s="30" t="s">
        <v>22</v>
      </c>
    </row>
    <row r="12465" spans="1:11">
      <c r="A12465" s="33" t="s">
        <v>28261</v>
      </c>
      <c r="B12465" s="33" t="s">
        <v>28262</v>
      </c>
      <c r="C12465" s="33" t="s">
        <v>28263</v>
      </c>
      <c r="D12465" s="33" t="s">
        <v>17</v>
      </c>
      <c r="E12465" s="33" t="s">
        <v>67</v>
      </c>
      <c r="F12465" s="33" t="s">
        <v>68</v>
      </c>
      <c r="G12465" s="33" t="s">
        <v>140</v>
      </c>
      <c r="H12465" s="35">
        <v>364</v>
      </c>
      <c r="I12465" s="33" t="s">
        <v>51</v>
      </c>
      <c r="J12465" s="42">
        <v>44586</v>
      </c>
      <c r="K12465" s="33" t="s">
        <v>22</v>
      </c>
    </row>
    <row r="12466" spans="1:11">
      <c r="A12466" s="30" t="s">
        <v>28264</v>
      </c>
      <c r="B12466" s="30" t="s">
        <v>28265</v>
      </c>
      <c r="C12466" s="30" t="s">
        <v>4697</v>
      </c>
      <c r="D12466" s="30" t="s">
        <v>17</v>
      </c>
      <c r="E12466" s="30" t="s">
        <v>18</v>
      </c>
      <c r="F12466" s="30" t="s">
        <v>19</v>
      </c>
      <c r="G12466" s="30" t="s">
        <v>158</v>
      </c>
      <c r="H12466" s="32">
        <v>1100</v>
      </c>
      <c r="I12466" s="30" t="s">
        <v>21</v>
      </c>
      <c r="J12466" s="41">
        <v>44573</v>
      </c>
      <c r="K12466" s="30" t="s">
        <v>22</v>
      </c>
    </row>
    <row r="12467" spans="1:11">
      <c r="A12467" s="33" t="s">
        <v>28266</v>
      </c>
      <c r="B12467" s="33" t="s">
        <v>28267</v>
      </c>
      <c r="C12467" s="33" t="s">
        <v>102</v>
      </c>
      <c r="D12467" s="33" t="s">
        <v>17</v>
      </c>
      <c r="E12467" s="33" t="s">
        <v>26</v>
      </c>
      <c r="F12467" s="33" t="s">
        <v>27</v>
      </c>
      <c r="G12467" s="33" t="s">
        <v>106</v>
      </c>
      <c r="H12467" s="35">
        <v>3</v>
      </c>
      <c r="I12467" s="33" t="s">
        <v>21</v>
      </c>
      <c r="J12467" s="42">
        <v>44643</v>
      </c>
      <c r="K12467" s="33" t="s">
        <v>22</v>
      </c>
    </row>
    <row r="12468" spans="1:11">
      <c r="A12468" s="30" t="s">
        <v>28268</v>
      </c>
      <c r="B12468" s="30" t="s">
        <v>28269</v>
      </c>
      <c r="C12468" s="30" t="s">
        <v>4210</v>
      </c>
      <c r="D12468" s="30" t="s">
        <v>17</v>
      </c>
      <c r="E12468" s="30" t="s">
        <v>26</v>
      </c>
      <c r="F12468" s="30" t="s">
        <v>27</v>
      </c>
      <c r="G12468" s="30" t="s">
        <v>50</v>
      </c>
      <c r="H12468" s="32">
        <v>33</v>
      </c>
      <c r="I12468" s="30" t="s">
        <v>51</v>
      </c>
      <c r="J12468" s="41">
        <v>44679</v>
      </c>
      <c r="K12468" s="30" t="s">
        <v>22</v>
      </c>
    </row>
    <row r="12469" spans="1:11">
      <c r="A12469" s="33" t="s">
        <v>28270</v>
      </c>
      <c r="B12469" s="33" t="s">
        <v>28271</v>
      </c>
      <c r="C12469" s="33" t="s">
        <v>11918</v>
      </c>
      <c r="D12469" s="33" t="s">
        <v>17</v>
      </c>
      <c r="E12469" s="33" t="s">
        <v>31</v>
      </c>
      <c r="F12469" s="33" t="s">
        <v>32</v>
      </c>
      <c r="G12469" s="33" t="s">
        <v>106</v>
      </c>
      <c r="H12469" s="35">
        <v>47</v>
      </c>
      <c r="I12469" s="33" t="s">
        <v>21</v>
      </c>
      <c r="J12469" s="42">
        <v>44707</v>
      </c>
      <c r="K12469" s="33" t="s">
        <v>22</v>
      </c>
    </row>
    <row r="12470" spans="1:11">
      <c r="A12470" s="30" t="s">
        <v>28272</v>
      </c>
      <c r="B12470" s="30" t="s">
        <v>28273</v>
      </c>
      <c r="C12470" s="30" t="s">
        <v>28274</v>
      </c>
      <c r="D12470" s="30" t="s">
        <v>17</v>
      </c>
      <c r="E12470" s="30" t="s">
        <v>45</v>
      </c>
      <c r="F12470" s="30" t="s">
        <v>46</v>
      </c>
      <c r="G12470" s="30" t="s">
        <v>106</v>
      </c>
      <c r="H12470" s="32">
        <v>1</v>
      </c>
      <c r="I12470" s="30" t="s">
        <v>21</v>
      </c>
      <c r="J12470" s="41">
        <v>44575</v>
      </c>
      <c r="K12470" s="30" t="s">
        <v>22</v>
      </c>
    </row>
    <row r="12471" spans="1:11">
      <c r="A12471" s="33" t="s">
        <v>28275</v>
      </c>
      <c r="B12471" s="33" t="s">
        <v>28276</v>
      </c>
      <c r="C12471" s="33" t="s">
        <v>329</v>
      </c>
      <c r="D12471" s="33" t="s">
        <v>17</v>
      </c>
      <c r="E12471" s="33" t="s">
        <v>18</v>
      </c>
      <c r="F12471" s="33" t="s">
        <v>19</v>
      </c>
      <c r="G12471" s="33" t="s">
        <v>20</v>
      </c>
      <c r="H12471" s="35">
        <v>540</v>
      </c>
      <c r="I12471" s="33" t="s">
        <v>21</v>
      </c>
      <c r="J12471" s="42">
        <v>44824</v>
      </c>
      <c r="K12471" s="33" t="s">
        <v>22</v>
      </c>
    </row>
    <row r="12472" spans="1:11">
      <c r="A12472" s="30" t="s">
        <v>28277</v>
      </c>
      <c r="B12472" s="30" t="s">
        <v>28278</v>
      </c>
      <c r="C12472" s="30" t="s">
        <v>17636</v>
      </c>
      <c r="D12472" s="30" t="s">
        <v>17</v>
      </c>
      <c r="E12472" s="30" t="s">
        <v>31</v>
      </c>
      <c r="F12472" s="30" t="s">
        <v>32</v>
      </c>
      <c r="G12472" s="30" t="s">
        <v>20</v>
      </c>
      <c r="H12472" s="32">
        <v>410</v>
      </c>
      <c r="I12472" s="30" t="s">
        <v>21</v>
      </c>
      <c r="J12472" s="41">
        <v>44753</v>
      </c>
      <c r="K12472" s="30" t="s">
        <v>22</v>
      </c>
    </row>
    <row r="12473" spans="1:11">
      <c r="A12473" s="33" t="s">
        <v>28279</v>
      </c>
      <c r="B12473" s="33" t="s">
        <v>28280</v>
      </c>
      <c r="C12473" s="33" t="s">
        <v>1136</v>
      </c>
      <c r="D12473" s="33" t="s">
        <v>17</v>
      </c>
      <c r="E12473" s="33" t="s">
        <v>67</v>
      </c>
      <c r="F12473" s="33" t="s">
        <v>68</v>
      </c>
      <c r="G12473" s="33" t="s">
        <v>20</v>
      </c>
      <c r="H12473" s="35">
        <v>682</v>
      </c>
      <c r="I12473" s="33" t="s">
        <v>21</v>
      </c>
      <c r="J12473" s="42">
        <v>44907</v>
      </c>
      <c r="K12473" s="33" t="s">
        <v>22</v>
      </c>
    </row>
    <row r="12474" spans="1:11">
      <c r="A12474" s="30" t="s">
        <v>28281</v>
      </c>
      <c r="B12474" s="30" t="s">
        <v>28282</v>
      </c>
      <c r="C12474" s="30" t="s">
        <v>28283</v>
      </c>
      <c r="D12474" s="30" t="s">
        <v>17</v>
      </c>
      <c r="E12474" s="30" t="s">
        <v>26</v>
      </c>
      <c r="F12474" s="30" t="s">
        <v>27</v>
      </c>
      <c r="G12474" s="30" t="s">
        <v>20</v>
      </c>
      <c r="H12474" s="32">
        <v>62</v>
      </c>
      <c r="I12474" s="30" t="s">
        <v>21</v>
      </c>
      <c r="J12474" s="41">
        <v>44901</v>
      </c>
      <c r="K12474" s="30" t="s">
        <v>22</v>
      </c>
    </row>
    <row r="12475" spans="1:11">
      <c r="A12475" s="33" t="s">
        <v>28284</v>
      </c>
      <c r="B12475" s="33" t="s">
        <v>28285</v>
      </c>
      <c r="C12475" s="33" t="s">
        <v>28286</v>
      </c>
      <c r="D12475" s="33" t="s">
        <v>17</v>
      </c>
      <c r="E12475" s="33" t="s">
        <v>26</v>
      </c>
      <c r="F12475" s="33" t="s">
        <v>27</v>
      </c>
      <c r="G12475" s="33" t="s">
        <v>20</v>
      </c>
      <c r="H12475" s="35">
        <v>33</v>
      </c>
      <c r="I12475" s="33" t="s">
        <v>21</v>
      </c>
      <c r="J12475" s="42">
        <v>44711</v>
      </c>
      <c r="K12475" s="33" t="s">
        <v>22</v>
      </c>
    </row>
    <row r="12476" spans="1:11">
      <c r="A12476" s="30" t="s">
        <v>28287</v>
      </c>
      <c r="B12476" s="30" t="s">
        <v>28288</v>
      </c>
      <c r="C12476" s="30" t="s">
        <v>28289</v>
      </c>
      <c r="D12476" s="30" t="s">
        <v>17</v>
      </c>
      <c r="E12476" s="30" t="s">
        <v>26</v>
      </c>
      <c r="F12476" s="30" t="s">
        <v>27</v>
      </c>
      <c r="G12476" s="30" t="s">
        <v>140</v>
      </c>
      <c r="H12476" s="32">
        <v>50</v>
      </c>
      <c r="I12476" s="30" t="s">
        <v>51</v>
      </c>
      <c r="J12476" s="41">
        <v>44652</v>
      </c>
      <c r="K12476" s="30" t="s">
        <v>22</v>
      </c>
    </row>
    <row r="12477" spans="1:11">
      <c r="A12477" s="33" t="s">
        <v>28290</v>
      </c>
      <c r="B12477" s="33" t="s">
        <v>28291</v>
      </c>
      <c r="C12477" s="33" t="s">
        <v>13754</v>
      </c>
      <c r="D12477" s="33" t="s">
        <v>17</v>
      </c>
      <c r="E12477" s="33" t="s">
        <v>18</v>
      </c>
      <c r="F12477" s="33" t="s">
        <v>19</v>
      </c>
      <c r="G12477" s="33" t="s">
        <v>106</v>
      </c>
      <c r="H12477" s="35">
        <v>321</v>
      </c>
      <c r="I12477" s="33" t="s">
        <v>21</v>
      </c>
      <c r="J12477" s="42">
        <v>44638</v>
      </c>
      <c r="K12477" s="33" t="s">
        <v>22</v>
      </c>
    </row>
    <row r="12478" spans="1:11">
      <c r="A12478" s="30" t="s">
        <v>28292</v>
      </c>
      <c r="B12478" s="30" t="s">
        <v>28293</v>
      </c>
      <c r="C12478" s="30" t="s">
        <v>2812</v>
      </c>
      <c r="D12478" s="30" t="s">
        <v>17</v>
      </c>
      <c r="E12478" s="30" t="s">
        <v>18</v>
      </c>
      <c r="F12478" s="30" t="s">
        <v>19</v>
      </c>
      <c r="G12478" s="30" t="s">
        <v>20</v>
      </c>
      <c r="H12478" s="32">
        <v>408</v>
      </c>
      <c r="I12478" s="30" t="s">
        <v>21</v>
      </c>
      <c r="J12478" s="41">
        <v>44810</v>
      </c>
      <c r="K12478" s="30" t="s">
        <v>22</v>
      </c>
    </row>
    <row r="12479" spans="1:11">
      <c r="A12479" s="33" t="s">
        <v>28294</v>
      </c>
      <c r="B12479" s="33" t="s">
        <v>28295</v>
      </c>
      <c r="C12479" s="33" t="s">
        <v>450</v>
      </c>
      <c r="D12479" s="33" t="s">
        <v>17</v>
      </c>
      <c r="E12479" s="33" t="s">
        <v>26</v>
      </c>
      <c r="F12479" s="33" t="s">
        <v>27</v>
      </c>
      <c r="G12479" s="33" t="s">
        <v>20</v>
      </c>
      <c r="H12479" s="35">
        <v>48</v>
      </c>
      <c r="I12479" s="33" t="s">
        <v>21</v>
      </c>
      <c r="J12479" s="42">
        <v>44663</v>
      </c>
      <c r="K12479" s="33" t="s">
        <v>22</v>
      </c>
    </row>
    <row r="12480" spans="1:11">
      <c r="A12480" s="30" t="s">
        <v>28296</v>
      </c>
      <c r="B12480" s="30" t="s">
        <v>28297</v>
      </c>
      <c r="C12480" s="30" t="s">
        <v>4282</v>
      </c>
      <c r="D12480" s="30" t="s">
        <v>17</v>
      </c>
      <c r="E12480" s="30" t="s">
        <v>31</v>
      </c>
      <c r="F12480" s="30" t="s">
        <v>32</v>
      </c>
      <c r="G12480" s="30" t="s">
        <v>50</v>
      </c>
      <c r="H12480" s="32">
        <v>20</v>
      </c>
      <c r="I12480" s="30" t="s">
        <v>51</v>
      </c>
      <c r="J12480" s="41">
        <v>44652</v>
      </c>
      <c r="K12480" s="30" t="s">
        <v>22</v>
      </c>
    </row>
    <row r="12481" spans="1:11">
      <c r="A12481" s="33" t="s">
        <v>28298</v>
      </c>
      <c r="B12481" s="33" t="s">
        <v>28299</v>
      </c>
      <c r="C12481" s="33" t="s">
        <v>78</v>
      </c>
      <c r="D12481" s="33" t="s">
        <v>17</v>
      </c>
      <c r="E12481" s="33" t="s">
        <v>26</v>
      </c>
      <c r="F12481" s="33" t="s">
        <v>27</v>
      </c>
      <c r="G12481" s="33" t="s">
        <v>20</v>
      </c>
      <c r="H12481" s="35">
        <v>32</v>
      </c>
      <c r="I12481" s="33" t="s">
        <v>21</v>
      </c>
      <c r="J12481" s="42">
        <v>44855</v>
      </c>
      <c r="K12481" s="33" t="s">
        <v>22</v>
      </c>
    </row>
    <row r="12482" spans="1:11">
      <c r="A12482" s="30" t="s">
        <v>28300</v>
      </c>
      <c r="B12482" s="30" t="s">
        <v>28301</v>
      </c>
      <c r="C12482" s="30" t="s">
        <v>936</v>
      </c>
      <c r="D12482" s="30" t="s">
        <v>17</v>
      </c>
      <c r="E12482" s="30" t="s">
        <v>26</v>
      </c>
      <c r="F12482" s="30" t="s">
        <v>27</v>
      </c>
      <c r="G12482" s="30" t="s">
        <v>20</v>
      </c>
      <c r="H12482" s="32">
        <v>105</v>
      </c>
      <c r="I12482" s="30" t="s">
        <v>21</v>
      </c>
      <c r="J12482" s="41">
        <v>44893</v>
      </c>
      <c r="K12482" s="30" t="s">
        <v>22</v>
      </c>
    </row>
    <row r="12483" spans="1:11">
      <c r="A12483" s="33" t="s">
        <v>28302</v>
      </c>
      <c r="B12483" s="33" t="s">
        <v>28303</v>
      </c>
      <c r="C12483" s="33" t="s">
        <v>3647</v>
      </c>
      <c r="D12483" s="33" t="s">
        <v>17</v>
      </c>
      <c r="E12483" s="33" t="s">
        <v>18</v>
      </c>
      <c r="F12483" s="33" t="s">
        <v>19</v>
      </c>
      <c r="G12483" s="33" t="s">
        <v>112</v>
      </c>
      <c r="H12483" s="35">
        <v>0</v>
      </c>
      <c r="I12483" s="33" t="s">
        <v>21</v>
      </c>
      <c r="J12483" s="42">
        <v>44620</v>
      </c>
      <c r="K12483" s="33" t="s">
        <v>22</v>
      </c>
    </row>
    <row r="12484" spans="1:11">
      <c r="A12484" s="30" t="s">
        <v>28304</v>
      </c>
      <c r="B12484" s="30" t="s">
        <v>28305</v>
      </c>
      <c r="C12484" s="30" t="s">
        <v>969</v>
      </c>
      <c r="D12484" s="30" t="s">
        <v>17</v>
      </c>
      <c r="E12484" s="30" t="s">
        <v>26</v>
      </c>
      <c r="F12484" s="30" t="s">
        <v>27</v>
      </c>
      <c r="G12484" s="30" t="s">
        <v>112</v>
      </c>
      <c r="H12484" s="32">
        <v>0</v>
      </c>
      <c r="I12484" s="30" t="s">
        <v>21</v>
      </c>
      <c r="J12484" s="41">
        <v>44605</v>
      </c>
      <c r="K12484" s="30" t="s">
        <v>22</v>
      </c>
    </row>
    <row r="12485" spans="1:11">
      <c r="A12485" s="33" t="s">
        <v>28306</v>
      </c>
      <c r="B12485" s="33" t="s">
        <v>28307</v>
      </c>
      <c r="C12485" s="33" t="s">
        <v>2660</v>
      </c>
      <c r="D12485" s="33" t="s">
        <v>17</v>
      </c>
      <c r="E12485" s="33" t="s">
        <v>26</v>
      </c>
      <c r="F12485" s="33" t="s">
        <v>27</v>
      </c>
      <c r="G12485" s="33" t="s">
        <v>20</v>
      </c>
      <c r="H12485" s="35">
        <v>28</v>
      </c>
      <c r="I12485" s="33" t="s">
        <v>21</v>
      </c>
      <c r="J12485" s="42">
        <v>44865</v>
      </c>
      <c r="K12485" s="33" t="s">
        <v>22</v>
      </c>
    </row>
    <row r="12486" spans="1:11">
      <c r="A12486" s="30" t="s">
        <v>28308</v>
      </c>
      <c r="B12486" s="30" t="s">
        <v>28309</v>
      </c>
      <c r="C12486" s="30" t="s">
        <v>28310</v>
      </c>
      <c r="D12486" s="30" t="s">
        <v>17</v>
      </c>
      <c r="E12486" s="30" t="s">
        <v>18</v>
      </c>
      <c r="F12486" s="30" t="s">
        <v>19</v>
      </c>
      <c r="G12486" s="30" t="s">
        <v>20</v>
      </c>
      <c r="H12486" s="32">
        <v>1000</v>
      </c>
      <c r="I12486" s="30" t="s">
        <v>21</v>
      </c>
      <c r="J12486" s="41">
        <v>44638</v>
      </c>
      <c r="K12486" s="30" t="s">
        <v>22</v>
      </c>
    </row>
    <row r="12487" spans="1:11">
      <c r="A12487" s="33" t="s">
        <v>28311</v>
      </c>
      <c r="B12487" s="33" t="s">
        <v>28312</v>
      </c>
      <c r="C12487" s="33" t="s">
        <v>57</v>
      </c>
      <c r="D12487" s="33" t="s">
        <v>17</v>
      </c>
      <c r="E12487" s="33" t="s">
        <v>31</v>
      </c>
      <c r="F12487" s="33" t="s">
        <v>32</v>
      </c>
      <c r="G12487" s="33" t="s">
        <v>106</v>
      </c>
      <c r="H12487" s="35">
        <v>1</v>
      </c>
      <c r="I12487" s="33" t="s">
        <v>21</v>
      </c>
      <c r="J12487" s="42">
        <v>44651</v>
      </c>
      <c r="K12487" s="33" t="s">
        <v>22</v>
      </c>
    </row>
    <row r="12488" spans="1:11">
      <c r="A12488" s="30" t="s">
        <v>28313</v>
      </c>
      <c r="B12488" s="30" t="s">
        <v>28314</v>
      </c>
      <c r="C12488" s="30" t="s">
        <v>310</v>
      </c>
      <c r="D12488" s="30" t="s">
        <v>17</v>
      </c>
      <c r="E12488" s="30" t="s">
        <v>18</v>
      </c>
      <c r="F12488" s="30" t="s">
        <v>19</v>
      </c>
      <c r="G12488" s="30" t="s">
        <v>20</v>
      </c>
      <c r="H12488" s="32">
        <v>30</v>
      </c>
      <c r="I12488" s="30" t="s">
        <v>21</v>
      </c>
      <c r="J12488" s="41">
        <v>44699</v>
      </c>
      <c r="K12488" s="30" t="s">
        <v>22</v>
      </c>
    </row>
    <row r="12489" spans="1:11">
      <c r="A12489" s="33" t="s">
        <v>28315</v>
      </c>
      <c r="B12489" s="33" t="s">
        <v>28316</v>
      </c>
      <c r="C12489" s="33" t="s">
        <v>28317</v>
      </c>
      <c r="D12489" s="33" t="s">
        <v>17</v>
      </c>
      <c r="E12489" s="33" t="s">
        <v>212</v>
      </c>
      <c r="F12489" s="33" t="s">
        <v>213</v>
      </c>
      <c r="G12489" s="33" t="s">
        <v>50</v>
      </c>
      <c r="H12489" s="35">
        <v>150</v>
      </c>
      <c r="I12489" s="33" t="s">
        <v>51</v>
      </c>
      <c r="J12489" s="42">
        <v>44607</v>
      </c>
      <c r="K12489" s="33" t="s">
        <v>22</v>
      </c>
    </row>
    <row r="12490" spans="1:11">
      <c r="A12490" s="30" t="s">
        <v>28318</v>
      </c>
      <c r="B12490" s="30" t="s">
        <v>28319</v>
      </c>
      <c r="C12490" s="30" t="s">
        <v>190</v>
      </c>
      <c r="D12490" s="30" t="s">
        <v>17</v>
      </c>
      <c r="E12490" s="30" t="s">
        <v>31</v>
      </c>
      <c r="F12490" s="30" t="s">
        <v>32</v>
      </c>
      <c r="G12490" s="30" t="s">
        <v>158</v>
      </c>
      <c r="H12490" s="32">
        <v>50</v>
      </c>
      <c r="I12490" s="30" t="s">
        <v>21</v>
      </c>
      <c r="J12490" s="41">
        <v>44872</v>
      </c>
      <c r="K12490" s="30" t="s">
        <v>22</v>
      </c>
    </row>
    <row r="12491" spans="1:11">
      <c r="A12491" s="33" t="s">
        <v>28320</v>
      </c>
      <c r="B12491" s="33" t="s">
        <v>28321</v>
      </c>
      <c r="C12491" s="33" t="s">
        <v>25552</v>
      </c>
      <c r="D12491" s="33" t="s">
        <v>17</v>
      </c>
      <c r="E12491" s="33" t="s">
        <v>31</v>
      </c>
      <c r="F12491" s="33" t="s">
        <v>32</v>
      </c>
      <c r="G12491" s="33" t="s">
        <v>112</v>
      </c>
      <c r="H12491" s="35">
        <v>0</v>
      </c>
      <c r="I12491" s="33" t="s">
        <v>21</v>
      </c>
      <c r="J12491" s="42">
        <v>44805</v>
      </c>
      <c r="K12491" s="33" t="s">
        <v>22</v>
      </c>
    </row>
    <row r="12492" spans="1:11">
      <c r="A12492" s="30" t="s">
        <v>28322</v>
      </c>
      <c r="B12492" s="30" t="s">
        <v>28323</v>
      </c>
      <c r="C12492" s="30" t="s">
        <v>109</v>
      </c>
      <c r="D12492" s="30" t="s">
        <v>17</v>
      </c>
      <c r="E12492" s="30" t="s">
        <v>18</v>
      </c>
      <c r="F12492" s="30" t="s">
        <v>19</v>
      </c>
      <c r="G12492" s="30" t="s">
        <v>158</v>
      </c>
      <c r="H12492" s="32">
        <v>20</v>
      </c>
      <c r="I12492" s="30" t="s">
        <v>21</v>
      </c>
      <c r="J12492" s="41">
        <v>44914</v>
      </c>
      <c r="K12492" s="30" t="s">
        <v>22</v>
      </c>
    </row>
    <row r="12493" spans="1:11">
      <c r="A12493" s="33" t="s">
        <v>28324</v>
      </c>
      <c r="B12493" s="33" t="s">
        <v>28325</v>
      </c>
      <c r="C12493" s="33" t="s">
        <v>109</v>
      </c>
      <c r="D12493" s="33" t="s">
        <v>17</v>
      </c>
      <c r="E12493" s="33" t="s">
        <v>18</v>
      </c>
      <c r="F12493" s="33" t="s">
        <v>19</v>
      </c>
      <c r="G12493" s="33" t="s">
        <v>158</v>
      </c>
      <c r="H12493" s="35">
        <v>506</v>
      </c>
      <c r="I12493" s="33" t="s">
        <v>21</v>
      </c>
      <c r="J12493" s="42">
        <v>44777</v>
      </c>
      <c r="K12493" s="33" t="s">
        <v>22</v>
      </c>
    </row>
    <row r="12494" spans="1:11">
      <c r="A12494" s="30" t="s">
        <v>28326</v>
      </c>
      <c r="B12494" s="30" t="s">
        <v>28327</v>
      </c>
      <c r="C12494" s="30" t="s">
        <v>4622</v>
      </c>
      <c r="D12494" s="30" t="s">
        <v>17</v>
      </c>
      <c r="E12494" s="30" t="s">
        <v>18</v>
      </c>
      <c r="F12494" s="30" t="s">
        <v>19</v>
      </c>
      <c r="G12494" s="30" t="s">
        <v>20</v>
      </c>
      <c r="H12494" s="32">
        <v>644</v>
      </c>
      <c r="I12494" s="30" t="s">
        <v>21</v>
      </c>
      <c r="J12494" s="41">
        <v>44745</v>
      </c>
      <c r="K12494" s="30" t="s">
        <v>22</v>
      </c>
    </row>
    <row r="12495" spans="1:11">
      <c r="A12495" s="33" t="s">
        <v>28328</v>
      </c>
      <c r="B12495" s="33" t="s">
        <v>28329</v>
      </c>
      <c r="C12495" s="33" t="s">
        <v>11073</v>
      </c>
      <c r="D12495" s="33" t="s">
        <v>17</v>
      </c>
      <c r="E12495" s="33" t="s">
        <v>67</v>
      </c>
      <c r="F12495" s="33" t="s">
        <v>68</v>
      </c>
      <c r="G12495" s="33" t="s">
        <v>50</v>
      </c>
      <c r="H12495" s="35">
        <v>120</v>
      </c>
      <c r="I12495" s="33" t="s">
        <v>51</v>
      </c>
      <c r="J12495" s="42">
        <v>44698</v>
      </c>
      <c r="K12495" s="33" t="s">
        <v>22</v>
      </c>
    </row>
    <row r="12496" spans="1:11">
      <c r="A12496" s="30" t="s">
        <v>28330</v>
      </c>
      <c r="B12496" s="30" t="s">
        <v>28331</v>
      </c>
      <c r="C12496" s="30" t="s">
        <v>11052</v>
      </c>
      <c r="D12496" s="30" t="s">
        <v>17</v>
      </c>
      <c r="E12496" s="30" t="s">
        <v>26</v>
      </c>
      <c r="F12496" s="30" t="s">
        <v>27</v>
      </c>
      <c r="G12496" s="30" t="s">
        <v>50</v>
      </c>
      <c r="H12496" s="32">
        <v>36</v>
      </c>
      <c r="I12496" s="30" t="s">
        <v>51</v>
      </c>
      <c r="J12496" s="41">
        <v>44586</v>
      </c>
      <c r="K12496" s="30" t="s">
        <v>22</v>
      </c>
    </row>
    <row r="12497" spans="1:11">
      <c r="A12497" s="33" t="s">
        <v>28332</v>
      </c>
      <c r="B12497" s="33" t="s">
        <v>28333</v>
      </c>
      <c r="C12497" s="33" t="s">
        <v>24106</v>
      </c>
      <c r="D12497" s="33" t="s">
        <v>17</v>
      </c>
      <c r="E12497" s="33" t="s">
        <v>26</v>
      </c>
      <c r="F12497" s="33" t="s">
        <v>27</v>
      </c>
      <c r="G12497" s="33" t="s">
        <v>20</v>
      </c>
      <c r="H12497" s="35">
        <v>42</v>
      </c>
      <c r="I12497" s="33" t="s">
        <v>21</v>
      </c>
      <c r="J12497" s="42">
        <v>44692</v>
      </c>
      <c r="K12497" s="33" t="s">
        <v>22</v>
      </c>
    </row>
    <row r="12498" spans="1:11">
      <c r="A12498" s="30" t="s">
        <v>28334</v>
      </c>
      <c r="B12498" s="30" t="s">
        <v>28335</v>
      </c>
      <c r="C12498" s="30" t="s">
        <v>109</v>
      </c>
      <c r="D12498" s="30" t="s">
        <v>17</v>
      </c>
      <c r="E12498" s="30" t="s">
        <v>31</v>
      </c>
      <c r="F12498" s="30" t="s">
        <v>32</v>
      </c>
      <c r="G12498" s="30" t="s">
        <v>106</v>
      </c>
      <c r="H12498" s="32">
        <v>126</v>
      </c>
      <c r="I12498" s="30" t="s">
        <v>21</v>
      </c>
      <c r="J12498" s="41">
        <v>44602</v>
      </c>
      <c r="K12498" s="30" t="s">
        <v>22</v>
      </c>
    </row>
    <row r="12499" spans="1:11">
      <c r="A12499" s="33" t="s">
        <v>28336</v>
      </c>
      <c r="B12499" s="33" t="s">
        <v>28337</v>
      </c>
      <c r="C12499" s="33" t="s">
        <v>1112</v>
      </c>
      <c r="D12499" s="33" t="s">
        <v>17</v>
      </c>
      <c r="E12499" s="33" t="s">
        <v>26</v>
      </c>
      <c r="F12499" s="33" t="s">
        <v>27</v>
      </c>
      <c r="G12499" s="33" t="s">
        <v>20</v>
      </c>
      <c r="H12499" s="35">
        <v>16</v>
      </c>
      <c r="I12499" s="33" t="s">
        <v>21</v>
      </c>
      <c r="J12499" s="42">
        <v>44741</v>
      </c>
      <c r="K12499" s="33" t="s">
        <v>22</v>
      </c>
    </row>
    <row r="12500" spans="1:11">
      <c r="A12500" s="30" t="s">
        <v>28338</v>
      </c>
      <c r="B12500" s="30" t="s">
        <v>28339</v>
      </c>
      <c r="C12500" s="30" t="s">
        <v>6827</v>
      </c>
      <c r="D12500" s="30" t="s">
        <v>17</v>
      </c>
      <c r="E12500" s="30" t="s">
        <v>18</v>
      </c>
      <c r="F12500" s="30" t="s">
        <v>19</v>
      </c>
      <c r="G12500" s="30" t="s">
        <v>20</v>
      </c>
      <c r="H12500" s="32">
        <v>561</v>
      </c>
      <c r="I12500" s="30" t="s">
        <v>21</v>
      </c>
      <c r="J12500" s="41">
        <v>44864</v>
      </c>
      <c r="K12500" s="30" t="s">
        <v>22</v>
      </c>
    </row>
    <row r="12501" spans="1:11">
      <c r="A12501" s="33" t="s">
        <v>28340</v>
      </c>
      <c r="B12501" s="33" t="s">
        <v>28341</v>
      </c>
      <c r="C12501" s="33" t="s">
        <v>4353</v>
      </c>
      <c r="D12501" s="33" t="s">
        <v>17</v>
      </c>
      <c r="E12501" s="33" t="s">
        <v>31</v>
      </c>
      <c r="F12501" s="33" t="s">
        <v>32</v>
      </c>
      <c r="G12501" s="33" t="s">
        <v>106</v>
      </c>
      <c r="H12501" s="35">
        <v>1</v>
      </c>
      <c r="I12501" s="33" t="s">
        <v>21</v>
      </c>
      <c r="J12501" s="42">
        <v>44848</v>
      </c>
      <c r="K12501" s="33" t="s">
        <v>22</v>
      </c>
    </row>
    <row r="12502" spans="1:11">
      <c r="A12502" s="30" t="s">
        <v>28342</v>
      </c>
      <c r="B12502" s="30" t="s">
        <v>28343</v>
      </c>
      <c r="C12502" s="30" t="s">
        <v>109</v>
      </c>
      <c r="D12502" s="30" t="s">
        <v>17</v>
      </c>
      <c r="E12502" s="30" t="s">
        <v>18</v>
      </c>
      <c r="F12502" s="30" t="s">
        <v>19</v>
      </c>
      <c r="G12502" s="30" t="s">
        <v>20</v>
      </c>
      <c r="H12502" s="32">
        <v>71</v>
      </c>
      <c r="I12502" s="30" t="s">
        <v>21</v>
      </c>
      <c r="J12502" s="41">
        <v>44576</v>
      </c>
      <c r="K12502" s="30" t="s">
        <v>22</v>
      </c>
    </row>
    <row r="12503" spans="1:11">
      <c r="A12503" s="33" t="s">
        <v>28344</v>
      </c>
      <c r="B12503" s="33" t="s">
        <v>28345</v>
      </c>
      <c r="C12503" s="33" t="s">
        <v>28346</v>
      </c>
      <c r="D12503" s="33" t="s">
        <v>17</v>
      </c>
      <c r="E12503" s="33" t="s">
        <v>31</v>
      </c>
      <c r="F12503" s="33" t="s">
        <v>32</v>
      </c>
      <c r="G12503" s="33" t="s">
        <v>20</v>
      </c>
      <c r="H12503" s="35">
        <v>49</v>
      </c>
      <c r="I12503" s="33" t="s">
        <v>21</v>
      </c>
      <c r="J12503" s="42">
        <v>44903</v>
      </c>
      <c r="K12503" s="33" t="s">
        <v>22</v>
      </c>
    </row>
    <row r="12504" spans="1:11">
      <c r="A12504" s="30" t="s">
        <v>28347</v>
      </c>
      <c r="B12504" s="30" t="s">
        <v>28348</v>
      </c>
      <c r="C12504" s="30" t="s">
        <v>187</v>
      </c>
      <c r="D12504" s="30" t="s">
        <v>17</v>
      </c>
      <c r="E12504" s="30" t="s">
        <v>26</v>
      </c>
      <c r="F12504" s="30" t="s">
        <v>27</v>
      </c>
      <c r="G12504" s="30" t="s">
        <v>50</v>
      </c>
      <c r="H12504" s="32">
        <v>73</v>
      </c>
      <c r="I12504" s="30" t="s">
        <v>51</v>
      </c>
      <c r="J12504" s="41">
        <v>44680</v>
      </c>
      <c r="K12504" s="30" t="s">
        <v>22</v>
      </c>
    </row>
    <row r="12505" spans="1:11">
      <c r="A12505" s="33" t="s">
        <v>28349</v>
      </c>
      <c r="B12505" s="33" t="s">
        <v>28350</v>
      </c>
      <c r="C12505" s="33" t="s">
        <v>10699</v>
      </c>
      <c r="D12505" s="33" t="s">
        <v>17</v>
      </c>
      <c r="E12505" s="33" t="s">
        <v>26</v>
      </c>
      <c r="F12505" s="33" t="s">
        <v>27</v>
      </c>
      <c r="G12505" s="33" t="s">
        <v>20</v>
      </c>
      <c r="H12505" s="35">
        <v>50</v>
      </c>
      <c r="I12505" s="33" t="s">
        <v>21</v>
      </c>
      <c r="J12505" s="42">
        <v>44729</v>
      </c>
      <c r="K12505" s="33" t="s">
        <v>22</v>
      </c>
    </row>
    <row r="12506" spans="1:11">
      <c r="A12506" s="30" t="s">
        <v>28351</v>
      </c>
      <c r="B12506" s="30" t="s">
        <v>28352</v>
      </c>
      <c r="C12506" s="30" t="s">
        <v>450</v>
      </c>
      <c r="D12506" s="30" t="s">
        <v>17</v>
      </c>
      <c r="E12506" s="30" t="s">
        <v>18</v>
      </c>
      <c r="F12506" s="30" t="s">
        <v>19</v>
      </c>
      <c r="G12506" s="30" t="s">
        <v>158</v>
      </c>
      <c r="H12506" s="32">
        <v>80</v>
      </c>
      <c r="I12506" s="30" t="s">
        <v>21</v>
      </c>
      <c r="J12506" s="41">
        <v>44862</v>
      </c>
      <c r="K12506" s="30" t="s">
        <v>22</v>
      </c>
    </row>
    <row r="12507" spans="1:11">
      <c r="A12507" s="33" t="s">
        <v>28353</v>
      </c>
      <c r="B12507" s="33" t="s">
        <v>28354</v>
      </c>
      <c r="C12507" s="33" t="s">
        <v>5845</v>
      </c>
      <c r="D12507" s="33" t="s">
        <v>17</v>
      </c>
      <c r="E12507" s="33" t="s">
        <v>26</v>
      </c>
      <c r="F12507" s="33" t="s">
        <v>27</v>
      </c>
      <c r="G12507" s="33" t="s">
        <v>20</v>
      </c>
      <c r="H12507" s="35">
        <v>14</v>
      </c>
      <c r="I12507" s="33" t="s">
        <v>21</v>
      </c>
      <c r="J12507" s="42">
        <v>44691</v>
      </c>
      <c r="K12507" s="33" t="s">
        <v>22</v>
      </c>
    </row>
    <row r="12508" spans="1:11">
      <c r="A12508" s="30" t="s">
        <v>28355</v>
      </c>
      <c r="B12508" s="30" t="s">
        <v>28356</v>
      </c>
      <c r="C12508" s="30" t="s">
        <v>28357</v>
      </c>
      <c r="D12508" s="30" t="s">
        <v>17</v>
      </c>
      <c r="E12508" s="30" t="s">
        <v>26</v>
      </c>
      <c r="F12508" s="30" t="s">
        <v>27</v>
      </c>
      <c r="G12508" s="30" t="s">
        <v>20</v>
      </c>
      <c r="H12508" s="32">
        <v>40</v>
      </c>
      <c r="I12508" s="30" t="s">
        <v>21</v>
      </c>
      <c r="J12508" s="41">
        <v>44868</v>
      </c>
      <c r="K12508" s="30" t="s">
        <v>22</v>
      </c>
    </row>
    <row r="12509" spans="1:11">
      <c r="A12509" s="33" t="s">
        <v>28358</v>
      </c>
      <c r="B12509" s="33" t="s">
        <v>28359</v>
      </c>
      <c r="C12509" s="33" t="s">
        <v>2562</v>
      </c>
      <c r="D12509" s="33" t="s">
        <v>17</v>
      </c>
      <c r="E12509" s="33" t="s">
        <v>67</v>
      </c>
      <c r="F12509" s="33" t="s">
        <v>68</v>
      </c>
      <c r="G12509" s="33" t="s">
        <v>140</v>
      </c>
      <c r="H12509" s="35">
        <v>48</v>
      </c>
      <c r="I12509" s="33" t="s">
        <v>51</v>
      </c>
      <c r="J12509" s="42">
        <v>44782</v>
      </c>
      <c r="K12509" s="33" t="s">
        <v>22</v>
      </c>
    </row>
    <row r="12510" spans="1:11">
      <c r="A12510" s="30" t="s">
        <v>28360</v>
      </c>
      <c r="B12510" s="30" t="s">
        <v>28361</v>
      </c>
      <c r="C12510" s="30" t="s">
        <v>4622</v>
      </c>
      <c r="D12510" s="30" t="s">
        <v>17</v>
      </c>
      <c r="E12510" s="30" t="s">
        <v>31</v>
      </c>
      <c r="F12510" s="30" t="s">
        <v>32</v>
      </c>
      <c r="G12510" s="30" t="s">
        <v>20</v>
      </c>
      <c r="H12510" s="32">
        <v>228</v>
      </c>
      <c r="I12510" s="30" t="s">
        <v>21</v>
      </c>
      <c r="J12510" s="41">
        <v>44879</v>
      </c>
      <c r="K12510" s="30" t="s">
        <v>22</v>
      </c>
    </row>
    <row r="12511" spans="1:11">
      <c r="A12511" s="33" t="s">
        <v>28362</v>
      </c>
      <c r="B12511" s="33" t="s">
        <v>28363</v>
      </c>
      <c r="C12511" s="33" t="s">
        <v>93</v>
      </c>
      <c r="D12511" s="33" t="s">
        <v>17</v>
      </c>
      <c r="E12511" s="33" t="s">
        <v>31</v>
      </c>
      <c r="F12511" s="33" t="s">
        <v>32</v>
      </c>
      <c r="G12511" s="33" t="s">
        <v>20</v>
      </c>
      <c r="H12511" s="35">
        <v>174</v>
      </c>
      <c r="I12511" s="33" t="s">
        <v>21</v>
      </c>
      <c r="J12511" s="42">
        <v>44663</v>
      </c>
      <c r="K12511" s="33" t="s">
        <v>22</v>
      </c>
    </row>
    <row r="12512" spans="1:11">
      <c r="A12512" s="30" t="s">
        <v>28364</v>
      </c>
      <c r="B12512" s="30" t="s">
        <v>28365</v>
      </c>
      <c r="C12512" s="30" t="s">
        <v>4345</v>
      </c>
      <c r="D12512" s="30" t="s">
        <v>17</v>
      </c>
      <c r="E12512" s="30" t="s">
        <v>26</v>
      </c>
      <c r="F12512" s="30" t="s">
        <v>27</v>
      </c>
      <c r="G12512" s="30" t="s">
        <v>20</v>
      </c>
      <c r="H12512" s="32">
        <v>104</v>
      </c>
      <c r="I12512" s="30" t="s">
        <v>21</v>
      </c>
      <c r="J12512" s="41">
        <v>44839</v>
      </c>
      <c r="K12512" s="30" t="s">
        <v>22</v>
      </c>
    </row>
    <row r="12513" spans="1:11">
      <c r="A12513" s="33" t="s">
        <v>28366</v>
      </c>
      <c r="B12513" s="33" t="s">
        <v>28367</v>
      </c>
      <c r="C12513" s="33" t="s">
        <v>10974</v>
      </c>
      <c r="D12513" s="33" t="s">
        <v>17</v>
      </c>
      <c r="E12513" s="33" t="s">
        <v>18</v>
      </c>
      <c r="F12513" s="33" t="s">
        <v>19</v>
      </c>
      <c r="G12513" s="33" t="s">
        <v>20</v>
      </c>
      <c r="H12513" s="35">
        <v>597</v>
      </c>
      <c r="I12513" s="33" t="s">
        <v>21</v>
      </c>
      <c r="J12513" s="42">
        <v>44838</v>
      </c>
      <c r="K12513" s="33" t="s">
        <v>22</v>
      </c>
    </row>
    <row r="12514" spans="1:11">
      <c r="A12514" s="30" t="s">
        <v>28368</v>
      </c>
      <c r="B12514" s="30" t="s">
        <v>28369</v>
      </c>
      <c r="C12514" s="30" t="s">
        <v>1042</v>
      </c>
      <c r="D12514" s="30" t="s">
        <v>17</v>
      </c>
      <c r="E12514" s="30" t="s">
        <v>18</v>
      </c>
      <c r="F12514" s="30" t="s">
        <v>19</v>
      </c>
      <c r="G12514" s="30" t="s">
        <v>20</v>
      </c>
      <c r="H12514" s="32">
        <v>131</v>
      </c>
      <c r="I12514" s="30" t="s">
        <v>21</v>
      </c>
      <c r="J12514" s="41">
        <v>44582</v>
      </c>
      <c r="K12514" s="30" t="s">
        <v>22</v>
      </c>
    </row>
    <row r="12515" spans="1:11">
      <c r="A12515" s="33" t="s">
        <v>28370</v>
      </c>
      <c r="B12515" s="33" t="s">
        <v>28371</v>
      </c>
      <c r="C12515" s="33" t="s">
        <v>10925</v>
      </c>
      <c r="D12515" s="33" t="s">
        <v>17</v>
      </c>
      <c r="E12515" s="33" t="s">
        <v>67</v>
      </c>
      <c r="F12515" s="33" t="s">
        <v>68</v>
      </c>
      <c r="G12515" s="33" t="s">
        <v>158</v>
      </c>
      <c r="H12515" s="35">
        <v>6</v>
      </c>
      <c r="I12515" s="33" t="s">
        <v>21</v>
      </c>
      <c r="J12515" s="42">
        <v>44592</v>
      </c>
      <c r="K12515" s="33" t="s">
        <v>22</v>
      </c>
    </row>
    <row r="12516" spans="1:11">
      <c r="A12516" s="30" t="s">
        <v>28372</v>
      </c>
      <c r="B12516" s="30" t="s">
        <v>28373</v>
      </c>
      <c r="C12516" s="30" t="s">
        <v>60</v>
      </c>
      <c r="D12516" s="30" t="s">
        <v>17</v>
      </c>
      <c r="E12516" s="30" t="s">
        <v>45</v>
      </c>
      <c r="F12516" s="30" t="s">
        <v>46</v>
      </c>
      <c r="G12516" s="30" t="s">
        <v>140</v>
      </c>
      <c r="H12516" s="32">
        <v>466</v>
      </c>
      <c r="I12516" s="30" t="s">
        <v>51</v>
      </c>
      <c r="J12516" s="41">
        <v>44650</v>
      </c>
      <c r="K12516" s="30" t="s">
        <v>22</v>
      </c>
    </row>
    <row r="12517" spans="1:11">
      <c r="A12517" s="33" t="s">
        <v>28374</v>
      </c>
      <c r="B12517" s="33" t="s">
        <v>28375</v>
      </c>
      <c r="C12517" s="33" t="s">
        <v>28376</v>
      </c>
      <c r="D12517" s="33" t="s">
        <v>17</v>
      </c>
      <c r="E12517" s="33" t="s">
        <v>18</v>
      </c>
      <c r="F12517" s="33" t="s">
        <v>19</v>
      </c>
      <c r="G12517" s="33" t="s">
        <v>20</v>
      </c>
      <c r="H12517" s="35">
        <v>56</v>
      </c>
      <c r="I12517" s="33" t="s">
        <v>21</v>
      </c>
      <c r="J12517" s="42">
        <v>44604</v>
      </c>
      <c r="K12517" s="33" t="s">
        <v>22</v>
      </c>
    </row>
    <row r="12518" spans="1:11">
      <c r="A12518" s="30" t="s">
        <v>28377</v>
      </c>
      <c r="B12518" s="30" t="s">
        <v>28378</v>
      </c>
      <c r="C12518" s="30" t="s">
        <v>28379</v>
      </c>
      <c r="D12518" s="30" t="s">
        <v>17</v>
      </c>
      <c r="E12518" s="30" t="s">
        <v>18</v>
      </c>
      <c r="F12518" s="30" t="s">
        <v>19</v>
      </c>
      <c r="G12518" s="30" t="s">
        <v>158</v>
      </c>
      <c r="H12518" s="32">
        <v>6</v>
      </c>
      <c r="I12518" s="30" t="s">
        <v>21</v>
      </c>
      <c r="J12518" s="41">
        <v>44578</v>
      </c>
      <c r="K12518" s="30" t="s">
        <v>22</v>
      </c>
    </row>
    <row r="12519" spans="1:11">
      <c r="A12519" s="33" t="s">
        <v>28380</v>
      </c>
      <c r="B12519" s="33" t="s">
        <v>28381</v>
      </c>
      <c r="C12519" s="33" t="s">
        <v>28382</v>
      </c>
      <c r="D12519" s="33" t="s">
        <v>17</v>
      </c>
      <c r="E12519" s="33" t="s">
        <v>26</v>
      </c>
      <c r="F12519" s="33" t="s">
        <v>27</v>
      </c>
      <c r="G12519" s="33" t="s">
        <v>20</v>
      </c>
      <c r="H12519" s="35">
        <v>28</v>
      </c>
      <c r="I12519" s="33" t="s">
        <v>21</v>
      </c>
      <c r="J12519" s="42">
        <v>44575</v>
      </c>
      <c r="K12519" s="33" t="s">
        <v>22</v>
      </c>
    </row>
    <row r="12520" spans="1:11">
      <c r="A12520" s="30" t="s">
        <v>28383</v>
      </c>
      <c r="B12520" s="30" t="s">
        <v>28384</v>
      </c>
      <c r="C12520" s="30" t="s">
        <v>14580</v>
      </c>
      <c r="D12520" s="30" t="s">
        <v>17</v>
      </c>
      <c r="E12520" s="30" t="s">
        <v>26</v>
      </c>
      <c r="F12520" s="30" t="s">
        <v>27</v>
      </c>
      <c r="G12520" s="30" t="s">
        <v>140</v>
      </c>
      <c r="H12520" s="32">
        <v>177</v>
      </c>
      <c r="I12520" s="30" t="s">
        <v>51</v>
      </c>
      <c r="J12520" s="41">
        <v>44566</v>
      </c>
      <c r="K12520" s="30" t="s">
        <v>22</v>
      </c>
    </row>
    <row r="12521" spans="1:11">
      <c r="A12521" s="33" t="s">
        <v>28385</v>
      </c>
      <c r="B12521" s="33" t="s">
        <v>28386</v>
      </c>
      <c r="C12521" s="33" t="s">
        <v>28387</v>
      </c>
      <c r="D12521" s="33" t="s">
        <v>17</v>
      </c>
      <c r="E12521" s="33" t="s">
        <v>31</v>
      </c>
      <c r="F12521" s="33" t="s">
        <v>32</v>
      </c>
      <c r="G12521" s="33" t="s">
        <v>112</v>
      </c>
      <c r="H12521" s="35">
        <v>0</v>
      </c>
      <c r="I12521" s="33" t="s">
        <v>21</v>
      </c>
      <c r="J12521" s="42">
        <v>44763</v>
      </c>
      <c r="K12521" s="33" t="s">
        <v>22</v>
      </c>
    </row>
    <row r="12522" spans="1:11">
      <c r="A12522" s="30" t="s">
        <v>28388</v>
      </c>
      <c r="B12522" s="30" t="s">
        <v>28389</v>
      </c>
      <c r="C12522" s="30" t="s">
        <v>28390</v>
      </c>
      <c r="D12522" s="30" t="s">
        <v>17</v>
      </c>
      <c r="E12522" s="30" t="s">
        <v>45</v>
      </c>
      <c r="F12522" s="30" t="s">
        <v>46</v>
      </c>
      <c r="G12522" s="30" t="s">
        <v>20</v>
      </c>
      <c r="H12522" s="32">
        <v>75</v>
      </c>
      <c r="I12522" s="30" t="s">
        <v>21</v>
      </c>
      <c r="J12522" s="41">
        <v>44910</v>
      </c>
      <c r="K12522" s="30" t="s">
        <v>22</v>
      </c>
    </row>
    <row r="12523" spans="1:11">
      <c r="A12523" s="33" t="s">
        <v>28391</v>
      </c>
      <c r="B12523" s="33" t="s">
        <v>28392</v>
      </c>
      <c r="C12523" s="33" t="s">
        <v>647</v>
      </c>
      <c r="D12523" s="33" t="s">
        <v>17</v>
      </c>
      <c r="E12523" s="33" t="s">
        <v>31</v>
      </c>
      <c r="F12523" s="33" t="s">
        <v>32</v>
      </c>
      <c r="G12523" s="33" t="s">
        <v>20</v>
      </c>
      <c r="H12523" s="35">
        <v>140</v>
      </c>
      <c r="I12523" s="33" t="s">
        <v>21</v>
      </c>
      <c r="J12523" s="42">
        <v>44569</v>
      </c>
      <c r="K12523" s="33" t="s">
        <v>22</v>
      </c>
    </row>
    <row r="12524" spans="1:11">
      <c r="A12524" s="30" t="s">
        <v>28393</v>
      </c>
      <c r="B12524" s="30" t="s">
        <v>28394</v>
      </c>
      <c r="C12524" s="30" t="s">
        <v>12049</v>
      </c>
      <c r="D12524" s="30" t="s">
        <v>17</v>
      </c>
      <c r="E12524" s="30" t="s">
        <v>31</v>
      </c>
      <c r="F12524" s="30" t="s">
        <v>32</v>
      </c>
      <c r="G12524" s="30" t="s">
        <v>20</v>
      </c>
      <c r="H12524" s="32">
        <v>40</v>
      </c>
      <c r="I12524" s="30" t="s">
        <v>21</v>
      </c>
      <c r="J12524" s="41">
        <v>44593</v>
      </c>
      <c r="K12524" s="30" t="s">
        <v>22</v>
      </c>
    </row>
    <row r="12525" spans="1:11">
      <c r="A12525" s="33" t="s">
        <v>28395</v>
      </c>
      <c r="B12525" s="33" t="s">
        <v>28396</v>
      </c>
      <c r="C12525" s="33" t="s">
        <v>60</v>
      </c>
      <c r="D12525" s="33" t="s">
        <v>17</v>
      </c>
      <c r="E12525" s="33" t="s">
        <v>18</v>
      </c>
      <c r="F12525" s="33" t="s">
        <v>19</v>
      </c>
      <c r="G12525" s="33" t="s">
        <v>20</v>
      </c>
      <c r="H12525" s="35">
        <v>1075</v>
      </c>
      <c r="I12525" s="33" t="s">
        <v>21</v>
      </c>
      <c r="J12525" s="42">
        <v>44837</v>
      </c>
      <c r="K12525" s="33" t="s">
        <v>22</v>
      </c>
    </row>
    <row r="12526" spans="1:11">
      <c r="A12526" s="30" t="s">
        <v>28397</v>
      </c>
      <c r="B12526" s="30" t="s">
        <v>28398</v>
      </c>
      <c r="C12526" s="30" t="s">
        <v>3278</v>
      </c>
      <c r="D12526" s="30" t="s">
        <v>17</v>
      </c>
      <c r="E12526" s="30" t="s">
        <v>18</v>
      </c>
      <c r="F12526" s="30" t="s">
        <v>19</v>
      </c>
      <c r="G12526" s="30" t="s">
        <v>140</v>
      </c>
      <c r="H12526" s="32">
        <v>640</v>
      </c>
      <c r="I12526" s="30" t="s">
        <v>51</v>
      </c>
      <c r="J12526" s="41">
        <v>44819</v>
      </c>
      <c r="K12526" s="30" t="s">
        <v>22</v>
      </c>
    </row>
    <row r="12527" spans="1:11">
      <c r="A12527" s="33" t="s">
        <v>28399</v>
      </c>
      <c r="B12527" s="33" t="s">
        <v>28400</v>
      </c>
      <c r="C12527" s="33" t="s">
        <v>178</v>
      </c>
      <c r="D12527" s="33" t="s">
        <v>17</v>
      </c>
      <c r="E12527" s="33" t="s">
        <v>31</v>
      </c>
      <c r="F12527" s="33" t="s">
        <v>32</v>
      </c>
      <c r="G12527" s="33" t="s">
        <v>158</v>
      </c>
      <c r="H12527" s="35">
        <v>58</v>
      </c>
      <c r="I12527" s="33" t="s">
        <v>21</v>
      </c>
      <c r="J12527" s="42">
        <v>44638</v>
      </c>
      <c r="K12527" s="33" t="s">
        <v>22</v>
      </c>
    </row>
    <row r="12528" spans="1:11">
      <c r="A12528" s="30" t="s">
        <v>28401</v>
      </c>
      <c r="B12528" s="30" t="s">
        <v>28402</v>
      </c>
      <c r="C12528" s="30" t="s">
        <v>28403</v>
      </c>
      <c r="D12528" s="30" t="s">
        <v>17</v>
      </c>
      <c r="E12528" s="30" t="s">
        <v>67</v>
      </c>
      <c r="F12528" s="30" t="s">
        <v>68</v>
      </c>
      <c r="G12528" s="30" t="s">
        <v>140</v>
      </c>
      <c r="H12528" s="32">
        <v>82</v>
      </c>
      <c r="I12528" s="30" t="s">
        <v>51</v>
      </c>
      <c r="J12528" s="41">
        <v>44635</v>
      </c>
      <c r="K12528" s="30" t="s">
        <v>22</v>
      </c>
    </row>
    <row r="12529" spans="1:11">
      <c r="A12529" s="33" t="s">
        <v>28404</v>
      </c>
      <c r="B12529" s="33" t="s">
        <v>28405</v>
      </c>
      <c r="C12529" s="33" t="s">
        <v>1391</v>
      </c>
      <c r="D12529" s="33" t="s">
        <v>17</v>
      </c>
      <c r="E12529" s="33" t="s">
        <v>67</v>
      </c>
      <c r="F12529" s="33" t="s">
        <v>68</v>
      </c>
      <c r="G12529" s="33" t="s">
        <v>112</v>
      </c>
      <c r="H12529" s="35">
        <v>0</v>
      </c>
      <c r="I12529" s="33" t="s">
        <v>21</v>
      </c>
      <c r="J12529" s="42">
        <v>44596</v>
      </c>
      <c r="K12529" s="33" t="s">
        <v>22</v>
      </c>
    </row>
    <row r="12530" spans="1:11">
      <c r="A12530" s="30" t="s">
        <v>28406</v>
      </c>
      <c r="B12530" s="30" t="s">
        <v>28407</v>
      </c>
      <c r="C12530" s="30" t="s">
        <v>28408</v>
      </c>
      <c r="D12530" s="30" t="s">
        <v>17</v>
      </c>
      <c r="E12530" s="30" t="s">
        <v>26</v>
      </c>
      <c r="F12530" s="30" t="s">
        <v>27</v>
      </c>
      <c r="G12530" s="30" t="s">
        <v>20</v>
      </c>
      <c r="H12530" s="32">
        <v>45</v>
      </c>
      <c r="I12530" s="30" t="s">
        <v>21</v>
      </c>
      <c r="J12530" s="41">
        <v>44694</v>
      </c>
      <c r="K12530" s="30" t="s">
        <v>22</v>
      </c>
    </row>
    <row r="12531" spans="1:11">
      <c r="A12531" s="33" t="s">
        <v>28409</v>
      </c>
      <c r="B12531" s="33" t="s">
        <v>28410</v>
      </c>
      <c r="C12531" s="33" t="s">
        <v>25561</v>
      </c>
      <c r="D12531" s="33" t="s">
        <v>17</v>
      </c>
      <c r="E12531" s="33" t="s">
        <v>26</v>
      </c>
      <c r="F12531" s="33" t="s">
        <v>27</v>
      </c>
      <c r="G12531" s="33" t="s">
        <v>20</v>
      </c>
      <c r="H12531" s="35">
        <v>306</v>
      </c>
      <c r="I12531" s="33" t="s">
        <v>21</v>
      </c>
      <c r="J12531" s="42">
        <v>44749</v>
      </c>
      <c r="K12531" s="33" t="s">
        <v>22</v>
      </c>
    </row>
    <row r="12532" spans="1:11">
      <c r="A12532" s="30" t="s">
        <v>28411</v>
      </c>
      <c r="B12532" s="30" t="s">
        <v>28412</v>
      </c>
      <c r="C12532" s="30" t="s">
        <v>1102</v>
      </c>
      <c r="D12532" s="30" t="s">
        <v>17</v>
      </c>
      <c r="E12532" s="30" t="s">
        <v>26</v>
      </c>
      <c r="F12532" s="30" t="s">
        <v>27</v>
      </c>
      <c r="G12532" s="30" t="s">
        <v>50</v>
      </c>
      <c r="H12532" s="32">
        <v>113</v>
      </c>
      <c r="I12532" s="30" t="s">
        <v>51</v>
      </c>
      <c r="J12532" s="41">
        <v>44579</v>
      </c>
      <c r="K12532" s="30" t="s">
        <v>22</v>
      </c>
    </row>
    <row r="12533" spans="1:11">
      <c r="A12533" s="33" t="s">
        <v>28413</v>
      </c>
      <c r="B12533" s="33" t="s">
        <v>28414</v>
      </c>
      <c r="C12533" s="33" t="s">
        <v>190</v>
      </c>
      <c r="D12533" s="33" t="s">
        <v>17</v>
      </c>
      <c r="E12533" s="33" t="s">
        <v>26</v>
      </c>
      <c r="F12533" s="33" t="s">
        <v>27</v>
      </c>
      <c r="G12533" s="33" t="s">
        <v>20</v>
      </c>
      <c r="H12533" s="35">
        <v>45</v>
      </c>
      <c r="I12533" s="33" t="s">
        <v>21</v>
      </c>
      <c r="J12533" s="42">
        <v>44804</v>
      </c>
      <c r="K12533" s="33" t="s">
        <v>22</v>
      </c>
    </row>
    <row r="12534" spans="1:11">
      <c r="A12534" s="30" t="s">
        <v>28415</v>
      </c>
      <c r="B12534" s="30" t="s">
        <v>28416</v>
      </c>
      <c r="C12534" s="30" t="s">
        <v>28417</v>
      </c>
      <c r="D12534" s="30" t="s">
        <v>17</v>
      </c>
      <c r="E12534" s="30" t="s">
        <v>26</v>
      </c>
      <c r="F12534" s="30" t="s">
        <v>27</v>
      </c>
      <c r="G12534" s="30" t="s">
        <v>20</v>
      </c>
      <c r="H12534" s="32">
        <v>84</v>
      </c>
      <c r="I12534" s="30" t="s">
        <v>21</v>
      </c>
      <c r="J12534" s="41">
        <v>44725</v>
      </c>
      <c r="K12534" s="30" t="s">
        <v>22</v>
      </c>
    </row>
    <row r="12535" spans="1:11">
      <c r="A12535" s="33" t="s">
        <v>28418</v>
      </c>
      <c r="B12535" s="33" t="s">
        <v>28419</v>
      </c>
      <c r="C12535" s="33" t="s">
        <v>4596</v>
      </c>
      <c r="D12535" s="33" t="s">
        <v>17</v>
      </c>
      <c r="E12535" s="33" t="s">
        <v>26</v>
      </c>
      <c r="F12535" s="33" t="s">
        <v>27</v>
      </c>
      <c r="G12535" s="33" t="s">
        <v>20</v>
      </c>
      <c r="H12535" s="35">
        <v>44</v>
      </c>
      <c r="I12535" s="33" t="s">
        <v>21</v>
      </c>
      <c r="J12535" s="42">
        <v>44827</v>
      </c>
      <c r="K12535" s="33" t="s">
        <v>22</v>
      </c>
    </row>
    <row r="12536" spans="1:11">
      <c r="A12536" s="30" t="s">
        <v>28420</v>
      </c>
      <c r="B12536" s="30" t="s">
        <v>28421</v>
      </c>
      <c r="C12536" s="30" t="s">
        <v>6508</v>
      </c>
      <c r="D12536" s="30" t="s">
        <v>17</v>
      </c>
      <c r="E12536" s="30" t="s">
        <v>31</v>
      </c>
      <c r="F12536" s="30" t="s">
        <v>32</v>
      </c>
      <c r="G12536" s="30" t="s">
        <v>158</v>
      </c>
      <c r="H12536" s="32">
        <v>35</v>
      </c>
      <c r="I12536" s="30" t="s">
        <v>21</v>
      </c>
      <c r="J12536" s="41">
        <v>44890</v>
      </c>
      <c r="K12536" s="30" t="s">
        <v>22</v>
      </c>
    </row>
    <row r="12537" spans="1:11">
      <c r="A12537" s="33" t="s">
        <v>28422</v>
      </c>
      <c r="B12537" s="33" t="s">
        <v>28423</v>
      </c>
      <c r="C12537" s="33" t="s">
        <v>426</v>
      </c>
      <c r="D12537" s="33" t="s">
        <v>17</v>
      </c>
      <c r="E12537" s="33" t="s">
        <v>26</v>
      </c>
      <c r="F12537" s="33" t="s">
        <v>27</v>
      </c>
      <c r="G12537" s="33" t="s">
        <v>20</v>
      </c>
      <c r="H12537" s="35">
        <v>6</v>
      </c>
      <c r="I12537" s="33" t="s">
        <v>21</v>
      </c>
      <c r="J12537" s="42">
        <v>44818</v>
      </c>
      <c r="K12537" s="33" t="s">
        <v>22</v>
      </c>
    </row>
    <row r="12538" spans="1:11">
      <c r="A12538" s="30" t="s">
        <v>28424</v>
      </c>
      <c r="B12538" s="30" t="s">
        <v>28425</v>
      </c>
      <c r="C12538" s="30" t="s">
        <v>75</v>
      </c>
      <c r="D12538" s="30" t="s">
        <v>17</v>
      </c>
      <c r="E12538" s="30" t="s">
        <v>18</v>
      </c>
      <c r="F12538" s="30" t="s">
        <v>19</v>
      </c>
      <c r="G12538" s="30" t="s">
        <v>106</v>
      </c>
      <c r="H12538" s="32">
        <v>131</v>
      </c>
      <c r="I12538" s="30" t="s">
        <v>21</v>
      </c>
      <c r="J12538" s="41">
        <v>44904</v>
      </c>
      <c r="K12538" s="30" t="s">
        <v>22</v>
      </c>
    </row>
    <row r="12539" spans="1:11">
      <c r="A12539" s="33" t="s">
        <v>28426</v>
      </c>
      <c r="B12539" s="33" t="s">
        <v>28427</v>
      </c>
      <c r="C12539" s="33" t="s">
        <v>75</v>
      </c>
      <c r="D12539" s="33" t="s">
        <v>17</v>
      </c>
      <c r="E12539" s="33" t="s">
        <v>18</v>
      </c>
      <c r="F12539" s="33" t="s">
        <v>19</v>
      </c>
      <c r="G12539" s="33" t="s">
        <v>20</v>
      </c>
      <c r="H12539" s="35">
        <v>14</v>
      </c>
      <c r="I12539" s="33" t="s">
        <v>21</v>
      </c>
      <c r="J12539" s="42">
        <v>44775</v>
      </c>
      <c r="K12539" s="33" t="s">
        <v>22</v>
      </c>
    </row>
    <row r="12540" spans="1:11">
      <c r="A12540" s="30" t="s">
        <v>28428</v>
      </c>
      <c r="B12540" s="30" t="s">
        <v>28429</v>
      </c>
      <c r="C12540" s="30" t="s">
        <v>6351</v>
      </c>
      <c r="D12540" s="30" t="s">
        <v>17</v>
      </c>
      <c r="E12540" s="30" t="s">
        <v>18</v>
      </c>
      <c r="F12540" s="30" t="s">
        <v>19</v>
      </c>
      <c r="G12540" s="30" t="s">
        <v>50</v>
      </c>
      <c r="H12540" s="32">
        <v>245</v>
      </c>
      <c r="I12540" s="30" t="s">
        <v>51</v>
      </c>
      <c r="J12540" s="41">
        <v>44656</v>
      </c>
      <c r="K12540" s="30" t="s">
        <v>22</v>
      </c>
    </row>
    <row r="12541" spans="1:11">
      <c r="A12541" s="33" t="s">
        <v>28430</v>
      </c>
      <c r="B12541" s="33" t="s">
        <v>28431</v>
      </c>
      <c r="C12541" s="33" t="s">
        <v>804</v>
      </c>
      <c r="D12541" s="33" t="s">
        <v>17</v>
      </c>
      <c r="E12541" s="33" t="s">
        <v>31</v>
      </c>
      <c r="F12541" s="33" t="s">
        <v>32</v>
      </c>
      <c r="G12541" s="33" t="s">
        <v>50</v>
      </c>
      <c r="H12541" s="35">
        <v>24</v>
      </c>
      <c r="I12541" s="33" t="s">
        <v>21</v>
      </c>
      <c r="J12541" s="42">
        <v>44566</v>
      </c>
      <c r="K12541" s="33" t="s">
        <v>22</v>
      </c>
    </row>
    <row r="12542" spans="1:11">
      <c r="A12542" s="30" t="s">
        <v>28432</v>
      </c>
      <c r="B12542" s="30" t="s">
        <v>28433</v>
      </c>
      <c r="C12542" s="30" t="s">
        <v>136</v>
      </c>
      <c r="D12542" s="30" t="s">
        <v>17</v>
      </c>
      <c r="E12542" s="30" t="s">
        <v>18</v>
      </c>
      <c r="F12542" s="30" t="s">
        <v>19</v>
      </c>
      <c r="G12542" s="30" t="s">
        <v>158</v>
      </c>
      <c r="H12542" s="32">
        <v>368</v>
      </c>
      <c r="I12542" s="30" t="s">
        <v>21</v>
      </c>
      <c r="J12542" s="41">
        <v>44631</v>
      </c>
      <c r="K12542" s="30" t="s">
        <v>22</v>
      </c>
    </row>
    <row r="12543" spans="1:11">
      <c r="A12543" s="33" t="s">
        <v>28434</v>
      </c>
      <c r="B12543" s="33" t="s">
        <v>28435</v>
      </c>
      <c r="C12543" s="33" t="s">
        <v>18015</v>
      </c>
      <c r="D12543" s="33" t="s">
        <v>17</v>
      </c>
      <c r="E12543" s="33" t="s">
        <v>26</v>
      </c>
      <c r="F12543" s="33" t="s">
        <v>27</v>
      </c>
      <c r="G12543" s="33" t="s">
        <v>158</v>
      </c>
      <c r="H12543" s="35">
        <v>15</v>
      </c>
      <c r="I12543" s="33" t="s">
        <v>21</v>
      </c>
      <c r="J12543" s="42">
        <v>44774</v>
      </c>
      <c r="K12543" s="33" t="s">
        <v>22</v>
      </c>
    </row>
    <row r="12544" spans="1:11">
      <c r="A12544" s="30" t="s">
        <v>28436</v>
      </c>
      <c r="B12544" s="30" t="s">
        <v>28437</v>
      </c>
      <c r="C12544" s="30" t="s">
        <v>28438</v>
      </c>
      <c r="D12544" s="30" t="s">
        <v>17</v>
      </c>
      <c r="E12544" s="30" t="s">
        <v>26</v>
      </c>
      <c r="F12544" s="30" t="s">
        <v>27</v>
      </c>
      <c r="G12544" s="30" t="s">
        <v>20</v>
      </c>
      <c r="H12544" s="32">
        <v>100</v>
      </c>
      <c r="I12544" s="30" t="s">
        <v>21</v>
      </c>
      <c r="J12544" s="41">
        <v>44813</v>
      </c>
      <c r="K12544" s="30" t="s">
        <v>22</v>
      </c>
    </row>
    <row r="12545" spans="1:11">
      <c r="A12545" s="33" t="s">
        <v>28439</v>
      </c>
      <c r="B12545" s="33" t="s">
        <v>28440</v>
      </c>
      <c r="C12545" s="33" t="s">
        <v>28441</v>
      </c>
      <c r="D12545" s="33" t="s">
        <v>17</v>
      </c>
      <c r="E12545" s="33" t="s">
        <v>212</v>
      </c>
      <c r="F12545" s="33" t="s">
        <v>213</v>
      </c>
      <c r="G12545" s="33" t="s">
        <v>140</v>
      </c>
      <c r="H12545" s="35">
        <v>312</v>
      </c>
      <c r="I12545" s="33" t="s">
        <v>51</v>
      </c>
      <c r="J12545" s="42">
        <v>44760</v>
      </c>
      <c r="K12545" s="33" t="s">
        <v>22</v>
      </c>
    </row>
    <row r="12546" spans="1:11">
      <c r="A12546" s="30" t="s">
        <v>28442</v>
      </c>
      <c r="B12546" s="30" t="s">
        <v>28443</v>
      </c>
      <c r="C12546" s="30" t="s">
        <v>22846</v>
      </c>
      <c r="D12546" s="30" t="s">
        <v>17</v>
      </c>
      <c r="E12546" s="30" t="s">
        <v>26</v>
      </c>
      <c r="F12546" s="30" t="s">
        <v>27</v>
      </c>
      <c r="G12546" s="30" t="s">
        <v>20</v>
      </c>
      <c r="H12546" s="32">
        <v>124</v>
      </c>
      <c r="I12546" s="30" t="s">
        <v>21</v>
      </c>
      <c r="J12546" s="41">
        <v>44774</v>
      </c>
      <c r="K12546" s="30" t="s">
        <v>22</v>
      </c>
    </row>
    <row r="12547" spans="1:11">
      <c r="A12547" s="33" t="s">
        <v>28444</v>
      </c>
      <c r="B12547" s="33" t="s">
        <v>28445</v>
      </c>
      <c r="C12547" s="33" t="s">
        <v>28446</v>
      </c>
      <c r="D12547" s="33" t="s">
        <v>17</v>
      </c>
      <c r="E12547" s="33" t="s">
        <v>26</v>
      </c>
      <c r="F12547" s="33" t="s">
        <v>27</v>
      </c>
      <c r="G12547" s="33" t="s">
        <v>112</v>
      </c>
      <c r="H12547" s="35">
        <v>0</v>
      </c>
      <c r="I12547" s="33" t="s">
        <v>21</v>
      </c>
      <c r="J12547" s="42">
        <v>44616</v>
      </c>
      <c r="K12547" s="33" t="s">
        <v>22</v>
      </c>
    </row>
    <row r="12548" spans="1:11">
      <c r="A12548" s="30" t="s">
        <v>28447</v>
      </c>
      <c r="B12548" s="30" t="s">
        <v>28448</v>
      </c>
      <c r="C12548" s="30" t="s">
        <v>5125</v>
      </c>
      <c r="D12548" s="30" t="s">
        <v>17</v>
      </c>
      <c r="E12548" s="30" t="s">
        <v>18</v>
      </c>
      <c r="F12548" s="30" t="s">
        <v>19</v>
      </c>
      <c r="G12548" s="30" t="s">
        <v>106</v>
      </c>
      <c r="H12548" s="32">
        <v>3131</v>
      </c>
      <c r="I12548" s="30" t="s">
        <v>21</v>
      </c>
      <c r="J12548" s="41">
        <v>44904</v>
      </c>
      <c r="K12548" s="30" t="s">
        <v>22</v>
      </c>
    </row>
    <row r="12549" spans="1:11">
      <c r="A12549" s="33" t="s">
        <v>28449</v>
      </c>
      <c r="B12549" s="33" t="s">
        <v>28450</v>
      </c>
      <c r="C12549" s="33" t="s">
        <v>701</v>
      </c>
      <c r="D12549" s="33" t="s">
        <v>17</v>
      </c>
      <c r="E12549" s="33" t="s">
        <v>212</v>
      </c>
      <c r="F12549" s="33" t="s">
        <v>213</v>
      </c>
      <c r="G12549" s="33" t="s">
        <v>50</v>
      </c>
      <c r="H12549" s="35">
        <v>100000</v>
      </c>
      <c r="I12549" s="33" t="s">
        <v>51</v>
      </c>
      <c r="J12549" s="42">
        <v>44653</v>
      </c>
      <c r="K12549" s="33" t="s">
        <v>22</v>
      </c>
    </row>
    <row r="12550" spans="1:11">
      <c r="A12550" s="30" t="s">
        <v>28451</v>
      </c>
      <c r="B12550" s="30" t="s">
        <v>28452</v>
      </c>
      <c r="C12550" s="30" t="s">
        <v>2387</v>
      </c>
      <c r="D12550" s="30" t="s">
        <v>17</v>
      </c>
      <c r="E12550" s="30" t="s">
        <v>67</v>
      </c>
      <c r="F12550" s="30" t="s">
        <v>68</v>
      </c>
      <c r="G12550" s="30" t="s">
        <v>20</v>
      </c>
      <c r="H12550" s="32">
        <v>21</v>
      </c>
      <c r="I12550" s="30" t="s">
        <v>21</v>
      </c>
      <c r="J12550" s="41">
        <v>44662</v>
      </c>
      <c r="K12550" s="30" t="s">
        <v>22</v>
      </c>
    </row>
    <row r="12551" spans="1:11">
      <c r="A12551" s="33" t="s">
        <v>28453</v>
      </c>
      <c r="B12551" s="33" t="s">
        <v>28454</v>
      </c>
      <c r="C12551" s="33" t="s">
        <v>2695</v>
      </c>
      <c r="D12551" s="33" t="s">
        <v>17</v>
      </c>
      <c r="E12551" s="33" t="s">
        <v>31</v>
      </c>
      <c r="F12551" s="33" t="s">
        <v>32</v>
      </c>
      <c r="G12551" s="33" t="s">
        <v>106</v>
      </c>
      <c r="H12551" s="35">
        <v>60</v>
      </c>
      <c r="I12551" s="33" t="s">
        <v>21</v>
      </c>
      <c r="J12551" s="42">
        <v>44707</v>
      </c>
      <c r="K12551" s="33" t="s">
        <v>22</v>
      </c>
    </row>
    <row r="12552" spans="1:11">
      <c r="A12552" s="30" t="s">
        <v>28455</v>
      </c>
      <c r="B12552" s="30" t="s">
        <v>28456</v>
      </c>
      <c r="C12552" s="30" t="s">
        <v>109</v>
      </c>
      <c r="D12552" s="30" t="s">
        <v>17</v>
      </c>
      <c r="E12552" s="30" t="s">
        <v>18</v>
      </c>
      <c r="F12552" s="30" t="s">
        <v>19</v>
      </c>
      <c r="G12552" s="30" t="s">
        <v>20</v>
      </c>
      <c r="H12552" s="32">
        <v>126</v>
      </c>
      <c r="I12552" s="30" t="s">
        <v>21</v>
      </c>
      <c r="J12552" s="41">
        <v>44593</v>
      </c>
      <c r="K12552" s="30" t="s">
        <v>22</v>
      </c>
    </row>
    <row r="12553" spans="1:11">
      <c r="A12553" s="33" t="s">
        <v>28457</v>
      </c>
      <c r="B12553" s="33" t="s">
        <v>28458</v>
      </c>
      <c r="C12553" s="33" t="s">
        <v>28459</v>
      </c>
      <c r="D12553" s="33" t="s">
        <v>17</v>
      </c>
      <c r="E12553" s="33" t="s">
        <v>26</v>
      </c>
      <c r="F12553" s="33" t="s">
        <v>27</v>
      </c>
      <c r="G12553" s="33" t="s">
        <v>20</v>
      </c>
      <c r="H12553" s="35">
        <v>108</v>
      </c>
      <c r="I12553" s="33" t="s">
        <v>21</v>
      </c>
      <c r="J12553" s="42">
        <v>44837</v>
      </c>
      <c r="K12553" s="33" t="s">
        <v>22</v>
      </c>
    </row>
    <row r="12554" spans="1:11">
      <c r="A12554" s="30" t="s">
        <v>28460</v>
      </c>
      <c r="B12554" s="30" t="s">
        <v>28461</v>
      </c>
      <c r="C12554" s="30" t="s">
        <v>190</v>
      </c>
      <c r="D12554" s="30" t="s">
        <v>17</v>
      </c>
      <c r="E12554" s="30" t="s">
        <v>26</v>
      </c>
      <c r="F12554" s="30" t="s">
        <v>27</v>
      </c>
      <c r="G12554" s="30" t="s">
        <v>106</v>
      </c>
      <c r="H12554" s="32">
        <v>7</v>
      </c>
      <c r="I12554" s="30" t="s">
        <v>21</v>
      </c>
      <c r="J12554" s="41">
        <v>44747</v>
      </c>
      <c r="K12554" s="30" t="s">
        <v>22</v>
      </c>
    </row>
    <row r="12555" spans="1:11">
      <c r="A12555" s="33" t="s">
        <v>28462</v>
      </c>
      <c r="B12555" s="33" t="s">
        <v>28463</v>
      </c>
      <c r="C12555" s="33" t="s">
        <v>6528</v>
      </c>
      <c r="D12555" s="33" t="s">
        <v>17</v>
      </c>
      <c r="E12555" s="33" t="s">
        <v>67</v>
      </c>
      <c r="F12555" s="33" t="s">
        <v>68</v>
      </c>
      <c r="G12555" s="33" t="s">
        <v>140</v>
      </c>
      <c r="H12555" s="35">
        <v>92</v>
      </c>
      <c r="I12555" s="33" t="s">
        <v>51</v>
      </c>
      <c r="J12555" s="42">
        <v>44876</v>
      </c>
      <c r="K12555" s="33" t="s">
        <v>22</v>
      </c>
    </row>
    <row r="12556" spans="1:11">
      <c r="A12556" s="30" t="s">
        <v>28464</v>
      </c>
      <c r="B12556" s="30" t="s">
        <v>28465</v>
      </c>
      <c r="C12556" s="30" t="s">
        <v>28466</v>
      </c>
      <c r="D12556" s="30" t="s">
        <v>17</v>
      </c>
      <c r="E12556" s="30" t="s">
        <v>26</v>
      </c>
      <c r="F12556" s="30" t="s">
        <v>27</v>
      </c>
      <c r="G12556" s="30" t="s">
        <v>50</v>
      </c>
      <c r="H12556" s="32">
        <v>11</v>
      </c>
      <c r="I12556" s="30" t="s">
        <v>21</v>
      </c>
      <c r="J12556" s="41">
        <v>44682</v>
      </c>
      <c r="K12556" s="30" t="s">
        <v>22</v>
      </c>
    </row>
    <row r="12557" spans="1:11">
      <c r="A12557" s="33" t="s">
        <v>28467</v>
      </c>
      <c r="B12557" s="33" t="s">
        <v>28468</v>
      </c>
      <c r="C12557" s="33" t="s">
        <v>102</v>
      </c>
      <c r="D12557" s="33" t="s">
        <v>17</v>
      </c>
      <c r="E12557" s="33" t="s">
        <v>26</v>
      </c>
      <c r="F12557" s="33" t="s">
        <v>27</v>
      </c>
      <c r="G12557" s="33" t="s">
        <v>20</v>
      </c>
      <c r="H12557" s="35">
        <v>39</v>
      </c>
      <c r="I12557" s="33" t="s">
        <v>21</v>
      </c>
      <c r="J12557" s="42">
        <v>44880</v>
      </c>
      <c r="K12557" s="33" t="s">
        <v>22</v>
      </c>
    </row>
    <row r="12558" spans="1:11">
      <c r="A12558" s="30" t="s">
        <v>28469</v>
      </c>
      <c r="B12558" s="30" t="s">
        <v>28470</v>
      </c>
      <c r="C12558" s="30" t="s">
        <v>969</v>
      </c>
      <c r="D12558" s="30" t="s">
        <v>17</v>
      </c>
      <c r="E12558" s="30" t="s">
        <v>26</v>
      </c>
      <c r="F12558" s="30" t="s">
        <v>27</v>
      </c>
      <c r="G12558" s="30" t="s">
        <v>20</v>
      </c>
      <c r="H12558" s="32">
        <v>122</v>
      </c>
      <c r="I12558" s="30" t="s">
        <v>21</v>
      </c>
      <c r="J12558" s="41">
        <v>44838</v>
      </c>
      <c r="K12558" s="30" t="s">
        <v>22</v>
      </c>
    </row>
    <row r="12559" spans="1:11">
      <c r="A12559" s="33" t="s">
        <v>28471</v>
      </c>
      <c r="B12559" s="33" t="s">
        <v>28472</v>
      </c>
      <c r="C12559" s="33" t="s">
        <v>4934</v>
      </c>
      <c r="D12559" s="33" t="s">
        <v>17</v>
      </c>
      <c r="E12559" s="33" t="s">
        <v>67</v>
      </c>
      <c r="F12559" s="33" t="s">
        <v>68</v>
      </c>
      <c r="G12559" s="33" t="s">
        <v>50</v>
      </c>
      <c r="H12559" s="35">
        <v>150</v>
      </c>
      <c r="I12559" s="33" t="s">
        <v>51</v>
      </c>
      <c r="J12559" s="42">
        <v>44663</v>
      </c>
      <c r="K12559" s="33" t="s">
        <v>22</v>
      </c>
    </row>
    <row r="12560" spans="1:11">
      <c r="A12560" s="30" t="s">
        <v>28473</v>
      </c>
      <c r="B12560" s="30" t="s">
        <v>28474</v>
      </c>
      <c r="C12560" s="30" t="s">
        <v>28475</v>
      </c>
      <c r="D12560" s="30" t="s">
        <v>17</v>
      </c>
      <c r="E12560" s="30" t="s">
        <v>26</v>
      </c>
      <c r="F12560" s="30" t="s">
        <v>27</v>
      </c>
      <c r="G12560" s="30" t="s">
        <v>50</v>
      </c>
      <c r="H12560" s="32">
        <v>17</v>
      </c>
      <c r="I12560" s="30" t="s">
        <v>51</v>
      </c>
      <c r="J12560" s="41">
        <v>44656</v>
      </c>
      <c r="K12560" s="30" t="s">
        <v>22</v>
      </c>
    </row>
    <row r="12561" spans="1:11">
      <c r="A12561" s="33" t="s">
        <v>28476</v>
      </c>
      <c r="B12561" s="33" t="s">
        <v>28477</v>
      </c>
      <c r="C12561" s="33" t="s">
        <v>570</v>
      </c>
      <c r="D12561" s="33" t="s">
        <v>17</v>
      </c>
      <c r="E12561" s="33" t="s">
        <v>31</v>
      </c>
      <c r="F12561" s="33" t="s">
        <v>32</v>
      </c>
      <c r="G12561" s="33" t="s">
        <v>20</v>
      </c>
      <c r="H12561" s="35">
        <v>40</v>
      </c>
      <c r="I12561" s="33" t="s">
        <v>21</v>
      </c>
      <c r="J12561" s="42">
        <v>44669</v>
      </c>
      <c r="K12561" s="33" t="s">
        <v>22</v>
      </c>
    </row>
    <row r="12562" spans="1:11">
      <c r="A12562" s="30" t="s">
        <v>28478</v>
      </c>
      <c r="B12562" s="30" t="s">
        <v>28479</v>
      </c>
      <c r="C12562" s="30" t="s">
        <v>1498</v>
      </c>
      <c r="D12562" s="30" t="s">
        <v>17</v>
      </c>
      <c r="E12562" s="30" t="s">
        <v>18</v>
      </c>
      <c r="F12562" s="30" t="s">
        <v>19</v>
      </c>
      <c r="G12562" s="30" t="s">
        <v>112</v>
      </c>
      <c r="H12562" s="32">
        <v>0</v>
      </c>
      <c r="I12562" s="30" t="s">
        <v>21</v>
      </c>
      <c r="J12562" s="41">
        <v>44652</v>
      </c>
      <c r="K12562" s="30" t="s">
        <v>22</v>
      </c>
    </row>
    <row r="12563" spans="1:11">
      <c r="A12563" s="33" t="s">
        <v>28480</v>
      </c>
      <c r="B12563" s="33" t="s">
        <v>28481</v>
      </c>
      <c r="C12563" s="33" t="s">
        <v>3748</v>
      </c>
      <c r="D12563" s="33" t="s">
        <v>17</v>
      </c>
      <c r="E12563" s="33" t="s">
        <v>31</v>
      </c>
      <c r="F12563" s="33" t="s">
        <v>32</v>
      </c>
      <c r="G12563" s="33" t="s">
        <v>20</v>
      </c>
      <c r="H12563" s="35">
        <v>39</v>
      </c>
      <c r="I12563" s="33" t="s">
        <v>21</v>
      </c>
      <c r="J12563" s="42">
        <v>44776</v>
      </c>
      <c r="K12563" s="33" t="s">
        <v>22</v>
      </c>
    </row>
    <row r="12564" spans="1:11">
      <c r="A12564" s="30" t="s">
        <v>28482</v>
      </c>
      <c r="B12564" s="30" t="s">
        <v>28483</v>
      </c>
      <c r="C12564" s="30" t="s">
        <v>18066</v>
      </c>
      <c r="D12564" s="30" t="s">
        <v>17</v>
      </c>
      <c r="E12564" s="30" t="s">
        <v>67</v>
      </c>
      <c r="F12564" s="30" t="s">
        <v>68</v>
      </c>
      <c r="G12564" s="30" t="s">
        <v>20</v>
      </c>
      <c r="H12564" s="32">
        <v>29</v>
      </c>
      <c r="I12564" s="30" t="s">
        <v>21</v>
      </c>
      <c r="J12564" s="41">
        <v>44911</v>
      </c>
      <c r="K12564" s="30" t="s">
        <v>22</v>
      </c>
    </row>
    <row r="12565" spans="1:11">
      <c r="A12565" s="33" t="s">
        <v>28484</v>
      </c>
      <c r="B12565" s="33" t="s">
        <v>28485</v>
      </c>
      <c r="C12565" s="33" t="s">
        <v>443</v>
      </c>
      <c r="D12565" s="33" t="s">
        <v>17</v>
      </c>
      <c r="E12565" s="33" t="s">
        <v>212</v>
      </c>
      <c r="F12565" s="33" t="s">
        <v>213</v>
      </c>
      <c r="G12565" s="33" t="s">
        <v>20</v>
      </c>
      <c r="H12565" s="35">
        <v>3200</v>
      </c>
      <c r="I12565" s="33" t="s">
        <v>21</v>
      </c>
      <c r="J12565" s="42">
        <v>44725</v>
      </c>
      <c r="K12565" s="33" t="s">
        <v>22</v>
      </c>
    </row>
    <row r="12566" spans="1:11">
      <c r="A12566" s="30" t="s">
        <v>28486</v>
      </c>
      <c r="B12566" s="30" t="s">
        <v>28487</v>
      </c>
      <c r="C12566" s="30" t="s">
        <v>28488</v>
      </c>
      <c r="D12566" s="30" t="s">
        <v>17</v>
      </c>
      <c r="E12566" s="30" t="s">
        <v>18</v>
      </c>
      <c r="F12566" s="30" t="s">
        <v>19</v>
      </c>
      <c r="G12566" s="30" t="s">
        <v>20</v>
      </c>
      <c r="H12566" s="32">
        <v>158</v>
      </c>
      <c r="I12566" s="30" t="s">
        <v>21</v>
      </c>
      <c r="J12566" s="41">
        <v>44868</v>
      </c>
      <c r="K12566" s="30" t="s">
        <v>22</v>
      </c>
    </row>
    <row r="12567" spans="1:11">
      <c r="A12567" s="33" t="s">
        <v>28489</v>
      </c>
      <c r="B12567" s="33" t="s">
        <v>28490</v>
      </c>
      <c r="C12567" s="33" t="s">
        <v>647</v>
      </c>
      <c r="D12567" s="33" t="s">
        <v>17</v>
      </c>
      <c r="E12567" s="33" t="s">
        <v>18</v>
      </c>
      <c r="F12567" s="33" t="s">
        <v>19</v>
      </c>
      <c r="G12567" s="33" t="s">
        <v>158</v>
      </c>
      <c r="H12567" s="35">
        <v>1500</v>
      </c>
      <c r="I12567" s="33" t="s">
        <v>51</v>
      </c>
      <c r="J12567" s="42">
        <v>44764</v>
      </c>
      <c r="K12567" s="33" t="s">
        <v>22</v>
      </c>
    </row>
    <row r="12568" spans="1:11">
      <c r="A12568" s="30" t="s">
        <v>28491</v>
      </c>
      <c r="B12568" s="30" t="s">
        <v>28492</v>
      </c>
      <c r="C12568" s="30" t="s">
        <v>109</v>
      </c>
      <c r="D12568" s="30" t="s">
        <v>17</v>
      </c>
      <c r="E12568" s="30" t="s">
        <v>31</v>
      </c>
      <c r="F12568" s="30" t="s">
        <v>32</v>
      </c>
      <c r="G12568" s="30" t="s">
        <v>20</v>
      </c>
      <c r="H12568" s="32">
        <v>189</v>
      </c>
      <c r="I12568" s="30" t="s">
        <v>21</v>
      </c>
      <c r="J12568" s="41">
        <v>44873</v>
      </c>
      <c r="K12568" s="30" t="s">
        <v>22</v>
      </c>
    </row>
    <row r="12569" spans="1:11">
      <c r="A12569" s="33" t="s">
        <v>28493</v>
      </c>
      <c r="B12569" s="33" t="s">
        <v>28494</v>
      </c>
      <c r="C12569" s="33" t="s">
        <v>28495</v>
      </c>
      <c r="D12569" s="33" t="s">
        <v>17</v>
      </c>
      <c r="E12569" s="33" t="s">
        <v>26</v>
      </c>
      <c r="F12569" s="33" t="s">
        <v>27</v>
      </c>
      <c r="G12569" s="33" t="s">
        <v>20</v>
      </c>
      <c r="H12569" s="35">
        <v>15</v>
      </c>
      <c r="I12569" s="33" t="s">
        <v>21</v>
      </c>
      <c r="J12569" s="42">
        <v>44904</v>
      </c>
      <c r="K12569" s="33" t="s">
        <v>22</v>
      </c>
    </row>
    <row r="12570" spans="1:11">
      <c r="A12570" s="30" t="s">
        <v>28496</v>
      </c>
      <c r="B12570" s="30" t="s">
        <v>28497</v>
      </c>
      <c r="C12570" s="30" t="s">
        <v>6336</v>
      </c>
      <c r="D12570" s="30" t="s">
        <v>17</v>
      </c>
      <c r="E12570" s="30" t="s">
        <v>67</v>
      </c>
      <c r="F12570" s="30" t="s">
        <v>68</v>
      </c>
      <c r="G12570" s="30" t="s">
        <v>140</v>
      </c>
      <c r="H12570" s="32">
        <v>41</v>
      </c>
      <c r="I12570" s="30" t="s">
        <v>51</v>
      </c>
      <c r="J12570" s="41">
        <v>44915</v>
      </c>
      <c r="K12570" s="30" t="s">
        <v>22</v>
      </c>
    </row>
    <row r="12571" spans="1:11">
      <c r="A12571" s="33" t="s">
        <v>28498</v>
      </c>
      <c r="B12571" s="33" t="s">
        <v>28499</v>
      </c>
      <c r="C12571" s="33" t="s">
        <v>190</v>
      </c>
      <c r="D12571" s="33" t="s">
        <v>17</v>
      </c>
      <c r="E12571" s="33" t="s">
        <v>31</v>
      </c>
      <c r="F12571" s="33" t="s">
        <v>32</v>
      </c>
      <c r="G12571" s="33" t="s">
        <v>20</v>
      </c>
      <c r="H12571" s="35">
        <v>195</v>
      </c>
      <c r="I12571" s="33" t="s">
        <v>21</v>
      </c>
      <c r="J12571" s="42">
        <v>44680</v>
      </c>
      <c r="K12571" s="33" t="s">
        <v>22</v>
      </c>
    </row>
    <row r="12572" spans="1:11">
      <c r="A12572" s="30" t="s">
        <v>28500</v>
      </c>
      <c r="B12572" s="30" t="s">
        <v>28501</v>
      </c>
      <c r="C12572" s="30" t="s">
        <v>28502</v>
      </c>
      <c r="D12572" s="30" t="s">
        <v>17</v>
      </c>
      <c r="E12572" s="30" t="s">
        <v>67</v>
      </c>
      <c r="F12572" s="30" t="s">
        <v>68</v>
      </c>
      <c r="G12572" s="30" t="s">
        <v>106</v>
      </c>
      <c r="H12572" s="32">
        <v>44</v>
      </c>
      <c r="I12572" s="30" t="s">
        <v>21</v>
      </c>
      <c r="J12572" s="41">
        <v>44814</v>
      </c>
      <c r="K12572" s="30" t="s">
        <v>22</v>
      </c>
    </row>
    <row r="12573" spans="1:11">
      <c r="A12573" s="33" t="s">
        <v>28503</v>
      </c>
      <c r="B12573" s="33" t="s">
        <v>28504</v>
      </c>
      <c r="C12573" s="33" t="s">
        <v>26361</v>
      </c>
      <c r="D12573" s="33" t="s">
        <v>17</v>
      </c>
      <c r="E12573" s="33" t="s">
        <v>18</v>
      </c>
      <c r="F12573" s="33" t="s">
        <v>19</v>
      </c>
      <c r="G12573" s="33" t="s">
        <v>106</v>
      </c>
      <c r="H12573" s="35">
        <v>3000</v>
      </c>
      <c r="I12573" s="33" t="s">
        <v>21</v>
      </c>
      <c r="J12573" s="42">
        <v>44924</v>
      </c>
      <c r="K12573" s="33" t="s">
        <v>22</v>
      </c>
    </row>
    <row r="12574" spans="1:11">
      <c r="A12574" s="30" t="s">
        <v>28505</v>
      </c>
      <c r="B12574" s="30" t="s">
        <v>28506</v>
      </c>
      <c r="C12574" s="30" t="s">
        <v>28507</v>
      </c>
      <c r="D12574" s="30" t="s">
        <v>17</v>
      </c>
      <c r="E12574" s="30" t="s">
        <v>31</v>
      </c>
      <c r="F12574" s="30" t="s">
        <v>32</v>
      </c>
      <c r="G12574" s="30" t="s">
        <v>158</v>
      </c>
      <c r="H12574" s="32">
        <v>227</v>
      </c>
      <c r="I12574" s="30" t="s">
        <v>51</v>
      </c>
      <c r="J12574" s="41">
        <v>44720</v>
      </c>
      <c r="K12574" s="30" t="s">
        <v>22</v>
      </c>
    </row>
    <row r="12575" spans="1:11">
      <c r="A12575" s="33" t="s">
        <v>28508</v>
      </c>
      <c r="B12575" s="33" t="s">
        <v>28509</v>
      </c>
      <c r="C12575" s="33" t="s">
        <v>28510</v>
      </c>
      <c r="D12575" s="33" t="s">
        <v>17</v>
      </c>
      <c r="E12575" s="33" t="s">
        <v>26</v>
      </c>
      <c r="F12575" s="33" t="s">
        <v>27</v>
      </c>
      <c r="G12575" s="33" t="s">
        <v>50</v>
      </c>
      <c r="H12575" s="35">
        <v>24</v>
      </c>
      <c r="I12575" s="33" t="s">
        <v>51</v>
      </c>
      <c r="J12575" s="42">
        <v>44774</v>
      </c>
      <c r="K12575" s="33" t="s">
        <v>22</v>
      </c>
    </row>
    <row r="12576" spans="1:11">
      <c r="A12576" s="30" t="s">
        <v>28511</v>
      </c>
      <c r="B12576" s="30" t="s">
        <v>28512</v>
      </c>
      <c r="C12576" s="30" t="s">
        <v>9544</v>
      </c>
      <c r="D12576" s="30" t="s">
        <v>17</v>
      </c>
      <c r="E12576" s="30" t="s">
        <v>31</v>
      </c>
      <c r="F12576" s="30" t="s">
        <v>32</v>
      </c>
      <c r="G12576" s="30" t="s">
        <v>106</v>
      </c>
      <c r="H12576" s="32">
        <v>242</v>
      </c>
      <c r="I12576" s="30" t="s">
        <v>21</v>
      </c>
      <c r="J12576" s="41">
        <v>44825</v>
      </c>
      <c r="K12576" s="30" t="s">
        <v>22</v>
      </c>
    </row>
    <row r="12577" spans="1:11">
      <c r="A12577" s="33" t="s">
        <v>28513</v>
      </c>
      <c r="B12577" s="33" t="s">
        <v>28514</v>
      </c>
      <c r="C12577" s="33" t="s">
        <v>1598</v>
      </c>
      <c r="D12577" s="33" t="s">
        <v>17</v>
      </c>
      <c r="E12577" s="33" t="s">
        <v>26</v>
      </c>
      <c r="F12577" s="33" t="s">
        <v>27</v>
      </c>
      <c r="G12577" s="33" t="s">
        <v>50</v>
      </c>
      <c r="H12577" s="35">
        <v>80</v>
      </c>
      <c r="I12577" s="33" t="s">
        <v>51</v>
      </c>
      <c r="J12577" s="42">
        <v>44791</v>
      </c>
      <c r="K12577" s="33" t="s">
        <v>22</v>
      </c>
    </row>
    <row r="12578" spans="1:11">
      <c r="A12578" s="30" t="s">
        <v>28515</v>
      </c>
      <c r="B12578" s="30" t="s">
        <v>28516</v>
      </c>
      <c r="C12578" s="30" t="s">
        <v>4565</v>
      </c>
      <c r="D12578" s="30" t="s">
        <v>17</v>
      </c>
      <c r="E12578" s="30" t="s">
        <v>31</v>
      </c>
      <c r="F12578" s="30" t="s">
        <v>32</v>
      </c>
      <c r="G12578" s="30" t="s">
        <v>20</v>
      </c>
      <c r="H12578" s="32">
        <v>90</v>
      </c>
      <c r="I12578" s="30" t="s">
        <v>21</v>
      </c>
      <c r="J12578" s="41">
        <v>44757</v>
      </c>
      <c r="K12578" s="30" t="s">
        <v>22</v>
      </c>
    </row>
    <row r="12579" spans="1:11">
      <c r="A12579" s="33" t="s">
        <v>28517</v>
      </c>
      <c r="B12579" s="33" t="s">
        <v>28518</v>
      </c>
      <c r="C12579" s="33" t="s">
        <v>844</v>
      </c>
      <c r="D12579" s="33" t="s">
        <v>17</v>
      </c>
      <c r="E12579" s="33" t="s">
        <v>18</v>
      </c>
      <c r="F12579" s="33" t="s">
        <v>19</v>
      </c>
      <c r="G12579" s="33" t="s">
        <v>20</v>
      </c>
      <c r="H12579" s="35">
        <v>1250</v>
      </c>
      <c r="I12579" s="33" t="s">
        <v>21</v>
      </c>
      <c r="J12579" s="42">
        <v>44864</v>
      </c>
      <c r="K12579" s="33" t="s">
        <v>22</v>
      </c>
    </row>
    <row r="12580" spans="1:11">
      <c r="A12580" s="30" t="s">
        <v>28519</v>
      </c>
      <c r="B12580" s="30" t="s">
        <v>28520</v>
      </c>
      <c r="C12580" s="30" t="s">
        <v>11899</v>
      </c>
      <c r="D12580" s="30" t="s">
        <v>17</v>
      </c>
      <c r="E12580" s="30" t="s">
        <v>18</v>
      </c>
      <c r="F12580" s="30" t="s">
        <v>19</v>
      </c>
      <c r="G12580" s="30" t="s">
        <v>106</v>
      </c>
      <c r="H12580" s="32">
        <v>31</v>
      </c>
      <c r="I12580" s="30" t="s">
        <v>21</v>
      </c>
      <c r="J12580" s="41">
        <v>44618</v>
      </c>
      <c r="K12580" s="30" t="s">
        <v>22</v>
      </c>
    </row>
    <row r="12581" spans="1:11">
      <c r="A12581" s="33" t="s">
        <v>28521</v>
      </c>
      <c r="B12581" s="33" t="s">
        <v>28522</v>
      </c>
      <c r="C12581" s="33" t="s">
        <v>60</v>
      </c>
      <c r="D12581" s="33" t="s">
        <v>17</v>
      </c>
      <c r="E12581" s="33" t="s">
        <v>26</v>
      </c>
      <c r="F12581" s="33" t="s">
        <v>27</v>
      </c>
      <c r="G12581" s="33" t="s">
        <v>20</v>
      </c>
      <c r="H12581" s="35">
        <v>24</v>
      </c>
      <c r="I12581" s="33" t="s">
        <v>21</v>
      </c>
      <c r="J12581" s="42">
        <v>44755</v>
      </c>
      <c r="K12581" s="33" t="s">
        <v>22</v>
      </c>
    </row>
    <row r="12582" spans="1:11">
      <c r="A12582" s="30" t="s">
        <v>28523</v>
      </c>
      <c r="B12582" s="30" t="s">
        <v>28524</v>
      </c>
      <c r="C12582" s="30" t="s">
        <v>28525</v>
      </c>
      <c r="D12582" s="30" t="s">
        <v>17</v>
      </c>
      <c r="E12582" s="30" t="s">
        <v>26</v>
      </c>
      <c r="F12582" s="30" t="s">
        <v>27</v>
      </c>
      <c r="G12582" s="30" t="s">
        <v>50</v>
      </c>
      <c r="H12582" s="32">
        <v>15</v>
      </c>
      <c r="I12582" s="30" t="s">
        <v>51</v>
      </c>
      <c r="J12582" s="41">
        <v>44835</v>
      </c>
      <c r="K12582" s="30" t="s">
        <v>22</v>
      </c>
    </row>
    <row r="12583" spans="1:11">
      <c r="A12583" s="33" t="s">
        <v>28526</v>
      </c>
      <c r="B12583" s="33" t="s">
        <v>28527</v>
      </c>
      <c r="C12583" s="33" t="s">
        <v>12783</v>
      </c>
      <c r="D12583" s="33" t="s">
        <v>17</v>
      </c>
      <c r="E12583" s="33" t="s">
        <v>18</v>
      </c>
      <c r="F12583" s="33" t="s">
        <v>19</v>
      </c>
      <c r="G12583" s="33" t="s">
        <v>106</v>
      </c>
      <c r="H12583" s="35">
        <v>287</v>
      </c>
      <c r="I12583" s="33" t="s">
        <v>21</v>
      </c>
      <c r="J12583" s="42">
        <v>44789</v>
      </c>
      <c r="K12583" s="33" t="s">
        <v>22</v>
      </c>
    </row>
    <row r="12584" spans="1:11">
      <c r="A12584" s="30" t="s">
        <v>28528</v>
      </c>
      <c r="B12584" s="30" t="s">
        <v>28529</v>
      </c>
      <c r="C12584" s="30" t="s">
        <v>1148</v>
      </c>
      <c r="D12584" s="30" t="s">
        <v>17</v>
      </c>
      <c r="E12584" s="30" t="s">
        <v>31</v>
      </c>
      <c r="F12584" s="30" t="s">
        <v>32</v>
      </c>
      <c r="G12584" s="30" t="s">
        <v>20</v>
      </c>
      <c r="H12584" s="32">
        <v>44</v>
      </c>
      <c r="I12584" s="30" t="s">
        <v>21</v>
      </c>
      <c r="J12584" s="41">
        <v>44642</v>
      </c>
      <c r="K12584" s="30" t="s">
        <v>22</v>
      </c>
    </row>
    <row r="12585" spans="1:11">
      <c r="A12585" s="33" t="s">
        <v>28530</v>
      </c>
      <c r="B12585" s="33" t="s">
        <v>28531</v>
      </c>
      <c r="C12585" s="33" t="s">
        <v>27602</v>
      </c>
      <c r="D12585" s="33" t="s">
        <v>17</v>
      </c>
      <c r="E12585" s="33" t="s">
        <v>31</v>
      </c>
      <c r="F12585" s="33" t="s">
        <v>32</v>
      </c>
      <c r="G12585" s="33" t="s">
        <v>20</v>
      </c>
      <c r="H12585" s="35">
        <v>72</v>
      </c>
      <c r="I12585" s="33" t="s">
        <v>21</v>
      </c>
      <c r="J12585" s="42">
        <v>44701</v>
      </c>
      <c r="K12585" s="33" t="s">
        <v>22</v>
      </c>
    </row>
    <row r="12586" spans="1:11">
      <c r="A12586" s="30" t="s">
        <v>28532</v>
      </c>
      <c r="B12586" s="30" t="s">
        <v>28533</v>
      </c>
      <c r="C12586" s="30" t="s">
        <v>28534</v>
      </c>
      <c r="D12586" s="30" t="s">
        <v>17</v>
      </c>
      <c r="E12586" s="30" t="s">
        <v>26</v>
      </c>
      <c r="F12586" s="30" t="s">
        <v>27</v>
      </c>
      <c r="G12586" s="30" t="s">
        <v>50</v>
      </c>
      <c r="H12586" s="32">
        <v>23</v>
      </c>
      <c r="I12586" s="30" t="s">
        <v>51</v>
      </c>
      <c r="J12586" s="41">
        <v>44679</v>
      </c>
      <c r="K12586" s="30" t="s">
        <v>22</v>
      </c>
    </row>
    <row r="12587" spans="1:11">
      <c r="A12587" s="33" t="s">
        <v>28535</v>
      </c>
      <c r="B12587" s="33" t="s">
        <v>28536</v>
      </c>
      <c r="C12587" s="33" t="s">
        <v>3862</v>
      </c>
      <c r="D12587" s="33" t="s">
        <v>17</v>
      </c>
      <c r="E12587" s="33" t="s">
        <v>18</v>
      </c>
      <c r="F12587" s="33" t="s">
        <v>19</v>
      </c>
      <c r="G12587" s="33" t="s">
        <v>20</v>
      </c>
      <c r="H12587" s="35">
        <v>11</v>
      </c>
      <c r="I12587" s="33" t="s">
        <v>21</v>
      </c>
      <c r="J12587" s="42">
        <v>44858</v>
      </c>
      <c r="K12587" s="33" t="s">
        <v>22</v>
      </c>
    </row>
    <row r="12588" spans="1:11">
      <c r="A12588" s="30" t="s">
        <v>28537</v>
      </c>
      <c r="B12588" s="30" t="s">
        <v>28538</v>
      </c>
      <c r="C12588" s="30" t="s">
        <v>10797</v>
      </c>
      <c r="D12588" s="30" t="s">
        <v>17</v>
      </c>
      <c r="E12588" s="30" t="s">
        <v>18</v>
      </c>
      <c r="F12588" s="30" t="s">
        <v>19</v>
      </c>
      <c r="G12588" s="30" t="s">
        <v>20</v>
      </c>
      <c r="H12588" s="32">
        <v>573</v>
      </c>
      <c r="I12588" s="30" t="s">
        <v>21</v>
      </c>
      <c r="J12588" s="41">
        <v>44567</v>
      </c>
      <c r="K12588" s="30" t="s">
        <v>22</v>
      </c>
    </row>
    <row r="12589" spans="1:11">
      <c r="A12589" s="33" t="s">
        <v>28539</v>
      </c>
      <c r="B12589" s="33" t="s">
        <v>28540</v>
      </c>
      <c r="C12589" s="33" t="s">
        <v>4568</v>
      </c>
      <c r="D12589" s="33" t="s">
        <v>17</v>
      </c>
      <c r="E12589" s="33" t="s">
        <v>31</v>
      </c>
      <c r="F12589" s="33" t="s">
        <v>32</v>
      </c>
      <c r="G12589" s="33" t="s">
        <v>20</v>
      </c>
      <c r="H12589" s="35">
        <v>146</v>
      </c>
      <c r="I12589" s="33" t="s">
        <v>21</v>
      </c>
      <c r="J12589" s="42">
        <v>44566</v>
      </c>
      <c r="K12589" s="33" t="s">
        <v>22</v>
      </c>
    </row>
    <row r="12590" spans="1:11">
      <c r="A12590" s="30" t="s">
        <v>28541</v>
      </c>
      <c r="B12590" s="30" t="s">
        <v>28542</v>
      </c>
      <c r="C12590" s="30" t="s">
        <v>231</v>
      </c>
      <c r="D12590" s="30" t="s">
        <v>17</v>
      </c>
      <c r="E12590" s="30" t="s">
        <v>26</v>
      </c>
      <c r="F12590" s="30" t="s">
        <v>27</v>
      </c>
      <c r="G12590" s="30" t="s">
        <v>20</v>
      </c>
      <c r="H12590" s="32">
        <v>15</v>
      </c>
      <c r="I12590" s="30" t="s">
        <v>21</v>
      </c>
      <c r="J12590" s="41">
        <v>44852</v>
      </c>
      <c r="K12590" s="30" t="s">
        <v>22</v>
      </c>
    </row>
    <row r="12591" spans="1:11">
      <c r="A12591" s="33" t="s">
        <v>28543</v>
      </c>
      <c r="B12591" s="33" t="s">
        <v>28544</v>
      </c>
      <c r="C12591" s="33" t="s">
        <v>379</v>
      </c>
      <c r="D12591" s="33" t="s">
        <v>17</v>
      </c>
      <c r="E12591" s="33" t="s">
        <v>26</v>
      </c>
      <c r="F12591" s="33" t="s">
        <v>27</v>
      </c>
      <c r="G12591" s="33" t="s">
        <v>20</v>
      </c>
      <c r="H12591" s="35">
        <v>9</v>
      </c>
      <c r="I12591" s="33" t="s">
        <v>21</v>
      </c>
      <c r="J12591" s="42">
        <v>44768</v>
      </c>
      <c r="K12591" s="33" t="s">
        <v>22</v>
      </c>
    </row>
    <row r="12592" spans="1:11">
      <c r="A12592" s="30" t="s">
        <v>28545</v>
      </c>
      <c r="B12592" s="30" t="s">
        <v>28546</v>
      </c>
      <c r="C12592" s="30" t="s">
        <v>945</v>
      </c>
      <c r="D12592" s="30" t="s">
        <v>17</v>
      </c>
      <c r="E12592" s="30" t="s">
        <v>31</v>
      </c>
      <c r="F12592" s="30" t="s">
        <v>32</v>
      </c>
      <c r="G12592" s="30" t="s">
        <v>112</v>
      </c>
      <c r="H12592" s="32">
        <v>0</v>
      </c>
      <c r="I12592" s="30" t="s">
        <v>21</v>
      </c>
      <c r="J12592" s="41">
        <v>44581</v>
      </c>
      <c r="K12592" s="30" t="s">
        <v>22</v>
      </c>
    </row>
    <row r="12593" spans="1:11">
      <c r="A12593" s="33" t="s">
        <v>28547</v>
      </c>
      <c r="B12593" s="33" t="s">
        <v>28548</v>
      </c>
      <c r="C12593" s="33" t="s">
        <v>2660</v>
      </c>
      <c r="D12593" s="33" t="s">
        <v>17</v>
      </c>
      <c r="E12593" s="33" t="s">
        <v>26</v>
      </c>
      <c r="F12593" s="33" t="s">
        <v>27</v>
      </c>
      <c r="G12593" s="33" t="s">
        <v>20</v>
      </c>
      <c r="H12593" s="35">
        <v>24</v>
      </c>
      <c r="I12593" s="33" t="s">
        <v>21</v>
      </c>
      <c r="J12593" s="42">
        <v>44817</v>
      </c>
      <c r="K12593" s="33" t="s">
        <v>22</v>
      </c>
    </row>
    <row r="12594" spans="1:11">
      <c r="A12594" s="30" t="s">
        <v>28549</v>
      </c>
      <c r="B12594" s="30" t="s">
        <v>28550</v>
      </c>
      <c r="C12594" s="30" t="s">
        <v>28551</v>
      </c>
      <c r="D12594" s="30" t="s">
        <v>17</v>
      </c>
      <c r="E12594" s="30" t="s">
        <v>26</v>
      </c>
      <c r="F12594" s="30" t="s">
        <v>27</v>
      </c>
      <c r="G12594" s="30" t="s">
        <v>20</v>
      </c>
      <c r="H12594" s="32">
        <v>81</v>
      </c>
      <c r="I12594" s="30" t="s">
        <v>21</v>
      </c>
      <c r="J12594" s="41">
        <v>44718</v>
      </c>
      <c r="K12594" s="30" t="s">
        <v>22</v>
      </c>
    </row>
    <row r="12595" spans="1:11">
      <c r="A12595" s="33" t="s">
        <v>28552</v>
      </c>
      <c r="B12595" s="33" t="s">
        <v>28553</v>
      </c>
      <c r="C12595" s="33" t="s">
        <v>3971</v>
      </c>
      <c r="D12595" s="33" t="s">
        <v>17</v>
      </c>
      <c r="E12595" s="33" t="s">
        <v>26</v>
      </c>
      <c r="F12595" s="33" t="s">
        <v>27</v>
      </c>
      <c r="G12595" s="33" t="s">
        <v>20</v>
      </c>
      <c r="H12595" s="35">
        <v>33</v>
      </c>
      <c r="I12595" s="33" t="s">
        <v>21</v>
      </c>
      <c r="J12595" s="42">
        <v>44806</v>
      </c>
      <c r="K12595" s="33" t="s">
        <v>22</v>
      </c>
    </row>
    <row r="12596" spans="1:11">
      <c r="A12596" s="30" t="s">
        <v>28554</v>
      </c>
      <c r="B12596" s="30" t="s">
        <v>28555</v>
      </c>
      <c r="C12596" s="30" t="s">
        <v>28556</v>
      </c>
      <c r="D12596" s="30" t="s">
        <v>17</v>
      </c>
      <c r="E12596" s="30" t="s">
        <v>26</v>
      </c>
      <c r="F12596" s="30" t="s">
        <v>27</v>
      </c>
      <c r="G12596" s="30" t="s">
        <v>20</v>
      </c>
      <c r="H12596" s="32">
        <v>13</v>
      </c>
      <c r="I12596" s="30" t="s">
        <v>21</v>
      </c>
      <c r="J12596" s="41">
        <v>44621</v>
      </c>
      <c r="K12596" s="30" t="s">
        <v>22</v>
      </c>
    </row>
    <row r="12597" spans="1:11">
      <c r="A12597" s="33" t="s">
        <v>28557</v>
      </c>
      <c r="B12597" s="33" t="s">
        <v>28558</v>
      </c>
      <c r="C12597" s="33" t="s">
        <v>1305</v>
      </c>
      <c r="D12597" s="33" t="s">
        <v>17</v>
      </c>
      <c r="E12597" s="33" t="s">
        <v>18</v>
      </c>
      <c r="F12597" s="33" t="s">
        <v>19</v>
      </c>
      <c r="G12597" s="33" t="s">
        <v>20</v>
      </c>
      <c r="H12597" s="35">
        <v>61</v>
      </c>
      <c r="I12597" s="33" t="s">
        <v>21</v>
      </c>
      <c r="J12597" s="42">
        <v>44634</v>
      </c>
      <c r="K12597" s="33" t="s">
        <v>22</v>
      </c>
    </row>
    <row r="12598" spans="1:11">
      <c r="A12598" s="30" t="s">
        <v>28559</v>
      </c>
      <c r="B12598" s="30" t="s">
        <v>28560</v>
      </c>
      <c r="C12598" s="30" t="s">
        <v>570</v>
      </c>
      <c r="D12598" s="30" t="s">
        <v>17</v>
      </c>
      <c r="E12598" s="30" t="s">
        <v>45</v>
      </c>
      <c r="F12598" s="30" t="s">
        <v>46</v>
      </c>
      <c r="G12598" s="30" t="s">
        <v>50</v>
      </c>
      <c r="H12598" s="32">
        <v>460</v>
      </c>
      <c r="I12598" s="30" t="s">
        <v>51</v>
      </c>
      <c r="J12598" s="41">
        <v>44700</v>
      </c>
      <c r="K12598" s="30" t="s">
        <v>22</v>
      </c>
    </row>
    <row r="12599" spans="1:11">
      <c r="A12599" s="33" t="s">
        <v>28561</v>
      </c>
      <c r="B12599" s="33" t="s">
        <v>28562</v>
      </c>
      <c r="C12599" s="33" t="s">
        <v>60</v>
      </c>
      <c r="D12599" s="33" t="s">
        <v>17</v>
      </c>
      <c r="E12599" s="33" t="s">
        <v>18</v>
      </c>
      <c r="F12599" s="33" t="s">
        <v>19</v>
      </c>
      <c r="G12599" s="33" t="s">
        <v>158</v>
      </c>
      <c r="H12599" s="35">
        <v>822</v>
      </c>
      <c r="I12599" s="33" t="s">
        <v>21</v>
      </c>
      <c r="J12599" s="42">
        <v>44873</v>
      </c>
      <c r="K12599" s="33" t="s">
        <v>22</v>
      </c>
    </row>
    <row r="12600" spans="1:11">
      <c r="A12600" s="30" t="s">
        <v>28563</v>
      </c>
      <c r="B12600" s="30" t="s">
        <v>28564</v>
      </c>
      <c r="C12600" s="30" t="s">
        <v>19750</v>
      </c>
      <c r="D12600" s="30" t="s">
        <v>17</v>
      </c>
      <c r="E12600" s="30" t="s">
        <v>26</v>
      </c>
      <c r="F12600" s="30" t="s">
        <v>27</v>
      </c>
      <c r="G12600" s="30" t="s">
        <v>106</v>
      </c>
      <c r="H12600" s="32">
        <v>15</v>
      </c>
      <c r="I12600" s="30" t="s">
        <v>21</v>
      </c>
      <c r="J12600" s="41">
        <v>44634</v>
      </c>
      <c r="K12600" s="30" t="s">
        <v>22</v>
      </c>
    </row>
    <row r="12601" spans="1:11">
      <c r="A12601" s="33" t="s">
        <v>28565</v>
      </c>
      <c r="B12601" s="33" t="s">
        <v>28566</v>
      </c>
      <c r="C12601" s="33" t="s">
        <v>231</v>
      </c>
      <c r="D12601" s="33" t="s">
        <v>17</v>
      </c>
      <c r="E12601" s="33" t="s">
        <v>26</v>
      </c>
      <c r="F12601" s="33" t="s">
        <v>27</v>
      </c>
      <c r="G12601" s="33" t="s">
        <v>20</v>
      </c>
      <c r="H12601" s="35">
        <v>15</v>
      </c>
      <c r="I12601" s="33" t="s">
        <v>21</v>
      </c>
      <c r="J12601" s="42">
        <v>44845</v>
      </c>
      <c r="K12601" s="33" t="s">
        <v>22</v>
      </c>
    </row>
    <row r="12602" spans="1:11">
      <c r="A12602" s="30" t="s">
        <v>28567</v>
      </c>
      <c r="B12602" s="30" t="s">
        <v>28568</v>
      </c>
      <c r="C12602" s="30" t="s">
        <v>10041</v>
      </c>
      <c r="D12602" s="30" t="s">
        <v>17</v>
      </c>
      <c r="E12602" s="30" t="s">
        <v>18</v>
      </c>
      <c r="F12602" s="30" t="s">
        <v>19</v>
      </c>
      <c r="G12602" s="30" t="s">
        <v>112</v>
      </c>
      <c r="H12602" s="32">
        <v>0</v>
      </c>
      <c r="I12602" s="30" t="s">
        <v>21</v>
      </c>
      <c r="J12602" s="41">
        <v>44687</v>
      </c>
      <c r="K12602" s="30" t="s">
        <v>22</v>
      </c>
    </row>
    <row r="12603" spans="1:11">
      <c r="A12603" s="33" t="s">
        <v>28569</v>
      </c>
      <c r="B12603" s="33" t="s">
        <v>28570</v>
      </c>
      <c r="C12603" s="33" t="s">
        <v>16</v>
      </c>
      <c r="D12603" s="33" t="s">
        <v>17</v>
      </c>
      <c r="E12603" s="33" t="s">
        <v>18</v>
      </c>
      <c r="F12603" s="33" t="s">
        <v>19</v>
      </c>
      <c r="G12603" s="33" t="s">
        <v>20</v>
      </c>
      <c r="H12603" s="35">
        <v>89</v>
      </c>
      <c r="I12603" s="33" t="s">
        <v>21</v>
      </c>
      <c r="J12603" s="42">
        <v>44845</v>
      </c>
      <c r="K12603" s="33" t="s">
        <v>22</v>
      </c>
    </row>
    <row r="12604" spans="1:11">
      <c r="A12604" s="30" t="s">
        <v>28571</v>
      </c>
      <c r="B12604" s="30" t="s">
        <v>28572</v>
      </c>
      <c r="C12604" s="30" t="s">
        <v>96</v>
      </c>
      <c r="D12604" s="30" t="s">
        <v>17</v>
      </c>
      <c r="E12604" s="30" t="s">
        <v>26</v>
      </c>
      <c r="F12604" s="30" t="s">
        <v>27</v>
      </c>
      <c r="G12604" s="30" t="s">
        <v>20</v>
      </c>
      <c r="H12604" s="32">
        <v>440</v>
      </c>
      <c r="I12604" s="30" t="s">
        <v>21</v>
      </c>
      <c r="J12604" s="41">
        <v>44679</v>
      </c>
      <c r="K12604" s="30" t="s">
        <v>22</v>
      </c>
    </row>
    <row r="12605" spans="1:11">
      <c r="A12605" s="33" t="s">
        <v>28573</v>
      </c>
      <c r="B12605" s="33" t="s">
        <v>28574</v>
      </c>
      <c r="C12605" s="33" t="s">
        <v>8115</v>
      </c>
      <c r="D12605" s="33" t="s">
        <v>17</v>
      </c>
      <c r="E12605" s="33" t="s">
        <v>18</v>
      </c>
      <c r="F12605" s="33" t="s">
        <v>19</v>
      </c>
      <c r="G12605" s="33" t="s">
        <v>140</v>
      </c>
      <c r="H12605" s="35">
        <v>339</v>
      </c>
      <c r="I12605" s="33" t="s">
        <v>51</v>
      </c>
      <c r="J12605" s="42">
        <v>44569</v>
      </c>
      <c r="K12605" s="33" t="s">
        <v>22</v>
      </c>
    </row>
    <row r="12606" spans="1:11">
      <c r="A12606" s="30" t="s">
        <v>28575</v>
      </c>
      <c r="B12606" s="30" t="s">
        <v>28576</v>
      </c>
      <c r="C12606" s="30" t="s">
        <v>8566</v>
      </c>
      <c r="D12606" s="30" t="s">
        <v>17</v>
      </c>
      <c r="E12606" s="30" t="s">
        <v>26</v>
      </c>
      <c r="F12606" s="30" t="s">
        <v>27</v>
      </c>
      <c r="G12606" s="30" t="s">
        <v>20</v>
      </c>
      <c r="H12606" s="32">
        <v>14</v>
      </c>
      <c r="I12606" s="30" t="s">
        <v>21</v>
      </c>
      <c r="J12606" s="41">
        <v>44770</v>
      </c>
      <c r="K12606" s="30" t="s">
        <v>22</v>
      </c>
    </row>
    <row r="12607" spans="1:11">
      <c r="A12607" s="33" t="s">
        <v>28577</v>
      </c>
      <c r="B12607" s="33" t="s">
        <v>28578</v>
      </c>
      <c r="C12607" s="33" t="s">
        <v>9122</v>
      </c>
      <c r="D12607" s="33" t="s">
        <v>17</v>
      </c>
      <c r="E12607" s="33" t="s">
        <v>67</v>
      </c>
      <c r="F12607" s="33" t="s">
        <v>68</v>
      </c>
      <c r="G12607" s="33" t="s">
        <v>112</v>
      </c>
      <c r="H12607" s="35">
        <v>0</v>
      </c>
      <c r="I12607" s="33" t="s">
        <v>21</v>
      </c>
      <c r="J12607" s="42">
        <v>44635</v>
      </c>
      <c r="K12607" s="33" t="s">
        <v>22</v>
      </c>
    </row>
    <row r="12608" spans="1:11">
      <c r="A12608" s="30" t="s">
        <v>28579</v>
      </c>
      <c r="B12608" s="30" t="s">
        <v>28580</v>
      </c>
      <c r="C12608" s="30" t="s">
        <v>28581</v>
      </c>
      <c r="D12608" s="30" t="s">
        <v>17</v>
      </c>
      <c r="E12608" s="30" t="s">
        <v>31</v>
      </c>
      <c r="F12608" s="30" t="s">
        <v>32</v>
      </c>
      <c r="G12608" s="30" t="s">
        <v>20</v>
      </c>
      <c r="H12608" s="32">
        <v>10</v>
      </c>
      <c r="I12608" s="30" t="s">
        <v>21</v>
      </c>
      <c r="J12608" s="41">
        <v>44743</v>
      </c>
      <c r="K12608" s="30" t="s">
        <v>22</v>
      </c>
    </row>
    <row r="12609" spans="1:11">
      <c r="A12609" s="33" t="s">
        <v>28582</v>
      </c>
      <c r="B12609" s="33" t="s">
        <v>28583</v>
      </c>
      <c r="C12609" s="33" t="s">
        <v>6735</v>
      </c>
      <c r="D12609" s="33" t="s">
        <v>17</v>
      </c>
      <c r="E12609" s="33" t="s">
        <v>31</v>
      </c>
      <c r="F12609" s="33" t="s">
        <v>32</v>
      </c>
      <c r="G12609" s="33" t="s">
        <v>106</v>
      </c>
      <c r="H12609" s="35">
        <v>1</v>
      </c>
      <c r="I12609" s="33" t="s">
        <v>21</v>
      </c>
      <c r="J12609" s="42">
        <v>44783</v>
      </c>
      <c r="K12609" s="33" t="s">
        <v>22</v>
      </c>
    </row>
    <row r="12610" spans="1:11">
      <c r="A12610" s="30" t="s">
        <v>28584</v>
      </c>
      <c r="B12610" s="30" t="s">
        <v>28585</v>
      </c>
      <c r="C12610" s="30" t="s">
        <v>14933</v>
      </c>
      <c r="D12610" s="30" t="s">
        <v>17</v>
      </c>
      <c r="E12610" s="30" t="s">
        <v>67</v>
      </c>
      <c r="F12610" s="30" t="s">
        <v>68</v>
      </c>
      <c r="G12610" s="30" t="s">
        <v>20</v>
      </c>
      <c r="H12610" s="32">
        <v>46</v>
      </c>
      <c r="I12610" s="30" t="s">
        <v>21</v>
      </c>
      <c r="J12610" s="41">
        <v>44565</v>
      </c>
      <c r="K12610" s="30" t="s">
        <v>22</v>
      </c>
    </row>
    <row r="12611" spans="1:11">
      <c r="A12611" s="33" t="s">
        <v>28586</v>
      </c>
      <c r="B12611" s="33" t="s">
        <v>28587</v>
      </c>
      <c r="C12611" s="33" t="s">
        <v>13181</v>
      </c>
      <c r="D12611" s="33" t="s">
        <v>17</v>
      </c>
      <c r="E12611" s="33" t="s">
        <v>18</v>
      </c>
      <c r="F12611" s="33" t="s">
        <v>19</v>
      </c>
      <c r="G12611" s="33" t="s">
        <v>140</v>
      </c>
      <c r="H12611" s="35">
        <v>272</v>
      </c>
      <c r="I12611" s="33" t="s">
        <v>51</v>
      </c>
      <c r="J12611" s="42">
        <v>44719</v>
      </c>
      <c r="K12611" s="33" t="s">
        <v>22</v>
      </c>
    </row>
    <row r="12612" spans="1:11">
      <c r="A12612" s="30" t="s">
        <v>28588</v>
      </c>
      <c r="B12612" s="30" t="s">
        <v>28589</v>
      </c>
      <c r="C12612" s="30" t="s">
        <v>24527</v>
      </c>
      <c r="D12612" s="30" t="s">
        <v>17</v>
      </c>
      <c r="E12612" s="30" t="s">
        <v>26</v>
      </c>
      <c r="F12612" s="30" t="s">
        <v>27</v>
      </c>
      <c r="G12612" s="30" t="s">
        <v>50</v>
      </c>
      <c r="H12612" s="32">
        <v>45</v>
      </c>
      <c r="I12612" s="30" t="s">
        <v>51</v>
      </c>
      <c r="J12612" s="41">
        <v>44598</v>
      </c>
      <c r="K12612" s="30" t="s">
        <v>22</v>
      </c>
    </row>
    <row r="12613" spans="1:11">
      <c r="A12613" s="33" t="s">
        <v>28590</v>
      </c>
      <c r="B12613" s="33" t="s">
        <v>28591</v>
      </c>
      <c r="C12613" s="33" t="s">
        <v>28592</v>
      </c>
      <c r="D12613" s="33" t="s">
        <v>17</v>
      </c>
      <c r="E12613" s="33" t="s">
        <v>26</v>
      </c>
      <c r="F12613" s="33" t="s">
        <v>27</v>
      </c>
      <c r="G12613" s="33" t="s">
        <v>158</v>
      </c>
      <c r="H12613" s="35">
        <v>6</v>
      </c>
      <c r="I12613" s="33" t="s">
        <v>21</v>
      </c>
      <c r="J12613" s="42">
        <v>44805</v>
      </c>
      <c r="K12613" s="33" t="s">
        <v>22</v>
      </c>
    </row>
    <row r="12614" spans="1:11">
      <c r="A12614" s="30" t="s">
        <v>28593</v>
      </c>
      <c r="B12614" s="30" t="s">
        <v>28594</v>
      </c>
      <c r="C12614" s="30" t="s">
        <v>822</v>
      </c>
      <c r="D12614" s="30" t="s">
        <v>17</v>
      </c>
      <c r="E12614" s="30" t="s">
        <v>31</v>
      </c>
      <c r="F12614" s="30" t="s">
        <v>32</v>
      </c>
      <c r="G12614" s="30" t="s">
        <v>20</v>
      </c>
      <c r="H12614" s="32">
        <v>180</v>
      </c>
      <c r="I12614" s="30" t="s">
        <v>21</v>
      </c>
      <c r="J12614" s="41">
        <v>44635</v>
      </c>
      <c r="K12614" s="30" t="s">
        <v>22</v>
      </c>
    </row>
    <row r="12615" spans="1:11">
      <c r="A12615" s="33" t="s">
        <v>28595</v>
      </c>
      <c r="B12615" s="33" t="s">
        <v>28596</v>
      </c>
      <c r="C12615" s="33" t="s">
        <v>2807</v>
      </c>
      <c r="D12615" s="33" t="s">
        <v>17</v>
      </c>
      <c r="E12615" s="33" t="s">
        <v>31</v>
      </c>
      <c r="F12615" s="33" t="s">
        <v>32</v>
      </c>
      <c r="G12615" s="33" t="s">
        <v>20</v>
      </c>
      <c r="H12615" s="35">
        <v>81</v>
      </c>
      <c r="I12615" s="33" t="s">
        <v>21</v>
      </c>
      <c r="J12615" s="42">
        <v>44595</v>
      </c>
      <c r="K12615" s="33" t="s">
        <v>22</v>
      </c>
    </row>
    <row r="12616" spans="1:11">
      <c r="A12616" s="30" t="s">
        <v>28597</v>
      </c>
      <c r="B12616" s="30" t="s">
        <v>28598</v>
      </c>
      <c r="C12616" s="30" t="s">
        <v>647</v>
      </c>
      <c r="D12616" s="30" t="s">
        <v>17</v>
      </c>
      <c r="E12616" s="30" t="s">
        <v>18</v>
      </c>
      <c r="F12616" s="30" t="s">
        <v>19</v>
      </c>
      <c r="G12616" s="30" t="s">
        <v>158</v>
      </c>
      <c r="H12616" s="32">
        <v>460</v>
      </c>
      <c r="I12616" s="30" t="s">
        <v>21</v>
      </c>
      <c r="J12616" s="41">
        <v>44644</v>
      </c>
      <c r="K12616" s="30" t="s">
        <v>22</v>
      </c>
    </row>
    <row r="12617" spans="1:11">
      <c r="A12617" s="33" t="s">
        <v>28599</v>
      </c>
      <c r="B12617" s="33" t="s">
        <v>28600</v>
      </c>
      <c r="C12617" s="33" t="s">
        <v>429</v>
      </c>
      <c r="D12617" s="33" t="s">
        <v>17</v>
      </c>
      <c r="E12617" s="33" t="s">
        <v>26</v>
      </c>
      <c r="F12617" s="33" t="s">
        <v>27</v>
      </c>
      <c r="G12617" s="33" t="s">
        <v>20</v>
      </c>
      <c r="H12617" s="35">
        <v>58</v>
      </c>
      <c r="I12617" s="33" t="s">
        <v>21</v>
      </c>
      <c r="J12617" s="42">
        <v>44594</v>
      </c>
      <c r="K12617" s="33" t="s">
        <v>22</v>
      </c>
    </row>
    <row r="12618" spans="1:11">
      <c r="A12618" s="30" t="s">
        <v>28601</v>
      </c>
      <c r="B12618" s="30" t="s">
        <v>28602</v>
      </c>
      <c r="C12618" s="30" t="s">
        <v>4218</v>
      </c>
      <c r="D12618" s="30" t="s">
        <v>17</v>
      </c>
      <c r="E12618" s="30" t="s">
        <v>45</v>
      </c>
      <c r="F12618" s="30" t="s">
        <v>46</v>
      </c>
      <c r="G12618" s="30" t="s">
        <v>158</v>
      </c>
      <c r="H12618" s="32">
        <v>127</v>
      </c>
      <c r="I12618" s="30" t="s">
        <v>21</v>
      </c>
      <c r="J12618" s="41">
        <v>44576</v>
      </c>
      <c r="K12618" s="30" t="s">
        <v>22</v>
      </c>
    </row>
    <row r="12619" spans="1:11">
      <c r="A12619" s="33" t="s">
        <v>28603</v>
      </c>
      <c r="B12619" s="33" t="s">
        <v>28604</v>
      </c>
      <c r="C12619" s="33" t="s">
        <v>154</v>
      </c>
      <c r="D12619" s="33" t="s">
        <v>17</v>
      </c>
      <c r="E12619" s="33" t="s">
        <v>26</v>
      </c>
      <c r="F12619" s="33" t="s">
        <v>27</v>
      </c>
      <c r="G12619" s="33" t="s">
        <v>106</v>
      </c>
      <c r="H12619" s="35">
        <v>55</v>
      </c>
      <c r="I12619" s="33" t="s">
        <v>21</v>
      </c>
      <c r="J12619" s="42">
        <v>44798</v>
      </c>
      <c r="K12619" s="33" t="s">
        <v>22</v>
      </c>
    </row>
    <row r="12620" spans="1:11">
      <c r="A12620" s="30" t="s">
        <v>28605</v>
      </c>
      <c r="B12620" s="30" t="s">
        <v>28606</v>
      </c>
      <c r="C12620" s="30" t="s">
        <v>26565</v>
      </c>
      <c r="D12620" s="30" t="s">
        <v>17</v>
      </c>
      <c r="E12620" s="30" t="s">
        <v>26</v>
      </c>
      <c r="F12620" s="30" t="s">
        <v>27</v>
      </c>
      <c r="G12620" s="30" t="s">
        <v>20</v>
      </c>
      <c r="H12620" s="32">
        <v>32</v>
      </c>
      <c r="I12620" s="30" t="s">
        <v>21</v>
      </c>
      <c r="J12620" s="41">
        <v>44579</v>
      </c>
      <c r="K12620" s="30" t="s">
        <v>22</v>
      </c>
    </row>
    <row r="12621" spans="1:11">
      <c r="A12621" s="33" t="s">
        <v>28607</v>
      </c>
      <c r="B12621" s="33" t="s">
        <v>28608</v>
      </c>
      <c r="C12621" s="33" t="s">
        <v>635</v>
      </c>
      <c r="D12621" s="33" t="s">
        <v>17</v>
      </c>
      <c r="E12621" s="33" t="s">
        <v>26</v>
      </c>
      <c r="F12621" s="33" t="s">
        <v>27</v>
      </c>
      <c r="G12621" s="33" t="s">
        <v>50</v>
      </c>
      <c r="H12621" s="35">
        <v>22</v>
      </c>
      <c r="I12621" s="33" t="s">
        <v>21</v>
      </c>
      <c r="J12621" s="42">
        <v>44711</v>
      </c>
      <c r="K12621" s="33" t="s">
        <v>22</v>
      </c>
    </row>
    <row r="12622" spans="1:11">
      <c r="A12622" s="30" t="s">
        <v>28609</v>
      </c>
      <c r="B12622" s="30" t="s">
        <v>28610</v>
      </c>
      <c r="C12622" s="30" t="s">
        <v>510</v>
      </c>
      <c r="D12622" s="30" t="s">
        <v>17</v>
      </c>
      <c r="E12622" s="30" t="s">
        <v>67</v>
      </c>
      <c r="F12622" s="30" t="s">
        <v>68</v>
      </c>
      <c r="G12622" s="30" t="s">
        <v>20</v>
      </c>
      <c r="H12622" s="32">
        <v>6</v>
      </c>
      <c r="I12622" s="30" t="s">
        <v>21</v>
      </c>
      <c r="J12622" s="41">
        <v>44850</v>
      </c>
      <c r="K12622" s="30" t="s">
        <v>22</v>
      </c>
    </row>
    <row r="12623" spans="1:11">
      <c r="A12623" s="33" t="s">
        <v>28611</v>
      </c>
      <c r="B12623" s="33" t="s">
        <v>28612</v>
      </c>
      <c r="C12623" s="33" t="s">
        <v>109</v>
      </c>
      <c r="D12623" s="33" t="s">
        <v>17</v>
      </c>
      <c r="E12623" s="33" t="s">
        <v>18</v>
      </c>
      <c r="F12623" s="33" t="s">
        <v>19</v>
      </c>
      <c r="G12623" s="33" t="s">
        <v>158</v>
      </c>
      <c r="H12623" s="35">
        <v>609</v>
      </c>
      <c r="I12623" s="33" t="s">
        <v>21</v>
      </c>
      <c r="J12623" s="42">
        <v>44750</v>
      </c>
      <c r="K12623" s="33" t="s">
        <v>22</v>
      </c>
    </row>
    <row r="12624" spans="1:11">
      <c r="A12624" s="30" t="s">
        <v>28613</v>
      </c>
      <c r="B12624" s="30" t="s">
        <v>28614</v>
      </c>
      <c r="C12624" s="30" t="s">
        <v>28615</v>
      </c>
      <c r="D12624" s="30" t="s">
        <v>17</v>
      </c>
      <c r="E12624" s="30" t="s">
        <v>330</v>
      </c>
      <c r="F12624" s="30" t="s">
        <v>331</v>
      </c>
      <c r="G12624" s="30" t="s">
        <v>20</v>
      </c>
      <c r="H12624" s="32">
        <v>23</v>
      </c>
      <c r="I12624" s="30" t="s">
        <v>21</v>
      </c>
      <c r="J12624" s="41">
        <v>44903</v>
      </c>
      <c r="K12624" s="30" t="s">
        <v>22</v>
      </c>
    </row>
    <row r="12625" spans="1:11">
      <c r="A12625" s="33" t="s">
        <v>28616</v>
      </c>
      <c r="B12625" s="33" t="s">
        <v>28617</v>
      </c>
      <c r="C12625" s="33" t="s">
        <v>647</v>
      </c>
      <c r="D12625" s="33" t="s">
        <v>17</v>
      </c>
      <c r="E12625" s="33" t="s">
        <v>26</v>
      </c>
      <c r="F12625" s="33" t="s">
        <v>27</v>
      </c>
      <c r="G12625" s="33" t="s">
        <v>20</v>
      </c>
      <c r="H12625" s="35">
        <v>56</v>
      </c>
      <c r="I12625" s="33" t="s">
        <v>21</v>
      </c>
      <c r="J12625" s="42">
        <v>44834</v>
      </c>
      <c r="K12625" s="33" t="s">
        <v>22</v>
      </c>
    </row>
    <row r="12626" spans="1:11">
      <c r="A12626" s="30" t="s">
        <v>28618</v>
      </c>
      <c r="B12626" s="30" t="s">
        <v>28619</v>
      </c>
      <c r="C12626" s="30" t="s">
        <v>28620</v>
      </c>
      <c r="D12626" s="30" t="s">
        <v>17</v>
      </c>
      <c r="E12626" s="30" t="s">
        <v>26</v>
      </c>
      <c r="F12626" s="30" t="s">
        <v>27</v>
      </c>
      <c r="G12626" s="30" t="s">
        <v>20</v>
      </c>
      <c r="H12626" s="32">
        <v>50</v>
      </c>
      <c r="I12626" s="30" t="s">
        <v>21</v>
      </c>
      <c r="J12626" s="41">
        <v>44613</v>
      </c>
      <c r="K12626" s="30" t="s">
        <v>22</v>
      </c>
    </row>
    <row r="12627" spans="1:11">
      <c r="A12627" s="33" t="s">
        <v>28621</v>
      </c>
      <c r="B12627" s="33" t="s">
        <v>28622</v>
      </c>
      <c r="C12627" s="33" t="s">
        <v>28623</v>
      </c>
      <c r="D12627" s="33" t="s">
        <v>17</v>
      </c>
      <c r="E12627" s="33" t="s">
        <v>26</v>
      </c>
      <c r="F12627" s="33" t="s">
        <v>27</v>
      </c>
      <c r="G12627" s="33" t="s">
        <v>20</v>
      </c>
      <c r="H12627" s="35">
        <v>22</v>
      </c>
      <c r="I12627" s="33" t="s">
        <v>21</v>
      </c>
      <c r="J12627" s="42">
        <v>44741</v>
      </c>
      <c r="K12627" s="33" t="s">
        <v>22</v>
      </c>
    </row>
    <row r="12628" spans="1:11">
      <c r="A12628" s="30" t="s">
        <v>28624</v>
      </c>
      <c r="B12628" s="30" t="s">
        <v>28625</v>
      </c>
      <c r="C12628" s="30" t="s">
        <v>9825</v>
      </c>
      <c r="D12628" s="30" t="s">
        <v>17</v>
      </c>
      <c r="E12628" s="30" t="s">
        <v>26</v>
      </c>
      <c r="F12628" s="30" t="s">
        <v>27</v>
      </c>
      <c r="G12628" s="30" t="s">
        <v>20</v>
      </c>
      <c r="H12628" s="32">
        <v>37</v>
      </c>
      <c r="I12628" s="30" t="s">
        <v>21</v>
      </c>
      <c r="J12628" s="41">
        <v>44667</v>
      </c>
      <c r="K12628" s="30" t="s">
        <v>22</v>
      </c>
    </row>
    <row r="12629" spans="1:11">
      <c r="A12629" s="33" t="s">
        <v>28626</v>
      </c>
      <c r="B12629" s="33" t="s">
        <v>28627</v>
      </c>
      <c r="C12629" s="33" t="s">
        <v>795</v>
      </c>
      <c r="D12629" s="33" t="s">
        <v>17</v>
      </c>
      <c r="E12629" s="33" t="s">
        <v>67</v>
      </c>
      <c r="F12629" s="33" t="s">
        <v>68</v>
      </c>
      <c r="G12629" s="33" t="s">
        <v>106</v>
      </c>
      <c r="H12629" s="35">
        <v>31</v>
      </c>
      <c r="I12629" s="33" t="s">
        <v>21</v>
      </c>
      <c r="J12629" s="42">
        <v>44838</v>
      </c>
      <c r="K12629" s="33" t="s">
        <v>22</v>
      </c>
    </row>
    <row r="12630" spans="1:11">
      <c r="A12630" s="30" t="s">
        <v>28628</v>
      </c>
      <c r="B12630" s="30" t="s">
        <v>28629</v>
      </c>
      <c r="C12630" s="30" t="s">
        <v>28630</v>
      </c>
      <c r="D12630" s="30" t="s">
        <v>17</v>
      </c>
      <c r="E12630" s="30" t="s">
        <v>31</v>
      </c>
      <c r="F12630" s="30" t="s">
        <v>32</v>
      </c>
      <c r="G12630" s="30" t="s">
        <v>140</v>
      </c>
      <c r="H12630" s="32">
        <v>75</v>
      </c>
      <c r="I12630" s="30" t="s">
        <v>51</v>
      </c>
      <c r="J12630" s="41">
        <v>44818</v>
      </c>
      <c r="K12630" s="30" t="s">
        <v>22</v>
      </c>
    </row>
    <row r="12631" spans="1:11">
      <c r="A12631" s="33" t="s">
        <v>28631</v>
      </c>
      <c r="B12631" s="33" t="s">
        <v>28632</v>
      </c>
      <c r="C12631" s="33" t="s">
        <v>22605</v>
      </c>
      <c r="D12631" s="33" t="s">
        <v>17</v>
      </c>
      <c r="E12631" s="33" t="s">
        <v>45</v>
      </c>
      <c r="F12631" s="33" t="s">
        <v>46</v>
      </c>
      <c r="G12631" s="33" t="s">
        <v>50</v>
      </c>
      <c r="H12631" s="35">
        <v>14168</v>
      </c>
      <c r="I12631" s="33" t="s">
        <v>21</v>
      </c>
      <c r="J12631" s="42">
        <v>44888</v>
      </c>
      <c r="K12631" s="33" t="s">
        <v>22</v>
      </c>
    </row>
    <row r="12632" spans="1:11">
      <c r="A12632" s="30" t="s">
        <v>28633</v>
      </c>
      <c r="B12632" s="30" t="s">
        <v>28634</v>
      </c>
      <c r="C12632" s="30" t="s">
        <v>231</v>
      </c>
      <c r="D12632" s="30" t="s">
        <v>17</v>
      </c>
      <c r="E12632" s="30" t="s">
        <v>26</v>
      </c>
      <c r="F12632" s="30" t="s">
        <v>27</v>
      </c>
      <c r="G12632" s="30" t="s">
        <v>20</v>
      </c>
      <c r="H12632" s="32">
        <v>72</v>
      </c>
      <c r="I12632" s="30" t="s">
        <v>21</v>
      </c>
      <c r="J12632" s="41">
        <v>44726</v>
      </c>
      <c r="K12632" s="30" t="s">
        <v>22</v>
      </c>
    </row>
    <row r="12633" spans="1:11">
      <c r="A12633" s="33" t="s">
        <v>28635</v>
      </c>
      <c r="B12633" s="33" t="s">
        <v>28636</v>
      </c>
      <c r="C12633" s="33" t="s">
        <v>13577</v>
      </c>
      <c r="D12633" s="33" t="s">
        <v>17</v>
      </c>
      <c r="E12633" s="33" t="s">
        <v>26</v>
      </c>
      <c r="F12633" s="33" t="s">
        <v>27</v>
      </c>
      <c r="G12633" s="33" t="s">
        <v>20</v>
      </c>
      <c r="H12633" s="35">
        <v>56</v>
      </c>
      <c r="I12633" s="33" t="s">
        <v>21</v>
      </c>
      <c r="J12633" s="42">
        <v>44700</v>
      </c>
      <c r="K12633" s="33" t="s">
        <v>22</v>
      </c>
    </row>
    <row r="12634" spans="1:11">
      <c r="A12634" s="30" t="s">
        <v>28637</v>
      </c>
      <c r="B12634" s="30" t="s">
        <v>28638</v>
      </c>
      <c r="C12634" s="30" t="s">
        <v>1598</v>
      </c>
      <c r="D12634" s="30" t="s">
        <v>17</v>
      </c>
      <c r="E12634" s="30" t="s">
        <v>26</v>
      </c>
      <c r="F12634" s="30" t="s">
        <v>27</v>
      </c>
      <c r="G12634" s="30" t="s">
        <v>50</v>
      </c>
      <c r="H12634" s="32">
        <v>260</v>
      </c>
      <c r="I12634" s="30" t="s">
        <v>51</v>
      </c>
      <c r="J12634" s="41">
        <v>44804</v>
      </c>
      <c r="K12634" s="30" t="s">
        <v>22</v>
      </c>
    </row>
    <row r="12635" spans="1:11">
      <c r="A12635" s="33" t="s">
        <v>28639</v>
      </c>
      <c r="B12635" s="33" t="s">
        <v>28640</v>
      </c>
      <c r="C12635" s="33" t="s">
        <v>26361</v>
      </c>
      <c r="D12635" s="33" t="s">
        <v>17</v>
      </c>
      <c r="E12635" s="33" t="s">
        <v>18</v>
      </c>
      <c r="F12635" s="33" t="s">
        <v>19</v>
      </c>
      <c r="G12635" s="33" t="s">
        <v>50</v>
      </c>
      <c r="H12635" s="35">
        <v>1200</v>
      </c>
      <c r="I12635" s="33" t="s">
        <v>21</v>
      </c>
      <c r="J12635" s="42">
        <v>44923</v>
      </c>
      <c r="K12635" s="33" t="s">
        <v>22</v>
      </c>
    </row>
    <row r="12636" spans="1:11">
      <c r="A12636" s="30" t="s">
        <v>28641</v>
      </c>
      <c r="B12636" s="30" t="s">
        <v>28642</v>
      </c>
      <c r="C12636" s="30" t="s">
        <v>3278</v>
      </c>
      <c r="D12636" s="30" t="s">
        <v>17</v>
      </c>
      <c r="E12636" s="30" t="s">
        <v>26</v>
      </c>
      <c r="F12636" s="30" t="s">
        <v>27</v>
      </c>
      <c r="G12636" s="30" t="s">
        <v>20</v>
      </c>
      <c r="H12636" s="32">
        <v>8</v>
      </c>
      <c r="I12636" s="30" t="s">
        <v>21</v>
      </c>
      <c r="J12636" s="41">
        <v>44649</v>
      </c>
      <c r="K12636" s="30" t="s">
        <v>22</v>
      </c>
    </row>
    <row r="12637" spans="1:11">
      <c r="A12637" s="33" t="s">
        <v>28643</v>
      </c>
      <c r="B12637" s="33" t="s">
        <v>28644</v>
      </c>
      <c r="C12637" s="33" t="s">
        <v>136</v>
      </c>
      <c r="D12637" s="33" t="s">
        <v>17</v>
      </c>
      <c r="E12637" s="33" t="s">
        <v>18</v>
      </c>
      <c r="F12637" s="33" t="s">
        <v>19</v>
      </c>
      <c r="G12637" s="33" t="s">
        <v>20</v>
      </c>
      <c r="H12637" s="35">
        <v>986</v>
      </c>
      <c r="I12637" s="33" t="s">
        <v>21</v>
      </c>
      <c r="J12637" s="42">
        <v>44628</v>
      </c>
      <c r="K12637" s="33" t="s">
        <v>22</v>
      </c>
    </row>
    <row r="12638" spans="1:11">
      <c r="A12638" s="30" t="s">
        <v>28645</v>
      </c>
      <c r="B12638" s="30" t="s">
        <v>28646</v>
      </c>
      <c r="C12638" s="30" t="s">
        <v>11899</v>
      </c>
      <c r="D12638" s="30" t="s">
        <v>17</v>
      </c>
      <c r="E12638" s="30" t="s">
        <v>45</v>
      </c>
      <c r="F12638" s="30" t="s">
        <v>46</v>
      </c>
      <c r="G12638" s="30" t="s">
        <v>106</v>
      </c>
      <c r="H12638" s="32">
        <v>81</v>
      </c>
      <c r="I12638" s="30" t="s">
        <v>21</v>
      </c>
      <c r="J12638" s="41">
        <v>44587</v>
      </c>
      <c r="K12638" s="30" t="s">
        <v>22</v>
      </c>
    </row>
    <row r="12639" spans="1:11">
      <c r="A12639" s="33" t="s">
        <v>28647</v>
      </c>
      <c r="B12639" s="33" t="s">
        <v>28648</v>
      </c>
      <c r="C12639" s="33" t="s">
        <v>10009</v>
      </c>
      <c r="D12639" s="33" t="s">
        <v>17</v>
      </c>
      <c r="E12639" s="33" t="s">
        <v>18</v>
      </c>
      <c r="F12639" s="33" t="s">
        <v>19</v>
      </c>
      <c r="G12639" s="33" t="s">
        <v>20</v>
      </c>
      <c r="H12639" s="35">
        <v>241</v>
      </c>
      <c r="I12639" s="33" t="s">
        <v>21</v>
      </c>
      <c r="J12639" s="42">
        <v>44736</v>
      </c>
      <c r="K12639" s="33" t="s">
        <v>22</v>
      </c>
    </row>
    <row r="12640" spans="1:11">
      <c r="A12640" s="30" t="s">
        <v>28649</v>
      </c>
      <c r="B12640" s="30" t="s">
        <v>28650</v>
      </c>
      <c r="C12640" s="30" t="s">
        <v>10556</v>
      </c>
      <c r="D12640" s="30" t="s">
        <v>17</v>
      </c>
      <c r="E12640" s="30" t="s">
        <v>18</v>
      </c>
      <c r="F12640" s="30" t="s">
        <v>19</v>
      </c>
      <c r="G12640" s="30" t="s">
        <v>106</v>
      </c>
      <c r="H12640" s="32">
        <v>1150</v>
      </c>
      <c r="I12640" s="30" t="s">
        <v>21</v>
      </c>
      <c r="J12640" s="41">
        <v>44686</v>
      </c>
      <c r="K12640" s="30" t="s">
        <v>22</v>
      </c>
    </row>
    <row r="12641" spans="1:11">
      <c r="A12641" s="33" t="s">
        <v>28651</v>
      </c>
      <c r="B12641" s="33" t="s">
        <v>28652</v>
      </c>
      <c r="C12641" s="33" t="s">
        <v>1857</v>
      </c>
      <c r="D12641" s="33" t="s">
        <v>17</v>
      </c>
      <c r="E12641" s="33" t="s">
        <v>67</v>
      </c>
      <c r="F12641" s="33" t="s">
        <v>68</v>
      </c>
      <c r="G12641" s="33" t="s">
        <v>50</v>
      </c>
      <c r="H12641" s="35">
        <v>39</v>
      </c>
      <c r="I12641" s="33" t="s">
        <v>51</v>
      </c>
      <c r="J12641" s="42">
        <v>44562</v>
      </c>
      <c r="K12641" s="33" t="s">
        <v>22</v>
      </c>
    </row>
    <row r="12642" spans="1:11">
      <c r="A12642" s="30" t="s">
        <v>28653</v>
      </c>
      <c r="B12642" s="30" t="s">
        <v>28654</v>
      </c>
      <c r="C12642" s="30" t="s">
        <v>28655</v>
      </c>
      <c r="D12642" s="30" t="s">
        <v>17</v>
      </c>
      <c r="E12642" s="30" t="s">
        <v>26</v>
      </c>
      <c r="F12642" s="30" t="s">
        <v>27</v>
      </c>
      <c r="G12642" s="30" t="s">
        <v>106</v>
      </c>
      <c r="H12642" s="32">
        <v>16</v>
      </c>
      <c r="I12642" s="30" t="s">
        <v>21</v>
      </c>
      <c r="J12642" s="41">
        <v>44874</v>
      </c>
      <c r="K12642" s="30" t="s">
        <v>22</v>
      </c>
    </row>
    <row r="12643" spans="1:11">
      <c r="A12643" s="33" t="s">
        <v>28656</v>
      </c>
      <c r="B12643" s="33" t="s">
        <v>28657</v>
      </c>
      <c r="C12643" s="33" t="s">
        <v>1009</v>
      </c>
      <c r="D12643" s="33" t="s">
        <v>17</v>
      </c>
      <c r="E12643" s="33" t="s">
        <v>26</v>
      </c>
      <c r="F12643" s="33" t="s">
        <v>27</v>
      </c>
      <c r="G12643" s="33" t="s">
        <v>140</v>
      </c>
      <c r="H12643" s="35">
        <v>50</v>
      </c>
      <c r="I12643" s="33" t="s">
        <v>51</v>
      </c>
      <c r="J12643" s="42">
        <v>44792</v>
      </c>
      <c r="K12643" s="33" t="s">
        <v>22</v>
      </c>
    </row>
    <row r="12644" spans="1:11">
      <c r="A12644" s="30" t="s">
        <v>28658</v>
      </c>
      <c r="B12644" s="30" t="s">
        <v>28659</v>
      </c>
      <c r="C12644" s="30" t="s">
        <v>5093</v>
      </c>
      <c r="D12644" s="30" t="s">
        <v>17</v>
      </c>
      <c r="E12644" s="30" t="s">
        <v>31</v>
      </c>
      <c r="F12644" s="30" t="s">
        <v>32</v>
      </c>
      <c r="G12644" s="30" t="s">
        <v>20</v>
      </c>
      <c r="H12644" s="32">
        <v>3</v>
      </c>
      <c r="I12644" s="30" t="s">
        <v>21</v>
      </c>
      <c r="J12644" s="41">
        <v>44713</v>
      </c>
      <c r="K12644" s="30" t="s">
        <v>22</v>
      </c>
    </row>
    <row r="12645" spans="1:11">
      <c r="A12645" s="33" t="s">
        <v>28660</v>
      </c>
      <c r="B12645" s="33" t="s">
        <v>28661</v>
      </c>
      <c r="C12645" s="33" t="s">
        <v>21009</v>
      </c>
      <c r="D12645" s="33" t="s">
        <v>17</v>
      </c>
      <c r="E12645" s="33" t="s">
        <v>26</v>
      </c>
      <c r="F12645" s="33" t="s">
        <v>27</v>
      </c>
      <c r="G12645" s="33" t="s">
        <v>20</v>
      </c>
      <c r="H12645" s="35">
        <v>6</v>
      </c>
      <c r="I12645" s="33" t="s">
        <v>21</v>
      </c>
      <c r="J12645" s="42">
        <v>44767</v>
      </c>
      <c r="K12645" s="33" t="s">
        <v>22</v>
      </c>
    </row>
    <row r="12646" spans="1:11">
      <c r="A12646" s="30" t="s">
        <v>28662</v>
      </c>
      <c r="B12646" s="30" t="s">
        <v>28663</v>
      </c>
      <c r="C12646" s="30" t="s">
        <v>96</v>
      </c>
      <c r="D12646" s="30" t="s">
        <v>17</v>
      </c>
      <c r="E12646" s="30" t="s">
        <v>26</v>
      </c>
      <c r="F12646" s="30" t="s">
        <v>27</v>
      </c>
      <c r="G12646" s="30" t="s">
        <v>106</v>
      </c>
      <c r="H12646" s="32">
        <v>21</v>
      </c>
      <c r="I12646" s="30" t="s">
        <v>21</v>
      </c>
      <c r="J12646" s="41">
        <v>44616</v>
      </c>
      <c r="K12646" s="30" t="s">
        <v>22</v>
      </c>
    </row>
    <row r="12647" spans="1:11">
      <c r="A12647" s="33" t="s">
        <v>28664</v>
      </c>
      <c r="B12647" s="33" t="s">
        <v>28665</v>
      </c>
      <c r="C12647" s="33" t="s">
        <v>28666</v>
      </c>
      <c r="D12647" s="33" t="s">
        <v>17</v>
      </c>
      <c r="E12647" s="33" t="s">
        <v>67</v>
      </c>
      <c r="F12647" s="33" t="s">
        <v>68</v>
      </c>
      <c r="G12647" s="33" t="s">
        <v>20</v>
      </c>
      <c r="H12647" s="35">
        <v>60</v>
      </c>
      <c r="I12647" s="33" t="s">
        <v>21</v>
      </c>
      <c r="J12647" s="42">
        <v>44707</v>
      </c>
      <c r="K12647" s="33" t="s">
        <v>22</v>
      </c>
    </row>
    <row r="12648" spans="1:11">
      <c r="A12648" s="30" t="s">
        <v>28667</v>
      </c>
      <c r="B12648" s="30" t="s">
        <v>28668</v>
      </c>
      <c r="C12648" s="30" t="s">
        <v>6379</v>
      </c>
      <c r="D12648" s="30" t="s">
        <v>17</v>
      </c>
      <c r="E12648" s="30" t="s">
        <v>31</v>
      </c>
      <c r="F12648" s="30" t="s">
        <v>32</v>
      </c>
      <c r="G12648" s="30" t="s">
        <v>20</v>
      </c>
      <c r="H12648" s="32">
        <v>210</v>
      </c>
      <c r="I12648" s="30" t="s">
        <v>21</v>
      </c>
      <c r="J12648" s="41">
        <v>44838</v>
      </c>
      <c r="K12648" s="30" t="s">
        <v>22</v>
      </c>
    </row>
    <row r="12649" spans="1:11">
      <c r="A12649" s="33" t="s">
        <v>28669</v>
      </c>
      <c r="B12649" s="33" t="s">
        <v>28670</v>
      </c>
      <c r="C12649" s="33" t="s">
        <v>149</v>
      </c>
      <c r="D12649" s="33" t="s">
        <v>17</v>
      </c>
      <c r="E12649" s="33" t="s">
        <v>26</v>
      </c>
      <c r="F12649" s="33" t="s">
        <v>27</v>
      </c>
      <c r="G12649" s="33" t="s">
        <v>20</v>
      </c>
      <c r="H12649" s="35">
        <v>24</v>
      </c>
      <c r="I12649" s="33" t="s">
        <v>21</v>
      </c>
      <c r="J12649" s="42">
        <v>44757</v>
      </c>
      <c r="K12649" s="33" t="s">
        <v>22</v>
      </c>
    </row>
    <row r="12650" spans="1:11">
      <c r="A12650" s="30" t="s">
        <v>28671</v>
      </c>
      <c r="B12650" s="30" t="s">
        <v>28672</v>
      </c>
      <c r="C12650" s="30" t="s">
        <v>2609</v>
      </c>
      <c r="D12650" s="30" t="s">
        <v>17</v>
      </c>
      <c r="E12650" s="30" t="s">
        <v>18</v>
      </c>
      <c r="F12650" s="30" t="s">
        <v>19</v>
      </c>
      <c r="G12650" s="30" t="s">
        <v>20</v>
      </c>
      <c r="H12650" s="32">
        <v>85</v>
      </c>
      <c r="I12650" s="30" t="s">
        <v>21</v>
      </c>
      <c r="J12650" s="41">
        <v>44588</v>
      </c>
      <c r="K12650" s="30" t="s">
        <v>22</v>
      </c>
    </row>
    <row r="12651" spans="1:11">
      <c r="A12651" s="33" t="s">
        <v>28673</v>
      </c>
      <c r="B12651" s="33" t="s">
        <v>28674</v>
      </c>
      <c r="C12651" s="33" t="s">
        <v>28675</v>
      </c>
      <c r="D12651" s="33" t="s">
        <v>17</v>
      </c>
      <c r="E12651" s="33" t="s">
        <v>31</v>
      </c>
      <c r="F12651" s="33" t="s">
        <v>32</v>
      </c>
      <c r="G12651" s="33" t="s">
        <v>20</v>
      </c>
      <c r="H12651" s="35">
        <v>139</v>
      </c>
      <c r="I12651" s="33" t="s">
        <v>21</v>
      </c>
      <c r="J12651" s="42">
        <v>44775</v>
      </c>
      <c r="K12651" s="33" t="s">
        <v>22</v>
      </c>
    </row>
    <row r="12652" spans="1:11">
      <c r="A12652" s="30" t="s">
        <v>28676</v>
      </c>
      <c r="B12652" s="30" t="s">
        <v>28677</v>
      </c>
      <c r="C12652" s="30" t="s">
        <v>1504</v>
      </c>
      <c r="D12652" s="30" t="s">
        <v>17</v>
      </c>
      <c r="E12652" s="30" t="s">
        <v>31</v>
      </c>
      <c r="F12652" s="30" t="s">
        <v>32</v>
      </c>
      <c r="G12652" s="30" t="s">
        <v>50</v>
      </c>
      <c r="H12652" s="32">
        <v>30</v>
      </c>
      <c r="I12652" s="30" t="s">
        <v>51</v>
      </c>
      <c r="J12652" s="41">
        <v>44805</v>
      </c>
      <c r="K12652" s="30" t="s">
        <v>22</v>
      </c>
    </row>
    <row r="12653" spans="1:11">
      <c r="A12653" s="33" t="s">
        <v>28678</v>
      </c>
      <c r="B12653" s="33" t="s">
        <v>28679</v>
      </c>
      <c r="C12653" s="33" t="s">
        <v>25034</v>
      </c>
      <c r="D12653" s="33" t="s">
        <v>17</v>
      </c>
      <c r="E12653" s="33" t="s">
        <v>67</v>
      </c>
      <c r="F12653" s="33" t="s">
        <v>68</v>
      </c>
      <c r="G12653" s="33" t="s">
        <v>20</v>
      </c>
      <c r="H12653" s="35">
        <v>49</v>
      </c>
      <c r="I12653" s="33" t="s">
        <v>21</v>
      </c>
      <c r="J12653" s="42">
        <v>44650</v>
      </c>
      <c r="K12653" s="33" t="s">
        <v>22</v>
      </c>
    </row>
    <row r="12654" spans="1:11">
      <c r="A12654" s="30" t="s">
        <v>28680</v>
      </c>
      <c r="B12654" s="30" t="s">
        <v>28681</v>
      </c>
      <c r="C12654" s="30" t="s">
        <v>11353</v>
      </c>
      <c r="D12654" s="30" t="s">
        <v>17</v>
      </c>
      <c r="E12654" s="30" t="s">
        <v>18</v>
      </c>
      <c r="F12654" s="30" t="s">
        <v>19</v>
      </c>
      <c r="G12654" s="30" t="s">
        <v>50</v>
      </c>
      <c r="H12654" s="32">
        <v>944</v>
      </c>
      <c r="I12654" s="30" t="s">
        <v>21</v>
      </c>
      <c r="J12654" s="41">
        <v>44636</v>
      </c>
      <c r="K12654" s="30" t="s">
        <v>22</v>
      </c>
    </row>
    <row r="12655" spans="1:11">
      <c r="A12655" s="33" t="s">
        <v>28682</v>
      </c>
      <c r="B12655" s="33" t="s">
        <v>28683</v>
      </c>
      <c r="C12655" s="33" t="s">
        <v>2612</v>
      </c>
      <c r="D12655" s="33" t="s">
        <v>17</v>
      </c>
      <c r="E12655" s="33" t="s">
        <v>18</v>
      </c>
      <c r="F12655" s="33" t="s">
        <v>19</v>
      </c>
      <c r="G12655" s="33" t="s">
        <v>158</v>
      </c>
      <c r="H12655" s="35">
        <v>37</v>
      </c>
      <c r="I12655" s="33" t="s">
        <v>21</v>
      </c>
      <c r="J12655" s="42">
        <v>44852</v>
      </c>
      <c r="K12655" s="33" t="s">
        <v>22</v>
      </c>
    </row>
    <row r="12656" spans="1:11">
      <c r="A12656" s="30" t="s">
        <v>28684</v>
      </c>
      <c r="B12656" s="30" t="s">
        <v>28685</v>
      </c>
      <c r="C12656" s="30" t="s">
        <v>9725</v>
      </c>
      <c r="D12656" s="30" t="s">
        <v>17</v>
      </c>
      <c r="E12656" s="30" t="s">
        <v>45</v>
      </c>
      <c r="F12656" s="30" t="s">
        <v>46</v>
      </c>
      <c r="G12656" s="30" t="s">
        <v>50</v>
      </c>
      <c r="H12656" s="32">
        <v>1188</v>
      </c>
      <c r="I12656" s="30" t="s">
        <v>51</v>
      </c>
      <c r="J12656" s="41">
        <v>44818</v>
      </c>
      <c r="K12656" s="30" t="s">
        <v>22</v>
      </c>
    </row>
    <row r="12657" spans="1:11">
      <c r="A12657" s="33" t="s">
        <v>28686</v>
      </c>
      <c r="B12657" s="33" t="s">
        <v>28687</v>
      </c>
      <c r="C12657" s="33" t="s">
        <v>8775</v>
      </c>
      <c r="D12657" s="33" t="s">
        <v>17</v>
      </c>
      <c r="E12657" s="33" t="s">
        <v>67</v>
      </c>
      <c r="F12657" s="33" t="s">
        <v>68</v>
      </c>
      <c r="G12657" s="33" t="s">
        <v>2613</v>
      </c>
      <c r="H12657" s="35">
        <v>39</v>
      </c>
      <c r="I12657" s="33" t="s">
        <v>51</v>
      </c>
      <c r="J12657" s="42">
        <v>44866</v>
      </c>
      <c r="K12657" s="33" t="s">
        <v>22</v>
      </c>
    </row>
    <row r="12658" spans="1:11">
      <c r="A12658" s="30" t="s">
        <v>28688</v>
      </c>
      <c r="B12658" s="30" t="s">
        <v>28689</v>
      </c>
      <c r="C12658" s="30" t="s">
        <v>1027</v>
      </c>
      <c r="D12658" s="30" t="s">
        <v>17</v>
      </c>
      <c r="E12658" s="30" t="s">
        <v>67</v>
      </c>
      <c r="F12658" s="30" t="s">
        <v>68</v>
      </c>
      <c r="G12658" s="30" t="s">
        <v>158</v>
      </c>
      <c r="H12658" s="32">
        <v>30</v>
      </c>
      <c r="I12658" s="30" t="s">
        <v>51</v>
      </c>
      <c r="J12658" s="41">
        <v>44588</v>
      </c>
      <c r="K12658" s="30" t="s">
        <v>22</v>
      </c>
    </row>
    <row r="12659" spans="1:11">
      <c r="A12659" s="33" t="s">
        <v>28690</v>
      </c>
      <c r="B12659" s="33" t="s">
        <v>28691</v>
      </c>
      <c r="C12659" s="33" t="s">
        <v>3302</v>
      </c>
      <c r="D12659" s="33" t="s">
        <v>17</v>
      </c>
      <c r="E12659" s="33" t="s">
        <v>212</v>
      </c>
      <c r="F12659" s="33" t="s">
        <v>213</v>
      </c>
      <c r="G12659" s="33" t="s">
        <v>20</v>
      </c>
      <c r="H12659" s="35">
        <v>162</v>
      </c>
      <c r="I12659" s="33" t="s">
        <v>21</v>
      </c>
      <c r="J12659" s="42">
        <v>44850</v>
      </c>
      <c r="K12659" s="33" t="s">
        <v>22</v>
      </c>
    </row>
    <row r="12660" spans="1:11">
      <c r="A12660" s="30" t="s">
        <v>28692</v>
      </c>
      <c r="B12660" s="30" t="s">
        <v>28693</v>
      </c>
      <c r="C12660" s="30" t="s">
        <v>2978</v>
      </c>
      <c r="D12660" s="30" t="s">
        <v>17</v>
      </c>
      <c r="E12660" s="30" t="s">
        <v>26</v>
      </c>
      <c r="F12660" s="30" t="s">
        <v>27</v>
      </c>
      <c r="G12660" s="30" t="s">
        <v>50</v>
      </c>
      <c r="H12660" s="32">
        <v>230</v>
      </c>
      <c r="I12660" s="30" t="s">
        <v>51</v>
      </c>
      <c r="J12660" s="41">
        <v>44713</v>
      </c>
      <c r="K12660" s="30" t="s">
        <v>22</v>
      </c>
    </row>
    <row r="12661" spans="1:11">
      <c r="A12661" s="33" t="s">
        <v>28694</v>
      </c>
      <c r="B12661" s="33" t="s">
        <v>28695</v>
      </c>
      <c r="C12661" s="33" t="s">
        <v>15908</v>
      </c>
      <c r="D12661" s="33" t="s">
        <v>17</v>
      </c>
      <c r="E12661" s="33" t="s">
        <v>330</v>
      </c>
      <c r="F12661" s="33" t="s">
        <v>331</v>
      </c>
      <c r="G12661" s="33" t="s">
        <v>112</v>
      </c>
      <c r="H12661" s="35">
        <v>0</v>
      </c>
      <c r="I12661" s="33" t="s">
        <v>21</v>
      </c>
      <c r="J12661" s="42">
        <v>44795</v>
      </c>
      <c r="K12661" s="33" t="s">
        <v>22</v>
      </c>
    </row>
    <row r="12662" spans="1:11">
      <c r="A12662" s="30" t="s">
        <v>28696</v>
      </c>
      <c r="B12662" s="30" t="s">
        <v>28697</v>
      </c>
      <c r="C12662" s="30" t="s">
        <v>28698</v>
      </c>
      <c r="D12662" s="30" t="s">
        <v>17</v>
      </c>
      <c r="E12662" s="30" t="s">
        <v>18</v>
      </c>
      <c r="F12662" s="30" t="s">
        <v>19</v>
      </c>
      <c r="G12662" s="30" t="s">
        <v>50</v>
      </c>
      <c r="H12662" s="32">
        <v>106</v>
      </c>
      <c r="I12662" s="30" t="s">
        <v>51</v>
      </c>
      <c r="J12662" s="41">
        <v>44914</v>
      </c>
      <c r="K12662" s="30" t="s">
        <v>22</v>
      </c>
    </row>
    <row r="12663" spans="1:11">
      <c r="A12663" s="33" t="s">
        <v>28699</v>
      </c>
      <c r="B12663" s="33" t="s">
        <v>28700</v>
      </c>
      <c r="C12663" s="33" t="s">
        <v>7383</v>
      </c>
      <c r="D12663" s="33" t="s">
        <v>17</v>
      </c>
      <c r="E12663" s="33" t="s">
        <v>26</v>
      </c>
      <c r="F12663" s="33" t="s">
        <v>27</v>
      </c>
      <c r="G12663" s="33" t="s">
        <v>50</v>
      </c>
      <c r="H12663" s="35">
        <v>28</v>
      </c>
      <c r="I12663" s="33" t="s">
        <v>51</v>
      </c>
      <c r="J12663" s="42">
        <v>44662</v>
      </c>
      <c r="K12663" s="33" t="s">
        <v>22</v>
      </c>
    </row>
    <row r="12664" spans="1:11">
      <c r="A12664" s="30" t="s">
        <v>28701</v>
      </c>
      <c r="B12664" s="30" t="s">
        <v>28702</v>
      </c>
      <c r="C12664" s="30" t="s">
        <v>136</v>
      </c>
      <c r="D12664" s="30" t="s">
        <v>17</v>
      </c>
      <c r="E12664" s="30" t="s">
        <v>26</v>
      </c>
      <c r="F12664" s="30" t="s">
        <v>27</v>
      </c>
      <c r="G12664" s="30" t="s">
        <v>20</v>
      </c>
      <c r="H12664" s="32">
        <v>42</v>
      </c>
      <c r="I12664" s="30" t="s">
        <v>21</v>
      </c>
      <c r="J12664" s="41">
        <v>44838</v>
      </c>
      <c r="K12664" s="30" t="s">
        <v>22</v>
      </c>
    </row>
    <row r="12665" spans="1:11">
      <c r="A12665" s="33" t="s">
        <v>28703</v>
      </c>
      <c r="B12665" s="33" t="s">
        <v>28704</v>
      </c>
      <c r="C12665" s="33" t="s">
        <v>1598</v>
      </c>
      <c r="D12665" s="33" t="s">
        <v>17</v>
      </c>
      <c r="E12665" s="33" t="s">
        <v>18</v>
      </c>
      <c r="F12665" s="33" t="s">
        <v>19</v>
      </c>
      <c r="G12665" s="33" t="s">
        <v>20</v>
      </c>
      <c r="H12665" s="35">
        <v>610</v>
      </c>
      <c r="I12665" s="33" t="s">
        <v>21</v>
      </c>
      <c r="J12665" s="42">
        <v>44879</v>
      </c>
      <c r="K12665" s="33" t="s">
        <v>22</v>
      </c>
    </row>
    <row r="12666" spans="1:11">
      <c r="A12666" s="30" t="s">
        <v>28705</v>
      </c>
      <c r="B12666" s="30" t="s">
        <v>28706</v>
      </c>
      <c r="C12666" s="30" t="s">
        <v>190</v>
      </c>
      <c r="D12666" s="30" t="s">
        <v>17</v>
      </c>
      <c r="E12666" s="30" t="s">
        <v>18</v>
      </c>
      <c r="F12666" s="30" t="s">
        <v>19</v>
      </c>
      <c r="G12666" s="30" t="s">
        <v>20</v>
      </c>
      <c r="H12666" s="32">
        <v>645</v>
      </c>
      <c r="I12666" s="30" t="s">
        <v>21</v>
      </c>
      <c r="J12666" s="41">
        <v>44573</v>
      </c>
      <c r="K12666" s="30" t="s">
        <v>22</v>
      </c>
    </row>
    <row r="12667" spans="1:11">
      <c r="A12667" s="33" t="s">
        <v>28707</v>
      </c>
      <c r="B12667" s="33" t="s">
        <v>28708</v>
      </c>
      <c r="C12667" s="33" t="s">
        <v>399</v>
      </c>
      <c r="D12667" s="33" t="s">
        <v>17</v>
      </c>
      <c r="E12667" s="33" t="s">
        <v>26</v>
      </c>
      <c r="F12667" s="33" t="s">
        <v>27</v>
      </c>
      <c r="G12667" s="33" t="s">
        <v>20</v>
      </c>
      <c r="H12667" s="35">
        <v>15</v>
      </c>
      <c r="I12667" s="33" t="s">
        <v>21</v>
      </c>
      <c r="J12667" s="42">
        <v>44803</v>
      </c>
      <c r="K12667" s="33" t="s">
        <v>22</v>
      </c>
    </row>
    <row r="12668" spans="1:11">
      <c r="A12668" s="30" t="s">
        <v>28709</v>
      </c>
      <c r="B12668" s="30" t="s">
        <v>28710</v>
      </c>
      <c r="C12668" s="30" t="s">
        <v>57</v>
      </c>
      <c r="D12668" s="30" t="s">
        <v>17</v>
      </c>
      <c r="E12668" s="30" t="s">
        <v>26</v>
      </c>
      <c r="F12668" s="30" t="s">
        <v>27</v>
      </c>
      <c r="G12668" s="30" t="s">
        <v>20</v>
      </c>
      <c r="H12668" s="32">
        <v>43</v>
      </c>
      <c r="I12668" s="30" t="s">
        <v>21</v>
      </c>
      <c r="J12668" s="41">
        <v>44764</v>
      </c>
      <c r="K12668" s="30" t="s">
        <v>22</v>
      </c>
    </row>
    <row r="12669" spans="1:11">
      <c r="A12669" s="33" t="s">
        <v>28711</v>
      </c>
      <c r="B12669" s="33" t="s">
        <v>28712</v>
      </c>
      <c r="C12669" s="33" t="s">
        <v>1219</v>
      </c>
      <c r="D12669" s="33" t="s">
        <v>17</v>
      </c>
      <c r="E12669" s="33" t="s">
        <v>26</v>
      </c>
      <c r="F12669" s="33" t="s">
        <v>27</v>
      </c>
      <c r="G12669" s="33" t="s">
        <v>20</v>
      </c>
      <c r="H12669" s="35">
        <v>40</v>
      </c>
      <c r="I12669" s="33" t="s">
        <v>21</v>
      </c>
      <c r="J12669" s="42">
        <v>44586</v>
      </c>
      <c r="K12669" s="33" t="s">
        <v>22</v>
      </c>
    </row>
    <row r="12670" spans="1:11">
      <c r="A12670" s="30" t="s">
        <v>28713</v>
      </c>
      <c r="B12670" s="30" t="s">
        <v>28714</v>
      </c>
      <c r="C12670" s="30" t="s">
        <v>2150</v>
      </c>
      <c r="D12670" s="30" t="s">
        <v>17</v>
      </c>
      <c r="E12670" s="30" t="s">
        <v>26</v>
      </c>
      <c r="F12670" s="30" t="s">
        <v>27</v>
      </c>
      <c r="G12670" s="30" t="s">
        <v>106</v>
      </c>
      <c r="H12670" s="32">
        <v>7</v>
      </c>
      <c r="I12670" s="30" t="s">
        <v>21</v>
      </c>
      <c r="J12670" s="41">
        <v>44622</v>
      </c>
      <c r="K12670" s="30" t="s">
        <v>22</v>
      </c>
    </row>
    <row r="12671" spans="1:11">
      <c r="A12671" s="33" t="s">
        <v>28715</v>
      </c>
      <c r="B12671" s="33" t="s">
        <v>28716</v>
      </c>
      <c r="C12671" s="33" t="s">
        <v>570</v>
      </c>
      <c r="D12671" s="33" t="s">
        <v>17</v>
      </c>
      <c r="E12671" s="33" t="s">
        <v>18</v>
      </c>
      <c r="F12671" s="33" t="s">
        <v>19</v>
      </c>
      <c r="G12671" s="33" t="s">
        <v>140</v>
      </c>
      <c r="H12671" s="35">
        <v>632</v>
      </c>
      <c r="I12671" s="33" t="s">
        <v>51</v>
      </c>
      <c r="J12671" s="42">
        <v>44903</v>
      </c>
      <c r="K12671" s="33" t="s">
        <v>22</v>
      </c>
    </row>
    <row r="12672" spans="1:11">
      <c r="A12672" s="30" t="s">
        <v>28717</v>
      </c>
      <c r="B12672" s="30" t="s">
        <v>28718</v>
      </c>
      <c r="C12672" s="30" t="s">
        <v>157</v>
      </c>
      <c r="D12672" s="30" t="s">
        <v>17</v>
      </c>
      <c r="E12672" s="30" t="s">
        <v>18</v>
      </c>
      <c r="F12672" s="30" t="s">
        <v>19</v>
      </c>
      <c r="G12672" s="30" t="s">
        <v>140</v>
      </c>
      <c r="H12672" s="32">
        <v>120</v>
      </c>
      <c r="I12672" s="30" t="s">
        <v>51</v>
      </c>
      <c r="J12672" s="41">
        <v>44602</v>
      </c>
      <c r="K12672" s="30" t="s">
        <v>22</v>
      </c>
    </row>
    <row r="12673" spans="1:11">
      <c r="A12673" s="33" t="s">
        <v>28719</v>
      </c>
      <c r="B12673" s="33" t="s">
        <v>28720</v>
      </c>
      <c r="C12673" s="33" t="s">
        <v>102</v>
      </c>
      <c r="D12673" s="33" t="s">
        <v>17</v>
      </c>
      <c r="E12673" s="33" t="s">
        <v>31</v>
      </c>
      <c r="F12673" s="33" t="s">
        <v>32</v>
      </c>
      <c r="G12673" s="33" t="s">
        <v>20</v>
      </c>
      <c r="H12673" s="35">
        <v>37</v>
      </c>
      <c r="I12673" s="33" t="s">
        <v>21</v>
      </c>
      <c r="J12673" s="42">
        <v>44742</v>
      </c>
      <c r="K12673" s="33" t="s">
        <v>22</v>
      </c>
    </row>
    <row r="12674" spans="1:11">
      <c r="A12674" s="30" t="s">
        <v>28721</v>
      </c>
      <c r="B12674" s="30" t="s">
        <v>28722</v>
      </c>
      <c r="C12674" s="30" t="s">
        <v>7158</v>
      </c>
      <c r="D12674" s="30" t="s">
        <v>17</v>
      </c>
      <c r="E12674" s="30" t="s">
        <v>18</v>
      </c>
      <c r="F12674" s="30" t="s">
        <v>19</v>
      </c>
      <c r="G12674" s="30" t="s">
        <v>20</v>
      </c>
      <c r="H12674" s="32">
        <v>81</v>
      </c>
      <c r="I12674" s="30" t="s">
        <v>21</v>
      </c>
      <c r="J12674" s="41">
        <v>44811</v>
      </c>
      <c r="K12674" s="30" t="s">
        <v>22</v>
      </c>
    </row>
    <row r="12675" spans="1:11">
      <c r="A12675" s="33" t="s">
        <v>28723</v>
      </c>
      <c r="B12675" s="33" t="s">
        <v>28724</v>
      </c>
      <c r="C12675" s="33" t="s">
        <v>136</v>
      </c>
      <c r="D12675" s="33" t="s">
        <v>17</v>
      </c>
      <c r="E12675" s="33" t="s">
        <v>31</v>
      </c>
      <c r="F12675" s="33" t="s">
        <v>32</v>
      </c>
      <c r="G12675" s="33" t="s">
        <v>158</v>
      </c>
      <c r="H12675" s="35">
        <v>46</v>
      </c>
      <c r="I12675" s="33" t="s">
        <v>21</v>
      </c>
      <c r="J12675" s="42">
        <v>44824</v>
      </c>
      <c r="K12675" s="33" t="s">
        <v>22</v>
      </c>
    </row>
    <row r="12676" spans="1:11">
      <c r="A12676" s="30" t="s">
        <v>28725</v>
      </c>
      <c r="B12676" s="30" t="s">
        <v>28726</v>
      </c>
      <c r="C12676" s="30" t="s">
        <v>1520</v>
      </c>
      <c r="D12676" s="30" t="s">
        <v>17</v>
      </c>
      <c r="E12676" s="30" t="s">
        <v>45</v>
      </c>
      <c r="F12676" s="30" t="s">
        <v>46</v>
      </c>
      <c r="G12676" s="30" t="s">
        <v>106</v>
      </c>
      <c r="H12676" s="32">
        <v>1</v>
      </c>
      <c r="I12676" s="30" t="s">
        <v>21</v>
      </c>
      <c r="J12676" s="41">
        <v>44629</v>
      </c>
      <c r="K12676" s="30" t="s">
        <v>22</v>
      </c>
    </row>
    <row r="12677" spans="1:11">
      <c r="A12677" s="33" t="s">
        <v>28727</v>
      </c>
      <c r="B12677" s="33" t="s">
        <v>28728</v>
      </c>
      <c r="C12677" s="33" t="s">
        <v>6325</v>
      </c>
      <c r="D12677" s="33" t="s">
        <v>17</v>
      </c>
      <c r="E12677" s="33" t="s">
        <v>31</v>
      </c>
      <c r="F12677" s="33" t="s">
        <v>32</v>
      </c>
      <c r="G12677" s="33" t="s">
        <v>20</v>
      </c>
      <c r="H12677" s="35">
        <v>20</v>
      </c>
      <c r="I12677" s="33" t="s">
        <v>21</v>
      </c>
      <c r="J12677" s="42">
        <v>44766</v>
      </c>
      <c r="K12677" s="33" t="s">
        <v>22</v>
      </c>
    </row>
    <row r="12678" spans="1:11">
      <c r="A12678" s="30" t="s">
        <v>28729</v>
      </c>
      <c r="B12678" s="30" t="s">
        <v>28730</v>
      </c>
      <c r="C12678" s="30" t="s">
        <v>10325</v>
      </c>
      <c r="D12678" s="30" t="s">
        <v>17</v>
      </c>
      <c r="E12678" s="30" t="s">
        <v>67</v>
      </c>
      <c r="F12678" s="30" t="s">
        <v>68</v>
      </c>
      <c r="G12678" s="30" t="s">
        <v>20</v>
      </c>
      <c r="H12678" s="32">
        <v>123</v>
      </c>
      <c r="I12678" s="30" t="s">
        <v>21</v>
      </c>
      <c r="J12678" s="41">
        <v>44614</v>
      </c>
      <c r="K12678" s="30" t="s">
        <v>22</v>
      </c>
    </row>
    <row r="12679" spans="1:11">
      <c r="A12679" s="33" t="s">
        <v>28731</v>
      </c>
      <c r="B12679" s="33" t="s">
        <v>28732</v>
      </c>
      <c r="C12679" s="33" t="s">
        <v>1469</v>
      </c>
      <c r="D12679" s="33" t="s">
        <v>17</v>
      </c>
      <c r="E12679" s="33" t="s">
        <v>212</v>
      </c>
      <c r="F12679" s="33" t="s">
        <v>213</v>
      </c>
      <c r="G12679" s="33" t="s">
        <v>20</v>
      </c>
      <c r="H12679" s="35">
        <v>15</v>
      </c>
      <c r="I12679" s="33" t="s">
        <v>21</v>
      </c>
      <c r="J12679" s="42">
        <v>44790</v>
      </c>
      <c r="K12679" s="33" t="s">
        <v>22</v>
      </c>
    </row>
    <row r="12680" spans="1:11">
      <c r="A12680" s="30" t="s">
        <v>28733</v>
      </c>
      <c r="B12680" s="30" t="s">
        <v>28734</v>
      </c>
      <c r="C12680" s="30" t="s">
        <v>3013</v>
      </c>
      <c r="D12680" s="30" t="s">
        <v>17</v>
      </c>
      <c r="E12680" s="30" t="s">
        <v>26</v>
      </c>
      <c r="F12680" s="30" t="s">
        <v>27</v>
      </c>
      <c r="G12680" s="30" t="s">
        <v>20</v>
      </c>
      <c r="H12680" s="32">
        <v>73</v>
      </c>
      <c r="I12680" s="30" t="s">
        <v>21</v>
      </c>
      <c r="J12680" s="41">
        <v>44837</v>
      </c>
      <c r="K12680" s="30" t="s">
        <v>22</v>
      </c>
    </row>
    <row r="12681" spans="1:11">
      <c r="A12681" s="33" t="s">
        <v>28735</v>
      </c>
      <c r="B12681" s="33" t="s">
        <v>28736</v>
      </c>
      <c r="C12681" s="33" t="s">
        <v>1604</v>
      </c>
      <c r="D12681" s="33" t="s">
        <v>17</v>
      </c>
      <c r="E12681" s="33" t="s">
        <v>18</v>
      </c>
      <c r="F12681" s="33" t="s">
        <v>19</v>
      </c>
      <c r="G12681" s="33" t="s">
        <v>140</v>
      </c>
      <c r="H12681" s="35">
        <v>450</v>
      </c>
      <c r="I12681" s="33" t="s">
        <v>51</v>
      </c>
      <c r="J12681" s="42">
        <v>44806</v>
      </c>
      <c r="K12681" s="33" t="s">
        <v>22</v>
      </c>
    </row>
    <row r="12682" spans="1:11">
      <c r="A12682" s="30" t="s">
        <v>28737</v>
      </c>
      <c r="B12682" s="30" t="s">
        <v>28738</v>
      </c>
      <c r="C12682" s="30" t="s">
        <v>1974</v>
      </c>
      <c r="D12682" s="30" t="s">
        <v>17</v>
      </c>
      <c r="E12682" s="30" t="s">
        <v>26</v>
      </c>
      <c r="F12682" s="30" t="s">
        <v>27</v>
      </c>
      <c r="G12682" s="30" t="s">
        <v>106</v>
      </c>
      <c r="H12682" s="32">
        <v>37</v>
      </c>
      <c r="I12682" s="30" t="s">
        <v>21</v>
      </c>
      <c r="J12682" s="41">
        <v>44649</v>
      </c>
      <c r="K12682" s="30" t="s">
        <v>22</v>
      </c>
    </row>
    <row r="12683" spans="1:11">
      <c r="A12683" s="33" t="s">
        <v>28739</v>
      </c>
      <c r="B12683" s="33" t="s">
        <v>28740</v>
      </c>
      <c r="C12683" s="33" t="s">
        <v>647</v>
      </c>
      <c r="D12683" s="33" t="s">
        <v>17</v>
      </c>
      <c r="E12683" s="33" t="s">
        <v>26</v>
      </c>
      <c r="F12683" s="33" t="s">
        <v>27</v>
      </c>
      <c r="G12683" s="33" t="s">
        <v>20</v>
      </c>
      <c r="H12683" s="35">
        <v>20</v>
      </c>
      <c r="I12683" s="33" t="s">
        <v>21</v>
      </c>
      <c r="J12683" s="42">
        <v>44882</v>
      </c>
      <c r="K12683" s="33" t="s">
        <v>22</v>
      </c>
    </row>
    <row r="12684" spans="1:11">
      <c r="A12684" s="30" t="s">
        <v>28741</v>
      </c>
      <c r="B12684" s="30" t="s">
        <v>28742</v>
      </c>
      <c r="C12684" s="30" t="s">
        <v>382</v>
      </c>
      <c r="D12684" s="30" t="s">
        <v>17</v>
      </c>
      <c r="E12684" s="30" t="s">
        <v>26</v>
      </c>
      <c r="F12684" s="30" t="s">
        <v>27</v>
      </c>
      <c r="G12684" s="30" t="s">
        <v>20</v>
      </c>
      <c r="H12684" s="32">
        <v>64</v>
      </c>
      <c r="I12684" s="30" t="s">
        <v>21</v>
      </c>
      <c r="J12684" s="41">
        <v>44629</v>
      </c>
      <c r="K12684" s="30" t="s">
        <v>22</v>
      </c>
    </row>
    <row r="12685" spans="1:11">
      <c r="A12685" s="33" t="s">
        <v>28743</v>
      </c>
      <c r="B12685" s="33" t="s">
        <v>28744</v>
      </c>
      <c r="C12685" s="33" t="s">
        <v>6932</v>
      </c>
      <c r="D12685" s="33" t="s">
        <v>17</v>
      </c>
      <c r="E12685" s="33" t="s">
        <v>67</v>
      </c>
      <c r="F12685" s="33" t="s">
        <v>68</v>
      </c>
      <c r="G12685" s="33" t="s">
        <v>158</v>
      </c>
      <c r="H12685" s="35">
        <v>44</v>
      </c>
      <c r="I12685" s="33" t="s">
        <v>51</v>
      </c>
      <c r="J12685" s="42">
        <v>44708</v>
      </c>
      <c r="K12685" s="33" t="s">
        <v>22</v>
      </c>
    </row>
    <row r="12686" spans="1:11">
      <c r="A12686" s="30" t="s">
        <v>28745</v>
      </c>
      <c r="B12686" s="30" t="s">
        <v>28746</v>
      </c>
      <c r="C12686" s="30" t="s">
        <v>9057</v>
      </c>
      <c r="D12686" s="30" t="s">
        <v>17</v>
      </c>
      <c r="E12686" s="30" t="s">
        <v>26</v>
      </c>
      <c r="F12686" s="30" t="s">
        <v>27</v>
      </c>
      <c r="G12686" s="30" t="s">
        <v>20</v>
      </c>
      <c r="H12686" s="32">
        <v>49</v>
      </c>
      <c r="I12686" s="30" t="s">
        <v>21</v>
      </c>
      <c r="J12686" s="41">
        <v>44657</v>
      </c>
      <c r="K12686" s="30" t="s">
        <v>22</v>
      </c>
    </row>
    <row r="12687" spans="1:11">
      <c r="A12687" s="33" t="s">
        <v>28747</v>
      </c>
      <c r="B12687" s="33" t="s">
        <v>28748</v>
      </c>
      <c r="C12687" s="33" t="s">
        <v>1380</v>
      </c>
      <c r="D12687" s="33" t="s">
        <v>17</v>
      </c>
      <c r="E12687" s="33" t="s">
        <v>31</v>
      </c>
      <c r="F12687" s="33" t="s">
        <v>32</v>
      </c>
      <c r="G12687" s="33" t="s">
        <v>106</v>
      </c>
      <c r="H12687" s="35">
        <v>2</v>
      </c>
      <c r="I12687" s="33" t="s">
        <v>21</v>
      </c>
      <c r="J12687" s="42">
        <v>44735</v>
      </c>
      <c r="K12687" s="33" t="s">
        <v>22</v>
      </c>
    </row>
    <row r="12688" spans="1:11">
      <c r="A12688" s="30" t="s">
        <v>28749</v>
      </c>
      <c r="B12688" s="30" t="s">
        <v>28750</v>
      </c>
      <c r="C12688" s="30" t="s">
        <v>6827</v>
      </c>
      <c r="D12688" s="30" t="s">
        <v>17</v>
      </c>
      <c r="E12688" s="30" t="s">
        <v>26</v>
      </c>
      <c r="F12688" s="30" t="s">
        <v>27</v>
      </c>
      <c r="G12688" s="30" t="s">
        <v>20</v>
      </c>
      <c r="H12688" s="32">
        <v>6</v>
      </c>
      <c r="I12688" s="30" t="s">
        <v>21</v>
      </c>
      <c r="J12688" s="41">
        <v>44742</v>
      </c>
      <c r="K12688" s="30" t="s">
        <v>22</v>
      </c>
    </row>
    <row r="12689" spans="1:11">
      <c r="A12689" s="33" t="s">
        <v>28751</v>
      </c>
      <c r="B12689" s="33" t="s">
        <v>28752</v>
      </c>
      <c r="C12689" s="33" t="s">
        <v>1598</v>
      </c>
      <c r="D12689" s="33" t="s">
        <v>17</v>
      </c>
      <c r="E12689" s="33" t="s">
        <v>26</v>
      </c>
      <c r="F12689" s="33" t="s">
        <v>27</v>
      </c>
      <c r="G12689" s="33" t="s">
        <v>20</v>
      </c>
      <c r="H12689" s="35">
        <v>48</v>
      </c>
      <c r="I12689" s="33" t="s">
        <v>21</v>
      </c>
      <c r="J12689" s="42">
        <v>44600</v>
      </c>
      <c r="K12689" s="33" t="s">
        <v>22</v>
      </c>
    </row>
    <row r="12690" spans="1:11">
      <c r="A12690" s="30" t="s">
        <v>28753</v>
      </c>
      <c r="B12690" s="30" t="s">
        <v>28754</v>
      </c>
      <c r="C12690" s="30" t="s">
        <v>437</v>
      </c>
      <c r="D12690" s="30" t="s">
        <v>17</v>
      </c>
      <c r="E12690" s="30" t="s">
        <v>212</v>
      </c>
      <c r="F12690" s="30" t="s">
        <v>213</v>
      </c>
      <c r="G12690" s="30" t="s">
        <v>20</v>
      </c>
      <c r="H12690" s="32">
        <v>371</v>
      </c>
      <c r="I12690" s="30" t="s">
        <v>21</v>
      </c>
      <c r="J12690" s="41">
        <v>44777</v>
      </c>
      <c r="K12690" s="30" t="s">
        <v>22</v>
      </c>
    </row>
    <row r="12691" spans="1:11">
      <c r="A12691" s="33" t="s">
        <v>28755</v>
      </c>
      <c r="B12691" s="33" t="s">
        <v>28756</v>
      </c>
      <c r="C12691" s="33" t="s">
        <v>109</v>
      </c>
      <c r="D12691" s="33" t="s">
        <v>17</v>
      </c>
      <c r="E12691" s="33" t="s">
        <v>31</v>
      </c>
      <c r="F12691" s="33" t="s">
        <v>32</v>
      </c>
      <c r="G12691" s="33" t="s">
        <v>106</v>
      </c>
      <c r="H12691" s="35">
        <v>46</v>
      </c>
      <c r="I12691" s="33" t="s">
        <v>21</v>
      </c>
      <c r="J12691" s="42">
        <v>44875</v>
      </c>
      <c r="K12691" s="33" t="s">
        <v>22</v>
      </c>
    </row>
    <row r="12692" spans="1:11">
      <c r="A12692" s="30" t="s">
        <v>28757</v>
      </c>
      <c r="B12692" s="30" t="s">
        <v>28758</v>
      </c>
      <c r="C12692" s="30" t="s">
        <v>28759</v>
      </c>
      <c r="D12692" s="30" t="s">
        <v>17</v>
      </c>
      <c r="E12692" s="30" t="s">
        <v>26</v>
      </c>
      <c r="F12692" s="30" t="s">
        <v>27</v>
      </c>
      <c r="G12692" s="30" t="s">
        <v>20</v>
      </c>
      <c r="H12692" s="32">
        <v>97</v>
      </c>
      <c r="I12692" s="30" t="s">
        <v>21</v>
      </c>
      <c r="J12692" s="41">
        <v>44601</v>
      </c>
      <c r="K12692" s="30" t="s">
        <v>22</v>
      </c>
    </row>
    <row r="12693" spans="1:11">
      <c r="A12693" s="33" t="s">
        <v>28760</v>
      </c>
      <c r="B12693" s="33" t="s">
        <v>28761</v>
      </c>
      <c r="C12693" s="33" t="s">
        <v>28762</v>
      </c>
      <c r="D12693" s="33" t="s">
        <v>17</v>
      </c>
      <c r="E12693" s="33" t="s">
        <v>212</v>
      </c>
      <c r="F12693" s="33" t="s">
        <v>213</v>
      </c>
      <c r="G12693" s="33" t="s">
        <v>50</v>
      </c>
      <c r="H12693" s="35">
        <v>12</v>
      </c>
      <c r="I12693" s="33" t="s">
        <v>51</v>
      </c>
      <c r="J12693" s="42">
        <v>44805</v>
      </c>
      <c r="K12693" s="33" t="s">
        <v>22</v>
      </c>
    </row>
    <row r="12694" spans="1:11">
      <c r="A12694" s="30" t="s">
        <v>28763</v>
      </c>
      <c r="B12694" s="30" t="s">
        <v>28764</v>
      </c>
      <c r="C12694" s="30" t="s">
        <v>28765</v>
      </c>
      <c r="D12694" s="30" t="s">
        <v>17</v>
      </c>
      <c r="E12694" s="30" t="s">
        <v>26</v>
      </c>
      <c r="F12694" s="30" t="s">
        <v>27</v>
      </c>
      <c r="G12694" s="30" t="s">
        <v>50</v>
      </c>
      <c r="H12694" s="32">
        <v>90</v>
      </c>
      <c r="I12694" s="30" t="s">
        <v>51</v>
      </c>
      <c r="J12694" s="41">
        <v>44854</v>
      </c>
      <c r="K12694" s="30" t="s">
        <v>22</v>
      </c>
    </row>
    <row r="12695" spans="1:11">
      <c r="A12695" s="33" t="s">
        <v>28766</v>
      </c>
      <c r="B12695" s="33" t="s">
        <v>28767</v>
      </c>
      <c r="C12695" s="33" t="s">
        <v>28768</v>
      </c>
      <c r="D12695" s="33" t="s">
        <v>17</v>
      </c>
      <c r="E12695" s="33" t="s">
        <v>26</v>
      </c>
      <c r="F12695" s="33" t="s">
        <v>27</v>
      </c>
      <c r="G12695" s="33" t="s">
        <v>50</v>
      </c>
      <c r="H12695" s="35">
        <v>15</v>
      </c>
      <c r="I12695" s="33" t="s">
        <v>51</v>
      </c>
      <c r="J12695" s="42">
        <v>44735</v>
      </c>
      <c r="K12695" s="33" t="s">
        <v>22</v>
      </c>
    </row>
    <row r="12696" spans="1:11">
      <c r="A12696" s="30" t="s">
        <v>28769</v>
      </c>
      <c r="B12696" s="30" t="s">
        <v>28770</v>
      </c>
      <c r="C12696" s="30" t="s">
        <v>96</v>
      </c>
      <c r="D12696" s="30" t="s">
        <v>17</v>
      </c>
      <c r="E12696" s="30" t="s">
        <v>31</v>
      </c>
      <c r="F12696" s="30" t="s">
        <v>32</v>
      </c>
      <c r="G12696" s="30" t="s">
        <v>20</v>
      </c>
      <c r="H12696" s="32">
        <v>263</v>
      </c>
      <c r="I12696" s="30" t="s">
        <v>21</v>
      </c>
      <c r="J12696" s="41">
        <v>44830</v>
      </c>
      <c r="K12696" s="30" t="s">
        <v>22</v>
      </c>
    </row>
    <row r="12697" spans="1:11">
      <c r="A12697" s="33" t="s">
        <v>28771</v>
      </c>
      <c r="B12697" s="33" t="s">
        <v>28772</v>
      </c>
      <c r="C12697" s="33" t="s">
        <v>3114</v>
      </c>
      <c r="D12697" s="33" t="s">
        <v>17</v>
      </c>
      <c r="E12697" s="33" t="s">
        <v>26</v>
      </c>
      <c r="F12697" s="33" t="s">
        <v>27</v>
      </c>
      <c r="G12697" s="33" t="s">
        <v>140</v>
      </c>
      <c r="H12697" s="35">
        <v>100</v>
      </c>
      <c r="I12697" s="33" t="s">
        <v>51</v>
      </c>
      <c r="J12697" s="42">
        <v>44659</v>
      </c>
      <c r="K12697" s="33" t="s">
        <v>22</v>
      </c>
    </row>
    <row r="12698" spans="1:11">
      <c r="A12698" s="30" t="s">
        <v>28773</v>
      </c>
      <c r="B12698" s="30" t="s">
        <v>28774</v>
      </c>
      <c r="C12698" s="30" t="s">
        <v>109</v>
      </c>
      <c r="D12698" s="30" t="s">
        <v>17</v>
      </c>
      <c r="E12698" s="30" t="s">
        <v>18</v>
      </c>
      <c r="F12698" s="30" t="s">
        <v>19</v>
      </c>
      <c r="G12698" s="30" t="s">
        <v>158</v>
      </c>
      <c r="H12698" s="32">
        <v>95</v>
      </c>
      <c r="I12698" s="30" t="s">
        <v>21</v>
      </c>
      <c r="J12698" s="41">
        <v>44727</v>
      </c>
      <c r="K12698" s="30" t="s">
        <v>22</v>
      </c>
    </row>
    <row r="12699" spans="1:11">
      <c r="A12699" s="33" t="s">
        <v>28775</v>
      </c>
      <c r="B12699" s="33" t="s">
        <v>28776</v>
      </c>
      <c r="C12699" s="33" t="s">
        <v>28777</v>
      </c>
      <c r="D12699" s="33" t="s">
        <v>17</v>
      </c>
      <c r="E12699" s="33" t="s">
        <v>31</v>
      </c>
      <c r="F12699" s="33" t="s">
        <v>32</v>
      </c>
      <c r="G12699" s="33" t="s">
        <v>20</v>
      </c>
      <c r="H12699" s="35">
        <v>9</v>
      </c>
      <c r="I12699" s="33" t="s">
        <v>21</v>
      </c>
      <c r="J12699" s="42">
        <v>44817</v>
      </c>
      <c r="K12699" s="33" t="s">
        <v>22</v>
      </c>
    </row>
    <row r="12700" spans="1:11">
      <c r="A12700" s="30" t="s">
        <v>28778</v>
      </c>
      <c r="B12700" s="30" t="s">
        <v>28779</v>
      </c>
      <c r="C12700" s="30" t="s">
        <v>2168</v>
      </c>
      <c r="D12700" s="30" t="s">
        <v>17</v>
      </c>
      <c r="E12700" s="30" t="s">
        <v>18</v>
      </c>
      <c r="F12700" s="30" t="s">
        <v>19</v>
      </c>
      <c r="G12700" s="30" t="s">
        <v>106</v>
      </c>
      <c r="H12700" s="32">
        <v>1</v>
      </c>
      <c r="I12700" s="30" t="s">
        <v>21</v>
      </c>
      <c r="J12700" s="41">
        <v>44602</v>
      </c>
      <c r="K12700" s="30" t="s">
        <v>22</v>
      </c>
    </row>
    <row r="12701" spans="1:11">
      <c r="A12701" s="33" t="s">
        <v>28780</v>
      </c>
      <c r="B12701" s="33" t="s">
        <v>28781</v>
      </c>
      <c r="C12701" s="33" t="s">
        <v>2472</v>
      </c>
      <c r="D12701" s="33" t="s">
        <v>17</v>
      </c>
      <c r="E12701" s="33" t="s">
        <v>18</v>
      </c>
      <c r="F12701" s="33" t="s">
        <v>19</v>
      </c>
      <c r="G12701" s="33" t="s">
        <v>20</v>
      </c>
      <c r="H12701" s="35">
        <v>22502</v>
      </c>
      <c r="I12701" s="33" t="s">
        <v>21</v>
      </c>
      <c r="J12701" s="42">
        <v>44818</v>
      </c>
      <c r="K12701" s="33" t="s">
        <v>22</v>
      </c>
    </row>
    <row r="12702" spans="1:11">
      <c r="A12702" s="30" t="s">
        <v>28782</v>
      </c>
      <c r="B12702" s="30" t="s">
        <v>28783</v>
      </c>
      <c r="C12702" s="30" t="s">
        <v>93</v>
      </c>
      <c r="D12702" s="30" t="s">
        <v>17</v>
      </c>
      <c r="E12702" s="30" t="s">
        <v>26</v>
      </c>
      <c r="F12702" s="30" t="s">
        <v>27</v>
      </c>
      <c r="G12702" s="30" t="s">
        <v>20</v>
      </c>
      <c r="H12702" s="32">
        <v>198</v>
      </c>
      <c r="I12702" s="30" t="s">
        <v>21</v>
      </c>
      <c r="J12702" s="41">
        <v>44832</v>
      </c>
      <c r="K12702" s="30" t="s">
        <v>22</v>
      </c>
    </row>
    <row r="12703" spans="1:11">
      <c r="A12703" s="33" t="s">
        <v>28784</v>
      </c>
      <c r="B12703" s="33" t="s">
        <v>28785</v>
      </c>
      <c r="C12703" s="33" t="s">
        <v>2807</v>
      </c>
      <c r="D12703" s="33" t="s">
        <v>17</v>
      </c>
      <c r="E12703" s="33" t="s">
        <v>26</v>
      </c>
      <c r="F12703" s="33" t="s">
        <v>27</v>
      </c>
      <c r="G12703" s="33" t="s">
        <v>20</v>
      </c>
      <c r="H12703" s="35">
        <v>132</v>
      </c>
      <c r="I12703" s="33" t="s">
        <v>21</v>
      </c>
      <c r="J12703" s="42">
        <v>44655</v>
      </c>
      <c r="K12703" s="33" t="s">
        <v>22</v>
      </c>
    </row>
    <row r="12704" spans="1:11">
      <c r="A12704" s="30" t="s">
        <v>28786</v>
      </c>
      <c r="B12704" s="30" t="s">
        <v>28787</v>
      </c>
      <c r="C12704" s="30" t="s">
        <v>96</v>
      </c>
      <c r="D12704" s="30" t="s">
        <v>17</v>
      </c>
      <c r="E12704" s="30" t="s">
        <v>31</v>
      </c>
      <c r="F12704" s="30" t="s">
        <v>32</v>
      </c>
      <c r="G12704" s="30" t="s">
        <v>158</v>
      </c>
      <c r="H12704" s="32">
        <v>107</v>
      </c>
      <c r="I12704" s="30" t="s">
        <v>21</v>
      </c>
      <c r="J12704" s="41">
        <v>44753</v>
      </c>
      <c r="K12704" s="30" t="s">
        <v>22</v>
      </c>
    </row>
    <row r="12705" spans="1:11">
      <c r="A12705" s="33" t="s">
        <v>28788</v>
      </c>
      <c r="B12705" s="33" t="s">
        <v>28789</v>
      </c>
      <c r="C12705" s="33" t="s">
        <v>9835</v>
      </c>
      <c r="D12705" s="33" t="s">
        <v>17</v>
      </c>
      <c r="E12705" s="33" t="s">
        <v>31</v>
      </c>
      <c r="F12705" s="33" t="s">
        <v>32</v>
      </c>
      <c r="G12705" s="33" t="s">
        <v>20</v>
      </c>
      <c r="H12705" s="35">
        <v>33</v>
      </c>
      <c r="I12705" s="33" t="s">
        <v>21</v>
      </c>
      <c r="J12705" s="42">
        <v>44750</v>
      </c>
      <c r="K12705" s="33" t="s">
        <v>22</v>
      </c>
    </row>
    <row r="12706" spans="1:11">
      <c r="A12706" s="30" t="s">
        <v>28790</v>
      </c>
      <c r="B12706" s="30" t="s">
        <v>28791</v>
      </c>
      <c r="C12706" s="30" t="s">
        <v>8262</v>
      </c>
      <c r="D12706" s="30" t="s">
        <v>17</v>
      </c>
      <c r="E12706" s="30" t="s">
        <v>212</v>
      </c>
      <c r="F12706" s="30" t="s">
        <v>213</v>
      </c>
      <c r="G12706" s="30" t="s">
        <v>50</v>
      </c>
      <c r="H12706" s="32">
        <v>120</v>
      </c>
      <c r="I12706" s="30" t="s">
        <v>51</v>
      </c>
      <c r="J12706" s="41">
        <v>44809</v>
      </c>
      <c r="K12706" s="30" t="s">
        <v>22</v>
      </c>
    </row>
    <row r="12707" spans="1:11">
      <c r="A12707" s="33" t="s">
        <v>28792</v>
      </c>
      <c r="B12707" s="33" t="s">
        <v>28793</v>
      </c>
      <c r="C12707" s="33" t="s">
        <v>1278</v>
      </c>
      <c r="D12707" s="33" t="s">
        <v>17</v>
      </c>
      <c r="E12707" s="33" t="s">
        <v>45</v>
      </c>
      <c r="F12707" s="33" t="s">
        <v>46</v>
      </c>
      <c r="G12707" s="33" t="s">
        <v>20</v>
      </c>
      <c r="H12707" s="35">
        <v>178</v>
      </c>
      <c r="I12707" s="33" t="s">
        <v>21</v>
      </c>
      <c r="J12707" s="42">
        <v>44690</v>
      </c>
      <c r="K12707" s="33" t="s">
        <v>22</v>
      </c>
    </row>
    <row r="12708" spans="1:11">
      <c r="A12708" s="30" t="s">
        <v>28794</v>
      </c>
      <c r="B12708" s="30" t="s">
        <v>28795</v>
      </c>
      <c r="C12708" s="30" t="s">
        <v>15969</v>
      </c>
      <c r="D12708" s="30" t="s">
        <v>17</v>
      </c>
      <c r="E12708" s="30" t="s">
        <v>31</v>
      </c>
      <c r="F12708" s="30" t="s">
        <v>32</v>
      </c>
      <c r="G12708" s="30" t="s">
        <v>20</v>
      </c>
      <c r="H12708" s="32">
        <v>53</v>
      </c>
      <c r="I12708" s="30" t="s">
        <v>21</v>
      </c>
      <c r="J12708" s="41">
        <v>44732</v>
      </c>
      <c r="K12708" s="30" t="s">
        <v>22</v>
      </c>
    </row>
    <row r="12709" spans="1:11">
      <c r="A12709" s="33" t="s">
        <v>28796</v>
      </c>
      <c r="B12709" s="33" t="s">
        <v>28797</v>
      </c>
      <c r="C12709" s="33" t="s">
        <v>1504</v>
      </c>
      <c r="D12709" s="33" t="s">
        <v>17</v>
      </c>
      <c r="E12709" s="33" t="s">
        <v>31</v>
      </c>
      <c r="F12709" s="33" t="s">
        <v>32</v>
      </c>
      <c r="G12709" s="33" t="s">
        <v>50</v>
      </c>
      <c r="H12709" s="35">
        <v>36</v>
      </c>
      <c r="I12709" s="33" t="s">
        <v>51</v>
      </c>
      <c r="J12709" s="42">
        <v>44752</v>
      </c>
      <c r="K12709" s="33" t="s">
        <v>22</v>
      </c>
    </row>
    <row r="12710" spans="1:11">
      <c r="A12710" s="30" t="s">
        <v>28798</v>
      </c>
      <c r="B12710" s="30" t="s">
        <v>28799</v>
      </c>
      <c r="C12710" s="30" t="s">
        <v>222</v>
      </c>
      <c r="D12710" s="30" t="s">
        <v>17</v>
      </c>
      <c r="E12710" s="30" t="s">
        <v>212</v>
      </c>
      <c r="F12710" s="30" t="s">
        <v>213</v>
      </c>
      <c r="G12710" s="30" t="s">
        <v>20</v>
      </c>
      <c r="H12710" s="32">
        <v>140</v>
      </c>
      <c r="I12710" s="30" t="s">
        <v>21</v>
      </c>
      <c r="J12710" s="41">
        <v>44783</v>
      </c>
      <c r="K12710" s="30" t="s">
        <v>22</v>
      </c>
    </row>
    <row r="12711" spans="1:11">
      <c r="A12711" s="33" t="s">
        <v>28800</v>
      </c>
      <c r="B12711" s="33" t="s">
        <v>28801</v>
      </c>
      <c r="C12711" s="33" t="s">
        <v>178</v>
      </c>
      <c r="D12711" s="33" t="s">
        <v>17</v>
      </c>
      <c r="E12711" s="33" t="s">
        <v>26</v>
      </c>
      <c r="F12711" s="33" t="s">
        <v>27</v>
      </c>
      <c r="G12711" s="33" t="s">
        <v>20</v>
      </c>
      <c r="H12711" s="35">
        <v>30</v>
      </c>
      <c r="I12711" s="33" t="s">
        <v>21</v>
      </c>
      <c r="J12711" s="42">
        <v>44646</v>
      </c>
      <c r="K12711" s="33" t="s">
        <v>22</v>
      </c>
    </row>
    <row r="12712" spans="1:11">
      <c r="A12712" s="30" t="s">
        <v>28802</v>
      </c>
      <c r="B12712" s="30" t="s">
        <v>28803</v>
      </c>
      <c r="C12712" s="30" t="s">
        <v>96</v>
      </c>
      <c r="D12712" s="30" t="s">
        <v>17</v>
      </c>
      <c r="E12712" s="30" t="s">
        <v>26</v>
      </c>
      <c r="F12712" s="30" t="s">
        <v>27</v>
      </c>
      <c r="G12712" s="30" t="s">
        <v>20</v>
      </c>
      <c r="H12712" s="32">
        <v>12</v>
      </c>
      <c r="I12712" s="30" t="s">
        <v>21</v>
      </c>
      <c r="J12712" s="41">
        <v>44832</v>
      </c>
      <c r="K12712" s="30" t="s">
        <v>22</v>
      </c>
    </row>
    <row r="12713" spans="1:11">
      <c r="A12713" s="33" t="s">
        <v>28804</v>
      </c>
      <c r="B12713" s="33" t="s">
        <v>28805</v>
      </c>
      <c r="C12713" s="33" t="s">
        <v>1498</v>
      </c>
      <c r="D12713" s="33" t="s">
        <v>17</v>
      </c>
      <c r="E12713" s="33" t="s">
        <v>18</v>
      </c>
      <c r="F12713" s="33" t="s">
        <v>19</v>
      </c>
      <c r="G12713" s="33" t="s">
        <v>20</v>
      </c>
      <c r="H12713" s="35">
        <v>890</v>
      </c>
      <c r="I12713" s="33" t="s">
        <v>21</v>
      </c>
      <c r="J12713" s="42">
        <v>44750</v>
      </c>
      <c r="K12713" s="33" t="s">
        <v>22</v>
      </c>
    </row>
    <row r="12714" spans="1:11">
      <c r="A12714" s="30" t="s">
        <v>28806</v>
      </c>
      <c r="B12714" s="30" t="s">
        <v>28807</v>
      </c>
      <c r="C12714" s="30" t="s">
        <v>28808</v>
      </c>
      <c r="D12714" s="30" t="s">
        <v>17</v>
      </c>
      <c r="E12714" s="30" t="s">
        <v>31</v>
      </c>
      <c r="F12714" s="30" t="s">
        <v>32</v>
      </c>
      <c r="G12714" s="30" t="s">
        <v>20</v>
      </c>
      <c r="H12714" s="32">
        <v>92</v>
      </c>
      <c r="I12714" s="30" t="s">
        <v>21</v>
      </c>
      <c r="J12714" s="41">
        <v>44593</v>
      </c>
      <c r="K12714" s="30" t="s">
        <v>22</v>
      </c>
    </row>
    <row r="12715" spans="1:11">
      <c r="A12715" s="33" t="s">
        <v>28809</v>
      </c>
      <c r="B12715" s="33" t="s">
        <v>28810</v>
      </c>
      <c r="C12715" s="33" t="s">
        <v>28811</v>
      </c>
      <c r="D12715" s="33" t="s">
        <v>17</v>
      </c>
      <c r="E12715" s="33" t="s">
        <v>18</v>
      </c>
      <c r="F12715" s="33" t="s">
        <v>19</v>
      </c>
      <c r="G12715" s="33" t="s">
        <v>69</v>
      </c>
      <c r="H12715" s="35">
        <v>45</v>
      </c>
      <c r="I12715" s="33" t="s">
        <v>51</v>
      </c>
      <c r="J12715" s="42">
        <v>44728</v>
      </c>
      <c r="K12715" s="33" t="s">
        <v>22</v>
      </c>
    </row>
    <row r="12716" spans="1:11">
      <c r="A12716" s="30" t="s">
        <v>28812</v>
      </c>
      <c r="B12716" s="30" t="s">
        <v>28813</v>
      </c>
      <c r="C12716" s="30" t="s">
        <v>1383</v>
      </c>
      <c r="D12716" s="30" t="s">
        <v>17</v>
      </c>
      <c r="E12716" s="30" t="s">
        <v>26</v>
      </c>
      <c r="F12716" s="30" t="s">
        <v>27</v>
      </c>
      <c r="G12716" s="30" t="s">
        <v>112</v>
      </c>
      <c r="H12716" s="32">
        <v>0</v>
      </c>
      <c r="I12716" s="30" t="s">
        <v>21</v>
      </c>
      <c r="J12716" s="41">
        <v>44593</v>
      </c>
      <c r="K12716" s="30" t="s">
        <v>22</v>
      </c>
    </row>
    <row r="12717" spans="1:11">
      <c r="A12717" s="33" t="s">
        <v>28814</v>
      </c>
      <c r="B12717" s="33" t="s">
        <v>28815</v>
      </c>
      <c r="C12717" s="33" t="s">
        <v>2472</v>
      </c>
      <c r="D12717" s="33" t="s">
        <v>17</v>
      </c>
      <c r="E12717" s="33" t="s">
        <v>45</v>
      </c>
      <c r="F12717" s="33" t="s">
        <v>46</v>
      </c>
      <c r="G12717" s="33" t="s">
        <v>20</v>
      </c>
      <c r="H12717" s="35">
        <v>3548</v>
      </c>
      <c r="I12717" s="33" t="s">
        <v>21</v>
      </c>
      <c r="J12717" s="42">
        <v>44608</v>
      </c>
      <c r="K12717" s="33" t="s">
        <v>22</v>
      </c>
    </row>
    <row r="12718" spans="1:11">
      <c r="A12718" s="30" t="s">
        <v>28816</v>
      </c>
      <c r="B12718" s="30" t="s">
        <v>28817</v>
      </c>
      <c r="C12718" s="30" t="s">
        <v>549</v>
      </c>
      <c r="D12718" s="30" t="s">
        <v>17</v>
      </c>
      <c r="E12718" s="30" t="s">
        <v>26</v>
      </c>
      <c r="F12718" s="30" t="s">
        <v>27</v>
      </c>
      <c r="G12718" s="30" t="s">
        <v>20</v>
      </c>
      <c r="H12718" s="32">
        <v>121</v>
      </c>
      <c r="I12718" s="30" t="s">
        <v>21</v>
      </c>
      <c r="J12718" s="41">
        <v>44637</v>
      </c>
      <c r="K12718" s="30" t="s">
        <v>22</v>
      </c>
    </row>
    <row r="12719" spans="1:11">
      <c r="A12719" s="33" t="s">
        <v>28818</v>
      </c>
      <c r="B12719" s="33" t="s">
        <v>28819</v>
      </c>
      <c r="C12719" s="33" t="s">
        <v>102</v>
      </c>
      <c r="D12719" s="33" t="s">
        <v>17</v>
      </c>
      <c r="E12719" s="33" t="s">
        <v>18</v>
      </c>
      <c r="F12719" s="33" t="s">
        <v>19</v>
      </c>
      <c r="G12719" s="33" t="s">
        <v>158</v>
      </c>
      <c r="H12719" s="35">
        <v>418</v>
      </c>
      <c r="I12719" s="33" t="s">
        <v>21</v>
      </c>
      <c r="J12719" s="42">
        <v>44778</v>
      </c>
      <c r="K12719" s="33" t="s">
        <v>22</v>
      </c>
    </row>
    <row r="12720" spans="1:11">
      <c r="A12720" s="30" t="s">
        <v>28820</v>
      </c>
      <c r="B12720" s="30" t="s">
        <v>28821</v>
      </c>
      <c r="C12720" s="30" t="s">
        <v>12712</v>
      </c>
      <c r="D12720" s="30" t="s">
        <v>17</v>
      </c>
      <c r="E12720" s="30" t="s">
        <v>31</v>
      </c>
      <c r="F12720" s="30" t="s">
        <v>32</v>
      </c>
      <c r="G12720" s="30" t="s">
        <v>112</v>
      </c>
      <c r="H12720" s="32">
        <v>0</v>
      </c>
      <c r="I12720" s="30" t="s">
        <v>21</v>
      </c>
      <c r="J12720" s="41">
        <v>44768</v>
      </c>
      <c r="K12720" s="30" t="s">
        <v>22</v>
      </c>
    </row>
    <row r="12721" spans="1:11">
      <c r="A12721" s="33" t="s">
        <v>28822</v>
      </c>
      <c r="B12721" s="33" t="s">
        <v>28823</v>
      </c>
      <c r="C12721" s="33" t="s">
        <v>75</v>
      </c>
      <c r="D12721" s="33" t="s">
        <v>17</v>
      </c>
      <c r="E12721" s="33" t="s">
        <v>26</v>
      </c>
      <c r="F12721" s="33" t="s">
        <v>27</v>
      </c>
      <c r="G12721" s="33" t="s">
        <v>20</v>
      </c>
      <c r="H12721" s="35">
        <v>45</v>
      </c>
      <c r="I12721" s="33" t="s">
        <v>21</v>
      </c>
      <c r="J12721" s="42">
        <v>44666</v>
      </c>
      <c r="K12721" s="33" t="s">
        <v>22</v>
      </c>
    </row>
    <row r="12722" spans="1:11">
      <c r="A12722" s="30" t="s">
        <v>28824</v>
      </c>
      <c r="B12722" s="30" t="s">
        <v>28825</v>
      </c>
      <c r="C12722" s="30" t="s">
        <v>4568</v>
      </c>
      <c r="D12722" s="30" t="s">
        <v>17</v>
      </c>
      <c r="E12722" s="30" t="s">
        <v>45</v>
      </c>
      <c r="F12722" s="30" t="s">
        <v>46</v>
      </c>
      <c r="G12722" s="30" t="s">
        <v>106</v>
      </c>
      <c r="H12722" s="32">
        <v>97</v>
      </c>
      <c r="I12722" s="30" t="s">
        <v>21</v>
      </c>
      <c r="J12722" s="41">
        <v>44715</v>
      </c>
      <c r="K12722" s="30" t="s">
        <v>22</v>
      </c>
    </row>
    <row r="12723" spans="1:11">
      <c r="A12723" s="33" t="s">
        <v>28826</v>
      </c>
      <c r="B12723" s="33" t="s">
        <v>28827</v>
      </c>
      <c r="C12723" s="33" t="s">
        <v>25672</v>
      </c>
      <c r="D12723" s="33" t="s">
        <v>17</v>
      </c>
      <c r="E12723" s="33" t="s">
        <v>18</v>
      </c>
      <c r="F12723" s="33" t="s">
        <v>19</v>
      </c>
      <c r="G12723" s="33" t="s">
        <v>20</v>
      </c>
      <c r="H12723" s="35">
        <v>469</v>
      </c>
      <c r="I12723" s="33" t="s">
        <v>21</v>
      </c>
      <c r="J12723" s="42">
        <v>44799</v>
      </c>
      <c r="K12723" s="33" t="s">
        <v>22</v>
      </c>
    </row>
    <row r="12724" spans="1:11">
      <c r="A12724" s="30" t="s">
        <v>28828</v>
      </c>
      <c r="B12724" s="30" t="s">
        <v>28829</v>
      </c>
      <c r="C12724" s="30" t="s">
        <v>4260</v>
      </c>
      <c r="D12724" s="30" t="s">
        <v>17</v>
      </c>
      <c r="E12724" s="30" t="s">
        <v>26</v>
      </c>
      <c r="F12724" s="30" t="s">
        <v>27</v>
      </c>
      <c r="G12724" s="30" t="s">
        <v>20</v>
      </c>
      <c r="H12724" s="32">
        <v>42</v>
      </c>
      <c r="I12724" s="30" t="s">
        <v>21</v>
      </c>
      <c r="J12724" s="41">
        <v>44858</v>
      </c>
      <c r="K12724" s="30" t="s">
        <v>22</v>
      </c>
    </row>
    <row r="12725" spans="1:11">
      <c r="A12725" s="33" t="s">
        <v>28830</v>
      </c>
      <c r="B12725" s="33" t="s">
        <v>28831</v>
      </c>
      <c r="C12725" s="33" t="s">
        <v>318</v>
      </c>
      <c r="D12725" s="33" t="s">
        <v>17</v>
      </c>
      <c r="E12725" s="33" t="s">
        <v>26</v>
      </c>
      <c r="F12725" s="33" t="s">
        <v>27</v>
      </c>
      <c r="G12725" s="33" t="s">
        <v>106</v>
      </c>
      <c r="H12725" s="35">
        <v>7</v>
      </c>
      <c r="I12725" s="33" t="s">
        <v>21</v>
      </c>
      <c r="J12725" s="42">
        <v>44879</v>
      </c>
      <c r="K12725" s="33" t="s">
        <v>22</v>
      </c>
    </row>
    <row r="12726" spans="1:11">
      <c r="A12726" s="30" t="s">
        <v>28832</v>
      </c>
      <c r="B12726" s="30" t="s">
        <v>28833</v>
      </c>
      <c r="C12726" s="30" t="s">
        <v>13241</v>
      </c>
      <c r="D12726" s="30" t="s">
        <v>17</v>
      </c>
      <c r="E12726" s="30" t="s">
        <v>31</v>
      </c>
      <c r="F12726" s="30" t="s">
        <v>32</v>
      </c>
      <c r="G12726" s="30" t="s">
        <v>20</v>
      </c>
      <c r="H12726" s="32">
        <v>86</v>
      </c>
      <c r="I12726" s="30" t="s">
        <v>21</v>
      </c>
      <c r="J12726" s="41">
        <v>44725</v>
      </c>
      <c r="K12726" s="30" t="s">
        <v>22</v>
      </c>
    </row>
    <row r="12727" spans="1:11">
      <c r="A12727" s="33" t="s">
        <v>28834</v>
      </c>
      <c r="B12727" s="33" t="s">
        <v>28835</v>
      </c>
      <c r="C12727" s="33" t="s">
        <v>647</v>
      </c>
      <c r="D12727" s="33" t="s">
        <v>17</v>
      </c>
      <c r="E12727" s="33" t="s">
        <v>31</v>
      </c>
      <c r="F12727" s="33" t="s">
        <v>32</v>
      </c>
      <c r="G12727" s="33" t="s">
        <v>20</v>
      </c>
      <c r="H12727" s="35">
        <v>381</v>
      </c>
      <c r="I12727" s="33" t="s">
        <v>21</v>
      </c>
      <c r="J12727" s="42">
        <v>44630</v>
      </c>
      <c r="K12727" s="33" t="s">
        <v>22</v>
      </c>
    </row>
    <row r="12728" spans="1:11">
      <c r="A12728" s="30" t="s">
        <v>28836</v>
      </c>
      <c r="B12728" s="30" t="s">
        <v>28837</v>
      </c>
      <c r="C12728" s="30" t="s">
        <v>5117</v>
      </c>
      <c r="D12728" s="30" t="s">
        <v>17</v>
      </c>
      <c r="E12728" s="30" t="s">
        <v>67</v>
      </c>
      <c r="F12728" s="30" t="s">
        <v>68</v>
      </c>
      <c r="G12728" s="30" t="s">
        <v>140</v>
      </c>
      <c r="H12728" s="32">
        <v>15</v>
      </c>
      <c r="I12728" s="30" t="s">
        <v>51</v>
      </c>
      <c r="J12728" s="41">
        <v>44915</v>
      </c>
      <c r="K12728" s="30" t="s">
        <v>22</v>
      </c>
    </row>
    <row r="12729" spans="1:11">
      <c r="A12729" s="33" t="s">
        <v>28838</v>
      </c>
      <c r="B12729" s="33" t="s">
        <v>28839</v>
      </c>
      <c r="C12729" s="33" t="s">
        <v>6703</v>
      </c>
      <c r="D12729" s="33" t="s">
        <v>17</v>
      </c>
      <c r="E12729" s="33" t="s">
        <v>18</v>
      </c>
      <c r="F12729" s="33" t="s">
        <v>19</v>
      </c>
      <c r="G12729" s="33" t="s">
        <v>112</v>
      </c>
      <c r="H12729" s="35">
        <v>0</v>
      </c>
      <c r="I12729" s="33" t="s">
        <v>21</v>
      </c>
      <c r="J12729" s="42">
        <v>44889</v>
      </c>
      <c r="K12729" s="33" t="s">
        <v>22</v>
      </c>
    </row>
    <row r="12730" spans="1:11">
      <c r="A12730" s="30" t="s">
        <v>28840</v>
      </c>
      <c r="B12730" s="30" t="s">
        <v>28841</v>
      </c>
      <c r="C12730" s="30" t="s">
        <v>28842</v>
      </c>
      <c r="D12730" s="30" t="s">
        <v>17</v>
      </c>
      <c r="E12730" s="30" t="s">
        <v>67</v>
      </c>
      <c r="F12730" s="30" t="s">
        <v>68</v>
      </c>
      <c r="G12730" s="30" t="s">
        <v>20</v>
      </c>
      <c r="H12730" s="32">
        <v>75</v>
      </c>
      <c r="I12730" s="30" t="s">
        <v>21</v>
      </c>
      <c r="J12730" s="41">
        <v>44607</v>
      </c>
      <c r="K12730" s="30" t="s">
        <v>22</v>
      </c>
    </row>
    <row r="12731" spans="1:11">
      <c r="A12731" s="33" t="s">
        <v>28843</v>
      </c>
      <c r="B12731" s="33" t="s">
        <v>28844</v>
      </c>
      <c r="C12731" s="33" t="s">
        <v>1210</v>
      </c>
      <c r="D12731" s="33" t="s">
        <v>17</v>
      </c>
      <c r="E12731" s="33" t="s">
        <v>26</v>
      </c>
      <c r="F12731" s="33" t="s">
        <v>27</v>
      </c>
      <c r="G12731" s="33" t="s">
        <v>20</v>
      </c>
      <c r="H12731" s="35">
        <v>132</v>
      </c>
      <c r="I12731" s="33" t="s">
        <v>21</v>
      </c>
      <c r="J12731" s="42">
        <v>44771</v>
      </c>
      <c r="K12731" s="33" t="s">
        <v>22</v>
      </c>
    </row>
    <row r="12732" spans="1:11">
      <c r="A12732" s="30" t="s">
        <v>28845</v>
      </c>
      <c r="B12732" s="30" t="s">
        <v>28846</v>
      </c>
      <c r="C12732" s="30" t="s">
        <v>549</v>
      </c>
      <c r="D12732" s="30" t="s">
        <v>17</v>
      </c>
      <c r="E12732" s="30" t="s">
        <v>31</v>
      </c>
      <c r="F12732" s="30" t="s">
        <v>32</v>
      </c>
      <c r="G12732" s="30" t="s">
        <v>106</v>
      </c>
      <c r="H12732" s="32">
        <v>428</v>
      </c>
      <c r="I12732" s="30" t="s">
        <v>21</v>
      </c>
      <c r="J12732" s="41">
        <v>44802</v>
      </c>
      <c r="K12732" s="30" t="s">
        <v>22</v>
      </c>
    </row>
    <row r="12733" spans="1:11">
      <c r="A12733" s="33" t="s">
        <v>28847</v>
      </c>
      <c r="B12733" s="33" t="s">
        <v>28848</v>
      </c>
      <c r="C12733" s="33" t="s">
        <v>1090</v>
      </c>
      <c r="D12733" s="33" t="s">
        <v>17</v>
      </c>
      <c r="E12733" s="33" t="s">
        <v>26</v>
      </c>
      <c r="F12733" s="33" t="s">
        <v>27</v>
      </c>
      <c r="G12733" s="33" t="s">
        <v>50</v>
      </c>
      <c r="H12733" s="35">
        <v>270</v>
      </c>
      <c r="I12733" s="33" t="s">
        <v>51</v>
      </c>
      <c r="J12733" s="42">
        <v>44835</v>
      </c>
      <c r="K12733" s="33" t="s">
        <v>22</v>
      </c>
    </row>
    <row r="12734" spans="1:11">
      <c r="A12734" s="30" t="s">
        <v>28849</v>
      </c>
      <c r="B12734" s="30" t="s">
        <v>28850</v>
      </c>
      <c r="C12734" s="30" t="s">
        <v>11742</v>
      </c>
      <c r="D12734" s="30" t="s">
        <v>17</v>
      </c>
      <c r="E12734" s="30" t="s">
        <v>18</v>
      </c>
      <c r="F12734" s="30" t="s">
        <v>19</v>
      </c>
      <c r="G12734" s="30" t="s">
        <v>140</v>
      </c>
      <c r="H12734" s="32">
        <v>200</v>
      </c>
      <c r="I12734" s="30" t="s">
        <v>51</v>
      </c>
      <c r="J12734" s="41">
        <v>44896</v>
      </c>
      <c r="K12734" s="30" t="s">
        <v>22</v>
      </c>
    </row>
    <row r="12735" spans="1:11">
      <c r="A12735" s="33" t="s">
        <v>28851</v>
      </c>
      <c r="B12735" s="33" t="s">
        <v>28852</v>
      </c>
      <c r="C12735" s="33" t="s">
        <v>203</v>
      </c>
      <c r="D12735" s="33" t="s">
        <v>17</v>
      </c>
      <c r="E12735" s="33" t="s">
        <v>26</v>
      </c>
      <c r="F12735" s="33" t="s">
        <v>27</v>
      </c>
      <c r="G12735" s="33" t="s">
        <v>106</v>
      </c>
      <c r="H12735" s="35">
        <v>16</v>
      </c>
      <c r="I12735" s="33" t="s">
        <v>21</v>
      </c>
      <c r="J12735" s="42">
        <v>44798</v>
      </c>
      <c r="K12735" s="33" t="s">
        <v>22</v>
      </c>
    </row>
    <row r="12736" spans="1:11">
      <c r="A12736" s="30" t="s">
        <v>28853</v>
      </c>
      <c r="B12736" s="30" t="s">
        <v>28854</v>
      </c>
      <c r="C12736" s="30" t="s">
        <v>28855</v>
      </c>
      <c r="D12736" s="30" t="s">
        <v>17</v>
      </c>
      <c r="E12736" s="30" t="s">
        <v>26</v>
      </c>
      <c r="F12736" s="30" t="s">
        <v>27</v>
      </c>
      <c r="G12736" s="30" t="s">
        <v>50</v>
      </c>
      <c r="H12736" s="32">
        <v>24</v>
      </c>
      <c r="I12736" s="30" t="s">
        <v>51</v>
      </c>
      <c r="J12736" s="41">
        <v>44781</v>
      </c>
      <c r="K12736" s="30" t="s">
        <v>22</v>
      </c>
    </row>
    <row r="12737" spans="1:11">
      <c r="A12737" s="33" t="s">
        <v>28856</v>
      </c>
      <c r="B12737" s="33" t="s">
        <v>28857</v>
      </c>
      <c r="C12737" s="33" t="s">
        <v>13124</v>
      </c>
      <c r="D12737" s="33" t="s">
        <v>17</v>
      </c>
      <c r="E12737" s="33" t="s">
        <v>26</v>
      </c>
      <c r="F12737" s="33" t="s">
        <v>27</v>
      </c>
      <c r="G12737" s="33" t="s">
        <v>20</v>
      </c>
      <c r="H12737" s="35">
        <v>26</v>
      </c>
      <c r="I12737" s="33" t="s">
        <v>21</v>
      </c>
      <c r="J12737" s="42">
        <v>44641</v>
      </c>
      <c r="K12737" s="33" t="s">
        <v>22</v>
      </c>
    </row>
    <row r="12738" spans="1:11">
      <c r="A12738" s="30" t="s">
        <v>28858</v>
      </c>
      <c r="B12738" s="30" t="s">
        <v>28859</v>
      </c>
      <c r="C12738" s="30" t="s">
        <v>7383</v>
      </c>
      <c r="D12738" s="30" t="s">
        <v>17</v>
      </c>
      <c r="E12738" s="30" t="s">
        <v>31</v>
      </c>
      <c r="F12738" s="30" t="s">
        <v>32</v>
      </c>
      <c r="G12738" s="30" t="s">
        <v>50</v>
      </c>
      <c r="H12738" s="32">
        <v>30</v>
      </c>
      <c r="I12738" s="30" t="s">
        <v>51</v>
      </c>
      <c r="J12738" s="41">
        <v>44713</v>
      </c>
      <c r="K12738" s="30" t="s">
        <v>22</v>
      </c>
    </row>
    <row r="12739" spans="1:11">
      <c r="A12739" s="33" t="s">
        <v>28860</v>
      </c>
      <c r="B12739" s="33" t="s">
        <v>28861</v>
      </c>
      <c r="C12739" s="33" t="s">
        <v>28862</v>
      </c>
      <c r="D12739" s="33" t="s">
        <v>17</v>
      </c>
      <c r="E12739" s="33" t="s">
        <v>67</v>
      </c>
      <c r="F12739" s="33" t="s">
        <v>68</v>
      </c>
      <c r="G12739" s="33" t="s">
        <v>140</v>
      </c>
      <c r="H12739" s="35">
        <v>81</v>
      </c>
      <c r="I12739" s="33" t="s">
        <v>51</v>
      </c>
      <c r="J12739" s="42">
        <v>44628</v>
      </c>
      <c r="K12739" s="33" t="s">
        <v>22</v>
      </c>
    </row>
    <row r="12740" spans="1:11">
      <c r="A12740" s="30" t="s">
        <v>28863</v>
      </c>
      <c r="B12740" s="30" t="s">
        <v>28864</v>
      </c>
      <c r="C12740" s="30" t="s">
        <v>1267</v>
      </c>
      <c r="D12740" s="30" t="s">
        <v>17</v>
      </c>
      <c r="E12740" s="30" t="s">
        <v>26</v>
      </c>
      <c r="F12740" s="30" t="s">
        <v>27</v>
      </c>
      <c r="G12740" s="30" t="s">
        <v>20</v>
      </c>
      <c r="H12740" s="32">
        <v>8</v>
      </c>
      <c r="I12740" s="30" t="s">
        <v>21</v>
      </c>
      <c r="J12740" s="41">
        <v>44706</v>
      </c>
      <c r="K12740" s="30" t="s">
        <v>22</v>
      </c>
    </row>
    <row r="12741" spans="1:11">
      <c r="A12741" s="33" t="s">
        <v>28865</v>
      </c>
      <c r="B12741" s="33" t="s">
        <v>28866</v>
      </c>
      <c r="C12741" s="33" t="s">
        <v>12783</v>
      </c>
      <c r="D12741" s="33" t="s">
        <v>17</v>
      </c>
      <c r="E12741" s="33" t="s">
        <v>18</v>
      </c>
      <c r="F12741" s="33" t="s">
        <v>19</v>
      </c>
      <c r="G12741" s="33" t="s">
        <v>106</v>
      </c>
      <c r="H12741" s="35">
        <v>286</v>
      </c>
      <c r="I12741" s="33" t="s">
        <v>21</v>
      </c>
      <c r="J12741" s="42">
        <v>44698</v>
      </c>
      <c r="K12741" s="33" t="s">
        <v>22</v>
      </c>
    </row>
    <row r="12742" spans="1:11">
      <c r="A12742" s="30" t="s">
        <v>28867</v>
      </c>
      <c r="B12742" s="30" t="s">
        <v>28868</v>
      </c>
      <c r="C12742" s="30" t="s">
        <v>23956</v>
      </c>
      <c r="D12742" s="30" t="s">
        <v>17</v>
      </c>
      <c r="E12742" s="30" t="s">
        <v>330</v>
      </c>
      <c r="F12742" s="30" t="s">
        <v>331</v>
      </c>
      <c r="G12742" s="30" t="s">
        <v>106</v>
      </c>
      <c r="H12742" s="32">
        <v>1</v>
      </c>
      <c r="I12742" s="30" t="s">
        <v>21</v>
      </c>
      <c r="J12742" s="41">
        <v>44888</v>
      </c>
      <c r="K12742" s="30" t="s">
        <v>22</v>
      </c>
    </row>
    <row r="12743" spans="1:11">
      <c r="A12743" s="33" t="s">
        <v>28869</v>
      </c>
      <c r="B12743" s="33" t="s">
        <v>28870</v>
      </c>
      <c r="C12743" s="33" t="s">
        <v>14661</v>
      </c>
      <c r="D12743" s="33" t="s">
        <v>17</v>
      </c>
      <c r="E12743" s="33" t="s">
        <v>31</v>
      </c>
      <c r="F12743" s="33" t="s">
        <v>32</v>
      </c>
      <c r="G12743" s="33" t="s">
        <v>112</v>
      </c>
      <c r="H12743" s="35">
        <v>0</v>
      </c>
      <c r="I12743" s="33" t="s">
        <v>21</v>
      </c>
      <c r="J12743" s="42">
        <v>44817</v>
      </c>
      <c r="K12743" s="33" t="s">
        <v>22</v>
      </c>
    </row>
    <row r="12744" spans="1:11">
      <c r="A12744" s="30" t="s">
        <v>28871</v>
      </c>
      <c r="B12744" s="30" t="s">
        <v>28872</v>
      </c>
      <c r="C12744" s="30" t="s">
        <v>190</v>
      </c>
      <c r="D12744" s="30" t="s">
        <v>17</v>
      </c>
      <c r="E12744" s="30" t="s">
        <v>18</v>
      </c>
      <c r="F12744" s="30" t="s">
        <v>19</v>
      </c>
      <c r="G12744" s="30" t="s">
        <v>158</v>
      </c>
      <c r="H12744" s="32">
        <v>53</v>
      </c>
      <c r="I12744" s="30" t="s">
        <v>21</v>
      </c>
      <c r="J12744" s="41">
        <v>44743</v>
      </c>
      <c r="K12744" s="30" t="s">
        <v>22</v>
      </c>
    </row>
    <row r="12745" spans="1:11">
      <c r="A12745" s="33" t="s">
        <v>28873</v>
      </c>
      <c r="B12745" s="33" t="s">
        <v>28874</v>
      </c>
      <c r="C12745" s="33" t="s">
        <v>187</v>
      </c>
      <c r="D12745" s="33" t="s">
        <v>17</v>
      </c>
      <c r="E12745" s="33" t="s">
        <v>31</v>
      </c>
      <c r="F12745" s="33" t="s">
        <v>32</v>
      </c>
      <c r="G12745" s="33" t="s">
        <v>20</v>
      </c>
      <c r="H12745" s="35">
        <v>205</v>
      </c>
      <c r="I12745" s="33" t="s">
        <v>21</v>
      </c>
      <c r="J12745" s="42">
        <v>44827</v>
      </c>
      <c r="K12745" s="33" t="s">
        <v>22</v>
      </c>
    </row>
    <row r="12746" spans="1:11">
      <c r="A12746" s="30" t="s">
        <v>28875</v>
      </c>
      <c r="B12746" s="30" t="s">
        <v>28876</v>
      </c>
      <c r="C12746" s="30" t="s">
        <v>13407</v>
      </c>
      <c r="D12746" s="30" t="s">
        <v>17</v>
      </c>
      <c r="E12746" s="30" t="s">
        <v>26</v>
      </c>
      <c r="F12746" s="30" t="s">
        <v>27</v>
      </c>
      <c r="G12746" s="30" t="s">
        <v>20</v>
      </c>
      <c r="H12746" s="32">
        <v>96</v>
      </c>
      <c r="I12746" s="30" t="s">
        <v>21</v>
      </c>
      <c r="J12746" s="41">
        <v>44735</v>
      </c>
      <c r="K12746" s="30" t="s">
        <v>22</v>
      </c>
    </row>
    <row r="12747" spans="1:11">
      <c r="A12747" s="33" t="s">
        <v>28877</v>
      </c>
      <c r="B12747" s="33" t="s">
        <v>28878</v>
      </c>
      <c r="C12747" s="33" t="s">
        <v>28879</v>
      </c>
      <c r="D12747" s="33" t="s">
        <v>17</v>
      </c>
      <c r="E12747" s="33" t="s">
        <v>26</v>
      </c>
      <c r="F12747" s="33" t="s">
        <v>27</v>
      </c>
      <c r="G12747" s="33" t="s">
        <v>140</v>
      </c>
      <c r="H12747" s="35">
        <v>149</v>
      </c>
      <c r="I12747" s="33" t="s">
        <v>51</v>
      </c>
      <c r="J12747" s="42">
        <v>44760</v>
      </c>
      <c r="K12747" s="33" t="s">
        <v>22</v>
      </c>
    </row>
    <row r="12748" spans="1:11">
      <c r="A12748" s="30" t="s">
        <v>28880</v>
      </c>
      <c r="B12748" s="30" t="s">
        <v>28881</v>
      </c>
      <c r="C12748" s="30" t="s">
        <v>9885</v>
      </c>
      <c r="D12748" s="30" t="s">
        <v>17</v>
      </c>
      <c r="E12748" s="30" t="s">
        <v>18</v>
      </c>
      <c r="F12748" s="30" t="s">
        <v>19</v>
      </c>
      <c r="G12748" s="30" t="s">
        <v>106</v>
      </c>
      <c r="H12748" s="32">
        <v>57</v>
      </c>
      <c r="I12748" s="30" t="s">
        <v>21</v>
      </c>
      <c r="J12748" s="41">
        <v>44677</v>
      </c>
      <c r="K12748" s="30" t="s">
        <v>22</v>
      </c>
    </row>
    <row r="12749" spans="1:11">
      <c r="A12749" s="33" t="s">
        <v>28882</v>
      </c>
      <c r="B12749" s="33" t="s">
        <v>28883</v>
      </c>
      <c r="C12749" s="33" t="s">
        <v>15585</v>
      </c>
      <c r="D12749" s="33" t="s">
        <v>17</v>
      </c>
      <c r="E12749" s="33" t="s">
        <v>26</v>
      </c>
      <c r="F12749" s="33" t="s">
        <v>27</v>
      </c>
      <c r="G12749" s="33" t="s">
        <v>20</v>
      </c>
      <c r="H12749" s="35">
        <v>24</v>
      </c>
      <c r="I12749" s="33" t="s">
        <v>21</v>
      </c>
      <c r="J12749" s="42">
        <v>44803</v>
      </c>
      <c r="K12749" s="33" t="s">
        <v>22</v>
      </c>
    </row>
    <row r="12750" spans="1:11">
      <c r="A12750" s="30" t="s">
        <v>28884</v>
      </c>
      <c r="B12750" s="30" t="s">
        <v>28885</v>
      </c>
      <c r="C12750" s="30" t="s">
        <v>9420</v>
      </c>
      <c r="D12750" s="30" t="s">
        <v>17</v>
      </c>
      <c r="E12750" s="30" t="s">
        <v>26</v>
      </c>
      <c r="F12750" s="30" t="s">
        <v>27</v>
      </c>
      <c r="G12750" s="30" t="s">
        <v>106</v>
      </c>
      <c r="H12750" s="32">
        <v>28</v>
      </c>
      <c r="I12750" s="30" t="s">
        <v>21</v>
      </c>
      <c r="J12750" s="41">
        <v>44748</v>
      </c>
      <c r="K12750" s="30" t="s">
        <v>22</v>
      </c>
    </row>
    <row r="12751" spans="1:11">
      <c r="A12751" s="33" t="s">
        <v>28886</v>
      </c>
      <c r="B12751" s="33" t="s">
        <v>28887</v>
      </c>
      <c r="C12751" s="33" t="s">
        <v>603</v>
      </c>
      <c r="D12751" s="33" t="s">
        <v>17</v>
      </c>
      <c r="E12751" s="33" t="s">
        <v>26</v>
      </c>
      <c r="F12751" s="33" t="s">
        <v>27</v>
      </c>
      <c r="G12751" s="33" t="s">
        <v>20</v>
      </c>
      <c r="H12751" s="35">
        <v>30</v>
      </c>
      <c r="I12751" s="33" t="s">
        <v>21</v>
      </c>
      <c r="J12751" s="42">
        <v>44711</v>
      </c>
      <c r="K12751" s="33" t="s">
        <v>22</v>
      </c>
    </row>
    <row r="12752" spans="1:11">
      <c r="A12752" s="30" t="s">
        <v>28888</v>
      </c>
      <c r="B12752" s="30" t="s">
        <v>28889</v>
      </c>
      <c r="C12752" s="30" t="s">
        <v>969</v>
      </c>
      <c r="D12752" s="30" t="s">
        <v>17</v>
      </c>
      <c r="E12752" s="30" t="s">
        <v>67</v>
      </c>
      <c r="F12752" s="30" t="s">
        <v>68</v>
      </c>
      <c r="G12752" s="30" t="s">
        <v>106</v>
      </c>
      <c r="H12752" s="32">
        <v>74</v>
      </c>
      <c r="I12752" s="30" t="s">
        <v>21</v>
      </c>
      <c r="J12752" s="41">
        <v>44665</v>
      </c>
      <c r="K12752" s="30" t="s">
        <v>22</v>
      </c>
    </row>
    <row r="12753" spans="1:11">
      <c r="A12753" s="33" t="s">
        <v>28890</v>
      </c>
      <c r="B12753" s="33" t="s">
        <v>28891</v>
      </c>
      <c r="C12753" s="33" t="s">
        <v>570</v>
      </c>
      <c r="D12753" s="33" t="s">
        <v>17</v>
      </c>
      <c r="E12753" s="33" t="s">
        <v>26</v>
      </c>
      <c r="F12753" s="33" t="s">
        <v>27</v>
      </c>
      <c r="G12753" s="33" t="s">
        <v>50</v>
      </c>
      <c r="H12753" s="35">
        <v>40</v>
      </c>
      <c r="I12753" s="33" t="s">
        <v>51</v>
      </c>
      <c r="J12753" s="42">
        <v>44726</v>
      </c>
      <c r="K12753" s="33" t="s">
        <v>22</v>
      </c>
    </row>
    <row r="12754" spans="1:11">
      <c r="A12754" s="30" t="s">
        <v>28892</v>
      </c>
      <c r="B12754" s="30" t="s">
        <v>28893</v>
      </c>
      <c r="C12754" s="30" t="s">
        <v>1270</v>
      </c>
      <c r="D12754" s="30" t="s">
        <v>17</v>
      </c>
      <c r="E12754" s="30" t="s">
        <v>212</v>
      </c>
      <c r="F12754" s="30" t="s">
        <v>213</v>
      </c>
      <c r="G12754" s="30" t="s">
        <v>7780</v>
      </c>
      <c r="H12754" s="32">
        <v>2400</v>
      </c>
      <c r="I12754" s="30" t="s">
        <v>51</v>
      </c>
      <c r="J12754" s="41">
        <v>44681</v>
      </c>
      <c r="K12754" s="30" t="s">
        <v>22</v>
      </c>
    </row>
    <row r="12755" spans="1:11">
      <c r="A12755" s="33" t="s">
        <v>28894</v>
      </c>
      <c r="B12755" s="33" t="s">
        <v>28895</v>
      </c>
      <c r="C12755" s="33" t="s">
        <v>1009</v>
      </c>
      <c r="D12755" s="33" t="s">
        <v>17</v>
      </c>
      <c r="E12755" s="33" t="s">
        <v>26</v>
      </c>
      <c r="F12755" s="33" t="s">
        <v>27</v>
      </c>
      <c r="G12755" s="33" t="s">
        <v>140</v>
      </c>
      <c r="H12755" s="35">
        <v>48</v>
      </c>
      <c r="I12755" s="33" t="s">
        <v>51</v>
      </c>
      <c r="J12755" s="42">
        <v>44789</v>
      </c>
      <c r="K12755" s="33" t="s">
        <v>22</v>
      </c>
    </row>
    <row r="12756" spans="1:11">
      <c r="A12756" s="30" t="s">
        <v>28896</v>
      </c>
      <c r="B12756" s="30" t="s">
        <v>28897</v>
      </c>
      <c r="C12756" s="30" t="s">
        <v>96</v>
      </c>
      <c r="D12756" s="30" t="s">
        <v>17</v>
      </c>
      <c r="E12756" s="30" t="s">
        <v>26</v>
      </c>
      <c r="F12756" s="30" t="s">
        <v>27</v>
      </c>
      <c r="G12756" s="30" t="s">
        <v>20</v>
      </c>
      <c r="H12756" s="32">
        <v>18</v>
      </c>
      <c r="I12756" s="30" t="s">
        <v>21</v>
      </c>
      <c r="J12756" s="41">
        <v>44620</v>
      </c>
      <c r="K12756" s="30" t="s">
        <v>22</v>
      </c>
    </row>
    <row r="12757" spans="1:11">
      <c r="A12757" s="33" t="s">
        <v>28898</v>
      </c>
      <c r="B12757" s="33" t="s">
        <v>28899</v>
      </c>
      <c r="C12757" s="33" t="s">
        <v>127</v>
      </c>
      <c r="D12757" s="33" t="s">
        <v>17</v>
      </c>
      <c r="E12757" s="33" t="s">
        <v>67</v>
      </c>
      <c r="F12757" s="33" t="s">
        <v>68</v>
      </c>
      <c r="G12757" s="33" t="s">
        <v>20</v>
      </c>
      <c r="H12757" s="35">
        <v>26</v>
      </c>
      <c r="I12757" s="33" t="s">
        <v>21</v>
      </c>
      <c r="J12757" s="42">
        <v>44665</v>
      </c>
      <c r="K12757" s="33" t="s">
        <v>22</v>
      </c>
    </row>
    <row r="12758" spans="1:11">
      <c r="A12758" s="30" t="s">
        <v>28900</v>
      </c>
      <c r="B12758" s="30" t="s">
        <v>28901</v>
      </c>
      <c r="C12758" s="30" t="s">
        <v>21583</v>
      </c>
      <c r="D12758" s="30" t="s">
        <v>17</v>
      </c>
      <c r="E12758" s="30" t="s">
        <v>26</v>
      </c>
      <c r="F12758" s="30" t="s">
        <v>27</v>
      </c>
      <c r="G12758" s="30" t="s">
        <v>20</v>
      </c>
      <c r="H12758" s="32">
        <v>116</v>
      </c>
      <c r="I12758" s="30" t="s">
        <v>21</v>
      </c>
      <c r="J12758" s="41">
        <v>44837</v>
      </c>
      <c r="K12758" s="30" t="s">
        <v>22</v>
      </c>
    </row>
    <row r="12759" spans="1:11">
      <c r="A12759" s="33" t="s">
        <v>28902</v>
      </c>
      <c r="B12759" s="33" t="s">
        <v>28903</v>
      </c>
      <c r="C12759" s="33" t="s">
        <v>6486</v>
      </c>
      <c r="D12759" s="33" t="s">
        <v>17</v>
      </c>
      <c r="E12759" s="33" t="s">
        <v>26</v>
      </c>
      <c r="F12759" s="33" t="s">
        <v>27</v>
      </c>
      <c r="G12759" s="33" t="s">
        <v>20</v>
      </c>
      <c r="H12759" s="35">
        <v>31</v>
      </c>
      <c r="I12759" s="33" t="s">
        <v>21</v>
      </c>
      <c r="J12759" s="42">
        <v>44861</v>
      </c>
      <c r="K12759" s="33" t="s">
        <v>22</v>
      </c>
    </row>
    <row r="12760" spans="1:11">
      <c r="A12760" s="30" t="s">
        <v>28904</v>
      </c>
      <c r="B12760" s="30" t="s">
        <v>28905</v>
      </c>
      <c r="C12760" s="30" t="s">
        <v>1674</v>
      </c>
      <c r="D12760" s="30" t="s">
        <v>17</v>
      </c>
      <c r="E12760" s="30" t="s">
        <v>18</v>
      </c>
      <c r="F12760" s="30" t="s">
        <v>19</v>
      </c>
      <c r="G12760" s="30" t="s">
        <v>158</v>
      </c>
      <c r="H12760" s="32">
        <v>190</v>
      </c>
      <c r="I12760" s="30" t="s">
        <v>51</v>
      </c>
      <c r="J12760" s="41">
        <v>44712</v>
      </c>
      <c r="K12760" s="30" t="s">
        <v>22</v>
      </c>
    </row>
    <row r="12761" spans="1:11">
      <c r="A12761" s="33" t="s">
        <v>28906</v>
      </c>
      <c r="B12761" s="33" t="s">
        <v>28907</v>
      </c>
      <c r="C12761" s="33" t="s">
        <v>647</v>
      </c>
      <c r="D12761" s="33" t="s">
        <v>17</v>
      </c>
      <c r="E12761" s="33" t="s">
        <v>18</v>
      </c>
      <c r="F12761" s="33" t="s">
        <v>19</v>
      </c>
      <c r="G12761" s="33" t="s">
        <v>158</v>
      </c>
      <c r="H12761" s="35">
        <v>8100</v>
      </c>
      <c r="I12761" s="33" t="s">
        <v>51</v>
      </c>
      <c r="J12761" s="42">
        <v>44610</v>
      </c>
      <c r="K12761" s="33" t="s">
        <v>22</v>
      </c>
    </row>
    <row r="12762" spans="1:11">
      <c r="A12762" s="30" t="s">
        <v>28908</v>
      </c>
      <c r="B12762" s="30" t="s">
        <v>28909</v>
      </c>
      <c r="C12762" s="30" t="s">
        <v>26028</v>
      </c>
      <c r="D12762" s="30" t="s">
        <v>17</v>
      </c>
      <c r="E12762" s="30" t="s">
        <v>330</v>
      </c>
      <c r="F12762" s="30" t="s">
        <v>331</v>
      </c>
      <c r="G12762" s="30" t="s">
        <v>20</v>
      </c>
      <c r="H12762" s="32">
        <v>16</v>
      </c>
      <c r="I12762" s="30" t="s">
        <v>21</v>
      </c>
      <c r="J12762" s="41">
        <v>44637</v>
      </c>
      <c r="K12762" s="30" t="s">
        <v>22</v>
      </c>
    </row>
    <row r="12763" spans="1:11">
      <c r="A12763" s="33" t="s">
        <v>28910</v>
      </c>
      <c r="B12763" s="33" t="s">
        <v>28911</v>
      </c>
      <c r="C12763" s="33" t="s">
        <v>44</v>
      </c>
      <c r="D12763" s="33" t="s">
        <v>17</v>
      </c>
      <c r="E12763" s="33" t="s">
        <v>31</v>
      </c>
      <c r="F12763" s="33" t="s">
        <v>32</v>
      </c>
      <c r="G12763" s="33" t="s">
        <v>20</v>
      </c>
      <c r="H12763" s="35">
        <v>59</v>
      </c>
      <c r="I12763" s="33" t="s">
        <v>21</v>
      </c>
      <c r="J12763" s="42">
        <v>44742</v>
      </c>
      <c r="K12763" s="33" t="s">
        <v>22</v>
      </c>
    </row>
    <row r="12764" spans="1:11">
      <c r="A12764" s="30" t="s">
        <v>28912</v>
      </c>
      <c r="B12764" s="30" t="s">
        <v>28913</v>
      </c>
      <c r="C12764" s="30" t="s">
        <v>28914</v>
      </c>
      <c r="D12764" s="30" t="s">
        <v>17</v>
      </c>
      <c r="E12764" s="30" t="s">
        <v>67</v>
      </c>
      <c r="F12764" s="30" t="s">
        <v>68</v>
      </c>
      <c r="G12764" s="30" t="s">
        <v>2613</v>
      </c>
      <c r="H12764" s="32">
        <v>190</v>
      </c>
      <c r="I12764" s="30" t="s">
        <v>51</v>
      </c>
      <c r="J12764" s="41">
        <v>44579</v>
      </c>
      <c r="K12764" s="30" t="s">
        <v>22</v>
      </c>
    </row>
    <row r="12765" spans="1:11">
      <c r="A12765" s="33" t="s">
        <v>28915</v>
      </c>
      <c r="B12765" s="33" t="s">
        <v>28916</v>
      </c>
      <c r="C12765" s="33" t="s">
        <v>96</v>
      </c>
      <c r="D12765" s="33" t="s">
        <v>17</v>
      </c>
      <c r="E12765" s="33" t="s">
        <v>31</v>
      </c>
      <c r="F12765" s="33" t="s">
        <v>32</v>
      </c>
      <c r="G12765" s="33" t="s">
        <v>20</v>
      </c>
      <c r="H12765" s="35">
        <v>158</v>
      </c>
      <c r="I12765" s="33" t="s">
        <v>21</v>
      </c>
      <c r="J12765" s="42">
        <v>44776</v>
      </c>
      <c r="K12765" s="33" t="s">
        <v>22</v>
      </c>
    </row>
    <row r="12766" spans="1:11">
      <c r="A12766" s="30" t="s">
        <v>28917</v>
      </c>
      <c r="B12766" s="30" t="s">
        <v>28918</v>
      </c>
      <c r="C12766" s="30" t="s">
        <v>5600</v>
      </c>
      <c r="D12766" s="30" t="s">
        <v>17</v>
      </c>
      <c r="E12766" s="30" t="s">
        <v>330</v>
      </c>
      <c r="F12766" s="30" t="s">
        <v>331</v>
      </c>
      <c r="G12766" s="30" t="s">
        <v>20</v>
      </c>
      <c r="H12766" s="32">
        <v>11</v>
      </c>
      <c r="I12766" s="30" t="s">
        <v>21</v>
      </c>
      <c r="J12766" s="41">
        <v>44649</v>
      </c>
      <c r="K12766" s="30" t="s">
        <v>22</v>
      </c>
    </row>
    <row r="12767" spans="1:11">
      <c r="A12767" s="33" t="s">
        <v>28919</v>
      </c>
      <c r="B12767" s="33" t="s">
        <v>28920</v>
      </c>
      <c r="C12767" s="33" t="s">
        <v>3679</v>
      </c>
      <c r="D12767" s="33" t="s">
        <v>17</v>
      </c>
      <c r="E12767" s="33" t="s">
        <v>31</v>
      </c>
      <c r="F12767" s="33" t="s">
        <v>32</v>
      </c>
      <c r="G12767" s="33" t="s">
        <v>20</v>
      </c>
      <c r="H12767" s="35">
        <v>177</v>
      </c>
      <c r="I12767" s="33" t="s">
        <v>21</v>
      </c>
      <c r="J12767" s="42">
        <v>44715</v>
      </c>
      <c r="K12767" s="33" t="s">
        <v>22</v>
      </c>
    </row>
    <row r="12768" spans="1:11">
      <c r="A12768" s="30" t="s">
        <v>28921</v>
      </c>
      <c r="B12768" s="30" t="s">
        <v>28922</v>
      </c>
      <c r="C12768" s="30" t="s">
        <v>16443</v>
      </c>
      <c r="D12768" s="30" t="s">
        <v>17</v>
      </c>
      <c r="E12768" s="30" t="s">
        <v>330</v>
      </c>
      <c r="F12768" s="30" t="s">
        <v>331</v>
      </c>
      <c r="G12768" s="30" t="s">
        <v>50</v>
      </c>
      <c r="H12768" s="32">
        <v>32</v>
      </c>
      <c r="I12768" s="30" t="s">
        <v>51</v>
      </c>
      <c r="J12768" s="41">
        <v>44843</v>
      </c>
      <c r="K12768" s="30" t="s">
        <v>22</v>
      </c>
    </row>
    <row r="12769" spans="1:11">
      <c r="A12769" s="33" t="s">
        <v>28923</v>
      </c>
      <c r="B12769" s="33" t="s">
        <v>28924</v>
      </c>
      <c r="C12769" s="33" t="s">
        <v>318</v>
      </c>
      <c r="D12769" s="33" t="s">
        <v>17</v>
      </c>
      <c r="E12769" s="33" t="s">
        <v>67</v>
      </c>
      <c r="F12769" s="33" t="s">
        <v>68</v>
      </c>
      <c r="G12769" s="33" t="s">
        <v>158</v>
      </c>
      <c r="H12769" s="35">
        <v>329</v>
      </c>
      <c r="I12769" s="33" t="s">
        <v>21</v>
      </c>
      <c r="J12769" s="42">
        <v>44593</v>
      </c>
      <c r="K12769" s="33" t="s">
        <v>22</v>
      </c>
    </row>
    <row r="12770" spans="1:11">
      <c r="A12770" s="30" t="s">
        <v>28925</v>
      </c>
      <c r="B12770" s="30" t="s">
        <v>28926</v>
      </c>
      <c r="C12770" s="30" t="s">
        <v>549</v>
      </c>
      <c r="D12770" s="30" t="s">
        <v>17</v>
      </c>
      <c r="E12770" s="30" t="s">
        <v>67</v>
      </c>
      <c r="F12770" s="30" t="s">
        <v>68</v>
      </c>
      <c r="G12770" s="30" t="s">
        <v>20</v>
      </c>
      <c r="H12770" s="32">
        <v>109</v>
      </c>
      <c r="I12770" s="30" t="s">
        <v>21</v>
      </c>
      <c r="J12770" s="41">
        <v>44627</v>
      </c>
      <c r="K12770" s="30" t="s">
        <v>22</v>
      </c>
    </row>
    <row r="12771" spans="1:11">
      <c r="A12771" s="33" t="s">
        <v>28927</v>
      </c>
      <c r="B12771" s="33" t="s">
        <v>28928</v>
      </c>
      <c r="C12771" s="33" t="s">
        <v>1343</v>
      </c>
      <c r="D12771" s="33" t="s">
        <v>17</v>
      </c>
      <c r="E12771" s="33" t="s">
        <v>18</v>
      </c>
      <c r="F12771" s="33" t="s">
        <v>19</v>
      </c>
      <c r="G12771" s="33" t="s">
        <v>158</v>
      </c>
      <c r="H12771" s="35">
        <v>529</v>
      </c>
      <c r="I12771" s="33" t="s">
        <v>21</v>
      </c>
      <c r="J12771" s="42">
        <v>44742</v>
      </c>
      <c r="K12771" s="33" t="s">
        <v>22</v>
      </c>
    </row>
    <row r="12772" spans="1:11">
      <c r="A12772" s="30" t="s">
        <v>28929</v>
      </c>
      <c r="B12772" s="30" t="s">
        <v>28930</v>
      </c>
      <c r="C12772" s="30" t="s">
        <v>869</v>
      </c>
      <c r="D12772" s="30" t="s">
        <v>17</v>
      </c>
      <c r="E12772" s="30" t="s">
        <v>26</v>
      </c>
      <c r="F12772" s="30" t="s">
        <v>27</v>
      </c>
      <c r="G12772" s="30" t="s">
        <v>20</v>
      </c>
      <c r="H12772" s="32">
        <v>18</v>
      </c>
      <c r="I12772" s="30" t="s">
        <v>21</v>
      </c>
      <c r="J12772" s="41">
        <v>44742</v>
      </c>
      <c r="K12772" s="30" t="s">
        <v>22</v>
      </c>
    </row>
    <row r="12773" spans="1:11">
      <c r="A12773" s="33" t="s">
        <v>28931</v>
      </c>
      <c r="B12773" s="33" t="s">
        <v>28932</v>
      </c>
      <c r="C12773" s="33" t="s">
        <v>14643</v>
      </c>
      <c r="D12773" s="33" t="s">
        <v>17</v>
      </c>
      <c r="E12773" s="33" t="s">
        <v>67</v>
      </c>
      <c r="F12773" s="33" t="s">
        <v>68</v>
      </c>
      <c r="G12773" s="33" t="s">
        <v>20</v>
      </c>
      <c r="H12773" s="35">
        <v>94</v>
      </c>
      <c r="I12773" s="33" t="s">
        <v>21</v>
      </c>
      <c r="J12773" s="42">
        <v>44616</v>
      </c>
      <c r="K12773" s="33" t="s">
        <v>22</v>
      </c>
    </row>
    <row r="12774" spans="1:11">
      <c r="A12774" s="30" t="s">
        <v>28933</v>
      </c>
      <c r="B12774" s="30" t="s">
        <v>28934</v>
      </c>
      <c r="C12774" s="30" t="s">
        <v>399</v>
      </c>
      <c r="D12774" s="30" t="s">
        <v>17</v>
      </c>
      <c r="E12774" s="30" t="s">
        <v>18</v>
      </c>
      <c r="F12774" s="30" t="s">
        <v>19</v>
      </c>
      <c r="G12774" s="30" t="s">
        <v>20</v>
      </c>
      <c r="H12774" s="32">
        <v>459</v>
      </c>
      <c r="I12774" s="30" t="s">
        <v>21</v>
      </c>
      <c r="J12774" s="41">
        <v>44594</v>
      </c>
      <c r="K12774" s="30" t="s">
        <v>22</v>
      </c>
    </row>
    <row r="12775" spans="1:11">
      <c r="A12775" s="33" t="s">
        <v>28935</v>
      </c>
      <c r="B12775" s="33" t="s">
        <v>28936</v>
      </c>
      <c r="C12775" s="33" t="s">
        <v>9286</v>
      </c>
      <c r="D12775" s="33" t="s">
        <v>17</v>
      </c>
      <c r="E12775" s="33" t="s">
        <v>26</v>
      </c>
      <c r="F12775" s="33" t="s">
        <v>27</v>
      </c>
      <c r="G12775" s="33" t="s">
        <v>20</v>
      </c>
      <c r="H12775" s="35">
        <v>38</v>
      </c>
      <c r="I12775" s="33" t="s">
        <v>21</v>
      </c>
      <c r="J12775" s="42">
        <v>44813</v>
      </c>
      <c r="K12775" s="33" t="s">
        <v>22</v>
      </c>
    </row>
    <row r="12776" spans="1:11">
      <c r="A12776" s="30" t="s">
        <v>28937</v>
      </c>
      <c r="B12776" s="30" t="s">
        <v>28938</v>
      </c>
      <c r="C12776" s="30" t="s">
        <v>925</v>
      </c>
      <c r="D12776" s="30" t="s">
        <v>17</v>
      </c>
      <c r="E12776" s="30" t="s">
        <v>26</v>
      </c>
      <c r="F12776" s="30" t="s">
        <v>27</v>
      </c>
      <c r="G12776" s="30" t="s">
        <v>20</v>
      </c>
      <c r="H12776" s="32">
        <v>49</v>
      </c>
      <c r="I12776" s="30" t="s">
        <v>21</v>
      </c>
      <c r="J12776" s="41">
        <v>44860</v>
      </c>
      <c r="K12776" s="30" t="s">
        <v>22</v>
      </c>
    </row>
    <row r="12777" spans="1:11">
      <c r="A12777" s="33" t="s">
        <v>28939</v>
      </c>
      <c r="B12777" s="33" t="s">
        <v>28940</v>
      </c>
      <c r="C12777" s="33" t="s">
        <v>17410</v>
      </c>
      <c r="D12777" s="33" t="s">
        <v>17</v>
      </c>
      <c r="E12777" s="33" t="s">
        <v>26</v>
      </c>
      <c r="F12777" s="33" t="s">
        <v>27</v>
      </c>
      <c r="G12777" s="33" t="s">
        <v>20</v>
      </c>
      <c r="H12777" s="35">
        <v>2</v>
      </c>
      <c r="I12777" s="33" t="s">
        <v>21</v>
      </c>
      <c r="J12777" s="42">
        <v>44763</v>
      </c>
      <c r="K12777" s="33" t="s">
        <v>22</v>
      </c>
    </row>
    <row r="12778" spans="1:11">
      <c r="A12778" s="30" t="s">
        <v>28941</v>
      </c>
      <c r="B12778" s="30" t="s">
        <v>28942</v>
      </c>
      <c r="C12778" s="30" t="s">
        <v>507</v>
      </c>
      <c r="D12778" s="30" t="s">
        <v>17</v>
      </c>
      <c r="E12778" s="30" t="s">
        <v>18</v>
      </c>
      <c r="F12778" s="30" t="s">
        <v>19</v>
      </c>
      <c r="G12778" s="30" t="s">
        <v>50</v>
      </c>
      <c r="H12778" s="32">
        <v>126</v>
      </c>
      <c r="I12778" s="30" t="s">
        <v>51</v>
      </c>
      <c r="J12778" s="41">
        <v>44774</v>
      </c>
      <c r="K12778" s="30" t="s">
        <v>22</v>
      </c>
    </row>
    <row r="12779" spans="1:11">
      <c r="A12779" s="33" t="s">
        <v>28943</v>
      </c>
      <c r="B12779" s="33" t="s">
        <v>28944</v>
      </c>
      <c r="C12779" s="33" t="s">
        <v>647</v>
      </c>
      <c r="D12779" s="33" t="s">
        <v>17</v>
      </c>
      <c r="E12779" s="33" t="s">
        <v>18</v>
      </c>
      <c r="F12779" s="33" t="s">
        <v>19</v>
      </c>
      <c r="G12779" s="33" t="s">
        <v>20</v>
      </c>
      <c r="H12779" s="35">
        <v>94</v>
      </c>
      <c r="I12779" s="33" t="s">
        <v>21</v>
      </c>
      <c r="J12779" s="42">
        <v>44726</v>
      </c>
      <c r="K12779" s="33" t="s">
        <v>22</v>
      </c>
    </row>
    <row r="12780" spans="1:11">
      <c r="A12780" s="30" t="s">
        <v>28945</v>
      </c>
      <c r="B12780" s="30" t="s">
        <v>28946</v>
      </c>
      <c r="C12780" s="30" t="s">
        <v>11378</v>
      </c>
      <c r="D12780" s="30" t="s">
        <v>17</v>
      </c>
      <c r="E12780" s="30" t="s">
        <v>18</v>
      </c>
      <c r="F12780" s="30" t="s">
        <v>19</v>
      </c>
      <c r="G12780" s="30" t="s">
        <v>106</v>
      </c>
      <c r="H12780" s="32">
        <v>158</v>
      </c>
      <c r="I12780" s="30" t="s">
        <v>21</v>
      </c>
      <c r="J12780" s="41">
        <v>44680</v>
      </c>
      <c r="K12780" s="30" t="s">
        <v>22</v>
      </c>
    </row>
    <row r="12781" spans="1:11">
      <c r="A12781" s="33" t="s">
        <v>28947</v>
      </c>
      <c r="B12781" s="33" t="s">
        <v>28948</v>
      </c>
      <c r="C12781" s="33" t="s">
        <v>28949</v>
      </c>
      <c r="D12781" s="33" t="s">
        <v>17</v>
      </c>
      <c r="E12781" s="33" t="s">
        <v>18</v>
      </c>
      <c r="F12781" s="33" t="s">
        <v>19</v>
      </c>
      <c r="G12781" s="33" t="s">
        <v>140</v>
      </c>
      <c r="H12781" s="35">
        <v>366</v>
      </c>
      <c r="I12781" s="33" t="s">
        <v>51</v>
      </c>
      <c r="J12781" s="42">
        <v>44728</v>
      </c>
      <c r="K12781" s="33" t="s">
        <v>22</v>
      </c>
    </row>
    <row r="12782" spans="1:11">
      <c r="A12782" s="30" t="s">
        <v>28950</v>
      </c>
      <c r="B12782" s="30" t="s">
        <v>28951</v>
      </c>
      <c r="C12782" s="30" t="s">
        <v>4671</v>
      </c>
      <c r="D12782" s="30" t="s">
        <v>17</v>
      </c>
      <c r="E12782" s="30" t="s">
        <v>26</v>
      </c>
      <c r="F12782" s="30" t="s">
        <v>27</v>
      </c>
      <c r="G12782" s="30" t="s">
        <v>20</v>
      </c>
      <c r="H12782" s="32">
        <v>30</v>
      </c>
      <c r="I12782" s="30" t="s">
        <v>21</v>
      </c>
      <c r="J12782" s="41">
        <v>44693</v>
      </c>
      <c r="K12782" s="30" t="s">
        <v>22</v>
      </c>
    </row>
    <row r="12783" spans="1:11">
      <c r="A12783" s="33" t="s">
        <v>28952</v>
      </c>
      <c r="B12783" s="33" t="s">
        <v>28953</v>
      </c>
      <c r="C12783" s="33" t="s">
        <v>26597</v>
      </c>
      <c r="D12783" s="33" t="s">
        <v>17</v>
      </c>
      <c r="E12783" s="33" t="s">
        <v>26</v>
      </c>
      <c r="F12783" s="33" t="s">
        <v>27</v>
      </c>
      <c r="G12783" s="33" t="s">
        <v>20</v>
      </c>
      <c r="H12783" s="35">
        <v>32</v>
      </c>
      <c r="I12783" s="33" t="s">
        <v>21</v>
      </c>
      <c r="J12783" s="42">
        <v>44831</v>
      </c>
      <c r="K12783" s="33" t="s">
        <v>22</v>
      </c>
    </row>
    <row r="12784" spans="1:11">
      <c r="A12784" s="30" t="s">
        <v>28954</v>
      </c>
      <c r="B12784" s="30" t="s">
        <v>28955</v>
      </c>
      <c r="C12784" s="30" t="s">
        <v>22217</v>
      </c>
      <c r="D12784" s="30" t="s">
        <v>17</v>
      </c>
      <c r="E12784" s="30" t="s">
        <v>212</v>
      </c>
      <c r="F12784" s="30" t="s">
        <v>213</v>
      </c>
      <c r="G12784" s="30" t="s">
        <v>50</v>
      </c>
      <c r="H12784" s="32">
        <v>100</v>
      </c>
      <c r="I12784" s="30" t="s">
        <v>51</v>
      </c>
      <c r="J12784" s="41">
        <v>44621</v>
      </c>
      <c r="K12784" s="30" t="s">
        <v>22</v>
      </c>
    </row>
    <row r="12785" spans="1:11">
      <c r="A12785" s="33" t="s">
        <v>28956</v>
      </c>
      <c r="B12785" s="33" t="s">
        <v>28957</v>
      </c>
      <c r="C12785" s="33" t="s">
        <v>136</v>
      </c>
      <c r="D12785" s="33" t="s">
        <v>17</v>
      </c>
      <c r="E12785" s="33" t="s">
        <v>26</v>
      </c>
      <c r="F12785" s="33" t="s">
        <v>27</v>
      </c>
      <c r="G12785" s="33" t="s">
        <v>106</v>
      </c>
      <c r="H12785" s="35">
        <v>41</v>
      </c>
      <c r="I12785" s="33" t="s">
        <v>21</v>
      </c>
      <c r="J12785" s="42">
        <v>44879</v>
      </c>
      <c r="K12785" s="33" t="s">
        <v>22</v>
      </c>
    </row>
    <row r="12786" spans="1:11">
      <c r="A12786" s="30" t="s">
        <v>28958</v>
      </c>
      <c r="B12786" s="30" t="s">
        <v>28959</v>
      </c>
      <c r="C12786" s="30" t="s">
        <v>2196</v>
      </c>
      <c r="D12786" s="30" t="s">
        <v>17</v>
      </c>
      <c r="E12786" s="30" t="s">
        <v>26</v>
      </c>
      <c r="F12786" s="30" t="s">
        <v>27</v>
      </c>
      <c r="G12786" s="30" t="s">
        <v>20</v>
      </c>
      <c r="H12786" s="32">
        <v>89</v>
      </c>
      <c r="I12786" s="30" t="s">
        <v>21</v>
      </c>
      <c r="J12786" s="41">
        <v>44565</v>
      </c>
      <c r="K12786" s="30" t="s">
        <v>22</v>
      </c>
    </row>
    <row r="12787" spans="1:11">
      <c r="A12787" s="33" t="s">
        <v>28960</v>
      </c>
      <c r="B12787" s="33" t="s">
        <v>28961</v>
      </c>
      <c r="C12787" s="33" t="s">
        <v>450</v>
      </c>
      <c r="D12787" s="33" t="s">
        <v>17</v>
      </c>
      <c r="E12787" s="33" t="s">
        <v>18</v>
      </c>
      <c r="F12787" s="33" t="s">
        <v>19</v>
      </c>
      <c r="G12787" s="33" t="s">
        <v>158</v>
      </c>
      <c r="H12787" s="35">
        <v>260</v>
      </c>
      <c r="I12787" s="33" t="s">
        <v>21</v>
      </c>
      <c r="J12787" s="42">
        <v>44886</v>
      </c>
      <c r="K12787" s="33" t="s">
        <v>22</v>
      </c>
    </row>
    <row r="12788" spans="1:11">
      <c r="A12788" s="30" t="s">
        <v>28962</v>
      </c>
      <c r="B12788" s="30" t="s">
        <v>28963</v>
      </c>
      <c r="C12788" s="30" t="s">
        <v>1072</v>
      </c>
      <c r="D12788" s="30" t="s">
        <v>17</v>
      </c>
      <c r="E12788" s="30" t="s">
        <v>26</v>
      </c>
      <c r="F12788" s="30" t="s">
        <v>27</v>
      </c>
      <c r="G12788" s="30" t="s">
        <v>158</v>
      </c>
      <c r="H12788" s="32">
        <v>72</v>
      </c>
      <c r="I12788" s="30" t="s">
        <v>21</v>
      </c>
      <c r="J12788" s="41">
        <v>44630</v>
      </c>
      <c r="K12788" s="30" t="s">
        <v>22</v>
      </c>
    </row>
    <row r="12789" spans="1:11">
      <c r="A12789" s="33" t="s">
        <v>28964</v>
      </c>
      <c r="B12789" s="33" t="s">
        <v>28965</v>
      </c>
      <c r="C12789" s="33" t="s">
        <v>5655</v>
      </c>
      <c r="D12789" s="33" t="s">
        <v>17</v>
      </c>
      <c r="E12789" s="33" t="s">
        <v>26</v>
      </c>
      <c r="F12789" s="33" t="s">
        <v>27</v>
      </c>
      <c r="G12789" s="33" t="s">
        <v>20</v>
      </c>
      <c r="H12789" s="35">
        <v>6</v>
      </c>
      <c r="I12789" s="33" t="s">
        <v>21</v>
      </c>
      <c r="J12789" s="42">
        <v>44676</v>
      </c>
      <c r="K12789" s="33" t="s">
        <v>22</v>
      </c>
    </row>
    <row r="12790" spans="1:11">
      <c r="A12790" s="30" t="s">
        <v>28966</v>
      </c>
      <c r="B12790" s="30" t="s">
        <v>28967</v>
      </c>
      <c r="C12790" s="30" t="s">
        <v>1801</v>
      </c>
      <c r="D12790" s="30" t="s">
        <v>17</v>
      </c>
      <c r="E12790" s="30" t="s">
        <v>31</v>
      </c>
      <c r="F12790" s="30" t="s">
        <v>32</v>
      </c>
      <c r="G12790" s="30" t="s">
        <v>50</v>
      </c>
      <c r="H12790" s="32">
        <v>72</v>
      </c>
      <c r="I12790" s="30" t="s">
        <v>51</v>
      </c>
      <c r="J12790" s="41">
        <v>44701</v>
      </c>
      <c r="K12790" s="30" t="s">
        <v>22</v>
      </c>
    </row>
    <row r="12791" spans="1:11">
      <c r="A12791" s="33" t="s">
        <v>28968</v>
      </c>
      <c r="B12791" s="33" t="s">
        <v>28969</v>
      </c>
      <c r="C12791" s="33" t="s">
        <v>102</v>
      </c>
      <c r="D12791" s="33" t="s">
        <v>17</v>
      </c>
      <c r="E12791" s="33" t="s">
        <v>31</v>
      </c>
      <c r="F12791" s="33" t="s">
        <v>32</v>
      </c>
      <c r="G12791" s="33" t="s">
        <v>20</v>
      </c>
      <c r="H12791" s="35">
        <v>227</v>
      </c>
      <c r="I12791" s="33" t="s">
        <v>21</v>
      </c>
      <c r="J12791" s="42">
        <v>44722</v>
      </c>
      <c r="K12791" s="33" t="s">
        <v>22</v>
      </c>
    </row>
    <row r="12792" spans="1:11">
      <c r="A12792" s="30" t="s">
        <v>28970</v>
      </c>
      <c r="B12792" s="30" t="s">
        <v>28971</v>
      </c>
      <c r="C12792" s="30" t="s">
        <v>7976</v>
      </c>
      <c r="D12792" s="30" t="s">
        <v>17</v>
      </c>
      <c r="E12792" s="30" t="s">
        <v>18</v>
      </c>
      <c r="F12792" s="30" t="s">
        <v>19</v>
      </c>
      <c r="G12792" s="30" t="s">
        <v>112</v>
      </c>
      <c r="H12792" s="32">
        <v>0</v>
      </c>
      <c r="I12792" s="30" t="s">
        <v>21</v>
      </c>
      <c r="J12792" s="41">
        <v>44652</v>
      </c>
      <c r="K12792" s="30" t="s">
        <v>22</v>
      </c>
    </row>
    <row r="12793" spans="1:11">
      <c r="A12793" s="33" t="s">
        <v>28972</v>
      </c>
      <c r="B12793" s="33" t="s">
        <v>28973</v>
      </c>
      <c r="C12793" s="33" t="s">
        <v>28974</v>
      </c>
      <c r="D12793" s="33" t="s">
        <v>17</v>
      </c>
      <c r="E12793" s="33" t="s">
        <v>26</v>
      </c>
      <c r="F12793" s="33" t="s">
        <v>27</v>
      </c>
      <c r="G12793" s="33" t="s">
        <v>20</v>
      </c>
      <c r="H12793" s="35">
        <v>12</v>
      </c>
      <c r="I12793" s="33" t="s">
        <v>21</v>
      </c>
      <c r="J12793" s="42">
        <v>44656</v>
      </c>
      <c r="K12793" s="33" t="s">
        <v>22</v>
      </c>
    </row>
    <row r="12794" spans="1:11">
      <c r="A12794" s="30" t="s">
        <v>28975</v>
      </c>
      <c r="B12794" s="30" t="s">
        <v>28976</v>
      </c>
      <c r="C12794" s="30" t="s">
        <v>787</v>
      </c>
      <c r="D12794" s="30" t="s">
        <v>17</v>
      </c>
      <c r="E12794" s="30" t="s">
        <v>31</v>
      </c>
      <c r="F12794" s="30" t="s">
        <v>32</v>
      </c>
      <c r="G12794" s="30" t="s">
        <v>140</v>
      </c>
      <c r="H12794" s="32">
        <v>70</v>
      </c>
      <c r="I12794" s="30" t="s">
        <v>51</v>
      </c>
      <c r="J12794" s="41">
        <v>44880</v>
      </c>
      <c r="K12794" s="30" t="s">
        <v>22</v>
      </c>
    </row>
    <row r="12795" spans="1:11">
      <c r="A12795" s="33" t="s">
        <v>28977</v>
      </c>
      <c r="B12795" s="33" t="s">
        <v>28978</v>
      </c>
      <c r="C12795" s="33" t="s">
        <v>28979</v>
      </c>
      <c r="D12795" s="33" t="s">
        <v>17</v>
      </c>
      <c r="E12795" s="33" t="s">
        <v>26</v>
      </c>
      <c r="F12795" s="33" t="s">
        <v>27</v>
      </c>
      <c r="G12795" s="33" t="s">
        <v>20</v>
      </c>
      <c r="H12795" s="35">
        <v>40</v>
      </c>
      <c r="I12795" s="33" t="s">
        <v>21</v>
      </c>
      <c r="J12795" s="42">
        <v>44803</v>
      </c>
      <c r="K12795" s="33" t="s">
        <v>22</v>
      </c>
    </row>
    <row r="12796" spans="1:11">
      <c r="A12796" s="30" t="s">
        <v>28980</v>
      </c>
      <c r="B12796" s="30" t="s">
        <v>28981</v>
      </c>
      <c r="C12796" s="30" t="s">
        <v>3790</v>
      </c>
      <c r="D12796" s="30" t="s">
        <v>17</v>
      </c>
      <c r="E12796" s="30" t="s">
        <v>26</v>
      </c>
      <c r="F12796" s="30" t="s">
        <v>27</v>
      </c>
      <c r="G12796" s="30" t="s">
        <v>20</v>
      </c>
      <c r="H12796" s="32">
        <v>15</v>
      </c>
      <c r="I12796" s="30" t="s">
        <v>21</v>
      </c>
      <c r="J12796" s="41">
        <v>44613</v>
      </c>
      <c r="K12796" s="30" t="s">
        <v>22</v>
      </c>
    </row>
    <row r="12797" spans="1:11">
      <c r="A12797" s="33" t="s">
        <v>28982</v>
      </c>
      <c r="B12797" s="33" t="s">
        <v>28983</v>
      </c>
      <c r="C12797" s="33" t="s">
        <v>644</v>
      </c>
      <c r="D12797" s="33" t="s">
        <v>17</v>
      </c>
      <c r="E12797" s="33" t="s">
        <v>26</v>
      </c>
      <c r="F12797" s="33" t="s">
        <v>27</v>
      </c>
      <c r="G12797" s="33" t="s">
        <v>20</v>
      </c>
      <c r="H12797" s="35">
        <v>92</v>
      </c>
      <c r="I12797" s="33" t="s">
        <v>21</v>
      </c>
      <c r="J12797" s="42">
        <v>44692</v>
      </c>
      <c r="K12797" s="33" t="s">
        <v>22</v>
      </c>
    </row>
    <row r="12798" spans="1:11">
      <c r="A12798" s="30" t="s">
        <v>28984</v>
      </c>
      <c r="B12798" s="30" t="s">
        <v>28985</v>
      </c>
      <c r="C12798" s="30" t="s">
        <v>9961</v>
      </c>
      <c r="D12798" s="30" t="s">
        <v>17</v>
      </c>
      <c r="E12798" s="30" t="s">
        <v>26</v>
      </c>
      <c r="F12798" s="30" t="s">
        <v>27</v>
      </c>
      <c r="G12798" s="30" t="s">
        <v>50</v>
      </c>
      <c r="H12798" s="32">
        <v>48</v>
      </c>
      <c r="I12798" s="30" t="s">
        <v>21</v>
      </c>
      <c r="J12798" s="41">
        <v>44768</v>
      </c>
      <c r="K12798" s="30" t="s">
        <v>22</v>
      </c>
    </row>
    <row r="12799" spans="1:11">
      <c r="A12799" s="33" t="s">
        <v>28986</v>
      </c>
      <c r="B12799" s="33" t="s">
        <v>28987</v>
      </c>
      <c r="C12799" s="33" t="s">
        <v>252</v>
      </c>
      <c r="D12799" s="33" t="s">
        <v>17</v>
      </c>
      <c r="E12799" s="33" t="s">
        <v>67</v>
      </c>
      <c r="F12799" s="33" t="s">
        <v>68</v>
      </c>
      <c r="G12799" s="33" t="s">
        <v>20</v>
      </c>
      <c r="H12799" s="35">
        <v>36</v>
      </c>
      <c r="I12799" s="33" t="s">
        <v>21</v>
      </c>
      <c r="J12799" s="42">
        <v>44799</v>
      </c>
      <c r="K12799" s="33" t="s">
        <v>22</v>
      </c>
    </row>
    <row r="12800" spans="1:11">
      <c r="A12800" s="30" t="s">
        <v>28988</v>
      </c>
      <c r="B12800" s="30" t="s">
        <v>28989</v>
      </c>
      <c r="C12800" s="30" t="s">
        <v>28990</v>
      </c>
      <c r="D12800" s="30" t="s">
        <v>17</v>
      </c>
      <c r="E12800" s="30" t="s">
        <v>26</v>
      </c>
      <c r="F12800" s="30" t="s">
        <v>27</v>
      </c>
      <c r="G12800" s="30" t="s">
        <v>140</v>
      </c>
      <c r="H12800" s="32">
        <v>90</v>
      </c>
      <c r="I12800" s="30" t="s">
        <v>51</v>
      </c>
      <c r="J12800" s="41">
        <v>44651</v>
      </c>
      <c r="K12800" s="30" t="s">
        <v>22</v>
      </c>
    </row>
    <row r="12801" spans="1:11">
      <c r="A12801" s="33" t="s">
        <v>28991</v>
      </c>
      <c r="B12801" s="33" t="s">
        <v>28992</v>
      </c>
      <c r="C12801" s="33" t="s">
        <v>801</v>
      </c>
      <c r="D12801" s="33" t="s">
        <v>17</v>
      </c>
      <c r="E12801" s="33" t="s">
        <v>31</v>
      </c>
      <c r="F12801" s="33" t="s">
        <v>32</v>
      </c>
      <c r="G12801" s="33" t="s">
        <v>158</v>
      </c>
      <c r="H12801" s="35">
        <v>416</v>
      </c>
      <c r="I12801" s="33" t="s">
        <v>21</v>
      </c>
      <c r="J12801" s="42">
        <v>44797</v>
      </c>
      <c r="K12801" s="33" t="s">
        <v>22</v>
      </c>
    </row>
    <row r="12802" spans="1:11">
      <c r="A12802" s="30" t="s">
        <v>28993</v>
      </c>
      <c r="B12802" s="30" t="s">
        <v>28994</v>
      </c>
      <c r="C12802" s="30" t="s">
        <v>5948</v>
      </c>
      <c r="D12802" s="30" t="s">
        <v>17</v>
      </c>
      <c r="E12802" s="30" t="s">
        <v>18</v>
      </c>
      <c r="F12802" s="30" t="s">
        <v>19</v>
      </c>
      <c r="G12802" s="30" t="s">
        <v>20</v>
      </c>
      <c r="H12802" s="32">
        <v>163</v>
      </c>
      <c r="I12802" s="30" t="s">
        <v>21</v>
      </c>
      <c r="J12802" s="41">
        <v>44857</v>
      </c>
      <c r="K12802" s="30" t="s">
        <v>22</v>
      </c>
    </row>
    <row r="12803" spans="1:11">
      <c r="A12803" s="33" t="s">
        <v>28995</v>
      </c>
      <c r="B12803" s="33" t="s">
        <v>28996</v>
      </c>
      <c r="C12803" s="33" t="s">
        <v>130</v>
      </c>
      <c r="D12803" s="33" t="s">
        <v>17</v>
      </c>
      <c r="E12803" s="33" t="s">
        <v>26</v>
      </c>
      <c r="F12803" s="33" t="s">
        <v>27</v>
      </c>
      <c r="G12803" s="33" t="s">
        <v>20</v>
      </c>
      <c r="H12803" s="35">
        <v>25</v>
      </c>
      <c r="I12803" s="33" t="s">
        <v>21</v>
      </c>
      <c r="J12803" s="42">
        <v>44903</v>
      </c>
      <c r="K12803" s="33" t="s">
        <v>22</v>
      </c>
    </row>
    <row r="12804" spans="1:11">
      <c r="A12804" s="30" t="s">
        <v>28997</v>
      </c>
      <c r="B12804" s="30" t="s">
        <v>28998</v>
      </c>
      <c r="C12804" s="30" t="s">
        <v>20752</v>
      </c>
      <c r="D12804" s="30" t="s">
        <v>17</v>
      </c>
      <c r="E12804" s="30" t="s">
        <v>26</v>
      </c>
      <c r="F12804" s="30" t="s">
        <v>27</v>
      </c>
      <c r="G12804" s="30" t="s">
        <v>50</v>
      </c>
      <c r="H12804" s="32">
        <v>72</v>
      </c>
      <c r="I12804" s="30" t="s">
        <v>51</v>
      </c>
      <c r="J12804" s="41">
        <v>44627</v>
      </c>
      <c r="K12804" s="30" t="s">
        <v>22</v>
      </c>
    </row>
    <row r="12805" spans="1:11">
      <c r="A12805" s="33" t="s">
        <v>28999</v>
      </c>
      <c r="B12805" s="33" t="s">
        <v>29000</v>
      </c>
      <c r="C12805" s="33" t="s">
        <v>187</v>
      </c>
      <c r="D12805" s="33" t="s">
        <v>17</v>
      </c>
      <c r="E12805" s="33" t="s">
        <v>18</v>
      </c>
      <c r="F12805" s="33" t="s">
        <v>19</v>
      </c>
      <c r="G12805" s="33" t="s">
        <v>50</v>
      </c>
      <c r="H12805" s="35">
        <v>50</v>
      </c>
      <c r="I12805" s="33" t="s">
        <v>51</v>
      </c>
      <c r="J12805" s="42">
        <v>44679</v>
      </c>
      <c r="K12805" s="33" t="s">
        <v>22</v>
      </c>
    </row>
    <row r="12806" spans="1:11">
      <c r="A12806" s="30" t="s">
        <v>29001</v>
      </c>
      <c r="B12806" s="30" t="s">
        <v>29002</v>
      </c>
      <c r="C12806" s="30" t="s">
        <v>995</v>
      </c>
      <c r="D12806" s="30" t="s">
        <v>17</v>
      </c>
      <c r="E12806" s="30" t="s">
        <v>18</v>
      </c>
      <c r="F12806" s="30" t="s">
        <v>19</v>
      </c>
      <c r="G12806" s="30" t="s">
        <v>158</v>
      </c>
      <c r="H12806" s="32">
        <v>136</v>
      </c>
      <c r="I12806" s="30" t="s">
        <v>21</v>
      </c>
      <c r="J12806" s="41">
        <v>44582</v>
      </c>
      <c r="K12806" s="30" t="s">
        <v>22</v>
      </c>
    </row>
    <row r="12807" spans="1:11">
      <c r="A12807" s="33" t="s">
        <v>29003</v>
      </c>
      <c r="B12807" s="33" t="s">
        <v>29004</v>
      </c>
      <c r="C12807" s="33" t="s">
        <v>1598</v>
      </c>
      <c r="D12807" s="33" t="s">
        <v>17</v>
      </c>
      <c r="E12807" s="33" t="s">
        <v>26</v>
      </c>
      <c r="F12807" s="33" t="s">
        <v>27</v>
      </c>
      <c r="G12807" s="33" t="s">
        <v>158</v>
      </c>
      <c r="H12807" s="35">
        <v>40</v>
      </c>
      <c r="I12807" s="33" t="s">
        <v>21</v>
      </c>
      <c r="J12807" s="42">
        <v>44795</v>
      </c>
      <c r="K12807" s="33" t="s">
        <v>22</v>
      </c>
    </row>
    <row r="12808" spans="1:11">
      <c r="A12808" s="30" t="s">
        <v>29005</v>
      </c>
      <c r="B12808" s="30" t="s">
        <v>29006</v>
      </c>
      <c r="C12808" s="30" t="s">
        <v>10974</v>
      </c>
      <c r="D12808" s="30" t="s">
        <v>17</v>
      </c>
      <c r="E12808" s="30" t="s">
        <v>212</v>
      </c>
      <c r="F12808" s="30" t="s">
        <v>213</v>
      </c>
      <c r="G12808" s="30" t="s">
        <v>158</v>
      </c>
      <c r="H12808" s="32">
        <v>52</v>
      </c>
      <c r="I12808" s="30" t="s">
        <v>21</v>
      </c>
      <c r="J12808" s="41">
        <v>44854</v>
      </c>
      <c r="K12808" s="30" t="s">
        <v>22</v>
      </c>
    </row>
    <row r="12809" spans="1:11">
      <c r="A12809" s="33" t="s">
        <v>29007</v>
      </c>
      <c r="B12809" s="33" t="s">
        <v>29008</v>
      </c>
      <c r="C12809" s="33" t="s">
        <v>29009</v>
      </c>
      <c r="D12809" s="33" t="s">
        <v>17</v>
      </c>
      <c r="E12809" s="33" t="s">
        <v>26</v>
      </c>
      <c r="F12809" s="33" t="s">
        <v>27</v>
      </c>
      <c r="G12809" s="33" t="s">
        <v>20</v>
      </c>
      <c r="H12809" s="35">
        <v>64</v>
      </c>
      <c r="I12809" s="33" t="s">
        <v>21</v>
      </c>
      <c r="J12809" s="42">
        <v>44727</v>
      </c>
      <c r="K12809" s="33" t="s">
        <v>22</v>
      </c>
    </row>
    <row r="12810" spans="1:11">
      <c r="A12810" s="30" t="s">
        <v>29010</v>
      </c>
      <c r="B12810" s="30" t="s">
        <v>29011</v>
      </c>
      <c r="C12810" s="30" t="s">
        <v>29012</v>
      </c>
      <c r="D12810" s="30" t="s">
        <v>17</v>
      </c>
      <c r="E12810" s="30" t="s">
        <v>212</v>
      </c>
      <c r="F12810" s="30" t="s">
        <v>213</v>
      </c>
      <c r="G12810" s="30" t="s">
        <v>20</v>
      </c>
      <c r="H12810" s="32">
        <v>360</v>
      </c>
      <c r="I12810" s="30" t="s">
        <v>21</v>
      </c>
      <c r="J12810" s="41">
        <v>44842</v>
      </c>
      <c r="K12810" s="30" t="s">
        <v>22</v>
      </c>
    </row>
    <row r="12811" spans="1:11">
      <c r="A12811" s="33" t="s">
        <v>29013</v>
      </c>
      <c r="B12811" s="33" t="s">
        <v>29014</v>
      </c>
      <c r="C12811" s="33" t="s">
        <v>252</v>
      </c>
      <c r="D12811" s="33" t="s">
        <v>17</v>
      </c>
      <c r="E12811" s="33" t="s">
        <v>18</v>
      </c>
      <c r="F12811" s="33" t="s">
        <v>19</v>
      </c>
      <c r="G12811" s="33" t="s">
        <v>158</v>
      </c>
      <c r="H12811" s="35">
        <v>322</v>
      </c>
      <c r="I12811" s="33" t="s">
        <v>21</v>
      </c>
      <c r="J12811" s="42">
        <v>44586</v>
      </c>
      <c r="K12811" s="33" t="s">
        <v>22</v>
      </c>
    </row>
    <row r="12812" spans="1:11">
      <c r="A12812" s="30" t="s">
        <v>29015</v>
      </c>
      <c r="B12812" s="30" t="s">
        <v>29016</v>
      </c>
      <c r="C12812" s="30" t="s">
        <v>29017</v>
      </c>
      <c r="D12812" s="30" t="s">
        <v>17</v>
      </c>
      <c r="E12812" s="30" t="s">
        <v>26</v>
      </c>
      <c r="F12812" s="30" t="s">
        <v>27</v>
      </c>
      <c r="G12812" s="30" t="s">
        <v>20</v>
      </c>
      <c r="H12812" s="32">
        <v>60</v>
      </c>
      <c r="I12812" s="30" t="s">
        <v>21</v>
      </c>
      <c r="J12812" s="41">
        <v>44607</v>
      </c>
      <c r="K12812" s="30" t="s">
        <v>22</v>
      </c>
    </row>
    <row r="12813" spans="1:11">
      <c r="A12813" s="33" t="s">
        <v>29018</v>
      </c>
      <c r="B12813" s="33" t="s">
        <v>29019</v>
      </c>
      <c r="C12813" s="33" t="s">
        <v>124</v>
      </c>
      <c r="D12813" s="33" t="s">
        <v>17</v>
      </c>
      <c r="E12813" s="33" t="s">
        <v>18</v>
      </c>
      <c r="F12813" s="33" t="s">
        <v>19</v>
      </c>
      <c r="G12813" s="33" t="s">
        <v>20</v>
      </c>
      <c r="H12813" s="35">
        <v>387</v>
      </c>
      <c r="I12813" s="33" t="s">
        <v>21</v>
      </c>
      <c r="J12813" s="42">
        <v>44720</v>
      </c>
      <c r="K12813" s="33" t="s">
        <v>22</v>
      </c>
    </row>
    <row r="12814" spans="1:11">
      <c r="A12814" s="30" t="s">
        <v>29020</v>
      </c>
      <c r="B12814" s="30" t="s">
        <v>29021</v>
      </c>
      <c r="C12814" s="30" t="s">
        <v>29022</v>
      </c>
      <c r="D12814" s="30" t="s">
        <v>17</v>
      </c>
      <c r="E12814" s="30" t="s">
        <v>26</v>
      </c>
      <c r="F12814" s="30" t="s">
        <v>27</v>
      </c>
      <c r="G12814" s="30" t="s">
        <v>20</v>
      </c>
      <c r="H12814" s="32">
        <v>13</v>
      </c>
      <c r="I12814" s="30" t="s">
        <v>21</v>
      </c>
      <c r="J12814" s="41">
        <v>44747</v>
      </c>
      <c r="K12814" s="30" t="s">
        <v>22</v>
      </c>
    </row>
    <row r="12815" spans="1:11">
      <c r="A12815" s="33" t="s">
        <v>29023</v>
      </c>
      <c r="B12815" s="33" t="s">
        <v>29024</v>
      </c>
      <c r="C12815" s="33" t="s">
        <v>28417</v>
      </c>
      <c r="D12815" s="33" t="s">
        <v>17</v>
      </c>
      <c r="E12815" s="33" t="s">
        <v>31</v>
      </c>
      <c r="F12815" s="33" t="s">
        <v>32</v>
      </c>
      <c r="G12815" s="33" t="s">
        <v>20</v>
      </c>
      <c r="H12815" s="35">
        <v>25</v>
      </c>
      <c r="I12815" s="33" t="s">
        <v>21</v>
      </c>
      <c r="J12815" s="42">
        <v>44700</v>
      </c>
      <c r="K12815" s="33" t="s">
        <v>22</v>
      </c>
    </row>
    <row r="12816" spans="1:11">
      <c r="A12816" s="30" t="s">
        <v>29025</v>
      </c>
      <c r="B12816" s="30" t="s">
        <v>29026</v>
      </c>
      <c r="C12816" s="30" t="s">
        <v>18780</v>
      </c>
      <c r="D12816" s="30" t="s">
        <v>17</v>
      </c>
      <c r="E12816" s="30" t="s">
        <v>18</v>
      </c>
      <c r="F12816" s="30" t="s">
        <v>19</v>
      </c>
      <c r="G12816" s="30" t="s">
        <v>20</v>
      </c>
      <c r="H12816" s="32">
        <v>106</v>
      </c>
      <c r="I12816" s="30" t="s">
        <v>21</v>
      </c>
      <c r="J12816" s="41">
        <v>44904</v>
      </c>
      <c r="K12816" s="30" t="s">
        <v>22</v>
      </c>
    </row>
    <row r="12817" spans="1:11">
      <c r="A12817" s="33" t="s">
        <v>29027</v>
      </c>
      <c r="B12817" s="33" t="s">
        <v>29028</v>
      </c>
      <c r="C12817" s="33" t="s">
        <v>29029</v>
      </c>
      <c r="D12817" s="33" t="s">
        <v>17</v>
      </c>
      <c r="E12817" s="33" t="s">
        <v>26</v>
      </c>
      <c r="F12817" s="33" t="s">
        <v>27</v>
      </c>
      <c r="G12817" s="33" t="s">
        <v>106</v>
      </c>
      <c r="H12817" s="35">
        <v>4</v>
      </c>
      <c r="I12817" s="33" t="s">
        <v>21</v>
      </c>
      <c r="J12817" s="42">
        <v>44853</v>
      </c>
      <c r="K12817" s="33" t="s">
        <v>22</v>
      </c>
    </row>
    <row r="12818" spans="1:11">
      <c r="A12818" s="30" t="s">
        <v>29030</v>
      </c>
      <c r="B12818" s="30" t="s">
        <v>29031</v>
      </c>
      <c r="C12818" s="30" t="s">
        <v>4671</v>
      </c>
      <c r="D12818" s="30" t="s">
        <v>17</v>
      </c>
      <c r="E12818" s="30" t="s">
        <v>26</v>
      </c>
      <c r="F12818" s="30" t="s">
        <v>27</v>
      </c>
      <c r="G12818" s="30" t="s">
        <v>20</v>
      </c>
      <c r="H12818" s="32">
        <v>40</v>
      </c>
      <c r="I12818" s="30" t="s">
        <v>21</v>
      </c>
      <c r="J12818" s="41">
        <v>44693</v>
      </c>
      <c r="K12818" s="30" t="s">
        <v>22</v>
      </c>
    </row>
    <row r="12819" spans="1:11">
      <c r="A12819" s="33" t="s">
        <v>29032</v>
      </c>
      <c r="B12819" s="33" t="s">
        <v>29033</v>
      </c>
      <c r="C12819" s="33" t="s">
        <v>14661</v>
      </c>
      <c r="D12819" s="33" t="s">
        <v>17</v>
      </c>
      <c r="E12819" s="33" t="s">
        <v>31</v>
      </c>
      <c r="F12819" s="33" t="s">
        <v>32</v>
      </c>
      <c r="G12819" s="33" t="s">
        <v>106</v>
      </c>
      <c r="H12819" s="35">
        <v>79</v>
      </c>
      <c r="I12819" s="33" t="s">
        <v>21</v>
      </c>
      <c r="J12819" s="42">
        <v>44566</v>
      </c>
      <c r="K12819" s="33" t="s">
        <v>22</v>
      </c>
    </row>
    <row r="12820" spans="1:11">
      <c r="A12820" s="30" t="s">
        <v>29034</v>
      </c>
      <c r="B12820" s="30" t="s">
        <v>29035</v>
      </c>
      <c r="C12820" s="30" t="s">
        <v>149</v>
      </c>
      <c r="D12820" s="30" t="s">
        <v>17</v>
      </c>
      <c r="E12820" s="30" t="s">
        <v>31</v>
      </c>
      <c r="F12820" s="30" t="s">
        <v>32</v>
      </c>
      <c r="G12820" s="30" t="s">
        <v>106</v>
      </c>
      <c r="H12820" s="32">
        <v>110</v>
      </c>
      <c r="I12820" s="30" t="s">
        <v>21</v>
      </c>
      <c r="J12820" s="41">
        <v>44784</v>
      </c>
      <c r="K12820" s="30" t="s">
        <v>22</v>
      </c>
    </row>
    <row r="12821" spans="1:11">
      <c r="A12821" s="33" t="s">
        <v>29036</v>
      </c>
      <c r="B12821" s="33" t="s">
        <v>29037</v>
      </c>
      <c r="C12821" s="33" t="s">
        <v>3103</v>
      </c>
      <c r="D12821" s="33" t="s">
        <v>17</v>
      </c>
      <c r="E12821" s="33" t="s">
        <v>31</v>
      </c>
      <c r="F12821" s="33" t="s">
        <v>32</v>
      </c>
      <c r="G12821" s="33" t="s">
        <v>20</v>
      </c>
      <c r="H12821" s="35">
        <v>75</v>
      </c>
      <c r="I12821" s="33" t="s">
        <v>21</v>
      </c>
      <c r="J12821" s="42">
        <v>44616</v>
      </c>
      <c r="K12821" s="33" t="s">
        <v>22</v>
      </c>
    </row>
    <row r="12822" spans="1:11">
      <c r="A12822" s="30" t="s">
        <v>29038</v>
      </c>
      <c r="B12822" s="30" t="s">
        <v>29039</v>
      </c>
      <c r="C12822" s="30" t="s">
        <v>154</v>
      </c>
      <c r="D12822" s="30" t="s">
        <v>17</v>
      </c>
      <c r="E12822" s="30" t="s">
        <v>67</v>
      </c>
      <c r="F12822" s="30" t="s">
        <v>68</v>
      </c>
      <c r="G12822" s="30" t="s">
        <v>140</v>
      </c>
      <c r="H12822" s="32">
        <v>146</v>
      </c>
      <c r="I12822" s="30" t="s">
        <v>51</v>
      </c>
      <c r="J12822" s="41">
        <v>44687</v>
      </c>
      <c r="K12822" s="30" t="s">
        <v>22</v>
      </c>
    </row>
    <row r="12823" spans="1:11">
      <c r="A12823" s="33" t="s">
        <v>29040</v>
      </c>
      <c r="B12823" s="33" t="s">
        <v>29041</v>
      </c>
      <c r="C12823" s="33" t="s">
        <v>4348</v>
      </c>
      <c r="D12823" s="33" t="s">
        <v>17</v>
      </c>
      <c r="E12823" s="33" t="s">
        <v>26</v>
      </c>
      <c r="F12823" s="33" t="s">
        <v>27</v>
      </c>
      <c r="G12823" s="33" t="s">
        <v>158</v>
      </c>
      <c r="H12823" s="35">
        <v>33</v>
      </c>
      <c r="I12823" s="33" t="s">
        <v>21</v>
      </c>
      <c r="J12823" s="42">
        <v>44601</v>
      </c>
      <c r="K12823" s="33" t="s">
        <v>22</v>
      </c>
    </row>
    <row r="12824" spans="1:11">
      <c r="A12824" s="30" t="s">
        <v>29042</v>
      </c>
      <c r="B12824" s="30" t="s">
        <v>29043</v>
      </c>
      <c r="C12824" s="30" t="s">
        <v>801</v>
      </c>
      <c r="D12824" s="30" t="s">
        <v>17</v>
      </c>
      <c r="E12824" s="30" t="s">
        <v>18</v>
      </c>
      <c r="F12824" s="30" t="s">
        <v>19</v>
      </c>
      <c r="G12824" s="30" t="s">
        <v>106</v>
      </c>
      <c r="H12824" s="32">
        <v>21</v>
      </c>
      <c r="I12824" s="30" t="s">
        <v>21</v>
      </c>
      <c r="J12824" s="41">
        <v>44677</v>
      </c>
      <c r="K12824" s="30" t="s">
        <v>22</v>
      </c>
    </row>
    <row r="12825" spans="1:11">
      <c r="A12825" s="33" t="s">
        <v>29044</v>
      </c>
      <c r="B12825" s="33" t="s">
        <v>29045</v>
      </c>
      <c r="C12825" s="33" t="s">
        <v>14450</v>
      </c>
      <c r="D12825" s="33" t="s">
        <v>17</v>
      </c>
      <c r="E12825" s="33" t="s">
        <v>18</v>
      </c>
      <c r="F12825" s="33" t="s">
        <v>19</v>
      </c>
      <c r="G12825" s="33" t="s">
        <v>20</v>
      </c>
      <c r="H12825" s="35">
        <v>323</v>
      </c>
      <c r="I12825" s="33" t="s">
        <v>21</v>
      </c>
      <c r="J12825" s="42">
        <v>44810</v>
      </c>
      <c r="K12825" s="33" t="s">
        <v>22</v>
      </c>
    </row>
    <row r="12826" spans="1:11">
      <c r="A12826" s="30" t="s">
        <v>29046</v>
      </c>
      <c r="B12826" s="30" t="s">
        <v>29047</v>
      </c>
      <c r="C12826" s="30" t="s">
        <v>154</v>
      </c>
      <c r="D12826" s="30" t="s">
        <v>17</v>
      </c>
      <c r="E12826" s="30" t="s">
        <v>31</v>
      </c>
      <c r="F12826" s="30" t="s">
        <v>32</v>
      </c>
      <c r="G12826" s="30" t="s">
        <v>106</v>
      </c>
      <c r="H12826" s="32">
        <v>96</v>
      </c>
      <c r="I12826" s="30" t="s">
        <v>21</v>
      </c>
      <c r="J12826" s="41">
        <v>44837</v>
      </c>
      <c r="K12826" s="30" t="s">
        <v>22</v>
      </c>
    </row>
    <row r="12827" spans="1:11">
      <c r="A12827" s="33" t="s">
        <v>29048</v>
      </c>
      <c r="B12827" s="33" t="s">
        <v>29049</v>
      </c>
      <c r="C12827" s="33" t="s">
        <v>29050</v>
      </c>
      <c r="D12827" s="33" t="s">
        <v>17</v>
      </c>
      <c r="E12827" s="33" t="s">
        <v>18</v>
      </c>
      <c r="F12827" s="33" t="s">
        <v>19</v>
      </c>
      <c r="G12827" s="33" t="s">
        <v>20</v>
      </c>
      <c r="H12827" s="35">
        <v>476</v>
      </c>
      <c r="I12827" s="33" t="s">
        <v>21</v>
      </c>
      <c r="J12827" s="42">
        <v>44767</v>
      </c>
      <c r="K12827" s="33" t="s">
        <v>22</v>
      </c>
    </row>
    <row r="12828" spans="1:11">
      <c r="A12828" s="30" t="s">
        <v>29051</v>
      </c>
      <c r="B12828" s="30" t="s">
        <v>29052</v>
      </c>
      <c r="C12828" s="30" t="s">
        <v>13124</v>
      </c>
      <c r="D12828" s="30" t="s">
        <v>17</v>
      </c>
      <c r="E12828" s="30" t="s">
        <v>26</v>
      </c>
      <c r="F12828" s="30" t="s">
        <v>27</v>
      </c>
      <c r="G12828" s="30" t="s">
        <v>20</v>
      </c>
      <c r="H12828" s="32">
        <v>20</v>
      </c>
      <c r="I12828" s="30" t="s">
        <v>21</v>
      </c>
      <c r="J12828" s="41">
        <v>44641</v>
      </c>
      <c r="K12828" s="30" t="s">
        <v>22</v>
      </c>
    </row>
    <row r="12829" spans="1:11">
      <c r="A12829" s="33" t="s">
        <v>29053</v>
      </c>
      <c r="B12829" s="33" t="s">
        <v>29054</v>
      </c>
      <c r="C12829" s="33" t="s">
        <v>15097</v>
      </c>
      <c r="D12829" s="33" t="s">
        <v>17</v>
      </c>
      <c r="E12829" s="33" t="s">
        <v>330</v>
      </c>
      <c r="F12829" s="33" t="s">
        <v>331</v>
      </c>
      <c r="G12829" s="33" t="s">
        <v>106</v>
      </c>
      <c r="H12829" s="35">
        <v>1</v>
      </c>
      <c r="I12829" s="33" t="s">
        <v>21</v>
      </c>
      <c r="J12829" s="42">
        <v>44866</v>
      </c>
      <c r="K12829" s="33" t="s">
        <v>22</v>
      </c>
    </row>
    <row r="12830" spans="1:11">
      <c r="A12830" s="30" t="s">
        <v>29055</v>
      </c>
      <c r="B12830" s="30" t="s">
        <v>29056</v>
      </c>
      <c r="C12830" s="30" t="s">
        <v>4596</v>
      </c>
      <c r="D12830" s="30" t="s">
        <v>17</v>
      </c>
      <c r="E12830" s="30" t="s">
        <v>26</v>
      </c>
      <c r="F12830" s="30" t="s">
        <v>27</v>
      </c>
      <c r="G12830" s="30" t="s">
        <v>20</v>
      </c>
      <c r="H12830" s="32">
        <v>46</v>
      </c>
      <c r="I12830" s="30" t="s">
        <v>21</v>
      </c>
      <c r="J12830" s="41">
        <v>44817</v>
      </c>
      <c r="K12830" s="30" t="s">
        <v>22</v>
      </c>
    </row>
    <row r="12831" spans="1:11">
      <c r="A12831" s="33" t="s">
        <v>29057</v>
      </c>
      <c r="B12831" s="33" t="s">
        <v>29058</v>
      </c>
      <c r="C12831" s="33" t="s">
        <v>190</v>
      </c>
      <c r="D12831" s="33" t="s">
        <v>17</v>
      </c>
      <c r="E12831" s="33" t="s">
        <v>26</v>
      </c>
      <c r="F12831" s="33" t="s">
        <v>27</v>
      </c>
      <c r="G12831" s="33" t="s">
        <v>158</v>
      </c>
      <c r="H12831" s="35">
        <v>167</v>
      </c>
      <c r="I12831" s="33" t="s">
        <v>21</v>
      </c>
      <c r="J12831" s="42">
        <v>44916</v>
      </c>
      <c r="K12831" s="33" t="s">
        <v>22</v>
      </c>
    </row>
    <row r="12832" spans="1:11">
      <c r="A12832" s="30" t="s">
        <v>29059</v>
      </c>
      <c r="B12832" s="30" t="s">
        <v>29060</v>
      </c>
      <c r="C12832" s="30" t="s">
        <v>14949</v>
      </c>
      <c r="D12832" s="30" t="s">
        <v>17</v>
      </c>
      <c r="E12832" s="30" t="s">
        <v>18</v>
      </c>
      <c r="F12832" s="30" t="s">
        <v>19</v>
      </c>
      <c r="G12832" s="30" t="s">
        <v>50</v>
      </c>
      <c r="H12832" s="32">
        <v>248</v>
      </c>
      <c r="I12832" s="30" t="s">
        <v>51</v>
      </c>
      <c r="J12832" s="41">
        <v>44881</v>
      </c>
      <c r="K12832" s="30" t="s">
        <v>22</v>
      </c>
    </row>
    <row r="12833" spans="1:11">
      <c r="A12833" s="33" t="s">
        <v>29061</v>
      </c>
      <c r="B12833" s="33" t="s">
        <v>29062</v>
      </c>
      <c r="C12833" s="33" t="s">
        <v>29063</v>
      </c>
      <c r="D12833" s="33" t="s">
        <v>17</v>
      </c>
      <c r="E12833" s="33" t="s">
        <v>31</v>
      </c>
      <c r="F12833" s="33" t="s">
        <v>32</v>
      </c>
      <c r="G12833" s="33" t="s">
        <v>158</v>
      </c>
      <c r="H12833" s="35">
        <v>1516</v>
      </c>
      <c r="I12833" s="33" t="s">
        <v>21</v>
      </c>
      <c r="J12833" s="42">
        <v>44594</v>
      </c>
      <c r="K12833" s="33" t="s">
        <v>22</v>
      </c>
    </row>
    <row r="12834" spans="1:11">
      <c r="A12834" s="30" t="s">
        <v>29064</v>
      </c>
      <c r="B12834" s="30" t="s">
        <v>29065</v>
      </c>
      <c r="C12834" s="30" t="s">
        <v>969</v>
      </c>
      <c r="D12834" s="30" t="s">
        <v>17</v>
      </c>
      <c r="E12834" s="30" t="s">
        <v>212</v>
      </c>
      <c r="F12834" s="30" t="s">
        <v>213</v>
      </c>
      <c r="G12834" s="30" t="s">
        <v>20</v>
      </c>
      <c r="H12834" s="32">
        <v>217</v>
      </c>
      <c r="I12834" s="30" t="s">
        <v>21</v>
      </c>
      <c r="J12834" s="41">
        <v>44743</v>
      </c>
      <c r="K12834" s="30" t="s">
        <v>22</v>
      </c>
    </row>
    <row r="12835" spans="1:11">
      <c r="A12835" s="33" t="s">
        <v>29066</v>
      </c>
      <c r="B12835" s="33" t="s">
        <v>29067</v>
      </c>
      <c r="C12835" s="33" t="s">
        <v>27299</v>
      </c>
      <c r="D12835" s="33" t="s">
        <v>17</v>
      </c>
      <c r="E12835" s="33" t="s">
        <v>67</v>
      </c>
      <c r="F12835" s="33" t="s">
        <v>68</v>
      </c>
      <c r="G12835" s="33" t="s">
        <v>158</v>
      </c>
      <c r="H12835" s="35">
        <v>22</v>
      </c>
      <c r="I12835" s="33" t="s">
        <v>21</v>
      </c>
      <c r="J12835" s="42">
        <v>44585</v>
      </c>
      <c r="K12835" s="33" t="s">
        <v>22</v>
      </c>
    </row>
    <row r="12836" spans="1:11">
      <c r="A12836" s="30" t="s">
        <v>29068</v>
      </c>
      <c r="B12836" s="30" t="s">
        <v>29069</v>
      </c>
      <c r="C12836" s="30" t="s">
        <v>20773</v>
      </c>
      <c r="D12836" s="30" t="s">
        <v>17</v>
      </c>
      <c r="E12836" s="30" t="s">
        <v>31</v>
      </c>
      <c r="F12836" s="30" t="s">
        <v>32</v>
      </c>
      <c r="G12836" s="30" t="s">
        <v>20</v>
      </c>
      <c r="H12836" s="32">
        <v>391</v>
      </c>
      <c r="I12836" s="30" t="s">
        <v>21</v>
      </c>
      <c r="J12836" s="41">
        <v>44924</v>
      </c>
      <c r="K12836" s="30" t="s">
        <v>22</v>
      </c>
    </row>
    <row r="12837" spans="1:11">
      <c r="A12837" s="33" t="s">
        <v>29070</v>
      </c>
      <c r="B12837" s="33" t="s">
        <v>29071</v>
      </c>
      <c r="C12837" s="33" t="s">
        <v>1576</v>
      </c>
      <c r="D12837" s="33" t="s">
        <v>17</v>
      </c>
      <c r="E12837" s="33" t="s">
        <v>26</v>
      </c>
      <c r="F12837" s="33" t="s">
        <v>27</v>
      </c>
      <c r="G12837" s="33" t="s">
        <v>20</v>
      </c>
      <c r="H12837" s="35">
        <v>35</v>
      </c>
      <c r="I12837" s="33" t="s">
        <v>21</v>
      </c>
      <c r="J12837" s="42">
        <v>44607</v>
      </c>
      <c r="K12837" s="33" t="s">
        <v>22</v>
      </c>
    </row>
    <row r="12838" spans="1:11">
      <c r="A12838" s="30" t="s">
        <v>29072</v>
      </c>
      <c r="B12838" s="30" t="s">
        <v>29073</v>
      </c>
      <c r="C12838" s="30" t="s">
        <v>203</v>
      </c>
      <c r="D12838" s="30" t="s">
        <v>17</v>
      </c>
      <c r="E12838" s="30" t="s">
        <v>26</v>
      </c>
      <c r="F12838" s="30" t="s">
        <v>27</v>
      </c>
      <c r="G12838" s="30" t="s">
        <v>20</v>
      </c>
      <c r="H12838" s="32">
        <v>38</v>
      </c>
      <c r="I12838" s="30" t="s">
        <v>21</v>
      </c>
      <c r="J12838" s="41">
        <v>44754</v>
      </c>
      <c r="K12838" s="30" t="s">
        <v>22</v>
      </c>
    </row>
    <row r="12839" spans="1:11">
      <c r="A12839" s="33" t="s">
        <v>29074</v>
      </c>
      <c r="B12839" s="33" t="s">
        <v>29075</v>
      </c>
      <c r="C12839" s="33" t="s">
        <v>8768</v>
      </c>
      <c r="D12839" s="33" t="s">
        <v>17</v>
      </c>
      <c r="E12839" s="33" t="s">
        <v>31</v>
      </c>
      <c r="F12839" s="33" t="s">
        <v>32</v>
      </c>
      <c r="G12839" s="33" t="s">
        <v>20</v>
      </c>
      <c r="H12839" s="35">
        <v>5</v>
      </c>
      <c r="I12839" s="33" t="s">
        <v>21</v>
      </c>
      <c r="J12839" s="42">
        <v>44803</v>
      </c>
      <c r="K12839" s="33" t="s">
        <v>22</v>
      </c>
    </row>
    <row r="12840" spans="1:11">
      <c r="A12840" s="30" t="s">
        <v>29076</v>
      </c>
      <c r="B12840" s="30" t="s">
        <v>29077</v>
      </c>
      <c r="C12840" s="30" t="s">
        <v>8410</v>
      </c>
      <c r="D12840" s="30" t="s">
        <v>17</v>
      </c>
      <c r="E12840" s="30" t="s">
        <v>31</v>
      </c>
      <c r="F12840" s="30" t="s">
        <v>32</v>
      </c>
      <c r="G12840" s="30" t="s">
        <v>20</v>
      </c>
      <c r="H12840" s="32">
        <v>14</v>
      </c>
      <c r="I12840" s="30" t="s">
        <v>21</v>
      </c>
      <c r="J12840" s="41">
        <v>44732</v>
      </c>
      <c r="K12840" s="30" t="s">
        <v>22</v>
      </c>
    </row>
    <row r="12841" spans="1:11">
      <c r="A12841" s="33" t="s">
        <v>29078</v>
      </c>
      <c r="B12841" s="33" t="s">
        <v>29079</v>
      </c>
      <c r="C12841" s="33" t="s">
        <v>3983</v>
      </c>
      <c r="D12841" s="33" t="s">
        <v>17</v>
      </c>
      <c r="E12841" s="33" t="s">
        <v>67</v>
      </c>
      <c r="F12841" s="33" t="s">
        <v>68</v>
      </c>
      <c r="G12841" s="33" t="s">
        <v>20</v>
      </c>
      <c r="H12841" s="35">
        <v>43</v>
      </c>
      <c r="I12841" s="33" t="s">
        <v>21</v>
      </c>
      <c r="J12841" s="42">
        <v>44733</v>
      </c>
      <c r="K12841" s="33" t="s">
        <v>22</v>
      </c>
    </row>
    <row r="12842" spans="1:11">
      <c r="A12842" s="30" t="s">
        <v>29080</v>
      </c>
      <c r="B12842" s="30" t="s">
        <v>29081</v>
      </c>
      <c r="C12842" s="30" t="s">
        <v>2849</v>
      </c>
      <c r="D12842" s="30" t="s">
        <v>17</v>
      </c>
      <c r="E12842" s="30" t="s">
        <v>18</v>
      </c>
      <c r="F12842" s="30" t="s">
        <v>19</v>
      </c>
      <c r="G12842" s="30" t="s">
        <v>20</v>
      </c>
      <c r="H12842" s="32">
        <v>318</v>
      </c>
      <c r="I12842" s="30" t="s">
        <v>21</v>
      </c>
      <c r="J12842" s="41">
        <v>44852</v>
      </c>
      <c r="K12842" s="30" t="s">
        <v>22</v>
      </c>
    </row>
    <row r="12843" spans="1:11">
      <c r="A12843" s="33" t="s">
        <v>29082</v>
      </c>
      <c r="B12843" s="33" t="s">
        <v>29083</v>
      </c>
      <c r="C12843" s="33" t="s">
        <v>29084</v>
      </c>
      <c r="D12843" s="33" t="s">
        <v>17</v>
      </c>
      <c r="E12843" s="33" t="s">
        <v>26</v>
      </c>
      <c r="F12843" s="33" t="s">
        <v>27</v>
      </c>
      <c r="G12843" s="33" t="s">
        <v>106</v>
      </c>
      <c r="H12843" s="35">
        <v>28</v>
      </c>
      <c r="I12843" s="33" t="s">
        <v>21</v>
      </c>
      <c r="J12843" s="42">
        <v>44879</v>
      </c>
      <c r="K12843" s="33" t="s">
        <v>22</v>
      </c>
    </row>
    <row r="12844" spans="1:11">
      <c r="A12844" s="30" t="s">
        <v>29085</v>
      </c>
      <c r="B12844" s="30" t="s">
        <v>29086</v>
      </c>
      <c r="C12844" s="30" t="s">
        <v>75</v>
      </c>
      <c r="D12844" s="30" t="s">
        <v>17</v>
      </c>
      <c r="E12844" s="30" t="s">
        <v>26</v>
      </c>
      <c r="F12844" s="30" t="s">
        <v>27</v>
      </c>
      <c r="G12844" s="30" t="s">
        <v>20</v>
      </c>
      <c r="H12844" s="32">
        <v>24</v>
      </c>
      <c r="I12844" s="30" t="s">
        <v>21</v>
      </c>
      <c r="J12844" s="41">
        <v>44721</v>
      </c>
      <c r="K12844" s="30" t="s">
        <v>22</v>
      </c>
    </row>
    <row r="12845" spans="1:11">
      <c r="A12845" s="33" t="s">
        <v>29087</v>
      </c>
      <c r="B12845" s="33" t="s">
        <v>29088</v>
      </c>
      <c r="C12845" s="33" t="s">
        <v>178</v>
      </c>
      <c r="D12845" s="33" t="s">
        <v>17</v>
      </c>
      <c r="E12845" s="33" t="s">
        <v>26</v>
      </c>
      <c r="F12845" s="33" t="s">
        <v>27</v>
      </c>
      <c r="G12845" s="33" t="s">
        <v>20</v>
      </c>
      <c r="H12845" s="35">
        <v>15</v>
      </c>
      <c r="I12845" s="33" t="s">
        <v>21</v>
      </c>
      <c r="J12845" s="42">
        <v>44572</v>
      </c>
      <c r="K12845" s="33" t="s">
        <v>22</v>
      </c>
    </row>
    <row r="12846" spans="1:11">
      <c r="A12846" s="30" t="s">
        <v>29089</v>
      </c>
      <c r="B12846" s="30" t="s">
        <v>29090</v>
      </c>
      <c r="C12846" s="30" t="s">
        <v>969</v>
      </c>
      <c r="D12846" s="30" t="s">
        <v>17</v>
      </c>
      <c r="E12846" s="30" t="s">
        <v>67</v>
      </c>
      <c r="F12846" s="30" t="s">
        <v>68</v>
      </c>
      <c r="G12846" s="30" t="s">
        <v>20</v>
      </c>
      <c r="H12846" s="32">
        <v>1080</v>
      </c>
      <c r="I12846" s="30" t="s">
        <v>21</v>
      </c>
      <c r="J12846" s="41">
        <v>44795</v>
      </c>
      <c r="K12846" s="30" t="s">
        <v>22</v>
      </c>
    </row>
    <row r="12847" spans="1:11">
      <c r="A12847" s="33" t="s">
        <v>29091</v>
      </c>
      <c r="B12847" s="33" t="s">
        <v>29092</v>
      </c>
      <c r="C12847" s="33" t="s">
        <v>136</v>
      </c>
      <c r="D12847" s="33" t="s">
        <v>17</v>
      </c>
      <c r="E12847" s="33" t="s">
        <v>26</v>
      </c>
      <c r="F12847" s="33" t="s">
        <v>27</v>
      </c>
      <c r="G12847" s="33" t="s">
        <v>20</v>
      </c>
      <c r="H12847" s="35">
        <v>32</v>
      </c>
      <c r="I12847" s="33" t="s">
        <v>21</v>
      </c>
      <c r="J12847" s="42">
        <v>44881</v>
      </c>
      <c r="K12847" s="33" t="s">
        <v>22</v>
      </c>
    </row>
    <row r="12848" spans="1:11">
      <c r="A12848" s="30" t="s">
        <v>29093</v>
      </c>
      <c r="B12848" s="30" t="s">
        <v>29094</v>
      </c>
      <c r="C12848" s="30" t="s">
        <v>29095</v>
      </c>
      <c r="D12848" s="30" t="s">
        <v>17</v>
      </c>
      <c r="E12848" s="30" t="s">
        <v>45</v>
      </c>
      <c r="F12848" s="30" t="s">
        <v>46</v>
      </c>
      <c r="G12848" s="30" t="s">
        <v>106</v>
      </c>
      <c r="H12848" s="32">
        <v>356</v>
      </c>
      <c r="I12848" s="30" t="s">
        <v>21</v>
      </c>
      <c r="J12848" s="41">
        <v>44658</v>
      </c>
      <c r="K12848" s="30" t="s">
        <v>22</v>
      </c>
    </row>
    <row r="12849" spans="1:11">
      <c r="A12849" s="33" t="s">
        <v>29096</v>
      </c>
      <c r="B12849" s="33" t="s">
        <v>29097</v>
      </c>
      <c r="C12849" s="33" t="s">
        <v>6248</v>
      </c>
      <c r="D12849" s="33" t="s">
        <v>17</v>
      </c>
      <c r="E12849" s="33" t="s">
        <v>26</v>
      </c>
      <c r="F12849" s="33" t="s">
        <v>27</v>
      </c>
      <c r="G12849" s="33" t="s">
        <v>106</v>
      </c>
      <c r="H12849" s="35">
        <v>57</v>
      </c>
      <c r="I12849" s="33" t="s">
        <v>21</v>
      </c>
      <c r="J12849" s="42">
        <v>44901</v>
      </c>
      <c r="K12849" s="33" t="s">
        <v>22</v>
      </c>
    </row>
    <row r="12850" spans="1:11">
      <c r="A12850" s="30" t="s">
        <v>29098</v>
      </c>
      <c r="B12850" s="30" t="s">
        <v>29099</v>
      </c>
      <c r="C12850" s="30" t="s">
        <v>57</v>
      </c>
      <c r="D12850" s="30" t="s">
        <v>17</v>
      </c>
      <c r="E12850" s="30" t="s">
        <v>26</v>
      </c>
      <c r="F12850" s="30" t="s">
        <v>27</v>
      </c>
      <c r="G12850" s="30" t="s">
        <v>20</v>
      </c>
      <c r="H12850" s="32">
        <v>24</v>
      </c>
      <c r="I12850" s="30" t="s">
        <v>21</v>
      </c>
      <c r="J12850" s="41">
        <v>44641</v>
      </c>
      <c r="K12850" s="30" t="s">
        <v>22</v>
      </c>
    </row>
    <row r="12851" spans="1:11">
      <c r="A12851" s="33" t="s">
        <v>29100</v>
      </c>
      <c r="B12851" s="33" t="s">
        <v>29101</v>
      </c>
      <c r="C12851" s="33" t="s">
        <v>78</v>
      </c>
      <c r="D12851" s="33" t="s">
        <v>17</v>
      </c>
      <c r="E12851" s="33" t="s">
        <v>26</v>
      </c>
      <c r="F12851" s="33" t="s">
        <v>27</v>
      </c>
      <c r="G12851" s="33" t="s">
        <v>20</v>
      </c>
      <c r="H12851" s="35">
        <v>32</v>
      </c>
      <c r="I12851" s="33" t="s">
        <v>21</v>
      </c>
      <c r="J12851" s="42">
        <v>44833</v>
      </c>
      <c r="K12851" s="33" t="s">
        <v>22</v>
      </c>
    </row>
    <row r="12852" spans="1:11">
      <c r="A12852" s="30" t="s">
        <v>29102</v>
      </c>
      <c r="B12852" s="30" t="s">
        <v>29103</v>
      </c>
      <c r="C12852" s="30" t="s">
        <v>1191</v>
      </c>
      <c r="D12852" s="30" t="s">
        <v>17</v>
      </c>
      <c r="E12852" s="30" t="s">
        <v>18</v>
      </c>
      <c r="F12852" s="30" t="s">
        <v>19</v>
      </c>
      <c r="G12852" s="30" t="s">
        <v>50</v>
      </c>
      <c r="H12852" s="32">
        <v>4200</v>
      </c>
      <c r="I12852" s="30" t="s">
        <v>21</v>
      </c>
      <c r="J12852" s="41">
        <v>44691</v>
      </c>
      <c r="K12852" s="30" t="s">
        <v>22</v>
      </c>
    </row>
    <row r="12853" spans="1:11">
      <c r="A12853" s="33" t="s">
        <v>29104</v>
      </c>
      <c r="B12853" s="33" t="s">
        <v>29105</v>
      </c>
      <c r="C12853" s="33" t="s">
        <v>203</v>
      </c>
      <c r="D12853" s="33" t="s">
        <v>17</v>
      </c>
      <c r="E12853" s="33" t="s">
        <v>18</v>
      </c>
      <c r="F12853" s="33" t="s">
        <v>19</v>
      </c>
      <c r="G12853" s="33" t="s">
        <v>158</v>
      </c>
      <c r="H12853" s="35">
        <v>531</v>
      </c>
      <c r="I12853" s="33" t="s">
        <v>21</v>
      </c>
      <c r="J12853" s="42">
        <v>44735</v>
      </c>
      <c r="K12853" s="33" t="s">
        <v>22</v>
      </c>
    </row>
    <row r="12854" spans="1:11">
      <c r="A12854" s="30" t="s">
        <v>29106</v>
      </c>
      <c r="B12854" s="30" t="s">
        <v>29107</v>
      </c>
      <c r="C12854" s="30" t="s">
        <v>1428</v>
      </c>
      <c r="D12854" s="30" t="s">
        <v>17</v>
      </c>
      <c r="E12854" s="30" t="s">
        <v>31</v>
      </c>
      <c r="F12854" s="30" t="s">
        <v>32</v>
      </c>
      <c r="G12854" s="30" t="s">
        <v>50</v>
      </c>
      <c r="H12854" s="32">
        <v>400</v>
      </c>
      <c r="I12854" s="30" t="s">
        <v>51</v>
      </c>
      <c r="J12854" s="41">
        <v>44849</v>
      </c>
      <c r="K12854" s="30" t="s">
        <v>22</v>
      </c>
    </row>
    <row r="12855" spans="1:11">
      <c r="A12855" s="33" t="s">
        <v>29108</v>
      </c>
      <c r="B12855" s="33" t="s">
        <v>29109</v>
      </c>
      <c r="C12855" s="33" t="s">
        <v>9443</v>
      </c>
      <c r="D12855" s="33" t="s">
        <v>17</v>
      </c>
      <c r="E12855" s="33" t="s">
        <v>45</v>
      </c>
      <c r="F12855" s="33" t="s">
        <v>46</v>
      </c>
      <c r="G12855" s="33" t="s">
        <v>20</v>
      </c>
      <c r="H12855" s="35">
        <v>220</v>
      </c>
      <c r="I12855" s="33" t="s">
        <v>21</v>
      </c>
      <c r="J12855" s="42">
        <v>44809</v>
      </c>
      <c r="K12855" s="33" t="s">
        <v>22</v>
      </c>
    </row>
    <row r="12856" spans="1:11">
      <c r="A12856" s="30" t="s">
        <v>29110</v>
      </c>
      <c r="B12856" s="30" t="s">
        <v>29111</v>
      </c>
      <c r="C12856" s="30" t="s">
        <v>18591</v>
      </c>
      <c r="D12856" s="30" t="s">
        <v>17</v>
      </c>
      <c r="E12856" s="30" t="s">
        <v>26</v>
      </c>
      <c r="F12856" s="30" t="s">
        <v>27</v>
      </c>
      <c r="G12856" s="30" t="s">
        <v>158</v>
      </c>
      <c r="H12856" s="32">
        <v>163</v>
      </c>
      <c r="I12856" s="30" t="s">
        <v>21</v>
      </c>
      <c r="J12856" s="41">
        <v>44594</v>
      </c>
      <c r="K12856" s="30" t="s">
        <v>22</v>
      </c>
    </row>
    <row r="12857" spans="1:11">
      <c r="A12857" s="33" t="s">
        <v>29112</v>
      </c>
      <c r="B12857" s="33" t="s">
        <v>29113</v>
      </c>
      <c r="C12857" s="33" t="s">
        <v>29114</v>
      </c>
      <c r="D12857" s="33" t="s">
        <v>17</v>
      </c>
      <c r="E12857" s="33" t="s">
        <v>18</v>
      </c>
      <c r="F12857" s="33" t="s">
        <v>19</v>
      </c>
      <c r="G12857" s="33" t="s">
        <v>20</v>
      </c>
      <c r="H12857" s="35">
        <v>51</v>
      </c>
      <c r="I12857" s="33" t="s">
        <v>21</v>
      </c>
      <c r="J12857" s="42">
        <v>44788</v>
      </c>
      <c r="K12857" s="33" t="s">
        <v>22</v>
      </c>
    </row>
    <row r="12858" spans="1:11">
      <c r="A12858" s="30" t="s">
        <v>29115</v>
      </c>
      <c r="B12858" s="30" t="s">
        <v>29116</v>
      </c>
      <c r="C12858" s="30" t="s">
        <v>1680</v>
      </c>
      <c r="D12858" s="30" t="s">
        <v>17</v>
      </c>
      <c r="E12858" s="30" t="s">
        <v>31</v>
      </c>
      <c r="F12858" s="30" t="s">
        <v>32</v>
      </c>
      <c r="G12858" s="30" t="s">
        <v>106</v>
      </c>
      <c r="H12858" s="32">
        <v>4</v>
      </c>
      <c r="I12858" s="30" t="s">
        <v>21</v>
      </c>
      <c r="J12858" s="41">
        <v>44792</v>
      </c>
      <c r="K12858" s="30" t="s">
        <v>22</v>
      </c>
    </row>
    <row r="12859" spans="1:11">
      <c r="A12859" s="33" t="s">
        <v>29117</v>
      </c>
      <c r="B12859" s="33" t="s">
        <v>29118</v>
      </c>
      <c r="C12859" s="33" t="s">
        <v>28581</v>
      </c>
      <c r="D12859" s="33" t="s">
        <v>17</v>
      </c>
      <c r="E12859" s="33" t="s">
        <v>67</v>
      </c>
      <c r="F12859" s="33" t="s">
        <v>68</v>
      </c>
      <c r="G12859" s="33" t="s">
        <v>20</v>
      </c>
      <c r="H12859" s="35">
        <v>32</v>
      </c>
      <c r="I12859" s="33" t="s">
        <v>21</v>
      </c>
      <c r="J12859" s="42">
        <v>44875</v>
      </c>
      <c r="K12859" s="33" t="s">
        <v>22</v>
      </c>
    </row>
    <row r="12860" spans="1:11">
      <c r="A12860" s="30" t="s">
        <v>29119</v>
      </c>
      <c r="B12860" s="30" t="s">
        <v>29120</v>
      </c>
      <c r="C12860" s="30" t="s">
        <v>2802</v>
      </c>
      <c r="D12860" s="30" t="s">
        <v>17</v>
      </c>
      <c r="E12860" s="30" t="s">
        <v>18</v>
      </c>
      <c r="F12860" s="30" t="s">
        <v>19</v>
      </c>
      <c r="G12860" s="30" t="s">
        <v>20</v>
      </c>
      <c r="H12860" s="32">
        <v>352</v>
      </c>
      <c r="I12860" s="30" t="s">
        <v>21</v>
      </c>
      <c r="J12860" s="41">
        <v>44924</v>
      </c>
      <c r="K12860" s="30" t="s">
        <v>22</v>
      </c>
    </row>
    <row r="12861" spans="1:11">
      <c r="A12861" s="33" t="s">
        <v>29121</v>
      </c>
      <c r="B12861" s="33" t="s">
        <v>29122</v>
      </c>
      <c r="C12861" s="33" t="s">
        <v>29123</v>
      </c>
      <c r="D12861" s="33" t="s">
        <v>17</v>
      </c>
      <c r="E12861" s="33" t="s">
        <v>67</v>
      </c>
      <c r="F12861" s="33" t="s">
        <v>68</v>
      </c>
      <c r="G12861" s="33" t="s">
        <v>158</v>
      </c>
      <c r="H12861" s="35">
        <v>67</v>
      </c>
      <c r="I12861" s="33" t="s">
        <v>21</v>
      </c>
      <c r="J12861" s="42">
        <v>44893</v>
      </c>
      <c r="K12861" s="33" t="s">
        <v>22</v>
      </c>
    </row>
    <row r="12862" spans="1:11">
      <c r="A12862" s="30" t="s">
        <v>29124</v>
      </c>
      <c r="B12862" s="30" t="s">
        <v>29125</v>
      </c>
      <c r="C12862" s="30" t="s">
        <v>2663</v>
      </c>
      <c r="D12862" s="30" t="s">
        <v>17</v>
      </c>
      <c r="E12862" s="30" t="s">
        <v>31</v>
      </c>
      <c r="F12862" s="30" t="s">
        <v>32</v>
      </c>
      <c r="G12862" s="30" t="s">
        <v>20</v>
      </c>
      <c r="H12862" s="32">
        <v>166</v>
      </c>
      <c r="I12862" s="30" t="s">
        <v>21</v>
      </c>
      <c r="J12862" s="41">
        <v>44810</v>
      </c>
      <c r="K12862" s="30" t="s">
        <v>22</v>
      </c>
    </row>
    <row r="12863" spans="1:11">
      <c r="A12863" s="33" t="s">
        <v>29126</v>
      </c>
      <c r="B12863" s="33" t="s">
        <v>29127</v>
      </c>
      <c r="C12863" s="33" t="s">
        <v>29128</v>
      </c>
      <c r="D12863" s="33" t="s">
        <v>17</v>
      </c>
      <c r="E12863" s="33" t="s">
        <v>31</v>
      </c>
      <c r="F12863" s="33" t="s">
        <v>32</v>
      </c>
      <c r="G12863" s="33" t="s">
        <v>140</v>
      </c>
      <c r="H12863" s="35">
        <v>318</v>
      </c>
      <c r="I12863" s="33" t="s">
        <v>51</v>
      </c>
      <c r="J12863" s="42">
        <v>44755</v>
      </c>
      <c r="K12863" s="33" t="s">
        <v>22</v>
      </c>
    </row>
    <row r="12864" spans="1:11">
      <c r="A12864" s="30" t="s">
        <v>29129</v>
      </c>
      <c r="B12864" s="30" t="s">
        <v>29130</v>
      </c>
      <c r="C12864" s="30" t="s">
        <v>29131</v>
      </c>
      <c r="D12864" s="30" t="s">
        <v>17</v>
      </c>
      <c r="E12864" s="30" t="s">
        <v>18</v>
      </c>
      <c r="F12864" s="30" t="s">
        <v>19</v>
      </c>
      <c r="G12864" s="30" t="s">
        <v>50</v>
      </c>
      <c r="H12864" s="32">
        <v>300</v>
      </c>
      <c r="I12864" s="30" t="s">
        <v>21</v>
      </c>
      <c r="J12864" s="41">
        <v>44845</v>
      </c>
      <c r="K12864" s="30" t="s">
        <v>22</v>
      </c>
    </row>
    <row r="12865" spans="1:11">
      <c r="A12865" s="33" t="s">
        <v>29132</v>
      </c>
      <c r="B12865" s="33" t="s">
        <v>29133</v>
      </c>
      <c r="C12865" s="33" t="s">
        <v>9464</v>
      </c>
      <c r="D12865" s="33" t="s">
        <v>17</v>
      </c>
      <c r="E12865" s="33" t="s">
        <v>26</v>
      </c>
      <c r="F12865" s="33" t="s">
        <v>27</v>
      </c>
      <c r="G12865" s="33" t="s">
        <v>50</v>
      </c>
      <c r="H12865" s="35">
        <v>72</v>
      </c>
      <c r="I12865" s="33" t="s">
        <v>51</v>
      </c>
      <c r="J12865" s="42">
        <v>44880</v>
      </c>
      <c r="K12865" s="33" t="s">
        <v>22</v>
      </c>
    </row>
    <row r="12866" spans="1:11">
      <c r="A12866" s="30" t="s">
        <v>29134</v>
      </c>
      <c r="B12866" s="30" t="s">
        <v>29135</v>
      </c>
      <c r="C12866" s="30" t="s">
        <v>15408</v>
      </c>
      <c r="D12866" s="30" t="s">
        <v>17</v>
      </c>
      <c r="E12866" s="30" t="s">
        <v>31</v>
      </c>
      <c r="F12866" s="30" t="s">
        <v>32</v>
      </c>
      <c r="G12866" s="30" t="s">
        <v>20</v>
      </c>
      <c r="H12866" s="32">
        <v>168</v>
      </c>
      <c r="I12866" s="30" t="s">
        <v>21</v>
      </c>
      <c r="J12866" s="41">
        <v>44700</v>
      </c>
      <c r="K12866" s="30" t="s">
        <v>22</v>
      </c>
    </row>
    <row r="12867" spans="1:11">
      <c r="A12867" s="33" t="s">
        <v>29136</v>
      </c>
      <c r="B12867" s="33" t="s">
        <v>29137</v>
      </c>
      <c r="C12867" s="33" t="s">
        <v>10589</v>
      </c>
      <c r="D12867" s="33" t="s">
        <v>17</v>
      </c>
      <c r="E12867" s="33" t="s">
        <v>67</v>
      </c>
      <c r="F12867" s="33" t="s">
        <v>68</v>
      </c>
      <c r="G12867" s="33" t="s">
        <v>20</v>
      </c>
      <c r="H12867" s="35">
        <v>29</v>
      </c>
      <c r="I12867" s="33" t="s">
        <v>21</v>
      </c>
      <c r="J12867" s="42">
        <v>44616</v>
      </c>
      <c r="K12867" s="33" t="s">
        <v>22</v>
      </c>
    </row>
    <row r="12868" spans="1:11">
      <c r="A12868" s="30" t="s">
        <v>29138</v>
      </c>
      <c r="B12868" s="30" t="s">
        <v>29139</v>
      </c>
      <c r="C12868" s="30" t="s">
        <v>1191</v>
      </c>
      <c r="D12868" s="30" t="s">
        <v>17</v>
      </c>
      <c r="E12868" s="30" t="s">
        <v>18</v>
      </c>
      <c r="F12868" s="30" t="s">
        <v>19</v>
      </c>
      <c r="G12868" s="30" t="s">
        <v>158</v>
      </c>
      <c r="H12868" s="32">
        <v>12440</v>
      </c>
      <c r="I12868" s="30" t="s">
        <v>21</v>
      </c>
      <c r="J12868" s="41">
        <v>44921</v>
      </c>
      <c r="K12868" s="30" t="s">
        <v>22</v>
      </c>
    </row>
    <row r="12869" spans="1:11">
      <c r="A12869" s="33" t="s">
        <v>29140</v>
      </c>
      <c r="B12869" s="33" t="s">
        <v>29141</v>
      </c>
      <c r="C12869" s="33" t="s">
        <v>647</v>
      </c>
      <c r="D12869" s="33" t="s">
        <v>17</v>
      </c>
      <c r="E12869" s="33" t="s">
        <v>18</v>
      </c>
      <c r="F12869" s="33" t="s">
        <v>19</v>
      </c>
      <c r="G12869" s="33" t="s">
        <v>20</v>
      </c>
      <c r="H12869" s="35">
        <v>850</v>
      </c>
      <c r="I12869" s="33" t="s">
        <v>21</v>
      </c>
      <c r="J12869" s="42">
        <v>44573</v>
      </c>
      <c r="K12869" s="33" t="s">
        <v>22</v>
      </c>
    </row>
    <row r="12870" spans="1:11">
      <c r="A12870" s="30" t="s">
        <v>29142</v>
      </c>
      <c r="B12870" s="30" t="s">
        <v>29143</v>
      </c>
      <c r="C12870" s="30" t="s">
        <v>11547</v>
      </c>
      <c r="D12870" s="30" t="s">
        <v>17</v>
      </c>
      <c r="E12870" s="30" t="s">
        <v>31</v>
      </c>
      <c r="F12870" s="30" t="s">
        <v>32</v>
      </c>
      <c r="G12870" s="30" t="s">
        <v>112</v>
      </c>
      <c r="H12870" s="32">
        <v>0</v>
      </c>
      <c r="I12870" s="30" t="s">
        <v>21</v>
      </c>
      <c r="J12870" s="41">
        <v>44659</v>
      </c>
      <c r="K12870" s="30" t="s">
        <v>22</v>
      </c>
    </row>
    <row r="12871" spans="1:11">
      <c r="A12871" s="33" t="s">
        <v>29144</v>
      </c>
      <c r="B12871" s="33" t="s">
        <v>29145</v>
      </c>
      <c r="C12871" s="33" t="s">
        <v>2562</v>
      </c>
      <c r="D12871" s="33" t="s">
        <v>17</v>
      </c>
      <c r="E12871" s="33" t="s">
        <v>67</v>
      </c>
      <c r="F12871" s="33" t="s">
        <v>68</v>
      </c>
      <c r="G12871" s="33" t="s">
        <v>140</v>
      </c>
      <c r="H12871" s="35">
        <v>248</v>
      </c>
      <c r="I12871" s="33" t="s">
        <v>51</v>
      </c>
      <c r="J12871" s="42">
        <v>44672</v>
      </c>
      <c r="K12871" s="33" t="s">
        <v>22</v>
      </c>
    </row>
    <row r="12872" spans="1:11">
      <c r="A12872" s="30" t="s">
        <v>29146</v>
      </c>
      <c r="B12872" s="30" t="s">
        <v>29147</v>
      </c>
      <c r="C12872" s="30" t="s">
        <v>5916</v>
      </c>
      <c r="D12872" s="30" t="s">
        <v>17</v>
      </c>
      <c r="E12872" s="30" t="s">
        <v>18</v>
      </c>
      <c r="F12872" s="30" t="s">
        <v>19</v>
      </c>
      <c r="G12872" s="30" t="s">
        <v>20</v>
      </c>
      <c r="H12872" s="32">
        <v>452</v>
      </c>
      <c r="I12872" s="30" t="s">
        <v>21</v>
      </c>
      <c r="J12872" s="41">
        <v>44886</v>
      </c>
      <c r="K12872" s="30" t="s">
        <v>22</v>
      </c>
    </row>
    <row r="12873" spans="1:11">
      <c r="A12873" s="33" t="s">
        <v>29148</v>
      </c>
      <c r="B12873" s="33" t="s">
        <v>29149</v>
      </c>
      <c r="C12873" s="33" t="s">
        <v>29150</v>
      </c>
      <c r="D12873" s="33" t="s">
        <v>17</v>
      </c>
      <c r="E12873" s="33" t="s">
        <v>330</v>
      </c>
      <c r="F12873" s="33" t="s">
        <v>331</v>
      </c>
      <c r="G12873" s="33" t="s">
        <v>20</v>
      </c>
      <c r="H12873" s="35">
        <v>2</v>
      </c>
      <c r="I12873" s="33" t="s">
        <v>21</v>
      </c>
      <c r="J12873" s="42">
        <v>44829</v>
      </c>
      <c r="K12873" s="33" t="s">
        <v>22</v>
      </c>
    </row>
    <row r="12874" spans="1:11">
      <c r="A12874" s="30" t="s">
        <v>29151</v>
      </c>
      <c r="B12874" s="30" t="s">
        <v>29152</v>
      </c>
      <c r="C12874" s="30" t="s">
        <v>49</v>
      </c>
      <c r="D12874" s="30" t="s">
        <v>17</v>
      </c>
      <c r="E12874" s="30" t="s">
        <v>212</v>
      </c>
      <c r="F12874" s="30" t="s">
        <v>213</v>
      </c>
      <c r="G12874" s="30" t="s">
        <v>50</v>
      </c>
      <c r="H12874" s="32">
        <v>100</v>
      </c>
      <c r="I12874" s="30" t="s">
        <v>51</v>
      </c>
      <c r="J12874" s="41">
        <v>44652</v>
      </c>
      <c r="K12874" s="30" t="s">
        <v>22</v>
      </c>
    </row>
    <row r="12875" spans="1:11">
      <c r="A12875" s="33" t="s">
        <v>29153</v>
      </c>
      <c r="B12875" s="33" t="s">
        <v>29154</v>
      </c>
      <c r="C12875" s="33" t="s">
        <v>190</v>
      </c>
      <c r="D12875" s="33" t="s">
        <v>17</v>
      </c>
      <c r="E12875" s="33" t="s">
        <v>18</v>
      </c>
      <c r="F12875" s="33" t="s">
        <v>19</v>
      </c>
      <c r="G12875" s="33" t="s">
        <v>20</v>
      </c>
      <c r="H12875" s="35">
        <v>1132</v>
      </c>
      <c r="I12875" s="33" t="s">
        <v>21</v>
      </c>
      <c r="J12875" s="42">
        <v>44564</v>
      </c>
      <c r="K12875" s="33" t="s">
        <v>22</v>
      </c>
    </row>
    <row r="12876" spans="1:11">
      <c r="A12876" s="30" t="s">
        <v>29155</v>
      </c>
      <c r="B12876" s="30" t="s">
        <v>29156</v>
      </c>
      <c r="C12876" s="30" t="s">
        <v>44</v>
      </c>
      <c r="D12876" s="30" t="s">
        <v>17</v>
      </c>
      <c r="E12876" s="30" t="s">
        <v>26</v>
      </c>
      <c r="F12876" s="30" t="s">
        <v>27</v>
      </c>
      <c r="G12876" s="30" t="s">
        <v>106</v>
      </c>
      <c r="H12876" s="32">
        <v>15</v>
      </c>
      <c r="I12876" s="30" t="s">
        <v>21</v>
      </c>
      <c r="J12876" s="41">
        <v>44585</v>
      </c>
      <c r="K12876" s="30" t="s">
        <v>22</v>
      </c>
    </row>
    <row r="12877" spans="1:11">
      <c r="A12877" s="33" t="s">
        <v>29157</v>
      </c>
      <c r="B12877" s="33" t="s">
        <v>29158</v>
      </c>
      <c r="C12877" s="33" t="s">
        <v>11353</v>
      </c>
      <c r="D12877" s="33" t="s">
        <v>17</v>
      </c>
      <c r="E12877" s="33" t="s">
        <v>26</v>
      </c>
      <c r="F12877" s="33" t="s">
        <v>27</v>
      </c>
      <c r="G12877" s="33" t="s">
        <v>20</v>
      </c>
      <c r="H12877" s="35">
        <v>40</v>
      </c>
      <c r="I12877" s="33" t="s">
        <v>21</v>
      </c>
      <c r="J12877" s="42">
        <v>44748</v>
      </c>
      <c r="K12877" s="33" t="s">
        <v>22</v>
      </c>
    </row>
    <row r="12878" spans="1:11">
      <c r="A12878" s="30" t="s">
        <v>29159</v>
      </c>
      <c r="B12878" s="30" t="s">
        <v>29160</v>
      </c>
      <c r="C12878" s="30" t="s">
        <v>2472</v>
      </c>
      <c r="D12878" s="30" t="s">
        <v>17</v>
      </c>
      <c r="E12878" s="30" t="s">
        <v>67</v>
      </c>
      <c r="F12878" s="30" t="s">
        <v>68</v>
      </c>
      <c r="G12878" s="30" t="s">
        <v>20</v>
      </c>
      <c r="H12878" s="32">
        <v>873</v>
      </c>
      <c r="I12878" s="30" t="s">
        <v>21</v>
      </c>
      <c r="J12878" s="41">
        <v>44872</v>
      </c>
      <c r="K12878" s="30" t="s">
        <v>22</v>
      </c>
    </row>
    <row r="12879" spans="1:11">
      <c r="A12879" s="33" t="s">
        <v>29161</v>
      </c>
      <c r="B12879" s="33" t="s">
        <v>29162</v>
      </c>
      <c r="C12879" s="33" t="s">
        <v>8554</v>
      </c>
      <c r="D12879" s="33" t="s">
        <v>17</v>
      </c>
      <c r="E12879" s="33" t="s">
        <v>31</v>
      </c>
      <c r="F12879" s="33" t="s">
        <v>32</v>
      </c>
      <c r="G12879" s="33" t="s">
        <v>50</v>
      </c>
      <c r="H12879" s="35">
        <v>150</v>
      </c>
      <c r="I12879" s="33" t="s">
        <v>51</v>
      </c>
      <c r="J12879" s="42">
        <v>44761</v>
      </c>
      <c r="K12879" s="33" t="s">
        <v>22</v>
      </c>
    </row>
    <row r="12880" spans="1:11">
      <c r="A12880" s="30" t="s">
        <v>29163</v>
      </c>
      <c r="B12880" s="30" t="s">
        <v>29164</v>
      </c>
      <c r="C12880" s="30" t="s">
        <v>3655</v>
      </c>
      <c r="D12880" s="30" t="s">
        <v>17</v>
      </c>
      <c r="E12880" s="30" t="s">
        <v>26</v>
      </c>
      <c r="F12880" s="30" t="s">
        <v>27</v>
      </c>
      <c r="G12880" s="30" t="s">
        <v>158</v>
      </c>
      <c r="H12880" s="32">
        <v>318</v>
      </c>
      <c r="I12880" s="30" t="s">
        <v>21</v>
      </c>
      <c r="J12880" s="41">
        <v>44903</v>
      </c>
      <c r="K12880" s="30" t="s">
        <v>22</v>
      </c>
    </row>
    <row r="12881" spans="1:11">
      <c r="A12881" s="33" t="s">
        <v>29165</v>
      </c>
      <c r="B12881" s="33" t="s">
        <v>29166</v>
      </c>
      <c r="C12881" s="33" t="s">
        <v>3884</v>
      </c>
      <c r="D12881" s="33" t="s">
        <v>17</v>
      </c>
      <c r="E12881" s="33" t="s">
        <v>26</v>
      </c>
      <c r="F12881" s="33" t="s">
        <v>27</v>
      </c>
      <c r="G12881" s="33" t="s">
        <v>50</v>
      </c>
      <c r="H12881" s="35">
        <v>27</v>
      </c>
      <c r="I12881" s="33" t="s">
        <v>51</v>
      </c>
      <c r="J12881" s="42">
        <v>44683</v>
      </c>
      <c r="K12881" s="33" t="s">
        <v>22</v>
      </c>
    </row>
    <row r="12882" spans="1:11">
      <c r="A12882" s="30" t="s">
        <v>29167</v>
      </c>
      <c r="B12882" s="30" t="s">
        <v>29168</v>
      </c>
      <c r="C12882" s="30" t="s">
        <v>3589</v>
      </c>
      <c r="D12882" s="30" t="s">
        <v>17</v>
      </c>
      <c r="E12882" s="30" t="s">
        <v>26</v>
      </c>
      <c r="F12882" s="30" t="s">
        <v>27</v>
      </c>
      <c r="G12882" s="30" t="s">
        <v>158</v>
      </c>
      <c r="H12882" s="32">
        <v>275</v>
      </c>
      <c r="I12882" s="30" t="s">
        <v>51</v>
      </c>
      <c r="J12882" s="41">
        <v>44686</v>
      </c>
      <c r="K12882" s="30" t="s">
        <v>22</v>
      </c>
    </row>
    <row r="12883" spans="1:11">
      <c r="A12883" s="33" t="s">
        <v>29169</v>
      </c>
      <c r="B12883" s="33" t="s">
        <v>29170</v>
      </c>
      <c r="C12883" s="33" t="s">
        <v>178</v>
      </c>
      <c r="D12883" s="33" t="s">
        <v>17</v>
      </c>
      <c r="E12883" s="33" t="s">
        <v>31</v>
      </c>
      <c r="F12883" s="33" t="s">
        <v>32</v>
      </c>
      <c r="G12883" s="33" t="s">
        <v>158</v>
      </c>
      <c r="H12883" s="35">
        <v>109</v>
      </c>
      <c r="I12883" s="33" t="s">
        <v>21</v>
      </c>
      <c r="J12883" s="42">
        <v>44621</v>
      </c>
      <c r="K12883" s="33" t="s">
        <v>22</v>
      </c>
    </row>
    <row r="12884" spans="1:11">
      <c r="A12884" s="30" t="s">
        <v>29171</v>
      </c>
      <c r="B12884" s="30" t="s">
        <v>29172</v>
      </c>
      <c r="C12884" s="30" t="s">
        <v>29173</v>
      </c>
      <c r="D12884" s="30" t="s">
        <v>17</v>
      </c>
      <c r="E12884" s="30" t="s">
        <v>31</v>
      </c>
      <c r="F12884" s="30" t="s">
        <v>32</v>
      </c>
      <c r="G12884" s="30" t="s">
        <v>20</v>
      </c>
      <c r="H12884" s="32">
        <v>8</v>
      </c>
      <c r="I12884" s="30" t="s">
        <v>21</v>
      </c>
      <c r="J12884" s="41">
        <v>44562</v>
      </c>
      <c r="K12884" s="30" t="s">
        <v>22</v>
      </c>
    </row>
    <row r="12885" spans="1:11">
      <c r="A12885" s="33" t="s">
        <v>29174</v>
      </c>
      <c r="B12885" s="33" t="s">
        <v>29175</v>
      </c>
      <c r="C12885" s="33" t="s">
        <v>656</v>
      </c>
      <c r="D12885" s="33" t="s">
        <v>17</v>
      </c>
      <c r="E12885" s="33" t="s">
        <v>18</v>
      </c>
      <c r="F12885" s="33" t="s">
        <v>19</v>
      </c>
      <c r="G12885" s="33" t="s">
        <v>50</v>
      </c>
      <c r="H12885" s="35">
        <v>350</v>
      </c>
      <c r="I12885" s="33" t="s">
        <v>51</v>
      </c>
      <c r="J12885" s="42">
        <v>44926</v>
      </c>
      <c r="K12885" s="33" t="s">
        <v>22</v>
      </c>
    </row>
    <row r="12886" spans="1:11">
      <c r="A12886" s="30" t="s">
        <v>29176</v>
      </c>
      <c r="B12886" s="30" t="s">
        <v>29177</v>
      </c>
      <c r="C12886" s="30" t="s">
        <v>75</v>
      </c>
      <c r="D12886" s="30" t="s">
        <v>17</v>
      </c>
      <c r="E12886" s="30" t="s">
        <v>67</v>
      </c>
      <c r="F12886" s="30" t="s">
        <v>68</v>
      </c>
      <c r="G12886" s="30" t="s">
        <v>140</v>
      </c>
      <c r="H12886" s="32">
        <v>260</v>
      </c>
      <c r="I12886" s="30" t="s">
        <v>51</v>
      </c>
      <c r="J12886" s="41">
        <v>44852</v>
      </c>
      <c r="K12886" s="30" t="s">
        <v>22</v>
      </c>
    </row>
    <row r="12887" spans="1:11">
      <c r="A12887" s="33" t="s">
        <v>29178</v>
      </c>
      <c r="B12887" s="33" t="s">
        <v>29179</v>
      </c>
      <c r="C12887" s="33" t="s">
        <v>29180</v>
      </c>
      <c r="D12887" s="33" t="s">
        <v>17</v>
      </c>
      <c r="E12887" s="33" t="s">
        <v>31</v>
      </c>
      <c r="F12887" s="33" t="s">
        <v>32</v>
      </c>
      <c r="G12887" s="33" t="s">
        <v>20</v>
      </c>
      <c r="H12887" s="35">
        <v>75</v>
      </c>
      <c r="I12887" s="33" t="s">
        <v>21</v>
      </c>
      <c r="J12887" s="42">
        <v>44754</v>
      </c>
      <c r="K12887" s="33" t="s">
        <v>22</v>
      </c>
    </row>
    <row r="12888" spans="1:11">
      <c r="A12888" s="30" t="s">
        <v>29181</v>
      </c>
      <c r="B12888" s="30" t="s">
        <v>29182</v>
      </c>
      <c r="C12888" s="30" t="s">
        <v>2196</v>
      </c>
      <c r="D12888" s="30" t="s">
        <v>17</v>
      </c>
      <c r="E12888" s="30" t="s">
        <v>45</v>
      </c>
      <c r="F12888" s="30" t="s">
        <v>46</v>
      </c>
      <c r="G12888" s="30" t="s">
        <v>158</v>
      </c>
      <c r="H12888" s="32">
        <v>265</v>
      </c>
      <c r="I12888" s="30" t="s">
        <v>21</v>
      </c>
      <c r="J12888" s="41">
        <v>44861</v>
      </c>
      <c r="K12888" s="30" t="s">
        <v>22</v>
      </c>
    </row>
    <row r="12889" spans="1:11">
      <c r="A12889" s="33" t="s">
        <v>29183</v>
      </c>
      <c r="B12889" s="33" t="s">
        <v>29184</v>
      </c>
      <c r="C12889" s="33" t="s">
        <v>16748</v>
      </c>
      <c r="D12889" s="33" t="s">
        <v>17</v>
      </c>
      <c r="E12889" s="33" t="s">
        <v>31</v>
      </c>
      <c r="F12889" s="33" t="s">
        <v>32</v>
      </c>
      <c r="G12889" s="33" t="s">
        <v>106</v>
      </c>
      <c r="H12889" s="35">
        <v>177</v>
      </c>
      <c r="I12889" s="33" t="s">
        <v>21</v>
      </c>
      <c r="J12889" s="42">
        <v>44651</v>
      </c>
      <c r="K12889" s="33" t="s">
        <v>22</v>
      </c>
    </row>
    <row r="12890" spans="1:11">
      <c r="A12890" s="30" t="s">
        <v>29185</v>
      </c>
      <c r="B12890" s="30" t="s">
        <v>29186</v>
      </c>
      <c r="C12890" s="30" t="s">
        <v>3034</v>
      </c>
      <c r="D12890" s="30" t="s">
        <v>17</v>
      </c>
      <c r="E12890" s="30" t="s">
        <v>31</v>
      </c>
      <c r="F12890" s="30" t="s">
        <v>32</v>
      </c>
      <c r="G12890" s="30" t="s">
        <v>20</v>
      </c>
      <c r="H12890" s="32">
        <v>7</v>
      </c>
      <c r="I12890" s="30" t="s">
        <v>21</v>
      </c>
      <c r="J12890" s="41">
        <v>44567</v>
      </c>
      <c r="K12890" s="30" t="s">
        <v>22</v>
      </c>
    </row>
    <row r="12891" spans="1:11">
      <c r="A12891" s="33" t="s">
        <v>29187</v>
      </c>
      <c r="B12891" s="33" t="s">
        <v>29188</v>
      </c>
      <c r="C12891" s="33" t="s">
        <v>124</v>
      </c>
      <c r="D12891" s="33" t="s">
        <v>17</v>
      </c>
      <c r="E12891" s="33" t="s">
        <v>18</v>
      </c>
      <c r="F12891" s="33" t="s">
        <v>19</v>
      </c>
      <c r="G12891" s="33" t="s">
        <v>20</v>
      </c>
      <c r="H12891" s="35">
        <v>301</v>
      </c>
      <c r="I12891" s="33" t="s">
        <v>21</v>
      </c>
      <c r="J12891" s="42">
        <v>44609</v>
      </c>
      <c r="K12891" s="33" t="s">
        <v>22</v>
      </c>
    </row>
    <row r="12892" spans="1:11">
      <c r="A12892" s="30" t="s">
        <v>29189</v>
      </c>
      <c r="B12892" s="30" t="s">
        <v>29190</v>
      </c>
      <c r="C12892" s="30" t="s">
        <v>2609</v>
      </c>
      <c r="D12892" s="30" t="s">
        <v>17</v>
      </c>
      <c r="E12892" s="30" t="s">
        <v>31</v>
      </c>
      <c r="F12892" s="30" t="s">
        <v>32</v>
      </c>
      <c r="G12892" s="30" t="s">
        <v>106</v>
      </c>
      <c r="H12892" s="32">
        <v>3</v>
      </c>
      <c r="I12892" s="30" t="s">
        <v>21</v>
      </c>
      <c r="J12892" s="41">
        <v>44818</v>
      </c>
      <c r="K12892" s="30" t="s">
        <v>22</v>
      </c>
    </row>
    <row r="12893" spans="1:11">
      <c r="A12893" s="33" t="s">
        <v>29191</v>
      </c>
      <c r="B12893" s="33" t="s">
        <v>29192</v>
      </c>
      <c r="C12893" s="33" t="s">
        <v>1469</v>
      </c>
      <c r="D12893" s="33" t="s">
        <v>17</v>
      </c>
      <c r="E12893" s="33" t="s">
        <v>18</v>
      </c>
      <c r="F12893" s="33" t="s">
        <v>19</v>
      </c>
      <c r="G12893" s="33" t="s">
        <v>20</v>
      </c>
      <c r="H12893" s="35">
        <v>34</v>
      </c>
      <c r="I12893" s="33" t="s">
        <v>21</v>
      </c>
      <c r="J12893" s="42">
        <v>44585</v>
      </c>
      <c r="K12893" s="33" t="s">
        <v>22</v>
      </c>
    </row>
    <row r="12894" spans="1:11">
      <c r="A12894" s="30" t="s">
        <v>29193</v>
      </c>
      <c r="B12894" s="30" t="s">
        <v>29194</v>
      </c>
      <c r="C12894" s="30" t="s">
        <v>29195</v>
      </c>
      <c r="D12894" s="30" t="s">
        <v>17</v>
      </c>
      <c r="E12894" s="30" t="s">
        <v>31</v>
      </c>
      <c r="F12894" s="30" t="s">
        <v>32</v>
      </c>
      <c r="G12894" s="30" t="s">
        <v>50</v>
      </c>
      <c r="H12894" s="32">
        <v>20</v>
      </c>
      <c r="I12894" s="30" t="s">
        <v>51</v>
      </c>
      <c r="J12894" s="41">
        <v>44837</v>
      </c>
      <c r="K12894" s="30" t="s">
        <v>22</v>
      </c>
    </row>
    <row r="12895" spans="1:11">
      <c r="A12895" s="33" t="s">
        <v>29196</v>
      </c>
      <c r="B12895" s="33" t="s">
        <v>29197</v>
      </c>
      <c r="C12895" s="33" t="s">
        <v>29198</v>
      </c>
      <c r="D12895" s="33" t="s">
        <v>17</v>
      </c>
      <c r="E12895" s="33" t="s">
        <v>31</v>
      </c>
      <c r="F12895" s="33" t="s">
        <v>32</v>
      </c>
      <c r="G12895" s="33" t="s">
        <v>106</v>
      </c>
      <c r="H12895" s="35">
        <v>59</v>
      </c>
      <c r="I12895" s="33" t="s">
        <v>21</v>
      </c>
      <c r="J12895" s="42">
        <v>44676</v>
      </c>
      <c r="K12895" s="33" t="s">
        <v>22</v>
      </c>
    </row>
    <row r="12896" spans="1:11">
      <c r="A12896" s="30" t="s">
        <v>29199</v>
      </c>
      <c r="B12896" s="30" t="s">
        <v>29200</v>
      </c>
      <c r="C12896" s="30" t="s">
        <v>29201</v>
      </c>
      <c r="D12896" s="30" t="s">
        <v>17</v>
      </c>
      <c r="E12896" s="30" t="s">
        <v>67</v>
      </c>
      <c r="F12896" s="30" t="s">
        <v>68</v>
      </c>
      <c r="G12896" s="30" t="s">
        <v>158</v>
      </c>
      <c r="H12896" s="32">
        <v>5</v>
      </c>
      <c r="I12896" s="30" t="s">
        <v>21</v>
      </c>
      <c r="J12896" s="41">
        <v>44846</v>
      </c>
      <c r="K12896" s="30" t="s">
        <v>22</v>
      </c>
    </row>
    <row r="12897" spans="1:11">
      <c r="A12897" s="33" t="s">
        <v>29202</v>
      </c>
      <c r="B12897" s="33" t="s">
        <v>29203</v>
      </c>
      <c r="C12897" s="33" t="s">
        <v>8049</v>
      </c>
      <c r="D12897" s="33" t="s">
        <v>17</v>
      </c>
      <c r="E12897" s="33" t="s">
        <v>26</v>
      </c>
      <c r="F12897" s="33" t="s">
        <v>27</v>
      </c>
      <c r="G12897" s="33" t="s">
        <v>50</v>
      </c>
      <c r="H12897" s="35">
        <v>120</v>
      </c>
      <c r="I12897" s="33" t="s">
        <v>51</v>
      </c>
      <c r="J12897" s="42">
        <v>44743</v>
      </c>
      <c r="K12897" s="33" t="s">
        <v>22</v>
      </c>
    </row>
    <row r="12898" spans="1:11">
      <c r="A12898" s="30" t="s">
        <v>29204</v>
      </c>
      <c r="B12898" s="30" t="s">
        <v>29205</v>
      </c>
      <c r="C12898" s="30" t="s">
        <v>96</v>
      </c>
      <c r="D12898" s="30" t="s">
        <v>17</v>
      </c>
      <c r="E12898" s="30" t="s">
        <v>26</v>
      </c>
      <c r="F12898" s="30" t="s">
        <v>27</v>
      </c>
      <c r="G12898" s="30" t="s">
        <v>20</v>
      </c>
      <c r="H12898" s="32">
        <v>24</v>
      </c>
      <c r="I12898" s="30" t="s">
        <v>21</v>
      </c>
      <c r="J12898" s="41">
        <v>44774</v>
      </c>
      <c r="K12898" s="30" t="s">
        <v>22</v>
      </c>
    </row>
    <row r="12899" spans="1:11">
      <c r="A12899" s="33" t="s">
        <v>29206</v>
      </c>
      <c r="B12899" s="33" t="s">
        <v>29207</v>
      </c>
      <c r="C12899" s="33" t="s">
        <v>647</v>
      </c>
      <c r="D12899" s="33" t="s">
        <v>17</v>
      </c>
      <c r="E12899" s="33" t="s">
        <v>31</v>
      </c>
      <c r="F12899" s="33" t="s">
        <v>32</v>
      </c>
      <c r="G12899" s="33" t="s">
        <v>106</v>
      </c>
      <c r="H12899" s="35">
        <v>99</v>
      </c>
      <c r="I12899" s="33" t="s">
        <v>21</v>
      </c>
      <c r="J12899" s="42">
        <v>44897</v>
      </c>
      <c r="K12899" s="33" t="s">
        <v>22</v>
      </c>
    </row>
    <row r="12900" spans="1:11">
      <c r="A12900" s="30" t="s">
        <v>29208</v>
      </c>
      <c r="B12900" s="30" t="s">
        <v>29209</v>
      </c>
      <c r="C12900" s="30" t="s">
        <v>29210</v>
      </c>
      <c r="D12900" s="30" t="s">
        <v>17</v>
      </c>
      <c r="E12900" s="30" t="s">
        <v>67</v>
      </c>
      <c r="F12900" s="30" t="s">
        <v>68</v>
      </c>
      <c r="G12900" s="30" t="s">
        <v>158</v>
      </c>
      <c r="H12900" s="32">
        <v>72</v>
      </c>
      <c r="I12900" s="30" t="s">
        <v>21</v>
      </c>
      <c r="J12900" s="41">
        <v>44740</v>
      </c>
      <c r="K12900" s="30" t="s">
        <v>22</v>
      </c>
    </row>
    <row r="12901" spans="1:11">
      <c r="A12901" s="33" t="s">
        <v>29211</v>
      </c>
      <c r="B12901" s="33" t="s">
        <v>29212</v>
      </c>
      <c r="C12901" s="33" t="s">
        <v>170</v>
      </c>
      <c r="D12901" s="33" t="s">
        <v>17</v>
      </c>
      <c r="E12901" s="33" t="s">
        <v>18</v>
      </c>
      <c r="F12901" s="33" t="s">
        <v>19</v>
      </c>
      <c r="G12901" s="33" t="s">
        <v>158</v>
      </c>
      <c r="H12901" s="35">
        <v>140</v>
      </c>
      <c r="I12901" s="33" t="s">
        <v>51</v>
      </c>
      <c r="J12901" s="42">
        <v>44575</v>
      </c>
      <c r="K12901" s="33" t="s">
        <v>22</v>
      </c>
    </row>
    <row r="12902" spans="1:11">
      <c r="A12902" s="30" t="s">
        <v>29213</v>
      </c>
      <c r="B12902" s="30" t="s">
        <v>29214</v>
      </c>
      <c r="C12902" s="30" t="s">
        <v>10885</v>
      </c>
      <c r="D12902" s="30" t="s">
        <v>17</v>
      </c>
      <c r="E12902" s="30" t="s">
        <v>26</v>
      </c>
      <c r="F12902" s="30" t="s">
        <v>27</v>
      </c>
      <c r="G12902" s="30" t="s">
        <v>50</v>
      </c>
      <c r="H12902" s="32">
        <v>81</v>
      </c>
      <c r="I12902" s="30" t="s">
        <v>51</v>
      </c>
      <c r="J12902" s="41">
        <v>44628</v>
      </c>
      <c r="K12902" s="30" t="s">
        <v>22</v>
      </c>
    </row>
    <row r="12903" spans="1:11">
      <c r="A12903" s="33" t="s">
        <v>29215</v>
      </c>
      <c r="B12903" s="33" t="s">
        <v>29216</v>
      </c>
      <c r="C12903" s="33" t="s">
        <v>246</v>
      </c>
      <c r="D12903" s="33" t="s">
        <v>17</v>
      </c>
      <c r="E12903" s="33" t="s">
        <v>67</v>
      </c>
      <c r="F12903" s="33" t="s">
        <v>68</v>
      </c>
      <c r="G12903" s="33" t="s">
        <v>50</v>
      </c>
      <c r="H12903" s="35">
        <v>150</v>
      </c>
      <c r="I12903" s="33" t="s">
        <v>51</v>
      </c>
      <c r="J12903" s="42">
        <v>44591</v>
      </c>
      <c r="K12903" s="33" t="s">
        <v>22</v>
      </c>
    </row>
    <row r="12904" spans="1:11">
      <c r="A12904" s="30" t="s">
        <v>29217</v>
      </c>
      <c r="B12904" s="30" t="s">
        <v>29218</v>
      </c>
      <c r="C12904" s="30" t="s">
        <v>22605</v>
      </c>
      <c r="D12904" s="30" t="s">
        <v>17</v>
      </c>
      <c r="E12904" s="30" t="s">
        <v>26</v>
      </c>
      <c r="F12904" s="30" t="s">
        <v>27</v>
      </c>
      <c r="G12904" s="30" t="s">
        <v>50</v>
      </c>
      <c r="H12904" s="32">
        <v>48</v>
      </c>
      <c r="I12904" s="30" t="s">
        <v>51</v>
      </c>
      <c r="J12904" s="41">
        <v>44795</v>
      </c>
      <c r="K12904" s="30" t="s">
        <v>22</v>
      </c>
    </row>
    <row r="12905" spans="1:11">
      <c r="A12905" s="33" t="s">
        <v>29219</v>
      </c>
      <c r="B12905" s="33" t="s">
        <v>29220</v>
      </c>
      <c r="C12905" s="33" t="s">
        <v>7094</v>
      </c>
      <c r="D12905" s="33" t="s">
        <v>17</v>
      </c>
      <c r="E12905" s="33" t="s">
        <v>18</v>
      </c>
      <c r="F12905" s="33" t="s">
        <v>19</v>
      </c>
      <c r="G12905" s="33" t="s">
        <v>112</v>
      </c>
      <c r="H12905" s="35">
        <v>0</v>
      </c>
      <c r="I12905" s="33" t="s">
        <v>21</v>
      </c>
      <c r="J12905" s="42">
        <v>44774</v>
      </c>
      <c r="K12905" s="33" t="s">
        <v>22</v>
      </c>
    </row>
    <row r="12906" spans="1:11">
      <c r="A12906" s="30" t="s">
        <v>29221</v>
      </c>
      <c r="B12906" s="30" t="s">
        <v>29222</v>
      </c>
      <c r="C12906" s="30" t="s">
        <v>216</v>
      </c>
      <c r="D12906" s="30" t="s">
        <v>17</v>
      </c>
      <c r="E12906" s="30" t="s">
        <v>26</v>
      </c>
      <c r="F12906" s="30" t="s">
        <v>27</v>
      </c>
      <c r="G12906" s="30" t="s">
        <v>20</v>
      </c>
      <c r="H12906" s="32">
        <v>216</v>
      </c>
      <c r="I12906" s="30" t="s">
        <v>21</v>
      </c>
      <c r="J12906" s="41">
        <v>44748</v>
      </c>
      <c r="K12906" s="30" t="s">
        <v>22</v>
      </c>
    </row>
    <row r="12907" spans="1:11">
      <c r="A12907" s="33" t="s">
        <v>29223</v>
      </c>
      <c r="B12907" s="33" t="s">
        <v>29224</v>
      </c>
      <c r="C12907" s="33" t="s">
        <v>29225</v>
      </c>
      <c r="D12907" s="33" t="s">
        <v>17</v>
      </c>
      <c r="E12907" s="33" t="s">
        <v>26</v>
      </c>
      <c r="F12907" s="33" t="s">
        <v>27</v>
      </c>
      <c r="G12907" s="33" t="s">
        <v>140</v>
      </c>
      <c r="H12907" s="35">
        <v>250</v>
      </c>
      <c r="I12907" s="33" t="s">
        <v>51</v>
      </c>
      <c r="J12907" s="42">
        <v>44703</v>
      </c>
      <c r="K12907" s="33" t="s">
        <v>22</v>
      </c>
    </row>
    <row r="12908" spans="1:11">
      <c r="A12908" s="30" t="s">
        <v>29226</v>
      </c>
      <c r="B12908" s="30" t="s">
        <v>29227</v>
      </c>
      <c r="C12908" s="30" t="s">
        <v>1072</v>
      </c>
      <c r="D12908" s="30" t="s">
        <v>17</v>
      </c>
      <c r="E12908" s="30" t="s">
        <v>26</v>
      </c>
      <c r="F12908" s="30" t="s">
        <v>27</v>
      </c>
      <c r="G12908" s="30" t="s">
        <v>106</v>
      </c>
      <c r="H12908" s="32">
        <v>31</v>
      </c>
      <c r="I12908" s="30" t="s">
        <v>21</v>
      </c>
      <c r="J12908" s="41">
        <v>44671</v>
      </c>
      <c r="K12908" s="30" t="s">
        <v>22</v>
      </c>
    </row>
    <row r="12909" spans="1:11">
      <c r="A12909" s="33" t="s">
        <v>29228</v>
      </c>
      <c r="B12909" s="33" t="s">
        <v>29229</v>
      </c>
      <c r="C12909" s="33" t="s">
        <v>2922</v>
      </c>
      <c r="D12909" s="33" t="s">
        <v>17</v>
      </c>
      <c r="E12909" s="33" t="s">
        <v>67</v>
      </c>
      <c r="F12909" s="33" t="s">
        <v>68</v>
      </c>
      <c r="G12909" s="33" t="s">
        <v>140</v>
      </c>
      <c r="H12909" s="35">
        <v>18</v>
      </c>
      <c r="I12909" s="33" t="s">
        <v>51</v>
      </c>
      <c r="J12909" s="42">
        <v>44850</v>
      </c>
      <c r="K12909" s="33" t="s">
        <v>22</v>
      </c>
    </row>
    <row r="12910" spans="1:11">
      <c r="A12910" s="30" t="s">
        <v>29230</v>
      </c>
      <c r="B12910" s="30" t="s">
        <v>29231</v>
      </c>
      <c r="C12910" s="30" t="s">
        <v>26227</v>
      </c>
      <c r="D12910" s="30" t="s">
        <v>17</v>
      </c>
      <c r="E12910" s="30" t="s">
        <v>26</v>
      </c>
      <c r="F12910" s="30" t="s">
        <v>27</v>
      </c>
      <c r="G12910" s="30" t="s">
        <v>20</v>
      </c>
      <c r="H12910" s="32">
        <v>24</v>
      </c>
      <c r="I12910" s="30" t="s">
        <v>21</v>
      </c>
      <c r="J12910" s="41">
        <v>44923</v>
      </c>
      <c r="K12910" s="30" t="s">
        <v>22</v>
      </c>
    </row>
    <row r="12911" spans="1:11">
      <c r="A12911" s="33" t="s">
        <v>29232</v>
      </c>
      <c r="B12911" s="33" t="s">
        <v>29233</v>
      </c>
      <c r="C12911" s="33" t="s">
        <v>20006</v>
      </c>
      <c r="D12911" s="33" t="s">
        <v>17</v>
      </c>
      <c r="E12911" s="33" t="s">
        <v>31</v>
      </c>
      <c r="F12911" s="33" t="s">
        <v>32</v>
      </c>
      <c r="G12911" s="33" t="s">
        <v>20</v>
      </c>
      <c r="H12911" s="35">
        <v>18</v>
      </c>
      <c r="I12911" s="33" t="s">
        <v>21</v>
      </c>
      <c r="J12911" s="42">
        <v>44770</v>
      </c>
      <c r="K12911" s="33" t="s">
        <v>22</v>
      </c>
    </row>
    <row r="12912" spans="1:11">
      <c r="A12912" s="30" t="s">
        <v>29234</v>
      </c>
      <c r="B12912" s="30" t="s">
        <v>29235</v>
      </c>
      <c r="C12912" s="30" t="s">
        <v>1923</v>
      </c>
      <c r="D12912" s="30" t="s">
        <v>17</v>
      </c>
      <c r="E12912" s="30" t="s">
        <v>18</v>
      </c>
      <c r="F12912" s="30" t="s">
        <v>19</v>
      </c>
      <c r="G12912" s="30" t="s">
        <v>50</v>
      </c>
      <c r="H12912" s="32">
        <v>1800</v>
      </c>
      <c r="I12912" s="30" t="s">
        <v>21</v>
      </c>
      <c r="J12912" s="41">
        <v>44614</v>
      </c>
      <c r="K12912" s="30" t="s">
        <v>22</v>
      </c>
    </row>
    <row r="12913" spans="1:11">
      <c r="A12913" s="33" t="s">
        <v>29236</v>
      </c>
      <c r="B12913" s="33" t="s">
        <v>29237</v>
      </c>
      <c r="C12913" s="33" t="s">
        <v>231</v>
      </c>
      <c r="D12913" s="33" t="s">
        <v>17</v>
      </c>
      <c r="E12913" s="33" t="s">
        <v>31</v>
      </c>
      <c r="F12913" s="33" t="s">
        <v>32</v>
      </c>
      <c r="G12913" s="33" t="s">
        <v>20</v>
      </c>
      <c r="H12913" s="35">
        <v>322</v>
      </c>
      <c r="I12913" s="33" t="s">
        <v>21</v>
      </c>
      <c r="J12913" s="42">
        <v>44679</v>
      </c>
      <c r="K12913" s="33" t="s">
        <v>22</v>
      </c>
    </row>
    <row r="12914" spans="1:11">
      <c r="A12914" s="30" t="s">
        <v>29238</v>
      </c>
      <c r="B12914" s="30" t="s">
        <v>29239</v>
      </c>
      <c r="C12914" s="30" t="s">
        <v>7556</v>
      </c>
      <c r="D12914" s="30" t="s">
        <v>17</v>
      </c>
      <c r="E12914" s="30" t="s">
        <v>26</v>
      </c>
      <c r="F12914" s="30" t="s">
        <v>27</v>
      </c>
      <c r="G12914" s="30" t="s">
        <v>20</v>
      </c>
      <c r="H12914" s="32">
        <v>7</v>
      </c>
      <c r="I12914" s="30" t="s">
        <v>21</v>
      </c>
      <c r="J12914" s="41">
        <v>44712</v>
      </c>
      <c r="K12914" s="30" t="s">
        <v>22</v>
      </c>
    </row>
    <row r="12915" spans="1:11">
      <c r="A12915" s="33" t="s">
        <v>29240</v>
      </c>
      <c r="B12915" s="33" t="s">
        <v>29241</v>
      </c>
      <c r="C12915" s="33" t="s">
        <v>78</v>
      </c>
      <c r="D12915" s="33" t="s">
        <v>17</v>
      </c>
      <c r="E12915" s="33" t="s">
        <v>26</v>
      </c>
      <c r="F12915" s="33" t="s">
        <v>27</v>
      </c>
      <c r="G12915" s="33" t="s">
        <v>20</v>
      </c>
      <c r="H12915" s="35">
        <v>31</v>
      </c>
      <c r="I12915" s="33" t="s">
        <v>21</v>
      </c>
      <c r="J12915" s="42">
        <v>44827</v>
      </c>
      <c r="K12915" s="33" t="s">
        <v>22</v>
      </c>
    </row>
    <row r="12916" spans="1:11">
      <c r="A12916" s="30" t="s">
        <v>29242</v>
      </c>
      <c r="B12916" s="30" t="s">
        <v>29243</v>
      </c>
      <c r="C12916" s="30" t="s">
        <v>3676</v>
      </c>
      <c r="D12916" s="30" t="s">
        <v>17</v>
      </c>
      <c r="E12916" s="30" t="s">
        <v>18</v>
      </c>
      <c r="F12916" s="30" t="s">
        <v>19</v>
      </c>
      <c r="G12916" s="30" t="s">
        <v>112</v>
      </c>
      <c r="H12916" s="32">
        <v>0</v>
      </c>
      <c r="I12916" s="30" t="s">
        <v>21</v>
      </c>
      <c r="J12916" s="41">
        <v>44867</v>
      </c>
      <c r="K12916" s="30" t="s">
        <v>22</v>
      </c>
    </row>
    <row r="12917" spans="1:11">
      <c r="A12917" s="33" t="s">
        <v>29244</v>
      </c>
      <c r="B12917" s="33" t="s">
        <v>29245</v>
      </c>
      <c r="C12917" s="33" t="s">
        <v>535</v>
      </c>
      <c r="D12917" s="33" t="s">
        <v>17</v>
      </c>
      <c r="E12917" s="33" t="s">
        <v>26</v>
      </c>
      <c r="F12917" s="33" t="s">
        <v>27</v>
      </c>
      <c r="G12917" s="33" t="s">
        <v>20</v>
      </c>
      <c r="H12917" s="35">
        <v>74</v>
      </c>
      <c r="I12917" s="33" t="s">
        <v>21</v>
      </c>
      <c r="J12917" s="42">
        <v>44565</v>
      </c>
      <c r="K12917" s="33" t="s">
        <v>22</v>
      </c>
    </row>
    <row r="12918" spans="1:11">
      <c r="A12918" s="30" t="s">
        <v>29246</v>
      </c>
      <c r="B12918" s="30" t="s">
        <v>29247</v>
      </c>
      <c r="C12918" s="30" t="s">
        <v>21791</v>
      </c>
      <c r="D12918" s="30" t="s">
        <v>17</v>
      </c>
      <c r="E12918" s="30" t="s">
        <v>67</v>
      </c>
      <c r="F12918" s="30" t="s">
        <v>68</v>
      </c>
      <c r="G12918" s="30" t="s">
        <v>20</v>
      </c>
      <c r="H12918" s="32">
        <v>9</v>
      </c>
      <c r="I12918" s="30" t="s">
        <v>21</v>
      </c>
      <c r="J12918" s="41">
        <v>44591</v>
      </c>
      <c r="K12918" s="30" t="s">
        <v>22</v>
      </c>
    </row>
    <row r="12919" spans="1:11">
      <c r="A12919" s="33" t="s">
        <v>29248</v>
      </c>
      <c r="B12919" s="33" t="s">
        <v>29249</v>
      </c>
      <c r="C12919" s="33" t="s">
        <v>29250</v>
      </c>
      <c r="D12919" s="33" t="s">
        <v>17</v>
      </c>
      <c r="E12919" s="33" t="s">
        <v>31</v>
      </c>
      <c r="F12919" s="33" t="s">
        <v>32</v>
      </c>
      <c r="G12919" s="33" t="s">
        <v>112</v>
      </c>
      <c r="H12919" s="35">
        <v>0</v>
      </c>
      <c r="I12919" s="33" t="s">
        <v>21</v>
      </c>
      <c r="J12919" s="42">
        <v>44624</v>
      </c>
      <c r="K12919" s="33" t="s">
        <v>22</v>
      </c>
    </row>
    <row r="12920" spans="1:11">
      <c r="A12920" s="30" t="s">
        <v>29251</v>
      </c>
      <c r="B12920" s="30" t="s">
        <v>29252</v>
      </c>
      <c r="C12920" s="30" t="s">
        <v>190</v>
      </c>
      <c r="D12920" s="30" t="s">
        <v>17</v>
      </c>
      <c r="E12920" s="30" t="s">
        <v>26</v>
      </c>
      <c r="F12920" s="30" t="s">
        <v>27</v>
      </c>
      <c r="G12920" s="30" t="s">
        <v>20</v>
      </c>
      <c r="H12920" s="32">
        <v>183</v>
      </c>
      <c r="I12920" s="30" t="s">
        <v>21</v>
      </c>
      <c r="J12920" s="41">
        <v>44699</v>
      </c>
      <c r="K12920" s="30" t="s">
        <v>22</v>
      </c>
    </row>
    <row r="12921" spans="1:11">
      <c r="A12921" s="33" t="s">
        <v>29253</v>
      </c>
      <c r="B12921" s="33" t="s">
        <v>29254</v>
      </c>
      <c r="C12921" s="33" t="s">
        <v>10046</v>
      </c>
      <c r="D12921" s="33" t="s">
        <v>17</v>
      </c>
      <c r="E12921" s="33" t="s">
        <v>31</v>
      </c>
      <c r="F12921" s="33" t="s">
        <v>32</v>
      </c>
      <c r="G12921" s="33" t="s">
        <v>50</v>
      </c>
      <c r="H12921" s="35">
        <v>24</v>
      </c>
      <c r="I12921" s="33" t="s">
        <v>51</v>
      </c>
      <c r="J12921" s="42">
        <v>44812</v>
      </c>
      <c r="K12921" s="33" t="s">
        <v>22</v>
      </c>
    </row>
    <row r="12922" spans="1:11">
      <c r="A12922" s="30" t="s">
        <v>29255</v>
      </c>
      <c r="B12922" s="30" t="s">
        <v>29256</v>
      </c>
      <c r="C12922" s="30" t="s">
        <v>75</v>
      </c>
      <c r="D12922" s="30" t="s">
        <v>17</v>
      </c>
      <c r="E12922" s="30" t="s">
        <v>31</v>
      </c>
      <c r="F12922" s="30" t="s">
        <v>32</v>
      </c>
      <c r="G12922" s="30" t="s">
        <v>20</v>
      </c>
      <c r="H12922" s="32">
        <v>1</v>
      </c>
      <c r="I12922" s="30" t="s">
        <v>21</v>
      </c>
      <c r="J12922" s="41">
        <v>44837</v>
      </c>
      <c r="K12922" s="30" t="s">
        <v>22</v>
      </c>
    </row>
    <row r="12923" spans="1:11">
      <c r="A12923" s="33" t="s">
        <v>29257</v>
      </c>
      <c r="B12923" s="33" t="s">
        <v>29258</v>
      </c>
      <c r="C12923" s="33" t="s">
        <v>25879</v>
      </c>
      <c r="D12923" s="33" t="s">
        <v>17</v>
      </c>
      <c r="E12923" s="33" t="s">
        <v>31</v>
      </c>
      <c r="F12923" s="33" t="s">
        <v>32</v>
      </c>
      <c r="G12923" s="33" t="s">
        <v>20</v>
      </c>
      <c r="H12923" s="35">
        <v>55</v>
      </c>
      <c r="I12923" s="33" t="s">
        <v>21</v>
      </c>
      <c r="J12923" s="42">
        <v>44657</v>
      </c>
      <c r="K12923" s="33" t="s">
        <v>22</v>
      </c>
    </row>
    <row r="12924" spans="1:11">
      <c r="A12924" s="30" t="s">
        <v>29259</v>
      </c>
      <c r="B12924" s="30" t="s">
        <v>29260</v>
      </c>
      <c r="C12924" s="30" t="s">
        <v>109</v>
      </c>
      <c r="D12924" s="30" t="s">
        <v>17</v>
      </c>
      <c r="E12924" s="30" t="s">
        <v>31</v>
      </c>
      <c r="F12924" s="30" t="s">
        <v>32</v>
      </c>
      <c r="G12924" s="30" t="s">
        <v>158</v>
      </c>
      <c r="H12924" s="32">
        <v>170</v>
      </c>
      <c r="I12924" s="30" t="s">
        <v>21</v>
      </c>
      <c r="J12924" s="41">
        <v>44609</v>
      </c>
      <c r="K12924" s="30" t="s">
        <v>22</v>
      </c>
    </row>
    <row r="12925" spans="1:11">
      <c r="A12925" s="33" t="s">
        <v>29261</v>
      </c>
      <c r="B12925" s="33" t="s">
        <v>29262</v>
      </c>
      <c r="C12925" s="33" t="s">
        <v>2618</v>
      </c>
      <c r="D12925" s="33" t="s">
        <v>17</v>
      </c>
      <c r="E12925" s="33" t="s">
        <v>31</v>
      </c>
      <c r="F12925" s="33" t="s">
        <v>32</v>
      </c>
      <c r="G12925" s="33" t="s">
        <v>20</v>
      </c>
      <c r="H12925" s="35">
        <v>456</v>
      </c>
      <c r="I12925" s="33" t="s">
        <v>21</v>
      </c>
      <c r="J12925" s="42">
        <v>44651</v>
      </c>
      <c r="K12925" s="33" t="s">
        <v>22</v>
      </c>
    </row>
    <row r="12926" spans="1:11">
      <c r="A12926" s="30" t="s">
        <v>29263</v>
      </c>
      <c r="B12926" s="30" t="s">
        <v>29264</v>
      </c>
      <c r="C12926" s="30" t="s">
        <v>29265</v>
      </c>
      <c r="D12926" s="30" t="s">
        <v>17</v>
      </c>
      <c r="E12926" s="30" t="s">
        <v>18</v>
      </c>
      <c r="F12926" s="30" t="s">
        <v>19</v>
      </c>
      <c r="G12926" s="30" t="s">
        <v>158</v>
      </c>
      <c r="H12926" s="32">
        <v>130</v>
      </c>
      <c r="I12926" s="30" t="s">
        <v>21</v>
      </c>
      <c r="J12926" s="41">
        <v>44924</v>
      </c>
      <c r="K12926" s="30" t="s">
        <v>22</v>
      </c>
    </row>
    <row r="12927" spans="1:11">
      <c r="A12927" s="33" t="s">
        <v>29266</v>
      </c>
      <c r="B12927" s="33" t="s">
        <v>29267</v>
      </c>
      <c r="C12927" s="33" t="s">
        <v>29268</v>
      </c>
      <c r="D12927" s="33" t="s">
        <v>17</v>
      </c>
      <c r="E12927" s="33" t="s">
        <v>67</v>
      </c>
      <c r="F12927" s="33" t="s">
        <v>68</v>
      </c>
      <c r="G12927" s="33" t="s">
        <v>69</v>
      </c>
      <c r="H12927" s="35">
        <v>148</v>
      </c>
      <c r="I12927" s="33" t="s">
        <v>51</v>
      </c>
      <c r="J12927" s="42">
        <v>44866</v>
      </c>
      <c r="K12927" s="33" t="s">
        <v>22</v>
      </c>
    </row>
    <row r="12928" spans="1:11">
      <c r="A12928" s="30" t="s">
        <v>29269</v>
      </c>
      <c r="B12928" s="30" t="s">
        <v>29270</v>
      </c>
      <c r="C12928" s="30" t="s">
        <v>252</v>
      </c>
      <c r="D12928" s="30" t="s">
        <v>17</v>
      </c>
      <c r="E12928" s="30" t="s">
        <v>26</v>
      </c>
      <c r="F12928" s="30" t="s">
        <v>27</v>
      </c>
      <c r="G12928" s="30" t="s">
        <v>50</v>
      </c>
      <c r="H12928" s="32">
        <v>36</v>
      </c>
      <c r="I12928" s="30" t="s">
        <v>51</v>
      </c>
      <c r="J12928" s="41">
        <v>44713</v>
      </c>
      <c r="K12928" s="30" t="s">
        <v>22</v>
      </c>
    </row>
    <row r="12929" spans="1:11">
      <c r="A12929" s="33" t="s">
        <v>29271</v>
      </c>
      <c r="B12929" s="33" t="s">
        <v>29272</v>
      </c>
      <c r="C12929" s="33" t="s">
        <v>102</v>
      </c>
      <c r="D12929" s="33" t="s">
        <v>17</v>
      </c>
      <c r="E12929" s="33" t="s">
        <v>31</v>
      </c>
      <c r="F12929" s="33" t="s">
        <v>32</v>
      </c>
      <c r="G12929" s="33" t="s">
        <v>20</v>
      </c>
      <c r="H12929" s="35">
        <v>88</v>
      </c>
      <c r="I12929" s="33" t="s">
        <v>21</v>
      </c>
      <c r="J12929" s="42">
        <v>44700</v>
      </c>
      <c r="K12929" s="33" t="s">
        <v>22</v>
      </c>
    </row>
    <row r="12930" spans="1:11">
      <c r="A12930" s="30" t="s">
        <v>29273</v>
      </c>
      <c r="B12930" s="30" t="s">
        <v>29274</v>
      </c>
      <c r="C12930" s="30" t="s">
        <v>4345</v>
      </c>
      <c r="D12930" s="30" t="s">
        <v>17</v>
      </c>
      <c r="E12930" s="30" t="s">
        <v>31</v>
      </c>
      <c r="F12930" s="30" t="s">
        <v>32</v>
      </c>
      <c r="G12930" s="30" t="s">
        <v>20</v>
      </c>
      <c r="H12930" s="32">
        <v>154</v>
      </c>
      <c r="I12930" s="30" t="s">
        <v>21</v>
      </c>
      <c r="J12930" s="41">
        <v>44690</v>
      </c>
      <c r="K12930" s="30" t="s">
        <v>22</v>
      </c>
    </row>
    <row r="12931" spans="1:11">
      <c r="A12931" s="33" t="s">
        <v>29275</v>
      </c>
      <c r="B12931" s="33" t="s">
        <v>29276</v>
      </c>
      <c r="C12931" s="33" t="s">
        <v>231</v>
      </c>
      <c r="D12931" s="33" t="s">
        <v>17</v>
      </c>
      <c r="E12931" s="33" t="s">
        <v>26</v>
      </c>
      <c r="F12931" s="33" t="s">
        <v>27</v>
      </c>
      <c r="G12931" s="33" t="s">
        <v>20</v>
      </c>
      <c r="H12931" s="35">
        <v>24</v>
      </c>
      <c r="I12931" s="33" t="s">
        <v>21</v>
      </c>
      <c r="J12931" s="42">
        <v>44895</v>
      </c>
      <c r="K12931" s="33" t="s">
        <v>22</v>
      </c>
    </row>
    <row r="12932" spans="1:11">
      <c r="A12932" s="30" t="s">
        <v>29277</v>
      </c>
      <c r="B12932" s="30" t="s">
        <v>29278</v>
      </c>
      <c r="C12932" s="30" t="s">
        <v>29279</v>
      </c>
      <c r="D12932" s="30" t="s">
        <v>17</v>
      </c>
      <c r="E12932" s="30" t="s">
        <v>31</v>
      </c>
      <c r="F12932" s="30" t="s">
        <v>32</v>
      </c>
      <c r="G12932" s="30" t="s">
        <v>140</v>
      </c>
      <c r="H12932" s="32">
        <v>126</v>
      </c>
      <c r="I12932" s="30" t="s">
        <v>51</v>
      </c>
      <c r="J12932" s="41">
        <v>44685</v>
      </c>
      <c r="K12932" s="30" t="s">
        <v>22</v>
      </c>
    </row>
    <row r="12933" spans="1:11">
      <c r="A12933" s="33" t="s">
        <v>29280</v>
      </c>
      <c r="B12933" s="33" t="s">
        <v>29281</v>
      </c>
      <c r="C12933" s="33" t="s">
        <v>75</v>
      </c>
      <c r="D12933" s="33" t="s">
        <v>17</v>
      </c>
      <c r="E12933" s="33" t="s">
        <v>330</v>
      </c>
      <c r="F12933" s="33" t="s">
        <v>331</v>
      </c>
      <c r="G12933" s="33" t="s">
        <v>106</v>
      </c>
      <c r="H12933" s="35">
        <v>46</v>
      </c>
      <c r="I12933" s="33" t="s">
        <v>21</v>
      </c>
      <c r="J12933" s="42">
        <v>44817</v>
      </c>
      <c r="K12933" s="33" t="s">
        <v>22</v>
      </c>
    </row>
    <row r="12934" spans="1:11">
      <c r="A12934" s="30" t="s">
        <v>29282</v>
      </c>
      <c r="B12934" s="30" t="s">
        <v>29283</v>
      </c>
      <c r="C12934" s="30" t="s">
        <v>25143</v>
      </c>
      <c r="D12934" s="30" t="s">
        <v>17</v>
      </c>
      <c r="E12934" s="30" t="s">
        <v>67</v>
      </c>
      <c r="F12934" s="30" t="s">
        <v>68</v>
      </c>
      <c r="G12934" s="30" t="s">
        <v>20</v>
      </c>
      <c r="H12934" s="32">
        <v>35</v>
      </c>
      <c r="I12934" s="30" t="s">
        <v>21</v>
      </c>
      <c r="J12934" s="41">
        <v>44601</v>
      </c>
      <c r="K12934" s="30" t="s">
        <v>22</v>
      </c>
    </row>
    <row r="12935" spans="1:11">
      <c r="A12935" s="33" t="s">
        <v>29284</v>
      </c>
      <c r="B12935" s="33" t="s">
        <v>29285</v>
      </c>
      <c r="C12935" s="33" t="s">
        <v>2594</v>
      </c>
      <c r="D12935" s="33" t="s">
        <v>17</v>
      </c>
      <c r="E12935" s="33" t="s">
        <v>26</v>
      </c>
      <c r="F12935" s="33" t="s">
        <v>27</v>
      </c>
      <c r="G12935" s="33" t="s">
        <v>106</v>
      </c>
      <c r="H12935" s="35">
        <v>16</v>
      </c>
      <c r="I12935" s="33" t="s">
        <v>21</v>
      </c>
      <c r="J12935" s="42">
        <v>44682</v>
      </c>
      <c r="K12935" s="33" t="s">
        <v>22</v>
      </c>
    </row>
    <row r="12936" spans="1:11">
      <c r="A12936" s="30" t="s">
        <v>29286</v>
      </c>
      <c r="B12936" s="30" t="s">
        <v>29287</v>
      </c>
      <c r="C12936" s="30" t="s">
        <v>399</v>
      </c>
      <c r="D12936" s="30" t="s">
        <v>17</v>
      </c>
      <c r="E12936" s="30" t="s">
        <v>31</v>
      </c>
      <c r="F12936" s="30" t="s">
        <v>32</v>
      </c>
      <c r="G12936" s="30" t="s">
        <v>20</v>
      </c>
      <c r="H12936" s="32">
        <v>929</v>
      </c>
      <c r="I12936" s="30" t="s">
        <v>21</v>
      </c>
      <c r="J12936" s="41">
        <v>44874</v>
      </c>
      <c r="K12936" s="30" t="s">
        <v>22</v>
      </c>
    </row>
    <row r="12937" spans="1:11">
      <c r="A12937" s="33" t="s">
        <v>29288</v>
      </c>
      <c r="B12937" s="33" t="s">
        <v>29289</v>
      </c>
      <c r="C12937" s="33" t="s">
        <v>231</v>
      </c>
      <c r="D12937" s="33" t="s">
        <v>17</v>
      </c>
      <c r="E12937" s="33" t="s">
        <v>31</v>
      </c>
      <c r="F12937" s="33" t="s">
        <v>32</v>
      </c>
      <c r="G12937" s="33" t="s">
        <v>106</v>
      </c>
      <c r="H12937" s="35">
        <v>80</v>
      </c>
      <c r="I12937" s="33" t="s">
        <v>21</v>
      </c>
      <c r="J12937" s="42">
        <v>44678</v>
      </c>
      <c r="K12937" s="33" t="s">
        <v>22</v>
      </c>
    </row>
    <row r="12938" spans="1:11">
      <c r="A12938" s="30" t="s">
        <v>29290</v>
      </c>
      <c r="B12938" s="30" t="s">
        <v>29291</v>
      </c>
      <c r="C12938" s="30" t="s">
        <v>10300</v>
      </c>
      <c r="D12938" s="30" t="s">
        <v>17</v>
      </c>
      <c r="E12938" s="30" t="s">
        <v>18</v>
      </c>
      <c r="F12938" s="30" t="s">
        <v>19</v>
      </c>
      <c r="G12938" s="30" t="s">
        <v>20</v>
      </c>
      <c r="H12938" s="32">
        <v>250</v>
      </c>
      <c r="I12938" s="30" t="s">
        <v>21</v>
      </c>
      <c r="J12938" s="41">
        <v>44704</v>
      </c>
      <c r="K12938" s="30" t="s">
        <v>22</v>
      </c>
    </row>
    <row r="12939" spans="1:11">
      <c r="A12939" s="33" t="s">
        <v>29292</v>
      </c>
      <c r="B12939" s="33" t="s">
        <v>29293</v>
      </c>
      <c r="C12939" s="33" t="s">
        <v>29294</v>
      </c>
      <c r="D12939" s="33" t="s">
        <v>17</v>
      </c>
      <c r="E12939" s="33" t="s">
        <v>26</v>
      </c>
      <c r="F12939" s="33" t="s">
        <v>27</v>
      </c>
      <c r="G12939" s="33" t="s">
        <v>20</v>
      </c>
      <c r="H12939" s="35">
        <v>12</v>
      </c>
      <c r="I12939" s="33" t="s">
        <v>21</v>
      </c>
      <c r="J12939" s="42">
        <v>44630</v>
      </c>
      <c r="K12939" s="33" t="s">
        <v>22</v>
      </c>
    </row>
    <row r="12940" spans="1:11">
      <c r="A12940" s="30" t="s">
        <v>29295</v>
      </c>
      <c r="B12940" s="30" t="s">
        <v>29296</v>
      </c>
      <c r="C12940" s="30" t="s">
        <v>647</v>
      </c>
      <c r="D12940" s="30" t="s">
        <v>17</v>
      </c>
      <c r="E12940" s="30" t="s">
        <v>67</v>
      </c>
      <c r="F12940" s="30" t="s">
        <v>68</v>
      </c>
      <c r="G12940" s="30" t="s">
        <v>140</v>
      </c>
      <c r="H12940" s="32">
        <v>48</v>
      </c>
      <c r="I12940" s="30" t="s">
        <v>51</v>
      </c>
      <c r="J12940" s="41">
        <v>44881</v>
      </c>
      <c r="K12940" s="30" t="s">
        <v>22</v>
      </c>
    </row>
    <row r="12941" spans="1:11">
      <c r="A12941" s="33" t="s">
        <v>29297</v>
      </c>
      <c r="B12941" s="33" t="s">
        <v>29298</v>
      </c>
      <c r="C12941" s="33" t="s">
        <v>1210</v>
      </c>
      <c r="D12941" s="33" t="s">
        <v>17</v>
      </c>
      <c r="E12941" s="33" t="s">
        <v>26</v>
      </c>
      <c r="F12941" s="33" t="s">
        <v>27</v>
      </c>
      <c r="G12941" s="33" t="s">
        <v>106</v>
      </c>
      <c r="H12941" s="35">
        <v>25</v>
      </c>
      <c r="I12941" s="33" t="s">
        <v>21</v>
      </c>
      <c r="J12941" s="42">
        <v>44600</v>
      </c>
      <c r="K12941" s="33" t="s">
        <v>22</v>
      </c>
    </row>
    <row r="12942" spans="1:11">
      <c r="A12942" s="30" t="s">
        <v>29299</v>
      </c>
      <c r="B12942" s="30" t="s">
        <v>29300</v>
      </c>
      <c r="C12942" s="30" t="s">
        <v>23828</v>
      </c>
      <c r="D12942" s="30" t="s">
        <v>17</v>
      </c>
      <c r="E12942" s="30" t="s">
        <v>26</v>
      </c>
      <c r="F12942" s="30" t="s">
        <v>27</v>
      </c>
      <c r="G12942" s="30" t="s">
        <v>20</v>
      </c>
      <c r="H12942" s="32">
        <v>32</v>
      </c>
      <c r="I12942" s="30" t="s">
        <v>21</v>
      </c>
      <c r="J12942" s="41">
        <v>44677</v>
      </c>
      <c r="K12942" s="30" t="s">
        <v>22</v>
      </c>
    </row>
    <row r="12943" spans="1:11">
      <c r="A12943" s="33" t="s">
        <v>29301</v>
      </c>
      <c r="B12943" s="33" t="s">
        <v>29302</v>
      </c>
      <c r="C12943" s="33" t="s">
        <v>2421</v>
      </c>
      <c r="D12943" s="33" t="s">
        <v>17</v>
      </c>
      <c r="E12943" s="33" t="s">
        <v>26</v>
      </c>
      <c r="F12943" s="33" t="s">
        <v>27</v>
      </c>
      <c r="G12943" s="33" t="s">
        <v>50</v>
      </c>
      <c r="H12943" s="35">
        <v>69</v>
      </c>
      <c r="I12943" s="33" t="s">
        <v>51</v>
      </c>
      <c r="J12943" s="42">
        <v>44704</v>
      </c>
      <c r="K12943" s="33" t="s">
        <v>22</v>
      </c>
    </row>
    <row r="12944" spans="1:11">
      <c r="A12944" s="30" t="s">
        <v>29303</v>
      </c>
      <c r="B12944" s="30" t="s">
        <v>29304</v>
      </c>
      <c r="C12944" s="30" t="s">
        <v>252</v>
      </c>
      <c r="D12944" s="30" t="s">
        <v>17</v>
      </c>
      <c r="E12944" s="30" t="s">
        <v>31</v>
      </c>
      <c r="F12944" s="30" t="s">
        <v>32</v>
      </c>
      <c r="G12944" s="30" t="s">
        <v>20</v>
      </c>
      <c r="H12944" s="32">
        <v>44</v>
      </c>
      <c r="I12944" s="30" t="s">
        <v>21</v>
      </c>
      <c r="J12944" s="41">
        <v>44694</v>
      </c>
      <c r="K12944" s="30" t="s">
        <v>22</v>
      </c>
    </row>
    <row r="12945" spans="1:11">
      <c r="A12945" s="33" t="s">
        <v>29305</v>
      </c>
      <c r="B12945" s="33" t="s">
        <v>29306</v>
      </c>
      <c r="C12945" s="33" t="s">
        <v>1801</v>
      </c>
      <c r="D12945" s="33" t="s">
        <v>17</v>
      </c>
      <c r="E12945" s="33" t="s">
        <v>26</v>
      </c>
      <c r="F12945" s="33" t="s">
        <v>27</v>
      </c>
      <c r="G12945" s="33" t="s">
        <v>20</v>
      </c>
      <c r="H12945" s="35">
        <v>6</v>
      </c>
      <c r="I12945" s="33" t="s">
        <v>21</v>
      </c>
      <c r="J12945" s="42">
        <v>44763</v>
      </c>
      <c r="K12945" s="33" t="s">
        <v>22</v>
      </c>
    </row>
    <row r="12946" spans="1:11">
      <c r="A12946" s="30" t="s">
        <v>29307</v>
      </c>
      <c r="B12946" s="30" t="s">
        <v>29308</v>
      </c>
      <c r="C12946" s="30" t="s">
        <v>3210</v>
      </c>
      <c r="D12946" s="30" t="s">
        <v>17</v>
      </c>
      <c r="E12946" s="30" t="s">
        <v>18</v>
      </c>
      <c r="F12946" s="30" t="s">
        <v>19</v>
      </c>
      <c r="G12946" s="30" t="s">
        <v>106</v>
      </c>
      <c r="H12946" s="32">
        <v>64</v>
      </c>
      <c r="I12946" s="30" t="s">
        <v>21</v>
      </c>
      <c r="J12946" s="41">
        <v>44741</v>
      </c>
      <c r="K12946" s="30" t="s">
        <v>22</v>
      </c>
    </row>
    <row r="12947" spans="1:11">
      <c r="A12947" s="33" t="s">
        <v>29309</v>
      </c>
      <c r="B12947" s="33" t="s">
        <v>29310</v>
      </c>
      <c r="C12947" s="33" t="s">
        <v>29311</v>
      </c>
      <c r="D12947" s="33" t="s">
        <v>17</v>
      </c>
      <c r="E12947" s="33" t="s">
        <v>26</v>
      </c>
      <c r="F12947" s="33" t="s">
        <v>27</v>
      </c>
      <c r="G12947" s="33" t="s">
        <v>20</v>
      </c>
      <c r="H12947" s="35">
        <v>130</v>
      </c>
      <c r="I12947" s="33" t="s">
        <v>21</v>
      </c>
      <c r="J12947" s="42">
        <v>44739</v>
      </c>
      <c r="K12947" s="33" t="s">
        <v>22</v>
      </c>
    </row>
    <row r="12948" spans="1:11">
      <c r="A12948" s="30" t="s">
        <v>29312</v>
      </c>
      <c r="B12948" s="30" t="s">
        <v>29313</v>
      </c>
      <c r="C12948" s="30" t="s">
        <v>109</v>
      </c>
      <c r="D12948" s="30" t="s">
        <v>17</v>
      </c>
      <c r="E12948" s="30" t="s">
        <v>18</v>
      </c>
      <c r="F12948" s="30" t="s">
        <v>19</v>
      </c>
      <c r="G12948" s="30" t="s">
        <v>20</v>
      </c>
      <c r="H12948" s="32">
        <v>275</v>
      </c>
      <c r="I12948" s="30" t="s">
        <v>21</v>
      </c>
      <c r="J12948" s="41">
        <v>44770</v>
      </c>
      <c r="K12948" s="30" t="s">
        <v>22</v>
      </c>
    </row>
    <row r="12949" spans="1:11">
      <c r="A12949" s="33" t="s">
        <v>29314</v>
      </c>
      <c r="B12949" s="33" t="s">
        <v>29315</v>
      </c>
      <c r="C12949" s="33" t="s">
        <v>154</v>
      </c>
      <c r="D12949" s="33" t="s">
        <v>17</v>
      </c>
      <c r="E12949" s="33" t="s">
        <v>26</v>
      </c>
      <c r="F12949" s="33" t="s">
        <v>27</v>
      </c>
      <c r="G12949" s="33" t="s">
        <v>20</v>
      </c>
      <c r="H12949" s="35">
        <v>8</v>
      </c>
      <c r="I12949" s="33" t="s">
        <v>21</v>
      </c>
      <c r="J12949" s="42">
        <v>44719</v>
      </c>
      <c r="K12949" s="33" t="s">
        <v>22</v>
      </c>
    </row>
    <row r="12950" spans="1:11">
      <c r="A12950" s="30" t="s">
        <v>29316</v>
      </c>
      <c r="B12950" s="30" t="s">
        <v>29317</v>
      </c>
      <c r="C12950" s="30" t="s">
        <v>29318</v>
      </c>
      <c r="D12950" s="30" t="s">
        <v>17</v>
      </c>
      <c r="E12950" s="30" t="s">
        <v>212</v>
      </c>
      <c r="F12950" s="30" t="s">
        <v>213</v>
      </c>
      <c r="G12950" s="30" t="s">
        <v>140</v>
      </c>
      <c r="H12950" s="32">
        <v>2500</v>
      </c>
      <c r="I12950" s="30" t="s">
        <v>51</v>
      </c>
      <c r="J12950" s="41">
        <v>44826</v>
      </c>
      <c r="K12950" s="30" t="s">
        <v>22</v>
      </c>
    </row>
    <row r="12951" spans="1:11">
      <c r="A12951" s="33" t="s">
        <v>29319</v>
      </c>
      <c r="B12951" s="33" t="s">
        <v>29320</v>
      </c>
      <c r="C12951" s="33" t="s">
        <v>29321</v>
      </c>
      <c r="D12951" s="33" t="s">
        <v>17</v>
      </c>
      <c r="E12951" s="33" t="s">
        <v>26</v>
      </c>
      <c r="F12951" s="33" t="s">
        <v>27</v>
      </c>
      <c r="G12951" s="33" t="s">
        <v>50</v>
      </c>
      <c r="H12951" s="35">
        <v>91</v>
      </c>
      <c r="I12951" s="33" t="s">
        <v>21</v>
      </c>
      <c r="J12951" s="42">
        <v>44781</v>
      </c>
      <c r="K12951" s="33" t="s">
        <v>22</v>
      </c>
    </row>
    <row r="12952" spans="1:11">
      <c r="A12952" s="30" t="s">
        <v>29322</v>
      </c>
      <c r="B12952" s="30" t="s">
        <v>29323</v>
      </c>
      <c r="C12952" s="30" t="s">
        <v>2272</v>
      </c>
      <c r="D12952" s="30" t="s">
        <v>17</v>
      </c>
      <c r="E12952" s="30" t="s">
        <v>212</v>
      </c>
      <c r="F12952" s="30" t="s">
        <v>213</v>
      </c>
      <c r="G12952" s="30" t="s">
        <v>20</v>
      </c>
      <c r="H12952" s="32">
        <v>55</v>
      </c>
      <c r="I12952" s="30" t="s">
        <v>21</v>
      </c>
      <c r="J12952" s="41">
        <v>44572</v>
      </c>
      <c r="K12952" s="30" t="s">
        <v>22</v>
      </c>
    </row>
    <row r="12953" spans="1:11">
      <c r="A12953" s="33" t="s">
        <v>29324</v>
      </c>
      <c r="B12953" s="33" t="s">
        <v>29325</v>
      </c>
      <c r="C12953" s="33" t="s">
        <v>1504</v>
      </c>
      <c r="D12953" s="33" t="s">
        <v>17</v>
      </c>
      <c r="E12953" s="33" t="s">
        <v>67</v>
      </c>
      <c r="F12953" s="33" t="s">
        <v>68</v>
      </c>
      <c r="G12953" s="33" t="s">
        <v>50</v>
      </c>
      <c r="H12953" s="35">
        <v>208</v>
      </c>
      <c r="I12953" s="33" t="s">
        <v>51</v>
      </c>
      <c r="J12953" s="42">
        <v>44723</v>
      </c>
      <c r="K12953" s="33" t="s">
        <v>22</v>
      </c>
    </row>
    <row r="12954" spans="1:11">
      <c r="A12954" s="30" t="s">
        <v>29326</v>
      </c>
      <c r="B12954" s="30" t="s">
        <v>29327</v>
      </c>
      <c r="C12954" s="30" t="s">
        <v>7201</v>
      </c>
      <c r="D12954" s="30" t="s">
        <v>17</v>
      </c>
      <c r="E12954" s="30" t="s">
        <v>18</v>
      </c>
      <c r="F12954" s="30" t="s">
        <v>19</v>
      </c>
      <c r="G12954" s="30" t="s">
        <v>50</v>
      </c>
      <c r="H12954" s="32">
        <v>330</v>
      </c>
      <c r="I12954" s="30" t="s">
        <v>21</v>
      </c>
      <c r="J12954" s="41">
        <v>44669</v>
      </c>
      <c r="K12954" s="30" t="s">
        <v>22</v>
      </c>
    </row>
    <row r="12955" spans="1:11">
      <c r="A12955" s="33" t="s">
        <v>29328</v>
      </c>
      <c r="B12955" s="33" t="s">
        <v>29329</v>
      </c>
      <c r="C12955" s="33" t="s">
        <v>25421</v>
      </c>
      <c r="D12955" s="33" t="s">
        <v>17</v>
      </c>
      <c r="E12955" s="33" t="s">
        <v>31</v>
      </c>
      <c r="F12955" s="33" t="s">
        <v>32</v>
      </c>
      <c r="G12955" s="33" t="s">
        <v>50</v>
      </c>
      <c r="H12955" s="35">
        <v>60</v>
      </c>
      <c r="I12955" s="33" t="s">
        <v>51</v>
      </c>
      <c r="J12955" s="42">
        <v>44782</v>
      </c>
      <c r="K12955" s="33" t="s">
        <v>22</v>
      </c>
    </row>
    <row r="12956" spans="1:11">
      <c r="A12956" s="30" t="s">
        <v>29330</v>
      </c>
      <c r="B12956" s="30" t="s">
        <v>29331</v>
      </c>
      <c r="C12956" s="30" t="s">
        <v>1305</v>
      </c>
      <c r="D12956" s="30" t="s">
        <v>17</v>
      </c>
      <c r="E12956" s="30" t="s">
        <v>26</v>
      </c>
      <c r="F12956" s="30" t="s">
        <v>27</v>
      </c>
      <c r="G12956" s="30" t="s">
        <v>20</v>
      </c>
      <c r="H12956" s="32">
        <v>48</v>
      </c>
      <c r="I12956" s="30" t="s">
        <v>21</v>
      </c>
      <c r="J12956" s="41">
        <v>44823</v>
      </c>
      <c r="K12956" s="30" t="s">
        <v>22</v>
      </c>
    </row>
    <row r="12957" spans="1:11">
      <c r="A12957" s="33" t="s">
        <v>29332</v>
      </c>
      <c r="B12957" s="33" t="s">
        <v>29333</v>
      </c>
      <c r="C12957" s="33" t="s">
        <v>102</v>
      </c>
      <c r="D12957" s="33" t="s">
        <v>17</v>
      </c>
      <c r="E12957" s="33" t="s">
        <v>45</v>
      </c>
      <c r="F12957" s="33" t="s">
        <v>46</v>
      </c>
      <c r="G12957" s="33" t="s">
        <v>140</v>
      </c>
      <c r="H12957" s="35">
        <v>12</v>
      </c>
      <c r="I12957" s="33" t="s">
        <v>51</v>
      </c>
      <c r="J12957" s="42">
        <v>44762</v>
      </c>
      <c r="K12957" s="33" t="s">
        <v>22</v>
      </c>
    </row>
    <row r="12958" spans="1:11">
      <c r="A12958" s="30" t="s">
        <v>29334</v>
      </c>
      <c r="B12958" s="30" t="s">
        <v>29335</v>
      </c>
      <c r="C12958" s="30" t="s">
        <v>2289</v>
      </c>
      <c r="D12958" s="30" t="s">
        <v>17</v>
      </c>
      <c r="E12958" s="30" t="s">
        <v>26</v>
      </c>
      <c r="F12958" s="30" t="s">
        <v>27</v>
      </c>
      <c r="G12958" s="30" t="s">
        <v>20</v>
      </c>
      <c r="H12958" s="32">
        <v>135</v>
      </c>
      <c r="I12958" s="30" t="s">
        <v>21</v>
      </c>
      <c r="J12958" s="41">
        <v>44739</v>
      </c>
      <c r="K12958" s="30" t="s">
        <v>22</v>
      </c>
    </row>
    <row r="12959" spans="1:11">
      <c r="A12959" s="33" t="s">
        <v>29336</v>
      </c>
      <c r="B12959" s="33" t="s">
        <v>29337</v>
      </c>
      <c r="C12959" s="33" t="s">
        <v>11793</v>
      </c>
      <c r="D12959" s="33" t="s">
        <v>17</v>
      </c>
      <c r="E12959" s="33" t="s">
        <v>26</v>
      </c>
      <c r="F12959" s="33" t="s">
        <v>27</v>
      </c>
      <c r="G12959" s="33" t="s">
        <v>50</v>
      </c>
      <c r="H12959" s="35">
        <v>18</v>
      </c>
      <c r="I12959" s="33" t="s">
        <v>51</v>
      </c>
      <c r="J12959" s="42">
        <v>44602</v>
      </c>
      <c r="K12959" s="33" t="s">
        <v>22</v>
      </c>
    </row>
    <row r="12960" spans="1:11">
      <c r="A12960" s="30" t="s">
        <v>29338</v>
      </c>
      <c r="B12960" s="30" t="s">
        <v>29339</v>
      </c>
      <c r="C12960" s="30" t="s">
        <v>7072</v>
      </c>
      <c r="D12960" s="30" t="s">
        <v>17</v>
      </c>
      <c r="E12960" s="30" t="s">
        <v>31</v>
      </c>
      <c r="F12960" s="30" t="s">
        <v>32</v>
      </c>
      <c r="G12960" s="30" t="s">
        <v>106</v>
      </c>
      <c r="H12960" s="32">
        <v>114</v>
      </c>
      <c r="I12960" s="30" t="s">
        <v>21</v>
      </c>
      <c r="J12960" s="41">
        <v>44874</v>
      </c>
      <c r="K12960" s="30" t="s">
        <v>22</v>
      </c>
    </row>
    <row r="12961" spans="1:11">
      <c r="A12961" s="33" t="s">
        <v>29340</v>
      </c>
      <c r="B12961" s="33" t="s">
        <v>29341</v>
      </c>
      <c r="C12961" s="33" t="s">
        <v>753</v>
      </c>
      <c r="D12961" s="33" t="s">
        <v>17</v>
      </c>
      <c r="E12961" s="33" t="s">
        <v>31</v>
      </c>
      <c r="F12961" s="33" t="s">
        <v>32</v>
      </c>
      <c r="G12961" s="33" t="s">
        <v>106</v>
      </c>
      <c r="H12961" s="35">
        <v>131</v>
      </c>
      <c r="I12961" s="33" t="s">
        <v>21</v>
      </c>
      <c r="J12961" s="42">
        <v>44739</v>
      </c>
      <c r="K12961" s="33" t="s">
        <v>22</v>
      </c>
    </row>
    <row r="12962" spans="1:11">
      <c r="A12962" s="30" t="s">
        <v>29342</v>
      </c>
      <c r="B12962" s="30" t="s">
        <v>29343</v>
      </c>
      <c r="C12962" s="30" t="s">
        <v>1313</v>
      </c>
      <c r="D12962" s="30" t="s">
        <v>17</v>
      </c>
      <c r="E12962" s="30" t="s">
        <v>26</v>
      </c>
      <c r="F12962" s="30" t="s">
        <v>27</v>
      </c>
      <c r="G12962" s="30" t="s">
        <v>50</v>
      </c>
      <c r="H12962" s="32">
        <v>54</v>
      </c>
      <c r="I12962" s="30" t="s">
        <v>51</v>
      </c>
      <c r="J12962" s="41">
        <v>44835</v>
      </c>
      <c r="K12962" s="30" t="s">
        <v>22</v>
      </c>
    </row>
    <row r="12963" spans="1:11">
      <c r="A12963" s="33" t="s">
        <v>29344</v>
      </c>
      <c r="B12963" s="33" t="s">
        <v>29345</v>
      </c>
      <c r="C12963" s="33" t="s">
        <v>190</v>
      </c>
      <c r="D12963" s="33" t="s">
        <v>17</v>
      </c>
      <c r="E12963" s="33" t="s">
        <v>212</v>
      </c>
      <c r="F12963" s="33" t="s">
        <v>213</v>
      </c>
      <c r="G12963" s="33" t="s">
        <v>106</v>
      </c>
      <c r="H12963" s="35">
        <v>34</v>
      </c>
      <c r="I12963" s="33" t="s">
        <v>21</v>
      </c>
      <c r="J12963" s="42">
        <v>44592</v>
      </c>
      <c r="K12963" s="33" t="s">
        <v>22</v>
      </c>
    </row>
    <row r="12964" spans="1:11">
      <c r="A12964" s="30" t="s">
        <v>29346</v>
      </c>
      <c r="B12964" s="30" t="s">
        <v>29347</v>
      </c>
      <c r="C12964" s="30" t="s">
        <v>9262</v>
      </c>
      <c r="D12964" s="30" t="s">
        <v>17</v>
      </c>
      <c r="E12964" s="30" t="s">
        <v>26</v>
      </c>
      <c r="F12964" s="30" t="s">
        <v>27</v>
      </c>
      <c r="G12964" s="30" t="s">
        <v>20</v>
      </c>
      <c r="H12964" s="32">
        <v>27</v>
      </c>
      <c r="I12964" s="30" t="s">
        <v>21</v>
      </c>
      <c r="J12964" s="41">
        <v>44851</v>
      </c>
      <c r="K12964" s="30" t="s">
        <v>22</v>
      </c>
    </row>
    <row r="12965" spans="1:11">
      <c r="A12965" s="33" t="s">
        <v>29348</v>
      </c>
      <c r="B12965" s="33" t="s">
        <v>29349</v>
      </c>
      <c r="C12965" s="33" t="s">
        <v>7588</v>
      </c>
      <c r="D12965" s="33" t="s">
        <v>17</v>
      </c>
      <c r="E12965" s="33" t="s">
        <v>18</v>
      </c>
      <c r="F12965" s="33" t="s">
        <v>19</v>
      </c>
      <c r="G12965" s="33" t="s">
        <v>20</v>
      </c>
      <c r="H12965" s="35">
        <v>413</v>
      </c>
      <c r="I12965" s="33" t="s">
        <v>21</v>
      </c>
      <c r="J12965" s="42">
        <v>44693</v>
      </c>
      <c r="K12965" s="33" t="s">
        <v>22</v>
      </c>
    </row>
    <row r="12966" spans="1:11">
      <c r="A12966" s="30" t="s">
        <v>29350</v>
      </c>
      <c r="B12966" s="30" t="s">
        <v>29351</v>
      </c>
      <c r="C12966" s="30" t="s">
        <v>29352</v>
      </c>
      <c r="D12966" s="30" t="s">
        <v>17</v>
      </c>
      <c r="E12966" s="30" t="s">
        <v>212</v>
      </c>
      <c r="F12966" s="30" t="s">
        <v>213</v>
      </c>
      <c r="G12966" s="30" t="s">
        <v>20</v>
      </c>
      <c r="H12966" s="32">
        <v>52</v>
      </c>
      <c r="I12966" s="30" t="s">
        <v>21</v>
      </c>
      <c r="J12966" s="41">
        <v>44847</v>
      </c>
      <c r="K12966" s="30" t="s">
        <v>22</v>
      </c>
    </row>
    <row r="12967" spans="1:11">
      <c r="A12967" s="33" t="s">
        <v>29353</v>
      </c>
      <c r="B12967" s="33" t="s">
        <v>29354</v>
      </c>
      <c r="C12967" s="33" t="s">
        <v>10120</v>
      </c>
      <c r="D12967" s="33" t="s">
        <v>17</v>
      </c>
      <c r="E12967" s="33" t="s">
        <v>18</v>
      </c>
      <c r="F12967" s="33" t="s">
        <v>19</v>
      </c>
      <c r="G12967" s="33" t="s">
        <v>20</v>
      </c>
      <c r="H12967" s="35">
        <v>253</v>
      </c>
      <c r="I12967" s="33" t="s">
        <v>21</v>
      </c>
      <c r="J12967" s="42">
        <v>44599</v>
      </c>
      <c r="K12967" s="33" t="s">
        <v>22</v>
      </c>
    </row>
    <row r="12968" spans="1:11">
      <c r="A12968" s="30" t="s">
        <v>29355</v>
      </c>
      <c r="B12968" s="30" t="s">
        <v>29356</v>
      </c>
      <c r="C12968" s="30" t="s">
        <v>18291</v>
      </c>
      <c r="D12968" s="30" t="s">
        <v>17</v>
      </c>
      <c r="E12968" s="30" t="s">
        <v>67</v>
      </c>
      <c r="F12968" s="30" t="s">
        <v>68</v>
      </c>
      <c r="G12968" s="30" t="s">
        <v>106</v>
      </c>
      <c r="H12968" s="32">
        <v>6</v>
      </c>
      <c r="I12968" s="30" t="s">
        <v>21</v>
      </c>
      <c r="J12968" s="41">
        <v>44671</v>
      </c>
      <c r="K12968" s="30" t="s">
        <v>22</v>
      </c>
    </row>
    <row r="12969" spans="1:11">
      <c r="A12969" s="33" t="s">
        <v>29357</v>
      </c>
      <c r="B12969" s="33" t="s">
        <v>29358</v>
      </c>
      <c r="C12969" s="33" t="s">
        <v>44</v>
      </c>
      <c r="D12969" s="33" t="s">
        <v>17</v>
      </c>
      <c r="E12969" s="33" t="s">
        <v>26</v>
      </c>
      <c r="F12969" s="33" t="s">
        <v>27</v>
      </c>
      <c r="G12969" s="33" t="s">
        <v>20</v>
      </c>
      <c r="H12969" s="35">
        <v>93</v>
      </c>
      <c r="I12969" s="33" t="s">
        <v>21</v>
      </c>
      <c r="J12969" s="42">
        <v>44664</v>
      </c>
      <c r="K12969" s="33" t="s">
        <v>22</v>
      </c>
    </row>
    <row r="12970" spans="1:11">
      <c r="A12970" s="30" t="s">
        <v>29359</v>
      </c>
      <c r="B12970" s="30" t="s">
        <v>29360</v>
      </c>
      <c r="C12970" s="30" t="s">
        <v>2446</v>
      </c>
      <c r="D12970" s="30" t="s">
        <v>17</v>
      </c>
      <c r="E12970" s="30" t="s">
        <v>26</v>
      </c>
      <c r="F12970" s="30" t="s">
        <v>27</v>
      </c>
      <c r="G12970" s="30" t="s">
        <v>106</v>
      </c>
      <c r="H12970" s="32">
        <v>13</v>
      </c>
      <c r="I12970" s="30" t="s">
        <v>21</v>
      </c>
      <c r="J12970" s="41">
        <v>44712</v>
      </c>
      <c r="K12970" s="30" t="s">
        <v>22</v>
      </c>
    </row>
    <row r="12971" spans="1:11">
      <c r="A12971" s="33" t="s">
        <v>29361</v>
      </c>
      <c r="B12971" s="33" t="s">
        <v>29362</v>
      </c>
      <c r="C12971" s="33" t="s">
        <v>969</v>
      </c>
      <c r="D12971" s="33" t="s">
        <v>17</v>
      </c>
      <c r="E12971" s="33" t="s">
        <v>26</v>
      </c>
      <c r="F12971" s="33" t="s">
        <v>27</v>
      </c>
      <c r="G12971" s="33" t="s">
        <v>106</v>
      </c>
      <c r="H12971" s="35">
        <v>18</v>
      </c>
      <c r="I12971" s="33" t="s">
        <v>21</v>
      </c>
      <c r="J12971" s="42">
        <v>44824</v>
      </c>
      <c r="K12971" s="33" t="s">
        <v>22</v>
      </c>
    </row>
    <row r="12972" spans="1:11">
      <c r="A12972" s="30" t="s">
        <v>29363</v>
      </c>
      <c r="B12972" s="30" t="s">
        <v>29364</v>
      </c>
      <c r="C12972" s="30" t="s">
        <v>1571</v>
      </c>
      <c r="D12972" s="30" t="s">
        <v>17</v>
      </c>
      <c r="E12972" s="30" t="s">
        <v>26</v>
      </c>
      <c r="F12972" s="30" t="s">
        <v>27</v>
      </c>
      <c r="G12972" s="30" t="s">
        <v>140</v>
      </c>
      <c r="H12972" s="32">
        <v>85</v>
      </c>
      <c r="I12972" s="30" t="s">
        <v>51</v>
      </c>
      <c r="J12972" s="41">
        <v>44742</v>
      </c>
      <c r="K12972" s="30" t="s">
        <v>22</v>
      </c>
    </row>
    <row r="12973" spans="1:11">
      <c r="A12973" s="33" t="s">
        <v>29365</v>
      </c>
      <c r="B12973" s="33" t="s">
        <v>29366</v>
      </c>
      <c r="C12973" s="33" t="s">
        <v>4796</v>
      </c>
      <c r="D12973" s="33" t="s">
        <v>17</v>
      </c>
      <c r="E12973" s="33" t="s">
        <v>31</v>
      </c>
      <c r="F12973" s="33" t="s">
        <v>32</v>
      </c>
      <c r="G12973" s="33" t="s">
        <v>20</v>
      </c>
      <c r="H12973" s="35">
        <v>141</v>
      </c>
      <c r="I12973" s="33" t="s">
        <v>21</v>
      </c>
      <c r="J12973" s="42">
        <v>44564</v>
      </c>
      <c r="K12973" s="33" t="s">
        <v>22</v>
      </c>
    </row>
    <row r="12974" spans="1:11">
      <c r="A12974" s="30" t="s">
        <v>29367</v>
      </c>
      <c r="B12974" s="30" t="s">
        <v>29368</v>
      </c>
      <c r="C12974" s="30" t="s">
        <v>1583</v>
      </c>
      <c r="D12974" s="30" t="s">
        <v>17</v>
      </c>
      <c r="E12974" s="30" t="s">
        <v>31</v>
      </c>
      <c r="F12974" s="30" t="s">
        <v>32</v>
      </c>
      <c r="G12974" s="30" t="s">
        <v>140</v>
      </c>
      <c r="H12974" s="32">
        <v>372</v>
      </c>
      <c r="I12974" s="30" t="s">
        <v>51</v>
      </c>
      <c r="J12974" s="41">
        <v>44684</v>
      </c>
      <c r="K12974" s="30" t="s">
        <v>22</v>
      </c>
    </row>
    <row r="12975" spans="1:11">
      <c r="A12975" s="33" t="s">
        <v>29369</v>
      </c>
      <c r="B12975" s="33" t="s">
        <v>29370</v>
      </c>
      <c r="C12975" s="33" t="s">
        <v>2153</v>
      </c>
      <c r="D12975" s="33" t="s">
        <v>17</v>
      </c>
      <c r="E12975" s="33" t="s">
        <v>31</v>
      </c>
      <c r="F12975" s="33" t="s">
        <v>32</v>
      </c>
      <c r="G12975" s="33" t="s">
        <v>20</v>
      </c>
      <c r="H12975" s="35">
        <v>224</v>
      </c>
      <c r="I12975" s="33" t="s">
        <v>21</v>
      </c>
      <c r="J12975" s="42">
        <v>44615</v>
      </c>
      <c r="K12975" s="33" t="s">
        <v>22</v>
      </c>
    </row>
    <row r="12976" spans="1:11">
      <c r="A12976" s="30" t="s">
        <v>29371</v>
      </c>
      <c r="B12976" s="30" t="s">
        <v>29372</v>
      </c>
      <c r="C12976" s="30" t="s">
        <v>17720</v>
      </c>
      <c r="D12976" s="30" t="s">
        <v>17</v>
      </c>
      <c r="E12976" s="30" t="s">
        <v>26</v>
      </c>
      <c r="F12976" s="30" t="s">
        <v>27</v>
      </c>
      <c r="G12976" s="30" t="s">
        <v>20</v>
      </c>
      <c r="H12976" s="32">
        <v>72</v>
      </c>
      <c r="I12976" s="30" t="s">
        <v>21</v>
      </c>
      <c r="J12976" s="41">
        <v>44875</v>
      </c>
      <c r="K12976" s="30" t="s">
        <v>22</v>
      </c>
    </row>
    <row r="12977" spans="1:11">
      <c r="A12977" s="33" t="s">
        <v>29373</v>
      </c>
      <c r="B12977" s="33" t="s">
        <v>29374</v>
      </c>
      <c r="C12977" s="33" t="s">
        <v>29375</v>
      </c>
      <c r="D12977" s="33" t="s">
        <v>17</v>
      </c>
      <c r="E12977" s="33" t="s">
        <v>31</v>
      </c>
      <c r="F12977" s="33" t="s">
        <v>32</v>
      </c>
      <c r="G12977" s="33" t="s">
        <v>20</v>
      </c>
      <c r="H12977" s="35">
        <v>490</v>
      </c>
      <c r="I12977" s="33" t="s">
        <v>21</v>
      </c>
      <c r="J12977" s="42">
        <v>44680</v>
      </c>
      <c r="K12977" s="33" t="s">
        <v>22</v>
      </c>
    </row>
    <row r="12978" spans="1:11">
      <c r="A12978" s="30" t="s">
        <v>29376</v>
      </c>
      <c r="B12978" s="30" t="s">
        <v>29377</v>
      </c>
      <c r="C12978" s="30" t="s">
        <v>2313</v>
      </c>
      <c r="D12978" s="30" t="s">
        <v>17</v>
      </c>
      <c r="E12978" s="30" t="s">
        <v>26</v>
      </c>
      <c r="F12978" s="30" t="s">
        <v>27</v>
      </c>
      <c r="G12978" s="30" t="s">
        <v>20</v>
      </c>
      <c r="H12978" s="32">
        <v>18</v>
      </c>
      <c r="I12978" s="30" t="s">
        <v>21</v>
      </c>
      <c r="J12978" s="41">
        <v>44679</v>
      </c>
      <c r="K12978" s="30" t="s">
        <v>22</v>
      </c>
    </row>
    <row r="12979" spans="1:11">
      <c r="A12979" s="33" t="s">
        <v>29378</v>
      </c>
      <c r="B12979" s="33" t="s">
        <v>29379</v>
      </c>
      <c r="C12979" s="33" t="s">
        <v>337</v>
      </c>
      <c r="D12979" s="33" t="s">
        <v>17</v>
      </c>
      <c r="E12979" s="33" t="s">
        <v>18</v>
      </c>
      <c r="F12979" s="33" t="s">
        <v>19</v>
      </c>
      <c r="G12979" s="33" t="s">
        <v>20</v>
      </c>
      <c r="H12979" s="35">
        <v>218</v>
      </c>
      <c r="I12979" s="33" t="s">
        <v>21</v>
      </c>
      <c r="J12979" s="42">
        <v>44924</v>
      </c>
      <c r="K12979" s="33" t="s">
        <v>22</v>
      </c>
    </row>
    <row r="12980" spans="1:11">
      <c r="A12980" s="30" t="s">
        <v>29380</v>
      </c>
      <c r="B12980" s="30" t="s">
        <v>29381</v>
      </c>
      <c r="C12980" s="30" t="s">
        <v>969</v>
      </c>
      <c r="D12980" s="30" t="s">
        <v>17</v>
      </c>
      <c r="E12980" s="30" t="s">
        <v>67</v>
      </c>
      <c r="F12980" s="30" t="s">
        <v>68</v>
      </c>
      <c r="G12980" s="30" t="s">
        <v>20</v>
      </c>
      <c r="H12980" s="32">
        <v>505</v>
      </c>
      <c r="I12980" s="30" t="s">
        <v>21</v>
      </c>
      <c r="J12980" s="41">
        <v>44627</v>
      </c>
      <c r="K12980" s="30" t="s">
        <v>22</v>
      </c>
    </row>
    <row r="12981" spans="1:11">
      <c r="A12981" s="33" t="s">
        <v>29382</v>
      </c>
      <c r="B12981" s="33" t="s">
        <v>29383</v>
      </c>
      <c r="C12981" s="33" t="s">
        <v>118</v>
      </c>
      <c r="D12981" s="33" t="s">
        <v>17</v>
      </c>
      <c r="E12981" s="33" t="s">
        <v>18</v>
      </c>
      <c r="F12981" s="33" t="s">
        <v>19</v>
      </c>
      <c r="G12981" s="33" t="s">
        <v>20</v>
      </c>
      <c r="H12981" s="35">
        <v>541</v>
      </c>
      <c r="I12981" s="33" t="s">
        <v>21</v>
      </c>
      <c r="J12981" s="42">
        <v>44825</v>
      </c>
      <c r="K12981" s="33" t="s">
        <v>22</v>
      </c>
    </row>
    <row r="12982" spans="1:11">
      <c r="A12982" s="30" t="s">
        <v>29384</v>
      </c>
      <c r="B12982" s="30" t="s">
        <v>29385</v>
      </c>
      <c r="C12982" s="30" t="s">
        <v>3451</v>
      </c>
      <c r="D12982" s="30" t="s">
        <v>17</v>
      </c>
      <c r="E12982" s="30" t="s">
        <v>67</v>
      </c>
      <c r="F12982" s="30" t="s">
        <v>68</v>
      </c>
      <c r="G12982" s="30" t="s">
        <v>20</v>
      </c>
      <c r="H12982" s="32">
        <v>72</v>
      </c>
      <c r="I12982" s="30" t="s">
        <v>21</v>
      </c>
      <c r="J12982" s="41">
        <v>44741</v>
      </c>
      <c r="K12982" s="30" t="s">
        <v>22</v>
      </c>
    </row>
    <row r="12983" spans="1:11">
      <c r="A12983" s="33" t="s">
        <v>29386</v>
      </c>
      <c r="B12983" s="33" t="s">
        <v>29387</v>
      </c>
      <c r="C12983" s="33" t="s">
        <v>190</v>
      </c>
      <c r="D12983" s="33" t="s">
        <v>17</v>
      </c>
      <c r="E12983" s="33" t="s">
        <v>31</v>
      </c>
      <c r="F12983" s="33" t="s">
        <v>32</v>
      </c>
      <c r="G12983" s="33" t="s">
        <v>20</v>
      </c>
      <c r="H12983" s="35">
        <v>54</v>
      </c>
      <c r="I12983" s="33" t="s">
        <v>21</v>
      </c>
      <c r="J12983" s="42">
        <v>44756</v>
      </c>
      <c r="K12983" s="33" t="s">
        <v>22</v>
      </c>
    </row>
    <row r="12984" spans="1:11">
      <c r="A12984" s="30" t="s">
        <v>29388</v>
      </c>
      <c r="B12984" s="30" t="s">
        <v>29389</v>
      </c>
      <c r="C12984" s="30" t="s">
        <v>109</v>
      </c>
      <c r="D12984" s="30" t="s">
        <v>17</v>
      </c>
      <c r="E12984" s="30" t="s">
        <v>31</v>
      </c>
      <c r="F12984" s="30" t="s">
        <v>32</v>
      </c>
      <c r="G12984" s="30" t="s">
        <v>20</v>
      </c>
      <c r="H12984" s="32">
        <v>76</v>
      </c>
      <c r="I12984" s="30" t="s">
        <v>21</v>
      </c>
      <c r="J12984" s="41">
        <v>44846</v>
      </c>
      <c r="K12984" s="30" t="s">
        <v>22</v>
      </c>
    </row>
    <row r="12985" spans="1:11">
      <c r="A12985" s="33" t="s">
        <v>29390</v>
      </c>
      <c r="B12985" s="33" t="s">
        <v>29391</v>
      </c>
      <c r="C12985" s="33" t="s">
        <v>29392</v>
      </c>
      <c r="D12985" s="33" t="s">
        <v>17</v>
      </c>
      <c r="E12985" s="33" t="s">
        <v>67</v>
      </c>
      <c r="F12985" s="33" t="s">
        <v>68</v>
      </c>
      <c r="G12985" s="33" t="s">
        <v>106</v>
      </c>
      <c r="H12985" s="35">
        <v>32</v>
      </c>
      <c r="I12985" s="33" t="s">
        <v>21</v>
      </c>
      <c r="J12985" s="42">
        <v>44564</v>
      </c>
      <c r="K12985" s="33" t="s">
        <v>22</v>
      </c>
    </row>
    <row r="12986" spans="1:11">
      <c r="A12986" s="30" t="s">
        <v>29393</v>
      </c>
      <c r="B12986" s="30" t="s">
        <v>29394</v>
      </c>
      <c r="C12986" s="30" t="s">
        <v>12845</v>
      </c>
      <c r="D12986" s="30" t="s">
        <v>17</v>
      </c>
      <c r="E12986" s="30" t="s">
        <v>26</v>
      </c>
      <c r="F12986" s="30" t="s">
        <v>27</v>
      </c>
      <c r="G12986" s="30" t="s">
        <v>20</v>
      </c>
      <c r="H12986" s="32">
        <v>91</v>
      </c>
      <c r="I12986" s="30" t="s">
        <v>21</v>
      </c>
      <c r="J12986" s="41">
        <v>44926</v>
      </c>
      <c r="K12986" s="30" t="s">
        <v>22</v>
      </c>
    </row>
    <row r="12987" spans="1:11">
      <c r="A12987" s="33" t="s">
        <v>29395</v>
      </c>
      <c r="B12987" s="33" t="s">
        <v>29396</v>
      </c>
      <c r="C12987" s="33" t="s">
        <v>488</v>
      </c>
      <c r="D12987" s="33" t="s">
        <v>17</v>
      </c>
      <c r="E12987" s="33" t="s">
        <v>26</v>
      </c>
      <c r="F12987" s="33" t="s">
        <v>27</v>
      </c>
      <c r="G12987" s="33" t="s">
        <v>112</v>
      </c>
      <c r="H12987" s="35">
        <v>0</v>
      </c>
      <c r="I12987" s="33" t="s">
        <v>21</v>
      </c>
      <c r="J12987" s="42">
        <v>44628</v>
      </c>
      <c r="K12987" s="33" t="s">
        <v>22</v>
      </c>
    </row>
    <row r="12988" spans="1:11">
      <c r="A12988" s="30" t="s">
        <v>29397</v>
      </c>
      <c r="B12988" s="30" t="s">
        <v>29398</v>
      </c>
      <c r="C12988" s="30" t="s">
        <v>1529</v>
      </c>
      <c r="D12988" s="30" t="s">
        <v>17</v>
      </c>
      <c r="E12988" s="30" t="s">
        <v>67</v>
      </c>
      <c r="F12988" s="30" t="s">
        <v>68</v>
      </c>
      <c r="G12988" s="30" t="s">
        <v>20</v>
      </c>
      <c r="H12988" s="32">
        <v>44</v>
      </c>
      <c r="I12988" s="30" t="s">
        <v>21</v>
      </c>
      <c r="J12988" s="41">
        <v>44805</v>
      </c>
      <c r="K12988" s="30" t="s">
        <v>22</v>
      </c>
    </row>
    <row r="12989" spans="1:11">
      <c r="A12989" s="33" t="s">
        <v>29399</v>
      </c>
      <c r="B12989" s="33" t="s">
        <v>29400</v>
      </c>
      <c r="C12989" s="33" t="s">
        <v>11801</v>
      </c>
      <c r="D12989" s="33" t="s">
        <v>17</v>
      </c>
      <c r="E12989" s="33" t="s">
        <v>18</v>
      </c>
      <c r="F12989" s="33" t="s">
        <v>19</v>
      </c>
      <c r="G12989" s="33" t="s">
        <v>50</v>
      </c>
      <c r="H12989" s="35">
        <v>250</v>
      </c>
      <c r="I12989" s="33" t="s">
        <v>51</v>
      </c>
      <c r="J12989" s="42">
        <v>44765</v>
      </c>
      <c r="K12989" s="33" t="s">
        <v>22</v>
      </c>
    </row>
    <row r="12990" spans="1:11">
      <c r="A12990" s="30" t="s">
        <v>29401</v>
      </c>
      <c r="B12990" s="30" t="s">
        <v>29402</v>
      </c>
      <c r="C12990" s="30" t="s">
        <v>29403</v>
      </c>
      <c r="D12990" s="30" t="s">
        <v>17</v>
      </c>
      <c r="E12990" s="30" t="s">
        <v>26</v>
      </c>
      <c r="F12990" s="30" t="s">
        <v>27</v>
      </c>
      <c r="G12990" s="30" t="s">
        <v>158</v>
      </c>
      <c r="H12990" s="32">
        <v>6</v>
      </c>
      <c r="I12990" s="30" t="s">
        <v>21</v>
      </c>
      <c r="J12990" s="41">
        <v>44686</v>
      </c>
      <c r="K12990" s="30" t="s">
        <v>22</v>
      </c>
    </row>
    <row r="12991" spans="1:11">
      <c r="A12991" s="33" t="s">
        <v>29404</v>
      </c>
      <c r="B12991" s="33" t="s">
        <v>29405</v>
      </c>
      <c r="C12991" s="33" t="s">
        <v>23262</v>
      </c>
      <c r="D12991" s="33" t="s">
        <v>17</v>
      </c>
      <c r="E12991" s="33" t="s">
        <v>31</v>
      </c>
      <c r="F12991" s="33" t="s">
        <v>32</v>
      </c>
      <c r="G12991" s="33" t="s">
        <v>20</v>
      </c>
      <c r="H12991" s="35">
        <v>69</v>
      </c>
      <c r="I12991" s="33" t="s">
        <v>21</v>
      </c>
      <c r="J12991" s="42">
        <v>44712</v>
      </c>
      <c r="K12991" s="33" t="s">
        <v>22</v>
      </c>
    </row>
    <row r="12992" spans="1:11">
      <c r="A12992" s="30" t="s">
        <v>29406</v>
      </c>
      <c r="B12992" s="30" t="s">
        <v>29407</v>
      </c>
      <c r="C12992" s="30" t="s">
        <v>1923</v>
      </c>
      <c r="D12992" s="30" t="s">
        <v>17</v>
      </c>
      <c r="E12992" s="30" t="s">
        <v>18</v>
      </c>
      <c r="F12992" s="30" t="s">
        <v>19</v>
      </c>
      <c r="G12992" s="30" t="s">
        <v>50</v>
      </c>
      <c r="H12992" s="32">
        <v>3160</v>
      </c>
      <c r="I12992" s="30" t="s">
        <v>21</v>
      </c>
      <c r="J12992" s="41">
        <v>44667</v>
      </c>
      <c r="K12992" s="30" t="s">
        <v>22</v>
      </c>
    </row>
    <row r="12993" spans="1:11">
      <c r="A12993" s="33" t="s">
        <v>29408</v>
      </c>
      <c r="B12993" s="33" t="s">
        <v>29409</v>
      </c>
      <c r="C12993" s="33" t="s">
        <v>28274</v>
      </c>
      <c r="D12993" s="33" t="s">
        <v>17</v>
      </c>
      <c r="E12993" s="33" t="s">
        <v>67</v>
      </c>
      <c r="F12993" s="33" t="s">
        <v>68</v>
      </c>
      <c r="G12993" s="33" t="s">
        <v>112</v>
      </c>
      <c r="H12993" s="35">
        <v>0</v>
      </c>
      <c r="I12993" s="33" t="s">
        <v>21</v>
      </c>
      <c r="J12993" s="42">
        <v>44887</v>
      </c>
      <c r="K12993" s="33" t="s">
        <v>22</v>
      </c>
    </row>
    <row r="12994" spans="1:11">
      <c r="A12994" s="30" t="s">
        <v>29410</v>
      </c>
      <c r="B12994" s="30" t="s">
        <v>29411</v>
      </c>
      <c r="C12994" s="30" t="s">
        <v>795</v>
      </c>
      <c r="D12994" s="30" t="s">
        <v>17</v>
      </c>
      <c r="E12994" s="30" t="s">
        <v>31</v>
      </c>
      <c r="F12994" s="30" t="s">
        <v>32</v>
      </c>
      <c r="G12994" s="30" t="s">
        <v>158</v>
      </c>
      <c r="H12994" s="32">
        <v>264</v>
      </c>
      <c r="I12994" s="30" t="s">
        <v>21</v>
      </c>
      <c r="J12994" s="41">
        <v>44726</v>
      </c>
      <c r="K12994" s="30" t="s">
        <v>22</v>
      </c>
    </row>
    <row r="12995" spans="1:11">
      <c r="A12995" s="33" t="s">
        <v>29412</v>
      </c>
      <c r="B12995" s="33" t="s">
        <v>29413</v>
      </c>
      <c r="C12995" s="33" t="s">
        <v>17172</v>
      </c>
      <c r="D12995" s="33" t="s">
        <v>17</v>
      </c>
      <c r="E12995" s="33" t="s">
        <v>67</v>
      </c>
      <c r="F12995" s="33" t="s">
        <v>68</v>
      </c>
      <c r="G12995" s="33" t="s">
        <v>50</v>
      </c>
      <c r="H12995" s="35">
        <v>80</v>
      </c>
      <c r="I12995" s="33" t="s">
        <v>51</v>
      </c>
      <c r="J12995" s="42">
        <v>44790</v>
      </c>
      <c r="K12995" s="33" t="s">
        <v>22</v>
      </c>
    </row>
    <row r="12996" spans="1:11">
      <c r="A12996" s="30" t="s">
        <v>29414</v>
      </c>
      <c r="B12996" s="30" t="s">
        <v>29415</v>
      </c>
      <c r="C12996" s="30" t="s">
        <v>29416</v>
      </c>
      <c r="D12996" s="30" t="s">
        <v>17</v>
      </c>
      <c r="E12996" s="30" t="s">
        <v>26</v>
      </c>
      <c r="F12996" s="30" t="s">
        <v>27</v>
      </c>
      <c r="G12996" s="30" t="s">
        <v>20</v>
      </c>
      <c r="H12996" s="32">
        <v>27</v>
      </c>
      <c r="I12996" s="30" t="s">
        <v>21</v>
      </c>
      <c r="J12996" s="41">
        <v>44713</v>
      </c>
      <c r="K12996" s="30" t="s">
        <v>22</v>
      </c>
    </row>
    <row r="12997" spans="1:11">
      <c r="A12997" s="33" t="s">
        <v>29417</v>
      </c>
      <c r="B12997" s="33" t="s">
        <v>29418</v>
      </c>
      <c r="C12997" s="33" t="s">
        <v>969</v>
      </c>
      <c r="D12997" s="33" t="s">
        <v>17</v>
      </c>
      <c r="E12997" s="33" t="s">
        <v>26</v>
      </c>
      <c r="F12997" s="33" t="s">
        <v>27</v>
      </c>
      <c r="G12997" s="33" t="s">
        <v>20</v>
      </c>
      <c r="H12997" s="35">
        <v>33</v>
      </c>
      <c r="I12997" s="33" t="s">
        <v>21</v>
      </c>
      <c r="J12997" s="42">
        <v>44606</v>
      </c>
      <c r="K12997" s="33" t="s">
        <v>22</v>
      </c>
    </row>
    <row r="12998" spans="1:11">
      <c r="A12998" s="30" t="s">
        <v>29419</v>
      </c>
      <c r="B12998" s="30" t="s">
        <v>29420</v>
      </c>
      <c r="C12998" s="30" t="s">
        <v>157</v>
      </c>
      <c r="D12998" s="30" t="s">
        <v>17</v>
      </c>
      <c r="E12998" s="30" t="s">
        <v>31</v>
      </c>
      <c r="F12998" s="30" t="s">
        <v>32</v>
      </c>
      <c r="G12998" s="30" t="s">
        <v>20</v>
      </c>
      <c r="H12998" s="32">
        <v>102</v>
      </c>
      <c r="I12998" s="30" t="s">
        <v>21</v>
      </c>
      <c r="J12998" s="41">
        <v>44735</v>
      </c>
      <c r="K12998" s="30" t="s">
        <v>22</v>
      </c>
    </row>
    <row r="12999" spans="1:11">
      <c r="A12999" s="33" t="s">
        <v>29421</v>
      </c>
      <c r="B12999" s="33" t="s">
        <v>29422</v>
      </c>
      <c r="C12999" s="33" t="s">
        <v>4345</v>
      </c>
      <c r="D12999" s="33" t="s">
        <v>17</v>
      </c>
      <c r="E12999" s="33" t="s">
        <v>18</v>
      </c>
      <c r="F12999" s="33" t="s">
        <v>19</v>
      </c>
      <c r="G12999" s="33" t="s">
        <v>20</v>
      </c>
      <c r="H12999" s="35">
        <v>1478</v>
      </c>
      <c r="I12999" s="33" t="s">
        <v>21</v>
      </c>
      <c r="J12999" s="42">
        <v>44886</v>
      </c>
      <c r="K12999" s="33" t="s">
        <v>22</v>
      </c>
    </row>
    <row r="13000" spans="1:11">
      <c r="A13000" s="30" t="s">
        <v>29423</v>
      </c>
      <c r="B13000" s="30" t="s">
        <v>29424</v>
      </c>
      <c r="C13000" s="30" t="s">
        <v>29425</v>
      </c>
      <c r="D13000" s="30" t="s">
        <v>17</v>
      </c>
      <c r="E13000" s="30" t="s">
        <v>18</v>
      </c>
      <c r="F13000" s="30" t="s">
        <v>19</v>
      </c>
      <c r="G13000" s="30" t="s">
        <v>140</v>
      </c>
      <c r="H13000" s="32">
        <v>350</v>
      </c>
      <c r="I13000" s="30" t="s">
        <v>51</v>
      </c>
      <c r="J13000" s="41">
        <v>44578</v>
      </c>
      <c r="K13000" s="30" t="s">
        <v>22</v>
      </c>
    </row>
    <row r="13001" spans="1:11">
      <c r="A13001" s="33" t="s">
        <v>29426</v>
      </c>
      <c r="B13001" s="33" t="s">
        <v>29427</v>
      </c>
      <c r="C13001" s="33" t="s">
        <v>29428</v>
      </c>
      <c r="D13001" s="33" t="s">
        <v>17</v>
      </c>
      <c r="E13001" s="33" t="s">
        <v>31</v>
      </c>
      <c r="F13001" s="33" t="s">
        <v>32</v>
      </c>
      <c r="G13001" s="33" t="s">
        <v>20</v>
      </c>
      <c r="H13001" s="35">
        <v>518</v>
      </c>
      <c r="I13001" s="33" t="s">
        <v>21</v>
      </c>
      <c r="J13001" s="42">
        <v>44853</v>
      </c>
      <c r="K13001" s="33" t="s">
        <v>22</v>
      </c>
    </row>
    <row r="13002" spans="1:11">
      <c r="A13002" s="30" t="s">
        <v>29429</v>
      </c>
      <c r="B13002" s="30" t="s">
        <v>29430</v>
      </c>
      <c r="C13002" s="30" t="s">
        <v>29431</v>
      </c>
      <c r="D13002" s="30" t="s">
        <v>17</v>
      </c>
      <c r="E13002" s="30" t="s">
        <v>18</v>
      </c>
      <c r="F13002" s="30" t="s">
        <v>19</v>
      </c>
      <c r="G13002" s="30" t="s">
        <v>50</v>
      </c>
      <c r="H13002" s="32">
        <v>100</v>
      </c>
      <c r="I13002" s="30" t="s">
        <v>51</v>
      </c>
      <c r="J13002" s="41">
        <v>44635</v>
      </c>
      <c r="K13002" s="30" t="s">
        <v>22</v>
      </c>
    </row>
    <row r="13003" spans="1:11">
      <c r="A13003" s="33" t="s">
        <v>29432</v>
      </c>
      <c r="B13003" s="33" t="s">
        <v>29433</v>
      </c>
      <c r="C13003" s="33" t="s">
        <v>136</v>
      </c>
      <c r="D13003" s="33" t="s">
        <v>17</v>
      </c>
      <c r="E13003" s="33" t="s">
        <v>18</v>
      </c>
      <c r="F13003" s="33" t="s">
        <v>19</v>
      </c>
      <c r="G13003" s="33" t="s">
        <v>158</v>
      </c>
      <c r="H13003" s="35">
        <v>367</v>
      </c>
      <c r="I13003" s="33" t="s">
        <v>21</v>
      </c>
      <c r="J13003" s="42">
        <v>44852</v>
      </c>
      <c r="K13003" s="33" t="s">
        <v>22</v>
      </c>
    </row>
    <row r="13004" spans="1:11">
      <c r="A13004" s="30" t="s">
        <v>29434</v>
      </c>
      <c r="B13004" s="30" t="s">
        <v>29435</v>
      </c>
      <c r="C13004" s="30" t="s">
        <v>29436</v>
      </c>
      <c r="D13004" s="30" t="s">
        <v>17</v>
      </c>
      <c r="E13004" s="30" t="s">
        <v>26</v>
      </c>
      <c r="F13004" s="30" t="s">
        <v>27</v>
      </c>
      <c r="G13004" s="30" t="s">
        <v>20</v>
      </c>
      <c r="H13004" s="32">
        <v>80</v>
      </c>
      <c r="I13004" s="30" t="s">
        <v>21</v>
      </c>
      <c r="J13004" s="41">
        <v>44603</v>
      </c>
      <c r="K13004" s="30" t="s">
        <v>22</v>
      </c>
    </row>
    <row r="13005" spans="1:11">
      <c r="A13005" s="33" t="s">
        <v>29437</v>
      </c>
      <c r="B13005" s="33" t="s">
        <v>29438</v>
      </c>
      <c r="C13005" s="33" t="s">
        <v>3583</v>
      </c>
      <c r="D13005" s="33" t="s">
        <v>17</v>
      </c>
      <c r="E13005" s="33" t="s">
        <v>31</v>
      </c>
      <c r="F13005" s="33" t="s">
        <v>32</v>
      </c>
      <c r="G13005" s="33" t="s">
        <v>20</v>
      </c>
      <c r="H13005" s="35">
        <v>198</v>
      </c>
      <c r="I13005" s="33" t="s">
        <v>21</v>
      </c>
      <c r="J13005" s="42">
        <v>44797</v>
      </c>
      <c r="K13005" s="33" t="s">
        <v>22</v>
      </c>
    </row>
    <row r="13006" spans="1:11">
      <c r="A13006" s="30" t="s">
        <v>29439</v>
      </c>
      <c r="B13006" s="30" t="s">
        <v>29440</v>
      </c>
      <c r="C13006" s="30" t="s">
        <v>718</v>
      </c>
      <c r="D13006" s="30" t="s">
        <v>17</v>
      </c>
      <c r="E13006" s="30" t="s">
        <v>45</v>
      </c>
      <c r="F13006" s="30" t="s">
        <v>46</v>
      </c>
      <c r="G13006" s="30" t="s">
        <v>140</v>
      </c>
      <c r="H13006" s="32">
        <v>576</v>
      </c>
      <c r="I13006" s="30" t="s">
        <v>51</v>
      </c>
      <c r="J13006" s="41">
        <v>44876</v>
      </c>
      <c r="K13006" s="30" t="s">
        <v>22</v>
      </c>
    </row>
    <row r="13007" spans="1:11">
      <c r="A13007" s="33" t="s">
        <v>29441</v>
      </c>
      <c r="B13007" s="33" t="s">
        <v>29442</v>
      </c>
      <c r="C13007" s="33" t="s">
        <v>13300</v>
      </c>
      <c r="D13007" s="33" t="s">
        <v>17</v>
      </c>
      <c r="E13007" s="33" t="s">
        <v>45</v>
      </c>
      <c r="F13007" s="33" t="s">
        <v>46</v>
      </c>
      <c r="G13007" s="33" t="s">
        <v>20</v>
      </c>
      <c r="H13007" s="35">
        <v>5860</v>
      </c>
      <c r="I13007" s="33" t="s">
        <v>21</v>
      </c>
      <c r="J13007" s="42">
        <v>44837</v>
      </c>
      <c r="K13007" s="33" t="s">
        <v>22</v>
      </c>
    </row>
    <row r="13008" spans="1:11">
      <c r="A13008" s="30" t="s">
        <v>29443</v>
      </c>
      <c r="B13008" s="30" t="s">
        <v>29444</v>
      </c>
      <c r="C13008" s="30" t="s">
        <v>29445</v>
      </c>
      <c r="D13008" s="30" t="s">
        <v>17</v>
      </c>
      <c r="E13008" s="30" t="s">
        <v>26</v>
      </c>
      <c r="F13008" s="30" t="s">
        <v>27</v>
      </c>
      <c r="G13008" s="30" t="s">
        <v>140</v>
      </c>
      <c r="H13008" s="32">
        <v>5</v>
      </c>
      <c r="I13008" s="30" t="s">
        <v>51</v>
      </c>
      <c r="J13008" s="41">
        <v>44621</v>
      </c>
      <c r="K13008" s="30" t="s">
        <v>22</v>
      </c>
    </row>
    <row r="13009" spans="1:11">
      <c r="A13009" s="33" t="s">
        <v>29446</v>
      </c>
      <c r="B13009" s="33" t="s">
        <v>29447</v>
      </c>
      <c r="C13009" s="33" t="s">
        <v>72</v>
      </c>
      <c r="D13009" s="33" t="s">
        <v>17</v>
      </c>
      <c r="E13009" s="33" t="s">
        <v>67</v>
      </c>
      <c r="F13009" s="33" t="s">
        <v>68</v>
      </c>
      <c r="G13009" s="33" t="s">
        <v>140</v>
      </c>
      <c r="H13009" s="35">
        <v>61</v>
      </c>
      <c r="I13009" s="33" t="s">
        <v>51</v>
      </c>
      <c r="J13009" s="42">
        <v>44603</v>
      </c>
      <c r="K13009" s="33" t="s">
        <v>22</v>
      </c>
    </row>
    <row r="13010" spans="1:11">
      <c r="A13010" s="30" t="s">
        <v>29448</v>
      </c>
      <c r="B13010" s="30" t="s">
        <v>29449</v>
      </c>
      <c r="C13010" s="30" t="s">
        <v>78</v>
      </c>
      <c r="D13010" s="30" t="s">
        <v>17</v>
      </c>
      <c r="E13010" s="30" t="s">
        <v>26</v>
      </c>
      <c r="F13010" s="30" t="s">
        <v>27</v>
      </c>
      <c r="G13010" s="30" t="s">
        <v>20</v>
      </c>
      <c r="H13010" s="32">
        <v>47</v>
      </c>
      <c r="I13010" s="30" t="s">
        <v>21</v>
      </c>
      <c r="J13010" s="41">
        <v>44712</v>
      </c>
      <c r="K13010" s="30" t="s">
        <v>22</v>
      </c>
    </row>
    <row r="13011" spans="1:11">
      <c r="A13011" s="33" t="s">
        <v>29450</v>
      </c>
      <c r="B13011" s="33" t="s">
        <v>29451</v>
      </c>
      <c r="C13011" s="33" t="s">
        <v>6148</v>
      </c>
      <c r="D13011" s="33" t="s">
        <v>17</v>
      </c>
      <c r="E13011" s="33" t="s">
        <v>26</v>
      </c>
      <c r="F13011" s="33" t="s">
        <v>27</v>
      </c>
      <c r="G13011" s="33" t="s">
        <v>50</v>
      </c>
      <c r="H13011" s="35">
        <v>16</v>
      </c>
      <c r="I13011" s="33" t="s">
        <v>51</v>
      </c>
      <c r="J13011" s="42">
        <v>44733</v>
      </c>
      <c r="K13011" s="33" t="s">
        <v>22</v>
      </c>
    </row>
    <row r="13012" spans="1:11">
      <c r="A13012" s="30" t="s">
        <v>29452</v>
      </c>
      <c r="B13012" s="30" t="s">
        <v>29453</v>
      </c>
      <c r="C13012" s="30" t="s">
        <v>96</v>
      </c>
      <c r="D13012" s="30" t="s">
        <v>17</v>
      </c>
      <c r="E13012" s="30" t="s">
        <v>18</v>
      </c>
      <c r="F13012" s="30" t="s">
        <v>19</v>
      </c>
      <c r="G13012" s="30" t="s">
        <v>140</v>
      </c>
      <c r="H13012" s="32">
        <v>100</v>
      </c>
      <c r="I13012" s="30" t="s">
        <v>51</v>
      </c>
      <c r="J13012" s="41">
        <v>44904</v>
      </c>
      <c r="K13012" s="30" t="s">
        <v>22</v>
      </c>
    </row>
    <row r="13013" spans="1:11">
      <c r="A13013" s="33" t="s">
        <v>29454</v>
      </c>
      <c r="B13013" s="33" t="s">
        <v>29455</v>
      </c>
      <c r="C13013" s="33" t="s">
        <v>109</v>
      </c>
      <c r="D13013" s="33" t="s">
        <v>17</v>
      </c>
      <c r="E13013" s="33" t="s">
        <v>26</v>
      </c>
      <c r="F13013" s="33" t="s">
        <v>27</v>
      </c>
      <c r="G13013" s="33" t="s">
        <v>20</v>
      </c>
      <c r="H13013" s="35">
        <v>33</v>
      </c>
      <c r="I13013" s="33" t="s">
        <v>21</v>
      </c>
      <c r="J13013" s="42">
        <v>44595</v>
      </c>
      <c r="K13013" s="33" t="s">
        <v>22</v>
      </c>
    </row>
    <row r="13014" spans="1:11">
      <c r="A13014" s="30" t="s">
        <v>29456</v>
      </c>
      <c r="B13014" s="30" t="s">
        <v>29457</v>
      </c>
      <c r="C13014" s="30" t="s">
        <v>29458</v>
      </c>
      <c r="D13014" s="30" t="s">
        <v>17</v>
      </c>
      <c r="E13014" s="30" t="s">
        <v>26</v>
      </c>
      <c r="F13014" s="30" t="s">
        <v>27</v>
      </c>
      <c r="G13014" s="30" t="s">
        <v>20</v>
      </c>
      <c r="H13014" s="32">
        <v>30</v>
      </c>
      <c r="I13014" s="30" t="s">
        <v>21</v>
      </c>
      <c r="J13014" s="41">
        <v>44762</v>
      </c>
      <c r="K13014" s="30" t="s">
        <v>22</v>
      </c>
    </row>
    <row r="13015" spans="1:11">
      <c r="A13015" s="33" t="s">
        <v>29459</v>
      </c>
      <c r="B13015" s="33" t="s">
        <v>29460</v>
      </c>
      <c r="C13015" s="33" t="s">
        <v>3917</v>
      </c>
      <c r="D13015" s="33" t="s">
        <v>17</v>
      </c>
      <c r="E13015" s="33" t="s">
        <v>26</v>
      </c>
      <c r="F13015" s="33" t="s">
        <v>27</v>
      </c>
      <c r="G13015" s="33" t="s">
        <v>20</v>
      </c>
      <c r="H13015" s="35">
        <v>30</v>
      </c>
      <c r="I13015" s="33" t="s">
        <v>21</v>
      </c>
      <c r="J13015" s="42">
        <v>44629</v>
      </c>
      <c r="K13015" s="33" t="s">
        <v>22</v>
      </c>
    </row>
    <row r="13016" spans="1:11">
      <c r="A13016" s="30" t="s">
        <v>29461</v>
      </c>
      <c r="B13016" s="30" t="s">
        <v>29462</v>
      </c>
      <c r="C13016" s="30" t="s">
        <v>5916</v>
      </c>
      <c r="D13016" s="30" t="s">
        <v>17</v>
      </c>
      <c r="E13016" s="30" t="s">
        <v>18</v>
      </c>
      <c r="F13016" s="30" t="s">
        <v>19</v>
      </c>
      <c r="G13016" s="30" t="s">
        <v>20</v>
      </c>
      <c r="H13016" s="32">
        <v>151</v>
      </c>
      <c r="I13016" s="30" t="s">
        <v>21</v>
      </c>
      <c r="J13016" s="41">
        <v>44678</v>
      </c>
      <c r="K13016" s="30" t="s">
        <v>22</v>
      </c>
    </row>
    <row r="13017" spans="1:11">
      <c r="A13017" s="33" t="s">
        <v>29463</v>
      </c>
      <c r="B13017" s="33" t="s">
        <v>29464</v>
      </c>
      <c r="C13017" s="33" t="s">
        <v>1908</v>
      </c>
      <c r="D13017" s="33" t="s">
        <v>17</v>
      </c>
      <c r="E13017" s="33" t="s">
        <v>26</v>
      </c>
      <c r="F13017" s="33" t="s">
        <v>27</v>
      </c>
      <c r="G13017" s="33" t="s">
        <v>20</v>
      </c>
      <c r="H13017" s="35">
        <v>19</v>
      </c>
      <c r="I13017" s="33" t="s">
        <v>21</v>
      </c>
      <c r="J13017" s="42">
        <v>44616</v>
      </c>
      <c r="K13017" s="33" t="s">
        <v>22</v>
      </c>
    </row>
    <row r="13018" spans="1:11">
      <c r="A13018" s="30" t="s">
        <v>29465</v>
      </c>
      <c r="B13018" s="30" t="s">
        <v>29466</v>
      </c>
      <c r="C13018" s="30" t="s">
        <v>7158</v>
      </c>
      <c r="D13018" s="30" t="s">
        <v>17</v>
      </c>
      <c r="E13018" s="30" t="s">
        <v>45</v>
      </c>
      <c r="F13018" s="30" t="s">
        <v>46</v>
      </c>
      <c r="G13018" s="30" t="s">
        <v>158</v>
      </c>
      <c r="H13018" s="32">
        <v>200</v>
      </c>
      <c r="I13018" s="30" t="s">
        <v>51</v>
      </c>
      <c r="J13018" s="41">
        <v>44621</v>
      </c>
      <c r="K13018" s="30" t="s">
        <v>22</v>
      </c>
    </row>
    <row r="13019" spans="1:11">
      <c r="A13019" s="33" t="s">
        <v>29467</v>
      </c>
      <c r="B13019" s="33" t="s">
        <v>29468</v>
      </c>
      <c r="C13019" s="33" t="s">
        <v>29469</v>
      </c>
      <c r="D13019" s="33" t="s">
        <v>17</v>
      </c>
      <c r="E13019" s="33" t="s">
        <v>67</v>
      </c>
      <c r="F13019" s="33" t="s">
        <v>68</v>
      </c>
      <c r="G13019" s="33" t="s">
        <v>158</v>
      </c>
      <c r="H13019" s="35">
        <v>57</v>
      </c>
      <c r="I13019" s="33" t="s">
        <v>51</v>
      </c>
      <c r="J13019" s="42">
        <v>44908</v>
      </c>
      <c r="K13019" s="33" t="s">
        <v>22</v>
      </c>
    </row>
    <row r="13020" spans="1:11">
      <c r="A13020" s="30" t="s">
        <v>29470</v>
      </c>
      <c r="B13020" s="30" t="s">
        <v>29471</v>
      </c>
      <c r="C13020" s="30" t="s">
        <v>29472</v>
      </c>
      <c r="D13020" s="30" t="s">
        <v>17</v>
      </c>
      <c r="E13020" s="30" t="s">
        <v>31</v>
      </c>
      <c r="F13020" s="30" t="s">
        <v>32</v>
      </c>
      <c r="G13020" s="30" t="s">
        <v>158</v>
      </c>
      <c r="H13020" s="32">
        <v>10</v>
      </c>
      <c r="I13020" s="30" t="s">
        <v>51</v>
      </c>
      <c r="J13020" s="41">
        <v>44866</v>
      </c>
      <c r="K13020" s="30" t="s">
        <v>22</v>
      </c>
    </row>
    <row r="13021" spans="1:11">
      <c r="A13021" s="33" t="s">
        <v>29473</v>
      </c>
      <c r="B13021" s="33" t="s">
        <v>29474</v>
      </c>
      <c r="C13021" s="33" t="s">
        <v>21811</v>
      </c>
      <c r="D13021" s="33" t="s">
        <v>17</v>
      </c>
      <c r="E13021" s="33" t="s">
        <v>31</v>
      </c>
      <c r="F13021" s="33" t="s">
        <v>32</v>
      </c>
      <c r="G13021" s="33" t="s">
        <v>50</v>
      </c>
      <c r="H13021" s="35">
        <v>50</v>
      </c>
      <c r="I13021" s="33" t="s">
        <v>51</v>
      </c>
      <c r="J13021" s="42">
        <v>44682</v>
      </c>
      <c r="K13021" s="33" t="s">
        <v>22</v>
      </c>
    </row>
    <row r="13022" spans="1:11">
      <c r="A13022" s="30" t="s">
        <v>29475</v>
      </c>
      <c r="B13022" s="30" t="s">
        <v>29476</v>
      </c>
      <c r="C13022" s="30" t="s">
        <v>102</v>
      </c>
      <c r="D13022" s="30" t="s">
        <v>17</v>
      </c>
      <c r="E13022" s="30" t="s">
        <v>67</v>
      </c>
      <c r="F13022" s="30" t="s">
        <v>68</v>
      </c>
      <c r="G13022" s="30" t="s">
        <v>158</v>
      </c>
      <c r="H13022" s="32">
        <v>57</v>
      </c>
      <c r="I13022" s="30" t="s">
        <v>21</v>
      </c>
      <c r="J13022" s="41">
        <v>44908</v>
      </c>
      <c r="K13022" s="30" t="s">
        <v>22</v>
      </c>
    </row>
    <row r="13023" spans="1:11">
      <c r="A13023" s="33" t="s">
        <v>29477</v>
      </c>
      <c r="B13023" s="33" t="s">
        <v>29478</v>
      </c>
      <c r="C13023" s="33" t="s">
        <v>29479</v>
      </c>
      <c r="D13023" s="33" t="s">
        <v>17</v>
      </c>
      <c r="E13023" s="33" t="s">
        <v>26</v>
      </c>
      <c r="F13023" s="33" t="s">
        <v>27</v>
      </c>
      <c r="G13023" s="33" t="s">
        <v>158</v>
      </c>
      <c r="H13023" s="35">
        <v>132</v>
      </c>
      <c r="I13023" s="33" t="s">
        <v>21</v>
      </c>
      <c r="J13023" s="42">
        <v>44902</v>
      </c>
      <c r="K13023" s="33" t="s">
        <v>22</v>
      </c>
    </row>
    <row r="13024" spans="1:11">
      <c r="A13024" s="30" t="s">
        <v>29480</v>
      </c>
      <c r="B13024" s="30" t="s">
        <v>29481</v>
      </c>
      <c r="C13024" s="30" t="s">
        <v>3004</v>
      </c>
      <c r="D13024" s="30" t="s">
        <v>17</v>
      </c>
      <c r="E13024" s="30" t="s">
        <v>26</v>
      </c>
      <c r="F13024" s="30" t="s">
        <v>27</v>
      </c>
      <c r="G13024" s="30" t="s">
        <v>20</v>
      </c>
      <c r="H13024" s="32">
        <v>32</v>
      </c>
      <c r="I13024" s="30" t="s">
        <v>21</v>
      </c>
      <c r="J13024" s="41">
        <v>44572</v>
      </c>
      <c r="K13024" s="30" t="s">
        <v>22</v>
      </c>
    </row>
    <row r="13025" spans="1:11">
      <c r="A13025" s="33" t="s">
        <v>29482</v>
      </c>
      <c r="B13025" s="33" t="s">
        <v>29483</v>
      </c>
      <c r="C13025" s="33" t="s">
        <v>93</v>
      </c>
      <c r="D13025" s="33" t="s">
        <v>17</v>
      </c>
      <c r="E13025" s="33" t="s">
        <v>26</v>
      </c>
      <c r="F13025" s="33" t="s">
        <v>27</v>
      </c>
      <c r="G13025" s="33" t="s">
        <v>158</v>
      </c>
      <c r="H13025" s="35">
        <v>8</v>
      </c>
      <c r="I13025" s="33" t="s">
        <v>21</v>
      </c>
      <c r="J13025" s="42">
        <v>44644</v>
      </c>
      <c r="K13025" s="33" t="s">
        <v>22</v>
      </c>
    </row>
    <row r="13026" spans="1:11">
      <c r="A13026" s="30" t="s">
        <v>29484</v>
      </c>
      <c r="B13026" s="30" t="s">
        <v>29485</v>
      </c>
      <c r="C13026" s="30" t="s">
        <v>203</v>
      </c>
      <c r="D13026" s="30" t="s">
        <v>17</v>
      </c>
      <c r="E13026" s="30" t="s">
        <v>212</v>
      </c>
      <c r="F13026" s="30" t="s">
        <v>213</v>
      </c>
      <c r="G13026" s="30" t="s">
        <v>20</v>
      </c>
      <c r="H13026" s="32">
        <v>44</v>
      </c>
      <c r="I13026" s="30" t="s">
        <v>21</v>
      </c>
      <c r="J13026" s="41">
        <v>44890</v>
      </c>
      <c r="K13026" s="30" t="s">
        <v>22</v>
      </c>
    </row>
    <row r="13027" spans="1:11">
      <c r="A13027" s="33" t="s">
        <v>29486</v>
      </c>
      <c r="B13027" s="33" t="s">
        <v>29487</v>
      </c>
      <c r="C13027" s="33" t="s">
        <v>1058</v>
      </c>
      <c r="D13027" s="33" t="s">
        <v>17</v>
      </c>
      <c r="E13027" s="33" t="s">
        <v>26</v>
      </c>
      <c r="F13027" s="33" t="s">
        <v>27</v>
      </c>
      <c r="G13027" s="33" t="s">
        <v>50</v>
      </c>
      <c r="H13027" s="35">
        <v>19</v>
      </c>
      <c r="I13027" s="33" t="s">
        <v>51</v>
      </c>
      <c r="J13027" s="42">
        <v>44849</v>
      </c>
      <c r="K13027" s="33" t="s">
        <v>22</v>
      </c>
    </row>
    <row r="13028" spans="1:11">
      <c r="A13028" s="30" t="s">
        <v>29488</v>
      </c>
      <c r="B13028" s="30" t="s">
        <v>29489</v>
      </c>
      <c r="C13028" s="30" t="s">
        <v>109</v>
      </c>
      <c r="D13028" s="30" t="s">
        <v>17</v>
      </c>
      <c r="E13028" s="30" t="s">
        <v>26</v>
      </c>
      <c r="F13028" s="30" t="s">
        <v>27</v>
      </c>
      <c r="G13028" s="30" t="s">
        <v>106</v>
      </c>
      <c r="H13028" s="32">
        <v>8</v>
      </c>
      <c r="I13028" s="30" t="s">
        <v>21</v>
      </c>
      <c r="J13028" s="41">
        <v>44635</v>
      </c>
      <c r="K13028" s="30" t="s">
        <v>22</v>
      </c>
    </row>
    <row r="13029" spans="1:11">
      <c r="A13029" s="33" t="s">
        <v>29490</v>
      </c>
      <c r="B13029" s="33" t="s">
        <v>29491</v>
      </c>
      <c r="C13029" s="33" t="s">
        <v>19750</v>
      </c>
      <c r="D13029" s="33" t="s">
        <v>17</v>
      </c>
      <c r="E13029" s="33" t="s">
        <v>67</v>
      </c>
      <c r="F13029" s="33" t="s">
        <v>68</v>
      </c>
      <c r="G13029" s="33" t="s">
        <v>20</v>
      </c>
      <c r="H13029" s="35">
        <v>42</v>
      </c>
      <c r="I13029" s="33" t="s">
        <v>21</v>
      </c>
      <c r="J13029" s="42">
        <v>44586</v>
      </c>
      <c r="K13029" s="33" t="s">
        <v>22</v>
      </c>
    </row>
    <row r="13030" spans="1:11">
      <c r="A13030" s="30" t="s">
        <v>29492</v>
      </c>
      <c r="B13030" s="30" t="s">
        <v>29493</v>
      </c>
      <c r="C13030" s="30" t="s">
        <v>19346</v>
      </c>
      <c r="D13030" s="30" t="s">
        <v>17</v>
      </c>
      <c r="E13030" s="30" t="s">
        <v>26</v>
      </c>
      <c r="F13030" s="30" t="s">
        <v>27</v>
      </c>
      <c r="G13030" s="30" t="s">
        <v>20</v>
      </c>
      <c r="H13030" s="32">
        <v>52</v>
      </c>
      <c r="I13030" s="30" t="s">
        <v>21</v>
      </c>
      <c r="J13030" s="41">
        <v>44769</v>
      </c>
      <c r="K13030" s="30" t="s">
        <v>22</v>
      </c>
    </row>
    <row r="13031" spans="1:11">
      <c r="A13031" s="33" t="s">
        <v>29494</v>
      </c>
      <c r="B13031" s="33" t="s">
        <v>29495</v>
      </c>
      <c r="C13031" s="33" t="s">
        <v>149</v>
      </c>
      <c r="D13031" s="33" t="s">
        <v>17</v>
      </c>
      <c r="E13031" s="33" t="s">
        <v>31</v>
      </c>
      <c r="F13031" s="33" t="s">
        <v>32</v>
      </c>
      <c r="G13031" s="33" t="s">
        <v>20</v>
      </c>
      <c r="H13031" s="35">
        <v>69</v>
      </c>
      <c r="I13031" s="33" t="s">
        <v>21</v>
      </c>
      <c r="J13031" s="42">
        <v>44840</v>
      </c>
      <c r="K13031" s="33" t="s">
        <v>22</v>
      </c>
    </row>
    <row r="13032" spans="1:11">
      <c r="A13032" s="30" t="s">
        <v>29496</v>
      </c>
      <c r="B13032" s="30" t="s">
        <v>29497</v>
      </c>
      <c r="C13032" s="30" t="s">
        <v>149</v>
      </c>
      <c r="D13032" s="30" t="s">
        <v>17</v>
      </c>
      <c r="E13032" s="30" t="s">
        <v>18</v>
      </c>
      <c r="F13032" s="30" t="s">
        <v>19</v>
      </c>
      <c r="G13032" s="30" t="s">
        <v>50</v>
      </c>
      <c r="H13032" s="32">
        <v>300</v>
      </c>
      <c r="I13032" s="30" t="s">
        <v>51</v>
      </c>
      <c r="J13032" s="41">
        <v>44789</v>
      </c>
      <c r="K13032" s="30" t="s">
        <v>22</v>
      </c>
    </row>
    <row r="13033" spans="1:11">
      <c r="A13033" s="33" t="s">
        <v>29498</v>
      </c>
      <c r="B13033" s="33" t="s">
        <v>29499</v>
      </c>
      <c r="C13033" s="33" t="s">
        <v>936</v>
      </c>
      <c r="D13033" s="33" t="s">
        <v>17</v>
      </c>
      <c r="E13033" s="33" t="s">
        <v>26</v>
      </c>
      <c r="F13033" s="33" t="s">
        <v>27</v>
      </c>
      <c r="G13033" s="33" t="s">
        <v>140</v>
      </c>
      <c r="H13033" s="35">
        <v>332</v>
      </c>
      <c r="I13033" s="33" t="s">
        <v>51</v>
      </c>
      <c r="J13033" s="42">
        <v>44844</v>
      </c>
      <c r="K13033" s="33" t="s">
        <v>22</v>
      </c>
    </row>
    <row r="13034" spans="1:11">
      <c r="A13034" s="30" t="s">
        <v>29500</v>
      </c>
      <c r="B13034" s="30" t="s">
        <v>29501</v>
      </c>
      <c r="C13034" s="30" t="s">
        <v>26943</v>
      </c>
      <c r="D13034" s="30" t="s">
        <v>17</v>
      </c>
      <c r="E13034" s="30" t="s">
        <v>18</v>
      </c>
      <c r="F13034" s="30" t="s">
        <v>19</v>
      </c>
      <c r="G13034" s="30" t="s">
        <v>20</v>
      </c>
      <c r="H13034" s="32">
        <v>131</v>
      </c>
      <c r="I13034" s="30" t="s">
        <v>21</v>
      </c>
      <c r="J13034" s="41">
        <v>44781</v>
      </c>
      <c r="K13034" s="30" t="s">
        <v>22</v>
      </c>
    </row>
    <row r="13035" spans="1:11">
      <c r="A13035" s="33" t="s">
        <v>29502</v>
      </c>
      <c r="B13035" s="33" t="s">
        <v>29503</v>
      </c>
      <c r="C13035" s="33" t="s">
        <v>310</v>
      </c>
      <c r="D13035" s="33" t="s">
        <v>17</v>
      </c>
      <c r="E13035" s="33" t="s">
        <v>18</v>
      </c>
      <c r="F13035" s="33" t="s">
        <v>19</v>
      </c>
      <c r="G13035" s="33" t="s">
        <v>112</v>
      </c>
      <c r="H13035" s="35">
        <v>0</v>
      </c>
      <c r="I13035" s="33" t="s">
        <v>21</v>
      </c>
      <c r="J13035" s="42">
        <v>44840</v>
      </c>
      <c r="K13035" s="33" t="s">
        <v>22</v>
      </c>
    </row>
    <row r="13036" spans="1:11">
      <c r="A13036" s="30" t="s">
        <v>29504</v>
      </c>
      <c r="B13036" s="30" t="s">
        <v>29505</v>
      </c>
      <c r="C13036" s="30" t="s">
        <v>29506</v>
      </c>
      <c r="D13036" s="30" t="s">
        <v>17</v>
      </c>
      <c r="E13036" s="30" t="s">
        <v>26</v>
      </c>
      <c r="F13036" s="30" t="s">
        <v>27</v>
      </c>
      <c r="G13036" s="30" t="s">
        <v>20</v>
      </c>
      <c r="H13036" s="32">
        <v>40</v>
      </c>
      <c r="I13036" s="30" t="s">
        <v>21</v>
      </c>
      <c r="J13036" s="41">
        <v>44672</v>
      </c>
      <c r="K13036" s="30" t="s">
        <v>22</v>
      </c>
    </row>
    <row r="13037" spans="1:11">
      <c r="A13037" s="33" t="s">
        <v>29507</v>
      </c>
      <c r="B13037" s="33" t="s">
        <v>29508</v>
      </c>
      <c r="C13037" s="33" t="s">
        <v>21143</v>
      </c>
      <c r="D13037" s="33" t="s">
        <v>17</v>
      </c>
      <c r="E13037" s="33" t="s">
        <v>26</v>
      </c>
      <c r="F13037" s="33" t="s">
        <v>27</v>
      </c>
      <c r="G13037" s="33" t="s">
        <v>50</v>
      </c>
      <c r="H13037" s="35">
        <v>44</v>
      </c>
      <c r="I13037" s="33" t="s">
        <v>51</v>
      </c>
      <c r="J13037" s="42">
        <v>44643</v>
      </c>
      <c r="K13037" s="33" t="s">
        <v>22</v>
      </c>
    </row>
    <row r="13038" spans="1:11">
      <c r="A13038" s="30" t="s">
        <v>29509</v>
      </c>
      <c r="B13038" s="30" t="s">
        <v>29510</v>
      </c>
      <c r="C13038" s="30" t="s">
        <v>3013</v>
      </c>
      <c r="D13038" s="30" t="s">
        <v>17</v>
      </c>
      <c r="E13038" s="30" t="s">
        <v>212</v>
      </c>
      <c r="F13038" s="30" t="s">
        <v>213</v>
      </c>
      <c r="G13038" s="30" t="s">
        <v>20</v>
      </c>
      <c r="H13038" s="32">
        <v>370</v>
      </c>
      <c r="I13038" s="30" t="s">
        <v>21</v>
      </c>
      <c r="J13038" s="41">
        <v>44862</v>
      </c>
      <c r="K13038" s="30" t="s">
        <v>22</v>
      </c>
    </row>
    <row r="13039" spans="1:11">
      <c r="A13039" s="33" t="s">
        <v>29511</v>
      </c>
      <c r="B13039" s="33" t="s">
        <v>29512</v>
      </c>
      <c r="C13039" s="33" t="s">
        <v>29513</v>
      </c>
      <c r="D13039" s="33" t="s">
        <v>17</v>
      </c>
      <c r="E13039" s="33" t="s">
        <v>26</v>
      </c>
      <c r="F13039" s="33" t="s">
        <v>27</v>
      </c>
      <c r="G13039" s="33" t="s">
        <v>20</v>
      </c>
      <c r="H13039" s="35">
        <v>40</v>
      </c>
      <c r="I13039" s="33" t="s">
        <v>21</v>
      </c>
      <c r="J13039" s="42">
        <v>44767</v>
      </c>
      <c r="K13039" s="33" t="s">
        <v>22</v>
      </c>
    </row>
    <row r="13040" spans="1:11">
      <c r="A13040" s="30" t="s">
        <v>29514</v>
      </c>
      <c r="B13040" s="30" t="s">
        <v>29515</v>
      </c>
      <c r="C13040" s="30" t="s">
        <v>96</v>
      </c>
      <c r="D13040" s="30" t="s">
        <v>17</v>
      </c>
      <c r="E13040" s="30" t="s">
        <v>18</v>
      </c>
      <c r="F13040" s="30" t="s">
        <v>19</v>
      </c>
      <c r="G13040" s="30" t="s">
        <v>20</v>
      </c>
      <c r="H13040" s="32">
        <v>356</v>
      </c>
      <c r="I13040" s="30" t="s">
        <v>21</v>
      </c>
      <c r="J13040" s="41">
        <v>44736</v>
      </c>
      <c r="K13040" s="30" t="s">
        <v>22</v>
      </c>
    </row>
    <row r="13041" spans="1:11">
      <c r="A13041" s="33" t="s">
        <v>29516</v>
      </c>
      <c r="B13041" s="33" t="s">
        <v>29517</v>
      </c>
      <c r="C13041" s="33" t="s">
        <v>647</v>
      </c>
      <c r="D13041" s="33" t="s">
        <v>17</v>
      </c>
      <c r="E13041" s="33" t="s">
        <v>31</v>
      </c>
      <c r="F13041" s="33" t="s">
        <v>32</v>
      </c>
      <c r="G13041" s="33" t="s">
        <v>140</v>
      </c>
      <c r="H13041" s="35">
        <v>40</v>
      </c>
      <c r="I13041" s="33" t="s">
        <v>51</v>
      </c>
      <c r="J13041" s="42">
        <v>44614</v>
      </c>
      <c r="K13041" s="33" t="s">
        <v>22</v>
      </c>
    </row>
    <row r="13042" spans="1:11">
      <c r="A13042" s="30" t="s">
        <v>29518</v>
      </c>
      <c r="B13042" s="30" t="s">
        <v>29519</v>
      </c>
      <c r="C13042" s="30" t="s">
        <v>13431</v>
      </c>
      <c r="D13042" s="30" t="s">
        <v>17</v>
      </c>
      <c r="E13042" s="30" t="s">
        <v>67</v>
      </c>
      <c r="F13042" s="30" t="s">
        <v>68</v>
      </c>
      <c r="G13042" s="30" t="s">
        <v>20</v>
      </c>
      <c r="H13042" s="32">
        <v>11</v>
      </c>
      <c r="I13042" s="30" t="s">
        <v>21</v>
      </c>
      <c r="J13042" s="41">
        <v>44838</v>
      </c>
      <c r="K13042" s="30" t="s">
        <v>22</v>
      </c>
    </row>
    <row r="13043" spans="1:11">
      <c r="A13043" s="33" t="s">
        <v>29520</v>
      </c>
      <c r="B13043" s="33" t="s">
        <v>29521</v>
      </c>
      <c r="C13043" s="33" t="s">
        <v>2772</v>
      </c>
      <c r="D13043" s="33" t="s">
        <v>17</v>
      </c>
      <c r="E13043" s="33" t="s">
        <v>18</v>
      </c>
      <c r="F13043" s="33" t="s">
        <v>19</v>
      </c>
      <c r="G13043" s="33" t="s">
        <v>158</v>
      </c>
      <c r="H13043" s="35">
        <v>152</v>
      </c>
      <c r="I13043" s="33" t="s">
        <v>21</v>
      </c>
      <c r="J13043" s="42">
        <v>44921</v>
      </c>
      <c r="K13043" s="33" t="s">
        <v>22</v>
      </c>
    </row>
    <row r="13044" spans="1:11">
      <c r="A13044" s="30" t="s">
        <v>29522</v>
      </c>
      <c r="B13044" s="30" t="s">
        <v>29523</v>
      </c>
      <c r="C13044" s="30" t="s">
        <v>96</v>
      </c>
      <c r="D13044" s="30" t="s">
        <v>17</v>
      </c>
      <c r="E13044" s="30" t="s">
        <v>31</v>
      </c>
      <c r="F13044" s="30" t="s">
        <v>32</v>
      </c>
      <c r="G13044" s="30" t="s">
        <v>106</v>
      </c>
      <c r="H13044" s="32">
        <v>43</v>
      </c>
      <c r="I13044" s="30" t="s">
        <v>21</v>
      </c>
      <c r="J13044" s="41">
        <v>44574</v>
      </c>
      <c r="K13044" s="30" t="s">
        <v>22</v>
      </c>
    </row>
    <row r="13045" spans="1:11">
      <c r="A13045" s="33" t="s">
        <v>29524</v>
      </c>
      <c r="B13045" s="33" t="s">
        <v>29525</v>
      </c>
      <c r="C13045" s="33" t="s">
        <v>29526</v>
      </c>
      <c r="D13045" s="33" t="s">
        <v>17</v>
      </c>
      <c r="E13045" s="33" t="s">
        <v>67</v>
      </c>
      <c r="F13045" s="33" t="s">
        <v>68</v>
      </c>
      <c r="G13045" s="33" t="s">
        <v>158</v>
      </c>
      <c r="H13045" s="35">
        <v>209</v>
      </c>
      <c r="I13045" s="33" t="s">
        <v>21</v>
      </c>
      <c r="J13045" s="42">
        <v>44865</v>
      </c>
      <c r="K13045" s="33" t="s">
        <v>22</v>
      </c>
    </row>
    <row r="13046" spans="1:11">
      <c r="A13046" s="30" t="s">
        <v>29527</v>
      </c>
      <c r="B13046" s="30" t="s">
        <v>29528</v>
      </c>
      <c r="C13046" s="30" t="s">
        <v>2772</v>
      </c>
      <c r="D13046" s="30" t="s">
        <v>17</v>
      </c>
      <c r="E13046" s="30" t="s">
        <v>18</v>
      </c>
      <c r="F13046" s="30" t="s">
        <v>19</v>
      </c>
      <c r="G13046" s="30" t="s">
        <v>50</v>
      </c>
      <c r="H13046" s="32">
        <v>114</v>
      </c>
      <c r="I13046" s="30" t="s">
        <v>21</v>
      </c>
      <c r="J13046" s="41">
        <v>44593</v>
      </c>
      <c r="K13046" s="30" t="s">
        <v>22</v>
      </c>
    </row>
    <row r="13047" spans="1:11">
      <c r="A13047" s="33" t="s">
        <v>29529</v>
      </c>
      <c r="B13047" s="33" t="s">
        <v>29530</v>
      </c>
      <c r="C13047" s="33" t="s">
        <v>7900</v>
      </c>
      <c r="D13047" s="33" t="s">
        <v>17</v>
      </c>
      <c r="E13047" s="33" t="s">
        <v>26</v>
      </c>
      <c r="F13047" s="33" t="s">
        <v>27</v>
      </c>
      <c r="G13047" s="33" t="s">
        <v>20</v>
      </c>
      <c r="H13047" s="35">
        <v>28</v>
      </c>
      <c r="I13047" s="33" t="s">
        <v>21</v>
      </c>
      <c r="J13047" s="42">
        <v>44820</v>
      </c>
      <c r="K13047" s="33" t="s">
        <v>22</v>
      </c>
    </row>
    <row r="13048" spans="1:11">
      <c r="A13048" s="30" t="s">
        <v>29531</v>
      </c>
      <c r="B13048" s="30" t="s">
        <v>29532</v>
      </c>
      <c r="C13048" s="30" t="s">
        <v>20959</v>
      </c>
      <c r="D13048" s="30" t="s">
        <v>17</v>
      </c>
      <c r="E13048" s="30" t="s">
        <v>31</v>
      </c>
      <c r="F13048" s="30" t="s">
        <v>32</v>
      </c>
      <c r="G13048" s="30" t="s">
        <v>50</v>
      </c>
      <c r="H13048" s="32">
        <v>36</v>
      </c>
      <c r="I13048" s="30" t="s">
        <v>51</v>
      </c>
      <c r="J13048" s="41">
        <v>44782</v>
      </c>
      <c r="K13048" s="30" t="s">
        <v>22</v>
      </c>
    </row>
    <row r="13049" spans="1:11">
      <c r="A13049" s="33" t="s">
        <v>29533</v>
      </c>
      <c r="B13049" s="33" t="s">
        <v>29534</v>
      </c>
      <c r="C13049" s="33" t="s">
        <v>22471</v>
      </c>
      <c r="D13049" s="33" t="s">
        <v>17</v>
      </c>
      <c r="E13049" s="33" t="s">
        <v>45</v>
      </c>
      <c r="F13049" s="33" t="s">
        <v>46</v>
      </c>
      <c r="G13049" s="33" t="s">
        <v>106</v>
      </c>
      <c r="H13049" s="35">
        <v>180</v>
      </c>
      <c r="I13049" s="33" t="s">
        <v>21</v>
      </c>
      <c r="J13049" s="42">
        <v>44896</v>
      </c>
      <c r="K13049" s="33" t="s">
        <v>22</v>
      </c>
    </row>
    <row r="13050" spans="1:11">
      <c r="A13050" s="30" t="s">
        <v>29535</v>
      </c>
      <c r="B13050" s="30" t="s">
        <v>29536</v>
      </c>
      <c r="C13050" s="30" t="s">
        <v>7237</v>
      </c>
      <c r="D13050" s="30" t="s">
        <v>17</v>
      </c>
      <c r="E13050" s="30" t="s">
        <v>18</v>
      </c>
      <c r="F13050" s="30" t="s">
        <v>19</v>
      </c>
      <c r="G13050" s="30" t="s">
        <v>158</v>
      </c>
      <c r="H13050" s="32">
        <v>86</v>
      </c>
      <c r="I13050" s="30" t="s">
        <v>21</v>
      </c>
      <c r="J13050" s="41">
        <v>44606</v>
      </c>
      <c r="K13050" s="30" t="s">
        <v>22</v>
      </c>
    </row>
    <row r="13051" spans="1:11">
      <c r="A13051" s="33" t="s">
        <v>29537</v>
      </c>
      <c r="B13051" s="33" t="s">
        <v>29538</v>
      </c>
      <c r="C13051" s="33" t="s">
        <v>60</v>
      </c>
      <c r="D13051" s="33" t="s">
        <v>17</v>
      </c>
      <c r="E13051" s="33" t="s">
        <v>18</v>
      </c>
      <c r="F13051" s="33" t="s">
        <v>19</v>
      </c>
      <c r="G13051" s="33" t="s">
        <v>20</v>
      </c>
      <c r="H13051" s="35">
        <v>1118</v>
      </c>
      <c r="I13051" s="33" t="s">
        <v>21</v>
      </c>
      <c r="J13051" s="42">
        <v>44844</v>
      </c>
      <c r="K13051" s="33" t="s">
        <v>22</v>
      </c>
    </row>
    <row r="13052" spans="1:11">
      <c r="A13052" s="30" t="s">
        <v>29539</v>
      </c>
      <c r="B13052" s="30" t="s">
        <v>29540</v>
      </c>
      <c r="C13052" s="30" t="s">
        <v>29541</v>
      </c>
      <c r="D13052" s="30" t="s">
        <v>17</v>
      </c>
      <c r="E13052" s="30" t="s">
        <v>67</v>
      </c>
      <c r="F13052" s="30" t="s">
        <v>68</v>
      </c>
      <c r="G13052" s="30" t="s">
        <v>106</v>
      </c>
      <c r="H13052" s="32">
        <v>4</v>
      </c>
      <c r="I13052" s="30" t="s">
        <v>21</v>
      </c>
      <c r="J13052" s="41">
        <v>44897</v>
      </c>
      <c r="K13052" s="30" t="s">
        <v>22</v>
      </c>
    </row>
    <row r="13053" spans="1:11">
      <c r="A13053" s="33" t="s">
        <v>29542</v>
      </c>
      <c r="B13053" s="33" t="s">
        <v>29543</v>
      </c>
      <c r="C13053" s="33" t="s">
        <v>29544</v>
      </c>
      <c r="D13053" s="33" t="s">
        <v>17</v>
      </c>
      <c r="E13053" s="33" t="s">
        <v>26</v>
      </c>
      <c r="F13053" s="33" t="s">
        <v>27</v>
      </c>
      <c r="G13053" s="33" t="s">
        <v>50</v>
      </c>
      <c r="H13053" s="35">
        <v>264</v>
      </c>
      <c r="I13053" s="33" t="s">
        <v>51</v>
      </c>
      <c r="J13053" s="42">
        <v>44866</v>
      </c>
      <c r="K13053" s="33" t="s">
        <v>22</v>
      </c>
    </row>
    <row r="13054" spans="1:11">
      <c r="A13054" s="30" t="s">
        <v>29545</v>
      </c>
      <c r="B13054" s="30" t="s">
        <v>29546</v>
      </c>
      <c r="C13054" s="30" t="s">
        <v>157</v>
      </c>
      <c r="D13054" s="30" t="s">
        <v>17</v>
      </c>
      <c r="E13054" s="30" t="s">
        <v>18</v>
      </c>
      <c r="F13054" s="30" t="s">
        <v>19</v>
      </c>
      <c r="G13054" s="30" t="s">
        <v>20</v>
      </c>
      <c r="H13054" s="32">
        <v>3</v>
      </c>
      <c r="I13054" s="30" t="s">
        <v>21</v>
      </c>
      <c r="J13054" s="41">
        <v>44565</v>
      </c>
      <c r="K13054" s="30" t="s">
        <v>22</v>
      </c>
    </row>
    <row r="13055" spans="1:11">
      <c r="A13055" s="33" t="s">
        <v>29547</v>
      </c>
      <c r="B13055" s="33" t="s">
        <v>29548</v>
      </c>
      <c r="C13055" s="33" t="s">
        <v>13864</v>
      </c>
      <c r="D13055" s="33" t="s">
        <v>17</v>
      </c>
      <c r="E13055" s="33" t="s">
        <v>18</v>
      </c>
      <c r="F13055" s="33" t="s">
        <v>19</v>
      </c>
      <c r="G13055" s="33" t="s">
        <v>158</v>
      </c>
      <c r="H13055" s="35">
        <v>240</v>
      </c>
      <c r="I13055" s="33" t="s">
        <v>21</v>
      </c>
      <c r="J13055" s="42">
        <v>44621</v>
      </c>
      <c r="K13055" s="33" t="s">
        <v>22</v>
      </c>
    </row>
    <row r="13056" spans="1:11">
      <c r="A13056" s="30" t="s">
        <v>29549</v>
      </c>
      <c r="B13056" s="30" t="s">
        <v>29550</v>
      </c>
      <c r="C13056" s="30" t="s">
        <v>10300</v>
      </c>
      <c r="D13056" s="30" t="s">
        <v>17</v>
      </c>
      <c r="E13056" s="30" t="s">
        <v>26</v>
      </c>
      <c r="F13056" s="30" t="s">
        <v>27</v>
      </c>
      <c r="G13056" s="30" t="s">
        <v>20</v>
      </c>
      <c r="H13056" s="32">
        <v>24</v>
      </c>
      <c r="I13056" s="30" t="s">
        <v>21</v>
      </c>
      <c r="J13056" s="41">
        <v>44593</v>
      </c>
      <c r="K13056" s="30" t="s">
        <v>22</v>
      </c>
    </row>
    <row r="13057" spans="1:11">
      <c r="A13057" s="33" t="s">
        <v>29551</v>
      </c>
      <c r="B13057" s="33" t="s">
        <v>29552</v>
      </c>
      <c r="C13057" s="33" t="s">
        <v>1529</v>
      </c>
      <c r="D13057" s="33" t="s">
        <v>17</v>
      </c>
      <c r="E13057" s="33" t="s">
        <v>67</v>
      </c>
      <c r="F13057" s="33" t="s">
        <v>68</v>
      </c>
      <c r="G13057" s="33" t="s">
        <v>158</v>
      </c>
      <c r="H13057" s="35">
        <v>15</v>
      </c>
      <c r="I13057" s="33" t="s">
        <v>51</v>
      </c>
      <c r="J13057" s="42">
        <v>44681</v>
      </c>
      <c r="K13057" s="33" t="s">
        <v>22</v>
      </c>
    </row>
    <row r="13058" spans="1:11">
      <c r="A13058" s="30" t="s">
        <v>29553</v>
      </c>
      <c r="B13058" s="30" t="s">
        <v>29554</v>
      </c>
      <c r="C13058" s="30" t="s">
        <v>164</v>
      </c>
      <c r="D13058" s="30" t="s">
        <v>17</v>
      </c>
      <c r="E13058" s="30" t="s">
        <v>31</v>
      </c>
      <c r="F13058" s="30" t="s">
        <v>32</v>
      </c>
      <c r="G13058" s="30" t="s">
        <v>20</v>
      </c>
      <c r="H13058" s="32">
        <v>16</v>
      </c>
      <c r="I13058" s="30" t="s">
        <v>21</v>
      </c>
      <c r="J13058" s="41">
        <v>44797</v>
      </c>
      <c r="K13058" s="30" t="s">
        <v>22</v>
      </c>
    </row>
    <row r="13059" spans="1:11">
      <c r="A13059" s="33" t="s">
        <v>29555</v>
      </c>
      <c r="B13059" s="33" t="s">
        <v>29556</v>
      </c>
      <c r="C13059" s="33" t="s">
        <v>15052</v>
      </c>
      <c r="D13059" s="33" t="s">
        <v>17</v>
      </c>
      <c r="E13059" s="33" t="s">
        <v>26</v>
      </c>
      <c r="F13059" s="33" t="s">
        <v>27</v>
      </c>
      <c r="G13059" s="33" t="s">
        <v>20</v>
      </c>
      <c r="H13059" s="35">
        <v>257</v>
      </c>
      <c r="I13059" s="33" t="s">
        <v>21</v>
      </c>
      <c r="J13059" s="42">
        <v>44742</v>
      </c>
      <c r="K13059" s="33" t="s">
        <v>22</v>
      </c>
    </row>
    <row r="13060" spans="1:11">
      <c r="A13060" s="30" t="s">
        <v>29557</v>
      </c>
      <c r="B13060" s="30" t="s">
        <v>29558</v>
      </c>
      <c r="C13060" s="30" t="s">
        <v>27559</v>
      </c>
      <c r="D13060" s="30" t="s">
        <v>17</v>
      </c>
      <c r="E13060" s="30" t="s">
        <v>26</v>
      </c>
      <c r="F13060" s="30" t="s">
        <v>27</v>
      </c>
      <c r="G13060" s="30" t="s">
        <v>106</v>
      </c>
      <c r="H13060" s="32">
        <v>40</v>
      </c>
      <c r="I13060" s="30" t="s">
        <v>21</v>
      </c>
      <c r="J13060" s="41">
        <v>44895</v>
      </c>
      <c r="K13060" s="30" t="s">
        <v>22</v>
      </c>
    </row>
    <row r="13061" spans="1:11">
      <c r="A13061" s="33" t="s">
        <v>29559</v>
      </c>
      <c r="B13061" s="33" t="s">
        <v>29560</v>
      </c>
      <c r="C13061" s="33" t="s">
        <v>20089</v>
      </c>
      <c r="D13061" s="33" t="s">
        <v>17</v>
      </c>
      <c r="E13061" s="33" t="s">
        <v>31</v>
      </c>
      <c r="F13061" s="33" t="s">
        <v>32</v>
      </c>
      <c r="G13061" s="33" t="s">
        <v>106</v>
      </c>
      <c r="H13061" s="35">
        <v>3</v>
      </c>
      <c r="I13061" s="33" t="s">
        <v>21</v>
      </c>
      <c r="J13061" s="42">
        <v>44911</v>
      </c>
      <c r="K13061" s="33" t="s">
        <v>22</v>
      </c>
    </row>
    <row r="13062" spans="1:11">
      <c r="A13062" s="30" t="s">
        <v>29561</v>
      </c>
      <c r="B13062" s="30" t="s">
        <v>29562</v>
      </c>
      <c r="C13062" s="30" t="s">
        <v>4260</v>
      </c>
      <c r="D13062" s="30" t="s">
        <v>17</v>
      </c>
      <c r="E13062" s="30" t="s">
        <v>18</v>
      </c>
      <c r="F13062" s="30" t="s">
        <v>19</v>
      </c>
      <c r="G13062" s="30" t="s">
        <v>20</v>
      </c>
      <c r="H13062" s="32">
        <v>110</v>
      </c>
      <c r="I13062" s="30" t="s">
        <v>21</v>
      </c>
      <c r="J13062" s="41">
        <v>44753</v>
      </c>
      <c r="K13062" s="30" t="s">
        <v>22</v>
      </c>
    </row>
    <row r="13063" spans="1:11">
      <c r="A13063" s="33" t="s">
        <v>29563</v>
      </c>
      <c r="B13063" s="33" t="s">
        <v>29564</v>
      </c>
      <c r="C13063" s="33" t="s">
        <v>11366</v>
      </c>
      <c r="D13063" s="33" t="s">
        <v>17</v>
      </c>
      <c r="E13063" s="33" t="s">
        <v>67</v>
      </c>
      <c r="F13063" s="33" t="s">
        <v>68</v>
      </c>
      <c r="G13063" s="33" t="s">
        <v>140</v>
      </c>
      <c r="H13063" s="35">
        <v>30</v>
      </c>
      <c r="I13063" s="33" t="s">
        <v>51</v>
      </c>
      <c r="J13063" s="42">
        <v>44735</v>
      </c>
      <c r="K13063" s="33" t="s">
        <v>22</v>
      </c>
    </row>
    <row r="13064" spans="1:11">
      <c r="A13064" s="30" t="s">
        <v>29565</v>
      </c>
      <c r="B13064" s="30" t="s">
        <v>29566</v>
      </c>
      <c r="C13064" s="30" t="s">
        <v>109</v>
      </c>
      <c r="D13064" s="30" t="s">
        <v>17</v>
      </c>
      <c r="E13064" s="30" t="s">
        <v>26</v>
      </c>
      <c r="F13064" s="30" t="s">
        <v>27</v>
      </c>
      <c r="G13064" s="30" t="s">
        <v>20</v>
      </c>
      <c r="H13064" s="32">
        <v>30</v>
      </c>
      <c r="I13064" s="30" t="s">
        <v>21</v>
      </c>
      <c r="J13064" s="41">
        <v>44658</v>
      </c>
      <c r="K13064" s="30" t="s">
        <v>22</v>
      </c>
    </row>
    <row r="13065" spans="1:11">
      <c r="A13065" s="33" t="s">
        <v>29567</v>
      </c>
      <c r="B13065" s="33" t="s">
        <v>29568</v>
      </c>
      <c r="C13065" s="33" t="s">
        <v>21576</v>
      </c>
      <c r="D13065" s="33" t="s">
        <v>17</v>
      </c>
      <c r="E13065" s="33" t="s">
        <v>26</v>
      </c>
      <c r="F13065" s="33" t="s">
        <v>27</v>
      </c>
      <c r="G13065" s="33" t="s">
        <v>20</v>
      </c>
      <c r="H13065" s="35">
        <v>60</v>
      </c>
      <c r="I13065" s="33" t="s">
        <v>21</v>
      </c>
      <c r="J13065" s="42">
        <v>44697</v>
      </c>
      <c r="K13065" s="33" t="s">
        <v>22</v>
      </c>
    </row>
    <row r="13066" spans="1:11">
      <c r="A13066" s="30" t="s">
        <v>29569</v>
      </c>
      <c r="B13066" s="30" t="s">
        <v>29570</v>
      </c>
      <c r="C13066" s="30" t="s">
        <v>19532</v>
      </c>
      <c r="D13066" s="30" t="s">
        <v>17</v>
      </c>
      <c r="E13066" s="30" t="s">
        <v>26</v>
      </c>
      <c r="F13066" s="30" t="s">
        <v>27</v>
      </c>
      <c r="G13066" s="30" t="s">
        <v>20</v>
      </c>
      <c r="H13066" s="32">
        <v>18</v>
      </c>
      <c r="I13066" s="30" t="s">
        <v>21</v>
      </c>
      <c r="J13066" s="41">
        <v>44908</v>
      </c>
      <c r="K13066" s="30" t="s">
        <v>22</v>
      </c>
    </row>
    <row r="13067" spans="1:11">
      <c r="A13067" s="33" t="s">
        <v>29571</v>
      </c>
      <c r="B13067" s="33" t="s">
        <v>29572</v>
      </c>
      <c r="C13067" s="33" t="s">
        <v>6151</v>
      </c>
      <c r="D13067" s="33" t="s">
        <v>17</v>
      </c>
      <c r="E13067" s="33" t="s">
        <v>26</v>
      </c>
      <c r="F13067" s="33" t="s">
        <v>27</v>
      </c>
      <c r="G13067" s="33" t="s">
        <v>106</v>
      </c>
      <c r="H13067" s="35">
        <v>26</v>
      </c>
      <c r="I13067" s="33" t="s">
        <v>21</v>
      </c>
      <c r="J13067" s="42">
        <v>44581</v>
      </c>
      <c r="K13067" s="33" t="s">
        <v>22</v>
      </c>
    </row>
    <row r="13068" spans="1:11">
      <c r="A13068" s="30" t="s">
        <v>29573</v>
      </c>
      <c r="B13068" s="30" t="s">
        <v>29574</v>
      </c>
      <c r="C13068" s="30" t="s">
        <v>93</v>
      </c>
      <c r="D13068" s="30" t="s">
        <v>17</v>
      </c>
      <c r="E13068" s="30" t="s">
        <v>212</v>
      </c>
      <c r="F13068" s="30" t="s">
        <v>213</v>
      </c>
      <c r="G13068" s="30" t="s">
        <v>158</v>
      </c>
      <c r="H13068" s="32">
        <v>44</v>
      </c>
      <c r="I13068" s="30" t="s">
        <v>21</v>
      </c>
      <c r="J13068" s="41">
        <v>44567</v>
      </c>
      <c r="K13068" s="30" t="s">
        <v>22</v>
      </c>
    </row>
    <row r="13069" spans="1:11">
      <c r="A13069" s="33" t="s">
        <v>29575</v>
      </c>
      <c r="B13069" s="33" t="s">
        <v>29576</v>
      </c>
      <c r="C13069" s="33" t="s">
        <v>1520</v>
      </c>
      <c r="D13069" s="33" t="s">
        <v>17</v>
      </c>
      <c r="E13069" s="33" t="s">
        <v>45</v>
      </c>
      <c r="F13069" s="33" t="s">
        <v>46</v>
      </c>
      <c r="G13069" s="33" t="s">
        <v>106</v>
      </c>
      <c r="H13069" s="35">
        <v>15</v>
      </c>
      <c r="I13069" s="33" t="s">
        <v>21</v>
      </c>
      <c r="J13069" s="42">
        <v>44918</v>
      </c>
      <c r="K13069" s="33" t="s">
        <v>22</v>
      </c>
    </row>
    <row r="13070" spans="1:11">
      <c r="A13070" s="30" t="s">
        <v>29577</v>
      </c>
      <c r="B13070" s="30" t="s">
        <v>29578</v>
      </c>
      <c r="C13070" s="30" t="s">
        <v>4962</v>
      </c>
      <c r="D13070" s="30" t="s">
        <v>17</v>
      </c>
      <c r="E13070" s="30" t="s">
        <v>45</v>
      </c>
      <c r="F13070" s="30" t="s">
        <v>46</v>
      </c>
      <c r="G13070" s="30" t="s">
        <v>50</v>
      </c>
      <c r="H13070" s="32">
        <v>412</v>
      </c>
      <c r="I13070" s="30" t="s">
        <v>51</v>
      </c>
      <c r="J13070" s="41">
        <v>44774</v>
      </c>
      <c r="K13070" s="30" t="s">
        <v>22</v>
      </c>
    </row>
    <row r="13071" spans="1:11">
      <c r="A13071" s="33" t="s">
        <v>29579</v>
      </c>
      <c r="B13071" s="33" t="s">
        <v>29580</v>
      </c>
      <c r="C13071" s="33" t="s">
        <v>149</v>
      </c>
      <c r="D13071" s="33" t="s">
        <v>17</v>
      </c>
      <c r="E13071" s="33" t="s">
        <v>31</v>
      </c>
      <c r="F13071" s="33" t="s">
        <v>32</v>
      </c>
      <c r="G13071" s="33" t="s">
        <v>50</v>
      </c>
      <c r="H13071" s="35">
        <v>108</v>
      </c>
      <c r="I13071" s="33" t="s">
        <v>51</v>
      </c>
      <c r="J13071" s="42">
        <v>44774</v>
      </c>
      <c r="K13071" s="33" t="s">
        <v>22</v>
      </c>
    </row>
    <row r="13072" spans="1:11">
      <c r="A13072" s="30" t="s">
        <v>29581</v>
      </c>
      <c r="B13072" s="30" t="s">
        <v>29582</v>
      </c>
      <c r="C13072" s="30" t="s">
        <v>24741</v>
      </c>
      <c r="D13072" s="30" t="s">
        <v>17</v>
      </c>
      <c r="E13072" s="30" t="s">
        <v>67</v>
      </c>
      <c r="F13072" s="30" t="s">
        <v>68</v>
      </c>
      <c r="G13072" s="30" t="s">
        <v>50</v>
      </c>
      <c r="H13072" s="32">
        <v>69</v>
      </c>
      <c r="I13072" s="30" t="s">
        <v>51</v>
      </c>
      <c r="J13072" s="41">
        <v>44562</v>
      </c>
      <c r="K13072" s="30" t="s">
        <v>22</v>
      </c>
    </row>
    <row r="13073" spans="1:11">
      <c r="A13073" s="33" t="s">
        <v>29583</v>
      </c>
      <c r="B13073" s="33" t="s">
        <v>29584</v>
      </c>
      <c r="C13073" s="33" t="s">
        <v>9262</v>
      </c>
      <c r="D13073" s="33" t="s">
        <v>17</v>
      </c>
      <c r="E13073" s="33" t="s">
        <v>31</v>
      </c>
      <c r="F13073" s="33" t="s">
        <v>32</v>
      </c>
      <c r="G13073" s="33" t="s">
        <v>20</v>
      </c>
      <c r="H13073" s="35">
        <v>160</v>
      </c>
      <c r="I13073" s="33" t="s">
        <v>21</v>
      </c>
      <c r="J13073" s="42">
        <v>44755</v>
      </c>
      <c r="K13073" s="33" t="s">
        <v>22</v>
      </c>
    </row>
    <row r="13074" spans="1:11">
      <c r="A13074" s="30" t="s">
        <v>29585</v>
      </c>
      <c r="B13074" s="30" t="s">
        <v>29586</v>
      </c>
      <c r="C13074" s="30" t="s">
        <v>6379</v>
      </c>
      <c r="D13074" s="30" t="s">
        <v>17</v>
      </c>
      <c r="E13074" s="30" t="s">
        <v>31</v>
      </c>
      <c r="F13074" s="30" t="s">
        <v>32</v>
      </c>
      <c r="G13074" s="30" t="s">
        <v>106</v>
      </c>
      <c r="H13074" s="32">
        <v>82</v>
      </c>
      <c r="I13074" s="30" t="s">
        <v>21</v>
      </c>
      <c r="J13074" s="41">
        <v>44874</v>
      </c>
      <c r="K13074" s="30" t="s">
        <v>22</v>
      </c>
    </row>
    <row r="13075" spans="1:11">
      <c r="A13075" s="33" t="s">
        <v>29587</v>
      </c>
      <c r="B13075" s="33" t="s">
        <v>29588</v>
      </c>
      <c r="C13075" s="33" t="s">
        <v>12980</v>
      </c>
      <c r="D13075" s="33" t="s">
        <v>17</v>
      </c>
      <c r="E13075" s="33" t="s">
        <v>26</v>
      </c>
      <c r="F13075" s="33" t="s">
        <v>27</v>
      </c>
      <c r="G13075" s="33" t="s">
        <v>106</v>
      </c>
      <c r="H13075" s="35">
        <v>9</v>
      </c>
      <c r="I13075" s="33" t="s">
        <v>21</v>
      </c>
      <c r="J13075" s="42">
        <v>44715</v>
      </c>
      <c r="K13075" s="33" t="s">
        <v>22</v>
      </c>
    </row>
    <row r="13076" spans="1:11">
      <c r="A13076" s="30" t="s">
        <v>29589</v>
      </c>
      <c r="B13076" s="30" t="s">
        <v>29590</v>
      </c>
      <c r="C13076" s="30" t="s">
        <v>60</v>
      </c>
      <c r="D13076" s="30" t="s">
        <v>17</v>
      </c>
      <c r="E13076" s="30" t="s">
        <v>26</v>
      </c>
      <c r="F13076" s="30" t="s">
        <v>27</v>
      </c>
      <c r="G13076" s="30" t="s">
        <v>20</v>
      </c>
      <c r="H13076" s="32">
        <v>37</v>
      </c>
      <c r="I13076" s="30" t="s">
        <v>21</v>
      </c>
      <c r="J13076" s="41">
        <v>44826</v>
      </c>
      <c r="K13076" s="30" t="s">
        <v>22</v>
      </c>
    </row>
    <row r="13077" spans="1:11">
      <c r="A13077" s="33" t="s">
        <v>29591</v>
      </c>
      <c r="B13077" s="33" t="s">
        <v>29592</v>
      </c>
      <c r="C13077" s="33" t="s">
        <v>178</v>
      </c>
      <c r="D13077" s="33" t="s">
        <v>17</v>
      </c>
      <c r="E13077" s="33" t="s">
        <v>18</v>
      </c>
      <c r="F13077" s="33" t="s">
        <v>19</v>
      </c>
      <c r="G13077" s="33" t="s">
        <v>158</v>
      </c>
      <c r="H13077" s="35">
        <v>68</v>
      </c>
      <c r="I13077" s="33" t="s">
        <v>21</v>
      </c>
      <c r="J13077" s="42">
        <v>44866</v>
      </c>
      <c r="K13077" s="33" t="s">
        <v>22</v>
      </c>
    </row>
    <row r="13078" spans="1:11">
      <c r="A13078" s="30" t="s">
        <v>29593</v>
      </c>
      <c r="B13078" s="30" t="s">
        <v>29594</v>
      </c>
      <c r="C13078" s="30" t="s">
        <v>29595</v>
      </c>
      <c r="D13078" s="30" t="s">
        <v>17</v>
      </c>
      <c r="E13078" s="30" t="s">
        <v>31</v>
      </c>
      <c r="F13078" s="30" t="s">
        <v>32</v>
      </c>
      <c r="G13078" s="30" t="s">
        <v>20</v>
      </c>
      <c r="H13078" s="32">
        <v>28</v>
      </c>
      <c r="I13078" s="30" t="s">
        <v>21</v>
      </c>
      <c r="J13078" s="41">
        <v>44907</v>
      </c>
      <c r="K13078" s="30" t="s">
        <v>22</v>
      </c>
    </row>
    <row r="13079" spans="1:11">
      <c r="A13079" s="33" t="s">
        <v>29596</v>
      </c>
      <c r="B13079" s="33" t="s">
        <v>29597</v>
      </c>
      <c r="C13079" s="33" t="s">
        <v>1219</v>
      </c>
      <c r="D13079" s="33" t="s">
        <v>17</v>
      </c>
      <c r="E13079" s="33" t="s">
        <v>26</v>
      </c>
      <c r="F13079" s="33" t="s">
        <v>27</v>
      </c>
      <c r="G13079" s="33" t="s">
        <v>20</v>
      </c>
      <c r="H13079" s="35">
        <v>32</v>
      </c>
      <c r="I13079" s="33" t="s">
        <v>21</v>
      </c>
      <c r="J13079" s="42">
        <v>44769</v>
      </c>
      <c r="K13079" s="33" t="s">
        <v>22</v>
      </c>
    </row>
    <row r="13080" spans="1:11">
      <c r="A13080" s="30" t="s">
        <v>29598</v>
      </c>
      <c r="B13080" s="30" t="s">
        <v>29599</v>
      </c>
      <c r="C13080" s="30" t="s">
        <v>30</v>
      </c>
      <c r="D13080" s="30" t="s">
        <v>17</v>
      </c>
      <c r="E13080" s="30" t="s">
        <v>18</v>
      </c>
      <c r="F13080" s="30" t="s">
        <v>19</v>
      </c>
      <c r="G13080" s="30" t="s">
        <v>20</v>
      </c>
      <c r="H13080" s="32">
        <v>129</v>
      </c>
      <c r="I13080" s="30" t="s">
        <v>21</v>
      </c>
      <c r="J13080" s="41">
        <v>44652</v>
      </c>
      <c r="K13080" s="30" t="s">
        <v>22</v>
      </c>
    </row>
    <row r="13081" spans="1:11">
      <c r="A13081" s="33" t="s">
        <v>29600</v>
      </c>
      <c r="B13081" s="33" t="s">
        <v>29601</v>
      </c>
      <c r="C13081" s="33" t="s">
        <v>4668</v>
      </c>
      <c r="D13081" s="33" t="s">
        <v>17</v>
      </c>
      <c r="E13081" s="33" t="s">
        <v>26</v>
      </c>
      <c r="F13081" s="33" t="s">
        <v>27</v>
      </c>
      <c r="G13081" s="33" t="s">
        <v>20</v>
      </c>
      <c r="H13081" s="35">
        <v>400</v>
      </c>
      <c r="I13081" s="33" t="s">
        <v>21</v>
      </c>
      <c r="J13081" s="42">
        <v>44627</v>
      </c>
      <c r="K13081" s="33" t="s">
        <v>22</v>
      </c>
    </row>
    <row r="13082" spans="1:11">
      <c r="A13082" s="30" t="s">
        <v>29602</v>
      </c>
      <c r="B13082" s="30" t="s">
        <v>29603</v>
      </c>
      <c r="C13082" s="30" t="s">
        <v>2562</v>
      </c>
      <c r="D13082" s="30" t="s">
        <v>17</v>
      </c>
      <c r="E13082" s="30" t="s">
        <v>26</v>
      </c>
      <c r="F13082" s="30" t="s">
        <v>27</v>
      </c>
      <c r="G13082" s="30" t="s">
        <v>20</v>
      </c>
      <c r="H13082" s="32">
        <v>40</v>
      </c>
      <c r="I13082" s="30" t="s">
        <v>21</v>
      </c>
      <c r="J13082" s="41">
        <v>44568</v>
      </c>
      <c r="K13082" s="30" t="s">
        <v>22</v>
      </c>
    </row>
    <row r="13083" spans="1:11">
      <c r="A13083" s="33" t="s">
        <v>29604</v>
      </c>
      <c r="B13083" s="33" t="s">
        <v>29605</v>
      </c>
      <c r="C13083" s="33" t="s">
        <v>524</v>
      </c>
      <c r="D13083" s="33" t="s">
        <v>17</v>
      </c>
      <c r="E13083" s="33" t="s">
        <v>31</v>
      </c>
      <c r="F13083" s="33" t="s">
        <v>32</v>
      </c>
      <c r="G13083" s="33" t="s">
        <v>20</v>
      </c>
      <c r="H13083" s="35">
        <v>186</v>
      </c>
      <c r="I13083" s="33" t="s">
        <v>21</v>
      </c>
      <c r="J13083" s="42">
        <v>44894</v>
      </c>
      <c r="K13083" s="33" t="s">
        <v>22</v>
      </c>
    </row>
    <row r="13084" spans="1:11">
      <c r="A13084" s="30" t="s">
        <v>29606</v>
      </c>
      <c r="B13084" s="30" t="s">
        <v>29607</v>
      </c>
      <c r="C13084" s="30" t="s">
        <v>1778</v>
      </c>
      <c r="D13084" s="30" t="s">
        <v>17</v>
      </c>
      <c r="E13084" s="30" t="s">
        <v>18</v>
      </c>
      <c r="F13084" s="30" t="s">
        <v>19</v>
      </c>
      <c r="G13084" s="30" t="s">
        <v>20</v>
      </c>
      <c r="H13084" s="32">
        <v>401</v>
      </c>
      <c r="I13084" s="30" t="s">
        <v>21</v>
      </c>
      <c r="J13084" s="41">
        <v>44845</v>
      </c>
      <c r="K13084" s="30" t="s">
        <v>22</v>
      </c>
    </row>
    <row r="13085" spans="1:11">
      <c r="A13085" s="33" t="s">
        <v>29608</v>
      </c>
      <c r="B13085" s="33" t="s">
        <v>29609</v>
      </c>
      <c r="C13085" s="33" t="s">
        <v>28153</v>
      </c>
      <c r="D13085" s="33" t="s">
        <v>17</v>
      </c>
      <c r="E13085" s="33" t="s">
        <v>26</v>
      </c>
      <c r="F13085" s="33" t="s">
        <v>27</v>
      </c>
      <c r="G13085" s="33" t="s">
        <v>158</v>
      </c>
      <c r="H13085" s="35">
        <v>80</v>
      </c>
      <c r="I13085" s="33" t="s">
        <v>51</v>
      </c>
      <c r="J13085" s="42">
        <v>44915</v>
      </c>
      <c r="K13085" s="33" t="s">
        <v>22</v>
      </c>
    </row>
    <row r="13086" spans="1:11">
      <c r="A13086" s="30" t="s">
        <v>29610</v>
      </c>
      <c r="B13086" s="30" t="s">
        <v>29611</v>
      </c>
      <c r="C13086" s="30" t="s">
        <v>130</v>
      </c>
      <c r="D13086" s="30" t="s">
        <v>17</v>
      </c>
      <c r="E13086" s="30" t="s">
        <v>31</v>
      </c>
      <c r="F13086" s="30" t="s">
        <v>32</v>
      </c>
      <c r="G13086" s="30" t="s">
        <v>20</v>
      </c>
      <c r="H13086" s="32">
        <v>69</v>
      </c>
      <c r="I13086" s="30" t="s">
        <v>21</v>
      </c>
      <c r="J13086" s="41">
        <v>44902</v>
      </c>
      <c r="K13086" s="30" t="s">
        <v>22</v>
      </c>
    </row>
    <row r="13087" spans="1:11">
      <c r="A13087" s="33" t="s">
        <v>29612</v>
      </c>
      <c r="B13087" s="33" t="s">
        <v>29613</v>
      </c>
      <c r="C13087" s="33" t="s">
        <v>44</v>
      </c>
      <c r="D13087" s="33" t="s">
        <v>17</v>
      </c>
      <c r="E13087" s="33" t="s">
        <v>26</v>
      </c>
      <c r="F13087" s="33" t="s">
        <v>27</v>
      </c>
      <c r="G13087" s="33" t="s">
        <v>20</v>
      </c>
      <c r="H13087" s="35">
        <v>48</v>
      </c>
      <c r="I13087" s="33" t="s">
        <v>21</v>
      </c>
      <c r="J13087" s="42">
        <v>44819</v>
      </c>
      <c r="K13087" s="33" t="s">
        <v>22</v>
      </c>
    </row>
    <row r="13088" spans="1:11">
      <c r="A13088" s="30" t="s">
        <v>29614</v>
      </c>
      <c r="B13088" s="30" t="s">
        <v>29615</v>
      </c>
      <c r="C13088" s="30" t="s">
        <v>524</v>
      </c>
      <c r="D13088" s="30" t="s">
        <v>17</v>
      </c>
      <c r="E13088" s="30" t="s">
        <v>26</v>
      </c>
      <c r="F13088" s="30" t="s">
        <v>27</v>
      </c>
      <c r="G13088" s="30" t="s">
        <v>20</v>
      </c>
      <c r="H13088" s="32">
        <v>72</v>
      </c>
      <c r="I13088" s="30" t="s">
        <v>21</v>
      </c>
      <c r="J13088" s="41">
        <v>44589</v>
      </c>
      <c r="K13088" s="30" t="s">
        <v>22</v>
      </c>
    </row>
    <row r="13089" spans="1:11">
      <c r="A13089" s="33" t="s">
        <v>29616</v>
      </c>
      <c r="B13089" s="33" t="s">
        <v>29617</v>
      </c>
      <c r="C13089" s="33" t="s">
        <v>8755</v>
      </c>
      <c r="D13089" s="33" t="s">
        <v>17</v>
      </c>
      <c r="E13089" s="33" t="s">
        <v>31</v>
      </c>
      <c r="F13089" s="33" t="s">
        <v>32</v>
      </c>
      <c r="G13089" s="33" t="s">
        <v>158</v>
      </c>
      <c r="H13089" s="35">
        <v>150</v>
      </c>
      <c r="I13089" s="33" t="s">
        <v>51</v>
      </c>
      <c r="J13089" s="42">
        <v>44866</v>
      </c>
      <c r="K13089" s="33" t="s">
        <v>22</v>
      </c>
    </row>
    <row r="13090" spans="1:11">
      <c r="A13090" s="30" t="s">
        <v>29618</v>
      </c>
      <c r="B13090" s="30" t="s">
        <v>29619</v>
      </c>
      <c r="C13090" s="30" t="s">
        <v>3892</v>
      </c>
      <c r="D13090" s="30" t="s">
        <v>17</v>
      </c>
      <c r="E13090" s="30" t="s">
        <v>31</v>
      </c>
      <c r="F13090" s="30" t="s">
        <v>32</v>
      </c>
      <c r="G13090" s="30" t="s">
        <v>20</v>
      </c>
      <c r="H13090" s="32">
        <v>13</v>
      </c>
      <c r="I13090" s="30" t="s">
        <v>21</v>
      </c>
      <c r="J13090" s="41">
        <v>44700</v>
      </c>
      <c r="K13090" s="30" t="s">
        <v>22</v>
      </c>
    </row>
    <row r="13091" spans="1:11">
      <c r="A13091" s="33" t="s">
        <v>29620</v>
      </c>
      <c r="B13091" s="33" t="s">
        <v>29621</v>
      </c>
      <c r="C13091" s="33" t="s">
        <v>6248</v>
      </c>
      <c r="D13091" s="33" t="s">
        <v>17</v>
      </c>
      <c r="E13091" s="33" t="s">
        <v>18</v>
      </c>
      <c r="F13091" s="33" t="s">
        <v>19</v>
      </c>
      <c r="G13091" s="33" t="s">
        <v>106</v>
      </c>
      <c r="H13091" s="35">
        <v>71</v>
      </c>
      <c r="I13091" s="33" t="s">
        <v>21</v>
      </c>
      <c r="J13091" s="42">
        <v>44777</v>
      </c>
      <c r="K13091" s="33" t="s">
        <v>22</v>
      </c>
    </row>
    <row r="13092" spans="1:11">
      <c r="A13092" s="30" t="s">
        <v>29622</v>
      </c>
      <c r="B13092" s="30" t="s">
        <v>29623</v>
      </c>
      <c r="C13092" s="30" t="s">
        <v>29624</v>
      </c>
      <c r="D13092" s="30" t="s">
        <v>17</v>
      </c>
      <c r="E13092" s="30" t="s">
        <v>31</v>
      </c>
      <c r="F13092" s="30" t="s">
        <v>32</v>
      </c>
      <c r="G13092" s="30" t="s">
        <v>112</v>
      </c>
      <c r="H13092" s="32">
        <v>0</v>
      </c>
      <c r="I13092" s="30" t="s">
        <v>21</v>
      </c>
      <c r="J13092" s="41">
        <v>44761</v>
      </c>
      <c r="K13092" s="30" t="s">
        <v>22</v>
      </c>
    </row>
    <row r="13093" spans="1:11">
      <c r="A13093" s="33" t="s">
        <v>29625</v>
      </c>
      <c r="B13093" s="33" t="s">
        <v>29626</v>
      </c>
      <c r="C13093" s="33" t="s">
        <v>925</v>
      </c>
      <c r="D13093" s="33" t="s">
        <v>17</v>
      </c>
      <c r="E13093" s="33" t="s">
        <v>18</v>
      </c>
      <c r="F13093" s="33" t="s">
        <v>19</v>
      </c>
      <c r="G13093" s="33" t="s">
        <v>158</v>
      </c>
      <c r="H13093" s="35">
        <v>623</v>
      </c>
      <c r="I13093" s="33" t="s">
        <v>21</v>
      </c>
      <c r="J13093" s="42">
        <v>44762</v>
      </c>
      <c r="K13093" s="33" t="s">
        <v>22</v>
      </c>
    </row>
    <row r="13094" spans="1:11">
      <c r="A13094" s="30" t="s">
        <v>29627</v>
      </c>
      <c r="B13094" s="30" t="s">
        <v>29628</v>
      </c>
      <c r="C13094" s="30" t="s">
        <v>19435</v>
      </c>
      <c r="D13094" s="30" t="s">
        <v>17</v>
      </c>
      <c r="E13094" s="30" t="s">
        <v>26</v>
      </c>
      <c r="F13094" s="30" t="s">
        <v>27</v>
      </c>
      <c r="G13094" s="30" t="s">
        <v>20</v>
      </c>
      <c r="H13094" s="32">
        <v>9</v>
      </c>
      <c r="I13094" s="30" t="s">
        <v>21</v>
      </c>
      <c r="J13094" s="41">
        <v>44871</v>
      </c>
      <c r="K13094" s="30" t="s">
        <v>22</v>
      </c>
    </row>
    <row r="13095" spans="1:11">
      <c r="A13095" s="33" t="s">
        <v>29629</v>
      </c>
      <c r="B13095" s="33" t="s">
        <v>29630</v>
      </c>
      <c r="C13095" s="33" t="s">
        <v>25</v>
      </c>
      <c r="D13095" s="33" t="s">
        <v>17</v>
      </c>
      <c r="E13095" s="33" t="s">
        <v>31</v>
      </c>
      <c r="F13095" s="33" t="s">
        <v>32</v>
      </c>
      <c r="G13095" s="33" t="s">
        <v>106</v>
      </c>
      <c r="H13095" s="35">
        <v>4</v>
      </c>
      <c r="I13095" s="33" t="s">
        <v>21</v>
      </c>
      <c r="J13095" s="42">
        <v>44903</v>
      </c>
      <c r="K13095" s="33" t="s">
        <v>22</v>
      </c>
    </row>
    <row r="13096" spans="1:11">
      <c r="A13096" s="30" t="s">
        <v>29631</v>
      </c>
      <c r="B13096" s="30" t="s">
        <v>29632</v>
      </c>
      <c r="C13096" s="30" t="s">
        <v>29633</v>
      </c>
      <c r="D13096" s="30" t="s">
        <v>17</v>
      </c>
      <c r="E13096" s="30" t="s">
        <v>26</v>
      </c>
      <c r="F13096" s="30" t="s">
        <v>27</v>
      </c>
      <c r="G13096" s="30" t="s">
        <v>20</v>
      </c>
      <c r="H13096" s="32">
        <v>48</v>
      </c>
      <c r="I13096" s="30" t="s">
        <v>21</v>
      </c>
      <c r="J13096" s="41">
        <v>44621</v>
      </c>
      <c r="K13096" s="30" t="s">
        <v>22</v>
      </c>
    </row>
    <row r="13097" spans="1:11">
      <c r="A13097" s="33" t="s">
        <v>29634</v>
      </c>
      <c r="B13097" s="33" t="s">
        <v>29635</v>
      </c>
      <c r="C13097" s="33" t="s">
        <v>925</v>
      </c>
      <c r="D13097" s="33" t="s">
        <v>17</v>
      </c>
      <c r="E13097" s="33" t="s">
        <v>18</v>
      </c>
      <c r="F13097" s="33" t="s">
        <v>19</v>
      </c>
      <c r="G13097" s="33" t="s">
        <v>106</v>
      </c>
      <c r="H13097" s="35">
        <v>378</v>
      </c>
      <c r="I13097" s="33" t="s">
        <v>21</v>
      </c>
      <c r="J13097" s="42">
        <v>44749</v>
      </c>
      <c r="K13097" s="33" t="s">
        <v>22</v>
      </c>
    </row>
    <row r="13098" spans="1:11">
      <c r="A13098" s="30" t="s">
        <v>29636</v>
      </c>
      <c r="B13098" s="30" t="s">
        <v>29637</v>
      </c>
      <c r="C13098" s="30" t="s">
        <v>57</v>
      </c>
      <c r="D13098" s="30" t="s">
        <v>17</v>
      </c>
      <c r="E13098" s="30" t="s">
        <v>26</v>
      </c>
      <c r="F13098" s="30" t="s">
        <v>27</v>
      </c>
      <c r="G13098" s="30" t="s">
        <v>50</v>
      </c>
      <c r="H13098" s="32">
        <v>36</v>
      </c>
      <c r="I13098" s="30" t="s">
        <v>51</v>
      </c>
      <c r="J13098" s="41">
        <v>44860</v>
      </c>
      <c r="K13098" s="30" t="s">
        <v>22</v>
      </c>
    </row>
    <row r="13099" spans="1:11">
      <c r="A13099" s="33" t="s">
        <v>29638</v>
      </c>
      <c r="B13099" s="33" t="s">
        <v>29639</v>
      </c>
      <c r="C13099" s="33" t="s">
        <v>24203</v>
      </c>
      <c r="D13099" s="33" t="s">
        <v>17</v>
      </c>
      <c r="E13099" s="33" t="s">
        <v>26</v>
      </c>
      <c r="F13099" s="33" t="s">
        <v>27</v>
      </c>
      <c r="G13099" s="33" t="s">
        <v>20</v>
      </c>
      <c r="H13099" s="35">
        <v>7</v>
      </c>
      <c r="I13099" s="33" t="s">
        <v>21</v>
      </c>
      <c r="J13099" s="42">
        <v>44579</v>
      </c>
      <c r="K13099" s="33" t="s">
        <v>22</v>
      </c>
    </row>
    <row r="13100" spans="1:11">
      <c r="A13100" s="30" t="s">
        <v>29640</v>
      </c>
      <c r="B13100" s="30" t="s">
        <v>29641</v>
      </c>
      <c r="C13100" s="30" t="s">
        <v>29642</v>
      </c>
      <c r="D13100" s="30" t="s">
        <v>17</v>
      </c>
      <c r="E13100" s="30" t="s">
        <v>18</v>
      </c>
      <c r="F13100" s="30" t="s">
        <v>19</v>
      </c>
      <c r="G13100" s="30" t="s">
        <v>106</v>
      </c>
      <c r="H13100" s="32">
        <v>26</v>
      </c>
      <c r="I13100" s="30" t="s">
        <v>21</v>
      </c>
      <c r="J13100" s="41">
        <v>44651</v>
      </c>
      <c r="K13100" s="30" t="s">
        <v>22</v>
      </c>
    </row>
    <row r="13101" spans="1:11">
      <c r="A13101" s="33" t="s">
        <v>29643</v>
      </c>
      <c r="B13101" s="33" t="s">
        <v>29644</v>
      </c>
      <c r="C13101" s="33" t="s">
        <v>29645</v>
      </c>
      <c r="D13101" s="33" t="s">
        <v>17</v>
      </c>
      <c r="E13101" s="33" t="s">
        <v>18</v>
      </c>
      <c r="F13101" s="33" t="s">
        <v>19</v>
      </c>
      <c r="G13101" s="33" t="s">
        <v>106</v>
      </c>
      <c r="H13101" s="35">
        <v>550</v>
      </c>
      <c r="I13101" s="33" t="s">
        <v>21</v>
      </c>
      <c r="J13101" s="42">
        <v>44715</v>
      </c>
      <c r="K13101" s="33" t="s">
        <v>22</v>
      </c>
    </row>
    <row r="13102" spans="1:11">
      <c r="A13102" s="30" t="s">
        <v>29646</v>
      </c>
      <c r="B13102" s="30" t="s">
        <v>29647</v>
      </c>
      <c r="C13102" s="30" t="s">
        <v>13290</v>
      </c>
      <c r="D13102" s="30" t="s">
        <v>17</v>
      </c>
      <c r="E13102" s="30" t="s">
        <v>26</v>
      </c>
      <c r="F13102" s="30" t="s">
        <v>27</v>
      </c>
      <c r="G13102" s="30" t="s">
        <v>106</v>
      </c>
      <c r="H13102" s="32">
        <v>7</v>
      </c>
      <c r="I13102" s="30" t="s">
        <v>21</v>
      </c>
      <c r="J13102" s="41">
        <v>44796</v>
      </c>
      <c r="K13102" s="30" t="s">
        <v>22</v>
      </c>
    </row>
    <row r="13103" spans="1:11">
      <c r="A13103" s="33" t="s">
        <v>29648</v>
      </c>
      <c r="B13103" s="33" t="s">
        <v>29649</v>
      </c>
      <c r="C13103" s="33" t="s">
        <v>29650</v>
      </c>
      <c r="D13103" s="33" t="s">
        <v>17</v>
      </c>
      <c r="E13103" s="33" t="s">
        <v>67</v>
      </c>
      <c r="F13103" s="33" t="s">
        <v>68</v>
      </c>
      <c r="G13103" s="33" t="s">
        <v>20</v>
      </c>
      <c r="H13103" s="35">
        <v>120</v>
      </c>
      <c r="I13103" s="33" t="s">
        <v>21</v>
      </c>
      <c r="J13103" s="42">
        <v>44900</v>
      </c>
      <c r="K13103" s="33" t="s">
        <v>22</v>
      </c>
    </row>
    <row r="13104" spans="1:11">
      <c r="A13104" s="30" t="s">
        <v>29651</v>
      </c>
      <c r="B13104" s="30" t="s">
        <v>29652</v>
      </c>
      <c r="C13104" s="30" t="s">
        <v>187</v>
      </c>
      <c r="D13104" s="30" t="s">
        <v>17</v>
      </c>
      <c r="E13104" s="30" t="s">
        <v>67</v>
      </c>
      <c r="F13104" s="30" t="s">
        <v>68</v>
      </c>
      <c r="G13104" s="30" t="s">
        <v>106</v>
      </c>
      <c r="H13104" s="32">
        <v>13</v>
      </c>
      <c r="I13104" s="30" t="s">
        <v>21</v>
      </c>
      <c r="J13104" s="41">
        <v>44722</v>
      </c>
      <c r="K13104" s="30" t="s">
        <v>22</v>
      </c>
    </row>
    <row r="13105" spans="1:11">
      <c r="A13105" s="33" t="s">
        <v>29653</v>
      </c>
      <c r="B13105" s="33" t="s">
        <v>29654</v>
      </c>
      <c r="C13105" s="33" t="s">
        <v>252</v>
      </c>
      <c r="D13105" s="33" t="s">
        <v>17</v>
      </c>
      <c r="E13105" s="33" t="s">
        <v>31</v>
      </c>
      <c r="F13105" s="33" t="s">
        <v>32</v>
      </c>
      <c r="G13105" s="33" t="s">
        <v>158</v>
      </c>
      <c r="H13105" s="35">
        <v>90</v>
      </c>
      <c r="I13105" s="33" t="s">
        <v>21</v>
      </c>
      <c r="J13105" s="42">
        <v>44612</v>
      </c>
      <c r="K13105" s="33" t="s">
        <v>22</v>
      </c>
    </row>
    <row r="13106" spans="1:11">
      <c r="A13106" s="30" t="s">
        <v>29655</v>
      </c>
      <c r="B13106" s="30" t="s">
        <v>29656</v>
      </c>
      <c r="C13106" s="30" t="s">
        <v>817</v>
      </c>
      <c r="D13106" s="30" t="s">
        <v>17</v>
      </c>
      <c r="E13106" s="30" t="s">
        <v>26</v>
      </c>
      <c r="F13106" s="30" t="s">
        <v>27</v>
      </c>
      <c r="G13106" s="30" t="s">
        <v>20</v>
      </c>
      <c r="H13106" s="32">
        <v>30</v>
      </c>
      <c r="I13106" s="30" t="s">
        <v>21</v>
      </c>
      <c r="J13106" s="41">
        <v>44819</v>
      </c>
      <c r="K13106" s="30" t="s">
        <v>22</v>
      </c>
    </row>
    <row r="13107" spans="1:11">
      <c r="A13107" s="33" t="s">
        <v>29657</v>
      </c>
      <c r="B13107" s="33" t="s">
        <v>29658</v>
      </c>
      <c r="C13107" s="33" t="s">
        <v>29659</v>
      </c>
      <c r="D13107" s="33" t="s">
        <v>17</v>
      </c>
      <c r="E13107" s="33" t="s">
        <v>31</v>
      </c>
      <c r="F13107" s="33" t="s">
        <v>32</v>
      </c>
      <c r="G13107" s="33" t="s">
        <v>50</v>
      </c>
      <c r="H13107" s="35">
        <v>50</v>
      </c>
      <c r="I13107" s="33" t="s">
        <v>51</v>
      </c>
      <c r="J13107" s="42">
        <v>44788</v>
      </c>
      <c r="K13107" s="33" t="s">
        <v>22</v>
      </c>
    </row>
    <row r="13108" spans="1:11">
      <c r="A13108" s="30" t="s">
        <v>29660</v>
      </c>
      <c r="B13108" s="30" t="s">
        <v>29661</v>
      </c>
      <c r="C13108" s="30" t="s">
        <v>109</v>
      </c>
      <c r="D13108" s="30" t="s">
        <v>17</v>
      </c>
      <c r="E13108" s="30" t="s">
        <v>18</v>
      </c>
      <c r="F13108" s="30" t="s">
        <v>19</v>
      </c>
      <c r="G13108" s="30" t="s">
        <v>106</v>
      </c>
      <c r="H13108" s="32">
        <v>31</v>
      </c>
      <c r="I13108" s="30" t="s">
        <v>21</v>
      </c>
      <c r="J13108" s="41">
        <v>44795</v>
      </c>
      <c r="K13108" s="30" t="s">
        <v>22</v>
      </c>
    </row>
    <row r="13109" spans="1:11">
      <c r="A13109" s="33" t="s">
        <v>29662</v>
      </c>
      <c r="B13109" s="33" t="s">
        <v>29663</v>
      </c>
      <c r="C13109" s="33" t="s">
        <v>231</v>
      </c>
      <c r="D13109" s="33" t="s">
        <v>17</v>
      </c>
      <c r="E13109" s="33" t="s">
        <v>31</v>
      </c>
      <c r="F13109" s="33" t="s">
        <v>32</v>
      </c>
      <c r="G13109" s="33" t="s">
        <v>106</v>
      </c>
      <c r="H13109" s="35">
        <v>90</v>
      </c>
      <c r="I13109" s="33" t="s">
        <v>21</v>
      </c>
      <c r="J13109" s="42">
        <v>44740</v>
      </c>
      <c r="K13109" s="33" t="s">
        <v>22</v>
      </c>
    </row>
    <row r="13110" spans="1:11">
      <c r="A13110" s="30" t="s">
        <v>29664</v>
      </c>
      <c r="B13110" s="30" t="s">
        <v>29665</v>
      </c>
      <c r="C13110" s="30" t="s">
        <v>49</v>
      </c>
      <c r="D13110" s="30" t="s">
        <v>17</v>
      </c>
      <c r="E13110" s="30" t="s">
        <v>212</v>
      </c>
      <c r="F13110" s="30" t="s">
        <v>213</v>
      </c>
      <c r="G13110" s="30" t="s">
        <v>50</v>
      </c>
      <c r="H13110" s="32">
        <v>30</v>
      </c>
      <c r="I13110" s="30" t="s">
        <v>51</v>
      </c>
      <c r="J13110" s="41">
        <v>44682</v>
      </c>
      <c r="K13110" s="30" t="s">
        <v>22</v>
      </c>
    </row>
    <row r="13111" spans="1:11">
      <c r="A13111" s="33" t="s">
        <v>29666</v>
      </c>
      <c r="B13111" s="33" t="s">
        <v>29667</v>
      </c>
      <c r="C13111" s="33" t="s">
        <v>10651</v>
      </c>
      <c r="D13111" s="33" t="s">
        <v>17</v>
      </c>
      <c r="E13111" s="33" t="s">
        <v>67</v>
      </c>
      <c r="F13111" s="33" t="s">
        <v>68</v>
      </c>
      <c r="G13111" s="33" t="s">
        <v>158</v>
      </c>
      <c r="H13111" s="35">
        <v>320</v>
      </c>
      <c r="I13111" s="33" t="s">
        <v>51</v>
      </c>
      <c r="J13111" s="42">
        <v>44776</v>
      </c>
      <c r="K13111" s="33" t="s">
        <v>22</v>
      </c>
    </row>
    <row r="13112" spans="1:11">
      <c r="A13112" s="30" t="s">
        <v>29668</v>
      </c>
      <c r="B13112" s="30" t="s">
        <v>29669</v>
      </c>
      <c r="C13112" s="30" t="s">
        <v>29670</v>
      </c>
      <c r="D13112" s="30" t="s">
        <v>17</v>
      </c>
      <c r="E13112" s="30" t="s">
        <v>31</v>
      </c>
      <c r="F13112" s="30" t="s">
        <v>32</v>
      </c>
      <c r="G13112" s="30" t="s">
        <v>106</v>
      </c>
      <c r="H13112" s="32">
        <v>222</v>
      </c>
      <c r="I13112" s="30" t="s">
        <v>21</v>
      </c>
      <c r="J13112" s="41">
        <v>44882</v>
      </c>
      <c r="K13112" s="30" t="s">
        <v>22</v>
      </c>
    </row>
    <row r="13113" spans="1:11">
      <c r="A13113" s="33" t="s">
        <v>29671</v>
      </c>
      <c r="B13113" s="33" t="s">
        <v>29672</v>
      </c>
      <c r="C13113" s="33" t="s">
        <v>190</v>
      </c>
      <c r="D13113" s="33" t="s">
        <v>17</v>
      </c>
      <c r="E13113" s="33" t="s">
        <v>26</v>
      </c>
      <c r="F13113" s="33" t="s">
        <v>27</v>
      </c>
      <c r="G13113" s="33" t="s">
        <v>20</v>
      </c>
      <c r="H13113" s="35">
        <v>19</v>
      </c>
      <c r="I13113" s="33" t="s">
        <v>21</v>
      </c>
      <c r="J13113" s="42">
        <v>44785</v>
      </c>
      <c r="K13113" s="33" t="s">
        <v>22</v>
      </c>
    </row>
    <row r="13114" spans="1:11">
      <c r="A13114" s="30" t="s">
        <v>29673</v>
      </c>
      <c r="B13114" s="30" t="s">
        <v>29674</v>
      </c>
      <c r="C13114" s="30" t="s">
        <v>11375</v>
      </c>
      <c r="D13114" s="30" t="s">
        <v>17</v>
      </c>
      <c r="E13114" s="30" t="s">
        <v>26</v>
      </c>
      <c r="F13114" s="30" t="s">
        <v>27</v>
      </c>
      <c r="G13114" s="30" t="s">
        <v>106</v>
      </c>
      <c r="H13114" s="32">
        <v>1</v>
      </c>
      <c r="I13114" s="30" t="s">
        <v>21</v>
      </c>
      <c r="J13114" s="41">
        <v>44614</v>
      </c>
      <c r="K13114" s="30" t="s">
        <v>22</v>
      </c>
    </row>
    <row r="13115" spans="1:11">
      <c r="A13115" s="33" t="s">
        <v>29675</v>
      </c>
      <c r="B13115" s="33" t="s">
        <v>29676</v>
      </c>
      <c r="C13115" s="33" t="s">
        <v>426</v>
      </c>
      <c r="D13115" s="33" t="s">
        <v>17</v>
      </c>
      <c r="E13115" s="33" t="s">
        <v>67</v>
      </c>
      <c r="F13115" s="33" t="s">
        <v>68</v>
      </c>
      <c r="G13115" s="33" t="s">
        <v>50</v>
      </c>
      <c r="H13115" s="35">
        <v>51</v>
      </c>
      <c r="I13115" s="33" t="s">
        <v>51</v>
      </c>
      <c r="J13115" s="42">
        <v>44726</v>
      </c>
      <c r="K13115" s="33" t="s">
        <v>22</v>
      </c>
    </row>
    <row r="13116" spans="1:11">
      <c r="A13116" s="30" t="s">
        <v>29677</v>
      </c>
      <c r="B13116" s="30" t="s">
        <v>29678</v>
      </c>
      <c r="C13116" s="30" t="s">
        <v>29679</v>
      </c>
      <c r="D13116" s="30" t="s">
        <v>17</v>
      </c>
      <c r="E13116" s="30" t="s">
        <v>26</v>
      </c>
      <c r="F13116" s="30" t="s">
        <v>27</v>
      </c>
      <c r="G13116" s="30" t="s">
        <v>20</v>
      </c>
      <c r="H13116" s="32">
        <v>82</v>
      </c>
      <c r="I13116" s="30" t="s">
        <v>21</v>
      </c>
      <c r="J13116" s="41">
        <v>44887</v>
      </c>
      <c r="K13116" s="30" t="s">
        <v>22</v>
      </c>
    </row>
    <row r="13117" spans="1:11">
      <c r="A13117" s="33" t="s">
        <v>29680</v>
      </c>
      <c r="B13117" s="33" t="s">
        <v>29681</v>
      </c>
      <c r="C13117" s="33" t="s">
        <v>416</v>
      </c>
      <c r="D13117" s="33" t="s">
        <v>17</v>
      </c>
      <c r="E13117" s="33" t="s">
        <v>212</v>
      </c>
      <c r="F13117" s="33" t="s">
        <v>213</v>
      </c>
      <c r="G13117" s="33" t="s">
        <v>50</v>
      </c>
      <c r="H13117" s="35">
        <v>281</v>
      </c>
      <c r="I13117" s="33" t="s">
        <v>51</v>
      </c>
      <c r="J13117" s="42">
        <v>44600</v>
      </c>
      <c r="K13117" s="33" t="s">
        <v>22</v>
      </c>
    </row>
    <row r="13118" spans="1:11">
      <c r="A13118" s="30" t="s">
        <v>29682</v>
      </c>
      <c r="B13118" s="30" t="s">
        <v>29683</v>
      </c>
      <c r="C13118" s="30" t="s">
        <v>178</v>
      </c>
      <c r="D13118" s="30" t="s">
        <v>17</v>
      </c>
      <c r="E13118" s="30" t="s">
        <v>18</v>
      </c>
      <c r="F13118" s="30" t="s">
        <v>19</v>
      </c>
      <c r="G13118" s="30" t="s">
        <v>158</v>
      </c>
      <c r="H13118" s="32">
        <v>122</v>
      </c>
      <c r="I13118" s="30" t="s">
        <v>21</v>
      </c>
      <c r="J13118" s="41">
        <v>44831</v>
      </c>
      <c r="K13118" s="30" t="s">
        <v>22</v>
      </c>
    </row>
    <row r="13119" spans="1:11">
      <c r="A13119" s="33" t="s">
        <v>29684</v>
      </c>
      <c r="B13119" s="33" t="s">
        <v>29685</v>
      </c>
      <c r="C13119" s="33" t="s">
        <v>1598</v>
      </c>
      <c r="D13119" s="33" t="s">
        <v>17</v>
      </c>
      <c r="E13119" s="33" t="s">
        <v>67</v>
      </c>
      <c r="F13119" s="33" t="s">
        <v>68</v>
      </c>
      <c r="G13119" s="33" t="s">
        <v>106</v>
      </c>
      <c r="H13119" s="35">
        <v>248</v>
      </c>
      <c r="I13119" s="33" t="s">
        <v>21</v>
      </c>
      <c r="J13119" s="42">
        <v>44567</v>
      </c>
      <c r="K13119" s="33" t="s">
        <v>22</v>
      </c>
    </row>
    <row r="13120" spans="1:11">
      <c r="A13120" s="30" t="s">
        <v>29686</v>
      </c>
      <c r="B13120" s="30" t="s">
        <v>29687</v>
      </c>
      <c r="C13120" s="30" t="s">
        <v>29688</v>
      </c>
      <c r="D13120" s="30" t="s">
        <v>17</v>
      </c>
      <c r="E13120" s="30" t="s">
        <v>212</v>
      </c>
      <c r="F13120" s="30" t="s">
        <v>213</v>
      </c>
      <c r="G13120" s="30" t="s">
        <v>20</v>
      </c>
      <c r="H13120" s="32">
        <v>110</v>
      </c>
      <c r="I13120" s="30" t="s">
        <v>21</v>
      </c>
      <c r="J13120" s="41">
        <v>44760</v>
      </c>
      <c r="K13120" s="30" t="s">
        <v>22</v>
      </c>
    </row>
    <row r="13121" spans="1:11">
      <c r="A13121" s="33" t="s">
        <v>29689</v>
      </c>
      <c r="B13121" s="33" t="s">
        <v>29690</v>
      </c>
      <c r="C13121" s="33" t="s">
        <v>109</v>
      </c>
      <c r="D13121" s="33" t="s">
        <v>17</v>
      </c>
      <c r="E13121" s="33" t="s">
        <v>26</v>
      </c>
      <c r="F13121" s="33" t="s">
        <v>27</v>
      </c>
      <c r="G13121" s="33" t="s">
        <v>20</v>
      </c>
      <c r="H13121" s="35">
        <v>38</v>
      </c>
      <c r="I13121" s="33" t="s">
        <v>21</v>
      </c>
      <c r="J13121" s="42">
        <v>44865</v>
      </c>
      <c r="K13121" s="33" t="s">
        <v>22</v>
      </c>
    </row>
    <row r="13122" spans="1:11">
      <c r="A13122" s="30" t="s">
        <v>29691</v>
      </c>
      <c r="B13122" s="30" t="s">
        <v>29692</v>
      </c>
      <c r="C13122" s="30" t="s">
        <v>29693</v>
      </c>
      <c r="D13122" s="30" t="s">
        <v>17</v>
      </c>
      <c r="E13122" s="30" t="s">
        <v>26</v>
      </c>
      <c r="F13122" s="30" t="s">
        <v>27</v>
      </c>
      <c r="G13122" s="30" t="s">
        <v>20</v>
      </c>
      <c r="H13122" s="32">
        <v>42</v>
      </c>
      <c r="I13122" s="30" t="s">
        <v>21</v>
      </c>
      <c r="J13122" s="41">
        <v>44880</v>
      </c>
      <c r="K13122" s="30" t="s">
        <v>22</v>
      </c>
    </row>
    <row r="13123" spans="1:11">
      <c r="A13123" s="33" t="s">
        <v>29694</v>
      </c>
      <c r="B13123" s="33" t="s">
        <v>29695</v>
      </c>
      <c r="C13123" s="33" t="s">
        <v>1428</v>
      </c>
      <c r="D13123" s="33" t="s">
        <v>17</v>
      </c>
      <c r="E13123" s="33" t="s">
        <v>26</v>
      </c>
      <c r="F13123" s="33" t="s">
        <v>27</v>
      </c>
      <c r="G13123" s="33" t="s">
        <v>50</v>
      </c>
      <c r="H13123" s="35">
        <v>120</v>
      </c>
      <c r="I13123" s="33" t="s">
        <v>51</v>
      </c>
      <c r="J13123" s="42">
        <v>44727</v>
      </c>
      <c r="K13123" s="33" t="s">
        <v>22</v>
      </c>
    </row>
    <row r="13124" spans="1:11">
      <c r="A13124" s="30" t="s">
        <v>29696</v>
      </c>
      <c r="B13124" s="30" t="s">
        <v>29697</v>
      </c>
      <c r="C13124" s="30" t="s">
        <v>75</v>
      </c>
      <c r="D13124" s="30" t="s">
        <v>17</v>
      </c>
      <c r="E13124" s="30" t="s">
        <v>212</v>
      </c>
      <c r="F13124" s="30" t="s">
        <v>213</v>
      </c>
      <c r="G13124" s="30" t="s">
        <v>106</v>
      </c>
      <c r="H13124" s="32">
        <v>139</v>
      </c>
      <c r="I13124" s="30" t="s">
        <v>21</v>
      </c>
      <c r="J13124" s="41">
        <v>44911</v>
      </c>
      <c r="K13124" s="30" t="s">
        <v>22</v>
      </c>
    </row>
    <row r="13125" spans="1:11">
      <c r="A13125" s="33" t="s">
        <v>29698</v>
      </c>
      <c r="B13125" s="33" t="s">
        <v>29699</v>
      </c>
      <c r="C13125" s="33" t="s">
        <v>4071</v>
      </c>
      <c r="D13125" s="33" t="s">
        <v>17</v>
      </c>
      <c r="E13125" s="33" t="s">
        <v>31</v>
      </c>
      <c r="F13125" s="33" t="s">
        <v>32</v>
      </c>
      <c r="G13125" s="33" t="s">
        <v>50</v>
      </c>
      <c r="H13125" s="35">
        <v>120</v>
      </c>
      <c r="I13125" s="33" t="s">
        <v>21</v>
      </c>
      <c r="J13125" s="42">
        <v>44849</v>
      </c>
      <c r="K13125" s="33" t="s">
        <v>22</v>
      </c>
    </row>
    <row r="13126" spans="1:11">
      <c r="A13126" s="30" t="s">
        <v>29700</v>
      </c>
      <c r="B13126" s="30" t="s">
        <v>29701</v>
      </c>
      <c r="C13126" s="30" t="s">
        <v>96</v>
      </c>
      <c r="D13126" s="30" t="s">
        <v>17</v>
      </c>
      <c r="E13126" s="30" t="s">
        <v>26</v>
      </c>
      <c r="F13126" s="30" t="s">
        <v>27</v>
      </c>
      <c r="G13126" s="30" t="s">
        <v>106</v>
      </c>
      <c r="H13126" s="32">
        <v>25</v>
      </c>
      <c r="I13126" s="30" t="s">
        <v>21</v>
      </c>
      <c r="J13126" s="41">
        <v>44734</v>
      </c>
      <c r="K13126" s="30" t="s">
        <v>22</v>
      </c>
    </row>
    <row r="13127" spans="1:11">
      <c r="A13127" s="33" t="s">
        <v>29702</v>
      </c>
      <c r="B13127" s="33" t="s">
        <v>29703</v>
      </c>
      <c r="C13127" s="33" t="s">
        <v>7726</v>
      </c>
      <c r="D13127" s="33" t="s">
        <v>17</v>
      </c>
      <c r="E13127" s="33" t="s">
        <v>26</v>
      </c>
      <c r="F13127" s="33" t="s">
        <v>27</v>
      </c>
      <c r="G13127" s="33" t="s">
        <v>20</v>
      </c>
      <c r="H13127" s="35">
        <v>24</v>
      </c>
      <c r="I13127" s="33" t="s">
        <v>21</v>
      </c>
      <c r="J13127" s="42">
        <v>44750</v>
      </c>
      <c r="K13127" s="33" t="s">
        <v>22</v>
      </c>
    </row>
    <row r="13128" spans="1:11">
      <c r="A13128" s="30" t="s">
        <v>29704</v>
      </c>
      <c r="B13128" s="30" t="s">
        <v>29705</v>
      </c>
      <c r="C13128" s="30" t="s">
        <v>96</v>
      </c>
      <c r="D13128" s="30" t="s">
        <v>17</v>
      </c>
      <c r="E13128" s="30" t="s">
        <v>18</v>
      </c>
      <c r="F13128" s="30" t="s">
        <v>19</v>
      </c>
      <c r="G13128" s="30" t="s">
        <v>140</v>
      </c>
      <c r="H13128" s="32">
        <v>173</v>
      </c>
      <c r="I13128" s="30" t="s">
        <v>51</v>
      </c>
      <c r="J13128" s="41">
        <v>44923</v>
      </c>
      <c r="K13128" s="30" t="s">
        <v>22</v>
      </c>
    </row>
    <row r="13129" spans="1:11">
      <c r="A13129" s="33" t="s">
        <v>29706</v>
      </c>
      <c r="B13129" s="33" t="s">
        <v>29707</v>
      </c>
      <c r="C13129" s="33" t="s">
        <v>429</v>
      </c>
      <c r="D13129" s="33" t="s">
        <v>17</v>
      </c>
      <c r="E13129" s="33" t="s">
        <v>31</v>
      </c>
      <c r="F13129" s="33" t="s">
        <v>32</v>
      </c>
      <c r="G13129" s="33" t="s">
        <v>158</v>
      </c>
      <c r="H13129" s="35">
        <v>379</v>
      </c>
      <c r="I13129" s="33" t="s">
        <v>21</v>
      </c>
      <c r="J13129" s="42">
        <v>44820</v>
      </c>
      <c r="K13129" s="33" t="s">
        <v>22</v>
      </c>
    </row>
    <row r="13130" spans="1:11">
      <c r="A13130" s="30" t="s">
        <v>29708</v>
      </c>
      <c r="B13130" s="30" t="s">
        <v>29709</v>
      </c>
      <c r="C13130" s="30" t="s">
        <v>969</v>
      </c>
      <c r="D13130" s="30" t="s">
        <v>17</v>
      </c>
      <c r="E13130" s="30" t="s">
        <v>18</v>
      </c>
      <c r="F13130" s="30" t="s">
        <v>19</v>
      </c>
      <c r="G13130" s="30" t="s">
        <v>20</v>
      </c>
      <c r="H13130" s="32">
        <v>288</v>
      </c>
      <c r="I13130" s="30" t="s">
        <v>21</v>
      </c>
      <c r="J13130" s="41">
        <v>44594</v>
      </c>
      <c r="K13130" s="30" t="s">
        <v>22</v>
      </c>
    </row>
    <row r="13131" spans="1:11">
      <c r="A13131" s="33" t="s">
        <v>29710</v>
      </c>
      <c r="B13131" s="33" t="s">
        <v>29711</v>
      </c>
      <c r="C13131" s="33" t="s">
        <v>6379</v>
      </c>
      <c r="D13131" s="33" t="s">
        <v>17</v>
      </c>
      <c r="E13131" s="33" t="s">
        <v>31</v>
      </c>
      <c r="F13131" s="33" t="s">
        <v>32</v>
      </c>
      <c r="G13131" s="33" t="s">
        <v>20</v>
      </c>
      <c r="H13131" s="35">
        <v>183</v>
      </c>
      <c r="I13131" s="33" t="s">
        <v>21</v>
      </c>
      <c r="J13131" s="42">
        <v>44613</v>
      </c>
      <c r="K13131" s="33" t="s">
        <v>22</v>
      </c>
    </row>
    <row r="13132" spans="1:11">
      <c r="A13132" s="30" t="s">
        <v>29712</v>
      </c>
      <c r="B13132" s="30" t="s">
        <v>29713</v>
      </c>
      <c r="C13132" s="30" t="s">
        <v>29714</v>
      </c>
      <c r="D13132" s="30" t="s">
        <v>17</v>
      </c>
      <c r="E13132" s="30" t="s">
        <v>330</v>
      </c>
      <c r="F13132" s="30" t="s">
        <v>331</v>
      </c>
      <c r="G13132" s="30" t="s">
        <v>50</v>
      </c>
      <c r="H13132" s="32">
        <v>30</v>
      </c>
      <c r="I13132" s="30" t="s">
        <v>51</v>
      </c>
      <c r="J13132" s="41">
        <v>44663</v>
      </c>
      <c r="K13132" s="30" t="s">
        <v>22</v>
      </c>
    </row>
    <row r="13133" spans="1:11">
      <c r="A13133" s="33" t="s">
        <v>29715</v>
      </c>
      <c r="B13133" s="33" t="s">
        <v>29716</v>
      </c>
      <c r="C13133" s="33" t="s">
        <v>1219</v>
      </c>
      <c r="D13133" s="33" t="s">
        <v>17</v>
      </c>
      <c r="E13133" s="33" t="s">
        <v>31</v>
      </c>
      <c r="F13133" s="33" t="s">
        <v>32</v>
      </c>
      <c r="G13133" s="33" t="s">
        <v>20</v>
      </c>
      <c r="H13133" s="35">
        <v>57</v>
      </c>
      <c r="I13133" s="33" t="s">
        <v>21</v>
      </c>
      <c r="J13133" s="42">
        <v>44712</v>
      </c>
      <c r="K13133" s="33" t="s">
        <v>22</v>
      </c>
    </row>
    <row r="13134" spans="1:11">
      <c r="A13134" s="30" t="s">
        <v>29717</v>
      </c>
      <c r="B13134" s="30" t="s">
        <v>29718</v>
      </c>
      <c r="C13134" s="30" t="s">
        <v>11001</v>
      </c>
      <c r="D13134" s="30" t="s">
        <v>17</v>
      </c>
      <c r="E13134" s="30" t="s">
        <v>330</v>
      </c>
      <c r="F13134" s="30" t="s">
        <v>331</v>
      </c>
      <c r="G13134" s="30" t="s">
        <v>50</v>
      </c>
      <c r="H13134" s="32">
        <v>40</v>
      </c>
      <c r="I13134" s="30" t="s">
        <v>21</v>
      </c>
      <c r="J13134" s="41">
        <v>44788</v>
      </c>
      <c r="K13134" s="30" t="s">
        <v>22</v>
      </c>
    </row>
    <row r="13135" spans="1:11">
      <c r="A13135" s="33" t="s">
        <v>29719</v>
      </c>
      <c r="B13135" s="33" t="s">
        <v>29720</v>
      </c>
      <c r="C13135" s="33" t="s">
        <v>925</v>
      </c>
      <c r="D13135" s="33" t="s">
        <v>17</v>
      </c>
      <c r="E13135" s="33" t="s">
        <v>45</v>
      </c>
      <c r="F13135" s="33" t="s">
        <v>46</v>
      </c>
      <c r="G13135" s="33" t="s">
        <v>158</v>
      </c>
      <c r="H13135" s="35">
        <v>689</v>
      </c>
      <c r="I13135" s="33" t="s">
        <v>21</v>
      </c>
      <c r="J13135" s="42">
        <v>44789</v>
      </c>
      <c r="K13135" s="33" t="s">
        <v>22</v>
      </c>
    </row>
    <row r="13136" spans="1:11">
      <c r="A13136" s="30" t="s">
        <v>29721</v>
      </c>
      <c r="B13136" s="30" t="s">
        <v>29722</v>
      </c>
      <c r="C13136" s="30" t="s">
        <v>57</v>
      </c>
      <c r="D13136" s="30" t="s">
        <v>17</v>
      </c>
      <c r="E13136" s="30" t="s">
        <v>26</v>
      </c>
      <c r="F13136" s="30" t="s">
        <v>27</v>
      </c>
      <c r="G13136" s="30" t="s">
        <v>20</v>
      </c>
      <c r="H13136" s="32">
        <v>33</v>
      </c>
      <c r="I13136" s="30" t="s">
        <v>21</v>
      </c>
      <c r="J13136" s="41">
        <v>44571</v>
      </c>
      <c r="K13136" s="30" t="s">
        <v>22</v>
      </c>
    </row>
    <row r="13137" spans="1:11">
      <c r="A13137" s="33" t="s">
        <v>29723</v>
      </c>
      <c r="B13137" s="33" t="s">
        <v>29724</v>
      </c>
      <c r="C13137" s="33" t="s">
        <v>29725</v>
      </c>
      <c r="D13137" s="33" t="s">
        <v>17</v>
      </c>
      <c r="E13137" s="33" t="s">
        <v>67</v>
      </c>
      <c r="F13137" s="33" t="s">
        <v>68</v>
      </c>
      <c r="G13137" s="33" t="s">
        <v>140</v>
      </c>
      <c r="H13137" s="35">
        <v>52</v>
      </c>
      <c r="I13137" s="33" t="s">
        <v>51</v>
      </c>
      <c r="J13137" s="42">
        <v>44799</v>
      </c>
      <c r="K13137" s="33" t="s">
        <v>22</v>
      </c>
    </row>
    <row r="13138" spans="1:11">
      <c r="A13138" s="30" t="s">
        <v>29726</v>
      </c>
      <c r="B13138" s="30" t="s">
        <v>29727</v>
      </c>
      <c r="C13138" s="30" t="s">
        <v>231</v>
      </c>
      <c r="D13138" s="30" t="s">
        <v>17</v>
      </c>
      <c r="E13138" s="30" t="s">
        <v>26</v>
      </c>
      <c r="F13138" s="30" t="s">
        <v>27</v>
      </c>
      <c r="G13138" s="30" t="s">
        <v>20</v>
      </c>
      <c r="H13138" s="32">
        <v>33</v>
      </c>
      <c r="I13138" s="30" t="s">
        <v>21</v>
      </c>
      <c r="J13138" s="41">
        <v>44784</v>
      </c>
      <c r="K13138" s="30" t="s">
        <v>22</v>
      </c>
    </row>
    <row r="13139" spans="1:11">
      <c r="A13139" s="33" t="s">
        <v>29728</v>
      </c>
      <c r="B13139" s="33" t="s">
        <v>29729</v>
      </c>
      <c r="C13139" s="33" t="s">
        <v>136</v>
      </c>
      <c r="D13139" s="33" t="s">
        <v>17</v>
      </c>
      <c r="E13139" s="33" t="s">
        <v>26</v>
      </c>
      <c r="F13139" s="33" t="s">
        <v>27</v>
      </c>
      <c r="G13139" s="33" t="s">
        <v>20</v>
      </c>
      <c r="H13139" s="35">
        <v>7</v>
      </c>
      <c r="I13139" s="33" t="s">
        <v>21</v>
      </c>
      <c r="J13139" s="42">
        <v>44644</v>
      </c>
      <c r="K13139" s="33" t="s">
        <v>22</v>
      </c>
    </row>
    <row r="13140" spans="1:11">
      <c r="A13140" s="30" t="s">
        <v>29730</v>
      </c>
      <c r="B13140" s="30" t="s">
        <v>29731</v>
      </c>
      <c r="C13140" s="30" t="s">
        <v>28213</v>
      </c>
      <c r="D13140" s="30" t="s">
        <v>17</v>
      </c>
      <c r="E13140" s="30" t="s">
        <v>67</v>
      </c>
      <c r="F13140" s="30" t="s">
        <v>68</v>
      </c>
      <c r="G13140" s="30" t="s">
        <v>50</v>
      </c>
      <c r="H13140" s="32">
        <v>76</v>
      </c>
      <c r="I13140" s="30" t="s">
        <v>51</v>
      </c>
      <c r="J13140" s="41">
        <v>44799</v>
      </c>
      <c r="K13140" s="30" t="s">
        <v>22</v>
      </c>
    </row>
    <row r="13141" spans="1:11">
      <c r="A13141" s="33" t="s">
        <v>29732</v>
      </c>
      <c r="B13141" s="33" t="s">
        <v>29733</v>
      </c>
      <c r="C13141" s="33" t="s">
        <v>29734</v>
      </c>
      <c r="D13141" s="33" t="s">
        <v>17</v>
      </c>
      <c r="E13141" s="33" t="s">
        <v>330</v>
      </c>
      <c r="F13141" s="33" t="s">
        <v>331</v>
      </c>
      <c r="G13141" s="33" t="s">
        <v>112</v>
      </c>
      <c r="H13141" s="35">
        <v>0</v>
      </c>
      <c r="I13141" s="33" t="s">
        <v>21</v>
      </c>
      <c r="J13141" s="42">
        <v>44713</v>
      </c>
      <c r="K13141" s="33" t="s">
        <v>22</v>
      </c>
    </row>
    <row r="13142" spans="1:11">
      <c r="A13142" s="30" t="s">
        <v>29735</v>
      </c>
      <c r="B13142" s="30" t="s">
        <v>29736</v>
      </c>
      <c r="C13142" s="30" t="s">
        <v>1210</v>
      </c>
      <c r="D13142" s="30" t="s">
        <v>17</v>
      </c>
      <c r="E13142" s="30" t="s">
        <v>18</v>
      </c>
      <c r="F13142" s="30" t="s">
        <v>19</v>
      </c>
      <c r="G13142" s="30" t="s">
        <v>140</v>
      </c>
      <c r="H13142" s="32">
        <v>15</v>
      </c>
      <c r="I13142" s="30" t="s">
        <v>51</v>
      </c>
      <c r="J13142" s="41">
        <v>44754</v>
      </c>
      <c r="K13142" s="30" t="s">
        <v>22</v>
      </c>
    </row>
    <row r="13143" spans="1:11">
      <c r="A13143" s="33" t="s">
        <v>29737</v>
      </c>
      <c r="B13143" s="33" t="s">
        <v>29738</v>
      </c>
      <c r="C13143" s="33" t="s">
        <v>15585</v>
      </c>
      <c r="D13143" s="33" t="s">
        <v>17</v>
      </c>
      <c r="E13143" s="33" t="s">
        <v>26</v>
      </c>
      <c r="F13143" s="33" t="s">
        <v>27</v>
      </c>
      <c r="G13143" s="33" t="s">
        <v>20</v>
      </c>
      <c r="H13143" s="35">
        <v>64</v>
      </c>
      <c r="I13143" s="33" t="s">
        <v>21</v>
      </c>
      <c r="J13143" s="42">
        <v>44846</v>
      </c>
      <c r="K13143" s="33" t="s">
        <v>22</v>
      </c>
    </row>
    <row r="13144" spans="1:11">
      <c r="A13144" s="30" t="s">
        <v>29739</v>
      </c>
      <c r="B13144" s="30" t="s">
        <v>29740</v>
      </c>
      <c r="C13144" s="30" t="s">
        <v>1801</v>
      </c>
      <c r="D13144" s="30" t="s">
        <v>17</v>
      </c>
      <c r="E13144" s="30" t="s">
        <v>26</v>
      </c>
      <c r="F13144" s="30" t="s">
        <v>27</v>
      </c>
      <c r="G13144" s="30" t="s">
        <v>50</v>
      </c>
      <c r="H13144" s="32">
        <v>100</v>
      </c>
      <c r="I13144" s="30" t="s">
        <v>51</v>
      </c>
      <c r="J13144" s="41">
        <v>44834</v>
      </c>
      <c r="K13144" s="30" t="s">
        <v>22</v>
      </c>
    </row>
    <row r="13145" spans="1:11">
      <c r="A13145" s="33" t="s">
        <v>29741</v>
      </c>
      <c r="B13145" s="33" t="s">
        <v>29742</v>
      </c>
      <c r="C13145" s="33" t="s">
        <v>29743</v>
      </c>
      <c r="D13145" s="33" t="s">
        <v>17</v>
      </c>
      <c r="E13145" s="33" t="s">
        <v>26</v>
      </c>
      <c r="F13145" s="33" t="s">
        <v>27</v>
      </c>
      <c r="G13145" s="33" t="s">
        <v>20</v>
      </c>
      <c r="H13145" s="35">
        <v>32</v>
      </c>
      <c r="I13145" s="33" t="s">
        <v>21</v>
      </c>
      <c r="J13145" s="42">
        <v>44783</v>
      </c>
      <c r="K13145" s="33" t="s">
        <v>22</v>
      </c>
    </row>
    <row r="13146" spans="1:11">
      <c r="A13146" s="30" t="s">
        <v>29744</v>
      </c>
      <c r="B13146" s="30" t="s">
        <v>29745</v>
      </c>
      <c r="C13146" s="30" t="s">
        <v>26235</v>
      </c>
      <c r="D13146" s="30" t="s">
        <v>17</v>
      </c>
      <c r="E13146" s="30" t="s">
        <v>26</v>
      </c>
      <c r="F13146" s="30" t="s">
        <v>27</v>
      </c>
      <c r="G13146" s="30" t="s">
        <v>20</v>
      </c>
      <c r="H13146" s="32">
        <v>30</v>
      </c>
      <c r="I13146" s="30" t="s">
        <v>21</v>
      </c>
      <c r="J13146" s="41">
        <v>44734</v>
      </c>
      <c r="K13146" s="30" t="s">
        <v>22</v>
      </c>
    </row>
    <row r="13147" spans="1:11">
      <c r="A13147" s="33" t="s">
        <v>29746</v>
      </c>
      <c r="B13147" s="33" t="s">
        <v>29747</v>
      </c>
      <c r="C13147" s="33" t="s">
        <v>109</v>
      </c>
      <c r="D13147" s="33" t="s">
        <v>17</v>
      </c>
      <c r="E13147" s="33" t="s">
        <v>212</v>
      </c>
      <c r="F13147" s="33" t="s">
        <v>213</v>
      </c>
      <c r="G13147" s="33" t="s">
        <v>20</v>
      </c>
      <c r="H13147" s="35">
        <v>99</v>
      </c>
      <c r="I13147" s="33" t="s">
        <v>21</v>
      </c>
      <c r="J13147" s="42">
        <v>44764</v>
      </c>
      <c r="K13147" s="33" t="s">
        <v>22</v>
      </c>
    </row>
    <row r="13148" spans="1:11">
      <c r="A13148" s="30" t="s">
        <v>29748</v>
      </c>
      <c r="B13148" s="30" t="s">
        <v>29749</v>
      </c>
      <c r="C13148" s="30" t="s">
        <v>4074</v>
      </c>
      <c r="D13148" s="30" t="s">
        <v>17</v>
      </c>
      <c r="E13148" s="30" t="s">
        <v>18</v>
      </c>
      <c r="F13148" s="30" t="s">
        <v>19</v>
      </c>
      <c r="G13148" s="30" t="s">
        <v>106</v>
      </c>
      <c r="H13148" s="32">
        <v>20</v>
      </c>
      <c r="I13148" s="30" t="s">
        <v>21</v>
      </c>
      <c r="J13148" s="41">
        <v>44735</v>
      </c>
      <c r="K13148" s="30" t="s">
        <v>22</v>
      </c>
    </row>
    <row r="13149" spans="1:11">
      <c r="A13149" s="33" t="s">
        <v>29750</v>
      </c>
      <c r="B13149" s="33" t="s">
        <v>29751</v>
      </c>
      <c r="C13149" s="33" t="s">
        <v>17564</v>
      </c>
      <c r="D13149" s="33" t="s">
        <v>17</v>
      </c>
      <c r="E13149" s="33" t="s">
        <v>26</v>
      </c>
      <c r="F13149" s="33" t="s">
        <v>27</v>
      </c>
      <c r="G13149" s="33" t="s">
        <v>20</v>
      </c>
      <c r="H13149" s="35">
        <v>22</v>
      </c>
      <c r="I13149" s="33" t="s">
        <v>21</v>
      </c>
      <c r="J13149" s="42">
        <v>44761</v>
      </c>
      <c r="K13149" s="33" t="s">
        <v>22</v>
      </c>
    </row>
    <row r="13150" spans="1:11">
      <c r="A13150" s="30" t="s">
        <v>29752</v>
      </c>
      <c r="B13150" s="30" t="s">
        <v>29753</v>
      </c>
      <c r="C13150" s="30" t="s">
        <v>29754</v>
      </c>
      <c r="D13150" s="30" t="s">
        <v>17</v>
      </c>
      <c r="E13150" s="30" t="s">
        <v>31</v>
      </c>
      <c r="F13150" s="30" t="s">
        <v>32</v>
      </c>
      <c r="G13150" s="30" t="s">
        <v>50</v>
      </c>
      <c r="H13150" s="32">
        <v>16</v>
      </c>
      <c r="I13150" s="30" t="s">
        <v>51</v>
      </c>
      <c r="J13150" s="41">
        <v>44638</v>
      </c>
      <c r="K13150" s="30" t="s">
        <v>22</v>
      </c>
    </row>
    <row r="13151" spans="1:11">
      <c r="A13151" s="33" t="s">
        <v>29755</v>
      </c>
      <c r="B13151" s="33" t="s">
        <v>29756</v>
      </c>
      <c r="C13151" s="33" t="s">
        <v>27284</v>
      </c>
      <c r="D13151" s="33" t="s">
        <v>17</v>
      </c>
      <c r="E13151" s="33" t="s">
        <v>31</v>
      </c>
      <c r="F13151" s="33" t="s">
        <v>32</v>
      </c>
      <c r="G13151" s="33" t="s">
        <v>20</v>
      </c>
      <c r="H13151" s="35">
        <v>26</v>
      </c>
      <c r="I13151" s="33" t="s">
        <v>21</v>
      </c>
      <c r="J13151" s="42">
        <v>44900</v>
      </c>
      <c r="K13151" s="33" t="s">
        <v>22</v>
      </c>
    </row>
    <row r="13152" spans="1:11">
      <c r="A13152" s="30" t="s">
        <v>29757</v>
      </c>
      <c r="B13152" s="30" t="s">
        <v>29758</v>
      </c>
      <c r="C13152" s="30" t="s">
        <v>29759</v>
      </c>
      <c r="D13152" s="30" t="s">
        <v>17</v>
      </c>
      <c r="E13152" s="30" t="s">
        <v>330</v>
      </c>
      <c r="F13152" s="30" t="s">
        <v>331</v>
      </c>
      <c r="G13152" s="30" t="s">
        <v>50</v>
      </c>
      <c r="H13152" s="32">
        <v>90</v>
      </c>
      <c r="I13152" s="30" t="s">
        <v>51</v>
      </c>
      <c r="J13152" s="41">
        <v>44726</v>
      </c>
      <c r="K13152" s="30" t="s">
        <v>22</v>
      </c>
    </row>
    <row r="13153" spans="1:11">
      <c r="A13153" s="33" t="s">
        <v>29760</v>
      </c>
      <c r="B13153" s="33" t="s">
        <v>29761</v>
      </c>
      <c r="C13153" s="33" t="s">
        <v>28109</v>
      </c>
      <c r="D13153" s="33" t="s">
        <v>17</v>
      </c>
      <c r="E13153" s="33" t="s">
        <v>67</v>
      </c>
      <c r="F13153" s="33" t="s">
        <v>68</v>
      </c>
      <c r="G13153" s="33" t="s">
        <v>20</v>
      </c>
      <c r="H13153" s="35">
        <v>78</v>
      </c>
      <c r="I13153" s="33" t="s">
        <v>21</v>
      </c>
      <c r="J13153" s="42">
        <v>44636</v>
      </c>
      <c r="K13153" s="33" t="s">
        <v>22</v>
      </c>
    </row>
    <row r="13154" spans="1:11">
      <c r="A13154" s="30" t="s">
        <v>29762</v>
      </c>
      <c r="B13154" s="30" t="s">
        <v>29763</v>
      </c>
      <c r="C13154" s="30" t="s">
        <v>29764</v>
      </c>
      <c r="D13154" s="30" t="s">
        <v>17</v>
      </c>
      <c r="E13154" s="30" t="s">
        <v>26</v>
      </c>
      <c r="F13154" s="30" t="s">
        <v>27</v>
      </c>
      <c r="G13154" s="30" t="s">
        <v>20</v>
      </c>
      <c r="H13154" s="32">
        <v>6</v>
      </c>
      <c r="I13154" s="30" t="s">
        <v>21</v>
      </c>
      <c r="J13154" s="41">
        <v>44844</v>
      </c>
      <c r="K13154" s="30" t="s">
        <v>22</v>
      </c>
    </row>
    <row r="13155" spans="1:11">
      <c r="A13155" s="33" t="s">
        <v>29765</v>
      </c>
      <c r="B13155" s="33" t="s">
        <v>29766</v>
      </c>
      <c r="C13155" s="33" t="s">
        <v>109</v>
      </c>
      <c r="D13155" s="33" t="s">
        <v>17</v>
      </c>
      <c r="E13155" s="33" t="s">
        <v>67</v>
      </c>
      <c r="F13155" s="33" t="s">
        <v>68</v>
      </c>
      <c r="G13155" s="33" t="s">
        <v>158</v>
      </c>
      <c r="H13155" s="35">
        <v>66</v>
      </c>
      <c r="I13155" s="33" t="s">
        <v>21</v>
      </c>
      <c r="J13155" s="42">
        <v>44746</v>
      </c>
      <c r="K13155" s="33" t="s">
        <v>22</v>
      </c>
    </row>
    <row r="13156" spans="1:11">
      <c r="A13156" s="30" t="s">
        <v>29767</v>
      </c>
      <c r="B13156" s="30" t="s">
        <v>29768</v>
      </c>
      <c r="C13156" s="30" t="s">
        <v>29769</v>
      </c>
      <c r="D13156" s="30" t="s">
        <v>17</v>
      </c>
      <c r="E13156" s="30" t="s">
        <v>18</v>
      </c>
      <c r="F13156" s="30" t="s">
        <v>19</v>
      </c>
      <c r="G13156" s="30" t="s">
        <v>158</v>
      </c>
      <c r="H13156" s="32">
        <v>417</v>
      </c>
      <c r="I13156" s="30" t="s">
        <v>21</v>
      </c>
      <c r="J13156" s="41">
        <v>44792</v>
      </c>
      <c r="K13156" s="30" t="s">
        <v>22</v>
      </c>
    </row>
    <row r="13157" spans="1:11">
      <c r="A13157" s="33" t="s">
        <v>29770</v>
      </c>
      <c r="B13157" s="33" t="s">
        <v>29771</v>
      </c>
      <c r="C13157" s="33" t="s">
        <v>13050</v>
      </c>
      <c r="D13157" s="33" t="s">
        <v>17</v>
      </c>
      <c r="E13157" s="33" t="s">
        <v>67</v>
      </c>
      <c r="F13157" s="33" t="s">
        <v>68</v>
      </c>
      <c r="G13157" s="33" t="s">
        <v>50</v>
      </c>
      <c r="H13157" s="35">
        <v>120</v>
      </c>
      <c r="I13157" s="33" t="s">
        <v>51</v>
      </c>
      <c r="J13157" s="42">
        <v>44736</v>
      </c>
      <c r="K13157" s="33" t="s">
        <v>22</v>
      </c>
    </row>
    <row r="13158" spans="1:11">
      <c r="A13158" s="30" t="s">
        <v>29772</v>
      </c>
      <c r="B13158" s="30" t="s">
        <v>29773</v>
      </c>
      <c r="C13158" s="30" t="s">
        <v>925</v>
      </c>
      <c r="D13158" s="30" t="s">
        <v>17</v>
      </c>
      <c r="E13158" s="30" t="s">
        <v>31</v>
      </c>
      <c r="F13158" s="30" t="s">
        <v>32</v>
      </c>
      <c r="G13158" s="30" t="s">
        <v>112</v>
      </c>
      <c r="H13158" s="32">
        <v>0</v>
      </c>
      <c r="I13158" s="30" t="s">
        <v>21</v>
      </c>
      <c r="J13158" s="41">
        <v>44743</v>
      </c>
      <c r="K13158" s="30" t="s">
        <v>22</v>
      </c>
    </row>
    <row r="13159" spans="1:11">
      <c r="A13159" s="33" t="s">
        <v>29774</v>
      </c>
      <c r="B13159" s="33" t="s">
        <v>29775</v>
      </c>
      <c r="C13159" s="33" t="s">
        <v>130</v>
      </c>
      <c r="D13159" s="33" t="s">
        <v>17</v>
      </c>
      <c r="E13159" s="33" t="s">
        <v>31</v>
      </c>
      <c r="F13159" s="33" t="s">
        <v>32</v>
      </c>
      <c r="G13159" s="33" t="s">
        <v>20</v>
      </c>
      <c r="H13159" s="35">
        <v>61</v>
      </c>
      <c r="I13159" s="33" t="s">
        <v>21</v>
      </c>
      <c r="J13159" s="42">
        <v>44883</v>
      </c>
      <c r="K13159" s="33" t="s">
        <v>22</v>
      </c>
    </row>
    <row r="13160" spans="1:11">
      <c r="A13160" s="30" t="s">
        <v>29776</v>
      </c>
      <c r="B13160" s="30" t="s">
        <v>29777</v>
      </c>
      <c r="C13160" s="30" t="s">
        <v>709</v>
      </c>
      <c r="D13160" s="30" t="s">
        <v>17</v>
      </c>
      <c r="E13160" s="30" t="s">
        <v>67</v>
      </c>
      <c r="F13160" s="30" t="s">
        <v>68</v>
      </c>
      <c r="G13160" s="30" t="s">
        <v>20</v>
      </c>
      <c r="H13160" s="32">
        <v>84</v>
      </c>
      <c r="I13160" s="30" t="s">
        <v>21</v>
      </c>
      <c r="J13160" s="41">
        <v>44664</v>
      </c>
      <c r="K13160" s="30" t="s">
        <v>22</v>
      </c>
    </row>
    <row r="13161" spans="1:11">
      <c r="A13161" s="33" t="s">
        <v>29778</v>
      </c>
      <c r="B13161" s="33" t="s">
        <v>29779</v>
      </c>
      <c r="C13161" s="33" t="s">
        <v>1778</v>
      </c>
      <c r="D13161" s="33" t="s">
        <v>17</v>
      </c>
      <c r="E13161" s="33" t="s">
        <v>18</v>
      </c>
      <c r="F13161" s="33" t="s">
        <v>19</v>
      </c>
      <c r="G13161" s="33" t="s">
        <v>20</v>
      </c>
      <c r="H13161" s="35">
        <v>1155</v>
      </c>
      <c r="I13161" s="33" t="s">
        <v>21</v>
      </c>
      <c r="J13161" s="42">
        <v>44803</v>
      </c>
      <c r="K13161" s="33" t="s">
        <v>22</v>
      </c>
    </row>
    <row r="13162" spans="1:11">
      <c r="A13162" s="30" t="s">
        <v>29780</v>
      </c>
      <c r="B13162" s="30" t="s">
        <v>29781</v>
      </c>
      <c r="C13162" s="30" t="s">
        <v>29782</v>
      </c>
      <c r="D13162" s="30" t="s">
        <v>17</v>
      </c>
      <c r="E13162" s="30" t="s">
        <v>26</v>
      </c>
      <c r="F13162" s="30" t="s">
        <v>27</v>
      </c>
      <c r="G13162" s="30" t="s">
        <v>20</v>
      </c>
      <c r="H13162" s="32">
        <v>140</v>
      </c>
      <c r="I13162" s="30" t="s">
        <v>21</v>
      </c>
      <c r="J13162" s="41">
        <v>44825</v>
      </c>
      <c r="K13162" s="30" t="s">
        <v>22</v>
      </c>
    </row>
    <row r="13163" spans="1:11">
      <c r="A13163" s="33" t="s">
        <v>29783</v>
      </c>
      <c r="B13163" s="33" t="s">
        <v>29784</v>
      </c>
      <c r="C13163" s="33" t="s">
        <v>29785</v>
      </c>
      <c r="D13163" s="33" t="s">
        <v>17</v>
      </c>
      <c r="E13163" s="33" t="s">
        <v>31</v>
      </c>
      <c r="F13163" s="33" t="s">
        <v>32</v>
      </c>
      <c r="G13163" s="33" t="s">
        <v>140</v>
      </c>
      <c r="H13163" s="35">
        <v>60</v>
      </c>
      <c r="I13163" s="33" t="s">
        <v>51</v>
      </c>
      <c r="J13163" s="42">
        <v>44631</v>
      </c>
      <c r="K13163" s="33" t="s">
        <v>22</v>
      </c>
    </row>
    <row r="13164" spans="1:11">
      <c r="A13164" s="30" t="s">
        <v>29786</v>
      </c>
      <c r="B13164" s="30" t="s">
        <v>29787</v>
      </c>
      <c r="C13164" s="30" t="s">
        <v>29788</v>
      </c>
      <c r="D13164" s="30" t="s">
        <v>17</v>
      </c>
      <c r="E13164" s="30" t="s">
        <v>31</v>
      </c>
      <c r="F13164" s="30" t="s">
        <v>32</v>
      </c>
      <c r="G13164" s="30" t="s">
        <v>20</v>
      </c>
      <c r="H13164" s="32">
        <v>47</v>
      </c>
      <c r="I13164" s="30" t="s">
        <v>21</v>
      </c>
      <c r="J13164" s="41">
        <v>44679</v>
      </c>
      <c r="K13164" s="30" t="s">
        <v>22</v>
      </c>
    </row>
    <row r="13165" spans="1:11">
      <c r="A13165" s="33" t="s">
        <v>29789</v>
      </c>
      <c r="B13165" s="33" t="s">
        <v>29790</v>
      </c>
      <c r="C13165" s="33" t="s">
        <v>29791</v>
      </c>
      <c r="D13165" s="33" t="s">
        <v>17</v>
      </c>
      <c r="E13165" s="33" t="s">
        <v>67</v>
      </c>
      <c r="F13165" s="33" t="s">
        <v>68</v>
      </c>
      <c r="G13165" s="33" t="s">
        <v>50</v>
      </c>
      <c r="H13165" s="35">
        <v>78</v>
      </c>
      <c r="I13165" s="33" t="s">
        <v>51</v>
      </c>
      <c r="J13165" s="42">
        <v>44768</v>
      </c>
      <c r="K13165" s="33" t="s">
        <v>22</v>
      </c>
    </row>
    <row r="13166" spans="1:11">
      <c r="A13166" s="30" t="s">
        <v>29792</v>
      </c>
      <c r="B13166" s="30" t="s">
        <v>29793</v>
      </c>
      <c r="C13166" s="30" t="s">
        <v>21264</v>
      </c>
      <c r="D13166" s="30" t="s">
        <v>17</v>
      </c>
      <c r="E13166" s="30" t="s">
        <v>31</v>
      </c>
      <c r="F13166" s="30" t="s">
        <v>32</v>
      </c>
      <c r="G13166" s="30" t="s">
        <v>50</v>
      </c>
      <c r="H13166" s="32">
        <v>150</v>
      </c>
      <c r="I13166" s="30" t="s">
        <v>51</v>
      </c>
      <c r="J13166" s="41">
        <v>44664</v>
      </c>
      <c r="K13166" s="30" t="s">
        <v>22</v>
      </c>
    </row>
    <row r="13167" spans="1:11">
      <c r="A13167" s="33" t="s">
        <v>29794</v>
      </c>
      <c r="B13167" s="33" t="s">
        <v>29795</v>
      </c>
      <c r="C13167" s="33" t="s">
        <v>203</v>
      </c>
      <c r="D13167" s="33" t="s">
        <v>17</v>
      </c>
      <c r="E13167" s="33" t="s">
        <v>31</v>
      </c>
      <c r="F13167" s="33" t="s">
        <v>32</v>
      </c>
      <c r="G13167" s="33" t="s">
        <v>20</v>
      </c>
      <c r="H13167" s="35">
        <v>437</v>
      </c>
      <c r="I13167" s="33" t="s">
        <v>21</v>
      </c>
      <c r="J13167" s="42">
        <v>44742</v>
      </c>
      <c r="K13167" s="33" t="s">
        <v>22</v>
      </c>
    </row>
    <row r="13168" spans="1:11">
      <c r="A13168" s="30" t="s">
        <v>29796</v>
      </c>
      <c r="B13168" s="30" t="s">
        <v>29797</v>
      </c>
      <c r="C13168" s="30" t="s">
        <v>29798</v>
      </c>
      <c r="D13168" s="30" t="s">
        <v>17</v>
      </c>
      <c r="E13168" s="30" t="s">
        <v>67</v>
      </c>
      <c r="F13168" s="30" t="s">
        <v>68</v>
      </c>
      <c r="G13168" s="30" t="s">
        <v>20</v>
      </c>
      <c r="H13168" s="32">
        <v>36</v>
      </c>
      <c r="I13168" s="30" t="s">
        <v>21</v>
      </c>
      <c r="J13168" s="41">
        <v>44692</v>
      </c>
      <c r="K13168" s="30" t="s">
        <v>22</v>
      </c>
    </row>
    <row r="13169" spans="1:11">
      <c r="A13169" s="33" t="s">
        <v>29799</v>
      </c>
      <c r="B13169" s="33" t="s">
        <v>29800</v>
      </c>
      <c r="C13169" s="33" t="s">
        <v>3751</v>
      </c>
      <c r="D13169" s="33" t="s">
        <v>17</v>
      </c>
      <c r="E13169" s="33" t="s">
        <v>18</v>
      </c>
      <c r="F13169" s="33" t="s">
        <v>19</v>
      </c>
      <c r="G13169" s="33" t="s">
        <v>106</v>
      </c>
      <c r="H13169" s="35">
        <v>4</v>
      </c>
      <c r="I13169" s="33" t="s">
        <v>21</v>
      </c>
      <c r="J13169" s="42">
        <v>45287</v>
      </c>
      <c r="K13169" s="33" t="s">
        <v>22</v>
      </c>
    </row>
    <row r="13170" spans="1:11">
      <c r="A13170" s="30" t="s">
        <v>29801</v>
      </c>
      <c r="B13170" s="30" t="s">
        <v>29802</v>
      </c>
      <c r="C13170" s="30" t="s">
        <v>16425</v>
      </c>
      <c r="D13170" s="30" t="s">
        <v>17</v>
      </c>
      <c r="E13170" s="30" t="s">
        <v>31</v>
      </c>
      <c r="F13170" s="30" t="s">
        <v>32</v>
      </c>
      <c r="G13170" s="30" t="s">
        <v>20</v>
      </c>
      <c r="H13170" s="32">
        <v>176</v>
      </c>
      <c r="I13170" s="30" t="s">
        <v>21</v>
      </c>
      <c r="J13170" s="41">
        <v>45169</v>
      </c>
      <c r="K13170" s="30" t="s">
        <v>22</v>
      </c>
    </row>
    <row r="13171" spans="1:11">
      <c r="A13171" s="33" t="s">
        <v>29803</v>
      </c>
      <c r="B13171" s="33" t="s">
        <v>29804</v>
      </c>
      <c r="C13171" s="33" t="s">
        <v>29805</v>
      </c>
      <c r="D13171" s="33" t="s">
        <v>17</v>
      </c>
      <c r="E13171" s="33" t="s">
        <v>26</v>
      </c>
      <c r="F13171" s="33" t="s">
        <v>27</v>
      </c>
      <c r="G13171" s="33" t="s">
        <v>20</v>
      </c>
      <c r="H13171" s="35">
        <v>143</v>
      </c>
      <c r="I13171" s="33" t="s">
        <v>21</v>
      </c>
      <c r="J13171" s="42">
        <v>45261</v>
      </c>
      <c r="K13171" s="33" t="s">
        <v>22</v>
      </c>
    </row>
    <row r="13172" spans="1:11">
      <c r="A13172" s="30" t="s">
        <v>29806</v>
      </c>
      <c r="B13172" s="30" t="s">
        <v>29807</v>
      </c>
      <c r="C13172" s="30" t="s">
        <v>1090</v>
      </c>
      <c r="D13172" s="30" t="s">
        <v>17</v>
      </c>
      <c r="E13172" s="30" t="s">
        <v>31</v>
      </c>
      <c r="F13172" s="30" t="s">
        <v>32</v>
      </c>
      <c r="G13172" s="30" t="s">
        <v>50</v>
      </c>
      <c r="H13172" s="32">
        <v>100</v>
      </c>
      <c r="I13172" s="30" t="s">
        <v>51</v>
      </c>
      <c r="J13172" s="41">
        <v>44939</v>
      </c>
      <c r="K13172" s="30" t="s">
        <v>22</v>
      </c>
    </row>
    <row r="13173" spans="1:11">
      <c r="A13173" s="33" t="s">
        <v>29808</v>
      </c>
      <c r="B13173" s="33" t="s">
        <v>29809</v>
      </c>
      <c r="C13173" s="33" t="s">
        <v>28263</v>
      </c>
      <c r="D13173" s="33" t="s">
        <v>17</v>
      </c>
      <c r="E13173" s="33" t="s">
        <v>26</v>
      </c>
      <c r="F13173" s="33" t="s">
        <v>27</v>
      </c>
      <c r="G13173" s="33" t="s">
        <v>158</v>
      </c>
      <c r="H13173" s="35">
        <v>36</v>
      </c>
      <c r="I13173" s="33" t="s">
        <v>51</v>
      </c>
      <c r="J13173" s="42">
        <v>45039</v>
      </c>
      <c r="K13173" s="33" t="s">
        <v>22</v>
      </c>
    </row>
    <row r="13174" spans="1:11">
      <c r="A13174" s="30" t="s">
        <v>29810</v>
      </c>
      <c r="B13174" s="30" t="s">
        <v>29811</v>
      </c>
      <c r="C13174" s="30" t="s">
        <v>203</v>
      </c>
      <c r="D13174" s="30" t="s">
        <v>17</v>
      </c>
      <c r="E13174" s="30" t="s">
        <v>31</v>
      </c>
      <c r="F13174" s="30" t="s">
        <v>32</v>
      </c>
      <c r="G13174" s="30" t="s">
        <v>158</v>
      </c>
      <c r="H13174" s="32">
        <v>70</v>
      </c>
      <c r="I13174" s="30" t="s">
        <v>51</v>
      </c>
      <c r="J13174" s="41">
        <v>45021</v>
      </c>
      <c r="K13174" s="30" t="s">
        <v>22</v>
      </c>
    </row>
    <row r="13175" spans="1:11">
      <c r="A13175" s="33" t="s">
        <v>29812</v>
      </c>
      <c r="B13175" s="33" t="s">
        <v>29813</v>
      </c>
      <c r="C13175" s="33" t="s">
        <v>11239</v>
      </c>
      <c r="D13175" s="33" t="s">
        <v>17</v>
      </c>
      <c r="E13175" s="33" t="s">
        <v>26</v>
      </c>
      <c r="F13175" s="33" t="s">
        <v>27</v>
      </c>
      <c r="G13175" s="33" t="s">
        <v>112</v>
      </c>
      <c r="H13175" s="35">
        <v>0</v>
      </c>
      <c r="I13175" s="33" t="s">
        <v>21</v>
      </c>
      <c r="J13175" s="42">
        <v>44986</v>
      </c>
      <c r="K13175" s="33" t="s">
        <v>22</v>
      </c>
    </row>
    <row r="13176" spans="1:11">
      <c r="A13176" s="30" t="s">
        <v>29814</v>
      </c>
      <c r="B13176" s="30" t="s">
        <v>29815</v>
      </c>
      <c r="C13176" s="30" t="s">
        <v>3944</v>
      </c>
      <c r="D13176" s="30" t="s">
        <v>17</v>
      </c>
      <c r="E13176" s="30" t="s">
        <v>67</v>
      </c>
      <c r="F13176" s="30" t="s">
        <v>68</v>
      </c>
      <c r="G13176" s="30" t="s">
        <v>140</v>
      </c>
      <c r="H13176" s="32">
        <v>36</v>
      </c>
      <c r="I13176" s="30" t="s">
        <v>51</v>
      </c>
      <c r="J13176" s="41">
        <v>45169</v>
      </c>
      <c r="K13176" s="30" t="s">
        <v>22</v>
      </c>
    </row>
    <row r="13177" spans="1:11">
      <c r="A13177" s="33" t="s">
        <v>29816</v>
      </c>
      <c r="B13177" s="33" t="s">
        <v>29817</v>
      </c>
      <c r="C13177" s="33" t="s">
        <v>1520</v>
      </c>
      <c r="D13177" s="33" t="s">
        <v>17</v>
      </c>
      <c r="E13177" s="33" t="s">
        <v>31</v>
      </c>
      <c r="F13177" s="33" t="s">
        <v>32</v>
      </c>
      <c r="G13177" s="33" t="s">
        <v>158</v>
      </c>
      <c r="H13177" s="35">
        <v>396</v>
      </c>
      <c r="I13177" s="33" t="s">
        <v>51</v>
      </c>
      <c r="J13177" s="42">
        <v>45245</v>
      </c>
      <c r="K13177" s="33" t="s">
        <v>22</v>
      </c>
    </row>
    <row r="13178" spans="1:11">
      <c r="A13178" s="30" t="s">
        <v>29818</v>
      </c>
      <c r="B13178" s="30" t="s">
        <v>29819</v>
      </c>
      <c r="C13178" s="30" t="s">
        <v>149</v>
      </c>
      <c r="D13178" s="30" t="s">
        <v>17</v>
      </c>
      <c r="E13178" s="30" t="s">
        <v>31</v>
      </c>
      <c r="F13178" s="30" t="s">
        <v>32</v>
      </c>
      <c r="G13178" s="30" t="s">
        <v>50</v>
      </c>
      <c r="H13178" s="32">
        <v>126</v>
      </c>
      <c r="I13178" s="30" t="s">
        <v>51</v>
      </c>
      <c r="J13178" s="41">
        <v>45261</v>
      </c>
      <c r="K13178" s="30" t="s">
        <v>22</v>
      </c>
    </row>
    <row r="13179" spans="1:11">
      <c r="A13179" s="33" t="s">
        <v>29820</v>
      </c>
      <c r="B13179" s="33" t="s">
        <v>29821</v>
      </c>
      <c r="C13179" s="33" t="s">
        <v>29458</v>
      </c>
      <c r="D13179" s="33" t="s">
        <v>17</v>
      </c>
      <c r="E13179" s="33" t="s">
        <v>67</v>
      </c>
      <c r="F13179" s="33" t="s">
        <v>68</v>
      </c>
      <c r="G13179" s="33" t="s">
        <v>140</v>
      </c>
      <c r="H13179" s="35">
        <v>137</v>
      </c>
      <c r="I13179" s="33" t="s">
        <v>51</v>
      </c>
      <c r="J13179" s="42">
        <v>44994</v>
      </c>
      <c r="K13179" s="33" t="s">
        <v>22</v>
      </c>
    </row>
    <row r="13180" spans="1:11">
      <c r="A13180" s="30" t="s">
        <v>29822</v>
      </c>
      <c r="B13180" s="30" t="s">
        <v>29823</v>
      </c>
      <c r="C13180" s="30" t="s">
        <v>29824</v>
      </c>
      <c r="D13180" s="30" t="s">
        <v>17</v>
      </c>
      <c r="E13180" s="30" t="s">
        <v>67</v>
      </c>
      <c r="F13180" s="30" t="s">
        <v>68</v>
      </c>
      <c r="G13180" s="30" t="s">
        <v>140</v>
      </c>
      <c r="H13180" s="32">
        <v>116</v>
      </c>
      <c r="I13180" s="30" t="s">
        <v>51</v>
      </c>
      <c r="J13180" s="41">
        <v>45001</v>
      </c>
      <c r="K13180" s="30" t="s">
        <v>22</v>
      </c>
    </row>
    <row r="13181" spans="1:11">
      <c r="A13181" s="33" t="s">
        <v>29825</v>
      </c>
      <c r="B13181" s="33" t="s">
        <v>29826</v>
      </c>
      <c r="C13181" s="33" t="s">
        <v>8151</v>
      </c>
      <c r="D13181" s="33" t="s">
        <v>17</v>
      </c>
      <c r="E13181" s="33" t="s">
        <v>212</v>
      </c>
      <c r="F13181" s="33" t="s">
        <v>213</v>
      </c>
      <c r="G13181" s="33" t="s">
        <v>140</v>
      </c>
      <c r="H13181" s="35">
        <v>100</v>
      </c>
      <c r="I13181" s="33" t="s">
        <v>51</v>
      </c>
      <c r="J13181" s="42">
        <v>45070</v>
      </c>
      <c r="K13181" s="33" t="s">
        <v>22</v>
      </c>
    </row>
    <row r="13182" spans="1:11">
      <c r="A13182" s="30" t="s">
        <v>29827</v>
      </c>
      <c r="B13182" s="30" t="s">
        <v>29828</v>
      </c>
      <c r="C13182" s="30" t="s">
        <v>5338</v>
      </c>
      <c r="D13182" s="30" t="s">
        <v>17</v>
      </c>
      <c r="E13182" s="30" t="s">
        <v>18</v>
      </c>
      <c r="F13182" s="30" t="s">
        <v>19</v>
      </c>
      <c r="G13182" s="30" t="s">
        <v>20</v>
      </c>
      <c r="H13182" s="32">
        <v>112</v>
      </c>
      <c r="I13182" s="30" t="s">
        <v>21</v>
      </c>
      <c r="J13182" s="41">
        <v>44987</v>
      </c>
      <c r="K13182" s="30" t="s">
        <v>22</v>
      </c>
    </row>
    <row r="13183" spans="1:11">
      <c r="A13183" s="33" t="s">
        <v>29829</v>
      </c>
      <c r="B13183" s="33" t="s">
        <v>29830</v>
      </c>
      <c r="C13183" s="33" t="s">
        <v>13471</v>
      </c>
      <c r="D13183" s="33" t="s">
        <v>17</v>
      </c>
      <c r="E13183" s="33" t="s">
        <v>26</v>
      </c>
      <c r="F13183" s="33" t="s">
        <v>27</v>
      </c>
      <c r="G13183" s="33" t="s">
        <v>50</v>
      </c>
      <c r="H13183" s="35">
        <v>60</v>
      </c>
      <c r="I13183" s="33" t="s">
        <v>51</v>
      </c>
      <c r="J13183" s="42">
        <v>45148</v>
      </c>
      <c r="K13183" s="33" t="s">
        <v>22</v>
      </c>
    </row>
    <row r="13184" spans="1:11">
      <c r="A13184" s="30" t="s">
        <v>29831</v>
      </c>
      <c r="B13184" s="30" t="s">
        <v>29832</v>
      </c>
      <c r="C13184" s="30" t="s">
        <v>29833</v>
      </c>
      <c r="D13184" s="30" t="s">
        <v>17</v>
      </c>
      <c r="E13184" s="30" t="s">
        <v>31</v>
      </c>
      <c r="F13184" s="30" t="s">
        <v>32</v>
      </c>
      <c r="G13184" s="30" t="s">
        <v>20</v>
      </c>
      <c r="H13184" s="32">
        <v>67</v>
      </c>
      <c r="I13184" s="30" t="s">
        <v>21</v>
      </c>
      <c r="J13184" s="41">
        <v>45168</v>
      </c>
      <c r="K13184" s="30" t="s">
        <v>22</v>
      </c>
    </row>
    <row r="13185" spans="1:11">
      <c r="A13185" s="33" t="s">
        <v>29834</v>
      </c>
      <c r="B13185" s="33" t="s">
        <v>29835</v>
      </c>
      <c r="C13185" s="33" t="s">
        <v>668</v>
      </c>
      <c r="D13185" s="33" t="s">
        <v>17</v>
      </c>
      <c r="E13185" s="33" t="s">
        <v>31</v>
      </c>
      <c r="F13185" s="33" t="s">
        <v>32</v>
      </c>
      <c r="G13185" s="33" t="s">
        <v>20</v>
      </c>
      <c r="H13185" s="35">
        <v>359</v>
      </c>
      <c r="I13185" s="33" t="s">
        <v>21</v>
      </c>
      <c r="J13185" s="42">
        <v>45259</v>
      </c>
      <c r="K13185" s="33" t="s">
        <v>22</v>
      </c>
    </row>
    <row r="13186" spans="1:11">
      <c r="A13186" s="30" t="s">
        <v>29836</v>
      </c>
      <c r="B13186" s="30" t="s">
        <v>29837</v>
      </c>
      <c r="C13186" s="30" t="s">
        <v>29838</v>
      </c>
      <c r="D13186" s="30" t="s">
        <v>17</v>
      </c>
      <c r="E13186" s="30" t="s">
        <v>26</v>
      </c>
      <c r="F13186" s="30" t="s">
        <v>27</v>
      </c>
      <c r="G13186" s="30" t="s">
        <v>20</v>
      </c>
      <c r="H13186" s="32">
        <v>11</v>
      </c>
      <c r="I13186" s="30" t="s">
        <v>21</v>
      </c>
      <c r="J13186" s="41">
        <v>45202</v>
      </c>
      <c r="K13186" s="30" t="s">
        <v>22</v>
      </c>
    </row>
    <row r="13187" spans="1:11">
      <c r="A13187" s="33" t="s">
        <v>29839</v>
      </c>
      <c r="B13187" s="33" t="s">
        <v>29840</v>
      </c>
      <c r="C13187" s="33" t="s">
        <v>29841</v>
      </c>
      <c r="D13187" s="33" t="s">
        <v>17</v>
      </c>
      <c r="E13187" s="33" t="s">
        <v>45</v>
      </c>
      <c r="F13187" s="33" t="s">
        <v>46</v>
      </c>
      <c r="G13187" s="33" t="s">
        <v>20</v>
      </c>
      <c r="H13187" s="35">
        <v>409</v>
      </c>
      <c r="I13187" s="33" t="s">
        <v>21</v>
      </c>
      <c r="J13187" s="42">
        <v>45274</v>
      </c>
      <c r="K13187" s="33" t="s">
        <v>22</v>
      </c>
    </row>
    <row r="13188" spans="1:11">
      <c r="A13188" s="30" t="s">
        <v>29842</v>
      </c>
      <c r="B13188" s="30" t="s">
        <v>29843</v>
      </c>
      <c r="C13188" s="30" t="s">
        <v>3296</v>
      </c>
      <c r="D13188" s="30" t="s">
        <v>17</v>
      </c>
      <c r="E13188" s="30" t="s">
        <v>26</v>
      </c>
      <c r="F13188" s="30" t="s">
        <v>27</v>
      </c>
      <c r="G13188" s="30" t="s">
        <v>50</v>
      </c>
      <c r="H13188" s="32">
        <v>40</v>
      </c>
      <c r="I13188" s="30" t="s">
        <v>51</v>
      </c>
      <c r="J13188" s="41">
        <v>45010</v>
      </c>
      <c r="K13188" s="30" t="s">
        <v>22</v>
      </c>
    </row>
    <row r="13189" spans="1:11">
      <c r="A13189" s="33" t="s">
        <v>29844</v>
      </c>
      <c r="B13189" s="33" t="s">
        <v>29845</v>
      </c>
      <c r="C13189" s="33" t="s">
        <v>3439</v>
      </c>
      <c r="D13189" s="33" t="s">
        <v>17</v>
      </c>
      <c r="E13189" s="33" t="s">
        <v>31</v>
      </c>
      <c r="F13189" s="33" t="s">
        <v>32</v>
      </c>
      <c r="G13189" s="33" t="s">
        <v>140</v>
      </c>
      <c r="H13189" s="35">
        <v>88</v>
      </c>
      <c r="I13189" s="33" t="s">
        <v>51</v>
      </c>
      <c r="J13189" s="42">
        <v>45226</v>
      </c>
      <c r="K13189" s="33" t="s">
        <v>22</v>
      </c>
    </row>
    <row r="13190" spans="1:11">
      <c r="A13190" s="30" t="s">
        <v>29846</v>
      </c>
      <c r="B13190" s="30" t="s">
        <v>29847</v>
      </c>
      <c r="C13190" s="30" t="s">
        <v>869</v>
      </c>
      <c r="D13190" s="30" t="s">
        <v>17</v>
      </c>
      <c r="E13190" s="30" t="s">
        <v>18</v>
      </c>
      <c r="F13190" s="30" t="s">
        <v>19</v>
      </c>
      <c r="G13190" s="30" t="s">
        <v>20</v>
      </c>
      <c r="H13190" s="32">
        <v>240</v>
      </c>
      <c r="I13190" s="30" t="s">
        <v>21</v>
      </c>
      <c r="J13190" s="41">
        <v>44974</v>
      </c>
      <c r="K13190" s="30" t="s">
        <v>22</v>
      </c>
    </row>
    <row r="13191" spans="1:11">
      <c r="A13191" s="33" t="s">
        <v>29848</v>
      </c>
      <c r="B13191" s="33" t="s">
        <v>29849</v>
      </c>
      <c r="C13191" s="33" t="s">
        <v>29850</v>
      </c>
      <c r="D13191" s="33" t="s">
        <v>17</v>
      </c>
      <c r="E13191" s="33" t="s">
        <v>31</v>
      </c>
      <c r="F13191" s="33" t="s">
        <v>32</v>
      </c>
      <c r="G13191" s="33" t="s">
        <v>106</v>
      </c>
      <c r="H13191" s="35">
        <v>101</v>
      </c>
      <c r="I13191" s="33" t="s">
        <v>21</v>
      </c>
      <c r="J13191" s="42">
        <v>45139</v>
      </c>
      <c r="K13191" s="33" t="s">
        <v>22</v>
      </c>
    </row>
    <row r="13192" spans="1:11">
      <c r="A13192" s="30" t="s">
        <v>29851</v>
      </c>
      <c r="B13192" s="30" t="s">
        <v>29852</v>
      </c>
      <c r="C13192" s="30" t="s">
        <v>6151</v>
      </c>
      <c r="D13192" s="30" t="s">
        <v>17</v>
      </c>
      <c r="E13192" s="30" t="s">
        <v>26</v>
      </c>
      <c r="F13192" s="30" t="s">
        <v>27</v>
      </c>
      <c r="G13192" s="30" t="s">
        <v>106</v>
      </c>
      <c r="H13192" s="32">
        <v>4</v>
      </c>
      <c r="I13192" s="30" t="s">
        <v>21</v>
      </c>
      <c r="J13192" s="41">
        <v>45167</v>
      </c>
      <c r="K13192" s="30" t="s">
        <v>22</v>
      </c>
    </row>
    <row r="13193" spans="1:11">
      <c r="A13193" s="33" t="s">
        <v>29853</v>
      </c>
      <c r="B13193" s="33" t="s">
        <v>29854</v>
      </c>
      <c r="C13193" s="33" t="s">
        <v>2772</v>
      </c>
      <c r="D13193" s="33" t="s">
        <v>17</v>
      </c>
      <c r="E13193" s="33" t="s">
        <v>67</v>
      </c>
      <c r="F13193" s="33" t="s">
        <v>68</v>
      </c>
      <c r="G13193" s="33" t="s">
        <v>140</v>
      </c>
      <c r="H13193" s="35">
        <v>28</v>
      </c>
      <c r="I13193" s="33" t="s">
        <v>51</v>
      </c>
      <c r="J13193" s="42">
        <v>45048</v>
      </c>
      <c r="K13193" s="33" t="s">
        <v>22</v>
      </c>
    </row>
    <row r="13194" spans="1:11">
      <c r="A13194" s="30" t="s">
        <v>29855</v>
      </c>
      <c r="B13194" s="30" t="s">
        <v>29856</v>
      </c>
      <c r="C13194" s="30" t="s">
        <v>96</v>
      </c>
      <c r="D13194" s="30" t="s">
        <v>17</v>
      </c>
      <c r="E13194" s="30" t="s">
        <v>18</v>
      </c>
      <c r="F13194" s="30" t="s">
        <v>19</v>
      </c>
      <c r="G13194" s="30" t="s">
        <v>140</v>
      </c>
      <c r="H13194" s="32">
        <v>318</v>
      </c>
      <c r="I13194" s="30" t="s">
        <v>51</v>
      </c>
      <c r="J13194" s="41">
        <v>45066</v>
      </c>
      <c r="K13194" s="30" t="s">
        <v>22</v>
      </c>
    </row>
    <row r="13195" spans="1:11">
      <c r="A13195" s="33" t="s">
        <v>29857</v>
      </c>
      <c r="B13195" s="33" t="s">
        <v>29858</v>
      </c>
      <c r="C13195" s="33" t="s">
        <v>10199</v>
      </c>
      <c r="D13195" s="33" t="s">
        <v>17</v>
      </c>
      <c r="E13195" s="33" t="s">
        <v>31</v>
      </c>
      <c r="F13195" s="33" t="s">
        <v>32</v>
      </c>
      <c r="G13195" s="33" t="s">
        <v>140</v>
      </c>
      <c r="H13195" s="35">
        <v>56</v>
      </c>
      <c r="I13195" s="33" t="s">
        <v>51</v>
      </c>
      <c r="J13195" s="42">
        <v>45197</v>
      </c>
      <c r="K13195" s="33" t="s">
        <v>22</v>
      </c>
    </row>
    <row r="13196" spans="1:11">
      <c r="A13196" s="30" t="s">
        <v>29859</v>
      </c>
      <c r="B13196" s="30" t="s">
        <v>29860</v>
      </c>
      <c r="C13196" s="30" t="s">
        <v>1024</v>
      </c>
      <c r="D13196" s="30" t="s">
        <v>17</v>
      </c>
      <c r="E13196" s="30" t="s">
        <v>18</v>
      </c>
      <c r="F13196" s="30" t="s">
        <v>19</v>
      </c>
      <c r="G13196" s="30" t="s">
        <v>20</v>
      </c>
      <c r="H13196" s="32">
        <v>8</v>
      </c>
      <c r="I13196" s="30" t="s">
        <v>21</v>
      </c>
      <c r="J13196" s="41">
        <v>45055</v>
      </c>
      <c r="K13196" s="30" t="s">
        <v>22</v>
      </c>
    </row>
    <row r="13197" spans="1:11">
      <c r="A13197" s="33" t="s">
        <v>29861</v>
      </c>
      <c r="B13197" s="33" t="s">
        <v>29862</v>
      </c>
      <c r="C13197" s="33" t="s">
        <v>1764</v>
      </c>
      <c r="D13197" s="33" t="s">
        <v>17</v>
      </c>
      <c r="E13197" s="33" t="s">
        <v>18</v>
      </c>
      <c r="F13197" s="33" t="s">
        <v>19</v>
      </c>
      <c r="G13197" s="33" t="s">
        <v>20</v>
      </c>
      <c r="H13197" s="35">
        <v>100</v>
      </c>
      <c r="I13197" s="33" t="s">
        <v>21</v>
      </c>
      <c r="J13197" s="42">
        <v>44993</v>
      </c>
      <c r="K13197" s="33" t="s">
        <v>22</v>
      </c>
    </row>
    <row r="13198" spans="1:11">
      <c r="A13198" s="30" t="s">
        <v>29863</v>
      </c>
      <c r="B13198" s="30" t="s">
        <v>29864</v>
      </c>
      <c r="C13198" s="30" t="s">
        <v>15741</v>
      </c>
      <c r="D13198" s="30" t="s">
        <v>17</v>
      </c>
      <c r="E13198" s="30" t="s">
        <v>26</v>
      </c>
      <c r="F13198" s="30" t="s">
        <v>27</v>
      </c>
      <c r="G13198" s="30" t="s">
        <v>140</v>
      </c>
      <c r="H13198" s="32">
        <v>72</v>
      </c>
      <c r="I13198" s="30" t="s">
        <v>51</v>
      </c>
      <c r="J13198" s="41">
        <v>45145</v>
      </c>
      <c r="K13198" s="30" t="s">
        <v>22</v>
      </c>
    </row>
    <row r="13199" spans="1:11">
      <c r="A13199" s="33" t="s">
        <v>29865</v>
      </c>
      <c r="B13199" s="33" t="s">
        <v>29866</v>
      </c>
      <c r="C13199" s="33" t="s">
        <v>10661</v>
      </c>
      <c r="D13199" s="33" t="s">
        <v>17</v>
      </c>
      <c r="E13199" s="33" t="s">
        <v>31</v>
      </c>
      <c r="F13199" s="33" t="s">
        <v>32</v>
      </c>
      <c r="G13199" s="33" t="s">
        <v>20</v>
      </c>
      <c r="H13199" s="35">
        <v>129</v>
      </c>
      <c r="I13199" s="33" t="s">
        <v>21</v>
      </c>
      <c r="J13199" s="42">
        <v>45028</v>
      </c>
      <c r="K13199" s="33" t="s">
        <v>22</v>
      </c>
    </row>
    <row r="13200" spans="1:11">
      <c r="A13200" s="30" t="s">
        <v>29867</v>
      </c>
      <c r="B13200" s="30" t="s">
        <v>29868</v>
      </c>
      <c r="C13200" s="30" t="s">
        <v>12031</v>
      </c>
      <c r="D13200" s="30" t="s">
        <v>17</v>
      </c>
      <c r="E13200" s="30" t="s">
        <v>26</v>
      </c>
      <c r="F13200" s="30" t="s">
        <v>27</v>
      </c>
      <c r="G13200" s="30" t="s">
        <v>20</v>
      </c>
      <c r="H13200" s="32">
        <v>16</v>
      </c>
      <c r="I13200" s="30" t="s">
        <v>21</v>
      </c>
      <c r="J13200" s="41">
        <v>45258</v>
      </c>
      <c r="K13200" s="30" t="s">
        <v>22</v>
      </c>
    </row>
    <row r="13201" spans="1:11">
      <c r="A13201" s="33" t="s">
        <v>29869</v>
      </c>
      <c r="B13201" s="33" t="s">
        <v>29870</v>
      </c>
      <c r="C13201" s="33" t="s">
        <v>29871</v>
      </c>
      <c r="D13201" s="33" t="s">
        <v>17</v>
      </c>
      <c r="E13201" s="33" t="s">
        <v>18</v>
      </c>
      <c r="F13201" s="33" t="s">
        <v>19</v>
      </c>
      <c r="G13201" s="33" t="s">
        <v>50</v>
      </c>
      <c r="H13201" s="35">
        <v>1400</v>
      </c>
      <c r="I13201" s="33" t="s">
        <v>51</v>
      </c>
      <c r="J13201" s="42">
        <v>45148</v>
      </c>
      <c r="K13201" s="33" t="s">
        <v>22</v>
      </c>
    </row>
    <row r="13202" spans="1:11">
      <c r="A13202" s="30" t="s">
        <v>29872</v>
      </c>
      <c r="B13202" s="30" t="s">
        <v>29873</v>
      </c>
      <c r="C13202" s="30" t="s">
        <v>5246</v>
      </c>
      <c r="D13202" s="30" t="s">
        <v>17</v>
      </c>
      <c r="E13202" s="30" t="s">
        <v>26</v>
      </c>
      <c r="F13202" s="30" t="s">
        <v>27</v>
      </c>
      <c r="G13202" s="30" t="s">
        <v>20</v>
      </c>
      <c r="H13202" s="32">
        <v>56</v>
      </c>
      <c r="I13202" s="30" t="s">
        <v>21</v>
      </c>
      <c r="J13202" s="41">
        <v>45170</v>
      </c>
      <c r="K13202" s="30" t="s">
        <v>22</v>
      </c>
    </row>
    <row r="13203" spans="1:11">
      <c r="A13203" s="33" t="s">
        <v>29874</v>
      </c>
      <c r="B13203" s="33" t="s">
        <v>29875</v>
      </c>
      <c r="C13203" s="33" t="s">
        <v>2978</v>
      </c>
      <c r="D13203" s="33" t="s">
        <v>17</v>
      </c>
      <c r="E13203" s="33" t="s">
        <v>26</v>
      </c>
      <c r="F13203" s="33" t="s">
        <v>27</v>
      </c>
      <c r="G13203" s="33" t="s">
        <v>50</v>
      </c>
      <c r="H13203" s="35">
        <v>87</v>
      </c>
      <c r="I13203" s="33" t="s">
        <v>51</v>
      </c>
      <c r="J13203" s="42">
        <v>45044</v>
      </c>
      <c r="K13203" s="33" t="s">
        <v>22</v>
      </c>
    </row>
    <row r="13204" spans="1:11">
      <c r="A13204" s="30" t="s">
        <v>29876</v>
      </c>
      <c r="B13204" s="30" t="s">
        <v>29877</v>
      </c>
      <c r="C13204" s="30" t="s">
        <v>9725</v>
      </c>
      <c r="D13204" s="30" t="s">
        <v>17</v>
      </c>
      <c r="E13204" s="30" t="s">
        <v>45</v>
      </c>
      <c r="F13204" s="30" t="s">
        <v>46</v>
      </c>
      <c r="G13204" s="30" t="s">
        <v>50</v>
      </c>
      <c r="H13204" s="32">
        <v>1336</v>
      </c>
      <c r="I13204" s="30" t="s">
        <v>51</v>
      </c>
      <c r="J13204" s="41">
        <v>44930</v>
      </c>
      <c r="K13204" s="30" t="s">
        <v>22</v>
      </c>
    </row>
    <row r="13205" spans="1:11">
      <c r="A13205" s="33" t="s">
        <v>29878</v>
      </c>
      <c r="B13205" s="33" t="s">
        <v>29879</v>
      </c>
      <c r="C13205" s="33" t="s">
        <v>1136</v>
      </c>
      <c r="D13205" s="33" t="s">
        <v>17</v>
      </c>
      <c r="E13205" s="33" t="s">
        <v>18</v>
      </c>
      <c r="F13205" s="33" t="s">
        <v>19</v>
      </c>
      <c r="G13205" s="33" t="s">
        <v>20</v>
      </c>
      <c r="H13205" s="35">
        <v>1528</v>
      </c>
      <c r="I13205" s="33" t="s">
        <v>21</v>
      </c>
      <c r="J13205" s="42">
        <v>45012</v>
      </c>
      <c r="K13205" s="33" t="s">
        <v>22</v>
      </c>
    </row>
    <row r="13206" spans="1:11">
      <c r="A13206" s="30" t="s">
        <v>29880</v>
      </c>
      <c r="B13206" s="30" t="s">
        <v>29881</v>
      </c>
      <c r="C13206" s="30" t="s">
        <v>29882</v>
      </c>
      <c r="D13206" s="30" t="s">
        <v>17</v>
      </c>
      <c r="E13206" s="30" t="s">
        <v>26</v>
      </c>
      <c r="F13206" s="30" t="s">
        <v>27</v>
      </c>
      <c r="G13206" s="30" t="s">
        <v>20</v>
      </c>
      <c r="H13206" s="32">
        <v>240</v>
      </c>
      <c r="I13206" s="30" t="s">
        <v>21</v>
      </c>
      <c r="J13206" s="41">
        <v>45249</v>
      </c>
      <c r="K13206" s="30" t="s">
        <v>22</v>
      </c>
    </row>
    <row r="13207" spans="1:11">
      <c r="A13207" s="33" t="s">
        <v>29883</v>
      </c>
      <c r="B13207" s="33" t="s">
        <v>29884</v>
      </c>
      <c r="C13207" s="33" t="s">
        <v>190</v>
      </c>
      <c r="D13207" s="33" t="s">
        <v>17</v>
      </c>
      <c r="E13207" s="33" t="s">
        <v>18</v>
      </c>
      <c r="F13207" s="33" t="s">
        <v>19</v>
      </c>
      <c r="G13207" s="33" t="s">
        <v>140</v>
      </c>
      <c r="H13207" s="35">
        <v>5500</v>
      </c>
      <c r="I13207" s="33" t="s">
        <v>51</v>
      </c>
      <c r="J13207" s="42">
        <v>45204</v>
      </c>
      <c r="K13207" s="33" t="s">
        <v>22</v>
      </c>
    </row>
    <row r="13208" spans="1:11">
      <c r="A13208" s="30" t="s">
        <v>29885</v>
      </c>
      <c r="B13208" s="30" t="s">
        <v>29886</v>
      </c>
      <c r="C13208" s="30" t="s">
        <v>1245</v>
      </c>
      <c r="D13208" s="30" t="s">
        <v>17</v>
      </c>
      <c r="E13208" s="30" t="s">
        <v>26</v>
      </c>
      <c r="F13208" s="30" t="s">
        <v>27</v>
      </c>
      <c r="G13208" s="30" t="s">
        <v>20</v>
      </c>
      <c r="H13208" s="32">
        <v>10</v>
      </c>
      <c r="I13208" s="30" t="s">
        <v>21</v>
      </c>
      <c r="J13208" s="41">
        <v>45009</v>
      </c>
      <c r="K13208" s="30" t="s">
        <v>22</v>
      </c>
    </row>
    <row r="13209" spans="1:11">
      <c r="A13209" s="33" t="s">
        <v>29887</v>
      </c>
      <c r="B13209" s="33" t="s">
        <v>29888</v>
      </c>
      <c r="C13209" s="33" t="s">
        <v>109</v>
      </c>
      <c r="D13209" s="33" t="s">
        <v>17</v>
      </c>
      <c r="E13209" s="33" t="s">
        <v>31</v>
      </c>
      <c r="F13209" s="33" t="s">
        <v>32</v>
      </c>
      <c r="G13209" s="33" t="s">
        <v>20</v>
      </c>
      <c r="H13209" s="35">
        <v>82</v>
      </c>
      <c r="I13209" s="33" t="s">
        <v>21</v>
      </c>
      <c r="J13209" s="42">
        <v>45077</v>
      </c>
      <c r="K13209" s="33" t="s">
        <v>22</v>
      </c>
    </row>
    <row r="13210" spans="1:11">
      <c r="A13210" s="30" t="s">
        <v>29889</v>
      </c>
      <c r="B13210" s="30" t="s">
        <v>29890</v>
      </c>
      <c r="C13210" s="30" t="s">
        <v>9952</v>
      </c>
      <c r="D13210" s="30" t="s">
        <v>17</v>
      </c>
      <c r="E13210" s="30" t="s">
        <v>18</v>
      </c>
      <c r="F13210" s="30" t="s">
        <v>19</v>
      </c>
      <c r="G13210" s="30" t="s">
        <v>140</v>
      </c>
      <c r="H13210" s="32">
        <v>390</v>
      </c>
      <c r="I13210" s="30" t="s">
        <v>51</v>
      </c>
      <c r="J13210" s="41">
        <v>45247</v>
      </c>
      <c r="K13210" s="30" t="s">
        <v>22</v>
      </c>
    </row>
    <row r="13211" spans="1:11">
      <c r="A13211" s="33" t="s">
        <v>29891</v>
      </c>
      <c r="B13211" s="33" t="s">
        <v>29892</v>
      </c>
      <c r="C13211" s="33" t="s">
        <v>318</v>
      </c>
      <c r="D13211" s="33" t="s">
        <v>17</v>
      </c>
      <c r="E13211" s="33" t="s">
        <v>18</v>
      </c>
      <c r="F13211" s="33" t="s">
        <v>19</v>
      </c>
      <c r="G13211" s="33" t="s">
        <v>140</v>
      </c>
      <c r="H13211" s="35">
        <v>750</v>
      </c>
      <c r="I13211" s="33" t="s">
        <v>51</v>
      </c>
      <c r="J13211" s="42">
        <v>45246</v>
      </c>
      <c r="K13211" s="33" t="s">
        <v>22</v>
      </c>
    </row>
    <row r="13212" spans="1:11">
      <c r="A13212" s="30" t="s">
        <v>29893</v>
      </c>
      <c r="B13212" s="30" t="s">
        <v>29894</v>
      </c>
      <c r="C13212" s="30" t="s">
        <v>29895</v>
      </c>
      <c r="D13212" s="30" t="s">
        <v>17</v>
      </c>
      <c r="E13212" s="30" t="s">
        <v>45</v>
      </c>
      <c r="F13212" s="30" t="s">
        <v>46</v>
      </c>
      <c r="G13212" s="30" t="s">
        <v>50</v>
      </c>
      <c r="H13212" s="32">
        <v>116</v>
      </c>
      <c r="I13212" s="30" t="s">
        <v>51</v>
      </c>
      <c r="J13212" s="41">
        <v>45252</v>
      </c>
      <c r="K13212" s="30" t="s">
        <v>22</v>
      </c>
    </row>
    <row r="13213" spans="1:11">
      <c r="A13213" s="33" t="s">
        <v>29896</v>
      </c>
      <c r="B13213" s="33" t="s">
        <v>29897</v>
      </c>
      <c r="C13213" s="33" t="s">
        <v>23453</v>
      </c>
      <c r="D13213" s="33" t="s">
        <v>17</v>
      </c>
      <c r="E13213" s="33" t="s">
        <v>26</v>
      </c>
      <c r="F13213" s="33" t="s">
        <v>27</v>
      </c>
      <c r="G13213" s="33" t="s">
        <v>140</v>
      </c>
      <c r="H13213" s="35">
        <v>96</v>
      </c>
      <c r="I13213" s="33" t="s">
        <v>51</v>
      </c>
      <c r="J13213" s="42">
        <v>45225</v>
      </c>
      <c r="K13213" s="33" t="s">
        <v>22</v>
      </c>
    </row>
    <row r="13214" spans="1:11">
      <c r="A13214" s="30" t="s">
        <v>29898</v>
      </c>
      <c r="B13214" s="30" t="s">
        <v>29899</v>
      </c>
      <c r="C13214" s="30" t="s">
        <v>374</v>
      </c>
      <c r="D13214" s="30" t="s">
        <v>17</v>
      </c>
      <c r="E13214" s="30" t="s">
        <v>26</v>
      </c>
      <c r="F13214" s="30" t="s">
        <v>27</v>
      </c>
      <c r="G13214" s="30" t="s">
        <v>20</v>
      </c>
      <c r="H13214" s="32">
        <v>18</v>
      </c>
      <c r="I13214" s="30" t="s">
        <v>21</v>
      </c>
      <c r="J13214" s="41">
        <v>45078</v>
      </c>
      <c r="K13214" s="30" t="s">
        <v>22</v>
      </c>
    </row>
    <row r="13215" spans="1:11">
      <c r="A13215" s="33" t="s">
        <v>29900</v>
      </c>
      <c r="B13215" s="33" t="s">
        <v>29901</v>
      </c>
      <c r="C13215" s="33" t="s">
        <v>190</v>
      </c>
      <c r="D13215" s="33" t="s">
        <v>17</v>
      </c>
      <c r="E13215" s="33" t="s">
        <v>26</v>
      </c>
      <c r="F13215" s="33" t="s">
        <v>27</v>
      </c>
      <c r="G13215" s="33" t="s">
        <v>20</v>
      </c>
      <c r="H13215" s="35">
        <v>120</v>
      </c>
      <c r="I13215" s="33" t="s">
        <v>21</v>
      </c>
      <c r="J13215" s="42">
        <v>45250</v>
      </c>
      <c r="K13215" s="33" t="s">
        <v>22</v>
      </c>
    </row>
    <row r="13216" spans="1:11">
      <c r="A13216" s="30" t="s">
        <v>29902</v>
      </c>
      <c r="B13216" s="30" t="s">
        <v>29903</v>
      </c>
      <c r="C13216" s="30" t="s">
        <v>1383</v>
      </c>
      <c r="D13216" s="30" t="s">
        <v>17</v>
      </c>
      <c r="E13216" s="30" t="s">
        <v>26</v>
      </c>
      <c r="F13216" s="30" t="s">
        <v>27</v>
      </c>
      <c r="G13216" s="30" t="s">
        <v>140</v>
      </c>
      <c r="H13216" s="32">
        <v>56</v>
      </c>
      <c r="I13216" s="30" t="s">
        <v>51</v>
      </c>
      <c r="J13216" s="41">
        <v>45166</v>
      </c>
      <c r="K13216" s="30" t="s">
        <v>22</v>
      </c>
    </row>
    <row r="13217" spans="1:11">
      <c r="A13217" s="33" t="s">
        <v>29904</v>
      </c>
      <c r="B13217" s="33" t="s">
        <v>29905</v>
      </c>
      <c r="C13217" s="33" t="s">
        <v>28178</v>
      </c>
      <c r="D13217" s="33" t="s">
        <v>17</v>
      </c>
      <c r="E13217" s="33" t="s">
        <v>31</v>
      </c>
      <c r="F13217" s="33" t="s">
        <v>32</v>
      </c>
      <c r="G13217" s="33" t="s">
        <v>20</v>
      </c>
      <c r="H13217" s="35">
        <v>220</v>
      </c>
      <c r="I13217" s="33" t="s">
        <v>21</v>
      </c>
      <c r="J13217" s="42">
        <v>45224</v>
      </c>
      <c r="K13217" s="33" t="s">
        <v>22</v>
      </c>
    </row>
    <row r="13218" spans="1:11">
      <c r="A13218" s="30" t="s">
        <v>29906</v>
      </c>
      <c r="B13218" s="30" t="s">
        <v>29907</v>
      </c>
      <c r="C13218" s="30" t="s">
        <v>2753</v>
      </c>
      <c r="D13218" s="30" t="s">
        <v>17</v>
      </c>
      <c r="E13218" s="30" t="s">
        <v>45</v>
      </c>
      <c r="F13218" s="30" t="s">
        <v>46</v>
      </c>
      <c r="G13218" s="30" t="s">
        <v>158</v>
      </c>
      <c r="H13218" s="32">
        <v>178</v>
      </c>
      <c r="I13218" s="30" t="s">
        <v>21</v>
      </c>
      <c r="J13218" s="41">
        <v>45033</v>
      </c>
      <c r="K13218" s="30" t="s">
        <v>22</v>
      </c>
    </row>
    <row r="13219" spans="1:11">
      <c r="A13219" s="33" t="s">
        <v>29908</v>
      </c>
      <c r="B13219" s="33" t="s">
        <v>29909</v>
      </c>
      <c r="C13219" s="33" t="s">
        <v>29910</v>
      </c>
      <c r="D13219" s="33" t="s">
        <v>17</v>
      </c>
      <c r="E13219" s="33" t="s">
        <v>31</v>
      </c>
      <c r="F13219" s="33" t="s">
        <v>32</v>
      </c>
      <c r="G13219" s="33" t="s">
        <v>106</v>
      </c>
      <c r="H13219" s="35">
        <v>21</v>
      </c>
      <c r="I13219" s="33" t="s">
        <v>21</v>
      </c>
      <c r="J13219" s="42">
        <v>45260</v>
      </c>
      <c r="K13219" s="33" t="s">
        <v>22</v>
      </c>
    </row>
    <row r="13220" spans="1:11">
      <c r="A13220" s="30" t="s">
        <v>29911</v>
      </c>
      <c r="B13220" s="30" t="s">
        <v>29912</v>
      </c>
      <c r="C13220" s="30" t="s">
        <v>29913</v>
      </c>
      <c r="D13220" s="30" t="s">
        <v>17</v>
      </c>
      <c r="E13220" s="30" t="s">
        <v>31</v>
      </c>
      <c r="F13220" s="30" t="s">
        <v>32</v>
      </c>
      <c r="G13220" s="30" t="s">
        <v>50</v>
      </c>
      <c r="H13220" s="32">
        <v>132</v>
      </c>
      <c r="I13220" s="30" t="s">
        <v>51</v>
      </c>
      <c r="J13220" s="41">
        <v>45247</v>
      </c>
      <c r="K13220" s="30" t="s">
        <v>22</v>
      </c>
    </row>
    <row r="13221" spans="1:11">
      <c r="A13221" s="33" t="s">
        <v>29914</v>
      </c>
      <c r="B13221" s="33" t="s">
        <v>29915</v>
      </c>
      <c r="C13221" s="33" t="s">
        <v>2196</v>
      </c>
      <c r="D13221" s="33" t="s">
        <v>17</v>
      </c>
      <c r="E13221" s="33" t="s">
        <v>31</v>
      </c>
      <c r="F13221" s="33" t="s">
        <v>32</v>
      </c>
      <c r="G13221" s="33" t="s">
        <v>20</v>
      </c>
      <c r="H13221" s="35">
        <v>61</v>
      </c>
      <c r="I13221" s="33" t="s">
        <v>21</v>
      </c>
      <c r="J13221" s="42">
        <v>44970</v>
      </c>
      <c r="K13221" s="33" t="s">
        <v>22</v>
      </c>
    </row>
    <row r="13222" spans="1:11">
      <c r="A13222" s="30" t="s">
        <v>29916</v>
      </c>
      <c r="B13222" s="30" t="s">
        <v>29917</v>
      </c>
      <c r="C13222" s="30" t="s">
        <v>11248</v>
      </c>
      <c r="D13222" s="30" t="s">
        <v>17</v>
      </c>
      <c r="E13222" s="30" t="s">
        <v>26</v>
      </c>
      <c r="F13222" s="30" t="s">
        <v>27</v>
      </c>
      <c r="G13222" s="30" t="s">
        <v>20</v>
      </c>
      <c r="H13222" s="32">
        <v>6</v>
      </c>
      <c r="I13222" s="30" t="s">
        <v>21</v>
      </c>
      <c r="J13222" s="41">
        <v>45161</v>
      </c>
      <c r="K13222" s="30" t="s">
        <v>22</v>
      </c>
    </row>
    <row r="13223" spans="1:11">
      <c r="A13223" s="33" t="s">
        <v>29918</v>
      </c>
      <c r="B13223" s="33" t="s">
        <v>29919</v>
      </c>
      <c r="C13223" s="33" t="s">
        <v>29920</v>
      </c>
      <c r="D13223" s="33" t="s">
        <v>17</v>
      </c>
      <c r="E13223" s="33" t="s">
        <v>26</v>
      </c>
      <c r="F13223" s="33" t="s">
        <v>27</v>
      </c>
      <c r="G13223" s="33" t="s">
        <v>20</v>
      </c>
      <c r="H13223" s="35">
        <v>16</v>
      </c>
      <c r="I13223" s="33" t="s">
        <v>21</v>
      </c>
      <c r="J13223" s="42">
        <v>45051</v>
      </c>
      <c r="K13223" s="33" t="s">
        <v>22</v>
      </c>
    </row>
    <row r="13224" spans="1:11">
      <c r="A13224" s="30" t="s">
        <v>29921</v>
      </c>
      <c r="B13224" s="30" t="s">
        <v>29922</v>
      </c>
      <c r="C13224" s="30" t="s">
        <v>136</v>
      </c>
      <c r="D13224" s="30" t="s">
        <v>17</v>
      </c>
      <c r="E13224" s="30" t="s">
        <v>31</v>
      </c>
      <c r="F13224" s="30" t="s">
        <v>32</v>
      </c>
      <c r="G13224" s="30" t="s">
        <v>140</v>
      </c>
      <c r="H13224" s="32">
        <v>1481</v>
      </c>
      <c r="I13224" s="30" t="s">
        <v>51</v>
      </c>
      <c r="J13224" s="41">
        <v>45247</v>
      </c>
      <c r="K13224" s="30" t="s">
        <v>22</v>
      </c>
    </row>
    <row r="13225" spans="1:11">
      <c r="A13225" s="33" t="s">
        <v>29923</v>
      </c>
      <c r="B13225" s="33" t="s">
        <v>29924</v>
      </c>
      <c r="C13225" s="33" t="s">
        <v>29925</v>
      </c>
      <c r="D13225" s="33" t="s">
        <v>17</v>
      </c>
      <c r="E13225" s="33" t="s">
        <v>26</v>
      </c>
      <c r="F13225" s="33" t="s">
        <v>27</v>
      </c>
      <c r="G13225" s="33" t="s">
        <v>20</v>
      </c>
      <c r="H13225" s="35">
        <v>64</v>
      </c>
      <c r="I13225" s="33" t="s">
        <v>21</v>
      </c>
      <c r="J13225" s="42">
        <v>45007</v>
      </c>
      <c r="K13225" s="33" t="s">
        <v>22</v>
      </c>
    </row>
    <row r="13226" spans="1:11">
      <c r="A13226" s="30" t="s">
        <v>29926</v>
      </c>
      <c r="B13226" s="30" t="s">
        <v>29927</v>
      </c>
      <c r="C13226" s="30" t="s">
        <v>14842</v>
      </c>
      <c r="D13226" s="30" t="s">
        <v>17</v>
      </c>
      <c r="E13226" s="30" t="s">
        <v>31</v>
      </c>
      <c r="F13226" s="30" t="s">
        <v>32</v>
      </c>
      <c r="G13226" s="30" t="s">
        <v>140</v>
      </c>
      <c r="H13226" s="32">
        <v>40</v>
      </c>
      <c r="I13226" s="30" t="s">
        <v>51</v>
      </c>
      <c r="J13226" s="41">
        <v>45175</v>
      </c>
      <c r="K13226" s="30" t="s">
        <v>22</v>
      </c>
    </row>
    <row r="13227" spans="1:11">
      <c r="A13227" s="33" t="s">
        <v>29928</v>
      </c>
      <c r="B13227" s="33" t="s">
        <v>29929</v>
      </c>
      <c r="C13227" s="33" t="s">
        <v>29930</v>
      </c>
      <c r="D13227" s="33" t="s">
        <v>17</v>
      </c>
      <c r="E13227" s="33" t="s">
        <v>26</v>
      </c>
      <c r="F13227" s="33" t="s">
        <v>27</v>
      </c>
      <c r="G13227" s="33" t="s">
        <v>20</v>
      </c>
      <c r="H13227" s="35">
        <v>35</v>
      </c>
      <c r="I13227" s="33" t="s">
        <v>21</v>
      </c>
      <c r="J13227" s="42">
        <v>45229</v>
      </c>
      <c r="K13227" s="33" t="s">
        <v>22</v>
      </c>
    </row>
    <row r="13228" spans="1:11">
      <c r="A13228" s="30" t="s">
        <v>29931</v>
      </c>
      <c r="B13228" s="30" t="s">
        <v>29932</v>
      </c>
      <c r="C13228" s="30" t="s">
        <v>29933</v>
      </c>
      <c r="D13228" s="30" t="s">
        <v>17</v>
      </c>
      <c r="E13228" s="30" t="s">
        <v>26</v>
      </c>
      <c r="F13228" s="30" t="s">
        <v>27</v>
      </c>
      <c r="G13228" s="30" t="s">
        <v>20</v>
      </c>
      <c r="H13228" s="32">
        <v>17</v>
      </c>
      <c r="I13228" s="30" t="s">
        <v>21</v>
      </c>
      <c r="J13228" s="41">
        <v>45212</v>
      </c>
      <c r="K13228" s="30" t="s">
        <v>22</v>
      </c>
    </row>
    <row r="13229" spans="1:11">
      <c r="A13229" s="33" t="s">
        <v>29934</v>
      </c>
      <c r="B13229" s="33" t="s">
        <v>29935</v>
      </c>
      <c r="C13229" s="33" t="s">
        <v>29936</v>
      </c>
      <c r="D13229" s="33" t="s">
        <v>17</v>
      </c>
      <c r="E13229" s="33" t="s">
        <v>67</v>
      </c>
      <c r="F13229" s="33" t="s">
        <v>68</v>
      </c>
      <c r="G13229" s="33" t="s">
        <v>20</v>
      </c>
      <c r="H13229" s="35">
        <v>22</v>
      </c>
      <c r="I13229" s="33" t="s">
        <v>21</v>
      </c>
      <c r="J13229" s="42">
        <v>45121</v>
      </c>
      <c r="K13229" s="33" t="s">
        <v>22</v>
      </c>
    </row>
    <row r="13230" spans="1:11">
      <c r="A13230" s="30" t="s">
        <v>29937</v>
      </c>
      <c r="B13230" s="30" t="s">
        <v>29938</v>
      </c>
      <c r="C13230" s="30" t="s">
        <v>23842</v>
      </c>
      <c r="D13230" s="30" t="s">
        <v>17</v>
      </c>
      <c r="E13230" s="30" t="s">
        <v>212</v>
      </c>
      <c r="F13230" s="30" t="s">
        <v>213</v>
      </c>
      <c r="G13230" s="30" t="s">
        <v>20</v>
      </c>
      <c r="H13230" s="32">
        <v>46</v>
      </c>
      <c r="I13230" s="30" t="s">
        <v>21</v>
      </c>
      <c r="J13230" s="41">
        <v>45022</v>
      </c>
      <c r="K13230" s="30" t="s">
        <v>22</v>
      </c>
    </row>
    <row r="13231" spans="1:11">
      <c r="A13231" s="33" t="s">
        <v>29939</v>
      </c>
      <c r="B13231" s="33" t="s">
        <v>29940</v>
      </c>
      <c r="C13231" s="33" t="s">
        <v>25976</v>
      </c>
      <c r="D13231" s="33" t="s">
        <v>17</v>
      </c>
      <c r="E13231" s="33" t="s">
        <v>26</v>
      </c>
      <c r="F13231" s="33" t="s">
        <v>27</v>
      </c>
      <c r="G13231" s="33" t="s">
        <v>140</v>
      </c>
      <c r="H13231" s="35">
        <v>52</v>
      </c>
      <c r="I13231" s="33" t="s">
        <v>51</v>
      </c>
      <c r="J13231" s="42">
        <v>44987</v>
      </c>
      <c r="K13231" s="33" t="s">
        <v>22</v>
      </c>
    </row>
    <row r="13232" spans="1:11">
      <c r="A13232" s="30" t="s">
        <v>29941</v>
      </c>
      <c r="B13232" s="30" t="s">
        <v>29942</v>
      </c>
      <c r="C13232" s="30" t="s">
        <v>29943</v>
      </c>
      <c r="D13232" s="30" t="s">
        <v>17</v>
      </c>
      <c r="E13232" s="30" t="s">
        <v>26</v>
      </c>
      <c r="F13232" s="30" t="s">
        <v>27</v>
      </c>
      <c r="G13232" s="30" t="s">
        <v>20</v>
      </c>
      <c r="H13232" s="32">
        <v>36</v>
      </c>
      <c r="I13232" s="30" t="s">
        <v>21</v>
      </c>
      <c r="J13232" s="41">
        <v>45078</v>
      </c>
      <c r="K13232" s="30" t="s">
        <v>22</v>
      </c>
    </row>
    <row r="13233" spans="1:11">
      <c r="A13233" s="33" t="s">
        <v>29944</v>
      </c>
      <c r="B13233" s="33" t="s">
        <v>29945</v>
      </c>
      <c r="C13233" s="33" t="s">
        <v>3296</v>
      </c>
      <c r="D13233" s="33" t="s">
        <v>17</v>
      </c>
      <c r="E13233" s="33" t="s">
        <v>26</v>
      </c>
      <c r="F13233" s="33" t="s">
        <v>27</v>
      </c>
      <c r="G13233" s="33" t="s">
        <v>50</v>
      </c>
      <c r="H13233" s="35">
        <v>40</v>
      </c>
      <c r="I13233" s="33" t="s">
        <v>51</v>
      </c>
      <c r="J13233" s="42">
        <v>45003</v>
      </c>
      <c r="K13233" s="33" t="s">
        <v>22</v>
      </c>
    </row>
    <row r="13234" spans="1:11">
      <c r="A13234" s="30" t="s">
        <v>29946</v>
      </c>
      <c r="B13234" s="30" t="s">
        <v>29947</v>
      </c>
      <c r="C13234" s="30" t="s">
        <v>3084</v>
      </c>
      <c r="D13234" s="30" t="s">
        <v>17</v>
      </c>
      <c r="E13234" s="30" t="s">
        <v>26</v>
      </c>
      <c r="F13234" s="30" t="s">
        <v>27</v>
      </c>
      <c r="G13234" s="30" t="s">
        <v>50</v>
      </c>
      <c r="H13234" s="32">
        <v>330</v>
      </c>
      <c r="I13234" s="30" t="s">
        <v>51</v>
      </c>
      <c r="J13234" s="41">
        <v>45202</v>
      </c>
      <c r="K13234" s="30" t="s">
        <v>22</v>
      </c>
    </row>
    <row r="13235" spans="1:11">
      <c r="A13235" s="33" t="s">
        <v>29948</v>
      </c>
      <c r="B13235" s="33" t="s">
        <v>29949</v>
      </c>
      <c r="C13235" s="33" t="s">
        <v>29950</v>
      </c>
      <c r="D13235" s="33" t="s">
        <v>17</v>
      </c>
      <c r="E13235" s="33" t="s">
        <v>18</v>
      </c>
      <c r="F13235" s="33" t="s">
        <v>19</v>
      </c>
      <c r="G13235" s="33" t="s">
        <v>20</v>
      </c>
      <c r="H13235" s="35">
        <v>113</v>
      </c>
      <c r="I13235" s="33" t="s">
        <v>21</v>
      </c>
      <c r="J13235" s="42">
        <v>45005</v>
      </c>
      <c r="K13235" s="33" t="s">
        <v>22</v>
      </c>
    </row>
    <row r="13236" spans="1:11">
      <c r="A13236" s="30" t="s">
        <v>29951</v>
      </c>
      <c r="B13236" s="30" t="s">
        <v>29952</v>
      </c>
      <c r="C13236" s="30" t="s">
        <v>3775</v>
      </c>
      <c r="D13236" s="30" t="s">
        <v>17</v>
      </c>
      <c r="E13236" s="30" t="s">
        <v>26</v>
      </c>
      <c r="F13236" s="30" t="s">
        <v>27</v>
      </c>
      <c r="G13236" s="30" t="s">
        <v>20</v>
      </c>
      <c r="H13236" s="32">
        <v>40</v>
      </c>
      <c r="I13236" s="30" t="s">
        <v>21</v>
      </c>
      <c r="J13236" s="41">
        <v>45121</v>
      </c>
      <c r="K13236" s="30" t="s">
        <v>22</v>
      </c>
    </row>
    <row r="13237" spans="1:11">
      <c r="A13237" s="33" t="s">
        <v>29953</v>
      </c>
      <c r="B13237" s="33" t="s">
        <v>29954</v>
      </c>
      <c r="C13237" s="33" t="s">
        <v>5395</v>
      </c>
      <c r="D13237" s="33" t="s">
        <v>17</v>
      </c>
      <c r="E13237" s="33" t="s">
        <v>26</v>
      </c>
      <c r="F13237" s="33" t="s">
        <v>27</v>
      </c>
      <c r="G13237" s="33" t="s">
        <v>50</v>
      </c>
      <c r="H13237" s="35">
        <v>51</v>
      </c>
      <c r="I13237" s="33" t="s">
        <v>51</v>
      </c>
      <c r="J13237" s="42">
        <v>45000</v>
      </c>
      <c r="K13237" s="33" t="s">
        <v>22</v>
      </c>
    </row>
    <row r="13238" spans="1:11">
      <c r="A13238" s="30" t="s">
        <v>29955</v>
      </c>
      <c r="B13238" s="30" t="s">
        <v>29956</v>
      </c>
      <c r="C13238" s="30" t="s">
        <v>387</v>
      </c>
      <c r="D13238" s="30" t="s">
        <v>17</v>
      </c>
      <c r="E13238" s="30" t="s">
        <v>18</v>
      </c>
      <c r="F13238" s="30" t="s">
        <v>19</v>
      </c>
      <c r="G13238" s="30" t="s">
        <v>140</v>
      </c>
      <c r="H13238" s="32">
        <v>315</v>
      </c>
      <c r="I13238" s="30" t="s">
        <v>51</v>
      </c>
      <c r="J13238" s="41">
        <v>45085</v>
      </c>
      <c r="K13238" s="30" t="s">
        <v>22</v>
      </c>
    </row>
    <row r="13239" spans="1:11">
      <c r="A13239" s="33" t="s">
        <v>29957</v>
      </c>
      <c r="B13239" s="33" t="s">
        <v>29958</v>
      </c>
      <c r="C13239" s="33" t="s">
        <v>29959</v>
      </c>
      <c r="D13239" s="33" t="s">
        <v>17</v>
      </c>
      <c r="E13239" s="33" t="s">
        <v>330</v>
      </c>
      <c r="F13239" s="33" t="s">
        <v>331</v>
      </c>
      <c r="G13239" s="33" t="s">
        <v>158</v>
      </c>
      <c r="H13239" s="35">
        <v>45</v>
      </c>
      <c r="I13239" s="33" t="s">
        <v>21</v>
      </c>
      <c r="J13239" s="42">
        <v>45062</v>
      </c>
      <c r="K13239" s="33" t="s">
        <v>22</v>
      </c>
    </row>
    <row r="13240" spans="1:11">
      <c r="A13240" s="30" t="s">
        <v>29960</v>
      </c>
      <c r="B13240" s="30" t="s">
        <v>29961</v>
      </c>
      <c r="C13240" s="30" t="s">
        <v>14816</v>
      </c>
      <c r="D13240" s="30" t="s">
        <v>17</v>
      </c>
      <c r="E13240" s="30" t="s">
        <v>26</v>
      </c>
      <c r="F13240" s="30" t="s">
        <v>27</v>
      </c>
      <c r="G13240" s="30" t="s">
        <v>50</v>
      </c>
      <c r="H13240" s="32">
        <v>27</v>
      </c>
      <c r="I13240" s="30" t="s">
        <v>51</v>
      </c>
      <c r="J13240" s="41">
        <v>45170</v>
      </c>
      <c r="K13240" s="30" t="s">
        <v>22</v>
      </c>
    </row>
    <row r="13241" spans="1:11">
      <c r="A13241" s="33" t="s">
        <v>29962</v>
      </c>
      <c r="B13241" s="33" t="s">
        <v>29963</v>
      </c>
      <c r="C13241" s="33" t="s">
        <v>157</v>
      </c>
      <c r="D13241" s="33" t="s">
        <v>17</v>
      </c>
      <c r="E13241" s="33" t="s">
        <v>18</v>
      </c>
      <c r="F13241" s="33" t="s">
        <v>19</v>
      </c>
      <c r="G13241" s="33" t="s">
        <v>20</v>
      </c>
      <c r="H13241" s="35">
        <v>37</v>
      </c>
      <c r="I13241" s="33" t="s">
        <v>21</v>
      </c>
      <c r="J13241" s="42">
        <v>45012</v>
      </c>
      <c r="K13241" s="33" t="s">
        <v>22</v>
      </c>
    </row>
    <row r="13242" spans="1:11">
      <c r="A13242" s="30" t="s">
        <v>29964</v>
      </c>
      <c r="B13242" s="30" t="s">
        <v>29965</v>
      </c>
      <c r="C13242" s="30" t="s">
        <v>29966</v>
      </c>
      <c r="D13242" s="30" t="s">
        <v>17</v>
      </c>
      <c r="E13242" s="30" t="s">
        <v>67</v>
      </c>
      <c r="F13242" s="30" t="s">
        <v>68</v>
      </c>
      <c r="G13242" s="30" t="s">
        <v>140</v>
      </c>
      <c r="H13242" s="32">
        <v>75</v>
      </c>
      <c r="I13242" s="30" t="s">
        <v>51</v>
      </c>
      <c r="J13242" s="41">
        <v>45142</v>
      </c>
      <c r="K13242" s="30" t="s">
        <v>22</v>
      </c>
    </row>
    <row r="13243" spans="1:11">
      <c r="A13243" s="33" t="s">
        <v>29967</v>
      </c>
      <c r="B13243" s="33" t="s">
        <v>29968</v>
      </c>
      <c r="C13243" s="33" t="s">
        <v>1796</v>
      </c>
      <c r="D13243" s="33" t="s">
        <v>17</v>
      </c>
      <c r="E13243" s="33" t="s">
        <v>67</v>
      </c>
      <c r="F13243" s="33" t="s">
        <v>68</v>
      </c>
      <c r="G13243" s="33" t="s">
        <v>140</v>
      </c>
      <c r="H13243" s="35">
        <v>307</v>
      </c>
      <c r="I13243" s="33" t="s">
        <v>51</v>
      </c>
      <c r="J13243" s="42">
        <v>45035</v>
      </c>
      <c r="K13243" s="33" t="s">
        <v>22</v>
      </c>
    </row>
    <row r="13244" spans="1:11">
      <c r="A13244" s="30" t="s">
        <v>29969</v>
      </c>
      <c r="B13244" s="30" t="s">
        <v>29970</v>
      </c>
      <c r="C13244" s="30" t="s">
        <v>24097</v>
      </c>
      <c r="D13244" s="30" t="s">
        <v>17</v>
      </c>
      <c r="E13244" s="30" t="s">
        <v>330</v>
      </c>
      <c r="F13244" s="30" t="s">
        <v>331</v>
      </c>
      <c r="G13244" s="30" t="s">
        <v>140</v>
      </c>
      <c r="H13244" s="32">
        <v>50</v>
      </c>
      <c r="I13244" s="30" t="s">
        <v>51</v>
      </c>
      <c r="J13244" s="41">
        <v>44992</v>
      </c>
      <c r="K13244" s="30" t="s">
        <v>22</v>
      </c>
    </row>
    <row r="13245" spans="1:11">
      <c r="A13245" s="33" t="s">
        <v>29971</v>
      </c>
      <c r="B13245" s="33" t="s">
        <v>29972</v>
      </c>
      <c r="C13245" s="33" t="s">
        <v>29973</v>
      </c>
      <c r="D13245" s="33" t="s">
        <v>17</v>
      </c>
      <c r="E13245" s="33" t="s">
        <v>26</v>
      </c>
      <c r="F13245" s="33" t="s">
        <v>27</v>
      </c>
      <c r="G13245" s="33" t="s">
        <v>158</v>
      </c>
      <c r="H13245" s="35">
        <v>25</v>
      </c>
      <c r="I13245" s="33" t="s">
        <v>51</v>
      </c>
      <c r="J13245" s="42">
        <v>45215</v>
      </c>
      <c r="K13245" s="33" t="s">
        <v>22</v>
      </c>
    </row>
    <row r="13246" spans="1:11">
      <c r="A13246" s="30" t="s">
        <v>29974</v>
      </c>
      <c r="B13246" s="30" t="s">
        <v>29975</v>
      </c>
      <c r="C13246" s="30" t="s">
        <v>2698</v>
      </c>
      <c r="D13246" s="30" t="s">
        <v>17</v>
      </c>
      <c r="E13246" s="30" t="s">
        <v>31</v>
      </c>
      <c r="F13246" s="30" t="s">
        <v>32</v>
      </c>
      <c r="G13246" s="30" t="s">
        <v>140</v>
      </c>
      <c r="H13246" s="32">
        <v>387</v>
      </c>
      <c r="I13246" s="30" t="s">
        <v>51</v>
      </c>
      <c r="J13246" s="41">
        <v>45230</v>
      </c>
      <c r="K13246" s="30" t="s">
        <v>22</v>
      </c>
    </row>
    <row r="13247" spans="1:11">
      <c r="A13247" s="33" t="s">
        <v>29976</v>
      </c>
      <c r="B13247" s="33" t="s">
        <v>29977</v>
      </c>
      <c r="C13247" s="33" t="s">
        <v>1165</v>
      </c>
      <c r="D13247" s="33" t="s">
        <v>17</v>
      </c>
      <c r="E13247" s="33" t="s">
        <v>31</v>
      </c>
      <c r="F13247" s="33" t="s">
        <v>32</v>
      </c>
      <c r="G13247" s="33" t="s">
        <v>20</v>
      </c>
      <c r="H13247" s="35">
        <v>24</v>
      </c>
      <c r="I13247" s="33" t="s">
        <v>21</v>
      </c>
      <c r="J13247" s="42">
        <v>45259</v>
      </c>
      <c r="K13247" s="33" t="s">
        <v>22</v>
      </c>
    </row>
    <row r="13248" spans="1:11">
      <c r="A13248" s="30" t="s">
        <v>29978</v>
      </c>
      <c r="B13248" s="30" t="s">
        <v>29979</v>
      </c>
      <c r="C13248" s="30" t="s">
        <v>8979</v>
      </c>
      <c r="D13248" s="30" t="s">
        <v>17</v>
      </c>
      <c r="E13248" s="30" t="s">
        <v>18</v>
      </c>
      <c r="F13248" s="30" t="s">
        <v>19</v>
      </c>
      <c r="G13248" s="30" t="s">
        <v>158</v>
      </c>
      <c r="H13248" s="32">
        <v>415</v>
      </c>
      <c r="I13248" s="30" t="s">
        <v>21</v>
      </c>
      <c r="J13248" s="41">
        <v>45215</v>
      </c>
      <c r="K13248" s="30" t="s">
        <v>22</v>
      </c>
    </row>
    <row r="13249" spans="1:11">
      <c r="A13249" s="33" t="s">
        <v>29980</v>
      </c>
      <c r="B13249" s="33" t="s">
        <v>29981</v>
      </c>
      <c r="C13249" s="33" t="s">
        <v>29982</v>
      </c>
      <c r="D13249" s="33" t="s">
        <v>17</v>
      </c>
      <c r="E13249" s="33" t="s">
        <v>26</v>
      </c>
      <c r="F13249" s="33" t="s">
        <v>27</v>
      </c>
      <c r="G13249" s="33" t="s">
        <v>50</v>
      </c>
      <c r="H13249" s="35">
        <v>88</v>
      </c>
      <c r="I13249" s="33" t="s">
        <v>51</v>
      </c>
      <c r="J13249" s="42">
        <v>45220</v>
      </c>
      <c r="K13249" s="33" t="s">
        <v>22</v>
      </c>
    </row>
    <row r="13250" spans="1:11">
      <c r="A13250" s="30" t="s">
        <v>29983</v>
      </c>
      <c r="B13250" s="30" t="s">
        <v>29984</v>
      </c>
      <c r="C13250" s="30" t="s">
        <v>29985</v>
      </c>
      <c r="D13250" s="30" t="s">
        <v>17</v>
      </c>
      <c r="E13250" s="30" t="s">
        <v>26</v>
      </c>
      <c r="F13250" s="30" t="s">
        <v>27</v>
      </c>
      <c r="G13250" s="30" t="s">
        <v>106</v>
      </c>
      <c r="H13250" s="32">
        <v>27</v>
      </c>
      <c r="I13250" s="30" t="s">
        <v>21</v>
      </c>
      <c r="J13250" s="41">
        <v>45219</v>
      </c>
      <c r="K13250" s="30" t="s">
        <v>22</v>
      </c>
    </row>
    <row r="13251" spans="1:11">
      <c r="A13251" s="33" t="s">
        <v>29986</v>
      </c>
      <c r="B13251" s="33" t="s">
        <v>29987</v>
      </c>
      <c r="C13251" s="33" t="s">
        <v>27671</v>
      </c>
      <c r="D13251" s="33" t="s">
        <v>17</v>
      </c>
      <c r="E13251" s="33" t="s">
        <v>26</v>
      </c>
      <c r="F13251" s="33" t="s">
        <v>27</v>
      </c>
      <c r="G13251" s="33" t="s">
        <v>140</v>
      </c>
      <c r="H13251" s="35">
        <v>320</v>
      </c>
      <c r="I13251" s="33" t="s">
        <v>51</v>
      </c>
      <c r="J13251" s="42">
        <v>45105</v>
      </c>
      <c r="K13251" s="33" t="s">
        <v>22</v>
      </c>
    </row>
    <row r="13252" spans="1:11">
      <c r="A13252" s="30" t="s">
        <v>29988</v>
      </c>
      <c r="B13252" s="30" t="s">
        <v>29989</v>
      </c>
      <c r="C13252" s="30" t="s">
        <v>29990</v>
      </c>
      <c r="D13252" s="30" t="s">
        <v>17</v>
      </c>
      <c r="E13252" s="30" t="s">
        <v>31</v>
      </c>
      <c r="F13252" s="30" t="s">
        <v>32</v>
      </c>
      <c r="G13252" s="30" t="s">
        <v>106</v>
      </c>
      <c r="H13252" s="32">
        <v>3</v>
      </c>
      <c r="I13252" s="30" t="s">
        <v>21</v>
      </c>
      <c r="J13252" s="41">
        <v>45135</v>
      </c>
      <c r="K13252" s="30" t="s">
        <v>22</v>
      </c>
    </row>
    <row r="13253" spans="1:11">
      <c r="A13253" s="33" t="s">
        <v>29991</v>
      </c>
      <c r="B13253" s="33" t="s">
        <v>29992</v>
      </c>
      <c r="C13253" s="33" t="s">
        <v>190</v>
      </c>
      <c r="D13253" s="33" t="s">
        <v>17</v>
      </c>
      <c r="E13253" s="33" t="s">
        <v>18</v>
      </c>
      <c r="F13253" s="33" t="s">
        <v>19</v>
      </c>
      <c r="G13253" s="33" t="s">
        <v>140</v>
      </c>
      <c r="H13253" s="35">
        <v>625</v>
      </c>
      <c r="I13253" s="33" t="s">
        <v>51</v>
      </c>
      <c r="J13253" s="42">
        <v>45253</v>
      </c>
      <c r="K13253" s="33" t="s">
        <v>22</v>
      </c>
    </row>
    <row r="13254" spans="1:11">
      <c r="A13254" s="30" t="s">
        <v>29993</v>
      </c>
      <c r="B13254" s="30" t="s">
        <v>29994</v>
      </c>
      <c r="C13254" s="30" t="s">
        <v>29995</v>
      </c>
      <c r="D13254" s="30" t="s">
        <v>17</v>
      </c>
      <c r="E13254" s="30" t="s">
        <v>67</v>
      </c>
      <c r="F13254" s="30" t="s">
        <v>68</v>
      </c>
      <c r="G13254" s="30" t="s">
        <v>20</v>
      </c>
      <c r="H13254" s="32">
        <v>32</v>
      </c>
      <c r="I13254" s="30" t="s">
        <v>21</v>
      </c>
      <c r="J13254" s="41">
        <v>44944</v>
      </c>
      <c r="K13254" s="30" t="s">
        <v>22</v>
      </c>
    </row>
    <row r="13255" spans="1:11">
      <c r="A13255" s="33" t="s">
        <v>29996</v>
      </c>
      <c r="B13255" s="33" t="s">
        <v>29997</v>
      </c>
      <c r="C13255" s="33" t="s">
        <v>8350</v>
      </c>
      <c r="D13255" s="33" t="s">
        <v>17</v>
      </c>
      <c r="E13255" s="33" t="s">
        <v>31</v>
      </c>
      <c r="F13255" s="33" t="s">
        <v>32</v>
      </c>
      <c r="G13255" s="33" t="s">
        <v>20</v>
      </c>
      <c r="H13255" s="35">
        <v>58</v>
      </c>
      <c r="I13255" s="33" t="s">
        <v>21</v>
      </c>
      <c r="J13255" s="42">
        <v>45173</v>
      </c>
      <c r="K13255" s="33" t="s">
        <v>22</v>
      </c>
    </row>
    <row r="13256" spans="1:11">
      <c r="A13256" s="30" t="s">
        <v>29998</v>
      </c>
      <c r="B13256" s="30" t="s">
        <v>29999</v>
      </c>
      <c r="C13256" s="30" t="s">
        <v>11606</v>
      </c>
      <c r="D13256" s="30" t="s">
        <v>17</v>
      </c>
      <c r="E13256" s="30" t="s">
        <v>31</v>
      </c>
      <c r="F13256" s="30" t="s">
        <v>32</v>
      </c>
      <c r="G13256" s="30" t="s">
        <v>140</v>
      </c>
      <c r="H13256" s="32">
        <v>95</v>
      </c>
      <c r="I13256" s="30" t="s">
        <v>51</v>
      </c>
      <c r="J13256" s="41">
        <v>44938</v>
      </c>
      <c r="K13256" s="30" t="s">
        <v>22</v>
      </c>
    </row>
    <row r="13257" spans="1:11">
      <c r="A13257" s="33" t="s">
        <v>30000</v>
      </c>
      <c r="B13257" s="33" t="s">
        <v>30001</v>
      </c>
      <c r="C13257" s="33" t="s">
        <v>1504</v>
      </c>
      <c r="D13257" s="33" t="s">
        <v>17</v>
      </c>
      <c r="E13257" s="33" t="s">
        <v>67</v>
      </c>
      <c r="F13257" s="33" t="s">
        <v>68</v>
      </c>
      <c r="G13257" s="33" t="s">
        <v>140</v>
      </c>
      <c r="H13257" s="35">
        <v>100</v>
      </c>
      <c r="I13257" s="33" t="s">
        <v>51</v>
      </c>
      <c r="J13257" s="42">
        <v>45196</v>
      </c>
      <c r="K13257" s="33" t="s">
        <v>22</v>
      </c>
    </row>
    <row r="13258" spans="1:11">
      <c r="A13258" s="30" t="s">
        <v>30002</v>
      </c>
      <c r="B13258" s="30" t="s">
        <v>30003</v>
      </c>
      <c r="C13258" s="30" t="s">
        <v>10359</v>
      </c>
      <c r="D13258" s="30" t="s">
        <v>17</v>
      </c>
      <c r="E13258" s="30" t="s">
        <v>67</v>
      </c>
      <c r="F13258" s="30" t="s">
        <v>68</v>
      </c>
      <c r="G13258" s="30" t="s">
        <v>140</v>
      </c>
      <c r="H13258" s="32">
        <v>94</v>
      </c>
      <c r="I13258" s="30" t="s">
        <v>51</v>
      </c>
      <c r="J13258" s="41">
        <v>45197</v>
      </c>
      <c r="K13258" s="30" t="s">
        <v>22</v>
      </c>
    </row>
    <row r="13259" spans="1:11">
      <c r="A13259" s="33" t="s">
        <v>30004</v>
      </c>
      <c r="B13259" s="33" t="s">
        <v>30005</v>
      </c>
      <c r="C13259" s="33" t="s">
        <v>3775</v>
      </c>
      <c r="D13259" s="33" t="s">
        <v>17</v>
      </c>
      <c r="E13259" s="33" t="s">
        <v>26</v>
      </c>
      <c r="F13259" s="33" t="s">
        <v>27</v>
      </c>
      <c r="G13259" s="33" t="s">
        <v>20</v>
      </c>
      <c r="H13259" s="35">
        <v>40</v>
      </c>
      <c r="I13259" s="33" t="s">
        <v>21</v>
      </c>
      <c r="J13259" s="42">
        <v>45120</v>
      </c>
      <c r="K13259" s="33" t="s">
        <v>22</v>
      </c>
    </row>
    <row r="13260" spans="1:11">
      <c r="A13260" s="30" t="s">
        <v>30006</v>
      </c>
      <c r="B13260" s="30" t="s">
        <v>30007</v>
      </c>
      <c r="C13260" s="30" t="s">
        <v>9952</v>
      </c>
      <c r="D13260" s="30" t="s">
        <v>17</v>
      </c>
      <c r="E13260" s="30" t="s">
        <v>26</v>
      </c>
      <c r="F13260" s="30" t="s">
        <v>27</v>
      </c>
      <c r="G13260" s="30" t="s">
        <v>20</v>
      </c>
      <c r="H13260" s="32">
        <v>160</v>
      </c>
      <c r="I13260" s="30" t="s">
        <v>21</v>
      </c>
      <c r="J13260" s="41">
        <v>45075</v>
      </c>
      <c r="K13260" s="30" t="s">
        <v>22</v>
      </c>
    </row>
    <row r="13261" spans="1:11">
      <c r="A13261" s="33" t="s">
        <v>30008</v>
      </c>
      <c r="B13261" s="33" t="s">
        <v>30009</v>
      </c>
      <c r="C13261" s="33" t="s">
        <v>13241</v>
      </c>
      <c r="D13261" s="33" t="s">
        <v>17</v>
      </c>
      <c r="E13261" s="33" t="s">
        <v>31</v>
      </c>
      <c r="F13261" s="33" t="s">
        <v>32</v>
      </c>
      <c r="G13261" s="33" t="s">
        <v>50</v>
      </c>
      <c r="H13261" s="35">
        <v>75</v>
      </c>
      <c r="I13261" s="33" t="s">
        <v>21</v>
      </c>
      <c r="J13261" s="42">
        <v>44981</v>
      </c>
      <c r="K13261" s="33" t="s">
        <v>22</v>
      </c>
    </row>
    <row r="13262" spans="1:11">
      <c r="A13262" s="30" t="s">
        <v>30010</v>
      </c>
      <c r="B13262" s="30" t="s">
        <v>30011</v>
      </c>
      <c r="C13262" s="30" t="s">
        <v>647</v>
      </c>
      <c r="D13262" s="30" t="s">
        <v>17</v>
      </c>
      <c r="E13262" s="30" t="s">
        <v>31</v>
      </c>
      <c r="F13262" s="30" t="s">
        <v>32</v>
      </c>
      <c r="G13262" s="30" t="s">
        <v>158</v>
      </c>
      <c r="H13262" s="32">
        <v>19</v>
      </c>
      <c r="I13262" s="30" t="s">
        <v>51</v>
      </c>
      <c r="J13262" s="41">
        <v>45219</v>
      </c>
      <c r="K13262" s="30" t="s">
        <v>22</v>
      </c>
    </row>
    <row r="13263" spans="1:11">
      <c r="A13263" s="33" t="s">
        <v>30012</v>
      </c>
      <c r="B13263" s="33" t="s">
        <v>30013</v>
      </c>
      <c r="C13263" s="33" t="s">
        <v>379</v>
      </c>
      <c r="D13263" s="33" t="s">
        <v>17</v>
      </c>
      <c r="E13263" s="33" t="s">
        <v>31</v>
      </c>
      <c r="F13263" s="33" t="s">
        <v>32</v>
      </c>
      <c r="G13263" s="33" t="s">
        <v>106</v>
      </c>
      <c r="H13263" s="35">
        <v>2</v>
      </c>
      <c r="I13263" s="33" t="s">
        <v>21</v>
      </c>
      <c r="J13263" s="42">
        <v>45092</v>
      </c>
      <c r="K13263" s="33" t="s">
        <v>22</v>
      </c>
    </row>
    <row r="13264" spans="1:11">
      <c r="A13264" s="30" t="s">
        <v>30014</v>
      </c>
      <c r="B13264" s="30" t="s">
        <v>30015</v>
      </c>
      <c r="C13264" s="30" t="s">
        <v>857</v>
      </c>
      <c r="D13264" s="30" t="s">
        <v>17</v>
      </c>
      <c r="E13264" s="30" t="s">
        <v>45</v>
      </c>
      <c r="F13264" s="30" t="s">
        <v>46</v>
      </c>
      <c r="G13264" s="30" t="s">
        <v>140</v>
      </c>
      <c r="H13264" s="32">
        <v>300</v>
      </c>
      <c r="I13264" s="30" t="s">
        <v>51</v>
      </c>
      <c r="J13264" s="41">
        <v>44932</v>
      </c>
      <c r="K13264" s="30" t="s">
        <v>22</v>
      </c>
    </row>
    <row r="13265" spans="1:11">
      <c r="A13265" s="33" t="s">
        <v>30016</v>
      </c>
      <c r="B13265" s="33" t="s">
        <v>30017</v>
      </c>
      <c r="C13265" s="33" t="s">
        <v>647</v>
      </c>
      <c r="D13265" s="33" t="s">
        <v>17</v>
      </c>
      <c r="E13265" s="33" t="s">
        <v>26</v>
      </c>
      <c r="F13265" s="33" t="s">
        <v>27</v>
      </c>
      <c r="G13265" s="33" t="s">
        <v>20</v>
      </c>
      <c r="H13265" s="35">
        <v>15</v>
      </c>
      <c r="I13265" s="33" t="s">
        <v>21</v>
      </c>
      <c r="J13265" s="42">
        <v>45229</v>
      </c>
      <c r="K13265" s="33" t="s">
        <v>22</v>
      </c>
    </row>
    <row r="13266" spans="1:11">
      <c r="A13266" s="30" t="s">
        <v>30018</v>
      </c>
      <c r="B13266" s="30" t="s">
        <v>30019</v>
      </c>
      <c r="C13266" s="30" t="s">
        <v>149</v>
      </c>
      <c r="D13266" s="30" t="s">
        <v>17</v>
      </c>
      <c r="E13266" s="30" t="s">
        <v>26</v>
      </c>
      <c r="F13266" s="30" t="s">
        <v>27</v>
      </c>
      <c r="G13266" s="30" t="s">
        <v>140</v>
      </c>
      <c r="H13266" s="32">
        <v>100</v>
      </c>
      <c r="I13266" s="30" t="s">
        <v>51</v>
      </c>
      <c r="J13266" s="41">
        <v>45141</v>
      </c>
      <c r="K13266" s="30" t="s">
        <v>22</v>
      </c>
    </row>
    <row r="13267" spans="1:11">
      <c r="A13267" s="33" t="s">
        <v>30020</v>
      </c>
      <c r="B13267" s="33" t="s">
        <v>30021</v>
      </c>
      <c r="C13267" s="33" t="s">
        <v>379</v>
      </c>
      <c r="D13267" s="33" t="s">
        <v>17</v>
      </c>
      <c r="E13267" s="33" t="s">
        <v>26</v>
      </c>
      <c r="F13267" s="33" t="s">
        <v>27</v>
      </c>
      <c r="G13267" s="33" t="s">
        <v>20</v>
      </c>
      <c r="H13267" s="35">
        <v>20</v>
      </c>
      <c r="I13267" s="33" t="s">
        <v>21</v>
      </c>
      <c r="J13267" s="42">
        <v>45111</v>
      </c>
      <c r="K13267" s="33" t="s">
        <v>22</v>
      </c>
    </row>
    <row r="13268" spans="1:11">
      <c r="A13268" s="30" t="s">
        <v>30022</v>
      </c>
      <c r="B13268" s="30" t="s">
        <v>30023</v>
      </c>
      <c r="C13268" s="30" t="s">
        <v>136</v>
      </c>
      <c r="D13268" s="30" t="s">
        <v>17</v>
      </c>
      <c r="E13268" s="30" t="s">
        <v>26</v>
      </c>
      <c r="F13268" s="30" t="s">
        <v>27</v>
      </c>
      <c r="G13268" s="30" t="s">
        <v>106</v>
      </c>
      <c r="H13268" s="32">
        <v>49</v>
      </c>
      <c r="I13268" s="30" t="s">
        <v>21</v>
      </c>
      <c r="J13268" s="41">
        <v>45148</v>
      </c>
      <c r="K13268" s="30" t="s">
        <v>22</v>
      </c>
    </row>
    <row r="13269" spans="1:11">
      <c r="A13269" s="33" t="s">
        <v>30024</v>
      </c>
      <c r="B13269" s="33" t="s">
        <v>30025</v>
      </c>
      <c r="C13269" s="33" t="s">
        <v>2283</v>
      </c>
      <c r="D13269" s="33" t="s">
        <v>17</v>
      </c>
      <c r="E13269" s="33" t="s">
        <v>18</v>
      </c>
      <c r="F13269" s="33" t="s">
        <v>19</v>
      </c>
      <c r="G13269" s="33" t="s">
        <v>20</v>
      </c>
      <c r="H13269" s="35">
        <v>1</v>
      </c>
      <c r="I13269" s="33" t="s">
        <v>21</v>
      </c>
      <c r="J13269" s="42">
        <v>45044</v>
      </c>
      <c r="K13269" s="33" t="s">
        <v>22</v>
      </c>
    </row>
    <row r="13270" spans="1:11">
      <c r="A13270" s="30" t="s">
        <v>30026</v>
      </c>
      <c r="B13270" s="30" t="s">
        <v>30027</v>
      </c>
      <c r="C13270" s="30" t="s">
        <v>231</v>
      </c>
      <c r="D13270" s="30" t="s">
        <v>17</v>
      </c>
      <c r="E13270" s="30" t="s">
        <v>26</v>
      </c>
      <c r="F13270" s="30" t="s">
        <v>27</v>
      </c>
      <c r="G13270" s="30" t="s">
        <v>20</v>
      </c>
      <c r="H13270" s="32">
        <v>64</v>
      </c>
      <c r="I13270" s="30" t="s">
        <v>21</v>
      </c>
      <c r="J13270" s="41">
        <v>44942</v>
      </c>
      <c r="K13270" s="30" t="s">
        <v>22</v>
      </c>
    </row>
    <row r="13271" spans="1:11">
      <c r="A13271" s="33" t="s">
        <v>30028</v>
      </c>
      <c r="B13271" s="33" t="s">
        <v>30029</v>
      </c>
      <c r="C13271" s="33" t="s">
        <v>1808</v>
      </c>
      <c r="D13271" s="33" t="s">
        <v>17</v>
      </c>
      <c r="E13271" s="33" t="s">
        <v>26</v>
      </c>
      <c r="F13271" s="33" t="s">
        <v>27</v>
      </c>
      <c r="G13271" s="33" t="s">
        <v>140</v>
      </c>
      <c r="H13271" s="35">
        <v>156</v>
      </c>
      <c r="I13271" s="33" t="s">
        <v>51</v>
      </c>
      <c r="J13271" s="42">
        <v>45155</v>
      </c>
      <c r="K13271" s="33" t="s">
        <v>22</v>
      </c>
    </row>
    <row r="13272" spans="1:11">
      <c r="A13272" s="30" t="s">
        <v>30030</v>
      </c>
      <c r="B13272" s="30" t="s">
        <v>30031</v>
      </c>
      <c r="C13272" s="30" t="s">
        <v>30</v>
      </c>
      <c r="D13272" s="30" t="s">
        <v>17</v>
      </c>
      <c r="E13272" s="30" t="s">
        <v>31</v>
      </c>
      <c r="F13272" s="30" t="s">
        <v>32</v>
      </c>
      <c r="G13272" s="30" t="s">
        <v>112</v>
      </c>
      <c r="H13272" s="32">
        <v>0</v>
      </c>
      <c r="I13272" s="30" t="s">
        <v>21</v>
      </c>
      <c r="J13272" s="41">
        <v>45017</v>
      </c>
      <c r="K13272" s="30" t="s">
        <v>22</v>
      </c>
    </row>
    <row r="13273" spans="1:11">
      <c r="A13273" s="33" t="s">
        <v>30032</v>
      </c>
      <c r="B13273" s="33" t="s">
        <v>30033</v>
      </c>
      <c r="C13273" s="33" t="s">
        <v>2975</v>
      </c>
      <c r="D13273" s="33" t="s">
        <v>17</v>
      </c>
      <c r="E13273" s="33" t="s">
        <v>31</v>
      </c>
      <c r="F13273" s="33" t="s">
        <v>32</v>
      </c>
      <c r="G13273" s="33" t="s">
        <v>106</v>
      </c>
      <c r="H13273" s="35">
        <v>10</v>
      </c>
      <c r="I13273" s="33" t="s">
        <v>21</v>
      </c>
      <c r="J13273" s="42">
        <v>45187</v>
      </c>
      <c r="K13273" s="33" t="s">
        <v>22</v>
      </c>
    </row>
    <row r="13274" spans="1:11">
      <c r="A13274" s="30" t="s">
        <v>30034</v>
      </c>
      <c r="B13274" s="30" t="s">
        <v>30035</v>
      </c>
      <c r="C13274" s="30" t="s">
        <v>847</v>
      </c>
      <c r="D13274" s="30" t="s">
        <v>17</v>
      </c>
      <c r="E13274" s="30" t="s">
        <v>330</v>
      </c>
      <c r="F13274" s="30" t="s">
        <v>331</v>
      </c>
      <c r="G13274" s="30" t="s">
        <v>140</v>
      </c>
      <c r="H13274" s="32">
        <v>10</v>
      </c>
      <c r="I13274" s="30" t="s">
        <v>51</v>
      </c>
      <c r="J13274" s="41">
        <v>45200</v>
      </c>
      <c r="K13274" s="30" t="s">
        <v>22</v>
      </c>
    </row>
    <row r="13275" spans="1:11">
      <c r="A13275" s="33" t="s">
        <v>30036</v>
      </c>
      <c r="B13275" s="33" t="s">
        <v>30037</v>
      </c>
      <c r="C13275" s="33" t="s">
        <v>30038</v>
      </c>
      <c r="D13275" s="33" t="s">
        <v>17</v>
      </c>
      <c r="E13275" s="33" t="s">
        <v>26</v>
      </c>
      <c r="F13275" s="33" t="s">
        <v>27</v>
      </c>
      <c r="G13275" s="33" t="s">
        <v>50</v>
      </c>
      <c r="H13275" s="35">
        <v>93</v>
      </c>
      <c r="I13275" s="33" t="s">
        <v>51</v>
      </c>
      <c r="J13275" s="42">
        <v>44981</v>
      </c>
      <c r="K13275" s="33" t="s">
        <v>22</v>
      </c>
    </row>
    <row r="13276" spans="1:11">
      <c r="A13276" s="30" t="s">
        <v>30039</v>
      </c>
      <c r="B13276" s="30" t="s">
        <v>30040</v>
      </c>
      <c r="C13276" s="30" t="s">
        <v>44</v>
      </c>
      <c r="D13276" s="30" t="s">
        <v>17</v>
      </c>
      <c r="E13276" s="30" t="s">
        <v>45</v>
      </c>
      <c r="F13276" s="30" t="s">
        <v>46</v>
      </c>
      <c r="G13276" s="30" t="s">
        <v>158</v>
      </c>
      <c r="H13276" s="32">
        <v>149</v>
      </c>
      <c r="I13276" s="30" t="s">
        <v>21</v>
      </c>
      <c r="J13276" s="41">
        <v>45107</v>
      </c>
      <c r="K13276" s="30" t="s">
        <v>22</v>
      </c>
    </row>
    <row r="13277" spans="1:11">
      <c r="A13277" s="33" t="s">
        <v>30041</v>
      </c>
      <c r="B13277" s="33" t="s">
        <v>30042</v>
      </c>
      <c r="C13277" s="33" t="s">
        <v>30043</v>
      </c>
      <c r="D13277" s="33" t="s">
        <v>17</v>
      </c>
      <c r="E13277" s="33" t="s">
        <v>67</v>
      </c>
      <c r="F13277" s="33" t="s">
        <v>68</v>
      </c>
      <c r="G13277" s="33" t="s">
        <v>106</v>
      </c>
      <c r="H13277" s="35">
        <v>68</v>
      </c>
      <c r="I13277" s="33" t="s">
        <v>21</v>
      </c>
      <c r="J13277" s="42">
        <v>45015</v>
      </c>
      <c r="K13277" s="33" t="s">
        <v>22</v>
      </c>
    </row>
    <row r="13278" spans="1:11">
      <c r="A13278" s="30" t="s">
        <v>30044</v>
      </c>
      <c r="B13278" s="30" t="s">
        <v>30045</v>
      </c>
      <c r="C13278" s="30" t="s">
        <v>8881</v>
      </c>
      <c r="D13278" s="30" t="s">
        <v>17</v>
      </c>
      <c r="E13278" s="30" t="s">
        <v>45</v>
      </c>
      <c r="F13278" s="30" t="s">
        <v>46</v>
      </c>
      <c r="G13278" s="30" t="s">
        <v>20</v>
      </c>
      <c r="H13278" s="32">
        <v>351</v>
      </c>
      <c r="I13278" s="30" t="s">
        <v>21</v>
      </c>
      <c r="J13278" s="41">
        <v>45017</v>
      </c>
      <c r="K13278" s="30" t="s">
        <v>22</v>
      </c>
    </row>
    <row r="13279" spans="1:11">
      <c r="A13279" s="33" t="s">
        <v>30046</v>
      </c>
      <c r="B13279" s="33" t="s">
        <v>30047</v>
      </c>
      <c r="C13279" s="33" t="s">
        <v>30048</v>
      </c>
      <c r="D13279" s="33" t="s">
        <v>17</v>
      </c>
      <c r="E13279" s="33" t="s">
        <v>26</v>
      </c>
      <c r="F13279" s="33" t="s">
        <v>27</v>
      </c>
      <c r="G13279" s="33" t="s">
        <v>20</v>
      </c>
      <c r="H13279" s="35">
        <v>70</v>
      </c>
      <c r="I13279" s="33" t="s">
        <v>21</v>
      </c>
      <c r="J13279" s="42">
        <v>45075</v>
      </c>
      <c r="K13279" s="33" t="s">
        <v>22</v>
      </c>
    </row>
    <row r="13280" spans="1:11">
      <c r="A13280" s="30" t="s">
        <v>30049</v>
      </c>
      <c r="B13280" s="30" t="s">
        <v>30050</v>
      </c>
      <c r="C13280" s="30" t="s">
        <v>44</v>
      </c>
      <c r="D13280" s="30" t="s">
        <v>17</v>
      </c>
      <c r="E13280" s="30" t="s">
        <v>18</v>
      </c>
      <c r="F13280" s="30" t="s">
        <v>19</v>
      </c>
      <c r="G13280" s="30" t="s">
        <v>158</v>
      </c>
      <c r="H13280" s="32">
        <v>733</v>
      </c>
      <c r="I13280" s="30" t="s">
        <v>51</v>
      </c>
      <c r="J13280" s="41">
        <v>45244</v>
      </c>
      <c r="K13280" s="30" t="s">
        <v>22</v>
      </c>
    </row>
    <row r="13281" spans="1:11">
      <c r="A13281" s="33" t="s">
        <v>30051</v>
      </c>
      <c r="B13281" s="33" t="s">
        <v>30052</v>
      </c>
      <c r="C13281" s="33" t="s">
        <v>109</v>
      </c>
      <c r="D13281" s="33" t="s">
        <v>17</v>
      </c>
      <c r="E13281" s="33" t="s">
        <v>31</v>
      </c>
      <c r="F13281" s="33" t="s">
        <v>32</v>
      </c>
      <c r="G13281" s="33" t="s">
        <v>106</v>
      </c>
      <c r="H13281" s="35">
        <v>31</v>
      </c>
      <c r="I13281" s="33" t="s">
        <v>21</v>
      </c>
      <c r="J13281" s="42">
        <v>45012</v>
      </c>
      <c r="K13281" s="33" t="s">
        <v>22</v>
      </c>
    </row>
    <row r="13282" spans="1:11">
      <c r="A13282" s="30" t="s">
        <v>30053</v>
      </c>
      <c r="B13282" s="30" t="s">
        <v>30054</v>
      </c>
      <c r="C13282" s="30" t="s">
        <v>2261</v>
      </c>
      <c r="D13282" s="30" t="s">
        <v>17</v>
      </c>
      <c r="E13282" s="30" t="s">
        <v>31</v>
      </c>
      <c r="F13282" s="30" t="s">
        <v>32</v>
      </c>
      <c r="G13282" s="30" t="s">
        <v>20</v>
      </c>
      <c r="H13282" s="32">
        <v>18</v>
      </c>
      <c r="I13282" s="30" t="s">
        <v>21</v>
      </c>
      <c r="J13282" s="41">
        <v>45023</v>
      </c>
      <c r="K13282" s="30" t="s">
        <v>22</v>
      </c>
    </row>
    <row r="13283" spans="1:11">
      <c r="A13283" s="33" t="s">
        <v>30055</v>
      </c>
      <c r="B13283" s="33" t="s">
        <v>30056</v>
      </c>
      <c r="C13283" s="33" t="s">
        <v>25177</v>
      </c>
      <c r="D13283" s="33" t="s">
        <v>17</v>
      </c>
      <c r="E13283" s="33" t="s">
        <v>26</v>
      </c>
      <c r="F13283" s="33" t="s">
        <v>27</v>
      </c>
      <c r="G13283" s="33" t="s">
        <v>140</v>
      </c>
      <c r="H13283" s="35">
        <v>18</v>
      </c>
      <c r="I13283" s="33" t="s">
        <v>51</v>
      </c>
      <c r="J13283" s="42">
        <v>45078</v>
      </c>
      <c r="K13283" s="33" t="s">
        <v>22</v>
      </c>
    </row>
    <row r="13284" spans="1:11">
      <c r="A13284" s="30" t="s">
        <v>30057</v>
      </c>
      <c r="B13284" s="30" t="s">
        <v>30058</v>
      </c>
      <c r="C13284" s="30" t="s">
        <v>30059</v>
      </c>
      <c r="D13284" s="30" t="s">
        <v>17</v>
      </c>
      <c r="E13284" s="30" t="s">
        <v>31</v>
      </c>
      <c r="F13284" s="30" t="s">
        <v>32</v>
      </c>
      <c r="G13284" s="30" t="s">
        <v>20</v>
      </c>
      <c r="H13284" s="32">
        <v>31</v>
      </c>
      <c r="I13284" s="30" t="s">
        <v>21</v>
      </c>
      <c r="J13284" s="41">
        <v>44938</v>
      </c>
      <c r="K13284" s="30" t="s">
        <v>22</v>
      </c>
    </row>
    <row r="13285" spans="1:11">
      <c r="A13285" s="33" t="s">
        <v>30060</v>
      </c>
      <c r="B13285" s="33" t="s">
        <v>30061</v>
      </c>
      <c r="C13285" s="33" t="s">
        <v>96</v>
      </c>
      <c r="D13285" s="33" t="s">
        <v>17</v>
      </c>
      <c r="E13285" s="33" t="s">
        <v>18</v>
      </c>
      <c r="F13285" s="33" t="s">
        <v>19</v>
      </c>
      <c r="G13285" s="33" t="s">
        <v>158</v>
      </c>
      <c r="H13285" s="35">
        <v>624</v>
      </c>
      <c r="I13285" s="33" t="s">
        <v>21</v>
      </c>
      <c r="J13285" s="42">
        <v>44988</v>
      </c>
      <c r="K13285" s="33" t="s">
        <v>22</v>
      </c>
    </row>
    <row r="13286" spans="1:11">
      <c r="A13286" s="30" t="s">
        <v>30062</v>
      </c>
      <c r="B13286" s="30" t="s">
        <v>30063</v>
      </c>
      <c r="C13286" s="30" t="s">
        <v>14028</v>
      </c>
      <c r="D13286" s="30" t="s">
        <v>17</v>
      </c>
      <c r="E13286" s="30" t="s">
        <v>31</v>
      </c>
      <c r="F13286" s="30" t="s">
        <v>32</v>
      </c>
      <c r="G13286" s="30" t="s">
        <v>158</v>
      </c>
      <c r="H13286" s="32">
        <v>54</v>
      </c>
      <c r="I13286" s="30" t="s">
        <v>51</v>
      </c>
      <c r="J13286" s="41">
        <v>45245</v>
      </c>
      <c r="K13286" s="30" t="s">
        <v>22</v>
      </c>
    </row>
    <row r="13287" spans="1:11">
      <c r="A13287" s="33" t="s">
        <v>30064</v>
      </c>
      <c r="B13287" s="33" t="s">
        <v>30065</v>
      </c>
      <c r="C13287" s="33" t="s">
        <v>75</v>
      </c>
      <c r="D13287" s="33" t="s">
        <v>17</v>
      </c>
      <c r="E13287" s="33" t="s">
        <v>26</v>
      </c>
      <c r="F13287" s="33" t="s">
        <v>27</v>
      </c>
      <c r="G13287" s="33" t="s">
        <v>20</v>
      </c>
      <c r="H13287" s="35">
        <v>15</v>
      </c>
      <c r="I13287" s="33" t="s">
        <v>21</v>
      </c>
      <c r="J13287" s="42">
        <v>45083</v>
      </c>
      <c r="K13287" s="33" t="s">
        <v>22</v>
      </c>
    </row>
    <row r="13288" spans="1:11">
      <c r="A13288" s="30" t="s">
        <v>30066</v>
      </c>
      <c r="B13288" s="30" t="s">
        <v>30067</v>
      </c>
      <c r="C13288" s="30" t="s">
        <v>30068</v>
      </c>
      <c r="D13288" s="30" t="s">
        <v>17</v>
      </c>
      <c r="E13288" s="30" t="s">
        <v>26</v>
      </c>
      <c r="F13288" s="30" t="s">
        <v>27</v>
      </c>
      <c r="G13288" s="30" t="s">
        <v>158</v>
      </c>
      <c r="H13288" s="32">
        <v>150</v>
      </c>
      <c r="I13288" s="30" t="s">
        <v>51</v>
      </c>
      <c r="J13288" s="41">
        <v>44971</v>
      </c>
      <c r="K13288" s="30" t="s">
        <v>22</v>
      </c>
    </row>
    <row r="13289" spans="1:11">
      <c r="A13289" s="33" t="s">
        <v>30069</v>
      </c>
      <c r="B13289" s="33" t="s">
        <v>30070</v>
      </c>
      <c r="C13289" s="33" t="s">
        <v>606</v>
      </c>
      <c r="D13289" s="33" t="s">
        <v>17</v>
      </c>
      <c r="E13289" s="33" t="s">
        <v>26</v>
      </c>
      <c r="F13289" s="33" t="s">
        <v>27</v>
      </c>
      <c r="G13289" s="33" t="s">
        <v>20</v>
      </c>
      <c r="H13289" s="35">
        <v>32</v>
      </c>
      <c r="I13289" s="33" t="s">
        <v>21</v>
      </c>
      <c r="J13289" s="42">
        <v>45013</v>
      </c>
      <c r="K13289" s="33" t="s">
        <v>22</v>
      </c>
    </row>
    <row r="13290" spans="1:11">
      <c r="A13290" s="30" t="s">
        <v>30071</v>
      </c>
      <c r="B13290" s="30" t="s">
        <v>30072</v>
      </c>
      <c r="C13290" s="30" t="s">
        <v>30073</v>
      </c>
      <c r="D13290" s="30" t="s">
        <v>17</v>
      </c>
      <c r="E13290" s="30" t="s">
        <v>26</v>
      </c>
      <c r="F13290" s="30" t="s">
        <v>27</v>
      </c>
      <c r="G13290" s="30" t="s">
        <v>140</v>
      </c>
      <c r="H13290" s="32">
        <v>36</v>
      </c>
      <c r="I13290" s="30" t="s">
        <v>51</v>
      </c>
      <c r="J13290" s="41">
        <v>44984</v>
      </c>
      <c r="K13290" s="30" t="s">
        <v>22</v>
      </c>
    </row>
    <row r="13291" spans="1:11">
      <c r="A13291" s="33" t="s">
        <v>30074</v>
      </c>
      <c r="B13291" s="33" t="s">
        <v>30075</v>
      </c>
      <c r="C13291" s="33" t="s">
        <v>5246</v>
      </c>
      <c r="D13291" s="33" t="s">
        <v>17</v>
      </c>
      <c r="E13291" s="33" t="s">
        <v>26</v>
      </c>
      <c r="F13291" s="33" t="s">
        <v>27</v>
      </c>
      <c r="G13291" s="33" t="s">
        <v>20</v>
      </c>
      <c r="H13291" s="35">
        <v>24</v>
      </c>
      <c r="I13291" s="33" t="s">
        <v>21</v>
      </c>
      <c r="J13291" s="42">
        <v>45183</v>
      </c>
      <c r="K13291" s="33" t="s">
        <v>22</v>
      </c>
    </row>
    <row r="13292" spans="1:11">
      <c r="A13292" s="30" t="s">
        <v>30076</v>
      </c>
      <c r="B13292" s="30" t="s">
        <v>30077</v>
      </c>
      <c r="C13292" s="30" t="s">
        <v>18780</v>
      </c>
      <c r="D13292" s="30" t="s">
        <v>17</v>
      </c>
      <c r="E13292" s="30" t="s">
        <v>31</v>
      </c>
      <c r="F13292" s="30" t="s">
        <v>32</v>
      </c>
      <c r="G13292" s="30" t="s">
        <v>20</v>
      </c>
      <c r="H13292" s="32">
        <v>80</v>
      </c>
      <c r="I13292" s="30" t="s">
        <v>21</v>
      </c>
      <c r="J13292" s="41">
        <v>45044</v>
      </c>
      <c r="K13292" s="30" t="s">
        <v>22</v>
      </c>
    </row>
    <row r="13293" spans="1:11">
      <c r="A13293" s="33" t="s">
        <v>30078</v>
      </c>
      <c r="B13293" s="33" t="s">
        <v>30079</v>
      </c>
      <c r="C13293" s="33" t="s">
        <v>647</v>
      </c>
      <c r="D13293" s="33" t="s">
        <v>17</v>
      </c>
      <c r="E13293" s="33" t="s">
        <v>18</v>
      </c>
      <c r="F13293" s="33" t="s">
        <v>19</v>
      </c>
      <c r="G13293" s="33" t="s">
        <v>140</v>
      </c>
      <c r="H13293" s="35">
        <v>1200</v>
      </c>
      <c r="I13293" s="33" t="s">
        <v>51</v>
      </c>
      <c r="J13293" s="42">
        <v>45273</v>
      </c>
      <c r="K13293" s="33" t="s">
        <v>22</v>
      </c>
    </row>
    <row r="13294" spans="1:11">
      <c r="A13294" s="30" t="s">
        <v>30080</v>
      </c>
      <c r="B13294" s="30" t="s">
        <v>30081</v>
      </c>
      <c r="C13294" s="30" t="s">
        <v>96</v>
      </c>
      <c r="D13294" s="30" t="s">
        <v>17</v>
      </c>
      <c r="E13294" s="30" t="s">
        <v>26</v>
      </c>
      <c r="F13294" s="30" t="s">
        <v>27</v>
      </c>
      <c r="G13294" s="30" t="s">
        <v>20</v>
      </c>
      <c r="H13294" s="32">
        <v>44</v>
      </c>
      <c r="I13294" s="30" t="s">
        <v>21</v>
      </c>
      <c r="J13294" s="41">
        <v>45033</v>
      </c>
      <c r="K13294" s="30" t="s">
        <v>22</v>
      </c>
    </row>
    <row r="13295" spans="1:11">
      <c r="A13295" s="33" t="s">
        <v>30082</v>
      </c>
      <c r="B13295" s="33" t="s">
        <v>30083</v>
      </c>
      <c r="C13295" s="33" t="s">
        <v>18431</v>
      </c>
      <c r="D13295" s="33" t="s">
        <v>17</v>
      </c>
      <c r="E13295" s="33" t="s">
        <v>18</v>
      </c>
      <c r="F13295" s="33" t="s">
        <v>19</v>
      </c>
      <c r="G13295" s="33" t="s">
        <v>20</v>
      </c>
      <c r="H13295" s="35">
        <v>300</v>
      </c>
      <c r="I13295" s="33" t="s">
        <v>21</v>
      </c>
      <c r="J13295" s="42">
        <v>45196</v>
      </c>
      <c r="K13295" s="33" t="s">
        <v>22</v>
      </c>
    </row>
    <row r="13296" spans="1:11">
      <c r="A13296" s="30" t="s">
        <v>30084</v>
      </c>
      <c r="B13296" s="30" t="s">
        <v>30085</v>
      </c>
      <c r="C13296" s="30" t="s">
        <v>75</v>
      </c>
      <c r="D13296" s="30" t="s">
        <v>17</v>
      </c>
      <c r="E13296" s="30" t="s">
        <v>26</v>
      </c>
      <c r="F13296" s="30" t="s">
        <v>27</v>
      </c>
      <c r="G13296" s="30" t="s">
        <v>20</v>
      </c>
      <c r="H13296" s="32">
        <v>8</v>
      </c>
      <c r="I13296" s="30" t="s">
        <v>21</v>
      </c>
      <c r="J13296" s="41">
        <v>45051</v>
      </c>
      <c r="K13296" s="30" t="s">
        <v>22</v>
      </c>
    </row>
    <row r="13297" spans="1:11">
      <c r="A13297" s="33" t="s">
        <v>30086</v>
      </c>
      <c r="B13297" s="33" t="s">
        <v>30087</v>
      </c>
      <c r="C13297" s="33" t="s">
        <v>30088</v>
      </c>
      <c r="D13297" s="33" t="s">
        <v>17</v>
      </c>
      <c r="E13297" s="33" t="s">
        <v>31</v>
      </c>
      <c r="F13297" s="33" t="s">
        <v>32</v>
      </c>
      <c r="G13297" s="33" t="s">
        <v>106</v>
      </c>
      <c r="H13297" s="35">
        <v>76</v>
      </c>
      <c r="I13297" s="33" t="s">
        <v>21</v>
      </c>
      <c r="J13297" s="42">
        <v>45209</v>
      </c>
      <c r="K13297" s="33" t="s">
        <v>22</v>
      </c>
    </row>
    <row r="13298" spans="1:11">
      <c r="A13298" s="30" t="s">
        <v>30089</v>
      </c>
      <c r="B13298" s="30" t="s">
        <v>30090</v>
      </c>
      <c r="C13298" s="30" t="s">
        <v>190</v>
      </c>
      <c r="D13298" s="30" t="s">
        <v>17</v>
      </c>
      <c r="E13298" s="30" t="s">
        <v>31</v>
      </c>
      <c r="F13298" s="30" t="s">
        <v>32</v>
      </c>
      <c r="G13298" s="30" t="s">
        <v>20</v>
      </c>
      <c r="H13298" s="32">
        <v>116</v>
      </c>
      <c r="I13298" s="30" t="s">
        <v>21</v>
      </c>
      <c r="J13298" s="41">
        <v>45198</v>
      </c>
      <c r="K13298" s="30" t="s">
        <v>22</v>
      </c>
    </row>
    <row r="13299" spans="1:11">
      <c r="A13299" s="33" t="s">
        <v>30091</v>
      </c>
      <c r="B13299" s="33" t="s">
        <v>30092</v>
      </c>
      <c r="C13299" s="33" t="s">
        <v>157</v>
      </c>
      <c r="D13299" s="33" t="s">
        <v>17</v>
      </c>
      <c r="E13299" s="33" t="s">
        <v>26</v>
      </c>
      <c r="F13299" s="33" t="s">
        <v>27</v>
      </c>
      <c r="G13299" s="33" t="s">
        <v>106</v>
      </c>
      <c r="H13299" s="35">
        <v>3</v>
      </c>
      <c r="I13299" s="33" t="s">
        <v>21</v>
      </c>
      <c r="J13299" s="42">
        <v>45244</v>
      </c>
      <c r="K13299" s="33" t="s">
        <v>22</v>
      </c>
    </row>
    <row r="13300" spans="1:11">
      <c r="A13300" s="30" t="s">
        <v>30093</v>
      </c>
      <c r="B13300" s="30" t="s">
        <v>30094</v>
      </c>
      <c r="C13300" s="30" t="s">
        <v>30095</v>
      </c>
      <c r="D13300" s="30" t="s">
        <v>17</v>
      </c>
      <c r="E13300" s="30" t="s">
        <v>330</v>
      </c>
      <c r="F13300" s="30" t="s">
        <v>331</v>
      </c>
      <c r="G13300" s="30" t="s">
        <v>112</v>
      </c>
      <c r="H13300" s="32">
        <v>0</v>
      </c>
      <c r="I13300" s="30" t="s">
        <v>21</v>
      </c>
      <c r="J13300" s="41">
        <v>45015</v>
      </c>
      <c r="K13300" s="30" t="s">
        <v>22</v>
      </c>
    </row>
    <row r="13301" spans="1:11">
      <c r="A13301" s="33" t="s">
        <v>30096</v>
      </c>
      <c r="B13301" s="33" t="s">
        <v>30097</v>
      </c>
      <c r="C13301" s="33" t="s">
        <v>1324</v>
      </c>
      <c r="D13301" s="33" t="s">
        <v>17</v>
      </c>
      <c r="E13301" s="33" t="s">
        <v>26</v>
      </c>
      <c r="F13301" s="33" t="s">
        <v>27</v>
      </c>
      <c r="G13301" s="33" t="s">
        <v>20</v>
      </c>
      <c r="H13301" s="35">
        <v>9</v>
      </c>
      <c r="I13301" s="33" t="s">
        <v>21</v>
      </c>
      <c r="J13301" s="42">
        <v>45104</v>
      </c>
      <c r="K13301" s="33" t="s">
        <v>22</v>
      </c>
    </row>
    <row r="13302" spans="1:11">
      <c r="A13302" s="30" t="s">
        <v>30098</v>
      </c>
      <c r="B13302" s="30" t="s">
        <v>30099</v>
      </c>
      <c r="C13302" s="30" t="s">
        <v>75</v>
      </c>
      <c r="D13302" s="30" t="s">
        <v>17</v>
      </c>
      <c r="E13302" s="30" t="s">
        <v>18</v>
      </c>
      <c r="F13302" s="30" t="s">
        <v>19</v>
      </c>
      <c r="G13302" s="30" t="s">
        <v>158</v>
      </c>
      <c r="H13302" s="32">
        <v>513</v>
      </c>
      <c r="I13302" s="30" t="s">
        <v>21</v>
      </c>
      <c r="J13302" s="41">
        <v>44938</v>
      </c>
      <c r="K13302" s="30" t="s">
        <v>22</v>
      </c>
    </row>
    <row r="13303" spans="1:11">
      <c r="A13303" s="33" t="s">
        <v>30100</v>
      </c>
      <c r="B13303" s="33" t="s">
        <v>30101</v>
      </c>
      <c r="C13303" s="33" t="s">
        <v>130</v>
      </c>
      <c r="D13303" s="33" t="s">
        <v>17</v>
      </c>
      <c r="E13303" s="33" t="s">
        <v>31</v>
      </c>
      <c r="F13303" s="33" t="s">
        <v>32</v>
      </c>
      <c r="G13303" s="33" t="s">
        <v>158</v>
      </c>
      <c r="H13303" s="35">
        <v>63</v>
      </c>
      <c r="I13303" s="33" t="s">
        <v>21</v>
      </c>
      <c r="J13303" s="42">
        <v>45208</v>
      </c>
      <c r="K13303" s="33" t="s">
        <v>22</v>
      </c>
    </row>
    <row r="13304" spans="1:11">
      <c r="A13304" s="30" t="s">
        <v>30102</v>
      </c>
      <c r="B13304" s="30" t="s">
        <v>30103</v>
      </c>
      <c r="C13304" s="30" t="s">
        <v>149</v>
      </c>
      <c r="D13304" s="30" t="s">
        <v>17</v>
      </c>
      <c r="E13304" s="30" t="s">
        <v>26</v>
      </c>
      <c r="F13304" s="30" t="s">
        <v>27</v>
      </c>
      <c r="G13304" s="30" t="s">
        <v>20</v>
      </c>
      <c r="H13304" s="32">
        <v>12</v>
      </c>
      <c r="I13304" s="30" t="s">
        <v>21</v>
      </c>
      <c r="J13304" s="41">
        <v>45069</v>
      </c>
      <c r="K13304" s="30" t="s">
        <v>22</v>
      </c>
    </row>
    <row r="13305" spans="1:11">
      <c r="A13305" s="33" t="s">
        <v>30104</v>
      </c>
      <c r="B13305" s="33" t="s">
        <v>30105</v>
      </c>
      <c r="C13305" s="33" t="s">
        <v>5398</v>
      </c>
      <c r="D13305" s="33" t="s">
        <v>17</v>
      </c>
      <c r="E13305" s="33" t="s">
        <v>45</v>
      </c>
      <c r="F13305" s="33" t="s">
        <v>46</v>
      </c>
      <c r="G13305" s="33" t="s">
        <v>140</v>
      </c>
      <c r="H13305" s="35">
        <v>80</v>
      </c>
      <c r="I13305" s="33" t="s">
        <v>51</v>
      </c>
      <c r="J13305" s="42">
        <v>45279</v>
      </c>
      <c r="K13305" s="33" t="s">
        <v>22</v>
      </c>
    </row>
    <row r="13306" spans="1:11">
      <c r="A13306" s="30" t="s">
        <v>30106</v>
      </c>
      <c r="B13306" s="30" t="s">
        <v>30107</v>
      </c>
      <c r="C13306" s="30" t="s">
        <v>771</v>
      </c>
      <c r="D13306" s="30" t="s">
        <v>17</v>
      </c>
      <c r="E13306" s="30" t="s">
        <v>67</v>
      </c>
      <c r="F13306" s="30" t="s">
        <v>68</v>
      </c>
      <c r="G13306" s="30" t="s">
        <v>158</v>
      </c>
      <c r="H13306" s="32">
        <v>111</v>
      </c>
      <c r="I13306" s="30" t="s">
        <v>21</v>
      </c>
      <c r="J13306" s="41">
        <v>44965</v>
      </c>
      <c r="K13306" s="30" t="s">
        <v>22</v>
      </c>
    </row>
    <row r="13307" spans="1:11">
      <c r="A13307" s="33" t="s">
        <v>30108</v>
      </c>
      <c r="B13307" s="33" t="s">
        <v>30109</v>
      </c>
      <c r="C13307" s="33" t="s">
        <v>20744</v>
      </c>
      <c r="D13307" s="33" t="s">
        <v>17</v>
      </c>
      <c r="E13307" s="33" t="s">
        <v>26</v>
      </c>
      <c r="F13307" s="33" t="s">
        <v>27</v>
      </c>
      <c r="G13307" s="33" t="s">
        <v>112</v>
      </c>
      <c r="H13307" s="35">
        <v>0</v>
      </c>
      <c r="I13307" s="33" t="s">
        <v>21</v>
      </c>
      <c r="J13307" s="42">
        <v>45082</v>
      </c>
      <c r="K13307" s="33" t="s">
        <v>22</v>
      </c>
    </row>
    <row r="13308" spans="1:11">
      <c r="A13308" s="30" t="s">
        <v>30110</v>
      </c>
      <c r="B13308" s="30" t="s">
        <v>30111</v>
      </c>
      <c r="C13308" s="30" t="s">
        <v>25444</v>
      </c>
      <c r="D13308" s="30" t="s">
        <v>17</v>
      </c>
      <c r="E13308" s="30" t="s">
        <v>67</v>
      </c>
      <c r="F13308" s="30" t="s">
        <v>68</v>
      </c>
      <c r="G13308" s="30" t="s">
        <v>158</v>
      </c>
      <c r="H13308" s="32">
        <v>5</v>
      </c>
      <c r="I13308" s="30" t="s">
        <v>21</v>
      </c>
      <c r="J13308" s="41">
        <v>45071</v>
      </c>
      <c r="K13308" s="30" t="s">
        <v>22</v>
      </c>
    </row>
    <row r="13309" spans="1:11">
      <c r="A13309" s="33" t="s">
        <v>30112</v>
      </c>
      <c r="B13309" s="33" t="s">
        <v>30113</v>
      </c>
      <c r="C13309" s="33" t="s">
        <v>3296</v>
      </c>
      <c r="D13309" s="33" t="s">
        <v>17</v>
      </c>
      <c r="E13309" s="33" t="s">
        <v>26</v>
      </c>
      <c r="F13309" s="33" t="s">
        <v>27</v>
      </c>
      <c r="G13309" s="33" t="s">
        <v>20</v>
      </c>
      <c r="H13309" s="35">
        <v>37</v>
      </c>
      <c r="I13309" s="33" t="s">
        <v>21</v>
      </c>
      <c r="J13309" s="42">
        <v>45160</v>
      </c>
      <c r="K13309" s="33" t="s">
        <v>22</v>
      </c>
    </row>
    <row r="13310" spans="1:11">
      <c r="A13310" s="30" t="s">
        <v>30114</v>
      </c>
      <c r="B13310" s="30" t="s">
        <v>30115</v>
      </c>
      <c r="C13310" s="30" t="s">
        <v>969</v>
      </c>
      <c r="D13310" s="30" t="s">
        <v>17</v>
      </c>
      <c r="E13310" s="30" t="s">
        <v>18</v>
      </c>
      <c r="F13310" s="30" t="s">
        <v>19</v>
      </c>
      <c r="G13310" s="30" t="s">
        <v>140</v>
      </c>
      <c r="H13310" s="32">
        <v>892</v>
      </c>
      <c r="I13310" s="30" t="s">
        <v>51</v>
      </c>
      <c r="J13310" s="41">
        <v>45139</v>
      </c>
      <c r="K13310" s="30" t="s">
        <v>22</v>
      </c>
    </row>
    <row r="13311" spans="1:11">
      <c r="A13311" s="33" t="s">
        <v>30116</v>
      </c>
      <c r="B13311" s="33" t="s">
        <v>30117</v>
      </c>
      <c r="C13311" s="33" t="s">
        <v>30118</v>
      </c>
      <c r="D13311" s="33" t="s">
        <v>17</v>
      </c>
      <c r="E13311" s="33" t="s">
        <v>26</v>
      </c>
      <c r="F13311" s="33" t="s">
        <v>27</v>
      </c>
      <c r="G13311" s="33" t="s">
        <v>140</v>
      </c>
      <c r="H13311" s="35">
        <v>20</v>
      </c>
      <c r="I13311" s="33" t="s">
        <v>51</v>
      </c>
      <c r="J13311" s="42">
        <v>45251</v>
      </c>
      <c r="K13311" s="33" t="s">
        <v>22</v>
      </c>
    </row>
    <row r="13312" spans="1:11">
      <c r="A13312" s="30" t="s">
        <v>30119</v>
      </c>
      <c r="B13312" s="30" t="s">
        <v>30120</v>
      </c>
      <c r="C13312" s="30" t="s">
        <v>75</v>
      </c>
      <c r="D13312" s="30" t="s">
        <v>17</v>
      </c>
      <c r="E13312" s="30" t="s">
        <v>18</v>
      </c>
      <c r="F13312" s="30" t="s">
        <v>19</v>
      </c>
      <c r="G13312" s="30" t="s">
        <v>158</v>
      </c>
      <c r="H13312" s="32">
        <v>190</v>
      </c>
      <c r="I13312" s="30" t="s">
        <v>51</v>
      </c>
      <c r="J13312" s="41">
        <v>45281</v>
      </c>
      <c r="K13312" s="30" t="s">
        <v>22</v>
      </c>
    </row>
    <row r="13313" spans="1:11">
      <c r="A13313" s="33" t="s">
        <v>30121</v>
      </c>
      <c r="B13313" s="33" t="s">
        <v>30122</v>
      </c>
      <c r="C13313" s="33" t="s">
        <v>19328</v>
      </c>
      <c r="D13313" s="33" t="s">
        <v>17</v>
      </c>
      <c r="E13313" s="33" t="s">
        <v>31</v>
      </c>
      <c r="F13313" s="33" t="s">
        <v>32</v>
      </c>
      <c r="G13313" s="33" t="s">
        <v>106</v>
      </c>
      <c r="H13313" s="35">
        <v>36</v>
      </c>
      <c r="I13313" s="33" t="s">
        <v>21</v>
      </c>
      <c r="J13313" s="42">
        <v>45175</v>
      </c>
      <c r="K13313" s="33" t="s">
        <v>22</v>
      </c>
    </row>
    <row r="13314" spans="1:11">
      <c r="A13314" s="30" t="s">
        <v>30123</v>
      </c>
      <c r="B13314" s="30" t="s">
        <v>30124</v>
      </c>
      <c r="C13314" s="30" t="s">
        <v>3647</v>
      </c>
      <c r="D13314" s="30" t="s">
        <v>17</v>
      </c>
      <c r="E13314" s="30" t="s">
        <v>26</v>
      </c>
      <c r="F13314" s="30" t="s">
        <v>27</v>
      </c>
      <c r="G13314" s="30" t="s">
        <v>20</v>
      </c>
      <c r="H13314" s="32">
        <v>95</v>
      </c>
      <c r="I13314" s="30" t="s">
        <v>21</v>
      </c>
      <c r="J13314" s="41">
        <v>45014</v>
      </c>
      <c r="K13314" s="30" t="s">
        <v>22</v>
      </c>
    </row>
    <row r="13315" spans="1:11">
      <c r="A13315" s="33" t="s">
        <v>30125</v>
      </c>
      <c r="B13315" s="33" t="s">
        <v>30126</v>
      </c>
      <c r="C13315" s="33" t="s">
        <v>102</v>
      </c>
      <c r="D13315" s="33" t="s">
        <v>17</v>
      </c>
      <c r="E13315" s="33" t="s">
        <v>18</v>
      </c>
      <c r="F13315" s="33" t="s">
        <v>19</v>
      </c>
      <c r="G13315" s="33" t="s">
        <v>20</v>
      </c>
      <c r="H13315" s="35">
        <v>14194</v>
      </c>
      <c r="I13315" s="33" t="s">
        <v>21</v>
      </c>
      <c r="J13315" s="42">
        <v>45023</v>
      </c>
      <c r="K13315" s="33" t="s">
        <v>22</v>
      </c>
    </row>
    <row r="13316" spans="1:11">
      <c r="A13316" s="30" t="s">
        <v>30127</v>
      </c>
      <c r="B13316" s="30" t="s">
        <v>30128</v>
      </c>
      <c r="C13316" s="30" t="s">
        <v>3296</v>
      </c>
      <c r="D13316" s="30" t="s">
        <v>17</v>
      </c>
      <c r="E13316" s="30" t="s">
        <v>26</v>
      </c>
      <c r="F13316" s="30" t="s">
        <v>27</v>
      </c>
      <c r="G13316" s="30" t="s">
        <v>20</v>
      </c>
      <c r="H13316" s="32">
        <v>18</v>
      </c>
      <c r="I13316" s="30" t="s">
        <v>21</v>
      </c>
      <c r="J13316" s="41">
        <v>45156</v>
      </c>
      <c r="K13316" s="30" t="s">
        <v>22</v>
      </c>
    </row>
    <row r="13317" spans="1:11">
      <c r="A13317" s="33" t="s">
        <v>30129</v>
      </c>
      <c r="B13317" s="33" t="s">
        <v>30130</v>
      </c>
      <c r="C13317" s="33" t="s">
        <v>9490</v>
      </c>
      <c r="D13317" s="33" t="s">
        <v>17</v>
      </c>
      <c r="E13317" s="33" t="s">
        <v>31</v>
      </c>
      <c r="F13317" s="33" t="s">
        <v>32</v>
      </c>
      <c r="G13317" s="33" t="s">
        <v>20</v>
      </c>
      <c r="H13317" s="35">
        <v>124</v>
      </c>
      <c r="I13317" s="33" t="s">
        <v>21</v>
      </c>
      <c r="J13317" s="42">
        <v>45224</v>
      </c>
      <c r="K13317" s="33" t="s">
        <v>22</v>
      </c>
    </row>
    <row r="13318" spans="1:11">
      <c r="A13318" s="30" t="s">
        <v>30131</v>
      </c>
      <c r="B13318" s="30" t="s">
        <v>30132</v>
      </c>
      <c r="C13318" s="30" t="s">
        <v>1908</v>
      </c>
      <c r="D13318" s="30" t="s">
        <v>17</v>
      </c>
      <c r="E13318" s="30" t="s">
        <v>26</v>
      </c>
      <c r="F13318" s="30" t="s">
        <v>27</v>
      </c>
      <c r="G13318" s="30" t="s">
        <v>20</v>
      </c>
      <c r="H13318" s="32">
        <v>81</v>
      </c>
      <c r="I13318" s="30" t="s">
        <v>21</v>
      </c>
      <c r="J13318" s="41">
        <v>45204</v>
      </c>
      <c r="K13318" s="30" t="s">
        <v>22</v>
      </c>
    </row>
    <row r="13319" spans="1:11">
      <c r="A13319" s="33" t="s">
        <v>30133</v>
      </c>
      <c r="B13319" s="33" t="s">
        <v>30134</v>
      </c>
      <c r="C13319" s="33" t="s">
        <v>5319</v>
      </c>
      <c r="D13319" s="33" t="s">
        <v>17</v>
      </c>
      <c r="E13319" s="33" t="s">
        <v>26</v>
      </c>
      <c r="F13319" s="33" t="s">
        <v>27</v>
      </c>
      <c r="G13319" s="33" t="s">
        <v>20</v>
      </c>
      <c r="H13319" s="35">
        <v>32</v>
      </c>
      <c r="I13319" s="33" t="s">
        <v>21</v>
      </c>
      <c r="J13319" s="42">
        <v>44999</v>
      </c>
      <c r="K13319" s="33" t="s">
        <v>22</v>
      </c>
    </row>
    <row r="13320" spans="1:11">
      <c r="A13320" s="30" t="s">
        <v>30135</v>
      </c>
      <c r="B13320" s="30" t="s">
        <v>30136</v>
      </c>
      <c r="C13320" s="30" t="s">
        <v>2196</v>
      </c>
      <c r="D13320" s="30" t="s">
        <v>17</v>
      </c>
      <c r="E13320" s="30" t="s">
        <v>26</v>
      </c>
      <c r="F13320" s="30" t="s">
        <v>27</v>
      </c>
      <c r="G13320" s="30" t="s">
        <v>20</v>
      </c>
      <c r="H13320" s="32">
        <v>24</v>
      </c>
      <c r="I13320" s="30" t="s">
        <v>21</v>
      </c>
      <c r="J13320" s="41">
        <v>45002</v>
      </c>
      <c r="K13320" s="30" t="s">
        <v>22</v>
      </c>
    </row>
    <row r="13321" spans="1:11">
      <c r="A13321" s="33" t="s">
        <v>30137</v>
      </c>
      <c r="B13321" s="33" t="s">
        <v>30138</v>
      </c>
      <c r="C13321" s="33" t="s">
        <v>2472</v>
      </c>
      <c r="D13321" s="33" t="s">
        <v>17</v>
      </c>
      <c r="E13321" s="33" t="s">
        <v>26</v>
      </c>
      <c r="F13321" s="33" t="s">
        <v>27</v>
      </c>
      <c r="G13321" s="33" t="s">
        <v>158</v>
      </c>
      <c r="H13321" s="35">
        <v>482</v>
      </c>
      <c r="I13321" s="33" t="s">
        <v>21</v>
      </c>
      <c r="J13321" s="42">
        <v>45021</v>
      </c>
      <c r="K13321" s="33" t="s">
        <v>22</v>
      </c>
    </row>
    <row r="13322" spans="1:11">
      <c r="A13322" s="30" t="s">
        <v>30139</v>
      </c>
      <c r="B13322" s="30" t="s">
        <v>30140</v>
      </c>
      <c r="C13322" s="30" t="s">
        <v>15545</v>
      </c>
      <c r="D13322" s="30" t="s">
        <v>17</v>
      </c>
      <c r="E13322" s="30" t="s">
        <v>31</v>
      </c>
      <c r="F13322" s="30" t="s">
        <v>32</v>
      </c>
      <c r="G13322" s="30" t="s">
        <v>20</v>
      </c>
      <c r="H13322" s="32">
        <v>240</v>
      </c>
      <c r="I13322" s="30" t="s">
        <v>21</v>
      </c>
      <c r="J13322" s="41">
        <v>44971</v>
      </c>
      <c r="K13322" s="30" t="s">
        <v>22</v>
      </c>
    </row>
    <row r="13323" spans="1:11">
      <c r="A13323" s="33" t="s">
        <v>30141</v>
      </c>
      <c r="B13323" s="33" t="s">
        <v>30142</v>
      </c>
      <c r="C13323" s="33" t="s">
        <v>178</v>
      </c>
      <c r="D13323" s="33" t="s">
        <v>17</v>
      </c>
      <c r="E13323" s="33" t="s">
        <v>18</v>
      </c>
      <c r="F13323" s="33" t="s">
        <v>19</v>
      </c>
      <c r="G13323" s="33" t="s">
        <v>158</v>
      </c>
      <c r="H13323" s="35">
        <v>85</v>
      </c>
      <c r="I13323" s="33" t="s">
        <v>21</v>
      </c>
      <c r="J13323" s="42">
        <v>45014</v>
      </c>
      <c r="K13323" s="33" t="s">
        <v>22</v>
      </c>
    </row>
    <row r="13324" spans="1:11">
      <c r="A13324" s="30" t="s">
        <v>30143</v>
      </c>
      <c r="B13324" s="30" t="s">
        <v>30144</v>
      </c>
      <c r="C13324" s="30" t="s">
        <v>10569</v>
      </c>
      <c r="D13324" s="30" t="s">
        <v>17</v>
      </c>
      <c r="E13324" s="30" t="s">
        <v>45</v>
      </c>
      <c r="F13324" s="30" t="s">
        <v>46</v>
      </c>
      <c r="G13324" s="30" t="s">
        <v>20</v>
      </c>
      <c r="H13324" s="32">
        <v>913</v>
      </c>
      <c r="I13324" s="30" t="s">
        <v>21</v>
      </c>
      <c r="J13324" s="41">
        <v>45245</v>
      </c>
      <c r="K13324" s="30" t="s">
        <v>22</v>
      </c>
    </row>
    <row r="13325" spans="1:11">
      <c r="A13325" s="33" t="s">
        <v>30145</v>
      </c>
      <c r="B13325" s="33" t="s">
        <v>30146</v>
      </c>
      <c r="C13325" s="33" t="s">
        <v>7834</v>
      </c>
      <c r="D13325" s="33" t="s">
        <v>17</v>
      </c>
      <c r="E13325" s="33" t="s">
        <v>18</v>
      </c>
      <c r="F13325" s="33" t="s">
        <v>19</v>
      </c>
      <c r="G13325" s="33" t="s">
        <v>106</v>
      </c>
      <c r="H13325" s="35">
        <v>412</v>
      </c>
      <c r="I13325" s="33" t="s">
        <v>21</v>
      </c>
      <c r="J13325" s="42">
        <v>45268</v>
      </c>
      <c r="K13325" s="33" t="s">
        <v>22</v>
      </c>
    </row>
    <row r="13326" spans="1:11">
      <c r="A13326" s="30" t="s">
        <v>30147</v>
      </c>
      <c r="B13326" s="30" t="s">
        <v>30148</v>
      </c>
      <c r="C13326" s="30" t="s">
        <v>30149</v>
      </c>
      <c r="D13326" s="30" t="s">
        <v>17</v>
      </c>
      <c r="E13326" s="30" t="s">
        <v>26</v>
      </c>
      <c r="F13326" s="30" t="s">
        <v>27</v>
      </c>
      <c r="G13326" s="30" t="s">
        <v>50</v>
      </c>
      <c r="H13326" s="32">
        <v>20</v>
      </c>
      <c r="I13326" s="30" t="s">
        <v>51</v>
      </c>
      <c r="J13326" s="41">
        <v>45231</v>
      </c>
      <c r="K13326" s="30" t="s">
        <v>22</v>
      </c>
    </row>
    <row r="13327" spans="1:11">
      <c r="A13327" s="33" t="s">
        <v>30150</v>
      </c>
      <c r="B13327" s="33" t="s">
        <v>30151</v>
      </c>
      <c r="C13327" s="33" t="s">
        <v>1090</v>
      </c>
      <c r="D13327" s="33" t="s">
        <v>17</v>
      </c>
      <c r="E13327" s="33" t="s">
        <v>18</v>
      </c>
      <c r="F13327" s="33" t="s">
        <v>19</v>
      </c>
      <c r="G13327" s="33" t="s">
        <v>20</v>
      </c>
      <c r="H13327" s="35">
        <v>192</v>
      </c>
      <c r="I13327" s="33" t="s">
        <v>21</v>
      </c>
      <c r="J13327" s="42">
        <v>45063</v>
      </c>
      <c r="K13327" s="33" t="s">
        <v>22</v>
      </c>
    </row>
    <row r="13328" spans="1:11">
      <c r="A13328" s="30" t="s">
        <v>30152</v>
      </c>
      <c r="B13328" s="30" t="s">
        <v>30153</v>
      </c>
      <c r="C13328" s="30" t="s">
        <v>1415</v>
      </c>
      <c r="D13328" s="30" t="s">
        <v>17</v>
      </c>
      <c r="E13328" s="30" t="s">
        <v>31</v>
      </c>
      <c r="F13328" s="30" t="s">
        <v>32</v>
      </c>
      <c r="G13328" s="30" t="s">
        <v>20</v>
      </c>
      <c r="H13328" s="32">
        <v>180</v>
      </c>
      <c r="I13328" s="30" t="s">
        <v>21</v>
      </c>
      <c r="J13328" s="41">
        <v>45029</v>
      </c>
      <c r="K13328" s="30" t="s">
        <v>22</v>
      </c>
    </row>
    <row r="13329" spans="1:11">
      <c r="A13329" s="33" t="s">
        <v>30154</v>
      </c>
      <c r="B13329" s="33" t="s">
        <v>30155</v>
      </c>
      <c r="C13329" s="33" t="s">
        <v>399</v>
      </c>
      <c r="D13329" s="33" t="s">
        <v>17</v>
      </c>
      <c r="E13329" s="33" t="s">
        <v>26</v>
      </c>
      <c r="F13329" s="33" t="s">
        <v>27</v>
      </c>
      <c r="G13329" s="33" t="s">
        <v>20</v>
      </c>
      <c r="H13329" s="35">
        <v>60</v>
      </c>
      <c r="I13329" s="33" t="s">
        <v>21</v>
      </c>
      <c r="J13329" s="42">
        <v>45098</v>
      </c>
      <c r="K13329" s="33" t="s">
        <v>22</v>
      </c>
    </row>
    <row r="13330" spans="1:11">
      <c r="A13330" s="30" t="s">
        <v>30156</v>
      </c>
      <c r="B13330" s="30" t="s">
        <v>30157</v>
      </c>
      <c r="C13330" s="30" t="s">
        <v>891</v>
      </c>
      <c r="D13330" s="30" t="s">
        <v>17</v>
      </c>
      <c r="E13330" s="30" t="s">
        <v>26</v>
      </c>
      <c r="F13330" s="30" t="s">
        <v>27</v>
      </c>
      <c r="G13330" s="30" t="s">
        <v>112</v>
      </c>
      <c r="H13330" s="32">
        <v>0</v>
      </c>
      <c r="I13330" s="30" t="s">
        <v>21</v>
      </c>
      <c r="J13330" s="41">
        <v>45016</v>
      </c>
      <c r="K13330" s="30" t="s">
        <v>22</v>
      </c>
    </row>
    <row r="13331" spans="1:11">
      <c r="A13331" s="33" t="s">
        <v>30158</v>
      </c>
      <c r="B13331" s="33" t="s">
        <v>30159</v>
      </c>
      <c r="C13331" s="33" t="s">
        <v>93</v>
      </c>
      <c r="D13331" s="33" t="s">
        <v>17</v>
      </c>
      <c r="E13331" s="33" t="s">
        <v>26</v>
      </c>
      <c r="F13331" s="33" t="s">
        <v>27</v>
      </c>
      <c r="G13331" s="33" t="s">
        <v>158</v>
      </c>
      <c r="H13331" s="35">
        <v>135</v>
      </c>
      <c r="I13331" s="33" t="s">
        <v>21</v>
      </c>
      <c r="J13331" s="42">
        <v>45086</v>
      </c>
      <c r="K13331" s="33" t="s">
        <v>22</v>
      </c>
    </row>
    <row r="13332" spans="1:11">
      <c r="A13332" s="30" t="s">
        <v>30160</v>
      </c>
      <c r="B13332" s="30" t="s">
        <v>30161</v>
      </c>
      <c r="C13332" s="30" t="s">
        <v>60</v>
      </c>
      <c r="D13332" s="30" t="s">
        <v>17</v>
      </c>
      <c r="E13332" s="30" t="s">
        <v>26</v>
      </c>
      <c r="F13332" s="30" t="s">
        <v>27</v>
      </c>
      <c r="G13332" s="30" t="s">
        <v>20</v>
      </c>
      <c r="H13332" s="32">
        <v>16</v>
      </c>
      <c r="I13332" s="30" t="s">
        <v>21</v>
      </c>
      <c r="J13332" s="41">
        <v>45089</v>
      </c>
      <c r="K13332" s="30" t="s">
        <v>22</v>
      </c>
    </row>
    <row r="13333" spans="1:11">
      <c r="A13333" s="33" t="s">
        <v>30162</v>
      </c>
      <c r="B13333" s="33" t="s">
        <v>30163</v>
      </c>
      <c r="C13333" s="33" t="s">
        <v>15622</v>
      </c>
      <c r="D13333" s="33" t="s">
        <v>17</v>
      </c>
      <c r="E13333" s="33" t="s">
        <v>26</v>
      </c>
      <c r="F13333" s="33" t="s">
        <v>27</v>
      </c>
      <c r="G13333" s="33" t="s">
        <v>20</v>
      </c>
      <c r="H13333" s="35">
        <v>64</v>
      </c>
      <c r="I13333" s="33" t="s">
        <v>21</v>
      </c>
      <c r="J13333" s="42">
        <v>45030</v>
      </c>
      <c r="K13333" s="33" t="s">
        <v>22</v>
      </c>
    </row>
    <row r="13334" spans="1:11">
      <c r="A13334" s="30" t="s">
        <v>30164</v>
      </c>
      <c r="B13334" s="30" t="s">
        <v>30165</v>
      </c>
      <c r="C13334" s="30" t="s">
        <v>30166</v>
      </c>
      <c r="D13334" s="30" t="s">
        <v>17</v>
      </c>
      <c r="E13334" s="30" t="s">
        <v>212</v>
      </c>
      <c r="F13334" s="30" t="s">
        <v>213</v>
      </c>
      <c r="G13334" s="30" t="s">
        <v>20</v>
      </c>
      <c r="H13334" s="32">
        <v>100</v>
      </c>
      <c r="I13334" s="30" t="s">
        <v>21</v>
      </c>
      <c r="J13334" s="41">
        <v>45170</v>
      </c>
      <c r="K13334" s="30" t="s">
        <v>22</v>
      </c>
    </row>
    <row r="13335" spans="1:11">
      <c r="A13335" s="33" t="s">
        <v>30167</v>
      </c>
      <c r="B13335" s="33" t="s">
        <v>30168</v>
      </c>
      <c r="C13335" s="33" t="s">
        <v>54</v>
      </c>
      <c r="D13335" s="33" t="s">
        <v>17</v>
      </c>
      <c r="E13335" s="33" t="s">
        <v>18</v>
      </c>
      <c r="F13335" s="33" t="s">
        <v>19</v>
      </c>
      <c r="G13335" s="33" t="s">
        <v>20</v>
      </c>
      <c r="H13335" s="35">
        <v>165</v>
      </c>
      <c r="I13335" s="33" t="s">
        <v>21</v>
      </c>
      <c r="J13335" s="42">
        <v>45271</v>
      </c>
      <c r="K13335" s="33" t="s">
        <v>22</v>
      </c>
    </row>
    <row r="13336" spans="1:11">
      <c r="A13336" s="30" t="s">
        <v>30169</v>
      </c>
      <c r="B13336" s="30" t="s">
        <v>30170</v>
      </c>
      <c r="C13336" s="30" t="s">
        <v>353</v>
      </c>
      <c r="D13336" s="30" t="s">
        <v>17</v>
      </c>
      <c r="E13336" s="30" t="s">
        <v>26</v>
      </c>
      <c r="F13336" s="30" t="s">
        <v>27</v>
      </c>
      <c r="G13336" s="30" t="s">
        <v>20</v>
      </c>
      <c r="H13336" s="32">
        <v>87</v>
      </c>
      <c r="I13336" s="30" t="s">
        <v>21</v>
      </c>
      <c r="J13336" s="41">
        <v>44991</v>
      </c>
      <c r="K13336" s="30" t="s">
        <v>22</v>
      </c>
    </row>
    <row r="13337" spans="1:11">
      <c r="A13337" s="33" t="s">
        <v>30171</v>
      </c>
      <c r="B13337" s="33" t="s">
        <v>30172</v>
      </c>
      <c r="C13337" s="33" t="s">
        <v>30173</v>
      </c>
      <c r="D13337" s="33" t="s">
        <v>17</v>
      </c>
      <c r="E13337" s="33" t="s">
        <v>26</v>
      </c>
      <c r="F13337" s="33" t="s">
        <v>27</v>
      </c>
      <c r="G13337" s="33" t="s">
        <v>140</v>
      </c>
      <c r="H13337" s="35">
        <v>9</v>
      </c>
      <c r="I13337" s="33" t="s">
        <v>51</v>
      </c>
      <c r="J13337" s="42">
        <v>45239</v>
      </c>
      <c r="K13337" s="33" t="s">
        <v>22</v>
      </c>
    </row>
    <row r="13338" spans="1:11">
      <c r="A13338" s="30" t="s">
        <v>30174</v>
      </c>
      <c r="B13338" s="30" t="s">
        <v>30175</v>
      </c>
      <c r="C13338" s="30" t="s">
        <v>2490</v>
      </c>
      <c r="D13338" s="30" t="s">
        <v>17</v>
      </c>
      <c r="E13338" s="30" t="s">
        <v>18</v>
      </c>
      <c r="F13338" s="30" t="s">
        <v>19</v>
      </c>
      <c r="G13338" s="30" t="s">
        <v>20</v>
      </c>
      <c r="H13338" s="32">
        <v>555</v>
      </c>
      <c r="I13338" s="30" t="s">
        <v>21</v>
      </c>
      <c r="J13338" s="41">
        <v>45142</v>
      </c>
      <c r="K13338" s="30" t="s">
        <v>22</v>
      </c>
    </row>
    <row r="13339" spans="1:11">
      <c r="A13339" s="33" t="s">
        <v>30176</v>
      </c>
      <c r="B13339" s="33" t="s">
        <v>30177</v>
      </c>
      <c r="C13339" s="33" t="s">
        <v>203</v>
      </c>
      <c r="D13339" s="33" t="s">
        <v>17</v>
      </c>
      <c r="E13339" s="33" t="s">
        <v>212</v>
      </c>
      <c r="F13339" s="33" t="s">
        <v>213</v>
      </c>
      <c r="G13339" s="33" t="s">
        <v>158</v>
      </c>
      <c r="H13339" s="35">
        <v>20</v>
      </c>
      <c r="I13339" s="33" t="s">
        <v>51</v>
      </c>
      <c r="J13339" s="42">
        <v>45132</v>
      </c>
      <c r="K13339" s="33" t="s">
        <v>22</v>
      </c>
    </row>
    <row r="13340" spans="1:11">
      <c r="A13340" s="30" t="s">
        <v>30178</v>
      </c>
      <c r="B13340" s="30" t="s">
        <v>30179</v>
      </c>
      <c r="C13340" s="30" t="s">
        <v>21347</v>
      </c>
      <c r="D13340" s="30" t="s">
        <v>17</v>
      </c>
      <c r="E13340" s="30" t="s">
        <v>26</v>
      </c>
      <c r="F13340" s="30" t="s">
        <v>27</v>
      </c>
      <c r="G13340" s="30" t="s">
        <v>158</v>
      </c>
      <c r="H13340" s="32">
        <v>40</v>
      </c>
      <c r="I13340" s="30" t="s">
        <v>51</v>
      </c>
      <c r="J13340" s="41">
        <v>45033</v>
      </c>
      <c r="K13340" s="30" t="s">
        <v>22</v>
      </c>
    </row>
    <row r="13341" spans="1:11">
      <c r="A13341" s="33" t="s">
        <v>30180</v>
      </c>
      <c r="B13341" s="33" t="s">
        <v>30181</v>
      </c>
      <c r="C13341" s="33" t="s">
        <v>252</v>
      </c>
      <c r="D13341" s="33" t="s">
        <v>17</v>
      </c>
      <c r="E13341" s="33" t="s">
        <v>18</v>
      </c>
      <c r="F13341" s="33" t="s">
        <v>19</v>
      </c>
      <c r="G13341" s="33" t="s">
        <v>140</v>
      </c>
      <c r="H13341" s="35">
        <v>570</v>
      </c>
      <c r="I13341" s="33" t="s">
        <v>51</v>
      </c>
      <c r="J13341" s="42">
        <v>44931</v>
      </c>
      <c r="K13341" s="33" t="s">
        <v>22</v>
      </c>
    </row>
    <row r="13342" spans="1:11">
      <c r="A13342" s="30" t="s">
        <v>30182</v>
      </c>
      <c r="B13342" s="30" t="s">
        <v>30183</v>
      </c>
      <c r="C13342" s="30" t="s">
        <v>969</v>
      </c>
      <c r="D13342" s="30" t="s">
        <v>17</v>
      </c>
      <c r="E13342" s="30" t="s">
        <v>67</v>
      </c>
      <c r="F13342" s="30" t="s">
        <v>68</v>
      </c>
      <c r="G13342" s="30" t="s">
        <v>20</v>
      </c>
      <c r="H13342" s="32">
        <v>1275</v>
      </c>
      <c r="I13342" s="30" t="s">
        <v>21</v>
      </c>
      <c r="J13342" s="41">
        <v>45043</v>
      </c>
      <c r="K13342" s="30" t="s">
        <v>22</v>
      </c>
    </row>
    <row r="13343" spans="1:11">
      <c r="A13343" s="33" t="s">
        <v>30184</v>
      </c>
      <c r="B13343" s="33" t="s">
        <v>30185</v>
      </c>
      <c r="C13343" s="33" t="s">
        <v>30186</v>
      </c>
      <c r="D13343" s="33" t="s">
        <v>17</v>
      </c>
      <c r="E13343" s="33" t="s">
        <v>18</v>
      </c>
      <c r="F13343" s="33" t="s">
        <v>19</v>
      </c>
      <c r="G13343" s="33" t="s">
        <v>20</v>
      </c>
      <c r="H13343" s="35">
        <v>553</v>
      </c>
      <c r="I13343" s="33" t="s">
        <v>21</v>
      </c>
      <c r="J13343" s="42">
        <v>45189</v>
      </c>
      <c r="K13343" s="33" t="s">
        <v>22</v>
      </c>
    </row>
    <row r="13344" spans="1:11">
      <c r="A13344" s="30" t="s">
        <v>30187</v>
      </c>
      <c r="B13344" s="30" t="s">
        <v>30188</v>
      </c>
      <c r="C13344" s="30" t="s">
        <v>96</v>
      </c>
      <c r="D13344" s="30" t="s">
        <v>17</v>
      </c>
      <c r="E13344" s="30" t="s">
        <v>67</v>
      </c>
      <c r="F13344" s="30" t="s">
        <v>68</v>
      </c>
      <c r="G13344" s="30" t="s">
        <v>20</v>
      </c>
      <c r="H13344" s="32">
        <v>1363</v>
      </c>
      <c r="I13344" s="30" t="s">
        <v>21</v>
      </c>
      <c r="J13344" s="41">
        <v>45280</v>
      </c>
      <c r="K13344" s="30" t="s">
        <v>22</v>
      </c>
    </row>
    <row r="13345" spans="1:11">
      <c r="A13345" s="33" t="s">
        <v>30189</v>
      </c>
      <c r="B13345" s="33" t="s">
        <v>30190</v>
      </c>
      <c r="C13345" s="33" t="s">
        <v>3944</v>
      </c>
      <c r="D13345" s="33" t="s">
        <v>17</v>
      </c>
      <c r="E13345" s="33" t="s">
        <v>26</v>
      </c>
      <c r="F13345" s="33" t="s">
        <v>27</v>
      </c>
      <c r="G13345" s="33" t="s">
        <v>140</v>
      </c>
      <c r="H13345" s="35">
        <v>24</v>
      </c>
      <c r="I13345" s="33" t="s">
        <v>51</v>
      </c>
      <c r="J13345" s="42">
        <v>45291</v>
      </c>
      <c r="K13345" s="33" t="s">
        <v>22</v>
      </c>
    </row>
    <row r="13346" spans="1:11">
      <c r="A13346" s="30" t="s">
        <v>30191</v>
      </c>
      <c r="B13346" s="30" t="s">
        <v>30192</v>
      </c>
      <c r="C13346" s="30" t="s">
        <v>57</v>
      </c>
      <c r="D13346" s="30" t="s">
        <v>17</v>
      </c>
      <c r="E13346" s="30" t="s">
        <v>18</v>
      </c>
      <c r="F13346" s="30" t="s">
        <v>19</v>
      </c>
      <c r="G13346" s="30" t="s">
        <v>20</v>
      </c>
      <c r="H13346" s="32">
        <v>214</v>
      </c>
      <c r="I13346" s="30" t="s">
        <v>21</v>
      </c>
      <c r="J13346" s="41">
        <v>44980</v>
      </c>
      <c r="K13346" s="30" t="s">
        <v>22</v>
      </c>
    </row>
    <row r="13347" spans="1:11">
      <c r="A13347" s="33" t="s">
        <v>30193</v>
      </c>
      <c r="B13347" s="33" t="s">
        <v>30194</v>
      </c>
      <c r="C13347" s="33" t="s">
        <v>30195</v>
      </c>
      <c r="D13347" s="33" t="s">
        <v>17</v>
      </c>
      <c r="E13347" s="33" t="s">
        <v>330</v>
      </c>
      <c r="F13347" s="33" t="s">
        <v>331</v>
      </c>
      <c r="G13347" s="33" t="s">
        <v>50</v>
      </c>
      <c r="H13347" s="35">
        <v>84</v>
      </c>
      <c r="I13347" s="33" t="s">
        <v>51</v>
      </c>
      <c r="J13347" s="42">
        <v>45078</v>
      </c>
      <c r="K13347" s="33" t="s">
        <v>22</v>
      </c>
    </row>
    <row r="13348" spans="1:11">
      <c r="A13348" s="30" t="s">
        <v>30196</v>
      </c>
      <c r="B13348" s="30" t="s">
        <v>30197</v>
      </c>
      <c r="C13348" s="30" t="s">
        <v>27922</v>
      </c>
      <c r="D13348" s="30" t="s">
        <v>17</v>
      </c>
      <c r="E13348" s="30" t="s">
        <v>26</v>
      </c>
      <c r="F13348" s="30" t="s">
        <v>27</v>
      </c>
      <c r="G13348" s="30" t="s">
        <v>106</v>
      </c>
      <c r="H13348" s="32">
        <v>13</v>
      </c>
      <c r="I13348" s="30" t="s">
        <v>21</v>
      </c>
      <c r="J13348" s="41">
        <v>44938</v>
      </c>
      <c r="K13348" s="30" t="s">
        <v>22</v>
      </c>
    </row>
    <row r="13349" spans="1:11">
      <c r="A13349" s="33" t="s">
        <v>30198</v>
      </c>
      <c r="B13349" s="33" t="s">
        <v>30199</v>
      </c>
      <c r="C13349" s="33" t="s">
        <v>30200</v>
      </c>
      <c r="D13349" s="33" t="s">
        <v>17</v>
      </c>
      <c r="E13349" s="33" t="s">
        <v>26</v>
      </c>
      <c r="F13349" s="33" t="s">
        <v>27</v>
      </c>
      <c r="G13349" s="33" t="s">
        <v>158</v>
      </c>
      <c r="H13349" s="35">
        <v>24</v>
      </c>
      <c r="I13349" s="33" t="s">
        <v>51</v>
      </c>
      <c r="J13349" s="42">
        <v>45112</v>
      </c>
      <c r="K13349" s="33" t="s">
        <v>22</v>
      </c>
    </row>
    <row r="13350" spans="1:11">
      <c r="A13350" s="30" t="s">
        <v>30201</v>
      </c>
      <c r="B13350" s="30" t="s">
        <v>30202</v>
      </c>
      <c r="C13350" s="30" t="s">
        <v>362</v>
      </c>
      <c r="D13350" s="30" t="s">
        <v>17</v>
      </c>
      <c r="E13350" s="30" t="s">
        <v>31</v>
      </c>
      <c r="F13350" s="30" t="s">
        <v>32</v>
      </c>
      <c r="G13350" s="30" t="s">
        <v>20</v>
      </c>
      <c r="H13350" s="32">
        <v>40</v>
      </c>
      <c r="I13350" s="30" t="s">
        <v>21</v>
      </c>
      <c r="J13350" s="41">
        <v>44984</v>
      </c>
      <c r="K13350" s="30" t="s">
        <v>22</v>
      </c>
    </row>
    <row r="13351" spans="1:11">
      <c r="A13351" s="33" t="s">
        <v>30203</v>
      </c>
      <c r="B13351" s="33" t="s">
        <v>30204</v>
      </c>
      <c r="C13351" s="33" t="s">
        <v>30205</v>
      </c>
      <c r="D13351" s="33" t="s">
        <v>17</v>
      </c>
      <c r="E13351" s="33" t="s">
        <v>31</v>
      </c>
      <c r="F13351" s="33" t="s">
        <v>32</v>
      </c>
      <c r="G13351" s="33" t="s">
        <v>50</v>
      </c>
      <c r="H13351" s="35">
        <v>84</v>
      </c>
      <c r="I13351" s="33" t="s">
        <v>51</v>
      </c>
      <c r="J13351" s="42">
        <v>44927</v>
      </c>
      <c r="K13351" s="33" t="s">
        <v>22</v>
      </c>
    </row>
    <row r="13352" spans="1:11">
      <c r="A13352" s="30" t="s">
        <v>30206</v>
      </c>
      <c r="B13352" s="30" t="s">
        <v>30207</v>
      </c>
      <c r="C13352" s="30" t="s">
        <v>4071</v>
      </c>
      <c r="D13352" s="30" t="s">
        <v>17</v>
      </c>
      <c r="E13352" s="30" t="s">
        <v>330</v>
      </c>
      <c r="F13352" s="30" t="s">
        <v>331</v>
      </c>
      <c r="G13352" s="30" t="s">
        <v>20</v>
      </c>
      <c r="H13352" s="32">
        <v>6</v>
      </c>
      <c r="I13352" s="30" t="s">
        <v>21</v>
      </c>
      <c r="J13352" s="41">
        <v>44986</v>
      </c>
      <c r="K13352" s="30" t="s">
        <v>22</v>
      </c>
    </row>
    <row r="13353" spans="1:11">
      <c r="A13353" s="33" t="s">
        <v>30208</v>
      </c>
      <c r="B13353" s="33" t="s">
        <v>30209</v>
      </c>
      <c r="C13353" s="33" t="s">
        <v>4348</v>
      </c>
      <c r="D13353" s="33" t="s">
        <v>17</v>
      </c>
      <c r="E13353" s="33" t="s">
        <v>67</v>
      </c>
      <c r="F13353" s="33" t="s">
        <v>68</v>
      </c>
      <c r="G13353" s="33" t="s">
        <v>140</v>
      </c>
      <c r="H13353" s="35">
        <v>160</v>
      </c>
      <c r="I13353" s="33" t="s">
        <v>51</v>
      </c>
      <c r="J13353" s="42">
        <v>45229</v>
      </c>
      <c r="K13353" s="33" t="s">
        <v>22</v>
      </c>
    </row>
    <row r="13354" spans="1:11">
      <c r="A13354" s="30" t="s">
        <v>30210</v>
      </c>
      <c r="B13354" s="30" t="s">
        <v>30211</v>
      </c>
      <c r="C13354" s="30" t="s">
        <v>57</v>
      </c>
      <c r="D13354" s="30" t="s">
        <v>17</v>
      </c>
      <c r="E13354" s="30" t="s">
        <v>26</v>
      </c>
      <c r="F13354" s="30" t="s">
        <v>27</v>
      </c>
      <c r="G13354" s="30" t="s">
        <v>50</v>
      </c>
      <c r="H13354" s="32">
        <v>8</v>
      </c>
      <c r="I13354" s="30" t="s">
        <v>51</v>
      </c>
      <c r="J13354" s="41">
        <v>44984</v>
      </c>
      <c r="K13354" s="30" t="s">
        <v>22</v>
      </c>
    </row>
    <row r="13355" spans="1:11">
      <c r="A13355" s="33" t="s">
        <v>30212</v>
      </c>
      <c r="B13355" s="33" t="s">
        <v>30213</v>
      </c>
      <c r="C13355" s="33" t="s">
        <v>136</v>
      </c>
      <c r="D13355" s="33" t="s">
        <v>17</v>
      </c>
      <c r="E13355" s="33" t="s">
        <v>26</v>
      </c>
      <c r="F13355" s="33" t="s">
        <v>27</v>
      </c>
      <c r="G13355" s="33" t="s">
        <v>20</v>
      </c>
      <c r="H13355" s="35">
        <v>47</v>
      </c>
      <c r="I13355" s="33" t="s">
        <v>21</v>
      </c>
      <c r="J13355" s="42">
        <v>45002</v>
      </c>
      <c r="K13355" s="33" t="s">
        <v>22</v>
      </c>
    </row>
    <row r="13356" spans="1:11">
      <c r="A13356" s="30" t="s">
        <v>30214</v>
      </c>
      <c r="B13356" s="30" t="s">
        <v>30215</v>
      </c>
      <c r="C13356" s="30" t="s">
        <v>6625</v>
      </c>
      <c r="D13356" s="30" t="s">
        <v>17</v>
      </c>
      <c r="E13356" s="30" t="s">
        <v>31</v>
      </c>
      <c r="F13356" s="30" t="s">
        <v>32</v>
      </c>
      <c r="G13356" s="30" t="s">
        <v>20</v>
      </c>
      <c r="H13356" s="32">
        <v>135</v>
      </c>
      <c r="I13356" s="30" t="s">
        <v>21</v>
      </c>
      <c r="J13356" s="41">
        <v>45180</v>
      </c>
      <c r="K13356" s="30" t="s">
        <v>22</v>
      </c>
    </row>
    <row r="13357" spans="1:11">
      <c r="A13357" s="33" t="s">
        <v>30216</v>
      </c>
      <c r="B13357" s="33" t="s">
        <v>30217</v>
      </c>
      <c r="C13357" s="33" t="s">
        <v>21009</v>
      </c>
      <c r="D13357" s="33" t="s">
        <v>17</v>
      </c>
      <c r="E13357" s="33" t="s">
        <v>18</v>
      </c>
      <c r="F13357" s="33" t="s">
        <v>19</v>
      </c>
      <c r="G13357" s="33" t="s">
        <v>140</v>
      </c>
      <c r="H13357" s="35">
        <v>162</v>
      </c>
      <c r="I13357" s="33" t="s">
        <v>51</v>
      </c>
      <c r="J13357" s="42">
        <v>45243</v>
      </c>
      <c r="K13357" s="33" t="s">
        <v>22</v>
      </c>
    </row>
    <row r="13358" spans="1:11">
      <c r="A13358" s="30" t="s">
        <v>30218</v>
      </c>
      <c r="B13358" s="30" t="s">
        <v>30219</v>
      </c>
      <c r="C13358" s="30" t="s">
        <v>5825</v>
      </c>
      <c r="D13358" s="30" t="s">
        <v>17</v>
      </c>
      <c r="E13358" s="30" t="s">
        <v>26</v>
      </c>
      <c r="F13358" s="30" t="s">
        <v>27</v>
      </c>
      <c r="G13358" s="30" t="s">
        <v>106</v>
      </c>
      <c r="H13358" s="32">
        <v>17</v>
      </c>
      <c r="I13358" s="30" t="s">
        <v>21</v>
      </c>
      <c r="J13358" s="41">
        <v>45210</v>
      </c>
      <c r="K13358" s="30" t="s">
        <v>22</v>
      </c>
    </row>
    <row r="13359" spans="1:11">
      <c r="A13359" s="33" t="s">
        <v>30220</v>
      </c>
      <c r="B13359" s="33" t="s">
        <v>30221</v>
      </c>
      <c r="C13359" s="33" t="s">
        <v>20221</v>
      </c>
      <c r="D13359" s="33" t="s">
        <v>17</v>
      </c>
      <c r="E13359" s="33" t="s">
        <v>67</v>
      </c>
      <c r="F13359" s="33" t="s">
        <v>68</v>
      </c>
      <c r="G13359" s="33" t="s">
        <v>50</v>
      </c>
      <c r="H13359" s="35">
        <v>90</v>
      </c>
      <c r="I13359" s="33" t="s">
        <v>51</v>
      </c>
      <c r="J13359" s="42">
        <v>44958</v>
      </c>
      <c r="K13359" s="33" t="s">
        <v>22</v>
      </c>
    </row>
    <row r="13360" spans="1:11">
      <c r="A13360" s="30" t="s">
        <v>30222</v>
      </c>
      <c r="B13360" s="30" t="s">
        <v>30223</v>
      </c>
      <c r="C13360" s="30" t="s">
        <v>1498</v>
      </c>
      <c r="D13360" s="30" t="s">
        <v>17</v>
      </c>
      <c r="E13360" s="30" t="s">
        <v>26</v>
      </c>
      <c r="F13360" s="30" t="s">
        <v>27</v>
      </c>
      <c r="G13360" s="30" t="s">
        <v>20</v>
      </c>
      <c r="H13360" s="32">
        <v>50</v>
      </c>
      <c r="I13360" s="30" t="s">
        <v>21</v>
      </c>
      <c r="J13360" s="41">
        <v>45079</v>
      </c>
      <c r="K13360" s="30" t="s">
        <v>22</v>
      </c>
    </row>
    <row r="13361" spans="1:11">
      <c r="A13361" s="33" t="s">
        <v>30224</v>
      </c>
      <c r="B13361" s="33" t="s">
        <v>30225</v>
      </c>
      <c r="C13361" s="33" t="s">
        <v>157</v>
      </c>
      <c r="D13361" s="33" t="s">
        <v>17</v>
      </c>
      <c r="E13361" s="33" t="s">
        <v>31</v>
      </c>
      <c r="F13361" s="33" t="s">
        <v>32</v>
      </c>
      <c r="G13361" s="33" t="s">
        <v>106</v>
      </c>
      <c r="H13361" s="35">
        <v>41</v>
      </c>
      <c r="I13361" s="33" t="s">
        <v>21</v>
      </c>
      <c r="J13361" s="42">
        <v>45057</v>
      </c>
      <c r="K13361" s="33" t="s">
        <v>22</v>
      </c>
    </row>
    <row r="13362" spans="1:11">
      <c r="A13362" s="30" t="s">
        <v>30226</v>
      </c>
      <c r="B13362" s="30" t="s">
        <v>30227</v>
      </c>
      <c r="C13362" s="30" t="s">
        <v>13241</v>
      </c>
      <c r="D13362" s="30" t="s">
        <v>17</v>
      </c>
      <c r="E13362" s="30" t="s">
        <v>26</v>
      </c>
      <c r="F13362" s="30" t="s">
        <v>27</v>
      </c>
      <c r="G13362" s="30" t="s">
        <v>140</v>
      </c>
      <c r="H13362" s="32">
        <v>395</v>
      </c>
      <c r="I13362" s="30" t="s">
        <v>51</v>
      </c>
      <c r="J13362" s="41">
        <v>45022</v>
      </c>
      <c r="K13362" s="30" t="s">
        <v>22</v>
      </c>
    </row>
    <row r="13363" spans="1:11">
      <c r="A13363" s="33" t="s">
        <v>30228</v>
      </c>
      <c r="B13363" s="33" t="s">
        <v>30229</v>
      </c>
      <c r="C13363" s="33" t="s">
        <v>30230</v>
      </c>
      <c r="D13363" s="33" t="s">
        <v>17</v>
      </c>
      <c r="E13363" s="33" t="s">
        <v>26</v>
      </c>
      <c r="F13363" s="33" t="s">
        <v>27</v>
      </c>
      <c r="G13363" s="33" t="s">
        <v>20</v>
      </c>
      <c r="H13363" s="35">
        <v>92</v>
      </c>
      <c r="I13363" s="33" t="s">
        <v>21</v>
      </c>
      <c r="J13363" s="42">
        <v>45203</v>
      </c>
      <c r="K13363" s="33" t="s">
        <v>22</v>
      </c>
    </row>
    <row r="13364" spans="1:11">
      <c r="A13364" s="30" t="s">
        <v>30231</v>
      </c>
      <c r="B13364" s="30" t="s">
        <v>30232</v>
      </c>
      <c r="C13364" s="30" t="s">
        <v>25186</v>
      </c>
      <c r="D13364" s="30" t="s">
        <v>17</v>
      </c>
      <c r="E13364" s="30" t="s">
        <v>18</v>
      </c>
      <c r="F13364" s="30" t="s">
        <v>19</v>
      </c>
      <c r="G13364" s="30" t="s">
        <v>20</v>
      </c>
      <c r="H13364" s="32">
        <v>494</v>
      </c>
      <c r="I13364" s="30" t="s">
        <v>21</v>
      </c>
      <c r="J13364" s="41">
        <v>45189</v>
      </c>
      <c r="K13364" s="30" t="s">
        <v>22</v>
      </c>
    </row>
    <row r="13365" spans="1:11">
      <c r="A13365" s="33" t="s">
        <v>30233</v>
      </c>
      <c r="B13365" s="33" t="s">
        <v>30234</v>
      </c>
      <c r="C13365" s="33" t="s">
        <v>154</v>
      </c>
      <c r="D13365" s="33" t="s">
        <v>17</v>
      </c>
      <c r="E13365" s="33" t="s">
        <v>26</v>
      </c>
      <c r="F13365" s="33" t="s">
        <v>27</v>
      </c>
      <c r="G13365" s="33" t="s">
        <v>106</v>
      </c>
      <c r="H13365" s="35">
        <v>99</v>
      </c>
      <c r="I13365" s="33" t="s">
        <v>21</v>
      </c>
      <c r="J13365" s="42">
        <v>45159</v>
      </c>
      <c r="K13365" s="33" t="s">
        <v>22</v>
      </c>
    </row>
    <row r="13366" spans="1:11">
      <c r="A13366" s="30" t="s">
        <v>30235</v>
      </c>
      <c r="B13366" s="30" t="s">
        <v>30236</v>
      </c>
      <c r="C13366" s="30" t="s">
        <v>432</v>
      </c>
      <c r="D13366" s="30" t="s">
        <v>17</v>
      </c>
      <c r="E13366" s="30" t="s">
        <v>26</v>
      </c>
      <c r="F13366" s="30" t="s">
        <v>27</v>
      </c>
      <c r="G13366" s="30" t="s">
        <v>50</v>
      </c>
      <c r="H13366" s="32">
        <v>34</v>
      </c>
      <c r="I13366" s="30" t="s">
        <v>51</v>
      </c>
      <c r="J13366" s="41">
        <v>45160</v>
      </c>
      <c r="K13366" s="30" t="s">
        <v>22</v>
      </c>
    </row>
    <row r="13367" spans="1:11">
      <c r="A13367" s="33" t="s">
        <v>30237</v>
      </c>
      <c r="B13367" s="33" t="s">
        <v>30238</v>
      </c>
      <c r="C13367" s="33" t="s">
        <v>30239</v>
      </c>
      <c r="D13367" s="33" t="s">
        <v>17</v>
      </c>
      <c r="E13367" s="33" t="s">
        <v>67</v>
      </c>
      <c r="F13367" s="33" t="s">
        <v>68</v>
      </c>
      <c r="G13367" s="33" t="s">
        <v>140</v>
      </c>
      <c r="H13367" s="35">
        <v>16</v>
      </c>
      <c r="I13367" s="33" t="s">
        <v>51</v>
      </c>
      <c r="J13367" s="42">
        <v>45063</v>
      </c>
      <c r="K13367" s="33" t="s">
        <v>22</v>
      </c>
    </row>
    <row r="13368" spans="1:11">
      <c r="A13368" s="30" t="s">
        <v>30240</v>
      </c>
      <c r="B13368" s="30" t="s">
        <v>30241</v>
      </c>
      <c r="C13368" s="30" t="s">
        <v>801</v>
      </c>
      <c r="D13368" s="30" t="s">
        <v>17</v>
      </c>
      <c r="E13368" s="30" t="s">
        <v>18</v>
      </c>
      <c r="F13368" s="30" t="s">
        <v>19</v>
      </c>
      <c r="G13368" s="30" t="s">
        <v>112</v>
      </c>
      <c r="H13368" s="32">
        <v>0</v>
      </c>
      <c r="I13368" s="30" t="s">
        <v>21</v>
      </c>
      <c r="J13368" s="41">
        <v>45035</v>
      </c>
      <c r="K13368" s="30" t="s">
        <v>22</v>
      </c>
    </row>
    <row r="13369" spans="1:11">
      <c r="A13369" s="33" t="s">
        <v>30242</v>
      </c>
      <c r="B13369" s="33" t="s">
        <v>30243</v>
      </c>
      <c r="C13369" s="33" t="s">
        <v>437</v>
      </c>
      <c r="D13369" s="33" t="s">
        <v>17</v>
      </c>
      <c r="E13369" s="33" t="s">
        <v>31</v>
      </c>
      <c r="F13369" s="33" t="s">
        <v>32</v>
      </c>
      <c r="G13369" s="33" t="s">
        <v>20</v>
      </c>
      <c r="H13369" s="35">
        <v>34</v>
      </c>
      <c r="I13369" s="33" t="s">
        <v>21</v>
      </c>
      <c r="J13369" s="42">
        <v>45251</v>
      </c>
      <c r="K13369" s="33" t="s">
        <v>22</v>
      </c>
    </row>
    <row r="13370" spans="1:11">
      <c r="A13370" s="30" t="s">
        <v>30244</v>
      </c>
      <c r="B13370" s="30" t="s">
        <v>30245</v>
      </c>
      <c r="C13370" s="30" t="s">
        <v>96</v>
      </c>
      <c r="D13370" s="30" t="s">
        <v>17</v>
      </c>
      <c r="E13370" s="30" t="s">
        <v>26</v>
      </c>
      <c r="F13370" s="30" t="s">
        <v>27</v>
      </c>
      <c r="G13370" s="30" t="s">
        <v>106</v>
      </c>
      <c r="H13370" s="32">
        <v>8</v>
      </c>
      <c r="I13370" s="30" t="s">
        <v>21</v>
      </c>
      <c r="J13370" s="41">
        <v>45106</v>
      </c>
      <c r="K13370" s="30" t="s">
        <v>22</v>
      </c>
    </row>
    <row r="13371" spans="1:11">
      <c r="A13371" s="33" t="s">
        <v>30246</v>
      </c>
      <c r="B13371" s="33" t="s">
        <v>30247</v>
      </c>
      <c r="C13371" s="33" t="s">
        <v>7020</v>
      </c>
      <c r="D13371" s="33" t="s">
        <v>17</v>
      </c>
      <c r="E13371" s="33" t="s">
        <v>26</v>
      </c>
      <c r="F13371" s="33" t="s">
        <v>27</v>
      </c>
      <c r="G13371" s="33" t="s">
        <v>20</v>
      </c>
      <c r="H13371" s="35">
        <v>19</v>
      </c>
      <c r="I13371" s="33" t="s">
        <v>21</v>
      </c>
      <c r="J13371" s="42">
        <v>45014</v>
      </c>
      <c r="K13371" s="33" t="s">
        <v>22</v>
      </c>
    </row>
    <row r="13372" spans="1:11">
      <c r="A13372" s="30" t="s">
        <v>30248</v>
      </c>
      <c r="B13372" s="30" t="s">
        <v>30249</v>
      </c>
      <c r="C13372" s="30" t="s">
        <v>136</v>
      </c>
      <c r="D13372" s="30" t="s">
        <v>17</v>
      </c>
      <c r="E13372" s="30" t="s">
        <v>18</v>
      </c>
      <c r="F13372" s="30" t="s">
        <v>19</v>
      </c>
      <c r="G13372" s="30" t="s">
        <v>20</v>
      </c>
      <c r="H13372" s="32">
        <v>441</v>
      </c>
      <c r="I13372" s="30" t="s">
        <v>21</v>
      </c>
      <c r="J13372" s="41">
        <v>45189</v>
      </c>
      <c r="K13372" s="30" t="s">
        <v>22</v>
      </c>
    </row>
    <row r="13373" spans="1:11">
      <c r="A13373" s="33" t="s">
        <v>30250</v>
      </c>
      <c r="B13373" s="33" t="s">
        <v>30251</v>
      </c>
      <c r="C13373" s="33" t="s">
        <v>5229</v>
      </c>
      <c r="D13373" s="33" t="s">
        <v>17</v>
      </c>
      <c r="E13373" s="33" t="s">
        <v>26</v>
      </c>
      <c r="F13373" s="33" t="s">
        <v>27</v>
      </c>
      <c r="G13373" s="33" t="s">
        <v>140</v>
      </c>
      <c r="H13373" s="35">
        <v>125</v>
      </c>
      <c r="I13373" s="33" t="s">
        <v>51</v>
      </c>
      <c r="J13373" s="42">
        <v>45044</v>
      </c>
      <c r="K13373" s="33" t="s">
        <v>22</v>
      </c>
    </row>
    <row r="13374" spans="1:11">
      <c r="A13374" s="30" t="s">
        <v>30252</v>
      </c>
      <c r="B13374" s="30" t="s">
        <v>30253</v>
      </c>
      <c r="C13374" s="30" t="s">
        <v>570</v>
      </c>
      <c r="D13374" s="30" t="s">
        <v>17</v>
      </c>
      <c r="E13374" s="30" t="s">
        <v>18</v>
      </c>
      <c r="F13374" s="30" t="s">
        <v>19</v>
      </c>
      <c r="G13374" s="30" t="s">
        <v>140</v>
      </c>
      <c r="H13374" s="32">
        <v>735</v>
      </c>
      <c r="I13374" s="30" t="s">
        <v>51</v>
      </c>
      <c r="J13374" s="41">
        <v>45158</v>
      </c>
      <c r="K13374" s="30" t="s">
        <v>22</v>
      </c>
    </row>
    <row r="13375" spans="1:11">
      <c r="A13375" s="33" t="s">
        <v>30254</v>
      </c>
      <c r="B13375" s="33" t="s">
        <v>30255</v>
      </c>
      <c r="C13375" s="33" t="s">
        <v>26153</v>
      </c>
      <c r="D13375" s="33" t="s">
        <v>17</v>
      </c>
      <c r="E13375" s="33" t="s">
        <v>26</v>
      </c>
      <c r="F13375" s="33" t="s">
        <v>27</v>
      </c>
      <c r="G13375" s="33" t="s">
        <v>20</v>
      </c>
      <c r="H13375" s="35">
        <v>10</v>
      </c>
      <c r="I13375" s="33" t="s">
        <v>21</v>
      </c>
      <c r="J13375" s="42">
        <v>45086</v>
      </c>
      <c r="K13375" s="33" t="s">
        <v>22</v>
      </c>
    </row>
    <row r="13376" spans="1:11">
      <c r="A13376" s="30" t="s">
        <v>30256</v>
      </c>
      <c r="B13376" s="30" t="s">
        <v>30257</v>
      </c>
      <c r="C13376" s="30" t="s">
        <v>5503</v>
      </c>
      <c r="D13376" s="30" t="s">
        <v>17</v>
      </c>
      <c r="E13376" s="30" t="s">
        <v>26</v>
      </c>
      <c r="F13376" s="30" t="s">
        <v>27</v>
      </c>
      <c r="G13376" s="30" t="s">
        <v>140</v>
      </c>
      <c r="H13376" s="32">
        <v>32</v>
      </c>
      <c r="I13376" s="30" t="s">
        <v>51</v>
      </c>
      <c r="J13376" s="41">
        <v>45231</v>
      </c>
      <c r="K13376" s="30" t="s">
        <v>22</v>
      </c>
    </row>
    <row r="13377" spans="1:11">
      <c r="A13377" s="33" t="s">
        <v>30258</v>
      </c>
      <c r="B13377" s="33" t="s">
        <v>30259</v>
      </c>
      <c r="C13377" s="33" t="s">
        <v>60</v>
      </c>
      <c r="D13377" s="33" t="s">
        <v>17</v>
      </c>
      <c r="E13377" s="33" t="s">
        <v>26</v>
      </c>
      <c r="F13377" s="33" t="s">
        <v>27</v>
      </c>
      <c r="G13377" s="33" t="s">
        <v>158</v>
      </c>
      <c r="H13377" s="35">
        <v>165</v>
      </c>
      <c r="I13377" s="33" t="s">
        <v>21</v>
      </c>
      <c r="J13377" s="42">
        <v>45272</v>
      </c>
      <c r="K13377" s="33" t="s">
        <v>22</v>
      </c>
    </row>
    <row r="13378" spans="1:11">
      <c r="A13378" s="30" t="s">
        <v>30260</v>
      </c>
      <c r="B13378" s="30" t="s">
        <v>30261</v>
      </c>
      <c r="C13378" s="30" t="s">
        <v>1718</v>
      </c>
      <c r="D13378" s="30" t="s">
        <v>17</v>
      </c>
      <c r="E13378" s="30" t="s">
        <v>26</v>
      </c>
      <c r="F13378" s="30" t="s">
        <v>27</v>
      </c>
      <c r="G13378" s="30" t="s">
        <v>20</v>
      </c>
      <c r="H13378" s="32">
        <v>208</v>
      </c>
      <c r="I13378" s="30" t="s">
        <v>21</v>
      </c>
      <c r="J13378" s="41">
        <v>45128</v>
      </c>
      <c r="K13378" s="30" t="s">
        <v>22</v>
      </c>
    </row>
    <row r="13379" spans="1:11">
      <c r="A13379" s="33" t="s">
        <v>30262</v>
      </c>
      <c r="B13379" s="33" t="s">
        <v>30263</v>
      </c>
      <c r="C13379" s="33" t="s">
        <v>30264</v>
      </c>
      <c r="D13379" s="33" t="s">
        <v>17</v>
      </c>
      <c r="E13379" s="33" t="s">
        <v>31</v>
      </c>
      <c r="F13379" s="33" t="s">
        <v>32</v>
      </c>
      <c r="G13379" s="33" t="s">
        <v>106</v>
      </c>
      <c r="H13379" s="35">
        <v>209</v>
      </c>
      <c r="I13379" s="33" t="s">
        <v>21</v>
      </c>
      <c r="J13379" s="42">
        <v>45135</v>
      </c>
      <c r="K13379" s="33" t="s">
        <v>22</v>
      </c>
    </row>
    <row r="13380" spans="1:11">
      <c r="A13380" s="30" t="s">
        <v>30265</v>
      </c>
      <c r="B13380" s="30" t="s">
        <v>30266</v>
      </c>
      <c r="C13380" s="30" t="s">
        <v>899</v>
      </c>
      <c r="D13380" s="30" t="s">
        <v>17</v>
      </c>
      <c r="E13380" s="30" t="s">
        <v>26</v>
      </c>
      <c r="F13380" s="30" t="s">
        <v>27</v>
      </c>
      <c r="G13380" s="30" t="s">
        <v>20</v>
      </c>
      <c r="H13380" s="32">
        <v>8</v>
      </c>
      <c r="I13380" s="30" t="s">
        <v>21</v>
      </c>
      <c r="J13380" s="41">
        <v>45145</v>
      </c>
      <c r="K13380" s="30" t="s">
        <v>22</v>
      </c>
    </row>
    <row r="13381" spans="1:11">
      <c r="A13381" s="33" t="s">
        <v>30267</v>
      </c>
      <c r="B13381" s="33" t="s">
        <v>30268</v>
      </c>
      <c r="C13381" s="33" t="s">
        <v>891</v>
      </c>
      <c r="D13381" s="33" t="s">
        <v>17</v>
      </c>
      <c r="E13381" s="33" t="s">
        <v>26</v>
      </c>
      <c r="F13381" s="33" t="s">
        <v>27</v>
      </c>
      <c r="G13381" s="33" t="s">
        <v>20</v>
      </c>
      <c r="H13381" s="35">
        <v>18</v>
      </c>
      <c r="I13381" s="33" t="s">
        <v>21</v>
      </c>
      <c r="J13381" s="42">
        <v>45043</v>
      </c>
      <c r="K13381" s="33" t="s">
        <v>22</v>
      </c>
    </row>
    <row r="13382" spans="1:11">
      <c r="A13382" s="30" t="s">
        <v>30269</v>
      </c>
      <c r="B13382" s="30" t="s">
        <v>30270</v>
      </c>
      <c r="C13382" s="30" t="s">
        <v>30271</v>
      </c>
      <c r="D13382" s="30" t="s">
        <v>17</v>
      </c>
      <c r="E13382" s="30" t="s">
        <v>26</v>
      </c>
      <c r="F13382" s="30" t="s">
        <v>27</v>
      </c>
      <c r="G13382" s="30" t="s">
        <v>20</v>
      </c>
      <c r="H13382" s="32">
        <v>14</v>
      </c>
      <c r="I13382" s="30" t="s">
        <v>21</v>
      </c>
      <c r="J13382" s="41">
        <v>45056</v>
      </c>
      <c r="K13382" s="30" t="s">
        <v>22</v>
      </c>
    </row>
    <row r="13383" spans="1:11">
      <c r="A13383" s="33" t="s">
        <v>30272</v>
      </c>
      <c r="B13383" s="33" t="s">
        <v>30273</v>
      </c>
      <c r="C13383" s="33" t="s">
        <v>8151</v>
      </c>
      <c r="D13383" s="33" t="s">
        <v>17</v>
      </c>
      <c r="E13383" s="33" t="s">
        <v>18</v>
      </c>
      <c r="F13383" s="33" t="s">
        <v>19</v>
      </c>
      <c r="G13383" s="33" t="s">
        <v>158</v>
      </c>
      <c r="H13383" s="35">
        <v>705</v>
      </c>
      <c r="I13383" s="33" t="s">
        <v>21</v>
      </c>
      <c r="J13383" s="42">
        <v>44984</v>
      </c>
      <c r="K13383" s="33" t="s">
        <v>22</v>
      </c>
    </row>
    <row r="13384" spans="1:11">
      <c r="A13384" s="30" t="s">
        <v>30274</v>
      </c>
      <c r="B13384" s="30" t="s">
        <v>30275</v>
      </c>
      <c r="C13384" s="30" t="s">
        <v>899</v>
      </c>
      <c r="D13384" s="30" t="s">
        <v>17</v>
      </c>
      <c r="E13384" s="30" t="s">
        <v>18</v>
      </c>
      <c r="F13384" s="30" t="s">
        <v>19</v>
      </c>
      <c r="G13384" s="30" t="s">
        <v>20</v>
      </c>
      <c r="H13384" s="32">
        <v>414</v>
      </c>
      <c r="I13384" s="30" t="s">
        <v>21</v>
      </c>
      <c r="J13384" s="41">
        <v>45113</v>
      </c>
      <c r="K13384" s="30" t="s">
        <v>22</v>
      </c>
    </row>
    <row r="13385" spans="1:11">
      <c r="A13385" s="33" t="s">
        <v>30276</v>
      </c>
      <c r="B13385" s="33" t="s">
        <v>30277</v>
      </c>
      <c r="C13385" s="33" t="s">
        <v>154</v>
      </c>
      <c r="D13385" s="33" t="s">
        <v>17</v>
      </c>
      <c r="E13385" s="33" t="s">
        <v>26</v>
      </c>
      <c r="F13385" s="33" t="s">
        <v>27</v>
      </c>
      <c r="G13385" s="33" t="s">
        <v>106</v>
      </c>
      <c r="H13385" s="35">
        <v>44</v>
      </c>
      <c r="I13385" s="33" t="s">
        <v>21</v>
      </c>
      <c r="J13385" s="42">
        <v>45126</v>
      </c>
      <c r="K13385" s="33" t="s">
        <v>22</v>
      </c>
    </row>
    <row r="13386" spans="1:11">
      <c r="A13386" s="30" t="s">
        <v>30278</v>
      </c>
      <c r="B13386" s="30" t="s">
        <v>30279</v>
      </c>
      <c r="C13386" s="30" t="s">
        <v>75</v>
      </c>
      <c r="D13386" s="30" t="s">
        <v>17</v>
      </c>
      <c r="E13386" s="30" t="s">
        <v>26</v>
      </c>
      <c r="F13386" s="30" t="s">
        <v>27</v>
      </c>
      <c r="G13386" s="30" t="s">
        <v>20</v>
      </c>
      <c r="H13386" s="32">
        <v>7</v>
      </c>
      <c r="I13386" s="30" t="s">
        <v>21</v>
      </c>
      <c r="J13386" s="41">
        <v>44942</v>
      </c>
      <c r="K13386" s="30" t="s">
        <v>22</v>
      </c>
    </row>
    <row r="13387" spans="1:11">
      <c r="A13387" s="33" t="s">
        <v>30280</v>
      </c>
      <c r="B13387" s="33" t="s">
        <v>30281</v>
      </c>
      <c r="C13387" s="33" t="s">
        <v>1064</v>
      </c>
      <c r="D13387" s="33" t="s">
        <v>17</v>
      </c>
      <c r="E13387" s="33" t="s">
        <v>67</v>
      </c>
      <c r="F13387" s="33" t="s">
        <v>68</v>
      </c>
      <c r="G13387" s="33" t="s">
        <v>106</v>
      </c>
      <c r="H13387" s="35">
        <v>25</v>
      </c>
      <c r="I13387" s="33" t="s">
        <v>21</v>
      </c>
      <c r="J13387" s="42">
        <v>45078</v>
      </c>
      <c r="K13387" s="33" t="s">
        <v>22</v>
      </c>
    </row>
    <row r="13388" spans="1:11">
      <c r="A13388" s="30" t="s">
        <v>30282</v>
      </c>
      <c r="B13388" s="30" t="s">
        <v>30283</v>
      </c>
      <c r="C13388" s="30" t="s">
        <v>399</v>
      </c>
      <c r="D13388" s="30" t="s">
        <v>17</v>
      </c>
      <c r="E13388" s="30" t="s">
        <v>26</v>
      </c>
      <c r="F13388" s="30" t="s">
        <v>27</v>
      </c>
      <c r="G13388" s="30" t="s">
        <v>20</v>
      </c>
      <c r="H13388" s="32">
        <v>8</v>
      </c>
      <c r="I13388" s="30" t="s">
        <v>21</v>
      </c>
      <c r="J13388" s="41">
        <v>45250</v>
      </c>
      <c r="K13388" s="30" t="s">
        <v>22</v>
      </c>
    </row>
    <row r="13389" spans="1:11">
      <c r="A13389" s="33" t="s">
        <v>30284</v>
      </c>
      <c r="B13389" s="33" t="s">
        <v>30285</v>
      </c>
      <c r="C13389" s="33" t="s">
        <v>14208</v>
      </c>
      <c r="D13389" s="33" t="s">
        <v>17</v>
      </c>
      <c r="E13389" s="33" t="s">
        <v>67</v>
      </c>
      <c r="F13389" s="33" t="s">
        <v>68</v>
      </c>
      <c r="G13389" s="33" t="s">
        <v>112</v>
      </c>
      <c r="H13389" s="35">
        <v>0</v>
      </c>
      <c r="I13389" s="33" t="s">
        <v>21</v>
      </c>
      <c r="J13389" s="42">
        <v>45065</v>
      </c>
      <c r="K13389" s="33" t="s">
        <v>22</v>
      </c>
    </row>
    <row r="13390" spans="1:11">
      <c r="A13390" s="30" t="s">
        <v>30286</v>
      </c>
      <c r="B13390" s="30" t="s">
        <v>30287</v>
      </c>
      <c r="C13390" s="30" t="s">
        <v>44</v>
      </c>
      <c r="D13390" s="30" t="s">
        <v>17</v>
      </c>
      <c r="E13390" s="30" t="s">
        <v>26</v>
      </c>
      <c r="F13390" s="30" t="s">
        <v>27</v>
      </c>
      <c r="G13390" s="30" t="s">
        <v>20</v>
      </c>
      <c r="H13390" s="32">
        <v>80</v>
      </c>
      <c r="I13390" s="30" t="s">
        <v>21</v>
      </c>
      <c r="J13390" s="41">
        <v>45145</v>
      </c>
      <c r="K13390" s="30" t="s">
        <v>22</v>
      </c>
    </row>
    <row r="13391" spans="1:11">
      <c r="A13391" s="33" t="s">
        <v>30288</v>
      </c>
      <c r="B13391" s="33" t="s">
        <v>30289</v>
      </c>
      <c r="C13391" s="33" t="s">
        <v>1219</v>
      </c>
      <c r="D13391" s="33" t="s">
        <v>17</v>
      </c>
      <c r="E13391" s="33" t="s">
        <v>26</v>
      </c>
      <c r="F13391" s="33" t="s">
        <v>27</v>
      </c>
      <c r="G13391" s="33" t="s">
        <v>20</v>
      </c>
      <c r="H13391" s="35">
        <v>25</v>
      </c>
      <c r="I13391" s="33" t="s">
        <v>21</v>
      </c>
      <c r="J13391" s="42">
        <v>45138</v>
      </c>
      <c r="K13391" s="33" t="s">
        <v>22</v>
      </c>
    </row>
    <row r="13392" spans="1:11">
      <c r="A13392" s="30" t="s">
        <v>30290</v>
      </c>
      <c r="B13392" s="30" t="s">
        <v>30291</v>
      </c>
      <c r="C13392" s="30" t="s">
        <v>190</v>
      </c>
      <c r="D13392" s="30" t="s">
        <v>17</v>
      </c>
      <c r="E13392" s="30" t="s">
        <v>18</v>
      </c>
      <c r="F13392" s="30" t="s">
        <v>19</v>
      </c>
      <c r="G13392" s="30" t="s">
        <v>140</v>
      </c>
      <c r="H13392" s="32">
        <v>231</v>
      </c>
      <c r="I13392" s="30" t="s">
        <v>51</v>
      </c>
      <c r="J13392" s="41">
        <v>45162</v>
      </c>
      <c r="K13392" s="30" t="s">
        <v>22</v>
      </c>
    </row>
    <row r="13393" spans="1:11">
      <c r="A13393" s="33" t="s">
        <v>30292</v>
      </c>
      <c r="B13393" s="33" t="s">
        <v>30293</v>
      </c>
      <c r="C13393" s="33" t="s">
        <v>9629</v>
      </c>
      <c r="D13393" s="33" t="s">
        <v>17</v>
      </c>
      <c r="E13393" s="33" t="s">
        <v>31</v>
      </c>
      <c r="F13393" s="33" t="s">
        <v>32</v>
      </c>
      <c r="G13393" s="33" t="s">
        <v>158</v>
      </c>
      <c r="H13393" s="35">
        <v>31</v>
      </c>
      <c r="I13393" s="33" t="s">
        <v>21</v>
      </c>
      <c r="J13393" s="42">
        <v>45063</v>
      </c>
      <c r="K13393" s="33" t="s">
        <v>22</v>
      </c>
    </row>
    <row r="13394" spans="1:11">
      <c r="A13394" s="30" t="s">
        <v>30294</v>
      </c>
      <c r="B13394" s="30" t="s">
        <v>30295</v>
      </c>
      <c r="C13394" s="30" t="s">
        <v>222</v>
      </c>
      <c r="D13394" s="30" t="s">
        <v>17</v>
      </c>
      <c r="E13394" s="30" t="s">
        <v>18</v>
      </c>
      <c r="F13394" s="30" t="s">
        <v>19</v>
      </c>
      <c r="G13394" s="30" t="s">
        <v>140</v>
      </c>
      <c r="H13394" s="32">
        <v>250</v>
      </c>
      <c r="I13394" s="30" t="s">
        <v>51</v>
      </c>
      <c r="J13394" s="41">
        <v>45290</v>
      </c>
      <c r="K13394" s="30" t="s">
        <v>22</v>
      </c>
    </row>
    <row r="13395" spans="1:11">
      <c r="A13395" s="33" t="s">
        <v>30296</v>
      </c>
      <c r="B13395" s="33" t="s">
        <v>30297</v>
      </c>
      <c r="C13395" s="33" t="s">
        <v>6528</v>
      </c>
      <c r="D13395" s="33" t="s">
        <v>17</v>
      </c>
      <c r="E13395" s="33" t="s">
        <v>67</v>
      </c>
      <c r="F13395" s="33" t="s">
        <v>68</v>
      </c>
      <c r="G13395" s="33" t="s">
        <v>140</v>
      </c>
      <c r="H13395" s="35">
        <v>112</v>
      </c>
      <c r="I13395" s="33" t="s">
        <v>51</v>
      </c>
      <c r="J13395" s="42">
        <v>44979</v>
      </c>
      <c r="K13395" s="33" t="s">
        <v>22</v>
      </c>
    </row>
    <row r="13396" spans="1:11">
      <c r="A13396" s="30" t="s">
        <v>30298</v>
      </c>
      <c r="B13396" s="30" t="s">
        <v>30299</v>
      </c>
      <c r="C13396" s="30" t="s">
        <v>96</v>
      </c>
      <c r="D13396" s="30" t="s">
        <v>17</v>
      </c>
      <c r="E13396" s="30" t="s">
        <v>31</v>
      </c>
      <c r="F13396" s="30" t="s">
        <v>32</v>
      </c>
      <c r="G13396" s="30" t="s">
        <v>20</v>
      </c>
      <c r="H13396" s="32">
        <v>1142</v>
      </c>
      <c r="I13396" s="30" t="s">
        <v>21</v>
      </c>
      <c r="J13396" s="41">
        <v>45082</v>
      </c>
      <c r="K13396" s="30" t="s">
        <v>22</v>
      </c>
    </row>
    <row r="13397" spans="1:11">
      <c r="A13397" s="33" t="s">
        <v>30300</v>
      </c>
      <c r="B13397" s="33" t="s">
        <v>30301</v>
      </c>
      <c r="C13397" s="33" t="s">
        <v>2472</v>
      </c>
      <c r="D13397" s="33" t="s">
        <v>17</v>
      </c>
      <c r="E13397" s="33" t="s">
        <v>26</v>
      </c>
      <c r="F13397" s="33" t="s">
        <v>27</v>
      </c>
      <c r="G13397" s="33" t="s">
        <v>158</v>
      </c>
      <c r="H13397" s="35">
        <v>186</v>
      </c>
      <c r="I13397" s="33" t="s">
        <v>21</v>
      </c>
      <c r="J13397" s="42">
        <v>44972</v>
      </c>
      <c r="K13397" s="33" t="s">
        <v>22</v>
      </c>
    </row>
    <row r="13398" spans="1:11">
      <c r="A13398" s="30" t="s">
        <v>30302</v>
      </c>
      <c r="B13398" s="30" t="s">
        <v>30303</v>
      </c>
      <c r="C13398" s="30" t="s">
        <v>1275</v>
      </c>
      <c r="D13398" s="30" t="s">
        <v>17</v>
      </c>
      <c r="E13398" s="30" t="s">
        <v>26</v>
      </c>
      <c r="F13398" s="30" t="s">
        <v>27</v>
      </c>
      <c r="G13398" s="30" t="s">
        <v>50</v>
      </c>
      <c r="H13398" s="32">
        <v>90</v>
      </c>
      <c r="I13398" s="30" t="s">
        <v>21</v>
      </c>
      <c r="J13398" s="41">
        <v>44986</v>
      </c>
      <c r="K13398" s="30" t="s">
        <v>22</v>
      </c>
    </row>
    <row r="13399" spans="1:11">
      <c r="A13399" s="33" t="s">
        <v>30304</v>
      </c>
      <c r="B13399" s="33" t="s">
        <v>30305</v>
      </c>
      <c r="C13399" s="33" t="s">
        <v>24179</v>
      </c>
      <c r="D13399" s="33" t="s">
        <v>17</v>
      </c>
      <c r="E13399" s="33" t="s">
        <v>26</v>
      </c>
      <c r="F13399" s="33" t="s">
        <v>27</v>
      </c>
      <c r="G13399" s="33" t="s">
        <v>158</v>
      </c>
      <c r="H13399" s="35">
        <v>120</v>
      </c>
      <c r="I13399" s="33" t="s">
        <v>51</v>
      </c>
      <c r="J13399" s="42">
        <v>44981</v>
      </c>
      <c r="K13399" s="33" t="s">
        <v>22</v>
      </c>
    </row>
    <row r="13400" spans="1:11">
      <c r="A13400" s="30" t="s">
        <v>30306</v>
      </c>
      <c r="B13400" s="30" t="s">
        <v>30307</v>
      </c>
      <c r="C13400" s="30" t="s">
        <v>14483</v>
      </c>
      <c r="D13400" s="30" t="s">
        <v>17</v>
      </c>
      <c r="E13400" s="30" t="s">
        <v>26</v>
      </c>
      <c r="F13400" s="30" t="s">
        <v>27</v>
      </c>
      <c r="G13400" s="30" t="s">
        <v>20</v>
      </c>
      <c r="H13400" s="32">
        <v>24</v>
      </c>
      <c r="I13400" s="30" t="s">
        <v>21</v>
      </c>
      <c r="J13400" s="41">
        <v>44991</v>
      </c>
      <c r="K13400" s="30" t="s">
        <v>22</v>
      </c>
    </row>
    <row r="13401" spans="1:11">
      <c r="A13401" s="33" t="s">
        <v>30308</v>
      </c>
      <c r="B13401" s="33" t="s">
        <v>30309</v>
      </c>
      <c r="C13401" s="33" t="s">
        <v>6505</v>
      </c>
      <c r="D13401" s="33" t="s">
        <v>17</v>
      </c>
      <c r="E13401" s="33" t="s">
        <v>67</v>
      </c>
      <c r="F13401" s="33" t="s">
        <v>68</v>
      </c>
      <c r="G13401" s="33" t="s">
        <v>50</v>
      </c>
      <c r="H13401" s="35">
        <v>50</v>
      </c>
      <c r="I13401" s="33" t="s">
        <v>51</v>
      </c>
      <c r="J13401" s="42">
        <v>45078</v>
      </c>
      <c r="K13401" s="33" t="s">
        <v>22</v>
      </c>
    </row>
    <row r="13402" spans="1:11">
      <c r="A13402" s="30" t="s">
        <v>30310</v>
      </c>
      <c r="B13402" s="30" t="s">
        <v>30311</v>
      </c>
      <c r="C13402" s="30" t="s">
        <v>30312</v>
      </c>
      <c r="D13402" s="30" t="s">
        <v>17</v>
      </c>
      <c r="E13402" s="30" t="s">
        <v>26</v>
      </c>
      <c r="F13402" s="30" t="s">
        <v>27</v>
      </c>
      <c r="G13402" s="30" t="s">
        <v>50</v>
      </c>
      <c r="H13402" s="32">
        <v>76</v>
      </c>
      <c r="I13402" s="30" t="s">
        <v>51</v>
      </c>
      <c r="J13402" s="41">
        <v>45274</v>
      </c>
      <c r="K13402" s="30" t="s">
        <v>22</v>
      </c>
    </row>
    <row r="13403" spans="1:11">
      <c r="A13403" s="33" t="s">
        <v>30313</v>
      </c>
      <c r="B13403" s="33" t="s">
        <v>30314</v>
      </c>
      <c r="C13403" s="33" t="s">
        <v>379</v>
      </c>
      <c r="D13403" s="33" t="s">
        <v>17</v>
      </c>
      <c r="E13403" s="33" t="s">
        <v>26</v>
      </c>
      <c r="F13403" s="33" t="s">
        <v>27</v>
      </c>
      <c r="G13403" s="33" t="s">
        <v>50</v>
      </c>
      <c r="H13403" s="35">
        <v>30</v>
      </c>
      <c r="I13403" s="33" t="s">
        <v>51</v>
      </c>
      <c r="J13403" s="42">
        <v>44932</v>
      </c>
      <c r="K13403" s="33" t="s">
        <v>22</v>
      </c>
    </row>
    <row r="13404" spans="1:11">
      <c r="A13404" s="30" t="s">
        <v>30315</v>
      </c>
      <c r="B13404" s="30" t="s">
        <v>30316</v>
      </c>
      <c r="C13404" s="30" t="s">
        <v>203</v>
      </c>
      <c r="D13404" s="30" t="s">
        <v>17</v>
      </c>
      <c r="E13404" s="30" t="s">
        <v>26</v>
      </c>
      <c r="F13404" s="30" t="s">
        <v>27</v>
      </c>
      <c r="G13404" s="30" t="s">
        <v>20</v>
      </c>
      <c r="H13404" s="32">
        <v>10</v>
      </c>
      <c r="I13404" s="30" t="s">
        <v>21</v>
      </c>
      <c r="J13404" s="41">
        <v>45061</v>
      </c>
      <c r="K13404" s="30" t="s">
        <v>22</v>
      </c>
    </row>
    <row r="13405" spans="1:11">
      <c r="A13405" s="33" t="s">
        <v>30317</v>
      </c>
      <c r="B13405" s="33" t="s">
        <v>30318</v>
      </c>
      <c r="C13405" s="33" t="s">
        <v>4450</v>
      </c>
      <c r="D13405" s="33" t="s">
        <v>17</v>
      </c>
      <c r="E13405" s="33" t="s">
        <v>45</v>
      </c>
      <c r="F13405" s="33" t="s">
        <v>46</v>
      </c>
      <c r="G13405" s="33" t="s">
        <v>20</v>
      </c>
      <c r="H13405" s="35">
        <v>328</v>
      </c>
      <c r="I13405" s="33" t="s">
        <v>21</v>
      </c>
      <c r="J13405" s="42">
        <v>45073</v>
      </c>
      <c r="K13405" s="33" t="s">
        <v>22</v>
      </c>
    </row>
    <row r="13406" spans="1:11">
      <c r="A13406" s="30" t="s">
        <v>30319</v>
      </c>
      <c r="B13406" s="30" t="s">
        <v>30320</v>
      </c>
      <c r="C13406" s="30" t="s">
        <v>13241</v>
      </c>
      <c r="D13406" s="30" t="s">
        <v>17</v>
      </c>
      <c r="E13406" s="30" t="s">
        <v>67</v>
      </c>
      <c r="F13406" s="30" t="s">
        <v>68</v>
      </c>
      <c r="G13406" s="30" t="s">
        <v>50</v>
      </c>
      <c r="H13406" s="32">
        <v>132</v>
      </c>
      <c r="I13406" s="30" t="s">
        <v>51</v>
      </c>
      <c r="J13406" s="41">
        <v>45044</v>
      </c>
      <c r="K13406" s="30" t="s">
        <v>22</v>
      </c>
    </row>
    <row r="13407" spans="1:11">
      <c r="A13407" s="33" t="s">
        <v>30321</v>
      </c>
      <c r="B13407" s="33" t="s">
        <v>30322</v>
      </c>
      <c r="C13407" s="33" t="s">
        <v>6316</v>
      </c>
      <c r="D13407" s="33" t="s">
        <v>17</v>
      </c>
      <c r="E13407" s="33" t="s">
        <v>31</v>
      </c>
      <c r="F13407" s="33" t="s">
        <v>32</v>
      </c>
      <c r="G13407" s="33" t="s">
        <v>50</v>
      </c>
      <c r="H13407" s="35">
        <v>240</v>
      </c>
      <c r="I13407" s="33" t="s">
        <v>51</v>
      </c>
      <c r="J13407" s="42">
        <v>44986</v>
      </c>
      <c r="K13407" s="33" t="s">
        <v>22</v>
      </c>
    </row>
    <row r="13408" spans="1:11">
      <c r="A13408" s="30" t="s">
        <v>30323</v>
      </c>
      <c r="B13408" s="30" t="s">
        <v>30324</v>
      </c>
      <c r="C13408" s="30" t="s">
        <v>19095</v>
      </c>
      <c r="D13408" s="30" t="s">
        <v>17</v>
      </c>
      <c r="E13408" s="30" t="s">
        <v>26</v>
      </c>
      <c r="F13408" s="30" t="s">
        <v>27</v>
      </c>
      <c r="G13408" s="30" t="s">
        <v>158</v>
      </c>
      <c r="H13408" s="32">
        <v>41</v>
      </c>
      <c r="I13408" s="30" t="s">
        <v>51</v>
      </c>
      <c r="J13408" s="41">
        <v>45133</v>
      </c>
      <c r="K13408" s="30" t="s">
        <v>22</v>
      </c>
    </row>
    <row r="13409" spans="1:11">
      <c r="A13409" s="33" t="s">
        <v>30325</v>
      </c>
      <c r="B13409" s="33" t="s">
        <v>30326</v>
      </c>
      <c r="C13409" s="33" t="s">
        <v>30327</v>
      </c>
      <c r="D13409" s="33" t="s">
        <v>17</v>
      </c>
      <c r="E13409" s="33" t="s">
        <v>67</v>
      </c>
      <c r="F13409" s="33" t="s">
        <v>68</v>
      </c>
      <c r="G13409" s="33" t="s">
        <v>140</v>
      </c>
      <c r="H13409" s="35">
        <v>270</v>
      </c>
      <c r="I13409" s="33" t="s">
        <v>51</v>
      </c>
      <c r="J13409" s="42">
        <v>44999</v>
      </c>
      <c r="K13409" s="33" t="s">
        <v>22</v>
      </c>
    </row>
    <row r="13410" spans="1:11">
      <c r="A13410" s="30" t="s">
        <v>30328</v>
      </c>
      <c r="B13410" s="30" t="s">
        <v>30329</v>
      </c>
      <c r="C13410" s="30" t="s">
        <v>787</v>
      </c>
      <c r="D13410" s="30" t="s">
        <v>17</v>
      </c>
      <c r="E13410" s="30" t="s">
        <v>18</v>
      </c>
      <c r="F13410" s="30" t="s">
        <v>19</v>
      </c>
      <c r="G13410" s="30" t="s">
        <v>140</v>
      </c>
      <c r="H13410" s="32">
        <v>324</v>
      </c>
      <c r="I13410" s="30" t="s">
        <v>51</v>
      </c>
      <c r="J13410" s="41">
        <v>45279</v>
      </c>
      <c r="K13410" s="30" t="s">
        <v>22</v>
      </c>
    </row>
    <row r="13411" spans="1:11">
      <c r="A13411" s="33" t="s">
        <v>30330</v>
      </c>
      <c r="B13411" s="33" t="s">
        <v>30331</v>
      </c>
      <c r="C13411" s="33" t="s">
        <v>4450</v>
      </c>
      <c r="D13411" s="33" t="s">
        <v>17</v>
      </c>
      <c r="E13411" s="33" t="s">
        <v>18</v>
      </c>
      <c r="F13411" s="33" t="s">
        <v>19</v>
      </c>
      <c r="G13411" s="33" t="s">
        <v>20</v>
      </c>
      <c r="H13411" s="35">
        <v>166</v>
      </c>
      <c r="I13411" s="33" t="s">
        <v>21</v>
      </c>
      <c r="J13411" s="42">
        <v>45184</v>
      </c>
      <c r="K13411" s="33" t="s">
        <v>22</v>
      </c>
    </row>
    <row r="13412" spans="1:11">
      <c r="A13412" s="30" t="s">
        <v>30332</v>
      </c>
      <c r="B13412" s="30" t="s">
        <v>30333</v>
      </c>
      <c r="C13412" s="30" t="s">
        <v>154</v>
      </c>
      <c r="D13412" s="30" t="s">
        <v>17</v>
      </c>
      <c r="E13412" s="30" t="s">
        <v>67</v>
      </c>
      <c r="F13412" s="30" t="s">
        <v>68</v>
      </c>
      <c r="G13412" s="30" t="s">
        <v>158</v>
      </c>
      <c r="H13412" s="32">
        <v>113</v>
      </c>
      <c r="I13412" s="30" t="s">
        <v>21</v>
      </c>
      <c r="J13412" s="41">
        <v>44955</v>
      </c>
      <c r="K13412" s="30" t="s">
        <v>22</v>
      </c>
    </row>
    <row r="13413" spans="1:11">
      <c r="A13413" s="33" t="s">
        <v>30334</v>
      </c>
      <c r="B13413" s="33" t="s">
        <v>30335</v>
      </c>
      <c r="C13413" s="33" t="s">
        <v>1165</v>
      </c>
      <c r="D13413" s="33" t="s">
        <v>17</v>
      </c>
      <c r="E13413" s="33" t="s">
        <v>31</v>
      </c>
      <c r="F13413" s="33" t="s">
        <v>32</v>
      </c>
      <c r="G13413" s="33" t="s">
        <v>20</v>
      </c>
      <c r="H13413" s="35">
        <v>34</v>
      </c>
      <c r="I13413" s="33" t="s">
        <v>21</v>
      </c>
      <c r="J13413" s="42">
        <v>45020</v>
      </c>
      <c r="K13413" s="33" t="s">
        <v>22</v>
      </c>
    </row>
    <row r="13414" spans="1:11">
      <c r="A13414" s="30" t="s">
        <v>30336</v>
      </c>
      <c r="B13414" s="30" t="s">
        <v>30337</v>
      </c>
      <c r="C13414" s="30" t="s">
        <v>190</v>
      </c>
      <c r="D13414" s="30" t="s">
        <v>17</v>
      </c>
      <c r="E13414" s="30" t="s">
        <v>18</v>
      </c>
      <c r="F13414" s="30" t="s">
        <v>19</v>
      </c>
      <c r="G13414" s="30" t="s">
        <v>158</v>
      </c>
      <c r="H13414" s="32">
        <v>100</v>
      </c>
      <c r="I13414" s="30" t="s">
        <v>21</v>
      </c>
      <c r="J13414" s="41">
        <v>45149</v>
      </c>
      <c r="K13414" s="30" t="s">
        <v>22</v>
      </c>
    </row>
    <row r="13415" spans="1:11">
      <c r="A13415" s="33" t="s">
        <v>30338</v>
      </c>
      <c r="B13415" s="33" t="s">
        <v>30339</v>
      </c>
      <c r="C13415" s="33" t="s">
        <v>4348</v>
      </c>
      <c r="D13415" s="33" t="s">
        <v>17</v>
      </c>
      <c r="E13415" s="33" t="s">
        <v>31</v>
      </c>
      <c r="F13415" s="33" t="s">
        <v>32</v>
      </c>
      <c r="G13415" s="33" t="s">
        <v>158</v>
      </c>
      <c r="H13415" s="35">
        <v>198</v>
      </c>
      <c r="I13415" s="33" t="s">
        <v>21</v>
      </c>
      <c r="J13415" s="42">
        <v>45126</v>
      </c>
      <c r="K13415" s="33" t="s">
        <v>22</v>
      </c>
    </row>
    <row r="13416" spans="1:11">
      <c r="A13416" s="30" t="s">
        <v>30340</v>
      </c>
      <c r="B13416" s="30" t="s">
        <v>30341</v>
      </c>
      <c r="C13416" s="30" t="s">
        <v>29670</v>
      </c>
      <c r="D13416" s="30" t="s">
        <v>17</v>
      </c>
      <c r="E13416" s="30" t="s">
        <v>31</v>
      </c>
      <c r="F13416" s="30" t="s">
        <v>32</v>
      </c>
      <c r="G13416" s="30" t="s">
        <v>106</v>
      </c>
      <c r="H13416" s="32">
        <v>107</v>
      </c>
      <c r="I13416" s="30" t="s">
        <v>21</v>
      </c>
      <c r="J13416" s="41">
        <v>44951</v>
      </c>
      <c r="K13416" s="30" t="s">
        <v>22</v>
      </c>
    </row>
    <row r="13417" spans="1:11">
      <c r="A13417" s="33" t="s">
        <v>30342</v>
      </c>
      <c r="B13417" s="33" t="s">
        <v>30343</v>
      </c>
      <c r="C13417" s="33" t="s">
        <v>795</v>
      </c>
      <c r="D13417" s="33" t="s">
        <v>17</v>
      </c>
      <c r="E13417" s="33" t="s">
        <v>26</v>
      </c>
      <c r="F13417" s="33" t="s">
        <v>27</v>
      </c>
      <c r="G13417" s="33" t="s">
        <v>158</v>
      </c>
      <c r="H13417" s="35">
        <v>8</v>
      </c>
      <c r="I13417" s="33" t="s">
        <v>21</v>
      </c>
      <c r="J13417" s="42">
        <v>45254</v>
      </c>
      <c r="K13417" s="33" t="s">
        <v>22</v>
      </c>
    </row>
    <row r="13418" spans="1:11">
      <c r="A13418" s="30" t="s">
        <v>30344</v>
      </c>
      <c r="B13418" s="30" t="s">
        <v>30345</v>
      </c>
      <c r="C13418" s="30" t="s">
        <v>93</v>
      </c>
      <c r="D13418" s="30" t="s">
        <v>17</v>
      </c>
      <c r="E13418" s="30" t="s">
        <v>45</v>
      </c>
      <c r="F13418" s="30" t="s">
        <v>46</v>
      </c>
      <c r="G13418" s="30" t="s">
        <v>20</v>
      </c>
      <c r="H13418" s="32">
        <v>61</v>
      </c>
      <c r="I13418" s="30" t="s">
        <v>21</v>
      </c>
      <c r="J13418" s="41">
        <v>45174</v>
      </c>
      <c r="K13418" s="30" t="s">
        <v>22</v>
      </c>
    </row>
    <row r="13419" spans="1:11">
      <c r="A13419" s="33" t="s">
        <v>30346</v>
      </c>
      <c r="B13419" s="33" t="s">
        <v>30347</v>
      </c>
      <c r="C13419" s="33" t="s">
        <v>570</v>
      </c>
      <c r="D13419" s="33" t="s">
        <v>17</v>
      </c>
      <c r="E13419" s="33" t="s">
        <v>26</v>
      </c>
      <c r="F13419" s="33" t="s">
        <v>27</v>
      </c>
      <c r="G13419" s="33" t="s">
        <v>50</v>
      </c>
      <c r="H13419" s="35">
        <v>108</v>
      </c>
      <c r="I13419" s="33" t="s">
        <v>51</v>
      </c>
      <c r="J13419" s="42">
        <v>45169</v>
      </c>
      <c r="K13419" s="33" t="s">
        <v>22</v>
      </c>
    </row>
    <row r="13420" spans="1:11">
      <c r="A13420" s="30" t="s">
        <v>30348</v>
      </c>
      <c r="B13420" s="30" t="s">
        <v>30349</v>
      </c>
      <c r="C13420" s="30" t="s">
        <v>715</v>
      </c>
      <c r="D13420" s="30" t="s">
        <v>17</v>
      </c>
      <c r="E13420" s="30" t="s">
        <v>18</v>
      </c>
      <c r="F13420" s="30" t="s">
        <v>19</v>
      </c>
      <c r="G13420" s="30" t="s">
        <v>20</v>
      </c>
      <c r="H13420" s="32">
        <v>107</v>
      </c>
      <c r="I13420" s="30" t="s">
        <v>21</v>
      </c>
      <c r="J13420" s="41">
        <v>45140</v>
      </c>
      <c r="K13420" s="30" t="s">
        <v>22</v>
      </c>
    </row>
    <row r="13421" spans="1:11">
      <c r="A13421" s="33" t="s">
        <v>30350</v>
      </c>
      <c r="B13421" s="33" t="s">
        <v>30351</v>
      </c>
      <c r="C13421" s="33" t="s">
        <v>14816</v>
      </c>
      <c r="D13421" s="33" t="s">
        <v>17</v>
      </c>
      <c r="E13421" s="33" t="s">
        <v>26</v>
      </c>
      <c r="F13421" s="33" t="s">
        <v>27</v>
      </c>
      <c r="G13421" s="33" t="s">
        <v>50</v>
      </c>
      <c r="H13421" s="35">
        <v>96</v>
      </c>
      <c r="I13421" s="33" t="s">
        <v>21</v>
      </c>
      <c r="J13421" s="42">
        <v>44959</v>
      </c>
      <c r="K13421" s="33" t="s">
        <v>22</v>
      </c>
    </row>
    <row r="13422" spans="1:11">
      <c r="A13422" s="30" t="s">
        <v>30352</v>
      </c>
      <c r="B13422" s="30" t="s">
        <v>30353</v>
      </c>
      <c r="C13422" s="30" t="s">
        <v>14643</v>
      </c>
      <c r="D13422" s="30" t="s">
        <v>17</v>
      </c>
      <c r="E13422" s="30" t="s">
        <v>18</v>
      </c>
      <c r="F13422" s="30" t="s">
        <v>19</v>
      </c>
      <c r="G13422" s="30" t="s">
        <v>158</v>
      </c>
      <c r="H13422" s="32">
        <v>150</v>
      </c>
      <c r="I13422" s="30" t="s">
        <v>51</v>
      </c>
      <c r="J13422" s="41">
        <v>45079</v>
      </c>
      <c r="K13422" s="30" t="s">
        <v>22</v>
      </c>
    </row>
    <row r="13423" spans="1:11">
      <c r="A13423" s="33" t="s">
        <v>30354</v>
      </c>
      <c r="B13423" s="33" t="s">
        <v>30355</v>
      </c>
      <c r="C13423" s="33" t="s">
        <v>310</v>
      </c>
      <c r="D13423" s="33" t="s">
        <v>17</v>
      </c>
      <c r="E13423" s="33" t="s">
        <v>26</v>
      </c>
      <c r="F13423" s="33" t="s">
        <v>27</v>
      </c>
      <c r="G13423" s="33" t="s">
        <v>20</v>
      </c>
      <c r="H13423" s="35">
        <v>34</v>
      </c>
      <c r="I13423" s="33" t="s">
        <v>21</v>
      </c>
      <c r="J13423" s="42">
        <v>45278</v>
      </c>
      <c r="K13423" s="33" t="s">
        <v>22</v>
      </c>
    </row>
    <row r="13424" spans="1:11">
      <c r="A13424" s="30" t="s">
        <v>30356</v>
      </c>
      <c r="B13424" s="30" t="s">
        <v>30357</v>
      </c>
      <c r="C13424" s="30" t="s">
        <v>93</v>
      </c>
      <c r="D13424" s="30" t="s">
        <v>17</v>
      </c>
      <c r="E13424" s="30" t="s">
        <v>26</v>
      </c>
      <c r="F13424" s="30" t="s">
        <v>27</v>
      </c>
      <c r="G13424" s="30" t="s">
        <v>20</v>
      </c>
      <c r="H13424" s="32">
        <v>76</v>
      </c>
      <c r="I13424" s="30" t="s">
        <v>21</v>
      </c>
      <c r="J13424" s="41">
        <v>45259</v>
      </c>
      <c r="K13424" s="30" t="s">
        <v>22</v>
      </c>
    </row>
    <row r="13425" spans="1:11">
      <c r="A13425" s="33" t="s">
        <v>30358</v>
      </c>
      <c r="B13425" s="33" t="s">
        <v>30359</v>
      </c>
      <c r="C13425" s="33" t="s">
        <v>136</v>
      </c>
      <c r="D13425" s="33" t="s">
        <v>17</v>
      </c>
      <c r="E13425" s="33" t="s">
        <v>26</v>
      </c>
      <c r="F13425" s="33" t="s">
        <v>27</v>
      </c>
      <c r="G13425" s="33" t="s">
        <v>20</v>
      </c>
      <c r="H13425" s="35">
        <v>66</v>
      </c>
      <c r="I13425" s="33" t="s">
        <v>21</v>
      </c>
      <c r="J13425" s="42">
        <v>45247</v>
      </c>
      <c r="K13425" s="33" t="s">
        <v>22</v>
      </c>
    </row>
    <row r="13426" spans="1:11">
      <c r="A13426" s="30" t="s">
        <v>30360</v>
      </c>
      <c r="B13426" s="30" t="s">
        <v>30361</v>
      </c>
      <c r="C13426" s="30" t="s">
        <v>30362</v>
      </c>
      <c r="D13426" s="30" t="s">
        <v>17</v>
      </c>
      <c r="E13426" s="30" t="s">
        <v>26</v>
      </c>
      <c r="F13426" s="30" t="s">
        <v>27</v>
      </c>
      <c r="G13426" s="30" t="s">
        <v>20</v>
      </c>
      <c r="H13426" s="32">
        <v>9</v>
      </c>
      <c r="I13426" s="30" t="s">
        <v>21</v>
      </c>
      <c r="J13426" s="41">
        <v>45096</v>
      </c>
      <c r="K13426" s="30" t="s">
        <v>22</v>
      </c>
    </row>
    <row r="13427" spans="1:11">
      <c r="A13427" s="33" t="s">
        <v>30363</v>
      </c>
      <c r="B13427" s="33" t="s">
        <v>30364</v>
      </c>
      <c r="C13427" s="33" t="s">
        <v>6158</v>
      </c>
      <c r="D13427" s="33" t="s">
        <v>17</v>
      </c>
      <c r="E13427" s="33" t="s">
        <v>31</v>
      </c>
      <c r="F13427" s="33" t="s">
        <v>32</v>
      </c>
      <c r="G13427" s="33" t="s">
        <v>20</v>
      </c>
      <c r="H13427" s="35">
        <v>25</v>
      </c>
      <c r="I13427" s="33" t="s">
        <v>21</v>
      </c>
      <c r="J13427" s="42">
        <v>45069</v>
      </c>
      <c r="K13427" s="33" t="s">
        <v>22</v>
      </c>
    </row>
    <row r="13428" spans="1:11">
      <c r="A13428" s="30" t="s">
        <v>30365</v>
      </c>
      <c r="B13428" s="30" t="s">
        <v>30366</v>
      </c>
      <c r="C13428" s="30" t="s">
        <v>30367</v>
      </c>
      <c r="D13428" s="30" t="s">
        <v>17</v>
      </c>
      <c r="E13428" s="30" t="s">
        <v>67</v>
      </c>
      <c r="F13428" s="30" t="s">
        <v>68</v>
      </c>
      <c r="G13428" s="30" t="s">
        <v>140</v>
      </c>
      <c r="H13428" s="32">
        <v>90</v>
      </c>
      <c r="I13428" s="30" t="s">
        <v>51</v>
      </c>
      <c r="J13428" s="41">
        <v>45127</v>
      </c>
      <c r="K13428" s="30" t="s">
        <v>22</v>
      </c>
    </row>
    <row r="13429" spans="1:11">
      <c r="A13429" s="33" t="s">
        <v>30368</v>
      </c>
      <c r="B13429" s="33" t="s">
        <v>30369</v>
      </c>
      <c r="C13429" s="33" t="s">
        <v>102</v>
      </c>
      <c r="D13429" s="33" t="s">
        <v>17</v>
      </c>
      <c r="E13429" s="33" t="s">
        <v>18</v>
      </c>
      <c r="F13429" s="33" t="s">
        <v>19</v>
      </c>
      <c r="G13429" s="33" t="s">
        <v>158</v>
      </c>
      <c r="H13429" s="35">
        <v>311</v>
      </c>
      <c r="I13429" s="33" t="s">
        <v>21</v>
      </c>
      <c r="J13429" s="42">
        <v>45211</v>
      </c>
      <c r="K13429" s="33" t="s">
        <v>22</v>
      </c>
    </row>
    <row r="13430" spans="1:11">
      <c r="A13430" s="30" t="s">
        <v>30370</v>
      </c>
      <c r="B13430" s="30" t="s">
        <v>30371</v>
      </c>
      <c r="C13430" s="30" t="s">
        <v>2753</v>
      </c>
      <c r="D13430" s="30" t="s">
        <v>17</v>
      </c>
      <c r="E13430" s="30" t="s">
        <v>26</v>
      </c>
      <c r="F13430" s="30" t="s">
        <v>27</v>
      </c>
      <c r="G13430" s="30" t="s">
        <v>140</v>
      </c>
      <c r="H13430" s="32">
        <v>399</v>
      </c>
      <c r="I13430" s="30" t="s">
        <v>51</v>
      </c>
      <c r="J13430" s="41">
        <v>45261</v>
      </c>
      <c r="K13430" s="30" t="s">
        <v>22</v>
      </c>
    </row>
    <row r="13431" spans="1:11">
      <c r="A13431" s="33" t="s">
        <v>30372</v>
      </c>
      <c r="B13431" s="33" t="s">
        <v>30373</v>
      </c>
      <c r="C13431" s="33" t="s">
        <v>801</v>
      </c>
      <c r="D13431" s="33" t="s">
        <v>17</v>
      </c>
      <c r="E13431" s="33" t="s">
        <v>18</v>
      </c>
      <c r="F13431" s="33" t="s">
        <v>19</v>
      </c>
      <c r="G13431" s="33" t="s">
        <v>2613</v>
      </c>
      <c r="H13431" s="35">
        <v>306</v>
      </c>
      <c r="I13431" s="33" t="s">
        <v>51</v>
      </c>
      <c r="J13431" s="42">
        <v>45202</v>
      </c>
      <c r="K13431" s="33" t="s">
        <v>22</v>
      </c>
    </row>
    <row r="13432" spans="1:11">
      <c r="A13432" s="30" t="s">
        <v>30374</v>
      </c>
      <c r="B13432" s="30" t="s">
        <v>30375</v>
      </c>
      <c r="C13432" s="30" t="s">
        <v>1270</v>
      </c>
      <c r="D13432" s="30" t="s">
        <v>17</v>
      </c>
      <c r="E13432" s="30" t="s">
        <v>26</v>
      </c>
      <c r="F13432" s="30" t="s">
        <v>27</v>
      </c>
      <c r="G13432" s="30" t="s">
        <v>140</v>
      </c>
      <c r="H13432" s="32">
        <v>318</v>
      </c>
      <c r="I13432" s="30" t="s">
        <v>51</v>
      </c>
      <c r="J13432" s="41">
        <v>45086</v>
      </c>
      <c r="K13432" s="30" t="s">
        <v>22</v>
      </c>
    </row>
    <row r="13433" spans="1:11">
      <c r="A13433" s="33" t="s">
        <v>30376</v>
      </c>
      <c r="B13433" s="33" t="s">
        <v>30377</v>
      </c>
      <c r="C13433" s="33" t="s">
        <v>7094</v>
      </c>
      <c r="D13433" s="33" t="s">
        <v>17</v>
      </c>
      <c r="E13433" s="33" t="s">
        <v>31</v>
      </c>
      <c r="F13433" s="33" t="s">
        <v>32</v>
      </c>
      <c r="G13433" s="33" t="s">
        <v>112</v>
      </c>
      <c r="H13433" s="35">
        <v>0</v>
      </c>
      <c r="I13433" s="33" t="s">
        <v>21</v>
      </c>
      <c r="J13433" s="42">
        <v>44986</v>
      </c>
      <c r="K13433" s="33" t="s">
        <v>22</v>
      </c>
    </row>
    <row r="13434" spans="1:11">
      <c r="A13434" s="30" t="s">
        <v>30378</v>
      </c>
      <c r="B13434" s="30" t="s">
        <v>30379</v>
      </c>
      <c r="C13434" s="30" t="s">
        <v>1598</v>
      </c>
      <c r="D13434" s="30" t="s">
        <v>17</v>
      </c>
      <c r="E13434" s="30" t="s">
        <v>18</v>
      </c>
      <c r="F13434" s="30" t="s">
        <v>19</v>
      </c>
      <c r="G13434" s="30" t="s">
        <v>20</v>
      </c>
      <c r="H13434" s="32">
        <v>91</v>
      </c>
      <c r="I13434" s="30" t="s">
        <v>21</v>
      </c>
      <c r="J13434" s="41">
        <v>45219</v>
      </c>
      <c r="K13434" s="30" t="s">
        <v>22</v>
      </c>
    </row>
    <row r="13435" spans="1:11">
      <c r="A13435" s="33" t="s">
        <v>30380</v>
      </c>
      <c r="B13435" s="33" t="s">
        <v>30381</v>
      </c>
      <c r="C13435" s="33" t="s">
        <v>3001</v>
      </c>
      <c r="D13435" s="33" t="s">
        <v>17</v>
      </c>
      <c r="E13435" s="33" t="s">
        <v>26</v>
      </c>
      <c r="F13435" s="33" t="s">
        <v>27</v>
      </c>
      <c r="G13435" s="33" t="s">
        <v>140</v>
      </c>
      <c r="H13435" s="35">
        <v>78</v>
      </c>
      <c r="I13435" s="33" t="s">
        <v>51</v>
      </c>
      <c r="J13435" s="42">
        <v>45154</v>
      </c>
      <c r="K13435" s="33" t="s">
        <v>22</v>
      </c>
    </row>
    <row r="13436" spans="1:11">
      <c r="A13436" s="30" t="s">
        <v>30382</v>
      </c>
      <c r="B13436" s="30" t="s">
        <v>30383</v>
      </c>
      <c r="C13436" s="30" t="s">
        <v>252</v>
      </c>
      <c r="D13436" s="30" t="s">
        <v>17</v>
      </c>
      <c r="E13436" s="30" t="s">
        <v>31</v>
      </c>
      <c r="F13436" s="30" t="s">
        <v>32</v>
      </c>
      <c r="G13436" s="30" t="s">
        <v>140</v>
      </c>
      <c r="H13436" s="32">
        <v>78</v>
      </c>
      <c r="I13436" s="30" t="s">
        <v>51</v>
      </c>
      <c r="J13436" s="41">
        <v>45071</v>
      </c>
      <c r="K13436" s="30" t="s">
        <v>22</v>
      </c>
    </row>
    <row r="13437" spans="1:11">
      <c r="A13437" s="33" t="s">
        <v>30384</v>
      </c>
      <c r="B13437" s="33" t="s">
        <v>30385</v>
      </c>
      <c r="C13437" s="33" t="s">
        <v>130</v>
      </c>
      <c r="D13437" s="33" t="s">
        <v>17</v>
      </c>
      <c r="E13437" s="33" t="s">
        <v>26</v>
      </c>
      <c r="F13437" s="33" t="s">
        <v>27</v>
      </c>
      <c r="G13437" s="33" t="s">
        <v>20</v>
      </c>
      <c r="H13437" s="35">
        <v>46</v>
      </c>
      <c r="I13437" s="33" t="s">
        <v>21</v>
      </c>
      <c r="J13437" s="42">
        <v>44931</v>
      </c>
      <c r="K13437" s="33" t="s">
        <v>22</v>
      </c>
    </row>
    <row r="13438" spans="1:11">
      <c r="A13438" s="30" t="s">
        <v>30386</v>
      </c>
      <c r="B13438" s="30" t="s">
        <v>30387</v>
      </c>
      <c r="C13438" s="30" t="s">
        <v>30388</v>
      </c>
      <c r="D13438" s="30" t="s">
        <v>17</v>
      </c>
      <c r="E13438" s="30" t="s">
        <v>31</v>
      </c>
      <c r="F13438" s="30" t="s">
        <v>32</v>
      </c>
      <c r="G13438" s="30" t="s">
        <v>106</v>
      </c>
      <c r="H13438" s="32">
        <v>16</v>
      </c>
      <c r="I13438" s="30" t="s">
        <v>21</v>
      </c>
      <c r="J13438" s="41">
        <v>45114</v>
      </c>
      <c r="K13438" s="30" t="s">
        <v>22</v>
      </c>
    </row>
    <row r="13439" spans="1:11">
      <c r="A13439" s="33" t="s">
        <v>30389</v>
      </c>
      <c r="B13439" s="33" t="s">
        <v>30390</v>
      </c>
      <c r="C13439" s="33" t="s">
        <v>102</v>
      </c>
      <c r="D13439" s="33" t="s">
        <v>17</v>
      </c>
      <c r="E13439" s="33" t="s">
        <v>18</v>
      </c>
      <c r="F13439" s="33" t="s">
        <v>19</v>
      </c>
      <c r="G13439" s="33" t="s">
        <v>20</v>
      </c>
      <c r="H13439" s="35">
        <v>338</v>
      </c>
      <c r="I13439" s="33" t="s">
        <v>21</v>
      </c>
      <c r="J13439" s="42">
        <v>45162</v>
      </c>
      <c r="K13439" s="33" t="s">
        <v>22</v>
      </c>
    </row>
    <row r="13440" spans="1:11">
      <c r="A13440" s="30" t="s">
        <v>30391</v>
      </c>
      <c r="B13440" s="30" t="s">
        <v>30392</v>
      </c>
      <c r="C13440" s="30" t="s">
        <v>9225</v>
      </c>
      <c r="D13440" s="30" t="s">
        <v>17</v>
      </c>
      <c r="E13440" s="30" t="s">
        <v>67</v>
      </c>
      <c r="F13440" s="30" t="s">
        <v>68</v>
      </c>
      <c r="G13440" s="30" t="s">
        <v>112</v>
      </c>
      <c r="H13440" s="32">
        <v>0</v>
      </c>
      <c r="I13440" s="30" t="s">
        <v>21</v>
      </c>
      <c r="J13440" s="41">
        <v>44986</v>
      </c>
      <c r="K13440" s="30" t="s">
        <v>22</v>
      </c>
    </row>
    <row r="13441" spans="1:11">
      <c r="A13441" s="33" t="s">
        <v>30393</v>
      </c>
      <c r="B13441" s="33" t="s">
        <v>30394</v>
      </c>
      <c r="C13441" s="33" t="s">
        <v>990</v>
      </c>
      <c r="D13441" s="33" t="s">
        <v>17</v>
      </c>
      <c r="E13441" s="33" t="s">
        <v>31</v>
      </c>
      <c r="F13441" s="33" t="s">
        <v>32</v>
      </c>
      <c r="G13441" s="33" t="s">
        <v>158</v>
      </c>
      <c r="H13441" s="35">
        <v>247</v>
      </c>
      <c r="I13441" s="33" t="s">
        <v>21</v>
      </c>
      <c r="J13441" s="42">
        <v>44937</v>
      </c>
      <c r="K13441" s="33" t="s">
        <v>22</v>
      </c>
    </row>
    <row r="13442" spans="1:11">
      <c r="A13442" s="30" t="s">
        <v>30395</v>
      </c>
      <c r="B13442" s="30" t="s">
        <v>30396</v>
      </c>
      <c r="C13442" s="30" t="s">
        <v>93</v>
      </c>
      <c r="D13442" s="30" t="s">
        <v>17</v>
      </c>
      <c r="E13442" s="30" t="s">
        <v>26</v>
      </c>
      <c r="F13442" s="30" t="s">
        <v>27</v>
      </c>
      <c r="G13442" s="30" t="s">
        <v>112</v>
      </c>
      <c r="H13442" s="32">
        <v>0</v>
      </c>
      <c r="I13442" s="30" t="s">
        <v>21</v>
      </c>
      <c r="J13442" s="41">
        <v>45204</v>
      </c>
      <c r="K13442" s="30" t="s">
        <v>22</v>
      </c>
    </row>
    <row r="13443" spans="1:11">
      <c r="A13443" s="33" t="s">
        <v>30397</v>
      </c>
      <c r="B13443" s="33" t="s">
        <v>30398</v>
      </c>
      <c r="C13443" s="33" t="s">
        <v>2500</v>
      </c>
      <c r="D13443" s="33" t="s">
        <v>17</v>
      </c>
      <c r="E13443" s="33" t="s">
        <v>26</v>
      </c>
      <c r="F13443" s="33" t="s">
        <v>27</v>
      </c>
      <c r="G13443" s="33" t="s">
        <v>20</v>
      </c>
      <c r="H13443" s="35">
        <v>12</v>
      </c>
      <c r="I13443" s="33" t="s">
        <v>21</v>
      </c>
      <c r="J13443" s="42">
        <v>45068</v>
      </c>
      <c r="K13443" s="33" t="s">
        <v>22</v>
      </c>
    </row>
    <row r="13444" spans="1:11">
      <c r="A13444" s="30" t="s">
        <v>30399</v>
      </c>
      <c r="B13444" s="30" t="s">
        <v>30400</v>
      </c>
      <c r="C13444" s="30" t="s">
        <v>15741</v>
      </c>
      <c r="D13444" s="30" t="s">
        <v>17</v>
      </c>
      <c r="E13444" s="30" t="s">
        <v>26</v>
      </c>
      <c r="F13444" s="30" t="s">
        <v>27</v>
      </c>
      <c r="G13444" s="30" t="s">
        <v>50</v>
      </c>
      <c r="H13444" s="32">
        <v>42</v>
      </c>
      <c r="I13444" s="30" t="s">
        <v>51</v>
      </c>
      <c r="J13444" s="41">
        <v>45288</v>
      </c>
      <c r="K13444" s="30" t="s">
        <v>22</v>
      </c>
    </row>
    <row r="13445" spans="1:11">
      <c r="A13445" s="33" t="s">
        <v>30401</v>
      </c>
      <c r="B13445" s="33" t="s">
        <v>30402</v>
      </c>
      <c r="C13445" s="33" t="s">
        <v>3944</v>
      </c>
      <c r="D13445" s="33" t="s">
        <v>17</v>
      </c>
      <c r="E13445" s="33" t="s">
        <v>26</v>
      </c>
      <c r="F13445" s="33" t="s">
        <v>27</v>
      </c>
      <c r="G13445" s="33" t="s">
        <v>140</v>
      </c>
      <c r="H13445" s="35">
        <v>30</v>
      </c>
      <c r="I13445" s="33" t="s">
        <v>51</v>
      </c>
      <c r="J13445" s="42">
        <v>45149</v>
      </c>
      <c r="K13445" s="33" t="s">
        <v>22</v>
      </c>
    </row>
    <row r="13446" spans="1:11">
      <c r="A13446" s="30" t="s">
        <v>30403</v>
      </c>
      <c r="B13446" s="30" t="s">
        <v>30404</v>
      </c>
      <c r="C13446" s="30" t="s">
        <v>310</v>
      </c>
      <c r="D13446" s="30" t="s">
        <v>17</v>
      </c>
      <c r="E13446" s="30" t="s">
        <v>18</v>
      </c>
      <c r="F13446" s="30" t="s">
        <v>19</v>
      </c>
      <c r="G13446" s="30" t="s">
        <v>20</v>
      </c>
      <c r="H13446" s="32">
        <v>512</v>
      </c>
      <c r="I13446" s="30" t="s">
        <v>21</v>
      </c>
      <c r="J13446" s="41">
        <v>44930</v>
      </c>
      <c r="K13446" s="30" t="s">
        <v>22</v>
      </c>
    </row>
    <row r="13447" spans="1:11">
      <c r="A13447" s="33" t="s">
        <v>30405</v>
      </c>
      <c r="B13447" s="33" t="s">
        <v>30406</v>
      </c>
      <c r="C13447" s="33" t="s">
        <v>10038</v>
      </c>
      <c r="D13447" s="33" t="s">
        <v>17</v>
      </c>
      <c r="E13447" s="33" t="s">
        <v>31</v>
      </c>
      <c r="F13447" s="33" t="s">
        <v>32</v>
      </c>
      <c r="G13447" s="33" t="s">
        <v>140</v>
      </c>
      <c r="H13447" s="35">
        <v>72</v>
      </c>
      <c r="I13447" s="33" t="s">
        <v>51</v>
      </c>
      <c r="J13447" s="42">
        <v>44967</v>
      </c>
      <c r="K13447" s="33" t="s">
        <v>22</v>
      </c>
    </row>
    <row r="13448" spans="1:11">
      <c r="A13448" s="30" t="s">
        <v>30407</v>
      </c>
      <c r="B13448" s="30" t="s">
        <v>30408</v>
      </c>
      <c r="C13448" s="30" t="s">
        <v>96</v>
      </c>
      <c r="D13448" s="30" t="s">
        <v>17</v>
      </c>
      <c r="E13448" s="30" t="s">
        <v>18</v>
      </c>
      <c r="F13448" s="30" t="s">
        <v>19</v>
      </c>
      <c r="G13448" s="30" t="s">
        <v>158</v>
      </c>
      <c r="H13448" s="32">
        <v>1571</v>
      </c>
      <c r="I13448" s="30" t="s">
        <v>21</v>
      </c>
      <c r="J13448" s="41">
        <v>45238</v>
      </c>
      <c r="K13448" s="30" t="s">
        <v>22</v>
      </c>
    </row>
    <row r="13449" spans="1:11">
      <c r="A13449" s="33" t="s">
        <v>30409</v>
      </c>
      <c r="B13449" s="33" t="s">
        <v>30410</v>
      </c>
      <c r="C13449" s="33" t="s">
        <v>178</v>
      </c>
      <c r="D13449" s="33" t="s">
        <v>17</v>
      </c>
      <c r="E13449" s="33" t="s">
        <v>18</v>
      </c>
      <c r="F13449" s="33" t="s">
        <v>19</v>
      </c>
      <c r="G13449" s="33" t="s">
        <v>158</v>
      </c>
      <c r="H13449" s="35">
        <v>687</v>
      </c>
      <c r="I13449" s="33" t="s">
        <v>21</v>
      </c>
      <c r="J13449" s="42">
        <v>45183</v>
      </c>
      <c r="K13449" s="33" t="s">
        <v>22</v>
      </c>
    </row>
    <row r="13450" spans="1:11">
      <c r="A13450" s="30" t="s">
        <v>30411</v>
      </c>
      <c r="B13450" s="30" t="s">
        <v>30412</v>
      </c>
      <c r="C13450" s="30" t="s">
        <v>1583</v>
      </c>
      <c r="D13450" s="30" t="s">
        <v>17</v>
      </c>
      <c r="E13450" s="30" t="s">
        <v>31</v>
      </c>
      <c r="F13450" s="30" t="s">
        <v>32</v>
      </c>
      <c r="G13450" s="30" t="s">
        <v>158</v>
      </c>
      <c r="H13450" s="32">
        <v>120</v>
      </c>
      <c r="I13450" s="30" t="s">
        <v>21</v>
      </c>
      <c r="J13450" s="41">
        <v>45244</v>
      </c>
      <c r="K13450" s="30" t="s">
        <v>22</v>
      </c>
    </row>
    <row r="13451" spans="1:11">
      <c r="A13451" s="33" t="s">
        <v>30413</v>
      </c>
      <c r="B13451" s="33" t="s">
        <v>30414</v>
      </c>
      <c r="C13451" s="33" t="s">
        <v>102</v>
      </c>
      <c r="D13451" s="33" t="s">
        <v>17</v>
      </c>
      <c r="E13451" s="33" t="s">
        <v>18</v>
      </c>
      <c r="F13451" s="33" t="s">
        <v>19</v>
      </c>
      <c r="G13451" s="33" t="s">
        <v>158</v>
      </c>
      <c r="H13451" s="35">
        <v>1135</v>
      </c>
      <c r="I13451" s="33" t="s">
        <v>21</v>
      </c>
      <c r="J13451" s="42">
        <v>45008</v>
      </c>
      <c r="K13451" s="33" t="s">
        <v>22</v>
      </c>
    </row>
    <row r="13452" spans="1:11">
      <c r="A13452" s="30" t="s">
        <v>30415</v>
      </c>
      <c r="B13452" s="30" t="s">
        <v>30416</v>
      </c>
      <c r="C13452" s="30" t="s">
        <v>9629</v>
      </c>
      <c r="D13452" s="30" t="s">
        <v>17</v>
      </c>
      <c r="E13452" s="30" t="s">
        <v>26</v>
      </c>
      <c r="F13452" s="30" t="s">
        <v>27</v>
      </c>
      <c r="G13452" s="30" t="s">
        <v>50</v>
      </c>
      <c r="H13452" s="32">
        <v>30</v>
      </c>
      <c r="I13452" s="30" t="s">
        <v>51</v>
      </c>
      <c r="J13452" s="41">
        <v>45229</v>
      </c>
      <c r="K13452" s="30" t="s">
        <v>22</v>
      </c>
    </row>
    <row r="13453" spans="1:11">
      <c r="A13453" s="33" t="s">
        <v>30417</v>
      </c>
      <c r="B13453" s="33" t="s">
        <v>30418</v>
      </c>
      <c r="C13453" s="33" t="s">
        <v>13241</v>
      </c>
      <c r="D13453" s="33" t="s">
        <v>17</v>
      </c>
      <c r="E13453" s="33" t="s">
        <v>26</v>
      </c>
      <c r="F13453" s="33" t="s">
        <v>27</v>
      </c>
      <c r="G13453" s="33" t="s">
        <v>158</v>
      </c>
      <c r="H13453" s="35">
        <v>22</v>
      </c>
      <c r="I13453" s="33" t="s">
        <v>21</v>
      </c>
      <c r="J13453" s="42">
        <v>44991</v>
      </c>
      <c r="K13453" s="33" t="s">
        <v>22</v>
      </c>
    </row>
    <row r="13454" spans="1:11">
      <c r="A13454" s="30" t="s">
        <v>30419</v>
      </c>
      <c r="B13454" s="30" t="s">
        <v>30420</v>
      </c>
      <c r="C13454" s="30" t="s">
        <v>698</v>
      </c>
      <c r="D13454" s="30" t="s">
        <v>17</v>
      </c>
      <c r="E13454" s="30" t="s">
        <v>18</v>
      </c>
      <c r="F13454" s="30" t="s">
        <v>19</v>
      </c>
      <c r="G13454" s="30" t="s">
        <v>7780</v>
      </c>
      <c r="H13454" s="32">
        <v>146</v>
      </c>
      <c r="I13454" s="30" t="s">
        <v>51</v>
      </c>
      <c r="J13454" s="41">
        <v>45017</v>
      </c>
      <c r="K13454" s="30" t="s">
        <v>22</v>
      </c>
    </row>
    <row r="13455" spans="1:11">
      <c r="A13455" s="33" t="s">
        <v>30421</v>
      </c>
      <c r="B13455" s="33" t="s">
        <v>30422</v>
      </c>
      <c r="C13455" s="33" t="s">
        <v>27021</v>
      </c>
      <c r="D13455" s="33" t="s">
        <v>17</v>
      </c>
      <c r="E13455" s="33" t="s">
        <v>26</v>
      </c>
      <c r="F13455" s="33" t="s">
        <v>27</v>
      </c>
      <c r="G13455" s="33" t="s">
        <v>20</v>
      </c>
      <c r="H13455" s="35">
        <v>64</v>
      </c>
      <c r="I13455" s="33" t="s">
        <v>21</v>
      </c>
      <c r="J13455" s="42">
        <v>45070</v>
      </c>
      <c r="K13455" s="33" t="s">
        <v>22</v>
      </c>
    </row>
    <row r="13456" spans="1:11">
      <c r="A13456" s="30" t="s">
        <v>30423</v>
      </c>
      <c r="B13456" s="30" t="s">
        <v>30424</v>
      </c>
      <c r="C13456" s="30" t="s">
        <v>1154</v>
      </c>
      <c r="D13456" s="30" t="s">
        <v>17</v>
      </c>
      <c r="E13456" s="30" t="s">
        <v>18</v>
      </c>
      <c r="F13456" s="30" t="s">
        <v>19</v>
      </c>
      <c r="G13456" s="30" t="s">
        <v>20</v>
      </c>
      <c r="H13456" s="32">
        <v>288</v>
      </c>
      <c r="I13456" s="30" t="s">
        <v>21</v>
      </c>
      <c r="J13456" s="41">
        <v>45238</v>
      </c>
      <c r="K13456" s="30" t="s">
        <v>22</v>
      </c>
    </row>
    <row r="13457" spans="1:11">
      <c r="A13457" s="33" t="s">
        <v>30425</v>
      </c>
      <c r="B13457" s="33" t="s">
        <v>30426</v>
      </c>
      <c r="C13457" s="33" t="s">
        <v>2132</v>
      </c>
      <c r="D13457" s="33" t="s">
        <v>17</v>
      </c>
      <c r="E13457" s="33" t="s">
        <v>212</v>
      </c>
      <c r="F13457" s="33" t="s">
        <v>213</v>
      </c>
      <c r="G13457" s="33" t="s">
        <v>50</v>
      </c>
      <c r="H13457" s="35">
        <v>120</v>
      </c>
      <c r="I13457" s="33" t="s">
        <v>51</v>
      </c>
      <c r="J13457" s="42">
        <v>45084</v>
      </c>
      <c r="K13457" s="33" t="s">
        <v>22</v>
      </c>
    </row>
    <row r="13458" spans="1:11">
      <c r="A13458" s="30" t="s">
        <v>30427</v>
      </c>
      <c r="B13458" s="30" t="s">
        <v>30428</v>
      </c>
      <c r="C13458" s="30" t="s">
        <v>5158</v>
      </c>
      <c r="D13458" s="30" t="s">
        <v>17</v>
      </c>
      <c r="E13458" s="30" t="s">
        <v>26</v>
      </c>
      <c r="F13458" s="30" t="s">
        <v>27</v>
      </c>
      <c r="G13458" s="30" t="s">
        <v>140</v>
      </c>
      <c r="H13458" s="32">
        <v>189</v>
      </c>
      <c r="I13458" s="30" t="s">
        <v>51</v>
      </c>
      <c r="J13458" s="41">
        <v>45231</v>
      </c>
      <c r="K13458" s="30" t="s">
        <v>22</v>
      </c>
    </row>
    <row r="13459" spans="1:11">
      <c r="A13459" s="33" t="s">
        <v>30429</v>
      </c>
      <c r="B13459" s="33" t="s">
        <v>30430</v>
      </c>
      <c r="C13459" s="33" t="s">
        <v>154</v>
      </c>
      <c r="D13459" s="33" t="s">
        <v>17</v>
      </c>
      <c r="E13459" s="33" t="s">
        <v>26</v>
      </c>
      <c r="F13459" s="33" t="s">
        <v>27</v>
      </c>
      <c r="G13459" s="33" t="s">
        <v>20</v>
      </c>
      <c r="H13459" s="35">
        <v>6</v>
      </c>
      <c r="I13459" s="33" t="s">
        <v>21</v>
      </c>
      <c r="J13459" s="42">
        <v>45068</v>
      </c>
      <c r="K13459" s="33" t="s">
        <v>22</v>
      </c>
    </row>
    <row r="13460" spans="1:11">
      <c r="A13460" s="30" t="s">
        <v>30431</v>
      </c>
      <c r="B13460" s="30" t="s">
        <v>30432</v>
      </c>
      <c r="C13460" s="30" t="s">
        <v>27241</v>
      </c>
      <c r="D13460" s="30" t="s">
        <v>17</v>
      </c>
      <c r="E13460" s="30" t="s">
        <v>31</v>
      </c>
      <c r="F13460" s="30" t="s">
        <v>32</v>
      </c>
      <c r="G13460" s="30" t="s">
        <v>20</v>
      </c>
      <c r="H13460" s="32">
        <v>40</v>
      </c>
      <c r="I13460" s="30" t="s">
        <v>21</v>
      </c>
      <c r="J13460" s="41">
        <v>45023</v>
      </c>
      <c r="K13460" s="30" t="s">
        <v>22</v>
      </c>
    </row>
    <row r="13461" spans="1:11">
      <c r="A13461" s="33" t="s">
        <v>30433</v>
      </c>
      <c r="B13461" s="33" t="s">
        <v>30434</v>
      </c>
      <c r="C13461" s="33" t="s">
        <v>136</v>
      </c>
      <c r="D13461" s="33" t="s">
        <v>17</v>
      </c>
      <c r="E13461" s="33" t="s">
        <v>18</v>
      </c>
      <c r="F13461" s="33" t="s">
        <v>19</v>
      </c>
      <c r="G13461" s="33" t="s">
        <v>20</v>
      </c>
      <c r="H13461" s="35">
        <v>546</v>
      </c>
      <c r="I13461" s="33" t="s">
        <v>21</v>
      </c>
      <c r="J13461" s="42">
        <v>45240</v>
      </c>
      <c r="K13461" s="33" t="s">
        <v>22</v>
      </c>
    </row>
    <row r="13462" spans="1:11">
      <c r="A13462" s="30" t="s">
        <v>30435</v>
      </c>
      <c r="B13462" s="30" t="s">
        <v>30436</v>
      </c>
      <c r="C13462" s="30" t="s">
        <v>21743</v>
      </c>
      <c r="D13462" s="30" t="s">
        <v>17</v>
      </c>
      <c r="E13462" s="30" t="s">
        <v>18</v>
      </c>
      <c r="F13462" s="30" t="s">
        <v>19</v>
      </c>
      <c r="G13462" s="30" t="s">
        <v>140</v>
      </c>
      <c r="H13462" s="32">
        <v>2</v>
      </c>
      <c r="I13462" s="30" t="s">
        <v>51</v>
      </c>
      <c r="J13462" s="41">
        <v>45026</v>
      </c>
      <c r="K13462" s="30" t="s">
        <v>22</v>
      </c>
    </row>
    <row r="13463" spans="1:11">
      <c r="A13463" s="33" t="s">
        <v>30437</v>
      </c>
      <c r="B13463" s="33" t="s">
        <v>30438</v>
      </c>
      <c r="C13463" s="33" t="s">
        <v>24582</v>
      </c>
      <c r="D13463" s="33" t="s">
        <v>17</v>
      </c>
      <c r="E13463" s="33" t="s">
        <v>67</v>
      </c>
      <c r="F13463" s="33" t="s">
        <v>68</v>
      </c>
      <c r="G13463" s="33" t="s">
        <v>20</v>
      </c>
      <c r="H13463" s="35">
        <v>28</v>
      </c>
      <c r="I13463" s="33" t="s">
        <v>21</v>
      </c>
      <c r="J13463" s="42">
        <v>44936</v>
      </c>
      <c r="K13463" s="33" t="s">
        <v>22</v>
      </c>
    </row>
    <row r="13464" spans="1:11">
      <c r="A13464" s="30" t="s">
        <v>30439</v>
      </c>
      <c r="B13464" s="30" t="s">
        <v>30440</v>
      </c>
      <c r="C13464" s="30" t="s">
        <v>7721</v>
      </c>
      <c r="D13464" s="30" t="s">
        <v>17</v>
      </c>
      <c r="E13464" s="30" t="s">
        <v>26</v>
      </c>
      <c r="F13464" s="30" t="s">
        <v>27</v>
      </c>
      <c r="G13464" s="30" t="s">
        <v>20</v>
      </c>
      <c r="H13464" s="32">
        <v>16</v>
      </c>
      <c r="I13464" s="30" t="s">
        <v>21</v>
      </c>
      <c r="J13464" s="41">
        <v>44956</v>
      </c>
      <c r="K13464" s="30" t="s">
        <v>22</v>
      </c>
    </row>
    <row r="13465" spans="1:11">
      <c r="A13465" s="33" t="s">
        <v>30441</v>
      </c>
      <c r="B13465" s="33" t="s">
        <v>30442</v>
      </c>
      <c r="C13465" s="33" t="s">
        <v>30443</v>
      </c>
      <c r="D13465" s="33" t="s">
        <v>17</v>
      </c>
      <c r="E13465" s="33" t="s">
        <v>212</v>
      </c>
      <c r="F13465" s="33" t="s">
        <v>213</v>
      </c>
      <c r="G13465" s="33" t="s">
        <v>20</v>
      </c>
      <c r="H13465" s="35">
        <v>888</v>
      </c>
      <c r="I13465" s="33" t="s">
        <v>21</v>
      </c>
      <c r="J13465" s="42">
        <v>44927</v>
      </c>
      <c r="K13465" s="33" t="s">
        <v>22</v>
      </c>
    </row>
    <row r="13466" spans="1:11">
      <c r="A13466" s="30" t="s">
        <v>30444</v>
      </c>
      <c r="B13466" s="30" t="s">
        <v>30445</v>
      </c>
      <c r="C13466" s="30" t="s">
        <v>178</v>
      </c>
      <c r="D13466" s="30" t="s">
        <v>17</v>
      </c>
      <c r="E13466" s="30" t="s">
        <v>31</v>
      </c>
      <c r="F13466" s="30" t="s">
        <v>32</v>
      </c>
      <c r="G13466" s="30" t="s">
        <v>158</v>
      </c>
      <c r="H13466" s="32">
        <v>83</v>
      </c>
      <c r="I13466" s="30" t="s">
        <v>21</v>
      </c>
      <c r="J13466" s="41">
        <v>45125</v>
      </c>
      <c r="K13466" s="30" t="s">
        <v>22</v>
      </c>
    </row>
    <row r="13467" spans="1:11">
      <c r="A13467" s="33" t="s">
        <v>30446</v>
      </c>
      <c r="B13467" s="33" t="s">
        <v>30447</v>
      </c>
      <c r="C13467" s="33" t="s">
        <v>787</v>
      </c>
      <c r="D13467" s="33" t="s">
        <v>17</v>
      </c>
      <c r="E13467" s="33" t="s">
        <v>31</v>
      </c>
      <c r="F13467" s="33" t="s">
        <v>32</v>
      </c>
      <c r="G13467" s="33" t="s">
        <v>140</v>
      </c>
      <c r="H13467" s="35">
        <v>186</v>
      </c>
      <c r="I13467" s="33" t="s">
        <v>51</v>
      </c>
      <c r="J13467" s="42">
        <v>45045</v>
      </c>
      <c r="K13467" s="33" t="s">
        <v>22</v>
      </c>
    </row>
    <row r="13468" spans="1:11">
      <c r="A13468" s="30" t="s">
        <v>30448</v>
      </c>
      <c r="B13468" s="30" t="s">
        <v>30449</v>
      </c>
      <c r="C13468" s="30" t="s">
        <v>3650</v>
      </c>
      <c r="D13468" s="30" t="s">
        <v>17</v>
      </c>
      <c r="E13468" s="30" t="s">
        <v>31</v>
      </c>
      <c r="F13468" s="30" t="s">
        <v>32</v>
      </c>
      <c r="G13468" s="30" t="s">
        <v>158</v>
      </c>
      <c r="H13468" s="32">
        <v>17</v>
      </c>
      <c r="I13468" s="30" t="s">
        <v>21</v>
      </c>
      <c r="J13468" s="41">
        <v>44967</v>
      </c>
      <c r="K13468" s="30" t="s">
        <v>22</v>
      </c>
    </row>
    <row r="13469" spans="1:11">
      <c r="A13469" s="33" t="s">
        <v>30450</v>
      </c>
      <c r="B13469" s="33" t="s">
        <v>30451</v>
      </c>
      <c r="C13469" s="33" t="s">
        <v>157</v>
      </c>
      <c r="D13469" s="33" t="s">
        <v>17</v>
      </c>
      <c r="E13469" s="33" t="s">
        <v>18</v>
      </c>
      <c r="F13469" s="33" t="s">
        <v>19</v>
      </c>
      <c r="G13469" s="33" t="s">
        <v>20</v>
      </c>
      <c r="H13469" s="35">
        <v>693</v>
      </c>
      <c r="I13469" s="33" t="s">
        <v>21</v>
      </c>
      <c r="J13469" s="42">
        <v>45236</v>
      </c>
      <c r="K13469" s="33" t="s">
        <v>22</v>
      </c>
    </row>
    <row r="13470" spans="1:11">
      <c r="A13470" s="30" t="s">
        <v>30452</v>
      </c>
      <c r="B13470" s="30" t="s">
        <v>30453</v>
      </c>
      <c r="C13470" s="30" t="s">
        <v>1683</v>
      </c>
      <c r="D13470" s="30" t="s">
        <v>17</v>
      </c>
      <c r="E13470" s="30" t="s">
        <v>18</v>
      </c>
      <c r="F13470" s="30" t="s">
        <v>19</v>
      </c>
      <c r="G13470" s="30" t="s">
        <v>158</v>
      </c>
      <c r="H13470" s="32">
        <v>148</v>
      </c>
      <c r="I13470" s="30" t="s">
        <v>51</v>
      </c>
      <c r="J13470" s="41">
        <v>45077</v>
      </c>
      <c r="K13470" s="30" t="s">
        <v>22</v>
      </c>
    </row>
    <row r="13471" spans="1:11">
      <c r="A13471" s="33" t="s">
        <v>30454</v>
      </c>
      <c r="B13471" s="33" t="s">
        <v>30455</v>
      </c>
      <c r="C13471" s="33" t="s">
        <v>30456</v>
      </c>
      <c r="D13471" s="33" t="s">
        <v>17</v>
      </c>
      <c r="E13471" s="33" t="s">
        <v>26</v>
      </c>
      <c r="F13471" s="33" t="s">
        <v>27</v>
      </c>
      <c r="G13471" s="33" t="s">
        <v>140</v>
      </c>
      <c r="H13471" s="35">
        <v>44</v>
      </c>
      <c r="I13471" s="33" t="s">
        <v>51</v>
      </c>
      <c r="J13471" s="42">
        <v>45145</v>
      </c>
      <c r="K13471" s="33" t="s">
        <v>22</v>
      </c>
    </row>
    <row r="13472" spans="1:11">
      <c r="A13472" s="30" t="s">
        <v>30457</v>
      </c>
      <c r="B13472" s="30" t="s">
        <v>30458</v>
      </c>
      <c r="C13472" s="30" t="s">
        <v>30459</v>
      </c>
      <c r="D13472" s="30" t="s">
        <v>17</v>
      </c>
      <c r="E13472" s="30" t="s">
        <v>67</v>
      </c>
      <c r="F13472" s="30" t="s">
        <v>68</v>
      </c>
      <c r="G13472" s="30" t="s">
        <v>140</v>
      </c>
      <c r="H13472" s="32">
        <v>208</v>
      </c>
      <c r="I13472" s="30" t="s">
        <v>51</v>
      </c>
      <c r="J13472" s="41">
        <v>45224</v>
      </c>
      <c r="K13472" s="30" t="s">
        <v>22</v>
      </c>
    </row>
    <row r="13473" spans="1:11">
      <c r="A13473" s="33" t="s">
        <v>30460</v>
      </c>
      <c r="B13473" s="33" t="s">
        <v>30461</v>
      </c>
      <c r="C13473" s="33" t="s">
        <v>1801</v>
      </c>
      <c r="D13473" s="33" t="s">
        <v>17</v>
      </c>
      <c r="E13473" s="33" t="s">
        <v>26</v>
      </c>
      <c r="F13473" s="33" t="s">
        <v>27</v>
      </c>
      <c r="G13473" s="33" t="s">
        <v>106</v>
      </c>
      <c r="H13473" s="35">
        <v>192</v>
      </c>
      <c r="I13473" s="33" t="s">
        <v>21</v>
      </c>
      <c r="J13473" s="42">
        <v>44993</v>
      </c>
      <c r="K13473" s="33" t="s">
        <v>22</v>
      </c>
    </row>
    <row r="13474" spans="1:11">
      <c r="A13474" s="30" t="s">
        <v>30462</v>
      </c>
      <c r="B13474" s="30" t="s">
        <v>30463</v>
      </c>
      <c r="C13474" s="30" t="s">
        <v>231</v>
      </c>
      <c r="D13474" s="30" t="s">
        <v>17</v>
      </c>
      <c r="E13474" s="30" t="s">
        <v>26</v>
      </c>
      <c r="F13474" s="30" t="s">
        <v>27</v>
      </c>
      <c r="G13474" s="30" t="s">
        <v>20</v>
      </c>
      <c r="H13474" s="32">
        <v>47</v>
      </c>
      <c r="I13474" s="30" t="s">
        <v>21</v>
      </c>
      <c r="J13474" s="41">
        <v>45266</v>
      </c>
      <c r="K13474" s="30" t="s">
        <v>22</v>
      </c>
    </row>
    <row r="13475" spans="1:11">
      <c r="A13475" s="33" t="s">
        <v>30464</v>
      </c>
      <c r="B13475" s="33" t="s">
        <v>30465</v>
      </c>
      <c r="C13475" s="33" t="s">
        <v>985</v>
      </c>
      <c r="D13475" s="33" t="s">
        <v>17</v>
      </c>
      <c r="E13475" s="33" t="s">
        <v>26</v>
      </c>
      <c r="F13475" s="33" t="s">
        <v>27</v>
      </c>
      <c r="G13475" s="33" t="s">
        <v>20</v>
      </c>
      <c r="H13475" s="35">
        <v>39</v>
      </c>
      <c r="I13475" s="33" t="s">
        <v>21</v>
      </c>
      <c r="J13475" s="42">
        <v>44956</v>
      </c>
      <c r="K13475" s="33" t="s">
        <v>22</v>
      </c>
    </row>
    <row r="13476" spans="1:11">
      <c r="A13476" s="30" t="s">
        <v>30466</v>
      </c>
      <c r="B13476" s="30" t="s">
        <v>30467</v>
      </c>
      <c r="C13476" s="30" t="s">
        <v>30468</v>
      </c>
      <c r="D13476" s="30" t="s">
        <v>17</v>
      </c>
      <c r="E13476" s="30" t="s">
        <v>31</v>
      </c>
      <c r="F13476" s="30" t="s">
        <v>32</v>
      </c>
      <c r="G13476" s="30" t="s">
        <v>20</v>
      </c>
      <c r="H13476" s="32">
        <v>100</v>
      </c>
      <c r="I13476" s="30" t="s">
        <v>21</v>
      </c>
      <c r="J13476" s="41">
        <v>45061</v>
      </c>
      <c r="K13476" s="30" t="s">
        <v>22</v>
      </c>
    </row>
    <row r="13477" spans="1:11">
      <c r="A13477" s="33" t="s">
        <v>30469</v>
      </c>
      <c r="B13477" s="33" t="s">
        <v>30470</v>
      </c>
      <c r="C13477" s="33" t="s">
        <v>13574</v>
      </c>
      <c r="D13477" s="33" t="s">
        <v>17</v>
      </c>
      <c r="E13477" s="33" t="s">
        <v>26</v>
      </c>
      <c r="F13477" s="33" t="s">
        <v>27</v>
      </c>
      <c r="G13477" s="33" t="s">
        <v>20</v>
      </c>
      <c r="H13477" s="35">
        <v>58</v>
      </c>
      <c r="I13477" s="33" t="s">
        <v>21</v>
      </c>
      <c r="J13477" s="42">
        <v>44965</v>
      </c>
      <c r="K13477" s="33" t="s">
        <v>22</v>
      </c>
    </row>
    <row r="13478" spans="1:11">
      <c r="A13478" s="30" t="s">
        <v>30471</v>
      </c>
      <c r="B13478" s="30" t="s">
        <v>30472</v>
      </c>
      <c r="C13478" s="30" t="s">
        <v>136</v>
      </c>
      <c r="D13478" s="30" t="s">
        <v>17</v>
      </c>
      <c r="E13478" s="30" t="s">
        <v>31</v>
      </c>
      <c r="F13478" s="30" t="s">
        <v>32</v>
      </c>
      <c r="G13478" s="30" t="s">
        <v>20</v>
      </c>
      <c r="H13478" s="32">
        <v>33</v>
      </c>
      <c r="I13478" s="30" t="s">
        <v>21</v>
      </c>
      <c r="J13478" s="41">
        <v>45266</v>
      </c>
      <c r="K13478" s="30" t="s">
        <v>22</v>
      </c>
    </row>
    <row r="13479" spans="1:11">
      <c r="A13479" s="33" t="s">
        <v>30473</v>
      </c>
      <c r="B13479" s="33" t="s">
        <v>30474</v>
      </c>
      <c r="C13479" s="33" t="s">
        <v>17608</v>
      </c>
      <c r="D13479" s="33" t="s">
        <v>17</v>
      </c>
      <c r="E13479" s="33" t="s">
        <v>212</v>
      </c>
      <c r="F13479" s="33" t="s">
        <v>213</v>
      </c>
      <c r="G13479" s="33" t="s">
        <v>50</v>
      </c>
      <c r="H13479" s="35">
        <v>210</v>
      </c>
      <c r="I13479" s="33" t="s">
        <v>51</v>
      </c>
      <c r="J13479" s="42">
        <v>44931</v>
      </c>
      <c r="K13479" s="33" t="s">
        <v>22</v>
      </c>
    </row>
    <row r="13480" spans="1:11">
      <c r="A13480" s="30" t="s">
        <v>30475</v>
      </c>
      <c r="B13480" s="30" t="s">
        <v>30476</v>
      </c>
      <c r="C13480" s="30" t="s">
        <v>10183</v>
      </c>
      <c r="D13480" s="30" t="s">
        <v>17</v>
      </c>
      <c r="E13480" s="30" t="s">
        <v>67</v>
      </c>
      <c r="F13480" s="30" t="s">
        <v>68</v>
      </c>
      <c r="G13480" s="30" t="s">
        <v>158</v>
      </c>
      <c r="H13480" s="32">
        <v>435</v>
      </c>
      <c r="I13480" s="30" t="s">
        <v>51</v>
      </c>
      <c r="J13480" s="41">
        <v>44950</v>
      </c>
      <c r="K13480" s="30" t="s">
        <v>22</v>
      </c>
    </row>
    <row r="13481" spans="1:11">
      <c r="A13481" s="33" t="s">
        <v>30477</v>
      </c>
      <c r="B13481" s="33" t="s">
        <v>30478</v>
      </c>
      <c r="C13481" s="33" t="s">
        <v>16043</v>
      </c>
      <c r="D13481" s="33" t="s">
        <v>17</v>
      </c>
      <c r="E13481" s="33" t="s">
        <v>18</v>
      </c>
      <c r="F13481" s="33" t="s">
        <v>19</v>
      </c>
      <c r="G13481" s="33" t="s">
        <v>140</v>
      </c>
      <c r="H13481" s="35">
        <v>1650</v>
      </c>
      <c r="I13481" s="33" t="s">
        <v>51</v>
      </c>
      <c r="J13481" s="42">
        <v>45261</v>
      </c>
      <c r="K13481" s="33" t="s">
        <v>22</v>
      </c>
    </row>
    <row r="13482" spans="1:11">
      <c r="A13482" s="30" t="s">
        <v>30479</v>
      </c>
      <c r="B13482" s="30" t="s">
        <v>30480</v>
      </c>
      <c r="C13482" s="30" t="s">
        <v>203</v>
      </c>
      <c r="D13482" s="30" t="s">
        <v>17</v>
      </c>
      <c r="E13482" s="30" t="s">
        <v>18</v>
      </c>
      <c r="F13482" s="30" t="s">
        <v>19</v>
      </c>
      <c r="G13482" s="30" t="s">
        <v>20</v>
      </c>
      <c r="H13482" s="32">
        <v>589</v>
      </c>
      <c r="I13482" s="30" t="s">
        <v>21</v>
      </c>
      <c r="J13482" s="41">
        <v>45281</v>
      </c>
      <c r="K13482" s="30" t="s">
        <v>22</v>
      </c>
    </row>
    <row r="13483" spans="1:11">
      <c r="A13483" s="33" t="s">
        <v>30481</v>
      </c>
      <c r="B13483" s="33" t="s">
        <v>30482</v>
      </c>
      <c r="C13483" s="33" t="s">
        <v>2905</v>
      </c>
      <c r="D13483" s="33" t="s">
        <v>17</v>
      </c>
      <c r="E13483" s="33" t="s">
        <v>212</v>
      </c>
      <c r="F13483" s="33" t="s">
        <v>213</v>
      </c>
      <c r="G13483" s="33" t="s">
        <v>140</v>
      </c>
      <c r="H13483" s="35">
        <v>164</v>
      </c>
      <c r="I13483" s="33" t="s">
        <v>51</v>
      </c>
      <c r="J13483" s="42">
        <v>44986</v>
      </c>
      <c r="K13483" s="33" t="s">
        <v>22</v>
      </c>
    </row>
    <row r="13484" spans="1:11">
      <c r="A13484" s="30" t="s">
        <v>30483</v>
      </c>
      <c r="B13484" s="30" t="s">
        <v>30484</v>
      </c>
      <c r="C13484" s="30" t="s">
        <v>10038</v>
      </c>
      <c r="D13484" s="30" t="s">
        <v>17</v>
      </c>
      <c r="E13484" s="30" t="s">
        <v>31</v>
      </c>
      <c r="F13484" s="30" t="s">
        <v>32</v>
      </c>
      <c r="G13484" s="30" t="s">
        <v>20</v>
      </c>
      <c r="H13484" s="32">
        <v>196</v>
      </c>
      <c r="I13484" s="30" t="s">
        <v>21</v>
      </c>
      <c r="J13484" s="41">
        <v>45183</v>
      </c>
      <c r="K13484" s="30" t="s">
        <v>22</v>
      </c>
    </row>
    <row r="13485" spans="1:11">
      <c r="A13485" s="33" t="s">
        <v>30485</v>
      </c>
      <c r="B13485" s="33" t="s">
        <v>30486</v>
      </c>
      <c r="C13485" s="33" t="s">
        <v>30487</v>
      </c>
      <c r="D13485" s="33" t="s">
        <v>17</v>
      </c>
      <c r="E13485" s="33" t="s">
        <v>31</v>
      </c>
      <c r="F13485" s="33" t="s">
        <v>32</v>
      </c>
      <c r="G13485" s="33" t="s">
        <v>50</v>
      </c>
      <c r="H13485" s="35">
        <v>60</v>
      </c>
      <c r="I13485" s="33" t="s">
        <v>51</v>
      </c>
      <c r="J13485" s="42">
        <v>44958</v>
      </c>
      <c r="K13485" s="33" t="s">
        <v>22</v>
      </c>
    </row>
    <row r="13486" spans="1:11">
      <c r="A13486" s="30" t="s">
        <v>30488</v>
      </c>
      <c r="B13486" s="30" t="s">
        <v>30489</v>
      </c>
      <c r="C13486" s="30" t="s">
        <v>25259</v>
      </c>
      <c r="D13486" s="30" t="s">
        <v>17</v>
      </c>
      <c r="E13486" s="30" t="s">
        <v>26</v>
      </c>
      <c r="F13486" s="30" t="s">
        <v>27</v>
      </c>
      <c r="G13486" s="30" t="s">
        <v>20</v>
      </c>
      <c r="H13486" s="32">
        <v>24</v>
      </c>
      <c r="I13486" s="30" t="s">
        <v>21</v>
      </c>
      <c r="J13486" s="41">
        <v>45223</v>
      </c>
      <c r="K13486" s="30" t="s">
        <v>22</v>
      </c>
    </row>
    <row r="13487" spans="1:11">
      <c r="A13487" s="33" t="s">
        <v>30490</v>
      </c>
      <c r="B13487" s="33" t="s">
        <v>30491</v>
      </c>
      <c r="C13487" s="33" t="s">
        <v>30492</v>
      </c>
      <c r="D13487" s="33" t="s">
        <v>17</v>
      </c>
      <c r="E13487" s="33" t="s">
        <v>31</v>
      </c>
      <c r="F13487" s="33" t="s">
        <v>32</v>
      </c>
      <c r="G13487" s="33" t="s">
        <v>20</v>
      </c>
      <c r="H13487" s="35">
        <v>55</v>
      </c>
      <c r="I13487" s="33" t="s">
        <v>21</v>
      </c>
      <c r="J13487" s="42">
        <v>44977</v>
      </c>
      <c r="K13487" s="33" t="s">
        <v>22</v>
      </c>
    </row>
    <row r="13488" spans="1:11">
      <c r="A13488" s="30" t="s">
        <v>30493</v>
      </c>
      <c r="B13488" s="30" t="s">
        <v>30494</v>
      </c>
      <c r="C13488" s="30" t="s">
        <v>3578</v>
      </c>
      <c r="D13488" s="30" t="s">
        <v>17</v>
      </c>
      <c r="E13488" s="30" t="s">
        <v>31</v>
      </c>
      <c r="F13488" s="30" t="s">
        <v>32</v>
      </c>
      <c r="G13488" s="30" t="s">
        <v>20</v>
      </c>
      <c r="H13488" s="32">
        <v>20</v>
      </c>
      <c r="I13488" s="30" t="s">
        <v>21</v>
      </c>
      <c r="J13488" s="41">
        <v>45140</v>
      </c>
      <c r="K13488" s="30" t="s">
        <v>22</v>
      </c>
    </row>
    <row r="13489" spans="1:11">
      <c r="A13489" s="33" t="s">
        <v>30495</v>
      </c>
      <c r="B13489" s="33" t="s">
        <v>30496</v>
      </c>
      <c r="C13489" s="33" t="s">
        <v>14307</v>
      </c>
      <c r="D13489" s="33" t="s">
        <v>17</v>
      </c>
      <c r="E13489" s="33" t="s">
        <v>26</v>
      </c>
      <c r="F13489" s="33" t="s">
        <v>27</v>
      </c>
      <c r="G13489" s="33" t="s">
        <v>20</v>
      </c>
      <c r="H13489" s="35">
        <v>28</v>
      </c>
      <c r="I13489" s="33" t="s">
        <v>21</v>
      </c>
      <c r="J13489" s="42">
        <v>45119</v>
      </c>
      <c r="K13489" s="33" t="s">
        <v>22</v>
      </c>
    </row>
    <row r="13490" spans="1:11">
      <c r="A13490" s="30" t="s">
        <v>30497</v>
      </c>
      <c r="B13490" s="30" t="s">
        <v>30498</v>
      </c>
      <c r="C13490" s="30" t="s">
        <v>222</v>
      </c>
      <c r="D13490" s="30" t="s">
        <v>17</v>
      </c>
      <c r="E13490" s="30" t="s">
        <v>18</v>
      </c>
      <c r="F13490" s="30" t="s">
        <v>19</v>
      </c>
      <c r="G13490" s="30" t="s">
        <v>158</v>
      </c>
      <c r="H13490" s="32">
        <v>1170</v>
      </c>
      <c r="I13490" s="30" t="s">
        <v>51</v>
      </c>
      <c r="J13490" s="41">
        <v>44937</v>
      </c>
      <c r="K13490" s="30" t="s">
        <v>22</v>
      </c>
    </row>
    <row r="13491" spans="1:11">
      <c r="A13491" s="33" t="s">
        <v>30499</v>
      </c>
      <c r="B13491" s="33" t="s">
        <v>30500</v>
      </c>
      <c r="C13491" s="33" t="s">
        <v>109</v>
      </c>
      <c r="D13491" s="33" t="s">
        <v>17</v>
      </c>
      <c r="E13491" s="33" t="s">
        <v>18</v>
      </c>
      <c r="F13491" s="33" t="s">
        <v>19</v>
      </c>
      <c r="G13491" s="33" t="s">
        <v>140</v>
      </c>
      <c r="H13491" s="35">
        <v>195</v>
      </c>
      <c r="I13491" s="33" t="s">
        <v>51</v>
      </c>
      <c r="J13491" s="42">
        <v>44967</v>
      </c>
      <c r="K13491" s="33" t="s">
        <v>22</v>
      </c>
    </row>
    <row r="13492" spans="1:11">
      <c r="A13492" s="30" t="s">
        <v>30501</v>
      </c>
      <c r="B13492" s="30" t="s">
        <v>30502</v>
      </c>
      <c r="C13492" s="30" t="s">
        <v>30503</v>
      </c>
      <c r="D13492" s="30" t="s">
        <v>17</v>
      </c>
      <c r="E13492" s="30" t="s">
        <v>26</v>
      </c>
      <c r="F13492" s="30" t="s">
        <v>27</v>
      </c>
      <c r="G13492" s="30" t="s">
        <v>20</v>
      </c>
      <c r="H13492" s="32">
        <v>72</v>
      </c>
      <c r="I13492" s="30" t="s">
        <v>21</v>
      </c>
      <c r="J13492" s="41">
        <v>45281</v>
      </c>
      <c r="K13492" s="30" t="s">
        <v>22</v>
      </c>
    </row>
    <row r="13493" spans="1:11">
      <c r="A13493" s="33" t="s">
        <v>30504</v>
      </c>
      <c r="B13493" s="33" t="s">
        <v>30505</v>
      </c>
      <c r="C13493" s="33" t="s">
        <v>16597</v>
      </c>
      <c r="D13493" s="33" t="s">
        <v>17</v>
      </c>
      <c r="E13493" s="33" t="s">
        <v>18</v>
      </c>
      <c r="F13493" s="33" t="s">
        <v>19</v>
      </c>
      <c r="G13493" s="33" t="s">
        <v>20</v>
      </c>
      <c r="H13493" s="35">
        <v>408</v>
      </c>
      <c r="I13493" s="33" t="s">
        <v>21</v>
      </c>
      <c r="J13493" s="42">
        <v>45235</v>
      </c>
      <c r="K13493" s="33" t="s">
        <v>22</v>
      </c>
    </row>
    <row r="13494" spans="1:11">
      <c r="A13494" s="30" t="s">
        <v>30506</v>
      </c>
      <c r="B13494" s="30" t="s">
        <v>30507</v>
      </c>
      <c r="C13494" s="30" t="s">
        <v>109</v>
      </c>
      <c r="D13494" s="30" t="s">
        <v>17</v>
      </c>
      <c r="E13494" s="30" t="s">
        <v>18</v>
      </c>
      <c r="F13494" s="30" t="s">
        <v>19</v>
      </c>
      <c r="G13494" s="30" t="s">
        <v>20</v>
      </c>
      <c r="H13494" s="32">
        <v>27</v>
      </c>
      <c r="I13494" s="30" t="s">
        <v>21</v>
      </c>
      <c r="J13494" s="41">
        <v>44938</v>
      </c>
      <c r="K13494" s="30" t="s">
        <v>22</v>
      </c>
    </row>
    <row r="13495" spans="1:11">
      <c r="A13495" s="33" t="s">
        <v>30508</v>
      </c>
      <c r="B13495" s="33" t="s">
        <v>30509</v>
      </c>
      <c r="C13495" s="33" t="s">
        <v>27915</v>
      </c>
      <c r="D13495" s="33" t="s">
        <v>17</v>
      </c>
      <c r="E13495" s="33" t="s">
        <v>26</v>
      </c>
      <c r="F13495" s="33" t="s">
        <v>27</v>
      </c>
      <c r="G13495" s="33" t="s">
        <v>140</v>
      </c>
      <c r="H13495" s="35">
        <v>60</v>
      </c>
      <c r="I13495" s="33" t="s">
        <v>51</v>
      </c>
      <c r="J13495" s="42">
        <v>45184</v>
      </c>
      <c r="K13495" s="33" t="s">
        <v>22</v>
      </c>
    </row>
    <row r="13496" spans="1:11">
      <c r="A13496" s="30" t="s">
        <v>30510</v>
      </c>
      <c r="B13496" s="30" t="s">
        <v>30511</v>
      </c>
      <c r="C13496" s="30" t="s">
        <v>3451</v>
      </c>
      <c r="D13496" s="30" t="s">
        <v>17</v>
      </c>
      <c r="E13496" s="30" t="s">
        <v>31</v>
      </c>
      <c r="F13496" s="30" t="s">
        <v>32</v>
      </c>
      <c r="G13496" s="30" t="s">
        <v>20</v>
      </c>
      <c r="H13496" s="32">
        <v>340</v>
      </c>
      <c r="I13496" s="30" t="s">
        <v>21</v>
      </c>
      <c r="J13496" s="41">
        <v>45085</v>
      </c>
      <c r="K13496" s="30" t="s">
        <v>22</v>
      </c>
    </row>
    <row r="13497" spans="1:11">
      <c r="A13497" s="33" t="s">
        <v>30512</v>
      </c>
      <c r="B13497" s="33" t="s">
        <v>30513</v>
      </c>
      <c r="C13497" s="33" t="s">
        <v>57</v>
      </c>
      <c r="D13497" s="33" t="s">
        <v>17</v>
      </c>
      <c r="E13497" s="33" t="s">
        <v>26</v>
      </c>
      <c r="F13497" s="33" t="s">
        <v>27</v>
      </c>
      <c r="G13497" s="33" t="s">
        <v>50</v>
      </c>
      <c r="H13497" s="35">
        <v>32</v>
      </c>
      <c r="I13497" s="33" t="s">
        <v>51</v>
      </c>
      <c r="J13497" s="42">
        <v>45226</v>
      </c>
      <c r="K13497" s="33" t="s">
        <v>22</v>
      </c>
    </row>
    <row r="13498" spans="1:11">
      <c r="A13498" s="30" t="s">
        <v>30514</v>
      </c>
      <c r="B13498" s="30" t="s">
        <v>30515</v>
      </c>
      <c r="C13498" s="30" t="s">
        <v>30516</v>
      </c>
      <c r="D13498" s="30" t="s">
        <v>17</v>
      </c>
      <c r="E13498" s="30" t="s">
        <v>18</v>
      </c>
      <c r="F13498" s="30" t="s">
        <v>19</v>
      </c>
      <c r="G13498" s="30" t="s">
        <v>106</v>
      </c>
      <c r="H13498" s="32">
        <v>17</v>
      </c>
      <c r="I13498" s="30" t="s">
        <v>21</v>
      </c>
      <c r="J13498" s="41">
        <v>45096</v>
      </c>
      <c r="K13498" s="30" t="s">
        <v>22</v>
      </c>
    </row>
    <row r="13499" spans="1:11">
      <c r="A13499" s="33" t="s">
        <v>30517</v>
      </c>
      <c r="B13499" s="33" t="s">
        <v>30518</v>
      </c>
      <c r="C13499" s="33" t="s">
        <v>231</v>
      </c>
      <c r="D13499" s="33" t="s">
        <v>17</v>
      </c>
      <c r="E13499" s="33" t="s">
        <v>26</v>
      </c>
      <c r="F13499" s="33" t="s">
        <v>27</v>
      </c>
      <c r="G13499" s="33" t="s">
        <v>20</v>
      </c>
      <c r="H13499" s="35">
        <v>26</v>
      </c>
      <c r="I13499" s="33" t="s">
        <v>21</v>
      </c>
      <c r="J13499" s="42">
        <v>44966</v>
      </c>
      <c r="K13499" s="33" t="s">
        <v>22</v>
      </c>
    </row>
    <row r="13500" spans="1:11">
      <c r="A13500" s="30" t="s">
        <v>30519</v>
      </c>
      <c r="B13500" s="30" t="s">
        <v>30520</v>
      </c>
      <c r="C13500" s="30" t="s">
        <v>747</v>
      </c>
      <c r="D13500" s="30" t="s">
        <v>17</v>
      </c>
      <c r="E13500" s="30" t="s">
        <v>26</v>
      </c>
      <c r="F13500" s="30" t="s">
        <v>27</v>
      </c>
      <c r="G13500" s="30" t="s">
        <v>20</v>
      </c>
      <c r="H13500" s="32">
        <v>24</v>
      </c>
      <c r="I13500" s="30" t="s">
        <v>21</v>
      </c>
      <c r="J13500" s="41">
        <v>45042</v>
      </c>
      <c r="K13500" s="30" t="s">
        <v>22</v>
      </c>
    </row>
    <row r="13501" spans="1:11">
      <c r="A13501" s="33" t="s">
        <v>30521</v>
      </c>
      <c r="B13501" s="33" t="s">
        <v>30522</v>
      </c>
      <c r="C13501" s="33" t="s">
        <v>570</v>
      </c>
      <c r="D13501" s="33" t="s">
        <v>17</v>
      </c>
      <c r="E13501" s="33" t="s">
        <v>45</v>
      </c>
      <c r="F13501" s="33" t="s">
        <v>46</v>
      </c>
      <c r="G13501" s="33" t="s">
        <v>7780</v>
      </c>
      <c r="H13501" s="35">
        <v>668</v>
      </c>
      <c r="I13501" s="33" t="s">
        <v>51</v>
      </c>
      <c r="J13501" s="42">
        <v>45170</v>
      </c>
      <c r="K13501" s="33" t="s">
        <v>22</v>
      </c>
    </row>
    <row r="13502" spans="1:11">
      <c r="A13502" s="30" t="s">
        <v>30523</v>
      </c>
      <c r="B13502" s="30" t="s">
        <v>30524</v>
      </c>
      <c r="C13502" s="30" t="s">
        <v>18431</v>
      </c>
      <c r="D13502" s="30" t="s">
        <v>17</v>
      </c>
      <c r="E13502" s="30" t="s">
        <v>18</v>
      </c>
      <c r="F13502" s="30" t="s">
        <v>19</v>
      </c>
      <c r="G13502" s="30" t="s">
        <v>20</v>
      </c>
      <c r="H13502" s="32">
        <v>40</v>
      </c>
      <c r="I13502" s="30" t="s">
        <v>21</v>
      </c>
      <c r="J13502" s="41">
        <v>45244</v>
      </c>
      <c r="K13502" s="30" t="s">
        <v>22</v>
      </c>
    </row>
    <row r="13503" spans="1:11">
      <c r="A13503" s="33" t="s">
        <v>30525</v>
      </c>
      <c r="B13503" s="33" t="s">
        <v>30526</v>
      </c>
      <c r="C13503" s="33" t="s">
        <v>231</v>
      </c>
      <c r="D13503" s="33" t="s">
        <v>17</v>
      </c>
      <c r="E13503" s="33" t="s">
        <v>26</v>
      </c>
      <c r="F13503" s="33" t="s">
        <v>27</v>
      </c>
      <c r="G13503" s="33" t="s">
        <v>20</v>
      </c>
      <c r="H13503" s="35">
        <v>14</v>
      </c>
      <c r="I13503" s="33" t="s">
        <v>21</v>
      </c>
      <c r="J13503" s="42">
        <v>44991</v>
      </c>
      <c r="K13503" s="33" t="s">
        <v>22</v>
      </c>
    </row>
    <row r="13504" spans="1:11">
      <c r="A13504" s="30" t="s">
        <v>30527</v>
      </c>
      <c r="B13504" s="30" t="s">
        <v>30528</v>
      </c>
      <c r="C13504" s="30" t="s">
        <v>11434</v>
      </c>
      <c r="D13504" s="30" t="s">
        <v>17</v>
      </c>
      <c r="E13504" s="30" t="s">
        <v>26</v>
      </c>
      <c r="F13504" s="30" t="s">
        <v>27</v>
      </c>
      <c r="G13504" s="30" t="s">
        <v>20</v>
      </c>
      <c r="H13504" s="32">
        <v>6</v>
      </c>
      <c r="I13504" s="30" t="s">
        <v>21</v>
      </c>
      <c r="J13504" s="41">
        <v>44971</v>
      </c>
      <c r="K13504" s="30" t="s">
        <v>22</v>
      </c>
    </row>
    <row r="13505" spans="1:11">
      <c r="A13505" s="33" t="s">
        <v>30529</v>
      </c>
      <c r="B13505" s="33" t="s">
        <v>30530</v>
      </c>
      <c r="C13505" s="33" t="s">
        <v>7094</v>
      </c>
      <c r="D13505" s="33" t="s">
        <v>17</v>
      </c>
      <c r="E13505" s="33" t="s">
        <v>18</v>
      </c>
      <c r="F13505" s="33" t="s">
        <v>19</v>
      </c>
      <c r="G13505" s="33" t="s">
        <v>140</v>
      </c>
      <c r="H13505" s="35">
        <v>190</v>
      </c>
      <c r="I13505" s="33" t="s">
        <v>51</v>
      </c>
      <c r="J13505" s="42">
        <v>44959</v>
      </c>
      <c r="K13505" s="33" t="s">
        <v>22</v>
      </c>
    </row>
    <row r="13506" spans="1:11">
      <c r="A13506" s="30" t="s">
        <v>30531</v>
      </c>
      <c r="B13506" s="30" t="s">
        <v>30532</v>
      </c>
      <c r="C13506" s="30" t="s">
        <v>44</v>
      </c>
      <c r="D13506" s="30" t="s">
        <v>17</v>
      </c>
      <c r="E13506" s="30" t="s">
        <v>31</v>
      </c>
      <c r="F13506" s="30" t="s">
        <v>32</v>
      </c>
      <c r="G13506" s="30" t="s">
        <v>158</v>
      </c>
      <c r="H13506" s="32">
        <v>51</v>
      </c>
      <c r="I13506" s="30" t="s">
        <v>21</v>
      </c>
      <c r="J13506" s="41">
        <v>45037</v>
      </c>
      <c r="K13506" s="30" t="s">
        <v>22</v>
      </c>
    </row>
    <row r="13507" spans="1:11">
      <c r="A13507" s="33" t="s">
        <v>30533</v>
      </c>
      <c r="B13507" s="33" t="s">
        <v>30534</v>
      </c>
      <c r="C13507" s="33" t="s">
        <v>21185</v>
      </c>
      <c r="D13507" s="33" t="s">
        <v>17</v>
      </c>
      <c r="E13507" s="33" t="s">
        <v>31</v>
      </c>
      <c r="F13507" s="33" t="s">
        <v>32</v>
      </c>
      <c r="G13507" s="33" t="s">
        <v>140</v>
      </c>
      <c r="H13507" s="35">
        <v>120</v>
      </c>
      <c r="I13507" s="33" t="s">
        <v>51</v>
      </c>
      <c r="J13507" s="42">
        <v>45183</v>
      </c>
      <c r="K13507" s="33" t="s">
        <v>22</v>
      </c>
    </row>
    <row r="13508" spans="1:11">
      <c r="A13508" s="30" t="s">
        <v>30535</v>
      </c>
      <c r="B13508" s="30" t="s">
        <v>30536</v>
      </c>
      <c r="C13508" s="30" t="s">
        <v>30537</v>
      </c>
      <c r="D13508" s="30" t="s">
        <v>17</v>
      </c>
      <c r="E13508" s="30" t="s">
        <v>67</v>
      </c>
      <c r="F13508" s="30" t="s">
        <v>68</v>
      </c>
      <c r="G13508" s="30" t="s">
        <v>140</v>
      </c>
      <c r="H13508" s="32">
        <v>30</v>
      </c>
      <c r="I13508" s="30" t="s">
        <v>51</v>
      </c>
      <c r="J13508" s="41">
        <v>45148</v>
      </c>
      <c r="K13508" s="30" t="s">
        <v>22</v>
      </c>
    </row>
    <row r="13509" spans="1:11">
      <c r="A13509" s="33" t="s">
        <v>30538</v>
      </c>
      <c r="B13509" s="33" t="s">
        <v>30539</v>
      </c>
      <c r="C13509" s="33" t="s">
        <v>969</v>
      </c>
      <c r="D13509" s="33" t="s">
        <v>17</v>
      </c>
      <c r="E13509" s="33" t="s">
        <v>31</v>
      </c>
      <c r="F13509" s="33" t="s">
        <v>32</v>
      </c>
      <c r="G13509" s="33" t="s">
        <v>158</v>
      </c>
      <c r="H13509" s="35">
        <v>154</v>
      </c>
      <c r="I13509" s="33" t="s">
        <v>21</v>
      </c>
      <c r="J13509" s="42">
        <v>45019</v>
      </c>
      <c r="K13509" s="33" t="s">
        <v>22</v>
      </c>
    </row>
    <row r="13510" spans="1:11">
      <c r="A13510" s="30" t="s">
        <v>30540</v>
      </c>
      <c r="B13510" s="30" t="s">
        <v>30541</v>
      </c>
      <c r="C13510" s="30" t="s">
        <v>30542</v>
      </c>
      <c r="D13510" s="30" t="s">
        <v>17</v>
      </c>
      <c r="E13510" s="30" t="s">
        <v>26</v>
      </c>
      <c r="F13510" s="30" t="s">
        <v>27</v>
      </c>
      <c r="G13510" s="30" t="s">
        <v>20</v>
      </c>
      <c r="H13510" s="32">
        <v>28</v>
      </c>
      <c r="I13510" s="30" t="s">
        <v>21</v>
      </c>
      <c r="J13510" s="41">
        <v>45077</v>
      </c>
      <c r="K13510" s="30" t="s">
        <v>22</v>
      </c>
    </row>
    <row r="13511" spans="1:11">
      <c r="A13511" s="33" t="s">
        <v>30543</v>
      </c>
      <c r="B13511" s="33" t="s">
        <v>30544</v>
      </c>
      <c r="C13511" s="33" t="s">
        <v>1598</v>
      </c>
      <c r="D13511" s="33" t="s">
        <v>17</v>
      </c>
      <c r="E13511" s="33" t="s">
        <v>18</v>
      </c>
      <c r="F13511" s="33" t="s">
        <v>19</v>
      </c>
      <c r="G13511" s="33" t="s">
        <v>20</v>
      </c>
      <c r="H13511" s="35">
        <v>731</v>
      </c>
      <c r="I13511" s="33" t="s">
        <v>21</v>
      </c>
      <c r="J13511" s="42">
        <v>44932</v>
      </c>
      <c r="K13511" s="33" t="s">
        <v>22</v>
      </c>
    </row>
    <row r="13512" spans="1:11">
      <c r="A13512" s="30" t="s">
        <v>30545</v>
      </c>
      <c r="B13512" s="30" t="s">
        <v>30546</v>
      </c>
      <c r="C13512" s="30" t="s">
        <v>30547</v>
      </c>
      <c r="D13512" s="30" t="s">
        <v>17</v>
      </c>
      <c r="E13512" s="30" t="s">
        <v>31</v>
      </c>
      <c r="F13512" s="30" t="s">
        <v>32</v>
      </c>
      <c r="G13512" s="30" t="s">
        <v>50</v>
      </c>
      <c r="H13512" s="32">
        <v>50</v>
      </c>
      <c r="I13512" s="30" t="s">
        <v>51</v>
      </c>
      <c r="J13512" s="41">
        <v>45256</v>
      </c>
      <c r="K13512" s="30" t="s">
        <v>22</v>
      </c>
    </row>
    <row r="13513" spans="1:11">
      <c r="A13513" s="33" t="s">
        <v>30548</v>
      </c>
      <c r="B13513" s="33" t="s">
        <v>30549</v>
      </c>
      <c r="C13513" s="33" t="s">
        <v>178</v>
      </c>
      <c r="D13513" s="33" t="s">
        <v>17</v>
      </c>
      <c r="E13513" s="33" t="s">
        <v>67</v>
      </c>
      <c r="F13513" s="33" t="s">
        <v>68</v>
      </c>
      <c r="G13513" s="33" t="s">
        <v>20</v>
      </c>
      <c r="H13513" s="35">
        <v>62</v>
      </c>
      <c r="I13513" s="33" t="s">
        <v>21</v>
      </c>
      <c r="J13513" s="42">
        <v>45265</v>
      </c>
      <c r="K13513" s="33" t="s">
        <v>22</v>
      </c>
    </row>
    <row r="13514" spans="1:11">
      <c r="A13514" s="30" t="s">
        <v>30550</v>
      </c>
      <c r="B13514" s="30" t="s">
        <v>30551</v>
      </c>
      <c r="C13514" s="30" t="s">
        <v>2709</v>
      </c>
      <c r="D13514" s="30" t="s">
        <v>17</v>
      </c>
      <c r="E13514" s="30" t="s">
        <v>330</v>
      </c>
      <c r="F13514" s="30" t="s">
        <v>331</v>
      </c>
      <c r="G13514" s="30" t="s">
        <v>50</v>
      </c>
      <c r="H13514" s="32">
        <v>152</v>
      </c>
      <c r="I13514" s="30" t="s">
        <v>51</v>
      </c>
      <c r="J13514" s="41">
        <v>45046</v>
      </c>
      <c r="K13514" s="30" t="s">
        <v>22</v>
      </c>
    </row>
    <row r="13515" spans="1:11">
      <c r="A13515" s="33" t="s">
        <v>30552</v>
      </c>
      <c r="B13515" s="33" t="s">
        <v>30553</v>
      </c>
      <c r="C13515" s="33" t="s">
        <v>30554</v>
      </c>
      <c r="D13515" s="33" t="s">
        <v>17</v>
      </c>
      <c r="E13515" s="33" t="s">
        <v>67</v>
      </c>
      <c r="F13515" s="33" t="s">
        <v>68</v>
      </c>
      <c r="G13515" s="33" t="s">
        <v>158</v>
      </c>
      <c r="H13515" s="35">
        <v>33</v>
      </c>
      <c r="I13515" s="33" t="s">
        <v>21</v>
      </c>
      <c r="J13515" s="42">
        <v>45028</v>
      </c>
      <c r="K13515" s="33" t="s">
        <v>22</v>
      </c>
    </row>
    <row r="13516" spans="1:11">
      <c r="A13516" s="30" t="s">
        <v>30555</v>
      </c>
      <c r="B13516" s="30" t="s">
        <v>30556</v>
      </c>
      <c r="C13516" s="30" t="s">
        <v>4476</v>
      </c>
      <c r="D13516" s="30" t="s">
        <v>17</v>
      </c>
      <c r="E13516" s="30" t="s">
        <v>26</v>
      </c>
      <c r="F13516" s="30" t="s">
        <v>27</v>
      </c>
      <c r="G13516" s="30" t="s">
        <v>50</v>
      </c>
      <c r="H13516" s="32">
        <v>32</v>
      </c>
      <c r="I13516" s="30" t="s">
        <v>51</v>
      </c>
      <c r="J13516" s="41">
        <v>45290</v>
      </c>
      <c r="K13516" s="30" t="s">
        <v>22</v>
      </c>
    </row>
    <row r="13517" spans="1:11">
      <c r="A13517" s="33" t="s">
        <v>30557</v>
      </c>
      <c r="B13517" s="33" t="s">
        <v>30558</v>
      </c>
      <c r="C13517" s="33" t="s">
        <v>11899</v>
      </c>
      <c r="D13517" s="33" t="s">
        <v>17</v>
      </c>
      <c r="E13517" s="33" t="s">
        <v>26</v>
      </c>
      <c r="F13517" s="33" t="s">
        <v>27</v>
      </c>
      <c r="G13517" s="33" t="s">
        <v>20</v>
      </c>
      <c r="H13517" s="35">
        <v>46</v>
      </c>
      <c r="I13517" s="33" t="s">
        <v>21</v>
      </c>
      <c r="J13517" s="42">
        <v>45284</v>
      </c>
      <c r="K13517" s="33" t="s">
        <v>22</v>
      </c>
    </row>
    <row r="13518" spans="1:11">
      <c r="A13518" s="30" t="s">
        <v>30559</v>
      </c>
      <c r="B13518" s="30" t="s">
        <v>30560</v>
      </c>
      <c r="C13518" s="30" t="s">
        <v>3630</v>
      </c>
      <c r="D13518" s="30" t="s">
        <v>17</v>
      </c>
      <c r="E13518" s="30" t="s">
        <v>45</v>
      </c>
      <c r="F13518" s="30" t="s">
        <v>46</v>
      </c>
      <c r="G13518" s="30" t="s">
        <v>20</v>
      </c>
      <c r="H13518" s="32">
        <v>272</v>
      </c>
      <c r="I13518" s="30" t="s">
        <v>21</v>
      </c>
      <c r="J13518" s="41">
        <v>45245</v>
      </c>
      <c r="K13518" s="30" t="s">
        <v>22</v>
      </c>
    </row>
    <row r="13519" spans="1:11">
      <c r="A13519" s="33" t="s">
        <v>30561</v>
      </c>
      <c r="B13519" s="33" t="s">
        <v>30562</v>
      </c>
      <c r="C13519" s="33" t="s">
        <v>161</v>
      </c>
      <c r="D13519" s="33" t="s">
        <v>17</v>
      </c>
      <c r="E13519" s="33" t="s">
        <v>26</v>
      </c>
      <c r="F13519" s="33" t="s">
        <v>27</v>
      </c>
      <c r="G13519" s="33" t="s">
        <v>50</v>
      </c>
      <c r="H13519" s="35">
        <v>48</v>
      </c>
      <c r="I13519" s="33" t="s">
        <v>51</v>
      </c>
      <c r="J13519" s="42">
        <v>45181</v>
      </c>
      <c r="K13519" s="33" t="s">
        <v>22</v>
      </c>
    </row>
    <row r="13520" spans="1:11">
      <c r="A13520" s="30" t="s">
        <v>30563</v>
      </c>
      <c r="B13520" s="30" t="s">
        <v>30564</v>
      </c>
      <c r="C13520" s="30" t="s">
        <v>6489</v>
      </c>
      <c r="D13520" s="30" t="s">
        <v>17</v>
      </c>
      <c r="E13520" s="30" t="s">
        <v>26</v>
      </c>
      <c r="F13520" s="30" t="s">
        <v>27</v>
      </c>
      <c r="G13520" s="30" t="s">
        <v>140</v>
      </c>
      <c r="H13520" s="32">
        <v>20</v>
      </c>
      <c r="I13520" s="30" t="s">
        <v>51</v>
      </c>
      <c r="J13520" s="41">
        <v>45118</v>
      </c>
      <c r="K13520" s="30" t="s">
        <v>22</v>
      </c>
    </row>
    <row r="13521" spans="1:11">
      <c r="A13521" s="33" t="s">
        <v>30565</v>
      </c>
      <c r="B13521" s="33" t="s">
        <v>30566</v>
      </c>
      <c r="C13521" s="33" t="s">
        <v>4082</v>
      </c>
      <c r="D13521" s="33" t="s">
        <v>17</v>
      </c>
      <c r="E13521" s="33" t="s">
        <v>67</v>
      </c>
      <c r="F13521" s="33" t="s">
        <v>68</v>
      </c>
      <c r="G13521" s="33" t="s">
        <v>20</v>
      </c>
      <c r="H13521" s="35">
        <v>12</v>
      </c>
      <c r="I13521" s="33" t="s">
        <v>21</v>
      </c>
      <c r="J13521" s="42">
        <v>45260</v>
      </c>
      <c r="K13521" s="33" t="s">
        <v>22</v>
      </c>
    </row>
    <row r="13522" spans="1:11">
      <c r="A13522" s="30" t="s">
        <v>30567</v>
      </c>
      <c r="B13522" s="30" t="s">
        <v>30568</v>
      </c>
      <c r="C13522" s="30" t="s">
        <v>96</v>
      </c>
      <c r="D13522" s="30" t="s">
        <v>17</v>
      </c>
      <c r="E13522" s="30" t="s">
        <v>26</v>
      </c>
      <c r="F13522" s="30" t="s">
        <v>27</v>
      </c>
      <c r="G13522" s="30" t="s">
        <v>20</v>
      </c>
      <c r="H13522" s="32">
        <v>10</v>
      </c>
      <c r="I13522" s="30" t="s">
        <v>21</v>
      </c>
      <c r="J13522" s="41">
        <v>45105</v>
      </c>
      <c r="K13522" s="30" t="s">
        <v>22</v>
      </c>
    </row>
    <row r="13523" spans="1:11">
      <c r="A13523" s="33" t="s">
        <v>30569</v>
      </c>
      <c r="B13523" s="33" t="s">
        <v>30570</v>
      </c>
      <c r="C13523" s="33" t="s">
        <v>5757</v>
      </c>
      <c r="D13523" s="33" t="s">
        <v>17</v>
      </c>
      <c r="E13523" s="33" t="s">
        <v>26</v>
      </c>
      <c r="F13523" s="33" t="s">
        <v>27</v>
      </c>
      <c r="G13523" s="33" t="s">
        <v>20</v>
      </c>
      <c r="H13523" s="35">
        <v>92</v>
      </c>
      <c r="I13523" s="33" t="s">
        <v>21</v>
      </c>
      <c r="J13523" s="42">
        <v>45265</v>
      </c>
      <c r="K13523" s="33" t="s">
        <v>22</v>
      </c>
    </row>
    <row r="13524" spans="1:11">
      <c r="A13524" s="30" t="s">
        <v>30571</v>
      </c>
      <c r="B13524" s="30" t="s">
        <v>30572</v>
      </c>
      <c r="C13524" s="30" t="s">
        <v>30573</v>
      </c>
      <c r="D13524" s="30" t="s">
        <v>17</v>
      </c>
      <c r="E13524" s="30" t="s">
        <v>67</v>
      </c>
      <c r="F13524" s="30" t="s">
        <v>68</v>
      </c>
      <c r="G13524" s="30" t="s">
        <v>112</v>
      </c>
      <c r="H13524" s="32">
        <v>0</v>
      </c>
      <c r="I13524" s="30" t="s">
        <v>21</v>
      </c>
      <c r="J13524" s="41">
        <v>44978</v>
      </c>
      <c r="K13524" s="30" t="s">
        <v>22</v>
      </c>
    </row>
    <row r="13525" spans="1:11">
      <c r="A13525" s="33" t="s">
        <v>30574</v>
      </c>
      <c r="B13525" s="33" t="s">
        <v>30575</v>
      </c>
      <c r="C13525" s="33" t="s">
        <v>15258</v>
      </c>
      <c r="D13525" s="33" t="s">
        <v>17</v>
      </c>
      <c r="E13525" s="33" t="s">
        <v>26</v>
      </c>
      <c r="F13525" s="33" t="s">
        <v>27</v>
      </c>
      <c r="G13525" s="33" t="s">
        <v>106</v>
      </c>
      <c r="H13525" s="35">
        <v>1</v>
      </c>
      <c r="I13525" s="33" t="s">
        <v>21</v>
      </c>
      <c r="J13525" s="42">
        <v>45118</v>
      </c>
      <c r="K13525" s="33" t="s">
        <v>22</v>
      </c>
    </row>
    <row r="13526" spans="1:11">
      <c r="A13526" s="30" t="s">
        <v>30576</v>
      </c>
      <c r="B13526" s="30" t="s">
        <v>30577</v>
      </c>
      <c r="C13526" s="30" t="s">
        <v>1154</v>
      </c>
      <c r="D13526" s="30" t="s">
        <v>17</v>
      </c>
      <c r="E13526" s="30" t="s">
        <v>18</v>
      </c>
      <c r="F13526" s="30" t="s">
        <v>19</v>
      </c>
      <c r="G13526" s="30" t="s">
        <v>20</v>
      </c>
      <c r="H13526" s="32">
        <v>336</v>
      </c>
      <c r="I13526" s="30" t="s">
        <v>21</v>
      </c>
      <c r="J13526" s="41">
        <v>44987</v>
      </c>
      <c r="K13526" s="30" t="s">
        <v>22</v>
      </c>
    </row>
    <row r="13527" spans="1:11">
      <c r="A13527" s="33" t="s">
        <v>30578</v>
      </c>
      <c r="B13527" s="33" t="s">
        <v>30579</v>
      </c>
      <c r="C13527" s="33" t="s">
        <v>231</v>
      </c>
      <c r="D13527" s="33" t="s">
        <v>17</v>
      </c>
      <c r="E13527" s="33" t="s">
        <v>26</v>
      </c>
      <c r="F13527" s="33" t="s">
        <v>27</v>
      </c>
      <c r="G13527" s="33" t="s">
        <v>20</v>
      </c>
      <c r="H13527" s="35">
        <v>20</v>
      </c>
      <c r="I13527" s="33" t="s">
        <v>21</v>
      </c>
      <c r="J13527" s="42">
        <v>45205</v>
      </c>
      <c r="K13527" s="33" t="s">
        <v>22</v>
      </c>
    </row>
    <row r="13528" spans="1:11">
      <c r="A13528" s="30" t="s">
        <v>30580</v>
      </c>
      <c r="B13528" s="30" t="s">
        <v>30581</v>
      </c>
      <c r="C13528" s="30" t="s">
        <v>450</v>
      </c>
      <c r="D13528" s="30" t="s">
        <v>17</v>
      </c>
      <c r="E13528" s="30" t="s">
        <v>26</v>
      </c>
      <c r="F13528" s="30" t="s">
        <v>27</v>
      </c>
      <c r="G13528" s="30" t="s">
        <v>20</v>
      </c>
      <c r="H13528" s="32">
        <v>175</v>
      </c>
      <c r="I13528" s="30" t="s">
        <v>21</v>
      </c>
      <c r="J13528" s="41">
        <v>45252</v>
      </c>
      <c r="K13528" s="30" t="s">
        <v>22</v>
      </c>
    </row>
    <row r="13529" spans="1:11">
      <c r="A13529" s="33" t="s">
        <v>30582</v>
      </c>
      <c r="B13529" s="33" t="s">
        <v>30583</v>
      </c>
      <c r="C13529" s="33" t="s">
        <v>30584</v>
      </c>
      <c r="D13529" s="33" t="s">
        <v>17</v>
      </c>
      <c r="E13529" s="33" t="s">
        <v>26</v>
      </c>
      <c r="F13529" s="33" t="s">
        <v>27</v>
      </c>
      <c r="G13529" s="33" t="s">
        <v>20</v>
      </c>
      <c r="H13529" s="35">
        <v>42</v>
      </c>
      <c r="I13529" s="33" t="s">
        <v>21</v>
      </c>
      <c r="J13529" s="42">
        <v>45000</v>
      </c>
      <c r="K13529" s="33" t="s">
        <v>22</v>
      </c>
    </row>
    <row r="13530" spans="1:11">
      <c r="A13530" s="30" t="s">
        <v>30585</v>
      </c>
      <c r="B13530" s="30" t="s">
        <v>30586</v>
      </c>
      <c r="C13530" s="30" t="s">
        <v>19073</v>
      </c>
      <c r="D13530" s="30" t="s">
        <v>17</v>
      </c>
      <c r="E13530" s="30" t="s">
        <v>31</v>
      </c>
      <c r="F13530" s="30" t="s">
        <v>32</v>
      </c>
      <c r="G13530" s="30" t="s">
        <v>112</v>
      </c>
      <c r="H13530" s="32">
        <v>0</v>
      </c>
      <c r="I13530" s="30" t="s">
        <v>21</v>
      </c>
      <c r="J13530" s="41">
        <v>45231</v>
      </c>
      <c r="K13530" s="30" t="s">
        <v>22</v>
      </c>
    </row>
    <row r="13531" spans="1:11">
      <c r="A13531" s="33" t="s">
        <v>30587</v>
      </c>
      <c r="B13531" s="33" t="s">
        <v>30588</v>
      </c>
      <c r="C13531" s="33" t="s">
        <v>17860</v>
      </c>
      <c r="D13531" s="33" t="s">
        <v>17</v>
      </c>
      <c r="E13531" s="33" t="s">
        <v>26</v>
      </c>
      <c r="F13531" s="33" t="s">
        <v>27</v>
      </c>
      <c r="G13531" s="33" t="s">
        <v>140</v>
      </c>
      <c r="H13531" s="35">
        <v>80</v>
      </c>
      <c r="I13531" s="33" t="s">
        <v>51</v>
      </c>
      <c r="J13531" s="42">
        <v>45268</v>
      </c>
      <c r="K13531" s="33" t="s">
        <v>22</v>
      </c>
    </row>
    <row r="13532" spans="1:11">
      <c r="A13532" s="30" t="s">
        <v>30589</v>
      </c>
      <c r="B13532" s="30" t="s">
        <v>30590</v>
      </c>
      <c r="C13532" s="30" t="s">
        <v>647</v>
      </c>
      <c r="D13532" s="30" t="s">
        <v>17</v>
      </c>
      <c r="E13532" s="30" t="s">
        <v>26</v>
      </c>
      <c r="F13532" s="30" t="s">
        <v>27</v>
      </c>
      <c r="G13532" s="30" t="s">
        <v>20</v>
      </c>
      <c r="H13532" s="32">
        <v>107</v>
      </c>
      <c r="I13532" s="30" t="s">
        <v>21</v>
      </c>
      <c r="J13532" s="41">
        <v>45103</v>
      </c>
      <c r="K13532" s="30" t="s">
        <v>22</v>
      </c>
    </row>
    <row r="13533" spans="1:11">
      <c r="A13533" s="33" t="s">
        <v>30591</v>
      </c>
      <c r="B13533" s="33" t="s">
        <v>30592</v>
      </c>
      <c r="C13533" s="33" t="s">
        <v>30593</v>
      </c>
      <c r="D13533" s="33" t="s">
        <v>17</v>
      </c>
      <c r="E13533" s="33" t="s">
        <v>67</v>
      </c>
      <c r="F13533" s="33" t="s">
        <v>68</v>
      </c>
      <c r="G13533" s="33" t="s">
        <v>20</v>
      </c>
      <c r="H13533" s="35">
        <v>33</v>
      </c>
      <c r="I13533" s="33" t="s">
        <v>21</v>
      </c>
      <c r="J13533" s="42">
        <v>44980</v>
      </c>
      <c r="K13533" s="33" t="s">
        <v>22</v>
      </c>
    </row>
    <row r="13534" spans="1:11">
      <c r="A13534" s="30" t="s">
        <v>30594</v>
      </c>
      <c r="B13534" s="30" t="s">
        <v>30595</v>
      </c>
      <c r="C13534" s="30" t="s">
        <v>30596</v>
      </c>
      <c r="D13534" s="30" t="s">
        <v>17</v>
      </c>
      <c r="E13534" s="30" t="s">
        <v>330</v>
      </c>
      <c r="F13534" s="30" t="s">
        <v>331</v>
      </c>
      <c r="G13534" s="30" t="s">
        <v>20</v>
      </c>
      <c r="H13534" s="32">
        <v>45</v>
      </c>
      <c r="I13534" s="30" t="s">
        <v>21</v>
      </c>
      <c r="J13534" s="41">
        <v>45068</v>
      </c>
      <c r="K13534" s="30" t="s">
        <v>22</v>
      </c>
    </row>
    <row r="13535" spans="1:11">
      <c r="A13535" s="33" t="s">
        <v>30597</v>
      </c>
      <c r="B13535" s="33" t="s">
        <v>30598</v>
      </c>
      <c r="C13535" s="33" t="s">
        <v>109</v>
      </c>
      <c r="D13535" s="33" t="s">
        <v>17</v>
      </c>
      <c r="E13535" s="33" t="s">
        <v>18</v>
      </c>
      <c r="F13535" s="33" t="s">
        <v>19</v>
      </c>
      <c r="G13535" s="33" t="s">
        <v>158</v>
      </c>
      <c r="H13535" s="35">
        <v>109</v>
      </c>
      <c r="I13535" s="33" t="s">
        <v>21</v>
      </c>
      <c r="J13535" s="42">
        <v>45201</v>
      </c>
      <c r="K13535" s="33" t="s">
        <v>22</v>
      </c>
    </row>
    <row r="13536" spans="1:11">
      <c r="A13536" s="30" t="s">
        <v>30599</v>
      </c>
      <c r="B13536" s="30" t="s">
        <v>30600</v>
      </c>
      <c r="C13536" s="30" t="s">
        <v>30601</v>
      </c>
      <c r="D13536" s="30" t="s">
        <v>17</v>
      </c>
      <c r="E13536" s="30" t="s">
        <v>26</v>
      </c>
      <c r="F13536" s="30" t="s">
        <v>27</v>
      </c>
      <c r="G13536" s="30" t="s">
        <v>20</v>
      </c>
      <c r="H13536" s="32">
        <v>27</v>
      </c>
      <c r="I13536" s="30" t="s">
        <v>21</v>
      </c>
      <c r="J13536" s="41">
        <v>45162</v>
      </c>
      <c r="K13536" s="30" t="s">
        <v>22</v>
      </c>
    </row>
    <row r="13537" spans="1:11">
      <c r="A13537" s="33" t="s">
        <v>30602</v>
      </c>
      <c r="B13537" s="33" t="s">
        <v>30603</v>
      </c>
      <c r="C13537" s="33" t="s">
        <v>30604</v>
      </c>
      <c r="D13537" s="33" t="s">
        <v>17</v>
      </c>
      <c r="E13537" s="33" t="s">
        <v>26</v>
      </c>
      <c r="F13537" s="33" t="s">
        <v>27</v>
      </c>
      <c r="G13537" s="33" t="s">
        <v>20</v>
      </c>
      <c r="H13537" s="35">
        <v>125</v>
      </c>
      <c r="I13537" s="33" t="s">
        <v>21</v>
      </c>
      <c r="J13537" s="42">
        <v>45177</v>
      </c>
      <c r="K13537" s="33" t="s">
        <v>22</v>
      </c>
    </row>
    <row r="13538" spans="1:11">
      <c r="A13538" s="30" t="s">
        <v>30605</v>
      </c>
      <c r="B13538" s="30" t="s">
        <v>30606</v>
      </c>
      <c r="C13538" s="30" t="s">
        <v>1680</v>
      </c>
      <c r="D13538" s="30" t="s">
        <v>17</v>
      </c>
      <c r="E13538" s="30" t="s">
        <v>18</v>
      </c>
      <c r="F13538" s="30" t="s">
        <v>19</v>
      </c>
      <c r="G13538" s="30" t="s">
        <v>158</v>
      </c>
      <c r="H13538" s="32">
        <v>4000</v>
      </c>
      <c r="I13538" s="30" t="s">
        <v>51</v>
      </c>
      <c r="J13538" s="41">
        <v>45257</v>
      </c>
      <c r="K13538" s="30" t="s">
        <v>22</v>
      </c>
    </row>
    <row r="13539" spans="1:11">
      <c r="A13539" s="33" t="s">
        <v>30607</v>
      </c>
      <c r="B13539" s="33" t="s">
        <v>30608</v>
      </c>
      <c r="C13539" s="33" t="s">
        <v>925</v>
      </c>
      <c r="D13539" s="33" t="s">
        <v>17</v>
      </c>
      <c r="E13539" s="33" t="s">
        <v>18</v>
      </c>
      <c r="F13539" s="33" t="s">
        <v>19</v>
      </c>
      <c r="G13539" s="33" t="s">
        <v>140</v>
      </c>
      <c r="H13539" s="35">
        <v>318</v>
      </c>
      <c r="I13539" s="33" t="s">
        <v>51</v>
      </c>
      <c r="J13539" s="42">
        <v>45176</v>
      </c>
      <c r="K13539" s="33" t="s">
        <v>22</v>
      </c>
    </row>
    <row r="13540" spans="1:11">
      <c r="A13540" s="30" t="s">
        <v>30609</v>
      </c>
      <c r="B13540" s="30" t="s">
        <v>30610</v>
      </c>
      <c r="C13540" s="30" t="s">
        <v>5822</v>
      </c>
      <c r="D13540" s="30" t="s">
        <v>17</v>
      </c>
      <c r="E13540" s="30" t="s">
        <v>18</v>
      </c>
      <c r="F13540" s="30" t="s">
        <v>19</v>
      </c>
      <c r="G13540" s="30" t="s">
        <v>158</v>
      </c>
      <c r="H13540" s="32">
        <v>572</v>
      </c>
      <c r="I13540" s="30" t="s">
        <v>21</v>
      </c>
      <c r="J13540" s="41">
        <v>44971</v>
      </c>
      <c r="K13540" s="30" t="s">
        <v>22</v>
      </c>
    </row>
    <row r="13541" spans="1:11">
      <c r="A13541" s="33" t="s">
        <v>30611</v>
      </c>
      <c r="B13541" s="33" t="s">
        <v>30612</v>
      </c>
      <c r="C13541" s="33" t="s">
        <v>4730</v>
      </c>
      <c r="D13541" s="33" t="s">
        <v>17</v>
      </c>
      <c r="E13541" s="33" t="s">
        <v>67</v>
      </c>
      <c r="F13541" s="33" t="s">
        <v>68</v>
      </c>
      <c r="G13541" s="33" t="s">
        <v>106</v>
      </c>
      <c r="H13541" s="35">
        <v>26</v>
      </c>
      <c r="I13541" s="33" t="s">
        <v>21</v>
      </c>
      <c r="J13541" s="42">
        <v>44988</v>
      </c>
      <c r="K13541" s="33" t="s">
        <v>22</v>
      </c>
    </row>
    <row r="13542" spans="1:11">
      <c r="A13542" s="30" t="s">
        <v>30613</v>
      </c>
      <c r="B13542" s="30" t="s">
        <v>30614</v>
      </c>
      <c r="C13542" s="30" t="s">
        <v>570</v>
      </c>
      <c r="D13542" s="30" t="s">
        <v>17</v>
      </c>
      <c r="E13542" s="30" t="s">
        <v>26</v>
      </c>
      <c r="F13542" s="30" t="s">
        <v>27</v>
      </c>
      <c r="G13542" s="30" t="s">
        <v>140</v>
      </c>
      <c r="H13542" s="32">
        <v>150</v>
      </c>
      <c r="I13542" s="30" t="s">
        <v>51</v>
      </c>
      <c r="J13542" s="41">
        <v>45007</v>
      </c>
      <c r="K13542" s="30" t="s">
        <v>22</v>
      </c>
    </row>
    <row r="13543" spans="1:11">
      <c r="A13543" s="33" t="s">
        <v>30615</v>
      </c>
      <c r="B13543" s="33" t="s">
        <v>30616</v>
      </c>
      <c r="C13543" s="33" t="s">
        <v>30617</v>
      </c>
      <c r="D13543" s="33" t="s">
        <v>17</v>
      </c>
      <c r="E13543" s="33" t="s">
        <v>31</v>
      </c>
      <c r="F13543" s="33" t="s">
        <v>32</v>
      </c>
      <c r="G13543" s="33" t="s">
        <v>20</v>
      </c>
      <c r="H13543" s="35">
        <v>60</v>
      </c>
      <c r="I13543" s="33" t="s">
        <v>21</v>
      </c>
      <c r="J13543" s="42">
        <v>45246</v>
      </c>
      <c r="K13543" s="33" t="s">
        <v>22</v>
      </c>
    </row>
    <row r="13544" spans="1:11">
      <c r="A13544" s="30" t="s">
        <v>30618</v>
      </c>
      <c r="B13544" s="30" t="s">
        <v>30619</v>
      </c>
      <c r="C13544" s="30" t="s">
        <v>11899</v>
      </c>
      <c r="D13544" s="30" t="s">
        <v>17</v>
      </c>
      <c r="E13544" s="30" t="s">
        <v>26</v>
      </c>
      <c r="F13544" s="30" t="s">
        <v>27</v>
      </c>
      <c r="G13544" s="30" t="s">
        <v>50</v>
      </c>
      <c r="H13544" s="32">
        <v>100</v>
      </c>
      <c r="I13544" s="30" t="s">
        <v>51</v>
      </c>
      <c r="J13544" s="41">
        <v>45224</v>
      </c>
      <c r="K13544" s="30" t="s">
        <v>22</v>
      </c>
    </row>
    <row r="13545" spans="1:11">
      <c r="A13545" s="33" t="s">
        <v>30620</v>
      </c>
      <c r="B13545" s="33" t="s">
        <v>30621</v>
      </c>
      <c r="C13545" s="33" t="s">
        <v>30622</v>
      </c>
      <c r="D13545" s="33" t="s">
        <v>17</v>
      </c>
      <c r="E13545" s="33" t="s">
        <v>330</v>
      </c>
      <c r="F13545" s="33" t="s">
        <v>331</v>
      </c>
      <c r="G13545" s="33" t="s">
        <v>20</v>
      </c>
      <c r="H13545" s="35">
        <v>5</v>
      </c>
      <c r="I13545" s="33" t="s">
        <v>21</v>
      </c>
      <c r="J13545" s="42">
        <v>45164</v>
      </c>
      <c r="K13545" s="33" t="s">
        <v>22</v>
      </c>
    </row>
    <row r="13546" spans="1:11">
      <c r="A13546" s="30" t="s">
        <v>30623</v>
      </c>
      <c r="B13546" s="30" t="s">
        <v>30624</v>
      </c>
      <c r="C13546" s="30" t="s">
        <v>96</v>
      </c>
      <c r="D13546" s="30" t="s">
        <v>17</v>
      </c>
      <c r="E13546" s="30" t="s">
        <v>26</v>
      </c>
      <c r="F13546" s="30" t="s">
        <v>27</v>
      </c>
      <c r="G13546" s="30" t="s">
        <v>20</v>
      </c>
      <c r="H13546" s="32">
        <v>15</v>
      </c>
      <c r="I13546" s="30" t="s">
        <v>21</v>
      </c>
      <c r="J13546" s="41">
        <v>44987</v>
      </c>
      <c r="K13546" s="30" t="s">
        <v>22</v>
      </c>
    </row>
    <row r="13547" spans="1:11">
      <c r="A13547" s="33" t="s">
        <v>30625</v>
      </c>
      <c r="B13547" s="33" t="s">
        <v>30626</v>
      </c>
      <c r="C13547" s="33" t="s">
        <v>817</v>
      </c>
      <c r="D13547" s="33" t="s">
        <v>17</v>
      </c>
      <c r="E13547" s="33" t="s">
        <v>31</v>
      </c>
      <c r="F13547" s="33" t="s">
        <v>32</v>
      </c>
      <c r="G13547" s="33" t="s">
        <v>112</v>
      </c>
      <c r="H13547" s="35">
        <v>0</v>
      </c>
      <c r="I13547" s="33" t="s">
        <v>21</v>
      </c>
      <c r="J13547" s="42">
        <v>45247</v>
      </c>
      <c r="K13547" s="33" t="s">
        <v>22</v>
      </c>
    </row>
    <row r="13548" spans="1:11">
      <c r="A13548" s="30" t="s">
        <v>30627</v>
      </c>
      <c r="B13548" s="30" t="s">
        <v>30628</v>
      </c>
      <c r="C13548" s="30" t="s">
        <v>1313</v>
      </c>
      <c r="D13548" s="30" t="s">
        <v>17</v>
      </c>
      <c r="E13548" s="30" t="s">
        <v>31</v>
      </c>
      <c r="F13548" s="30" t="s">
        <v>32</v>
      </c>
      <c r="G13548" s="30" t="s">
        <v>112</v>
      </c>
      <c r="H13548" s="32">
        <v>0</v>
      </c>
      <c r="I13548" s="30" t="s">
        <v>21</v>
      </c>
      <c r="J13548" s="41">
        <v>44986</v>
      </c>
      <c r="K13548" s="30" t="s">
        <v>22</v>
      </c>
    </row>
    <row r="13549" spans="1:11">
      <c r="A13549" s="33" t="s">
        <v>30629</v>
      </c>
      <c r="B13549" s="33" t="s">
        <v>30630</v>
      </c>
      <c r="C13549" s="33" t="s">
        <v>8443</v>
      </c>
      <c r="D13549" s="33" t="s">
        <v>17</v>
      </c>
      <c r="E13549" s="33" t="s">
        <v>330</v>
      </c>
      <c r="F13549" s="33" t="s">
        <v>331</v>
      </c>
      <c r="G13549" s="33" t="s">
        <v>50</v>
      </c>
      <c r="H13549" s="35">
        <v>20</v>
      </c>
      <c r="I13549" s="33" t="s">
        <v>51</v>
      </c>
      <c r="J13549" s="42">
        <v>45199</v>
      </c>
      <c r="K13549" s="33" t="s">
        <v>22</v>
      </c>
    </row>
    <row r="13550" spans="1:11">
      <c r="A13550" s="30" t="s">
        <v>30631</v>
      </c>
      <c r="B13550" s="30" t="s">
        <v>30632</v>
      </c>
      <c r="C13550" s="30" t="s">
        <v>6721</v>
      </c>
      <c r="D13550" s="30" t="s">
        <v>17</v>
      </c>
      <c r="E13550" s="30" t="s">
        <v>18</v>
      </c>
      <c r="F13550" s="30" t="s">
        <v>19</v>
      </c>
      <c r="G13550" s="30" t="s">
        <v>50</v>
      </c>
      <c r="H13550" s="32">
        <v>228</v>
      </c>
      <c r="I13550" s="30" t="s">
        <v>51</v>
      </c>
      <c r="J13550" s="41">
        <v>45107</v>
      </c>
      <c r="K13550" s="30" t="s">
        <v>22</v>
      </c>
    </row>
    <row r="13551" spans="1:11">
      <c r="A13551" s="33" t="s">
        <v>30633</v>
      </c>
      <c r="B13551" s="33" t="s">
        <v>30634</v>
      </c>
      <c r="C13551" s="33" t="s">
        <v>30635</v>
      </c>
      <c r="D13551" s="33" t="s">
        <v>17</v>
      </c>
      <c r="E13551" s="33" t="s">
        <v>26</v>
      </c>
      <c r="F13551" s="33" t="s">
        <v>27</v>
      </c>
      <c r="G13551" s="33" t="s">
        <v>20</v>
      </c>
      <c r="H13551" s="35">
        <v>60</v>
      </c>
      <c r="I13551" s="33" t="s">
        <v>21</v>
      </c>
      <c r="J13551" s="42">
        <v>45093</v>
      </c>
      <c r="K13551" s="33" t="s">
        <v>22</v>
      </c>
    </row>
    <row r="13552" spans="1:11">
      <c r="A13552" s="30" t="s">
        <v>30636</v>
      </c>
      <c r="B13552" s="30" t="s">
        <v>30637</v>
      </c>
      <c r="C13552" s="30" t="s">
        <v>2472</v>
      </c>
      <c r="D13552" s="30" t="s">
        <v>17</v>
      </c>
      <c r="E13552" s="30" t="s">
        <v>67</v>
      </c>
      <c r="F13552" s="30" t="s">
        <v>68</v>
      </c>
      <c r="G13552" s="30" t="s">
        <v>158</v>
      </c>
      <c r="H13552" s="32">
        <v>1407</v>
      </c>
      <c r="I13552" s="30" t="s">
        <v>21</v>
      </c>
      <c r="J13552" s="41">
        <v>45163</v>
      </c>
      <c r="K13552" s="30" t="s">
        <v>22</v>
      </c>
    </row>
    <row r="13553" spans="1:11">
      <c r="A13553" s="33" t="s">
        <v>30638</v>
      </c>
      <c r="B13553" s="33" t="s">
        <v>30639</v>
      </c>
      <c r="C13553" s="33" t="s">
        <v>30640</v>
      </c>
      <c r="D13553" s="33" t="s">
        <v>17</v>
      </c>
      <c r="E13553" s="33" t="s">
        <v>26</v>
      </c>
      <c r="F13553" s="33" t="s">
        <v>27</v>
      </c>
      <c r="G13553" s="33" t="s">
        <v>20</v>
      </c>
      <c r="H13553" s="35">
        <v>84</v>
      </c>
      <c r="I13553" s="33" t="s">
        <v>21</v>
      </c>
      <c r="J13553" s="42">
        <v>45208</v>
      </c>
      <c r="K13553" s="33" t="s">
        <v>22</v>
      </c>
    </row>
    <row r="13554" spans="1:11">
      <c r="A13554" s="30" t="s">
        <v>30641</v>
      </c>
      <c r="B13554" s="30" t="s">
        <v>30642</v>
      </c>
      <c r="C13554" s="30" t="s">
        <v>15585</v>
      </c>
      <c r="D13554" s="30" t="s">
        <v>17</v>
      </c>
      <c r="E13554" s="30" t="s">
        <v>26</v>
      </c>
      <c r="F13554" s="30" t="s">
        <v>27</v>
      </c>
      <c r="G13554" s="30" t="s">
        <v>20</v>
      </c>
      <c r="H13554" s="32">
        <v>35</v>
      </c>
      <c r="I13554" s="30" t="s">
        <v>21</v>
      </c>
      <c r="J13554" s="41">
        <v>44972</v>
      </c>
      <c r="K13554" s="30" t="s">
        <v>22</v>
      </c>
    </row>
    <row r="13555" spans="1:11">
      <c r="A13555" s="33" t="s">
        <v>30643</v>
      </c>
      <c r="B13555" s="33" t="s">
        <v>30644</v>
      </c>
      <c r="C13555" s="33" t="s">
        <v>5822</v>
      </c>
      <c r="D13555" s="33" t="s">
        <v>17</v>
      </c>
      <c r="E13555" s="33" t="s">
        <v>18</v>
      </c>
      <c r="F13555" s="33" t="s">
        <v>19</v>
      </c>
      <c r="G13555" s="33" t="s">
        <v>158</v>
      </c>
      <c r="H13555" s="35">
        <v>255</v>
      </c>
      <c r="I13555" s="33" t="s">
        <v>51</v>
      </c>
      <c r="J13555" s="42">
        <v>44945</v>
      </c>
      <c r="K13555" s="33" t="s">
        <v>22</v>
      </c>
    </row>
    <row r="13556" spans="1:11">
      <c r="A13556" s="30" t="s">
        <v>30645</v>
      </c>
      <c r="B13556" s="30" t="s">
        <v>30646</v>
      </c>
      <c r="C13556" s="30" t="s">
        <v>647</v>
      </c>
      <c r="D13556" s="30" t="s">
        <v>17</v>
      </c>
      <c r="E13556" s="30" t="s">
        <v>26</v>
      </c>
      <c r="F13556" s="30" t="s">
        <v>27</v>
      </c>
      <c r="G13556" s="30" t="s">
        <v>20</v>
      </c>
      <c r="H13556" s="32">
        <v>32</v>
      </c>
      <c r="I13556" s="30" t="s">
        <v>21</v>
      </c>
      <c r="J13556" s="41">
        <v>45251</v>
      </c>
      <c r="K13556" s="30" t="s">
        <v>22</v>
      </c>
    </row>
    <row r="13557" spans="1:11">
      <c r="A13557" s="33" t="s">
        <v>30647</v>
      </c>
      <c r="B13557" s="33" t="s">
        <v>30648</v>
      </c>
      <c r="C13557" s="33" t="s">
        <v>5243</v>
      </c>
      <c r="D13557" s="33" t="s">
        <v>17</v>
      </c>
      <c r="E13557" s="33" t="s">
        <v>67</v>
      </c>
      <c r="F13557" s="33" t="s">
        <v>68</v>
      </c>
      <c r="G13557" s="33" t="s">
        <v>140</v>
      </c>
      <c r="H13557" s="35">
        <v>120</v>
      </c>
      <c r="I13557" s="33" t="s">
        <v>51</v>
      </c>
      <c r="J13557" s="42">
        <v>44995</v>
      </c>
      <c r="K13557" s="33" t="s">
        <v>22</v>
      </c>
    </row>
    <row r="13558" spans="1:11">
      <c r="A13558" s="30" t="s">
        <v>30649</v>
      </c>
      <c r="B13558" s="30" t="s">
        <v>30650</v>
      </c>
      <c r="C13558" s="30" t="s">
        <v>10855</v>
      </c>
      <c r="D13558" s="30" t="s">
        <v>17</v>
      </c>
      <c r="E13558" s="30" t="s">
        <v>31</v>
      </c>
      <c r="F13558" s="30" t="s">
        <v>32</v>
      </c>
      <c r="G13558" s="30" t="s">
        <v>158</v>
      </c>
      <c r="H13558" s="32">
        <v>120</v>
      </c>
      <c r="I13558" s="30" t="s">
        <v>51</v>
      </c>
      <c r="J13558" s="41">
        <v>45190</v>
      </c>
      <c r="K13558" s="30" t="s">
        <v>22</v>
      </c>
    </row>
    <row r="13559" spans="1:11">
      <c r="A13559" s="33" t="s">
        <v>30651</v>
      </c>
      <c r="B13559" s="33" t="s">
        <v>30652</v>
      </c>
      <c r="C13559" s="33" t="s">
        <v>488</v>
      </c>
      <c r="D13559" s="33" t="s">
        <v>17</v>
      </c>
      <c r="E13559" s="33" t="s">
        <v>31</v>
      </c>
      <c r="F13559" s="33" t="s">
        <v>32</v>
      </c>
      <c r="G13559" s="33" t="s">
        <v>50</v>
      </c>
      <c r="H13559" s="35">
        <v>15</v>
      </c>
      <c r="I13559" s="33" t="s">
        <v>51</v>
      </c>
      <c r="J13559" s="42">
        <v>44986</v>
      </c>
      <c r="K13559" s="33" t="s">
        <v>22</v>
      </c>
    </row>
    <row r="13560" spans="1:11">
      <c r="A13560" s="30" t="s">
        <v>30653</v>
      </c>
      <c r="B13560" s="30" t="s">
        <v>30654</v>
      </c>
      <c r="C13560" s="30" t="s">
        <v>310</v>
      </c>
      <c r="D13560" s="30" t="s">
        <v>17</v>
      </c>
      <c r="E13560" s="30" t="s">
        <v>212</v>
      </c>
      <c r="F13560" s="30" t="s">
        <v>213</v>
      </c>
      <c r="G13560" s="30" t="s">
        <v>20</v>
      </c>
      <c r="H13560" s="32">
        <v>500</v>
      </c>
      <c r="I13560" s="30" t="s">
        <v>21</v>
      </c>
      <c r="J13560" s="41">
        <v>44945</v>
      </c>
      <c r="K13560" s="30" t="s">
        <v>22</v>
      </c>
    </row>
    <row r="13561" spans="1:11">
      <c r="A13561" s="33" t="s">
        <v>30655</v>
      </c>
      <c r="B13561" s="33" t="s">
        <v>30656</v>
      </c>
      <c r="C13561" s="33" t="s">
        <v>3264</v>
      </c>
      <c r="D13561" s="33" t="s">
        <v>17</v>
      </c>
      <c r="E13561" s="33" t="s">
        <v>212</v>
      </c>
      <c r="F13561" s="33" t="s">
        <v>213</v>
      </c>
      <c r="G13561" s="33" t="s">
        <v>140</v>
      </c>
      <c r="H13561" s="35">
        <v>28</v>
      </c>
      <c r="I13561" s="33" t="s">
        <v>51</v>
      </c>
      <c r="J13561" s="42">
        <v>45258</v>
      </c>
      <c r="K13561" s="33" t="s">
        <v>22</v>
      </c>
    </row>
    <row r="13562" spans="1:11">
      <c r="A13562" s="30" t="s">
        <v>30657</v>
      </c>
      <c r="B13562" s="30" t="s">
        <v>30658</v>
      </c>
      <c r="C13562" s="30" t="s">
        <v>187</v>
      </c>
      <c r="D13562" s="30" t="s">
        <v>17</v>
      </c>
      <c r="E13562" s="30" t="s">
        <v>31</v>
      </c>
      <c r="F13562" s="30" t="s">
        <v>32</v>
      </c>
      <c r="G13562" s="30" t="s">
        <v>50</v>
      </c>
      <c r="H13562" s="32">
        <v>160</v>
      </c>
      <c r="I13562" s="30" t="s">
        <v>51</v>
      </c>
      <c r="J13562" s="41">
        <v>45096</v>
      </c>
      <c r="K13562" s="30" t="s">
        <v>22</v>
      </c>
    </row>
    <row r="13563" spans="1:11">
      <c r="A13563" s="33" t="s">
        <v>30659</v>
      </c>
      <c r="B13563" s="33" t="s">
        <v>30660</v>
      </c>
      <c r="C13563" s="33" t="s">
        <v>2493</v>
      </c>
      <c r="D13563" s="33" t="s">
        <v>17</v>
      </c>
      <c r="E13563" s="33" t="s">
        <v>26</v>
      </c>
      <c r="F13563" s="33" t="s">
        <v>27</v>
      </c>
      <c r="G13563" s="33" t="s">
        <v>140</v>
      </c>
      <c r="H13563" s="35">
        <v>300</v>
      </c>
      <c r="I13563" s="33" t="s">
        <v>51</v>
      </c>
      <c r="J13563" s="42">
        <v>45200</v>
      </c>
      <c r="K13563" s="33" t="s">
        <v>22</v>
      </c>
    </row>
    <row r="13564" spans="1:11">
      <c r="A13564" s="30" t="s">
        <v>30661</v>
      </c>
      <c r="B13564" s="30" t="s">
        <v>30662</v>
      </c>
      <c r="C13564" s="30" t="s">
        <v>136</v>
      </c>
      <c r="D13564" s="30" t="s">
        <v>17</v>
      </c>
      <c r="E13564" s="30" t="s">
        <v>26</v>
      </c>
      <c r="F13564" s="30" t="s">
        <v>27</v>
      </c>
      <c r="G13564" s="30" t="s">
        <v>20</v>
      </c>
      <c r="H13564" s="32">
        <v>52</v>
      </c>
      <c r="I13564" s="30" t="s">
        <v>21</v>
      </c>
      <c r="J13564" s="41">
        <v>45042</v>
      </c>
      <c r="K13564" s="30" t="s">
        <v>22</v>
      </c>
    </row>
    <row r="13565" spans="1:11">
      <c r="A13565" s="33" t="s">
        <v>30663</v>
      </c>
      <c r="B13565" s="33" t="s">
        <v>30664</v>
      </c>
      <c r="C13565" s="33" t="s">
        <v>1165</v>
      </c>
      <c r="D13565" s="33" t="s">
        <v>17</v>
      </c>
      <c r="E13565" s="33" t="s">
        <v>31</v>
      </c>
      <c r="F13565" s="33" t="s">
        <v>32</v>
      </c>
      <c r="G13565" s="33" t="s">
        <v>20</v>
      </c>
      <c r="H13565" s="35">
        <v>73</v>
      </c>
      <c r="I13565" s="33" t="s">
        <v>21</v>
      </c>
      <c r="J13565" s="42">
        <v>44978</v>
      </c>
      <c r="K13565" s="33" t="s">
        <v>22</v>
      </c>
    </row>
    <row r="13566" spans="1:11">
      <c r="A13566" s="30" t="s">
        <v>30665</v>
      </c>
      <c r="B13566" s="30" t="s">
        <v>30666</v>
      </c>
      <c r="C13566" s="30" t="s">
        <v>30667</v>
      </c>
      <c r="D13566" s="30" t="s">
        <v>17</v>
      </c>
      <c r="E13566" s="30" t="s">
        <v>67</v>
      </c>
      <c r="F13566" s="30" t="s">
        <v>68</v>
      </c>
      <c r="G13566" s="30" t="s">
        <v>140</v>
      </c>
      <c r="H13566" s="32">
        <v>100</v>
      </c>
      <c r="I13566" s="30" t="s">
        <v>51</v>
      </c>
      <c r="J13566" s="41">
        <v>45206</v>
      </c>
      <c r="K13566" s="30" t="s">
        <v>22</v>
      </c>
    </row>
    <row r="13567" spans="1:11">
      <c r="A13567" s="33" t="s">
        <v>30668</v>
      </c>
      <c r="B13567" s="33" t="s">
        <v>30669</v>
      </c>
      <c r="C13567" s="33" t="s">
        <v>57</v>
      </c>
      <c r="D13567" s="33" t="s">
        <v>17</v>
      </c>
      <c r="E13567" s="33" t="s">
        <v>26</v>
      </c>
      <c r="F13567" s="33" t="s">
        <v>27</v>
      </c>
      <c r="G13567" s="33" t="s">
        <v>50</v>
      </c>
      <c r="H13567" s="35">
        <v>52</v>
      </c>
      <c r="I13567" s="33" t="s">
        <v>51</v>
      </c>
      <c r="J13567" s="42">
        <v>45139</v>
      </c>
      <c r="K13567" s="33" t="s">
        <v>22</v>
      </c>
    </row>
    <row r="13568" spans="1:11">
      <c r="A13568" s="30" t="s">
        <v>30670</v>
      </c>
      <c r="B13568" s="30" t="s">
        <v>30671</v>
      </c>
      <c r="C13568" s="30" t="s">
        <v>30672</v>
      </c>
      <c r="D13568" s="30" t="s">
        <v>17</v>
      </c>
      <c r="E13568" s="30" t="s">
        <v>26</v>
      </c>
      <c r="F13568" s="30" t="s">
        <v>27</v>
      </c>
      <c r="G13568" s="30" t="s">
        <v>140</v>
      </c>
      <c r="H13568" s="32">
        <v>80</v>
      </c>
      <c r="I13568" s="30" t="s">
        <v>51</v>
      </c>
      <c r="J13568" s="41">
        <v>45132</v>
      </c>
      <c r="K13568" s="30" t="s">
        <v>22</v>
      </c>
    </row>
    <row r="13569" spans="1:11">
      <c r="A13569" s="33" t="s">
        <v>30673</v>
      </c>
      <c r="B13569" s="33" t="s">
        <v>30674</v>
      </c>
      <c r="C13569" s="33" t="s">
        <v>22605</v>
      </c>
      <c r="D13569" s="33" t="s">
        <v>17</v>
      </c>
      <c r="E13569" s="33" t="s">
        <v>67</v>
      </c>
      <c r="F13569" s="33" t="s">
        <v>68</v>
      </c>
      <c r="G13569" s="33" t="s">
        <v>140</v>
      </c>
      <c r="H13569" s="35">
        <v>218</v>
      </c>
      <c r="I13569" s="33" t="s">
        <v>51</v>
      </c>
      <c r="J13569" s="42">
        <v>45197</v>
      </c>
      <c r="K13569" s="33" t="s">
        <v>22</v>
      </c>
    </row>
    <row r="13570" spans="1:11">
      <c r="A13570" s="30" t="s">
        <v>30675</v>
      </c>
      <c r="B13570" s="30" t="s">
        <v>30676</v>
      </c>
      <c r="C13570" s="30" t="s">
        <v>709</v>
      </c>
      <c r="D13570" s="30" t="s">
        <v>17</v>
      </c>
      <c r="E13570" s="30" t="s">
        <v>26</v>
      </c>
      <c r="F13570" s="30" t="s">
        <v>27</v>
      </c>
      <c r="G13570" s="30" t="s">
        <v>50</v>
      </c>
      <c r="H13570" s="32">
        <v>40</v>
      </c>
      <c r="I13570" s="30" t="s">
        <v>51</v>
      </c>
      <c r="J13570" s="41">
        <v>44927</v>
      </c>
      <c r="K13570" s="30" t="s">
        <v>22</v>
      </c>
    </row>
    <row r="13571" spans="1:11">
      <c r="A13571" s="33" t="s">
        <v>30677</v>
      </c>
      <c r="B13571" s="33" t="s">
        <v>30678</v>
      </c>
      <c r="C13571" s="33" t="s">
        <v>30679</v>
      </c>
      <c r="D13571" s="33" t="s">
        <v>17</v>
      </c>
      <c r="E13571" s="33" t="s">
        <v>26</v>
      </c>
      <c r="F13571" s="33" t="s">
        <v>27</v>
      </c>
      <c r="G13571" s="33" t="s">
        <v>140</v>
      </c>
      <c r="H13571" s="35">
        <v>6</v>
      </c>
      <c r="I13571" s="33" t="s">
        <v>51</v>
      </c>
      <c r="J13571" s="42">
        <v>45170</v>
      </c>
      <c r="K13571" s="33" t="s">
        <v>22</v>
      </c>
    </row>
    <row r="13572" spans="1:11">
      <c r="A13572" s="30" t="s">
        <v>30680</v>
      </c>
      <c r="B13572" s="30" t="s">
        <v>30681</v>
      </c>
      <c r="C13572" s="30" t="s">
        <v>3013</v>
      </c>
      <c r="D13572" s="30" t="s">
        <v>17</v>
      </c>
      <c r="E13572" s="30" t="s">
        <v>26</v>
      </c>
      <c r="F13572" s="30" t="s">
        <v>27</v>
      </c>
      <c r="G13572" s="30" t="s">
        <v>20</v>
      </c>
      <c r="H13572" s="32">
        <v>46</v>
      </c>
      <c r="I13572" s="30" t="s">
        <v>21</v>
      </c>
      <c r="J13572" s="41">
        <v>45278</v>
      </c>
      <c r="K13572" s="30" t="s">
        <v>22</v>
      </c>
    </row>
    <row r="13573" spans="1:11">
      <c r="A13573" s="33" t="s">
        <v>30682</v>
      </c>
      <c r="B13573" s="33" t="s">
        <v>30683</v>
      </c>
      <c r="C13573" s="33" t="s">
        <v>25108</v>
      </c>
      <c r="D13573" s="33" t="s">
        <v>17</v>
      </c>
      <c r="E13573" s="33" t="s">
        <v>212</v>
      </c>
      <c r="F13573" s="33" t="s">
        <v>213</v>
      </c>
      <c r="G13573" s="33" t="s">
        <v>20</v>
      </c>
      <c r="H13573" s="35">
        <v>59</v>
      </c>
      <c r="I13573" s="33" t="s">
        <v>21</v>
      </c>
      <c r="J13573" s="42">
        <v>44964</v>
      </c>
      <c r="K13573" s="33" t="s">
        <v>22</v>
      </c>
    </row>
    <row r="13574" spans="1:11">
      <c r="A13574" s="30" t="s">
        <v>30684</v>
      </c>
      <c r="B13574" s="30" t="s">
        <v>30685</v>
      </c>
      <c r="C13574" s="30" t="s">
        <v>30686</v>
      </c>
      <c r="D13574" s="30" t="s">
        <v>17</v>
      </c>
      <c r="E13574" s="30" t="s">
        <v>26</v>
      </c>
      <c r="F13574" s="30" t="s">
        <v>27</v>
      </c>
      <c r="G13574" s="30" t="s">
        <v>140</v>
      </c>
      <c r="H13574" s="32">
        <v>20</v>
      </c>
      <c r="I13574" s="30" t="s">
        <v>51</v>
      </c>
      <c r="J13574" s="41">
        <v>44941</v>
      </c>
      <c r="K13574" s="30" t="s">
        <v>22</v>
      </c>
    </row>
    <row r="13575" spans="1:11">
      <c r="A13575" s="33" t="s">
        <v>30687</v>
      </c>
      <c r="B13575" s="33" t="s">
        <v>30688</v>
      </c>
      <c r="C13575" s="33" t="s">
        <v>11026</v>
      </c>
      <c r="D13575" s="33" t="s">
        <v>17</v>
      </c>
      <c r="E13575" s="33" t="s">
        <v>31</v>
      </c>
      <c r="F13575" s="33" t="s">
        <v>32</v>
      </c>
      <c r="G13575" s="33" t="s">
        <v>140</v>
      </c>
      <c r="H13575" s="35">
        <v>24</v>
      </c>
      <c r="I13575" s="33" t="s">
        <v>51</v>
      </c>
      <c r="J13575" s="42">
        <v>45047</v>
      </c>
      <c r="K13575" s="33" t="s">
        <v>22</v>
      </c>
    </row>
    <row r="13576" spans="1:11">
      <c r="A13576" s="30" t="s">
        <v>30689</v>
      </c>
      <c r="B13576" s="30" t="s">
        <v>30690</v>
      </c>
      <c r="C13576" s="30" t="s">
        <v>30691</v>
      </c>
      <c r="D13576" s="30" t="s">
        <v>17</v>
      </c>
      <c r="E13576" s="30" t="s">
        <v>31</v>
      </c>
      <c r="F13576" s="30" t="s">
        <v>32</v>
      </c>
      <c r="G13576" s="30" t="s">
        <v>20</v>
      </c>
      <c r="H13576" s="32">
        <v>63</v>
      </c>
      <c r="I13576" s="30" t="s">
        <v>21</v>
      </c>
      <c r="J13576" s="41">
        <v>45006</v>
      </c>
      <c r="K13576" s="30" t="s">
        <v>22</v>
      </c>
    </row>
    <row r="13577" spans="1:11">
      <c r="A13577" s="33" t="s">
        <v>30692</v>
      </c>
      <c r="B13577" s="33" t="s">
        <v>30693</v>
      </c>
      <c r="C13577" s="33" t="s">
        <v>30271</v>
      </c>
      <c r="D13577" s="33" t="s">
        <v>17</v>
      </c>
      <c r="E13577" s="33" t="s">
        <v>330</v>
      </c>
      <c r="F13577" s="33" t="s">
        <v>331</v>
      </c>
      <c r="G13577" s="33" t="s">
        <v>7780</v>
      </c>
      <c r="H13577" s="35">
        <v>6</v>
      </c>
      <c r="I13577" s="33" t="s">
        <v>51</v>
      </c>
      <c r="J13577" s="42">
        <v>45265</v>
      </c>
      <c r="K13577" s="33" t="s">
        <v>22</v>
      </c>
    </row>
    <row r="13578" spans="1:11">
      <c r="A13578" s="30" t="s">
        <v>30694</v>
      </c>
      <c r="B13578" s="30" t="s">
        <v>30695</v>
      </c>
      <c r="C13578" s="30" t="s">
        <v>7581</v>
      </c>
      <c r="D13578" s="30" t="s">
        <v>17</v>
      </c>
      <c r="E13578" s="30" t="s">
        <v>18</v>
      </c>
      <c r="F13578" s="30" t="s">
        <v>19</v>
      </c>
      <c r="G13578" s="30" t="s">
        <v>20</v>
      </c>
      <c r="H13578" s="32">
        <v>383</v>
      </c>
      <c r="I13578" s="30" t="s">
        <v>21</v>
      </c>
      <c r="J13578" s="41">
        <v>45189</v>
      </c>
      <c r="K13578" s="30" t="s">
        <v>22</v>
      </c>
    </row>
    <row r="13579" spans="1:11">
      <c r="A13579" s="33" t="s">
        <v>30696</v>
      </c>
      <c r="B13579" s="33" t="s">
        <v>30697</v>
      </c>
      <c r="C13579" s="33" t="s">
        <v>647</v>
      </c>
      <c r="D13579" s="33" t="s">
        <v>17</v>
      </c>
      <c r="E13579" s="33" t="s">
        <v>45</v>
      </c>
      <c r="F13579" s="33" t="s">
        <v>46</v>
      </c>
      <c r="G13579" s="33" t="s">
        <v>140</v>
      </c>
      <c r="H13579" s="35">
        <v>342</v>
      </c>
      <c r="I13579" s="33" t="s">
        <v>51</v>
      </c>
      <c r="J13579" s="42">
        <v>45077</v>
      </c>
      <c r="K13579" s="33" t="s">
        <v>22</v>
      </c>
    </row>
    <row r="13580" spans="1:11">
      <c r="A13580" s="30" t="s">
        <v>30698</v>
      </c>
      <c r="B13580" s="30" t="s">
        <v>30699</v>
      </c>
      <c r="C13580" s="30" t="s">
        <v>30700</v>
      </c>
      <c r="D13580" s="30" t="s">
        <v>17</v>
      </c>
      <c r="E13580" s="30" t="s">
        <v>31</v>
      </c>
      <c r="F13580" s="30" t="s">
        <v>32</v>
      </c>
      <c r="G13580" s="30" t="s">
        <v>20</v>
      </c>
      <c r="H13580" s="32">
        <v>133</v>
      </c>
      <c r="I13580" s="30" t="s">
        <v>21</v>
      </c>
      <c r="J13580" s="41">
        <v>45287</v>
      </c>
      <c r="K13580" s="30" t="s">
        <v>22</v>
      </c>
    </row>
    <row r="13581" spans="1:11">
      <c r="A13581" s="33" t="s">
        <v>30701</v>
      </c>
      <c r="B13581" s="33" t="s">
        <v>30702</v>
      </c>
      <c r="C13581" s="33" t="s">
        <v>3459</v>
      </c>
      <c r="D13581" s="33" t="s">
        <v>17</v>
      </c>
      <c r="E13581" s="33" t="s">
        <v>26</v>
      </c>
      <c r="F13581" s="33" t="s">
        <v>27</v>
      </c>
      <c r="G13581" s="33" t="s">
        <v>20</v>
      </c>
      <c r="H13581" s="35">
        <v>180</v>
      </c>
      <c r="I13581" s="33" t="s">
        <v>21</v>
      </c>
      <c r="J13581" s="42">
        <v>44941</v>
      </c>
      <c r="K13581" s="33" t="s">
        <v>22</v>
      </c>
    </row>
    <row r="13582" spans="1:11">
      <c r="A13582" s="30" t="s">
        <v>30703</v>
      </c>
      <c r="B13582" s="30" t="s">
        <v>30704</v>
      </c>
      <c r="C13582" s="30" t="s">
        <v>96</v>
      </c>
      <c r="D13582" s="30" t="s">
        <v>17</v>
      </c>
      <c r="E13582" s="30" t="s">
        <v>18</v>
      </c>
      <c r="F13582" s="30" t="s">
        <v>19</v>
      </c>
      <c r="G13582" s="30" t="s">
        <v>20</v>
      </c>
      <c r="H13582" s="32">
        <v>885</v>
      </c>
      <c r="I13582" s="30" t="s">
        <v>21</v>
      </c>
      <c r="J13582" s="41">
        <v>45057</v>
      </c>
      <c r="K13582" s="30" t="s">
        <v>22</v>
      </c>
    </row>
    <row r="13583" spans="1:11">
      <c r="A13583" s="33" t="s">
        <v>30705</v>
      </c>
      <c r="B13583" s="33" t="s">
        <v>30706</v>
      </c>
      <c r="C13583" s="33" t="s">
        <v>3177</v>
      </c>
      <c r="D13583" s="33" t="s">
        <v>17</v>
      </c>
      <c r="E13583" s="33" t="s">
        <v>31</v>
      </c>
      <c r="F13583" s="33" t="s">
        <v>32</v>
      </c>
      <c r="G13583" s="33" t="s">
        <v>20</v>
      </c>
      <c r="H13583" s="35">
        <v>89</v>
      </c>
      <c r="I13583" s="33" t="s">
        <v>21</v>
      </c>
      <c r="J13583" s="42">
        <v>45257</v>
      </c>
      <c r="K13583" s="33" t="s">
        <v>22</v>
      </c>
    </row>
    <row r="13584" spans="1:11">
      <c r="A13584" s="30" t="s">
        <v>30707</v>
      </c>
      <c r="B13584" s="30" t="s">
        <v>30708</v>
      </c>
      <c r="C13584" s="30" t="s">
        <v>6498</v>
      </c>
      <c r="D13584" s="30" t="s">
        <v>17</v>
      </c>
      <c r="E13584" s="30" t="s">
        <v>26</v>
      </c>
      <c r="F13584" s="30" t="s">
        <v>27</v>
      </c>
      <c r="G13584" s="30" t="s">
        <v>106</v>
      </c>
      <c r="H13584" s="32">
        <v>32</v>
      </c>
      <c r="I13584" s="30" t="s">
        <v>21</v>
      </c>
      <c r="J13584" s="41">
        <v>45182</v>
      </c>
      <c r="K13584" s="30" t="s">
        <v>22</v>
      </c>
    </row>
    <row r="13585" spans="1:11">
      <c r="A13585" s="33" t="s">
        <v>30709</v>
      </c>
      <c r="B13585" s="33" t="s">
        <v>30710</v>
      </c>
      <c r="C13585" s="33" t="s">
        <v>216</v>
      </c>
      <c r="D13585" s="33" t="s">
        <v>17</v>
      </c>
      <c r="E13585" s="33" t="s">
        <v>26</v>
      </c>
      <c r="F13585" s="33" t="s">
        <v>27</v>
      </c>
      <c r="G13585" s="33" t="s">
        <v>20</v>
      </c>
      <c r="H13585" s="35">
        <v>23</v>
      </c>
      <c r="I13585" s="33" t="s">
        <v>21</v>
      </c>
      <c r="J13585" s="42">
        <v>44967</v>
      </c>
      <c r="K13585" s="33" t="s">
        <v>22</v>
      </c>
    </row>
    <row r="13586" spans="1:11">
      <c r="A13586" s="30" t="s">
        <v>30711</v>
      </c>
      <c r="B13586" s="30" t="s">
        <v>30712</v>
      </c>
      <c r="C13586" s="30" t="s">
        <v>60</v>
      </c>
      <c r="D13586" s="30" t="s">
        <v>17</v>
      </c>
      <c r="E13586" s="30" t="s">
        <v>67</v>
      </c>
      <c r="F13586" s="30" t="s">
        <v>68</v>
      </c>
      <c r="G13586" s="30" t="s">
        <v>158</v>
      </c>
      <c r="H13586" s="32">
        <v>26</v>
      </c>
      <c r="I13586" s="30" t="s">
        <v>21</v>
      </c>
      <c r="J13586" s="41">
        <v>44984</v>
      </c>
      <c r="K13586" s="30" t="s">
        <v>22</v>
      </c>
    </row>
    <row r="13587" spans="1:11">
      <c r="A13587" s="33" t="s">
        <v>30713</v>
      </c>
      <c r="B13587" s="33" t="s">
        <v>30714</v>
      </c>
      <c r="C13587" s="33" t="s">
        <v>9688</v>
      </c>
      <c r="D13587" s="33" t="s">
        <v>17</v>
      </c>
      <c r="E13587" s="33" t="s">
        <v>31</v>
      </c>
      <c r="F13587" s="33" t="s">
        <v>32</v>
      </c>
      <c r="G13587" s="33" t="s">
        <v>20</v>
      </c>
      <c r="H13587" s="35">
        <v>179</v>
      </c>
      <c r="I13587" s="33" t="s">
        <v>21</v>
      </c>
      <c r="J13587" s="42">
        <v>45286</v>
      </c>
      <c r="K13587" s="33" t="s">
        <v>22</v>
      </c>
    </row>
    <row r="13588" spans="1:11">
      <c r="A13588" s="30" t="s">
        <v>30715</v>
      </c>
      <c r="B13588" s="30" t="s">
        <v>30716</v>
      </c>
      <c r="C13588" s="30" t="s">
        <v>3655</v>
      </c>
      <c r="D13588" s="30" t="s">
        <v>17</v>
      </c>
      <c r="E13588" s="30" t="s">
        <v>26</v>
      </c>
      <c r="F13588" s="30" t="s">
        <v>27</v>
      </c>
      <c r="G13588" s="30" t="s">
        <v>158</v>
      </c>
      <c r="H13588" s="32">
        <v>41</v>
      </c>
      <c r="I13588" s="30" t="s">
        <v>21</v>
      </c>
      <c r="J13588" s="41">
        <v>45260</v>
      </c>
      <c r="K13588" s="30" t="s">
        <v>22</v>
      </c>
    </row>
    <row r="13589" spans="1:11">
      <c r="A13589" s="33" t="s">
        <v>30717</v>
      </c>
      <c r="B13589" s="33" t="s">
        <v>30718</v>
      </c>
      <c r="C13589" s="33" t="s">
        <v>10325</v>
      </c>
      <c r="D13589" s="33" t="s">
        <v>17</v>
      </c>
      <c r="E13589" s="33" t="s">
        <v>31</v>
      </c>
      <c r="F13589" s="33" t="s">
        <v>32</v>
      </c>
      <c r="G13589" s="33" t="s">
        <v>20</v>
      </c>
      <c r="H13589" s="35">
        <v>200</v>
      </c>
      <c r="I13589" s="33" t="s">
        <v>21</v>
      </c>
      <c r="J13589" s="42">
        <v>44975</v>
      </c>
      <c r="K13589" s="33" t="s">
        <v>22</v>
      </c>
    </row>
    <row r="13590" spans="1:11">
      <c r="A13590" s="30" t="s">
        <v>30719</v>
      </c>
      <c r="B13590" s="30" t="s">
        <v>30720</v>
      </c>
      <c r="C13590" s="30" t="s">
        <v>18986</v>
      </c>
      <c r="D13590" s="30" t="s">
        <v>17</v>
      </c>
      <c r="E13590" s="30" t="s">
        <v>26</v>
      </c>
      <c r="F13590" s="30" t="s">
        <v>27</v>
      </c>
      <c r="G13590" s="30" t="s">
        <v>20</v>
      </c>
      <c r="H13590" s="32">
        <v>28</v>
      </c>
      <c r="I13590" s="30" t="s">
        <v>21</v>
      </c>
      <c r="J13590" s="41">
        <v>45180</v>
      </c>
      <c r="K13590" s="30" t="s">
        <v>22</v>
      </c>
    </row>
    <row r="13591" spans="1:11">
      <c r="A13591" s="33" t="s">
        <v>30721</v>
      </c>
      <c r="B13591" s="33" t="s">
        <v>30722</v>
      </c>
      <c r="C13591" s="33" t="s">
        <v>1504</v>
      </c>
      <c r="D13591" s="33" t="s">
        <v>17</v>
      </c>
      <c r="E13591" s="33" t="s">
        <v>67</v>
      </c>
      <c r="F13591" s="33" t="s">
        <v>68</v>
      </c>
      <c r="G13591" s="33" t="s">
        <v>158</v>
      </c>
      <c r="H13591" s="35">
        <v>80</v>
      </c>
      <c r="I13591" s="33" t="s">
        <v>51</v>
      </c>
      <c r="J13591" s="42">
        <v>45113</v>
      </c>
      <c r="K13591" s="33" t="s">
        <v>22</v>
      </c>
    </row>
    <row r="13592" spans="1:11">
      <c r="A13592" s="30" t="s">
        <v>30723</v>
      </c>
      <c r="B13592" s="30" t="s">
        <v>30724</v>
      </c>
      <c r="C13592" s="30" t="s">
        <v>30725</v>
      </c>
      <c r="D13592" s="30" t="s">
        <v>17</v>
      </c>
      <c r="E13592" s="30" t="s">
        <v>67</v>
      </c>
      <c r="F13592" s="30" t="s">
        <v>68</v>
      </c>
      <c r="G13592" s="30" t="s">
        <v>140</v>
      </c>
      <c r="H13592" s="32">
        <v>111</v>
      </c>
      <c r="I13592" s="30" t="s">
        <v>51</v>
      </c>
      <c r="J13592" s="41">
        <v>45272</v>
      </c>
      <c r="K13592" s="30" t="s">
        <v>22</v>
      </c>
    </row>
    <row r="13593" spans="1:11">
      <c r="A13593" s="33" t="s">
        <v>30726</v>
      </c>
      <c r="B13593" s="33" t="s">
        <v>30727</v>
      </c>
      <c r="C13593" s="33" t="s">
        <v>801</v>
      </c>
      <c r="D13593" s="33" t="s">
        <v>17</v>
      </c>
      <c r="E13593" s="33" t="s">
        <v>31</v>
      </c>
      <c r="F13593" s="33" t="s">
        <v>32</v>
      </c>
      <c r="G13593" s="33" t="s">
        <v>20</v>
      </c>
      <c r="H13593" s="35">
        <v>127</v>
      </c>
      <c r="I13593" s="33" t="s">
        <v>21</v>
      </c>
      <c r="J13593" s="42">
        <v>45132</v>
      </c>
      <c r="K13593" s="33" t="s">
        <v>22</v>
      </c>
    </row>
    <row r="13594" spans="1:11">
      <c r="A13594" s="30" t="s">
        <v>30728</v>
      </c>
      <c r="B13594" s="30" t="s">
        <v>30729</v>
      </c>
      <c r="C13594" s="30" t="s">
        <v>310</v>
      </c>
      <c r="D13594" s="30" t="s">
        <v>17</v>
      </c>
      <c r="E13594" s="30" t="s">
        <v>18</v>
      </c>
      <c r="F13594" s="30" t="s">
        <v>19</v>
      </c>
      <c r="G13594" s="30" t="s">
        <v>20</v>
      </c>
      <c r="H13594" s="32">
        <v>200</v>
      </c>
      <c r="I13594" s="30" t="s">
        <v>21</v>
      </c>
      <c r="J13594" s="41">
        <v>45076</v>
      </c>
      <c r="K13594" s="30" t="s">
        <v>22</v>
      </c>
    </row>
    <row r="13595" spans="1:11">
      <c r="A13595" s="33" t="s">
        <v>30730</v>
      </c>
      <c r="B13595" s="33" t="s">
        <v>30731</v>
      </c>
      <c r="C13595" s="33" t="s">
        <v>149</v>
      </c>
      <c r="D13595" s="33" t="s">
        <v>17</v>
      </c>
      <c r="E13595" s="33" t="s">
        <v>18</v>
      </c>
      <c r="F13595" s="33" t="s">
        <v>19</v>
      </c>
      <c r="G13595" s="33" t="s">
        <v>50</v>
      </c>
      <c r="H13595" s="35">
        <v>117</v>
      </c>
      <c r="I13595" s="33" t="s">
        <v>51</v>
      </c>
      <c r="J13595" s="42">
        <v>44949</v>
      </c>
      <c r="K13595" s="33" t="s">
        <v>22</v>
      </c>
    </row>
    <row r="13596" spans="1:11">
      <c r="A13596" s="30" t="s">
        <v>30732</v>
      </c>
      <c r="B13596" s="30" t="s">
        <v>30733</v>
      </c>
      <c r="C13596" s="30" t="s">
        <v>13039</v>
      </c>
      <c r="D13596" s="30" t="s">
        <v>17</v>
      </c>
      <c r="E13596" s="30" t="s">
        <v>31</v>
      </c>
      <c r="F13596" s="30" t="s">
        <v>32</v>
      </c>
      <c r="G13596" s="30" t="s">
        <v>20</v>
      </c>
      <c r="H13596" s="32">
        <v>34</v>
      </c>
      <c r="I13596" s="30" t="s">
        <v>21</v>
      </c>
      <c r="J13596" s="41">
        <v>44978</v>
      </c>
      <c r="K13596" s="30" t="s">
        <v>22</v>
      </c>
    </row>
    <row r="13597" spans="1:11">
      <c r="A13597" s="33" t="s">
        <v>30734</v>
      </c>
      <c r="B13597" s="33" t="s">
        <v>30735</v>
      </c>
      <c r="C13597" s="33" t="s">
        <v>30736</v>
      </c>
      <c r="D13597" s="33" t="s">
        <v>17</v>
      </c>
      <c r="E13597" s="33" t="s">
        <v>31</v>
      </c>
      <c r="F13597" s="33" t="s">
        <v>32</v>
      </c>
      <c r="G13597" s="33" t="s">
        <v>158</v>
      </c>
      <c r="H13597" s="35">
        <v>23</v>
      </c>
      <c r="I13597" s="33" t="s">
        <v>21</v>
      </c>
      <c r="J13597" s="42">
        <v>45247</v>
      </c>
      <c r="K13597" s="33" t="s">
        <v>22</v>
      </c>
    </row>
    <row r="13598" spans="1:11">
      <c r="A13598" s="30" t="s">
        <v>30737</v>
      </c>
      <c r="B13598" s="30" t="s">
        <v>30738</v>
      </c>
      <c r="C13598" s="30" t="s">
        <v>30739</v>
      </c>
      <c r="D13598" s="30" t="s">
        <v>17</v>
      </c>
      <c r="E13598" s="30" t="s">
        <v>26</v>
      </c>
      <c r="F13598" s="30" t="s">
        <v>27</v>
      </c>
      <c r="G13598" s="30" t="s">
        <v>140</v>
      </c>
      <c r="H13598" s="32">
        <v>150</v>
      </c>
      <c r="I13598" s="30" t="s">
        <v>51</v>
      </c>
      <c r="J13598" s="41">
        <v>45117</v>
      </c>
      <c r="K13598" s="30" t="s">
        <v>22</v>
      </c>
    </row>
    <row r="13599" spans="1:11">
      <c r="A13599" s="33" t="s">
        <v>30740</v>
      </c>
      <c r="B13599" s="33" t="s">
        <v>30741</v>
      </c>
      <c r="C13599" s="33" t="s">
        <v>93</v>
      </c>
      <c r="D13599" s="33" t="s">
        <v>17</v>
      </c>
      <c r="E13599" s="33" t="s">
        <v>18</v>
      </c>
      <c r="F13599" s="33" t="s">
        <v>19</v>
      </c>
      <c r="G13599" s="33" t="s">
        <v>158</v>
      </c>
      <c r="H13599" s="35">
        <v>520</v>
      </c>
      <c r="I13599" s="33" t="s">
        <v>21</v>
      </c>
      <c r="J13599" s="42">
        <v>45000</v>
      </c>
      <c r="K13599" s="33" t="s">
        <v>22</v>
      </c>
    </row>
    <row r="13600" spans="1:11">
      <c r="A13600" s="30" t="s">
        <v>30742</v>
      </c>
      <c r="B13600" s="30" t="s">
        <v>30743</v>
      </c>
      <c r="C13600" s="30" t="s">
        <v>136</v>
      </c>
      <c r="D13600" s="30" t="s">
        <v>17</v>
      </c>
      <c r="E13600" s="30" t="s">
        <v>26</v>
      </c>
      <c r="F13600" s="30" t="s">
        <v>27</v>
      </c>
      <c r="G13600" s="30" t="s">
        <v>106</v>
      </c>
      <c r="H13600" s="32">
        <v>42</v>
      </c>
      <c r="I13600" s="30" t="s">
        <v>21</v>
      </c>
      <c r="J13600" s="41">
        <v>45008</v>
      </c>
      <c r="K13600" s="30" t="s">
        <v>22</v>
      </c>
    </row>
    <row r="13601" spans="1:11">
      <c r="A13601" s="33" t="s">
        <v>30744</v>
      </c>
      <c r="B13601" s="33" t="s">
        <v>30745</v>
      </c>
      <c r="C13601" s="33" t="s">
        <v>30746</v>
      </c>
      <c r="D13601" s="33" t="s">
        <v>17</v>
      </c>
      <c r="E13601" s="33" t="s">
        <v>26</v>
      </c>
      <c r="F13601" s="33" t="s">
        <v>27</v>
      </c>
      <c r="G13601" s="33" t="s">
        <v>20</v>
      </c>
      <c r="H13601" s="35">
        <v>58</v>
      </c>
      <c r="I13601" s="33" t="s">
        <v>21</v>
      </c>
      <c r="J13601" s="42">
        <v>45041</v>
      </c>
      <c r="K13601" s="33" t="s">
        <v>22</v>
      </c>
    </row>
    <row r="13602" spans="1:11">
      <c r="A13602" s="30" t="s">
        <v>30747</v>
      </c>
      <c r="B13602" s="30" t="s">
        <v>30748</v>
      </c>
      <c r="C13602" s="30" t="s">
        <v>178</v>
      </c>
      <c r="D13602" s="30" t="s">
        <v>17</v>
      </c>
      <c r="E13602" s="30" t="s">
        <v>18</v>
      </c>
      <c r="F13602" s="30" t="s">
        <v>19</v>
      </c>
      <c r="G13602" s="30" t="s">
        <v>140</v>
      </c>
      <c r="H13602" s="32">
        <v>100</v>
      </c>
      <c r="I13602" s="30" t="s">
        <v>51</v>
      </c>
      <c r="J13602" s="41">
        <v>45078</v>
      </c>
      <c r="K13602" s="30" t="s">
        <v>22</v>
      </c>
    </row>
    <row r="13603" spans="1:11">
      <c r="A13603" s="33" t="s">
        <v>30749</v>
      </c>
      <c r="B13603" s="33" t="s">
        <v>30750</v>
      </c>
      <c r="C13603" s="33" t="s">
        <v>644</v>
      </c>
      <c r="D13603" s="33" t="s">
        <v>17</v>
      </c>
      <c r="E13603" s="33" t="s">
        <v>67</v>
      </c>
      <c r="F13603" s="33" t="s">
        <v>68</v>
      </c>
      <c r="G13603" s="33" t="s">
        <v>50</v>
      </c>
      <c r="H13603" s="35">
        <v>82</v>
      </c>
      <c r="I13603" s="33" t="s">
        <v>51</v>
      </c>
      <c r="J13603" s="42">
        <v>45126</v>
      </c>
      <c r="K13603" s="33" t="s">
        <v>22</v>
      </c>
    </row>
    <row r="13604" spans="1:11">
      <c r="A13604" s="30" t="s">
        <v>30751</v>
      </c>
      <c r="B13604" s="30" t="s">
        <v>30752</v>
      </c>
      <c r="C13604" s="30" t="s">
        <v>30753</v>
      </c>
      <c r="D13604" s="30" t="s">
        <v>17</v>
      </c>
      <c r="E13604" s="30" t="s">
        <v>26</v>
      </c>
      <c r="F13604" s="30" t="s">
        <v>27</v>
      </c>
      <c r="G13604" s="30" t="s">
        <v>158</v>
      </c>
      <c r="H13604" s="32">
        <v>54</v>
      </c>
      <c r="I13604" s="30" t="s">
        <v>51</v>
      </c>
      <c r="J13604" s="41">
        <v>45273</v>
      </c>
      <c r="K13604" s="30" t="s">
        <v>22</v>
      </c>
    </row>
    <row r="13605" spans="1:11">
      <c r="A13605" s="33" t="s">
        <v>30754</v>
      </c>
      <c r="B13605" s="33" t="s">
        <v>30755</v>
      </c>
      <c r="C13605" s="33" t="s">
        <v>178</v>
      </c>
      <c r="D13605" s="33" t="s">
        <v>17</v>
      </c>
      <c r="E13605" s="33" t="s">
        <v>26</v>
      </c>
      <c r="F13605" s="33" t="s">
        <v>27</v>
      </c>
      <c r="G13605" s="33" t="s">
        <v>106</v>
      </c>
      <c r="H13605" s="35">
        <v>60</v>
      </c>
      <c r="I13605" s="33" t="s">
        <v>21</v>
      </c>
      <c r="J13605" s="42">
        <v>45044</v>
      </c>
      <c r="K13605" s="33" t="s">
        <v>22</v>
      </c>
    </row>
    <row r="13606" spans="1:11">
      <c r="A13606" s="30" t="s">
        <v>30756</v>
      </c>
      <c r="B13606" s="30" t="s">
        <v>30757</v>
      </c>
      <c r="C13606" s="30" t="s">
        <v>13241</v>
      </c>
      <c r="D13606" s="30" t="s">
        <v>17</v>
      </c>
      <c r="E13606" s="30" t="s">
        <v>31</v>
      </c>
      <c r="F13606" s="30" t="s">
        <v>32</v>
      </c>
      <c r="G13606" s="30" t="s">
        <v>50</v>
      </c>
      <c r="H13606" s="32">
        <v>96</v>
      </c>
      <c r="I13606" s="30" t="s">
        <v>51</v>
      </c>
      <c r="J13606" s="41">
        <v>44978</v>
      </c>
      <c r="K13606" s="30" t="s">
        <v>22</v>
      </c>
    </row>
    <row r="13607" spans="1:11">
      <c r="A13607" s="33" t="s">
        <v>30758</v>
      </c>
      <c r="B13607" s="33" t="s">
        <v>30759</v>
      </c>
      <c r="C13607" s="33" t="s">
        <v>30760</v>
      </c>
      <c r="D13607" s="33" t="s">
        <v>17</v>
      </c>
      <c r="E13607" s="33" t="s">
        <v>31</v>
      </c>
      <c r="F13607" s="33" t="s">
        <v>32</v>
      </c>
      <c r="G13607" s="33" t="s">
        <v>106</v>
      </c>
      <c r="H13607" s="35">
        <v>46</v>
      </c>
      <c r="I13607" s="33" t="s">
        <v>21</v>
      </c>
      <c r="J13607" s="42">
        <v>45187</v>
      </c>
      <c r="K13607" s="33" t="s">
        <v>22</v>
      </c>
    </row>
    <row r="13608" spans="1:11">
      <c r="A13608" s="30" t="s">
        <v>30761</v>
      </c>
      <c r="B13608" s="30" t="s">
        <v>30762</v>
      </c>
      <c r="C13608" s="30" t="s">
        <v>30763</v>
      </c>
      <c r="D13608" s="30" t="s">
        <v>17</v>
      </c>
      <c r="E13608" s="30" t="s">
        <v>26</v>
      </c>
      <c r="F13608" s="30" t="s">
        <v>27</v>
      </c>
      <c r="G13608" s="30" t="s">
        <v>140</v>
      </c>
      <c r="H13608" s="32">
        <v>241</v>
      </c>
      <c r="I13608" s="30" t="s">
        <v>51</v>
      </c>
      <c r="J13608" s="41">
        <v>44972</v>
      </c>
      <c r="K13608" s="30" t="s">
        <v>22</v>
      </c>
    </row>
    <row r="13609" spans="1:11">
      <c r="A13609" s="33" t="s">
        <v>30764</v>
      </c>
      <c r="B13609" s="33" t="s">
        <v>30765</v>
      </c>
      <c r="C13609" s="33" t="s">
        <v>17466</v>
      </c>
      <c r="D13609" s="33" t="s">
        <v>17</v>
      </c>
      <c r="E13609" s="33" t="s">
        <v>31</v>
      </c>
      <c r="F13609" s="33" t="s">
        <v>32</v>
      </c>
      <c r="G13609" s="33" t="s">
        <v>50</v>
      </c>
      <c r="H13609" s="35">
        <v>300</v>
      </c>
      <c r="I13609" s="33" t="s">
        <v>51</v>
      </c>
      <c r="J13609" s="42">
        <v>45114</v>
      </c>
      <c r="K13609" s="33" t="s">
        <v>22</v>
      </c>
    </row>
    <row r="13610" spans="1:11">
      <c r="A13610" s="30" t="s">
        <v>30766</v>
      </c>
      <c r="B13610" s="30" t="s">
        <v>30767</v>
      </c>
      <c r="C13610" s="30" t="s">
        <v>15999</v>
      </c>
      <c r="D13610" s="30" t="s">
        <v>17</v>
      </c>
      <c r="E13610" s="30" t="s">
        <v>31</v>
      </c>
      <c r="F13610" s="30" t="s">
        <v>32</v>
      </c>
      <c r="G13610" s="30" t="s">
        <v>20</v>
      </c>
      <c r="H13610" s="32">
        <v>136</v>
      </c>
      <c r="I13610" s="30" t="s">
        <v>21</v>
      </c>
      <c r="J13610" s="41">
        <v>45020</v>
      </c>
      <c r="K13610" s="30" t="s">
        <v>22</v>
      </c>
    </row>
    <row r="13611" spans="1:11">
      <c r="A13611" s="33" t="s">
        <v>30768</v>
      </c>
      <c r="B13611" s="33" t="s">
        <v>30769</v>
      </c>
      <c r="C13611" s="33" t="s">
        <v>178</v>
      </c>
      <c r="D13611" s="33" t="s">
        <v>17</v>
      </c>
      <c r="E13611" s="33" t="s">
        <v>31</v>
      </c>
      <c r="F13611" s="33" t="s">
        <v>32</v>
      </c>
      <c r="G13611" s="33" t="s">
        <v>20</v>
      </c>
      <c r="H13611" s="35">
        <v>48</v>
      </c>
      <c r="I13611" s="33" t="s">
        <v>21</v>
      </c>
      <c r="J13611" s="42">
        <v>45134</v>
      </c>
      <c r="K13611" s="33" t="s">
        <v>22</v>
      </c>
    </row>
    <row r="13612" spans="1:11">
      <c r="A13612" s="30" t="s">
        <v>30770</v>
      </c>
      <c r="B13612" s="30" t="s">
        <v>30771</v>
      </c>
      <c r="C13612" s="30" t="s">
        <v>698</v>
      </c>
      <c r="D13612" s="30" t="s">
        <v>17</v>
      </c>
      <c r="E13612" s="30" t="s">
        <v>18</v>
      </c>
      <c r="F13612" s="30" t="s">
        <v>19</v>
      </c>
      <c r="G13612" s="30" t="s">
        <v>140</v>
      </c>
      <c r="H13612" s="32">
        <v>880</v>
      </c>
      <c r="I13612" s="30" t="s">
        <v>51</v>
      </c>
      <c r="J13612" s="41">
        <v>45130</v>
      </c>
      <c r="K13612" s="30" t="s">
        <v>22</v>
      </c>
    </row>
    <row r="13613" spans="1:11">
      <c r="A13613" s="33" t="s">
        <v>30772</v>
      </c>
      <c r="B13613" s="33" t="s">
        <v>30773</v>
      </c>
      <c r="C13613" s="33" t="s">
        <v>7015</v>
      </c>
      <c r="D13613" s="33" t="s">
        <v>17</v>
      </c>
      <c r="E13613" s="33" t="s">
        <v>18</v>
      </c>
      <c r="F13613" s="33" t="s">
        <v>19</v>
      </c>
      <c r="G13613" s="33" t="s">
        <v>20</v>
      </c>
      <c r="H13613" s="35">
        <v>143</v>
      </c>
      <c r="I13613" s="33" t="s">
        <v>21</v>
      </c>
      <c r="J13613" s="42">
        <v>45176</v>
      </c>
      <c r="K13613" s="33" t="s">
        <v>22</v>
      </c>
    </row>
    <row r="13614" spans="1:11">
      <c r="A13614" s="30" t="s">
        <v>30774</v>
      </c>
      <c r="B13614" s="30" t="s">
        <v>30775</v>
      </c>
      <c r="C13614" s="30" t="s">
        <v>5246</v>
      </c>
      <c r="D13614" s="30" t="s">
        <v>17</v>
      </c>
      <c r="E13614" s="30" t="s">
        <v>26</v>
      </c>
      <c r="F13614" s="30" t="s">
        <v>27</v>
      </c>
      <c r="G13614" s="30" t="s">
        <v>20</v>
      </c>
      <c r="H13614" s="32">
        <v>16</v>
      </c>
      <c r="I13614" s="30" t="s">
        <v>21</v>
      </c>
      <c r="J13614" s="41">
        <v>45195</v>
      </c>
      <c r="K13614" s="30" t="s">
        <v>22</v>
      </c>
    </row>
    <row r="13615" spans="1:11">
      <c r="A13615" s="33" t="s">
        <v>30776</v>
      </c>
      <c r="B13615" s="33" t="s">
        <v>30777</v>
      </c>
      <c r="C13615" s="33" t="s">
        <v>109</v>
      </c>
      <c r="D13615" s="33" t="s">
        <v>17</v>
      </c>
      <c r="E13615" s="33" t="s">
        <v>26</v>
      </c>
      <c r="F13615" s="33" t="s">
        <v>27</v>
      </c>
      <c r="G13615" s="33" t="s">
        <v>158</v>
      </c>
      <c r="H13615" s="35">
        <v>62</v>
      </c>
      <c r="I13615" s="33" t="s">
        <v>21</v>
      </c>
      <c r="J13615" s="42">
        <v>45054</v>
      </c>
      <c r="K13615" s="33" t="s">
        <v>22</v>
      </c>
    </row>
    <row r="13616" spans="1:11">
      <c r="A13616" s="30" t="s">
        <v>30778</v>
      </c>
      <c r="B13616" s="30" t="s">
        <v>30779</v>
      </c>
      <c r="C13616" s="30" t="s">
        <v>10009</v>
      </c>
      <c r="D13616" s="30" t="s">
        <v>17</v>
      </c>
      <c r="E13616" s="30" t="s">
        <v>18</v>
      </c>
      <c r="F13616" s="30" t="s">
        <v>19</v>
      </c>
      <c r="G13616" s="30" t="s">
        <v>106</v>
      </c>
      <c r="H13616" s="32">
        <v>117</v>
      </c>
      <c r="I13616" s="30" t="s">
        <v>21</v>
      </c>
      <c r="J13616" s="41">
        <v>45278</v>
      </c>
      <c r="K13616" s="30" t="s">
        <v>22</v>
      </c>
    </row>
    <row r="13617" spans="1:11">
      <c r="A13617" s="33" t="s">
        <v>30780</v>
      </c>
      <c r="B13617" s="33" t="s">
        <v>30781</v>
      </c>
      <c r="C13617" s="33" t="s">
        <v>6814</v>
      </c>
      <c r="D13617" s="33" t="s">
        <v>17</v>
      </c>
      <c r="E13617" s="33" t="s">
        <v>212</v>
      </c>
      <c r="F13617" s="33" t="s">
        <v>213</v>
      </c>
      <c r="G13617" s="33" t="s">
        <v>140</v>
      </c>
      <c r="H13617" s="35">
        <v>150</v>
      </c>
      <c r="I13617" s="33" t="s">
        <v>51</v>
      </c>
      <c r="J13617" s="42">
        <v>45183</v>
      </c>
      <c r="K13617" s="33" t="s">
        <v>22</v>
      </c>
    </row>
    <row r="13618" spans="1:11">
      <c r="A13618" s="30" t="s">
        <v>30782</v>
      </c>
      <c r="B13618" s="30" t="s">
        <v>30783</v>
      </c>
      <c r="C13618" s="30" t="s">
        <v>6814</v>
      </c>
      <c r="D13618" s="30" t="s">
        <v>17</v>
      </c>
      <c r="E13618" s="30" t="s">
        <v>18</v>
      </c>
      <c r="F13618" s="30" t="s">
        <v>19</v>
      </c>
      <c r="G13618" s="30" t="s">
        <v>50</v>
      </c>
      <c r="H13618" s="32">
        <v>60</v>
      </c>
      <c r="I13618" s="30" t="s">
        <v>21</v>
      </c>
      <c r="J13618" s="41">
        <v>45180</v>
      </c>
      <c r="K13618" s="30" t="s">
        <v>22</v>
      </c>
    </row>
    <row r="13619" spans="1:11">
      <c r="A13619" s="33" t="s">
        <v>30784</v>
      </c>
      <c r="B13619" s="33" t="s">
        <v>30785</v>
      </c>
      <c r="C13619" s="33" t="s">
        <v>1923</v>
      </c>
      <c r="D13619" s="33" t="s">
        <v>17</v>
      </c>
      <c r="E13619" s="33" t="s">
        <v>18</v>
      </c>
      <c r="F13619" s="33" t="s">
        <v>19</v>
      </c>
      <c r="G13619" s="33" t="s">
        <v>50</v>
      </c>
      <c r="H13619" s="35">
        <v>1800</v>
      </c>
      <c r="I13619" s="33" t="s">
        <v>51</v>
      </c>
      <c r="J13619" s="42">
        <v>44961</v>
      </c>
      <c r="K13619" s="33" t="s">
        <v>22</v>
      </c>
    </row>
    <row r="13620" spans="1:11">
      <c r="A13620" s="30" t="s">
        <v>30786</v>
      </c>
      <c r="B13620" s="30" t="s">
        <v>30787</v>
      </c>
      <c r="C13620" s="30" t="s">
        <v>1683</v>
      </c>
      <c r="D13620" s="30" t="s">
        <v>17</v>
      </c>
      <c r="E13620" s="30" t="s">
        <v>26</v>
      </c>
      <c r="F13620" s="30" t="s">
        <v>27</v>
      </c>
      <c r="G13620" s="30" t="s">
        <v>106</v>
      </c>
      <c r="H13620" s="32">
        <v>2</v>
      </c>
      <c r="I13620" s="30" t="s">
        <v>21</v>
      </c>
      <c r="J13620" s="41">
        <v>45068</v>
      </c>
      <c r="K13620" s="30" t="s">
        <v>22</v>
      </c>
    </row>
    <row r="13621" spans="1:11">
      <c r="A13621" s="33" t="s">
        <v>30788</v>
      </c>
      <c r="B13621" s="33" t="s">
        <v>30789</v>
      </c>
      <c r="C13621" s="33" t="s">
        <v>3451</v>
      </c>
      <c r="D13621" s="33" t="s">
        <v>17</v>
      </c>
      <c r="E13621" s="33" t="s">
        <v>26</v>
      </c>
      <c r="F13621" s="33" t="s">
        <v>27</v>
      </c>
      <c r="G13621" s="33" t="s">
        <v>20</v>
      </c>
      <c r="H13621" s="35">
        <v>16</v>
      </c>
      <c r="I13621" s="33" t="s">
        <v>21</v>
      </c>
      <c r="J13621" s="42">
        <v>45041</v>
      </c>
      <c r="K13621" s="33" t="s">
        <v>22</v>
      </c>
    </row>
    <row r="13622" spans="1:11">
      <c r="A13622" s="30" t="s">
        <v>30790</v>
      </c>
      <c r="B13622" s="30" t="s">
        <v>30791</v>
      </c>
      <c r="C13622" s="30" t="s">
        <v>647</v>
      </c>
      <c r="D13622" s="30" t="s">
        <v>17</v>
      </c>
      <c r="E13622" s="30" t="s">
        <v>26</v>
      </c>
      <c r="F13622" s="30" t="s">
        <v>27</v>
      </c>
      <c r="G13622" s="30" t="s">
        <v>20</v>
      </c>
      <c r="H13622" s="32">
        <v>12</v>
      </c>
      <c r="I13622" s="30" t="s">
        <v>21</v>
      </c>
      <c r="J13622" s="41">
        <v>45194</v>
      </c>
      <c r="K13622" s="30" t="s">
        <v>22</v>
      </c>
    </row>
    <row r="13623" spans="1:11">
      <c r="A13623" s="33" t="s">
        <v>30792</v>
      </c>
      <c r="B13623" s="33" t="s">
        <v>30793</v>
      </c>
      <c r="C13623" s="33" t="s">
        <v>22992</v>
      </c>
      <c r="D13623" s="33" t="s">
        <v>17</v>
      </c>
      <c r="E13623" s="33" t="s">
        <v>67</v>
      </c>
      <c r="F13623" s="33" t="s">
        <v>68</v>
      </c>
      <c r="G13623" s="33" t="s">
        <v>140</v>
      </c>
      <c r="H13623" s="35">
        <v>15</v>
      </c>
      <c r="I13623" s="33" t="s">
        <v>51</v>
      </c>
      <c r="J13623" s="42">
        <v>45237</v>
      </c>
      <c r="K13623" s="33" t="s">
        <v>22</v>
      </c>
    </row>
    <row r="13624" spans="1:11">
      <c r="A13624" s="30" t="s">
        <v>30794</v>
      </c>
      <c r="B13624" s="30" t="s">
        <v>30795</v>
      </c>
      <c r="C13624" s="30" t="s">
        <v>822</v>
      </c>
      <c r="D13624" s="30" t="s">
        <v>17</v>
      </c>
      <c r="E13624" s="30" t="s">
        <v>18</v>
      </c>
      <c r="F13624" s="30" t="s">
        <v>19</v>
      </c>
      <c r="G13624" s="30" t="s">
        <v>20</v>
      </c>
      <c r="H13624" s="32">
        <v>266</v>
      </c>
      <c r="I13624" s="30" t="s">
        <v>21</v>
      </c>
      <c r="J13624" s="41">
        <v>44998</v>
      </c>
      <c r="K13624" s="30" t="s">
        <v>22</v>
      </c>
    </row>
    <row r="13625" spans="1:11">
      <c r="A13625" s="33" t="s">
        <v>30796</v>
      </c>
      <c r="B13625" s="33" t="s">
        <v>30797</v>
      </c>
      <c r="C13625" s="33" t="s">
        <v>8350</v>
      </c>
      <c r="D13625" s="33" t="s">
        <v>17</v>
      </c>
      <c r="E13625" s="33" t="s">
        <v>31</v>
      </c>
      <c r="F13625" s="33" t="s">
        <v>32</v>
      </c>
      <c r="G13625" s="33" t="s">
        <v>20</v>
      </c>
      <c r="H13625" s="35">
        <v>35</v>
      </c>
      <c r="I13625" s="33" t="s">
        <v>21</v>
      </c>
      <c r="J13625" s="42">
        <v>45196</v>
      </c>
      <c r="K13625" s="33" t="s">
        <v>22</v>
      </c>
    </row>
    <row r="13626" spans="1:11">
      <c r="A13626" s="30" t="s">
        <v>30798</v>
      </c>
      <c r="B13626" s="30" t="s">
        <v>30799</v>
      </c>
      <c r="C13626" s="30" t="s">
        <v>7015</v>
      </c>
      <c r="D13626" s="30" t="s">
        <v>17</v>
      </c>
      <c r="E13626" s="30" t="s">
        <v>212</v>
      </c>
      <c r="F13626" s="30" t="s">
        <v>213</v>
      </c>
      <c r="G13626" s="30" t="s">
        <v>20</v>
      </c>
      <c r="H13626" s="32">
        <v>292</v>
      </c>
      <c r="I13626" s="30" t="s">
        <v>21</v>
      </c>
      <c r="J13626" s="41">
        <v>44966</v>
      </c>
      <c r="K13626" s="30" t="s">
        <v>22</v>
      </c>
    </row>
    <row r="13627" spans="1:11">
      <c r="A13627" s="33" t="s">
        <v>30800</v>
      </c>
      <c r="B13627" s="33" t="s">
        <v>30801</v>
      </c>
      <c r="C13627" s="33" t="s">
        <v>5251</v>
      </c>
      <c r="D13627" s="33" t="s">
        <v>17</v>
      </c>
      <c r="E13627" s="33" t="s">
        <v>31</v>
      </c>
      <c r="F13627" s="33" t="s">
        <v>32</v>
      </c>
      <c r="G13627" s="33" t="s">
        <v>50</v>
      </c>
      <c r="H13627" s="35">
        <v>90</v>
      </c>
      <c r="I13627" s="33" t="s">
        <v>51</v>
      </c>
      <c r="J13627" s="42">
        <v>45107</v>
      </c>
      <c r="K13627" s="33" t="s">
        <v>22</v>
      </c>
    </row>
    <row r="13628" spans="1:11">
      <c r="A13628" s="30" t="s">
        <v>30802</v>
      </c>
      <c r="B13628" s="30" t="s">
        <v>30803</v>
      </c>
      <c r="C13628" s="30" t="s">
        <v>27922</v>
      </c>
      <c r="D13628" s="30" t="s">
        <v>17</v>
      </c>
      <c r="E13628" s="30" t="s">
        <v>31</v>
      </c>
      <c r="F13628" s="30" t="s">
        <v>32</v>
      </c>
      <c r="G13628" s="30" t="s">
        <v>106</v>
      </c>
      <c r="H13628" s="32">
        <v>37</v>
      </c>
      <c r="I13628" s="30" t="s">
        <v>21</v>
      </c>
      <c r="J13628" s="41">
        <v>45288</v>
      </c>
      <c r="K13628" s="30" t="s">
        <v>22</v>
      </c>
    </row>
    <row r="13629" spans="1:11">
      <c r="A13629" s="33" t="s">
        <v>30804</v>
      </c>
      <c r="B13629" s="33" t="s">
        <v>30805</v>
      </c>
      <c r="C13629" s="33" t="s">
        <v>18774</v>
      </c>
      <c r="D13629" s="33" t="s">
        <v>17</v>
      </c>
      <c r="E13629" s="33" t="s">
        <v>67</v>
      </c>
      <c r="F13629" s="33" t="s">
        <v>68</v>
      </c>
      <c r="G13629" s="33" t="s">
        <v>158</v>
      </c>
      <c r="H13629" s="35">
        <v>18</v>
      </c>
      <c r="I13629" s="33" t="s">
        <v>21</v>
      </c>
      <c r="J13629" s="42">
        <v>45079</v>
      </c>
      <c r="K13629" s="33" t="s">
        <v>22</v>
      </c>
    </row>
    <row r="13630" spans="1:11">
      <c r="A13630" s="30" t="s">
        <v>30806</v>
      </c>
      <c r="B13630" s="30" t="s">
        <v>30807</v>
      </c>
      <c r="C13630" s="30" t="s">
        <v>9875</v>
      </c>
      <c r="D13630" s="30" t="s">
        <v>17</v>
      </c>
      <c r="E13630" s="30" t="s">
        <v>67</v>
      </c>
      <c r="F13630" s="30" t="s">
        <v>68</v>
      </c>
      <c r="G13630" s="30" t="s">
        <v>50</v>
      </c>
      <c r="H13630" s="32">
        <v>68</v>
      </c>
      <c r="I13630" s="30" t="s">
        <v>51</v>
      </c>
      <c r="J13630" s="41">
        <v>45113</v>
      </c>
      <c r="K13630" s="30" t="s">
        <v>22</v>
      </c>
    </row>
    <row r="13631" spans="1:11">
      <c r="A13631" s="33" t="s">
        <v>30808</v>
      </c>
      <c r="B13631" s="33" t="s">
        <v>30809</v>
      </c>
      <c r="C13631" s="33" t="s">
        <v>30810</v>
      </c>
      <c r="D13631" s="33" t="s">
        <v>17</v>
      </c>
      <c r="E13631" s="33" t="s">
        <v>26</v>
      </c>
      <c r="F13631" s="33" t="s">
        <v>27</v>
      </c>
      <c r="G13631" s="33" t="s">
        <v>20</v>
      </c>
      <c r="H13631" s="35">
        <v>64</v>
      </c>
      <c r="I13631" s="33" t="s">
        <v>21</v>
      </c>
      <c r="J13631" s="42">
        <v>45027</v>
      </c>
      <c r="K13631" s="33" t="s">
        <v>22</v>
      </c>
    </row>
    <row r="13632" spans="1:11">
      <c r="A13632" s="30" t="s">
        <v>30811</v>
      </c>
      <c r="B13632" s="30" t="s">
        <v>30812</v>
      </c>
      <c r="C13632" s="30" t="s">
        <v>7749</v>
      </c>
      <c r="D13632" s="30" t="s">
        <v>17</v>
      </c>
      <c r="E13632" s="30" t="s">
        <v>26</v>
      </c>
      <c r="F13632" s="30" t="s">
        <v>27</v>
      </c>
      <c r="G13632" s="30" t="s">
        <v>69</v>
      </c>
      <c r="H13632" s="32">
        <v>36</v>
      </c>
      <c r="I13632" s="30" t="s">
        <v>51</v>
      </c>
      <c r="J13632" s="41">
        <v>45108</v>
      </c>
      <c r="K13632" s="30" t="s">
        <v>22</v>
      </c>
    </row>
    <row r="13633" spans="1:11">
      <c r="A13633" s="33" t="s">
        <v>30813</v>
      </c>
      <c r="B13633" s="33" t="s">
        <v>30814</v>
      </c>
      <c r="C13633" s="33" t="s">
        <v>6205</v>
      </c>
      <c r="D13633" s="33" t="s">
        <v>17</v>
      </c>
      <c r="E13633" s="33" t="s">
        <v>26</v>
      </c>
      <c r="F13633" s="33" t="s">
        <v>27</v>
      </c>
      <c r="G13633" s="33" t="s">
        <v>50</v>
      </c>
      <c r="H13633" s="35">
        <v>40</v>
      </c>
      <c r="I13633" s="33" t="s">
        <v>51</v>
      </c>
      <c r="J13633" s="42">
        <v>45092</v>
      </c>
      <c r="K13633" s="33" t="s">
        <v>22</v>
      </c>
    </row>
    <row r="13634" spans="1:11">
      <c r="A13634" s="30" t="s">
        <v>30815</v>
      </c>
      <c r="B13634" s="30" t="s">
        <v>30816</v>
      </c>
      <c r="C13634" s="30" t="s">
        <v>78</v>
      </c>
      <c r="D13634" s="30" t="s">
        <v>17</v>
      </c>
      <c r="E13634" s="30" t="s">
        <v>26</v>
      </c>
      <c r="F13634" s="30" t="s">
        <v>27</v>
      </c>
      <c r="G13634" s="30" t="s">
        <v>20</v>
      </c>
      <c r="H13634" s="32">
        <v>32</v>
      </c>
      <c r="I13634" s="30" t="s">
        <v>21</v>
      </c>
      <c r="J13634" s="41">
        <v>45072</v>
      </c>
      <c r="K13634" s="30" t="s">
        <v>22</v>
      </c>
    </row>
    <row r="13635" spans="1:11">
      <c r="A13635" s="33" t="s">
        <v>30817</v>
      </c>
      <c r="B13635" s="33" t="s">
        <v>30818</v>
      </c>
      <c r="C13635" s="33" t="s">
        <v>20147</v>
      </c>
      <c r="D13635" s="33" t="s">
        <v>17</v>
      </c>
      <c r="E13635" s="33" t="s">
        <v>67</v>
      </c>
      <c r="F13635" s="33" t="s">
        <v>68</v>
      </c>
      <c r="G13635" s="33" t="s">
        <v>20</v>
      </c>
      <c r="H13635" s="35">
        <v>29</v>
      </c>
      <c r="I13635" s="33" t="s">
        <v>21</v>
      </c>
      <c r="J13635" s="42">
        <v>44978</v>
      </c>
      <c r="K13635" s="33" t="s">
        <v>22</v>
      </c>
    </row>
    <row r="13636" spans="1:11">
      <c r="A13636" s="30" t="s">
        <v>30819</v>
      </c>
      <c r="B13636" s="30" t="s">
        <v>30820</v>
      </c>
      <c r="C13636" s="30" t="s">
        <v>24294</v>
      </c>
      <c r="D13636" s="30" t="s">
        <v>17</v>
      </c>
      <c r="E13636" s="30" t="s">
        <v>26</v>
      </c>
      <c r="F13636" s="30" t="s">
        <v>27</v>
      </c>
      <c r="G13636" s="30" t="s">
        <v>20</v>
      </c>
      <c r="H13636" s="32">
        <v>79</v>
      </c>
      <c r="I13636" s="30" t="s">
        <v>21</v>
      </c>
      <c r="J13636" s="41">
        <v>45238</v>
      </c>
      <c r="K13636" s="30" t="s">
        <v>22</v>
      </c>
    </row>
    <row r="13637" spans="1:11">
      <c r="A13637" s="33" t="s">
        <v>30821</v>
      </c>
      <c r="B13637" s="33" t="s">
        <v>30822</v>
      </c>
      <c r="C13637" s="33" t="s">
        <v>969</v>
      </c>
      <c r="D13637" s="33" t="s">
        <v>17</v>
      </c>
      <c r="E13637" s="33" t="s">
        <v>31</v>
      </c>
      <c r="F13637" s="33" t="s">
        <v>32</v>
      </c>
      <c r="G13637" s="33" t="s">
        <v>20</v>
      </c>
      <c r="H13637" s="35">
        <v>692</v>
      </c>
      <c r="I13637" s="33" t="s">
        <v>21</v>
      </c>
      <c r="J13637" s="42">
        <v>45139</v>
      </c>
      <c r="K13637" s="33" t="s">
        <v>22</v>
      </c>
    </row>
    <row r="13638" spans="1:11">
      <c r="A13638" s="30" t="s">
        <v>30823</v>
      </c>
      <c r="B13638" s="30" t="s">
        <v>30824</v>
      </c>
      <c r="C13638" s="30" t="s">
        <v>187</v>
      </c>
      <c r="D13638" s="30" t="s">
        <v>17</v>
      </c>
      <c r="E13638" s="30" t="s">
        <v>31</v>
      </c>
      <c r="F13638" s="30" t="s">
        <v>32</v>
      </c>
      <c r="G13638" s="30" t="s">
        <v>20</v>
      </c>
      <c r="H13638" s="32">
        <v>29</v>
      </c>
      <c r="I13638" s="30" t="s">
        <v>21</v>
      </c>
      <c r="J13638" s="41">
        <v>44972</v>
      </c>
      <c r="K13638" s="30" t="s">
        <v>22</v>
      </c>
    </row>
    <row r="13639" spans="1:11">
      <c r="A13639" s="33" t="s">
        <v>30825</v>
      </c>
      <c r="B13639" s="33" t="s">
        <v>30826</v>
      </c>
      <c r="C13639" s="33" t="s">
        <v>27211</v>
      </c>
      <c r="D13639" s="33" t="s">
        <v>17</v>
      </c>
      <c r="E13639" s="33" t="s">
        <v>26</v>
      </c>
      <c r="F13639" s="33" t="s">
        <v>27</v>
      </c>
      <c r="G13639" s="33" t="s">
        <v>7780</v>
      </c>
      <c r="H13639" s="35">
        <v>18</v>
      </c>
      <c r="I13639" s="33" t="s">
        <v>51</v>
      </c>
      <c r="J13639" s="42">
        <v>45047</v>
      </c>
      <c r="K13639" s="33" t="s">
        <v>22</v>
      </c>
    </row>
    <row r="13640" spans="1:11">
      <c r="A13640" s="30" t="s">
        <v>30827</v>
      </c>
      <c r="B13640" s="30" t="s">
        <v>30828</v>
      </c>
      <c r="C13640" s="30" t="s">
        <v>15596</v>
      </c>
      <c r="D13640" s="30" t="s">
        <v>17</v>
      </c>
      <c r="E13640" s="30" t="s">
        <v>18</v>
      </c>
      <c r="F13640" s="30" t="s">
        <v>19</v>
      </c>
      <c r="G13640" s="30" t="s">
        <v>112</v>
      </c>
      <c r="H13640" s="32">
        <v>0</v>
      </c>
      <c r="I13640" s="30" t="s">
        <v>21</v>
      </c>
      <c r="J13640" s="41">
        <v>45015</v>
      </c>
      <c r="K13640" s="30" t="s">
        <v>22</v>
      </c>
    </row>
    <row r="13641" spans="1:11">
      <c r="A13641" s="33" t="s">
        <v>30829</v>
      </c>
      <c r="B13641" s="33" t="s">
        <v>30830</v>
      </c>
      <c r="C13641" s="33" t="s">
        <v>10046</v>
      </c>
      <c r="D13641" s="33" t="s">
        <v>17</v>
      </c>
      <c r="E13641" s="33" t="s">
        <v>31</v>
      </c>
      <c r="F13641" s="33" t="s">
        <v>32</v>
      </c>
      <c r="G13641" s="33" t="s">
        <v>50</v>
      </c>
      <c r="H13641" s="35">
        <v>60</v>
      </c>
      <c r="I13641" s="33" t="s">
        <v>51</v>
      </c>
      <c r="J13641" s="42">
        <v>45236</v>
      </c>
      <c r="K13641" s="33" t="s">
        <v>22</v>
      </c>
    </row>
    <row r="13642" spans="1:11">
      <c r="A13642" s="30" t="s">
        <v>30831</v>
      </c>
      <c r="B13642" s="30" t="s">
        <v>30832</v>
      </c>
      <c r="C13642" s="30" t="s">
        <v>1801</v>
      </c>
      <c r="D13642" s="30" t="s">
        <v>17</v>
      </c>
      <c r="E13642" s="30" t="s">
        <v>26</v>
      </c>
      <c r="F13642" s="30" t="s">
        <v>27</v>
      </c>
      <c r="G13642" s="30" t="s">
        <v>20</v>
      </c>
      <c r="H13642" s="32">
        <v>32</v>
      </c>
      <c r="I13642" s="30" t="s">
        <v>21</v>
      </c>
      <c r="J13642" s="41">
        <v>45173</v>
      </c>
      <c r="K13642" s="30" t="s">
        <v>22</v>
      </c>
    </row>
    <row r="13643" spans="1:11">
      <c r="A13643" s="33" t="s">
        <v>30833</v>
      </c>
      <c r="B13643" s="33" t="s">
        <v>30834</v>
      </c>
      <c r="C13643" s="33" t="s">
        <v>2660</v>
      </c>
      <c r="D13643" s="33" t="s">
        <v>17</v>
      </c>
      <c r="E13643" s="33" t="s">
        <v>18</v>
      </c>
      <c r="F13643" s="33" t="s">
        <v>19</v>
      </c>
      <c r="G13643" s="33" t="s">
        <v>20</v>
      </c>
      <c r="H13643" s="35">
        <v>9</v>
      </c>
      <c r="I13643" s="33" t="s">
        <v>21</v>
      </c>
      <c r="J13643" s="42">
        <v>45144</v>
      </c>
      <c r="K13643" s="33" t="s">
        <v>22</v>
      </c>
    </row>
    <row r="13644" spans="1:11">
      <c r="A13644" s="30" t="s">
        <v>30835</v>
      </c>
      <c r="B13644" s="30" t="s">
        <v>30836</v>
      </c>
      <c r="C13644" s="30" t="s">
        <v>5251</v>
      </c>
      <c r="D13644" s="30" t="s">
        <v>17</v>
      </c>
      <c r="E13644" s="30" t="s">
        <v>18</v>
      </c>
      <c r="F13644" s="30" t="s">
        <v>19</v>
      </c>
      <c r="G13644" s="30" t="s">
        <v>20</v>
      </c>
      <c r="H13644" s="32">
        <v>458</v>
      </c>
      <c r="I13644" s="30" t="s">
        <v>21</v>
      </c>
      <c r="J13644" s="41">
        <v>44933</v>
      </c>
      <c r="K13644" s="30" t="s">
        <v>22</v>
      </c>
    </row>
    <row r="13645" spans="1:11">
      <c r="A13645" s="33" t="s">
        <v>30837</v>
      </c>
      <c r="B13645" s="33" t="s">
        <v>30838</v>
      </c>
      <c r="C13645" s="33" t="s">
        <v>1267</v>
      </c>
      <c r="D13645" s="33" t="s">
        <v>17</v>
      </c>
      <c r="E13645" s="33" t="s">
        <v>26</v>
      </c>
      <c r="F13645" s="33" t="s">
        <v>27</v>
      </c>
      <c r="G13645" s="33" t="s">
        <v>20</v>
      </c>
      <c r="H13645" s="35">
        <v>24</v>
      </c>
      <c r="I13645" s="33" t="s">
        <v>21</v>
      </c>
      <c r="J13645" s="42">
        <v>45159</v>
      </c>
      <c r="K13645" s="33" t="s">
        <v>22</v>
      </c>
    </row>
    <row r="13646" spans="1:11">
      <c r="A13646" s="30" t="s">
        <v>30839</v>
      </c>
      <c r="B13646" s="30" t="s">
        <v>30840</v>
      </c>
      <c r="C13646" s="30" t="s">
        <v>3757</v>
      </c>
      <c r="D13646" s="30" t="s">
        <v>17</v>
      </c>
      <c r="E13646" s="30" t="s">
        <v>31</v>
      </c>
      <c r="F13646" s="30" t="s">
        <v>32</v>
      </c>
      <c r="G13646" s="30" t="s">
        <v>50</v>
      </c>
      <c r="H13646" s="32">
        <v>228</v>
      </c>
      <c r="I13646" s="30" t="s">
        <v>51</v>
      </c>
      <c r="J13646" s="41">
        <v>45173</v>
      </c>
      <c r="K13646" s="30" t="s">
        <v>22</v>
      </c>
    </row>
    <row r="13647" spans="1:11">
      <c r="A13647" s="33" t="s">
        <v>30841</v>
      </c>
      <c r="B13647" s="33" t="s">
        <v>30842</v>
      </c>
      <c r="C13647" s="33" t="s">
        <v>93</v>
      </c>
      <c r="D13647" s="33" t="s">
        <v>17</v>
      </c>
      <c r="E13647" s="33" t="s">
        <v>26</v>
      </c>
      <c r="F13647" s="33" t="s">
        <v>27</v>
      </c>
      <c r="G13647" s="33" t="s">
        <v>106</v>
      </c>
      <c r="H13647" s="35">
        <v>36</v>
      </c>
      <c r="I13647" s="33" t="s">
        <v>21</v>
      </c>
      <c r="J13647" s="42">
        <v>45243</v>
      </c>
      <c r="K13647" s="33" t="s">
        <v>22</v>
      </c>
    </row>
    <row r="13648" spans="1:11">
      <c r="A13648" s="30" t="s">
        <v>30843</v>
      </c>
      <c r="B13648" s="30" t="s">
        <v>30844</v>
      </c>
      <c r="C13648" s="30" t="s">
        <v>839</v>
      </c>
      <c r="D13648" s="30" t="s">
        <v>17</v>
      </c>
      <c r="E13648" s="30" t="s">
        <v>31</v>
      </c>
      <c r="F13648" s="30" t="s">
        <v>32</v>
      </c>
      <c r="G13648" s="30" t="s">
        <v>20</v>
      </c>
      <c r="H13648" s="32">
        <v>48</v>
      </c>
      <c r="I13648" s="30" t="s">
        <v>21</v>
      </c>
      <c r="J13648" s="41">
        <v>45065</v>
      </c>
      <c r="K13648" s="30" t="s">
        <v>22</v>
      </c>
    </row>
    <row r="13649" spans="1:11">
      <c r="A13649" s="33" t="s">
        <v>30845</v>
      </c>
      <c r="B13649" s="33" t="s">
        <v>30846</v>
      </c>
      <c r="C13649" s="33" t="s">
        <v>1207</v>
      </c>
      <c r="D13649" s="33" t="s">
        <v>17</v>
      </c>
      <c r="E13649" s="33" t="s">
        <v>26</v>
      </c>
      <c r="F13649" s="33" t="s">
        <v>27</v>
      </c>
      <c r="G13649" s="33" t="s">
        <v>140</v>
      </c>
      <c r="H13649" s="35">
        <v>50</v>
      </c>
      <c r="I13649" s="33" t="s">
        <v>51</v>
      </c>
      <c r="J13649" s="42">
        <v>44953</v>
      </c>
      <c r="K13649" s="33" t="s">
        <v>22</v>
      </c>
    </row>
    <row r="13650" spans="1:11">
      <c r="A13650" s="30" t="s">
        <v>30847</v>
      </c>
      <c r="B13650" s="30" t="s">
        <v>30848</v>
      </c>
      <c r="C13650" s="30" t="s">
        <v>2562</v>
      </c>
      <c r="D13650" s="30" t="s">
        <v>17</v>
      </c>
      <c r="E13650" s="30" t="s">
        <v>26</v>
      </c>
      <c r="F13650" s="30" t="s">
        <v>27</v>
      </c>
      <c r="G13650" s="30" t="s">
        <v>20</v>
      </c>
      <c r="H13650" s="32">
        <v>240</v>
      </c>
      <c r="I13650" s="30" t="s">
        <v>21</v>
      </c>
      <c r="J13650" s="41">
        <v>45007</v>
      </c>
      <c r="K13650" s="30" t="s">
        <v>22</v>
      </c>
    </row>
    <row r="13651" spans="1:11">
      <c r="A13651" s="33" t="s">
        <v>30849</v>
      </c>
      <c r="B13651" s="33" t="s">
        <v>30850</v>
      </c>
      <c r="C13651" s="33" t="s">
        <v>5246</v>
      </c>
      <c r="D13651" s="33" t="s">
        <v>17</v>
      </c>
      <c r="E13651" s="33" t="s">
        <v>26</v>
      </c>
      <c r="F13651" s="33" t="s">
        <v>27</v>
      </c>
      <c r="G13651" s="33" t="s">
        <v>20</v>
      </c>
      <c r="H13651" s="35">
        <v>49</v>
      </c>
      <c r="I13651" s="33" t="s">
        <v>21</v>
      </c>
      <c r="J13651" s="42">
        <v>45117</v>
      </c>
      <c r="K13651" s="33" t="s">
        <v>22</v>
      </c>
    </row>
    <row r="13652" spans="1:11">
      <c r="A13652" s="30" t="s">
        <v>30851</v>
      </c>
      <c r="B13652" s="30" t="s">
        <v>30852</v>
      </c>
      <c r="C13652" s="30" t="s">
        <v>30853</v>
      </c>
      <c r="D13652" s="30" t="s">
        <v>17</v>
      </c>
      <c r="E13652" s="30" t="s">
        <v>31</v>
      </c>
      <c r="F13652" s="30" t="s">
        <v>32</v>
      </c>
      <c r="G13652" s="30" t="s">
        <v>20</v>
      </c>
      <c r="H13652" s="32">
        <v>81</v>
      </c>
      <c r="I13652" s="30" t="s">
        <v>21</v>
      </c>
      <c r="J13652" s="41">
        <v>45175</v>
      </c>
      <c r="K13652" s="30" t="s">
        <v>22</v>
      </c>
    </row>
    <row r="13653" spans="1:11">
      <c r="A13653" s="33" t="s">
        <v>30854</v>
      </c>
      <c r="B13653" s="33" t="s">
        <v>30855</v>
      </c>
      <c r="C13653" s="33" t="s">
        <v>30856</v>
      </c>
      <c r="D13653" s="33" t="s">
        <v>17</v>
      </c>
      <c r="E13653" s="33" t="s">
        <v>67</v>
      </c>
      <c r="F13653" s="33" t="s">
        <v>68</v>
      </c>
      <c r="G13653" s="33" t="s">
        <v>140</v>
      </c>
      <c r="H13653" s="35">
        <v>90</v>
      </c>
      <c r="I13653" s="33" t="s">
        <v>51</v>
      </c>
      <c r="J13653" s="42">
        <v>45282</v>
      </c>
      <c r="K13653" s="33" t="s">
        <v>22</v>
      </c>
    </row>
    <row r="13654" spans="1:11">
      <c r="A13654" s="30" t="s">
        <v>30857</v>
      </c>
      <c r="B13654" s="30" t="s">
        <v>30858</v>
      </c>
      <c r="C13654" s="30" t="s">
        <v>30859</v>
      </c>
      <c r="D13654" s="30" t="s">
        <v>17</v>
      </c>
      <c r="E13654" s="30" t="s">
        <v>26</v>
      </c>
      <c r="F13654" s="30" t="s">
        <v>27</v>
      </c>
      <c r="G13654" s="30" t="s">
        <v>20</v>
      </c>
      <c r="H13654" s="32">
        <v>12</v>
      </c>
      <c r="I13654" s="30" t="s">
        <v>21</v>
      </c>
      <c r="J13654" s="41">
        <v>45131</v>
      </c>
      <c r="K13654" s="30" t="s">
        <v>22</v>
      </c>
    </row>
    <row r="13655" spans="1:11">
      <c r="A13655" s="33" t="s">
        <v>30860</v>
      </c>
      <c r="B13655" s="33" t="s">
        <v>30861</v>
      </c>
      <c r="C13655" s="33" t="s">
        <v>9297</v>
      </c>
      <c r="D13655" s="33" t="s">
        <v>17</v>
      </c>
      <c r="E13655" s="33" t="s">
        <v>31</v>
      </c>
      <c r="F13655" s="33" t="s">
        <v>32</v>
      </c>
      <c r="G13655" s="33" t="s">
        <v>158</v>
      </c>
      <c r="H13655" s="35">
        <v>45</v>
      </c>
      <c r="I13655" s="33" t="s">
        <v>51</v>
      </c>
      <c r="J13655" s="42">
        <v>45280</v>
      </c>
      <c r="K13655" s="33" t="s">
        <v>22</v>
      </c>
    </row>
    <row r="13656" spans="1:11">
      <c r="A13656" s="30" t="s">
        <v>30862</v>
      </c>
      <c r="B13656" s="30" t="s">
        <v>30863</v>
      </c>
      <c r="C13656" s="30" t="s">
        <v>8554</v>
      </c>
      <c r="D13656" s="30" t="s">
        <v>17</v>
      </c>
      <c r="E13656" s="30" t="s">
        <v>26</v>
      </c>
      <c r="F13656" s="30" t="s">
        <v>27</v>
      </c>
      <c r="G13656" s="30" t="s">
        <v>20</v>
      </c>
      <c r="H13656" s="32">
        <v>50</v>
      </c>
      <c r="I13656" s="30" t="s">
        <v>21</v>
      </c>
      <c r="J13656" s="41">
        <v>45093</v>
      </c>
      <c r="K13656" s="30" t="s">
        <v>22</v>
      </c>
    </row>
    <row r="13657" spans="1:11">
      <c r="A13657" s="33" t="s">
        <v>30864</v>
      </c>
      <c r="B13657" s="33" t="s">
        <v>30865</v>
      </c>
      <c r="C13657" s="33" t="s">
        <v>93</v>
      </c>
      <c r="D13657" s="33" t="s">
        <v>17</v>
      </c>
      <c r="E13657" s="33" t="s">
        <v>18</v>
      </c>
      <c r="F13657" s="33" t="s">
        <v>19</v>
      </c>
      <c r="G13657" s="33" t="s">
        <v>158</v>
      </c>
      <c r="H13657" s="35">
        <v>1014</v>
      </c>
      <c r="I13657" s="33" t="s">
        <v>21</v>
      </c>
      <c r="J13657" s="42">
        <v>45132</v>
      </c>
      <c r="K13657" s="33" t="s">
        <v>22</v>
      </c>
    </row>
    <row r="13658" spans="1:11">
      <c r="A13658" s="30" t="s">
        <v>30866</v>
      </c>
      <c r="B13658" s="30" t="s">
        <v>30867</v>
      </c>
      <c r="C13658" s="30" t="s">
        <v>1090</v>
      </c>
      <c r="D13658" s="30" t="s">
        <v>17</v>
      </c>
      <c r="E13658" s="30" t="s">
        <v>18</v>
      </c>
      <c r="F13658" s="30" t="s">
        <v>19</v>
      </c>
      <c r="G13658" s="30" t="s">
        <v>7780</v>
      </c>
      <c r="H13658" s="32">
        <v>420</v>
      </c>
      <c r="I13658" s="30" t="s">
        <v>51</v>
      </c>
      <c r="J13658" s="41">
        <v>45108</v>
      </c>
      <c r="K13658" s="30" t="s">
        <v>22</v>
      </c>
    </row>
    <row r="13659" spans="1:11">
      <c r="A13659" s="33" t="s">
        <v>30868</v>
      </c>
      <c r="B13659" s="33" t="s">
        <v>30869</v>
      </c>
      <c r="C13659" s="33" t="s">
        <v>23162</v>
      </c>
      <c r="D13659" s="33" t="s">
        <v>17</v>
      </c>
      <c r="E13659" s="33" t="s">
        <v>31</v>
      </c>
      <c r="F13659" s="33" t="s">
        <v>32</v>
      </c>
      <c r="G13659" s="33" t="s">
        <v>50</v>
      </c>
      <c r="H13659" s="35">
        <v>523</v>
      </c>
      <c r="I13659" s="33" t="s">
        <v>51</v>
      </c>
      <c r="J13659" s="42">
        <v>45231</v>
      </c>
      <c r="K13659" s="33" t="s">
        <v>22</v>
      </c>
    </row>
    <row r="13660" spans="1:11">
      <c r="A13660" s="30" t="s">
        <v>30870</v>
      </c>
      <c r="B13660" s="30" t="s">
        <v>30871</v>
      </c>
      <c r="C13660" s="30" t="s">
        <v>18591</v>
      </c>
      <c r="D13660" s="30" t="s">
        <v>17</v>
      </c>
      <c r="E13660" s="30" t="s">
        <v>26</v>
      </c>
      <c r="F13660" s="30" t="s">
        <v>27</v>
      </c>
      <c r="G13660" s="30" t="s">
        <v>140</v>
      </c>
      <c r="H13660" s="32">
        <v>70</v>
      </c>
      <c r="I13660" s="30" t="s">
        <v>51</v>
      </c>
      <c r="J13660" s="41">
        <v>45264</v>
      </c>
      <c r="K13660" s="30" t="s">
        <v>22</v>
      </c>
    </row>
    <row r="13661" spans="1:11">
      <c r="A13661" s="33" t="s">
        <v>30872</v>
      </c>
      <c r="B13661" s="33" t="s">
        <v>30873</v>
      </c>
      <c r="C13661" s="33" t="s">
        <v>178</v>
      </c>
      <c r="D13661" s="33" t="s">
        <v>17</v>
      </c>
      <c r="E13661" s="33" t="s">
        <v>18</v>
      </c>
      <c r="F13661" s="33" t="s">
        <v>19</v>
      </c>
      <c r="G13661" s="33" t="s">
        <v>140</v>
      </c>
      <c r="H13661" s="35">
        <v>1100</v>
      </c>
      <c r="I13661" s="33" t="s">
        <v>51</v>
      </c>
      <c r="J13661" s="42">
        <v>45252</v>
      </c>
      <c r="K13661" s="33" t="s">
        <v>22</v>
      </c>
    </row>
    <row r="13662" spans="1:11">
      <c r="A13662" s="30" t="s">
        <v>30874</v>
      </c>
      <c r="B13662" s="30" t="s">
        <v>30875</v>
      </c>
      <c r="C13662" s="30" t="s">
        <v>20710</v>
      </c>
      <c r="D13662" s="30" t="s">
        <v>17</v>
      </c>
      <c r="E13662" s="30" t="s">
        <v>26</v>
      </c>
      <c r="F13662" s="30" t="s">
        <v>27</v>
      </c>
      <c r="G13662" s="30" t="s">
        <v>20</v>
      </c>
      <c r="H13662" s="32">
        <v>7</v>
      </c>
      <c r="I13662" s="30" t="s">
        <v>21</v>
      </c>
      <c r="J13662" s="41">
        <v>45003</v>
      </c>
      <c r="K13662" s="30" t="s">
        <v>22</v>
      </c>
    </row>
    <row r="13663" spans="1:11">
      <c r="A13663" s="33" t="s">
        <v>30876</v>
      </c>
      <c r="B13663" s="33" t="s">
        <v>30877</v>
      </c>
      <c r="C13663" s="33" t="s">
        <v>5177</v>
      </c>
      <c r="D13663" s="33" t="s">
        <v>17</v>
      </c>
      <c r="E13663" s="33" t="s">
        <v>67</v>
      </c>
      <c r="F13663" s="33" t="s">
        <v>68</v>
      </c>
      <c r="G13663" s="33" t="s">
        <v>112</v>
      </c>
      <c r="H13663" s="35">
        <v>0</v>
      </c>
      <c r="I13663" s="33" t="s">
        <v>21</v>
      </c>
      <c r="J13663" s="42">
        <v>44958</v>
      </c>
      <c r="K13663" s="33" t="s">
        <v>22</v>
      </c>
    </row>
    <row r="13664" spans="1:11">
      <c r="A13664" s="30" t="s">
        <v>30878</v>
      </c>
      <c r="B13664" s="30" t="s">
        <v>30879</v>
      </c>
      <c r="C13664" s="30" t="s">
        <v>17636</v>
      </c>
      <c r="D13664" s="30" t="s">
        <v>17</v>
      </c>
      <c r="E13664" s="30" t="s">
        <v>18</v>
      </c>
      <c r="F13664" s="30" t="s">
        <v>19</v>
      </c>
      <c r="G13664" s="30" t="s">
        <v>50</v>
      </c>
      <c r="H13664" s="32">
        <v>4800</v>
      </c>
      <c r="I13664" s="30" t="s">
        <v>51</v>
      </c>
      <c r="J13664" s="41">
        <v>45279</v>
      </c>
      <c r="K13664" s="30" t="s">
        <v>22</v>
      </c>
    </row>
    <row r="13665" spans="1:11">
      <c r="A13665" s="33" t="s">
        <v>30880</v>
      </c>
      <c r="B13665" s="33" t="s">
        <v>30881</v>
      </c>
      <c r="C13665" s="33" t="s">
        <v>17720</v>
      </c>
      <c r="D13665" s="33" t="s">
        <v>17</v>
      </c>
      <c r="E13665" s="33" t="s">
        <v>26</v>
      </c>
      <c r="F13665" s="33" t="s">
        <v>27</v>
      </c>
      <c r="G13665" s="33" t="s">
        <v>158</v>
      </c>
      <c r="H13665" s="35">
        <v>32</v>
      </c>
      <c r="I13665" s="33" t="s">
        <v>21</v>
      </c>
      <c r="J13665" s="42">
        <v>45006</v>
      </c>
      <c r="K13665" s="33" t="s">
        <v>22</v>
      </c>
    </row>
    <row r="13666" spans="1:11">
      <c r="A13666" s="30" t="s">
        <v>30882</v>
      </c>
      <c r="B13666" s="30" t="s">
        <v>30883</v>
      </c>
      <c r="C13666" s="30" t="s">
        <v>30884</v>
      </c>
      <c r="D13666" s="30" t="s">
        <v>17</v>
      </c>
      <c r="E13666" s="30" t="s">
        <v>67</v>
      </c>
      <c r="F13666" s="30" t="s">
        <v>68</v>
      </c>
      <c r="G13666" s="30" t="s">
        <v>106</v>
      </c>
      <c r="H13666" s="32">
        <v>21</v>
      </c>
      <c r="I13666" s="30" t="s">
        <v>21</v>
      </c>
      <c r="J13666" s="41">
        <v>45229</v>
      </c>
      <c r="K13666" s="30" t="s">
        <v>22</v>
      </c>
    </row>
    <row r="13667" spans="1:11">
      <c r="A13667" s="33" t="s">
        <v>30885</v>
      </c>
      <c r="B13667" s="33" t="s">
        <v>30886</v>
      </c>
      <c r="C13667" s="33" t="s">
        <v>30887</v>
      </c>
      <c r="D13667" s="33" t="s">
        <v>17</v>
      </c>
      <c r="E13667" s="33" t="s">
        <v>31</v>
      </c>
      <c r="F13667" s="33" t="s">
        <v>32</v>
      </c>
      <c r="G13667" s="33" t="s">
        <v>20</v>
      </c>
      <c r="H13667" s="35">
        <v>151</v>
      </c>
      <c r="I13667" s="33" t="s">
        <v>21</v>
      </c>
      <c r="J13667" s="42">
        <v>45195</v>
      </c>
      <c r="K13667" s="33" t="s">
        <v>22</v>
      </c>
    </row>
    <row r="13668" spans="1:11">
      <c r="A13668" s="30" t="s">
        <v>30888</v>
      </c>
      <c r="B13668" s="30" t="s">
        <v>30889</v>
      </c>
      <c r="C13668" s="30" t="s">
        <v>30890</v>
      </c>
      <c r="D13668" s="30" t="s">
        <v>17</v>
      </c>
      <c r="E13668" s="30" t="s">
        <v>330</v>
      </c>
      <c r="F13668" s="30" t="s">
        <v>331</v>
      </c>
      <c r="G13668" s="30" t="s">
        <v>140</v>
      </c>
      <c r="H13668" s="32">
        <v>9</v>
      </c>
      <c r="I13668" s="30" t="s">
        <v>51</v>
      </c>
      <c r="J13668" s="41">
        <v>45162</v>
      </c>
      <c r="K13668" s="30" t="s">
        <v>22</v>
      </c>
    </row>
    <row r="13669" spans="1:11">
      <c r="A13669" s="33" t="s">
        <v>30891</v>
      </c>
      <c r="B13669" s="33" t="s">
        <v>30892</v>
      </c>
      <c r="C13669" s="33" t="s">
        <v>30893</v>
      </c>
      <c r="D13669" s="33" t="s">
        <v>17</v>
      </c>
      <c r="E13669" s="33" t="s">
        <v>26</v>
      </c>
      <c r="F13669" s="33" t="s">
        <v>27</v>
      </c>
      <c r="G13669" s="33" t="s">
        <v>20</v>
      </c>
      <c r="H13669" s="35">
        <v>121</v>
      </c>
      <c r="I13669" s="33" t="s">
        <v>21</v>
      </c>
      <c r="J13669" s="42">
        <v>45057</v>
      </c>
      <c r="K13669" s="33" t="s">
        <v>22</v>
      </c>
    </row>
    <row r="13670" spans="1:11">
      <c r="A13670" s="30" t="s">
        <v>30894</v>
      </c>
      <c r="B13670" s="30" t="s">
        <v>30895</v>
      </c>
      <c r="C13670" s="30" t="s">
        <v>16327</v>
      </c>
      <c r="D13670" s="30" t="s">
        <v>17</v>
      </c>
      <c r="E13670" s="30" t="s">
        <v>67</v>
      </c>
      <c r="F13670" s="30" t="s">
        <v>68</v>
      </c>
      <c r="G13670" s="30" t="s">
        <v>140</v>
      </c>
      <c r="H13670" s="32">
        <v>300</v>
      </c>
      <c r="I13670" s="30" t="s">
        <v>51</v>
      </c>
      <c r="J13670" s="41">
        <v>45078</v>
      </c>
      <c r="K13670" s="30" t="s">
        <v>22</v>
      </c>
    </row>
    <row r="13671" spans="1:11">
      <c r="A13671" s="33" t="s">
        <v>30896</v>
      </c>
      <c r="B13671" s="33" t="s">
        <v>30897</v>
      </c>
      <c r="C13671" s="33" t="s">
        <v>93</v>
      </c>
      <c r="D13671" s="33" t="s">
        <v>17</v>
      </c>
      <c r="E13671" s="33" t="s">
        <v>18</v>
      </c>
      <c r="F13671" s="33" t="s">
        <v>19</v>
      </c>
      <c r="G13671" s="33" t="s">
        <v>20</v>
      </c>
      <c r="H13671" s="35">
        <v>61</v>
      </c>
      <c r="I13671" s="33" t="s">
        <v>21</v>
      </c>
      <c r="J13671" s="42">
        <v>45091</v>
      </c>
      <c r="K13671" s="33" t="s">
        <v>22</v>
      </c>
    </row>
    <row r="13672" spans="1:11">
      <c r="A13672" s="30" t="s">
        <v>30898</v>
      </c>
      <c r="B13672" s="30" t="s">
        <v>30899</v>
      </c>
      <c r="C13672" s="30" t="s">
        <v>3278</v>
      </c>
      <c r="D13672" s="30" t="s">
        <v>17</v>
      </c>
      <c r="E13672" s="30" t="s">
        <v>26</v>
      </c>
      <c r="F13672" s="30" t="s">
        <v>27</v>
      </c>
      <c r="G13672" s="30" t="s">
        <v>20</v>
      </c>
      <c r="H13672" s="32">
        <v>8</v>
      </c>
      <c r="I13672" s="30" t="s">
        <v>21</v>
      </c>
      <c r="J13672" s="41">
        <v>45268</v>
      </c>
      <c r="K13672" s="30" t="s">
        <v>22</v>
      </c>
    </row>
    <row r="13673" spans="1:11">
      <c r="A13673" s="33" t="s">
        <v>30900</v>
      </c>
      <c r="B13673" s="33" t="s">
        <v>30901</v>
      </c>
      <c r="C13673" s="33" t="s">
        <v>231</v>
      </c>
      <c r="D13673" s="33" t="s">
        <v>17</v>
      </c>
      <c r="E13673" s="33" t="s">
        <v>26</v>
      </c>
      <c r="F13673" s="33" t="s">
        <v>27</v>
      </c>
      <c r="G13673" s="33" t="s">
        <v>20</v>
      </c>
      <c r="H13673" s="35">
        <v>40</v>
      </c>
      <c r="I13673" s="33" t="s">
        <v>21</v>
      </c>
      <c r="J13673" s="42">
        <v>45184</v>
      </c>
      <c r="K13673" s="33" t="s">
        <v>22</v>
      </c>
    </row>
    <row r="13674" spans="1:11">
      <c r="A13674" s="30" t="s">
        <v>30902</v>
      </c>
      <c r="B13674" s="30" t="s">
        <v>30903</v>
      </c>
      <c r="C13674" s="30" t="s">
        <v>1826</v>
      </c>
      <c r="D13674" s="30" t="s">
        <v>17</v>
      </c>
      <c r="E13674" s="30" t="s">
        <v>31</v>
      </c>
      <c r="F13674" s="30" t="s">
        <v>32</v>
      </c>
      <c r="G13674" s="30" t="s">
        <v>20</v>
      </c>
      <c r="H13674" s="32">
        <v>10</v>
      </c>
      <c r="I13674" s="30" t="s">
        <v>21</v>
      </c>
      <c r="J13674" s="41">
        <v>45056</v>
      </c>
      <c r="K13674" s="30" t="s">
        <v>22</v>
      </c>
    </row>
    <row r="13675" spans="1:11">
      <c r="A13675" s="33" t="s">
        <v>30904</v>
      </c>
      <c r="B13675" s="33" t="s">
        <v>30905</v>
      </c>
      <c r="C13675" s="33" t="s">
        <v>2562</v>
      </c>
      <c r="D13675" s="33" t="s">
        <v>17</v>
      </c>
      <c r="E13675" s="33" t="s">
        <v>31</v>
      </c>
      <c r="F13675" s="33" t="s">
        <v>32</v>
      </c>
      <c r="G13675" s="33" t="s">
        <v>20</v>
      </c>
      <c r="H13675" s="35">
        <v>100</v>
      </c>
      <c r="I13675" s="33" t="s">
        <v>21</v>
      </c>
      <c r="J13675" s="42">
        <v>45161</v>
      </c>
      <c r="K13675" s="33" t="s">
        <v>22</v>
      </c>
    </row>
    <row r="13676" spans="1:11">
      <c r="A13676" s="30" t="s">
        <v>30906</v>
      </c>
      <c r="B13676" s="30" t="s">
        <v>26847</v>
      </c>
      <c r="C13676" s="30" t="s">
        <v>736</v>
      </c>
      <c r="D13676" s="30" t="s">
        <v>17</v>
      </c>
      <c r="E13676" s="30" t="s">
        <v>18</v>
      </c>
      <c r="F13676" s="30" t="s">
        <v>19</v>
      </c>
      <c r="G13676" s="30" t="s">
        <v>20</v>
      </c>
      <c r="H13676" s="32">
        <v>86</v>
      </c>
      <c r="I13676" s="30" t="s">
        <v>21</v>
      </c>
      <c r="J13676" s="41">
        <v>44931</v>
      </c>
      <c r="K13676" s="30" t="s">
        <v>22</v>
      </c>
    </row>
    <row r="13677" spans="1:11">
      <c r="A13677" s="33" t="s">
        <v>30907</v>
      </c>
      <c r="B13677" s="33" t="s">
        <v>30908</v>
      </c>
      <c r="C13677" s="33" t="s">
        <v>20710</v>
      </c>
      <c r="D13677" s="33" t="s">
        <v>17</v>
      </c>
      <c r="E13677" s="33" t="s">
        <v>26</v>
      </c>
      <c r="F13677" s="33" t="s">
        <v>27</v>
      </c>
      <c r="G13677" s="33" t="s">
        <v>20</v>
      </c>
      <c r="H13677" s="35">
        <v>36</v>
      </c>
      <c r="I13677" s="33" t="s">
        <v>21</v>
      </c>
      <c r="J13677" s="42">
        <v>45153</v>
      </c>
      <c r="K13677" s="33" t="s">
        <v>22</v>
      </c>
    </row>
    <row r="13678" spans="1:11">
      <c r="A13678" s="30" t="s">
        <v>30909</v>
      </c>
      <c r="B13678" s="30" t="s">
        <v>30910</v>
      </c>
      <c r="C13678" s="30" t="s">
        <v>644</v>
      </c>
      <c r="D13678" s="30" t="s">
        <v>17</v>
      </c>
      <c r="E13678" s="30" t="s">
        <v>18</v>
      </c>
      <c r="F13678" s="30" t="s">
        <v>19</v>
      </c>
      <c r="G13678" s="30" t="s">
        <v>20</v>
      </c>
      <c r="H13678" s="32">
        <v>381</v>
      </c>
      <c r="I13678" s="30" t="s">
        <v>21</v>
      </c>
      <c r="J13678" s="41">
        <v>45022</v>
      </c>
      <c r="K13678" s="30" t="s">
        <v>22</v>
      </c>
    </row>
    <row r="13679" spans="1:11">
      <c r="A13679" s="33" t="s">
        <v>30911</v>
      </c>
      <c r="B13679" s="33" t="s">
        <v>30912</v>
      </c>
      <c r="C13679" s="33" t="s">
        <v>157</v>
      </c>
      <c r="D13679" s="33" t="s">
        <v>17</v>
      </c>
      <c r="E13679" s="33" t="s">
        <v>18</v>
      </c>
      <c r="F13679" s="33" t="s">
        <v>19</v>
      </c>
      <c r="G13679" s="33" t="s">
        <v>140</v>
      </c>
      <c r="H13679" s="35">
        <v>160</v>
      </c>
      <c r="I13679" s="33" t="s">
        <v>51</v>
      </c>
      <c r="J13679" s="42">
        <v>44991</v>
      </c>
      <c r="K13679" s="33" t="s">
        <v>22</v>
      </c>
    </row>
    <row r="13680" spans="1:11">
      <c r="A13680" s="30" t="s">
        <v>30913</v>
      </c>
      <c r="B13680" s="30" t="s">
        <v>30914</v>
      </c>
      <c r="C13680" s="30" t="s">
        <v>554</v>
      </c>
      <c r="D13680" s="30" t="s">
        <v>17</v>
      </c>
      <c r="E13680" s="30" t="s">
        <v>26</v>
      </c>
      <c r="F13680" s="30" t="s">
        <v>27</v>
      </c>
      <c r="G13680" s="30" t="s">
        <v>20</v>
      </c>
      <c r="H13680" s="32">
        <v>53</v>
      </c>
      <c r="I13680" s="30" t="s">
        <v>21</v>
      </c>
      <c r="J13680" s="41">
        <v>44977</v>
      </c>
      <c r="K13680" s="30" t="s">
        <v>22</v>
      </c>
    </row>
    <row r="13681" spans="1:11">
      <c r="A13681" s="33" t="s">
        <v>30915</v>
      </c>
      <c r="B13681" s="33" t="s">
        <v>30916</v>
      </c>
      <c r="C13681" s="33" t="s">
        <v>310</v>
      </c>
      <c r="D13681" s="33" t="s">
        <v>17</v>
      </c>
      <c r="E13681" s="33" t="s">
        <v>26</v>
      </c>
      <c r="F13681" s="33" t="s">
        <v>27</v>
      </c>
      <c r="G13681" s="33" t="s">
        <v>20</v>
      </c>
      <c r="H13681" s="35">
        <v>18</v>
      </c>
      <c r="I13681" s="33" t="s">
        <v>21</v>
      </c>
      <c r="J13681" s="42">
        <v>45041</v>
      </c>
      <c r="K13681" s="33" t="s">
        <v>22</v>
      </c>
    </row>
    <row r="13682" spans="1:11">
      <c r="A13682" s="30" t="s">
        <v>30917</v>
      </c>
      <c r="B13682" s="30" t="s">
        <v>30918</v>
      </c>
      <c r="C13682" s="30" t="s">
        <v>93</v>
      </c>
      <c r="D13682" s="30" t="s">
        <v>17</v>
      </c>
      <c r="E13682" s="30" t="s">
        <v>18</v>
      </c>
      <c r="F13682" s="30" t="s">
        <v>19</v>
      </c>
      <c r="G13682" s="30" t="s">
        <v>158</v>
      </c>
      <c r="H13682" s="32">
        <v>289</v>
      </c>
      <c r="I13682" s="30" t="s">
        <v>21</v>
      </c>
      <c r="J13682" s="41">
        <v>45245</v>
      </c>
      <c r="K13682" s="30" t="s">
        <v>22</v>
      </c>
    </row>
    <row r="13683" spans="1:11">
      <c r="A13683" s="33" t="s">
        <v>30919</v>
      </c>
      <c r="B13683" s="33" t="s">
        <v>30920</v>
      </c>
      <c r="C13683" s="33" t="s">
        <v>3892</v>
      </c>
      <c r="D13683" s="33" t="s">
        <v>17</v>
      </c>
      <c r="E13683" s="33" t="s">
        <v>18</v>
      </c>
      <c r="F13683" s="33" t="s">
        <v>19</v>
      </c>
      <c r="G13683" s="33" t="s">
        <v>20</v>
      </c>
      <c r="H13683" s="35">
        <v>235</v>
      </c>
      <c r="I13683" s="33" t="s">
        <v>21</v>
      </c>
      <c r="J13683" s="42">
        <v>45166</v>
      </c>
      <c r="K13683" s="33" t="s">
        <v>22</v>
      </c>
    </row>
    <row r="13684" spans="1:11">
      <c r="A13684" s="30" t="s">
        <v>30921</v>
      </c>
      <c r="B13684" s="30" t="s">
        <v>30922</v>
      </c>
      <c r="C13684" s="30" t="s">
        <v>30923</v>
      </c>
      <c r="D13684" s="30" t="s">
        <v>17</v>
      </c>
      <c r="E13684" s="30" t="s">
        <v>67</v>
      </c>
      <c r="F13684" s="30" t="s">
        <v>68</v>
      </c>
      <c r="G13684" s="30" t="s">
        <v>50</v>
      </c>
      <c r="H13684" s="32">
        <v>33</v>
      </c>
      <c r="I13684" s="30" t="s">
        <v>51</v>
      </c>
      <c r="J13684" s="41">
        <v>44986</v>
      </c>
      <c r="K13684" s="30" t="s">
        <v>22</v>
      </c>
    </row>
    <row r="13685" spans="1:11">
      <c r="A13685" s="33" t="s">
        <v>30924</v>
      </c>
      <c r="B13685" s="33" t="s">
        <v>30925</v>
      </c>
      <c r="C13685" s="33" t="s">
        <v>7831</v>
      </c>
      <c r="D13685" s="33" t="s">
        <v>17</v>
      </c>
      <c r="E13685" s="33" t="s">
        <v>31</v>
      </c>
      <c r="F13685" s="33" t="s">
        <v>32</v>
      </c>
      <c r="G13685" s="33" t="s">
        <v>106</v>
      </c>
      <c r="H13685" s="35">
        <v>7</v>
      </c>
      <c r="I13685" s="33" t="s">
        <v>21</v>
      </c>
      <c r="J13685" s="42">
        <v>45216</v>
      </c>
      <c r="K13685" s="33" t="s">
        <v>22</v>
      </c>
    </row>
    <row r="13686" spans="1:11">
      <c r="A13686" s="30" t="s">
        <v>30926</v>
      </c>
      <c r="B13686" s="30" t="s">
        <v>30927</v>
      </c>
      <c r="C13686" s="30" t="s">
        <v>3934</v>
      </c>
      <c r="D13686" s="30" t="s">
        <v>17</v>
      </c>
      <c r="E13686" s="30" t="s">
        <v>67</v>
      </c>
      <c r="F13686" s="30" t="s">
        <v>68</v>
      </c>
      <c r="G13686" s="30" t="s">
        <v>140</v>
      </c>
      <c r="H13686" s="32">
        <v>60</v>
      </c>
      <c r="I13686" s="30" t="s">
        <v>51</v>
      </c>
      <c r="J13686" s="41">
        <v>45029</v>
      </c>
      <c r="K13686" s="30" t="s">
        <v>22</v>
      </c>
    </row>
    <row r="13687" spans="1:11">
      <c r="A13687" s="33" t="s">
        <v>30928</v>
      </c>
      <c r="B13687" s="33" t="s">
        <v>30929</v>
      </c>
      <c r="C13687" s="33" t="s">
        <v>136</v>
      </c>
      <c r="D13687" s="33" t="s">
        <v>17</v>
      </c>
      <c r="E13687" s="33" t="s">
        <v>26</v>
      </c>
      <c r="F13687" s="33" t="s">
        <v>27</v>
      </c>
      <c r="G13687" s="33" t="s">
        <v>20</v>
      </c>
      <c r="H13687" s="35">
        <v>30</v>
      </c>
      <c r="I13687" s="33" t="s">
        <v>21</v>
      </c>
      <c r="J13687" s="42">
        <v>45054</v>
      </c>
      <c r="K13687" s="33" t="s">
        <v>22</v>
      </c>
    </row>
    <row r="13688" spans="1:11">
      <c r="A13688" s="30" t="s">
        <v>30930</v>
      </c>
      <c r="B13688" s="30" t="s">
        <v>30931</v>
      </c>
      <c r="C13688" s="30" t="s">
        <v>178</v>
      </c>
      <c r="D13688" s="30" t="s">
        <v>17</v>
      </c>
      <c r="E13688" s="30" t="s">
        <v>31</v>
      </c>
      <c r="F13688" s="30" t="s">
        <v>32</v>
      </c>
      <c r="G13688" s="30" t="s">
        <v>158</v>
      </c>
      <c r="H13688" s="32">
        <v>204</v>
      </c>
      <c r="I13688" s="30" t="s">
        <v>21</v>
      </c>
      <c r="J13688" s="41">
        <v>45029</v>
      </c>
      <c r="K13688" s="30" t="s">
        <v>22</v>
      </c>
    </row>
    <row r="13689" spans="1:11">
      <c r="A13689" s="33" t="s">
        <v>30932</v>
      </c>
      <c r="B13689" s="33" t="s">
        <v>30933</v>
      </c>
      <c r="C13689" s="33" t="s">
        <v>1305</v>
      </c>
      <c r="D13689" s="33" t="s">
        <v>17</v>
      </c>
      <c r="E13689" s="33" t="s">
        <v>18</v>
      </c>
      <c r="F13689" s="33" t="s">
        <v>19</v>
      </c>
      <c r="G13689" s="33" t="s">
        <v>140</v>
      </c>
      <c r="H13689" s="35">
        <v>276</v>
      </c>
      <c r="I13689" s="33" t="s">
        <v>51</v>
      </c>
      <c r="J13689" s="42">
        <v>45169</v>
      </c>
      <c r="K13689" s="33" t="s">
        <v>22</v>
      </c>
    </row>
    <row r="13690" spans="1:11">
      <c r="A13690" s="30" t="s">
        <v>30934</v>
      </c>
      <c r="B13690" s="30" t="s">
        <v>30935</v>
      </c>
      <c r="C13690" s="30" t="s">
        <v>30936</v>
      </c>
      <c r="D13690" s="30" t="s">
        <v>17</v>
      </c>
      <c r="E13690" s="30" t="s">
        <v>67</v>
      </c>
      <c r="F13690" s="30" t="s">
        <v>68</v>
      </c>
      <c r="G13690" s="30" t="s">
        <v>158</v>
      </c>
      <c r="H13690" s="32">
        <v>120</v>
      </c>
      <c r="I13690" s="30" t="s">
        <v>51</v>
      </c>
      <c r="J13690" s="41">
        <v>44985</v>
      </c>
      <c r="K13690" s="30" t="s">
        <v>22</v>
      </c>
    </row>
    <row r="13691" spans="1:11">
      <c r="A13691" s="33" t="s">
        <v>30937</v>
      </c>
      <c r="B13691" s="33" t="s">
        <v>30938</v>
      </c>
      <c r="C13691" s="33" t="s">
        <v>353</v>
      </c>
      <c r="D13691" s="33" t="s">
        <v>17</v>
      </c>
      <c r="E13691" s="33" t="s">
        <v>31</v>
      </c>
      <c r="F13691" s="33" t="s">
        <v>32</v>
      </c>
      <c r="G13691" s="33" t="s">
        <v>50</v>
      </c>
      <c r="H13691" s="35">
        <v>381</v>
      </c>
      <c r="I13691" s="33" t="s">
        <v>51</v>
      </c>
      <c r="J13691" s="42">
        <v>44984</v>
      </c>
      <c r="K13691" s="33" t="s">
        <v>22</v>
      </c>
    </row>
    <row r="13692" spans="1:11">
      <c r="A13692" s="30" t="s">
        <v>30939</v>
      </c>
      <c r="B13692" s="30" t="s">
        <v>30940</v>
      </c>
      <c r="C13692" s="30" t="s">
        <v>8284</v>
      </c>
      <c r="D13692" s="30" t="s">
        <v>17</v>
      </c>
      <c r="E13692" s="30" t="s">
        <v>26</v>
      </c>
      <c r="F13692" s="30" t="s">
        <v>27</v>
      </c>
      <c r="G13692" s="30" t="s">
        <v>20</v>
      </c>
      <c r="H13692" s="32">
        <v>16</v>
      </c>
      <c r="I13692" s="30" t="s">
        <v>21</v>
      </c>
      <c r="J13692" s="41">
        <v>44947</v>
      </c>
      <c r="K13692" s="30" t="s">
        <v>22</v>
      </c>
    </row>
    <row r="13693" spans="1:11">
      <c r="A13693" s="33" t="s">
        <v>30941</v>
      </c>
      <c r="B13693" s="33" t="s">
        <v>30942</v>
      </c>
      <c r="C13693" s="33" t="s">
        <v>203</v>
      </c>
      <c r="D13693" s="33" t="s">
        <v>17</v>
      </c>
      <c r="E13693" s="33" t="s">
        <v>31</v>
      </c>
      <c r="F13693" s="33" t="s">
        <v>32</v>
      </c>
      <c r="G13693" s="33" t="s">
        <v>106</v>
      </c>
      <c r="H13693" s="35">
        <v>90</v>
      </c>
      <c r="I13693" s="33" t="s">
        <v>21</v>
      </c>
      <c r="J13693" s="42">
        <v>45231</v>
      </c>
      <c r="K13693" s="33" t="s">
        <v>22</v>
      </c>
    </row>
    <row r="13694" spans="1:11">
      <c r="A13694" s="30" t="s">
        <v>30943</v>
      </c>
      <c r="B13694" s="30" t="s">
        <v>30944</v>
      </c>
      <c r="C13694" s="30" t="s">
        <v>30945</v>
      </c>
      <c r="D13694" s="30" t="s">
        <v>17</v>
      </c>
      <c r="E13694" s="30" t="s">
        <v>31</v>
      </c>
      <c r="F13694" s="30" t="s">
        <v>32</v>
      </c>
      <c r="G13694" s="30" t="s">
        <v>158</v>
      </c>
      <c r="H13694" s="32">
        <v>150</v>
      </c>
      <c r="I13694" s="30" t="s">
        <v>51</v>
      </c>
      <c r="J13694" s="41">
        <v>45219</v>
      </c>
      <c r="K13694" s="30" t="s">
        <v>22</v>
      </c>
    </row>
    <row r="13695" spans="1:11">
      <c r="A13695" s="33" t="s">
        <v>30946</v>
      </c>
      <c r="B13695" s="33" t="s">
        <v>30947</v>
      </c>
      <c r="C13695" s="33" t="s">
        <v>30948</v>
      </c>
      <c r="D13695" s="33" t="s">
        <v>17</v>
      </c>
      <c r="E13695" s="33" t="s">
        <v>45</v>
      </c>
      <c r="F13695" s="33" t="s">
        <v>46</v>
      </c>
      <c r="G13695" s="33" t="s">
        <v>20</v>
      </c>
      <c r="H13695" s="35">
        <v>223</v>
      </c>
      <c r="I13695" s="33" t="s">
        <v>21</v>
      </c>
      <c r="J13695" s="42">
        <v>44982</v>
      </c>
      <c r="K13695" s="33" t="s">
        <v>22</v>
      </c>
    </row>
    <row r="13696" spans="1:11">
      <c r="A13696" s="30" t="s">
        <v>30949</v>
      </c>
      <c r="B13696" s="30" t="s">
        <v>30950</v>
      </c>
      <c r="C13696" s="30" t="s">
        <v>5817</v>
      </c>
      <c r="D13696" s="30" t="s">
        <v>17</v>
      </c>
      <c r="E13696" s="30" t="s">
        <v>31</v>
      </c>
      <c r="F13696" s="30" t="s">
        <v>32</v>
      </c>
      <c r="G13696" s="30" t="s">
        <v>20</v>
      </c>
      <c r="H13696" s="32">
        <v>12</v>
      </c>
      <c r="I13696" s="30" t="s">
        <v>21</v>
      </c>
      <c r="J13696" s="41">
        <v>44935</v>
      </c>
      <c r="K13696" s="30" t="s">
        <v>22</v>
      </c>
    </row>
    <row r="13697" spans="1:11">
      <c r="A13697" s="33" t="s">
        <v>30951</v>
      </c>
      <c r="B13697" s="33" t="s">
        <v>30952</v>
      </c>
      <c r="C13697" s="33" t="s">
        <v>6721</v>
      </c>
      <c r="D13697" s="33" t="s">
        <v>17</v>
      </c>
      <c r="E13697" s="33" t="s">
        <v>26</v>
      </c>
      <c r="F13697" s="33" t="s">
        <v>27</v>
      </c>
      <c r="G13697" s="33" t="s">
        <v>20</v>
      </c>
      <c r="H13697" s="35">
        <v>50</v>
      </c>
      <c r="I13697" s="33" t="s">
        <v>21</v>
      </c>
      <c r="J13697" s="42">
        <v>45074</v>
      </c>
      <c r="K13697" s="33" t="s">
        <v>22</v>
      </c>
    </row>
    <row r="13698" spans="1:11">
      <c r="A13698" s="30" t="s">
        <v>30953</v>
      </c>
      <c r="B13698" s="30" t="s">
        <v>30954</v>
      </c>
      <c r="C13698" s="30" t="s">
        <v>20420</v>
      </c>
      <c r="D13698" s="30" t="s">
        <v>17</v>
      </c>
      <c r="E13698" s="30" t="s">
        <v>31</v>
      </c>
      <c r="F13698" s="30" t="s">
        <v>32</v>
      </c>
      <c r="G13698" s="30" t="s">
        <v>20</v>
      </c>
      <c r="H13698" s="32">
        <v>81</v>
      </c>
      <c r="I13698" s="30" t="s">
        <v>21</v>
      </c>
      <c r="J13698" s="41">
        <v>45278</v>
      </c>
      <c r="K13698" s="30" t="s">
        <v>22</v>
      </c>
    </row>
    <row r="13699" spans="1:11">
      <c r="A13699" s="33" t="s">
        <v>30955</v>
      </c>
      <c r="B13699" s="33" t="s">
        <v>30956</v>
      </c>
      <c r="C13699" s="33" t="s">
        <v>60</v>
      </c>
      <c r="D13699" s="33" t="s">
        <v>17</v>
      </c>
      <c r="E13699" s="33" t="s">
        <v>26</v>
      </c>
      <c r="F13699" s="33" t="s">
        <v>27</v>
      </c>
      <c r="G13699" s="33" t="s">
        <v>20</v>
      </c>
      <c r="H13699" s="35">
        <v>72</v>
      </c>
      <c r="I13699" s="33" t="s">
        <v>21</v>
      </c>
      <c r="J13699" s="42">
        <v>45028</v>
      </c>
      <c r="K13699" s="33" t="s">
        <v>22</v>
      </c>
    </row>
    <row r="13700" spans="1:11">
      <c r="A13700" s="30" t="s">
        <v>30957</v>
      </c>
      <c r="B13700" s="30" t="s">
        <v>30958</v>
      </c>
      <c r="C13700" s="30" t="s">
        <v>7938</v>
      </c>
      <c r="D13700" s="30" t="s">
        <v>17</v>
      </c>
      <c r="E13700" s="30" t="s">
        <v>18</v>
      </c>
      <c r="F13700" s="30" t="s">
        <v>19</v>
      </c>
      <c r="G13700" s="30" t="s">
        <v>140</v>
      </c>
      <c r="H13700" s="32">
        <v>590</v>
      </c>
      <c r="I13700" s="30" t="s">
        <v>51</v>
      </c>
      <c r="J13700" s="41">
        <v>45178</v>
      </c>
      <c r="K13700" s="30" t="s">
        <v>22</v>
      </c>
    </row>
    <row r="13701" spans="1:11">
      <c r="A13701" s="33" t="s">
        <v>30959</v>
      </c>
      <c r="B13701" s="33" t="s">
        <v>30960</v>
      </c>
      <c r="C13701" s="33" t="s">
        <v>15917</v>
      </c>
      <c r="D13701" s="33" t="s">
        <v>17</v>
      </c>
      <c r="E13701" s="33" t="s">
        <v>31</v>
      </c>
      <c r="F13701" s="33" t="s">
        <v>32</v>
      </c>
      <c r="G13701" s="33" t="s">
        <v>20</v>
      </c>
      <c r="H13701" s="35">
        <v>97</v>
      </c>
      <c r="I13701" s="33" t="s">
        <v>21</v>
      </c>
      <c r="J13701" s="42">
        <v>44994</v>
      </c>
      <c r="K13701" s="33" t="s">
        <v>22</v>
      </c>
    </row>
    <row r="13702" spans="1:11">
      <c r="A13702" s="30" t="s">
        <v>30961</v>
      </c>
      <c r="B13702" s="30" t="s">
        <v>30962</v>
      </c>
      <c r="C13702" s="30" t="s">
        <v>1080</v>
      </c>
      <c r="D13702" s="30" t="s">
        <v>17</v>
      </c>
      <c r="E13702" s="30" t="s">
        <v>212</v>
      </c>
      <c r="F13702" s="30" t="s">
        <v>213</v>
      </c>
      <c r="G13702" s="30" t="s">
        <v>20</v>
      </c>
      <c r="H13702" s="32">
        <v>160</v>
      </c>
      <c r="I13702" s="30" t="s">
        <v>21</v>
      </c>
      <c r="J13702" s="41">
        <v>45098</v>
      </c>
      <c r="K13702" s="30" t="s">
        <v>22</v>
      </c>
    </row>
    <row r="13703" spans="1:11">
      <c r="A13703" s="33" t="s">
        <v>30963</v>
      </c>
      <c r="B13703" s="33" t="s">
        <v>30964</v>
      </c>
      <c r="C13703" s="33" t="s">
        <v>3917</v>
      </c>
      <c r="D13703" s="33" t="s">
        <v>17</v>
      </c>
      <c r="E13703" s="33" t="s">
        <v>67</v>
      </c>
      <c r="F13703" s="33" t="s">
        <v>68</v>
      </c>
      <c r="G13703" s="33" t="s">
        <v>106</v>
      </c>
      <c r="H13703" s="35">
        <v>41</v>
      </c>
      <c r="I13703" s="33" t="s">
        <v>21</v>
      </c>
      <c r="J13703" s="42">
        <v>45020</v>
      </c>
      <c r="K13703" s="33" t="s">
        <v>22</v>
      </c>
    </row>
    <row r="13704" spans="1:11">
      <c r="A13704" s="30" t="s">
        <v>30965</v>
      </c>
      <c r="B13704" s="30" t="s">
        <v>30966</v>
      </c>
      <c r="C13704" s="30" t="s">
        <v>30967</v>
      </c>
      <c r="D13704" s="30" t="s">
        <v>17</v>
      </c>
      <c r="E13704" s="30" t="s">
        <v>67</v>
      </c>
      <c r="F13704" s="30" t="s">
        <v>68</v>
      </c>
      <c r="G13704" s="30" t="s">
        <v>106</v>
      </c>
      <c r="H13704" s="32">
        <v>1</v>
      </c>
      <c r="I13704" s="30" t="s">
        <v>21</v>
      </c>
      <c r="J13704" s="41">
        <v>45245</v>
      </c>
      <c r="K13704" s="30" t="s">
        <v>22</v>
      </c>
    </row>
    <row r="13705" spans="1:11">
      <c r="A13705" s="33" t="s">
        <v>30968</v>
      </c>
      <c r="B13705" s="33" t="s">
        <v>30969</v>
      </c>
      <c r="C13705" s="33" t="s">
        <v>3757</v>
      </c>
      <c r="D13705" s="33" t="s">
        <v>17</v>
      </c>
      <c r="E13705" s="33" t="s">
        <v>18</v>
      </c>
      <c r="F13705" s="33" t="s">
        <v>19</v>
      </c>
      <c r="G13705" s="33" t="s">
        <v>140</v>
      </c>
      <c r="H13705" s="35">
        <v>480</v>
      </c>
      <c r="I13705" s="33" t="s">
        <v>51</v>
      </c>
      <c r="J13705" s="42">
        <v>45246</v>
      </c>
      <c r="K13705" s="33" t="s">
        <v>22</v>
      </c>
    </row>
    <row r="13706" spans="1:11">
      <c r="A13706" s="30" t="s">
        <v>30970</v>
      </c>
      <c r="B13706" s="30" t="s">
        <v>30971</v>
      </c>
      <c r="C13706" s="30" t="s">
        <v>149</v>
      </c>
      <c r="D13706" s="30" t="s">
        <v>17</v>
      </c>
      <c r="E13706" s="30" t="s">
        <v>31</v>
      </c>
      <c r="F13706" s="30" t="s">
        <v>32</v>
      </c>
      <c r="G13706" s="30" t="s">
        <v>50</v>
      </c>
      <c r="H13706" s="32">
        <v>90</v>
      </c>
      <c r="I13706" s="30" t="s">
        <v>51</v>
      </c>
      <c r="J13706" s="41">
        <v>45200</v>
      </c>
      <c r="K13706" s="30" t="s">
        <v>22</v>
      </c>
    </row>
    <row r="13707" spans="1:11">
      <c r="A13707" s="33" t="s">
        <v>30972</v>
      </c>
      <c r="B13707" s="33" t="s">
        <v>30973</v>
      </c>
      <c r="C13707" s="33" t="s">
        <v>136</v>
      </c>
      <c r="D13707" s="33" t="s">
        <v>17</v>
      </c>
      <c r="E13707" s="33" t="s">
        <v>26</v>
      </c>
      <c r="F13707" s="33" t="s">
        <v>27</v>
      </c>
      <c r="G13707" s="33" t="s">
        <v>106</v>
      </c>
      <c r="H13707" s="35">
        <v>18</v>
      </c>
      <c r="I13707" s="33" t="s">
        <v>21</v>
      </c>
      <c r="J13707" s="42">
        <v>45231</v>
      </c>
      <c r="K13707" s="33" t="s">
        <v>22</v>
      </c>
    </row>
    <row r="13708" spans="1:11">
      <c r="A13708" s="30" t="s">
        <v>30974</v>
      </c>
      <c r="B13708" s="30" t="s">
        <v>30975</v>
      </c>
      <c r="C13708" s="30" t="s">
        <v>1826</v>
      </c>
      <c r="D13708" s="30" t="s">
        <v>17</v>
      </c>
      <c r="E13708" s="30" t="s">
        <v>212</v>
      </c>
      <c r="F13708" s="30" t="s">
        <v>213</v>
      </c>
      <c r="G13708" s="30" t="s">
        <v>20</v>
      </c>
      <c r="H13708" s="32">
        <v>15</v>
      </c>
      <c r="I13708" s="30" t="s">
        <v>21</v>
      </c>
      <c r="J13708" s="41">
        <v>45069</v>
      </c>
      <c r="K13708" s="30" t="s">
        <v>22</v>
      </c>
    </row>
    <row r="13709" spans="1:11">
      <c r="A13709" s="33" t="s">
        <v>30976</v>
      </c>
      <c r="B13709" s="33" t="s">
        <v>30977</v>
      </c>
      <c r="C13709" s="33" t="s">
        <v>96</v>
      </c>
      <c r="D13709" s="33" t="s">
        <v>17</v>
      </c>
      <c r="E13709" s="33" t="s">
        <v>26</v>
      </c>
      <c r="F13709" s="33" t="s">
        <v>27</v>
      </c>
      <c r="G13709" s="33" t="s">
        <v>106</v>
      </c>
      <c r="H13709" s="35">
        <v>32</v>
      </c>
      <c r="I13709" s="33" t="s">
        <v>21</v>
      </c>
      <c r="J13709" s="42">
        <v>44945</v>
      </c>
      <c r="K13709" s="33" t="s">
        <v>22</v>
      </c>
    </row>
    <row r="13710" spans="1:11">
      <c r="A13710" s="30" t="s">
        <v>30978</v>
      </c>
      <c r="B13710" s="30" t="s">
        <v>30979</v>
      </c>
      <c r="C13710" s="30" t="s">
        <v>3610</v>
      </c>
      <c r="D13710" s="30" t="s">
        <v>17</v>
      </c>
      <c r="E13710" s="30" t="s">
        <v>31</v>
      </c>
      <c r="F13710" s="30" t="s">
        <v>32</v>
      </c>
      <c r="G13710" s="30" t="s">
        <v>20</v>
      </c>
      <c r="H13710" s="32">
        <v>180</v>
      </c>
      <c r="I13710" s="30" t="s">
        <v>21</v>
      </c>
      <c r="J13710" s="41">
        <v>45042</v>
      </c>
      <c r="K13710" s="30" t="s">
        <v>22</v>
      </c>
    </row>
    <row r="13711" spans="1:11">
      <c r="A13711" s="33" t="s">
        <v>30980</v>
      </c>
      <c r="B13711" s="33" t="s">
        <v>30981</v>
      </c>
      <c r="C13711" s="33" t="s">
        <v>30982</v>
      </c>
      <c r="D13711" s="33" t="s">
        <v>17</v>
      </c>
      <c r="E13711" s="33" t="s">
        <v>31</v>
      </c>
      <c r="F13711" s="33" t="s">
        <v>32</v>
      </c>
      <c r="G13711" s="33" t="s">
        <v>20</v>
      </c>
      <c r="H13711" s="35">
        <v>46</v>
      </c>
      <c r="I13711" s="33" t="s">
        <v>21</v>
      </c>
      <c r="J13711" s="42">
        <v>45061</v>
      </c>
      <c r="K13711" s="33" t="s">
        <v>22</v>
      </c>
    </row>
    <row r="13712" spans="1:11">
      <c r="A13712" s="30" t="s">
        <v>30983</v>
      </c>
      <c r="B13712" s="30" t="s">
        <v>30984</v>
      </c>
      <c r="C13712" s="30" t="s">
        <v>190</v>
      </c>
      <c r="D13712" s="30" t="s">
        <v>17</v>
      </c>
      <c r="E13712" s="30" t="s">
        <v>26</v>
      </c>
      <c r="F13712" s="30" t="s">
        <v>27</v>
      </c>
      <c r="G13712" s="30" t="s">
        <v>20</v>
      </c>
      <c r="H13712" s="32">
        <v>104</v>
      </c>
      <c r="I13712" s="30" t="s">
        <v>21</v>
      </c>
      <c r="J13712" s="41">
        <v>45243</v>
      </c>
      <c r="K13712" s="30" t="s">
        <v>22</v>
      </c>
    </row>
    <row r="13713" spans="1:11">
      <c r="A13713" s="33" t="s">
        <v>30985</v>
      </c>
      <c r="B13713" s="33" t="s">
        <v>30986</v>
      </c>
      <c r="C13713" s="33" t="s">
        <v>17990</v>
      </c>
      <c r="D13713" s="33" t="s">
        <v>17</v>
      </c>
      <c r="E13713" s="33" t="s">
        <v>18</v>
      </c>
      <c r="F13713" s="33" t="s">
        <v>19</v>
      </c>
      <c r="G13713" s="33" t="s">
        <v>140</v>
      </c>
      <c r="H13713" s="35">
        <v>184</v>
      </c>
      <c r="I13713" s="33" t="s">
        <v>51</v>
      </c>
      <c r="J13713" s="42">
        <v>45272</v>
      </c>
      <c r="K13713" s="33" t="s">
        <v>22</v>
      </c>
    </row>
    <row r="13714" spans="1:11">
      <c r="A13714" s="30" t="s">
        <v>30987</v>
      </c>
      <c r="B13714" s="30" t="s">
        <v>30988</v>
      </c>
      <c r="C13714" s="30" t="s">
        <v>30989</v>
      </c>
      <c r="D13714" s="30" t="s">
        <v>17</v>
      </c>
      <c r="E13714" s="30" t="s">
        <v>26</v>
      </c>
      <c r="F13714" s="30" t="s">
        <v>27</v>
      </c>
      <c r="G13714" s="30" t="s">
        <v>20</v>
      </c>
      <c r="H13714" s="32">
        <v>40</v>
      </c>
      <c r="I13714" s="30" t="s">
        <v>21</v>
      </c>
      <c r="J13714" s="41">
        <v>44980</v>
      </c>
      <c r="K13714" s="30" t="s">
        <v>22</v>
      </c>
    </row>
    <row r="13715" spans="1:11">
      <c r="A13715" s="33" t="s">
        <v>30990</v>
      </c>
      <c r="B13715" s="33" t="s">
        <v>30991</v>
      </c>
      <c r="C13715" s="33" t="s">
        <v>178</v>
      </c>
      <c r="D13715" s="33" t="s">
        <v>17</v>
      </c>
      <c r="E13715" s="33" t="s">
        <v>18</v>
      </c>
      <c r="F13715" s="33" t="s">
        <v>19</v>
      </c>
      <c r="G13715" s="33" t="s">
        <v>158</v>
      </c>
      <c r="H13715" s="35">
        <v>1130</v>
      </c>
      <c r="I13715" s="33" t="s">
        <v>21</v>
      </c>
      <c r="J13715" s="42">
        <v>45187</v>
      </c>
      <c r="K13715" s="33" t="s">
        <v>22</v>
      </c>
    </row>
    <row r="13716" spans="1:11">
      <c r="A13716" s="30" t="s">
        <v>30992</v>
      </c>
      <c r="B13716" s="30" t="s">
        <v>30993</v>
      </c>
      <c r="C13716" s="30" t="s">
        <v>985</v>
      </c>
      <c r="D13716" s="30" t="s">
        <v>17</v>
      </c>
      <c r="E13716" s="30" t="s">
        <v>31</v>
      </c>
      <c r="F13716" s="30" t="s">
        <v>32</v>
      </c>
      <c r="G13716" s="30" t="s">
        <v>20</v>
      </c>
      <c r="H13716" s="32">
        <v>275</v>
      </c>
      <c r="I13716" s="30" t="s">
        <v>21</v>
      </c>
      <c r="J13716" s="41">
        <v>45076</v>
      </c>
      <c r="K13716" s="30" t="s">
        <v>22</v>
      </c>
    </row>
    <row r="13717" spans="1:11">
      <c r="A13717" s="33" t="s">
        <v>30994</v>
      </c>
      <c r="B13717" s="33" t="s">
        <v>30995</v>
      </c>
      <c r="C13717" s="33" t="s">
        <v>4210</v>
      </c>
      <c r="D13717" s="33" t="s">
        <v>17</v>
      </c>
      <c r="E13717" s="33" t="s">
        <v>31</v>
      </c>
      <c r="F13717" s="33" t="s">
        <v>32</v>
      </c>
      <c r="G13717" s="33" t="s">
        <v>50</v>
      </c>
      <c r="H13717" s="35">
        <v>10</v>
      </c>
      <c r="I13717" s="33" t="s">
        <v>21</v>
      </c>
      <c r="J13717" s="42">
        <v>45155</v>
      </c>
      <c r="K13717" s="33" t="s">
        <v>22</v>
      </c>
    </row>
    <row r="13718" spans="1:11">
      <c r="A13718" s="30" t="s">
        <v>30996</v>
      </c>
      <c r="B13718" s="30" t="s">
        <v>30997</v>
      </c>
      <c r="C13718" s="30" t="s">
        <v>96</v>
      </c>
      <c r="D13718" s="30" t="s">
        <v>17</v>
      </c>
      <c r="E13718" s="30" t="s">
        <v>26</v>
      </c>
      <c r="F13718" s="30" t="s">
        <v>27</v>
      </c>
      <c r="G13718" s="30" t="s">
        <v>20</v>
      </c>
      <c r="H13718" s="32">
        <v>40</v>
      </c>
      <c r="I13718" s="30" t="s">
        <v>21</v>
      </c>
      <c r="J13718" s="41">
        <v>45233</v>
      </c>
      <c r="K13718" s="30" t="s">
        <v>22</v>
      </c>
    </row>
    <row r="13719" spans="1:11">
      <c r="A13719" s="33" t="s">
        <v>30998</v>
      </c>
      <c r="B13719" s="33" t="s">
        <v>30999</v>
      </c>
      <c r="C13719" s="33" t="s">
        <v>31000</v>
      </c>
      <c r="D13719" s="33" t="s">
        <v>17</v>
      </c>
      <c r="E13719" s="33" t="s">
        <v>31</v>
      </c>
      <c r="F13719" s="33" t="s">
        <v>32</v>
      </c>
      <c r="G13719" s="33" t="s">
        <v>20</v>
      </c>
      <c r="H13719" s="35">
        <v>152</v>
      </c>
      <c r="I13719" s="33" t="s">
        <v>21</v>
      </c>
      <c r="J13719" s="42">
        <v>44972</v>
      </c>
      <c r="K13719" s="33" t="s">
        <v>22</v>
      </c>
    </row>
    <row r="13720" spans="1:11">
      <c r="A13720" s="30" t="s">
        <v>31001</v>
      </c>
      <c r="B13720" s="30" t="s">
        <v>31002</v>
      </c>
      <c r="C13720" s="30" t="s">
        <v>6041</v>
      </c>
      <c r="D13720" s="30" t="s">
        <v>17</v>
      </c>
      <c r="E13720" s="30" t="s">
        <v>18</v>
      </c>
      <c r="F13720" s="30" t="s">
        <v>19</v>
      </c>
      <c r="G13720" s="30" t="s">
        <v>20</v>
      </c>
      <c r="H13720" s="32">
        <v>71</v>
      </c>
      <c r="I13720" s="30" t="s">
        <v>21</v>
      </c>
      <c r="J13720" s="41">
        <v>45047</v>
      </c>
      <c r="K13720" s="30" t="s">
        <v>22</v>
      </c>
    </row>
    <row r="13721" spans="1:11">
      <c r="A13721" s="33" t="s">
        <v>31003</v>
      </c>
      <c r="B13721" s="33" t="s">
        <v>31004</v>
      </c>
      <c r="C13721" s="33" t="s">
        <v>31005</v>
      </c>
      <c r="D13721" s="33" t="s">
        <v>17</v>
      </c>
      <c r="E13721" s="33" t="s">
        <v>26</v>
      </c>
      <c r="F13721" s="33" t="s">
        <v>27</v>
      </c>
      <c r="G13721" s="33" t="s">
        <v>20</v>
      </c>
      <c r="H13721" s="35">
        <v>10</v>
      </c>
      <c r="I13721" s="33" t="s">
        <v>21</v>
      </c>
      <c r="J13721" s="42">
        <v>45230</v>
      </c>
      <c r="K13721" s="33" t="s">
        <v>22</v>
      </c>
    </row>
    <row r="13722" spans="1:11">
      <c r="A13722" s="30" t="s">
        <v>31006</v>
      </c>
      <c r="B13722" s="30" t="s">
        <v>31007</v>
      </c>
      <c r="C13722" s="30" t="s">
        <v>7649</v>
      </c>
      <c r="D13722" s="30" t="s">
        <v>17</v>
      </c>
      <c r="E13722" s="30" t="s">
        <v>18</v>
      </c>
      <c r="F13722" s="30" t="s">
        <v>19</v>
      </c>
      <c r="G13722" s="30" t="s">
        <v>140</v>
      </c>
      <c r="H13722" s="32">
        <v>1200</v>
      </c>
      <c r="I13722" s="30" t="s">
        <v>51</v>
      </c>
      <c r="J13722" s="41">
        <v>45273</v>
      </c>
      <c r="K13722" s="30" t="s">
        <v>22</v>
      </c>
    </row>
    <row r="13723" spans="1:11">
      <c r="A13723" s="33" t="s">
        <v>31008</v>
      </c>
      <c r="B13723" s="33" t="s">
        <v>31009</v>
      </c>
      <c r="C13723" s="33" t="s">
        <v>10311</v>
      </c>
      <c r="D13723" s="33" t="s">
        <v>17</v>
      </c>
      <c r="E13723" s="33" t="s">
        <v>26</v>
      </c>
      <c r="F13723" s="33" t="s">
        <v>27</v>
      </c>
      <c r="G13723" s="33" t="s">
        <v>20</v>
      </c>
      <c r="H13723" s="35">
        <v>10</v>
      </c>
      <c r="I13723" s="33" t="s">
        <v>21</v>
      </c>
      <c r="J13723" s="42">
        <v>45089</v>
      </c>
      <c r="K13723" s="33" t="s">
        <v>22</v>
      </c>
    </row>
    <row r="13724" spans="1:11">
      <c r="A13724" s="30" t="s">
        <v>31010</v>
      </c>
      <c r="B13724" s="30" t="s">
        <v>31011</v>
      </c>
      <c r="C13724" s="30" t="s">
        <v>4476</v>
      </c>
      <c r="D13724" s="30" t="s">
        <v>17</v>
      </c>
      <c r="E13724" s="30" t="s">
        <v>31</v>
      </c>
      <c r="F13724" s="30" t="s">
        <v>32</v>
      </c>
      <c r="G13724" s="30" t="s">
        <v>50</v>
      </c>
      <c r="H13724" s="32">
        <v>80</v>
      </c>
      <c r="I13724" s="30" t="s">
        <v>51</v>
      </c>
      <c r="J13724" s="41">
        <v>45078</v>
      </c>
      <c r="K13724" s="30" t="s">
        <v>22</v>
      </c>
    </row>
    <row r="13725" spans="1:11">
      <c r="A13725" s="33" t="s">
        <v>31012</v>
      </c>
      <c r="B13725" s="33" t="s">
        <v>31013</v>
      </c>
      <c r="C13725" s="33" t="s">
        <v>29714</v>
      </c>
      <c r="D13725" s="33" t="s">
        <v>17</v>
      </c>
      <c r="E13725" s="33" t="s">
        <v>330</v>
      </c>
      <c r="F13725" s="33" t="s">
        <v>331</v>
      </c>
      <c r="G13725" s="33" t="s">
        <v>20</v>
      </c>
      <c r="H13725" s="35">
        <v>6</v>
      </c>
      <c r="I13725" s="33" t="s">
        <v>21</v>
      </c>
      <c r="J13725" s="42">
        <v>44985</v>
      </c>
      <c r="K13725" s="33" t="s">
        <v>22</v>
      </c>
    </row>
    <row r="13726" spans="1:11">
      <c r="A13726" s="30" t="s">
        <v>31014</v>
      </c>
      <c r="B13726" s="30" t="s">
        <v>31015</v>
      </c>
      <c r="C13726" s="30" t="s">
        <v>1428</v>
      </c>
      <c r="D13726" s="30" t="s">
        <v>17</v>
      </c>
      <c r="E13726" s="30" t="s">
        <v>31</v>
      </c>
      <c r="F13726" s="30" t="s">
        <v>32</v>
      </c>
      <c r="G13726" s="30" t="s">
        <v>50</v>
      </c>
      <c r="H13726" s="32">
        <v>600</v>
      </c>
      <c r="I13726" s="30" t="s">
        <v>51</v>
      </c>
      <c r="J13726" s="41">
        <v>45148</v>
      </c>
      <c r="K13726" s="30" t="s">
        <v>22</v>
      </c>
    </row>
    <row r="13727" spans="1:11">
      <c r="A13727" s="33" t="s">
        <v>31016</v>
      </c>
      <c r="B13727" s="33" t="s">
        <v>31017</v>
      </c>
      <c r="C13727" s="33" t="s">
        <v>17688</v>
      </c>
      <c r="D13727" s="33" t="s">
        <v>17</v>
      </c>
      <c r="E13727" s="33" t="s">
        <v>31</v>
      </c>
      <c r="F13727" s="33" t="s">
        <v>32</v>
      </c>
      <c r="G13727" s="33" t="s">
        <v>20</v>
      </c>
      <c r="H13727" s="35">
        <v>22</v>
      </c>
      <c r="I13727" s="33" t="s">
        <v>21</v>
      </c>
      <c r="J13727" s="42">
        <v>45138</v>
      </c>
      <c r="K13727" s="33" t="s">
        <v>22</v>
      </c>
    </row>
    <row r="13728" spans="1:11">
      <c r="A13728" s="30" t="s">
        <v>31018</v>
      </c>
      <c r="B13728" s="30" t="s">
        <v>31019</v>
      </c>
      <c r="C13728" s="30" t="s">
        <v>795</v>
      </c>
      <c r="D13728" s="30" t="s">
        <v>17</v>
      </c>
      <c r="E13728" s="30" t="s">
        <v>67</v>
      </c>
      <c r="F13728" s="30" t="s">
        <v>68</v>
      </c>
      <c r="G13728" s="30" t="s">
        <v>106</v>
      </c>
      <c r="H13728" s="32">
        <v>42</v>
      </c>
      <c r="I13728" s="30" t="s">
        <v>21</v>
      </c>
      <c r="J13728" s="41">
        <v>45000</v>
      </c>
      <c r="K13728" s="30" t="s">
        <v>22</v>
      </c>
    </row>
    <row r="13729" spans="1:11">
      <c r="A13729" s="33" t="s">
        <v>31020</v>
      </c>
      <c r="B13729" s="33" t="s">
        <v>31021</v>
      </c>
      <c r="C13729" s="33" t="s">
        <v>31022</v>
      </c>
      <c r="D13729" s="33" t="s">
        <v>17</v>
      </c>
      <c r="E13729" s="33" t="s">
        <v>67</v>
      </c>
      <c r="F13729" s="33" t="s">
        <v>68</v>
      </c>
      <c r="G13729" s="33" t="s">
        <v>140</v>
      </c>
      <c r="H13729" s="35">
        <v>92</v>
      </c>
      <c r="I13729" s="33" t="s">
        <v>51</v>
      </c>
      <c r="J13729" s="42">
        <v>45191</v>
      </c>
      <c r="K13729" s="33" t="s">
        <v>22</v>
      </c>
    </row>
    <row r="13730" spans="1:11">
      <c r="A13730" s="30" t="s">
        <v>31023</v>
      </c>
      <c r="B13730" s="30" t="s">
        <v>31024</v>
      </c>
      <c r="C13730" s="30" t="s">
        <v>31025</v>
      </c>
      <c r="D13730" s="30" t="s">
        <v>17</v>
      </c>
      <c r="E13730" s="30" t="s">
        <v>18</v>
      </c>
      <c r="F13730" s="30" t="s">
        <v>19</v>
      </c>
      <c r="G13730" s="30" t="s">
        <v>158</v>
      </c>
      <c r="H13730" s="32">
        <v>750</v>
      </c>
      <c r="I13730" s="30" t="s">
        <v>51</v>
      </c>
      <c r="J13730" s="41">
        <v>45131</v>
      </c>
      <c r="K13730" s="30" t="s">
        <v>22</v>
      </c>
    </row>
    <row r="13731" spans="1:11">
      <c r="A13731" s="33" t="s">
        <v>31026</v>
      </c>
      <c r="B13731" s="33" t="s">
        <v>31027</v>
      </c>
      <c r="C13731" s="33" t="s">
        <v>7787</v>
      </c>
      <c r="D13731" s="33" t="s">
        <v>17</v>
      </c>
      <c r="E13731" s="33" t="s">
        <v>212</v>
      </c>
      <c r="F13731" s="33" t="s">
        <v>213</v>
      </c>
      <c r="G13731" s="33" t="s">
        <v>20</v>
      </c>
      <c r="H13731" s="35">
        <v>132</v>
      </c>
      <c r="I13731" s="33" t="s">
        <v>21</v>
      </c>
      <c r="J13731" s="42">
        <v>44986</v>
      </c>
      <c r="K13731" s="33" t="s">
        <v>22</v>
      </c>
    </row>
    <row r="13732" spans="1:11">
      <c r="A13732" s="30" t="s">
        <v>31028</v>
      </c>
      <c r="B13732" s="30" t="s">
        <v>31029</v>
      </c>
      <c r="C13732" s="30" t="s">
        <v>1313</v>
      </c>
      <c r="D13732" s="30" t="s">
        <v>17</v>
      </c>
      <c r="E13732" s="30" t="s">
        <v>26</v>
      </c>
      <c r="F13732" s="30" t="s">
        <v>27</v>
      </c>
      <c r="G13732" s="30" t="s">
        <v>112</v>
      </c>
      <c r="H13732" s="32">
        <v>0</v>
      </c>
      <c r="I13732" s="30" t="s">
        <v>21</v>
      </c>
      <c r="J13732" s="41">
        <v>45170</v>
      </c>
      <c r="K13732" s="30" t="s">
        <v>22</v>
      </c>
    </row>
    <row r="13733" spans="1:11">
      <c r="A13733" s="33" t="s">
        <v>31030</v>
      </c>
      <c r="B13733" s="33" t="s">
        <v>31031</v>
      </c>
      <c r="C13733" s="33" t="s">
        <v>31032</v>
      </c>
      <c r="D13733" s="33" t="s">
        <v>17</v>
      </c>
      <c r="E13733" s="33" t="s">
        <v>18</v>
      </c>
      <c r="F13733" s="33" t="s">
        <v>19</v>
      </c>
      <c r="G13733" s="33" t="s">
        <v>158</v>
      </c>
      <c r="H13733" s="35">
        <v>83</v>
      </c>
      <c r="I13733" s="33" t="s">
        <v>51</v>
      </c>
      <c r="J13733" s="42">
        <v>44957</v>
      </c>
      <c r="K13733" s="33" t="s">
        <v>22</v>
      </c>
    </row>
    <row r="13734" spans="1:11">
      <c r="A13734" s="30" t="s">
        <v>31033</v>
      </c>
      <c r="B13734" s="30" t="s">
        <v>31034</v>
      </c>
      <c r="C13734" s="30" t="s">
        <v>157</v>
      </c>
      <c r="D13734" s="30" t="s">
        <v>17</v>
      </c>
      <c r="E13734" s="30" t="s">
        <v>26</v>
      </c>
      <c r="F13734" s="30" t="s">
        <v>27</v>
      </c>
      <c r="G13734" s="30" t="s">
        <v>20</v>
      </c>
      <c r="H13734" s="32">
        <v>172</v>
      </c>
      <c r="I13734" s="30" t="s">
        <v>21</v>
      </c>
      <c r="J13734" s="41">
        <v>45149</v>
      </c>
      <c r="K13734" s="30" t="s">
        <v>22</v>
      </c>
    </row>
    <row r="13735" spans="1:11">
      <c r="A13735" s="33" t="s">
        <v>31035</v>
      </c>
      <c r="B13735" s="33" t="s">
        <v>31036</v>
      </c>
      <c r="C13735" s="33" t="s">
        <v>1350</v>
      </c>
      <c r="D13735" s="33" t="s">
        <v>17</v>
      </c>
      <c r="E13735" s="33" t="s">
        <v>67</v>
      </c>
      <c r="F13735" s="33" t="s">
        <v>68</v>
      </c>
      <c r="G13735" s="33" t="s">
        <v>158</v>
      </c>
      <c r="H13735" s="35">
        <v>725</v>
      </c>
      <c r="I13735" s="33" t="s">
        <v>51</v>
      </c>
      <c r="J13735" s="42">
        <v>45000</v>
      </c>
      <c r="K13735" s="33" t="s">
        <v>22</v>
      </c>
    </row>
    <row r="13736" spans="1:11">
      <c r="A13736" s="30" t="s">
        <v>31037</v>
      </c>
      <c r="B13736" s="30" t="s">
        <v>31038</v>
      </c>
      <c r="C13736" s="30" t="s">
        <v>30884</v>
      </c>
      <c r="D13736" s="30" t="s">
        <v>17</v>
      </c>
      <c r="E13736" s="30" t="s">
        <v>26</v>
      </c>
      <c r="F13736" s="30" t="s">
        <v>27</v>
      </c>
      <c r="G13736" s="30" t="s">
        <v>20</v>
      </c>
      <c r="H13736" s="32">
        <v>41</v>
      </c>
      <c r="I13736" s="30" t="s">
        <v>21</v>
      </c>
      <c r="J13736" s="41">
        <v>45017</v>
      </c>
      <c r="K13736" s="30" t="s">
        <v>22</v>
      </c>
    </row>
    <row r="13737" spans="1:11">
      <c r="A13737" s="33" t="s">
        <v>31039</v>
      </c>
      <c r="B13737" s="33" t="s">
        <v>31040</v>
      </c>
      <c r="C13737" s="33" t="s">
        <v>3647</v>
      </c>
      <c r="D13737" s="33" t="s">
        <v>17</v>
      </c>
      <c r="E13737" s="33" t="s">
        <v>26</v>
      </c>
      <c r="F13737" s="33" t="s">
        <v>27</v>
      </c>
      <c r="G13737" s="33" t="s">
        <v>20</v>
      </c>
      <c r="H13737" s="35">
        <v>20</v>
      </c>
      <c r="I13737" s="33" t="s">
        <v>21</v>
      </c>
      <c r="J13737" s="42">
        <v>45103</v>
      </c>
      <c r="K13737" s="33" t="s">
        <v>22</v>
      </c>
    </row>
    <row r="13738" spans="1:11">
      <c r="A13738" s="30" t="s">
        <v>31041</v>
      </c>
      <c r="B13738" s="30" t="s">
        <v>31042</v>
      </c>
      <c r="C13738" s="30" t="s">
        <v>17431</v>
      </c>
      <c r="D13738" s="30" t="s">
        <v>17</v>
      </c>
      <c r="E13738" s="30" t="s">
        <v>26</v>
      </c>
      <c r="F13738" s="30" t="s">
        <v>27</v>
      </c>
      <c r="G13738" s="30" t="s">
        <v>20</v>
      </c>
      <c r="H13738" s="32">
        <v>28</v>
      </c>
      <c r="I13738" s="30" t="s">
        <v>21</v>
      </c>
      <c r="J13738" s="41">
        <v>45218</v>
      </c>
      <c r="K13738" s="30" t="s">
        <v>22</v>
      </c>
    </row>
    <row r="13739" spans="1:11">
      <c r="A13739" s="33" t="s">
        <v>31043</v>
      </c>
      <c r="B13739" s="33" t="s">
        <v>31044</v>
      </c>
      <c r="C13739" s="33" t="s">
        <v>11353</v>
      </c>
      <c r="D13739" s="33" t="s">
        <v>17</v>
      </c>
      <c r="E13739" s="33" t="s">
        <v>26</v>
      </c>
      <c r="F13739" s="33" t="s">
        <v>27</v>
      </c>
      <c r="G13739" s="33" t="s">
        <v>50</v>
      </c>
      <c r="H13739" s="35">
        <v>64</v>
      </c>
      <c r="I13739" s="33" t="s">
        <v>51</v>
      </c>
      <c r="J13739" s="42">
        <v>44992</v>
      </c>
      <c r="K13739" s="33" t="s">
        <v>22</v>
      </c>
    </row>
    <row r="13740" spans="1:11">
      <c r="A13740" s="30" t="s">
        <v>31045</v>
      </c>
      <c r="B13740" s="30" t="s">
        <v>31046</v>
      </c>
      <c r="C13740" s="30" t="s">
        <v>18047</v>
      </c>
      <c r="D13740" s="30" t="s">
        <v>17</v>
      </c>
      <c r="E13740" s="30" t="s">
        <v>31</v>
      </c>
      <c r="F13740" s="30" t="s">
        <v>32</v>
      </c>
      <c r="G13740" s="30" t="s">
        <v>20</v>
      </c>
      <c r="H13740" s="32">
        <v>243</v>
      </c>
      <c r="I13740" s="30" t="s">
        <v>21</v>
      </c>
      <c r="J13740" s="41">
        <v>45146</v>
      </c>
      <c r="K13740" s="30" t="s">
        <v>22</v>
      </c>
    </row>
    <row r="13741" spans="1:11">
      <c r="A13741" s="33" t="s">
        <v>31047</v>
      </c>
      <c r="B13741" s="33" t="s">
        <v>31048</v>
      </c>
      <c r="C13741" s="33" t="s">
        <v>31049</v>
      </c>
      <c r="D13741" s="33" t="s">
        <v>17</v>
      </c>
      <c r="E13741" s="33" t="s">
        <v>31</v>
      </c>
      <c r="F13741" s="33" t="s">
        <v>32</v>
      </c>
      <c r="G13741" s="33" t="s">
        <v>50</v>
      </c>
      <c r="H13741" s="35">
        <v>48</v>
      </c>
      <c r="I13741" s="33" t="s">
        <v>51</v>
      </c>
      <c r="J13741" s="42">
        <v>45224</v>
      </c>
      <c r="K13741" s="33" t="s">
        <v>22</v>
      </c>
    </row>
    <row r="13742" spans="1:11">
      <c r="A13742" s="30" t="s">
        <v>31050</v>
      </c>
      <c r="B13742" s="30" t="s">
        <v>31051</v>
      </c>
      <c r="C13742" s="30" t="s">
        <v>11537</v>
      </c>
      <c r="D13742" s="30" t="s">
        <v>17</v>
      </c>
      <c r="E13742" s="30" t="s">
        <v>31</v>
      </c>
      <c r="F13742" s="30" t="s">
        <v>32</v>
      </c>
      <c r="G13742" s="30" t="s">
        <v>158</v>
      </c>
      <c r="H13742" s="32">
        <v>237</v>
      </c>
      <c r="I13742" s="30" t="s">
        <v>51</v>
      </c>
      <c r="J13742" s="41">
        <v>45016</v>
      </c>
      <c r="K13742" s="30" t="s">
        <v>22</v>
      </c>
    </row>
    <row r="13743" spans="1:11">
      <c r="A13743" s="33" t="s">
        <v>31052</v>
      </c>
      <c r="B13743" s="33" t="s">
        <v>31053</v>
      </c>
      <c r="C13743" s="33" t="s">
        <v>31054</v>
      </c>
      <c r="D13743" s="33" t="s">
        <v>17</v>
      </c>
      <c r="E13743" s="33" t="s">
        <v>26</v>
      </c>
      <c r="F13743" s="33" t="s">
        <v>27</v>
      </c>
      <c r="G13743" s="33" t="s">
        <v>140</v>
      </c>
      <c r="H13743" s="35">
        <v>18</v>
      </c>
      <c r="I13743" s="33" t="s">
        <v>51</v>
      </c>
      <c r="J13743" s="42">
        <v>45152</v>
      </c>
      <c r="K13743" s="33" t="s">
        <v>22</v>
      </c>
    </row>
    <row r="13744" spans="1:11">
      <c r="A13744" s="30" t="s">
        <v>31055</v>
      </c>
      <c r="B13744" s="30" t="s">
        <v>31056</v>
      </c>
      <c r="C13744" s="30" t="s">
        <v>14597</v>
      </c>
      <c r="D13744" s="30" t="s">
        <v>17</v>
      </c>
      <c r="E13744" s="30" t="s">
        <v>18</v>
      </c>
      <c r="F13744" s="30" t="s">
        <v>19</v>
      </c>
      <c r="G13744" s="30" t="s">
        <v>112</v>
      </c>
      <c r="H13744" s="32">
        <v>0</v>
      </c>
      <c r="I13744" s="30" t="s">
        <v>21</v>
      </c>
      <c r="J13744" s="41">
        <v>45280</v>
      </c>
      <c r="K13744" s="30" t="s">
        <v>22</v>
      </c>
    </row>
    <row r="13745" spans="1:11">
      <c r="A13745" s="33" t="s">
        <v>31057</v>
      </c>
      <c r="B13745" s="33" t="s">
        <v>31058</v>
      </c>
      <c r="C13745" s="33" t="s">
        <v>1270</v>
      </c>
      <c r="D13745" s="33" t="s">
        <v>17</v>
      </c>
      <c r="E13745" s="33" t="s">
        <v>67</v>
      </c>
      <c r="F13745" s="33" t="s">
        <v>68</v>
      </c>
      <c r="G13745" s="33" t="s">
        <v>50</v>
      </c>
      <c r="H13745" s="35">
        <v>112</v>
      </c>
      <c r="I13745" s="33" t="s">
        <v>51</v>
      </c>
      <c r="J13745" s="42">
        <v>45137</v>
      </c>
      <c r="K13745" s="33" t="s">
        <v>22</v>
      </c>
    </row>
    <row r="13746" spans="1:11">
      <c r="A13746" s="30" t="s">
        <v>31059</v>
      </c>
      <c r="B13746" s="30" t="s">
        <v>31060</v>
      </c>
      <c r="C13746" s="30" t="s">
        <v>14326</v>
      </c>
      <c r="D13746" s="30" t="s">
        <v>17</v>
      </c>
      <c r="E13746" s="30" t="s">
        <v>31</v>
      </c>
      <c r="F13746" s="30" t="s">
        <v>32</v>
      </c>
      <c r="G13746" s="30" t="s">
        <v>140</v>
      </c>
      <c r="H13746" s="32">
        <v>40</v>
      </c>
      <c r="I13746" s="30" t="s">
        <v>51</v>
      </c>
      <c r="J13746" s="41">
        <v>45127</v>
      </c>
      <c r="K13746" s="30" t="s">
        <v>22</v>
      </c>
    </row>
    <row r="13747" spans="1:11">
      <c r="A13747" s="33" t="s">
        <v>31061</v>
      </c>
      <c r="B13747" s="33" t="s">
        <v>31062</v>
      </c>
      <c r="C13747" s="33" t="s">
        <v>190</v>
      </c>
      <c r="D13747" s="33" t="s">
        <v>17</v>
      </c>
      <c r="E13747" s="33" t="s">
        <v>18</v>
      </c>
      <c r="F13747" s="33" t="s">
        <v>19</v>
      </c>
      <c r="G13747" s="33" t="s">
        <v>158</v>
      </c>
      <c r="H13747" s="35">
        <v>1889</v>
      </c>
      <c r="I13747" s="33" t="s">
        <v>21</v>
      </c>
      <c r="J13747" s="42">
        <v>45251</v>
      </c>
      <c r="K13747" s="33" t="s">
        <v>22</v>
      </c>
    </row>
    <row r="13748" spans="1:11">
      <c r="A13748" s="30" t="s">
        <v>31063</v>
      </c>
      <c r="B13748" s="30" t="s">
        <v>31064</v>
      </c>
      <c r="C13748" s="30" t="s">
        <v>31065</v>
      </c>
      <c r="D13748" s="30" t="s">
        <v>17</v>
      </c>
      <c r="E13748" s="30" t="s">
        <v>67</v>
      </c>
      <c r="F13748" s="30" t="s">
        <v>68</v>
      </c>
      <c r="G13748" s="30" t="s">
        <v>158</v>
      </c>
      <c r="H13748" s="32">
        <v>77</v>
      </c>
      <c r="I13748" s="30" t="s">
        <v>21</v>
      </c>
      <c r="J13748" s="41">
        <v>45000</v>
      </c>
      <c r="K13748" s="30" t="s">
        <v>22</v>
      </c>
    </row>
    <row r="13749" spans="1:11">
      <c r="A13749" s="33" t="s">
        <v>31066</v>
      </c>
      <c r="B13749" s="33" t="s">
        <v>31067</v>
      </c>
      <c r="C13749" s="33" t="s">
        <v>31068</v>
      </c>
      <c r="D13749" s="33" t="s">
        <v>17</v>
      </c>
      <c r="E13749" s="33" t="s">
        <v>26</v>
      </c>
      <c r="F13749" s="33" t="s">
        <v>27</v>
      </c>
      <c r="G13749" s="33" t="s">
        <v>20</v>
      </c>
      <c r="H13749" s="35">
        <v>12</v>
      </c>
      <c r="I13749" s="33" t="s">
        <v>21</v>
      </c>
      <c r="J13749" s="42">
        <v>45195</v>
      </c>
      <c r="K13749" s="33" t="s">
        <v>22</v>
      </c>
    </row>
    <row r="13750" spans="1:11">
      <c r="A13750" s="30" t="s">
        <v>31069</v>
      </c>
      <c r="B13750" s="30" t="s">
        <v>31070</v>
      </c>
      <c r="C13750" s="30" t="s">
        <v>31071</v>
      </c>
      <c r="D13750" s="30" t="s">
        <v>17</v>
      </c>
      <c r="E13750" s="30" t="s">
        <v>26</v>
      </c>
      <c r="F13750" s="30" t="s">
        <v>27</v>
      </c>
      <c r="G13750" s="30" t="s">
        <v>140</v>
      </c>
      <c r="H13750" s="32">
        <v>120</v>
      </c>
      <c r="I13750" s="30" t="s">
        <v>51</v>
      </c>
      <c r="J13750" s="41">
        <v>45162</v>
      </c>
      <c r="K13750" s="30" t="s">
        <v>22</v>
      </c>
    </row>
    <row r="13751" spans="1:11">
      <c r="A13751" s="33" t="s">
        <v>31072</v>
      </c>
      <c r="B13751" s="33" t="s">
        <v>31073</v>
      </c>
      <c r="C13751" s="33" t="s">
        <v>203</v>
      </c>
      <c r="D13751" s="33" t="s">
        <v>17</v>
      </c>
      <c r="E13751" s="33" t="s">
        <v>18</v>
      </c>
      <c r="F13751" s="33" t="s">
        <v>19</v>
      </c>
      <c r="G13751" s="33" t="s">
        <v>158</v>
      </c>
      <c r="H13751" s="35">
        <v>1655</v>
      </c>
      <c r="I13751" s="33" t="s">
        <v>21</v>
      </c>
      <c r="J13751" s="42">
        <v>45273</v>
      </c>
      <c r="K13751" s="33" t="s">
        <v>22</v>
      </c>
    </row>
    <row r="13752" spans="1:11">
      <c r="A13752" s="30" t="s">
        <v>31074</v>
      </c>
      <c r="B13752" s="30" t="s">
        <v>31075</v>
      </c>
      <c r="C13752" s="30" t="s">
        <v>795</v>
      </c>
      <c r="D13752" s="30" t="s">
        <v>17</v>
      </c>
      <c r="E13752" s="30" t="s">
        <v>31</v>
      </c>
      <c r="F13752" s="30" t="s">
        <v>32</v>
      </c>
      <c r="G13752" s="30" t="s">
        <v>112</v>
      </c>
      <c r="H13752" s="32">
        <v>0</v>
      </c>
      <c r="I13752" s="30" t="s">
        <v>21</v>
      </c>
      <c r="J13752" s="41">
        <v>45200</v>
      </c>
      <c r="K13752" s="30" t="s">
        <v>22</v>
      </c>
    </row>
    <row r="13753" spans="1:11">
      <c r="A13753" s="33" t="s">
        <v>31076</v>
      </c>
      <c r="B13753" s="33" t="s">
        <v>31077</v>
      </c>
      <c r="C13753" s="33" t="s">
        <v>13508</v>
      </c>
      <c r="D13753" s="33" t="s">
        <v>17</v>
      </c>
      <c r="E13753" s="33" t="s">
        <v>26</v>
      </c>
      <c r="F13753" s="33" t="s">
        <v>27</v>
      </c>
      <c r="G13753" s="33" t="s">
        <v>158</v>
      </c>
      <c r="H13753" s="35">
        <v>48</v>
      </c>
      <c r="I13753" s="33" t="s">
        <v>21</v>
      </c>
      <c r="J13753" s="42">
        <v>45240</v>
      </c>
      <c r="K13753" s="33" t="s">
        <v>22</v>
      </c>
    </row>
    <row r="13754" spans="1:11">
      <c r="A13754" s="30" t="s">
        <v>31078</v>
      </c>
      <c r="B13754" s="30" t="s">
        <v>31079</v>
      </c>
      <c r="C13754" s="30" t="s">
        <v>93</v>
      </c>
      <c r="D13754" s="30" t="s">
        <v>17</v>
      </c>
      <c r="E13754" s="30" t="s">
        <v>31</v>
      </c>
      <c r="F13754" s="30" t="s">
        <v>32</v>
      </c>
      <c r="G13754" s="30" t="s">
        <v>20</v>
      </c>
      <c r="H13754" s="32">
        <v>19</v>
      </c>
      <c r="I13754" s="30" t="s">
        <v>21</v>
      </c>
      <c r="J13754" s="41">
        <v>45043</v>
      </c>
      <c r="K13754" s="30" t="s">
        <v>22</v>
      </c>
    </row>
    <row r="13755" spans="1:11">
      <c r="A13755" s="33" t="s">
        <v>31080</v>
      </c>
      <c r="B13755" s="33" t="s">
        <v>31081</v>
      </c>
      <c r="C13755" s="33" t="s">
        <v>11476</v>
      </c>
      <c r="D13755" s="33" t="s">
        <v>17</v>
      </c>
      <c r="E13755" s="33" t="s">
        <v>26</v>
      </c>
      <c r="F13755" s="33" t="s">
        <v>27</v>
      </c>
      <c r="G13755" s="33" t="s">
        <v>50</v>
      </c>
      <c r="H13755" s="35">
        <v>26</v>
      </c>
      <c r="I13755" s="33" t="s">
        <v>51</v>
      </c>
      <c r="J13755" s="42">
        <v>45039</v>
      </c>
      <c r="K13755" s="33" t="s">
        <v>22</v>
      </c>
    </row>
    <row r="13756" spans="1:11">
      <c r="A13756" s="30" t="s">
        <v>31082</v>
      </c>
      <c r="B13756" s="30" t="s">
        <v>31083</v>
      </c>
      <c r="C13756" s="30" t="s">
        <v>13050</v>
      </c>
      <c r="D13756" s="30" t="s">
        <v>17</v>
      </c>
      <c r="E13756" s="30" t="s">
        <v>67</v>
      </c>
      <c r="F13756" s="30" t="s">
        <v>68</v>
      </c>
      <c r="G13756" s="30" t="s">
        <v>50</v>
      </c>
      <c r="H13756" s="32">
        <v>136</v>
      </c>
      <c r="I13756" s="30" t="s">
        <v>51</v>
      </c>
      <c r="J13756" s="41">
        <v>45041</v>
      </c>
      <c r="K13756" s="30" t="s">
        <v>22</v>
      </c>
    </row>
    <row r="13757" spans="1:11">
      <c r="A13757" s="33" t="s">
        <v>31084</v>
      </c>
      <c r="B13757" s="33" t="s">
        <v>31085</v>
      </c>
      <c r="C13757" s="33" t="s">
        <v>31086</v>
      </c>
      <c r="D13757" s="33" t="s">
        <v>17</v>
      </c>
      <c r="E13757" s="33" t="s">
        <v>31</v>
      </c>
      <c r="F13757" s="33" t="s">
        <v>32</v>
      </c>
      <c r="G13757" s="33" t="s">
        <v>106</v>
      </c>
      <c r="H13757" s="35">
        <v>48</v>
      </c>
      <c r="I13757" s="33" t="s">
        <v>21</v>
      </c>
      <c r="J13757" s="42">
        <v>45064</v>
      </c>
      <c r="K13757" s="33" t="s">
        <v>22</v>
      </c>
    </row>
    <row r="13758" spans="1:11">
      <c r="A13758" s="30" t="s">
        <v>31087</v>
      </c>
      <c r="B13758" s="30" t="s">
        <v>31088</v>
      </c>
      <c r="C13758" s="30" t="s">
        <v>3610</v>
      </c>
      <c r="D13758" s="30" t="s">
        <v>17</v>
      </c>
      <c r="E13758" s="30" t="s">
        <v>31</v>
      </c>
      <c r="F13758" s="30" t="s">
        <v>32</v>
      </c>
      <c r="G13758" s="30" t="s">
        <v>20</v>
      </c>
      <c r="H13758" s="32">
        <v>149</v>
      </c>
      <c r="I13758" s="30" t="s">
        <v>21</v>
      </c>
      <c r="J13758" s="41">
        <v>45127</v>
      </c>
      <c r="K13758" s="30" t="s">
        <v>22</v>
      </c>
    </row>
    <row r="13759" spans="1:11">
      <c r="A13759" s="33" t="s">
        <v>31089</v>
      </c>
      <c r="B13759" s="33" t="s">
        <v>31090</v>
      </c>
      <c r="C13759" s="33" t="s">
        <v>1770</v>
      </c>
      <c r="D13759" s="33" t="s">
        <v>17</v>
      </c>
      <c r="E13759" s="33" t="s">
        <v>26</v>
      </c>
      <c r="F13759" s="33" t="s">
        <v>27</v>
      </c>
      <c r="G13759" s="33" t="s">
        <v>20</v>
      </c>
      <c r="H13759" s="35">
        <v>15</v>
      </c>
      <c r="I13759" s="33" t="s">
        <v>21</v>
      </c>
      <c r="J13759" s="42">
        <v>44938</v>
      </c>
      <c r="K13759" s="33" t="s">
        <v>22</v>
      </c>
    </row>
    <row r="13760" spans="1:11">
      <c r="A13760" s="30" t="s">
        <v>31091</v>
      </c>
      <c r="B13760" s="30" t="s">
        <v>31092</v>
      </c>
      <c r="C13760" s="30" t="s">
        <v>11145</v>
      </c>
      <c r="D13760" s="30" t="s">
        <v>17</v>
      </c>
      <c r="E13760" s="30" t="s">
        <v>18</v>
      </c>
      <c r="F13760" s="30" t="s">
        <v>19</v>
      </c>
      <c r="G13760" s="30" t="s">
        <v>20</v>
      </c>
      <c r="H13760" s="32">
        <v>579</v>
      </c>
      <c r="I13760" s="30" t="s">
        <v>21</v>
      </c>
      <c r="J13760" s="41">
        <v>45289</v>
      </c>
      <c r="K13760" s="30" t="s">
        <v>22</v>
      </c>
    </row>
    <row r="13761" spans="1:11">
      <c r="A13761" s="33" t="s">
        <v>31093</v>
      </c>
      <c r="B13761" s="33" t="s">
        <v>31094</v>
      </c>
      <c r="C13761" s="33" t="s">
        <v>644</v>
      </c>
      <c r="D13761" s="33" t="s">
        <v>17</v>
      </c>
      <c r="E13761" s="33" t="s">
        <v>31</v>
      </c>
      <c r="F13761" s="33" t="s">
        <v>32</v>
      </c>
      <c r="G13761" s="33" t="s">
        <v>140</v>
      </c>
      <c r="H13761" s="35">
        <v>90</v>
      </c>
      <c r="I13761" s="33" t="s">
        <v>51</v>
      </c>
      <c r="J13761" s="42">
        <v>45257</v>
      </c>
      <c r="K13761" s="33" t="s">
        <v>22</v>
      </c>
    </row>
    <row r="13762" spans="1:11">
      <c r="A13762" s="30" t="s">
        <v>31095</v>
      </c>
      <c r="B13762" s="30" t="s">
        <v>31096</v>
      </c>
      <c r="C13762" s="30" t="s">
        <v>1003</v>
      </c>
      <c r="D13762" s="30" t="s">
        <v>17</v>
      </c>
      <c r="E13762" s="30" t="s">
        <v>26</v>
      </c>
      <c r="F13762" s="30" t="s">
        <v>27</v>
      </c>
      <c r="G13762" s="30" t="s">
        <v>20</v>
      </c>
      <c r="H13762" s="32">
        <v>22</v>
      </c>
      <c r="I13762" s="30" t="s">
        <v>21</v>
      </c>
      <c r="J13762" s="41">
        <v>45126</v>
      </c>
      <c r="K13762" s="30" t="s">
        <v>22</v>
      </c>
    </row>
    <row r="13763" spans="1:11">
      <c r="A13763" s="33" t="s">
        <v>31097</v>
      </c>
      <c r="B13763" s="33" t="s">
        <v>31098</v>
      </c>
      <c r="C13763" s="33" t="s">
        <v>96</v>
      </c>
      <c r="D13763" s="33" t="s">
        <v>17</v>
      </c>
      <c r="E13763" s="33" t="s">
        <v>26</v>
      </c>
      <c r="F13763" s="33" t="s">
        <v>27</v>
      </c>
      <c r="G13763" s="33" t="s">
        <v>20</v>
      </c>
      <c r="H13763" s="35">
        <v>23</v>
      </c>
      <c r="I13763" s="33" t="s">
        <v>21</v>
      </c>
      <c r="J13763" s="42">
        <v>45079</v>
      </c>
      <c r="K13763" s="33" t="s">
        <v>22</v>
      </c>
    </row>
    <row r="13764" spans="1:11">
      <c r="A13764" s="30" t="s">
        <v>31099</v>
      </c>
      <c r="B13764" s="30" t="s">
        <v>31100</v>
      </c>
      <c r="C13764" s="30" t="s">
        <v>6248</v>
      </c>
      <c r="D13764" s="30" t="s">
        <v>17</v>
      </c>
      <c r="E13764" s="30" t="s">
        <v>18</v>
      </c>
      <c r="F13764" s="30" t="s">
        <v>19</v>
      </c>
      <c r="G13764" s="30" t="s">
        <v>158</v>
      </c>
      <c r="H13764" s="32">
        <v>500</v>
      </c>
      <c r="I13764" s="30" t="s">
        <v>51</v>
      </c>
      <c r="J13764" s="41">
        <v>45168</v>
      </c>
      <c r="K13764" s="30" t="s">
        <v>22</v>
      </c>
    </row>
    <row r="13765" spans="1:11">
      <c r="A13765" s="33" t="s">
        <v>31101</v>
      </c>
      <c r="B13765" s="33" t="s">
        <v>31102</v>
      </c>
      <c r="C13765" s="33" t="s">
        <v>31103</v>
      </c>
      <c r="D13765" s="33" t="s">
        <v>17</v>
      </c>
      <c r="E13765" s="33" t="s">
        <v>212</v>
      </c>
      <c r="F13765" s="33" t="s">
        <v>213</v>
      </c>
      <c r="G13765" s="33" t="s">
        <v>140</v>
      </c>
      <c r="H13765" s="35">
        <v>110</v>
      </c>
      <c r="I13765" s="33" t="s">
        <v>51</v>
      </c>
      <c r="J13765" s="42">
        <v>45266</v>
      </c>
      <c r="K13765" s="33" t="s">
        <v>22</v>
      </c>
    </row>
    <row r="13766" spans="1:11">
      <c r="A13766" s="30" t="s">
        <v>31104</v>
      </c>
      <c r="B13766" s="30" t="s">
        <v>31105</v>
      </c>
      <c r="C13766" s="30" t="s">
        <v>2922</v>
      </c>
      <c r="D13766" s="30" t="s">
        <v>17</v>
      </c>
      <c r="E13766" s="30" t="s">
        <v>31</v>
      </c>
      <c r="F13766" s="30" t="s">
        <v>32</v>
      </c>
      <c r="G13766" s="30" t="s">
        <v>158</v>
      </c>
      <c r="H13766" s="32">
        <v>72</v>
      </c>
      <c r="I13766" s="30" t="s">
        <v>51</v>
      </c>
      <c r="J13766" s="41">
        <v>45147</v>
      </c>
      <c r="K13766" s="30" t="s">
        <v>22</v>
      </c>
    </row>
    <row r="13767" spans="1:11">
      <c r="A13767" s="33" t="s">
        <v>31106</v>
      </c>
      <c r="B13767" s="33" t="s">
        <v>31107</v>
      </c>
      <c r="C13767" s="33" t="s">
        <v>31108</v>
      </c>
      <c r="D13767" s="33" t="s">
        <v>17</v>
      </c>
      <c r="E13767" s="33" t="s">
        <v>26</v>
      </c>
      <c r="F13767" s="33" t="s">
        <v>27</v>
      </c>
      <c r="G13767" s="33" t="s">
        <v>50</v>
      </c>
      <c r="H13767" s="35">
        <v>32</v>
      </c>
      <c r="I13767" s="33" t="s">
        <v>51</v>
      </c>
      <c r="J13767" s="42">
        <v>45095</v>
      </c>
      <c r="K13767" s="33" t="s">
        <v>22</v>
      </c>
    </row>
    <row r="13768" spans="1:11">
      <c r="A13768" s="30" t="s">
        <v>31109</v>
      </c>
      <c r="B13768" s="30" t="s">
        <v>31110</v>
      </c>
      <c r="C13768" s="30" t="s">
        <v>187</v>
      </c>
      <c r="D13768" s="30" t="s">
        <v>17</v>
      </c>
      <c r="E13768" s="30" t="s">
        <v>31</v>
      </c>
      <c r="F13768" s="30" t="s">
        <v>32</v>
      </c>
      <c r="G13768" s="30" t="s">
        <v>106</v>
      </c>
      <c r="H13768" s="32">
        <v>195</v>
      </c>
      <c r="I13768" s="30" t="s">
        <v>21</v>
      </c>
      <c r="J13768" s="41">
        <v>45168</v>
      </c>
      <c r="K13768" s="30" t="s">
        <v>22</v>
      </c>
    </row>
    <row r="13769" spans="1:11">
      <c r="A13769" s="33" t="s">
        <v>31111</v>
      </c>
      <c r="B13769" s="33" t="s">
        <v>31112</v>
      </c>
      <c r="C13769" s="33" t="s">
        <v>1835</v>
      </c>
      <c r="D13769" s="33" t="s">
        <v>17</v>
      </c>
      <c r="E13769" s="33" t="s">
        <v>26</v>
      </c>
      <c r="F13769" s="33" t="s">
        <v>27</v>
      </c>
      <c r="G13769" s="33" t="s">
        <v>20</v>
      </c>
      <c r="H13769" s="35">
        <v>600</v>
      </c>
      <c r="I13769" s="33" t="s">
        <v>21</v>
      </c>
      <c r="J13769" s="42">
        <v>45092</v>
      </c>
      <c r="K13769" s="33" t="s">
        <v>22</v>
      </c>
    </row>
    <row r="13770" spans="1:11">
      <c r="A13770" s="30" t="s">
        <v>31113</v>
      </c>
      <c r="B13770" s="30" t="s">
        <v>31114</v>
      </c>
      <c r="C13770" s="30" t="s">
        <v>2772</v>
      </c>
      <c r="D13770" s="30" t="s">
        <v>17</v>
      </c>
      <c r="E13770" s="30" t="s">
        <v>26</v>
      </c>
      <c r="F13770" s="30" t="s">
        <v>27</v>
      </c>
      <c r="G13770" s="30" t="s">
        <v>20</v>
      </c>
      <c r="H13770" s="32">
        <v>146</v>
      </c>
      <c r="I13770" s="30" t="s">
        <v>21</v>
      </c>
      <c r="J13770" s="41">
        <v>45063</v>
      </c>
      <c r="K13770" s="30" t="s">
        <v>22</v>
      </c>
    </row>
    <row r="13771" spans="1:11">
      <c r="A13771" s="33" t="s">
        <v>31115</v>
      </c>
      <c r="B13771" s="33" t="s">
        <v>31116</v>
      </c>
      <c r="C13771" s="33" t="s">
        <v>2978</v>
      </c>
      <c r="D13771" s="33" t="s">
        <v>17</v>
      </c>
      <c r="E13771" s="33" t="s">
        <v>26</v>
      </c>
      <c r="F13771" s="33" t="s">
        <v>27</v>
      </c>
      <c r="G13771" s="33" t="s">
        <v>140</v>
      </c>
      <c r="H13771" s="35">
        <v>82</v>
      </c>
      <c r="I13771" s="33" t="s">
        <v>51</v>
      </c>
      <c r="J13771" s="42">
        <v>45040</v>
      </c>
      <c r="K13771" s="33" t="s">
        <v>22</v>
      </c>
    </row>
    <row r="13772" spans="1:11">
      <c r="A13772" s="30" t="s">
        <v>31117</v>
      </c>
      <c r="B13772" s="30" t="s">
        <v>31118</v>
      </c>
      <c r="C13772" s="30" t="s">
        <v>3034</v>
      </c>
      <c r="D13772" s="30" t="s">
        <v>17</v>
      </c>
      <c r="E13772" s="30" t="s">
        <v>18</v>
      </c>
      <c r="F13772" s="30" t="s">
        <v>19</v>
      </c>
      <c r="G13772" s="30" t="s">
        <v>106</v>
      </c>
      <c r="H13772" s="32">
        <v>258</v>
      </c>
      <c r="I13772" s="30" t="s">
        <v>21</v>
      </c>
      <c r="J13772" s="41">
        <v>45099</v>
      </c>
      <c r="K13772" s="30" t="s">
        <v>22</v>
      </c>
    </row>
    <row r="13773" spans="1:11">
      <c r="A13773" s="33" t="s">
        <v>31119</v>
      </c>
      <c r="B13773" s="33" t="s">
        <v>31120</v>
      </c>
      <c r="C13773" s="33" t="s">
        <v>102</v>
      </c>
      <c r="D13773" s="33" t="s">
        <v>17</v>
      </c>
      <c r="E13773" s="33" t="s">
        <v>31</v>
      </c>
      <c r="F13773" s="33" t="s">
        <v>32</v>
      </c>
      <c r="G13773" s="33" t="s">
        <v>158</v>
      </c>
      <c r="H13773" s="35">
        <v>68</v>
      </c>
      <c r="I13773" s="33" t="s">
        <v>21</v>
      </c>
      <c r="J13773" s="42">
        <v>45064</v>
      </c>
      <c r="K13773" s="33" t="s">
        <v>22</v>
      </c>
    </row>
    <row r="13774" spans="1:11">
      <c r="A13774" s="30" t="s">
        <v>31121</v>
      </c>
      <c r="B13774" s="30" t="s">
        <v>31122</v>
      </c>
      <c r="C13774" s="30" t="s">
        <v>31123</v>
      </c>
      <c r="D13774" s="30" t="s">
        <v>17</v>
      </c>
      <c r="E13774" s="30" t="s">
        <v>26</v>
      </c>
      <c r="F13774" s="30" t="s">
        <v>27</v>
      </c>
      <c r="G13774" s="30" t="s">
        <v>158</v>
      </c>
      <c r="H13774" s="32">
        <v>552</v>
      </c>
      <c r="I13774" s="30" t="s">
        <v>51</v>
      </c>
      <c r="J13774" s="41">
        <v>44930</v>
      </c>
      <c r="K13774" s="30" t="s">
        <v>22</v>
      </c>
    </row>
    <row r="13775" spans="1:11">
      <c r="A13775" s="33" t="s">
        <v>31124</v>
      </c>
      <c r="B13775" s="33" t="s">
        <v>31125</v>
      </c>
      <c r="C13775" s="33" t="s">
        <v>96</v>
      </c>
      <c r="D13775" s="33" t="s">
        <v>17</v>
      </c>
      <c r="E13775" s="33" t="s">
        <v>26</v>
      </c>
      <c r="F13775" s="33" t="s">
        <v>27</v>
      </c>
      <c r="G13775" s="33" t="s">
        <v>20</v>
      </c>
      <c r="H13775" s="35">
        <v>90</v>
      </c>
      <c r="I13775" s="33" t="s">
        <v>21</v>
      </c>
      <c r="J13775" s="42">
        <v>45035</v>
      </c>
      <c r="K13775" s="33" t="s">
        <v>22</v>
      </c>
    </row>
    <row r="13776" spans="1:11">
      <c r="A13776" s="30" t="s">
        <v>31126</v>
      </c>
      <c r="B13776" s="30" t="s">
        <v>31127</v>
      </c>
      <c r="C13776" s="30" t="s">
        <v>1504</v>
      </c>
      <c r="D13776" s="30" t="s">
        <v>17</v>
      </c>
      <c r="E13776" s="30" t="s">
        <v>67</v>
      </c>
      <c r="F13776" s="30" t="s">
        <v>68</v>
      </c>
      <c r="G13776" s="30" t="s">
        <v>50</v>
      </c>
      <c r="H13776" s="32">
        <v>281</v>
      </c>
      <c r="I13776" s="30" t="s">
        <v>51</v>
      </c>
      <c r="J13776" s="41">
        <v>45174</v>
      </c>
      <c r="K13776" s="30" t="s">
        <v>22</v>
      </c>
    </row>
    <row r="13777" spans="1:11">
      <c r="A13777" s="33" t="s">
        <v>31128</v>
      </c>
      <c r="B13777" s="33" t="s">
        <v>31129</v>
      </c>
      <c r="C13777" s="33" t="s">
        <v>3489</v>
      </c>
      <c r="D13777" s="33" t="s">
        <v>17</v>
      </c>
      <c r="E13777" s="33" t="s">
        <v>26</v>
      </c>
      <c r="F13777" s="33" t="s">
        <v>27</v>
      </c>
      <c r="G13777" s="33" t="s">
        <v>112</v>
      </c>
      <c r="H13777" s="35">
        <v>0</v>
      </c>
      <c r="I13777" s="33" t="s">
        <v>21</v>
      </c>
      <c r="J13777" s="42">
        <v>45195</v>
      </c>
      <c r="K13777" s="33" t="s">
        <v>22</v>
      </c>
    </row>
    <row r="13778" spans="1:11">
      <c r="A13778" s="30" t="s">
        <v>31130</v>
      </c>
      <c r="B13778" s="30" t="s">
        <v>31131</v>
      </c>
      <c r="C13778" s="30" t="s">
        <v>15585</v>
      </c>
      <c r="D13778" s="30" t="s">
        <v>17</v>
      </c>
      <c r="E13778" s="30" t="s">
        <v>26</v>
      </c>
      <c r="F13778" s="30" t="s">
        <v>27</v>
      </c>
      <c r="G13778" s="30" t="s">
        <v>50</v>
      </c>
      <c r="H13778" s="32">
        <v>50</v>
      </c>
      <c r="I13778" s="30" t="s">
        <v>51</v>
      </c>
      <c r="J13778" s="41">
        <v>45200</v>
      </c>
      <c r="K13778" s="30" t="s">
        <v>22</v>
      </c>
    </row>
    <row r="13779" spans="1:11">
      <c r="A13779" s="33" t="s">
        <v>31132</v>
      </c>
      <c r="B13779" s="33" t="s">
        <v>31133</v>
      </c>
      <c r="C13779" s="33" t="s">
        <v>426</v>
      </c>
      <c r="D13779" s="33" t="s">
        <v>17</v>
      </c>
      <c r="E13779" s="33" t="s">
        <v>18</v>
      </c>
      <c r="F13779" s="33" t="s">
        <v>19</v>
      </c>
      <c r="G13779" s="33" t="s">
        <v>140</v>
      </c>
      <c r="H13779" s="35">
        <v>400</v>
      </c>
      <c r="I13779" s="33" t="s">
        <v>51</v>
      </c>
      <c r="J13779" s="42">
        <v>45280</v>
      </c>
      <c r="K13779" s="33" t="s">
        <v>22</v>
      </c>
    </row>
    <row r="13780" spans="1:11">
      <c r="A13780" s="30" t="s">
        <v>31134</v>
      </c>
      <c r="B13780" s="30" t="s">
        <v>31135</v>
      </c>
      <c r="C13780" s="30" t="s">
        <v>136</v>
      </c>
      <c r="D13780" s="30" t="s">
        <v>17</v>
      </c>
      <c r="E13780" s="30" t="s">
        <v>18</v>
      </c>
      <c r="F13780" s="30" t="s">
        <v>19</v>
      </c>
      <c r="G13780" s="30" t="s">
        <v>20</v>
      </c>
      <c r="H13780" s="32">
        <v>206</v>
      </c>
      <c r="I13780" s="30" t="s">
        <v>21</v>
      </c>
      <c r="J13780" s="41">
        <v>45159</v>
      </c>
      <c r="K13780" s="30" t="s">
        <v>22</v>
      </c>
    </row>
    <row r="13781" spans="1:11">
      <c r="A13781" s="33" t="s">
        <v>31136</v>
      </c>
      <c r="B13781" s="33" t="s">
        <v>31137</v>
      </c>
      <c r="C13781" s="33" t="s">
        <v>14181</v>
      </c>
      <c r="D13781" s="33" t="s">
        <v>17</v>
      </c>
      <c r="E13781" s="33" t="s">
        <v>67</v>
      </c>
      <c r="F13781" s="33" t="s">
        <v>68</v>
      </c>
      <c r="G13781" s="33" t="s">
        <v>50</v>
      </c>
      <c r="H13781" s="35">
        <v>60</v>
      </c>
      <c r="I13781" s="33" t="s">
        <v>51</v>
      </c>
      <c r="J13781" s="42">
        <v>45014</v>
      </c>
      <c r="K13781" s="33" t="s">
        <v>22</v>
      </c>
    </row>
    <row r="13782" spans="1:11">
      <c r="A13782" s="30" t="s">
        <v>31138</v>
      </c>
      <c r="B13782" s="30" t="s">
        <v>31139</v>
      </c>
      <c r="C13782" s="30" t="s">
        <v>29294</v>
      </c>
      <c r="D13782" s="30" t="s">
        <v>17</v>
      </c>
      <c r="E13782" s="30" t="s">
        <v>31</v>
      </c>
      <c r="F13782" s="30" t="s">
        <v>32</v>
      </c>
      <c r="G13782" s="30" t="s">
        <v>140</v>
      </c>
      <c r="H13782" s="32">
        <v>131</v>
      </c>
      <c r="I13782" s="30" t="s">
        <v>51</v>
      </c>
      <c r="J13782" s="41">
        <v>45184</v>
      </c>
      <c r="K13782" s="30" t="s">
        <v>22</v>
      </c>
    </row>
    <row r="13783" spans="1:11">
      <c r="A13783" s="33" t="s">
        <v>31140</v>
      </c>
      <c r="B13783" s="33" t="s">
        <v>31141</v>
      </c>
      <c r="C13783" s="33" t="s">
        <v>75</v>
      </c>
      <c r="D13783" s="33" t="s">
        <v>17</v>
      </c>
      <c r="E13783" s="33" t="s">
        <v>26</v>
      </c>
      <c r="F13783" s="33" t="s">
        <v>27</v>
      </c>
      <c r="G13783" s="33" t="s">
        <v>20</v>
      </c>
      <c r="H13783" s="35">
        <v>95</v>
      </c>
      <c r="I13783" s="33" t="s">
        <v>21</v>
      </c>
      <c r="J13783" s="42">
        <v>44932</v>
      </c>
      <c r="K13783" s="33" t="s">
        <v>22</v>
      </c>
    </row>
    <row r="13784" spans="1:11">
      <c r="A13784" s="30" t="s">
        <v>31142</v>
      </c>
      <c r="B13784" s="30" t="s">
        <v>31143</v>
      </c>
      <c r="C13784" s="30" t="s">
        <v>3914</v>
      </c>
      <c r="D13784" s="30" t="s">
        <v>17</v>
      </c>
      <c r="E13784" s="30" t="s">
        <v>26</v>
      </c>
      <c r="F13784" s="30" t="s">
        <v>27</v>
      </c>
      <c r="G13784" s="30" t="s">
        <v>106</v>
      </c>
      <c r="H13784" s="32">
        <v>3</v>
      </c>
      <c r="I13784" s="30" t="s">
        <v>21</v>
      </c>
      <c r="J13784" s="41">
        <v>44949</v>
      </c>
      <c r="K13784" s="30" t="s">
        <v>22</v>
      </c>
    </row>
    <row r="13785" spans="1:11">
      <c r="A13785" s="33" t="s">
        <v>31144</v>
      </c>
      <c r="B13785" s="33" t="s">
        <v>31145</v>
      </c>
      <c r="C13785" s="33" t="s">
        <v>1165</v>
      </c>
      <c r="D13785" s="33" t="s">
        <v>17</v>
      </c>
      <c r="E13785" s="33" t="s">
        <v>18</v>
      </c>
      <c r="F13785" s="33" t="s">
        <v>19</v>
      </c>
      <c r="G13785" s="33" t="s">
        <v>2613</v>
      </c>
      <c r="H13785" s="35">
        <v>240</v>
      </c>
      <c r="I13785" s="33" t="s">
        <v>51</v>
      </c>
      <c r="J13785" s="42">
        <v>45181</v>
      </c>
      <c r="K13785" s="33" t="s">
        <v>22</v>
      </c>
    </row>
    <row r="13786" spans="1:11">
      <c r="A13786" s="30" t="s">
        <v>31146</v>
      </c>
      <c r="B13786" s="30" t="s">
        <v>31147</v>
      </c>
      <c r="C13786" s="30" t="s">
        <v>31148</v>
      </c>
      <c r="D13786" s="30" t="s">
        <v>17</v>
      </c>
      <c r="E13786" s="30" t="s">
        <v>26</v>
      </c>
      <c r="F13786" s="30" t="s">
        <v>27</v>
      </c>
      <c r="G13786" s="30" t="s">
        <v>158</v>
      </c>
      <c r="H13786" s="32">
        <v>36</v>
      </c>
      <c r="I13786" s="30" t="s">
        <v>51</v>
      </c>
      <c r="J13786" s="41">
        <v>45044</v>
      </c>
      <c r="K13786" s="30" t="s">
        <v>22</v>
      </c>
    </row>
    <row r="13787" spans="1:11">
      <c r="A13787" s="33" t="s">
        <v>31149</v>
      </c>
      <c r="B13787" s="33" t="s">
        <v>31150</v>
      </c>
      <c r="C13787" s="33" t="s">
        <v>10046</v>
      </c>
      <c r="D13787" s="33" t="s">
        <v>17</v>
      </c>
      <c r="E13787" s="33" t="s">
        <v>31</v>
      </c>
      <c r="F13787" s="33" t="s">
        <v>32</v>
      </c>
      <c r="G13787" s="33" t="s">
        <v>50</v>
      </c>
      <c r="H13787" s="35">
        <v>10</v>
      </c>
      <c r="I13787" s="33" t="s">
        <v>51</v>
      </c>
      <c r="J13787" s="42">
        <v>45237</v>
      </c>
      <c r="K13787" s="33" t="s">
        <v>22</v>
      </c>
    </row>
    <row r="13788" spans="1:11">
      <c r="A13788" s="30" t="s">
        <v>31151</v>
      </c>
      <c r="B13788" s="30" t="s">
        <v>31152</v>
      </c>
      <c r="C13788" s="30" t="s">
        <v>3655</v>
      </c>
      <c r="D13788" s="30" t="s">
        <v>17</v>
      </c>
      <c r="E13788" s="30" t="s">
        <v>67</v>
      </c>
      <c r="F13788" s="30" t="s">
        <v>68</v>
      </c>
      <c r="G13788" s="30" t="s">
        <v>20</v>
      </c>
      <c r="H13788" s="32">
        <v>96</v>
      </c>
      <c r="I13788" s="30" t="s">
        <v>21</v>
      </c>
      <c r="J13788" s="41">
        <v>45190</v>
      </c>
      <c r="K13788" s="30" t="s">
        <v>22</v>
      </c>
    </row>
    <row r="13789" spans="1:11">
      <c r="A13789" s="33" t="s">
        <v>31153</v>
      </c>
      <c r="B13789" s="33" t="s">
        <v>31154</v>
      </c>
      <c r="C13789" s="33" t="s">
        <v>23956</v>
      </c>
      <c r="D13789" s="33" t="s">
        <v>17</v>
      </c>
      <c r="E13789" s="33" t="s">
        <v>31</v>
      </c>
      <c r="F13789" s="33" t="s">
        <v>32</v>
      </c>
      <c r="G13789" s="33" t="s">
        <v>140</v>
      </c>
      <c r="H13789" s="35">
        <v>72</v>
      </c>
      <c r="I13789" s="33" t="s">
        <v>51</v>
      </c>
      <c r="J13789" s="42">
        <v>45252</v>
      </c>
      <c r="K13789" s="33" t="s">
        <v>22</v>
      </c>
    </row>
    <row r="13790" spans="1:11">
      <c r="A13790" s="30" t="s">
        <v>31155</v>
      </c>
      <c r="B13790" s="30" t="s">
        <v>31156</v>
      </c>
      <c r="C13790" s="30" t="s">
        <v>28581</v>
      </c>
      <c r="D13790" s="30" t="s">
        <v>17</v>
      </c>
      <c r="E13790" s="30" t="s">
        <v>31</v>
      </c>
      <c r="F13790" s="30" t="s">
        <v>32</v>
      </c>
      <c r="G13790" s="30" t="s">
        <v>106</v>
      </c>
      <c r="H13790" s="32">
        <v>4</v>
      </c>
      <c r="I13790" s="30" t="s">
        <v>21</v>
      </c>
      <c r="J13790" s="41">
        <v>45000</v>
      </c>
      <c r="K13790" s="30" t="s">
        <v>22</v>
      </c>
    </row>
    <row r="13791" spans="1:11">
      <c r="A13791" s="33" t="s">
        <v>31157</v>
      </c>
      <c r="B13791" s="33" t="s">
        <v>31158</v>
      </c>
      <c r="C13791" s="33" t="s">
        <v>310</v>
      </c>
      <c r="D13791" s="33" t="s">
        <v>17</v>
      </c>
      <c r="E13791" s="33" t="s">
        <v>18</v>
      </c>
      <c r="F13791" s="33" t="s">
        <v>19</v>
      </c>
      <c r="G13791" s="33" t="s">
        <v>20</v>
      </c>
      <c r="H13791" s="35">
        <v>148</v>
      </c>
      <c r="I13791" s="33" t="s">
        <v>21</v>
      </c>
      <c r="J13791" s="42">
        <v>45191</v>
      </c>
      <c r="K13791" s="33" t="s">
        <v>22</v>
      </c>
    </row>
    <row r="13792" spans="1:11">
      <c r="A13792" s="30" t="s">
        <v>31159</v>
      </c>
      <c r="B13792" s="30" t="s">
        <v>31160</v>
      </c>
      <c r="C13792" s="30" t="s">
        <v>31161</v>
      </c>
      <c r="D13792" s="30" t="s">
        <v>17</v>
      </c>
      <c r="E13792" s="30" t="s">
        <v>31</v>
      </c>
      <c r="F13792" s="30" t="s">
        <v>32</v>
      </c>
      <c r="G13792" s="30" t="s">
        <v>20</v>
      </c>
      <c r="H13792" s="32">
        <v>112</v>
      </c>
      <c r="I13792" s="30" t="s">
        <v>21</v>
      </c>
      <c r="J13792" s="41">
        <v>44936</v>
      </c>
      <c r="K13792" s="30" t="s">
        <v>22</v>
      </c>
    </row>
    <row r="13793" spans="1:11">
      <c r="A13793" s="33" t="s">
        <v>31162</v>
      </c>
      <c r="B13793" s="33" t="s">
        <v>31163</v>
      </c>
      <c r="C13793" s="33" t="s">
        <v>12614</v>
      </c>
      <c r="D13793" s="33" t="s">
        <v>17</v>
      </c>
      <c r="E13793" s="33" t="s">
        <v>67</v>
      </c>
      <c r="F13793" s="33" t="s">
        <v>68</v>
      </c>
      <c r="G13793" s="33" t="s">
        <v>140</v>
      </c>
      <c r="H13793" s="35">
        <v>117</v>
      </c>
      <c r="I13793" s="33" t="s">
        <v>51</v>
      </c>
      <c r="J13793" s="42">
        <v>45016</v>
      </c>
      <c r="K13793" s="33" t="s">
        <v>22</v>
      </c>
    </row>
    <row r="13794" spans="1:11">
      <c r="A13794" s="30" t="s">
        <v>31164</v>
      </c>
      <c r="B13794" s="30" t="s">
        <v>31165</v>
      </c>
      <c r="C13794" s="30" t="s">
        <v>109</v>
      </c>
      <c r="D13794" s="30" t="s">
        <v>17</v>
      </c>
      <c r="E13794" s="30" t="s">
        <v>18</v>
      </c>
      <c r="F13794" s="30" t="s">
        <v>19</v>
      </c>
      <c r="G13794" s="30" t="s">
        <v>20</v>
      </c>
      <c r="H13794" s="32">
        <v>381</v>
      </c>
      <c r="I13794" s="30" t="s">
        <v>21</v>
      </c>
      <c r="J13794" s="41">
        <v>45007</v>
      </c>
      <c r="K13794" s="30" t="s">
        <v>22</v>
      </c>
    </row>
    <row r="13795" spans="1:11">
      <c r="A13795" s="33" t="s">
        <v>31166</v>
      </c>
      <c r="B13795" s="33" t="s">
        <v>31167</v>
      </c>
      <c r="C13795" s="33" t="s">
        <v>31168</v>
      </c>
      <c r="D13795" s="33" t="s">
        <v>17</v>
      </c>
      <c r="E13795" s="33" t="s">
        <v>18</v>
      </c>
      <c r="F13795" s="33" t="s">
        <v>19</v>
      </c>
      <c r="G13795" s="33" t="s">
        <v>112</v>
      </c>
      <c r="H13795" s="35">
        <v>0</v>
      </c>
      <c r="I13795" s="33" t="s">
        <v>21</v>
      </c>
      <c r="J13795" s="42">
        <v>45017</v>
      </c>
      <c r="K13795" s="33" t="s">
        <v>22</v>
      </c>
    </row>
    <row r="13796" spans="1:11">
      <c r="A13796" s="30" t="s">
        <v>31169</v>
      </c>
      <c r="B13796" s="30" t="s">
        <v>31170</v>
      </c>
      <c r="C13796" s="30" t="s">
        <v>187</v>
      </c>
      <c r="D13796" s="30" t="s">
        <v>17</v>
      </c>
      <c r="E13796" s="30" t="s">
        <v>18</v>
      </c>
      <c r="F13796" s="30" t="s">
        <v>19</v>
      </c>
      <c r="G13796" s="30" t="s">
        <v>50</v>
      </c>
      <c r="H13796" s="32">
        <v>80</v>
      </c>
      <c r="I13796" s="30" t="s">
        <v>51</v>
      </c>
      <c r="J13796" s="41">
        <v>45113</v>
      </c>
      <c r="K13796" s="30" t="s">
        <v>22</v>
      </c>
    </row>
    <row r="13797" spans="1:11">
      <c r="A13797" s="33" t="s">
        <v>31171</v>
      </c>
      <c r="B13797" s="33" t="s">
        <v>31172</v>
      </c>
      <c r="C13797" s="33" t="s">
        <v>12799</v>
      </c>
      <c r="D13797" s="33" t="s">
        <v>17</v>
      </c>
      <c r="E13797" s="33" t="s">
        <v>18</v>
      </c>
      <c r="F13797" s="33" t="s">
        <v>19</v>
      </c>
      <c r="G13797" s="33" t="s">
        <v>158</v>
      </c>
      <c r="H13797" s="35">
        <v>93</v>
      </c>
      <c r="I13797" s="33" t="s">
        <v>51</v>
      </c>
      <c r="J13797" s="42">
        <v>45079</v>
      </c>
      <c r="K13797" s="33" t="s">
        <v>22</v>
      </c>
    </row>
    <row r="13798" spans="1:11">
      <c r="A13798" s="30" t="s">
        <v>31173</v>
      </c>
      <c r="B13798" s="30" t="s">
        <v>31174</v>
      </c>
      <c r="C13798" s="30" t="s">
        <v>27074</v>
      </c>
      <c r="D13798" s="30" t="s">
        <v>17</v>
      </c>
      <c r="E13798" s="30" t="s">
        <v>31</v>
      </c>
      <c r="F13798" s="30" t="s">
        <v>32</v>
      </c>
      <c r="G13798" s="30" t="s">
        <v>20</v>
      </c>
      <c r="H13798" s="32">
        <v>67</v>
      </c>
      <c r="I13798" s="30" t="s">
        <v>21</v>
      </c>
      <c r="J13798" s="41">
        <v>45272</v>
      </c>
      <c r="K13798" s="30" t="s">
        <v>22</v>
      </c>
    </row>
    <row r="13799" spans="1:11">
      <c r="A13799" s="33" t="s">
        <v>31175</v>
      </c>
      <c r="B13799" s="33" t="s">
        <v>31176</v>
      </c>
      <c r="C13799" s="33" t="s">
        <v>1003</v>
      </c>
      <c r="D13799" s="33" t="s">
        <v>17</v>
      </c>
      <c r="E13799" s="33" t="s">
        <v>26</v>
      </c>
      <c r="F13799" s="33" t="s">
        <v>27</v>
      </c>
      <c r="G13799" s="33" t="s">
        <v>50</v>
      </c>
      <c r="H13799" s="35">
        <v>60</v>
      </c>
      <c r="I13799" s="33" t="s">
        <v>51</v>
      </c>
      <c r="J13799" s="42">
        <v>45146</v>
      </c>
      <c r="K13799" s="33" t="s">
        <v>22</v>
      </c>
    </row>
    <row r="13800" spans="1:11">
      <c r="A13800" s="30" t="s">
        <v>31177</v>
      </c>
      <c r="B13800" s="30" t="s">
        <v>31178</v>
      </c>
      <c r="C13800" s="30" t="s">
        <v>22889</v>
      </c>
      <c r="D13800" s="30" t="s">
        <v>17</v>
      </c>
      <c r="E13800" s="30" t="s">
        <v>26</v>
      </c>
      <c r="F13800" s="30" t="s">
        <v>27</v>
      </c>
      <c r="G13800" s="30" t="s">
        <v>158</v>
      </c>
      <c r="H13800" s="32">
        <v>68</v>
      </c>
      <c r="I13800" s="30" t="s">
        <v>51</v>
      </c>
      <c r="J13800" s="41">
        <v>45175</v>
      </c>
      <c r="K13800" s="30" t="s">
        <v>22</v>
      </c>
    </row>
    <row r="13801" spans="1:11">
      <c r="A13801" s="33" t="s">
        <v>31179</v>
      </c>
      <c r="B13801" s="33" t="s">
        <v>31180</v>
      </c>
      <c r="C13801" s="33" t="s">
        <v>647</v>
      </c>
      <c r="D13801" s="33" t="s">
        <v>17</v>
      </c>
      <c r="E13801" s="33" t="s">
        <v>26</v>
      </c>
      <c r="F13801" s="33" t="s">
        <v>27</v>
      </c>
      <c r="G13801" s="33" t="s">
        <v>20</v>
      </c>
      <c r="H13801" s="35">
        <v>18</v>
      </c>
      <c r="I13801" s="33" t="s">
        <v>21</v>
      </c>
      <c r="J13801" s="42">
        <v>45238</v>
      </c>
      <c r="K13801" s="33" t="s">
        <v>22</v>
      </c>
    </row>
    <row r="13802" spans="1:11">
      <c r="A13802" s="30" t="s">
        <v>31181</v>
      </c>
      <c r="B13802" s="30" t="s">
        <v>31182</v>
      </c>
      <c r="C13802" s="30" t="s">
        <v>8443</v>
      </c>
      <c r="D13802" s="30" t="s">
        <v>17</v>
      </c>
      <c r="E13802" s="30" t="s">
        <v>67</v>
      </c>
      <c r="F13802" s="30" t="s">
        <v>68</v>
      </c>
      <c r="G13802" s="30" t="s">
        <v>50</v>
      </c>
      <c r="H13802" s="32">
        <v>42</v>
      </c>
      <c r="I13802" s="30" t="s">
        <v>51</v>
      </c>
      <c r="J13802" s="41">
        <v>45170</v>
      </c>
      <c r="K13802" s="30" t="s">
        <v>22</v>
      </c>
    </row>
    <row r="13803" spans="1:11">
      <c r="A13803" s="33" t="s">
        <v>31183</v>
      </c>
      <c r="B13803" s="33" t="s">
        <v>31184</v>
      </c>
      <c r="C13803" s="33" t="s">
        <v>96</v>
      </c>
      <c r="D13803" s="33" t="s">
        <v>17</v>
      </c>
      <c r="E13803" s="33" t="s">
        <v>26</v>
      </c>
      <c r="F13803" s="33" t="s">
        <v>27</v>
      </c>
      <c r="G13803" s="33" t="s">
        <v>20</v>
      </c>
      <c r="H13803" s="35">
        <v>12</v>
      </c>
      <c r="I13803" s="33" t="s">
        <v>21</v>
      </c>
      <c r="J13803" s="42">
        <v>45029</v>
      </c>
      <c r="K13803" s="33" t="s">
        <v>22</v>
      </c>
    </row>
    <row r="13804" spans="1:11">
      <c r="A13804" s="30" t="s">
        <v>31185</v>
      </c>
      <c r="B13804" s="30" t="s">
        <v>31186</v>
      </c>
      <c r="C13804" s="30" t="s">
        <v>31187</v>
      </c>
      <c r="D13804" s="30" t="s">
        <v>17</v>
      </c>
      <c r="E13804" s="30" t="s">
        <v>26</v>
      </c>
      <c r="F13804" s="30" t="s">
        <v>27</v>
      </c>
      <c r="G13804" s="30" t="s">
        <v>50</v>
      </c>
      <c r="H13804" s="32">
        <v>66</v>
      </c>
      <c r="I13804" s="30" t="s">
        <v>51</v>
      </c>
      <c r="J13804" s="41">
        <v>45223</v>
      </c>
      <c r="K13804" s="30" t="s">
        <v>22</v>
      </c>
    </row>
    <row r="13805" spans="1:11">
      <c r="A13805" s="33" t="s">
        <v>31188</v>
      </c>
      <c r="B13805" s="33" t="s">
        <v>31189</v>
      </c>
      <c r="C13805" s="33" t="s">
        <v>3944</v>
      </c>
      <c r="D13805" s="33" t="s">
        <v>17</v>
      </c>
      <c r="E13805" s="33" t="s">
        <v>67</v>
      </c>
      <c r="F13805" s="33" t="s">
        <v>68</v>
      </c>
      <c r="G13805" s="33" t="s">
        <v>140</v>
      </c>
      <c r="H13805" s="35">
        <v>60</v>
      </c>
      <c r="I13805" s="33" t="s">
        <v>51</v>
      </c>
      <c r="J13805" s="42">
        <v>45176</v>
      </c>
      <c r="K13805" s="33" t="s">
        <v>22</v>
      </c>
    </row>
    <row r="13806" spans="1:11">
      <c r="A13806" s="30" t="s">
        <v>31190</v>
      </c>
      <c r="B13806" s="30" t="s">
        <v>31191</v>
      </c>
      <c r="C13806" s="30" t="s">
        <v>12723</v>
      </c>
      <c r="D13806" s="30" t="s">
        <v>17</v>
      </c>
      <c r="E13806" s="30" t="s">
        <v>26</v>
      </c>
      <c r="F13806" s="30" t="s">
        <v>27</v>
      </c>
      <c r="G13806" s="30" t="s">
        <v>20</v>
      </c>
      <c r="H13806" s="32">
        <v>21</v>
      </c>
      <c r="I13806" s="30" t="s">
        <v>21</v>
      </c>
      <c r="J13806" s="41">
        <v>44930</v>
      </c>
      <c r="K13806" s="30" t="s">
        <v>22</v>
      </c>
    </row>
    <row r="13807" spans="1:11">
      <c r="A13807" s="33" t="s">
        <v>31192</v>
      </c>
      <c r="B13807" s="33" t="s">
        <v>31193</v>
      </c>
      <c r="C13807" s="33" t="s">
        <v>31194</v>
      </c>
      <c r="D13807" s="33" t="s">
        <v>17</v>
      </c>
      <c r="E13807" s="33" t="s">
        <v>67</v>
      </c>
      <c r="F13807" s="33" t="s">
        <v>68</v>
      </c>
      <c r="G13807" s="33" t="s">
        <v>158</v>
      </c>
      <c r="H13807" s="35">
        <v>155</v>
      </c>
      <c r="I13807" s="33" t="s">
        <v>51</v>
      </c>
      <c r="J13807" s="42">
        <v>45126</v>
      </c>
      <c r="K13807" s="33" t="s">
        <v>22</v>
      </c>
    </row>
    <row r="13808" spans="1:11">
      <c r="A13808" s="30" t="s">
        <v>31195</v>
      </c>
      <c r="B13808" s="30" t="s">
        <v>31196</v>
      </c>
      <c r="C13808" s="30" t="s">
        <v>31197</v>
      </c>
      <c r="D13808" s="30" t="s">
        <v>17</v>
      </c>
      <c r="E13808" s="30" t="s">
        <v>26</v>
      </c>
      <c r="F13808" s="30" t="s">
        <v>27</v>
      </c>
      <c r="G13808" s="30" t="s">
        <v>20</v>
      </c>
      <c r="H13808" s="32">
        <v>40</v>
      </c>
      <c r="I13808" s="30" t="s">
        <v>21</v>
      </c>
      <c r="J13808" s="41">
        <v>45146</v>
      </c>
      <c r="K13808" s="30" t="s">
        <v>22</v>
      </c>
    </row>
    <row r="13809" spans="1:11">
      <c r="A13809" s="33" t="s">
        <v>31198</v>
      </c>
      <c r="B13809" s="33" t="s">
        <v>31199</v>
      </c>
      <c r="C13809" s="33" t="s">
        <v>1006</v>
      </c>
      <c r="D13809" s="33" t="s">
        <v>17</v>
      </c>
      <c r="E13809" s="33" t="s">
        <v>18</v>
      </c>
      <c r="F13809" s="33" t="s">
        <v>19</v>
      </c>
      <c r="G13809" s="33" t="s">
        <v>140</v>
      </c>
      <c r="H13809" s="35">
        <v>242</v>
      </c>
      <c r="I13809" s="33" t="s">
        <v>51</v>
      </c>
      <c r="J13809" s="42">
        <v>45057</v>
      </c>
      <c r="K13809" s="33" t="s">
        <v>22</v>
      </c>
    </row>
    <row r="13810" spans="1:11">
      <c r="A13810" s="30" t="s">
        <v>31200</v>
      </c>
      <c r="B13810" s="30" t="s">
        <v>31201</v>
      </c>
      <c r="C13810" s="30" t="s">
        <v>17501</v>
      </c>
      <c r="D13810" s="30" t="s">
        <v>17</v>
      </c>
      <c r="E13810" s="30" t="s">
        <v>26</v>
      </c>
      <c r="F13810" s="30" t="s">
        <v>27</v>
      </c>
      <c r="G13810" s="30" t="s">
        <v>20</v>
      </c>
      <c r="H13810" s="32">
        <v>33</v>
      </c>
      <c r="I13810" s="30" t="s">
        <v>21</v>
      </c>
      <c r="J13810" s="41">
        <v>45146</v>
      </c>
      <c r="K13810" s="30" t="s">
        <v>22</v>
      </c>
    </row>
    <row r="13811" spans="1:11">
      <c r="A13811" s="33" t="s">
        <v>31202</v>
      </c>
      <c r="B13811" s="33" t="s">
        <v>31203</v>
      </c>
      <c r="C13811" s="33" t="s">
        <v>8231</v>
      </c>
      <c r="D13811" s="33" t="s">
        <v>17</v>
      </c>
      <c r="E13811" s="33" t="s">
        <v>67</v>
      </c>
      <c r="F13811" s="33" t="s">
        <v>68</v>
      </c>
      <c r="G13811" s="33" t="s">
        <v>140</v>
      </c>
      <c r="H13811" s="35">
        <v>156</v>
      </c>
      <c r="I13811" s="33" t="s">
        <v>51</v>
      </c>
      <c r="J13811" s="42">
        <v>45090</v>
      </c>
      <c r="K13811" s="33" t="s">
        <v>22</v>
      </c>
    </row>
    <row r="13812" spans="1:11">
      <c r="A13812" s="30" t="s">
        <v>31204</v>
      </c>
      <c r="B13812" s="30" t="s">
        <v>31205</v>
      </c>
      <c r="C13812" s="30" t="s">
        <v>22647</v>
      </c>
      <c r="D13812" s="30" t="s">
        <v>17</v>
      </c>
      <c r="E13812" s="30" t="s">
        <v>26</v>
      </c>
      <c r="F13812" s="30" t="s">
        <v>27</v>
      </c>
      <c r="G13812" s="30" t="s">
        <v>20</v>
      </c>
      <c r="H13812" s="32">
        <v>24</v>
      </c>
      <c r="I13812" s="30" t="s">
        <v>21</v>
      </c>
      <c r="J13812" s="41">
        <v>44998</v>
      </c>
      <c r="K13812" s="30" t="s">
        <v>22</v>
      </c>
    </row>
    <row r="13813" spans="1:11">
      <c r="A13813" s="33" t="s">
        <v>31206</v>
      </c>
      <c r="B13813" s="33" t="s">
        <v>31207</v>
      </c>
      <c r="C13813" s="33" t="s">
        <v>31208</v>
      </c>
      <c r="D13813" s="33" t="s">
        <v>17</v>
      </c>
      <c r="E13813" s="33" t="s">
        <v>330</v>
      </c>
      <c r="F13813" s="33" t="s">
        <v>331</v>
      </c>
      <c r="G13813" s="33" t="s">
        <v>20</v>
      </c>
      <c r="H13813" s="35">
        <v>46</v>
      </c>
      <c r="I13813" s="33" t="s">
        <v>21</v>
      </c>
      <c r="J13813" s="42">
        <v>45218</v>
      </c>
      <c r="K13813" s="33" t="s">
        <v>22</v>
      </c>
    </row>
    <row r="13814" spans="1:11">
      <c r="A13814" s="30" t="s">
        <v>31209</v>
      </c>
      <c r="B13814" s="30" t="s">
        <v>31210</v>
      </c>
      <c r="C13814" s="30" t="s">
        <v>31211</v>
      </c>
      <c r="D13814" s="30" t="s">
        <v>17</v>
      </c>
      <c r="E13814" s="30" t="s">
        <v>212</v>
      </c>
      <c r="F13814" s="30" t="s">
        <v>213</v>
      </c>
      <c r="G13814" s="30" t="s">
        <v>140</v>
      </c>
      <c r="H13814" s="32">
        <v>296</v>
      </c>
      <c r="I13814" s="30" t="s">
        <v>51</v>
      </c>
      <c r="J13814" s="41">
        <v>45240</v>
      </c>
      <c r="K13814" s="30" t="s">
        <v>22</v>
      </c>
    </row>
    <row r="13815" spans="1:11">
      <c r="A13815" s="33" t="s">
        <v>31212</v>
      </c>
      <c r="B13815" s="33" t="s">
        <v>31213</v>
      </c>
      <c r="C13815" s="33" t="s">
        <v>7762</v>
      </c>
      <c r="D13815" s="33" t="s">
        <v>17</v>
      </c>
      <c r="E13815" s="33" t="s">
        <v>31</v>
      </c>
      <c r="F13815" s="33" t="s">
        <v>32</v>
      </c>
      <c r="G13815" s="33" t="s">
        <v>20</v>
      </c>
      <c r="H13815" s="35">
        <v>60</v>
      </c>
      <c r="I13815" s="33" t="s">
        <v>21</v>
      </c>
      <c r="J13815" s="42">
        <v>45077</v>
      </c>
      <c r="K13815" s="33" t="s">
        <v>22</v>
      </c>
    </row>
    <row r="13816" spans="1:11">
      <c r="A13816" s="30" t="s">
        <v>31214</v>
      </c>
      <c r="B13816" s="30" t="s">
        <v>31215</v>
      </c>
      <c r="C13816" s="30" t="s">
        <v>23276</v>
      </c>
      <c r="D13816" s="30" t="s">
        <v>17</v>
      </c>
      <c r="E13816" s="30" t="s">
        <v>31</v>
      </c>
      <c r="F13816" s="30" t="s">
        <v>32</v>
      </c>
      <c r="G13816" s="30" t="s">
        <v>140</v>
      </c>
      <c r="H13816" s="32">
        <v>29</v>
      </c>
      <c r="I13816" s="30" t="s">
        <v>51</v>
      </c>
      <c r="J13816" s="41">
        <v>45288</v>
      </c>
      <c r="K13816" s="30" t="s">
        <v>22</v>
      </c>
    </row>
    <row r="13817" spans="1:11">
      <c r="A13817" s="33" t="s">
        <v>31216</v>
      </c>
      <c r="B13817" s="33" t="s">
        <v>31217</v>
      </c>
      <c r="C13817" s="33" t="s">
        <v>31218</v>
      </c>
      <c r="D13817" s="33" t="s">
        <v>17</v>
      </c>
      <c r="E13817" s="33" t="s">
        <v>31</v>
      </c>
      <c r="F13817" s="33" t="s">
        <v>32</v>
      </c>
      <c r="G13817" s="33" t="s">
        <v>20</v>
      </c>
      <c r="H13817" s="35">
        <v>103</v>
      </c>
      <c r="I13817" s="33" t="s">
        <v>21</v>
      </c>
      <c r="J13817" s="42">
        <v>45139</v>
      </c>
      <c r="K13817" s="33" t="s">
        <v>22</v>
      </c>
    </row>
    <row r="13818" spans="1:11">
      <c r="A13818" s="30" t="s">
        <v>31219</v>
      </c>
      <c r="B13818" s="30" t="s">
        <v>31220</v>
      </c>
      <c r="C13818" s="30" t="s">
        <v>31221</v>
      </c>
      <c r="D13818" s="30" t="s">
        <v>17</v>
      </c>
      <c r="E13818" s="30" t="s">
        <v>67</v>
      </c>
      <c r="F13818" s="30" t="s">
        <v>68</v>
      </c>
      <c r="G13818" s="30" t="s">
        <v>140</v>
      </c>
      <c r="H13818" s="32">
        <v>16</v>
      </c>
      <c r="I13818" s="30" t="s">
        <v>51</v>
      </c>
      <c r="J13818" s="41">
        <v>45000</v>
      </c>
      <c r="K13818" s="30" t="s">
        <v>22</v>
      </c>
    </row>
    <row r="13819" spans="1:11">
      <c r="A13819" s="33" t="s">
        <v>31222</v>
      </c>
      <c r="B13819" s="33" t="s">
        <v>31223</v>
      </c>
      <c r="C13819" s="33" t="s">
        <v>14253</v>
      </c>
      <c r="D13819" s="33" t="s">
        <v>17</v>
      </c>
      <c r="E13819" s="33" t="s">
        <v>26</v>
      </c>
      <c r="F13819" s="33" t="s">
        <v>27</v>
      </c>
      <c r="G13819" s="33" t="s">
        <v>158</v>
      </c>
      <c r="H13819" s="35">
        <v>90</v>
      </c>
      <c r="I13819" s="33" t="s">
        <v>51</v>
      </c>
      <c r="J13819" s="42">
        <v>45077</v>
      </c>
      <c r="K13819" s="33" t="s">
        <v>22</v>
      </c>
    </row>
    <row r="13820" spans="1:11">
      <c r="A13820" s="30" t="s">
        <v>31224</v>
      </c>
      <c r="B13820" s="30" t="s">
        <v>31225</v>
      </c>
      <c r="C13820" s="30" t="s">
        <v>2508</v>
      </c>
      <c r="D13820" s="30" t="s">
        <v>17</v>
      </c>
      <c r="E13820" s="30" t="s">
        <v>26</v>
      </c>
      <c r="F13820" s="30" t="s">
        <v>27</v>
      </c>
      <c r="G13820" s="30" t="s">
        <v>20</v>
      </c>
      <c r="H13820" s="32">
        <v>7</v>
      </c>
      <c r="I13820" s="30" t="s">
        <v>21</v>
      </c>
      <c r="J13820" s="41">
        <v>45257</v>
      </c>
      <c r="K13820" s="30" t="s">
        <v>22</v>
      </c>
    </row>
    <row r="13821" spans="1:11">
      <c r="A13821" s="33" t="s">
        <v>31226</v>
      </c>
      <c r="B13821" s="33" t="s">
        <v>31227</v>
      </c>
      <c r="C13821" s="33" t="s">
        <v>21009</v>
      </c>
      <c r="D13821" s="33" t="s">
        <v>17</v>
      </c>
      <c r="E13821" s="33" t="s">
        <v>26</v>
      </c>
      <c r="F13821" s="33" t="s">
        <v>27</v>
      </c>
      <c r="G13821" s="33" t="s">
        <v>140</v>
      </c>
      <c r="H13821" s="35">
        <v>51</v>
      </c>
      <c r="I13821" s="33" t="s">
        <v>51</v>
      </c>
      <c r="J13821" s="42">
        <v>45005</v>
      </c>
      <c r="K13821" s="33" t="s">
        <v>22</v>
      </c>
    </row>
    <row r="13822" spans="1:11">
      <c r="A13822" s="30" t="s">
        <v>31228</v>
      </c>
      <c r="B13822" s="30" t="s">
        <v>31229</v>
      </c>
      <c r="C13822" s="30" t="s">
        <v>8271</v>
      </c>
      <c r="D13822" s="30" t="s">
        <v>17</v>
      </c>
      <c r="E13822" s="30" t="s">
        <v>26</v>
      </c>
      <c r="F13822" s="30" t="s">
        <v>27</v>
      </c>
      <c r="G13822" s="30" t="s">
        <v>106</v>
      </c>
      <c r="H13822" s="32">
        <v>21</v>
      </c>
      <c r="I13822" s="30" t="s">
        <v>21</v>
      </c>
      <c r="J13822" s="41">
        <v>45164</v>
      </c>
      <c r="K13822" s="30" t="s">
        <v>22</v>
      </c>
    </row>
    <row r="13823" spans="1:11">
      <c r="A13823" s="33" t="s">
        <v>31230</v>
      </c>
      <c r="B13823" s="33" t="s">
        <v>31231</v>
      </c>
      <c r="C13823" s="33" t="s">
        <v>27217</v>
      </c>
      <c r="D13823" s="33" t="s">
        <v>17</v>
      </c>
      <c r="E13823" s="33" t="s">
        <v>67</v>
      </c>
      <c r="F13823" s="33" t="s">
        <v>68</v>
      </c>
      <c r="G13823" s="33" t="s">
        <v>50</v>
      </c>
      <c r="H13823" s="35">
        <v>42</v>
      </c>
      <c r="I13823" s="33" t="s">
        <v>51</v>
      </c>
      <c r="J13823" s="42">
        <v>45211</v>
      </c>
      <c r="K13823" s="33" t="s">
        <v>22</v>
      </c>
    </row>
    <row r="13824" spans="1:11">
      <c r="A13824" s="30" t="s">
        <v>31232</v>
      </c>
      <c r="B13824" s="30" t="s">
        <v>31233</v>
      </c>
      <c r="C13824" s="30" t="s">
        <v>6205</v>
      </c>
      <c r="D13824" s="30" t="s">
        <v>17</v>
      </c>
      <c r="E13824" s="30" t="s">
        <v>31</v>
      </c>
      <c r="F13824" s="30" t="s">
        <v>32</v>
      </c>
      <c r="G13824" s="30" t="s">
        <v>50</v>
      </c>
      <c r="H13824" s="32">
        <v>150</v>
      </c>
      <c r="I13824" s="30" t="s">
        <v>51</v>
      </c>
      <c r="J13824" s="41">
        <v>45169</v>
      </c>
      <c r="K13824" s="30" t="s">
        <v>22</v>
      </c>
    </row>
    <row r="13825" spans="1:11">
      <c r="A13825" s="33" t="s">
        <v>31234</v>
      </c>
      <c r="B13825" s="33" t="s">
        <v>31235</v>
      </c>
      <c r="C13825" s="33" t="s">
        <v>31236</v>
      </c>
      <c r="D13825" s="33" t="s">
        <v>17</v>
      </c>
      <c r="E13825" s="33" t="s">
        <v>18</v>
      </c>
      <c r="F13825" s="33" t="s">
        <v>19</v>
      </c>
      <c r="G13825" s="33" t="s">
        <v>20</v>
      </c>
      <c r="H13825" s="35">
        <v>73</v>
      </c>
      <c r="I13825" s="33" t="s">
        <v>21</v>
      </c>
      <c r="J13825" s="42">
        <v>45181</v>
      </c>
      <c r="K13825" s="33" t="s">
        <v>22</v>
      </c>
    </row>
    <row r="13826" spans="1:11">
      <c r="A13826" s="30" t="s">
        <v>31237</v>
      </c>
      <c r="B13826" s="30" t="s">
        <v>31238</v>
      </c>
      <c r="C13826" s="30" t="s">
        <v>12357</v>
      </c>
      <c r="D13826" s="30" t="s">
        <v>17</v>
      </c>
      <c r="E13826" s="30" t="s">
        <v>67</v>
      </c>
      <c r="F13826" s="30" t="s">
        <v>68</v>
      </c>
      <c r="G13826" s="30" t="s">
        <v>140</v>
      </c>
      <c r="H13826" s="32">
        <v>98</v>
      </c>
      <c r="I13826" s="30" t="s">
        <v>51</v>
      </c>
      <c r="J13826" s="41">
        <v>45159</v>
      </c>
      <c r="K13826" s="30" t="s">
        <v>22</v>
      </c>
    </row>
    <row r="13827" spans="1:11">
      <c r="A13827" s="33" t="s">
        <v>31239</v>
      </c>
      <c r="B13827" s="33" t="s">
        <v>31240</v>
      </c>
      <c r="C13827" s="33" t="s">
        <v>31241</v>
      </c>
      <c r="D13827" s="33" t="s">
        <v>17</v>
      </c>
      <c r="E13827" s="33" t="s">
        <v>330</v>
      </c>
      <c r="F13827" s="33" t="s">
        <v>331</v>
      </c>
      <c r="G13827" s="33" t="s">
        <v>20</v>
      </c>
      <c r="H13827" s="35">
        <v>34</v>
      </c>
      <c r="I13827" s="33" t="s">
        <v>21</v>
      </c>
      <c r="J13827" s="42">
        <v>45041</v>
      </c>
      <c r="K13827" s="33" t="s">
        <v>22</v>
      </c>
    </row>
    <row r="13828" spans="1:11">
      <c r="A13828" s="30" t="s">
        <v>31242</v>
      </c>
      <c r="B13828" s="30" t="s">
        <v>31243</v>
      </c>
      <c r="C13828" s="30" t="s">
        <v>1267</v>
      </c>
      <c r="D13828" s="30" t="s">
        <v>17</v>
      </c>
      <c r="E13828" s="30" t="s">
        <v>26</v>
      </c>
      <c r="F13828" s="30" t="s">
        <v>27</v>
      </c>
      <c r="G13828" s="30" t="s">
        <v>20</v>
      </c>
      <c r="H13828" s="32">
        <v>32</v>
      </c>
      <c r="I13828" s="30" t="s">
        <v>21</v>
      </c>
      <c r="J13828" s="41">
        <v>45215</v>
      </c>
      <c r="K13828" s="30" t="s">
        <v>22</v>
      </c>
    </row>
    <row r="13829" spans="1:11">
      <c r="A13829" s="33" t="s">
        <v>31244</v>
      </c>
      <c r="B13829" s="33" t="s">
        <v>31245</v>
      </c>
      <c r="C13829" s="33" t="s">
        <v>2472</v>
      </c>
      <c r="D13829" s="33" t="s">
        <v>17</v>
      </c>
      <c r="E13829" s="33" t="s">
        <v>67</v>
      </c>
      <c r="F13829" s="33" t="s">
        <v>68</v>
      </c>
      <c r="G13829" s="33" t="s">
        <v>20</v>
      </c>
      <c r="H13829" s="35">
        <v>807</v>
      </c>
      <c r="I13829" s="33" t="s">
        <v>21</v>
      </c>
      <c r="J13829" s="42">
        <v>45133</v>
      </c>
      <c r="K13829" s="33" t="s">
        <v>22</v>
      </c>
    </row>
    <row r="13830" spans="1:11">
      <c r="A13830" s="30" t="s">
        <v>31246</v>
      </c>
      <c r="B13830" s="30" t="s">
        <v>31247</v>
      </c>
      <c r="C13830" s="30" t="s">
        <v>118</v>
      </c>
      <c r="D13830" s="30" t="s">
        <v>17</v>
      </c>
      <c r="E13830" s="30" t="s">
        <v>26</v>
      </c>
      <c r="F13830" s="30" t="s">
        <v>27</v>
      </c>
      <c r="G13830" s="30" t="s">
        <v>158</v>
      </c>
      <c r="H13830" s="32">
        <v>232</v>
      </c>
      <c r="I13830" s="30" t="s">
        <v>51</v>
      </c>
      <c r="J13830" s="41">
        <v>45189</v>
      </c>
      <c r="K13830" s="30" t="s">
        <v>22</v>
      </c>
    </row>
    <row r="13831" spans="1:11">
      <c r="A13831" s="33" t="s">
        <v>31248</v>
      </c>
      <c r="B13831" s="33" t="s">
        <v>31249</v>
      </c>
      <c r="C13831" s="33" t="s">
        <v>647</v>
      </c>
      <c r="D13831" s="33" t="s">
        <v>17</v>
      </c>
      <c r="E13831" s="33" t="s">
        <v>18</v>
      </c>
      <c r="F13831" s="33" t="s">
        <v>19</v>
      </c>
      <c r="G13831" s="33" t="s">
        <v>140</v>
      </c>
      <c r="H13831" s="35">
        <v>735</v>
      </c>
      <c r="I13831" s="33" t="s">
        <v>51</v>
      </c>
      <c r="J13831" s="42">
        <v>45146</v>
      </c>
      <c r="K13831" s="33" t="s">
        <v>22</v>
      </c>
    </row>
    <row r="13832" spans="1:11">
      <c r="A13832" s="30" t="s">
        <v>31250</v>
      </c>
      <c r="B13832" s="30" t="s">
        <v>31251</v>
      </c>
      <c r="C13832" s="30" t="s">
        <v>2329</v>
      </c>
      <c r="D13832" s="30" t="s">
        <v>17</v>
      </c>
      <c r="E13832" s="30" t="s">
        <v>26</v>
      </c>
      <c r="F13832" s="30" t="s">
        <v>27</v>
      </c>
      <c r="G13832" s="30" t="s">
        <v>140</v>
      </c>
      <c r="H13832" s="32">
        <v>9</v>
      </c>
      <c r="I13832" s="30" t="s">
        <v>51</v>
      </c>
      <c r="J13832" s="41">
        <v>45167</v>
      </c>
      <c r="K13832" s="30" t="s">
        <v>22</v>
      </c>
    </row>
    <row r="13833" spans="1:11">
      <c r="A13833" s="33" t="s">
        <v>31252</v>
      </c>
      <c r="B13833" s="33" t="s">
        <v>31253</v>
      </c>
      <c r="C13833" s="33" t="s">
        <v>31254</v>
      </c>
      <c r="D13833" s="33" t="s">
        <v>17</v>
      </c>
      <c r="E13833" s="33" t="s">
        <v>67</v>
      </c>
      <c r="F13833" s="33" t="s">
        <v>68</v>
      </c>
      <c r="G13833" s="33" t="s">
        <v>140</v>
      </c>
      <c r="H13833" s="35">
        <v>98</v>
      </c>
      <c r="I13833" s="33" t="s">
        <v>51</v>
      </c>
      <c r="J13833" s="42">
        <v>45141</v>
      </c>
      <c r="K13833" s="33" t="s">
        <v>22</v>
      </c>
    </row>
    <row r="13834" spans="1:11">
      <c r="A13834" s="30" t="s">
        <v>31255</v>
      </c>
      <c r="B13834" s="30" t="s">
        <v>31256</v>
      </c>
      <c r="C13834" s="30" t="s">
        <v>22428</v>
      </c>
      <c r="D13834" s="30" t="s">
        <v>17</v>
      </c>
      <c r="E13834" s="30" t="s">
        <v>18</v>
      </c>
      <c r="F13834" s="30" t="s">
        <v>19</v>
      </c>
      <c r="G13834" s="30" t="s">
        <v>140</v>
      </c>
      <c r="H13834" s="32">
        <v>100</v>
      </c>
      <c r="I13834" s="30" t="s">
        <v>51</v>
      </c>
      <c r="J13834" s="41">
        <v>45026</v>
      </c>
      <c r="K13834" s="30" t="s">
        <v>22</v>
      </c>
    </row>
    <row r="13835" spans="1:11">
      <c r="A13835" s="33" t="s">
        <v>31257</v>
      </c>
      <c r="B13835" s="33" t="s">
        <v>31258</v>
      </c>
      <c r="C13835" s="33" t="s">
        <v>190</v>
      </c>
      <c r="D13835" s="33" t="s">
        <v>17</v>
      </c>
      <c r="E13835" s="33" t="s">
        <v>26</v>
      </c>
      <c r="F13835" s="33" t="s">
        <v>27</v>
      </c>
      <c r="G13835" s="33" t="s">
        <v>20</v>
      </c>
      <c r="H13835" s="35">
        <v>16</v>
      </c>
      <c r="I13835" s="33" t="s">
        <v>21</v>
      </c>
      <c r="J13835" s="42">
        <v>44994</v>
      </c>
      <c r="K13835" s="33" t="s">
        <v>22</v>
      </c>
    </row>
    <row r="13836" spans="1:11">
      <c r="A13836" s="30" t="s">
        <v>31259</v>
      </c>
      <c r="B13836" s="30" t="s">
        <v>31260</v>
      </c>
      <c r="C13836" s="30" t="s">
        <v>17285</v>
      </c>
      <c r="D13836" s="30" t="s">
        <v>17</v>
      </c>
      <c r="E13836" s="30" t="s">
        <v>67</v>
      </c>
      <c r="F13836" s="30" t="s">
        <v>68</v>
      </c>
      <c r="G13836" s="30" t="s">
        <v>20</v>
      </c>
      <c r="H13836" s="32">
        <v>47</v>
      </c>
      <c r="I13836" s="30" t="s">
        <v>21</v>
      </c>
      <c r="J13836" s="41">
        <v>45041</v>
      </c>
      <c r="K13836" s="30" t="s">
        <v>22</v>
      </c>
    </row>
    <row r="13837" spans="1:11">
      <c r="A13837" s="33" t="s">
        <v>31261</v>
      </c>
      <c r="B13837" s="33" t="s">
        <v>31262</v>
      </c>
      <c r="C13837" s="33" t="s">
        <v>10199</v>
      </c>
      <c r="D13837" s="33" t="s">
        <v>17</v>
      </c>
      <c r="E13837" s="33" t="s">
        <v>18</v>
      </c>
      <c r="F13837" s="33" t="s">
        <v>19</v>
      </c>
      <c r="G13837" s="33" t="s">
        <v>158</v>
      </c>
      <c r="H13837" s="35">
        <v>167</v>
      </c>
      <c r="I13837" s="33" t="s">
        <v>21</v>
      </c>
      <c r="J13837" s="42">
        <v>45097</v>
      </c>
      <c r="K13837" s="33" t="s">
        <v>22</v>
      </c>
    </row>
    <row r="13838" spans="1:11">
      <c r="A13838" s="30" t="s">
        <v>31263</v>
      </c>
      <c r="B13838" s="30" t="s">
        <v>31264</v>
      </c>
      <c r="C13838" s="30" t="s">
        <v>7015</v>
      </c>
      <c r="D13838" s="30" t="s">
        <v>17</v>
      </c>
      <c r="E13838" s="30" t="s">
        <v>26</v>
      </c>
      <c r="F13838" s="30" t="s">
        <v>27</v>
      </c>
      <c r="G13838" s="30" t="s">
        <v>20</v>
      </c>
      <c r="H13838" s="32">
        <v>24</v>
      </c>
      <c r="I13838" s="30" t="s">
        <v>21</v>
      </c>
      <c r="J13838" s="41">
        <v>45182</v>
      </c>
      <c r="K13838" s="30" t="s">
        <v>22</v>
      </c>
    </row>
    <row r="13839" spans="1:11">
      <c r="A13839" s="33" t="s">
        <v>31265</v>
      </c>
      <c r="B13839" s="33" t="s">
        <v>31266</v>
      </c>
      <c r="C13839" s="33" t="s">
        <v>31267</v>
      </c>
      <c r="D13839" s="33" t="s">
        <v>17</v>
      </c>
      <c r="E13839" s="33" t="s">
        <v>67</v>
      </c>
      <c r="F13839" s="33" t="s">
        <v>68</v>
      </c>
      <c r="G13839" s="33" t="s">
        <v>140</v>
      </c>
      <c r="H13839" s="35">
        <v>160</v>
      </c>
      <c r="I13839" s="33" t="s">
        <v>51</v>
      </c>
      <c r="J13839" s="42">
        <v>45180</v>
      </c>
      <c r="K13839" s="33" t="s">
        <v>22</v>
      </c>
    </row>
    <row r="13840" spans="1:11">
      <c r="A13840" s="30" t="s">
        <v>31268</v>
      </c>
      <c r="B13840" s="30" t="s">
        <v>31269</v>
      </c>
      <c r="C13840" s="30" t="s">
        <v>4462</v>
      </c>
      <c r="D13840" s="30" t="s">
        <v>17</v>
      </c>
      <c r="E13840" s="30" t="s">
        <v>31</v>
      </c>
      <c r="F13840" s="30" t="s">
        <v>32</v>
      </c>
      <c r="G13840" s="30" t="s">
        <v>20</v>
      </c>
      <c r="H13840" s="32">
        <v>382</v>
      </c>
      <c r="I13840" s="30" t="s">
        <v>21</v>
      </c>
      <c r="J13840" s="41">
        <v>45012</v>
      </c>
      <c r="K13840" s="30" t="s">
        <v>22</v>
      </c>
    </row>
    <row r="13841" spans="1:11">
      <c r="A13841" s="33" t="s">
        <v>31270</v>
      </c>
      <c r="B13841" s="33" t="s">
        <v>31271</v>
      </c>
      <c r="C13841" s="33" t="s">
        <v>2472</v>
      </c>
      <c r="D13841" s="33" t="s">
        <v>17</v>
      </c>
      <c r="E13841" s="33" t="s">
        <v>31</v>
      </c>
      <c r="F13841" s="33" t="s">
        <v>32</v>
      </c>
      <c r="G13841" s="33" t="s">
        <v>158</v>
      </c>
      <c r="H13841" s="35">
        <v>84</v>
      </c>
      <c r="I13841" s="33" t="s">
        <v>21</v>
      </c>
      <c r="J13841" s="42">
        <v>45021</v>
      </c>
      <c r="K13841" s="33" t="s">
        <v>22</v>
      </c>
    </row>
    <row r="13842" spans="1:11">
      <c r="A13842" s="30" t="s">
        <v>31272</v>
      </c>
      <c r="B13842" s="30" t="s">
        <v>31273</v>
      </c>
      <c r="C13842" s="30" t="s">
        <v>96</v>
      </c>
      <c r="D13842" s="30" t="s">
        <v>17</v>
      </c>
      <c r="E13842" s="30" t="s">
        <v>26</v>
      </c>
      <c r="F13842" s="30" t="s">
        <v>27</v>
      </c>
      <c r="G13842" s="30" t="s">
        <v>106</v>
      </c>
      <c r="H13842" s="32">
        <v>16</v>
      </c>
      <c r="I13842" s="30" t="s">
        <v>21</v>
      </c>
      <c r="J13842" s="41">
        <v>45012</v>
      </c>
      <c r="K13842" s="30" t="s">
        <v>22</v>
      </c>
    </row>
    <row r="13843" spans="1:11">
      <c r="A13843" s="33" t="s">
        <v>31274</v>
      </c>
      <c r="B13843" s="33" t="s">
        <v>31275</v>
      </c>
      <c r="C13843" s="33" t="s">
        <v>190</v>
      </c>
      <c r="D13843" s="33" t="s">
        <v>17</v>
      </c>
      <c r="E13843" s="33" t="s">
        <v>31</v>
      </c>
      <c r="F13843" s="33" t="s">
        <v>32</v>
      </c>
      <c r="G13843" s="33" t="s">
        <v>112</v>
      </c>
      <c r="H13843" s="35">
        <v>0</v>
      </c>
      <c r="I13843" s="33" t="s">
        <v>21</v>
      </c>
      <c r="J13843" s="42">
        <v>45169</v>
      </c>
      <c r="K13843" s="33" t="s">
        <v>22</v>
      </c>
    </row>
    <row r="13844" spans="1:11">
      <c r="A13844" s="30" t="s">
        <v>31276</v>
      </c>
      <c r="B13844" s="30" t="s">
        <v>31277</v>
      </c>
      <c r="C13844" s="30" t="s">
        <v>136</v>
      </c>
      <c r="D13844" s="30" t="s">
        <v>17</v>
      </c>
      <c r="E13844" s="30" t="s">
        <v>31</v>
      </c>
      <c r="F13844" s="30" t="s">
        <v>32</v>
      </c>
      <c r="G13844" s="30" t="s">
        <v>20</v>
      </c>
      <c r="H13844" s="32">
        <v>146</v>
      </c>
      <c r="I13844" s="30" t="s">
        <v>21</v>
      </c>
      <c r="J13844" s="41">
        <v>45127</v>
      </c>
      <c r="K13844" s="30" t="s">
        <v>22</v>
      </c>
    </row>
    <row r="13845" spans="1:11">
      <c r="A13845" s="33" t="s">
        <v>31278</v>
      </c>
      <c r="B13845" s="33" t="s">
        <v>31279</v>
      </c>
      <c r="C13845" s="33" t="s">
        <v>31280</v>
      </c>
      <c r="D13845" s="33" t="s">
        <v>17</v>
      </c>
      <c r="E13845" s="33" t="s">
        <v>26</v>
      </c>
      <c r="F13845" s="33" t="s">
        <v>27</v>
      </c>
      <c r="G13845" s="33" t="s">
        <v>20</v>
      </c>
      <c r="H13845" s="35">
        <v>28</v>
      </c>
      <c r="I13845" s="33" t="s">
        <v>21</v>
      </c>
      <c r="J13845" s="42">
        <v>45097</v>
      </c>
      <c r="K13845" s="33" t="s">
        <v>22</v>
      </c>
    </row>
    <row r="13846" spans="1:11">
      <c r="A13846" s="30" t="s">
        <v>31281</v>
      </c>
      <c r="B13846" s="30" t="s">
        <v>31282</v>
      </c>
      <c r="C13846" s="30" t="s">
        <v>31283</v>
      </c>
      <c r="D13846" s="30" t="s">
        <v>17</v>
      </c>
      <c r="E13846" s="30" t="s">
        <v>31</v>
      </c>
      <c r="F13846" s="30" t="s">
        <v>32</v>
      </c>
      <c r="G13846" s="30" t="s">
        <v>7780</v>
      </c>
      <c r="H13846" s="32">
        <v>200</v>
      </c>
      <c r="I13846" s="30" t="s">
        <v>51</v>
      </c>
      <c r="J13846" s="41">
        <v>45261</v>
      </c>
      <c r="K13846" s="30" t="s">
        <v>22</v>
      </c>
    </row>
    <row r="13847" spans="1:11">
      <c r="A13847" s="33" t="s">
        <v>31284</v>
      </c>
      <c r="B13847" s="33" t="s">
        <v>31285</v>
      </c>
      <c r="C13847" s="33" t="s">
        <v>31286</v>
      </c>
      <c r="D13847" s="33" t="s">
        <v>17</v>
      </c>
      <c r="E13847" s="33" t="s">
        <v>26</v>
      </c>
      <c r="F13847" s="33" t="s">
        <v>27</v>
      </c>
      <c r="G13847" s="33" t="s">
        <v>20</v>
      </c>
      <c r="H13847" s="35">
        <v>39</v>
      </c>
      <c r="I13847" s="33" t="s">
        <v>21</v>
      </c>
      <c r="J13847" s="42">
        <v>45147</v>
      </c>
      <c r="K13847" s="33" t="s">
        <v>22</v>
      </c>
    </row>
    <row r="13848" spans="1:11">
      <c r="A13848" s="30" t="s">
        <v>31287</v>
      </c>
      <c r="B13848" s="30" t="s">
        <v>31288</v>
      </c>
      <c r="C13848" s="30" t="s">
        <v>31289</v>
      </c>
      <c r="D13848" s="30" t="s">
        <v>17</v>
      </c>
      <c r="E13848" s="30" t="s">
        <v>31</v>
      </c>
      <c r="F13848" s="30" t="s">
        <v>32</v>
      </c>
      <c r="G13848" s="30" t="s">
        <v>106</v>
      </c>
      <c r="H13848" s="32">
        <v>113</v>
      </c>
      <c r="I13848" s="30" t="s">
        <v>21</v>
      </c>
      <c r="J13848" s="41">
        <v>45216</v>
      </c>
      <c r="K13848" s="30" t="s">
        <v>22</v>
      </c>
    </row>
    <row r="13849" spans="1:11">
      <c r="A13849" s="33" t="s">
        <v>31290</v>
      </c>
      <c r="B13849" s="33" t="s">
        <v>31291</v>
      </c>
      <c r="C13849" s="33" t="s">
        <v>969</v>
      </c>
      <c r="D13849" s="33" t="s">
        <v>17</v>
      </c>
      <c r="E13849" s="33" t="s">
        <v>26</v>
      </c>
      <c r="F13849" s="33" t="s">
        <v>27</v>
      </c>
      <c r="G13849" s="33" t="s">
        <v>158</v>
      </c>
      <c r="H13849" s="35">
        <v>127</v>
      </c>
      <c r="I13849" s="33" t="s">
        <v>21</v>
      </c>
      <c r="J13849" s="42">
        <v>45257</v>
      </c>
      <c r="K13849" s="33" t="s">
        <v>22</v>
      </c>
    </row>
    <row r="13850" spans="1:11">
      <c r="A13850" s="30" t="s">
        <v>31292</v>
      </c>
      <c r="B13850" s="30" t="s">
        <v>31293</v>
      </c>
      <c r="C13850" s="30" t="s">
        <v>136</v>
      </c>
      <c r="D13850" s="30" t="s">
        <v>17</v>
      </c>
      <c r="E13850" s="30" t="s">
        <v>26</v>
      </c>
      <c r="F13850" s="30" t="s">
        <v>27</v>
      </c>
      <c r="G13850" s="30" t="s">
        <v>140</v>
      </c>
      <c r="H13850" s="32">
        <v>535</v>
      </c>
      <c r="I13850" s="30" t="s">
        <v>51</v>
      </c>
      <c r="J13850" s="41">
        <v>44938</v>
      </c>
      <c r="K13850" s="30" t="s">
        <v>22</v>
      </c>
    </row>
    <row r="13851" spans="1:11">
      <c r="A13851" s="33" t="s">
        <v>31294</v>
      </c>
      <c r="B13851" s="33" t="s">
        <v>31295</v>
      </c>
      <c r="C13851" s="33" t="s">
        <v>49</v>
      </c>
      <c r="D13851" s="33" t="s">
        <v>17</v>
      </c>
      <c r="E13851" s="33" t="s">
        <v>212</v>
      </c>
      <c r="F13851" s="33" t="s">
        <v>213</v>
      </c>
      <c r="G13851" s="33" t="s">
        <v>50</v>
      </c>
      <c r="H13851" s="35">
        <v>152</v>
      </c>
      <c r="I13851" s="33" t="s">
        <v>51</v>
      </c>
      <c r="J13851" s="42">
        <v>44927</v>
      </c>
      <c r="K13851" s="33" t="s">
        <v>22</v>
      </c>
    </row>
    <row r="13852" spans="1:11">
      <c r="A13852" s="30" t="s">
        <v>31296</v>
      </c>
      <c r="B13852" s="30" t="s">
        <v>31297</v>
      </c>
      <c r="C13852" s="30" t="s">
        <v>11407</v>
      </c>
      <c r="D13852" s="30" t="s">
        <v>17</v>
      </c>
      <c r="E13852" s="30" t="s">
        <v>67</v>
      </c>
      <c r="F13852" s="30" t="s">
        <v>68</v>
      </c>
      <c r="G13852" s="30" t="s">
        <v>140</v>
      </c>
      <c r="H13852" s="32">
        <v>116</v>
      </c>
      <c r="I13852" s="30" t="s">
        <v>51</v>
      </c>
      <c r="J13852" s="41">
        <v>45061</v>
      </c>
      <c r="K13852" s="30" t="s">
        <v>22</v>
      </c>
    </row>
    <row r="13853" spans="1:11">
      <c r="A13853" s="33" t="s">
        <v>31298</v>
      </c>
      <c r="B13853" s="33" t="s">
        <v>31299</v>
      </c>
      <c r="C13853" s="33" t="s">
        <v>1295</v>
      </c>
      <c r="D13853" s="33" t="s">
        <v>17</v>
      </c>
      <c r="E13853" s="33" t="s">
        <v>26</v>
      </c>
      <c r="F13853" s="33" t="s">
        <v>27</v>
      </c>
      <c r="G13853" s="33" t="s">
        <v>106</v>
      </c>
      <c r="H13853" s="35">
        <v>18</v>
      </c>
      <c r="I13853" s="33" t="s">
        <v>21</v>
      </c>
      <c r="J13853" s="42">
        <v>45071</v>
      </c>
      <c r="K13853" s="33" t="s">
        <v>22</v>
      </c>
    </row>
    <row r="13854" spans="1:11">
      <c r="A13854" s="30" t="s">
        <v>31300</v>
      </c>
      <c r="B13854" s="30" t="s">
        <v>31301</v>
      </c>
      <c r="C13854" s="30" t="s">
        <v>1498</v>
      </c>
      <c r="D13854" s="30" t="s">
        <v>17</v>
      </c>
      <c r="E13854" s="30" t="s">
        <v>18</v>
      </c>
      <c r="F13854" s="30" t="s">
        <v>19</v>
      </c>
      <c r="G13854" s="30" t="s">
        <v>50</v>
      </c>
      <c r="H13854" s="32">
        <v>30</v>
      </c>
      <c r="I13854" s="30" t="s">
        <v>51</v>
      </c>
      <c r="J13854" s="41">
        <v>44963</v>
      </c>
      <c r="K13854" s="30" t="s">
        <v>22</v>
      </c>
    </row>
    <row r="13855" spans="1:11">
      <c r="A13855" s="33" t="s">
        <v>31302</v>
      </c>
      <c r="B13855" s="33" t="s">
        <v>31303</v>
      </c>
      <c r="C13855" s="33" t="s">
        <v>60</v>
      </c>
      <c r="D13855" s="33" t="s">
        <v>17</v>
      </c>
      <c r="E13855" s="33" t="s">
        <v>18</v>
      </c>
      <c r="F13855" s="33" t="s">
        <v>19</v>
      </c>
      <c r="G13855" s="33" t="s">
        <v>20</v>
      </c>
      <c r="H13855" s="35">
        <v>258</v>
      </c>
      <c r="I13855" s="33" t="s">
        <v>21</v>
      </c>
      <c r="J13855" s="42">
        <v>44935</v>
      </c>
      <c r="K13855" s="33" t="s">
        <v>22</v>
      </c>
    </row>
    <row r="13856" spans="1:11">
      <c r="A13856" s="30" t="s">
        <v>31304</v>
      </c>
      <c r="B13856" s="30" t="s">
        <v>31305</v>
      </c>
      <c r="C13856" s="30" t="s">
        <v>231</v>
      </c>
      <c r="D13856" s="30" t="s">
        <v>17</v>
      </c>
      <c r="E13856" s="30" t="s">
        <v>26</v>
      </c>
      <c r="F13856" s="30" t="s">
        <v>27</v>
      </c>
      <c r="G13856" s="30" t="s">
        <v>158</v>
      </c>
      <c r="H13856" s="32">
        <v>59</v>
      </c>
      <c r="I13856" s="30" t="s">
        <v>21</v>
      </c>
      <c r="J13856" s="41">
        <v>45057</v>
      </c>
      <c r="K13856" s="30" t="s">
        <v>22</v>
      </c>
    </row>
    <row r="13857" spans="1:11">
      <c r="A13857" s="33" t="s">
        <v>31306</v>
      </c>
      <c r="B13857" s="33" t="s">
        <v>31307</v>
      </c>
      <c r="C13857" s="33" t="s">
        <v>15917</v>
      </c>
      <c r="D13857" s="33" t="s">
        <v>17</v>
      </c>
      <c r="E13857" s="33" t="s">
        <v>26</v>
      </c>
      <c r="F13857" s="33" t="s">
        <v>27</v>
      </c>
      <c r="G13857" s="33" t="s">
        <v>20</v>
      </c>
      <c r="H13857" s="35">
        <v>6</v>
      </c>
      <c r="I13857" s="33" t="s">
        <v>21</v>
      </c>
      <c r="J13857" s="42">
        <v>45259</v>
      </c>
      <c r="K13857" s="33" t="s">
        <v>22</v>
      </c>
    </row>
    <row r="13858" spans="1:11">
      <c r="A13858" s="30" t="s">
        <v>31308</v>
      </c>
      <c r="B13858" s="30" t="s">
        <v>31309</v>
      </c>
      <c r="C13858" s="30" t="s">
        <v>1583</v>
      </c>
      <c r="D13858" s="30" t="s">
        <v>17</v>
      </c>
      <c r="E13858" s="30" t="s">
        <v>26</v>
      </c>
      <c r="F13858" s="30" t="s">
        <v>27</v>
      </c>
      <c r="G13858" s="30" t="s">
        <v>106</v>
      </c>
      <c r="H13858" s="32">
        <v>68</v>
      </c>
      <c r="I13858" s="30" t="s">
        <v>21</v>
      </c>
      <c r="J13858" s="41">
        <v>45244</v>
      </c>
      <c r="K13858" s="30" t="s">
        <v>22</v>
      </c>
    </row>
    <row r="13859" spans="1:11">
      <c r="A13859" s="33" t="s">
        <v>31310</v>
      </c>
      <c r="B13859" s="33" t="s">
        <v>31311</v>
      </c>
      <c r="C13859" s="33" t="s">
        <v>4788</v>
      </c>
      <c r="D13859" s="33" t="s">
        <v>17</v>
      </c>
      <c r="E13859" s="33" t="s">
        <v>26</v>
      </c>
      <c r="F13859" s="33" t="s">
        <v>27</v>
      </c>
      <c r="G13859" s="33" t="s">
        <v>158</v>
      </c>
      <c r="H13859" s="35">
        <v>15</v>
      </c>
      <c r="I13859" s="33" t="s">
        <v>51</v>
      </c>
      <c r="J13859" s="42">
        <v>44993</v>
      </c>
      <c r="K13859" s="33" t="s">
        <v>22</v>
      </c>
    </row>
    <row r="13860" spans="1:11">
      <c r="A13860" s="30" t="s">
        <v>31312</v>
      </c>
      <c r="B13860" s="30" t="s">
        <v>31313</v>
      </c>
      <c r="C13860" s="30" t="s">
        <v>6827</v>
      </c>
      <c r="D13860" s="30" t="s">
        <v>17</v>
      </c>
      <c r="E13860" s="30" t="s">
        <v>26</v>
      </c>
      <c r="F13860" s="30" t="s">
        <v>27</v>
      </c>
      <c r="G13860" s="30" t="s">
        <v>20</v>
      </c>
      <c r="H13860" s="32">
        <v>22</v>
      </c>
      <c r="I13860" s="30" t="s">
        <v>21</v>
      </c>
      <c r="J13860" s="41">
        <v>45008</v>
      </c>
      <c r="K13860" s="30" t="s">
        <v>22</v>
      </c>
    </row>
    <row r="13861" spans="1:11">
      <c r="A13861" s="33" t="s">
        <v>31314</v>
      </c>
      <c r="B13861" s="33" t="s">
        <v>31315</v>
      </c>
      <c r="C13861" s="33" t="s">
        <v>1270</v>
      </c>
      <c r="D13861" s="33" t="s">
        <v>17</v>
      </c>
      <c r="E13861" s="33" t="s">
        <v>26</v>
      </c>
      <c r="F13861" s="33" t="s">
        <v>27</v>
      </c>
      <c r="G13861" s="33" t="s">
        <v>50</v>
      </c>
      <c r="H13861" s="35">
        <v>52</v>
      </c>
      <c r="I13861" s="33" t="s">
        <v>51</v>
      </c>
      <c r="J13861" s="42">
        <v>45124</v>
      </c>
      <c r="K13861" s="33" t="s">
        <v>22</v>
      </c>
    </row>
    <row r="13862" spans="1:11">
      <c r="A13862" s="30" t="s">
        <v>31316</v>
      </c>
      <c r="B13862" s="30" t="s">
        <v>31317</v>
      </c>
      <c r="C13862" s="30" t="s">
        <v>96</v>
      </c>
      <c r="D13862" s="30" t="s">
        <v>17</v>
      </c>
      <c r="E13862" s="30" t="s">
        <v>26</v>
      </c>
      <c r="F13862" s="30" t="s">
        <v>27</v>
      </c>
      <c r="G13862" s="30" t="s">
        <v>20</v>
      </c>
      <c r="H13862" s="32">
        <v>28</v>
      </c>
      <c r="I13862" s="30" t="s">
        <v>21</v>
      </c>
      <c r="J13862" s="41">
        <v>45084</v>
      </c>
      <c r="K13862" s="30" t="s">
        <v>22</v>
      </c>
    </row>
    <row r="13863" spans="1:11">
      <c r="A13863" s="33" t="s">
        <v>31318</v>
      </c>
      <c r="B13863" s="33" t="s">
        <v>31319</v>
      </c>
      <c r="C13863" s="33" t="s">
        <v>102</v>
      </c>
      <c r="D13863" s="33" t="s">
        <v>17</v>
      </c>
      <c r="E13863" s="33" t="s">
        <v>26</v>
      </c>
      <c r="F13863" s="33" t="s">
        <v>27</v>
      </c>
      <c r="G13863" s="33" t="s">
        <v>158</v>
      </c>
      <c r="H13863" s="35">
        <v>70</v>
      </c>
      <c r="I13863" s="33" t="s">
        <v>21</v>
      </c>
      <c r="J13863" s="42">
        <v>45266</v>
      </c>
      <c r="K13863" s="33" t="s">
        <v>22</v>
      </c>
    </row>
    <row r="13864" spans="1:11">
      <c r="A13864" s="30" t="s">
        <v>31320</v>
      </c>
      <c r="B13864" s="30" t="s">
        <v>31321</v>
      </c>
      <c r="C13864" s="30" t="s">
        <v>20050</v>
      </c>
      <c r="D13864" s="30" t="s">
        <v>17</v>
      </c>
      <c r="E13864" s="30" t="s">
        <v>18</v>
      </c>
      <c r="F13864" s="30" t="s">
        <v>19</v>
      </c>
      <c r="G13864" s="30" t="s">
        <v>20</v>
      </c>
      <c r="H13864" s="32">
        <v>1083</v>
      </c>
      <c r="I13864" s="30" t="s">
        <v>21</v>
      </c>
      <c r="J13864" s="41">
        <v>45252</v>
      </c>
      <c r="K13864" s="30" t="s">
        <v>22</v>
      </c>
    </row>
    <row r="13865" spans="1:11">
      <c r="A13865" s="33" t="s">
        <v>31322</v>
      </c>
      <c r="B13865" s="33" t="s">
        <v>31323</v>
      </c>
      <c r="C13865" s="33" t="s">
        <v>19850</v>
      </c>
      <c r="D13865" s="33" t="s">
        <v>17</v>
      </c>
      <c r="E13865" s="33" t="s">
        <v>18</v>
      </c>
      <c r="F13865" s="33" t="s">
        <v>19</v>
      </c>
      <c r="G13865" s="33" t="s">
        <v>20</v>
      </c>
      <c r="H13865" s="35">
        <v>520</v>
      </c>
      <c r="I13865" s="33" t="s">
        <v>21</v>
      </c>
      <c r="J13865" s="42">
        <v>45268</v>
      </c>
      <c r="K13865" s="33" t="s">
        <v>22</v>
      </c>
    </row>
    <row r="13866" spans="1:11">
      <c r="A13866" s="30" t="s">
        <v>31324</v>
      </c>
      <c r="B13866" s="30" t="s">
        <v>31325</v>
      </c>
      <c r="C13866" s="30" t="s">
        <v>109</v>
      </c>
      <c r="D13866" s="30" t="s">
        <v>17</v>
      </c>
      <c r="E13866" s="30" t="s">
        <v>31</v>
      </c>
      <c r="F13866" s="30" t="s">
        <v>32</v>
      </c>
      <c r="G13866" s="30" t="s">
        <v>20</v>
      </c>
      <c r="H13866" s="32">
        <v>62</v>
      </c>
      <c r="I13866" s="30" t="s">
        <v>21</v>
      </c>
      <c r="J13866" s="41">
        <v>45062</v>
      </c>
      <c r="K13866" s="30" t="s">
        <v>22</v>
      </c>
    </row>
    <row r="13867" spans="1:11">
      <c r="A13867" s="33" t="s">
        <v>31326</v>
      </c>
      <c r="B13867" s="33" t="s">
        <v>31327</v>
      </c>
      <c r="C13867" s="33" t="s">
        <v>1270</v>
      </c>
      <c r="D13867" s="33" t="s">
        <v>17</v>
      </c>
      <c r="E13867" s="33" t="s">
        <v>26</v>
      </c>
      <c r="F13867" s="33" t="s">
        <v>27</v>
      </c>
      <c r="G13867" s="33" t="s">
        <v>50</v>
      </c>
      <c r="H13867" s="35">
        <v>180</v>
      </c>
      <c r="I13867" s="33" t="s">
        <v>51</v>
      </c>
      <c r="J13867" s="42">
        <v>45036</v>
      </c>
      <c r="K13867" s="33" t="s">
        <v>22</v>
      </c>
    </row>
    <row r="13868" spans="1:11">
      <c r="A13868" s="30" t="s">
        <v>31328</v>
      </c>
      <c r="B13868" s="30" t="s">
        <v>31329</v>
      </c>
      <c r="C13868" s="30" t="s">
        <v>310</v>
      </c>
      <c r="D13868" s="30" t="s">
        <v>17</v>
      </c>
      <c r="E13868" s="30" t="s">
        <v>26</v>
      </c>
      <c r="F13868" s="30" t="s">
        <v>27</v>
      </c>
      <c r="G13868" s="30" t="s">
        <v>20</v>
      </c>
      <c r="H13868" s="32">
        <v>53</v>
      </c>
      <c r="I13868" s="30" t="s">
        <v>21</v>
      </c>
      <c r="J13868" s="41">
        <v>44987</v>
      </c>
      <c r="K13868" s="30" t="s">
        <v>22</v>
      </c>
    </row>
    <row r="13869" spans="1:11">
      <c r="A13869" s="33" t="s">
        <v>31330</v>
      </c>
      <c r="B13869" s="33" t="s">
        <v>31331</v>
      </c>
      <c r="C13869" s="33" t="s">
        <v>31332</v>
      </c>
      <c r="D13869" s="33" t="s">
        <v>17</v>
      </c>
      <c r="E13869" s="33" t="s">
        <v>31</v>
      </c>
      <c r="F13869" s="33" t="s">
        <v>32</v>
      </c>
      <c r="G13869" s="33" t="s">
        <v>20</v>
      </c>
      <c r="H13869" s="35">
        <v>119</v>
      </c>
      <c r="I13869" s="33" t="s">
        <v>21</v>
      </c>
      <c r="J13869" s="42">
        <v>45093</v>
      </c>
      <c r="K13869" s="33" t="s">
        <v>22</v>
      </c>
    </row>
    <row r="13870" spans="1:11">
      <c r="A13870" s="30" t="s">
        <v>31333</v>
      </c>
      <c r="B13870" s="30" t="s">
        <v>31334</v>
      </c>
      <c r="C13870" s="30" t="s">
        <v>17183</v>
      </c>
      <c r="D13870" s="30" t="s">
        <v>17</v>
      </c>
      <c r="E13870" s="30" t="s">
        <v>67</v>
      </c>
      <c r="F13870" s="30" t="s">
        <v>68</v>
      </c>
      <c r="G13870" s="30" t="s">
        <v>50</v>
      </c>
      <c r="H13870" s="32">
        <v>72</v>
      </c>
      <c r="I13870" s="30" t="s">
        <v>51</v>
      </c>
      <c r="J13870" s="41">
        <v>45050</v>
      </c>
      <c r="K13870" s="30" t="s">
        <v>22</v>
      </c>
    </row>
    <row r="13871" spans="1:11">
      <c r="A13871" s="33" t="s">
        <v>31335</v>
      </c>
      <c r="B13871" s="33" t="s">
        <v>31336</v>
      </c>
      <c r="C13871" s="33" t="s">
        <v>19167</v>
      </c>
      <c r="D13871" s="33" t="s">
        <v>17</v>
      </c>
      <c r="E13871" s="33" t="s">
        <v>26</v>
      </c>
      <c r="F13871" s="33" t="s">
        <v>27</v>
      </c>
      <c r="G13871" s="33" t="s">
        <v>50</v>
      </c>
      <c r="H13871" s="35">
        <v>24</v>
      </c>
      <c r="I13871" s="33" t="s">
        <v>51</v>
      </c>
      <c r="J13871" s="42">
        <v>44944</v>
      </c>
      <c r="K13871" s="33" t="s">
        <v>22</v>
      </c>
    </row>
    <row r="13872" spans="1:11">
      <c r="A13872" s="30" t="s">
        <v>31337</v>
      </c>
      <c r="B13872" s="30" t="s">
        <v>31338</v>
      </c>
      <c r="C13872" s="30" t="s">
        <v>20659</v>
      </c>
      <c r="D13872" s="30" t="s">
        <v>17</v>
      </c>
      <c r="E13872" s="30" t="s">
        <v>31</v>
      </c>
      <c r="F13872" s="30" t="s">
        <v>32</v>
      </c>
      <c r="G13872" s="30" t="s">
        <v>140</v>
      </c>
      <c r="H13872" s="32">
        <v>24</v>
      </c>
      <c r="I13872" s="30" t="s">
        <v>51</v>
      </c>
      <c r="J13872" s="41">
        <v>45155</v>
      </c>
      <c r="K13872" s="30" t="s">
        <v>22</v>
      </c>
    </row>
    <row r="13873" spans="1:11">
      <c r="A13873" s="33" t="s">
        <v>31339</v>
      </c>
      <c r="B13873" s="33" t="s">
        <v>31340</v>
      </c>
      <c r="C13873" s="33" t="s">
        <v>1003</v>
      </c>
      <c r="D13873" s="33" t="s">
        <v>17</v>
      </c>
      <c r="E13873" s="33" t="s">
        <v>18</v>
      </c>
      <c r="F13873" s="33" t="s">
        <v>19</v>
      </c>
      <c r="G13873" s="33" t="s">
        <v>50</v>
      </c>
      <c r="H13873" s="35">
        <v>400</v>
      </c>
      <c r="I13873" s="33" t="s">
        <v>51</v>
      </c>
      <c r="J13873" s="42">
        <v>44937</v>
      </c>
      <c r="K13873" s="33" t="s">
        <v>22</v>
      </c>
    </row>
    <row r="13874" spans="1:11">
      <c r="A13874" s="30" t="s">
        <v>31341</v>
      </c>
      <c r="B13874" s="30" t="s">
        <v>31342</v>
      </c>
      <c r="C13874" s="30" t="s">
        <v>5916</v>
      </c>
      <c r="D13874" s="30" t="s">
        <v>17</v>
      </c>
      <c r="E13874" s="30" t="s">
        <v>212</v>
      </c>
      <c r="F13874" s="30" t="s">
        <v>213</v>
      </c>
      <c r="G13874" s="30" t="s">
        <v>20</v>
      </c>
      <c r="H13874" s="32">
        <v>29</v>
      </c>
      <c r="I13874" s="30" t="s">
        <v>21</v>
      </c>
      <c r="J13874" s="41">
        <v>45201</v>
      </c>
      <c r="K13874" s="30" t="s">
        <v>22</v>
      </c>
    </row>
    <row r="13875" spans="1:11">
      <c r="A13875" s="33" t="s">
        <v>31343</v>
      </c>
      <c r="B13875" s="33" t="s">
        <v>31344</v>
      </c>
      <c r="C13875" s="33" t="s">
        <v>29910</v>
      </c>
      <c r="D13875" s="33" t="s">
        <v>17</v>
      </c>
      <c r="E13875" s="33" t="s">
        <v>31</v>
      </c>
      <c r="F13875" s="33" t="s">
        <v>32</v>
      </c>
      <c r="G13875" s="33" t="s">
        <v>158</v>
      </c>
      <c r="H13875" s="35">
        <v>300</v>
      </c>
      <c r="I13875" s="33" t="s">
        <v>51</v>
      </c>
      <c r="J13875" s="42">
        <v>45048</v>
      </c>
      <c r="K13875" s="33" t="s">
        <v>22</v>
      </c>
    </row>
    <row r="13876" spans="1:11">
      <c r="A13876" s="30" t="s">
        <v>31345</v>
      </c>
      <c r="B13876" s="30" t="s">
        <v>31346</v>
      </c>
      <c r="C13876" s="30" t="s">
        <v>644</v>
      </c>
      <c r="D13876" s="30" t="s">
        <v>17</v>
      </c>
      <c r="E13876" s="30" t="s">
        <v>26</v>
      </c>
      <c r="F13876" s="30" t="s">
        <v>27</v>
      </c>
      <c r="G13876" s="30" t="s">
        <v>158</v>
      </c>
      <c r="H13876" s="32">
        <v>48</v>
      </c>
      <c r="I13876" s="30" t="s">
        <v>51</v>
      </c>
      <c r="J13876" s="41">
        <v>45082</v>
      </c>
      <c r="K13876" s="30" t="s">
        <v>22</v>
      </c>
    </row>
    <row r="13877" spans="1:11">
      <c r="A13877" s="33" t="s">
        <v>31347</v>
      </c>
      <c r="B13877" s="33" t="s">
        <v>31348</v>
      </c>
      <c r="C13877" s="33" t="s">
        <v>31349</v>
      </c>
      <c r="D13877" s="33" t="s">
        <v>17</v>
      </c>
      <c r="E13877" s="33" t="s">
        <v>26</v>
      </c>
      <c r="F13877" s="33" t="s">
        <v>27</v>
      </c>
      <c r="G13877" s="33" t="s">
        <v>158</v>
      </c>
      <c r="H13877" s="35">
        <v>88</v>
      </c>
      <c r="I13877" s="33" t="s">
        <v>51</v>
      </c>
      <c r="J13877" s="42">
        <v>44946</v>
      </c>
      <c r="K13877" s="33" t="s">
        <v>22</v>
      </c>
    </row>
    <row r="13878" spans="1:11">
      <c r="A13878" s="30" t="s">
        <v>31350</v>
      </c>
      <c r="B13878" s="30" t="s">
        <v>31351</v>
      </c>
      <c r="C13878" s="30" t="s">
        <v>102</v>
      </c>
      <c r="D13878" s="30" t="s">
        <v>17</v>
      </c>
      <c r="E13878" s="30" t="s">
        <v>31</v>
      </c>
      <c r="F13878" s="30" t="s">
        <v>32</v>
      </c>
      <c r="G13878" s="30" t="s">
        <v>106</v>
      </c>
      <c r="H13878" s="32">
        <v>1595</v>
      </c>
      <c r="I13878" s="30" t="s">
        <v>21</v>
      </c>
      <c r="J13878" s="41">
        <v>44979</v>
      </c>
      <c r="K13878" s="30" t="s">
        <v>22</v>
      </c>
    </row>
    <row r="13879" spans="1:11">
      <c r="A13879" s="33" t="s">
        <v>31352</v>
      </c>
      <c r="B13879" s="33" t="s">
        <v>31353</v>
      </c>
      <c r="C13879" s="33" t="s">
        <v>2472</v>
      </c>
      <c r="D13879" s="33" t="s">
        <v>17</v>
      </c>
      <c r="E13879" s="33" t="s">
        <v>67</v>
      </c>
      <c r="F13879" s="33" t="s">
        <v>68</v>
      </c>
      <c r="G13879" s="33" t="s">
        <v>20</v>
      </c>
      <c r="H13879" s="35">
        <v>303</v>
      </c>
      <c r="I13879" s="33" t="s">
        <v>21</v>
      </c>
      <c r="J13879" s="42">
        <v>45175</v>
      </c>
      <c r="K13879" s="33" t="s">
        <v>22</v>
      </c>
    </row>
    <row r="13880" spans="1:11">
      <c r="A13880" s="30" t="s">
        <v>31354</v>
      </c>
      <c r="B13880" s="30" t="s">
        <v>31355</v>
      </c>
      <c r="C13880" s="30" t="s">
        <v>231</v>
      </c>
      <c r="D13880" s="30" t="s">
        <v>17</v>
      </c>
      <c r="E13880" s="30" t="s">
        <v>212</v>
      </c>
      <c r="F13880" s="30" t="s">
        <v>213</v>
      </c>
      <c r="G13880" s="30" t="s">
        <v>158</v>
      </c>
      <c r="H13880" s="32">
        <v>42</v>
      </c>
      <c r="I13880" s="30" t="s">
        <v>21</v>
      </c>
      <c r="J13880" s="41">
        <v>45221</v>
      </c>
      <c r="K13880" s="30" t="s">
        <v>22</v>
      </c>
    </row>
    <row r="13881" spans="1:11">
      <c r="A13881" s="33" t="s">
        <v>31356</v>
      </c>
      <c r="B13881" s="33" t="s">
        <v>31357</v>
      </c>
      <c r="C13881" s="33" t="s">
        <v>7035</v>
      </c>
      <c r="D13881" s="33" t="s">
        <v>17</v>
      </c>
      <c r="E13881" s="33" t="s">
        <v>26</v>
      </c>
      <c r="F13881" s="33" t="s">
        <v>27</v>
      </c>
      <c r="G13881" s="33" t="s">
        <v>20</v>
      </c>
      <c r="H13881" s="35">
        <v>20</v>
      </c>
      <c r="I13881" s="33" t="s">
        <v>21</v>
      </c>
      <c r="J13881" s="42">
        <v>45287</v>
      </c>
      <c r="K13881" s="33" t="s">
        <v>22</v>
      </c>
    </row>
    <row r="13882" spans="1:11">
      <c r="A13882" s="30" t="s">
        <v>31358</v>
      </c>
      <c r="B13882" s="30" t="s">
        <v>31359</v>
      </c>
      <c r="C13882" s="30" t="s">
        <v>3971</v>
      </c>
      <c r="D13882" s="30" t="s">
        <v>17</v>
      </c>
      <c r="E13882" s="30" t="s">
        <v>26</v>
      </c>
      <c r="F13882" s="30" t="s">
        <v>27</v>
      </c>
      <c r="G13882" s="30" t="s">
        <v>20</v>
      </c>
      <c r="H13882" s="32">
        <v>35</v>
      </c>
      <c r="I13882" s="30" t="s">
        <v>21</v>
      </c>
      <c r="J13882" s="41">
        <v>45170</v>
      </c>
      <c r="K13882" s="30" t="s">
        <v>22</v>
      </c>
    </row>
    <row r="13883" spans="1:11">
      <c r="A13883" s="33" t="s">
        <v>31360</v>
      </c>
      <c r="B13883" s="33" t="s">
        <v>31361</v>
      </c>
      <c r="C13883" s="33" t="s">
        <v>20619</v>
      </c>
      <c r="D13883" s="33" t="s">
        <v>17</v>
      </c>
      <c r="E13883" s="33" t="s">
        <v>18</v>
      </c>
      <c r="F13883" s="33" t="s">
        <v>19</v>
      </c>
      <c r="G13883" s="33" t="s">
        <v>50</v>
      </c>
      <c r="H13883" s="35">
        <v>246</v>
      </c>
      <c r="I13883" s="33" t="s">
        <v>51</v>
      </c>
      <c r="J13883" s="42">
        <v>45078</v>
      </c>
      <c r="K13883" s="33" t="s">
        <v>22</v>
      </c>
    </row>
    <row r="13884" spans="1:11">
      <c r="A13884" s="30" t="s">
        <v>31362</v>
      </c>
      <c r="B13884" s="30" t="s">
        <v>31363</v>
      </c>
      <c r="C13884" s="30" t="s">
        <v>7040</v>
      </c>
      <c r="D13884" s="30" t="s">
        <v>17</v>
      </c>
      <c r="E13884" s="30" t="s">
        <v>18</v>
      </c>
      <c r="F13884" s="30" t="s">
        <v>19</v>
      </c>
      <c r="G13884" s="30" t="s">
        <v>158</v>
      </c>
      <c r="H13884" s="32">
        <v>67</v>
      </c>
      <c r="I13884" s="30" t="s">
        <v>21</v>
      </c>
      <c r="J13884" s="41">
        <v>44932</v>
      </c>
      <c r="K13884" s="30" t="s">
        <v>22</v>
      </c>
    </row>
    <row r="13885" spans="1:11">
      <c r="A13885" s="33" t="s">
        <v>31364</v>
      </c>
      <c r="B13885" s="33" t="s">
        <v>31365</v>
      </c>
      <c r="C13885" s="33" t="s">
        <v>3622</v>
      </c>
      <c r="D13885" s="33" t="s">
        <v>17</v>
      </c>
      <c r="E13885" s="33" t="s">
        <v>31</v>
      </c>
      <c r="F13885" s="33" t="s">
        <v>32</v>
      </c>
      <c r="G13885" s="33" t="s">
        <v>2613</v>
      </c>
      <c r="H13885" s="35">
        <v>120</v>
      </c>
      <c r="I13885" s="33" t="s">
        <v>51</v>
      </c>
      <c r="J13885" s="42">
        <v>45287</v>
      </c>
      <c r="K13885" s="33" t="s">
        <v>22</v>
      </c>
    </row>
    <row r="13886" spans="1:11">
      <c r="A13886" s="30" t="s">
        <v>31366</v>
      </c>
      <c r="B13886" s="30" t="s">
        <v>31367</v>
      </c>
      <c r="C13886" s="30" t="s">
        <v>12525</v>
      </c>
      <c r="D13886" s="30" t="s">
        <v>17</v>
      </c>
      <c r="E13886" s="30" t="s">
        <v>31</v>
      </c>
      <c r="F13886" s="30" t="s">
        <v>32</v>
      </c>
      <c r="G13886" s="30" t="s">
        <v>158</v>
      </c>
      <c r="H13886" s="32">
        <v>30</v>
      </c>
      <c r="I13886" s="30" t="s">
        <v>51</v>
      </c>
      <c r="J13886" s="41">
        <v>45259</v>
      </c>
      <c r="K13886" s="30" t="s">
        <v>22</v>
      </c>
    </row>
    <row r="13887" spans="1:11">
      <c r="A13887" s="33" t="s">
        <v>31368</v>
      </c>
      <c r="B13887" s="33" t="s">
        <v>31369</v>
      </c>
      <c r="C13887" s="33" t="s">
        <v>75</v>
      </c>
      <c r="D13887" s="33" t="s">
        <v>17</v>
      </c>
      <c r="E13887" s="33" t="s">
        <v>67</v>
      </c>
      <c r="F13887" s="33" t="s">
        <v>68</v>
      </c>
      <c r="G13887" s="33" t="s">
        <v>106</v>
      </c>
      <c r="H13887" s="35">
        <v>5</v>
      </c>
      <c r="I13887" s="33" t="s">
        <v>21</v>
      </c>
      <c r="J13887" s="42">
        <v>45239</v>
      </c>
      <c r="K13887" s="33" t="s">
        <v>22</v>
      </c>
    </row>
    <row r="13888" spans="1:11">
      <c r="A13888" s="30" t="s">
        <v>31370</v>
      </c>
      <c r="B13888" s="30" t="s">
        <v>31371</v>
      </c>
      <c r="C13888" s="30" t="s">
        <v>93</v>
      </c>
      <c r="D13888" s="30" t="s">
        <v>17</v>
      </c>
      <c r="E13888" s="30" t="s">
        <v>26</v>
      </c>
      <c r="F13888" s="30" t="s">
        <v>27</v>
      </c>
      <c r="G13888" s="30" t="s">
        <v>20</v>
      </c>
      <c r="H13888" s="32">
        <v>50</v>
      </c>
      <c r="I13888" s="30" t="s">
        <v>21</v>
      </c>
      <c r="J13888" s="41">
        <v>45197</v>
      </c>
      <c r="K13888" s="30" t="s">
        <v>22</v>
      </c>
    </row>
    <row r="13889" spans="1:11">
      <c r="A13889" s="33" t="s">
        <v>31372</v>
      </c>
      <c r="B13889" s="33" t="s">
        <v>31373</v>
      </c>
      <c r="C13889" s="33" t="s">
        <v>31374</v>
      </c>
      <c r="D13889" s="33" t="s">
        <v>17</v>
      </c>
      <c r="E13889" s="33" t="s">
        <v>45</v>
      </c>
      <c r="F13889" s="33" t="s">
        <v>46</v>
      </c>
      <c r="G13889" s="33" t="s">
        <v>20</v>
      </c>
      <c r="H13889" s="35">
        <v>84</v>
      </c>
      <c r="I13889" s="33" t="s">
        <v>21</v>
      </c>
      <c r="J13889" s="42">
        <v>44988</v>
      </c>
      <c r="K13889" s="33" t="s">
        <v>22</v>
      </c>
    </row>
    <row r="13890" spans="1:11">
      <c r="A13890" s="30" t="s">
        <v>31375</v>
      </c>
      <c r="B13890" s="30" t="s">
        <v>31376</v>
      </c>
      <c r="C13890" s="30" t="s">
        <v>23518</v>
      </c>
      <c r="D13890" s="30" t="s">
        <v>17</v>
      </c>
      <c r="E13890" s="30" t="s">
        <v>26</v>
      </c>
      <c r="F13890" s="30" t="s">
        <v>27</v>
      </c>
      <c r="G13890" s="30" t="s">
        <v>50</v>
      </c>
      <c r="H13890" s="32">
        <v>9</v>
      </c>
      <c r="I13890" s="30" t="s">
        <v>51</v>
      </c>
      <c r="J13890" s="41">
        <v>45231</v>
      </c>
      <c r="K13890" s="30" t="s">
        <v>22</v>
      </c>
    </row>
    <row r="13891" spans="1:11">
      <c r="A13891" s="33" t="s">
        <v>31377</v>
      </c>
      <c r="B13891" s="33" t="s">
        <v>31378</v>
      </c>
      <c r="C13891" s="33" t="s">
        <v>387</v>
      </c>
      <c r="D13891" s="33" t="s">
        <v>17</v>
      </c>
      <c r="E13891" s="33" t="s">
        <v>26</v>
      </c>
      <c r="F13891" s="33" t="s">
        <v>27</v>
      </c>
      <c r="G13891" s="33" t="s">
        <v>106</v>
      </c>
      <c r="H13891" s="35">
        <v>56</v>
      </c>
      <c r="I13891" s="33" t="s">
        <v>21</v>
      </c>
      <c r="J13891" s="42">
        <v>45105</v>
      </c>
      <c r="K13891" s="33" t="s">
        <v>22</v>
      </c>
    </row>
    <row r="13892" spans="1:11">
      <c r="A13892" s="30" t="s">
        <v>31379</v>
      </c>
      <c r="B13892" s="30" t="s">
        <v>31380</v>
      </c>
      <c r="C13892" s="30" t="s">
        <v>31381</v>
      </c>
      <c r="D13892" s="30" t="s">
        <v>17</v>
      </c>
      <c r="E13892" s="30" t="s">
        <v>26</v>
      </c>
      <c r="F13892" s="30" t="s">
        <v>27</v>
      </c>
      <c r="G13892" s="30" t="s">
        <v>20</v>
      </c>
      <c r="H13892" s="32">
        <v>64</v>
      </c>
      <c r="I13892" s="30" t="s">
        <v>21</v>
      </c>
      <c r="J13892" s="41">
        <v>45008</v>
      </c>
      <c r="K13892" s="30" t="s">
        <v>22</v>
      </c>
    </row>
    <row r="13893" spans="1:11">
      <c r="A13893" s="33" t="s">
        <v>31382</v>
      </c>
      <c r="B13893" s="33" t="s">
        <v>31383</v>
      </c>
      <c r="C13893" s="33" t="s">
        <v>11320</v>
      </c>
      <c r="D13893" s="33" t="s">
        <v>17</v>
      </c>
      <c r="E13893" s="33" t="s">
        <v>31</v>
      </c>
      <c r="F13893" s="33" t="s">
        <v>32</v>
      </c>
      <c r="G13893" s="33" t="s">
        <v>140</v>
      </c>
      <c r="H13893" s="35">
        <v>70</v>
      </c>
      <c r="I13893" s="33" t="s">
        <v>51</v>
      </c>
      <c r="J13893" s="42">
        <v>45134</v>
      </c>
      <c r="K13893" s="33" t="s">
        <v>22</v>
      </c>
    </row>
    <row r="13894" spans="1:11">
      <c r="A13894" s="30" t="s">
        <v>31384</v>
      </c>
      <c r="B13894" s="30" t="s">
        <v>31385</v>
      </c>
      <c r="C13894" s="30" t="s">
        <v>31386</v>
      </c>
      <c r="D13894" s="30" t="s">
        <v>17</v>
      </c>
      <c r="E13894" s="30" t="s">
        <v>26</v>
      </c>
      <c r="F13894" s="30" t="s">
        <v>27</v>
      </c>
      <c r="G13894" s="30" t="s">
        <v>20</v>
      </c>
      <c r="H13894" s="32">
        <v>50</v>
      </c>
      <c r="I13894" s="30" t="s">
        <v>21</v>
      </c>
      <c r="J13894" s="41">
        <v>45044</v>
      </c>
      <c r="K13894" s="30" t="s">
        <v>22</v>
      </c>
    </row>
    <row r="13895" spans="1:11">
      <c r="A13895" s="33" t="s">
        <v>31387</v>
      </c>
      <c r="B13895" s="33" t="s">
        <v>31388</v>
      </c>
      <c r="C13895" s="33" t="s">
        <v>11623</v>
      </c>
      <c r="D13895" s="33" t="s">
        <v>17</v>
      </c>
      <c r="E13895" s="33" t="s">
        <v>31</v>
      </c>
      <c r="F13895" s="33" t="s">
        <v>32</v>
      </c>
      <c r="G13895" s="33" t="s">
        <v>20</v>
      </c>
      <c r="H13895" s="35">
        <v>140</v>
      </c>
      <c r="I13895" s="33" t="s">
        <v>21</v>
      </c>
      <c r="J13895" s="42">
        <v>45076</v>
      </c>
      <c r="K13895" s="33" t="s">
        <v>22</v>
      </c>
    </row>
    <row r="13896" spans="1:11">
      <c r="A13896" s="30" t="s">
        <v>31389</v>
      </c>
      <c r="B13896" s="30" t="s">
        <v>31390</v>
      </c>
      <c r="C13896" s="30" t="s">
        <v>443</v>
      </c>
      <c r="D13896" s="30" t="s">
        <v>17</v>
      </c>
      <c r="E13896" s="30" t="s">
        <v>18</v>
      </c>
      <c r="F13896" s="30" t="s">
        <v>19</v>
      </c>
      <c r="G13896" s="30" t="s">
        <v>20</v>
      </c>
      <c r="H13896" s="32">
        <v>3300</v>
      </c>
      <c r="I13896" s="30" t="s">
        <v>21</v>
      </c>
      <c r="J13896" s="41">
        <v>45185</v>
      </c>
      <c r="K13896" s="30" t="s">
        <v>22</v>
      </c>
    </row>
    <row r="13897" spans="1:11">
      <c r="A13897" s="33" t="s">
        <v>31391</v>
      </c>
      <c r="B13897" s="33" t="s">
        <v>31392</v>
      </c>
      <c r="C13897" s="33" t="s">
        <v>1165</v>
      </c>
      <c r="D13897" s="33" t="s">
        <v>17</v>
      </c>
      <c r="E13897" s="33" t="s">
        <v>31</v>
      </c>
      <c r="F13897" s="33" t="s">
        <v>32</v>
      </c>
      <c r="G13897" s="33" t="s">
        <v>158</v>
      </c>
      <c r="H13897" s="35">
        <v>51</v>
      </c>
      <c r="I13897" s="33" t="s">
        <v>21</v>
      </c>
      <c r="J13897" s="42">
        <v>44944</v>
      </c>
      <c r="K13897" s="33" t="s">
        <v>22</v>
      </c>
    </row>
    <row r="13898" spans="1:11">
      <c r="A13898" s="30" t="s">
        <v>31393</v>
      </c>
      <c r="B13898" s="30" t="s">
        <v>31394</v>
      </c>
      <c r="C13898" s="30" t="s">
        <v>2006</v>
      </c>
      <c r="D13898" s="30" t="s">
        <v>17</v>
      </c>
      <c r="E13898" s="30" t="s">
        <v>18</v>
      </c>
      <c r="F13898" s="30" t="s">
        <v>19</v>
      </c>
      <c r="G13898" s="30" t="s">
        <v>20</v>
      </c>
      <c r="H13898" s="32">
        <v>1690</v>
      </c>
      <c r="I13898" s="30" t="s">
        <v>21</v>
      </c>
      <c r="J13898" s="41">
        <v>45281</v>
      </c>
      <c r="K13898" s="30" t="s">
        <v>22</v>
      </c>
    </row>
    <row r="13899" spans="1:11">
      <c r="A13899" s="33" t="s">
        <v>31395</v>
      </c>
      <c r="B13899" s="33" t="s">
        <v>31396</v>
      </c>
      <c r="C13899" s="33" t="s">
        <v>644</v>
      </c>
      <c r="D13899" s="33" t="s">
        <v>17</v>
      </c>
      <c r="E13899" s="33" t="s">
        <v>18</v>
      </c>
      <c r="F13899" s="33" t="s">
        <v>19</v>
      </c>
      <c r="G13899" s="33" t="s">
        <v>50</v>
      </c>
      <c r="H13899" s="35">
        <v>316</v>
      </c>
      <c r="I13899" s="33" t="s">
        <v>51</v>
      </c>
      <c r="J13899" s="42">
        <v>45085</v>
      </c>
      <c r="K13899" s="33" t="s">
        <v>22</v>
      </c>
    </row>
    <row r="13900" spans="1:11">
      <c r="A13900" s="30" t="s">
        <v>31397</v>
      </c>
      <c r="B13900" s="30" t="s">
        <v>31398</v>
      </c>
      <c r="C13900" s="30" t="s">
        <v>231</v>
      </c>
      <c r="D13900" s="30" t="s">
        <v>17</v>
      </c>
      <c r="E13900" s="30" t="s">
        <v>26</v>
      </c>
      <c r="F13900" s="30" t="s">
        <v>27</v>
      </c>
      <c r="G13900" s="30" t="s">
        <v>106</v>
      </c>
      <c r="H13900" s="32">
        <v>29</v>
      </c>
      <c r="I13900" s="30" t="s">
        <v>21</v>
      </c>
      <c r="J13900" s="41">
        <v>45177</v>
      </c>
      <c r="K13900" s="30" t="s">
        <v>22</v>
      </c>
    </row>
    <row r="13901" spans="1:11">
      <c r="A13901" s="33" t="s">
        <v>31399</v>
      </c>
      <c r="B13901" s="33" t="s">
        <v>31400</v>
      </c>
      <c r="C13901" s="33" t="s">
        <v>28153</v>
      </c>
      <c r="D13901" s="33" t="s">
        <v>17</v>
      </c>
      <c r="E13901" s="33" t="s">
        <v>31</v>
      </c>
      <c r="F13901" s="33" t="s">
        <v>32</v>
      </c>
      <c r="G13901" s="33" t="s">
        <v>140</v>
      </c>
      <c r="H13901" s="35">
        <v>200</v>
      </c>
      <c r="I13901" s="33" t="s">
        <v>51</v>
      </c>
      <c r="J13901" s="42">
        <v>45275</v>
      </c>
      <c r="K13901" s="33" t="s">
        <v>22</v>
      </c>
    </row>
    <row r="13902" spans="1:11">
      <c r="A13902" s="30" t="s">
        <v>31401</v>
      </c>
      <c r="B13902" s="30" t="s">
        <v>31402</v>
      </c>
      <c r="C13902" s="30" t="s">
        <v>26497</v>
      </c>
      <c r="D13902" s="30" t="s">
        <v>17</v>
      </c>
      <c r="E13902" s="30" t="s">
        <v>31</v>
      </c>
      <c r="F13902" s="30" t="s">
        <v>32</v>
      </c>
      <c r="G13902" s="30" t="s">
        <v>140</v>
      </c>
      <c r="H13902" s="32">
        <v>60</v>
      </c>
      <c r="I13902" s="30" t="s">
        <v>51</v>
      </c>
      <c r="J13902" s="41">
        <v>45001</v>
      </c>
      <c r="K13902" s="30" t="s">
        <v>22</v>
      </c>
    </row>
    <row r="13903" spans="1:11">
      <c r="A13903" s="33" t="s">
        <v>31403</v>
      </c>
      <c r="B13903" s="33" t="s">
        <v>31404</v>
      </c>
      <c r="C13903" s="33" t="s">
        <v>18591</v>
      </c>
      <c r="D13903" s="33" t="s">
        <v>17</v>
      </c>
      <c r="E13903" s="33" t="s">
        <v>26</v>
      </c>
      <c r="F13903" s="33" t="s">
        <v>27</v>
      </c>
      <c r="G13903" s="33" t="s">
        <v>158</v>
      </c>
      <c r="H13903" s="35">
        <v>70</v>
      </c>
      <c r="I13903" s="33" t="s">
        <v>51</v>
      </c>
      <c r="J13903" s="42">
        <v>45198</v>
      </c>
      <c r="K13903" s="33" t="s">
        <v>22</v>
      </c>
    </row>
    <row r="13904" spans="1:11">
      <c r="A13904" s="30" t="s">
        <v>31405</v>
      </c>
      <c r="B13904" s="30" t="s">
        <v>31406</v>
      </c>
      <c r="C13904" s="30" t="s">
        <v>31407</v>
      </c>
      <c r="D13904" s="30" t="s">
        <v>17</v>
      </c>
      <c r="E13904" s="30" t="s">
        <v>26</v>
      </c>
      <c r="F13904" s="30" t="s">
        <v>27</v>
      </c>
      <c r="G13904" s="30" t="s">
        <v>106</v>
      </c>
      <c r="H13904" s="32">
        <v>8</v>
      </c>
      <c r="I13904" s="30" t="s">
        <v>21</v>
      </c>
      <c r="J13904" s="41">
        <v>45005</v>
      </c>
      <c r="K13904" s="30" t="s">
        <v>22</v>
      </c>
    </row>
    <row r="13905" spans="1:11">
      <c r="A13905" s="33" t="s">
        <v>31408</v>
      </c>
      <c r="B13905" s="33" t="s">
        <v>31409</v>
      </c>
      <c r="C13905" s="33" t="s">
        <v>8519</v>
      </c>
      <c r="D13905" s="33" t="s">
        <v>17</v>
      </c>
      <c r="E13905" s="33" t="s">
        <v>26</v>
      </c>
      <c r="F13905" s="33" t="s">
        <v>27</v>
      </c>
      <c r="G13905" s="33" t="s">
        <v>20</v>
      </c>
      <c r="H13905" s="35">
        <v>44</v>
      </c>
      <c r="I13905" s="33" t="s">
        <v>21</v>
      </c>
      <c r="J13905" s="42">
        <v>45076</v>
      </c>
      <c r="K13905" s="33" t="s">
        <v>22</v>
      </c>
    </row>
    <row r="13906" spans="1:11">
      <c r="A13906" s="30" t="s">
        <v>31410</v>
      </c>
      <c r="B13906" s="30" t="s">
        <v>31411</v>
      </c>
      <c r="C13906" s="30" t="s">
        <v>31412</v>
      </c>
      <c r="D13906" s="30" t="s">
        <v>17</v>
      </c>
      <c r="E13906" s="30" t="s">
        <v>31</v>
      </c>
      <c r="F13906" s="30" t="s">
        <v>32</v>
      </c>
      <c r="G13906" s="30" t="s">
        <v>50</v>
      </c>
      <c r="H13906" s="32">
        <v>45</v>
      </c>
      <c r="I13906" s="30" t="s">
        <v>51</v>
      </c>
      <c r="J13906" s="41">
        <v>45261</v>
      </c>
      <c r="K13906" s="30" t="s">
        <v>22</v>
      </c>
    </row>
    <row r="13907" spans="1:11">
      <c r="A13907" s="33" t="s">
        <v>31413</v>
      </c>
      <c r="B13907" s="33" t="s">
        <v>31414</v>
      </c>
      <c r="C13907" s="33" t="s">
        <v>3121</v>
      </c>
      <c r="D13907" s="33" t="s">
        <v>17</v>
      </c>
      <c r="E13907" s="33" t="s">
        <v>31</v>
      </c>
      <c r="F13907" s="33" t="s">
        <v>32</v>
      </c>
      <c r="G13907" s="33" t="s">
        <v>2613</v>
      </c>
      <c r="H13907" s="35">
        <v>60</v>
      </c>
      <c r="I13907" s="33" t="s">
        <v>51</v>
      </c>
      <c r="J13907" s="42">
        <v>45139</v>
      </c>
      <c r="K13907" s="33" t="s">
        <v>22</v>
      </c>
    </row>
    <row r="13908" spans="1:11">
      <c r="A13908" s="30" t="s">
        <v>31415</v>
      </c>
      <c r="B13908" s="30" t="s">
        <v>31416</v>
      </c>
      <c r="C13908" s="30" t="s">
        <v>8611</v>
      </c>
      <c r="D13908" s="30" t="s">
        <v>17</v>
      </c>
      <c r="E13908" s="30" t="s">
        <v>67</v>
      </c>
      <c r="F13908" s="30" t="s">
        <v>68</v>
      </c>
      <c r="G13908" s="30" t="s">
        <v>106</v>
      </c>
      <c r="H13908" s="32">
        <v>22</v>
      </c>
      <c r="I13908" s="30" t="s">
        <v>21</v>
      </c>
      <c r="J13908" s="41">
        <v>44956</v>
      </c>
      <c r="K13908" s="30" t="s">
        <v>22</v>
      </c>
    </row>
    <row r="13909" spans="1:11">
      <c r="A13909" s="33" t="s">
        <v>31417</v>
      </c>
      <c r="B13909" s="33" t="s">
        <v>31418</v>
      </c>
      <c r="C13909" s="33" t="s">
        <v>109</v>
      </c>
      <c r="D13909" s="33" t="s">
        <v>17</v>
      </c>
      <c r="E13909" s="33" t="s">
        <v>31</v>
      </c>
      <c r="F13909" s="33" t="s">
        <v>32</v>
      </c>
      <c r="G13909" s="33" t="s">
        <v>158</v>
      </c>
      <c r="H13909" s="35">
        <v>41</v>
      </c>
      <c r="I13909" s="33" t="s">
        <v>21</v>
      </c>
      <c r="J13909" s="42">
        <v>45154</v>
      </c>
      <c r="K13909" s="33" t="s">
        <v>22</v>
      </c>
    </row>
    <row r="13910" spans="1:11">
      <c r="A13910" s="30" t="s">
        <v>31419</v>
      </c>
      <c r="B13910" s="30" t="s">
        <v>31420</v>
      </c>
      <c r="C13910" s="30" t="s">
        <v>203</v>
      </c>
      <c r="D13910" s="30" t="s">
        <v>17</v>
      </c>
      <c r="E13910" s="30" t="s">
        <v>31</v>
      </c>
      <c r="F13910" s="30" t="s">
        <v>32</v>
      </c>
      <c r="G13910" s="30" t="s">
        <v>158</v>
      </c>
      <c r="H13910" s="32">
        <v>335</v>
      </c>
      <c r="I13910" s="30" t="s">
        <v>21</v>
      </c>
      <c r="J13910" s="41">
        <v>45174</v>
      </c>
      <c r="K13910" s="30" t="s">
        <v>22</v>
      </c>
    </row>
    <row r="13911" spans="1:11">
      <c r="A13911" s="33" t="s">
        <v>31421</v>
      </c>
      <c r="B13911" s="33" t="s">
        <v>31422</v>
      </c>
      <c r="C13911" s="33" t="s">
        <v>8888</v>
      </c>
      <c r="D13911" s="33" t="s">
        <v>17</v>
      </c>
      <c r="E13911" s="33" t="s">
        <v>18</v>
      </c>
      <c r="F13911" s="33" t="s">
        <v>19</v>
      </c>
      <c r="G13911" s="33" t="s">
        <v>20</v>
      </c>
      <c r="H13911" s="35">
        <v>224</v>
      </c>
      <c r="I13911" s="33" t="s">
        <v>21</v>
      </c>
      <c r="J13911" s="42">
        <v>45030</v>
      </c>
      <c r="K13911" s="33" t="s">
        <v>22</v>
      </c>
    </row>
    <row r="13912" spans="1:11">
      <c r="A13912" s="30" t="s">
        <v>31423</v>
      </c>
      <c r="B13912" s="30" t="s">
        <v>31424</v>
      </c>
      <c r="C13912" s="30" t="s">
        <v>31425</v>
      </c>
      <c r="D13912" s="30" t="s">
        <v>17</v>
      </c>
      <c r="E13912" s="30" t="s">
        <v>31</v>
      </c>
      <c r="F13912" s="30" t="s">
        <v>32</v>
      </c>
      <c r="G13912" s="30" t="s">
        <v>140</v>
      </c>
      <c r="H13912" s="32">
        <v>40</v>
      </c>
      <c r="I13912" s="30" t="s">
        <v>51</v>
      </c>
      <c r="J13912" s="41">
        <v>45275</v>
      </c>
      <c r="K13912" s="30" t="s">
        <v>22</v>
      </c>
    </row>
    <row r="13913" spans="1:11">
      <c r="A13913" s="33" t="s">
        <v>31426</v>
      </c>
      <c r="B13913" s="33" t="s">
        <v>31427</v>
      </c>
      <c r="C13913" s="33" t="s">
        <v>6470</v>
      </c>
      <c r="D13913" s="33" t="s">
        <v>17</v>
      </c>
      <c r="E13913" s="33" t="s">
        <v>18</v>
      </c>
      <c r="F13913" s="33" t="s">
        <v>19</v>
      </c>
      <c r="G13913" s="33" t="s">
        <v>140</v>
      </c>
      <c r="H13913" s="35">
        <v>500</v>
      </c>
      <c r="I13913" s="33" t="s">
        <v>51</v>
      </c>
      <c r="J13913" s="42">
        <v>45166</v>
      </c>
      <c r="K13913" s="33" t="s">
        <v>22</v>
      </c>
    </row>
    <row r="13914" spans="1:11">
      <c r="A13914" s="30" t="s">
        <v>31428</v>
      </c>
      <c r="B13914" s="30" t="s">
        <v>31429</v>
      </c>
      <c r="C13914" s="30" t="s">
        <v>3775</v>
      </c>
      <c r="D13914" s="30" t="s">
        <v>17</v>
      </c>
      <c r="E13914" s="30" t="s">
        <v>26</v>
      </c>
      <c r="F13914" s="30" t="s">
        <v>27</v>
      </c>
      <c r="G13914" s="30" t="s">
        <v>20</v>
      </c>
      <c r="H13914" s="32">
        <v>36</v>
      </c>
      <c r="I13914" s="30" t="s">
        <v>21</v>
      </c>
      <c r="J13914" s="41">
        <v>45059</v>
      </c>
      <c r="K13914" s="30" t="s">
        <v>22</v>
      </c>
    </row>
    <row r="13915" spans="1:11">
      <c r="A13915" s="33" t="s">
        <v>31430</v>
      </c>
      <c r="B13915" s="33" t="s">
        <v>31431</v>
      </c>
      <c r="C13915" s="33" t="s">
        <v>7015</v>
      </c>
      <c r="D13915" s="33" t="s">
        <v>17</v>
      </c>
      <c r="E13915" s="33" t="s">
        <v>18</v>
      </c>
      <c r="F13915" s="33" t="s">
        <v>19</v>
      </c>
      <c r="G13915" s="33" t="s">
        <v>20</v>
      </c>
      <c r="H13915" s="35">
        <v>447</v>
      </c>
      <c r="I13915" s="33" t="s">
        <v>21</v>
      </c>
      <c r="J13915" s="42">
        <v>45068</v>
      </c>
      <c r="K13915" s="33" t="s">
        <v>22</v>
      </c>
    </row>
    <row r="13916" spans="1:11">
      <c r="A13916" s="30" t="s">
        <v>31432</v>
      </c>
      <c r="B13916" s="30" t="s">
        <v>31433</v>
      </c>
      <c r="C13916" s="30" t="s">
        <v>6190</v>
      </c>
      <c r="D13916" s="30" t="s">
        <v>17</v>
      </c>
      <c r="E13916" s="30" t="s">
        <v>212</v>
      </c>
      <c r="F13916" s="30" t="s">
        <v>213</v>
      </c>
      <c r="G13916" s="30" t="s">
        <v>20</v>
      </c>
      <c r="H13916" s="32">
        <v>266</v>
      </c>
      <c r="I13916" s="30" t="s">
        <v>21</v>
      </c>
      <c r="J13916" s="41">
        <v>45201</v>
      </c>
      <c r="K13916" s="30" t="s">
        <v>22</v>
      </c>
    </row>
    <row r="13917" spans="1:11">
      <c r="A13917" s="33" t="s">
        <v>31434</v>
      </c>
      <c r="B13917" s="33" t="s">
        <v>31435</v>
      </c>
      <c r="C13917" s="33" t="s">
        <v>75</v>
      </c>
      <c r="D13917" s="33" t="s">
        <v>17</v>
      </c>
      <c r="E13917" s="33" t="s">
        <v>26</v>
      </c>
      <c r="F13917" s="33" t="s">
        <v>27</v>
      </c>
      <c r="G13917" s="33" t="s">
        <v>20</v>
      </c>
      <c r="H13917" s="35">
        <v>25</v>
      </c>
      <c r="I13917" s="33" t="s">
        <v>21</v>
      </c>
      <c r="J13917" s="42">
        <v>44972</v>
      </c>
      <c r="K13917" s="33" t="s">
        <v>22</v>
      </c>
    </row>
    <row r="13918" spans="1:11">
      <c r="A13918" s="30" t="s">
        <v>31436</v>
      </c>
      <c r="B13918" s="30" t="s">
        <v>31437</v>
      </c>
      <c r="C13918" s="30" t="s">
        <v>57</v>
      </c>
      <c r="D13918" s="30" t="s">
        <v>17</v>
      </c>
      <c r="E13918" s="30" t="s">
        <v>26</v>
      </c>
      <c r="F13918" s="30" t="s">
        <v>27</v>
      </c>
      <c r="G13918" s="30" t="s">
        <v>50</v>
      </c>
      <c r="H13918" s="32">
        <v>44</v>
      </c>
      <c r="I13918" s="30" t="s">
        <v>51</v>
      </c>
      <c r="J13918" s="41">
        <v>45236</v>
      </c>
      <c r="K13918" s="30" t="s">
        <v>22</v>
      </c>
    </row>
    <row r="13919" spans="1:11">
      <c r="A13919" s="33" t="s">
        <v>31438</v>
      </c>
      <c r="B13919" s="33" t="s">
        <v>31439</v>
      </c>
      <c r="C13919" s="33" t="s">
        <v>203</v>
      </c>
      <c r="D13919" s="33" t="s">
        <v>17</v>
      </c>
      <c r="E13919" s="33" t="s">
        <v>31</v>
      </c>
      <c r="F13919" s="33" t="s">
        <v>32</v>
      </c>
      <c r="G13919" s="33" t="s">
        <v>158</v>
      </c>
      <c r="H13919" s="35">
        <v>68</v>
      </c>
      <c r="I13919" s="33" t="s">
        <v>21</v>
      </c>
      <c r="J13919" s="42">
        <v>44938</v>
      </c>
      <c r="K13919" s="33" t="s">
        <v>22</v>
      </c>
    </row>
    <row r="13920" spans="1:11">
      <c r="A13920" s="30" t="s">
        <v>31440</v>
      </c>
      <c r="B13920" s="30" t="s">
        <v>31441</v>
      </c>
      <c r="C13920" s="30" t="s">
        <v>19328</v>
      </c>
      <c r="D13920" s="30" t="s">
        <v>17</v>
      </c>
      <c r="E13920" s="30" t="s">
        <v>67</v>
      </c>
      <c r="F13920" s="30" t="s">
        <v>68</v>
      </c>
      <c r="G13920" s="30" t="s">
        <v>140</v>
      </c>
      <c r="H13920" s="32">
        <v>181</v>
      </c>
      <c r="I13920" s="30" t="s">
        <v>51</v>
      </c>
      <c r="J13920" s="41">
        <v>45107</v>
      </c>
      <c r="K13920" s="30" t="s">
        <v>22</v>
      </c>
    </row>
    <row r="13921" spans="1:11">
      <c r="A13921" s="33" t="s">
        <v>31442</v>
      </c>
      <c r="B13921" s="33" t="s">
        <v>31443</v>
      </c>
      <c r="C13921" s="33" t="s">
        <v>136</v>
      </c>
      <c r="D13921" s="33" t="s">
        <v>17</v>
      </c>
      <c r="E13921" s="33" t="s">
        <v>26</v>
      </c>
      <c r="F13921" s="33" t="s">
        <v>27</v>
      </c>
      <c r="G13921" s="33" t="s">
        <v>20</v>
      </c>
      <c r="H13921" s="35">
        <v>29</v>
      </c>
      <c r="I13921" s="33" t="s">
        <v>21</v>
      </c>
      <c r="J13921" s="42">
        <v>45090</v>
      </c>
      <c r="K13921" s="33" t="s">
        <v>22</v>
      </c>
    </row>
    <row r="13922" spans="1:11">
      <c r="A13922" s="30" t="s">
        <v>31444</v>
      </c>
      <c r="B13922" s="30" t="s">
        <v>31445</v>
      </c>
      <c r="C13922" s="30" t="s">
        <v>157</v>
      </c>
      <c r="D13922" s="30" t="s">
        <v>17</v>
      </c>
      <c r="E13922" s="30" t="s">
        <v>26</v>
      </c>
      <c r="F13922" s="30" t="s">
        <v>27</v>
      </c>
      <c r="G13922" s="30" t="s">
        <v>20</v>
      </c>
      <c r="H13922" s="32">
        <v>27</v>
      </c>
      <c r="I13922" s="30" t="s">
        <v>21</v>
      </c>
      <c r="J13922" s="41">
        <v>45191</v>
      </c>
      <c r="K13922" s="30" t="s">
        <v>22</v>
      </c>
    </row>
    <row r="13923" spans="1:11">
      <c r="A13923" s="33" t="s">
        <v>31446</v>
      </c>
      <c r="B13923" s="33" t="s">
        <v>31447</v>
      </c>
      <c r="C13923" s="33" t="s">
        <v>715</v>
      </c>
      <c r="D13923" s="33" t="s">
        <v>17</v>
      </c>
      <c r="E13923" s="33" t="s">
        <v>26</v>
      </c>
      <c r="F13923" s="33" t="s">
        <v>27</v>
      </c>
      <c r="G13923" s="33" t="s">
        <v>140</v>
      </c>
      <c r="H13923" s="35">
        <v>210</v>
      </c>
      <c r="I13923" s="33" t="s">
        <v>51</v>
      </c>
      <c r="J13923" s="42">
        <v>44998</v>
      </c>
      <c r="K13923" s="33" t="s">
        <v>22</v>
      </c>
    </row>
    <row r="13924" spans="1:11">
      <c r="A13924" s="30" t="s">
        <v>31448</v>
      </c>
      <c r="B13924" s="30" t="s">
        <v>31449</v>
      </c>
      <c r="C13924" s="30" t="s">
        <v>31450</v>
      </c>
      <c r="D13924" s="30" t="s">
        <v>17</v>
      </c>
      <c r="E13924" s="30" t="s">
        <v>67</v>
      </c>
      <c r="F13924" s="30" t="s">
        <v>68</v>
      </c>
      <c r="G13924" s="30" t="s">
        <v>140</v>
      </c>
      <c r="H13924" s="32">
        <v>20</v>
      </c>
      <c r="I13924" s="30" t="s">
        <v>51</v>
      </c>
      <c r="J13924" s="41">
        <v>45170</v>
      </c>
      <c r="K13924" s="30" t="s">
        <v>22</v>
      </c>
    </row>
    <row r="13925" spans="1:11">
      <c r="A13925" s="33" t="s">
        <v>31451</v>
      </c>
      <c r="B13925" s="33" t="s">
        <v>31452</v>
      </c>
      <c r="C13925" s="33" t="s">
        <v>801</v>
      </c>
      <c r="D13925" s="33" t="s">
        <v>17</v>
      </c>
      <c r="E13925" s="33" t="s">
        <v>26</v>
      </c>
      <c r="F13925" s="33" t="s">
        <v>27</v>
      </c>
      <c r="G13925" s="33" t="s">
        <v>20</v>
      </c>
      <c r="H13925" s="35">
        <v>19</v>
      </c>
      <c r="I13925" s="33" t="s">
        <v>21</v>
      </c>
      <c r="J13925" s="42">
        <v>45035</v>
      </c>
      <c r="K13925" s="33" t="s">
        <v>22</v>
      </c>
    </row>
    <row r="13926" spans="1:11">
      <c r="A13926" s="30" t="s">
        <v>31453</v>
      </c>
      <c r="B13926" s="30" t="s">
        <v>31454</v>
      </c>
      <c r="C13926" s="30" t="s">
        <v>15755</v>
      </c>
      <c r="D13926" s="30" t="s">
        <v>17</v>
      </c>
      <c r="E13926" s="30" t="s">
        <v>31</v>
      </c>
      <c r="F13926" s="30" t="s">
        <v>32</v>
      </c>
      <c r="G13926" s="30" t="s">
        <v>20</v>
      </c>
      <c r="H13926" s="32">
        <v>328</v>
      </c>
      <c r="I13926" s="30" t="s">
        <v>21</v>
      </c>
      <c r="J13926" s="41">
        <v>44929</v>
      </c>
      <c r="K13926" s="30" t="s">
        <v>22</v>
      </c>
    </row>
    <row r="13927" spans="1:11">
      <c r="A13927" s="33" t="s">
        <v>31455</v>
      </c>
      <c r="B13927" s="33" t="s">
        <v>31456</v>
      </c>
      <c r="C13927" s="33" t="s">
        <v>24923</v>
      </c>
      <c r="D13927" s="33" t="s">
        <v>17</v>
      </c>
      <c r="E13927" s="33" t="s">
        <v>67</v>
      </c>
      <c r="F13927" s="33" t="s">
        <v>68</v>
      </c>
      <c r="G13927" s="33" t="s">
        <v>140</v>
      </c>
      <c r="H13927" s="35">
        <v>30</v>
      </c>
      <c r="I13927" s="33" t="s">
        <v>51</v>
      </c>
      <c r="J13927" s="42">
        <v>45273</v>
      </c>
      <c r="K13927" s="33" t="s">
        <v>22</v>
      </c>
    </row>
    <row r="13928" spans="1:11">
      <c r="A13928" s="30" t="s">
        <v>31457</v>
      </c>
      <c r="B13928" s="30" t="s">
        <v>31458</v>
      </c>
      <c r="C13928" s="30" t="s">
        <v>26972</v>
      </c>
      <c r="D13928" s="30" t="s">
        <v>17</v>
      </c>
      <c r="E13928" s="30" t="s">
        <v>67</v>
      </c>
      <c r="F13928" s="30" t="s">
        <v>68</v>
      </c>
      <c r="G13928" s="30" t="s">
        <v>140</v>
      </c>
      <c r="H13928" s="32">
        <v>400</v>
      </c>
      <c r="I13928" s="30" t="s">
        <v>51</v>
      </c>
      <c r="J13928" s="41">
        <v>45147</v>
      </c>
      <c r="K13928" s="30" t="s">
        <v>22</v>
      </c>
    </row>
    <row r="13929" spans="1:11">
      <c r="A13929" s="33" t="s">
        <v>31459</v>
      </c>
      <c r="B13929" s="33" t="s">
        <v>31460</v>
      </c>
      <c r="C13929" s="33" t="s">
        <v>480</v>
      </c>
      <c r="D13929" s="33" t="s">
        <v>17</v>
      </c>
      <c r="E13929" s="33" t="s">
        <v>18</v>
      </c>
      <c r="F13929" s="33" t="s">
        <v>19</v>
      </c>
      <c r="G13929" s="33" t="s">
        <v>20</v>
      </c>
      <c r="H13929" s="35">
        <v>161</v>
      </c>
      <c r="I13929" s="33" t="s">
        <v>21</v>
      </c>
      <c r="J13929" s="42">
        <v>45167</v>
      </c>
      <c r="K13929" s="33" t="s">
        <v>22</v>
      </c>
    </row>
    <row r="13930" spans="1:11">
      <c r="A13930" s="30" t="s">
        <v>31461</v>
      </c>
      <c r="B13930" s="30" t="s">
        <v>31462</v>
      </c>
      <c r="C13930" s="30" t="s">
        <v>3757</v>
      </c>
      <c r="D13930" s="30" t="s">
        <v>17</v>
      </c>
      <c r="E13930" s="30" t="s">
        <v>31</v>
      </c>
      <c r="F13930" s="30" t="s">
        <v>32</v>
      </c>
      <c r="G13930" s="30" t="s">
        <v>20</v>
      </c>
      <c r="H13930" s="32">
        <v>267</v>
      </c>
      <c r="I13930" s="30" t="s">
        <v>21</v>
      </c>
      <c r="J13930" s="41">
        <v>45286</v>
      </c>
      <c r="K13930" s="30" t="s">
        <v>22</v>
      </c>
    </row>
    <row r="13931" spans="1:11">
      <c r="A13931" s="33" t="s">
        <v>31463</v>
      </c>
      <c r="B13931" s="33" t="s">
        <v>31464</v>
      </c>
      <c r="C13931" s="33" t="s">
        <v>75</v>
      </c>
      <c r="D13931" s="33" t="s">
        <v>17</v>
      </c>
      <c r="E13931" s="33" t="s">
        <v>31</v>
      </c>
      <c r="F13931" s="33" t="s">
        <v>32</v>
      </c>
      <c r="G13931" s="33" t="s">
        <v>112</v>
      </c>
      <c r="H13931" s="35">
        <v>0</v>
      </c>
      <c r="I13931" s="33" t="s">
        <v>21</v>
      </c>
      <c r="J13931" s="42">
        <v>45077</v>
      </c>
      <c r="K13931" s="33" t="s">
        <v>22</v>
      </c>
    </row>
    <row r="13932" spans="1:11">
      <c r="A13932" s="30" t="s">
        <v>31465</v>
      </c>
      <c r="B13932" s="30" t="s">
        <v>31466</v>
      </c>
      <c r="C13932" s="30" t="s">
        <v>8900</v>
      </c>
      <c r="D13932" s="30" t="s">
        <v>17</v>
      </c>
      <c r="E13932" s="30" t="s">
        <v>31</v>
      </c>
      <c r="F13932" s="30" t="s">
        <v>32</v>
      </c>
      <c r="G13932" s="30" t="s">
        <v>140</v>
      </c>
      <c r="H13932" s="32">
        <v>25</v>
      </c>
      <c r="I13932" s="30" t="s">
        <v>51</v>
      </c>
      <c r="J13932" s="41">
        <v>45225</v>
      </c>
      <c r="K13932" s="30" t="s">
        <v>22</v>
      </c>
    </row>
    <row r="13933" spans="1:11">
      <c r="A13933" s="33" t="s">
        <v>31467</v>
      </c>
      <c r="B13933" s="33" t="s">
        <v>31468</v>
      </c>
      <c r="C13933" s="33" t="s">
        <v>1483</v>
      </c>
      <c r="D13933" s="33" t="s">
        <v>17</v>
      </c>
      <c r="E13933" s="33" t="s">
        <v>31</v>
      </c>
      <c r="F13933" s="33" t="s">
        <v>32</v>
      </c>
      <c r="G13933" s="33" t="s">
        <v>158</v>
      </c>
      <c r="H13933" s="35">
        <v>87</v>
      </c>
      <c r="I13933" s="33" t="s">
        <v>51</v>
      </c>
      <c r="J13933" s="42">
        <v>44971</v>
      </c>
      <c r="K13933" s="33" t="s">
        <v>22</v>
      </c>
    </row>
    <row r="13934" spans="1:11">
      <c r="A13934" s="30" t="s">
        <v>31469</v>
      </c>
      <c r="B13934" s="30" t="s">
        <v>31470</v>
      </c>
      <c r="C13934" s="30" t="s">
        <v>969</v>
      </c>
      <c r="D13934" s="30" t="s">
        <v>17</v>
      </c>
      <c r="E13934" s="30" t="s">
        <v>26</v>
      </c>
      <c r="F13934" s="30" t="s">
        <v>27</v>
      </c>
      <c r="G13934" s="30" t="s">
        <v>106</v>
      </c>
      <c r="H13934" s="32">
        <v>11</v>
      </c>
      <c r="I13934" s="30" t="s">
        <v>21</v>
      </c>
      <c r="J13934" s="41">
        <v>45164</v>
      </c>
      <c r="K13934" s="30" t="s">
        <v>22</v>
      </c>
    </row>
    <row r="13935" spans="1:11">
      <c r="A13935" s="33" t="s">
        <v>31471</v>
      </c>
      <c r="B13935" s="33" t="s">
        <v>31472</v>
      </c>
      <c r="C13935" s="33" t="s">
        <v>3350</v>
      </c>
      <c r="D13935" s="33" t="s">
        <v>17</v>
      </c>
      <c r="E13935" s="33" t="s">
        <v>31</v>
      </c>
      <c r="F13935" s="33" t="s">
        <v>32</v>
      </c>
      <c r="G13935" s="33" t="s">
        <v>106</v>
      </c>
      <c r="H13935" s="35">
        <v>2</v>
      </c>
      <c r="I13935" s="33" t="s">
        <v>21</v>
      </c>
      <c r="J13935" s="42">
        <v>44945</v>
      </c>
      <c r="K13935" s="33" t="s">
        <v>22</v>
      </c>
    </row>
    <row r="13936" spans="1:11">
      <c r="A13936" s="30" t="s">
        <v>31473</v>
      </c>
      <c r="B13936" s="30" t="s">
        <v>31474</v>
      </c>
      <c r="C13936" s="30" t="s">
        <v>801</v>
      </c>
      <c r="D13936" s="30" t="s">
        <v>17</v>
      </c>
      <c r="E13936" s="30" t="s">
        <v>26</v>
      </c>
      <c r="F13936" s="30" t="s">
        <v>27</v>
      </c>
      <c r="G13936" s="30" t="s">
        <v>20</v>
      </c>
      <c r="H13936" s="32">
        <v>20</v>
      </c>
      <c r="I13936" s="30" t="s">
        <v>21</v>
      </c>
      <c r="J13936" s="41">
        <v>45112</v>
      </c>
      <c r="K13936" s="30" t="s">
        <v>22</v>
      </c>
    </row>
    <row r="13937" spans="1:11">
      <c r="A13937" s="33" t="s">
        <v>31475</v>
      </c>
      <c r="B13937" s="33" t="s">
        <v>31476</v>
      </c>
      <c r="C13937" s="33" t="s">
        <v>136</v>
      </c>
      <c r="D13937" s="33" t="s">
        <v>17</v>
      </c>
      <c r="E13937" s="33" t="s">
        <v>18</v>
      </c>
      <c r="F13937" s="33" t="s">
        <v>19</v>
      </c>
      <c r="G13937" s="33" t="s">
        <v>20</v>
      </c>
      <c r="H13937" s="35">
        <v>172</v>
      </c>
      <c r="I13937" s="33" t="s">
        <v>21</v>
      </c>
      <c r="J13937" s="42">
        <v>45063</v>
      </c>
      <c r="K13937" s="33" t="s">
        <v>22</v>
      </c>
    </row>
    <row r="13938" spans="1:11">
      <c r="A13938" s="30" t="s">
        <v>31477</v>
      </c>
      <c r="B13938" s="30" t="s">
        <v>31478</v>
      </c>
      <c r="C13938" s="30" t="s">
        <v>31479</v>
      </c>
      <c r="D13938" s="30" t="s">
        <v>17</v>
      </c>
      <c r="E13938" s="30" t="s">
        <v>67</v>
      </c>
      <c r="F13938" s="30" t="s">
        <v>68</v>
      </c>
      <c r="G13938" s="30" t="s">
        <v>158</v>
      </c>
      <c r="H13938" s="32">
        <v>90</v>
      </c>
      <c r="I13938" s="30" t="s">
        <v>51</v>
      </c>
      <c r="J13938" s="41">
        <v>44964</v>
      </c>
      <c r="K13938" s="30" t="s">
        <v>22</v>
      </c>
    </row>
    <row r="13939" spans="1:11">
      <c r="A13939" s="33" t="s">
        <v>31480</v>
      </c>
      <c r="B13939" s="33" t="s">
        <v>31481</v>
      </c>
      <c r="C13939" s="33" t="s">
        <v>75</v>
      </c>
      <c r="D13939" s="33" t="s">
        <v>17</v>
      </c>
      <c r="E13939" s="33" t="s">
        <v>26</v>
      </c>
      <c r="F13939" s="33" t="s">
        <v>27</v>
      </c>
      <c r="G13939" s="33" t="s">
        <v>20</v>
      </c>
      <c r="H13939" s="35">
        <v>45</v>
      </c>
      <c r="I13939" s="33" t="s">
        <v>21</v>
      </c>
      <c r="J13939" s="42">
        <v>45190</v>
      </c>
      <c r="K13939" s="33" t="s">
        <v>22</v>
      </c>
    </row>
    <row r="13940" spans="1:11">
      <c r="A13940" s="30" t="s">
        <v>31482</v>
      </c>
      <c r="B13940" s="30" t="s">
        <v>31483</v>
      </c>
      <c r="C13940" s="30" t="s">
        <v>13661</v>
      </c>
      <c r="D13940" s="30" t="s">
        <v>17</v>
      </c>
      <c r="E13940" s="30" t="s">
        <v>26</v>
      </c>
      <c r="F13940" s="30" t="s">
        <v>27</v>
      </c>
      <c r="G13940" s="30" t="s">
        <v>158</v>
      </c>
      <c r="H13940" s="32">
        <v>26</v>
      </c>
      <c r="I13940" s="30" t="s">
        <v>21</v>
      </c>
      <c r="J13940" s="41">
        <v>45169</v>
      </c>
      <c r="K13940" s="30" t="s">
        <v>22</v>
      </c>
    </row>
    <row r="13941" spans="1:11">
      <c r="A13941" s="33" t="s">
        <v>31484</v>
      </c>
      <c r="B13941" s="33" t="s">
        <v>31485</v>
      </c>
      <c r="C13941" s="33" t="s">
        <v>136</v>
      </c>
      <c r="D13941" s="33" t="s">
        <v>17</v>
      </c>
      <c r="E13941" s="33" t="s">
        <v>18</v>
      </c>
      <c r="F13941" s="33" t="s">
        <v>19</v>
      </c>
      <c r="G13941" s="33" t="s">
        <v>140</v>
      </c>
      <c r="H13941" s="35">
        <v>1264</v>
      </c>
      <c r="I13941" s="33" t="s">
        <v>51</v>
      </c>
      <c r="J13941" s="42">
        <v>45281</v>
      </c>
      <c r="K13941" s="33" t="s">
        <v>22</v>
      </c>
    </row>
    <row r="13942" spans="1:11">
      <c r="A13942" s="30" t="s">
        <v>31486</v>
      </c>
      <c r="B13942" s="30" t="s">
        <v>31487</v>
      </c>
      <c r="C13942" s="30" t="s">
        <v>31488</v>
      </c>
      <c r="D13942" s="30" t="s">
        <v>17</v>
      </c>
      <c r="E13942" s="30" t="s">
        <v>26</v>
      </c>
      <c r="F13942" s="30" t="s">
        <v>27</v>
      </c>
      <c r="G13942" s="30" t="s">
        <v>20</v>
      </c>
      <c r="H13942" s="32">
        <v>40</v>
      </c>
      <c r="I13942" s="30" t="s">
        <v>21</v>
      </c>
      <c r="J13942" s="41">
        <v>45248</v>
      </c>
      <c r="K13942" s="30" t="s">
        <v>22</v>
      </c>
    </row>
    <row r="13943" spans="1:11">
      <c r="A13943" s="33" t="s">
        <v>31489</v>
      </c>
      <c r="B13943" s="33" t="s">
        <v>31490</v>
      </c>
      <c r="C13943" s="33" t="s">
        <v>19576</v>
      </c>
      <c r="D13943" s="33" t="s">
        <v>17</v>
      </c>
      <c r="E13943" s="33" t="s">
        <v>67</v>
      </c>
      <c r="F13943" s="33" t="s">
        <v>68</v>
      </c>
      <c r="G13943" s="33" t="s">
        <v>20</v>
      </c>
      <c r="H13943" s="35">
        <v>24</v>
      </c>
      <c r="I13943" s="33" t="s">
        <v>21</v>
      </c>
      <c r="J13943" s="42">
        <v>45146</v>
      </c>
      <c r="K13943" s="33" t="s">
        <v>22</v>
      </c>
    </row>
    <row r="13944" spans="1:11">
      <c r="A13944" s="30" t="s">
        <v>31491</v>
      </c>
      <c r="B13944" s="30" t="s">
        <v>31492</v>
      </c>
      <c r="C13944" s="30" t="s">
        <v>14307</v>
      </c>
      <c r="D13944" s="30" t="s">
        <v>17</v>
      </c>
      <c r="E13944" s="30" t="s">
        <v>18</v>
      </c>
      <c r="F13944" s="30" t="s">
        <v>19</v>
      </c>
      <c r="G13944" s="30" t="s">
        <v>158</v>
      </c>
      <c r="H13944" s="32">
        <v>430</v>
      </c>
      <c r="I13944" s="30" t="s">
        <v>51</v>
      </c>
      <c r="J13944" s="41">
        <v>45272</v>
      </c>
      <c r="K13944" s="30" t="s">
        <v>22</v>
      </c>
    </row>
    <row r="13945" spans="1:11">
      <c r="A13945" s="33" t="s">
        <v>31493</v>
      </c>
      <c r="B13945" s="33" t="s">
        <v>31494</v>
      </c>
      <c r="C13945" s="33" t="s">
        <v>13534</v>
      </c>
      <c r="D13945" s="33" t="s">
        <v>17</v>
      </c>
      <c r="E13945" s="33" t="s">
        <v>45</v>
      </c>
      <c r="F13945" s="33" t="s">
        <v>46</v>
      </c>
      <c r="G13945" s="33" t="s">
        <v>50</v>
      </c>
      <c r="H13945" s="35">
        <v>800</v>
      </c>
      <c r="I13945" s="33" t="s">
        <v>51</v>
      </c>
      <c r="J13945" s="42">
        <v>45097</v>
      </c>
      <c r="K13945" s="33" t="s">
        <v>22</v>
      </c>
    </row>
    <row r="13946" spans="1:11">
      <c r="A13946" s="30" t="s">
        <v>31495</v>
      </c>
      <c r="B13946" s="30" t="s">
        <v>31496</v>
      </c>
      <c r="C13946" s="30" t="s">
        <v>450</v>
      </c>
      <c r="D13946" s="30" t="s">
        <v>17</v>
      </c>
      <c r="E13946" s="30" t="s">
        <v>18</v>
      </c>
      <c r="F13946" s="30" t="s">
        <v>19</v>
      </c>
      <c r="G13946" s="30" t="s">
        <v>158</v>
      </c>
      <c r="H13946" s="32">
        <v>165</v>
      </c>
      <c r="I13946" s="30" t="s">
        <v>51</v>
      </c>
      <c r="J13946" s="41">
        <v>45084</v>
      </c>
      <c r="K13946" s="30" t="s">
        <v>22</v>
      </c>
    </row>
    <row r="13947" spans="1:11">
      <c r="A13947" s="33" t="s">
        <v>31497</v>
      </c>
      <c r="B13947" s="33" t="s">
        <v>31498</v>
      </c>
      <c r="C13947" s="33" t="s">
        <v>17770</v>
      </c>
      <c r="D13947" s="33" t="s">
        <v>17</v>
      </c>
      <c r="E13947" s="33" t="s">
        <v>67</v>
      </c>
      <c r="F13947" s="33" t="s">
        <v>68</v>
      </c>
      <c r="G13947" s="33" t="s">
        <v>158</v>
      </c>
      <c r="H13947" s="35">
        <v>158</v>
      </c>
      <c r="I13947" s="33" t="s">
        <v>21</v>
      </c>
      <c r="J13947" s="42">
        <v>45030</v>
      </c>
      <c r="K13947" s="33" t="s">
        <v>22</v>
      </c>
    </row>
    <row r="13948" spans="1:11">
      <c r="A13948" s="30" t="s">
        <v>31499</v>
      </c>
      <c r="B13948" s="30" t="s">
        <v>31500</v>
      </c>
      <c r="C13948" s="30" t="s">
        <v>2208</v>
      </c>
      <c r="D13948" s="30" t="s">
        <v>17</v>
      </c>
      <c r="E13948" s="30" t="s">
        <v>31</v>
      </c>
      <c r="F13948" s="30" t="s">
        <v>32</v>
      </c>
      <c r="G13948" s="30" t="s">
        <v>20</v>
      </c>
      <c r="H13948" s="32">
        <v>25</v>
      </c>
      <c r="I13948" s="30" t="s">
        <v>21</v>
      </c>
      <c r="J13948" s="41">
        <v>45127</v>
      </c>
      <c r="K13948" s="30" t="s">
        <v>22</v>
      </c>
    </row>
    <row r="13949" spans="1:11">
      <c r="A13949" s="33" t="s">
        <v>31501</v>
      </c>
      <c r="B13949" s="33" t="s">
        <v>31502</v>
      </c>
      <c r="C13949" s="33" t="s">
        <v>96</v>
      </c>
      <c r="D13949" s="33" t="s">
        <v>17</v>
      </c>
      <c r="E13949" s="33" t="s">
        <v>31</v>
      </c>
      <c r="F13949" s="33" t="s">
        <v>32</v>
      </c>
      <c r="G13949" s="33" t="s">
        <v>140</v>
      </c>
      <c r="H13949" s="35">
        <v>48</v>
      </c>
      <c r="I13949" s="33" t="s">
        <v>51</v>
      </c>
      <c r="J13949" s="42">
        <v>45034</v>
      </c>
      <c r="K13949" s="33" t="s">
        <v>22</v>
      </c>
    </row>
    <row r="13950" spans="1:11">
      <c r="A13950" s="30" t="s">
        <v>31503</v>
      </c>
      <c r="B13950" s="30" t="s">
        <v>31504</v>
      </c>
      <c r="C13950" s="30" t="s">
        <v>5214</v>
      </c>
      <c r="D13950" s="30" t="s">
        <v>17</v>
      </c>
      <c r="E13950" s="30" t="s">
        <v>31</v>
      </c>
      <c r="F13950" s="30" t="s">
        <v>32</v>
      </c>
      <c r="G13950" s="30" t="s">
        <v>112</v>
      </c>
      <c r="H13950" s="32">
        <v>0</v>
      </c>
      <c r="I13950" s="30" t="s">
        <v>21</v>
      </c>
      <c r="J13950" s="41">
        <v>45108</v>
      </c>
      <c r="K13950" s="30" t="s">
        <v>22</v>
      </c>
    </row>
    <row r="13951" spans="1:11">
      <c r="A13951" s="33" t="s">
        <v>31505</v>
      </c>
      <c r="B13951" s="33" t="s">
        <v>31506</v>
      </c>
      <c r="C13951" s="33" t="s">
        <v>157</v>
      </c>
      <c r="D13951" s="33" t="s">
        <v>17</v>
      </c>
      <c r="E13951" s="33" t="s">
        <v>26</v>
      </c>
      <c r="F13951" s="33" t="s">
        <v>27</v>
      </c>
      <c r="G13951" s="33" t="s">
        <v>20</v>
      </c>
      <c r="H13951" s="35">
        <v>12</v>
      </c>
      <c r="I13951" s="33" t="s">
        <v>21</v>
      </c>
      <c r="J13951" s="42">
        <v>45280</v>
      </c>
      <c r="K13951" s="33" t="s">
        <v>22</v>
      </c>
    </row>
    <row r="13952" spans="1:11">
      <c r="A13952" s="30" t="s">
        <v>31507</v>
      </c>
      <c r="B13952" s="30" t="s">
        <v>31508</v>
      </c>
      <c r="C13952" s="30" t="s">
        <v>3278</v>
      </c>
      <c r="D13952" s="30" t="s">
        <v>17</v>
      </c>
      <c r="E13952" s="30" t="s">
        <v>31</v>
      </c>
      <c r="F13952" s="30" t="s">
        <v>32</v>
      </c>
      <c r="G13952" s="30" t="s">
        <v>20</v>
      </c>
      <c r="H13952" s="32">
        <v>80</v>
      </c>
      <c r="I13952" s="30" t="s">
        <v>21</v>
      </c>
      <c r="J13952" s="41">
        <v>45033</v>
      </c>
      <c r="K13952" s="30" t="s">
        <v>22</v>
      </c>
    </row>
    <row r="13953" spans="1:11">
      <c r="A13953" s="33" t="s">
        <v>31509</v>
      </c>
      <c r="B13953" s="33" t="s">
        <v>31510</v>
      </c>
      <c r="C13953" s="33" t="s">
        <v>2535</v>
      </c>
      <c r="D13953" s="33" t="s">
        <v>17</v>
      </c>
      <c r="E13953" s="33" t="s">
        <v>26</v>
      </c>
      <c r="F13953" s="33" t="s">
        <v>27</v>
      </c>
      <c r="G13953" s="33" t="s">
        <v>20</v>
      </c>
      <c r="H13953" s="35">
        <v>25</v>
      </c>
      <c r="I13953" s="33" t="s">
        <v>21</v>
      </c>
      <c r="J13953" s="42">
        <v>45132</v>
      </c>
      <c r="K13953" s="33" t="s">
        <v>22</v>
      </c>
    </row>
    <row r="13954" spans="1:11">
      <c r="A13954" s="30" t="s">
        <v>31511</v>
      </c>
      <c r="B13954" s="30" t="s">
        <v>31512</v>
      </c>
      <c r="C13954" s="30" t="s">
        <v>810</v>
      </c>
      <c r="D13954" s="30" t="s">
        <v>17</v>
      </c>
      <c r="E13954" s="30" t="s">
        <v>26</v>
      </c>
      <c r="F13954" s="30" t="s">
        <v>27</v>
      </c>
      <c r="G13954" s="30" t="s">
        <v>20</v>
      </c>
      <c r="H13954" s="32">
        <v>30</v>
      </c>
      <c r="I13954" s="30" t="s">
        <v>21</v>
      </c>
      <c r="J13954" s="41">
        <v>45222</v>
      </c>
      <c r="K13954" s="30" t="s">
        <v>22</v>
      </c>
    </row>
    <row r="13955" spans="1:11">
      <c r="A13955" s="33" t="s">
        <v>31513</v>
      </c>
      <c r="B13955" s="33" t="s">
        <v>31514</v>
      </c>
      <c r="C13955" s="33" t="s">
        <v>1996</v>
      </c>
      <c r="D13955" s="33" t="s">
        <v>17</v>
      </c>
      <c r="E13955" s="33" t="s">
        <v>31</v>
      </c>
      <c r="F13955" s="33" t="s">
        <v>32</v>
      </c>
      <c r="G13955" s="33" t="s">
        <v>20</v>
      </c>
      <c r="H13955" s="35">
        <v>48</v>
      </c>
      <c r="I13955" s="33" t="s">
        <v>21</v>
      </c>
      <c r="J13955" s="42">
        <v>44936</v>
      </c>
      <c r="K13955" s="33" t="s">
        <v>22</v>
      </c>
    </row>
    <row r="13956" spans="1:11">
      <c r="A13956" s="30" t="s">
        <v>31515</v>
      </c>
      <c r="B13956" s="30" t="s">
        <v>31516</v>
      </c>
      <c r="C13956" s="30" t="s">
        <v>31517</v>
      </c>
      <c r="D13956" s="30" t="s">
        <v>17</v>
      </c>
      <c r="E13956" s="30" t="s">
        <v>67</v>
      </c>
      <c r="F13956" s="30" t="s">
        <v>68</v>
      </c>
      <c r="G13956" s="30" t="s">
        <v>50</v>
      </c>
      <c r="H13956" s="32">
        <v>55</v>
      </c>
      <c r="I13956" s="30" t="s">
        <v>51</v>
      </c>
      <c r="J13956" s="41">
        <v>45170</v>
      </c>
      <c r="K13956" s="30" t="s">
        <v>22</v>
      </c>
    </row>
    <row r="13957" spans="1:11">
      <c r="A13957" s="33" t="s">
        <v>31518</v>
      </c>
      <c r="B13957" s="33" t="s">
        <v>31519</v>
      </c>
      <c r="C13957" s="33" t="s">
        <v>2171</v>
      </c>
      <c r="D13957" s="33" t="s">
        <v>17</v>
      </c>
      <c r="E13957" s="33" t="s">
        <v>26</v>
      </c>
      <c r="F13957" s="33" t="s">
        <v>27</v>
      </c>
      <c r="G13957" s="33" t="s">
        <v>106</v>
      </c>
      <c r="H13957" s="35">
        <v>8</v>
      </c>
      <c r="I13957" s="33" t="s">
        <v>21</v>
      </c>
      <c r="J13957" s="42">
        <v>45003</v>
      </c>
      <c r="K13957" s="33" t="s">
        <v>22</v>
      </c>
    </row>
    <row r="13958" spans="1:11">
      <c r="A13958" s="30" t="s">
        <v>31520</v>
      </c>
      <c r="B13958" s="30" t="s">
        <v>31521</v>
      </c>
      <c r="C13958" s="30" t="s">
        <v>157</v>
      </c>
      <c r="D13958" s="30" t="s">
        <v>17</v>
      </c>
      <c r="E13958" s="30" t="s">
        <v>31</v>
      </c>
      <c r="F13958" s="30" t="s">
        <v>32</v>
      </c>
      <c r="G13958" s="30" t="s">
        <v>106</v>
      </c>
      <c r="H13958" s="32">
        <v>24</v>
      </c>
      <c r="I13958" s="30" t="s">
        <v>21</v>
      </c>
      <c r="J13958" s="41">
        <v>45069</v>
      </c>
      <c r="K13958" s="30" t="s">
        <v>22</v>
      </c>
    </row>
    <row r="13959" spans="1:11">
      <c r="A13959" s="33" t="s">
        <v>31522</v>
      </c>
      <c r="B13959" s="33" t="s">
        <v>31523</v>
      </c>
      <c r="C13959" s="33" t="s">
        <v>31524</v>
      </c>
      <c r="D13959" s="33" t="s">
        <v>17</v>
      </c>
      <c r="E13959" s="33" t="s">
        <v>26</v>
      </c>
      <c r="F13959" s="33" t="s">
        <v>27</v>
      </c>
      <c r="G13959" s="33" t="s">
        <v>20</v>
      </c>
      <c r="H13959" s="35">
        <v>24</v>
      </c>
      <c r="I13959" s="33" t="s">
        <v>21</v>
      </c>
      <c r="J13959" s="42">
        <v>44991</v>
      </c>
      <c r="K13959" s="33" t="s">
        <v>22</v>
      </c>
    </row>
    <row r="13960" spans="1:11">
      <c r="A13960" s="30" t="s">
        <v>31525</v>
      </c>
      <c r="B13960" s="30" t="s">
        <v>31526</v>
      </c>
      <c r="C13960" s="30" t="s">
        <v>407</v>
      </c>
      <c r="D13960" s="30" t="s">
        <v>17</v>
      </c>
      <c r="E13960" s="30" t="s">
        <v>18</v>
      </c>
      <c r="F13960" s="30" t="s">
        <v>19</v>
      </c>
      <c r="G13960" s="30" t="s">
        <v>20</v>
      </c>
      <c r="H13960" s="32">
        <v>2001</v>
      </c>
      <c r="I13960" s="30" t="s">
        <v>21</v>
      </c>
      <c r="J13960" s="41">
        <v>44936</v>
      </c>
      <c r="K13960" s="30" t="s">
        <v>22</v>
      </c>
    </row>
    <row r="13961" spans="1:11">
      <c r="A13961" s="33" t="s">
        <v>31527</v>
      </c>
      <c r="B13961" s="33" t="s">
        <v>31528</v>
      </c>
      <c r="C13961" s="33" t="s">
        <v>31529</v>
      </c>
      <c r="D13961" s="33" t="s">
        <v>17</v>
      </c>
      <c r="E13961" s="33" t="s">
        <v>26</v>
      </c>
      <c r="F13961" s="33" t="s">
        <v>27</v>
      </c>
      <c r="G13961" s="33" t="s">
        <v>158</v>
      </c>
      <c r="H13961" s="35">
        <v>47</v>
      </c>
      <c r="I13961" s="33" t="s">
        <v>21</v>
      </c>
      <c r="J13961" s="42">
        <v>45069</v>
      </c>
      <c r="K13961" s="33" t="s">
        <v>22</v>
      </c>
    </row>
    <row r="13962" spans="1:11">
      <c r="A13962" s="30" t="s">
        <v>31530</v>
      </c>
      <c r="B13962" s="30" t="s">
        <v>31531</v>
      </c>
      <c r="C13962" s="30" t="s">
        <v>19056</v>
      </c>
      <c r="D13962" s="30" t="s">
        <v>17</v>
      </c>
      <c r="E13962" s="30" t="s">
        <v>26</v>
      </c>
      <c r="F13962" s="30" t="s">
        <v>27</v>
      </c>
      <c r="G13962" s="30" t="s">
        <v>50</v>
      </c>
      <c r="H13962" s="32">
        <v>96</v>
      </c>
      <c r="I13962" s="30" t="s">
        <v>51</v>
      </c>
      <c r="J13962" s="41">
        <v>45135</v>
      </c>
      <c r="K13962" s="30" t="s">
        <v>22</v>
      </c>
    </row>
    <row r="13963" spans="1:11">
      <c r="A13963" s="33" t="s">
        <v>31532</v>
      </c>
      <c r="B13963" s="33" t="s">
        <v>31533</v>
      </c>
      <c r="C13963" s="33" t="s">
        <v>16878</v>
      </c>
      <c r="D13963" s="33" t="s">
        <v>17</v>
      </c>
      <c r="E13963" s="33" t="s">
        <v>26</v>
      </c>
      <c r="F13963" s="33" t="s">
        <v>27</v>
      </c>
      <c r="G13963" s="33" t="s">
        <v>20</v>
      </c>
      <c r="H13963" s="35">
        <v>24</v>
      </c>
      <c r="I13963" s="33" t="s">
        <v>21</v>
      </c>
      <c r="J13963" s="42">
        <v>45082</v>
      </c>
      <c r="K13963" s="33" t="s">
        <v>22</v>
      </c>
    </row>
    <row r="13964" spans="1:11">
      <c r="A13964" s="30" t="s">
        <v>31534</v>
      </c>
      <c r="B13964" s="30" t="s">
        <v>31535</v>
      </c>
      <c r="C13964" s="30" t="s">
        <v>190</v>
      </c>
      <c r="D13964" s="30" t="s">
        <v>17</v>
      </c>
      <c r="E13964" s="30" t="s">
        <v>26</v>
      </c>
      <c r="F13964" s="30" t="s">
        <v>27</v>
      </c>
      <c r="G13964" s="30" t="s">
        <v>140</v>
      </c>
      <c r="H13964" s="32">
        <v>45</v>
      </c>
      <c r="I13964" s="30" t="s">
        <v>51</v>
      </c>
      <c r="J13964" s="41">
        <v>45119</v>
      </c>
      <c r="K13964" s="30" t="s">
        <v>22</v>
      </c>
    </row>
    <row r="13965" spans="1:11">
      <c r="A13965" s="33" t="s">
        <v>31536</v>
      </c>
      <c r="B13965" s="33" t="s">
        <v>31537</v>
      </c>
      <c r="C13965" s="33" t="s">
        <v>5084</v>
      </c>
      <c r="D13965" s="33" t="s">
        <v>17</v>
      </c>
      <c r="E13965" s="33" t="s">
        <v>18</v>
      </c>
      <c r="F13965" s="33" t="s">
        <v>19</v>
      </c>
      <c r="G13965" s="33" t="s">
        <v>20</v>
      </c>
      <c r="H13965" s="35">
        <v>31</v>
      </c>
      <c r="I13965" s="33" t="s">
        <v>21</v>
      </c>
      <c r="J13965" s="42">
        <v>45015</v>
      </c>
      <c r="K13965" s="33" t="s">
        <v>22</v>
      </c>
    </row>
    <row r="13966" spans="1:11">
      <c r="A13966" s="30" t="s">
        <v>31538</v>
      </c>
      <c r="B13966" s="30" t="s">
        <v>31539</v>
      </c>
      <c r="C13966" s="30" t="s">
        <v>190</v>
      </c>
      <c r="D13966" s="30" t="s">
        <v>17</v>
      </c>
      <c r="E13966" s="30" t="s">
        <v>31</v>
      </c>
      <c r="F13966" s="30" t="s">
        <v>32</v>
      </c>
      <c r="G13966" s="30" t="s">
        <v>20</v>
      </c>
      <c r="H13966" s="32">
        <v>339</v>
      </c>
      <c r="I13966" s="30" t="s">
        <v>21</v>
      </c>
      <c r="J13966" s="41">
        <v>45246</v>
      </c>
      <c r="K13966" s="30" t="s">
        <v>22</v>
      </c>
    </row>
    <row r="13967" spans="1:11">
      <c r="A13967" s="33" t="s">
        <v>31540</v>
      </c>
      <c r="B13967" s="33" t="s">
        <v>31541</v>
      </c>
      <c r="C13967" s="33" t="s">
        <v>1808</v>
      </c>
      <c r="D13967" s="33" t="s">
        <v>17</v>
      </c>
      <c r="E13967" s="33" t="s">
        <v>26</v>
      </c>
      <c r="F13967" s="33" t="s">
        <v>27</v>
      </c>
      <c r="G13967" s="33" t="s">
        <v>50</v>
      </c>
      <c r="H13967" s="35">
        <v>282</v>
      </c>
      <c r="I13967" s="33" t="s">
        <v>51</v>
      </c>
      <c r="J13967" s="42">
        <v>45036</v>
      </c>
      <c r="K13967" s="33" t="s">
        <v>22</v>
      </c>
    </row>
    <row r="13968" spans="1:11">
      <c r="A13968" s="30" t="s">
        <v>31542</v>
      </c>
      <c r="B13968" s="30" t="s">
        <v>31543</v>
      </c>
      <c r="C13968" s="30" t="s">
        <v>1003</v>
      </c>
      <c r="D13968" s="30" t="s">
        <v>17</v>
      </c>
      <c r="E13968" s="30" t="s">
        <v>18</v>
      </c>
      <c r="F13968" s="30" t="s">
        <v>19</v>
      </c>
      <c r="G13968" s="30" t="s">
        <v>50</v>
      </c>
      <c r="H13968" s="32">
        <v>258</v>
      </c>
      <c r="I13968" s="30" t="s">
        <v>51</v>
      </c>
      <c r="J13968" s="41">
        <v>45240</v>
      </c>
      <c r="K13968" s="30" t="s">
        <v>22</v>
      </c>
    </row>
    <row r="13969" spans="1:11">
      <c r="A13969" s="33" t="s">
        <v>31544</v>
      </c>
      <c r="B13969" s="33" t="s">
        <v>31545</v>
      </c>
      <c r="C13969" s="33" t="s">
        <v>2562</v>
      </c>
      <c r="D13969" s="33" t="s">
        <v>17</v>
      </c>
      <c r="E13969" s="33" t="s">
        <v>67</v>
      </c>
      <c r="F13969" s="33" t="s">
        <v>68</v>
      </c>
      <c r="G13969" s="33" t="s">
        <v>20</v>
      </c>
      <c r="H13969" s="35">
        <v>24</v>
      </c>
      <c r="I13969" s="33" t="s">
        <v>21</v>
      </c>
      <c r="J13969" s="42">
        <v>45282</v>
      </c>
      <c r="K13969" s="33" t="s">
        <v>22</v>
      </c>
    </row>
    <row r="13970" spans="1:11">
      <c r="A13970" s="30" t="s">
        <v>31546</v>
      </c>
      <c r="B13970" s="30" t="s">
        <v>31547</v>
      </c>
      <c r="C13970" s="30" t="s">
        <v>647</v>
      </c>
      <c r="D13970" s="30" t="s">
        <v>17</v>
      </c>
      <c r="E13970" s="30" t="s">
        <v>31</v>
      </c>
      <c r="F13970" s="30" t="s">
        <v>32</v>
      </c>
      <c r="G13970" s="30" t="s">
        <v>158</v>
      </c>
      <c r="H13970" s="32">
        <v>147</v>
      </c>
      <c r="I13970" s="30" t="s">
        <v>21</v>
      </c>
      <c r="J13970" s="41">
        <v>45286</v>
      </c>
      <c r="K13970" s="30" t="s">
        <v>22</v>
      </c>
    </row>
    <row r="13971" spans="1:11">
      <c r="A13971" s="33" t="s">
        <v>31548</v>
      </c>
      <c r="B13971" s="33" t="s">
        <v>31549</v>
      </c>
      <c r="C13971" s="33" t="s">
        <v>31550</v>
      </c>
      <c r="D13971" s="33" t="s">
        <v>17</v>
      </c>
      <c r="E13971" s="33" t="s">
        <v>26</v>
      </c>
      <c r="F13971" s="33" t="s">
        <v>27</v>
      </c>
      <c r="G13971" s="33" t="s">
        <v>140</v>
      </c>
      <c r="H13971" s="35">
        <v>15</v>
      </c>
      <c r="I13971" s="33" t="s">
        <v>51</v>
      </c>
      <c r="J13971" s="42">
        <v>44959</v>
      </c>
      <c r="K13971" s="33" t="s">
        <v>22</v>
      </c>
    </row>
    <row r="13972" spans="1:11">
      <c r="A13972" s="30" t="s">
        <v>31551</v>
      </c>
      <c r="B13972" s="30" t="s">
        <v>31552</v>
      </c>
      <c r="C13972" s="30" t="s">
        <v>31553</v>
      </c>
      <c r="D13972" s="30" t="s">
        <v>17</v>
      </c>
      <c r="E13972" s="30" t="s">
        <v>31</v>
      </c>
      <c r="F13972" s="30" t="s">
        <v>32</v>
      </c>
      <c r="G13972" s="30" t="s">
        <v>158</v>
      </c>
      <c r="H13972" s="32">
        <v>64</v>
      </c>
      <c r="I13972" s="30" t="s">
        <v>51</v>
      </c>
      <c r="J13972" s="41">
        <v>45070</v>
      </c>
      <c r="K13972" s="30" t="s">
        <v>22</v>
      </c>
    </row>
    <row r="13973" spans="1:11">
      <c r="A13973" s="33" t="s">
        <v>31554</v>
      </c>
      <c r="B13973" s="33" t="s">
        <v>31555</v>
      </c>
      <c r="C13973" s="33" t="s">
        <v>1210</v>
      </c>
      <c r="D13973" s="33" t="s">
        <v>17</v>
      </c>
      <c r="E13973" s="33" t="s">
        <v>26</v>
      </c>
      <c r="F13973" s="33" t="s">
        <v>27</v>
      </c>
      <c r="G13973" s="33" t="s">
        <v>158</v>
      </c>
      <c r="H13973" s="35">
        <v>87</v>
      </c>
      <c r="I13973" s="33" t="s">
        <v>51</v>
      </c>
      <c r="J13973" s="42">
        <v>45266</v>
      </c>
      <c r="K13973" s="33" t="s">
        <v>22</v>
      </c>
    </row>
    <row r="13974" spans="1:11">
      <c r="A13974" s="30" t="s">
        <v>31556</v>
      </c>
      <c r="B13974" s="30" t="s">
        <v>31557</v>
      </c>
      <c r="C13974" s="30" t="s">
        <v>149</v>
      </c>
      <c r="D13974" s="30" t="s">
        <v>17</v>
      </c>
      <c r="E13974" s="30" t="s">
        <v>45</v>
      </c>
      <c r="F13974" s="30" t="s">
        <v>46</v>
      </c>
      <c r="G13974" s="30" t="s">
        <v>158</v>
      </c>
      <c r="H13974" s="32">
        <v>669</v>
      </c>
      <c r="I13974" s="30" t="s">
        <v>21</v>
      </c>
      <c r="J13974" s="41">
        <v>45152</v>
      </c>
      <c r="K13974" s="30" t="s">
        <v>22</v>
      </c>
    </row>
    <row r="13975" spans="1:11">
      <c r="A13975" s="33" t="s">
        <v>31558</v>
      </c>
      <c r="B13975" s="33" t="s">
        <v>31559</v>
      </c>
      <c r="C13975" s="33" t="s">
        <v>2039</v>
      </c>
      <c r="D13975" s="33" t="s">
        <v>17</v>
      </c>
      <c r="E13975" s="33" t="s">
        <v>67</v>
      </c>
      <c r="F13975" s="33" t="s">
        <v>68</v>
      </c>
      <c r="G13975" s="33" t="s">
        <v>140</v>
      </c>
      <c r="H13975" s="35">
        <v>300</v>
      </c>
      <c r="I13975" s="33" t="s">
        <v>51</v>
      </c>
      <c r="J13975" s="42">
        <v>45204</v>
      </c>
      <c r="K13975" s="33" t="s">
        <v>22</v>
      </c>
    </row>
    <row r="13976" spans="1:11">
      <c r="A13976" s="30" t="s">
        <v>31560</v>
      </c>
      <c r="B13976" s="30" t="s">
        <v>31561</v>
      </c>
      <c r="C13976" s="30" t="s">
        <v>31562</v>
      </c>
      <c r="D13976" s="30" t="s">
        <v>17</v>
      </c>
      <c r="E13976" s="30" t="s">
        <v>31</v>
      </c>
      <c r="F13976" s="30" t="s">
        <v>32</v>
      </c>
      <c r="G13976" s="30" t="s">
        <v>50</v>
      </c>
      <c r="H13976" s="32">
        <v>120</v>
      </c>
      <c r="I13976" s="30" t="s">
        <v>51</v>
      </c>
      <c r="J13976" s="41">
        <v>45197</v>
      </c>
      <c r="K13976" s="30" t="s">
        <v>22</v>
      </c>
    </row>
    <row r="13977" spans="1:11">
      <c r="A13977" s="33" t="s">
        <v>31563</v>
      </c>
      <c r="B13977" s="33" t="s">
        <v>31564</v>
      </c>
      <c r="C13977" s="33" t="s">
        <v>136</v>
      </c>
      <c r="D13977" s="33" t="s">
        <v>17</v>
      </c>
      <c r="E13977" s="33" t="s">
        <v>31</v>
      </c>
      <c r="F13977" s="33" t="s">
        <v>32</v>
      </c>
      <c r="G13977" s="33" t="s">
        <v>106</v>
      </c>
      <c r="H13977" s="35">
        <v>234</v>
      </c>
      <c r="I13977" s="33" t="s">
        <v>21</v>
      </c>
      <c r="J13977" s="42">
        <v>45098</v>
      </c>
      <c r="K13977" s="33" t="s">
        <v>22</v>
      </c>
    </row>
    <row r="13978" spans="1:11">
      <c r="A13978" s="30" t="s">
        <v>31565</v>
      </c>
      <c r="B13978" s="30" t="s">
        <v>31566</v>
      </c>
      <c r="C13978" s="30" t="s">
        <v>31567</v>
      </c>
      <c r="D13978" s="30" t="s">
        <v>17</v>
      </c>
      <c r="E13978" s="30" t="s">
        <v>18</v>
      </c>
      <c r="F13978" s="30" t="s">
        <v>19</v>
      </c>
      <c r="G13978" s="30" t="s">
        <v>20</v>
      </c>
      <c r="H13978" s="32">
        <v>362</v>
      </c>
      <c r="I13978" s="30" t="s">
        <v>21</v>
      </c>
      <c r="J13978" s="41">
        <v>45044</v>
      </c>
      <c r="K13978" s="30" t="s">
        <v>22</v>
      </c>
    </row>
    <row r="13979" spans="1:11">
      <c r="A13979" s="33" t="s">
        <v>31568</v>
      </c>
      <c r="B13979" s="33" t="s">
        <v>31569</v>
      </c>
      <c r="C13979" s="33" t="s">
        <v>2753</v>
      </c>
      <c r="D13979" s="33" t="s">
        <v>17</v>
      </c>
      <c r="E13979" s="33" t="s">
        <v>31</v>
      </c>
      <c r="F13979" s="33" t="s">
        <v>32</v>
      </c>
      <c r="G13979" s="33" t="s">
        <v>158</v>
      </c>
      <c r="H13979" s="35">
        <v>114</v>
      </c>
      <c r="I13979" s="33" t="s">
        <v>21</v>
      </c>
      <c r="J13979" s="42">
        <v>45222</v>
      </c>
      <c r="K13979" s="33" t="s">
        <v>22</v>
      </c>
    </row>
    <row r="13980" spans="1:11">
      <c r="A13980" s="30" t="s">
        <v>31570</v>
      </c>
      <c r="B13980" s="30" t="s">
        <v>31571</v>
      </c>
      <c r="C13980" s="30" t="s">
        <v>399</v>
      </c>
      <c r="D13980" s="30" t="s">
        <v>17</v>
      </c>
      <c r="E13980" s="30" t="s">
        <v>26</v>
      </c>
      <c r="F13980" s="30" t="s">
        <v>27</v>
      </c>
      <c r="G13980" s="30" t="s">
        <v>20</v>
      </c>
      <c r="H13980" s="32">
        <v>44</v>
      </c>
      <c r="I13980" s="30" t="s">
        <v>21</v>
      </c>
      <c r="J13980" s="41">
        <v>44993</v>
      </c>
      <c r="K13980" s="30" t="s">
        <v>22</v>
      </c>
    </row>
    <row r="13981" spans="1:11">
      <c r="A13981" s="33" t="s">
        <v>31572</v>
      </c>
      <c r="B13981" s="33" t="s">
        <v>31573</v>
      </c>
      <c r="C13981" s="33" t="s">
        <v>3914</v>
      </c>
      <c r="D13981" s="33" t="s">
        <v>17</v>
      </c>
      <c r="E13981" s="33" t="s">
        <v>67</v>
      </c>
      <c r="F13981" s="33" t="s">
        <v>68</v>
      </c>
      <c r="G13981" s="33" t="s">
        <v>106</v>
      </c>
      <c r="H13981" s="35">
        <v>5</v>
      </c>
      <c r="I13981" s="33" t="s">
        <v>21</v>
      </c>
      <c r="J13981" s="42">
        <v>45166</v>
      </c>
      <c r="K13981" s="33" t="s">
        <v>22</v>
      </c>
    </row>
    <row r="13982" spans="1:11">
      <c r="A13982" s="30" t="s">
        <v>31574</v>
      </c>
      <c r="B13982" s="30" t="s">
        <v>31575</v>
      </c>
      <c r="C13982" s="30" t="s">
        <v>93</v>
      </c>
      <c r="D13982" s="30" t="s">
        <v>17</v>
      </c>
      <c r="E13982" s="30" t="s">
        <v>18</v>
      </c>
      <c r="F13982" s="30" t="s">
        <v>19</v>
      </c>
      <c r="G13982" s="30" t="s">
        <v>140</v>
      </c>
      <c r="H13982" s="32">
        <v>450</v>
      </c>
      <c r="I13982" s="30" t="s">
        <v>51</v>
      </c>
      <c r="J13982" s="41">
        <v>45047</v>
      </c>
      <c r="K13982" s="30" t="s">
        <v>22</v>
      </c>
    </row>
    <row r="13983" spans="1:11">
      <c r="A13983" s="33" t="s">
        <v>31576</v>
      </c>
      <c r="B13983" s="33" t="s">
        <v>31577</v>
      </c>
      <c r="C13983" s="33" t="s">
        <v>31578</v>
      </c>
      <c r="D13983" s="33" t="s">
        <v>17</v>
      </c>
      <c r="E13983" s="33" t="s">
        <v>31</v>
      </c>
      <c r="F13983" s="33" t="s">
        <v>32</v>
      </c>
      <c r="G13983" s="33" t="s">
        <v>20</v>
      </c>
      <c r="H13983" s="35">
        <v>66</v>
      </c>
      <c r="I13983" s="33" t="s">
        <v>21</v>
      </c>
      <c r="J13983" s="42">
        <v>45260</v>
      </c>
      <c r="K13983" s="33" t="s">
        <v>22</v>
      </c>
    </row>
    <row r="13984" spans="1:11">
      <c r="A13984" s="30" t="s">
        <v>31579</v>
      </c>
      <c r="B13984" s="30" t="s">
        <v>31580</v>
      </c>
      <c r="C13984" s="30" t="s">
        <v>14457</v>
      </c>
      <c r="D13984" s="30" t="s">
        <v>17</v>
      </c>
      <c r="E13984" s="30" t="s">
        <v>67</v>
      </c>
      <c r="F13984" s="30" t="s">
        <v>68</v>
      </c>
      <c r="G13984" s="30" t="s">
        <v>140</v>
      </c>
      <c r="H13984" s="32">
        <v>534</v>
      </c>
      <c r="I13984" s="30" t="s">
        <v>51</v>
      </c>
      <c r="J13984" s="41">
        <v>45244</v>
      </c>
      <c r="K13984" s="30" t="s">
        <v>22</v>
      </c>
    </row>
    <row r="13985" spans="1:11">
      <c r="A13985" s="33" t="s">
        <v>31581</v>
      </c>
      <c r="B13985" s="33" t="s">
        <v>31582</v>
      </c>
      <c r="C13985" s="33" t="s">
        <v>31583</v>
      </c>
      <c r="D13985" s="33" t="s">
        <v>17</v>
      </c>
      <c r="E13985" s="33" t="s">
        <v>31</v>
      </c>
      <c r="F13985" s="33" t="s">
        <v>32</v>
      </c>
      <c r="G13985" s="33" t="s">
        <v>106</v>
      </c>
      <c r="H13985" s="35">
        <v>11</v>
      </c>
      <c r="I13985" s="33" t="s">
        <v>21</v>
      </c>
      <c r="J13985" s="42">
        <v>45083</v>
      </c>
      <c r="K13985" s="33" t="s">
        <v>22</v>
      </c>
    </row>
    <row r="13986" spans="1:11">
      <c r="A13986" s="30" t="s">
        <v>31584</v>
      </c>
      <c r="B13986" s="30" t="s">
        <v>31585</v>
      </c>
      <c r="C13986" s="30" t="s">
        <v>31586</v>
      </c>
      <c r="D13986" s="30" t="s">
        <v>17</v>
      </c>
      <c r="E13986" s="30" t="s">
        <v>26</v>
      </c>
      <c r="F13986" s="30" t="s">
        <v>27</v>
      </c>
      <c r="G13986" s="30" t="s">
        <v>140</v>
      </c>
      <c r="H13986" s="32">
        <v>98</v>
      </c>
      <c r="I13986" s="30" t="s">
        <v>51</v>
      </c>
      <c r="J13986" s="41">
        <v>45026</v>
      </c>
      <c r="K13986" s="30" t="s">
        <v>22</v>
      </c>
    </row>
    <row r="13987" spans="1:11">
      <c r="A13987" s="33" t="s">
        <v>31587</v>
      </c>
      <c r="B13987" s="33" t="s">
        <v>31588</v>
      </c>
      <c r="C13987" s="33" t="s">
        <v>75</v>
      </c>
      <c r="D13987" s="33" t="s">
        <v>17</v>
      </c>
      <c r="E13987" s="33" t="s">
        <v>212</v>
      </c>
      <c r="F13987" s="33" t="s">
        <v>213</v>
      </c>
      <c r="G13987" s="33" t="s">
        <v>20</v>
      </c>
      <c r="H13987" s="35">
        <v>180</v>
      </c>
      <c r="I13987" s="33" t="s">
        <v>21</v>
      </c>
      <c r="J13987" s="42">
        <v>44957</v>
      </c>
      <c r="K13987" s="33" t="s">
        <v>22</v>
      </c>
    </row>
    <row r="13988" spans="1:11">
      <c r="A13988" s="30" t="s">
        <v>31589</v>
      </c>
      <c r="B13988" s="30" t="s">
        <v>31590</v>
      </c>
      <c r="C13988" s="30" t="s">
        <v>14483</v>
      </c>
      <c r="D13988" s="30" t="s">
        <v>17</v>
      </c>
      <c r="E13988" s="30" t="s">
        <v>31</v>
      </c>
      <c r="F13988" s="30" t="s">
        <v>32</v>
      </c>
      <c r="G13988" s="30" t="s">
        <v>140</v>
      </c>
      <c r="H13988" s="32">
        <v>30</v>
      </c>
      <c r="I13988" s="30" t="s">
        <v>51</v>
      </c>
      <c r="J13988" s="41">
        <v>45290</v>
      </c>
      <c r="K13988" s="30" t="s">
        <v>22</v>
      </c>
    </row>
    <row r="13989" spans="1:11">
      <c r="A13989" s="33" t="s">
        <v>31591</v>
      </c>
      <c r="B13989" s="33" t="s">
        <v>31592</v>
      </c>
      <c r="C13989" s="33" t="s">
        <v>8007</v>
      </c>
      <c r="D13989" s="33" t="s">
        <v>17</v>
      </c>
      <c r="E13989" s="33" t="s">
        <v>212</v>
      </c>
      <c r="F13989" s="33" t="s">
        <v>213</v>
      </c>
      <c r="G13989" s="33" t="s">
        <v>20</v>
      </c>
      <c r="H13989" s="35">
        <v>52</v>
      </c>
      <c r="I13989" s="33" t="s">
        <v>21</v>
      </c>
      <c r="J13989" s="42">
        <v>45211</v>
      </c>
      <c r="K13989" s="33" t="s">
        <v>22</v>
      </c>
    </row>
    <row r="13990" spans="1:11">
      <c r="A13990" s="30" t="s">
        <v>31593</v>
      </c>
      <c r="B13990" s="30" t="s">
        <v>31594</v>
      </c>
      <c r="C13990" s="30" t="s">
        <v>925</v>
      </c>
      <c r="D13990" s="30" t="s">
        <v>17</v>
      </c>
      <c r="E13990" s="30" t="s">
        <v>31</v>
      </c>
      <c r="F13990" s="30" t="s">
        <v>32</v>
      </c>
      <c r="G13990" s="30" t="s">
        <v>158</v>
      </c>
      <c r="H13990" s="32">
        <v>192</v>
      </c>
      <c r="I13990" s="30" t="s">
        <v>21</v>
      </c>
      <c r="J13990" s="41">
        <v>45001</v>
      </c>
      <c r="K13990" s="30" t="s">
        <v>22</v>
      </c>
    </row>
    <row r="13991" spans="1:11">
      <c r="A13991" s="33" t="s">
        <v>31595</v>
      </c>
      <c r="B13991" s="33" t="s">
        <v>31596</v>
      </c>
      <c r="C13991" s="33" t="s">
        <v>2802</v>
      </c>
      <c r="D13991" s="33" t="s">
        <v>17</v>
      </c>
      <c r="E13991" s="33" t="s">
        <v>31</v>
      </c>
      <c r="F13991" s="33" t="s">
        <v>32</v>
      </c>
      <c r="G13991" s="33" t="s">
        <v>158</v>
      </c>
      <c r="H13991" s="35">
        <v>12</v>
      </c>
      <c r="I13991" s="33" t="s">
        <v>21</v>
      </c>
      <c r="J13991" s="42">
        <v>44988</v>
      </c>
      <c r="K13991" s="33" t="s">
        <v>22</v>
      </c>
    </row>
    <row r="13992" spans="1:11">
      <c r="A13992" s="30" t="s">
        <v>31597</v>
      </c>
      <c r="B13992" s="30" t="s">
        <v>31598</v>
      </c>
      <c r="C13992" s="30" t="s">
        <v>96</v>
      </c>
      <c r="D13992" s="30" t="s">
        <v>17</v>
      </c>
      <c r="E13992" s="30" t="s">
        <v>26</v>
      </c>
      <c r="F13992" s="30" t="s">
        <v>27</v>
      </c>
      <c r="G13992" s="30" t="s">
        <v>20</v>
      </c>
      <c r="H13992" s="32">
        <v>508</v>
      </c>
      <c r="I13992" s="30" t="s">
        <v>21</v>
      </c>
      <c r="J13992" s="41">
        <v>44994</v>
      </c>
      <c r="K13992" s="30" t="s">
        <v>22</v>
      </c>
    </row>
    <row r="13993" spans="1:11">
      <c r="A13993" s="33" t="s">
        <v>31599</v>
      </c>
      <c r="B13993" s="33" t="s">
        <v>31600</v>
      </c>
      <c r="C13993" s="33" t="s">
        <v>3296</v>
      </c>
      <c r="D13993" s="33" t="s">
        <v>17</v>
      </c>
      <c r="E13993" s="33" t="s">
        <v>212</v>
      </c>
      <c r="F13993" s="33" t="s">
        <v>213</v>
      </c>
      <c r="G13993" s="33" t="s">
        <v>20</v>
      </c>
      <c r="H13993" s="35">
        <v>231</v>
      </c>
      <c r="I13993" s="33" t="s">
        <v>21</v>
      </c>
      <c r="J13993" s="42">
        <v>45041</v>
      </c>
      <c r="K13993" s="33" t="s">
        <v>22</v>
      </c>
    </row>
    <row r="13994" spans="1:11">
      <c r="A13994" s="30" t="s">
        <v>31601</v>
      </c>
      <c r="B13994" s="30" t="s">
        <v>31602</v>
      </c>
      <c r="C13994" s="30" t="s">
        <v>231</v>
      </c>
      <c r="D13994" s="30" t="s">
        <v>17</v>
      </c>
      <c r="E13994" s="30" t="s">
        <v>26</v>
      </c>
      <c r="F13994" s="30" t="s">
        <v>27</v>
      </c>
      <c r="G13994" s="30" t="s">
        <v>20</v>
      </c>
      <c r="H13994" s="32">
        <v>14</v>
      </c>
      <c r="I13994" s="30" t="s">
        <v>21</v>
      </c>
      <c r="J13994" s="41">
        <v>45272</v>
      </c>
      <c r="K13994" s="30" t="s">
        <v>22</v>
      </c>
    </row>
    <row r="13995" spans="1:11">
      <c r="A13995" s="33" t="s">
        <v>31603</v>
      </c>
      <c r="B13995" s="33" t="s">
        <v>31604</v>
      </c>
      <c r="C13995" s="33" t="s">
        <v>5352</v>
      </c>
      <c r="D13995" s="33" t="s">
        <v>17</v>
      </c>
      <c r="E13995" s="33" t="s">
        <v>31</v>
      </c>
      <c r="F13995" s="33" t="s">
        <v>32</v>
      </c>
      <c r="G13995" s="33" t="s">
        <v>112</v>
      </c>
      <c r="H13995" s="35">
        <v>0</v>
      </c>
      <c r="I13995" s="33" t="s">
        <v>21</v>
      </c>
      <c r="J13995" s="42">
        <v>45012</v>
      </c>
      <c r="K13995" s="33" t="s">
        <v>22</v>
      </c>
    </row>
    <row r="13996" spans="1:11">
      <c r="A13996" s="30" t="s">
        <v>31605</v>
      </c>
      <c r="B13996" s="30" t="s">
        <v>31606</v>
      </c>
      <c r="C13996" s="30" t="s">
        <v>318</v>
      </c>
      <c r="D13996" s="30" t="s">
        <v>17</v>
      </c>
      <c r="E13996" s="30" t="s">
        <v>18</v>
      </c>
      <c r="F13996" s="30" t="s">
        <v>19</v>
      </c>
      <c r="G13996" s="30" t="s">
        <v>20</v>
      </c>
      <c r="H13996" s="32">
        <v>256</v>
      </c>
      <c r="I13996" s="30" t="s">
        <v>21</v>
      </c>
      <c r="J13996" s="41">
        <v>45133</v>
      </c>
      <c r="K13996" s="30" t="s">
        <v>22</v>
      </c>
    </row>
    <row r="13997" spans="1:11">
      <c r="A13997" s="33" t="s">
        <v>31607</v>
      </c>
      <c r="B13997" s="33" t="s">
        <v>31608</v>
      </c>
      <c r="C13997" s="33" t="s">
        <v>203</v>
      </c>
      <c r="D13997" s="33" t="s">
        <v>17</v>
      </c>
      <c r="E13997" s="33" t="s">
        <v>67</v>
      </c>
      <c r="F13997" s="33" t="s">
        <v>68</v>
      </c>
      <c r="G13997" s="33" t="s">
        <v>158</v>
      </c>
      <c r="H13997" s="35">
        <v>32</v>
      </c>
      <c r="I13997" s="33" t="s">
        <v>51</v>
      </c>
      <c r="J13997" s="42">
        <v>45145</v>
      </c>
      <c r="K13997" s="33" t="s">
        <v>22</v>
      </c>
    </row>
    <row r="13998" spans="1:11">
      <c r="A13998" s="30" t="s">
        <v>31609</v>
      </c>
      <c r="B13998" s="30" t="s">
        <v>31610</v>
      </c>
      <c r="C13998" s="30" t="s">
        <v>9255</v>
      </c>
      <c r="D13998" s="30" t="s">
        <v>17</v>
      </c>
      <c r="E13998" s="30" t="s">
        <v>18</v>
      </c>
      <c r="F13998" s="30" t="s">
        <v>19</v>
      </c>
      <c r="G13998" s="30" t="s">
        <v>20</v>
      </c>
      <c r="H13998" s="32">
        <v>740</v>
      </c>
      <c r="I13998" s="30" t="s">
        <v>21</v>
      </c>
      <c r="J13998" s="41">
        <v>44984</v>
      </c>
      <c r="K13998" s="30" t="s">
        <v>22</v>
      </c>
    </row>
    <row r="13999" spans="1:11">
      <c r="A13999" s="33" t="s">
        <v>31611</v>
      </c>
      <c r="B13999" s="33" t="s">
        <v>31612</v>
      </c>
      <c r="C13999" s="33" t="s">
        <v>1406</v>
      </c>
      <c r="D13999" s="33" t="s">
        <v>17</v>
      </c>
      <c r="E13999" s="33" t="s">
        <v>18</v>
      </c>
      <c r="F13999" s="33" t="s">
        <v>19</v>
      </c>
      <c r="G13999" s="33" t="s">
        <v>140</v>
      </c>
      <c r="H13999" s="35">
        <v>383</v>
      </c>
      <c r="I13999" s="33" t="s">
        <v>51</v>
      </c>
      <c r="J13999" s="42">
        <v>45281</v>
      </c>
      <c r="K13999" s="33" t="s">
        <v>22</v>
      </c>
    </row>
    <row r="14000" spans="1:11">
      <c r="A14000" s="30" t="s">
        <v>31613</v>
      </c>
      <c r="B14000" s="30" t="s">
        <v>31614</v>
      </c>
      <c r="C14000" s="30" t="s">
        <v>75</v>
      </c>
      <c r="D14000" s="30" t="s">
        <v>17</v>
      </c>
      <c r="E14000" s="30" t="s">
        <v>26</v>
      </c>
      <c r="F14000" s="30" t="s">
        <v>27</v>
      </c>
      <c r="G14000" s="30" t="s">
        <v>20</v>
      </c>
      <c r="H14000" s="32">
        <v>47</v>
      </c>
      <c r="I14000" s="30" t="s">
        <v>21</v>
      </c>
      <c r="J14000" s="41">
        <v>45119</v>
      </c>
      <c r="K14000" s="30" t="s">
        <v>22</v>
      </c>
    </row>
    <row r="14001" spans="1:11">
      <c r="A14001" s="33" t="s">
        <v>31615</v>
      </c>
      <c r="B14001" s="33" t="s">
        <v>31616</v>
      </c>
      <c r="C14001" s="33" t="s">
        <v>31617</v>
      </c>
      <c r="D14001" s="33" t="s">
        <v>17</v>
      </c>
      <c r="E14001" s="33" t="s">
        <v>31</v>
      </c>
      <c r="F14001" s="33" t="s">
        <v>32</v>
      </c>
      <c r="G14001" s="33" t="s">
        <v>20</v>
      </c>
      <c r="H14001" s="35">
        <v>159</v>
      </c>
      <c r="I14001" s="33" t="s">
        <v>21</v>
      </c>
      <c r="J14001" s="42">
        <v>45047</v>
      </c>
      <c r="K14001" s="33" t="s">
        <v>22</v>
      </c>
    </row>
    <row r="14002" spans="1:11">
      <c r="A14002" s="30" t="s">
        <v>31618</v>
      </c>
      <c r="B14002" s="30" t="s">
        <v>31619</v>
      </c>
      <c r="C14002" s="30" t="s">
        <v>96</v>
      </c>
      <c r="D14002" s="30" t="s">
        <v>17</v>
      </c>
      <c r="E14002" s="30" t="s">
        <v>67</v>
      </c>
      <c r="F14002" s="30" t="s">
        <v>68</v>
      </c>
      <c r="G14002" s="30" t="s">
        <v>106</v>
      </c>
      <c r="H14002" s="32">
        <v>6</v>
      </c>
      <c r="I14002" s="30" t="s">
        <v>21</v>
      </c>
      <c r="J14002" s="41">
        <v>45142</v>
      </c>
      <c r="K14002" s="30" t="s">
        <v>22</v>
      </c>
    </row>
    <row r="14003" spans="1:11">
      <c r="A14003" s="33" t="s">
        <v>31620</v>
      </c>
      <c r="B14003" s="33" t="s">
        <v>31621</v>
      </c>
      <c r="C14003" s="33" t="s">
        <v>96</v>
      </c>
      <c r="D14003" s="33" t="s">
        <v>17</v>
      </c>
      <c r="E14003" s="33" t="s">
        <v>45</v>
      </c>
      <c r="F14003" s="33" t="s">
        <v>46</v>
      </c>
      <c r="G14003" s="33" t="s">
        <v>106</v>
      </c>
      <c r="H14003" s="35">
        <v>16</v>
      </c>
      <c r="I14003" s="33" t="s">
        <v>21</v>
      </c>
      <c r="J14003" s="42">
        <v>45268</v>
      </c>
      <c r="K14003" s="33" t="s">
        <v>22</v>
      </c>
    </row>
    <row r="14004" spans="1:11">
      <c r="A14004" s="30" t="s">
        <v>31622</v>
      </c>
      <c r="B14004" s="30" t="s">
        <v>31623</v>
      </c>
      <c r="C14004" s="30" t="s">
        <v>28253</v>
      </c>
      <c r="D14004" s="30" t="s">
        <v>17</v>
      </c>
      <c r="E14004" s="30" t="s">
        <v>67</v>
      </c>
      <c r="F14004" s="30" t="s">
        <v>68</v>
      </c>
      <c r="G14004" s="30" t="s">
        <v>140</v>
      </c>
      <c r="H14004" s="32">
        <v>203</v>
      </c>
      <c r="I14004" s="30" t="s">
        <v>51</v>
      </c>
      <c r="J14004" s="41">
        <v>45174</v>
      </c>
      <c r="K14004" s="30" t="s">
        <v>22</v>
      </c>
    </row>
    <row r="14005" spans="1:11">
      <c r="A14005" s="33" t="s">
        <v>31624</v>
      </c>
      <c r="B14005" s="33" t="s">
        <v>31625</v>
      </c>
      <c r="C14005" s="33" t="s">
        <v>31626</v>
      </c>
      <c r="D14005" s="33" t="s">
        <v>17</v>
      </c>
      <c r="E14005" s="33" t="s">
        <v>31</v>
      </c>
      <c r="F14005" s="33" t="s">
        <v>32</v>
      </c>
      <c r="G14005" s="33" t="s">
        <v>158</v>
      </c>
      <c r="H14005" s="35">
        <v>50</v>
      </c>
      <c r="I14005" s="33" t="s">
        <v>51</v>
      </c>
      <c r="J14005" s="42">
        <v>45264</v>
      </c>
      <c r="K14005" s="33" t="s">
        <v>22</v>
      </c>
    </row>
    <row r="14006" spans="1:11">
      <c r="A14006" s="30" t="s">
        <v>31627</v>
      </c>
      <c r="B14006" s="30" t="s">
        <v>31628</v>
      </c>
      <c r="C14006" s="30" t="s">
        <v>1003</v>
      </c>
      <c r="D14006" s="30" t="s">
        <v>17</v>
      </c>
      <c r="E14006" s="30" t="s">
        <v>18</v>
      </c>
      <c r="F14006" s="30" t="s">
        <v>19</v>
      </c>
      <c r="G14006" s="30" t="s">
        <v>158</v>
      </c>
      <c r="H14006" s="32">
        <v>265</v>
      </c>
      <c r="I14006" s="30" t="s">
        <v>21</v>
      </c>
      <c r="J14006" s="41">
        <v>45127</v>
      </c>
      <c r="K14006" s="30" t="s">
        <v>22</v>
      </c>
    </row>
    <row r="14007" spans="1:11">
      <c r="A14007" s="33" t="s">
        <v>31629</v>
      </c>
      <c r="B14007" s="33" t="s">
        <v>31630</v>
      </c>
      <c r="C14007" s="33" t="s">
        <v>31631</v>
      </c>
      <c r="D14007" s="33" t="s">
        <v>17</v>
      </c>
      <c r="E14007" s="33" t="s">
        <v>67</v>
      </c>
      <c r="F14007" s="33" t="s">
        <v>68</v>
      </c>
      <c r="G14007" s="33" t="s">
        <v>20</v>
      </c>
      <c r="H14007" s="35">
        <v>20</v>
      </c>
      <c r="I14007" s="33" t="s">
        <v>21</v>
      </c>
      <c r="J14007" s="42">
        <v>45203</v>
      </c>
      <c r="K14007" s="33" t="s">
        <v>22</v>
      </c>
    </row>
    <row r="14008" spans="1:11">
      <c r="A14008" s="30" t="s">
        <v>31632</v>
      </c>
      <c r="B14008" s="30" t="s">
        <v>31633</v>
      </c>
      <c r="C14008" s="30" t="s">
        <v>157</v>
      </c>
      <c r="D14008" s="30" t="s">
        <v>17</v>
      </c>
      <c r="E14008" s="30" t="s">
        <v>31</v>
      </c>
      <c r="F14008" s="30" t="s">
        <v>32</v>
      </c>
      <c r="G14008" s="30" t="s">
        <v>158</v>
      </c>
      <c r="H14008" s="32">
        <v>71</v>
      </c>
      <c r="I14008" s="30" t="s">
        <v>21</v>
      </c>
      <c r="J14008" s="41">
        <v>44977</v>
      </c>
      <c r="K14008" s="30" t="s">
        <v>22</v>
      </c>
    </row>
    <row r="14009" spans="1:11">
      <c r="A14009" s="33" t="s">
        <v>31634</v>
      </c>
      <c r="B14009" s="33" t="s">
        <v>31635</v>
      </c>
      <c r="C14009" s="33" t="s">
        <v>787</v>
      </c>
      <c r="D14009" s="33" t="s">
        <v>17</v>
      </c>
      <c r="E14009" s="33" t="s">
        <v>26</v>
      </c>
      <c r="F14009" s="33" t="s">
        <v>27</v>
      </c>
      <c r="G14009" s="33" t="s">
        <v>50</v>
      </c>
      <c r="H14009" s="35">
        <v>34</v>
      </c>
      <c r="I14009" s="33" t="s">
        <v>51</v>
      </c>
      <c r="J14009" s="42">
        <v>45002</v>
      </c>
      <c r="K14009" s="33" t="s">
        <v>22</v>
      </c>
    </row>
    <row r="14010" spans="1:11">
      <c r="A14010" s="30" t="s">
        <v>31636</v>
      </c>
      <c r="B14010" s="30" t="s">
        <v>31637</v>
      </c>
      <c r="C14010" s="30" t="s">
        <v>78</v>
      </c>
      <c r="D14010" s="30" t="s">
        <v>17</v>
      </c>
      <c r="E14010" s="30" t="s">
        <v>26</v>
      </c>
      <c r="F14010" s="30" t="s">
        <v>27</v>
      </c>
      <c r="G14010" s="30" t="s">
        <v>20</v>
      </c>
      <c r="H14010" s="32">
        <v>24</v>
      </c>
      <c r="I14010" s="30" t="s">
        <v>21</v>
      </c>
      <c r="J14010" s="41">
        <v>45027</v>
      </c>
      <c r="K14010" s="30" t="s">
        <v>22</v>
      </c>
    </row>
    <row r="14011" spans="1:11">
      <c r="A14011" s="33" t="s">
        <v>31638</v>
      </c>
      <c r="B14011" s="33" t="s">
        <v>31639</v>
      </c>
      <c r="C14011" s="33" t="s">
        <v>20089</v>
      </c>
      <c r="D14011" s="33" t="s">
        <v>17</v>
      </c>
      <c r="E14011" s="33" t="s">
        <v>31</v>
      </c>
      <c r="F14011" s="33" t="s">
        <v>32</v>
      </c>
      <c r="G14011" s="33" t="s">
        <v>140</v>
      </c>
      <c r="H14011" s="35">
        <v>10</v>
      </c>
      <c r="I14011" s="33" t="s">
        <v>51</v>
      </c>
      <c r="J14011" s="42">
        <v>45079</v>
      </c>
      <c r="K14011" s="33" t="s">
        <v>22</v>
      </c>
    </row>
    <row r="14012" spans="1:11">
      <c r="A14012" s="30" t="s">
        <v>31640</v>
      </c>
      <c r="B14012" s="30" t="s">
        <v>31641</v>
      </c>
      <c r="C14012" s="30" t="s">
        <v>647</v>
      </c>
      <c r="D14012" s="30" t="s">
        <v>17</v>
      </c>
      <c r="E14012" s="30" t="s">
        <v>18</v>
      </c>
      <c r="F14012" s="30" t="s">
        <v>19</v>
      </c>
      <c r="G14012" s="30" t="s">
        <v>158</v>
      </c>
      <c r="H14012" s="32">
        <v>1020</v>
      </c>
      <c r="I14012" s="30" t="s">
        <v>51</v>
      </c>
      <c r="J14012" s="41">
        <v>45224</v>
      </c>
      <c r="K14012" s="30" t="s">
        <v>22</v>
      </c>
    </row>
    <row r="14013" spans="1:11">
      <c r="A14013" s="33" t="s">
        <v>31642</v>
      </c>
      <c r="B14013" s="33" t="s">
        <v>31643</v>
      </c>
      <c r="C14013" s="33" t="s">
        <v>8775</v>
      </c>
      <c r="D14013" s="33" t="s">
        <v>17</v>
      </c>
      <c r="E14013" s="33" t="s">
        <v>26</v>
      </c>
      <c r="F14013" s="33" t="s">
        <v>27</v>
      </c>
      <c r="G14013" s="33" t="s">
        <v>140</v>
      </c>
      <c r="H14013" s="35">
        <v>18</v>
      </c>
      <c r="I14013" s="33" t="s">
        <v>51</v>
      </c>
      <c r="J14013" s="42">
        <v>45041</v>
      </c>
      <c r="K14013" s="33" t="s">
        <v>22</v>
      </c>
    </row>
    <row r="14014" spans="1:11">
      <c r="A14014" s="30" t="s">
        <v>31644</v>
      </c>
      <c r="B14014" s="30" t="s">
        <v>31645</v>
      </c>
      <c r="C14014" s="30" t="s">
        <v>93</v>
      </c>
      <c r="D14014" s="30" t="s">
        <v>17</v>
      </c>
      <c r="E14014" s="30" t="s">
        <v>26</v>
      </c>
      <c r="F14014" s="30" t="s">
        <v>27</v>
      </c>
      <c r="G14014" s="30" t="s">
        <v>20</v>
      </c>
      <c r="H14014" s="32">
        <v>18</v>
      </c>
      <c r="I14014" s="30" t="s">
        <v>21</v>
      </c>
      <c r="J14014" s="41">
        <v>44943</v>
      </c>
      <c r="K14014" s="30" t="s">
        <v>22</v>
      </c>
    </row>
    <row r="14015" spans="1:11">
      <c r="A14015" s="33" t="s">
        <v>31646</v>
      </c>
      <c r="B14015" s="33" t="s">
        <v>31647</v>
      </c>
      <c r="C14015" s="33" t="s">
        <v>29943</v>
      </c>
      <c r="D14015" s="33" t="s">
        <v>17</v>
      </c>
      <c r="E14015" s="33" t="s">
        <v>26</v>
      </c>
      <c r="F14015" s="33" t="s">
        <v>27</v>
      </c>
      <c r="G14015" s="33" t="s">
        <v>20</v>
      </c>
      <c r="H14015" s="35">
        <v>24</v>
      </c>
      <c r="I14015" s="33" t="s">
        <v>21</v>
      </c>
      <c r="J14015" s="42">
        <v>45063</v>
      </c>
      <c r="K14015" s="33" t="s">
        <v>22</v>
      </c>
    </row>
    <row r="14016" spans="1:11">
      <c r="A14016" s="30" t="s">
        <v>31648</v>
      </c>
      <c r="B14016" s="30" t="s">
        <v>31649</v>
      </c>
      <c r="C14016" s="30" t="s">
        <v>18162</v>
      </c>
      <c r="D14016" s="30" t="s">
        <v>17</v>
      </c>
      <c r="E14016" s="30" t="s">
        <v>26</v>
      </c>
      <c r="F14016" s="30" t="s">
        <v>27</v>
      </c>
      <c r="G14016" s="30" t="s">
        <v>106</v>
      </c>
      <c r="H14016" s="32">
        <v>4</v>
      </c>
      <c r="I14016" s="30" t="s">
        <v>21</v>
      </c>
      <c r="J14016" s="41">
        <v>45168</v>
      </c>
      <c r="K14016" s="30" t="s">
        <v>22</v>
      </c>
    </row>
    <row r="14017" spans="1:11">
      <c r="A14017" s="33" t="s">
        <v>31650</v>
      </c>
      <c r="B14017" s="33" t="s">
        <v>31651</v>
      </c>
      <c r="C14017" s="33" t="s">
        <v>187</v>
      </c>
      <c r="D14017" s="33" t="s">
        <v>17</v>
      </c>
      <c r="E14017" s="33" t="s">
        <v>67</v>
      </c>
      <c r="F14017" s="33" t="s">
        <v>68</v>
      </c>
      <c r="G14017" s="33" t="s">
        <v>140</v>
      </c>
      <c r="H14017" s="35">
        <v>92</v>
      </c>
      <c r="I14017" s="33" t="s">
        <v>51</v>
      </c>
      <c r="J14017" s="42">
        <v>45272</v>
      </c>
      <c r="K14017" s="33" t="s">
        <v>22</v>
      </c>
    </row>
    <row r="14018" spans="1:11">
      <c r="A14018" s="30" t="s">
        <v>31652</v>
      </c>
      <c r="B14018" s="30" t="s">
        <v>31653</v>
      </c>
      <c r="C14018" s="30" t="s">
        <v>3253</v>
      </c>
      <c r="D14018" s="30" t="s">
        <v>17</v>
      </c>
      <c r="E14018" s="30" t="s">
        <v>67</v>
      </c>
      <c r="F14018" s="30" t="s">
        <v>68</v>
      </c>
      <c r="G14018" s="30" t="s">
        <v>158</v>
      </c>
      <c r="H14018" s="32">
        <v>72</v>
      </c>
      <c r="I14018" s="30" t="s">
        <v>21</v>
      </c>
      <c r="J14018" s="41">
        <v>45000</v>
      </c>
      <c r="K14018" s="30" t="s">
        <v>22</v>
      </c>
    </row>
    <row r="14019" spans="1:11">
      <c r="A14019" s="33" t="s">
        <v>31654</v>
      </c>
      <c r="B14019" s="33" t="s">
        <v>31655</v>
      </c>
      <c r="C14019" s="33" t="s">
        <v>3934</v>
      </c>
      <c r="D14019" s="33" t="s">
        <v>17</v>
      </c>
      <c r="E14019" s="33" t="s">
        <v>45</v>
      </c>
      <c r="F14019" s="33" t="s">
        <v>46</v>
      </c>
      <c r="G14019" s="33" t="s">
        <v>158</v>
      </c>
      <c r="H14019" s="35">
        <v>77</v>
      </c>
      <c r="I14019" s="33" t="s">
        <v>51</v>
      </c>
      <c r="J14019" s="42">
        <v>45140</v>
      </c>
      <c r="K14019" s="33" t="s">
        <v>22</v>
      </c>
    </row>
    <row r="14020" spans="1:11">
      <c r="A14020" s="30" t="s">
        <v>31656</v>
      </c>
      <c r="B14020" s="30" t="s">
        <v>31657</v>
      </c>
      <c r="C14020" s="30" t="s">
        <v>96</v>
      </c>
      <c r="D14020" s="30" t="s">
        <v>17</v>
      </c>
      <c r="E14020" s="30" t="s">
        <v>31</v>
      </c>
      <c r="F14020" s="30" t="s">
        <v>32</v>
      </c>
      <c r="G14020" s="30" t="s">
        <v>20</v>
      </c>
      <c r="H14020" s="32">
        <v>240</v>
      </c>
      <c r="I14020" s="30" t="s">
        <v>21</v>
      </c>
      <c r="J14020" s="41">
        <v>45069</v>
      </c>
      <c r="K14020" s="30" t="s">
        <v>22</v>
      </c>
    </row>
    <row r="14021" spans="1:11">
      <c r="A14021" s="33" t="s">
        <v>31658</v>
      </c>
      <c r="B14021" s="33" t="s">
        <v>31659</v>
      </c>
      <c r="C14021" s="33" t="s">
        <v>136</v>
      </c>
      <c r="D14021" s="33" t="s">
        <v>17</v>
      </c>
      <c r="E14021" s="33" t="s">
        <v>18</v>
      </c>
      <c r="F14021" s="33" t="s">
        <v>19</v>
      </c>
      <c r="G14021" s="33" t="s">
        <v>20</v>
      </c>
      <c r="H14021" s="35">
        <v>238</v>
      </c>
      <c r="I14021" s="33" t="s">
        <v>21</v>
      </c>
      <c r="J14021" s="42">
        <v>45138</v>
      </c>
      <c r="K14021" s="33" t="s">
        <v>22</v>
      </c>
    </row>
    <row r="14022" spans="1:11">
      <c r="A14022" s="30" t="s">
        <v>31660</v>
      </c>
      <c r="B14022" s="30" t="s">
        <v>31661</v>
      </c>
      <c r="C14022" s="30" t="s">
        <v>31662</v>
      </c>
      <c r="D14022" s="30" t="s">
        <v>17</v>
      </c>
      <c r="E14022" s="30" t="s">
        <v>26</v>
      </c>
      <c r="F14022" s="30" t="s">
        <v>27</v>
      </c>
      <c r="G14022" s="30" t="s">
        <v>140</v>
      </c>
      <c r="H14022" s="32">
        <v>270</v>
      </c>
      <c r="I14022" s="30" t="s">
        <v>51</v>
      </c>
      <c r="J14022" s="41">
        <v>44988</v>
      </c>
      <c r="K14022" s="30" t="s">
        <v>22</v>
      </c>
    </row>
    <row r="14023" spans="1:11">
      <c r="A14023" s="33" t="s">
        <v>31663</v>
      </c>
      <c r="B14023" s="33" t="s">
        <v>31664</v>
      </c>
      <c r="C14023" s="33" t="s">
        <v>31665</v>
      </c>
      <c r="D14023" s="33" t="s">
        <v>17</v>
      </c>
      <c r="E14023" s="33" t="s">
        <v>31</v>
      </c>
      <c r="F14023" s="33" t="s">
        <v>32</v>
      </c>
      <c r="G14023" s="33" t="s">
        <v>20</v>
      </c>
      <c r="H14023" s="35">
        <v>30</v>
      </c>
      <c r="I14023" s="33" t="s">
        <v>21</v>
      </c>
      <c r="J14023" s="42">
        <v>44970</v>
      </c>
      <c r="K14023" s="33" t="s">
        <v>22</v>
      </c>
    </row>
    <row r="14024" spans="1:11">
      <c r="A14024" s="30" t="s">
        <v>31666</v>
      </c>
      <c r="B14024" s="30" t="s">
        <v>31667</v>
      </c>
      <c r="C14024" s="30" t="s">
        <v>20492</v>
      </c>
      <c r="D14024" s="30" t="s">
        <v>17</v>
      </c>
      <c r="E14024" s="30" t="s">
        <v>26</v>
      </c>
      <c r="F14024" s="30" t="s">
        <v>27</v>
      </c>
      <c r="G14024" s="30" t="s">
        <v>106</v>
      </c>
      <c r="H14024" s="32">
        <v>15</v>
      </c>
      <c r="I14024" s="30" t="s">
        <v>21</v>
      </c>
      <c r="J14024" s="41">
        <v>45107</v>
      </c>
      <c r="K14024" s="30" t="s">
        <v>22</v>
      </c>
    </row>
    <row r="14025" spans="1:11">
      <c r="A14025" s="33" t="s">
        <v>31668</v>
      </c>
      <c r="B14025" s="33" t="s">
        <v>31669</v>
      </c>
      <c r="C14025" s="33" t="s">
        <v>75</v>
      </c>
      <c r="D14025" s="33" t="s">
        <v>17</v>
      </c>
      <c r="E14025" s="33" t="s">
        <v>26</v>
      </c>
      <c r="F14025" s="33" t="s">
        <v>27</v>
      </c>
      <c r="G14025" s="33" t="s">
        <v>20</v>
      </c>
      <c r="H14025" s="35">
        <v>22</v>
      </c>
      <c r="I14025" s="33" t="s">
        <v>21</v>
      </c>
      <c r="J14025" s="42">
        <v>45106</v>
      </c>
      <c r="K14025" s="33" t="s">
        <v>22</v>
      </c>
    </row>
    <row r="14026" spans="1:11">
      <c r="A14026" s="30" t="s">
        <v>31670</v>
      </c>
      <c r="B14026" s="30" t="s">
        <v>31671</v>
      </c>
      <c r="C14026" s="30" t="s">
        <v>27211</v>
      </c>
      <c r="D14026" s="30" t="s">
        <v>17</v>
      </c>
      <c r="E14026" s="30" t="s">
        <v>67</v>
      </c>
      <c r="F14026" s="30" t="s">
        <v>68</v>
      </c>
      <c r="G14026" s="30" t="s">
        <v>140</v>
      </c>
      <c r="H14026" s="32">
        <v>78</v>
      </c>
      <c r="I14026" s="30" t="s">
        <v>51</v>
      </c>
      <c r="J14026" s="41">
        <v>45245</v>
      </c>
      <c r="K14026" s="30" t="s">
        <v>22</v>
      </c>
    </row>
    <row r="14027" spans="1:11">
      <c r="A14027" s="33" t="s">
        <v>31672</v>
      </c>
      <c r="B14027" s="33" t="s">
        <v>31673</v>
      </c>
      <c r="C14027" s="33" t="s">
        <v>6585</v>
      </c>
      <c r="D14027" s="33" t="s">
        <v>17</v>
      </c>
      <c r="E14027" s="33" t="s">
        <v>26</v>
      </c>
      <c r="F14027" s="33" t="s">
        <v>27</v>
      </c>
      <c r="G14027" s="33" t="s">
        <v>20</v>
      </c>
      <c r="H14027" s="35">
        <v>29</v>
      </c>
      <c r="I14027" s="33" t="s">
        <v>21</v>
      </c>
      <c r="J14027" s="42">
        <v>45000</v>
      </c>
      <c r="K14027" s="33" t="s">
        <v>22</v>
      </c>
    </row>
    <row r="14028" spans="1:11">
      <c r="A14028" s="30" t="s">
        <v>31674</v>
      </c>
      <c r="B14028" s="30" t="s">
        <v>31675</v>
      </c>
      <c r="C14028" s="30" t="s">
        <v>795</v>
      </c>
      <c r="D14028" s="30" t="s">
        <v>17</v>
      </c>
      <c r="E14028" s="30" t="s">
        <v>18</v>
      </c>
      <c r="F14028" s="30" t="s">
        <v>19</v>
      </c>
      <c r="G14028" s="30" t="s">
        <v>158</v>
      </c>
      <c r="H14028" s="32">
        <v>900</v>
      </c>
      <c r="I14028" s="30" t="s">
        <v>51</v>
      </c>
      <c r="J14028" s="41">
        <v>44965</v>
      </c>
      <c r="K14028" s="30" t="s">
        <v>22</v>
      </c>
    </row>
    <row r="14029" spans="1:11">
      <c r="A14029" s="33" t="s">
        <v>31676</v>
      </c>
      <c r="B14029" s="33" t="s">
        <v>31677</v>
      </c>
      <c r="C14029" s="33" t="s">
        <v>27211</v>
      </c>
      <c r="D14029" s="33" t="s">
        <v>17</v>
      </c>
      <c r="E14029" s="33" t="s">
        <v>330</v>
      </c>
      <c r="F14029" s="33" t="s">
        <v>331</v>
      </c>
      <c r="G14029" s="33" t="s">
        <v>140</v>
      </c>
      <c r="H14029" s="35">
        <v>18</v>
      </c>
      <c r="I14029" s="33" t="s">
        <v>51</v>
      </c>
      <c r="J14029" s="42">
        <v>44958</v>
      </c>
      <c r="K14029" s="33" t="s">
        <v>22</v>
      </c>
    </row>
    <row r="14030" spans="1:11">
      <c r="A14030" s="30" t="s">
        <v>31678</v>
      </c>
      <c r="B14030" s="30" t="s">
        <v>31679</v>
      </c>
      <c r="C14030" s="30" t="s">
        <v>647</v>
      </c>
      <c r="D14030" s="30" t="s">
        <v>17</v>
      </c>
      <c r="E14030" s="30" t="s">
        <v>26</v>
      </c>
      <c r="F14030" s="30" t="s">
        <v>27</v>
      </c>
      <c r="G14030" s="30" t="s">
        <v>20</v>
      </c>
      <c r="H14030" s="32">
        <v>7</v>
      </c>
      <c r="I14030" s="30" t="s">
        <v>21</v>
      </c>
      <c r="J14030" s="41">
        <v>44970</v>
      </c>
      <c r="K14030" s="30" t="s">
        <v>22</v>
      </c>
    </row>
    <row r="14031" spans="1:11">
      <c r="A14031" s="33" t="s">
        <v>31680</v>
      </c>
      <c r="B14031" s="33" t="s">
        <v>31681</v>
      </c>
      <c r="C14031" s="33" t="s">
        <v>1598</v>
      </c>
      <c r="D14031" s="33" t="s">
        <v>17</v>
      </c>
      <c r="E14031" s="33" t="s">
        <v>26</v>
      </c>
      <c r="F14031" s="33" t="s">
        <v>27</v>
      </c>
      <c r="G14031" s="33" t="s">
        <v>20</v>
      </c>
      <c r="H14031" s="35">
        <v>20</v>
      </c>
      <c r="I14031" s="33" t="s">
        <v>21</v>
      </c>
      <c r="J14031" s="42">
        <v>45051</v>
      </c>
      <c r="K14031" s="33" t="s">
        <v>22</v>
      </c>
    </row>
    <row r="14032" spans="1:11">
      <c r="A14032" s="30" t="s">
        <v>31682</v>
      </c>
      <c r="B14032" s="30" t="s">
        <v>31683</v>
      </c>
      <c r="C14032" s="30" t="s">
        <v>21788</v>
      </c>
      <c r="D14032" s="30" t="s">
        <v>17</v>
      </c>
      <c r="E14032" s="30" t="s">
        <v>18</v>
      </c>
      <c r="F14032" s="30" t="s">
        <v>19</v>
      </c>
      <c r="G14032" s="30" t="s">
        <v>20</v>
      </c>
      <c r="H14032" s="32">
        <v>149</v>
      </c>
      <c r="I14032" s="30" t="s">
        <v>21</v>
      </c>
      <c r="J14032" s="41">
        <v>45005</v>
      </c>
      <c r="K14032" s="30" t="s">
        <v>22</v>
      </c>
    </row>
    <row r="14033" spans="1:11">
      <c r="A14033" s="33" t="s">
        <v>31684</v>
      </c>
      <c r="B14033" s="33" t="s">
        <v>31685</v>
      </c>
      <c r="C14033" s="33" t="s">
        <v>252</v>
      </c>
      <c r="D14033" s="33" t="s">
        <v>17</v>
      </c>
      <c r="E14033" s="33" t="s">
        <v>31</v>
      </c>
      <c r="F14033" s="33" t="s">
        <v>32</v>
      </c>
      <c r="G14033" s="33" t="s">
        <v>20</v>
      </c>
      <c r="H14033" s="35">
        <v>180</v>
      </c>
      <c r="I14033" s="33" t="s">
        <v>21</v>
      </c>
      <c r="J14033" s="42">
        <v>45236</v>
      </c>
      <c r="K14033" s="33" t="s">
        <v>22</v>
      </c>
    </row>
    <row r="14034" spans="1:11">
      <c r="A14034" s="30" t="s">
        <v>31686</v>
      </c>
      <c r="B14034" s="30" t="s">
        <v>31687</v>
      </c>
      <c r="C14034" s="30" t="s">
        <v>93</v>
      </c>
      <c r="D14034" s="30" t="s">
        <v>17</v>
      </c>
      <c r="E14034" s="30" t="s">
        <v>26</v>
      </c>
      <c r="F14034" s="30" t="s">
        <v>27</v>
      </c>
      <c r="G14034" s="30" t="s">
        <v>20</v>
      </c>
      <c r="H14034" s="32">
        <v>7</v>
      </c>
      <c r="I14034" s="30" t="s">
        <v>21</v>
      </c>
      <c r="J14034" s="41">
        <v>45156</v>
      </c>
      <c r="K14034" s="30" t="s">
        <v>22</v>
      </c>
    </row>
    <row r="14035" spans="1:11">
      <c r="A14035" s="33" t="s">
        <v>31688</v>
      </c>
      <c r="B14035" s="33" t="s">
        <v>31689</v>
      </c>
      <c r="C14035" s="33" t="s">
        <v>20707</v>
      </c>
      <c r="D14035" s="33" t="s">
        <v>17</v>
      </c>
      <c r="E14035" s="33" t="s">
        <v>26</v>
      </c>
      <c r="F14035" s="33" t="s">
        <v>27</v>
      </c>
      <c r="G14035" s="33" t="s">
        <v>50</v>
      </c>
      <c r="H14035" s="35">
        <v>56</v>
      </c>
      <c r="I14035" s="33" t="s">
        <v>51</v>
      </c>
      <c r="J14035" s="42">
        <v>44986</v>
      </c>
      <c r="K14035" s="33" t="s">
        <v>22</v>
      </c>
    </row>
    <row r="14036" spans="1:11">
      <c r="A14036" s="30" t="s">
        <v>31690</v>
      </c>
      <c r="B14036" s="30" t="s">
        <v>31691</v>
      </c>
      <c r="C14036" s="30" t="s">
        <v>440</v>
      </c>
      <c r="D14036" s="30" t="s">
        <v>17</v>
      </c>
      <c r="E14036" s="30" t="s">
        <v>45</v>
      </c>
      <c r="F14036" s="30" t="s">
        <v>46</v>
      </c>
      <c r="G14036" s="30" t="s">
        <v>7780</v>
      </c>
      <c r="H14036" s="32">
        <v>90</v>
      </c>
      <c r="I14036" s="30" t="s">
        <v>51</v>
      </c>
      <c r="J14036" s="41">
        <v>45231</v>
      </c>
      <c r="K14036" s="30" t="s">
        <v>22</v>
      </c>
    </row>
    <row r="14037" spans="1:11">
      <c r="A14037" s="33" t="s">
        <v>31692</v>
      </c>
      <c r="B14037" s="33" t="s">
        <v>31693</v>
      </c>
      <c r="C14037" s="33" t="s">
        <v>31694</v>
      </c>
      <c r="D14037" s="33" t="s">
        <v>17</v>
      </c>
      <c r="E14037" s="33" t="s">
        <v>26</v>
      </c>
      <c r="F14037" s="33" t="s">
        <v>27</v>
      </c>
      <c r="G14037" s="33" t="s">
        <v>106</v>
      </c>
      <c r="H14037" s="35">
        <v>24</v>
      </c>
      <c r="I14037" s="33" t="s">
        <v>21</v>
      </c>
      <c r="J14037" s="42">
        <v>44945</v>
      </c>
      <c r="K14037" s="33" t="s">
        <v>22</v>
      </c>
    </row>
    <row r="14038" spans="1:11">
      <c r="A14038" s="30" t="s">
        <v>31695</v>
      </c>
      <c r="B14038" s="30" t="s">
        <v>31696</v>
      </c>
      <c r="C14038" s="30" t="s">
        <v>5058</v>
      </c>
      <c r="D14038" s="30" t="s">
        <v>17</v>
      </c>
      <c r="E14038" s="30" t="s">
        <v>67</v>
      </c>
      <c r="F14038" s="30" t="s">
        <v>68</v>
      </c>
      <c r="G14038" s="30" t="s">
        <v>158</v>
      </c>
      <c r="H14038" s="32">
        <v>10</v>
      </c>
      <c r="I14038" s="30" t="s">
        <v>51</v>
      </c>
      <c r="J14038" s="41">
        <v>44930</v>
      </c>
      <c r="K14038" s="30" t="s">
        <v>22</v>
      </c>
    </row>
    <row r="14039" spans="1:11">
      <c r="A14039" s="33" t="s">
        <v>31697</v>
      </c>
      <c r="B14039" s="33" t="s">
        <v>31698</v>
      </c>
      <c r="C14039" s="33" t="s">
        <v>31699</v>
      </c>
      <c r="D14039" s="33" t="s">
        <v>17</v>
      </c>
      <c r="E14039" s="33" t="s">
        <v>31</v>
      </c>
      <c r="F14039" s="33" t="s">
        <v>32</v>
      </c>
      <c r="G14039" s="33" t="s">
        <v>140</v>
      </c>
      <c r="H14039" s="35">
        <v>36</v>
      </c>
      <c r="I14039" s="33" t="s">
        <v>51</v>
      </c>
      <c r="J14039" s="42">
        <v>45063</v>
      </c>
      <c r="K14039" s="33" t="s">
        <v>22</v>
      </c>
    </row>
    <row r="14040" spans="1:11">
      <c r="A14040" s="30" t="s">
        <v>31700</v>
      </c>
      <c r="B14040" s="30" t="s">
        <v>31701</v>
      </c>
      <c r="C14040" s="30" t="s">
        <v>14402</v>
      </c>
      <c r="D14040" s="30" t="s">
        <v>17</v>
      </c>
      <c r="E14040" s="30" t="s">
        <v>26</v>
      </c>
      <c r="F14040" s="30" t="s">
        <v>27</v>
      </c>
      <c r="G14040" s="30" t="s">
        <v>140</v>
      </c>
      <c r="H14040" s="32">
        <v>140</v>
      </c>
      <c r="I14040" s="30" t="s">
        <v>51</v>
      </c>
      <c r="J14040" s="41">
        <v>45225</v>
      </c>
      <c r="K14040" s="30" t="s">
        <v>22</v>
      </c>
    </row>
    <row r="14041" spans="1:11">
      <c r="A14041" s="33" t="s">
        <v>31702</v>
      </c>
      <c r="B14041" s="33" t="s">
        <v>31703</v>
      </c>
      <c r="C14041" s="33" t="s">
        <v>31704</v>
      </c>
      <c r="D14041" s="33" t="s">
        <v>17</v>
      </c>
      <c r="E14041" s="33" t="s">
        <v>31</v>
      </c>
      <c r="F14041" s="33" t="s">
        <v>32</v>
      </c>
      <c r="G14041" s="33" t="s">
        <v>106</v>
      </c>
      <c r="H14041" s="35">
        <v>40</v>
      </c>
      <c r="I14041" s="33" t="s">
        <v>21</v>
      </c>
      <c r="J14041" s="42">
        <v>45216</v>
      </c>
      <c r="K14041" s="33" t="s">
        <v>22</v>
      </c>
    </row>
    <row r="14042" spans="1:11">
      <c r="A14042" s="30" t="s">
        <v>31705</v>
      </c>
      <c r="B14042" s="30" t="s">
        <v>31706</v>
      </c>
      <c r="C14042" s="30" t="s">
        <v>1275</v>
      </c>
      <c r="D14042" s="30" t="s">
        <v>17</v>
      </c>
      <c r="E14042" s="30" t="s">
        <v>18</v>
      </c>
      <c r="F14042" s="30" t="s">
        <v>19</v>
      </c>
      <c r="G14042" s="30" t="s">
        <v>50</v>
      </c>
      <c r="H14042" s="32">
        <v>266</v>
      </c>
      <c r="I14042" s="30" t="s">
        <v>21</v>
      </c>
      <c r="J14042" s="41">
        <v>45196</v>
      </c>
      <c r="K14042" s="30" t="s">
        <v>22</v>
      </c>
    </row>
    <row r="14043" spans="1:11">
      <c r="A14043" s="33" t="s">
        <v>31707</v>
      </c>
      <c r="B14043" s="33" t="s">
        <v>31708</v>
      </c>
      <c r="C14043" s="33" t="s">
        <v>31709</v>
      </c>
      <c r="D14043" s="33" t="s">
        <v>17</v>
      </c>
      <c r="E14043" s="33" t="s">
        <v>18</v>
      </c>
      <c r="F14043" s="33" t="s">
        <v>19</v>
      </c>
      <c r="G14043" s="33" t="s">
        <v>50</v>
      </c>
      <c r="H14043" s="35">
        <v>558</v>
      </c>
      <c r="I14043" s="33" t="s">
        <v>51</v>
      </c>
      <c r="J14043" s="42">
        <v>45232</v>
      </c>
      <c r="K14043" s="33" t="s">
        <v>22</v>
      </c>
    </row>
    <row r="14044" spans="1:11">
      <c r="A14044" s="30" t="s">
        <v>31710</v>
      </c>
      <c r="B14044" s="30" t="s">
        <v>31711</v>
      </c>
      <c r="C14044" s="30" t="s">
        <v>31712</v>
      </c>
      <c r="D14044" s="30" t="s">
        <v>17</v>
      </c>
      <c r="E14044" s="30" t="s">
        <v>26</v>
      </c>
      <c r="F14044" s="30" t="s">
        <v>27</v>
      </c>
      <c r="G14044" s="30" t="s">
        <v>20</v>
      </c>
      <c r="H14044" s="32">
        <v>9</v>
      </c>
      <c r="I14044" s="30" t="s">
        <v>21</v>
      </c>
      <c r="J14044" s="41">
        <v>45044</v>
      </c>
      <c r="K14044" s="30" t="s">
        <v>22</v>
      </c>
    </row>
    <row r="14045" spans="1:11">
      <c r="A14045" s="33" t="s">
        <v>31713</v>
      </c>
      <c r="B14045" s="33" t="s">
        <v>31714</v>
      </c>
      <c r="C14045" s="33" t="s">
        <v>8443</v>
      </c>
      <c r="D14045" s="33" t="s">
        <v>17</v>
      </c>
      <c r="E14045" s="33" t="s">
        <v>330</v>
      </c>
      <c r="F14045" s="33" t="s">
        <v>331</v>
      </c>
      <c r="G14045" s="33" t="s">
        <v>140</v>
      </c>
      <c r="H14045" s="35">
        <v>12</v>
      </c>
      <c r="I14045" s="33" t="s">
        <v>51</v>
      </c>
      <c r="J14045" s="42">
        <v>45078</v>
      </c>
      <c r="K14045" s="33" t="s">
        <v>22</v>
      </c>
    </row>
    <row r="14046" spans="1:11">
      <c r="A14046" s="30" t="s">
        <v>31715</v>
      </c>
      <c r="B14046" s="30" t="s">
        <v>31716</v>
      </c>
      <c r="C14046" s="30" t="s">
        <v>96</v>
      </c>
      <c r="D14046" s="30" t="s">
        <v>17</v>
      </c>
      <c r="E14046" s="30" t="s">
        <v>26</v>
      </c>
      <c r="F14046" s="30" t="s">
        <v>27</v>
      </c>
      <c r="G14046" s="30" t="s">
        <v>20</v>
      </c>
      <c r="H14046" s="32">
        <v>12</v>
      </c>
      <c r="I14046" s="30" t="s">
        <v>21</v>
      </c>
      <c r="J14046" s="41">
        <v>45138</v>
      </c>
      <c r="K14046" s="30" t="s">
        <v>22</v>
      </c>
    </row>
    <row r="14047" spans="1:11">
      <c r="A14047" s="33" t="s">
        <v>31717</v>
      </c>
      <c r="B14047" s="33" t="s">
        <v>31718</v>
      </c>
      <c r="C14047" s="33" t="s">
        <v>19872</v>
      </c>
      <c r="D14047" s="33" t="s">
        <v>17</v>
      </c>
      <c r="E14047" s="33" t="s">
        <v>18</v>
      </c>
      <c r="F14047" s="33" t="s">
        <v>19</v>
      </c>
      <c r="G14047" s="33" t="s">
        <v>106</v>
      </c>
      <c r="H14047" s="35">
        <v>3</v>
      </c>
      <c r="I14047" s="33" t="s">
        <v>21</v>
      </c>
      <c r="J14047" s="42">
        <v>45020</v>
      </c>
      <c r="K14047" s="33" t="s">
        <v>22</v>
      </c>
    </row>
    <row r="14048" spans="1:11">
      <c r="A14048" s="30" t="s">
        <v>31719</v>
      </c>
      <c r="B14048" s="30" t="s">
        <v>31720</v>
      </c>
      <c r="C14048" s="30" t="s">
        <v>4476</v>
      </c>
      <c r="D14048" s="30" t="s">
        <v>17</v>
      </c>
      <c r="E14048" s="30" t="s">
        <v>31</v>
      </c>
      <c r="F14048" s="30" t="s">
        <v>32</v>
      </c>
      <c r="G14048" s="30" t="s">
        <v>50</v>
      </c>
      <c r="H14048" s="32">
        <v>10</v>
      </c>
      <c r="I14048" s="30" t="s">
        <v>51</v>
      </c>
      <c r="J14048" s="41">
        <v>45261</v>
      </c>
      <c r="K14048" s="30" t="s">
        <v>22</v>
      </c>
    </row>
    <row r="14049" spans="1:11">
      <c r="A14049" s="33" t="s">
        <v>31721</v>
      </c>
      <c r="B14049" s="33" t="s">
        <v>31722</v>
      </c>
      <c r="C14049" s="33" t="s">
        <v>1219</v>
      </c>
      <c r="D14049" s="33" t="s">
        <v>17</v>
      </c>
      <c r="E14049" s="33" t="s">
        <v>26</v>
      </c>
      <c r="F14049" s="33" t="s">
        <v>27</v>
      </c>
      <c r="G14049" s="33" t="s">
        <v>20</v>
      </c>
      <c r="H14049" s="35">
        <v>17</v>
      </c>
      <c r="I14049" s="33" t="s">
        <v>21</v>
      </c>
      <c r="J14049" s="42">
        <v>45061</v>
      </c>
      <c r="K14049" s="33" t="s">
        <v>22</v>
      </c>
    </row>
    <row r="14050" spans="1:11">
      <c r="A14050" s="30" t="s">
        <v>31723</v>
      </c>
      <c r="B14050" s="30" t="s">
        <v>31724</v>
      </c>
      <c r="C14050" s="30" t="s">
        <v>7094</v>
      </c>
      <c r="D14050" s="30" t="s">
        <v>17</v>
      </c>
      <c r="E14050" s="30" t="s">
        <v>18</v>
      </c>
      <c r="F14050" s="30" t="s">
        <v>19</v>
      </c>
      <c r="G14050" s="30" t="s">
        <v>112</v>
      </c>
      <c r="H14050" s="32">
        <v>0</v>
      </c>
      <c r="I14050" s="30" t="s">
        <v>21</v>
      </c>
      <c r="J14050" s="41">
        <v>45139</v>
      </c>
      <c r="K14050" s="30" t="s">
        <v>22</v>
      </c>
    </row>
    <row r="14051" spans="1:11">
      <c r="A14051" s="33" t="s">
        <v>31725</v>
      </c>
      <c r="B14051" s="33" t="s">
        <v>31726</v>
      </c>
      <c r="C14051" s="33" t="s">
        <v>2313</v>
      </c>
      <c r="D14051" s="33" t="s">
        <v>17</v>
      </c>
      <c r="E14051" s="33" t="s">
        <v>26</v>
      </c>
      <c r="F14051" s="33" t="s">
        <v>27</v>
      </c>
      <c r="G14051" s="33" t="s">
        <v>20</v>
      </c>
      <c r="H14051" s="35">
        <v>7</v>
      </c>
      <c r="I14051" s="33" t="s">
        <v>21</v>
      </c>
      <c r="J14051" s="42">
        <v>45022</v>
      </c>
      <c r="K14051" s="33" t="s">
        <v>22</v>
      </c>
    </row>
    <row r="14052" spans="1:11">
      <c r="A14052" s="30" t="s">
        <v>31727</v>
      </c>
      <c r="B14052" s="30" t="s">
        <v>31728</v>
      </c>
      <c r="C14052" s="30" t="s">
        <v>13382</v>
      </c>
      <c r="D14052" s="30" t="s">
        <v>17</v>
      </c>
      <c r="E14052" s="30" t="s">
        <v>31</v>
      </c>
      <c r="F14052" s="30" t="s">
        <v>32</v>
      </c>
      <c r="G14052" s="30" t="s">
        <v>20</v>
      </c>
      <c r="H14052" s="32">
        <v>137</v>
      </c>
      <c r="I14052" s="30" t="s">
        <v>21</v>
      </c>
      <c r="J14052" s="41">
        <v>45061</v>
      </c>
      <c r="K14052" s="30" t="s">
        <v>22</v>
      </c>
    </row>
    <row r="14053" spans="1:11">
      <c r="A14053" s="33" t="s">
        <v>31729</v>
      </c>
      <c r="B14053" s="33" t="s">
        <v>31730</v>
      </c>
      <c r="C14053" s="33" t="s">
        <v>810</v>
      </c>
      <c r="D14053" s="33" t="s">
        <v>17</v>
      </c>
      <c r="E14053" s="33" t="s">
        <v>26</v>
      </c>
      <c r="F14053" s="33" t="s">
        <v>27</v>
      </c>
      <c r="G14053" s="33" t="s">
        <v>20</v>
      </c>
      <c r="H14053" s="35">
        <v>35</v>
      </c>
      <c r="I14053" s="33" t="s">
        <v>21</v>
      </c>
      <c r="J14053" s="42">
        <v>45095</v>
      </c>
      <c r="K14053" s="33" t="s">
        <v>22</v>
      </c>
    </row>
    <row r="14054" spans="1:11">
      <c r="A14054" s="30" t="s">
        <v>31731</v>
      </c>
      <c r="B14054" s="30" t="s">
        <v>31732</v>
      </c>
      <c r="C14054" s="30" t="s">
        <v>31733</v>
      </c>
      <c r="D14054" s="30" t="s">
        <v>17</v>
      </c>
      <c r="E14054" s="30" t="s">
        <v>67</v>
      </c>
      <c r="F14054" s="30" t="s">
        <v>68</v>
      </c>
      <c r="G14054" s="30" t="s">
        <v>140</v>
      </c>
      <c r="H14054" s="32">
        <v>81</v>
      </c>
      <c r="I14054" s="30" t="s">
        <v>51</v>
      </c>
      <c r="J14054" s="41">
        <v>45191</v>
      </c>
      <c r="K14054" s="30" t="s">
        <v>22</v>
      </c>
    </row>
    <row r="14055" spans="1:11">
      <c r="A14055" s="33" t="s">
        <v>31734</v>
      </c>
      <c r="B14055" s="33" t="s">
        <v>31735</v>
      </c>
      <c r="C14055" s="33" t="s">
        <v>8092</v>
      </c>
      <c r="D14055" s="33" t="s">
        <v>17</v>
      </c>
      <c r="E14055" s="33" t="s">
        <v>31</v>
      </c>
      <c r="F14055" s="33" t="s">
        <v>32</v>
      </c>
      <c r="G14055" s="33" t="s">
        <v>20</v>
      </c>
      <c r="H14055" s="35">
        <v>243</v>
      </c>
      <c r="I14055" s="33" t="s">
        <v>21</v>
      </c>
      <c r="J14055" s="42">
        <v>45177</v>
      </c>
      <c r="K14055" s="33" t="s">
        <v>22</v>
      </c>
    </row>
    <row r="14056" spans="1:11">
      <c r="A14056" s="30" t="s">
        <v>31736</v>
      </c>
      <c r="B14056" s="30" t="s">
        <v>31737</v>
      </c>
      <c r="C14056" s="30" t="s">
        <v>969</v>
      </c>
      <c r="D14056" s="30" t="s">
        <v>17</v>
      </c>
      <c r="E14056" s="30" t="s">
        <v>26</v>
      </c>
      <c r="F14056" s="30" t="s">
        <v>27</v>
      </c>
      <c r="G14056" s="30" t="s">
        <v>20</v>
      </c>
      <c r="H14056" s="32">
        <v>114</v>
      </c>
      <c r="I14056" s="30" t="s">
        <v>21</v>
      </c>
      <c r="J14056" s="41">
        <v>45145</v>
      </c>
      <c r="K14056" s="30" t="s">
        <v>22</v>
      </c>
    </row>
    <row r="14057" spans="1:11">
      <c r="A14057" s="33" t="s">
        <v>31738</v>
      </c>
      <c r="B14057" s="33" t="s">
        <v>31739</v>
      </c>
      <c r="C14057" s="33" t="s">
        <v>2171</v>
      </c>
      <c r="D14057" s="33" t="s">
        <v>17</v>
      </c>
      <c r="E14057" s="33" t="s">
        <v>26</v>
      </c>
      <c r="F14057" s="33" t="s">
        <v>27</v>
      </c>
      <c r="G14057" s="33" t="s">
        <v>140</v>
      </c>
      <c r="H14057" s="35">
        <v>164</v>
      </c>
      <c r="I14057" s="33" t="s">
        <v>51</v>
      </c>
      <c r="J14057" s="42">
        <v>45209</v>
      </c>
      <c r="K14057" s="33" t="s">
        <v>22</v>
      </c>
    </row>
    <row r="14058" spans="1:11">
      <c r="A14058" s="30" t="s">
        <v>31740</v>
      </c>
      <c r="B14058" s="30" t="s">
        <v>31741</v>
      </c>
      <c r="C14058" s="30" t="s">
        <v>14774</v>
      </c>
      <c r="D14058" s="30" t="s">
        <v>17</v>
      </c>
      <c r="E14058" s="30" t="s">
        <v>18</v>
      </c>
      <c r="F14058" s="30" t="s">
        <v>19</v>
      </c>
      <c r="G14058" s="30" t="s">
        <v>106</v>
      </c>
      <c r="H14058" s="32">
        <v>201</v>
      </c>
      <c r="I14058" s="30" t="s">
        <v>21</v>
      </c>
      <c r="J14058" s="41">
        <v>44991</v>
      </c>
      <c r="K14058" s="30" t="s">
        <v>22</v>
      </c>
    </row>
    <row r="14059" spans="1:11">
      <c r="A14059" s="33" t="s">
        <v>31742</v>
      </c>
      <c r="B14059" s="33" t="s">
        <v>31743</v>
      </c>
      <c r="C14059" s="33" t="s">
        <v>109</v>
      </c>
      <c r="D14059" s="33" t="s">
        <v>17</v>
      </c>
      <c r="E14059" s="33" t="s">
        <v>212</v>
      </c>
      <c r="F14059" s="33" t="s">
        <v>213</v>
      </c>
      <c r="G14059" s="33" t="s">
        <v>158</v>
      </c>
      <c r="H14059" s="35">
        <v>4</v>
      </c>
      <c r="I14059" s="33" t="s">
        <v>21</v>
      </c>
      <c r="J14059" s="42">
        <v>45047</v>
      </c>
      <c r="K14059" s="33" t="s">
        <v>22</v>
      </c>
    </row>
    <row r="14060" spans="1:11">
      <c r="A14060" s="30" t="s">
        <v>31744</v>
      </c>
      <c r="B14060" s="30" t="s">
        <v>31745</v>
      </c>
      <c r="C14060" s="30" t="s">
        <v>190</v>
      </c>
      <c r="D14060" s="30" t="s">
        <v>17</v>
      </c>
      <c r="E14060" s="30" t="s">
        <v>18</v>
      </c>
      <c r="F14060" s="30" t="s">
        <v>19</v>
      </c>
      <c r="G14060" s="30" t="s">
        <v>20</v>
      </c>
      <c r="H14060" s="32">
        <v>796</v>
      </c>
      <c r="I14060" s="30" t="s">
        <v>21</v>
      </c>
      <c r="J14060" s="41">
        <v>45252</v>
      </c>
      <c r="K14060" s="30" t="s">
        <v>22</v>
      </c>
    </row>
    <row r="14061" spans="1:11">
      <c r="A14061" s="33" t="s">
        <v>31746</v>
      </c>
      <c r="B14061" s="33" t="s">
        <v>31747</v>
      </c>
      <c r="C14061" s="33" t="s">
        <v>10974</v>
      </c>
      <c r="D14061" s="33" t="s">
        <v>17</v>
      </c>
      <c r="E14061" s="33" t="s">
        <v>18</v>
      </c>
      <c r="F14061" s="33" t="s">
        <v>19</v>
      </c>
      <c r="G14061" s="33" t="s">
        <v>140</v>
      </c>
      <c r="H14061" s="35">
        <v>698</v>
      </c>
      <c r="I14061" s="33" t="s">
        <v>51</v>
      </c>
      <c r="J14061" s="42">
        <v>45229</v>
      </c>
      <c r="K14061" s="33" t="s">
        <v>22</v>
      </c>
    </row>
    <row r="14062" spans="1:11">
      <c r="A14062" s="30" t="s">
        <v>31748</v>
      </c>
      <c r="B14062" s="30" t="s">
        <v>31749</v>
      </c>
      <c r="C14062" s="30" t="s">
        <v>795</v>
      </c>
      <c r="D14062" s="30" t="s">
        <v>17</v>
      </c>
      <c r="E14062" s="30" t="s">
        <v>67</v>
      </c>
      <c r="F14062" s="30" t="s">
        <v>68</v>
      </c>
      <c r="G14062" s="30" t="s">
        <v>106</v>
      </c>
      <c r="H14062" s="32">
        <v>13</v>
      </c>
      <c r="I14062" s="30" t="s">
        <v>21</v>
      </c>
      <c r="J14062" s="41">
        <v>44993</v>
      </c>
      <c r="K14062" s="30" t="s">
        <v>22</v>
      </c>
    </row>
    <row r="14063" spans="1:11">
      <c r="A14063" s="33" t="s">
        <v>31750</v>
      </c>
      <c r="B14063" s="33" t="s">
        <v>31751</v>
      </c>
      <c r="C14063" s="33" t="s">
        <v>1165</v>
      </c>
      <c r="D14063" s="33" t="s">
        <v>17</v>
      </c>
      <c r="E14063" s="33" t="s">
        <v>26</v>
      </c>
      <c r="F14063" s="33" t="s">
        <v>27</v>
      </c>
      <c r="G14063" s="33" t="s">
        <v>20</v>
      </c>
      <c r="H14063" s="35">
        <v>112</v>
      </c>
      <c r="I14063" s="33" t="s">
        <v>21</v>
      </c>
      <c r="J14063" s="42">
        <v>44978</v>
      </c>
      <c r="K14063" s="33" t="s">
        <v>22</v>
      </c>
    </row>
    <row r="14064" spans="1:11">
      <c r="A14064" s="30" t="s">
        <v>31752</v>
      </c>
      <c r="B14064" s="30" t="s">
        <v>31753</v>
      </c>
      <c r="C14064" s="30" t="s">
        <v>663</v>
      </c>
      <c r="D14064" s="30" t="s">
        <v>17</v>
      </c>
      <c r="E14064" s="30" t="s">
        <v>31</v>
      </c>
      <c r="F14064" s="30" t="s">
        <v>32</v>
      </c>
      <c r="G14064" s="30" t="s">
        <v>158</v>
      </c>
      <c r="H14064" s="32">
        <v>31</v>
      </c>
      <c r="I14064" s="30" t="s">
        <v>21</v>
      </c>
      <c r="J14064" s="41">
        <v>45175</v>
      </c>
      <c r="K14064" s="30" t="s">
        <v>22</v>
      </c>
    </row>
    <row r="14065" spans="1:11">
      <c r="A14065" s="33" t="s">
        <v>31754</v>
      </c>
      <c r="B14065" s="33" t="s">
        <v>31755</v>
      </c>
      <c r="C14065" s="33" t="s">
        <v>5243</v>
      </c>
      <c r="D14065" s="33" t="s">
        <v>17</v>
      </c>
      <c r="E14065" s="33" t="s">
        <v>26</v>
      </c>
      <c r="F14065" s="33" t="s">
        <v>27</v>
      </c>
      <c r="G14065" s="33" t="s">
        <v>106</v>
      </c>
      <c r="H14065" s="35">
        <v>5</v>
      </c>
      <c r="I14065" s="33" t="s">
        <v>21</v>
      </c>
      <c r="J14065" s="42">
        <v>44946</v>
      </c>
      <c r="K14065" s="33" t="s">
        <v>22</v>
      </c>
    </row>
    <row r="14066" spans="1:11">
      <c r="A14066" s="30" t="s">
        <v>31756</v>
      </c>
      <c r="B14066" s="30" t="s">
        <v>31757</v>
      </c>
      <c r="C14066" s="30" t="s">
        <v>78</v>
      </c>
      <c r="D14066" s="30" t="s">
        <v>17</v>
      </c>
      <c r="E14066" s="30" t="s">
        <v>26</v>
      </c>
      <c r="F14066" s="30" t="s">
        <v>27</v>
      </c>
      <c r="G14066" s="30" t="s">
        <v>20</v>
      </c>
      <c r="H14066" s="32">
        <v>32</v>
      </c>
      <c r="I14066" s="30" t="s">
        <v>21</v>
      </c>
      <c r="J14066" s="41">
        <v>44984</v>
      </c>
      <c r="K14066" s="30" t="s">
        <v>22</v>
      </c>
    </row>
    <row r="14067" spans="1:11">
      <c r="A14067" s="33" t="s">
        <v>31758</v>
      </c>
      <c r="B14067" s="33" t="s">
        <v>31759</v>
      </c>
      <c r="C14067" s="33" t="s">
        <v>25994</v>
      </c>
      <c r="D14067" s="33" t="s">
        <v>17</v>
      </c>
      <c r="E14067" s="33" t="s">
        <v>67</v>
      </c>
      <c r="F14067" s="33" t="s">
        <v>68</v>
      </c>
      <c r="G14067" s="33" t="s">
        <v>158</v>
      </c>
      <c r="H14067" s="35">
        <v>6</v>
      </c>
      <c r="I14067" s="33" t="s">
        <v>21</v>
      </c>
      <c r="J14067" s="42">
        <v>45044</v>
      </c>
      <c r="K14067" s="33" t="s">
        <v>22</v>
      </c>
    </row>
    <row r="14068" spans="1:11">
      <c r="A14068" s="30" t="s">
        <v>31760</v>
      </c>
      <c r="B14068" s="30" t="s">
        <v>31761</v>
      </c>
      <c r="C14068" s="30" t="s">
        <v>31762</v>
      </c>
      <c r="D14068" s="30" t="s">
        <v>17</v>
      </c>
      <c r="E14068" s="30" t="s">
        <v>67</v>
      </c>
      <c r="F14068" s="30" t="s">
        <v>68</v>
      </c>
      <c r="G14068" s="30" t="s">
        <v>140</v>
      </c>
      <c r="H14068" s="32">
        <v>224</v>
      </c>
      <c r="I14068" s="30" t="s">
        <v>51</v>
      </c>
      <c r="J14068" s="41">
        <v>45103</v>
      </c>
      <c r="K14068" s="30" t="s">
        <v>22</v>
      </c>
    </row>
    <row r="14069" spans="1:11">
      <c r="A14069" s="33" t="s">
        <v>31763</v>
      </c>
      <c r="B14069" s="33" t="s">
        <v>31764</v>
      </c>
      <c r="C14069" s="33" t="s">
        <v>13471</v>
      </c>
      <c r="D14069" s="33" t="s">
        <v>17</v>
      </c>
      <c r="E14069" s="33" t="s">
        <v>18</v>
      </c>
      <c r="F14069" s="33" t="s">
        <v>19</v>
      </c>
      <c r="G14069" s="33" t="s">
        <v>50</v>
      </c>
      <c r="H14069" s="35">
        <v>9800</v>
      </c>
      <c r="I14069" s="33" t="s">
        <v>51</v>
      </c>
      <c r="J14069" s="42">
        <v>45010</v>
      </c>
      <c r="K14069" s="33" t="s">
        <v>22</v>
      </c>
    </row>
    <row r="14070" spans="1:11">
      <c r="A14070" s="30" t="s">
        <v>31765</v>
      </c>
      <c r="B14070" s="30" t="s">
        <v>31766</v>
      </c>
      <c r="C14070" s="30" t="s">
        <v>701</v>
      </c>
      <c r="D14070" s="30" t="s">
        <v>17</v>
      </c>
      <c r="E14070" s="30" t="s">
        <v>18</v>
      </c>
      <c r="F14070" s="30" t="s">
        <v>19</v>
      </c>
      <c r="G14070" s="30" t="s">
        <v>20</v>
      </c>
      <c r="H14070" s="32">
        <v>2550</v>
      </c>
      <c r="I14070" s="30" t="s">
        <v>21</v>
      </c>
      <c r="J14070" s="41">
        <v>44975</v>
      </c>
      <c r="K14070" s="30" t="s">
        <v>22</v>
      </c>
    </row>
    <row r="14071" spans="1:11">
      <c r="A14071" s="33" t="s">
        <v>31767</v>
      </c>
      <c r="B14071" s="33" t="s">
        <v>31768</v>
      </c>
      <c r="C14071" s="33" t="s">
        <v>990</v>
      </c>
      <c r="D14071" s="33" t="s">
        <v>17</v>
      </c>
      <c r="E14071" s="33" t="s">
        <v>18</v>
      </c>
      <c r="F14071" s="33" t="s">
        <v>19</v>
      </c>
      <c r="G14071" s="33" t="s">
        <v>20</v>
      </c>
      <c r="H14071" s="35">
        <v>675</v>
      </c>
      <c r="I14071" s="33" t="s">
        <v>21</v>
      </c>
      <c r="J14071" s="42">
        <v>44950</v>
      </c>
      <c r="K14071" s="33" t="s">
        <v>22</v>
      </c>
    </row>
    <row r="14072" spans="1:11">
      <c r="A14072" s="30" t="s">
        <v>31769</v>
      </c>
      <c r="B14072" s="30" t="s">
        <v>31770</v>
      </c>
      <c r="C14072" s="30" t="s">
        <v>3432</v>
      </c>
      <c r="D14072" s="30" t="s">
        <v>17</v>
      </c>
      <c r="E14072" s="30" t="s">
        <v>212</v>
      </c>
      <c r="F14072" s="30" t="s">
        <v>213</v>
      </c>
      <c r="G14072" s="30" t="s">
        <v>20</v>
      </c>
      <c r="H14072" s="32">
        <v>246</v>
      </c>
      <c r="I14072" s="30" t="s">
        <v>21</v>
      </c>
      <c r="J14072" s="41">
        <v>45007</v>
      </c>
      <c r="K14072" s="30" t="s">
        <v>22</v>
      </c>
    </row>
    <row r="14073" spans="1:11">
      <c r="A14073" s="33" t="s">
        <v>31771</v>
      </c>
      <c r="B14073" s="33" t="s">
        <v>31772</v>
      </c>
      <c r="C14073" s="33" t="s">
        <v>26248</v>
      </c>
      <c r="D14073" s="33" t="s">
        <v>17</v>
      </c>
      <c r="E14073" s="33" t="s">
        <v>26</v>
      </c>
      <c r="F14073" s="33" t="s">
        <v>27</v>
      </c>
      <c r="G14073" s="33" t="s">
        <v>20</v>
      </c>
      <c r="H14073" s="35">
        <v>32</v>
      </c>
      <c r="I14073" s="33" t="s">
        <v>21</v>
      </c>
      <c r="J14073" s="42">
        <v>45197</v>
      </c>
      <c r="K14073" s="33" t="s">
        <v>22</v>
      </c>
    </row>
    <row r="14074" spans="1:11">
      <c r="A14074" s="30" t="s">
        <v>31773</v>
      </c>
      <c r="B14074" s="30" t="s">
        <v>31774</v>
      </c>
      <c r="C14074" s="30" t="s">
        <v>7393</v>
      </c>
      <c r="D14074" s="30" t="s">
        <v>17</v>
      </c>
      <c r="E14074" s="30" t="s">
        <v>26</v>
      </c>
      <c r="F14074" s="30" t="s">
        <v>27</v>
      </c>
      <c r="G14074" s="30" t="s">
        <v>140</v>
      </c>
      <c r="H14074" s="32">
        <v>30</v>
      </c>
      <c r="I14074" s="30" t="s">
        <v>51</v>
      </c>
      <c r="J14074" s="41">
        <v>45090</v>
      </c>
      <c r="K14074" s="30" t="s">
        <v>22</v>
      </c>
    </row>
    <row r="14075" spans="1:11">
      <c r="A14075" s="33" t="s">
        <v>31775</v>
      </c>
      <c r="B14075" s="33" t="s">
        <v>31776</v>
      </c>
      <c r="C14075" s="33" t="s">
        <v>8851</v>
      </c>
      <c r="D14075" s="33" t="s">
        <v>17</v>
      </c>
      <c r="E14075" s="33" t="s">
        <v>67</v>
      </c>
      <c r="F14075" s="33" t="s">
        <v>68</v>
      </c>
      <c r="G14075" s="33" t="s">
        <v>158</v>
      </c>
      <c r="H14075" s="35">
        <v>195</v>
      </c>
      <c r="I14075" s="33" t="s">
        <v>51</v>
      </c>
      <c r="J14075" s="42">
        <v>44935</v>
      </c>
      <c r="K14075" s="33" t="s">
        <v>22</v>
      </c>
    </row>
    <row r="14076" spans="1:11">
      <c r="A14076" s="30" t="s">
        <v>31777</v>
      </c>
      <c r="B14076" s="30" t="s">
        <v>31778</v>
      </c>
      <c r="C14076" s="30" t="s">
        <v>31779</v>
      </c>
      <c r="D14076" s="30" t="s">
        <v>17</v>
      </c>
      <c r="E14076" s="30" t="s">
        <v>26</v>
      </c>
      <c r="F14076" s="30" t="s">
        <v>27</v>
      </c>
      <c r="G14076" s="30" t="s">
        <v>20</v>
      </c>
      <c r="H14076" s="32">
        <v>22</v>
      </c>
      <c r="I14076" s="30" t="s">
        <v>21</v>
      </c>
      <c r="J14076" s="41">
        <v>45223</v>
      </c>
      <c r="K14076" s="30" t="s">
        <v>22</v>
      </c>
    </row>
    <row r="14077" spans="1:11">
      <c r="A14077" s="33" t="s">
        <v>31780</v>
      </c>
      <c r="B14077" s="33" t="s">
        <v>31781</v>
      </c>
      <c r="C14077" s="33" t="s">
        <v>2508</v>
      </c>
      <c r="D14077" s="33" t="s">
        <v>17</v>
      </c>
      <c r="E14077" s="33" t="s">
        <v>18</v>
      </c>
      <c r="F14077" s="33" t="s">
        <v>19</v>
      </c>
      <c r="G14077" s="33" t="s">
        <v>2613</v>
      </c>
      <c r="H14077" s="35">
        <v>150</v>
      </c>
      <c r="I14077" s="33" t="s">
        <v>51</v>
      </c>
      <c r="J14077" s="42">
        <v>44974</v>
      </c>
      <c r="K14077" s="33" t="s">
        <v>22</v>
      </c>
    </row>
    <row r="14078" spans="1:11">
      <c r="A14078" s="30" t="s">
        <v>31782</v>
      </c>
      <c r="B14078" s="30" t="s">
        <v>31783</v>
      </c>
      <c r="C14078" s="30" t="s">
        <v>252</v>
      </c>
      <c r="D14078" s="30" t="s">
        <v>17</v>
      </c>
      <c r="E14078" s="30" t="s">
        <v>67</v>
      </c>
      <c r="F14078" s="30" t="s">
        <v>68</v>
      </c>
      <c r="G14078" s="30" t="s">
        <v>158</v>
      </c>
      <c r="H14078" s="32">
        <v>216</v>
      </c>
      <c r="I14078" s="30" t="s">
        <v>51</v>
      </c>
      <c r="J14078" s="41">
        <v>45215</v>
      </c>
      <c r="K14078" s="30" t="s">
        <v>22</v>
      </c>
    </row>
    <row r="14079" spans="1:11">
      <c r="A14079" s="33" t="s">
        <v>31784</v>
      </c>
      <c r="B14079" s="33" t="s">
        <v>31785</v>
      </c>
      <c r="C14079" s="33" t="s">
        <v>1652</v>
      </c>
      <c r="D14079" s="33" t="s">
        <v>17</v>
      </c>
      <c r="E14079" s="33" t="s">
        <v>31</v>
      </c>
      <c r="F14079" s="33" t="s">
        <v>32</v>
      </c>
      <c r="G14079" s="33" t="s">
        <v>158</v>
      </c>
      <c r="H14079" s="35">
        <v>86</v>
      </c>
      <c r="I14079" s="33" t="s">
        <v>21</v>
      </c>
      <c r="J14079" s="42">
        <v>45160</v>
      </c>
      <c r="K14079" s="33" t="s">
        <v>22</v>
      </c>
    </row>
    <row r="14080" spans="1:11">
      <c r="A14080" s="30" t="s">
        <v>31786</v>
      </c>
      <c r="B14080" s="30" t="s">
        <v>31787</v>
      </c>
      <c r="C14080" s="30" t="s">
        <v>16391</v>
      </c>
      <c r="D14080" s="30" t="s">
        <v>17</v>
      </c>
      <c r="E14080" s="30" t="s">
        <v>18</v>
      </c>
      <c r="F14080" s="30" t="s">
        <v>19</v>
      </c>
      <c r="G14080" s="30" t="s">
        <v>158</v>
      </c>
      <c r="H14080" s="32">
        <v>321</v>
      </c>
      <c r="I14080" s="30" t="s">
        <v>21</v>
      </c>
      <c r="J14080" s="41">
        <v>45274</v>
      </c>
      <c r="K14080" s="30" t="s">
        <v>22</v>
      </c>
    </row>
    <row r="14081" spans="1:11">
      <c r="A14081" s="33" t="s">
        <v>31788</v>
      </c>
      <c r="B14081" s="33" t="s">
        <v>31789</v>
      </c>
      <c r="C14081" s="33" t="s">
        <v>10613</v>
      </c>
      <c r="D14081" s="33" t="s">
        <v>17</v>
      </c>
      <c r="E14081" s="33" t="s">
        <v>26</v>
      </c>
      <c r="F14081" s="33" t="s">
        <v>27</v>
      </c>
      <c r="G14081" s="33" t="s">
        <v>112</v>
      </c>
      <c r="H14081" s="35">
        <v>0</v>
      </c>
      <c r="I14081" s="33" t="s">
        <v>21</v>
      </c>
      <c r="J14081" s="42">
        <v>45037</v>
      </c>
      <c r="K14081" s="33" t="s">
        <v>22</v>
      </c>
    </row>
    <row r="14082" spans="1:11">
      <c r="A14082" s="30" t="s">
        <v>31790</v>
      </c>
      <c r="B14082" s="30" t="s">
        <v>31791</v>
      </c>
      <c r="C14082" s="30" t="s">
        <v>25363</v>
      </c>
      <c r="D14082" s="30" t="s">
        <v>17</v>
      </c>
      <c r="E14082" s="30" t="s">
        <v>26</v>
      </c>
      <c r="F14082" s="30" t="s">
        <v>27</v>
      </c>
      <c r="G14082" s="30" t="s">
        <v>20</v>
      </c>
      <c r="H14082" s="32">
        <v>60</v>
      </c>
      <c r="I14082" s="30" t="s">
        <v>21</v>
      </c>
      <c r="J14082" s="41">
        <v>44943</v>
      </c>
      <c r="K14082" s="30" t="s">
        <v>22</v>
      </c>
    </row>
    <row r="14083" spans="1:11">
      <c r="A14083" s="33" t="s">
        <v>31792</v>
      </c>
      <c r="B14083" s="33" t="s">
        <v>31793</v>
      </c>
      <c r="C14083" s="33" t="s">
        <v>29436</v>
      </c>
      <c r="D14083" s="33" t="s">
        <v>17</v>
      </c>
      <c r="E14083" s="33" t="s">
        <v>26</v>
      </c>
      <c r="F14083" s="33" t="s">
        <v>27</v>
      </c>
      <c r="G14083" s="33" t="s">
        <v>20</v>
      </c>
      <c r="H14083" s="35">
        <v>116</v>
      </c>
      <c r="I14083" s="33" t="s">
        <v>21</v>
      </c>
      <c r="J14083" s="42">
        <v>45196</v>
      </c>
      <c r="K14083" s="33" t="s">
        <v>22</v>
      </c>
    </row>
    <row r="14084" spans="1:11">
      <c r="A14084" s="30" t="s">
        <v>31794</v>
      </c>
      <c r="B14084" s="30" t="s">
        <v>31795</v>
      </c>
      <c r="C14084" s="30" t="s">
        <v>4221</v>
      </c>
      <c r="D14084" s="30" t="s">
        <v>17</v>
      </c>
      <c r="E14084" s="30" t="s">
        <v>26</v>
      </c>
      <c r="F14084" s="30" t="s">
        <v>27</v>
      </c>
      <c r="G14084" s="30" t="s">
        <v>106</v>
      </c>
      <c r="H14084" s="32">
        <v>6</v>
      </c>
      <c r="I14084" s="30" t="s">
        <v>21</v>
      </c>
      <c r="J14084" s="41">
        <v>45096</v>
      </c>
      <c r="K14084" s="30" t="s">
        <v>22</v>
      </c>
    </row>
    <row r="14085" spans="1:11">
      <c r="A14085" s="33" t="s">
        <v>31796</v>
      </c>
      <c r="B14085" s="33" t="s">
        <v>31797</v>
      </c>
      <c r="C14085" s="33" t="s">
        <v>31798</v>
      </c>
      <c r="D14085" s="33" t="s">
        <v>17</v>
      </c>
      <c r="E14085" s="33" t="s">
        <v>31</v>
      </c>
      <c r="F14085" s="33" t="s">
        <v>32</v>
      </c>
      <c r="G14085" s="33" t="s">
        <v>106</v>
      </c>
      <c r="H14085" s="35">
        <v>421</v>
      </c>
      <c r="I14085" s="33" t="s">
        <v>21</v>
      </c>
      <c r="J14085" s="42">
        <v>45288</v>
      </c>
      <c r="K14085" s="33" t="s">
        <v>22</v>
      </c>
    </row>
    <row r="14086" spans="1:11">
      <c r="A14086" s="30" t="s">
        <v>31799</v>
      </c>
      <c r="B14086" s="30" t="s">
        <v>31800</v>
      </c>
      <c r="C14086" s="30" t="s">
        <v>216</v>
      </c>
      <c r="D14086" s="30" t="s">
        <v>17</v>
      </c>
      <c r="E14086" s="30" t="s">
        <v>26</v>
      </c>
      <c r="F14086" s="30" t="s">
        <v>27</v>
      </c>
      <c r="G14086" s="30" t="s">
        <v>20</v>
      </c>
      <c r="H14086" s="32">
        <v>59</v>
      </c>
      <c r="I14086" s="30" t="s">
        <v>21</v>
      </c>
      <c r="J14086" s="41">
        <v>45235</v>
      </c>
      <c r="K14086" s="30" t="s">
        <v>22</v>
      </c>
    </row>
    <row r="14087" spans="1:11">
      <c r="A14087" s="33" t="s">
        <v>31801</v>
      </c>
      <c r="B14087" s="33" t="s">
        <v>31802</v>
      </c>
      <c r="C14087" s="33" t="s">
        <v>318</v>
      </c>
      <c r="D14087" s="33" t="s">
        <v>17</v>
      </c>
      <c r="E14087" s="33" t="s">
        <v>18</v>
      </c>
      <c r="F14087" s="33" t="s">
        <v>19</v>
      </c>
      <c r="G14087" s="33" t="s">
        <v>158</v>
      </c>
      <c r="H14087" s="35">
        <v>509</v>
      </c>
      <c r="I14087" s="33" t="s">
        <v>21</v>
      </c>
      <c r="J14087" s="42">
        <v>45077</v>
      </c>
      <c r="K14087" s="33" t="s">
        <v>22</v>
      </c>
    </row>
    <row r="14088" spans="1:11">
      <c r="A14088" s="30" t="s">
        <v>31803</v>
      </c>
      <c r="B14088" s="30" t="s">
        <v>31804</v>
      </c>
      <c r="C14088" s="30" t="s">
        <v>29352</v>
      </c>
      <c r="D14088" s="30" t="s">
        <v>17</v>
      </c>
      <c r="E14088" s="30" t="s">
        <v>26</v>
      </c>
      <c r="F14088" s="30" t="s">
        <v>27</v>
      </c>
      <c r="G14088" s="30" t="s">
        <v>20</v>
      </c>
      <c r="H14088" s="32">
        <v>39</v>
      </c>
      <c r="I14088" s="30" t="s">
        <v>21</v>
      </c>
      <c r="J14088" s="41">
        <v>45131</v>
      </c>
      <c r="K14088" s="30" t="s">
        <v>22</v>
      </c>
    </row>
    <row r="14089" spans="1:11">
      <c r="A14089" s="33" t="s">
        <v>31805</v>
      </c>
      <c r="B14089" s="33" t="s">
        <v>31806</v>
      </c>
      <c r="C14089" s="33" t="s">
        <v>16579</v>
      </c>
      <c r="D14089" s="33" t="s">
        <v>17</v>
      </c>
      <c r="E14089" s="33" t="s">
        <v>31</v>
      </c>
      <c r="F14089" s="33" t="s">
        <v>32</v>
      </c>
      <c r="G14089" s="33" t="s">
        <v>50</v>
      </c>
      <c r="H14089" s="35">
        <v>16</v>
      </c>
      <c r="I14089" s="33" t="s">
        <v>51</v>
      </c>
      <c r="J14089" s="42">
        <v>45224</v>
      </c>
      <c r="K14089" s="33" t="s">
        <v>22</v>
      </c>
    </row>
    <row r="14090" spans="1:11">
      <c r="A14090" s="30" t="s">
        <v>31807</v>
      </c>
      <c r="B14090" s="30" t="s">
        <v>31808</v>
      </c>
      <c r="C14090" s="30" t="s">
        <v>130</v>
      </c>
      <c r="D14090" s="30" t="s">
        <v>17</v>
      </c>
      <c r="E14090" s="30" t="s">
        <v>31</v>
      </c>
      <c r="F14090" s="30" t="s">
        <v>32</v>
      </c>
      <c r="G14090" s="30" t="s">
        <v>158</v>
      </c>
      <c r="H14090" s="32">
        <v>247</v>
      </c>
      <c r="I14090" s="30" t="s">
        <v>21</v>
      </c>
      <c r="J14090" s="41">
        <v>45118</v>
      </c>
      <c r="K14090" s="30" t="s">
        <v>22</v>
      </c>
    </row>
    <row r="14091" spans="1:11">
      <c r="A14091" s="33" t="s">
        <v>31809</v>
      </c>
      <c r="B14091" s="33" t="s">
        <v>31810</v>
      </c>
      <c r="C14091" s="33" t="s">
        <v>203</v>
      </c>
      <c r="D14091" s="33" t="s">
        <v>17</v>
      </c>
      <c r="E14091" s="33" t="s">
        <v>26</v>
      </c>
      <c r="F14091" s="33" t="s">
        <v>27</v>
      </c>
      <c r="G14091" s="33" t="s">
        <v>20</v>
      </c>
      <c r="H14091" s="35">
        <v>60</v>
      </c>
      <c r="I14091" s="33" t="s">
        <v>21</v>
      </c>
      <c r="J14091" s="42">
        <v>45068</v>
      </c>
      <c r="K14091" s="33" t="s">
        <v>22</v>
      </c>
    </row>
    <row r="14092" spans="1:11">
      <c r="A14092" s="30" t="s">
        <v>31811</v>
      </c>
      <c r="B14092" s="30" t="s">
        <v>31812</v>
      </c>
      <c r="C14092" s="30" t="s">
        <v>1770</v>
      </c>
      <c r="D14092" s="30" t="s">
        <v>17</v>
      </c>
      <c r="E14092" s="30" t="s">
        <v>26</v>
      </c>
      <c r="F14092" s="30" t="s">
        <v>27</v>
      </c>
      <c r="G14092" s="30" t="s">
        <v>20</v>
      </c>
      <c r="H14092" s="32">
        <v>84</v>
      </c>
      <c r="I14092" s="30" t="s">
        <v>21</v>
      </c>
      <c r="J14092" s="41">
        <v>45152</v>
      </c>
      <c r="K14092" s="30" t="s">
        <v>22</v>
      </c>
    </row>
    <row r="14093" spans="1:11">
      <c r="A14093" s="33" t="s">
        <v>31813</v>
      </c>
      <c r="B14093" s="33" t="s">
        <v>31814</v>
      </c>
      <c r="C14093" s="33" t="s">
        <v>124</v>
      </c>
      <c r="D14093" s="33" t="s">
        <v>17</v>
      </c>
      <c r="E14093" s="33" t="s">
        <v>31</v>
      </c>
      <c r="F14093" s="33" t="s">
        <v>32</v>
      </c>
      <c r="G14093" s="33" t="s">
        <v>20</v>
      </c>
      <c r="H14093" s="35">
        <v>331</v>
      </c>
      <c r="I14093" s="33" t="s">
        <v>21</v>
      </c>
      <c r="J14093" s="42">
        <v>44984</v>
      </c>
      <c r="K14093" s="33" t="s">
        <v>22</v>
      </c>
    </row>
    <row r="14094" spans="1:11">
      <c r="A14094" s="30" t="s">
        <v>31815</v>
      </c>
      <c r="B14094" s="30" t="s">
        <v>31816</v>
      </c>
      <c r="C14094" s="30" t="s">
        <v>11912</v>
      </c>
      <c r="D14094" s="30" t="s">
        <v>17</v>
      </c>
      <c r="E14094" s="30" t="s">
        <v>18</v>
      </c>
      <c r="F14094" s="30" t="s">
        <v>19</v>
      </c>
      <c r="G14094" s="30" t="s">
        <v>20</v>
      </c>
      <c r="H14094" s="32">
        <v>328</v>
      </c>
      <c r="I14094" s="30" t="s">
        <v>21</v>
      </c>
      <c r="J14094" s="41">
        <v>45026</v>
      </c>
      <c r="K14094" s="30" t="s">
        <v>22</v>
      </c>
    </row>
    <row r="14095" spans="1:11">
      <c r="A14095" s="33" t="s">
        <v>31817</v>
      </c>
      <c r="B14095" s="33" t="s">
        <v>31818</v>
      </c>
      <c r="C14095" s="33" t="s">
        <v>2135</v>
      </c>
      <c r="D14095" s="33" t="s">
        <v>17</v>
      </c>
      <c r="E14095" s="33" t="s">
        <v>212</v>
      </c>
      <c r="F14095" s="33" t="s">
        <v>213</v>
      </c>
      <c r="G14095" s="33" t="s">
        <v>140</v>
      </c>
      <c r="H14095" s="35">
        <v>116</v>
      </c>
      <c r="I14095" s="33" t="s">
        <v>51</v>
      </c>
      <c r="J14095" s="42">
        <v>45211</v>
      </c>
      <c r="K14095" s="33" t="s">
        <v>22</v>
      </c>
    </row>
    <row r="14096" spans="1:11">
      <c r="A14096" s="30" t="s">
        <v>31819</v>
      </c>
      <c r="B14096" s="30" t="s">
        <v>31820</v>
      </c>
      <c r="C14096" s="30" t="s">
        <v>22169</v>
      </c>
      <c r="D14096" s="30" t="s">
        <v>17</v>
      </c>
      <c r="E14096" s="30" t="s">
        <v>67</v>
      </c>
      <c r="F14096" s="30" t="s">
        <v>68</v>
      </c>
      <c r="G14096" s="30" t="s">
        <v>140</v>
      </c>
      <c r="H14096" s="32">
        <v>83</v>
      </c>
      <c r="I14096" s="30" t="s">
        <v>51</v>
      </c>
      <c r="J14096" s="41">
        <v>45225</v>
      </c>
      <c r="K14096" s="30" t="s">
        <v>22</v>
      </c>
    </row>
    <row r="14097" spans="1:11">
      <c r="A14097" s="33" t="s">
        <v>31821</v>
      </c>
      <c r="B14097" s="33" t="s">
        <v>31822</v>
      </c>
      <c r="C14097" s="33" t="s">
        <v>644</v>
      </c>
      <c r="D14097" s="33" t="s">
        <v>17</v>
      </c>
      <c r="E14097" s="33" t="s">
        <v>67</v>
      </c>
      <c r="F14097" s="33" t="s">
        <v>68</v>
      </c>
      <c r="G14097" s="33" t="s">
        <v>140</v>
      </c>
      <c r="H14097" s="35">
        <v>48</v>
      </c>
      <c r="I14097" s="33" t="s">
        <v>51</v>
      </c>
      <c r="J14097" s="42">
        <v>45141</v>
      </c>
      <c r="K14097" s="33" t="s">
        <v>22</v>
      </c>
    </row>
    <row r="14098" spans="1:11">
      <c r="A14098" s="30" t="s">
        <v>31823</v>
      </c>
      <c r="B14098" s="30" t="s">
        <v>31824</v>
      </c>
      <c r="C14098" s="30" t="s">
        <v>23737</v>
      </c>
      <c r="D14098" s="30" t="s">
        <v>17</v>
      </c>
      <c r="E14098" s="30" t="s">
        <v>18</v>
      </c>
      <c r="F14098" s="30" t="s">
        <v>19</v>
      </c>
      <c r="G14098" s="30" t="s">
        <v>7780</v>
      </c>
      <c r="H14098" s="32">
        <v>424</v>
      </c>
      <c r="I14098" s="30" t="s">
        <v>51</v>
      </c>
      <c r="J14098" s="41">
        <v>45047</v>
      </c>
      <c r="K14098" s="30" t="s">
        <v>22</v>
      </c>
    </row>
    <row r="14099" spans="1:11">
      <c r="A14099" s="33" t="s">
        <v>31825</v>
      </c>
      <c r="B14099" s="33" t="s">
        <v>31826</v>
      </c>
      <c r="C14099" s="33" t="s">
        <v>31827</v>
      </c>
      <c r="D14099" s="33" t="s">
        <v>17</v>
      </c>
      <c r="E14099" s="33" t="s">
        <v>18</v>
      </c>
      <c r="F14099" s="33" t="s">
        <v>19</v>
      </c>
      <c r="G14099" s="33" t="s">
        <v>50</v>
      </c>
      <c r="H14099" s="35">
        <v>320</v>
      </c>
      <c r="I14099" s="33" t="s">
        <v>51</v>
      </c>
      <c r="J14099" s="42">
        <v>45047</v>
      </c>
      <c r="K14099" s="33" t="s">
        <v>22</v>
      </c>
    </row>
    <row r="14100" spans="1:11">
      <c r="A14100" s="30" t="s">
        <v>31828</v>
      </c>
      <c r="B14100" s="30" t="s">
        <v>31829</v>
      </c>
      <c r="C14100" s="30" t="s">
        <v>154</v>
      </c>
      <c r="D14100" s="30" t="s">
        <v>17</v>
      </c>
      <c r="E14100" s="30" t="s">
        <v>31</v>
      </c>
      <c r="F14100" s="30" t="s">
        <v>32</v>
      </c>
      <c r="G14100" s="30" t="s">
        <v>20</v>
      </c>
      <c r="H14100" s="32">
        <v>121</v>
      </c>
      <c r="I14100" s="30" t="s">
        <v>21</v>
      </c>
      <c r="J14100" s="41">
        <v>44993</v>
      </c>
      <c r="K14100" s="30" t="s">
        <v>22</v>
      </c>
    </row>
    <row r="14101" spans="1:11">
      <c r="A14101" s="33" t="s">
        <v>31830</v>
      </c>
      <c r="B14101" s="33" t="s">
        <v>31831</v>
      </c>
      <c r="C14101" s="33" t="s">
        <v>4348</v>
      </c>
      <c r="D14101" s="33" t="s">
        <v>17</v>
      </c>
      <c r="E14101" s="33" t="s">
        <v>31</v>
      </c>
      <c r="F14101" s="33" t="s">
        <v>32</v>
      </c>
      <c r="G14101" s="33" t="s">
        <v>140</v>
      </c>
      <c r="H14101" s="35">
        <v>76</v>
      </c>
      <c r="I14101" s="33" t="s">
        <v>51</v>
      </c>
      <c r="J14101" s="42">
        <v>45036</v>
      </c>
      <c r="K14101" s="33" t="s">
        <v>22</v>
      </c>
    </row>
    <row r="14102" spans="1:11">
      <c r="A14102" s="30" t="s">
        <v>31832</v>
      </c>
      <c r="B14102" s="30" t="s">
        <v>31833</v>
      </c>
      <c r="C14102" s="30" t="s">
        <v>2117</v>
      </c>
      <c r="D14102" s="30" t="s">
        <v>17</v>
      </c>
      <c r="E14102" s="30" t="s">
        <v>31</v>
      </c>
      <c r="F14102" s="30" t="s">
        <v>32</v>
      </c>
      <c r="G14102" s="30" t="s">
        <v>140</v>
      </c>
      <c r="H14102" s="32">
        <v>71</v>
      </c>
      <c r="I14102" s="30" t="s">
        <v>51</v>
      </c>
      <c r="J14102" s="41">
        <v>45002</v>
      </c>
      <c r="K14102" s="30" t="s">
        <v>22</v>
      </c>
    </row>
    <row r="14103" spans="1:11">
      <c r="A14103" s="33" t="s">
        <v>31834</v>
      </c>
      <c r="B14103" s="33" t="s">
        <v>31835</v>
      </c>
      <c r="C14103" s="33" t="s">
        <v>23852</v>
      </c>
      <c r="D14103" s="33" t="s">
        <v>17</v>
      </c>
      <c r="E14103" s="33" t="s">
        <v>26</v>
      </c>
      <c r="F14103" s="33" t="s">
        <v>27</v>
      </c>
      <c r="G14103" s="33" t="s">
        <v>20</v>
      </c>
      <c r="H14103" s="35">
        <v>68</v>
      </c>
      <c r="I14103" s="33" t="s">
        <v>21</v>
      </c>
      <c r="J14103" s="42">
        <v>45253</v>
      </c>
      <c r="K14103" s="33" t="s">
        <v>22</v>
      </c>
    </row>
    <row r="14104" spans="1:11">
      <c r="A14104" s="30" t="s">
        <v>31836</v>
      </c>
      <c r="B14104" s="30" t="s">
        <v>31837</v>
      </c>
      <c r="C14104" s="30" t="s">
        <v>510</v>
      </c>
      <c r="D14104" s="30" t="s">
        <v>17</v>
      </c>
      <c r="E14104" s="30" t="s">
        <v>31</v>
      </c>
      <c r="F14104" s="30" t="s">
        <v>32</v>
      </c>
      <c r="G14104" s="30" t="s">
        <v>20</v>
      </c>
      <c r="H14104" s="32">
        <v>305</v>
      </c>
      <c r="I14104" s="30" t="s">
        <v>21</v>
      </c>
      <c r="J14104" s="41">
        <v>45007</v>
      </c>
      <c r="K14104" s="30" t="s">
        <v>22</v>
      </c>
    </row>
    <row r="14105" spans="1:11">
      <c r="A14105" s="33" t="s">
        <v>31838</v>
      </c>
      <c r="B14105" s="33" t="s">
        <v>31839</v>
      </c>
      <c r="C14105" s="33" t="s">
        <v>362</v>
      </c>
      <c r="D14105" s="33" t="s">
        <v>17</v>
      </c>
      <c r="E14105" s="33" t="s">
        <v>26</v>
      </c>
      <c r="F14105" s="33" t="s">
        <v>27</v>
      </c>
      <c r="G14105" s="33" t="s">
        <v>20</v>
      </c>
      <c r="H14105" s="35">
        <v>12</v>
      </c>
      <c r="I14105" s="33" t="s">
        <v>21</v>
      </c>
      <c r="J14105" s="42">
        <v>45191</v>
      </c>
      <c r="K14105" s="33" t="s">
        <v>22</v>
      </c>
    </row>
    <row r="14106" spans="1:11">
      <c r="A14106" s="30" t="s">
        <v>31840</v>
      </c>
      <c r="B14106" s="30" t="s">
        <v>31841</v>
      </c>
      <c r="C14106" s="30" t="s">
        <v>178</v>
      </c>
      <c r="D14106" s="30" t="s">
        <v>17</v>
      </c>
      <c r="E14106" s="30" t="s">
        <v>26</v>
      </c>
      <c r="F14106" s="30" t="s">
        <v>27</v>
      </c>
      <c r="G14106" s="30" t="s">
        <v>20</v>
      </c>
      <c r="H14106" s="32">
        <v>41</v>
      </c>
      <c r="I14106" s="30" t="s">
        <v>21</v>
      </c>
      <c r="J14106" s="41">
        <v>44949</v>
      </c>
      <c r="K14106" s="30" t="s">
        <v>22</v>
      </c>
    </row>
    <row r="14107" spans="1:11">
      <c r="A14107" s="33" t="s">
        <v>31842</v>
      </c>
      <c r="B14107" s="33" t="s">
        <v>31843</v>
      </c>
      <c r="C14107" s="33" t="s">
        <v>31844</v>
      </c>
      <c r="D14107" s="33" t="s">
        <v>17</v>
      </c>
      <c r="E14107" s="33" t="s">
        <v>67</v>
      </c>
      <c r="F14107" s="33" t="s">
        <v>68</v>
      </c>
      <c r="G14107" s="33" t="s">
        <v>140</v>
      </c>
      <c r="H14107" s="35">
        <v>84</v>
      </c>
      <c r="I14107" s="33" t="s">
        <v>51</v>
      </c>
      <c r="J14107" s="42">
        <v>45286</v>
      </c>
      <c r="K14107" s="33" t="s">
        <v>22</v>
      </c>
    </row>
    <row r="14108" spans="1:11">
      <c r="A14108" s="30" t="s">
        <v>31845</v>
      </c>
      <c r="B14108" s="30" t="s">
        <v>31846</v>
      </c>
      <c r="C14108" s="30" t="s">
        <v>87</v>
      </c>
      <c r="D14108" s="30" t="s">
        <v>17</v>
      </c>
      <c r="E14108" s="30" t="s">
        <v>26</v>
      </c>
      <c r="F14108" s="30" t="s">
        <v>27</v>
      </c>
      <c r="G14108" s="30" t="s">
        <v>158</v>
      </c>
      <c r="H14108" s="32">
        <v>84</v>
      </c>
      <c r="I14108" s="30" t="s">
        <v>51</v>
      </c>
      <c r="J14108" s="41">
        <v>45086</v>
      </c>
      <c r="K14108" s="30" t="s">
        <v>22</v>
      </c>
    </row>
    <row r="14109" spans="1:11">
      <c r="A14109" s="33" t="s">
        <v>31847</v>
      </c>
      <c r="B14109" s="33" t="s">
        <v>31848</v>
      </c>
      <c r="C14109" s="33" t="s">
        <v>109</v>
      </c>
      <c r="D14109" s="33" t="s">
        <v>17</v>
      </c>
      <c r="E14109" s="33" t="s">
        <v>26</v>
      </c>
      <c r="F14109" s="33" t="s">
        <v>27</v>
      </c>
      <c r="G14109" s="33" t="s">
        <v>158</v>
      </c>
      <c r="H14109" s="35">
        <v>123</v>
      </c>
      <c r="I14109" s="33" t="s">
        <v>21</v>
      </c>
      <c r="J14109" s="42">
        <v>45104</v>
      </c>
      <c r="K14109" s="33" t="s">
        <v>22</v>
      </c>
    </row>
    <row r="14110" spans="1:11">
      <c r="A14110" s="30" t="s">
        <v>31849</v>
      </c>
      <c r="B14110" s="30" t="s">
        <v>31850</v>
      </c>
      <c r="C14110" s="30" t="s">
        <v>8768</v>
      </c>
      <c r="D14110" s="30" t="s">
        <v>17</v>
      </c>
      <c r="E14110" s="30" t="s">
        <v>26</v>
      </c>
      <c r="F14110" s="30" t="s">
        <v>27</v>
      </c>
      <c r="G14110" s="30" t="s">
        <v>140</v>
      </c>
      <c r="H14110" s="32">
        <v>36</v>
      </c>
      <c r="I14110" s="30" t="s">
        <v>51</v>
      </c>
      <c r="J14110" s="41">
        <v>45069</v>
      </c>
      <c r="K14110" s="30" t="s">
        <v>22</v>
      </c>
    </row>
    <row r="14111" spans="1:11">
      <c r="A14111" s="33" t="s">
        <v>31851</v>
      </c>
      <c r="B14111" s="33" t="s">
        <v>31852</v>
      </c>
      <c r="C14111" s="33" t="s">
        <v>10530</v>
      </c>
      <c r="D14111" s="33" t="s">
        <v>17</v>
      </c>
      <c r="E14111" s="33" t="s">
        <v>26</v>
      </c>
      <c r="F14111" s="33" t="s">
        <v>27</v>
      </c>
      <c r="G14111" s="33" t="s">
        <v>20</v>
      </c>
      <c r="H14111" s="35">
        <v>54</v>
      </c>
      <c r="I14111" s="33" t="s">
        <v>21</v>
      </c>
      <c r="J14111" s="42">
        <v>45225</v>
      </c>
      <c r="K14111" s="33" t="s">
        <v>22</v>
      </c>
    </row>
    <row r="14112" spans="1:11">
      <c r="A14112" s="30" t="s">
        <v>31853</v>
      </c>
      <c r="B14112" s="30" t="s">
        <v>31854</v>
      </c>
      <c r="C14112" s="30" t="s">
        <v>10661</v>
      </c>
      <c r="D14112" s="30" t="s">
        <v>17</v>
      </c>
      <c r="E14112" s="30" t="s">
        <v>67</v>
      </c>
      <c r="F14112" s="30" t="s">
        <v>68</v>
      </c>
      <c r="G14112" s="30" t="s">
        <v>158</v>
      </c>
      <c r="H14112" s="32">
        <v>24</v>
      </c>
      <c r="I14112" s="30" t="s">
        <v>21</v>
      </c>
      <c r="J14112" s="41">
        <v>45180</v>
      </c>
      <c r="K14112" s="30" t="s">
        <v>22</v>
      </c>
    </row>
    <row r="14113" spans="1:11">
      <c r="A14113" s="33" t="s">
        <v>31855</v>
      </c>
      <c r="B14113" s="33" t="s">
        <v>31856</v>
      </c>
      <c r="C14113" s="33" t="s">
        <v>31108</v>
      </c>
      <c r="D14113" s="33" t="s">
        <v>17</v>
      </c>
      <c r="E14113" s="33" t="s">
        <v>31</v>
      </c>
      <c r="F14113" s="33" t="s">
        <v>32</v>
      </c>
      <c r="G14113" s="33" t="s">
        <v>158</v>
      </c>
      <c r="H14113" s="35">
        <v>255</v>
      </c>
      <c r="I14113" s="33" t="s">
        <v>21</v>
      </c>
      <c r="J14113" s="42">
        <v>45069</v>
      </c>
      <c r="K14113" s="33" t="s">
        <v>22</v>
      </c>
    </row>
    <row r="14114" spans="1:11">
      <c r="A14114" s="30" t="s">
        <v>31857</v>
      </c>
      <c r="B14114" s="30" t="s">
        <v>31858</v>
      </c>
      <c r="C14114" s="30" t="s">
        <v>78</v>
      </c>
      <c r="D14114" s="30" t="s">
        <v>17</v>
      </c>
      <c r="E14114" s="30" t="s">
        <v>18</v>
      </c>
      <c r="F14114" s="30" t="s">
        <v>19</v>
      </c>
      <c r="G14114" s="30" t="s">
        <v>20</v>
      </c>
      <c r="H14114" s="32">
        <v>235</v>
      </c>
      <c r="I14114" s="30" t="s">
        <v>21</v>
      </c>
      <c r="J14114" s="41">
        <v>45138</v>
      </c>
      <c r="K14114" s="30" t="s">
        <v>22</v>
      </c>
    </row>
    <row r="14115" spans="1:11">
      <c r="A14115" s="33" t="s">
        <v>31859</v>
      </c>
      <c r="B14115" s="33" t="s">
        <v>31860</v>
      </c>
      <c r="C14115" s="33" t="s">
        <v>31861</v>
      </c>
      <c r="D14115" s="33" t="s">
        <v>17</v>
      </c>
      <c r="E14115" s="33" t="s">
        <v>31</v>
      </c>
      <c r="F14115" s="33" t="s">
        <v>32</v>
      </c>
      <c r="G14115" s="33" t="s">
        <v>20</v>
      </c>
      <c r="H14115" s="35">
        <v>106</v>
      </c>
      <c r="I14115" s="33" t="s">
        <v>21</v>
      </c>
      <c r="J14115" s="42">
        <v>45275</v>
      </c>
      <c r="K14115" s="33" t="s">
        <v>22</v>
      </c>
    </row>
    <row r="14116" spans="1:11">
      <c r="A14116" s="30" t="s">
        <v>31862</v>
      </c>
      <c r="B14116" s="30" t="s">
        <v>31863</v>
      </c>
      <c r="C14116" s="30" t="s">
        <v>190</v>
      </c>
      <c r="D14116" s="30" t="s">
        <v>17</v>
      </c>
      <c r="E14116" s="30" t="s">
        <v>18</v>
      </c>
      <c r="F14116" s="30" t="s">
        <v>19</v>
      </c>
      <c r="G14116" s="30" t="s">
        <v>140</v>
      </c>
      <c r="H14116" s="32">
        <v>200</v>
      </c>
      <c r="I14116" s="30" t="s">
        <v>51</v>
      </c>
      <c r="J14116" s="41">
        <v>45021</v>
      </c>
      <c r="K14116" s="30" t="s">
        <v>22</v>
      </c>
    </row>
    <row r="14117" spans="1:11">
      <c r="A14117" s="33" t="s">
        <v>31864</v>
      </c>
      <c r="B14117" s="33" t="s">
        <v>31865</v>
      </c>
      <c r="C14117" s="33" t="s">
        <v>60</v>
      </c>
      <c r="D14117" s="33" t="s">
        <v>17</v>
      </c>
      <c r="E14117" s="33" t="s">
        <v>26</v>
      </c>
      <c r="F14117" s="33" t="s">
        <v>27</v>
      </c>
      <c r="G14117" s="33" t="s">
        <v>20</v>
      </c>
      <c r="H14117" s="35">
        <v>30</v>
      </c>
      <c r="I14117" s="33" t="s">
        <v>21</v>
      </c>
      <c r="J14117" s="42">
        <v>45056</v>
      </c>
      <c r="K14117" s="33" t="s">
        <v>22</v>
      </c>
    </row>
    <row r="14118" spans="1:11">
      <c r="A14118" s="30" t="s">
        <v>31866</v>
      </c>
      <c r="B14118" s="30" t="s">
        <v>31867</v>
      </c>
      <c r="C14118" s="30" t="s">
        <v>28346</v>
      </c>
      <c r="D14118" s="30" t="s">
        <v>17</v>
      </c>
      <c r="E14118" s="30" t="s">
        <v>45</v>
      </c>
      <c r="F14118" s="30" t="s">
        <v>46</v>
      </c>
      <c r="G14118" s="30" t="s">
        <v>158</v>
      </c>
      <c r="H14118" s="32">
        <v>168</v>
      </c>
      <c r="I14118" s="30" t="s">
        <v>21</v>
      </c>
      <c r="J14118" s="41">
        <v>44935</v>
      </c>
      <c r="K14118" s="30" t="s">
        <v>22</v>
      </c>
    </row>
    <row r="14119" spans="1:11">
      <c r="A14119" s="33" t="s">
        <v>31868</v>
      </c>
      <c r="B14119" s="33" t="s">
        <v>31869</v>
      </c>
      <c r="C14119" s="33" t="s">
        <v>190</v>
      </c>
      <c r="D14119" s="33" t="s">
        <v>17</v>
      </c>
      <c r="E14119" s="33" t="s">
        <v>18</v>
      </c>
      <c r="F14119" s="33" t="s">
        <v>19</v>
      </c>
      <c r="G14119" s="33" t="s">
        <v>158</v>
      </c>
      <c r="H14119" s="35">
        <v>214</v>
      </c>
      <c r="I14119" s="33" t="s">
        <v>21</v>
      </c>
      <c r="J14119" s="42">
        <v>44972</v>
      </c>
      <c r="K14119" s="33" t="s">
        <v>22</v>
      </c>
    </row>
    <row r="14120" spans="1:11">
      <c r="A14120" s="30" t="s">
        <v>31870</v>
      </c>
      <c r="B14120" s="30" t="s">
        <v>31871</v>
      </c>
      <c r="C14120" s="30" t="s">
        <v>1165</v>
      </c>
      <c r="D14120" s="30" t="s">
        <v>17</v>
      </c>
      <c r="E14120" s="30" t="s">
        <v>26</v>
      </c>
      <c r="F14120" s="30" t="s">
        <v>27</v>
      </c>
      <c r="G14120" s="30" t="s">
        <v>20</v>
      </c>
      <c r="H14120" s="32">
        <v>33</v>
      </c>
      <c r="I14120" s="30" t="s">
        <v>21</v>
      </c>
      <c r="J14120" s="41">
        <v>45124</v>
      </c>
      <c r="K14120" s="30" t="s">
        <v>22</v>
      </c>
    </row>
    <row r="14121" spans="1:11">
      <c r="A14121" s="33" t="s">
        <v>31872</v>
      </c>
      <c r="B14121" s="33" t="s">
        <v>31873</v>
      </c>
      <c r="C14121" s="33" t="s">
        <v>2772</v>
      </c>
      <c r="D14121" s="33" t="s">
        <v>17</v>
      </c>
      <c r="E14121" s="33" t="s">
        <v>18</v>
      </c>
      <c r="F14121" s="33" t="s">
        <v>19</v>
      </c>
      <c r="G14121" s="33" t="s">
        <v>140</v>
      </c>
      <c r="H14121" s="35">
        <v>252</v>
      </c>
      <c r="I14121" s="33" t="s">
        <v>51</v>
      </c>
      <c r="J14121" s="42">
        <v>45281</v>
      </c>
      <c r="K14121" s="33" t="s">
        <v>22</v>
      </c>
    </row>
    <row r="14122" spans="1:11">
      <c r="A14122" s="30" t="s">
        <v>31874</v>
      </c>
      <c r="B14122" s="30" t="s">
        <v>31875</v>
      </c>
      <c r="C14122" s="30" t="s">
        <v>3459</v>
      </c>
      <c r="D14122" s="30" t="s">
        <v>17</v>
      </c>
      <c r="E14122" s="30" t="s">
        <v>26</v>
      </c>
      <c r="F14122" s="30" t="s">
        <v>27</v>
      </c>
      <c r="G14122" s="30" t="s">
        <v>20</v>
      </c>
      <c r="H14122" s="32">
        <v>18</v>
      </c>
      <c r="I14122" s="30" t="s">
        <v>21</v>
      </c>
      <c r="J14122" s="41">
        <v>45022</v>
      </c>
      <c r="K14122" s="30" t="s">
        <v>22</v>
      </c>
    </row>
    <row r="14123" spans="1:11">
      <c r="A14123" s="33" t="s">
        <v>31876</v>
      </c>
      <c r="B14123" s="33" t="s">
        <v>31877</v>
      </c>
      <c r="C14123" s="33" t="s">
        <v>11899</v>
      </c>
      <c r="D14123" s="33" t="s">
        <v>17</v>
      </c>
      <c r="E14123" s="33" t="s">
        <v>26</v>
      </c>
      <c r="F14123" s="33" t="s">
        <v>27</v>
      </c>
      <c r="G14123" s="33" t="s">
        <v>50</v>
      </c>
      <c r="H14123" s="35">
        <v>133</v>
      </c>
      <c r="I14123" s="33" t="s">
        <v>51</v>
      </c>
      <c r="J14123" s="42">
        <v>45034</v>
      </c>
      <c r="K14123" s="33" t="s">
        <v>22</v>
      </c>
    </row>
    <row r="14124" spans="1:11">
      <c r="A14124" s="30" t="s">
        <v>31878</v>
      </c>
      <c r="B14124" s="30" t="s">
        <v>31879</v>
      </c>
      <c r="C14124" s="30" t="s">
        <v>31880</v>
      </c>
      <c r="D14124" s="30" t="s">
        <v>17</v>
      </c>
      <c r="E14124" s="30" t="s">
        <v>18</v>
      </c>
      <c r="F14124" s="30" t="s">
        <v>19</v>
      </c>
      <c r="G14124" s="30" t="s">
        <v>50</v>
      </c>
      <c r="H14124" s="32">
        <v>180</v>
      </c>
      <c r="I14124" s="30" t="s">
        <v>51</v>
      </c>
      <c r="J14124" s="41">
        <v>45231</v>
      </c>
      <c r="K14124" s="30" t="s">
        <v>22</v>
      </c>
    </row>
    <row r="14125" spans="1:11">
      <c r="A14125" s="33" t="s">
        <v>31881</v>
      </c>
      <c r="B14125" s="33" t="s">
        <v>31882</v>
      </c>
      <c r="C14125" s="33" t="s">
        <v>136</v>
      </c>
      <c r="D14125" s="33" t="s">
        <v>17</v>
      </c>
      <c r="E14125" s="33" t="s">
        <v>26</v>
      </c>
      <c r="F14125" s="33" t="s">
        <v>27</v>
      </c>
      <c r="G14125" s="33" t="s">
        <v>20</v>
      </c>
      <c r="H14125" s="35">
        <v>46</v>
      </c>
      <c r="I14125" s="33" t="s">
        <v>21</v>
      </c>
      <c r="J14125" s="42">
        <v>45181</v>
      </c>
      <c r="K14125" s="33" t="s">
        <v>22</v>
      </c>
    </row>
    <row r="14126" spans="1:11">
      <c r="A14126" s="30" t="s">
        <v>31883</v>
      </c>
      <c r="B14126" s="30" t="s">
        <v>31884</v>
      </c>
      <c r="C14126" s="30" t="s">
        <v>31885</v>
      </c>
      <c r="D14126" s="30" t="s">
        <v>17</v>
      </c>
      <c r="E14126" s="30" t="s">
        <v>18</v>
      </c>
      <c r="F14126" s="30" t="s">
        <v>19</v>
      </c>
      <c r="G14126" s="30" t="s">
        <v>20</v>
      </c>
      <c r="H14126" s="32">
        <v>398</v>
      </c>
      <c r="I14126" s="30" t="s">
        <v>21</v>
      </c>
      <c r="J14126" s="41">
        <v>45231</v>
      </c>
      <c r="K14126" s="30" t="s">
        <v>22</v>
      </c>
    </row>
    <row r="14127" spans="1:11">
      <c r="A14127" s="33" t="s">
        <v>31886</v>
      </c>
      <c r="B14127" s="33" t="s">
        <v>31887</v>
      </c>
      <c r="C14127" s="33" t="s">
        <v>379</v>
      </c>
      <c r="D14127" s="33" t="s">
        <v>17</v>
      </c>
      <c r="E14127" s="33" t="s">
        <v>26</v>
      </c>
      <c r="F14127" s="33" t="s">
        <v>27</v>
      </c>
      <c r="G14127" s="33" t="s">
        <v>20</v>
      </c>
      <c r="H14127" s="35">
        <v>172</v>
      </c>
      <c r="I14127" s="33" t="s">
        <v>21</v>
      </c>
      <c r="J14127" s="42">
        <v>44957</v>
      </c>
      <c r="K14127" s="33" t="s">
        <v>22</v>
      </c>
    </row>
    <row r="14128" spans="1:11">
      <c r="A14128" s="30" t="s">
        <v>31888</v>
      </c>
      <c r="B14128" s="30" t="s">
        <v>31889</v>
      </c>
      <c r="C14128" s="30" t="s">
        <v>31890</v>
      </c>
      <c r="D14128" s="30" t="s">
        <v>17</v>
      </c>
      <c r="E14128" s="30" t="s">
        <v>45</v>
      </c>
      <c r="F14128" s="30" t="s">
        <v>46</v>
      </c>
      <c r="G14128" s="30" t="s">
        <v>112</v>
      </c>
      <c r="H14128" s="32">
        <v>0</v>
      </c>
      <c r="I14128" s="30" t="s">
        <v>21</v>
      </c>
      <c r="J14128" s="41">
        <v>45200</v>
      </c>
      <c r="K14128" s="30" t="s">
        <v>22</v>
      </c>
    </row>
    <row r="14129" spans="1:11">
      <c r="A14129" s="33" t="s">
        <v>31891</v>
      </c>
      <c r="B14129" s="33" t="s">
        <v>31892</v>
      </c>
      <c r="C14129" s="33" t="s">
        <v>28459</v>
      </c>
      <c r="D14129" s="33" t="s">
        <v>17</v>
      </c>
      <c r="E14129" s="33" t="s">
        <v>26</v>
      </c>
      <c r="F14129" s="33" t="s">
        <v>27</v>
      </c>
      <c r="G14129" s="33" t="s">
        <v>20</v>
      </c>
      <c r="H14129" s="35">
        <v>6</v>
      </c>
      <c r="I14129" s="33" t="s">
        <v>21</v>
      </c>
      <c r="J14129" s="42">
        <v>45130</v>
      </c>
      <c r="K14129" s="33" t="s">
        <v>22</v>
      </c>
    </row>
    <row r="14130" spans="1:11">
      <c r="A14130" s="30" t="s">
        <v>31893</v>
      </c>
      <c r="B14130" s="30" t="s">
        <v>31894</v>
      </c>
      <c r="C14130" s="30" t="s">
        <v>31895</v>
      </c>
      <c r="D14130" s="30" t="s">
        <v>17</v>
      </c>
      <c r="E14130" s="30" t="s">
        <v>26</v>
      </c>
      <c r="F14130" s="30" t="s">
        <v>27</v>
      </c>
      <c r="G14130" s="30" t="s">
        <v>20</v>
      </c>
      <c r="H14130" s="32">
        <v>120</v>
      </c>
      <c r="I14130" s="30" t="s">
        <v>21</v>
      </c>
      <c r="J14130" s="41">
        <v>45252</v>
      </c>
      <c r="K14130" s="30" t="s">
        <v>22</v>
      </c>
    </row>
    <row r="14131" spans="1:11">
      <c r="A14131" s="33" t="s">
        <v>31896</v>
      </c>
      <c r="B14131" s="33" t="s">
        <v>31897</v>
      </c>
      <c r="C14131" s="33" t="s">
        <v>102</v>
      </c>
      <c r="D14131" s="33" t="s">
        <v>17</v>
      </c>
      <c r="E14131" s="33" t="s">
        <v>18</v>
      </c>
      <c r="F14131" s="33" t="s">
        <v>19</v>
      </c>
      <c r="G14131" s="33" t="s">
        <v>140</v>
      </c>
      <c r="H14131" s="35">
        <v>120</v>
      </c>
      <c r="I14131" s="33" t="s">
        <v>51</v>
      </c>
      <c r="J14131" s="42">
        <v>45280</v>
      </c>
      <c r="K14131" s="33" t="s">
        <v>22</v>
      </c>
    </row>
    <row r="14132" spans="1:11">
      <c r="A14132" s="30" t="s">
        <v>31898</v>
      </c>
      <c r="B14132" s="30" t="s">
        <v>31899</v>
      </c>
      <c r="C14132" s="30" t="s">
        <v>18511</v>
      </c>
      <c r="D14132" s="30" t="s">
        <v>17</v>
      </c>
      <c r="E14132" s="30" t="s">
        <v>26</v>
      </c>
      <c r="F14132" s="30" t="s">
        <v>27</v>
      </c>
      <c r="G14132" s="30" t="s">
        <v>20</v>
      </c>
      <c r="H14132" s="32">
        <v>17</v>
      </c>
      <c r="I14132" s="30" t="s">
        <v>21</v>
      </c>
      <c r="J14132" s="41">
        <v>45231</v>
      </c>
      <c r="K14132" s="30" t="s">
        <v>22</v>
      </c>
    </row>
    <row r="14133" spans="1:11">
      <c r="A14133" s="33" t="s">
        <v>31900</v>
      </c>
      <c r="B14133" s="33" t="s">
        <v>31901</v>
      </c>
      <c r="C14133" s="33" t="s">
        <v>13471</v>
      </c>
      <c r="D14133" s="33" t="s">
        <v>17</v>
      </c>
      <c r="E14133" s="33" t="s">
        <v>31</v>
      </c>
      <c r="F14133" s="33" t="s">
        <v>32</v>
      </c>
      <c r="G14133" s="33" t="s">
        <v>50</v>
      </c>
      <c r="H14133" s="35">
        <v>450</v>
      </c>
      <c r="I14133" s="33" t="s">
        <v>21</v>
      </c>
      <c r="J14133" s="42">
        <v>45208</v>
      </c>
      <c r="K14133" s="33" t="s">
        <v>22</v>
      </c>
    </row>
    <row r="14134" spans="1:11">
      <c r="A14134" s="30" t="s">
        <v>31902</v>
      </c>
      <c r="B14134" s="30" t="s">
        <v>31903</v>
      </c>
      <c r="C14134" s="30" t="s">
        <v>93</v>
      </c>
      <c r="D14134" s="30" t="s">
        <v>17</v>
      </c>
      <c r="E14134" s="30" t="s">
        <v>26</v>
      </c>
      <c r="F14134" s="30" t="s">
        <v>27</v>
      </c>
      <c r="G14134" s="30" t="s">
        <v>20</v>
      </c>
      <c r="H14134" s="32">
        <v>48</v>
      </c>
      <c r="I14134" s="30" t="s">
        <v>21</v>
      </c>
      <c r="J14134" s="41">
        <v>45250</v>
      </c>
      <c r="K14134" s="30" t="s">
        <v>22</v>
      </c>
    </row>
    <row r="14135" spans="1:11">
      <c r="A14135" s="33" t="s">
        <v>31904</v>
      </c>
      <c r="B14135" s="33" t="s">
        <v>31905</v>
      </c>
      <c r="C14135" s="33" t="s">
        <v>432</v>
      </c>
      <c r="D14135" s="33" t="s">
        <v>17</v>
      </c>
      <c r="E14135" s="33" t="s">
        <v>26</v>
      </c>
      <c r="F14135" s="33" t="s">
        <v>27</v>
      </c>
      <c r="G14135" s="33" t="s">
        <v>50</v>
      </c>
      <c r="H14135" s="35">
        <v>34</v>
      </c>
      <c r="I14135" s="33" t="s">
        <v>21</v>
      </c>
      <c r="J14135" s="42">
        <v>45139</v>
      </c>
      <c r="K14135" s="33" t="s">
        <v>22</v>
      </c>
    </row>
    <row r="14136" spans="1:11">
      <c r="A14136" s="30" t="s">
        <v>31906</v>
      </c>
      <c r="B14136" s="30" t="s">
        <v>31907</v>
      </c>
      <c r="C14136" s="30" t="s">
        <v>12734</v>
      </c>
      <c r="D14136" s="30" t="s">
        <v>17</v>
      </c>
      <c r="E14136" s="30" t="s">
        <v>26</v>
      </c>
      <c r="F14136" s="30" t="s">
        <v>27</v>
      </c>
      <c r="G14136" s="30" t="s">
        <v>112</v>
      </c>
      <c r="H14136" s="32">
        <v>0</v>
      </c>
      <c r="I14136" s="30" t="s">
        <v>21</v>
      </c>
      <c r="J14136" s="41">
        <v>45078</v>
      </c>
      <c r="K14136" s="30" t="s">
        <v>22</v>
      </c>
    </row>
    <row r="14137" spans="1:11">
      <c r="A14137" s="33" t="s">
        <v>31908</v>
      </c>
      <c r="B14137" s="33" t="s">
        <v>31909</v>
      </c>
      <c r="C14137" s="33" t="s">
        <v>157</v>
      </c>
      <c r="D14137" s="33" t="s">
        <v>17</v>
      </c>
      <c r="E14137" s="33" t="s">
        <v>18</v>
      </c>
      <c r="F14137" s="33" t="s">
        <v>19</v>
      </c>
      <c r="G14137" s="33" t="s">
        <v>20</v>
      </c>
      <c r="H14137" s="35">
        <v>7</v>
      </c>
      <c r="I14137" s="33" t="s">
        <v>21</v>
      </c>
      <c r="J14137" s="42">
        <v>44942</v>
      </c>
      <c r="K14137" s="33" t="s">
        <v>22</v>
      </c>
    </row>
    <row r="14138" spans="1:11">
      <c r="A14138" s="30" t="s">
        <v>31910</v>
      </c>
      <c r="B14138" s="30" t="s">
        <v>31911</v>
      </c>
      <c r="C14138" s="30" t="s">
        <v>450</v>
      </c>
      <c r="D14138" s="30" t="s">
        <v>17</v>
      </c>
      <c r="E14138" s="30" t="s">
        <v>26</v>
      </c>
      <c r="F14138" s="30" t="s">
        <v>27</v>
      </c>
      <c r="G14138" s="30" t="s">
        <v>20</v>
      </c>
      <c r="H14138" s="32">
        <v>20</v>
      </c>
      <c r="I14138" s="30" t="s">
        <v>21</v>
      </c>
      <c r="J14138" s="41">
        <v>45028</v>
      </c>
      <c r="K14138" s="30" t="s">
        <v>22</v>
      </c>
    </row>
    <row r="14139" spans="1:11">
      <c r="A14139" s="33" t="s">
        <v>31912</v>
      </c>
      <c r="B14139" s="33" t="s">
        <v>31913</v>
      </c>
      <c r="C14139" s="33" t="s">
        <v>538</v>
      </c>
      <c r="D14139" s="33" t="s">
        <v>17</v>
      </c>
      <c r="E14139" s="33" t="s">
        <v>18</v>
      </c>
      <c r="F14139" s="33" t="s">
        <v>19</v>
      </c>
      <c r="G14139" s="33" t="s">
        <v>20</v>
      </c>
      <c r="H14139" s="35">
        <v>616</v>
      </c>
      <c r="I14139" s="33" t="s">
        <v>21</v>
      </c>
      <c r="J14139" s="42">
        <v>45068</v>
      </c>
      <c r="K14139" s="33" t="s">
        <v>22</v>
      </c>
    </row>
    <row r="14140" spans="1:11">
      <c r="A14140" s="30" t="s">
        <v>31914</v>
      </c>
      <c r="B14140" s="30" t="s">
        <v>31915</v>
      </c>
      <c r="C14140" s="30" t="s">
        <v>14483</v>
      </c>
      <c r="D14140" s="30" t="s">
        <v>17</v>
      </c>
      <c r="E14140" s="30" t="s">
        <v>18</v>
      </c>
      <c r="F14140" s="30" t="s">
        <v>19</v>
      </c>
      <c r="G14140" s="30" t="s">
        <v>50</v>
      </c>
      <c r="H14140" s="32">
        <v>162</v>
      </c>
      <c r="I14140" s="30" t="s">
        <v>51</v>
      </c>
      <c r="J14140" s="41">
        <v>45261</v>
      </c>
      <c r="K14140" s="30" t="s">
        <v>22</v>
      </c>
    </row>
    <row r="14141" spans="1:11">
      <c r="A14141" s="33" t="s">
        <v>31916</v>
      </c>
      <c r="B14141" s="33" t="s">
        <v>31917</v>
      </c>
      <c r="C14141" s="33" t="s">
        <v>15585</v>
      </c>
      <c r="D14141" s="33" t="s">
        <v>17</v>
      </c>
      <c r="E14141" s="33" t="s">
        <v>26</v>
      </c>
      <c r="F14141" s="33" t="s">
        <v>27</v>
      </c>
      <c r="G14141" s="33" t="s">
        <v>20</v>
      </c>
      <c r="H14141" s="35">
        <v>50</v>
      </c>
      <c r="I14141" s="33" t="s">
        <v>21</v>
      </c>
      <c r="J14141" s="42">
        <v>45061</v>
      </c>
      <c r="K14141" s="33" t="s">
        <v>22</v>
      </c>
    </row>
    <row r="14142" spans="1:11">
      <c r="A14142" s="30" t="s">
        <v>31918</v>
      </c>
      <c r="B14142" s="30" t="s">
        <v>31919</v>
      </c>
      <c r="C14142" s="30" t="s">
        <v>31920</v>
      </c>
      <c r="D14142" s="30" t="s">
        <v>17</v>
      </c>
      <c r="E14142" s="30" t="s">
        <v>31</v>
      </c>
      <c r="F14142" s="30" t="s">
        <v>32</v>
      </c>
      <c r="G14142" s="30" t="s">
        <v>112</v>
      </c>
      <c r="H14142" s="32">
        <v>0</v>
      </c>
      <c r="I14142" s="30" t="s">
        <v>21</v>
      </c>
      <c r="J14142" s="41">
        <v>45200</v>
      </c>
      <c r="K14142" s="30" t="s">
        <v>22</v>
      </c>
    </row>
    <row r="14143" spans="1:11">
      <c r="A14143" s="33" t="s">
        <v>31921</v>
      </c>
      <c r="B14143" s="33" t="s">
        <v>31922</v>
      </c>
      <c r="C14143" s="33" t="s">
        <v>136</v>
      </c>
      <c r="D14143" s="33" t="s">
        <v>17</v>
      </c>
      <c r="E14143" s="33" t="s">
        <v>26</v>
      </c>
      <c r="F14143" s="33" t="s">
        <v>27</v>
      </c>
      <c r="G14143" s="33" t="s">
        <v>20</v>
      </c>
      <c r="H14143" s="35">
        <v>8</v>
      </c>
      <c r="I14143" s="33" t="s">
        <v>21</v>
      </c>
      <c r="J14143" s="42">
        <v>44981</v>
      </c>
      <c r="K14143" s="33" t="s">
        <v>22</v>
      </c>
    </row>
    <row r="14144" spans="1:11">
      <c r="A14144" s="30" t="s">
        <v>31923</v>
      </c>
      <c r="B14144" s="30" t="s">
        <v>31924</v>
      </c>
      <c r="C14144" s="30" t="s">
        <v>124</v>
      </c>
      <c r="D14144" s="30" t="s">
        <v>17</v>
      </c>
      <c r="E14144" s="30" t="s">
        <v>18</v>
      </c>
      <c r="F14144" s="30" t="s">
        <v>19</v>
      </c>
      <c r="G14144" s="30" t="s">
        <v>20</v>
      </c>
      <c r="H14144" s="32">
        <v>487</v>
      </c>
      <c r="I14144" s="30" t="s">
        <v>21</v>
      </c>
      <c r="J14144" s="41">
        <v>45271</v>
      </c>
      <c r="K14144" s="30" t="s">
        <v>22</v>
      </c>
    </row>
    <row r="14145" spans="1:11">
      <c r="A14145" s="33" t="s">
        <v>31925</v>
      </c>
      <c r="B14145" s="33" t="s">
        <v>31926</v>
      </c>
      <c r="C14145" s="33" t="s">
        <v>5093</v>
      </c>
      <c r="D14145" s="33" t="s">
        <v>17</v>
      </c>
      <c r="E14145" s="33" t="s">
        <v>31</v>
      </c>
      <c r="F14145" s="33" t="s">
        <v>32</v>
      </c>
      <c r="G14145" s="33" t="s">
        <v>20</v>
      </c>
      <c r="H14145" s="35">
        <v>24</v>
      </c>
      <c r="I14145" s="33" t="s">
        <v>21</v>
      </c>
      <c r="J14145" s="42">
        <v>45239</v>
      </c>
      <c r="K14145" s="33" t="s">
        <v>22</v>
      </c>
    </row>
    <row r="14146" spans="1:11">
      <c r="A14146" s="30" t="s">
        <v>31927</v>
      </c>
      <c r="B14146" s="30" t="s">
        <v>31928</v>
      </c>
      <c r="C14146" s="30" t="s">
        <v>10832</v>
      </c>
      <c r="D14146" s="30" t="s">
        <v>17</v>
      </c>
      <c r="E14146" s="30" t="s">
        <v>26</v>
      </c>
      <c r="F14146" s="30" t="s">
        <v>27</v>
      </c>
      <c r="G14146" s="30" t="s">
        <v>50</v>
      </c>
      <c r="H14146" s="32">
        <v>36</v>
      </c>
      <c r="I14146" s="30" t="s">
        <v>51</v>
      </c>
      <c r="J14146" s="41">
        <v>44952</v>
      </c>
      <c r="K14146" s="30" t="s">
        <v>22</v>
      </c>
    </row>
    <row r="14147" spans="1:11">
      <c r="A14147" s="33" t="s">
        <v>31929</v>
      </c>
      <c r="B14147" s="33" t="s">
        <v>31930</v>
      </c>
      <c r="C14147" s="33" t="s">
        <v>16549</v>
      </c>
      <c r="D14147" s="33" t="s">
        <v>17</v>
      </c>
      <c r="E14147" s="33" t="s">
        <v>31</v>
      </c>
      <c r="F14147" s="33" t="s">
        <v>32</v>
      </c>
      <c r="G14147" s="33" t="s">
        <v>140</v>
      </c>
      <c r="H14147" s="35">
        <v>40</v>
      </c>
      <c r="I14147" s="33" t="s">
        <v>51</v>
      </c>
      <c r="J14147" s="42">
        <v>45029</v>
      </c>
      <c r="K14147" s="33" t="s">
        <v>22</v>
      </c>
    </row>
    <row r="14148" spans="1:11">
      <c r="A14148" s="30" t="s">
        <v>31931</v>
      </c>
      <c r="B14148" s="30" t="s">
        <v>31932</v>
      </c>
      <c r="C14148" s="30" t="s">
        <v>1796</v>
      </c>
      <c r="D14148" s="30" t="s">
        <v>17</v>
      </c>
      <c r="E14148" s="30" t="s">
        <v>67</v>
      </c>
      <c r="F14148" s="30" t="s">
        <v>68</v>
      </c>
      <c r="G14148" s="30" t="s">
        <v>140</v>
      </c>
      <c r="H14148" s="32">
        <v>240</v>
      </c>
      <c r="I14148" s="30" t="s">
        <v>51</v>
      </c>
      <c r="J14148" s="41">
        <v>45134</v>
      </c>
      <c r="K14148" s="30" t="s">
        <v>22</v>
      </c>
    </row>
    <row r="14149" spans="1:11">
      <c r="A14149" s="33" t="s">
        <v>31933</v>
      </c>
      <c r="B14149" s="33" t="s">
        <v>31934</v>
      </c>
      <c r="C14149" s="33" t="s">
        <v>157</v>
      </c>
      <c r="D14149" s="33" t="s">
        <v>17</v>
      </c>
      <c r="E14149" s="33" t="s">
        <v>212</v>
      </c>
      <c r="F14149" s="33" t="s">
        <v>213</v>
      </c>
      <c r="G14149" s="33" t="s">
        <v>20</v>
      </c>
      <c r="H14149" s="35">
        <v>80</v>
      </c>
      <c r="I14149" s="33" t="s">
        <v>21</v>
      </c>
      <c r="J14149" s="42">
        <v>44999</v>
      </c>
      <c r="K14149" s="33" t="s">
        <v>22</v>
      </c>
    </row>
    <row r="14150" spans="1:11">
      <c r="A14150" s="30" t="s">
        <v>31935</v>
      </c>
      <c r="B14150" s="30" t="s">
        <v>31936</v>
      </c>
      <c r="C14150" s="30" t="s">
        <v>4348</v>
      </c>
      <c r="D14150" s="30" t="s">
        <v>17</v>
      </c>
      <c r="E14150" s="30" t="s">
        <v>67</v>
      </c>
      <c r="F14150" s="30" t="s">
        <v>68</v>
      </c>
      <c r="G14150" s="30" t="s">
        <v>140</v>
      </c>
      <c r="H14150" s="32">
        <v>38</v>
      </c>
      <c r="I14150" s="30" t="s">
        <v>51</v>
      </c>
      <c r="J14150" s="41">
        <v>45102</v>
      </c>
      <c r="K14150" s="30" t="s">
        <v>22</v>
      </c>
    </row>
    <row r="14151" spans="1:11">
      <c r="A14151" s="33" t="s">
        <v>31937</v>
      </c>
      <c r="B14151" s="33" t="s">
        <v>31938</v>
      </c>
      <c r="C14151" s="33" t="s">
        <v>23262</v>
      </c>
      <c r="D14151" s="33" t="s">
        <v>17</v>
      </c>
      <c r="E14151" s="33" t="s">
        <v>31</v>
      </c>
      <c r="F14151" s="33" t="s">
        <v>32</v>
      </c>
      <c r="G14151" s="33" t="s">
        <v>106</v>
      </c>
      <c r="H14151" s="35">
        <v>8</v>
      </c>
      <c r="I14151" s="33" t="s">
        <v>21</v>
      </c>
      <c r="J14151" s="42">
        <v>45249</v>
      </c>
      <c r="K14151" s="33" t="s">
        <v>22</v>
      </c>
    </row>
    <row r="14152" spans="1:11">
      <c r="A14152" s="30" t="s">
        <v>31939</v>
      </c>
      <c r="B14152" s="30" t="s">
        <v>31940</v>
      </c>
      <c r="C14152" s="30" t="s">
        <v>647</v>
      </c>
      <c r="D14152" s="30" t="s">
        <v>17</v>
      </c>
      <c r="E14152" s="30" t="s">
        <v>26</v>
      </c>
      <c r="F14152" s="30" t="s">
        <v>27</v>
      </c>
      <c r="G14152" s="30" t="s">
        <v>20</v>
      </c>
      <c r="H14152" s="32">
        <v>17</v>
      </c>
      <c r="I14152" s="30" t="s">
        <v>21</v>
      </c>
      <c r="J14152" s="41">
        <v>45184</v>
      </c>
      <c r="K14152" s="30" t="s">
        <v>22</v>
      </c>
    </row>
    <row r="14153" spans="1:11">
      <c r="A14153" s="33" t="s">
        <v>31941</v>
      </c>
      <c r="B14153" s="33" t="s">
        <v>31942</v>
      </c>
      <c r="C14153" s="33" t="s">
        <v>149</v>
      </c>
      <c r="D14153" s="33" t="s">
        <v>17</v>
      </c>
      <c r="E14153" s="33" t="s">
        <v>18</v>
      </c>
      <c r="F14153" s="33" t="s">
        <v>19</v>
      </c>
      <c r="G14153" s="33" t="s">
        <v>140</v>
      </c>
      <c r="H14153" s="35">
        <v>220</v>
      </c>
      <c r="I14153" s="33" t="s">
        <v>51</v>
      </c>
      <c r="J14153" s="42">
        <v>45113</v>
      </c>
      <c r="K14153" s="33" t="s">
        <v>22</v>
      </c>
    </row>
    <row r="14154" spans="1:11">
      <c r="A14154" s="30" t="s">
        <v>31943</v>
      </c>
      <c r="B14154" s="30" t="s">
        <v>31944</v>
      </c>
      <c r="C14154" s="30" t="s">
        <v>1295</v>
      </c>
      <c r="D14154" s="30" t="s">
        <v>17</v>
      </c>
      <c r="E14154" s="30" t="s">
        <v>31</v>
      </c>
      <c r="F14154" s="30" t="s">
        <v>32</v>
      </c>
      <c r="G14154" s="30" t="s">
        <v>140</v>
      </c>
      <c r="H14154" s="32">
        <v>120</v>
      </c>
      <c r="I14154" s="30" t="s">
        <v>51</v>
      </c>
      <c r="J14154" s="41">
        <v>45112</v>
      </c>
      <c r="K14154" s="30" t="s">
        <v>22</v>
      </c>
    </row>
    <row r="14155" spans="1:11">
      <c r="A14155" s="33" t="s">
        <v>31945</v>
      </c>
      <c r="B14155" s="33" t="s">
        <v>31946</v>
      </c>
      <c r="C14155" s="33" t="s">
        <v>31947</v>
      </c>
      <c r="D14155" s="33" t="s">
        <v>17</v>
      </c>
      <c r="E14155" s="33" t="s">
        <v>26</v>
      </c>
      <c r="F14155" s="33" t="s">
        <v>27</v>
      </c>
      <c r="G14155" s="33" t="s">
        <v>20</v>
      </c>
      <c r="H14155" s="35">
        <v>12</v>
      </c>
      <c r="I14155" s="33" t="s">
        <v>21</v>
      </c>
      <c r="J14155" s="42">
        <v>45180</v>
      </c>
      <c r="K14155" s="33" t="s">
        <v>22</v>
      </c>
    </row>
    <row r="14156" spans="1:11">
      <c r="A14156" s="30" t="s">
        <v>31948</v>
      </c>
      <c r="B14156" s="30" t="s">
        <v>31949</v>
      </c>
      <c r="C14156" s="30" t="s">
        <v>329</v>
      </c>
      <c r="D14156" s="30" t="s">
        <v>17</v>
      </c>
      <c r="E14156" s="30" t="s">
        <v>212</v>
      </c>
      <c r="F14156" s="30" t="s">
        <v>213</v>
      </c>
      <c r="G14156" s="30" t="s">
        <v>158</v>
      </c>
      <c r="H14156" s="32">
        <v>660</v>
      </c>
      <c r="I14156" s="30" t="s">
        <v>21</v>
      </c>
      <c r="J14156" s="41">
        <v>45189</v>
      </c>
      <c r="K14156" s="30" t="s">
        <v>22</v>
      </c>
    </row>
    <row r="14157" spans="1:11">
      <c r="A14157" s="33" t="s">
        <v>31950</v>
      </c>
      <c r="B14157" s="33" t="s">
        <v>31951</v>
      </c>
      <c r="C14157" s="33" t="s">
        <v>1808</v>
      </c>
      <c r="D14157" s="33" t="s">
        <v>17</v>
      </c>
      <c r="E14157" s="33" t="s">
        <v>31</v>
      </c>
      <c r="F14157" s="33" t="s">
        <v>32</v>
      </c>
      <c r="G14157" s="33" t="s">
        <v>140</v>
      </c>
      <c r="H14157" s="35">
        <v>420</v>
      </c>
      <c r="I14157" s="33" t="s">
        <v>51</v>
      </c>
      <c r="J14157" s="42">
        <v>45155</v>
      </c>
      <c r="K14157" s="33" t="s">
        <v>22</v>
      </c>
    </row>
    <row r="14158" spans="1:11">
      <c r="A14158" s="30" t="s">
        <v>31952</v>
      </c>
      <c r="B14158" s="30" t="s">
        <v>31953</v>
      </c>
      <c r="C14158" s="30" t="s">
        <v>2269</v>
      </c>
      <c r="D14158" s="30" t="s">
        <v>17</v>
      </c>
      <c r="E14158" s="30" t="s">
        <v>31</v>
      </c>
      <c r="F14158" s="30" t="s">
        <v>32</v>
      </c>
      <c r="G14158" s="30" t="s">
        <v>50</v>
      </c>
      <c r="H14158" s="32">
        <v>378</v>
      </c>
      <c r="I14158" s="30" t="s">
        <v>51</v>
      </c>
      <c r="J14158" s="41">
        <v>44952</v>
      </c>
      <c r="K14158" s="30" t="s">
        <v>22</v>
      </c>
    </row>
    <row r="14159" spans="1:11">
      <c r="A14159" s="33" t="s">
        <v>31954</v>
      </c>
      <c r="B14159" s="33" t="s">
        <v>31955</v>
      </c>
      <c r="C14159" s="33" t="s">
        <v>4004</v>
      </c>
      <c r="D14159" s="33" t="s">
        <v>17</v>
      </c>
      <c r="E14159" s="33" t="s">
        <v>31</v>
      </c>
      <c r="F14159" s="33" t="s">
        <v>32</v>
      </c>
      <c r="G14159" s="33" t="s">
        <v>50</v>
      </c>
      <c r="H14159" s="35">
        <v>320</v>
      </c>
      <c r="I14159" s="33" t="s">
        <v>51</v>
      </c>
      <c r="J14159" s="42">
        <v>45034</v>
      </c>
      <c r="K14159" s="33" t="s">
        <v>22</v>
      </c>
    </row>
    <row r="14160" spans="1:11">
      <c r="A14160" s="30" t="s">
        <v>31956</v>
      </c>
      <c r="B14160" s="30" t="s">
        <v>31957</v>
      </c>
      <c r="C14160" s="30" t="s">
        <v>7072</v>
      </c>
      <c r="D14160" s="30" t="s">
        <v>17</v>
      </c>
      <c r="E14160" s="30" t="s">
        <v>18</v>
      </c>
      <c r="F14160" s="30" t="s">
        <v>19</v>
      </c>
      <c r="G14160" s="30" t="s">
        <v>140</v>
      </c>
      <c r="H14160" s="32">
        <v>376</v>
      </c>
      <c r="I14160" s="30" t="s">
        <v>51</v>
      </c>
      <c r="J14160" s="41">
        <v>45230</v>
      </c>
      <c r="K14160" s="30" t="s">
        <v>22</v>
      </c>
    </row>
    <row r="14161" spans="1:11">
      <c r="A14161" s="33" t="s">
        <v>31958</v>
      </c>
      <c r="B14161" s="33" t="s">
        <v>31959</v>
      </c>
      <c r="C14161" s="33" t="s">
        <v>3190</v>
      </c>
      <c r="D14161" s="33" t="s">
        <v>17</v>
      </c>
      <c r="E14161" s="33" t="s">
        <v>45</v>
      </c>
      <c r="F14161" s="33" t="s">
        <v>46</v>
      </c>
      <c r="G14161" s="33" t="s">
        <v>20</v>
      </c>
      <c r="H14161" s="35">
        <v>300</v>
      </c>
      <c r="I14161" s="33" t="s">
        <v>21</v>
      </c>
      <c r="J14161" s="42">
        <v>45149</v>
      </c>
      <c r="K14161" s="33" t="s">
        <v>22</v>
      </c>
    </row>
    <row r="14162" spans="1:11">
      <c r="A14162" s="30" t="s">
        <v>31960</v>
      </c>
      <c r="B14162" s="30" t="s">
        <v>31961</v>
      </c>
      <c r="C14162" s="30" t="s">
        <v>31562</v>
      </c>
      <c r="D14162" s="30" t="s">
        <v>17</v>
      </c>
      <c r="E14162" s="30" t="s">
        <v>26</v>
      </c>
      <c r="F14162" s="30" t="s">
        <v>27</v>
      </c>
      <c r="G14162" s="30" t="s">
        <v>140</v>
      </c>
      <c r="H14162" s="32">
        <v>84</v>
      </c>
      <c r="I14162" s="30" t="s">
        <v>51</v>
      </c>
      <c r="J14162" s="41">
        <v>45069</v>
      </c>
      <c r="K14162" s="30" t="s">
        <v>22</v>
      </c>
    </row>
    <row r="14163" spans="1:11">
      <c r="A14163" s="33" t="s">
        <v>31962</v>
      </c>
      <c r="B14163" s="33" t="s">
        <v>31963</v>
      </c>
      <c r="C14163" s="33" t="s">
        <v>9081</v>
      </c>
      <c r="D14163" s="33" t="s">
        <v>17</v>
      </c>
      <c r="E14163" s="33" t="s">
        <v>18</v>
      </c>
      <c r="F14163" s="33" t="s">
        <v>19</v>
      </c>
      <c r="G14163" s="33" t="s">
        <v>106</v>
      </c>
      <c r="H14163" s="35">
        <v>54</v>
      </c>
      <c r="I14163" s="33" t="s">
        <v>21</v>
      </c>
      <c r="J14163" s="42">
        <v>45231</v>
      </c>
      <c r="K14163" s="33" t="s">
        <v>22</v>
      </c>
    </row>
    <row r="14164" spans="1:11">
      <c r="A14164" s="30" t="s">
        <v>31964</v>
      </c>
      <c r="B14164" s="30" t="s">
        <v>31965</v>
      </c>
      <c r="C14164" s="30" t="s">
        <v>2313</v>
      </c>
      <c r="D14164" s="30" t="s">
        <v>17</v>
      </c>
      <c r="E14164" s="30" t="s">
        <v>31</v>
      </c>
      <c r="F14164" s="30" t="s">
        <v>32</v>
      </c>
      <c r="G14164" s="30" t="s">
        <v>106</v>
      </c>
      <c r="H14164" s="32">
        <v>286</v>
      </c>
      <c r="I14164" s="30" t="s">
        <v>21</v>
      </c>
      <c r="J14164" s="41">
        <v>45072</v>
      </c>
      <c r="K14164" s="30" t="s">
        <v>22</v>
      </c>
    </row>
    <row r="14165" spans="1:11">
      <c r="A14165" s="33" t="s">
        <v>31966</v>
      </c>
      <c r="B14165" s="33" t="s">
        <v>31967</v>
      </c>
      <c r="C14165" s="33" t="s">
        <v>29670</v>
      </c>
      <c r="D14165" s="33" t="s">
        <v>17</v>
      </c>
      <c r="E14165" s="33" t="s">
        <v>31</v>
      </c>
      <c r="F14165" s="33" t="s">
        <v>32</v>
      </c>
      <c r="G14165" s="33" t="s">
        <v>106</v>
      </c>
      <c r="H14165" s="35">
        <v>205</v>
      </c>
      <c r="I14165" s="33" t="s">
        <v>21</v>
      </c>
      <c r="J14165" s="42">
        <v>44957</v>
      </c>
      <c r="K14165" s="33" t="s">
        <v>22</v>
      </c>
    </row>
    <row r="14166" spans="1:11">
      <c r="A14166" s="30" t="s">
        <v>31968</v>
      </c>
      <c r="B14166" s="30" t="s">
        <v>31969</v>
      </c>
      <c r="C14166" s="30" t="s">
        <v>31970</v>
      </c>
      <c r="D14166" s="30" t="s">
        <v>17</v>
      </c>
      <c r="E14166" s="30" t="s">
        <v>26</v>
      </c>
      <c r="F14166" s="30" t="s">
        <v>27</v>
      </c>
      <c r="G14166" s="30" t="s">
        <v>20</v>
      </c>
      <c r="H14166" s="32">
        <v>26</v>
      </c>
      <c r="I14166" s="30" t="s">
        <v>21</v>
      </c>
      <c r="J14166" s="41">
        <v>45194</v>
      </c>
      <c r="K14166" s="30" t="s">
        <v>22</v>
      </c>
    </row>
    <row r="14167" spans="1:11">
      <c r="A14167" s="33" t="s">
        <v>31971</v>
      </c>
      <c r="B14167" s="33" t="s">
        <v>31972</v>
      </c>
      <c r="C14167" s="33" t="s">
        <v>154</v>
      </c>
      <c r="D14167" s="33" t="s">
        <v>17</v>
      </c>
      <c r="E14167" s="33" t="s">
        <v>26</v>
      </c>
      <c r="F14167" s="33" t="s">
        <v>27</v>
      </c>
      <c r="G14167" s="33" t="s">
        <v>158</v>
      </c>
      <c r="H14167" s="35">
        <v>62</v>
      </c>
      <c r="I14167" s="33" t="s">
        <v>21</v>
      </c>
      <c r="J14167" s="42">
        <v>45246</v>
      </c>
      <c r="K14167" s="33" t="s">
        <v>22</v>
      </c>
    </row>
    <row r="14168" spans="1:11">
      <c r="A14168" s="30" t="s">
        <v>31973</v>
      </c>
      <c r="B14168" s="30" t="s">
        <v>31974</v>
      </c>
      <c r="C14168" s="30" t="s">
        <v>23855</v>
      </c>
      <c r="D14168" s="30" t="s">
        <v>17</v>
      </c>
      <c r="E14168" s="30" t="s">
        <v>67</v>
      </c>
      <c r="F14168" s="30" t="s">
        <v>68</v>
      </c>
      <c r="G14168" s="30" t="s">
        <v>140</v>
      </c>
      <c r="H14168" s="32">
        <v>90</v>
      </c>
      <c r="I14168" s="30" t="s">
        <v>51</v>
      </c>
      <c r="J14168" s="41">
        <v>45266</v>
      </c>
      <c r="K14168" s="30" t="s">
        <v>22</v>
      </c>
    </row>
    <row r="14169" spans="1:11">
      <c r="A14169" s="33" t="s">
        <v>31975</v>
      </c>
      <c r="B14169" s="33" t="s">
        <v>31976</v>
      </c>
      <c r="C14169" s="33" t="s">
        <v>31977</v>
      </c>
      <c r="D14169" s="33" t="s">
        <v>17</v>
      </c>
      <c r="E14169" s="33" t="s">
        <v>31</v>
      </c>
      <c r="F14169" s="33" t="s">
        <v>32</v>
      </c>
      <c r="G14169" s="33" t="s">
        <v>140</v>
      </c>
      <c r="H14169" s="35">
        <v>72</v>
      </c>
      <c r="I14169" s="33" t="s">
        <v>51</v>
      </c>
      <c r="J14169" s="42">
        <v>45027</v>
      </c>
      <c r="K14169" s="33" t="s">
        <v>22</v>
      </c>
    </row>
    <row r="14170" spans="1:11">
      <c r="A14170" s="30" t="s">
        <v>31978</v>
      </c>
      <c r="B14170" s="30" t="s">
        <v>31979</v>
      </c>
      <c r="C14170" s="30" t="s">
        <v>20707</v>
      </c>
      <c r="D14170" s="30" t="s">
        <v>17</v>
      </c>
      <c r="E14170" s="30" t="s">
        <v>31</v>
      </c>
      <c r="F14170" s="30" t="s">
        <v>32</v>
      </c>
      <c r="G14170" s="30" t="s">
        <v>50</v>
      </c>
      <c r="H14170" s="32">
        <v>160</v>
      </c>
      <c r="I14170" s="30" t="s">
        <v>51</v>
      </c>
      <c r="J14170" s="41">
        <v>45063</v>
      </c>
      <c r="K14170" s="30" t="s">
        <v>22</v>
      </c>
    </row>
    <row r="14171" spans="1:11">
      <c r="A14171" s="33" t="s">
        <v>31980</v>
      </c>
      <c r="B14171" s="33" t="s">
        <v>31981</v>
      </c>
      <c r="C14171" s="33" t="s">
        <v>1598</v>
      </c>
      <c r="D14171" s="33" t="s">
        <v>17</v>
      </c>
      <c r="E14171" s="33" t="s">
        <v>18</v>
      </c>
      <c r="F14171" s="33" t="s">
        <v>19</v>
      </c>
      <c r="G14171" s="33" t="s">
        <v>20</v>
      </c>
      <c r="H14171" s="35">
        <v>566</v>
      </c>
      <c r="I14171" s="33" t="s">
        <v>21</v>
      </c>
      <c r="J14171" s="42">
        <v>45209</v>
      </c>
      <c r="K14171" s="33" t="s">
        <v>22</v>
      </c>
    </row>
    <row r="14172" spans="1:11">
      <c r="A14172" s="30" t="s">
        <v>31982</v>
      </c>
      <c r="B14172" s="30" t="s">
        <v>31983</v>
      </c>
      <c r="C14172" s="30" t="s">
        <v>31984</v>
      </c>
      <c r="D14172" s="30" t="s">
        <v>17</v>
      </c>
      <c r="E14172" s="30" t="s">
        <v>26</v>
      </c>
      <c r="F14172" s="30" t="s">
        <v>27</v>
      </c>
      <c r="G14172" s="30" t="s">
        <v>20</v>
      </c>
      <c r="H14172" s="32">
        <v>68</v>
      </c>
      <c r="I14172" s="30" t="s">
        <v>21</v>
      </c>
      <c r="J14172" s="41">
        <v>45058</v>
      </c>
      <c r="K14172" s="30" t="s">
        <v>22</v>
      </c>
    </row>
    <row r="14173" spans="1:11">
      <c r="A14173" s="33" t="s">
        <v>31985</v>
      </c>
      <c r="B14173" s="33" t="s">
        <v>31986</v>
      </c>
      <c r="C14173" s="33" t="s">
        <v>3748</v>
      </c>
      <c r="D14173" s="33" t="s">
        <v>17</v>
      </c>
      <c r="E14173" s="33" t="s">
        <v>31</v>
      </c>
      <c r="F14173" s="33" t="s">
        <v>32</v>
      </c>
      <c r="G14173" s="33" t="s">
        <v>50</v>
      </c>
      <c r="H14173" s="35">
        <v>36</v>
      </c>
      <c r="I14173" s="33" t="s">
        <v>51</v>
      </c>
      <c r="J14173" s="42">
        <v>45139</v>
      </c>
      <c r="K14173" s="33" t="s">
        <v>22</v>
      </c>
    </row>
    <row r="14174" spans="1:11">
      <c r="A14174" s="30" t="s">
        <v>31987</v>
      </c>
      <c r="B14174" s="30" t="s">
        <v>31988</v>
      </c>
      <c r="C14174" s="30" t="s">
        <v>5493</v>
      </c>
      <c r="D14174" s="30" t="s">
        <v>17</v>
      </c>
      <c r="E14174" s="30" t="s">
        <v>31</v>
      </c>
      <c r="F14174" s="30" t="s">
        <v>32</v>
      </c>
      <c r="G14174" s="30" t="s">
        <v>106</v>
      </c>
      <c r="H14174" s="32">
        <v>18</v>
      </c>
      <c r="I14174" s="30" t="s">
        <v>21</v>
      </c>
      <c r="J14174" s="41">
        <v>44935</v>
      </c>
      <c r="K14174" s="30" t="s">
        <v>22</v>
      </c>
    </row>
    <row r="14175" spans="1:11">
      <c r="A14175" s="33" t="s">
        <v>31989</v>
      </c>
      <c r="B14175" s="33" t="s">
        <v>31990</v>
      </c>
      <c r="C14175" s="33" t="s">
        <v>31032</v>
      </c>
      <c r="D14175" s="33" t="s">
        <v>17</v>
      </c>
      <c r="E14175" s="33" t="s">
        <v>31</v>
      </c>
      <c r="F14175" s="33" t="s">
        <v>32</v>
      </c>
      <c r="G14175" s="33" t="s">
        <v>50</v>
      </c>
      <c r="H14175" s="35">
        <v>30</v>
      </c>
      <c r="I14175" s="33" t="s">
        <v>51</v>
      </c>
      <c r="J14175" s="42">
        <v>44927</v>
      </c>
      <c r="K14175" s="33" t="s">
        <v>22</v>
      </c>
    </row>
    <row r="14176" spans="1:11">
      <c r="A14176" s="30" t="s">
        <v>31991</v>
      </c>
      <c r="B14176" s="30" t="s">
        <v>31992</v>
      </c>
      <c r="C14176" s="30" t="s">
        <v>78</v>
      </c>
      <c r="D14176" s="30" t="s">
        <v>17</v>
      </c>
      <c r="E14176" s="30" t="s">
        <v>26</v>
      </c>
      <c r="F14176" s="30" t="s">
        <v>27</v>
      </c>
      <c r="G14176" s="30" t="s">
        <v>20</v>
      </c>
      <c r="H14176" s="32">
        <v>23</v>
      </c>
      <c r="I14176" s="30" t="s">
        <v>21</v>
      </c>
      <c r="J14176" s="41">
        <v>45078</v>
      </c>
      <c r="K14176" s="30" t="s">
        <v>22</v>
      </c>
    </row>
    <row r="14177" spans="1:11">
      <c r="A14177" s="33" t="s">
        <v>31993</v>
      </c>
      <c r="B14177" s="33" t="s">
        <v>31994</v>
      </c>
      <c r="C14177" s="33" t="s">
        <v>31995</v>
      </c>
      <c r="D14177" s="33" t="s">
        <v>17</v>
      </c>
      <c r="E14177" s="33" t="s">
        <v>31</v>
      </c>
      <c r="F14177" s="33" t="s">
        <v>32</v>
      </c>
      <c r="G14177" s="33" t="s">
        <v>20</v>
      </c>
      <c r="H14177" s="35">
        <v>123</v>
      </c>
      <c r="I14177" s="33" t="s">
        <v>21</v>
      </c>
      <c r="J14177" s="42">
        <v>45252</v>
      </c>
      <c r="K14177" s="33" t="s">
        <v>22</v>
      </c>
    </row>
    <row r="14178" spans="1:11">
      <c r="A14178" s="30" t="s">
        <v>31996</v>
      </c>
      <c r="B14178" s="30" t="s">
        <v>31997</v>
      </c>
      <c r="C14178" s="30" t="s">
        <v>109</v>
      </c>
      <c r="D14178" s="30" t="s">
        <v>17</v>
      </c>
      <c r="E14178" s="30" t="s">
        <v>31</v>
      </c>
      <c r="F14178" s="30" t="s">
        <v>32</v>
      </c>
      <c r="G14178" s="30" t="s">
        <v>158</v>
      </c>
      <c r="H14178" s="32">
        <v>144</v>
      </c>
      <c r="I14178" s="30" t="s">
        <v>21</v>
      </c>
      <c r="J14178" s="41">
        <v>45163</v>
      </c>
      <c r="K14178" s="30" t="s">
        <v>22</v>
      </c>
    </row>
    <row r="14179" spans="1:11">
      <c r="A14179" s="33" t="s">
        <v>31998</v>
      </c>
      <c r="B14179" s="33" t="s">
        <v>31999</v>
      </c>
      <c r="C14179" s="33" t="s">
        <v>6554</v>
      </c>
      <c r="D14179" s="33" t="s">
        <v>17</v>
      </c>
      <c r="E14179" s="33" t="s">
        <v>26</v>
      </c>
      <c r="F14179" s="33" t="s">
        <v>27</v>
      </c>
      <c r="G14179" s="33" t="s">
        <v>20</v>
      </c>
      <c r="H14179" s="35">
        <v>60</v>
      </c>
      <c r="I14179" s="33" t="s">
        <v>21</v>
      </c>
      <c r="J14179" s="42">
        <v>45029</v>
      </c>
      <c r="K14179" s="33" t="s">
        <v>22</v>
      </c>
    </row>
    <row r="14180" spans="1:11">
      <c r="A14180" s="30" t="s">
        <v>32000</v>
      </c>
      <c r="B14180" s="30" t="s">
        <v>32001</v>
      </c>
      <c r="C14180" s="30" t="s">
        <v>32002</v>
      </c>
      <c r="D14180" s="30" t="s">
        <v>17</v>
      </c>
      <c r="E14180" s="30" t="s">
        <v>26</v>
      </c>
      <c r="F14180" s="30" t="s">
        <v>27</v>
      </c>
      <c r="G14180" s="30" t="s">
        <v>20</v>
      </c>
      <c r="H14180" s="32">
        <v>21</v>
      </c>
      <c r="I14180" s="30" t="s">
        <v>21</v>
      </c>
      <c r="J14180" s="41">
        <v>44986</v>
      </c>
      <c r="K14180" s="30" t="s">
        <v>22</v>
      </c>
    </row>
    <row r="14181" spans="1:11">
      <c r="A14181" s="33" t="s">
        <v>32003</v>
      </c>
      <c r="B14181" s="33" t="s">
        <v>32004</v>
      </c>
      <c r="C14181" s="33" t="s">
        <v>644</v>
      </c>
      <c r="D14181" s="33" t="s">
        <v>17</v>
      </c>
      <c r="E14181" s="33" t="s">
        <v>31</v>
      </c>
      <c r="F14181" s="33" t="s">
        <v>32</v>
      </c>
      <c r="G14181" s="33" t="s">
        <v>140</v>
      </c>
      <c r="H14181" s="35">
        <v>120</v>
      </c>
      <c r="I14181" s="33" t="s">
        <v>51</v>
      </c>
      <c r="J14181" s="42">
        <v>45033</v>
      </c>
      <c r="K14181" s="33" t="s">
        <v>22</v>
      </c>
    </row>
    <row r="14182" spans="1:11">
      <c r="A14182" s="30" t="s">
        <v>32005</v>
      </c>
      <c r="B14182" s="30" t="s">
        <v>32006</v>
      </c>
      <c r="C14182" s="30" t="s">
        <v>17720</v>
      </c>
      <c r="D14182" s="30" t="s">
        <v>17</v>
      </c>
      <c r="E14182" s="30" t="s">
        <v>26</v>
      </c>
      <c r="F14182" s="30" t="s">
        <v>27</v>
      </c>
      <c r="G14182" s="30" t="s">
        <v>20</v>
      </c>
      <c r="H14182" s="32">
        <v>80</v>
      </c>
      <c r="I14182" s="30" t="s">
        <v>21</v>
      </c>
      <c r="J14182" s="41">
        <v>45076</v>
      </c>
      <c r="K14182" s="30" t="s">
        <v>22</v>
      </c>
    </row>
    <row r="14183" spans="1:11">
      <c r="A14183" s="33" t="s">
        <v>32007</v>
      </c>
      <c r="B14183" s="33" t="s">
        <v>32008</v>
      </c>
      <c r="C14183" s="33" t="s">
        <v>26340</v>
      </c>
      <c r="D14183" s="33" t="s">
        <v>17</v>
      </c>
      <c r="E14183" s="33" t="s">
        <v>67</v>
      </c>
      <c r="F14183" s="33" t="s">
        <v>68</v>
      </c>
      <c r="G14183" s="33" t="s">
        <v>20</v>
      </c>
      <c r="H14183" s="35">
        <v>1015</v>
      </c>
      <c r="I14183" s="33" t="s">
        <v>21</v>
      </c>
      <c r="J14183" s="42">
        <v>45238</v>
      </c>
      <c r="K14183" s="33" t="s">
        <v>22</v>
      </c>
    </row>
    <row r="14184" spans="1:11">
      <c r="A14184" s="30" t="s">
        <v>32009</v>
      </c>
      <c r="B14184" s="30" t="s">
        <v>32010</v>
      </c>
      <c r="C14184" s="30" t="s">
        <v>2472</v>
      </c>
      <c r="D14184" s="30" t="s">
        <v>17</v>
      </c>
      <c r="E14184" s="30" t="s">
        <v>26</v>
      </c>
      <c r="F14184" s="30" t="s">
        <v>27</v>
      </c>
      <c r="G14184" s="30" t="s">
        <v>112</v>
      </c>
      <c r="H14184" s="32">
        <v>0</v>
      </c>
      <c r="I14184" s="30" t="s">
        <v>21</v>
      </c>
      <c r="J14184" s="41">
        <v>45153</v>
      </c>
      <c r="K14184" s="30" t="s">
        <v>22</v>
      </c>
    </row>
    <row r="14185" spans="1:11">
      <c r="A14185" s="33" t="s">
        <v>32011</v>
      </c>
      <c r="B14185" s="33" t="s">
        <v>32012</v>
      </c>
      <c r="C14185" s="33" t="s">
        <v>149</v>
      </c>
      <c r="D14185" s="33" t="s">
        <v>17</v>
      </c>
      <c r="E14185" s="33" t="s">
        <v>31</v>
      </c>
      <c r="F14185" s="33" t="s">
        <v>32</v>
      </c>
      <c r="G14185" s="33" t="s">
        <v>50</v>
      </c>
      <c r="H14185" s="35">
        <v>78</v>
      </c>
      <c r="I14185" s="33" t="s">
        <v>51</v>
      </c>
      <c r="J14185" s="42">
        <v>45042</v>
      </c>
      <c r="K14185" s="33" t="s">
        <v>22</v>
      </c>
    </row>
    <row r="14186" spans="1:11">
      <c r="A14186" s="30" t="s">
        <v>32013</v>
      </c>
      <c r="B14186" s="30" t="s">
        <v>32014</v>
      </c>
      <c r="C14186" s="30" t="s">
        <v>149</v>
      </c>
      <c r="D14186" s="30" t="s">
        <v>17</v>
      </c>
      <c r="E14186" s="30" t="s">
        <v>18</v>
      </c>
      <c r="F14186" s="30" t="s">
        <v>19</v>
      </c>
      <c r="G14186" s="30" t="s">
        <v>158</v>
      </c>
      <c r="H14186" s="32">
        <v>868</v>
      </c>
      <c r="I14186" s="30" t="s">
        <v>21</v>
      </c>
      <c r="J14186" s="41">
        <v>45215</v>
      </c>
      <c r="K14186" s="30" t="s">
        <v>22</v>
      </c>
    </row>
    <row r="14187" spans="1:11">
      <c r="A14187" s="33" t="s">
        <v>32015</v>
      </c>
      <c r="B14187" s="33" t="s">
        <v>32016</v>
      </c>
      <c r="C14187" s="33" t="s">
        <v>1112</v>
      </c>
      <c r="D14187" s="33" t="s">
        <v>17</v>
      </c>
      <c r="E14187" s="33" t="s">
        <v>26</v>
      </c>
      <c r="F14187" s="33" t="s">
        <v>27</v>
      </c>
      <c r="G14187" s="33" t="s">
        <v>20</v>
      </c>
      <c r="H14187" s="35">
        <v>44</v>
      </c>
      <c r="I14187" s="33" t="s">
        <v>21</v>
      </c>
      <c r="J14187" s="42">
        <v>45015</v>
      </c>
      <c r="K14187" s="33" t="s">
        <v>22</v>
      </c>
    </row>
    <row r="14188" spans="1:11">
      <c r="A14188" s="30" t="s">
        <v>32017</v>
      </c>
      <c r="B14188" s="30" t="s">
        <v>32018</v>
      </c>
      <c r="C14188" s="30" t="s">
        <v>30945</v>
      </c>
      <c r="D14188" s="30" t="s">
        <v>17</v>
      </c>
      <c r="E14188" s="30" t="s">
        <v>67</v>
      </c>
      <c r="F14188" s="30" t="s">
        <v>68</v>
      </c>
      <c r="G14188" s="30" t="s">
        <v>140</v>
      </c>
      <c r="H14188" s="32">
        <v>10</v>
      </c>
      <c r="I14188" s="30" t="s">
        <v>51</v>
      </c>
      <c r="J14188" s="41">
        <v>45061</v>
      </c>
      <c r="K14188" s="30" t="s">
        <v>22</v>
      </c>
    </row>
    <row r="14189" spans="1:11">
      <c r="A14189" s="33" t="s">
        <v>32019</v>
      </c>
      <c r="B14189" s="33" t="s">
        <v>32020</v>
      </c>
      <c r="C14189" s="33" t="s">
        <v>969</v>
      </c>
      <c r="D14189" s="33" t="s">
        <v>17</v>
      </c>
      <c r="E14189" s="33" t="s">
        <v>18</v>
      </c>
      <c r="F14189" s="33" t="s">
        <v>19</v>
      </c>
      <c r="G14189" s="33" t="s">
        <v>20</v>
      </c>
      <c r="H14189" s="35">
        <v>530</v>
      </c>
      <c r="I14189" s="33" t="s">
        <v>21</v>
      </c>
      <c r="J14189" s="42">
        <v>45135</v>
      </c>
      <c r="K14189" s="33" t="s">
        <v>22</v>
      </c>
    </row>
    <row r="14190" spans="1:11">
      <c r="A14190" s="30" t="s">
        <v>32021</v>
      </c>
      <c r="B14190" s="30" t="s">
        <v>32022</v>
      </c>
      <c r="C14190" s="30" t="s">
        <v>1598</v>
      </c>
      <c r="D14190" s="30" t="s">
        <v>17</v>
      </c>
      <c r="E14190" s="30" t="s">
        <v>18</v>
      </c>
      <c r="F14190" s="30" t="s">
        <v>19</v>
      </c>
      <c r="G14190" s="30" t="s">
        <v>20</v>
      </c>
      <c r="H14190" s="32">
        <v>500</v>
      </c>
      <c r="I14190" s="30" t="s">
        <v>21</v>
      </c>
      <c r="J14190" s="41">
        <v>44967</v>
      </c>
      <c r="K14190" s="30" t="s">
        <v>22</v>
      </c>
    </row>
    <row r="14191" spans="1:11">
      <c r="A14191" s="33" t="s">
        <v>32023</v>
      </c>
      <c r="B14191" s="33" t="s">
        <v>32024</v>
      </c>
      <c r="C14191" s="33" t="s">
        <v>5304</v>
      </c>
      <c r="D14191" s="33" t="s">
        <v>17</v>
      </c>
      <c r="E14191" s="33" t="s">
        <v>31</v>
      </c>
      <c r="F14191" s="33" t="s">
        <v>32</v>
      </c>
      <c r="G14191" s="33" t="s">
        <v>158</v>
      </c>
      <c r="H14191" s="35">
        <v>84</v>
      </c>
      <c r="I14191" s="33" t="s">
        <v>21</v>
      </c>
      <c r="J14191" s="42">
        <v>45005</v>
      </c>
      <c r="K14191" s="33" t="s">
        <v>22</v>
      </c>
    </row>
    <row r="14192" spans="1:11">
      <c r="A14192" s="30" t="s">
        <v>32025</v>
      </c>
      <c r="B14192" s="30" t="s">
        <v>32026</v>
      </c>
      <c r="C14192" s="30" t="s">
        <v>1313</v>
      </c>
      <c r="D14192" s="30" t="s">
        <v>17</v>
      </c>
      <c r="E14192" s="30" t="s">
        <v>31</v>
      </c>
      <c r="F14192" s="30" t="s">
        <v>32</v>
      </c>
      <c r="G14192" s="30" t="s">
        <v>112</v>
      </c>
      <c r="H14192" s="32">
        <v>0</v>
      </c>
      <c r="I14192" s="30" t="s">
        <v>21</v>
      </c>
      <c r="J14192" s="41">
        <v>45017</v>
      </c>
      <c r="K14192" s="30" t="s">
        <v>22</v>
      </c>
    </row>
    <row r="14193" spans="1:11">
      <c r="A14193" s="33" t="s">
        <v>32027</v>
      </c>
      <c r="B14193" s="33" t="s">
        <v>32028</v>
      </c>
      <c r="C14193" s="33" t="s">
        <v>3013</v>
      </c>
      <c r="D14193" s="33" t="s">
        <v>17</v>
      </c>
      <c r="E14193" s="33" t="s">
        <v>31</v>
      </c>
      <c r="F14193" s="33" t="s">
        <v>32</v>
      </c>
      <c r="G14193" s="33" t="s">
        <v>20</v>
      </c>
      <c r="H14193" s="35">
        <v>44</v>
      </c>
      <c r="I14193" s="33" t="s">
        <v>21</v>
      </c>
      <c r="J14193" s="42">
        <v>45224</v>
      </c>
      <c r="K14193" s="33" t="s">
        <v>22</v>
      </c>
    </row>
    <row r="14194" spans="1:11">
      <c r="A14194" s="30" t="s">
        <v>32029</v>
      </c>
      <c r="B14194" s="30" t="s">
        <v>32030</v>
      </c>
      <c r="C14194" s="30" t="s">
        <v>136</v>
      </c>
      <c r="D14194" s="30" t="s">
        <v>17</v>
      </c>
      <c r="E14194" s="30" t="s">
        <v>26</v>
      </c>
      <c r="F14194" s="30" t="s">
        <v>27</v>
      </c>
      <c r="G14194" s="30" t="s">
        <v>20</v>
      </c>
      <c r="H14194" s="32">
        <v>27</v>
      </c>
      <c r="I14194" s="30" t="s">
        <v>21</v>
      </c>
      <c r="J14194" s="41">
        <v>45107</v>
      </c>
      <c r="K14194" s="30" t="s">
        <v>22</v>
      </c>
    </row>
    <row r="14195" spans="1:11">
      <c r="A14195" s="33" t="s">
        <v>32031</v>
      </c>
      <c r="B14195" s="33" t="s">
        <v>32032</v>
      </c>
      <c r="C14195" s="33" t="s">
        <v>109</v>
      </c>
      <c r="D14195" s="33" t="s">
        <v>17</v>
      </c>
      <c r="E14195" s="33" t="s">
        <v>26</v>
      </c>
      <c r="F14195" s="33" t="s">
        <v>27</v>
      </c>
      <c r="G14195" s="33" t="s">
        <v>106</v>
      </c>
      <c r="H14195" s="35">
        <v>24</v>
      </c>
      <c r="I14195" s="33" t="s">
        <v>21</v>
      </c>
      <c r="J14195" s="42">
        <v>45205</v>
      </c>
      <c r="K14195" s="33" t="s">
        <v>22</v>
      </c>
    </row>
    <row r="14196" spans="1:11">
      <c r="A14196" s="30" t="s">
        <v>32033</v>
      </c>
      <c r="B14196" s="30" t="s">
        <v>32034</v>
      </c>
      <c r="C14196" s="30" t="s">
        <v>96</v>
      </c>
      <c r="D14196" s="30" t="s">
        <v>17</v>
      </c>
      <c r="E14196" s="30" t="s">
        <v>26</v>
      </c>
      <c r="F14196" s="30" t="s">
        <v>27</v>
      </c>
      <c r="G14196" s="30" t="s">
        <v>20</v>
      </c>
      <c r="H14196" s="32">
        <v>16</v>
      </c>
      <c r="I14196" s="30" t="s">
        <v>21</v>
      </c>
      <c r="J14196" s="41">
        <v>45173</v>
      </c>
      <c r="K14196" s="30" t="s">
        <v>22</v>
      </c>
    </row>
    <row r="14197" spans="1:11">
      <c r="A14197" s="33" t="s">
        <v>32035</v>
      </c>
      <c r="B14197" s="33" t="s">
        <v>32036</v>
      </c>
      <c r="C14197" s="33" t="s">
        <v>93</v>
      </c>
      <c r="D14197" s="33" t="s">
        <v>17</v>
      </c>
      <c r="E14197" s="33" t="s">
        <v>26</v>
      </c>
      <c r="F14197" s="33" t="s">
        <v>27</v>
      </c>
      <c r="G14197" s="33" t="s">
        <v>20</v>
      </c>
      <c r="H14197" s="35">
        <v>72</v>
      </c>
      <c r="I14197" s="33" t="s">
        <v>21</v>
      </c>
      <c r="J14197" s="42">
        <v>45169</v>
      </c>
      <c r="K14197" s="33" t="s">
        <v>22</v>
      </c>
    </row>
    <row r="14198" spans="1:11">
      <c r="A14198" s="30" t="s">
        <v>32037</v>
      </c>
      <c r="B14198" s="30" t="s">
        <v>32038</v>
      </c>
      <c r="C14198" s="30" t="s">
        <v>7581</v>
      </c>
      <c r="D14198" s="30" t="s">
        <v>17</v>
      </c>
      <c r="E14198" s="30" t="s">
        <v>18</v>
      </c>
      <c r="F14198" s="30" t="s">
        <v>19</v>
      </c>
      <c r="G14198" s="30" t="s">
        <v>158</v>
      </c>
      <c r="H14198" s="32">
        <v>1000</v>
      </c>
      <c r="I14198" s="30" t="s">
        <v>51</v>
      </c>
      <c r="J14198" s="41">
        <v>45240</v>
      </c>
      <c r="K14198" s="30" t="s">
        <v>22</v>
      </c>
    </row>
    <row r="14199" spans="1:11">
      <c r="A14199" s="33" t="s">
        <v>32039</v>
      </c>
      <c r="B14199" s="33" t="s">
        <v>32040</v>
      </c>
      <c r="C14199" s="33" t="s">
        <v>1727</v>
      </c>
      <c r="D14199" s="33" t="s">
        <v>17</v>
      </c>
      <c r="E14199" s="33" t="s">
        <v>26</v>
      </c>
      <c r="F14199" s="33" t="s">
        <v>27</v>
      </c>
      <c r="G14199" s="33" t="s">
        <v>140</v>
      </c>
      <c r="H14199" s="35">
        <v>20</v>
      </c>
      <c r="I14199" s="33" t="s">
        <v>51</v>
      </c>
      <c r="J14199" s="42">
        <v>45181</v>
      </c>
      <c r="K14199" s="33" t="s">
        <v>22</v>
      </c>
    </row>
    <row r="14200" spans="1:11">
      <c r="A14200" s="30" t="s">
        <v>32041</v>
      </c>
      <c r="B14200" s="30" t="s">
        <v>32042</v>
      </c>
      <c r="C14200" s="30" t="s">
        <v>32043</v>
      </c>
      <c r="D14200" s="30" t="s">
        <v>17</v>
      </c>
      <c r="E14200" s="30" t="s">
        <v>26</v>
      </c>
      <c r="F14200" s="30" t="s">
        <v>27</v>
      </c>
      <c r="G14200" s="30" t="s">
        <v>20</v>
      </c>
      <c r="H14200" s="32">
        <v>44</v>
      </c>
      <c r="I14200" s="30" t="s">
        <v>21</v>
      </c>
      <c r="J14200" s="41">
        <v>45284</v>
      </c>
      <c r="K14200" s="30" t="s">
        <v>22</v>
      </c>
    </row>
    <row r="14201" spans="1:11">
      <c r="A14201" s="33" t="s">
        <v>32044</v>
      </c>
      <c r="B14201" s="33" t="s">
        <v>32045</v>
      </c>
      <c r="C14201" s="33" t="s">
        <v>11899</v>
      </c>
      <c r="D14201" s="33" t="s">
        <v>17</v>
      </c>
      <c r="E14201" s="33" t="s">
        <v>31</v>
      </c>
      <c r="F14201" s="33" t="s">
        <v>32</v>
      </c>
      <c r="G14201" s="33" t="s">
        <v>140</v>
      </c>
      <c r="H14201" s="35">
        <v>258</v>
      </c>
      <c r="I14201" s="33" t="s">
        <v>51</v>
      </c>
      <c r="J14201" s="42">
        <v>44999</v>
      </c>
      <c r="K14201" s="33" t="s">
        <v>22</v>
      </c>
    </row>
    <row r="14202" spans="1:11">
      <c r="A14202" s="30" t="s">
        <v>32046</v>
      </c>
      <c r="B14202" s="30" t="s">
        <v>32047</v>
      </c>
      <c r="C14202" s="30" t="s">
        <v>32048</v>
      </c>
      <c r="D14202" s="30" t="s">
        <v>17</v>
      </c>
      <c r="E14202" s="30" t="s">
        <v>67</v>
      </c>
      <c r="F14202" s="30" t="s">
        <v>68</v>
      </c>
      <c r="G14202" s="30" t="s">
        <v>158</v>
      </c>
      <c r="H14202" s="32">
        <v>21</v>
      </c>
      <c r="I14202" s="30" t="s">
        <v>51</v>
      </c>
      <c r="J14202" s="41">
        <v>45180</v>
      </c>
      <c r="K14202" s="30" t="s">
        <v>22</v>
      </c>
    </row>
    <row r="14203" spans="1:11">
      <c r="A14203" s="33" t="s">
        <v>32049</v>
      </c>
      <c r="B14203" s="33" t="s">
        <v>32050</v>
      </c>
      <c r="C14203" s="33" t="s">
        <v>136</v>
      </c>
      <c r="D14203" s="33" t="s">
        <v>17</v>
      </c>
      <c r="E14203" s="33" t="s">
        <v>31</v>
      </c>
      <c r="F14203" s="33" t="s">
        <v>32</v>
      </c>
      <c r="G14203" s="33" t="s">
        <v>106</v>
      </c>
      <c r="H14203" s="35">
        <v>332</v>
      </c>
      <c r="I14203" s="33" t="s">
        <v>21</v>
      </c>
      <c r="J14203" s="42">
        <v>44960</v>
      </c>
      <c r="K14203" s="33" t="s">
        <v>22</v>
      </c>
    </row>
    <row r="14204" spans="1:11">
      <c r="A14204" s="30" t="s">
        <v>32051</v>
      </c>
      <c r="B14204" s="30" t="s">
        <v>32052</v>
      </c>
      <c r="C14204" s="30" t="s">
        <v>32053</v>
      </c>
      <c r="D14204" s="30" t="s">
        <v>17</v>
      </c>
      <c r="E14204" s="30" t="s">
        <v>31</v>
      </c>
      <c r="F14204" s="30" t="s">
        <v>32</v>
      </c>
      <c r="G14204" s="30" t="s">
        <v>20</v>
      </c>
      <c r="H14204" s="32">
        <v>34</v>
      </c>
      <c r="I14204" s="30" t="s">
        <v>21</v>
      </c>
      <c r="J14204" s="41">
        <v>44946</v>
      </c>
      <c r="K14204" s="30" t="s">
        <v>22</v>
      </c>
    </row>
    <row r="14205" spans="1:11">
      <c r="A14205" s="33" t="s">
        <v>32054</v>
      </c>
      <c r="B14205" s="33" t="s">
        <v>32055</v>
      </c>
      <c r="C14205" s="33" t="s">
        <v>9605</v>
      </c>
      <c r="D14205" s="33" t="s">
        <v>17</v>
      </c>
      <c r="E14205" s="33" t="s">
        <v>67</v>
      </c>
      <c r="F14205" s="33" t="s">
        <v>68</v>
      </c>
      <c r="G14205" s="33" t="s">
        <v>140</v>
      </c>
      <c r="H14205" s="35">
        <v>49</v>
      </c>
      <c r="I14205" s="33" t="s">
        <v>51</v>
      </c>
      <c r="J14205" s="42">
        <v>45280</v>
      </c>
      <c r="K14205" s="33" t="s">
        <v>22</v>
      </c>
    </row>
    <row r="14206" spans="1:11">
      <c r="A14206" s="30" t="s">
        <v>32056</v>
      </c>
      <c r="B14206" s="30" t="s">
        <v>32057</v>
      </c>
      <c r="C14206" s="30" t="s">
        <v>4064</v>
      </c>
      <c r="D14206" s="30" t="s">
        <v>17</v>
      </c>
      <c r="E14206" s="30" t="s">
        <v>31</v>
      </c>
      <c r="F14206" s="30" t="s">
        <v>32</v>
      </c>
      <c r="G14206" s="30" t="s">
        <v>20</v>
      </c>
      <c r="H14206" s="32">
        <v>100</v>
      </c>
      <c r="I14206" s="30" t="s">
        <v>21</v>
      </c>
      <c r="J14206" s="41">
        <v>45057</v>
      </c>
      <c r="K14206" s="30" t="s">
        <v>22</v>
      </c>
    </row>
    <row r="14207" spans="1:11">
      <c r="A14207" s="33" t="s">
        <v>32058</v>
      </c>
      <c r="B14207" s="33" t="s">
        <v>32059</v>
      </c>
      <c r="C14207" s="33" t="s">
        <v>318</v>
      </c>
      <c r="D14207" s="33" t="s">
        <v>17</v>
      </c>
      <c r="E14207" s="33" t="s">
        <v>330</v>
      </c>
      <c r="F14207" s="33" t="s">
        <v>331</v>
      </c>
      <c r="G14207" s="33" t="s">
        <v>20</v>
      </c>
      <c r="H14207" s="35">
        <v>21</v>
      </c>
      <c r="I14207" s="33" t="s">
        <v>21</v>
      </c>
      <c r="J14207" s="42">
        <v>45080</v>
      </c>
      <c r="K14207" s="33" t="s">
        <v>22</v>
      </c>
    </row>
    <row r="14208" spans="1:11">
      <c r="A14208" s="30" t="s">
        <v>32060</v>
      </c>
      <c r="B14208" s="30" t="s">
        <v>32061</v>
      </c>
      <c r="C14208" s="30" t="s">
        <v>730</v>
      </c>
      <c r="D14208" s="30" t="s">
        <v>17</v>
      </c>
      <c r="E14208" s="30" t="s">
        <v>26</v>
      </c>
      <c r="F14208" s="30" t="s">
        <v>27</v>
      </c>
      <c r="G14208" s="30" t="s">
        <v>20</v>
      </c>
      <c r="H14208" s="32">
        <v>76</v>
      </c>
      <c r="I14208" s="30" t="s">
        <v>21</v>
      </c>
      <c r="J14208" s="41">
        <v>45226</v>
      </c>
      <c r="K14208" s="30" t="s">
        <v>22</v>
      </c>
    </row>
    <row r="14209" spans="1:11">
      <c r="A14209" s="33" t="s">
        <v>32062</v>
      </c>
      <c r="B14209" s="33" t="s">
        <v>32063</v>
      </c>
      <c r="C14209" s="33" t="s">
        <v>12734</v>
      </c>
      <c r="D14209" s="33" t="s">
        <v>17</v>
      </c>
      <c r="E14209" s="33" t="s">
        <v>45</v>
      </c>
      <c r="F14209" s="33" t="s">
        <v>46</v>
      </c>
      <c r="G14209" s="33" t="s">
        <v>158</v>
      </c>
      <c r="H14209" s="35">
        <v>849</v>
      </c>
      <c r="I14209" s="33" t="s">
        <v>51</v>
      </c>
      <c r="J14209" s="42">
        <v>45068</v>
      </c>
      <c r="K14209" s="33" t="s">
        <v>22</v>
      </c>
    </row>
    <row r="14210" spans="1:11">
      <c r="A14210" s="30" t="s">
        <v>32064</v>
      </c>
      <c r="B14210" s="30" t="s">
        <v>32065</v>
      </c>
      <c r="C14210" s="30" t="s">
        <v>28153</v>
      </c>
      <c r="D14210" s="30" t="s">
        <v>17</v>
      </c>
      <c r="E14210" s="30" t="s">
        <v>67</v>
      </c>
      <c r="F14210" s="30" t="s">
        <v>68</v>
      </c>
      <c r="G14210" s="30" t="s">
        <v>158</v>
      </c>
      <c r="H14210" s="32">
        <v>990</v>
      </c>
      <c r="I14210" s="30" t="s">
        <v>51</v>
      </c>
      <c r="J14210" s="41">
        <v>45191</v>
      </c>
      <c r="K14210" s="30" t="s">
        <v>22</v>
      </c>
    </row>
    <row r="14211" spans="1:11">
      <c r="A14211" s="33" t="s">
        <v>32066</v>
      </c>
      <c r="B14211" s="33" t="s">
        <v>32067</v>
      </c>
      <c r="C14211" s="33" t="s">
        <v>709</v>
      </c>
      <c r="D14211" s="33" t="s">
        <v>17</v>
      </c>
      <c r="E14211" s="33" t="s">
        <v>18</v>
      </c>
      <c r="F14211" s="33" t="s">
        <v>19</v>
      </c>
      <c r="G14211" s="33" t="s">
        <v>158</v>
      </c>
      <c r="H14211" s="35">
        <v>200</v>
      </c>
      <c r="I14211" s="33" t="s">
        <v>51</v>
      </c>
      <c r="J14211" s="42">
        <v>45280</v>
      </c>
      <c r="K14211" s="33" t="s">
        <v>22</v>
      </c>
    </row>
    <row r="14212" spans="1:11">
      <c r="A14212" s="30" t="s">
        <v>32068</v>
      </c>
      <c r="B14212" s="30" t="s">
        <v>32069</v>
      </c>
      <c r="C14212" s="30" t="s">
        <v>11840</v>
      </c>
      <c r="D14212" s="30" t="s">
        <v>17</v>
      </c>
      <c r="E14212" s="30" t="s">
        <v>26</v>
      </c>
      <c r="F14212" s="30" t="s">
        <v>27</v>
      </c>
      <c r="G14212" s="30" t="s">
        <v>20</v>
      </c>
      <c r="H14212" s="32">
        <v>17</v>
      </c>
      <c r="I14212" s="30" t="s">
        <v>21</v>
      </c>
      <c r="J14212" s="41">
        <v>45127</v>
      </c>
      <c r="K14212" s="30" t="s">
        <v>22</v>
      </c>
    </row>
    <row r="14213" spans="1:11">
      <c r="A14213" s="33" t="s">
        <v>32070</v>
      </c>
      <c r="B14213" s="33" t="s">
        <v>32071</v>
      </c>
      <c r="C14213" s="33" t="s">
        <v>3964</v>
      </c>
      <c r="D14213" s="33" t="s">
        <v>17</v>
      </c>
      <c r="E14213" s="33" t="s">
        <v>31</v>
      </c>
      <c r="F14213" s="33" t="s">
        <v>32</v>
      </c>
      <c r="G14213" s="33" t="s">
        <v>158</v>
      </c>
      <c r="H14213" s="35">
        <v>238</v>
      </c>
      <c r="I14213" s="33" t="s">
        <v>51</v>
      </c>
      <c r="J14213" s="42">
        <v>45022</v>
      </c>
      <c r="K14213" s="33" t="s">
        <v>22</v>
      </c>
    </row>
    <row r="14214" spans="1:11">
      <c r="A14214" s="30" t="s">
        <v>32072</v>
      </c>
      <c r="B14214" s="30" t="s">
        <v>32073</v>
      </c>
      <c r="C14214" s="30" t="s">
        <v>31103</v>
      </c>
      <c r="D14214" s="30" t="s">
        <v>17</v>
      </c>
      <c r="E14214" s="30" t="s">
        <v>18</v>
      </c>
      <c r="F14214" s="30" t="s">
        <v>19</v>
      </c>
      <c r="G14214" s="30" t="s">
        <v>158</v>
      </c>
      <c r="H14214" s="32">
        <v>117</v>
      </c>
      <c r="I14214" s="30" t="s">
        <v>51</v>
      </c>
      <c r="J14214" s="41">
        <v>45264</v>
      </c>
      <c r="K14214" s="30" t="s">
        <v>22</v>
      </c>
    </row>
    <row r="14215" spans="1:11">
      <c r="A14215" s="33" t="s">
        <v>32074</v>
      </c>
      <c r="B14215" s="33" t="s">
        <v>32075</v>
      </c>
      <c r="C14215" s="33" t="s">
        <v>32076</v>
      </c>
      <c r="D14215" s="33" t="s">
        <v>17</v>
      </c>
      <c r="E14215" s="33" t="s">
        <v>26</v>
      </c>
      <c r="F14215" s="33" t="s">
        <v>27</v>
      </c>
      <c r="G14215" s="33" t="s">
        <v>140</v>
      </c>
      <c r="H14215" s="35">
        <v>96</v>
      </c>
      <c r="I14215" s="33" t="s">
        <v>51</v>
      </c>
      <c r="J14215" s="42">
        <v>45134</v>
      </c>
      <c r="K14215" s="33" t="s">
        <v>22</v>
      </c>
    </row>
    <row r="14216" spans="1:11">
      <c r="A14216" s="30" t="s">
        <v>32077</v>
      </c>
      <c r="B14216" s="30" t="s">
        <v>32078</v>
      </c>
      <c r="C14216" s="30" t="s">
        <v>26952</v>
      </c>
      <c r="D14216" s="30" t="s">
        <v>17</v>
      </c>
      <c r="E14216" s="30" t="s">
        <v>67</v>
      </c>
      <c r="F14216" s="30" t="s">
        <v>68</v>
      </c>
      <c r="G14216" s="30" t="s">
        <v>158</v>
      </c>
      <c r="H14216" s="32">
        <v>62</v>
      </c>
      <c r="I14216" s="30" t="s">
        <v>21</v>
      </c>
      <c r="J14216" s="41">
        <v>44978</v>
      </c>
      <c r="K14216" s="30" t="s">
        <v>22</v>
      </c>
    </row>
    <row r="14217" spans="1:11">
      <c r="A14217" s="33" t="s">
        <v>32079</v>
      </c>
      <c r="B14217" s="33" t="s">
        <v>32080</v>
      </c>
      <c r="C14217" s="33" t="s">
        <v>231</v>
      </c>
      <c r="D14217" s="33" t="s">
        <v>17</v>
      </c>
      <c r="E14217" s="33" t="s">
        <v>26</v>
      </c>
      <c r="F14217" s="33" t="s">
        <v>27</v>
      </c>
      <c r="G14217" s="33" t="s">
        <v>20</v>
      </c>
      <c r="H14217" s="35">
        <v>16</v>
      </c>
      <c r="I14217" s="33" t="s">
        <v>21</v>
      </c>
      <c r="J14217" s="42">
        <v>45030</v>
      </c>
      <c r="K14217" s="33" t="s">
        <v>22</v>
      </c>
    </row>
    <row r="14218" spans="1:11">
      <c r="A14218" s="30" t="s">
        <v>32081</v>
      </c>
      <c r="B14218" s="30" t="s">
        <v>32082</v>
      </c>
      <c r="C14218" s="30" t="s">
        <v>1652</v>
      </c>
      <c r="D14218" s="30" t="s">
        <v>17</v>
      </c>
      <c r="E14218" s="30" t="s">
        <v>31</v>
      </c>
      <c r="F14218" s="30" t="s">
        <v>32</v>
      </c>
      <c r="G14218" s="30" t="s">
        <v>20</v>
      </c>
      <c r="H14218" s="32">
        <v>11</v>
      </c>
      <c r="I14218" s="30" t="s">
        <v>21</v>
      </c>
      <c r="J14218" s="41">
        <v>45198</v>
      </c>
      <c r="K14218" s="30" t="s">
        <v>22</v>
      </c>
    </row>
    <row r="14219" spans="1:11">
      <c r="A14219" s="33" t="s">
        <v>32083</v>
      </c>
      <c r="B14219" s="33" t="s">
        <v>32084</v>
      </c>
      <c r="C14219" s="33" t="s">
        <v>252</v>
      </c>
      <c r="D14219" s="33" t="s">
        <v>17</v>
      </c>
      <c r="E14219" s="33" t="s">
        <v>31</v>
      </c>
      <c r="F14219" s="33" t="s">
        <v>32</v>
      </c>
      <c r="G14219" s="33" t="s">
        <v>140</v>
      </c>
      <c r="H14219" s="35">
        <v>20</v>
      </c>
      <c r="I14219" s="33" t="s">
        <v>51</v>
      </c>
      <c r="J14219" s="42">
        <v>45163</v>
      </c>
      <c r="K14219" s="33" t="s">
        <v>22</v>
      </c>
    </row>
    <row r="14220" spans="1:11">
      <c r="A14220" s="30" t="s">
        <v>32085</v>
      </c>
      <c r="B14220" s="30" t="s">
        <v>32086</v>
      </c>
      <c r="C14220" s="30" t="s">
        <v>647</v>
      </c>
      <c r="D14220" s="30" t="s">
        <v>17</v>
      </c>
      <c r="E14220" s="30" t="s">
        <v>26</v>
      </c>
      <c r="F14220" s="30" t="s">
        <v>27</v>
      </c>
      <c r="G14220" s="30" t="s">
        <v>158</v>
      </c>
      <c r="H14220" s="32">
        <v>30</v>
      </c>
      <c r="I14220" s="30" t="s">
        <v>51</v>
      </c>
      <c r="J14220" s="41">
        <v>45225</v>
      </c>
      <c r="K14220" s="30" t="s">
        <v>22</v>
      </c>
    </row>
    <row r="14221" spans="1:11">
      <c r="A14221" s="33" t="s">
        <v>32087</v>
      </c>
      <c r="B14221" s="33" t="s">
        <v>32088</v>
      </c>
      <c r="C14221" s="33" t="s">
        <v>647</v>
      </c>
      <c r="D14221" s="33" t="s">
        <v>17</v>
      </c>
      <c r="E14221" s="33" t="s">
        <v>67</v>
      </c>
      <c r="F14221" s="33" t="s">
        <v>68</v>
      </c>
      <c r="G14221" s="33" t="s">
        <v>140</v>
      </c>
      <c r="H14221" s="35">
        <v>230</v>
      </c>
      <c r="I14221" s="33" t="s">
        <v>51</v>
      </c>
      <c r="J14221" s="42">
        <v>45062</v>
      </c>
      <c r="K14221" s="33" t="s">
        <v>22</v>
      </c>
    </row>
    <row r="14222" spans="1:11">
      <c r="A14222" s="30" t="s">
        <v>32089</v>
      </c>
      <c r="B14222" s="30" t="s">
        <v>32090</v>
      </c>
      <c r="C14222" s="30" t="s">
        <v>32091</v>
      </c>
      <c r="D14222" s="30" t="s">
        <v>17</v>
      </c>
      <c r="E14222" s="30" t="s">
        <v>31</v>
      </c>
      <c r="F14222" s="30" t="s">
        <v>32</v>
      </c>
      <c r="G14222" s="30" t="s">
        <v>50</v>
      </c>
      <c r="H14222" s="32">
        <v>50</v>
      </c>
      <c r="I14222" s="30" t="s">
        <v>51</v>
      </c>
      <c r="J14222" s="41">
        <v>45017</v>
      </c>
      <c r="K14222" s="30" t="s">
        <v>22</v>
      </c>
    </row>
    <row r="14223" spans="1:11">
      <c r="A14223" s="33" t="s">
        <v>32092</v>
      </c>
      <c r="B14223" s="33" t="s">
        <v>32093</v>
      </c>
      <c r="C14223" s="33" t="s">
        <v>31709</v>
      </c>
      <c r="D14223" s="33" t="s">
        <v>17</v>
      </c>
      <c r="E14223" s="33" t="s">
        <v>18</v>
      </c>
      <c r="F14223" s="33" t="s">
        <v>19</v>
      </c>
      <c r="G14223" s="33" t="s">
        <v>50</v>
      </c>
      <c r="H14223" s="35">
        <v>558</v>
      </c>
      <c r="I14223" s="33" t="s">
        <v>51</v>
      </c>
      <c r="J14223" s="42">
        <v>45232</v>
      </c>
      <c r="K14223" s="33" t="s">
        <v>22</v>
      </c>
    </row>
    <row r="14224" spans="1:11">
      <c r="A14224" s="30" t="s">
        <v>32094</v>
      </c>
      <c r="B14224" s="30" t="s">
        <v>32095</v>
      </c>
      <c r="C14224" s="30" t="s">
        <v>1305</v>
      </c>
      <c r="D14224" s="30" t="s">
        <v>17</v>
      </c>
      <c r="E14224" s="30" t="s">
        <v>18</v>
      </c>
      <c r="F14224" s="30" t="s">
        <v>19</v>
      </c>
      <c r="G14224" s="30" t="s">
        <v>158</v>
      </c>
      <c r="H14224" s="32">
        <v>751</v>
      </c>
      <c r="I14224" s="30" t="s">
        <v>21</v>
      </c>
      <c r="J14224" s="41">
        <v>45198</v>
      </c>
      <c r="K14224" s="30" t="s">
        <v>22</v>
      </c>
    </row>
    <row r="14225" spans="1:11">
      <c r="A14225" s="33" t="s">
        <v>32096</v>
      </c>
      <c r="B14225" s="33" t="s">
        <v>32097</v>
      </c>
      <c r="C14225" s="33" t="s">
        <v>96</v>
      </c>
      <c r="D14225" s="33" t="s">
        <v>17</v>
      </c>
      <c r="E14225" s="33" t="s">
        <v>26</v>
      </c>
      <c r="F14225" s="33" t="s">
        <v>27</v>
      </c>
      <c r="G14225" s="33" t="s">
        <v>20</v>
      </c>
      <c r="H14225" s="35">
        <v>12</v>
      </c>
      <c r="I14225" s="33" t="s">
        <v>21</v>
      </c>
      <c r="J14225" s="42">
        <v>45086</v>
      </c>
      <c r="K14225" s="33" t="s">
        <v>22</v>
      </c>
    </row>
    <row r="14226" spans="1:11">
      <c r="A14226" s="30" t="s">
        <v>32098</v>
      </c>
      <c r="B14226" s="30" t="s">
        <v>32099</v>
      </c>
      <c r="C14226" s="30" t="s">
        <v>647</v>
      </c>
      <c r="D14226" s="30" t="s">
        <v>17</v>
      </c>
      <c r="E14226" s="30" t="s">
        <v>31</v>
      </c>
      <c r="F14226" s="30" t="s">
        <v>32</v>
      </c>
      <c r="G14226" s="30" t="s">
        <v>140</v>
      </c>
      <c r="H14226" s="32">
        <v>42</v>
      </c>
      <c r="I14226" s="30" t="s">
        <v>51</v>
      </c>
      <c r="J14226" s="41">
        <v>44945</v>
      </c>
      <c r="K14226" s="30" t="s">
        <v>22</v>
      </c>
    </row>
    <row r="14227" spans="1:11">
      <c r="A14227" s="33" t="s">
        <v>32100</v>
      </c>
      <c r="B14227" s="33" t="s">
        <v>32101</v>
      </c>
      <c r="C14227" s="33" t="s">
        <v>647</v>
      </c>
      <c r="D14227" s="33" t="s">
        <v>17</v>
      </c>
      <c r="E14227" s="33" t="s">
        <v>26</v>
      </c>
      <c r="F14227" s="33" t="s">
        <v>27</v>
      </c>
      <c r="G14227" s="33" t="s">
        <v>20</v>
      </c>
      <c r="H14227" s="35">
        <v>12</v>
      </c>
      <c r="I14227" s="33" t="s">
        <v>21</v>
      </c>
      <c r="J14227" s="42">
        <v>45189</v>
      </c>
      <c r="K14227" s="33" t="s">
        <v>22</v>
      </c>
    </row>
    <row r="14228" spans="1:11">
      <c r="A14228" s="30" t="s">
        <v>32102</v>
      </c>
      <c r="B14228" s="30" t="s">
        <v>32103</v>
      </c>
      <c r="C14228" s="30" t="s">
        <v>252</v>
      </c>
      <c r="D14228" s="30" t="s">
        <v>17</v>
      </c>
      <c r="E14228" s="30" t="s">
        <v>67</v>
      </c>
      <c r="F14228" s="30" t="s">
        <v>68</v>
      </c>
      <c r="G14228" s="30" t="s">
        <v>158</v>
      </c>
      <c r="H14228" s="32">
        <v>170</v>
      </c>
      <c r="I14228" s="30" t="s">
        <v>51</v>
      </c>
      <c r="J14228" s="41">
        <v>45054</v>
      </c>
      <c r="K14228" s="30" t="s">
        <v>22</v>
      </c>
    </row>
    <row r="14229" spans="1:11">
      <c r="A14229" s="33" t="s">
        <v>32104</v>
      </c>
      <c r="B14229" s="33" t="s">
        <v>32105</v>
      </c>
      <c r="C14229" s="33" t="s">
        <v>21474</v>
      </c>
      <c r="D14229" s="33" t="s">
        <v>17</v>
      </c>
      <c r="E14229" s="33" t="s">
        <v>67</v>
      </c>
      <c r="F14229" s="33" t="s">
        <v>68</v>
      </c>
      <c r="G14229" s="33" t="s">
        <v>158</v>
      </c>
      <c r="H14229" s="35">
        <v>126</v>
      </c>
      <c r="I14229" s="33" t="s">
        <v>51</v>
      </c>
      <c r="J14229" s="42">
        <v>45089</v>
      </c>
      <c r="K14229" s="33" t="s">
        <v>22</v>
      </c>
    </row>
    <row r="14230" spans="1:11">
      <c r="A14230" s="30" t="s">
        <v>32106</v>
      </c>
      <c r="B14230" s="30" t="s">
        <v>32107</v>
      </c>
      <c r="C14230" s="30" t="s">
        <v>8987</v>
      </c>
      <c r="D14230" s="30" t="s">
        <v>17</v>
      </c>
      <c r="E14230" s="30" t="s">
        <v>31</v>
      </c>
      <c r="F14230" s="30" t="s">
        <v>32</v>
      </c>
      <c r="G14230" s="30" t="s">
        <v>106</v>
      </c>
      <c r="H14230" s="32">
        <v>20</v>
      </c>
      <c r="I14230" s="30" t="s">
        <v>21</v>
      </c>
      <c r="J14230" s="41">
        <v>45196</v>
      </c>
      <c r="K14230" s="30" t="s">
        <v>22</v>
      </c>
    </row>
    <row r="14231" spans="1:11">
      <c r="A14231" s="33" t="s">
        <v>32108</v>
      </c>
      <c r="B14231" s="33" t="s">
        <v>32109</v>
      </c>
      <c r="C14231" s="33" t="s">
        <v>647</v>
      </c>
      <c r="D14231" s="33" t="s">
        <v>17</v>
      </c>
      <c r="E14231" s="33" t="s">
        <v>18</v>
      </c>
      <c r="F14231" s="33" t="s">
        <v>19</v>
      </c>
      <c r="G14231" s="33" t="s">
        <v>20</v>
      </c>
      <c r="H14231" s="35">
        <v>1594</v>
      </c>
      <c r="I14231" s="33" t="s">
        <v>21</v>
      </c>
      <c r="J14231" s="42">
        <v>44945</v>
      </c>
      <c r="K14231" s="33" t="s">
        <v>22</v>
      </c>
    </row>
    <row r="14232" spans="1:11">
      <c r="A14232" s="30" t="s">
        <v>32110</v>
      </c>
      <c r="B14232" s="30" t="s">
        <v>32111</v>
      </c>
      <c r="C14232" s="30" t="s">
        <v>1090</v>
      </c>
      <c r="D14232" s="30" t="s">
        <v>17</v>
      </c>
      <c r="E14232" s="30" t="s">
        <v>26</v>
      </c>
      <c r="F14232" s="30" t="s">
        <v>27</v>
      </c>
      <c r="G14232" s="30" t="s">
        <v>20</v>
      </c>
      <c r="H14232" s="32">
        <v>14</v>
      </c>
      <c r="I14232" s="30" t="s">
        <v>21</v>
      </c>
      <c r="J14232" s="41">
        <v>44965</v>
      </c>
      <c r="K14232" s="30" t="s">
        <v>22</v>
      </c>
    </row>
    <row r="14233" spans="1:11">
      <c r="A14233" s="33" t="s">
        <v>32112</v>
      </c>
      <c r="B14233" s="33" t="s">
        <v>32113</v>
      </c>
      <c r="C14233" s="33" t="s">
        <v>32114</v>
      </c>
      <c r="D14233" s="33" t="s">
        <v>17</v>
      </c>
      <c r="E14233" s="33" t="s">
        <v>26</v>
      </c>
      <c r="F14233" s="33" t="s">
        <v>27</v>
      </c>
      <c r="G14233" s="33" t="s">
        <v>140</v>
      </c>
      <c r="H14233" s="35">
        <v>66</v>
      </c>
      <c r="I14233" s="33" t="s">
        <v>51</v>
      </c>
      <c r="J14233" s="42">
        <v>45131</v>
      </c>
      <c r="K14233" s="33" t="s">
        <v>22</v>
      </c>
    </row>
    <row r="14234" spans="1:11">
      <c r="A14234" s="30" t="s">
        <v>32115</v>
      </c>
      <c r="B14234" s="30" t="s">
        <v>32116</v>
      </c>
      <c r="C14234" s="30" t="s">
        <v>136</v>
      </c>
      <c r="D14234" s="30" t="s">
        <v>17</v>
      </c>
      <c r="E14234" s="30" t="s">
        <v>26</v>
      </c>
      <c r="F14234" s="30" t="s">
        <v>27</v>
      </c>
      <c r="G14234" s="30" t="s">
        <v>20</v>
      </c>
      <c r="H14234" s="32">
        <v>28</v>
      </c>
      <c r="I14234" s="30" t="s">
        <v>21</v>
      </c>
      <c r="J14234" s="41">
        <v>44964</v>
      </c>
      <c r="K14234" s="30" t="s">
        <v>22</v>
      </c>
    </row>
    <row r="14235" spans="1:11">
      <c r="A14235" s="33" t="s">
        <v>32117</v>
      </c>
      <c r="B14235" s="33" t="s">
        <v>32118</v>
      </c>
      <c r="C14235" s="33" t="s">
        <v>190</v>
      </c>
      <c r="D14235" s="33" t="s">
        <v>17</v>
      </c>
      <c r="E14235" s="33" t="s">
        <v>18</v>
      </c>
      <c r="F14235" s="33" t="s">
        <v>19</v>
      </c>
      <c r="G14235" s="33" t="s">
        <v>158</v>
      </c>
      <c r="H14235" s="35">
        <v>64</v>
      </c>
      <c r="I14235" s="33" t="s">
        <v>21</v>
      </c>
      <c r="J14235" s="42">
        <v>45261</v>
      </c>
      <c r="K14235" s="33" t="s">
        <v>22</v>
      </c>
    </row>
    <row r="14236" spans="1:11">
      <c r="A14236" s="30" t="s">
        <v>32119</v>
      </c>
      <c r="B14236" s="30" t="s">
        <v>32120</v>
      </c>
      <c r="C14236" s="30" t="s">
        <v>310</v>
      </c>
      <c r="D14236" s="30" t="s">
        <v>17</v>
      </c>
      <c r="E14236" s="30" t="s">
        <v>31</v>
      </c>
      <c r="F14236" s="30" t="s">
        <v>32</v>
      </c>
      <c r="G14236" s="30" t="s">
        <v>20</v>
      </c>
      <c r="H14236" s="32">
        <v>125</v>
      </c>
      <c r="I14236" s="30" t="s">
        <v>21</v>
      </c>
      <c r="J14236" s="41">
        <v>45184</v>
      </c>
      <c r="K14236" s="30" t="s">
        <v>22</v>
      </c>
    </row>
    <row r="14237" spans="1:11">
      <c r="A14237" s="33" t="s">
        <v>32121</v>
      </c>
      <c r="B14237" s="33" t="s">
        <v>32122</v>
      </c>
      <c r="C14237" s="33" t="s">
        <v>130</v>
      </c>
      <c r="D14237" s="33" t="s">
        <v>17</v>
      </c>
      <c r="E14237" s="33" t="s">
        <v>26</v>
      </c>
      <c r="F14237" s="33" t="s">
        <v>27</v>
      </c>
      <c r="G14237" s="33" t="s">
        <v>106</v>
      </c>
      <c r="H14237" s="35">
        <v>6</v>
      </c>
      <c r="I14237" s="33" t="s">
        <v>21</v>
      </c>
      <c r="J14237" s="42">
        <v>45288</v>
      </c>
      <c r="K14237" s="33" t="s">
        <v>22</v>
      </c>
    </row>
    <row r="14238" spans="1:11">
      <c r="A14238" s="30" t="s">
        <v>32123</v>
      </c>
      <c r="B14238" s="30" t="s">
        <v>32124</v>
      </c>
      <c r="C14238" s="30" t="s">
        <v>310</v>
      </c>
      <c r="D14238" s="30" t="s">
        <v>17</v>
      </c>
      <c r="E14238" s="30" t="s">
        <v>18</v>
      </c>
      <c r="F14238" s="30" t="s">
        <v>19</v>
      </c>
      <c r="G14238" s="30" t="s">
        <v>20</v>
      </c>
      <c r="H14238" s="32">
        <v>51</v>
      </c>
      <c r="I14238" s="30" t="s">
        <v>21</v>
      </c>
      <c r="J14238" s="41">
        <v>45027</v>
      </c>
      <c r="K14238" s="30" t="s">
        <v>22</v>
      </c>
    </row>
    <row r="14239" spans="1:11">
      <c r="A14239" s="33" t="s">
        <v>32125</v>
      </c>
      <c r="B14239" s="33" t="s">
        <v>32126</v>
      </c>
      <c r="C14239" s="33" t="s">
        <v>32127</v>
      </c>
      <c r="D14239" s="33" t="s">
        <v>17</v>
      </c>
      <c r="E14239" s="33" t="s">
        <v>26</v>
      </c>
      <c r="F14239" s="33" t="s">
        <v>27</v>
      </c>
      <c r="G14239" s="33" t="s">
        <v>50</v>
      </c>
      <c r="H14239" s="35">
        <v>75</v>
      </c>
      <c r="I14239" s="33" t="s">
        <v>51</v>
      </c>
      <c r="J14239" s="42">
        <v>44992</v>
      </c>
      <c r="K14239" s="33" t="s">
        <v>22</v>
      </c>
    </row>
    <row r="14240" spans="1:11">
      <c r="A14240" s="30" t="s">
        <v>32128</v>
      </c>
      <c r="B14240" s="30" t="s">
        <v>32129</v>
      </c>
      <c r="C14240" s="30" t="s">
        <v>5842</v>
      </c>
      <c r="D14240" s="30" t="s">
        <v>17</v>
      </c>
      <c r="E14240" s="30" t="s">
        <v>26</v>
      </c>
      <c r="F14240" s="30" t="s">
        <v>27</v>
      </c>
      <c r="G14240" s="30" t="s">
        <v>20</v>
      </c>
      <c r="H14240" s="32">
        <v>36</v>
      </c>
      <c r="I14240" s="30" t="s">
        <v>21</v>
      </c>
      <c r="J14240" s="41">
        <v>45246</v>
      </c>
      <c r="K14240" s="30" t="s">
        <v>22</v>
      </c>
    </row>
    <row r="14241" spans="1:11">
      <c r="A14241" s="33" t="s">
        <v>32130</v>
      </c>
      <c r="B14241" s="33" t="s">
        <v>32131</v>
      </c>
      <c r="C14241" s="33" t="s">
        <v>19317</v>
      </c>
      <c r="D14241" s="33" t="s">
        <v>17</v>
      </c>
      <c r="E14241" s="33" t="s">
        <v>26</v>
      </c>
      <c r="F14241" s="33" t="s">
        <v>27</v>
      </c>
      <c r="G14241" s="33" t="s">
        <v>20</v>
      </c>
      <c r="H14241" s="35">
        <v>69</v>
      </c>
      <c r="I14241" s="33" t="s">
        <v>21</v>
      </c>
      <c r="J14241" s="42">
        <v>45187</v>
      </c>
      <c r="K14241" s="33" t="s">
        <v>22</v>
      </c>
    </row>
    <row r="14242" spans="1:11">
      <c r="A14242" s="30" t="s">
        <v>32132</v>
      </c>
      <c r="B14242" s="30" t="s">
        <v>32133</v>
      </c>
      <c r="C14242" s="30" t="s">
        <v>32134</v>
      </c>
      <c r="D14242" s="30" t="s">
        <v>17</v>
      </c>
      <c r="E14242" s="30" t="s">
        <v>31</v>
      </c>
      <c r="F14242" s="30" t="s">
        <v>32</v>
      </c>
      <c r="G14242" s="30" t="s">
        <v>158</v>
      </c>
      <c r="H14242" s="32">
        <v>46</v>
      </c>
      <c r="I14242" s="30" t="s">
        <v>21</v>
      </c>
      <c r="J14242" s="41">
        <v>45082</v>
      </c>
      <c r="K14242" s="30" t="s">
        <v>22</v>
      </c>
    </row>
    <row r="14243" spans="1:11">
      <c r="A14243" s="33" t="s">
        <v>32135</v>
      </c>
      <c r="B14243" s="33" t="s">
        <v>32136</v>
      </c>
      <c r="C14243" s="33" t="s">
        <v>1480</v>
      </c>
      <c r="D14243" s="33" t="s">
        <v>17</v>
      </c>
      <c r="E14243" s="33" t="s">
        <v>212</v>
      </c>
      <c r="F14243" s="33" t="s">
        <v>213</v>
      </c>
      <c r="G14243" s="33" t="s">
        <v>20</v>
      </c>
      <c r="H14243" s="35">
        <v>31</v>
      </c>
      <c r="I14243" s="33" t="s">
        <v>21</v>
      </c>
      <c r="J14243" s="42">
        <v>44998</v>
      </c>
      <c r="K14243" s="33" t="s">
        <v>22</v>
      </c>
    </row>
    <row r="14244" spans="1:11">
      <c r="A14244" s="30" t="s">
        <v>32137</v>
      </c>
      <c r="B14244" s="30" t="s">
        <v>32138</v>
      </c>
      <c r="C14244" s="30" t="s">
        <v>252</v>
      </c>
      <c r="D14244" s="30" t="s">
        <v>17</v>
      </c>
      <c r="E14244" s="30" t="s">
        <v>26</v>
      </c>
      <c r="F14244" s="30" t="s">
        <v>27</v>
      </c>
      <c r="G14244" s="30" t="s">
        <v>140</v>
      </c>
      <c r="H14244" s="32">
        <v>205</v>
      </c>
      <c r="I14244" s="30" t="s">
        <v>51</v>
      </c>
      <c r="J14244" s="41">
        <v>45106</v>
      </c>
      <c r="K14244" s="30" t="s">
        <v>22</v>
      </c>
    </row>
    <row r="14245" spans="1:11">
      <c r="A14245" s="33" t="s">
        <v>32139</v>
      </c>
      <c r="B14245" s="33" t="s">
        <v>32140</v>
      </c>
      <c r="C14245" s="33" t="s">
        <v>4348</v>
      </c>
      <c r="D14245" s="33" t="s">
        <v>17</v>
      </c>
      <c r="E14245" s="33" t="s">
        <v>67</v>
      </c>
      <c r="F14245" s="33" t="s">
        <v>68</v>
      </c>
      <c r="G14245" s="33" t="s">
        <v>140</v>
      </c>
      <c r="H14245" s="35">
        <v>130</v>
      </c>
      <c r="I14245" s="33" t="s">
        <v>51</v>
      </c>
      <c r="J14245" s="42">
        <v>44967</v>
      </c>
      <c r="K14245" s="33" t="s">
        <v>22</v>
      </c>
    </row>
    <row r="14246" spans="1:11">
      <c r="A14246" s="30" t="s">
        <v>32141</v>
      </c>
      <c r="B14246" s="30" t="s">
        <v>32142</v>
      </c>
      <c r="C14246" s="30" t="s">
        <v>109</v>
      </c>
      <c r="D14246" s="30" t="s">
        <v>17</v>
      </c>
      <c r="E14246" s="30" t="s">
        <v>26</v>
      </c>
      <c r="F14246" s="30" t="s">
        <v>27</v>
      </c>
      <c r="G14246" s="30" t="s">
        <v>158</v>
      </c>
      <c r="H14246" s="32">
        <v>33</v>
      </c>
      <c r="I14246" s="30" t="s">
        <v>21</v>
      </c>
      <c r="J14246" s="41">
        <v>45237</v>
      </c>
      <c r="K14246" s="30" t="s">
        <v>22</v>
      </c>
    </row>
    <row r="14247" spans="1:11">
      <c r="A14247" s="33" t="s">
        <v>32143</v>
      </c>
      <c r="B14247" s="33" t="s">
        <v>32144</v>
      </c>
      <c r="C14247" s="33" t="s">
        <v>701</v>
      </c>
      <c r="D14247" s="33" t="s">
        <v>17</v>
      </c>
      <c r="E14247" s="33" t="s">
        <v>212</v>
      </c>
      <c r="F14247" s="33" t="s">
        <v>213</v>
      </c>
      <c r="G14247" s="33" t="s">
        <v>158</v>
      </c>
      <c r="H14247" s="35">
        <v>6800</v>
      </c>
      <c r="I14247" s="33" t="s">
        <v>51</v>
      </c>
      <c r="J14247" s="42">
        <v>45035</v>
      </c>
      <c r="K14247" s="33" t="s">
        <v>22</v>
      </c>
    </row>
    <row r="14248" spans="1:11">
      <c r="A14248" s="30" t="s">
        <v>32145</v>
      </c>
      <c r="B14248" s="30" t="s">
        <v>32146</v>
      </c>
      <c r="C14248" s="30" t="s">
        <v>231</v>
      </c>
      <c r="D14248" s="30" t="s">
        <v>17</v>
      </c>
      <c r="E14248" s="30" t="s">
        <v>26</v>
      </c>
      <c r="F14248" s="30" t="s">
        <v>27</v>
      </c>
      <c r="G14248" s="30" t="s">
        <v>20</v>
      </c>
      <c r="H14248" s="32">
        <v>32</v>
      </c>
      <c r="I14248" s="30" t="s">
        <v>21</v>
      </c>
      <c r="J14248" s="41">
        <v>45281</v>
      </c>
      <c r="K14248" s="30" t="s">
        <v>22</v>
      </c>
    </row>
    <row r="14249" spans="1:11">
      <c r="A14249" s="33" t="s">
        <v>32147</v>
      </c>
      <c r="B14249" s="33" t="s">
        <v>32148</v>
      </c>
      <c r="C14249" s="33" t="s">
        <v>32149</v>
      </c>
      <c r="D14249" s="33" t="s">
        <v>17</v>
      </c>
      <c r="E14249" s="33" t="s">
        <v>31</v>
      </c>
      <c r="F14249" s="33" t="s">
        <v>32</v>
      </c>
      <c r="G14249" s="33" t="s">
        <v>50</v>
      </c>
      <c r="H14249" s="35">
        <v>95</v>
      </c>
      <c r="I14249" s="33" t="s">
        <v>51</v>
      </c>
      <c r="J14249" s="42">
        <v>45107</v>
      </c>
      <c r="K14249" s="33" t="s">
        <v>22</v>
      </c>
    </row>
    <row r="14250" spans="1:11">
      <c r="A14250" s="30" t="s">
        <v>32150</v>
      </c>
      <c r="B14250" s="30" t="s">
        <v>32151</v>
      </c>
      <c r="C14250" s="30" t="s">
        <v>1583</v>
      </c>
      <c r="D14250" s="30" t="s">
        <v>17</v>
      </c>
      <c r="E14250" s="30" t="s">
        <v>26</v>
      </c>
      <c r="F14250" s="30" t="s">
        <v>27</v>
      </c>
      <c r="G14250" s="30" t="s">
        <v>140</v>
      </c>
      <c r="H14250" s="32">
        <v>914</v>
      </c>
      <c r="I14250" s="30" t="s">
        <v>51</v>
      </c>
      <c r="J14250" s="41">
        <v>45250</v>
      </c>
      <c r="K14250" s="30" t="s">
        <v>22</v>
      </c>
    </row>
    <row r="14251" spans="1:11">
      <c r="A14251" s="33" t="s">
        <v>32152</v>
      </c>
      <c r="B14251" s="33" t="s">
        <v>32153</v>
      </c>
      <c r="C14251" s="33" t="s">
        <v>19939</v>
      </c>
      <c r="D14251" s="33" t="s">
        <v>17</v>
      </c>
      <c r="E14251" s="33" t="s">
        <v>31</v>
      </c>
      <c r="F14251" s="33" t="s">
        <v>32</v>
      </c>
      <c r="G14251" s="33" t="s">
        <v>20</v>
      </c>
      <c r="H14251" s="35">
        <v>23</v>
      </c>
      <c r="I14251" s="33" t="s">
        <v>21</v>
      </c>
      <c r="J14251" s="42">
        <v>45271</v>
      </c>
      <c r="K14251" s="33" t="s">
        <v>22</v>
      </c>
    </row>
    <row r="14252" spans="1:11">
      <c r="A14252" s="30" t="s">
        <v>32154</v>
      </c>
      <c r="B14252" s="30" t="s">
        <v>32155</v>
      </c>
      <c r="C14252" s="30" t="s">
        <v>2421</v>
      </c>
      <c r="D14252" s="30" t="s">
        <v>17</v>
      </c>
      <c r="E14252" s="30" t="s">
        <v>31</v>
      </c>
      <c r="F14252" s="30" t="s">
        <v>32</v>
      </c>
      <c r="G14252" s="30" t="s">
        <v>50</v>
      </c>
      <c r="H14252" s="32">
        <v>99</v>
      </c>
      <c r="I14252" s="30" t="s">
        <v>51</v>
      </c>
      <c r="J14252" s="41">
        <v>45261</v>
      </c>
      <c r="K14252" s="30" t="s">
        <v>22</v>
      </c>
    </row>
    <row r="14253" spans="1:11">
      <c r="A14253" s="33" t="s">
        <v>32156</v>
      </c>
      <c r="B14253" s="33" t="s">
        <v>32157</v>
      </c>
      <c r="C14253" s="33" t="s">
        <v>10727</v>
      </c>
      <c r="D14253" s="33" t="s">
        <v>17</v>
      </c>
      <c r="E14253" s="33" t="s">
        <v>26</v>
      </c>
      <c r="F14253" s="33" t="s">
        <v>27</v>
      </c>
      <c r="G14253" s="33" t="s">
        <v>20</v>
      </c>
      <c r="H14253" s="35">
        <v>40</v>
      </c>
      <c r="I14253" s="33" t="s">
        <v>21</v>
      </c>
      <c r="J14253" s="42">
        <v>45140</v>
      </c>
      <c r="K14253" s="33" t="s">
        <v>22</v>
      </c>
    </row>
    <row r="14254" spans="1:11">
      <c r="A14254" s="30" t="s">
        <v>32158</v>
      </c>
      <c r="B14254" s="30" t="s">
        <v>32159</v>
      </c>
      <c r="C14254" s="30" t="s">
        <v>109</v>
      </c>
      <c r="D14254" s="30" t="s">
        <v>17</v>
      </c>
      <c r="E14254" s="30" t="s">
        <v>18</v>
      </c>
      <c r="F14254" s="30" t="s">
        <v>19</v>
      </c>
      <c r="G14254" s="30" t="s">
        <v>158</v>
      </c>
      <c r="H14254" s="32">
        <v>612</v>
      </c>
      <c r="I14254" s="30" t="s">
        <v>21</v>
      </c>
      <c r="J14254" s="41">
        <v>45226</v>
      </c>
      <c r="K14254" s="30" t="s">
        <v>22</v>
      </c>
    </row>
    <row r="14255" spans="1:11">
      <c r="A14255" s="33" t="s">
        <v>32160</v>
      </c>
      <c r="B14255" s="33" t="s">
        <v>32161</v>
      </c>
      <c r="C14255" s="33" t="s">
        <v>718</v>
      </c>
      <c r="D14255" s="33" t="s">
        <v>17</v>
      </c>
      <c r="E14255" s="33" t="s">
        <v>31</v>
      </c>
      <c r="F14255" s="33" t="s">
        <v>32</v>
      </c>
      <c r="G14255" s="33" t="s">
        <v>50</v>
      </c>
      <c r="H14255" s="35">
        <v>84</v>
      </c>
      <c r="I14255" s="33" t="s">
        <v>51</v>
      </c>
      <c r="J14255" s="42">
        <v>44986</v>
      </c>
      <c r="K14255" s="33" t="s">
        <v>22</v>
      </c>
    </row>
    <row r="14256" spans="1:11">
      <c r="A14256" s="30" t="s">
        <v>32162</v>
      </c>
      <c r="B14256" s="30" t="s">
        <v>32163</v>
      </c>
      <c r="C14256" s="30" t="s">
        <v>1461</v>
      </c>
      <c r="D14256" s="30" t="s">
        <v>17</v>
      </c>
      <c r="E14256" s="30" t="s">
        <v>31</v>
      </c>
      <c r="F14256" s="30" t="s">
        <v>32</v>
      </c>
      <c r="G14256" s="30" t="s">
        <v>140</v>
      </c>
      <c r="H14256" s="32">
        <v>146</v>
      </c>
      <c r="I14256" s="30" t="s">
        <v>51</v>
      </c>
      <c r="J14256" s="41">
        <v>45203</v>
      </c>
      <c r="K14256" s="30" t="s">
        <v>22</v>
      </c>
    </row>
    <row r="14257" spans="1:11">
      <c r="A14257" s="33" t="s">
        <v>32164</v>
      </c>
      <c r="B14257" s="33" t="s">
        <v>32165</v>
      </c>
      <c r="C14257" s="33" t="s">
        <v>109</v>
      </c>
      <c r="D14257" s="33" t="s">
        <v>17</v>
      </c>
      <c r="E14257" s="33" t="s">
        <v>18</v>
      </c>
      <c r="F14257" s="33" t="s">
        <v>19</v>
      </c>
      <c r="G14257" s="33" t="s">
        <v>140</v>
      </c>
      <c r="H14257" s="35">
        <v>106</v>
      </c>
      <c r="I14257" s="33" t="s">
        <v>51</v>
      </c>
      <c r="J14257" s="42">
        <v>45201</v>
      </c>
      <c r="K14257" s="33" t="s">
        <v>22</v>
      </c>
    </row>
    <row r="14258" spans="1:11">
      <c r="A14258" s="30" t="s">
        <v>32166</v>
      </c>
      <c r="B14258" s="30" t="s">
        <v>32167</v>
      </c>
      <c r="C14258" s="30" t="s">
        <v>5093</v>
      </c>
      <c r="D14258" s="30" t="s">
        <v>17</v>
      </c>
      <c r="E14258" s="30" t="s">
        <v>212</v>
      </c>
      <c r="F14258" s="30" t="s">
        <v>213</v>
      </c>
      <c r="G14258" s="30" t="s">
        <v>50</v>
      </c>
      <c r="H14258" s="32">
        <v>1500</v>
      </c>
      <c r="I14258" s="30" t="s">
        <v>51</v>
      </c>
      <c r="J14258" s="41">
        <v>45127</v>
      </c>
      <c r="K14258" s="30" t="s">
        <v>22</v>
      </c>
    </row>
    <row r="14259" spans="1:11">
      <c r="A14259" s="33" t="s">
        <v>32168</v>
      </c>
      <c r="B14259" s="33" t="s">
        <v>32169</v>
      </c>
      <c r="C14259" s="33" t="s">
        <v>2171</v>
      </c>
      <c r="D14259" s="33" t="s">
        <v>17</v>
      </c>
      <c r="E14259" s="33" t="s">
        <v>26</v>
      </c>
      <c r="F14259" s="33" t="s">
        <v>27</v>
      </c>
      <c r="G14259" s="33" t="s">
        <v>106</v>
      </c>
      <c r="H14259" s="35">
        <v>4</v>
      </c>
      <c r="I14259" s="33" t="s">
        <v>21</v>
      </c>
      <c r="J14259" s="42">
        <v>45181</v>
      </c>
      <c r="K14259" s="33" t="s">
        <v>22</v>
      </c>
    </row>
    <row r="14260" spans="1:11">
      <c r="A14260" s="30" t="s">
        <v>32170</v>
      </c>
      <c r="B14260" s="30" t="s">
        <v>32171</v>
      </c>
      <c r="C14260" s="30" t="s">
        <v>190</v>
      </c>
      <c r="D14260" s="30" t="s">
        <v>17</v>
      </c>
      <c r="E14260" s="30" t="s">
        <v>18</v>
      </c>
      <c r="F14260" s="30" t="s">
        <v>19</v>
      </c>
      <c r="G14260" s="30" t="s">
        <v>20</v>
      </c>
      <c r="H14260" s="32">
        <v>52</v>
      </c>
      <c r="I14260" s="30" t="s">
        <v>21</v>
      </c>
      <c r="J14260" s="41">
        <v>45048</v>
      </c>
      <c r="K14260" s="30" t="s">
        <v>22</v>
      </c>
    </row>
    <row r="14261" spans="1:11">
      <c r="A14261" s="33" t="s">
        <v>32172</v>
      </c>
      <c r="B14261" s="33" t="s">
        <v>32173</v>
      </c>
      <c r="C14261" s="33" t="s">
        <v>8271</v>
      </c>
      <c r="D14261" s="33" t="s">
        <v>17</v>
      </c>
      <c r="E14261" s="33" t="s">
        <v>26</v>
      </c>
      <c r="F14261" s="33" t="s">
        <v>27</v>
      </c>
      <c r="G14261" s="33" t="s">
        <v>140</v>
      </c>
      <c r="H14261" s="35">
        <v>50</v>
      </c>
      <c r="I14261" s="33" t="s">
        <v>51</v>
      </c>
      <c r="J14261" s="42">
        <v>45174</v>
      </c>
      <c r="K14261" s="33" t="s">
        <v>22</v>
      </c>
    </row>
    <row r="14262" spans="1:11">
      <c r="A14262" s="30" t="s">
        <v>32174</v>
      </c>
      <c r="B14262" s="30" t="s">
        <v>32175</v>
      </c>
      <c r="C14262" s="30" t="s">
        <v>84</v>
      </c>
      <c r="D14262" s="30" t="s">
        <v>17</v>
      </c>
      <c r="E14262" s="30" t="s">
        <v>212</v>
      </c>
      <c r="F14262" s="30" t="s">
        <v>213</v>
      </c>
      <c r="G14262" s="30" t="s">
        <v>140</v>
      </c>
      <c r="H14262" s="32">
        <v>1312</v>
      </c>
      <c r="I14262" s="30" t="s">
        <v>51</v>
      </c>
      <c r="J14262" s="41">
        <v>45169</v>
      </c>
      <c r="K14262" s="30" t="s">
        <v>22</v>
      </c>
    </row>
    <row r="14263" spans="1:11">
      <c r="A14263" s="33" t="s">
        <v>32176</v>
      </c>
      <c r="B14263" s="33" t="s">
        <v>32177</v>
      </c>
      <c r="C14263" s="33" t="s">
        <v>1219</v>
      </c>
      <c r="D14263" s="33" t="s">
        <v>17</v>
      </c>
      <c r="E14263" s="33" t="s">
        <v>31</v>
      </c>
      <c r="F14263" s="33" t="s">
        <v>32</v>
      </c>
      <c r="G14263" s="33" t="s">
        <v>140</v>
      </c>
      <c r="H14263" s="35">
        <v>60</v>
      </c>
      <c r="I14263" s="33" t="s">
        <v>51</v>
      </c>
      <c r="J14263" s="42">
        <v>44972</v>
      </c>
      <c r="K14263" s="33" t="s">
        <v>22</v>
      </c>
    </row>
    <row r="14264" spans="1:11">
      <c r="A14264" s="30" t="s">
        <v>32178</v>
      </c>
      <c r="B14264" s="30" t="s">
        <v>32179</v>
      </c>
      <c r="C14264" s="30" t="s">
        <v>3013</v>
      </c>
      <c r="D14264" s="30" t="s">
        <v>17</v>
      </c>
      <c r="E14264" s="30" t="s">
        <v>67</v>
      </c>
      <c r="F14264" s="30" t="s">
        <v>68</v>
      </c>
      <c r="G14264" s="30" t="s">
        <v>140</v>
      </c>
      <c r="H14264" s="32">
        <v>20</v>
      </c>
      <c r="I14264" s="30" t="s">
        <v>51</v>
      </c>
      <c r="J14264" s="41">
        <v>45113</v>
      </c>
      <c r="K14264" s="30" t="s">
        <v>22</v>
      </c>
    </row>
    <row r="14265" spans="1:11">
      <c r="A14265" s="33" t="s">
        <v>32180</v>
      </c>
      <c r="B14265" s="33" t="s">
        <v>32181</v>
      </c>
      <c r="C14265" s="33" t="s">
        <v>14816</v>
      </c>
      <c r="D14265" s="33" t="s">
        <v>17</v>
      </c>
      <c r="E14265" s="33" t="s">
        <v>26</v>
      </c>
      <c r="F14265" s="33" t="s">
        <v>27</v>
      </c>
      <c r="G14265" s="33" t="s">
        <v>20</v>
      </c>
      <c r="H14265" s="35">
        <v>96</v>
      </c>
      <c r="I14265" s="33" t="s">
        <v>21</v>
      </c>
      <c r="J14265" s="42">
        <v>44957</v>
      </c>
      <c r="K14265" s="33" t="s">
        <v>22</v>
      </c>
    </row>
    <row r="14266" spans="1:11">
      <c r="A14266" s="30" t="s">
        <v>32182</v>
      </c>
      <c r="B14266" s="30" t="s">
        <v>32183</v>
      </c>
      <c r="C14266" s="30" t="s">
        <v>11375</v>
      </c>
      <c r="D14266" s="30" t="s">
        <v>17</v>
      </c>
      <c r="E14266" s="30" t="s">
        <v>31</v>
      </c>
      <c r="F14266" s="30" t="s">
        <v>32</v>
      </c>
      <c r="G14266" s="30" t="s">
        <v>20</v>
      </c>
      <c r="H14266" s="32">
        <v>30</v>
      </c>
      <c r="I14266" s="30" t="s">
        <v>21</v>
      </c>
      <c r="J14266" s="41">
        <v>45108</v>
      </c>
      <c r="K14266" s="30" t="s">
        <v>22</v>
      </c>
    </row>
    <row r="14267" spans="1:11">
      <c r="A14267" s="33" t="s">
        <v>32184</v>
      </c>
      <c r="B14267" s="33" t="s">
        <v>32185</v>
      </c>
      <c r="C14267" s="33" t="s">
        <v>203</v>
      </c>
      <c r="D14267" s="33" t="s">
        <v>17</v>
      </c>
      <c r="E14267" s="33" t="s">
        <v>26</v>
      </c>
      <c r="F14267" s="33" t="s">
        <v>27</v>
      </c>
      <c r="G14267" s="33" t="s">
        <v>20</v>
      </c>
      <c r="H14267" s="35">
        <v>21</v>
      </c>
      <c r="I14267" s="33" t="s">
        <v>21</v>
      </c>
      <c r="J14267" s="42">
        <v>44944</v>
      </c>
      <c r="K14267" s="33" t="s">
        <v>22</v>
      </c>
    </row>
    <row r="14268" spans="1:11">
      <c r="A14268" s="30" t="s">
        <v>32186</v>
      </c>
      <c r="B14268" s="30" t="s">
        <v>32187</v>
      </c>
      <c r="C14268" s="30" t="s">
        <v>187</v>
      </c>
      <c r="D14268" s="30" t="s">
        <v>17</v>
      </c>
      <c r="E14268" s="30" t="s">
        <v>26</v>
      </c>
      <c r="F14268" s="30" t="s">
        <v>27</v>
      </c>
      <c r="G14268" s="30" t="s">
        <v>106</v>
      </c>
      <c r="H14268" s="32">
        <v>29</v>
      </c>
      <c r="I14268" s="30" t="s">
        <v>21</v>
      </c>
      <c r="J14268" s="41">
        <v>45153</v>
      </c>
      <c r="K14268" s="30" t="s">
        <v>22</v>
      </c>
    </row>
    <row r="14269" spans="1:11">
      <c r="A14269" s="33" t="s">
        <v>32188</v>
      </c>
      <c r="B14269" s="33" t="s">
        <v>32189</v>
      </c>
      <c r="C14269" s="33" t="s">
        <v>187</v>
      </c>
      <c r="D14269" s="33" t="s">
        <v>17</v>
      </c>
      <c r="E14269" s="33" t="s">
        <v>26</v>
      </c>
      <c r="F14269" s="33" t="s">
        <v>27</v>
      </c>
      <c r="G14269" s="33" t="s">
        <v>20</v>
      </c>
      <c r="H14269" s="35">
        <v>40</v>
      </c>
      <c r="I14269" s="33" t="s">
        <v>21</v>
      </c>
      <c r="J14269" s="42">
        <v>45286</v>
      </c>
      <c r="K14269" s="33" t="s">
        <v>22</v>
      </c>
    </row>
    <row r="14270" spans="1:11">
      <c r="A14270" s="30" t="s">
        <v>32190</v>
      </c>
      <c r="B14270" s="30" t="s">
        <v>32191</v>
      </c>
      <c r="C14270" s="30" t="s">
        <v>1428</v>
      </c>
      <c r="D14270" s="30" t="s">
        <v>17</v>
      </c>
      <c r="E14270" s="30" t="s">
        <v>18</v>
      </c>
      <c r="F14270" s="30" t="s">
        <v>19</v>
      </c>
      <c r="G14270" s="30" t="s">
        <v>158</v>
      </c>
      <c r="H14270" s="32">
        <v>18000</v>
      </c>
      <c r="I14270" s="30" t="s">
        <v>21</v>
      </c>
      <c r="J14270" s="41">
        <v>45151</v>
      </c>
      <c r="K14270" s="30" t="s">
        <v>22</v>
      </c>
    </row>
    <row r="14271" spans="1:11">
      <c r="A14271" s="33" t="s">
        <v>32192</v>
      </c>
      <c r="B14271" s="33" t="s">
        <v>32193</v>
      </c>
      <c r="C14271" s="33" t="s">
        <v>2748</v>
      </c>
      <c r="D14271" s="33" t="s">
        <v>17</v>
      </c>
      <c r="E14271" s="33" t="s">
        <v>18</v>
      </c>
      <c r="F14271" s="33" t="s">
        <v>19</v>
      </c>
      <c r="G14271" s="33" t="s">
        <v>106</v>
      </c>
      <c r="H14271" s="35">
        <v>218</v>
      </c>
      <c r="I14271" s="33" t="s">
        <v>21</v>
      </c>
      <c r="J14271" s="42">
        <v>45259</v>
      </c>
      <c r="K14271" s="33" t="s">
        <v>22</v>
      </c>
    </row>
    <row r="14272" spans="1:11">
      <c r="A14272" s="30" t="s">
        <v>32194</v>
      </c>
      <c r="B14272" s="30" t="s">
        <v>32195</v>
      </c>
      <c r="C14272" s="30" t="s">
        <v>18774</v>
      </c>
      <c r="D14272" s="30" t="s">
        <v>17</v>
      </c>
      <c r="E14272" s="30" t="s">
        <v>67</v>
      </c>
      <c r="F14272" s="30" t="s">
        <v>68</v>
      </c>
      <c r="G14272" s="30" t="s">
        <v>158</v>
      </c>
      <c r="H14272" s="32">
        <v>14</v>
      </c>
      <c r="I14272" s="30" t="s">
        <v>21</v>
      </c>
      <c r="J14272" s="41">
        <v>45189</v>
      </c>
      <c r="K14272" s="30" t="s">
        <v>22</v>
      </c>
    </row>
    <row r="14273" spans="1:11">
      <c r="A14273" s="33" t="s">
        <v>32196</v>
      </c>
      <c r="B14273" s="33" t="s">
        <v>32197</v>
      </c>
      <c r="C14273" s="33" t="s">
        <v>32198</v>
      </c>
      <c r="D14273" s="33" t="s">
        <v>17</v>
      </c>
      <c r="E14273" s="33" t="s">
        <v>67</v>
      </c>
      <c r="F14273" s="33" t="s">
        <v>68</v>
      </c>
      <c r="G14273" s="33" t="s">
        <v>140</v>
      </c>
      <c r="H14273" s="35">
        <v>110</v>
      </c>
      <c r="I14273" s="33" t="s">
        <v>51</v>
      </c>
      <c r="J14273" s="42">
        <v>45286</v>
      </c>
      <c r="K14273" s="33" t="s">
        <v>22</v>
      </c>
    </row>
    <row r="14274" spans="1:11">
      <c r="A14274" s="30" t="s">
        <v>32199</v>
      </c>
      <c r="B14274" s="30" t="s">
        <v>32200</v>
      </c>
      <c r="C14274" s="30" t="s">
        <v>1576</v>
      </c>
      <c r="D14274" s="30" t="s">
        <v>17</v>
      </c>
      <c r="E14274" s="30" t="s">
        <v>31</v>
      </c>
      <c r="F14274" s="30" t="s">
        <v>32</v>
      </c>
      <c r="G14274" s="30" t="s">
        <v>106</v>
      </c>
      <c r="H14274" s="32">
        <v>100</v>
      </c>
      <c r="I14274" s="30" t="s">
        <v>21</v>
      </c>
      <c r="J14274" s="41">
        <v>45093</v>
      </c>
      <c r="K14274" s="30" t="s">
        <v>22</v>
      </c>
    </row>
    <row r="14275" spans="1:11">
      <c r="A14275" s="33" t="s">
        <v>32201</v>
      </c>
      <c r="B14275" s="33" t="s">
        <v>32202</v>
      </c>
      <c r="C14275" s="33" t="s">
        <v>787</v>
      </c>
      <c r="D14275" s="33" t="s">
        <v>17</v>
      </c>
      <c r="E14275" s="33" t="s">
        <v>26</v>
      </c>
      <c r="F14275" s="33" t="s">
        <v>27</v>
      </c>
      <c r="G14275" s="33" t="s">
        <v>140</v>
      </c>
      <c r="H14275" s="35">
        <v>146</v>
      </c>
      <c r="I14275" s="33" t="s">
        <v>51</v>
      </c>
      <c r="J14275" s="42">
        <v>44980</v>
      </c>
      <c r="K14275" s="33" t="s">
        <v>22</v>
      </c>
    </row>
    <row r="14276" spans="1:11">
      <c r="A14276" s="30" t="s">
        <v>32203</v>
      </c>
      <c r="B14276" s="30" t="s">
        <v>32204</v>
      </c>
      <c r="C14276" s="30" t="s">
        <v>656</v>
      </c>
      <c r="D14276" s="30" t="s">
        <v>17</v>
      </c>
      <c r="E14276" s="30" t="s">
        <v>18</v>
      </c>
      <c r="F14276" s="30" t="s">
        <v>19</v>
      </c>
      <c r="G14276" s="30" t="s">
        <v>158</v>
      </c>
      <c r="H14276" s="32">
        <v>190</v>
      </c>
      <c r="I14276" s="30" t="s">
        <v>51</v>
      </c>
      <c r="J14276" s="41">
        <v>44985</v>
      </c>
      <c r="K14276" s="30" t="s">
        <v>22</v>
      </c>
    </row>
    <row r="14277" spans="1:11">
      <c r="A14277" s="33" t="s">
        <v>32205</v>
      </c>
      <c r="B14277" s="33" t="s">
        <v>32206</v>
      </c>
      <c r="C14277" s="33" t="s">
        <v>17863</v>
      </c>
      <c r="D14277" s="33" t="s">
        <v>17</v>
      </c>
      <c r="E14277" s="33" t="s">
        <v>31</v>
      </c>
      <c r="F14277" s="33" t="s">
        <v>32</v>
      </c>
      <c r="G14277" s="33" t="s">
        <v>20</v>
      </c>
      <c r="H14277" s="35">
        <v>155</v>
      </c>
      <c r="I14277" s="33" t="s">
        <v>21</v>
      </c>
      <c r="J14277" s="42">
        <v>44979</v>
      </c>
      <c r="K14277" s="33" t="s">
        <v>22</v>
      </c>
    </row>
    <row r="14278" spans="1:11">
      <c r="A14278" s="30" t="s">
        <v>32207</v>
      </c>
      <c r="B14278" s="30" t="s">
        <v>32208</v>
      </c>
      <c r="C14278" s="30" t="s">
        <v>11609</v>
      </c>
      <c r="D14278" s="30" t="s">
        <v>17</v>
      </c>
      <c r="E14278" s="30" t="s">
        <v>18</v>
      </c>
      <c r="F14278" s="30" t="s">
        <v>19</v>
      </c>
      <c r="G14278" s="30" t="s">
        <v>20</v>
      </c>
      <c r="H14278" s="32">
        <v>664</v>
      </c>
      <c r="I14278" s="30" t="s">
        <v>21</v>
      </c>
      <c r="J14278" s="41">
        <v>45021</v>
      </c>
      <c r="K14278" s="30" t="s">
        <v>22</v>
      </c>
    </row>
    <row r="14279" spans="1:11">
      <c r="A14279" s="33" t="s">
        <v>32209</v>
      </c>
      <c r="B14279" s="33" t="s">
        <v>32210</v>
      </c>
      <c r="C14279" s="33" t="s">
        <v>32211</v>
      </c>
      <c r="D14279" s="33" t="s">
        <v>17</v>
      </c>
      <c r="E14279" s="33" t="s">
        <v>31</v>
      </c>
      <c r="F14279" s="33" t="s">
        <v>32</v>
      </c>
      <c r="G14279" s="33" t="s">
        <v>140</v>
      </c>
      <c r="H14279" s="35">
        <v>15</v>
      </c>
      <c r="I14279" s="33" t="s">
        <v>51</v>
      </c>
      <c r="J14279" s="42">
        <v>45153</v>
      </c>
      <c r="K14279" s="33" t="s">
        <v>22</v>
      </c>
    </row>
    <row r="14280" spans="1:11">
      <c r="A14280" s="30" t="s">
        <v>32212</v>
      </c>
      <c r="B14280" s="30" t="s">
        <v>32213</v>
      </c>
      <c r="C14280" s="30" t="s">
        <v>25561</v>
      </c>
      <c r="D14280" s="30" t="s">
        <v>17</v>
      </c>
      <c r="E14280" s="30" t="s">
        <v>18</v>
      </c>
      <c r="F14280" s="30" t="s">
        <v>19</v>
      </c>
      <c r="G14280" s="30" t="s">
        <v>20</v>
      </c>
      <c r="H14280" s="32">
        <v>600</v>
      </c>
      <c r="I14280" s="30" t="s">
        <v>21</v>
      </c>
      <c r="J14280" s="41">
        <v>45153</v>
      </c>
      <c r="K14280" s="30" t="s">
        <v>22</v>
      </c>
    </row>
    <row r="14281" spans="1:11">
      <c r="A14281" s="33" t="s">
        <v>32214</v>
      </c>
      <c r="B14281" s="33" t="s">
        <v>32215</v>
      </c>
      <c r="C14281" s="33" t="s">
        <v>30468</v>
      </c>
      <c r="D14281" s="33" t="s">
        <v>17</v>
      </c>
      <c r="E14281" s="33" t="s">
        <v>26</v>
      </c>
      <c r="F14281" s="33" t="s">
        <v>27</v>
      </c>
      <c r="G14281" s="33" t="s">
        <v>106</v>
      </c>
      <c r="H14281" s="35">
        <v>6</v>
      </c>
      <c r="I14281" s="33" t="s">
        <v>21</v>
      </c>
      <c r="J14281" s="42">
        <v>44935</v>
      </c>
      <c r="K14281" s="33" t="s">
        <v>22</v>
      </c>
    </row>
    <row r="14282" spans="1:11">
      <c r="A14282" s="30" t="s">
        <v>32216</v>
      </c>
      <c r="B14282" s="30" t="s">
        <v>32217</v>
      </c>
      <c r="C14282" s="30" t="s">
        <v>4833</v>
      </c>
      <c r="D14282" s="30" t="s">
        <v>17</v>
      </c>
      <c r="E14282" s="30" t="s">
        <v>26</v>
      </c>
      <c r="F14282" s="30" t="s">
        <v>27</v>
      </c>
      <c r="G14282" s="30" t="s">
        <v>20</v>
      </c>
      <c r="H14282" s="32">
        <v>48</v>
      </c>
      <c r="I14282" s="30" t="s">
        <v>21</v>
      </c>
      <c r="J14282" s="41">
        <v>45148</v>
      </c>
      <c r="K14282" s="30" t="s">
        <v>22</v>
      </c>
    </row>
    <row r="14283" spans="1:11">
      <c r="A14283" s="33" t="s">
        <v>32218</v>
      </c>
      <c r="B14283" s="33" t="s">
        <v>32219</v>
      </c>
      <c r="C14283" s="33" t="s">
        <v>310</v>
      </c>
      <c r="D14283" s="33" t="s">
        <v>17</v>
      </c>
      <c r="E14283" s="33" t="s">
        <v>18</v>
      </c>
      <c r="F14283" s="33" t="s">
        <v>19</v>
      </c>
      <c r="G14283" s="33" t="s">
        <v>20</v>
      </c>
      <c r="H14283" s="35">
        <v>1200</v>
      </c>
      <c r="I14283" s="33" t="s">
        <v>21</v>
      </c>
      <c r="J14283" s="42">
        <v>44958</v>
      </c>
      <c r="K14283" s="33" t="s">
        <v>22</v>
      </c>
    </row>
    <row r="14284" spans="1:11">
      <c r="A14284" s="30" t="s">
        <v>32220</v>
      </c>
      <c r="B14284" s="30" t="s">
        <v>32221</v>
      </c>
      <c r="C14284" s="30" t="s">
        <v>19095</v>
      </c>
      <c r="D14284" s="30" t="s">
        <v>17</v>
      </c>
      <c r="E14284" s="30" t="s">
        <v>26</v>
      </c>
      <c r="F14284" s="30" t="s">
        <v>27</v>
      </c>
      <c r="G14284" s="30" t="s">
        <v>158</v>
      </c>
      <c r="H14284" s="32">
        <v>56</v>
      </c>
      <c r="I14284" s="30" t="s">
        <v>51</v>
      </c>
      <c r="J14284" s="41">
        <v>45034</v>
      </c>
      <c r="K14284" s="30" t="s">
        <v>22</v>
      </c>
    </row>
    <row r="14285" spans="1:11">
      <c r="A14285" s="33" t="s">
        <v>32222</v>
      </c>
      <c r="B14285" s="33" t="s">
        <v>32223</v>
      </c>
      <c r="C14285" s="33" t="s">
        <v>32224</v>
      </c>
      <c r="D14285" s="33" t="s">
        <v>17</v>
      </c>
      <c r="E14285" s="33" t="s">
        <v>26</v>
      </c>
      <c r="F14285" s="33" t="s">
        <v>27</v>
      </c>
      <c r="G14285" s="33" t="s">
        <v>20</v>
      </c>
      <c r="H14285" s="35">
        <v>66</v>
      </c>
      <c r="I14285" s="33" t="s">
        <v>21</v>
      </c>
      <c r="J14285" s="42">
        <v>45196</v>
      </c>
      <c r="K14285" s="33" t="s">
        <v>22</v>
      </c>
    </row>
    <row r="14286" spans="1:11">
      <c r="A14286" s="30" t="s">
        <v>32225</v>
      </c>
      <c r="B14286" s="30" t="s">
        <v>32226</v>
      </c>
      <c r="C14286" s="30" t="s">
        <v>1908</v>
      </c>
      <c r="D14286" s="30" t="s">
        <v>17</v>
      </c>
      <c r="E14286" s="30" t="s">
        <v>26</v>
      </c>
      <c r="F14286" s="30" t="s">
        <v>27</v>
      </c>
      <c r="G14286" s="30" t="s">
        <v>140</v>
      </c>
      <c r="H14286" s="32">
        <v>82</v>
      </c>
      <c r="I14286" s="30" t="s">
        <v>51</v>
      </c>
      <c r="J14286" s="41">
        <v>45226</v>
      </c>
      <c r="K14286" s="30" t="s">
        <v>22</v>
      </c>
    </row>
    <row r="14287" spans="1:11">
      <c r="A14287" s="33" t="s">
        <v>32227</v>
      </c>
      <c r="B14287" s="33" t="s">
        <v>32228</v>
      </c>
      <c r="C14287" s="33" t="s">
        <v>2695</v>
      </c>
      <c r="D14287" s="33" t="s">
        <v>17</v>
      </c>
      <c r="E14287" s="33" t="s">
        <v>31</v>
      </c>
      <c r="F14287" s="33" t="s">
        <v>32</v>
      </c>
      <c r="G14287" s="33" t="s">
        <v>106</v>
      </c>
      <c r="H14287" s="35">
        <v>7</v>
      </c>
      <c r="I14287" s="33" t="s">
        <v>21</v>
      </c>
      <c r="J14287" s="42">
        <v>45237</v>
      </c>
      <c r="K14287" s="33" t="s">
        <v>22</v>
      </c>
    </row>
    <row r="14288" spans="1:11">
      <c r="A14288" s="30" t="s">
        <v>32229</v>
      </c>
      <c r="B14288" s="30" t="s">
        <v>32230</v>
      </c>
      <c r="C14288" s="30" t="s">
        <v>9086</v>
      </c>
      <c r="D14288" s="30" t="s">
        <v>17</v>
      </c>
      <c r="E14288" s="30" t="s">
        <v>31</v>
      </c>
      <c r="F14288" s="30" t="s">
        <v>32</v>
      </c>
      <c r="G14288" s="30" t="s">
        <v>106</v>
      </c>
      <c r="H14288" s="32">
        <v>8</v>
      </c>
      <c r="I14288" s="30" t="s">
        <v>21</v>
      </c>
      <c r="J14288" s="41">
        <v>45139</v>
      </c>
      <c r="K14288" s="30" t="s">
        <v>22</v>
      </c>
    </row>
    <row r="14289" spans="1:11">
      <c r="A14289" s="33" t="s">
        <v>32231</v>
      </c>
      <c r="B14289" s="33" t="s">
        <v>32232</v>
      </c>
      <c r="C14289" s="33" t="s">
        <v>1290</v>
      </c>
      <c r="D14289" s="33" t="s">
        <v>17</v>
      </c>
      <c r="E14289" s="33" t="s">
        <v>26</v>
      </c>
      <c r="F14289" s="33" t="s">
        <v>27</v>
      </c>
      <c r="G14289" s="33" t="s">
        <v>20</v>
      </c>
      <c r="H14289" s="35">
        <v>35</v>
      </c>
      <c r="I14289" s="33" t="s">
        <v>21</v>
      </c>
      <c r="J14289" s="42">
        <v>45258</v>
      </c>
      <c r="K14289" s="33" t="s">
        <v>22</v>
      </c>
    </row>
    <row r="14290" spans="1:11">
      <c r="A14290" s="30" t="s">
        <v>32233</v>
      </c>
      <c r="B14290" s="30" t="s">
        <v>32234</v>
      </c>
      <c r="C14290" s="30" t="s">
        <v>1064</v>
      </c>
      <c r="D14290" s="30" t="s">
        <v>17</v>
      </c>
      <c r="E14290" s="30" t="s">
        <v>31</v>
      </c>
      <c r="F14290" s="30" t="s">
        <v>32</v>
      </c>
      <c r="G14290" s="30" t="s">
        <v>106</v>
      </c>
      <c r="H14290" s="32">
        <v>1</v>
      </c>
      <c r="I14290" s="30" t="s">
        <v>21</v>
      </c>
      <c r="J14290" s="41">
        <v>44986</v>
      </c>
      <c r="K14290" s="30" t="s">
        <v>22</v>
      </c>
    </row>
    <row r="14291" spans="1:11">
      <c r="A14291" s="33" t="s">
        <v>32235</v>
      </c>
      <c r="B14291" s="33" t="s">
        <v>32236</v>
      </c>
      <c r="C14291" s="33" t="s">
        <v>387</v>
      </c>
      <c r="D14291" s="33" t="s">
        <v>17</v>
      </c>
      <c r="E14291" s="33" t="s">
        <v>26</v>
      </c>
      <c r="F14291" s="33" t="s">
        <v>27</v>
      </c>
      <c r="G14291" s="33" t="s">
        <v>20</v>
      </c>
      <c r="H14291" s="35">
        <v>6</v>
      </c>
      <c r="I14291" s="33" t="s">
        <v>21</v>
      </c>
      <c r="J14291" s="42">
        <v>45181</v>
      </c>
      <c r="K14291" s="33" t="s">
        <v>22</v>
      </c>
    </row>
    <row r="14292" spans="1:11">
      <c r="A14292" s="30" t="s">
        <v>32237</v>
      </c>
      <c r="B14292" s="30" t="s">
        <v>32238</v>
      </c>
      <c r="C14292" s="30" t="s">
        <v>29225</v>
      </c>
      <c r="D14292" s="30" t="s">
        <v>17</v>
      </c>
      <c r="E14292" s="30" t="s">
        <v>26</v>
      </c>
      <c r="F14292" s="30" t="s">
        <v>27</v>
      </c>
      <c r="G14292" s="30" t="s">
        <v>158</v>
      </c>
      <c r="H14292" s="32">
        <v>198</v>
      </c>
      <c r="I14292" s="30" t="s">
        <v>51</v>
      </c>
      <c r="J14292" s="41">
        <v>45005</v>
      </c>
      <c r="K14292" s="30" t="s">
        <v>22</v>
      </c>
    </row>
    <row r="14293" spans="1:11">
      <c r="A14293" s="33" t="s">
        <v>32239</v>
      </c>
      <c r="B14293" s="33" t="s">
        <v>32240</v>
      </c>
      <c r="C14293" s="33" t="s">
        <v>32241</v>
      </c>
      <c r="D14293" s="33" t="s">
        <v>17</v>
      </c>
      <c r="E14293" s="33" t="s">
        <v>18</v>
      </c>
      <c r="F14293" s="33" t="s">
        <v>19</v>
      </c>
      <c r="G14293" s="33" t="s">
        <v>50</v>
      </c>
      <c r="H14293" s="35">
        <v>100</v>
      </c>
      <c r="I14293" s="33" t="s">
        <v>51</v>
      </c>
      <c r="J14293" s="42">
        <v>45247</v>
      </c>
      <c r="K14293" s="33" t="s">
        <v>22</v>
      </c>
    </row>
    <row r="14294" spans="1:11">
      <c r="A14294" s="30" t="s">
        <v>32242</v>
      </c>
      <c r="B14294" s="30" t="s">
        <v>32243</v>
      </c>
      <c r="C14294" s="30" t="s">
        <v>32244</v>
      </c>
      <c r="D14294" s="30" t="s">
        <v>17</v>
      </c>
      <c r="E14294" s="30" t="s">
        <v>67</v>
      </c>
      <c r="F14294" s="30" t="s">
        <v>68</v>
      </c>
      <c r="G14294" s="30" t="s">
        <v>158</v>
      </c>
      <c r="H14294" s="32">
        <v>201</v>
      </c>
      <c r="I14294" s="30" t="s">
        <v>21</v>
      </c>
      <c r="J14294" s="41">
        <v>45212</v>
      </c>
      <c r="K14294" s="30" t="s">
        <v>22</v>
      </c>
    </row>
    <row r="14295" spans="1:11">
      <c r="A14295" s="33" t="s">
        <v>32245</v>
      </c>
      <c r="B14295" s="33" t="s">
        <v>32246</v>
      </c>
      <c r="C14295" s="33" t="s">
        <v>29679</v>
      </c>
      <c r="D14295" s="33" t="s">
        <v>17</v>
      </c>
      <c r="E14295" s="33" t="s">
        <v>26</v>
      </c>
      <c r="F14295" s="33" t="s">
        <v>27</v>
      </c>
      <c r="G14295" s="33" t="s">
        <v>20</v>
      </c>
      <c r="H14295" s="35">
        <v>56</v>
      </c>
      <c r="I14295" s="33" t="s">
        <v>21</v>
      </c>
      <c r="J14295" s="42">
        <v>45089</v>
      </c>
      <c r="K14295" s="33" t="s">
        <v>22</v>
      </c>
    </row>
    <row r="14296" spans="1:11">
      <c r="A14296" s="30" t="s">
        <v>32247</v>
      </c>
      <c r="B14296" s="30" t="s">
        <v>32248</v>
      </c>
      <c r="C14296" s="30" t="s">
        <v>32249</v>
      </c>
      <c r="D14296" s="30" t="s">
        <v>17</v>
      </c>
      <c r="E14296" s="30" t="s">
        <v>26</v>
      </c>
      <c r="F14296" s="30" t="s">
        <v>27</v>
      </c>
      <c r="G14296" s="30" t="s">
        <v>20</v>
      </c>
      <c r="H14296" s="32">
        <v>64</v>
      </c>
      <c r="I14296" s="30" t="s">
        <v>21</v>
      </c>
      <c r="J14296" s="41">
        <v>45168</v>
      </c>
      <c r="K14296" s="30" t="s">
        <v>22</v>
      </c>
    </row>
    <row r="14297" spans="1:11">
      <c r="A14297" s="33" t="s">
        <v>32250</v>
      </c>
      <c r="B14297" s="33" t="s">
        <v>32251</v>
      </c>
      <c r="C14297" s="33" t="s">
        <v>647</v>
      </c>
      <c r="D14297" s="33" t="s">
        <v>17</v>
      </c>
      <c r="E14297" s="33" t="s">
        <v>18</v>
      </c>
      <c r="F14297" s="33" t="s">
        <v>19</v>
      </c>
      <c r="G14297" s="33" t="s">
        <v>158</v>
      </c>
      <c r="H14297" s="35">
        <v>556</v>
      </c>
      <c r="I14297" s="33" t="s">
        <v>51</v>
      </c>
      <c r="J14297" s="42">
        <v>45242</v>
      </c>
      <c r="K14297" s="33" t="s">
        <v>22</v>
      </c>
    </row>
    <row r="14298" spans="1:11">
      <c r="A14298" s="30" t="s">
        <v>32252</v>
      </c>
      <c r="B14298" s="30" t="s">
        <v>32253</v>
      </c>
      <c r="C14298" s="30" t="s">
        <v>2292</v>
      </c>
      <c r="D14298" s="30" t="s">
        <v>17</v>
      </c>
      <c r="E14298" s="30" t="s">
        <v>18</v>
      </c>
      <c r="F14298" s="30" t="s">
        <v>19</v>
      </c>
      <c r="G14298" s="30" t="s">
        <v>158</v>
      </c>
      <c r="H14298" s="32">
        <v>4</v>
      </c>
      <c r="I14298" s="30" t="s">
        <v>21</v>
      </c>
      <c r="J14298" s="41">
        <v>45181</v>
      </c>
      <c r="K14298" s="30" t="s">
        <v>22</v>
      </c>
    </row>
    <row r="14299" spans="1:11">
      <c r="A14299" s="33" t="s">
        <v>32254</v>
      </c>
      <c r="B14299" s="33" t="s">
        <v>32255</v>
      </c>
      <c r="C14299" s="33" t="s">
        <v>969</v>
      </c>
      <c r="D14299" s="33" t="s">
        <v>17</v>
      </c>
      <c r="E14299" s="33" t="s">
        <v>26</v>
      </c>
      <c r="F14299" s="33" t="s">
        <v>27</v>
      </c>
      <c r="G14299" s="33" t="s">
        <v>20</v>
      </c>
      <c r="H14299" s="35">
        <v>70</v>
      </c>
      <c r="I14299" s="33" t="s">
        <v>21</v>
      </c>
      <c r="J14299" s="42">
        <v>45159</v>
      </c>
      <c r="K14299" s="33" t="s">
        <v>22</v>
      </c>
    </row>
    <row r="14300" spans="1:11">
      <c r="A14300" s="30" t="s">
        <v>32256</v>
      </c>
      <c r="B14300" s="30" t="s">
        <v>32257</v>
      </c>
      <c r="C14300" s="30" t="s">
        <v>96</v>
      </c>
      <c r="D14300" s="30" t="s">
        <v>17</v>
      </c>
      <c r="E14300" s="30" t="s">
        <v>26</v>
      </c>
      <c r="F14300" s="30" t="s">
        <v>27</v>
      </c>
      <c r="G14300" s="30" t="s">
        <v>20</v>
      </c>
      <c r="H14300" s="32">
        <v>157</v>
      </c>
      <c r="I14300" s="30" t="s">
        <v>21</v>
      </c>
      <c r="J14300" s="41">
        <v>45273</v>
      </c>
      <c r="K14300" s="30" t="s">
        <v>22</v>
      </c>
    </row>
    <row r="14301" spans="1:11">
      <c r="A14301" s="33" t="s">
        <v>32258</v>
      </c>
      <c r="B14301" s="33" t="s">
        <v>32259</v>
      </c>
      <c r="C14301" s="33" t="s">
        <v>4348</v>
      </c>
      <c r="D14301" s="33" t="s">
        <v>17</v>
      </c>
      <c r="E14301" s="33" t="s">
        <v>67</v>
      </c>
      <c r="F14301" s="33" t="s">
        <v>68</v>
      </c>
      <c r="G14301" s="33" t="s">
        <v>140</v>
      </c>
      <c r="H14301" s="35">
        <v>40</v>
      </c>
      <c r="I14301" s="33" t="s">
        <v>51</v>
      </c>
      <c r="J14301" s="42">
        <v>45231</v>
      </c>
      <c r="K14301" s="33" t="s">
        <v>22</v>
      </c>
    </row>
    <row r="14302" spans="1:11">
      <c r="A14302" s="30" t="s">
        <v>32260</v>
      </c>
      <c r="B14302" s="30" t="s">
        <v>32261</v>
      </c>
      <c r="C14302" s="30" t="s">
        <v>7004</v>
      </c>
      <c r="D14302" s="30" t="s">
        <v>17</v>
      </c>
      <c r="E14302" s="30" t="s">
        <v>31</v>
      </c>
      <c r="F14302" s="30" t="s">
        <v>32</v>
      </c>
      <c r="G14302" s="30" t="s">
        <v>158</v>
      </c>
      <c r="H14302" s="32">
        <v>48</v>
      </c>
      <c r="I14302" s="30" t="s">
        <v>21</v>
      </c>
      <c r="J14302" s="41">
        <v>44972</v>
      </c>
      <c r="K14302" s="30" t="s">
        <v>22</v>
      </c>
    </row>
    <row r="14303" spans="1:11">
      <c r="A14303" s="33" t="s">
        <v>32262</v>
      </c>
      <c r="B14303" s="33" t="s">
        <v>32263</v>
      </c>
      <c r="C14303" s="33" t="s">
        <v>936</v>
      </c>
      <c r="D14303" s="33" t="s">
        <v>17</v>
      </c>
      <c r="E14303" s="33" t="s">
        <v>212</v>
      </c>
      <c r="F14303" s="33" t="s">
        <v>213</v>
      </c>
      <c r="G14303" s="33" t="s">
        <v>20</v>
      </c>
      <c r="H14303" s="35">
        <v>79</v>
      </c>
      <c r="I14303" s="33" t="s">
        <v>21</v>
      </c>
      <c r="J14303" s="42">
        <v>45106</v>
      </c>
      <c r="K14303" s="33" t="s">
        <v>22</v>
      </c>
    </row>
    <row r="14304" spans="1:11">
      <c r="A14304" s="30" t="s">
        <v>32264</v>
      </c>
      <c r="B14304" s="30" t="s">
        <v>32265</v>
      </c>
      <c r="C14304" s="30" t="s">
        <v>136</v>
      </c>
      <c r="D14304" s="30" t="s">
        <v>17</v>
      </c>
      <c r="E14304" s="30" t="s">
        <v>18</v>
      </c>
      <c r="F14304" s="30" t="s">
        <v>19</v>
      </c>
      <c r="G14304" s="30" t="s">
        <v>2613</v>
      </c>
      <c r="H14304" s="32">
        <v>310</v>
      </c>
      <c r="I14304" s="30" t="s">
        <v>51</v>
      </c>
      <c r="J14304" s="41">
        <v>44994</v>
      </c>
      <c r="K14304" s="30" t="s">
        <v>22</v>
      </c>
    </row>
    <row r="14305" spans="1:11">
      <c r="A14305" s="33" t="s">
        <v>32266</v>
      </c>
      <c r="B14305" s="33" t="s">
        <v>32267</v>
      </c>
      <c r="C14305" s="33" t="s">
        <v>2842</v>
      </c>
      <c r="D14305" s="33" t="s">
        <v>17</v>
      </c>
      <c r="E14305" s="33" t="s">
        <v>31</v>
      </c>
      <c r="F14305" s="33" t="s">
        <v>32</v>
      </c>
      <c r="G14305" s="33" t="s">
        <v>20</v>
      </c>
      <c r="H14305" s="35">
        <v>79</v>
      </c>
      <c r="I14305" s="33" t="s">
        <v>21</v>
      </c>
      <c r="J14305" s="42">
        <v>44998</v>
      </c>
      <c r="K14305" s="33" t="s">
        <v>22</v>
      </c>
    </row>
    <row r="14306" spans="1:11">
      <c r="A14306" s="30" t="s">
        <v>32268</v>
      </c>
      <c r="B14306" s="30" t="s">
        <v>32269</v>
      </c>
      <c r="C14306" s="30" t="s">
        <v>32270</v>
      </c>
      <c r="D14306" s="30" t="s">
        <v>17</v>
      </c>
      <c r="E14306" s="30" t="s">
        <v>26</v>
      </c>
      <c r="F14306" s="30" t="s">
        <v>27</v>
      </c>
      <c r="G14306" s="30" t="s">
        <v>140</v>
      </c>
      <c r="H14306" s="32">
        <v>38</v>
      </c>
      <c r="I14306" s="30" t="s">
        <v>51</v>
      </c>
      <c r="J14306" s="41">
        <v>45121</v>
      </c>
      <c r="K14306" s="30" t="s">
        <v>22</v>
      </c>
    </row>
    <row r="14307" spans="1:11">
      <c r="A14307" s="33" t="s">
        <v>32271</v>
      </c>
      <c r="B14307" s="33" t="s">
        <v>32272</v>
      </c>
      <c r="C14307" s="33" t="s">
        <v>32273</v>
      </c>
      <c r="D14307" s="33" t="s">
        <v>17</v>
      </c>
      <c r="E14307" s="33" t="s">
        <v>26</v>
      </c>
      <c r="F14307" s="33" t="s">
        <v>27</v>
      </c>
      <c r="G14307" s="33" t="s">
        <v>20</v>
      </c>
      <c r="H14307" s="35">
        <v>36</v>
      </c>
      <c r="I14307" s="33" t="s">
        <v>21</v>
      </c>
      <c r="J14307" s="42">
        <v>45017</v>
      </c>
      <c r="K14307" s="33" t="s">
        <v>22</v>
      </c>
    </row>
    <row r="14308" spans="1:11">
      <c r="A14308" s="30" t="s">
        <v>32274</v>
      </c>
      <c r="B14308" s="30" t="s">
        <v>32275</v>
      </c>
      <c r="C14308" s="30" t="s">
        <v>17961</v>
      </c>
      <c r="D14308" s="30" t="s">
        <v>17</v>
      </c>
      <c r="E14308" s="30" t="s">
        <v>31</v>
      </c>
      <c r="F14308" s="30" t="s">
        <v>32</v>
      </c>
      <c r="G14308" s="30" t="s">
        <v>20</v>
      </c>
      <c r="H14308" s="32">
        <v>81</v>
      </c>
      <c r="I14308" s="30" t="s">
        <v>21</v>
      </c>
      <c r="J14308" s="41">
        <v>45070</v>
      </c>
      <c r="K14308" s="30" t="s">
        <v>22</v>
      </c>
    </row>
    <row r="14309" spans="1:11">
      <c r="A14309" s="33" t="s">
        <v>32276</v>
      </c>
      <c r="B14309" s="33" t="s">
        <v>32277</v>
      </c>
      <c r="C14309" s="33" t="s">
        <v>32278</v>
      </c>
      <c r="D14309" s="33" t="s">
        <v>17</v>
      </c>
      <c r="E14309" s="33" t="s">
        <v>330</v>
      </c>
      <c r="F14309" s="33" t="s">
        <v>331</v>
      </c>
      <c r="G14309" s="33" t="s">
        <v>50</v>
      </c>
      <c r="H14309" s="35">
        <v>20</v>
      </c>
      <c r="I14309" s="33" t="s">
        <v>51</v>
      </c>
      <c r="J14309" s="42">
        <v>45032</v>
      </c>
      <c r="K14309" s="33" t="s">
        <v>22</v>
      </c>
    </row>
    <row r="14310" spans="1:11">
      <c r="A14310" s="30" t="s">
        <v>32279</v>
      </c>
      <c r="B14310" s="30" t="s">
        <v>32280</v>
      </c>
      <c r="C14310" s="30" t="s">
        <v>1598</v>
      </c>
      <c r="D14310" s="30" t="s">
        <v>17</v>
      </c>
      <c r="E14310" s="30" t="s">
        <v>26</v>
      </c>
      <c r="F14310" s="30" t="s">
        <v>27</v>
      </c>
      <c r="G14310" s="30" t="s">
        <v>20</v>
      </c>
      <c r="H14310" s="32">
        <v>48</v>
      </c>
      <c r="I14310" s="30" t="s">
        <v>21</v>
      </c>
      <c r="J14310" s="41">
        <v>45022</v>
      </c>
      <c r="K14310" s="30" t="s">
        <v>22</v>
      </c>
    </row>
    <row r="14311" spans="1:11">
      <c r="A14311" s="33" t="s">
        <v>32281</v>
      </c>
      <c r="B14311" s="33" t="s">
        <v>32282</v>
      </c>
      <c r="C14311" s="33" t="s">
        <v>756</v>
      </c>
      <c r="D14311" s="33" t="s">
        <v>17</v>
      </c>
      <c r="E14311" s="33" t="s">
        <v>26</v>
      </c>
      <c r="F14311" s="33" t="s">
        <v>27</v>
      </c>
      <c r="G14311" s="33" t="s">
        <v>106</v>
      </c>
      <c r="H14311" s="35">
        <v>17</v>
      </c>
      <c r="I14311" s="33" t="s">
        <v>21</v>
      </c>
      <c r="J14311" s="42">
        <v>45142</v>
      </c>
      <c r="K14311" s="33" t="s">
        <v>22</v>
      </c>
    </row>
    <row r="14312" spans="1:11">
      <c r="A14312" s="30" t="s">
        <v>32283</v>
      </c>
      <c r="B14312" s="30" t="s">
        <v>32284</v>
      </c>
      <c r="C14312" s="30" t="s">
        <v>15650</v>
      </c>
      <c r="D14312" s="30" t="s">
        <v>17</v>
      </c>
      <c r="E14312" s="30" t="s">
        <v>31</v>
      </c>
      <c r="F14312" s="30" t="s">
        <v>32</v>
      </c>
      <c r="G14312" s="30" t="s">
        <v>20</v>
      </c>
      <c r="H14312" s="32">
        <v>111</v>
      </c>
      <c r="I14312" s="30" t="s">
        <v>21</v>
      </c>
      <c r="J14312" s="41">
        <v>45218</v>
      </c>
      <c r="K14312" s="30" t="s">
        <v>22</v>
      </c>
    </row>
    <row r="14313" spans="1:11">
      <c r="A14313" s="33" t="s">
        <v>32285</v>
      </c>
      <c r="B14313" s="33" t="s">
        <v>32286</v>
      </c>
      <c r="C14313" s="33" t="s">
        <v>109</v>
      </c>
      <c r="D14313" s="33" t="s">
        <v>17</v>
      </c>
      <c r="E14313" s="33" t="s">
        <v>26</v>
      </c>
      <c r="F14313" s="33" t="s">
        <v>27</v>
      </c>
      <c r="G14313" s="33" t="s">
        <v>158</v>
      </c>
      <c r="H14313" s="35">
        <v>28</v>
      </c>
      <c r="I14313" s="33" t="s">
        <v>21</v>
      </c>
      <c r="J14313" s="42">
        <v>45243</v>
      </c>
      <c r="K14313" s="33" t="s">
        <v>22</v>
      </c>
    </row>
    <row r="14314" spans="1:11">
      <c r="A14314" s="30" t="s">
        <v>32287</v>
      </c>
      <c r="B14314" s="30" t="s">
        <v>32288</v>
      </c>
      <c r="C14314" s="30" t="s">
        <v>3429</v>
      </c>
      <c r="D14314" s="30" t="s">
        <v>17</v>
      </c>
      <c r="E14314" s="30" t="s">
        <v>26</v>
      </c>
      <c r="F14314" s="30" t="s">
        <v>27</v>
      </c>
      <c r="G14314" s="30" t="s">
        <v>20</v>
      </c>
      <c r="H14314" s="32">
        <v>36</v>
      </c>
      <c r="I14314" s="30" t="s">
        <v>21</v>
      </c>
      <c r="J14314" s="41">
        <v>44992</v>
      </c>
      <c r="K14314" s="30" t="s">
        <v>22</v>
      </c>
    </row>
    <row r="14315" spans="1:11">
      <c r="A14315" s="33" t="s">
        <v>32289</v>
      </c>
      <c r="B14315" s="33" t="s">
        <v>32290</v>
      </c>
      <c r="C14315" s="33" t="s">
        <v>9872</v>
      </c>
      <c r="D14315" s="33" t="s">
        <v>17</v>
      </c>
      <c r="E14315" s="33" t="s">
        <v>26</v>
      </c>
      <c r="F14315" s="33" t="s">
        <v>27</v>
      </c>
      <c r="G14315" s="33" t="s">
        <v>158</v>
      </c>
      <c r="H14315" s="35">
        <v>90</v>
      </c>
      <c r="I14315" s="33" t="s">
        <v>51</v>
      </c>
      <c r="J14315" s="42">
        <v>45133</v>
      </c>
      <c r="K14315" s="33" t="s">
        <v>22</v>
      </c>
    </row>
    <row r="14316" spans="1:11">
      <c r="A14316" s="30" t="s">
        <v>32291</v>
      </c>
      <c r="B14316" s="30" t="s">
        <v>32292</v>
      </c>
      <c r="C14316" s="30" t="s">
        <v>22172</v>
      </c>
      <c r="D14316" s="30" t="s">
        <v>17</v>
      </c>
      <c r="E14316" s="30" t="s">
        <v>67</v>
      </c>
      <c r="F14316" s="30" t="s">
        <v>68</v>
      </c>
      <c r="G14316" s="30" t="s">
        <v>140</v>
      </c>
      <c r="H14316" s="32">
        <v>200</v>
      </c>
      <c r="I14316" s="30" t="s">
        <v>51</v>
      </c>
      <c r="J14316" s="41">
        <v>45132</v>
      </c>
      <c r="K14316" s="30" t="s">
        <v>22</v>
      </c>
    </row>
    <row r="14317" spans="1:11">
      <c r="A14317" s="33" t="s">
        <v>32293</v>
      </c>
      <c r="B14317" s="33" t="s">
        <v>32294</v>
      </c>
      <c r="C14317" s="33" t="s">
        <v>2585</v>
      </c>
      <c r="D14317" s="33" t="s">
        <v>17</v>
      </c>
      <c r="E14317" s="33" t="s">
        <v>26</v>
      </c>
      <c r="F14317" s="33" t="s">
        <v>27</v>
      </c>
      <c r="G14317" s="33" t="s">
        <v>20</v>
      </c>
      <c r="H14317" s="35">
        <v>24</v>
      </c>
      <c r="I14317" s="33" t="s">
        <v>21</v>
      </c>
      <c r="J14317" s="42">
        <v>45113</v>
      </c>
      <c r="K14317" s="33" t="s">
        <v>22</v>
      </c>
    </row>
    <row r="14318" spans="1:11">
      <c r="A14318" s="30" t="s">
        <v>32295</v>
      </c>
      <c r="B14318" s="30" t="s">
        <v>32296</v>
      </c>
      <c r="C14318" s="30" t="s">
        <v>14640</v>
      </c>
      <c r="D14318" s="30" t="s">
        <v>17</v>
      </c>
      <c r="E14318" s="30" t="s">
        <v>26</v>
      </c>
      <c r="F14318" s="30" t="s">
        <v>27</v>
      </c>
      <c r="G14318" s="30" t="s">
        <v>20</v>
      </c>
      <c r="H14318" s="32">
        <v>6</v>
      </c>
      <c r="I14318" s="30" t="s">
        <v>21</v>
      </c>
      <c r="J14318" s="41">
        <v>45285</v>
      </c>
      <c r="K14318" s="30" t="s">
        <v>22</v>
      </c>
    </row>
    <row r="14319" spans="1:11">
      <c r="A14319" s="33" t="s">
        <v>32297</v>
      </c>
      <c r="B14319" s="33" t="s">
        <v>32298</v>
      </c>
      <c r="C14319" s="33" t="s">
        <v>44</v>
      </c>
      <c r="D14319" s="33" t="s">
        <v>17</v>
      </c>
      <c r="E14319" s="33" t="s">
        <v>18</v>
      </c>
      <c r="F14319" s="33" t="s">
        <v>19</v>
      </c>
      <c r="G14319" s="33" t="s">
        <v>140</v>
      </c>
      <c r="H14319" s="35">
        <v>470</v>
      </c>
      <c r="I14319" s="33" t="s">
        <v>51</v>
      </c>
      <c r="J14319" s="42">
        <v>45288</v>
      </c>
      <c r="K14319" s="33" t="s">
        <v>22</v>
      </c>
    </row>
    <row r="14320" spans="1:11">
      <c r="A14320" s="30" t="s">
        <v>32299</v>
      </c>
      <c r="B14320" s="30" t="s">
        <v>32300</v>
      </c>
      <c r="C14320" s="30" t="s">
        <v>20732</v>
      </c>
      <c r="D14320" s="30" t="s">
        <v>17</v>
      </c>
      <c r="E14320" s="30" t="s">
        <v>212</v>
      </c>
      <c r="F14320" s="30" t="s">
        <v>213</v>
      </c>
      <c r="G14320" s="30" t="s">
        <v>106</v>
      </c>
      <c r="H14320" s="32">
        <v>15</v>
      </c>
      <c r="I14320" s="30" t="s">
        <v>21</v>
      </c>
      <c r="J14320" s="41">
        <v>45121</v>
      </c>
      <c r="K14320" s="30" t="s">
        <v>22</v>
      </c>
    </row>
    <row r="14321" spans="1:11">
      <c r="A14321" s="33" t="s">
        <v>32301</v>
      </c>
      <c r="B14321" s="33" t="s">
        <v>32302</v>
      </c>
      <c r="C14321" s="33" t="s">
        <v>925</v>
      </c>
      <c r="D14321" s="33" t="s">
        <v>17</v>
      </c>
      <c r="E14321" s="33" t="s">
        <v>26</v>
      </c>
      <c r="F14321" s="33" t="s">
        <v>27</v>
      </c>
      <c r="G14321" s="33" t="s">
        <v>158</v>
      </c>
      <c r="H14321" s="35">
        <v>182</v>
      </c>
      <c r="I14321" s="33" t="s">
        <v>51</v>
      </c>
      <c r="J14321" s="42">
        <v>45057</v>
      </c>
      <c r="K14321" s="33" t="s">
        <v>22</v>
      </c>
    </row>
    <row r="14322" spans="1:11">
      <c r="A14322" s="30" t="s">
        <v>32303</v>
      </c>
      <c r="B14322" s="30" t="s">
        <v>32304</v>
      </c>
      <c r="C14322" s="30" t="s">
        <v>817</v>
      </c>
      <c r="D14322" s="30" t="s">
        <v>17</v>
      </c>
      <c r="E14322" s="30" t="s">
        <v>31</v>
      </c>
      <c r="F14322" s="30" t="s">
        <v>32</v>
      </c>
      <c r="G14322" s="30" t="s">
        <v>158</v>
      </c>
      <c r="H14322" s="32">
        <v>219</v>
      </c>
      <c r="I14322" s="30" t="s">
        <v>21</v>
      </c>
      <c r="J14322" s="41">
        <v>45174</v>
      </c>
      <c r="K14322" s="30" t="s">
        <v>22</v>
      </c>
    </row>
    <row r="14323" spans="1:11">
      <c r="A14323" s="33" t="s">
        <v>32305</v>
      </c>
      <c r="B14323" s="33" t="s">
        <v>32306</v>
      </c>
      <c r="C14323" s="33" t="s">
        <v>1598</v>
      </c>
      <c r="D14323" s="33" t="s">
        <v>17</v>
      </c>
      <c r="E14323" s="33" t="s">
        <v>31</v>
      </c>
      <c r="F14323" s="33" t="s">
        <v>32</v>
      </c>
      <c r="G14323" s="33" t="s">
        <v>106</v>
      </c>
      <c r="H14323" s="35">
        <v>4</v>
      </c>
      <c r="I14323" s="33" t="s">
        <v>21</v>
      </c>
      <c r="J14323" s="42">
        <v>45138</v>
      </c>
      <c r="K14323" s="33" t="s">
        <v>22</v>
      </c>
    </row>
    <row r="14324" spans="1:11">
      <c r="A14324" s="30" t="s">
        <v>32307</v>
      </c>
      <c r="B14324" s="30" t="s">
        <v>32308</v>
      </c>
      <c r="C14324" s="30" t="s">
        <v>1808</v>
      </c>
      <c r="D14324" s="30" t="s">
        <v>17</v>
      </c>
      <c r="E14324" s="30" t="s">
        <v>26</v>
      </c>
      <c r="F14324" s="30" t="s">
        <v>27</v>
      </c>
      <c r="G14324" s="30" t="s">
        <v>20</v>
      </c>
      <c r="H14324" s="32">
        <v>6</v>
      </c>
      <c r="I14324" s="30" t="s">
        <v>21</v>
      </c>
      <c r="J14324" s="41">
        <v>45096</v>
      </c>
      <c r="K14324" s="30" t="s">
        <v>22</v>
      </c>
    </row>
    <row r="14325" spans="1:11">
      <c r="A14325" s="33" t="s">
        <v>32309</v>
      </c>
      <c r="B14325" s="33" t="s">
        <v>32310</v>
      </c>
      <c r="C14325" s="33" t="s">
        <v>570</v>
      </c>
      <c r="D14325" s="33" t="s">
        <v>17</v>
      </c>
      <c r="E14325" s="33" t="s">
        <v>26</v>
      </c>
      <c r="F14325" s="33" t="s">
        <v>27</v>
      </c>
      <c r="G14325" s="33" t="s">
        <v>50</v>
      </c>
      <c r="H14325" s="35">
        <v>122</v>
      </c>
      <c r="I14325" s="33" t="s">
        <v>51</v>
      </c>
      <c r="J14325" s="42">
        <v>44958</v>
      </c>
      <c r="K14325" s="33" t="s">
        <v>22</v>
      </c>
    </row>
    <row r="14326" spans="1:11">
      <c r="A14326" s="30" t="s">
        <v>32311</v>
      </c>
      <c r="B14326" s="30" t="s">
        <v>32312</v>
      </c>
      <c r="C14326" s="30" t="s">
        <v>374</v>
      </c>
      <c r="D14326" s="30" t="s">
        <v>17</v>
      </c>
      <c r="E14326" s="30" t="s">
        <v>26</v>
      </c>
      <c r="F14326" s="30" t="s">
        <v>27</v>
      </c>
      <c r="G14326" s="30" t="s">
        <v>20</v>
      </c>
      <c r="H14326" s="32">
        <v>16</v>
      </c>
      <c r="I14326" s="30" t="s">
        <v>21</v>
      </c>
      <c r="J14326" s="41">
        <v>45106</v>
      </c>
      <c r="K14326" s="30" t="s">
        <v>22</v>
      </c>
    </row>
    <row r="14327" spans="1:11">
      <c r="A14327" s="33" t="s">
        <v>32313</v>
      </c>
      <c r="B14327" s="33" t="s">
        <v>32314</v>
      </c>
      <c r="C14327" s="33" t="s">
        <v>8903</v>
      </c>
      <c r="D14327" s="33" t="s">
        <v>17</v>
      </c>
      <c r="E14327" s="33" t="s">
        <v>26</v>
      </c>
      <c r="F14327" s="33" t="s">
        <v>27</v>
      </c>
      <c r="G14327" s="33" t="s">
        <v>106</v>
      </c>
      <c r="H14327" s="35">
        <v>30</v>
      </c>
      <c r="I14327" s="33" t="s">
        <v>21</v>
      </c>
      <c r="J14327" s="42">
        <v>45006</v>
      </c>
      <c r="K14327" s="33" t="s">
        <v>22</v>
      </c>
    </row>
    <row r="14328" spans="1:11">
      <c r="A14328" s="30" t="s">
        <v>32315</v>
      </c>
      <c r="B14328" s="30" t="s">
        <v>32316</v>
      </c>
      <c r="C14328" s="30" t="s">
        <v>32317</v>
      </c>
      <c r="D14328" s="30" t="s">
        <v>17</v>
      </c>
      <c r="E14328" s="30" t="s">
        <v>26</v>
      </c>
      <c r="F14328" s="30" t="s">
        <v>27</v>
      </c>
      <c r="G14328" s="30" t="s">
        <v>112</v>
      </c>
      <c r="H14328" s="32">
        <v>0</v>
      </c>
      <c r="I14328" s="30" t="s">
        <v>21</v>
      </c>
      <c r="J14328" s="41">
        <v>44958</v>
      </c>
      <c r="K14328" s="30" t="s">
        <v>22</v>
      </c>
    </row>
    <row r="14329" spans="1:11">
      <c r="A14329" s="33" t="s">
        <v>32318</v>
      </c>
      <c r="B14329" s="33" t="s">
        <v>32319</v>
      </c>
      <c r="C14329" s="33" t="s">
        <v>9464</v>
      </c>
      <c r="D14329" s="33" t="s">
        <v>17</v>
      </c>
      <c r="E14329" s="33" t="s">
        <v>26</v>
      </c>
      <c r="F14329" s="33" t="s">
        <v>27</v>
      </c>
      <c r="G14329" s="33" t="s">
        <v>140</v>
      </c>
      <c r="H14329" s="35">
        <v>128</v>
      </c>
      <c r="I14329" s="33" t="s">
        <v>51</v>
      </c>
      <c r="J14329" s="42">
        <v>45009</v>
      </c>
      <c r="K14329" s="33" t="s">
        <v>22</v>
      </c>
    </row>
    <row r="14330" spans="1:11">
      <c r="A14330" s="30" t="s">
        <v>32320</v>
      </c>
      <c r="B14330" s="30" t="s">
        <v>32321</v>
      </c>
      <c r="C14330" s="30" t="s">
        <v>13577</v>
      </c>
      <c r="D14330" s="30" t="s">
        <v>17</v>
      </c>
      <c r="E14330" s="30" t="s">
        <v>26</v>
      </c>
      <c r="F14330" s="30" t="s">
        <v>27</v>
      </c>
      <c r="G14330" s="30" t="s">
        <v>20</v>
      </c>
      <c r="H14330" s="32">
        <v>52</v>
      </c>
      <c r="I14330" s="30" t="s">
        <v>21</v>
      </c>
      <c r="J14330" s="41">
        <v>45061</v>
      </c>
      <c r="K14330" s="30" t="s">
        <v>22</v>
      </c>
    </row>
    <row r="14331" spans="1:11">
      <c r="A14331" s="33" t="s">
        <v>32322</v>
      </c>
      <c r="B14331" s="33" t="s">
        <v>32323</v>
      </c>
      <c r="C14331" s="33" t="s">
        <v>32324</v>
      </c>
      <c r="D14331" s="33" t="s">
        <v>17</v>
      </c>
      <c r="E14331" s="33" t="s">
        <v>67</v>
      </c>
      <c r="F14331" s="33" t="s">
        <v>68</v>
      </c>
      <c r="G14331" s="33" t="s">
        <v>140</v>
      </c>
      <c r="H14331" s="35">
        <v>230</v>
      </c>
      <c r="I14331" s="33" t="s">
        <v>51</v>
      </c>
      <c r="J14331" s="42">
        <v>45113</v>
      </c>
      <c r="K14331" s="33" t="s">
        <v>22</v>
      </c>
    </row>
    <row r="14332" spans="1:11">
      <c r="A14332" s="30" t="s">
        <v>32325</v>
      </c>
      <c r="B14332" s="30" t="s">
        <v>32326</v>
      </c>
      <c r="C14332" s="30" t="s">
        <v>570</v>
      </c>
      <c r="D14332" s="30" t="s">
        <v>17</v>
      </c>
      <c r="E14332" s="30" t="s">
        <v>67</v>
      </c>
      <c r="F14332" s="30" t="s">
        <v>68</v>
      </c>
      <c r="G14332" s="30" t="s">
        <v>140</v>
      </c>
      <c r="H14332" s="32">
        <v>515</v>
      </c>
      <c r="I14332" s="30" t="s">
        <v>51</v>
      </c>
      <c r="J14332" s="41">
        <v>45097</v>
      </c>
      <c r="K14332" s="30" t="s">
        <v>22</v>
      </c>
    </row>
    <row r="14333" spans="1:11">
      <c r="A14333" s="33" t="s">
        <v>32327</v>
      </c>
      <c r="B14333" s="33" t="s">
        <v>32328</v>
      </c>
      <c r="C14333" s="33" t="s">
        <v>32329</v>
      </c>
      <c r="D14333" s="33" t="s">
        <v>17</v>
      </c>
      <c r="E14333" s="33" t="s">
        <v>31</v>
      </c>
      <c r="F14333" s="33" t="s">
        <v>32</v>
      </c>
      <c r="G14333" s="33" t="s">
        <v>140</v>
      </c>
      <c r="H14333" s="35">
        <v>90</v>
      </c>
      <c r="I14333" s="33" t="s">
        <v>51</v>
      </c>
      <c r="J14333" s="42">
        <v>44986</v>
      </c>
      <c r="K14333" s="33" t="s">
        <v>22</v>
      </c>
    </row>
    <row r="14334" spans="1:11">
      <c r="A14334" s="30" t="s">
        <v>32330</v>
      </c>
      <c r="B14334" s="30" t="s">
        <v>32331</v>
      </c>
      <c r="C14334" s="30" t="s">
        <v>32332</v>
      </c>
      <c r="D14334" s="30" t="s">
        <v>17</v>
      </c>
      <c r="E14334" s="30" t="s">
        <v>18</v>
      </c>
      <c r="F14334" s="30" t="s">
        <v>19</v>
      </c>
      <c r="G14334" s="30" t="s">
        <v>20</v>
      </c>
      <c r="H14334" s="32">
        <v>148</v>
      </c>
      <c r="I14334" s="30" t="s">
        <v>21</v>
      </c>
      <c r="J14334" s="41">
        <v>45102</v>
      </c>
      <c r="K14334" s="30" t="s">
        <v>22</v>
      </c>
    </row>
    <row r="14335" spans="1:11">
      <c r="A14335" s="33" t="s">
        <v>32333</v>
      </c>
      <c r="B14335" s="33" t="s">
        <v>32334</v>
      </c>
      <c r="C14335" s="33" t="s">
        <v>190</v>
      </c>
      <c r="D14335" s="33" t="s">
        <v>17</v>
      </c>
      <c r="E14335" s="33" t="s">
        <v>18</v>
      </c>
      <c r="F14335" s="33" t="s">
        <v>19</v>
      </c>
      <c r="G14335" s="33" t="s">
        <v>158</v>
      </c>
      <c r="H14335" s="35">
        <v>1200</v>
      </c>
      <c r="I14335" s="33" t="s">
        <v>51</v>
      </c>
      <c r="J14335" s="42">
        <v>45223</v>
      </c>
      <c r="K14335" s="33" t="s">
        <v>22</v>
      </c>
    </row>
    <row r="14336" spans="1:11">
      <c r="A14336" s="30" t="s">
        <v>32335</v>
      </c>
      <c r="B14336" s="30" t="s">
        <v>32336</v>
      </c>
      <c r="C14336" s="30" t="s">
        <v>187</v>
      </c>
      <c r="D14336" s="30" t="s">
        <v>17</v>
      </c>
      <c r="E14336" s="30" t="s">
        <v>18</v>
      </c>
      <c r="F14336" s="30" t="s">
        <v>19</v>
      </c>
      <c r="G14336" s="30" t="s">
        <v>158</v>
      </c>
      <c r="H14336" s="32">
        <v>1946</v>
      </c>
      <c r="I14336" s="30" t="s">
        <v>51</v>
      </c>
      <c r="J14336" s="41">
        <v>45015</v>
      </c>
      <c r="K14336" s="30" t="s">
        <v>22</v>
      </c>
    </row>
    <row r="14337" spans="1:11">
      <c r="A14337" s="33" t="s">
        <v>32337</v>
      </c>
      <c r="B14337" s="33" t="s">
        <v>32338</v>
      </c>
      <c r="C14337" s="33" t="s">
        <v>14771</v>
      </c>
      <c r="D14337" s="33" t="s">
        <v>17</v>
      </c>
      <c r="E14337" s="33" t="s">
        <v>31</v>
      </c>
      <c r="F14337" s="33" t="s">
        <v>32</v>
      </c>
      <c r="G14337" s="33" t="s">
        <v>140</v>
      </c>
      <c r="H14337" s="35">
        <v>276</v>
      </c>
      <c r="I14337" s="33" t="s">
        <v>51</v>
      </c>
      <c r="J14337" s="42">
        <v>45134</v>
      </c>
      <c r="K14337" s="33" t="s">
        <v>22</v>
      </c>
    </row>
    <row r="14338" spans="1:11">
      <c r="A14338" s="30" t="s">
        <v>32339</v>
      </c>
      <c r="B14338" s="30" t="s">
        <v>32340</v>
      </c>
      <c r="C14338" s="30" t="s">
        <v>11239</v>
      </c>
      <c r="D14338" s="30" t="s">
        <v>17</v>
      </c>
      <c r="E14338" s="30" t="s">
        <v>18</v>
      </c>
      <c r="F14338" s="30" t="s">
        <v>19</v>
      </c>
      <c r="G14338" s="30" t="s">
        <v>112</v>
      </c>
      <c r="H14338" s="32">
        <v>0</v>
      </c>
      <c r="I14338" s="30" t="s">
        <v>21</v>
      </c>
      <c r="J14338" s="41">
        <v>45076</v>
      </c>
      <c r="K14338" s="30" t="s">
        <v>22</v>
      </c>
    </row>
    <row r="14339" spans="1:11">
      <c r="A14339" s="33" t="s">
        <v>32341</v>
      </c>
      <c r="B14339" s="33" t="s">
        <v>32342</v>
      </c>
      <c r="C14339" s="33" t="s">
        <v>13219</v>
      </c>
      <c r="D14339" s="33" t="s">
        <v>17</v>
      </c>
      <c r="E14339" s="33" t="s">
        <v>26</v>
      </c>
      <c r="F14339" s="33" t="s">
        <v>27</v>
      </c>
      <c r="G14339" s="33" t="s">
        <v>158</v>
      </c>
      <c r="H14339" s="35">
        <v>14</v>
      </c>
      <c r="I14339" s="33" t="s">
        <v>21</v>
      </c>
      <c r="J14339" s="42">
        <v>45231</v>
      </c>
      <c r="K14339" s="33" t="s">
        <v>22</v>
      </c>
    </row>
    <row r="14340" spans="1:11">
      <c r="A14340" s="30" t="s">
        <v>32343</v>
      </c>
      <c r="B14340" s="30" t="s">
        <v>32344</v>
      </c>
      <c r="C14340" s="30" t="s">
        <v>32345</v>
      </c>
      <c r="D14340" s="30" t="s">
        <v>17</v>
      </c>
      <c r="E14340" s="30" t="s">
        <v>26</v>
      </c>
      <c r="F14340" s="30" t="s">
        <v>27</v>
      </c>
      <c r="G14340" s="30" t="s">
        <v>140</v>
      </c>
      <c r="H14340" s="32">
        <v>86</v>
      </c>
      <c r="I14340" s="30" t="s">
        <v>51</v>
      </c>
      <c r="J14340" s="41">
        <v>45219</v>
      </c>
      <c r="K14340" s="30" t="s">
        <v>22</v>
      </c>
    </row>
    <row r="14341" spans="1:11">
      <c r="A14341" s="33" t="s">
        <v>32346</v>
      </c>
      <c r="B14341" s="33" t="s">
        <v>32347</v>
      </c>
      <c r="C14341" s="33" t="s">
        <v>149</v>
      </c>
      <c r="D14341" s="33" t="s">
        <v>17</v>
      </c>
      <c r="E14341" s="33" t="s">
        <v>31</v>
      </c>
      <c r="F14341" s="33" t="s">
        <v>32</v>
      </c>
      <c r="G14341" s="33" t="s">
        <v>20</v>
      </c>
      <c r="H14341" s="35">
        <v>61</v>
      </c>
      <c r="I14341" s="33" t="s">
        <v>21</v>
      </c>
      <c r="J14341" s="42">
        <v>45062</v>
      </c>
      <c r="K14341" s="33" t="s">
        <v>22</v>
      </c>
    </row>
    <row r="14342" spans="1:11">
      <c r="A14342" s="30" t="s">
        <v>32348</v>
      </c>
      <c r="B14342" s="30" t="s">
        <v>32349</v>
      </c>
      <c r="C14342" s="30" t="s">
        <v>231</v>
      </c>
      <c r="D14342" s="30" t="s">
        <v>17</v>
      </c>
      <c r="E14342" s="30" t="s">
        <v>26</v>
      </c>
      <c r="F14342" s="30" t="s">
        <v>27</v>
      </c>
      <c r="G14342" s="30" t="s">
        <v>20</v>
      </c>
      <c r="H14342" s="32">
        <v>59</v>
      </c>
      <c r="I14342" s="30" t="s">
        <v>21</v>
      </c>
      <c r="J14342" s="41">
        <v>45226</v>
      </c>
      <c r="K14342" s="30" t="s">
        <v>22</v>
      </c>
    </row>
    <row r="14343" spans="1:11">
      <c r="A14343" s="33" t="s">
        <v>32350</v>
      </c>
      <c r="B14343" s="33" t="s">
        <v>32351</v>
      </c>
      <c r="C14343" s="33" t="s">
        <v>32352</v>
      </c>
      <c r="D14343" s="33" t="s">
        <v>17</v>
      </c>
      <c r="E14343" s="33" t="s">
        <v>67</v>
      </c>
      <c r="F14343" s="33" t="s">
        <v>68</v>
      </c>
      <c r="G14343" s="33" t="s">
        <v>140</v>
      </c>
      <c r="H14343" s="35">
        <v>50</v>
      </c>
      <c r="I14343" s="33" t="s">
        <v>51</v>
      </c>
      <c r="J14343" s="42">
        <v>45236</v>
      </c>
      <c r="K14343" s="33" t="s">
        <v>22</v>
      </c>
    </row>
    <row r="14344" spans="1:11">
      <c r="A14344" s="30" t="s">
        <v>32353</v>
      </c>
      <c r="B14344" s="30" t="s">
        <v>32354</v>
      </c>
      <c r="C14344" s="30" t="s">
        <v>5229</v>
      </c>
      <c r="D14344" s="30" t="s">
        <v>17</v>
      </c>
      <c r="E14344" s="30" t="s">
        <v>31</v>
      </c>
      <c r="F14344" s="30" t="s">
        <v>32</v>
      </c>
      <c r="G14344" s="30" t="s">
        <v>106</v>
      </c>
      <c r="H14344" s="32">
        <v>37</v>
      </c>
      <c r="I14344" s="30" t="s">
        <v>21</v>
      </c>
      <c r="J14344" s="41">
        <v>45035</v>
      </c>
      <c r="K14344" s="30" t="s">
        <v>22</v>
      </c>
    </row>
    <row r="14345" spans="1:11">
      <c r="A14345" s="33" t="s">
        <v>32355</v>
      </c>
      <c r="B14345" s="33" t="s">
        <v>32356</v>
      </c>
      <c r="C14345" s="33" t="s">
        <v>190</v>
      </c>
      <c r="D14345" s="33" t="s">
        <v>17</v>
      </c>
      <c r="E14345" s="33" t="s">
        <v>18</v>
      </c>
      <c r="F14345" s="33" t="s">
        <v>19</v>
      </c>
      <c r="G14345" s="33" t="s">
        <v>140</v>
      </c>
      <c r="H14345" s="35">
        <v>800</v>
      </c>
      <c r="I14345" s="33" t="s">
        <v>51</v>
      </c>
      <c r="J14345" s="42">
        <v>45191</v>
      </c>
      <c r="K14345" s="33" t="s">
        <v>22</v>
      </c>
    </row>
    <row r="14346" spans="1:11">
      <c r="A14346" s="30" t="s">
        <v>32357</v>
      </c>
      <c r="B14346" s="30" t="s">
        <v>32358</v>
      </c>
      <c r="C14346" s="30" t="s">
        <v>32359</v>
      </c>
      <c r="D14346" s="30" t="s">
        <v>17</v>
      </c>
      <c r="E14346" s="30" t="s">
        <v>26</v>
      </c>
      <c r="F14346" s="30" t="s">
        <v>27</v>
      </c>
      <c r="G14346" s="30" t="s">
        <v>20</v>
      </c>
      <c r="H14346" s="32">
        <v>54</v>
      </c>
      <c r="I14346" s="30" t="s">
        <v>21</v>
      </c>
      <c r="J14346" s="41">
        <v>45024</v>
      </c>
      <c r="K14346" s="30" t="s">
        <v>22</v>
      </c>
    </row>
    <row r="14347" spans="1:11">
      <c r="A14347" s="33" t="s">
        <v>32360</v>
      </c>
      <c r="B14347" s="33" t="s">
        <v>32361</v>
      </c>
      <c r="C14347" s="33" t="s">
        <v>6127</v>
      </c>
      <c r="D14347" s="33" t="s">
        <v>17</v>
      </c>
      <c r="E14347" s="33" t="s">
        <v>67</v>
      </c>
      <c r="F14347" s="33" t="s">
        <v>68</v>
      </c>
      <c r="G14347" s="33" t="s">
        <v>106</v>
      </c>
      <c r="H14347" s="35">
        <v>49</v>
      </c>
      <c r="I14347" s="33" t="s">
        <v>21</v>
      </c>
      <c r="J14347" s="42">
        <v>44995</v>
      </c>
      <c r="K14347" s="33" t="s">
        <v>22</v>
      </c>
    </row>
    <row r="14348" spans="1:11">
      <c r="A14348" s="30" t="s">
        <v>32362</v>
      </c>
      <c r="B14348" s="30" t="s">
        <v>32363</v>
      </c>
      <c r="C14348" s="30" t="s">
        <v>28085</v>
      </c>
      <c r="D14348" s="30" t="s">
        <v>17</v>
      </c>
      <c r="E14348" s="30" t="s">
        <v>212</v>
      </c>
      <c r="F14348" s="30" t="s">
        <v>213</v>
      </c>
      <c r="G14348" s="30" t="s">
        <v>140</v>
      </c>
      <c r="H14348" s="32">
        <v>302</v>
      </c>
      <c r="I14348" s="30" t="s">
        <v>51</v>
      </c>
      <c r="J14348" s="41">
        <v>45217</v>
      </c>
      <c r="K14348" s="30" t="s">
        <v>22</v>
      </c>
    </row>
    <row r="14349" spans="1:11">
      <c r="A14349" s="33" t="s">
        <v>32364</v>
      </c>
      <c r="B14349" s="33" t="s">
        <v>32365</v>
      </c>
      <c r="C14349" s="33" t="s">
        <v>32366</v>
      </c>
      <c r="D14349" s="33" t="s">
        <v>17</v>
      </c>
      <c r="E14349" s="33" t="s">
        <v>67</v>
      </c>
      <c r="F14349" s="33" t="s">
        <v>68</v>
      </c>
      <c r="G14349" s="33" t="s">
        <v>50</v>
      </c>
      <c r="H14349" s="35">
        <v>334</v>
      </c>
      <c r="I14349" s="33" t="s">
        <v>51</v>
      </c>
      <c r="J14349" s="42">
        <v>45153</v>
      </c>
      <c r="K14349" s="33" t="s">
        <v>22</v>
      </c>
    </row>
    <row r="14350" spans="1:11">
      <c r="A14350" s="30" t="s">
        <v>32367</v>
      </c>
      <c r="B14350" s="30" t="s">
        <v>32368</v>
      </c>
      <c r="C14350" s="30" t="s">
        <v>709</v>
      </c>
      <c r="D14350" s="30" t="s">
        <v>17</v>
      </c>
      <c r="E14350" s="30" t="s">
        <v>31</v>
      </c>
      <c r="F14350" s="30" t="s">
        <v>32</v>
      </c>
      <c r="G14350" s="30" t="s">
        <v>158</v>
      </c>
      <c r="H14350" s="32">
        <v>50</v>
      </c>
      <c r="I14350" s="30" t="s">
        <v>51</v>
      </c>
      <c r="J14350" s="41">
        <v>45247</v>
      </c>
      <c r="K14350" s="30" t="s">
        <v>22</v>
      </c>
    </row>
    <row r="14351" spans="1:11">
      <c r="A14351" s="33" t="s">
        <v>32369</v>
      </c>
      <c r="B14351" s="33" t="s">
        <v>32370</v>
      </c>
      <c r="C14351" s="33" t="s">
        <v>118</v>
      </c>
      <c r="D14351" s="33" t="s">
        <v>17</v>
      </c>
      <c r="E14351" s="33" t="s">
        <v>26</v>
      </c>
      <c r="F14351" s="33" t="s">
        <v>27</v>
      </c>
      <c r="G14351" s="33" t="s">
        <v>20</v>
      </c>
      <c r="H14351" s="35">
        <v>45</v>
      </c>
      <c r="I14351" s="33" t="s">
        <v>21</v>
      </c>
      <c r="J14351" s="42">
        <v>45145</v>
      </c>
      <c r="K14351" s="33" t="s">
        <v>22</v>
      </c>
    </row>
    <row r="14352" spans="1:11">
      <c r="A14352" s="30" t="s">
        <v>32371</v>
      </c>
      <c r="B14352" s="30" t="s">
        <v>32372</v>
      </c>
      <c r="C14352" s="30" t="s">
        <v>4622</v>
      </c>
      <c r="D14352" s="30" t="s">
        <v>17</v>
      </c>
      <c r="E14352" s="30" t="s">
        <v>18</v>
      </c>
      <c r="F14352" s="30" t="s">
        <v>19</v>
      </c>
      <c r="G14352" s="30" t="s">
        <v>20</v>
      </c>
      <c r="H14352" s="32">
        <v>107</v>
      </c>
      <c r="I14352" s="30" t="s">
        <v>21</v>
      </c>
      <c r="J14352" s="41">
        <v>45015</v>
      </c>
      <c r="K14352" s="30" t="s">
        <v>22</v>
      </c>
    </row>
    <row r="14353" spans="1:11">
      <c r="A14353" s="33" t="s">
        <v>32373</v>
      </c>
      <c r="B14353" s="33" t="s">
        <v>32374</v>
      </c>
      <c r="C14353" s="33" t="s">
        <v>1598</v>
      </c>
      <c r="D14353" s="33" t="s">
        <v>17</v>
      </c>
      <c r="E14353" s="33" t="s">
        <v>26</v>
      </c>
      <c r="F14353" s="33" t="s">
        <v>27</v>
      </c>
      <c r="G14353" s="33" t="s">
        <v>20</v>
      </c>
      <c r="H14353" s="35">
        <v>166</v>
      </c>
      <c r="I14353" s="33" t="s">
        <v>21</v>
      </c>
      <c r="J14353" s="42">
        <v>44991</v>
      </c>
      <c r="K14353" s="33" t="s">
        <v>22</v>
      </c>
    </row>
    <row r="14354" spans="1:11">
      <c r="A14354" s="30" t="s">
        <v>32375</v>
      </c>
      <c r="B14354" s="30" t="s">
        <v>32376</v>
      </c>
      <c r="C14354" s="30" t="s">
        <v>149</v>
      </c>
      <c r="D14354" s="30" t="s">
        <v>17</v>
      </c>
      <c r="E14354" s="30" t="s">
        <v>18</v>
      </c>
      <c r="F14354" s="30" t="s">
        <v>19</v>
      </c>
      <c r="G14354" s="30" t="s">
        <v>50</v>
      </c>
      <c r="H14354" s="32">
        <v>778</v>
      </c>
      <c r="I14354" s="30" t="s">
        <v>51</v>
      </c>
      <c r="J14354" s="41">
        <v>45090</v>
      </c>
      <c r="K14354" s="30" t="s">
        <v>22</v>
      </c>
    </row>
    <row r="14355" spans="1:11">
      <c r="A14355" s="33" t="s">
        <v>32377</v>
      </c>
      <c r="B14355" s="33" t="s">
        <v>32378</v>
      </c>
      <c r="C14355" s="33" t="s">
        <v>32379</v>
      </c>
      <c r="D14355" s="33" t="s">
        <v>17</v>
      </c>
      <c r="E14355" s="33" t="s">
        <v>31</v>
      </c>
      <c r="F14355" s="33" t="s">
        <v>32</v>
      </c>
      <c r="G14355" s="33" t="s">
        <v>50</v>
      </c>
      <c r="H14355" s="35">
        <v>48</v>
      </c>
      <c r="I14355" s="33" t="s">
        <v>51</v>
      </c>
      <c r="J14355" s="42">
        <v>44986</v>
      </c>
      <c r="K14355" s="33" t="s">
        <v>22</v>
      </c>
    </row>
    <row r="14356" spans="1:11">
      <c r="A14356" s="30" t="s">
        <v>32380</v>
      </c>
      <c r="B14356" s="30" t="s">
        <v>32381</v>
      </c>
      <c r="C14356" s="30" t="s">
        <v>318</v>
      </c>
      <c r="D14356" s="30" t="s">
        <v>17</v>
      </c>
      <c r="E14356" s="30" t="s">
        <v>18</v>
      </c>
      <c r="F14356" s="30" t="s">
        <v>19</v>
      </c>
      <c r="G14356" s="30" t="s">
        <v>158</v>
      </c>
      <c r="H14356" s="32">
        <v>17</v>
      </c>
      <c r="I14356" s="30" t="s">
        <v>21</v>
      </c>
      <c r="J14356" s="41">
        <v>44951</v>
      </c>
      <c r="K14356" s="30" t="s">
        <v>22</v>
      </c>
    </row>
    <row r="14357" spans="1:11">
      <c r="A14357" s="33" t="s">
        <v>32382</v>
      </c>
      <c r="B14357" s="33" t="s">
        <v>32383</v>
      </c>
      <c r="C14357" s="33" t="s">
        <v>3296</v>
      </c>
      <c r="D14357" s="33" t="s">
        <v>17</v>
      </c>
      <c r="E14357" s="33" t="s">
        <v>18</v>
      </c>
      <c r="F14357" s="33" t="s">
        <v>19</v>
      </c>
      <c r="G14357" s="33" t="s">
        <v>20</v>
      </c>
      <c r="H14357" s="35">
        <v>384</v>
      </c>
      <c r="I14357" s="33" t="s">
        <v>21</v>
      </c>
      <c r="J14357" s="42">
        <v>45083</v>
      </c>
      <c r="K14357" s="33" t="s">
        <v>22</v>
      </c>
    </row>
    <row r="14358" spans="1:11">
      <c r="A14358" s="30" t="s">
        <v>32384</v>
      </c>
      <c r="B14358" s="30" t="s">
        <v>32385</v>
      </c>
      <c r="C14358" s="30" t="s">
        <v>44</v>
      </c>
      <c r="D14358" s="30" t="s">
        <v>17</v>
      </c>
      <c r="E14358" s="30" t="s">
        <v>31</v>
      </c>
      <c r="F14358" s="30" t="s">
        <v>32</v>
      </c>
      <c r="G14358" s="30" t="s">
        <v>158</v>
      </c>
      <c r="H14358" s="32">
        <v>22</v>
      </c>
      <c r="I14358" s="30" t="s">
        <v>21</v>
      </c>
      <c r="J14358" s="41">
        <v>45049</v>
      </c>
      <c r="K14358" s="30" t="s">
        <v>22</v>
      </c>
    </row>
    <row r="14359" spans="1:11">
      <c r="A14359" s="33" t="s">
        <v>32386</v>
      </c>
      <c r="B14359" s="33" t="s">
        <v>32387</v>
      </c>
      <c r="C14359" s="33" t="s">
        <v>5246</v>
      </c>
      <c r="D14359" s="33" t="s">
        <v>17</v>
      </c>
      <c r="E14359" s="33" t="s">
        <v>26</v>
      </c>
      <c r="F14359" s="33" t="s">
        <v>27</v>
      </c>
      <c r="G14359" s="33" t="s">
        <v>20</v>
      </c>
      <c r="H14359" s="35">
        <v>32</v>
      </c>
      <c r="I14359" s="33" t="s">
        <v>21</v>
      </c>
      <c r="J14359" s="42">
        <v>45210</v>
      </c>
      <c r="K14359" s="33" t="s">
        <v>22</v>
      </c>
    </row>
    <row r="14360" spans="1:11">
      <c r="A14360" s="30" t="s">
        <v>32388</v>
      </c>
      <c r="B14360" s="30" t="s">
        <v>32389</v>
      </c>
      <c r="C14360" s="30" t="s">
        <v>7035</v>
      </c>
      <c r="D14360" s="30" t="s">
        <v>17</v>
      </c>
      <c r="E14360" s="30" t="s">
        <v>26</v>
      </c>
      <c r="F14360" s="30" t="s">
        <v>27</v>
      </c>
      <c r="G14360" s="30" t="s">
        <v>20</v>
      </c>
      <c r="H14360" s="32">
        <v>32</v>
      </c>
      <c r="I14360" s="30" t="s">
        <v>21</v>
      </c>
      <c r="J14360" s="41">
        <v>45056</v>
      </c>
      <c r="K14360" s="30" t="s">
        <v>22</v>
      </c>
    </row>
    <row r="14361" spans="1:11">
      <c r="A14361" s="33" t="s">
        <v>32390</v>
      </c>
      <c r="B14361" s="33" t="s">
        <v>32391</v>
      </c>
      <c r="C14361" s="33" t="s">
        <v>26196</v>
      </c>
      <c r="D14361" s="33" t="s">
        <v>17</v>
      </c>
      <c r="E14361" s="33" t="s">
        <v>26</v>
      </c>
      <c r="F14361" s="33" t="s">
        <v>27</v>
      </c>
      <c r="G14361" s="33" t="s">
        <v>158</v>
      </c>
      <c r="H14361" s="35">
        <v>12</v>
      </c>
      <c r="I14361" s="33" t="s">
        <v>21</v>
      </c>
      <c r="J14361" s="42">
        <v>44984</v>
      </c>
      <c r="K14361" s="33" t="s">
        <v>22</v>
      </c>
    </row>
    <row r="14362" spans="1:11">
      <c r="A14362" s="30" t="s">
        <v>32392</v>
      </c>
      <c r="B14362" s="30" t="s">
        <v>32393</v>
      </c>
      <c r="C14362" s="30" t="s">
        <v>30468</v>
      </c>
      <c r="D14362" s="30" t="s">
        <v>17</v>
      </c>
      <c r="E14362" s="30" t="s">
        <v>67</v>
      </c>
      <c r="F14362" s="30" t="s">
        <v>68</v>
      </c>
      <c r="G14362" s="30" t="s">
        <v>140</v>
      </c>
      <c r="H14362" s="32">
        <v>193</v>
      </c>
      <c r="I14362" s="30" t="s">
        <v>51</v>
      </c>
      <c r="J14362" s="41">
        <v>45008</v>
      </c>
      <c r="K14362" s="30" t="s">
        <v>22</v>
      </c>
    </row>
    <row r="14363" spans="1:11">
      <c r="A14363" s="33" t="s">
        <v>32394</v>
      </c>
      <c r="B14363" s="33" t="s">
        <v>32395</v>
      </c>
      <c r="C14363" s="33" t="s">
        <v>4064</v>
      </c>
      <c r="D14363" s="33" t="s">
        <v>17</v>
      </c>
      <c r="E14363" s="33" t="s">
        <v>26</v>
      </c>
      <c r="F14363" s="33" t="s">
        <v>27</v>
      </c>
      <c r="G14363" s="33" t="s">
        <v>50</v>
      </c>
      <c r="H14363" s="35">
        <v>21</v>
      </c>
      <c r="I14363" s="33" t="s">
        <v>51</v>
      </c>
      <c r="J14363" s="42">
        <v>44941</v>
      </c>
      <c r="K14363" s="33" t="s">
        <v>22</v>
      </c>
    </row>
    <row r="14364" spans="1:11">
      <c r="A14364" s="30" t="s">
        <v>32396</v>
      </c>
      <c r="B14364" s="30" t="s">
        <v>32397</v>
      </c>
      <c r="C14364" s="30" t="s">
        <v>10508</v>
      </c>
      <c r="D14364" s="30" t="s">
        <v>17</v>
      </c>
      <c r="E14364" s="30" t="s">
        <v>18</v>
      </c>
      <c r="F14364" s="30" t="s">
        <v>19</v>
      </c>
      <c r="G14364" s="30" t="s">
        <v>20</v>
      </c>
      <c r="H14364" s="32">
        <v>50</v>
      </c>
      <c r="I14364" s="30" t="s">
        <v>21</v>
      </c>
      <c r="J14364" s="41">
        <v>45153</v>
      </c>
      <c r="K14364" s="30" t="s">
        <v>22</v>
      </c>
    </row>
    <row r="14365" spans="1:11">
      <c r="A14365" s="33" t="s">
        <v>32398</v>
      </c>
      <c r="B14365" s="33" t="s">
        <v>32399</v>
      </c>
      <c r="C14365" s="33" t="s">
        <v>31108</v>
      </c>
      <c r="D14365" s="33" t="s">
        <v>17</v>
      </c>
      <c r="E14365" s="33" t="s">
        <v>67</v>
      </c>
      <c r="F14365" s="33" t="s">
        <v>68</v>
      </c>
      <c r="G14365" s="33" t="s">
        <v>50</v>
      </c>
      <c r="H14365" s="35">
        <v>67</v>
      </c>
      <c r="I14365" s="33" t="s">
        <v>51</v>
      </c>
      <c r="J14365" s="42">
        <v>44980</v>
      </c>
      <c r="K14365" s="33" t="s">
        <v>22</v>
      </c>
    </row>
    <row r="14366" spans="1:11">
      <c r="A14366" s="30" t="s">
        <v>32400</v>
      </c>
      <c r="B14366" s="30" t="s">
        <v>32401</v>
      </c>
      <c r="C14366" s="30" t="s">
        <v>2403</v>
      </c>
      <c r="D14366" s="30" t="s">
        <v>17</v>
      </c>
      <c r="E14366" s="30" t="s">
        <v>18</v>
      </c>
      <c r="F14366" s="30" t="s">
        <v>19</v>
      </c>
      <c r="G14366" s="30" t="s">
        <v>106</v>
      </c>
      <c r="H14366" s="32">
        <v>21</v>
      </c>
      <c r="I14366" s="30" t="s">
        <v>21</v>
      </c>
      <c r="J14366" s="41">
        <v>45015</v>
      </c>
      <c r="K14366" s="30" t="s">
        <v>22</v>
      </c>
    </row>
    <row r="14367" spans="1:11">
      <c r="A14367" s="33" t="s">
        <v>32402</v>
      </c>
      <c r="B14367" s="33" t="s">
        <v>32403</v>
      </c>
      <c r="C14367" s="33" t="s">
        <v>96</v>
      </c>
      <c r="D14367" s="33" t="s">
        <v>17</v>
      </c>
      <c r="E14367" s="33" t="s">
        <v>18</v>
      </c>
      <c r="F14367" s="33" t="s">
        <v>19</v>
      </c>
      <c r="G14367" s="33" t="s">
        <v>158</v>
      </c>
      <c r="H14367" s="35">
        <v>59</v>
      </c>
      <c r="I14367" s="33" t="s">
        <v>21</v>
      </c>
      <c r="J14367" s="42">
        <v>45147</v>
      </c>
      <c r="K14367" s="33" t="s">
        <v>22</v>
      </c>
    </row>
    <row r="14368" spans="1:11">
      <c r="A14368" s="30" t="s">
        <v>32404</v>
      </c>
      <c r="B14368" s="30" t="s">
        <v>32405</v>
      </c>
      <c r="C14368" s="30" t="s">
        <v>178</v>
      </c>
      <c r="D14368" s="30" t="s">
        <v>17</v>
      </c>
      <c r="E14368" s="30" t="s">
        <v>212</v>
      </c>
      <c r="F14368" s="30" t="s">
        <v>213</v>
      </c>
      <c r="G14368" s="30" t="s">
        <v>112</v>
      </c>
      <c r="H14368" s="32">
        <v>0</v>
      </c>
      <c r="I14368" s="30" t="s">
        <v>21</v>
      </c>
      <c r="J14368" s="41">
        <v>45184</v>
      </c>
      <c r="K14368" s="30" t="s">
        <v>22</v>
      </c>
    </row>
    <row r="14369" spans="1:11">
      <c r="A14369" s="33" t="s">
        <v>32406</v>
      </c>
      <c r="B14369" s="33" t="s">
        <v>32407</v>
      </c>
      <c r="C14369" s="33" t="s">
        <v>910</v>
      </c>
      <c r="D14369" s="33" t="s">
        <v>17</v>
      </c>
      <c r="E14369" s="33" t="s">
        <v>18</v>
      </c>
      <c r="F14369" s="33" t="s">
        <v>19</v>
      </c>
      <c r="G14369" s="33" t="s">
        <v>50</v>
      </c>
      <c r="H14369" s="35">
        <v>326</v>
      </c>
      <c r="I14369" s="33" t="s">
        <v>51</v>
      </c>
      <c r="J14369" s="42">
        <v>44927</v>
      </c>
      <c r="K14369" s="33" t="s">
        <v>22</v>
      </c>
    </row>
    <row r="14370" spans="1:11">
      <c r="A14370" s="30" t="s">
        <v>32408</v>
      </c>
      <c r="B14370" s="30" t="s">
        <v>32409</v>
      </c>
      <c r="C14370" s="30" t="s">
        <v>546</v>
      </c>
      <c r="D14370" s="30" t="s">
        <v>17</v>
      </c>
      <c r="E14370" s="30" t="s">
        <v>26</v>
      </c>
      <c r="F14370" s="30" t="s">
        <v>27</v>
      </c>
      <c r="G14370" s="30" t="s">
        <v>20</v>
      </c>
      <c r="H14370" s="32">
        <v>36</v>
      </c>
      <c r="I14370" s="30" t="s">
        <v>21</v>
      </c>
      <c r="J14370" s="41">
        <v>45250</v>
      </c>
      <c r="K14370" s="30" t="s">
        <v>22</v>
      </c>
    </row>
    <row r="14371" spans="1:11">
      <c r="A14371" s="33" t="s">
        <v>32410</v>
      </c>
      <c r="B14371" s="33" t="s">
        <v>32411</v>
      </c>
      <c r="C14371" s="33" t="s">
        <v>14483</v>
      </c>
      <c r="D14371" s="33" t="s">
        <v>17</v>
      </c>
      <c r="E14371" s="33" t="s">
        <v>26</v>
      </c>
      <c r="F14371" s="33" t="s">
        <v>27</v>
      </c>
      <c r="G14371" s="33" t="s">
        <v>20</v>
      </c>
      <c r="H14371" s="35">
        <v>36</v>
      </c>
      <c r="I14371" s="33" t="s">
        <v>21</v>
      </c>
      <c r="J14371" s="42">
        <v>45096</v>
      </c>
      <c r="K14371" s="33" t="s">
        <v>22</v>
      </c>
    </row>
    <row r="14372" spans="1:11">
      <c r="A14372" s="30" t="s">
        <v>32412</v>
      </c>
      <c r="B14372" s="30" t="s">
        <v>32413</v>
      </c>
      <c r="C14372" s="30" t="s">
        <v>925</v>
      </c>
      <c r="D14372" s="30" t="s">
        <v>17</v>
      </c>
      <c r="E14372" s="30" t="s">
        <v>26</v>
      </c>
      <c r="F14372" s="30" t="s">
        <v>27</v>
      </c>
      <c r="G14372" s="30" t="s">
        <v>20</v>
      </c>
      <c r="H14372" s="32">
        <v>74</v>
      </c>
      <c r="I14372" s="30" t="s">
        <v>21</v>
      </c>
      <c r="J14372" s="41">
        <v>45000</v>
      </c>
      <c r="K14372" s="30" t="s">
        <v>22</v>
      </c>
    </row>
    <row r="14373" spans="1:11">
      <c r="A14373" s="33" t="s">
        <v>32414</v>
      </c>
      <c r="B14373" s="33" t="s">
        <v>32415</v>
      </c>
      <c r="C14373" s="33" t="s">
        <v>136</v>
      </c>
      <c r="D14373" s="33" t="s">
        <v>17</v>
      </c>
      <c r="E14373" s="33" t="s">
        <v>26</v>
      </c>
      <c r="F14373" s="33" t="s">
        <v>27</v>
      </c>
      <c r="G14373" s="33" t="s">
        <v>20</v>
      </c>
      <c r="H14373" s="35">
        <v>57</v>
      </c>
      <c r="I14373" s="33" t="s">
        <v>21</v>
      </c>
      <c r="J14373" s="42">
        <v>45128</v>
      </c>
      <c r="K14373" s="33" t="s">
        <v>22</v>
      </c>
    </row>
    <row r="14374" spans="1:11">
      <c r="A14374" s="30" t="s">
        <v>32416</v>
      </c>
      <c r="B14374" s="30" t="s">
        <v>32417</v>
      </c>
      <c r="C14374" s="30" t="s">
        <v>647</v>
      </c>
      <c r="D14374" s="30" t="s">
        <v>17</v>
      </c>
      <c r="E14374" s="30" t="s">
        <v>31</v>
      </c>
      <c r="F14374" s="30" t="s">
        <v>32</v>
      </c>
      <c r="G14374" s="30" t="s">
        <v>106</v>
      </c>
      <c r="H14374" s="32">
        <v>149</v>
      </c>
      <c r="I14374" s="30" t="s">
        <v>21</v>
      </c>
      <c r="J14374" s="41">
        <v>45287</v>
      </c>
      <c r="K14374" s="30" t="s">
        <v>22</v>
      </c>
    </row>
    <row r="14375" spans="1:11">
      <c r="A14375" s="33" t="s">
        <v>32418</v>
      </c>
      <c r="B14375" s="33" t="s">
        <v>32419</v>
      </c>
      <c r="C14375" s="33" t="s">
        <v>1436</v>
      </c>
      <c r="D14375" s="33" t="s">
        <v>17</v>
      </c>
      <c r="E14375" s="33" t="s">
        <v>31</v>
      </c>
      <c r="F14375" s="33" t="s">
        <v>32</v>
      </c>
      <c r="G14375" s="33" t="s">
        <v>20</v>
      </c>
      <c r="H14375" s="35">
        <v>52</v>
      </c>
      <c r="I14375" s="33" t="s">
        <v>21</v>
      </c>
      <c r="J14375" s="42">
        <v>45161</v>
      </c>
      <c r="K14375" s="33" t="s">
        <v>22</v>
      </c>
    </row>
    <row r="14376" spans="1:11">
      <c r="A14376" s="30" t="s">
        <v>32420</v>
      </c>
      <c r="B14376" s="30" t="s">
        <v>32421</v>
      </c>
      <c r="C14376" s="30" t="s">
        <v>190</v>
      </c>
      <c r="D14376" s="30" t="s">
        <v>17</v>
      </c>
      <c r="E14376" s="30" t="s">
        <v>67</v>
      </c>
      <c r="F14376" s="30" t="s">
        <v>68</v>
      </c>
      <c r="G14376" s="30" t="s">
        <v>140</v>
      </c>
      <c r="H14376" s="32">
        <v>280</v>
      </c>
      <c r="I14376" s="30" t="s">
        <v>51</v>
      </c>
      <c r="J14376" s="41">
        <v>45118</v>
      </c>
      <c r="K14376" s="30" t="s">
        <v>22</v>
      </c>
    </row>
    <row r="14377" spans="1:11">
      <c r="A14377" s="33" t="s">
        <v>32422</v>
      </c>
      <c r="B14377" s="33" t="s">
        <v>32423</v>
      </c>
      <c r="C14377" s="33" t="s">
        <v>4700</v>
      </c>
      <c r="D14377" s="33" t="s">
        <v>17</v>
      </c>
      <c r="E14377" s="33" t="s">
        <v>67</v>
      </c>
      <c r="F14377" s="33" t="s">
        <v>68</v>
      </c>
      <c r="G14377" s="33" t="s">
        <v>50</v>
      </c>
      <c r="H14377" s="35">
        <v>50</v>
      </c>
      <c r="I14377" s="33" t="s">
        <v>51</v>
      </c>
      <c r="J14377" s="42">
        <v>45047</v>
      </c>
      <c r="K14377" s="33" t="s">
        <v>22</v>
      </c>
    </row>
    <row r="14378" spans="1:11">
      <c r="A14378" s="30" t="s">
        <v>32424</v>
      </c>
      <c r="B14378" s="30" t="s">
        <v>32425</v>
      </c>
      <c r="C14378" s="30" t="s">
        <v>231</v>
      </c>
      <c r="D14378" s="30" t="s">
        <v>17</v>
      </c>
      <c r="E14378" s="30" t="s">
        <v>26</v>
      </c>
      <c r="F14378" s="30" t="s">
        <v>27</v>
      </c>
      <c r="G14378" s="30" t="s">
        <v>20</v>
      </c>
      <c r="H14378" s="32">
        <v>16</v>
      </c>
      <c r="I14378" s="30" t="s">
        <v>21</v>
      </c>
      <c r="J14378" s="41">
        <v>45180</v>
      </c>
      <c r="K14378" s="30" t="s">
        <v>22</v>
      </c>
    </row>
    <row r="14379" spans="1:11">
      <c r="A14379" s="33" t="s">
        <v>32426</v>
      </c>
      <c r="B14379" s="33" t="s">
        <v>32427</v>
      </c>
      <c r="C14379" s="33" t="s">
        <v>32428</v>
      </c>
      <c r="D14379" s="33" t="s">
        <v>17</v>
      </c>
      <c r="E14379" s="33" t="s">
        <v>26</v>
      </c>
      <c r="F14379" s="33" t="s">
        <v>27</v>
      </c>
      <c r="G14379" s="33" t="s">
        <v>20</v>
      </c>
      <c r="H14379" s="35">
        <v>64</v>
      </c>
      <c r="I14379" s="33" t="s">
        <v>21</v>
      </c>
      <c r="J14379" s="42">
        <v>45163</v>
      </c>
      <c r="K14379" s="33" t="s">
        <v>22</v>
      </c>
    </row>
    <row r="14380" spans="1:11">
      <c r="A14380" s="30" t="s">
        <v>32429</v>
      </c>
      <c r="B14380" s="30" t="s">
        <v>32430</v>
      </c>
      <c r="C14380" s="30" t="s">
        <v>32431</v>
      </c>
      <c r="D14380" s="30" t="s">
        <v>17</v>
      </c>
      <c r="E14380" s="30" t="s">
        <v>67</v>
      </c>
      <c r="F14380" s="30" t="s">
        <v>68</v>
      </c>
      <c r="G14380" s="30" t="s">
        <v>50</v>
      </c>
      <c r="H14380" s="32">
        <v>168</v>
      </c>
      <c r="I14380" s="30" t="s">
        <v>51</v>
      </c>
      <c r="J14380" s="41">
        <v>44927</v>
      </c>
      <c r="K14380" s="30" t="s">
        <v>22</v>
      </c>
    </row>
    <row r="14381" spans="1:11">
      <c r="A14381" s="33" t="s">
        <v>32432</v>
      </c>
      <c r="B14381" s="33" t="s">
        <v>32433</v>
      </c>
      <c r="C14381" s="33" t="s">
        <v>32434</v>
      </c>
      <c r="D14381" s="33" t="s">
        <v>17</v>
      </c>
      <c r="E14381" s="33" t="s">
        <v>31</v>
      </c>
      <c r="F14381" s="33" t="s">
        <v>32</v>
      </c>
      <c r="G14381" s="33" t="s">
        <v>20</v>
      </c>
      <c r="H14381" s="35">
        <v>52</v>
      </c>
      <c r="I14381" s="33" t="s">
        <v>21</v>
      </c>
      <c r="J14381" s="42">
        <v>45250</v>
      </c>
      <c r="K14381" s="33" t="s">
        <v>22</v>
      </c>
    </row>
    <row r="14382" spans="1:11">
      <c r="A14382" s="30" t="s">
        <v>32435</v>
      </c>
      <c r="B14382" s="30" t="s">
        <v>32436</v>
      </c>
      <c r="C14382" s="30" t="s">
        <v>3462</v>
      </c>
      <c r="D14382" s="30" t="s">
        <v>17</v>
      </c>
      <c r="E14382" s="30" t="s">
        <v>31</v>
      </c>
      <c r="F14382" s="30" t="s">
        <v>32</v>
      </c>
      <c r="G14382" s="30" t="s">
        <v>50</v>
      </c>
      <c r="H14382" s="32">
        <v>75</v>
      </c>
      <c r="I14382" s="30" t="s">
        <v>51</v>
      </c>
      <c r="J14382" s="41">
        <v>45193</v>
      </c>
      <c r="K14382" s="30" t="s">
        <v>22</v>
      </c>
    </row>
    <row r="14383" spans="1:11">
      <c r="A14383" s="33" t="s">
        <v>32437</v>
      </c>
      <c r="B14383" s="33" t="s">
        <v>32438</v>
      </c>
      <c r="C14383" s="33" t="s">
        <v>130</v>
      </c>
      <c r="D14383" s="33" t="s">
        <v>17</v>
      </c>
      <c r="E14383" s="33" t="s">
        <v>31</v>
      </c>
      <c r="F14383" s="33" t="s">
        <v>32</v>
      </c>
      <c r="G14383" s="33" t="s">
        <v>20</v>
      </c>
      <c r="H14383" s="35">
        <v>186</v>
      </c>
      <c r="I14383" s="33" t="s">
        <v>21</v>
      </c>
      <c r="J14383" s="42">
        <v>45138</v>
      </c>
      <c r="K14383" s="33" t="s">
        <v>22</v>
      </c>
    </row>
    <row r="14384" spans="1:11">
      <c r="A14384" s="30" t="s">
        <v>32439</v>
      </c>
      <c r="B14384" s="30" t="s">
        <v>32440</v>
      </c>
      <c r="C14384" s="30" t="s">
        <v>102</v>
      </c>
      <c r="D14384" s="30" t="s">
        <v>17</v>
      </c>
      <c r="E14384" s="30" t="s">
        <v>26</v>
      </c>
      <c r="F14384" s="30" t="s">
        <v>27</v>
      </c>
      <c r="G14384" s="30" t="s">
        <v>20</v>
      </c>
      <c r="H14384" s="32">
        <v>64</v>
      </c>
      <c r="I14384" s="30" t="s">
        <v>21</v>
      </c>
      <c r="J14384" s="41">
        <v>44929</v>
      </c>
      <c r="K14384" s="30" t="s">
        <v>22</v>
      </c>
    </row>
    <row r="14385" spans="1:11">
      <c r="A14385" s="33" t="s">
        <v>32441</v>
      </c>
      <c r="B14385" s="33" t="s">
        <v>32442</v>
      </c>
      <c r="C14385" s="33" t="s">
        <v>27241</v>
      </c>
      <c r="D14385" s="33" t="s">
        <v>17</v>
      </c>
      <c r="E14385" s="33" t="s">
        <v>31</v>
      </c>
      <c r="F14385" s="33" t="s">
        <v>32</v>
      </c>
      <c r="G14385" s="33" t="s">
        <v>20</v>
      </c>
      <c r="H14385" s="35">
        <v>335</v>
      </c>
      <c r="I14385" s="33" t="s">
        <v>21</v>
      </c>
      <c r="J14385" s="42">
        <v>45254</v>
      </c>
      <c r="K14385" s="33" t="s">
        <v>22</v>
      </c>
    </row>
    <row r="14386" spans="1:11">
      <c r="A14386" s="30" t="s">
        <v>32443</v>
      </c>
      <c r="B14386" s="30" t="s">
        <v>32444</v>
      </c>
      <c r="C14386" s="30" t="s">
        <v>130</v>
      </c>
      <c r="D14386" s="30" t="s">
        <v>17</v>
      </c>
      <c r="E14386" s="30" t="s">
        <v>26</v>
      </c>
      <c r="F14386" s="30" t="s">
        <v>27</v>
      </c>
      <c r="G14386" s="30" t="s">
        <v>140</v>
      </c>
      <c r="H14386" s="32">
        <v>290</v>
      </c>
      <c r="I14386" s="30" t="s">
        <v>51</v>
      </c>
      <c r="J14386" s="41">
        <v>45264</v>
      </c>
      <c r="K14386" s="30" t="s">
        <v>22</v>
      </c>
    </row>
    <row r="14387" spans="1:11">
      <c r="A14387" s="33" t="s">
        <v>32445</v>
      </c>
      <c r="B14387" s="33" t="s">
        <v>32446</v>
      </c>
      <c r="C14387" s="33" t="s">
        <v>5401</v>
      </c>
      <c r="D14387" s="33" t="s">
        <v>17</v>
      </c>
      <c r="E14387" s="33" t="s">
        <v>67</v>
      </c>
      <c r="F14387" s="33" t="s">
        <v>68</v>
      </c>
      <c r="G14387" s="33" t="s">
        <v>158</v>
      </c>
      <c r="H14387" s="35">
        <v>20</v>
      </c>
      <c r="I14387" s="33" t="s">
        <v>21</v>
      </c>
      <c r="J14387" s="42">
        <v>45267</v>
      </c>
      <c r="K14387" s="33" t="s">
        <v>22</v>
      </c>
    </row>
    <row r="14388" spans="1:11">
      <c r="A14388" s="30" t="s">
        <v>32447</v>
      </c>
      <c r="B14388" s="30" t="s">
        <v>32448</v>
      </c>
      <c r="C14388" s="30" t="s">
        <v>231</v>
      </c>
      <c r="D14388" s="30" t="s">
        <v>17</v>
      </c>
      <c r="E14388" s="30" t="s">
        <v>18</v>
      </c>
      <c r="F14388" s="30" t="s">
        <v>19</v>
      </c>
      <c r="G14388" s="30" t="s">
        <v>20</v>
      </c>
      <c r="H14388" s="32">
        <v>5531</v>
      </c>
      <c r="I14388" s="30" t="s">
        <v>21</v>
      </c>
      <c r="J14388" s="41">
        <v>45250</v>
      </c>
      <c r="K14388" s="30" t="s">
        <v>22</v>
      </c>
    </row>
    <row r="14389" spans="1:11">
      <c r="A14389" s="33" t="s">
        <v>32449</v>
      </c>
      <c r="B14389" s="33" t="s">
        <v>32450</v>
      </c>
      <c r="C14389" s="33" t="s">
        <v>231</v>
      </c>
      <c r="D14389" s="33" t="s">
        <v>17</v>
      </c>
      <c r="E14389" s="33" t="s">
        <v>26</v>
      </c>
      <c r="F14389" s="33" t="s">
        <v>27</v>
      </c>
      <c r="G14389" s="33" t="s">
        <v>20</v>
      </c>
      <c r="H14389" s="35">
        <v>29</v>
      </c>
      <c r="I14389" s="33" t="s">
        <v>21</v>
      </c>
      <c r="J14389" s="42">
        <v>44993</v>
      </c>
      <c r="K14389" s="33" t="s">
        <v>22</v>
      </c>
    </row>
    <row r="14390" spans="1:11">
      <c r="A14390" s="30" t="s">
        <v>32451</v>
      </c>
      <c r="B14390" s="30" t="s">
        <v>32452</v>
      </c>
      <c r="C14390" s="30" t="s">
        <v>10669</v>
      </c>
      <c r="D14390" s="30" t="s">
        <v>17</v>
      </c>
      <c r="E14390" s="30" t="s">
        <v>67</v>
      </c>
      <c r="F14390" s="30" t="s">
        <v>68</v>
      </c>
      <c r="G14390" s="30" t="s">
        <v>106</v>
      </c>
      <c r="H14390" s="32">
        <v>12</v>
      </c>
      <c r="I14390" s="30" t="s">
        <v>21</v>
      </c>
      <c r="J14390" s="41">
        <v>45069</v>
      </c>
      <c r="K14390" s="30" t="s">
        <v>22</v>
      </c>
    </row>
    <row r="14391" spans="1:11">
      <c r="A14391" s="33" t="s">
        <v>32453</v>
      </c>
      <c r="B14391" s="33" t="s">
        <v>32454</v>
      </c>
      <c r="C14391" s="33" t="s">
        <v>869</v>
      </c>
      <c r="D14391" s="33" t="s">
        <v>17</v>
      </c>
      <c r="E14391" s="33" t="s">
        <v>31</v>
      </c>
      <c r="F14391" s="33" t="s">
        <v>32</v>
      </c>
      <c r="G14391" s="33" t="s">
        <v>20</v>
      </c>
      <c r="H14391" s="35">
        <v>87</v>
      </c>
      <c r="I14391" s="33" t="s">
        <v>21</v>
      </c>
      <c r="J14391" s="42">
        <v>45140</v>
      </c>
      <c r="K14391" s="33" t="s">
        <v>22</v>
      </c>
    </row>
    <row r="14392" spans="1:11">
      <c r="A14392" s="30" t="s">
        <v>32455</v>
      </c>
      <c r="B14392" s="30" t="s">
        <v>32456</v>
      </c>
      <c r="C14392" s="30" t="s">
        <v>124</v>
      </c>
      <c r="D14392" s="30" t="s">
        <v>17</v>
      </c>
      <c r="E14392" s="30" t="s">
        <v>26</v>
      </c>
      <c r="F14392" s="30" t="s">
        <v>27</v>
      </c>
      <c r="G14392" s="30" t="s">
        <v>20</v>
      </c>
      <c r="H14392" s="32">
        <v>47</v>
      </c>
      <c r="I14392" s="30" t="s">
        <v>21</v>
      </c>
      <c r="J14392" s="41">
        <v>45005</v>
      </c>
      <c r="K14392" s="30" t="s">
        <v>22</v>
      </c>
    </row>
    <row r="14393" spans="1:11">
      <c r="A14393" s="33" t="s">
        <v>32457</v>
      </c>
      <c r="B14393" s="33" t="s">
        <v>32458</v>
      </c>
      <c r="C14393" s="33" t="s">
        <v>32459</v>
      </c>
      <c r="D14393" s="33" t="s">
        <v>17</v>
      </c>
      <c r="E14393" s="33" t="s">
        <v>26</v>
      </c>
      <c r="F14393" s="33" t="s">
        <v>27</v>
      </c>
      <c r="G14393" s="33" t="s">
        <v>140</v>
      </c>
      <c r="H14393" s="35">
        <v>11</v>
      </c>
      <c r="I14393" s="33" t="s">
        <v>51</v>
      </c>
      <c r="J14393" s="42">
        <v>45028</v>
      </c>
      <c r="K14393" s="33" t="s">
        <v>22</v>
      </c>
    </row>
    <row r="14394" spans="1:11">
      <c r="A14394" s="30" t="s">
        <v>32460</v>
      </c>
      <c r="B14394" s="30" t="s">
        <v>32461</v>
      </c>
      <c r="C14394" s="30" t="s">
        <v>11609</v>
      </c>
      <c r="D14394" s="30" t="s">
        <v>17</v>
      </c>
      <c r="E14394" s="30" t="s">
        <v>26</v>
      </c>
      <c r="F14394" s="30" t="s">
        <v>27</v>
      </c>
      <c r="G14394" s="30" t="s">
        <v>20</v>
      </c>
      <c r="H14394" s="32">
        <v>57</v>
      </c>
      <c r="I14394" s="30" t="s">
        <v>21</v>
      </c>
      <c r="J14394" s="41">
        <v>45121</v>
      </c>
      <c r="K14394" s="30" t="s">
        <v>22</v>
      </c>
    </row>
    <row r="14395" spans="1:11">
      <c r="A14395" s="33" t="s">
        <v>32462</v>
      </c>
      <c r="B14395" s="33" t="s">
        <v>32463</v>
      </c>
      <c r="C14395" s="33" t="s">
        <v>75</v>
      </c>
      <c r="D14395" s="33" t="s">
        <v>17</v>
      </c>
      <c r="E14395" s="33" t="s">
        <v>67</v>
      </c>
      <c r="F14395" s="33" t="s">
        <v>68</v>
      </c>
      <c r="G14395" s="33" t="s">
        <v>140</v>
      </c>
      <c r="H14395" s="35">
        <v>460</v>
      </c>
      <c r="I14395" s="33" t="s">
        <v>51</v>
      </c>
      <c r="J14395" s="42">
        <v>45289</v>
      </c>
      <c r="K14395" s="33" t="s">
        <v>22</v>
      </c>
    </row>
    <row r="14396" spans="1:11">
      <c r="A14396" s="30" t="s">
        <v>32464</v>
      </c>
      <c r="B14396" s="30" t="s">
        <v>32465</v>
      </c>
      <c r="C14396" s="30" t="s">
        <v>3641</v>
      </c>
      <c r="D14396" s="30" t="s">
        <v>17</v>
      </c>
      <c r="E14396" s="30" t="s">
        <v>67</v>
      </c>
      <c r="F14396" s="30" t="s">
        <v>68</v>
      </c>
      <c r="G14396" s="30" t="s">
        <v>112</v>
      </c>
      <c r="H14396" s="32">
        <v>0</v>
      </c>
      <c r="I14396" s="30" t="s">
        <v>21</v>
      </c>
      <c r="J14396" s="41">
        <v>45078</v>
      </c>
      <c r="K14396" s="30" t="s">
        <v>22</v>
      </c>
    </row>
    <row r="14397" spans="1:11">
      <c r="A14397" s="33" t="s">
        <v>32466</v>
      </c>
      <c r="B14397" s="33" t="s">
        <v>32467</v>
      </c>
      <c r="C14397" s="33" t="s">
        <v>13461</v>
      </c>
      <c r="D14397" s="33" t="s">
        <v>17</v>
      </c>
      <c r="E14397" s="33" t="s">
        <v>26</v>
      </c>
      <c r="F14397" s="33" t="s">
        <v>27</v>
      </c>
      <c r="G14397" s="33" t="s">
        <v>20</v>
      </c>
      <c r="H14397" s="35">
        <v>24</v>
      </c>
      <c r="I14397" s="33" t="s">
        <v>21</v>
      </c>
      <c r="J14397" s="42">
        <v>45215</v>
      </c>
      <c r="K14397" s="33" t="s">
        <v>22</v>
      </c>
    </row>
    <row r="14398" spans="1:11">
      <c r="A14398" s="30" t="s">
        <v>32468</v>
      </c>
      <c r="B14398" s="30" t="s">
        <v>32469</v>
      </c>
      <c r="C14398" s="30" t="s">
        <v>32470</v>
      </c>
      <c r="D14398" s="30" t="s">
        <v>17</v>
      </c>
      <c r="E14398" s="30" t="s">
        <v>26</v>
      </c>
      <c r="F14398" s="30" t="s">
        <v>27</v>
      </c>
      <c r="G14398" s="30" t="s">
        <v>140</v>
      </c>
      <c r="H14398" s="32">
        <v>130</v>
      </c>
      <c r="I14398" s="30" t="s">
        <v>51</v>
      </c>
      <c r="J14398" s="41">
        <v>45019</v>
      </c>
      <c r="K14398" s="30" t="s">
        <v>22</v>
      </c>
    </row>
    <row r="14399" spans="1:11">
      <c r="A14399" s="33" t="s">
        <v>32471</v>
      </c>
      <c r="B14399" s="33" t="s">
        <v>32472</v>
      </c>
      <c r="C14399" s="33" t="s">
        <v>32473</v>
      </c>
      <c r="D14399" s="33" t="s">
        <v>17</v>
      </c>
      <c r="E14399" s="33" t="s">
        <v>26</v>
      </c>
      <c r="F14399" s="33" t="s">
        <v>27</v>
      </c>
      <c r="G14399" s="33" t="s">
        <v>158</v>
      </c>
      <c r="H14399" s="35">
        <v>114</v>
      </c>
      <c r="I14399" s="33" t="s">
        <v>21</v>
      </c>
      <c r="J14399" s="42">
        <v>45127</v>
      </c>
      <c r="K14399" s="33" t="s">
        <v>22</v>
      </c>
    </row>
    <row r="14400" spans="1:11">
      <c r="A14400" s="30" t="s">
        <v>32474</v>
      </c>
      <c r="B14400" s="30" t="s">
        <v>32475</v>
      </c>
      <c r="C14400" s="30" t="s">
        <v>203</v>
      </c>
      <c r="D14400" s="30" t="s">
        <v>17</v>
      </c>
      <c r="E14400" s="30" t="s">
        <v>31</v>
      </c>
      <c r="F14400" s="30" t="s">
        <v>32</v>
      </c>
      <c r="G14400" s="30" t="s">
        <v>106</v>
      </c>
      <c r="H14400" s="32">
        <v>70</v>
      </c>
      <c r="I14400" s="30" t="s">
        <v>21</v>
      </c>
      <c r="J14400" s="41">
        <v>45198</v>
      </c>
      <c r="K14400" s="30" t="s">
        <v>22</v>
      </c>
    </row>
    <row r="14401" spans="1:11">
      <c r="A14401" s="33" t="s">
        <v>32476</v>
      </c>
      <c r="B14401" s="33" t="s">
        <v>32477</v>
      </c>
      <c r="C14401" s="33" t="s">
        <v>32478</v>
      </c>
      <c r="D14401" s="33" t="s">
        <v>17</v>
      </c>
      <c r="E14401" s="33" t="s">
        <v>26</v>
      </c>
      <c r="F14401" s="33" t="s">
        <v>27</v>
      </c>
      <c r="G14401" s="33" t="s">
        <v>20</v>
      </c>
      <c r="H14401" s="35">
        <v>45</v>
      </c>
      <c r="I14401" s="33" t="s">
        <v>21</v>
      </c>
      <c r="J14401" s="42">
        <v>45237</v>
      </c>
      <c r="K14401" s="33" t="s">
        <v>22</v>
      </c>
    </row>
    <row r="14402" spans="1:11">
      <c r="A14402" s="30" t="s">
        <v>32479</v>
      </c>
      <c r="B14402" s="30" t="s">
        <v>32480</v>
      </c>
      <c r="C14402" s="30" t="s">
        <v>29541</v>
      </c>
      <c r="D14402" s="30" t="s">
        <v>17</v>
      </c>
      <c r="E14402" s="30" t="s">
        <v>67</v>
      </c>
      <c r="F14402" s="30" t="s">
        <v>68</v>
      </c>
      <c r="G14402" s="30" t="s">
        <v>112</v>
      </c>
      <c r="H14402" s="32">
        <v>0</v>
      </c>
      <c r="I14402" s="30" t="s">
        <v>21</v>
      </c>
      <c r="J14402" s="41">
        <v>45078</v>
      </c>
      <c r="K14402" s="30" t="s">
        <v>22</v>
      </c>
    </row>
    <row r="14403" spans="1:11">
      <c r="A14403" s="33" t="s">
        <v>32481</v>
      </c>
      <c r="B14403" s="33" t="s">
        <v>32482</v>
      </c>
      <c r="C14403" s="33" t="s">
        <v>4170</v>
      </c>
      <c r="D14403" s="33" t="s">
        <v>17</v>
      </c>
      <c r="E14403" s="33" t="s">
        <v>31</v>
      </c>
      <c r="F14403" s="33" t="s">
        <v>32</v>
      </c>
      <c r="G14403" s="33" t="s">
        <v>106</v>
      </c>
      <c r="H14403" s="35">
        <v>197</v>
      </c>
      <c r="I14403" s="33" t="s">
        <v>21</v>
      </c>
      <c r="J14403" s="42">
        <v>44930</v>
      </c>
      <c r="K14403" s="33" t="s">
        <v>22</v>
      </c>
    </row>
    <row r="14404" spans="1:11">
      <c r="A14404" s="30" t="s">
        <v>32483</v>
      </c>
      <c r="B14404" s="30" t="s">
        <v>32484</v>
      </c>
      <c r="C14404" s="30" t="s">
        <v>5636</v>
      </c>
      <c r="D14404" s="30" t="s">
        <v>17</v>
      </c>
      <c r="E14404" s="30" t="s">
        <v>18</v>
      </c>
      <c r="F14404" s="30" t="s">
        <v>19</v>
      </c>
      <c r="G14404" s="30" t="s">
        <v>50</v>
      </c>
      <c r="H14404" s="32">
        <v>398</v>
      </c>
      <c r="I14404" s="30" t="s">
        <v>51</v>
      </c>
      <c r="J14404" s="41">
        <v>45047</v>
      </c>
      <c r="K14404" s="30" t="s">
        <v>22</v>
      </c>
    </row>
    <row r="14405" spans="1:11">
      <c r="A14405" s="33" t="s">
        <v>32485</v>
      </c>
      <c r="B14405" s="33" t="s">
        <v>32486</v>
      </c>
      <c r="C14405" s="33" t="s">
        <v>647</v>
      </c>
      <c r="D14405" s="33" t="s">
        <v>17</v>
      </c>
      <c r="E14405" s="33" t="s">
        <v>18</v>
      </c>
      <c r="F14405" s="33" t="s">
        <v>19</v>
      </c>
      <c r="G14405" s="33" t="s">
        <v>158</v>
      </c>
      <c r="H14405" s="35">
        <v>300</v>
      </c>
      <c r="I14405" s="33" t="s">
        <v>51</v>
      </c>
      <c r="J14405" s="42">
        <v>45001</v>
      </c>
      <c r="K14405" s="33" t="s">
        <v>22</v>
      </c>
    </row>
    <row r="14406" spans="1:11">
      <c r="A14406" s="30" t="s">
        <v>32487</v>
      </c>
      <c r="B14406" s="30" t="s">
        <v>32488</v>
      </c>
      <c r="C14406" s="30" t="s">
        <v>2634</v>
      </c>
      <c r="D14406" s="30" t="s">
        <v>17</v>
      </c>
      <c r="E14406" s="30" t="s">
        <v>26</v>
      </c>
      <c r="F14406" s="30" t="s">
        <v>27</v>
      </c>
      <c r="G14406" s="30" t="s">
        <v>106</v>
      </c>
      <c r="H14406" s="32">
        <v>15</v>
      </c>
      <c r="I14406" s="30" t="s">
        <v>21</v>
      </c>
      <c r="J14406" s="41">
        <v>45231</v>
      </c>
      <c r="K14406" s="30" t="s">
        <v>22</v>
      </c>
    </row>
    <row r="14407" spans="1:11">
      <c r="A14407" s="33" t="s">
        <v>32489</v>
      </c>
      <c r="B14407" s="33" t="s">
        <v>32490</v>
      </c>
      <c r="C14407" s="33" t="s">
        <v>4181</v>
      </c>
      <c r="D14407" s="33" t="s">
        <v>17</v>
      </c>
      <c r="E14407" s="33" t="s">
        <v>18</v>
      </c>
      <c r="F14407" s="33" t="s">
        <v>19</v>
      </c>
      <c r="G14407" s="33" t="s">
        <v>20</v>
      </c>
      <c r="H14407" s="35">
        <v>83</v>
      </c>
      <c r="I14407" s="33" t="s">
        <v>21</v>
      </c>
      <c r="J14407" s="42">
        <v>45029</v>
      </c>
      <c r="K14407" s="33" t="s">
        <v>22</v>
      </c>
    </row>
    <row r="14408" spans="1:11">
      <c r="A14408" s="30" t="s">
        <v>32491</v>
      </c>
      <c r="B14408" s="30" t="s">
        <v>32492</v>
      </c>
      <c r="C14408" s="30" t="s">
        <v>1698</v>
      </c>
      <c r="D14408" s="30" t="s">
        <v>17</v>
      </c>
      <c r="E14408" s="30" t="s">
        <v>31</v>
      </c>
      <c r="F14408" s="30" t="s">
        <v>32</v>
      </c>
      <c r="G14408" s="30" t="s">
        <v>20</v>
      </c>
      <c r="H14408" s="32">
        <v>15</v>
      </c>
      <c r="I14408" s="30" t="s">
        <v>21</v>
      </c>
      <c r="J14408" s="41">
        <v>45075</v>
      </c>
      <c r="K14408" s="30" t="s">
        <v>22</v>
      </c>
    </row>
    <row r="14409" spans="1:11">
      <c r="A14409" s="33" t="s">
        <v>32493</v>
      </c>
      <c r="B14409" s="33" t="s">
        <v>32494</v>
      </c>
      <c r="C14409" s="33" t="s">
        <v>11434</v>
      </c>
      <c r="D14409" s="33" t="s">
        <v>17</v>
      </c>
      <c r="E14409" s="33" t="s">
        <v>26</v>
      </c>
      <c r="F14409" s="33" t="s">
        <v>27</v>
      </c>
      <c r="G14409" s="33" t="s">
        <v>20</v>
      </c>
      <c r="H14409" s="35">
        <v>18</v>
      </c>
      <c r="I14409" s="33" t="s">
        <v>21</v>
      </c>
      <c r="J14409" s="42">
        <v>45166</v>
      </c>
      <c r="K14409" s="33" t="s">
        <v>22</v>
      </c>
    </row>
    <row r="14410" spans="1:11">
      <c r="A14410" s="30" t="s">
        <v>32495</v>
      </c>
      <c r="B14410" s="30" t="s">
        <v>32496</v>
      </c>
      <c r="C14410" s="30" t="s">
        <v>30672</v>
      </c>
      <c r="D14410" s="30" t="s">
        <v>17</v>
      </c>
      <c r="E14410" s="30" t="s">
        <v>26</v>
      </c>
      <c r="F14410" s="30" t="s">
        <v>27</v>
      </c>
      <c r="G14410" s="30" t="s">
        <v>50</v>
      </c>
      <c r="H14410" s="32">
        <v>30</v>
      </c>
      <c r="I14410" s="30" t="s">
        <v>51</v>
      </c>
      <c r="J14410" s="41">
        <v>44951</v>
      </c>
      <c r="K14410" s="30" t="s">
        <v>22</v>
      </c>
    </row>
    <row r="14411" spans="1:11">
      <c r="A14411" s="33" t="s">
        <v>32497</v>
      </c>
      <c r="B14411" s="33" t="s">
        <v>32498</v>
      </c>
      <c r="C14411" s="33" t="s">
        <v>647</v>
      </c>
      <c r="D14411" s="33" t="s">
        <v>17</v>
      </c>
      <c r="E14411" s="33" t="s">
        <v>18</v>
      </c>
      <c r="F14411" s="33" t="s">
        <v>19</v>
      </c>
      <c r="G14411" s="33" t="s">
        <v>20</v>
      </c>
      <c r="H14411" s="35">
        <v>120</v>
      </c>
      <c r="I14411" s="33" t="s">
        <v>21</v>
      </c>
      <c r="J14411" s="42">
        <v>45009</v>
      </c>
      <c r="K14411" s="33" t="s">
        <v>22</v>
      </c>
    </row>
    <row r="14412" spans="1:11">
      <c r="A14412" s="30" t="s">
        <v>32499</v>
      </c>
      <c r="B14412" s="30" t="s">
        <v>32500</v>
      </c>
      <c r="C14412" s="30" t="s">
        <v>149</v>
      </c>
      <c r="D14412" s="30" t="s">
        <v>17</v>
      </c>
      <c r="E14412" s="30" t="s">
        <v>26</v>
      </c>
      <c r="F14412" s="30" t="s">
        <v>27</v>
      </c>
      <c r="G14412" s="30" t="s">
        <v>20</v>
      </c>
      <c r="H14412" s="32">
        <v>6</v>
      </c>
      <c r="I14412" s="30" t="s">
        <v>21</v>
      </c>
      <c r="J14412" s="41">
        <v>45206</v>
      </c>
      <c r="K14412" s="30" t="s">
        <v>22</v>
      </c>
    </row>
    <row r="14413" spans="1:11">
      <c r="A14413" s="33" t="s">
        <v>32501</v>
      </c>
      <c r="B14413" s="33" t="s">
        <v>32502</v>
      </c>
      <c r="C14413" s="33" t="s">
        <v>1077</v>
      </c>
      <c r="D14413" s="33" t="s">
        <v>17</v>
      </c>
      <c r="E14413" s="33" t="s">
        <v>26</v>
      </c>
      <c r="F14413" s="33" t="s">
        <v>27</v>
      </c>
      <c r="G14413" s="33" t="s">
        <v>112</v>
      </c>
      <c r="H14413" s="35">
        <v>0</v>
      </c>
      <c r="I14413" s="33" t="s">
        <v>21</v>
      </c>
      <c r="J14413" s="42">
        <v>44958</v>
      </c>
      <c r="K14413" s="33" t="s">
        <v>22</v>
      </c>
    </row>
    <row r="14414" spans="1:11">
      <c r="A14414" s="30" t="s">
        <v>32503</v>
      </c>
      <c r="B14414" s="30" t="s">
        <v>32504</v>
      </c>
      <c r="C14414" s="30" t="s">
        <v>9714</v>
      </c>
      <c r="D14414" s="30" t="s">
        <v>17</v>
      </c>
      <c r="E14414" s="30" t="s">
        <v>18</v>
      </c>
      <c r="F14414" s="30" t="s">
        <v>19</v>
      </c>
      <c r="G14414" s="30" t="s">
        <v>20</v>
      </c>
      <c r="H14414" s="32">
        <v>240</v>
      </c>
      <c r="I14414" s="30" t="s">
        <v>21</v>
      </c>
      <c r="J14414" s="41">
        <v>45128</v>
      </c>
      <c r="K14414" s="30" t="s">
        <v>22</v>
      </c>
    </row>
    <row r="14415" spans="1:11">
      <c r="A14415" s="33" t="s">
        <v>32505</v>
      </c>
      <c r="B14415" s="33" t="s">
        <v>32506</v>
      </c>
      <c r="C14415" s="33" t="s">
        <v>96</v>
      </c>
      <c r="D14415" s="33" t="s">
        <v>17</v>
      </c>
      <c r="E14415" s="33" t="s">
        <v>26</v>
      </c>
      <c r="F14415" s="33" t="s">
        <v>27</v>
      </c>
      <c r="G14415" s="33" t="s">
        <v>20</v>
      </c>
      <c r="H14415" s="35">
        <v>12</v>
      </c>
      <c r="I14415" s="33" t="s">
        <v>21</v>
      </c>
      <c r="J14415" s="42">
        <v>45156</v>
      </c>
      <c r="K14415" s="33" t="s">
        <v>22</v>
      </c>
    </row>
    <row r="14416" spans="1:11">
      <c r="A14416" s="30" t="s">
        <v>32507</v>
      </c>
      <c r="B14416" s="30" t="s">
        <v>32508</v>
      </c>
      <c r="C14416" s="30" t="s">
        <v>32509</v>
      </c>
      <c r="D14416" s="30" t="s">
        <v>17</v>
      </c>
      <c r="E14416" s="30" t="s">
        <v>330</v>
      </c>
      <c r="F14416" s="30" t="s">
        <v>331</v>
      </c>
      <c r="G14416" s="30" t="s">
        <v>20</v>
      </c>
      <c r="H14416" s="32">
        <v>1</v>
      </c>
      <c r="I14416" s="30" t="s">
        <v>21</v>
      </c>
      <c r="J14416" s="41">
        <v>45020</v>
      </c>
      <c r="K14416" s="30" t="s">
        <v>22</v>
      </c>
    </row>
    <row r="14417" spans="1:11">
      <c r="A14417" s="33" t="s">
        <v>32510</v>
      </c>
      <c r="B14417" s="33" t="s">
        <v>32511</v>
      </c>
      <c r="C14417" s="33" t="s">
        <v>635</v>
      </c>
      <c r="D14417" s="33" t="s">
        <v>17</v>
      </c>
      <c r="E14417" s="33" t="s">
        <v>26</v>
      </c>
      <c r="F14417" s="33" t="s">
        <v>27</v>
      </c>
      <c r="G14417" s="33" t="s">
        <v>20</v>
      </c>
      <c r="H14417" s="35">
        <v>19</v>
      </c>
      <c r="I14417" s="33" t="s">
        <v>21</v>
      </c>
      <c r="J14417" s="42">
        <v>45093</v>
      </c>
      <c r="K14417" s="33" t="s">
        <v>22</v>
      </c>
    </row>
    <row r="14418" spans="1:11">
      <c r="A14418" s="30" t="s">
        <v>32512</v>
      </c>
      <c r="B14418" s="30" t="s">
        <v>32513</v>
      </c>
      <c r="C14418" s="30" t="s">
        <v>78</v>
      </c>
      <c r="D14418" s="30" t="s">
        <v>17</v>
      </c>
      <c r="E14418" s="30" t="s">
        <v>26</v>
      </c>
      <c r="F14418" s="30" t="s">
        <v>27</v>
      </c>
      <c r="G14418" s="30" t="s">
        <v>20</v>
      </c>
      <c r="H14418" s="32">
        <v>65</v>
      </c>
      <c r="I14418" s="30" t="s">
        <v>21</v>
      </c>
      <c r="J14418" s="41">
        <v>45038</v>
      </c>
      <c r="K14418" s="30" t="s">
        <v>22</v>
      </c>
    </row>
    <row r="14419" spans="1:11">
      <c r="A14419" s="33" t="s">
        <v>32514</v>
      </c>
      <c r="B14419" s="33" t="s">
        <v>32515</v>
      </c>
      <c r="C14419" s="33" t="s">
        <v>32516</v>
      </c>
      <c r="D14419" s="33" t="s">
        <v>17</v>
      </c>
      <c r="E14419" s="33" t="s">
        <v>31</v>
      </c>
      <c r="F14419" s="33" t="s">
        <v>32</v>
      </c>
      <c r="G14419" s="33" t="s">
        <v>20</v>
      </c>
      <c r="H14419" s="35">
        <v>68</v>
      </c>
      <c r="I14419" s="33" t="s">
        <v>21</v>
      </c>
      <c r="J14419" s="42">
        <v>45034</v>
      </c>
      <c r="K14419" s="33" t="s">
        <v>22</v>
      </c>
    </row>
    <row r="14420" spans="1:11">
      <c r="A14420" s="30" t="s">
        <v>32517</v>
      </c>
      <c r="B14420" s="30" t="s">
        <v>32518</v>
      </c>
      <c r="C14420" s="30" t="s">
        <v>29544</v>
      </c>
      <c r="D14420" s="30" t="s">
        <v>17</v>
      </c>
      <c r="E14420" s="30" t="s">
        <v>26</v>
      </c>
      <c r="F14420" s="30" t="s">
        <v>27</v>
      </c>
      <c r="G14420" s="30" t="s">
        <v>50</v>
      </c>
      <c r="H14420" s="32">
        <v>40</v>
      </c>
      <c r="I14420" s="30" t="s">
        <v>51</v>
      </c>
      <c r="J14420" s="41">
        <v>45139</v>
      </c>
      <c r="K14420" s="30" t="s">
        <v>22</v>
      </c>
    </row>
    <row r="14421" spans="1:11">
      <c r="A14421" s="33" t="s">
        <v>32519</v>
      </c>
      <c r="B14421" s="33" t="s">
        <v>32520</v>
      </c>
      <c r="C14421" s="33" t="s">
        <v>379</v>
      </c>
      <c r="D14421" s="33" t="s">
        <v>17</v>
      </c>
      <c r="E14421" s="33" t="s">
        <v>26</v>
      </c>
      <c r="F14421" s="33" t="s">
        <v>27</v>
      </c>
      <c r="G14421" s="33" t="s">
        <v>2613</v>
      </c>
      <c r="H14421" s="35">
        <v>367</v>
      </c>
      <c r="I14421" s="33" t="s">
        <v>51</v>
      </c>
      <c r="J14421" s="42">
        <v>45254</v>
      </c>
      <c r="K14421" s="33" t="s">
        <v>22</v>
      </c>
    </row>
    <row r="14422" spans="1:11">
      <c r="A14422" s="30" t="s">
        <v>32521</v>
      </c>
      <c r="B14422" s="30" t="s">
        <v>32522</v>
      </c>
      <c r="C14422" s="30" t="s">
        <v>2472</v>
      </c>
      <c r="D14422" s="30" t="s">
        <v>17</v>
      </c>
      <c r="E14422" s="30" t="s">
        <v>31</v>
      </c>
      <c r="F14422" s="30" t="s">
        <v>32</v>
      </c>
      <c r="G14422" s="30" t="s">
        <v>20</v>
      </c>
      <c r="H14422" s="32">
        <v>270</v>
      </c>
      <c r="I14422" s="30" t="s">
        <v>21</v>
      </c>
      <c r="J14422" s="41">
        <v>45061</v>
      </c>
      <c r="K14422" s="30" t="s">
        <v>22</v>
      </c>
    </row>
    <row r="14423" spans="1:11">
      <c r="A14423" s="33" t="s">
        <v>32523</v>
      </c>
      <c r="B14423" s="33" t="s">
        <v>32524</v>
      </c>
      <c r="C14423" s="33" t="s">
        <v>5817</v>
      </c>
      <c r="D14423" s="33" t="s">
        <v>17</v>
      </c>
      <c r="E14423" s="33" t="s">
        <v>31</v>
      </c>
      <c r="F14423" s="33" t="s">
        <v>32</v>
      </c>
      <c r="G14423" s="33" t="s">
        <v>20</v>
      </c>
      <c r="H14423" s="35">
        <v>173</v>
      </c>
      <c r="I14423" s="33" t="s">
        <v>21</v>
      </c>
      <c r="J14423" s="42">
        <v>45240</v>
      </c>
      <c r="K14423" s="33" t="s">
        <v>22</v>
      </c>
    </row>
    <row r="14424" spans="1:11">
      <c r="A14424" s="30" t="s">
        <v>32525</v>
      </c>
      <c r="B14424" s="30" t="s">
        <v>32526</v>
      </c>
      <c r="C14424" s="30" t="s">
        <v>32527</v>
      </c>
      <c r="D14424" s="30" t="s">
        <v>17</v>
      </c>
      <c r="E14424" s="30" t="s">
        <v>67</v>
      </c>
      <c r="F14424" s="30" t="s">
        <v>68</v>
      </c>
      <c r="G14424" s="30" t="s">
        <v>7780</v>
      </c>
      <c r="H14424" s="32">
        <v>18</v>
      </c>
      <c r="I14424" s="30" t="s">
        <v>51</v>
      </c>
      <c r="J14424" s="41">
        <v>45137</v>
      </c>
      <c r="K14424" s="30" t="s">
        <v>22</v>
      </c>
    </row>
    <row r="14425" spans="1:11">
      <c r="A14425" s="33" t="s">
        <v>32528</v>
      </c>
      <c r="B14425" s="33" t="s">
        <v>32529</v>
      </c>
      <c r="C14425" s="33" t="s">
        <v>96</v>
      </c>
      <c r="D14425" s="33" t="s">
        <v>17</v>
      </c>
      <c r="E14425" s="33" t="s">
        <v>18</v>
      </c>
      <c r="F14425" s="33" t="s">
        <v>19</v>
      </c>
      <c r="G14425" s="33" t="s">
        <v>20</v>
      </c>
      <c r="H14425" s="35">
        <v>405</v>
      </c>
      <c r="I14425" s="33" t="s">
        <v>21</v>
      </c>
      <c r="J14425" s="42">
        <v>45154</v>
      </c>
      <c r="K14425" s="33" t="s">
        <v>22</v>
      </c>
    </row>
    <row r="14426" spans="1:11">
      <c r="A14426" s="30" t="s">
        <v>32530</v>
      </c>
      <c r="B14426" s="30" t="s">
        <v>32531</v>
      </c>
      <c r="C14426" s="30" t="s">
        <v>3751</v>
      </c>
      <c r="D14426" s="30" t="s">
        <v>17</v>
      </c>
      <c r="E14426" s="30" t="s">
        <v>31</v>
      </c>
      <c r="F14426" s="30" t="s">
        <v>32</v>
      </c>
      <c r="G14426" s="30" t="s">
        <v>20</v>
      </c>
      <c r="H14426" s="32">
        <v>25</v>
      </c>
      <c r="I14426" s="30" t="s">
        <v>21</v>
      </c>
      <c r="J14426" s="41">
        <v>45219</v>
      </c>
      <c r="K14426" s="30" t="s">
        <v>22</v>
      </c>
    </row>
    <row r="14427" spans="1:11">
      <c r="A14427" s="33" t="s">
        <v>32532</v>
      </c>
      <c r="B14427" s="33" t="s">
        <v>32533</v>
      </c>
      <c r="C14427" s="33" t="s">
        <v>2759</v>
      </c>
      <c r="D14427" s="33" t="s">
        <v>17</v>
      </c>
      <c r="E14427" s="33" t="s">
        <v>67</v>
      </c>
      <c r="F14427" s="33" t="s">
        <v>68</v>
      </c>
      <c r="G14427" s="33" t="s">
        <v>69</v>
      </c>
      <c r="H14427" s="35">
        <v>20</v>
      </c>
      <c r="I14427" s="33" t="s">
        <v>51</v>
      </c>
      <c r="J14427" s="42">
        <v>45245</v>
      </c>
      <c r="K14427" s="33" t="s">
        <v>22</v>
      </c>
    </row>
    <row r="14428" spans="1:11">
      <c r="A14428" s="30" t="s">
        <v>32534</v>
      </c>
      <c r="B14428" s="30" t="s">
        <v>32535</v>
      </c>
      <c r="C14428" s="30" t="s">
        <v>535</v>
      </c>
      <c r="D14428" s="30" t="s">
        <v>17</v>
      </c>
      <c r="E14428" s="30" t="s">
        <v>67</v>
      </c>
      <c r="F14428" s="30" t="s">
        <v>68</v>
      </c>
      <c r="G14428" s="30" t="s">
        <v>140</v>
      </c>
      <c r="H14428" s="32">
        <v>24</v>
      </c>
      <c r="I14428" s="30" t="s">
        <v>51</v>
      </c>
      <c r="J14428" s="41">
        <v>44930</v>
      </c>
      <c r="K14428" s="30" t="s">
        <v>22</v>
      </c>
    </row>
    <row r="14429" spans="1:11">
      <c r="A14429" s="33" t="s">
        <v>32536</v>
      </c>
      <c r="B14429" s="33" t="s">
        <v>32537</v>
      </c>
      <c r="C14429" s="33" t="s">
        <v>32538</v>
      </c>
      <c r="D14429" s="33" t="s">
        <v>17</v>
      </c>
      <c r="E14429" s="33" t="s">
        <v>26</v>
      </c>
      <c r="F14429" s="33" t="s">
        <v>27</v>
      </c>
      <c r="G14429" s="33" t="s">
        <v>20</v>
      </c>
      <c r="H14429" s="35">
        <v>76</v>
      </c>
      <c r="I14429" s="33" t="s">
        <v>21</v>
      </c>
      <c r="J14429" s="42">
        <v>44956</v>
      </c>
      <c r="K14429" s="33" t="s">
        <v>22</v>
      </c>
    </row>
    <row r="14430" spans="1:11">
      <c r="A14430" s="30" t="s">
        <v>32539</v>
      </c>
      <c r="B14430" s="30" t="s">
        <v>32540</v>
      </c>
      <c r="C14430" s="30" t="s">
        <v>9961</v>
      </c>
      <c r="D14430" s="30" t="s">
        <v>17</v>
      </c>
      <c r="E14430" s="30" t="s">
        <v>18</v>
      </c>
      <c r="F14430" s="30" t="s">
        <v>19</v>
      </c>
      <c r="G14430" s="30" t="s">
        <v>158</v>
      </c>
      <c r="H14430" s="32">
        <v>100</v>
      </c>
      <c r="I14430" s="30" t="s">
        <v>51</v>
      </c>
      <c r="J14430" s="41">
        <v>45219</v>
      </c>
      <c r="K14430" s="30" t="s">
        <v>22</v>
      </c>
    </row>
    <row r="14431" spans="1:11">
      <c r="A14431" s="33" t="s">
        <v>32541</v>
      </c>
      <c r="B14431" s="33" t="s">
        <v>32542</v>
      </c>
      <c r="C14431" s="33" t="s">
        <v>12879</v>
      </c>
      <c r="D14431" s="33" t="s">
        <v>17</v>
      </c>
      <c r="E14431" s="33" t="s">
        <v>26</v>
      </c>
      <c r="F14431" s="33" t="s">
        <v>27</v>
      </c>
      <c r="G14431" s="33" t="s">
        <v>20</v>
      </c>
      <c r="H14431" s="35">
        <v>40</v>
      </c>
      <c r="I14431" s="33" t="s">
        <v>21</v>
      </c>
      <c r="J14431" s="42">
        <v>44984</v>
      </c>
      <c r="K14431" s="33" t="s">
        <v>22</v>
      </c>
    </row>
    <row r="14432" spans="1:11">
      <c r="A14432" s="30" t="s">
        <v>32543</v>
      </c>
      <c r="B14432" s="30" t="s">
        <v>32544</v>
      </c>
      <c r="C14432" s="30" t="s">
        <v>216</v>
      </c>
      <c r="D14432" s="30" t="s">
        <v>17</v>
      </c>
      <c r="E14432" s="30" t="s">
        <v>26</v>
      </c>
      <c r="F14432" s="30" t="s">
        <v>27</v>
      </c>
      <c r="G14432" s="30" t="s">
        <v>106</v>
      </c>
      <c r="H14432" s="32">
        <v>93</v>
      </c>
      <c r="I14432" s="30" t="s">
        <v>21</v>
      </c>
      <c r="J14432" s="41">
        <v>44943</v>
      </c>
      <c r="K14432" s="30" t="s">
        <v>22</v>
      </c>
    </row>
    <row r="14433" spans="1:11">
      <c r="A14433" s="33" t="s">
        <v>32545</v>
      </c>
      <c r="B14433" s="33" t="s">
        <v>32546</v>
      </c>
      <c r="C14433" s="33" t="s">
        <v>14226</v>
      </c>
      <c r="D14433" s="33" t="s">
        <v>17</v>
      </c>
      <c r="E14433" s="33" t="s">
        <v>31</v>
      </c>
      <c r="F14433" s="33" t="s">
        <v>32</v>
      </c>
      <c r="G14433" s="33" t="s">
        <v>158</v>
      </c>
      <c r="H14433" s="35">
        <v>420</v>
      </c>
      <c r="I14433" s="33" t="s">
        <v>51</v>
      </c>
      <c r="J14433" s="42">
        <v>45169</v>
      </c>
      <c r="K14433" s="33" t="s">
        <v>22</v>
      </c>
    </row>
    <row r="14434" spans="1:11">
      <c r="A14434" s="30" t="s">
        <v>32547</v>
      </c>
      <c r="B14434" s="30" t="s">
        <v>32548</v>
      </c>
      <c r="C14434" s="30" t="s">
        <v>109</v>
      </c>
      <c r="D14434" s="30" t="s">
        <v>17</v>
      </c>
      <c r="E14434" s="30" t="s">
        <v>31</v>
      </c>
      <c r="F14434" s="30" t="s">
        <v>32</v>
      </c>
      <c r="G14434" s="30" t="s">
        <v>106</v>
      </c>
      <c r="H14434" s="32">
        <v>136</v>
      </c>
      <c r="I14434" s="30" t="s">
        <v>21</v>
      </c>
      <c r="J14434" s="41">
        <v>45272</v>
      </c>
      <c r="K14434" s="30" t="s">
        <v>22</v>
      </c>
    </row>
    <row r="14435" spans="1:11">
      <c r="A14435" s="33" t="s">
        <v>32549</v>
      </c>
      <c r="B14435" s="33" t="s">
        <v>32550</v>
      </c>
      <c r="C14435" s="33" t="s">
        <v>29920</v>
      </c>
      <c r="D14435" s="33" t="s">
        <v>17</v>
      </c>
      <c r="E14435" s="33" t="s">
        <v>26</v>
      </c>
      <c r="F14435" s="33" t="s">
        <v>27</v>
      </c>
      <c r="G14435" s="33" t="s">
        <v>106</v>
      </c>
      <c r="H14435" s="35">
        <v>4</v>
      </c>
      <c r="I14435" s="33" t="s">
        <v>21</v>
      </c>
      <c r="J14435" s="42">
        <v>45250</v>
      </c>
      <c r="K14435" s="33" t="s">
        <v>22</v>
      </c>
    </row>
    <row r="14436" spans="1:11">
      <c r="A14436" s="30" t="s">
        <v>32551</v>
      </c>
      <c r="B14436" s="30" t="s">
        <v>32552</v>
      </c>
      <c r="C14436" s="30" t="s">
        <v>17564</v>
      </c>
      <c r="D14436" s="30" t="s">
        <v>17</v>
      </c>
      <c r="E14436" s="30" t="s">
        <v>31</v>
      </c>
      <c r="F14436" s="30" t="s">
        <v>32</v>
      </c>
      <c r="G14436" s="30" t="s">
        <v>20</v>
      </c>
      <c r="H14436" s="32">
        <v>81</v>
      </c>
      <c r="I14436" s="30" t="s">
        <v>21</v>
      </c>
      <c r="J14436" s="41">
        <v>45012</v>
      </c>
      <c r="K14436" s="30" t="s">
        <v>22</v>
      </c>
    </row>
    <row r="14437" spans="1:11">
      <c r="A14437" s="33" t="s">
        <v>32553</v>
      </c>
      <c r="B14437" s="33" t="s">
        <v>32554</v>
      </c>
      <c r="C14437" s="33" t="s">
        <v>5372</v>
      </c>
      <c r="D14437" s="33" t="s">
        <v>17</v>
      </c>
      <c r="E14437" s="33" t="s">
        <v>26</v>
      </c>
      <c r="F14437" s="33" t="s">
        <v>27</v>
      </c>
      <c r="G14437" s="33" t="s">
        <v>20</v>
      </c>
      <c r="H14437" s="35">
        <v>28</v>
      </c>
      <c r="I14437" s="33" t="s">
        <v>21</v>
      </c>
      <c r="J14437" s="42">
        <v>45078</v>
      </c>
      <c r="K14437" s="33" t="s">
        <v>22</v>
      </c>
    </row>
    <row r="14438" spans="1:11">
      <c r="A14438" s="30" t="s">
        <v>32555</v>
      </c>
      <c r="B14438" s="30" t="s">
        <v>32556</v>
      </c>
      <c r="C14438" s="30" t="s">
        <v>32557</v>
      </c>
      <c r="D14438" s="30" t="s">
        <v>17</v>
      </c>
      <c r="E14438" s="30" t="s">
        <v>26</v>
      </c>
      <c r="F14438" s="30" t="s">
        <v>27</v>
      </c>
      <c r="G14438" s="30" t="s">
        <v>7780</v>
      </c>
      <c r="H14438" s="32">
        <v>30</v>
      </c>
      <c r="I14438" s="30" t="s">
        <v>51</v>
      </c>
      <c r="J14438" s="41">
        <v>45200</v>
      </c>
      <c r="K14438" s="30" t="s">
        <v>22</v>
      </c>
    </row>
    <row r="14439" spans="1:11">
      <c r="A14439" s="33" t="s">
        <v>32558</v>
      </c>
      <c r="B14439" s="33" t="s">
        <v>32559</v>
      </c>
      <c r="C14439" s="33" t="s">
        <v>32560</v>
      </c>
      <c r="D14439" s="33" t="s">
        <v>17</v>
      </c>
      <c r="E14439" s="33" t="s">
        <v>67</v>
      </c>
      <c r="F14439" s="33" t="s">
        <v>68</v>
      </c>
      <c r="G14439" s="33" t="s">
        <v>140</v>
      </c>
      <c r="H14439" s="35">
        <v>37</v>
      </c>
      <c r="I14439" s="33" t="s">
        <v>51</v>
      </c>
      <c r="J14439" s="42">
        <v>45082</v>
      </c>
      <c r="K14439" s="33" t="s">
        <v>22</v>
      </c>
    </row>
    <row r="14440" spans="1:11">
      <c r="A14440" s="30" t="s">
        <v>32561</v>
      </c>
      <c r="B14440" s="30" t="s">
        <v>32562</v>
      </c>
      <c r="C14440" s="30" t="s">
        <v>26248</v>
      </c>
      <c r="D14440" s="30" t="s">
        <v>17</v>
      </c>
      <c r="E14440" s="30" t="s">
        <v>67</v>
      </c>
      <c r="F14440" s="30" t="s">
        <v>68</v>
      </c>
      <c r="G14440" s="30" t="s">
        <v>140</v>
      </c>
      <c r="H14440" s="32">
        <v>84</v>
      </c>
      <c r="I14440" s="30" t="s">
        <v>51</v>
      </c>
      <c r="J14440" s="41">
        <v>44966</v>
      </c>
      <c r="K14440" s="30" t="s">
        <v>22</v>
      </c>
    </row>
    <row r="14441" spans="1:11">
      <c r="A14441" s="33" t="s">
        <v>32563</v>
      </c>
      <c r="B14441" s="33" t="s">
        <v>32564</v>
      </c>
      <c r="C14441" s="33" t="s">
        <v>647</v>
      </c>
      <c r="D14441" s="33" t="s">
        <v>17</v>
      </c>
      <c r="E14441" s="33" t="s">
        <v>18</v>
      </c>
      <c r="F14441" s="33" t="s">
        <v>19</v>
      </c>
      <c r="G14441" s="33" t="s">
        <v>158</v>
      </c>
      <c r="H14441" s="35">
        <v>39</v>
      </c>
      <c r="I14441" s="33" t="s">
        <v>21</v>
      </c>
      <c r="J14441" s="42">
        <v>45090</v>
      </c>
      <c r="K14441" s="33" t="s">
        <v>22</v>
      </c>
    </row>
    <row r="14442" spans="1:11">
      <c r="A14442" s="30" t="s">
        <v>32565</v>
      </c>
      <c r="B14442" s="30" t="s">
        <v>32566</v>
      </c>
      <c r="C14442" s="30" t="s">
        <v>136</v>
      </c>
      <c r="D14442" s="30" t="s">
        <v>17</v>
      </c>
      <c r="E14442" s="30" t="s">
        <v>18</v>
      </c>
      <c r="F14442" s="30" t="s">
        <v>19</v>
      </c>
      <c r="G14442" s="30" t="s">
        <v>140</v>
      </c>
      <c r="H14442" s="32">
        <v>595</v>
      </c>
      <c r="I14442" s="30" t="s">
        <v>51</v>
      </c>
      <c r="J14442" s="41">
        <v>44984</v>
      </c>
      <c r="K14442" s="30" t="s">
        <v>22</v>
      </c>
    </row>
    <row r="14443" spans="1:11">
      <c r="A14443" s="33" t="s">
        <v>32567</v>
      </c>
      <c r="B14443" s="33" t="s">
        <v>32568</v>
      </c>
      <c r="C14443" s="33" t="s">
        <v>32569</v>
      </c>
      <c r="D14443" s="33" t="s">
        <v>17</v>
      </c>
      <c r="E14443" s="33" t="s">
        <v>26</v>
      </c>
      <c r="F14443" s="33" t="s">
        <v>27</v>
      </c>
      <c r="G14443" s="33" t="s">
        <v>158</v>
      </c>
      <c r="H14443" s="35">
        <v>16</v>
      </c>
      <c r="I14443" s="33" t="s">
        <v>21</v>
      </c>
      <c r="J14443" s="42">
        <v>45048</v>
      </c>
      <c r="K14443" s="33" t="s">
        <v>22</v>
      </c>
    </row>
    <row r="14444" spans="1:11">
      <c r="A14444" s="30" t="s">
        <v>32570</v>
      </c>
      <c r="B14444" s="30" t="s">
        <v>32571</v>
      </c>
      <c r="C14444" s="30" t="s">
        <v>60</v>
      </c>
      <c r="D14444" s="30" t="s">
        <v>17</v>
      </c>
      <c r="E14444" s="30" t="s">
        <v>31</v>
      </c>
      <c r="F14444" s="30" t="s">
        <v>32</v>
      </c>
      <c r="G14444" s="30" t="s">
        <v>106</v>
      </c>
      <c r="H14444" s="32">
        <v>14</v>
      </c>
      <c r="I14444" s="30" t="s">
        <v>21</v>
      </c>
      <c r="J14444" s="41">
        <v>44980</v>
      </c>
      <c r="K14444" s="30" t="s">
        <v>22</v>
      </c>
    </row>
    <row r="14445" spans="1:11">
      <c r="A14445" s="33" t="s">
        <v>32572</v>
      </c>
      <c r="B14445" s="33" t="s">
        <v>32573</v>
      </c>
      <c r="C14445" s="33" t="s">
        <v>3170</v>
      </c>
      <c r="D14445" s="33" t="s">
        <v>17</v>
      </c>
      <c r="E14445" s="33" t="s">
        <v>26</v>
      </c>
      <c r="F14445" s="33" t="s">
        <v>27</v>
      </c>
      <c r="G14445" s="33" t="s">
        <v>106</v>
      </c>
      <c r="H14445" s="35">
        <v>31</v>
      </c>
      <c r="I14445" s="33" t="s">
        <v>21</v>
      </c>
      <c r="J14445" s="42">
        <v>44943</v>
      </c>
      <c r="K14445" s="33" t="s">
        <v>22</v>
      </c>
    </row>
    <row r="14446" spans="1:11">
      <c r="A14446" s="30" t="s">
        <v>32574</v>
      </c>
      <c r="B14446" s="30" t="s">
        <v>32575</v>
      </c>
      <c r="C14446" s="30" t="s">
        <v>190</v>
      </c>
      <c r="D14446" s="30" t="s">
        <v>17</v>
      </c>
      <c r="E14446" s="30" t="s">
        <v>26</v>
      </c>
      <c r="F14446" s="30" t="s">
        <v>27</v>
      </c>
      <c r="G14446" s="30" t="s">
        <v>20</v>
      </c>
      <c r="H14446" s="32">
        <v>22</v>
      </c>
      <c r="I14446" s="30" t="s">
        <v>21</v>
      </c>
      <c r="J14446" s="41">
        <v>44977</v>
      </c>
      <c r="K14446" s="30" t="s">
        <v>22</v>
      </c>
    </row>
    <row r="14447" spans="1:11">
      <c r="A14447" s="33" t="s">
        <v>32576</v>
      </c>
      <c r="B14447" s="33" t="s">
        <v>32577</v>
      </c>
      <c r="C14447" s="33" t="s">
        <v>5805</v>
      </c>
      <c r="D14447" s="33" t="s">
        <v>17</v>
      </c>
      <c r="E14447" s="33" t="s">
        <v>31</v>
      </c>
      <c r="F14447" s="33" t="s">
        <v>32</v>
      </c>
      <c r="G14447" s="33" t="s">
        <v>20</v>
      </c>
      <c r="H14447" s="35">
        <v>86</v>
      </c>
      <c r="I14447" s="33" t="s">
        <v>21</v>
      </c>
      <c r="J14447" s="42">
        <v>45078</v>
      </c>
      <c r="K14447" s="33" t="s">
        <v>22</v>
      </c>
    </row>
    <row r="14448" spans="1:11">
      <c r="A14448" s="30" t="s">
        <v>32578</v>
      </c>
      <c r="B14448" s="30" t="s">
        <v>32579</v>
      </c>
      <c r="C14448" s="30" t="s">
        <v>21136</v>
      </c>
      <c r="D14448" s="30" t="s">
        <v>17</v>
      </c>
      <c r="E14448" s="30" t="s">
        <v>18</v>
      </c>
      <c r="F14448" s="30" t="s">
        <v>19</v>
      </c>
      <c r="G14448" s="30" t="s">
        <v>20</v>
      </c>
      <c r="H14448" s="32">
        <v>328</v>
      </c>
      <c r="I14448" s="30" t="s">
        <v>21</v>
      </c>
      <c r="J14448" s="41">
        <v>45008</v>
      </c>
      <c r="K14448" s="30" t="s">
        <v>22</v>
      </c>
    </row>
    <row r="14449" spans="1:11">
      <c r="A14449" s="33" t="s">
        <v>32580</v>
      </c>
      <c r="B14449" s="33" t="s">
        <v>32581</v>
      </c>
      <c r="C14449" s="33" t="s">
        <v>14640</v>
      </c>
      <c r="D14449" s="33" t="s">
        <v>17</v>
      </c>
      <c r="E14449" s="33" t="s">
        <v>31</v>
      </c>
      <c r="F14449" s="33" t="s">
        <v>32</v>
      </c>
      <c r="G14449" s="33" t="s">
        <v>158</v>
      </c>
      <c r="H14449" s="35">
        <v>62</v>
      </c>
      <c r="I14449" s="33" t="s">
        <v>51</v>
      </c>
      <c r="J14449" s="42">
        <v>44978</v>
      </c>
      <c r="K14449" s="33" t="s">
        <v>22</v>
      </c>
    </row>
    <row r="14450" spans="1:11">
      <c r="A14450" s="30" t="s">
        <v>32582</v>
      </c>
      <c r="B14450" s="30" t="s">
        <v>32583</v>
      </c>
      <c r="C14450" s="30" t="s">
        <v>149</v>
      </c>
      <c r="D14450" s="30" t="s">
        <v>17</v>
      </c>
      <c r="E14450" s="30" t="s">
        <v>26</v>
      </c>
      <c r="F14450" s="30" t="s">
        <v>27</v>
      </c>
      <c r="G14450" s="30" t="s">
        <v>50</v>
      </c>
      <c r="H14450" s="32">
        <v>60</v>
      </c>
      <c r="I14450" s="30" t="s">
        <v>51</v>
      </c>
      <c r="J14450" s="41">
        <v>44931</v>
      </c>
      <c r="K14450" s="30" t="s">
        <v>22</v>
      </c>
    </row>
    <row r="14451" spans="1:11">
      <c r="A14451" s="33" t="s">
        <v>32584</v>
      </c>
      <c r="B14451" s="33" t="s">
        <v>32585</v>
      </c>
      <c r="C14451" s="33" t="s">
        <v>157</v>
      </c>
      <c r="D14451" s="33" t="s">
        <v>17</v>
      </c>
      <c r="E14451" s="33" t="s">
        <v>31</v>
      </c>
      <c r="F14451" s="33" t="s">
        <v>32</v>
      </c>
      <c r="G14451" s="33" t="s">
        <v>20</v>
      </c>
      <c r="H14451" s="35">
        <v>29</v>
      </c>
      <c r="I14451" s="33" t="s">
        <v>21</v>
      </c>
      <c r="J14451" s="42">
        <v>45128</v>
      </c>
      <c r="K14451" s="33" t="s">
        <v>22</v>
      </c>
    </row>
    <row r="14452" spans="1:11">
      <c r="A14452" s="30" t="s">
        <v>32586</v>
      </c>
      <c r="B14452" s="30" t="s">
        <v>32587</v>
      </c>
      <c r="C14452" s="30" t="s">
        <v>7900</v>
      </c>
      <c r="D14452" s="30" t="s">
        <v>17</v>
      </c>
      <c r="E14452" s="30" t="s">
        <v>18</v>
      </c>
      <c r="F14452" s="30" t="s">
        <v>19</v>
      </c>
      <c r="G14452" s="30" t="s">
        <v>20</v>
      </c>
      <c r="H14452" s="32">
        <v>612</v>
      </c>
      <c r="I14452" s="30" t="s">
        <v>21</v>
      </c>
      <c r="J14452" s="41">
        <v>45006</v>
      </c>
      <c r="K14452" s="30" t="s">
        <v>22</v>
      </c>
    </row>
    <row r="14453" spans="1:11">
      <c r="A14453" s="33" t="s">
        <v>32588</v>
      </c>
      <c r="B14453" s="33" t="s">
        <v>32589</v>
      </c>
      <c r="C14453" s="33" t="s">
        <v>6202</v>
      </c>
      <c r="D14453" s="33" t="s">
        <v>17</v>
      </c>
      <c r="E14453" s="33" t="s">
        <v>212</v>
      </c>
      <c r="F14453" s="33" t="s">
        <v>213</v>
      </c>
      <c r="G14453" s="33" t="s">
        <v>20</v>
      </c>
      <c r="H14453" s="35">
        <v>68</v>
      </c>
      <c r="I14453" s="33" t="s">
        <v>21</v>
      </c>
      <c r="J14453" s="42">
        <v>44957</v>
      </c>
      <c r="K14453" s="33" t="s">
        <v>22</v>
      </c>
    </row>
    <row r="14454" spans="1:11">
      <c r="A14454" s="30" t="s">
        <v>32590</v>
      </c>
      <c r="B14454" s="30" t="s">
        <v>32591</v>
      </c>
      <c r="C14454" s="30" t="s">
        <v>2123</v>
      </c>
      <c r="D14454" s="30" t="s">
        <v>17</v>
      </c>
      <c r="E14454" s="30" t="s">
        <v>18</v>
      </c>
      <c r="F14454" s="30" t="s">
        <v>19</v>
      </c>
      <c r="G14454" s="30" t="s">
        <v>20</v>
      </c>
      <c r="H14454" s="32">
        <v>700</v>
      </c>
      <c r="I14454" s="30" t="s">
        <v>21</v>
      </c>
      <c r="J14454" s="41">
        <v>45064</v>
      </c>
      <c r="K14454" s="30" t="s">
        <v>22</v>
      </c>
    </row>
    <row r="14455" spans="1:11">
      <c r="A14455" s="33" t="s">
        <v>32592</v>
      </c>
      <c r="B14455" s="33" t="s">
        <v>32593</v>
      </c>
      <c r="C14455" s="33" t="s">
        <v>13241</v>
      </c>
      <c r="D14455" s="33" t="s">
        <v>17</v>
      </c>
      <c r="E14455" s="33" t="s">
        <v>18</v>
      </c>
      <c r="F14455" s="33" t="s">
        <v>19</v>
      </c>
      <c r="G14455" s="33" t="s">
        <v>20</v>
      </c>
      <c r="H14455" s="35">
        <v>294</v>
      </c>
      <c r="I14455" s="33" t="s">
        <v>21</v>
      </c>
      <c r="J14455" s="42">
        <v>45006</v>
      </c>
      <c r="K14455" s="33" t="s">
        <v>22</v>
      </c>
    </row>
    <row r="14456" spans="1:11">
      <c r="A14456" s="30" t="s">
        <v>32594</v>
      </c>
      <c r="B14456" s="30" t="s">
        <v>32595</v>
      </c>
      <c r="C14456" s="30" t="s">
        <v>450</v>
      </c>
      <c r="D14456" s="30" t="s">
        <v>17</v>
      </c>
      <c r="E14456" s="30" t="s">
        <v>18</v>
      </c>
      <c r="F14456" s="30" t="s">
        <v>19</v>
      </c>
      <c r="G14456" s="30" t="s">
        <v>20</v>
      </c>
      <c r="H14456" s="32">
        <v>25</v>
      </c>
      <c r="I14456" s="30" t="s">
        <v>21</v>
      </c>
      <c r="J14456" s="41">
        <v>45112</v>
      </c>
      <c r="K14456" s="30" t="s">
        <v>22</v>
      </c>
    </row>
    <row r="14457" spans="1:11">
      <c r="A14457" s="33" t="s">
        <v>32596</v>
      </c>
      <c r="B14457" s="33" t="s">
        <v>32597</v>
      </c>
      <c r="C14457" s="33" t="s">
        <v>310</v>
      </c>
      <c r="D14457" s="33" t="s">
        <v>17</v>
      </c>
      <c r="E14457" s="33" t="s">
        <v>26</v>
      </c>
      <c r="F14457" s="33" t="s">
        <v>27</v>
      </c>
      <c r="G14457" s="33" t="s">
        <v>20</v>
      </c>
      <c r="H14457" s="35">
        <v>33</v>
      </c>
      <c r="I14457" s="33" t="s">
        <v>21</v>
      </c>
      <c r="J14457" s="42">
        <v>45111</v>
      </c>
      <c r="K14457" s="33" t="s">
        <v>22</v>
      </c>
    </row>
    <row r="14458" spans="1:11">
      <c r="A14458" s="30" t="s">
        <v>32598</v>
      </c>
      <c r="B14458" s="30" t="s">
        <v>32599</v>
      </c>
      <c r="C14458" s="30" t="s">
        <v>25041</v>
      </c>
      <c r="D14458" s="30" t="s">
        <v>17</v>
      </c>
      <c r="E14458" s="30" t="s">
        <v>31</v>
      </c>
      <c r="F14458" s="30" t="s">
        <v>32</v>
      </c>
      <c r="G14458" s="30" t="s">
        <v>20</v>
      </c>
      <c r="H14458" s="32">
        <v>252</v>
      </c>
      <c r="I14458" s="30" t="s">
        <v>21</v>
      </c>
      <c r="J14458" s="41">
        <v>45110</v>
      </c>
      <c r="K14458" s="30" t="s">
        <v>22</v>
      </c>
    </row>
    <row r="14459" spans="1:11">
      <c r="A14459" s="33" t="s">
        <v>32600</v>
      </c>
      <c r="B14459" s="33" t="s">
        <v>32601</v>
      </c>
      <c r="C14459" s="33" t="s">
        <v>7153</v>
      </c>
      <c r="D14459" s="33" t="s">
        <v>17</v>
      </c>
      <c r="E14459" s="33" t="s">
        <v>18</v>
      </c>
      <c r="F14459" s="33" t="s">
        <v>19</v>
      </c>
      <c r="G14459" s="33" t="s">
        <v>140</v>
      </c>
      <c r="H14459" s="35">
        <v>600</v>
      </c>
      <c r="I14459" s="33" t="s">
        <v>51</v>
      </c>
      <c r="J14459" s="42">
        <v>45230</v>
      </c>
      <c r="K14459" s="33" t="s">
        <v>22</v>
      </c>
    </row>
    <row r="14460" spans="1:11">
      <c r="A14460" s="30" t="s">
        <v>32602</v>
      </c>
      <c r="B14460" s="30" t="s">
        <v>32603</v>
      </c>
      <c r="C14460" s="30" t="s">
        <v>31733</v>
      </c>
      <c r="D14460" s="30" t="s">
        <v>17</v>
      </c>
      <c r="E14460" s="30" t="s">
        <v>31</v>
      </c>
      <c r="F14460" s="30" t="s">
        <v>32</v>
      </c>
      <c r="G14460" s="30" t="s">
        <v>140</v>
      </c>
      <c r="H14460" s="32">
        <v>60</v>
      </c>
      <c r="I14460" s="30" t="s">
        <v>51</v>
      </c>
      <c r="J14460" s="41">
        <v>45155</v>
      </c>
      <c r="K14460" s="30" t="s">
        <v>22</v>
      </c>
    </row>
    <row r="14461" spans="1:11">
      <c r="A14461" s="33" t="s">
        <v>32604</v>
      </c>
      <c r="B14461" s="33" t="s">
        <v>32605</v>
      </c>
      <c r="C14461" s="33" t="s">
        <v>118</v>
      </c>
      <c r="D14461" s="33" t="s">
        <v>17</v>
      </c>
      <c r="E14461" s="33" t="s">
        <v>212</v>
      </c>
      <c r="F14461" s="33" t="s">
        <v>213</v>
      </c>
      <c r="G14461" s="33" t="s">
        <v>106</v>
      </c>
      <c r="H14461" s="35">
        <v>3</v>
      </c>
      <c r="I14461" s="33" t="s">
        <v>21</v>
      </c>
      <c r="J14461" s="42">
        <v>45041</v>
      </c>
      <c r="K14461" s="33" t="s">
        <v>22</v>
      </c>
    </row>
    <row r="14462" spans="1:11">
      <c r="A14462" s="30" t="s">
        <v>32606</v>
      </c>
      <c r="B14462" s="30" t="s">
        <v>32607</v>
      </c>
      <c r="C14462" s="30" t="s">
        <v>32608</v>
      </c>
      <c r="D14462" s="30" t="s">
        <v>17</v>
      </c>
      <c r="E14462" s="30" t="s">
        <v>45</v>
      </c>
      <c r="F14462" s="30" t="s">
        <v>46</v>
      </c>
      <c r="G14462" s="30" t="s">
        <v>50</v>
      </c>
      <c r="H14462" s="32">
        <v>300</v>
      </c>
      <c r="I14462" s="30" t="s">
        <v>51</v>
      </c>
      <c r="J14462" s="41">
        <v>45017</v>
      </c>
      <c r="K14462" s="30" t="s">
        <v>22</v>
      </c>
    </row>
    <row r="14463" spans="1:11">
      <c r="A14463" s="33" t="s">
        <v>32609</v>
      </c>
      <c r="B14463" s="33" t="s">
        <v>32610</v>
      </c>
      <c r="C14463" s="33" t="s">
        <v>27299</v>
      </c>
      <c r="D14463" s="33" t="s">
        <v>17</v>
      </c>
      <c r="E14463" s="33" t="s">
        <v>45</v>
      </c>
      <c r="F14463" s="33" t="s">
        <v>46</v>
      </c>
      <c r="G14463" s="33" t="s">
        <v>158</v>
      </c>
      <c r="H14463" s="35">
        <v>51</v>
      </c>
      <c r="I14463" s="33" t="s">
        <v>51</v>
      </c>
      <c r="J14463" s="42">
        <v>45163</v>
      </c>
      <c r="K14463" s="33" t="s">
        <v>22</v>
      </c>
    </row>
    <row r="14464" spans="1:11">
      <c r="A14464" s="30" t="s">
        <v>32611</v>
      </c>
      <c r="B14464" s="30" t="s">
        <v>32612</v>
      </c>
      <c r="C14464" s="30" t="s">
        <v>11434</v>
      </c>
      <c r="D14464" s="30" t="s">
        <v>17</v>
      </c>
      <c r="E14464" s="30" t="s">
        <v>26</v>
      </c>
      <c r="F14464" s="30" t="s">
        <v>27</v>
      </c>
      <c r="G14464" s="30" t="s">
        <v>20</v>
      </c>
      <c r="H14464" s="32">
        <v>16</v>
      </c>
      <c r="I14464" s="30" t="s">
        <v>21</v>
      </c>
      <c r="J14464" s="41">
        <v>45109</v>
      </c>
      <c r="K14464" s="30" t="s">
        <v>22</v>
      </c>
    </row>
    <row r="14465" spans="1:11">
      <c r="A14465" s="33" t="s">
        <v>32613</v>
      </c>
      <c r="B14465" s="33" t="s">
        <v>32614</v>
      </c>
      <c r="C14465" s="33" t="s">
        <v>7667</v>
      </c>
      <c r="D14465" s="33" t="s">
        <v>17</v>
      </c>
      <c r="E14465" s="33" t="s">
        <v>26</v>
      </c>
      <c r="F14465" s="33" t="s">
        <v>27</v>
      </c>
      <c r="G14465" s="33" t="s">
        <v>106</v>
      </c>
      <c r="H14465" s="35">
        <v>44</v>
      </c>
      <c r="I14465" s="33" t="s">
        <v>21</v>
      </c>
      <c r="J14465" s="42">
        <v>44984</v>
      </c>
      <c r="K14465" s="33" t="s">
        <v>22</v>
      </c>
    </row>
    <row r="14466" spans="1:11">
      <c r="A14466" s="30" t="s">
        <v>32615</v>
      </c>
      <c r="B14466" s="30" t="s">
        <v>32616</v>
      </c>
      <c r="C14466" s="30" t="s">
        <v>2472</v>
      </c>
      <c r="D14466" s="30" t="s">
        <v>17</v>
      </c>
      <c r="E14466" s="30" t="s">
        <v>67</v>
      </c>
      <c r="F14466" s="30" t="s">
        <v>68</v>
      </c>
      <c r="G14466" s="30" t="s">
        <v>158</v>
      </c>
      <c r="H14466" s="32">
        <v>659</v>
      </c>
      <c r="I14466" s="30" t="s">
        <v>21</v>
      </c>
      <c r="J14466" s="41">
        <v>44949</v>
      </c>
      <c r="K14466" s="30" t="s">
        <v>22</v>
      </c>
    </row>
    <row r="14467" spans="1:11">
      <c r="A14467" s="33" t="s">
        <v>32617</v>
      </c>
      <c r="B14467" s="33" t="s">
        <v>32618</v>
      </c>
      <c r="C14467" s="33" t="s">
        <v>30492</v>
      </c>
      <c r="D14467" s="33" t="s">
        <v>17</v>
      </c>
      <c r="E14467" s="33" t="s">
        <v>18</v>
      </c>
      <c r="F14467" s="33" t="s">
        <v>19</v>
      </c>
      <c r="G14467" s="33" t="s">
        <v>20</v>
      </c>
      <c r="H14467" s="35">
        <v>474</v>
      </c>
      <c r="I14467" s="33" t="s">
        <v>21</v>
      </c>
      <c r="J14467" s="42">
        <v>45089</v>
      </c>
      <c r="K14467" s="33" t="s">
        <v>22</v>
      </c>
    </row>
    <row r="14468" spans="1:11">
      <c r="A14468" s="30" t="s">
        <v>32619</v>
      </c>
      <c r="B14468" s="30" t="s">
        <v>32620</v>
      </c>
      <c r="C14468" s="30" t="s">
        <v>32621</v>
      </c>
      <c r="D14468" s="30" t="s">
        <v>17</v>
      </c>
      <c r="E14468" s="30" t="s">
        <v>67</v>
      </c>
      <c r="F14468" s="30" t="s">
        <v>68</v>
      </c>
      <c r="G14468" s="30" t="s">
        <v>140</v>
      </c>
      <c r="H14468" s="32">
        <v>365</v>
      </c>
      <c r="I14468" s="30" t="s">
        <v>51</v>
      </c>
      <c r="J14468" s="41">
        <v>45008</v>
      </c>
      <c r="K14468" s="30" t="s">
        <v>22</v>
      </c>
    </row>
    <row r="14469" spans="1:11">
      <c r="A14469" s="33" t="s">
        <v>32622</v>
      </c>
      <c r="B14469" s="33" t="s">
        <v>32623</v>
      </c>
      <c r="C14469" s="33" t="s">
        <v>26565</v>
      </c>
      <c r="D14469" s="33" t="s">
        <v>17</v>
      </c>
      <c r="E14469" s="33" t="s">
        <v>31</v>
      </c>
      <c r="F14469" s="33" t="s">
        <v>32</v>
      </c>
      <c r="G14469" s="33" t="s">
        <v>106</v>
      </c>
      <c r="H14469" s="35">
        <v>98</v>
      </c>
      <c r="I14469" s="33" t="s">
        <v>21</v>
      </c>
      <c r="J14469" s="42">
        <v>45013</v>
      </c>
      <c r="K14469" s="33" t="s">
        <v>22</v>
      </c>
    </row>
    <row r="14470" spans="1:11">
      <c r="A14470" s="30" t="s">
        <v>32624</v>
      </c>
      <c r="B14470" s="30" t="s">
        <v>32625</v>
      </c>
      <c r="C14470" s="30" t="s">
        <v>310</v>
      </c>
      <c r="D14470" s="30" t="s">
        <v>17</v>
      </c>
      <c r="E14470" s="30" t="s">
        <v>18</v>
      </c>
      <c r="F14470" s="30" t="s">
        <v>19</v>
      </c>
      <c r="G14470" s="30" t="s">
        <v>140</v>
      </c>
      <c r="H14470" s="32">
        <v>451</v>
      </c>
      <c r="I14470" s="30" t="s">
        <v>51</v>
      </c>
      <c r="J14470" s="41">
        <v>44970</v>
      </c>
      <c r="K14470" s="30" t="s">
        <v>22</v>
      </c>
    </row>
    <row r="14471" spans="1:11">
      <c r="A14471" s="33" t="s">
        <v>32626</v>
      </c>
      <c r="B14471" s="33" t="s">
        <v>32627</v>
      </c>
      <c r="C14471" s="33" t="s">
        <v>12172</v>
      </c>
      <c r="D14471" s="33" t="s">
        <v>17</v>
      </c>
      <c r="E14471" s="33" t="s">
        <v>31</v>
      </c>
      <c r="F14471" s="33" t="s">
        <v>32</v>
      </c>
      <c r="G14471" s="33" t="s">
        <v>20</v>
      </c>
      <c r="H14471" s="35">
        <v>20</v>
      </c>
      <c r="I14471" s="33" t="s">
        <v>21</v>
      </c>
      <c r="J14471" s="42">
        <v>44952</v>
      </c>
      <c r="K14471" s="33" t="s">
        <v>22</v>
      </c>
    </row>
    <row r="14472" spans="1:11">
      <c r="A14472" s="30" t="s">
        <v>32628</v>
      </c>
      <c r="B14472" s="30" t="s">
        <v>32629</v>
      </c>
      <c r="C14472" s="30" t="s">
        <v>32630</v>
      </c>
      <c r="D14472" s="30" t="s">
        <v>17</v>
      </c>
      <c r="E14472" s="30" t="s">
        <v>31</v>
      </c>
      <c r="F14472" s="30" t="s">
        <v>32</v>
      </c>
      <c r="G14472" s="30" t="s">
        <v>20</v>
      </c>
      <c r="H14472" s="32">
        <v>24</v>
      </c>
      <c r="I14472" s="30" t="s">
        <v>21</v>
      </c>
      <c r="J14472" s="41">
        <v>45047</v>
      </c>
      <c r="K14472" s="30" t="s">
        <v>22</v>
      </c>
    </row>
    <row r="14473" spans="1:11">
      <c r="A14473" s="33" t="s">
        <v>32631</v>
      </c>
      <c r="B14473" s="33" t="s">
        <v>32632</v>
      </c>
      <c r="C14473" s="33" t="s">
        <v>32633</v>
      </c>
      <c r="D14473" s="33" t="s">
        <v>17</v>
      </c>
      <c r="E14473" s="33" t="s">
        <v>31</v>
      </c>
      <c r="F14473" s="33" t="s">
        <v>32</v>
      </c>
      <c r="G14473" s="33" t="s">
        <v>106</v>
      </c>
      <c r="H14473" s="35">
        <v>68</v>
      </c>
      <c r="I14473" s="33" t="s">
        <v>21</v>
      </c>
      <c r="J14473" s="42">
        <v>44984</v>
      </c>
      <c r="K14473" s="33" t="s">
        <v>22</v>
      </c>
    </row>
    <row r="14474" spans="1:11">
      <c r="A14474" s="30" t="s">
        <v>32634</v>
      </c>
      <c r="B14474" s="30" t="s">
        <v>32635</v>
      </c>
      <c r="C14474" s="30" t="s">
        <v>2866</v>
      </c>
      <c r="D14474" s="30" t="s">
        <v>17</v>
      </c>
      <c r="E14474" s="30" t="s">
        <v>67</v>
      </c>
      <c r="F14474" s="30" t="s">
        <v>68</v>
      </c>
      <c r="G14474" s="30" t="s">
        <v>158</v>
      </c>
      <c r="H14474" s="32">
        <v>148</v>
      </c>
      <c r="I14474" s="30" t="s">
        <v>21</v>
      </c>
      <c r="J14474" s="41">
        <v>45271</v>
      </c>
      <c r="K14474" s="30" t="s">
        <v>22</v>
      </c>
    </row>
    <row r="14475" spans="1:11">
      <c r="A14475" s="33" t="s">
        <v>32636</v>
      </c>
      <c r="B14475" s="33" t="s">
        <v>32637</v>
      </c>
      <c r="C14475" s="33" t="s">
        <v>7158</v>
      </c>
      <c r="D14475" s="33" t="s">
        <v>17</v>
      </c>
      <c r="E14475" s="33" t="s">
        <v>26</v>
      </c>
      <c r="F14475" s="33" t="s">
        <v>27</v>
      </c>
      <c r="G14475" s="33" t="s">
        <v>140</v>
      </c>
      <c r="H14475" s="35">
        <v>30</v>
      </c>
      <c r="I14475" s="33" t="s">
        <v>51</v>
      </c>
      <c r="J14475" s="42">
        <v>44967</v>
      </c>
      <c r="K14475" s="33" t="s">
        <v>22</v>
      </c>
    </row>
    <row r="14476" spans="1:11">
      <c r="A14476" s="30" t="s">
        <v>32638</v>
      </c>
      <c r="B14476" s="30" t="s">
        <v>32639</v>
      </c>
      <c r="C14476" s="30" t="s">
        <v>1112</v>
      </c>
      <c r="D14476" s="30" t="s">
        <v>17</v>
      </c>
      <c r="E14476" s="30" t="s">
        <v>26</v>
      </c>
      <c r="F14476" s="30" t="s">
        <v>27</v>
      </c>
      <c r="G14476" s="30" t="s">
        <v>20</v>
      </c>
      <c r="H14476" s="32">
        <v>20</v>
      </c>
      <c r="I14476" s="30" t="s">
        <v>21</v>
      </c>
      <c r="J14476" s="41">
        <v>44959</v>
      </c>
      <c r="K14476" s="30" t="s">
        <v>22</v>
      </c>
    </row>
    <row r="14477" spans="1:11">
      <c r="A14477" s="33" t="s">
        <v>32640</v>
      </c>
      <c r="B14477" s="33" t="s">
        <v>32641</v>
      </c>
      <c r="C14477" s="33" t="s">
        <v>32642</v>
      </c>
      <c r="D14477" s="33" t="s">
        <v>17</v>
      </c>
      <c r="E14477" s="33" t="s">
        <v>26</v>
      </c>
      <c r="F14477" s="33" t="s">
        <v>27</v>
      </c>
      <c r="G14477" s="33" t="s">
        <v>20</v>
      </c>
      <c r="H14477" s="35">
        <v>94</v>
      </c>
      <c r="I14477" s="33" t="s">
        <v>21</v>
      </c>
      <c r="J14477" s="42">
        <v>44949</v>
      </c>
      <c r="K14477" s="33" t="s">
        <v>22</v>
      </c>
    </row>
    <row r="14478" spans="1:11">
      <c r="A14478" s="30" t="s">
        <v>32643</v>
      </c>
      <c r="B14478" s="30" t="s">
        <v>32644</v>
      </c>
      <c r="C14478" s="30" t="s">
        <v>32645</v>
      </c>
      <c r="D14478" s="30" t="s">
        <v>17</v>
      </c>
      <c r="E14478" s="30" t="s">
        <v>31</v>
      </c>
      <c r="F14478" s="30" t="s">
        <v>32</v>
      </c>
      <c r="G14478" s="30" t="s">
        <v>69</v>
      </c>
      <c r="H14478" s="32">
        <v>10</v>
      </c>
      <c r="I14478" s="30" t="s">
        <v>51</v>
      </c>
      <c r="J14478" s="41">
        <v>45013</v>
      </c>
      <c r="K14478" s="30" t="s">
        <v>22</v>
      </c>
    </row>
    <row r="14479" spans="1:11">
      <c r="A14479" s="33" t="s">
        <v>32646</v>
      </c>
      <c r="B14479" s="33" t="s">
        <v>32647</v>
      </c>
      <c r="C14479" s="33" t="s">
        <v>9895</v>
      </c>
      <c r="D14479" s="33" t="s">
        <v>17</v>
      </c>
      <c r="E14479" s="33" t="s">
        <v>31</v>
      </c>
      <c r="F14479" s="33" t="s">
        <v>32</v>
      </c>
      <c r="G14479" s="33" t="s">
        <v>106</v>
      </c>
      <c r="H14479" s="35">
        <v>4</v>
      </c>
      <c r="I14479" s="33" t="s">
        <v>21</v>
      </c>
      <c r="J14479" s="42">
        <v>44943</v>
      </c>
      <c r="K14479" s="33" t="s">
        <v>22</v>
      </c>
    </row>
    <row r="14480" spans="1:11">
      <c r="A14480" s="30" t="s">
        <v>32648</v>
      </c>
      <c r="B14480" s="30" t="s">
        <v>32649</v>
      </c>
      <c r="C14480" s="30" t="s">
        <v>11599</v>
      </c>
      <c r="D14480" s="30" t="s">
        <v>17</v>
      </c>
      <c r="E14480" s="30" t="s">
        <v>212</v>
      </c>
      <c r="F14480" s="30" t="s">
        <v>213</v>
      </c>
      <c r="G14480" s="30" t="s">
        <v>20</v>
      </c>
      <c r="H14480" s="32">
        <v>80</v>
      </c>
      <c r="I14480" s="30" t="s">
        <v>21</v>
      </c>
      <c r="J14480" s="41">
        <v>45065</v>
      </c>
      <c r="K14480" s="30" t="s">
        <v>22</v>
      </c>
    </row>
    <row r="14481" spans="1:11">
      <c r="A14481" s="33" t="s">
        <v>32650</v>
      </c>
      <c r="B14481" s="33" t="s">
        <v>32651</v>
      </c>
      <c r="C14481" s="33" t="s">
        <v>96</v>
      </c>
      <c r="D14481" s="33" t="s">
        <v>17</v>
      </c>
      <c r="E14481" s="33" t="s">
        <v>67</v>
      </c>
      <c r="F14481" s="33" t="s">
        <v>68</v>
      </c>
      <c r="G14481" s="33" t="s">
        <v>158</v>
      </c>
      <c r="H14481" s="35">
        <v>20</v>
      </c>
      <c r="I14481" s="33" t="s">
        <v>21</v>
      </c>
      <c r="J14481" s="42">
        <v>44986</v>
      </c>
      <c r="K14481" s="33" t="s">
        <v>22</v>
      </c>
    </row>
    <row r="14482" spans="1:11">
      <c r="A14482" s="30" t="s">
        <v>32652</v>
      </c>
      <c r="B14482" s="30" t="s">
        <v>32653</v>
      </c>
      <c r="C14482" s="30" t="s">
        <v>32654</v>
      </c>
      <c r="D14482" s="30" t="s">
        <v>17</v>
      </c>
      <c r="E14482" s="30" t="s">
        <v>26</v>
      </c>
      <c r="F14482" s="30" t="s">
        <v>27</v>
      </c>
      <c r="G14482" s="30" t="s">
        <v>7780</v>
      </c>
      <c r="H14482" s="32">
        <v>24</v>
      </c>
      <c r="I14482" s="30" t="s">
        <v>51</v>
      </c>
      <c r="J14482" s="41">
        <v>45261</v>
      </c>
      <c r="K14482" s="30" t="s">
        <v>22</v>
      </c>
    </row>
    <row r="14483" spans="1:11">
      <c r="A14483" s="33" t="s">
        <v>32655</v>
      </c>
      <c r="B14483" s="33" t="s">
        <v>32656</v>
      </c>
      <c r="C14483" s="33" t="s">
        <v>3514</v>
      </c>
      <c r="D14483" s="33" t="s">
        <v>17</v>
      </c>
      <c r="E14483" s="33" t="s">
        <v>26</v>
      </c>
      <c r="F14483" s="33" t="s">
        <v>27</v>
      </c>
      <c r="G14483" s="33" t="s">
        <v>20</v>
      </c>
      <c r="H14483" s="35">
        <v>33</v>
      </c>
      <c r="I14483" s="33" t="s">
        <v>21</v>
      </c>
      <c r="J14483" s="42">
        <v>45168</v>
      </c>
      <c r="K14483" s="33" t="s">
        <v>22</v>
      </c>
    </row>
    <row r="14484" spans="1:11">
      <c r="A14484" s="30" t="s">
        <v>32657</v>
      </c>
      <c r="B14484" s="30" t="s">
        <v>32658</v>
      </c>
      <c r="C14484" s="30" t="s">
        <v>130</v>
      </c>
      <c r="D14484" s="30" t="s">
        <v>17</v>
      </c>
      <c r="E14484" s="30" t="s">
        <v>31</v>
      </c>
      <c r="F14484" s="30" t="s">
        <v>32</v>
      </c>
      <c r="G14484" s="30" t="s">
        <v>20</v>
      </c>
      <c r="H14484" s="32">
        <v>136</v>
      </c>
      <c r="I14484" s="30" t="s">
        <v>21</v>
      </c>
      <c r="J14484" s="41">
        <v>45138</v>
      </c>
      <c r="K14484" s="30" t="s">
        <v>22</v>
      </c>
    </row>
    <row r="14485" spans="1:11">
      <c r="A14485" s="33" t="s">
        <v>32659</v>
      </c>
      <c r="B14485" s="33" t="s">
        <v>32660</v>
      </c>
      <c r="C14485" s="33" t="s">
        <v>44</v>
      </c>
      <c r="D14485" s="33" t="s">
        <v>17</v>
      </c>
      <c r="E14485" s="33" t="s">
        <v>67</v>
      </c>
      <c r="F14485" s="33" t="s">
        <v>68</v>
      </c>
      <c r="G14485" s="33" t="s">
        <v>140</v>
      </c>
      <c r="H14485" s="35">
        <v>36</v>
      </c>
      <c r="I14485" s="33" t="s">
        <v>51</v>
      </c>
      <c r="J14485" s="42">
        <v>45104</v>
      </c>
      <c r="K14485" s="33" t="s">
        <v>22</v>
      </c>
    </row>
    <row r="14486" spans="1:11">
      <c r="A14486" s="30" t="s">
        <v>32661</v>
      </c>
      <c r="B14486" s="30" t="s">
        <v>32662</v>
      </c>
      <c r="C14486" s="30" t="s">
        <v>96</v>
      </c>
      <c r="D14486" s="30" t="s">
        <v>17</v>
      </c>
      <c r="E14486" s="30" t="s">
        <v>26</v>
      </c>
      <c r="F14486" s="30" t="s">
        <v>27</v>
      </c>
      <c r="G14486" s="30" t="s">
        <v>20</v>
      </c>
      <c r="H14486" s="32">
        <v>13</v>
      </c>
      <c r="I14486" s="30" t="s">
        <v>21</v>
      </c>
      <c r="J14486" s="41">
        <v>45222</v>
      </c>
      <c r="K14486" s="30" t="s">
        <v>22</v>
      </c>
    </row>
    <row r="14487" spans="1:11">
      <c r="A14487" s="33" t="s">
        <v>32663</v>
      </c>
      <c r="B14487" s="33" t="s">
        <v>32664</v>
      </c>
      <c r="C14487" s="33" t="s">
        <v>96</v>
      </c>
      <c r="D14487" s="33" t="s">
        <v>17</v>
      </c>
      <c r="E14487" s="33" t="s">
        <v>26</v>
      </c>
      <c r="F14487" s="33" t="s">
        <v>27</v>
      </c>
      <c r="G14487" s="33" t="s">
        <v>20</v>
      </c>
      <c r="H14487" s="35">
        <v>18</v>
      </c>
      <c r="I14487" s="33" t="s">
        <v>21</v>
      </c>
      <c r="J14487" s="42">
        <v>44944</v>
      </c>
      <c r="K14487" s="33" t="s">
        <v>22</v>
      </c>
    </row>
    <row r="14488" spans="1:11">
      <c r="A14488" s="30" t="s">
        <v>32665</v>
      </c>
      <c r="B14488" s="30" t="s">
        <v>32666</v>
      </c>
      <c r="C14488" s="30" t="s">
        <v>231</v>
      </c>
      <c r="D14488" s="30" t="s">
        <v>17</v>
      </c>
      <c r="E14488" s="30" t="s">
        <v>45</v>
      </c>
      <c r="F14488" s="30" t="s">
        <v>46</v>
      </c>
      <c r="G14488" s="30" t="s">
        <v>106</v>
      </c>
      <c r="H14488" s="32">
        <v>43</v>
      </c>
      <c r="I14488" s="30" t="s">
        <v>21</v>
      </c>
      <c r="J14488" s="41">
        <v>45089</v>
      </c>
      <c r="K14488" s="30" t="s">
        <v>22</v>
      </c>
    </row>
    <row r="14489" spans="1:11">
      <c r="A14489" s="33" t="s">
        <v>32667</v>
      </c>
      <c r="B14489" s="33" t="s">
        <v>32668</v>
      </c>
      <c r="C14489" s="33" t="s">
        <v>15335</v>
      </c>
      <c r="D14489" s="33" t="s">
        <v>17</v>
      </c>
      <c r="E14489" s="33" t="s">
        <v>18</v>
      </c>
      <c r="F14489" s="33" t="s">
        <v>19</v>
      </c>
      <c r="G14489" s="33" t="s">
        <v>20</v>
      </c>
      <c r="H14489" s="35">
        <v>790</v>
      </c>
      <c r="I14489" s="33" t="s">
        <v>21</v>
      </c>
      <c r="J14489" s="42">
        <v>45177</v>
      </c>
      <c r="K14489" s="33" t="s">
        <v>22</v>
      </c>
    </row>
    <row r="14490" spans="1:11">
      <c r="A14490" s="30" t="s">
        <v>32669</v>
      </c>
      <c r="B14490" s="30" t="s">
        <v>32670</v>
      </c>
      <c r="C14490" s="30" t="s">
        <v>99</v>
      </c>
      <c r="D14490" s="30" t="s">
        <v>17</v>
      </c>
      <c r="E14490" s="30" t="s">
        <v>31</v>
      </c>
      <c r="F14490" s="30" t="s">
        <v>32</v>
      </c>
      <c r="G14490" s="30" t="s">
        <v>20</v>
      </c>
      <c r="H14490" s="32">
        <v>214</v>
      </c>
      <c r="I14490" s="30" t="s">
        <v>21</v>
      </c>
      <c r="J14490" s="41">
        <v>45079</v>
      </c>
      <c r="K14490" s="30" t="s">
        <v>22</v>
      </c>
    </row>
    <row r="14491" spans="1:11">
      <c r="A14491" s="33" t="s">
        <v>32671</v>
      </c>
      <c r="B14491" s="33" t="s">
        <v>32672</v>
      </c>
      <c r="C14491" s="33" t="s">
        <v>17999</v>
      </c>
      <c r="D14491" s="33" t="s">
        <v>17</v>
      </c>
      <c r="E14491" s="33" t="s">
        <v>31</v>
      </c>
      <c r="F14491" s="33" t="s">
        <v>32</v>
      </c>
      <c r="G14491" s="33" t="s">
        <v>140</v>
      </c>
      <c r="H14491" s="35">
        <v>24</v>
      </c>
      <c r="I14491" s="33" t="s">
        <v>51</v>
      </c>
      <c r="J14491" s="42">
        <v>45111</v>
      </c>
      <c r="K14491" s="33" t="s">
        <v>22</v>
      </c>
    </row>
    <row r="14492" spans="1:11">
      <c r="A14492" s="30" t="s">
        <v>32673</v>
      </c>
      <c r="B14492" s="30" t="s">
        <v>32674</v>
      </c>
      <c r="C14492" s="30" t="s">
        <v>32675</v>
      </c>
      <c r="D14492" s="30" t="s">
        <v>17</v>
      </c>
      <c r="E14492" s="30" t="s">
        <v>67</v>
      </c>
      <c r="F14492" s="30" t="s">
        <v>68</v>
      </c>
      <c r="G14492" s="30" t="s">
        <v>50</v>
      </c>
      <c r="H14492" s="32">
        <v>30</v>
      </c>
      <c r="I14492" s="30" t="s">
        <v>51</v>
      </c>
      <c r="J14492" s="41">
        <v>45078</v>
      </c>
      <c r="K14492" s="30" t="s">
        <v>22</v>
      </c>
    </row>
    <row r="14493" spans="1:11">
      <c r="A14493" s="33" t="s">
        <v>32676</v>
      </c>
      <c r="B14493" s="33" t="s">
        <v>32677</v>
      </c>
      <c r="C14493" s="33" t="s">
        <v>203</v>
      </c>
      <c r="D14493" s="33" t="s">
        <v>17</v>
      </c>
      <c r="E14493" s="33" t="s">
        <v>26</v>
      </c>
      <c r="F14493" s="33" t="s">
        <v>27</v>
      </c>
      <c r="G14493" s="33" t="s">
        <v>20</v>
      </c>
      <c r="H14493" s="35">
        <v>26</v>
      </c>
      <c r="I14493" s="33" t="s">
        <v>21</v>
      </c>
      <c r="J14493" s="42">
        <v>44944</v>
      </c>
      <c r="K14493" s="33" t="s">
        <v>22</v>
      </c>
    </row>
    <row r="14494" spans="1:11">
      <c r="A14494" s="30" t="s">
        <v>32678</v>
      </c>
      <c r="B14494" s="30" t="s">
        <v>32679</v>
      </c>
      <c r="C14494" s="30" t="s">
        <v>3299</v>
      </c>
      <c r="D14494" s="30" t="s">
        <v>17</v>
      </c>
      <c r="E14494" s="30" t="s">
        <v>18</v>
      </c>
      <c r="F14494" s="30" t="s">
        <v>19</v>
      </c>
      <c r="G14494" s="30" t="s">
        <v>20</v>
      </c>
      <c r="H14494" s="32">
        <v>8000</v>
      </c>
      <c r="I14494" s="30" t="s">
        <v>21</v>
      </c>
      <c r="J14494" s="41">
        <v>45107</v>
      </c>
      <c r="K14494" s="30" t="s">
        <v>22</v>
      </c>
    </row>
    <row r="14495" spans="1:11">
      <c r="A14495" s="33" t="s">
        <v>32680</v>
      </c>
      <c r="B14495" s="33" t="s">
        <v>32681</v>
      </c>
      <c r="C14495" s="33" t="s">
        <v>21009</v>
      </c>
      <c r="D14495" s="33" t="s">
        <v>17</v>
      </c>
      <c r="E14495" s="33" t="s">
        <v>26</v>
      </c>
      <c r="F14495" s="33" t="s">
        <v>27</v>
      </c>
      <c r="G14495" s="33" t="s">
        <v>20</v>
      </c>
      <c r="H14495" s="35">
        <v>12</v>
      </c>
      <c r="I14495" s="33" t="s">
        <v>21</v>
      </c>
      <c r="J14495" s="42">
        <v>45124</v>
      </c>
      <c r="K14495" s="33" t="s">
        <v>22</v>
      </c>
    </row>
    <row r="14496" spans="1:11">
      <c r="A14496" s="30" t="s">
        <v>32682</v>
      </c>
      <c r="B14496" s="30" t="s">
        <v>32683</v>
      </c>
      <c r="C14496" s="30" t="s">
        <v>23637</v>
      </c>
      <c r="D14496" s="30" t="s">
        <v>17</v>
      </c>
      <c r="E14496" s="30" t="s">
        <v>31</v>
      </c>
      <c r="F14496" s="30" t="s">
        <v>32</v>
      </c>
      <c r="G14496" s="30" t="s">
        <v>112</v>
      </c>
      <c r="H14496" s="32">
        <v>0</v>
      </c>
      <c r="I14496" s="30" t="s">
        <v>21</v>
      </c>
      <c r="J14496" s="41">
        <v>44941</v>
      </c>
      <c r="K14496" s="30" t="s">
        <v>22</v>
      </c>
    </row>
    <row r="14497" spans="1:11">
      <c r="A14497" s="33" t="s">
        <v>32684</v>
      </c>
      <c r="B14497" s="33" t="s">
        <v>32685</v>
      </c>
      <c r="C14497" s="33" t="s">
        <v>149</v>
      </c>
      <c r="D14497" s="33" t="s">
        <v>17</v>
      </c>
      <c r="E14497" s="33" t="s">
        <v>26</v>
      </c>
      <c r="F14497" s="33" t="s">
        <v>27</v>
      </c>
      <c r="G14497" s="33" t="s">
        <v>158</v>
      </c>
      <c r="H14497" s="35">
        <v>56</v>
      </c>
      <c r="I14497" s="33" t="s">
        <v>21</v>
      </c>
      <c r="J14497" s="42">
        <v>45008</v>
      </c>
      <c r="K14497" s="33" t="s">
        <v>22</v>
      </c>
    </row>
    <row r="14498" spans="1:11">
      <c r="A14498" s="30" t="s">
        <v>32686</v>
      </c>
      <c r="B14498" s="30" t="s">
        <v>32687</v>
      </c>
      <c r="C14498" s="30" t="s">
        <v>318</v>
      </c>
      <c r="D14498" s="30" t="s">
        <v>17</v>
      </c>
      <c r="E14498" s="30" t="s">
        <v>31</v>
      </c>
      <c r="F14498" s="30" t="s">
        <v>32</v>
      </c>
      <c r="G14498" s="30" t="s">
        <v>112</v>
      </c>
      <c r="H14498" s="32">
        <v>0</v>
      </c>
      <c r="I14498" s="30" t="s">
        <v>21</v>
      </c>
      <c r="J14498" s="41">
        <v>45169</v>
      </c>
      <c r="K14498" s="30" t="s">
        <v>22</v>
      </c>
    </row>
    <row r="14499" spans="1:11">
      <c r="A14499" s="33" t="s">
        <v>32688</v>
      </c>
      <c r="B14499" s="33" t="s">
        <v>32689</v>
      </c>
      <c r="C14499" s="33" t="s">
        <v>32690</v>
      </c>
      <c r="D14499" s="33" t="s">
        <v>17</v>
      </c>
      <c r="E14499" s="33" t="s">
        <v>26</v>
      </c>
      <c r="F14499" s="33" t="s">
        <v>27</v>
      </c>
      <c r="G14499" s="33" t="s">
        <v>20</v>
      </c>
      <c r="H14499" s="35">
        <v>45</v>
      </c>
      <c r="I14499" s="33" t="s">
        <v>21</v>
      </c>
      <c r="J14499" s="42">
        <v>45057</v>
      </c>
      <c r="K14499" s="33" t="s">
        <v>22</v>
      </c>
    </row>
    <row r="14500" spans="1:11">
      <c r="A14500" s="30" t="s">
        <v>32691</v>
      </c>
      <c r="B14500" s="30" t="s">
        <v>32692</v>
      </c>
      <c r="C14500" s="30" t="s">
        <v>6463</v>
      </c>
      <c r="D14500" s="30" t="s">
        <v>17</v>
      </c>
      <c r="E14500" s="30" t="s">
        <v>18</v>
      </c>
      <c r="F14500" s="30" t="s">
        <v>19</v>
      </c>
      <c r="G14500" s="30" t="s">
        <v>50</v>
      </c>
      <c r="H14500" s="32">
        <v>270</v>
      </c>
      <c r="I14500" s="30" t="s">
        <v>51</v>
      </c>
      <c r="J14500" s="41">
        <v>44927</v>
      </c>
      <c r="K14500" s="30" t="s">
        <v>22</v>
      </c>
    </row>
    <row r="14501" spans="1:11">
      <c r="A14501" s="33" t="s">
        <v>32693</v>
      </c>
      <c r="B14501" s="33" t="s">
        <v>32694</v>
      </c>
      <c r="C14501" s="33" t="s">
        <v>16107</v>
      </c>
      <c r="D14501" s="33" t="s">
        <v>17</v>
      </c>
      <c r="E14501" s="33" t="s">
        <v>18</v>
      </c>
      <c r="F14501" s="33" t="s">
        <v>19</v>
      </c>
      <c r="G14501" s="33" t="s">
        <v>158</v>
      </c>
      <c r="H14501" s="35">
        <v>495</v>
      </c>
      <c r="I14501" s="33" t="s">
        <v>21</v>
      </c>
      <c r="J14501" s="42">
        <v>45021</v>
      </c>
      <c r="K14501" s="33" t="s">
        <v>22</v>
      </c>
    </row>
    <row r="14502" spans="1:11">
      <c r="A14502" s="30" t="s">
        <v>32695</v>
      </c>
      <c r="B14502" s="30" t="s">
        <v>32696</v>
      </c>
      <c r="C14502" s="30" t="s">
        <v>1165</v>
      </c>
      <c r="D14502" s="30" t="s">
        <v>17</v>
      </c>
      <c r="E14502" s="30" t="s">
        <v>26</v>
      </c>
      <c r="F14502" s="30" t="s">
        <v>27</v>
      </c>
      <c r="G14502" s="30" t="s">
        <v>20</v>
      </c>
      <c r="H14502" s="32">
        <v>120</v>
      </c>
      <c r="I14502" s="30" t="s">
        <v>21</v>
      </c>
      <c r="J14502" s="41">
        <v>44998</v>
      </c>
      <c r="K14502" s="30" t="s">
        <v>22</v>
      </c>
    </row>
    <row r="14503" spans="1:11">
      <c r="A14503" s="33" t="s">
        <v>32697</v>
      </c>
      <c r="B14503" s="33" t="s">
        <v>32698</v>
      </c>
      <c r="C14503" s="33" t="s">
        <v>32699</v>
      </c>
      <c r="D14503" s="33" t="s">
        <v>17</v>
      </c>
      <c r="E14503" s="33" t="s">
        <v>31</v>
      </c>
      <c r="F14503" s="33" t="s">
        <v>32</v>
      </c>
      <c r="G14503" s="33" t="s">
        <v>20</v>
      </c>
      <c r="H14503" s="35">
        <v>135</v>
      </c>
      <c r="I14503" s="33" t="s">
        <v>21</v>
      </c>
      <c r="J14503" s="42">
        <v>44977</v>
      </c>
      <c r="K14503" s="33" t="s">
        <v>22</v>
      </c>
    </row>
    <row r="14504" spans="1:11">
      <c r="A14504" s="30" t="s">
        <v>32700</v>
      </c>
      <c r="B14504" s="30" t="s">
        <v>32701</v>
      </c>
      <c r="C14504" s="30" t="s">
        <v>157</v>
      </c>
      <c r="D14504" s="30" t="s">
        <v>17</v>
      </c>
      <c r="E14504" s="30" t="s">
        <v>18</v>
      </c>
      <c r="F14504" s="30" t="s">
        <v>19</v>
      </c>
      <c r="G14504" s="30" t="s">
        <v>20</v>
      </c>
      <c r="H14504" s="32">
        <v>1108</v>
      </c>
      <c r="I14504" s="30" t="s">
        <v>21</v>
      </c>
      <c r="J14504" s="41">
        <v>45236</v>
      </c>
      <c r="K14504" s="30" t="s">
        <v>22</v>
      </c>
    </row>
    <row r="14505" spans="1:11">
      <c r="A14505" s="33" t="s">
        <v>32702</v>
      </c>
      <c r="B14505" s="33" t="s">
        <v>32703</v>
      </c>
      <c r="C14505" s="33" t="s">
        <v>19406</v>
      </c>
      <c r="D14505" s="33" t="s">
        <v>17</v>
      </c>
      <c r="E14505" s="33" t="s">
        <v>18</v>
      </c>
      <c r="F14505" s="33" t="s">
        <v>19</v>
      </c>
      <c r="G14505" s="33" t="s">
        <v>140</v>
      </c>
      <c r="H14505" s="35">
        <v>800</v>
      </c>
      <c r="I14505" s="33" t="s">
        <v>51</v>
      </c>
      <c r="J14505" s="42">
        <v>45090</v>
      </c>
      <c r="K14505" s="33" t="s">
        <v>22</v>
      </c>
    </row>
    <row r="14506" spans="1:11">
      <c r="A14506" s="30" t="s">
        <v>32704</v>
      </c>
      <c r="B14506" s="30" t="s">
        <v>32705</v>
      </c>
      <c r="C14506" s="30" t="s">
        <v>17636</v>
      </c>
      <c r="D14506" s="30" t="s">
        <v>17</v>
      </c>
      <c r="E14506" s="30" t="s">
        <v>26</v>
      </c>
      <c r="F14506" s="30" t="s">
        <v>27</v>
      </c>
      <c r="G14506" s="30" t="s">
        <v>20</v>
      </c>
      <c r="H14506" s="32">
        <v>72</v>
      </c>
      <c r="I14506" s="30" t="s">
        <v>21</v>
      </c>
      <c r="J14506" s="41">
        <v>44999</v>
      </c>
      <c r="K14506" s="30" t="s">
        <v>22</v>
      </c>
    </row>
    <row r="14507" spans="1:11">
      <c r="A14507" s="33" t="s">
        <v>32706</v>
      </c>
      <c r="B14507" s="33" t="s">
        <v>32707</v>
      </c>
      <c r="C14507" s="33" t="s">
        <v>2562</v>
      </c>
      <c r="D14507" s="33" t="s">
        <v>17</v>
      </c>
      <c r="E14507" s="33" t="s">
        <v>26</v>
      </c>
      <c r="F14507" s="33" t="s">
        <v>27</v>
      </c>
      <c r="G14507" s="33" t="s">
        <v>20</v>
      </c>
      <c r="H14507" s="35">
        <v>46</v>
      </c>
      <c r="I14507" s="33" t="s">
        <v>21</v>
      </c>
      <c r="J14507" s="42">
        <v>45006</v>
      </c>
      <c r="K14507" s="33" t="s">
        <v>22</v>
      </c>
    </row>
    <row r="14508" spans="1:11">
      <c r="A14508" s="30" t="s">
        <v>32708</v>
      </c>
      <c r="B14508" s="30" t="s">
        <v>32709</v>
      </c>
      <c r="C14508" s="30" t="s">
        <v>16295</v>
      </c>
      <c r="D14508" s="30" t="s">
        <v>17</v>
      </c>
      <c r="E14508" s="30" t="s">
        <v>31</v>
      </c>
      <c r="F14508" s="30" t="s">
        <v>32</v>
      </c>
      <c r="G14508" s="30" t="s">
        <v>106</v>
      </c>
      <c r="H14508" s="32">
        <v>103</v>
      </c>
      <c r="I14508" s="30" t="s">
        <v>21</v>
      </c>
      <c r="J14508" s="41">
        <v>44934</v>
      </c>
      <c r="K14508" s="30" t="s">
        <v>22</v>
      </c>
    </row>
    <row r="14509" spans="1:11">
      <c r="A14509" s="33" t="s">
        <v>32710</v>
      </c>
      <c r="B14509" s="33" t="s">
        <v>32711</v>
      </c>
      <c r="C14509" s="33" t="s">
        <v>3384</v>
      </c>
      <c r="D14509" s="33" t="s">
        <v>17</v>
      </c>
      <c r="E14509" s="33" t="s">
        <v>45</v>
      </c>
      <c r="F14509" s="33" t="s">
        <v>46</v>
      </c>
      <c r="G14509" s="33" t="s">
        <v>140</v>
      </c>
      <c r="H14509" s="35">
        <v>74</v>
      </c>
      <c r="I14509" s="33" t="s">
        <v>51</v>
      </c>
      <c r="J14509" s="42">
        <v>45280</v>
      </c>
      <c r="K14509" s="33" t="s">
        <v>22</v>
      </c>
    </row>
    <row r="14510" spans="1:11">
      <c r="A14510" s="30" t="s">
        <v>32712</v>
      </c>
      <c r="B14510" s="30" t="s">
        <v>32713</v>
      </c>
      <c r="C14510" s="30" t="s">
        <v>14226</v>
      </c>
      <c r="D14510" s="30" t="s">
        <v>17</v>
      </c>
      <c r="E14510" s="30" t="s">
        <v>31</v>
      </c>
      <c r="F14510" s="30" t="s">
        <v>32</v>
      </c>
      <c r="G14510" s="30" t="s">
        <v>158</v>
      </c>
      <c r="H14510" s="32">
        <v>132</v>
      </c>
      <c r="I14510" s="30" t="s">
        <v>51</v>
      </c>
      <c r="J14510" s="41">
        <v>45264</v>
      </c>
      <c r="K14510" s="30" t="s">
        <v>22</v>
      </c>
    </row>
    <row r="14511" spans="1:11">
      <c r="A14511" s="33" t="s">
        <v>32714</v>
      </c>
      <c r="B14511" s="33" t="s">
        <v>32715</v>
      </c>
      <c r="C14511" s="33" t="s">
        <v>14483</v>
      </c>
      <c r="D14511" s="33" t="s">
        <v>17</v>
      </c>
      <c r="E14511" s="33" t="s">
        <v>26</v>
      </c>
      <c r="F14511" s="33" t="s">
        <v>27</v>
      </c>
      <c r="G14511" s="33" t="s">
        <v>20</v>
      </c>
      <c r="H14511" s="35">
        <v>60</v>
      </c>
      <c r="I14511" s="33" t="s">
        <v>21</v>
      </c>
      <c r="J14511" s="42">
        <v>45230</v>
      </c>
      <c r="K14511" s="33" t="s">
        <v>22</v>
      </c>
    </row>
    <row r="14512" spans="1:11">
      <c r="A14512" s="30" t="s">
        <v>32716</v>
      </c>
      <c r="B14512" s="30" t="s">
        <v>32717</v>
      </c>
      <c r="C14512" s="30" t="s">
        <v>1956</v>
      </c>
      <c r="D14512" s="30" t="s">
        <v>17</v>
      </c>
      <c r="E14512" s="30" t="s">
        <v>18</v>
      </c>
      <c r="F14512" s="30" t="s">
        <v>19</v>
      </c>
      <c r="G14512" s="30" t="s">
        <v>140</v>
      </c>
      <c r="H14512" s="32">
        <v>174</v>
      </c>
      <c r="I14512" s="30" t="s">
        <v>51</v>
      </c>
      <c r="J14512" s="41">
        <v>45153</v>
      </c>
      <c r="K14512" s="30" t="s">
        <v>22</v>
      </c>
    </row>
    <row r="14513" spans="1:11">
      <c r="A14513" s="33" t="s">
        <v>32718</v>
      </c>
      <c r="B14513" s="33" t="s">
        <v>32719</v>
      </c>
      <c r="C14513" s="33" t="s">
        <v>7067</v>
      </c>
      <c r="D14513" s="33" t="s">
        <v>17</v>
      </c>
      <c r="E14513" s="33" t="s">
        <v>26</v>
      </c>
      <c r="F14513" s="33" t="s">
        <v>27</v>
      </c>
      <c r="G14513" s="33" t="s">
        <v>140</v>
      </c>
      <c r="H14513" s="35">
        <v>30</v>
      </c>
      <c r="I14513" s="33" t="s">
        <v>51</v>
      </c>
      <c r="J14513" s="42">
        <v>45230</v>
      </c>
      <c r="K14513" s="33" t="s">
        <v>22</v>
      </c>
    </row>
    <row r="14514" spans="1:11">
      <c r="A14514" s="30" t="s">
        <v>32720</v>
      </c>
      <c r="B14514" s="30" t="s">
        <v>32721</v>
      </c>
      <c r="C14514" s="30" t="s">
        <v>10199</v>
      </c>
      <c r="D14514" s="30" t="s">
        <v>17</v>
      </c>
      <c r="E14514" s="30" t="s">
        <v>18</v>
      </c>
      <c r="F14514" s="30" t="s">
        <v>19</v>
      </c>
      <c r="G14514" s="30" t="s">
        <v>50</v>
      </c>
      <c r="H14514" s="32">
        <v>314</v>
      </c>
      <c r="I14514" s="30" t="s">
        <v>51</v>
      </c>
      <c r="J14514" s="41">
        <v>45013</v>
      </c>
      <c r="K14514" s="30" t="s">
        <v>22</v>
      </c>
    </row>
    <row r="14515" spans="1:11">
      <c r="A14515" s="33" t="s">
        <v>32722</v>
      </c>
      <c r="B14515" s="33" t="s">
        <v>32723</v>
      </c>
      <c r="C14515" s="33" t="s">
        <v>22597</v>
      </c>
      <c r="D14515" s="33" t="s">
        <v>17</v>
      </c>
      <c r="E14515" s="33" t="s">
        <v>31</v>
      </c>
      <c r="F14515" s="33" t="s">
        <v>32</v>
      </c>
      <c r="G14515" s="33" t="s">
        <v>158</v>
      </c>
      <c r="H14515" s="35">
        <v>165</v>
      </c>
      <c r="I14515" s="33" t="s">
        <v>21</v>
      </c>
      <c r="J14515" s="42">
        <v>44943</v>
      </c>
      <c r="K14515" s="33" t="s">
        <v>22</v>
      </c>
    </row>
    <row r="14516" spans="1:11">
      <c r="A14516" s="30" t="s">
        <v>32724</v>
      </c>
      <c r="B14516" s="30" t="s">
        <v>32725</v>
      </c>
      <c r="C14516" s="30" t="s">
        <v>190</v>
      </c>
      <c r="D14516" s="30" t="s">
        <v>17</v>
      </c>
      <c r="E14516" s="30" t="s">
        <v>26</v>
      </c>
      <c r="F14516" s="30" t="s">
        <v>27</v>
      </c>
      <c r="G14516" s="30" t="s">
        <v>20</v>
      </c>
      <c r="H14516" s="32">
        <v>98</v>
      </c>
      <c r="I14516" s="30" t="s">
        <v>21</v>
      </c>
      <c r="J14516" s="41">
        <v>45065</v>
      </c>
      <c r="K14516" s="30" t="s">
        <v>22</v>
      </c>
    </row>
    <row r="14517" spans="1:11">
      <c r="A14517" s="33" t="s">
        <v>32726</v>
      </c>
      <c r="B14517" s="33" t="s">
        <v>32727</v>
      </c>
      <c r="C14517" s="33" t="s">
        <v>187</v>
      </c>
      <c r="D14517" s="33" t="s">
        <v>17</v>
      </c>
      <c r="E14517" s="33" t="s">
        <v>18</v>
      </c>
      <c r="F14517" s="33" t="s">
        <v>19</v>
      </c>
      <c r="G14517" s="33" t="s">
        <v>158</v>
      </c>
      <c r="H14517" s="35">
        <v>165</v>
      </c>
      <c r="I14517" s="33" t="s">
        <v>51</v>
      </c>
      <c r="J14517" s="42">
        <v>45190</v>
      </c>
      <c r="K14517" s="33" t="s">
        <v>22</v>
      </c>
    </row>
    <row r="14518" spans="1:11">
      <c r="A14518" s="30" t="s">
        <v>32728</v>
      </c>
      <c r="B14518" s="30" t="s">
        <v>32729</v>
      </c>
      <c r="C14518" s="30" t="s">
        <v>109</v>
      </c>
      <c r="D14518" s="30" t="s">
        <v>17</v>
      </c>
      <c r="E14518" s="30" t="s">
        <v>18</v>
      </c>
      <c r="F14518" s="30" t="s">
        <v>19</v>
      </c>
      <c r="G14518" s="30" t="s">
        <v>158</v>
      </c>
      <c r="H14518" s="32">
        <v>362</v>
      </c>
      <c r="I14518" s="30" t="s">
        <v>21</v>
      </c>
      <c r="J14518" s="41">
        <v>45267</v>
      </c>
      <c r="K14518" s="30" t="s">
        <v>22</v>
      </c>
    </row>
    <row r="14519" spans="1:11">
      <c r="A14519" s="33" t="s">
        <v>32730</v>
      </c>
      <c r="B14519" s="33" t="s">
        <v>32731</v>
      </c>
      <c r="C14519" s="33" t="s">
        <v>157</v>
      </c>
      <c r="D14519" s="33" t="s">
        <v>17</v>
      </c>
      <c r="E14519" s="33" t="s">
        <v>45</v>
      </c>
      <c r="F14519" s="33" t="s">
        <v>46</v>
      </c>
      <c r="G14519" s="33" t="s">
        <v>20</v>
      </c>
      <c r="H14519" s="35">
        <v>65</v>
      </c>
      <c r="I14519" s="33" t="s">
        <v>21</v>
      </c>
      <c r="J14519" s="42">
        <v>45223</v>
      </c>
      <c r="K14519" s="33" t="s">
        <v>22</v>
      </c>
    </row>
    <row r="14520" spans="1:11">
      <c r="A14520" s="30" t="s">
        <v>32732</v>
      </c>
      <c r="B14520" s="30" t="s">
        <v>32733</v>
      </c>
      <c r="C14520" s="30" t="s">
        <v>178</v>
      </c>
      <c r="D14520" s="30" t="s">
        <v>17</v>
      </c>
      <c r="E14520" s="30" t="s">
        <v>31</v>
      </c>
      <c r="F14520" s="30" t="s">
        <v>32</v>
      </c>
      <c r="G14520" s="30" t="s">
        <v>158</v>
      </c>
      <c r="H14520" s="32">
        <v>199</v>
      </c>
      <c r="I14520" s="30" t="s">
        <v>21</v>
      </c>
      <c r="J14520" s="41">
        <v>45037</v>
      </c>
      <c r="K14520" s="30" t="s">
        <v>22</v>
      </c>
    </row>
    <row r="14521" spans="1:11">
      <c r="A14521" s="33" t="s">
        <v>32734</v>
      </c>
      <c r="B14521" s="33" t="s">
        <v>32735</v>
      </c>
      <c r="C14521" s="33" t="s">
        <v>32736</v>
      </c>
      <c r="D14521" s="33" t="s">
        <v>17</v>
      </c>
      <c r="E14521" s="33" t="s">
        <v>31</v>
      </c>
      <c r="F14521" s="33" t="s">
        <v>32</v>
      </c>
      <c r="G14521" s="33" t="s">
        <v>20</v>
      </c>
      <c r="H14521" s="35">
        <v>7</v>
      </c>
      <c r="I14521" s="33" t="s">
        <v>21</v>
      </c>
      <c r="J14521" s="42">
        <v>45003</v>
      </c>
      <c r="K14521" s="33" t="s">
        <v>22</v>
      </c>
    </row>
    <row r="14522" spans="1:11">
      <c r="A14522" s="30" t="s">
        <v>32737</v>
      </c>
      <c r="B14522" s="30" t="s">
        <v>32738</v>
      </c>
      <c r="C14522" s="30" t="s">
        <v>23866</v>
      </c>
      <c r="D14522" s="30" t="s">
        <v>17</v>
      </c>
      <c r="E14522" s="30" t="s">
        <v>31</v>
      </c>
      <c r="F14522" s="30" t="s">
        <v>32</v>
      </c>
      <c r="G14522" s="30" t="s">
        <v>50</v>
      </c>
      <c r="H14522" s="32">
        <v>62</v>
      </c>
      <c r="I14522" s="30" t="s">
        <v>21</v>
      </c>
      <c r="J14522" s="41">
        <v>44957</v>
      </c>
      <c r="K14522" s="30" t="s">
        <v>22</v>
      </c>
    </row>
    <row r="14523" spans="1:11">
      <c r="A14523" s="33" t="s">
        <v>32739</v>
      </c>
      <c r="B14523" s="33" t="s">
        <v>32740</v>
      </c>
      <c r="C14523" s="33" t="s">
        <v>647</v>
      </c>
      <c r="D14523" s="33" t="s">
        <v>17</v>
      </c>
      <c r="E14523" s="33" t="s">
        <v>26</v>
      </c>
      <c r="F14523" s="33" t="s">
        <v>27</v>
      </c>
      <c r="G14523" s="33" t="s">
        <v>20</v>
      </c>
      <c r="H14523" s="35">
        <v>56</v>
      </c>
      <c r="I14523" s="33" t="s">
        <v>21</v>
      </c>
      <c r="J14523" s="42">
        <v>45189</v>
      </c>
      <c r="K14523" s="33" t="s">
        <v>22</v>
      </c>
    </row>
    <row r="14524" spans="1:11">
      <c r="A14524" s="30" t="s">
        <v>32741</v>
      </c>
      <c r="B14524" s="30" t="s">
        <v>32742</v>
      </c>
      <c r="C14524" s="30" t="s">
        <v>3462</v>
      </c>
      <c r="D14524" s="30" t="s">
        <v>17</v>
      </c>
      <c r="E14524" s="30" t="s">
        <v>18</v>
      </c>
      <c r="F14524" s="30" t="s">
        <v>19</v>
      </c>
      <c r="G14524" s="30" t="s">
        <v>140</v>
      </c>
      <c r="H14524" s="32">
        <v>165</v>
      </c>
      <c r="I14524" s="30" t="s">
        <v>51</v>
      </c>
      <c r="J14524" s="41">
        <v>45232</v>
      </c>
      <c r="K14524" s="30" t="s">
        <v>22</v>
      </c>
    </row>
    <row r="14525" spans="1:11">
      <c r="A14525" s="33" t="s">
        <v>32743</v>
      </c>
      <c r="B14525" s="33" t="s">
        <v>32744</v>
      </c>
      <c r="C14525" s="33" t="s">
        <v>4863</v>
      </c>
      <c r="D14525" s="33" t="s">
        <v>17</v>
      </c>
      <c r="E14525" s="33" t="s">
        <v>18</v>
      </c>
      <c r="F14525" s="33" t="s">
        <v>19</v>
      </c>
      <c r="G14525" s="33" t="s">
        <v>50</v>
      </c>
      <c r="H14525" s="35">
        <v>74</v>
      </c>
      <c r="I14525" s="33" t="s">
        <v>51</v>
      </c>
      <c r="J14525" s="42">
        <v>45163</v>
      </c>
      <c r="K14525" s="33" t="s">
        <v>22</v>
      </c>
    </row>
    <row r="14526" spans="1:11">
      <c r="A14526" s="30" t="s">
        <v>32745</v>
      </c>
      <c r="B14526" s="30" t="s">
        <v>32746</v>
      </c>
      <c r="C14526" s="30" t="s">
        <v>3757</v>
      </c>
      <c r="D14526" s="30" t="s">
        <v>17</v>
      </c>
      <c r="E14526" s="30" t="s">
        <v>18</v>
      </c>
      <c r="F14526" s="30" t="s">
        <v>19</v>
      </c>
      <c r="G14526" s="30" t="s">
        <v>20</v>
      </c>
      <c r="H14526" s="32">
        <v>472</v>
      </c>
      <c r="I14526" s="30" t="s">
        <v>21</v>
      </c>
      <c r="J14526" s="41">
        <v>45237</v>
      </c>
      <c r="K14526" s="30" t="s">
        <v>22</v>
      </c>
    </row>
    <row r="14527" spans="1:11">
      <c r="A14527" s="33" t="s">
        <v>32747</v>
      </c>
      <c r="B14527" s="33" t="s">
        <v>32748</v>
      </c>
      <c r="C14527" s="33" t="s">
        <v>1045</v>
      </c>
      <c r="D14527" s="33" t="s">
        <v>17</v>
      </c>
      <c r="E14527" s="33" t="s">
        <v>18</v>
      </c>
      <c r="F14527" s="33" t="s">
        <v>19</v>
      </c>
      <c r="G14527" s="33" t="s">
        <v>158</v>
      </c>
      <c r="H14527" s="35">
        <v>367</v>
      </c>
      <c r="I14527" s="33" t="s">
        <v>21</v>
      </c>
      <c r="J14527" s="42">
        <v>45274</v>
      </c>
      <c r="K14527" s="33" t="s">
        <v>22</v>
      </c>
    </row>
    <row r="14528" spans="1:11">
      <c r="A14528" s="30" t="s">
        <v>32749</v>
      </c>
      <c r="B14528" s="30" t="s">
        <v>32750</v>
      </c>
      <c r="C14528" s="30" t="s">
        <v>9464</v>
      </c>
      <c r="D14528" s="30" t="s">
        <v>17</v>
      </c>
      <c r="E14528" s="30" t="s">
        <v>26</v>
      </c>
      <c r="F14528" s="30" t="s">
        <v>27</v>
      </c>
      <c r="G14528" s="30" t="s">
        <v>7780</v>
      </c>
      <c r="H14528" s="32">
        <v>96</v>
      </c>
      <c r="I14528" s="30" t="s">
        <v>51</v>
      </c>
      <c r="J14528" s="41">
        <v>45017</v>
      </c>
      <c r="K14528" s="30" t="s">
        <v>22</v>
      </c>
    </row>
    <row r="14529" spans="1:11">
      <c r="A14529" s="33" t="s">
        <v>32751</v>
      </c>
      <c r="B14529" s="33" t="s">
        <v>32752</v>
      </c>
      <c r="C14529" s="33" t="s">
        <v>25472</v>
      </c>
      <c r="D14529" s="33" t="s">
        <v>17</v>
      </c>
      <c r="E14529" s="33" t="s">
        <v>26</v>
      </c>
      <c r="F14529" s="33" t="s">
        <v>27</v>
      </c>
      <c r="G14529" s="33" t="s">
        <v>20</v>
      </c>
      <c r="H14529" s="35">
        <v>17</v>
      </c>
      <c r="I14529" s="33" t="s">
        <v>21</v>
      </c>
      <c r="J14529" s="42">
        <v>45069</v>
      </c>
      <c r="K14529" s="33" t="s">
        <v>22</v>
      </c>
    </row>
    <row r="14530" spans="1:11">
      <c r="A14530" s="30" t="s">
        <v>32753</v>
      </c>
      <c r="B14530" s="30" t="s">
        <v>32754</v>
      </c>
      <c r="C14530" s="30" t="s">
        <v>24754</v>
      </c>
      <c r="D14530" s="30" t="s">
        <v>17</v>
      </c>
      <c r="E14530" s="30" t="s">
        <v>31</v>
      </c>
      <c r="F14530" s="30" t="s">
        <v>32</v>
      </c>
      <c r="G14530" s="30" t="s">
        <v>20</v>
      </c>
      <c r="H14530" s="32">
        <v>89</v>
      </c>
      <c r="I14530" s="30" t="s">
        <v>21</v>
      </c>
      <c r="J14530" s="41">
        <v>45204</v>
      </c>
      <c r="K14530" s="30" t="s">
        <v>22</v>
      </c>
    </row>
    <row r="14531" spans="1:11">
      <c r="A14531" s="33" t="s">
        <v>32755</v>
      </c>
      <c r="B14531" s="33" t="s">
        <v>32756</v>
      </c>
      <c r="C14531" s="33" t="s">
        <v>26581</v>
      </c>
      <c r="D14531" s="33" t="s">
        <v>17</v>
      </c>
      <c r="E14531" s="33" t="s">
        <v>31</v>
      </c>
      <c r="F14531" s="33" t="s">
        <v>32</v>
      </c>
      <c r="G14531" s="33" t="s">
        <v>140</v>
      </c>
      <c r="H14531" s="35">
        <v>50</v>
      </c>
      <c r="I14531" s="33" t="s">
        <v>51</v>
      </c>
      <c r="J14531" s="42">
        <v>45267</v>
      </c>
      <c r="K14531" s="33" t="s">
        <v>22</v>
      </c>
    </row>
    <row r="14532" spans="1:11">
      <c r="A14532" s="30" t="s">
        <v>32757</v>
      </c>
      <c r="B14532" s="30" t="s">
        <v>32758</v>
      </c>
      <c r="C14532" s="30" t="s">
        <v>32759</v>
      </c>
      <c r="D14532" s="30" t="s">
        <v>17</v>
      </c>
      <c r="E14532" s="30" t="s">
        <v>26</v>
      </c>
      <c r="F14532" s="30" t="s">
        <v>27</v>
      </c>
      <c r="G14532" s="30" t="s">
        <v>50</v>
      </c>
      <c r="H14532" s="32">
        <v>12</v>
      </c>
      <c r="I14532" s="30" t="s">
        <v>21</v>
      </c>
      <c r="J14532" s="41">
        <v>44936</v>
      </c>
      <c r="K14532" s="30" t="s">
        <v>22</v>
      </c>
    </row>
    <row r="14533" spans="1:11">
      <c r="A14533" s="33" t="s">
        <v>32760</v>
      </c>
      <c r="B14533" s="33" t="s">
        <v>32761</v>
      </c>
      <c r="C14533" s="33" t="s">
        <v>7880</v>
      </c>
      <c r="D14533" s="33" t="s">
        <v>17</v>
      </c>
      <c r="E14533" s="33" t="s">
        <v>26</v>
      </c>
      <c r="F14533" s="33" t="s">
        <v>27</v>
      </c>
      <c r="G14533" s="33" t="s">
        <v>140</v>
      </c>
      <c r="H14533" s="35">
        <v>12</v>
      </c>
      <c r="I14533" s="33" t="s">
        <v>51</v>
      </c>
      <c r="J14533" s="42">
        <v>45015</v>
      </c>
      <c r="K14533" s="33" t="s">
        <v>22</v>
      </c>
    </row>
    <row r="14534" spans="1:11">
      <c r="A14534" s="30" t="s">
        <v>32762</v>
      </c>
      <c r="B14534" s="30" t="s">
        <v>32763</v>
      </c>
      <c r="C14534" s="30" t="s">
        <v>154</v>
      </c>
      <c r="D14534" s="30" t="s">
        <v>17</v>
      </c>
      <c r="E14534" s="30" t="s">
        <v>31</v>
      </c>
      <c r="F14534" s="30" t="s">
        <v>32</v>
      </c>
      <c r="G14534" s="30" t="s">
        <v>158</v>
      </c>
      <c r="H14534" s="32">
        <v>160</v>
      </c>
      <c r="I14534" s="30" t="s">
        <v>21</v>
      </c>
      <c r="J14534" s="41">
        <v>45140</v>
      </c>
      <c r="K14534" s="30" t="s">
        <v>22</v>
      </c>
    </row>
    <row r="14535" spans="1:11">
      <c r="A14535" s="33" t="s">
        <v>32764</v>
      </c>
      <c r="B14535" s="33" t="s">
        <v>32765</v>
      </c>
      <c r="C14535" s="33" t="s">
        <v>32766</v>
      </c>
      <c r="D14535" s="33" t="s">
        <v>17</v>
      </c>
      <c r="E14535" s="33" t="s">
        <v>18</v>
      </c>
      <c r="F14535" s="33" t="s">
        <v>19</v>
      </c>
      <c r="G14535" s="33" t="s">
        <v>158</v>
      </c>
      <c r="H14535" s="35">
        <v>121</v>
      </c>
      <c r="I14535" s="33" t="s">
        <v>21</v>
      </c>
      <c r="J14535" s="42">
        <v>45176</v>
      </c>
      <c r="K14535" s="33" t="s">
        <v>22</v>
      </c>
    </row>
    <row r="14536" spans="1:11">
      <c r="A14536" s="30" t="s">
        <v>32767</v>
      </c>
      <c r="B14536" s="30" t="s">
        <v>32768</v>
      </c>
      <c r="C14536" s="30" t="s">
        <v>136</v>
      </c>
      <c r="D14536" s="30" t="s">
        <v>17</v>
      </c>
      <c r="E14536" s="30" t="s">
        <v>31</v>
      </c>
      <c r="F14536" s="30" t="s">
        <v>32</v>
      </c>
      <c r="G14536" s="30" t="s">
        <v>158</v>
      </c>
      <c r="H14536" s="32">
        <v>414</v>
      </c>
      <c r="I14536" s="30" t="s">
        <v>21</v>
      </c>
      <c r="J14536" s="41">
        <v>45190</v>
      </c>
      <c r="K14536" s="30" t="s">
        <v>22</v>
      </c>
    </row>
    <row r="14537" spans="1:11">
      <c r="A14537" s="33" t="s">
        <v>32769</v>
      </c>
      <c r="B14537" s="33" t="s">
        <v>32770</v>
      </c>
      <c r="C14537" s="33" t="s">
        <v>647</v>
      </c>
      <c r="D14537" s="33" t="s">
        <v>17</v>
      </c>
      <c r="E14537" s="33" t="s">
        <v>18</v>
      </c>
      <c r="F14537" s="33" t="s">
        <v>19</v>
      </c>
      <c r="G14537" s="33" t="s">
        <v>158</v>
      </c>
      <c r="H14537" s="35">
        <v>710</v>
      </c>
      <c r="I14537" s="33" t="s">
        <v>51</v>
      </c>
      <c r="J14537" s="42">
        <v>45266</v>
      </c>
      <c r="K14537" s="33" t="s">
        <v>22</v>
      </c>
    </row>
    <row r="14538" spans="1:11">
      <c r="A14538" s="30" t="s">
        <v>32771</v>
      </c>
      <c r="B14538" s="30" t="s">
        <v>32772</v>
      </c>
      <c r="C14538" s="30" t="s">
        <v>925</v>
      </c>
      <c r="D14538" s="30" t="s">
        <v>17</v>
      </c>
      <c r="E14538" s="30" t="s">
        <v>18</v>
      </c>
      <c r="F14538" s="30" t="s">
        <v>19</v>
      </c>
      <c r="G14538" s="30" t="s">
        <v>158</v>
      </c>
      <c r="H14538" s="32">
        <v>654</v>
      </c>
      <c r="I14538" s="30" t="s">
        <v>51</v>
      </c>
      <c r="J14538" s="41">
        <v>45054</v>
      </c>
      <c r="K14538" s="30" t="s">
        <v>22</v>
      </c>
    </row>
    <row r="14539" spans="1:11">
      <c r="A14539" s="33" t="s">
        <v>32773</v>
      </c>
      <c r="B14539" s="33" t="s">
        <v>32774</v>
      </c>
      <c r="C14539" s="33" t="s">
        <v>102</v>
      </c>
      <c r="D14539" s="33" t="s">
        <v>17</v>
      </c>
      <c r="E14539" s="33" t="s">
        <v>31</v>
      </c>
      <c r="F14539" s="33" t="s">
        <v>32</v>
      </c>
      <c r="G14539" s="33" t="s">
        <v>20</v>
      </c>
      <c r="H14539" s="35">
        <v>103</v>
      </c>
      <c r="I14539" s="33" t="s">
        <v>21</v>
      </c>
      <c r="J14539" s="42">
        <v>45153</v>
      </c>
      <c r="K14539" s="33" t="s">
        <v>22</v>
      </c>
    </row>
    <row r="14540" spans="1:11">
      <c r="A14540" s="30" t="s">
        <v>32775</v>
      </c>
      <c r="B14540" s="30" t="s">
        <v>32776</v>
      </c>
      <c r="C14540" s="30" t="s">
        <v>32777</v>
      </c>
      <c r="D14540" s="30" t="s">
        <v>17</v>
      </c>
      <c r="E14540" s="30" t="s">
        <v>67</v>
      </c>
      <c r="F14540" s="30" t="s">
        <v>68</v>
      </c>
      <c r="G14540" s="30" t="s">
        <v>140</v>
      </c>
      <c r="H14540" s="32">
        <v>75</v>
      </c>
      <c r="I14540" s="30" t="s">
        <v>51</v>
      </c>
      <c r="J14540" s="41">
        <v>45118</v>
      </c>
      <c r="K14540" s="30" t="s">
        <v>22</v>
      </c>
    </row>
    <row r="14541" spans="1:11">
      <c r="A14541" s="33" t="s">
        <v>32778</v>
      </c>
      <c r="B14541" s="33" t="s">
        <v>32779</v>
      </c>
      <c r="C14541" s="33" t="s">
        <v>310</v>
      </c>
      <c r="D14541" s="33" t="s">
        <v>17</v>
      </c>
      <c r="E14541" s="33" t="s">
        <v>18</v>
      </c>
      <c r="F14541" s="33" t="s">
        <v>19</v>
      </c>
      <c r="G14541" s="33" t="s">
        <v>158</v>
      </c>
      <c r="H14541" s="35">
        <v>7101</v>
      </c>
      <c r="I14541" s="33" t="s">
        <v>21</v>
      </c>
      <c r="J14541" s="42">
        <v>44986</v>
      </c>
      <c r="K14541" s="33" t="s">
        <v>22</v>
      </c>
    </row>
    <row r="14542" spans="1:11">
      <c r="A14542" s="30" t="s">
        <v>32780</v>
      </c>
      <c r="B14542" s="30" t="s">
        <v>32781</v>
      </c>
      <c r="C14542" s="30" t="s">
        <v>203</v>
      </c>
      <c r="D14542" s="30" t="s">
        <v>17</v>
      </c>
      <c r="E14542" s="30" t="s">
        <v>26</v>
      </c>
      <c r="F14542" s="30" t="s">
        <v>27</v>
      </c>
      <c r="G14542" s="30" t="s">
        <v>106</v>
      </c>
      <c r="H14542" s="32">
        <v>32</v>
      </c>
      <c r="I14542" s="30" t="s">
        <v>21</v>
      </c>
      <c r="J14542" s="41">
        <v>45061</v>
      </c>
      <c r="K14542" s="30" t="s">
        <v>22</v>
      </c>
    </row>
    <row r="14543" spans="1:11">
      <c r="A14543" s="33" t="s">
        <v>32782</v>
      </c>
      <c r="B14543" s="33" t="s">
        <v>32783</v>
      </c>
      <c r="C14543" s="33" t="s">
        <v>7015</v>
      </c>
      <c r="D14543" s="33" t="s">
        <v>17</v>
      </c>
      <c r="E14543" s="33" t="s">
        <v>212</v>
      </c>
      <c r="F14543" s="33" t="s">
        <v>213</v>
      </c>
      <c r="G14543" s="33" t="s">
        <v>20</v>
      </c>
      <c r="H14543" s="35">
        <v>163</v>
      </c>
      <c r="I14543" s="33" t="s">
        <v>21</v>
      </c>
      <c r="J14543" s="42">
        <v>45124</v>
      </c>
      <c r="K14543" s="33" t="s">
        <v>22</v>
      </c>
    </row>
    <row r="14544" spans="1:11">
      <c r="A14544" s="30" t="s">
        <v>32784</v>
      </c>
      <c r="B14544" s="30" t="s">
        <v>32785</v>
      </c>
      <c r="C14544" s="30" t="s">
        <v>1136</v>
      </c>
      <c r="D14544" s="30" t="s">
        <v>17</v>
      </c>
      <c r="E14544" s="30" t="s">
        <v>67</v>
      </c>
      <c r="F14544" s="30" t="s">
        <v>68</v>
      </c>
      <c r="G14544" s="30" t="s">
        <v>20</v>
      </c>
      <c r="H14544" s="32">
        <v>646</v>
      </c>
      <c r="I14544" s="30" t="s">
        <v>21</v>
      </c>
      <c r="J14544" s="41">
        <v>45231</v>
      </c>
      <c r="K14544" s="30" t="s">
        <v>22</v>
      </c>
    </row>
    <row r="14545" spans="1:11">
      <c r="A14545" s="33" t="s">
        <v>32786</v>
      </c>
      <c r="B14545" s="33" t="s">
        <v>32787</v>
      </c>
      <c r="C14545" s="33" t="s">
        <v>318</v>
      </c>
      <c r="D14545" s="33" t="s">
        <v>17</v>
      </c>
      <c r="E14545" s="33" t="s">
        <v>31</v>
      </c>
      <c r="F14545" s="33" t="s">
        <v>32</v>
      </c>
      <c r="G14545" s="33" t="s">
        <v>140</v>
      </c>
      <c r="H14545" s="35">
        <v>15</v>
      </c>
      <c r="I14545" s="33" t="s">
        <v>51</v>
      </c>
      <c r="J14545" s="42">
        <v>45110</v>
      </c>
      <c r="K14545" s="33" t="s">
        <v>22</v>
      </c>
    </row>
    <row r="14546" spans="1:11">
      <c r="A14546" s="30" t="s">
        <v>32788</v>
      </c>
      <c r="B14546" s="30" t="s">
        <v>32789</v>
      </c>
      <c r="C14546" s="30" t="s">
        <v>969</v>
      </c>
      <c r="D14546" s="30" t="s">
        <v>17</v>
      </c>
      <c r="E14546" s="30" t="s">
        <v>212</v>
      </c>
      <c r="F14546" s="30" t="s">
        <v>213</v>
      </c>
      <c r="G14546" s="30" t="s">
        <v>158</v>
      </c>
      <c r="H14546" s="32">
        <v>50</v>
      </c>
      <c r="I14546" s="30" t="s">
        <v>21</v>
      </c>
      <c r="J14546" s="41">
        <v>45240</v>
      </c>
      <c r="K14546" s="30" t="s">
        <v>22</v>
      </c>
    </row>
    <row r="14547" spans="1:11">
      <c r="A14547" s="33" t="s">
        <v>32790</v>
      </c>
      <c r="B14547" s="33" t="s">
        <v>32791</v>
      </c>
      <c r="C14547" s="33" t="s">
        <v>1598</v>
      </c>
      <c r="D14547" s="33" t="s">
        <v>17</v>
      </c>
      <c r="E14547" s="33" t="s">
        <v>26</v>
      </c>
      <c r="F14547" s="33" t="s">
        <v>27</v>
      </c>
      <c r="G14547" s="33" t="s">
        <v>20</v>
      </c>
      <c r="H14547" s="35">
        <v>24</v>
      </c>
      <c r="I14547" s="33" t="s">
        <v>21</v>
      </c>
      <c r="J14547" s="42">
        <v>44995</v>
      </c>
      <c r="K14547" s="33" t="s">
        <v>22</v>
      </c>
    </row>
    <row r="14548" spans="1:11">
      <c r="A14548" s="30" t="s">
        <v>32792</v>
      </c>
      <c r="B14548" s="30" t="s">
        <v>32793</v>
      </c>
      <c r="C14548" s="30" t="s">
        <v>3673</v>
      </c>
      <c r="D14548" s="30" t="s">
        <v>17</v>
      </c>
      <c r="E14548" s="30" t="s">
        <v>26</v>
      </c>
      <c r="F14548" s="30" t="s">
        <v>27</v>
      </c>
      <c r="G14548" s="30" t="s">
        <v>50</v>
      </c>
      <c r="H14548" s="32">
        <v>12</v>
      </c>
      <c r="I14548" s="30" t="s">
        <v>51</v>
      </c>
      <c r="J14548" s="41">
        <v>45188</v>
      </c>
      <c r="K14548" s="30" t="s">
        <v>22</v>
      </c>
    </row>
    <row r="14549" spans="1:11">
      <c r="A14549" s="33" t="s">
        <v>32794</v>
      </c>
      <c r="B14549" s="33" t="s">
        <v>32795</v>
      </c>
      <c r="C14549" s="33" t="s">
        <v>32796</v>
      </c>
      <c r="D14549" s="33" t="s">
        <v>17</v>
      </c>
      <c r="E14549" s="33" t="s">
        <v>26</v>
      </c>
      <c r="F14549" s="33" t="s">
        <v>27</v>
      </c>
      <c r="G14549" s="33" t="s">
        <v>106</v>
      </c>
      <c r="H14549" s="35">
        <v>9</v>
      </c>
      <c r="I14549" s="33" t="s">
        <v>21</v>
      </c>
      <c r="J14549" s="42">
        <v>45052</v>
      </c>
      <c r="K14549" s="33" t="s">
        <v>22</v>
      </c>
    </row>
    <row r="14550" spans="1:11">
      <c r="A14550" s="30" t="s">
        <v>32797</v>
      </c>
      <c r="B14550" s="30" t="s">
        <v>32798</v>
      </c>
      <c r="C14550" s="30" t="s">
        <v>32799</v>
      </c>
      <c r="D14550" s="30" t="s">
        <v>17</v>
      </c>
      <c r="E14550" s="30" t="s">
        <v>31</v>
      </c>
      <c r="F14550" s="30" t="s">
        <v>32</v>
      </c>
      <c r="G14550" s="30" t="s">
        <v>20</v>
      </c>
      <c r="H14550" s="32">
        <v>303</v>
      </c>
      <c r="I14550" s="30" t="s">
        <v>21</v>
      </c>
      <c r="J14550" s="41">
        <v>44985</v>
      </c>
      <c r="K14550" s="30" t="s">
        <v>22</v>
      </c>
    </row>
    <row r="14551" spans="1:11">
      <c r="A14551" s="33" t="s">
        <v>32800</v>
      </c>
      <c r="B14551" s="33" t="s">
        <v>32801</v>
      </c>
      <c r="C14551" s="33" t="s">
        <v>9605</v>
      </c>
      <c r="D14551" s="33" t="s">
        <v>17</v>
      </c>
      <c r="E14551" s="33" t="s">
        <v>67</v>
      </c>
      <c r="F14551" s="33" t="s">
        <v>68</v>
      </c>
      <c r="G14551" s="33" t="s">
        <v>140</v>
      </c>
      <c r="H14551" s="35">
        <v>139</v>
      </c>
      <c r="I14551" s="33" t="s">
        <v>51</v>
      </c>
      <c r="J14551" s="42">
        <v>44937</v>
      </c>
      <c r="K14551" s="33" t="s">
        <v>22</v>
      </c>
    </row>
    <row r="14552" spans="1:11">
      <c r="A14552" s="30" t="s">
        <v>32802</v>
      </c>
      <c r="B14552" s="30" t="s">
        <v>32803</v>
      </c>
      <c r="C14552" s="30" t="s">
        <v>15622</v>
      </c>
      <c r="D14552" s="30" t="s">
        <v>17</v>
      </c>
      <c r="E14552" s="30" t="s">
        <v>67</v>
      </c>
      <c r="F14552" s="30" t="s">
        <v>68</v>
      </c>
      <c r="G14552" s="30" t="s">
        <v>106</v>
      </c>
      <c r="H14552" s="32">
        <v>7</v>
      </c>
      <c r="I14552" s="30" t="s">
        <v>21</v>
      </c>
      <c r="J14552" s="41">
        <v>45222</v>
      </c>
      <c r="K14552" s="30" t="s">
        <v>22</v>
      </c>
    </row>
    <row r="14553" spans="1:11">
      <c r="A14553" s="33" t="s">
        <v>32804</v>
      </c>
      <c r="B14553" s="33" t="s">
        <v>32805</v>
      </c>
      <c r="C14553" s="33" t="s">
        <v>57</v>
      </c>
      <c r="D14553" s="33" t="s">
        <v>17</v>
      </c>
      <c r="E14553" s="33" t="s">
        <v>26</v>
      </c>
      <c r="F14553" s="33" t="s">
        <v>27</v>
      </c>
      <c r="G14553" s="33" t="s">
        <v>50</v>
      </c>
      <c r="H14553" s="35">
        <v>44</v>
      </c>
      <c r="I14553" s="33" t="s">
        <v>51</v>
      </c>
      <c r="J14553" s="42">
        <v>45239</v>
      </c>
      <c r="K14553" s="33" t="s">
        <v>22</v>
      </c>
    </row>
    <row r="14554" spans="1:11">
      <c r="A14554" s="30" t="s">
        <v>32806</v>
      </c>
      <c r="B14554" s="30" t="s">
        <v>32807</v>
      </c>
      <c r="C14554" s="30" t="s">
        <v>570</v>
      </c>
      <c r="D14554" s="30" t="s">
        <v>17</v>
      </c>
      <c r="E14554" s="30" t="s">
        <v>18</v>
      </c>
      <c r="F14554" s="30" t="s">
        <v>19</v>
      </c>
      <c r="G14554" s="30" t="s">
        <v>50</v>
      </c>
      <c r="H14554" s="32">
        <v>1220</v>
      </c>
      <c r="I14554" s="30" t="s">
        <v>51</v>
      </c>
      <c r="J14554" s="41">
        <v>44992</v>
      </c>
      <c r="K14554" s="30" t="s">
        <v>22</v>
      </c>
    </row>
    <row r="14555" spans="1:11">
      <c r="A14555" s="33" t="s">
        <v>32808</v>
      </c>
      <c r="B14555" s="33" t="s">
        <v>32809</v>
      </c>
      <c r="C14555" s="33" t="s">
        <v>24907</v>
      </c>
      <c r="D14555" s="33" t="s">
        <v>17</v>
      </c>
      <c r="E14555" s="33" t="s">
        <v>330</v>
      </c>
      <c r="F14555" s="33" t="s">
        <v>331</v>
      </c>
      <c r="G14555" s="33" t="s">
        <v>50</v>
      </c>
      <c r="H14555" s="35">
        <v>5</v>
      </c>
      <c r="I14555" s="33" t="s">
        <v>51</v>
      </c>
      <c r="J14555" s="42">
        <v>45065</v>
      </c>
      <c r="K14555" s="33" t="s">
        <v>22</v>
      </c>
    </row>
    <row r="14556" spans="1:11">
      <c r="A14556" s="30" t="s">
        <v>32810</v>
      </c>
      <c r="B14556" s="30" t="s">
        <v>32811</v>
      </c>
      <c r="C14556" s="30" t="s">
        <v>93</v>
      </c>
      <c r="D14556" s="30" t="s">
        <v>17</v>
      </c>
      <c r="E14556" s="30" t="s">
        <v>26</v>
      </c>
      <c r="F14556" s="30" t="s">
        <v>27</v>
      </c>
      <c r="G14556" s="30" t="s">
        <v>140</v>
      </c>
      <c r="H14556" s="32">
        <v>210</v>
      </c>
      <c r="I14556" s="30" t="s">
        <v>51</v>
      </c>
      <c r="J14556" s="41">
        <v>45006</v>
      </c>
      <c r="K14556" s="30" t="s">
        <v>22</v>
      </c>
    </row>
    <row r="14557" spans="1:11">
      <c r="A14557" s="33" t="s">
        <v>32812</v>
      </c>
      <c r="B14557" s="33" t="s">
        <v>31884</v>
      </c>
      <c r="C14557" s="33" t="s">
        <v>31885</v>
      </c>
      <c r="D14557" s="33" t="s">
        <v>17</v>
      </c>
      <c r="E14557" s="33" t="s">
        <v>18</v>
      </c>
      <c r="F14557" s="33" t="s">
        <v>19</v>
      </c>
      <c r="G14557" s="33" t="s">
        <v>20</v>
      </c>
      <c r="H14557" s="35">
        <v>396</v>
      </c>
      <c r="I14557" s="33" t="s">
        <v>21</v>
      </c>
      <c r="J14557" s="42">
        <v>45229</v>
      </c>
      <c r="K14557" s="33" t="s">
        <v>22</v>
      </c>
    </row>
    <row r="14558" spans="1:11">
      <c r="A14558" s="30" t="s">
        <v>32813</v>
      </c>
      <c r="B14558" s="30" t="s">
        <v>32814</v>
      </c>
      <c r="C14558" s="30" t="s">
        <v>75</v>
      </c>
      <c r="D14558" s="30" t="s">
        <v>17</v>
      </c>
      <c r="E14558" s="30" t="s">
        <v>26</v>
      </c>
      <c r="F14558" s="30" t="s">
        <v>27</v>
      </c>
      <c r="G14558" s="30" t="s">
        <v>20</v>
      </c>
      <c r="H14558" s="32">
        <v>60</v>
      </c>
      <c r="I14558" s="30" t="s">
        <v>21</v>
      </c>
      <c r="J14558" s="41">
        <v>45146</v>
      </c>
      <c r="K14558" s="30" t="s">
        <v>22</v>
      </c>
    </row>
    <row r="14559" spans="1:11">
      <c r="A14559" s="33" t="s">
        <v>32815</v>
      </c>
      <c r="B14559" s="33" t="s">
        <v>32816</v>
      </c>
      <c r="C14559" s="33" t="s">
        <v>20135</v>
      </c>
      <c r="D14559" s="33" t="s">
        <v>17</v>
      </c>
      <c r="E14559" s="33" t="s">
        <v>26</v>
      </c>
      <c r="F14559" s="33" t="s">
        <v>27</v>
      </c>
      <c r="G14559" s="33" t="s">
        <v>20</v>
      </c>
      <c r="H14559" s="35">
        <v>58</v>
      </c>
      <c r="I14559" s="33" t="s">
        <v>21</v>
      </c>
      <c r="J14559" s="42">
        <v>44939</v>
      </c>
      <c r="K14559" s="33" t="s">
        <v>22</v>
      </c>
    </row>
    <row r="14560" spans="1:11">
      <c r="A14560" s="30" t="s">
        <v>32817</v>
      </c>
      <c r="B14560" s="30" t="s">
        <v>32818</v>
      </c>
      <c r="C14560" s="30" t="s">
        <v>57</v>
      </c>
      <c r="D14560" s="30" t="s">
        <v>17</v>
      </c>
      <c r="E14560" s="30" t="s">
        <v>212</v>
      </c>
      <c r="F14560" s="30" t="s">
        <v>213</v>
      </c>
      <c r="G14560" s="30" t="s">
        <v>20</v>
      </c>
      <c r="H14560" s="32">
        <v>263</v>
      </c>
      <c r="I14560" s="30" t="s">
        <v>21</v>
      </c>
      <c r="J14560" s="41">
        <v>44963</v>
      </c>
      <c r="K14560" s="30" t="s">
        <v>22</v>
      </c>
    </row>
    <row r="14561" spans="1:11">
      <c r="A14561" s="33" t="s">
        <v>32819</v>
      </c>
      <c r="B14561" s="33" t="s">
        <v>32820</v>
      </c>
      <c r="C14561" s="33" t="s">
        <v>32821</v>
      </c>
      <c r="D14561" s="33" t="s">
        <v>17</v>
      </c>
      <c r="E14561" s="33" t="s">
        <v>26</v>
      </c>
      <c r="F14561" s="33" t="s">
        <v>27</v>
      </c>
      <c r="G14561" s="33" t="s">
        <v>20</v>
      </c>
      <c r="H14561" s="35">
        <v>88</v>
      </c>
      <c r="I14561" s="33" t="s">
        <v>21</v>
      </c>
      <c r="J14561" s="42">
        <v>45110</v>
      </c>
      <c r="K14561" s="33" t="s">
        <v>22</v>
      </c>
    </row>
    <row r="14562" spans="1:11">
      <c r="A14562" s="30" t="s">
        <v>32822</v>
      </c>
      <c r="B14562" s="30" t="s">
        <v>32823</v>
      </c>
      <c r="C14562" s="30" t="s">
        <v>32824</v>
      </c>
      <c r="D14562" s="30" t="s">
        <v>17</v>
      </c>
      <c r="E14562" s="30" t="s">
        <v>31</v>
      </c>
      <c r="F14562" s="30" t="s">
        <v>32</v>
      </c>
      <c r="G14562" s="30" t="s">
        <v>7780</v>
      </c>
      <c r="H14562" s="32">
        <v>98</v>
      </c>
      <c r="I14562" s="30" t="s">
        <v>51</v>
      </c>
      <c r="J14562" s="41">
        <v>45280</v>
      </c>
      <c r="K14562" s="30" t="s">
        <v>22</v>
      </c>
    </row>
    <row r="14563" spans="1:11">
      <c r="A14563" s="33" t="s">
        <v>32825</v>
      </c>
      <c r="B14563" s="33" t="s">
        <v>32826</v>
      </c>
      <c r="C14563" s="33" t="s">
        <v>14483</v>
      </c>
      <c r="D14563" s="33" t="s">
        <v>17</v>
      </c>
      <c r="E14563" s="33" t="s">
        <v>31</v>
      </c>
      <c r="F14563" s="33" t="s">
        <v>32</v>
      </c>
      <c r="G14563" s="33" t="s">
        <v>20</v>
      </c>
      <c r="H14563" s="35">
        <v>106</v>
      </c>
      <c r="I14563" s="33" t="s">
        <v>21</v>
      </c>
      <c r="J14563" s="42">
        <v>45128</v>
      </c>
      <c r="K14563" s="33" t="s">
        <v>22</v>
      </c>
    </row>
    <row r="14564" spans="1:11">
      <c r="A14564" s="30" t="s">
        <v>32827</v>
      </c>
      <c r="B14564" s="30" t="s">
        <v>32828</v>
      </c>
      <c r="C14564" s="30" t="s">
        <v>203</v>
      </c>
      <c r="D14564" s="30" t="s">
        <v>17</v>
      </c>
      <c r="E14564" s="30" t="s">
        <v>26</v>
      </c>
      <c r="F14564" s="30" t="s">
        <v>27</v>
      </c>
      <c r="G14564" s="30" t="s">
        <v>106</v>
      </c>
      <c r="H14564" s="32">
        <v>7</v>
      </c>
      <c r="I14564" s="30" t="s">
        <v>21</v>
      </c>
      <c r="J14564" s="41">
        <v>45093</v>
      </c>
      <c r="K14564" s="30" t="s">
        <v>22</v>
      </c>
    </row>
    <row r="14565" spans="1:11">
      <c r="A14565" s="33" t="s">
        <v>32829</v>
      </c>
      <c r="B14565" s="33" t="s">
        <v>32830</v>
      </c>
      <c r="C14565" s="33" t="s">
        <v>5636</v>
      </c>
      <c r="D14565" s="33" t="s">
        <v>17</v>
      </c>
      <c r="E14565" s="33" t="s">
        <v>26</v>
      </c>
      <c r="F14565" s="33" t="s">
        <v>27</v>
      </c>
      <c r="G14565" s="33" t="s">
        <v>20</v>
      </c>
      <c r="H14565" s="35">
        <v>32</v>
      </c>
      <c r="I14565" s="33" t="s">
        <v>21</v>
      </c>
      <c r="J14565" s="42">
        <v>45079</v>
      </c>
      <c r="K14565" s="33" t="s">
        <v>22</v>
      </c>
    </row>
    <row r="14566" spans="1:11">
      <c r="A14566" s="30" t="s">
        <v>32831</v>
      </c>
      <c r="B14566" s="30" t="s">
        <v>32832</v>
      </c>
      <c r="C14566" s="30" t="s">
        <v>32833</v>
      </c>
      <c r="D14566" s="30" t="s">
        <v>17</v>
      </c>
      <c r="E14566" s="30" t="s">
        <v>67</v>
      </c>
      <c r="F14566" s="30" t="s">
        <v>68</v>
      </c>
      <c r="G14566" s="30" t="s">
        <v>50</v>
      </c>
      <c r="H14566" s="32">
        <v>50</v>
      </c>
      <c r="I14566" s="30" t="s">
        <v>51</v>
      </c>
      <c r="J14566" s="41">
        <v>45044</v>
      </c>
      <c r="K14566" s="30" t="s">
        <v>22</v>
      </c>
    </row>
    <row r="14567" spans="1:11">
      <c r="A14567" s="33" t="s">
        <v>32834</v>
      </c>
      <c r="B14567" s="33" t="s">
        <v>32835</v>
      </c>
      <c r="C14567" s="33" t="s">
        <v>32836</v>
      </c>
      <c r="D14567" s="33" t="s">
        <v>17</v>
      </c>
      <c r="E14567" s="33" t="s">
        <v>31</v>
      </c>
      <c r="F14567" s="33" t="s">
        <v>32</v>
      </c>
      <c r="G14567" s="33" t="s">
        <v>158</v>
      </c>
      <c r="H14567" s="35">
        <v>99</v>
      </c>
      <c r="I14567" s="33" t="s">
        <v>21</v>
      </c>
      <c r="J14567" s="42">
        <v>45005</v>
      </c>
      <c r="K14567" s="33" t="s">
        <v>22</v>
      </c>
    </row>
    <row r="14568" spans="1:11">
      <c r="A14568" s="30" t="s">
        <v>32837</v>
      </c>
      <c r="B14568" s="30" t="s">
        <v>32838</v>
      </c>
      <c r="C14568" s="30" t="s">
        <v>32839</v>
      </c>
      <c r="D14568" s="30" t="s">
        <v>17</v>
      </c>
      <c r="E14568" s="30" t="s">
        <v>26</v>
      </c>
      <c r="F14568" s="30" t="s">
        <v>27</v>
      </c>
      <c r="G14568" s="30" t="s">
        <v>20</v>
      </c>
      <c r="H14568" s="32">
        <v>55</v>
      </c>
      <c r="I14568" s="30" t="s">
        <v>21</v>
      </c>
      <c r="J14568" s="41">
        <v>45159</v>
      </c>
      <c r="K14568" s="30" t="s">
        <v>22</v>
      </c>
    </row>
    <row r="14569" spans="1:11">
      <c r="A14569" s="33" t="s">
        <v>32840</v>
      </c>
      <c r="B14569" s="33" t="s">
        <v>32841</v>
      </c>
      <c r="C14569" s="33" t="s">
        <v>29012</v>
      </c>
      <c r="D14569" s="33" t="s">
        <v>17</v>
      </c>
      <c r="E14569" s="33" t="s">
        <v>212</v>
      </c>
      <c r="F14569" s="33" t="s">
        <v>213</v>
      </c>
      <c r="G14569" s="33" t="s">
        <v>20</v>
      </c>
      <c r="H14569" s="35">
        <v>360</v>
      </c>
      <c r="I14569" s="33" t="s">
        <v>21</v>
      </c>
      <c r="J14569" s="42">
        <v>44933</v>
      </c>
      <c r="K14569" s="33" t="s">
        <v>22</v>
      </c>
    </row>
    <row r="14570" spans="1:11">
      <c r="A14570" s="30" t="s">
        <v>32842</v>
      </c>
      <c r="B14570" s="30" t="s">
        <v>32843</v>
      </c>
      <c r="C14570" s="30" t="s">
        <v>774</v>
      </c>
      <c r="D14570" s="30" t="s">
        <v>17</v>
      </c>
      <c r="E14570" s="30" t="s">
        <v>26</v>
      </c>
      <c r="F14570" s="30" t="s">
        <v>27</v>
      </c>
      <c r="G14570" s="30" t="s">
        <v>20</v>
      </c>
      <c r="H14570" s="32">
        <v>54</v>
      </c>
      <c r="I14570" s="30" t="s">
        <v>21</v>
      </c>
      <c r="J14570" s="41">
        <v>45034</v>
      </c>
      <c r="K14570" s="30" t="s">
        <v>22</v>
      </c>
    </row>
    <row r="14571" spans="1:11">
      <c r="A14571" s="33" t="s">
        <v>32844</v>
      </c>
      <c r="B14571" s="33" t="s">
        <v>32845</v>
      </c>
      <c r="C14571" s="33" t="s">
        <v>157</v>
      </c>
      <c r="D14571" s="33" t="s">
        <v>17</v>
      </c>
      <c r="E14571" s="33" t="s">
        <v>26</v>
      </c>
      <c r="F14571" s="33" t="s">
        <v>27</v>
      </c>
      <c r="G14571" s="33" t="s">
        <v>20</v>
      </c>
      <c r="H14571" s="35">
        <v>34</v>
      </c>
      <c r="I14571" s="33" t="s">
        <v>21</v>
      </c>
      <c r="J14571" s="42">
        <v>45204</v>
      </c>
      <c r="K14571" s="33" t="s">
        <v>22</v>
      </c>
    </row>
    <row r="14572" spans="1:11">
      <c r="A14572" s="30" t="s">
        <v>32846</v>
      </c>
      <c r="B14572" s="30" t="s">
        <v>32847</v>
      </c>
      <c r="C14572" s="30" t="s">
        <v>75</v>
      </c>
      <c r="D14572" s="30" t="s">
        <v>17</v>
      </c>
      <c r="E14572" s="30" t="s">
        <v>26</v>
      </c>
      <c r="F14572" s="30" t="s">
        <v>27</v>
      </c>
      <c r="G14572" s="30" t="s">
        <v>20</v>
      </c>
      <c r="H14572" s="32">
        <v>174</v>
      </c>
      <c r="I14572" s="30" t="s">
        <v>21</v>
      </c>
      <c r="J14572" s="41">
        <v>45156</v>
      </c>
      <c r="K14572" s="30" t="s">
        <v>22</v>
      </c>
    </row>
    <row r="14573" spans="1:11">
      <c r="A14573" s="33" t="s">
        <v>32848</v>
      </c>
      <c r="B14573" s="33" t="s">
        <v>32849</v>
      </c>
      <c r="C14573" s="33" t="s">
        <v>32850</v>
      </c>
      <c r="D14573" s="33" t="s">
        <v>17</v>
      </c>
      <c r="E14573" s="33" t="s">
        <v>330</v>
      </c>
      <c r="F14573" s="33" t="s">
        <v>331</v>
      </c>
      <c r="G14573" s="33" t="s">
        <v>50</v>
      </c>
      <c r="H14573" s="35">
        <v>12</v>
      </c>
      <c r="I14573" s="33" t="s">
        <v>51</v>
      </c>
      <c r="J14573" s="42">
        <v>44927</v>
      </c>
      <c r="K14573" s="33" t="s">
        <v>22</v>
      </c>
    </row>
    <row r="14574" spans="1:11">
      <c r="A14574" s="30" t="s">
        <v>32851</v>
      </c>
      <c r="B14574" s="30" t="s">
        <v>32852</v>
      </c>
      <c r="C14574" s="30" t="s">
        <v>3757</v>
      </c>
      <c r="D14574" s="30" t="s">
        <v>17</v>
      </c>
      <c r="E14574" s="30" t="s">
        <v>67</v>
      </c>
      <c r="F14574" s="30" t="s">
        <v>68</v>
      </c>
      <c r="G14574" s="30" t="s">
        <v>20</v>
      </c>
      <c r="H14574" s="32">
        <v>19</v>
      </c>
      <c r="I14574" s="30" t="s">
        <v>21</v>
      </c>
      <c r="J14574" s="41">
        <v>45238</v>
      </c>
      <c r="K14574" s="30" t="s">
        <v>22</v>
      </c>
    </row>
    <row r="14575" spans="1:11">
      <c r="A14575" s="33" t="s">
        <v>32853</v>
      </c>
      <c r="B14575" s="33" t="s">
        <v>32854</v>
      </c>
      <c r="C14575" s="33" t="s">
        <v>32855</v>
      </c>
      <c r="D14575" s="33" t="s">
        <v>17</v>
      </c>
      <c r="E14575" s="33" t="s">
        <v>26</v>
      </c>
      <c r="F14575" s="33" t="s">
        <v>27</v>
      </c>
      <c r="G14575" s="33" t="s">
        <v>140</v>
      </c>
      <c r="H14575" s="35">
        <v>86</v>
      </c>
      <c r="I14575" s="33" t="s">
        <v>51</v>
      </c>
      <c r="J14575" s="42">
        <v>45232</v>
      </c>
      <c r="K14575" s="33" t="s">
        <v>22</v>
      </c>
    </row>
    <row r="14576" spans="1:11">
      <c r="A14576" s="30" t="s">
        <v>32856</v>
      </c>
      <c r="B14576" s="30" t="s">
        <v>32857</v>
      </c>
      <c r="C14576" s="30" t="s">
        <v>32858</v>
      </c>
      <c r="D14576" s="30" t="s">
        <v>17</v>
      </c>
      <c r="E14576" s="30" t="s">
        <v>18</v>
      </c>
      <c r="F14576" s="30" t="s">
        <v>19</v>
      </c>
      <c r="G14576" s="30" t="s">
        <v>20</v>
      </c>
      <c r="H14576" s="32">
        <v>335</v>
      </c>
      <c r="I14576" s="30" t="s">
        <v>21</v>
      </c>
      <c r="J14576" s="41">
        <v>45272</v>
      </c>
      <c r="K14576" s="30" t="s">
        <v>22</v>
      </c>
    </row>
    <row r="14577" spans="1:11">
      <c r="A14577" s="33" t="s">
        <v>32859</v>
      </c>
      <c r="B14577" s="33" t="s">
        <v>32860</v>
      </c>
      <c r="C14577" s="33" t="s">
        <v>13450</v>
      </c>
      <c r="D14577" s="33" t="s">
        <v>17</v>
      </c>
      <c r="E14577" s="33" t="s">
        <v>26</v>
      </c>
      <c r="F14577" s="33" t="s">
        <v>27</v>
      </c>
      <c r="G14577" s="33" t="s">
        <v>20</v>
      </c>
      <c r="H14577" s="35">
        <v>41</v>
      </c>
      <c r="I14577" s="33" t="s">
        <v>21</v>
      </c>
      <c r="J14577" s="42">
        <v>45014</v>
      </c>
      <c r="K14577" s="33" t="s">
        <v>22</v>
      </c>
    </row>
    <row r="14578" spans="1:11">
      <c r="A14578" s="30" t="s">
        <v>32861</v>
      </c>
      <c r="B14578" s="30" t="s">
        <v>32862</v>
      </c>
      <c r="C14578" s="30" t="s">
        <v>7035</v>
      </c>
      <c r="D14578" s="30" t="s">
        <v>17</v>
      </c>
      <c r="E14578" s="30" t="s">
        <v>45</v>
      </c>
      <c r="F14578" s="30" t="s">
        <v>46</v>
      </c>
      <c r="G14578" s="30" t="s">
        <v>158</v>
      </c>
      <c r="H14578" s="32">
        <v>91</v>
      </c>
      <c r="I14578" s="30" t="s">
        <v>21</v>
      </c>
      <c r="J14578" s="41">
        <v>44992</v>
      </c>
      <c r="K14578" s="30" t="s">
        <v>22</v>
      </c>
    </row>
    <row r="14579" spans="1:11">
      <c r="A14579" s="33" t="s">
        <v>32863</v>
      </c>
      <c r="B14579" s="33" t="s">
        <v>32864</v>
      </c>
      <c r="C14579" s="33" t="s">
        <v>31108</v>
      </c>
      <c r="D14579" s="33" t="s">
        <v>17</v>
      </c>
      <c r="E14579" s="33" t="s">
        <v>67</v>
      </c>
      <c r="F14579" s="33" t="s">
        <v>68</v>
      </c>
      <c r="G14579" s="33" t="s">
        <v>50</v>
      </c>
      <c r="H14579" s="35">
        <v>83</v>
      </c>
      <c r="I14579" s="33" t="s">
        <v>51</v>
      </c>
      <c r="J14579" s="42">
        <v>45200</v>
      </c>
      <c r="K14579" s="33" t="s">
        <v>22</v>
      </c>
    </row>
    <row r="14580" spans="1:11">
      <c r="A14580" s="30" t="s">
        <v>32865</v>
      </c>
      <c r="B14580" s="30" t="s">
        <v>32866</v>
      </c>
      <c r="C14580" s="30" t="s">
        <v>187</v>
      </c>
      <c r="D14580" s="30" t="s">
        <v>17</v>
      </c>
      <c r="E14580" s="30" t="s">
        <v>67</v>
      </c>
      <c r="F14580" s="30" t="s">
        <v>68</v>
      </c>
      <c r="G14580" s="30" t="s">
        <v>106</v>
      </c>
      <c r="H14580" s="32">
        <v>34</v>
      </c>
      <c r="I14580" s="30" t="s">
        <v>21</v>
      </c>
      <c r="J14580" s="41">
        <v>45072</v>
      </c>
      <c r="K14580" s="30" t="s">
        <v>22</v>
      </c>
    </row>
    <row r="14581" spans="1:11">
      <c r="A14581" s="33" t="s">
        <v>32867</v>
      </c>
      <c r="B14581" s="33" t="s">
        <v>32868</v>
      </c>
      <c r="C14581" s="33" t="s">
        <v>1090</v>
      </c>
      <c r="D14581" s="33" t="s">
        <v>17</v>
      </c>
      <c r="E14581" s="33" t="s">
        <v>18</v>
      </c>
      <c r="F14581" s="33" t="s">
        <v>19</v>
      </c>
      <c r="G14581" s="33" t="s">
        <v>50</v>
      </c>
      <c r="H14581" s="35">
        <v>368</v>
      </c>
      <c r="I14581" s="33" t="s">
        <v>51</v>
      </c>
      <c r="J14581" s="42">
        <v>44957</v>
      </c>
      <c r="K14581" s="33" t="s">
        <v>22</v>
      </c>
    </row>
    <row r="14582" spans="1:11">
      <c r="A14582" s="30" t="s">
        <v>32869</v>
      </c>
      <c r="B14582" s="30" t="s">
        <v>32870</v>
      </c>
      <c r="C14582" s="30" t="s">
        <v>359</v>
      </c>
      <c r="D14582" s="30" t="s">
        <v>17</v>
      </c>
      <c r="E14582" s="30" t="s">
        <v>67</v>
      </c>
      <c r="F14582" s="30" t="s">
        <v>68</v>
      </c>
      <c r="G14582" s="30" t="s">
        <v>140</v>
      </c>
      <c r="H14582" s="32">
        <v>95</v>
      </c>
      <c r="I14582" s="30" t="s">
        <v>51</v>
      </c>
      <c r="J14582" s="41">
        <v>44937</v>
      </c>
      <c r="K14582" s="30" t="s">
        <v>22</v>
      </c>
    </row>
    <row r="14583" spans="1:11">
      <c r="A14583" s="33" t="s">
        <v>32871</v>
      </c>
      <c r="B14583" s="33" t="s">
        <v>32872</v>
      </c>
      <c r="C14583" s="33" t="s">
        <v>549</v>
      </c>
      <c r="D14583" s="33" t="s">
        <v>17</v>
      </c>
      <c r="E14583" s="33" t="s">
        <v>31</v>
      </c>
      <c r="F14583" s="33" t="s">
        <v>32</v>
      </c>
      <c r="G14583" s="33" t="s">
        <v>20</v>
      </c>
      <c r="H14583" s="35">
        <v>207</v>
      </c>
      <c r="I14583" s="33" t="s">
        <v>21</v>
      </c>
      <c r="J14583" s="42">
        <v>45247</v>
      </c>
      <c r="K14583" s="33" t="s">
        <v>22</v>
      </c>
    </row>
    <row r="14584" spans="1:11">
      <c r="A14584" s="30" t="s">
        <v>32873</v>
      </c>
      <c r="B14584" s="30" t="s">
        <v>32874</v>
      </c>
      <c r="C14584" s="30" t="s">
        <v>32875</v>
      </c>
      <c r="D14584" s="30" t="s">
        <v>17</v>
      </c>
      <c r="E14584" s="30" t="s">
        <v>67</v>
      </c>
      <c r="F14584" s="30" t="s">
        <v>68</v>
      </c>
      <c r="G14584" s="30" t="s">
        <v>20</v>
      </c>
      <c r="H14584" s="32">
        <v>48</v>
      </c>
      <c r="I14584" s="30" t="s">
        <v>21</v>
      </c>
      <c r="J14584" s="41">
        <v>45006</v>
      </c>
      <c r="K14584" s="30" t="s">
        <v>22</v>
      </c>
    </row>
    <row r="14585" spans="1:11">
      <c r="A14585" s="33" t="s">
        <v>32876</v>
      </c>
      <c r="B14585" s="33" t="s">
        <v>32877</v>
      </c>
      <c r="C14585" s="33" t="s">
        <v>23333</v>
      </c>
      <c r="D14585" s="33" t="s">
        <v>17</v>
      </c>
      <c r="E14585" s="33" t="s">
        <v>26</v>
      </c>
      <c r="F14585" s="33" t="s">
        <v>27</v>
      </c>
      <c r="G14585" s="33" t="s">
        <v>50</v>
      </c>
      <c r="H14585" s="35">
        <v>18</v>
      </c>
      <c r="I14585" s="33" t="s">
        <v>51</v>
      </c>
      <c r="J14585" s="42">
        <v>45176</v>
      </c>
      <c r="K14585" s="33" t="s">
        <v>22</v>
      </c>
    </row>
    <row r="14586" spans="1:11">
      <c r="A14586" s="30" t="s">
        <v>32878</v>
      </c>
      <c r="B14586" s="30" t="s">
        <v>32879</v>
      </c>
      <c r="C14586" s="30" t="s">
        <v>32880</v>
      </c>
      <c r="D14586" s="30" t="s">
        <v>17</v>
      </c>
      <c r="E14586" s="30" t="s">
        <v>31</v>
      </c>
      <c r="F14586" s="30" t="s">
        <v>32</v>
      </c>
      <c r="G14586" s="30" t="s">
        <v>50</v>
      </c>
      <c r="H14586" s="32">
        <v>60</v>
      </c>
      <c r="I14586" s="30" t="s">
        <v>51</v>
      </c>
      <c r="J14586" s="41">
        <v>45078</v>
      </c>
      <c r="K14586" s="30" t="s">
        <v>22</v>
      </c>
    </row>
    <row r="14587" spans="1:11">
      <c r="A14587" s="33" t="s">
        <v>32881</v>
      </c>
      <c r="B14587" s="33" t="s">
        <v>32882</v>
      </c>
      <c r="C14587" s="33" t="s">
        <v>7094</v>
      </c>
      <c r="D14587" s="33" t="s">
        <v>17</v>
      </c>
      <c r="E14587" s="33" t="s">
        <v>18</v>
      </c>
      <c r="F14587" s="33" t="s">
        <v>19</v>
      </c>
      <c r="G14587" s="33" t="s">
        <v>50</v>
      </c>
      <c r="H14587" s="35">
        <v>240</v>
      </c>
      <c r="I14587" s="33" t="s">
        <v>51</v>
      </c>
      <c r="J14587" s="42">
        <v>44986</v>
      </c>
      <c r="K14587" s="33" t="s">
        <v>22</v>
      </c>
    </row>
    <row r="14588" spans="1:11">
      <c r="A14588" s="30" t="s">
        <v>32883</v>
      </c>
      <c r="B14588" s="30" t="s">
        <v>32884</v>
      </c>
      <c r="C14588" s="30" t="s">
        <v>32885</v>
      </c>
      <c r="D14588" s="30" t="s">
        <v>17</v>
      </c>
      <c r="E14588" s="30" t="s">
        <v>26</v>
      </c>
      <c r="F14588" s="30" t="s">
        <v>27</v>
      </c>
      <c r="G14588" s="30" t="s">
        <v>20</v>
      </c>
      <c r="H14588" s="32">
        <v>72</v>
      </c>
      <c r="I14588" s="30" t="s">
        <v>21</v>
      </c>
      <c r="J14588" s="41">
        <v>45028</v>
      </c>
      <c r="K14588" s="30" t="s">
        <v>22</v>
      </c>
    </row>
    <row r="14589" spans="1:11">
      <c r="A14589" s="33" t="s">
        <v>32886</v>
      </c>
      <c r="B14589" s="33" t="s">
        <v>32887</v>
      </c>
      <c r="C14589" s="33" t="s">
        <v>24907</v>
      </c>
      <c r="D14589" s="33" t="s">
        <v>17</v>
      </c>
      <c r="E14589" s="33" t="s">
        <v>330</v>
      </c>
      <c r="F14589" s="33" t="s">
        <v>331</v>
      </c>
      <c r="G14589" s="33" t="s">
        <v>7780</v>
      </c>
      <c r="H14589" s="35">
        <v>5</v>
      </c>
      <c r="I14589" s="33" t="s">
        <v>51</v>
      </c>
      <c r="J14589" s="42">
        <v>45139</v>
      </c>
      <c r="K14589" s="33" t="s">
        <v>22</v>
      </c>
    </row>
    <row r="14590" spans="1:11">
      <c r="A14590" s="30" t="s">
        <v>32888</v>
      </c>
      <c r="B14590" s="30" t="s">
        <v>32889</v>
      </c>
      <c r="C14590" s="30" t="s">
        <v>1598</v>
      </c>
      <c r="D14590" s="30" t="s">
        <v>17</v>
      </c>
      <c r="E14590" s="30" t="s">
        <v>18</v>
      </c>
      <c r="F14590" s="30" t="s">
        <v>19</v>
      </c>
      <c r="G14590" s="30" t="s">
        <v>158</v>
      </c>
      <c r="H14590" s="32">
        <v>453</v>
      </c>
      <c r="I14590" s="30" t="s">
        <v>21</v>
      </c>
      <c r="J14590" s="41">
        <v>45071</v>
      </c>
      <c r="K14590" s="30" t="s">
        <v>22</v>
      </c>
    </row>
    <row r="14591" spans="1:11">
      <c r="A14591" s="33" t="s">
        <v>32890</v>
      </c>
      <c r="B14591" s="33" t="s">
        <v>32891</v>
      </c>
      <c r="C14591" s="33" t="s">
        <v>130</v>
      </c>
      <c r="D14591" s="33" t="s">
        <v>17</v>
      </c>
      <c r="E14591" s="33" t="s">
        <v>18</v>
      </c>
      <c r="F14591" s="33" t="s">
        <v>19</v>
      </c>
      <c r="G14591" s="33" t="s">
        <v>112</v>
      </c>
      <c r="H14591" s="35">
        <v>0</v>
      </c>
      <c r="I14591" s="33" t="s">
        <v>21</v>
      </c>
      <c r="J14591" s="42">
        <v>44957</v>
      </c>
      <c r="K14591" s="33" t="s">
        <v>22</v>
      </c>
    </row>
    <row r="14592" spans="1:11">
      <c r="A14592" s="30" t="s">
        <v>32892</v>
      </c>
      <c r="B14592" s="30" t="s">
        <v>32893</v>
      </c>
      <c r="C14592" s="30" t="s">
        <v>4348</v>
      </c>
      <c r="D14592" s="30" t="s">
        <v>17</v>
      </c>
      <c r="E14592" s="30" t="s">
        <v>31</v>
      </c>
      <c r="F14592" s="30" t="s">
        <v>32</v>
      </c>
      <c r="G14592" s="30" t="s">
        <v>140</v>
      </c>
      <c r="H14592" s="32">
        <v>130</v>
      </c>
      <c r="I14592" s="30" t="s">
        <v>51</v>
      </c>
      <c r="J14592" s="41">
        <v>45236</v>
      </c>
      <c r="K14592" s="30" t="s">
        <v>22</v>
      </c>
    </row>
    <row r="14593" spans="1:11">
      <c r="A14593" s="33" t="s">
        <v>32894</v>
      </c>
      <c r="B14593" s="33" t="s">
        <v>32895</v>
      </c>
      <c r="C14593" s="33" t="s">
        <v>9714</v>
      </c>
      <c r="D14593" s="33" t="s">
        <v>17</v>
      </c>
      <c r="E14593" s="33" t="s">
        <v>18</v>
      </c>
      <c r="F14593" s="33" t="s">
        <v>19</v>
      </c>
      <c r="G14593" s="33" t="s">
        <v>20</v>
      </c>
      <c r="H14593" s="35">
        <v>138</v>
      </c>
      <c r="I14593" s="33" t="s">
        <v>21</v>
      </c>
      <c r="J14593" s="42">
        <v>45176</v>
      </c>
      <c r="K14593" s="33" t="s">
        <v>22</v>
      </c>
    </row>
    <row r="14594" spans="1:11">
      <c r="A14594" s="30" t="s">
        <v>32896</v>
      </c>
      <c r="B14594" s="30" t="s">
        <v>32897</v>
      </c>
      <c r="C14594" s="30" t="s">
        <v>109</v>
      </c>
      <c r="D14594" s="30" t="s">
        <v>17</v>
      </c>
      <c r="E14594" s="30" t="s">
        <v>26</v>
      </c>
      <c r="F14594" s="30" t="s">
        <v>27</v>
      </c>
      <c r="G14594" s="30" t="s">
        <v>20</v>
      </c>
      <c r="H14594" s="32">
        <v>56</v>
      </c>
      <c r="I14594" s="30" t="s">
        <v>21</v>
      </c>
      <c r="J14594" s="41">
        <v>44993</v>
      </c>
      <c r="K14594" s="30" t="s">
        <v>22</v>
      </c>
    </row>
    <row r="14595" spans="1:11">
      <c r="A14595" s="33" t="s">
        <v>32898</v>
      </c>
      <c r="B14595" s="33" t="s">
        <v>32899</v>
      </c>
      <c r="C14595" s="33" t="s">
        <v>26361</v>
      </c>
      <c r="D14595" s="33" t="s">
        <v>17</v>
      </c>
      <c r="E14595" s="33" t="s">
        <v>31</v>
      </c>
      <c r="F14595" s="33" t="s">
        <v>32</v>
      </c>
      <c r="G14595" s="33" t="s">
        <v>112</v>
      </c>
      <c r="H14595" s="35">
        <v>0</v>
      </c>
      <c r="I14595" s="33" t="s">
        <v>21</v>
      </c>
      <c r="J14595" s="42">
        <v>44933</v>
      </c>
      <c r="K14595" s="33" t="s">
        <v>22</v>
      </c>
    </row>
    <row r="14596" spans="1:11">
      <c r="A14596" s="30" t="s">
        <v>32900</v>
      </c>
      <c r="B14596" s="30" t="s">
        <v>32901</v>
      </c>
      <c r="C14596" s="30" t="s">
        <v>29294</v>
      </c>
      <c r="D14596" s="30" t="s">
        <v>17</v>
      </c>
      <c r="E14596" s="30" t="s">
        <v>26</v>
      </c>
      <c r="F14596" s="30" t="s">
        <v>27</v>
      </c>
      <c r="G14596" s="30" t="s">
        <v>20</v>
      </c>
      <c r="H14596" s="32">
        <v>10</v>
      </c>
      <c r="I14596" s="30" t="s">
        <v>21</v>
      </c>
      <c r="J14596" s="41">
        <v>45054</v>
      </c>
      <c r="K14596" s="30" t="s">
        <v>22</v>
      </c>
    </row>
    <row r="14597" spans="1:11">
      <c r="A14597" s="33" t="s">
        <v>32902</v>
      </c>
      <c r="B14597" s="33" t="s">
        <v>32903</v>
      </c>
      <c r="C14597" s="33" t="s">
        <v>517</v>
      </c>
      <c r="D14597" s="33" t="s">
        <v>17</v>
      </c>
      <c r="E14597" s="33" t="s">
        <v>31</v>
      </c>
      <c r="F14597" s="33" t="s">
        <v>32</v>
      </c>
      <c r="G14597" s="33" t="s">
        <v>20</v>
      </c>
      <c r="H14597" s="35">
        <v>221</v>
      </c>
      <c r="I14597" s="33" t="s">
        <v>21</v>
      </c>
      <c r="J14597" s="42">
        <v>45021</v>
      </c>
      <c r="K14597" s="33" t="s">
        <v>22</v>
      </c>
    </row>
    <row r="14598" spans="1:11">
      <c r="A14598" s="30" t="s">
        <v>32904</v>
      </c>
      <c r="B14598" s="30" t="s">
        <v>32905</v>
      </c>
      <c r="C14598" s="30" t="s">
        <v>432</v>
      </c>
      <c r="D14598" s="30" t="s">
        <v>17</v>
      </c>
      <c r="E14598" s="30" t="s">
        <v>18</v>
      </c>
      <c r="F14598" s="30" t="s">
        <v>19</v>
      </c>
      <c r="G14598" s="30" t="s">
        <v>50</v>
      </c>
      <c r="H14598" s="32">
        <v>451</v>
      </c>
      <c r="I14598" s="30" t="s">
        <v>51</v>
      </c>
      <c r="J14598" s="41">
        <v>44956</v>
      </c>
      <c r="K14598" s="30" t="s">
        <v>22</v>
      </c>
    </row>
    <row r="14599" spans="1:11">
      <c r="A14599" s="33" t="s">
        <v>32906</v>
      </c>
      <c r="B14599" s="33" t="s">
        <v>32907</v>
      </c>
      <c r="C14599" s="33" t="s">
        <v>27487</v>
      </c>
      <c r="D14599" s="33" t="s">
        <v>17</v>
      </c>
      <c r="E14599" s="33" t="s">
        <v>31</v>
      </c>
      <c r="F14599" s="33" t="s">
        <v>32</v>
      </c>
      <c r="G14599" s="33" t="s">
        <v>20</v>
      </c>
      <c r="H14599" s="35">
        <v>109</v>
      </c>
      <c r="I14599" s="33" t="s">
        <v>21</v>
      </c>
      <c r="J14599" s="42">
        <v>45044</v>
      </c>
      <c r="K14599" s="33" t="s">
        <v>22</v>
      </c>
    </row>
    <row r="14600" spans="1:11">
      <c r="A14600" s="30" t="s">
        <v>32908</v>
      </c>
      <c r="B14600" s="30" t="s">
        <v>32909</v>
      </c>
      <c r="C14600" s="30" t="s">
        <v>32910</v>
      </c>
      <c r="D14600" s="30" t="s">
        <v>17</v>
      </c>
      <c r="E14600" s="30" t="s">
        <v>26</v>
      </c>
      <c r="F14600" s="30" t="s">
        <v>27</v>
      </c>
      <c r="G14600" s="30" t="s">
        <v>50</v>
      </c>
      <c r="H14600" s="32">
        <v>46</v>
      </c>
      <c r="I14600" s="30" t="s">
        <v>21</v>
      </c>
      <c r="J14600" s="41">
        <v>45215</v>
      </c>
      <c r="K14600" s="30" t="s">
        <v>22</v>
      </c>
    </row>
    <row r="14601" spans="1:11">
      <c r="A14601" s="33" t="s">
        <v>32911</v>
      </c>
      <c r="B14601" s="33" t="s">
        <v>32912</v>
      </c>
      <c r="C14601" s="33" t="s">
        <v>31709</v>
      </c>
      <c r="D14601" s="33" t="s">
        <v>17</v>
      </c>
      <c r="E14601" s="33" t="s">
        <v>18</v>
      </c>
      <c r="F14601" s="33" t="s">
        <v>19</v>
      </c>
      <c r="G14601" s="33" t="s">
        <v>50</v>
      </c>
      <c r="H14601" s="35">
        <v>558</v>
      </c>
      <c r="I14601" s="33" t="s">
        <v>51</v>
      </c>
      <c r="J14601" s="42">
        <v>45232</v>
      </c>
      <c r="K14601" s="33" t="s">
        <v>22</v>
      </c>
    </row>
    <row r="14602" spans="1:11">
      <c r="A14602" s="30" t="s">
        <v>32913</v>
      </c>
      <c r="B14602" s="30" t="s">
        <v>32914</v>
      </c>
      <c r="C14602" s="30" t="s">
        <v>629</v>
      </c>
      <c r="D14602" s="30" t="s">
        <v>17</v>
      </c>
      <c r="E14602" s="30" t="s">
        <v>31</v>
      </c>
      <c r="F14602" s="30" t="s">
        <v>32</v>
      </c>
      <c r="G14602" s="30" t="s">
        <v>112</v>
      </c>
      <c r="H14602" s="32">
        <v>0</v>
      </c>
      <c r="I14602" s="30" t="s">
        <v>21</v>
      </c>
      <c r="J14602" s="41">
        <v>45000</v>
      </c>
      <c r="K14602" s="30" t="s">
        <v>22</v>
      </c>
    </row>
    <row r="14603" spans="1:11">
      <c r="A14603" s="33" t="s">
        <v>32915</v>
      </c>
      <c r="B14603" s="33" t="s">
        <v>32916</v>
      </c>
      <c r="C14603" s="33" t="s">
        <v>136</v>
      </c>
      <c r="D14603" s="33" t="s">
        <v>17</v>
      </c>
      <c r="E14603" s="33" t="s">
        <v>26</v>
      </c>
      <c r="F14603" s="33" t="s">
        <v>27</v>
      </c>
      <c r="G14603" s="33" t="s">
        <v>20</v>
      </c>
      <c r="H14603" s="35">
        <v>10</v>
      </c>
      <c r="I14603" s="33" t="s">
        <v>21</v>
      </c>
      <c r="J14603" s="42">
        <v>45218</v>
      </c>
      <c r="K14603" s="33" t="s">
        <v>22</v>
      </c>
    </row>
    <row r="14604" spans="1:11">
      <c r="A14604" s="30" t="s">
        <v>32917</v>
      </c>
      <c r="B14604" s="30" t="s">
        <v>32918</v>
      </c>
      <c r="C14604" s="30" t="s">
        <v>22999</v>
      </c>
      <c r="D14604" s="30" t="s">
        <v>17</v>
      </c>
      <c r="E14604" s="30" t="s">
        <v>18</v>
      </c>
      <c r="F14604" s="30" t="s">
        <v>19</v>
      </c>
      <c r="G14604" s="30" t="s">
        <v>158</v>
      </c>
      <c r="H14604" s="32">
        <v>134</v>
      </c>
      <c r="I14604" s="30" t="s">
        <v>51</v>
      </c>
      <c r="J14604" s="41">
        <v>45194</v>
      </c>
      <c r="K14604" s="30" t="s">
        <v>22</v>
      </c>
    </row>
    <row r="14605" spans="1:11">
      <c r="A14605" s="33" t="s">
        <v>32919</v>
      </c>
      <c r="B14605" s="33" t="s">
        <v>32920</v>
      </c>
      <c r="C14605" s="33" t="s">
        <v>9385</v>
      </c>
      <c r="D14605" s="33" t="s">
        <v>17</v>
      </c>
      <c r="E14605" s="33" t="s">
        <v>26</v>
      </c>
      <c r="F14605" s="33" t="s">
        <v>27</v>
      </c>
      <c r="G14605" s="33" t="s">
        <v>158</v>
      </c>
      <c r="H14605" s="35">
        <v>16</v>
      </c>
      <c r="I14605" s="33" t="s">
        <v>51</v>
      </c>
      <c r="J14605" s="42">
        <v>45033</v>
      </c>
      <c r="K14605" s="33" t="s">
        <v>22</v>
      </c>
    </row>
    <row r="14606" spans="1:11">
      <c r="A14606" s="30" t="s">
        <v>32921</v>
      </c>
      <c r="B14606" s="30" t="s">
        <v>32922</v>
      </c>
      <c r="C14606" s="30" t="s">
        <v>371</v>
      </c>
      <c r="D14606" s="30" t="s">
        <v>17</v>
      </c>
      <c r="E14606" s="30" t="s">
        <v>31</v>
      </c>
      <c r="F14606" s="30" t="s">
        <v>32</v>
      </c>
      <c r="G14606" s="30" t="s">
        <v>20</v>
      </c>
      <c r="H14606" s="32">
        <v>24</v>
      </c>
      <c r="I14606" s="30" t="s">
        <v>21</v>
      </c>
      <c r="J14606" s="41">
        <v>45069</v>
      </c>
      <c r="K14606" s="30" t="s">
        <v>22</v>
      </c>
    </row>
    <row r="14607" spans="1:11">
      <c r="A14607" s="33" t="s">
        <v>32923</v>
      </c>
      <c r="B14607" s="33" t="s">
        <v>32924</v>
      </c>
      <c r="C14607" s="33" t="s">
        <v>136</v>
      </c>
      <c r="D14607" s="33" t="s">
        <v>17</v>
      </c>
      <c r="E14607" s="33" t="s">
        <v>18</v>
      </c>
      <c r="F14607" s="33" t="s">
        <v>19</v>
      </c>
      <c r="G14607" s="33" t="s">
        <v>20</v>
      </c>
      <c r="H14607" s="35">
        <v>1698</v>
      </c>
      <c r="I14607" s="33" t="s">
        <v>21</v>
      </c>
      <c r="J14607" s="42">
        <v>45191</v>
      </c>
      <c r="K14607" s="33" t="s">
        <v>22</v>
      </c>
    </row>
    <row r="14608" spans="1:11">
      <c r="A14608" s="30" t="s">
        <v>32925</v>
      </c>
      <c r="B14608" s="30" t="s">
        <v>32926</v>
      </c>
      <c r="C14608" s="30" t="s">
        <v>1003</v>
      </c>
      <c r="D14608" s="30" t="s">
        <v>17</v>
      </c>
      <c r="E14608" s="30" t="s">
        <v>67</v>
      </c>
      <c r="F14608" s="30" t="s">
        <v>68</v>
      </c>
      <c r="G14608" s="30" t="s">
        <v>140</v>
      </c>
      <c r="H14608" s="32">
        <v>54</v>
      </c>
      <c r="I14608" s="30" t="s">
        <v>51</v>
      </c>
      <c r="J14608" s="41">
        <v>45226</v>
      </c>
      <c r="K14608" s="30" t="s">
        <v>22</v>
      </c>
    </row>
    <row r="14609" spans="1:11">
      <c r="A14609" s="33" t="s">
        <v>32927</v>
      </c>
      <c r="B14609" s="33" t="s">
        <v>32928</v>
      </c>
      <c r="C14609" s="33" t="s">
        <v>653</v>
      </c>
      <c r="D14609" s="33" t="s">
        <v>17</v>
      </c>
      <c r="E14609" s="33" t="s">
        <v>31</v>
      </c>
      <c r="F14609" s="33" t="s">
        <v>32</v>
      </c>
      <c r="G14609" s="33" t="s">
        <v>20</v>
      </c>
      <c r="H14609" s="35">
        <v>25</v>
      </c>
      <c r="I14609" s="33" t="s">
        <v>21</v>
      </c>
      <c r="J14609" s="42">
        <v>45044</v>
      </c>
      <c r="K14609" s="33" t="s">
        <v>22</v>
      </c>
    </row>
    <row r="14610" spans="1:11">
      <c r="A14610" s="30" t="s">
        <v>32929</v>
      </c>
      <c r="B14610" s="30" t="s">
        <v>32930</v>
      </c>
      <c r="C14610" s="30" t="s">
        <v>178</v>
      </c>
      <c r="D14610" s="30" t="s">
        <v>17</v>
      </c>
      <c r="E14610" s="30" t="s">
        <v>18</v>
      </c>
      <c r="F14610" s="30" t="s">
        <v>19</v>
      </c>
      <c r="G14610" s="30" t="s">
        <v>140</v>
      </c>
      <c r="H14610" s="32">
        <v>182</v>
      </c>
      <c r="I14610" s="30" t="s">
        <v>51</v>
      </c>
      <c r="J14610" s="41">
        <v>45221</v>
      </c>
      <c r="K14610" s="30" t="s">
        <v>22</v>
      </c>
    </row>
    <row r="14611" spans="1:11">
      <c r="A14611" s="33" t="s">
        <v>32931</v>
      </c>
      <c r="B14611" s="33" t="s">
        <v>32932</v>
      </c>
      <c r="C14611" s="33" t="s">
        <v>31108</v>
      </c>
      <c r="D14611" s="33" t="s">
        <v>17</v>
      </c>
      <c r="E14611" s="33" t="s">
        <v>26</v>
      </c>
      <c r="F14611" s="33" t="s">
        <v>27</v>
      </c>
      <c r="G14611" s="33" t="s">
        <v>50</v>
      </c>
      <c r="H14611" s="35">
        <v>27</v>
      </c>
      <c r="I14611" s="33" t="s">
        <v>51</v>
      </c>
      <c r="J14611" s="42">
        <v>45103</v>
      </c>
      <c r="K14611" s="33" t="s">
        <v>22</v>
      </c>
    </row>
    <row r="14612" spans="1:11">
      <c r="A14612" s="30" t="s">
        <v>32933</v>
      </c>
      <c r="B14612" s="30" t="s">
        <v>32934</v>
      </c>
      <c r="C14612" s="30" t="s">
        <v>32935</v>
      </c>
      <c r="D14612" s="30" t="s">
        <v>17</v>
      </c>
      <c r="E14612" s="30" t="s">
        <v>26</v>
      </c>
      <c r="F14612" s="30" t="s">
        <v>27</v>
      </c>
      <c r="G14612" s="30" t="s">
        <v>140</v>
      </c>
      <c r="H14612" s="32">
        <v>44</v>
      </c>
      <c r="I14612" s="30" t="s">
        <v>51</v>
      </c>
      <c r="J14612" s="41">
        <v>45082</v>
      </c>
      <c r="K14612" s="30" t="s">
        <v>22</v>
      </c>
    </row>
    <row r="14613" spans="1:11">
      <c r="A14613" s="33" t="s">
        <v>32936</v>
      </c>
      <c r="B14613" s="33" t="s">
        <v>32937</v>
      </c>
      <c r="C14613" s="33" t="s">
        <v>3057</v>
      </c>
      <c r="D14613" s="33" t="s">
        <v>17</v>
      </c>
      <c r="E14613" s="33" t="s">
        <v>31</v>
      </c>
      <c r="F14613" s="33" t="s">
        <v>32</v>
      </c>
      <c r="G14613" s="33" t="s">
        <v>20</v>
      </c>
      <c r="H14613" s="35">
        <v>98</v>
      </c>
      <c r="I14613" s="33" t="s">
        <v>21</v>
      </c>
      <c r="J14613" s="42">
        <v>45023</v>
      </c>
      <c r="K14613" s="33" t="s">
        <v>22</v>
      </c>
    </row>
    <row r="14614" spans="1:11">
      <c r="A14614" s="30" t="s">
        <v>32938</v>
      </c>
      <c r="B14614" s="30" t="s">
        <v>32939</v>
      </c>
      <c r="C14614" s="30" t="s">
        <v>32940</v>
      </c>
      <c r="D14614" s="30" t="s">
        <v>17</v>
      </c>
      <c r="E14614" s="30" t="s">
        <v>26</v>
      </c>
      <c r="F14614" s="30" t="s">
        <v>27</v>
      </c>
      <c r="G14614" s="30" t="s">
        <v>20</v>
      </c>
      <c r="H14614" s="32">
        <v>51</v>
      </c>
      <c r="I14614" s="30" t="s">
        <v>21</v>
      </c>
      <c r="J14614" s="41">
        <v>45208</v>
      </c>
      <c r="K14614" s="30" t="s">
        <v>22</v>
      </c>
    </row>
    <row r="14615" spans="1:11">
      <c r="A14615" s="33" t="s">
        <v>32941</v>
      </c>
      <c r="B14615" s="33" t="s">
        <v>32942</v>
      </c>
      <c r="C14615" s="33" t="s">
        <v>187</v>
      </c>
      <c r="D14615" s="33" t="s">
        <v>17</v>
      </c>
      <c r="E14615" s="33" t="s">
        <v>212</v>
      </c>
      <c r="F14615" s="33" t="s">
        <v>213</v>
      </c>
      <c r="G14615" s="33" t="s">
        <v>140</v>
      </c>
      <c r="H14615" s="35">
        <v>360</v>
      </c>
      <c r="I14615" s="33" t="s">
        <v>51</v>
      </c>
      <c r="J14615" s="42">
        <v>45096</v>
      </c>
      <c r="K14615" s="33" t="s">
        <v>22</v>
      </c>
    </row>
    <row r="14616" spans="1:11">
      <c r="A14616" s="30" t="s">
        <v>32943</v>
      </c>
      <c r="B14616" s="30" t="s">
        <v>32944</v>
      </c>
      <c r="C14616" s="30" t="s">
        <v>118</v>
      </c>
      <c r="D14616" s="30" t="s">
        <v>17</v>
      </c>
      <c r="E14616" s="30" t="s">
        <v>18</v>
      </c>
      <c r="F14616" s="30" t="s">
        <v>19</v>
      </c>
      <c r="G14616" s="30" t="s">
        <v>158</v>
      </c>
      <c r="H14616" s="32">
        <v>985</v>
      </c>
      <c r="I14616" s="30" t="s">
        <v>21</v>
      </c>
      <c r="J14616" s="41">
        <v>45019</v>
      </c>
      <c r="K14616" s="30" t="s">
        <v>22</v>
      </c>
    </row>
    <row r="14617" spans="1:11">
      <c r="A14617" s="33" t="s">
        <v>32945</v>
      </c>
      <c r="B14617" s="33" t="s">
        <v>32946</v>
      </c>
      <c r="C14617" s="33" t="s">
        <v>3647</v>
      </c>
      <c r="D14617" s="33" t="s">
        <v>17</v>
      </c>
      <c r="E14617" s="33" t="s">
        <v>31</v>
      </c>
      <c r="F14617" s="33" t="s">
        <v>32</v>
      </c>
      <c r="G14617" s="33" t="s">
        <v>106</v>
      </c>
      <c r="H14617" s="35">
        <v>517</v>
      </c>
      <c r="I14617" s="33" t="s">
        <v>21</v>
      </c>
      <c r="J14617" s="42">
        <v>45256</v>
      </c>
      <c r="K14617" s="33" t="s">
        <v>22</v>
      </c>
    </row>
    <row r="14618" spans="1:11">
      <c r="A14618" s="30" t="s">
        <v>32947</v>
      </c>
      <c r="B14618" s="30" t="s">
        <v>32948</v>
      </c>
      <c r="C14618" s="30" t="s">
        <v>379</v>
      </c>
      <c r="D14618" s="30" t="s">
        <v>17</v>
      </c>
      <c r="E14618" s="30" t="s">
        <v>31</v>
      </c>
      <c r="F14618" s="30" t="s">
        <v>32</v>
      </c>
      <c r="G14618" s="30" t="s">
        <v>50</v>
      </c>
      <c r="H14618" s="32">
        <v>20</v>
      </c>
      <c r="I14618" s="30" t="s">
        <v>51</v>
      </c>
      <c r="J14618" s="41">
        <v>45014</v>
      </c>
      <c r="K14618" s="30" t="s">
        <v>22</v>
      </c>
    </row>
    <row r="14619" spans="1:11">
      <c r="A14619" s="33" t="s">
        <v>32949</v>
      </c>
      <c r="B14619" s="33" t="s">
        <v>32950</v>
      </c>
      <c r="C14619" s="33" t="s">
        <v>647</v>
      </c>
      <c r="D14619" s="33" t="s">
        <v>17</v>
      </c>
      <c r="E14619" s="33" t="s">
        <v>26</v>
      </c>
      <c r="F14619" s="33" t="s">
        <v>27</v>
      </c>
      <c r="G14619" s="33" t="s">
        <v>20</v>
      </c>
      <c r="H14619" s="35">
        <v>14</v>
      </c>
      <c r="I14619" s="33" t="s">
        <v>21</v>
      </c>
      <c r="J14619" s="42">
        <v>45152</v>
      </c>
      <c r="K14619" s="33" t="s">
        <v>22</v>
      </c>
    </row>
    <row r="14620" spans="1:11">
      <c r="A14620" s="30" t="s">
        <v>32951</v>
      </c>
      <c r="B14620" s="30" t="s">
        <v>32952</v>
      </c>
      <c r="C14620" s="30" t="s">
        <v>136</v>
      </c>
      <c r="D14620" s="30" t="s">
        <v>17</v>
      </c>
      <c r="E14620" s="30" t="s">
        <v>26</v>
      </c>
      <c r="F14620" s="30" t="s">
        <v>27</v>
      </c>
      <c r="G14620" s="30" t="s">
        <v>20</v>
      </c>
      <c r="H14620" s="32">
        <v>28</v>
      </c>
      <c r="I14620" s="30" t="s">
        <v>21</v>
      </c>
      <c r="J14620" s="41">
        <v>45134</v>
      </c>
      <c r="K14620" s="30" t="s">
        <v>22</v>
      </c>
    </row>
    <row r="14621" spans="1:11">
      <c r="A14621" s="33" t="s">
        <v>32953</v>
      </c>
      <c r="B14621" s="33" t="s">
        <v>32954</v>
      </c>
      <c r="C14621" s="33" t="s">
        <v>23828</v>
      </c>
      <c r="D14621" s="33" t="s">
        <v>17</v>
      </c>
      <c r="E14621" s="33" t="s">
        <v>45</v>
      </c>
      <c r="F14621" s="33" t="s">
        <v>46</v>
      </c>
      <c r="G14621" s="33" t="s">
        <v>20</v>
      </c>
      <c r="H14621" s="35">
        <v>95</v>
      </c>
      <c r="I14621" s="33" t="s">
        <v>21</v>
      </c>
      <c r="J14621" s="42">
        <v>45026</v>
      </c>
      <c r="K14621" s="33" t="s">
        <v>22</v>
      </c>
    </row>
    <row r="14622" spans="1:11">
      <c r="A14622" s="30" t="s">
        <v>32955</v>
      </c>
      <c r="B14622" s="30" t="s">
        <v>32956</v>
      </c>
      <c r="C14622" s="30" t="s">
        <v>11847</v>
      </c>
      <c r="D14622" s="30" t="s">
        <v>17</v>
      </c>
      <c r="E14622" s="30" t="s">
        <v>26</v>
      </c>
      <c r="F14622" s="30" t="s">
        <v>27</v>
      </c>
      <c r="G14622" s="30" t="s">
        <v>20</v>
      </c>
      <c r="H14622" s="32">
        <v>36</v>
      </c>
      <c r="I14622" s="30" t="s">
        <v>21</v>
      </c>
      <c r="J14622" s="41">
        <v>45120</v>
      </c>
      <c r="K14622" s="30" t="s">
        <v>22</v>
      </c>
    </row>
    <row r="14623" spans="1:11">
      <c r="A14623" s="33" t="s">
        <v>32957</v>
      </c>
      <c r="B14623" s="33" t="s">
        <v>32958</v>
      </c>
      <c r="C14623" s="33" t="s">
        <v>2562</v>
      </c>
      <c r="D14623" s="33" t="s">
        <v>17</v>
      </c>
      <c r="E14623" s="33" t="s">
        <v>31</v>
      </c>
      <c r="F14623" s="33" t="s">
        <v>32</v>
      </c>
      <c r="G14623" s="33" t="s">
        <v>140</v>
      </c>
      <c r="H14623" s="35">
        <v>70</v>
      </c>
      <c r="I14623" s="33" t="s">
        <v>51</v>
      </c>
      <c r="J14623" s="42">
        <v>45054</v>
      </c>
      <c r="K14623" s="33" t="s">
        <v>22</v>
      </c>
    </row>
    <row r="14624" spans="1:11">
      <c r="A14624" s="30" t="s">
        <v>32959</v>
      </c>
      <c r="B14624" s="30" t="s">
        <v>32960</v>
      </c>
      <c r="C14624" s="30" t="s">
        <v>3429</v>
      </c>
      <c r="D14624" s="30" t="s">
        <v>17</v>
      </c>
      <c r="E14624" s="30" t="s">
        <v>26</v>
      </c>
      <c r="F14624" s="30" t="s">
        <v>27</v>
      </c>
      <c r="G14624" s="30" t="s">
        <v>20</v>
      </c>
      <c r="H14624" s="32">
        <v>36</v>
      </c>
      <c r="I14624" s="30" t="s">
        <v>21</v>
      </c>
      <c r="J14624" s="41">
        <v>45167</v>
      </c>
      <c r="K14624" s="30" t="s">
        <v>22</v>
      </c>
    </row>
    <row r="14625" spans="1:11">
      <c r="A14625" s="33" t="s">
        <v>32961</v>
      </c>
      <c r="B14625" s="33" t="s">
        <v>32962</v>
      </c>
      <c r="C14625" s="33" t="s">
        <v>32963</v>
      </c>
      <c r="D14625" s="33" t="s">
        <v>17</v>
      </c>
      <c r="E14625" s="33" t="s">
        <v>67</v>
      </c>
      <c r="F14625" s="33" t="s">
        <v>68</v>
      </c>
      <c r="G14625" s="33" t="s">
        <v>140</v>
      </c>
      <c r="H14625" s="35">
        <v>178</v>
      </c>
      <c r="I14625" s="33" t="s">
        <v>51</v>
      </c>
      <c r="J14625" s="42">
        <v>45182</v>
      </c>
      <c r="K14625" s="33" t="s">
        <v>22</v>
      </c>
    </row>
    <row r="14626" spans="1:11">
      <c r="A14626" s="30" t="s">
        <v>32964</v>
      </c>
      <c r="B14626" s="30" t="s">
        <v>32965</v>
      </c>
      <c r="C14626" s="30" t="s">
        <v>187</v>
      </c>
      <c r="D14626" s="30" t="s">
        <v>17</v>
      </c>
      <c r="E14626" s="30" t="s">
        <v>26</v>
      </c>
      <c r="F14626" s="30" t="s">
        <v>27</v>
      </c>
      <c r="G14626" s="30" t="s">
        <v>20</v>
      </c>
      <c r="H14626" s="32">
        <v>36</v>
      </c>
      <c r="I14626" s="30" t="s">
        <v>21</v>
      </c>
      <c r="J14626" s="41">
        <v>45154</v>
      </c>
      <c r="K14626" s="30" t="s">
        <v>22</v>
      </c>
    </row>
    <row r="14627" spans="1:11">
      <c r="A14627" s="33" t="s">
        <v>32966</v>
      </c>
      <c r="B14627" s="33" t="s">
        <v>32967</v>
      </c>
      <c r="C14627" s="33" t="s">
        <v>3514</v>
      </c>
      <c r="D14627" s="33" t="s">
        <v>17</v>
      </c>
      <c r="E14627" s="33" t="s">
        <v>31</v>
      </c>
      <c r="F14627" s="33" t="s">
        <v>32</v>
      </c>
      <c r="G14627" s="33" t="s">
        <v>106</v>
      </c>
      <c r="H14627" s="35">
        <v>113</v>
      </c>
      <c r="I14627" s="33" t="s">
        <v>21</v>
      </c>
      <c r="J14627" s="42">
        <v>45194</v>
      </c>
      <c r="K14627" s="33" t="s">
        <v>22</v>
      </c>
    </row>
    <row r="14628" spans="1:11">
      <c r="A14628" s="30" t="s">
        <v>32968</v>
      </c>
      <c r="B14628" s="30" t="s">
        <v>32969</v>
      </c>
      <c r="C14628" s="30" t="s">
        <v>1295</v>
      </c>
      <c r="D14628" s="30" t="s">
        <v>17</v>
      </c>
      <c r="E14628" s="30" t="s">
        <v>18</v>
      </c>
      <c r="F14628" s="30" t="s">
        <v>19</v>
      </c>
      <c r="G14628" s="30" t="s">
        <v>158</v>
      </c>
      <c r="H14628" s="32">
        <v>285</v>
      </c>
      <c r="I14628" s="30" t="s">
        <v>21</v>
      </c>
      <c r="J14628" s="41">
        <v>45278</v>
      </c>
      <c r="K14628" s="30" t="s">
        <v>22</v>
      </c>
    </row>
    <row r="14629" spans="1:11">
      <c r="A14629" s="33" t="s">
        <v>32970</v>
      </c>
      <c r="B14629" s="33" t="s">
        <v>32971</v>
      </c>
      <c r="C14629" s="33" t="s">
        <v>1210</v>
      </c>
      <c r="D14629" s="33" t="s">
        <v>17</v>
      </c>
      <c r="E14629" s="33" t="s">
        <v>31</v>
      </c>
      <c r="F14629" s="33" t="s">
        <v>32</v>
      </c>
      <c r="G14629" s="33" t="s">
        <v>158</v>
      </c>
      <c r="H14629" s="35">
        <v>92</v>
      </c>
      <c r="I14629" s="33" t="s">
        <v>21</v>
      </c>
      <c r="J14629" s="42">
        <v>45191</v>
      </c>
      <c r="K14629" s="33" t="s">
        <v>22</v>
      </c>
    </row>
    <row r="14630" spans="1:11">
      <c r="A14630" s="30" t="s">
        <v>32972</v>
      </c>
      <c r="B14630" s="30" t="s">
        <v>32973</v>
      </c>
      <c r="C14630" s="30" t="s">
        <v>570</v>
      </c>
      <c r="D14630" s="30" t="s">
        <v>17</v>
      </c>
      <c r="E14630" s="30" t="s">
        <v>31</v>
      </c>
      <c r="F14630" s="30" t="s">
        <v>32</v>
      </c>
      <c r="G14630" s="30" t="s">
        <v>50</v>
      </c>
      <c r="H14630" s="32">
        <v>66</v>
      </c>
      <c r="I14630" s="30" t="s">
        <v>51</v>
      </c>
      <c r="J14630" s="41">
        <v>45040</v>
      </c>
      <c r="K14630" s="30" t="s">
        <v>22</v>
      </c>
    </row>
    <row r="14631" spans="1:11">
      <c r="A14631" s="33" t="s">
        <v>32974</v>
      </c>
      <c r="B14631" s="33" t="s">
        <v>32975</v>
      </c>
      <c r="C14631" s="33" t="s">
        <v>32976</v>
      </c>
      <c r="D14631" s="33" t="s">
        <v>17</v>
      </c>
      <c r="E14631" s="33" t="s">
        <v>26</v>
      </c>
      <c r="F14631" s="33" t="s">
        <v>27</v>
      </c>
      <c r="G14631" s="33" t="s">
        <v>20</v>
      </c>
      <c r="H14631" s="35">
        <v>40</v>
      </c>
      <c r="I14631" s="33" t="s">
        <v>21</v>
      </c>
      <c r="J14631" s="42">
        <v>45154</v>
      </c>
      <c r="K14631" s="33" t="s">
        <v>22</v>
      </c>
    </row>
    <row r="14632" spans="1:11">
      <c r="A14632" s="30" t="s">
        <v>32977</v>
      </c>
      <c r="B14632" s="30" t="s">
        <v>32978</v>
      </c>
      <c r="C14632" s="30" t="s">
        <v>22573</v>
      </c>
      <c r="D14632" s="30" t="s">
        <v>17</v>
      </c>
      <c r="E14632" s="30" t="s">
        <v>67</v>
      </c>
      <c r="F14632" s="30" t="s">
        <v>68</v>
      </c>
      <c r="G14632" s="30" t="s">
        <v>140</v>
      </c>
      <c r="H14632" s="32">
        <v>1000</v>
      </c>
      <c r="I14632" s="30" t="s">
        <v>51</v>
      </c>
      <c r="J14632" s="41">
        <v>45155</v>
      </c>
      <c r="K14632" s="30" t="s">
        <v>22</v>
      </c>
    </row>
    <row r="14633" spans="1:11">
      <c r="A14633" s="33" t="s">
        <v>32979</v>
      </c>
      <c r="B14633" s="33" t="s">
        <v>32980</v>
      </c>
      <c r="C14633" s="33" t="s">
        <v>32981</v>
      </c>
      <c r="D14633" s="33" t="s">
        <v>17</v>
      </c>
      <c r="E14633" s="33" t="s">
        <v>18</v>
      </c>
      <c r="F14633" s="33" t="s">
        <v>19</v>
      </c>
      <c r="G14633" s="33" t="s">
        <v>140</v>
      </c>
      <c r="H14633" s="35">
        <v>171</v>
      </c>
      <c r="I14633" s="33" t="s">
        <v>51</v>
      </c>
      <c r="J14633" s="42">
        <v>45231</v>
      </c>
      <c r="K14633" s="33" t="s">
        <v>22</v>
      </c>
    </row>
    <row r="14634" spans="1:11">
      <c r="A14634" s="30" t="s">
        <v>32982</v>
      </c>
      <c r="B14634" s="30" t="s">
        <v>32983</v>
      </c>
      <c r="C14634" s="30" t="s">
        <v>1165</v>
      </c>
      <c r="D14634" s="30" t="s">
        <v>17</v>
      </c>
      <c r="E14634" s="30" t="s">
        <v>31</v>
      </c>
      <c r="F14634" s="30" t="s">
        <v>32</v>
      </c>
      <c r="G14634" s="30" t="s">
        <v>106</v>
      </c>
      <c r="H14634" s="32">
        <v>8</v>
      </c>
      <c r="I14634" s="30" t="s">
        <v>21</v>
      </c>
      <c r="J14634" s="41">
        <v>44977</v>
      </c>
      <c r="K14634" s="30" t="s">
        <v>22</v>
      </c>
    </row>
    <row r="14635" spans="1:11">
      <c r="A14635" s="33" t="s">
        <v>32984</v>
      </c>
      <c r="B14635" s="33" t="s">
        <v>32985</v>
      </c>
      <c r="C14635" s="33" t="s">
        <v>2006</v>
      </c>
      <c r="D14635" s="33" t="s">
        <v>17</v>
      </c>
      <c r="E14635" s="33" t="s">
        <v>26</v>
      </c>
      <c r="F14635" s="33" t="s">
        <v>27</v>
      </c>
      <c r="G14635" s="33" t="s">
        <v>20</v>
      </c>
      <c r="H14635" s="35">
        <v>33</v>
      </c>
      <c r="I14635" s="33" t="s">
        <v>21</v>
      </c>
      <c r="J14635" s="42">
        <v>45139</v>
      </c>
      <c r="K14635" s="33" t="s">
        <v>22</v>
      </c>
    </row>
    <row r="14636" spans="1:11">
      <c r="A14636" s="30" t="s">
        <v>32986</v>
      </c>
      <c r="B14636" s="30" t="s">
        <v>32987</v>
      </c>
      <c r="C14636" s="30" t="s">
        <v>32988</v>
      </c>
      <c r="D14636" s="30" t="s">
        <v>17</v>
      </c>
      <c r="E14636" s="30" t="s">
        <v>26</v>
      </c>
      <c r="F14636" s="30" t="s">
        <v>27</v>
      </c>
      <c r="G14636" s="30" t="s">
        <v>140</v>
      </c>
      <c r="H14636" s="32">
        <v>20</v>
      </c>
      <c r="I14636" s="30" t="s">
        <v>51</v>
      </c>
      <c r="J14636" s="41">
        <v>44986</v>
      </c>
      <c r="K14636" s="30" t="s">
        <v>22</v>
      </c>
    </row>
    <row r="14637" spans="1:11">
      <c r="A14637" s="33" t="s">
        <v>32989</v>
      </c>
      <c r="B14637" s="33" t="s">
        <v>32990</v>
      </c>
      <c r="C14637" s="33" t="s">
        <v>28495</v>
      </c>
      <c r="D14637" s="33" t="s">
        <v>17</v>
      </c>
      <c r="E14637" s="33" t="s">
        <v>31</v>
      </c>
      <c r="F14637" s="33" t="s">
        <v>32</v>
      </c>
      <c r="G14637" s="33" t="s">
        <v>140</v>
      </c>
      <c r="H14637" s="35">
        <v>18</v>
      </c>
      <c r="I14637" s="33" t="s">
        <v>51</v>
      </c>
      <c r="J14637" s="42">
        <v>45047</v>
      </c>
      <c r="K14637" s="33" t="s">
        <v>22</v>
      </c>
    </row>
    <row r="14638" spans="1:11">
      <c r="A14638" s="30" t="s">
        <v>32991</v>
      </c>
      <c r="B14638" s="30" t="s">
        <v>32992</v>
      </c>
      <c r="C14638" s="30" t="s">
        <v>32993</v>
      </c>
      <c r="D14638" s="30" t="s">
        <v>17</v>
      </c>
      <c r="E14638" s="30" t="s">
        <v>18</v>
      </c>
      <c r="F14638" s="30" t="s">
        <v>19</v>
      </c>
      <c r="G14638" s="30" t="s">
        <v>140</v>
      </c>
      <c r="H14638" s="32">
        <v>264</v>
      </c>
      <c r="I14638" s="30" t="s">
        <v>51</v>
      </c>
      <c r="J14638" s="41">
        <v>45152</v>
      </c>
      <c r="K14638" s="30" t="s">
        <v>22</v>
      </c>
    </row>
    <row r="14639" spans="1:11">
      <c r="A14639" s="33" t="s">
        <v>32994</v>
      </c>
      <c r="B14639" s="33" t="s">
        <v>32995</v>
      </c>
      <c r="C14639" s="33" t="s">
        <v>1270</v>
      </c>
      <c r="D14639" s="33" t="s">
        <v>17</v>
      </c>
      <c r="E14639" s="33" t="s">
        <v>31</v>
      </c>
      <c r="F14639" s="33" t="s">
        <v>32</v>
      </c>
      <c r="G14639" s="33" t="s">
        <v>140</v>
      </c>
      <c r="H14639" s="35">
        <v>62</v>
      </c>
      <c r="I14639" s="33" t="s">
        <v>51</v>
      </c>
      <c r="J14639" s="42">
        <v>45194</v>
      </c>
      <c r="K14639" s="33" t="s">
        <v>22</v>
      </c>
    </row>
    <row r="14640" spans="1:11">
      <c r="A14640" s="30" t="s">
        <v>32996</v>
      </c>
      <c r="B14640" s="30" t="s">
        <v>32997</v>
      </c>
      <c r="C14640" s="30" t="s">
        <v>32998</v>
      </c>
      <c r="D14640" s="30" t="s">
        <v>17</v>
      </c>
      <c r="E14640" s="30" t="s">
        <v>18</v>
      </c>
      <c r="F14640" s="30" t="s">
        <v>19</v>
      </c>
      <c r="G14640" s="30" t="s">
        <v>140</v>
      </c>
      <c r="H14640" s="32">
        <v>40</v>
      </c>
      <c r="I14640" s="30" t="s">
        <v>51</v>
      </c>
      <c r="J14640" s="41">
        <v>45119</v>
      </c>
      <c r="K14640" s="30" t="s">
        <v>22</v>
      </c>
    </row>
    <row r="14641" spans="1:11">
      <c r="A14641" s="33" t="s">
        <v>32999</v>
      </c>
      <c r="B14641" s="33" t="s">
        <v>33000</v>
      </c>
      <c r="C14641" s="33" t="s">
        <v>130</v>
      </c>
      <c r="D14641" s="33" t="s">
        <v>17</v>
      </c>
      <c r="E14641" s="33" t="s">
        <v>31</v>
      </c>
      <c r="F14641" s="33" t="s">
        <v>32</v>
      </c>
      <c r="G14641" s="33" t="s">
        <v>20</v>
      </c>
      <c r="H14641" s="35">
        <v>49</v>
      </c>
      <c r="I14641" s="33" t="s">
        <v>21</v>
      </c>
      <c r="J14641" s="42">
        <v>45027</v>
      </c>
      <c r="K14641" s="33" t="s">
        <v>22</v>
      </c>
    </row>
    <row r="14642" spans="1:11">
      <c r="A14642" s="30" t="s">
        <v>33001</v>
      </c>
      <c r="B14642" s="30" t="s">
        <v>33002</v>
      </c>
      <c r="C14642" s="30" t="s">
        <v>10311</v>
      </c>
      <c r="D14642" s="30" t="s">
        <v>17</v>
      </c>
      <c r="E14642" s="30" t="s">
        <v>67</v>
      </c>
      <c r="F14642" s="30" t="s">
        <v>68</v>
      </c>
      <c r="G14642" s="30" t="s">
        <v>50</v>
      </c>
      <c r="H14642" s="32">
        <v>32</v>
      </c>
      <c r="I14642" s="30" t="s">
        <v>51</v>
      </c>
      <c r="J14642" s="41">
        <v>45182</v>
      </c>
      <c r="K14642" s="30" t="s">
        <v>22</v>
      </c>
    </row>
    <row r="14643" spans="1:11">
      <c r="A14643" s="33" t="s">
        <v>33003</v>
      </c>
      <c r="B14643" s="33" t="s">
        <v>33004</v>
      </c>
      <c r="C14643" s="33" t="s">
        <v>31236</v>
      </c>
      <c r="D14643" s="33" t="s">
        <v>17</v>
      </c>
      <c r="E14643" s="33" t="s">
        <v>18</v>
      </c>
      <c r="F14643" s="33" t="s">
        <v>19</v>
      </c>
      <c r="G14643" s="33" t="s">
        <v>20</v>
      </c>
      <c r="H14643" s="35">
        <v>464</v>
      </c>
      <c r="I14643" s="33" t="s">
        <v>21</v>
      </c>
      <c r="J14643" s="42">
        <v>45016</v>
      </c>
      <c r="K14643" s="33" t="s">
        <v>22</v>
      </c>
    </row>
    <row r="14644" spans="1:11">
      <c r="A14644" s="30" t="s">
        <v>33005</v>
      </c>
      <c r="B14644" s="30" t="s">
        <v>33006</v>
      </c>
      <c r="C14644" s="30" t="s">
        <v>33007</v>
      </c>
      <c r="D14644" s="30" t="s">
        <v>17</v>
      </c>
      <c r="E14644" s="30" t="s">
        <v>67</v>
      </c>
      <c r="F14644" s="30" t="s">
        <v>68</v>
      </c>
      <c r="G14644" s="30" t="s">
        <v>50</v>
      </c>
      <c r="H14644" s="32">
        <v>260</v>
      </c>
      <c r="I14644" s="30" t="s">
        <v>51</v>
      </c>
      <c r="J14644" s="41">
        <v>44999</v>
      </c>
      <c r="K14644" s="30" t="s">
        <v>22</v>
      </c>
    </row>
    <row r="14645" spans="1:11">
      <c r="A14645" s="33" t="s">
        <v>33008</v>
      </c>
      <c r="B14645" s="33" t="s">
        <v>33009</v>
      </c>
      <c r="C14645" s="33" t="s">
        <v>33010</v>
      </c>
      <c r="D14645" s="33" t="s">
        <v>17</v>
      </c>
      <c r="E14645" s="33" t="s">
        <v>26</v>
      </c>
      <c r="F14645" s="33" t="s">
        <v>27</v>
      </c>
      <c r="G14645" s="33" t="s">
        <v>140</v>
      </c>
      <c r="H14645" s="35">
        <v>54</v>
      </c>
      <c r="I14645" s="33" t="s">
        <v>51</v>
      </c>
      <c r="J14645" s="42">
        <v>45236</v>
      </c>
      <c r="K14645" s="33" t="s">
        <v>22</v>
      </c>
    </row>
    <row r="14646" spans="1:11">
      <c r="A14646" s="30" t="s">
        <v>33011</v>
      </c>
      <c r="B14646" s="30" t="s">
        <v>33012</v>
      </c>
      <c r="C14646" s="30" t="s">
        <v>31827</v>
      </c>
      <c r="D14646" s="30" t="s">
        <v>17</v>
      </c>
      <c r="E14646" s="30" t="s">
        <v>18</v>
      </c>
      <c r="F14646" s="30" t="s">
        <v>19</v>
      </c>
      <c r="G14646" s="30" t="s">
        <v>50</v>
      </c>
      <c r="H14646" s="32">
        <v>60</v>
      </c>
      <c r="I14646" s="30" t="s">
        <v>51</v>
      </c>
      <c r="J14646" s="41">
        <v>45047</v>
      </c>
      <c r="K14646" s="30" t="s">
        <v>22</v>
      </c>
    </row>
    <row r="14647" spans="1:11">
      <c r="A14647" s="33" t="s">
        <v>33013</v>
      </c>
      <c r="B14647" s="33" t="s">
        <v>33014</v>
      </c>
      <c r="C14647" s="33" t="s">
        <v>4233</v>
      </c>
      <c r="D14647" s="33" t="s">
        <v>17</v>
      </c>
      <c r="E14647" s="33" t="s">
        <v>67</v>
      </c>
      <c r="F14647" s="33" t="s">
        <v>68</v>
      </c>
      <c r="G14647" s="33" t="s">
        <v>140</v>
      </c>
      <c r="H14647" s="35">
        <v>41</v>
      </c>
      <c r="I14647" s="33" t="s">
        <v>51</v>
      </c>
      <c r="J14647" s="42">
        <v>45177</v>
      </c>
      <c r="K14647" s="33" t="s">
        <v>22</v>
      </c>
    </row>
    <row r="14648" spans="1:11">
      <c r="A14648" s="30" t="s">
        <v>33015</v>
      </c>
      <c r="B14648" s="30" t="s">
        <v>33016</v>
      </c>
      <c r="C14648" s="30" t="s">
        <v>7831</v>
      </c>
      <c r="D14648" s="30" t="s">
        <v>17</v>
      </c>
      <c r="E14648" s="30" t="s">
        <v>26</v>
      </c>
      <c r="F14648" s="30" t="s">
        <v>27</v>
      </c>
      <c r="G14648" s="30" t="s">
        <v>69</v>
      </c>
      <c r="H14648" s="32">
        <v>29</v>
      </c>
      <c r="I14648" s="30" t="s">
        <v>51</v>
      </c>
      <c r="J14648" s="41">
        <v>45279</v>
      </c>
      <c r="K14648" s="30" t="s">
        <v>22</v>
      </c>
    </row>
    <row r="14649" spans="1:11">
      <c r="A14649" s="33" t="s">
        <v>33017</v>
      </c>
      <c r="B14649" s="33" t="s">
        <v>33018</v>
      </c>
      <c r="C14649" s="33" t="s">
        <v>27692</v>
      </c>
      <c r="D14649" s="33" t="s">
        <v>17</v>
      </c>
      <c r="E14649" s="33" t="s">
        <v>31</v>
      </c>
      <c r="F14649" s="33" t="s">
        <v>32</v>
      </c>
      <c r="G14649" s="33" t="s">
        <v>106</v>
      </c>
      <c r="H14649" s="35">
        <v>14</v>
      </c>
      <c r="I14649" s="33" t="s">
        <v>21</v>
      </c>
      <c r="J14649" s="42">
        <v>45169</v>
      </c>
      <c r="K14649" s="33" t="s">
        <v>22</v>
      </c>
    </row>
    <row r="14650" spans="1:11">
      <c r="A14650" s="30" t="s">
        <v>33019</v>
      </c>
      <c r="B14650" s="30" t="s">
        <v>33020</v>
      </c>
      <c r="C14650" s="30" t="s">
        <v>33021</v>
      </c>
      <c r="D14650" s="30" t="s">
        <v>17</v>
      </c>
      <c r="E14650" s="30" t="s">
        <v>31</v>
      </c>
      <c r="F14650" s="30" t="s">
        <v>32</v>
      </c>
      <c r="G14650" s="30" t="s">
        <v>140</v>
      </c>
      <c r="H14650" s="32">
        <v>254</v>
      </c>
      <c r="I14650" s="30" t="s">
        <v>51</v>
      </c>
      <c r="J14650" s="41">
        <v>44978</v>
      </c>
      <c r="K14650" s="30" t="s">
        <v>22</v>
      </c>
    </row>
    <row r="14651" spans="1:11">
      <c r="A14651" s="33" t="s">
        <v>33022</v>
      </c>
      <c r="B14651" s="33" t="s">
        <v>33023</v>
      </c>
      <c r="C14651" s="33" t="s">
        <v>5845</v>
      </c>
      <c r="D14651" s="33" t="s">
        <v>17</v>
      </c>
      <c r="E14651" s="33" t="s">
        <v>26</v>
      </c>
      <c r="F14651" s="33" t="s">
        <v>27</v>
      </c>
      <c r="G14651" s="33" t="s">
        <v>20</v>
      </c>
      <c r="H14651" s="35">
        <v>13</v>
      </c>
      <c r="I14651" s="33" t="s">
        <v>21</v>
      </c>
      <c r="J14651" s="42">
        <v>45033</v>
      </c>
      <c r="K14651" s="33" t="s">
        <v>22</v>
      </c>
    </row>
    <row r="14652" spans="1:11">
      <c r="A14652" s="30" t="s">
        <v>33024</v>
      </c>
      <c r="B14652" s="30" t="s">
        <v>33025</v>
      </c>
      <c r="C14652" s="30" t="s">
        <v>936</v>
      </c>
      <c r="D14652" s="30" t="s">
        <v>17</v>
      </c>
      <c r="E14652" s="30" t="s">
        <v>212</v>
      </c>
      <c r="F14652" s="30" t="s">
        <v>213</v>
      </c>
      <c r="G14652" s="30" t="s">
        <v>20</v>
      </c>
      <c r="H14652" s="32">
        <v>207</v>
      </c>
      <c r="I14652" s="30" t="s">
        <v>21</v>
      </c>
      <c r="J14652" s="41">
        <v>45134</v>
      </c>
      <c r="K14652" s="30" t="s">
        <v>22</v>
      </c>
    </row>
    <row r="14653" spans="1:11">
      <c r="A14653" s="33" t="s">
        <v>33026</v>
      </c>
      <c r="B14653" s="33" t="s">
        <v>33027</v>
      </c>
      <c r="C14653" s="33" t="s">
        <v>33028</v>
      </c>
      <c r="D14653" s="33" t="s">
        <v>17</v>
      </c>
      <c r="E14653" s="33" t="s">
        <v>31</v>
      </c>
      <c r="F14653" s="33" t="s">
        <v>32</v>
      </c>
      <c r="G14653" s="33" t="s">
        <v>50</v>
      </c>
      <c r="H14653" s="35">
        <v>40</v>
      </c>
      <c r="I14653" s="33" t="s">
        <v>51</v>
      </c>
      <c r="J14653" s="42">
        <v>45180</v>
      </c>
      <c r="K14653" s="33" t="s">
        <v>22</v>
      </c>
    </row>
    <row r="14654" spans="1:11">
      <c r="A14654" s="30" t="s">
        <v>33029</v>
      </c>
      <c r="B14654" s="30" t="s">
        <v>33030</v>
      </c>
      <c r="C14654" s="30" t="s">
        <v>33031</v>
      </c>
      <c r="D14654" s="30" t="s">
        <v>17</v>
      </c>
      <c r="E14654" s="30" t="s">
        <v>26</v>
      </c>
      <c r="F14654" s="30" t="s">
        <v>27</v>
      </c>
      <c r="G14654" s="30" t="s">
        <v>20</v>
      </c>
      <c r="H14654" s="32">
        <v>84</v>
      </c>
      <c r="I14654" s="30" t="s">
        <v>21</v>
      </c>
      <c r="J14654" s="41">
        <v>44963</v>
      </c>
      <c r="K14654" s="30" t="s">
        <v>22</v>
      </c>
    </row>
    <row r="14655" spans="1:11">
      <c r="A14655" s="33" t="s">
        <v>33032</v>
      </c>
      <c r="B14655" s="33" t="s">
        <v>33033</v>
      </c>
      <c r="C14655" s="33" t="s">
        <v>736</v>
      </c>
      <c r="D14655" s="33" t="s">
        <v>17</v>
      </c>
      <c r="E14655" s="33" t="s">
        <v>31</v>
      </c>
      <c r="F14655" s="33" t="s">
        <v>32</v>
      </c>
      <c r="G14655" s="33" t="s">
        <v>20</v>
      </c>
      <c r="H14655" s="35">
        <v>35</v>
      </c>
      <c r="I14655" s="33" t="s">
        <v>21</v>
      </c>
      <c r="J14655" s="42">
        <v>45061</v>
      </c>
      <c r="K14655" s="33" t="s">
        <v>22</v>
      </c>
    </row>
    <row r="14656" spans="1:11">
      <c r="A14656" s="30" t="s">
        <v>33034</v>
      </c>
      <c r="B14656" s="30" t="s">
        <v>33035</v>
      </c>
      <c r="C14656" s="30" t="s">
        <v>9825</v>
      </c>
      <c r="D14656" s="30" t="s">
        <v>17</v>
      </c>
      <c r="E14656" s="30" t="s">
        <v>31</v>
      </c>
      <c r="F14656" s="30" t="s">
        <v>32</v>
      </c>
      <c r="G14656" s="30" t="s">
        <v>20</v>
      </c>
      <c r="H14656" s="32">
        <v>101</v>
      </c>
      <c r="I14656" s="30" t="s">
        <v>21</v>
      </c>
      <c r="J14656" s="41">
        <v>45093</v>
      </c>
      <c r="K14656" s="30" t="s">
        <v>22</v>
      </c>
    </row>
    <row r="14657" spans="1:11">
      <c r="A14657" s="33" t="s">
        <v>33036</v>
      </c>
      <c r="B14657" s="33" t="s">
        <v>33037</v>
      </c>
      <c r="C14657" s="33" t="s">
        <v>24294</v>
      </c>
      <c r="D14657" s="33" t="s">
        <v>17</v>
      </c>
      <c r="E14657" s="33" t="s">
        <v>31</v>
      </c>
      <c r="F14657" s="33" t="s">
        <v>32</v>
      </c>
      <c r="G14657" s="33" t="s">
        <v>20</v>
      </c>
      <c r="H14657" s="35">
        <v>71</v>
      </c>
      <c r="I14657" s="33" t="s">
        <v>21</v>
      </c>
      <c r="J14657" s="42">
        <v>45096</v>
      </c>
      <c r="K14657" s="33" t="s">
        <v>22</v>
      </c>
    </row>
    <row r="14658" spans="1:11">
      <c r="A14658" s="30" t="s">
        <v>33038</v>
      </c>
      <c r="B14658" s="30" t="s">
        <v>33039</v>
      </c>
      <c r="C14658" s="30" t="s">
        <v>1080</v>
      </c>
      <c r="D14658" s="30" t="s">
        <v>17</v>
      </c>
      <c r="E14658" s="30" t="s">
        <v>31</v>
      </c>
      <c r="F14658" s="30" t="s">
        <v>32</v>
      </c>
      <c r="G14658" s="30" t="s">
        <v>50</v>
      </c>
      <c r="H14658" s="32">
        <v>48</v>
      </c>
      <c r="I14658" s="30" t="s">
        <v>51</v>
      </c>
      <c r="J14658" s="41">
        <v>45190</v>
      </c>
      <c r="K14658" s="30" t="s">
        <v>22</v>
      </c>
    </row>
    <row r="14659" spans="1:11">
      <c r="A14659" s="33" t="s">
        <v>33040</v>
      </c>
      <c r="B14659" s="33" t="s">
        <v>33041</v>
      </c>
      <c r="C14659" s="33" t="s">
        <v>15208</v>
      </c>
      <c r="D14659" s="33" t="s">
        <v>17</v>
      </c>
      <c r="E14659" s="33" t="s">
        <v>18</v>
      </c>
      <c r="F14659" s="33" t="s">
        <v>19</v>
      </c>
      <c r="G14659" s="33" t="s">
        <v>20</v>
      </c>
      <c r="H14659" s="35">
        <v>384</v>
      </c>
      <c r="I14659" s="33" t="s">
        <v>21</v>
      </c>
      <c r="J14659" s="42">
        <v>45085</v>
      </c>
      <c r="K14659" s="33" t="s">
        <v>22</v>
      </c>
    </row>
    <row r="14660" spans="1:11">
      <c r="A14660" s="30" t="s">
        <v>33042</v>
      </c>
      <c r="B14660" s="30" t="s">
        <v>33043</v>
      </c>
      <c r="C14660" s="30" t="s">
        <v>234</v>
      </c>
      <c r="D14660" s="30" t="s">
        <v>17</v>
      </c>
      <c r="E14660" s="30" t="s">
        <v>26</v>
      </c>
      <c r="F14660" s="30" t="s">
        <v>27</v>
      </c>
      <c r="G14660" s="30" t="s">
        <v>112</v>
      </c>
      <c r="H14660" s="32">
        <v>0</v>
      </c>
      <c r="I14660" s="30" t="s">
        <v>21</v>
      </c>
      <c r="J14660" s="41">
        <v>44941</v>
      </c>
      <c r="K14660" s="30" t="s">
        <v>22</v>
      </c>
    </row>
    <row r="14661" spans="1:11">
      <c r="A14661" s="33" t="s">
        <v>33044</v>
      </c>
      <c r="B14661" s="33" t="s">
        <v>33045</v>
      </c>
      <c r="C14661" s="33" t="s">
        <v>13219</v>
      </c>
      <c r="D14661" s="33" t="s">
        <v>17</v>
      </c>
      <c r="E14661" s="33" t="s">
        <v>26</v>
      </c>
      <c r="F14661" s="33" t="s">
        <v>27</v>
      </c>
      <c r="G14661" s="33" t="s">
        <v>20</v>
      </c>
      <c r="H14661" s="35">
        <v>30</v>
      </c>
      <c r="I14661" s="33" t="s">
        <v>21</v>
      </c>
      <c r="J14661" s="42">
        <v>45113</v>
      </c>
      <c r="K14661" s="33" t="s">
        <v>22</v>
      </c>
    </row>
    <row r="14662" spans="1:11">
      <c r="A14662" s="30" t="s">
        <v>33046</v>
      </c>
      <c r="B14662" s="30" t="s">
        <v>33047</v>
      </c>
      <c r="C14662" s="30" t="s">
        <v>109</v>
      </c>
      <c r="D14662" s="30" t="s">
        <v>17</v>
      </c>
      <c r="E14662" s="30" t="s">
        <v>18</v>
      </c>
      <c r="F14662" s="30" t="s">
        <v>19</v>
      </c>
      <c r="G14662" s="30" t="s">
        <v>106</v>
      </c>
      <c r="H14662" s="32">
        <v>60</v>
      </c>
      <c r="I14662" s="30" t="s">
        <v>21</v>
      </c>
      <c r="J14662" s="41">
        <v>45140</v>
      </c>
      <c r="K14662" s="30" t="s">
        <v>22</v>
      </c>
    </row>
    <row r="14663" spans="1:11">
      <c r="A14663" s="33" t="s">
        <v>33048</v>
      </c>
      <c r="B14663" s="33" t="s">
        <v>33049</v>
      </c>
      <c r="C14663" s="33" t="s">
        <v>14208</v>
      </c>
      <c r="D14663" s="33" t="s">
        <v>17</v>
      </c>
      <c r="E14663" s="33" t="s">
        <v>26</v>
      </c>
      <c r="F14663" s="33" t="s">
        <v>27</v>
      </c>
      <c r="G14663" s="33" t="s">
        <v>106</v>
      </c>
      <c r="H14663" s="35">
        <v>6</v>
      </c>
      <c r="I14663" s="33" t="s">
        <v>21</v>
      </c>
      <c r="J14663" s="42">
        <v>45033</v>
      </c>
      <c r="K14663" s="33" t="s">
        <v>22</v>
      </c>
    </row>
    <row r="14664" spans="1:11">
      <c r="A14664" s="30" t="s">
        <v>33050</v>
      </c>
      <c r="B14664" s="30" t="s">
        <v>33051</v>
      </c>
      <c r="C14664" s="30" t="s">
        <v>24907</v>
      </c>
      <c r="D14664" s="30" t="s">
        <v>17</v>
      </c>
      <c r="E14664" s="30" t="s">
        <v>330</v>
      </c>
      <c r="F14664" s="30" t="s">
        <v>331</v>
      </c>
      <c r="G14664" s="30" t="s">
        <v>7780</v>
      </c>
      <c r="H14664" s="32">
        <v>20</v>
      </c>
      <c r="I14664" s="30" t="s">
        <v>51</v>
      </c>
      <c r="J14664" s="41">
        <v>45139</v>
      </c>
      <c r="K14664" s="30" t="s">
        <v>22</v>
      </c>
    </row>
    <row r="14665" spans="1:11">
      <c r="A14665" s="33" t="s">
        <v>33052</v>
      </c>
      <c r="B14665" s="33" t="s">
        <v>33053</v>
      </c>
      <c r="C14665" s="33" t="s">
        <v>75</v>
      </c>
      <c r="D14665" s="33" t="s">
        <v>17</v>
      </c>
      <c r="E14665" s="33" t="s">
        <v>18</v>
      </c>
      <c r="F14665" s="33" t="s">
        <v>19</v>
      </c>
      <c r="G14665" s="33" t="s">
        <v>158</v>
      </c>
      <c r="H14665" s="35">
        <v>606</v>
      </c>
      <c r="I14665" s="33" t="s">
        <v>21</v>
      </c>
      <c r="J14665" s="42">
        <v>44936</v>
      </c>
      <c r="K14665" s="33" t="s">
        <v>22</v>
      </c>
    </row>
    <row r="14666" spans="1:11">
      <c r="A14666" s="30" t="s">
        <v>33054</v>
      </c>
      <c r="B14666" s="30" t="s">
        <v>33055</v>
      </c>
      <c r="C14666" s="30" t="s">
        <v>102</v>
      </c>
      <c r="D14666" s="30" t="s">
        <v>17</v>
      </c>
      <c r="E14666" s="30" t="s">
        <v>26</v>
      </c>
      <c r="F14666" s="30" t="s">
        <v>27</v>
      </c>
      <c r="G14666" s="30" t="s">
        <v>20</v>
      </c>
      <c r="H14666" s="32">
        <v>32</v>
      </c>
      <c r="I14666" s="30" t="s">
        <v>21</v>
      </c>
      <c r="J14666" s="41">
        <v>45028</v>
      </c>
      <c r="K14666" s="30" t="s">
        <v>22</v>
      </c>
    </row>
    <row r="14667" spans="1:11">
      <c r="A14667" s="33" t="s">
        <v>33056</v>
      </c>
      <c r="B14667" s="33" t="s">
        <v>33057</v>
      </c>
      <c r="C14667" s="33" t="s">
        <v>21937</v>
      </c>
      <c r="D14667" s="33" t="s">
        <v>17</v>
      </c>
      <c r="E14667" s="33" t="s">
        <v>31</v>
      </c>
      <c r="F14667" s="33" t="s">
        <v>32</v>
      </c>
      <c r="G14667" s="33" t="s">
        <v>20</v>
      </c>
      <c r="H14667" s="35">
        <v>30</v>
      </c>
      <c r="I14667" s="33" t="s">
        <v>21</v>
      </c>
      <c r="J14667" s="42">
        <v>45050</v>
      </c>
      <c r="K14667" s="33" t="s">
        <v>22</v>
      </c>
    </row>
    <row r="14668" spans="1:11">
      <c r="A14668" s="30" t="s">
        <v>33058</v>
      </c>
      <c r="B14668" s="30" t="s">
        <v>33059</v>
      </c>
      <c r="C14668" s="30" t="s">
        <v>5842</v>
      </c>
      <c r="D14668" s="30" t="s">
        <v>17</v>
      </c>
      <c r="E14668" s="30" t="s">
        <v>31</v>
      </c>
      <c r="F14668" s="30" t="s">
        <v>32</v>
      </c>
      <c r="G14668" s="30" t="s">
        <v>20</v>
      </c>
      <c r="H14668" s="32">
        <v>32</v>
      </c>
      <c r="I14668" s="30" t="s">
        <v>21</v>
      </c>
      <c r="J14668" s="41">
        <v>44935</v>
      </c>
      <c r="K14668" s="30" t="s">
        <v>22</v>
      </c>
    </row>
    <row r="14669" spans="1:11">
      <c r="A14669" s="33" t="s">
        <v>33060</v>
      </c>
      <c r="B14669" s="33" t="s">
        <v>33061</v>
      </c>
      <c r="C14669" s="33" t="s">
        <v>33062</v>
      </c>
      <c r="D14669" s="33" t="s">
        <v>17</v>
      </c>
      <c r="E14669" s="33" t="s">
        <v>330</v>
      </c>
      <c r="F14669" s="33" t="s">
        <v>331</v>
      </c>
      <c r="G14669" s="33" t="s">
        <v>140</v>
      </c>
      <c r="H14669" s="35">
        <v>30</v>
      </c>
      <c r="I14669" s="33" t="s">
        <v>51</v>
      </c>
      <c r="J14669" s="42">
        <v>44942</v>
      </c>
      <c r="K14669" s="33" t="s">
        <v>22</v>
      </c>
    </row>
    <row r="14670" spans="1:11">
      <c r="A14670" s="30" t="s">
        <v>33063</v>
      </c>
      <c r="B14670" s="30" t="s">
        <v>33064</v>
      </c>
      <c r="C14670" s="30" t="s">
        <v>33065</v>
      </c>
      <c r="D14670" s="30" t="s">
        <v>17</v>
      </c>
      <c r="E14670" s="30" t="s">
        <v>18</v>
      </c>
      <c r="F14670" s="30" t="s">
        <v>19</v>
      </c>
      <c r="G14670" s="30" t="s">
        <v>140</v>
      </c>
      <c r="H14670" s="32">
        <v>504</v>
      </c>
      <c r="I14670" s="30" t="s">
        <v>51</v>
      </c>
      <c r="J14670" s="41">
        <v>45132</v>
      </c>
      <c r="K14670" s="30" t="s">
        <v>22</v>
      </c>
    </row>
    <row r="14671" spans="1:11">
      <c r="A14671" s="33" t="s">
        <v>33066</v>
      </c>
      <c r="B14671" s="33" t="s">
        <v>33067</v>
      </c>
      <c r="C14671" s="33" t="s">
        <v>33068</v>
      </c>
      <c r="D14671" s="33" t="s">
        <v>17</v>
      </c>
      <c r="E14671" s="33" t="s">
        <v>26</v>
      </c>
      <c r="F14671" s="33" t="s">
        <v>27</v>
      </c>
      <c r="G14671" s="33" t="s">
        <v>20</v>
      </c>
      <c r="H14671" s="35">
        <v>147</v>
      </c>
      <c r="I14671" s="33" t="s">
        <v>21</v>
      </c>
      <c r="J14671" s="42">
        <v>45059</v>
      </c>
      <c r="K14671" s="33" t="s">
        <v>22</v>
      </c>
    </row>
    <row r="14672" spans="1:11">
      <c r="A14672" s="30" t="s">
        <v>33069</v>
      </c>
      <c r="B14672" s="30" t="s">
        <v>33070</v>
      </c>
      <c r="C14672" s="30" t="s">
        <v>13882</v>
      </c>
      <c r="D14672" s="30" t="s">
        <v>17</v>
      </c>
      <c r="E14672" s="30" t="s">
        <v>67</v>
      </c>
      <c r="F14672" s="30" t="s">
        <v>68</v>
      </c>
      <c r="G14672" s="30" t="s">
        <v>50</v>
      </c>
      <c r="H14672" s="32">
        <v>115</v>
      </c>
      <c r="I14672" s="30" t="s">
        <v>51</v>
      </c>
      <c r="J14672" s="41">
        <v>45078</v>
      </c>
      <c r="K14672" s="30" t="s">
        <v>22</v>
      </c>
    </row>
    <row r="14673" spans="1:11">
      <c r="A14673" s="33" t="s">
        <v>33071</v>
      </c>
      <c r="B14673" s="33" t="s">
        <v>33072</v>
      </c>
      <c r="C14673" s="33" t="s">
        <v>93</v>
      </c>
      <c r="D14673" s="33" t="s">
        <v>17</v>
      </c>
      <c r="E14673" s="33" t="s">
        <v>18</v>
      </c>
      <c r="F14673" s="33" t="s">
        <v>19</v>
      </c>
      <c r="G14673" s="33" t="s">
        <v>140</v>
      </c>
      <c r="H14673" s="35">
        <v>1328</v>
      </c>
      <c r="I14673" s="33" t="s">
        <v>51</v>
      </c>
      <c r="J14673" s="42">
        <v>45098</v>
      </c>
      <c r="K14673" s="33" t="s">
        <v>22</v>
      </c>
    </row>
    <row r="14674" spans="1:11">
      <c r="A14674" s="30" t="s">
        <v>33073</v>
      </c>
      <c r="B14674" s="30" t="s">
        <v>33074</v>
      </c>
      <c r="C14674" s="30" t="s">
        <v>93</v>
      </c>
      <c r="D14674" s="30" t="s">
        <v>17</v>
      </c>
      <c r="E14674" s="30" t="s">
        <v>18</v>
      </c>
      <c r="F14674" s="30" t="s">
        <v>19</v>
      </c>
      <c r="G14674" s="30" t="s">
        <v>140</v>
      </c>
      <c r="H14674" s="32">
        <v>1500</v>
      </c>
      <c r="I14674" s="30" t="s">
        <v>51</v>
      </c>
      <c r="J14674" s="41">
        <v>45210</v>
      </c>
      <c r="K14674" s="30" t="s">
        <v>22</v>
      </c>
    </row>
    <row r="14675" spans="1:11">
      <c r="A14675" s="33" t="s">
        <v>33075</v>
      </c>
      <c r="B14675" s="33" t="s">
        <v>33076</v>
      </c>
      <c r="C14675" s="33" t="s">
        <v>1778</v>
      </c>
      <c r="D14675" s="33" t="s">
        <v>17</v>
      </c>
      <c r="E14675" s="33" t="s">
        <v>26</v>
      </c>
      <c r="F14675" s="33" t="s">
        <v>27</v>
      </c>
      <c r="G14675" s="33" t="s">
        <v>20</v>
      </c>
      <c r="H14675" s="35">
        <v>12</v>
      </c>
      <c r="I14675" s="33" t="s">
        <v>21</v>
      </c>
      <c r="J14675" s="42">
        <v>44972</v>
      </c>
      <c r="K14675" s="33" t="s">
        <v>22</v>
      </c>
    </row>
    <row r="14676" spans="1:11">
      <c r="A14676" s="30" t="s">
        <v>33077</v>
      </c>
      <c r="B14676" s="30" t="s">
        <v>33078</v>
      </c>
      <c r="C14676" s="30" t="s">
        <v>178</v>
      </c>
      <c r="D14676" s="30" t="s">
        <v>17</v>
      </c>
      <c r="E14676" s="30" t="s">
        <v>31</v>
      </c>
      <c r="F14676" s="30" t="s">
        <v>32</v>
      </c>
      <c r="G14676" s="30" t="s">
        <v>158</v>
      </c>
      <c r="H14676" s="32">
        <v>182</v>
      </c>
      <c r="I14676" s="30" t="s">
        <v>21</v>
      </c>
      <c r="J14676" s="41">
        <v>45000</v>
      </c>
      <c r="K14676" s="30" t="s">
        <v>22</v>
      </c>
    </row>
    <row r="14677" spans="1:11">
      <c r="A14677" s="33" t="s">
        <v>33079</v>
      </c>
      <c r="B14677" s="33" t="s">
        <v>33080</v>
      </c>
      <c r="C14677" s="33" t="s">
        <v>8931</v>
      </c>
      <c r="D14677" s="33" t="s">
        <v>17</v>
      </c>
      <c r="E14677" s="33" t="s">
        <v>67</v>
      </c>
      <c r="F14677" s="33" t="s">
        <v>68</v>
      </c>
      <c r="G14677" s="33" t="s">
        <v>158</v>
      </c>
      <c r="H14677" s="35">
        <v>120</v>
      </c>
      <c r="I14677" s="33" t="s">
        <v>51</v>
      </c>
      <c r="J14677" s="42">
        <v>44938</v>
      </c>
      <c r="K14677" s="33" t="s">
        <v>22</v>
      </c>
    </row>
    <row r="14678" spans="1:11">
      <c r="A14678" s="30" t="s">
        <v>33081</v>
      </c>
      <c r="B14678" s="30" t="s">
        <v>33082</v>
      </c>
      <c r="C14678" s="30" t="s">
        <v>190</v>
      </c>
      <c r="D14678" s="30" t="s">
        <v>17</v>
      </c>
      <c r="E14678" s="30" t="s">
        <v>31</v>
      </c>
      <c r="F14678" s="30" t="s">
        <v>32</v>
      </c>
      <c r="G14678" s="30" t="s">
        <v>20</v>
      </c>
      <c r="H14678" s="32">
        <v>260</v>
      </c>
      <c r="I14678" s="30" t="s">
        <v>21</v>
      </c>
      <c r="J14678" s="41">
        <v>45040</v>
      </c>
      <c r="K14678" s="30" t="s">
        <v>22</v>
      </c>
    </row>
    <row r="14679" spans="1:11">
      <c r="A14679" s="33" t="s">
        <v>33083</v>
      </c>
      <c r="B14679" s="33" t="s">
        <v>33084</v>
      </c>
      <c r="C14679" s="33" t="s">
        <v>33085</v>
      </c>
      <c r="D14679" s="33" t="s">
        <v>17</v>
      </c>
      <c r="E14679" s="33" t="s">
        <v>31</v>
      </c>
      <c r="F14679" s="33" t="s">
        <v>32</v>
      </c>
      <c r="G14679" s="33" t="s">
        <v>50</v>
      </c>
      <c r="H14679" s="35">
        <v>160</v>
      </c>
      <c r="I14679" s="33" t="s">
        <v>51</v>
      </c>
      <c r="J14679" s="42">
        <v>45275</v>
      </c>
      <c r="K14679" s="33" t="s">
        <v>22</v>
      </c>
    </row>
    <row r="14680" spans="1:11">
      <c r="A14680" s="30" t="s">
        <v>33086</v>
      </c>
      <c r="B14680" s="30" t="s">
        <v>33087</v>
      </c>
      <c r="C14680" s="30" t="s">
        <v>23852</v>
      </c>
      <c r="D14680" s="30" t="s">
        <v>17</v>
      </c>
      <c r="E14680" s="30" t="s">
        <v>31</v>
      </c>
      <c r="F14680" s="30" t="s">
        <v>32</v>
      </c>
      <c r="G14680" s="30" t="s">
        <v>20</v>
      </c>
      <c r="H14680" s="32">
        <v>180</v>
      </c>
      <c r="I14680" s="30" t="s">
        <v>21</v>
      </c>
      <c r="J14680" s="41">
        <v>45113</v>
      </c>
      <c r="K14680" s="30" t="s">
        <v>22</v>
      </c>
    </row>
    <row r="14681" spans="1:11">
      <c r="A14681" s="33" t="s">
        <v>33088</v>
      </c>
      <c r="B14681" s="33" t="s">
        <v>33089</v>
      </c>
      <c r="C14681" s="33" t="s">
        <v>2663</v>
      </c>
      <c r="D14681" s="33" t="s">
        <v>17</v>
      </c>
      <c r="E14681" s="33" t="s">
        <v>212</v>
      </c>
      <c r="F14681" s="33" t="s">
        <v>213</v>
      </c>
      <c r="G14681" s="33" t="s">
        <v>20</v>
      </c>
      <c r="H14681" s="35">
        <v>60</v>
      </c>
      <c r="I14681" s="33" t="s">
        <v>21</v>
      </c>
      <c r="J14681" s="42">
        <v>44973</v>
      </c>
      <c r="K14681" s="33" t="s">
        <v>22</v>
      </c>
    </row>
    <row r="14682" spans="1:11">
      <c r="A14682" s="30" t="s">
        <v>33090</v>
      </c>
      <c r="B14682" s="30" t="s">
        <v>33091</v>
      </c>
      <c r="C14682" s="30" t="s">
        <v>16327</v>
      </c>
      <c r="D14682" s="30" t="s">
        <v>17</v>
      </c>
      <c r="E14682" s="30" t="s">
        <v>67</v>
      </c>
      <c r="F14682" s="30" t="s">
        <v>68</v>
      </c>
      <c r="G14682" s="30" t="s">
        <v>140</v>
      </c>
      <c r="H14682" s="32">
        <v>300</v>
      </c>
      <c r="I14682" s="30" t="s">
        <v>51</v>
      </c>
      <c r="J14682" s="41">
        <v>45196</v>
      </c>
      <c r="K14682" s="30" t="s">
        <v>22</v>
      </c>
    </row>
    <row r="14683" spans="1:11">
      <c r="A14683" s="33" t="s">
        <v>33092</v>
      </c>
      <c r="B14683" s="33" t="s">
        <v>33093</v>
      </c>
      <c r="C14683" s="33" t="s">
        <v>11824</v>
      </c>
      <c r="D14683" s="33" t="s">
        <v>17</v>
      </c>
      <c r="E14683" s="33" t="s">
        <v>330</v>
      </c>
      <c r="F14683" s="33" t="s">
        <v>331</v>
      </c>
      <c r="G14683" s="33" t="s">
        <v>20</v>
      </c>
      <c r="H14683" s="35">
        <v>8</v>
      </c>
      <c r="I14683" s="33" t="s">
        <v>21</v>
      </c>
      <c r="J14683" s="42">
        <v>44988</v>
      </c>
      <c r="K14683" s="33" t="s">
        <v>22</v>
      </c>
    </row>
    <row r="14684" spans="1:11">
      <c r="A14684" s="30" t="s">
        <v>33094</v>
      </c>
      <c r="B14684" s="30" t="s">
        <v>33095</v>
      </c>
      <c r="C14684" s="30" t="s">
        <v>96</v>
      </c>
      <c r="D14684" s="30" t="s">
        <v>17</v>
      </c>
      <c r="E14684" s="30" t="s">
        <v>26</v>
      </c>
      <c r="F14684" s="30" t="s">
        <v>27</v>
      </c>
      <c r="G14684" s="30" t="s">
        <v>20</v>
      </c>
      <c r="H14684" s="32">
        <v>12</v>
      </c>
      <c r="I14684" s="30" t="s">
        <v>21</v>
      </c>
      <c r="J14684" s="41">
        <v>45089</v>
      </c>
      <c r="K14684" s="30" t="s">
        <v>22</v>
      </c>
    </row>
    <row r="14685" spans="1:11">
      <c r="A14685" s="33" t="s">
        <v>33096</v>
      </c>
      <c r="B14685" s="33" t="s">
        <v>33097</v>
      </c>
      <c r="C14685" s="33" t="s">
        <v>33098</v>
      </c>
      <c r="D14685" s="33" t="s">
        <v>17</v>
      </c>
      <c r="E14685" s="33" t="s">
        <v>18</v>
      </c>
      <c r="F14685" s="33" t="s">
        <v>19</v>
      </c>
      <c r="G14685" s="33" t="s">
        <v>140</v>
      </c>
      <c r="H14685" s="35">
        <v>70</v>
      </c>
      <c r="I14685" s="33" t="s">
        <v>51</v>
      </c>
      <c r="J14685" s="42">
        <v>45027</v>
      </c>
      <c r="K14685" s="33" t="s">
        <v>22</v>
      </c>
    </row>
    <row r="14686" spans="1:11">
      <c r="A14686" s="30" t="s">
        <v>33099</v>
      </c>
      <c r="B14686" s="30" t="s">
        <v>33100</v>
      </c>
      <c r="C14686" s="30" t="s">
        <v>16063</v>
      </c>
      <c r="D14686" s="30" t="s">
        <v>17</v>
      </c>
      <c r="E14686" s="30" t="s">
        <v>26</v>
      </c>
      <c r="F14686" s="30" t="s">
        <v>27</v>
      </c>
      <c r="G14686" s="30" t="s">
        <v>112</v>
      </c>
      <c r="H14686" s="32">
        <v>0</v>
      </c>
      <c r="I14686" s="30" t="s">
        <v>21</v>
      </c>
      <c r="J14686" s="41">
        <v>44958</v>
      </c>
      <c r="K14686" s="30" t="s">
        <v>22</v>
      </c>
    </row>
    <row r="14687" spans="1:11">
      <c r="A14687" s="33" t="s">
        <v>33101</v>
      </c>
      <c r="B14687" s="33" t="s">
        <v>33102</v>
      </c>
      <c r="C14687" s="33" t="s">
        <v>18066</v>
      </c>
      <c r="D14687" s="33" t="s">
        <v>17</v>
      </c>
      <c r="E14687" s="33" t="s">
        <v>26</v>
      </c>
      <c r="F14687" s="33" t="s">
        <v>27</v>
      </c>
      <c r="G14687" s="33" t="s">
        <v>106</v>
      </c>
      <c r="H14687" s="35">
        <v>4</v>
      </c>
      <c r="I14687" s="33" t="s">
        <v>21</v>
      </c>
      <c r="J14687" s="42">
        <v>44967</v>
      </c>
      <c r="K14687" s="33" t="s">
        <v>22</v>
      </c>
    </row>
    <row r="14688" spans="1:11">
      <c r="A14688" s="30" t="s">
        <v>33103</v>
      </c>
      <c r="B14688" s="30" t="s">
        <v>33104</v>
      </c>
      <c r="C14688" s="30" t="s">
        <v>136</v>
      </c>
      <c r="D14688" s="30" t="s">
        <v>17</v>
      </c>
      <c r="E14688" s="30" t="s">
        <v>67</v>
      </c>
      <c r="F14688" s="30" t="s">
        <v>68</v>
      </c>
      <c r="G14688" s="30" t="s">
        <v>140</v>
      </c>
      <c r="H14688" s="32">
        <v>880</v>
      </c>
      <c r="I14688" s="30" t="s">
        <v>51</v>
      </c>
      <c r="J14688" s="41">
        <v>45033</v>
      </c>
      <c r="K14688" s="30" t="s">
        <v>22</v>
      </c>
    </row>
    <row r="14689" spans="1:11">
      <c r="A14689" s="33" t="s">
        <v>33105</v>
      </c>
      <c r="B14689" s="33" t="s">
        <v>33106</v>
      </c>
      <c r="C14689" s="33" t="s">
        <v>23831</v>
      </c>
      <c r="D14689" s="33" t="s">
        <v>17</v>
      </c>
      <c r="E14689" s="33" t="s">
        <v>26</v>
      </c>
      <c r="F14689" s="33" t="s">
        <v>27</v>
      </c>
      <c r="G14689" s="33" t="s">
        <v>20</v>
      </c>
      <c r="H14689" s="35">
        <v>78</v>
      </c>
      <c r="I14689" s="33" t="s">
        <v>21</v>
      </c>
      <c r="J14689" s="42">
        <v>45006</v>
      </c>
      <c r="K14689" s="33" t="s">
        <v>22</v>
      </c>
    </row>
    <row r="14690" spans="1:11">
      <c r="A14690" s="30" t="s">
        <v>33107</v>
      </c>
      <c r="B14690" s="30" t="s">
        <v>33108</v>
      </c>
      <c r="C14690" s="30" t="s">
        <v>7345</v>
      </c>
      <c r="D14690" s="30" t="s">
        <v>17</v>
      </c>
      <c r="E14690" s="30" t="s">
        <v>18</v>
      </c>
      <c r="F14690" s="30" t="s">
        <v>19</v>
      </c>
      <c r="G14690" s="30" t="s">
        <v>50</v>
      </c>
      <c r="H14690" s="32">
        <v>1260</v>
      </c>
      <c r="I14690" s="30" t="s">
        <v>21</v>
      </c>
      <c r="J14690" s="41">
        <v>45251</v>
      </c>
      <c r="K14690" s="30" t="s">
        <v>22</v>
      </c>
    </row>
    <row r="14691" spans="1:11">
      <c r="A14691" s="33" t="s">
        <v>33109</v>
      </c>
      <c r="B14691" s="33" t="s">
        <v>33110</v>
      </c>
      <c r="C14691" s="33" t="s">
        <v>33111</v>
      </c>
      <c r="D14691" s="33" t="s">
        <v>17</v>
      </c>
      <c r="E14691" s="33" t="s">
        <v>26</v>
      </c>
      <c r="F14691" s="33" t="s">
        <v>27</v>
      </c>
      <c r="G14691" s="33" t="s">
        <v>50</v>
      </c>
      <c r="H14691" s="35">
        <v>86</v>
      </c>
      <c r="I14691" s="33" t="s">
        <v>51</v>
      </c>
      <c r="J14691" s="42">
        <v>45286</v>
      </c>
      <c r="K14691" s="33" t="s">
        <v>22</v>
      </c>
    </row>
    <row r="14692" spans="1:11">
      <c r="A14692" s="30" t="s">
        <v>33112</v>
      </c>
      <c r="B14692" s="30" t="s">
        <v>33113</v>
      </c>
      <c r="C14692" s="30" t="s">
        <v>17636</v>
      </c>
      <c r="D14692" s="30" t="s">
        <v>17</v>
      </c>
      <c r="E14692" s="30" t="s">
        <v>31</v>
      </c>
      <c r="F14692" s="30" t="s">
        <v>32</v>
      </c>
      <c r="G14692" s="30" t="s">
        <v>112</v>
      </c>
      <c r="H14692" s="32">
        <v>0</v>
      </c>
      <c r="I14692" s="30" t="s">
        <v>21</v>
      </c>
      <c r="J14692" s="41">
        <v>45114</v>
      </c>
      <c r="K14692" s="30" t="s">
        <v>22</v>
      </c>
    </row>
    <row r="14693" spans="1:11">
      <c r="A14693" s="33" t="s">
        <v>33114</v>
      </c>
      <c r="B14693" s="33" t="s">
        <v>33115</v>
      </c>
      <c r="C14693" s="33" t="s">
        <v>17469</v>
      </c>
      <c r="D14693" s="33" t="s">
        <v>17</v>
      </c>
      <c r="E14693" s="33" t="s">
        <v>31</v>
      </c>
      <c r="F14693" s="33" t="s">
        <v>32</v>
      </c>
      <c r="G14693" s="33" t="s">
        <v>20</v>
      </c>
      <c r="H14693" s="35">
        <v>76</v>
      </c>
      <c r="I14693" s="33" t="s">
        <v>21</v>
      </c>
      <c r="J14693" s="42">
        <v>44949</v>
      </c>
      <c r="K14693" s="33" t="s">
        <v>22</v>
      </c>
    </row>
    <row r="14694" spans="1:11">
      <c r="A14694" s="30" t="s">
        <v>33116</v>
      </c>
      <c r="B14694" s="30" t="s">
        <v>33117</v>
      </c>
      <c r="C14694" s="30" t="s">
        <v>203</v>
      </c>
      <c r="D14694" s="30" t="s">
        <v>17</v>
      </c>
      <c r="E14694" s="30" t="s">
        <v>212</v>
      </c>
      <c r="F14694" s="30" t="s">
        <v>213</v>
      </c>
      <c r="G14694" s="30" t="s">
        <v>20</v>
      </c>
      <c r="H14694" s="32">
        <v>8</v>
      </c>
      <c r="I14694" s="30" t="s">
        <v>21</v>
      </c>
      <c r="J14694" s="41">
        <v>45240</v>
      </c>
      <c r="K14694" s="30" t="s">
        <v>22</v>
      </c>
    </row>
    <row r="14695" spans="1:11">
      <c r="A14695" s="33" t="s">
        <v>33118</v>
      </c>
      <c r="B14695" s="33" t="s">
        <v>33119</v>
      </c>
      <c r="C14695" s="33" t="s">
        <v>5084</v>
      </c>
      <c r="D14695" s="33" t="s">
        <v>17</v>
      </c>
      <c r="E14695" s="33" t="s">
        <v>18</v>
      </c>
      <c r="F14695" s="33" t="s">
        <v>19</v>
      </c>
      <c r="G14695" s="33" t="s">
        <v>50</v>
      </c>
      <c r="H14695" s="35">
        <v>454</v>
      </c>
      <c r="I14695" s="33" t="s">
        <v>51</v>
      </c>
      <c r="J14695" s="42">
        <v>45047</v>
      </c>
      <c r="K14695" s="33" t="s">
        <v>22</v>
      </c>
    </row>
    <row r="14696" spans="1:11">
      <c r="A14696" s="30" t="s">
        <v>33120</v>
      </c>
      <c r="B14696" s="30" t="s">
        <v>33121</v>
      </c>
      <c r="C14696" s="30" t="s">
        <v>187</v>
      </c>
      <c r="D14696" s="30" t="s">
        <v>17</v>
      </c>
      <c r="E14696" s="30" t="s">
        <v>18</v>
      </c>
      <c r="F14696" s="30" t="s">
        <v>19</v>
      </c>
      <c r="G14696" s="30" t="s">
        <v>140</v>
      </c>
      <c r="H14696" s="32">
        <v>480</v>
      </c>
      <c r="I14696" s="30" t="s">
        <v>51</v>
      </c>
      <c r="J14696" s="41">
        <v>45056</v>
      </c>
      <c r="K14696" s="30" t="s">
        <v>22</v>
      </c>
    </row>
    <row r="14697" spans="1:11">
      <c r="A14697" s="33" t="s">
        <v>33122</v>
      </c>
      <c r="B14697" s="33" t="s">
        <v>33123</v>
      </c>
      <c r="C14697" s="33" t="s">
        <v>33124</v>
      </c>
      <c r="D14697" s="33" t="s">
        <v>17</v>
      </c>
      <c r="E14697" s="33" t="s">
        <v>67</v>
      </c>
      <c r="F14697" s="33" t="s">
        <v>68</v>
      </c>
      <c r="G14697" s="33" t="s">
        <v>140</v>
      </c>
      <c r="H14697" s="35">
        <v>79</v>
      </c>
      <c r="I14697" s="33" t="s">
        <v>51</v>
      </c>
      <c r="J14697" s="42">
        <v>45149</v>
      </c>
      <c r="K14697" s="33" t="s">
        <v>22</v>
      </c>
    </row>
    <row r="14698" spans="1:11">
      <c r="A14698" s="30" t="s">
        <v>33125</v>
      </c>
      <c r="B14698" s="30" t="s">
        <v>33126</v>
      </c>
      <c r="C14698" s="30" t="s">
        <v>118</v>
      </c>
      <c r="D14698" s="30" t="s">
        <v>17</v>
      </c>
      <c r="E14698" s="30" t="s">
        <v>26</v>
      </c>
      <c r="F14698" s="30" t="s">
        <v>27</v>
      </c>
      <c r="G14698" s="30" t="s">
        <v>20</v>
      </c>
      <c r="H14698" s="32">
        <v>24</v>
      </c>
      <c r="I14698" s="30" t="s">
        <v>21</v>
      </c>
      <c r="J14698" s="41">
        <v>45019</v>
      </c>
      <c r="K14698" s="30" t="s">
        <v>22</v>
      </c>
    </row>
    <row r="14699" spans="1:11">
      <c r="A14699" s="33" t="s">
        <v>33127</v>
      </c>
      <c r="B14699" s="33" t="s">
        <v>33128</v>
      </c>
      <c r="C14699" s="33" t="s">
        <v>149</v>
      </c>
      <c r="D14699" s="33" t="s">
        <v>17</v>
      </c>
      <c r="E14699" s="33" t="s">
        <v>212</v>
      </c>
      <c r="F14699" s="33" t="s">
        <v>213</v>
      </c>
      <c r="G14699" s="33" t="s">
        <v>20</v>
      </c>
      <c r="H14699" s="35">
        <v>31</v>
      </c>
      <c r="I14699" s="33" t="s">
        <v>21</v>
      </c>
      <c r="J14699" s="42">
        <v>45271</v>
      </c>
      <c r="K14699" s="33" t="s">
        <v>22</v>
      </c>
    </row>
    <row r="14700" spans="1:11">
      <c r="A14700" s="30" t="s">
        <v>33129</v>
      </c>
      <c r="B14700" s="30" t="s">
        <v>33130</v>
      </c>
      <c r="C14700" s="30" t="s">
        <v>93</v>
      </c>
      <c r="D14700" s="30" t="s">
        <v>17</v>
      </c>
      <c r="E14700" s="30" t="s">
        <v>18</v>
      </c>
      <c r="F14700" s="30" t="s">
        <v>19</v>
      </c>
      <c r="G14700" s="30" t="s">
        <v>20</v>
      </c>
      <c r="H14700" s="32">
        <v>40</v>
      </c>
      <c r="I14700" s="30" t="s">
        <v>21</v>
      </c>
      <c r="J14700" s="41">
        <v>45104</v>
      </c>
      <c r="K14700" s="30" t="s">
        <v>22</v>
      </c>
    </row>
    <row r="14701" spans="1:11">
      <c r="A14701" s="33" t="s">
        <v>33131</v>
      </c>
      <c r="B14701" s="33" t="s">
        <v>33132</v>
      </c>
      <c r="C14701" s="33" t="s">
        <v>75</v>
      </c>
      <c r="D14701" s="33" t="s">
        <v>17</v>
      </c>
      <c r="E14701" s="33" t="s">
        <v>26</v>
      </c>
      <c r="F14701" s="33" t="s">
        <v>27</v>
      </c>
      <c r="G14701" s="33" t="s">
        <v>158</v>
      </c>
      <c r="H14701" s="35">
        <v>12</v>
      </c>
      <c r="I14701" s="33" t="s">
        <v>51</v>
      </c>
      <c r="J14701" s="42">
        <v>45027</v>
      </c>
      <c r="K14701" s="33" t="s">
        <v>22</v>
      </c>
    </row>
    <row r="14702" spans="1:11">
      <c r="A14702" s="30" t="s">
        <v>33133</v>
      </c>
      <c r="B14702" s="30" t="s">
        <v>33134</v>
      </c>
      <c r="C14702" s="30" t="s">
        <v>33135</v>
      </c>
      <c r="D14702" s="30" t="s">
        <v>17</v>
      </c>
      <c r="E14702" s="30" t="s">
        <v>18</v>
      </c>
      <c r="F14702" s="30" t="s">
        <v>19</v>
      </c>
      <c r="G14702" s="30" t="s">
        <v>50</v>
      </c>
      <c r="H14702" s="32">
        <v>18</v>
      </c>
      <c r="I14702" s="30" t="s">
        <v>51</v>
      </c>
      <c r="J14702" s="41">
        <v>44927</v>
      </c>
      <c r="K14702" s="30" t="s">
        <v>22</v>
      </c>
    </row>
    <row r="14703" spans="1:11">
      <c r="A14703" s="33" t="s">
        <v>33136</v>
      </c>
      <c r="B14703" s="33" t="s">
        <v>33137</v>
      </c>
      <c r="C14703" s="33" t="s">
        <v>1598</v>
      </c>
      <c r="D14703" s="33" t="s">
        <v>17</v>
      </c>
      <c r="E14703" s="33" t="s">
        <v>18</v>
      </c>
      <c r="F14703" s="33" t="s">
        <v>19</v>
      </c>
      <c r="G14703" s="33" t="s">
        <v>20</v>
      </c>
      <c r="H14703" s="35">
        <v>319</v>
      </c>
      <c r="I14703" s="33" t="s">
        <v>21</v>
      </c>
      <c r="J14703" s="42">
        <v>44932</v>
      </c>
      <c r="K14703" s="33" t="s">
        <v>22</v>
      </c>
    </row>
    <row r="14704" spans="1:11">
      <c r="A14704" s="30" t="s">
        <v>33138</v>
      </c>
      <c r="B14704" s="30" t="s">
        <v>33139</v>
      </c>
      <c r="C14704" s="30" t="s">
        <v>925</v>
      </c>
      <c r="D14704" s="30" t="s">
        <v>17</v>
      </c>
      <c r="E14704" s="30" t="s">
        <v>31</v>
      </c>
      <c r="F14704" s="30" t="s">
        <v>32</v>
      </c>
      <c r="G14704" s="30" t="s">
        <v>140</v>
      </c>
      <c r="H14704" s="32">
        <v>176</v>
      </c>
      <c r="I14704" s="30" t="s">
        <v>51</v>
      </c>
      <c r="J14704" s="41">
        <v>45265</v>
      </c>
      <c r="K14704" s="30" t="s">
        <v>22</v>
      </c>
    </row>
    <row r="14705" spans="1:11">
      <c r="A14705" s="33" t="s">
        <v>33140</v>
      </c>
      <c r="B14705" s="33" t="s">
        <v>33141</v>
      </c>
      <c r="C14705" s="33" t="s">
        <v>44</v>
      </c>
      <c r="D14705" s="33" t="s">
        <v>17</v>
      </c>
      <c r="E14705" s="33" t="s">
        <v>31</v>
      </c>
      <c r="F14705" s="33" t="s">
        <v>32</v>
      </c>
      <c r="G14705" s="33" t="s">
        <v>140</v>
      </c>
      <c r="H14705" s="35">
        <v>120</v>
      </c>
      <c r="I14705" s="33" t="s">
        <v>51</v>
      </c>
      <c r="J14705" s="42">
        <v>44966</v>
      </c>
      <c r="K14705" s="33" t="s">
        <v>22</v>
      </c>
    </row>
    <row r="14706" spans="1:11">
      <c r="A14706" s="30" t="s">
        <v>33142</v>
      </c>
      <c r="B14706" s="30" t="s">
        <v>33143</v>
      </c>
      <c r="C14706" s="30" t="s">
        <v>96</v>
      </c>
      <c r="D14706" s="30" t="s">
        <v>17</v>
      </c>
      <c r="E14706" s="30" t="s">
        <v>26</v>
      </c>
      <c r="F14706" s="30" t="s">
        <v>27</v>
      </c>
      <c r="G14706" s="30" t="s">
        <v>20</v>
      </c>
      <c r="H14706" s="32">
        <v>20</v>
      </c>
      <c r="I14706" s="30" t="s">
        <v>21</v>
      </c>
      <c r="J14706" s="41">
        <v>44944</v>
      </c>
      <c r="K14706" s="30" t="s">
        <v>22</v>
      </c>
    </row>
    <row r="14707" spans="1:11">
      <c r="A14707" s="33" t="s">
        <v>33144</v>
      </c>
      <c r="B14707" s="33" t="s">
        <v>33145</v>
      </c>
      <c r="C14707" s="33" t="s">
        <v>647</v>
      </c>
      <c r="D14707" s="33" t="s">
        <v>17</v>
      </c>
      <c r="E14707" s="33" t="s">
        <v>26</v>
      </c>
      <c r="F14707" s="33" t="s">
        <v>27</v>
      </c>
      <c r="G14707" s="33" t="s">
        <v>20</v>
      </c>
      <c r="H14707" s="35">
        <v>24</v>
      </c>
      <c r="I14707" s="33" t="s">
        <v>21</v>
      </c>
      <c r="J14707" s="42">
        <v>45237</v>
      </c>
      <c r="K14707" s="33" t="s">
        <v>22</v>
      </c>
    </row>
    <row r="14708" spans="1:11">
      <c r="A14708" s="30" t="s">
        <v>33146</v>
      </c>
      <c r="B14708" s="30" t="s">
        <v>33147</v>
      </c>
      <c r="C14708" s="30" t="s">
        <v>27689</v>
      </c>
      <c r="D14708" s="30" t="s">
        <v>17</v>
      </c>
      <c r="E14708" s="30" t="s">
        <v>26</v>
      </c>
      <c r="F14708" s="30" t="s">
        <v>27</v>
      </c>
      <c r="G14708" s="30" t="s">
        <v>20</v>
      </c>
      <c r="H14708" s="32">
        <v>24</v>
      </c>
      <c r="I14708" s="30" t="s">
        <v>21</v>
      </c>
      <c r="J14708" s="41">
        <v>45266</v>
      </c>
      <c r="K14708" s="30" t="s">
        <v>22</v>
      </c>
    </row>
    <row r="14709" spans="1:11">
      <c r="A14709" s="33" t="s">
        <v>33148</v>
      </c>
      <c r="B14709" s="33" t="s">
        <v>33149</v>
      </c>
      <c r="C14709" s="33" t="s">
        <v>12112</v>
      </c>
      <c r="D14709" s="33" t="s">
        <v>17</v>
      </c>
      <c r="E14709" s="33" t="s">
        <v>26</v>
      </c>
      <c r="F14709" s="33" t="s">
        <v>27</v>
      </c>
      <c r="G14709" s="33" t="s">
        <v>20</v>
      </c>
      <c r="H14709" s="35">
        <v>8</v>
      </c>
      <c r="I14709" s="33" t="s">
        <v>21</v>
      </c>
      <c r="J14709" s="42">
        <v>45207</v>
      </c>
      <c r="K14709" s="33" t="s">
        <v>22</v>
      </c>
    </row>
    <row r="14710" spans="1:11">
      <c r="A14710" s="30" t="s">
        <v>33150</v>
      </c>
      <c r="B14710" s="30" t="s">
        <v>33151</v>
      </c>
      <c r="C14710" s="30" t="s">
        <v>20147</v>
      </c>
      <c r="D14710" s="30" t="s">
        <v>17</v>
      </c>
      <c r="E14710" s="30" t="s">
        <v>31</v>
      </c>
      <c r="F14710" s="30" t="s">
        <v>32</v>
      </c>
      <c r="G14710" s="30" t="s">
        <v>158</v>
      </c>
      <c r="H14710" s="32">
        <v>56</v>
      </c>
      <c r="I14710" s="30" t="s">
        <v>51</v>
      </c>
      <c r="J14710" s="41">
        <v>45195</v>
      </c>
      <c r="K14710" s="30" t="s">
        <v>22</v>
      </c>
    </row>
    <row r="14711" spans="1:11">
      <c r="A14711" s="33" t="s">
        <v>33152</v>
      </c>
      <c r="B14711" s="33" t="s">
        <v>33153</v>
      </c>
      <c r="C14711" s="33" t="s">
        <v>33154</v>
      </c>
      <c r="D14711" s="33" t="s">
        <v>17</v>
      </c>
      <c r="E14711" s="33" t="s">
        <v>31</v>
      </c>
      <c r="F14711" s="33" t="s">
        <v>32</v>
      </c>
      <c r="G14711" s="33" t="s">
        <v>20</v>
      </c>
      <c r="H14711" s="35">
        <v>153</v>
      </c>
      <c r="I14711" s="33" t="s">
        <v>21</v>
      </c>
      <c r="J14711" s="42">
        <v>44985</v>
      </c>
      <c r="K14711" s="33" t="s">
        <v>22</v>
      </c>
    </row>
    <row r="14712" spans="1:11">
      <c r="A14712" s="30" t="s">
        <v>33155</v>
      </c>
      <c r="B14712" s="30" t="s">
        <v>33156</v>
      </c>
      <c r="C14712" s="30" t="s">
        <v>102</v>
      </c>
      <c r="D14712" s="30" t="s">
        <v>17</v>
      </c>
      <c r="E14712" s="30" t="s">
        <v>26</v>
      </c>
      <c r="F14712" s="30" t="s">
        <v>27</v>
      </c>
      <c r="G14712" s="30" t="s">
        <v>20</v>
      </c>
      <c r="H14712" s="32">
        <v>30</v>
      </c>
      <c r="I14712" s="30" t="s">
        <v>21</v>
      </c>
      <c r="J14712" s="41">
        <v>44971</v>
      </c>
      <c r="K14712" s="30" t="s">
        <v>22</v>
      </c>
    </row>
    <row r="14713" spans="1:11">
      <c r="A14713" s="33" t="s">
        <v>33157</v>
      </c>
      <c r="B14713" s="33" t="s">
        <v>33158</v>
      </c>
      <c r="C14713" s="33" t="s">
        <v>2842</v>
      </c>
      <c r="D14713" s="33" t="s">
        <v>17</v>
      </c>
      <c r="E14713" s="33" t="s">
        <v>26</v>
      </c>
      <c r="F14713" s="33" t="s">
        <v>27</v>
      </c>
      <c r="G14713" s="33" t="s">
        <v>20</v>
      </c>
      <c r="H14713" s="35">
        <v>32</v>
      </c>
      <c r="I14713" s="33" t="s">
        <v>21</v>
      </c>
      <c r="J14713" s="42">
        <v>44944</v>
      </c>
      <c r="K14713" s="33" t="s">
        <v>22</v>
      </c>
    </row>
    <row r="14714" spans="1:11">
      <c r="A14714" s="30" t="s">
        <v>33159</v>
      </c>
      <c r="B14714" s="30" t="s">
        <v>33160</v>
      </c>
      <c r="C14714" s="30" t="s">
        <v>33161</v>
      </c>
      <c r="D14714" s="30" t="s">
        <v>17</v>
      </c>
      <c r="E14714" s="30" t="s">
        <v>31</v>
      </c>
      <c r="F14714" s="30" t="s">
        <v>32</v>
      </c>
      <c r="G14714" s="30" t="s">
        <v>20</v>
      </c>
      <c r="H14714" s="32">
        <v>73</v>
      </c>
      <c r="I14714" s="30" t="s">
        <v>21</v>
      </c>
      <c r="J14714" s="41">
        <v>45007</v>
      </c>
      <c r="K14714" s="30" t="s">
        <v>22</v>
      </c>
    </row>
    <row r="14715" spans="1:11">
      <c r="A14715" s="33" t="s">
        <v>33162</v>
      </c>
      <c r="B14715" s="33" t="s">
        <v>33163</v>
      </c>
      <c r="C14715" s="33" t="s">
        <v>190</v>
      </c>
      <c r="D14715" s="33" t="s">
        <v>17</v>
      </c>
      <c r="E14715" s="33" t="s">
        <v>26</v>
      </c>
      <c r="F14715" s="33" t="s">
        <v>27</v>
      </c>
      <c r="G14715" s="33" t="s">
        <v>20</v>
      </c>
      <c r="H14715" s="35">
        <v>8</v>
      </c>
      <c r="I14715" s="33" t="s">
        <v>21</v>
      </c>
      <c r="J14715" s="42">
        <v>45035</v>
      </c>
      <c r="K14715" s="33" t="s">
        <v>22</v>
      </c>
    </row>
    <row r="14716" spans="1:11">
      <c r="A14716" s="30" t="s">
        <v>33164</v>
      </c>
      <c r="B14716" s="30" t="s">
        <v>33165</v>
      </c>
      <c r="C14716" s="30" t="s">
        <v>739</v>
      </c>
      <c r="D14716" s="30" t="s">
        <v>17</v>
      </c>
      <c r="E14716" s="30" t="s">
        <v>31</v>
      </c>
      <c r="F14716" s="30" t="s">
        <v>32</v>
      </c>
      <c r="G14716" s="30" t="s">
        <v>106</v>
      </c>
      <c r="H14716" s="32">
        <v>66</v>
      </c>
      <c r="I14716" s="30" t="s">
        <v>21</v>
      </c>
      <c r="J14716" s="41">
        <v>45059</v>
      </c>
      <c r="K14716" s="30" t="s">
        <v>22</v>
      </c>
    </row>
    <row r="14717" spans="1:11">
      <c r="A14717" s="33" t="s">
        <v>33166</v>
      </c>
      <c r="B14717" s="33" t="s">
        <v>33167</v>
      </c>
      <c r="C14717" s="33" t="s">
        <v>925</v>
      </c>
      <c r="D14717" s="33" t="s">
        <v>17</v>
      </c>
      <c r="E14717" s="33" t="s">
        <v>31</v>
      </c>
      <c r="F14717" s="33" t="s">
        <v>32</v>
      </c>
      <c r="G14717" s="33" t="s">
        <v>158</v>
      </c>
      <c r="H14717" s="35">
        <v>253</v>
      </c>
      <c r="I14717" s="33" t="s">
        <v>21</v>
      </c>
      <c r="J14717" s="42">
        <v>45247</v>
      </c>
      <c r="K14717" s="33" t="s">
        <v>22</v>
      </c>
    </row>
    <row r="14718" spans="1:11">
      <c r="A14718" s="30" t="s">
        <v>33168</v>
      </c>
      <c r="B14718" s="30" t="s">
        <v>33169</v>
      </c>
      <c r="C14718" s="30" t="s">
        <v>356</v>
      </c>
      <c r="D14718" s="30" t="s">
        <v>17</v>
      </c>
      <c r="E14718" s="30" t="s">
        <v>18</v>
      </c>
      <c r="F14718" s="30" t="s">
        <v>19</v>
      </c>
      <c r="G14718" s="30" t="s">
        <v>140</v>
      </c>
      <c r="H14718" s="32">
        <v>504</v>
      </c>
      <c r="I14718" s="30" t="s">
        <v>51</v>
      </c>
      <c r="J14718" s="41">
        <v>45203</v>
      </c>
      <c r="K14718" s="30" t="s">
        <v>22</v>
      </c>
    </row>
    <row r="14719" spans="1:11">
      <c r="A14719" s="33" t="s">
        <v>33170</v>
      </c>
      <c r="B14719" s="33" t="s">
        <v>33171</v>
      </c>
      <c r="C14719" s="33" t="s">
        <v>78</v>
      </c>
      <c r="D14719" s="33" t="s">
        <v>17</v>
      </c>
      <c r="E14719" s="33" t="s">
        <v>26</v>
      </c>
      <c r="F14719" s="33" t="s">
        <v>27</v>
      </c>
      <c r="G14719" s="33" t="s">
        <v>20</v>
      </c>
      <c r="H14719" s="35">
        <v>24</v>
      </c>
      <c r="I14719" s="33" t="s">
        <v>21</v>
      </c>
      <c r="J14719" s="42">
        <v>45117</v>
      </c>
      <c r="K14719" s="33" t="s">
        <v>22</v>
      </c>
    </row>
    <row r="14720" spans="1:11">
      <c r="A14720" s="30" t="s">
        <v>33172</v>
      </c>
      <c r="B14720" s="30" t="s">
        <v>33173</v>
      </c>
      <c r="C14720" s="30" t="s">
        <v>3922</v>
      </c>
      <c r="D14720" s="30" t="s">
        <v>17</v>
      </c>
      <c r="E14720" s="30" t="s">
        <v>18</v>
      </c>
      <c r="F14720" s="30" t="s">
        <v>19</v>
      </c>
      <c r="G14720" s="30" t="s">
        <v>158</v>
      </c>
      <c r="H14720" s="32">
        <v>1116</v>
      </c>
      <c r="I14720" s="30" t="s">
        <v>21</v>
      </c>
      <c r="J14720" s="41">
        <v>44942</v>
      </c>
      <c r="K14720" s="30" t="s">
        <v>22</v>
      </c>
    </row>
    <row r="14721" spans="1:11">
      <c r="A14721" s="33" t="s">
        <v>33174</v>
      </c>
      <c r="B14721" s="33" t="s">
        <v>33175</v>
      </c>
      <c r="C14721" s="33" t="s">
        <v>178</v>
      </c>
      <c r="D14721" s="33" t="s">
        <v>17</v>
      </c>
      <c r="E14721" s="33" t="s">
        <v>18</v>
      </c>
      <c r="F14721" s="33" t="s">
        <v>19</v>
      </c>
      <c r="G14721" s="33" t="s">
        <v>158</v>
      </c>
      <c r="H14721" s="35">
        <v>420</v>
      </c>
      <c r="I14721" s="33" t="s">
        <v>51</v>
      </c>
      <c r="J14721" s="42">
        <v>45084</v>
      </c>
      <c r="K14721" s="33" t="s">
        <v>22</v>
      </c>
    </row>
    <row r="14722" spans="1:11">
      <c r="A14722" s="30" t="s">
        <v>33176</v>
      </c>
      <c r="B14722" s="30" t="s">
        <v>33177</v>
      </c>
      <c r="C14722" s="30" t="s">
        <v>6202</v>
      </c>
      <c r="D14722" s="30" t="s">
        <v>17</v>
      </c>
      <c r="E14722" s="30" t="s">
        <v>212</v>
      </c>
      <c r="F14722" s="30" t="s">
        <v>213</v>
      </c>
      <c r="G14722" s="30" t="s">
        <v>20</v>
      </c>
      <c r="H14722" s="32">
        <v>220</v>
      </c>
      <c r="I14722" s="30" t="s">
        <v>21</v>
      </c>
      <c r="J14722" s="41">
        <v>45078</v>
      </c>
      <c r="K14722" s="30" t="s">
        <v>22</v>
      </c>
    </row>
    <row r="14723" spans="1:11">
      <c r="A14723" s="33" t="s">
        <v>33178</v>
      </c>
      <c r="B14723" s="33" t="s">
        <v>33179</v>
      </c>
      <c r="C14723" s="33" t="s">
        <v>33180</v>
      </c>
      <c r="D14723" s="33" t="s">
        <v>17</v>
      </c>
      <c r="E14723" s="33" t="s">
        <v>26</v>
      </c>
      <c r="F14723" s="33" t="s">
        <v>27</v>
      </c>
      <c r="G14723" s="33" t="s">
        <v>140</v>
      </c>
      <c r="H14723" s="35">
        <v>165</v>
      </c>
      <c r="I14723" s="33" t="s">
        <v>51</v>
      </c>
      <c r="J14723" s="42">
        <v>45183</v>
      </c>
      <c r="K14723" s="33" t="s">
        <v>22</v>
      </c>
    </row>
    <row r="14724" spans="1:11">
      <c r="A14724" s="30" t="s">
        <v>33181</v>
      </c>
      <c r="B14724" s="30" t="s">
        <v>33182</v>
      </c>
      <c r="C14724" s="30" t="s">
        <v>11609</v>
      </c>
      <c r="D14724" s="30" t="s">
        <v>17</v>
      </c>
      <c r="E14724" s="30" t="s">
        <v>18</v>
      </c>
      <c r="F14724" s="30" t="s">
        <v>19</v>
      </c>
      <c r="G14724" s="30" t="s">
        <v>20</v>
      </c>
      <c r="H14724" s="32">
        <v>623</v>
      </c>
      <c r="I14724" s="30" t="s">
        <v>21</v>
      </c>
      <c r="J14724" s="41">
        <v>44936</v>
      </c>
      <c r="K14724" s="30" t="s">
        <v>22</v>
      </c>
    </row>
    <row r="14725" spans="1:11">
      <c r="A14725" s="33" t="s">
        <v>33183</v>
      </c>
      <c r="B14725" s="33" t="s">
        <v>33184</v>
      </c>
      <c r="C14725" s="33" t="s">
        <v>75</v>
      </c>
      <c r="D14725" s="33" t="s">
        <v>17</v>
      </c>
      <c r="E14725" s="33" t="s">
        <v>26</v>
      </c>
      <c r="F14725" s="33" t="s">
        <v>27</v>
      </c>
      <c r="G14725" s="33" t="s">
        <v>20</v>
      </c>
      <c r="H14725" s="35">
        <v>18</v>
      </c>
      <c r="I14725" s="33" t="s">
        <v>21</v>
      </c>
      <c r="J14725" s="42">
        <v>45077</v>
      </c>
      <c r="K14725" s="33" t="s">
        <v>22</v>
      </c>
    </row>
    <row r="14726" spans="1:11">
      <c r="A14726" s="30" t="s">
        <v>33185</v>
      </c>
      <c r="B14726" s="30" t="s">
        <v>33186</v>
      </c>
      <c r="C14726" s="30" t="s">
        <v>13877</v>
      </c>
      <c r="D14726" s="30" t="s">
        <v>17</v>
      </c>
      <c r="E14726" s="30" t="s">
        <v>26</v>
      </c>
      <c r="F14726" s="30" t="s">
        <v>27</v>
      </c>
      <c r="G14726" s="30" t="s">
        <v>20</v>
      </c>
      <c r="H14726" s="32">
        <v>12</v>
      </c>
      <c r="I14726" s="30" t="s">
        <v>21</v>
      </c>
      <c r="J14726" s="41">
        <v>44952</v>
      </c>
      <c r="K14726" s="30" t="s">
        <v>22</v>
      </c>
    </row>
    <row r="14727" spans="1:11">
      <c r="A14727" s="33" t="s">
        <v>33187</v>
      </c>
      <c r="B14727" s="33" t="s">
        <v>33188</v>
      </c>
      <c r="C14727" s="33" t="s">
        <v>5050</v>
      </c>
      <c r="D14727" s="33" t="s">
        <v>17</v>
      </c>
      <c r="E14727" s="33" t="s">
        <v>212</v>
      </c>
      <c r="F14727" s="33" t="s">
        <v>213</v>
      </c>
      <c r="G14727" s="33" t="s">
        <v>158</v>
      </c>
      <c r="H14727" s="35">
        <v>198</v>
      </c>
      <c r="I14727" s="33" t="s">
        <v>21</v>
      </c>
      <c r="J14727" s="42">
        <v>45217</v>
      </c>
      <c r="K14727" s="33" t="s">
        <v>22</v>
      </c>
    </row>
    <row r="14728" spans="1:11">
      <c r="A14728" s="30" t="s">
        <v>33189</v>
      </c>
      <c r="B14728" s="30" t="s">
        <v>33190</v>
      </c>
      <c r="C14728" s="30" t="s">
        <v>2363</v>
      </c>
      <c r="D14728" s="30" t="s">
        <v>17</v>
      </c>
      <c r="E14728" s="30" t="s">
        <v>26</v>
      </c>
      <c r="F14728" s="30" t="s">
        <v>27</v>
      </c>
      <c r="G14728" s="30" t="s">
        <v>158</v>
      </c>
      <c r="H14728" s="32">
        <v>60</v>
      </c>
      <c r="I14728" s="30" t="s">
        <v>51</v>
      </c>
      <c r="J14728" s="41">
        <v>44939</v>
      </c>
      <c r="K14728" s="30" t="s">
        <v>22</v>
      </c>
    </row>
    <row r="14729" spans="1:11">
      <c r="A14729" s="33" t="s">
        <v>33191</v>
      </c>
      <c r="B14729" s="33" t="s">
        <v>33192</v>
      </c>
      <c r="C14729" s="33" t="s">
        <v>647</v>
      </c>
      <c r="D14729" s="33" t="s">
        <v>17</v>
      </c>
      <c r="E14729" s="33" t="s">
        <v>26</v>
      </c>
      <c r="F14729" s="33" t="s">
        <v>27</v>
      </c>
      <c r="G14729" s="33" t="s">
        <v>20</v>
      </c>
      <c r="H14729" s="35">
        <v>17</v>
      </c>
      <c r="I14729" s="33" t="s">
        <v>21</v>
      </c>
      <c r="J14729" s="42">
        <v>45091</v>
      </c>
      <c r="K14729" s="33" t="s">
        <v>22</v>
      </c>
    </row>
    <row r="14730" spans="1:11">
      <c r="A14730" s="30" t="s">
        <v>33193</v>
      </c>
      <c r="B14730" s="30" t="s">
        <v>33194</v>
      </c>
      <c r="C14730" s="30" t="s">
        <v>510</v>
      </c>
      <c r="D14730" s="30" t="s">
        <v>17</v>
      </c>
      <c r="E14730" s="30" t="s">
        <v>31</v>
      </c>
      <c r="F14730" s="30" t="s">
        <v>32</v>
      </c>
      <c r="G14730" s="30" t="s">
        <v>140</v>
      </c>
      <c r="H14730" s="32">
        <v>52</v>
      </c>
      <c r="I14730" s="30" t="s">
        <v>51</v>
      </c>
      <c r="J14730" s="41">
        <v>45188</v>
      </c>
      <c r="K14730" s="30" t="s">
        <v>22</v>
      </c>
    </row>
    <row r="14731" spans="1:11">
      <c r="A14731" s="33" t="s">
        <v>33195</v>
      </c>
      <c r="B14731" s="33" t="s">
        <v>33196</v>
      </c>
      <c r="C14731" s="33" t="s">
        <v>25561</v>
      </c>
      <c r="D14731" s="33" t="s">
        <v>17</v>
      </c>
      <c r="E14731" s="33" t="s">
        <v>26</v>
      </c>
      <c r="F14731" s="33" t="s">
        <v>27</v>
      </c>
      <c r="G14731" s="33" t="s">
        <v>20</v>
      </c>
      <c r="H14731" s="35">
        <v>48</v>
      </c>
      <c r="I14731" s="33" t="s">
        <v>21</v>
      </c>
      <c r="J14731" s="42">
        <v>44986</v>
      </c>
      <c r="K14731" s="33" t="s">
        <v>22</v>
      </c>
    </row>
    <row r="14732" spans="1:11">
      <c r="A14732" s="30" t="s">
        <v>33197</v>
      </c>
      <c r="B14732" s="30" t="s">
        <v>33198</v>
      </c>
      <c r="C14732" s="30" t="s">
        <v>329</v>
      </c>
      <c r="D14732" s="30" t="s">
        <v>17</v>
      </c>
      <c r="E14732" s="30" t="s">
        <v>18</v>
      </c>
      <c r="F14732" s="30" t="s">
        <v>19</v>
      </c>
      <c r="G14732" s="30" t="s">
        <v>20</v>
      </c>
      <c r="H14732" s="32">
        <v>1000</v>
      </c>
      <c r="I14732" s="30" t="s">
        <v>21</v>
      </c>
      <c r="J14732" s="41">
        <v>45185</v>
      </c>
      <c r="K14732" s="30" t="s">
        <v>22</v>
      </c>
    </row>
    <row r="14733" spans="1:11">
      <c r="A14733" s="33" t="s">
        <v>33199</v>
      </c>
      <c r="B14733" s="33" t="s">
        <v>33200</v>
      </c>
      <c r="C14733" s="33" t="s">
        <v>24716</v>
      </c>
      <c r="D14733" s="33" t="s">
        <v>17</v>
      </c>
      <c r="E14733" s="33" t="s">
        <v>67</v>
      </c>
      <c r="F14733" s="33" t="s">
        <v>68</v>
      </c>
      <c r="G14733" s="33" t="s">
        <v>50</v>
      </c>
      <c r="H14733" s="35">
        <v>8</v>
      </c>
      <c r="I14733" s="33" t="s">
        <v>51</v>
      </c>
      <c r="J14733" s="42">
        <v>45046</v>
      </c>
      <c r="K14733" s="33" t="s">
        <v>22</v>
      </c>
    </row>
    <row r="14734" spans="1:11">
      <c r="A14734" s="30" t="s">
        <v>33201</v>
      </c>
      <c r="B14734" s="30" t="s">
        <v>33202</v>
      </c>
      <c r="C14734" s="30" t="s">
        <v>96</v>
      </c>
      <c r="D14734" s="30" t="s">
        <v>17</v>
      </c>
      <c r="E14734" s="30" t="s">
        <v>26</v>
      </c>
      <c r="F14734" s="30" t="s">
        <v>27</v>
      </c>
      <c r="G14734" s="30" t="s">
        <v>20</v>
      </c>
      <c r="H14734" s="32">
        <v>42</v>
      </c>
      <c r="I14734" s="30" t="s">
        <v>21</v>
      </c>
      <c r="J14734" s="41">
        <v>45286</v>
      </c>
      <c r="K14734" s="30" t="s">
        <v>22</v>
      </c>
    </row>
    <row r="14735" spans="1:11">
      <c r="A14735" s="33" t="s">
        <v>33203</v>
      </c>
      <c r="B14735" s="33" t="s">
        <v>33204</v>
      </c>
      <c r="C14735" s="33" t="s">
        <v>399</v>
      </c>
      <c r="D14735" s="33" t="s">
        <v>17</v>
      </c>
      <c r="E14735" s="33" t="s">
        <v>26</v>
      </c>
      <c r="F14735" s="33" t="s">
        <v>27</v>
      </c>
      <c r="G14735" s="33" t="s">
        <v>20</v>
      </c>
      <c r="H14735" s="35">
        <v>80</v>
      </c>
      <c r="I14735" s="33" t="s">
        <v>21</v>
      </c>
      <c r="J14735" s="42">
        <v>45159</v>
      </c>
      <c r="K14735" s="33" t="s">
        <v>22</v>
      </c>
    </row>
    <row r="14736" spans="1:11">
      <c r="A14736" s="30" t="s">
        <v>33205</v>
      </c>
      <c r="B14736" s="30" t="s">
        <v>33206</v>
      </c>
      <c r="C14736" s="30" t="s">
        <v>4742</v>
      </c>
      <c r="D14736" s="30" t="s">
        <v>17</v>
      </c>
      <c r="E14736" s="30" t="s">
        <v>18</v>
      </c>
      <c r="F14736" s="30" t="s">
        <v>19</v>
      </c>
      <c r="G14736" s="30" t="s">
        <v>112</v>
      </c>
      <c r="H14736" s="32">
        <v>0</v>
      </c>
      <c r="I14736" s="30" t="s">
        <v>21</v>
      </c>
      <c r="J14736" s="41">
        <v>44977</v>
      </c>
      <c r="K14736" s="30" t="s">
        <v>22</v>
      </c>
    </row>
    <row r="14737" spans="1:11">
      <c r="A14737" s="33" t="s">
        <v>33207</v>
      </c>
      <c r="B14737" s="33" t="s">
        <v>33208</v>
      </c>
      <c r="C14737" s="33" t="s">
        <v>17877</v>
      </c>
      <c r="D14737" s="33" t="s">
        <v>17</v>
      </c>
      <c r="E14737" s="33" t="s">
        <v>31</v>
      </c>
      <c r="F14737" s="33" t="s">
        <v>32</v>
      </c>
      <c r="G14737" s="33" t="s">
        <v>20</v>
      </c>
      <c r="H14737" s="35">
        <v>154</v>
      </c>
      <c r="I14737" s="33" t="s">
        <v>21</v>
      </c>
      <c r="J14737" s="42">
        <v>45197</v>
      </c>
      <c r="K14737" s="33" t="s">
        <v>22</v>
      </c>
    </row>
    <row r="14738" spans="1:11">
      <c r="A14738" s="30" t="s">
        <v>33209</v>
      </c>
      <c r="B14738" s="30" t="s">
        <v>33210</v>
      </c>
      <c r="C14738" s="30" t="s">
        <v>15585</v>
      </c>
      <c r="D14738" s="30" t="s">
        <v>17</v>
      </c>
      <c r="E14738" s="30" t="s">
        <v>31</v>
      </c>
      <c r="F14738" s="30" t="s">
        <v>32</v>
      </c>
      <c r="G14738" s="30" t="s">
        <v>20</v>
      </c>
      <c r="H14738" s="32">
        <v>61</v>
      </c>
      <c r="I14738" s="30" t="s">
        <v>21</v>
      </c>
      <c r="J14738" s="41">
        <v>45215</v>
      </c>
      <c r="K14738" s="30" t="s">
        <v>22</v>
      </c>
    </row>
    <row r="14739" spans="1:11">
      <c r="A14739" s="33" t="s">
        <v>33211</v>
      </c>
      <c r="B14739" s="33" t="s">
        <v>33212</v>
      </c>
      <c r="C14739" s="33" t="s">
        <v>44</v>
      </c>
      <c r="D14739" s="33" t="s">
        <v>17</v>
      </c>
      <c r="E14739" s="33" t="s">
        <v>18</v>
      </c>
      <c r="F14739" s="33" t="s">
        <v>19</v>
      </c>
      <c r="G14739" s="33" t="s">
        <v>140</v>
      </c>
      <c r="H14739" s="35">
        <v>904</v>
      </c>
      <c r="I14739" s="33" t="s">
        <v>51</v>
      </c>
      <c r="J14739" s="42">
        <v>45273</v>
      </c>
      <c r="K14739" s="33" t="s">
        <v>22</v>
      </c>
    </row>
    <row r="14740" spans="1:11">
      <c r="A14740" s="30" t="s">
        <v>33213</v>
      </c>
      <c r="B14740" s="30" t="s">
        <v>33214</v>
      </c>
      <c r="C14740" s="30" t="s">
        <v>32675</v>
      </c>
      <c r="D14740" s="30" t="s">
        <v>17</v>
      </c>
      <c r="E14740" s="30" t="s">
        <v>67</v>
      </c>
      <c r="F14740" s="30" t="s">
        <v>68</v>
      </c>
      <c r="G14740" s="30" t="s">
        <v>20</v>
      </c>
      <c r="H14740" s="32">
        <v>33</v>
      </c>
      <c r="I14740" s="30" t="s">
        <v>21</v>
      </c>
      <c r="J14740" s="41">
        <v>45174</v>
      </c>
      <c r="K14740" s="30" t="s">
        <v>22</v>
      </c>
    </row>
    <row r="14741" spans="1:11">
      <c r="A14741" s="33" t="s">
        <v>33215</v>
      </c>
      <c r="B14741" s="33" t="s">
        <v>33216</v>
      </c>
      <c r="C14741" s="33" t="s">
        <v>25915</v>
      </c>
      <c r="D14741" s="33" t="s">
        <v>17</v>
      </c>
      <c r="E14741" s="33" t="s">
        <v>26</v>
      </c>
      <c r="F14741" s="33" t="s">
        <v>27</v>
      </c>
      <c r="G14741" s="33" t="s">
        <v>20</v>
      </c>
      <c r="H14741" s="35">
        <v>10</v>
      </c>
      <c r="I14741" s="33" t="s">
        <v>21</v>
      </c>
      <c r="J14741" s="42">
        <v>45159</v>
      </c>
      <c r="K14741" s="33" t="s">
        <v>22</v>
      </c>
    </row>
    <row r="14742" spans="1:11">
      <c r="A14742" s="30" t="s">
        <v>33217</v>
      </c>
      <c r="B14742" s="30" t="s">
        <v>33218</v>
      </c>
      <c r="C14742" s="30" t="s">
        <v>3790</v>
      </c>
      <c r="D14742" s="30" t="s">
        <v>17</v>
      </c>
      <c r="E14742" s="30" t="s">
        <v>26</v>
      </c>
      <c r="F14742" s="30" t="s">
        <v>27</v>
      </c>
      <c r="G14742" s="30" t="s">
        <v>20</v>
      </c>
      <c r="H14742" s="32">
        <v>24</v>
      </c>
      <c r="I14742" s="30" t="s">
        <v>21</v>
      </c>
      <c r="J14742" s="41">
        <v>45024</v>
      </c>
      <c r="K14742" s="30" t="s">
        <v>22</v>
      </c>
    </row>
    <row r="14743" spans="1:11">
      <c r="A14743" s="33" t="s">
        <v>33219</v>
      </c>
      <c r="B14743" s="33" t="s">
        <v>33220</v>
      </c>
      <c r="C14743" s="33" t="s">
        <v>109</v>
      </c>
      <c r="D14743" s="33" t="s">
        <v>17</v>
      </c>
      <c r="E14743" s="33" t="s">
        <v>26</v>
      </c>
      <c r="F14743" s="33" t="s">
        <v>27</v>
      </c>
      <c r="G14743" s="33" t="s">
        <v>20</v>
      </c>
      <c r="H14743" s="35">
        <v>10</v>
      </c>
      <c r="I14743" s="33" t="s">
        <v>21</v>
      </c>
      <c r="J14743" s="42">
        <v>44937</v>
      </c>
      <c r="K14743" s="33" t="s">
        <v>22</v>
      </c>
    </row>
    <row r="14744" spans="1:11">
      <c r="A14744" s="30" t="s">
        <v>33221</v>
      </c>
      <c r="B14744" s="30" t="s">
        <v>33222</v>
      </c>
      <c r="C14744" s="30" t="s">
        <v>93</v>
      </c>
      <c r="D14744" s="30" t="s">
        <v>17</v>
      </c>
      <c r="E14744" s="30" t="s">
        <v>26</v>
      </c>
      <c r="F14744" s="30" t="s">
        <v>27</v>
      </c>
      <c r="G14744" s="30" t="s">
        <v>20</v>
      </c>
      <c r="H14744" s="32">
        <v>24</v>
      </c>
      <c r="I14744" s="30" t="s">
        <v>21</v>
      </c>
      <c r="J14744" s="41">
        <v>45034</v>
      </c>
      <c r="K14744" s="30" t="s">
        <v>22</v>
      </c>
    </row>
    <row r="14745" spans="1:11">
      <c r="A14745" s="33" t="s">
        <v>33223</v>
      </c>
      <c r="B14745" s="33" t="s">
        <v>33224</v>
      </c>
      <c r="C14745" s="33" t="s">
        <v>3013</v>
      </c>
      <c r="D14745" s="33" t="s">
        <v>17</v>
      </c>
      <c r="E14745" s="33" t="s">
        <v>26</v>
      </c>
      <c r="F14745" s="33" t="s">
        <v>27</v>
      </c>
      <c r="G14745" s="33" t="s">
        <v>20</v>
      </c>
      <c r="H14745" s="35">
        <v>56</v>
      </c>
      <c r="I14745" s="33" t="s">
        <v>21</v>
      </c>
      <c r="J14745" s="42">
        <v>45181</v>
      </c>
      <c r="K14745" s="33" t="s">
        <v>22</v>
      </c>
    </row>
    <row r="14746" spans="1:11">
      <c r="A14746" s="30" t="s">
        <v>33225</v>
      </c>
      <c r="B14746" s="30" t="s">
        <v>33226</v>
      </c>
      <c r="C14746" s="30" t="s">
        <v>14816</v>
      </c>
      <c r="D14746" s="30" t="s">
        <v>17</v>
      </c>
      <c r="E14746" s="30" t="s">
        <v>26</v>
      </c>
      <c r="F14746" s="30" t="s">
        <v>27</v>
      </c>
      <c r="G14746" s="30" t="s">
        <v>20</v>
      </c>
      <c r="H14746" s="32">
        <v>16</v>
      </c>
      <c r="I14746" s="30" t="s">
        <v>21</v>
      </c>
      <c r="J14746" s="41">
        <v>45281</v>
      </c>
      <c r="K14746" s="30" t="s">
        <v>22</v>
      </c>
    </row>
    <row r="14747" spans="1:11">
      <c r="A14747" s="33" t="s">
        <v>33227</v>
      </c>
      <c r="B14747" s="33" t="s">
        <v>33228</v>
      </c>
      <c r="C14747" s="33" t="s">
        <v>647</v>
      </c>
      <c r="D14747" s="33" t="s">
        <v>17</v>
      </c>
      <c r="E14747" s="33" t="s">
        <v>26</v>
      </c>
      <c r="F14747" s="33" t="s">
        <v>27</v>
      </c>
      <c r="G14747" s="33" t="s">
        <v>20</v>
      </c>
      <c r="H14747" s="35">
        <v>37</v>
      </c>
      <c r="I14747" s="33" t="s">
        <v>21</v>
      </c>
      <c r="J14747" s="42">
        <v>44991</v>
      </c>
      <c r="K14747" s="33" t="s">
        <v>22</v>
      </c>
    </row>
    <row r="14748" spans="1:11">
      <c r="A14748" s="30" t="s">
        <v>33229</v>
      </c>
      <c r="B14748" s="30" t="s">
        <v>33230</v>
      </c>
      <c r="C14748" s="30" t="s">
        <v>287</v>
      </c>
      <c r="D14748" s="30" t="s">
        <v>17</v>
      </c>
      <c r="E14748" s="30" t="s">
        <v>31</v>
      </c>
      <c r="F14748" s="30" t="s">
        <v>32</v>
      </c>
      <c r="G14748" s="30" t="s">
        <v>20</v>
      </c>
      <c r="H14748" s="32">
        <v>84</v>
      </c>
      <c r="I14748" s="30" t="s">
        <v>21</v>
      </c>
      <c r="J14748" s="41">
        <v>45229</v>
      </c>
      <c r="K14748" s="30" t="s">
        <v>22</v>
      </c>
    </row>
    <row r="14749" spans="1:11">
      <c r="A14749" s="33" t="s">
        <v>33231</v>
      </c>
      <c r="B14749" s="33" t="s">
        <v>33232</v>
      </c>
      <c r="C14749" s="33" t="s">
        <v>33233</v>
      </c>
      <c r="D14749" s="33" t="s">
        <v>17</v>
      </c>
      <c r="E14749" s="33" t="s">
        <v>26</v>
      </c>
      <c r="F14749" s="33" t="s">
        <v>27</v>
      </c>
      <c r="G14749" s="33" t="s">
        <v>50</v>
      </c>
      <c r="H14749" s="35">
        <v>40</v>
      </c>
      <c r="I14749" s="33" t="s">
        <v>51</v>
      </c>
      <c r="J14749" s="42">
        <v>45017</v>
      </c>
      <c r="K14749" s="33" t="s">
        <v>22</v>
      </c>
    </row>
    <row r="14750" spans="1:11">
      <c r="A14750" s="30" t="s">
        <v>33234</v>
      </c>
      <c r="B14750" s="30" t="s">
        <v>33235</v>
      </c>
      <c r="C14750" s="30" t="s">
        <v>1133</v>
      </c>
      <c r="D14750" s="30" t="s">
        <v>17</v>
      </c>
      <c r="E14750" s="30" t="s">
        <v>18</v>
      </c>
      <c r="F14750" s="30" t="s">
        <v>19</v>
      </c>
      <c r="G14750" s="30" t="s">
        <v>140</v>
      </c>
      <c r="H14750" s="32">
        <v>510</v>
      </c>
      <c r="I14750" s="30" t="s">
        <v>51</v>
      </c>
      <c r="J14750" s="41">
        <v>45246</v>
      </c>
      <c r="K14750" s="30" t="s">
        <v>22</v>
      </c>
    </row>
    <row r="14751" spans="1:11">
      <c r="A14751" s="33" t="s">
        <v>33236</v>
      </c>
      <c r="B14751" s="33" t="s">
        <v>33237</v>
      </c>
      <c r="C14751" s="33" t="s">
        <v>75</v>
      </c>
      <c r="D14751" s="33" t="s">
        <v>17</v>
      </c>
      <c r="E14751" s="33" t="s">
        <v>18</v>
      </c>
      <c r="F14751" s="33" t="s">
        <v>19</v>
      </c>
      <c r="G14751" s="33" t="s">
        <v>158</v>
      </c>
      <c r="H14751" s="35">
        <v>1255</v>
      </c>
      <c r="I14751" s="33" t="s">
        <v>21</v>
      </c>
      <c r="J14751" s="42">
        <v>45183</v>
      </c>
      <c r="K14751" s="33" t="s">
        <v>22</v>
      </c>
    </row>
    <row r="14752" spans="1:11">
      <c r="A14752" s="30" t="s">
        <v>33238</v>
      </c>
      <c r="B14752" s="30" t="s">
        <v>33239</v>
      </c>
      <c r="C14752" s="30" t="s">
        <v>102</v>
      </c>
      <c r="D14752" s="30" t="s">
        <v>17</v>
      </c>
      <c r="E14752" s="30" t="s">
        <v>18</v>
      </c>
      <c r="F14752" s="30" t="s">
        <v>19</v>
      </c>
      <c r="G14752" s="30" t="s">
        <v>158</v>
      </c>
      <c r="H14752" s="32">
        <v>420</v>
      </c>
      <c r="I14752" s="30" t="s">
        <v>21</v>
      </c>
      <c r="J14752" s="41">
        <v>45169</v>
      </c>
      <c r="K14752" s="30" t="s">
        <v>22</v>
      </c>
    </row>
    <row r="14753" spans="1:11">
      <c r="A14753" s="33" t="s">
        <v>33240</v>
      </c>
      <c r="B14753" s="33" t="s">
        <v>33241</v>
      </c>
      <c r="C14753" s="33" t="s">
        <v>231</v>
      </c>
      <c r="D14753" s="33" t="s">
        <v>17</v>
      </c>
      <c r="E14753" s="33" t="s">
        <v>26</v>
      </c>
      <c r="F14753" s="33" t="s">
        <v>27</v>
      </c>
      <c r="G14753" s="33" t="s">
        <v>20</v>
      </c>
      <c r="H14753" s="35">
        <v>59</v>
      </c>
      <c r="I14753" s="33" t="s">
        <v>21</v>
      </c>
      <c r="J14753" s="42">
        <v>45100</v>
      </c>
      <c r="K14753" s="33" t="s">
        <v>22</v>
      </c>
    </row>
    <row r="14754" spans="1:11">
      <c r="A14754" s="30" t="s">
        <v>33242</v>
      </c>
      <c r="B14754" s="30" t="s">
        <v>33243</v>
      </c>
      <c r="C14754" s="30" t="s">
        <v>33244</v>
      </c>
      <c r="D14754" s="30" t="s">
        <v>17</v>
      </c>
      <c r="E14754" s="30" t="s">
        <v>45</v>
      </c>
      <c r="F14754" s="30" t="s">
        <v>46</v>
      </c>
      <c r="G14754" s="30" t="s">
        <v>50</v>
      </c>
      <c r="H14754" s="32">
        <v>75</v>
      </c>
      <c r="I14754" s="30" t="s">
        <v>51</v>
      </c>
      <c r="J14754" s="41">
        <v>45224</v>
      </c>
      <c r="K14754" s="30" t="s">
        <v>22</v>
      </c>
    </row>
    <row r="14755" spans="1:11">
      <c r="A14755" s="33" t="s">
        <v>33245</v>
      </c>
      <c r="B14755" s="33" t="s">
        <v>33246</v>
      </c>
      <c r="C14755" s="33" t="s">
        <v>22067</v>
      </c>
      <c r="D14755" s="33" t="s">
        <v>17</v>
      </c>
      <c r="E14755" s="33" t="s">
        <v>26</v>
      </c>
      <c r="F14755" s="33" t="s">
        <v>27</v>
      </c>
      <c r="G14755" s="33" t="s">
        <v>20</v>
      </c>
      <c r="H14755" s="35">
        <v>32</v>
      </c>
      <c r="I14755" s="33" t="s">
        <v>21</v>
      </c>
      <c r="J14755" s="42">
        <v>45180</v>
      </c>
      <c r="K14755" s="33" t="s">
        <v>22</v>
      </c>
    </row>
    <row r="14756" spans="1:11">
      <c r="A14756" s="30" t="s">
        <v>33247</v>
      </c>
      <c r="B14756" s="30" t="s">
        <v>33248</v>
      </c>
      <c r="C14756" s="30" t="s">
        <v>3278</v>
      </c>
      <c r="D14756" s="30" t="s">
        <v>17</v>
      </c>
      <c r="E14756" s="30" t="s">
        <v>26</v>
      </c>
      <c r="F14756" s="30" t="s">
        <v>27</v>
      </c>
      <c r="G14756" s="30" t="s">
        <v>20</v>
      </c>
      <c r="H14756" s="32">
        <v>45</v>
      </c>
      <c r="I14756" s="30" t="s">
        <v>21</v>
      </c>
      <c r="J14756" s="41">
        <v>45070</v>
      </c>
      <c r="K14756" s="30" t="s">
        <v>22</v>
      </c>
    </row>
    <row r="14757" spans="1:11">
      <c r="A14757" s="33" t="s">
        <v>33249</v>
      </c>
      <c r="B14757" s="33" t="s">
        <v>33250</v>
      </c>
      <c r="C14757" s="33" t="s">
        <v>379</v>
      </c>
      <c r="D14757" s="33" t="s">
        <v>17</v>
      </c>
      <c r="E14757" s="33" t="s">
        <v>31</v>
      </c>
      <c r="F14757" s="33" t="s">
        <v>32</v>
      </c>
      <c r="G14757" s="33" t="s">
        <v>50</v>
      </c>
      <c r="H14757" s="35">
        <v>300</v>
      </c>
      <c r="I14757" s="33" t="s">
        <v>51</v>
      </c>
      <c r="J14757" s="42">
        <v>44932</v>
      </c>
      <c r="K14757" s="33" t="s">
        <v>22</v>
      </c>
    </row>
    <row r="14758" spans="1:11">
      <c r="A14758" s="30" t="s">
        <v>33251</v>
      </c>
      <c r="B14758" s="30" t="s">
        <v>33252</v>
      </c>
      <c r="C14758" s="30" t="s">
        <v>343</v>
      </c>
      <c r="D14758" s="30" t="s">
        <v>17</v>
      </c>
      <c r="E14758" s="30" t="s">
        <v>18</v>
      </c>
      <c r="F14758" s="30" t="s">
        <v>19</v>
      </c>
      <c r="G14758" s="30" t="s">
        <v>20</v>
      </c>
      <c r="H14758" s="32">
        <v>472</v>
      </c>
      <c r="I14758" s="30" t="s">
        <v>21</v>
      </c>
      <c r="J14758" s="41">
        <v>44970</v>
      </c>
      <c r="K14758" s="30" t="s">
        <v>22</v>
      </c>
    </row>
    <row r="14759" spans="1:11">
      <c r="A14759" s="33" t="s">
        <v>33253</v>
      </c>
      <c r="B14759" s="33" t="s">
        <v>33254</v>
      </c>
      <c r="C14759" s="33" t="s">
        <v>33255</v>
      </c>
      <c r="D14759" s="33" t="s">
        <v>17</v>
      </c>
      <c r="E14759" s="33" t="s">
        <v>26</v>
      </c>
      <c r="F14759" s="33" t="s">
        <v>27</v>
      </c>
      <c r="G14759" s="33" t="s">
        <v>50</v>
      </c>
      <c r="H14759" s="35">
        <v>35</v>
      </c>
      <c r="I14759" s="33" t="s">
        <v>51</v>
      </c>
      <c r="J14759" s="42">
        <v>44992</v>
      </c>
      <c r="K14759" s="33" t="s">
        <v>22</v>
      </c>
    </row>
    <row r="14760" spans="1:11">
      <c r="A14760" s="30" t="s">
        <v>33256</v>
      </c>
      <c r="B14760" s="30" t="s">
        <v>33257</v>
      </c>
      <c r="C14760" s="30" t="s">
        <v>33258</v>
      </c>
      <c r="D14760" s="30" t="s">
        <v>17</v>
      </c>
      <c r="E14760" s="30" t="s">
        <v>31</v>
      </c>
      <c r="F14760" s="30" t="s">
        <v>32</v>
      </c>
      <c r="G14760" s="30" t="s">
        <v>50</v>
      </c>
      <c r="H14760" s="32">
        <v>81</v>
      </c>
      <c r="I14760" s="30" t="s">
        <v>51</v>
      </c>
      <c r="J14760" s="41">
        <v>45231</v>
      </c>
      <c r="K14760" s="30" t="s">
        <v>22</v>
      </c>
    </row>
    <row r="14761" spans="1:11">
      <c r="A14761" s="33" t="s">
        <v>33259</v>
      </c>
      <c r="B14761" s="33" t="s">
        <v>33260</v>
      </c>
      <c r="C14761" s="33" t="s">
        <v>318</v>
      </c>
      <c r="D14761" s="33" t="s">
        <v>17</v>
      </c>
      <c r="E14761" s="33" t="s">
        <v>18</v>
      </c>
      <c r="F14761" s="33" t="s">
        <v>19</v>
      </c>
      <c r="G14761" s="33" t="s">
        <v>20</v>
      </c>
      <c r="H14761" s="35">
        <v>203</v>
      </c>
      <c r="I14761" s="33" t="s">
        <v>21</v>
      </c>
      <c r="J14761" s="42">
        <v>45257</v>
      </c>
      <c r="K14761" s="33" t="s">
        <v>22</v>
      </c>
    </row>
    <row r="14762" spans="1:11">
      <c r="A14762" s="30" t="s">
        <v>33261</v>
      </c>
      <c r="B14762" s="30" t="s">
        <v>33262</v>
      </c>
      <c r="C14762" s="30" t="s">
        <v>1637</v>
      </c>
      <c r="D14762" s="30" t="s">
        <v>17</v>
      </c>
      <c r="E14762" s="30" t="s">
        <v>26</v>
      </c>
      <c r="F14762" s="30" t="s">
        <v>27</v>
      </c>
      <c r="G14762" s="30" t="s">
        <v>140</v>
      </c>
      <c r="H14762" s="32">
        <v>32</v>
      </c>
      <c r="I14762" s="30" t="s">
        <v>51</v>
      </c>
      <c r="J14762" s="41">
        <v>45000</v>
      </c>
      <c r="K14762" s="30" t="s">
        <v>22</v>
      </c>
    </row>
    <row r="14763" spans="1:11">
      <c r="A14763" s="33" t="s">
        <v>33263</v>
      </c>
      <c r="B14763" s="33" t="s">
        <v>33264</v>
      </c>
      <c r="C14763" s="33" t="s">
        <v>231</v>
      </c>
      <c r="D14763" s="33" t="s">
        <v>17</v>
      </c>
      <c r="E14763" s="33" t="s">
        <v>26</v>
      </c>
      <c r="F14763" s="33" t="s">
        <v>27</v>
      </c>
      <c r="G14763" s="33" t="s">
        <v>20</v>
      </c>
      <c r="H14763" s="35">
        <v>88</v>
      </c>
      <c r="I14763" s="33" t="s">
        <v>21</v>
      </c>
      <c r="J14763" s="42">
        <v>45027</v>
      </c>
      <c r="K14763" s="33" t="s">
        <v>22</v>
      </c>
    </row>
    <row r="14764" spans="1:11">
      <c r="A14764" s="30" t="s">
        <v>33265</v>
      </c>
      <c r="B14764" s="30" t="s">
        <v>33266</v>
      </c>
      <c r="C14764" s="30" t="s">
        <v>8554</v>
      </c>
      <c r="D14764" s="30" t="s">
        <v>17</v>
      </c>
      <c r="E14764" s="30" t="s">
        <v>26</v>
      </c>
      <c r="F14764" s="30" t="s">
        <v>27</v>
      </c>
      <c r="G14764" s="30" t="s">
        <v>50</v>
      </c>
      <c r="H14764" s="32">
        <v>40</v>
      </c>
      <c r="I14764" s="30" t="s">
        <v>51</v>
      </c>
      <c r="J14764" s="41">
        <v>45261</v>
      </c>
      <c r="K14764" s="30" t="s">
        <v>22</v>
      </c>
    </row>
    <row r="14765" spans="1:11">
      <c r="A14765" s="33" t="s">
        <v>33267</v>
      </c>
      <c r="B14765" s="33" t="s">
        <v>33268</v>
      </c>
      <c r="C14765" s="33" t="s">
        <v>2313</v>
      </c>
      <c r="D14765" s="33" t="s">
        <v>17</v>
      </c>
      <c r="E14765" s="33" t="s">
        <v>31</v>
      </c>
      <c r="F14765" s="33" t="s">
        <v>32</v>
      </c>
      <c r="G14765" s="33" t="s">
        <v>20</v>
      </c>
      <c r="H14765" s="35">
        <v>49</v>
      </c>
      <c r="I14765" s="33" t="s">
        <v>21</v>
      </c>
      <c r="J14765" s="42">
        <v>45007</v>
      </c>
      <c r="K14765" s="33" t="s">
        <v>22</v>
      </c>
    </row>
    <row r="14766" spans="1:11">
      <c r="A14766" s="30" t="s">
        <v>33269</v>
      </c>
      <c r="B14766" s="30" t="s">
        <v>33270</v>
      </c>
      <c r="C14766" s="30" t="s">
        <v>60</v>
      </c>
      <c r="D14766" s="30" t="s">
        <v>17</v>
      </c>
      <c r="E14766" s="30" t="s">
        <v>26</v>
      </c>
      <c r="F14766" s="30" t="s">
        <v>27</v>
      </c>
      <c r="G14766" s="30" t="s">
        <v>20</v>
      </c>
      <c r="H14766" s="32">
        <v>114</v>
      </c>
      <c r="I14766" s="30" t="s">
        <v>21</v>
      </c>
      <c r="J14766" s="41">
        <v>44965</v>
      </c>
      <c r="K14766" s="30" t="s">
        <v>22</v>
      </c>
    </row>
    <row r="14767" spans="1:11">
      <c r="A14767" s="33" t="s">
        <v>33271</v>
      </c>
      <c r="B14767" s="33" t="s">
        <v>33272</v>
      </c>
      <c r="C14767" s="33" t="s">
        <v>318</v>
      </c>
      <c r="D14767" s="33" t="s">
        <v>17</v>
      </c>
      <c r="E14767" s="33" t="s">
        <v>18</v>
      </c>
      <c r="F14767" s="33" t="s">
        <v>19</v>
      </c>
      <c r="G14767" s="33" t="s">
        <v>20</v>
      </c>
      <c r="H14767" s="35">
        <v>746</v>
      </c>
      <c r="I14767" s="33" t="s">
        <v>21</v>
      </c>
      <c r="J14767" s="42">
        <v>44978</v>
      </c>
      <c r="K14767" s="33" t="s">
        <v>22</v>
      </c>
    </row>
    <row r="14768" spans="1:11">
      <c r="A14768" s="30" t="s">
        <v>33273</v>
      </c>
      <c r="B14768" s="30" t="s">
        <v>33274</v>
      </c>
      <c r="C14768" s="30" t="s">
        <v>33275</v>
      </c>
      <c r="D14768" s="30" t="s">
        <v>17</v>
      </c>
      <c r="E14768" s="30" t="s">
        <v>18</v>
      </c>
      <c r="F14768" s="30" t="s">
        <v>19</v>
      </c>
      <c r="G14768" s="30" t="s">
        <v>20</v>
      </c>
      <c r="H14768" s="32">
        <v>183</v>
      </c>
      <c r="I14768" s="30" t="s">
        <v>21</v>
      </c>
      <c r="J14768" s="41">
        <v>45128</v>
      </c>
      <c r="K14768" s="30" t="s">
        <v>22</v>
      </c>
    </row>
    <row r="14769" spans="1:11">
      <c r="A14769" s="33" t="s">
        <v>33276</v>
      </c>
      <c r="B14769" s="33" t="s">
        <v>33277</v>
      </c>
      <c r="C14769" s="33" t="s">
        <v>4056</v>
      </c>
      <c r="D14769" s="33" t="s">
        <v>17</v>
      </c>
      <c r="E14769" s="33" t="s">
        <v>26</v>
      </c>
      <c r="F14769" s="33" t="s">
        <v>27</v>
      </c>
      <c r="G14769" s="33" t="s">
        <v>20</v>
      </c>
      <c r="H14769" s="35">
        <v>56</v>
      </c>
      <c r="I14769" s="33" t="s">
        <v>21</v>
      </c>
      <c r="J14769" s="42">
        <v>45103</v>
      </c>
      <c r="K14769" s="33" t="s">
        <v>22</v>
      </c>
    </row>
    <row r="14770" spans="1:11">
      <c r="A14770" s="30" t="s">
        <v>33278</v>
      </c>
      <c r="B14770" s="30" t="s">
        <v>33279</v>
      </c>
      <c r="C14770" s="30" t="s">
        <v>10422</v>
      </c>
      <c r="D14770" s="30" t="s">
        <v>17</v>
      </c>
      <c r="E14770" s="30" t="s">
        <v>31</v>
      </c>
      <c r="F14770" s="30" t="s">
        <v>32</v>
      </c>
      <c r="G14770" s="30" t="s">
        <v>20</v>
      </c>
      <c r="H14770" s="32">
        <v>200</v>
      </c>
      <c r="I14770" s="30" t="s">
        <v>21</v>
      </c>
      <c r="J14770" s="41">
        <v>45080</v>
      </c>
      <c r="K14770" s="30" t="s">
        <v>22</v>
      </c>
    </row>
    <row r="14771" spans="1:11">
      <c r="A14771" s="33" t="s">
        <v>33280</v>
      </c>
      <c r="B14771" s="33" t="s">
        <v>33281</v>
      </c>
      <c r="C14771" s="33" t="s">
        <v>33282</v>
      </c>
      <c r="D14771" s="33" t="s">
        <v>17</v>
      </c>
      <c r="E14771" s="33" t="s">
        <v>18</v>
      </c>
      <c r="F14771" s="33" t="s">
        <v>19</v>
      </c>
      <c r="G14771" s="33" t="s">
        <v>50</v>
      </c>
      <c r="H14771" s="35">
        <v>50</v>
      </c>
      <c r="I14771" s="33" t="s">
        <v>51</v>
      </c>
      <c r="J14771" s="42">
        <v>45006</v>
      </c>
      <c r="K14771" s="33" t="s">
        <v>22</v>
      </c>
    </row>
    <row r="14772" spans="1:11">
      <c r="A14772" s="30" t="s">
        <v>33283</v>
      </c>
      <c r="B14772" s="30" t="s">
        <v>33284</v>
      </c>
      <c r="C14772" s="30" t="s">
        <v>3264</v>
      </c>
      <c r="D14772" s="30" t="s">
        <v>17</v>
      </c>
      <c r="E14772" s="30" t="s">
        <v>18</v>
      </c>
      <c r="F14772" s="30" t="s">
        <v>19</v>
      </c>
      <c r="G14772" s="30" t="s">
        <v>140</v>
      </c>
      <c r="H14772" s="32">
        <v>30</v>
      </c>
      <c r="I14772" s="30" t="s">
        <v>51</v>
      </c>
      <c r="J14772" s="41">
        <v>45200</v>
      </c>
      <c r="K14772" s="30" t="s">
        <v>22</v>
      </c>
    </row>
    <row r="14773" spans="1:11">
      <c r="A14773" s="33" t="s">
        <v>33285</v>
      </c>
      <c r="B14773" s="33" t="s">
        <v>33286</v>
      </c>
      <c r="C14773" s="33" t="s">
        <v>647</v>
      </c>
      <c r="D14773" s="33" t="s">
        <v>17</v>
      </c>
      <c r="E14773" s="33" t="s">
        <v>26</v>
      </c>
      <c r="F14773" s="33" t="s">
        <v>27</v>
      </c>
      <c r="G14773" s="33" t="s">
        <v>20</v>
      </c>
      <c r="H14773" s="35">
        <v>40</v>
      </c>
      <c r="I14773" s="33" t="s">
        <v>21</v>
      </c>
      <c r="J14773" s="42">
        <v>45166</v>
      </c>
      <c r="K14773" s="33" t="s">
        <v>22</v>
      </c>
    </row>
    <row r="14774" spans="1:11">
      <c r="A14774" s="30" t="s">
        <v>33287</v>
      </c>
      <c r="B14774" s="30" t="s">
        <v>33288</v>
      </c>
      <c r="C14774" s="30" t="s">
        <v>1778</v>
      </c>
      <c r="D14774" s="30" t="s">
        <v>17</v>
      </c>
      <c r="E14774" s="30" t="s">
        <v>31</v>
      </c>
      <c r="F14774" s="30" t="s">
        <v>32</v>
      </c>
      <c r="G14774" s="30" t="s">
        <v>20</v>
      </c>
      <c r="H14774" s="32">
        <v>326</v>
      </c>
      <c r="I14774" s="30" t="s">
        <v>21</v>
      </c>
      <c r="J14774" s="41">
        <v>44965</v>
      </c>
      <c r="K14774" s="30" t="s">
        <v>22</v>
      </c>
    </row>
    <row r="14775" spans="1:11">
      <c r="A14775" s="33" t="s">
        <v>33289</v>
      </c>
      <c r="B14775" s="33" t="s">
        <v>33290</v>
      </c>
      <c r="C14775" s="33" t="s">
        <v>33291</v>
      </c>
      <c r="D14775" s="33" t="s">
        <v>17</v>
      </c>
      <c r="E14775" s="33" t="s">
        <v>26</v>
      </c>
      <c r="F14775" s="33" t="s">
        <v>27</v>
      </c>
      <c r="G14775" s="33" t="s">
        <v>106</v>
      </c>
      <c r="H14775" s="35">
        <v>11</v>
      </c>
      <c r="I14775" s="33" t="s">
        <v>21</v>
      </c>
      <c r="J14775" s="42">
        <v>45180</v>
      </c>
      <c r="K14775" s="33" t="s">
        <v>22</v>
      </c>
    </row>
    <row r="14776" spans="1:11">
      <c r="A14776" s="30" t="s">
        <v>33292</v>
      </c>
      <c r="B14776" s="30" t="s">
        <v>33293</v>
      </c>
      <c r="C14776" s="30" t="s">
        <v>535</v>
      </c>
      <c r="D14776" s="30" t="s">
        <v>17</v>
      </c>
      <c r="E14776" s="30" t="s">
        <v>26</v>
      </c>
      <c r="F14776" s="30" t="s">
        <v>27</v>
      </c>
      <c r="G14776" s="30" t="s">
        <v>20</v>
      </c>
      <c r="H14776" s="32">
        <v>14</v>
      </c>
      <c r="I14776" s="30" t="s">
        <v>21</v>
      </c>
      <c r="J14776" s="41">
        <v>45245</v>
      </c>
      <c r="K14776" s="30" t="s">
        <v>22</v>
      </c>
    </row>
    <row r="14777" spans="1:11">
      <c r="A14777" s="33" t="s">
        <v>33294</v>
      </c>
      <c r="B14777" s="33" t="s">
        <v>33295</v>
      </c>
      <c r="C14777" s="33" t="s">
        <v>318</v>
      </c>
      <c r="D14777" s="33" t="s">
        <v>17</v>
      </c>
      <c r="E14777" s="33" t="s">
        <v>26</v>
      </c>
      <c r="F14777" s="33" t="s">
        <v>27</v>
      </c>
      <c r="G14777" s="33" t="s">
        <v>20</v>
      </c>
      <c r="H14777" s="35">
        <v>37</v>
      </c>
      <c r="I14777" s="33" t="s">
        <v>21</v>
      </c>
      <c r="J14777" s="42">
        <v>45090</v>
      </c>
      <c r="K14777" s="33" t="s">
        <v>22</v>
      </c>
    </row>
    <row r="14778" spans="1:11">
      <c r="A14778" s="30" t="s">
        <v>33296</v>
      </c>
      <c r="B14778" s="30" t="s">
        <v>33297</v>
      </c>
      <c r="C14778" s="30" t="s">
        <v>22999</v>
      </c>
      <c r="D14778" s="30" t="s">
        <v>17</v>
      </c>
      <c r="E14778" s="30" t="s">
        <v>26</v>
      </c>
      <c r="F14778" s="30" t="s">
        <v>27</v>
      </c>
      <c r="G14778" s="30" t="s">
        <v>20</v>
      </c>
      <c r="H14778" s="32">
        <v>17</v>
      </c>
      <c r="I14778" s="30" t="s">
        <v>21</v>
      </c>
      <c r="J14778" s="41">
        <v>45056</v>
      </c>
      <c r="K14778" s="30" t="s">
        <v>22</v>
      </c>
    </row>
    <row r="14779" spans="1:11">
      <c r="A14779" s="33" t="s">
        <v>33298</v>
      </c>
      <c r="B14779" s="33" t="s">
        <v>33299</v>
      </c>
      <c r="C14779" s="33" t="s">
        <v>4612</v>
      </c>
      <c r="D14779" s="33" t="s">
        <v>17</v>
      </c>
      <c r="E14779" s="33" t="s">
        <v>26</v>
      </c>
      <c r="F14779" s="33" t="s">
        <v>27</v>
      </c>
      <c r="G14779" s="33" t="s">
        <v>158</v>
      </c>
      <c r="H14779" s="35">
        <v>66</v>
      </c>
      <c r="I14779" s="33" t="s">
        <v>51</v>
      </c>
      <c r="J14779" s="42">
        <v>45019</v>
      </c>
      <c r="K14779" s="33" t="s">
        <v>22</v>
      </c>
    </row>
    <row r="14780" spans="1:11">
      <c r="A14780" s="30" t="s">
        <v>33300</v>
      </c>
      <c r="B14780" s="30" t="s">
        <v>33301</v>
      </c>
      <c r="C14780" s="30" t="s">
        <v>15151</v>
      </c>
      <c r="D14780" s="30" t="s">
        <v>17</v>
      </c>
      <c r="E14780" s="30" t="s">
        <v>67</v>
      </c>
      <c r="F14780" s="30" t="s">
        <v>68</v>
      </c>
      <c r="G14780" s="30" t="s">
        <v>140</v>
      </c>
      <c r="H14780" s="32">
        <v>358</v>
      </c>
      <c r="I14780" s="30" t="s">
        <v>51</v>
      </c>
      <c r="J14780" s="41">
        <v>45076</v>
      </c>
      <c r="K14780" s="30" t="s">
        <v>22</v>
      </c>
    </row>
    <row r="14781" spans="1:11">
      <c r="A14781" s="33" t="s">
        <v>33302</v>
      </c>
      <c r="B14781" s="33" t="s">
        <v>33303</v>
      </c>
      <c r="C14781" s="33" t="s">
        <v>399</v>
      </c>
      <c r="D14781" s="33" t="s">
        <v>17</v>
      </c>
      <c r="E14781" s="33" t="s">
        <v>18</v>
      </c>
      <c r="F14781" s="33" t="s">
        <v>19</v>
      </c>
      <c r="G14781" s="33" t="s">
        <v>20</v>
      </c>
      <c r="H14781" s="35">
        <v>75</v>
      </c>
      <c r="I14781" s="33" t="s">
        <v>21</v>
      </c>
      <c r="J14781" s="42">
        <v>45016</v>
      </c>
      <c r="K14781" s="33" t="s">
        <v>22</v>
      </c>
    </row>
    <row r="14782" spans="1:11">
      <c r="A14782" s="30" t="s">
        <v>33304</v>
      </c>
      <c r="B14782" s="30" t="s">
        <v>33305</v>
      </c>
      <c r="C14782" s="30" t="s">
        <v>4090</v>
      </c>
      <c r="D14782" s="30" t="s">
        <v>17</v>
      </c>
      <c r="E14782" s="30" t="s">
        <v>18</v>
      </c>
      <c r="F14782" s="30" t="s">
        <v>19</v>
      </c>
      <c r="G14782" s="30" t="s">
        <v>20</v>
      </c>
      <c r="H14782" s="32">
        <v>50</v>
      </c>
      <c r="I14782" s="30" t="s">
        <v>21</v>
      </c>
      <c r="J14782" s="41">
        <v>45129</v>
      </c>
      <c r="K14782" s="30" t="s">
        <v>22</v>
      </c>
    </row>
    <row r="14783" spans="1:11">
      <c r="A14783" s="33" t="s">
        <v>33306</v>
      </c>
      <c r="B14783" s="33" t="s">
        <v>33307</v>
      </c>
      <c r="C14783" s="33" t="s">
        <v>1267</v>
      </c>
      <c r="D14783" s="33" t="s">
        <v>17</v>
      </c>
      <c r="E14783" s="33" t="s">
        <v>26</v>
      </c>
      <c r="F14783" s="33" t="s">
        <v>27</v>
      </c>
      <c r="G14783" s="33" t="s">
        <v>158</v>
      </c>
      <c r="H14783" s="35">
        <v>40</v>
      </c>
      <c r="I14783" s="33" t="s">
        <v>21</v>
      </c>
      <c r="J14783" s="42">
        <v>45212</v>
      </c>
      <c r="K14783" s="33" t="s">
        <v>22</v>
      </c>
    </row>
    <row r="14784" spans="1:11">
      <c r="A14784" s="30" t="s">
        <v>33308</v>
      </c>
      <c r="B14784" s="30" t="s">
        <v>33309</v>
      </c>
      <c r="C14784" s="30" t="s">
        <v>3610</v>
      </c>
      <c r="D14784" s="30" t="s">
        <v>17</v>
      </c>
      <c r="E14784" s="30" t="s">
        <v>26</v>
      </c>
      <c r="F14784" s="30" t="s">
        <v>27</v>
      </c>
      <c r="G14784" s="30" t="s">
        <v>20</v>
      </c>
      <c r="H14784" s="32">
        <v>30</v>
      </c>
      <c r="I14784" s="30" t="s">
        <v>21</v>
      </c>
      <c r="J14784" s="41">
        <v>45089</v>
      </c>
      <c r="K14784" s="30" t="s">
        <v>22</v>
      </c>
    </row>
    <row r="14785" spans="1:11">
      <c r="A14785" s="33" t="s">
        <v>33310</v>
      </c>
      <c r="B14785" s="33" t="s">
        <v>33311</v>
      </c>
      <c r="C14785" s="33" t="s">
        <v>16695</v>
      </c>
      <c r="D14785" s="33" t="s">
        <v>17</v>
      </c>
      <c r="E14785" s="33" t="s">
        <v>67</v>
      </c>
      <c r="F14785" s="33" t="s">
        <v>68</v>
      </c>
      <c r="G14785" s="33" t="s">
        <v>140</v>
      </c>
      <c r="H14785" s="35">
        <v>150</v>
      </c>
      <c r="I14785" s="33" t="s">
        <v>51</v>
      </c>
      <c r="J14785" s="42">
        <v>45137</v>
      </c>
      <c r="K14785" s="33" t="s">
        <v>22</v>
      </c>
    </row>
    <row r="14786" spans="1:11">
      <c r="A14786" s="30" t="s">
        <v>33312</v>
      </c>
      <c r="B14786" s="30" t="s">
        <v>33313</v>
      </c>
      <c r="C14786" s="30" t="s">
        <v>647</v>
      </c>
      <c r="D14786" s="30" t="s">
        <v>17</v>
      </c>
      <c r="E14786" s="30" t="s">
        <v>18</v>
      </c>
      <c r="F14786" s="30" t="s">
        <v>19</v>
      </c>
      <c r="G14786" s="30" t="s">
        <v>20</v>
      </c>
      <c r="H14786" s="32">
        <v>450</v>
      </c>
      <c r="I14786" s="30" t="s">
        <v>21</v>
      </c>
      <c r="J14786" s="41">
        <v>44936</v>
      </c>
      <c r="K14786" s="30" t="s">
        <v>22</v>
      </c>
    </row>
    <row r="14787" spans="1:11">
      <c r="A14787" s="33" t="s">
        <v>33314</v>
      </c>
      <c r="B14787" s="33" t="s">
        <v>33315</v>
      </c>
      <c r="C14787" s="33" t="s">
        <v>25044</v>
      </c>
      <c r="D14787" s="33" t="s">
        <v>17</v>
      </c>
      <c r="E14787" s="33" t="s">
        <v>67</v>
      </c>
      <c r="F14787" s="33" t="s">
        <v>68</v>
      </c>
      <c r="G14787" s="33" t="s">
        <v>140</v>
      </c>
      <c r="H14787" s="35">
        <v>50</v>
      </c>
      <c r="I14787" s="33" t="s">
        <v>51</v>
      </c>
      <c r="J14787" s="42">
        <v>45145</v>
      </c>
      <c r="K14787" s="33" t="s">
        <v>22</v>
      </c>
    </row>
    <row r="14788" spans="1:11">
      <c r="A14788" s="30" t="s">
        <v>33316</v>
      </c>
      <c r="B14788" s="30" t="s">
        <v>33317</v>
      </c>
      <c r="C14788" s="30" t="s">
        <v>4221</v>
      </c>
      <c r="D14788" s="30" t="s">
        <v>17</v>
      </c>
      <c r="E14788" s="30" t="s">
        <v>67</v>
      </c>
      <c r="F14788" s="30" t="s">
        <v>68</v>
      </c>
      <c r="G14788" s="30" t="s">
        <v>158</v>
      </c>
      <c r="H14788" s="32">
        <v>88</v>
      </c>
      <c r="I14788" s="30" t="s">
        <v>21</v>
      </c>
      <c r="J14788" s="41">
        <v>45259</v>
      </c>
      <c r="K14788" s="30" t="s">
        <v>22</v>
      </c>
    </row>
    <row r="14789" spans="1:11">
      <c r="A14789" s="33" t="s">
        <v>33318</v>
      </c>
      <c r="B14789" s="33" t="s">
        <v>33319</v>
      </c>
      <c r="C14789" s="33" t="s">
        <v>136</v>
      </c>
      <c r="D14789" s="33" t="s">
        <v>17</v>
      </c>
      <c r="E14789" s="33" t="s">
        <v>18</v>
      </c>
      <c r="F14789" s="33" t="s">
        <v>19</v>
      </c>
      <c r="G14789" s="33" t="s">
        <v>20</v>
      </c>
      <c r="H14789" s="35">
        <v>445</v>
      </c>
      <c r="I14789" s="33" t="s">
        <v>21</v>
      </c>
      <c r="J14789" s="42">
        <v>45139</v>
      </c>
      <c r="K14789" s="33" t="s">
        <v>22</v>
      </c>
    </row>
    <row r="14790" spans="1:11">
      <c r="A14790" s="30" t="s">
        <v>33320</v>
      </c>
      <c r="B14790" s="30" t="s">
        <v>33321</v>
      </c>
      <c r="C14790" s="30" t="s">
        <v>7237</v>
      </c>
      <c r="D14790" s="30" t="s">
        <v>17</v>
      </c>
      <c r="E14790" s="30" t="s">
        <v>18</v>
      </c>
      <c r="F14790" s="30" t="s">
        <v>19</v>
      </c>
      <c r="G14790" s="30" t="s">
        <v>2613</v>
      </c>
      <c r="H14790" s="32">
        <v>80</v>
      </c>
      <c r="I14790" s="30" t="s">
        <v>51</v>
      </c>
      <c r="J14790" s="41">
        <v>44979</v>
      </c>
      <c r="K14790" s="30" t="s">
        <v>22</v>
      </c>
    </row>
    <row r="14791" spans="1:11">
      <c r="A14791" s="33" t="s">
        <v>33322</v>
      </c>
      <c r="B14791" s="33" t="s">
        <v>33323</v>
      </c>
      <c r="C14791" s="33" t="s">
        <v>2395</v>
      </c>
      <c r="D14791" s="33" t="s">
        <v>17</v>
      </c>
      <c r="E14791" s="33" t="s">
        <v>212</v>
      </c>
      <c r="F14791" s="33" t="s">
        <v>213</v>
      </c>
      <c r="G14791" s="33" t="s">
        <v>112</v>
      </c>
      <c r="H14791" s="35">
        <v>0</v>
      </c>
      <c r="I14791" s="33" t="s">
        <v>21</v>
      </c>
      <c r="J14791" s="42">
        <v>45078</v>
      </c>
      <c r="K14791" s="33" t="s">
        <v>22</v>
      </c>
    </row>
    <row r="14792" spans="1:11">
      <c r="A14792" s="30" t="s">
        <v>33324</v>
      </c>
      <c r="B14792" s="30" t="s">
        <v>33325</v>
      </c>
      <c r="C14792" s="30" t="s">
        <v>28495</v>
      </c>
      <c r="D14792" s="30" t="s">
        <v>17</v>
      </c>
      <c r="E14792" s="30" t="s">
        <v>31</v>
      </c>
      <c r="F14792" s="30" t="s">
        <v>32</v>
      </c>
      <c r="G14792" s="30" t="s">
        <v>20</v>
      </c>
      <c r="H14792" s="32">
        <v>12</v>
      </c>
      <c r="I14792" s="30" t="s">
        <v>21</v>
      </c>
      <c r="J14792" s="41">
        <v>45012</v>
      </c>
      <c r="K14792" s="30" t="s">
        <v>22</v>
      </c>
    </row>
    <row r="14793" spans="1:11">
      <c r="A14793" s="33" t="s">
        <v>33326</v>
      </c>
      <c r="B14793" s="33" t="s">
        <v>33327</v>
      </c>
      <c r="C14793" s="33" t="s">
        <v>33328</v>
      </c>
      <c r="D14793" s="33" t="s">
        <v>17</v>
      </c>
      <c r="E14793" s="33" t="s">
        <v>31</v>
      </c>
      <c r="F14793" s="33" t="s">
        <v>32</v>
      </c>
      <c r="G14793" s="33" t="s">
        <v>112</v>
      </c>
      <c r="H14793" s="35">
        <v>0</v>
      </c>
      <c r="I14793" s="33" t="s">
        <v>21</v>
      </c>
      <c r="J14793" s="42">
        <v>44927</v>
      </c>
      <c r="K14793" s="33" t="s">
        <v>22</v>
      </c>
    </row>
    <row r="14794" spans="1:11">
      <c r="A14794" s="30" t="s">
        <v>33329</v>
      </c>
      <c r="B14794" s="30" t="s">
        <v>33330</v>
      </c>
      <c r="C14794" s="30" t="s">
        <v>1981</v>
      </c>
      <c r="D14794" s="30" t="s">
        <v>17</v>
      </c>
      <c r="E14794" s="30" t="s">
        <v>31</v>
      </c>
      <c r="F14794" s="30" t="s">
        <v>32</v>
      </c>
      <c r="G14794" s="30" t="s">
        <v>106</v>
      </c>
      <c r="H14794" s="32">
        <v>5</v>
      </c>
      <c r="I14794" s="30" t="s">
        <v>21</v>
      </c>
      <c r="J14794" s="41">
        <v>45106</v>
      </c>
      <c r="K14794" s="30" t="s">
        <v>22</v>
      </c>
    </row>
    <row r="14795" spans="1:11">
      <c r="A14795" s="33" t="s">
        <v>33331</v>
      </c>
      <c r="B14795" s="33" t="s">
        <v>33332</v>
      </c>
      <c r="C14795" s="33" t="s">
        <v>318</v>
      </c>
      <c r="D14795" s="33" t="s">
        <v>17</v>
      </c>
      <c r="E14795" s="33" t="s">
        <v>26</v>
      </c>
      <c r="F14795" s="33" t="s">
        <v>27</v>
      </c>
      <c r="G14795" s="33" t="s">
        <v>112</v>
      </c>
      <c r="H14795" s="35">
        <v>0</v>
      </c>
      <c r="I14795" s="33" t="s">
        <v>21</v>
      </c>
      <c r="J14795" s="42">
        <v>45167</v>
      </c>
      <c r="K14795" s="33" t="s">
        <v>22</v>
      </c>
    </row>
    <row r="14796" spans="1:11">
      <c r="A14796" s="30" t="s">
        <v>33333</v>
      </c>
      <c r="B14796" s="30" t="s">
        <v>33334</v>
      </c>
      <c r="C14796" s="30" t="s">
        <v>96</v>
      </c>
      <c r="D14796" s="30" t="s">
        <v>17</v>
      </c>
      <c r="E14796" s="30" t="s">
        <v>67</v>
      </c>
      <c r="F14796" s="30" t="s">
        <v>68</v>
      </c>
      <c r="G14796" s="30" t="s">
        <v>106</v>
      </c>
      <c r="H14796" s="32">
        <v>484</v>
      </c>
      <c r="I14796" s="30" t="s">
        <v>21</v>
      </c>
      <c r="J14796" s="41">
        <v>44951</v>
      </c>
      <c r="K14796" s="30" t="s">
        <v>22</v>
      </c>
    </row>
    <row r="14797" spans="1:11">
      <c r="A14797" s="33" t="s">
        <v>33335</v>
      </c>
      <c r="B14797" s="33" t="s">
        <v>33336</v>
      </c>
      <c r="C14797" s="33" t="s">
        <v>12161</v>
      </c>
      <c r="D14797" s="33" t="s">
        <v>17</v>
      </c>
      <c r="E14797" s="33" t="s">
        <v>31</v>
      </c>
      <c r="F14797" s="33" t="s">
        <v>32</v>
      </c>
      <c r="G14797" s="33" t="s">
        <v>140</v>
      </c>
      <c r="H14797" s="35">
        <v>186</v>
      </c>
      <c r="I14797" s="33" t="s">
        <v>51</v>
      </c>
      <c r="J14797" s="42">
        <v>45135</v>
      </c>
      <c r="K14797" s="33" t="s">
        <v>22</v>
      </c>
    </row>
    <row r="14798" spans="1:11">
      <c r="A14798" s="30" t="s">
        <v>33337</v>
      </c>
      <c r="B14798" s="30" t="s">
        <v>33338</v>
      </c>
      <c r="C14798" s="30" t="s">
        <v>7449</v>
      </c>
      <c r="D14798" s="30" t="s">
        <v>17</v>
      </c>
      <c r="E14798" s="30" t="s">
        <v>18</v>
      </c>
      <c r="F14798" s="30" t="s">
        <v>19</v>
      </c>
      <c r="G14798" s="30" t="s">
        <v>158</v>
      </c>
      <c r="H14798" s="32">
        <v>300</v>
      </c>
      <c r="I14798" s="30" t="s">
        <v>51</v>
      </c>
      <c r="J14798" s="41">
        <v>44967</v>
      </c>
      <c r="K14798" s="30" t="s">
        <v>22</v>
      </c>
    </row>
    <row r="14799" spans="1:11">
      <c r="A14799" s="33" t="s">
        <v>33339</v>
      </c>
      <c r="B14799" s="33" t="s">
        <v>33340</v>
      </c>
      <c r="C14799" s="33" t="s">
        <v>136</v>
      </c>
      <c r="D14799" s="33" t="s">
        <v>17</v>
      </c>
      <c r="E14799" s="33" t="s">
        <v>18</v>
      </c>
      <c r="F14799" s="33" t="s">
        <v>19</v>
      </c>
      <c r="G14799" s="33" t="s">
        <v>20</v>
      </c>
      <c r="H14799" s="35">
        <v>795</v>
      </c>
      <c r="I14799" s="33" t="s">
        <v>21</v>
      </c>
      <c r="J14799" s="42">
        <v>44940</v>
      </c>
      <c r="K14799" s="33" t="s">
        <v>22</v>
      </c>
    </row>
    <row r="14800" spans="1:11">
      <c r="A14800" s="30" t="s">
        <v>33341</v>
      </c>
      <c r="B14800" s="30" t="s">
        <v>33342</v>
      </c>
      <c r="C14800" s="30" t="s">
        <v>1270</v>
      </c>
      <c r="D14800" s="30" t="s">
        <v>17</v>
      </c>
      <c r="E14800" s="30" t="s">
        <v>18</v>
      </c>
      <c r="F14800" s="30" t="s">
        <v>19</v>
      </c>
      <c r="G14800" s="30" t="s">
        <v>50</v>
      </c>
      <c r="H14800" s="32">
        <v>314</v>
      </c>
      <c r="I14800" s="30" t="s">
        <v>51</v>
      </c>
      <c r="J14800" s="41">
        <v>45290</v>
      </c>
      <c r="K14800" s="30" t="s">
        <v>22</v>
      </c>
    </row>
    <row r="14801" spans="1:11">
      <c r="A14801" s="33" t="s">
        <v>33343</v>
      </c>
      <c r="B14801" s="33" t="s">
        <v>33344</v>
      </c>
      <c r="C14801" s="33" t="s">
        <v>25546</v>
      </c>
      <c r="D14801" s="33" t="s">
        <v>17</v>
      </c>
      <c r="E14801" s="33" t="s">
        <v>67</v>
      </c>
      <c r="F14801" s="33" t="s">
        <v>68</v>
      </c>
      <c r="G14801" s="33" t="s">
        <v>20</v>
      </c>
      <c r="H14801" s="35">
        <v>11</v>
      </c>
      <c r="I14801" s="33" t="s">
        <v>21</v>
      </c>
      <c r="J14801" s="42">
        <v>45146</v>
      </c>
      <c r="K14801" s="33" t="s">
        <v>22</v>
      </c>
    </row>
    <row r="14802" spans="1:11">
      <c r="A14802" s="30" t="s">
        <v>33345</v>
      </c>
      <c r="B14802" s="30" t="s">
        <v>33346</v>
      </c>
      <c r="C14802" s="30" t="s">
        <v>19346</v>
      </c>
      <c r="D14802" s="30" t="s">
        <v>17</v>
      </c>
      <c r="E14802" s="30" t="s">
        <v>26</v>
      </c>
      <c r="F14802" s="30" t="s">
        <v>27</v>
      </c>
      <c r="G14802" s="30" t="s">
        <v>106</v>
      </c>
      <c r="H14802" s="32">
        <v>45</v>
      </c>
      <c r="I14802" s="30" t="s">
        <v>21</v>
      </c>
      <c r="J14802" s="41">
        <v>44991</v>
      </c>
      <c r="K14802" s="30" t="s">
        <v>22</v>
      </c>
    </row>
    <row r="14803" spans="1:11">
      <c r="A14803" s="33" t="s">
        <v>33347</v>
      </c>
      <c r="B14803" s="33" t="s">
        <v>33348</v>
      </c>
      <c r="C14803" s="33" t="s">
        <v>318</v>
      </c>
      <c r="D14803" s="33" t="s">
        <v>17</v>
      </c>
      <c r="E14803" s="33" t="s">
        <v>18</v>
      </c>
      <c r="F14803" s="33" t="s">
        <v>19</v>
      </c>
      <c r="G14803" s="33" t="s">
        <v>20</v>
      </c>
      <c r="H14803" s="35">
        <v>187</v>
      </c>
      <c r="I14803" s="33" t="s">
        <v>21</v>
      </c>
      <c r="J14803" s="42">
        <v>44956</v>
      </c>
      <c r="K14803" s="33" t="s">
        <v>22</v>
      </c>
    </row>
    <row r="14804" spans="1:11">
      <c r="A14804" s="30" t="s">
        <v>33349</v>
      </c>
      <c r="B14804" s="30" t="s">
        <v>33350</v>
      </c>
      <c r="C14804" s="30" t="s">
        <v>24538</v>
      </c>
      <c r="D14804" s="30" t="s">
        <v>17</v>
      </c>
      <c r="E14804" s="30" t="s">
        <v>31</v>
      </c>
      <c r="F14804" s="30" t="s">
        <v>32</v>
      </c>
      <c r="G14804" s="30" t="s">
        <v>140</v>
      </c>
      <c r="H14804" s="32">
        <v>60</v>
      </c>
      <c r="I14804" s="30" t="s">
        <v>51</v>
      </c>
      <c r="J14804" s="41">
        <v>45281</v>
      </c>
      <c r="K14804" s="30" t="s">
        <v>22</v>
      </c>
    </row>
    <row r="14805" spans="1:11">
      <c r="A14805" s="33" t="s">
        <v>33351</v>
      </c>
      <c r="B14805" s="33" t="s">
        <v>33352</v>
      </c>
      <c r="C14805" s="33" t="s">
        <v>33353</v>
      </c>
      <c r="D14805" s="33" t="s">
        <v>17</v>
      </c>
      <c r="E14805" s="33" t="s">
        <v>31</v>
      </c>
      <c r="F14805" s="33" t="s">
        <v>32</v>
      </c>
      <c r="G14805" s="33" t="s">
        <v>50</v>
      </c>
      <c r="H14805" s="35">
        <v>90</v>
      </c>
      <c r="I14805" s="33" t="s">
        <v>51</v>
      </c>
      <c r="J14805" s="42">
        <v>45020</v>
      </c>
      <c r="K14805" s="33" t="s">
        <v>22</v>
      </c>
    </row>
    <row r="14806" spans="1:11">
      <c r="A14806" s="30" t="s">
        <v>33354</v>
      </c>
      <c r="B14806" s="30" t="s">
        <v>33355</v>
      </c>
      <c r="C14806" s="30" t="s">
        <v>399</v>
      </c>
      <c r="D14806" s="30" t="s">
        <v>17</v>
      </c>
      <c r="E14806" s="30" t="s">
        <v>18</v>
      </c>
      <c r="F14806" s="30" t="s">
        <v>19</v>
      </c>
      <c r="G14806" s="30" t="s">
        <v>140</v>
      </c>
      <c r="H14806" s="32">
        <v>20</v>
      </c>
      <c r="I14806" s="30" t="s">
        <v>51</v>
      </c>
      <c r="J14806" s="41">
        <v>44949</v>
      </c>
      <c r="K14806" s="30" t="s">
        <v>22</v>
      </c>
    </row>
    <row r="14807" spans="1:11">
      <c r="A14807" s="33" t="s">
        <v>33356</v>
      </c>
      <c r="B14807" s="33" t="s">
        <v>33357</v>
      </c>
      <c r="C14807" s="33" t="s">
        <v>29506</v>
      </c>
      <c r="D14807" s="33" t="s">
        <v>17</v>
      </c>
      <c r="E14807" s="33" t="s">
        <v>31</v>
      </c>
      <c r="F14807" s="33" t="s">
        <v>32</v>
      </c>
      <c r="G14807" s="33" t="s">
        <v>50</v>
      </c>
      <c r="H14807" s="35">
        <v>75</v>
      </c>
      <c r="I14807" s="33" t="s">
        <v>51</v>
      </c>
      <c r="J14807" s="42">
        <v>44971</v>
      </c>
      <c r="K14807" s="33" t="s">
        <v>22</v>
      </c>
    </row>
    <row r="14808" spans="1:11">
      <c r="A14808" s="30" t="s">
        <v>33358</v>
      </c>
      <c r="B14808" s="30" t="s">
        <v>33359</v>
      </c>
      <c r="C14808" s="30" t="s">
        <v>4668</v>
      </c>
      <c r="D14808" s="30" t="s">
        <v>17</v>
      </c>
      <c r="E14808" s="30" t="s">
        <v>330</v>
      </c>
      <c r="F14808" s="30" t="s">
        <v>331</v>
      </c>
      <c r="G14808" s="30" t="s">
        <v>50</v>
      </c>
      <c r="H14808" s="32">
        <v>120</v>
      </c>
      <c r="I14808" s="30" t="s">
        <v>51</v>
      </c>
      <c r="J14808" s="41">
        <v>45047</v>
      </c>
      <c r="K14808" s="30" t="s">
        <v>22</v>
      </c>
    </row>
    <row r="14809" spans="1:11">
      <c r="A14809" s="33" t="s">
        <v>33360</v>
      </c>
      <c r="B14809" s="33" t="s">
        <v>33361</v>
      </c>
      <c r="C14809" s="33" t="s">
        <v>33362</v>
      </c>
      <c r="D14809" s="33" t="s">
        <v>17</v>
      </c>
      <c r="E14809" s="33" t="s">
        <v>26</v>
      </c>
      <c r="F14809" s="33" t="s">
        <v>27</v>
      </c>
      <c r="G14809" s="33" t="s">
        <v>106</v>
      </c>
      <c r="H14809" s="35">
        <v>64</v>
      </c>
      <c r="I14809" s="33" t="s">
        <v>21</v>
      </c>
      <c r="J14809" s="42">
        <v>45176</v>
      </c>
      <c r="K14809" s="33" t="s">
        <v>22</v>
      </c>
    </row>
    <row r="14810" spans="1:11">
      <c r="A14810" s="30" t="s">
        <v>33363</v>
      </c>
      <c r="B14810" s="30" t="s">
        <v>33364</v>
      </c>
      <c r="C14810" s="30" t="s">
        <v>801</v>
      </c>
      <c r="D14810" s="30" t="s">
        <v>17</v>
      </c>
      <c r="E14810" s="30" t="s">
        <v>18</v>
      </c>
      <c r="F14810" s="30" t="s">
        <v>19</v>
      </c>
      <c r="G14810" s="30" t="s">
        <v>112</v>
      </c>
      <c r="H14810" s="32">
        <v>0</v>
      </c>
      <c r="I14810" s="30" t="s">
        <v>21</v>
      </c>
      <c r="J14810" s="41">
        <v>44986</v>
      </c>
      <c r="K14810" s="30" t="s">
        <v>22</v>
      </c>
    </row>
    <row r="14811" spans="1:11">
      <c r="A14811" s="33" t="s">
        <v>33365</v>
      </c>
      <c r="B14811" s="33" t="s">
        <v>33366</v>
      </c>
      <c r="C14811" s="33" t="s">
        <v>647</v>
      </c>
      <c r="D14811" s="33" t="s">
        <v>17</v>
      </c>
      <c r="E14811" s="33" t="s">
        <v>18</v>
      </c>
      <c r="F14811" s="33" t="s">
        <v>19</v>
      </c>
      <c r="G14811" s="33" t="s">
        <v>158</v>
      </c>
      <c r="H14811" s="35">
        <v>537</v>
      </c>
      <c r="I14811" s="33" t="s">
        <v>21</v>
      </c>
      <c r="J14811" s="42">
        <v>44993</v>
      </c>
      <c r="K14811" s="33" t="s">
        <v>22</v>
      </c>
    </row>
    <row r="14812" spans="1:11">
      <c r="A14812" s="30" t="s">
        <v>33367</v>
      </c>
      <c r="B14812" s="30" t="s">
        <v>33368</v>
      </c>
      <c r="C14812" s="30" t="s">
        <v>33369</v>
      </c>
      <c r="D14812" s="30" t="s">
        <v>17</v>
      </c>
      <c r="E14812" s="30" t="s">
        <v>330</v>
      </c>
      <c r="F14812" s="30" t="s">
        <v>331</v>
      </c>
      <c r="G14812" s="30" t="s">
        <v>20</v>
      </c>
      <c r="H14812" s="32">
        <v>66</v>
      </c>
      <c r="I14812" s="30" t="s">
        <v>21</v>
      </c>
      <c r="J14812" s="41">
        <v>45222</v>
      </c>
      <c r="K14812" s="30" t="s">
        <v>22</v>
      </c>
    </row>
    <row r="14813" spans="1:11">
      <c r="A14813" s="33" t="s">
        <v>33370</v>
      </c>
      <c r="B14813" s="33" t="s">
        <v>33371</v>
      </c>
      <c r="C14813" s="33" t="s">
        <v>33372</v>
      </c>
      <c r="D14813" s="33" t="s">
        <v>17</v>
      </c>
      <c r="E14813" s="33" t="s">
        <v>67</v>
      </c>
      <c r="F14813" s="33" t="s">
        <v>68</v>
      </c>
      <c r="G14813" s="33" t="s">
        <v>106</v>
      </c>
      <c r="H14813" s="35">
        <v>8</v>
      </c>
      <c r="I14813" s="33" t="s">
        <v>21</v>
      </c>
      <c r="J14813" s="42">
        <v>44963</v>
      </c>
      <c r="K14813" s="33" t="s">
        <v>22</v>
      </c>
    </row>
    <row r="14814" spans="1:11">
      <c r="A14814" s="30" t="s">
        <v>33373</v>
      </c>
      <c r="B14814" s="30" t="s">
        <v>33374</v>
      </c>
      <c r="C14814" s="30" t="s">
        <v>5709</v>
      </c>
      <c r="D14814" s="30" t="s">
        <v>17</v>
      </c>
      <c r="E14814" s="30" t="s">
        <v>31</v>
      </c>
      <c r="F14814" s="30" t="s">
        <v>32</v>
      </c>
      <c r="G14814" s="30" t="s">
        <v>112</v>
      </c>
      <c r="H14814" s="32">
        <v>0</v>
      </c>
      <c r="I14814" s="30" t="s">
        <v>21</v>
      </c>
      <c r="J14814" s="41">
        <v>45261</v>
      </c>
      <c r="K14814" s="30" t="s">
        <v>22</v>
      </c>
    </row>
    <row r="14815" spans="1:11">
      <c r="A14815" s="33" t="s">
        <v>33375</v>
      </c>
      <c r="B14815" s="33" t="s">
        <v>33376</v>
      </c>
      <c r="C14815" s="33" t="s">
        <v>570</v>
      </c>
      <c r="D14815" s="33" t="s">
        <v>17</v>
      </c>
      <c r="E14815" s="33" t="s">
        <v>18</v>
      </c>
      <c r="F14815" s="33" t="s">
        <v>19</v>
      </c>
      <c r="G14815" s="33" t="s">
        <v>158</v>
      </c>
      <c r="H14815" s="35">
        <v>606</v>
      </c>
      <c r="I14815" s="33" t="s">
        <v>21</v>
      </c>
      <c r="J14815" s="42">
        <v>44972</v>
      </c>
      <c r="K14815" s="33" t="s">
        <v>22</v>
      </c>
    </row>
    <row r="14816" spans="1:11">
      <c r="A14816" s="30" t="s">
        <v>33377</v>
      </c>
      <c r="B14816" s="30" t="s">
        <v>33378</v>
      </c>
      <c r="C14816" s="30" t="s">
        <v>203</v>
      </c>
      <c r="D14816" s="30" t="s">
        <v>17</v>
      </c>
      <c r="E14816" s="30" t="s">
        <v>212</v>
      </c>
      <c r="F14816" s="30" t="s">
        <v>213</v>
      </c>
      <c r="G14816" s="30" t="s">
        <v>158</v>
      </c>
      <c r="H14816" s="32">
        <v>69</v>
      </c>
      <c r="I14816" s="30" t="s">
        <v>21</v>
      </c>
      <c r="J14816" s="41">
        <v>45259</v>
      </c>
      <c r="K14816" s="30" t="s">
        <v>22</v>
      </c>
    </row>
    <row r="14817" spans="1:11">
      <c r="A14817" s="33" t="s">
        <v>33379</v>
      </c>
      <c r="B14817" s="33" t="s">
        <v>33380</v>
      </c>
      <c r="C14817" s="33" t="s">
        <v>13241</v>
      </c>
      <c r="D14817" s="33" t="s">
        <v>17</v>
      </c>
      <c r="E14817" s="33" t="s">
        <v>26</v>
      </c>
      <c r="F14817" s="33" t="s">
        <v>27</v>
      </c>
      <c r="G14817" s="33" t="s">
        <v>20</v>
      </c>
      <c r="H14817" s="35">
        <v>33</v>
      </c>
      <c r="I14817" s="33" t="s">
        <v>21</v>
      </c>
      <c r="J14817" s="42">
        <v>44974</v>
      </c>
      <c r="K14817" s="33" t="s">
        <v>22</v>
      </c>
    </row>
    <row r="14818" spans="1:11">
      <c r="A14818" s="30" t="s">
        <v>33381</v>
      </c>
      <c r="B14818" s="30" t="s">
        <v>33382</v>
      </c>
      <c r="C14818" s="30" t="s">
        <v>15585</v>
      </c>
      <c r="D14818" s="30" t="s">
        <v>17</v>
      </c>
      <c r="E14818" s="30" t="s">
        <v>18</v>
      </c>
      <c r="F14818" s="30" t="s">
        <v>19</v>
      </c>
      <c r="G14818" s="30" t="s">
        <v>50</v>
      </c>
      <c r="H14818" s="32">
        <v>240</v>
      </c>
      <c r="I14818" s="30" t="s">
        <v>21</v>
      </c>
      <c r="J14818" s="41">
        <v>45044</v>
      </c>
      <c r="K14818" s="30" t="s">
        <v>22</v>
      </c>
    </row>
    <row r="14819" spans="1:11">
      <c r="A14819" s="33" t="s">
        <v>33383</v>
      </c>
      <c r="B14819" s="33" t="s">
        <v>33384</v>
      </c>
      <c r="C14819" s="33" t="s">
        <v>75</v>
      </c>
      <c r="D14819" s="33" t="s">
        <v>17</v>
      </c>
      <c r="E14819" s="33" t="s">
        <v>26</v>
      </c>
      <c r="F14819" s="33" t="s">
        <v>27</v>
      </c>
      <c r="G14819" s="33" t="s">
        <v>20</v>
      </c>
      <c r="H14819" s="35">
        <v>32</v>
      </c>
      <c r="I14819" s="33" t="s">
        <v>21</v>
      </c>
      <c r="J14819" s="42">
        <v>45111</v>
      </c>
      <c r="K14819" s="33" t="s">
        <v>22</v>
      </c>
    </row>
    <row r="14820" spans="1:11">
      <c r="A14820" s="30" t="s">
        <v>33385</v>
      </c>
      <c r="B14820" s="30" t="s">
        <v>33386</v>
      </c>
      <c r="C14820" s="30" t="s">
        <v>33387</v>
      </c>
      <c r="D14820" s="30" t="s">
        <v>17</v>
      </c>
      <c r="E14820" s="30" t="s">
        <v>18</v>
      </c>
      <c r="F14820" s="30" t="s">
        <v>19</v>
      </c>
      <c r="G14820" s="30" t="s">
        <v>20</v>
      </c>
      <c r="H14820" s="32">
        <v>762</v>
      </c>
      <c r="I14820" s="30" t="s">
        <v>21</v>
      </c>
      <c r="J14820" s="41">
        <v>45155</v>
      </c>
      <c r="K14820" s="30" t="s">
        <v>22</v>
      </c>
    </row>
    <row r="14821" spans="1:11">
      <c r="A14821" s="33" t="s">
        <v>33388</v>
      </c>
      <c r="B14821" s="33" t="s">
        <v>33389</v>
      </c>
      <c r="C14821" s="33" t="s">
        <v>33390</v>
      </c>
      <c r="D14821" s="33" t="s">
        <v>17</v>
      </c>
      <c r="E14821" s="33" t="s">
        <v>67</v>
      </c>
      <c r="F14821" s="33" t="s">
        <v>68</v>
      </c>
      <c r="G14821" s="33" t="s">
        <v>140</v>
      </c>
      <c r="H14821" s="35">
        <v>168</v>
      </c>
      <c r="I14821" s="33" t="s">
        <v>51</v>
      </c>
      <c r="J14821" s="42">
        <v>45131</v>
      </c>
      <c r="K14821" s="33" t="s">
        <v>22</v>
      </c>
    </row>
    <row r="14822" spans="1:11">
      <c r="A14822" s="30" t="s">
        <v>33391</v>
      </c>
      <c r="B14822" s="30" t="s">
        <v>33392</v>
      </c>
      <c r="C14822" s="30" t="s">
        <v>23703</v>
      </c>
      <c r="D14822" s="30" t="s">
        <v>17</v>
      </c>
      <c r="E14822" s="30" t="s">
        <v>26</v>
      </c>
      <c r="F14822" s="30" t="s">
        <v>27</v>
      </c>
      <c r="G14822" s="30" t="s">
        <v>158</v>
      </c>
      <c r="H14822" s="32">
        <v>130</v>
      </c>
      <c r="I14822" s="30" t="s">
        <v>51</v>
      </c>
      <c r="J14822" s="41">
        <v>45035</v>
      </c>
      <c r="K14822" s="30" t="s">
        <v>22</v>
      </c>
    </row>
    <row r="14823" spans="1:11">
      <c r="A14823" s="33" t="s">
        <v>33393</v>
      </c>
      <c r="B14823" s="33" t="s">
        <v>33394</v>
      </c>
      <c r="C14823" s="33" t="s">
        <v>93</v>
      </c>
      <c r="D14823" s="33" t="s">
        <v>17</v>
      </c>
      <c r="E14823" s="33" t="s">
        <v>26</v>
      </c>
      <c r="F14823" s="33" t="s">
        <v>27</v>
      </c>
      <c r="G14823" s="33" t="s">
        <v>20</v>
      </c>
      <c r="H14823" s="35">
        <v>58</v>
      </c>
      <c r="I14823" s="33" t="s">
        <v>21</v>
      </c>
      <c r="J14823" s="42">
        <v>45131</v>
      </c>
      <c r="K14823" s="33" t="s">
        <v>22</v>
      </c>
    </row>
    <row r="14824" spans="1:11">
      <c r="A14824" s="30" t="s">
        <v>33395</v>
      </c>
      <c r="B14824" s="30" t="s">
        <v>33396</v>
      </c>
      <c r="C14824" s="30" t="s">
        <v>13574</v>
      </c>
      <c r="D14824" s="30" t="s">
        <v>17</v>
      </c>
      <c r="E14824" s="30" t="s">
        <v>31</v>
      </c>
      <c r="F14824" s="30" t="s">
        <v>32</v>
      </c>
      <c r="G14824" s="30" t="s">
        <v>20</v>
      </c>
      <c r="H14824" s="32">
        <v>71</v>
      </c>
      <c r="I14824" s="30" t="s">
        <v>21</v>
      </c>
      <c r="J14824" s="41">
        <v>44991</v>
      </c>
      <c r="K14824" s="30" t="s">
        <v>22</v>
      </c>
    </row>
    <row r="14825" spans="1:11">
      <c r="A14825" s="33" t="s">
        <v>33397</v>
      </c>
      <c r="B14825" s="33" t="s">
        <v>33398</v>
      </c>
      <c r="C14825" s="33" t="s">
        <v>109</v>
      </c>
      <c r="D14825" s="33" t="s">
        <v>17</v>
      </c>
      <c r="E14825" s="33" t="s">
        <v>18</v>
      </c>
      <c r="F14825" s="33" t="s">
        <v>19</v>
      </c>
      <c r="G14825" s="33" t="s">
        <v>20</v>
      </c>
      <c r="H14825" s="35">
        <v>207</v>
      </c>
      <c r="I14825" s="33" t="s">
        <v>21</v>
      </c>
      <c r="J14825" s="42">
        <v>45118</v>
      </c>
      <c r="K14825" s="33" t="s">
        <v>22</v>
      </c>
    </row>
    <row r="14826" spans="1:11">
      <c r="A14826" s="30" t="s">
        <v>33399</v>
      </c>
      <c r="B14826" s="30" t="s">
        <v>33400</v>
      </c>
      <c r="C14826" s="30" t="s">
        <v>130</v>
      </c>
      <c r="D14826" s="30" t="s">
        <v>17</v>
      </c>
      <c r="E14826" s="30" t="s">
        <v>18</v>
      </c>
      <c r="F14826" s="30" t="s">
        <v>19</v>
      </c>
      <c r="G14826" s="30" t="s">
        <v>20</v>
      </c>
      <c r="H14826" s="32">
        <v>190</v>
      </c>
      <c r="I14826" s="30" t="s">
        <v>21</v>
      </c>
      <c r="J14826" s="41">
        <v>45089</v>
      </c>
      <c r="K14826" s="30" t="s">
        <v>22</v>
      </c>
    </row>
    <row r="14827" spans="1:11">
      <c r="A14827" s="33" t="s">
        <v>33401</v>
      </c>
      <c r="B14827" s="33" t="s">
        <v>33402</v>
      </c>
      <c r="C14827" s="33" t="s">
        <v>13471</v>
      </c>
      <c r="D14827" s="33" t="s">
        <v>17</v>
      </c>
      <c r="E14827" s="33" t="s">
        <v>26</v>
      </c>
      <c r="F14827" s="33" t="s">
        <v>27</v>
      </c>
      <c r="G14827" s="33" t="s">
        <v>50</v>
      </c>
      <c r="H14827" s="35">
        <v>144</v>
      </c>
      <c r="I14827" s="33" t="s">
        <v>51</v>
      </c>
      <c r="J14827" s="42">
        <v>44958</v>
      </c>
      <c r="K14827" s="33" t="s">
        <v>22</v>
      </c>
    </row>
    <row r="14828" spans="1:11">
      <c r="A14828" s="30" t="s">
        <v>33403</v>
      </c>
      <c r="B14828" s="30" t="s">
        <v>33404</v>
      </c>
      <c r="C14828" s="30" t="s">
        <v>1391</v>
      </c>
      <c r="D14828" s="30" t="s">
        <v>17</v>
      </c>
      <c r="E14828" s="30" t="s">
        <v>45</v>
      </c>
      <c r="F14828" s="30" t="s">
        <v>46</v>
      </c>
      <c r="G14828" s="30" t="s">
        <v>20</v>
      </c>
      <c r="H14828" s="32">
        <v>994</v>
      </c>
      <c r="I14828" s="30" t="s">
        <v>21</v>
      </c>
      <c r="J14828" s="41">
        <v>45215</v>
      </c>
      <c r="K14828" s="30" t="s">
        <v>22</v>
      </c>
    </row>
    <row r="14829" spans="1:11">
      <c r="A14829" s="33" t="s">
        <v>33405</v>
      </c>
      <c r="B14829" s="33" t="s">
        <v>33406</v>
      </c>
      <c r="C14829" s="33" t="s">
        <v>443</v>
      </c>
      <c r="D14829" s="33" t="s">
        <v>17</v>
      </c>
      <c r="E14829" s="33" t="s">
        <v>212</v>
      </c>
      <c r="F14829" s="33" t="s">
        <v>213</v>
      </c>
      <c r="G14829" s="33" t="s">
        <v>50</v>
      </c>
      <c r="H14829" s="35">
        <v>400</v>
      </c>
      <c r="I14829" s="33" t="s">
        <v>21</v>
      </c>
      <c r="J14829" s="42">
        <v>45234</v>
      </c>
      <c r="K14829" s="33" t="s">
        <v>22</v>
      </c>
    </row>
    <row r="14830" spans="1:11">
      <c r="A14830" s="30" t="s">
        <v>33407</v>
      </c>
      <c r="B14830" s="30" t="s">
        <v>33408</v>
      </c>
      <c r="C14830" s="30" t="s">
        <v>5842</v>
      </c>
      <c r="D14830" s="30" t="s">
        <v>17</v>
      </c>
      <c r="E14830" s="30" t="s">
        <v>26</v>
      </c>
      <c r="F14830" s="30" t="s">
        <v>27</v>
      </c>
      <c r="G14830" s="30" t="s">
        <v>20</v>
      </c>
      <c r="H14830" s="32">
        <v>20</v>
      </c>
      <c r="I14830" s="30" t="s">
        <v>21</v>
      </c>
      <c r="J14830" s="41">
        <v>44957</v>
      </c>
      <c r="K14830" s="30" t="s">
        <v>22</v>
      </c>
    </row>
    <row r="14831" spans="1:11">
      <c r="A14831" s="33" t="s">
        <v>33409</v>
      </c>
      <c r="B14831" s="33" t="s">
        <v>33410</v>
      </c>
      <c r="C14831" s="33" t="s">
        <v>33411</v>
      </c>
      <c r="D14831" s="33" t="s">
        <v>17</v>
      </c>
      <c r="E14831" s="33" t="s">
        <v>18</v>
      </c>
      <c r="F14831" s="33" t="s">
        <v>19</v>
      </c>
      <c r="G14831" s="33" t="s">
        <v>158</v>
      </c>
      <c r="H14831" s="35">
        <v>13</v>
      </c>
      <c r="I14831" s="33" t="s">
        <v>21</v>
      </c>
      <c r="J14831" s="42">
        <v>45280</v>
      </c>
      <c r="K14831" s="33" t="s">
        <v>22</v>
      </c>
    </row>
    <row r="14832" spans="1:11">
      <c r="A14832" s="30" t="s">
        <v>33412</v>
      </c>
      <c r="B14832" s="30" t="s">
        <v>33413</v>
      </c>
      <c r="C14832" s="30" t="s">
        <v>149</v>
      </c>
      <c r="D14832" s="30" t="s">
        <v>17</v>
      </c>
      <c r="E14832" s="30" t="s">
        <v>26</v>
      </c>
      <c r="F14832" s="30" t="s">
        <v>27</v>
      </c>
      <c r="G14832" s="30" t="s">
        <v>20</v>
      </c>
      <c r="H14832" s="32">
        <v>20</v>
      </c>
      <c r="I14832" s="30" t="s">
        <v>21</v>
      </c>
      <c r="J14832" s="41">
        <v>45236</v>
      </c>
      <c r="K14832" s="30" t="s">
        <v>22</v>
      </c>
    </row>
    <row r="14833" spans="1:11">
      <c r="A14833" s="33" t="s">
        <v>33414</v>
      </c>
      <c r="B14833" s="33" t="s">
        <v>33415</v>
      </c>
      <c r="C14833" s="33" t="s">
        <v>6097</v>
      </c>
      <c r="D14833" s="33" t="s">
        <v>17</v>
      </c>
      <c r="E14833" s="33" t="s">
        <v>31</v>
      </c>
      <c r="F14833" s="33" t="s">
        <v>32</v>
      </c>
      <c r="G14833" s="33" t="s">
        <v>50</v>
      </c>
      <c r="H14833" s="35">
        <v>70</v>
      </c>
      <c r="I14833" s="33" t="s">
        <v>51</v>
      </c>
      <c r="J14833" s="42">
        <v>45231</v>
      </c>
      <c r="K14833" s="33" t="s">
        <v>22</v>
      </c>
    </row>
    <row r="14834" spans="1:11">
      <c r="A14834" s="30" t="s">
        <v>33416</v>
      </c>
      <c r="B14834" s="30" t="s">
        <v>33417</v>
      </c>
      <c r="C14834" s="30" t="s">
        <v>109</v>
      </c>
      <c r="D14834" s="30" t="s">
        <v>17</v>
      </c>
      <c r="E14834" s="30" t="s">
        <v>31</v>
      </c>
      <c r="F14834" s="30" t="s">
        <v>32</v>
      </c>
      <c r="G14834" s="30" t="s">
        <v>106</v>
      </c>
      <c r="H14834" s="32">
        <v>102</v>
      </c>
      <c r="I14834" s="30" t="s">
        <v>21</v>
      </c>
      <c r="J14834" s="41">
        <v>44988</v>
      </c>
      <c r="K14834" s="30" t="s">
        <v>22</v>
      </c>
    </row>
    <row r="14835" spans="1:11">
      <c r="A14835" s="33" t="s">
        <v>33418</v>
      </c>
      <c r="B14835" s="33" t="s">
        <v>33419</v>
      </c>
      <c r="C14835" s="33" t="s">
        <v>29009</v>
      </c>
      <c r="D14835" s="33" t="s">
        <v>17</v>
      </c>
      <c r="E14835" s="33" t="s">
        <v>31</v>
      </c>
      <c r="F14835" s="33" t="s">
        <v>32</v>
      </c>
      <c r="G14835" s="33" t="s">
        <v>158</v>
      </c>
      <c r="H14835" s="35">
        <v>37</v>
      </c>
      <c r="I14835" s="33" t="s">
        <v>21</v>
      </c>
      <c r="J14835" s="42">
        <v>45269</v>
      </c>
      <c r="K14835" s="33" t="s">
        <v>22</v>
      </c>
    </row>
    <row r="14836" spans="1:11">
      <c r="A14836" s="30" t="s">
        <v>33420</v>
      </c>
      <c r="B14836" s="30" t="s">
        <v>33421</v>
      </c>
      <c r="C14836" s="30" t="s">
        <v>1003</v>
      </c>
      <c r="D14836" s="30" t="s">
        <v>17</v>
      </c>
      <c r="E14836" s="30" t="s">
        <v>26</v>
      </c>
      <c r="F14836" s="30" t="s">
        <v>27</v>
      </c>
      <c r="G14836" s="30" t="s">
        <v>20</v>
      </c>
      <c r="H14836" s="32">
        <v>52</v>
      </c>
      <c r="I14836" s="30" t="s">
        <v>21</v>
      </c>
      <c r="J14836" s="41">
        <v>45259</v>
      </c>
      <c r="K14836" s="30" t="s">
        <v>22</v>
      </c>
    </row>
    <row r="14837" spans="1:11">
      <c r="A14837" s="33" t="s">
        <v>33422</v>
      </c>
      <c r="B14837" s="33" t="s">
        <v>33423</v>
      </c>
      <c r="C14837" s="33" t="s">
        <v>9825</v>
      </c>
      <c r="D14837" s="33" t="s">
        <v>17</v>
      </c>
      <c r="E14837" s="33" t="s">
        <v>18</v>
      </c>
      <c r="F14837" s="33" t="s">
        <v>19</v>
      </c>
      <c r="G14837" s="33" t="s">
        <v>2613</v>
      </c>
      <c r="H14837" s="35">
        <v>1200</v>
      </c>
      <c r="I14837" s="33" t="s">
        <v>51</v>
      </c>
      <c r="J14837" s="42">
        <v>45016</v>
      </c>
      <c r="K14837" s="33" t="s">
        <v>22</v>
      </c>
    </row>
    <row r="14838" spans="1:11">
      <c r="A14838" s="30" t="s">
        <v>33424</v>
      </c>
      <c r="B14838" s="30" t="s">
        <v>33425</v>
      </c>
      <c r="C14838" s="30" t="s">
        <v>985</v>
      </c>
      <c r="D14838" s="30" t="s">
        <v>17</v>
      </c>
      <c r="E14838" s="30" t="s">
        <v>26</v>
      </c>
      <c r="F14838" s="30" t="s">
        <v>27</v>
      </c>
      <c r="G14838" s="30" t="s">
        <v>20</v>
      </c>
      <c r="H14838" s="32">
        <v>14</v>
      </c>
      <c r="I14838" s="30" t="s">
        <v>21</v>
      </c>
      <c r="J14838" s="41">
        <v>45042</v>
      </c>
      <c r="K14838" s="30" t="s">
        <v>22</v>
      </c>
    </row>
    <row r="14839" spans="1:11">
      <c r="A14839" s="33" t="s">
        <v>33426</v>
      </c>
      <c r="B14839" s="33" t="s">
        <v>33427</v>
      </c>
      <c r="C14839" s="33" t="s">
        <v>13033</v>
      </c>
      <c r="D14839" s="33" t="s">
        <v>17</v>
      </c>
      <c r="E14839" s="33" t="s">
        <v>31</v>
      </c>
      <c r="F14839" s="33" t="s">
        <v>32</v>
      </c>
      <c r="G14839" s="33" t="s">
        <v>20</v>
      </c>
      <c r="H14839" s="35">
        <v>270</v>
      </c>
      <c r="I14839" s="33" t="s">
        <v>21</v>
      </c>
      <c r="J14839" s="42">
        <v>45289</v>
      </c>
      <c r="K14839" s="33" t="s">
        <v>22</v>
      </c>
    </row>
    <row r="14840" spans="1:11">
      <c r="A14840" s="30" t="s">
        <v>33428</v>
      </c>
      <c r="B14840" s="30" t="s">
        <v>33429</v>
      </c>
      <c r="C14840" s="30" t="s">
        <v>4348</v>
      </c>
      <c r="D14840" s="30" t="s">
        <v>17</v>
      </c>
      <c r="E14840" s="30" t="s">
        <v>67</v>
      </c>
      <c r="F14840" s="30" t="s">
        <v>68</v>
      </c>
      <c r="G14840" s="30" t="s">
        <v>158</v>
      </c>
      <c r="H14840" s="32">
        <v>3</v>
      </c>
      <c r="I14840" s="30" t="s">
        <v>21</v>
      </c>
      <c r="J14840" s="41">
        <v>45154</v>
      </c>
      <c r="K14840" s="30" t="s">
        <v>22</v>
      </c>
    </row>
    <row r="14841" spans="1:11">
      <c r="A14841" s="33" t="s">
        <v>33430</v>
      </c>
      <c r="B14841" s="33" t="s">
        <v>33431</v>
      </c>
      <c r="C14841" s="33" t="s">
        <v>25549</v>
      </c>
      <c r="D14841" s="33" t="s">
        <v>17</v>
      </c>
      <c r="E14841" s="33" t="s">
        <v>31</v>
      </c>
      <c r="F14841" s="33" t="s">
        <v>32</v>
      </c>
      <c r="G14841" s="33" t="s">
        <v>20</v>
      </c>
      <c r="H14841" s="35">
        <v>54</v>
      </c>
      <c r="I14841" s="33" t="s">
        <v>21</v>
      </c>
      <c r="J14841" s="42">
        <v>45135</v>
      </c>
      <c r="K14841" s="33" t="s">
        <v>22</v>
      </c>
    </row>
    <row r="14842" spans="1:11">
      <c r="A14842" s="30" t="s">
        <v>33432</v>
      </c>
      <c r="B14842" s="30" t="s">
        <v>33433</v>
      </c>
      <c r="C14842" s="30" t="s">
        <v>33434</v>
      </c>
      <c r="D14842" s="30" t="s">
        <v>17</v>
      </c>
      <c r="E14842" s="30" t="s">
        <v>67</v>
      </c>
      <c r="F14842" s="30" t="s">
        <v>68</v>
      </c>
      <c r="G14842" s="30" t="s">
        <v>50</v>
      </c>
      <c r="H14842" s="32">
        <v>52</v>
      </c>
      <c r="I14842" s="30" t="s">
        <v>51</v>
      </c>
      <c r="J14842" s="41">
        <v>45226</v>
      </c>
      <c r="K14842" s="30" t="s">
        <v>22</v>
      </c>
    </row>
    <row r="14843" spans="1:11">
      <c r="A14843" s="33" t="s">
        <v>33435</v>
      </c>
      <c r="B14843" s="33" t="s">
        <v>33436</v>
      </c>
      <c r="C14843" s="33" t="s">
        <v>4975</v>
      </c>
      <c r="D14843" s="33" t="s">
        <v>17</v>
      </c>
      <c r="E14843" s="33" t="s">
        <v>18</v>
      </c>
      <c r="F14843" s="33" t="s">
        <v>19</v>
      </c>
      <c r="G14843" s="33" t="s">
        <v>158</v>
      </c>
      <c r="H14843" s="35">
        <v>600</v>
      </c>
      <c r="I14843" s="33" t="s">
        <v>51</v>
      </c>
      <c r="J14843" s="42">
        <v>44978</v>
      </c>
      <c r="K14843" s="33" t="s">
        <v>22</v>
      </c>
    </row>
    <row r="14844" spans="1:11">
      <c r="A14844" s="30" t="s">
        <v>33437</v>
      </c>
      <c r="B14844" s="30" t="s">
        <v>33438</v>
      </c>
      <c r="C14844" s="30" t="s">
        <v>24363</v>
      </c>
      <c r="D14844" s="30" t="s">
        <v>17</v>
      </c>
      <c r="E14844" s="30" t="s">
        <v>18</v>
      </c>
      <c r="F14844" s="30" t="s">
        <v>19</v>
      </c>
      <c r="G14844" s="30" t="s">
        <v>20</v>
      </c>
      <c r="H14844" s="32">
        <v>1552</v>
      </c>
      <c r="I14844" s="30" t="s">
        <v>21</v>
      </c>
      <c r="J14844" s="41">
        <v>44955</v>
      </c>
      <c r="K14844" s="30" t="s">
        <v>22</v>
      </c>
    </row>
    <row r="14845" spans="1:11">
      <c r="A14845" s="33" t="s">
        <v>33439</v>
      </c>
      <c r="B14845" s="33" t="s">
        <v>33440</v>
      </c>
      <c r="C14845" s="33" t="s">
        <v>310</v>
      </c>
      <c r="D14845" s="33" t="s">
        <v>17</v>
      </c>
      <c r="E14845" s="33" t="s">
        <v>26</v>
      </c>
      <c r="F14845" s="33" t="s">
        <v>27</v>
      </c>
      <c r="G14845" s="33" t="s">
        <v>20</v>
      </c>
      <c r="H14845" s="35">
        <v>121</v>
      </c>
      <c r="I14845" s="33" t="s">
        <v>21</v>
      </c>
      <c r="J14845" s="42">
        <v>45197</v>
      </c>
      <c r="K14845" s="33" t="s">
        <v>22</v>
      </c>
    </row>
    <row r="14846" spans="1:11">
      <c r="A14846" s="30" t="s">
        <v>33441</v>
      </c>
      <c r="B14846" s="30" t="s">
        <v>33442</v>
      </c>
      <c r="C14846" s="30" t="s">
        <v>33443</v>
      </c>
      <c r="D14846" s="30" t="s">
        <v>17</v>
      </c>
      <c r="E14846" s="30" t="s">
        <v>26</v>
      </c>
      <c r="F14846" s="30" t="s">
        <v>27</v>
      </c>
      <c r="G14846" s="30" t="s">
        <v>50</v>
      </c>
      <c r="H14846" s="32">
        <v>38</v>
      </c>
      <c r="I14846" s="30" t="s">
        <v>21</v>
      </c>
      <c r="J14846" s="41">
        <v>45181</v>
      </c>
      <c r="K14846" s="30" t="s">
        <v>22</v>
      </c>
    </row>
    <row r="14847" spans="1:11">
      <c r="A14847" s="33" t="s">
        <v>33444</v>
      </c>
      <c r="B14847" s="33" t="s">
        <v>33445</v>
      </c>
      <c r="C14847" s="33" t="s">
        <v>647</v>
      </c>
      <c r="D14847" s="33" t="s">
        <v>17</v>
      </c>
      <c r="E14847" s="33" t="s">
        <v>31</v>
      </c>
      <c r="F14847" s="33" t="s">
        <v>32</v>
      </c>
      <c r="G14847" s="33" t="s">
        <v>20</v>
      </c>
      <c r="H14847" s="35">
        <v>381</v>
      </c>
      <c r="I14847" s="33" t="s">
        <v>21</v>
      </c>
      <c r="J14847" s="42">
        <v>45100</v>
      </c>
      <c r="K14847" s="33" t="s">
        <v>22</v>
      </c>
    </row>
    <row r="14848" spans="1:11">
      <c r="A14848" s="30" t="s">
        <v>33446</v>
      </c>
      <c r="B14848" s="30" t="s">
        <v>25076</v>
      </c>
      <c r="C14848" s="30" t="s">
        <v>25077</v>
      </c>
      <c r="D14848" s="30" t="s">
        <v>17</v>
      </c>
      <c r="E14848" s="30" t="s">
        <v>67</v>
      </c>
      <c r="F14848" s="30" t="s">
        <v>68</v>
      </c>
      <c r="G14848" s="30" t="s">
        <v>140</v>
      </c>
      <c r="H14848" s="32">
        <v>60</v>
      </c>
      <c r="I14848" s="30" t="s">
        <v>51</v>
      </c>
      <c r="J14848" s="41">
        <v>45098</v>
      </c>
      <c r="K14848" s="30" t="s">
        <v>22</v>
      </c>
    </row>
    <row r="14849" spans="1:11">
      <c r="A14849" s="33" t="s">
        <v>33447</v>
      </c>
      <c r="B14849" s="33" t="s">
        <v>33448</v>
      </c>
      <c r="C14849" s="33" t="s">
        <v>990</v>
      </c>
      <c r="D14849" s="33" t="s">
        <v>17</v>
      </c>
      <c r="E14849" s="33" t="s">
        <v>26</v>
      </c>
      <c r="F14849" s="33" t="s">
        <v>27</v>
      </c>
      <c r="G14849" s="33" t="s">
        <v>106</v>
      </c>
      <c r="H14849" s="35">
        <v>15</v>
      </c>
      <c r="I14849" s="33" t="s">
        <v>21</v>
      </c>
      <c r="J14849" s="42">
        <v>44938</v>
      </c>
      <c r="K14849" s="33" t="s">
        <v>22</v>
      </c>
    </row>
    <row r="14850" spans="1:11">
      <c r="A14850" s="30" t="s">
        <v>33449</v>
      </c>
      <c r="B14850" s="30" t="s">
        <v>33450</v>
      </c>
      <c r="C14850" s="30" t="s">
        <v>15795</v>
      </c>
      <c r="D14850" s="30" t="s">
        <v>17</v>
      </c>
      <c r="E14850" s="30" t="s">
        <v>18</v>
      </c>
      <c r="F14850" s="30" t="s">
        <v>19</v>
      </c>
      <c r="G14850" s="30" t="s">
        <v>20</v>
      </c>
      <c r="H14850" s="32">
        <v>675</v>
      </c>
      <c r="I14850" s="30" t="s">
        <v>21</v>
      </c>
      <c r="J14850" s="41">
        <v>45252</v>
      </c>
      <c r="K14850" s="30" t="s">
        <v>22</v>
      </c>
    </row>
    <row r="14851" spans="1:11">
      <c r="A14851" s="33" t="s">
        <v>33451</v>
      </c>
      <c r="B14851" s="33" t="s">
        <v>33452</v>
      </c>
      <c r="C14851" s="33" t="s">
        <v>13382</v>
      </c>
      <c r="D14851" s="33" t="s">
        <v>17</v>
      </c>
      <c r="E14851" s="33" t="s">
        <v>26</v>
      </c>
      <c r="F14851" s="33" t="s">
        <v>27</v>
      </c>
      <c r="G14851" s="33" t="s">
        <v>20</v>
      </c>
      <c r="H14851" s="35">
        <v>8</v>
      </c>
      <c r="I14851" s="33" t="s">
        <v>21</v>
      </c>
      <c r="J14851" s="42">
        <v>45098</v>
      </c>
      <c r="K14851" s="33" t="s">
        <v>22</v>
      </c>
    </row>
    <row r="14852" spans="1:11">
      <c r="A14852" s="30" t="s">
        <v>33453</v>
      </c>
      <c r="B14852" s="30" t="s">
        <v>33454</v>
      </c>
      <c r="C14852" s="30" t="s">
        <v>33455</v>
      </c>
      <c r="D14852" s="30" t="s">
        <v>17</v>
      </c>
      <c r="E14852" s="30" t="s">
        <v>18</v>
      </c>
      <c r="F14852" s="30" t="s">
        <v>19</v>
      </c>
      <c r="G14852" s="30" t="s">
        <v>20</v>
      </c>
      <c r="H14852" s="32">
        <v>126</v>
      </c>
      <c r="I14852" s="30" t="s">
        <v>21</v>
      </c>
      <c r="J14852" s="41">
        <v>45191</v>
      </c>
      <c r="K14852" s="30" t="s">
        <v>22</v>
      </c>
    </row>
    <row r="14853" spans="1:11">
      <c r="A14853" s="33" t="s">
        <v>33456</v>
      </c>
      <c r="B14853" s="33" t="s">
        <v>33457</v>
      </c>
      <c r="C14853" s="33" t="s">
        <v>886</v>
      </c>
      <c r="D14853" s="33" t="s">
        <v>17</v>
      </c>
      <c r="E14853" s="33" t="s">
        <v>26</v>
      </c>
      <c r="F14853" s="33" t="s">
        <v>27</v>
      </c>
      <c r="G14853" s="33" t="s">
        <v>20</v>
      </c>
      <c r="H14853" s="35">
        <v>18</v>
      </c>
      <c r="I14853" s="33" t="s">
        <v>21</v>
      </c>
      <c r="J14853" s="42">
        <v>45160</v>
      </c>
      <c r="K14853" s="33" t="s">
        <v>22</v>
      </c>
    </row>
    <row r="14854" spans="1:11">
      <c r="A14854" s="30" t="s">
        <v>33458</v>
      </c>
      <c r="B14854" s="30" t="s">
        <v>33459</v>
      </c>
      <c r="C14854" s="30" t="s">
        <v>20050</v>
      </c>
      <c r="D14854" s="30" t="s">
        <v>17</v>
      </c>
      <c r="E14854" s="30" t="s">
        <v>31</v>
      </c>
      <c r="F14854" s="30" t="s">
        <v>32</v>
      </c>
      <c r="G14854" s="30" t="s">
        <v>20</v>
      </c>
      <c r="H14854" s="32">
        <v>285</v>
      </c>
      <c r="I14854" s="30" t="s">
        <v>21</v>
      </c>
      <c r="J14854" s="41">
        <v>44998</v>
      </c>
      <c r="K14854" s="30" t="s">
        <v>22</v>
      </c>
    </row>
    <row r="14855" spans="1:11">
      <c r="A14855" s="33" t="s">
        <v>33460</v>
      </c>
      <c r="B14855" s="33" t="s">
        <v>33461</v>
      </c>
      <c r="C14855" s="33" t="s">
        <v>9464</v>
      </c>
      <c r="D14855" s="33" t="s">
        <v>17</v>
      </c>
      <c r="E14855" s="33" t="s">
        <v>26</v>
      </c>
      <c r="F14855" s="33" t="s">
        <v>27</v>
      </c>
      <c r="G14855" s="33" t="s">
        <v>50</v>
      </c>
      <c r="H14855" s="35">
        <v>82</v>
      </c>
      <c r="I14855" s="33" t="s">
        <v>51</v>
      </c>
      <c r="J14855" s="42">
        <v>44958</v>
      </c>
      <c r="K14855" s="33" t="s">
        <v>22</v>
      </c>
    </row>
    <row r="14856" spans="1:11">
      <c r="A14856" s="30" t="s">
        <v>33462</v>
      </c>
      <c r="B14856" s="30" t="s">
        <v>33463</v>
      </c>
      <c r="C14856" s="30" t="s">
        <v>33464</v>
      </c>
      <c r="D14856" s="30" t="s">
        <v>17</v>
      </c>
      <c r="E14856" s="30" t="s">
        <v>26</v>
      </c>
      <c r="F14856" s="30" t="s">
        <v>27</v>
      </c>
      <c r="G14856" s="30" t="s">
        <v>140</v>
      </c>
      <c r="H14856" s="32">
        <v>46</v>
      </c>
      <c r="I14856" s="30" t="s">
        <v>51</v>
      </c>
      <c r="J14856" s="41">
        <v>45278</v>
      </c>
      <c r="K14856" s="30" t="s">
        <v>22</v>
      </c>
    </row>
    <row r="14857" spans="1:11">
      <c r="A14857" s="33" t="s">
        <v>33465</v>
      </c>
      <c r="B14857" s="33" t="s">
        <v>33466</v>
      </c>
      <c r="C14857" s="33" t="s">
        <v>33467</v>
      </c>
      <c r="D14857" s="33" t="s">
        <v>17</v>
      </c>
      <c r="E14857" s="33" t="s">
        <v>330</v>
      </c>
      <c r="F14857" s="33" t="s">
        <v>331</v>
      </c>
      <c r="G14857" s="33" t="s">
        <v>2613</v>
      </c>
      <c r="H14857" s="35">
        <v>90</v>
      </c>
      <c r="I14857" s="33" t="s">
        <v>51</v>
      </c>
      <c r="J14857" s="42">
        <v>44986</v>
      </c>
      <c r="K14857" s="33" t="s">
        <v>22</v>
      </c>
    </row>
    <row r="14858" spans="1:11">
      <c r="A14858" s="30" t="s">
        <v>33468</v>
      </c>
      <c r="B14858" s="30" t="s">
        <v>33469</v>
      </c>
      <c r="C14858" s="30" t="s">
        <v>33470</v>
      </c>
      <c r="D14858" s="30" t="s">
        <v>17</v>
      </c>
      <c r="E14858" s="30" t="s">
        <v>330</v>
      </c>
      <c r="F14858" s="30" t="s">
        <v>331</v>
      </c>
      <c r="G14858" s="30" t="s">
        <v>20</v>
      </c>
      <c r="H14858" s="32">
        <v>20</v>
      </c>
      <c r="I14858" s="30" t="s">
        <v>21</v>
      </c>
      <c r="J14858" s="41">
        <v>44949</v>
      </c>
      <c r="K14858" s="30" t="s">
        <v>22</v>
      </c>
    </row>
    <row r="14859" spans="1:11">
      <c r="A14859" s="33" t="s">
        <v>33471</v>
      </c>
      <c r="B14859" s="33" t="s">
        <v>33472</v>
      </c>
      <c r="C14859" s="33" t="s">
        <v>33473</v>
      </c>
      <c r="D14859" s="33" t="s">
        <v>17</v>
      </c>
      <c r="E14859" s="33" t="s">
        <v>18</v>
      </c>
      <c r="F14859" s="33" t="s">
        <v>19</v>
      </c>
      <c r="G14859" s="33" t="s">
        <v>20</v>
      </c>
      <c r="H14859" s="35">
        <v>390</v>
      </c>
      <c r="I14859" s="33" t="s">
        <v>21</v>
      </c>
      <c r="J14859" s="42">
        <v>45288</v>
      </c>
      <c r="K14859" s="33" t="s">
        <v>22</v>
      </c>
    </row>
    <row r="14860" spans="1:11">
      <c r="A14860" s="30" t="s">
        <v>33474</v>
      </c>
      <c r="B14860" s="30" t="s">
        <v>33475</v>
      </c>
      <c r="C14860" s="30" t="s">
        <v>78</v>
      </c>
      <c r="D14860" s="30" t="s">
        <v>17</v>
      </c>
      <c r="E14860" s="30" t="s">
        <v>26</v>
      </c>
      <c r="F14860" s="30" t="s">
        <v>27</v>
      </c>
      <c r="G14860" s="30" t="s">
        <v>20</v>
      </c>
      <c r="H14860" s="32">
        <v>63</v>
      </c>
      <c r="I14860" s="30" t="s">
        <v>21</v>
      </c>
      <c r="J14860" s="41">
        <v>45124</v>
      </c>
      <c r="K14860" s="30" t="s">
        <v>22</v>
      </c>
    </row>
    <row r="14861" spans="1:11">
      <c r="A14861" s="33" t="s">
        <v>33476</v>
      </c>
      <c r="B14861" s="33" t="s">
        <v>33477</v>
      </c>
      <c r="C14861" s="33" t="s">
        <v>1674</v>
      </c>
      <c r="D14861" s="33" t="s">
        <v>17</v>
      </c>
      <c r="E14861" s="33" t="s">
        <v>18</v>
      </c>
      <c r="F14861" s="33" t="s">
        <v>19</v>
      </c>
      <c r="G14861" s="33" t="s">
        <v>20</v>
      </c>
      <c r="H14861" s="35">
        <v>96</v>
      </c>
      <c r="I14861" s="33" t="s">
        <v>21</v>
      </c>
      <c r="J14861" s="42">
        <v>44970</v>
      </c>
      <c r="K14861" s="33" t="s">
        <v>22</v>
      </c>
    </row>
    <row r="14862" spans="1:11">
      <c r="A14862" s="30" t="s">
        <v>33478</v>
      </c>
      <c r="B14862" s="30" t="s">
        <v>33479</v>
      </c>
      <c r="C14862" s="30" t="s">
        <v>33480</v>
      </c>
      <c r="D14862" s="30" t="s">
        <v>17</v>
      </c>
      <c r="E14862" s="30" t="s">
        <v>67</v>
      </c>
      <c r="F14862" s="30" t="s">
        <v>68</v>
      </c>
      <c r="G14862" s="30" t="s">
        <v>20</v>
      </c>
      <c r="H14862" s="32">
        <v>40</v>
      </c>
      <c r="I14862" s="30" t="s">
        <v>21</v>
      </c>
      <c r="J14862" s="41">
        <v>44988</v>
      </c>
      <c r="K14862" s="30" t="s">
        <v>22</v>
      </c>
    </row>
    <row r="14863" spans="1:11">
      <c r="A14863" s="33" t="s">
        <v>33481</v>
      </c>
      <c r="B14863" s="33" t="s">
        <v>33482</v>
      </c>
      <c r="C14863" s="33" t="s">
        <v>647</v>
      </c>
      <c r="D14863" s="33" t="s">
        <v>17</v>
      </c>
      <c r="E14863" s="33" t="s">
        <v>18</v>
      </c>
      <c r="F14863" s="33" t="s">
        <v>19</v>
      </c>
      <c r="G14863" s="33" t="s">
        <v>158</v>
      </c>
      <c r="H14863" s="35">
        <v>514</v>
      </c>
      <c r="I14863" s="33" t="s">
        <v>21</v>
      </c>
      <c r="J14863" s="42">
        <v>44974</v>
      </c>
      <c r="K14863" s="33" t="s">
        <v>22</v>
      </c>
    </row>
    <row r="14864" spans="1:11">
      <c r="A14864" s="30" t="s">
        <v>33483</v>
      </c>
      <c r="B14864" s="30" t="s">
        <v>33484</v>
      </c>
      <c r="C14864" s="30" t="s">
        <v>33485</v>
      </c>
      <c r="D14864" s="30" t="s">
        <v>17</v>
      </c>
      <c r="E14864" s="30" t="s">
        <v>67</v>
      </c>
      <c r="F14864" s="30" t="s">
        <v>68</v>
      </c>
      <c r="G14864" s="30" t="s">
        <v>140</v>
      </c>
      <c r="H14864" s="32">
        <v>128</v>
      </c>
      <c r="I14864" s="30" t="s">
        <v>51</v>
      </c>
      <c r="J14864" s="41">
        <v>45224</v>
      </c>
      <c r="K14864" s="30" t="s">
        <v>22</v>
      </c>
    </row>
    <row r="14865" spans="1:11">
      <c r="A14865" s="33" t="s">
        <v>33486</v>
      </c>
      <c r="B14865" s="33" t="s">
        <v>33487</v>
      </c>
      <c r="C14865" s="33" t="s">
        <v>5246</v>
      </c>
      <c r="D14865" s="33" t="s">
        <v>17</v>
      </c>
      <c r="E14865" s="33" t="s">
        <v>26</v>
      </c>
      <c r="F14865" s="33" t="s">
        <v>27</v>
      </c>
      <c r="G14865" s="33" t="s">
        <v>20</v>
      </c>
      <c r="H14865" s="35">
        <v>24</v>
      </c>
      <c r="I14865" s="33" t="s">
        <v>21</v>
      </c>
      <c r="J14865" s="42">
        <v>45092</v>
      </c>
      <c r="K14865" s="33" t="s">
        <v>22</v>
      </c>
    </row>
    <row r="14866" spans="1:11">
      <c r="A14866" s="30" t="s">
        <v>33488</v>
      </c>
      <c r="B14866" s="30" t="s">
        <v>33489</v>
      </c>
      <c r="C14866" s="30" t="s">
        <v>2706</v>
      </c>
      <c r="D14866" s="30" t="s">
        <v>17</v>
      </c>
      <c r="E14866" s="30" t="s">
        <v>31</v>
      </c>
      <c r="F14866" s="30" t="s">
        <v>32</v>
      </c>
      <c r="G14866" s="30" t="s">
        <v>112</v>
      </c>
      <c r="H14866" s="32">
        <v>0</v>
      </c>
      <c r="I14866" s="30" t="s">
        <v>21</v>
      </c>
      <c r="J14866" s="41">
        <v>45261</v>
      </c>
      <c r="K14866" s="30" t="s">
        <v>22</v>
      </c>
    </row>
    <row r="14867" spans="1:11">
      <c r="A14867" s="33" t="s">
        <v>33490</v>
      </c>
      <c r="B14867" s="33" t="s">
        <v>33491</v>
      </c>
      <c r="C14867" s="33" t="s">
        <v>6658</v>
      </c>
      <c r="D14867" s="33" t="s">
        <v>17</v>
      </c>
      <c r="E14867" s="33" t="s">
        <v>26</v>
      </c>
      <c r="F14867" s="33" t="s">
        <v>27</v>
      </c>
      <c r="G14867" s="33" t="s">
        <v>106</v>
      </c>
      <c r="H14867" s="35">
        <v>22</v>
      </c>
      <c r="I14867" s="33" t="s">
        <v>21</v>
      </c>
      <c r="J14867" s="42">
        <v>45021</v>
      </c>
      <c r="K14867" s="33" t="s">
        <v>22</v>
      </c>
    </row>
    <row r="14868" spans="1:11">
      <c r="A14868" s="30" t="s">
        <v>33492</v>
      </c>
      <c r="B14868" s="30" t="s">
        <v>33493</v>
      </c>
      <c r="C14868" s="30" t="s">
        <v>33494</v>
      </c>
      <c r="D14868" s="30" t="s">
        <v>17</v>
      </c>
      <c r="E14868" s="30" t="s">
        <v>26</v>
      </c>
      <c r="F14868" s="30" t="s">
        <v>27</v>
      </c>
      <c r="G14868" s="30" t="s">
        <v>50</v>
      </c>
      <c r="H14868" s="32">
        <v>30</v>
      </c>
      <c r="I14868" s="30" t="s">
        <v>51</v>
      </c>
      <c r="J14868" s="41">
        <v>45027</v>
      </c>
      <c r="K14868" s="30" t="s">
        <v>22</v>
      </c>
    </row>
    <row r="14869" spans="1:11">
      <c r="A14869" s="33" t="s">
        <v>33495</v>
      </c>
      <c r="B14869" s="33" t="s">
        <v>33496</v>
      </c>
      <c r="C14869" s="33" t="s">
        <v>17285</v>
      </c>
      <c r="D14869" s="33" t="s">
        <v>17</v>
      </c>
      <c r="E14869" s="33" t="s">
        <v>67</v>
      </c>
      <c r="F14869" s="33" t="s">
        <v>68</v>
      </c>
      <c r="G14869" s="33" t="s">
        <v>140</v>
      </c>
      <c r="H14869" s="35">
        <v>95</v>
      </c>
      <c r="I14869" s="33" t="s">
        <v>51</v>
      </c>
      <c r="J14869" s="42">
        <v>45175</v>
      </c>
      <c r="K14869" s="33" t="s">
        <v>22</v>
      </c>
    </row>
    <row r="14870" spans="1:11">
      <c r="A14870" s="30" t="s">
        <v>33497</v>
      </c>
      <c r="B14870" s="30" t="s">
        <v>33498</v>
      </c>
      <c r="C14870" s="30" t="s">
        <v>44</v>
      </c>
      <c r="D14870" s="30" t="s">
        <v>17</v>
      </c>
      <c r="E14870" s="30" t="s">
        <v>26</v>
      </c>
      <c r="F14870" s="30" t="s">
        <v>27</v>
      </c>
      <c r="G14870" s="30" t="s">
        <v>20</v>
      </c>
      <c r="H14870" s="32">
        <v>40</v>
      </c>
      <c r="I14870" s="30" t="s">
        <v>21</v>
      </c>
      <c r="J14870" s="41">
        <v>45258</v>
      </c>
      <c r="K14870" s="30" t="s">
        <v>22</v>
      </c>
    </row>
    <row r="14871" spans="1:11">
      <c r="A14871" s="33" t="s">
        <v>33499</v>
      </c>
      <c r="B14871" s="33" t="s">
        <v>33500</v>
      </c>
      <c r="C14871" s="33" t="s">
        <v>33501</v>
      </c>
      <c r="D14871" s="33" t="s">
        <v>17</v>
      </c>
      <c r="E14871" s="33" t="s">
        <v>26</v>
      </c>
      <c r="F14871" s="33" t="s">
        <v>27</v>
      </c>
      <c r="G14871" s="33" t="s">
        <v>106</v>
      </c>
      <c r="H14871" s="35">
        <v>126</v>
      </c>
      <c r="I14871" s="33" t="s">
        <v>21</v>
      </c>
      <c r="J14871" s="42">
        <v>45056</v>
      </c>
      <c r="K14871" s="33" t="s">
        <v>22</v>
      </c>
    </row>
    <row r="14872" spans="1:11">
      <c r="A14872" s="30" t="s">
        <v>33502</v>
      </c>
      <c r="B14872" s="30" t="s">
        <v>33503</v>
      </c>
      <c r="C14872" s="30" t="s">
        <v>33504</v>
      </c>
      <c r="D14872" s="30" t="s">
        <v>17</v>
      </c>
      <c r="E14872" s="30" t="s">
        <v>26</v>
      </c>
      <c r="F14872" s="30" t="s">
        <v>27</v>
      </c>
      <c r="G14872" s="30" t="s">
        <v>140</v>
      </c>
      <c r="H14872" s="32">
        <v>40</v>
      </c>
      <c r="I14872" s="30" t="s">
        <v>51</v>
      </c>
      <c r="J14872" s="41">
        <v>44952</v>
      </c>
      <c r="K14872" s="30" t="s">
        <v>22</v>
      </c>
    </row>
    <row r="14873" spans="1:11">
      <c r="A14873" s="33" t="s">
        <v>33505</v>
      </c>
      <c r="B14873" s="33" t="s">
        <v>33506</v>
      </c>
      <c r="C14873" s="33" t="s">
        <v>21185</v>
      </c>
      <c r="D14873" s="33" t="s">
        <v>17</v>
      </c>
      <c r="E14873" s="33" t="s">
        <v>26</v>
      </c>
      <c r="F14873" s="33" t="s">
        <v>27</v>
      </c>
      <c r="G14873" s="33" t="s">
        <v>106</v>
      </c>
      <c r="H14873" s="35">
        <v>14</v>
      </c>
      <c r="I14873" s="33" t="s">
        <v>21</v>
      </c>
      <c r="J14873" s="42">
        <v>45070</v>
      </c>
      <c r="K14873" s="33" t="s">
        <v>22</v>
      </c>
    </row>
    <row r="14874" spans="1:11">
      <c r="A14874" s="30" t="s">
        <v>33507</v>
      </c>
      <c r="B14874" s="30" t="s">
        <v>33508</v>
      </c>
      <c r="C14874" s="30" t="s">
        <v>3429</v>
      </c>
      <c r="D14874" s="30" t="s">
        <v>17</v>
      </c>
      <c r="E14874" s="30" t="s">
        <v>26</v>
      </c>
      <c r="F14874" s="30" t="s">
        <v>27</v>
      </c>
      <c r="G14874" s="30" t="s">
        <v>20</v>
      </c>
      <c r="H14874" s="32">
        <v>56</v>
      </c>
      <c r="I14874" s="30" t="s">
        <v>21</v>
      </c>
      <c r="J14874" s="41">
        <v>45009</v>
      </c>
      <c r="K14874" s="30" t="s">
        <v>22</v>
      </c>
    </row>
    <row r="14875" spans="1:11">
      <c r="A14875" s="33" t="s">
        <v>33509</v>
      </c>
      <c r="B14875" s="33" t="s">
        <v>33510</v>
      </c>
      <c r="C14875" s="33" t="s">
        <v>222</v>
      </c>
      <c r="D14875" s="33" t="s">
        <v>17</v>
      </c>
      <c r="E14875" s="33" t="s">
        <v>67</v>
      </c>
      <c r="F14875" s="33" t="s">
        <v>68</v>
      </c>
      <c r="G14875" s="33" t="s">
        <v>106</v>
      </c>
      <c r="H14875" s="35">
        <v>9</v>
      </c>
      <c r="I14875" s="33" t="s">
        <v>21</v>
      </c>
      <c r="J14875" s="42">
        <v>45197</v>
      </c>
      <c r="K14875" s="33" t="s">
        <v>22</v>
      </c>
    </row>
    <row r="14876" spans="1:11">
      <c r="A14876" s="30" t="s">
        <v>33511</v>
      </c>
      <c r="B14876" s="30" t="s">
        <v>33512</v>
      </c>
      <c r="C14876" s="30" t="s">
        <v>1270</v>
      </c>
      <c r="D14876" s="30" t="s">
        <v>17</v>
      </c>
      <c r="E14876" s="30" t="s">
        <v>26</v>
      </c>
      <c r="F14876" s="30" t="s">
        <v>27</v>
      </c>
      <c r="G14876" s="30" t="s">
        <v>50</v>
      </c>
      <c r="H14876" s="32">
        <v>48</v>
      </c>
      <c r="I14876" s="30" t="s">
        <v>51</v>
      </c>
      <c r="J14876" s="41">
        <v>45231</v>
      </c>
      <c r="K14876" s="30" t="s">
        <v>22</v>
      </c>
    </row>
    <row r="14877" spans="1:11">
      <c r="A14877" s="33" t="s">
        <v>33513</v>
      </c>
      <c r="B14877" s="33" t="s">
        <v>33514</v>
      </c>
      <c r="C14877" s="33" t="s">
        <v>10009</v>
      </c>
      <c r="D14877" s="33" t="s">
        <v>17</v>
      </c>
      <c r="E14877" s="33" t="s">
        <v>31</v>
      </c>
      <c r="F14877" s="33" t="s">
        <v>32</v>
      </c>
      <c r="G14877" s="33" t="s">
        <v>20</v>
      </c>
      <c r="H14877" s="35">
        <v>122</v>
      </c>
      <c r="I14877" s="33" t="s">
        <v>21</v>
      </c>
      <c r="J14877" s="42">
        <v>45259</v>
      </c>
      <c r="K14877" s="33" t="s">
        <v>22</v>
      </c>
    </row>
    <row r="14878" spans="1:11">
      <c r="A14878" s="30" t="s">
        <v>33515</v>
      </c>
      <c r="B14878" s="30" t="s">
        <v>33516</v>
      </c>
      <c r="C14878" s="30" t="s">
        <v>3258</v>
      </c>
      <c r="D14878" s="30" t="s">
        <v>17</v>
      </c>
      <c r="E14878" s="30" t="s">
        <v>212</v>
      </c>
      <c r="F14878" s="30" t="s">
        <v>213</v>
      </c>
      <c r="G14878" s="30" t="s">
        <v>20</v>
      </c>
      <c r="H14878" s="32">
        <v>33</v>
      </c>
      <c r="I14878" s="30" t="s">
        <v>21</v>
      </c>
      <c r="J14878" s="41">
        <v>45152</v>
      </c>
      <c r="K14878" s="30" t="s">
        <v>22</v>
      </c>
    </row>
    <row r="14879" spans="1:11">
      <c r="A14879" s="33" t="s">
        <v>33517</v>
      </c>
      <c r="B14879" s="33" t="s">
        <v>33518</v>
      </c>
      <c r="C14879" s="33" t="s">
        <v>23276</v>
      </c>
      <c r="D14879" s="33" t="s">
        <v>17</v>
      </c>
      <c r="E14879" s="33" t="s">
        <v>31</v>
      </c>
      <c r="F14879" s="33" t="s">
        <v>32</v>
      </c>
      <c r="G14879" s="33" t="s">
        <v>140</v>
      </c>
      <c r="H14879" s="35">
        <v>21</v>
      </c>
      <c r="I14879" s="33" t="s">
        <v>51</v>
      </c>
      <c r="J14879" s="42">
        <v>45237</v>
      </c>
      <c r="K14879" s="33" t="s">
        <v>22</v>
      </c>
    </row>
    <row r="14880" spans="1:11">
      <c r="A14880" s="30" t="s">
        <v>33519</v>
      </c>
      <c r="B14880" s="30" t="s">
        <v>33520</v>
      </c>
      <c r="C14880" s="30" t="s">
        <v>13241</v>
      </c>
      <c r="D14880" s="30" t="s">
        <v>17</v>
      </c>
      <c r="E14880" s="30" t="s">
        <v>67</v>
      </c>
      <c r="F14880" s="30" t="s">
        <v>68</v>
      </c>
      <c r="G14880" s="30" t="s">
        <v>50</v>
      </c>
      <c r="H14880" s="32">
        <v>132</v>
      </c>
      <c r="I14880" s="30" t="s">
        <v>51</v>
      </c>
      <c r="J14880" s="41">
        <v>45247</v>
      </c>
      <c r="K14880" s="30" t="s">
        <v>22</v>
      </c>
    </row>
    <row r="14881" spans="1:11">
      <c r="A14881" s="33" t="s">
        <v>33521</v>
      </c>
      <c r="B14881" s="33" t="s">
        <v>33522</v>
      </c>
      <c r="C14881" s="33" t="s">
        <v>187</v>
      </c>
      <c r="D14881" s="33" t="s">
        <v>17</v>
      </c>
      <c r="E14881" s="33" t="s">
        <v>18</v>
      </c>
      <c r="F14881" s="33" t="s">
        <v>19</v>
      </c>
      <c r="G14881" s="33" t="s">
        <v>50</v>
      </c>
      <c r="H14881" s="35">
        <v>518</v>
      </c>
      <c r="I14881" s="33" t="s">
        <v>51</v>
      </c>
      <c r="J14881" s="42">
        <v>45085</v>
      </c>
      <c r="K14881" s="33" t="s">
        <v>22</v>
      </c>
    </row>
    <row r="14882" spans="1:11">
      <c r="A14882" s="30" t="s">
        <v>33523</v>
      </c>
      <c r="B14882" s="30" t="s">
        <v>33524</v>
      </c>
      <c r="C14882" s="30" t="s">
        <v>136</v>
      </c>
      <c r="D14882" s="30" t="s">
        <v>17</v>
      </c>
      <c r="E14882" s="30" t="s">
        <v>26</v>
      </c>
      <c r="F14882" s="30" t="s">
        <v>27</v>
      </c>
      <c r="G14882" s="30" t="s">
        <v>20</v>
      </c>
      <c r="H14882" s="32">
        <v>16</v>
      </c>
      <c r="I14882" s="30" t="s">
        <v>21</v>
      </c>
      <c r="J14882" s="41">
        <v>45222</v>
      </c>
      <c r="K14882" s="30" t="s">
        <v>22</v>
      </c>
    </row>
    <row r="14883" spans="1:11">
      <c r="A14883" s="33" t="s">
        <v>33525</v>
      </c>
      <c r="B14883" s="33" t="s">
        <v>33526</v>
      </c>
      <c r="C14883" s="33" t="s">
        <v>60</v>
      </c>
      <c r="D14883" s="33" t="s">
        <v>17</v>
      </c>
      <c r="E14883" s="33" t="s">
        <v>26</v>
      </c>
      <c r="F14883" s="33" t="s">
        <v>27</v>
      </c>
      <c r="G14883" s="33" t="s">
        <v>20</v>
      </c>
      <c r="H14883" s="35">
        <v>73</v>
      </c>
      <c r="I14883" s="33" t="s">
        <v>21</v>
      </c>
      <c r="J14883" s="42">
        <v>45049</v>
      </c>
      <c r="K14883" s="33" t="s">
        <v>22</v>
      </c>
    </row>
    <row r="14884" spans="1:11">
      <c r="A14884" s="30" t="s">
        <v>33527</v>
      </c>
      <c r="B14884" s="30" t="s">
        <v>33528</v>
      </c>
      <c r="C14884" s="30" t="s">
        <v>5389</v>
      </c>
      <c r="D14884" s="30" t="s">
        <v>17</v>
      </c>
      <c r="E14884" s="30" t="s">
        <v>18</v>
      </c>
      <c r="F14884" s="30" t="s">
        <v>19</v>
      </c>
      <c r="G14884" s="30" t="s">
        <v>20</v>
      </c>
      <c r="H14884" s="32">
        <v>202</v>
      </c>
      <c r="I14884" s="30" t="s">
        <v>21</v>
      </c>
      <c r="J14884" s="41">
        <v>45029</v>
      </c>
      <c r="K14884" s="30" t="s">
        <v>22</v>
      </c>
    </row>
    <row r="14885" spans="1:11">
      <c r="A14885" s="33" t="s">
        <v>33529</v>
      </c>
      <c r="B14885" s="33" t="s">
        <v>33530</v>
      </c>
      <c r="C14885" s="33" t="s">
        <v>16496</v>
      </c>
      <c r="D14885" s="33" t="s">
        <v>17</v>
      </c>
      <c r="E14885" s="33" t="s">
        <v>31</v>
      </c>
      <c r="F14885" s="33" t="s">
        <v>32</v>
      </c>
      <c r="G14885" s="33" t="s">
        <v>20</v>
      </c>
      <c r="H14885" s="35">
        <v>187</v>
      </c>
      <c r="I14885" s="33" t="s">
        <v>21</v>
      </c>
      <c r="J14885" s="42">
        <v>45204</v>
      </c>
      <c r="K14885" s="33" t="s">
        <v>22</v>
      </c>
    </row>
    <row r="14886" spans="1:11">
      <c r="A14886" s="30" t="s">
        <v>33531</v>
      </c>
      <c r="B14886" s="30" t="s">
        <v>33532</v>
      </c>
      <c r="C14886" s="30" t="s">
        <v>109</v>
      </c>
      <c r="D14886" s="30" t="s">
        <v>17</v>
      </c>
      <c r="E14886" s="30" t="s">
        <v>18</v>
      </c>
      <c r="F14886" s="30" t="s">
        <v>19</v>
      </c>
      <c r="G14886" s="30" t="s">
        <v>20</v>
      </c>
      <c r="H14886" s="32">
        <v>144</v>
      </c>
      <c r="I14886" s="30" t="s">
        <v>21</v>
      </c>
      <c r="J14886" s="41">
        <v>45021</v>
      </c>
      <c r="K14886" s="30" t="s">
        <v>22</v>
      </c>
    </row>
    <row r="14887" spans="1:11">
      <c r="A14887" s="33" t="s">
        <v>33533</v>
      </c>
      <c r="B14887" s="33" t="s">
        <v>33534</v>
      </c>
      <c r="C14887" s="33" t="s">
        <v>1024</v>
      </c>
      <c r="D14887" s="33" t="s">
        <v>17</v>
      </c>
      <c r="E14887" s="33" t="s">
        <v>31</v>
      </c>
      <c r="F14887" s="33" t="s">
        <v>32</v>
      </c>
      <c r="G14887" s="33" t="s">
        <v>112</v>
      </c>
      <c r="H14887" s="35">
        <v>0</v>
      </c>
      <c r="I14887" s="33" t="s">
        <v>21</v>
      </c>
      <c r="J14887" s="42">
        <v>44958</v>
      </c>
      <c r="K14887" s="33" t="s">
        <v>22</v>
      </c>
    </row>
    <row r="14888" spans="1:11">
      <c r="A14888" s="30" t="s">
        <v>33535</v>
      </c>
      <c r="B14888" s="30" t="s">
        <v>33536</v>
      </c>
      <c r="C14888" s="30" t="s">
        <v>1796</v>
      </c>
      <c r="D14888" s="30" t="s">
        <v>17</v>
      </c>
      <c r="E14888" s="30" t="s">
        <v>67</v>
      </c>
      <c r="F14888" s="30" t="s">
        <v>68</v>
      </c>
      <c r="G14888" s="30" t="s">
        <v>140</v>
      </c>
      <c r="H14888" s="32">
        <v>204</v>
      </c>
      <c r="I14888" s="30" t="s">
        <v>51</v>
      </c>
      <c r="J14888" s="41">
        <v>45189</v>
      </c>
      <c r="K14888" s="30" t="s">
        <v>22</v>
      </c>
    </row>
    <row r="14889" spans="1:11">
      <c r="A14889" s="33" t="s">
        <v>33537</v>
      </c>
      <c r="B14889" s="33" t="s">
        <v>33538</v>
      </c>
      <c r="C14889" s="33" t="s">
        <v>2807</v>
      </c>
      <c r="D14889" s="33" t="s">
        <v>17</v>
      </c>
      <c r="E14889" s="33" t="s">
        <v>26</v>
      </c>
      <c r="F14889" s="33" t="s">
        <v>27</v>
      </c>
      <c r="G14889" s="33" t="s">
        <v>20</v>
      </c>
      <c r="H14889" s="35">
        <v>62</v>
      </c>
      <c r="I14889" s="33" t="s">
        <v>21</v>
      </c>
      <c r="J14889" s="42">
        <v>45197</v>
      </c>
      <c r="K14889" s="33" t="s">
        <v>22</v>
      </c>
    </row>
    <row r="14890" spans="1:11">
      <c r="A14890" s="30" t="s">
        <v>33539</v>
      </c>
      <c r="B14890" s="30" t="s">
        <v>33540</v>
      </c>
      <c r="C14890" s="30" t="s">
        <v>2748</v>
      </c>
      <c r="D14890" s="30" t="s">
        <v>17</v>
      </c>
      <c r="E14890" s="30" t="s">
        <v>31</v>
      </c>
      <c r="F14890" s="30" t="s">
        <v>32</v>
      </c>
      <c r="G14890" s="30" t="s">
        <v>140</v>
      </c>
      <c r="H14890" s="32">
        <v>60</v>
      </c>
      <c r="I14890" s="30" t="s">
        <v>51</v>
      </c>
      <c r="J14890" s="41">
        <v>45182</v>
      </c>
      <c r="K14890" s="30" t="s">
        <v>22</v>
      </c>
    </row>
    <row r="14891" spans="1:11">
      <c r="A14891" s="33" t="s">
        <v>33541</v>
      </c>
      <c r="B14891" s="33" t="s">
        <v>33542</v>
      </c>
      <c r="C14891" s="33" t="s">
        <v>1165</v>
      </c>
      <c r="D14891" s="33" t="s">
        <v>17</v>
      </c>
      <c r="E14891" s="33" t="s">
        <v>18</v>
      </c>
      <c r="F14891" s="33" t="s">
        <v>19</v>
      </c>
      <c r="G14891" s="33" t="s">
        <v>106</v>
      </c>
      <c r="H14891" s="35">
        <v>64</v>
      </c>
      <c r="I14891" s="33" t="s">
        <v>21</v>
      </c>
      <c r="J14891" s="42">
        <v>45007</v>
      </c>
      <c r="K14891" s="33" t="s">
        <v>22</v>
      </c>
    </row>
    <row r="14892" spans="1:11">
      <c r="A14892" s="30" t="s">
        <v>33543</v>
      </c>
      <c r="B14892" s="30" t="s">
        <v>33544</v>
      </c>
      <c r="C14892" s="30" t="s">
        <v>33545</v>
      </c>
      <c r="D14892" s="30" t="s">
        <v>17</v>
      </c>
      <c r="E14892" s="30" t="s">
        <v>26</v>
      </c>
      <c r="F14892" s="30" t="s">
        <v>27</v>
      </c>
      <c r="G14892" s="30" t="s">
        <v>20</v>
      </c>
      <c r="H14892" s="32">
        <v>3</v>
      </c>
      <c r="I14892" s="30" t="s">
        <v>21</v>
      </c>
      <c r="J14892" s="41">
        <v>45266</v>
      </c>
      <c r="K14892" s="30" t="s">
        <v>22</v>
      </c>
    </row>
    <row r="14893" spans="1:11">
      <c r="A14893" s="33" t="s">
        <v>33546</v>
      </c>
      <c r="B14893" s="33" t="s">
        <v>33547</v>
      </c>
      <c r="C14893" s="33" t="s">
        <v>33548</v>
      </c>
      <c r="D14893" s="33" t="s">
        <v>17</v>
      </c>
      <c r="E14893" s="33" t="s">
        <v>67</v>
      </c>
      <c r="F14893" s="33" t="s">
        <v>68</v>
      </c>
      <c r="G14893" s="33" t="s">
        <v>140</v>
      </c>
      <c r="H14893" s="35">
        <v>27</v>
      </c>
      <c r="I14893" s="33" t="s">
        <v>51</v>
      </c>
      <c r="J14893" s="42">
        <v>45131</v>
      </c>
      <c r="K14893" s="33" t="s">
        <v>22</v>
      </c>
    </row>
    <row r="14894" spans="1:11">
      <c r="A14894" s="30" t="s">
        <v>33549</v>
      </c>
      <c r="B14894" s="30" t="s">
        <v>33550</v>
      </c>
      <c r="C14894" s="30" t="s">
        <v>7861</v>
      </c>
      <c r="D14894" s="30" t="s">
        <v>17</v>
      </c>
      <c r="E14894" s="30" t="s">
        <v>45</v>
      </c>
      <c r="F14894" s="30" t="s">
        <v>46</v>
      </c>
      <c r="G14894" s="30" t="s">
        <v>20</v>
      </c>
      <c r="H14894" s="32">
        <v>450</v>
      </c>
      <c r="I14894" s="30" t="s">
        <v>21</v>
      </c>
      <c r="J14894" s="41">
        <v>45167</v>
      </c>
      <c r="K14894" s="30" t="s">
        <v>22</v>
      </c>
    </row>
    <row r="14895" spans="1:11">
      <c r="A14895" s="33" t="s">
        <v>33551</v>
      </c>
      <c r="B14895" s="33" t="s">
        <v>33552</v>
      </c>
      <c r="C14895" s="33" t="s">
        <v>99</v>
      </c>
      <c r="D14895" s="33" t="s">
        <v>17</v>
      </c>
      <c r="E14895" s="33" t="s">
        <v>18</v>
      </c>
      <c r="F14895" s="33" t="s">
        <v>19</v>
      </c>
      <c r="G14895" s="33" t="s">
        <v>20</v>
      </c>
      <c r="H14895" s="35">
        <v>720</v>
      </c>
      <c r="I14895" s="33" t="s">
        <v>21</v>
      </c>
      <c r="J14895" s="42">
        <v>45279</v>
      </c>
      <c r="K14895" s="33" t="s">
        <v>22</v>
      </c>
    </row>
    <row r="14896" spans="1:11">
      <c r="A14896" s="30" t="s">
        <v>33553</v>
      </c>
      <c r="B14896" s="30" t="s">
        <v>33554</v>
      </c>
      <c r="C14896" s="30" t="s">
        <v>8888</v>
      </c>
      <c r="D14896" s="30" t="s">
        <v>17</v>
      </c>
      <c r="E14896" s="30" t="s">
        <v>26</v>
      </c>
      <c r="F14896" s="30" t="s">
        <v>27</v>
      </c>
      <c r="G14896" s="30" t="s">
        <v>20</v>
      </c>
      <c r="H14896" s="32">
        <v>120</v>
      </c>
      <c r="I14896" s="30" t="s">
        <v>21</v>
      </c>
      <c r="J14896" s="41">
        <v>45107</v>
      </c>
      <c r="K14896" s="30" t="s">
        <v>22</v>
      </c>
    </row>
    <row r="14897" spans="1:11">
      <c r="A14897" s="33" t="s">
        <v>33555</v>
      </c>
      <c r="B14897" s="33" t="s">
        <v>33556</v>
      </c>
      <c r="C14897" s="33" t="s">
        <v>5452</v>
      </c>
      <c r="D14897" s="33" t="s">
        <v>17</v>
      </c>
      <c r="E14897" s="33" t="s">
        <v>26</v>
      </c>
      <c r="F14897" s="33" t="s">
        <v>27</v>
      </c>
      <c r="G14897" s="33" t="s">
        <v>50</v>
      </c>
      <c r="H14897" s="35">
        <v>107</v>
      </c>
      <c r="I14897" s="33" t="s">
        <v>51</v>
      </c>
      <c r="J14897" s="42">
        <v>44942</v>
      </c>
      <c r="K14897" s="33" t="s">
        <v>22</v>
      </c>
    </row>
    <row r="14898" spans="1:11">
      <c r="A14898" s="30" t="s">
        <v>33557</v>
      </c>
      <c r="B14898" s="30" t="s">
        <v>33558</v>
      </c>
      <c r="C14898" s="30" t="s">
        <v>969</v>
      </c>
      <c r="D14898" s="30" t="s">
        <v>17</v>
      </c>
      <c r="E14898" s="30" t="s">
        <v>31</v>
      </c>
      <c r="F14898" s="30" t="s">
        <v>32</v>
      </c>
      <c r="G14898" s="30" t="s">
        <v>106</v>
      </c>
      <c r="H14898" s="32">
        <v>147</v>
      </c>
      <c r="I14898" s="30" t="s">
        <v>21</v>
      </c>
      <c r="J14898" s="41">
        <v>45189</v>
      </c>
      <c r="K14898" s="30" t="s">
        <v>22</v>
      </c>
    </row>
    <row r="14899" spans="1:11">
      <c r="A14899" s="33" t="s">
        <v>33559</v>
      </c>
      <c r="B14899" s="33" t="s">
        <v>33560</v>
      </c>
      <c r="C14899" s="33" t="s">
        <v>8350</v>
      </c>
      <c r="D14899" s="33" t="s">
        <v>17</v>
      </c>
      <c r="E14899" s="33" t="s">
        <v>31</v>
      </c>
      <c r="F14899" s="33" t="s">
        <v>32</v>
      </c>
      <c r="G14899" s="33" t="s">
        <v>20</v>
      </c>
      <c r="H14899" s="35">
        <v>30</v>
      </c>
      <c r="I14899" s="33" t="s">
        <v>21</v>
      </c>
      <c r="J14899" s="42">
        <v>45000</v>
      </c>
      <c r="K14899" s="33" t="s">
        <v>22</v>
      </c>
    </row>
    <row r="14900" spans="1:11">
      <c r="A14900" s="30" t="s">
        <v>33561</v>
      </c>
      <c r="B14900" s="30" t="s">
        <v>33562</v>
      </c>
      <c r="C14900" s="30" t="s">
        <v>109</v>
      </c>
      <c r="D14900" s="30" t="s">
        <v>17</v>
      </c>
      <c r="E14900" s="30" t="s">
        <v>18</v>
      </c>
      <c r="F14900" s="30" t="s">
        <v>19</v>
      </c>
      <c r="G14900" s="30" t="s">
        <v>158</v>
      </c>
      <c r="H14900" s="32">
        <v>226</v>
      </c>
      <c r="I14900" s="30" t="s">
        <v>21</v>
      </c>
      <c r="J14900" s="41">
        <v>44960</v>
      </c>
      <c r="K14900" s="30" t="s">
        <v>22</v>
      </c>
    </row>
    <row r="14901" spans="1:11">
      <c r="A14901" s="33" t="s">
        <v>33563</v>
      </c>
      <c r="B14901" s="33" t="s">
        <v>33564</v>
      </c>
      <c r="C14901" s="33" t="s">
        <v>3698</v>
      </c>
      <c r="D14901" s="33" t="s">
        <v>17</v>
      </c>
      <c r="E14901" s="33" t="s">
        <v>212</v>
      </c>
      <c r="F14901" s="33" t="s">
        <v>213</v>
      </c>
      <c r="G14901" s="33" t="s">
        <v>20</v>
      </c>
      <c r="H14901" s="35">
        <v>13</v>
      </c>
      <c r="I14901" s="33" t="s">
        <v>21</v>
      </c>
      <c r="J14901" s="42">
        <v>44960</v>
      </c>
      <c r="K14901" s="33" t="s">
        <v>22</v>
      </c>
    </row>
    <row r="14902" spans="1:11">
      <c r="A14902" s="30" t="s">
        <v>33565</v>
      </c>
      <c r="B14902" s="30" t="s">
        <v>33566</v>
      </c>
      <c r="C14902" s="30" t="s">
        <v>6505</v>
      </c>
      <c r="D14902" s="30" t="s">
        <v>17</v>
      </c>
      <c r="E14902" s="30" t="s">
        <v>26</v>
      </c>
      <c r="F14902" s="30" t="s">
        <v>27</v>
      </c>
      <c r="G14902" s="30" t="s">
        <v>50</v>
      </c>
      <c r="H14902" s="32">
        <v>40</v>
      </c>
      <c r="I14902" s="30" t="s">
        <v>51</v>
      </c>
      <c r="J14902" s="41">
        <v>45062</v>
      </c>
      <c r="K14902" s="30" t="s">
        <v>22</v>
      </c>
    </row>
    <row r="14903" spans="1:11">
      <c r="A14903" s="33" t="s">
        <v>33567</v>
      </c>
      <c r="B14903" s="33" t="s">
        <v>33568</v>
      </c>
      <c r="C14903" s="33" t="s">
        <v>130</v>
      </c>
      <c r="D14903" s="33" t="s">
        <v>17</v>
      </c>
      <c r="E14903" s="33" t="s">
        <v>18</v>
      </c>
      <c r="F14903" s="33" t="s">
        <v>19</v>
      </c>
      <c r="G14903" s="33" t="s">
        <v>20</v>
      </c>
      <c r="H14903" s="35">
        <v>204</v>
      </c>
      <c r="I14903" s="33" t="s">
        <v>21</v>
      </c>
      <c r="J14903" s="42">
        <v>44995</v>
      </c>
      <c r="K14903" s="33" t="s">
        <v>22</v>
      </c>
    </row>
    <row r="14904" spans="1:11">
      <c r="A14904" s="30" t="s">
        <v>33569</v>
      </c>
      <c r="B14904" s="30" t="s">
        <v>33570</v>
      </c>
      <c r="C14904" s="30" t="s">
        <v>1730</v>
      </c>
      <c r="D14904" s="30" t="s">
        <v>17</v>
      </c>
      <c r="E14904" s="30" t="s">
        <v>67</v>
      </c>
      <c r="F14904" s="30" t="s">
        <v>68</v>
      </c>
      <c r="G14904" s="30" t="s">
        <v>20</v>
      </c>
      <c r="H14904" s="32">
        <v>18</v>
      </c>
      <c r="I14904" s="30" t="s">
        <v>21</v>
      </c>
      <c r="J14904" s="41">
        <v>45042</v>
      </c>
      <c r="K14904" s="30" t="s">
        <v>22</v>
      </c>
    </row>
    <row r="14905" spans="1:11">
      <c r="A14905" s="33" t="s">
        <v>33571</v>
      </c>
      <c r="B14905" s="33" t="s">
        <v>33572</v>
      </c>
      <c r="C14905" s="33" t="s">
        <v>149</v>
      </c>
      <c r="D14905" s="33" t="s">
        <v>17</v>
      </c>
      <c r="E14905" s="33" t="s">
        <v>18</v>
      </c>
      <c r="F14905" s="33" t="s">
        <v>19</v>
      </c>
      <c r="G14905" s="33" t="s">
        <v>158</v>
      </c>
      <c r="H14905" s="35">
        <v>1615</v>
      </c>
      <c r="I14905" s="33" t="s">
        <v>21</v>
      </c>
      <c r="J14905" s="42">
        <v>45250</v>
      </c>
      <c r="K14905" s="33" t="s">
        <v>22</v>
      </c>
    </row>
    <row r="14906" spans="1:11">
      <c r="A14906" s="30" t="s">
        <v>33573</v>
      </c>
      <c r="B14906" s="30" t="s">
        <v>33574</v>
      </c>
      <c r="C14906" s="30" t="s">
        <v>33575</v>
      </c>
      <c r="D14906" s="30" t="s">
        <v>17</v>
      </c>
      <c r="E14906" s="30" t="s">
        <v>26</v>
      </c>
      <c r="F14906" s="30" t="s">
        <v>27</v>
      </c>
      <c r="G14906" s="30" t="s">
        <v>20</v>
      </c>
      <c r="H14906" s="32">
        <v>72</v>
      </c>
      <c r="I14906" s="30" t="s">
        <v>21</v>
      </c>
      <c r="J14906" s="41">
        <v>45202</v>
      </c>
      <c r="K14906" s="30" t="s">
        <v>22</v>
      </c>
    </row>
    <row r="14907" spans="1:11">
      <c r="A14907" s="33" t="s">
        <v>33576</v>
      </c>
      <c r="B14907" s="33" t="s">
        <v>33577</v>
      </c>
      <c r="C14907" s="33" t="s">
        <v>33578</v>
      </c>
      <c r="D14907" s="33" t="s">
        <v>17</v>
      </c>
      <c r="E14907" s="33" t="s">
        <v>26</v>
      </c>
      <c r="F14907" s="33" t="s">
        <v>27</v>
      </c>
      <c r="G14907" s="33" t="s">
        <v>140</v>
      </c>
      <c r="H14907" s="35">
        <v>48</v>
      </c>
      <c r="I14907" s="33" t="s">
        <v>51</v>
      </c>
      <c r="J14907" s="42">
        <v>45133</v>
      </c>
      <c r="K14907" s="33" t="s">
        <v>22</v>
      </c>
    </row>
    <row r="14908" spans="1:11">
      <c r="A14908" s="30" t="s">
        <v>33579</v>
      </c>
      <c r="B14908" s="30" t="s">
        <v>33580</v>
      </c>
      <c r="C14908" s="30" t="s">
        <v>2978</v>
      </c>
      <c r="D14908" s="30" t="s">
        <v>17</v>
      </c>
      <c r="E14908" s="30" t="s">
        <v>18</v>
      </c>
      <c r="F14908" s="30" t="s">
        <v>19</v>
      </c>
      <c r="G14908" s="30" t="s">
        <v>140</v>
      </c>
      <c r="H14908" s="32">
        <v>570</v>
      </c>
      <c r="I14908" s="30" t="s">
        <v>51</v>
      </c>
      <c r="J14908" s="41">
        <v>45013</v>
      </c>
      <c r="K14908" s="30" t="s">
        <v>22</v>
      </c>
    </row>
    <row r="14909" spans="1:11">
      <c r="A14909" s="33" t="s">
        <v>33581</v>
      </c>
      <c r="B14909" s="33" t="s">
        <v>33582</v>
      </c>
      <c r="C14909" s="33" t="s">
        <v>15335</v>
      </c>
      <c r="D14909" s="33" t="s">
        <v>17</v>
      </c>
      <c r="E14909" s="33" t="s">
        <v>26</v>
      </c>
      <c r="F14909" s="33" t="s">
        <v>27</v>
      </c>
      <c r="G14909" s="33" t="s">
        <v>20</v>
      </c>
      <c r="H14909" s="35">
        <v>30</v>
      </c>
      <c r="I14909" s="33" t="s">
        <v>21</v>
      </c>
      <c r="J14909" s="42">
        <v>45013</v>
      </c>
      <c r="K14909" s="33" t="s">
        <v>22</v>
      </c>
    </row>
    <row r="14910" spans="1:11">
      <c r="A14910" s="30" t="s">
        <v>33583</v>
      </c>
      <c r="B14910" s="30" t="s">
        <v>33584</v>
      </c>
      <c r="C14910" s="30" t="s">
        <v>16391</v>
      </c>
      <c r="D14910" s="30" t="s">
        <v>17</v>
      </c>
      <c r="E14910" s="30" t="s">
        <v>26</v>
      </c>
      <c r="F14910" s="30" t="s">
        <v>27</v>
      </c>
      <c r="G14910" s="30" t="s">
        <v>20</v>
      </c>
      <c r="H14910" s="32">
        <v>24</v>
      </c>
      <c r="I14910" s="30" t="s">
        <v>21</v>
      </c>
      <c r="J14910" s="41">
        <v>45273</v>
      </c>
      <c r="K14910" s="30" t="s">
        <v>22</v>
      </c>
    </row>
    <row r="14911" spans="1:11">
      <c r="A14911" s="33" t="s">
        <v>33585</v>
      </c>
      <c r="B14911" s="33" t="s">
        <v>33586</v>
      </c>
      <c r="C14911" s="33" t="s">
        <v>11894</v>
      </c>
      <c r="D14911" s="33" t="s">
        <v>17</v>
      </c>
      <c r="E14911" s="33" t="s">
        <v>18</v>
      </c>
      <c r="F14911" s="33" t="s">
        <v>19</v>
      </c>
      <c r="G14911" s="33" t="s">
        <v>140</v>
      </c>
      <c r="H14911" s="35">
        <v>486</v>
      </c>
      <c r="I14911" s="33" t="s">
        <v>51</v>
      </c>
      <c r="J14911" s="42">
        <v>45285</v>
      </c>
      <c r="K14911" s="33" t="s">
        <v>22</v>
      </c>
    </row>
    <row r="14912" spans="1:11">
      <c r="A14912" s="30" t="s">
        <v>33587</v>
      </c>
      <c r="B14912" s="30" t="s">
        <v>33588</v>
      </c>
      <c r="C14912" s="30" t="s">
        <v>190</v>
      </c>
      <c r="D14912" s="30" t="s">
        <v>17</v>
      </c>
      <c r="E14912" s="30" t="s">
        <v>26</v>
      </c>
      <c r="F14912" s="30" t="s">
        <v>27</v>
      </c>
      <c r="G14912" s="30" t="s">
        <v>20</v>
      </c>
      <c r="H14912" s="32">
        <v>66</v>
      </c>
      <c r="I14912" s="30" t="s">
        <v>21</v>
      </c>
      <c r="J14912" s="41">
        <v>45246</v>
      </c>
      <c r="K14912" s="30" t="s">
        <v>22</v>
      </c>
    </row>
    <row r="14913" spans="1:11">
      <c r="A14913" s="33" t="s">
        <v>33589</v>
      </c>
      <c r="B14913" s="33" t="s">
        <v>33590</v>
      </c>
      <c r="C14913" s="33" t="s">
        <v>4453</v>
      </c>
      <c r="D14913" s="33" t="s">
        <v>17</v>
      </c>
      <c r="E14913" s="33" t="s">
        <v>26</v>
      </c>
      <c r="F14913" s="33" t="s">
        <v>27</v>
      </c>
      <c r="G14913" s="33" t="s">
        <v>20</v>
      </c>
      <c r="H14913" s="35">
        <v>324</v>
      </c>
      <c r="I14913" s="33" t="s">
        <v>21</v>
      </c>
      <c r="J14913" s="42">
        <v>45125</v>
      </c>
      <c r="K14913" s="33" t="s">
        <v>22</v>
      </c>
    </row>
    <row r="14914" spans="1:11">
      <c r="A14914" s="30" t="s">
        <v>33591</v>
      </c>
      <c r="B14914" s="30" t="s">
        <v>33592</v>
      </c>
      <c r="C14914" s="30" t="s">
        <v>2927</v>
      </c>
      <c r="D14914" s="30" t="s">
        <v>17</v>
      </c>
      <c r="E14914" s="30" t="s">
        <v>31</v>
      </c>
      <c r="F14914" s="30" t="s">
        <v>32</v>
      </c>
      <c r="G14914" s="30" t="s">
        <v>106</v>
      </c>
      <c r="H14914" s="32">
        <v>28</v>
      </c>
      <c r="I14914" s="30" t="s">
        <v>21</v>
      </c>
      <c r="J14914" s="41">
        <v>44944</v>
      </c>
      <c r="K14914" s="30" t="s">
        <v>22</v>
      </c>
    </row>
    <row r="14915" spans="1:11">
      <c r="A14915" s="33" t="s">
        <v>33593</v>
      </c>
      <c r="B14915" s="33" t="s">
        <v>33594</v>
      </c>
      <c r="C14915" s="33" t="s">
        <v>4315</v>
      </c>
      <c r="D14915" s="33" t="s">
        <v>17</v>
      </c>
      <c r="E14915" s="33" t="s">
        <v>26</v>
      </c>
      <c r="F14915" s="33" t="s">
        <v>27</v>
      </c>
      <c r="G14915" s="33" t="s">
        <v>50</v>
      </c>
      <c r="H14915" s="35">
        <v>75</v>
      </c>
      <c r="I14915" s="33" t="s">
        <v>51</v>
      </c>
      <c r="J14915" s="42">
        <v>45261</v>
      </c>
      <c r="K14915" s="33" t="s">
        <v>22</v>
      </c>
    </row>
    <row r="14916" spans="1:11">
      <c r="A14916" s="30" t="s">
        <v>33595</v>
      </c>
      <c r="B14916" s="30" t="s">
        <v>33596</v>
      </c>
      <c r="C14916" s="30" t="s">
        <v>7237</v>
      </c>
      <c r="D14916" s="30" t="s">
        <v>17</v>
      </c>
      <c r="E14916" s="30" t="s">
        <v>67</v>
      </c>
      <c r="F14916" s="30" t="s">
        <v>68</v>
      </c>
      <c r="G14916" s="30" t="s">
        <v>158</v>
      </c>
      <c r="H14916" s="32">
        <v>15</v>
      </c>
      <c r="I14916" s="30" t="s">
        <v>21</v>
      </c>
      <c r="J14916" s="41">
        <v>45203</v>
      </c>
      <c r="K14916" s="30" t="s">
        <v>22</v>
      </c>
    </row>
    <row r="14917" spans="1:11">
      <c r="A14917" s="33" t="s">
        <v>33597</v>
      </c>
      <c r="B14917" s="33" t="s">
        <v>33598</v>
      </c>
      <c r="C14917" s="33" t="s">
        <v>969</v>
      </c>
      <c r="D14917" s="33" t="s">
        <v>17</v>
      </c>
      <c r="E14917" s="33" t="s">
        <v>31</v>
      </c>
      <c r="F14917" s="33" t="s">
        <v>32</v>
      </c>
      <c r="G14917" s="33" t="s">
        <v>158</v>
      </c>
      <c r="H14917" s="35">
        <v>316</v>
      </c>
      <c r="I14917" s="33" t="s">
        <v>21</v>
      </c>
      <c r="J14917" s="42">
        <v>45244</v>
      </c>
      <c r="K14917" s="33" t="s">
        <v>22</v>
      </c>
    </row>
    <row r="14918" spans="1:11">
      <c r="A14918" s="30" t="s">
        <v>33599</v>
      </c>
      <c r="B14918" s="30" t="s">
        <v>33600</v>
      </c>
      <c r="C14918" s="30" t="s">
        <v>869</v>
      </c>
      <c r="D14918" s="30" t="s">
        <v>17</v>
      </c>
      <c r="E14918" s="30" t="s">
        <v>18</v>
      </c>
      <c r="F14918" s="30" t="s">
        <v>19</v>
      </c>
      <c r="G14918" s="30" t="s">
        <v>20</v>
      </c>
      <c r="H14918" s="32">
        <v>270</v>
      </c>
      <c r="I14918" s="30" t="s">
        <v>21</v>
      </c>
      <c r="J14918" s="41">
        <v>44963</v>
      </c>
      <c r="K14918" s="30" t="s">
        <v>22</v>
      </c>
    </row>
    <row r="14919" spans="1:11">
      <c r="A14919" s="33" t="s">
        <v>33601</v>
      </c>
      <c r="B14919" s="33" t="s">
        <v>33602</v>
      </c>
      <c r="C14919" s="33" t="s">
        <v>6498</v>
      </c>
      <c r="D14919" s="33" t="s">
        <v>17</v>
      </c>
      <c r="E14919" s="33" t="s">
        <v>31</v>
      </c>
      <c r="F14919" s="33" t="s">
        <v>32</v>
      </c>
      <c r="G14919" s="33" t="s">
        <v>140</v>
      </c>
      <c r="H14919" s="35">
        <v>50</v>
      </c>
      <c r="I14919" s="33" t="s">
        <v>51</v>
      </c>
      <c r="J14919" s="42">
        <v>45244</v>
      </c>
      <c r="K14919" s="33" t="s">
        <v>22</v>
      </c>
    </row>
    <row r="14920" spans="1:11">
      <c r="A14920" s="30" t="s">
        <v>33603</v>
      </c>
      <c r="B14920" s="30" t="s">
        <v>33604</v>
      </c>
      <c r="C14920" s="30" t="s">
        <v>33605</v>
      </c>
      <c r="D14920" s="30" t="s">
        <v>17</v>
      </c>
      <c r="E14920" s="30" t="s">
        <v>26</v>
      </c>
      <c r="F14920" s="30" t="s">
        <v>27</v>
      </c>
      <c r="G14920" s="30" t="s">
        <v>158</v>
      </c>
      <c r="H14920" s="32">
        <v>50</v>
      </c>
      <c r="I14920" s="30" t="s">
        <v>51</v>
      </c>
      <c r="J14920" s="41">
        <v>45200</v>
      </c>
      <c r="K14920" s="30" t="s">
        <v>22</v>
      </c>
    </row>
    <row r="14921" spans="1:11">
      <c r="A14921" s="33" t="s">
        <v>33606</v>
      </c>
      <c r="B14921" s="33" t="s">
        <v>33607</v>
      </c>
      <c r="C14921" s="33" t="s">
        <v>190</v>
      </c>
      <c r="D14921" s="33" t="s">
        <v>17</v>
      </c>
      <c r="E14921" s="33" t="s">
        <v>67</v>
      </c>
      <c r="F14921" s="33" t="s">
        <v>68</v>
      </c>
      <c r="G14921" s="33" t="s">
        <v>140</v>
      </c>
      <c r="H14921" s="35">
        <v>506</v>
      </c>
      <c r="I14921" s="33" t="s">
        <v>51</v>
      </c>
      <c r="J14921" s="42">
        <v>45082</v>
      </c>
      <c r="K14921" s="33" t="s">
        <v>22</v>
      </c>
    </row>
    <row r="14922" spans="1:11">
      <c r="A14922" s="30" t="s">
        <v>33608</v>
      </c>
      <c r="B14922" s="30" t="s">
        <v>33609</v>
      </c>
      <c r="C14922" s="30" t="s">
        <v>9895</v>
      </c>
      <c r="D14922" s="30" t="s">
        <v>17</v>
      </c>
      <c r="E14922" s="30" t="s">
        <v>31</v>
      </c>
      <c r="F14922" s="30" t="s">
        <v>32</v>
      </c>
      <c r="G14922" s="30" t="s">
        <v>106</v>
      </c>
      <c r="H14922" s="32">
        <v>9</v>
      </c>
      <c r="I14922" s="30" t="s">
        <v>21</v>
      </c>
      <c r="J14922" s="41">
        <v>44949</v>
      </c>
      <c r="K14922" s="30" t="s">
        <v>22</v>
      </c>
    </row>
    <row r="14923" spans="1:11">
      <c r="A14923" s="33" t="s">
        <v>33610</v>
      </c>
      <c r="B14923" s="33" t="s">
        <v>33611</v>
      </c>
      <c r="C14923" s="33" t="s">
        <v>28253</v>
      </c>
      <c r="D14923" s="33" t="s">
        <v>17</v>
      </c>
      <c r="E14923" s="33" t="s">
        <v>67</v>
      </c>
      <c r="F14923" s="33" t="s">
        <v>68</v>
      </c>
      <c r="G14923" s="33" t="s">
        <v>140</v>
      </c>
      <c r="H14923" s="35">
        <v>258</v>
      </c>
      <c r="I14923" s="33" t="s">
        <v>51</v>
      </c>
      <c r="J14923" s="42">
        <v>45000</v>
      </c>
      <c r="K14923" s="33" t="s">
        <v>22</v>
      </c>
    </row>
    <row r="14924" spans="1:11">
      <c r="A14924" s="30" t="s">
        <v>33612</v>
      </c>
      <c r="B14924" s="30" t="s">
        <v>33613</v>
      </c>
      <c r="C14924" s="30" t="s">
        <v>157</v>
      </c>
      <c r="D14924" s="30" t="s">
        <v>17</v>
      </c>
      <c r="E14924" s="30" t="s">
        <v>212</v>
      </c>
      <c r="F14924" s="30" t="s">
        <v>213</v>
      </c>
      <c r="G14924" s="30" t="s">
        <v>112</v>
      </c>
      <c r="H14924" s="32">
        <v>0</v>
      </c>
      <c r="I14924" s="30" t="s">
        <v>21</v>
      </c>
      <c r="J14924" s="41">
        <v>44985</v>
      </c>
      <c r="K14924" s="30" t="s">
        <v>22</v>
      </c>
    </row>
    <row r="14925" spans="1:11">
      <c r="A14925" s="33" t="s">
        <v>33614</v>
      </c>
      <c r="B14925" s="33" t="s">
        <v>33615</v>
      </c>
      <c r="C14925" s="33" t="s">
        <v>33616</v>
      </c>
      <c r="D14925" s="33" t="s">
        <v>17</v>
      </c>
      <c r="E14925" s="33" t="s">
        <v>26</v>
      </c>
      <c r="F14925" s="33" t="s">
        <v>27</v>
      </c>
      <c r="G14925" s="33" t="s">
        <v>106</v>
      </c>
      <c r="H14925" s="35">
        <v>6</v>
      </c>
      <c r="I14925" s="33" t="s">
        <v>21</v>
      </c>
      <c r="J14925" s="42">
        <v>44935</v>
      </c>
      <c r="K14925" s="33" t="s">
        <v>22</v>
      </c>
    </row>
    <row r="14926" spans="1:11">
      <c r="A14926" s="30" t="s">
        <v>33617</v>
      </c>
      <c r="B14926" s="30" t="s">
        <v>33618</v>
      </c>
      <c r="C14926" s="30" t="s">
        <v>11248</v>
      </c>
      <c r="D14926" s="30" t="s">
        <v>17</v>
      </c>
      <c r="E14926" s="30" t="s">
        <v>67</v>
      </c>
      <c r="F14926" s="30" t="s">
        <v>68</v>
      </c>
      <c r="G14926" s="30" t="s">
        <v>140</v>
      </c>
      <c r="H14926" s="32">
        <v>36</v>
      </c>
      <c r="I14926" s="30" t="s">
        <v>51</v>
      </c>
      <c r="J14926" s="41">
        <v>45251</v>
      </c>
      <c r="K14926" s="30" t="s">
        <v>22</v>
      </c>
    </row>
    <row r="14927" spans="1:11">
      <c r="A14927" s="33" t="s">
        <v>33619</v>
      </c>
      <c r="B14927" s="33" t="s">
        <v>33620</v>
      </c>
      <c r="C14927" s="33" t="s">
        <v>2472</v>
      </c>
      <c r="D14927" s="33" t="s">
        <v>17</v>
      </c>
      <c r="E14927" s="33" t="s">
        <v>18</v>
      </c>
      <c r="F14927" s="33" t="s">
        <v>19</v>
      </c>
      <c r="G14927" s="33" t="s">
        <v>20</v>
      </c>
      <c r="H14927" s="35">
        <v>13553</v>
      </c>
      <c r="I14927" s="33" t="s">
        <v>21</v>
      </c>
      <c r="J14927" s="42">
        <v>45013</v>
      </c>
      <c r="K14927" s="33" t="s">
        <v>22</v>
      </c>
    </row>
    <row r="14928" spans="1:11">
      <c r="A14928" s="30" t="s">
        <v>33621</v>
      </c>
      <c r="B14928" s="30" t="s">
        <v>33622</v>
      </c>
      <c r="C14928" s="30" t="s">
        <v>1604</v>
      </c>
      <c r="D14928" s="30" t="s">
        <v>17</v>
      </c>
      <c r="E14928" s="30" t="s">
        <v>31</v>
      </c>
      <c r="F14928" s="30" t="s">
        <v>32</v>
      </c>
      <c r="G14928" s="30" t="s">
        <v>140</v>
      </c>
      <c r="H14928" s="32">
        <v>20</v>
      </c>
      <c r="I14928" s="30" t="s">
        <v>51</v>
      </c>
      <c r="J14928" s="41">
        <v>45163</v>
      </c>
      <c r="K14928" s="30" t="s">
        <v>22</v>
      </c>
    </row>
    <row r="14929" spans="1:11">
      <c r="A14929" s="33" t="s">
        <v>33623</v>
      </c>
      <c r="B14929" s="33" t="s">
        <v>33624</v>
      </c>
      <c r="C14929" s="33" t="s">
        <v>2753</v>
      </c>
      <c r="D14929" s="33" t="s">
        <v>17</v>
      </c>
      <c r="E14929" s="33" t="s">
        <v>18</v>
      </c>
      <c r="F14929" s="33" t="s">
        <v>19</v>
      </c>
      <c r="G14929" s="33" t="s">
        <v>158</v>
      </c>
      <c r="H14929" s="35">
        <v>652</v>
      </c>
      <c r="I14929" s="33" t="s">
        <v>51</v>
      </c>
      <c r="J14929" s="42">
        <v>45241</v>
      </c>
      <c r="K14929" s="33" t="s">
        <v>22</v>
      </c>
    </row>
    <row r="14930" spans="1:11">
      <c r="A14930" s="30" t="s">
        <v>33625</v>
      </c>
      <c r="B14930" s="30" t="s">
        <v>33626</v>
      </c>
      <c r="C14930" s="30" t="s">
        <v>33627</v>
      </c>
      <c r="D14930" s="30" t="s">
        <v>17</v>
      </c>
      <c r="E14930" s="30" t="s">
        <v>31</v>
      </c>
      <c r="F14930" s="30" t="s">
        <v>32</v>
      </c>
      <c r="G14930" s="30" t="s">
        <v>158</v>
      </c>
      <c r="H14930" s="32">
        <v>276</v>
      </c>
      <c r="I14930" s="30" t="s">
        <v>21</v>
      </c>
      <c r="J14930" s="41">
        <v>44985</v>
      </c>
      <c r="K14930" s="30" t="s">
        <v>22</v>
      </c>
    </row>
    <row r="14931" spans="1:11">
      <c r="A14931" s="33" t="s">
        <v>33628</v>
      </c>
      <c r="B14931" s="33" t="s">
        <v>33629</v>
      </c>
      <c r="C14931" s="33" t="s">
        <v>33630</v>
      </c>
      <c r="D14931" s="33" t="s">
        <v>17</v>
      </c>
      <c r="E14931" s="33" t="s">
        <v>18</v>
      </c>
      <c r="F14931" s="33" t="s">
        <v>19</v>
      </c>
      <c r="G14931" s="33" t="s">
        <v>20</v>
      </c>
      <c r="H14931" s="35">
        <v>1039</v>
      </c>
      <c r="I14931" s="33" t="s">
        <v>21</v>
      </c>
      <c r="J14931" s="42">
        <v>45147</v>
      </c>
      <c r="K14931" s="33" t="s">
        <v>22</v>
      </c>
    </row>
    <row r="14932" spans="1:11">
      <c r="A14932" s="30" t="s">
        <v>33631</v>
      </c>
      <c r="B14932" s="30" t="s">
        <v>33632</v>
      </c>
      <c r="C14932" s="30" t="s">
        <v>1598</v>
      </c>
      <c r="D14932" s="30" t="s">
        <v>17</v>
      </c>
      <c r="E14932" s="30" t="s">
        <v>45</v>
      </c>
      <c r="F14932" s="30" t="s">
        <v>46</v>
      </c>
      <c r="G14932" s="30" t="s">
        <v>20</v>
      </c>
      <c r="H14932" s="32">
        <v>115</v>
      </c>
      <c r="I14932" s="30" t="s">
        <v>21</v>
      </c>
      <c r="J14932" s="41">
        <v>44971</v>
      </c>
      <c r="K14932" s="30" t="s">
        <v>22</v>
      </c>
    </row>
    <row r="14933" spans="1:11">
      <c r="A14933" s="33" t="s">
        <v>33633</v>
      </c>
      <c r="B14933" s="33" t="s">
        <v>33634</v>
      </c>
      <c r="C14933" s="33" t="s">
        <v>1504</v>
      </c>
      <c r="D14933" s="33" t="s">
        <v>17</v>
      </c>
      <c r="E14933" s="33" t="s">
        <v>67</v>
      </c>
      <c r="F14933" s="33" t="s">
        <v>68</v>
      </c>
      <c r="G14933" s="33" t="s">
        <v>158</v>
      </c>
      <c r="H14933" s="35">
        <v>261</v>
      </c>
      <c r="I14933" s="33" t="s">
        <v>51</v>
      </c>
      <c r="J14933" s="42">
        <v>45166</v>
      </c>
      <c r="K14933" s="33" t="s">
        <v>22</v>
      </c>
    </row>
    <row r="14934" spans="1:11">
      <c r="A14934" s="30" t="s">
        <v>33635</v>
      </c>
      <c r="B14934" s="30" t="s">
        <v>33636</v>
      </c>
      <c r="C14934" s="30" t="s">
        <v>149</v>
      </c>
      <c r="D14934" s="30" t="s">
        <v>17</v>
      </c>
      <c r="E14934" s="30" t="s">
        <v>26</v>
      </c>
      <c r="F14934" s="30" t="s">
        <v>27</v>
      </c>
      <c r="G14934" s="30" t="s">
        <v>50</v>
      </c>
      <c r="H14934" s="32">
        <v>52</v>
      </c>
      <c r="I14934" s="30" t="s">
        <v>51</v>
      </c>
      <c r="J14934" s="41">
        <v>45042</v>
      </c>
      <c r="K14934" s="30" t="s">
        <v>22</v>
      </c>
    </row>
    <row r="14935" spans="1:11">
      <c r="A14935" s="33" t="s">
        <v>33637</v>
      </c>
      <c r="B14935" s="33" t="s">
        <v>33638</v>
      </c>
      <c r="C14935" s="33" t="s">
        <v>3001</v>
      </c>
      <c r="D14935" s="33" t="s">
        <v>17</v>
      </c>
      <c r="E14935" s="33" t="s">
        <v>26</v>
      </c>
      <c r="F14935" s="33" t="s">
        <v>27</v>
      </c>
      <c r="G14935" s="33" t="s">
        <v>140</v>
      </c>
      <c r="H14935" s="35">
        <v>70</v>
      </c>
      <c r="I14935" s="33" t="s">
        <v>51</v>
      </c>
      <c r="J14935" s="42">
        <v>44937</v>
      </c>
      <c r="K14935" s="33" t="s">
        <v>22</v>
      </c>
    </row>
    <row r="14936" spans="1:11">
      <c r="A14936" s="30" t="s">
        <v>33639</v>
      </c>
      <c r="B14936" s="30" t="s">
        <v>33640</v>
      </c>
      <c r="C14936" s="30" t="s">
        <v>33641</v>
      </c>
      <c r="D14936" s="30" t="s">
        <v>17</v>
      </c>
      <c r="E14936" s="30" t="s">
        <v>26</v>
      </c>
      <c r="F14936" s="30" t="s">
        <v>27</v>
      </c>
      <c r="G14936" s="30" t="s">
        <v>140</v>
      </c>
      <c r="H14936" s="32">
        <v>108</v>
      </c>
      <c r="I14936" s="30" t="s">
        <v>51</v>
      </c>
      <c r="J14936" s="41">
        <v>45006</v>
      </c>
      <c r="K14936" s="30" t="s">
        <v>22</v>
      </c>
    </row>
    <row r="14937" spans="1:11">
      <c r="A14937" s="33" t="s">
        <v>33642</v>
      </c>
      <c r="B14937" s="33" t="s">
        <v>33643</v>
      </c>
      <c r="C14937" s="33" t="s">
        <v>3647</v>
      </c>
      <c r="D14937" s="33" t="s">
        <v>17</v>
      </c>
      <c r="E14937" s="33" t="s">
        <v>26</v>
      </c>
      <c r="F14937" s="33" t="s">
        <v>27</v>
      </c>
      <c r="G14937" s="33" t="s">
        <v>20</v>
      </c>
      <c r="H14937" s="35">
        <v>52</v>
      </c>
      <c r="I14937" s="33" t="s">
        <v>21</v>
      </c>
      <c r="J14937" s="42">
        <v>44951</v>
      </c>
      <c r="K14937" s="33" t="s">
        <v>22</v>
      </c>
    </row>
    <row r="14938" spans="1:11">
      <c r="A14938" s="30" t="s">
        <v>33644</v>
      </c>
      <c r="B14938" s="30" t="s">
        <v>33645</v>
      </c>
      <c r="C14938" s="30" t="s">
        <v>9114</v>
      </c>
      <c r="D14938" s="30" t="s">
        <v>17</v>
      </c>
      <c r="E14938" s="30" t="s">
        <v>26</v>
      </c>
      <c r="F14938" s="30" t="s">
        <v>27</v>
      </c>
      <c r="G14938" s="30" t="s">
        <v>50</v>
      </c>
      <c r="H14938" s="32">
        <v>16</v>
      </c>
      <c r="I14938" s="30" t="s">
        <v>51</v>
      </c>
      <c r="J14938" s="41">
        <v>45017</v>
      </c>
      <c r="K14938" s="30" t="s">
        <v>22</v>
      </c>
    </row>
    <row r="14939" spans="1:11">
      <c r="A14939" s="33" t="s">
        <v>33646</v>
      </c>
      <c r="B14939" s="33" t="s">
        <v>33647</v>
      </c>
      <c r="C14939" s="33" t="s">
        <v>17999</v>
      </c>
      <c r="D14939" s="33" t="s">
        <v>17</v>
      </c>
      <c r="E14939" s="33" t="s">
        <v>31</v>
      </c>
      <c r="F14939" s="33" t="s">
        <v>32</v>
      </c>
      <c r="G14939" s="33" t="s">
        <v>7780</v>
      </c>
      <c r="H14939" s="35">
        <v>98</v>
      </c>
      <c r="I14939" s="33" t="s">
        <v>51</v>
      </c>
      <c r="J14939" s="42">
        <v>45245</v>
      </c>
      <c r="K14939" s="33" t="s">
        <v>22</v>
      </c>
    </row>
    <row r="14940" spans="1:11">
      <c r="A14940" s="30" t="s">
        <v>33648</v>
      </c>
      <c r="B14940" s="30" t="s">
        <v>33649</v>
      </c>
      <c r="C14940" s="30" t="s">
        <v>22557</v>
      </c>
      <c r="D14940" s="30" t="s">
        <v>17</v>
      </c>
      <c r="E14940" s="30" t="s">
        <v>26</v>
      </c>
      <c r="F14940" s="30" t="s">
        <v>27</v>
      </c>
      <c r="G14940" s="30" t="s">
        <v>20</v>
      </c>
      <c r="H14940" s="32">
        <v>28</v>
      </c>
      <c r="I14940" s="30" t="s">
        <v>21</v>
      </c>
      <c r="J14940" s="41">
        <v>45119</v>
      </c>
      <c r="K14940" s="30" t="s">
        <v>22</v>
      </c>
    </row>
    <row r="14941" spans="1:11">
      <c r="A14941" s="33" t="s">
        <v>33650</v>
      </c>
      <c r="B14941" s="33" t="s">
        <v>33651</v>
      </c>
      <c r="C14941" s="33" t="s">
        <v>49</v>
      </c>
      <c r="D14941" s="33" t="s">
        <v>17</v>
      </c>
      <c r="E14941" s="33" t="s">
        <v>18</v>
      </c>
      <c r="F14941" s="33" t="s">
        <v>19</v>
      </c>
      <c r="G14941" s="33" t="s">
        <v>50</v>
      </c>
      <c r="H14941" s="35">
        <v>368</v>
      </c>
      <c r="I14941" s="33" t="s">
        <v>51</v>
      </c>
      <c r="J14941" s="42">
        <v>45017</v>
      </c>
      <c r="K14941" s="33" t="s">
        <v>22</v>
      </c>
    </row>
    <row r="14942" spans="1:11">
      <c r="A14942" s="30" t="s">
        <v>33652</v>
      </c>
      <c r="B14942" s="30" t="s">
        <v>33653</v>
      </c>
      <c r="C14942" s="30" t="s">
        <v>2264</v>
      </c>
      <c r="D14942" s="30" t="s">
        <v>17</v>
      </c>
      <c r="E14942" s="30" t="s">
        <v>26</v>
      </c>
      <c r="F14942" s="30" t="s">
        <v>27</v>
      </c>
      <c r="G14942" s="30" t="s">
        <v>20</v>
      </c>
      <c r="H14942" s="32">
        <v>160</v>
      </c>
      <c r="I14942" s="30" t="s">
        <v>21</v>
      </c>
      <c r="J14942" s="41">
        <v>45273</v>
      </c>
      <c r="K14942" s="30" t="s">
        <v>22</v>
      </c>
    </row>
    <row r="14943" spans="1:11">
      <c r="A14943" s="33" t="s">
        <v>33654</v>
      </c>
      <c r="B14943" s="33" t="s">
        <v>33655</v>
      </c>
      <c r="C14943" s="33" t="s">
        <v>310</v>
      </c>
      <c r="D14943" s="33" t="s">
        <v>17</v>
      </c>
      <c r="E14943" s="33" t="s">
        <v>26</v>
      </c>
      <c r="F14943" s="33" t="s">
        <v>27</v>
      </c>
      <c r="G14943" s="33" t="s">
        <v>20</v>
      </c>
      <c r="H14943" s="35">
        <v>121</v>
      </c>
      <c r="I14943" s="33" t="s">
        <v>21</v>
      </c>
      <c r="J14943" s="42">
        <v>45150</v>
      </c>
      <c r="K14943" s="33" t="s">
        <v>22</v>
      </c>
    </row>
    <row r="14944" spans="1:11">
      <c r="A14944" s="30" t="s">
        <v>33656</v>
      </c>
      <c r="B14944" s="30" t="s">
        <v>33657</v>
      </c>
      <c r="C14944" s="30" t="s">
        <v>109</v>
      </c>
      <c r="D14944" s="30" t="s">
        <v>17</v>
      </c>
      <c r="E14944" s="30" t="s">
        <v>31</v>
      </c>
      <c r="F14944" s="30" t="s">
        <v>32</v>
      </c>
      <c r="G14944" s="30" t="s">
        <v>20</v>
      </c>
      <c r="H14944" s="32">
        <v>60</v>
      </c>
      <c r="I14944" s="30" t="s">
        <v>21</v>
      </c>
      <c r="J14944" s="41">
        <v>44998</v>
      </c>
      <c r="K14944" s="30" t="s">
        <v>22</v>
      </c>
    </row>
    <row r="14945" spans="1:11">
      <c r="A14945" s="33" t="s">
        <v>33658</v>
      </c>
      <c r="B14945" s="33" t="s">
        <v>33659</v>
      </c>
      <c r="C14945" s="33" t="s">
        <v>10454</v>
      </c>
      <c r="D14945" s="33" t="s">
        <v>17</v>
      </c>
      <c r="E14945" s="33" t="s">
        <v>18</v>
      </c>
      <c r="F14945" s="33" t="s">
        <v>19</v>
      </c>
      <c r="G14945" s="33" t="s">
        <v>20</v>
      </c>
      <c r="H14945" s="35">
        <v>414</v>
      </c>
      <c r="I14945" s="33" t="s">
        <v>21</v>
      </c>
      <c r="J14945" s="42">
        <v>44964</v>
      </c>
      <c r="K14945" s="33" t="s">
        <v>22</v>
      </c>
    </row>
    <row r="14946" spans="1:11">
      <c r="A14946" s="30" t="s">
        <v>33660</v>
      </c>
      <c r="B14946" s="30" t="s">
        <v>33661</v>
      </c>
      <c r="C14946" s="30" t="s">
        <v>11796</v>
      </c>
      <c r="D14946" s="30" t="s">
        <v>17</v>
      </c>
      <c r="E14946" s="30" t="s">
        <v>26</v>
      </c>
      <c r="F14946" s="30" t="s">
        <v>27</v>
      </c>
      <c r="G14946" s="30" t="s">
        <v>20</v>
      </c>
      <c r="H14946" s="32">
        <v>27</v>
      </c>
      <c r="I14946" s="30" t="s">
        <v>21</v>
      </c>
      <c r="J14946" s="41">
        <v>45058</v>
      </c>
      <c r="K14946" s="30" t="s">
        <v>22</v>
      </c>
    </row>
    <row r="14947" spans="1:11">
      <c r="A14947" s="33" t="s">
        <v>33662</v>
      </c>
      <c r="B14947" s="33" t="s">
        <v>33663</v>
      </c>
      <c r="C14947" s="33" t="s">
        <v>231</v>
      </c>
      <c r="D14947" s="33" t="s">
        <v>17</v>
      </c>
      <c r="E14947" s="33" t="s">
        <v>26</v>
      </c>
      <c r="F14947" s="33" t="s">
        <v>27</v>
      </c>
      <c r="G14947" s="33" t="s">
        <v>20</v>
      </c>
      <c r="H14947" s="35">
        <v>16</v>
      </c>
      <c r="I14947" s="33" t="s">
        <v>21</v>
      </c>
      <c r="J14947" s="42">
        <v>45218</v>
      </c>
      <c r="K14947" s="33" t="s">
        <v>22</v>
      </c>
    </row>
    <row r="14948" spans="1:11">
      <c r="A14948" s="30" t="s">
        <v>33664</v>
      </c>
      <c r="B14948" s="30" t="s">
        <v>33665</v>
      </c>
      <c r="C14948" s="30" t="s">
        <v>30893</v>
      </c>
      <c r="D14948" s="30" t="s">
        <v>17</v>
      </c>
      <c r="E14948" s="30" t="s">
        <v>26</v>
      </c>
      <c r="F14948" s="30" t="s">
        <v>27</v>
      </c>
      <c r="G14948" s="30" t="s">
        <v>20</v>
      </c>
      <c r="H14948" s="32">
        <v>130</v>
      </c>
      <c r="I14948" s="30" t="s">
        <v>21</v>
      </c>
      <c r="J14948" s="41">
        <v>45142</v>
      </c>
      <c r="K14948" s="30" t="s">
        <v>22</v>
      </c>
    </row>
    <row r="14949" spans="1:11">
      <c r="A14949" s="33" t="s">
        <v>33666</v>
      </c>
      <c r="B14949" s="33" t="s">
        <v>33667</v>
      </c>
      <c r="C14949" s="33" t="s">
        <v>33668</v>
      </c>
      <c r="D14949" s="33" t="s">
        <v>17</v>
      </c>
      <c r="E14949" s="33" t="s">
        <v>26</v>
      </c>
      <c r="F14949" s="33" t="s">
        <v>27</v>
      </c>
      <c r="G14949" s="33" t="s">
        <v>20</v>
      </c>
      <c r="H14949" s="35">
        <v>39</v>
      </c>
      <c r="I14949" s="33" t="s">
        <v>21</v>
      </c>
      <c r="J14949" s="42">
        <v>45247</v>
      </c>
      <c r="K14949" s="33" t="s">
        <v>22</v>
      </c>
    </row>
    <row r="14950" spans="1:11">
      <c r="A14950" s="30" t="s">
        <v>33669</v>
      </c>
      <c r="B14950" s="30" t="s">
        <v>33670</v>
      </c>
      <c r="C14950" s="30" t="s">
        <v>33671</v>
      </c>
      <c r="D14950" s="30" t="s">
        <v>17</v>
      </c>
      <c r="E14950" s="30" t="s">
        <v>31</v>
      </c>
      <c r="F14950" s="30" t="s">
        <v>32</v>
      </c>
      <c r="G14950" s="30" t="s">
        <v>50</v>
      </c>
      <c r="H14950" s="32">
        <v>39</v>
      </c>
      <c r="I14950" s="30" t="s">
        <v>51</v>
      </c>
      <c r="J14950" s="41">
        <v>45174</v>
      </c>
      <c r="K14950" s="30" t="s">
        <v>22</v>
      </c>
    </row>
    <row r="14951" spans="1:11">
      <c r="A14951" s="33" t="s">
        <v>33672</v>
      </c>
      <c r="B14951" s="33" t="s">
        <v>33673</v>
      </c>
      <c r="C14951" s="33" t="s">
        <v>31709</v>
      </c>
      <c r="D14951" s="33" t="s">
        <v>17</v>
      </c>
      <c r="E14951" s="33" t="s">
        <v>18</v>
      </c>
      <c r="F14951" s="33" t="s">
        <v>19</v>
      </c>
      <c r="G14951" s="33" t="s">
        <v>50</v>
      </c>
      <c r="H14951" s="35">
        <v>558</v>
      </c>
      <c r="I14951" s="33" t="s">
        <v>51</v>
      </c>
      <c r="J14951" s="42">
        <v>45232</v>
      </c>
      <c r="K14951" s="33" t="s">
        <v>22</v>
      </c>
    </row>
    <row r="14952" spans="1:11">
      <c r="A14952" s="30" t="s">
        <v>33674</v>
      </c>
      <c r="B14952" s="30" t="s">
        <v>33675</v>
      </c>
      <c r="C14952" s="30" t="s">
        <v>11047</v>
      </c>
      <c r="D14952" s="30" t="s">
        <v>17</v>
      </c>
      <c r="E14952" s="30" t="s">
        <v>31</v>
      </c>
      <c r="F14952" s="30" t="s">
        <v>32</v>
      </c>
      <c r="G14952" s="30" t="s">
        <v>140</v>
      </c>
      <c r="H14952" s="32">
        <v>52</v>
      </c>
      <c r="I14952" s="30" t="s">
        <v>51</v>
      </c>
      <c r="J14952" s="41">
        <v>45020</v>
      </c>
      <c r="K14952" s="30" t="s">
        <v>22</v>
      </c>
    </row>
    <row r="14953" spans="1:11">
      <c r="A14953" s="33" t="s">
        <v>33676</v>
      </c>
      <c r="B14953" s="33" t="s">
        <v>33677</v>
      </c>
      <c r="C14953" s="33" t="s">
        <v>33678</v>
      </c>
      <c r="D14953" s="33" t="s">
        <v>17</v>
      </c>
      <c r="E14953" s="33" t="s">
        <v>18</v>
      </c>
      <c r="F14953" s="33" t="s">
        <v>19</v>
      </c>
      <c r="G14953" s="33" t="s">
        <v>140</v>
      </c>
      <c r="H14953" s="35">
        <v>50</v>
      </c>
      <c r="I14953" s="33" t="s">
        <v>51</v>
      </c>
      <c r="J14953" s="42">
        <v>45216</v>
      </c>
      <c r="K14953" s="33" t="s">
        <v>22</v>
      </c>
    </row>
    <row r="14954" spans="1:11">
      <c r="A14954" s="30" t="s">
        <v>33679</v>
      </c>
      <c r="B14954" s="30" t="s">
        <v>33680</v>
      </c>
      <c r="C14954" s="30" t="s">
        <v>33681</v>
      </c>
      <c r="D14954" s="30" t="s">
        <v>17</v>
      </c>
      <c r="E14954" s="30" t="s">
        <v>26</v>
      </c>
      <c r="F14954" s="30" t="s">
        <v>27</v>
      </c>
      <c r="G14954" s="30" t="s">
        <v>20</v>
      </c>
      <c r="H14954" s="32">
        <v>10</v>
      </c>
      <c r="I14954" s="30" t="s">
        <v>21</v>
      </c>
      <c r="J14954" s="41">
        <v>45222</v>
      </c>
      <c r="K14954" s="30" t="s">
        <v>22</v>
      </c>
    </row>
    <row r="14955" spans="1:11">
      <c r="A14955" s="33" t="s">
        <v>33682</v>
      </c>
      <c r="B14955" s="33" t="s">
        <v>33683</v>
      </c>
      <c r="C14955" s="33" t="s">
        <v>187</v>
      </c>
      <c r="D14955" s="33" t="s">
        <v>17</v>
      </c>
      <c r="E14955" s="33" t="s">
        <v>26</v>
      </c>
      <c r="F14955" s="33" t="s">
        <v>27</v>
      </c>
      <c r="G14955" s="33" t="s">
        <v>50</v>
      </c>
      <c r="H14955" s="35">
        <v>40</v>
      </c>
      <c r="I14955" s="33" t="s">
        <v>51</v>
      </c>
      <c r="J14955" s="42">
        <v>45231</v>
      </c>
      <c r="K14955" s="33" t="s">
        <v>22</v>
      </c>
    </row>
    <row r="14956" spans="1:11">
      <c r="A14956" s="30" t="s">
        <v>33684</v>
      </c>
      <c r="B14956" s="30" t="s">
        <v>33685</v>
      </c>
      <c r="C14956" s="30" t="s">
        <v>33686</v>
      </c>
      <c r="D14956" s="30" t="s">
        <v>17</v>
      </c>
      <c r="E14956" s="30" t="s">
        <v>18</v>
      </c>
      <c r="F14956" s="30" t="s">
        <v>19</v>
      </c>
      <c r="G14956" s="30" t="s">
        <v>158</v>
      </c>
      <c r="H14956" s="32">
        <v>600</v>
      </c>
      <c r="I14956" s="30" t="s">
        <v>51</v>
      </c>
      <c r="J14956" s="41">
        <v>44956</v>
      </c>
      <c r="K14956" s="30" t="s">
        <v>22</v>
      </c>
    </row>
    <row r="14957" spans="1:11">
      <c r="A14957" s="33" t="s">
        <v>33687</v>
      </c>
      <c r="B14957" s="33" t="s">
        <v>33688</v>
      </c>
      <c r="C14957" s="33" t="s">
        <v>25004</v>
      </c>
      <c r="D14957" s="33" t="s">
        <v>17</v>
      </c>
      <c r="E14957" s="33" t="s">
        <v>31</v>
      </c>
      <c r="F14957" s="33" t="s">
        <v>32</v>
      </c>
      <c r="G14957" s="33" t="s">
        <v>20</v>
      </c>
      <c r="H14957" s="35">
        <v>10</v>
      </c>
      <c r="I14957" s="33" t="s">
        <v>21</v>
      </c>
      <c r="J14957" s="42">
        <v>45069</v>
      </c>
      <c r="K14957" s="33" t="s">
        <v>22</v>
      </c>
    </row>
    <row r="14958" spans="1:11">
      <c r="A14958" s="30" t="s">
        <v>33689</v>
      </c>
      <c r="B14958" s="30" t="s">
        <v>33690</v>
      </c>
      <c r="C14958" s="30" t="s">
        <v>78</v>
      </c>
      <c r="D14958" s="30" t="s">
        <v>17</v>
      </c>
      <c r="E14958" s="30" t="s">
        <v>26</v>
      </c>
      <c r="F14958" s="30" t="s">
        <v>27</v>
      </c>
      <c r="G14958" s="30" t="s">
        <v>20</v>
      </c>
      <c r="H14958" s="32">
        <v>28</v>
      </c>
      <c r="I14958" s="30" t="s">
        <v>21</v>
      </c>
      <c r="J14958" s="41">
        <v>45251</v>
      </c>
      <c r="K14958" s="30" t="s">
        <v>22</v>
      </c>
    </row>
    <row r="14959" spans="1:11">
      <c r="A14959" s="33" t="s">
        <v>33691</v>
      </c>
      <c r="B14959" s="33" t="s">
        <v>33692</v>
      </c>
      <c r="C14959" s="33" t="s">
        <v>33693</v>
      </c>
      <c r="D14959" s="33" t="s">
        <v>17</v>
      </c>
      <c r="E14959" s="33" t="s">
        <v>26</v>
      </c>
      <c r="F14959" s="33" t="s">
        <v>27</v>
      </c>
      <c r="G14959" s="33" t="s">
        <v>20</v>
      </c>
      <c r="H14959" s="35">
        <v>49</v>
      </c>
      <c r="I14959" s="33" t="s">
        <v>21</v>
      </c>
      <c r="J14959" s="42">
        <v>45090</v>
      </c>
      <c r="K14959" s="33" t="s">
        <v>22</v>
      </c>
    </row>
    <row r="14960" spans="1:11">
      <c r="A14960" s="30" t="s">
        <v>33694</v>
      </c>
      <c r="B14960" s="30" t="s">
        <v>33695</v>
      </c>
      <c r="C14960" s="30" t="s">
        <v>535</v>
      </c>
      <c r="D14960" s="30" t="s">
        <v>17</v>
      </c>
      <c r="E14960" s="30" t="s">
        <v>31</v>
      </c>
      <c r="F14960" s="30" t="s">
        <v>32</v>
      </c>
      <c r="G14960" s="30" t="s">
        <v>158</v>
      </c>
      <c r="H14960" s="32">
        <v>680</v>
      </c>
      <c r="I14960" s="30" t="s">
        <v>21</v>
      </c>
      <c r="J14960" s="41">
        <v>45121</v>
      </c>
      <c r="K14960" s="30" t="s">
        <v>22</v>
      </c>
    </row>
    <row r="14961" spans="1:11">
      <c r="A14961" s="33" t="s">
        <v>33696</v>
      </c>
      <c r="B14961" s="33" t="s">
        <v>33697</v>
      </c>
      <c r="C14961" s="33" t="s">
        <v>18047</v>
      </c>
      <c r="D14961" s="33" t="s">
        <v>17</v>
      </c>
      <c r="E14961" s="33" t="s">
        <v>26</v>
      </c>
      <c r="F14961" s="33" t="s">
        <v>27</v>
      </c>
      <c r="G14961" s="33" t="s">
        <v>20</v>
      </c>
      <c r="H14961" s="35">
        <v>24</v>
      </c>
      <c r="I14961" s="33" t="s">
        <v>21</v>
      </c>
      <c r="J14961" s="42">
        <v>45026</v>
      </c>
      <c r="K14961" s="33" t="s">
        <v>22</v>
      </c>
    </row>
    <row r="14962" spans="1:11">
      <c r="A14962" s="30" t="s">
        <v>33698</v>
      </c>
      <c r="B14962" s="30" t="s">
        <v>33699</v>
      </c>
      <c r="C14962" s="30" t="s">
        <v>157</v>
      </c>
      <c r="D14962" s="30" t="s">
        <v>17</v>
      </c>
      <c r="E14962" s="30" t="s">
        <v>45</v>
      </c>
      <c r="F14962" s="30" t="s">
        <v>46</v>
      </c>
      <c r="G14962" s="30" t="s">
        <v>140</v>
      </c>
      <c r="H14962" s="32">
        <v>500</v>
      </c>
      <c r="I14962" s="30" t="s">
        <v>51</v>
      </c>
      <c r="J14962" s="41">
        <v>45021</v>
      </c>
      <c r="K14962" s="30" t="s">
        <v>22</v>
      </c>
    </row>
    <row r="14963" spans="1:11">
      <c r="A14963" s="33" t="s">
        <v>33700</v>
      </c>
      <c r="B14963" s="33" t="s">
        <v>33701</v>
      </c>
      <c r="C14963" s="33" t="s">
        <v>178</v>
      </c>
      <c r="D14963" s="33" t="s">
        <v>17</v>
      </c>
      <c r="E14963" s="33" t="s">
        <v>67</v>
      </c>
      <c r="F14963" s="33" t="s">
        <v>68</v>
      </c>
      <c r="G14963" s="33" t="s">
        <v>140</v>
      </c>
      <c r="H14963" s="35">
        <v>320</v>
      </c>
      <c r="I14963" s="33" t="s">
        <v>51</v>
      </c>
      <c r="J14963" s="42">
        <v>45097</v>
      </c>
      <c r="K14963" s="33" t="s">
        <v>22</v>
      </c>
    </row>
    <row r="14964" spans="1:11">
      <c r="A14964" s="30" t="s">
        <v>33702</v>
      </c>
      <c r="B14964" s="30" t="s">
        <v>33703</v>
      </c>
      <c r="C14964" s="30" t="s">
        <v>6585</v>
      </c>
      <c r="D14964" s="30" t="s">
        <v>17</v>
      </c>
      <c r="E14964" s="30" t="s">
        <v>18</v>
      </c>
      <c r="F14964" s="30" t="s">
        <v>19</v>
      </c>
      <c r="G14964" s="30" t="s">
        <v>20</v>
      </c>
      <c r="H14964" s="32">
        <v>216</v>
      </c>
      <c r="I14964" s="30" t="s">
        <v>21</v>
      </c>
      <c r="J14964" s="41">
        <v>44957</v>
      </c>
      <c r="K14964" s="30" t="s">
        <v>22</v>
      </c>
    </row>
    <row r="14965" spans="1:11">
      <c r="A14965" s="33" t="s">
        <v>33704</v>
      </c>
      <c r="B14965" s="33" t="s">
        <v>33705</v>
      </c>
      <c r="C14965" s="33" t="s">
        <v>31283</v>
      </c>
      <c r="D14965" s="33" t="s">
        <v>17</v>
      </c>
      <c r="E14965" s="33" t="s">
        <v>26</v>
      </c>
      <c r="F14965" s="33" t="s">
        <v>27</v>
      </c>
      <c r="G14965" s="33" t="s">
        <v>50</v>
      </c>
      <c r="H14965" s="35">
        <v>15</v>
      </c>
      <c r="I14965" s="33" t="s">
        <v>51</v>
      </c>
      <c r="J14965" s="42">
        <v>45261</v>
      </c>
      <c r="K14965" s="33" t="s">
        <v>22</v>
      </c>
    </row>
    <row r="14966" spans="1:11">
      <c r="A14966" s="30" t="s">
        <v>33706</v>
      </c>
      <c r="B14966" s="30" t="s">
        <v>33707</v>
      </c>
      <c r="C14966" s="30" t="s">
        <v>2472</v>
      </c>
      <c r="D14966" s="30" t="s">
        <v>17</v>
      </c>
      <c r="E14966" s="30" t="s">
        <v>67</v>
      </c>
      <c r="F14966" s="30" t="s">
        <v>68</v>
      </c>
      <c r="G14966" s="30" t="s">
        <v>20</v>
      </c>
      <c r="H14966" s="32">
        <v>1504</v>
      </c>
      <c r="I14966" s="30" t="s">
        <v>21</v>
      </c>
      <c r="J14966" s="41">
        <v>45117</v>
      </c>
      <c r="K14966" s="30" t="s">
        <v>22</v>
      </c>
    </row>
    <row r="14967" spans="1:11">
      <c r="A14967" s="33" t="s">
        <v>33708</v>
      </c>
      <c r="B14967" s="33" t="s">
        <v>33709</v>
      </c>
      <c r="C14967" s="33" t="s">
        <v>379</v>
      </c>
      <c r="D14967" s="33" t="s">
        <v>17</v>
      </c>
      <c r="E14967" s="33" t="s">
        <v>31</v>
      </c>
      <c r="F14967" s="33" t="s">
        <v>32</v>
      </c>
      <c r="G14967" s="33" t="s">
        <v>50</v>
      </c>
      <c r="H14967" s="35">
        <v>60</v>
      </c>
      <c r="I14967" s="33" t="s">
        <v>51</v>
      </c>
      <c r="J14967" s="42">
        <v>44958</v>
      </c>
      <c r="K14967" s="33" t="s">
        <v>22</v>
      </c>
    </row>
    <row r="14968" spans="1:11">
      <c r="A14968" s="30" t="s">
        <v>33710</v>
      </c>
      <c r="B14968" s="30" t="s">
        <v>33711</v>
      </c>
      <c r="C14968" s="30" t="s">
        <v>33712</v>
      </c>
      <c r="D14968" s="30" t="s">
        <v>17</v>
      </c>
      <c r="E14968" s="30" t="s">
        <v>26</v>
      </c>
      <c r="F14968" s="30" t="s">
        <v>27</v>
      </c>
      <c r="G14968" s="30" t="s">
        <v>106</v>
      </c>
      <c r="H14968" s="32">
        <v>1</v>
      </c>
      <c r="I14968" s="30" t="s">
        <v>21</v>
      </c>
      <c r="J14968" s="41">
        <v>45142</v>
      </c>
      <c r="K14968" s="30" t="s">
        <v>22</v>
      </c>
    </row>
    <row r="14969" spans="1:11">
      <c r="A14969" s="33" t="s">
        <v>33713</v>
      </c>
      <c r="B14969" s="33" t="s">
        <v>33714</v>
      </c>
      <c r="C14969" s="33" t="s">
        <v>310</v>
      </c>
      <c r="D14969" s="33" t="s">
        <v>17</v>
      </c>
      <c r="E14969" s="33" t="s">
        <v>18</v>
      </c>
      <c r="F14969" s="33" t="s">
        <v>19</v>
      </c>
      <c r="G14969" s="33" t="s">
        <v>158</v>
      </c>
      <c r="H14969" s="35">
        <v>47</v>
      </c>
      <c r="I14969" s="33" t="s">
        <v>21</v>
      </c>
      <c r="J14969" s="42">
        <v>44958</v>
      </c>
      <c r="K14969" s="33" t="s">
        <v>22</v>
      </c>
    </row>
    <row r="14970" spans="1:11">
      <c r="A14970" s="30" t="s">
        <v>33715</v>
      </c>
      <c r="B14970" s="30" t="s">
        <v>33716</v>
      </c>
      <c r="C14970" s="30" t="s">
        <v>18986</v>
      </c>
      <c r="D14970" s="30" t="s">
        <v>17</v>
      </c>
      <c r="E14970" s="30" t="s">
        <v>26</v>
      </c>
      <c r="F14970" s="30" t="s">
        <v>27</v>
      </c>
      <c r="G14970" s="30" t="s">
        <v>20</v>
      </c>
      <c r="H14970" s="32">
        <v>24</v>
      </c>
      <c r="I14970" s="30" t="s">
        <v>21</v>
      </c>
      <c r="J14970" s="41">
        <v>45019</v>
      </c>
      <c r="K14970" s="30" t="s">
        <v>22</v>
      </c>
    </row>
    <row r="14971" spans="1:11">
      <c r="A14971" s="33" t="s">
        <v>33717</v>
      </c>
      <c r="B14971" s="33" t="s">
        <v>33718</v>
      </c>
      <c r="C14971" s="33" t="s">
        <v>1295</v>
      </c>
      <c r="D14971" s="33" t="s">
        <v>17</v>
      </c>
      <c r="E14971" s="33" t="s">
        <v>26</v>
      </c>
      <c r="F14971" s="33" t="s">
        <v>27</v>
      </c>
      <c r="G14971" s="33" t="s">
        <v>106</v>
      </c>
      <c r="H14971" s="35">
        <v>33</v>
      </c>
      <c r="I14971" s="33" t="s">
        <v>21</v>
      </c>
      <c r="J14971" s="42">
        <v>44979</v>
      </c>
      <c r="K14971" s="33" t="s">
        <v>22</v>
      </c>
    </row>
    <row r="14972" spans="1:11">
      <c r="A14972" s="30" t="s">
        <v>33719</v>
      </c>
      <c r="B14972" s="30" t="s">
        <v>33720</v>
      </c>
      <c r="C14972" s="30" t="s">
        <v>28459</v>
      </c>
      <c r="D14972" s="30" t="s">
        <v>17</v>
      </c>
      <c r="E14972" s="30" t="s">
        <v>18</v>
      </c>
      <c r="F14972" s="30" t="s">
        <v>19</v>
      </c>
      <c r="G14972" s="30" t="s">
        <v>20</v>
      </c>
      <c r="H14972" s="32">
        <v>1350</v>
      </c>
      <c r="I14972" s="30" t="s">
        <v>21</v>
      </c>
      <c r="J14972" s="41">
        <v>45091</v>
      </c>
      <c r="K14972" s="30" t="s">
        <v>22</v>
      </c>
    </row>
    <row r="14973" spans="1:11">
      <c r="A14973" s="33" t="s">
        <v>33721</v>
      </c>
      <c r="B14973" s="33" t="s">
        <v>33722</v>
      </c>
      <c r="C14973" s="33" t="s">
        <v>187</v>
      </c>
      <c r="D14973" s="33" t="s">
        <v>17</v>
      </c>
      <c r="E14973" s="33" t="s">
        <v>26</v>
      </c>
      <c r="F14973" s="33" t="s">
        <v>27</v>
      </c>
      <c r="G14973" s="33" t="s">
        <v>50</v>
      </c>
      <c r="H14973" s="35">
        <v>8</v>
      </c>
      <c r="I14973" s="33" t="s">
        <v>51</v>
      </c>
      <c r="J14973" s="42">
        <v>44927</v>
      </c>
      <c r="K14973" s="33" t="s">
        <v>22</v>
      </c>
    </row>
    <row r="14974" spans="1:11">
      <c r="A14974" s="30" t="s">
        <v>33723</v>
      </c>
      <c r="B14974" s="30" t="s">
        <v>33724</v>
      </c>
      <c r="C14974" s="30" t="s">
        <v>3676</v>
      </c>
      <c r="D14974" s="30" t="s">
        <v>17</v>
      </c>
      <c r="E14974" s="30" t="s">
        <v>18</v>
      </c>
      <c r="F14974" s="30" t="s">
        <v>19</v>
      </c>
      <c r="G14974" s="30" t="s">
        <v>158</v>
      </c>
      <c r="H14974" s="32">
        <v>376</v>
      </c>
      <c r="I14974" s="30" t="s">
        <v>51</v>
      </c>
      <c r="J14974" s="41">
        <v>45106</v>
      </c>
      <c r="K14974" s="30" t="s">
        <v>22</v>
      </c>
    </row>
    <row r="14975" spans="1:11">
      <c r="A14975" s="33" t="s">
        <v>33725</v>
      </c>
      <c r="B14975" s="33" t="s">
        <v>33726</v>
      </c>
      <c r="C14975" s="33" t="s">
        <v>75</v>
      </c>
      <c r="D14975" s="33" t="s">
        <v>17</v>
      </c>
      <c r="E14975" s="33" t="s">
        <v>45</v>
      </c>
      <c r="F14975" s="33" t="s">
        <v>46</v>
      </c>
      <c r="G14975" s="33" t="s">
        <v>106</v>
      </c>
      <c r="H14975" s="35">
        <v>5</v>
      </c>
      <c r="I14975" s="33" t="s">
        <v>21</v>
      </c>
      <c r="J14975" s="42">
        <v>45160</v>
      </c>
      <c r="K14975" s="33" t="s">
        <v>22</v>
      </c>
    </row>
    <row r="14976" spans="1:11">
      <c r="A14976" s="30" t="s">
        <v>33727</v>
      </c>
      <c r="B14976" s="30" t="s">
        <v>33728</v>
      </c>
      <c r="C14976" s="30" t="s">
        <v>1219</v>
      </c>
      <c r="D14976" s="30" t="s">
        <v>17</v>
      </c>
      <c r="E14976" s="30" t="s">
        <v>26</v>
      </c>
      <c r="F14976" s="30" t="s">
        <v>27</v>
      </c>
      <c r="G14976" s="30" t="s">
        <v>20</v>
      </c>
      <c r="H14976" s="32">
        <v>17</v>
      </c>
      <c r="I14976" s="30" t="s">
        <v>21</v>
      </c>
      <c r="J14976" s="41">
        <v>45216</v>
      </c>
      <c r="K14976" s="30" t="s">
        <v>22</v>
      </c>
    </row>
    <row r="14977" spans="1:11">
      <c r="A14977" s="33" t="s">
        <v>33729</v>
      </c>
      <c r="B14977" s="33" t="s">
        <v>33730</v>
      </c>
      <c r="C14977" s="33" t="s">
        <v>5948</v>
      </c>
      <c r="D14977" s="33" t="s">
        <v>17</v>
      </c>
      <c r="E14977" s="33" t="s">
        <v>31</v>
      </c>
      <c r="F14977" s="33" t="s">
        <v>32</v>
      </c>
      <c r="G14977" s="33" t="s">
        <v>106</v>
      </c>
      <c r="H14977" s="35">
        <v>6</v>
      </c>
      <c r="I14977" s="33" t="s">
        <v>21</v>
      </c>
      <c r="J14977" s="42">
        <v>45218</v>
      </c>
      <c r="K14977" s="33" t="s">
        <v>22</v>
      </c>
    </row>
    <row r="14978" spans="1:11">
      <c r="A14978" s="30" t="s">
        <v>33731</v>
      </c>
      <c r="B14978" s="30" t="s">
        <v>33732</v>
      </c>
      <c r="C14978" s="30" t="s">
        <v>4504</v>
      </c>
      <c r="D14978" s="30" t="s">
        <v>17</v>
      </c>
      <c r="E14978" s="30" t="s">
        <v>31</v>
      </c>
      <c r="F14978" s="30" t="s">
        <v>32</v>
      </c>
      <c r="G14978" s="30" t="s">
        <v>20</v>
      </c>
      <c r="H14978" s="32">
        <v>109</v>
      </c>
      <c r="I14978" s="30" t="s">
        <v>21</v>
      </c>
      <c r="J14978" s="41">
        <v>45183</v>
      </c>
      <c r="K14978" s="30" t="s">
        <v>22</v>
      </c>
    </row>
    <row r="14979" spans="1:11">
      <c r="A14979" s="33" t="s">
        <v>33733</v>
      </c>
      <c r="B14979" s="33" t="s">
        <v>33734</v>
      </c>
      <c r="C14979" s="33" t="s">
        <v>12569</v>
      </c>
      <c r="D14979" s="33" t="s">
        <v>17</v>
      </c>
      <c r="E14979" s="33" t="s">
        <v>26</v>
      </c>
      <c r="F14979" s="33" t="s">
        <v>27</v>
      </c>
      <c r="G14979" s="33" t="s">
        <v>20</v>
      </c>
      <c r="H14979" s="35">
        <v>64</v>
      </c>
      <c r="I14979" s="33" t="s">
        <v>21</v>
      </c>
      <c r="J14979" s="42">
        <v>45202</v>
      </c>
      <c r="K14979" s="33" t="s">
        <v>22</v>
      </c>
    </row>
    <row r="14980" spans="1:11">
      <c r="A14980" s="30" t="s">
        <v>33735</v>
      </c>
      <c r="B14980" s="30" t="s">
        <v>33736</v>
      </c>
      <c r="C14980" s="30" t="s">
        <v>10320</v>
      </c>
      <c r="D14980" s="30" t="s">
        <v>17</v>
      </c>
      <c r="E14980" s="30" t="s">
        <v>26</v>
      </c>
      <c r="F14980" s="30" t="s">
        <v>27</v>
      </c>
      <c r="G14980" s="30" t="s">
        <v>50</v>
      </c>
      <c r="H14980" s="32">
        <v>15</v>
      </c>
      <c r="I14980" s="30" t="s">
        <v>51</v>
      </c>
      <c r="J14980" s="41">
        <v>45146</v>
      </c>
      <c r="K14980" s="30" t="s">
        <v>22</v>
      </c>
    </row>
    <row r="14981" spans="1:11">
      <c r="A14981" s="33" t="s">
        <v>33737</v>
      </c>
      <c r="B14981" s="33" t="s">
        <v>33738</v>
      </c>
      <c r="C14981" s="33" t="s">
        <v>10832</v>
      </c>
      <c r="D14981" s="33" t="s">
        <v>17</v>
      </c>
      <c r="E14981" s="33" t="s">
        <v>26</v>
      </c>
      <c r="F14981" s="33" t="s">
        <v>27</v>
      </c>
      <c r="G14981" s="33" t="s">
        <v>50</v>
      </c>
      <c r="H14981" s="35">
        <v>48</v>
      </c>
      <c r="I14981" s="33" t="s">
        <v>51</v>
      </c>
      <c r="J14981" s="42">
        <v>45178</v>
      </c>
      <c r="K14981" s="33" t="s">
        <v>22</v>
      </c>
    </row>
    <row r="14982" spans="1:11">
      <c r="A14982" s="30" t="s">
        <v>33739</v>
      </c>
      <c r="B14982" s="30" t="s">
        <v>33740</v>
      </c>
      <c r="C14982" s="30" t="s">
        <v>102</v>
      </c>
      <c r="D14982" s="30" t="s">
        <v>17</v>
      </c>
      <c r="E14982" s="30" t="s">
        <v>18</v>
      </c>
      <c r="F14982" s="30" t="s">
        <v>19</v>
      </c>
      <c r="G14982" s="30" t="s">
        <v>158</v>
      </c>
      <c r="H14982" s="32">
        <v>684</v>
      </c>
      <c r="I14982" s="30" t="s">
        <v>21</v>
      </c>
      <c r="J14982" s="41">
        <v>45211</v>
      </c>
      <c r="K14982" s="30" t="s">
        <v>22</v>
      </c>
    </row>
    <row r="14983" spans="1:11">
      <c r="A14983" s="33" t="s">
        <v>33741</v>
      </c>
      <c r="B14983" s="33" t="s">
        <v>33742</v>
      </c>
      <c r="C14983" s="33" t="s">
        <v>33743</v>
      </c>
      <c r="D14983" s="33" t="s">
        <v>17</v>
      </c>
      <c r="E14983" s="33" t="s">
        <v>67</v>
      </c>
      <c r="F14983" s="33" t="s">
        <v>68</v>
      </c>
      <c r="G14983" s="33" t="s">
        <v>140</v>
      </c>
      <c r="H14983" s="35">
        <v>32</v>
      </c>
      <c r="I14983" s="33" t="s">
        <v>51</v>
      </c>
      <c r="J14983" s="42">
        <v>45100</v>
      </c>
      <c r="K14983" s="33" t="s">
        <v>22</v>
      </c>
    </row>
    <row r="14984" spans="1:11">
      <c r="A14984" s="30" t="s">
        <v>33744</v>
      </c>
      <c r="B14984" s="30" t="s">
        <v>33745</v>
      </c>
      <c r="C14984" s="30" t="s">
        <v>75</v>
      </c>
      <c r="D14984" s="30" t="s">
        <v>17</v>
      </c>
      <c r="E14984" s="30" t="s">
        <v>67</v>
      </c>
      <c r="F14984" s="30" t="s">
        <v>68</v>
      </c>
      <c r="G14984" s="30" t="s">
        <v>158</v>
      </c>
      <c r="H14984" s="32">
        <v>85</v>
      </c>
      <c r="I14984" s="30" t="s">
        <v>51</v>
      </c>
      <c r="J14984" s="41">
        <v>45250</v>
      </c>
      <c r="K14984" s="30" t="s">
        <v>22</v>
      </c>
    </row>
    <row r="14985" spans="1:11">
      <c r="A14985" s="33" t="s">
        <v>33746</v>
      </c>
      <c r="B14985" s="33" t="s">
        <v>33747</v>
      </c>
      <c r="C14985" s="33" t="s">
        <v>75</v>
      </c>
      <c r="D14985" s="33" t="s">
        <v>17</v>
      </c>
      <c r="E14985" s="33" t="s">
        <v>26</v>
      </c>
      <c r="F14985" s="33" t="s">
        <v>27</v>
      </c>
      <c r="G14985" s="33" t="s">
        <v>20</v>
      </c>
      <c r="H14985" s="35">
        <v>32</v>
      </c>
      <c r="I14985" s="33" t="s">
        <v>21</v>
      </c>
      <c r="J14985" s="42">
        <v>44977</v>
      </c>
      <c r="K14985" s="33" t="s">
        <v>22</v>
      </c>
    </row>
    <row r="14986" spans="1:11">
      <c r="A14986" s="30" t="s">
        <v>33748</v>
      </c>
      <c r="B14986" s="30" t="s">
        <v>33749</v>
      </c>
      <c r="C14986" s="30" t="s">
        <v>109</v>
      </c>
      <c r="D14986" s="30" t="s">
        <v>17</v>
      </c>
      <c r="E14986" s="30" t="s">
        <v>31</v>
      </c>
      <c r="F14986" s="30" t="s">
        <v>32</v>
      </c>
      <c r="G14986" s="30" t="s">
        <v>20</v>
      </c>
      <c r="H14986" s="32">
        <v>45</v>
      </c>
      <c r="I14986" s="30" t="s">
        <v>21</v>
      </c>
      <c r="J14986" s="41">
        <v>45091</v>
      </c>
      <c r="K14986" s="30" t="s">
        <v>22</v>
      </c>
    </row>
    <row r="14987" spans="1:11">
      <c r="A14987" s="33" t="s">
        <v>33750</v>
      </c>
      <c r="B14987" s="33" t="s">
        <v>33751</v>
      </c>
      <c r="C14987" s="33" t="s">
        <v>30388</v>
      </c>
      <c r="D14987" s="33" t="s">
        <v>17</v>
      </c>
      <c r="E14987" s="33" t="s">
        <v>31</v>
      </c>
      <c r="F14987" s="33" t="s">
        <v>32</v>
      </c>
      <c r="G14987" s="33" t="s">
        <v>106</v>
      </c>
      <c r="H14987" s="35">
        <v>6</v>
      </c>
      <c r="I14987" s="33" t="s">
        <v>21</v>
      </c>
      <c r="J14987" s="42">
        <v>45105</v>
      </c>
      <c r="K14987" s="33" t="s">
        <v>22</v>
      </c>
    </row>
    <row r="14988" spans="1:11">
      <c r="A14988" s="30" t="s">
        <v>33752</v>
      </c>
      <c r="B14988" s="30" t="s">
        <v>33753</v>
      </c>
      <c r="C14988" s="30" t="s">
        <v>1313</v>
      </c>
      <c r="D14988" s="30" t="s">
        <v>17</v>
      </c>
      <c r="E14988" s="30" t="s">
        <v>26</v>
      </c>
      <c r="F14988" s="30" t="s">
        <v>27</v>
      </c>
      <c r="G14988" s="30" t="s">
        <v>7780</v>
      </c>
      <c r="H14988" s="32">
        <v>36</v>
      </c>
      <c r="I14988" s="30" t="s">
        <v>51</v>
      </c>
      <c r="J14988" s="41">
        <v>45139</v>
      </c>
      <c r="K14988" s="30" t="s">
        <v>22</v>
      </c>
    </row>
    <row r="14989" spans="1:11">
      <c r="A14989" s="33" t="s">
        <v>33754</v>
      </c>
      <c r="B14989" s="33" t="s">
        <v>33755</v>
      </c>
      <c r="C14989" s="33" t="s">
        <v>9464</v>
      </c>
      <c r="D14989" s="33" t="s">
        <v>17</v>
      </c>
      <c r="E14989" s="33" t="s">
        <v>26</v>
      </c>
      <c r="F14989" s="33" t="s">
        <v>27</v>
      </c>
      <c r="G14989" s="33" t="s">
        <v>50</v>
      </c>
      <c r="H14989" s="35">
        <v>6</v>
      </c>
      <c r="I14989" s="33" t="s">
        <v>51</v>
      </c>
      <c r="J14989" s="42">
        <v>45047</v>
      </c>
      <c r="K14989" s="33" t="s">
        <v>22</v>
      </c>
    </row>
    <row r="14990" spans="1:11">
      <c r="A14990" s="30" t="s">
        <v>33756</v>
      </c>
      <c r="B14990" s="30" t="s">
        <v>33757</v>
      </c>
      <c r="C14990" s="30" t="s">
        <v>109</v>
      </c>
      <c r="D14990" s="30" t="s">
        <v>17</v>
      </c>
      <c r="E14990" s="30" t="s">
        <v>26</v>
      </c>
      <c r="F14990" s="30" t="s">
        <v>27</v>
      </c>
      <c r="G14990" s="30" t="s">
        <v>106</v>
      </c>
      <c r="H14990" s="32">
        <v>30</v>
      </c>
      <c r="I14990" s="30" t="s">
        <v>21</v>
      </c>
      <c r="J14990" s="41">
        <v>45020</v>
      </c>
      <c r="K14990" s="30" t="s">
        <v>22</v>
      </c>
    </row>
    <row r="14991" spans="1:11">
      <c r="A14991" s="33" t="s">
        <v>33758</v>
      </c>
      <c r="B14991" s="33" t="s">
        <v>33759</v>
      </c>
      <c r="C14991" s="33" t="s">
        <v>23967</v>
      </c>
      <c r="D14991" s="33" t="s">
        <v>17</v>
      </c>
      <c r="E14991" s="33" t="s">
        <v>31</v>
      </c>
      <c r="F14991" s="33" t="s">
        <v>32</v>
      </c>
      <c r="G14991" s="33" t="s">
        <v>140</v>
      </c>
      <c r="H14991" s="35">
        <v>6</v>
      </c>
      <c r="I14991" s="33" t="s">
        <v>51</v>
      </c>
      <c r="J14991" s="42">
        <v>45138</v>
      </c>
      <c r="K14991" s="33" t="s">
        <v>22</v>
      </c>
    </row>
    <row r="14992" spans="1:11">
      <c r="A14992" s="30" t="s">
        <v>33760</v>
      </c>
      <c r="B14992" s="30" t="s">
        <v>33761</v>
      </c>
      <c r="C14992" s="30" t="s">
        <v>96</v>
      </c>
      <c r="D14992" s="30" t="s">
        <v>17</v>
      </c>
      <c r="E14992" s="30" t="s">
        <v>45</v>
      </c>
      <c r="F14992" s="30" t="s">
        <v>46</v>
      </c>
      <c r="G14992" s="30" t="s">
        <v>106</v>
      </c>
      <c r="H14992" s="32">
        <v>58</v>
      </c>
      <c r="I14992" s="30" t="s">
        <v>21</v>
      </c>
      <c r="J14992" s="41">
        <v>44944</v>
      </c>
      <c r="K14992" s="30" t="s">
        <v>22</v>
      </c>
    </row>
    <row r="14993" spans="1:11">
      <c r="A14993" s="33" t="s">
        <v>33762</v>
      </c>
      <c r="B14993" s="33" t="s">
        <v>33763</v>
      </c>
      <c r="C14993" s="33" t="s">
        <v>33764</v>
      </c>
      <c r="D14993" s="33" t="s">
        <v>17</v>
      </c>
      <c r="E14993" s="33" t="s">
        <v>26</v>
      </c>
      <c r="F14993" s="33" t="s">
        <v>27</v>
      </c>
      <c r="G14993" s="33" t="s">
        <v>106</v>
      </c>
      <c r="H14993" s="35">
        <v>1</v>
      </c>
      <c r="I14993" s="33" t="s">
        <v>21</v>
      </c>
      <c r="J14993" s="42">
        <v>45149</v>
      </c>
      <c r="K14993" s="33" t="s">
        <v>22</v>
      </c>
    </row>
    <row r="14994" spans="1:11">
      <c r="A14994" s="30" t="s">
        <v>33765</v>
      </c>
      <c r="B14994" s="30" t="s">
        <v>33766</v>
      </c>
      <c r="C14994" s="30" t="s">
        <v>3650</v>
      </c>
      <c r="D14994" s="30" t="s">
        <v>17</v>
      </c>
      <c r="E14994" s="30" t="s">
        <v>31</v>
      </c>
      <c r="F14994" s="30" t="s">
        <v>32</v>
      </c>
      <c r="G14994" s="30" t="s">
        <v>140</v>
      </c>
      <c r="H14994" s="32">
        <v>27</v>
      </c>
      <c r="I14994" s="30" t="s">
        <v>51</v>
      </c>
      <c r="J14994" s="41">
        <v>45266</v>
      </c>
      <c r="K14994" s="30" t="s">
        <v>22</v>
      </c>
    </row>
    <row r="14995" spans="1:11">
      <c r="A14995" s="33" t="s">
        <v>33767</v>
      </c>
      <c r="B14995" s="33" t="s">
        <v>33768</v>
      </c>
      <c r="C14995" s="33" t="s">
        <v>6814</v>
      </c>
      <c r="D14995" s="33" t="s">
        <v>17</v>
      </c>
      <c r="E14995" s="33" t="s">
        <v>31</v>
      </c>
      <c r="F14995" s="33" t="s">
        <v>32</v>
      </c>
      <c r="G14995" s="33" t="s">
        <v>140</v>
      </c>
      <c r="H14995" s="35">
        <v>84</v>
      </c>
      <c r="I14995" s="33" t="s">
        <v>51</v>
      </c>
      <c r="J14995" s="42">
        <v>45155</v>
      </c>
      <c r="K14995" s="33" t="s">
        <v>22</v>
      </c>
    </row>
    <row r="14996" spans="1:11">
      <c r="A14996" s="30" t="s">
        <v>33769</v>
      </c>
      <c r="B14996" s="30" t="s">
        <v>33770</v>
      </c>
      <c r="C14996" s="30" t="s">
        <v>33771</v>
      </c>
      <c r="D14996" s="30" t="s">
        <v>17</v>
      </c>
      <c r="E14996" s="30" t="s">
        <v>26</v>
      </c>
      <c r="F14996" s="30" t="s">
        <v>27</v>
      </c>
      <c r="G14996" s="30" t="s">
        <v>20</v>
      </c>
      <c r="H14996" s="32">
        <v>47</v>
      </c>
      <c r="I14996" s="30" t="s">
        <v>21</v>
      </c>
      <c r="J14996" s="41">
        <v>45000</v>
      </c>
      <c r="K14996" s="30" t="s">
        <v>22</v>
      </c>
    </row>
    <row r="14997" spans="1:11">
      <c r="A14997" s="33" t="s">
        <v>33772</v>
      </c>
      <c r="B14997" s="33" t="s">
        <v>33773</v>
      </c>
      <c r="C14997" s="33" t="s">
        <v>14097</v>
      </c>
      <c r="D14997" s="33" t="s">
        <v>17</v>
      </c>
      <c r="E14997" s="33" t="s">
        <v>18</v>
      </c>
      <c r="F14997" s="33" t="s">
        <v>19</v>
      </c>
      <c r="G14997" s="33" t="s">
        <v>158</v>
      </c>
      <c r="H14997" s="35">
        <v>81</v>
      </c>
      <c r="I14997" s="33" t="s">
        <v>51</v>
      </c>
      <c r="J14997" s="42">
        <v>45077</v>
      </c>
      <c r="K14997" s="33" t="s">
        <v>22</v>
      </c>
    </row>
    <row r="14998" spans="1:11">
      <c r="A14998" s="30" t="s">
        <v>33774</v>
      </c>
      <c r="B14998" s="30" t="s">
        <v>33775</v>
      </c>
      <c r="C14998" s="30" t="s">
        <v>23816</v>
      </c>
      <c r="D14998" s="30" t="s">
        <v>17</v>
      </c>
      <c r="E14998" s="30" t="s">
        <v>26</v>
      </c>
      <c r="F14998" s="30" t="s">
        <v>27</v>
      </c>
      <c r="G14998" s="30" t="s">
        <v>20</v>
      </c>
      <c r="H14998" s="32">
        <v>40</v>
      </c>
      <c r="I14998" s="30" t="s">
        <v>21</v>
      </c>
      <c r="J14998" s="41">
        <v>45258</v>
      </c>
      <c r="K14998" s="30" t="s">
        <v>22</v>
      </c>
    </row>
    <row r="14999" spans="1:11">
      <c r="A14999" s="33" t="s">
        <v>33776</v>
      </c>
      <c r="B14999" s="33" t="s">
        <v>33777</v>
      </c>
      <c r="C14999" s="33" t="s">
        <v>23495</v>
      </c>
      <c r="D14999" s="33" t="s">
        <v>17</v>
      </c>
      <c r="E14999" s="33" t="s">
        <v>18</v>
      </c>
      <c r="F14999" s="33" t="s">
        <v>19</v>
      </c>
      <c r="G14999" s="33" t="s">
        <v>50</v>
      </c>
      <c r="H14999" s="35">
        <v>378</v>
      </c>
      <c r="I14999" s="33" t="s">
        <v>51</v>
      </c>
      <c r="J14999" s="42">
        <v>45122</v>
      </c>
      <c r="K14999" s="33" t="s">
        <v>22</v>
      </c>
    </row>
    <row r="15000" spans="1:11">
      <c r="A15000" s="30" t="s">
        <v>33778</v>
      </c>
      <c r="B15000" s="30" t="s">
        <v>33779</v>
      </c>
      <c r="C15000" s="30" t="s">
        <v>33780</v>
      </c>
      <c r="D15000" s="30" t="s">
        <v>17</v>
      </c>
      <c r="E15000" s="30" t="s">
        <v>26</v>
      </c>
      <c r="F15000" s="30" t="s">
        <v>27</v>
      </c>
      <c r="G15000" s="30" t="s">
        <v>50</v>
      </c>
      <c r="H15000" s="32">
        <v>32</v>
      </c>
      <c r="I15000" s="30" t="s">
        <v>51</v>
      </c>
      <c r="J15000" s="41">
        <v>45044</v>
      </c>
      <c r="K15000" s="30" t="s">
        <v>22</v>
      </c>
    </row>
    <row r="15001" spans="1:11">
      <c r="A15001" s="33" t="s">
        <v>33781</v>
      </c>
      <c r="B15001" s="33" t="s">
        <v>33782</v>
      </c>
      <c r="C15001" s="33" t="s">
        <v>178</v>
      </c>
      <c r="D15001" s="33" t="s">
        <v>17</v>
      </c>
      <c r="E15001" s="33" t="s">
        <v>18</v>
      </c>
      <c r="F15001" s="33" t="s">
        <v>19</v>
      </c>
      <c r="G15001" s="33" t="s">
        <v>20</v>
      </c>
      <c r="H15001" s="35">
        <v>245</v>
      </c>
      <c r="I15001" s="33" t="s">
        <v>21</v>
      </c>
      <c r="J15001" s="42">
        <v>44935</v>
      </c>
      <c r="K15001" s="33" t="s">
        <v>22</v>
      </c>
    </row>
    <row r="15002" spans="1:11">
      <c r="A15002" s="30" t="s">
        <v>33783</v>
      </c>
      <c r="B15002" s="30" t="s">
        <v>33784</v>
      </c>
      <c r="C15002" s="30" t="s">
        <v>118</v>
      </c>
      <c r="D15002" s="30" t="s">
        <v>17</v>
      </c>
      <c r="E15002" s="30" t="s">
        <v>26</v>
      </c>
      <c r="F15002" s="30" t="s">
        <v>27</v>
      </c>
      <c r="G15002" s="30" t="s">
        <v>112</v>
      </c>
      <c r="H15002" s="32">
        <v>0</v>
      </c>
      <c r="I15002" s="30" t="s">
        <v>21</v>
      </c>
      <c r="J15002" s="41">
        <v>45061</v>
      </c>
      <c r="K15002" s="30" t="s">
        <v>22</v>
      </c>
    </row>
    <row r="15003" spans="1:11">
      <c r="A15003" s="33" t="s">
        <v>33785</v>
      </c>
      <c r="B15003" s="33" t="s">
        <v>33786</v>
      </c>
      <c r="C15003" s="33" t="s">
        <v>3013</v>
      </c>
      <c r="D15003" s="33" t="s">
        <v>17</v>
      </c>
      <c r="E15003" s="33" t="s">
        <v>18</v>
      </c>
      <c r="F15003" s="33" t="s">
        <v>19</v>
      </c>
      <c r="G15003" s="33" t="s">
        <v>20</v>
      </c>
      <c r="H15003" s="35">
        <v>171</v>
      </c>
      <c r="I15003" s="33" t="s">
        <v>21</v>
      </c>
      <c r="J15003" s="42">
        <v>45113</v>
      </c>
      <c r="K15003" s="33" t="s">
        <v>22</v>
      </c>
    </row>
    <row r="15004" spans="1:11">
      <c r="A15004" s="30" t="s">
        <v>33787</v>
      </c>
      <c r="B15004" s="30" t="s">
        <v>33788</v>
      </c>
      <c r="C15004" s="30" t="s">
        <v>33789</v>
      </c>
      <c r="D15004" s="30" t="s">
        <v>17</v>
      </c>
      <c r="E15004" s="30" t="s">
        <v>18</v>
      </c>
      <c r="F15004" s="30" t="s">
        <v>19</v>
      </c>
      <c r="G15004" s="30" t="s">
        <v>158</v>
      </c>
      <c r="H15004" s="32">
        <v>188</v>
      </c>
      <c r="I15004" s="30" t="s">
        <v>21</v>
      </c>
      <c r="J15004" s="41">
        <v>45132</v>
      </c>
      <c r="K15004" s="30" t="s">
        <v>22</v>
      </c>
    </row>
    <row r="15005" spans="1:11">
      <c r="A15005" s="33" t="s">
        <v>33790</v>
      </c>
      <c r="B15005" s="33" t="s">
        <v>33791</v>
      </c>
      <c r="C15005" s="33" t="s">
        <v>26248</v>
      </c>
      <c r="D15005" s="33" t="s">
        <v>17</v>
      </c>
      <c r="E15005" s="33" t="s">
        <v>26</v>
      </c>
      <c r="F15005" s="33" t="s">
        <v>27</v>
      </c>
      <c r="G15005" s="33" t="s">
        <v>140</v>
      </c>
      <c r="H15005" s="35">
        <v>84</v>
      </c>
      <c r="I15005" s="33" t="s">
        <v>51</v>
      </c>
      <c r="J15005" s="42">
        <v>45268</v>
      </c>
      <c r="K15005" s="33" t="s">
        <v>22</v>
      </c>
    </row>
    <row r="15006" spans="1:11">
      <c r="A15006" s="30" t="s">
        <v>33792</v>
      </c>
      <c r="B15006" s="30" t="s">
        <v>33793</v>
      </c>
      <c r="C15006" s="30" t="s">
        <v>11899</v>
      </c>
      <c r="D15006" s="30" t="s">
        <v>17</v>
      </c>
      <c r="E15006" s="30" t="s">
        <v>26</v>
      </c>
      <c r="F15006" s="30" t="s">
        <v>27</v>
      </c>
      <c r="G15006" s="30" t="s">
        <v>7780</v>
      </c>
      <c r="H15006" s="32">
        <v>116</v>
      </c>
      <c r="I15006" s="30" t="s">
        <v>51</v>
      </c>
      <c r="J15006" s="41">
        <v>45261</v>
      </c>
      <c r="K15006" s="30" t="s">
        <v>22</v>
      </c>
    </row>
    <row r="15007" spans="1:11">
      <c r="A15007" s="33" t="s">
        <v>33794</v>
      </c>
      <c r="B15007" s="33" t="s">
        <v>33795</v>
      </c>
      <c r="C15007" s="33" t="s">
        <v>33796</v>
      </c>
      <c r="D15007" s="33" t="s">
        <v>17</v>
      </c>
      <c r="E15007" s="33" t="s">
        <v>67</v>
      </c>
      <c r="F15007" s="33" t="s">
        <v>68</v>
      </c>
      <c r="G15007" s="33" t="s">
        <v>158</v>
      </c>
      <c r="H15007" s="35">
        <v>191</v>
      </c>
      <c r="I15007" s="33" t="s">
        <v>51</v>
      </c>
      <c r="J15007" s="42">
        <v>45035</v>
      </c>
      <c r="K15007" s="33" t="s">
        <v>22</v>
      </c>
    </row>
    <row r="15008" spans="1:11">
      <c r="A15008" s="30" t="s">
        <v>33797</v>
      </c>
      <c r="B15008" s="30" t="s">
        <v>33798</v>
      </c>
      <c r="C15008" s="30" t="s">
        <v>75</v>
      </c>
      <c r="D15008" s="30" t="s">
        <v>17</v>
      </c>
      <c r="E15008" s="30" t="s">
        <v>26</v>
      </c>
      <c r="F15008" s="30" t="s">
        <v>27</v>
      </c>
      <c r="G15008" s="30" t="s">
        <v>20</v>
      </c>
      <c r="H15008" s="32">
        <v>32</v>
      </c>
      <c r="I15008" s="30" t="s">
        <v>21</v>
      </c>
      <c r="J15008" s="41">
        <v>45064</v>
      </c>
      <c r="K15008" s="30" t="s">
        <v>22</v>
      </c>
    </row>
    <row r="15009" spans="1:11">
      <c r="A15009" s="33" t="s">
        <v>33799</v>
      </c>
      <c r="B15009" s="33" t="s">
        <v>33800</v>
      </c>
      <c r="C15009" s="33" t="s">
        <v>33801</v>
      </c>
      <c r="D15009" s="33" t="s">
        <v>17</v>
      </c>
      <c r="E15009" s="33" t="s">
        <v>26</v>
      </c>
      <c r="F15009" s="33" t="s">
        <v>27</v>
      </c>
      <c r="G15009" s="33" t="s">
        <v>140</v>
      </c>
      <c r="H15009" s="35">
        <v>70</v>
      </c>
      <c r="I15009" s="33" t="s">
        <v>51</v>
      </c>
      <c r="J15009" s="42">
        <v>44974</v>
      </c>
      <c r="K15009" s="33" t="s">
        <v>22</v>
      </c>
    </row>
    <row r="15010" spans="1:11">
      <c r="A15010" s="30" t="s">
        <v>33802</v>
      </c>
      <c r="B15010" s="30" t="s">
        <v>33803</v>
      </c>
      <c r="C15010" s="30" t="s">
        <v>6663</v>
      </c>
      <c r="D15010" s="30" t="s">
        <v>17</v>
      </c>
      <c r="E15010" s="30" t="s">
        <v>67</v>
      </c>
      <c r="F15010" s="30" t="s">
        <v>68</v>
      </c>
      <c r="G15010" s="30" t="s">
        <v>20</v>
      </c>
      <c r="H15010" s="32">
        <v>26</v>
      </c>
      <c r="I15010" s="30" t="s">
        <v>21</v>
      </c>
      <c r="J15010" s="41">
        <v>45030</v>
      </c>
      <c r="K15010" s="30" t="s">
        <v>22</v>
      </c>
    </row>
    <row r="15011" spans="1:11">
      <c r="A15011" s="33" t="s">
        <v>33804</v>
      </c>
      <c r="B15011" s="33" t="s">
        <v>33805</v>
      </c>
      <c r="C15011" s="33" t="s">
        <v>1428</v>
      </c>
      <c r="D15011" s="33" t="s">
        <v>17</v>
      </c>
      <c r="E15011" s="33" t="s">
        <v>18</v>
      </c>
      <c r="F15011" s="33" t="s">
        <v>19</v>
      </c>
      <c r="G15011" s="33" t="s">
        <v>50</v>
      </c>
      <c r="H15011" s="35">
        <v>446</v>
      </c>
      <c r="I15011" s="33" t="s">
        <v>51</v>
      </c>
      <c r="J15011" s="42">
        <v>44971</v>
      </c>
      <c r="K15011" s="33" t="s">
        <v>22</v>
      </c>
    </row>
    <row r="15012" spans="1:11">
      <c r="A15012" s="30" t="s">
        <v>33806</v>
      </c>
      <c r="B15012" s="30" t="s">
        <v>33807</v>
      </c>
      <c r="C15012" s="30" t="s">
        <v>16063</v>
      </c>
      <c r="D15012" s="30" t="s">
        <v>17</v>
      </c>
      <c r="E15012" s="30" t="s">
        <v>26</v>
      </c>
      <c r="F15012" s="30" t="s">
        <v>27</v>
      </c>
      <c r="G15012" s="30" t="s">
        <v>140</v>
      </c>
      <c r="H15012" s="32">
        <v>420</v>
      </c>
      <c r="I15012" s="30" t="s">
        <v>51</v>
      </c>
      <c r="J15012" s="41">
        <v>45125</v>
      </c>
      <c r="K15012" s="30" t="s">
        <v>22</v>
      </c>
    </row>
    <row r="15013" spans="1:11">
      <c r="A15013" s="33" t="s">
        <v>33808</v>
      </c>
      <c r="B15013" s="33" t="s">
        <v>33809</v>
      </c>
      <c r="C15013" s="33" t="s">
        <v>96</v>
      </c>
      <c r="D15013" s="33" t="s">
        <v>17</v>
      </c>
      <c r="E15013" s="33" t="s">
        <v>26</v>
      </c>
      <c r="F15013" s="33" t="s">
        <v>27</v>
      </c>
      <c r="G15013" s="33" t="s">
        <v>20</v>
      </c>
      <c r="H15013" s="35">
        <v>33</v>
      </c>
      <c r="I15013" s="33" t="s">
        <v>21</v>
      </c>
      <c r="J15013" s="42">
        <v>45257</v>
      </c>
      <c r="K15013" s="33" t="s">
        <v>22</v>
      </c>
    </row>
    <row r="15014" spans="1:11">
      <c r="A15014" s="30" t="s">
        <v>33810</v>
      </c>
      <c r="B15014" s="30" t="s">
        <v>33811</v>
      </c>
      <c r="C15014" s="30" t="s">
        <v>1165</v>
      </c>
      <c r="D15014" s="30" t="s">
        <v>17</v>
      </c>
      <c r="E15014" s="30" t="s">
        <v>31</v>
      </c>
      <c r="F15014" s="30" t="s">
        <v>32</v>
      </c>
      <c r="G15014" s="30" t="s">
        <v>106</v>
      </c>
      <c r="H15014" s="32">
        <v>33</v>
      </c>
      <c r="I15014" s="30" t="s">
        <v>21</v>
      </c>
      <c r="J15014" s="41">
        <v>45097</v>
      </c>
      <c r="K15014" s="30" t="s">
        <v>22</v>
      </c>
    </row>
    <row r="15015" spans="1:11">
      <c r="A15015" s="33" t="s">
        <v>33812</v>
      </c>
      <c r="B15015" s="33" t="s">
        <v>33813</v>
      </c>
      <c r="C15015" s="33" t="s">
        <v>374</v>
      </c>
      <c r="D15015" s="33" t="s">
        <v>17</v>
      </c>
      <c r="E15015" s="33" t="s">
        <v>26</v>
      </c>
      <c r="F15015" s="33" t="s">
        <v>27</v>
      </c>
      <c r="G15015" s="33" t="s">
        <v>106</v>
      </c>
      <c r="H15015" s="35">
        <v>63</v>
      </c>
      <c r="I15015" s="33" t="s">
        <v>21</v>
      </c>
      <c r="J15015" s="42">
        <v>44991</v>
      </c>
      <c r="K15015" s="33" t="s">
        <v>22</v>
      </c>
    </row>
    <row r="15016" spans="1:11">
      <c r="A15016" s="30" t="s">
        <v>33814</v>
      </c>
      <c r="B15016" s="30" t="s">
        <v>33815</v>
      </c>
      <c r="C15016" s="30" t="s">
        <v>93</v>
      </c>
      <c r="D15016" s="30" t="s">
        <v>17</v>
      </c>
      <c r="E15016" s="30" t="s">
        <v>26</v>
      </c>
      <c r="F15016" s="30" t="s">
        <v>27</v>
      </c>
      <c r="G15016" s="30" t="s">
        <v>158</v>
      </c>
      <c r="H15016" s="32">
        <v>256</v>
      </c>
      <c r="I15016" s="30" t="s">
        <v>21</v>
      </c>
      <c r="J15016" s="41">
        <v>44937</v>
      </c>
      <c r="K15016" s="30" t="s">
        <v>22</v>
      </c>
    </row>
    <row r="15017" spans="1:11">
      <c r="A15017" s="33" t="s">
        <v>33816</v>
      </c>
      <c r="B15017" s="33" t="s">
        <v>33817</v>
      </c>
      <c r="C15017" s="33" t="s">
        <v>33818</v>
      </c>
      <c r="D15017" s="33" t="s">
        <v>17</v>
      </c>
      <c r="E15017" s="33" t="s">
        <v>26</v>
      </c>
      <c r="F15017" s="33" t="s">
        <v>27</v>
      </c>
      <c r="G15017" s="33" t="s">
        <v>20</v>
      </c>
      <c r="H15017" s="35">
        <v>32</v>
      </c>
      <c r="I15017" s="33" t="s">
        <v>21</v>
      </c>
      <c r="J15017" s="42">
        <v>44962</v>
      </c>
      <c r="K15017" s="33" t="s">
        <v>22</v>
      </c>
    </row>
    <row r="15018" spans="1:11">
      <c r="A15018" s="30" t="s">
        <v>33819</v>
      </c>
      <c r="B15018" s="30" t="s">
        <v>33820</v>
      </c>
      <c r="C15018" s="30" t="s">
        <v>118</v>
      </c>
      <c r="D15018" s="30" t="s">
        <v>17</v>
      </c>
      <c r="E15018" s="30" t="s">
        <v>18</v>
      </c>
      <c r="F15018" s="30" t="s">
        <v>19</v>
      </c>
      <c r="G15018" s="30" t="s">
        <v>20</v>
      </c>
      <c r="H15018" s="32">
        <v>93</v>
      </c>
      <c r="I15018" s="30" t="s">
        <v>21</v>
      </c>
      <c r="J15018" s="41">
        <v>45154</v>
      </c>
      <c r="K15018" s="30" t="s">
        <v>22</v>
      </c>
    </row>
    <row r="15019" spans="1:11">
      <c r="A15019" s="33" t="s">
        <v>33821</v>
      </c>
      <c r="B15019" s="33" t="s">
        <v>33822</v>
      </c>
      <c r="C15019" s="33" t="s">
        <v>187</v>
      </c>
      <c r="D15019" s="33" t="s">
        <v>17</v>
      </c>
      <c r="E15019" s="33" t="s">
        <v>26</v>
      </c>
      <c r="F15019" s="33" t="s">
        <v>27</v>
      </c>
      <c r="G15019" s="33" t="s">
        <v>20</v>
      </c>
      <c r="H15019" s="35">
        <v>40</v>
      </c>
      <c r="I15019" s="33" t="s">
        <v>21</v>
      </c>
      <c r="J15019" s="42">
        <v>45190</v>
      </c>
      <c r="K15019" s="33" t="s">
        <v>22</v>
      </c>
    </row>
    <row r="15020" spans="1:11">
      <c r="A15020" s="30" t="s">
        <v>33823</v>
      </c>
      <c r="B15020" s="30" t="s">
        <v>33824</v>
      </c>
      <c r="C15020" s="30" t="s">
        <v>19009</v>
      </c>
      <c r="D15020" s="30" t="s">
        <v>17</v>
      </c>
      <c r="E15020" s="30" t="s">
        <v>67</v>
      </c>
      <c r="F15020" s="30" t="s">
        <v>68</v>
      </c>
      <c r="G15020" s="30" t="s">
        <v>50</v>
      </c>
      <c r="H15020" s="32">
        <v>465</v>
      </c>
      <c r="I15020" s="30" t="s">
        <v>51</v>
      </c>
      <c r="J15020" s="41">
        <v>45012</v>
      </c>
      <c r="K15020" s="30" t="s">
        <v>22</v>
      </c>
    </row>
    <row r="15021" spans="1:11">
      <c r="A15021" s="33" t="s">
        <v>33825</v>
      </c>
      <c r="B15021" s="33" t="s">
        <v>33826</v>
      </c>
      <c r="C15021" s="33" t="s">
        <v>3296</v>
      </c>
      <c r="D15021" s="33" t="s">
        <v>17</v>
      </c>
      <c r="E15021" s="33" t="s">
        <v>26</v>
      </c>
      <c r="F15021" s="33" t="s">
        <v>27</v>
      </c>
      <c r="G15021" s="33" t="s">
        <v>20</v>
      </c>
      <c r="H15021" s="35">
        <v>33</v>
      </c>
      <c r="I15021" s="33" t="s">
        <v>21</v>
      </c>
      <c r="J15021" s="42">
        <v>45048</v>
      </c>
      <c r="K15021" s="33" t="s">
        <v>22</v>
      </c>
    </row>
    <row r="15022" spans="1:11">
      <c r="A15022" s="30" t="s">
        <v>33827</v>
      </c>
      <c r="B15022" s="30" t="s">
        <v>33828</v>
      </c>
      <c r="C15022" s="30" t="s">
        <v>310</v>
      </c>
      <c r="D15022" s="30" t="s">
        <v>17</v>
      </c>
      <c r="E15022" s="30" t="s">
        <v>18</v>
      </c>
      <c r="F15022" s="30" t="s">
        <v>19</v>
      </c>
      <c r="G15022" s="30" t="s">
        <v>20</v>
      </c>
      <c r="H15022" s="32">
        <v>242</v>
      </c>
      <c r="I15022" s="30" t="s">
        <v>21</v>
      </c>
      <c r="J15022" s="41">
        <v>45184</v>
      </c>
      <c r="K15022" s="30" t="s">
        <v>22</v>
      </c>
    </row>
    <row r="15023" spans="1:11">
      <c r="A15023" s="33" t="s">
        <v>33829</v>
      </c>
      <c r="B15023" s="33" t="s">
        <v>33830</v>
      </c>
      <c r="C15023" s="33" t="s">
        <v>136</v>
      </c>
      <c r="D15023" s="33" t="s">
        <v>17</v>
      </c>
      <c r="E15023" s="33" t="s">
        <v>26</v>
      </c>
      <c r="F15023" s="33" t="s">
        <v>27</v>
      </c>
      <c r="G15023" s="33" t="s">
        <v>20</v>
      </c>
      <c r="H15023" s="35">
        <v>57</v>
      </c>
      <c r="I15023" s="33" t="s">
        <v>21</v>
      </c>
      <c r="J15023" s="42">
        <v>45167</v>
      </c>
      <c r="K15023" s="33" t="s">
        <v>22</v>
      </c>
    </row>
    <row r="15024" spans="1:11">
      <c r="A15024" s="30" t="s">
        <v>33831</v>
      </c>
      <c r="B15024" s="30" t="s">
        <v>33832</v>
      </c>
      <c r="C15024" s="30" t="s">
        <v>1767</v>
      </c>
      <c r="D15024" s="30" t="s">
        <v>17</v>
      </c>
      <c r="E15024" s="30" t="s">
        <v>31</v>
      </c>
      <c r="F15024" s="30" t="s">
        <v>32</v>
      </c>
      <c r="G15024" s="30" t="s">
        <v>20</v>
      </c>
      <c r="H15024" s="32">
        <v>10</v>
      </c>
      <c r="I15024" s="30" t="s">
        <v>21</v>
      </c>
      <c r="J15024" s="41">
        <v>45028</v>
      </c>
      <c r="K15024" s="30" t="s">
        <v>22</v>
      </c>
    </row>
    <row r="15025" spans="1:11">
      <c r="A15025" s="33" t="s">
        <v>33833</v>
      </c>
      <c r="B15025" s="33" t="s">
        <v>33834</v>
      </c>
      <c r="C15025" s="33" t="s">
        <v>12172</v>
      </c>
      <c r="D15025" s="33" t="s">
        <v>17</v>
      </c>
      <c r="E15025" s="33" t="s">
        <v>31</v>
      </c>
      <c r="F15025" s="33" t="s">
        <v>32</v>
      </c>
      <c r="G15025" s="33" t="s">
        <v>112</v>
      </c>
      <c r="H15025" s="35">
        <v>0</v>
      </c>
      <c r="I15025" s="33" t="s">
        <v>21</v>
      </c>
      <c r="J15025" s="42">
        <v>44986</v>
      </c>
      <c r="K15025" s="33" t="s">
        <v>22</v>
      </c>
    </row>
    <row r="15026" spans="1:11">
      <c r="A15026" s="30" t="s">
        <v>33835</v>
      </c>
      <c r="B15026" s="30" t="s">
        <v>33836</v>
      </c>
      <c r="C15026" s="30" t="s">
        <v>371</v>
      </c>
      <c r="D15026" s="30" t="s">
        <v>17</v>
      </c>
      <c r="E15026" s="30" t="s">
        <v>31</v>
      </c>
      <c r="F15026" s="30" t="s">
        <v>32</v>
      </c>
      <c r="G15026" s="30" t="s">
        <v>106</v>
      </c>
      <c r="H15026" s="32">
        <v>84</v>
      </c>
      <c r="I15026" s="30" t="s">
        <v>21</v>
      </c>
      <c r="J15026" s="41">
        <v>45233</v>
      </c>
      <c r="K15026" s="30" t="s">
        <v>22</v>
      </c>
    </row>
    <row r="15027" spans="1:11">
      <c r="A15027" s="33" t="s">
        <v>33837</v>
      </c>
      <c r="B15027" s="33" t="s">
        <v>33838</v>
      </c>
      <c r="C15027" s="33" t="s">
        <v>87</v>
      </c>
      <c r="D15027" s="33" t="s">
        <v>17</v>
      </c>
      <c r="E15027" s="33" t="s">
        <v>18</v>
      </c>
      <c r="F15027" s="33" t="s">
        <v>19</v>
      </c>
      <c r="G15027" s="33" t="s">
        <v>50</v>
      </c>
      <c r="H15027" s="35">
        <v>612</v>
      </c>
      <c r="I15027" s="33" t="s">
        <v>51</v>
      </c>
      <c r="J15027" s="42">
        <v>45058</v>
      </c>
      <c r="K15027" s="33" t="s">
        <v>22</v>
      </c>
    </row>
    <row r="15028" spans="1:11">
      <c r="A15028" s="30" t="s">
        <v>33839</v>
      </c>
      <c r="B15028" s="30" t="s">
        <v>33840</v>
      </c>
      <c r="C15028" s="30" t="s">
        <v>4260</v>
      </c>
      <c r="D15028" s="30" t="s">
        <v>17</v>
      </c>
      <c r="E15028" s="30" t="s">
        <v>18</v>
      </c>
      <c r="F15028" s="30" t="s">
        <v>19</v>
      </c>
      <c r="G15028" s="30" t="s">
        <v>20</v>
      </c>
      <c r="H15028" s="32">
        <v>162</v>
      </c>
      <c r="I15028" s="30" t="s">
        <v>21</v>
      </c>
      <c r="J15028" s="41">
        <v>45006</v>
      </c>
      <c r="K15028" s="30" t="s">
        <v>22</v>
      </c>
    </row>
    <row r="15029" spans="1:11">
      <c r="A15029" s="33" t="s">
        <v>33841</v>
      </c>
      <c r="B15029" s="33" t="s">
        <v>33842</v>
      </c>
      <c r="C15029" s="33" t="s">
        <v>969</v>
      </c>
      <c r="D15029" s="33" t="s">
        <v>17</v>
      </c>
      <c r="E15029" s="33" t="s">
        <v>26</v>
      </c>
      <c r="F15029" s="33" t="s">
        <v>27</v>
      </c>
      <c r="G15029" s="33" t="s">
        <v>20</v>
      </c>
      <c r="H15029" s="35">
        <v>160</v>
      </c>
      <c r="I15029" s="33" t="s">
        <v>21</v>
      </c>
      <c r="J15029" s="42">
        <v>45203</v>
      </c>
      <c r="K15029" s="33" t="s">
        <v>22</v>
      </c>
    </row>
    <row r="15030" spans="1:11">
      <c r="A15030" s="30" t="s">
        <v>33843</v>
      </c>
      <c r="B15030" s="30" t="s">
        <v>33844</v>
      </c>
      <c r="C15030" s="30" t="s">
        <v>488</v>
      </c>
      <c r="D15030" s="30" t="s">
        <v>17</v>
      </c>
      <c r="E15030" s="30" t="s">
        <v>67</v>
      </c>
      <c r="F15030" s="30" t="s">
        <v>68</v>
      </c>
      <c r="G15030" s="30" t="s">
        <v>140</v>
      </c>
      <c r="H15030" s="32">
        <v>240</v>
      </c>
      <c r="I15030" s="30" t="s">
        <v>51</v>
      </c>
      <c r="J15030" s="41">
        <v>45230</v>
      </c>
      <c r="K15030" s="30" t="s">
        <v>22</v>
      </c>
    </row>
    <row r="15031" spans="1:11">
      <c r="A15031" s="33" t="s">
        <v>33845</v>
      </c>
      <c r="B15031" s="33" t="s">
        <v>33846</v>
      </c>
      <c r="C15031" s="33" t="s">
        <v>16448</v>
      </c>
      <c r="D15031" s="33" t="s">
        <v>17</v>
      </c>
      <c r="E15031" s="33" t="s">
        <v>26</v>
      </c>
      <c r="F15031" s="33" t="s">
        <v>27</v>
      </c>
      <c r="G15031" s="33" t="s">
        <v>140</v>
      </c>
      <c r="H15031" s="35">
        <v>16</v>
      </c>
      <c r="I15031" s="33" t="s">
        <v>51</v>
      </c>
      <c r="J15031" s="42">
        <v>45102</v>
      </c>
      <c r="K15031" s="33" t="s">
        <v>22</v>
      </c>
    </row>
    <row r="15032" spans="1:11">
      <c r="A15032" s="30" t="s">
        <v>33847</v>
      </c>
      <c r="B15032" s="30" t="s">
        <v>33848</v>
      </c>
      <c r="C15032" s="30" t="s">
        <v>33849</v>
      </c>
      <c r="D15032" s="30" t="s">
        <v>17</v>
      </c>
      <c r="E15032" s="30" t="s">
        <v>26</v>
      </c>
      <c r="F15032" s="30" t="s">
        <v>27</v>
      </c>
      <c r="G15032" s="30" t="s">
        <v>20</v>
      </c>
      <c r="H15032" s="32">
        <v>13</v>
      </c>
      <c r="I15032" s="30" t="s">
        <v>21</v>
      </c>
      <c r="J15032" s="41">
        <v>45158</v>
      </c>
      <c r="K15032" s="30" t="s">
        <v>22</v>
      </c>
    </row>
    <row r="15033" spans="1:11">
      <c r="A15033" s="33" t="s">
        <v>33850</v>
      </c>
      <c r="B15033" s="33" t="s">
        <v>33851</v>
      </c>
      <c r="C15033" s="33" t="s">
        <v>231</v>
      </c>
      <c r="D15033" s="33" t="s">
        <v>17</v>
      </c>
      <c r="E15033" s="33" t="s">
        <v>26</v>
      </c>
      <c r="F15033" s="33" t="s">
        <v>27</v>
      </c>
      <c r="G15033" s="33" t="s">
        <v>20</v>
      </c>
      <c r="H15033" s="35">
        <v>68</v>
      </c>
      <c r="I15033" s="33" t="s">
        <v>21</v>
      </c>
      <c r="J15033" s="42">
        <v>45132</v>
      </c>
      <c r="K15033" s="33" t="s">
        <v>22</v>
      </c>
    </row>
    <row r="15034" spans="1:11">
      <c r="A15034" s="30" t="s">
        <v>33852</v>
      </c>
      <c r="B15034" s="30" t="s">
        <v>33853</v>
      </c>
      <c r="C15034" s="30" t="s">
        <v>20050</v>
      </c>
      <c r="D15034" s="30" t="s">
        <v>17</v>
      </c>
      <c r="E15034" s="30" t="s">
        <v>31</v>
      </c>
      <c r="F15034" s="30" t="s">
        <v>32</v>
      </c>
      <c r="G15034" s="30" t="s">
        <v>20</v>
      </c>
      <c r="H15034" s="32">
        <v>60</v>
      </c>
      <c r="I15034" s="30" t="s">
        <v>21</v>
      </c>
      <c r="J15034" s="41">
        <v>45274</v>
      </c>
      <c r="K15034" s="30" t="s">
        <v>22</v>
      </c>
    </row>
    <row r="15035" spans="1:11">
      <c r="A15035" s="33" t="s">
        <v>33854</v>
      </c>
      <c r="B15035" s="33" t="s">
        <v>33855</v>
      </c>
      <c r="C15035" s="33" t="s">
        <v>33856</v>
      </c>
      <c r="D15035" s="33" t="s">
        <v>17</v>
      </c>
      <c r="E15035" s="33" t="s">
        <v>26</v>
      </c>
      <c r="F15035" s="33" t="s">
        <v>27</v>
      </c>
      <c r="G15035" s="33" t="s">
        <v>106</v>
      </c>
      <c r="H15035" s="35">
        <v>83</v>
      </c>
      <c r="I15035" s="33" t="s">
        <v>21</v>
      </c>
      <c r="J15035" s="42">
        <v>45084</v>
      </c>
      <c r="K15035" s="33" t="s">
        <v>22</v>
      </c>
    </row>
    <row r="15036" spans="1:11">
      <c r="A15036" s="30" t="s">
        <v>33857</v>
      </c>
      <c r="B15036" s="30" t="s">
        <v>33858</v>
      </c>
      <c r="C15036" s="30" t="s">
        <v>57</v>
      </c>
      <c r="D15036" s="30" t="s">
        <v>17</v>
      </c>
      <c r="E15036" s="30" t="s">
        <v>18</v>
      </c>
      <c r="F15036" s="30" t="s">
        <v>19</v>
      </c>
      <c r="G15036" s="30" t="s">
        <v>50</v>
      </c>
      <c r="H15036" s="32">
        <v>134</v>
      </c>
      <c r="I15036" s="30" t="s">
        <v>51</v>
      </c>
      <c r="J15036" s="41">
        <v>45261</v>
      </c>
      <c r="K15036" s="30" t="s">
        <v>22</v>
      </c>
    </row>
    <row r="15037" spans="1:11">
      <c r="A15037" s="33" t="s">
        <v>33859</v>
      </c>
      <c r="B15037" s="33" t="s">
        <v>33860</v>
      </c>
      <c r="C15037" s="33" t="s">
        <v>231</v>
      </c>
      <c r="D15037" s="33" t="s">
        <v>17</v>
      </c>
      <c r="E15037" s="33" t="s">
        <v>26</v>
      </c>
      <c r="F15037" s="33" t="s">
        <v>27</v>
      </c>
      <c r="G15037" s="33" t="s">
        <v>20</v>
      </c>
      <c r="H15037" s="35">
        <v>24</v>
      </c>
      <c r="I15037" s="33" t="s">
        <v>21</v>
      </c>
      <c r="J15037" s="42">
        <v>44939</v>
      </c>
      <c r="K15037" s="33" t="s">
        <v>22</v>
      </c>
    </row>
    <row r="15038" spans="1:11">
      <c r="A15038" s="30" t="s">
        <v>33861</v>
      </c>
      <c r="B15038" s="30" t="s">
        <v>33862</v>
      </c>
      <c r="C15038" s="30" t="s">
        <v>33863</v>
      </c>
      <c r="D15038" s="30" t="s">
        <v>17</v>
      </c>
      <c r="E15038" s="30" t="s">
        <v>26</v>
      </c>
      <c r="F15038" s="30" t="s">
        <v>27</v>
      </c>
      <c r="G15038" s="30" t="s">
        <v>140</v>
      </c>
      <c r="H15038" s="32">
        <v>45</v>
      </c>
      <c r="I15038" s="30" t="s">
        <v>51</v>
      </c>
      <c r="J15038" s="41">
        <v>45034</v>
      </c>
      <c r="K15038" s="30" t="s">
        <v>22</v>
      </c>
    </row>
    <row r="15039" spans="1:11">
      <c r="A15039" s="33" t="s">
        <v>33864</v>
      </c>
      <c r="B15039" s="33" t="s">
        <v>33865</v>
      </c>
      <c r="C15039" s="33" t="s">
        <v>136</v>
      </c>
      <c r="D15039" s="33" t="s">
        <v>17</v>
      </c>
      <c r="E15039" s="33" t="s">
        <v>31</v>
      </c>
      <c r="F15039" s="33" t="s">
        <v>32</v>
      </c>
      <c r="G15039" s="33" t="s">
        <v>20</v>
      </c>
      <c r="H15039" s="35">
        <v>405</v>
      </c>
      <c r="I15039" s="33" t="s">
        <v>21</v>
      </c>
      <c r="J15039" s="42">
        <v>45204</v>
      </c>
      <c r="K15039" s="33" t="s">
        <v>22</v>
      </c>
    </row>
    <row r="15040" spans="1:11">
      <c r="A15040" s="30" t="s">
        <v>33866</v>
      </c>
      <c r="B15040" s="30" t="s">
        <v>33867</v>
      </c>
      <c r="C15040" s="30" t="s">
        <v>33868</v>
      </c>
      <c r="D15040" s="30" t="s">
        <v>17</v>
      </c>
      <c r="E15040" s="30" t="s">
        <v>31</v>
      </c>
      <c r="F15040" s="30" t="s">
        <v>32</v>
      </c>
      <c r="G15040" s="30" t="s">
        <v>20</v>
      </c>
      <c r="H15040" s="32">
        <v>30</v>
      </c>
      <c r="I15040" s="30" t="s">
        <v>21</v>
      </c>
      <c r="J15040" s="41">
        <v>45049</v>
      </c>
      <c r="K15040" s="30" t="s">
        <v>22</v>
      </c>
    </row>
    <row r="15041" spans="1:11">
      <c r="A15041" s="33" t="s">
        <v>33869</v>
      </c>
      <c r="B15041" s="33" t="s">
        <v>33870</v>
      </c>
      <c r="C15041" s="33" t="s">
        <v>18600</v>
      </c>
      <c r="D15041" s="33" t="s">
        <v>17</v>
      </c>
      <c r="E15041" s="33" t="s">
        <v>31</v>
      </c>
      <c r="F15041" s="33" t="s">
        <v>32</v>
      </c>
      <c r="G15041" s="33" t="s">
        <v>112</v>
      </c>
      <c r="H15041" s="35">
        <v>0</v>
      </c>
      <c r="I15041" s="33" t="s">
        <v>21</v>
      </c>
      <c r="J15041" s="42">
        <v>44964</v>
      </c>
      <c r="K15041" s="33" t="s">
        <v>22</v>
      </c>
    </row>
    <row r="15042" spans="1:11">
      <c r="A15042" s="30" t="s">
        <v>33871</v>
      </c>
      <c r="B15042" s="30" t="s">
        <v>33872</v>
      </c>
      <c r="C15042" s="30" t="s">
        <v>178</v>
      </c>
      <c r="D15042" s="30" t="s">
        <v>17</v>
      </c>
      <c r="E15042" s="30" t="s">
        <v>18</v>
      </c>
      <c r="F15042" s="30" t="s">
        <v>19</v>
      </c>
      <c r="G15042" s="30" t="s">
        <v>158</v>
      </c>
      <c r="H15042" s="32">
        <v>131</v>
      </c>
      <c r="I15042" s="30" t="s">
        <v>21</v>
      </c>
      <c r="J15042" s="41">
        <v>45225</v>
      </c>
      <c r="K15042" s="30" t="s">
        <v>22</v>
      </c>
    </row>
    <row r="15043" spans="1:11">
      <c r="A15043" s="33" t="s">
        <v>33873</v>
      </c>
      <c r="B15043" s="33" t="s">
        <v>33874</v>
      </c>
      <c r="C15043" s="33" t="s">
        <v>26248</v>
      </c>
      <c r="D15043" s="33" t="s">
        <v>17</v>
      </c>
      <c r="E15043" s="33" t="s">
        <v>18</v>
      </c>
      <c r="F15043" s="33" t="s">
        <v>19</v>
      </c>
      <c r="G15043" s="33" t="s">
        <v>20</v>
      </c>
      <c r="H15043" s="35">
        <v>1218</v>
      </c>
      <c r="I15043" s="33" t="s">
        <v>21</v>
      </c>
      <c r="J15043" s="42">
        <v>44965</v>
      </c>
      <c r="K15043" s="33" t="s">
        <v>22</v>
      </c>
    </row>
    <row r="15044" spans="1:11">
      <c r="A15044" s="30" t="s">
        <v>33875</v>
      </c>
      <c r="B15044" s="30" t="s">
        <v>33876</v>
      </c>
      <c r="C15044" s="30" t="s">
        <v>2772</v>
      </c>
      <c r="D15044" s="30" t="s">
        <v>17</v>
      </c>
      <c r="E15044" s="30" t="s">
        <v>26</v>
      </c>
      <c r="F15044" s="30" t="s">
        <v>27</v>
      </c>
      <c r="G15044" s="30" t="s">
        <v>158</v>
      </c>
      <c r="H15044" s="32">
        <v>300</v>
      </c>
      <c r="I15044" s="30" t="s">
        <v>51</v>
      </c>
      <c r="J15044" s="41">
        <v>45075</v>
      </c>
      <c r="K15044" s="30" t="s">
        <v>22</v>
      </c>
    </row>
    <row r="15045" spans="1:11">
      <c r="A15045" s="33" t="s">
        <v>33877</v>
      </c>
      <c r="B15045" s="33" t="s">
        <v>33878</v>
      </c>
      <c r="C15045" s="33" t="s">
        <v>33879</v>
      </c>
      <c r="D15045" s="33" t="s">
        <v>17</v>
      </c>
      <c r="E15045" s="33" t="s">
        <v>31</v>
      </c>
      <c r="F15045" s="33" t="s">
        <v>32</v>
      </c>
      <c r="G15045" s="33" t="s">
        <v>158</v>
      </c>
      <c r="H15045" s="35">
        <v>90</v>
      </c>
      <c r="I15045" s="33" t="s">
        <v>51</v>
      </c>
      <c r="J15045" s="42">
        <v>44966</v>
      </c>
      <c r="K15045" s="33" t="s">
        <v>22</v>
      </c>
    </row>
    <row r="15046" spans="1:11">
      <c r="A15046" s="30" t="s">
        <v>33880</v>
      </c>
      <c r="B15046" s="30" t="s">
        <v>33881</v>
      </c>
      <c r="C15046" s="30" t="s">
        <v>22871</v>
      </c>
      <c r="D15046" s="30" t="s">
        <v>17</v>
      </c>
      <c r="E15046" s="30" t="s">
        <v>26</v>
      </c>
      <c r="F15046" s="30" t="s">
        <v>27</v>
      </c>
      <c r="G15046" s="30" t="s">
        <v>140</v>
      </c>
      <c r="H15046" s="32">
        <v>45</v>
      </c>
      <c r="I15046" s="30" t="s">
        <v>51</v>
      </c>
      <c r="J15046" s="41">
        <v>45282</v>
      </c>
      <c r="K15046" s="30" t="s">
        <v>22</v>
      </c>
    </row>
    <row r="15047" spans="1:11">
      <c r="A15047" s="33" t="s">
        <v>33882</v>
      </c>
      <c r="B15047" s="33" t="s">
        <v>33883</v>
      </c>
      <c r="C15047" s="33" t="s">
        <v>8234</v>
      </c>
      <c r="D15047" s="33" t="s">
        <v>17</v>
      </c>
      <c r="E15047" s="33" t="s">
        <v>31</v>
      </c>
      <c r="F15047" s="33" t="s">
        <v>32</v>
      </c>
      <c r="G15047" s="33" t="s">
        <v>20</v>
      </c>
      <c r="H15047" s="35">
        <v>175</v>
      </c>
      <c r="I15047" s="33" t="s">
        <v>21</v>
      </c>
      <c r="J15047" s="42">
        <v>45049</v>
      </c>
      <c r="K15047" s="33" t="s">
        <v>22</v>
      </c>
    </row>
    <row r="15048" spans="1:11">
      <c r="A15048" s="30" t="s">
        <v>33884</v>
      </c>
      <c r="B15048" s="30" t="s">
        <v>33885</v>
      </c>
      <c r="C15048" s="30" t="s">
        <v>33886</v>
      </c>
      <c r="D15048" s="30" t="s">
        <v>17</v>
      </c>
      <c r="E15048" s="30" t="s">
        <v>26</v>
      </c>
      <c r="F15048" s="30" t="s">
        <v>27</v>
      </c>
      <c r="G15048" s="30" t="s">
        <v>20</v>
      </c>
      <c r="H15048" s="32">
        <v>48</v>
      </c>
      <c r="I15048" s="30" t="s">
        <v>21</v>
      </c>
      <c r="J15048" s="41">
        <v>45106</v>
      </c>
      <c r="K15048" s="30" t="s">
        <v>22</v>
      </c>
    </row>
    <row r="15049" spans="1:11">
      <c r="A15049" s="33" t="s">
        <v>33887</v>
      </c>
      <c r="B15049" s="33" t="s">
        <v>33888</v>
      </c>
      <c r="C15049" s="33" t="s">
        <v>2778</v>
      </c>
      <c r="D15049" s="33" t="s">
        <v>17</v>
      </c>
      <c r="E15049" s="33" t="s">
        <v>67</v>
      </c>
      <c r="F15049" s="33" t="s">
        <v>68</v>
      </c>
      <c r="G15049" s="33" t="s">
        <v>158</v>
      </c>
      <c r="H15049" s="35">
        <v>40</v>
      </c>
      <c r="I15049" s="33" t="s">
        <v>51</v>
      </c>
      <c r="J15049" s="42">
        <v>45007</v>
      </c>
      <c r="K15049" s="33" t="s">
        <v>22</v>
      </c>
    </row>
    <row r="15050" spans="1:11">
      <c r="A15050" s="30" t="s">
        <v>33889</v>
      </c>
      <c r="B15050" s="30" t="s">
        <v>33890</v>
      </c>
      <c r="C15050" s="30" t="s">
        <v>75</v>
      </c>
      <c r="D15050" s="30" t="s">
        <v>17</v>
      </c>
      <c r="E15050" s="30" t="s">
        <v>26</v>
      </c>
      <c r="F15050" s="30" t="s">
        <v>27</v>
      </c>
      <c r="G15050" s="30" t="s">
        <v>20</v>
      </c>
      <c r="H15050" s="32">
        <v>25</v>
      </c>
      <c r="I15050" s="30" t="s">
        <v>21</v>
      </c>
      <c r="J15050" s="41">
        <v>45026</v>
      </c>
      <c r="K15050" s="30" t="s">
        <v>22</v>
      </c>
    </row>
    <row r="15051" spans="1:11">
      <c r="A15051" s="33" t="s">
        <v>33891</v>
      </c>
      <c r="B15051" s="33" t="s">
        <v>33892</v>
      </c>
      <c r="C15051" s="33" t="s">
        <v>2978</v>
      </c>
      <c r="D15051" s="33" t="s">
        <v>17</v>
      </c>
      <c r="E15051" s="33" t="s">
        <v>26</v>
      </c>
      <c r="F15051" s="33" t="s">
        <v>27</v>
      </c>
      <c r="G15051" s="33" t="s">
        <v>7780</v>
      </c>
      <c r="H15051" s="35">
        <v>172</v>
      </c>
      <c r="I15051" s="33" t="s">
        <v>51</v>
      </c>
      <c r="J15051" s="42">
        <v>45170</v>
      </c>
      <c r="K15051" s="33" t="s">
        <v>22</v>
      </c>
    </row>
    <row r="15052" spans="1:11">
      <c r="A15052" s="30" t="s">
        <v>33893</v>
      </c>
      <c r="B15052" s="30" t="s">
        <v>33894</v>
      </c>
      <c r="C15052" s="30" t="s">
        <v>222</v>
      </c>
      <c r="D15052" s="30" t="s">
        <v>17</v>
      </c>
      <c r="E15052" s="30" t="s">
        <v>67</v>
      </c>
      <c r="F15052" s="30" t="s">
        <v>68</v>
      </c>
      <c r="G15052" s="30" t="s">
        <v>140</v>
      </c>
      <c r="H15052" s="32">
        <v>540</v>
      </c>
      <c r="I15052" s="30" t="s">
        <v>51</v>
      </c>
      <c r="J15052" s="41">
        <v>45156</v>
      </c>
      <c r="K15052" s="30" t="s">
        <v>22</v>
      </c>
    </row>
    <row r="15053" spans="1:11">
      <c r="A15053" s="33" t="s">
        <v>33895</v>
      </c>
      <c r="B15053" s="33" t="s">
        <v>33896</v>
      </c>
      <c r="C15053" s="33" t="s">
        <v>231</v>
      </c>
      <c r="D15053" s="33" t="s">
        <v>17</v>
      </c>
      <c r="E15053" s="33" t="s">
        <v>26</v>
      </c>
      <c r="F15053" s="33" t="s">
        <v>27</v>
      </c>
      <c r="G15053" s="33" t="s">
        <v>20</v>
      </c>
      <c r="H15053" s="35">
        <v>15</v>
      </c>
      <c r="I15053" s="33" t="s">
        <v>21</v>
      </c>
      <c r="J15053" s="42">
        <v>45148</v>
      </c>
      <c r="K15053" s="33" t="s">
        <v>22</v>
      </c>
    </row>
    <row r="15054" spans="1:11">
      <c r="A15054" s="30" t="s">
        <v>33897</v>
      </c>
      <c r="B15054" s="30" t="s">
        <v>33898</v>
      </c>
      <c r="C15054" s="30" t="s">
        <v>8443</v>
      </c>
      <c r="D15054" s="30" t="s">
        <v>17</v>
      </c>
      <c r="E15054" s="30" t="s">
        <v>330</v>
      </c>
      <c r="F15054" s="30" t="s">
        <v>331</v>
      </c>
      <c r="G15054" s="30" t="s">
        <v>140</v>
      </c>
      <c r="H15054" s="32">
        <v>16</v>
      </c>
      <c r="I15054" s="30" t="s">
        <v>51</v>
      </c>
      <c r="J15054" s="41">
        <v>44927</v>
      </c>
      <c r="K15054" s="30" t="s">
        <v>22</v>
      </c>
    </row>
    <row r="15055" spans="1:11">
      <c r="A15055" s="33" t="s">
        <v>33899</v>
      </c>
      <c r="B15055" s="33" t="s">
        <v>33900</v>
      </c>
      <c r="C15055" s="33" t="s">
        <v>21340</v>
      </c>
      <c r="D15055" s="33" t="s">
        <v>17</v>
      </c>
      <c r="E15055" s="33" t="s">
        <v>31</v>
      </c>
      <c r="F15055" s="33" t="s">
        <v>32</v>
      </c>
      <c r="G15055" s="33" t="s">
        <v>158</v>
      </c>
      <c r="H15055" s="35">
        <v>241</v>
      </c>
      <c r="I15055" s="33" t="s">
        <v>21</v>
      </c>
      <c r="J15055" s="42">
        <v>45280</v>
      </c>
      <c r="K15055" s="33" t="s">
        <v>22</v>
      </c>
    </row>
    <row r="15056" spans="1:11">
      <c r="A15056" s="30" t="s">
        <v>33901</v>
      </c>
      <c r="B15056" s="30" t="s">
        <v>33902</v>
      </c>
      <c r="C15056" s="30" t="s">
        <v>1571</v>
      </c>
      <c r="D15056" s="30" t="s">
        <v>17</v>
      </c>
      <c r="E15056" s="30" t="s">
        <v>31</v>
      </c>
      <c r="F15056" s="30" t="s">
        <v>32</v>
      </c>
      <c r="G15056" s="30" t="s">
        <v>140</v>
      </c>
      <c r="H15056" s="32">
        <v>82</v>
      </c>
      <c r="I15056" s="30" t="s">
        <v>51</v>
      </c>
      <c r="J15056" s="41">
        <v>45216</v>
      </c>
      <c r="K15056" s="30" t="s">
        <v>22</v>
      </c>
    </row>
    <row r="15057" spans="1:11">
      <c r="A15057" s="33" t="s">
        <v>33903</v>
      </c>
      <c r="B15057" s="33" t="s">
        <v>33904</v>
      </c>
      <c r="C15057" s="33" t="s">
        <v>8443</v>
      </c>
      <c r="D15057" s="33" t="s">
        <v>17</v>
      </c>
      <c r="E15057" s="33" t="s">
        <v>330</v>
      </c>
      <c r="F15057" s="33" t="s">
        <v>331</v>
      </c>
      <c r="G15057" s="33" t="s">
        <v>50</v>
      </c>
      <c r="H15057" s="35">
        <v>10</v>
      </c>
      <c r="I15057" s="33" t="s">
        <v>51</v>
      </c>
      <c r="J15057" s="42">
        <v>45139</v>
      </c>
      <c r="K15057" s="33" t="s">
        <v>22</v>
      </c>
    </row>
    <row r="15058" spans="1:11">
      <c r="A15058" s="30" t="s">
        <v>33905</v>
      </c>
      <c r="B15058" s="30" t="s">
        <v>33906</v>
      </c>
      <c r="C15058" s="30" t="s">
        <v>27527</v>
      </c>
      <c r="D15058" s="30" t="s">
        <v>17</v>
      </c>
      <c r="E15058" s="30" t="s">
        <v>330</v>
      </c>
      <c r="F15058" s="30" t="s">
        <v>331</v>
      </c>
      <c r="G15058" s="30" t="s">
        <v>50</v>
      </c>
      <c r="H15058" s="32">
        <v>9</v>
      </c>
      <c r="I15058" s="30" t="s">
        <v>51</v>
      </c>
      <c r="J15058" s="41">
        <v>45119</v>
      </c>
      <c r="K15058" s="30" t="s">
        <v>22</v>
      </c>
    </row>
    <row r="15059" spans="1:11">
      <c r="A15059" s="33" t="s">
        <v>33907</v>
      </c>
      <c r="B15059" s="33" t="s">
        <v>33908</v>
      </c>
      <c r="C15059" s="33" t="s">
        <v>21185</v>
      </c>
      <c r="D15059" s="33" t="s">
        <v>17</v>
      </c>
      <c r="E15059" s="33" t="s">
        <v>26</v>
      </c>
      <c r="F15059" s="33" t="s">
        <v>27</v>
      </c>
      <c r="G15059" s="33" t="s">
        <v>50</v>
      </c>
      <c r="H15059" s="35">
        <v>84</v>
      </c>
      <c r="I15059" s="33" t="s">
        <v>51</v>
      </c>
      <c r="J15059" s="42">
        <v>45090</v>
      </c>
      <c r="K15059" s="33" t="s">
        <v>22</v>
      </c>
    </row>
    <row r="15060" spans="1:11">
      <c r="A15060" s="30" t="s">
        <v>33909</v>
      </c>
      <c r="B15060" s="30" t="s">
        <v>33910</v>
      </c>
      <c r="C15060" s="30" t="s">
        <v>310</v>
      </c>
      <c r="D15060" s="30" t="s">
        <v>17</v>
      </c>
      <c r="E15060" s="30" t="s">
        <v>18</v>
      </c>
      <c r="F15060" s="30" t="s">
        <v>19</v>
      </c>
      <c r="G15060" s="30" t="s">
        <v>20</v>
      </c>
      <c r="H15060" s="32">
        <v>61</v>
      </c>
      <c r="I15060" s="30" t="s">
        <v>21</v>
      </c>
      <c r="J15060" s="41">
        <v>45103</v>
      </c>
      <c r="K15060" s="30" t="s">
        <v>22</v>
      </c>
    </row>
    <row r="15061" spans="1:11">
      <c r="A15061" s="33" t="s">
        <v>33911</v>
      </c>
      <c r="B15061" s="33" t="s">
        <v>33912</v>
      </c>
      <c r="C15061" s="33" t="s">
        <v>109</v>
      </c>
      <c r="D15061" s="33" t="s">
        <v>17</v>
      </c>
      <c r="E15061" s="33" t="s">
        <v>45</v>
      </c>
      <c r="F15061" s="33" t="s">
        <v>46</v>
      </c>
      <c r="G15061" s="33" t="s">
        <v>140</v>
      </c>
      <c r="H15061" s="35">
        <v>232</v>
      </c>
      <c r="I15061" s="33" t="s">
        <v>51</v>
      </c>
      <c r="J15061" s="42">
        <v>45254</v>
      </c>
      <c r="K15061" s="33" t="s">
        <v>22</v>
      </c>
    </row>
    <row r="15062" spans="1:11">
      <c r="A15062" s="30" t="s">
        <v>33913</v>
      </c>
      <c r="B15062" s="30" t="s">
        <v>33914</v>
      </c>
      <c r="C15062" s="30" t="s">
        <v>231</v>
      </c>
      <c r="D15062" s="30" t="s">
        <v>17</v>
      </c>
      <c r="E15062" s="30" t="s">
        <v>26</v>
      </c>
      <c r="F15062" s="30" t="s">
        <v>27</v>
      </c>
      <c r="G15062" s="30" t="s">
        <v>20</v>
      </c>
      <c r="H15062" s="32">
        <v>64</v>
      </c>
      <c r="I15062" s="30" t="s">
        <v>21</v>
      </c>
      <c r="J15062" s="41">
        <v>45152</v>
      </c>
      <c r="K15062" s="30" t="s">
        <v>22</v>
      </c>
    </row>
    <row r="15063" spans="1:11">
      <c r="A15063" s="33" t="s">
        <v>33915</v>
      </c>
      <c r="B15063" s="33" t="s">
        <v>33916</v>
      </c>
      <c r="C15063" s="33" t="s">
        <v>33917</v>
      </c>
      <c r="D15063" s="33" t="s">
        <v>17</v>
      </c>
      <c r="E15063" s="33" t="s">
        <v>26</v>
      </c>
      <c r="F15063" s="33" t="s">
        <v>27</v>
      </c>
      <c r="G15063" s="33" t="s">
        <v>50</v>
      </c>
      <c r="H15063" s="35">
        <v>36</v>
      </c>
      <c r="I15063" s="33" t="s">
        <v>51</v>
      </c>
      <c r="J15063" s="42">
        <v>45041</v>
      </c>
      <c r="K15063" s="33" t="s">
        <v>22</v>
      </c>
    </row>
    <row r="15064" spans="1:11">
      <c r="A15064" s="30" t="s">
        <v>33918</v>
      </c>
      <c r="B15064" s="30" t="s">
        <v>33919</v>
      </c>
      <c r="C15064" s="30" t="s">
        <v>33920</v>
      </c>
      <c r="D15064" s="30" t="s">
        <v>17</v>
      </c>
      <c r="E15064" s="30" t="s">
        <v>31</v>
      </c>
      <c r="F15064" s="30" t="s">
        <v>32</v>
      </c>
      <c r="G15064" s="30" t="s">
        <v>20</v>
      </c>
      <c r="H15064" s="32">
        <v>210</v>
      </c>
      <c r="I15064" s="30" t="s">
        <v>21</v>
      </c>
      <c r="J15064" s="41">
        <v>45019</v>
      </c>
      <c r="K15064" s="30" t="s">
        <v>22</v>
      </c>
    </row>
    <row r="15065" spans="1:11">
      <c r="A15065" s="33" t="s">
        <v>33921</v>
      </c>
      <c r="B15065" s="33" t="s">
        <v>33922</v>
      </c>
      <c r="C15065" s="33" t="s">
        <v>26361</v>
      </c>
      <c r="D15065" s="33" t="s">
        <v>17</v>
      </c>
      <c r="E15065" s="33" t="s">
        <v>26</v>
      </c>
      <c r="F15065" s="33" t="s">
        <v>27</v>
      </c>
      <c r="G15065" s="33" t="s">
        <v>50</v>
      </c>
      <c r="H15065" s="35">
        <v>120</v>
      </c>
      <c r="I15065" s="33" t="s">
        <v>51</v>
      </c>
      <c r="J15065" s="42">
        <v>45286</v>
      </c>
      <c r="K15065" s="33" t="s">
        <v>22</v>
      </c>
    </row>
    <row r="15066" spans="1:11">
      <c r="A15066" s="30" t="s">
        <v>33923</v>
      </c>
      <c r="B15066" s="30" t="s">
        <v>33924</v>
      </c>
      <c r="C15066" s="30" t="s">
        <v>1080</v>
      </c>
      <c r="D15066" s="30" t="s">
        <v>17</v>
      </c>
      <c r="E15066" s="30" t="s">
        <v>26</v>
      </c>
      <c r="F15066" s="30" t="s">
        <v>27</v>
      </c>
      <c r="G15066" s="30" t="s">
        <v>50</v>
      </c>
      <c r="H15066" s="32">
        <v>78</v>
      </c>
      <c r="I15066" s="30" t="s">
        <v>51</v>
      </c>
      <c r="J15066" s="41">
        <v>45068</v>
      </c>
      <c r="K15066" s="30" t="s">
        <v>22</v>
      </c>
    </row>
    <row r="15067" spans="1:11">
      <c r="A15067" s="33" t="s">
        <v>33925</v>
      </c>
      <c r="B15067" s="33" t="s">
        <v>33926</v>
      </c>
      <c r="C15067" s="33" t="s">
        <v>22010</v>
      </c>
      <c r="D15067" s="33" t="s">
        <v>17</v>
      </c>
      <c r="E15067" s="33" t="s">
        <v>26</v>
      </c>
      <c r="F15067" s="33" t="s">
        <v>27</v>
      </c>
      <c r="G15067" s="33" t="s">
        <v>20</v>
      </c>
      <c r="H15067" s="35">
        <v>73</v>
      </c>
      <c r="I15067" s="33" t="s">
        <v>21</v>
      </c>
      <c r="J15067" s="42">
        <v>44992</v>
      </c>
      <c r="K15067" s="33" t="s">
        <v>22</v>
      </c>
    </row>
    <row r="15068" spans="1:11">
      <c r="A15068" s="30" t="s">
        <v>33927</v>
      </c>
      <c r="B15068" s="30" t="s">
        <v>33928</v>
      </c>
      <c r="C15068" s="30" t="s">
        <v>26361</v>
      </c>
      <c r="D15068" s="30" t="s">
        <v>17</v>
      </c>
      <c r="E15068" s="30" t="s">
        <v>330</v>
      </c>
      <c r="F15068" s="30" t="s">
        <v>331</v>
      </c>
      <c r="G15068" s="30" t="s">
        <v>50</v>
      </c>
      <c r="H15068" s="32">
        <v>210</v>
      </c>
      <c r="I15068" s="30" t="s">
        <v>51</v>
      </c>
      <c r="J15068" s="41">
        <v>45041</v>
      </c>
      <c r="K15068" s="30" t="s">
        <v>22</v>
      </c>
    </row>
    <row r="15069" spans="1:11">
      <c r="A15069" s="33" t="s">
        <v>33929</v>
      </c>
      <c r="B15069" s="33" t="s">
        <v>33930</v>
      </c>
      <c r="C15069" s="33" t="s">
        <v>33931</v>
      </c>
      <c r="D15069" s="33" t="s">
        <v>17</v>
      </c>
      <c r="E15069" s="33" t="s">
        <v>26</v>
      </c>
      <c r="F15069" s="33" t="s">
        <v>27</v>
      </c>
      <c r="G15069" s="33" t="s">
        <v>140</v>
      </c>
      <c r="H15069" s="35">
        <v>470</v>
      </c>
      <c r="I15069" s="33" t="s">
        <v>51</v>
      </c>
      <c r="J15069" s="42">
        <v>45146</v>
      </c>
      <c r="K15069" s="33" t="s">
        <v>22</v>
      </c>
    </row>
    <row r="15070" spans="1:11">
      <c r="A15070" s="30" t="s">
        <v>33932</v>
      </c>
      <c r="B15070" s="30" t="s">
        <v>33933</v>
      </c>
      <c r="C15070" s="30" t="s">
        <v>368</v>
      </c>
      <c r="D15070" s="30" t="s">
        <v>17</v>
      </c>
      <c r="E15070" s="30" t="s">
        <v>212</v>
      </c>
      <c r="F15070" s="30" t="s">
        <v>213</v>
      </c>
      <c r="G15070" s="30" t="s">
        <v>50</v>
      </c>
      <c r="H15070" s="32">
        <v>332</v>
      </c>
      <c r="I15070" s="30" t="s">
        <v>51</v>
      </c>
      <c r="J15070" s="41">
        <v>45280</v>
      </c>
      <c r="K15070" s="30" t="s">
        <v>22</v>
      </c>
    </row>
    <row r="15071" spans="1:11">
      <c r="A15071" s="33" t="s">
        <v>33934</v>
      </c>
      <c r="B15071" s="33" t="s">
        <v>33935</v>
      </c>
      <c r="C15071" s="33" t="s">
        <v>3748</v>
      </c>
      <c r="D15071" s="33" t="s">
        <v>17</v>
      </c>
      <c r="E15071" s="33" t="s">
        <v>212</v>
      </c>
      <c r="F15071" s="33" t="s">
        <v>213</v>
      </c>
      <c r="G15071" s="33" t="s">
        <v>20</v>
      </c>
      <c r="H15071" s="35">
        <v>145</v>
      </c>
      <c r="I15071" s="33" t="s">
        <v>21</v>
      </c>
      <c r="J15071" s="42">
        <v>45287</v>
      </c>
      <c r="K15071" s="33" t="s">
        <v>22</v>
      </c>
    </row>
    <row r="15072" spans="1:11">
      <c r="A15072" s="30" t="s">
        <v>33936</v>
      </c>
      <c r="B15072" s="30" t="s">
        <v>33937</v>
      </c>
      <c r="C15072" s="30" t="s">
        <v>5503</v>
      </c>
      <c r="D15072" s="30" t="s">
        <v>17</v>
      </c>
      <c r="E15072" s="30" t="s">
        <v>26</v>
      </c>
      <c r="F15072" s="30" t="s">
        <v>27</v>
      </c>
      <c r="G15072" s="30" t="s">
        <v>50</v>
      </c>
      <c r="H15072" s="32">
        <v>17</v>
      </c>
      <c r="I15072" s="30" t="s">
        <v>51</v>
      </c>
      <c r="J15072" s="41">
        <v>45006</v>
      </c>
      <c r="K15072" s="30" t="s">
        <v>22</v>
      </c>
    </row>
    <row r="15073" spans="1:11">
      <c r="A15073" s="33" t="s">
        <v>33938</v>
      </c>
      <c r="B15073" s="33" t="s">
        <v>33939</v>
      </c>
      <c r="C15073" s="33" t="s">
        <v>969</v>
      </c>
      <c r="D15073" s="33" t="s">
        <v>17</v>
      </c>
      <c r="E15073" s="33" t="s">
        <v>26</v>
      </c>
      <c r="F15073" s="33" t="s">
        <v>27</v>
      </c>
      <c r="G15073" s="33" t="s">
        <v>112</v>
      </c>
      <c r="H15073" s="35">
        <v>0</v>
      </c>
      <c r="I15073" s="33" t="s">
        <v>21</v>
      </c>
      <c r="J15073" s="42">
        <v>45230</v>
      </c>
      <c r="K15073" s="33" t="s">
        <v>22</v>
      </c>
    </row>
    <row r="15074" spans="1:11">
      <c r="A15074" s="30" t="s">
        <v>33940</v>
      </c>
      <c r="B15074" s="30" t="s">
        <v>33941</v>
      </c>
      <c r="C15074" s="30" t="s">
        <v>14640</v>
      </c>
      <c r="D15074" s="30" t="s">
        <v>17</v>
      </c>
      <c r="E15074" s="30" t="s">
        <v>26</v>
      </c>
      <c r="F15074" s="30" t="s">
        <v>27</v>
      </c>
      <c r="G15074" s="30" t="s">
        <v>20</v>
      </c>
      <c r="H15074" s="32">
        <v>22</v>
      </c>
      <c r="I15074" s="30" t="s">
        <v>21</v>
      </c>
      <c r="J15074" s="41">
        <v>45098</v>
      </c>
      <c r="K15074" s="30" t="s">
        <v>22</v>
      </c>
    </row>
    <row r="15075" spans="1:11">
      <c r="A15075" s="33" t="s">
        <v>33942</v>
      </c>
      <c r="B15075" s="33" t="s">
        <v>33943</v>
      </c>
      <c r="C15075" s="33" t="s">
        <v>318</v>
      </c>
      <c r="D15075" s="33" t="s">
        <v>17</v>
      </c>
      <c r="E15075" s="33" t="s">
        <v>18</v>
      </c>
      <c r="F15075" s="33" t="s">
        <v>19</v>
      </c>
      <c r="G15075" s="33" t="s">
        <v>20</v>
      </c>
      <c r="H15075" s="35">
        <v>532</v>
      </c>
      <c r="I15075" s="33" t="s">
        <v>21</v>
      </c>
      <c r="J15075" s="42">
        <v>45036</v>
      </c>
      <c r="K15075" s="33" t="s">
        <v>22</v>
      </c>
    </row>
    <row r="15076" spans="1:11">
      <c r="A15076" s="30" t="s">
        <v>33944</v>
      </c>
      <c r="B15076" s="30" t="s">
        <v>33945</v>
      </c>
      <c r="C15076" s="30" t="s">
        <v>1813</v>
      </c>
      <c r="D15076" s="30" t="s">
        <v>17</v>
      </c>
      <c r="E15076" s="30" t="s">
        <v>31</v>
      </c>
      <c r="F15076" s="30" t="s">
        <v>32</v>
      </c>
      <c r="G15076" s="30" t="s">
        <v>50</v>
      </c>
      <c r="H15076" s="32">
        <v>300</v>
      </c>
      <c r="I15076" s="30" t="s">
        <v>51</v>
      </c>
      <c r="J15076" s="41">
        <v>44927</v>
      </c>
      <c r="K15076" s="30" t="s">
        <v>22</v>
      </c>
    </row>
    <row r="15077" spans="1:11">
      <c r="A15077" s="33" t="s">
        <v>33946</v>
      </c>
      <c r="B15077" s="33" t="s">
        <v>33947</v>
      </c>
      <c r="C15077" s="33" t="s">
        <v>3489</v>
      </c>
      <c r="D15077" s="33" t="s">
        <v>17</v>
      </c>
      <c r="E15077" s="33" t="s">
        <v>26</v>
      </c>
      <c r="F15077" s="33" t="s">
        <v>27</v>
      </c>
      <c r="G15077" s="33" t="s">
        <v>106</v>
      </c>
      <c r="H15077" s="35">
        <v>36</v>
      </c>
      <c r="I15077" s="33" t="s">
        <v>21</v>
      </c>
      <c r="J15077" s="42">
        <v>45000</v>
      </c>
      <c r="K15077" s="33" t="s">
        <v>22</v>
      </c>
    </row>
    <row r="15078" spans="1:11">
      <c r="A15078" s="30" t="s">
        <v>33948</v>
      </c>
      <c r="B15078" s="30" t="s">
        <v>33949</v>
      </c>
      <c r="C15078" s="30" t="s">
        <v>17552</v>
      </c>
      <c r="D15078" s="30" t="s">
        <v>17</v>
      </c>
      <c r="E15078" s="30" t="s">
        <v>212</v>
      </c>
      <c r="F15078" s="30" t="s">
        <v>213</v>
      </c>
      <c r="G15078" s="30" t="s">
        <v>20</v>
      </c>
      <c r="H15078" s="32">
        <v>60</v>
      </c>
      <c r="I15078" s="30" t="s">
        <v>21</v>
      </c>
      <c r="J15078" s="41">
        <v>45033</v>
      </c>
      <c r="K15078" s="30" t="s">
        <v>22</v>
      </c>
    </row>
    <row r="15079" spans="1:11">
      <c r="A15079" s="33" t="s">
        <v>33950</v>
      </c>
      <c r="B15079" s="33" t="s">
        <v>33951</v>
      </c>
      <c r="C15079" s="33" t="s">
        <v>44</v>
      </c>
      <c r="D15079" s="33" t="s">
        <v>17</v>
      </c>
      <c r="E15079" s="33" t="s">
        <v>26</v>
      </c>
      <c r="F15079" s="33" t="s">
        <v>27</v>
      </c>
      <c r="G15079" s="33" t="s">
        <v>20</v>
      </c>
      <c r="H15079" s="35">
        <v>56</v>
      </c>
      <c r="I15079" s="33" t="s">
        <v>21</v>
      </c>
      <c r="J15079" s="42">
        <v>45266</v>
      </c>
      <c r="K15079" s="33" t="s">
        <v>22</v>
      </c>
    </row>
    <row r="15080" spans="1:11">
      <c r="A15080" s="30" t="s">
        <v>33952</v>
      </c>
      <c r="B15080" s="30" t="s">
        <v>33953</v>
      </c>
      <c r="C15080" s="30" t="s">
        <v>3296</v>
      </c>
      <c r="D15080" s="30" t="s">
        <v>17</v>
      </c>
      <c r="E15080" s="30" t="s">
        <v>212</v>
      </c>
      <c r="F15080" s="30" t="s">
        <v>213</v>
      </c>
      <c r="G15080" s="30" t="s">
        <v>20</v>
      </c>
      <c r="H15080" s="32">
        <v>120</v>
      </c>
      <c r="I15080" s="30" t="s">
        <v>21</v>
      </c>
      <c r="J15080" s="41">
        <v>45005</v>
      </c>
      <c r="K15080" s="30" t="s">
        <v>22</v>
      </c>
    </row>
    <row r="15081" spans="1:11">
      <c r="A15081" s="33" t="s">
        <v>33954</v>
      </c>
      <c r="B15081" s="33" t="s">
        <v>33955</v>
      </c>
      <c r="C15081" s="33" t="s">
        <v>11434</v>
      </c>
      <c r="D15081" s="33" t="s">
        <v>17</v>
      </c>
      <c r="E15081" s="33" t="s">
        <v>18</v>
      </c>
      <c r="F15081" s="33" t="s">
        <v>19</v>
      </c>
      <c r="G15081" s="33" t="s">
        <v>20</v>
      </c>
      <c r="H15081" s="35">
        <v>361</v>
      </c>
      <c r="I15081" s="33" t="s">
        <v>21</v>
      </c>
      <c r="J15081" s="42">
        <v>45260</v>
      </c>
      <c r="K15081" s="33" t="s">
        <v>22</v>
      </c>
    </row>
    <row r="15082" spans="1:11">
      <c r="A15082" s="30" t="s">
        <v>33956</v>
      </c>
      <c r="B15082" s="30" t="s">
        <v>33957</v>
      </c>
      <c r="C15082" s="30" t="s">
        <v>33958</v>
      </c>
      <c r="D15082" s="30" t="s">
        <v>17</v>
      </c>
      <c r="E15082" s="30" t="s">
        <v>26</v>
      </c>
      <c r="F15082" s="30" t="s">
        <v>27</v>
      </c>
      <c r="G15082" s="30" t="s">
        <v>20</v>
      </c>
      <c r="H15082" s="32">
        <v>24</v>
      </c>
      <c r="I15082" s="30" t="s">
        <v>21</v>
      </c>
      <c r="J15082" s="41">
        <v>45033</v>
      </c>
      <c r="K15082" s="30" t="s">
        <v>22</v>
      </c>
    </row>
    <row r="15083" spans="1:11">
      <c r="A15083" s="33" t="s">
        <v>33959</v>
      </c>
      <c r="B15083" s="33" t="s">
        <v>33960</v>
      </c>
      <c r="C15083" s="33" t="s">
        <v>231</v>
      </c>
      <c r="D15083" s="33" t="s">
        <v>17</v>
      </c>
      <c r="E15083" s="33" t="s">
        <v>26</v>
      </c>
      <c r="F15083" s="33" t="s">
        <v>27</v>
      </c>
      <c r="G15083" s="33" t="s">
        <v>20</v>
      </c>
      <c r="H15083" s="35">
        <v>14</v>
      </c>
      <c r="I15083" s="33" t="s">
        <v>21</v>
      </c>
      <c r="J15083" s="42">
        <v>45238</v>
      </c>
      <c r="K15083" s="33" t="s">
        <v>22</v>
      </c>
    </row>
    <row r="15084" spans="1:11">
      <c r="A15084" s="30" t="s">
        <v>33961</v>
      </c>
      <c r="B15084" s="30" t="s">
        <v>33962</v>
      </c>
      <c r="C15084" s="30" t="s">
        <v>33963</v>
      </c>
      <c r="D15084" s="30" t="s">
        <v>17</v>
      </c>
      <c r="E15084" s="30" t="s">
        <v>26</v>
      </c>
      <c r="F15084" s="30" t="s">
        <v>27</v>
      </c>
      <c r="G15084" s="30" t="s">
        <v>20</v>
      </c>
      <c r="H15084" s="32">
        <v>33</v>
      </c>
      <c r="I15084" s="30" t="s">
        <v>21</v>
      </c>
      <c r="J15084" s="41">
        <v>44938</v>
      </c>
      <c r="K15084" s="30" t="s">
        <v>22</v>
      </c>
    </row>
    <row r="15085" spans="1:11">
      <c r="A15085" s="33" t="s">
        <v>33964</v>
      </c>
      <c r="B15085" s="33" t="s">
        <v>33965</v>
      </c>
      <c r="C15085" s="33" t="s">
        <v>10569</v>
      </c>
      <c r="D15085" s="33" t="s">
        <v>17</v>
      </c>
      <c r="E15085" s="33" t="s">
        <v>31</v>
      </c>
      <c r="F15085" s="33" t="s">
        <v>32</v>
      </c>
      <c r="G15085" s="33" t="s">
        <v>20</v>
      </c>
      <c r="H15085" s="35">
        <v>279</v>
      </c>
      <c r="I15085" s="33" t="s">
        <v>21</v>
      </c>
      <c r="J15085" s="42">
        <v>45173</v>
      </c>
      <c r="K15085" s="33" t="s">
        <v>22</v>
      </c>
    </row>
    <row r="15086" spans="1:11">
      <c r="A15086" s="30" t="s">
        <v>33966</v>
      </c>
      <c r="B15086" s="30" t="s">
        <v>33967</v>
      </c>
      <c r="C15086" s="30" t="s">
        <v>6085</v>
      </c>
      <c r="D15086" s="30" t="s">
        <v>17</v>
      </c>
      <c r="E15086" s="30" t="s">
        <v>31</v>
      </c>
      <c r="F15086" s="30" t="s">
        <v>32</v>
      </c>
      <c r="G15086" s="30" t="s">
        <v>20</v>
      </c>
      <c r="H15086" s="32">
        <v>59</v>
      </c>
      <c r="I15086" s="30" t="s">
        <v>21</v>
      </c>
      <c r="J15086" s="41">
        <v>45093</v>
      </c>
      <c r="K15086" s="30" t="s">
        <v>22</v>
      </c>
    </row>
    <row r="15087" spans="1:11">
      <c r="A15087" s="33" t="s">
        <v>33968</v>
      </c>
      <c r="B15087" s="33" t="s">
        <v>33969</v>
      </c>
      <c r="C15087" s="33" t="s">
        <v>102</v>
      </c>
      <c r="D15087" s="33" t="s">
        <v>17</v>
      </c>
      <c r="E15087" s="33" t="s">
        <v>26</v>
      </c>
      <c r="F15087" s="33" t="s">
        <v>27</v>
      </c>
      <c r="G15087" s="33" t="s">
        <v>20</v>
      </c>
      <c r="H15087" s="35">
        <v>20</v>
      </c>
      <c r="I15087" s="33" t="s">
        <v>21</v>
      </c>
      <c r="J15087" s="42">
        <v>45068</v>
      </c>
      <c r="K15087" s="33" t="s">
        <v>22</v>
      </c>
    </row>
    <row r="15088" spans="1:11">
      <c r="A15088" s="30" t="s">
        <v>33970</v>
      </c>
      <c r="B15088" s="30" t="s">
        <v>33971</v>
      </c>
      <c r="C15088" s="30" t="s">
        <v>524</v>
      </c>
      <c r="D15088" s="30" t="s">
        <v>17</v>
      </c>
      <c r="E15088" s="30" t="s">
        <v>31</v>
      </c>
      <c r="F15088" s="30" t="s">
        <v>32</v>
      </c>
      <c r="G15088" s="30" t="s">
        <v>20</v>
      </c>
      <c r="H15088" s="32">
        <v>142</v>
      </c>
      <c r="I15088" s="30" t="s">
        <v>21</v>
      </c>
      <c r="J15088" s="41">
        <v>45250</v>
      </c>
      <c r="K15088" s="30" t="s">
        <v>22</v>
      </c>
    </row>
    <row r="15089" spans="1:11">
      <c r="A15089" s="33" t="s">
        <v>33972</v>
      </c>
      <c r="B15089" s="33" t="s">
        <v>33973</v>
      </c>
      <c r="C15089" s="33" t="s">
        <v>2220</v>
      </c>
      <c r="D15089" s="33" t="s">
        <v>17</v>
      </c>
      <c r="E15089" s="33" t="s">
        <v>45</v>
      </c>
      <c r="F15089" s="33" t="s">
        <v>46</v>
      </c>
      <c r="G15089" s="33" t="s">
        <v>140</v>
      </c>
      <c r="H15089" s="35">
        <v>1074</v>
      </c>
      <c r="I15089" s="33" t="s">
        <v>51</v>
      </c>
      <c r="J15089" s="42">
        <v>45244</v>
      </c>
      <c r="K15089" s="33" t="s">
        <v>22</v>
      </c>
    </row>
    <row r="15090" spans="1:11">
      <c r="A15090" s="30" t="s">
        <v>33974</v>
      </c>
      <c r="B15090" s="30" t="s">
        <v>33975</v>
      </c>
      <c r="C15090" s="30" t="s">
        <v>33976</v>
      </c>
      <c r="D15090" s="30" t="s">
        <v>17</v>
      </c>
      <c r="E15090" s="30" t="s">
        <v>26</v>
      </c>
      <c r="F15090" s="30" t="s">
        <v>27</v>
      </c>
      <c r="G15090" s="30" t="s">
        <v>20</v>
      </c>
      <c r="H15090" s="32">
        <v>76</v>
      </c>
      <c r="I15090" s="30" t="s">
        <v>21</v>
      </c>
      <c r="J15090" s="41">
        <v>45167</v>
      </c>
      <c r="K15090" s="30" t="s">
        <v>22</v>
      </c>
    </row>
    <row r="15091" spans="1:11">
      <c r="A15091" s="33" t="s">
        <v>33977</v>
      </c>
      <c r="B15091" s="33" t="s">
        <v>33978</v>
      </c>
      <c r="C15091" s="33" t="s">
        <v>33979</v>
      </c>
      <c r="D15091" s="33" t="s">
        <v>17</v>
      </c>
      <c r="E15091" s="33" t="s">
        <v>18</v>
      </c>
      <c r="F15091" s="33" t="s">
        <v>19</v>
      </c>
      <c r="G15091" s="33" t="s">
        <v>140</v>
      </c>
      <c r="H15091" s="35">
        <v>148</v>
      </c>
      <c r="I15091" s="33" t="s">
        <v>51</v>
      </c>
      <c r="J15091" s="42">
        <v>44998</v>
      </c>
      <c r="K15091" s="33" t="s">
        <v>22</v>
      </c>
    </row>
    <row r="15092" spans="1:11">
      <c r="A15092" s="30" t="s">
        <v>33980</v>
      </c>
      <c r="B15092" s="30" t="s">
        <v>33981</v>
      </c>
      <c r="C15092" s="30" t="s">
        <v>2543</v>
      </c>
      <c r="D15092" s="30" t="s">
        <v>17</v>
      </c>
      <c r="E15092" s="30" t="s">
        <v>18</v>
      </c>
      <c r="F15092" s="30" t="s">
        <v>19</v>
      </c>
      <c r="G15092" s="30" t="s">
        <v>50</v>
      </c>
      <c r="H15092" s="32">
        <v>175</v>
      </c>
      <c r="I15092" s="30" t="s">
        <v>51</v>
      </c>
      <c r="J15092" s="41">
        <v>45289</v>
      </c>
      <c r="K15092" s="30" t="s">
        <v>22</v>
      </c>
    </row>
    <row r="15093" spans="1:11">
      <c r="A15093" s="33" t="s">
        <v>33982</v>
      </c>
      <c r="B15093" s="33" t="s">
        <v>33983</v>
      </c>
      <c r="C15093" s="33" t="s">
        <v>1148</v>
      </c>
      <c r="D15093" s="33" t="s">
        <v>17</v>
      </c>
      <c r="E15093" s="33" t="s">
        <v>212</v>
      </c>
      <c r="F15093" s="33" t="s">
        <v>213</v>
      </c>
      <c r="G15093" s="33" t="s">
        <v>140</v>
      </c>
      <c r="H15093" s="35">
        <v>70</v>
      </c>
      <c r="I15093" s="33" t="s">
        <v>51</v>
      </c>
      <c r="J15093" s="42">
        <v>45198</v>
      </c>
      <c r="K15093" s="33" t="s">
        <v>22</v>
      </c>
    </row>
    <row r="15094" spans="1:11">
      <c r="A15094" s="30" t="s">
        <v>33984</v>
      </c>
      <c r="B15094" s="30" t="s">
        <v>33985</v>
      </c>
      <c r="C15094" s="30" t="s">
        <v>9989</v>
      </c>
      <c r="D15094" s="30" t="s">
        <v>17</v>
      </c>
      <c r="E15094" s="30" t="s">
        <v>26</v>
      </c>
      <c r="F15094" s="30" t="s">
        <v>27</v>
      </c>
      <c r="G15094" s="30" t="s">
        <v>140</v>
      </c>
      <c r="H15094" s="32">
        <v>132</v>
      </c>
      <c r="I15094" s="30" t="s">
        <v>51</v>
      </c>
      <c r="J15094" s="41">
        <v>45083</v>
      </c>
      <c r="K15094" s="30" t="s">
        <v>22</v>
      </c>
    </row>
    <row r="15095" spans="1:11">
      <c r="A15095" s="33" t="s">
        <v>33986</v>
      </c>
      <c r="B15095" s="33" t="s">
        <v>33987</v>
      </c>
      <c r="C15095" s="33" t="s">
        <v>13508</v>
      </c>
      <c r="D15095" s="33" t="s">
        <v>17</v>
      </c>
      <c r="E15095" s="33" t="s">
        <v>26</v>
      </c>
      <c r="F15095" s="33" t="s">
        <v>27</v>
      </c>
      <c r="G15095" s="33" t="s">
        <v>140</v>
      </c>
      <c r="H15095" s="35">
        <v>60</v>
      </c>
      <c r="I15095" s="33" t="s">
        <v>51</v>
      </c>
      <c r="J15095" s="42">
        <v>45076</v>
      </c>
      <c r="K15095" s="33" t="s">
        <v>22</v>
      </c>
    </row>
    <row r="15096" spans="1:11">
      <c r="A15096" s="30" t="s">
        <v>33988</v>
      </c>
      <c r="B15096" s="30" t="s">
        <v>33989</v>
      </c>
      <c r="C15096" s="30" t="s">
        <v>16404</v>
      </c>
      <c r="D15096" s="30" t="s">
        <v>17</v>
      </c>
      <c r="E15096" s="30" t="s">
        <v>26</v>
      </c>
      <c r="F15096" s="30" t="s">
        <v>27</v>
      </c>
      <c r="G15096" s="30" t="s">
        <v>158</v>
      </c>
      <c r="H15096" s="32">
        <v>216</v>
      </c>
      <c r="I15096" s="30" t="s">
        <v>51</v>
      </c>
      <c r="J15096" s="41">
        <v>45034</v>
      </c>
      <c r="K15096" s="30" t="s">
        <v>22</v>
      </c>
    </row>
    <row r="15097" spans="1:11">
      <c r="A15097" s="33" t="s">
        <v>33990</v>
      </c>
      <c r="B15097" s="33" t="s">
        <v>33991</v>
      </c>
      <c r="C15097" s="33" t="s">
        <v>10840</v>
      </c>
      <c r="D15097" s="33" t="s">
        <v>17</v>
      </c>
      <c r="E15097" s="33" t="s">
        <v>31</v>
      </c>
      <c r="F15097" s="33" t="s">
        <v>32</v>
      </c>
      <c r="G15097" s="33" t="s">
        <v>20</v>
      </c>
      <c r="H15097" s="35">
        <v>213</v>
      </c>
      <c r="I15097" s="33" t="s">
        <v>21</v>
      </c>
      <c r="J15097" s="42">
        <v>45026</v>
      </c>
      <c r="K15097" s="33" t="s">
        <v>22</v>
      </c>
    </row>
    <row r="15098" spans="1:11">
      <c r="A15098" s="30" t="s">
        <v>33992</v>
      </c>
      <c r="B15098" s="30" t="s">
        <v>33993</v>
      </c>
      <c r="C15098" s="30" t="s">
        <v>1364</v>
      </c>
      <c r="D15098" s="30" t="s">
        <v>17</v>
      </c>
      <c r="E15098" s="30" t="s">
        <v>31</v>
      </c>
      <c r="F15098" s="30" t="s">
        <v>32</v>
      </c>
      <c r="G15098" s="30" t="s">
        <v>158</v>
      </c>
      <c r="H15098" s="32">
        <v>240</v>
      </c>
      <c r="I15098" s="30" t="s">
        <v>51</v>
      </c>
      <c r="J15098" s="41">
        <v>44943</v>
      </c>
      <c r="K15098" s="30" t="s">
        <v>22</v>
      </c>
    </row>
    <row r="15099" spans="1:11">
      <c r="A15099" s="33" t="s">
        <v>33994</v>
      </c>
      <c r="B15099" s="33" t="s">
        <v>33995</v>
      </c>
      <c r="C15099" s="33" t="s">
        <v>14176</v>
      </c>
      <c r="D15099" s="33" t="s">
        <v>17</v>
      </c>
      <c r="E15099" s="33" t="s">
        <v>26</v>
      </c>
      <c r="F15099" s="33" t="s">
        <v>27</v>
      </c>
      <c r="G15099" s="33" t="s">
        <v>20</v>
      </c>
      <c r="H15099" s="35">
        <v>74</v>
      </c>
      <c r="I15099" s="33" t="s">
        <v>21</v>
      </c>
      <c r="J15099" s="42">
        <v>45241</v>
      </c>
      <c r="K15099" s="33" t="s">
        <v>22</v>
      </c>
    </row>
    <row r="15100" spans="1:11">
      <c r="A15100" s="30" t="s">
        <v>33996</v>
      </c>
      <c r="B15100" s="30" t="s">
        <v>33997</v>
      </c>
      <c r="C15100" s="30" t="s">
        <v>136</v>
      </c>
      <c r="D15100" s="30" t="s">
        <v>17</v>
      </c>
      <c r="E15100" s="30" t="s">
        <v>31</v>
      </c>
      <c r="F15100" s="30" t="s">
        <v>32</v>
      </c>
      <c r="G15100" s="30" t="s">
        <v>158</v>
      </c>
      <c r="H15100" s="32">
        <v>352</v>
      </c>
      <c r="I15100" s="30" t="s">
        <v>21</v>
      </c>
      <c r="J15100" s="41">
        <v>45222</v>
      </c>
      <c r="K15100" s="30" t="s">
        <v>22</v>
      </c>
    </row>
    <row r="15101" spans="1:11">
      <c r="A15101" s="33" t="s">
        <v>33998</v>
      </c>
      <c r="B15101" s="33" t="s">
        <v>33999</v>
      </c>
      <c r="C15101" s="33" t="s">
        <v>34000</v>
      </c>
      <c r="D15101" s="33" t="s">
        <v>17</v>
      </c>
      <c r="E15101" s="33" t="s">
        <v>67</v>
      </c>
      <c r="F15101" s="33" t="s">
        <v>68</v>
      </c>
      <c r="G15101" s="33" t="s">
        <v>140</v>
      </c>
      <c r="H15101" s="35">
        <v>18</v>
      </c>
      <c r="I15101" s="33" t="s">
        <v>51</v>
      </c>
      <c r="J15101" s="42">
        <v>45023</v>
      </c>
      <c r="K15101" s="33" t="s">
        <v>22</v>
      </c>
    </row>
    <row r="15102" spans="1:11">
      <c r="A15102" s="30" t="s">
        <v>34001</v>
      </c>
      <c r="B15102" s="30" t="s">
        <v>34002</v>
      </c>
      <c r="C15102" s="30" t="s">
        <v>136</v>
      </c>
      <c r="D15102" s="30" t="s">
        <v>17</v>
      </c>
      <c r="E15102" s="30" t="s">
        <v>212</v>
      </c>
      <c r="F15102" s="30" t="s">
        <v>213</v>
      </c>
      <c r="G15102" s="30" t="s">
        <v>20</v>
      </c>
      <c r="H15102" s="32">
        <v>250</v>
      </c>
      <c r="I15102" s="30" t="s">
        <v>21</v>
      </c>
      <c r="J15102" s="41">
        <v>45104</v>
      </c>
      <c r="K15102" s="30" t="s">
        <v>22</v>
      </c>
    </row>
    <row r="15103" spans="1:11">
      <c r="A15103" s="33" t="s">
        <v>34003</v>
      </c>
      <c r="B15103" s="33" t="s">
        <v>34004</v>
      </c>
      <c r="C15103" s="33" t="s">
        <v>17961</v>
      </c>
      <c r="D15103" s="33" t="s">
        <v>17</v>
      </c>
      <c r="E15103" s="33" t="s">
        <v>31</v>
      </c>
      <c r="F15103" s="33" t="s">
        <v>32</v>
      </c>
      <c r="G15103" s="33" t="s">
        <v>106</v>
      </c>
      <c r="H15103" s="35">
        <v>6</v>
      </c>
      <c r="I15103" s="33" t="s">
        <v>21</v>
      </c>
      <c r="J15103" s="42">
        <v>45022</v>
      </c>
      <c r="K15103" s="33" t="s">
        <v>22</v>
      </c>
    </row>
    <row r="15104" spans="1:11">
      <c r="A15104" s="30" t="s">
        <v>34005</v>
      </c>
      <c r="B15104" s="30" t="s">
        <v>34006</v>
      </c>
      <c r="C15104" s="30" t="s">
        <v>4328</v>
      </c>
      <c r="D15104" s="30" t="s">
        <v>17</v>
      </c>
      <c r="E15104" s="30" t="s">
        <v>26</v>
      </c>
      <c r="F15104" s="30" t="s">
        <v>27</v>
      </c>
      <c r="G15104" s="30" t="s">
        <v>140</v>
      </c>
      <c r="H15104" s="32">
        <v>219</v>
      </c>
      <c r="I15104" s="30" t="s">
        <v>51</v>
      </c>
      <c r="J15104" s="41">
        <v>45070</v>
      </c>
      <c r="K15104" s="30" t="s">
        <v>22</v>
      </c>
    </row>
    <row r="15105" spans="1:11">
      <c r="A15105" s="33" t="s">
        <v>34007</v>
      </c>
      <c r="B15105" s="33" t="s">
        <v>34008</v>
      </c>
      <c r="C15105" s="33" t="s">
        <v>34009</v>
      </c>
      <c r="D15105" s="33" t="s">
        <v>17</v>
      </c>
      <c r="E15105" s="33" t="s">
        <v>67</v>
      </c>
      <c r="F15105" s="33" t="s">
        <v>68</v>
      </c>
      <c r="G15105" s="33" t="s">
        <v>140</v>
      </c>
      <c r="H15105" s="35">
        <v>150</v>
      </c>
      <c r="I15105" s="33" t="s">
        <v>51</v>
      </c>
      <c r="J15105" s="42">
        <v>45013</v>
      </c>
      <c r="K15105" s="33" t="s">
        <v>22</v>
      </c>
    </row>
    <row r="15106" spans="1:11">
      <c r="A15106" s="30" t="s">
        <v>34010</v>
      </c>
      <c r="B15106" s="30" t="s">
        <v>34011</v>
      </c>
      <c r="C15106" s="30" t="s">
        <v>1428</v>
      </c>
      <c r="D15106" s="30" t="s">
        <v>17</v>
      </c>
      <c r="E15106" s="30" t="s">
        <v>18</v>
      </c>
      <c r="F15106" s="30" t="s">
        <v>19</v>
      </c>
      <c r="G15106" s="30" t="s">
        <v>50</v>
      </c>
      <c r="H15106" s="32">
        <v>6000</v>
      </c>
      <c r="I15106" s="30" t="s">
        <v>51</v>
      </c>
      <c r="J15106" s="41">
        <v>44951</v>
      </c>
      <c r="K15106" s="30" t="s">
        <v>22</v>
      </c>
    </row>
    <row r="15107" spans="1:11">
      <c r="A15107" s="33" t="s">
        <v>34012</v>
      </c>
      <c r="B15107" s="33" t="s">
        <v>34013</v>
      </c>
      <c r="C15107" s="33" t="s">
        <v>1598</v>
      </c>
      <c r="D15107" s="33" t="s">
        <v>17</v>
      </c>
      <c r="E15107" s="33" t="s">
        <v>67</v>
      </c>
      <c r="F15107" s="33" t="s">
        <v>68</v>
      </c>
      <c r="G15107" s="33" t="s">
        <v>20</v>
      </c>
      <c r="H15107" s="35">
        <v>28</v>
      </c>
      <c r="I15107" s="33" t="s">
        <v>21</v>
      </c>
      <c r="J15107" s="42">
        <v>45147</v>
      </c>
      <c r="K15107" s="33" t="s">
        <v>22</v>
      </c>
    </row>
    <row r="15108" spans="1:11">
      <c r="A15108" s="30" t="s">
        <v>34014</v>
      </c>
      <c r="B15108" s="30" t="s">
        <v>34015</v>
      </c>
      <c r="C15108" s="30" t="s">
        <v>57</v>
      </c>
      <c r="D15108" s="30" t="s">
        <v>17</v>
      </c>
      <c r="E15108" s="30" t="s">
        <v>212</v>
      </c>
      <c r="F15108" s="30" t="s">
        <v>213</v>
      </c>
      <c r="G15108" s="30" t="s">
        <v>20</v>
      </c>
      <c r="H15108" s="32">
        <v>196</v>
      </c>
      <c r="I15108" s="30" t="s">
        <v>21</v>
      </c>
      <c r="J15108" s="41">
        <v>45166</v>
      </c>
      <c r="K15108" s="30" t="s">
        <v>22</v>
      </c>
    </row>
    <row r="15109" spans="1:11">
      <c r="A15109" s="33" t="s">
        <v>34016</v>
      </c>
      <c r="B15109" s="33" t="s">
        <v>34017</v>
      </c>
      <c r="C15109" s="33" t="s">
        <v>34018</v>
      </c>
      <c r="D15109" s="33" t="s">
        <v>17</v>
      </c>
      <c r="E15109" s="33" t="s">
        <v>67</v>
      </c>
      <c r="F15109" s="33" t="s">
        <v>68</v>
      </c>
      <c r="G15109" s="33" t="s">
        <v>140</v>
      </c>
      <c r="H15109" s="35">
        <v>595</v>
      </c>
      <c r="I15109" s="33" t="s">
        <v>51</v>
      </c>
      <c r="J15109" s="42">
        <v>45069</v>
      </c>
      <c r="K15109" s="33" t="s">
        <v>22</v>
      </c>
    </row>
    <row r="15110" spans="1:11">
      <c r="A15110" s="30" t="s">
        <v>34019</v>
      </c>
      <c r="B15110" s="30" t="s">
        <v>34020</v>
      </c>
      <c r="C15110" s="30" t="s">
        <v>25594</v>
      </c>
      <c r="D15110" s="30" t="s">
        <v>17</v>
      </c>
      <c r="E15110" s="30" t="s">
        <v>31</v>
      </c>
      <c r="F15110" s="30" t="s">
        <v>32</v>
      </c>
      <c r="G15110" s="30" t="s">
        <v>20</v>
      </c>
      <c r="H15110" s="32">
        <v>72</v>
      </c>
      <c r="I15110" s="30" t="s">
        <v>21</v>
      </c>
      <c r="J15110" s="41">
        <v>44984</v>
      </c>
      <c r="K15110" s="30" t="s">
        <v>22</v>
      </c>
    </row>
    <row r="15111" spans="1:11">
      <c r="A15111" s="33" t="s">
        <v>34021</v>
      </c>
      <c r="B15111" s="33" t="s">
        <v>34022</v>
      </c>
      <c r="C15111" s="33" t="s">
        <v>57</v>
      </c>
      <c r="D15111" s="33" t="s">
        <v>17</v>
      </c>
      <c r="E15111" s="33" t="s">
        <v>26</v>
      </c>
      <c r="F15111" s="33" t="s">
        <v>27</v>
      </c>
      <c r="G15111" s="33" t="s">
        <v>50</v>
      </c>
      <c r="H15111" s="35">
        <v>24</v>
      </c>
      <c r="I15111" s="33" t="s">
        <v>51</v>
      </c>
      <c r="J15111" s="42">
        <v>45029</v>
      </c>
      <c r="K15111" s="33" t="s">
        <v>22</v>
      </c>
    </row>
    <row r="15112" spans="1:11">
      <c r="A15112" s="30" t="s">
        <v>34023</v>
      </c>
      <c r="B15112" s="30" t="s">
        <v>34024</v>
      </c>
      <c r="C15112" s="30" t="s">
        <v>4450</v>
      </c>
      <c r="D15112" s="30" t="s">
        <v>17</v>
      </c>
      <c r="E15112" s="30" t="s">
        <v>18</v>
      </c>
      <c r="F15112" s="30" t="s">
        <v>19</v>
      </c>
      <c r="G15112" s="30" t="s">
        <v>20</v>
      </c>
      <c r="H15112" s="32">
        <v>240</v>
      </c>
      <c r="I15112" s="30" t="s">
        <v>21</v>
      </c>
      <c r="J15112" s="41">
        <v>45107</v>
      </c>
      <c r="K15112" s="30" t="s">
        <v>22</v>
      </c>
    </row>
    <row r="15113" spans="1:11">
      <c r="A15113" s="33" t="s">
        <v>34025</v>
      </c>
      <c r="B15113" s="33" t="s">
        <v>34026</v>
      </c>
      <c r="C15113" s="33" t="s">
        <v>136</v>
      </c>
      <c r="D15113" s="33" t="s">
        <v>17</v>
      </c>
      <c r="E15113" s="33" t="s">
        <v>18</v>
      </c>
      <c r="F15113" s="33" t="s">
        <v>19</v>
      </c>
      <c r="G15113" s="33" t="s">
        <v>20</v>
      </c>
      <c r="H15113" s="35">
        <v>257</v>
      </c>
      <c r="I15113" s="33" t="s">
        <v>21</v>
      </c>
      <c r="J15113" s="42">
        <v>44962</v>
      </c>
      <c r="K15113" s="33" t="s">
        <v>22</v>
      </c>
    </row>
    <row r="15114" spans="1:11">
      <c r="A15114" s="30" t="s">
        <v>34027</v>
      </c>
      <c r="B15114" s="30" t="s">
        <v>34028</v>
      </c>
      <c r="C15114" s="30" t="s">
        <v>1504</v>
      </c>
      <c r="D15114" s="30" t="s">
        <v>17</v>
      </c>
      <c r="E15114" s="30" t="s">
        <v>26</v>
      </c>
      <c r="F15114" s="30" t="s">
        <v>27</v>
      </c>
      <c r="G15114" s="30" t="s">
        <v>20</v>
      </c>
      <c r="H15114" s="32">
        <v>32</v>
      </c>
      <c r="I15114" s="30" t="s">
        <v>21</v>
      </c>
      <c r="J15114" s="41">
        <v>45005</v>
      </c>
      <c r="K15114" s="30" t="s">
        <v>22</v>
      </c>
    </row>
    <row r="15115" spans="1:11">
      <c r="A15115" s="33" t="s">
        <v>34029</v>
      </c>
      <c r="B15115" s="33" t="s">
        <v>34030</v>
      </c>
      <c r="C15115" s="33" t="s">
        <v>15917</v>
      </c>
      <c r="D15115" s="33" t="s">
        <v>17</v>
      </c>
      <c r="E15115" s="33" t="s">
        <v>26</v>
      </c>
      <c r="F15115" s="33" t="s">
        <v>27</v>
      </c>
      <c r="G15115" s="33" t="s">
        <v>20</v>
      </c>
      <c r="H15115" s="35">
        <v>72</v>
      </c>
      <c r="I15115" s="33" t="s">
        <v>21</v>
      </c>
      <c r="J15115" s="42">
        <v>45126</v>
      </c>
      <c r="K15115" s="33" t="s">
        <v>22</v>
      </c>
    </row>
    <row r="15116" spans="1:11">
      <c r="A15116" s="30" t="s">
        <v>34031</v>
      </c>
      <c r="B15116" s="30" t="s">
        <v>34032</v>
      </c>
      <c r="C15116" s="30" t="s">
        <v>34033</v>
      </c>
      <c r="D15116" s="30" t="s">
        <v>17</v>
      </c>
      <c r="E15116" s="30" t="s">
        <v>18</v>
      </c>
      <c r="F15116" s="30" t="s">
        <v>19</v>
      </c>
      <c r="G15116" s="30" t="s">
        <v>50</v>
      </c>
      <c r="H15116" s="32">
        <v>150</v>
      </c>
      <c r="I15116" s="30" t="s">
        <v>51</v>
      </c>
      <c r="J15116" s="41">
        <v>45261</v>
      </c>
      <c r="K15116" s="30" t="s">
        <v>22</v>
      </c>
    </row>
    <row r="15117" spans="1:11">
      <c r="A15117" s="33" t="s">
        <v>34034</v>
      </c>
      <c r="B15117" s="33" t="s">
        <v>34035</v>
      </c>
      <c r="C15117" s="33" t="s">
        <v>1343</v>
      </c>
      <c r="D15117" s="33" t="s">
        <v>17</v>
      </c>
      <c r="E15117" s="33" t="s">
        <v>212</v>
      </c>
      <c r="F15117" s="33" t="s">
        <v>213</v>
      </c>
      <c r="G15117" s="33" t="s">
        <v>20</v>
      </c>
      <c r="H15117" s="35">
        <v>50</v>
      </c>
      <c r="I15117" s="33" t="s">
        <v>21</v>
      </c>
      <c r="J15117" s="42">
        <v>45257</v>
      </c>
      <c r="K15117" s="33" t="s">
        <v>22</v>
      </c>
    </row>
    <row r="15118" spans="1:11">
      <c r="A15118" s="30" t="s">
        <v>34036</v>
      </c>
      <c r="B15118" s="30" t="s">
        <v>34037</v>
      </c>
      <c r="C15118" s="30" t="s">
        <v>5058</v>
      </c>
      <c r="D15118" s="30" t="s">
        <v>17</v>
      </c>
      <c r="E15118" s="30" t="s">
        <v>67</v>
      </c>
      <c r="F15118" s="30" t="s">
        <v>68</v>
      </c>
      <c r="G15118" s="30" t="s">
        <v>158</v>
      </c>
      <c r="H15118" s="32">
        <v>10</v>
      </c>
      <c r="I15118" s="30" t="s">
        <v>51</v>
      </c>
      <c r="J15118" s="41">
        <v>44930</v>
      </c>
      <c r="K15118" s="30" t="s">
        <v>22</v>
      </c>
    </row>
    <row r="15119" spans="1:11">
      <c r="A15119" s="33" t="s">
        <v>34038</v>
      </c>
      <c r="B15119" s="33" t="s">
        <v>34039</v>
      </c>
      <c r="C15119" s="33" t="s">
        <v>1826</v>
      </c>
      <c r="D15119" s="33" t="s">
        <v>17</v>
      </c>
      <c r="E15119" s="33" t="s">
        <v>31</v>
      </c>
      <c r="F15119" s="33" t="s">
        <v>32</v>
      </c>
      <c r="G15119" s="33" t="s">
        <v>140</v>
      </c>
      <c r="H15119" s="35">
        <v>60</v>
      </c>
      <c r="I15119" s="33" t="s">
        <v>51</v>
      </c>
      <c r="J15119" s="42">
        <v>44964</v>
      </c>
      <c r="K15119" s="33" t="s">
        <v>22</v>
      </c>
    </row>
    <row r="15120" spans="1:11">
      <c r="A15120" s="30" t="s">
        <v>34040</v>
      </c>
      <c r="B15120" s="30" t="s">
        <v>34041</v>
      </c>
      <c r="C15120" s="30" t="s">
        <v>12662</v>
      </c>
      <c r="D15120" s="30" t="s">
        <v>17</v>
      </c>
      <c r="E15120" s="30" t="s">
        <v>31</v>
      </c>
      <c r="F15120" s="30" t="s">
        <v>32</v>
      </c>
      <c r="G15120" s="30" t="s">
        <v>50</v>
      </c>
      <c r="H15120" s="32">
        <v>60</v>
      </c>
      <c r="I15120" s="30" t="s">
        <v>51</v>
      </c>
      <c r="J15120" s="41">
        <v>45170</v>
      </c>
      <c r="K15120" s="30" t="s">
        <v>22</v>
      </c>
    </row>
    <row r="15121" spans="1:11">
      <c r="A15121" s="33" t="s">
        <v>34042</v>
      </c>
      <c r="B15121" s="33" t="s">
        <v>34043</v>
      </c>
      <c r="C15121" s="33" t="s">
        <v>33111</v>
      </c>
      <c r="D15121" s="33" t="s">
        <v>17</v>
      </c>
      <c r="E15121" s="33" t="s">
        <v>26</v>
      </c>
      <c r="F15121" s="33" t="s">
        <v>27</v>
      </c>
      <c r="G15121" s="33" t="s">
        <v>20</v>
      </c>
      <c r="H15121" s="35">
        <v>77</v>
      </c>
      <c r="I15121" s="33" t="s">
        <v>21</v>
      </c>
      <c r="J15121" s="42">
        <v>45162</v>
      </c>
      <c r="K15121" s="33" t="s">
        <v>22</v>
      </c>
    </row>
    <row r="15122" spans="1:11">
      <c r="A15122" s="30" t="s">
        <v>34044</v>
      </c>
      <c r="B15122" s="30" t="s">
        <v>34045</v>
      </c>
      <c r="C15122" s="30" t="s">
        <v>34046</v>
      </c>
      <c r="D15122" s="30" t="s">
        <v>17</v>
      </c>
      <c r="E15122" s="30" t="s">
        <v>26</v>
      </c>
      <c r="F15122" s="30" t="s">
        <v>27</v>
      </c>
      <c r="G15122" s="30" t="s">
        <v>158</v>
      </c>
      <c r="H15122" s="32">
        <v>24</v>
      </c>
      <c r="I15122" s="30" t="s">
        <v>21</v>
      </c>
      <c r="J15122" s="41">
        <v>45231</v>
      </c>
      <c r="K15122" s="30" t="s">
        <v>22</v>
      </c>
    </row>
    <row r="15123" spans="1:11">
      <c r="A15123" s="33" t="s">
        <v>34047</v>
      </c>
      <c r="B15123" s="33" t="s">
        <v>34048</v>
      </c>
      <c r="C15123" s="33" t="s">
        <v>231</v>
      </c>
      <c r="D15123" s="33" t="s">
        <v>17</v>
      </c>
      <c r="E15123" s="33" t="s">
        <v>26</v>
      </c>
      <c r="F15123" s="33" t="s">
        <v>27</v>
      </c>
      <c r="G15123" s="33" t="s">
        <v>20</v>
      </c>
      <c r="H15123" s="35">
        <v>24</v>
      </c>
      <c r="I15123" s="33" t="s">
        <v>21</v>
      </c>
      <c r="J15123" s="42">
        <v>45120</v>
      </c>
      <c r="K15123" s="33" t="s">
        <v>22</v>
      </c>
    </row>
    <row r="15124" spans="1:11">
      <c r="A15124" s="30" t="s">
        <v>34049</v>
      </c>
      <c r="B15124" s="30" t="s">
        <v>34050</v>
      </c>
      <c r="C15124" s="30" t="s">
        <v>12357</v>
      </c>
      <c r="D15124" s="30" t="s">
        <v>17</v>
      </c>
      <c r="E15124" s="30" t="s">
        <v>31</v>
      </c>
      <c r="F15124" s="30" t="s">
        <v>32</v>
      </c>
      <c r="G15124" s="30" t="s">
        <v>106</v>
      </c>
      <c r="H15124" s="32">
        <v>15</v>
      </c>
      <c r="I15124" s="30" t="s">
        <v>21</v>
      </c>
      <c r="J15124" s="41">
        <v>45109</v>
      </c>
      <c r="K15124" s="30" t="s">
        <v>22</v>
      </c>
    </row>
    <row r="15125" spans="1:11">
      <c r="A15125" s="33" t="s">
        <v>34051</v>
      </c>
      <c r="B15125" s="33" t="s">
        <v>34052</v>
      </c>
      <c r="C15125" s="33" t="s">
        <v>11145</v>
      </c>
      <c r="D15125" s="33" t="s">
        <v>17</v>
      </c>
      <c r="E15125" s="33" t="s">
        <v>18</v>
      </c>
      <c r="F15125" s="33" t="s">
        <v>19</v>
      </c>
      <c r="G15125" s="33" t="s">
        <v>20</v>
      </c>
      <c r="H15125" s="35">
        <v>410</v>
      </c>
      <c r="I15125" s="33" t="s">
        <v>21</v>
      </c>
      <c r="J15125" s="42">
        <v>45289</v>
      </c>
      <c r="K15125" s="33" t="s">
        <v>22</v>
      </c>
    </row>
    <row r="15126" spans="1:11">
      <c r="A15126" s="30" t="s">
        <v>34053</v>
      </c>
      <c r="B15126" s="30" t="s">
        <v>34054</v>
      </c>
      <c r="C15126" s="30" t="s">
        <v>4029</v>
      </c>
      <c r="D15126" s="30" t="s">
        <v>17</v>
      </c>
      <c r="E15126" s="30" t="s">
        <v>18</v>
      </c>
      <c r="F15126" s="30" t="s">
        <v>19</v>
      </c>
      <c r="G15126" s="30" t="s">
        <v>158</v>
      </c>
      <c r="H15126" s="32">
        <v>138</v>
      </c>
      <c r="I15126" s="30" t="s">
        <v>21</v>
      </c>
      <c r="J15126" s="41">
        <v>45054</v>
      </c>
      <c r="K15126" s="30" t="s">
        <v>22</v>
      </c>
    </row>
    <row r="15127" spans="1:11">
      <c r="A15127" s="33" t="s">
        <v>34055</v>
      </c>
      <c r="B15127" s="33" t="s">
        <v>34056</v>
      </c>
      <c r="C15127" s="33" t="s">
        <v>34057</v>
      </c>
      <c r="D15127" s="33" t="s">
        <v>17</v>
      </c>
      <c r="E15127" s="33" t="s">
        <v>26</v>
      </c>
      <c r="F15127" s="33" t="s">
        <v>27</v>
      </c>
      <c r="G15127" s="33" t="s">
        <v>158</v>
      </c>
      <c r="H15127" s="35">
        <v>24</v>
      </c>
      <c r="I15127" s="33" t="s">
        <v>51</v>
      </c>
      <c r="J15127" s="42">
        <v>44992</v>
      </c>
      <c r="K15127" s="33" t="s">
        <v>22</v>
      </c>
    </row>
    <row r="15128" spans="1:11">
      <c r="A15128" s="30" t="s">
        <v>34058</v>
      </c>
      <c r="B15128" s="30" t="s">
        <v>34059</v>
      </c>
      <c r="C15128" s="30" t="s">
        <v>969</v>
      </c>
      <c r="D15128" s="30" t="s">
        <v>17</v>
      </c>
      <c r="E15128" s="30" t="s">
        <v>26</v>
      </c>
      <c r="F15128" s="30" t="s">
        <v>27</v>
      </c>
      <c r="G15128" s="30" t="s">
        <v>20</v>
      </c>
      <c r="H15128" s="32">
        <v>38</v>
      </c>
      <c r="I15128" s="30" t="s">
        <v>21</v>
      </c>
      <c r="J15128" s="41">
        <v>45201</v>
      </c>
      <c r="K15128" s="30" t="s">
        <v>22</v>
      </c>
    </row>
    <row r="15129" spans="1:11">
      <c r="A15129" s="33" t="s">
        <v>34060</v>
      </c>
      <c r="B15129" s="33" t="s">
        <v>34061</v>
      </c>
      <c r="C15129" s="33" t="s">
        <v>3296</v>
      </c>
      <c r="D15129" s="33" t="s">
        <v>17</v>
      </c>
      <c r="E15129" s="33" t="s">
        <v>212</v>
      </c>
      <c r="F15129" s="33" t="s">
        <v>213</v>
      </c>
      <c r="G15129" s="33" t="s">
        <v>20</v>
      </c>
      <c r="H15129" s="35">
        <v>149</v>
      </c>
      <c r="I15129" s="33" t="s">
        <v>21</v>
      </c>
      <c r="J15129" s="42">
        <v>44929</v>
      </c>
      <c r="K15129" s="33" t="s">
        <v>22</v>
      </c>
    </row>
    <row r="15130" spans="1:11">
      <c r="A15130" s="30" t="s">
        <v>34062</v>
      </c>
      <c r="B15130" s="30" t="s">
        <v>34063</v>
      </c>
      <c r="C15130" s="30" t="s">
        <v>21337</v>
      </c>
      <c r="D15130" s="30" t="s">
        <v>17</v>
      </c>
      <c r="E15130" s="30" t="s">
        <v>67</v>
      </c>
      <c r="F15130" s="30" t="s">
        <v>68</v>
      </c>
      <c r="G15130" s="30" t="s">
        <v>140</v>
      </c>
      <c r="H15130" s="32">
        <v>270</v>
      </c>
      <c r="I15130" s="30" t="s">
        <v>51</v>
      </c>
      <c r="J15130" s="41">
        <v>45055</v>
      </c>
      <c r="K15130" s="30" t="s">
        <v>22</v>
      </c>
    </row>
    <row r="15131" spans="1:11">
      <c r="A15131" s="33" t="s">
        <v>34064</v>
      </c>
      <c r="B15131" s="33" t="s">
        <v>34065</v>
      </c>
      <c r="C15131" s="33" t="s">
        <v>12198</v>
      </c>
      <c r="D15131" s="33" t="s">
        <v>17</v>
      </c>
      <c r="E15131" s="33" t="s">
        <v>18</v>
      </c>
      <c r="F15131" s="33" t="s">
        <v>19</v>
      </c>
      <c r="G15131" s="33" t="s">
        <v>140</v>
      </c>
      <c r="H15131" s="35">
        <v>1600</v>
      </c>
      <c r="I15131" s="33" t="s">
        <v>51</v>
      </c>
      <c r="J15131" s="42">
        <v>45225</v>
      </c>
      <c r="K15131" s="33" t="s">
        <v>22</v>
      </c>
    </row>
    <row r="15132" spans="1:11">
      <c r="A15132" s="30" t="s">
        <v>34066</v>
      </c>
      <c r="B15132" s="30" t="s">
        <v>34067</v>
      </c>
      <c r="C15132" s="30" t="s">
        <v>22573</v>
      </c>
      <c r="D15132" s="30" t="s">
        <v>17</v>
      </c>
      <c r="E15132" s="30" t="s">
        <v>67</v>
      </c>
      <c r="F15132" s="30" t="s">
        <v>68</v>
      </c>
      <c r="G15132" s="30" t="s">
        <v>140</v>
      </c>
      <c r="H15132" s="32">
        <v>862</v>
      </c>
      <c r="I15132" s="30" t="s">
        <v>51</v>
      </c>
      <c r="J15132" s="41">
        <v>45155</v>
      </c>
      <c r="K15132" s="30" t="s">
        <v>22</v>
      </c>
    </row>
    <row r="15133" spans="1:11">
      <c r="A15133" s="33" t="s">
        <v>34068</v>
      </c>
      <c r="B15133" s="33" t="s">
        <v>34069</v>
      </c>
      <c r="C15133" s="33" t="s">
        <v>321</v>
      </c>
      <c r="D15133" s="33" t="s">
        <v>17</v>
      </c>
      <c r="E15133" s="33" t="s">
        <v>18</v>
      </c>
      <c r="F15133" s="33" t="s">
        <v>19</v>
      </c>
      <c r="G15133" s="33" t="s">
        <v>158</v>
      </c>
      <c r="H15133" s="35">
        <v>451</v>
      </c>
      <c r="I15133" s="33" t="s">
        <v>21</v>
      </c>
      <c r="J15133" s="42">
        <v>45103</v>
      </c>
      <c r="K15133" s="33" t="s">
        <v>22</v>
      </c>
    </row>
    <row r="15134" spans="1:11">
      <c r="A15134" s="30" t="s">
        <v>34070</v>
      </c>
      <c r="B15134" s="30" t="s">
        <v>34071</v>
      </c>
      <c r="C15134" s="30" t="s">
        <v>34072</v>
      </c>
      <c r="D15134" s="30" t="s">
        <v>17</v>
      </c>
      <c r="E15134" s="30" t="s">
        <v>330</v>
      </c>
      <c r="F15134" s="30" t="s">
        <v>331</v>
      </c>
      <c r="G15134" s="30" t="s">
        <v>140</v>
      </c>
      <c r="H15134" s="32">
        <v>10</v>
      </c>
      <c r="I15134" s="30" t="s">
        <v>51</v>
      </c>
      <c r="J15134" s="41">
        <v>45045</v>
      </c>
      <c r="K15134" s="30" t="s">
        <v>22</v>
      </c>
    </row>
    <row r="15135" spans="1:11">
      <c r="A15135" s="33" t="s">
        <v>34073</v>
      </c>
      <c r="B15135" s="33" t="s">
        <v>34074</v>
      </c>
      <c r="C15135" s="33" t="s">
        <v>34075</v>
      </c>
      <c r="D15135" s="33" t="s">
        <v>17</v>
      </c>
      <c r="E15135" s="33" t="s">
        <v>31</v>
      </c>
      <c r="F15135" s="33" t="s">
        <v>32</v>
      </c>
      <c r="G15135" s="33" t="s">
        <v>106</v>
      </c>
      <c r="H15135" s="35">
        <v>103</v>
      </c>
      <c r="I15135" s="33" t="s">
        <v>21</v>
      </c>
      <c r="J15135" s="42">
        <v>44964</v>
      </c>
      <c r="K15135" s="33" t="s">
        <v>22</v>
      </c>
    </row>
    <row r="15136" spans="1:11">
      <c r="A15136" s="30" t="s">
        <v>34076</v>
      </c>
      <c r="B15136" s="30" t="s">
        <v>34077</v>
      </c>
      <c r="C15136" s="30" t="s">
        <v>34078</v>
      </c>
      <c r="D15136" s="30" t="s">
        <v>17</v>
      </c>
      <c r="E15136" s="30" t="s">
        <v>31</v>
      </c>
      <c r="F15136" s="30" t="s">
        <v>32</v>
      </c>
      <c r="G15136" s="30" t="s">
        <v>20</v>
      </c>
      <c r="H15136" s="32">
        <v>12</v>
      </c>
      <c r="I15136" s="30" t="s">
        <v>21</v>
      </c>
      <c r="J15136" s="41">
        <v>45197</v>
      </c>
      <c r="K15136" s="30" t="s">
        <v>22</v>
      </c>
    </row>
    <row r="15137" spans="1:11">
      <c r="A15137" s="33" t="s">
        <v>34079</v>
      </c>
      <c r="B15137" s="33" t="s">
        <v>34080</v>
      </c>
      <c r="C15137" s="33" t="s">
        <v>271</v>
      </c>
      <c r="D15137" s="33" t="s">
        <v>17</v>
      </c>
      <c r="E15137" s="33" t="s">
        <v>18</v>
      </c>
      <c r="F15137" s="33" t="s">
        <v>19</v>
      </c>
      <c r="G15137" s="33" t="s">
        <v>158</v>
      </c>
      <c r="H15137" s="35">
        <v>257</v>
      </c>
      <c r="I15137" s="33" t="s">
        <v>21</v>
      </c>
      <c r="J15137" s="42">
        <v>45034</v>
      </c>
      <c r="K15137" s="33" t="s">
        <v>22</v>
      </c>
    </row>
    <row r="15138" spans="1:11">
      <c r="A15138" s="30" t="s">
        <v>34081</v>
      </c>
      <c r="B15138" s="30" t="s">
        <v>34082</v>
      </c>
      <c r="C15138" s="30" t="s">
        <v>7581</v>
      </c>
      <c r="D15138" s="30" t="s">
        <v>17</v>
      </c>
      <c r="E15138" s="30" t="s">
        <v>18</v>
      </c>
      <c r="F15138" s="30" t="s">
        <v>19</v>
      </c>
      <c r="G15138" s="30" t="s">
        <v>20</v>
      </c>
      <c r="H15138" s="32">
        <v>422</v>
      </c>
      <c r="I15138" s="30" t="s">
        <v>21</v>
      </c>
      <c r="J15138" s="41">
        <v>45281</v>
      </c>
      <c r="K15138" s="30" t="s">
        <v>22</v>
      </c>
    </row>
    <row r="15139" spans="1:11">
      <c r="A15139" s="33" t="s">
        <v>34083</v>
      </c>
      <c r="B15139" s="33" t="s">
        <v>34084</v>
      </c>
      <c r="C15139" s="33" t="s">
        <v>10183</v>
      </c>
      <c r="D15139" s="33" t="s">
        <v>17</v>
      </c>
      <c r="E15139" s="33" t="s">
        <v>26</v>
      </c>
      <c r="F15139" s="33" t="s">
        <v>27</v>
      </c>
      <c r="G15139" s="33" t="s">
        <v>20</v>
      </c>
      <c r="H15139" s="35">
        <v>16</v>
      </c>
      <c r="I15139" s="33" t="s">
        <v>21</v>
      </c>
      <c r="J15139" s="42">
        <v>44998</v>
      </c>
      <c r="K15139" s="33" t="s">
        <v>22</v>
      </c>
    </row>
    <row r="15140" spans="1:11">
      <c r="A15140" s="30" t="s">
        <v>34085</v>
      </c>
      <c r="B15140" s="30" t="s">
        <v>34086</v>
      </c>
      <c r="C15140" s="30" t="s">
        <v>118</v>
      </c>
      <c r="D15140" s="30" t="s">
        <v>17</v>
      </c>
      <c r="E15140" s="30" t="s">
        <v>212</v>
      </c>
      <c r="F15140" s="30" t="s">
        <v>213</v>
      </c>
      <c r="G15140" s="30" t="s">
        <v>20</v>
      </c>
      <c r="H15140" s="32">
        <v>200</v>
      </c>
      <c r="I15140" s="30" t="s">
        <v>21</v>
      </c>
      <c r="J15140" s="41">
        <v>44965</v>
      </c>
      <c r="K15140" s="30" t="s">
        <v>22</v>
      </c>
    </row>
    <row r="15141" spans="1:11">
      <c r="A15141" s="33" t="s">
        <v>34087</v>
      </c>
      <c r="B15141" s="33" t="s">
        <v>34088</v>
      </c>
      <c r="C15141" s="33" t="s">
        <v>34089</v>
      </c>
      <c r="D15141" s="33" t="s">
        <v>17</v>
      </c>
      <c r="E15141" s="33" t="s">
        <v>67</v>
      </c>
      <c r="F15141" s="33" t="s">
        <v>68</v>
      </c>
      <c r="G15141" s="33" t="s">
        <v>20</v>
      </c>
      <c r="H15141" s="35">
        <v>33</v>
      </c>
      <c r="I15141" s="33" t="s">
        <v>21</v>
      </c>
      <c r="J15141" s="42">
        <v>45089</v>
      </c>
      <c r="K15141" s="33" t="s">
        <v>22</v>
      </c>
    </row>
    <row r="15142" spans="1:11">
      <c r="A15142" s="30" t="s">
        <v>34090</v>
      </c>
      <c r="B15142" s="30" t="s">
        <v>34091</v>
      </c>
      <c r="C15142" s="30" t="s">
        <v>1313</v>
      </c>
      <c r="D15142" s="30" t="s">
        <v>17</v>
      </c>
      <c r="E15142" s="30" t="s">
        <v>26</v>
      </c>
      <c r="F15142" s="30" t="s">
        <v>27</v>
      </c>
      <c r="G15142" s="30" t="s">
        <v>50</v>
      </c>
      <c r="H15142" s="32">
        <v>34</v>
      </c>
      <c r="I15142" s="30" t="s">
        <v>51</v>
      </c>
      <c r="J15142" s="41">
        <v>44986</v>
      </c>
      <c r="K15142" s="30" t="s">
        <v>22</v>
      </c>
    </row>
    <row r="15143" spans="1:11">
      <c r="A15143" s="33" t="s">
        <v>34092</v>
      </c>
      <c r="B15143" s="33" t="s">
        <v>34093</v>
      </c>
      <c r="C15143" s="33" t="s">
        <v>15659</v>
      </c>
      <c r="D15143" s="33" t="s">
        <v>17</v>
      </c>
      <c r="E15143" s="33" t="s">
        <v>45</v>
      </c>
      <c r="F15143" s="33" t="s">
        <v>46</v>
      </c>
      <c r="G15143" s="33" t="s">
        <v>20</v>
      </c>
      <c r="H15143" s="35">
        <v>272</v>
      </c>
      <c r="I15143" s="33" t="s">
        <v>21</v>
      </c>
      <c r="J15143" s="42">
        <v>44985</v>
      </c>
      <c r="K15143" s="33" t="s">
        <v>22</v>
      </c>
    </row>
    <row r="15144" spans="1:11">
      <c r="A15144" s="30" t="s">
        <v>34094</v>
      </c>
      <c r="B15144" s="30" t="s">
        <v>34095</v>
      </c>
      <c r="C15144" s="30" t="s">
        <v>3647</v>
      </c>
      <c r="D15144" s="30" t="s">
        <v>17</v>
      </c>
      <c r="E15144" s="30" t="s">
        <v>67</v>
      </c>
      <c r="F15144" s="30" t="s">
        <v>68</v>
      </c>
      <c r="G15144" s="30" t="s">
        <v>140</v>
      </c>
      <c r="H15144" s="32">
        <v>45</v>
      </c>
      <c r="I15144" s="30" t="s">
        <v>51</v>
      </c>
      <c r="J15144" s="41">
        <v>45259</v>
      </c>
      <c r="K15144" s="30" t="s">
        <v>22</v>
      </c>
    </row>
    <row r="15145" spans="1:11">
      <c r="A15145" s="33" t="s">
        <v>34096</v>
      </c>
      <c r="B15145" s="33" t="s">
        <v>34097</v>
      </c>
      <c r="C15145" s="33" t="s">
        <v>130</v>
      </c>
      <c r="D15145" s="33" t="s">
        <v>17</v>
      </c>
      <c r="E15145" s="33" t="s">
        <v>18</v>
      </c>
      <c r="F15145" s="33" t="s">
        <v>19</v>
      </c>
      <c r="G15145" s="33" t="s">
        <v>112</v>
      </c>
      <c r="H15145" s="35">
        <v>0</v>
      </c>
      <c r="I15145" s="33" t="s">
        <v>21</v>
      </c>
      <c r="J15145" s="42">
        <v>44957</v>
      </c>
      <c r="K15145" s="33" t="s">
        <v>22</v>
      </c>
    </row>
    <row r="15146" spans="1:11">
      <c r="A15146" s="30" t="s">
        <v>34098</v>
      </c>
      <c r="B15146" s="30" t="s">
        <v>34099</v>
      </c>
      <c r="C15146" s="30" t="s">
        <v>34100</v>
      </c>
      <c r="D15146" s="30" t="s">
        <v>17</v>
      </c>
      <c r="E15146" s="30" t="s">
        <v>67</v>
      </c>
      <c r="F15146" s="30" t="s">
        <v>68</v>
      </c>
      <c r="G15146" s="30" t="s">
        <v>158</v>
      </c>
      <c r="H15146" s="32">
        <v>16</v>
      </c>
      <c r="I15146" s="30" t="s">
        <v>51</v>
      </c>
      <c r="J15146" s="41">
        <v>45079</v>
      </c>
      <c r="K15146" s="30" t="s">
        <v>22</v>
      </c>
    </row>
    <row r="15147" spans="1:11">
      <c r="A15147" s="33" t="s">
        <v>34101</v>
      </c>
      <c r="B15147" s="33" t="s">
        <v>34102</v>
      </c>
      <c r="C15147" s="33" t="s">
        <v>1480</v>
      </c>
      <c r="D15147" s="33" t="s">
        <v>17</v>
      </c>
      <c r="E15147" s="33" t="s">
        <v>212</v>
      </c>
      <c r="F15147" s="33" t="s">
        <v>213</v>
      </c>
      <c r="G15147" s="33" t="s">
        <v>20</v>
      </c>
      <c r="H15147" s="35">
        <v>137</v>
      </c>
      <c r="I15147" s="33" t="s">
        <v>21</v>
      </c>
      <c r="J15147" s="42">
        <v>45133</v>
      </c>
      <c r="K15147" s="33" t="s">
        <v>22</v>
      </c>
    </row>
    <row r="15148" spans="1:11">
      <c r="A15148" s="30" t="s">
        <v>34103</v>
      </c>
      <c r="B15148" s="30" t="s">
        <v>34104</v>
      </c>
      <c r="C15148" s="30" t="s">
        <v>190</v>
      </c>
      <c r="D15148" s="30" t="s">
        <v>17</v>
      </c>
      <c r="E15148" s="30" t="s">
        <v>31</v>
      </c>
      <c r="F15148" s="30" t="s">
        <v>32</v>
      </c>
      <c r="G15148" s="30" t="s">
        <v>20</v>
      </c>
      <c r="H15148" s="32">
        <v>220</v>
      </c>
      <c r="I15148" s="30" t="s">
        <v>21</v>
      </c>
      <c r="J15148" s="41">
        <v>45000</v>
      </c>
      <c r="K15148" s="30" t="s">
        <v>22</v>
      </c>
    </row>
    <row r="15149" spans="1:11">
      <c r="A15149" s="33" t="s">
        <v>34105</v>
      </c>
      <c r="B15149" s="33" t="s">
        <v>34106</v>
      </c>
      <c r="C15149" s="33" t="s">
        <v>1024</v>
      </c>
      <c r="D15149" s="33" t="s">
        <v>17</v>
      </c>
      <c r="E15149" s="33" t="s">
        <v>26</v>
      </c>
      <c r="F15149" s="33" t="s">
        <v>27</v>
      </c>
      <c r="G15149" s="33" t="s">
        <v>106</v>
      </c>
      <c r="H15149" s="35">
        <v>84</v>
      </c>
      <c r="I15149" s="33" t="s">
        <v>21</v>
      </c>
      <c r="J15149" s="42">
        <v>45184</v>
      </c>
      <c r="K15149" s="33" t="s">
        <v>22</v>
      </c>
    </row>
    <row r="15150" spans="1:11">
      <c r="A15150" s="30" t="s">
        <v>34107</v>
      </c>
      <c r="B15150" s="30" t="s">
        <v>34108</v>
      </c>
      <c r="C15150" s="30" t="s">
        <v>7255</v>
      </c>
      <c r="D15150" s="30" t="s">
        <v>17</v>
      </c>
      <c r="E15150" s="30" t="s">
        <v>26</v>
      </c>
      <c r="F15150" s="30" t="s">
        <v>27</v>
      </c>
      <c r="G15150" s="30" t="s">
        <v>140</v>
      </c>
      <c r="H15150" s="32">
        <v>79</v>
      </c>
      <c r="I15150" s="30" t="s">
        <v>51</v>
      </c>
      <c r="J15150" s="41">
        <v>44928</v>
      </c>
      <c r="K15150" s="30" t="s">
        <v>22</v>
      </c>
    </row>
    <row r="15151" spans="1:11">
      <c r="A15151" s="33" t="s">
        <v>34109</v>
      </c>
      <c r="B15151" s="33" t="s">
        <v>34110</v>
      </c>
      <c r="C15151" s="33" t="s">
        <v>34111</v>
      </c>
      <c r="D15151" s="33" t="s">
        <v>17</v>
      </c>
      <c r="E15151" s="33" t="s">
        <v>67</v>
      </c>
      <c r="F15151" s="33" t="s">
        <v>68</v>
      </c>
      <c r="G15151" s="33" t="s">
        <v>140</v>
      </c>
      <c r="H15151" s="35">
        <v>48</v>
      </c>
      <c r="I15151" s="33" t="s">
        <v>51</v>
      </c>
      <c r="J15151" s="42">
        <v>45272</v>
      </c>
      <c r="K15151" s="33" t="s">
        <v>22</v>
      </c>
    </row>
    <row r="15152" spans="1:11">
      <c r="A15152" s="30" t="s">
        <v>34112</v>
      </c>
      <c r="B15152" s="30" t="s">
        <v>34113</v>
      </c>
      <c r="C15152" s="30" t="s">
        <v>19656</v>
      </c>
      <c r="D15152" s="30" t="s">
        <v>17</v>
      </c>
      <c r="E15152" s="30" t="s">
        <v>26</v>
      </c>
      <c r="F15152" s="30" t="s">
        <v>27</v>
      </c>
      <c r="G15152" s="30" t="s">
        <v>20</v>
      </c>
      <c r="H15152" s="32">
        <v>74</v>
      </c>
      <c r="I15152" s="30" t="s">
        <v>21</v>
      </c>
      <c r="J15152" s="41">
        <v>45236</v>
      </c>
      <c r="K15152" s="30" t="s">
        <v>22</v>
      </c>
    </row>
    <row r="15153" spans="1:11">
      <c r="A15153" s="33" t="s">
        <v>34114</v>
      </c>
      <c r="B15153" s="33" t="s">
        <v>34115</v>
      </c>
      <c r="C15153" s="33" t="s">
        <v>149</v>
      </c>
      <c r="D15153" s="33" t="s">
        <v>17</v>
      </c>
      <c r="E15153" s="33" t="s">
        <v>26</v>
      </c>
      <c r="F15153" s="33" t="s">
        <v>27</v>
      </c>
      <c r="G15153" s="33" t="s">
        <v>50</v>
      </c>
      <c r="H15153" s="35">
        <v>52</v>
      </c>
      <c r="I15153" s="33" t="s">
        <v>51</v>
      </c>
      <c r="J15153" s="42">
        <v>45086</v>
      </c>
      <c r="K15153" s="33" t="s">
        <v>22</v>
      </c>
    </row>
    <row r="15154" spans="1:11">
      <c r="A15154" s="30" t="s">
        <v>34116</v>
      </c>
      <c r="B15154" s="30" t="s">
        <v>34117</v>
      </c>
      <c r="C15154" s="30" t="s">
        <v>2753</v>
      </c>
      <c r="D15154" s="30" t="s">
        <v>17</v>
      </c>
      <c r="E15154" s="30" t="s">
        <v>26</v>
      </c>
      <c r="F15154" s="30" t="s">
        <v>27</v>
      </c>
      <c r="G15154" s="30" t="s">
        <v>140</v>
      </c>
      <c r="H15154" s="32">
        <v>217</v>
      </c>
      <c r="I15154" s="30" t="s">
        <v>51</v>
      </c>
      <c r="J15154" s="41">
        <v>45190</v>
      </c>
      <c r="K15154" s="30" t="s">
        <v>22</v>
      </c>
    </row>
    <row r="15155" spans="1:11">
      <c r="A15155" s="33" t="s">
        <v>34118</v>
      </c>
      <c r="B15155" s="33" t="s">
        <v>34119</v>
      </c>
      <c r="C15155" s="33" t="s">
        <v>2323</v>
      </c>
      <c r="D15155" s="33" t="s">
        <v>17</v>
      </c>
      <c r="E15155" s="33" t="s">
        <v>31</v>
      </c>
      <c r="F15155" s="33" t="s">
        <v>32</v>
      </c>
      <c r="G15155" s="33" t="s">
        <v>140</v>
      </c>
      <c r="H15155" s="35">
        <v>30</v>
      </c>
      <c r="I15155" s="33" t="s">
        <v>51</v>
      </c>
      <c r="J15155" s="42">
        <v>44979</v>
      </c>
      <c r="K15155" s="33" t="s">
        <v>22</v>
      </c>
    </row>
    <row r="15156" spans="1:11">
      <c r="A15156" s="30" t="s">
        <v>34120</v>
      </c>
      <c r="B15156" s="30" t="s">
        <v>34121</v>
      </c>
      <c r="C15156" s="30" t="s">
        <v>387</v>
      </c>
      <c r="D15156" s="30" t="s">
        <v>17</v>
      </c>
      <c r="E15156" s="30" t="s">
        <v>26</v>
      </c>
      <c r="F15156" s="30" t="s">
        <v>27</v>
      </c>
      <c r="G15156" s="30" t="s">
        <v>20</v>
      </c>
      <c r="H15156" s="32">
        <v>26</v>
      </c>
      <c r="I15156" s="30" t="s">
        <v>21</v>
      </c>
      <c r="J15156" s="41">
        <v>45212</v>
      </c>
      <c r="K15156" s="30" t="s">
        <v>22</v>
      </c>
    </row>
    <row r="15157" spans="1:11">
      <c r="A15157" s="33" t="s">
        <v>34122</v>
      </c>
      <c r="B15157" s="33" t="s">
        <v>34123</v>
      </c>
      <c r="C15157" s="33" t="s">
        <v>34124</v>
      </c>
      <c r="D15157" s="33" t="s">
        <v>17</v>
      </c>
      <c r="E15157" s="33" t="s">
        <v>67</v>
      </c>
      <c r="F15157" s="33" t="s">
        <v>68</v>
      </c>
      <c r="G15157" s="33" t="s">
        <v>140</v>
      </c>
      <c r="H15157" s="35">
        <v>125</v>
      </c>
      <c r="I15157" s="33" t="s">
        <v>51</v>
      </c>
      <c r="J15157" s="42">
        <v>45280</v>
      </c>
      <c r="K15157" s="33" t="s">
        <v>22</v>
      </c>
    </row>
    <row r="15158" spans="1:11">
      <c r="A15158" s="30" t="s">
        <v>34125</v>
      </c>
      <c r="B15158" s="30" t="s">
        <v>34126</v>
      </c>
      <c r="C15158" s="30" t="s">
        <v>34127</v>
      </c>
      <c r="D15158" s="30" t="s">
        <v>17</v>
      </c>
      <c r="E15158" s="30" t="s">
        <v>67</v>
      </c>
      <c r="F15158" s="30" t="s">
        <v>68</v>
      </c>
      <c r="G15158" s="30" t="s">
        <v>20</v>
      </c>
      <c r="H15158" s="32">
        <v>31</v>
      </c>
      <c r="I15158" s="30" t="s">
        <v>21</v>
      </c>
      <c r="J15158" s="41">
        <v>45271</v>
      </c>
      <c r="K15158" s="30" t="s">
        <v>22</v>
      </c>
    </row>
    <row r="15159" spans="1:11">
      <c r="A15159" s="33" t="s">
        <v>34128</v>
      </c>
      <c r="B15159" s="33" t="s">
        <v>34129</v>
      </c>
      <c r="C15159" s="33" t="s">
        <v>6625</v>
      </c>
      <c r="D15159" s="33" t="s">
        <v>17</v>
      </c>
      <c r="E15159" s="33" t="s">
        <v>26</v>
      </c>
      <c r="F15159" s="33" t="s">
        <v>27</v>
      </c>
      <c r="G15159" s="33" t="s">
        <v>50</v>
      </c>
      <c r="H15159" s="35">
        <v>22</v>
      </c>
      <c r="I15159" s="33" t="s">
        <v>21</v>
      </c>
      <c r="J15159" s="42">
        <v>45049</v>
      </c>
      <c r="K15159" s="33" t="s">
        <v>22</v>
      </c>
    </row>
    <row r="15160" spans="1:11">
      <c r="A15160" s="30" t="s">
        <v>34130</v>
      </c>
      <c r="B15160" s="30" t="s">
        <v>34131</v>
      </c>
      <c r="C15160" s="30" t="s">
        <v>2684</v>
      </c>
      <c r="D15160" s="30" t="s">
        <v>17</v>
      </c>
      <c r="E15160" s="30" t="s">
        <v>67</v>
      </c>
      <c r="F15160" s="30" t="s">
        <v>68</v>
      </c>
      <c r="G15160" s="30" t="s">
        <v>140</v>
      </c>
      <c r="H15160" s="32">
        <v>65</v>
      </c>
      <c r="I15160" s="30" t="s">
        <v>51</v>
      </c>
      <c r="J15160" s="41">
        <v>44959</v>
      </c>
      <c r="K15160" s="30" t="s">
        <v>22</v>
      </c>
    </row>
    <row r="15161" spans="1:11">
      <c r="A15161" s="33" t="s">
        <v>34132</v>
      </c>
      <c r="B15161" s="33" t="s">
        <v>34133</v>
      </c>
      <c r="C15161" s="33" t="s">
        <v>124</v>
      </c>
      <c r="D15161" s="33" t="s">
        <v>17</v>
      </c>
      <c r="E15161" s="33" t="s">
        <v>26</v>
      </c>
      <c r="F15161" s="33" t="s">
        <v>27</v>
      </c>
      <c r="G15161" s="33" t="s">
        <v>140</v>
      </c>
      <c r="H15161" s="35">
        <v>220</v>
      </c>
      <c r="I15161" s="33" t="s">
        <v>51</v>
      </c>
      <c r="J15161" s="42">
        <v>45012</v>
      </c>
      <c r="K15161" s="33" t="s">
        <v>22</v>
      </c>
    </row>
    <row r="15162" spans="1:11">
      <c r="A15162" s="30" t="s">
        <v>34134</v>
      </c>
      <c r="B15162" s="30" t="s">
        <v>34135</v>
      </c>
      <c r="C15162" s="30" t="s">
        <v>13317</v>
      </c>
      <c r="D15162" s="30" t="s">
        <v>17</v>
      </c>
      <c r="E15162" s="30" t="s">
        <v>31</v>
      </c>
      <c r="F15162" s="30" t="s">
        <v>32</v>
      </c>
      <c r="G15162" s="30" t="s">
        <v>106</v>
      </c>
      <c r="H15162" s="32">
        <v>24</v>
      </c>
      <c r="I15162" s="30" t="s">
        <v>21</v>
      </c>
      <c r="J15162" s="41">
        <v>45195</v>
      </c>
      <c r="K15162" s="30" t="s">
        <v>22</v>
      </c>
    </row>
    <row r="15163" spans="1:11">
      <c r="A15163" s="33" t="s">
        <v>34136</v>
      </c>
      <c r="B15163" s="33" t="s">
        <v>34137</v>
      </c>
      <c r="C15163" s="33" t="s">
        <v>93</v>
      </c>
      <c r="D15163" s="33" t="s">
        <v>17</v>
      </c>
      <c r="E15163" s="33" t="s">
        <v>18</v>
      </c>
      <c r="F15163" s="33" t="s">
        <v>19</v>
      </c>
      <c r="G15163" s="33" t="s">
        <v>158</v>
      </c>
      <c r="H15163" s="35">
        <v>614</v>
      </c>
      <c r="I15163" s="33" t="s">
        <v>21</v>
      </c>
      <c r="J15163" s="42">
        <v>45279</v>
      </c>
      <c r="K15163" s="33" t="s">
        <v>22</v>
      </c>
    </row>
    <row r="15164" spans="1:11">
      <c r="A15164" s="30" t="s">
        <v>34138</v>
      </c>
      <c r="B15164" s="30" t="s">
        <v>34139</v>
      </c>
      <c r="C15164" s="30" t="s">
        <v>13471</v>
      </c>
      <c r="D15164" s="30" t="s">
        <v>17</v>
      </c>
      <c r="E15164" s="30" t="s">
        <v>18</v>
      </c>
      <c r="F15164" s="30" t="s">
        <v>19</v>
      </c>
      <c r="G15164" s="30" t="s">
        <v>50</v>
      </c>
      <c r="H15164" s="32">
        <v>1100</v>
      </c>
      <c r="I15164" s="30" t="s">
        <v>51</v>
      </c>
      <c r="J15164" s="41">
        <v>45017</v>
      </c>
      <c r="K15164" s="30" t="s">
        <v>22</v>
      </c>
    </row>
    <row r="15165" spans="1:11">
      <c r="A15165" s="33" t="s">
        <v>34140</v>
      </c>
      <c r="B15165" s="33" t="s">
        <v>34141</v>
      </c>
      <c r="C15165" s="33" t="s">
        <v>5246</v>
      </c>
      <c r="D15165" s="33" t="s">
        <v>17</v>
      </c>
      <c r="E15165" s="33" t="s">
        <v>26</v>
      </c>
      <c r="F15165" s="33" t="s">
        <v>27</v>
      </c>
      <c r="G15165" s="33" t="s">
        <v>20</v>
      </c>
      <c r="H15165" s="35">
        <v>28</v>
      </c>
      <c r="I15165" s="33" t="s">
        <v>21</v>
      </c>
      <c r="J15165" s="42">
        <v>45102</v>
      </c>
      <c r="K15165" s="33" t="s">
        <v>22</v>
      </c>
    </row>
    <row r="15166" spans="1:11">
      <c r="A15166" s="30" t="s">
        <v>34142</v>
      </c>
      <c r="B15166" s="30" t="s">
        <v>34143</v>
      </c>
      <c r="C15166" s="30" t="s">
        <v>2612</v>
      </c>
      <c r="D15166" s="30" t="s">
        <v>17</v>
      </c>
      <c r="E15166" s="30" t="s">
        <v>18</v>
      </c>
      <c r="F15166" s="30" t="s">
        <v>19</v>
      </c>
      <c r="G15166" s="30" t="s">
        <v>158</v>
      </c>
      <c r="H15166" s="32">
        <v>69</v>
      </c>
      <c r="I15166" s="30" t="s">
        <v>21</v>
      </c>
      <c r="J15166" s="41">
        <v>44985</v>
      </c>
      <c r="K15166" s="30" t="s">
        <v>22</v>
      </c>
    </row>
    <row r="15167" spans="1:11">
      <c r="A15167" s="33" t="s">
        <v>34144</v>
      </c>
      <c r="B15167" s="33" t="s">
        <v>34145</v>
      </c>
      <c r="C15167" s="33" t="s">
        <v>1422</v>
      </c>
      <c r="D15167" s="33" t="s">
        <v>17</v>
      </c>
      <c r="E15167" s="33" t="s">
        <v>26</v>
      </c>
      <c r="F15167" s="33" t="s">
        <v>27</v>
      </c>
      <c r="G15167" s="33" t="s">
        <v>140</v>
      </c>
      <c r="H15167" s="35">
        <v>36</v>
      </c>
      <c r="I15167" s="33" t="s">
        <v>51</v>
      </c>
      <c r="J15167" s="42">
        <v>44988</v>
      </c>
      <c r="K15167" s="33" t="s">
        <v>22</v>
      </c>
    </row>
    <row r="15168" spans="1:11">
      <c r="A15168" s="30" t="s">
        <v>34146</v>
      </c>
      <c r="B15168" s="30" t="s">
        <v>34147</v>
      </c>
      <c r="C15168" s="30" t="s">
        <v>136</v>
      </c>
      <c r="D15168" s="30" t="s">
        <v>17</v>
      </c>
      <c r="E15168" s="30" t="s">
        <v>26</v>
      </c>
      <c r="F15168" s="30" t="s">
        <v>27</v>
      </c>
      <c r="G15168" s="30" t="s">
        <v>20</v>
      </c>
      <c r="H15168" s="32">
        <v>21</v>
      </c>
      <c r="I15168" s="30" t="s">
        <v>21</v>
      </c>
      <c r="J15168" s="41">
        <v>45084</v>
      </c>
      <c r="K15168" s="30" t="s">
        <v>22</v>
      </c>
    </row>
    <row r="15169" spans="1:11">
      <c r="A15169" s="33" t="s">
        <v>34148</v>
      </c>
      <c r="B15169" s="33" t="s">
        <v>34149</v>
      </c>
      <c r="C15169" s="33" t="s">
        <v>13382</v>
      </c>
      <c r="D15169" s="33" t="s">
        <v>17</v>
      </c>
      <c r="E15169" s="33" t="s">
        <v>26</v>
      </c>
      <c r="F15169" s="33" t="s">
        <v>27</v>
      </c>
      <c r="G15169" s="33" t="s">
        <v>20</v>
      </c>
      <c r="H15169" s="35">
        <v>6</v>
      </c>
      <c r="I15169" s="33" t="s">
        <v>21</v>
      </c>
      <c r="J15169" s="42">
        <v>44978</v>
      </c>
      <c r="K15169" s="33" t="s">
        <v>22</v>
      </c>
    </row>
    <row r="15170" spans="1:11">
      <c r="A15170" s="30" t="s">
        <v>34150</v>
      </c>
      <c r="B15170" s="30" t="s">
        <v>34151</v>
      </c>
      <c r="C15170" s="30" t="s">
        <v>3775</v>
      </c>
      <c r="D15170" s="30" t="s">
        <v>17</v>
      </c>
      <c r="E15170" s="30" t="s">
        <v>18</v>
      </c>
      <c r="F15170" s="30" t="s">
        <v>19</v>
      </c>
      <c r="G15170" s="30" t="s">
        <v>20</v>
      </c>
      <c r="H15170" s="32">
        <v>148</v>
      </c>
      <c r="I15170" s="30" t="s">
        <v>21</v>
      </c>
      <c r="J15170" s="41">
        <v>45120</v>
      </c>
      <c r="K15170" s="30" t="s">
        <v>22</v>
      </c>
    </row>
    <row r="15171" spans="1:11">
      <c r="A15171" s="33" t="s">
        <v>34152</v>
      </c>
      <c r="B15171" s="33" t="s">
        <v>34153</v>
      </c>
      <c r="C15171" s="33" t="s">
        <v>34154</v>
      </c>
      <c r="D15171" s="33" t="s">
        <v>17</v>
      </c>
      <c r="E15171" s="33" t="s">
        <v>26</v>
      </c>
      <c r="F15171" s="33" t="s">
        <v>27</v>
      </c>
      <c r="G15171" s="33" t="s">
        <v>20</v>
      </c>
      <c r="H15171" s="35">
        <v>94</v>
      </c>
      <c r="I15171" s="33" t="s">
        <v>21</v>
      </c>
      <c r="J15171" s="42">
        <v>45055</v>
      </c>
      <c r="K15171" s="33" t="s">
        <v>22</v>
      </c>
    </row>
    <row r="15172" spans="1:11">
      <c r="A15172" s="30" t="s">
        <v>34155</v>
      </c>
      <c r="B15172" s="30" t="s">
        <v>34156</v>
      </c>
      <c r="C15172" s="30" t="s">
        <v>11767</v>
      </c>
      <c r="D15172" s="30" t="s">
        <v>17</v>
      </c>
      <c r="E15172" s="30" t="s">
        <v>18</v>
      </c>
      <c r="F15172" s="30" t="s">
        <v>19</v>
      </c>
      <c r="G15172" s="30" t="s">
        <v>158</v>
      </c>
      <c r="H15172" s="32">
        <v>91</v>
      </c>
      <c r="I15172" s="30" t="s">
        <v>21</v>
      </c>
      <c r="J15172" s="41">
        <v>45090</v>
      </c>
      <c r="K15172" s="30" t="s">
        <v>22</v>
      </c>
    </row>
    <row r="15173" spans="1:11">
      <c r="A15173" s="33" t="s">
        <v>34157</v>
      </c>
      <c r="B15173" s="33" t="s">
        <v>34158</v>
      </c>
      <c r="C15173" s="33" t="s">
        <v>57</v>
      </c>
      <c r="D15173" s="33" t="s">
        <v>17</v>
      </c>
      <c r="E15173" s="33" t="s">
        <v>18</v>
      </c>
      <c r="F15173" s="33" t="s">
        <v>19</v>
      </c>
      <c r="G15173" s="33" t="s">
        <v>50</v>
      </c>
      <c r="H15173" s="35">
        <v>324</v>
      </c>
      <c r="I15173" s="33" t="s">
        <v>51</v>
      </c>
      <c r="J15173" s="42">
        <v>45169</v>
      </c>
      <c r="K15173" s="33" t="s">
        <v>22</v>
      </c>
    </row>
    <row r="15174" spans="1:11">
      <c r="A15174" s="30" t="s">
        <v>34159</v>
      </c>
      <c r="B15174" s="30" t="s">
        <v>34160</v>
      </c>
      <c r="C15174" s="30" t="s">
        <v>410</v>
      </c>
      <c r="D15174" s="30" t="s">
        <v>17</v>
      </c>
      <c r="E15174" s="30" t="s">
        <v>31</v>
      </c>
      <c r="F15174" s="30" t="s">
        <v>32</v>
      </c>
      <c r="G15174" s="30" t="s">
        <v>112</v>
      </c>
      <c r="H15174" s="32">
        <v>0</v>
      </c>
      <c r="I15174" s="30" t="s">
        <v>21</v>
      </c>
      <c r="J15174" s="41">
        <v>45244</v>
      </c>
      <c r="K15174" s="30" t="s">
        <v>22</v>
      </c>
    </row>
    <row r="15175" spans="1:11">
      <c r="A15175" s="33" t="s">
        <v>34161</v>
      </c>
      <c r="B15175" s="33" t="s">
        <v>34162</v>
      </c>
      <c r="C15175" s="33" t="s">
        <v>2500</v>
      </c>
      <c r="D15175" s="33" t="s">
        <v>17</v>
      </c>
      <c r="E15175" s="33" t="s">
        <v>18</v>
      </c>
      <c r="F15175" s="33" t="s">
        <v>19</v>
      </c>
      <c r="G15175" s="33" t="s">
        <v>20</v>
      </c>
      <c r="H15175" s="35">
        <v>387</v>
      </c>
      <c r="I15175" s="33" t="s">
        <v>21</v>
      </c>
      <c r="J15175" s="42">
        <v>44954</v>
      </c>
      <c r="K15175" s="33" t="s">
        <v>22</v>
      </c>
    </row>
    <row r="15176" spans="1:11">
      <c r="A15176" s="30" t="s">
        <v>34163</v>
      </c>
      <c r="B15176" s="30" t="s">
        <v>34164</v>
      </c>
      <c r="C15176" s="30" t="s">
        <v>20773</v>
      </c>
      <c r="D15176" s="30" t="s">
        <v>17</v>
      </c>
      <c r="E15176" s="30" t="s">
        <v>31</v>
      </c>
      <c r="F15176" s="30" t="s">
        <v>32</v>
      </c>
      <c r="G15176" s="30" t="s">
        <v>20</v>
      </c>
      <c r="H15176" s="32">
        <v>34</v>
      </c>
      <c r="I15176" s="30" t="s">
        <v>21</v>
      </c>
      <c r="J15176" s="41">
        <v>45113</v>
      </c>
      <c r="K15176" s="30" t="s">
        <v>22</v>
      </c>
    </row>
    <row r="15177" spans="1:11">
      <c r="A15177" s="33" t="s">
        <v>34165</v>
      </c>
      <c r="B15177" s="33" t="s">
        <v>34166</v>
      </c>
      <c r="C15177" s="33" t="s">
        <v>16372</v>
      </c>
      <c r="D15177" s="33" t="s">
        <v>17</v>
      </c>
      <c r="E15177" s="33" t="s">
        <v>67</v>
      </c>
      <c r="F15177" s="33" t="s">
        <v>68</v>
      </c>
      <c r="G15177" s="33" t="s">
        <v>158</v>
      </c>
      <c r="H15177" s="35">
        <v>9</v>
      </c>
      <c r="I15177" s="33" t="s">
        <v>51</v>
      </c>
      <c r="J15177" s="42">
        <v>44960</v>
      </c>
      <c r="K15177" s="33" t="s">
        <v>22</v>
      </c>
    </row>
    <row r="15178" spans="1:11">
      <c r="A15178" s="30" t="s">
        <v>34167</v>
      </c>
      <c r="B15178" s="30" t="s">
        <v>34168</v>
      </c>
      <c r="C15178" s="30" t="s">
        <v>44</v>
      </c>
      <c r="D15178" s="30" t="s">
        <v>17</v>
      </c>
      <c r="E15178" s="30" t="s">
        <v>212</v>
      </c>
      <c r="F15178" s="30" t="s">
        <v>213</v>
      </c>
      <c r="G15178" s="30" t="s">
        <v>20</v>
      </c>
      <c r="H15178" s="32">
        <v>124</v>
      </c>
      <c r="I15178" s="30" t="s">
        <v>21</v>
      </c>
      <c r="J15178" s="41">
        <v>44937</v>
      </c>
      <c r="K15178" s="30" t="s">
        <v>22</v>
      </c>
    </row>
    <row r="15179" spans="1:11">
      <c r="A15179" s="33" t="s">
        <v>34169</v>
      </c>
      <c r="B15179" s="33" t="s">
        <v>34170</v>
      </c>
      <c r="C15179" s="33" t="s">
        <v>34171</v>
      </c>
      <c r="D15179" s="33" t="s">
        <v>17</v>
      </c>
      <c r="E15179" s="33" t="s">
        <v>26</v>
      </c>
      <c r="F15179" s="33" t="s">
        <v>27</v>
      </c>
      <c r="G15179" s="33" t="s">
        <v>140</v>
      </c>
      <c r="H15179" s="35">
        <v>150</v>
      </c>
      <c r="I15179" s="33" t="s">
        <v>51</v>
      </c>
      <c r="J15179" s="42">
        <v>44986</v>
      </c>
      <c r="K15179" s="33" t="s">
        <v>22</v>
      </c>
    </row>
    <row r="15180" spans="1:11">
      <c r="A15180" s="30" t="s">
        <v>34172</v>
      </c>
      <c r="B15180" s="30" t="s">
        <v>34173</v>
      </c>
      <c r="C15180" s="30" t="s">
        <v>109</v>
      </c>
      <c r="D15180" s="30" t="s">
        <v>17</v>
      </c>
      <c r="E15180" s="30" t="s">
        <v>18</v>
      </c>
      <c r="F15180" s="30" t="s">
        <v>19</v>
      </c>
      <c r="G15180" s="30" t="s">
        <v>158</v>
      </c>
      <c r="H15180" s="32">
        <v>436</v>
      </c>
      <c r="I15180" s="30" t="s">
        <v>21</v>
      </c>
      <c r="J15180" s="41">
        <v>44987</v>
      </c>
      <c r="K15180" s="30" t="s">
        <v>22</v>
      </c>
    </row>
    <row r="15181" spans="1:11">
      <c r="A15181" s="33" t="s">
        <v>34174</v>
      </c>
      <c r="B15181" s="33" t="s">
        <v>34175</v>
      </c>
      <c r="C15181" s="33" t="s">
        <v>1136</v>
      </c>
      <c r="D15181" s="33" t="s">
        <v>17</v>
      </c>
      <c r="E15181" s="33" t="s">
        <v>67</v>
      </c>
      <c r="F15181" s="33" t="s">
        <v>68</v>
      </c>
      <c r="G15181" s="33" t="s">
        <v>20</v>
      </c>
      <c r="H15181" s="35">
        <v>1215</v>
      </c>
      <c r="I15181" s="33" t="s">
        <v>21</v>
      </c>
      <c r="J15181" s="42">
        <v>45230</v>
      </c>
      <c r="K15181" s="33" t="s">
        <v>22</v>
      </c>
    </row>
    <row r="15182" spans="1:11">
      <c r="A15182" s="30" t="s">
        <v>34176</v>
      </c>
      <c r="B15182" s="30" t="s">
        <v>34177</v>
      </c>
      <c r="C15182" s="30" t="s">
        <v>22695</v>
      </c>
      <c r="D15182" s="30" t="s">
        <v>17</v>
      </c>
      <c r="E15182" s="30" t="s">
        <v>18</v>
      </c>
      <c r="F15182" s="30" t="s">
        <v>19</v>
      </c>
      <c r="G15182" s="30" t="s">
        <v>106</v>
      </c>
      <c r="H15182" s="32">
        <v>9</v>
      </c>
      <c r="I15182" s="30" t="s">
        <v>21</v>
      </c>
      <c r="J15182" s="41">
        <v>45209</v>
      </c>
      <c r="K15182" s="30" t="s">
        <v>22</v>
      </c>
    </row>
    <row r="15183" spans="1:11">
      <c r="A15183" s="33" t="s">
        <v>34178</v>
      </c>
      <c r="B15183" s="33" t="s">
        <v>34179</v>
      </c>
      <c r="C15183" s="33" t="s">
        <v>130</v>
      </c>
      <c r="D15183" s="33" t="s">
        <v>17</v>
      </c>
      <c r="E15183" s="33" t="s">
        <v>212</v>
      </c>
      <c r="F15183" s="33" t="s">
        <v>213</v>
      </c>
      <c r="G15183" s="33" t="s">
        <v>106</v>
      </c>
      <c r="H15183" s="35">
        <v>47</v>
      </c>
      <c r="I15183" s="33" t="s">
        <v>21</v>
      </c>
      <c r="J15183" s="42">
        <v>45001</v>
      </c>
      <c r="K15183" s="33" t="s">
        <v>22</v>
      </c>
    </row>
    <row r="15184" spans="1:11">
      <c r="A15184" s="30" t="s">
        <v>34180</v>
      </c>
      <c r="B15184" s="30" t="s">
        <v>34181</v>
      </c>
      <c r="C15184" s="30" t="s">
        <v>2006</v>
      </c>
      <c r="D15184" s="30" t="s">
        <v>17</v>
      </c>
      <c r="E15184" s="30" t="s">
        <v>26</v>
      </c>
      <c r="F15184" s="30" t="s">
        <v>27</v>
      </c>
      <c r="G15184" s="30" t="s">
        <v>20</v>
      </c>
      <c r="H15184" s="32">
        <v>20</v>
      </c>
      <c r="I15184" s="30" t="s">
        <v>21</v>
      </c>
      <c r="J15184" s="41">
        <v>45050</v>
      </c>
      <c r="K15184" s="30" t="s">
        <v>22</v>
      </c>
    </row>
    <row r="15185" spans="1:11">
      <c r="A15185" s="33" t="s">
        <v>34182</v>
      </c>
      <c r="B15185" s="33" t="s">
        <v>34183</v>
      </c>
      <c r="C15185" s="33" t="s">
        <v>570</v>
      </c>
      <c r="D15185" s="33" t="s">
        <v>17</v>
      </c>
      <c r="E15185" s="33" t="s">
        <v>67</v>
      </c>
      <c r="F15185" s="33" t="s">
        <v>68</v>
      </c>
      <c r="G15185" s="33" t="s">
        <v>50</v>
      </c>
      <c r="H15185" s="35">
        <v>115</v>
      </c>
      <c r="I15185" s="33" t="s">
        <v>51</v>
      </c>
      <c r="J15185" s="42">
        <v>45200</v>
      </c>
      <c r="K15185" s="33" t="s">
        <v>22</v>
      </c>
    </row>
    <row r="15186" spans="1:11">
      <c r="A15186" s="30" t="s">
        <v>34184</v>
      </c>
      <c r="B15186" s="30" t="s">
        <v>34185</v>
      </c>
      <c r="C15186" s="30" t="s">
        <v>2387</v>
      </c>
      <c r="D15186" s="30" t="s">
        <v>17</v>
      </c>
      <c r="E15186" s="30" t="s">
        <v>26</v>
      </c>
      <c r="F15186" s="30" t="s">
        <v>27</v>
      </c>
      <c r="G15186" s="30" t="s">
        <v>20</v>
      </c>
      <c r="H15186" s="32">
        <v>42</v>
      </c>
      <c r="I15186" s="30" t="s">
        <v>21</v>
      </c>
      <c r="J15186" s="41">
        <v>45065</v>
      </c>
      <c r="K15186" s="30" t="s">
        <v>22</v>
      </c>
    </row>
    <row r="15187" spans="1:11">
      <c r="A15187" s="33" t="s">
        <v>34186</v>
      </c>
      <c r="B15187" s="33" t="s">
        <v>34187</v>
      </c>
      <c r="C15187" s="33" t="s">
        <v>78</v>
      </c>
      <c r="D15187" s="33" t="s">
        <v>17</v>
      </c>
      <c r="E15187" s="33" t="s">
        <v>26</v>
      </c>
      <c r="F15187" s="33" t="s">
        <v>27</v>
      </c>
      <c r="G15187" s="33" t="s">
        <v>20</v>
      </c>
      <c r="H15187" s="35">
        <v>48</v>
      </c>
      <c r="I15187" s="33" t="s">
        <v>21</v>
      </c>
      <c r="J15187" s="42">
        <v>45097</v>
      </c>
      <c r="K15187" s="33" t="s">
        <v>22</v>
      </c>
    </row>
    <row r="15188" spans="1:11">
      <c r="A15188" s="30" t="s">
        <v>34188</v>
      </c>
      <c r="B15188" s="30" t="s">
        <v>34189</v>
      </c>
      <c r="C15188" s="30" t="s">
        <v>34190</v>
      </c>
      <c r="D15188" s="30" t="s">
        <v>17</v>
      </c>
      <c r="E15188" s="30" t="s">
        <v>26</v>
      </c>
      <c r="F15188" s="30" t="s">
        <v>27</v>
      </c>
      <c r="G15188" s="30" t="s">
        <v>50</v>
      </c>
      <c r="H15188" s="32">
        <v>21</v>
      </c>
      <c r="I15188" s="30" t="s">
        <v>51</v>
      </c>
      <c r="J15188" s="41">
        <v>45239</v>
      </c>
      <c r="K15188" s="30" t="s">
        <v>22</v>
      </c>
    </row>
    <row r="15189" spans="1:11">
      <c r="A15189" s="33" t="s">
        <v>34191</v>
      </c>
      <c r="B15189" s="33" t="s">
        <v>34192</v>
      </c>
      <c r="C15189" s="33" t="s">
        <v>27574</v>
      </c>
      <c r="D15189" s="33" t="s">
        <v>17</v>
      </c>
      <c r="E15189" s="33" t="s">
        <v>26</v>
      </c>
      <c r="F15189" s="33" t="s">
        <v>27</v>
      </c>
      <c r="G15189" s="33" t="s">
        <v>106</v>
      </c>
      <c r="H15189" s="35">
        <v>4</v>
      </c>
      <c r="I15189" s="33" t="s">
        <v>21</v>
      </c>
      <c r="J15189" s="42">
        <v>44996</v>
      </c>
      <c r="K15189" s="33" t="s">
        <v>22</v>
      </c>
    </row>
    <row r="15190" spans="1:11">
      <c r="A15190" s="30" t="s">
        <v>34193</v>
      </c>
      <c r="B15190" s="30" t="s">
        <v>34194</v>
      </c>
      <c r="C15190" s="30" t="s">
        <v>10752</v>
      </c>
      <c r="D15190" s="30" t="s">
        <v>17</v>
      </c>
      <c r="E15190" s="30" t="s">
        <v>31</v>
      </c>
      <c r="F15190" s="30" t="s">
        <v>32</v>
      </c>
      <c r="G15190" s="30" t="s">
        <v>140</v>
      </c>
      <c r="H15190" s="32">
        <v>53</v>
      </c>
      <c r="I15190" s="30" t="s">
        <v>51</v>
      </c>
      <c r="J15190" s="41">
        <v>45148</v>
      </c>
      <c r="K15190" s="30" t="s">
        <v>22</v>
      </c>
    </row>
    <row r="15191" spans="1:11">
      <c r="A15191" s="33" t="s">
        <v>34195</v>
      </c>
      <c r="B15191" s="33" t="s">
        <v>34196</v>
      </c>
      <c r="C15191" s="33" t="s">
        <v>139</v>
      </c>
      <c r="D15191" s="33" t="s">
        <v>17</v>
      </c>
      <c r="E15191" s="33" t="s">
        <v>67</v>
      </c>
      <c r="F15191" s="33" t="s">
        <v>68</v>
      </c>
      <c r="G15191" s="33" t="s">
        <v>158</v>
      </c>
      <c r="H15191" s="35">
        <v>35</v>
      </c>
      <c r="I15191" s="33" t="s">
        <v>21</v>
      </c>
      <c r="J15191" s="42">
        <v>45264</v>
      </c>
      <c r="K15191" s="33" t="s">
        <v>22</v>
      </c>
    </row>
    <row r="15192" spans="1:11">
      <c r="A15192" s="30" t="s">
        <v>34197</v>
      </c>
      <c r="B15192" s="30" t="s">
        <v>34198</v>
      </c>
      <c r="C15192" s="30" t="s">
        <v>34199</v>
      </c>
      <c r="D15192" s="30" t="s">
        <v>17</v>
      </c>
      <c r="E15192" s="30" t="s">
        <v>26</v>
      </c>
      <c r="F15192" s="30" t="s">
        <v>27</v>
      </c>
      <c r="G15192" s="30" t="s">
        <v>20</v>
      </c>
      <c r="H15192" s="32">
        <v>19</v>
      </c>
      <c r="I15192" s="30" t="s">
        <v>21</v>
      </c>
      <c r="J15192" s="41">
        <v>45170</v>
      </c>
      <c r="K15192" s="30" t="s">
        <v>22</v>
      </c>
    </row>
    <row r="15193" spans="1:11">
      <c r="A15193" s="33" t="s">
        <v>34200</v>
      </c>
      <c r="B15193" s="33" t="s">
        <v>34201</v>
      </c>
      <c r="C15193" s="33" t="s">
        <v>8869</v>
      </c>
      <c r="D15193" s="33" t="s">
        <v>17</v>
      </c>
      <c r="E15193" s="33" t="s">
        <v>31</v>
      </c>
      <c r="F15193" s="33" t="s">
        <v>32</v>
      </c>
      <c r="G15193" s="33" t="s">
        <v>112</v>
      </c>
      <c r="H15193" s="35">
        <v>0</v>
      </c>
      <c r="I15193" s="33" t="s">
        <v>21</v>
      </c>
      <c r="J15193" s="42">
        <v>45170</v>
      </c>
      <c r="K15193" s="33" t="s">
        <v>22</v>
      </c>
    </row>
    <row r="15194" spans="1:11">
      <c r="A15194" s="30" t="s">
        <v>34202</v>
      </c>
      <c r="B15194" s="30" t="s">
        <v>34203</v>
      </c>
      <c r="C15194" s="30" t="s">
        <v>252</v>
      </c>
      <c r="D15194" s="30" t="s">
        <v>17</v>
      </c>
      <c r="E15194" s="30" t="s">
        <v>31</v>
      </c>
      <c r="F15194" s="30" t="s">
        <v>32</v>
      </c>
      <c r="G15194" s="30" t="s">
        <v>20</v>
      </c>
      <c r="H15194" s="32">
        <v>454</v>
      </c>
      <c r="I15194" s="30" t="s">
        <v>21</v>
      </c>
      <c r="J15194" s="41">
        <v>45191</v>
      </c>
      <c r="K15194" s="30" t="s">
        <v>22</v>
      </c>
    </row>
    <row r="15195" spans="1:11">
      <c r="A15195" s="33" t="s">
        <v>34204</v>
      </c>
      <c r="B15195" s="33" t="s">
        <v>34205</v>
      </c>
      <c r="C15195" s="33" t="s">
        <v>9580</v>
      </c>
      <c r="D15195" s="33" t="s">
        <v>17</v>
      </c>
      <c r="E15195" s="33" t="s">
        <v>31</v>
      </c>
      <c r="F15195" s="33" t="s">
        <v>32</v>
      </c>
      <c r="G15195" s="33" t="s">
        <v>20</v>
      </c>
      <c r="H15195" s="35">
        <v>6</v>
      </c>
      <c r="I15195" s="33" t="s">
        <v>21</v>
      </c>
      <c r="J15195" s="42">
        <v>45013</v>
      </c>
      <c r="K15195" s="33" t="s">
        <v>22</v>
      </c>
    </row>
    <row r="15196" spans="1:11">
      <c r="A15196" s="30" t="s">
        <v>34206</v>
      </c>
      <c r="B15196" s="30" t="s">
        <v>34207</v>
      </c>
      <c r="C15196" s="30" t="s">
        <v>93</v>
      </c>
      <c r="D15196" s="30" t="s">
        <v>17</v>
      </c>
      <c r="E15196" s="30" t="s">
        <v>26</v>
      </c>
      <c r="F15196" s="30" t="s">
        <v>27</v>
      </c>
      <c r="G15196" s="30" t="s">
        <v>158</v>
      </c>
      <c r="H15196" s="32">
        <v>78</v>
      </c>
      <c r="I15196" s="30" t="s">
        <v>21</v>
      </c>
      <c r="J15196" s="41">
        <v>45020</v>
      </c>
      <c r="K15196" s="30" t="s">
        <v>22</v>
      </c>
    </row>
    <row r="15197" spans="1:11">
      <c r="A15197" s="33" t="s">
        <v>34208</v>
      </c>
      <c r="B15197" s="33" t="s">
        <v>34209</v>
      </c>
      <c r="C15197" s="33" t="s">
        <v>190</v>
      </c>
      <c r="D15197" s="33" t="s">
        <v>17</v>
      </c>
      <c r="E15197" s="33" t="s">
        <v>67</v>
      </c>
      <c r="F15197" s="33" t="s">
        <v>68</v>
      </c>
      <c r="G15197" s="33" t="s">
        <v>158</v>
      </c>
      <c r="H15197" s="35">
        <v>94</v>
      </c>
      <c r="I15197" s="33" t="s">
        <v>51</v>
      </c>
      <c r="J15197" s="42">
        <v>45274</v>
      </c>
      <c r="K15197" s="33" t="s">
        <v>22</v>
      </c>
    </row>
    <row r="15198" spans="1:11">
      <c r="A15198" s="30" t="s">
        <v>34210</v>
      </c>
      <c r="B15198" s="30" t="s">
        <v>34211</v>
      </c>
      <c r="C15198" s="30" t="s">
        <v>190</v>
      </c>
      <c r="D15198" s="30" t="s">
        <v>17</v>
      </c>
      <c r="E15198" s="30" t="s">
        <v>18</v>
      </c>
      <c r="F15198" s="30" t="s">
        <v>19</v>
      </c>
      <c r="G15198" s="30" t="s">
        <v>140</v>
      </c>
      <c r="H15198" s="32">
        <v>1145</v>
      </c>
      <c r="I15198" s="30" t="s">
        <v>51</v>
      </c>
      <c r="J15198" s="41">
        <v>45274</v>
      </c>
      <c r="K15198" s="30" t="s">
        <v>22</v>
      </c>
    </row>
    <row r="15199" spans="1:11">
      <c r="A15199" s="33" t="s">
        <v>34212</v>
      </c>
      <c r="B15199" s="33" t="s">
        <v>34213</v>
      </c>
      <c r="C15199" s="33" t="s">
        <v>2329</v>
      </c>
      <c r="D15199" s="33" t="s">
        <v>17</v>
      </c>
      <c r="E15199" s="33" t="s">
        <v>31</v>
      </c>
      <c r="F15199" s="33" t="s">
        <v>32</v>
      </c>
      <c r="G15199" s="33" t="s">
        <v>140</v>
      </c>
      <c r="H15199" s="35">
        <v>14</v>
      </c>
      <c r="I15199" s="33" t="s">
        <v>51</v>
      </c>
      <c r="J15199" s="42">
        <v>45174</v>
      </c>
      <c r="K15199" s="33" t="s">
        <v>22</v>
      </c>
    </row>
    <row r="15200" spans="1:11">
      <c r="A15200" s="30" t="s">
        <v>34214</v>
      </c>
      <c r="B15200" s="30" t="s">
        <v>34215</v>
      </c>
      <c r="C15200" s="30" t="s">
        <v>399</v>
      </c>
      <c r="D15200" s="30" t="s">
        <v>17</v>
      </c>
      <c r="E15200" s="30" t="s">
        <v>26</v>
      </c>
      <c r="F15200" s="30" t="s">
        <v>27</v>
      </c>
      <c r="G15200" s="30" t="s">
        <v>20</v>
      </c>
      <c r="H15200" s="32">
        <v>54</v>
      </c>
      <c r="I15200" s="30" t="s">
        <v>21</v>
      </c>
      <c r="J15200" s="41">
        <v>45251</v>
      </c>
      <c r="K15200" s="30" t="s">
        <v>22</v>
      </c>
    </row>
    <row r="15201" spans="1:11">
      <c r="A15201" s="33" t="s">
        <v>34216</v>
      </c>
      <c r="B15201" s="33" t="s">
        <v>34217</v>
      </c>
      <c r="C15201" s="33" t="s">
        <v>75</v>
      </c>
      <c r="D15201" s="33" t="s">
        <v>17</v>
      </c>
      <c r="E15201" s="33" t="s">
        <v>26</v>
      </c>
      <c r="F15201" s="33" t="s">
        <v>27</v>
      </c>
      <c r="G15201" s="33" t="s">
        <v>20</v>
      </c>
      <c r="H15201" s="35">
        <v>24</v>
      </c>
      <c r="I15201" s="33" t="s">
        <v>21</v>
      </c>
      <c r="J15201" s="42">
        <v>45014</v>
      </c>
      <c r="K15201" s="33" t="s">
        <v>22</v>
      </c>
    </row>
    <row r="15202" spans="1:11">
      <c r="A15202" s="30" t="s">
        <v>34218</v>
      </c>
      <c r="B15202" s="30" t="s">
        <v>34219</v>
      </c>
      <c r="C15202" s="30" t="s">
        <v>22573</v>
      </c>
      <c r="D15202" s="30" t="s">
        <v>17</v>
      </c>
      <c r="E15202" s="30" t="s">
        <v>67</v>
      </c>
      <c r="F15202" s="30" t="s">
        <v>68</v>
      </c>
      <c r="G15202" s="30" t="s">
        <v>50</v>
      </c>
      <c r="H15202" s="32">
        <v>150</v>
      </c>
      <c r="I15202" s="30" t="s">
        <v>51</v>
      </c>
      <c r="J15202" s="41">
        <v>45105</v>
      </c>
      <c r="K15202" s="30" t="s">
        <v>22</v>
      </c>
    </row>
    <row r="15203" spans="1:11">
      <c r="A15203" s="33" t="s">
        <v>34220</v>
      </c>
      <c r="B15203" s="33" t="s">
        <v>34221</v>
      </c>
      <c r="C15203" s="33" t="s">
        <v>17501</v>
      </c>
      <c r="D15203" s="33" t="s">
        <v>17</v>
      </c>
      <c r="E15203" s="33" t="s">
        <v>26</v>
      </c>
      <c r="F15203" s="33" t="s">
        <v>27</v>
      </c>
      <c r="G15203" s="33" t="s">
        <v>20</v>
      </c>
      <c r="H15203" s="35">
        <v>8</v>
      </c>
      <c r="I15203" s="33" t="s">
        <v>21</v>
      </c>
      <c r="J15203" s="42">
        <v>45183</v>
      </c>
      <c r="K15203" s="33" t="s">
        <v>22</v>
      </c>
    </row>
    <row r="15204" spans="1:11">
      <c r="A15204" s="30" t="s">
        <v>34222</v>
      </c>
      <c r="B15204" s="30" t="s">
        <v>34223</v>
      </c>
      <c r="C15204" s="30" t="s">
        <v>22347</v>
      </c>
      <c r="D15204" s="30" t="s">
        <v>17</v>
      </c>
      <c r="E15204" s="30" t="s">
        <v>31</v>
      </c>
      <c r="F15204" s="30" t="s">
        <v>32</v>
      </c>
      <c r="G15204" s="30" t="s">
        <v>158</v>
      </c>
      <c r="H15204" s="32">
        <v>15</v>
      </c>
      <c r="I15204" s="30" t="s">
        <v>21</v>
      </c>
      <c r="J15204" s="41">
        <v>45261</v>
      </c>
      <c r="K15204" s="30" t="s">
        <v>22</v>
      </c>
    </row>
    <row r="15205" spans="1:11">
      <c r="A15205" s="33" t="s">
        <v>34224</v>
      </c>
      <c r="B15205" s="33" t="s">
        <v>34225</v>
      </c>
      <c r="C15205" s="33" t="s">
        <v>407</v>
      </c>
      <c r="D15205" s="33" t="s">
        <v>17</v>
      </c>
      <c r="E15205" s="33" t="s">
        <v>18</v>
      </c>
      <c r="F15205" s="33" t="s">
        <v>19</v>
      </c>
      <c r="G15205" s="33" t="s">
        <v>20</v>
      </c>
      <c r="H15205" s="35">
        <v>2202</v>
      </c>
      <c r="I15205" s="33" t="s">
        <v>21</v>
      </c>
      <c r="J15205" s="42">
        <v>45015</v>
      </c>
      <c r="K15205" s="33" t="s">
        <v>22</v>
      </c>
    </row>
    <row r="15206" spans="1:11">
      <c r="A15206" s="30" t="s">
        <v>34226</v>
      </c>
      <c r="B15206" s="30" t="s">
        <v>34227</v>
      </c>
      <c r="C15206" s="30" t="s">
        <v>190</v>
      </c>
      <c r="D15206" s="30" t="s">
        <v>17</v>
      </c>
      <c r="E15206" s="30" t="s">
        <v>18</v>
      </c>
      <c r="F15206" s="30" t="s">
        <v>19</v>
      </c>
      <c r="G15206" s="30" t="s">
        <v>20</v>
      </c>
      <c r="H15206" s="32">
        <v>33</v>
      </c>
      <c r="I15206" s="30" t="s">
        <v>21</v>
      </c>
      <c r="J15206" s="41">
        <v>45134</v>
      </c>
      <c r="K15206" s="30" t="s">
        <v>22</v>
      </c>
    </row>
    <row r="15207" spans="1:11">
      <c r="A15207" s="33" t="s">
        <v>34228</v>
      </c>
      <c r="B15207" s="33" t="s">
        <v>34229</v>
      </c>
      <c r="C15207" s="33" t="s">
        <v>5929</v>
      </c>
      <c r="D15207" s="33" t="s">
        <v>17</v>
      </c>
      <c r="E15207" s="33" t="s">
        <v>31</v>
      </c>
      <c r="F15207" s="33" t="s">
        <v>32</v>
      </c>
      <c r="G15207" s="33" t="s">
        <v>20</v>
      </c>
      <c r="H15207" s="35">
        <v>87</v>
      </c>
      <c r="I15207" s="33" t="s">
        <v>21</v>
      </c>
      <c r="J15207" s="42">
        <v>44972</v>
      </c>
      <c r="K15207" s="33" t="s">
        <v>22</v>
      </c>
    </row>
    <row r="15208" spans="1:11">
      <c r="A15208" s="30" t="s">
        <v>34230</v>
      </c>
      <c r="B15208" s="30" t="s">
        <v>34231</v>
      </c>
      <c r="C15208" s="30" t="s">
        <v>190</v>
      </c>
      <c r="D15208" s="30" t="s">
        <v>17</v>
      </c>
      <c r="E15208" s="30" t="s">
        <v>67</v>
      </c>
      <c r="F15208" s="30" t="s">
        <v>68</v>
      </c>
      <c r="G15208" s="30" t="s">
        <v>158</v>
      </c>
      <c r="H15208" s="32">
        <v>166</v>
      </c>
      <c r="I15208" s="30" t="s">
        <v>21</v>
      </c>
      <c r="J15208" s="41">
        <v>45198</v>
      </c>
      <c r="K15208" s="30" t="s">
        <v>22</v>
      </c>
    </row>
    <row r="15209" spans="1:11">
      <c r="A15209" s="33" t="s">
        <v>34232</v>
      </c>
      <c r="B15209" s="33" t="s">
        <v>34233</v>
      </c>
      <c r="C15209" s="33" t="s">
        <v>102</v>
      </c>
      <c r="D15209" s="33" t="s">
        <v>17</v>
      </c>
      <c r="E15209" s="33" t="s">
        <v>18</v>
      </c>
      <c r="F15209" s="33" t="s">
        <v>19</v>
      </c>
      <c r="G15209" s="33" t="s">
        <v>20</v>
      </c>
      <c r="H15209" s="35">
        <v>959</v>
      </c>
      <c r="I15209" s="33" t="s">
        <v>21</v>
      </c>
      <c r="J15209" s="42">
        <v>45223</v>
      </c>
      <c r="K15209" s="33" t="s">
        <v>22</v>
      </c>
    </row>
    <row r="15210" spans="1:11">
      <c r="A15210" s="30" t="s">
        <v>34234</v>
      </c>
      <c r="B15210" s="30" t="s">
        <v>34235</v>
      </c>
      <c r="C15210" s="30" t="s">
        <v>9262</v>
      </c>
      <c r="D15210" s="30" t="s">
        <v>17</v>
      </c>
      <c r="E15210" s="30" t="s">
        <v>26</v>
      </c>
      <c r="F15210" s="30" t="s">
        <v>27</v>
      </c>
      <c r="G15210" s="30" t="s">
        <v>20</v>
      </c>
      <c r="H15210" s="32">
        <v>44</v>
      </c>
      <c r="I15210" s="30" t="s">
        <v>21</v>
      </c>
      <c r="J15210" s="41">
        <v>44936</v>
      </c>
      <c r="K15210" s="30" t="s">
        <v>22</v>
      </c>
    </row>
    <row r="15211" spans="1:11">
      <c r="A15211" s="33" t="s">
        <v>34236</v>
      </c>
      <c r="B15211" s="33" t="s">
        <v>34237</v>
      </c>
      <c r="C15211" s="33" t="s">
        <v>34238</v>
      </c>
      <c r="D15211" s="33" t="s">
        <v>17</v>
      </c>
      <c r="E15211" s="33" t="s">
        <v>31</v>
      </c>
      <c r="F15211" s="33" t="s">
        <v>32</v>
      </c>
      <c r="G15211" s="33" t="s">
        <v>20</v>
      </c>
      <c r="H15211" s="35">
        <v>30</v>
      </c>
      <c r="I15211" s="33" t="s">
        <v>21</v>
      </c>
      <c r="J15211" s="42">
        <v>44972</v>
      </c>
      <c r="K15211" s="33" t="s">
        <v>22</v>
      </c>
    </row>
    <row r="15212" spans="1:11">
      <c r="A15212" s="30" t="s">
        <v>34239</v>
      </c>
      <c r="B15212" s="30" t="s">
        <v>34240</v>
      </c>
      <c r="C15212" s="30" t="s">
        <v>647</v>
      </c>
      <c r="D15212" s="30" t="s">
        <v>17</v>
      </c>
      <c r="E15212" s="30" t="s">
        <v>18</v>
      </c>
      <c r="F15212" s="30" t="s">
        <v>19</v>
      </c>
      <c r="G15212" s="30" t="s">
        <v>158</v>
      </c>
      <c r="H15212" s="32">
        <v>553</v>
      </c>
      <c r="I15212" s="30" t="s">
        <v>21</v>
      </c>
      <c r="J15212" s="41">
        <v>44977</v>
      </c>
      <c r="K15212" s="30" t="s">
        <v>22</v>
      </c>
    </row>
    <row r="15213" spans="1:11">
      <c r="A15213" s="33" t="s">
        <v>34241</v>
      </c>
      <c r="B15213" s="33" t="s">
        <v>34242</v>
      </c>
      <c r="C15213" s="33" t="s">
        <v>6151</v>
      </c>
      <c r="D15213" s="33" t="s">
        <v>17</v>
      </c>
      <c r="E15213" s="33" t="s">
        <v>26</v>
      </c>
      <c r="F15213" s="33" t="s">
        <v>27</v>
      </c>
      <c r="G15213" s="33" t="s">
        <v>106</v>
      </c>
      <c r="H15213" s="35">
        <v>33</v>
      </c>
      <c r="I15213" s="33" t="s">
        <v>21</v>
      </c>
      <c r="J15213" s="42">
        <v>45000</v>
      </c>
      <c r="K15213" s="33" t="s">
        <v>22</v>
      </c>
    </row>
    <row r="15214" spans="1:11">
      <c r="A15214" s="30" t="s">
        <v>34243</v>
      </c>
      <c r="B15214" s="30" t="s">
        <v>34244</v>
      </c>
      <c r="C15214" s="30" t="s">
        <v>647</v>
      </c>
      <c r="D15214" s="30" t="s">
        <v>17</v>
      </c>
      <c r="E15214" s="30" t="s">
        <v>31</v>
      </c>
      <c r="F15214" s="30" t="s">
        <v>32</v>
      </c>
      <c r="G15214" s="30" t="s">
        <v>20</v>
      </c>
      <c r="H15214" s="32">
        <v>352</v>
      </c>
      <c r="I15214" s="30" t="s">
        <v>21</v>
      </c>
      <c r="J15214" s="41">
        <v>45238</v>
      </c>
      <c r="K15214" s="30" t="s">
        <v>22</v>
      </c>
    </row>
    <row r="15215" spans="1:11">
      <c r="A15215" s="33" t="s">
        <v>34245</v>
      </c>
      <c r="B15215" s="33" t="s">
        <v>34246</v>
      </c>
      <c r="C15215" s="33" t="s">
        <v>187</v>
      </c>
      <c r="D15215" s="33" t="s">
        <v>17</v>
      </c>
      <c r="E15215" s="33" t="s">
        <v>67</v>
      </c>
      <c r="F15215" s="33" t="s">
        <v>68</v>
      </c>
      <c r="G15215" s="33" t="s">
        <v>50</v>
      </c>
      <c r="H15215" s="35">
        <v>80</v>
      </c>
      <c r="I15215" s="33" t="s">
        <v>51</v>
      </c>
      <c r="J15215" s="42">
        <v>45117</v>
      </c>
      <c r="K15215" s="33" t="s">
        <v>22</v>
      </c>
    </row>
    <row r="15216" spans="1:11">
      <c r="A15216" s="30" t="s">
        <v>34247</v>
      </c>
      <c r="B15216" s="30" t="s">
        <v>34248</v>
      </c>
      <c r="C15216" s="30" t="s">
        <v>2709</v>
      </c>
      <c r="D15216" s="30" t="s">
        <v>17</v>
      </c>
      <c r="E15216" s="30" t="s">
        <v>212</v>
      </c>
      <c r="F15216" s="30" t="s">
        <v>213</v>
      </c>
      <c r="G15216" s="30" t="s">
        <v>50</v>
      </c>
      <c r="H15216" s="32">
        <v>6080</v>
      </c>
      <c r="I15216" s="30" t="s">
        <v>51</v>
      </c>
      <c r="J15216" s="41">
        <v>45191</v>
      </c>
      <c r="K15216" s="30" t="s">
        <v>22</v>
      </c>
    </row>
    <row r="15217" spans="1:11">
      <c r="A15217" s="33" t="s">
        <v>34249</v>
      </c>
      <c r="B15217" s="33" t="s">
        <v>34250</v>
      </c>
      <c r="C15217" s="33" t="s">
        <v>44</v>
      </c>
      <c r="D15217" s="33" t="s">
        <v>17</v>
      </c>
      <c r="E15217" s="33" t="s">
        <v>18</v>
      </c>
      <c r="F15217" s="33" t="s">
        <v>19</v>
      </c>
      <c r="G15217" s="33" t="s">
        <v>140</v>
      </c>
      <c r="H15217" s="35">
        <v>202</v>
      </c>
      <c r="I15217" s="33" t="s">
        <v>51</v>
      </c>
      <c r="J15217" s="42">
        <v>44992</v>
      </c>
      <c r="K15217" s="33" t="s">
        <v>22</v>
      </c>
    </row>
    <row r="15218" spans="1:11">
      <c r="A15218" s="30" t="s">
        <v>34251</v>
      </c>
      <c r="B15218" s="30" t="s">
        <v>34252</v>
      </c>
      <c r="C15218" s="30" t="s">
        <v>4210</v>
      </c>
      <c r="D15218" s="30" t="s">
        <v>17</v>
      </c>
      <c r="E15218" s="30" t="s">
        <v>26</v>
      </c>
      <c r="F15218" s="30" t="s">
        <v>27</v>
      </c>
      <c r="G15218" s="30" t="s">
        <v>50</v>
      </c>
      <c r="H15218" s="32">
        <v>24</v>
      </c>
      <c r="I15218" s="30" t="s">
        <v>51</v>
      </c>
      <c r="J15218" s="41">
        <v>44981</v>
      </c>
      <c r="K15218" s="30" t="s">
        <v>22</v>
      </c>
    </row>
    <row r="15219" spans="1:11">
      <c r="A15219" s="33" t="s">
        <v>34253</v>
      </c>
      <c r="B15219" s="33" t="s">
        <v>34254</v>
      </c>
      <c r="C15219" s="33" t="s">
        <v>34255</v>
      </c>
      <c r="D15219" s="33" t="s">
        <v>17</v>
      </c>
      <c r="E15219" s="33" t="s">
        <v>18</v>
      </c>
      <c r="F15219" s="33" t="s">
        <v>19</v>
      </c>
      <c r="G15219" s="33" t="s">
        <v>140</v>
      </c>
      <c r="H15219" s="35">
        <v>220</v>
      </c>
      <c r="I15219" s="33" t="s">
        <v>51</v>
      </c>
      <c r="J15219" s="42">
        <v>45049</v>
      </c>
      <c r="K15219" s="33" t="s">
        <v>22</v>
      </c>
    </row>
    <row r="15220" spans="1:11">
      <c r="A15220" s="30" t="s">
        <v>34256</v>
      </c>
      <c r="B15220" s="30" t="s">
        <v>34257</v>
      </c>
      <c r="C15220" s="30" t="s">
        <v>15917</v>
      </c>
      <c r="D15220" s="30" t="s">
        <v>17</v>
      </c>
      <c r="E15220" s="30" t="s">
        <v>45</v>
      </c>
      <c r="F15220" s="30" t="s">
        <v>46</v>
      </c>
      <c r="G15220" s="30" t="s">
        <v>140</v>
      </c>
      <c r="H15220" s="32">
        <v>166</v>
      </c>
      <c r="I15220" s="30" t="s">
        <v>51</v>
      </c>
      <c r="J15220" s="41">
        <v>45246</v>
      </c>
      <c r="K15220" s="30" t="s">
        <v>22</v>
      </c>
    </row>
    <row r="15221" spans="1:11">
      <c r="A15221" s="33" t="s">
        <v>34258</v>
      </c>
      <c r="B15221" s="33" t="s">
        <v>34259</v>
      </c>
      <c r="C15221" s="33" t="s">
        <v>4622</v>
      </c>
      <c r="D15221" s="33" t="s">
        <v>17</v>
      </c>
      <c r="E15221" s="33" t="s">
        <v>18</v>
      </c>
      <c r="F15221" s="33" t="s">
        <v>19</v>
      </c>
      <c r="G15221" s="33" t="s">
        <v>20</v>
      </c>
      <c r="H15221" s="35">
        <v>110</v>
      </c>
      <c r="I15221" s="33" t="s">
        <v>21</v>
      </c>
      <c r="J15221" s="42">
        <v>45057</v>
      </c>
      <c r="K15221" s="33" t="s">
        <v>22</v>
      </c>
    </row>
    <row r="15222" spans="1:11">
      <c r="A15222" s="30" t="s">
        <v>34260</v>
      </c>
      <c r="B15222" s="30" t="s">
        <v>34261</v>
      </c>
      <c r="C15222" s="30" t="s">
        <v>252</v>
      </c>
      <c r="D15222" s="30" t="s">
        <v>17</v>
      </c>
      <c r="E15222" s="30" t="s">
        <v>67</v>
      </c>
      <c r="F15222" s="30" t="s">
        <v>68</v>
      </c>
      <c r="G15222" s="30" t="s">
        <v>140</v>
      </c>
      <c r="H15222" s="32">
        <v>87</v>
      </c>
      <c r="I15222" s="30" t="s">
        <v>51</v>
      </c>
      <c r="J15222" s="41">
        <v>45030</v>
      </c>
      <c r="K15222" s="30" t="s">
        <v>22</v>
      </c>
    </row>
    <row r="15223" spans="1:11">
      <c r="A15223" s="33" t="s">
        <v>34262</v>
      </c>
      <c r="B15223" s="33" t="s">
        <v>34263</v>
      </c>
      <c r="C15223" s="33" t="s">
        <v>34264</v>
      </c>
      <c r="D15223" s="33" t="s">
        <v>17</v>
      </c>
      <c r="E15223" s="33" t="s">
        <v>26</v>
      </c>
      <c r="F15223" s="33" t="s">
        <v>27</v>
      </c>
      <c r="G15223" s="33" t="s">
        <v>20</v>
      </c>
      <c r="H15223" s="35">
        <v>98</v>
      </c>
      <c r="I15223" s="33" t="s">
        <v>21</v>
      </c>
      <c r="J15223" s="42">
        <v>45178</v>
      </c>
      <c r="K15223" s="33" t="s">
        <v>22</v>
      </c>
    </row>
    <row r="15224" spans="1:11">
      <c r="A15224" s="30" t="s">
        <v>34265</v>
      </c>
      <c r="B15224" s="30" t="s">
        <v>34266</v>
      </c>
      <c r="C15224" s="30" t="s">
        <v>96</v>
      </c>
      <c r="D15224" s="30" t="s">
        <v>17</v>
      </c>
      <c r="E15224" s="30" t="s">
        <v>26</v>
      </c>
      <c r="F15224" s="30" t="s">
        <v>27</v>
      </c>
      <c r="G15224" s="30" t="s">
        <v>20</v>
      </c>
      <c r="H15224" s="32">
        <v>12</v>
      </c>
      <c r="I15224" s="30" t="s">
        <v>21</v>
      </c>
      <c r="J15224" s="41">
        <v>45253</v>
      </c>
      <c r="K15224" s="30" t="s">
        <v>22</v>
      </c>
    </row>
    <row r="15225" spans="1:11">
      <c r="A15225" s="33" t="s">
        <v>34267</v>
      </c>
      <c r="B15225" s="33" t="s">
        <v>34268</v>
      </c>
      <c r="C15225" s="33" t="s">
        <v>33712</v>
      </c>
      <c r="D15225" s="33" t="s">
        <v>17</v>
      </c>
      <c r="E15225" s="33" t="s">
        <v>26</v>
      </c>
      <c r="F15225" s="33" t="s">
        <v>27</v>
      </c>
      <c r="G15225" s="33" t="s">
        <v>106</v>
      </c>
      <c r="H15225" s="35">
        <v>5</v>
      </c>
      <c r="I15225" s="33" t="s">
        <v>21</v>
      </c>
      <c r="J15225" s="42">
        <v>45076</v>
      </c>
      <c r="K15225" s="33" t="s">
        <v>22</v>
      </c>
    </row>
    <row r="15226" spans="1:11">
      <c r="A15226" s="30" t="s">
        <v>34269</v>
      </c>
      <c r="B15226" s="30" t="s">
        <v>34270</v>
      </c>
      <c r="C15226" s="30" t="s">
        <v>9297</v>
      </c>
      <c r="D15226" s="30" t="s">
        <v>17</v>
      </c>
      <c r="E15226" s="30" t="s">
        <v>31</v>
      </c>
      <c r="F15226" s="30" t="s">
        <v>32</v>
      </c>
      <c r="G15226" s="30" t="s">
        <v>106</v>
      </c>
      <c r="H15226" s="32">
        <v>7</v>
      </c>
      <c r="I15226" s="30" t="s">
        <v>21</v>
      </c>
      <c r="J15226" s="41">
        <v>44957</v>
      </c>
      <c r="K15226" s="30" t="s">
        <v>22</v>
      </c>
    </row>
    <row r="15227" spans="1:11">
      <c r="A15227" s="33" t="s">
        <v>34271</v>
      </c>
      <c r="B15227" s="33" t="s">
        <v>34272</v>
      </c>
      <c r="C15227" s="33" t="s">
        <v>24478</v>
      </c>
      <c r="D15227" s="33" t="s">
        <v>17</v>
      </c>
      <c r="E15227" s="33" t="s">
        <v>67</v>
      </c>
      <c r="F15227" s="33" t="s">
        <v>68</v>
      </c>
      <c r="G15227" s="33" t="s">
        <v>20</v>
      </c>
      <c r="H15227" s="35">
        <v>97</v>
      </c>
      <c r="I15227" s="33" t="s">
        <v>21</v>
      </c>
      <c r="J15227" s="42">
        <v>45217</v>
      </c>
      <c r="K15227" s="33" t="s">
        <v>22</v>
      </c>
    </row>
    <row r="15228" spans="1:11">
      <c r="A15228" s="30" t="s">
        <v>34273</v>
      </c>
      <c r="B15228" s="30" t="s">
        <v>29154</v>
      </c>
      <c r="C15228" s="30" t="s">
        <v>190</v>
      </c>
      <c r="D15228" s="30" t="s">
        <v>17</v>
      </c>
      <c r="E15228" s="30" t="s">
        <v>18</v>
      </c>
      <c r="F15228" s="30" t="s">
        <v>19</v>
      </c>
      <c r="G15228" s="30" t="s">
        <v>158</v>
      </c>
      <c r="H15228" s="32">
        <v>1454</v>
      </c>
      <c r="I15228" s="30" t="s">
        <v>21</v>
      </c>
      <c r="J15228" s="41">
        <v>45191</v>
      </c>
      <c r="K15228" s="30" t="s">
        <v>22</v>
      </c>
    </row>
    <row r="15229" spans="1:11">
      <c r="A15229" s="33" t="s">
        <v>34274</v>
      </c>
      <c r="B15229" s="33" t="s">
        <v>34275</v>
      </c>
      <c r="C15229" s="33" t="s">
        <v>9374</v>
      </c>
      <c r="D15229" s="33" t="s">
        <v>17</v>
      </c>
      <c r="E15229" s="33" t="s">
        <v>26</v>
      </c>
      <c r="F15229" s="33" t="s">
        <v>27</v>
      </c>
      <c r="G15229" s="33" t="s">
        <v>20</v>
      </c>
      <c r="H15229" s="35">
        <v>29</v>
      </c>
      <c r="I15229" s="33" t="s">
        <v>21</v>
      </c>
      <c r="J15229" s="42">
        <v>45237</v>
      </c>
      <c r="K15229" s="33" t="s">
        <v>22</v>
      </c>
    </row>
    <row r="15230" spans="1:11">
      <c r="A15230" s="30" t="s">
        <v>34276</v>
      </c>
      <c r="B15230" s="30" t="s">
        <v>34277</v>
      </c>
      <c r="C15230" s="30" t="s">
        <v>11332</v>
      </c>
      <c r="D15230" s="30" t="s">
        <v>17</v>
      </c>
      <c r="E15230" s="30" t="s">
        <v>212</v>
      </c>
      <c r="F15230" s="30" t="s">
        <v>213</v>
      </c>
      <c r="G15230" s="30" t="s">
        <v>106</v>
      </c>
      <c r="H15230" s="32">
        <v>43</v>
      </c>
      <c r="I15230" s="30" t="s">
        <v>21</v>
      </c>
      <c r="J15230" s="41">
        <v>44967</v>
      </c>
      <c r="K15230" s="30" t="s">
        <v>22</v>
      </c>
    </row>
    <row r="15231" spans="1:11">
      <c r="A15231" s="33" t="s">
        <v>34278</v>
      </c>
      <c r="B15231" s="33" t="s">
        <v>34279</v>
      </c>
      <c r="C15231" s="33" t="s">
        <v>34280</v>
      </c>
      <c r="D15231" s="33" t="s">
        <v>17</v>
      </c>
      <c r="E15231" s="33" t="s">
        <v>67</v>
      </c>
      <c r="F15231" s="33" t="s">
        <v>68</v>
      </c>
      <c r="G15231" s="33" t="s">
        <v>158</v>
      </c>
      <c r="H15231" s="35">
        <v>6</v>
      </c>
      <c r="I15231" s="33" t="s">
        <v>21</v>
      </c>
      <c r="J15231" s="42">
        <v>45272</v>
      </c>
      <c r="K15231" s="33" t="s">
        <v>22</v>
      </c>
    </row>
    <row r="15232" spans="1:11">
      <c r="A15232" s="30" t="s">
        <v>34281</v>
      </c>
      <c r="B15232" s="30" t="s">
        <v>34282</v>
      </c>
      <c r="C15232" s="30" t="s">
        <v>130</v>
      </c>
      <c r="D15232" s="30" t="s">
        <v>17</v>
      </c>
      <c r="E15232" s="30" t="s">
        <v>26</v>
      </c>
      <c r="F15232" s="30" t="s">
        <v>27</v>
      </c>
      <c r="G15232" s="30" t="s">
        <v>140</v>
      </c>
      <c r="H15232" s="32">
        <v>408</v>
      </c>
      <c r="I15232" s="30" t="s">
        <v>51</v>
      </c>
      <c r="J15232" s="41">
        <v>45131</v>
      </c>
      <c r="K15232" s="30" t="s">
        <v>22</v>
      </c>
    </row>
    <row r="15233" spans="1:11">
      <c r="A15233" s="33" t="s">
        <v>34283</v>
      </c>
      <c r="B15233" s="33" t="s">
        <v>34284</v>
      </c>
      <c r="C15233" s="33" t="s">
        <v>1228</v>
      </c>
      <c r="D15233" s="33" t="s">
        <v>17</v>
      </c>
      <c r="E15233" s="33" t="s">
        <v>212</v>
      </c>
      <c r="F15233" s="33" t="s">
        <v>213</v>
      </c>
      <c r="G15233" s="33" t="s">
        <v>20</v>
      </c>
      <c r="H15233" s="35">
        <v>64</v>
      </c>
      <c r="I15233" s="33" t="s">
        <v>21</v>
      </c>
      <c r="J15233" s="42">
        <v>44972</v>
      </c>
      <c r="K15233" s="33" t="s">
        <v>22</v>
      </c>
    </row>
    <row r="15234" spans="1:11">
      <c r="A15234" s="30" t="s">
        <v>34285</v>
      </c>
      <c r="B15234" s="30" t="s">
        <v>34286</v>
      </c>
      <c r="C15234" s="30" t="s">
        <v>34287</v>
      </c>
      <c r="D15234" s="30" t="s">
        <v>17</v>
      </c>
      <c r="E15234" s="30" t="s">
        <v>26</v>
      </c>
      <c r="F15234" s="30" t="s">
        <v>27</v>
      </c>
      <c r="G15234" s="30" t="s">
        <v>20</v>
      </c>
      <c r="H15234" s="32">
        <v>9</v>
      </c>
      <c r="I15234" s="30" t="s">
        <v>21</v>
      </c>
      <c r="J15234" s="41">
        <v>44975</v>
      </c>
      <c r="K15234" s="30" t="s">
        <v>22</v>
      </c>
    </row>
    <row r="15235" spans="1:11">
      <c r="A15235" s="33" t="s">
        <v>34288</v>
      </c>
      <c r="B15235" s="33" t="s">
        <v>34289</v>
      </c>
      <c r="C15235" s="33" t="s">
        <v>96</v>
      </c>
      <c r="D15235" s="33" t="s">
        <v>17</v>
      </c>
      <c r="E15235" s="33" t="s">
        <v>26</v>
      </c>
      <c r="F15235" s="33" t="s">
        <v>27</v>
      </c>
      <c r="G15235" s="33" t="s">
        <v>20</v>
      </c>
      <c r="H15235" s="35">
        <v>14</v>
      </c>
      <c r="I15235" s="33" t="s">
        <v>21</v>
      </c>
      <c r="J15235" s="42">
        <v>45117</v>
      </c>
      <c r="K15235" s="33" t="s">
        <v>22</v>
      </c>
    </row>
    <row r="15236" spans="1:11">
      <c r="A15236" s="30" t="s">
        <v>34290</v>
      </c>
      <c r="B15236" s="30" t="s">
        <v>34291</v>
      </c>
      <c r="C15236" s="30" t="s">
        <v>190</v>
      </c>
      <c r="D15236" s="30" t="s">
        <v>17</v>
      </c>
      <c r="E15236" s="30" t="s">
        <v>26</v>
      </c>
      <c r="F15236" s="30" t="s">
        <v>27</v>
      </c>
      <c r="G15236" s="30" t="s">
        <v>20</v>
      </c>
      <c r="H15236" s="32">
        <v>13</v>
      </c>
      <c r="I15236" s="30" t="s">
        <v>21</v>
      </c>
      <c r="J15236" s="41">
        <v>45194</v>
      </c>
      <c r="K15236" s="30" t="s">
        <v>22</v>
      </c>
    </row>
    <row r="15237" spans="1:11">
      <c r="A15237" s="33" t="s">
        <v>34292</v>
      </c>
      <c r="B15237" s="33" t="s">
        <v>34293</v>
      </c>
      <c r="C15237" s="33" t="s">
        <v>16964</v>
      </c>
      <c r="D15237" s="33" t="s">
        <v>17</v>
      </c>
      <c r="E15237" s="33" t="s">
        <v>26</v>
      </c>
      <c r="F15237" s="33" t="s">
        <v>27</v>
      </c>
      <c r="G15237" s="33" t="s">
        <v>20</v>
      </c>
      <c r="H15237" s="35">
        <v>12</v>
      </c>
      <c r="I15237" s="33" t="s">
        <v>21</v>
      </c>
      <c r="J15237" s="42">
        <v>45009</v>
      </c>
      <c r="K15237" s="33" t="s">
        <v>22</v>
      </c>
    </row>
    <row r="15238" spans="1:11">
      <c r="A15238" s="30" t="s">
        <v>34294</v>
      </c>
      <c r="B15238" s="30" t="s">
        <v>34295</v>
      </c>
      <c r="C15238" s="30" t="s">
        <v>190</v>
      </c>
      <c r="D15238" s="30" t="s">
        <v>17</v>
      </c>
      <c r="E15238" s="30" t="s">
        <v>31</v>
      </c>
      <c r="F15238" s="30" t="s">
        <v>32</v>
      </c>
      <c r="G15238" s="30" t="s">
        <v>158</v>
      </c>
      <c r="H15238" s="32">
        <v>294</v>
      </c>
      <c r="I15238" s="30" t="s">
        <v>51</v>
      </c>
      <c r="J15238" s="41">
        <v>45040</v>
      </c>
      <c r="K15238" s="30" t="s">
        <v>22</v>
      </c>
    </row>
    <row r="15239" spans="1:11">
      <c r="A15239" s="33" t="s">
        <v>34296</v>
      </c>
      <c r="B15239" s="33" t="s">
        <v>34297</v>
      </c>
      <c r="C15239" s="33" t="s">
        <v>26196</v>
      </c>
      <c r="D15239" s="33" t="s">
        <v>17</v>
      </c>
      <c r="E15239" s="33" t="s">
        <v>67</v>
      </c>
      <c r="F15239" s="33" t="s">
        <v>68</v>
      </c>
      <c r="G15239" s="33" t="s">
        <v>158</v>
      </c>
      <c r="H15239" s="35">
        <v>9</v>
      </c>
      <c r="I15239" s="33" t="s">
        <v>51</v>
      </c>
      <c r="J15239" s="42">
        <v>45181</v>
      </c>
      <c r="K15239" s="33" t="s">
        <v>22</v>
      </c>
    </row>
    <row r="15240" spans="1:11">
      <c r="A15240" s="30" t="s">
        <v>34298</v>
      </c>
      <c r="B15240" s="30" t="s">
        <v>34299</v>
      </c>
      <c r="C15240" s="30" t="s">
        <v>190</v>
      </c>
      <c r="D15240" s="30" t="s">
        <v>17</v>
      </c>
      <c r="E15240" s="30" t="s">
        <v>31</v>
      </c>
      <c r="F15240" s="30" t="s">
        <v>32</v>
      </c>
      <c r="G15240" s="30" t="s">
        <v>158</v>
      </c>
      <c r="H15240" s="32">
        <v>108</v>
      </c>
      <c r="I15240" s="30" t="s">
        <v>21</v>
      </c>
      <c r="J15240" s="41">
        <v>45273</v>
      </c>
      <c r="K15240" s="30" t="s">
        <v>22</v>
      </c>
    </row>
    <row r="15241" spans="1:11">
      <c r="A15241" s="33" t="s">
        <v>34300</v>
      </c>
      <c r="B15241" s="33" t="s">
        <v>34301</v>
      </c>
      <c r="C15241" s="33" t="s">
        <v>14640</v>
      </c>
      <c r="D15241" s="33" t="s">
        <v>17</v>
      </c>
      <c r="E15241" s="33" t="s">
        <v>26</v>
      </c>
      <c r="F15241" s="33" t="s">
        <v>27</v>
      </c>
      <c r="G15241" s="33" t="s">
        <v>50</v>
      </c>
      <c r="H15241" s="35">
        <v>198</v>
      </c>
      <c r="I15241" s="33" t="s">
        <v>51</v>
      </c>
      <c r="J15241" s="42">
        <v>44971</v>
      </c>
      <c r="K15241" s="33" t="s">
        <v>22</v>
      </c>
    </row>
    <row r="15242" spans="1:11">
      <c r="A15242" s="30" t="s">
        <v>34302</v>
      </c>
      <c r="B15242" s="30" t="s">
        <v>34303</v>
      </c>
      <c r="C15242" s="30" t="s">
        <v>124</v>
      </c>
      <c r="D15242" s="30" t="s">
        <v>17</v>
      </c>
      <c r="E15242" s="30" t="s">
        <v>26</v>
      </c>
      <c r="F15242" s="30" t="s">
        <v>27</v>
      </c>
      <c r="G15242" s="30" t="s">
        <v>20</v>
      </c>
      <c r="H15242" s="32">
        <v>96</v>
      </c>
      <c r="I15242" s="30" t="s">
        <v>21</v>
      </c>
      <c r="J15242" s="41">
        <v>45285</v>
      </c>
      <c r="K15242" s="30" t="s">
        <v>22</v>
      </c>
    </row>
    <row r="15243" spans="1:11">
      <c r="A15243" s="33" t="s">
        <v>34304</v>
      </c>
      <c r="B15243" s="33" t="s">
        <v>34305</v>
      </c>
      <c r="C15243" s="33" t="s">
        <v>362</v>
      </c>
      <c r="D15243" s="33" t="s">
        <v>17</v>
      </c>
      <c r="E15243" s="33" t="s">
        <v>31</v>
      </c>
      <c r="F15243" s="33" t="s">
        <v>32</v>
      </c>
      <c r="G15243" s="33" t="s">
        <v>20</v>
      </c>
      <c r="H15243" s="35">
        <v>186</v>
      </c>
      <c r="I15243" s="33" t="s">
        <v>21</v>
      </c>
      <c r="J15243" s="42">
        <v>45105</v>
      </c>
      <c r="K15243" s="33" t="s">
        <v>22</v>
      </c>
    </row>
    <row r="15244" spans="1:11">
      <c r="A15244" s="30" t="s">
        <v>34306</v>
      </c>
      <c r="B15244" s="30" t="s">
        <v>34307</v>
      </c>
      <c r="C15244" s="30" t="s">
        <v>124</v>
      </c>
      <c r="D15244" s="30" t="s">
        <v>17</v>
      </c>
      <c r="E15244" s="30" t="s">
        <v>31</v>
      </c>
      <c r="F15244" s="30" t="s">
        <v>32</v>
      </c>
      <c r="G15244" s="30" t="s">
        <v>20</v>
      </c>
      <c r="H15244" s="32">
        <v>210</v>
      </c>
      <c r="I15244" s="30" t="s">
        <v>21</v>
      </c>
      <c r="J15244" s="41">
        <v>45042</v>
      </c>
      <c r="K15244" s="30" t="s">
        <v>22</v>
      </c>
    </row>
    <row r="15245" spans="1:11">
      <c r="A15245" s="33" t="s">
        <v>34308</v>
      </c>
      <c r="B15245" s="33" t="s">
        <v>34309</v>
      </c>
      <c r="C15245" s="33" t="s">
        <v>34310</v>
      </c>
      <c r="D15245" s="33" t="s">
        <v>17</v>
      </c>
      <c r="E15245" s="33" t="s">
        <v>67</v>
      </c>
      <c r="F15245" s="33" t="s">
        <v>68</v>
      </c>
      <c r="G15245" s="33" t="s">
        <v>158</v>
      </c>
      <c r="H15245" s="35">
        <v>66</v>
      </c>
      <c r="I15245" s="33" t="s">
        <v>21</v>
      </c>
      <c r="J15245" s="42">
        <v>45218</v>
      </c>
      <c r="K15245" s="33" t="s">
        <v>22</v>
      </c>
    </row>
    <row r="15246" spans="1:11">
      <c r="A15246" s="30" t="s">
        <v>34311</v>
      </c>
      <c r="B15246" s="30" t="s">
        <v>34312</v>
      </c>
      <c r="C15246" s="30" t="s">
        <v>3459</v>
      </c>
      <c r="D15246" s="30" t="s">
        <v>17</v>
      </c>
      <c r="E15246" s="30" t="s">
        <v>18</v>
      </c>
      <c r="F15246" s="30" t="s">
        <v>19</v>
      </c>
      <c r="G15246" s="30" t="s">
        <v>20</v>
      </c>
      <c r="H15246" s="32">
        <v>118</v>
      </c>
      <c r="I15246" s="30" t="s">
        <v>21</v>
      </c>
      <c r="J15246" s="41">
        <v>45272</v>
      </c>
      <c r="K15246" s="30" t="s">
        <v>22</v>
      </c>
    </row>
    <row r="15247" spans="1:11">
      <c r="A15247" s="33" t="s">
        <v>34313</v>
      </c>
      <c r="B15247" s="33" t="s">
        <v>34314</v>
      </c>
      <c r="C15247" s="33" t="s">
        <v>1428</v>
      </c>
      <c r="D15247" s="33" t="s">
        <v>17</v>
      </c>
      <c r="E15247" s="33" t="s">
        <v>31</v>
      </c>
      <c r="F15247" s="33" t="s">
        <v>32</v>
      </c>
      <c r="G15247" s="33" t="s">
        <v>20</v>
      </c>
      <c r="H15247" s="35">
        <v>518</v>
      </c>
      <c r="I15247" s="33" t="s">
        <v>21</v>
      </c>
      <c r="J15247" s="42">
        <v>44931</v>
      </c>
      <c r="K15247" s="33" t="s">
        <v>22</v>
      </c>
    </row>
    <row r="15248" spans="1:11">
      <c r="A15248" s="30" t="s">
        <v>34315</v>
      </c>
      <c r="B15248" s="30" t="s">
        <v>34316</v>
      </c>
      <c r="C15248" s="30" t="s">
        <v>18714</v>
      </c>
      <c r="D15248" s="30" t="s">
        <v>17</v>
      </c>
      <c r="E15248" s="30" t="s">
        <v>26</v>
      </c>
      <c r="F15248" s="30" t="s">
        <v>27</v>
      </c>
      <c r="G15248" s="30" t="s">
        <v>20</v>
      </c>
      <c r="H15248" s="32">
        <v>16</v>
      </c>
      <c r="I15248" s="30" t="s">
        <v>21</v>
      </c>
      <c r="J15248" s="41">
        <v>45183</v>
      </c>
      <c r="K15248" s="30" t="s">
        <v>22</v>
      </c>
    </row>
    <row r="15249" spans="1:11">
      <c r="A15249" s="33" t="s">
        <v>34317</v>
      </c>
      <c r="B15249" s="33" t="s">
        <v>34318</v>
      </c>
      <c r="C15249" s="33" t="s">
        <v>178</v>
      </c>
      <c r="D15249" s="33" t="s">
        <v>17</v>
      </c>
      <c r="E15249" s="33" t="s">
        <v>45</v>
      </c>
      <c r="F15249" s="33" t="s">
        <v>46</v>
      </c>
      <c r="G15249" s="33" t="s">
        <v>106</v>
      </c>
      <c r="H15249" s="35">
        <v>49</v>
      </c>
      <c r="I15249" s="33" t="s">
        <v>21</v>
      </c>
      <c r="J15249" s="42">
        <v>44984</v>
      </c>
      <c r="K15249" s="33" t="s">
        <v>22</v>
      </c>
    </row>
    <row r="15250" spans="1:11">
      <c r="A15250" s="30" t="s">
        <v>34319</v>
      </c>
      <c r="B15250" s="30" t="s">
        <v>34320</v>
      </c>
      <c r="C15250" s="30" t="s">
        <v>3944</v>
      </c>
      <c r="D15250" s="30" t="s">
        <v>17</v>
      </c>
      <c r="E15250" s="30" t="s">
        <v>26</v>
      </c>
      <c r="F15250" s="30" t="s">
        <v>27</v>
      </c>
      <c r="G15250" s="30" t="s">
        <v>140</v>
      </c>
      <c r="H15250" s="32">
        <v>36</v>
      </c>
      <c r="I15250" s="30" t="s">
        <v>51</v>
      </c>
      <c r="J15250" s="41">
        <v>45199</v>
      </c>
      <c r="K15250" s="30" t="s">
        <v>22</v>
      </c>
    </row>
    <row r="15251" spans="1:11">
      <c r="A15251" s="33" t="s">
        <v>34321</v>
      </c>
      <c r="B15251" s="33" t="s">
        <v>34322</v>
      </c>
      <c r="C15251" s="33" t="s">
        <v>190</v>
      </c>
      <c r="D15251" s="33" t="s">
        <v>17</v>
      </c>
      <c r="E15251" s="33" t="s">
        <v>18</v>
      </c>
      <c r="F15251" s="33" t="s">
        <v>19</v>
      </c>
      <c r="G15251" s="33" t="s">
        <v>158</v>
      </c>
      <c r="H15251" s="35">
        <v>1835</v>
      </c>
      <c r="I15251" s="33" t="s">
        <v>21</v>
      </c>
      <c r="J15251" s="42">
        <v>45237</v>
      </c>
      <c r="K15251" s="33" t="s">
        <v>22</v>
      </c>
    </row>
    <row r="15252" spans="1:11">
      <c r="A15252" s="30" t="s">
        <v>34323</v>
      </c>
      <c r="B15252" s="30" t="s">
        <v>34324</v>
      </c>
      <c r="C15252" s="30" t="s">
        <v>7296</v>
      </c>
      <c r="D15252" s="30" t="s">
        <v>17</v>
      </c>
      <c r="E15252" s="30" t="s">
        <v>31</v>
      </c>
      <c r="F15252" s="30" t="s">
        <v>32</v>
      </c>
      <c r="G15252" s="30" t="s">
        <v>20</v>
      </c>
      <c r="H15252" s="32">
        <v>132</v>
      </c>
      <c r="I15252" s="30" t="s">
        <v>21</v>
      </c>
      <c r="J15252" s="41">
        <v>44987</v>
      </c>
      <c r="K15252" s="30" t="s">
        <v>22</v>
      </c>
    </row>
    <row r="15253" spans="1:11">
      <c r="A15253" s="33" t="s">
        <v>34325</v>
      </c>
      <c r="B15253" s="33" t="s">
        <v>34326</v>
      </c>
      <c r="C15253" s="33" t="s">
        <v>34327</v>
      </c>
      <c r="D15253" s="33" t="s">
        <v>17</v>
      </c>
      <c r="E15253" s="33" t="s">
        <v>26</v>
      </c>
      <c r="F15253" s="33" t="s">
        <v>27</v>
      </c>
      <c r="G15253" s="33" t="s">
        <v>20</v>
      </c>
      <c r="H15253" s="35">
        <v>118</v>
      </c>
      <c r="I15253" s="33" t="s">
        <v>21</v>
      </c>
      <c r="J15253" s="42">
        <v>44942</v>
      </c>
      <c r="K15253" s="33" t="s">
        <v>22</v>
      </c>
    </row>
    <row r="15254" spans="1:11">
      <c r="A15254" s="30" t="s">
        <v>34328</v>
      </c>
      <c r="B15254" s="30" t="s">
        <v>34329</v>
      </c>
      <c r="C15254" s="30" t="s">
        <v>14331</v>
      </c>
      <c r="D15254" s="30" t="s">
        <v>17</v>
      </c>
      <c r="E15254" s="30" t="s">
        <v>67</v>
      </c>
      <c r="F15254" s="30" t="s">
        <v>68</v>
      </c>
      <c r="G15254" s="30" t="s">
        <v>20</v>
      </c>
      <c r="H15254" s="32">
        <v>90</v>
      </c>
      <c r="I15254" s="30" t="s">
        <v>21</v>
      </c>
      <c r="J15254" s="41">
        <v>45020</v>
      </c>
      <c r="K15254" s="30" t="s">
        <v>22</v>
      </c>
    </row>
    <row r="15255" spans="1:11">
      <c r="A15255" s="33" t="s">
        <v>34330</v>
      </c>
      <c r="B15255" s="33" t="s">
        <v>34331</v>
      </c>
      <c r="C15255" s="33" t="s">
        <v>310</v>
      </c>
      <c r="D15255" s="33" t="s">
        <v>17</v>
      </c>
      <c r="E15255" s="33" t="s">
        <v>26</v>
      </c>
      <c r="F15255" s="33" t="s">
        <v>27</v>
      </c>
      <c r="G15255" s="33" t="s">
        <v>20</v>
      </c>
      <c r="H15255" s="35">
        <v>107</v>
      </c>
      <c r="I15255" s="33" t="s">
        <v>21</v>
      </c>
      <c r="J15255" s="42">
        <v>45028</v>
      </c>
      <c r="K15255" s="33" t="s">
        <v>22</v>
      </c>
    </row>
    <row r="15256" spans="1:11">
      <c r="A15256" s="30" t="s">
        <v>34332</v>
      </c>
      <c r="B15256" s="30" t="s">
        <v>34333</v>
      </c>
      <c r="C15256" s="30" t="s">
        <v>136</v>
      </c>
      <c r="D15256" s="30" t="s">
        <v>17</v>
      </c>
      <c r="E15256" s="30" t="s">
        <v>18</v>
      </c>
      <c r="F15256" s="30" t="s">
        <v>19</v>
      </c>
      <c r="G15256" s="30" t="s">
        <v>158</v>
      </c>
      <c r="H15256" s="32">
        <v>3127</v>
      </c>
      <c r="I15256" s="30" t="s">
        <v>21</v>
      </c>
      <c r="J15256" s="41">
        <v>45082</v>
      </c>
      <c r="K15256" s="30" t="s">
        <v>22</v>
      </c>
    </row>
    <row r="15257" spans="1:11">
      <c r="A15257" s="33" t="s">
        <v>34334</v>
      </c>
      <c r="B15257" s="33" t="s">
        <v>34335</v>
      </c>
      <c r="C15257" s="33" t="s">
        <v>28382</v>
      </c>
      <c r="D15257" s="33" t="s">
        <v>17</v>
      </c>
      <c r="E15257" s="33" t="s">
        <v>26</v>
      </c>
      <c r="F15257" s="33" t="s">
        <v>27</v>
      </c>
      <c r="G15257" s="33" t="s">
        <v>20</v>
      </c>
      <c r="H15257" s="35">
        <v>9</v>
      </c>
      <c r="I15257" s="33" t="s">
        <v>21</v>
      </c>
      <c r="J15257" s="42">
        <v>45108</v>
      </c>
      <c r="K15257" s="33" t="s">
        <v>22</v>
      </c>
    </row>
    <row r="15258" spans="1:11">
      <c r="A15258" s="30" t="s">
        <v>34336</v>
      </c>
      <c r="B15258" s="30" t="s">
        <v>34337</v>
      </c>
      <c r="C15258" s="30" t="s">
        <v>27012</v>
      </c>
      <c r="D15258" s="30" t="s">
        <v>17</v>
      </c>
      <c r="E15258" s="30" t="s">
        <v>18</v>
      </c>
      <c r="F15258" s="30" t="s">
        <v>19</v>
      </c>
      <c r="G15258" s="30" t="s">
        <v>140</v>
      </c>
      <c r="H15258" s="32">
        <v>230</v>
      </c>
      <c r="I15258" s="30" t="s">
        <v>51</v>
      </c>
      <c r="J15258" s="41">
        <v>45076</v>
      </c>
      <c r="K15258" s="30" t="s">
        <v>22</v>
      </c>
    </row>
    <row r="15259" spans="1:11">
      <c r="A15259" s="33" t="s">
        <v>34338</v>
      </c>
      <c r="B15259" s="33" t="s">
        <v>34339</v>
      </c>
      <c r="C15259" s="33" t="s">
        <v>5554</v>
      </c>
      <c r="D15259" s="33" t="s">
        <v>17</v>
      </c>
      <c r="E15259" s="33" t="s">
        <v>212</v>
      </c>
      <c r="F15259" s="33" t="s">
        <v>213</v>
      </c>
      <c r="G15259" s="33" t="s">
        <v>20</v>
      </c>
      <c r="H15259" s="35">
        <v>30</v>
      </c>
      <c r="I15259" s="33" t="s">
        <v>21</v>
      </c>
      <c r="J15259" s="42">
        <v>45258</v>
      </c>
      <c r="K15259" s="33" t="s">
        <v>22</v>
      </c>
    </row>
    <row r="15260" spans="1:11">
      <c r="A15260" s="30" t="s">
        <v>34340</v>
      </c>
      <c r="B15260" s="30" t="s">
        <v>34341</v>
      </c>
      <c r="C15260" s="30" t="s">
        <v>93</v>
      </c>
      <c r="D15260" s="30" t="s">
        <v>17</v>
      </c>
      <c r="E15260" s="30" t="s">
        <v>212</v>
      </c>
      <c r="F15260" s="30" t="s">
        <v>213</v>
      </c>
      <c r="G15260" s="30" t="s">
        <v>20</v>
      </c>
      <c r="H15260" s="32">
        <v>461</v>
      </c>
      <c r="I15260" s="30" t="s">
        <v>21</v>
      </c>
      <c r="J15260" s="41">
        <v>45075</v>
      </c>
      <c r="K15260" s="30" t="s">
        <v>22</v>
      </c>
    </row>
    <row r="15261" spans="1:11">
      <c r="A15261" s="33" t="s">
        <v>34342</v>
      </c>
      <c r="B15261" s="33" t="s">
        <v>34343</v>
      </c>
      <c r="C15261" s="33" t="s">
        <v>26837</v>
      </c>
      <c r="D15261" s="33" t="s">
        <v>17</v>
      </c>
      <c r="E15261" s="33" t="s">
        <v>330</v>
      </c>
      <c r="F15261" s="33" t="s">
        <v>331</v>
      </c>
      <c r="G15261" s="33" t="s">
        <v>140</v>
      </c>
      <c r="H15261" s="35">
        <v>12</v>
      </c>
      <c r="I15261" s="33" t="s">
        <v>51</v>
      </c>
      <c r="J15261" s="42">
        <v>45108</v>
      </c>
      <c r="K15261" s="33" t="s">
        <v>22</v>
      </c>
    </row>
    <row r="15262" spans="1:11">
      <c r="A15262" s="30" t="s">
        <v>34344</v>
      </c>
      <c r="B15262" s="30" t="s">
        <v>34345</v>
      </c>
      <c r="C15262" s="30" t="s">
        <v>1469</v>
      </c>
      <c r="D15262" s="30" t="s">
        <v>17</v>
      </c>
      <c r="E15262" s="30" t="s">
        <v>212</v>
      </c>
      <c r="F15262" s="30" t="s">
        <v>213</v>
      </c>
      <c r="G15262" s="30" t="s">
        <v>20</v>
      </c>
      <c r="H15262" s="32">
        <v>60</v>
      </c>
      <c r="I15262" s="30" t="s">
        <v>21</v>
      </c>
      <c r="J15262" s="41">
        <v>45222</v>
      </c>
      <c r="K15262" s="30" t="s">
        <v>22</v>
      </c>
    </row>
    <row r="15263" spans="1:11">
      <c r="A15263" s="33" t="s">
        <v>34346</v>
      </c>
      <c r="B15263" s="33" t="s">
        <v>34347</v>
      </c>
      <c r="C15263" s="33" t="s">
        <v>3622</v>
      </c>
      <c r="D15263" s="33" t="s">
        <v>17</v>
      </c>
      <c r="E15263" s="33" t="s">
        <v>31</v>
      </c>
      <c r="F15263" s="33" t="s">
        <v>32</v>
      </c>
      <c r="G15263" s="33" t="s">
        <v>140</v>
      </c>
      <c r="H15263" s="35">
        <v>35</v>
      </c>
      <c r="I15263" s="33" t="s">
        <v>51</v>
      </c>
      <c r="J15263" s="42">
        <v>45070</v>
      </c>
      <c r="K15263" s="33" t="s">
        <v>22</v>
      </c>
    </row>
    <row r="15264" spans="1:11">
      <c r="A15264" s="30" t="s">
        <v>34348</v>
      </c>
      <c r="B15264" s="30" t="s">
        <v>34349</v>
      </c>
      <c r="C15264" s="30" t="s">
        <v>1090</v>
      </c>
      <c r="D15264" s="30" t="s">
        <v>17</v>
      </c>
      <c r="E15264" s="30" t="s">
        <v>31</v>
      </c>
      <c r="F15264" s="30" t="s">
        <v>32</v>
      </c>
      <c r="G15264" s="30" t="s">
        <v>50</v>
      </c>
      <c r="H15264" s="32">
        <v>207</v>
      </c>
      <c r="I15264" s="30" t="s">
        <v>51</v>
      </c>
      <c r="J15264" s="41">
        <v>45064</v>
      </c>
      <c r="K15264" s="30" t="s">
        <v>22</v>
      </c>
    </row>
    <row r="15265" spans="1:11">
      <c r="A15265" s="33" t="s">
        <v>34350</v>
      </c>
      <c r="B15265" s="33" t="s">
        <v>34351</v>
      </c>
      <c r="C15265" s="33" t="s">
        <v>6351</v>
      </c>
      <c r="D15265" s="33" t="s">
        <v>17</v>
      </c>
      <c r="E15265" s="33" t="s">
        <v>31</v>
      </c>
      <c r="F15265" s="33" t="s">
        <v>32</v>
      </c>
      <c r="G15265" s="33" t="s">
        <v>20</v>
      </c>
      <c r="H15265" s="35">
        <v>161</v>
      </c>
      <c r="I15265" s="33" t="s">
        <v>21</v>
      </c>
      <c r="J15265" s="42">
        <v>45233</v>
      </c>
      <c r="K15265" s="33" t="s">
        <v>22</v>
      </c>
    </row>
    <row r="15266" spans="1:11">
      <c r="A15266" s="30" t="s">
        <v>34352</v>
      </c>
      <c r="B15266" s="30" t="s">
        <v>34353</v>
      </c>
      <c r="C15266" s="30" t="s">
        <v>34354</v>
      </c>
      <c r="D15266" s="30" t="s">
        <v>17</v>
      </c>
      <c r="E15266" s="30" t="s">
        <v>26</v>
      </c>
      <c r="F15266" s="30" t="s">
        <v>27</v>
      </c>
      <c r="G15266" s="30" t="s">
        <v>106</v>
      </c>
      <c r="H15266" s="32">
        <v>20</v>
      </c>
      <c r="I15266" s="30" t="s">
        <v>21</v>
      </c>
      <c r="J15266" s="41">
        <v>45170</v>
      </c>
      <c r="K15266" s="30" t="s">
        <v>22</v>
      </c>
    </row>
    <row r="15267" spans="1:11">
      <c r="A15267" s="33" t="s">
        <v>34355</v>
      </c>
      <c r="B15267" s="33" t="s">
        <v>34356</v>
      </c>
      <c r="C15267" s="33" t="s">
        <v>353</v>
      </c>
      <c r="D15267" s="33" t="s">
        <v>17</v>
      </c>
      <c r="E15267" s="33" t="s">
        <v>212</v>
      </c>
      <c r="F15267" s="33" t="s">
        <v>213</v>
      </c>
      <c r="G15267" s="33" t="s">
        <v>50</v>
      </c>
      <c r="H15267" s="35">
        <v>338</v>
      </c>
      <c r="I15267" s="33" t="s">
        <v>51</v>
      </c>
      <c r="J15267" s="42">
        <v>45009</v>
      </c>
      <c r="K15267" s="33" t="s">
        <v>22</v>
      </c>
    </row>
    <row r="15268" spans="1:11">
      <c r="A15268" s="30" t="s">
        <v>34357</v>
      </c>
      <c r="B15268" s="30" t="s">
        <v>34358</v>
      </c>
      <c r="C15268" s="30" t="s">
        <v>34359</v>
      </c>
      <c r="D15268" s="30" t="s">
        <v>17</v>
      </c>
      <c r="E15268" s="30" t="s">
        <v>18</v>
      </c>
      <c r="F15268" s="30" t="s">
        <v>19</v>
      </c>
      <c r="G15268" s="30" t="s">
        <v>112</v>
      </c>
      <c r="H15268" s="32">
        <v>0</v>
      </c>
      <c r="I15268" s="30" t="s">
        <v>21</v>
      </c>
      <c r="J15268" s="41">
        <v>45141</v>
      </c>
      <c r="K15268" s="30" t="s">
        <v>22</v>
      </c>
    </row>
    <row r="15269" spans="1:11">
      <c r="A15269" s="33" t="s">
        <v>34360</v>
      </c>
      <c r="B15269" s="33" t="s">
        <v>34361</v>
      </c>
      <c r="C15269" s="33" t="s">
        <v>34362</v>
      </c>
      <c r="D15269" s="33" t="s">
        <v>17</v>
      </c>
      <c r="E15269" s="33" t="s">
        <v>26</v>
      </c>
      <c r="F15269" s="33" t="s">
        <v>27</v>
      </c>
      <c r="G15269" s="33" t="s">
        <v>140</v>
      </c>
      <c r="H15269" s="35">
        <v>64</v>
      </c>
      <c r="I15269" s="33" t="s">
        <v>51</v>
      </c>
      <c r="J15269" s="42">
        <v>45280</v>
      </c>
      <c r="K15269" s="33" t="s">
        <v>22</v>
      </c>
    </row>
    <row r="15270" spans="1:11">
      <c r="A15270" s="30" t="s">
        <v>34363</v>
      </c>
      <c r="B15270" s="30" t="s">
        <v>34364</v>
      </c>
      <c r="C15270" s="30" t="s">
        <v>30095</v>
      </c>
      <c r="D15270" s="30" t="s">
        <v>17</v>
      </c>
      <c r="E15270" s="30" t="s">
        <v>330</v>
      </c>
      <c r="F15270" s="30" t="s">
        <v>331</v>
      </c>
      <c r="G15270" s="30" t="s">
        <v>140</v>
      </c>
      <c r="H15270" s="32">
        <v>12</v>
      </c>
      <c r="I15270" s="30" t="s">
        <v>51</v>
      </c>
      <c r="J15270" s="41">
        <v>45173</v>
      </c>
      <c r="K15270" s="30" t="s">
        <v>22</v>
      </c>
    </row>
    <row r="15271" spans="1:11">
      <c r="A15271" s="33" t="s">
        <v>34365</v>
      </c>
      <c r="B15271" s="33" t="s">
        <v>34366</v>
      </c>
      <c r="C15271" s="33" t="s">
        <v>4257</v>
      </c>
      <c r="D15271" s="33" t="s">
        <v>17</v>
      </c>
      <c r="E15271" s="33" t="s">
        <v>31</v>
      </c>
      <c r="F15271" s="33" t="s">
        <v>32</v>
      </c>
      <c r="G15271" s="33" t="s">
        <v>106</v>
      </c>
      <c r="H15271" s="35">
        <v>114</v>
      </c>
      <c r="I15271" s="33" t="s">
        <v>21</v>
      </c>
      <c r="J15271" s="42">
        <v>45054</v>
      </c>
      <c r="K15271" s="33" t="s">
        <v>22</v>
      </c>
    </row>
    <row r="15272" spans="1:11">
      <c r="A15272" s="30" t="s">
        <v>34367</v>
      </c>
      <c r="B15272" s="30" t="s">
        <v>34368</v>
      </c>
      <c r="C15272" s="30" t="s">
        <v>10170</v>
      </c>
      <c r="D15272" s="30" t="s">
        <v>17</v>
      </c>
      <c r="E15272" s="30" t="s">
        <v>26</v>
      </c>
      <c r="F15272" s="30" t="s">
        <v>27</v>
      </c>
      <c r="G15272" s="30" t="s">
        <v>20</v>
      </c>
      <c r="H15272" s="32">
        <v>24</v>
      </c>
      <c r="I15272" s="30" t="s">
        <v>21</v>
      </c>
      <c r="J15272" s="41">
        <v>45072</v>
      </c>
      <c r="K15272" s="30" t="s">
        <v>22</v>
      </c>
    </row>
    <row r="15273" spans="1:11">
      <c r="A15273" s="33" t="s">
        <v>34369</v>
      </c>
      <c r="B15273" s="33" t="s">
        <v>34370</v>
      </c>
      <c r="C15273" s="33" t="s">
        <v>647</v>
      </c>
      <c r="D15273" s="33" t="s">
        <v>17</v>
      </c>
      <c r="E15273" s="33" t="s">
        <v>18</v>
      </c>
      <c r="F15273" s="33" t="s">
        <v>19</v>
      </c>
      <c r="G15273" s="33" t="s">
        <v>158</v>
      </c>
      <c r="H15273" s="35">
        <v>340</v>
      </c>
      <c r="I15273" s="33" t="s">
        <v>51</v>
      </c>
      <c r="J15273" s="42">
        <v>45291</v>
      </c>
      <c r="K15273" s="33" t="s">
        <v>22</v>
      </c>
    </row>
    <row r="15274" spans="1:11">
      <c r="A15274" s="30" t="s">
        <v>34371</v>
      </c>
      <c r="B15274" s="30" t="s">
        <v>34372</v>
      </c>
      <c r="C15274" s="30" t="s">
        <v>6844</v>
      </c>
      <c r="D15274" s="30" t="s">
        <v>17</v>
      </c>
      <c r="E15274" s="30" t="s">
        <v>31</v>
      </c>
      <c r="F15274" s="30" t="s">
        <v>32</v>
      </c>
      <c r="G15274" s="30" t="s">
        <v>20</v>
      </c>
      <c r="H15274" s="32">
        <v>20</v>
      </c>
      <c r="I15274" s="30" t="s">
        <v>21</v>
      </c>
      <c r="J15274" s="41">
        <v>45176</v>
      </c>
      <c r="K15274" s="30" t="s">
        <v>22</v>
      </c>
    </row>
    <row r="15275" spans="1:11">
      <c r="A15275" s="33" t="s">
        <v>34373</v>
      </c>
      <c r="B15275" s="33" t="s">
        <v>34374</v>
      </c>
      <c r="C15275" s="33" t="s">
        <v>109</v>
      </c>
      <c r="D15275" s="33" t="s">
        <v>17</v>
      </c>
      <c r="E15275" s="33" t="s">
        <v>18</v>
      </c>
      <c r="F15275" s="33" t="s">
        <v>19</v>
      </c>
      <c r="G15275" s="33" t="s">
        <v>158</v>
      </c>
      <c r="H15275" s="35">
        <v>288</v>
      </c>
      <c r="I15275" s="33" t="s">
        <v>21</v>
      </c>
      <c r="J15275" s="42">
        <v>45037</v>
      </c>
      <c r="K15275" s="33" t="s">
        <v>22</v>
      </c>
    </row>
    <row r="15276" spans="1:11">
      <c r="A15276" s="30" t="s">
        <v>34375</v>
      </c>
      <c r="B15276" s="30" t="s">
        <v>34376</v>
      </c>
      <c r="C15276" s="30" t="s">
        <v>34377</v>
      </c>
      <c r="D15276" s="30" t="s">
        <v>17</v>
      </c>
      <c r="E15276" s="30" t="s">
        <v>26</v>
      </c>
      <c r="F15276" s="30" t="s">
        <v>27</v>
      </c>
      <c r="G15276" s="30" t="s">
        <v>20</v>
      </c>
      <c r="H15276" s="32">
        <v>18</v>
      </c>
      <c r="I15276" s="30" t="s">
        <v>21</v>
      </c>
      <c r="J15276" s="41">
        <v>45040</v>
      </c>
      <c r="K15276" s="30" t="s">
        <v>22</v>
      </c>
    </row>
    <row r="15277" spans="1:11">
      <c r="A15277" s="33" t="s">
        <v>34378</v>
      </c>
      <c r="B15277" s="33" t="s">
        <v>34379</v>
      </c>
      <c r="C15277" s="33" t="s">
        <v>231</v>
      </c>
      <c r="D15277" s="33" t="s">
        <v>17</v>
      </c>
      <c r="E15277" s="33" t="s">
        <v>26</v>
      </c>
      <c r="F15277" s="33" t="s">
        <v>27</v>
      </c>
      <c r="G15277" s="33" t="s">
        <v>20</v>
      </c>
      <c r="H15277" s="35">
        <v>36</v>
      </c>
      <c r="I15277" s="33" t="s">
        <v>21</v>
      </c>
      <c r="J15277" s="42">
        <v>44958</v>
      </c>
      <c r="K15277" s="33" t="s">
        <v>22</v>
      </c>
    </row>
    <row r="15278" spans="1:11">
      <c r="A15278" s="30" t="s">
        <v>34380</v>
      </c>
      <c r="B15278" s="30" t="s">
        <v>34381</v>
      </c>
      <c r="C15278" s="30" t="s">
        <v>93</v>
      </c>
      <c r="D15278" s="30" t="s">
        <v>17</v>
      </c>
      <c r="E15278" s="30" t="s">
        <v>31</v>
      </c>
      <c r="F15278" s="30" t="s">
        <v>32</v>
      </c>
      <c r="G15278" s="30" t="s">
        <v>158</v>
      </c>
      <c r="H15278" s="32">
        <v>130</v>
      </c>
      <c r="I15278" s="30" t="s">
        <v>21</v>
      </c>
      <c r="J15278" s="41">
        <v>45190</v>
      </c>
      <c r="K15278" s="30" t="s">
        <v>22</v>
      </c>
    </row>
    <row r="15279" spans="1:11">
      <c r="A15279" s="33" t="s">
        <v>34382</v>
      </c>
      <c r="B15279" s="33" t="s">
        <v>34383</v>
      </c>
      <c r="C15279" s="33" t="s">
        <v>310</v>
      </c>
      <c r="D15279" s="33" t="s">
        <v>17</v>
      </c>
      <c r="E15279" s="33" t="s">
        <v>18</v>
      </c>
      <c r="F15279" s="33" t="s">
        <v>19</v>
      </c>
      <c r="G15279" s="33" t="s">
        <v>20</v>
      </c>
      <c r="H15279" s="35">
        <v>1407</v>
      </c>
      <c r="I15279" s="33" t="s">
        <v>21</v>
      </c>
      <c r="J15279" s="42">
        <v>44930</v>
      </c>
      <c r="K15279" s="33" t="s">
        <v>22</v>
      </c>
    </row>
    <row r="15280" spans="1:11">
      <c r="A15280" s="30" t="s">
        <v>34384</v>
      </c>
      <c r="B15280" s="30" t="s">
        <v>34385</v>
      </c>
      <c r="C15280" s="30" t="s">
        <v>231</v>
      </c>
      <c r="D15280" s="30" t="s">
        <v>17</v>
      </c>
      <c r="E15280" s="30" t="s">
        <v>26</v>
      </c>
      <c r="F15280" s="30" t="s">
        <v>27</v>
      </c>
      <c r="G15280" s="30" t="s">
        <v>20</v>
      </c>
      <c r="H15280" s="32">
        <v>28</v>
      </c>
      <c r="I15280" s="30" t="s">
        <v>21</v>
      </c>
      <c r="J15280" s="41">
        <v>44978</v>
      </c>
      <c r="K15280" s="30" t="s">
        <v>22</v>
      </c>
    </row>
    <row r="15281" spans="1:11">
      <c r="A15281" s="33" t="s">
        <v>34386</v>
      </c>
      <c r="B15281" s="33" t="s">
        <v>34387</v>
      </c>
      <c r="C15281" s="33" t="s">
        <v>13508</v>
      </c>
      <c r="D15281" s="33" t="s">
        <v>17</v>
      </c>
      <c r="E15281" s="33" t="s">
        <v>26</v>
      </c>
      <c r="F15281" s="33" t="s">
        <v>27</v>
      </c>
      <c r="G15281" s="33" t="s">
        <v>158</v>
      </c>
      <c r="H15281" s="35">
        <v>122</v>
      </c>
      <c r="I15281" s="33" t="s">
        <v>51</v>
      </c>
      <c r="J15281" s="42">
        <v>45196</v>
      </c>
      <c r="K15281" s="33" t="s">
        <v>22</v>
      </c>
    </row>
    <row r="15282" spans="1:11">
      <c r="A15282" s="30" t="s">
        <v>34388</v>
      </c>
      <c r="B15282" s="30" t="s">
        <v>34389</v>
      </c>
      <c r="C15282" s="30" t="s">
        <v>20029</v>
      </c>
      <c r="D15282" s="30" t="s">
        <v>17</v>
      </c>
      <c r="E15282" s="30" t="s">
        <v>26</v>
      </c>
      <c r="F15282" s="30" t="s">
        <v>27</v>
      </c>
      <c r="G15282" s="30" t="s">
        <v>158</v>
      </c>
      <c r="H15282" s="32">
        <v>16</v>
      </c>
      <c r="I15282" s="30" t="s">
        <v>51</v>
      </c>
      <c r="J15282" s="41">
        <v>45173</v>
      </c>
      <c r="K15282" s="30" t="s">
        <v>22</v>
      </c>
    </row>
    <row r="15283" spans="1:11">
      <c r="A15283" s="33" t="s">
        <v>34390</v>
      </c>
      <c r="B15283" s="33" t="s">
        <v>34391</v>
      </c>
      <c r="C15283" s="33" t="s">
        <v>4348</v>
      </c>
      <c r="D15283" s="33" t="s">
        <v>17</v>
      </c>
      <c r="E15283" s="33" t="s">
        <v>18</v>
      </c>
      <c r="F15283" s="33" t="s">
        <v>19</v>
      </c>
      <c r="G15283" s="33" t="s">
        <v>158</v>
      </c>
      <c r="H15283" s="35">
        <v>386</v>
      </c>
      <c r="I15283" s="33" t="s">
        <v>21</v>
      </c>
      <c r="J15283" s="42">
        <v>45264</v>
      </c>
      <c r="K15283" s="33" t="s">
        <v>22</v>
      </c>
    </row>
    <row r="15284" spans="1:11">
      <c r="A15284" s="30" t="s">
        <v>34392</v>
      </c>
      <c r="B15284" s="30" t="s">
        <v>34393</v>
      </c>
      <c r="C15284" s="30" t="s">
        <v>13241</v>
      </c>
      <c r="D15284" s="30" t="s">
        <v>17</v>
      </c>
      <c r="E15284" s="30" t="s">
        <v>26</v>
      </c>
      <c r="F15284" s="30" t="s">
        <v>27</v>
      </c>
      <c r="G15284" s="30" t="s">
        <v>140</v>
      </c>
      <c r="H15284" s="32">
        <v>174</v>
      </c>
      <c r="I15284" s="30" t="s">
        <v>51</v>
      </c>
      <c r="J15284" s="41">
        <v>45064</v>
      </c>
      <c r="K15284" s="30" t="s">
        <v>22</v>
      </c>
    </row>
    <row r="15285" spans="1:11">
      <c r="A15285" s="33" t="s">
        <v>34394</v>
      </c>
      <c r="B15285" s="33" t="s">
        <v>34395</v>
      </c>
      <c r="C15285" s="33" t="s">
        <v>14737</v>
      </c>
      <c r="D15285" s="33" t="s">
        <v>17</v>
      </c>
      <c r="E15285" s="33" t="s">
        <v>26</v>
      </c>
      <c r="F15285" s="33" t="s">
        <v>27</v>
      </c>
      <c r="G15285" s="33" t="s">
        <v>106</v>
      </c>
      <c r="H15285" s="35">
        <v>22</v>
      </c>
      <c r="I15285" s="33" t="s">
        <v>21</v>
      </c>
      <c r="J15285" s="42">
        <v>44930</v>
      </c>
      <c r="K15285" s="33" t="s">
        <v>22</v>
      </c>
    </row>
    <row r="15286" spans="1:11">
      <c r="A15286" s="30" t="s">
        <v>34396</v>
      </c>
      <c r="B15286" s="30" t="s">
        <v>34397</v>
      </c>
      <c r="C15286" s="30" t="s">
        <v>2472</v>
      </c>
      <c r="D15286" s="30" t="s">
        <v>17</v>
      </c>
      <c r="E15286" s="30" t="s">
        <v>67</v>
      </c>
      <c r="F15286" s="30" t="s">
        <v>68</v>
      </c>
      <c r="G15286" s="30" t="s">
        <v>20</v>
      </c>
      <c r="H15286" s="32">
        <v>1758</v>
      </c>
      <c r="I15286" s="30" t="s">
        <v>21</v>
      </c>
      <c r="J15286" s="41">
        <v>45030</v>
      </c>
      <c r="K15286" s="30" t="s">
        <v>22</v>
      </c>
    </row>
    <row r="15287" spans="1:11">
      <c r="A15287" s="33" t="s">
        <v>34398</v>
      </c>
      <c r="B15287" s="33" t="s">
        <v>34399</v>
      </c>
      <c r="C15287" s="33" t="s">
        <v>157</v>
      </c>
      <c r="D15287" s="33" t="s">
        <v>17</v>
      </c>
      <c r="E15287" s="33" t="s">
        <v>26</v>
      </c>
      <c r="F15287" s="33" t="s">
        <v>27</v>
      </c>
      <c r="G15287" s="33" t="s">
        <v>20</v>
      </c>
      <c r="H15287" s="35">
        <v>24</v>
      </c>
      <c r="I15287" s="33" t="s">
        <v>21</v>
      </c>
      <c r="J15287" s="42">
        <v>45196</v>
      </c>
      <c r="K15287" s="33" t="s">
        <v>22</v>
      </c>
    </row>
    <row r="15288" spans="1:11">
      <c r="A15288" s="30" t="s">
        <v>34400</v>
      </c>
      <c r="B15288" s="30" t="s">
        <v>34401</v>
      </c>
      <c r="C15288" s="30" t="s">
        <v>1151</v>
      </c>
      <c r="D15288" s="30" t="s">
        <v>17</v>
      </c>
      <c r="E15288" s="30" t="s">
        <v>67</v>
      </c>
      <c r="F15288" s="30" t="s">
        <v>68</v>
      </c>
      <c r="G15288" s="30" t="s">
        <v>20</v>
      </c>
      <c r="H15288" s="32">
        <v>105</v>
      </c>
      <c r="I15288" s="30" t="s">
        <v>21</v>
      </c>
      <c r="J15288" s="41">
        <v>44956</v>
      </c>
      <c r="K15288" s="30" t="s">
        <v>22</v>
      </c>
    </row>
    <row r="15289" spans="1:11">
      <c r="A15289" s="33" t="s">
        <v>34402</v>
      </c>
      <c r="B15289" s="33" t="s">
        <v>34403</v>
      </c>
      <c r="C15289" s="33" t="s">
        <v>34404</v>
      </c>
      <c r="D15289" s="33" t="s">
        <v>17</v>
      </c>
      <c r="E15289" s="33" t="s">
        <v>67</v>
      </c>
      <c r="F15289" s="33" t="s">
        <v>68</v>
      </c>
      <c r="G15289" s="33" t="s">
        <v>140</v>
      </c>
      <c r="H15289" s="35">
        <v>130</v>
      </c>
      <c r="I15289" s="33" t="s">
        <v>51</v>
      </c>
      <c r="J15289" s="42">
        <v>45237</v>
      </c>
      <c r="K15289" s="33" t="s">
        <v>22</v>
      </c>
    </row>
    <row r="15290" spans="1:11">
      <c r="A15290" s="30" t="s">
        <v>34405</v>
      </c>
      <c r="B15290" s="30" t="s">
        <v>10969</v>
      </c>
      <c r="C15290" s="30" t="s">
        <v>925</v>
      </c>
      <c r="D15290" s="30" t="s">
        <v>17</v>
      </c>
      <c r="E15290" s="30" t="s">
        <v>31</v>
      </c>
      <c r="F15290" s="30" t="s">
        <v>32</v>
      </c>
      <c r="G15290" s="30" t="s">
        <v>106</v>
      </c>
      <c r="H15290" s="32">
        <v>20</v>
      </c>
      <c r="I15290" s="30" t="s">
        <v>21</v>
      </c>
      <c r="J15290" s="41">
        <v>45033</v>
      </c>
      <c r="K15290" s="30" t="s">
        <v>22</v>
      </c>
    </row>
    <row r="15291" spans="1:11">
      <c r="A15291" s="33" t="s">
        <v>34406</v>
      </c>
      <c r="B15291" s="33" t="s">
        <v>34407</v>
      </c>
      <c r="C15291" s="33" t="s">
        <v>15408</v>
      </c>
      <c r="D15291" s="33" t="s">
        <v>17</v>
      </c>
      <c r="E15291" s="33" t="s">
        <v>18</v>
      </c>
      <c r="F15291" s="33" t="s">
        <v>19</v>
      </c>
      <c r="G15291" s="33" t="s">
        <v>2613</v>
      </c>
      <c r="H15291" s="35">
        <v>880</v>
      </c>
      <c r="I15291" s="33" t="s">
        <v>51</v>
      </c>
      <c r="J15291" s="42">
        <v>45041</v>
      </c>
      <c r="K15291" s="33" t="s">
        <v>22</v>
      </c>
    </row>
    <row r="15292" spans="1:11">
      <c r="A15292" s="30" t="s">
        <v>34408</v>
      </c>
      <c r="B15292" s="30" t="s">
        <v>34409</v>
      </c>
      <c r="C15292" s="30" t="s">
        <v>701</v>
      </c>
      <c r="D15292" s="30" t="s">
        <v>17</v>
      </c>
      <c r="E15292" s="30" t="s">
        <v>26</v>
      </c>
      <c r="F15292" s="30" t="s">
        <v>27</v>
      </c>
      <c r="G15292" s="30" t="s">
        <v>20</v>
      </c>
      <c r="H15292" s="32">
        <v>30</v>
      </c>
      <c r="I15292" s="30" t="s">
        <v>21</v>
      </c>
      <c r="J15292" s="41">
        <v>45133</v>
      </c>
      <c r="K15292" s="30" t="s">
        <v>22</v>
      </c>
    </row>
    <row r="15293" spans="1:11">
      <c r="A15293" s="33" t="s">
        <v>34410</v>
      </c>
      <c r="B15293" s="33" t="s">
        <v>34411</v>
      </c>
      <c r="C15293" s="33" t="s">
        <v>3757</v>
      </c>
      <c r="D15293" s="33" t="s">
        <v>17</v>
      </c>
      <c r="E15293" s="33" t="s">
        <v>31</v>
      </c>
      <c r="F15293" s="33" t="s">
        <v>32</v>
      </c>
      <c r="G15293" s="33" t="s">
        <v>140</v>
      </c>
      <c r="H15293" s="35">
        <v>76</v>
      </c>
      <c r="I15293" s="33" t="s">
        <v>51</v>
      </c>
      <c r="J15293" s="42">
        <v>44978</v>
      </c>
      <c r="K15293" s="33" t="s">
        <v>22</v>
      </c>
    </row>
    <row r="15294" spans="1:11">
      <c r="A15294" s="30" t="s">
        <v>34412</v>
      </c>
      <c r="B15294" s="30" t="s">
        <v>34413</v>
      </c>
      <c r="C15294" s="30" t="s">
        <v>5312</v>
      </c>
      <c r="D15294" s="30" t="s">
        <v>17</v>
      </c>
      <c r="E15294" s="30" t="s">
        <v>67</v>
      </c>
      <c r="F15294" s="30" t="s">
        <v>68</v>
      </c>
      <c r="G15294" s="30" t="s">
        <v>140</v>
      </c>
      <c r="H15294" s="32">
        <v>18</v>
      </c>
      <c r="I15294" s="30" t="s">
        <v>51</v>
      </c>
      <c r="J15294" s="41">
        <v>45211</v>
      </c>
      <c r="K15294" s="30" t="s">
        <v>22</v>
      </c>
    </row>
    <row r="15295" spans="1:11">
      <c r="A15295" s="33" t="s">
        <v>34414</v>
      </c>
      <c r="B15295" s="33" t="s">
        <v>34415</v>
      </c>
      <c r="C15295" s="33" t="s">
        <v>1801</v>
      </c>
      <c r="D15295" s="33" t="s">
        <v>17</v>
      </c>
      <c r="E15295" s="33" t="s">
        <v>26</v>
      </c>
      <c r="F15295" s="33" t="s">
        <v>27</v>
      </c>
      <c r="G15295" s="33" t="s">
        <v>20</v>
      </c>
      <c r="H15295" s="35">
        <v>60</v>
      </c>
      <c r="I15295" s="33" t="s">
        <v>21</v>
      </c>
      <c r="J15295" s="42">
        <v>45161</v>
      </c>
      <c r="K15295" s="33" t="s">
        <v>22</v>
      </c>
    </row>
    <row r="15296" spans="1:11">
      <c r="A15296" s="30" t="s">
        <v>34416</v>
      </c>
      <c r="B15296" s="30" t="s">
        <v>34417</v>
      </c>
      <c r="C15296" s="30" t="s">
        <v>701</v>
      </c>
      <c r="D15296" s="30" t="s">
        <v>17</v>
      </c>
      <c r="E15296" s="30" t="s">
        <v>26</v>
      </c>
      <c r="F15296" s="30" t="s">
        <v>27</v>
      </c>
      <c r="G15296" s="30" t="s">
        <v>20</v>
      </c>
      <c r="H15296" s="32">
        <v>10</v>
      </c>
      <c r="I15296" s="30" t="s">
        <v>21</v>
      </c>
      <c r="J15296" s="41">
        <v>45252</v>
      </c>
      <c r="K15296" s="30" t="s">
        <v>22</v>
      </c>
    </row>
    <row r="15297" spans="1:11">
      <c r="A15297" s="33" t="s">
        <v>34418</v>
      </c>
      <c r="B15297" s="33" t="s">
        <v>34419</v>
      </c>
      <c r="C15297" s="33" t="s">
        <v>10712</v>
      </c>
      <c r="D15297" s="33" t="s">
        <v>17</v>
      </c>
      <c r="E15297" s="33" t="s">
        <v>26</v>
      </c>
      <c r="F15297" s="33" t="s">
        <v>27</v>
      </c>
      <c r="G15297" s="33" t="s">
        <v>106</v>
      </c>
      <c r="H15297" s="35">
        <v>50</v>
      </c>
      <c r="I15297" s="33" t="s">
        <v>21</v>
      </c>
      <c r="J15297" s="42">
        <v>45094</v>
      </c>
      <c r="K15297" s="33" t="s">
        <v>22</v>
      </c>
    </row>
    <row r="15298" spans="1:11">
      <c r="A15298" s="30" t="s">
        <v>34420</v>
      </c>
      <c r="B15298" s="30" t="s">
        <v>34421</v>
      </c>
      <c r="C15298" s="30" t="s">
        <v>30059</v>
      </c>
      <c r="D15298" s="30" t="s">
        <v>17</v>
      </c>
      <c r="E15298" s="30" t="s">
        <v>212</v>
      </c>
      <c r="F15298" s="30" t="s">
        <v>213</v>
      </c>
      <c r="G15298" s="30" t="s">
        <v>20</v>
      </c>
      <c r="H15298" s="32">
        <v>16</v>
      </c>
      <c r="I15298" s="30" t="s">
        <v>21</v>
      </c>
      <c r="J15298" s="41">
        <v>45142</v>
      </c>
      <c r="K15298" s="30" t="s">
        <v>22</v>
      </c>
    </row>
    <row r="15299" spans="1:11">
      <c r="A15299" s="33" t="s">
        <v>34422</v>
      </c>
      <c r="B15299" s="33" t="s">
        <v>34423</v>
      </c>
      <c r="C15299" s="33" t="s">
        <v>34424</v>
      </c>
      <c r="D15299" s="33" t="s">
        <v>17</v>
      </c>
      <c r="E15299" s="33" t="s">
        <v>26</v>
      </c>
      <c r="F15299" s="33" t="s">
        <v>27</v>
      </c>
      <c r="G15299" s="33" t="s">
        <v>20</v>
      </c>
      <c r="H15299" s="35">
        <v>16</v>
      </c>
      <c r="I15299" s="33" t="s">
        <v>21</v>
      </c>
      <c r="J15299" s="42">
        <v>45280</v>
      </c>
      <c r="K15299" s="33" t="s">
        <v>22</v>
      </c>
    </row>
    <row r="15300" spans="1:11">
      <c r="A15300" s="30" t="s">
        <v>34425</v>
      </c>
      <c r="B15300" s="30" t="s">
        <v>34426</v>
      </c>
      <c r="C15300" s="30" t="s">
        <v>647</v>
      </c>
      <c r="D15300" s="30" t="s">
        <v>17</v>
      </c>
      <c r="E15300" s="30" t="s">
        <v>26</v>
      </c>
      <c r="F15300" s="30" t="s">
        <v>27</v>
      </c>
      <c r="G15300" s="30" t="s">
        <v>20</v>
      </c>
      <c r="H15300" s="32">
        <v>18</v>
      </c>
      <c r="I15300" s="30" t="s">
        <v>21</v>
      </c>
      <c r="J15300" s="41">
        <v>45131</v>
      </c>
      <c r="K15300" s="30" t="s">
        <v>22</v>
      </c>
    </row>
    <row r="15301" spans="1:11">
      <c r="A15301" s="33" t="s">
        <v>34427</v>
      </c>
      <c r="B15301" s="33" t="s">
        <v>34428</v>
      </c>
      <c r="C15301" s="33" t="s">
        <v>109</v>
      </c>
      <c r="D15301" s="33" t="s">
        <v>17</v>
      </c>
      <c r="E15301" s="33" t="s">
        <v>31</v>
      </c>
      <c r="F15301" s="33" t="s">
        <v>32</v>
      </c>
      <c r="G15301" s="33" t="s">
        <v>158</v>
      </c>
      <c r="H15301" s="35">
        <v>33</v>
      </c>
      <c r="I15301" s="33" t="s">
        <v>21</v>
      </c>
      <c r="J15301" s="42">
        <v>44970</v>
      </c>
      <c r="K15301" s="33" t="s">
        <v>22</v>
      </c>
    </row>
    <row r="15302" spans="1:11">
      <c r="A15302" s="30" t="s">
        <v>34429</v>
      </c>
      <c r="B15302" s="30" t="s">
        <v>34430</v>
      </c>
      <c r="C15302" s="30" t="s">
        <v>34431</v>
      </c>
      <c r="D15302" s="30" t="s">
        <v>17</v>
      </c>
      <c r="E15302" s="30" t="s">
        <v>26</v>
      </c>
      <c r="F15302" s="30" t="s">
        <v>27</v>
      </c>
      <c r="G15302" s="30" t="s">
        <v>20</v>
      </c>
      <c r="H15302" s="32">
        <v>24</v>
      </c>
      <c r="I15302" s="30" t="s">
        <v>21</v>
      </c>
      <c r="J15302" s="41">
        <v>45013</v>
      </c>
      <c r="K15302" s="30" t="s">
        <v>22</v>
      </c>
    </row>
    <row r="15303" spans="1:11">
      <c r="A15303" s="33" t="s">
        <v>34432</v>
      </c>
      <c r="B15303" s="33" t="s">
        <v>34433</v>
      </c>
      <c r="C15303" s="33" t="s">
        <v>26340</v>
      </c>
      <c r="D15303" s="33" t="s">
        <v>17</v>
      </c>
      <c r="E15303" s="33" t="s">
        <v>31</v>
      </c>
      <c r="F15303" s="33" t="s">
        <v>32</v>
      </c>
      <c r="G15303" s="33" t="s">
        <v>20</v>
      </c>
      <c r="H15303" s="35">
        <v>802</v>
      </c>
      <c r="I15303" s="33" t="s">
        <v>21</v>
      </c>
      <c r="J15303" s="42">
        <v>45014</v>
      </c>
      <c r="K15303" s="33" t="s">
        <v>22</v>
      </c>
    </row>
    <row r="15304" spans="1:11">
      <c r="A15304" s="30" t="s">
        <v>34434</v>
      </c>
      <c r="B15304" s="30" t="s">
        <v>34435</v>
      </c>
      <c r="C15304" s="30" t="s">
        <v>109</v>
      </c>
      <c r="D15304" s="30" t="s">
        <v>17</v>
      </c>
      <c r="E15304" s="30" t="s">
        <v>26</v>
      </c>
      <c r="F15304" s="30" t="s">
        <v>27</v>
      </c>
      <c r="G15304" s="30" t="s">
        <v>112</v>
      </c>
      <c r="H15304" s="32">
        <v>0</v>
      </c>
      <c r="I15304" s="30" t="s">
        <v>21</v>
      </c>
      <c r="J15304" s="41">
        <v>45170</v>
      </c>
      <c r="K15304" s="30" t="s">
        <v>22</v>
      </c>
    </row>
    <row r="15305" spans="1:11">
      <c r="A15305" s="33" t="s">
        <v>34436</v>
      </c>
      <c r="B15305" s="33" t="s">
        <v>34437</v>
      </c>
      <c r="C15305" s="33" t="s">
        <v>2772</v>
      </c>
      <c r="D15305" s="33" t="s">
        <v>17</v>
      </c>
      <c r="E15305" s="33" t="s">
        <v>67</v>
      </c>
      <c r="F15305" s="33" t="s">
        <v>68</v>
      </c>
      <c r="G15305" s="33" t="s">
        <v>140</v>
      </c>
      <c r="H15305" s="35">
        <v>40</v>
      </c>
      <c r="I15305" s="33" t="s">
        <v>51</v>
      </c>
      <c r="J15305" s="42">
        <v>44959</v>
      </c>
      <c r="K15305" s="33" t="s">
        <v>22</v>
      </c>
    </row>
    <row r="15306" spans="1:11">
      <c r="A15306" s="30" t="s">
        <v>34438</v>
      </c>
      <c r="B15306" s="30" t="s">
        <v>34439</v>
      </c>
      <c r="C15306" s="30" t="s">
        <v>34440</v>
      </c>
      <c r="D15306" s="30" t="s">
        <v>17</v>
      </c>
      <c r="E15306" s="30" t="s">
        <v>330</v>
      </c>
      <c r="F15306" s="30" t="s">
        <v>331</v>
      </c>
      <c r="G15306" s="30" t="s">
        <v>50</v>
      </c>
      <c r="H15306" s="32">
        <v>12</v>
      </c>
      <c r="I15306" s="30" t="s">
        <v>51</v>
      </c>
      <c r="J15306" s="41">
        <v>44996</v>
      </c>
      <c r="K15306" s="30" t="s">
        <v>22</v>
      </c>
    </row>
    <row r="15307" spans="1:11">
      <c r="A15307" s="33" t="s">
        <v>34441</v>
      </c>
      <c r="B15307" s="33" t="s">
        <v>34442</v>
      </c>
      <c r="C15307" s="33" t="s">
        <v>1808</v>
      </c>
      <c r="D15307" s="33" t="s">
        <v>17</v>
      </c>
      <c r="E15307" s="33" t="s">
        <v>67</v>
      </c>
      <c r="F15307" s="33" t="s">
        <v>68</v>
      </c>
      <c r="G15307" s="33" t="s">
        <v>50</v>
      </c>
      <c r="H15307" s="35">
        <v>248</v>
      </c>
      <c r="I15307" s="33" t="s">
        <v>51</v>
      </c>
      <c r="J15307" s="42">
        <v>45040</v>
      </c>
      <c r="K15307" s="33" t="s">
        <v>22</v>
      </c>
    </row>
    <row r="15308" spans="1:11">
      <c r="A15308" s="30" t="s">
        <v>34443</v>
      </c>
      <c r="B15308" s="30" t="s">
        <v>34444</v>
      </c>
      <c r="C15308" s="30" t="s">
        <v>18324</v>
      </c>
      <c r="D15308" s="30" t="s">
        <v>17</v>
      </c>
      <c r="E15308" s="30" t="s">
        <v>26</v>
      </c>
      <c r="F15308" s="30" t="s">
        <v>27</v>
      </c>
      <c r="G15308" s="30" t="s">
        <v>20</v>
      </c>
      <c r="H15308" s="32">
        <v>32</v>
      </c>
      <c r="I15308" s="30" t="s">
        <v>21</v>
      </c>
      <c r="J15308" s="41">
        <v>44981</v>
      </c>
      <c r="K15308" s="30" t="s">
        <v>22</v>
      </c>
    </row>
    <row r="15309" spans="1:11">
      <c r="A15309" s="33" t="s">
        <v>34445</v>
      </c>
      <c r="B15309" s="33" t="s">
        <v>34446</v>
      </c>
      <c r="C15309" s="33" t="s">
        <v>34447</v>
      </c>
      <c r="D15309" s="33" t="s">
        <v>17</v>
      </c>
      <c r="E15309" s="33" t="s">
        <v>26</v>
      </c>
      <c r="F15309" s="33" t="s">
        <v>27</v>
      </c>
      <c r="G15309" s="33" t="s">
        <v>158</v>
      </c>
      <c r="H15309" s="35">
        <v>108</v>
      </c>
      <c r="I15309" s="33" t="s">
        <v>21</v>
      </c>
      <c r="J15309" s="42">
        <v>44963</v>
      </c>
      <c r="K15309" s="33" t="s">
        <v>22</v>
      </c>
    </row>
    <row r="15310" spans="1:11">
      <c r="A15310" s="30" t="s">
        <v>34448</v>
      </c>
      <c r="B15310" s="30" t="s">
        <v>34449</v>
      </c>
      <c r="C15310" s="30" t="s">
        <v>203</v>
      </c>
      <c r="D15310" s="30" t="s">
        <v>17</v>
      </c>
      <c r="E15310" s="30" t="s">
        <v>31</v>
      </c>
      <c r="F15310" s="30" t="s">
        <v>32</v>
      </c>
      <c r="G15310" s="30" t="s">
        <v>20</v>
      </c>
      <c r="H15310" s="32">
        <v>221</v>
      </c>
      <c r="I15310" s="30" t="s">
        <v>21</v>
      </c>
      <c r="J15310" s="41">
        <v>45225</v>
      </c>
      <c r="K15310" s="30" t="s">
        <v>22</v>
      </c>
    </row>
    <row r="15311" spans="1:11">
      <c r="A15311" s="33" t="s">
        <v>34450</v>
      </c>
      <c r="B15311" s="33" t="s">
        <v>34451</v>
      </c>
      <c r="C15311" s="33" t="s">
        <v>102</v>
      </c>
      <c r="D15311" s="33" t="s">
        <v>17</v>
      </c>
      <c r="E15311" s="33" t="s">
        <v>26</v>
      </c>
      <c r="F15311" s="33" t="s">
        <v>27</v>
      </c>
      <c r="G15311" s="33" t="s">
        <v>140</v>
      </c>
      <c r="H15311" s="35">
        <v>200</v>
      </c>
      <c r="I15311" s="33" t="s">
        <v>51</v>
      </c>
      <c r="J15311" s="42">
        <v>45274</v>
      </c>
      <c r="K15311" s="33" t="s">
        <v>22</v>
      </c>
    </row>
    <row r="15312" spans="1:11">
      <c r="A15312" s="30" t="s">
        <v>34452</v>
      </c>
      <c r="B15312" s="30" t="s">
        <v>34453</v>
      </c>
      <c r="C15312" s="30" t="s">
        <v>15917</v>
      </c>
      <c r="D15312" s="30" t="s">
        <v>17</v>
      </c>
      <c r="E15312" s="30" t="s">
        <v>31</v>
      </c>
      <c r="F15312" s="30" t="s">
        <v>32</v>
      </c>
      <c r="G15312" s="30" t="s">
        <v>20</v>
      </c>
      <c r="H15312" s="32">
        <v>30</v>
      </c>
      <c r="I15312" s="30" t="s">
        <v>21</v>
      </c>
      <c r="J15312" s="41">
        <v>45014</v>
      </c>
      <c r="K15312" s="30" t="s">
        <v>22</v>
      </c>
    </row>
    <row r="15313" spans="1:11">
      <c r="A15313" s="33" t="s">
        <v>34454</v>
      </c>
      <c r="B15313" s="33" t="s">
        <v>34455</v>
      </c>
      <c r="C15313" s="33" t="s">
        <v>2261</v>
      </c>
      <c r="D15313" s="33" t="s">
        <v>17</v>
      </c>
      <c r="E15313" s="33" t="s">
        <v>18</v>
      </c>
      <c r="F15313" s="33" t="s">
        <v>19</v>
      </c>
      <c r="G15313" s="33" t="s">
        <v>106</v>
      </c>
      <c r="H15313" s="35">
        <v>10</v>
      </c>
      <c r="I15313" s="33" t="s">
        <v>21</v>
      </c>
      <c r="J15313" s="42">
        <v>45015</v>
      </c>
      <c r="K15313" s="33" t="s">
        <v>22</v>
      </c>
    </row>
    <row r="15314" spans="1:11">
      <c r="A15314" s="30" t="s">
        <v>34456</v>
      </c>
      <c r="B15314" s="30" t="s">
        <v>34457</v>
      </c>
      <c r="C15314" s="30" t="s">
        <v>318</v>
      </c>
      <c r="D15314" s="30" t="s">
        <v>17</v>
      </c>
      <c r="E15314" s="30" t="s">
        <v>31</v>
      </c>
      <c r="F15314" s="30" t="s">
        <v>32</v>
      </c>
      <c r="G15314" s="30" t="s">
        <v>106</v>
      </c>
      <c r="H15314" s="32">
        <v>19</v>
      </c>
      <c r="I15314" s="30" t="s">
        <v>21</v>
      </c>
      <c r="J15314" s="41">
        <v>45042</v>
      </c>
      <c r="K15314" s="30" t="s">
        <v>22</v>
      </c>
    </row>
    <row r="15315" spans="1:11">
      <c r="A15315" s="33" t="s">
        <v>34458</v>
      </c>
      <c r="B15315" s="33" t="s">
        <v>34459</v>
      </c>
      <c r="C15315" s="33" t="s">
        <v>178</v>
      </c>
      <c r="D15315" s="33" t="s">
        <v>17</v>
      </c>
      <c r="E15315" s="33" t="s">
        <v>31</v>
      </c>
      <c r="F15315" s="33" t="s">
        <v>32</v>
      </c>
      <c r="G15315" s="33" t="s">
        <v>158</v>
      </c>
      <c r="H15315" s="35">
        <v>21</v>
      </c>
      <c r="I15315" s="33" t="s">
        <v>21</v>
      </c>
      <c r="J15315" s="42">
        <v>45131</v>
      </c>
      <c r="K15315" s="33" t="s">
        <v>22</v>
      </c>
    </row>
    <row r="15316" spans="1:11">
      <c r="A15316" s="30" t="s">
        <v>34460</v>
      </c>
      <c r="B15316" s="30" t="s">
        <v>34461</v>
      </c>
      <c r="C15316" s="30" t="s">
        <v>2313</v>
      </c>
      <c r="D15316" s="30" t="s">
        <v>17</v>
      </c>
      <c r="E15316" s="30" t="s">
        <v>26</v>
      </c>
      <c r="F15316" s="30" t="s">
        <v>27</v>
      </c>
      <c r="G15316" s="30" t="s">
        <v>158</v>
      </c>
      <c r="H15316" s="32">
        <v>90</v>
      </c>
      <c r="I15316" s="30" t="s">
        <v>51</v>
      </c>
      <c r="J15316" s="41">
        <v>45006</v>
      </c>
      <c r="K15316" s="30" t="s">
        <v>22</v>
      </c>
    </row>
    <row r="15317" spans="1:11">
      <c r="A15317" s="33" t="s">
        <v>34462</v>
      </c>
      <c r="B15317" s="33" t="s">
        <v>34463</v>
      </c>
      <c r="C15317" s="33" t="s">
        <v>5643</v>
      </c>
      <c r="D15317" s="33" t="s">
        <v>17</v>
      </c>
      <c r="E15317" s="33" t="s">
        <v>18</v>
      </c>
      <c r="F15317" s="33" t="s">
        <v>19</v>
      </c>
      <c r="G15317" s="33" t="s">
        <v>158</v>
      </c>
      <c r="H15317" s="35">
        <v>990</v>
      </c>
      <c r="I15317" s="33" t="s">
        <v>21</v>
      </c>
      <c r="J15317" s="42">
        <v>44956</v>
      </c>
      <c r="K15317" s="33" t="s">
        <v>22</v>
      </c>
    </row>
    <row r="15318" spans="1:11">
      <c r="A15318" s="30" t="s">
        <v>34464</v>
      </c>
      <c r="B15318" s="30" t="s">
        <v>34465</v>
      </c>
      <c r="C15318" s="30" t="s">
        <v>33390</v>
      </c>
      <c r="D15318" s="30" t="s">
        <v>17</v>
      </c>
      <c r="E15318" s="30" t="s">
        <v>26</v>
      </c>
      <c r="F15318" s="30" t="s">
        <v>27</v>
      </c>
      <c r="G15318" s="30" t="s">
        <v>158</v>
      </c>
      <c r="H15318" s="32">
        <v>35</v>
      </c>
      <c r="I15318" s="30" t="s">
        <v>21</v>
      </c>
      <c r="J15318" s="41">
        <v>45015</v>
      </c>
      <c r="K15318" s="30" t="s">
        <v>22</v>
      </c>
    </row>
    <row r="15319" spans="1:11">
      <c r="A15319" s="33" t="s">
        <v>34466</v>
      </c>
      <c r="B15319" s="33" t="s">
        <v>34467</v>
      </c>
      <c r="C15319" s="33" t="s">
        <v>1674</v>
      </c>
      <c r="D15319" s="33" t="s">
        <v>17</v>
      </c>
      <c r="E15319" s="33" t="s">
        <v>18</v>
      </c>
      <c r="F15319" s="33" t="s">
        <v>19</v>
      </c>
      <c r="G15319" s="33" t="s">
        <v>20</v>
      </c>
      <c r="H15319" s="35">
        <v>130</v>
      </c>
      <c r="I15319" s="33" t="s">
        <v>21</v>
      </c>
      <c r="J15319" s="42">
        <v>44984</v>
      </c>
      <c r="K15319" s="33" t="s">
        <v>22</v>
      </c>
    </row>
    <row r="15320" spans="1:11">
      <c r="A15320" s="30" t="s">
        <v>34468</v>
      </c>
      <c r="B15320" s="30" t="s">
        <v>34469</v>
      </c>
      <c r="C15320" s="30" t="s">
        <v>231</v>
      </c>
      <c r="D15320" s="30" t="s">
        <v>17</v>
      </c>
      <c r="E15320" s="30" t="s">
        <v>26</v>
      </c>
      <c r="F15320" s="30" t="s">
        <v>27</v>
      </c>
      <c r="G15320" s="30" t="s">
        <v>20</v>
      </c>
      <c r="H15320" s="32">
        <v>13</v>
      </c>
      <c r="I15320" s="30" t="s">
        <v>21</v>
      </c>
      <c r="J15320" s="41">
        <v>44929</v>
      </c>
      <c r="K15320" s="30" t="s">
        <v>22</v>
      </c>
    </row>
    <row r="15321" spans="1:11">
      <c r="A15321" s="33" t="s">
        <v>34470</v>
      </c>
      <c r="B15321" s="33" t="s">
        <v>34471</v>
      </c>
      <c r="C15321" s="33" t="s">
        <v>18123</v>
      </c>
      <c r="D15321" s="33" t="s">
        <v>17</v>
      </c>
      <c r="E15321" s="33" t="s">
        <v>67</v>
      </c>
      <c r="F15321" s="33" t="s">
        <v>68</v>
      </c>
      <c r="G15321" s="33" t="s">
        <v>20</v>
      </c>
      <c r="H15321" s="35">
        <v>31</v>
      </c>
      <c r="I15321" s="33" t="s">
        <v>21</v>
      </c>
      <c r="J15321" s="42">
        <v>45260</v>
      </c>
      <c r="K15321" s="33" t="s">
        <v>22</v>
      </c>
    </row>
    <row r="15322" spans="1:11">
      <c r="A15322" s="30" t="s">
        <v>34472</v>
      </c>
      <c r="B15322" s="30" t="s">
        <v>34473</v>
      </c>
      <c r="C15322" s="30" t="s">
        <v>34474</v>
      </c>
      <c r="D15322" s="30" t="s">
        <v>17</v>
      </c>
      <c r="E15322" s="30" t="s">
        <v>31</v>
      </c>
      <c r="F15322" s="30" t="s">
        <v>32</v>
      </c>
      <c r="G15322" s="30" t="s">
        <v>50</v>
      </c>
      <c r="H15322" s="32">
        <v>148</v>
      </c>
      <c r="I15322" s="30" t="s">
        <v>51</v>
      </c>
      <c r="J15322" s="41">
        <v>45139</v>
      </c>
      <c r="K15322" s="30" t="s">
        <v>22</v>
      </c>
    </row>
    <row r="15323" spans="1:11">
      <c r="A15323" s="33" t="s">
        <v>34475</v>
      </c>
      <c r="B15323" s="33" t="s">
        <v>34476</v>
      </c>
      <c r="C15323" s="33" t="s">
        <v>190</v>
      </c>
      <c r="D15323" s="33" t="s">
        <v>17</v>
      </c>
      <c r="E15323" s="33" t="s">
        <v>26</v>
      </c>
      <c r="F15323" s="33" t="s">
        <v>27</v>
      </c>
      <c r="G15323" s="33" t="s">
        <v>20</v>
      </c>
      <c r="H15323" s="35">
        <v>16</v>
      </c>
      <c r="I15323" s="33" t="s">
        <v>21</v>
      </c>
      <c r="J15323" s="42">
        <v>45079</v>
      </c>
      <c r="K15323" s="33" t="s">
        <v>22</v>
      </c>
    </row>
    <row r="15324" spans="1:11">
      <c r="A15324" s="30" t="s">
        <v>34477</v>
      </c>
      <c r="B15324" s="30" t="s">
        <v>34478</v>
      </c>
      <c r="C15324" s="30" t="s">
        <v>3098</v>
      </c>
      <c r="D15324" s="30" t="s">
        <v>17</v>
      </c>
      <c r="E15324" s="30" t="s">
        <v>67</v>
      </c>
      <c r="F15324" s="30" t="s">
        <v>68</v>
      </c>
      <c r="G15324" s="30" t="s">
        <v>20</v>
      </c>
      <c r="H15324" s="32">
        <v>12</v>
      </c>
      <c r="I15324" s="30" t="s">
        <v>21</v>
      </c>
      <c r="J15324" s="41">
        <v>45160</v>
      </c>
      <c r="K15324" s="30" t="s">
        <v>22</v>
      </c>
    </row>
    <row r="15325" spans="1:11">
      <c r="A15325" s="33" t="s">
        <v>34479</v>
      </c>
      <c r="B15325" s="33" t="s">
        <v>34480</v>
      </c>
      <c r="C15325" s="33" t="s">
        <v>1658</v>
      </c>
      <c r="D15325" s="33" t="s">
        <v>17</v>
      </c>
      <c r="E15325" s="33" t="s">
        <v>26</v>
      </c>
      <c r="F15325" s="33" t="s">
        <v>27</v>
      </c>
      <c r="G15325" s="33" t="s">
        <v>20</v>
      </c>
      <c r="H15325" s="35">
        <v>60</v>
      </c>
      <c r="I15325" s="33" t="s">
        <v>21</v>
      </c>
      <c r="J15325" s="42">
        <v>44985</v>
      </c>
      <c r="K15325" s="33" t="s">
        <v>22</v>
      </c>
    </row>
    <row r="15326" spans="1:11">
      <c r="A15326" s="30" t="s">
        <v>34481</v>
      </c>
      <c r="B15326" s="30" t="s">
        <v>34482</v>
      </c>
      <c r="C15326" s="30" t="s">
        <v>3465</v>
      </c>
      <c r="D15326" s="30" t="s">
        <v>17</v>
      </c>
      <c r="E15326" s="30" t="s">
        <v>45</v>
      </c>
      <c r="F15326" s="30" t="s">
        <v>46</v>
      </c>
      <c r="G15326" s="30" t="s">
        <v>20</v>
      </c>
      <c r="H15326" s="32">
        <v>18</v>
      </c>
      <c r="I15326" s="30" t="s">
        <v>21</v>
      </c>
      <c r="J15326" s="41">
        <v>45272</v>
      </c>
      <c r="K15326" s="30" t="s">
        <v>22</v>
      </c>
    </row>
    <row r="15327" spans="1:11">
      <c r="A15327" s="33" t="s">
        <v>34483</v>
      </c>
      <c r="B15327" s="33" t="s">
        <v>34484</v>
      </c>
      <c r="C15327" s="33" t="s">
        <v>193</v>
      </c>
      <c r="D15327" s="33" t="s">
        <v>17</v>
      </c>
      <c r="E15327" s="33" t="s">
        <v>26</v>
      </c>
      <c r="F15327" s="33" t="s">
        <v>27</v>
      </c>
      <c r="G15327" s="33" t="s">
        <v>20</v>
      </c>
      <c r="H15327" s="35">
        <v>86</v>
      </c>
      <c r="I15327" s="33" t="s">
        <v>21</v>
      </c>
      <c r="J15327" s="42">
        <v>45181</v>
      </c>
      <c r="K15327" s="33" t="s">
        <v>22</v>
      </c>
    </row>
    <row r="15328" spans="1:11">
      <c r="A15328" s="30" t="s">
        <v>34485</v>
      </c>
      <c r="B15328" s="30" t="s">
        <v>34486</v>
      </c>
      <c r="C15328" s="30" t="s">
        <v>93</v>
      </c>
      <c r="D15328" s="30" t="s">
        <v>17</v>
      </c>
      <c r="E15328" s="30" t="s">
        <v>18</v>
      </c>
      <c r="F15328" s="30" t="s">
        <v>19</v>
      </c>
      <c r="G15328" s="30" t="s">
        <v>140</v>
      </c>
      <c r="H15328" s="32">
        <v>90</v>
      </c>
      <c r="I15328" s="30" t="s">
        <v>51</v>
      </c>
      <c r="J15328" s="41">
        <v>45201</v>
      </c>
      <c r="K15328" s="30" t="s">
        <v>22</v>
      </c>
    </row>
    <row r="15329" spans="1:11">
      <c r="A15329" s="33" t="s">
        <v>34487</v>
      </c>
      <c r="B15329" s="33" t="s">
        <v>34488</v>
      </c>
      <c r="C15329" s="33" t="s">
        <v>1764</v>
      </c>
      <c r="D15329" s="33" t="s">
        <v>17</v>
      </c>
      <c r="E15329" s="33" t="s">
        <v>26</v>
      </c>
      <c r="F15329" s="33" t="s">
        <v>27</v>
      </c>
      <c r="G15329" s="33" t="s">
        <v>20</v>
      </c>
      <c r="H15329" s="35">
        <v>29</v>
      </c>
      <c r="I15329" s="33" t="s">
        <v>21</v>
      </c>
      <c r="J15329" s="42">
        <v>45257</v>
      </c>
      <c r="K15329" s="33" t="s">
        <v>22</v>
      </c>
    </row>
    <row r="15330" spans="1:11">
      <c r="A15330" s="30" t="s">
        <v>34489</v>
      </c>
      <c r="B15330" s="30" t="s">
        <v>34490</v>
      </c>
      <c r="C15330" s="30" t="s">
        <v>647</v>
      </c>
      <c r="D15330" s="30" t="s">
        <v>17</v>
      </c>
      <c r="E15330" s="30" t="s">
        <v>26</v>
      </c>
      <c r="F15330" s="30" t="s">
        <v>27</v>
      </c>
      <c r="G15330" s="30" t="s">
        <v>20</v>
      </c>
      <c r="H15330" s="32">
        <v>33</v>
      </c>
      <c r="I15330" s="30" t="s">
        <v>21</v>
      </c>
      <c r="J15330" s="41">
        <v>45127</v>
      </c>
      <c r="K15330" s="30" t="s">
        <v>22</v>
      </c>
    </row>
    <row r="15331" spans="1:11">
      <c r="A15331" s="33" t="s">
        <v>34491</v>
      </c>
      <c r="B15331" s="33" t="s">
        <v>34492</v>
      </c>
      <c r="C15331" s="33" t="s">
        <v>28438</v>
      </c>
      <c r="D15331" s="33" t="s">
        <v>17</v>
      </c>
      <c r="E15331" s="33" t="s">
        <v>26</v>
      </c>
      <c r="F15331" s="33" t="s">
        <v>27</v>
      </c>
      <c r="G15331" s="33" t="s">
        <v>140</v>
      </c>
      <c r="H15331" s="35">
        <v>564</v>
      </c>
      <c r="I15331" s="33" t="s">
        <v>51</v>
      </c>
      <c r="J15331" s="42">
        <v>45038</v>
      </c>
      <c r="K15331" s="33" t="s">
        <v>22</v>
      </c>
    </row>
    <row r="15332" spans="1:11">
      <c r="A15332" s="30" t="s">
        <v>34493</v>
      </c>
      <c r="B15332" s="30" t="s">
        <v>34494</v>
      </c>
      <c r="C15332" s="30" t="s">
        <v>6771</v>
      </c>
      <c r="D15332" s="30" t="s">
        <v>17</v>
      </c>
      <c r="E15332" s="30" t="s">
        <v>31</v>
      </c>
      <c r="F15332" s="30" t="s">
        <v>32</v>
      </c>
      <c r="G15332" s="30" t="s">
        <v>20</v>
      </c>
      <c r="H15332" s="32">
        <v>314</v>
      </c>
      <c r="I15332" s="30" t="s">
        <v>21</v>
      </c>
      <c r="J15332" s="41">
        <v>45280</v>
      </c>
      <c r="K15332" s="30" t="s">
        <v>22</v>
      </c>
    </row>
    <row r="15333" spans="1:11">
      <c r="A15333" s="33" t="s">
        <v>34495</v>
      </c>
      <c r="B15333" s="33" t="s">
        <v>34496</v>
      </c>
      <c r="C15333" s="33" t="s">
        <v>318</v>
      </c>
      <c r="D15333" s="33" t="s">
        <v>17</v>
      </c>
      <c r="E15333" s="33" t="s">
        <v>31</v>
      </c>
      <c r="F15333" s="33" t="s">
        <v>32</v>
      </c>
      <c r="G15333" s="33" t="s">
        <v>106</v>
      </c>
      <c r="H15333" s="35">
        <v>25</v>
      </c>
      <c r="I15333" s="33" t="s">
        <v>21</v>
      </c>
      <c r="J15333" s="42">
        <v>45044</v>
      </c>
      <c r="K15333" s="33" t="s">
        <v>22</v>
      </c>
    </row>
    <row r="15334" spans="1:11">
      <c r="A15334" s="30" t="s">
        <v>34497</v>
      </c>
      <c r="B15334" s="30" t="s">
        <v>34498</v>
      </c>
      <c r="C15334" s="30" t="s">
        <v>75</v>
      </c>
      <c r="D15334" s="30" t="s">
        <v>17</v>
      </c>
      <c r="E15334" s="30" t="s">
        <v>26</v>
      </c>
      <c r="F15334" s="30" t="s">
        <v>27</v>
      </c>
      <c r="G15334" s="30" t="s">
        <v>20</v>
      </c>
      <c r="H15334" s="32">
        <v>24</v>
      </c>
      <c r="I15334" s="30" t="s">
        <v>21</v>
      </c>
      <c r="J15334" s="41">
        <v>45211</v>
      </c>
      <c r="K15334" s="30" t="s">
        <v>22</v>
      </c>
    </row>
    <row r="15335" spans="1:11">
      <c r="A15335" s="33" t="s">
        <v>34499</v>
      </c>
      <c r="B15335" s="33" t="s">
        <v>34500</v>
      </c>
      <c r="C15335" s="33" t="s">
        <v>2927</v>
      </c>
      <c r="D15335" s="33" t="s">
        <v>17</v>
      </c>
      <c r="E15335" s="33" t="s">
        <v>26</v>
      </c>
      <c r="F15335" s="33" t="s">
        <v>27</v>
      </c>
      <c r="G15335" s="33" t="s">
        <v>20</v>
      </c>
      <c r="H15335" s="35">
        <v>8</v>
      </c>
      <c r="I15335" s="33" t="s">
        <v>21</v>
      </c>
      <c r="J15335" s="42">
        <v>45223</v>
      </c>
      <c r="K15335" s="33" t="s">
        <v>22</v>
      </c>
    </row>
    <row r="15336" spans="1:11">
      <c r="A15336" s="30" t="s">
        <v>34501</v>
      </c>
      <c r="B15336" s="30" t="s">
        <v>34502</v>
      </c>
      <c r="C15336" s="30" t="s">
        <v>26248</v>
      </c>
      <c r="D15336" s="30" t="s">
        <v>17</v>
      </c>
      <c r="E15336" s="30" t="s">
        <v>26</v>
      </c>
      <c r="F15336" s="30" t="s">
        <v>27</v>
      </c>
      <c r="G15336" s="30" t="s">
        <v>20</v>
      </c>
      <c r="H15336" s="32">
        <v>37</v>
      </c>
      <c r="I15336" s="30" t="s">
        <v>21</v>
      </c>
      <c r="J15336" s="41">
        <v>44930</v>
      </c>
      <c r="K15336" s="30" t="s">
        <v>22</v>
      </c>
    </row>
    <row r="15337" spans="1:11">
      <c r="A15337" s="33" t="s">
        <v>34503</v>
      </c>
      <c r="B15337" s="33" t="s">
        <v>34504</v>
      </c>
      <c r="C15337" s="33" t="s">
        <v>969</v>
      </c>
      <c r="D15337" s="33" t="s">
        <v>17</v>
      </c>
      <c r="E15337" s="33" t="s">
        <v>67</v>
      </c>
      <c r="F15337" s="33" t="s">
        <v>68</v>
      </c>
      <c r="G15337" s="33" t="s">
        <v>158</v>
      </c>
      <c r="H15337" s="35">
        <v>42</v>
      </c>
      <c r="I15337" s="33" t="s">
        <v>21</v>
      </c>
      <c r="J15337" s="42">
        <v>45223</v>
      </c>
      <c r="K15337" s="33" t="s">
        <v>22</v>
      </c>
    </row>
    <row r="15338" spans="1:11">
      <c r="A15338" s="30" t="s">
        <v>34505</v>
      </c>
      <c r="B15338" s="30" t="s">
        <v>34506</v>
      </c>
      <c r="C15338" s="30" t="s">
        <v>136</v>
      </c>
      <c r="D15338" s="30" t="s">
        <v>17</v>
      </c>
      <c r="E15338" s="30" t="s">
        <v>26</v>
      </c>
      <c r="F15338" s="30" t="s">
        <v>27</v>
      </c>
      <c r="G15338" s="30" t="s">
        <v>20</v>
      </c>
      <c r="H15338" s="32">
        <v>26</v>
      </c>
      <c r="I15338" s="30" t="s">
        <v>21</v>
      </c>
      <c r="J15338" s="41">
        <v>45041</v>
      </c>
      <c r="K15338" s="30" t="s">
        <v>22</v>
      </c>
    </row>
    <row r="15339" spans="1:11">
      <c r="A15339" s="33" t="s">
        <v>34507</v>
      </c>
      <c r="B15339" s="33" t="s">
        <v>34508</v>
      </c>
      <c r="C15339" s="33" t="s">
        <v>190</v>
      </c>
      <c r="D15339" s="33" t="s">
        <v>17</v>
      </c>
      <c r="E15339" s="33" t="s">
        <v>26</v>
      </c>
      <c r="F15339" s="33" t="s">
        <v>27</v>
      </c>
      <c r="G15339" s="33" t="s">
        <v>20</v>
      </c>
      <c r="H15339" s="35">
        <v>12</v>
      </c>
      <c r="I15339" s="33" t="s">
        <v>21</v>
      </c>
      <c r="J15339" s="42">
        <v>45224</v>
      </c>
      <c r="K15339" s="33" t="s">
        <v>22</v>
      </c>
    </row>
    <row r="15340" spans="1:11">
      <c r="A15340" s="30" t="s">
        <v>34509</v>
      </c>
      <c r="B15340" s="30" t="s">
        <v>34510</v>
      </c>
      <c r="C15340" s="30" t="s">
        <v>647</v>
      </c>
      <c r="D15340" s="30" t="s">
        <v>17</v>
      </c>
      <c r="E15340" s="30" t="s">
        <v>26</v>
      </c>
      <c r="F15340" s="30" t="s">
        <v>27</v>
      </c>
      <c r="G15340" s="30" t="s">
        <v>20</v>
      </c>
      <c r="H15340" s="32">
        <v>22</v>
      </c>
      <c r="I15340" s="30" t="s">
        <v>21</v>
      </c>
      <c r="J15340" s="41">
        <v>45251</v>
      </c>
      <c r="K15340" s="30" t="s">
        <v>22</v>
      </c>
    </row>
    <row r="15341" spans="1:11">
      <c r="A15341" s="33" t="s">
        <v>34511</v>
      </c>
      <c r="B15341" s="33" t="s">
        <v>34512</v>
      </c>
      <c r="C15341" s="33" t="s">
        <v>149</v>
      </c>
      <c r="D15341" s="33" t="s">
        <v>17</v>
      </c>
      <c r="E15341" s="33" t="s">
        <v>26</v>
      </c>
      <c r="F15341" s="33" t="s">
        <v>27</v>
      </c>
      <c r="G15341" s="33" t="s">
        <v>20</v>
      </c>
      <c r="H15341" s="35">
        <v>18</v>
      </c>
      <c r="I15341" s="33" t="s">
        <v>21</v>
      </c>
      <c r="J15341" s="42">
        <v>45287</v>
      </c>
      <c r="K15341" s="33" t="s">
        <v>22</v>
      </c>
    </row>
    <row r="15342" spans="1:11">
      <c r="A15342" s="30" t="s">
        <v>34513</v>
      </c>
      <c r="B15342" s="30" t="s">
        <v>34514</v>
      </c>
      <c r="C15342" s="30" t="s">
        <v>190</v>
      </c>
      <c r="D15342" s="30" t="s">
        <v>17</v>
      </c>
      <c r="E15342" s="30" t="s">
        <v>18</v>
      </c>
      <c r="F15342" s="30" t="s">
        <v>19</v>
      </c>
      <c r="G15342" s="30" t="s">
        <v>158</v>
      </c>
      <c r="H15342" s="32">
        <v>1902</v>
      </c>
      <c r="I15342" s="30" t="s">
        <v>21</v>
      </c>
      <c r="J15342" s="41">
        <v>45244</v>
      </c>
      <c r="K15342" s="30" t="s">
        <v>22</v>
      </c>
    </row>
    <row r="15343" spans="1:11">
      <c r="A15343" s="33" t="s">
        <v>34515</v>
      </c>
      <c r="B15343" s="33" t="s">
        <v>34516</v>
      </c>
      <c r="C15343" s="33" t="s">
        <v>29321</v>
      </c>
      <c r="D15343" s="33" t="s">
        <v>17</v>
      </c>
      <c r="E15343" s="33" t="s">
        <v>26</v>
      </c>
      <c r="F15343" s="33" t="s">
        <v>27</v>
      </c>
      <c r="G15343" s="33" t="s">
        <v>158</v>
      </c>
      <c r="H15343" s="35">
        <v>100</v>
      </c>
      <c r="I15343" s="33" t="s">
        <v>21</v>
      </c>
      <c r="J15343" s="42">
        <v>45162</v>
      </c>
      <c r="K15343" s="33" t="s">
        <v>22</v>
      </c>
    </row>
    <row r="15344" spans="1:11">
      <c r="A15344" s="30" t="s">
        <v>34517</v>
      </c>
      <c r="B15344" s="30" t="s">
        <v>34518</v>
      </c>
      <c r="C15344" s="30" t="s">
        <v>44</v>
      </c>
      <c r="D15344" s="30" t="s">
        <v>17</v>
      </c>
      <c r="E15344" s="30" t="s">
        <v>18</v>
      </c>
      <c r="F15344" s="30" t="s">
        <v>19</v>
      </c>
      <c r="G15344" s="30" t="s">
        <v>140</v>
      </c>
      <c r="H15344" s="32">
        <v>822</v>
      </c>
      <c r="I15344" s="30" t="s">
        <v>51</v>
      </c>
      <c r="J15344" s="41">
        <v>45272</v>
      </c>
      <c r="K15344" s="30" t="s">
        <v>22</v>
      </c>
    </row>
    <row r="15345" spans="1:11">
      <c r="A15345" s="33" t="s">
        <v>34519</v>
      </c>
      <c r="B15345" s="33" t="s">
        <v>34520</v>
      </c>
      <c r="C15345" s="33" t="s">
        <v>32675</v>
      </c>
      <c r="D15345" s="33" t="s">
        <v>17</v>
      </c>
      <c r="E15345" s="33" t="s">
        <v>31</v>
      </c>
      <c r="F15345" s="33" t="s">
        <v>32</v>
      </c>
      <c r="G15345" s="33" t="s">
        <v>158</v>
      </c>
      <c r="H15345" s="35">
        <v>30</v>
      </c>
      <c r="I15345" s="33" t="s">
        <v>21</v>
      </c>
      <c r="J15345" s="42">
        <v>45181</v>
      </c>
      <c r="K15345" s="33" t="s">
        <v>22</v>
      </c>
    </row>
    <row r="15346" spans="1:11">
      <c r="A15346" s="30" t="s">
        <v>34521</v>
      </c>
      <c r="B15346" s="30" t="s">
        <v>34522</v>
      </c>
      <c r="C15346" s="30" t="s">
        <v>34523</v>
      </c>
      <c r="D15346" s="30" t="s">
        <v>17</v>
      </c>
      <c r="E15346" s="30" t="s">
        <v>31</v>
      </c>
      <c r="F15346" s="30" t="s">
        <v>32</v>
      </c>
      <c r="G15346" s="30" t="s">
        <v>106</v>
      </c>
      <c r="H15346" s="32">
        <v>2</v>
      </c>
      <c r="I15346" s="30" t="s">
        <v>21</v>
      </c>
      <c r="J15346" s="41">
        <v>45238</v>
      </c>
      <c r="K15346" s="30" t="s">
        <v>22</v>
      </c>
    </row>
    <row r="15347" spans="1:11">
      <c r="A15347" s="33" t="s">
        <v>34524</v>
      </c>
      <c r="B15347" s="33" t="s">
        <v>34525</v>
      </c>
      <c r="C15347" s="33" t="s">
        <v>1458</v>
      </c>
      <c r="D15347" s="33" t="s">
        <v>17</v>
      </c>
      <c r="E15347" s="33" t="s">
        <v>31</v>
      </c>
      <c r="F15347" s="33" t="s">
        <v>32</v>
      </c>
      <c r="G15347" s="33" t="s">
        <v>20</v>
      </c>
      <c r="H15347" s="35">
        <v>121</v>
      </c>
      <c r="I15347" s="33" t="s">
        <v>21</v>
      </c>
      <c r="J15347" s="42">
        <v>44980</v>
      </c>
      <c r="K15347" s="33" t="s">
        <v>22</v>
      </c>
    </row>
    <row r="15348" spans="1:11">
      <c r="A15348" s="30" t="s">
        <v>34526</v>
      </c>
      <c r="B15348" s="30" t="s">
        <v>34527</v>
      </c>
      <c r="C15348" s="30" t="s">
        <v>34528</v>
      </c>
      <c r="D15348" s="30" t="s">
        <v>17</v>
      </c>
      <c r="E15348" s="30" t="s">
        <v>31</v>
      </c>
      <c r="F15348" s="30" t="s">
        <v>32</v>
      </c>
      <c r="G15348" s="30" t="s">
        <v>140</v>
      </c>
      <c r="H15348" s="32">
        <v>300</v>
      </c>
      <c r="I15348" s="30" t="s">
        <v>51</v>
      </c>
      <c r="J15348" s="41">
        <v>44960</v>
      </c>
      <c r="K15348" s="30" t="s">
        <v>22</v>
      </c>
    </row>
    <row r="15349" spans="1:11">
      <c r="A15349" s="33" t="s">
        <v>34529</v>
      </c>
      <c r="B15349" s="33" t="s">
        <v>34530</v>
      </c>
      <c r="C15349" s="33" t="s">
        <v>190</v>
      </c>
      <c r="D15349" s="33" t="s">
        <v>17</v>
      </c>
      <c r="E15349" s="33" t="s">
        <v>31</v>
      </c>
      <c r="F15349" s="33" t="s">
        <v>32</v>
      </c>
      <c r="G15349" s="33" t="s">
        <v>140</v>
      </c>
      <c r="H15349" s="35">
        <v>163</v>
      </c>
      <c r="I15349" s="33" t="s">
        <v>51</v>
      </c>
      <c r="J15349" s="42">
        <v>44942</v>
      </c>
      <c r="K15349" s="33" t="s">
        <v>22</v>
      </c>
    </row>
    <row r="15350" spans="1:11">
      <c r="A15350" s="30" t="s">
        <v>34531</v>
      </c>
      <c r="B15350" s="30" t="s">
        <v>34532</v>
      </c>
      <c r="C15350" s="30" t="s">
        <v>5424</v>
      </c>
      <c r="D15350" s="30" t="s">
        <v>17</v>
      </c>
      <c r="E15350" s="30" t="s">
        <v>26</v>
      </c>
      <c r="F15350" s="30" t="s">
        <v>27</v>
      </c>
      <c r="G15350" s="30" t="s">
        <v>140</v>
      </c>
      <c r="H15350" s="32">
        <v>138</v>
      </c>
      <c r="I15350" s="30" t="s">
        <v>51</v>
      </c>
      <c r="J15350" s="41">
        <v>45266</v>
      </c>
      <c r="K15350" s="30" t="s">
        <v>22</v>
      </c>
    </row>
    <row r="15351" spans="1:11">
      <c r="A15351" s="33" t="s">
        <v>34533</v>
      </c>
      <c r="B15351" s="33" t="s">
        <v>34534</v>
      </c>
      <c r="C15351" s="33" t="s">
        <v>3195</v>
      </c>
      <c r="D15351" s="33" t="s">
        <v>17</v>
      </c>
      <c r="E15351" s="33" t="s">
        <v>212</v>
      </c>
      <c r="F15351" s="33" t="s">
        <v>213</v>
      </c>
      <c r="G15351" s="33" t="s">
        <v>20</v>
      </c>
      <c r="H15351" s="35">
        <v>612</v>
      </c>
      <c r="I15351" s="33" t="s">
        <v>21</v>
      </c>
      <c r="J15351" s="42">
        <v>45007</v>
      </c>
      <c r="K15351" s="33" t="s">
        <v>22</v>
      </c>
    </row>
    <row r="15352" spans="1:11">
      <c r="A15352" s="30" t="s">
        <v>34535</v>
      </c>
      <c r="B15352" s="30" t="s">
        <v>34536</v>
      </c>
      <c r="C15352" s="30" t="s">
        <v>33111</v>
      </c>
      <c r="D15352" s="30" t="s">
        <v>17</v>
      </c>
      <c r="E15352" s="30" t="s">
        <v>26</v>
      </c>
      <c r="F15352" s="30" t="s">
        <v>27</v>
      </c>
      <c r="G15352" s="30" t="s">
        <v>20</v>
      </c>
      <c r="H15352" s="32">
        <v>36</v>
      </c>
      <c r="I15352" s="30" t="s">
        <v>21</v>
      </c>
      <c r="J15352" s="41">
        <v>45117</v>
      </c>
      <c r="K15352" s="30" t="s">
        <v>22</v>
      </c>
    </row>
    <row r="15353" spans="1:11">
      <c r="A15353" s="33" t="s">
        <v>34537</v>
      </c>
      <c r="B15353" s="33" t="s">
        <v>34538</v>
      </c>
      <c r="C15353" s="33" t="s">
        <v>11899</v>
      </c>
      <c r="D15353" s="33" t="s">
        <v>17</v>
      </c>
      <c r="E15353" s="33" t="s">
        <v>67</v>
      </c>
      <c r="F15353" s="33" t="s">
        <v>68</v>
      </c>
      <c r="G15353" s="33" t="s">
        <v>50</v>
      </c>
      <c r="H15353" s="35">
        <v>116</v>
      </c>
      <c r="I15353" s="33" t="s">
        <v>51</v>
      </c>
      <c r="J15353" s="42">
        <v>45132</v>
      </c>
      <c r="K15353" s="33" t="s">
        <v>22</v>
      </c>
    </row>
    <row r="15354" spans="1:11">
      <c r="A15354" s="30" t="s">
        <v>34539</v>
      </c>
      <c r="B15354" s="30" t="s">
        <v>34540</v>
      </c>
      <c r="C15354" s="30" t="s">
        <v>157</v>
      </c>
      <c r="D15354" s="30" t="s">
        <v>17</v>
      </c>
      <c r="E15354" s="30" t="s">
        <v>31</v>
      </c>
      <c r="F15354" s="30" t="s">
        <v>32</v>
      </c>
      <c r="G15354" s="30" t="s">
        <v>158</v>
      </c>
      <c r="H15354" s="32">
        <v>52</v>
      </c>
      <c r="I15354" s="30" t="s">
        <v>21</v>
      </c>
      <c r="J15354" s="41">
        <v>44967</v>
      </c>
      <c r="K15354" s="30" t="s">
        <v>22</v>
      </c>
    </row>
    <row r="15355" spans="1:11">
      <c r="A15355" s="33" t="s">
        <v>34541</v>
      </c>
      <c r="B15355" s="33" t="s">
        <v>34542</v>
      </c>
      <c r="C15355" s="33" t="s">
        <v>2424</v>
      </c>
      <c r="D15355" s="33" t="s">
        <v>17</v>
      </c>
      <c r="E15355" s="33" t="s">
        <v>31</v>
      </c>
      <c r="F15355" s="33" t="s">
        <v>32</v>
      </c>
      <c r="G15355" s="33" t="s">
        <v>106</v>
      </c>
      <c r="H15355" s="35">
        <v>14</v>
      </c>
      <c r="I15355" s="33" t="s">
        <v>21</v>
      </c>
      <c r="J15355" s="42">
        <v>45034</v>
      </c>
      <c r="K15355" s="33" t="s">
        <v>22</v>
      </c>
    </row>
    <row r="15356" spans="1:11">
      <c r="A15356" s="30" t="s">
        <v>34543</v>
      </c>
      <c r="B15356" s="30" t="s">
        <v>34544</v>
      </c>
      <c r="C15356" s="30" t="s">
        <v>216</v>
      </c>
      <c r="D15356" s="30" t="s">
        <v>17</v>
      </c>
      <c r="E15356" s="30" t="s">
        <v>26</v>
      </c>
      <c r="F15356" s="30" t="s">
        <v>27</v>
      </c>
      <c r="G15356" s="30" t="s">
        <v>50</v>
      </c>
      <c r="H15356" s="32">
        <v>38</v>
      </c>
      <c r="I15356" s="30" t="s">
        <v>51</v>
      </c>
      <c r="J15356" s="41">
        <v>45078</v>
      </c>
      <c r="K15356" s="30" t="s">
        <v>22</v>
      </c>
    </row>
    <row r="15357" spans="1:11">
      <c r="A15357" s="33" t="s">
        <v>34545</v>
      </c>
      <c r="B15357" s="33" t="s">
        <v>34546</v>
      </c>
      <c r="C15357" s="33" t="s">
        <v>34547</v>
      </c>
      <c r="D15357" s="33" t="s">
        <v>17</v>
      </c>
      <c r="E15357" s="33" t="s">
        <v>26</v>
      </c>
      <c r="F15357" s="33" t="s">
        <v>27</v>
      </c>
      <c r="G15357" s="33" t="s">
        <v>20</v>
      </c>
      <c r="H15357" s="35">
        <v>64</v>
      </c>
      <c r="I15357" s="33" t="s">
        <v>21</v>
      </c>
      <c r="J15357" s="42">
        <v>44994</v>
      </c>
      <c r="K15357" s="33" t="s">
        <v>22</v>
      </c>
    </row>
    <row r="15358" spans="1:11">
      <c r="A15358" s="30" t="s">
        <v>34548</v>
      </c>
      <c r="B15358" s="30" t="s">
        <v>34549</v>
      </c>
      <c r="C15358" s="30" t="s">
        <v>8350</v>
      </c>
      <c r="D15358" s="30" t="s">
        <v>17</v>
      </c>
      <c r="E15358" s="30" t="s">
        <v>31</v>
      </c>
      <c r="F15358" s="30" t="s">
        <v>32</v>
      </c>
      <c r="G15358" s="30" t="s">
        <v>20</v>
      </c>
      <c r="H15358" s="32">
        <v>36</v>
      </c>
      <c r="I15358" s="30" t="s">
        <v>21</v>
      </c>
      <c r="J15358" s="41">
        <v>44947</v>
      </c>
      <c r="K15358" s="30" t="s">
        <v>22</v>
      </c>
    </row>
    <row r="15359" spans="1:11">
      <c r="A15359" s="33" t="s">
        <v>34550</v>
      </c>
      <c r="B15359" s="33" t="s">
        <v>34551</v>
      </c>
      <c r="C15359" s="33" t="s">
        <v>1003</v>
      </c>
      <c r="D15359" s="33" t="s">
        <v>17</v>
      </c>
      <c r="E15359" s="33" t="s">
        <v>67</v>
      </c>
      <c r="F15359" s="33" t="s">
        <v>68</v>
      </c>
      <c r="G15359" s="33" t="s">
        <v>50</v>
      </c>
      <c r="H15359" s="35">
        <v>110</v>
      </c>
      <c r="I15359" s="33" t="s">
        <v>51</v>
      </c>
      <c r="J15359" s="42">
        <v>45148</v>
      </c>
      <c r="K15359" s="33" t="s">
        <v>22</v>
      </c>
    </row>
    <row r="15360" spans="1:11">
      <c r="A15360" s="30" t="s">
        <v>34552</v>
      </c>
      <c r="B15360" s="30" t="s">
        <v>34553</v>
      </c>
      <c r="C15360" s="30" t="s">
        <v>187</v>
      </c>
      <c r="D15360" s="30" t="s">
        <v>17</v>
      </c>
      <c r="E15360" s="30" t="s">
        <v>67</v>
      </c>
      <c r="F15360" s="30" t="s">
        <v>68</v>
      </c>
      <c r="G15360" s="30" t="s">
        <v>20</v>
      </c>
      <c r="H15360" s="32">
        <v>33</v>
      </c>
      <c r="I15360" s="30" t="s">
        <v>21</v>
      </c>
      <c r="J15360" s="41">
        <v>44981</v>
      </c>
      <c r="K15360" s="30" t="s">
        <v>22</v>
      </c>
    </row>
    <row r="15361" spans="1:11">
      <c r="A15361" s="33" t="s">
        <v>34554</v>
      </c>
      <c r="B15361" s="33" t="s">
        <v>34555</v>
      </c>
      <c r="C15361" s="33" t="s">
        <v>343</v>
      </c>
      <c r="D15361" s="33" t="s">
        <v>17</v>
      </c>
      <c r="E15361" s="33" t="s">
        <v>26</v>
      </c>
      <c r="F15361" s="33" t="s">
        <v>27</v>
      </c>
      <c r="G15361" s="33" t="s">
        <v>106</v>
      </c>
      <c r="H15361" s="35">
        <v>38</v>
      </c>
      <c r="I15361" s="33" t="s">
        <v>21</v>
      </c>
      <c r="J15361" s="42">
        <v>45085</v>
      </c>
      <c r="K15361" s="33" t="s">
        <v>22</v>
      </c>
    </row>
    <row r="15362" spans="1:11">
      <c r="A15362" s="30" t="s">
        <v>34556</v>
      </c>
      <c r="B15362" s="30" t="s">
        <v>34557</v>
      </c>
      <c r="C15362" s="30" t="s">
        <v>11793</v>
      </c>
      <c r="D15362" s="30" t="s">
        <v>17</v>
      </c>
      <c r="E15362" s="30" t="s">
        <v>330</v>
      </c>
      <c r="F15362" s="30" t="s">
        <v>331</v>
      </c>
      <c r="G15362" s="30" t="s">
        <v>140</v>
      </c>
      <c r="H15362" s="32">
        <v>18</v>
      </c>
      <c r="I15362" s="30" t="s">
        <v>51</v>
      </c>
      <c r="J15362" s="41">
        <v>45111</v>
      </c>
      <c r="K15362" s="30" t="s">
        <v>22</v>
      </c>
    </row>
    <row r="15363" spans="1:11">
      <c r="A15363" s="33" t="s">
        <v>34558</v>
      </c>
      <c r="B15363" s="33" t="s">
        <v>34559</v>
      </c>
      <c r="C15363" s="33" t="s">
        <v>34560</v>
      </c>
      <c r="D15363" s="33" t="s">
        <v>17</v>
      </c>
      <c r="E15363" s="33" t="s">
        <v>212</v>
      </c>
      <c r="F15363" s="33" t="s">
        <v>213</v>
      </c>
      <c r="G15363" s="33" t="s">
        <v>20</v>
      </c>
      <c r="H15363" s="35">
        <v>696</v>
      </c>
      <c r="I15363" s="33" t="s">
        <v>21</v>
      </c>
      <c r="J15363" s="42">
        <v>45056</v>
      </c>
      <c r="K15363" s="33" t="s">
        <v>22</v>
      </c>
    </row>
    <row r="15364" spans="1:11">
      <c r="A15364" s="30" t="s">
        <v>34561</v>
      </c>
      <c r="B15364" s="30" t="s">
        <v>34562</v>
      </c>
      <c r="C15364" s="30" t="s">
        <v>109</v>
      </c>
      <c r="D15364" s="30" t="s">
        <v>17</v>
      </c>
      <c r="E15364" s="30" t="s">
        <v>18</v>
      </c>
      <c r="F15364" s="30" t="s">
        <v>19</v>
      </c>
      <c r="G15364" s="30" t="s">
        <v>20</v>
      </c>
      <c r="H15364" s="32">
        <v>148</v>
      </c>
      <c r="I15364" s="30" t="s">
        <v>21</v>
      </c>
      <c r="J15364" s="41">
        <v>44963</v>
      </c>
      <c r="K15364" s="30" t="s">
        <v>22</v>
      </c>
    </row>
    <row r="15365" spans="1:11">
      <c r="A15365" s="33" t="s">
        <v>34563</v>
      </c>
      <c r="B15365" s="33" t="s">
        <v>34564</v>
      </c>
      <c r="C15365" s="33" t="s">
        <v>1207</v>
      </c>
      <c r="D15365" s="33" t="s">
        <v>17</v>
      </c>
      <c r="E15365" s="33" t="s">
        <v>31</v>
      </c>
      <c r="F15365" s="33" t="s">
        <v>32</v>
      </c>
      <c r="G15365" s="33" t="s">
        <v>106</v>
      </c>
      <c r="H15365" s="35">
        <v>15</v>
      </c>
      <c r="I15365" s="33" t="s">
        <v>21</v>
      </c>
      <c r="J15365" s="42">
        <v>45040</v>
      </c>
      <c r="K15365" s="33" t="s">
        <v>22</v>
      </c>
    </row>
    <row r="15366" spans="1:11">
      <c r="A15366" s="30" t="s">
        <v>34565</v>
      </c>
      <c r="B15366" s="30" t="s">
        <v>34566</v>
      </c>
      <c r="C15366" s="30" t="s">
        <v>34567</v>
      </c>
      <c r="D15366" s="30" t="s">
        <v>17</v>
      </c>
      <c r="E15366" s="30" t="s">
        <v>31</v>
      </c>
      <c r="F15366" s="30" t="s">
        <v>32</v>
      </c>
      <c r="G15366" s="30" t="s">
        <v>20</v>
      </c>
      <c r="H15366" s="32">
        <v>240</v>
      </c>
      <c r="I15366" s="30" t="s">
        <v>21</v>
      </c>
      <c r="J15366" s="41">
        <v>45044</v>
      </c>
      <c r="K15366" s="30" t="s">
        <v>22</v>
      </c>
    </row>
    <row r="15367" spans="1:11">
      <c r="A15367" s="33" t="s">
        <v>34568</v>
      </c>
      <c r="B15367" s="33" t="s">
        <v>34569</v>
      </c>
      <c r="C15367" s="33" t="s">
        <v>12112</v>
      </c>
      <c r="D15367" s="33" t="s">
        <v>17</v>
      </c>
      <c r="E15367" s="33" t="s">
        <v>26</v>
      </c>
      <c r="F15367" s="33" t="s">
        <v>27</v>
      </c>
      <c r="G15367" s="33" t="s">
        <v>20</v>
      </c>
      <c r="H15367" s="35">
        <v>35</v>
      </c>
      <c r="I15367" s="33" t="s">
        <v>21</v>
      </c>
      <c r="J15367" s="42">
        <v>44996</v>
      </c>
      <c r="K15367" s="33" t="s">
        <v>22</v>
      </c>
    </row>
    <row r="15368" spans="1:11">
      <c r="A15368" s="30" t="s">
        <v>34570</v>
      </c>
      <c r="B15368" s="30" t="s">
        <v>34571</v>
      </c>
      <c r="C15368" s="30" t="s">
        <v>34572</v>
      </c>
      <c r="D15368" s="30" t="s">
        <v>17</v>
      </c>
      <c r="E15368" s="30" t="s">
        <v>26</v>
      </c>
      <c r="F15368" s="30" t="s">
        <v>27</v>
      </c>
      <c r="G15368" s="30" t="s">
        <v>20</v>
      </c>
      <c r="H15368" s="32">
        <v>32</v>
      </c>
      <c r="I15368" s="30" t="s">
        <v>21</v>
      </c>
      <c r="J15368" s="41">
        <v>44977</v>
      </c>
      <c r="K15368" s="30" t="s">
        <v>22</v>
      </c>
    </row>
    <row r="15369" spans="1:11">
      <c r="A15369" s="33" t="s">
        <v>34573</v>
      </c>
      <c r="B15369" s="33" t="s">
        <v>34574</v>
      </c>
      <c r="C15369" s="33" t="s">
        <v>34575</v>
      </c>
      <c r="D15369" s="33" t="s">
        <v>17</v>
      </c>
      <c r="E15369" s="33" t="s">
        <v>26</v>
      </c>
      <c r="F15369" s="33" t="s">
        <v>27</v>
      </c>
      <c r="G15369" s="33" t="s">
        <v>106</v>
      </c>
      <c r="H15369" s="35">
        <v>227</v>
      </c>
      <c r="I15369" s="33" t="s">
        <v>21</v>
      </c>
      <c r="J15369" s="42">
        <v>45008</v>
      </c>
      <c r="K15369" s="33" t="s">
        <v>22</v>
      </c>
    </row>
    <row r="15370" spans="1:11">
      <c r="A15370" s="30" t="s">
        <v>34576</v>
      </c>
      <c r="B15370" s="30" t="s">
        <v>34577</v>
      </c>
      <c r="C15370" s="30" t="s">
        <v>124</v>
      </c>
      <c r="D15370" s="30" t="s">
        <v>17</v>
      </c>
      <c r="E15370" s="30" t="s">
        <v>26</v>
      </c>
      <c r="F15370" s="30" t="s">
        <v>27</v>
      </c>
      <c r="G15370" s="30" t="s">
        <v>50</v>
      </c>
      <c r="H15370" s="32">
        <v>32</v>
      </c>
      <c r="I15370" s="30" t="s">
        <v>51</v>
      </c>
      <c r="J15370" s="41">
        <v>45040</v>
      </c>
      <c r="K15370" s="30" t="s">
        <v>22</v>
      </c>
    </row>
    <row r="15371" spans="1:11">
      <c r="A15371" s="33" t="s">
        <v>34578</v>
      </c>
      <c r="B15371" s="33" t="s">
        <v>34579</v>
      </c>
      <c r="C15371" s="33" t="s">
        <v>34580</v>
      </c>
      <c r="D15371" s="33" t="s">
        <v>17</v>
      </c>
      <c r="E15371" s="33" t="s">
        <v>31</v>
      </c>
      <c r="F15371" s="33" t="s">
        <v>32</v>
      </c>
      <c r="G15371" s="33" t="s">
        <v>20</v>
      </c>
      <c r="H15371" s="35">
        <v>159</v>
      </c>
      <c r="I15371" s="33" t="s">
        <v>21</v>
      </c>
      <c r="J15371" s="42">
        <v>45089</v>
      </c>
      <c r="K15371" s="33" t="s">
        <v>22</v>
      </c>
    </row>
    <row r="15372" spans="1:11">
      <c r="A15372" s="30" t="s">
        <v>34581</v>
      </c>
      <c r="B15372" s="30" t="s">
        <v>34582</v>
      </c>
      <c r="C15372" s="30" t="s">
        <v>443</v>
      </c>
      <c r="D15372" s="30" t="s">
        <v>17</v>
      </c>
      <c r="E15372" s="30" t="s">
        <v>212</v>
      </c>
      <c r="F15372" s="30" t="s">
        <v>213</v>
      </c>
      <c r="G15372" s="30" t="s">
        <v>20</v>
      </c>
      <c r="H15372" s="32">
        <v>1800</v>
      </c>
      <c r="I15372" s="30" t="s">
        <v>21</v>
      </c>
      <c r="J15372" s="41">
        <v>44984</v>
      </c>
      <c r="K15372" s="30" t="s">
        <v>22</v>
      </c>
    </row>
    <row r="15373" spans="1:11">
      <c r="A15373" s="33" t="s">
        <v>34583</v>
      </c>
      <c r="B15373" s="33" t="s">
        <v>34584</v>
      </c>
      <c r="C15373" s="33" t="s">
        <v>936</v>
      </c>
      <c r="D15373" s="33" t="s">
        <v>17</v>
      </c>
      <c r="E15373" s="33" t="s">
        <v>31</v>
      </c>
      <c r="F15373" s="33" t="s">
        <v>32</v>
      </c>
      <c r="G15373" s="33" t="s">
        <v>112</v>
      </c>
      <c r="H15373" s="35">
        <v>0</v>
      </c>
      <c r="I15373" s="33" t="s">
        <v>21</v>
      </c>
      <c r="J15373" s="42">
        <v>45107</v>
      </c>
      <c r="K15373" s="33" t="s">
        <v>22</v>
      </c>
    </row>
    <row r="15374" spans="1:11">
      <c r="A15374" s="30" t="s">
        <v>34585</v>
      </c>
      <c r="B15374" s="30" t="s">
        <v>34586</v>
      </c>
      <c r="C15374" s="30" t="s">
        <v>5226</v>
      </c>
      <c r="D15374" s="30" t="s">
        <v>17</v>
      </c>
      <c r="E15374" s="30" t="s">
        <v>26</v>
      </c>
      <c r="F15374" s="30" t="s">
        <v>27</v>
      </c>
      <c r="G15374" s="30" t="s">
        <v>20</v>
      </c>
      <c r="H15374" s="32">
        <v>41</v>
      </c>
      <c r="I15374" s="30" t="s">
        <v>21</v>
      </c>
      <c r="J15374" s="41">
        <v>44984</v>
      </c>
      <c r="K15374" s="30" t="s">
        <v>22</v>
      </c>
    </row>
    <row r="15375" spans="1:11">
      <c r="A15375" s="33" t="s">
        <v>34587</v>
      </c>
      <c r="B15375" s="33" t="s">
        <v>34588</v>
      </c>
      <c r="C15375" s="33" t="s">
        <v>8561</v>
      </c>
      <c r="D15375" s="33" t="s">
        <v>17</v>
      </c>
      <c r="E15375" s="33" t="s">
        <v>31</v>
      </c>
      <c r="F15375" s="33" t="s">
        <v>32</v>
      </c>
      <c r="G15375" s="33" t="s">
        <v>20</v>
      </c>
      <c r="H15375" s="35">
        <v>10</v>
      </c>
      <c r="I15375" s="33" t="s">
        <v>21</v>
      </c>
      <c r="J15375" s="42">
        <v>44941</v>
      </c>
      <c r="K15375" s="33" t="s">
        <v>22</v>
      </c>
    </row>
    <row r="15376" spans="1:11">
      <c r="A15376" s="30" t="s">
        <v>34589</v>
      </c>
      <c r="B15376" s="30" t="s">
        <v>34590</v>
      </c>
      <c r="C15376" s="30" t="s">
        <v>203</v>
      </c>
      <c r="D15376" s="30" t="s">
        <v>17</v>
      </c>
      <c r="E15376" s="30" t="s">
        <v>31</v>
      </c>
      <c r="F15376" s="30" t="s">
        <v>32</v>
      </c>
      <c r="G15376" s="30" t="s">
        <v>106</v>
      </c>
      <c r="H15376" s="32">
        <v>16</v>
      </c>
      <c r="I15376" s="30" t="s">
        <v>21</v>
      </c>
      <c r="J15376" s="41">
        <v>45209</v>
      </c>
      <c r="K15376" s="30" t="s">
        <v>22</v>
      </c>
    </row>
    <row r="15377" spans="1:11">
      <c r="A15377" s="33" t="s">
        <v>34591</v>
      </c>
      <c r="B15377" s="33" t="s">
        <v>34592</v>
      </c>
      <c r="C15377" s="33" t="s">
        <v>78</v>
      </c>
      <c r="D15377" s="33" t="s">
        <v>17</v>
      </c>
      <c r="E15377" s="33" t="s">
        <v>26</v>
      </c>
      <c r="F15377" s="33" t="s">
        <v>27</v>
      </c>
      <c r="G15377" s="33" t="s">
        <v>20</v>
      </c>
      <c r="H15377" s="35">
        <v>66</v>
      </c>
      <c r="I15377" s="33" t="s">
        <v>21</v>
      </c>
      <c r="J15377" s="42">
        <v>45222</v>
      </c>
      <c r="K15377" s="33" t="s">
        <v>22</v>
      </c>
    </row>
    <row r="15378" spans="1:11">
      <c r="A15378" s="30" t="s">
        <v>34593</v>
      </c>
      <c r="B15378" s="30" t="s">
        <v>34594</v>
      </c>
      <c r="C15378" s="30" t="s">
        <v>310</v>
      </c>
      <c r="D15378" s="30" t="s">
        <v>17</v>
      </c>
      <c r="E15378" s="30" t="s">
        <v>18</v>
      </c>
      <c r="F15378" s="30" t="s">
        <v>19</v>
      </c>
      <c r="G15378" s="30" t="s">
        <v>158</v>
      </c>
      <c r="H15378" s="32">
        <v>4899</v>
      </c>
      <c r="I15378" s="30" t="s">
        <v>21</v>
      </c>
      <c r="J15378" s="41">
        <v>45054</v>
      </c>
      <c r="K15378" s="30" t="s">
        <v>22</v>
      </c>
    </row>
    <row r="15379" spans="1:11">
      <c r="A15379" s="33" t="s">
        <v>34595</v>
      </c>
      <c r="B15379" s="33" t="s">
        <v>34596</v>
      </c>
      <c r="C15379" s="33" t="s">
        <v>75</v>
      </c>
      <c r="D15379" s="33" t="s">
        <v>17</v>
      </c>
      <c r="E15379" s="33" t="s">
        <v>31</v>
      </c>
      <c r="F15379" s="33" t="s">
        <v>32</v>
      </c>
      <c r="G15379" s="33" t="s">
        <v>140</v>
      </c>
      <c r="H15379" s="35">
        <v>208</v>
      </c>
      <c r="I15379" s="33" t="s">
        <v>51</v>
      </c>
      <c r="J15379" s="42">
        <v>45237</v>
      </c>
      <c r="K15379" s="33" t="s">
        <v>22</v>
      </c>
    </row>
    <row r="15380" spans="1:11">
      <c r="A15380" s="30" t="s">
        <v>34597</v>
      </c>
      <c r="B15380" s="30" t="s">
        <v>34598</v>
      </c>
      <c r="C15380" s="30" t="s">
        <v>34599</v>
      </c>
      <c r="D15380" s="30" t="s">
        <v>17</v>
      </c>
      <c r="E15380" s="30" t="s">
        <v>212</v>
      </c>
      <c r="F15380" s="30" t="s">
        <v>213</v>
      </c>
      <c r="G15380" s="30" t="s">
        <v>20</v>
      </c>
      <c r="H15380" s="32">
        <v>40</v>
      </c>
      <c r="I15380" s="30" t="s">
        <v>21</v>
      </c>
      <c r="J15380" s="41">
        <v>44986</v>
      </c>
      <c r="K15380" s="30" t="s">
        <v>22</v>
      </c>
    </row>
    <row r="15381" spans="1:11">
      <c r="A15381" s="33" t="s">
        <v>34600</v>
      </c>
      <c r="B15381" s="33" t="s">
        <v>34601</v>
      </c>
      <c r="C15381" s="33" t="s">
        <v>10774</v>
      </c>
      <c r="D15381" s="33" t="s">
        <v>17</v>
      </c>
      <c r="E15381" s="33" t="s">
        <v>67</v>
      </c>
      <c r="F15381" s="33" t="s">
        <v>68</v>
      </c>
      <c r="G15381" s="33" t="s">
        <v>140</v>
      </c>
      <c r="H15381" s="35">
        <v>24</v>
      </c>
      <c r="I15381" s="33" t="s">
        <v>51</v>
      </c>
      <c r="J15381" s="42">
        <v>45124</v>
      </c>
      <c r="K15381" s="33" t="s">
        <v>22</v>
      </c>
    </row>
    <row r="15382" spans="1:11">
      <c r="A15382" s="30" t="s">
        <v>34602</v>
      </c>
      <c r="B15382" s="30" t="s">
        <v>34603</v>
      </c>
      <c r="C15382" s="30" t="s">
        <v>6151</v>
      </c>
      <c r="D15382" s="30" t="s">
        <v>17</v>
      </c>
      <c r="E15382" s="30" t="s">
        <v>26</v>
      </c>
      <c r="F15382" s="30" t="s">
        <v>27</v>
      </c>
      <c r="G15382" s="30" t="s">
        <v>20</v>
      </c>
      <c r="H15382" s="32">
        <v>14</v>
      </c>
      <c r="I15382" s="30" t="s">
        <v>21</v>
      </c>
      <c r="J15382" s="41">
        <v>44936</v>
      </c>
      <c r="K15382" s="30" t="s">
        <v>22</v>
      </c>
    </row>
    <row r="15383" spans="1:11">
      <c r="A15383" s="33" t="s">
        <v>34604</v>
      </c>
      <c r="B15383" s="33" t="s">
        <v>34605</v>
      </c>
      <c r="C15383" s="33" t="s">
        <v>78</v>
      </c>
      <c r="D15383" s="33" t="s">
        <v>17</v>
      </c>
      <c r="E15383" s="33" t="s">
        <v>212</v>
      </c>
      <c r="F15383" s="33" t="s">
        <v>213</v>
      </c>
      <c r="G15383" s="33" t="s">
        <v>50</v>
      </c>
      <c r="H15383" s="35">
        <v>116</v>
      </c>
      <c r="I15383" s="33" t="s">
        <v>51</v>
      </c>
      <c r="J15383" s="42">
        <v>45078</v>
      </c>
      <c r="K15383" s="33" t="s">
        <v>22</v>
      </c>
    </row>
    <row r="15384" spans="1:11">
      <c r="A15384" s="30" t="s">
        <v>34606</v>
      </c>
      <c r="B15384" s="30" t="s">
        <v>34607</v>
      </c>
      <c r="C15384" s="30" t="s">
        <v>13809</v>
      </c>
      <c r="D15384" s="30" t="s">
        <v>17</v>
      </c>
      <c r="E15384" s="30" t="s">
        <v>18</v>
      </c>
      <c r="F15384" s="30" t="s">
        <v>19</v>
      </c>
      <c r="G15384" s="30" t="s">
        <v>140</v>
      </c>
      <c r="H15384" s="32">
        <v>96</v>
      </c>
      <c r="I15384" s="30" t="s">
        <v>51</v>
      </c>
      <c r="J15384" s="41">
        <v>45219</v>
      </c>
      <c r="K15384" s="30" t="s">
        <v>22</v>
      </c>
    </row>
    <row r="15385" spans="1:11">
      <c r="A15385" s="33" t="s">
        <v>34608</v>
      </c>
      <c r="B15385" s="33" t="s">
        <v>34609</v>
      </c>
      <c r="C15385" s="33" t="s">
        <v>11984</v>
      </c>
      <c r="D15385" s="33" t="s">
        <v>17</v>
      </c>
      <c r="E15385" s="33" t="s">
        <v>31</v>
      </c>
      <c r="F15385" s="33" t="s">
        <v>32</v>
      </c>
      <c r="G15385" s="33" t="s">
        <v>20</v>
      </c>
      <c r="H15385" s="35">
        <v>10</v>
      </c>
      <c r="I15385" s="33" t="s">
        <v>21</v>
      </c>
      <c r="J15385" s="42">
        <v>45250</v>
      </c>
      <c r="K15385" s="33" t="s">
        <v>22</v>
      </c>
    </row>
    <row r="15386" spans="1:11">
      <c r="A15386" s="30" t="s">
        <v>34610</v>
      </c>
      <c r="B15386" s="30" t="s">
        <v>34611</v>
      </c>
      <c r="C15386" s="30" t="s">
        <v>75</v>
      </c>
      <c r="D15386" s="30" t="s">
        <v>17</v>
      </c>
      <c r="E15386" s="30" t="s">
        <v>26</v>
      </c>
      <c r="F15386" s="30" t="s">
        <v>27</v>
      </c>
      <c r="G15386" s="30" t="s">
        <v>20</v>
      </c>
      <c r="H15386" s="32">
        <v>33</v>
      </c>
      <c r="I15386" s="30" t="s">
        <v>21</v>
      </c>
      <c r="J15386" s="41">
        <v>45016</v>
      </c>
      <c r="K15386" s="30" t="s">
        <v>22</v>
      </c>
    </row>
    <row r="15387" spans="1:11">
      <c r="A15387" s="33" t="s">
        <v>34612</v>
      </c>
      <c r="B15387" s="33" t="s">
        <v>34613</v>
      </c>
      <c r="C15387" s="33" t="s">
        <v>216</v>
      </c>
      <c r="D15387" s="33" t="s">
        <v>17</v>
      </c>
      <c r="E15387" s="33" t="s">
        <v>67</v>
      </c>
      <c r="F15387" s="33" t="s">
        <v>68</v>
      </c>
      <c r="G15387" s="33" t="s">
        <v>158</v>
      </c>
      <c r="H15387" s="35">
        <v>33</v>
      </c>
      <c r="I15387" s="33" t="s">
        <v>51</v>
      </c>
      <c r="J15387" s="42">
        <v>45239</v>
      </c>
      <c r="K15387" s="33" t="s">
        <v>22</v>
      </c>
    </row>
    <row r="15388" spans="1:11">
      <c r="A15388" s="30" t="s">
        <v>34614</v>
      </c>
      <c r="B15388" s="30" t="s">
        <v>34615</v>
      </c>
      <c r="C15388" s="30" t="s">
        <v>34616</v>
      </c>
      <c r="D15388" s="30" t="s">
        <v>17</v>
      </c>
      <c r="E15388" s="30" t="s">
        <v>67</v>
      </c>
      <c r="F15388" s="30" t="s">
        <v>68</v>
      </c>
      <c r="G15388" s="30" t="s">
        <v>50</v>
      </c>
      <c r="H15388" s="32">
        <v>180</v>
      </c>
      <c r="I15388" s="30" t="s">
        <v>51</v>
      </c>
      <c r="J15388" s="41">
        <v>44985</v>
      </c>
      <c r="K15388" s="30" t="s">
        <v>22</v>
      </c>
    </row>
    <row r="15389" spans="1:11">
      <c r="A15389" s="33" t="s">
        <v>34617</v>
      </c>
      <c r="B15389" s="33" t="s">
        <v>34618</v>
      </c>
      <c r="C15389" s="33" t="s">
        <v>34619</v>
      </c>
      <c r="D15389" s="33" t="s">
        <v>17</v>
      </c>
      <c r="E15389" s="33" t="s">
        <v>212</v>
      </c>
      <c r="F15389" s="33" t="s">
        <v>213</v>
      </c>
      <c r="G15389" s="33" t="s">
        <v>158</v>
      </c>
      <c r="H15389" s="35">
        <v>110</v>
      </c>
      <c r="I15389" s="33" t="s">
        <v>51</v>
      </c>
      <c r="J15389" s="42">
        <v>45069</v>
      </c>
      <c r="K15389" s="33" t="s">
        <v>22</v>
      </c>
    </row>
    <row r="15390" spans="1:11">
      <c r="A15390" s="30" t="s">
        <v>34620</v>
      </c>
      <c r="B15390" s="30" t="s">
        <v>34621</v>
      </c>
      <c r="C15390" s="30" t="s">
        <v>22650</v>
      </c>
      <c r="D15390" s="30" t="s">
        <v>17</v>
      </c>
      <c r="E15390" s="30" t="s">
        <v>26</v>
      </c>
      <c r="F15390" s="30" t="s">
        <v>27</v>
      </c>
      <c r="G15390" s="30" t="s">
        <v>50</v>
      </c>
      <c r="H15390" s="32">
        <v>34</v>
      </c>
      <c r="I15390" s="30" t="s">
        <v>21</v>
      </c>
      <c r="J15390" s="41">
        <v>44966</v>
      </c>
      <c r="K15390" s="30" t="s">
        <v>22</v>
      </c>
    </row>
    <row r="15391" spans="1:11">
      <c r="A15391" s="33" t="s">
        <v>34622</v>
      </c>
      <c r="B15391" s="33" t="s">
        <v>34623</v>
      </c>
      <c r="C15391" s="33" t="s">
        <v>787</v>
      </c>
      <c r="D15391" s="33" t="s">
        <v>17</v>
      </c>
      <c r="E15391" s="33" t="s">
        <v>31</v>
      </c>
      <c r="F15391" s="33" t="s">
        <v>32</v>
      </c>
      <c r="G15391" s="33" t="s">
        <v>50</v>
      </c>
      <c r="H15391" s="35">
        <v>75</v>
      </c>
      <c r="I15391" s="33" t="s">
        <v>51</v>
      </c>
      <c r="J15391" s="42">
        <v>45003</v>
      </c>
      <c r="K15391" s="33" t="s">
        <v>22</v>
      </c>
    </row>
    <row r="15392" spans="1:11">
      <c r="A15392" s="30" t="s">
        <v>34624</v>
      </c>
      <c r="B15392" s="30" t="s">
        <v>34625</v>
      </c>
      <c r="C15392" s="30" t="s">
        <v>5032</v>
      </c>
      <c r="D15392" s="30" t="s">
        <v>17</v>
      </c>
      <c r="E15392" s="30" t="s">
        <v>18</v>
      </c>
      <c r="F15392" s="30" t="s">
        <v>19</v>
      </c>
      <c r="G15392" s="30" t="s">
        <v>140</v>
      </c>
      <c r="H15392" s="32">
        <v>100</v>
      </c>
      <c r="I15392" s="30" t="s">
        <v>51</v>
      </c>
      <c r="J15392" s="41">
        <v>45266</v>
      </c>
      <c r="K15392" s="30" t="s">
        <v>22</v>
      </c>
    </row>
    <row r="15393" spans="1:11">
      <c r="A15393" s="33" t="s">
        <v>34626</v>
      </c>
      <c r="B15393" s="33" t="s">
        <v>34627</v>
      </c>
      <c r="C15393" s="33" t="s">
        <v>11467</v>
      </c>
      <c r="D15393" s="33" t="s">
        <v>17</v>
      </c>
      <c r="E15393" s="33" t="s">
        <v>31</v>
      </c>
      <c r="F15393" s="33" t="s">
        <v>32</v>
      </c>
      <c r="G15393" s="33" t="s">
        <v>2613</v>
      </c>
      <c r="H15393" s="35">
        <v>24</v>
      </c>
      <c r="I15393" s="33" t="s">
        <v>51</v>
      </c>
      <c r="J15393" s="42">
        <v>45244</v>
      </c>
      <c r="K15393" s="33" t="s">
        <v>22</v>
      </c>
    </row>
    <row r="15394" spans="1:11">
      <c r="A15394" s="30" t="s">
        <v>34628</v>
      </c>
      <c r="B15394" s="30" t="s">
        <v>34629</v>
      </c>
      <c r="C15394" s="30" t="s">
        <v>3957</v>
      </c>
      <c r="D15394" s="30" t="s">
        <v>17</v>
      </c>
      <c r="E15394" s="30" t="s">
        <v>26</v>
      </c>
      <c r="F15394" s="30" t="s">
        <v>27</v>
      </c>
      <c r="G15394" s="30" t="s">
        <v>50</v>
      </c>
      <c r="H15394" s="32">
        <v>34</v>
      </c>
      <c r="I15394" s="30" t="s">
        <v>51</v>
      </c>
      <c r="J15394" s="41">
        <v>44963</v>
      </c>
      <c r="K15394" s="30" t="s">
        <v>22</v>
      </c>
    </row>
    <row r="15395" spans="1:11">
      <c r="A15395" s="33" t="s">
        <v>34630</v>
      </c>
      <c r="B15395" s="33" t="s">
        <v>34631</v>
      </c>
      <c r="C15395" s="33" t="s">
        <v>647</v>
      </c>
      <c r="D15395" s="33" t="s">
        <v>17</v>
      </c>
      <c r="E15395" s="33" t="s">
        <v>18</v>
      </c>
      <c r="F15395" s="33" t="s">
        <v>19</v>
      </c>
      <c r="G15395" s="33" t="s">
        <v>158</v>
      </c>
      <c r="H15395" s="35">
        <v>614</v>
      </c>
      <c r="I15395" s="33" t="s">
        <v>51</v>
      </c>
      <c r="J15395" s="42">
        <v>44963</v>
      </c>
      <c r="K15395" s="33" t="s">
        <v>22</v>
      </c>
    </row>
    <row r="15396" spans="1:11">
      <c r="A15396" s="30" t="s">
        <v>34632</v>
      </c>
      <c r="B15396" s="30" t="s">
        <v>34633</v>
      </c>
      <c r="C15396" s="30" t="s">
        <v>8554</v>
      </c>
      <c r="D15396" s="30" t="s">
        <v>17</v>
      </c>
      <c r="E15396" s="30" t="s">
        <v>67</v>
      </c>
      <c r="F15396" s="30" t="s">
        <v>68</v>
      </c>
      <c r="G15396" s="30" t="s">
        <v>20</v>
      </c>
      <c r="H15396" s="32">
        <v>202</v>
      </c>
      <c r="I15396" s="30" t="s">
        <v>21</v>
      </c>
      <c r="J15396" s="41">
        <v>44989</v>
      </c>
      <c r="K15396" s="30" t="s">
        <v>22</v>
      </c>
    </row>
    <row r="15397" spans="1:11">
      <c r="A15397" s="33" t="s">
        <v>34634</v>
      </c>
      <c r="B15397" s="33" t="s">
        <v>34635</v>
      </c>
      <c r="C15397" s="33" t="s">
        <v>28054</v>
      </c>
      <c r="D15397" s="33" t="s">
        <v>17</v>
      </c>
      <c r="E15397" s="33" t="s">
        <v>67</v>
      </c>
      <c r="F15397" s="33" t="s">
        <v>68</v>
      </c>
      <c r="G15397" s="33" t="s">
        <v>50</v>
      </c>
      <c r="H15397" s="35">
        <v>74</v>
      </c>
      <c r="I15397" s="33" t="s">
        <v>51</v>
      </c>
      <c r="J15397" s="42">
        <v>45033</v>
      </c>
      <c r="K15397" s="33" t="s">
        <v>22</v>
      </c>
    </row>
    <row r="15398" spans="1:11">
      <c r="A15398" s="30" t="s">
        <v>34636</v>
      </c>
      <c r="B15398" s="30" t="s">
        <v>34637</v>
      </c>
      <c r="C15398" s="30" t="s">
        <v>190</v>
      </c>
      <c r="D15398" s="30" t="s">
        <v>17</v>
      </c>
      <c r="E15398" s="30" t="s">
        <v>18</v>
      </c>
      <c r="F15398" s="30" t="s">
        <v>19</v>
      </c>
      <c r="G15398" s="30" t="s">
        <v>158</v>
      </c>
      <c r="H15398" s="32">
        <v>142</v>
      </c>
      <c r="I15398" s="30" t="s">
        <v>21</v>
      </c>
      <c r="J15398" s="41">
        <v>45154</v>
      </c>
      <c r="K15398" s="30" t="s">
        <v>22</v>
      </c>
    </row>
    <row r="15399" spans="1:11">
      <c r="A15399" s="33" t="s">
        <v>34638</v>
      </c>
      <c r="B15399" s="33" t="s">
        <v>34639</v>
      </c>
      <c r="C15399" s="33" t="s">
        <v>1683</v>
      </c>
      <c r="D15399" s="33" t="s">
        <v>17</v>
      </c>
      <c r="E15399" s="33" t="s">
        <v>18</v>
      </c>
      <c r="F15399" s="33" t="s">
        <v>19</v>
      </c>
      <c r="G15399" s="33" t="s">
        <v>2613</v>
      </c>
      <c r="H15399" s="35">
        <v>400</v>
      </c>
      <c r="I15399" s="33" t="s">
        <v>51</v>
      </c>
      <c r="J15399" s="42">
        <v>45196</v>
      </c>
      <c r="K15399" s="33" t="s">
        <v>22</v>
      </c>
    </row>
    <row r="15400" spans="1:11">
      <c r="A15400" s="30" t="s">
        <v>34640</v>
      </c>
      <c r="B15400" s="30" t="s">
        <v>34641</v>
      </c>
      <c r="C15400" s="30" t="s">
        <v>3439</v>
      </c>
      <c r="D15400" s="30" t="s">
        <v>17</v>
      </c>
      <c r="E15400" s="30" t="s">
        <v>26</v>
      </c>
      <c r="F15400" s="30" t="s">
        <v>27</v>
      </c>
      <c r="G15400" s="30" t="s">
        <v>20</v>
      </c>
      <c r="H15400" s="32">
        <v>6</v>
      </c>
      <c r="I15400" s="30" t="s">
        <v>21</v>
      </c>
      <c r="J15400" s="41">
        <v>45115</v>
      </c>
      <c r="K15400" s="30" t="s">
        <v>22</v>
      </c>
    </row>
    <row r="15401" spans="1:11">
      <c r="A15401" s="33" t="s">
        <v>34642</v>
      </c>
      <c r="B15401" s="33" t="s">
        <v>34643</v>
      </c>
      <c r="C15401" s="33" t="s">
        <v>936</v>
      </c>
      <c r="D15401" s="33" t="s">
        <v>17</v>
      </c>
      <c r="E15401" s="33" t="s">
        <v>67</v>
      </c>
      <c r="F15401" s="33" t="s">
        <v>68</v>
      </c>
      <c r="G15401" s="33" t="s">
        <v>140</v>
      </c>
      <c r="H15401" s="35">
        <v>60</v>
      </c>
      <c r="I15401" s="33" t="s">
        <v>51</v>
      </c>
      <c r="J15401" s="42">
        <v>45069</v>
      </c>
      <c r="K15401" s="33" t="s">
        <v>22</v>
      </c>
    </row>
    <row r="15402" spans="1:11">
      <c r="A15402" s="30" t="s">
        <v>34644</v>
      </c>
      <c r="B15402" s="30" t="s">
        <v>34645</v>
      </c>
      <c r="C15402" s="30" t="s">
        <v>190</v>
      </c>
      <c r="D15402" s="30" t="s">
        <v>17</v>
      </c>
      <c r="E15402" s="30" t="s">
        <v>31</v>
      </c>
      <c r="F15402" s="30" t="s">
        <v>32</v>
      </c>
      <c r="G15402" s="30" t="s">
        <v>158</v>
      </c>
      <c r="H15402" s="32">
        <v>51</v>
      </c>
      <c r="I15402" s="30" t="s">
        <v>21</v>
      </c>
      <c r="J15402" s="41">
        <v>44966</v>
      </c>
      <c r="K15402" s="30" t="s">
        <v>22</v>
      </c>
    </row>
    <row r="15403" spans="1:11">
      <c r="A15403" s="33" t="s">
        <v>34646</v>
      </c>
      <c r="B15403" s="33" t="s">
        <v>34647</v>
      </c>
      <c r="C15403" s="33" t="s">
        <v>1112</v>
      </c>
      <c r="D15403" s="33" t="s">
        <v>17</v>
      </c>
      <c r="E15403" s="33" t="s">
        <v>26</v>
      </c>
      <c r="F15403" s="33" t="s">
        <v>27</v>
      </c>
      <c r="G15403" s="33" t="s">
        <v>140</v>
      </c>
      <c r="H15403" s="35">
        <v>170</v>
      </c>
      <c r="I15403" s="33" t="s">
        <v>51</v>
      </c>
      <c r="J15403" s="42">
        <v>44937</v>
      </c>
      <c r="K15403" s="33" t="s">
        <v>22</v>
      </c>
    </row>
    <row r="15404" spans="1:11">
      <c r="A15404" s="30" t="s">
        <v>34648</v>
      </c>
      <c r="B15404" s="30" t="s">
        <v>34649</v>
      </c>
      <c r="C15404" s="30" t="s">
        <v>6607</v>
      </c>
      <c r="D15404" s="30" t="s">
        <v>17</v>
      </c>
      <c r="E15404" s="30" t="s">
        <v>31</v>
      </c>
      <c r="F15404" s="30" t="s">
        <v>32</v>
      </c>
      <c r="G15404" s="30" t="s">
        <v>112</v>
      </c>
      <c r="H15404" s="32">
        <v>0</v>
      </c>
      <c r="I15404" s="30" t="s">
        <v>21</v>
      </c>
      <c r="J15404" s="41">
        <v>45078</v>
      </c>
      <c r="K15404" s="30" t="s">
        <v>22</v>
      </c>
    </row>
    <row r="15405" spans="1:11">
      <c r="A15405" s="33" t="s">
        <v>34650</v>
      </c>
      <c r="B15405" s="33" t="s">
        <v>34651</v>
      </c>
      <c r="C15405" s="33" t="s">
        <v>16459</v>
      </c>
      <c r="D15405" s="33" t="s">
        <v>17</v>
      </c>
      <c r="E15405" s="33" t="s">
        <v>31</v>
      </c>
      <c r="F15405" s="33" t="s">
        <v>32</v>
      </c>
      <c r="G15405" s="33" t="s">
        <v>20</v>
      </c>
      <c r="H15405" s="35">
        <v>27</v>
      </c>
      <c r="I15405" s="33" t="s">
        <v>21</v>
      </c>
      <c r="J15405" s="42">
        <v>44935</v>
      </c>
      <c r="K15405" s="33" t="s">
        <v>22</v>
      </c>
    </row>
    <row r="15406" spans="1:11">
      <c r="A15406" s="30" t="s">
        <v>34652</v>
      </c>
      <c r="B15406" s="30" t="s">
        <v>34653</v>
      </c>
      <c r="C15406" s="30" t="s">
        <v>18998</v>
      </c>
      <c r="D15406" s="30" t="s">
        <v>17</v>
      </c>
      <c r="E15406" s="30" t="s">
        <v>18</v>
      </c>
      <c r="F15406" s="30" t="s">
        <v>19</v>
      </c>
      <c r="G15406" s="30" t="s">
        <v>112</v>
      </c>
      <c r="H15406" s="32">
        <v>0</v>
      </c>
      <c r="I15406" s="30" t="s">
        <v>21</v>
      </c>
      <c r="J15406" s="41">
        <v>45261</v>
      </c>
      <c r="K15406" s="30" t="s">
        <v>22</v>
      </c>
    </row>
    <row r="15407" spans="1:11">
      <c r="A15407" s="33" t="s">
        <v>34654</v>
      </c>
      <c r="B15407" s="33" t="s">
        <v>34655</v>
      </c>
      <c r="C15407" s="33" t="s">
        <v>34656</v>
      </c>
      <c r="D15407" s="33" t="s">
        <v>17</v>
      </c>
      <c r="E15407" s="33" t="s">
        <v>31</v>
      </c>
      <c r="F15407" s="33" t="s">
        <v>32</v>
      </c>
      <c r="G15407" s="33" t="s">
        <v>20</v>
      </c>
      <c r="H15407" s="35">
        <v>118</v>
      </c>
      <c r="I15407" s="33" t="s">
        <v>21</v>
      </c>
      <c r="J15407" s="42">
        <v>45092</v>
      </c>
      <c r="K15407" s="33" t="s">
        <v>22</v>
      </c>
    </row>
    <row r="15408" spans="1:11">
      <c r="A15408" s="30" t="s">
        <v>34657</v>
      </c>
      <c r="B15408" s="30" t="s">
        <v>34658</v>
      </c>
      <c r="C15408" s="30" t="s">
        <v>149</v>
      </c>
      <c r="D15408" s="30" t="s">
        <v>17</v>
      </c>
      <c r="E15408" s="30" t="s">
        <v>18</v>
      </c>
      <c r="F15408" s="30" t="s">
        <v>19</v>
      </c>
      <c r="G15408" s="30" t="s">
        <v>50</v>
      </c>
      <c r="H15408" s="32">
        <v>530</v>
      </c>
      <c r="I15408" s="30" t="s">
        <v>51</v>
      </c>
      <c r="J15408" s="41">
        <v>45107</v>
      </c>
      <c r="K15408" s="30" t="s">
        <v>22</v>
      </c>
    </row>
    <row r="15409" spans="1:11">
      <c r="A15409" s="33" t="s">
        <v>34659</v>
      </c>
      <c r="B15409" s="33" t="s">
        <v>34660</v>
      </c>
      <c r="C15409" s="33" t="s">
        <v>5251</v>
      </c>
      <c r="D15409" s="33" t="s">
        <v>17</v>
      </c>
      <c r="E15409" s="33" t="s">
        <v>26</v>
      </c>
      <c r="F15409" s="33" t="s">
        <v>27</v>
      </c>
      <c r="G15409" s="33" t="s">
        <v>50</v>
      </c>
      <c r="H15409" s="35">
        <v>36</v>
      </c>
      <c r="I15409" s="33" t="s">
        <v>51</v>
      </c>
      <c r="J15409" s="42">
        <v>45148</v>
      </c>
      <c r="K15409" s="33" t="s">
        <v>22</v>
      </c>
    </row>
    <row r="15410" spans="1:11">
      <c r="A15410" s="30" t="s">
        <v>34661</v>
      </c>
      <c r="B15410" s="30" t="s">
        <v>34662</v>
      </c>
      <c r="C15410" s="30" t="s">
        <v>24577</v>
      </c>
      <c r="D15410" s="30" t="s">
        <v>17</v>
      </c>
      <c r="E15410" s="30" t="s">
        <v>26</v>
      </c>
      <c r="F15410" s="30" t="s">
        <v>27</v>
      </c>
      <c r="G15410" s="30" t="s">
        <v>20</v>
      </c>
      <c r="H15410" s="32">
        <v>64</v>
      </c>
      <c r="I15410" s="30" t="s">
        <v>21</v>
      </c>
      <c r="J15410" s="41">
        <v>45251</v>
      </c>
      <c r="K15410" s="30" t="s">
        <v>22</v>
      </c>
    </row>
    <row r="15411" spans="1:11">
      <c r="A15411" s="33" t="s">
        <v>34663</v>
      </c>
      <c r="B15411" s="33" t="s">
        <v>34664</v>
      </c>
      <c r="C15411" s="33" t="s">
        <v>450</v>
      </c>
      <c r="D15411" s="33" t="s">
        <v>17</v>
      </c>
      <c r="E15411" s="33" t="s">
        <v>26</v>
      </c>
      <c r="F15411" s="33" t="s">
        <v>27</v>
      </c>
      <c r="G15411" s="33" t="s">
        <v>20</v>
      </c>
      <c r="H15411" s="35">
        <v>48</v>
      </c>
      <c r="I15411" s="33" t="s">
        <v>21</v>
      </c>
      <c r="J15411" s="42">
        <v>45035</v>
      </c>
      <c r="K15411" s="33" t="s">
        <v>22</v>
      </c>
    </row>
    <row r="15412" spans="1:11">
      <c r="A15412" s="30" t="s">
        <v>34665</v>
      </c>
      <c r="B15412" s="30" t="s">
        <v>34666</v>
      </c>
      <c r="C15412" s="30" t="s">
        <v>34667</v>
      </c>
      <c r="D15412" s="30" t="s">
        <v>17</v>
      </c>
      <c r="E15412" s="30" t="s">
        <v>67</v>
      </c>
      <c r="F15412" s="30" t="s">
        <v>68</v>
      </c>
      <c r="G15412" s="30" t="s">
        <v>140</v>
      </c>
      <c r="H15412" s="32">
        <v>265</v>
      </c>
      <c r="I15412" s="30" t="s">
        <v>51</v>
      </c>
      <c r="J15412" s="41">
        <v>45288</v>
      </c>
      <c r="K15412" s="30" t="s">
        <v>22</v>
      </c>
    </row>
    <row r="15413" spans="1:11">
      <c r="A15413" s="33" t="s">
        <v>34668</v>
      </c>
      <c r="B15413" s="33" t="s">
        <v>34669</v>
      </c>
      <c r="C15413" s="33" t="s">
        <v>13124</v>
      </c>
      <c r="D15413" s="33" t="s">
        <v>17</v>
      </c>
      <c r="E15413" s="33" t="s">
        <v>212</v>
      </c>
      <c r="F15413" s="33" t="s">
        <v>213</v>
      </c>
      <c r="G15413" s="33" t="s">
        <v>50</v>
      </c>
      <c r="H15413" s="35">
        <v>228</v>
      </c>
      <c r="I15413" s="33" t="s">
        <v>51</v>
      </c>
      <c r="J15413" s="42">
        <v>45127</v>
      </c>
      <c r="K15413" s="33" t="s">
        <v>22</v>
      </c>
    </row>
    <row r="15414" spans="1:11">
      <c r="A15414" s="30" t="s">
        <v>34670</v>
      </c>
      <c r="B15414" s="30" t="s">
        <v>34671</v>
      </c>
      <c r="C15414" s="30" t="s">
        <v>34672</v>
      </c>
      <c r="D15414" s="30" t="s">
        <v>17</v>
      </c>
      <c r="E15414" s="30" t="s">
        <v>26</v>
      </c>
      <c r="F15414" s="30" t="s">
        <v>27</v>
      </c>
      <c r="G15414" s="30" t="s">
        <v>140</v>
      </c>
      <c r="H15414" s="32">
        <v>54</v>
      </c>
      <c r="I15414" s="30" t="s">
        <v>51</v>
      </c>
      <c r="J15414" s="41">
        <v>45231</v>
      </c>
      <c r="K15414" s="30" t="s">
        <v>22</v>
      </c>
    </row>
    <row r="15415" spans="1:11">
      <c r="A15415" s="33" t="s">
        <v>34673</v>
      </c>
      <c r="B15415" s="33" t="s">
        <v>34674</v>
      </c>
      <c r="C15415" s="33" t="s">
        <v>3451</v>
      </c>
      <c r="D15415" s="33" t="s">
        <v>17</v>
      </c>
      <c r="E15415" s="33" t="s">
        <v>31</v>
      </c>
      <c r="F15415" s="33" t="s">
        <v>32</v>
      </c>
      <c r="G15415" s="33" t="s">
        <v>20</v>
      </c>
      <c r="H15415" s="35">
        <v>153</v>
      </c>
      <c r="I15415" s="33" t="s">
        <v>21</v>
      </c>
      <c r="J15415" s="42">
        <v>45251</v>
      </c>
      <c r="K15415" s="33" t="s">
        <v>22</v>
      </c>
    </row>
    <row r="15416" spans="1:11">
      <c r="A15416" s="30" t="s">
        <v>34675</v>
      </c>
      <c r="B15416" s="30" t="s">
        <v>34676</v>
      </c>
      <c r="C15416" s="30" t="s">
        <v>368</v>
      </c>
      <c r="D15416" s="30" t="s">
        <v>17</v>
      </c>
      <c r="E15416" s="30" t="s">
        <v>18</v>
      </c>
      <c r="F15416" s="30" t="s">
        <v>19</v>
      </c>
      <c r="G15416" s="30" t="s">
        <v>50</v>
      </c>
      <c r="H15416" s="32">
        <v>396</v>
      </c>
      <c r="I15416" s="30" t="s">
        <v>51</v>
      </c>
      <c r="J15416" s="41">
        <v>45240</v>
      </c>
      <c r="K15416" s="30" t="s">
        <v>22</v>
      </c>
    </row>
    <row r="15417" spans="1:11">
      <c r="A15417" s="33" t="s">
        <v>34677</v>
      </c>
      <c r="B15417" s="33" t="s">
        <v>34678</v>
      </c>
      <c r="C15417" s="33" t="s">
        <v>109</v>
      </c>
      <c r="D15417" s="33" t="s">
        <v>17</v>
      </c>
      <c r="E15417" s="33" t="s">
        <v>18</v>
      </c>
      <c r="F15417" s="33" t="s">
        <v>19</v>
      </c>
      <c r="G15417" s="33" t="s">
        <v>20</v>
      </c>
      <c r="H15417" s="35">
        <v>350</v>
      </c>
      <c r="I15417" s="33" t="s">
        <v>21</v>
      </c>
      <c r="J15417" s="42">
        <v>45000</v>
      </c>
      <c r="K15417" s="33" t="s">
        <v>22</v>
      </c>
    </row>
    <row r="15418" spans="1:11">
      <c r="A15418" s="30" t="s">
        <v>34679</v>
      </c>
      <c r="B15418" s="30" t="s">
        <v>34680</v>
      </c>
      <c r="C15418" s="30" t="s">
        <v>1136</v>
      </c>
      <c r="D15418" s="30" t="s">
        <v>17</v>
      </c>
      <c r="E15418" s="30" t="s">
        <v>212</v>
      </c>
      <c r="F15418" s="30" t="s">
        <v>213</v>
      </c>
      <c r="G15418" s="30" t="s">
        <v>20</v>
      </c>
      <c r="H15418" s="32">
        <v>71</v>
      </c>
      <c r="I15418" s="30" t="s">
        <v>21</v>
      </c>
      <c r="J15418" s="41">
        <v>45176</v>
      </c>
      <c r="K15418" s="30" t="s">
        <v>22</v>
      </c>
    </row>
    <row r="15419" spans="1:11">
      <c r="A15419" s="33" t="s">
        <v>34681</v>
      </c>
      <c r="B15419" s="33" t="s">
        <v>34682</v>
      </c>
      <c r="C15419" s="33" t="s">
        <v>8775</v>
      </c>
      <c r="D15419" s="33" t="s">
        <v>17</v>
      </c>
      <c r="E15419" s="33" t="s">
        <v>26</v>
      </c>
      <c r="F15419" s="33" t="s">
        <v>27</v>
      </c>
      <c r="G15419" s="33" t="s">
        <v>50</v>
      </c>
      <c r="H15419" s="35">
        <v>20</v>
      </c>
      <c r="I15419" s="33" t="s">
        <v>51</v>
      </c>
      <c r="J15419" s="42">
        <v>45280</v>
      </c>
      <c r="K15419" s="33" t="s">
        <v>22</v>
      </c>
    </row>
    <row r="15420" spans="1:11">
      <c r="A15420" s="30" t="s">
        <v>34683</v>
      </c>
      <c r="B15420" s="30" t="s">
        <v>34684</v>
      </c>
      <c r="C15420" s="30" t="s">
        <v>5600</v>
      </c>
      <c r="D15420" s="30" t="s">
        <v>17</v>
      </c>
      <c r="E15420" s="30" t="s">
        <v>18</v>
      </c>
      <c r="F15420" s="30" t="s">
        <v>19</v>
      </c>
      <c r="G15420" s="30" t="s">
        <v>106</v>
      </c>
      <c r="H15420" s="32">
        <v>35</v>
      </c>
      <c r="I15420" s="30" t="s">
        <v>21</v>
      </c>
      <c r="J15420" s="41">
        <v>45112</v>
      </c>
      <c r="K15420" s="30" t="s">
        <v>22</v>
      </c>
    </row>
    <row r="15421" spans="1:11">
      <c r="A15421" s="33" t="s">
        <v>34685</v>
      </c>
      <c r="B15421" s="33" t="s">
        <v>34686</v>
      </c>
      <c r="C15421" s="33" t="s">
        <v>12203</v>
      </c>
      <c r="D15421" s="33" t="s">
        <v>17</v>
      </c>
      <c r="E15421" s="33" t="s">
        <v>26</v>
      </c>
      <c r="F15421" s="33" t="s">
        <v>27</v>
      </c>
      <c r="G15421" s="33" t="s">
        <v>20</v>
      </c>
      <c r="H15421" s="35">
        <v>80</v>
      </c>
      <c r="I15421" s="33" t="s">
        <v>21</v>
      </c>
      <c r="J15421" s="42">
        <v>45183</v>
      </c>
      <c r="K15421" s="33" t="s">
        <v>22</v>
      </c>
    </row>
    <row r="15422" spans="1:11">
      <c r="A15422" s="30" t="s">
        <v>34687</v>
      </c>
      <c r="B15422" s="30" t="s">
        <v>34688</v>
      </c>
      <c r="C15422" s="30" t="s">
        <v>34689</v>
      </c>
      <c r="D15422" s="30" t="s">
        <v>17</v>
      </c>
      <c r="E15422" s="30" t="s">
        <v>18</v>
      </c>
      <c r="F15422" s="30" t="s">
        <v>19</v>
      </c>
      <c r="G15422" s="30" t="s">
        <v>158</v>
      </c>
      <c r="H15422" s="32">
        <v>165</v>
      </c>
      <c r="I15422" s="30" t="s">
        <v>51</v>
      </c>
      <c r="J15422" s="41">
        <v>45110</v>
      </c>
      <c r="K15422" s="30" t="s">
        <v>22</v>
      </c>
    </row>
    <row r="15423" spans="1:11">
      <c r="A15423" s="33" t="s">
        <v>34690</v>
      </c>
      <c r="B15423" s="33" t="s">
        <v>34691</v>
      </c>
      <c r="C15423" s="33" t="s">
        <v>34692</v>
      </c>
      <c r="D15423" s="33" t="s">
        <v>17</v>
      </c>
      <c r="E15423" s="33" t="s">
        <v>26</v>
      </c>
      <c r="F15423" s="33" t="s">
        <v>27</v>
      </c>
      <c r="G15423" s="33" t="s">
        <v>20</v>
      </c>
      <c r="H15423" s="35">
        <v>10</v>
      </c>
      <c r="I15423" s="33" t="s">
        <v>21</v>
      </c>
      <c r="J15423" s="42">
        <v>45098</v>
      </c>
      <c r="K15423" s="33" t="s">
        <v>22</v>
      </c>
    </row>
    <row r="15424" spans="1:11">
      <c r="A15424" s="30" t="s">
        <v>34693</v>
      </c>
      <c r="B15424" s="30" t="s">
        <v>34694</v>
      </c>
      <c r="C15424" s="30" t="s">
        <v>157</v>
      </c>
      <c r="D15424" s="30" t="s">
        <v>17</v>
      </c>
      <c r="E15424" s="30" t="s">
        <v>18</v>
      </c>
      <c r="F15424" s="30" t="s">
        <v>19</v>
      </c>
      <c r="G15424" s="30" t="s">
        <v>140</v>
      </c>
      <c r="H15424" s="32">
        <v>80</v>
      </c>
      <c r="I15424" s="30" t="s">
        <v>51</v>
      </c>
      <c r="J15424" s="41">
        <v>45243</v>
      </c>
      <c r="K15424" s="30" t="s">
        <v>22</v>
      </c>
    </row>
    <row r="15425" spans="1:11">
      <c r="A15425" s="33" t="s">
        <v>34695</v>
      </c>
      <c r="B15425" s="33" t="s">
        <v>34696</v>
      </c>
      <c r="C15425" s="33" t="s">
        <v>34697</v>
      </c>
      <c r="D15425" s="33" t="s">
        <v>17</v>
      </c>
      <c r="E15425" s="33" t="s">
        <v>18</v>
      </c>
      <c r="F15425" s="33" t="s">
        <v>19</v>
      </c>
      <c r="G15425" s="33" t="s">
        <v>20</v>
      </c>
      <c r="H15425" s="35">
        <v>95</v>
      </c>
      <c r="I15425" s="33" t="s">
        <v>21</v>
      </c>
      <c r="J15425" s="42">
        <v>44949</v>
      </c>
      <c r="K15425" s="33" t="s">
        <v>22</v>
      </c>
    </row>
    <row r="15426" spans="1:11">
      <c r="A15426" s="30" t="s">
        <v>34698</v>
      </c>
      <c r="B15426" s="30" t="s">
        <v>34699</v>
      </c>
      <c r="C15426" s="30" t="s">
        <v>4348</v>
      </c>
      <c r="D15426" s="30" t="s">
        <v>17</v>
      </c>
      <c r="E15426" s="30" t="s">
        <v>31</v>
      </c>
      <c r="F15426" s="30" t="s">
        <v>32</v>
      </c>
      <c r="G15426" s="30" t="s">
        <v>140</v>
      </c>
      <c r="H15426" s="32">
        <v>52</v>
      </c>
      <c r="I15426" s="30" t="s">
        <v>51</v>
      </c>
      <c r="J15426" s="41">
        <v>45271</v>
      </c>
      <c r="K15426" s="30" t="s">
        <v>22</v>
      </c>
    </row>
    <row r="15427" spans="1:11">
      <c r="A15427" s="33" t="s">
        <v>34700</v>
      </c>
      <c r="B15427" s="33" t="s">
        <v>34701</v>
      </c>
      <c r="C15427" s="33" t="s">
        <v>2562</v>
      </c>
      <c r="D15427" s="33" t="s">
        <v>17</v>
      </c>
      <c r="E15427" s="33" t="s">
        <v>31</v>
      </c>
      <c r="F15427" s="33" t="s">
        <v>32</v>
      </c>
      <c r="G15427" s="33" t="s">
        <v>50</v>
      </c>
      <c r="H15427" s="35">
        <v>100</v>
      </c>
      <c r="I15427" s="33" t="s">
        <v>51</v>
      </c>
      <c r="J15427" s="42">
        <v>44966</v>
      </c>
      <c r="K15427" s="33" t="s">
        <v>22</v>
      </c>
    </row>
    <row r="15428" spans="1:11">
      <c r="A15428" s="30" t="s">
        <v>34702</v>
      </c>
      <c r="B15428" s="30" t="s">
        <v>34703</v>
      </c>
      <c r="C15428" s="30" t="s">
        <v>34704</v>
      </c>
      <c r="D15428" s="30" t="s">
        <v>17</v>
      </c>
      <c r="E15428" s="30" t="s">
        <v>330</v>
      </c>
      <c r="F15428" s="30" t="s">
        <v>331</v>
      </c>
      <c r="G15428" s="30" t="s">
        <v>20</v>
      </c>
      <c r="H15428" s="32">
        <v>43</v>
      </c>
      <c r="I15428" s="30" t="s">
        <v>21</v>
      </c>
      <c r="J15428" s="41">
        <v>45203</v>
      </c>
      <c r="K15428" s="30" t="s">
        <v>22</v>
      </c>
    </row>
    <row r="15429" spans="1:11">
      <c r="A15429" s="33" t="s">
        <v>34705</v>
      </c>
      <c r="B15429" s="33" t="s">
        <v>34706</v>
      </c>
      <c r="C15429" s="33" t="s">
        <v>787</v>
      </c>
      <c r="D15429" s="33" t="s">
        <v>17</v>
      </c>
      <c r="E15429" s="33" t="s">
        <v>67</v>
      </c>
      <c r="F15429" s="33" t="s">
        <v>68</v>
      </c>
      <c r="G15429" s="33" t="s">
        <v>50</v>
      </c>
      <c r="H15429" s="35">
        <v>80</v>
      </c>
      <c r="I15429" s="33" t="s">
        <v>51</v>
      </c>
      <c r="J15429" s="42">
        <v>45014</v>
      </c>
      <c r="K15429" s="33" t="s">
        <v>22</v>
      </c>
    </row>
    <row r="15430" spans="1:11">
      <c r="A15430" s="30" t="s">
        <v>34707</v>
      </c>
      <c r="B15430" s="30" t="s">
        <v>34708</v>
      </c>
      <c r="C15430" s="30" t="s">
        <v>647</v>
      </c>
      <c r="D15430" s="30" t="s">
        <v>17</v>
      </c>
      <c r="E15430" s="30" t="s">
        <v>26</v>
      </c>
      <c r="F15430" s="30" t="s">
        <v>27</v>
      </c>
      <c r="G15430" s="30" t="s">
        <v>20</v>
      </c>
      <c r="H15430" s="32">
        <v>16</v>
      </c>
      <c r="I15430" s="30" t="s">
        <v>21</v>
      </c>
      <c r="J15430" s="41">
        <v>45105</v>
      </c>
      <c r="K15430" s="30" t="s">
        <v>22</v>
      </c>
    </row>
    <row r="15431" spans="1:11">
      <c r="A15431" s="33" t="s">
        <v>34709</v>
      </c>
      <c r="B15431" s="33" t="s">
        <v>34710</v>
      </c>
      <c r="C15431" s="33" t="s">
        <v>807</v>
      </c>
      <c r="D15431" s="33" t="s">
        <v>17</v>
      </c>
      <c r="E15431" s="33" t="s">
        <v>26</v>
      </c>
      <c r="F15431" s="33" t="s">
        <v>27</v>
      </c>
      <c r="G15431" s="33" t="s">
        <v>158</v>
      </c>
      <c r="H15431" s="35">
        <v>19</v>
      </c>
      <c r="I15431" s="33" t="s">
        <v>21</v>
      </c>
      <c r="J15431" s="42">
        <v>44987</v>
      </c>
      <c r="K15431" s="33" t="s">
        <v>22</v>
      </c>
    </row>
    <row r="15432" spans="1:11">
      <c r="A15432" s="30" t="s">
        <v>34711</v>
      </c>
      <c r="B15432" s="30" t="s">
        <v>34712</v>
      </c>
      <c r="C15432" s="30" t="s">
        <v>1583</v>
      </c>
      <c r="D15432" s="30" t="s">
        <v>17</v>
      </c>
      <c r="E15432" s="30" t="s">
        <v>18</v>
      </c>
      <c r="F15432" s="30" t="s">
        <v>19</v>
      </c>
      <c r="G15432" s="30" t="s">
        <v>158</v>
      </c>
      <c r="H15432" s="32">
        <v>412</v>
      </c>
      <c r="I15432" s="30" t="s">
        <v>21</v>
      </c>
      <c r="J15432" s="41">
        <v>45191</v>
      </c>
      <c r="K15432" s="30" t="s">
        <v>22</v>
      </c>
    </row>
    <row r="15433" spans="1:11">
      <c r="A15433" s="33" t="s">
        <v>34713</v>
      </c>
      <c r="B15433" s="33" t="s">
        <v>34714</v>
      </c>
      <c r="C15433" s="33" t="s">
        <v>14483</v>
      </c>
      <c r="D15433" s="33" t="s">
        <v>17</v>
      </c>
      <c r="E15433" s="33" t="s">
        <v>31</v>
      </c>
      <c r="F15433" s="33" t="s">
        <v>32</v>
      </c>
      <c r="G15433" s="33" t="s">
        <v>20</v>
      </c>
      <c r="H15433" s="35">
        <v>165</v>
      </c>
      <c r="I15433" s="33" t="s">
        <v>21</v>
      </c>
      <c r="J15433" s="42">
        <v>45127</v>
      </c>
      <c r="K15433" s="33" t="s">
        <v>22</v>
      </c>
    </row>
    <row r="15434" spans="1:11">
      <c r="A15434" s="30" t="s">
        <v>34715</v>
      </c>
      <c r="B15434" s="30" t="s">
        <v>34716</v>
      </c>
      <c r="C15434" s="30" t="s">
        <v>653</v>
      </c>
      <c r="D15434" s="30" t="s">
        <v>17</v>
      </c>
      <c r="E15434" s="30" t="s">
        <v>18</v>
      </c>
      <c r="F15434" s="30" t="s">
        <v>19</v>
      </c>
      <c r="G15434" s="30" t="s">
        <v>20</v>
      </c>
      <c r="H15434" s="32">
        <v>660</v>
      </c>
      <c r="I15434" s="30" t="s">
        <v>21</v>
      </c>
      <c r="J15434" s="41">
        <v>45166</v>
      </c>
      <c r="K15434" s="30" t="s">
        <v>22</v>
      </c>
    </row>
    <row r="15435" spans="1:11">
      <c r="A15435" s="33" t="s">
        <v>34717</v>
      </c>
      <c r="B15435" s="33" t="s">
        <v>34718</v>
      </c>
      <c r="C15435" s="33" t="s">
        <v>102</v>
      </c>
      <c r="D15435" s="33" t="s">
        <v>17</v>
      </c>
      <c r="E15435" s="33" t="s">
        <v>31</v>
      </c>
      <c r="F15435" s="33" t="s">
        <v>32</v>
      </c>
      <c r="G15435" s="33" t="s">
        <v>20</v>
      </c>
      <c r="H15435" s="35">
        <v>252</v>
      </c>
      <c r="I15435" s="33" t="s">
        <v>21</v>
      </c>
      <c r="J15435" s="42">
        <v>45208</v>
      </c>
      <c r="K15435" s="33" t="s">
        <v>22</v>
      </c>
    </row>
    <row r="15436" spans="1:11">
      <c r="A15436" s="30" t="s">
        <v>34719</v>
      </c>
      <c r="B15436" s="30" t="s">
        <v>34720</v>
      </c>
      <c r="C15436" s="30" t="s">
        <v>379</v>
      </c>
      <c r="D15436" s="30" t="s">
        <v>17</v>
      </c>
      <c r="E15436" s="30" t="s">
        <v>26</v>
      </c>
      <c r="F15436" s="30" t="s">
        <v>27</v>
      </c>
      <c r="G15436" s="30" t="s">
        <v>50</v>
      </c>
      <c r="H15436" s="32">
        <v>24</v>
      </c>
      <c r="I15436" s="30" t="s">
        <v>51</v>
      </c>
      <c r="J15436" s="41">
        <v>45015</v>
      </c>
      <c r="K15436" s="30" t="s">
        <v>22</v>
      </c>
    </row>
    <row r="15437" spans="1:11">
      <c r="A15437" s="33" t="s">
        <v>34721</v>
      </c>
      <c r="B15437" s="33" t="s">
        <v>34722</v>
      </c>
      <c r="C15437" s="33" t="s">
        <v>34723</v>
      </c>
      <c r="D15437" s="33" t="s">
        <v>17</v>
      </c>
      <c r="E15437" s="33" t="s">
        <v>26</v>
      </c>
      <c r="F15437" s="33" t="s">
        <v>27</v>
      </c>
      <c r="G15437" s="33" t="s">
        <v>20</v>
      </c>
      <c r="H15437" s="35">
        <v>46</v>
      </c>
      <c r="I15437" s="33" t="s">
        <v>21</v>
      </c>
      <c r="J15437" s="42">
        <v>45275</v>
      </c>
      <c r="K15437" s="33" t="s">
        <v>22</v>
      </c>
    </row>
    <row r="15438" spans="1:11">
      <c r="A15438" s="30" t="s">
        <v>34724</v>
      </c>
      <c r="B15438" s="30" t="s">
        <v>34725</v>
      </c>
      <c r="C15438" s="30" t="s">
        <v>20825</v>
      </c>
      <c r="D15438" s="30" t="s">
        <v>17</v>
      </c>
      <c r="E15438" s="30" t="s">
        <v>67</v>
      </c>
      <c r="F15438" s="30" t="s">
        <v>68</v>
      </c>
      <c r="G15438" s="30" t="s">
        <v>140</v>
      </c>
      <c r="H15438" s="32">
        <v>80</v>
      </c>
      <c r="I15438" s="30" t="s">
        <v>51</v>
      </c>
      <c r="J15438" s="41">
        <v>45082</v>
      </c>
      <c r="K15438" s="30" t="s">
        <v>22</v>
      </c>
    </row>
    <row r="15439" spans="1:11">
      <c r="A15439" s="33" t="s">
        <v>34726</v>
      </c>
      <c r="B15439" s="33" t="s">
        <v>34727</v>
      </c>
      <c r="C15439" s="33" t="s">
        <v>13300</v>
      </c>
      <c r="D15439" s="33" t="s">
        <v>17</v>
      </c>
      <c r="E15439" s="33" t="s">
        <v>18</v>
      </c>
      <c r="F15439" s="33" t="s">
        <v>19</v>
      </c>
      <c r="G15439" s="33" t="s">
        <v>50</v>
      </c>
      <c r="H15439" s="35">
        <v>4500</v>
      </c>
      <c r="I15439" s="33" t="s">
        <v>21</v>
      </c>
      <c r="J15439" s="42">
        <v>45191</v>
      </c>
      <c r="K15439" s="33" t="s">
        <v>22</v>
      </c>
    </row>
    <row r="15440" spans="1:11">
      <c r="A15440" s="30" t="s">
        <v>34728</v>
      </c>
      <c r="B15440" s="30" t="s">
        <v>34729</v>
      </c>
      <c r="C15440" s="30" t="s">
        <v>34730</v>
      </c>
      <c r="D15440" s="30" t="s">
        <v>17</v>
      </c>
      <c r="E15440" s="30" t="s">
        <v>212</v>
      </c>
      <c r="F15440" s="30" t="s">
        <v>213</v>
      </c>
      <c r="G15440" s="30" t="s">
        <v>106</v>
      </c>
      <c r="H15440" s="32">
        <v>33</v>
      </c>
      <c r="I15440" s="30" t="s">
        <v>21</v>
      </c>
      <c r="J15440" s="41">
        <v>44963</v>
      </c>
      <c r="K15440" s="30" t="s">
        <v>22</v>
      </c>
    </row>
    <row r="15441" spans="1:11">
      <c r="A15441" s="33" t="s">
        <v>34731</v>
      </c>
      <c r="B15441" s="33" t="s">
        <v>34732</v>
      </c>
      <c r="C15441" s="33" t="s">
        <v>34733</v>
      </c>
      <c r="D15441" s="33" t="s">
        <v>17</v>
      </c>
      <c r="E15441" s="33" t="s">
        <v>26</v>
      </c>
      <c r="F15441" s="33" t="s">
        <v>27</v>
      </c>
      <c r="G15441" s="33" t="s">
        <v>106</v>
      </c>
      <c r="H15441" s="35">
        <v>85</v>
      </c>
      <c r="I15441" s="33" t="s">
        <v>21</v>
      </c>
      <c r="J15441" s="42">
        <v>45009</v>
      </c>
      <c r="K15441" s="33" t="s">
        <v>22</v>
      </c>
    </row>
    <row r="15442" spans="1:11">
      <c r="A15442" s="30" t="s">
        <v>34734</v>
      </c>
      <c r="B15442" s="30" t="s">
        <v>34735</v>
      </c>
      <c r="C15442" s="30" t="s">
        <v>4453</v>
      </c>
      <c r="D15442" s="30" t="s">
        <v>17</v>
      </c>
      <c r="E15442" s="30" t="s">
        <v>31</v>
      </c>
      <c r="F15442" s="30" t="s">
        <v>32</v>
      </c>
      <c r="G15442" s="30" t="s">
        <v>50</v>
      </c>
      <c r="H15442" s="32">
        <v>360</v>
      </c>
      <c r="I15442" s="30" t="s">
        <v>21</v>
      </c>
      <c r="J15442" s="41">
        <v>45122</v>
      </c>
      <c r="K15442" s="30" t="s">
        <v>22</v>
      </c>
    </row>
    <row r="15443" spans="1:11">
      <c r="A15443" s="33" t="s">
        <v>34736</v>
      </c>
      <c r="B15443" s="33" t="s">
        <v>34737</v>
      </c>
      <c r="C15443" s="33" t="s">
        <v>925</v>
      </c>
      <c r="D15443" s="33" t="s">
        <v>17</v>
      </c>
      <c r="E15443" s="33" t="s">
        <v>26</v>
      </c>
      <c r="F15443" s="33" t="s">
        <v>27</v>
      </c>
      <c r="G15443" s="33" t="s">
        <v>106</v>
      </c>
      <c r="H15443" s="35">
        <v>55</v>
      </c>
      <c r="I15443" s="33" t="s">
        <v>21</v>
      </c>
      <c r="J15443" s="42">
        <v>45197</v>
      </c>
      <c r="K15443" s="33" t="s">
        <v>22</v>
      </c>
    </row>
    <row r="15444" spans="1:11">
      <c r="A15444" s="30" t="s">
        <v>34738</v>
      </c>
      <c r="B15444" s="30" t="s">
        <v>34739</v>
      </c>
      <c r="C15444" s="30" t="s">
        <v>252</v>
      </c>
      <c r="D15444" s="30" t="s">
        <v>17</v>
      </c>
      <c r="E15444" s="30" t="s">
        <v>18</v>
      </c>
      <c r="F15444" s="30" t="s">
        <v>19</v>
      </c>
      <c r="G15444" s="30" t="s">
        <v>20</v>
      </c>
      <c r="H15444" s="32">
        <v>351</v>
      </c>
      <c r="I15444" s="30" t="s">
        <v>21</v>
      </c>
      <c r="J15444" s="41">
        <v>45016</v>
      </c>
      <c r="K15444" s="30" t="s">
        <v>22</v>
      </c>
    </row>
    <row r="15445" spans="1:11">
      <c r="A15445" s="33" t="s">
        <v>34740</v>
      </c>
      <c r="B15445" s="33" t="s">
        <v>34741</v>
      </c>
      <c r="C15445" s="33" t="s">
        <v>16443</v>
      </c>
      <c r="D15445" s="33" t="s">
        <v>17</v>
      </c>
      <c r="E15445" s="33" t="s">
        <v>67</v>
      </c>
      <c r="F15445" s="33" t="s">
        <v>68</v>
      </c>
      <c r="G15445" s="33" t="s">
        <v>158</v>
      </c>
      <c r="H15445" s="35">
        <v>36</v>
      </c>
      <c r="I15445" s="33" t="s">
        <v>51</v>
      </c>
      <c r="J15445" s="42">
        <v>45174</v>
      </c>
      <c r="K15445" s="33" t="s">
        <v>22</v>
      </c>
    </row>
    <row r="15446" spans="1:11">
      <c r="A15446" s="30" t="s">
        <v>34742</v>
      </c>
      <c r="B15446" s="30" t="s">
        <v>34743</v>
      </c>
      <c r="C15446" s="30" t="s">
        <v>34744</v>
      </c>
      <c r="D15446" s="30" t="s">
        <v>17</v>
      </c>
      <c r="E15446" s="30" t="s">
        <v>67</v>
      </c>
      <c r="F15446" s="30" t="s">
        <v>68</v>
      </c>
      <c r="G15446" s="30" t="s">
        <v>50</v>
      </c>
      <c r="H15446" s="32">
        <v>60</v>
      </c>
      <c r="I15446" s="30" t="s">
        <v>51</v>
      </c>
      <c r="J15446" s="41">
        <v>44960</v>
      </c>
      <c r="K15446" s="30" t="s">
        <v>22</v>
      </c>
    </row>
    <row r="15447" spans="1:11">
      <c r="A15447" s="33" t="s">
        <v>34745</v>
      </c>
      <c r="B15447" s="33" t="s">
        <v>34746</v>
      </c>
      <c r="C15447" s="33" t="s">
        <v>75</v>
      </c>
      <c r="D15447" s="33" t="s">
        <v>17</v>
      </c>
      <c r="E15447" s="33" t="s">
        <v>26</v>
      </c>
      <c r="F15447" s="33" t="s">
        <v>27</v>
      </c>
      <c r="G15447" s="33" t="s">
        <v>20</v>
      </c>
      <c r="H15447" s="35">
        <v>8</v>
      </c>
      <c r="I15447" s="33" t="s">
        <v>21</v>
      </c>
      <c r="J15447" s="42">
        <v>45230</v>
      </c>
      <c r="K15447" s="33" t="s">
        <v>22</v>
      </c>
    </row>
    <row r="15448" spans="1:11">
      <c r="A15448" s="30" t="s">
        <v>34747</v>
      </c>
      <c r="B15448" s="30" t="s">
        <v>34748</v>
      </c>
      <c r="C15448" s="30" t="s">
        <v>26837</v>
      </c>
      <c r="D15448" s="30" t="s">
        <v>17</v>
      </c>
      <c r="E15448" s="30" t="s">
        <v>330</v>
      </c>
      <c r="F15448" s="30" t="s">
        <v>331</v>
      </c>
      <c r="G15448" s="30" t="s">
        <v>50</v>
      </c>
      <c r="H15448" s="32">
        <v>9</v>
      </c>
      <c r="I15448" s="30" t="s">
        <v>51</v>
      </c>
      <c r="J15448" s="41">
        <v>45231</v>
      </c>
      <c r="K15448" s="30" t="s">
        <v>22</v>
      </c>
    </row>
    <row r="15449" spans="1:11">
      <c r="A15449" s="33" t="s">
        <v>34749</v>
      </c>
      <c r="B15449" s="33" t="s">
        <v>34750</v>
      </c>
      <c r="C15449" s="33" t="s">
        <v>203</v>
      </c>
      <c r="D15449" s="33" t="s">
        <v>17</v>
      </c>
      <c r="E15449" s="33" t="s">
        <v>31</v>
      </c>
      <c r="F15449" s="33" t="s">
        <v>32</v>
      </c>
      <c r="G15449" s="33" t="s">
        <v>158</v>
      </c>
      <c r="H15449" s="35">
        <v>118</v>
      </c>
      <c r="I15449" s="33" t="s">
        <v>21</v>
      </c>
      <c r="J15449" s="42">
        <v>45021</v>
      </c>
      <c r="K15449" s="33" t="s">
        <v>22</v>
      </c>
    </row>
    <row r="15450" spans="1:11">
      <c r="A15450" s="30" t="s">
        <v>34751</v>
      </c>
      <c r="B15450" s="30" t="s">
        <v>34752</v>
      </c>
      <c r="C15450" s="30" t="s">
        <v>318</v>
      </c>
      <c r="D15450" s="30" t="s">
        <v>17</v>
      </c>
      <c r="E15450" s="30" t="s">
        <v>31</v>
      </c>
      <c r="F15450" s="30" t="s">
        <v>32</v>
      </c>
      <c r="G15450" s="30" t="s">
        <v>20</v>
      </c>
      <c r="H15450" s="32">
        <v>12</v>
      </c>
      <c r="I15450" s="30" t="s">
        <v>21</v>
      </c>
      <c r="J15450" s="41">
        <v>45264</v>
      </c>
      <c r="K15450" s="30" t="s">
        <v>22</v>
      </c>
    </row>
    <row r="15451" spans="1:11">
      <c r="A15451" s="33" t="s">
        <v>34753</v>
      </c>
      <c r="B15451" s="33" t="s">
        <v>34754</v>
      </c>
      <c r="C15451" s="33" t="s">
        <v>34755</v>
      </c>
      <c r="D15451" s="33" t="s">
        <v>17</v>
      </c>
      <c r="E15451" s="33" t="s">
        <v>26</v>
      </c>
      <c r="F15451" s="33" t="s">
        <v>27</v>
      </c>
      <c r="G15451" s="33" t="s">
        <v>20</v>
      </c>
      <c r="H15451" s="35">
        <v>32</v>
      </c>
      <c r="I15451" s="33" t="s">
        <v>21</v>
      </c>
      <c r="J15451" s="42">
        <v>45133</v>
      </c>
      <c r="K15451" s="33" t="s">
        <v>22</v>
      </c>
    </row>
    <row r="15452" spans="1:11">
      <c r="A15452" s="30" t="s">
        <v>34756</v>
      </c>
      <c r="B15452" s="30" t="s">
        <v>34757</v>
      </c>
      <c r="C15452" s="30" t="s">
        <v>178</v>
      </c>
      <c r="D15452" s="30" t="s">
        <v>17</v>
      </c>
      <c r="E15452" s="30" t="s">
        <v>18</v>
      </c>
      <c r="F15452" s="30" t="s">
        <v>19</v>
      </c>
      <c r="G15452" s="30" t="s">
        <v>140</v>
      </c>
      <c r="H15452" s="32">
        <v>230</v>
      </c>
      <c r="I15452" s="30" t="s">
        <v>51</v>
      </c>
      <c r="J15452" s="41">
        <v>45177</v>
      </c>
      <c r="K15452" s="30" t="s">
        <v>22</v>
      </c>
    </row>
    <row r="15453" spans="1:11">
      <c r="A15453" s="33" t="s">
        <v>34758</v>
      </c>
      <c r="B15453" s="33" t="s">
        <v>34759</v>
      </c>
      <c r="C15453" s="33" t="s">
        <v>2978</v>
      </c>
      <c r="D15453" s="33" t="s">
        <v>17</v>
      </c>
      <c r="E15453" s="33" t="s">
        <v>67</v>
      </c>
      <c r="F15453" s="33" t="s">
        <v>68</v>
      </c>
      <c r="G15453" s="33" t="s">
        <v>50</v>
      </c>
      <c r="H15453" s="35">
        <v>388</v>
      </c>
      <c r="I15453" s="33" t="s">
        <v>51</v>
      </c>
      <c r="J15453" s="42">
        <v>45062</v>
      </c>
      <c r="K15453" s="33" t="s">
        <v>22</v>
      </c>
    </row>
    <row r="15454" spans="1:11">
      <c r="A15454" s="30" t="s">
        <v>34760</v>
      </c>
      <c r="B15454" s="30" t="s">
        <v>34761</v>
      </c>
      <c r="C15454" s="30" t="s">
        <v>4796</v>
      </c>
      <c r="D15454" s="30" t="s">
        <v>17</v>
      </c>
      <c r="E15454" s="30" t="s">
        <v>26</v>
      </c>
      <c r="F15454" s="30" t="s">
        <v>27</v>
      </c>
      <c r="G15454" s="30" t="s">
        <v>112</v>
      </c>
      <c r="H15454" s="32">
        <v>0</v>
      </c>
      <c r="I15454" s="30" t="s">
        <v>21</v>
      </c>
      <c r="J15454" s="41">
        <v>44958</v>
      </c>
      <c r="K15454" s="30" t="s">
        <v>22</v>
      </c>
    </row>
    <row r="15455" spans="1:11">
      <c r="A15455" s="33" t="s">
        <v>34762</v>
      </c>
      <c r="B15455" s="33" t="s">
        <v>34763</v>
      </c>
      <c r="C15455" s="33" t="s">
        <v>22557</v>
      </c>
      <c r="D15455" s="33" t="s">
        <v>17</v>
      </c>
      <c r="E15455" s="33" t="s">
        <v>31</v>
      </c>
      <c r="F15455" s="33" t="s">
        <v>32</v>
      </c>
      <c r="G15455" s="33" t="s">
        <v>20</v>
      </c>
      <c r="H15455" s="35">
        <v>82</v>
      </c>
      <c r="I15455" s="33" t="s">
        <v>21</v>
      </c>
      <c r="J15455" s="42">
        <v>44945</v>
      </c>
      <c r="K15455" s="33" t="s">
        <v>22</v>
      </c>
    </row>
    <row r="15456" spans="1:11">
      <c r="A15456" s="30" t="s">
        <v>34764</v>
      </c>
      <c r="B15456" s="30" t="s">
        <v>34765</v>
      </c>
      <c r="C15456" s="30" t="s">
        <v>136</v>
      </c>
      <c r="D15456" s="30" t="s">
        <v>17</v>
      </c>
      <c r="E15456" s="30" t="s">
        <v>18</v>
      </c>
      <c r="F15456" s="30" t="s">
        <v>19</v>
      </c>
      <c r="G15456" s="30" t="s">
        <v>20</v>
      </c>
      <c r="H15456" s="32">
        <v>63</v>
      </c>
      <c r="I15456" s="30" t="s">
        <v>21</v>
      </c>
      <c r="J15456" s="41">
        <v>45252</v>
      </c>
      <c r="K15456" s="30" t="s">
        <v>22</v>
      </c>
    </row>
    <row r="15457" spans="1:11">
      <c r="A15457" s="33" t="s">
        <v>34766</v>
      </c>
      <c r="B15457" s="33" t="s">
        <v>34767</v>
      </c>
      <c r="C15457" s="33" t="s">
        <v>34768</v>
      </c>
      <c r="D15457" s="33" t="s">
        <v>17</v>
      </c>
      <c r="E15457" s="33" t="s">
        <v>26</v>
      </c>
      <c r="F15457" s="33" t="s">
        <v>27</v>
      </c>
      <c r="G15457" s="33" t="s">
        <v>20</v>
      </c>
      <c r="H15457" s="35">
        <v>32</v>
      </c>
      <c r="I15457" s="33" t="s">
        <v>21</v>
      </c>
      <c r="J15457" s="42">
        <v>45239</v>
      </c>
      <c r="K15457" s="33" t="s">
        <v>22</v>
      </c>
    </row>
    <row r="15458" spans="1:11">
      <c r="A15458" s="30" t="s">
        <v>34769</v>
      </c>
      <c r="B15458" s="30" t="s">
        <v>34770</v>
      </c>
      <c r="C15458" s="30" t="s">
        <v>3892</v>
      </c>
      <c r="D15458" s="30" t="s">
        <v>17</v>
      </c>
      <c r="E15458" s="30" t="s">
        <v>18</v>
      </c>
      <c r="F15458" s="30" t="s">
        <v>19</v>
      </c>
      <c r="G15458" s="30" t="s">
        <v>20</v>
      </c>
      <c r="H15458" s="32">
        <v>362</v>
      </c>
      <c r="I15458" s="30" t="s">
        <v>21</v>
      </c>
      <c r="J15458" s="41">
        <v>45174</v>
      </c>
      <c r="K15458" s="30" t="s">
        <v>22</v>
      </c>
    </row>
    <row r="15459" spans="1:11">
      <c r="A15459" s="33" t="s">
        <v>34771</v>
      </c>
      <c r="B15459" s="33" t="s">
        <v>34772</v>
      </c>
      <c r="C15459" s="33" t="s">
        <v>10459</v>
      </c>
      <c r="D15459" s="33" t="s">
        <v>17</v>
      </c>
      <c r="E15459" s="33" t="s">
        <v>330</v>
      </c>
      <c r="F15459" s="33" t="s">
        <v>331</v>
      </c>
      <c r="G15459" s="33" t="s">
        <v>140</v>
      </c>
      <c r="H15459" s="35">
        <v>30</v>
      </c>
      <c r="I15459" s="33" t="s">
        <v>51</v>
      </c>
      <c r="J15459" s="42">
        <v>45017</v>
      </c>
      <c r="K15459" s="33" t="s">
        <v>22</v>
      </c>
    </row>
    <row r="15460" spans="1:11">
      <c r="A15460" s="30" t="s">
        <v>34773</v>
      </c>
      <c r="B15460" s="30" t="s">
        <v>34774</v>
      </c>
      <c r="C15460" s="30" t="s">
        <v>647</v>
      </c>
      <c r="D15460" s="30" t="s">
        <v>17</v>
      </c>
      <c r="E15460" s="30" t="s">
        <v>18</v>
      </c>
      <c r="F15460" s="30" t="s">
        <v>19</v>
      </c>
      <c r="G15460" s="30" t="s">
        <v>140</v>
      </c>
      <c r="H15460" s="32">
        <v>868</v>
      </c>
      <c r="I15460" s="30" t="s">
        <v>51</v>
      </c>
      <c r="J15460" s="41">
        <v>45266</v>
      </c>
      <c r="K15460" s="30" t="s">
        <v>22</v>
      </c>
    </row>
    <row r="15461" spans="1:11">
      <c r="A15461" s="33" t="s">
        <v>34775</v>
      </c>
      <c r="B15461" s="33" t="s">
        <v>34776</v>
      </c>
      <c r="C15461" s="33" t="s">
        <v>407</v>
      </c>
      <c r="D15461" s="33" t="s">
        <v>17</v>
      </c>
      <c r="E15461" s="33" t="s">
        <v>45</v>
      </c>
      <c r="F15461" s="33" t="s">
        <v>46</v>
      </c>
      <c r="G15461" s="33" t="s">
        <v>50</v>
      </c>
      <c r="H15461" s="35">
        <v>1438</v>
      </c>
      <c r="I15461" s="33" t="s">
        <v>51</v>
      </c>
      <c r="J15461" s="42">
        <v>45017</v>
      </c>
      <c r="K15461" s="33" t="s">
        <v>22</v>
      </c>
    </row>
    <row r="15462" spans="1:11">
      <c r="A15462" s="30" t="s">
        <v>34777</v>
      </c>
      <c r="B15462" s="30" t="s">
        <v>34778</v>
      </c>
      <c r="C15462" s="30" t="s">
        <v>8222</v>
      </c>
      <c r="D15462" s="30" t="s">
        <v>17</v>
      </c>
      <c r="E15462" s="30" t="s">
        <v>26</v>
      </c>
      <c r="F15462" s="30" t="s">
        <v>27</v>
      </c>
      <c r="G15462" s="30" t="s">
        <v>50</v>
      </c>
      <c r="H15462" s="32">
        <v>60</v>
      </c>
      <c r="I15462" s="30" t="s">
        <v>51</v>
      </c>
      <c r="J15462" s="41">
        <v>45124</v>
      </c>
      <c r="K15462" s="30" t="s">
        <v>22</v>
      </c>
    </row>
    <row r="15463" spans="1:11">
      <c r="A15463" s="33" t="s">
        <v>34779</v>
      </c>
      <c r="B15463" s="33" t="s">
        <v>34780</v>
      </c>
      <c r="C15463" s="33" t="s">
        <v>136</v>
      </c>
      <c r="D15463" s="33" t="s">
        <v>17</v>
      </c>
      <c r="E15463" s="33" t="s">
        <v>26</v>
      </c>
      <c r="F15463" s="33" t="s">
        <v>27</v>
      </c>
      <c r="G15463" s="33" t="s">
        <v>20</v>
      </c>
      <c r="H15463" s="35">
        <v>85</v>
      </c>
      <c r="I15463" s="33" t="s">
        <v>21</v>
      </c>
      <c r="J15463" s="42">
        <v>45125</v>
      </c>
      <c r="K15463" s="33" t="s">
        <v>22</v>
      </c>
    </row>
    <row r="15464" spans="1:11">
      <c r="A15464" s="30" t="s">
        <v>34781</v>
      </c>
      <c r="B15464" s="30" t="s">
        <v>34782</v>
      </c>
      <c r="C15464" s="30" t="s">
        <v>26184</v>
      </c>
      <c r="D15464" s="30" t="s">
        <v>17</v>
      </c>
      <c r="E15464" s="30" t="s">
        <v>67</v>
      </c>
      <c r="F15464" s="30" t="s">
        <v>68</v>
      </c>
      <c r="G15464" s="30" t="s">
        <v>140</v>
      </c>
      <c r="H15464" s="32">
        <v>40</v>
      </c>
      <c r="I15464" s="30" t="s">
        <v>51</v>
      </c>
      <c r="J15464" s="41">
        <v>45083</v>
      </c>
      <c r="K15464" s="30" t="s">
        <v>22</v>
      </c>
    </row>
    <row r="15465" spans="1:11">
      <c r="A15465" s="33" t="s">
        <v>34783</v>
      </c>
      <c r="B15465" s="33" t="s">
        <v>34784</v>
      </c>
      <c r="C15465" s="33" t="s">
        <v>995</v>
      </c>
      <c r="D15465" s="33" t="s">
        <v>17</v>
      </c>
      <c r="E15465" s="33" t="s">
        <v>26</v>
      </c>
      <c r="F15465" s="33" t="s">
        <v>27</v>
      </c>
      <c r="G15465" s="33" t="s">
        <v>20</v>
      </c>
      <c r="H15465" s="35">
        <v>72</v>
      </c>
      <c r="I15465" s="33" t="s">
        <v>21</v>
      </c>
      <c r="J15465" s="42">
        <v>44939</v>
      </c>
      <c r="K15465" s="33" t="s">
        <v>22</v>
      </c>
    </row>
    <row r="15466" spans="1:11">
      <c r="A15466" s="30" t="s">
        <v>34785</v>
      </c>
      <c r="B15466" s="30" t="s">
        <v>34786</v>
      </c>
      <c r="C15466" s="30" t="s">
        <v>33180</v>
      </c>
      <c r="D15466" s="30" t="s">
        <v>17</v>
      </c>
      <c r="E15466" s="30" t="s">
        <v>26</v>
      </c>
      <c r="F15466" s="30" t="s">
        <v>27</v>
      </c>
      <c r="G15466" s="30" t="s">
        <v>140</v>
      </c>
      <c r="H15466" s="32">
        <v>140</v>
      </c>
      <c r="I15466" s="30" t="s">
        <v>51</v>
      </c>
      <c r="J15466" s="41">
        <v>45174</v>
      </c>
      <c r="K15466" s="30" t="s">
        <v>22</v>
      </c>
    </row>
    <row r="15467" spans="1:11">
      <c r="A15467" s="33" t="s">
        <v>34787</v>
      </c>
      <c r="B15467" s="33" t="s">
        <v>34788</v>
      </c>
      <c r="C15467" s="33" t="s">
        <v>29985</v>
      </c>
      <c r="D15467" s="33" t="s">
        <v>17</v>
      </c>
      <c r="E15467" s="33" t="s">
        <v>26</v>
      </c>
      <c r="F15467" s="33" t="s">
        <v>27</v>
      </c>
      <c r="G15467" s="33" t="s">
        <v>106</v>
      </c>
      <c r="H15467" s="35">
        <v>9</v>
      </c>
      <c r="I15467" s="33" t="s">
        <v>21</v>
      </c>
      <c r="J15467" s="42">
        <v>45002</v>
      </c>
      <c r="K15467" s="33" t="s">
        <v>22</v>
      </c>
    </row>
    <row r="15468" spans="1:11">
      <c r="A15468" s="30" t="s">
        <v>34789</v>
      </c>
      <c r="B15468" s="30" t="s">
        <v>34790</v>
      </c>
      <c r="C15468" s="30" t="s">
        <v>34791</v>
      </c>
      <c r="D15468" s="30" t="s">
        <v>17</v>
      </c>
      <c r="E15468" s="30" t="s">
        <v>31</v>
      </c>
      <c r="F15468" s="30" t="s">
        <v>32</v>
      </c>
      <c r="G15468" s="30" t="s">
        <v>20</v>
      </c>
      <c r="H15468" s="32">
        <v>56</v>
      </c>
      <c r="I15468" s="30" t="s">
        <v>21</v>
      </c>
      <c r="J15468" s="41">
        <v>45239</v>
      </c>
      <c r="K15468" s="30" t="s">
        <v>22</v>
      </c>
    </row>
    <row r="15469" spans="1:11">
      <c r="A15469" s="33" t="s">
        <v>34792</v>
      </c>
      <c r="B15469" s="33" t="s">
        <v>34793</v>
      </c>
      <c r="C15469" s="33" t="s">
        <v>34794</v>
      </c>
      <c r="D15469" s="33" t="s">
        <v>17</v>
      </c>
      <c r="E15469" s="33" t="s">
        <v>26</v>
      </c>
      <c r="F15469" s="33" t="s">
        <v>27</v>
      </c>
      <c r="G15469" s="33" t="s">
        <v>20</v>
      </c>
      <c r="H15469" s="35">
        <v>25</v>
      </c>
      <c r="I15469" s="33" t="s">
        <v>21</v>
      </c>
      <c r="J15469" s="42">
        <v>45252</v>
      </c>
      <c r="K15469" s="33" t="s">
        <v>22</v>
      </c>
    </row>
    <row r="15470" spans="1:11">
      <c r="A15470" s="30" t="s">
        <v>34795</v>
      </c>
      <c r="B15470" s="30" t="s">
        <v>34796</v>
      </c>
      <c r="C15470" s="30" t="s">
        <v>44</v>
      </c>
      <c r="D15470" s="30" t="s">
        <v>17</v>
      </c>
      <c r="E15470" s="30" t="s">
        <v>18</v>
      </c>
      <c r="F15470" s="30" t="s">
        <v>19</v>
      </c>
      <c r="G15470" s="30" t="s">
        <v>140</v>
      </c>
      <c r="H15470" s="32">
        <v>410</v>
      </c>
      <c r="I15470" s="30" t="s">
        <v>51</v>
      </c>
      <c r="J15470" s="41">
        <v>45187</v>
      </c>
      <c r="K15470" s="30" t="s">
        <v>22</v>
      </c>
    </row>
    <row r="15471" spans="1:11">
      <c r="A15471" s="33" t="s">
        <v>34797</v>
      </c>
      <c r="B15471" s="33" t="s">
        <v>34798</v>
      </c>
      <c r="C15471" s="33" t="s">
        <v>5757</v>
      </c>
      <c r="D15471" s="33" t="s">
        <v>17</v>
      </c>
      <c r="E15471" s="33" t="s">
        <v>18</v>
      </c>
      <c r="F15471" s="33" t="s">
        <v>19</v>
      </c>
      <c r="G15471" s="33" t="s">
        <v>20</v>
      </c>
      <c r="H15471" s="35">
        <v>174</v>
      </c>
      <c r="I15471" s="33" t="s">
        <v>21</v>
      </c>
      <c r="J15471" s="42">
        <v>45069</v>
      </c>
      <c r="K15471" s="33" t="s">
        <v>22</v>
      </c>
    </row>
    <row r="15472" spans="1:11">
      <c r="A15472" s="30" t="s">
        <v>34799</v>
      </c>
      <c r="B15472" s="30" t="s">
        <v>34800</v>
      </c>
      <c r="C15472" s="30" t="s">
        <v>32329</v>
      </c>
      <c r="D15472" s="30" t="s">
        <v>17</v>
      </c>
      <c r="E15472" s="30" t="s">
        <v>67</v>
      </c>
      <c r="F15472" s="30" t="s">
        <v>68</v>
      </c>
      <c r="G15472" s="30" t="s">
        <v>158</v>
      </c>
      <c r="H15472" s="32">
        <v>64</v>
      </c>
      <c r="I15472" s="30" t="s">
        <v>21</v>
      </c>
      <c r="J15472" s="41">
        <v>45086</v>
      </c>
      <c r="K15472" s="30" t="s">
        <v>22</v>
      </c>
    </row>
    <row r="15473" spans="1:11">
      <c r="A15473" s="33" t="s">
        <v>34801</v>
      </c>
      <c r="B15473" s="33" t="s">
        <v>34802</v>
      </c>
      <c r="C15473" s="33" t="s">
        <v>429</v>
      </c>
      <c r="D15473" s="33" t="s">
        <v>17</v>
      </c>
      <c r="E15473" s="33" t="s">
        <v>31</v>
      </c>
      <c r="F15473" s="33" t="s">
        <v>32</v>
      </c>
      <c r="G15473" s="33" t="s">
        <v>20</v>
      </c>
      <c r="H15473" s="35">
        <v>192</v>
      </c>
      <c r="I15473" s="33" t="s">
        <v>21</v>
      </c>
      <c r="J15473" s="42">
        <v>45258</v>
      </c>
      <c r="K15473" s="33" t="s">
        <v>22</v>
      </c>
    </row>
    <row r="15474" spans="1:11">
      <c r="A15474" s="30" t="s">
        <v>34803</v>
      </c>
      <c r="B15474" s="30" t="s">
        <v>34804</v>
      </c>
      <c r="C15474" s="30" t="s">
        <v>2264</v>
      </c>
      <c r="D15474" s="30" t="s">
        <v>17</v>
      </c>
      <c r="E15474" s="30" t="s">
        <v>18</v>
      </c>
      <c r="F15474" s="30" t="s">
        <v>19</v>
      </c>
      <c r="G15474" s="30" t="s">
        <v>112</v>
      </c>
      <c r="H15474" s="32">
        <v>0</v>
      </c>
      <c r="I15474" s="30" t="s">
        <v>21</v>
      </c>
      <c r="J15474" s="41">
        <v>45200</v>
      </c>
      <c r="K15474" s="30" t="s">
        <v>22</v>
      </c>
    </row>
    <row r="15475" spans="1:11">
      <c r="A15475" s="33" t="s">
        <v>34805</v>
      </c>
      <c r="B15475" s="33" t="s">
        <v>34806</v>
      </c>
      <c r="C15475" s="33" t="s">
        <v>5401</v>
      </c>
      <c r="D15475" s="33" t="s">
        <v>17</v>
      </c>
      <c r="E15475" s="33" t="s">
        <v>45</v>
      </c>
      <c r="F15475" s="33" t="s">
        <v>46</v>
      </c>
      <c r="G15475" s="33" t="s">
        <v>2613</v>
      </c>
      <c r="H15475" s="35">
        <v>99</v>
      </c>
      <c r="I15475" s="33" t="s">
        <v>51</v>
      </c>
      <c r="J15475" s="42">
        <v>45189</v>
      </c>
      <c r="K15475" s="33" t="s">
        <v>22</v>
      </c>
    </row>
    <row r="15476" spans="1:11">
      <c r="A15476" s="30" t="s">
        <v>34807</v>
      </c>
      <c r="B15476" s="30" t="s">
        <v>34808</v>
      </c>
      <c r="C15476" s="30" t="s">
        <v>96</v>
      </c>
      <c r="D15476" s="30" t="s">
        <v>17</v>
      </c>
      <c r="E15476" s="30" t="s">
        <v>31</v>
      </c>
      <c r="F15476" s="30" t="s">
        <v>32</v>
      </c>
      <c r="G15476" s="30" t="s">
        <v>140</v>
      </c>
      <c r="H15476" s="32">
        <v>100</v>
      </c>
      <c r="I15476" s="30" t="s">
        <v>51</v>
      </c>
      <c r="J15476" s="41">
        <v>45063</v>
      </c>
      <c r="K15476" s="30" t="s">
        <v>22</v>
      </c>
    </row>
    <row r="15477" spans="1:11">
      <c r="A15477" s="33" t="s">
        <v>34809</v>
      </c>
      <c r="B15477" s="33" t="s">
        <v>34810</v>
      </c>
      <c r="C15477" s="33" t="s">
        <v>4842</v>
      </c>
      <c r="D15477" s="33" t="s">
        <v>17</v>
      </c>
      <c r="E15477" s="33" t="s">
        <v>67</v>
      </c>
      <c r="F15477" s="33" t="s">
        <v>68</v>
      </c>
      <c r="G15477" s="33" t="s">
        <v>158</v>
      </c>
      <c r="H15477" s="35">
        <v>98</v>
      </c>
      <c r="I15477" s="33" t="s">
        <v>21</v>
      </c>
      <c r="J15477" s="42">
        <v>45077</v>
      </c>
      <c r="K15477" s="33" t="s">
        <v>22</v>
      </c>
    </row>
    <row r="15478" spans="1:11">
      <c r="A15478" s="30" t="s">
        <v>34811</v>
      </c>
      <c r="B15478" s="30" t="s">
        <v>34812</v>
      </c>
      <c r="C15478" s="30" t="s">
        <v>27689</v>
      </c>
      <c r="D15478" s="30" t="s">
        <v>17</v>
      </c>
      <c r="E15478" s="30" t="s">
        <v>26</v>
      </c>
      <c r="F15478" s="30" t="s">
        <v>27</v>
      </c>
      <c r="G15478" s="30" t="s">
        <v>20</v>
      </c>
      <c r="H15478" s="32">
        <v>28</v>
      </c>
      <c r="I15478" s="30" t="s">
        <v>21</v>
      </c>
      <c r="J15478" s="41">
        <v>45257</v>
      </c>
      <c r="K15478" s="30" t="s">
        <v>22</v>
      </c>
    </row>
    <row r="15479" spans="1:11">
      <c r="A15479" s="33" t="s">
        <v>34813</v>
      </c>
      <c r="B15479" s="33" t="s">
        <v>34814</v>
      </c>
      <c r="C15479" s="33" t="s">
        <v>34815</v>
      </c>
      <c r="D15479" s="33" t="s">
        <v>17</v>
      </c>
      <c r="E15479" s="33" t="s">
        <v>26</v>
      </c>
      <c r="F15479" s="33" t="s">
        <v>27</v>
      </c>
      <c r="G15479" s="33" t="s">
        <v>20</v>
      </c>
      <c r="H15479" s="35">
        <v>52</v>
      </c>
      <c r="I15479" s="33" t="s">
        <v>21</v>
      </c>
      <c r="J15479" s="42">
        <v>45041</v>
      </c>
      <c r="K15479" s="33" t="s">
        <v>22</v>
      </c>
    </row>
    <row r="15480" spans="1:11">
      <c r="A15480" s="30" t="s">
        <v>34816</v>
      </c>
      <c r="B15480" s="30" t="s">
        <v>34817</v>
      </c>
      <c r="C15480" s="30" t="s">
        <v>8052</v>
      </c>
      <c r="D15480" s="30" t="s">
        <v>17</v>
      </c>
      <c r="E15480" s="30" t="s">
        <v>26</v>
      </c>
      <c r="F15480" s="30" t="s">
        <v>27</v>
      </c>
      <c r="G15480" s="30" t="s">
        <v>20</v>
      </c>
      <c r="H15480" s="32">
        <v>90</v>
      </c>
      <c r="I15480" s="30" t="s">
        <v>21</v>
      </c>
      <c r="J15480" s="41">
        <v>45111</v>
      </c>
      <c r="K15480" s="30" t="s">
        <v>22</v>
      </c>
    </row>
    <row r="15481" spans="1:11">
      <c r="A15481" s="33" t="s">
        <v>34818</v>
      </c>
      <c r="B15481" s="33" t="s">
        <v>34819</v>
      </c>
      <c r="C15481" s="33" t="s">
        <v>12569</v>
      </c>
      <c r="D15481" s="33" t="s">
        <v>17</v>
      </c>
      <c r="E15481" s="33" t="s">
        <v>45</v>
      </c>
      <c r="F15481" s="33" t="s">
        <v>46</v>
      </c>
      <c r="G15481" s="33" t="s">
        <v>2613</v>
      </c>
      <c r="H15481" s="35">
        <v>230</v>
      </c>
      <c r="I15481" s="33" t="s">
        <v>51</v>
      </c>
      <c r="J15481" s="42">
        <v>45169</v>
      </c>
      <c r="K15481" s="33" t="s">
        <v>22</v>
      </c>
    </row>
    <row r="15482" spans="1:11">
      <c r="A15482" s="30" t="s">
        <v>34820</v>
      </c>
      <c r="B15482" s="30" t="s">
        <v>34821</v>
      </c>
      <c r="C15482" s="30" t="s">
        <v>99</v>
      </c>
      <c r="D15482" s="30" t="s">
        <v>17</v>
      </c>
      <c r="E15482" s="30" t="s">
        <v>18</v>
      </c>
      <c r="F15482" s="30" t="s">
        <v>19</v>
      </c>
      <c r="G15482" s="30" t="s">
        <v>20</v>
      </c>
      <c r="H15482" s="32">
        <v>100</v>
      </c>
      <c r="I15482" s="30" t="s">
        <v>21</v>
      </c>
      <c r="J15482" s="41">
        <v>45188</v>
      </c>
      <c r="K15482" s="30" t="s">
        <v>22</v>
      </c>
    </row>
    <row r="15483" spans="1:11">
      <c r="A15483" s="33" t="s">
        <v>34822</v>
      </c>
      <c r="B15483" s="33" t="s">
        <v>34823</v>
      </c>
      <c r="C15483" s="33" t="s">
        <v>149</v>
      </c>
      <c r="D15483" s="33" t="s">
        <v>17</v>
      </c>
      <c r="E15483" s="33" t="s">
        <v>67</v>
      </c>
      <c r="F15483" s="33" t="s">
        <v>68</v>
      </c>
      <c r="G15483" s="33" t="s">
        <v>50</v>
      </c>
      <c r="H15483" s="35">
        <v>49</v>
      </c>
      <c r="I15483" s="33" t="s">
        <v>51</v>
      </c>
      <c r="J15483" s="42">
        <v>45199</v>
      </c>
      <c r="K15483" s="33" t="s">
        <v>22</v>
      </c>
    </row>
    <row r="15484" spans="1:11">
      <c r="A15484" s="30" t="s">
        <v>34824</v>
      </c>
      <c r="B15484" s="30" t="s">
        <v>34825</v>
      </c>
      <c r="C15484" s="30" t="s">
        <v>5842</v>
      </c>
      <c r="D15484" s="30" t="s">
        <v>17</v>
      </c>
      <c r="E15484" s="30" t="s">
        <v>67</v>
      </c>
      <c r="F15484" s="30" t="s">
        <v>68</v>
      </c>
      <c r="G15484" s="30" t="s">
        <v>20</v>
      </c>
      <c r="H15484" s="32">
        <v>47</v>
      </c>
      <c r="I15484" s="30" t="s">
        <v>21</v>
      </c>
      <c r="J15484" s="41">
        <v>45269</v>
      </c>
      <c r="K15484" s="30" t="s">
        <v>22</v>
      </c>
    </row>
    <row r="15485" spans="1:11">
      <c r="A15485" s="33" t="s">
        <v>34826</v>
      </c>
      <c r="B15485" s="33" t="s">
        <v>34827</v>
      </c>
      <c r="C15485" s="33" t="s">
        <v>34828</v>
      </c>
      <c r="D15485" s="33" t="s">
        <v>17</v>
      </c>
      <c r="E15485" s="33" t="s">
        <v>31</v>
      </c>
      <c r="F15485" s="33" t="s">
        <v>32</v>
      </c>
      <c r="G15485" s="33" t="s">
        <v>158</v>
      </c>
      <c r="H15485" s="35">
        <v>276</v>
      </c>
      <c r="I15485" s="33" t="s">
        <v>51</v>
      </c>
      <c r="J15485" s="42">
        <v>45129</v>
      </c>
      <c r="K15485" s="33" t="s">
        <v>22</v>
      </c>
    </row>
    <row r="15486" spans="1:11">
      <c r="A15486" s="30" t="s">
        <v>34829</v>
      </c>
      <c r="B15486" s="30" t="s">
        <v>34830</v>
      </c>
      <c r="C15486" s="30" t="s">
        <v>318</v>
      </c>
      <c r="D15486" s="30" t="s">
        <v>17</v>
      </c>
      <c r="E15486" s="30" t="s">
        <v>26</v>
      </c>
      <c r="F15486" s="30" t="s">
        <v>27</v>
      </c>
      <c r="G15486" s="30" t="s">
        <v>106</v>
      </c>
      <c r="H15486" s="32">
        <v>3</v>
      </c>
      <c r="I15486" s="30" t="s">
        <v>21</v>
      </c>
      <c r="J15486" s="41">
        <v>44985</v>
      </c>
      <c r="K15486" s="30" t="s">
        <v>22</v>
      </c>
    </row>
    <row r="15487" spans="1:11">
      <c r="A15487" s="33" t="s">
        <v>34831</v>
      </c>
      <c r="B15487" s="33" t="s">
        <v>34832</v>
      </c>
      <c r="C15487" s="33" t="s">
        <v>10646</v>
      </c>
      <c r="D15487" s="33" t="s">
        <v>17</v>
      </c>
      <c r="E15487" s="33" t="s">
        <v>212</v>
      </c>
      <c r="F15487" s="33" t="s">
        <v>213</v>
      </c>
      <c r="G15487" s="33" t="s">
        <v>20</v>
      </c>
      <c r="H15487" s="35">
        <v>141</v>
      </c>
      <c r="I15487" s="33" t="s">
        <v>21</v>
      </c>
      <c r="J15487" s="42">
        <v>45114</v>
      </c>
      <c r="K15487" s="33" t="s">
        <v>22</v>
      </c>
    </row>
    <row r="15488" spans="1:11">
      <c r="A15488" s="30" t="s">
        <v>34833</v>
      </c>
      <c r="B15488" s="30" t="s">
        <v>34834</v>
      </c>
      <c r="C15488" s="30" t="s">
        <v>93</v>
      </c>
      <c r="D15488" s="30" t="s">
        <v>17</v>
      </c>
      <c r="E15488" s="30" t="s">
        <v>31</v>
      </c>
      <c r="F15488" s="30" t="s">
        <v>32</v>
      </c>
      <c r="G15488" s="30" t="s">
        <v>106</v>
      </c>
      <c r="H15488" s="32">
        <v>81</v>
      </c>
      <c r="I15488" s="30" t="s">
        <v>21</v>
      </c>
      <c r="J15488" s="41">
        <v>45040</v>
      </c>
      <c r="K15488" s="30" t="s">
        <v>22</v>
      </c>
    </row>
    <row r="15489" spans="1:11">
      <c r="A15489" s="33" t="s">
        <v>34835</v>
      </c>
      <c r="B15489" s="33" t="s">
        <v>34836</v>
      </c>
      <c r="C15489" s="33" t="s">
        <v>154</v>
      </c>
      <c r="D15489" s="33" t="s">
        <v>17</v>
      </c>
      <c r="E15489" s="33" t="s">
        <v>31</v>
      </c>
      <c r="F15489" s="33" t="s">
        <v>32</v>
      </c>
      <c r="G15489" s="33" t="s">
        <v>158</v>
      </c>
      <c r="H15489" s="35">
        <v>400</v>
      </c>
      <c r="I15489" s="33" t="s">
        <v>51</v>
      </c>
      <c r="J15489" s="42">
        <v>44992</v>
      </c>
      <c r="K15489" s="33" t="s">
        <v>22</v>
      </c>
    </row>
    <row r="15490" spans="1:11">
      <c r="A15490" s="30" t="s">
        <v>34837</v>
      </c>
      <c r="B15490" s="30" t="s">
        <v>34838</v>
      </c>
      <c r="C15490" s="30" t="s">
        <v>96</v>
      </c>
      <c r="D15490" s="30" t="s">
        <v>17</v>
      </c>
      <c r="E15490" s="30" t="s">
        <v>18</v>
      </c>
      <c r="F15490" s="30" t="s">
        <v>19</v>
      </c>
      <c r="G15490" s="30" t="s">
        <v>20</v>
      </c>
      <c r="H15490" s="32">
        <v>787</v>
      </c>
      <c r="I15490" s="30" t="s">
        <v>21</v>
      </c>
      <c r="J15490" s="41">
        <v>45061</v>
      </c>
      <c r="K15490" s="30" t="s">
        <v>22</v>
      </c>
    </row>
    <row r="15491" spans="1:11">
      <c r="A15491" s="33" t="s">
        <v>34839</v>
      </c>
      <c r="B15491" s="33" t="s">
        <v>34840</v>
      </c>
      <c r="C15491" s="33" t="s">
        <v>190</v>
      </c>
      <c r="D15491" s="33" t="s">
        <v>17</v>
      </c>
      <c r="E15491" s="33" t="s">
        <v>26</v>
      </c>
      <c r="F15491" s="33" t="s">
        <v>27</v>
      </c>
      <c r="G15491" s="33" t="s">
        <v>20</v>
      </c>
      <c r="H15491" s="35">
        <v>243</v>
      </c>
      <c r="I15491" s="33" t="s">
        <v>21</v>
      </c>
      <c r="J15491" s="42">
        <v>45257</v>
      </c>
      <c r="K15491" s="33" t="s">
        <v>22</v>
      </c>
    </row>
    <row r="15492" spans="1:11">
      <c r="A15492" s="30" t="s">
        <v>34841</v>
      </c>
      <c r="B15492" s="30" t="s">
        <v>34842</v>
      </c>
      <c r="C15492" s="30" t="s">
        <v>34843</v>
      </c>
      <c r="D15492" s="30" t="s">
        <v>17</v>
      </c>
      <c r="E15492" s="30" t="s">
        <v>26</v>
      </c>
      <c r="F15492" s="30" t="s">
        <v>27</v>
      </c>
      <c r="G15492" s="30" t="s">
        <v>112</v>
      </c>
      <c r="H15492" s="32">
        <v>0</v>
      </c>
      <c r="I15492" s="30" t="s">
        <v>21</v>
      </c>
      <c r="J15492" s="41">
        <v>45078</v>
      </c>
      <c r="K15492" s="30" t="s">
        <v>22</v>
      </c>
    </row>
    <row r="15493" spans="1:11">
      <c r="A15493" s="33" t="s">
        <v>34844</v>
      </c>
      <c r="B15493" s="33" t="s">
        <v>34845</v>
      </c>
      <c r="C15493" s="33" t="s">
        <v>969</v>
      </c>
      <c r="D15493" s="33" t="s">
        <v>17</v>
      </c>
      <c r="E15493" s="33" t="s">
        <v>67</v>
      </c>
      <c r="F15493" s="33" t="s">
        <v>68</v>
      </c>
      <c r="G15493" s="33" t="s">
        <v>140</v>
      </c>
      <c r="H15493" s="35">
        <v>123</v>
      </c>
      <c r="I15493" s="33" t="s">
        <v>51</v>
      </c>
      <c r="J15493" s="42">
        <v>45091</v>
      </c>
      <c r="K15493" s="33" t="s">
        <v>22</v>
      </c>
    </row>
    <row r="15494" spans="1:11">
      <c r="A15494" s="30" t="s">
        <v>34846</v>
      </c>
      <c r="B15494" s="30" t="s">
        <v>34847</v>
      </c>
      <c r="C15494" s="30" t="s">
        <v>60</v>
      </c>
      <c r="D15494" s="30" t="s">
        <v>17</v>
      </c>
      <c r="E15494" s="30" t="s">
        <v>18</v>
      </c>
      <c r="F15494" s="30" t="s">
        <v>19</v>
      </c>
      <c r="G15494" s="30" t="s">
        <v>2613</v>
      </c>
      <c r="H15494" s="32">
        <v>174</v>
      </c>
      <c r="I15494" s="30" t="s">
        <v>51</v>
      </c>
      <c r="J15494" s="41">
        <v>45149</v>
      </c>
      <c r="K15494" s="30" t="s">
        <v>22</v>
      </c>
    </row>
    <row r="15495" spans="1:11">
      <c r="A15495" s="33" t="s">
        <v>34848</v>
      </c>
      <c r="B15495" s="33" t="s">
        <v>34849</v>
      </c>
      <c r="C15495" s="33" t="s">
        <v>109</v>
      </c>
      <c r="D15495" s="33" t="s">
        <v>17</v>
      </c>
      <c r="E15495" s="33" t="s">
        <v>18</v>
      </c>
      <c r="F15495" s="33" t="s">
        <v>19</v>
      </c>
      <c r="G15495" s="33" t="s">
        <v>20</v>
      </c>
      <c r="H15495" s="35">
        <v>8</v>
      </c>
      <c r="I15495" s="33" t="s">
        <v>21</v>
      </c>
      <c r="J15495" s="42">
        <v>45264</v>
      </c>
      <c r="K15495" s="33" t="s">
        <v>22</v>
      </c>
    </row>
    <row r="15496" spans="1:11">
      <c r="A15496" s="30" t="s">
        <v>34850</v>
      </c>
      <c r="B15496" s="30" t="s">
        <v>34851</v>
      </c>
      <c r="C15496" s="30" t="s">
        <v>969</v>
      </c>
      <c r="D15496" s="30" t="s">
        <v>17</v>
      </c>
      <c r="E15496" s="30" t="s">
        <v>18</v>
      </c>
      <c r="F15496" s="30" t="s">
        <v>19</v>
      </c>
      <c r="G15496" s="30" t="s">
        <v>20</v>
      </c>
      <c r="H15496" s="32">
        <v>380</v>
      </c>
      <c r="I15496" s="30" t="s">
        <v>21</v>
      </c>
      <c r="J15496" s="41">
        <v>44937</v>
      </c>
      <c r="K15496" s="30" t="s">
        <v>22</v>
      </c>
    </row>
    <row r="15497" spans="1:11">
      <c r="A15497" s="33" t="s">
        <v>34852</v>
      </c>
      <c r="B15497" s="33" t="s">
        <v>34853</v>
      </c>
      <c r="C15497" s="33" t="s">
        <v>34854</v>
      </c>
      <c r="D15497" s="33" t="s">
        <v>17</v>
      </c>
      <c r="E15497" s="33" t="s">
        <v>31</v>
      </c>
      <c r="F15497" s="33" t="s">
        <v>32</v>
      </c>
      <c r="G15497" s="33" t="s">
        <v>20</v>
      </c>
      <c r="H15497" s="35">
        <v>107</v>
      </c>
      <c r="I15497" s="33" t="s">
        <v>21</v>
      </c>
      <c r="J15497" s="42">
        <v>45051</v>
      </c>
      <c r="K15497" s="33" t="s">
        <v>22</v>
      </c>
    </row>
    <row r="15498" spans="1:11">
      <c r="A15498" s="30" t="s">
        <v>34855</v>
      </c>
      <c r="B15498" s="30" t="s">
        <v>34856</v>
      </c>
      <c r="C15498" s="30" t="s">
        <v>4170</v>
      </c>
      <c r="D15498" s="30" t="s">
        <v>17</v>
      </c>
      <c r="E15498" s="30" t="s">
        <v>18</v>
      </c>
      <c r="F15498" s="30" t="s">
        <v>19</v>
      </c>
      <c r="G15498" s="30" t="s">
        <v>106</v>
      </c>
      <c r="H15498" s="32">
        <v>17</v>
      </c>
      <c r="I15498" s="30" t="s">
        <v>21</v>
      </c>
      <c r="J15498" s="41">
        <v>45268</v>
      </c>
      <c r="K15498" s="30" t="s">
        <v>22</v>
      </c>
    </row>
    <row r="15499" spans="1:11">
      <c r="A15499" s="33" t="s">
        <v>34857</v>
      </c>
      <c r="B15499" s="33" t="s">
        <v>34858</v>
      </c>
      <c r="C15499" s="33" t="s">
        <v>2692</v>
      </c>
      <c r="D15499" s="33" t="s">
        <v>17</v>
      </c>
      <c r="E15499" s="33" t="s">
        <v>67</v>
      </c>
      <c r="F15499" s="33" t="s">
        <v>68</v>
      </c>
      <c r="G15499" s="33" t="s">
        <v>112</v>
      </c>
      <c r="H15499" s="35">
        <v>0</v>
      </c>
      <c r="I15499" s="33" t="s">
        <v>21</v>
      </c>
      <c r="J15499" s="42">
        <v>44927</v>
      </c>
      <c r="K15499" s="33" t="s">
        <v>22</v>
      </c>
    </row>
    <row r="15500" spans="1:11">
      <c r="A15500" s="30" t="s">
        <v>34859</v>
      </c>
      <c r="B15500" s="30" t="s">
        <v>34860</v>
      </c>
      <c r="C15500" s="30" t="s">
        <v>3296</v>
      </c>
      <c r="D15500" s="30" t="s">
        <v>17</v>
      </c>
      <c r="E15500" s="30" t="s">
        <v>26</v>
      </c>
      <c r="F15500" s="30" t="s">
        <v>27</v>
      </c>
      <c r="G15500" s="30" t="s">
        <v>50</v>
      </c>
      <c r="H15500" s="32">
        <v>34</v>
      </c>
      <c r="I15500" s="30" t="s">
        <v>51</v>
      </c>
      <c r="J15500" s="41">
        <v>45015</v>
      </c>
      <c r="K15500" s="30" t="s">
        <v>22</v>
      </c>
    </row>
    <row r="15501" spans="1:11">
      <c r="A15501" s="33" t="s">
        <v>34861</v>
      </c>
      <c r="B15501" s="33" t="s">
        <v>34862</v>
      </c>
      <c r="C15501" s="33" t="s">
        <v>443</v>
      </c>
      <c r="D15501" s="33" t="s">
        <v>17</v>
      </c>
      <c r="E15501" s="33" t="s">
        <v>212</v>
      </c>
      <c r="F15501" s="33" t="s">
        <v>213</v>
      </c>
      <c r="G15501" s="33" t="s">
        <v>158</v>
      </c>
      <c r="H15501" s="35">
        <v>1092</v>
      </c>
      <c r="I15501" s="33" t="s">
        <v>21</v>
      </c>
      <c r="J15501" s="42">
        <v>45223</v>
      </c>
      <c r="K15501" s="33" t="s">
        <v>22</v>
      </c>
    </row>
    <row r="15502" spans="1:11">
      <c r="A15502" s="30" t="s">
        <v>34863</v>
      </c>
      <c r="B15502" s="30" t="s">
        <v>34864</v>
      </c>
      <c r="C15502" s="30" t="s">
        <v>34865</v>
      </c>
      <c r="D15502" s="30" t="s">
        <v>17</v>
      </c>
      <c r="E15502" s="30" t="s">
        <v>18</v>
      </c>
      <c r="F15502" s="30" t="s">
        <v>19</v>
      </c>
      <c r="G15502" s="30" t="s">
        <v>140</v>
      </c>
      <c r="H15502" s="32">
        <v>495</v>
      </c>
      <c r="I15502" s="30" t="s">
        <v>51</v>
      </c>
      <c r="J15502" s="41">
        <v>45033</v>
      </c>
      <c r="K15502" s="30" t="s">
        <v>22</v>
      </c>
    </row>
    <row r="15503" spans="1:11">
      <c r="A15503" s="33" t="s">
        <v>34866</v>
      </c>
      <c r="B15503" s="33" t="s">
        <v>34867</v>
      </c>
      <c r="C15503" s="33" t="s">
        <v>32759</v>
      </c>
      <c r="D15503" s="33" t="s">
        <v>17</v>
      </c>
      <c r="E15503" s="33" t="s">
        <v>26</v>
      </c>
      <c r="F15503" s="33" t="s">
        <v>27</v>
      </c>
      <c r="G15503" s="33" t="s">
        <v>20</v>
      </c>
      <c r="H15503" s="35">
        <v>51</v>
      </c>
      <c r="I15503" s="33" t="s">
        <v>21</v>
      </c>
      <c r="J15503" s="42">
        <v>45013</v>
      </c>
      <c r="K15503" s="33" t="s">
        <v>22</v>
      </c>
    </row>
    <row r="15504" spans="1:11">
      <c r="A15504" s="30" t="s">
        <v>34868</v>
      </c>
      <c r="B15504" s="30" t="s">
        <v>34869</v>
      </c>
      <c r="C15504" s="30" t="s">
        <v>93</v>
      </c>
      <c r="D15504" s="30" t="s">
        <v>17</v>
      </c>
      <c r="E15504" s="30" t="s">
        <v>212</v>
      </c>
      <c r="F15504" s="30" t="s">
        <v>213</v>
      </c>
      <c r="G15504" s="30" t="s">
        <v>20</v>
      </c>
      <c r="H15504" s="32">
        <v>73</v>
      </c>
      <c r="I15504" s="30" t="s">
        <v>21</v>
      </c>
      <c r="J15504" s="41">
        <v>44931</v>
      </c>
      <c r="K15504" s="30" t="s">
        <v>22</v>
      </c>
    </row>
    <row r="15505" spans="1:11">
      <c r="A15505" s="33" t="s">
        <v>34870</v>
      </c>
      <c r="B15505" s="33" t="s">
        <v>34871</v>
      </c>
      <c r="C15505" s="33" t="s">
        <v>31583</v>
      </c>
      <c r="D15505" s="33" t="s">
        <v>17</v>
      </c>
      <c r="E15505" s="33" t="s">
        <v>18</v>
      </c>
      <c r="F15505" s="33" t="s">
        <v>19</v>
      </c>
      <c r="G15505" s="33" t="s">
        <v>106</v>
      </c>
      <c r="H15505" s="35">
        <v>16</v>
      </c>
      <c r="I15505" s="33" t="s">
        <v>21</v>
      </c>
      <c r="J15505" s="42">
        <v>45167</v>
      </c>
      <c r="K15505" s="33" t="s">
        <v>22</v>
      </c>
    </row>
    <row r="15506" spans="1:11">
      <c r="A15506" s="30" t="s">
        <v>34872</v>
      </c>
      <c r="B15506" s="30" t="s">
        <v>34873</v>
      </c>
      <c r="C15506" s="30" t="s">
        <v>18438</v>
      </c>
      <c r="D15506" s="30" t="s">
        <v>17</v>
      </c>
      <c r="E15506" s="30" t="s">
        <v>26</v>
      </c>
      <c r="F15506" s="30" t="s">
        <v>27</v>
      </c>
      <c r="G15506" s="30" t="s">
        <v>20</v>
      </c>
      <c r="H15506" s="32">
        <v>8</v>
      </c>
      <c r="I15506" s="30" t="s">
        <v>21</v>
      </c>
      <c r="J15506" s="41">
        <v>45238</v>
      </c>
      <c r="K15506" s="30" t="s">
        <v>22</v>
      </c>
    </row>
    <row r="15507" spans="1:11">
      <c r="A15507" s="33" t="s">
        <v>34874</v>
      </c>
      <c r="B15507" s="33" t="s">
        <v>34875</v>
      </c>
      <c r="C15507" s="33" t="s">
        <v>3594</v>
      </c>
      <c r="D15507" s="33" t="s">
        <v>17</v>
      </c>
      <c r="E15507" s="33" t="s">
        <v>212</v>
      </c>
      <c r="F15507" s="33" t="s">
        <v>213</v>
      </c>
      <c r="G15507" s="33" t="s">
        <v>2613</v>
      </c>
      <c r="H15507" s="35">
        <v>6</v>
      </c>
      <c r="I15507" s="33" t="s">
        <v>51</v>
      </c>
      <c r="J15507" s="42">
        <v>45113</v>
      </c>
      <c r="K15507" s="33" t="s">
        <v>22</v>
      </c>
    </row>
    <row r="15508" spans="1:11">
      <c r="A15508" s="30" t="s">
        <v>34876</v>
      </c>
      <c r="B15508" s="30" t="s">
        <v>34877</v>
      </c>
      <c r="C15508" s="30" t="s">
        <v>1801</v>
      </c>
      <c r="D15508" s="30" t="s">
        <v>17</v>
      </c>
      <c r="E15508" s="30" t="s">
        <v>26</v>
      </c>
      <c r="F15508" s="30" t="s">
        <v>27</v>
      </c>
      <c r="G15508" s="30" t="s">
        <v>50</v>
      </c>
      <c r="H15508" s="32">
        <v>20</v>
      </c>
      <c r="I15508" s="30" t="s">
        <v>51</v>
      </c>
      <c r="J15508" s="41">
        <v>45023</v>
      </c>
      <c r="K15508" s="30" t="s">
        <v>22</v>
      </c>
    </row>
    <row r="15509" spans="1:11">
      <c r="A15509" s="33" t="s">
        <v>34878</v>
      </c>
      <c r="B15509" s="33" t="s">
        <v>34879</v>
      </c>
      <c r="C15509" s="33" t="s">
        <v>8768</v>
      </c>
      <c r="D15509" s="33" t="s">
        <v>17</v>
      </c>
      <c r="E15509" s="33" t="s">
        <v>18</v>
      </c>
      <c r="F15509" s="33" t="s">
        <v>19</v>
      </c>
      <c r="G15509" s="33" t="s">
        <v>140</v>
      </c>
      <c r="H15509" s="35">
        <v>110</v>
      </c>
      <c r="I15509" s="33" t="s">
        <v>51</v>
      </c>
      <c r="J15509" s="42">
        <v>45126</v>
      </c>
      <c r="K15509" s="33" t="s">
        <v>22</v>
      </c>
    </row>
    <row r="15510" spans="1:11">
      <c r="A15510" s="30" t="s">
        <v>34880</v>
      </c>
      <c r="B15510" s="30" t="s">
        <v>34881</v>
      </c>
      <c r="C15510" s="30" t="s">
        <v>310</v>
      </c>
      <c r="D15510" s="30" t="s">
        <v>17</v>
      </c>
      <c r="E15510" s="30" t="s">
        <v>26</v>
      </c>
      <c r="F15510" s="30" t="s">
        <v>27</v>
      </c>
      <c r="G15510" s="30" t="s">
        <v>20</v>
      </c>
      <c r="H15510" s="32">
        <v>36</v>
      </c>
      <c r="I15510" s="30" t="s">
        <v>21</v>
      </c>
      <c r="J15510" s="41">
        <v>45183</v>
      </c>
      <c r="K15510" s="30" t="s">
        <v>22</v>
      </c>
    </row>
    <row r="15511" spans="1:11">
      <c r="A15511" s="33" t="s">
        <v>34882</v>
      </c>
      <c r="B15511" s="33" t="s">
        <v>34883</v>
      </c>
      <c r="C15511" s="33" t="s">
        <v>17480</v>
      </c>
      <c r="D15511" s="33" t="s">
        <v>17</v>
      </c>
      <c r="E15511" s="33" t="s">
        <v>18</v>
      </c>
      <c r="F15511" s="33" t="s">
        <v>19</v>
      </c>
      <c r="G15511" s="33" t="s">
        <v>140</v>
      </c>
      <c r="H15511" s="35">
        <v>1000</v>
      </c>
      <c r="I15511" s="33" t="s">
        <v>51</v>
      </c>
      <c r="J15511" s="42">
        <v>45152</v>
      </c>
      <c r="K15511" s="33" t="s">
        <v>22</v>
      </c>
    </row>
    <row r="15512" spans="1:11">
      <c r="A15512" s="30" t="s">
        <v>34884</v>
      </c>
      <c r="B15512" s="30" t="s">
        <v>34885</v>
      </c>
      <c r="C15512" s="30" t="s">
        <v>429</v>
      </c>
      <c r="D15512" s="30" t="s">
        <v>17</v>
      </c>
      <c r="E15512" s="30" t="s">
        <v>26</v>
      </c>
      <c r="F15512" s="30" t="s">
        <v>27</v>
      </c>
      <c r="G15512" s="30" t="s">
        <v>20</v>
      </c>
      <c r="H15512" s="32">
        <v>28</v>
      </c>
      <c r="I15512" s="30" t="s">
        <v>21</v>
      </c>
      <c r="J15512" s="41">
        <v>44944</v>
      </c>
      <c r="K15512" s="30" t="s">
        <v>22</v>
      </c>
    </row>
    <row r="15513" spans="1:11">
      <c r="A15513" s="33" t="s">
        <v>34886</v>
      </c>
      <c r="B15513" s="33" t="s">
        <v>34887</v>
      </c>
      <c r="C15513" s="33" t="s">
        <v>105</v>
      </c>
      <c r="D15513" s="33" t="s">
        <v>17</v>
      </c>
      <c r="E15513" s="33" t="s">
        <v>18</v>
      </c>
      <c r="F15513" s="33" t="s">
        <v>19</v>
      </c>
      <c r="G15513" s="33" t="s">
        <v>158</v>
      </c>
      <c r="H15513" s="35">
        <v>100</v>
      </c>
      <c r="I15513" s="33" t="s">
        <v>51</v>
      </c>
      <c r="J15513" s="42">
        <v>45075</v>
      </c>
      <c r="K15513" s="33" t="s">
        <v>22</v>
      </c>
    </row>
    <row r="15514" spans="1:11">
      <c r="A15514" s="30" t="s">
        <v>34888</v>
      </c>
      <c r="B15514" s="30" t="s">
        <v>34889</v>
      </c>
      <c r="C15514" s="30" t="s">
        <v>510</v>
      </c>
      <c r="D15514" s="30" t="s">
        <v>17</v>
      </c>
      <c r="E15514" s="30" t="s">
        <v>45</v>
      </c>
      <c r="F15514" s="30" t="s">
        <v>46</v>
      </c>
      <c r="G15514" s="30" t="s">
        <v>140</v>
      </c>
      <c r="H15514" s="32">
        <v>254</v>
      </c>
      <c r="I15514" s="30" t="s">
        <v>51</v>
      </c>
      <c r="J15514" s="41">
        <v>45177</v>
      </c>
      <c r="K15514" s="30" t="s">
        <v>22</v>
      </c>
    </row>
    <row r="15515" spans="1:11">
      <c r="A15515" s="33" t="s">
        <v>34890</v>
      </c>
      <c r="B15515" s="33" t="s">
        <v>34891</v>
      </c>
      <c r="C15515" s="33" t="s">
        <v>8566</v>
      </c>
      <c r="D15515" s="33" t="s">
        <v>17</v>
      </c>
      <c r="E15515" s="33" t="s">
        <v>31</v>
      </c>
      <c r="F15515" s="33" t="s">
        <v>32</v>
      </c>
      <c r="G15515" s="33" t="s">
        <v>112</v>
      </c>
      <c r="H15515" s="35">
        <v>0</v>
      </c>
      <c r="I15515" s="33" t="s">
        <v>21</v>
      </c>
      <c r="J15515" s="42">
        <v>45170</v>
      </c>
      <c r="K15515" s="33" t="s">
        <v>22</v>
      </c>
    </row>
    <row r="15516" spans="1:11">
      <c r="A15516" s="30" t="s">
        <v>34892</v>
      </c>
      <c r="B15516" s="30" t="s">
        <v>34893</v>
      </c>
      <c r="C15516" s="30" t="s">
        <v>136</v>
      </c>
      <c r="D15516" s="30" t="s">
        <v>17</v>
      </c>
      <c r="E15516" s="30" t="s">
        <v>26</v>
      </c>
      <c r="F15516" s="30" t="s">
        <v>27</v>
      </c>
      <c r="G15516" s="30" t="s">
        <v>20</v>
      </c>
      <c r="H15516" s="32">
        <v>64</v>
      </c>
      <c r="I15516" s="30" t="s">
        <v>21</v>
      </c>
      <c r="J15516" s="41">
        <v>44967</v>
      </c>
      <c r="K15516" s="30" t="s">
        <v>22</v>
      </c>
    </row>
    <row r="15517" spans="1:11">
      <c r="A15517" s="33" t="s">
        <v>34894</v>
      </c>
      <c r="B15517" s="33" t="s">
        <v>34895</v>
      </c>
      <c r="C15517" s="33" t="s">
        <v>647</v>
      </c>
      <c r="D15517" s="33" t="s">
        <v>17</v>
      </c>
      <c r="E15517" s="33" t="s">
        <v>18</v>
      </c>
      <c r="F15517" s="33" t="s">
        <v>19</v>
      </c>
      <c r="G15517" s="33" t="s">
        <v>158</v>
      </c>
      <c r="H15517" s="35">
        <v>641</v>
      </c>
      <c r="I15517" s="33" t="s">
        <v>21</v>
      </c>
      <c r="J15517" s="42">
        <v>45002</v>
      </c>
      <c r="K15517" s="33" t="s">
        <v>22</v>
      </c>
    </row>
    <row r="15518" spans="1:11">
      <c r="A15518" s="30" t="s">
        <v>34896</v>
      </c>
      <c r="B15518" s="30" t="s">
        <v>34897</v>
      </c>
      <c r="C15518" s="30" t="s">
        <v>13981</v>
      </c>
      <c r="D15518" s="30" t="s">
        <v>17</v>
      </c>
      <c r="E15518" s="30" t="s">
        <v>18</v>
      </c>
      <c r="F15518" s="30" t="s">
        <v>19</v>
      </c>
      <c r="G15518" s="30" t="s">
        <v>106</v>
      </c>
      <c r="H15518" s="32">
        <v>27</v>
      </c>
      <c r="I15518" s="30" t="s">
        <v>21</v>
      </c>
      <c r="J15518" s="41">
        <v>45155</v>
      </c>
      <c r="K15518" s="30" t="s">
        <v>22</v>
      </c>
    </row>
    <row r="15519" spans="1:11">
      <c r="A15519" s="33" t="s">
        <v>34898</v>
      </c>
      <c r="B15519" s="33" t="s">
        <v>34899</v>
      </c>
      <c r="C15519" s="33" t="s">
        <v>190</v>
      </c>
      <c r="D15519" s="33" t="s">
        <v>17</v>
      </c>
      <c r="E15519" s="33" t="s">
        <v>26</v>
      </c>
      <c r="F15519" s="33" t="s">
        <v>27</v>
      </c>
      <c r="G15519" s="33" t="s">
        <v>20</v>
      </c>
      <c r="H15519" s="35">
        <v>108</v>
      </c>
      <c r="I15519" s="33" t="s">
        <v>21</v>
      </c>
      <c r="J15519" s="42">
        <v>45231</v>
      </c>
      <c r="K15519" s="33" t="s">
        <v>22</v>
      </c>
    </row>
    <row r="15520" spans="1:11">
      <c r="A15520" s="30" t="s">
        <v>34900</v>
      </c>
      <c r="B15520" s="30" t="s">
        <v>34901</v>
      </c>
      <c r="C15520" s="30" t="s">
        <v>13050</v>
      </c>
      <c r="D15520" s="30" t="s">
        <v>17</v>
      </c>
      <c r="E15520" s="30" t="s">
        <v>45</v>
      </c>
      <c r="F15520" s="30" t="s">
        <v>46</v>
      </c>
      <c r="G15520" s="30" t="s">
        <v>50</v>
      </c>
      <c r="H15520" s="32">
        <v>279</v>
      </c>
      <c r="I15520" s="30" t="s">
        <v>51</v>
      </c>
      <c r="J15520" s="41">
        <v>45058</v>
      </c>
      <c r="K15520" s="30" t="s">
        <v>22</v>
      </c>
    </row>
    <row r="15521" spans="1:11">
      <c r="A15521" s="33" t="s">
        <v>34902</v>
      </c>
      <c r="B15521" s="33" t="s">
        <v>34903</v>
      </c>
      <c r="C15521" s="33" t="s">
        <v>549</v>
      </c>
      <c r="D15521" s="33" t="s">
        <v>17</v>
      </c>
      <c r="E15521" s="33" t="s">
        <v>26</v>
      </c>
      <c r="F15521" s="33" t="s">
        <v>27</v>
      </c>
      <c r="G15521" s="33" t="s">
        <v>20</v>
      </c>
      <c r="H15521" s="35">
        <v>73</v>
      </c>
      <c r="I15521" s="33" t="s">
        <v>21</v>
      </c>
      <c r="J15521" s="42">
        <v>45077</v>
      </c>
      <c r="K15521" s="33" t="s">
        <v>22</v>
      </c>
    </row>
    <row r="15522" spans="1:11">
      <c r="A15522" s="30" t="s">
        <v>34904</v>
      </c>
      <c r="B15522" s="30" t="s">
        <v>34905</v>
      </c>
      <c r="C15522" s="30" t="s">
        <v>26943</v>
      </c>
      <c r="D15522" s="30" t="s">
        <v>17</v>
      </c>
      <c r="E15522" s="30" t="s">
        <v>26</v>
      </c>
      <c r="F15522" s="30" t="s">
        <v>27</v>
      </c>
      <c r="G15522" s="30" t="s">
        <v>20</v>
      </c>
      <c r="H15522" s="32">
        <v>8</v>
      </c>
      <c r="I15522" s="30" t="s">
        <v>21</v>
      </c>
      <c r="J15522" s="41">
        <v>45071</v>
      </c>
      <c r="K15522" s="30" t="s">
        <v>22</v>
      </c>
    </row>
    <row r="15523" spans="1:11">
      <c r="A15523" s="33" t="s">
        <v>34906</v>
      </c>
      <c r="B15523" s="33" t="s">
        <v>34907</v>
      </c>
      <c r="C15523" s="33" t="s">
        <v>118</v>
      </c>
      <c r="D15523" s="33" t="s">
        <v>17</v>
      </c>
      <c r="E15523" s="33" t="s">
        <v>18</v>
      </c>
      <c r="F15523" s="33" t="s">
        <v>19</v>
      </c>
      <c r="G15523" s="33" t="s">
        <v>20</v>
      </c>
      <c r="H15523" s="35">
        <v>303</v>
      </c>
      <c r="I15523" s="33" t="s">
        <v>21</v>
      </c>
      <c r="J15523" s="42">
        <v>45131</v>
      </c>
      <c r="K15523" s="33" t="s">
        <v>22</v>
      </c>
    </row>
    <row r="15524" spans="1:11">
      <c r="A15524" s="30" t="s">
        <v>34908</v>
      </c>
      <c r="B15524" s="30" t="s">
        <v>34909</v>
      </c>
      <c r="C15524" s="30" t="s">
        <v>6248</v>
      </c>
      <c r="D15524" s="30" t="s">
        <v>17</v>
      </c>
      <c r="E15524" s="30" t="s">
        <v>26</v>
      </c>
      <c r="F15524" s="30" t="s">
        <v>27</v>
      </c>
      <c r="G15524" s="30" t="s">
        <v>20</v>
      </c>
      <c r="H15524" s="32">
        <v>102</v>
      </c>
      <c r="I15524" s="30" t="s">
        <v>21</v>
      </c>
      <c r="J15524" s="41">
        <v>45055</v>
      </c>
      <c r="K15524" s="30" t="s">
        <v>22</v>
      </c>
    </row>
    <row r="15525" spans="1:11">
      <c r="A15525" s="33" t="s">
        <v>34910</v>
      </c>
      <c r="B15525" s="33" t="s">
        <v>34911</v>
      </c>
      <c r="C15525" s="33" t="s">
        <v>969</v>
      </c>
      <c r="D15525" s="33" t="s">
        <v>17</v>
      </c>
      <c r="E15525" s="33" t="s">
        <v>18</v>
      </c>
      <c r="F15525" s="33" t="s">
        <v>19</v>
      </c>
      <c r="G15525" s="33" t="s">
        <v>20</v>
      </c>
      <c r="H15525" s="35">
        <v>2000</v>
      </c>
      <c r="I15525" s="33" t="s">
        <v>21</v>
      </c>
      <c r="J15525" s="42">
        <v>45170</v>
      </c>
      <c r="K15525" s="33" t="s">
        <v>22</v>
      </c>
    </row>
    <row r="15526" spans="1:11">
      <c r="A15526" s="30" t="s">
        <v>34912</v>
      </c>
      <c r="B15526" s="30" t="s">
        <v>34913</v>
      </c>
      <c r="C15526" s="30" t="s">
        <v>14176</v>
      </c>
      <c r="D15526" s="30" t="s">
        <v>17</v>
      </c>
      <c r="E15526" s="30" t="s">
        <v>26</v>
      </c>
      <c r="F15526" s="30" t="s">
        <v>27</v>
      </c>
      <c r="G15526" s="30" t="s">
        <v>20</v>
      </c>
      <c r="H15526" s="32">
        <v>18</v>
      </c>
      <c r="I15526" s="30" t="s">
        <v>21</v>
      </c>
      <c r="J15526" s="41">
        <v>45260</v>
      </c>
      <c r="K15526" s="30" t="s">
        <v>22</v>
      </c>
    </row>
    <row r="15527" spans="1:11">
      <c r="A15527" s="33" t="s">
        <v>34914</v>
      </c>
      <c r="B15527" s="33" t="s">
        <v>34915</v>
      </c>
      <c r="C15527" s="33" t="s">
        <v>2629</v>
      </c>
      <c r="D15527" s="33" t="s">
        <v>17</v>
      </c>
      <c r="E15527" s="33" t="s">
        <v>31</v>
      </c>
      <c r="F15527" s="33" t="s">
        <v>32</v>
      </c>
      <c r="G15527" s="33" t="s">
        <v>20</v>
      </c>
      <c r="H15527" s="35">
        <v>496</v>
      </c>
      <c r="I15527" s="33" t="s">
        <v>21</v>
      </c>
      <c r="J15527" s="42">
        <v>45259</v>
      </c>
      <c r="K15527" s="33" t="s">
        <v>22</v>
      </c>
    </row>
    <row r="15528" spans="1:11">
      <c r="A15528" s="30" t="s">
        <v>34916</v>
      </c>
      <c r="B15528" s="30" t="s">
        <v>34917</v>
      </c>
      <c r="C15528" s="30" t="s">
        <v>34918</v>
      </c>
      <c r="D15528" s="30" t="s">
        <v>17</v>
      </c>
      <c r="E15528" s="30" t="s">
        <v>31</v>
      </c>
      <c r="F15528" s="30" t="s">
        <v>32</v>
      </c>
      <c r="G15528" s="30" t="s">
        <v>140</v>
      </c>
      <c r="H15528" s="32">
        <v>60</v>
      </c>
      <c r="I15528" s="30" t="s">
        <v>51</v>
      </c>
      <c r="J15528" s="41">
        <v>45161</v>
      </c>
      <c r="K15528" s="30" t="s">
        <v>22</v>
      </c>
    </row>
    <row r="15529" spans="1:11">
      <c r="A15529" s="33" t="s">
        <v>34919</v>
      </c>
      <c r="B15529" s="33" t="s">
        <v>34920</v>
      </c>
      <c r="C15529" s="33" t="s">
        <v>8069</v>
      </c>
      <c r="D15529" s="33" t="s">
        <v>17</v>
      </c>
      <c r="E15529" s="33" t="s">
        <v>31</v>
      </c>
      <c r="F15529" s="33" t="s">
        <v>32</v>
      </c>
      <c r="G15529" s="33" t="s">
        <v>20</v>
      </c>
      <c r="H15529" s="35">
        <v>16</v>
      </c>
      <c r="I15529" s="33" t="s">
        <v>21</v>
      </c>
      <c r="J15529" s="42">
        <v>45204</v>
      </c>
      <c r="K15529" s="33" t="s">
        <v>22</v>
      </c>
    </row>
    <row r="15530" spans="1:11">
      <c r="A15530" s="30" t="s">
        <v>34921</v>
      </c>
      <c r="B15530" s="30" t="s">
        <v>34922</v>
      </c>
      <c r="C15530" s="30" t="s">
        <v>44</v>
      </c>
      <c r="D15530" s="30" t="s">
        <v>17</v>
      </c>
      <c r="E15530" s="30" t="s">
        <v>26</v>
      </c>
      <c r="F15530" s="30" t="s">
        <v>27</v>
      </c>
      <c r="G15530" s="30" t="s">
        <v>140</v>
      </c>
      <c r="H15530" s="32">
        <v>107</v>
      </c>
      <c r="I15530" s="30" t="s">
        <v>51</v>
      </c>
      <c r="J15530" s="41">
        <v>45036</v>
      </c>
      <c r="K15530" s="30" t="s">
        <v>22</v>
      </c>
    </row>
    <row r="15531" spans="1:11">
      <c r="A15531" s="33" t="s">
        <v>34923</v>
      </c>
      <c r="B15531" s="33" t="s">
        <v>34924</v>
      </c>
      <c r="C15531" s="33" t="s">
        <v>13050</v>
      </c>
      <c r="D15531" s="33" t="s">
        <v>17</v>
      </c>
      <c r="E15531" s="33" t="s">
        <v>67</v>
      </c>
      <c r="F15531" s="33" t="s">
        <v>68</v>
      </c>
      <c r="G15531" s="33" t="s">
        <v>140</v>
      </c>
      <c r="H15531" s="35">
        <v>25</v>
      </c>
      <c r="I15531" s="33" t="s">
        <v>51</v>
      </c>
      <c r="J15531" s="42">
        <v>45110</v>
      </c>
      <c r="K15531" s="33" t="s">
        <v>22</v>
      </c>
    </row>
    <row r="15532" spans="1:11">
      <c r="A15532" s="30" t="s">
        <v>34925</v>
      </c>
      <c r="B15532" s="30" t="s">
        <v>34926</v>
      </c>
      <c r="C15532" s="30" t="s">
        <v>510</v>
      </c>
      <c r="D15532" s="30" t="s">
        <v>17</v>
      </c>
      <c r="E15532" s="30" t="s">
        <v>31</v>
      </c>
      <c r="F15532" s="30" t="s">
        <v>32</v>
      </c>
      <c r="G15532" s="30" t="s">
        <v>140</v>
      </c>
      <c r="H15532" s="32">
        <v>300</v>
      </c>
      <c r="I15532" s="30" t="s">
        <v>51</v>
      </c>
      <c r="J15532" s="41">
        <v>45022</v>
      </c>
      <c r="K15532" s="30" t="s">
        <v>22</v>
      </c>
    </row>
    <row r="15533" spans="1:11">
      <c r="A15533" s="33" t="s">
        <v>34927</v>
      </c>
      <c r="B15533" s="33" t="s">
        <v>34928</v>
      </c>
      <c r="C15533" s="33" t="s">
        <v>2891</v>
      </c>
      <c r="D15533" s="33" t="s">
        <v>17</v>
      </c>
      <c r="E15533" s="33" t="s">
        <v>31</v>
      </c>
      <c r="F15533" s="33" t="s">
        <v>32</v>
      </c>
      <c r="G15533" s="33" t="s">
        <v>20</v>
      </c>
      <c r="H15533" s="35">
        <v>64</v>
      </c>
      <c r="I15533" s="33" t="s">
        <v>21</v>
      </c>
      <c r="J15533" s="42">
        <v>45128</v>
      </c>
      <c r="K15533" s="33" t="s">
        <v>22</v>
      </c>
    </row>
    <row r="15534" spans="1:11">
      <c r="A15534" s="30" t="s">
        <v>34929</v>
      </c>
      <c r="B15534" s="30" t="s">
        <v>34930</v>
      </c>
      <c r="C15534" s="30" t="s">
        <v>29782</v>
      </c>
      <c r="D15534" s="30" t="s">
        <v>17</v>
      </c>
      <c r="E15534" s="30" t="s">
        <v>31</v>
      </c>
      <c r="F15534" s="30" t="s">
        <v>32</v>
      </c>
      <c r="G15534" s="30" t="s">
        <v>20</v>
      </c>
      <c r="H15534" s="32">
        <v>264</v>
      </c>
      <c r="I15534" s="30" t="s">
        <v>21</v>
      </c>
      <c r="J15534" s="41">
        <v>45061</v>
      </c>
      <c r="K15534" s="30" t="s">
        <v>22</v>
      </c>
    </row>
    <row r="15535" spans="1:11">
      <c r="A15535" s="33" t="s">
        <v>34931</v>
      </c>
      <c r="B15535" s="33" t="s">
        <v>34932</v>
      </c>
      <c r="C15535" s="33" t="s">
        <v>136</v>
      </c>
      <c r="D15535" s="33" t="s">
        <v>17</v>
      </c>
      <c r="E15535" s="33" t="s">
        <v>26</v>
      </c>
      <c r="F15535" s="33" t="s">
        <v>27</v>
      </c>
      <c r="G15535" s="33" t="s">
        <v>20</v>
      </c>
      <c r="H15535" s="35">
        <v>7</v>
      </c>
      <c r="I15535" s="33" t="s">
        <v>21</v>
      </c>
      <c r="J15535" s="42">
        <v>45002</v>
      </c>
      <c r="K15535" s="33" t="s">
        <v>22</v>
      </c>
    </row>
    <row r="15536" spans="1:11">
      <c r="A15536" s="30" t="s">
        <v>34933</v>
      </c>
      <c r="B15536" s="30" t="s">
        <v>34934</v>
      </c>
      <c r="C15536" s="30" t="s">
        <v>96</v>
      </c>
      <c r="D15536" s="30" t="s">
        <v>17</v>
      </c>
      <c r="E15536" s="30" t="s">
        <v>26</v>
      </c>
      <c r="F15536" s="30" t="s">
        <v>27</v>
      </c>
      <c r="G15536" s="30" t="s">
        <v>20</v>
      </c>
      <c r="H15536" s="32">
        <v>128</v>
      </c>
      <c r="I15536" s="30" t="s">
        <v>21</v>
      </c>
      <c r="J15536" s="41">
        <v>45099</v>
      </c>
      <c r="K15536" s="30" t="s">
        <v>22</v>
      </c>
    </row>
    <row r="15537" spans="1:11">
      <c r="A15537" s="33" t="s">
        <v>34935</v>
      </c>
      <c r="B15537" s="33" t="s">
        <v>34936</v>
      </c>
      <c r="C15537" s="33" t="s">
        <v>231</v>
      </c>
      <c r="D15537" s="33" t="s">
        <v>17</v>
      </c>
      <c r="E15537" s="33" t="s">
        <v>26</v>
      </c>
      <c r="F15537" s="33" t="s">
        <v>27</v>
      </c>
      <c r="G15537" s="33" t="s">
        <v>140</v>
      </c>
      <c r="H15537" s="35">
        <v>66</v>
      </c>
      <c r="I15537" s="33" t="s">
        <v>51</v>
      </c>
      <c r="J15537" s="42">
        <v>44981</v>
      </c>
      <c r="K15537" s="33" t="s">
        <v>22</v>
      </c>
    </row>
    <row r="15538" spans="1:11">
      <c r="A15538" s="30" t="s">
        <v>34937</v>
      </c>
      <c r="B15538" s="30" t="s">
        <v>34938</v>
      </c>
      <c r="C15538" s="30" t="s">
        <v>15755</v>
      </c>
      <c r="D15538" s="30" t="s">
        <v>17</v>
      </c>
      <c r="E15538" s="30" t="s">
        <v>31</v>
      </c>
      <c r="F15538" s="30" t="s">
        <v>32</v>
      </c>
      <c r="G15538" s="30" t="s">
        <v>20</v>
      </c>
      <c r="H15538" s="32">
        <v>5</v>
      </c>
      <c r="I15538" s="30" t="s">
        <v>21</v>
      </c>
      <c r="J15538" s="41">
        <v>44966</v>
      </c>
      <c r="K15538" s="30" t="s">
        <v>22</v>
      </c>
    </row>
    <row r="15539" spans="1:11">
      <c r="A15539" s="33" t="s">
        <v>34939</v>
      </c>
      <c r="B15539" s="33" t="s">
        <v>34940</v>
      </c>
      <c r="C15539" s="33" t="s">
        <v>7094</v>
      </c>
      <c r="D15539" s="33" t="s">
        <v>17</v>
      </c>
      <c r="E15539" s="33" t="s">
        <v>18</v>
      </c>
      <c r="F15539" s="33" t="s">
        <v>19</v>
      </c>
      <c r="G15539" s="33" t="s">
        <v>140</v>
      </c>
      <c r="H15539" s="35">
        <v>228</v>
      </c>
      <c r="I15539" s="33" t="s">
        <v>51</v>
      </c>
      <c r="J15539" s="42">
        <v>45261</v>
      </c>
      <c r="K15539" s="33" t="s">
        <v>22</v>
      </c>
    </row>
    <row r="15540" spans="1:11">
      <c r="A15540" s="30" t="s">
        <v>34941</v>
      </c>
      <c r="B15540" s="30" t="s">
        <v>34942</v>
      </c>
      <c r="C15540" s="30" t="s">
        <v>24106</v>
      </c>
      <c r="D15540" s="30" t="s">
        <v>17</v>
      </c>
      <c r="E15540" s="30" t="s">
        <v>26</v>
      </c>
      <c r="F15540" s="30" t="s">
        <v>27</v>
      </c>
      <c r="G15540" s="30" t="s">
        <v>140</v>
      </c>
      <c r="H15540" s="32">
        <v>50</v>
      </c>
      <c r="I15540" s="30" t="s">
        <v>51</v>
      </c>
      <c r="J15540" s="41">
        <v>45280</v>
      </c>
      <c r="K15540" s="30" t="s">
        <v>22</v>
      </c>
    </row>
    <row r="15541" spans="1:11">
      <c r="A15541" s="33" t="s">
        <v>34943</v>
      </c>
      <c r="B15541" s="33" t="s">
        <v>34944</v>
      </c>
      <c r="C15541" s="33" t="s">
        <v>203</v>
      </c>
      <c r="D15541" s="33" t="s">
        <v>17</v>
      </c>
      <c r="E15541" s="33" t="s">
        <v>31</v>
      </c>
      <c r="F15541" s="33" t="s">
        <v>32</v>
      </c>
      <c r="G15541" s="33" t="s">
        <v>158</v>
      </c>
      <c r="H15541" s="35">
        <v>999</v>
      </c>
      <c r="I15541" s="33" t="s">
        <v>21</v>
      </c>
      <c r="J15541" s="42">
        <v>45019</v>
      </c>
      <c r="K15541" s="33" t="s">
        <v>22</v>
      </c>
    </row>
    <row r="15542" spans="1:11">
      <c r="A15542" s="30" t="s">
        <v>34945</v>
      </c>
      <c r="B15542" s="30" t="s">
        <v>34946</v>
      </c>
      <c r="C15542" s="30" t="s">
        <v>78</v>
      </c>
      <c r="D15542" s="30" t="s">
        <v>17</v>
      </c>
      <c r="E15542" s="30" t="s">
        <v>26</v>
      </c>
      <c r="F15542" s="30" t="s">
        <v>27</v>
      </c>
      <c r="G15542" s="30" t="s">
        <v>20</v>
      </c>
      <c r="H15542" s="32">
        <v>30</v>
      </c>
      <c r="I15542" s="30" t="s">
        <v>21</v>
      </c>
      <c r="J15542" s="41">
        <v>45121</v>
      </c>
      <c r="K15542" s="30" t="s">
        <v>22</v>
      </c>
    </row>
    <row r="15543" spans="1:11">
      <c r="A15543" s="33" t="s">
        <v>34947</v>
      </c>
      <c r="B15543" s="33" t="s">
        <v>34948</v>
      </c>
      <c r="C15543" s="33" t="s">
        <v>32981</v>
      </c>
      <c r="D15543" s="33" t="s">
        <v>17</v>
      </c>
      <c r="E15543" s="33" t="s">
        <v>18</v>
      </c>
      <c r="F15543" s="33" t="s">
        <v>19</v>
      </c>
      <c r="G15543" s="33" t="s">
        <v>140</v>
      </c>
      <c r="H15543" s="35">
        <v>198</v>
      </c>
      <c r="I15543" s="33" t="s">
        <v>51</v>
      </c>
      <c r="J15543" s="42">
        <v>45261</v>
      </c>
      <c r="K15543" s="33" t="s">
        <v>22</v>
      </c>
    </row>
    <row r="15544" spans="1:11">
      <c r="A15544" s="30" t="s">
        <v>34949</v>
      </c>
      <c r="B15544" s="30" t="s">
        <v>34950</v>
      </c>
      <c r="C15544" s="30" t="s">
        <v>11239</v>
      </c>
      <c r="D15544" s="30" t="s">
        <v>17</v>
      </c>
      <c r="E15544" s="30" t="s">
        <v>18</v>
      </c>
      <c r="F15544" s="30" t="s">
        <v>19</v>
      </c>
      <c r="G15544" s="30" t="s">
        <v>20</v>
      </c>
      <c r="H15544" s="32">
        <v>121</v>
      </c>
      <c r="I15544" s="30" t="s">
        <v>21</v>
      </c>
      <c r="J15544" s="41">
        <v>45008</v>
      </c>
      <c r="K15544" s="30" t="s">
        <v>22</v>
      </c>
    </row>
    <row r="15545" spans="1:11">
      <c r="A15545" s="33" t="s">
        <v>34951</v>
      </c>
      <c r="B15545" s="33" t="s">
        <v>34952</v>
      </c>
      <c r="C15545" s="33" t="s">
        <v>27211</v>
      </c>
      <c r="D15545" s="33" t="s">
        <v>17</v>
      </c>
      <c r="E15545" s="33" t="s">
        <v>67</v>
      </c>
      <c r="F15545" s="33" t="s">
        <v>68</v>
      </c>
      <c r="G15545" s="33" t="s">
        <v>140</v>
      </c>
      <c r="H15545" s="35">
        <v>78</v>
      </c>
      <c r="I15545" s="33" t="s">
        <v>51</v>
      </c>
      <c r="J15545" s="42">
        <v>45153</v>
      </c>
      <c r="K15545" s="33" t="s">
        <v>22</v>
      </c>
    </row>
    <row r="15546" spans="1:11">
      <c r="A15546" s="30" t="s">
        <v>34953</v>
      </c>
      <c r="B15546" s="30" t="s">
        <v>34954</v>
      </c>
      <c r="C15546" s="30" t="s">
        <v>14483</v>
      </c>
      <c r="D15546" s="30" t="s">
        <v>17</v>
      </c>
      <c r="E15546" s="30" t="s">
        <v>26</v>
      </c>
      <c r="F15546" s="30" t="s">
        <v>27</v>
      </c>
      <c r="G15546" s="30" t="s">
        <v>20</v>
      </c>
      <c r="H15546" s="32">
        <v>48</v>
      </c>
      <c r="I15546" s="30" t="s">
        <v>21</v>
      </c>
      <c r="J15546" s="41">
        <v>45188</v>
      </c>
      <c r="K15546" s="30" t="s">
        <v>22</v>
      </c>
    </row>
    <row r="15547" spans="1:11">
      <c r="A15547" s="33" t="s">
        <v>34955</v>
      </c>
      <c r="B15547" s="33" t="s">
        <v>34956</v>
      </c>
      <c r="C15547" s="33" t="s">
        <v>16597</v>
      </c>
      <c r="D15547" s="33" t="s">
        <v>17</v>
      </c>
      <c r="E15547" s="33" t="s">
        <v>18</v>
      </c>
      <c r="F15547" s="33" t="s">
        <v>19</v>
      </c>
      <c r="G15547" s="33" t="s">
        <v>20</v>
      </c>
      <c r="H15547" s="35">
        <v>551</v>
      </c>
      <c r="I15547" s="33" t="s">
        <v>21</v>
      </c>
      <c r="J15547" s="42">
        <v>45243</v>
      </c>
      <c r="K15547" s="33" t="s">
        <v>22</v>
      </c>
    </row>
    <row r="15548" spans="1:11">
      <c r="A15548" s="30" t="s">
        <v>34957</v>
      </c>
      <c r="B15548" s="30" t="s">
        <v>34958</v>
      </c>
      <c r="C15548" s="30" t="s">
        <v>34959</v>
      </c>
      <c r="D15548" s="30" t="s">
        <v>17</v>
      </c>
      <c r="E15548" s="30" t="s">
        <v>31</v>
      </c>
      <c r="F15548" s="30" t="s">
        <v>32</v>
      </c>
      <c r="G15548" s="30" t="s">
        <v>50</v>
      </c>
      <c r="H15548" s="32">
        <v>108</v>
      </c>
      <c r="I15548" s="30" t="s">
        <v>51</v>
      </c>
      <c r="J15548" s="41">
        <v>45108</v>
      </c>
      <c r="K15548" s="30" t="s">
        <v>22</v>
      </c>
    </row>
    <row r="15549" spans="1:11">
      <c r="A15549" s="33" t="s">
        <v>34960</v>
      </c>
      <c r="B15549" s="33" t="s">
        <v>34961</v>
      </c>
      <c r="C15549" s="33" t="s">
        <v>721</v>
      </c>
      <c r="D15549" s="33" t="s">
        <v>17</v>
      </c>
      <c r="E15549" s="33" t="s">
        <v>31</v>
      </c>
      <c r="F15549" s="33" t="s">
        <v>32</v>
      </c>
      <c r="G15549" s="33" t="s">
        <v>20</v>
      </c>
      <c r="H15549" s="35">
        <v>303</v>
      </c>
      <c r="I15549" s="33" t="s">
        <v>21</v>
      </c>
      <c r="J15549" s="42">
        <v>45128</v>
      </c>
      <c r="K15549" s="33" t="s">
        <v>22</v>
      </c>
    </row>
    <row r="15550" spans="1:11">
      <c r="A15550" s="30" t="s">
        <v>34962</v>
      </c>
      <c r="B15550" s="30" t="s">
        <v>34963</v>
      </c>
      <c r="C15550" s="30" t="s">
        <v>149</v>
      </c>
      <c r="D15550" s="30" t="s">
        <v>17</v>
      </c>
      <c r="E15550" s="30" t="s">
        <v>18</v>
      </c>
      <c r="F15550" s="30" t="s">
        <v>19</v>
      </c>
      <c r="G15550" s="30" t="s">
        <v>20</v>
      </c>
      <c r="H15550" s="32">
        <v>423</v>
      </c>
      <c r="I15550" s="30" t="s">
        <v>21</v>
      </c>
      <c r="J15550" s="41">
        <v>45016</v>
      </c>
      <c r="K15550" s="30" t="s">
        <v>22</v>
      </c>
    </row>
    <row r="15551" spans="1:11">
      <c r="A15551" s="33" t="s">
        <v>34964</v>
      </c>
      <c r="B15551" s="33" t="s">
        <v>34965</v>
      </c>
      <c r="C15551" s="33" t="s">
        <v>109</v>
      </c>
      <c r="D15551" s="33" t="s">
        <v>17</v>
      </c>
      <c r="E15551" s="33" t="s">
        <v>31</v>
      </c>
      <c r="F15551" s="33" t="s">
        <v>32</v>
      </c>
      <c r="G15551" s="33" t="s">
        <v>158</v>
      </c>
      <c r="H15551" s="35">
        <v>63</v>
      </c>
      <c r="I15551" s="33" t="s">
        <v>21</v>
      </c>
      <c r="J15551" s="42">
        <v>45051</v>
      </c>
      <c r="K15551" s="33" t="s">
        <v>22</v>
      </c>
    </row>
    <row r="15552" spans="1:11">
      <c r="A15552" s="30" t="s">
        <v>34966</v>
      </c>
      <c r="B15552" s="30" t="s">
        <v>34967</v>
      </c>
      <c r="C15552" s="30" t="s">
        <v>32473</v>
      </c>
      <c r="D15552" s="30" t="s">
        <v>17</v>
      </c>
      <c r="E15552" s="30" t="s">
        <v>18</v>
      </c>
      <c r="F15552" s="30" t="s">
        <v>19</v>
      </c>
      <c r="G15552" s="30" t="s">
        <v>140</v>
      </c>
      <c r="H15552" s="32">
        <v>620</v>
      </c>
      <c r="I15552" s="30" t="s">
        <v>51</v>
      </c>
      <c r="J15552" s="41">
        <v>45077</v>
      </c>
      <c r="K15552" s="30" t="s">
        <v>22</v>
      </c>
    </row>
    <row r="15553" spans="1:11">
      <c r="A15553" s="33" t="s">
        <v>34968</v>
      </c>
      <c r="B15553" s="33" t="s">
        <v>34969</v>
      </c>
      <c r="C15553" s="33" t="s">
        <v>34970</v>
      </c>
      <c r="D15553" s="33" t="s">
        <v>17</v>
      </c>
      <c r="E15553" s="33" t="s">
        <v>26</v>
      </c>
      <c r="F15553" s="33" t="s">
        <v>27</v>
      </c>
      <c r="G15553" s="33" t="s">
        <v>50</v>
      </c>
      <c r="H15553" s="35">
        <v>29</v>
      </c>
      <c r="I15553" s="33" t="s">
        <v>51</v>
      </c>
      <c r="J15553" s="42">
        <v>45047</v>
      </c>
      <c r="K15553" s="33" t="s">
        <v>22</v>
      </c>
    </row>
    <row r="15554" spans="1:11">
      <c r="A15554" s="30" t="s">
        <v>34971</v>
      </c>
      <c r="B15554" s="30" t="s">
        <v>34972</v>
      </c>
      <c r="C15554" s="30" t="s">
        <v>969</v>
      </c>
      <c r="D15554" s="30" t="s">
        <v>17</v>
      </c>
      <c r="E15554" s="30" t="s">
        <v>18</v>
      </c>
      <c r="F15554" s="30" t="s">
        <v>19</v>
      </c>
      <c r="G15554" s="30" t="s">
        <v>140</v>
      </c>
      <c r="H15554" s="32">
        <v>292</v>
      </c>
      <c r="I15554" s="30" t="s">
        <v>51</v>
      </c>
      <c r="J15554" s="41">
        <v>45041</v>
      </c>
      <c r="K15554" s="30" t="s">
        <v>22</v>
      </c>
    </row>
    <row r="15555" spans="1:11">
      <c r="A15555" s="33" t="s">
        <v>34973</v>
      </c>
      <c r="B15555" s="33" t="s">
        <v>34974</v>
      </c>
      <c r="C15555" s="33" t="s">
        <v>190</v>
      </c>
      <c r="D15555" s="33" t="s">
        <v>17</v>
      </c>
      <c r="E15555" s="33" t="s">
        <v>26</v>
      </c>
      <c r="F15555" s="33" t="s">
        <v>27</v>
      </c>
      <c r="G15555" s="33" t="s">
        <v>106</v>
      </c>
      <c r="H15555" s="35">
        <v>30</v>
      </c>
      <c r="I15555" s="33" t="s">
        <v>21</v>
      </c>
      <c r="J15555" s="42">
        <v>45027</v>
      </c>
      <c r="K15555" s="33" t="s">
        <v>22</v>
      </c>
    </row>
    <row r="15556" spans="1:11">
      <c r="A15556" s="30" t="s">
        <v>34975</v>
      </c>
      <c r="B15556" s="30" t="s">
        <v>22009</v>
      </c>
      <c r="C15556" s="30" t="s">
        <v>22010</v>
      </c>
      <c r="D15556" s="30" t="s">
        <v>17</v>
      </c>
      <c r="E15556" s="30" t="s">
        <v>26</v>
      </c>
      <c r="F15556" s="30" t="s">
        <v>27</v>
      </c>
      <c r="G15556" s="30" t="s">
        <v>20</v>
      </c>
      <c r="H15556" s="32">
        <v>19</v>
      </c>
      <c r="I15556" s="30" t="s">
        <v>21</v>
      </c>
      <c r="J15556" s="41">
        <v>44981</v>
      </c>
      <c r="K15556" s="30" t="s">
        <v>22</v>
      </c>
    </row>
    <row r="15557" spans="1:11">
      <c r="A15557" s="33" t="s">
        <v>34976</v>
      </c>
      <c r="B15557" s="33" t="s">
        <v>34977</v>
      </c>
      <c r="C15557" s="33" t="s">
        <v>2220</v>
      </c>
      <c r="D15557" s="33" t="s">
        <v>17</v>
      </c>
      <c r="E15557" s="33" t="s">
        <v>18</v>
      </c>
      <c r="F15557" s="33" t="s">
        <v>19</v>
      </c>
      <c r="G15557" s="33" t="s">
        <v>158</v>
      </c>
      <c r="H15557" s="35">
        <v>170</v>
      </c>
      <c r="I15557" s="33" t="s">
        <v>51</v>
      </c>
      <c r="J15557" s="42">
        <v>45257</v>
      </c>
      <c r="K15557" s="33" t="s">
        <v>22</v>
      </c>
    </row>
    <row r="15558" spans="1:11">
      <c r="A15558" s="30" t="s">
        <v>34978</v>
      </c>
      <c r="B15558" s="30" t="s">
        <v>34979</v>
      </c>
      <c r="C15558" s="30" t="s">
        <v>13181</v>
      </c>
      <c r="D15558" s="30" t="s">
        <v>17</v>
      </c>
      <c r="E15558" s="30" t="s">
        <v>31</v>
      </c>
      <c r="F15558" s="30" t="s">
        <v>32</v>
      </c>
      <c r="G15558" s="30" t="s">
        <v>140</v>
      </c>
      <c r="H15558" s="32">
        <v>97</v>
      </c>
      <c r="I15558" s="30" t="s">
        <v>51</v>
      </c>
      <c r="J15558" s="41">
        <v>45009</v>
      </c>
      <c r="K15558" s="30" t="s">
        <v>22</v>
      </c>
    </row>
    <row r="15559" spans="1:11">
      <c r="A15559" s="33" t="s">
        <v>34980</v>
      </c>
      <c r="B15559" s="33" t="s">
        <v>34981</v>
      </c>
      <c r="C15559" s="33" t="s">
        <v>12458</v>
      </c>
      <c r="D15559" s="33" t="s">
        <v>17</v>
      </c>
      <c r="E15559" s="33" t="s">
        <v>45</v>
      </c>
      <c r="F15559" s="33" t="s">
        <v>46</v>
      </c>
      <c r="G15559" s="33" t="s">
        <v>20</v>
      </c>
      <c r="H15559" s="35">
        <v>92</v>
      </c>
      <c r="I15559" s="33" t="s">
        <v>21</v>
      </c>
      <c r="J15559" s="42">
        <v>45070</v>
      </c>
      <c r="K15559" s="33" t="s">
        <v>22</v>
      </c>
    </row>
    <row r="15560" spans="1:11">
      <c r="A15560" s="30" t="s">
        <v>34982</v>
      </c>
      <c r="B15560" s="30" t="s">
        <v>34983</v>
      </c>
      <c r="C15560" s="30" t="s">
        <v>12561</v>
      </c>
      <c r="D15560" s="30" t="s">
        <v>17</v>
      </c>
      <c r="E15560" s="30" t="s">
        <v>26</v>
      </c>
      <c r="F15560" s="30" t="s">
        <v>27</v>
      </c>
      <c r="G15560" s="30" t="s">
        <v>140</v>
      </c>
      <c r="H15560" s="32">
        <v>84</v>
      </c>
      <c r="I15560" s="30" t="s">
        <v>51</v>
      </c>
      <c r="J15560" s="41">
        <v>45272</v>
      </c>
      <c r="K15560" s="30" t="s">
        <v>22</v>
      </c>
    </row>
    <row r="15561" spans="1:11">
      <c r="A15561" s="33" t="s">
        <v>34984</v>
      </c>
      <c r="B15561" s="33" t="s">
        <v>34985</v>
      </c>
      <c r="C15561" s="33" t="s">
        <v>157</v>
      </c>
      <c r="D15561" s="33" t="s">
        <v>17</v>
      </c>
      <c r="E15561" s="33" t="s">
        <v>26</v>
      </c>
      <c r="F15561" s="33" t="s">
        <v>27</v>
      </c>
      <c r="G15561" s="33" t="s">
        <v>20</v>
      </c>
      <c r="H15561" s="35">
        <v>32</v>
      </c>
      <c r="I15561" s="33" t="s">
        <v>21</v>
      </c>
      <c r="J15561" s="42">
        <v>45132</v>
      </c>
      <c r="K15561" s="33" t="s">
        <v>22</v>
      </c>
    </row>
    <row r="15562" spans="1:11">
      <c r="A15562" s="30" t="s">
        <v>34986</v>
      </c>
      <c r="B15562" s="30" t="s">
        <v>27785</v>
      </c>
      <c r="C15562" s="30" t="s">
        <v>14719</v>
      </c>
      <c r="D15562" s="30" t="s">
        <v>17</v>
      </c>
      <c r="E15562" s="30" t="s">
        <v>26</v>
      </c>
      <c r="F15562" s="30" t="s">
        <v>27</v>
      </c>
      <c r="G15562" s="30" t="s">
        <v>106</v>
      </c>
      <c r="H15562" s="32">
        <v>8</v>
      </c>
      <c r="I15562" s="30" t="s">
        <v>21</v>
      </c>
      <c r="J15562" s="41">
        <v>44979</v>
      </c>
      <c r="K15562" s="30" t="s">
        <v>22</v>
      </c>
    </row>
    <row r="15563" spans="1:11">
      <c r="A15563" s="33" t="s">
        <v>34987</v>
      </c>
      <c r="B15563" s="33" t="s">
        <v>34988</v>
      </c>
      <c r="C15563" s="33" t="s">
        <v>34989</v>
      </c>
      <c r="D15563" s="33" t="s">
        <v>17</v>
      </c>
      <c r="E15563" s="33" t="s">
        <v>18</v>
      </c>
      <c r="F15563" s="33" t="s">
        <v>19</v>
      </c>
      <c r="G15563" s="33" t="s">
        <v>20</v>
      </c>
      <c r="H15563" s="35">
        <v>323</v>
      </c>
      <c r="I15563" s="33" t="s">
        <v>21</v>
      </c>
      <c r="J15563" s="42">
        <v>45190</v>
      </c>
      <c r="K15563" s="33" t="s">
        <v>22</v>
      </c>
    </row>
    <row r="15564" spans="1:11">
      <c r="A15564" s="30" t="s">
        <v>34990</v>
      </c>
      <c r="B15564" s="30" t="s">
        <v>34991</v>
      </c>
      <c r="C15564" s="30" t="s">
        <v>34992</v>
      </c>
      <c r="D15564" s="30" t="s">
        <v>17</v>
      </c>
      <c r="E15564" s="30" t="s">
        <v>26</v>
      </c>
      <c r="F15564" s="30" t="s">
        <v>27</v>
      </c>
      <c r="G15564" s="30" t="s">
        <v>20</v>
      </c>
      <c r="H15564" s="32">
        <v>51</v>
      </c>
      <c r="I15564" s="30" t="s">
        <v>21</v>
      </c>
      <c r="J15564" s="41">
        <v>45125</v>
      </c>
      <c r="K15564" s="30" t="s">
        <v>22</v>
      </c>
    </row>
    <row r="15565" spans="1:11">
      <c r="A15565" s="33" t="s">
        <v>34993</v>
      </c>
      <c r="B15565" s="33" t="s">
        <v>34994</v>
      </c>
      <c r="C15565" s="33" t="s">
        <v>554</v>
      </c>
      <c r="D15565" s="33" t="s">
        <v>17</v>
      </c>
      <c r="E15565" s="33" t="s">
        <v>26</v>
      </c>
      <c r="F15565" s="33" t="s">
        <v>27</v>
      </c>
      <c r="G15565" s="33" t="s">
        <v>20</v>
      </c>
      <c r="H15565" s="35">
        <v>32</v>
      </c>
      <c r="I15565" s="33" t="s">
        <v>21</v>
      </c>
      <c r="J15565" s="42">
        <v>44963</v>
      </c>
      <c r="K15565" s="33" t="s">
        <v>22</v>
      </c>
    </row>
    <row r="15566" spans="1:11">
      <c r="A15566" s="30" t="s">
        <v>34995</v>
      </c>
      <c r="B15566" s="30" t="s">
        <v>34996</v>
      </c>
      <c r="C15566" s="30" t="s">
        <v>3917</v>
      </c>
      <c r="D15566" s="30" t="s">
        <v>17</v>
      </c>
      <c r="E15566" s="30" t="s">
        <v>31</v>
      </c>
      <c r="F15566" s="30" t="s">
        <v>32</v>
      </c>
      <c r="G15566" s="30" t="s">
        <v>158</v>
      </c>
      <c r="H15566" s="32">
        <v>145</v>
      </c>
      <c r="I15566" s="30" t="s">
        <v>21</v>
      </c>
      <c r="J15566" s="41">
        <v>45271</v>
      </c>
      <c r="K15566" s="30" t="s">
        <v>22</v>
      </c>
    </row>
    <row r="15567" spans="1:11">
      <c r="A15567" s="33" t="s">
        <v>34997</v>
      </c>
      <c r="B15567" s="33" t="s">
        <v>34998</v>
      </c>
      <c r="C15567" s="33" t="s">
        <v>2334</v>
      </c>
      <c r="D15567" s="33" t="s">
        <v>17</v>
      </c>
      <c r="E15567" s="33" t="s">
        <v>18</v>
      </c>
      <c r="F15567" s="33" t="s">
        <v>19</v>
      </c>
      <c r="G15567" s="33" t="s">
        <v>20</v>
      </c>
      <c r="H15567" s="35">
        <v>114</v>
      </c>
      <c r="I15567" s="33" t="s">
        <v>21</v>
      </c>
      <c r="J15567" s="42">
        <v>45240</v>
      </c>
      <c r="K15567" s="33" t="s">
        <v>22</v>
      </c>
    </row>
    <row r="15568" spans="1:11">
      <c r="A15568" s="30" t="s">
        <v>34999</v>
      </c>
      <c r="B15568" s="30" t="s">
        <v>35000</v>
      </c>
      <c r="C15568" s="30" t="s">
        <v>1178</v>
      </c>
      <c r="D15568" s="30" t="s">
        <v>17</v>
      </c>
      <c r="E15568" s="30" t="s">
        <v>26</v>
      </c>
      <c r="F15568" s="30" t="s">
        <v>27</v>
      </c>
      <c r="G15568" s="30" t="s">
        <v>20</v>
      </c>
      <c r="H15568" s="32">
        <v>26</v>
      </c>
      <c r="I15568" s="30" t="s">
        <v>21</v>
      </c>
      <c r="J15568" s="41">
        <v>45152</v>
      </c>
      <c r="K15568" s="30" t="s">
        <v>22</v>
      </c>
    </row>
    <row r="15569" spans="1:11">
      <c r="A15569" s="33" t="s">
        <v>35001</v>
      </c>
      <c r="B15569" s="33" t="s">
        <v>35002</v>
      </c>
      <c r="C15569" s="33" t="s">
        <v>35003</v>
      </c>
      <c r="D15569" s="33" t="s">
        <v>17</v>
      </c>
      <c r="E15569" s="33" t="s">
        <v>31</v>
      </c>
      <c r="F15569" s="33" t="s">
        <v>32</v>
      </c>
      <c r="G15569" s="33" t="s">
        <v>50</v>
      </c>
      <c r="H15569" s="35">
        <v>300</v>
      </c>
      <c r="I15569" s="33" t="s">
        <v>51</v>
      </c>
      <c r="J15569" s="42">
        <v>45230</v>
      </c>
      <c r="K15569" s="33" t="s">
        <v>22</v>
      </c>
    </row>
    <row r="15570" spans="1:11">
      <c r="A15570" s="30" t="s">
        <v>35004</v>
      </c>
      <c r="B15570" s="30" t="s">
        <v>35005</v>
      </c>
      <c r="C15570" s="30" t="s">
        <v>136</v>
      </c>
      <c r="D15570" s="30" t="s">
        <v>17</v>
      </c>
      <c r="E15570" s="30" t="s">
        <v>26</v>
      </c>
      <c r="F15570" s="30" t="s">
        <v>27</v>
      </c>
      <c r="G15570" s="30" t="s">
        <v>20</v>
      </c>
      <c r="H15570" s="32">
        <v>24</v>
      </c>
      <c r="I15570" s="30" t="s">
        <v>21</v>
      </c>
      <c r="J15570" s="41">
        <v>45120</v>
      </c>
      <c r="K15570" s="30" t="s">
        <v>22</v>
      </c>
    </row>
    <row r="15571" spans="1:11">
      <c r="A15571" s="33" t="s">
        <v>35006</v>
      </c>
      <c r="B15571" s="33" t="s">
        <v>35007</v>
      </c>
      <c r="C15571" s="33" t="s">
        <v>3679</v>
      </c>
      <c r="D15571" s="33" t="s">
        <v>17</v>
      </c>
      <c r="E15571" s="33" t="s">
        <v>18</v>
      </c>
      <c r="F15571" s="33" t="s">
        <v>19</v>
      </c>
      <c r="G15571" s="33" t="s">
        <v>20</v>
      </c>
      <c r="H15571" s="35">
        <v>396</v>
      </c>
      <c r="I15571" s="33" t="s">
        <v>21</v>
      </c>
      <c r="J15571" s="42">
        <v>45059</v>
      </c>
      <c r="K15571" s="33" t="s">
        <v>22</v>
      </c>
    </row>
    <row r="15572" spans="1:11">
      <c r="A15572" s="30" t="s">
        <v>35008</v>
      </c>
      <c r="B15572" s="30" t="s">
        <v>35009</v>
      </c>
      <c r="C15572" s="30" t="s">
        <v>7423</v>
      </c>
      <c r="D15572" s="30" t="s">
        <v>17</v>
      </c>
      <c r="E15572" s="30" t="s">
        <v>26</v>
      </c>
      <c r="F15572" s="30" t="s">
        <v>27</v>
      </c>
      <c r="G15572" s="30" t="s">
        <v>106</v>
      </c>
      <c r="H15572" s="32">
        <v>25</v>
      </c>
      <c r="I15572" s="30" t="s">
        <v>21</v>
      </c>
      <c r="J15572" s="41">
        <v>45201</v>
      </c>
      <c r="K15572" s="30" t="s">
        <v>22</v>
      </c>
    </row>
    <row r="15573" spans="1:11">
      <c r="A15573" s="33" t="s">
        <v>35010</v>
      </c>
      <c r="B15573" s="33" t="s">
        <v>35011</v>
      </c>
      <c r="C15573" s="33" t="s">
        <v>353</v>
      </c>
      <c r="D15573" s="33" t="s">
        <v>17</v>
      </c>
      <c r="E15573" s="33" t="s">
        <v>26</v>
      </c>
      <c r="F15573" s="33" t="s">
        <v>27</v>
      </c>
      <c r="G15573" s="33" t="s">
        <v>50</v>
      </c>
      <c r="H15573" s="35">
        <v>80</v>
      </c>
      <c r="I15573" s="33" t="s">
        <v>51</v>
      </c>
      <c r="J15573" s="42">
        <v>44970</v>
      </c>
      <c r="K15573" s="33" t="s">
        <v>22</v>
      </c>
    </row>
    <row r="15574" spans="1:11">
      <c r="A15574" s="30" t="s">
        <v>35012</v>
      </c>
      <c r="B15574" s="30" t="s">
        <v>35013</v>
      </c>
      <c r="C15574" s="30" t="s">
        <v>7072</v>
      </c>
      <c r="D15574" s="30" t="s">
        <v>17</v>
      </c>
      <c r="E15574" s="30" t="s">
        <v>18</v>
      </c>
      <c r="F15574" s="30" t="s">
        <v>19</v>
      </c>
      <c r="G15574" s="30" t="s">
        <v>158</v>
      </c>
      <c r="H15574" s="32">
        <v>365</v>
      </c>
      <c r="I15574" s="30" t="s">
        <v>21</v>
      </c>
      <c r="J15574" s="41">
        <v>45125</v>
      </c>
      <c r="K15574" s="30" t="s">
        <v>22</v>
      </c>
    </row>
    <row r="15575" spans="1:11">
      <c r="A15575" s="33" t="s">
        <v>35014</v>
      </c>
      <c r="B15575" s="33" t="s">
        <v>35015</v>
      </c>
      <c r="C15575" s="33" t="s">
        <v>7072</v>
      </c>
      <c r="D15575" s="33" t="s">
        <v>17</v>
      </c>
      <c r="E15575" s="33" t="s">
        <v>26</v>
      </c>
      <c r="F15575" s="33" t="s">
        <v>27</v>
      </c>
      <c r="G15575" s="33" t="s">
        <v>158</v>
      </c>
      <c r="H15575" s="35">
        <v>54</v>
      </c>
      <c r="I15575" s="33" t="s">
        <v>51</v>
      </c>
      <c r="J15575" s="42">
        <v>45113</v>
      </c>
      <c r="K15575" s="33" t="s">
        <v>22</v>
      </c>
    </row>
    <row r="15576" spans="1:11">
      <c r="A15576" s="30" t="s">
        <v>35016</v>
      </c>
      <c r="B15576" s="30" t="s">
        <v>35017</v>
      </c>
      <c r="C15576" s="30" t="s">
        <v>925</v>
      </c>
      <c r="D15576" s="30" t="s">
        <v>17</v>
      </c>
      <c r="E15576" s="30" t="s">
        <v>26</v>
      </c>
      <c r="F15576" s="30" t="s">
        <v>27</v>
      </c>
      <c r="G15576" s="30" t="s">
        <v>20</v>
      </c>
      <c r="H15576" s="32">
        <v>83</v>
      </c>
      <c r="I15576" s="30" t="s">
        <v>21</v>
      </c>
      <c r="J15576" s="41">
        <v>45019</v>
      </c>
      <c r="K15576" s="30" t="s">
        <v>22</v>
      </c>
    </row>
    <row r="15577" spans="1:11">
      <c r="A15577" s="33" t="s">
        <v>35018</v>
      </c>
      <c r="B15577" s="33" t="s">
        <v>35019</v>
      </c>
      <c r="C15577" s="33" t="s">
        <v>14835</v>
      </c>
      <c r="D15577" s="33" t="s">
        <v>17</v>
      </c>
      <c r="E15577" s="33" t="s">
        <v>26</v>
      </c>
      <c r="F15577" s="33" t="s">
        <v>27</v>
      </c>
      <c r="G15577" s="33" t="s">
        <v>140</v>
      </c>
      <c r="H15577" s="35">
        <v>126</v>
      </c>
      <c r="I15577" s="33" t="s">
        <v>51</v>
      </c>
      <c r="J15577" s="42">
        <v>45257</v>
      </c>
      <c r="K15577" s="33" t="s">
        <v>22</v>
      </c>
    </row>
    <row r="15578" spans="1:11">
      <c r="A15578" s="30" t="s">
        <v>35020</v>
      </c>
      <c r="B15578" s="30" t="s">
        <v>35021</v>
      </c>
      <c r="C15578" s="30" t="s">
        <v>5845</v>
      </c>
      <c r="D15578" s="30" t="s">
        <v>17</v>
      </c>
      <c r="E15578" s="30" t="s">
        <v>26</v>
      </c>
      <c r="F15578" s="30" t="s">
        <v>27</v>
      </c>
      <c r="G15578" s="30" t="s">
        <v>20</v>
      </c>
      <c r="H15578" s="32">
        <v>16</v>
      </c>
      <c r="I15578" s="30" t="s">
        <v>21</v>
      </c>
      <c r="J15578" s="41">
        <v>45085</v>
      </c>
      <c r="K15578" s="30" t="s">
        <v>22</v>
      </c>
    </row>
    <row r="15579" spans="1:11">
      <c r="A15579" s="33" t="s">
        <v>35022</v>
      </c>
      <c r="B15579" s="33" t="s">
        <v>35023</v>
      </c>
      <c r="C15579" s="33" t="s">
        <v>35024</v>
      </c>
      <c r="D15579" s="33" t="s">
        <v>17</v>
      </c>
      <c r="E15579" s="33" t="s">
        <v>67</v>
      </c>
      <c r="F15579" s="33" t="s">
        <v>68</v>
      </c>
      <c r="G15579" s="33" t="s">
        <v>140</v>
      </c>
      <c r="H15579" s="35">
        <v>225</v>
      </c>
      <c r="I15579" s="33" t="s">
        <v>51</v>
      </c>
      <c r="J15579" s="42">
        <v>45041</v>
      </c>
      <c r="K15579" s="33" t="s">
        <v>22</v>
      </c>
    </row>
    <row r="15580" spans="1:11">
      <c r="A15580" s="30" t="s">
        <v>35025</v>
      </c>
      <c r="B15580" s="30" t="s">
        <v>35026</v>
      </c>
      <c r="C15580" s="30" t="s">
        <v>10359</v>
      </c>
      <c r="D15580" s="30" t="s">
        <v>17</v>
      </c>
      <c r="E15580" s="30" t="s">
        <v>18</v>
      </c>
      <c r="F15580" s="30" t="s">
        <v>19</v>
      </c>
      <c r="G15580" s="30" t="s">
        <v>158</v>
      </c>
      <c r="H15580" s="32">
        <v>54</v>
      </c>
      <c r="I15580" s="30" t="s">
        <v>51</v>
      </c>
      <c r="J15580" s="41">
        <v>45273</v>
      </c>
      <c r="K15580" s="30" t="s">
        <v>22</v>
      </c>
    </row>
    <row r="15581" spans="1:11">
      <c r="A15581" s="33" t="s">
        <v>35027</v>
      </c>
      <c r="B15581" s="33" t="s">
        <v>35028</v>
      </c>
      <c r="C15581" s="33" t="s">
        <v>18535</v>
      </c>
      <c r="D15581" s="33" t="s">
        <v>17</v>
      </c>
      <c r="E15581" s="33" t="s">
        <v>45</v>
      </c>
      <c r="F15581" s="33" t="s">
        <v>46</v>
      </c>
      <c r="G15581" s="33" t="s">
        <v>140</v>
      </c>
      <c r="H15581" s="35">
        <v>65</v>
      </c>
      <c r="I15581" s="33" t="s">
        <v>51</v>
      </c>
      <c r="J15581" s="42">
        <v>44930</v>
      </c>
      <c r="K15581" s="33" t="s">
        <v>22</v>
      </c>
    </row>
    <row r="15582" spans="1:11">
      <c r="A15582" s="30" t="s">
        <v>35029</v>
      </c>
      <c r="B15582" s="30" t="s">
        <v>35030</v>
      </c>
      <c r="C15582" s="30" t="s">
        <v>35031</v>
      </c>
      <c r="D15582" s="30" t="s">
        <v>17</v>
      </c>
      <c r="E15582" s="30" t="s">
        <v>18</v>
      </c>
      <c r="F15582" s="30" t="s">
        <v>19</v>
      </c>
      <c r="G15582" s="30" t="s">
        <v>50</v>
      </c>
      <c r="H15582" s="32">
        <v>360</v>
      </c>
      <c r="I15582" s="30" t="s">
        <v>51</v>
      </c>
      <c r="J15582" s="41">
        <v>45231</v>
      </c>
      <c r="K15582" s="30" t="s">
        <v>22</v>
      </c>
    </row>
    <row r="15583" spans="1:11">
      <c r="A15583" s="33" t="s">
        <v>35032</v>
      </c>
      <c r="B15583" s="33" t="s">
        <v>35033</v>
      </c>
      <c r="C15583" s="33" t="s">
        <v>136</v>
      </c>
      <c r="D15583" s="33" t="s">
        <v>17</v>
      </c>
      <c r="E15583" s="33" t="s">
        <v>18</v>
      </c>
      <c r="F15583" s="33" t="s">
        <v>19</v>
      </c>
      <c r="G15583" s="33" t="s">
        <v>158</v>
      </c>
      <c r="H15583" s="35">
        <v>1946</v>
      </c>
      <c r="I15583" s="33" t="s">
        <v>21</v>
      </c>
      <c r="J15583" s="42">
        <v>45076</v>
      </c>
      <c r="K15583" s="33" t="s">
        <v>22</v>
      </c>
    </row>
    <row r="15584" spans="1:11">
      <c r="A15584" s="30" t="s">
        <v>35034</v>
      </c>
      <c r="B15584" s="30" t="s">
        <v>35035</v>
      </c>
      <c r="C15584" s="30" t="s">
        <v>190</v>
      </c>
      <c r="D15584" s="30" t="s">
        <v>17</v>
      </c>
      <c r="E15584" s="30" t="s">
        <v>67</v>
      </c>
      <c r="F15584" s="30" t="s">
        <v>68</v>
      </c>
      <c r="G15584" s="30" t="s">
        <v>140</v>
      </c>
      <c r="H15584" s="32">
        <v>226</v>
      </c>
      <c r="I15584" s="30" t="s">
        <v>51</v>
      </c>
      <c r="J15584" s="41">
        <v>45265</v>
      </c>
      <c r="K15584" s="30" t="s">
        <v>22</v>
      </c>
    </row>
    <row r="15585" spans="1:11">
      <c r="A15585" s="33" t="s">
        <v>35036</v>
      </c>
      <c r="B15585" s="33" t="s">
        <v>35037</v>
      </c>
      <c r="C15585" s="33" t="s">
        <v>35038</v>
      </c>
      <c r="D15585" s="33" t="s">
        <v>17</v>
      </c>
      <c r="E15585" s="33" t="s">
        <v>67</v>
      </c>
      <c r="F15585" s="33" t="s">
        <v>68</v>
      </c>
      <c r="G15585" s="33" t="s">
        <v>140</v>
      </c>
      <c r="H15585" s="35">
        <v>54</v>
      </c>
      <c r="I15585" s="33" t="s">
        <v>51</v>
      </c>
      <c r="J15585" s="42">
        <v>45288</v>
      </c>
      <c r="K15585" s="33" t="s">
        <v>22</v>
      </c>
    </row>
    <row r="15586" spans="1:11">
      <c r="A15586" s="30" t="s">
        <v>35039</v>
      </c>
      <c r="B15586" s="30" t="s">
        <v>35040</v>
      </c>
      <c r="C15586" s="30" t="s">
        <v>1469</v>
      </c>
      <c r="D15586" s="30" t="s">
        <v>17</v>
      </c>
      <c r="E15586" s="30" t="s">
        <v>18</v>
      </c>
      <c r="F15586" s="30" t="s">
        <v>19</v>
      </c>
      <c r="G15586" s="30" t="s">
        <v>20</v>
      </c>
      <c r="H15586" s="32">
        <v>25</v>
      </c>
      <c r="I15586" s="30" t="s">
        <v>21</v>
      </c>
      <c r="J15586" s="41">
        <v>44949</v>
      </c>
      <c r="K15586" s="30" t="s">
        <v>22</v>
      </c>
    </row>
    <row r="15587" spans="1:11">
      <c r="A15587" s="33" t="s">
        <v>35041</v>
      </c>
      <c r="B15587" s="33" t="s">
        <v>35042</v>
      </c>
      <c r="C15587" s="33" t="s">
        <v>231</v>
      </c>
      <c r="D15587" s="33" t="s">
        <v>17</v>
      </c>
      <c r="E15587" s="33" t="s">
        <v>26</v>
      </c>
      <c r="F15587" s="33" t="s">
        <v>27</v>
      </c>
      <c r="G15587" s="33" t="s">
        <v>20</v>
      </c>
      <c r="H15587" s="35">
        <v>50</v>
      </c>
      <c r="I15587" s="33" t="s">
        <v>21</v>
      </c>
      <c r="J15587" s="42">
        <v>45166</v>
      </c>
      <c r="K15587" s="33" t="s">
        <v>22</v>
      </c>
    </row>
    <row r="15588" spans="1:11">
      <c r="A15588" s="30" t="s">
        <v>35043</v>
      </c>
      <c r="B15588" s="30" t="s">
        <v>35044</v>
      </c>
      <c r="C15588" s="30" t="s">
        <v>7900</v>
      </c>
      <c r="D15588" s="30" t="s">
        <v>17</v>
      </c>
      <c r="E15588" s="30" t="s">
        <v>18</v>
      </c>
      <c r="F15588" s="30" t="s">
        <v>19</v>
      </c>
      <c r="G15588" s="30" t="s">
        <v>20</v>
      </c>
      <c r="H15588" s="32">
        <v>196</v>
      </c>
      <c r="I15588" s="30" t="s">
        <v>21</v>
      </c>
      <c r="J15588" s="41">
        <v>44938</v>
      </c>
      <c r="K15588" s="30" t="s">
        <v>22</v>
      </c>
    </row>
    <row r="15589" spans="1:11">
      <c r="A15589" s="33" t="s">
        <v>35045</v>
      </c>
      <c r="B15589" s="33" t="s">
        <v>35046</v>
      </c>
      <c r="C15589" s="33" t="s">
        <v>16683</v>
      </c>
      <c r="D15589" s="33" t="s">
        <v>17</v>
      </c>
      <c r="E15589" s="33" t="s">
        <v>18</v>
      </c>
      <c r="F15589" s="33" t="s">
        <v>19</v>
      </c>
      <c r="G15589" s="33" t="s">
        <v>140</v>
      </c>
      <c r="H15589" s="35">
        <v>471</v>
      </c>
      <c r="I15589" s="33" t="s">
        <v>51</v>
      </c>
      <c r="J15589" s="42">
        <v>45000</v>
      </c>
      <c r="K15589" s="33" t="s">
        <v>22</v>
      </c>
    </row>
    <row r="15590" spans="1:11">
      <c r="A15590" s="30" t="s">
        <v>35047</v>
      </c>
      <c r="B15590" s="30" t="s">
        <v>35048</v>
      </c>
      <c r="C15590" s="30" t="s">
        <v>35049</v>
      </c>
      <c r="D15590" s="30" t="s">
        <v>17</v>
      </c>
      <c r="E15590" s="30" t="s">
        <v>67</v>
      </c>
      <c r="F15590" s="30" t="s">
        <v>68</v>
      </c>
      <c r="G15590" s="30" t="s">
        <v>50</v>
      </c>
      <c r="H15590" s="32">
        <v>33</v>
      </c>
      <c r="I15590" s="30" t="s">
        <v>51</v>
      </c>
      <c r="J15590" s="41">
        <v>45114</v>
      </c>
      <c r="K15590" s="30" t="s">
        <v>22</v>
      </c>
    </row>
    <row r="15591" spans="1:11">
      <c r="A15591" s="33" t="s">
        <v>35050</v>
      </c>
      <c r="B15591" s="33" t="s">
        <v>35051</v>
      </c>
      <c r="C15591" s="33" t="s">
        <v>75</v>
      </c>
      <c r="D15591" s="33" t="s">
        <v>17</v>
      </c>
      <c r="E15591" s="33" t="s">
        <v>26</v>
      </c>
      <c r="F15591" s="33" t="s">
        <v>27</v>
      </c>
      <c r="G15591" s="33" t="s">
        <v>112</v>
      </c>
      <c r="H15591" s="35">
        <v>0</v>
      </c>
      <c r="I15591" s="33" t="s">
        <v>21</v>
      </c>
      <c r="J15591" s="42">
        <v>45191</v>
      </c>
      <c r="K15591" s="33" t="s">
        <v>22</v>
      </c>
    </row>
    <row r="15592" spans="1:11">
      <c r="A15592" s="30" t="s">
        <v>35052</v>
      </c>
      <c r="B15592" s="30" t="s">
        <v>35053</v>
      </c>
      <c r="C15592" s="30" t="s">
        <v>29943</v>
      </c>
      <c r="D15592" s="30" t="s">
        <v>17</v>
      </c>
      <c r="E15592" s="30" t="s">
        <v>18</v>
      </c>
      <c r="F15592" s="30" t="s">
        <v>19</v>
      </c>
      <c r="G15592" s="30" t="s">
        <v>20</v>
      </c>
      <c r="H15592" s="32">
        <v>37</v>
      </c>
      <c r="I15592" s="30" t="s">
        <v>21</v>
      </c>
      <c r="J15592" s="41">
        <v>45117</v>
      </c>
      <c r="K15592" s="30" t="s">
        <v>22</v>
      </c>
    </row>
    <row r="15593" spans="1:11">
      <c r="A15593" s="33" t="s">
        <v>35054</v>
      </c>
      <c r="B15593" s="33" t="s">
        <v>35055</v>
      </c>
      <c r="C15593" s="33" t="s">
        <v>7721</v>
      </c>
      <c r="D15593" s="33" t="s">
        <v>17</v>
      </c>
      <c r="E15593" s="33" t="s">
        <v>26</v>
      </c>
      <c r="F15593" s="33" t="s">
        <v>27</v>
      </c>
      <c r="G15593" s="33" t="s">
        <v>20</v>
      </c>
      <c r="H15593" s="35">
        <v>42</v>
      </c>
      <c r="I15593" s="33" t="s">
        <v>21</v>
      </c>
      <c r="J15593" s="42">
        <v>44987</v>
      </c>
      <c r="K15593" s="33" t="s">
        <v>22</v>
      </c>
    </row>
    <row r="15594" spans="1:11">
      <c r="A15594" s="30" t="s">
        <v>35056</v>
      </c>
      <c r="B15594" s="30" t="s">
        <v>35057</v>
      </c>
      <c r="C15594" s="30" t="s">
        <v>7787</v>
      </c>
      <c r="D15594" s="30" t="s">
        <v>17</v>
      </c>
      <c r="E15594" s="30" t="s">
        <v>26</v>
      </c>
      <c r="F15594" s="30" t="s">
        <v>27</v>
      </c>
      <c r="G15594" s="30" t="s">
        <v>20</v>
      </c>
      <c r="H15594" s="32">
        <v>20</v>
      </c>
      <c r="I15594" s="30" t="s">
        <v>21</v>
      </c>
      <c r="J15594" s="41">
        <v>45001</v>
      </c>
      <c r="K15594" s="30" t="s">
        <v>22</v>
      </c>
    </row>
    <row r="15595" spans="1:11">
      <c r="A15595" s="33" t="s">
        <v>35058</v>
      </c>
      <c r="B15595" s="33" t="s">
        <v>35059</v>
      </c>
      <c r="C15595" s="33" t="s">
        <v>14483</v>
      </c>
      <c r="D15595" s="33" t="s">
        <v>17</v>
      </c>
      <c r="E15595" s="33" t="s">
        <v>18</v>
      </c>
      <c r="F15595" s="33" t="s">
        <v>19</v>
      </c>
      <c r="G15595" s="33" t="s">
        <v>20</v>
      </c>
      <c r="H15595" s="35">
        <v>313</v>
      </c>
      <c r="I15595" s="33" t="s">
        <v>21</v>
      </c>
      <c r="J15595" s="42">
        <v>44937</v>
      </c>
      <c r="K15595" s="33" t="s">
        <v>22</v>
      </c>
    </row>
    <row r="15596" spans="1:11">
      <c r="A15596" s="30" t="s">
        <v>35060</v>
      </c>
      <c r="B15596" s="30" t="s">
        <v>35061</v>
      </c>
      <c r="C15596" s="30" t="s">
        <v>1428</v>
      </c>
      <c r="D15596" s="30" t="s">
        <v>17</v>
      </c>
      <c r="E15596" s="30" t="s">
        <v>26</v>
      </c>
      <c r="F15596" s="30" t="s">
        <v>27</v>
      </c>
      <c r="G15596" s="30" t="s">
        <v>50</v>
      </c>
      <c r="H15596" s="32">
        <v>32</v>
      </c>
      <c r="I15596" s="30" t="s">
        <v>51</v>
      </c>
      <c r="J15596" s="41">
        <v>45078</v>
      </c>
      <c r="K15596" s="30" t="s">
        <v>22</v>
      </c>
    </row>
    <row r="15597" spans="1:11">
      <c r="A15597" s="33" t="s">
        <v>35062</v>
      </c>
      <c r="B15597" s="33" t="s">
        <v>35063</v>
      </c>
      <c r="C15597" s="33" t="s">
        <v>17466</v>
      </c>
      <c r="D15597" s="33" t="s">
        <v>17</v>
      </c>
      <c r="E15597" s="33" t="s">
        <v>26</v>
      </c>
      <c r="F15597" s="33" t="s">
        <v>27</v>
      </c>
      <c r="G15597" s="33" t="s">
        <v>20</v>
      </c>
      <c r="H15597" s="35">
        <v>86</v>
      </c>
      <c r="I15597" s="33" t="s">
        <v>21</v>
      </c>
      <c r="J15597" s="42">
        <v>45043</v>
      </c>
      <c r="K15597" s="33" t="s">
        <v>22</v>
      </c>
    </row>
    <row r="15598" spans="1:11">
      <c r="A15598" s="30" t="s">
        <v>35064</v>
      </c>
      <c r="B15598" s="30" t="s">
        <v>35065</v>
      </c>
      <c r="C15598" s="30" t="s">
        <v>5870</v>
      </c>
      <c r="D15598" s="30" t="s">
        <v>17</v>
      </c>
      <c r="E15598" s="30" t="s">
        <v>18</v>
      </c>
      <c r="F15598" s="30" t="s">
        <v>19</v>
      </c>
      <c r="G15598" s="30" t="s">
        <v>20</v>
      </c>
      <c r="H15598" s="32">
        <v>1824</v>
      </c>
      <c r="I15598" s="30" t="s">
        <v>21</v>
      </c>
      <c r="J15598" s="41">
        <v>45057</v>
      </c>
      <c r="K15598" s="30" t="s">
        <v>22</v>
      </c>
    </row>
    <row r="15599" spans="1:11">
      <c r="A15599" s="33" t="s">
        <v>35066</v>
      </c>
      <c r="B15599" s="33" t="s">
        <v>35067</v>
      </c>
      <c r="C15599" s="33" t="s">
        <v>957</v>
      </c>
      <c r="D15599" s="33" t="s">
        <v>17</v>
      </c>
      <c r="E15599" s="33" t="s">
        <v>31</v>
      </c>
      <c r="F15599" s="33" t="s">
        <v>32</v>
      </c>
      <c r="G15599" s="33" t="s">
        <v>158</v>
      </c>
      <c r="H15599" s="35">
        <v>175</v>
      </c>
      <c r="I15599" s="33" t="s">
        <v>21</v>
      </c>
      <c r="J15599" s="42">
        <v>45224</v>
      </c>
      <c r="K15599" s="33" t="s">
        <v>22</v>
      </c>
    </row>
    <row r="15600" spans="1:11">
      <c r="A15600" s="30" t="s">
        <v>35068</v>
      </c>
      <c r="B15600" s="30" t="s">
        <v>35069</v>
      </c>
      <c r="C15600" s="30" t="s">
        <v>11966</v>
      </c>
      <c r="D15600" s="30" t="s">
        <v>17</v>
      </c>
      <c r="E15600" s="30" t="s">
        <v>31</v>
      </c>
      <c r="F15600" s="30" t="s">
        <v>32</v>
      </c>
      <c r="G15600" s="30" t="s">
        <v>20</v>
      </c>
      <c r="H15600" s="32">
        <v>23</v>
      </c>
      <c r="I15600" s="30" t="s">
        <v>21</v>
      </c>
      <c r="J15600" s="41">
        <v>45002</v>
      </c>
      <c r="K15600" s="30" t="s">
        <v>22</v>
      </c>
    </row>
    <row r="15601" spans="1:11">
      <c r="A15601" s="33" t="s">
        <v>35070</v>
      </c>
      <c r="B15601" s="33" t="s">
        <v>35071</v>
      </c>
      <c r="C15601" s="33" t="s">
        <v>715</v>
      </c>
      <c r="D15601" s="33" t="s">
        <v>17</v>
      </c>
      <c r="E15601" s="33" t="s">
        <v>67</v>
      </c>
      <c r="F15601" s="33" t="s">
        <v>68</v>
      </c>
      <c r="G15601" s="33" t="s">
        <v>158</v>
      </c>
      <c r="H15601" s="35">
        <v>70</v>
      </c>
      <c r="I15601" s="33" t="s">
        <v>51</v>
      </c>
      <c r="J15601" s="42">
        <v>44957</v>
      </c>
      <c r="K15601" s="33" t="s">
        <v>22</v>
      </c>
    </row>
    <row r="15602" spans="1:11">
      <c r="A15602" s="30" t="s">
        <v>35072</v>
      </c>
      <c r="B15602" s="30" t="s">
        <v>35073</v>
      </c>
      <c r="C15602" s="30" t="s">
        <v>14719</v>
      </c>
      <c r="D15602" s="30" t="s">
        <v>17</v>
      </c>
      <c r="E15602" s="30" t="s">
        <v>26</v>
      </c>
      <c r="F15602" s="30" t="s">
        <v>27</v>
      </c>
      <c r="G15602" s="30" t="s">
        <v>140</v>
      </c>
      <c r="H15602" s="32">
        <v>60</v>
      </c>
      <c r="I15602" s="30" t="s">
        <v>51</v>
      </c>
      <c r="J15602" s="41">
        <v>45097</v>
      </c>
      <c r="K15602" s="30" t="s">
        <v>22</v>
      </c>
    </row>
    <row r="15603" spans="1:11">
      <c r="A15603" s="33" t="s">
        <v>35074</v>
      </c>
      <c r="B15603" s="33" t="s">
        <v>35075</v>
      </c>
      <c r="C15603" s="33" t="s">
        <v>35076</v>
      </c>
      <c r="D15603" s="33" t="s">
        <v>17</v>
      </c>
      <c r="E15603" s="33" t="s">
        <v>26</v>
      </c>
      <c r="F15603" s="33" t="s">
        <v>27</v>
      </c>
      <c r="G15603" s="33" t="s">
        <v>20</v>
      </c>
      <c r="H15603" s="35">
        <v>18</v>
      </c>
      <c r="I15603" s="33" t="s">
        <v>21</v>
      </c>
      <c r="J15603" s="42">
        <v>45062</v>
      </c>
      <c r="K15603" s="33" t="s">
        <v>22</v>
      </c>
    </row>
    <row r="15604" spans="1:11">
      <c r="A15604" s="30" t="s">
        <v>35077</v>
      </c>
      <c r="B15604" s="30" t="s">
        <v>35078</v>
      </c>
      <c r="C15604" s="30" t="s">
        <v>23888</v>
      </c>
      <c r="D15604" s="30" t="s">
        <v>17</v>
      </c>
      <c r="E15604" s="30" t="s">
        <v>26</v>
      </c>
      <c r="F15604" s="30" t="s">
        <v>27</v>
      </c>
      <c r="G15604" s="30" t="s">
        <v>20</v>
      </c>
      <c r="H15604" s="32">
        <v>5</v>
      </c>
      <c r="I15604" s="30" t="s">
        <v>21</v>
      </c>
      <c r="J15604" s="41">
        <v>45119</v>
      </c>
      <c r="K15604" s="30" t="s">
        <v>22</v>
      </c>
    </row>
    <row r="15605" spans="1:11">
      <c r="A15605" s="33" t="s">
        <v>35079</v>
      </c>
      <c r="B15605" s="33" t="s">
        <v>35080</v>
      </c>
      <c r="C15605" s="33" t="s">
        <v>7588</v>
      </c>
      <c r="D15605" s="33" t="s">
        <v>17</v>
      </c>
      <c r="E15605" s="33" t="s">
        <v>18</v>
      </c>
      <c r="F15605" s="33" t="s">
        <v>19</v>
      </c>
      <c r="G15605" s="33" t="s">
        <v>158</v>
      </c>
      <c r="H15605" s="35">
        <v>800</v>
      </c>
      <c r="I15605" s="33" t="s">
        <v>51</v>
      </c>
      <c r="J15605" s="42">
        <v>45168</v>
      </c>
      <c r="K15605" s="33" t="s">
        <v>22</v>
      </c>
    </row>
    <row r="15606" spans="1:11">
      <c r="A15606" s="30" t="s">
        <v>35081</v>
      </c>
      <c r="B15606" s="30" t="s">
        <v>35082</v>
      </c>
      <c r="C15606" s="30" t="s">
        <v>26235</v>
      </c>
      <c r="D15606" s="30" t="s">
        <v>17</v>
      </c>
      <c r="E15606" s="30" t="s">
        <v>18</v>
      </c>
      <c r="F15606" s="30" t="s">
        <v>19</v>
      </c>
      <c r="G15606" s="30" t="s">
        <v>20</v>
      </c>
      <c r="H15606" s="32">
        <v>300</v>
      </c>
      <c r="I15606" s="30" t="s">
        <v>21</v>
      </c>
      <c r="J15606" s="41">
        <v>45029</v>
      </c>
      <c r="K15606" s="30" t="s">
        <v>22</v>
      </c>
    </row>
    <row r="15607" spans="1:11">
      <c r="A15607" s="33" t="s">
        <v>35083</v>
      </c>
      <c r="B15607" s="33" t="s">
        <v>35084</v>
      </c>
      <c r="C15607" s="33" t="s">
        <v>102</v>
      </c>
      <c r="D15607" s="33" t="s">
        <v>17</v>
      </c>
      <c r="E15607" s="33" t="s">
        <v>31</v>
      </c>
      <c r="F15607" s="33" t="s">
        <v>32</v>
      </c>
      <c r="G15607" s="33" t="s">
        <v>20</v>
      </c>
      <c r="H15607" s="35">
        <v>305</v>
      </c>
      <c r="I15607" s="33" t="s">
        <v>21</v>
      </c>
      <c r="J15607" s="42">
        <v>44991</v>
      </c>
      <c r="K15607" s="33" t="s">
        <v>22</v>
      </c>
    </row>
    <row r="15608" spans="1:11">
      <c r="A15608" s="30" t="s">
        <v>35085</v>
      </c>
      <c r="B15608" s="30" t="s">
        <v>35086</v>
      </c>
      <c r="C15608" s="30" t="s">
        <v>2466</v>
      </c>
      <c r="D15608" s="30" t="s">
        <v>17</v>
      </c>
      <c r="E15608" s="30" t="s">
        <v>67</v>
      </c>
      <c r="F15608" s="30" t="s">
        <v>68</v>
      </c>
      <c r="G15608" s="30" t="s">
        <v>20</v>
      </c>
      <c r="H15608" s="32">
        <v>12</v>
      </c>
      <c r="I15608" s="30" t="s">
        <v>21</v>
      </c>
      <c r="J15608" s="41">
        <v>45055</v>
      </c>
      <c r="K15608" s="30" t="s">
        <v>22</v>
      </c>
    </row>
    <row r="15609" spans="1:11">
      <c r="A15609" s="33" t="s">
        <v>35087</v>
      </c>
      <c r="B15609" s="33" t="s">
        <v>35088</v>
      </c>
      <c r="C15609" s="33" t="s">
        <v>20132</v>
      </c>
      <c r="D15609" s="33" t="s">
        <v>17</v>
      </c>
      <c r="E15609" s="33" t="s">
        <v>18</v>
      </c>
      <c r="F15609" s="33" t="s">
        <v>19</v>
      </c>
      <c r="G15609" s="33" t="s">
        <v>69</v>
      </c>
      <c r="H15609" s="35">
        <v>45</v>
      </c>
      <c r="I15609" s="33" t="s">
        <v>21</v>
      </c>
      <c r="J15609" s="42">
        <v>45138</v>
      </c>
      <c r="K15609" s="33" t="s">
        <v>22</v>
      </c>
    </row>
    <row r="15610" spans="1:11">
      <c r="A15610" s="30" t="s">
        <v>35089</v>
      </c>
      <c r="B15610" s="30" t="s">
        <v>35090</v>
      </c>
      <c r="C15610" s="30" t="s">
        <v>5757</v>
      </c>
      <c r="D15610" s="30" t="s">
        <v>17</v>
      </c>
      <c r="E15610" s="30" t="s">
        <v>212</v>
      </c>
      <c r="F15610" s="30" t="s">
        <v>213</v>
      </c>
      <c r="G15610" s="30" t="s">
        <v>20</v>
      </c>
      <c r="H15610" s="32">
        <v>334</v>
      </c>
      <c r="I15610" s="30" t="s">
        <v>21</v>
      </c>
      <c r="J15610" s="41">
        <v>44946</v>
      </c>
      <c r="K15610" s="30" t="s">
        <v>22</v>
      </c>
    </row>
    <row r="15611" spans="1:11">
      <c r="A15611" s="33" t="s">
        <v>35091</v>
      </c>
      <c r="B15611" s="33" t="s">
        <v>35092</v>
      </c>
      <c r="C15611" s="33" t="s">
        <v>149</v>
      </c>
      <c r="D15611" s="33" t="s">
        <v>17</v>
      </c>
      <c r="E15611" s="33" t="s">
        <v>26</v>
      </c>
      <c r="F15611" s="33" t="s">
        <v>27</v>
      </c>
      <c r="G15611" s="33" t="s">
        <v>20</v>
      </c>
      <c r="H15611" s="35">
        <v>34</v>
      </c>
      <c r="I15611" s="33" t="s">
        <v>21</v>
      </c>
      <c r="J15611" s="42">
        <v>45273</v>
      </c>
      <c r="K15611" s="33" t="s">
        <v>22</v>
      </c>
    </row>
    <row r="15612" spans="1:11">
      <c r="A15612" s="30" t="s">
        <v>35093</v>
      </c>
      <c r="B15612" s="30" t="s">
        <v>35094</v>
      </c>
      <c r="C15612" s="30" t="s">
        <v>203</v>
      </c>
      <c r="D15612" s="30" t="s">
        <v>17</v>
      </c>
      <c r="E15612" s="30" t="s">
        <v>31</v>
      </c>
      <c r="F15612" s="30" t="s">
        <v>32</v>
      </c>
      <c r="G15612" s="30" t="s">
        <v>106</v>
      </c>
      <c r="H15612" s="32">
        <v>70</v>
      </c>
      <c r="I15612" s="30" t="s">
        <v>21</v>
      </c>
      <c r="J15612" s="41">
        <v>45239</v>
      </c>
      <c r="K15612" s="30" t="s">
        <v>22</v>
      </c>
    </row>
    <row r="15613" spans="1:11">
      <c r="A15613" s="33" t="s">
        <v>35095</v>
      </c>
      <c r="B15613" s="33" t="s">
        <v>35096</v>
      </c>
      <c r="C15613" s="33" t="s">
        <v>3610</v>
      </c>
      <c r="D15613" s="33" t="s">
        <v>17</v>
      </c>
      <c r="E15613" s="33" t="s">
        <v>26</v>
      </c>
      <c r="F15613" s="33" t="s">
        <v>27</v>
      </c>
      <c r="G15613" s="33" t="s">
        <v>20</v>
      </c>
      <c r="H15613" s="35">
        <v>80</v>
      </c>
      <c r="I15613" s="33" t="s">
        <v>21</v>
      </c>
      <c r="J15613" s="42">
        <v>45134</v>
      </c>
      <c r="K15613" s="33" t="s">
        <v>22</v>
      </c>
    </row>
    <row r="15614" spans="1:11">
      <c r="A15614" s="30" t="s">
        <v>35097</v>
      </c>
      <c r="B15614" s="30" t="s">
        <v>35098</v>
      </c>
      <c r="C15614" s="30" t="s">
        <v>203</v>
      </c>
      <c r="D15614" s="30" t="s">
        <v>17</v>
      </c>
      <c r="E15614" s="30" t="s">
        <v>212</v>
      </c>
      <c r="F15614" s="30" t="s">
        <v>213</v>
      </c>
      <c r="G15614" s="30" t="s">
        <v>20</v>
      </c>
      <c r="H15614" s="32">
        <v>34</v>
      </c>
      <c r="I15614" s="30" t="s">
        <v>21</v>
      </c>
      <c r="J15614" s="41">
        <v>44979</v>
      </c>
      <c r="K15614" s="30" t="s">
        <v>22</v>
      </c>
    </row>
    <row r="15615" spans="1:11">
      <c r="A15615" s="33" t="s">
        <v>35099</v>
      </c>
      <c r="B15615" s="33" t="s">
        <v>35100</v>
      </c>
      <c r="C15615" s="33" t="s">
        <v>96</v>
      </c>
      <c r="D15615" s="33" t="s">
        <v>17</v>
      </c>
      <c r="E15615" s="33" t="s">
        <v>212</v>
      </c>
      <c r="F15615" s="33" t="s">
        <v>213</v>
      </c>
      <c r="G15615" s="33" t="s">
        <v>112</v>
      </c>
      <c r="H15615" s="35">
        <v>0</v>
      </c>
      <c r="I15615" s="33" t="s">
        <v>21</v>
      </c>
      <c r="J15615" s="42">
        <v>45147</v>
      </c>
      <c r="K15615" s="33" t="s">
        <v>22</v>
      </c>
    </row>
    <row r="15616" spans="1:11">
      <c r="A15616" s="30" t="s">
        <v>35101</v>
      </c>
      <c r="B15616" s="30" t="s">
        <v>35102</v>
      </c>
      <c r="C15616" s="30" t="s">
        <v>1801</v>
      </c>
      <c r="D15616" s="30" t="s">
        <v>17</v>
      </c>
      <c r="E15616" s="30" t="s">
        <v>26</v>
      </c>
      <c r="F15616" s="30" t="s">
        <v>27</v>
      </c>
      <c r="G15616" s="30" t="s">
        <v>50</v>
      </c>
      <c r="H15616" s="32">
        <v>72</v>
      </c>
      <c r="I15616" s="30" t="s">
        <v>51</v>
      </c>
      <c r="J15616" s="41">
        <v>44986</v>
      </c>
      <c r="K15616" s="30" t="s">
        <v>22</v>
      </c>
    </row>
    <row r="15617" spans="1:11">
      <c r="A15617" s="33" t="s">
        <v>35103</v>
      </c>
      <c r="B15617" s="33" t="s">
        <v>35104</v>
      </c>
      <c r="C15617" s="33" t="s">
        <v>1431</v>
      </c>
      <c r="D15617" s="33" t="s">
        <v>17</v>
      </c>
      <c r="E15617" s="33" t="s">
        <v>26</v>
      </c>
      <c r="F15617" s="33" t="s">
        <v>27</v>
      </c>
      <c r="G15617" s="33" t="s">
        <v>20</v>
      </c>
      <c r="H15617" s="35">
        <v>56</v>
      </c>
      <c r="I15617" s="33" t="s">
        <v>21</v>
      </c>
      <c r="J15617" s="42">
        <v>44985</v>
      </c>
      <c r="K15617" s="33" t="s">
        <v>22</v>
      </c>
    </row>
    <row r="15618" spans="1:11">
      <c r="A15618" s="30" t="s">
        <v>35105</v>
      </c>
      <c r="B15618" s="30" t="s">
        <v>35106</v>
      </c>
      <c r="C15618" s="30" t="s">
        <v>7900</v>
      </c>
      <c r="D15618" s="30" t="s">
        <v>17</v>
      </c>
      <c r="E15618" s="30" t="s">
        <v>26</v>
      </c>
      <c r="F15618" s="30" t="s">
        <v>27</v>
      </c>
      <c r="G15618" s="30" t="s">
        <v>20</v>
      </c>
      <c r="H15618" s="32">
        <v>44</v>
      </c>
      <c r="I15618" s="30" t="s">
        <v>21</v>
      </c>
      <c r="J15618" s="41">
        <v>44995</v>
      </c>
      <c r="K15618" s="30" t="s">
        <v>22</v>
      </c>
    </row>
    <row r="15619" spans="1:11">
      <c r="A15619" s="33" t="s">
        <v>35107</v>
      </c>
      <c r="B15619" s="33" t="s">
        <v>35108</v>
      </c>
      <c r="C15619" s="33" t="s">
        <v>20739</v>
      </c>
      <c r="D15619" s="33" t="s">
        <v>17</v>
      </c>
      <c r="E15619" s="33" t="s">
        <v>67</v>
      </c>
      <c r="F15619" s="33" t="s">
        <v>68</v>
      </c>
      <c r="G15619" s="33" t="s">
        <v>140</v>
      </c>
      <c r="H15619" s="35">
        <v>67</v>
      </c>
      <c r="I15619" s="33" t="s">
        <v>51</v>
      </c>
      <c r="J15619" s="42">
        <v>45117</v>
      </c>
      <c r="K15619" s="33" t="s">
        <v>22</v>
      </c>
    </row>
    <row r="15620" spans="1:11">
      <c r="A15620" s="30" t="s">
        <v>35109</v>
      </c>
      <c r="B15620" s="30" t="s">
        <v>35110</v>
      </c>
      <c r="C15620" s="30" t="s">
        <v>5842</v>
      </c>
      <c r="D15620" s="30" t="s">
        <v>17</v>
      </c>
      <c r="E15620" s="30" t="s">
        <v>26</v>
      </c>
      <c r="F15620" s="30" t="s">
        <v>27</v>
      </c>
      <c r="G15620" s="30" t="s">
        <v>20</v>
      </c>
      <c r="H15620" s="32">
        <v>44</v>
      </c>
      <c r="I15620" s="30" t="s">
        <v>21</v>
      </c>
      <c r="J15620" s="41">
        <v>45142</v>
      </c>
      <c r="K15620" s="30" t="s">
        <v>22</v>
      </c>
    </row>
    <row r="15621" spans="1:11">
      <c r="A15621" s="33" t="s">
        <v>35111</v>
      </c>
      <c r="B15621" s="33" t="s">
        <v>35112</v>
      </c>
      <c r="C15621" s="33" t="s">
        <v>647</v>
      </c>
      <c r="D15621" s="33" t="s">
        <v>17</v>
      </c>
      <c r="E15621" s="33" t="s">
        <v>26</v>
      </c>
      <c r="F15621" s="33" t="s">
        <v>27</v>
      </c>
      <c r="G15621" s="33" t="s">
        <v>20</v>
      </c>
      <c r="H15621" s="35">
        <v>16</v>
      </c>
      <c r="I15621" s="33" t="s">
        <v>21</v>
      </c>
      <c r="J15621" s="42">
        <v>45005</v>
      </c>
      <c r="K15621" s="33" t="s">
        <v>22</v>
      </c>
    </row>
    <row r="15622" spans="1:11">
      <c r="A15622" s="30" t="s">
        <v>35113</v>
      </c>
      <c r="B15622" s="30" t="s">
        <v>35114</v>
      </c>
      <c r="C15622" s="30" t="s">
        <v>310</v>
      </c>
      <c r="D15622" s="30" t="s">
        <v>17</v>
      </c>
      <c r="E15622" s="30" t="s">
        <v>26</v>
      </c>
      <c r="F15622" s="30" t="s">
        <v>27</v>
      </c>
      <c r="G15622" s="30" t="s">
        <v>20</v>
      </c>
      <c r="H15622" s="32">
        <v>106</v>
      </c>
      <c r="I15622" s="30" t="s">
        <v>21</v>
      </c>
      <c r="J15622" s="41">
        <v>45145</v>
      </c>
      <c r="K15622" s="30" t="s">
        <v>22</v>
      </c>
    </row>
    <row r="15623" spans="1:11">
      <c r="A15623" s="33" t="s">
        <v>35115</v>
      </c>
      <c r="B15623" s="33" t="s">
        <v>35116</v>
      </c>
      <c r="C15623" s="33" t="s">
        <v>1080</v>
      </c>
      <c r="D15623" s="33" t="s">
        <v>17</v>
      </c>
      <c r="E15623" s="33" t="s">
        <v>26</v>
      </c>
      <c r="F15623" s="33" t="s">
        <v>27</v>
      </c>
      <c r="G15623" s="33" t="s">
        <v>50</v>
      </c>
      <c r="H15623" s="35">
        <v>30</v>
      </c>
      <c r="I15623" s="33" t="s">
        <v>51</v>
      </c>
      <c r="J15623" s="42">
        <v>45138</v>
      </c>
      <c r="K15623" s="33" t="s">
        <v>22</v>
      </c>
    </row>
    <row r="15624" spans="1:11">
      <c r="A15624" s="30" t="s">
        <v>35117</v>
      </c>
      <c r="B15624" s="30" t="s">
        <v>35118</v>
      </c>
      <c r="C15624" s="30" t="s">
        <v>20773</v>
      </c>
      <c r="D15624" s="30" t="s">
        <v>17</v>
      </c>
      <c r="E15624" s="30" t="s">
        <v>26</v>
      </c>
      <c r="F15624" s="30" t="s">
        <v>27</v>
      </c>
      <c r="G15624" s="30" t="s">
        <v>20</v>
      </c>
      <c r="H15624" s="32">
        <v>40</v>
      </c>
      <c r="I15624" s="30" t="s">
        <v>21</v>
      </c>
      <c r="J15624" s="41">
        <v>44936</v>
      </c>
      <c r="K15624" s="30" t="s">
        <v>22</v>
      </c>
    </row>
    <row r="15625" spans="1:11">
      <c r="A15625" s="33" t="s">
        <v>35119</v>
      </c>
      <c r="B15625" s="33" t="s">
        <v>35120</v>
      </c>
      <c r="C15625" s="33" t="s">
        <v>570</v>
      </c>
      <c r="D15625" s="33" t="s">
        <v>17</v>
      </c>
      <c r="E15625" s="33" t="s">
        <v>26</v>
      </c>
      <c r="F15625" s="33" t="s">
        <v>27</v>
      </c>
      <c r="G15625" s="33" t="s">
        <v>50</v>
      </c>
      <c r="H15625" s="35">
        <v>180</v>
      </c>
      <c r="I15625" s="33" t="s">
        <v>51</v>
      </c>
      <c r="J15625" s="42">
        <v>45065</v>
      </c>
      <c r="K15625" s="33" t="s">
        <v>22</v>
      </c>
    </row>
    <row r="15626" spans="1:11">
      <c r="A15626" s="30" t="s">
        <v>35121</v>
      </c>
      <c r="B15626" s="30" t="s">
        <v>35122</v>
      </c>
      <c r="C15626" s="30" t="s">
        <v>35123</v>
      </c>
      <c r="D15626" s="30" t="s">
        <v>17</v>
      </c>
      <c r="E15626" s="30" t="s">
        <v>212</v>
      </c>
      <c r="F15626" s="30" t="s">
        <v>213</v>
      </c>
      <c r="G15626" s="30" t="s">
        <v>140</v>
      </c>
      <c r="H15626" s="32">
        <v>50</v>
      </c>
      <c r="I15626" s="30" t="s">
        <v>51</v>
      </c>
      <c r="J15626" s="41">
        <v>45245</v>
      </c>
      <c r="K15626" s="30" t="s">
        <v>22</v>
      </c>
    </row>
    <row r="15627" spans="1:11">
      <c r="A15627" s="33" t="s">
        <v>35124</v>
      </c>
      <c r="B15627" s="33" t="s">
        <v>35125</v>
      </c>
      <c r="C15627" s="33" t="s">
        <v>310</v>
      </c>
      <c r="D15627" s="33" t="s">
        <v>17</v>
      </c>
      <c r="E15627" s="33" t="s">
        <v>18</v>
      </c>
      <c r="F15627" s="33" t="s">
        <v>19</v>
      </c>
      <c r="G15627" s="33" t="s">
        <v>20</v>
      </c>
      <c r="H15627" s="35">
        <v>809</v>
      </c>
      <c r="I15627" s="33" t="s">
        <v>21</v>
      </c>
      <c r="J15627" s="42">
        <v>45257</v>
      </c>
      <c r="K15627" s="33" t="s">
        <v>22</v>
      </c>
    </row>
    <row r="15628" spans="1:11">
      <c r="A15628" s="30" t="s">
        <v>35126</v>
      </c>
      <c r="B15628" s="30" t="s">
        <v>35127</v>
      </c>
      <c r="C15628" s="30" t="s">
        <v>5372</v>
      </c>
      <c r="D15628" s="30" t="s">
        <v>17</v>
      </c>
      <c r="E15628" s="30" t="s">
        <v>67</v>
      </c>
      <c r="F15628" s="30" t="s">
        <v>68</v>
      </c>
      <c r="G15628" s="30" t="s">
        <v>20</v>
      </c>
      <c r="H15628" s="32">
        <v>33</v>
      </c>
      <c r="I15628" s="30" t="s">
        <v>21</v>
      </c>
      <c r="J15628" s="41">
        <v>45056</v>
      </c>
      <c r="K15628" s="30" t="s">
        <v>22</v>
      </c>
    </row>
    <row r="15629" spans="1:11">
      <c r="A15629" s="33" t="s">
        <v>35128</v>
      </c>
      <c r="B15629" s="33" t="s">
        <v>35129</v>
      </c>
      <c r="C15629" s="33" t="s">
        <v>10451</v>
      </c>
      <c r="D15629" s="33" t="s">
        <v>17</v>
      </c>
      <c r="E15629" s="33" t="s">
        <v>31</v>
      </c>
      <c r="F15629" s="33" t="s">
        <v>32</v>
      </c>
      <c r="G15629" s="33" t="s">
        <v>20</v>
      </c>
      <c r="H15629" s="35">
        <v>76</v>
      </c>
      <c r="I15629" s="33" t="s">
        <v>21</v>
      </c>
      <c r="J15629" s="42">
        <v>45238</v>
      </c>
      <c r="K15629" s="33" t="s">
        <v>22</v>
      </c>
    </row>
    <row r="15630" spans="1:11">
      <c r="A15630" s="30" t="s">
        <v>35130</v>
      </c>
      <c r="B15630" s="30" t="s">
        <v>35131</v>
      </c>
      <c r="C15630" s="30" t="s">
        <v>22557</v>
      </c>
      <c r="D15630" s="30" t="s">
        <v>17</v>
      </c>
      <c r="E15630" s="30" t="s">
        <v>18</v>
      </c>
      <c r="F15630" s="30" t="s">
        <v>19</v>
      </c>
      <c r="G15630" s="30" t="s">
        <v>158</v>
      </c>
      <c r="H15630" s="32">
        <v>459</v>
      </c>
      <c r="I15630" s="30" t="s">
        <v>21</v>
      </c>
      <c r="J15630" s="41">
        <v>45245</v>
      </c>
      <c r="K15630" s="30" t="s">
        <v>22</v>
      </c>
    </row>
    <row r="15631" spans="1:11">
      <c r="A15631" s="33" t="s">
        <v>35132</v>
      </c>
      <c r="B15631" s="33" t="s">
        <v>35133</v>
      </c>
      <c r="C15631" s="33" t="s">
        <v>35134</v>
      </c>
      <c r="D15631" s="33" t="s">
        <v>17</v>
      </c>
      <c r="E15631" s="33" t="s">
        <v>26</v>
      </c>
      <c r="F15631" s="33" t="s">
        <v>27</v>
      </c>
      <c r="G15631" s="33" t="s">
        <v>140</v>
      </c>
      <c r="H15631" s="35">
        <v>165</v>
      </c>
      <c r="I15631" s="33" t="s">
        <v>51</v>
      </c>
      <c r="J15631" s="42">
        <v>44979</v>
      </c>
      <c r="K15631" s="33" t="s">
        <v>22</v>
      </c>
    </row>
    <row r="15632" spans="1:11">
      <c r="A15632" s="30" t="s">
        <v>35135</v>
      </c>
      <c r="B15632" s="30" t="s">
        <v>35136</v>
      </c>
      <c r="C15632" s="30" t="s">
        <v>35137</v>
      </c>
      <c r="D15632" s="30" t="s">
        <v>17</v>
      </c>
      <c r="E15632" s="30" t="s">
        <v>26</v>
      </c>
      <c r="F15632" s="30" t="s">
        <v>27</v>
      </c>
      <c r="G15632" s="30" t="s">
        <v>50</v>
      </c>
      <c r="H15632" s="32">
        <v>32</v>
      </c>
      <c r="I15632" s="30" t="s">
        <v>21</v>
      </c>
      <c r="J15632" s="41">
        <v>44994</v>
      </c>
      <c r="K15632" s="30" t="s">
        <v>22</v>
      </c>
    </row>
    <row r="15633" spans="1:11">
      <c r="A15633" s="33" t="s">
        <v>35138</v>
      </c>
      <c r="B15633" s="33" t="s">
        <v>35139</v>
      </c>
      <c r="C15633" s="33" t="s">
        <v>1701</v>
      </c>
      <c r="D15633" s="33" t="s">
        <v>17</v>
      </c>
      <c r="E15633" s="33" t="s">
        <v>26</v>
      </c>
      <c r="F15633" s="33" t="s">
        <v>27</v>
      </c>
      <c r="G15633" s="33" t="s">
        <v>106</v>
      </c>
      <c r="H15633" s="35">
        <v>22</v>
      </c>
      <c r="I15633" s="33" t="s">
        <v>21</v>
      </c>
      <c r="J15633" s="42">
        <v>45042</v>
      </c>
      <c r="K15633" s="33" t="s">
        <v>22</v>
      </c>
    </row>
    <row r="15634" spans="1:11">
      <c r="A15634" s="30" t="s">
        <v>35140</v>
      </c>
      <c r="B15634" s="30" t="s">
        <v>35141</v>
      </c>
      <c r="C15634" s="30" t="s">
        <v>96</v>
      </c>
      <c r="D15634" s="30" t="s">
        <v>17</v>
      </c>
      <c r="E15634" s="30" t="s">
        <v>26</v>
      </c>
      <c r="F15634" s="30" t="s">
        <v>27</v>
      </c>
      <c r="G15634" s="30" t="s">
        <v>20</v>
      </c>
      <c r="H15634" s="32">
        <v>113</v>
      </c>
      <c r="I15634" s="30" t="s">
        <v>21</v>
      </c>
      <c r="J15634" s="41">
        <v>45118</v>
      </c>
      <c r="K15634" s="30" t="s">
        <v>22</v>
      </c>
    </row>
    <row r="15635" spans="1:11">
      <c r="A15635" s="33" t="s">
        <v>35142</v>
      </c>
      <c r="B15635" s="33" t="s">
        <v>35143</v>
      </c>
      <c r="C15635" s="33" t="s">
        <v>2812</v>
      </c>
      <c r="D15635" s="33" t="s">
        <v>17</v>
      </c>
      <c r="E15635" s="33" t="s">
        <v>18</v>
      </c>
      <c r="F15635" s="33" t="s">
        <v>19</v>
      </c>
      <c r="G15635" s="33" t="s">
        <v>20</v>
      </c>
      <c r="H15635" s="35">
        <v>516</v>
      </c>
      <c r="I15635" s="33" t="s">
        <v>21</v>
      </c>
      <c r="J15635" s="42">
        <v>45113</v>
      </c>
      <c r="K15635" s="33" t="s">
        <v>22</v>
      </c>
    </row>
    <row r="15636" spans="1:11">
      <c r="A15636" s="30" t="s">
        <v>35144</v>
      </c>
      <c r="B15636" s="30" t="s">
        <v>35145</v>
      </c>
      <c r="C15636" s="30" t="s">
        <v>27241</v>
      </c>
      <c r="D15636" s="30" t="s">
        <v>17</v>
      </c>
      <c r="E15636" s="30" t="s">
        <v>31</v>
      </c>
      <c r="F15636" s="30" t="s">
        <v>32</v>
      </c>
      <c r="G15636" s="30" t="s">
        <v>20</v>
      </c>
      <c r="H15636" s="32">
        <v>26</v>
      </c>
      <c r="I15636" s="30" t="s">
        <v>21</v>
      </c>
      <c r="J15636" s="41">
        <v>45282</v>
      </c>
      <c r="K15636" s="30" t="s">
        <v>22</v>
      </c>
    </row>
    <row r="15637" spans="1:11">
      <c r="A15637" s="33" t="s">
        <v>35146</v>
      </c>
      <c r="B15637" s="33" t="s">
        <v>35147</v>
      </c>
      <c r="C15637" s="33" t="s">
        <v>2244</v>
      </c>
      <c r="D15637" s="33" t="s">
        <v>17</v>
      </c>
      <c r="E15637" s="33" t="s">
        <v>26</v>
      </c>
      <c r="F15637" s="33" t="s">
        <v>27</v>
      </c>
      <c r="G15637" s="33" t="s">
        <v>112</v>
      </c>
      <c r="H15637" s="35">
        <v>0</v>
      </c>
      <c r="I15637" s="33" t="s">
        <v>21</v>
      </c>
      <c r="J15637" s="42">
        <v>45100</v>
      </c>
      <c r="K15637" s="33" t="s">
        <v>22</v>
      </c>
    </row>
    <row r="15638" spans="1:11">
      <c r="A15638" s="30" t="s">
        <v>35148</v>
      </c>
      <c r="B15638" s="30" t="s">
        <v>35149</v>
      </c>
      <c r="C15638" s="30" t="s">
        <v>130</v>
      </c>
      <c r="D15638" s="30" t="s">
        <v>17</v>
      </c>
      <c r="E15638" s="30" t="s">
        <v>18</v>
      </c>
      <c r="F15638" s="30" t="s">
        <v>19</v>
      </c>
      <c r="G15638" s="30" t="s">
        <v>20</v>
      </c>
      <c r="H15638" s="32">
        <v>619</v>
      </c>
      <c r="I15638" s="30" t="s">
        <v>21</v>
      </c>
      <c r="J15638" s="41">
        <v>44979</v>
      </c>
      <c r="K15638" s="30" t="s">
        <v>22</v>
      </c>
    </row>
    <row r="15639" spans="1:11">
      <c r="A15639" s="33" t="s">
        <v>35150</v>
      </c>
      <c r="B15639" s="33" t="s">
        <v>35151</v>
      </c>
      <c r="C15639" s="33" t="s">
        <v>31562</v>
      </c>
      <c r="D15639" s="33" t="s">
        <v>17</v>
      </c>
      <c r="E15639" s="33" t="s">
        <v>26</v>
      </c>
      <c r="F15639" s="33" t="s">
        <v>27</v>
      </c>
      <c r="G15639" s="33" t="s">
        <v>7780</v>
      </c>
      <c r="H15639" s="35">
        <v>322</v>
      </c>
      <c r="I15639" s="33" t="s">
        <v>51</v>
      </c>
      <c r="J15639" s="42">
        <v>45127</v>
      </c>
      <c r="K15639" s="33" t="s">
        <v>22</v>
      </c>
    </row>
    <row r="15640" spans="1:11">
      <c r="A15640" s="30" t="s">
        <v>35152</v>
      </c>
      <c r="B15640" s="30" t="s">
        <v>35153</v>
      </c>
      <c r="C15640" s="30" t="s">
        <v>16043</v>
      </c>
      <c r="D15640" s="30" t="s">
        <v>17</v>
      </c>
      <c r="E15640" s="30" t="s">
        <v>18</v>
      </c>
      <c r="F15640" s="30" t="s">
        <v>19</v>
      </c>
      <c r="G15640" s="30" t="s">
        <v>158</v>
      </c>
      <c r="H15640" s="32">
        <v>700</v>
      </c>
      <c r="I15640" s="30" t="s">
        <v>51</v>
      </c>
      <c r="J15640" s="41">
        <v>45240</v>
      </c>
      <c r="K15640" s="30" t="s">
        <v>22</v>
      </c>
    </row>
    <row r="15641" spans="1:11">
      <c r="A15641" s="33" t="s">
        <v>35154</v>
      </c>
      <c r="B15641" s="33" t="s">
        <v>35155</v>
      </c>
      <c r="C15641" s="33" t="s">
        <v>96</v>
      </c>
      <c r="D15641" s="33" t="s">
        <v>17</v>
      </c>
      <c r="E15641" s="33" t="s">
        <v>26</v>
      </c>
      <c r="F15641" s="33" t="s">
        <v>27</v>
      </c>
      <c r="G15641" s="33" t="s">
        <v>20</v>
      </c>
      <c r="H15641" s="35">
        <v>25</v>
      </c>
      <c r="I15641" s="33" t="s">
        <v>21</v>
      </c>
      <c r="J15641" s="42">
        <v>45170</v>
      </c>
      <c r="K15641" s="33" t="s">
        <v>22</v>
      </c>
    </row>
    <row r="15642" spans="1:11">
      <c r="A15642" s="30" t="s">
        <v>35156</v>
      </c>
      <c r="B15642" s="30" t="s">
        <v>35157</v>
      </c>
      <c r="C15642" s="30" t="s">
        <v>187</v>
      </c>
      <c r="D15642" s="30" t="s">
        <v>17</v>
      </c>
      <c r="E15642" s="30" t="s">
        <v>26</v>
      </c>
      <c r="F15642" s="30" t="s">
        <v>27</v>
      </c>
      <c r="G15642" s="30" t="s">
        <v>50</v>
      </c>
      <c r="H15642" s="32">
        <v>92</v>
      </c>
      <c r="I15642" s="30" t="s">
        <v>51</v>
      </c>
      <c r="J15642" s="41">
        <v>45083</v>
      </c>
      <c r="K15642" s="30" t="s">
        <v>22</v>
      </c>
    </row>
    <row r="15643" spans="1:11">
      <c r="A15643" s="33" t="s">
        <v>35158</v>
      </c>
      <c r="B15643" s="33" t="s">
        <v>35159</v>
      </c>
      <c r="C15643" s="33" t="s">
        <v>35160</v>
      </c>
      <c r="D15643" s="33" t="s">
        <v>17</v>
      </c>
      <c r="E15643" s="33" t="s">
        <v>26</v>
      </c>
      <c r="F15643" s="33" t="s">
        <v>27</v>
      </c>
      <c r="G15643" s="33" t="s">
        <v>20</v>
      </c>
      <c r="H15643" s="35">
        <v>73</v>
      </c>
      <c r="I15643" s="33" t="s">
        <v>21</v>
      </c>
      <c r="J15643" s="42">
        <v>45259</v>
      </c>
      <c r="K15643" s="33" t="s">
        <v>22</v>
      </c>
    </row>
    <row r="15644" spans="1:11">
      <c r="A15644" s="30" t="s">
        <v>35161</v>
      </c>
      <c r="B15644" s="30" t="s">
        <v>35162</v>
      </c>
      <c r="C15644" s="30" t="s">
        <v>12440</v>
      </c>
      <c r="D15644" s="30" t="s">
        <v>17</v>
      </c>
      <c r="E15644" s="30" t="s">
        <v>67</v>
      </c>
      <c r="F15644" s="30" t="s">
        <v>68</v>
      </c>
      <c r="G15644" s="30" t="s">
        <v>140</v>
      </c>
      <c r="H15644" s="32">
        <v>358</v>
      </c>
      <c r="I15644" s="30" t="s">
        <v>51</v>
      </c>
      <c r="J15644" s="41">
        <v>45057</v>
      </c>
      <c r="K15644" s="30" t="s">
        <v>22</v>
      </c>
    </row>
    <row r="15645" spans="1:11">
      <c r="A15645" s="33" t="s">
        <v>35163</v>
      </c>
      <c r="B15645" s="33" t="s">
        <v>35164</v>
      </c>
      <c r="C15645" s="33" t="s">
        <v>2308</v>
      </c>
      <c r="D15645" s="33" t="s">
        <v>17</v>
      </c>
      <c r="E15645" s="33" t="s">
        <v>67</v>
      </c>
      <c r="F15645" s="33" t="s">
        <v>68</v>
      </c>
      <c r="G15645" s="33" t="s">
        <v>50</v>
      </c>
      <c r="H15645" s="35">
        <v>84</v>
      </c>
      <c r="I15645" s="33" t="s">
        <v>51</v>
      </c>
      <c r="J15645" s="42">
        <v>45007</v>
      </c>
      <c r="K15645" s="33" t="s">
        <v>22</v>
      </c>
    </row>
    <row r="15646" spans="1:11">
      <c r="A15646" s="30" t="s">
        <v>35165</v>
      </c>
      <c r="B15646" s="30" t="s">
        <v>35166</v>
      </c>
      <c r="C15646" s="30" t="s">
        <v>925</v>
      </c>
      <c r="D15646" s="30" t="s">
        <v>17</v>
      </c>
      <c r="E15646" s="30" t="s">
        <v>18</v>
      </c>
      <c r="F15646" s="30" t="s">
        <v>19</v>
      </c>
      <c r="G15646" s="30" t="s">
        <v>20</v>
      </c>
      <c r="H15646" s="32">
        <v>96</v>
      </c>
      <c r="I15646" s="30" t="s">
        <v>21</v>
      </c>
      <c r="J15646" s="41">
        <v>45174</v>
      </c>
      <c r="K15646" s="30" t="s">
        <v>22</v>
      </c>
    </row>
    <row r="15647" spans="1:11">
      <c r="A15647" s="33" t="s">
        <v>35167</v>
      </c>
      <c r="B15647" s="33" t="s">
        <v>35168</v>
      </c>
      <c r="C15647" s="33" t="s">
        <v>24106</v>
      </c>
      <c r="D15647" s="33" t="s">
        <v>17</v>
      </c>
      <c r="E15647" s="33" t="s">
        <v>26</v>
      </c>
      <c r="F15647" s="33" t="s">
        <v>27</v>
      </c>
      <c r="G15647" s="33" t="s">
        <v>158</v>
      </c>
      <c r="H15647" s="35">
        <v>50</v>
      </c>
      <c r="I15647" s="33" t="s">
        <v>51</v>
      </c>
      <c r="J15647" s="42">
        <v>45054</v>
      </c>
      <c r="K15647" s="33" t="s">
        <v>22</v>
      </c>
    </row>
    <row r="15648" spans="1:11">
      <c r="A15648" s="30" t="s">
        <v>35169</v>
      </c>
      <c r="B15648" s="30" t="s">
        <v>35170</v>
      </c>
      <c r="C15648" s="30" t="s">
        <v>5845</v>
      </c>
      <c r="D15648" s="30" t="s">
        <v>17</v>
      </c>
      <c r="E15648" s="30" t="s">
        <v>26</v>
      </c>
      <c r="F15648" s="30" t="s">
        <v>27</v>
      </c>
      <c r="G15648" s="30" t="s">
        <v>20</v>
      </c>
      <c r="H15648" s="32">
        <v>15</v>
      </c>
      <c r="I15648" s="30" t="s">
        <v>21</v>
      </c>
      <c r="J15648" s="41">
        <v>45126</v>
      </c>
      <c r="K15648" s="30" t="s">
        <v>22</v>
      </c>
    </row>
    <row r="15649" spans="1:11">
      <c r="A15649" s="33" t="s">
        <v>35171</v>
      </c>
      <c r="B15649" s="33" t="s">
        <v>35172</v>
      </c>
      <c r="C15649" s="33" t="s">
        <v>187</v>
      </c>
      <c r="D15649" s="33" t="s">
        <v>17</v>
      </c>
      <c r="E15649" s="33" t="s">
        <v>31</v>
      </c>
      <c r="F15649" s="33" t="s">
        <v>32</v>
      </c>
      <c r="G15649" s="33" t="s">
        <v>20</v>
      </c>
      <c r="H15649" s="35">
        <v>75</v>
      </c>
      <c r="I15649" s="33" t="s">
        <v>21</v>
      </c>
      <c r="J15649" s="42">
        <v>45161</v>
      </c>
      <c r="K15649" s="33" t="s">
        <v>22</v>
      </c>
    </row>
    <row r="15650" spans="1:11">
      <c r="A15650" s="30" t="s">
        <v>35173</v>
      </c>
      <c r="B15650" s="30" t="s">
        <v>35174</v>
      </c>
      <c r="C15650" s="30" t="s">
        <v>2562</v>
      </c>
      <c r="D15650" s="30" t="s">
        <v>17</v>
      </c>
      <c r="E15650" s="30" t="s">
        <v>18</v>
      </c>
      <c r="F15650" s="30" t="s">
        <v>19</v>
      </c>
      <c r="G15650" s="30" t="s">
        <v>20</v>
      </c>
      <c r="H15650" s="32">
        <v>108</v>
      </c>
      <c r="I15650" s="30" t="s">
        <v>21</v>
      </c>
      <c r="J15650" s="41">
        <v>45148</v>
      </c>
      <c r="K15650" s="30" t="s">
        <v>22</v>
      </c>
    </row>
    <row r="15651" spans="1:11">
      <c r="A15651" s="33" t="s">
        <v>35175</v>
      </c>
      <c r="B15651" s="33" t="s">
        <v>35176</v>
      </c>
      <c r="C15651" s="33" t="s">
        <v>1305</v>
      </c>
      <c r="D15651" s="33" t="s">
        <v>17</v>
      </c>
      <c r="E15651" s="33" t="s">
        <v>18</v>
      </c>
      <c r="F15651" s="33" t="s">
        <v>19</v>
      </c>
      <c r="G15651" s="33" t="s">
        <v>158</v>
      </c>
      <c r="H15651" s="35">
        <v>759</v>
      </c>
      <c r="I15651" s="33" t="s">
        <v>21</v>
      </c>
      <c r="J15651" s="42">
        <v>45211</v>
      </c>
      <c r="K15651" s="33" t="s">
        <v>22</v>
      </c>
    </row>
    <row r="15652" spans="1:11">
      <c r="A15652" s="30" t="s">
        <v>35177</v>
      </c>
      <c r="B15652" s="30" t="s">
        <v>35178</v>
      </c>
      <c r="C15652" s="30" t="s">
        <v>14253</v>
      </c>
      <c r="D15652" s="30" t="s">
        <v>17</v>
      </c>
      <c r="E15652" s="30" t="s">
        <v>26</v>
      </c>
      <c r="F15652" s="30" t="s">
        <v>27</v>
      </c>
      <c r="G15652" s="30" t="s">
        <v>106</v>
      </c>
      <c r="H15652" s="32">
        <v>23</v>
      </c>
      <c r="I15652" s="30" t="s">
        <v>21</v>
      </c>
      <c r="J15652" s="41">
        <v>45272</v>
      </c>
      <c r="K15652" s="30" t="s">
        <v>22</v>
      </c>
    </row>
    <row r="15653" spans="1:11">
      <c r="A15653" s="33" t="s">
        <v>35179</v>
      </c>
      <c r="B15653" s="33" t="s">
        <v>35180</v>
      </c>
      <c r="C15653" s="33" t="s">
        <v>647</v>
      </c>
      <c r="D15653" s="33" t="s">
        <v>17</v>
      </c>
      <c r="E15653" s="33" t="s">
        <v>18</v>
      </c>
      <c r="F15653" s="33" t="s">
        <v>19</v>
      </c>
      <c r="G15653" s="33" t="s">
        <v>140</v>
      </c>
      <c r="H15653" s="35">
        <v>1314</v>
      </c>
      <c r="I15653" s="33" t="s">
        <v>51</v>
      </c>
      <c r="J15653" s="42">
        <v>45278</v>
      </c>
      <c r="K15653" s="33" t="s">
        <v>22</v>
      </c>
    </row>
    <row r="15654" spans="1:11">
      <c r="A15654" s="30" t="s">
        <v>35181</v>
      </c>
      <c r="B15654" s="30" t="s">
        <v>35182</v>
      </c>
      <c r="C15654" s="30" t="s">
        <v>1571</v>
      </c>
      <c r="D15654" s="30" t="s">
        <v>17</v>
      </c>
      <c r="E15654" s="30" t="s">
        <v>31</v>
      </c>
      <c r="F15654" s="30" t="s">
        <v>32</v>
      </c>
      <c r="G15654" s="30" t="s">
        <v>2613</v>
      </c>
      <c r="H15654" s="32">
        <v>64</v>
      </c>
      <c r="I15654" s="30" t="s">
        <v>51</v>
      </c>
      <c r="J15654" s="41">
        <v>45076</v>
      </c>
      <c r="K15654" s="30" t="s">
        <v>22</v>
      </c>
    </row>
    <row r="15655" spans="1:11">
      <c r="A15655" s="33" t="s">
        <v>35183</v>
      </c>
      <c r="B15655" s="33" t="s">
        <v>35184</v>
      </c>
      <c r="C15655" s="33" t="s">
        <v>1835</v>
      </c>
      <c r="D15655" s="33" t="s">
        <v>17</v>
      </c>
      <c r="E15655" s="33" t="s">
        <v>26</v>
      </c>
      <c r="F15655" s="33" t="s">
        <v>27</v>
      </c>
      <c r="G15655" s="33" t="s">
        <v>20</v>
      </c>
      <c r="H15655" s="35">
        <v>96</v>
      </c>
      <c r="I15655" s="33" t="s">
        <v>21</v>
      </c>
      <c r="J15655" s="42">
        <v>45204</v>
      </c>
      <c r="K15655" s="33" t="s">
        <v>22</v>
      </c>
    </row>
    <row r="15656" spans="1:11">
      <c r="A15656" s="30" t="s">
        <v>35185</v>
      </c>
      <c r="B15656" s="30" t="s">
        <v>35186</v>
      </c>
      <c r="C15656" s="30" t="s">
        <v>2472</v>
      </c>
      <c r="D15656" s="30" t="s">
        <v>17</v>
      </c>
      <c r="E15656" s="30" t="s">
        <v>67</v>
      </c>
      <c r="F15656" s="30" t="s">
        <v>68</v>
      </c>
      <c r="G15656" s="30" t="s">
        <v>20</v>
      </c>
      <c r="H15656" s="32">
        <v>698</v>
      </c>
      <c r="I15656" s="30" t="s">
        <v>21</v>
      </c>
      <c r="J15656" s="41">
        <v>45012</v>
      </c>
      <c r="K15656" s="30" t="s">
        <v>22</v>
      </c>
    </row>
    <row r="15657" spans="1:11">
      <c r="A15657" s="33" t="s">
        <v>35187</v>
      </c>
      <c r="B15657" s="33" t="s">
        <v>35188</v>
      </c>
      <c r="C15657" s="33" t="s">
        <v>17990</v>
      </c>
      <c r="D15657" s="33" t="s">
        <v>17</v>
      </c>
      <c r="E15657" s="33" t="s">
        <v>26</v>
      </c>
      <c r="F15657" s="33" t="s">
        <v>27</v>
      </c>
      <c r="G15657" s="33" t="s">
        <v>20</v>
      </c>
      <c r="H15657" s="35">
        <v>28</v>
      </c>
      <c r="I15657" s="33" t="s">
        <v>21</v>
      </c>
      <c r="J15657" s="42">
        <v>45236</v>
      </c>
      <c r="K15657" s="33" t="s">
        <v>22</v>
      </c>
    </row>
    <row r="15658" spans="1:11">
      <c r="A15658" s="30" t="s">
        <v>35189</v>
      </c>
      <c r="B15658" s="30" t="s">
        <v>35190</v>
      </c>
      <c r="C15658" s="30" t="s">
        <v>426</v>
      </c>
      <c r="D15658" s="30" t="s">
        <v>17</v>
      </c>
      <c r="E15658" s="30" t="s">
        <v>26</v>
      </c>
      <c r="F15658" s="30" t="s">
        <v>27</v>
      </c>
      <c r="G15658" s="30" t="s">
        <v>140</v>
      </c>
      <c r="H15658" s="32">
        <v>100</v>
      </c>
      <c r="I15658" s="30" t="s">
        <v>51</v>
      </c>
      <c r="J15658" s="41">
        <v>44985</v>
      </c>
      <c r="K15658" s="30" t="s">
        <v>22</v>
      </c>
    </row>
    <row r="15659" spans="1:11">
      <c r="A15659" s="33" t="s">
        <v>35191</v>
      </c>
      <c r="B15659" s="33" t="s">
        <v>35192</v>
      </c>
      <c r="C15659" s="33" t="s">
        <v>252</v>
      </c>
      <c r="D15659" s="33" t="s">
        <v>17</v>
      </c>
      <c r="E15659" s="33" t="s">
        <v>31</v>
      </c>
      <c r="F15659" s="33" t="s">
        <v>32</v>
      </c>
      <c r="G15659" s="33" t="s">
        <v>140</v>
      </c>
      <c r="H15659" s="35">
        <v>90</v>
      </c>
      <c r="I15659" s="33" t="s">
        <v>51</v>
      </c>
      <c r="J15659" s="42">
        <v>45243</v>
      </c>
      <c r="K15659" s="33" t="s">
        <v>22</v>
      </c>
    </row>
    <row r="15660" spans="1:11">
      <c r="A15660" s="30" t="s">
        <v>35193</v>
      </c>
      <c r="B15660" s="30" t="s">
        <v>35194</v>
      </c>
      <c r="C15660" s="30" t="s">
        <v>3679</v>
      </c>
      <c r="D15660" s="30" t="s">
        <v>17</v>
      </c>
      <c r="E15660" s="30" t="s">
        <v>26</v>
      </c>
      <c r="F15660" s="30" t="s">
        <v>27</v>
      </c>
      <c r="G15660" s="30" t="s">
        <v>112</v>
      </c>
      <c r="H15660" s="32">
        <v>0</v>
      </c>
      <c r="I15660" s="30" t="s">
        <v>21</v>
      </c>
      <c r="J15660" s="41">
        <v>44927</v>
      </c>
      <c r="K15660" s="30" t="s">
        <v>22</v>
      </c>
    </row>
    <row r="15661" spans="1:11">
      <c r="A15661" s="33" t="s">
        <v>35195</v>
      </c>
      <c r="B15661" s="33" t="s">
        <v>35196</v>
      </c>
      <c r="C15661" s="33" t="s">
        <v>570</v>
      </c>
      <c r="D15661" s="33" t="s">
        <v>17</v>
      </c>
      <c r="E15661" s="33" t="s">
        <v>26</v>
      </c>
      <c r="F15661" s="33" t="s">
        <v>27</v>
      </c>
      <c r="G15661" s="33" t="s">
        <v>50</v>
      </c>
      <c r="H15661" s="35">
        <v>100</v>
      </c>
      <c r="I15661" s="33" t="s">
        <v>51</v>
      </c>
      <c r="J15661" s="42">
        <v>45107</v>
      </c>
      <c r="K15661" s="33" t="s">
        <v>22</v>
      </c>
    </row>
    <row r="15662" spans="1:11">
      <c r="A15662" s="30" t="s">
        <v>35197</v>
      </c>
      <c r="B15662" s="30" t="s">
        <v>35198</v>
      </c>
      <c r="C15662" s="30" t="s">
        <v>154</v>
      </c>
      <c r="D15662" s="30" t="s">
        <v>17</v>
      </c>
      <c r="E15662" s="30" t="s">
        <v>18</v>
      </c>
      <c r="F15662" s="30" t="s">
        <v>19</v>
      </c>
      <c r="G15662" s="30" t="s">
        <v>112</v>
      </c>
      <c r="H15662" s="32">
        <v>0</v>
      </c>
      <c r="I15662" s="30" t="s">
        <v>21</v>
      </c>
      <c r="J15662" s="41">
        <v>45107</v>
      </c>
      <c r="K15662" s="30" t="s">
        <v>22</v>
      </c>
    </row>
    <row r="15663" spans="1:11">
      <c r="A15663" s="33" t="s">
        <v>35199</v>
      </c>
      <c r="B15663" s="33" t="s">
        <v>35200</v>
      </c>
      <c r="C15663" s="33" t="s">
        <v>35201</v>
      </c>
      <c r="D15663" s="33" t="s">
        <v>17</v>
      </c>
      <c r="E15663" s="33" t="s">
        <v>26</v>
      </c>
      <c r="F15663" s="33" t="s">
        <v>27</v>
      </c>
      <c r="G15663" s="33" t="s">
        <v>20</v>
      </c>
      <c r="H15663" s="35">
        <v>36</v>
      </c>
      <c r="I15663" s="33" t="s">
        <v>21</v>
      </c>
      <c r="J15663" s="42">
        <v>45136</v>
      </c>
      <c r="K15663" s="33" t="s">
        <v>22</v>
      </c>
    </row>
    <row r="15664" spans="1:11">
      <c r="A15664" s="30" t="s">
        <v>35202</v>
      </c>
      <c r="B15664" s="30" t="s">
        <v>35203</v>
      </c>
      <c r="C15664" s="30" t="s">
        <v>6379</v>
      </c>
      <c r="D15664" s="30" t="s">
        <v>17</v>
      </c>
      <c r="E15664" s="30" t="s">
        <v>212</v>
      </c>
      <c r="F15664" s="30" t="s">
        <v>213</v>
      </c>
      <c r="G15664" s="30" t="s">
        <v>20</v>
      </c>
      <c r="H15664" s="32">
        <v>59</v>
      </c>
      <c r="I15664" s="30" t="s">
        <v>21</v>
      </c>
      <c r="J15664" s="41">
        <v>45055</v>
      </c>
      <c r="K15664" s="30" t="s">
        <v>22</v>
      </c>
    </row>
    <row r="15665" spans="1:11">
      <c r="A15665" s="33" t="s">
        <v>35204</v>
      </c>
      <c r="B15665" s="33" t="s">
        <v>35205</v>
      </c>
      <c r="C15665" s="33" t="s">
        <v>9122</v>
      </c>
      <c r="D15665" s="33" t="s">
        <v>17</v>
      </c>
      <c r="E15665" s="33" t="s">
        <v>26</v>
      </c>
      <c r="F15665" s="33" t="s">
        <v>27</v>
      </c>
      <c r="G15665" s="33" t="s">
        <v>158</v>
      </c>
      <c r="H15665" s="35">
        <v>86</v>
      </c>
      <c r="I15665" s="33" t="s">
        <v>21</v>
      </c>
      <c r="J15665" s="42">
        <v>45155</v>
      </c>
      <c r="K15665" s="33" t="s">
        <v>22</v>
      </c>
    </row>
    <row r="15666" spans="1:11">
      <c r="A15666" s="30" t="s">
        <v>35206</v>
      </c>
      <c r="B15666" s="30" t="s">
        <v>35207</v>
      </c>
      <c r="C15666" s="30" t="s">
        <v>22062</v>
      </c>
      <c r="D15666" s="30" t="s">
        <v>17</v>
      </c>
      <c r="E15666" s="30" t="s">
        <v>45</v>
      </c>
      <c r="F15666" s="30" t="s">
        <v>46</v>
      </c>
      <c r="G15666" s="30" t="s">
        <v>106</v>
      </c>
      <c r="H15666" s="32">
        <v>600</v>
      </c>
      <c r="I15666" s="30" t="s">
        <v>21</v>
      </c>
      <c r="J15666" s="41">
        <v>45119</v>
      </c>
      <c r="K15666" s="30" t="s">
        <v>22</v>
      </c>
    </row>
    <row r="15667" spans="1:11">
      <c r="A15667" s="33" t="s">
        <v>35208</v>
      </c>
      <c r="B15667" s="33" t="s">
        <v>35209</v>
      </c>
      <c r="C15667" s="33" t="s">
        <v>35210</v>
      </c>
      <c r="D15667" s="33" t="s">
        <v>17</v>
      </c>
      <c r="E15667" s="33" t="s">
        <v>26</v>
      </c>
      <c r="F15667" s="33" t="s">
        <v>27</v>
      </c>
      <c r="G15667" s="33" t="s">
        <v>20</v>
      </c>
      <c r="H15667" s="35">
        <v>36</v>
      </c>
      <c r="I15667" s="33" t="s">
        <v>21</v>
      </c>
      <c r="J15667" s="42">
        <v>45016</v>
      </c>
      <c r="K15667" s="33" t="s">
        <v>22</v>
      </c>
    </row>
    <row r="15668" spans="1:11">
      <c r="A15668" s="30" t="s">
        <v>35211</v>
      </c>
      <c r="B15668" s="30" t="s">
        <v>35212</v>
      </c>
      <c r="C15668" s="30" t="s">
        <v>9114</v>
      </c>
      <c r="D15668" s="30" t="s">
        <v>17</v>
      </c>
      <c r="E15668" s="30" t="s">
        <v>26</v>
      </c>
      <c r="F15668" s="30" t="s">
        <v>27</v>
      </c>
      <c r="G15668" s="30" t="s">
        <v>50</v>
      </c>
      <c r="H15668" s="32">
        <v>16</v>
      </c>
      <c r="I15668" s="30" t="s">
        <v>51</v>
      </c>
      <c r="J15668" s="41">
        <v>45019</v>
      </c>
      <c r="K15668" s="30" t="s">
        <v>22</v>
      </c>
    </row>
    <row r="15669" spans="1:11">
      <c r="A15669" s="33" t="s">
        <v>35213</v>
      </c>
      <c r="B15669" s="33" t="s">
        <v>35214</v>
      </c>
      <c r="C15669" s="33" t="s">
        <v>33686</v>
      </c>
      <c r="D15669" s="33" t="s">
        <v>17</v>
      </c>
      <c r="E15669" s="33" t="s">
        <v>18</v>
      </c>
      <c r="F15669" s="33" t="s">
        <v>19</v>
      </c>
      <c r="G15669" s="33" t="s">
        <v>106</v>
      </c>
      <c r="H15669" s="35">
        <v>1061</v>
      </c>
      <c r="I15669" s="33" t="s">
        <v>21</v>
      </c>
      <c r="J15669" s="42">
        <v>44956</v>
      </c>
      <c r="K15669" s="33" t="s">
        <v>22</v>
      </c>
    </row>
    <row r="15670" spans="1:11">
      <c r="A15670" s="30" t="s">
        <v>35215</v>
      </c>
      <c r="B15670" s="30" t="s">
        <v>35216</v>
      </c>
      <c r="C15670" s="30" t="s">
        <v>19179</v>
      </c>
      <c r="D15670" s="30" t="s">
        <v>17</v>
      </c>
      <c r="E15670" s="30" t="s">
        <v>212</v>
      </c>
      <c r="F15670" s="30" t="s">
        <v>213</v>
      </c>
      <c r="G15670" s="30" t="s">
        <v>20</v>
      </c>
      <c r="H15670" s="32">
        <v>30</v>
      </c>
      <c r="I15670" s="30" t="s">
        <v>21</v>
      </c>
      <c r="J15670" s="41">
        <v>45091</v>
      </c>
      <c r="K15670" s="30" t="s">
        <v>22</v>
      </c>
    </row>
    <row r="15671" spans="1:11">
      <c r="A15671" s="33" t="s">
        <v>35217</v>
      </c>
      <c r="B15671" s="33" t="s">
        <v>35218</v>
      </c>
      <c r="C15671" s="33" t="s">
        <v>11606</v>
      </c>
      <c r="D15671" s="33" t="s">
        <v>17</v>
      </c>
      <c r="E15671" s="33" t="s">
        <v>31</v>
      </c>
      <c r="F15671" s="33" t="s">
        <v>32</v>
      </c>
      <c r="G15671" s="33" t="s">
        <v>140</v>
      </c>
      <c r="H15671" s="35">
        <v>27</v>
      </c>
      <c r="I15671" s="33" t="s">
        <v>51</v>
      </c>
      <c r="J15671" s="42">
        <v>45097</v>
      </c>
      <c r="K15671" s="33" t="s">
        <v>22</v>
      </c>
    </row>
    <row r="15672" spans="1:11">
      <c r="A15672" s="30" t="s">
        <v>35219</v>
      </c>
      <c r="B15672" s="30" t="s">
        <v>35220</v>
      </c>
      <c r="C15672" s="30" t="s">
        <v>20839</v>
      </c>
      <c r="D15672" s="30" t="s">
        <v>17</v>
      </c>
      <c r="E15672" s="30" t="s">
        <v>31</v>
      </c>
      <c r="F15672" s="30" t="s">
        <v>32</v>
      </c>
      <c r="G15672" s="30" t="s">
        <v>20</v>
      </c>
      <c r="H15672" s="32">
        <v>10</v>
      </c>
      <c r="I15672" s="30" t="s">
        <v>21</v>
      </c>
      <c r="J15672" s="41">
        <v>45265</v>
      </c>
      <c r="K15672" s="30" t="s">
        <v>22</v>
      </c>
    </row>
    <row r="15673" spans="1:11">
      <c r="A15673" s="33" t="s">
        <v>35221</v>
      </c>
      <c r="B15673" s="33" t="s">
        <v>35222</v>
      </c>
      <c r="C15673" s="33" t="s">
        <v>187</v>
      </c>
      <c r="D15673" s="33" t="s">
        <v>17</v>
      </c>
      <c r="E15673" s="33" t="s">
        <v>67</v>
      </c>
      <c r="F15673" s="33" t="s">
        <v>68</v>
      </c>
      <c r="G15673" s="33" t="s">
        <v>50</v>
      </c>
      <c r="H15673" s="35">
        <v>60</v>
      </c>
      <c r="I15673" s="33" t="s">
        <v>51</v>
      </c>
      <c r="J15673" s="42">
        <v>45069</v>
      </c>
      <c r="K15673" s="33" t="s">
        <v>22</v>
      </c>
    </row>
    <row r="15674" spans="1:11">
      <c r="A15674" s="30" t="s">
        <v>35223</v>
      </c>
      <c r="B15674" s="30" t="s">
        <v>35224</v>
      </c>
      <c r="C15674" s="30" t="s">
        <v>231</v>
      </c>
      <c r="D15674" s="30" t="s">
        <v>17</v>
      </c>
      <c r="E15674" s="30" t="s">
        <v>26</v>
      </c>
      <c r="F15674" s="30" t="s">
        <v>27</v>
      </c>
      <c r="G15674" s="30" t="s">
        <v>20</v>
      </c>
      <c r="H15674" s="32">
        <v>14</v>
      </c>
      <c r="I15674" s="30" t="s">
        <v>21</v>
      </c>
      <c r="J15674" s="41">
        <v>45198</v>
      </c>
      <c r="K15674" s="30" t="s">
        <v>22</v>
      </c>
    </row>
    <row r="15675" spans="1:11">
      <c r="A15675" s="33" t="s">
        <v>35225</v>
      </c>
      <c r="B15675" s="33" t="s">
        <v>35226</v>
      </c>
      <c r="C15675" s="33" t="s">
        <v>13795</v>
      </c>
      <c r="D15675" s="33" t="s">
        <v>17</v>
      </c>
      <c r="E15675" s="33" t="s">
        <v>67</v>
      </c>
      <c r="F15675" s="33" t="s">
        <v>68</v>
      </c>
      <c r="G15675" s="33" t="s">
        <v>20</v>
      </c>
      <c r="H15675" s="35">
        <v>71</v>
      </c>
      <c r="I15675" s="33" t="s">
        <v>21</v>
      </c>
      <c r="J15675" s="42">
        <v>44965</v>
      </c>
      <c r="K15675" s="33" t="s">
        <v>22</v>
      </c>
    </row>
    <row r="15676" spans="1:11">
      <c r="A15676" s="30" t="s">
        <v>35227</v>
      </c>
      <c r="B15676" s="30" t="s">
        <v>35228</v>
      </c>
      <c r="C15676" s="30" t="s">
        <v>149</v>
      </c>
      <c r="D15676" s="30" t="s">
        <v>17</v>
      </c>
      <c r="E15676" s="30" t="s">
        <v>26</v>
      </c>
      <c r="F15676" s="30" t="s">
        <v>27</v>
      </c>
      <c r="G15676" s="30" t="s">
        <v>7780</v>
      </c>
      <c r="H15676" s="32">
        <v>660</v>
      </c>
      <c r="I15676" s="30" t="s">
        <v>51</v>
      </c>
      <c r="J15676" s="41">
        <v>45200</v>
      </c>
      <c r="K15676" s="30" t="s">
        <v>22</v>
      </c>
    </row>
    <row r="15677" spans="1:11">
      <c r="A15677" s="33" t="s">
        <v>35229</v>
      </c>
      <c r="B15677" s="33" t="s">
        <v>35230</v>
      </c>
      <c r="C15677" s="33" t="s">
        <v>109</v>
      </c>
      <c r="D15677" s="33" t="s">
        <v>17</v>
      </c>
      <c r="E15677" s="33" t="s">
        <v>18</v>
      </c>
      <c r="F15677" s="33" t="s">
        <v>19</v>
      </c>
      <c r="G15677" s="33" t="s">
        <v>112</v>
      </c>
      <c r="H15677" s="35">
        <v>0</v>
      </c>
      <c r="I15677" s="33" t="s">
        <v>21</v>
      </c>
      <c r="J15677" s="42">
        <v>45135</v>
      </c>
      <c r="K15677" s="33" t="s">
        <v>22</v>
      </c>
    </row>
    <row r="15678" spans="1:11">
      <c r="A15678" s="30" t="s">
        <v>35231</v>
      </c>
      <c r="B15678" s="30" t="s">
        <v>35232</v>
      </c>
      <c r="C15678" s="30" t="s">
        <v>5276</v>
      </c>
      <c r="D15678" s="30" t="s">
        <v>17</v>
      </c>
      <c r="E15678" s="30" t="s">
        <v>31</v>
      </c>
      <c r="F15678" s="30" t="s">
        <v>32</v>
      </c>
      <c r="G15678" s="30" t="s">
        <v>50</v>
      </c>
      <c r="H15678" s="32">
        <v>60</v>
      </c>
      <c r="I15678" s="30" t="s">
        <v>51</v>
      </c>
      <c r="J15678" s="41">
        <v>45202</v>
      </c>
      <c r="K15678" s="30" t="s">
        <v>22</v>
      </c>
    </row>
    <row r="15679" spans="1:11">
      <c r="A15679" s="33" t="s">
        <v>35233</v>
      </c>
      <c r="B15679" s="33" t="s">
        <v>35234</v>
      </c>
      <c r="C15679" s="33" t="s">
        <v>6205</v>
      </c>
      <c r="D15679" s="33" t="s">
        <v>17</v>
      </c>
      <c r="E15679" s="33" t="s">
        <v>18</v>
      </c>
      <c r="F15679" s="33" t="s">
        <v>19</v>
      </c>
      <c r="G15679" s="33" t="s">
        <v>20</v>
      </c>
      <c r="H15679" s="35">
        <v>1260</v>
      </c>
      <c r="I15679" s="33" t="s">
        <v>21</v>
      </c>
      <c r="J15679" s="42">
        <v>45170</v>
      </c>
      <c r="K15679" s="33" t="s">
        <v>22</v>
      </c>
    </row>
    <row r="15680" spans="1:11">
      <c r="A15680" s="30" t="s">
        <v>35235</v>
      </c>
      <c r="B15680" s="30" t="s">
        <v>35236</v>
      </c>
      <c r="C15680" s="30" t="s">
        <v>35237</v>
      </c>
      <c r="D15680" s="30" t="s">
        <v>17</v>
      </c>
      <c r="E15680" s="30" t="s">
        <v>31</v>
      </c>
      <c r="F15680" s="30" t="s">
        <v>32</v>
      </c>
      <c r="G15680" s="30" t="s">
        <v>20</v>
      </c>
      <c r="H15680" s="32">
        <v>250</v>
      </c>
      <c r="I15680" s="30" t="s">
        <v>21</v>
      </c>
      <c r="J15680" s="41">
        <v>45287</v>
      </c>
      <c r="K15680" s="30" t="s">
        <v>22</v>
      </c>
    </row>
    <row r="15681" spans="1:11">
      <c r="A15681" s="33" t="s">
        <v>35238</v>
      </c>
      <c r="B15681" s="33" t="s">
        <v>35239</v>
      </c>
      <c r="C15681" s="33" t="s">
        <v>44</v>
      </c>
      <c r="D15681" s="33" t="s">
        <v>17</v>
      </c>
      <c r="E15681" s="33" t="s">
        <v>45</v>
      </c>
      <c r="F15681" s="33" t="s">
        <v>46</v>
      </c>
      <c r="G15681" s="33" t="s">
        <v>158</v>
      </c>
      <c r="H15681" s="35">
        <v>950</v>
      </c>
      <c r="I15681" s="33" t="s">
        <v>51</v>
      </c>
      <c r="J15681" s="42">
        <v>45146</v>
      </c>
      <c r="K15681" s="33" t="s">
        <v>22</v>
      </c>
    </row>
    <row r="15682" spans="1:11">
      <c r="A15682" s="30" t="s">
        <v>35240</v>
      </c>
      <c r="B15682" s="30" t="s">
        <v>35241</v>
      </c>
      <c r="C15682" s="30" t="s">
        <v>178</v>
      </c>
      <c r="D15682" s="30" t="s">
        <v>17</v>
      </c>
      <c r="E15682" s="30" t="s">
        <v>18</v>
      </c>
      <c r="F15682" s="30" t="s">
        <v>19</v>
      </c>
      <c r="G15682" s="30" t="s">
        <v>140</v>
      </c>
      <c r="H15682" s="32">
        <v>428</v>
      </c>
      <c r="I15682" s="30" t="s">
        <v>51</v>
      </c>
      <c r="J15682" s="41">
        <v>45146</v>
      </c>
      <c r="K15682" s="30" t="s">
        <v>22</v>
      </c>
    </row>
    <row r="15683" spans="1:11">
      <c r="A15683" s="33" t="s">
        <v>35242</v>
      </c>
      <c r="B15683" s="33" t="s">
        <v>35243</v>
      </c>
      <c r="C15683" s="33" t="s">
        <v>96</v>
      </c>
      <c r="D15683" s="33" t="s">
        <v>17</v>
      </c>
      <c r="E15683" s="33" t="s">
        <v>18</v>
      </c>
      <c r="F15683" s="33" t="s">
        <v>19</v>
      </c>
      <c r="G15683" s="33" t="s">
        <v>20</v>
      </c>
      <c r="H15683" s="35">
        <v>1414</v>
      </c>
      <c r="I15683" s="33" t="s">
        <v>21</v>
      </c>
      <c r="J15683" s="42">
        <v>45259</v>
      </c>
      <c r="K15683" s="33" t="s">
        <v>22</v>
      </c>
    </row>
    <row r="15684" spans="1:11">
      <c r="A15684" s="30" t="s">
        <v>35244</v>
      </c>
      <c r="B15684" s="30" t="s">
        <v>35245</v>
      </c>
      <c r="C15684" s="30" t="s">
        <v>35246</v>
      </c>
      <c r="D15684" s="30" t="s">
        <v>17</v>
      </c>
      <c r="E15684" s="30" t="s">
        <v>212</v>
      </c>
      <c r="F15684" s="30" t="s">
        <v>213</v>
      </c>
      <c r="G15684" s="30" t="s">
        <v>50</v>
      </c>
      <c r="H15684" s="32">
        <v>140</v>
      </c>
      <c r="I15684" s="30" t="s">
        <v>51</v>
      </c>
      <c r="J15684" s="41">
        <v>45147</v>
      </c>
      <c r="K15684" s="30" t="s">
        <v>22</v>
      </c>
    </row>
    <row r="15685" spans="1:11">
      <c r="A15685" s="33" t="s">
        <v>35247</v>
      </c>
      <c r="B15685" s="33" t="s">
        <v>35248</v>
      </c>
      <c r="C15685" s="33" t="s">
        <v>30890</v>
      </c>
      <c r="D15685" s="33" t="s">
        <v>17</v>
      </c>
      <c r="E15685" s="33" t="s">
        <v>330</v>
      </c>
      <c r="F15685" s="33" t="s">
        <v>331</v>
      </c>
      <c r="G15685" s="33" t="s">
        <v>140</v>
      </c>
      <c r="H15685" s="35">
        <v>9</v>
      </c>
      <c r="I15685" s="33" t="s">
        <v>51</v>
      </c>
      <c r="J15685" s="42">
        <v>45162</v>
      </c>
      <c r="K15685" s="33" t="s">
        <v>22</v>
      </c>
    </row>
    <row r="15686" spans="1:11">
      <c r="A15686" s="30" t="s">
        <v>35249</v>
      </c>
      <c r="B15686" s="30" t="s">
        <v>35250</v>
      </c>
      <c r="C15686" s="30" t="s">
        <v>969</v>
      </c>
      <c r="D15686" s="30" t="s">
        <v>17</v>
      </c>
      <c r="E15686" s="30" t="s">
        <v>45</v>
      </c>
      <c r="F15686" s="30" t="s">
        <v>46</v>
      </c>
      <c r="G15686" s="30" t="s">
        <v>140</v>
      </c>
      <c r="H15686" s="32">
        <v>300</v>
      </c>
      <c r="I15686" s="30" t="s">
        <v>51</v>
      </c>
      <c r="J15686" s="41">
        <v>45182</v>
      </c>
      <c r="K15686" s="30" t="s">
        <v>22</v>
      </c>
    </row>
    <row r="15687" spans="1:11">
      <c r="A15687" s="33" t="s">
        <v>35251</v>
      </c>
      <c r="B15687" s="33" t="s">
        <v>35252</v>
      </c>
      <c r="C15687" s="33" t="s">
        <v>75</v>
      </c>
      <c r="D15687" s="33" t="s">
        <v>17</v>
      </c>
      <c r="E15687" s="33" t="s">
        <v>26</v>
      </c>
      <c r="F15687" s="33" t="s">
        <v>27</v>
      </c>
      <c r="G15687" s="33" t="s">
        <v>20</v>
      </c>
      <c r="H15687" s="35">
        <v>61</v>
      </c>
      <c r="I15687" s="33" t="s">
        <v>21</v>
      </c>
      <c r="J15687" s="42">
        <v>44929</v>
      </c>
      <c r="K15687" s="33" t="s">
        <v>22</v>
      </c>
    </row>
    <row r="15688" spans="1:11">
      <c r="A15688" s="30" t="s">
        <v>35253</v>
      </c>
      <c r="B15688" s="30" t="s">
        <v>35254</v>
      </c>
      <c r="C15688" s="30" t="s">
        <v>6151</v>
      </c>
      <c r="D15688" s="30" t="s">
        <v>17</v>
      </c>
      <c r="E15688" s="30" t="s">
        <v>26</v>
      </c>
      <c r="F15688" s="30" t="s">
        <v>27</v>
      </c>
      <c r="G15688" s="30" t="s">
        <v>106</v>
      </c>
      <c r="H15688" s="32">
        <v>17</v>
      </c>
      <c r="I15688" s="30" t="s">
        <v>21</v>
      </c>
      <c r="J15688" s="41">
        <v>45153</v>
      </c>
      <c r="K15688" s="30" t="s">
        <v>22</v>
      </c>
    </row>
    <row r="15689" spans="1:11">
      <c r="A15689" s="33" t="s">
        <v>35255</v>
      </c>
      <c r="B15689" s="33" t="s">
        <v>35256</v>
      </c>
      <c r="C15689" s="33" t="s">
        <v>57</v>
      </c>
      <c r="D15689" s="33" t="s">
        <v>17</v>
      </c>
      <c r="E15689" s="33" t="s">
        <v>26</v>
      </c>
      <c r="F15689" s="33" t="s">
        <v>27</v>
      </c>
      <c r="G15689" s="33" t="s">
        <v>20</v>
      </c>
      <c r="H15689" s="35">
        <v>20</v>
      </c>
      <c r="I15689" s="33" t="s">
        <v>21</v>
      </c>
      <c r="J15689" s="42">
        <v>45258</v>
      </c>
      <c r="K15689" s="33" t="s">
        <v>22</v>
      </c>
    </row>
    <row r="15690" spans="1:11">
      <c r="A15690" s="30" t="s">
        <v>35257</v>
      </c>
      <c r="B15690" s="30" t="s">
        <v>35258</v>
      </c>
      <c r="C15690" s="30" t="s">
        <v>203</v>
      </c>
      <c r="D15690" s="30" t="s">
        <v>17</v>
      </c>
      <c r="E15690" s="30" t="s">
        <v>18</v>
      </c>
      <c r="F15690" s="30" t="s">
        <v>19</v>
      </c>
      <c r="G15690" s="30" t="s">
        <v>158</v>
      </c>
      <c r="H15690" s="32">
        <v>943</v>
      </c>
      <c r="I15690" s="30" t="s">
        <v>21</v>
      </c>
      <c r="J15690" s="41">
        <v>45287</v>
      </c>
      <c r="K15690" s="30" t="s">
        <v>22</v>
      </c>
    </row>
    <row r="15691" spans="1:11">
      <c r="A15691" s="33" t="s">
        <v>35259</v>
      </c>
      <c r="B15691" s="33" t="s">
        <v>35260</v>
      </c>
      <c r="C15691" s="33" t="s">
        <v>1136</v>
      </c>
      <c r="D15691" s="33" t="s">
        <v>17</v>
      </c>
      <c r="E15691" s="33" t="s">
        <v>26</v>
      </c>
      <c r="F15691" s="33" t="s">
        <v>27</v>
      </c>
      <c r="G15691" s="33" t="s">
        <v>20</v>
      </c>
      <c r="H15691" s="35">
        <v>159</v>
      </c>
      <c r="I15691" s="33" t="s">
        <v>21</v>
      </c>
      <c r="J15691" s="42">
        <v>45028</v>
      </c>
      <c r="K15691" s="33" t="s">
        <v>22</v>
      </c>
    </row>
    <row r="15692" spans="1:11">
      <c r="A15692" s="30" t="s">
        <v>35261</v>
      </c>
      <c r="B15692" s="30" t="s">
        <v>35262</v>
      </c>
      <c r="C15692" s="30" t="s">
        <v>12904</v>
      </c>
      <c r="D15692" s="30" t="s">
        <v>17</v>
      </c>
      <c r="E15692" s="30" t="s">
        <v>31</v>
      </c>
      <c r="F15692" s="30" t="s">
        <v>32</v>
      </c>
      <c r="G15692" s="30" t="s">
        <v>50</v>
      </c>
      <c r="H15692" s="32">
        <v>75</v>
      </c>
      <c r="I15692" s="30" t="s">
        <v>51</v>
      </c>
      <c r="J15692" s="41">
        <v>45261</v>
      </c>
      <c r="K15692" s="30" t="s">
        <v>22</v>
      </c>
    </row>
    <row r="15693" spans="1:11">
      <c r="A15693" s="33" t="s">
        <v>35263</v>
      </c>
      <c r="B15693" s="33" t="s">
        <v>35264</v>
      </c>
      <c r="C15693" s="33" t="s">
        <v>149</v>
      </c>
      <c r="D15693" s="33" t="s">
        <v>17</v>
      </c>
      <c r="E15693" s="33" t="s">
        <v>26</v>
      </c>
      <c r="F15693" s="33" t="s">
        <v>27</v>
      </c>
      <c r="G15693" s="33" t="s">
        <v>50</v>
      </c>
      <c r="H15693" s="35">
        <v>15</v>
      </c>
      <c r="I15693" s="33" t="s">
        <v>51</v>
      </c>
      <c r="J15693" s="42">
        <v>45200</v>
      </c>
      <c r="K15693" s="33" t="s">
        <v>22</v>
      </c>
    </row>
    <row r="15694" spans="1:11">
      <c r="A15694" s="30" t="s">
        <v>35265</v>
      </c>
      <c r="B15694" s="30" t="s">
        <v>35266</v>
      </c>
      <c r="C15694" s="30" t="s">
        <v>35267</v>
      </c>
      <c r="D15694" s="30" t="s">
        <v>17</v>
      </c>
      <c r="E15694" s="30" t="s">
        <v>26</v>
      </c>
      <c r="F15694" s="30" t="s">
        <v>27</v>
      </c>
      <c r="G15694" s="30" t="s">
        <v>140</v>
      </c>
      <c r="H15694" s="32">
        <v>27</v>
      </c>
      <c r="I15694" s="30" t="s">
        <v>51</v>
      </c>
      <c r="J15694" s="41">
        <v>45140</v>
      </c>
      <c r="K15694" s="30" t="s">
        <v>22</v>
      </c>
    </row>
    <row r="15695" spans="1:11">
      <c r="A15695" s="33" t="s">
        <v>35268</v>
      </c>
      <c r="B15695" s="33" t="s">
        <v>35269</v>
      </c>
      <c r="C15695" s="33" t="s">
        <v>35270</v>
      </c>
      <c r="D15695" s="33" t="s">
        <v>17</v>
      </c>
      <c r="E15695" s="33" t="s">
        <v>26</v>
      </c>
      <c r="F15695" s="33" t="s">
        <v>27</v>
      </c>
      <c r="G15695" s="33" t="s">
        <v>20</v>
      </c>
      <c r="H15695" s="35">
        <v>76</v>
      </c>
      <c r="I15695" s="33" t="s">
        <v>21</v>
      </c>
      <c r="J15695" s="42">
        <v>45100</v>
      </c>
      <c r="K15695" s="33" t="s">
        <v>22</v>
      </c>
    </row>
    <row r="15696" spans="1:11">
      <c r="A15696" s="30" t="s">
        <v>35271</v>
      </c>
      <c r="B15696" s="30" t="s">
        <v>35272</v>
      </c>
      <c r="C15696" s="30" t="s">
        <v>6814</v>
      </c>
      <c r="D15696" s="30" t="s">
        <v>17</v>
      </c>
      <c r="E15696" s="30" t="s">
        <v>31</v>
      </c>
      <c r="F15696" s="30" t="s">
        <v>32</v>
      </c>
      <c r="G15696" s="30" t="s">
        <v>50</v>
      </c>
      <c r="H15696" s="32">
        <v>250</v>
      </c>
      <c r="I15696" s="30" t="s">
        <v>51</v>
      </c>
      <c r="J15696" s="41">
        <v>45245</v>
      </c>
      <c r="K15696" s="30" t="s">
        <v>22</v>
      </c>
    </row>
    <row r="15697" spans="1:11">
      <c r="A15697" s="33" t="s">
        <v>35273</v>
      </c>
      <c r="B15697" s="33" t="s">
        <v>35274</v>
      </c>
      <c r="C15697" s="33" t="s">
        <v>16</v>
      </c>
      <c r="D15697" s="33" t="s">
        <v>17</v>
      </c>
      <c r="E15697" s="33" t="s">
        <v>31</v>
      </c>
      <c r="F15697" s="33" t="s">
        <v>32</v>
      </c>
      <c r="G15697" s="33" t="s">
        <v>20</v>
      </c>
      <c r="H15697" s="35">
        <v>108</v>
      </c>
      <c r="I15697" s="33" t="s">
        <v>21</v>
      </c>
      <c r="J15697" s="42">
        <v>45043</v>
      </c>
      <c r="K15697" s="33" t="s">
        <v>22</v>
      </c>
    </row>
    <row r="15698" spans="1:11">
      <c r="A15698" s="30" t="s">
        <v>35275</v>
      </c>
      <c r="B15698" s="30" t="s">
        <v>35276</v>
      </c>
      <c r="C15698" s="30" t="s">
        <v>450</v>
      </c>
      <c r="D15698" s="30" t="s">
        <v>17</v>
      </c>
      <c r="E15698" s="30" t="s">
        <v>18</v>
      </c>
      <c r="F15698" s="30" t="s">
        <v>19</v>
      </c>
      <c r="G15698" s="30" t="s">
        <v>158</v>
      </c>
      <c r="H15698" s="32">
        <v>12</v>
      </c>
      <c r="I15698" s="30" t="s">
        <v>21</v>
      </c>
      <c r="J15698" s="41">
        <v>45101</v>
      </c>
      <c r="K15698" s="30" t="s">
        <v>22</v>
      </c>
    </row>
    <row r="15699" spans="1:11">
      <c r="A15699" s="33" t="s">
        <v>35277</v>
      </c>
      <c r="B15699" s="33" t="s">
        <v>35278</v>
      </c>
      <c r="C15699" s="33" t="s">
        <v>1816</v>
      </c>
      <c r="D15699" s="33" t="s">
        <v>17</v>
      </c>
      <c r="E15699" s="33" t="s">
        <v>67</v>
      </c>
      <c r="F15699" s="33" t="s">
        <v>68</v>
      </c>
      <c r="G15699" s="33" t="s">
        <v>140</v>
      </c>
      <c r="H15699" s="35">
        <v>141</v>
      </c>
      <c r="I15699" s="33" t="s">
        <v>51</v>
      </c>
      <c r="J15699" s="42">
        <v>45160</v>
      </c>
      <c r="K15699" s="33" t="s">
        <v>22</v>
      </c>
    </row>
    <row r="15700" spans="1:11">
      <c r="A15700" s="30" t="s">
        <v>35279</v>
      </c>
      <c r="B15700" s="30" t="s">
        <v>35280</v>
      </c>
      <c r="C15700" s="30" t="s">
        <v>35281</v>
      </c>
      <c r="D15700" s="30" t="s">
        <v>17</v>
      </c>
      <c r="E15700" s="30" t="s">
        <v>26</v>
      </c>
      <c r="F15700" s="30" t="s">
        <v>27</v>
      </c>
      <c r="G15700" s="30" t="s">
        <v>106</v>
      </c>
      <c r="H15700" s="32">
        <v>89</v>
      </c>
      <c r="I15700" s="30" t="s">
        <v>21</v>
      </c>
      <c r="J15700" s="41">
        <v>45170</v>
      </c>
      <c r="K15700" s="30" t="s">
        <v>22</v>
      </c>
    </row>
    <row r="15701" spans="1:11">
      <c r="A15701" s="33" t="s">
        <v>35282</v>
      </c>
      <c r="B15701" s="33" t="s">
        <v>35283</v>
      </c>
      <c r="C15701" s="33" t="s">
        <v>21586</v>
      </c>
      <c r="D15701" s="33" t="s">
        <v>17</v>
      </c>
      <c r="E15701" s="33" t="s">
        <v>31</v>
      </c>
      <c r="F15701" s="33" t="s">
        <v>32</v>
      </c>
      <c r="G15701" s="33" t="s">
        <v>140</v>
      </c>
      <c r="H15701" s="35">
        <v>178</v>
      </c>
      <c r="I15701" s="33" t="s">
        <v>51</v>
      </c>
      <c r="J15701" s="42">
        <v>44943</v>
      </c>
      <c r="K15701" s="33" t="s">
        <v>22</v>
      </c>
    </row>
    <row r="15702" spans="1:11">
      <c r="A15702" s="30" t="s">
        <v>35284</v>
      </c>
      <c r="B15702" s="30" t="s">
        <v>35285</v>
      </c>
      <c r="C15702" s="30" t="s">
        <v>925</v>
      </c>
      <c r="D15702" s="30" t="s">
        <v>17</v>
      </c>
      <c r="E15702" s="30" t="s">
        <v>31</v>
      </c>
      <c r="F15702" s="30" t="s">
        <v>32</v>
      </c>
      <c r="G15702" s="30" t="s">
        <v>158</v>
      </c>
      <c r="H15702" s="32">
        <v>400</v>
      </c>
      <c r="I15702" s="30" t="s">
        <v>51</v>
      </c>
      <c r="J15702" s="41">
        <v>44978</v>
      </c>
      <c r="K15702" s="30" t="s">
        <v>22</v>
      </c>
    </row>
    <row r="15703" spans="1:11">
      <c r="A15703" s="33" t="s">
        <v>35286</v>
      </c>
      <c r="B15703" s="33" t="s">
        <v>35287</v>
      </c>
      <c r="C15703" s="33" t="s">
        <v>13636</v>
      </c>
      <c r="D15703" s="33" t="s">
        <v>17</v>
      </c>
      <c r="E15703" s="33" t="s">
        <v>26</v>
      </c>
      <c r="F15703" s="33" t="s">
        <v>27</v>
      </c>
      <c r="G15703" s="33" t="s">
        <v>158</v>
      </c>
      <c r="H15703" s="35">
        <v>60</v>
      </c>
      <c r="I15703" s="33" t="s">
        <v>51</v>
      </c>
      <c r="J15703" s="42">
        <v>44986</v>
      </c>
      <c r="K15703" s="33" t="s">
        <v>22</v>
      </c>
    </row>
    <row r="15704" spans="1:11">
      <c r="A15704" s="30" t="s">
        <v>35288</v>
      </c>
      <c r="B15704" s="30" t="s">
        <v>35289</v>
      </c>
      <c r="C15704" s="30" t="s">
        <v>9464</v>
      </c>
      <c r="D15704" s="30" t="s">
        <v>17</v>
      </c>
      <c r="E15704" s="30" t="s">
        <v>26</v>
      </c>
      <c r="F15704" s="30" t="s">
        <v>27</v>
      </c>
      <c r="G15704" s="30" t="s">
        <v>7780</v>
      </c>
      <c r="H15704" s="32">
        <v>38</v>
      </c>
      <c r="I15704" s="30" t="s">
        <v>51</v>
      </c>
      <c r="J15704" s="41">
        <v>45017</v>
      </c>
      <c r="K15704" s="30" t="s">
        <v>22</v>
      </c>
    </row>
    <row r="15705" spans="1:11">
      <c r="A15705" s="33" t="s">
        <v>35290</v>
      </c>
      <c r="B15705" s="33" t="s">
        <v>35291</v>
      </c>
      <c r="C15705" s="33" t="s">
        <v>27241</v>
      </c>
      <c r="D15705" s="33" t="s">
        <v>17</v>
      </c>
      <c r="E15705" s="33" t="s">
        <v>31</v>
      </c>
      <c r="F15705" s="33" t="s">
        <v>32</v>
      </c>
      <c r="G15705" s="33" t="s">
        <v>20</v>
      </c>
      <c r="H15705" s="35">
        <v>353</v>
      </c>
      <c r="I15705" s="33" t="s">
        <v>21</v>
      </c>
      <c r="J15705" s="42">
        <v>45028</v>
      </c>
      <c r="K15705" s="33" t="s">
        <v>22</v>
      </c>
    </row>
    <row r="15706" spans="1:11">
      <c r="A15706" s="30" t="s">
        <v>35292</v>
      </c>
      <c r="B15706" s="30" t="s">
        <v>35293</v>
      </c>
      <c r="C15706" s="30" t="s">
        <v>109</v>
      </c>
      <c r="D15706" s="30" t="s">
        <v>17</v>
      </c>
      <c r="E15706" s="30" t="s">
        <v>212</v>
      </c>
      <c r="F15706" s="30" t="s">
        <v>213</v>
      </c>
      <c r="G15706" s="30" t="s">
        <v>140</v>
      </c>
      <c r="H15706" s="32">
        <v>700</v>
      </c>
      <c r="I15706" s="30" t="s">
        <v>51</v>
      </c>
      <c r="J15706" s="41">
        <v>45152</v>
      </c>
      <c r="K15706" s="30" t="s">
        <v>22</v>
      </c>
    </row>
    <row r="15707" spans="1:11">
      <c r="A15707" s="33" t="s">
        <v>35294</v>
      </c>
      <c r="B15707" s="33" t="s">
        <v>35295</v>
      </c>
      <c r="C15707" s="33" t="s">
        <v>1770</v>
      </c>
      <c r="D15707" s="33" t="s">
        <v>17</v>
      </c>
      <c r="E15707" s="33" t="s">
        <v>31</v>
      </c>
      <c r="F15707" s="33" t="s">
        <v>32</v>
      </c>
      <c r="G15707" s="33" t="s">
        <v>2613</v>
      </c>
      <c r="H15707" s="35">
        <v>260</v>
      </c>
      <c r="I15707" s="33" t="s">
        <v>51</v>
      </c>
      <c r="J15707" s="42">
        <v>45232</v>
      </c>
      <c r="K15707" s="33" t="s">
        <v>22</v>
      </c>
    </row>
    <row r="15708" spans="1:11">
      <c r="A15708" s="30" t="s">
        <v>35296</v>
      </c>
      <c r="B15708" s="30" t="s">
        <v>35297</v>
      </c>
      <c r="C15708" s="30" t="s">
        <v>3275</v>
      </c>
      <c r="D15708" s="30" t="s">
        <v>17</v>
      </c>
      <c r="E15708" s="30" t="s">
        <v>67</v>
      </c>
      <c r="F15708" s="30" t="s">
        <v>68</v>
      </c>
      <c r="G15708" s="30" t="s">
        <v>50</v>
      </c>
      <c r="H15708" s="32">
        <v>15</v>
      </c>
      <c r="I15708" s="30" t="s">
        <v>21</v>
      </c>
      <c r="J15708" s="41">
        <v>45279</v>
      </c>
      <c r="K15708" s="30" t="s">
        <v>22</v>
      </c>
    </row>
    <row r="15709" spans="1:11">
      <c r="A15709" s="33" t="s">
        <v>35298</v>
      </c>
      <c r="B15709" s="33" t="s">
        <v>35299</v>
      </c>
      <c r="C15709" s="33" t="s">
        <v>925</v>
      </c>
      <c r="D15709" s="33" t="s">
        <v>17</v>
      </c>
      <c r="E15709" s="33" t="s">
        <v>31</v>
      </c>
      <c r="F15709" s="33" t="s">
        <v>32</v>
      </c>
      <c r="G15709" s="33" t="s">
        <v>158</v>
      </c>
      <c r="H15709" s="35">
        <v>83</v>
      </c>
      <c r="I15709" s="33" t="s">
        <v>21</v>
      </c>
      <c r="J15709" s="42">
        <v>45061</v>
      </c>
      <c r="K15709" s="33" t="s">
        <v>22</v>
      </c>
    </row>
    <row r="15710" spans="1:11">
      <c r="A15710" s="30" t="s">
        <v>35300</v>
      </c>
      <c r="B15710" s="30" t="s">
        <v>35301</v>
      </c>
      <c r="C15710" s="30" t="s">
        <v>35302</v>
      </c>
      <c r="D15710" s="30" t="s">
        <v>17</v>
      </c>
      <c r="E15710" s="30" t="s">
        <v>31</v>
      </c>
      <c r="F15710" s="30" t="s">
        <v>32</v>
      </c>
      <c r="G15710" s="30" t="s">
        <v>20</v>
      </c>
      <c r="H15710" s="32">
        <v>84</v>
      </c>
      <c r="I15710" s="30" t="s">
        <v>21</v>
      </c>
      <c r="J15710" s="41">
        <v>45166</v>
      </c>
      <c r="K15710" s="30" t="s">
        <v>22</v>
      </c>
    </row>
    <row r="15711" spans="1:11">
      <c r="A15711" s="33" t="s">
        <v>35303</v>
      </c>
      <c r="B15711" s="33" t="s">
        <v>35304</v>
      </c>
      <c r="C15711" s="33" t="s">
        <v>190</v>
      </c>
      <c r="D15711" s="33" t="s">
        <v>17</v>
      </c>
      <c r="E15711" s="33" t="s">
        <v>26</v>
      </c>
      <c r="F15711" s="33" t="s">
        <v>27</v>
      </c>
      <c r="G15711" s="33" t="s">
        <v>106</v>
      </c>
      <c r="H15711" s="35">
        <v>40</v>
      </c>
      <c r="I15711" s="33" t="s">
        <v>21</v>
      </c>
      <c r="J15711" s="42">
        <v>45016</v>
      </c>
      <c r="K15711" s="33" t="s">
        <v>22</v>
      </c>
    </row>
    <row r="15712" spans="1:11">
      <c r="A15712" s="30" t="s">
        <v>35305</v>
      </c>
      <c r="B15712" s="30" t="s">
        <v>35306</v>
      </c>
      <c r="C15712" s="30" t="s">
        <v>899</v>
      </c>
      <c r="D15712" s="30" t="s">
        <v>17</v>
      </c>
      <c r="E15712" s="30" t="s">
        <v>18</v>
      </c>
      <c r="F15712" s="30" t="s">
        <v>19</v>
      </c>
      <c r="G15712" s="30" t="s">
        <v>140</v>
      </c>
      <c r="H15712" s="32">
        <v>324</v>
      </c>
      <c r="I15712" s="30" t="s">
        <v>51</v>
      </c>
      <c r="J15712" s="41">
        <v>44988</v>
      </c>
      <c r="K15712" s="30" t="s">
        <v>22</v>
      </c>
    </row>
    <row r="15713" spans="1:11">
      <c r="A15713" s="33" t="s">
        <v>35307</v>
      </c>
      <c r="B15713" s="33" t="s">
        <v>35308</v>
      </c>
      <c r="C15713" s="33" t="s">
        <v>4493</v>
      </c>
      <c r="D15713" s="33" t="s">
        <v>17</v>
      </c>
      <c r="E15713" s="33" t="s">
        <v>18</v>
      </c>
      <c r="F15713" s="33" t="s">
        <v>19</v>
      </c>
      <c r="G15713" s="33" t="s">
        <v>20</v>
      </c>
      <c r="H15713" s="35">
        <v>20</v>
      </c>
      <c r="I15713" s="33" t="s">
        <v>21</v>
      </c>
      <c r="J15713" s="42">
        <v>45128</v>
      </c>
      <c r="K15713" s="33" t="s">
        <v>22</v>
      </c>
    </row>
    <row r="15714" spans="1:11">
      <c r="A15714" s="30" t="s">
        <v>35309</v>
      </c>
      <c r="B15714" s="30" t="s">
        <v>35310</v>
      </c>
      <c r="C15714" s="30" t="s">
        <v>187</v>
      </c>
      <c r="D15714" s="30" t="s">
        <v>17</v>
      </c>
      <c r="E15714" s="30" t="s">
        <v>26</v>
      </c>
      <c r="F15714" s="30" t="s">
        <v>27</v>
      </c>
      <c r="G15714" s="30" t="s">
        <v>50</v>
      </c>
      <c r="H15714" s="32">
        <v>140</v>
      </c>
      <c r="I15714" s="30" t="s">
        <v>51</v>
      </c>
      <c r="J15714" s="41">
        <v>45002</v>
      </c>
      <c r="K15714" s="30" t="s">
        <v>22</v>
      </c>
    </row>
    <row r="15715" spans="1:11">
      <c r="A15715" s="33" t="s">
        <v>35311</v>
      </c>
      <c r="B15715" s="33" t="s">
        <v>35312</v>
      </c>
      <c r="C15715" s="33" t="s">
        <v>190</v>
      </c>
      <c r="D15715" s="33" t="s">
        <v>17</v>
      </c>
      <c r="E15715" s="33" t="s">
        <v>31</v>
      </c>
      <c r="F15715" s="33" t="s">
        <v>32</v>
      </c>
      <c r="G15715" s="33" t="s">
        <v>158</v>
      </c>
      <c r="H15715" s="35">
        <v>188</v>
      </c>
      <c r="I15715" s="33" t="s">
        <v>21</v>
      </c>
      <c r="J15715" s="42">
        <v>44991</v>
      </c>
      <c r="K15715" s="33" t="s">
        <v>22</v>
      </c>
    </row>
    <row r="15716" spans="1:11">
      <c r="A15716" s="30" t="s">
        <v>35313</v>
      </c>
      <c r="B15716" s="30" t="s">
        <v>35314</v>
      </c>
      <c r="C15716" s="30" t="s">
        <v>31479</v>
      </c>
      <c r="D15716" s="30" t="s">
        <v>17</v>
      </c>
      <c r="E15716" s="30" t="s">
        <v>67</v>
      </c>
      <c r="F15716" s="30" t="s">
        <v>68</v>
      </c>
      <c r="G15716" s="30" t="s">
        <v>140</v>
      </c>
      <c r="H15716" s="32">
        <v>64</v>
      </c>
      <c r="I15716" s="30" t="s">
        <v>51</v>
      </c>
      <c r="J15716" s="41">
        <v>45237</v>
      </c>
      <c r="K15716" s="30" t="s">
        <v>22</v>
      </c>
    </row>
    <row r="15717" spans="1:11">
      <c r="A15717" s="33" t="s">
        <v>35315</v>
      </c>
      <c r="B15717" s="33" t="s">
        <v>35316</v>
      </c>
      <c r="C15717" s="33" t="s">
        <v>440</v>
      </c>
      <c r="D15717" s="33" t="s">
        <v>17</v>
      </c>
      <c r="E15717" s="33" t="s">
        <v>67</v>
      </c>
      <c r="F15717" s="33" t="s">
        <v>68</v>
      </c>
      <c r="G15717" s="33" t="s">
        <v>50</v>
      </c>
      <c r="H15717" s="35">
        <v>48</v>
      </c>
      <c r="I15717" s="33" t="s">
        <v>51</v>
      </c>
      <c r="J15717" s="42">
        <v>45170</v>
      </c>
      <c r="K15717" s="33" t="s">
        <v>22</v>
      </c>
    </row>
    <row r="15718" spans="1:11">
      <c r="A15718" s="30" t="s">
        <v>35317</v>
      </c>
      <c r="B15718" s="30" t="s">
        <v>35318</v>
      </c>
      <c r="C15718" s="30" t="s">
        <v>60</v>
      </c>
      <c r="D15718" s="30" t="s">
        <v>17</v>
      </c>
      <c r="E15718" s="30" t="s">
        <v>18</v>
      </c>
      <c r="F15718" s="30" t="s">
        <v>19</v>
      </c>
      <c r="G15718" s="30" t="s">
        <v>20</v>
      </c>
      <c r="H15718" s="32">
        <v>70</v>
      </c>
      <c r="I15718" s="30" t="s">
        <v>21</v>
      </c>
      <c r="J15718" s="41">
        <v>45104</v>
      </c>
      <c r="K15718" s="30" t="s">
        <v>22</v>
      </c>
    </row>
    <row r="15719" spans="1:11">
      <c r="A15719" s="33" t="s">
        <v>35319</v>
      </c>
      <c r="B15719" s="33" t="s">
        <v>35320</v>
      </c>
      <c r="C15719" s="33" t="s">
        <v>3462</v>
      </c>
      <c r="D15719" s="33" t="s">
        <v>17</v>
      </c>
      <c r="E15719" s="33" t="s">
        <v>18</v>
      </c>
      <c r="F15719" s="33" t="s">
        <v>19</v>
      </c>
      <c r="G15719" s="33" t="s">
        <v>140</v>
      </c>
      <c r="H15719" s="35">
        <v>165</v>
      </c>
      <c r="I15719" s="33" t="s">
        <v>51</v>
      </c>
      <c r="J15719" s="42">
        <v>45224</v>
      </c>
      <c r="K15719" s="33" t="s">
        <v>22</v>
      </c>
    </row>
    <row r="15720" spans="1:11">
      <c r="A15720" s="30" t="s">
        <v>35321</v>
      </c>
      <c r="B15720" s="30" t="s">
        <v>35322</v>
      </c>
      <c r="C15720" s="30" t="s">
        <v>7831</v>
      </c>
      <c r="D15720" s="30" t="s">
        <v>17</v>
      </c>
      <c r="E15720" s="30" t="s">
        <v>26</v>
      </c>
      <c r="F15720" s="30" t="s">
        <v>27</v>
      </c>
      <c r="G15720" s="30" t="s">
        <v>140</v>
      </c>
      <c r="H15720" s="32">
        <v>12</v>
      </c>
      <c r="I15720" s="30" t="s">
        <v>51</v>
      </c>
      <c r="J15720" s="41">
        <v>45051</v>
      </c>
      <c r="K15720" s="30" t="s">
        <v>22</v>
      </c>
    </row>
    <row r="15721" spans="1:11">
      <c r="A15721" s="33" t="s">
        <v>35323</v>
      </c>
      <c r="B15721" s="33" t="s">
        <v>35324</v>
      </c>
      <c r="C15721" s="33" t="s">
        <v>35325</v>
      </c>
      <c r="D15721" s="33" t="s">
        <v>17</v>
      </c>
      <c r="E15721" s="33" t="s">
        <v>330</v>
      </c>
      <c r="F15721" s="33" t="s">
        <v>331</v>
      </c>
      <c r="G15721" s="33" t="s">
        <v>20</v>
      </c>
      <c r="H15721" s="35">
        <v>3</v>
      </c>
      <c r="I15721" s="33" t="s">
        <v>21</v>
      </c>
      <c r="J15721" s="42">
        <v>44991</v>
      </c>
      <c r="K15721" s="33" t="s">
        <v>22</v>
      </c>
    </row>
    <row r="15722" spans="1:11">
      <c r="A15722" s="30" t="s">
        <v>35326</v>
      </c>
      <c r="B15722" s="30" t="s">
        <v>35327</v>
      </c>
      <c r="C15722" s="30" t="s">
        <v>3243</v>
      </c>
      <c r="D15722" s="30" t="s">
        <v>17</v>
      </c>
      <c r="E15722" s="30" t="s">
        <v>26</v>
      </c>
      <c r="F15722" s="30" t="s">
        <v>27</v>
      </c>
      <c r="G15722" s="30" t="s">
        <v>20</v>
      </c>
      <c r="H15722" s="32">
        <v>48</v>
      </c>
      <c r="I15722" s="30" t="s">
        <v>21</v>
      </c>
      <c r="J15722" s="41">
        <v>44974</v>
      </c>
      <c r="K15722" s="30" t="s">
        <v>22</v>
      </c>
    </row>
    <row r="15723" spans="1:11">
      <c r="A15723" s="33" t="s">
        <v>35328</v>
      </c>
      <c r="B15723" s="33" t="s">
        <v>35329</v>
      </c>
      <c r="C15723" s="33" t="s">
        <v>318</v>
      </c>
      <c r="D15723" s="33" t="s">
        <v>17</v>
      </c>
      <c r="E15723" s="33" t="s">
        <v>67</v>
      </c>
      <c r="F15723" s="33" t="s">
        <v>68</v>
      </c>
      <c r="G15723" s="33" t="s">
        <v>20</v>
      </c>
      <c r="H15723" s="35">
        <v>53</v>
      </c>
      <c r="I15723" s="33" t="s">
        <v>21</v>
      </c>
      <c r="J15723" s="42">
        <v>45139</v>
      </c>
      <c r="K15723" s="33" t="s">
        <v>22</v>
      </c>
    </row>
    <row r="15724" spans="1:11">
      <c r="A15724" s="30" t="s">
        <v>35330</v>
      </c>
      <c r="B15724" s="30" t="s">
        <v>35331</v>
      </c>
      <c r="C15724" s="30" t="s">
        <v>78</v>
      </c>
      <c r="D15724" s="30" t="s">
        <v>17</v>
      </c>
      <c r="E15724" s="30" t="s">
        <v>18</v>
      </c>
      <c r="F15724" s="30" t="s">
        <v>19</v>
      </c>
      <c r="G15724" s="30" t="s">
        <v>20</v>
      </c>
      <c r="H15724" s="32">
        <v>346</v>
      </c>
      <c r="I15724" s="30" t="s">
        <v>21</v>
      </c>
      <c r="J15724" s="41">
        <v>45105</v>
      </c>
      <c r="K15724" s="30" t="s">
        <v>22</v>
      </c>
    </row>
    <row r="15725" spans="1:11">
      <c r="A15725" s="33" t="s">
        <v>35332</v>
      </c>
      <c r="B15725" s="33" t="s">
        <v>35333</v>
      </c>
      <c r="C15725" s="33" t="s">
        <v>178</v>
      </c>
      <c r="D15725" s="33" t="s">
        <v>17</v>
      </c>
      <c r="E15725" s="33" t="s">
        <v>26</v>
      </c>
      <c r="F15725" s="33" t="s">
        <v>27</v>
      </c>
      <c r="G15725" s="33" t="s">
        <v>106</v>
      </c>
      <c r="H15725" s="35">
        <v>3</v>
      </c>
      <c r="I15725" s="33" t="s">
        <v>21</v>
      </c>
      <c r="J15725" s="42">
        <v>45092</v>
      </c>
      <c r="K15725" s="33" t="s">
        <v>22</v>
      </c>
    </row>
    <row r="15726" spans="1:11">
      <c r="A15726" s="30" t="s">
        <v>35334</v>
      </c>
      <c r="B15726" s="30" t="s">
        <v>35335</v>
      </c>
      <c r="C15726" s="30" t="s">
        <v>936</v>
      </c>
      <c r="D15726" s="30" t="s">
        <v>17</v>
      </c>
      <c r="E15726" s="30" t="s">
        <v>212</v>
      </c>
      <c r="F15726" s="30" t="s">
        <v>213</v>
      </c>
      <c r="G15726" s="30" t="s">
        <v>20</v>
      </c>
      <c r="H15726" s="32">
        <v>155</v>
      </c>
      <c r="I15726" s="30" t="s">
        <v>21</v>
      </c>
      <c r="J15726" s="41">
        <v>45103</v>
      </c>
      <c r="K15726" s="30" t="s">
        <v>22</v>
      </c>
    </row>
    <row r="15727" spans="1:11">
      <c r="A15727" s="33" t="s">
        <v>35336</v>
      </c>
      <c r="B15727" s="33" t="s">
        <v>35337</v>
      </c>
      <c r="C15727" s="33" t="s">
        <v>35338</v>
      </c>
      <c r="D15727" s="33" t="s">
        <v>17</v>
      </c>
      <c r="E15727" s="33" t="s">
        <v>330</v>
      </c>
      <c r="F15727" s="33" t="s">
        <v>331</v>
      </c>
      <c r="G15727" s="33" t="s">
        <v>20</v>
      </c>
      <c r="H15727" s="35">
        <v>82</v>
      </c>
      <c r="I15727" s="33" t="s">
        <v>21</v>
      </c>
      <c r="J15727" s="42">
        <v>44956</v>
      </c>
      <c r="K15727" s="33" t="s">
        <v>22</v>
      </c>
    </row>
    <row r="15728" spans="1:11">
      <c r="A15728" s="30" t="s">
        <v>35339</v>
      </c>
      <c r="B15728" s="30" t="s">
        <v>35340</v>
      </c>
      <c r="C15728" s="30" t="s">
        <v>647</v>
      </c>
      <c r="D15728" s="30" t="s">
        <v>17</v>
      </c>
      <c r="E15728" s="30" t="s">
        <v>18</v>
      </c>
      <c r="F15728" s="30" t="s">
        <v>19</v>
      </c>
      <c r="G15728" s="30" t="s">
        <v>20</v>
      </c>
      <c r="H15728" s="32">
        <v>2912</v>
      </c>
      <c r="I15728" s="30" t="s">
        <v>21</v>
      </c>
      <c r="J15728" s="41">
        <v>45148</v>
      </c>
      <c r="K15728" s="30" t="s">
        <v>22</v>
      </c>
    </row>
    <row r="15729" spans="1:11">
      <c r="A15729" s="33" t="s">
        <v>35341</v>
      </c>
      <c r="B15729" s="33" t="s">
        <v>35342</v>
      </c>
      <c r="C15729" s="33" t="s">
        <v>178</v>
      </c>
      <c r="D15729" s="33" t="s">
        <v>17</v>
      </c>
      <c r="E15729" s="33" t="s">
        <v>26</v>
      </c>
      <c r="F15729" s="33" t="s">
        <v>27</v>
      </c>
      <c r="G15729" s="33" t="s">
        <v>158</v>
      </c>
      <c r="H15729" s="35">
        <v>70</v>
      </c>
      <c r="I15729" s="33" t="s">
        <v>51</v>
      </c>
      <c r="J15729" s="42">
        <v>45278</v>
      </c>
      <c r="K15729" s="33" t="s">
        <v>22</v>
      </c>
    </row>
    <row r="15730" spans="1:11">
      <c r="A15730" s="30" t="s">
        <v>35343</v>
      </c>
      <c r="B15730" s="30" t="s">
        <v>35344</v>
      </c>
      <c r="C15730" s="30" t="s">
        <v>18468</v>
      </c>
      <c r="D15730" s="30" t="s">
        <v>17</v>
      </c>
      <c r="E15730" s="30" t="s">
        <v>31</v>
      </c>
      <c r="F15730" s="30" t="s">
        <v>32</v>
      </c>
      <c r="G15730" s="30" t="s">
        <v>158</v>
      </c>
      <c r="H15730" s="32">
        <v>150</v>
      </c>
      <c r="I15730" s="30" t="s">
        <v>51</v>
      </c>
      <c r="J15730" s="41">
        <v>45131</v>
      </c>
      <c r="K15730" s="30" t="s">
        <v>22</v>
      </c>
    </row>
    <row r="15731" spans="1:11">
      <c r="A15731" s="33" t="s">
        <v>35345</v>
      </c>
      <c r="B15731" s="33" t="s">
        <v>35346</v>
      </c>
      <c r="C15731" s="33" t="s">
        <v>1270</v>
      </c>
      <c r="D15731" s="33" t="s">
        <v>17</v>
      </c>
      <c r="E15731" s="33" t="s">
        <v>26</v>
      </c>
      <c r="F15731" s="33" t="s">
        <v>27</v>
      </c>
      <c r="G15731" s="33" t="s">
        <v>50</v>
      </c>
      <c r="H15731" s="35">
        <v>48</v>
      </c>
      <c r="I15731" s="33" t="s">
        <v>51</v>
      </c>
      <c r="J15731" s="42">
        <v>45091</v>
      </c>
      <c r="K15731" s="33" t="s">
        <v>22</v>
      </c>
    </row>
    <row r="15732" spans="1:11">
      <c r="A15732" s="30" t="s">
        <v>35347</v>
      </c>
      <c r="B15732" s="30" t="s">
        <v>35348</v>
      </c>
      <c r="C15732" s="30" t="s">
        <v>1112</v>
      </c>
      <c r="D15732" s="30" t="s">
        <v>17</v>
      </c>
      <c r="E15732" s="30" t="s">
        <v>26</v>
      </c>
      <c r="F15732" s="30" t="s">
        <v>27</v>
      </c>
      <c r="G15732" s="30" t="s">
        <v>140</v>
      </c>
      <c r="H15732" s="32">
        <v>245</v>
      </c>
      <c r="I15732" s="30" t="s">
        <v>51</v>
      </c>
      <c r="J15732" s="41">
        <v>45288</v>
      </c>
      <c r="K15732" s="30" t="s">
        <v>22</v>
      </c>
    </row>
    <row r="15733" spans="1:11">
      <c r="A15733" s="33" t="s">
        <v>35349</v>
      </c>
      <c r="B15733" s="33" t="s">
        <v>35350</v>
      </c>
      <c r="C15733" s="33" t="s">
        <v>14028</v>
      </c>
      <c r="D15733" s="33" t="s">
        <v>17</v>
      </c>
      <c r="E15733" s="33" t="s">
        <v>31</v>
      </c>
      <c r="F15733" s="33" t="s">
        <v>32</v>
      </c>
      <c r="G15733" s="33" t="s">
        <v>50</v>
      </c>
      <c r="H15733" s="35">
        <v>28</v>
      </c>
      <c r="I15733" s="33" t="s">
        <v>51</v>
      </c>
      <c r="J15733" s="42">
        <v>45000</v>
      </c>
      <c r="K15733" s="33" t="s">
        <v>22</v>
      </c>
    </row>
    <row r="15734" spans="1:11">
      <c r="A15734" s="30" t="s">
        <v>35351</v>
      </c>
      <c r="B15734" s="30" t="s">
        <v>35352</v>
      </c>
      <c r="C15734" s="30" t="s">
        <v>96</v>
      </c>
      <c r="D15734" s="30" t="s">
        <v>17</v>
      </c>
      <c r="E15734" s="30" t="s">
        <v>26</v>
      </c>
      <c r="F15734" s="30" t="s">
        <v>27</v>
      </c>
      <c r="G15734" s="30" t="s">
        <v>20</v>
      </c>
      <c r="H15734" s="32">
        <v>18</v>
      </c>
      <c r="I15734" s="30" t="s">
        <v>21</v>
      </c>
      <c r="J15734" s="41">
        <v>45002</v>
      </c>
      <c r="K15734" s="30" t="s">
        <v>22</v>
      </c>
    </row>
    <row r="15735" spans="1:11">
      <c r="A15735" s="33" t="s">
        <v>35353</v>
      </c>
      <c r="B15735" s="33" t="s">
        <v>35354</v>
      </c>
      <c r="C15735" s="33" t="s">
        <v>20132</v>
      </c>
      <c r="D15735" s="33" t="s">
        <v>17</v>
      </c>
      <c r="E15735" s="33" t="s">
        <v>18</v>
      </c>
      <c r="F15735" s="33" t="s">
        <v>19</v>
      </c>
      <c r="G15735" s="33" t="s">
        <v>20</v>
      </c>
      <c r="H15735" s="35">
        <v>103</v>
      </c>
      <c r="I15735" s="33" t="s">
        <v>21</v>
      </c>
      <c r="J15735" s="42">
        <v>45139</v>
      </c>
      <c r="K15735" s="33" t="s">
        <v>22</v>
      </c>
    </row>
    <row r="15736" spans="1:11">
      <c r="A15736" s="30" t="s">
        <v>35355</v>
      </c>
      <c r="B15736" s="30" t="s">
        <v>35356</v>
      </c>
      <c r="C15736" s="30" t="s">
        <v>149</v>
      </c>
      <c r="D15736" s="30" t="s">
        <v>17</v>
      </c>
      <c r="E15736" s="30" t="s">
        <v>26</v>
      </c>
      <c r="F15736" s="30" t="s">
        <v>27</v>
      </c>
      <c r="G15736" s="30" t="s">
        <v>112</v>
      </c>
      <c r="H15736" s="32">
        <v>0</v>
      </c>
      <c r="I15736" s="30" t="s">
        <v>21</v>
      </c>
      <c r="J15736" s="41">
        <v>45170</v>
      </c>
      <c r="K15736" s="30" t="s">
        <v>22</v>
      </c>
    </row>
    <row r="15737" spans="1:11">
      <c r="A15737" s="33" t="s">
        <v>35357</v>
      </c>
      <c r="B15737" s="33" t="s">
        <v>35358</v>
      </c>
      <c r="C15737" s="33" t="s">
        <v>730</v>
      </c>
      <c r="D15737" s="33" t="s">
        <v>17</v>
      </c>
      <c r="E15737" s="33" t="s">
        <v>31</v>
      </c>
      <c r="F15737" s="33" t="s">
        <v>32</v>
      </c>
      <c r="G15737" s="33" t="s">
        <v>20</v>
      </c>
      <c r="H15737" s="35">
        <v>135</v>
      </c>
      <c r="I15737" s="33" t="s">
        <v>21</v>
      </c>
      <c r="J15737" s="42">
        <v>44952</v>
      </c>
      <c r="K15737" s="33" t="s">
        <v>22</v>
      </c>
    </row>
    <row r="15738" spans="1:11">
      <c r="A15738" s="30" t="s">
        <v>35359</v>
      </c>
      <c r="B15738" s="30" t="s">
        <v>35360</v>
      </c>
      <c r="C15738" s="30" t="s">
        <v>310</v>
      </c>
      <c r="D15738" s="30" t="s">
        <v>17</v>
      </c>
      <c r="E15738" s="30" t="s">
        <v>26</v>
      </c>
      <c r="F15738" s="30" t="s">
        <v>27</v>
      </c>
      <c r="G15738" s="30" t="s">
        <v>20</v>
      </c>
      <c r="H15738" s="32">
        <v>22</v>
      </c>
      <c r="I15738" s="30" t="s">
        <v>21</v>
      </c>
      <c r="J15738" s="41">
        <v>45061</v>
      </c>
      <c r="K15738" s="30" t="s">
        <v>22</v>
      </c>
    </row>
    <row r="15739" spans="1:11">
      <c r="A15739" s="33" t="s">
        <v>35361</v>
      </c>
      <c r="B15739" s="33" t="s">
        <v>35362</v>
      </c>
      <c r="C15739" s="33" t="s">
        <v>25308</v>
      </c>
      <c r="D15739" s="33" t="s">
        <v>17</v>
      </c>
      <c r="E15739" s="33" t="s">
        <v>26</v>
      </c>
      <c r="F15739" s="33" t="s">
        <v>27</v>
      </c>
      <c r="G15739" s="33" t="s">
        <v>140</v>
      </c>
      <c r="H15739" s="35">
        <v>216</v>
      </c>
      <c r="I15739" s="33" t="s">
        <v>51</v>
      </c>
      <c r="J15739" s="42">
        <v>45257</v>
      </c>
      <c r="K15739" s="33" t="s">
        <v>22</v>
      </c>
    </row>
    <row r="15740" spans="1:11">
      <c r="A15740" s="30" t="s">
        <v>35363</v>
      </c>
      <c r="B15740" s="30" t="s">
        <v>35364</v>
      </c>
      <c r="C15740" s="30" t="s">
        <v>35365</v>
      </c>
      <c r="D15740" s="30" t="s">
        <v>17</v>
      </c>
      <c r="E15740" s="30" t="s">
        <v>26</v>
      </c>
      <c r="F15740" s="30" t="s">
        <v>27</v>
      </c>
      <c r="G15740" s="30" t="s">
        <v>50</v>
      </c>
      <c r="H15740" s="32">
        <v>28</v>
      </c>
      <c r="I15740" s="30" t="s">
        <v>51</v>
      </c>
      <c r="J15740" s="41">
        <v>45086</v>
      </c>
      <c r="K15740" s="30" t="s">
        <v>22</v>
      </c>
    </row>
    <row r="15741" spans="1:11">
      <c r="A15741" s="33" t="s">
        <v>35366</v>
      </c>
      <c r="B15741" s="33" t="s">
        <v>35367</v>
      </c>
      <c r="C15741" s="33" t="s">
        <v>27527</v>
      </c>
      <c r="D15741" s="33" t="s">
        <v>17</v>
      </c>
      <c r="E15741" s="33" t="s">
        <v>330</v>
      </c>
      <c r="F15741" s="33" t="s">
        <v>331</v>
      </c>
      <c r="G15741" s="33" t="s">
        <v>50</v>
      </c>
      <c r="H15741" s="35">
        <v>20</v>
      </c>
      <c r="I15741" s="33" t="s">
        <v>51</v>
      </c>
      <c r="J15741" s="42">
        <v>45101</v>
      </c>
      <c r="K15741" s="33" t="s">
        <v>22</v>
      </c>
    </row>
    <row r="15742" spans="1:11">
      <c r="A15742" s="30" t="s">
        <v>35368</v>
      </c>
      <c r="B15742" s="30" t="s">
        <v>35369</v>
      </c>
      <c r="C15742" s="30" t="s">
        <v>35370</v>
      </c>
      <c r="D15742" s="30" t="s">
        <v>17</v>
      </c>
      <c r="E15742" s="30" t="s">
        <v>26</v>
      </c>
      <c r="F15742" s="30" t="s">
        <v>27</v>
      </c>
      <c r="G15742" s="30" t="s">
        <v>106</v>
      </c>
      <c r="H15742" s="32">
        <v>28</v>
      </c>
      <c r="I15742" s="30" t="s">
        <v>21</v>
      </c>
      <c r="J15742" s="41">
        <v>44950</v>
      </c>
      <c r="K15742" s="30" t="s">
        <v>22</v>
      </c>
    </row>
    <row r="15743" spans="1:11">
      <c r="A15743" s="33" t="s">
        <v>35371</v>
      </c>
      <c r="B15743" s="33" t="s">
        <v>35372</v>
      </c>
      <c r="C15743" s="33" t="s">
        <v>35373</v>
      </c>
      <c r="D15743" s="33" t="s">
        <v>17</v>
      </c>
      <c r="E15743" s="33" t="s">
        <v>31</v>
      </c>
      <c r="F15743" s="33" t="s">
        <v>32</v>
      </c>
      <c r="G15743" s="33" t="s">
        <v>112</v>
      </c>
      <c r="H15743" s="35">
        <v>0</v>
      </c>
      <c r="I15743" s="33" t="s">
        <v>21</v>
      </c>
      <c r="J15743" s="42">
        <v>45289</v>
      </c>
      <c r="K15743" s="33" t="s">
        <v>22</v>
      </c>
    </row>
    <row r="15744" spans="1:11">
      <c r="A15744" s="30" t="s">
        <v>35374</v>
      </c>
      <c r="B15744" s="30" t="s">
        <v>35375</v>
      </c>
      <c r="C15744" s="30" t="s">
        <v>9020</v>
      </c>
      <c r="D15744" s="30" t="s">
        <v>17</v>
      </c>
      <c r="E15744" s="30" t="s">
        <v>26</v>
      </c>
      <c r="F15744" s="30" t="s">
        <v>27</v>
      </c>
      <c r="G15744" s="30" t="s">
        <v>50</v>
      </c>
      <c r="H15744" s="32">
        <v>100</v>
      </c>
      <c r="I15744" s="30" t="s">
        <v>51</v>
      </c>
      <c r="J15744" s="41">
        <v>44958</v>
      </c>
      <c r="K15744" s="30" t="s">
        <v>22</v>
      </c>
    </row>
    <row r="15745" spans="1:11">
      <c r="A15745" s="33" t="s">
        <v>35376</v>
      </c>
      <c r="B15745" s="33" t="s">
        <v>35377</v>
      </c>
      <c r="C15745" s="33" t="s">
        <v>1801</v>
      </c>
      <c r="D15745" s="33" t="s">
        <v>17</v>
      </c>
      <c r="E15745" s="33" t="s">
        <v>18</v>
      </c>
      <c r="F15745" s="33" t="s">
        <v>19</v>
      </c>
      <c r="G15745" s="33" t="s">
        <v>20</v>
      </c>
      <c r="H15745" s="35">
        <v>206</v>
      </c>
      <c r="I15745" s="33" t="s">
        <v>21</v>
      </c>
      <c r="J15745" s="42">
        <v>45166</v>
      </c>
      <c r="K15745" s="33" t="s">
        <v>22</v>
      </c>
    </row>
    <row r="15746" spans="1:11">
      <c r="A15746" s="30" t="s">
        <v>35378</v>
      </c>
      <c r="B15746" s="30" t="s">
        <v>35379</v>
      </c>
      <c r="C15746" s="30" t="s">
        <v>844</v>
      </c>
      <c r="D15746" s="30" t="s">
        <v>17</v>
      </c>
      <c r="E15746" s="30" t="s">
        <v>18</v>
      </c>
      <c r="F15746" s="30" t="s">
        <v>19</v>
      </c>
      <c r="G15746" s="30" t="s">
        <v>20</v>
      </c>
      <c r="H15746" s="32">
        <v>400</v>
      </c>
      <c r="I15746" s="30" t="s">
        <v>21</v>
      </c>
      <c r="J15746" s="41">
        <v>45021</v>
      </c>
      <c r="K15746" s="30" t="s">
        <v>22</v>
      </c>
    </row>
    <row r="15747" spans="1:11">
      <c r="A15747" s="33" t="s">
        <v>35380</v>
      </c>
      <c r="B15747" s="33" t="s">
        <v>35381</v>
      </c>
      <c r="C15747" s="33" t="s">
        <v>3177</v>
      </c>
      <c r="D15747" s="33" t="s">
        <v>17</v>
      </c>
      <c r="E15747" s="33" t="s">
        <v>26</v>
      </c>
      <c r="F15747" s="33" t="s">
        <v>27</v>
      </c>
      <c r="G15747" s="33" t="s">
        <v>20</v>
      </c>
      <c r="H15747" s="35">
        <v>30</v>
      </c>
      <c r="I15747" s="33" t="s">
        <v>21</v>
      </c>
      <c r="J15747" s="42">
        <v>44986</v>
      </c>
      <c r="K15747" s="33" t="s">
        <v>22</v>
      </c>
    </row>
    <row r="15748" spans="1:11">
      <c r="A15748" s="30" t="s">
        <v>35382</v>
      </c>
      <c r="B15748" s="30" t="s">
        <v>35383</v>
      </c>
      <c r="C15748" s="30" t="s">
        <v>190</v>
      </c>
      <c r="D15748" s="30" t="s">
        <v>17</v>
      </c>
      <c r="E15748" s="30" t="s">
        <v>18</v>
      </c>
      <c r="F15748" s="30" t="s">
        <v>19</v>
      </c>
      <c r="G15748" s="30" t="s">
        <v>20</v>
      </c>
      <c r="H15748" s="32">
        <v>171</v>
      </c>
      <c r="I15748" s="30" t="s">
        <v>21</v>
      </c>
      <c r="J15748" s="41">
        <v>45223</v>
      </c>
      <c r="K15748" s="30" t="s">
        <v>22</v>
      </c>
    </row>
    <row r="15749" spans="1:11">
      <c r="A15749" s="33" t="s">
        <v>35384</v>
      </c>
      <c r="B15749" s="33" t="s">
        <v>35385</v>
      </c>
      <c r="C15749" s="33" t="s">
        <v>7094</v>
      </c>
      <c r="D15749" s="33" t="s">
        <v>17</v>
      </c>
      <c r="E15749" s="33" t="s">
        <v>31</v>
      </c>
      <c r="F15749" s="33" t="s">
        <v>32</v>
      </c>
      <c r="G15749" s="33" t="s">
        <v>112</v>
      </c>
      <c r="H15749" s="35">
        <v>0</v>
      </c>
      <c r="I15749" s="33" t="s">
        <v>21</v>
      </c>
      <c r="J15749" s="42">
        <v>44958</v>
      </c>
      <c r="K15749" s="33" t="s">
        <v>22</v>
      </c>
    </row>
    <row r="15750" spans="1:11">
      <c r="A15750" s="30" t="s">
        <v>35386</v>
      </c>
      <c r="B15750" s="30" t="s">
        <v>35387</v>
      </c>
      <c r="C15750" s="30" t="s">
        <v>23737</v>
      </c>
      <c r="D15750" s="30" t="s">
        <v>17</v>
      </c>
      <c r="E15750" s="30" t="s">
        <v>67</v>
      </c>
      <c r="F15750" s="30" t="s">
        <v>68</v>
      </c>
      <c r="G15750" s="30" t="s">
        <v>50</v>
      </c>
      <c r="H15750" s="32">
        <v>152</v>
      </c>
      <c r="I15750" s="30" t="s">
        <v>51</v>
      </c>
      <c r="J15750" s="41">
        <v>45148</v>
      </c>
      <c r="K15750" s="30" t="s">
        <v>22</v>
      </c>
    </row>
    <row r="15751" spans="1:11">
      <c r="A15751" s="33" t="s">
        <v>35388</v>
      </c>
      <c r="B15751" s="33" t="s">
        <v>35389</v>
      </c>
      <c r="C15751" s="33" t="s">
        <v>3072</v>
      </c>
      <c r="D15751" s="33" t="s">
        <v>17</v>
      </c>
      <c r="E15751" s="33" t="s">
        <v>18</v>
      </c>
      <c r="F15751" s="33" t="s">
        <v>19</v>
      </c>
      <c r="G15751" s="33" t="s">
        <v>20</v>
      </c>
      <c r="H15751" s="35">
        <v>454</v>
      </c>
      <c r="I15751" s="33" t="s">
        <v>21</v>
      </c>
      <c r="J15751" s="42">
        <v>45216</v>
      </c>
      <c r="K15751" s="33" t="s">
        <v>22</v>
      </c>
    </row>
    <row r="15752" spans="1:11">
      <c r="A15752" s="30" t="s">
        <v>35390</v>
      </c>
      <c r="B15752" s="30" t="s">
        <v>35391</v>
      </c>
      <c r="C15752" s="30" t="s">
        <v>3013</v>
      </c>
      <c r="D15752" s="30" t="s">
        <v>17</v>
      </c>
      <c r="E15752" s="30" t="s">
        <v>31</v>
      </c>
      <c r="F15752" s="30" t="s">
        <v>32</v>
      </c>
      <c r="G15752" s="30" t="s">
        <v>158</v>
      </c>
      <c r="H15752" s="32">
        <v>185</v>
      </c>
      <c r="I15752" s="30" t="s">
        <v>21</v>
      </c>
      <c r="J15752" s="41">
        <v>45155</v>
      </c>
      <c r="K15752" s="30" t="s">
        <v>22</v>
      </c>
    </row>
    <row r="15753" spans="1:11">
      <c r="A15753" s="33" t="s">
        <v>35392</v>
      </c>
      <c r="B15753" s="33" t="s">
        <v>35393</v>
      </c>
      <c r="C15753" s="33" t="s">
        <v>3489</v>
      </c>
      <c r="D15753" s="33" t="s">
        <v>17</v>
      </c>
      <c r="E15753" s="33" t="s">
        <v>18</v>
      </c>
      <c r="F15753" s="33" t="s">
        <v>19</v>
      </c>
      <c r="G15753" s="33" t="s">
        <v>158</v>
      </c>
      <c r="H15753" s="35">
        <v>6</v>
      </c>
      <c r="I15753" s="33" t="s">
        <v>51</v>
      </c>
      <c r="J15753" s="42">
        <v>45285</v>
      </c>
      <c r="K15753" s="33" t="s">
        <v>22</v>
      </c>
    </row>
    <row r="15754" spans="1:11">
      <c r="A15754" s="30" t="s">
        <v>35394</v>
      </c>
      <c r="B15754" s="30" t="s">
        <v>35395</v>
      </c>
      <c r="C15754" s="30" t="s">
        <v>13492</v>
      </c>
      <c r="D15754" s="30" t="s">
        <v>17</v>
      </c>
      <c r="E15754" s="30" t="s">
        <v>31</v>
      </c>
      <c r="F15754" s="30" t="s">
        <v>32</v>
      </c>
      <c r="G15754" s="30" t="s">
        <v>158</v>
      </c>
      <c r="H15754" s="32">
        <v>296</v>
      </c>
      <c r="I15754" s="30" t="s">
        <v>21</v>
      </c>
      <c r="J15754" s="41">
        <v>45097</v>
      </c>
      <c r="K15754" s="30" t="s">
        <v>22</v>
      </c>
    </row>
    <row r="15755" spans="1:11">
      <c r="A15755" s="33" t="s">
        <v>35396</v>
      </c>
      <c r="B15755" s="33" t="s">
        <v>35397</v>
      </c>
      <c r="C15755" s="33" t="s">
        <v>2594</v>
      </c>
      <c r="D15755" s="33" t="s">
        <v>17</v>
      </c>
      <c r="E15755" s="33" t="s">
        <v>26</v>
      </c>
      <c r="F15755" s="33" t="s">
        <v>27</v>
      </c>
      <c r="G15755" s="33" t="s">
        <v>158</v>
      </c>
      <c r="H15755" s="35">
        <v>55</v>
      </c>
      <c r="I15755" s="33" t="s">
        <v>21</v>
      </c>
      <c r="J15755" s="42">
        <v>45114</v>
      </c>
      <c r="K15755" s="33" t="s">
        <v>22</v>
      </c>
    </row>
    <row r="15756" spans="1:11">
      <c r="A15756" s="30" t="s">
        <v>35398</v>
      </c>
      <c r="B15756" s="30" t="s">
        <v>35399</v>
      </c>
      <c r="C15756" s="30" t="s">
        <v>19492</v>
      </c>
      <c r="D15756" s="30" t="s">
        <v>17</v>
      </c>
      <c r="E15756" s="30" t="s">
        <v>212</v>
      </c>
      <c r="F15756" s="30" t="s">
        <v>213</v>
      </c>
      <c r="G15756" s="30" t="s">
        <v>20</v>
      </c>
      <c r="H15756" s="32">
        <v>84</v>
      </c>
      <c r="I15756" s="30" t="s">
        <v>21</v>
      </c>
      <c r="J15756" s="41">
        <v>44992</v>
      </c>
      <c r="K15756" s="30" t="s">
        <v>22</v>
      </c>
    </row>
    <row r="15757" spans="1:11">
      <c r="A15757" s="33" t="s">
        <v>35400</v>
      </c>
      <c r="B15757" s="33" t="s">
        <v>35401</v>
      </c>
      <c r="C15757" s="33" t="s">
        <v>1136</v>
      </c>
      <c r="D15757" s="33" t="s">
        <v>17</v>
      </c>
      <c r="E15757" s="33" t="s">
        <v>67</v>
      </c>
      <c r="F15757" s="33" t="s">
        <v>68</v>
      </c>
      <c r="G15757" s="33" t="s">
        <v>20</v>
      </c>
      <c r="H15757" s="35">
        <v>80</v>
      </c>
      <c r="I15757" s="33" t="s">
        <v>21</v>
      </c>
      <c r="J15757" s="42">
        <v>44963</v>
      </c>
      <c r="K15757" s="33" t="s">
        <v>22</v>
      </c>
    </row>
    <row r="15758" spans="1:11">
      <c r="A15758" s="30" t="s">
        <v>35402</v>
      </c>
      <c r="B15758" s="30" t="s">
        <v>35403</v>
      </c>
      <c r="C15758" s="30" t="s">
        <v>35404</v>
      </c>
      <c r="D15758" s="30" t="s">
        <v>17</v>
      </c>
      <c r="E15758" s="30" t="s">
        <v>26</v>
      </c>
      <c r="F15758" s="30" t="s">
        <v>27</v>
      </c>
      <c r="G15758" s="30" t="s">
        <v>50</v>
      </c>
      <c r="H15758" s="32">
        <v>6</v>
      </c>
      <c r="I15758" s="30" t="s">
        <v>21</v>
      </c>
      <c r="J15758" s="41">
        <v>45265</v>
      </c>
      <c r="K15758" s="30" t="s">
        <v>22</v>
      </c>
    </row>
    <row r="15759" spans="1:11">
      <c r="A15759" s="33" t="s">
        <v>35405</v>
      </c>
      <c r="B15759" s="33" t="s">
        <v>35406</v>
      </c>
      <c r="C15759" s="33" t="s">
        <v>136</v>
      </c>
      <c r="D15759" s="33" t="s">
        <v>17</v>
      </c>
      <c r="E15759" s="33" t="s">
        <v>18</v>
      </c>
      <c r="F15759" s="33" t="s">
        <v>19</v>
      </c>
      <c r="G15759" s="33" t="s">
        <v>158</v>
      </c>
      <c r="H15759" s="35">
        <v>1175</v>
      </c>
      <c r="I15759" s="33" t="s">
        <v>21</v>
      </c>
      <c r="J15759" s="42">
        <v>44985</v>
      </c>
      <c r="K15759" s="33" t="s">
        <v>22</v>
      </c>
    </row>
    <row r="15760" spans="1:11">
      <c r="A15760" s="30" t="s">
        <v>35407</v>
      </c>
      <c r="B15760" s="30" t="s">
        <v>35408</v>
      </c>
      <c r="C15760" s="30" t="s">
        <v>35409</v>
      </c>
      <c r="D15760" s="30" t="s">
        <v>17</v>
      </c>
      <c r="E15760" s="30" t="s">
        <v>26</v>
      </c>
      <c r="F15760" s="30" t="s">
        <v>27</v>
      </c>
      <c r="G15760" s="30" t="s">
        <v>140</v>
      </c>
      <c r="H15760" s="32">
        <v>48</v>
      </c>
      <c r="I15760" s="30" t="s">
        <v>51</v>
      </c>
      <c r="J15760" s="41">
        <v>45237</v>
      </c>
      <c r="K15760" s="30" t="s">
        <v>22</v>
      </c>
    </row>
    <row r="15761" spans="1:11">
      <c r="A15761" s="33" t="s">
        <v>35410</v>
      </c>
      <c r="B15761" s="33" t="s">
        <v>35411</v>
      </c>
      <c r="C15761" s="33" t="s">
        <v>9989</v>
      </c>
      <c r="D15761" s="33" t="s">
        <v>17</v>
      </c>
      <c r="E15761" s="33" t="s">
        <v>31</v>
      </c>
      <c r="F15761" s="33" t="s">
        <v>32</v>
      </c>
      <c r="G15761" s="33" t="s">
        <v>112</v>
      </c>
      <c r="H15761" s="35">
        <v>0</v>
      </c>
      <c r="I15761" s="33" t="s">
        <v>21</v>
      </c>
      <c r="J15761" s="42">
        <v>45107</v>
      </c>
      <c r="K15761" s="33" t="s">
        <v>22</v>
      </c>
    </row>
    <row r="15762" spans="1:11">
      <c r="A15762" s="30" t="s">
        <v>35412</v>
      </c>
      <c r="B15762" s="30" t="s">
        <v>35413</v>
      </c>
      <c r="C15762" s="30" t="s">
        <v>96</v>
      </c>
      <c r="D15762" s="30" t="s">
        <v>17</v>
      </c>
      <c r="E15762" s="30" t="s">
        <v>31</v>
      </c>
      <c r="F15762" s="30" t="s">
        <v>32</v>
      </c>
      <c r="G15762" s="30" t="s">
        <v>106</v>
      </c>
      <c r="H15762" s="32">
        <v>8</v>
      </c>
      <c r="I15762" s="30" t="s">
        <v>21</v>
      </c>
      <c r="J15762" s="41">
        <v>45114</v>
      </c>
      <c r="K15762" s="30" t="s">
        <v>22</v>
      </c>
    </row>
    <row r="15763" spans="1:11">
      <c r="A15763" s="33" t="s">
        <v>35414</v>
      </c>
      <c r="B15763" s="33" t="s">
        <v>35415</v>
      </c>
      <c r="C15763" s="33" t="s">
        <v>190</v>
      </c>
      <c r="D15763" s="33" t="s">
        <v>17</v>
      </c>
      <c r="E15763" s="33" t="s">
        <v>18</v>
      </c>
      <c r="F15763" s="33" t="s">
        <v>19</v>
      </c>
      <c r="G15763" s="33" t="s">
        <v>158</v>
      </c>
      <c r="H15763" s="35">
        <v>760</v>
      </c>
      <c r="I15763" s="33" t="s">
        <v>21</v>
      </c>
      <c r="J15763" s="42">
        <v>45264</v>
      </c>
      <c r="K15763" s="33" t="s">
        <v>22</v>
      </c>
    </row>
    <row r="15764" spans="1:11">
      <c r="A15764" s="30" t="s">
        <v>35416</v>
      </c>
      <c r="B15764" s="30" t="s">
        <v>35417</v>
      </c>
      <c r="C15764" s="30" t="s">
        <v>35418</v>
      </c>
      <c r="D15764" s="30" t="s">
        <v>17</v>
      </c>
      <c r="E15764" s="30" t="s">
        <v>26</v>
      </c>
      <c r="F15764" s="30" t="s">
        <v>27</v>
      </c>
      <c r="G15764" s="30" t="s">
        <v>20</v>
      </c>
      <c r="H15764" s="32">
        <v>75</v>
      </c>
      <c r="I15764" s="30" t="s">
        <v>21</v>
      </c>
      <c r="J15764" s="41">
        <v>45282</v>
      </c>
      <c r="K15764" s="30" t="s">
        <v>22</v>
      </c>
    </row>
    <row r="15765" spans="1:11">
      <c r="A15765" s="33" t="s">
        <v>35419</v>
      </c>
      <c r="B15765" s="33" t="s">
        <v>35420</v>
      </c>
      <c r="C15765" s="33" t="s">
        <v>31827</v>
      </c>
      <c r="D15765" s="33" t="s">
        <v>17</v>
      </c>
      <c r="E15765" s="33" t="s">
        <v>26</v>
      </c>
      <c r="F15765" s="33" t="s">
        <v>27</v>
      </c>
      <c r="G15765" s="33" t="s">
        <v>50</v>
      </c>
      <c r="H15765" s="35">
        <v>68</v>
      </c>
      <c r="I15765" s="33" t="s">
        <v>51</v>
      </c>
      <c r="J15765" s="42">
        <v>45078</v>
      </c>
      <c r="K15765" s="33" t="s">
        <v>22</v>
      </c>
    </row>
    <row r="15766" spans="1:11">
      <c r="A15766" s="30" t="s">
        <v>35421</v>
      </c>
      <c r="B15766" s="30" t="s">
        <v>35422</v>
      </c>
      <c r="C15766" s="30" t="s">
        <v>644</v>
      </c>
      <c r="D15766" s="30" t="s">
        <v>17</v>
      </c>
      <c r="E15766" s="30" t="s">
        <v>18</v>
      </c>
      <c r="F15766" s="30" t="s">
        <v>19</v>
      </c>
      <c r="G15766" s="30" t="s">
        <v>20</v>
      </c>
      <c r="H15766" s="32">
        <v>114</v>
      </c>
      <c r="I15766" s="30" t="s">
        <v>21</v>
      </c>
      <c r="J15766" s="41">
        <v>45013</v>
      </c>
      <c r="K15766" s="30" t="s">
        <v>22</v>
      </c>
    </row>
    <row r="15767" spans="1:11">
      <c r="A15767" s="33" t="s">
        <v>35423</v>
      </c>
      <c r="B15767" s="33" t="s">
        <v>35424</v>
      </c>
      <c r="C15767" s="33" t="s">
        <v>8201</v>
      </c>
      <c r="D15767" s="33" t="s">
        <v>17</v>
      </c>
      <c r="E15767" s="33" t="s">
        <v>26</v>
      </c>
      <c r="F15767" s="33" t="s">
        <v>27</v>
      </c>
      <c r="G15767" s="33" t="s">
        <v>106</v>
      </c>
      <c r="H15767" s="35">
        <v>75</v>
      </c>
      <c r="I15767" s="33" t="s">
        <v>21</v>
      </c>
      <c r="J15767" s="42">
        <v>45278</v>
      </c>
      <c r="K15767" s="33" t="s">
        <v>22</v>
      </c>
    </row>
    <row r="15768" spans="1:11">
      <c r="A15768" s="30" t="s">
        <v>35425</v>
      </c>
      <c r="B15768" s="30" t="s">
        <v>35426</v>
      </c>
      <c r="C15768" s="30" t="s">
        <v>35427</v>
      </c>
      <c r="D15768" s="30" t="s">
        <v>17</v>
      </c>
      <c r="E15768" s="30" t="s">
        <v>67</v>
      </c>
      <c r="F15768" s="30" t="s">
        <v>68</v>
      </c>
      <c r="G15768" s="30" t="s">
        <v>158</v>
      </c>
      <c r="H15768" s="32">
        <v>20</v>
      </c>
      <c r="I15768" s="30" t="s">
        <v>21</v>
      </c>
      <c r="J15768" s="41">
        <v>45177</v>
      </c>
      <c r="K15768" s="30" t="s">
        <v>22</v>
      </c>
    </row>
    <row r="15769" spans="1:11">
      <c r="A15769" s="33" t="s">
        <v>35428</v>
      </c>
      <c r="B15769" s="33" t="s">
        <v>35429</v>
      </c>
      <c r="C15769" s="33" t="s">
        <v>35430</v>
      </c>
      <c r="D15769" s="33" t="s">
        <v>17</v>
      </c>
      <c r="E15769" s="33" t="s">
        <v>31</v>
      </c>
      <c r="F15769" s="33" t="s">
        <v>32</v>
      </c>
      <c r="G15769" s="33" t="s">
        <v>20</v>
      </c>
      <c r="H15769" s="35">
        <v>116</v>
      </c>
      <c r="I15769" s="33" t="s">
        <v>21</v>
      </c>
      <c r="J15769" s="42">
        <v>44931</v>
      </c>
      <c r="K15769" s="33" t="s">
        <v>22</v>
      </c>
    </row>
    <row r="15770" spans="1:11">
      <c r="A15770" s="30" t="s">
        <v>35431</v>
      </c>
      <c r="B15770" s="30" t="s">
        <v>35432</v>
      </c>
      <c r="C15770" s="30" t="s">
        <v>310</v>
      </c>
      <c r="D15770" s="30" t="s">
        <v>17</v>
      </c>
      <c r="E15770" s="30" t="s">
        <v>18</v>
      </c>
      <c r="F15770" s="30" t="s">
        <v>19</v>
      </c>
      <c r="G15770" s="30" t="s">
        <v>158</v>
      </c>
      <c r="H15770" s="32">
        <v>210</v>
      </c>
      <c r="I15770" s="30" t="s">
        <v>51</v>
      </c>
      <c r="J15770" s="41">
        <v>45114</v>
      </c>
      <c r="K15770" s="30" t="s">
        <v>22</v>
      </c>
    </row>
    <row r="15771" spans="1:11">
      <c r="A15771" s="33" t="s">
        <v>35433</v>
      </c>
      <c r="B15771" s="33" t="s">
        <v>35434</v>
      </c>
      <c r="C15771" s="33" t="s">
        <v>10320</v>
      </c>
      <c r="D15771" s="33" t="s">
        <v>17</v>
      </c>
      <c r="E15771" s="33" t="s">
        <v>26</v>
      </c>
      <c r="F15771" s="33" t="s">
        <v>27</v>
      </c>
      <c r="G15771" s="33" t="s">
        <v>50</v>
      </c>
      <c r="H15771" s="35">
        <v>12</v>
      </c>
      <c r="I15771" s="33" t="s">
        <v>51</v>
      </c>
      <c r="J15771" s="42">
        <v>45162</v>
      </c>
      <c r="K15771" s="33" t="s">
        <v>22</v>
      </c>
    </row>
    <row r="15772" spans="1:11">
      <c r="A15772" s="30" t="s">
        <v>35435</v>
      </c>
      <c r="B15772" s="30" t="s">
        <v>35436</v>
      </c>
      <c r="C15772" s="30" t="s">
        <v>1598</v>
      </c>
      <c r="D15772" s="30" t="s">
        <v>17</v>
      </c>
      <c r="E15772" s="30" t="s">
        <v>18</v>
      </c>
      <c r="F15772" s="30" t="s">
        <v>19</v>
      </c>
      <c r="G15772" s="30" t="s">
        <v>158</v>
      </c>
      <c r="H15772" s="32">
        <v>600</v>
      </c>
      <c r="I15772" s="30" t="s">
        <v>21</v>
      </c>
      <c r="J15772" s="41">
        <v>45190</v>
      </c>
      <c r="K15772" s="30" t="s">
        <v>22</v>
      </c>
    </row>
    <row r="15773" spans="1:11">
      <c r="A15773" s="33" t="s">
        <v>35437</v>
      </c>
      <c r="B15773" s="33" t="s">
        <v>35438</v>
      </c>
      <c r="C15773" s="33" t="s">
        <v>35439</v>
      </c>
      <c r="D15773" s="33" t="s">
        <v>17</v>
      </c>
      <c r="E15773" s="33" t="s">
        <v>45</v>
      </c>
      <c r="F15773" s="33" t="s">
        <v>46</v>
      </c>
      <c r="G15773" s="33" t="s">
        <v>20</v>
      </c>
      <c r="H15773" s="35">
        <v>37</v>
      </c>
      <c r="I15773" s="33" t="s">
        <v>21</v>
      </c>
      <c r="J15773" s="42">
        <v>45076</v>
      </c>
      <c r="K15773" s="33" t="s">
        <v>22</v>
      </c>
    </row>
    <row r="15774" spans="1:11">
      <c r="A15774" s="30" t="s">
        <v>35440</v>
      </c>
      <c r="B15774" s="30" t="s">
        <v>35441</v>
      </c>
      <c r="C15774" s="30" t="s">
        <v>26407</v>
      </c>
      <c r="D15774" s="30" t="s">
        <v>17</v>
      </c>
      <c r="E15774" s="30" t="s">
        <v>18</v>
      </c>
      <c r="F15774" s="30" t="s">
        <v>19</v>
      </c>
      <c r="G15774" s="30" t="s">
        <v>20</v>
      </c>
      <c r="H15774" s="32">
        <v>529</v>
      </c>
      <c r="I15774" s="30" t="s">
        <v>21</v>
      </c>
      <c r="J15774" s="41">
        <v>45288</v>
      </c>
      <c r="K15774" s="30" t="s">
        <v>22</v>
      </c>
    </row>
    <row r="15775" spans="1:11">
      <c r="A15775" s="33" t="s">
        <v>35442</v>
      </c>
      <c r="B15775" s="33" t="s">
        <v>35443</v>
      </c>
      <c r="C15775" s="33" t="s">
        <v>5822</v>
      </c>
      <c r="D15775" s="33" t="s">
        <v>17</v>
      </c>
      <c r="E15775" s="33" t="s">
        <v>31</v>
      </c>
      <c r="F15775" s="33" t="s">
        <v>32</v>
      </c>
      <c r="G15775" s="33" t="s">
        <v>158</v>
      </c>
      <c r="H15775" s="35">
        <v>102</v>
      </c>
      <c r="I15775" s="33" t="s">
        <v>21</v>
      </c>
      <c r="J15775" s="42">
        <v>44956</v>
      </c>
      <c r="K15775" s="33" t="s">
        <v>22</v>
      </c>
    </row>
    <row r="15776" spans="1:11">
      <c r="A15776" s="30" t="s">
        <v>35444</v>
      </c>
      <c r="B15776" s="30" t="s">
        <v>35445</v>
      </c>
      <c r="C15776" s="30" t="s">
        <v>32699</v>
      </c>
      <c r="D15776" s="30" t="s">
        <v>17</v>
      </c>
      <c r="E15776" s="30" t="s">
        <v>31</v>
      </c>
      <c r="F15776" s="30" t="s">
        <v>32</v>
      </c>
      <c r="G15776" s="30" t="s">
        <v>20</v>
      </c>
      <c r="H15776" s="32">
        <v>129</v>
      </c>
      <c r="I15776" s="30" t="s">
        <v>21</v>
      </c>
      <c r="J15776" s="41">
        <v>44931</v>
      </c>
      <c r="K15776" s="30" t="s">
        <v>22</v>
      </c>
    </row>
    <row r="15777" spans="1:11">
      <c r="A15777" s="33" t="s">
        <v>35446</v>
      </c>
      <c r="B15777" s="33" t="s">
        <v>35447</v>
      </c>
      <c r="C15777" s="33" t="s">
        <v>57</v>
      </c>
      <c r="D15777" s="33" t="s">
        <v>17</v>
      </c>
      <c r="E15777" s="33" t="s">
        <v>26</v>
      </c>
      <c r="F15777" s="33" t="s">
        <v>27</v>
      </c>
      <c r="G15777" s="33" t="s">
        <v>50</v>
      </c>
      <c r="H15777" s="35">
        <v>24</v>
      </c>
      <c r="I15777" s="33" t="s">
        <v>51</v>
      </c>
      <c r="J15777" s="42">
        <v>44972</v>
      </c>
      <c r="K15777" s="33" t="s">
        <v>22</v>
      </c>
    </row>
    <row r="15778" spans="1:11">
      <c r="A15778" s="30" t="s">
        <v>35448</v>
      </c>
      <c r="B15778" s="30" t="s">
        <v>35449</v>
      </c>
      <c r="C15778" s="30" t="s">
        <v>2472</v>
      </c>
      <c r="D15778" s="30" t="s">
        <v>17</v>
      </c>
      <c r="E15778" s="30" t="s">
        <v>18</v>
      </c>
      <c r="F15778" s="30" t="s">
        <v>19</v>
      </c>
      <c r="G15778" s="30" t="s">
        <v>20</v>
      </c>
      <c r="H15778" s="32">
        <v>8061</v>
      </c>
      <c r="I15778" s="30" t="s">
        <v>21</v>
      </c>
      <c r="J15778" s="41">
        <v>45218</v>
      </c>
      <c r="K15778" s="30" t="s">
        <v>22</v>
      </c>
    </row>
    <row r="15779" spans="1:11">
      <c r="A15779" s="33" t="s">
        <v>35450</v>
      </c>
      <c r="B15779" s="33" t="s">
        <v>35451</v>
      </c>
      <c r="C15779" s="33" t="s">
        <v>16883</v>
      </c>
      <c r="D15779" s="33" t="s">
        <v>17</v>
      </c>
      <c r="E15779" s="33" t="s">
        <v>26</v>
      </c>
      <c r="F15779" s="33" t="s">
        <v>27</v>
      </c>
      <c r="G15779" s="33" t="s">
        <v>140</v>
      </c>
      <c r="H15779" s="35">
        <v>168</v>
      </c>
      <c r="I15779" s="33" t="s">
        <v>51</v>
      </c>
      <c r="J15779" s="42">
        <v>45212</v>
      </c>
      <c r="K15779" s="33" t="s">
        <v>22</v>
      </c>
    </row>
    <row r="15780" spans="1:11">
      <c r="A15780" s="30" t="s">
        <v>35452</v>
      </c>
      <c r="B15780" s="30" t="s">
        <v>35453</v>
      </c>
      <c r="C15780" s="30" t="s">
        <v>32880</v>
      </c>
      <c r="D15780" s="30" t="s">
        <v>17</v>
      </c>
      <c r="E15780" s="30" t="s">
        <v>31</v>
      </c>
      <c r="F15780" s="30" t="s">
        <v>32</v>
      </c>
      <c r="G15780" s="30" t="s">
        <v>50</v>
      </c>
      <c r="H15780" s="32">
        <v>32</v>
      </c>
      <c r="I15780" s="30" t="s">
        <v>51</v>
      </c>
      <c r="J15780" s="41">
        <v>45200</v>
      </c>
      <c r="K15780" s="30" t="s">
        <v>22</v>
      </c>
    </row>
    <row r="15781" spans="1:11">
      <c r="A15781" s="33" t="s">
        <v>35454</v>
      </c>
      <c r="B15781" s="33" t="s">
        <v>35455</v>
      </c>
      <c r="C15781" s="33" t="s">
        <v>35456</v>
      </c>
      <c r="D15781" s="33" t="s">
        <v>17</v>
      </c>
      <c r="E15781" s="33" t="s">
        <v>67</v>
      </c>
      <c r="F15781" s="33" t="s">
        <v>68</v>
      </c>
      <c r="G15781" s="33" t="s">
        <v>140</v>
      </c>
      <c r="H15781" s="35">
        <v>15</v>
      </c>
      <c r="I15781" s="33" t="s">
        <v>51</v>
      </c>
      <c r="J15781" s="42">
        <v>45041</v>
      </c>
      <c r="K15781" s="33" t="s">
        <v>22</v>
      </c>
    </row>
    <row r="15782" spans="1:11">
      <c r="A15782" s="30" t="s">
        <v>35457</v>
      </c>
      <c r="B15782" s="30" t="s">
        <v>35458</v>
      </c>
      <c r="C15782" s="30" t="s">
        <v>35459</v>
      </c>
      <c r="D15782" s="30" t="s">
        <v>17</v>
      </c>
      <c r="E15782" s="30" t="s">
        <v>26</v>
      </c>
      <c r="F15782" s="30" t="s">
        <v>27</v>
      </c>
      <c r="G15782" s="30" t="s">
        <v>20</v>
      </c>
      <c r="H15782" s="32">
        <v>25</v>
      </c>
      <c r="I15782" s="30" t="s">
        <v>21</v>
      </c>
      <c r="J15782" s="41">
        <v>45177</v>
      </c>
      <c r="K15782" s="30" t="s">
        <v>22</v>
      </c>
    </row>
    <row r="15783" spans="1:11">
      <c r="A15783" s="33" t="s">
        <v>35460</v>
      </c>
      <c r="B15783" s="33" t="s">
        <v>35461</v>
      </c>
      <c r="C15783" s="33" t="s">
        <v>4918</v>
      </c>
      <c r="D15783" s="33" t="s">
        <v>17</v>
      </c>
      <c r="E15783" s="33" t="s">
        <v>31</v>
      </c>
      <c r="F15783" s="33" t="s">
        <v>32</v>
      </c>
      <c r="G15783" s="33" t="s">
        <v>112</v>
      </c>
      <c r="H15783" s="35">
        <v>0</v>
      </c>
      <c r="I15783" s="33" t="s">
        <v>21</v>
      </c>
      <c r="J15783" s="42">
        <v>45137</v>
      </c>
      <c r="K15783" s="33" t="s">
        <v>22</v>
      </c>
    </row>
    <row r="15784" spans="1:11">
      <c r="A15784" s="30" t="s">
        <v>35462</v>
      </c>
      <c r="B15784" s="30" t="s">
        <v>35463</v>
      </c>
      <c r="C15784" s="30" t="s">
        <v>20773</v>
      </c>
      <c r="D15784" s="30" t="s">
        <v>17</v>
      </c>
      <c r="E15784" s="30" t="s">
        <v>31</v>
      </c>
      <c r="F15784" s="30" t="s">
        <v>32</v>
      </c>
      <c r="G15784" s="30" t="s">
        <v>20</v>
      </c>
      <c r="H15784" s="32">
        <v>270</v>
      </c>
      <c r="I15784" s="30" t="s">
        <v>21</v>
      </c>
      <c r="J15784" s="41">
        <v>45098</v>
      </c>
      <c r="K15784" s="30" t="s">
        <v>22</v>
      </c>
    </row>
    <row r="15785" spans="1:11">
      <c r="A15785" s="33" t="s">
        <v>35464</v>
      </c>
      <c r="B15785" s="33" t="s">
        <v>35465</v>
      </c>
      <c r="C15785" s="33" t="s">
        <v>96</v>
      </c>
      <c r="D15785" s="33" t="s">
        <v>17</v>
      </c>
      <c r="E15785" s="33" t="s">
        <v>26</v>
      </c>
      <c r="F15785" s="33" t="s">
        <v>27</v>
      </c>
      <c r="G15785" s="33" t="s">
        <v>20</v>
      </c>
      <c r="H15785" s="35">
        <v>12</v>
      </c>
      <c r="I15785" s="33" t="s">
        <v>21</v>
      </c>
      <c r="J15785" s="42">
        <v>44980</v>
      </c>
      <c r="K15785" s="33" t="s">
        <v>22</v>
      </c>
    </row>
    <row r="15786" spans="1:11">
      <c r="A15786" s="30" t="s">
        <v>35466</v>
      </c>
      <c r="B15786" s="30" t="s">
        <v>35467</v>
      </c>
      <c r="C15786" s="30" t="s">
        <v>3698</v>
      </c>
      <c r="D15786" s="30" t="s">
        <v>17</v>
      </c>
      <c r="E15786" s="30" t="s">
        <v>18</v>
      </c>
      <c r="F15786" s="30" t="s">
        <v>19</v>
      </c>
      <c r="G15786" s="30" t="s">
        <v>20</v>
      </c>
      <c r="H15786" s="32">
        <v>93</v>
      </c>
      <c r="I15786" s="30" t="s">
        <v>21</v>
      </c>
      <c r="J15786" s="41">
        <v>45138</v>
      </c>
      <c r="K15786" s="30" t="s">
        <v>22</v>
      </c>
    </row>
    <row r="15787" spans="1:11">
      <c r="A15787" s="33" t="s">
        <v>35468</v>
      </c>
      <c r="B15787" s="33" t="s">
        <v>35469</v>
      </c>
      <c r="C15787" s="33" t="s">
        <v>8231</v>
      </c>
      <c r="D15787" s="33" t="s">
        <v>17</v>
      </c>
      <c r="E15787" s="33" t="s">
        <v>18</v>
      </c>
      <c r="F15787" s="33" t="s">
        <v>19</v>
      </c>
      <c r="G15787" s="33" t="s">
        <v>2613</v>
      </c>
      <c r="H15787" s="35">
        <v>327</v>
      </c>
      <c r="I15787" s="33" t="s">
        <v>51</v>
      </c>
      <c r="J15787" s="42">
        <v>45261</v>
      </c>
      <c r="K15787" s="33" t="s">
        <v>22</v>
      </c>
    </row>
    <row r="15788" spans="1:11">
      <c r="A15788" s="30" t="s">
        <v>35470</v>
      </c>
      <c r="B15788" s="30" t="s">
        <v>35471</v>
      </c>
      <c r="C15788" s="30" t="s">
        <v>6097</v>
      </c>
      <c r="D15788" s="30" t="s">
        <v>17</v>
      </c>
      <c r="E15788" s="30" t="s">
        <v>31</v>
      </c>
      <c r="F15788" s="30" t="s">
        <v>32</v>
      </c>
      <c r="G15788" s="30" t="s">
        <v>20</v>
      </c>
      <c r="H15788" s="32">
        <v>107</v>
      </c>
      <c r="I15788" s="30" t="s">
        <v>21</v>
      </c>
      <c r="J15788" s="41">
        <v>44984</v>
      </c>
      <c r="K15788" s="30" t="s">
        <v>22</v>
      </c>
    </row>
    <row r="15789" spans="1:11">
      <c r="A15789" s="33" t="s">
        <v>35472</v>
      </c>
      <c r="B15789" s="33" t="s">
        <v>35473</v>
      </c>
      <c r="C15789" s="33" t="s">
        <v>35474</v>
      </c>
      <c r="D15789" s="33" t="s">
        <v>17</v>
      </c>
      <c r="E15789" s="33" t="s">
        <v>26</v>
      </c>
      <c r="F15789" s="33" t="s">
        <v>27</v>
      </c>
      <c r="G15789" s="33" t="s">
        <v>20</v>
      </c>
      <c r="H15789" s="35">
        <v>51</v>
      </c>
      <c r="I15789" s="33" t="s">
        <v>21</v>
      </c>
      <c r="J15789" s="42">
        <v>45247</v>
      </c>
      <c r="K15789" s="33" t="s">
        <v>22</v>
      </c>
    </row>
    <row r="15790" spans="1:11">
      <c r="A15790" s="30" t="s">
        <v>35475</v>
      </c>
      <c r="B15790" s="30" t="s">
        <v>35476</v>
      </c>
      <c r="C15790" s="30" t="s">
        <v>2618</v>
      </c>
      <c r="D15790" s="30" t="s">
        <v>17</v>
      </c>
      <c r="E15790" s="30" t="s">
        <v>31</v>
      </c>
      <c r="F15790" s="30" t="s">
        <v>32</v>
      </c>
      <c r="G15790" s="30" t="s">
        <v>106</v>
      </c>
      <c r="H15790" s="32">
        <v>40</v>
      </c>
      <c r="I15790" s="30" t="s">
        <v>21</v>
      </c>
      <c r="J15790" s="41">
        <v>44945</v>
      </c>
      <c r="K15790" s="30" t="s">
        <v>22</v>
      </c>
    </row>
    <row r="15791" spans="1:11">
      <c r="A15791" s="33" t="s">
        <v>35477</v>
      </c>
      <c r="B15791" s="33" t="s">
        <v>35478</v>
      </c>
      <c r="C15791" s="33" t="s">
        <v>4315</v>
      </c>
      <c r="D15791" s="33" t="s">
        <v>17</v>
      </c>
      <c r="E15791" s="33" t="s">
        <v>26</v>
      </c>
      <c r="F15791" s="33" t="s">
        <v>27</v>
      </c>
      <c r="G15791" s="33" t="s">
        <v>50</v>
      </c>
      <c r="H15791" s="35">
        <v>126</v>
      </c>
      <c r="I15791" s="33" t="s">
        <v>51</v>
      </c>
      <c r="J15791" s="42">
        <v>45173</v>
      </c>
      <c r="K15791" s="33" t="s">
        <v>22</v>
      </c>
    </row>
    <row r="15792" spans="1:11">
      <c r="A15792" s="30" t="s">
        <v>35479</v>
      </c>
      <c r="B15792" s="30" t="s">
        <v>35480</v>
      </c>
      <c r="C15792" s="30" t="s">
        <v>13241</v>
      </c>
      <c r="D15792" s="30" t="s">
        <v>17</v>
      </c>
      <c r="E15792" s="30" t="s">
        <v>26</v>
      </c>
      <c r="F15792" s="30" t="s">
        <v>27</v>
      </c>
      <c r="G15792" s="30" t="s">
        <v>140</v>
      </c>
      <c r="H15792" s="32">
        <v>170</v>
      </c>
      <c r="I15792" s="30" t="s">
        <v>51</v>
      </c>
      <c r="J15792" s="41">
        <v>45258</v>
      </c>
      <c r="K15792" s="30" t="s">
        <v>22</v>
      </c>
    </row>
    <row r="15793" spans="1:11">
      <c r="A15793" s="33" t="s">
        <v>35481</v>
      </c>
      <c r="B15793" s="33" t="s">
        <v>35482</v>
      </c>
      <c r="C15793" s="33" t="s">
        <v>3114</v>
      </c>
      <c r="D15793" s="33" t="s">
        <v>17</v>
      </c>
      <c r="E15793" s="33" t="s">
        <v>330</v>
      </c>
      <c r="F15793" s="33" t="s">
        <v>331</v>
      </c>
      <c r="G15793" s="33" t="s">
        <v>50</v>
      </c>
      <c r="H15793" s="35">
        <v>20</v>
      </c>
      <c r="I15793" s="33" t="s">
        <v>51</v>
      </c>
      <c r="J15793" s="42">
        <v>45159</v>
      </c>
      <c r="K15793" s="33" t="s">
        <v>22</v>
      </c>
    </row>
    <row r="15794" spans="1:11">
      <c r="A15794" s="30" t="s">
        <v>35483</v>
      </c>
      <c r="B15794" s="30" t="s">
        <v>35484</v>
      </c>
      <c r="C15794" s="30" t="s">
        <v>2866</v>
      </c>
      <c r="D15794" s="30" t="s">
        <v>17</v>
      </c>
      <c r="E15794" s="30" t="s">
        <v>26</v>
      </c>
      <c r="F15794" s="30" t="s">
        <v>27</v>
      </c>
      <c r="G15794" s="30" t="s">
        <v>158</v>
      </c>
      <c r="H15794" s="32">
        <v>18</v>
      </c>
      <c r="I15794" s="30" t="s">
        <v>51</v>
      </c>
      <c r="J15794" s="41">
        <v>45118</v>
      </c>
      <c r="K15794" s="30" t="s">
        <v>22</v>
      </c>
    </row>
    <row r="15795" spans="1:11">
      <c r="A15795" s="33" t="s">
        <v>35485</v>
      </c>
      <c r="B15795" s="33" t="s">
        <v>35486</v>
      </c>
      <c r="C15795" s="33" t="s">
        <v>30095</v>
      </c>
      <c r="D15795" s="33" t="s">
        <v>17</v>
      </c>
      <c r="E15795" s="33" t="s">
        <v>67</v>
      </c>
      <c r="F15795" s="33" t="s">
        <v>68</v>
      </c>
      <c r="G15795" s="33" t="s">
        <v>140</v>
      </c>
      <c r="H15795" s="35">
        <v>20</v>
      </c>
      <c r="I15795" s="33" t="s">
        <v>51</v>
      </c>
      <c r="J15795" s="42">
        <v>45230</v>
      </c>
      <c r="K15795" s="33" t="s">
        <v>22</v>
      </c>
    </row>
    <row r="15796" spans="1:11">
      <c r="A15796" s="30" t="s">
        <v>35487</v>
      </c>
      <c r="B15796" s="30" t="s">
        <v>35488</v>
      </c>
      <c r="C15796" s="30" t="s">
        <v>2807</v>
      </c>
      <c r="D15796" s="30" t="s">
        <v>17</v>
      </c>
      <c r="E15796" s="30" t="s">
        <v>18</v>
      </c>
      <c r="F15796" s="30" t="s">
        <v>19</v>
      </c>
      <c r="G15796" s="30" t="s">
        <v>20</v>
      </c>
      <c r="H15796" s="32">
        <v>22</v>
      </c>
      <c r="I15796" s="30" t="s">
        <v>21</v>
      </c>
      <c r="J15796" s="41">
        <v>45076</v>
      </c>
      <c r="K15796" s="30" t="s">
        <v>22</v>
      </c>
    </row>
    <row r="15797" spans="1:11">
      <c r="A15797" s="33" t="s">
        <v>35489</v>
      </c>
      <c r="B15797" s="33" t="s">
        <v>35490</v>
      </c>
      <c r="C15797" s="33" t="s">
        <v>35491</v>
      </c>
      <c r="D15797" s="33" t="s">
        <v>17</v>
      </c>
      <c r="E15797" s="33" t="s">
        <v>67</v>
      </c>
      <c r="F15797" s="33" t="s">
        <v>68</v>
      </c>
      <c r="G15797" s="33" t="s">
        <v>20</v>
      </c>
      <c r="H15797" s="35">
        <v>33</v>
      </c>
      <c r="I15797" s="33" t="s">
        <v>21</v>
      </c>
      <c r="J15797" s="42">
        <v>45071</v>
      </c>
      <c r="K15797" s="33" t="s">
        <v>22</v>
      </c>
    </row>
    <row r="15798" spans="1:11">
      <c r="A15798" s="30" t="s">
        <v>35492</v>
      </c>
      <c r="B15798" s="30" t="s">
        <v>35493</v>
      </c>
      <c r="C15798" s="30" t="s">
        <v>10459</v>
      </c>
      <c r="D15798" s="30" t="s">
        <v>17</v>
      </c>
      <c r="E15798" s="30" t="s">
        <v>67</v>
      </c>
      <c r="F15798" s="30" t="s">
        <v>68</v>
      </c>
      <c r="G15798" s="30" t="s">
        <v>20</v>
      </c>
      <c r="H15798" s="32">
        <v>18</v>
      </c>
      <c r="I15798" s="30" t="s">
        <v>21</v>
      </c>
      <c r="J15798" s="41">
        <v>45238</v>
      </c>
      <c r="K15798" s="30" t="s">
        <v>22</v>
      </c>
    </row>
    <row r="15799" spans="1:11">
      <c r="A15799" s="33" t="s">
        <v>35494</v>
      </c>
      <c r="B15799" s="33" t="s">
        <v>35495</v>
      </c>
      <c r="C15799" s="33" t="s">
        <v>23238</v>
      </c>
      <c r="D15799" s="33" t="s">
        <v>17</v>
      </c>
      <c r="E15799" s="33" t="s">
        <v>67</v>
      </c>
      <c r="F15799" s="33" t="s">
        <v>68</v>
      </c>
      <c r="G15799" s="33" t="s">
        <v>106</v>
      </c>
      <c r="H15799" s="35">
        <v>40</v>
      </c>
      <c r="I15799" s="33" t="s">
        <v>21</v>
      </c>
      <c r="J15799" s="42">
        <v>45184</v>
      </c>
      <c r="K15799" s="33" t="s">
        <v>22</v>
      </c>
    </row>
    <row r="15800" spans="1:11">
      <c r="A15800" s="30" t="s">
        <v>35496</v>
      </c>
      <c r="B15800" s="30" t="s">
        <v>35497</v>
      </c>
      <c r="C15800" s="30" t="s">
        <v>1090</v>
      </c>
      <c r="D15800" s="30" t="s">
        <v>17</v>
      </c>
      <c r="E15800" s="30" t="s">
        <v>26</v>
      </c>
      <c r="F15800" s="30" t="s">
        <v>27</v>
      </c>
      <c r="G15800" s="30" t="s">
        <v>20</v>
      </c>
      <c r="H15800" s="32">
        <v>56</v>
      </c>
      <c r="I15800" s="30" t="s">
        <v>21</v>
      </c>
      <c r="J15800" s="41">
        <v>44987</v>
      </c>
      <c r="K15800" s="30" t="s">
        <v>22</v>
      </c>
    </row>
    <row r="15801" spans="1:11">
      <c r="A15801" s="33" t="s">
        <v>35498</v>
      </c>
      <c r="B15801" s="33" t="s">
        <v>35499</v>
      </c>
      <c r="C15801" s="33" t="s">
        <v>35500</v>
      </c>
      <c r="D15801" s="33" t="s">
        <v>17</v>
      </c>
      <c r="E15801" s="33" t="s">
        <v>26</v>
      </c>
      <c r="F15801" s="33" t="s">
        <v>27</v>
      </c>
      <c r="G15801" s="33" t="s">
        <v>20</v>
      </c>
      <c r="H15801" s="35">
        <v>20</v>
      </c>
      <c r="I15801" s="33" t="s">
        <v>21</v>
      </c>
      <c r="J15801" s="42">
        <v>45236</v>
      </c>
      <c r="K15801" s="33" t="s">
        <v>22</v>
      </c>
    </row>
    <row r="15802" spans="1:11">
      <c r="A15802" s="30" t="s">
        <v>35501</v>
      </c>
      <c r="B15802" s="30" t="s">
        <v>35502</v>
      </c>
      <c r="C15802" s="30" t="s">
        <v>2117</v>
      </c>
      <c r="D15802" s="30" t="s">
        <v>17</v>
      </c>
      <c r="E15802" s="30" t="s">
        <v>45</v>
      </c>
      <c r="F15802" s="30" t="s">
        <v>46</v>
      </c>
      <c r="G15802" s="30" t="s">
        <v>140</v>
      </c>
      <c r="H15802" s="32">
        <v>138</v>
      </c>
      <c r="I15802" s="30" t="s">
        <v>51</v>
      </c>
      <c r="J15802" s="41">
        <v>45161</v>
      </c>
      <c r="K15802" s="30" t="s">
        <v>22</v>
      </c>
    </row>
    <row r="15803" spans="1:11">
      <c r="A15803" s="33" t="s">
        <v>35503</v>
      </c>
      <c r="B15803" s="33" t="s">
        <v>35504</v>
      </c>
      <c r="C15803" s="33" t="s">
        <v>7880</v>
      </c>
      <c r="D15803" s="33" t="s">
        <v>17</v>
      </c>
      <c r="E15803" s="33" t="s">
        <v>26</v>
      </c>
      <c r="F15803" s="33" t="s">
        <v>27</v>
      </c>
      <c r="G15803" s="33" t="s">
        <v>50</v>
      </c>
      <c r="H15803" s="35">
        <v>12</v>
      </c>
      <c r="I15803" s="33" t="s">
        <v>51</v>
      </c>
      <c r="J15803" s="42">
        <v>45054</v>
      </c>
      <c r="K15803" s="33" t="s">
        <v>22</v>
      </c>
    </row>
    <row r="15804" spans="1:11">
      <c r="A15804" s="30" t="s">
        <v>35505</v>
      </c>
      <c r="B15804" s="30" t="s">
        <v>35506</v>
      </c>
      <c r="C15804" s="30" t="s">
        <v>2017</v>
      </c>
      <c r="D15804" s="30" t="s">
        <v>17</v>
      </c>
      <c r="E15804" s="30" t="s">
        <v>26</v>
      </c>
      <c r="F15804" s="30" t="s">
        <v>27</v>
      </c>
      <c r="G15804" s="30" t="s">
        <v>20</v>
      </c>
      <c r="H15804" s="32">
        <v>762</v>
      </c>
      <c r="I15804" s="30" t="s">
        <v>21</v>
      </c>
      <c r="J15804" s="41">
        <v>44979</v>
      </c>
      <c r="K15804" s="30" t="s">
        <v>22</v>
      </c>
    </row>
    <row r="15805" spans="1:11">
      <c r="A15805" s="33" t="s">
        <v>35507</v>
      </c>
      <c r="B15805" s="33" t="s">
        <v>35508</v>
      </c>
      <c r="C15805" s="33" t="s">
        <v>13936</v>
      </c>
      <c r="D15805" s="33" t="s">
        <v>17</v>
      </c>
      <c r="E15805" s="33" t="s">
        <v>26</v>
      </c>
      <c r="F15805" s="33" t="s">
        <v>27</v>
      </c>
      <c r="G15805" s="33" t="s">
        <v>106</v>
      </c>
      <c r="H15805" s="35">
        <v>14</v>
      </c>
      <c r="I15805" s="33" t="s">
        <v>21</v>
      </c>
      <c r="J15805" s="42">
        <v>44993</v>
      </c>
      <c r="K15805" s="33" t="s">
        <v>22</v>
      </c>
    </row>
    <row r="15806" spans="1:11">
      <c r="A15806" s="30" t="s">
        <v>35509</v>
      </c>
      <c r="B15806" s="30" t="s">
        <v>35510</v>
      </c>
      <c r="C15806" s="30" t="s">
        <v>969</v>
      </c>
      <c r="D15806" s="30" t="s">
        <v>17</v>
      </c>
      <c r="E15806" s="30" t="s">
        <v>31</v>
      </c>
      <c r="F15806" s="30" t="s">
        <v>32</v>
      </c>
      <c r="G15806" s="30" t="s">
        <v>106</v>
      </c>
      <c r="H15806" s="32">
        <v>314</v>
      </c>
      <c r="I15806" s="30" t="s">
        <v>21</v>
      </c>
      <c r="J15806" s="41">
        <v>45182</v>
      </c>
      <c r="K15806" s="30" t="s">
        <v>22</v>
      </c>
    </row>
    <row r="15807" spans="1:11">
      <c r="A15807" s="33" t="s">
        <v>35511</v>
      </c>
      <c r="B15807" s="33" t="s">
        <v>35512</v>
      </c>
      <c r="C15807" s="33" t="s">
        <v>19233</v>
      </c>
      <c r="D15807" s="33" t="s">
        <v>17</v>
      </c>
      <c r="E15807" s="33" t="s">
        <v>31</v>
      </c>
      <c r="F15807" s="33" t="s">
        <v>32</v>
      </c>
      <c r="G15807" s="33" t="s">
        <v>158</v>
      </c>
      <c r="H15807" s="35">
        <v>180</v>
      </c>
      <c r="I15807" s="33" t="s">
        <v>51</v>
      </c>
      <c r="J15807" s="42">
        <v>45250</v>
      </c>
      <c r="K15807" s="33" t="s">
        <v>22</v>
      </c>
    </row>
    <row r="15808" spans="1:11">
      <c r="A15808" s="30" t="s">
        <v>35513</v>
      </c>
      <c r="B15808" s="30" t="s">
        <v>35514</v>
      </c>
      <c r="C15808" s="30" t="s">
        <v>190</v>
      </c>
      <c r="D15808" s="30" t="s">
        <v>17</v>
      </c>
      <c r="E15808" s="30" t="s">
        <v>18</v>
      </c>
      <c r="F15808" s="30" t="s">
        <v>19</v>
      </c>
      <c r="G15808" s="30" t="s">
        <v>20</v>
      </c>
      <c r="H15808" s="32">
        <v>116</v>
      </c>
      <c r="I15808" s="30" t="s">
        <v>21</v>
      </c>
      <c r="J15808" s="41">
        <v>45128</v>
      </c>
      <c r="K15808" s="30" t="s">
        <v>22</v>
      </c>
    </row>
    <row r="15809" spans="1:11">
      <c r="A15809" s="33" t="s">
        <v>35515</v>
      </c>
      <c r="B15809" s="33" t="s">
        <v>35516</v>
      </c>
      <c r="C15809" s="33" t="s">
        <v>75</v>
      </c>
      <c r="D15809" s="33" t="s">
        <v>17</v>
      </c>
      <c r="E15809" s="33" t="s">
        <v>26</v>
      </c>
      <c r="F15809" s="33" t="s">
        <v>27</v>
      </c>
      <c r="G15809" s="33" t="s">
        <v>140</v>
      </c>
      <c r="H15809" s="35">
        <v>140</v>
      </c>
      <c r="I15809" s="33" t="s">
        <v>51</v>
      </c>
      <c r="J15809" s="42">
        <v>45217</v>
      </c>
      <c r="K15809" s="33" t="s">
        <v>22</v>
      </c>
    </row>
    <row r="15810" spans="1:11">
      <c r="A15810" s="30" t="s">
        <v>35517</v>
      </c>
      <c r="B15810" s="30" t="s">
        <v>35518</v>
      </c>
      <c r="C15810" s="30" t="s">
        <v>570</v>
      </c>
      <c r="D15810" s="30" t="s">
        <v>17</v>
      </c>
      <c r="E15810" s="30" t="s">
        <v>26</v>
      </c>
      <c r="F15810" s="30" t="s">
        <v>27</v>
      </c>
      <c r="G15810" s="30" t="s">
        <v>50</v>
      </c>
      <c r="H15810" s="32">
        <v>150</v>
      </c>
      <c r="I15810" s="30" t="s">
        <v>51</v>
      </c>
      <c r="J15810" s="41">
        <v>45200</v>
      </c>
      <c r="K15810" s="30" t="s">
        <v>22</v>
      </c>
    </row>
    <row r="15811" spans="1:11">
      <c r="A15811" s="33" t="s">
        <v>35519</v>
      </c>
      <c r="B15811" s="33" t="s">
        <v>35520</v>
      </c>
      <c r="C15811" s="33" t="s">
        <v>795</v>
      </c>
      <c r="D15811" s="33" t="s">
        <v>17</v>
      </c>
      <c r="E15811" s="33" t="s">
        <v>67</v>
      </c>
      <c r="F15811" s="33" t="s">
        <v>68</v>
      </c>
      <c r="G15811" s="33" t="s">
        <v>106</v>
      </c>
      <c r="H15811" s="35">
        <v>9</v>
      </c>
      <c r="I15811" s="33" t="s">
        <v>21</v>
      </c>
      <c r="J15811" s="42">
        <v>45190</v>
      </c>
      <c r="K15811" s="33" t="s">
        <v>22</v>
      </c>
    </row>
    <row r="15812" spans="1:11">
      <c r="A15812" s="30" t="s">
        <v>35521</v>
      </c>
      <c r="B15812" s="30" t="s">
        <v>35522</v>
      </c>
      <c r="C15812" s="30" t="s">
        <v>3748</v>
      </c>
      <c r="D15812" s="30" t="s">
        <v>17</v>
      </c>
      <c r="E15812" s="30" t="s">
        <v>31</v>
      </c>
      <c r="F15812" s="30" t="s">
        <v>32</v>
      </c>
      <c r="G15812" s="30" t="s">
        <v>20</v>
      </c>
      <c r="H15812" s="32">
        <v>37</v>
      </c>
      <c r="I15812" s="30" t="s">
        <v>21</v>
      </c>
      <c r="J15812" s="41">
        <v>44986</v>
      </c>
      <c r="K15812" s="30" t="s">
        <v>22</v>
      </c>
    </row>
    <row r="15813" spans="1:11">
      <c r="A15813" s="33" t="s">
        <v>35523</v>
      </c>
      <c r="B15813" s="33" t="s">
        <v>35524</v>
      </c>
      <c r="C15813" s="33" t="s">
        <v>570</v>
      </c>
      <c r="D15813" s="33" t="s">
        <v>17</v>
      </c>
      <c r="E15813" s="33" t="s">
        <v>26</v>
      </c>
      <c r="F15813" s="33" t="s">
        <v>27</v>
      </c>
      <c r="G15813" s="33" t="s">
        <v>20</v>
      </c>
      <c r="H15813" s="35">
        <v>40</v>
      </c>
      <c r="I15813" s="33" t="s">
        <v>21</v>
      </c>
      <c r="J15813" s="42">
        <v>45102</v>
      </c>
      <c r="K15813" s="33" t="s">
        <v>22</v>
      </c>
    </row>
    <row r="15814" spans="1:11">
      <c r="A15814" s="30" t="s">
        <v>35525</v>
      </c>
      <c r="B15814" s="30" t="s">
        <v>35526</v>
      </c>
      <c r="C15814" s="30" t="s">
        <v>157</v>
      </c>
      <c r="D15814" s="30" t="s">
        <v>17</v>
      </c>
      <c r="E15814" s="30" t="s">
        <v>18</v>
      </c>
      <c r="F15814" s="30" t="s">
        <v>19</v>
      </c>
      <c r="G15814" s="30" t="s">
        <v>158</v>
      </c>
      <c r="H15814" s="32">
        <v>31</v>
      </c>
      <c r="I15814" s="30" t="s">
        <v>21</v>
      </c>
      <c r="J15814" s="41">
        <v>45146</v>
      </c>
      <c r="K15814" s="30" t="s">
        <v>22</v>
      </c>
    </row>
    <row r="15815" spans="1:11">
      <c r="A15815" s="33" t="s">
        <v>35527</v>
      </c>
      <c r="B15815" s="33" t="s">
        <v>35528</v>
      </c>
      <c r="C15815" s="33" t="s">
        <v>318</v>
      </c>
      <c r="D15815" s="33" t="s">
        <v>17</v>
      </c>
      <c r="E15815" s="33" t="s">
        <v>26</v>
      </c>
      <c r="F15815" s="33" t="s">
        <v>27</v>
      </c>
      <c r="G15815" s="33" t="s">
        <v>112</v>
      </c>
      <c r="H15815" s="35">
        <v>0</v>
      </c>
      <c r="I15815" s="33" t="s">
        <v>21</v>
      </c>
      <c r="J15815" s="42">
        <v>44998</v>
      </c>
      <c r="K15815" s="33" t="s">
        <v>22</v>
      </c>
    </row>
    <row r="15816" spans="1:11">
      <c r="A15816" s="30" t="s">
        <v>35529</v>
      </c>
      <c r="B15816" s="30" t="s">
        <v>35530</v>
      </c>
      <c r="C15816" s="30" t="s">
        <v>11905</v>
      </c>
      <c r="D15816" s="30" t="s">
        <v>17</v>
      </c>
      <c r="E15816" s="30" t="s">
        <v>31</v>
      </c>
      <c r="F15816" s="30" t="s">
        <v>32</v>
      </c>
      <c r="G15816" s="30" t="s">
        <v>20</v>
      </c>
      <c r="H15816" s="32">
        <v>192</v>
      </c>
      <c r="I15816" s="30" t="s">
        <v>21</v>
      </c>
      <c r="J15816" s="41">
        <v>45180</v>
      </c>
      <c r="K15816" s="30" t="s">
        <v>22</v>
      </c>
    </row>
    <row r="15817" spans="1:11">
      <c r="A15817" s="33" t="s">
        <v>35531</v>
      </c>
      <c r="B15817" s="33" t="s">
        <v>35532</v>
      </c>
      <c r="C15817" s="33" t="s">
        <v>3439</v>
      </c>
      <c r="D15817" s="33" t="s">
        <v>17</v>
      </c>
      <c r="E15817" s="33" t="s">
        <v>26</v>
      </c>
      <c r="F15817" s="33" t="s">
        <v>27</v>
      </c>
      <c r="G15817" s="33" t="s">
        <v>20</v>
      </c>
      <c r="H15817" s="35">
        <v>66</v>
      </c>
      <c r="I15817" s="33" t="s">
        <v>21</v>
      </c>
      <c r="J15817" s="42">
        <v>45255</v>
      </c>
      <c r="K15817" s="33" t="s">
        <v>22</v>
      </c>
    </row>
    <row r="15818" spans="1:11">
      <c r="A15818" s="30" t="s">
        <v>35533</v>
      </c>
      <c r="B15818" s="30" t="s">
        <v>35534</v>
      </c>
      <c r="C15818" s="30" t="s">
        <v>1080</v>
      </c>
      <c r="D15818" s="30" t="s">
        <v>17</v>
      </c>
      <c r="E15818" s="30" t="s">
        <v>26</v>
      </c>
      <c r="F15818" s="30" t="s">
        <v>27</v>
      </c>
      <c r="G15818" s="30" t="s">
        <v>50</v>
      </c>
      <c r="H15818" s="32">
        <v>106</v>
      </c>
      <c r="I15818" s="30" t="s">
        <v>51</v>
      </c>
      <c r="J15818" s="41">
        <v>45113</v>
      </c>
      <c r="K15818" s="30" t="s">
        <v>22</v>
      </c>
    </row>
    <row r="15819" spans="1:11">
      <c r="A15819" s="33" t="s">
        <v>35535</v>
      </c>
      <c r="B15819" s="33" t="s">
        <v>35536</v>
      </c>
      <c r="C15819" s="33" t="s">
        <v>32329</v>
      </c>
      <c r="D15819" s="33" t="s">
        <v>17</v>
      </c>
      <c r="E15819" s="33" t="s">
        <v>26</v>
      </c>
      <c r="F15819" s="33" t="s">
        <v>27</v>
      </c>
      <c r="G15819" s="33" t="s">
        <v>140</v>
      </c>
      <c r="H15819" s="35">
        <v>110</v>
      </c>
      <c r="I15819" s="33" t="s">
        <v>51</v>
      </c>
      <c r="J15819" s="42">
        <v>44929</v>
      </c>
      <c r="K15819" s="33" t="s">
        <v>22</v>
      </c>
    </row>
    <row r="15820" spans="1:11">
      <c r="A15820" s="30" t="s">
        <v>35537</v>
      </c>
      <c r="B15820" s="30" t="s">
        <v>35538</v>
      </c>
      <c r="C15820" s="30" t="s">
        <v>4210</v>
      </c>
      <c r="D15820" s="30" t="s">
        <v>17</v>
      </c>
      <c r="E15820" s="30" t="s">
        <v>31</v>
      </c>
      <c r="F15820" s="30" t="s">
        <v>32</v>
      </c>
      <c r="G15820" s="30" t="s">
        <v>158</v>
      </c>
      <c r="H15820" s="32">
        <v>46</v>
      </c>
      <c r="I15820" s="30" t="s">
        <v>51</v>
      </c>
      <c r="J15820" s="41">
        <v>45233</v>
      </c>
      <c r="K15820" s="30" t="s">
        <v>22</v>
      </c>
    </row>
    <row r="15821" spans="1:11">
      <c r="A15821" s="33" t="s">
        <v>35539</v>
      </c>
      <c r="B15821" s="33" t="s">
        <v>35540</v>
      </c>
      <c r="C15821" s="33" t="s">
        <v>450</v>
      </c>
      <c r="D15821" s="33" t="s">
        <v>17</v>
      </c>
      <c r="E15821" s="33" t="s">
        <v>18</v>
      </c>
      <c r="F15821" s="33" t="s">
        <v>19</v>
      </c>
      <c r="G15821" s="33" t="s">
        <v>20</v>
      </c>
      <c r="H15821" s="35">
        <v>25</v>
      </c>
      <c r="I15821" s="33" t="s">
        <v>21</v>
      </c>
      <c r="J15821" s="42">
        <v>45121</v>
      </c>
      <c r="K15821" s="33" t="s">
        <v>22</v>
      </c>
    </row>
    <row r="15822" spans="1:11">
      <c r="A15822" s="30" t="s">
        <v>35541</v>
      </c>
      <c r="B15822" s="30" t="s">
        <v>35542</v>
      </c>
      <c r="C15822" s="30" t="s">
        <v>20032</v>
      </c>
      <c r="D15822" s="30" t="s">
        <v>17</v>
      </c>
      <c r="E15822" s="30" t="s">
        <v>26</v>
      </c>
      <c r="F15822" s="30" t="s">
        <v>27</v>
      </c>
      <c r="G15822" s="30" t="s">
        <v>20</v>
      </c>
      <c r="H15822" s="32">
        <v>72</v>
      </c>
      <c r="I15822" s="30" t="s">
        <v>21</v>
      </c>
      <c r="J15822" s="41">
        <v>45279</v>
      </c>
      <c r="K15822" s="30" t="s">
        <v>22</v>
      </c>
    </row>
    <row r="15823" spans="1:11">
      <c r="A15823" s="33" t="s">
        <v>35543</v>
      </c>
      <c r="B15823" s="33" t="s">
        <v>35544</v>
      </c>
      <c r="C15823" s="33" t="s">
        <v>149</v>
      </c>
      <c r="D15823" s="33" t="s">
        <v>17</v>
      </c>
      <c r="E15823" s="33" t="s">
        <v>26</v>
      </c>
      <c r="F15823" s="33" t="s">
        <v>27</v>
      </c>
      <c r="G15823" s="33" t="s">
        <v>20</v>
      </c>
      <c r="H15823" s="35">
        <v>18</v>
      </c>
      <c r="I15823" s="33" t="s">
        <v>21</v>
      </c>
      <c r="J15823" s="42">
        <v>44985</v>
      </c>
      <c r="K15823" s="33" t="s">
        <v>22</v>
      </c>
    </row>
    <row r="15824" spans="1:11">
      <c r="A15824" s="30" t="s">
        <v>35545</v>
      </c>
      <c r="B15824" s="30" t="s">
        <v>35546</v>
      </c>
      <c r="C15824" s="30" t="s">
        <v>1718</v>
      </c>
      <c r="D15824" s="30" t="s">
        <v>17</v>
      </c>
      <c r="E15824" s="30" t="s">
        <v>18</v>
      </c>
      <c r="F15824" s="30" t="s">
        <v>19</v>
      </c>
      <c r="G15824" s="30" t="s">
        <v>20</v>
      </c>
      <c r="H15824" s="32">
        <v>502</v>
      </c>
      <c r="I15824" s="30" t="s">
        <v>21</v>
      </c>
      <c r="J15824" s="41">
        <v>45015</v>
      </c>
      <c r="K15824" s="30" t="s">
        <v>22</v>
      </c>
    </row>
    <row r="15825" spans="1:11">
      <c r="A15825" s="33" t="s">
        <v>35547</v>
      </c>
      <c r="B15825" s="33" t="s">
        <v>35548</v>
      </c>
      <c r="C15825" s="33" t="s">
        <v>18475</v>
      </c>
      <c r="D15825" s="33" t="s">
        <v>17</v>
      </c>
      <c r="E15825" s="33" t="s">
        <v>31</v>
      </c>
      <c r="F15825" s="33" t="s">
        <v>32</v>
      </c>
      <c r="G15825" s="33" t="s">
        <v>20</v>
      </c>
      <c r="H15825" s="35">
        <v>66</v>
      </c>
      <c r="I15825" s="33" t="s">
        <v>21</v>
      </c>
      <c r="J15825" s="42">
        <v>44929</v>
      </c>
      <c r="K15825" s="33" t="s">
        <v>22</v>
      </c>
    </row>
    <row r="15826" spans="1:11">
      <c r="A15826" s="30" t="s">
        <v>35549</v>
      </c>
      <c r="B15826" s="30" t="s">
        <v>35550</v>
      </c>
      <c r="C15826" s="30" t="s">
        <v>3892</v>
      </c>
      <c r="D15826" s="30" t="s">
        <v>17</v>
      </c>
      <c r="E15826" s="30" t="s">
        <v>18</v>
      </c>
      <c r="F15826" s="30" t="s">
        <v>19</v>
      </c>
      <c r="G15826" s="30" t="s">
        <v>20</v>
      </c>
      <c r="H15826" s="32">
        <v>604</v>
      </c>
      <c r="I15826" s="30" t="s">
        <v>21</v>
      </c>
      <c r="J15826" s="41">
        <v>45098</v>
      </c>
      <c r="K15826" s="30" t="s">
        <v>22</v>
      </c>
    </row>
    <row r="15827" spans="1:11">
      <c r="A15827" s="33" t="s">
        <v>35551</v>
      </c>
      <c r="B15827" s="33" t="s">
        <v>35552</v>
      </c>
      <c r="C15827" s="33" t="s">
        <v>3714</v>
      </c>
      <c r="D15827" s="33" t="s">
        <v>17</v>
      </c>
      <c r="E15827" s="33" t="s">
        <v>31</v>
      </c>
      <c r="F15827" s="33" t="s">
        <v>32</v>
      </c>
      <c r="G15827" s="33" t="s">
        <v>112</v>
      </c>
      <c r="H15827" s="35">
        <v>0</v>
      </c>
      <c r="I15827" s="33" t="s">
        <v>21</v>
      </c>
      <c r="J15827" s="42">
        <v>45047</v>
      </c>
      <c r="K15827" s="33" t="s">
        <v>22</v>
      </c>
    </row>
    <row r="15828" spans="1:11">
      <c r="A15828" s="30" t="s">
        <v>35553</v>
      </c>
      <c r="B15828" s="30" t="s">
        <v>35554</v>
      </c>
      <c r="C15828" s="30" t="s">
        <v>3971</v>
      </c>
      <c r="D15828" s="30" t="s">
        <v>17</v>
      </c>
      <c r="E15828" s="30" t="s">
        <v>26</v>
      </c>
      <c r="F15828" s="30" t="s">
        <v>27</v>
      </c>
      <c r="G15828" s="30" t="s">
        <v>20</v>
      </c>
      <c r="H15828" s="32">
        <v>16</v>
      </c>
      <c r="I15828" s="30" t="s">
        <v>21</v>
      </c>
      <c r="J15828" s="41">
        <v>44958</v>
      </c>
      <c r="K15828" s="30" t="s">
        <v>22</v>
      </c>
    </row>
    <row r="15829" spans="1:11">
      <c r="A15829" s="33" t="s">
        <v>35555</v>
      </c>
      <c r="B15829" s="33" t="s">
        <v>35556</v>
      </c>
      <c r="C15829" s="33" t="s">
        <v>1406</v>
      </c>
      <c r="D15829" s="33" t="s">
        <v>17</v>
      </c>
      <c r="E15829" s="33" t="s">
        <v>67</v>
      </c>
      <c r="F15829" s="33" t="s">
        <v>68</v>
      </c>
      <c r="G15829" s="33" t="s">
        <v>106</v>
      </c>
      <c r="H15829" s="35">
        <v>4</v>
      </c>
      <c r="I15829" s="33" t="s">
        <v>21</v>
      </c>
      <c r="J15829" s="42">
        <v>45092</v>
      </c>
      <c r="K15829" s="33" t="s">
        <v>22</v>
      </c>
    </row>
    <row r="15830" spans="1:11">
      <c r="A15830" s="30" t="s">
        <v>35557</v>
      </c>
      <c r="B15830" s="30" t="s">
        <v>35558</v>
      </c>
      <c r="C15830" s="30" t="s">
        <v>20576</v>
      </c>
      <c r="D15830" s="30" t="s">
        <v>17</v>
      </c>
      <c r="E15830" s="30" t="s">
        <v>31</v>
      </c>
      <c r="F15830" s="30" t="s">
        <v>32</v>
      </c>
      <c r="G15830" s="30" t="s">
        <v>140</v>
      </c>
      <c r="H15830" s="32">
        <v>45</v>
      </c>
      <c r="I15830" s="30" t="s">
        <v>51</v>
      </c>
      <c r="J15830" s="41">
        <v>45286</v>
      </c>
      <c r="K15830" s="30" t="s">
        <v>22</v>
      </c>
    </row>
    <row r="15831" spans="1:11">
      <c r="A15831" s="33" t="s">
        <v>35559</v>
      </c>
      <c r="B15831" s="33" t="s">
        <v>35560</v>
      </c>
      <c r="C15831" s="33" t="s">
        <v>109</v>
      </c>
      <c r="D15831" s="33" t="s">
        <v>17</v>
      </c>
      <c r="E15831" s="33" t="s">
        <v>212</v>
      </c>
      <c r="F15831" s="33" t="s">
        <v>213</v>
      </c>
      <c r="G15831" s="33" t="s">
        <v>106</v>
      </c>
      <c r="H15831" s="35">
        <v>76</v>
      </c>
      <c r="I15831" s="33" t="s">
        <v>21</v>
      </c>
      <c r="J15831" s="42">
        <v>45135</v>
      </c>
      <c r="K15831" s="33" t="s">
        <v>22</v>
      </c>
    </row>
    <row r="15832" spans="1:11">
      <c r="A15832" s="30" t="s">
        <v>35561</v>
      </c>
      <c r="B15832" s="30" t="s">
        <v>35562</v>
      </c>
      <c r="C15832" s="30" t="s">
        <v>27074</v>
      </c>
      <c r="D15832" s="30" t="s">
        <v>17</v>
      </c>
      <c r="E15832" s="30" t="s">
        <v>31</v>
      </c>
      <c r="F15832" s="30" t="s">
        <v>32</v>
      </c>
      <c r="G15832" s="30" t="s">
        <v>20</v>
      </c>
      <c r="H15832" s="32">
        <v>78</v>
      </c>
      <c r="I15832" s="30" t="s">
        <v>21</v>
      </c>
      <c r="J15832" s="41">
        <v>45091</v>
      </c>
      <c r="K15832" s="30" t="s">
        <v>22</v>
      </c>
    </row>
    <row r="15833" spans="1:11">
      <c r="A15833" s="33" t="s">
        <v>35563</v>
      </c>
      <c r="B15833" s="33" t="s">
        <v>35564</v>
      </c>
      <c r="C15833" s="33" t="s">
        <v>35565</v>
      </c>
      <c r="D15833" s="33" t="s">
        <v>17</v>
      </c>
      <c r="E15833" s="33" t="s">
        <v>31</v>
      </c>
      <c r="F15833" s="33" t="s">
        <v>32</v>
      </c>
      <c r="G15833" s="33" t="s">
        <v>20</v>
      </c>
      <c r="H15833" s="35">
        <v>40</v>
      </c>
      <c r="I15833" s="33" t="s">
        <v>21</v>
      </c>
      <c r="J15833" s="42">
        <v>45200</v>
      </c>
      <c r="K15833" s="33" t="s">
        <v>22</v>
      </c>
    </row>
    <row r="15834" spans="1:11">
      <c r="A15834" s="30" t="s">
        <v>35566</v>
      </c>
      <c r="B15834" s="30" t="s">
        <v>35567</v>
      </c>
      <c r="C15834" s="30" t="s">
        <v>93</v>
      </c>
      <c r="D15834" s="30" t="s">
        <v>17</v>
      </c>
      <c r="E15834" s="30" t="s">
        <v>18</v>
      </c>
      <c r="F15834" s="30" t="s">
        <v>19</v>
      </c>
      <c r="G15834" s="30" t="s">
        <v>2613</v>
      </c>
      <c r="H15834" s="32">
        <v>650</v>
      </c>
      <c r="I15834" s="30" t="s">
        <v>51</v>
      </c>
      <c r="J15834" s="41">
        <v>45082</v>
      </c>
      <c r="K15834" s="30" t="s">
        <v>22</v>
      </c>
    </row>
    <row r="15835" spans="1:11">
      <c r="A15835" s="33" t="s">
        <v>35568</v>
      </c>
      <c r="B15835" s="33" t="s">
        <v>35569</v>
      </c>
      <c r="C15835" s="33" t="s">
        <v>35570</v>
      </c>
      <c r="D15835" s="33" t="s">
        <v>17</v>
      </c>
      <c r="E15835" s="33" t="s">
        <v>67</v>
      </c>
      <c r="F15835" s="33" t="s">
        <v>68</v>
      </c>
      <c r="G15835" s="33" t="s">
        <v>158</v>
      </c>
      <c r="H15835" s="35">
        <v>52</v>
      </c>
      <c r="I15835" s="33" t="s">
        <v>51</v>
      </c>
      <c r="J15835" s="42">
        <v>44980</v>
      </c>
      <c r="K15835" s="33" t="s">
        <v>22</v>
      </c>
    </row>
    <row r="15836" spans="1:11">
      <c r="A15836" s="30" t="s">
        <v>35571</v>
      </c>
      <c r="B15836" s="30" t="s">
        <v>35572</v>
      </c>
      <c r="C15836" s="30" t="s">
        <v>3451</v>
      </c>
      <c r="D15836" s="30" t="s">
        <v>17</v>
      </c>
      <c r="E15836" s="30" t="s">
        <v>26</v>
      </c>
      <c r="F15836" s="30" t="s">
        <v>27</v>
      </c>
      <c r="G15836" s="30" t="s">
        <v>20</v>
      </c>
      <c r="H15836" s="32">
        <v>36</v>
      </c>
      <c r="I15836" s="30" t="s">
        <v>21</v>
      </c>
      <c r="J15836" s="41">
        <v>45007</v>
      </c>
      <c r="K15836" s="30" t="s">
        <v>22</v>
      </c>
    </row>
    <row r="15837" spans="1:11">
      <c r="A15837" s="33" t="s">
        <v>35573</v>
      </c>
      <c r="B15837" s="33" t="s">
        <v>35574</v>
      </c>
      <c r="C15837" s="33" t="s">
        <v>35575</v>
      </c>
      <c r="D15837" s="33" t="s">
        <v>17</v>
      </c>
      <c r="E15837" s="33" t="s">
        <v>18</v>
      </c>
      <c r="F15837" s="33" t="s">
        <v>19</v>
      </c>
      <c r="G15837" s="33" t="s">
        <v>50</v>
      </c>
      <c r="H15837" s="35">
        <v>2460</v>
      </c>
      <c r="I15837" s="33" t="s">
        <v>51</v>
      </c>
      <c r="J15837" s="42">
        <v>45139</v>
      </c>
      <c r="K15837" s="33" t="s">
        <v>22</v>
      </c>
    </row>
    <row r="15838" spans="1:11">
      <c r="A15838" s="30" t="s">
        <v>35576</v>
      </c>
      <c r="B15838" s="30" t="s">
        <v>35577</v>
      </c>
      <c r="C15838" s="30" t="s">
        <v>231</v>
      </c>
      <c r="D15838" s="30" t="s">
        <v>17</v>
      </c>
      <c r="E15838" s="30" t="s">
        <v>26</v>
      </c>
      <c r="F15838" s="30" t="s">
        <v>27</v>
      </c>
      <c r="G15838" s="30" t="s">
        <v>20</v>
      </c>
      <c r="H15838" s="32">
        <v>8</v>
      </c>
      <c r="I15838" s="30" t="s">
        <v>21</v>
      </c>
      <c r="J15838" s="41">
        <v>44971</v>
      </c>
      <c r="K15838" s="30" t="s">
        <v>22</v>
      </c>
    </row>
    <row r="15839" spans="1:11">
      <c r="A15839" s="33" t="s">
        <v>35578</v>
      </c>
      <c r="B15839" s="33" t="s">
        <v>35579</v>
      </c>
      <c r="C15839" s="33" t="s">
        <v>102</v>
      </c>
      <c r="D15839" s="33" t="s">
        <v>17</v>
      </c>
      <c r="E15839" s="33" t="s">
        <v>26</v>
      </c>
      <c r="F15839" s="33" t="s">
        <v>27</v>
      </c>
      <c r="G15839" s="33" t="s">
        <v>140</v>
      </c>
      <c r="H15839" s="35">
        <v>300</v>
      </c>
      <c r="I15839" s="33" t="s">
        <v>51</v>
      </c>
      <c r="J15839" s="42">
        <v>45042</v>
      </c>
      <c r="K15839" s="33" t="s">
        <v>22</v>
      </c>
    </row>
    <row r="15840" spans="1:11">
      <c r="A15840" s="30" t="s">
        <v>35580</v>
      </c>
      <c r="B15840" s="30" t="s">
        <v>35581</v>
      </c>
      <c r="C15840" s="30" t="s">
        <v>18431</v>
      </c>
      <c r="D15840" s="30" t="s">
        <v>17</v>
      </c>
      <c r="E15840" s="30" t="s">
        <v>26</v>
      </c>
      <c r="F15840" s="30" t="s">
        <v>27</v>
      </c>
      <c r="G15840" s="30" t="s">
        <v>20</v>
      </c>
      <c r="H15840" s="32">
        <v>12</v>
      </c>
      <c r="I15840" s="30" t="s">
        <v>21</v>
      </c>
      <c r="J15840" s="41">
        <v>44992</v>
      </c>
      <c r="K15840" s="30" t="s">
        <v>22</v>
      </c>
    </row>
    <row r="15841" spans="1:11">
      <c r="A15841" s="33" t="s">
        <v>35582</v>
      </c>
      <c r="B15841" s="33" t="s">
        <v>35583</v>
      </c>
      <c r="C15841" s="33" t="s">
        <v>78</v>
      </c>
      <c r="D15841" s="33" t="s">
        <v>17</v>
      </c>
      <c r="E15841" s="33" t="s">
        <v>26</v>
      </c>
      <c r="F15841" s="33" t="s">
        <v>27</v>
      </c>
      <c r="G15841" s="33" t="s">
        <v>20</v>
      </c>
      <c r="H15841" s="35">
        <v>40</v>
      </c>
      <c r="I15841" s="33" t="s">
        <v>21</v>
      </c>
      <c r="J15841" s="42">
        <v>44958</v>
      </c>
      <c r="K15841" s="33" t="s">
        <v>22</v>
      </c>
    </row>
    <row r="15842" spans="1:11">
      <c r="A15842" s="30" t="s">
        <v>35584</v>
      </c>
      <c r="B15842" s="30" t="s">
        <v>35585</v>
      </c>
      <c r="C15842" s="30" t="s">
        <v>187</v>
      </c>
      <c r="D15842" s="30" t="s">
        <v>17</v>
      </c>
      <c r="E15842" s="30" t="s">
        <v>26</v>
      </c>
      <c r="F15842" s="30" t="s">
        <v>27</v>
      </c>
      <c r="G15842" s="30" t="s">
        <v>50</v>
      </c>
      <c r="H15842" s="32">
        <v>48</v>
      </c>
      <c r="I15842" s="30" t="s">
        <v>51</v>
      </c>
      <c r="J15842" s="41">
        <v>45170</v>
      </c>
      <c r="K15842" s="30" t="s">
        <v>22</v>
      </c>
    </row>
    <row r="15843" spans="1:11">
      <c r="A15843" s="33" t="s">
        <v>35586</v>
      </c>
      <c r="B15843" s="33" t="s">
        <v>35587</v>
      </c>
      <c r="C15843" s="33" t="s">
        <v>35588</v>
      </c>
      <c r="D15843" s="33" t="s">
        <v>17</v>
      </c>
      <c r="E15843" s="33" t="s">
        <v>18</v>
      </c>
      <c r="F15843" s="33" t="s">
        <v>19</v>
      </c>
      <c r="G15843" s="33" t="s">
        <v>50</v>
      </c>
      <c r="H15843" s="35">
        <v>160</v>
      </c>
      <c r="I15843" s="33" t="s">
        <v>51</v>
      </c>
      <c r="J15843" s="42">
        <v>44927</v>
      </c>
      <c r="K15843" s="33" t="s">
        <v>22</v>
      </c>
    </row>
    <row r="15844" spans="1:11">
      <c r="A15844" s="30" t="s">
        <v>35589</v>
      </c>
      <c r="B15844" s="30" t="s">
        <v>35590</v>
      </c>
      <c r="C15844" s="30" t="s">
        <v>4233</v>
      </c>
      <c r="D15844" s="30" t="s">
        <v>17</v>
      </c>
      <c r="E15844" s="30" t="s">
        <v>31</v>
      </c>
      <c r="F15844" s="30" t="s">
        <v>32</v>
      </c>
      <c r="G15844" s="30" t="s">
        <v>140</v>
      </c>
      <c r="H15844" s="32">
        <v>41</v>
      </c>
      <c r="I15844" s="30" t="s">
        <v>51</v>
      </c>
      <c r="J15844" s="41">
        <v>45193</v>
      </c>
      <c r="K15844" s="30" t="s">
        <v>22</v>
      </c>
    </row>
    <row r="15845" spans="1:11">
      <c r="A15845" s="33" t="s">
        <v>35591</v>
      </c>
      <c r="B15845" s="33" t="s">
        <v>35592</v>
      </c>
      <c r="C15845" s="33" t="s">
        <v>35593</v>
      </c>
      <c r="D15845" s="33" t="s">
        <v>17</v>
      </c>
      <c r="E15845" s="33" t="s">
        <v>18</v>
      </c>
      <c r="F15845" s="33" t="s">
        <v>19</v>
      </c>
      <c r="G15845" s="33" t="s">
        <v>20</v>
      </c>
      <c r="H15845" s="35">
        <v>358</v>
      </c>
      <c r="I15845" s="33" t="s">
        <v>21</v>
      </c>
      <c r="J15845" s="42">
        <v>45189</v>
      </c>
      <c r="K15845" s="33" t="s">
        <v>22</v>
      </c>
    </row>
    <row r="15846" spans="1:11">
      <c r="A15846" s="30" t="s">
        <v>35594</v>
      </c>
      <c r="B15846" s="30" t="s">
        <v>35595</v>
      </c>
      <c r="C15846" s="30" t="s">
        <v>14483</v>
      </c>
      <c r="D15846" s="30" t="s">
        <v>17</v>
      </c>
      <c r="E15846" s="30" t="s">
        <v>26</v>
      </c>
      <c r="F15846" s="30" t="s">
        <v>27</v>
      </c>
      <c r="G15846" s="30" t="s">
        <v>20</v>
      </c>
      <c r="H15846" s="32">
        <v>48</v>
      </c>
      <c r="I15846" s="30" t="s">
        <v>21</v>
      </c>
      <c r="J15846" s="41">
        <v>45236</v>
      </c>
      <c r="K15846" s="30" t="s">
        <v>22</v>
      </c>
    </row>
    <row r="15847" spans="1:11">
      <c r="A15847" s="33" t="s">
        <v>35596</v>
      </c>
      <c r="B15847" s="33" t="s">
        <v>35597</v>
      </c>
      <c r="C15847" s="33" t="s">
        <v>549</v>
      </c>
      <c r="D15847" s="33" t="s">
        <v>17</v>
      </c>
      <c r="E15847" s="33" t="s">
        <v>18</v>
      </c>
      <c r="F15847" s="33" t="s">
        <v>19</v>
      </c>
      <c r="G15847" s="33" t="s">
        <v>20</v>
      </c>
      <c r="H15847" s="35">
        <v>133</v>
      </c>
      <c r="I15847" s="33" t="s">
        <v>21</v>
      </c>
      <c r="J15847" s="42">
        <v>45230</v>
      </c>
      <c r="K15847" s="33" t="s">
        <v>22</v>
      </c>
    </row>
    <row r="15848" spans="1:11">
      <c r="A15848" s="30" t="s">
        <v>35598</v>
      </c>
      <c r="B15848" s="30" t="s">
        <v>35599</v>
      </c>
      <c r="C15848" s="30" t="s">
        <v>8934</v>
      </c>
      <c r="D15848" s="30" t="s">
        <v>17</v>
      </c>
      <c r="E15848" s="30" t="s">
        <v>67</v>
      </c>
      <c r="F15848" s="30" t="s">
        <v>68</v>
      </c>
      <c r="G15848" s="30" t="s">
        <v>140</v>
      </c>
      <c r="H15848" s="32">
        <v>48</v>
      </c>
      <c r="I15848" s="30" t="s">
        <v>51</v>
      </c>
      <c r="J15848" s="41">
        <v>45047</v>
      </c>
      <c r="K15848" s="30" t="s">
        <v>22</v>
      </c>
    </row>
    <row r="15849" spans="1:11">
      <c r="A15849" s="33" t="s">
        <v>35600</v>
      </c>
      <c r="B15849" s="33" t="s">
        <v>35601</v>
      </c>
      <c r="C15849" s="33" t="s">
        <v>34377</v>
      </c>
      <c r="D15849" s="33" t="s">
        <v>17</v>
      </c>
      <c r="E15849" s="33" t="s">
        <v>26</v>
      </c>
      <c r="F15849" s="33" t="s">
        <v>27</v>
      </c>
      <c r="G15849" s="33" t="s">
        <v>50</v>
      </c>
      <c r="H15849" s="35">
        <v>70</v>
      </c>
      <c r="I15849" s="33" t="s">
        <v>21</v>
      </c>
      <c r="J15849" s="42">
        <v>45201</v>
      </c>
      <c r="K15849" s="33" t="s">
        <v>22</v>
      </c>
    </row>
    <row r="15850" spans="1:11">
      <c r="A15850" s="30" t="s">
        <v>35602</v>
      </c>
      <c r="B15850" s="30" t="s">
        <v>35603</v>
      </c>
      <c r="C15850" s="30" t="s">
        <v>136</v>
      </c>
      <c r="D15850" s="30" t="s">
        <v>17</v>
      </c>
      <c r="E15850" s="30" t="s">
        <v>26</v>
      </c>
      <c r="F15850" s="30" t="s">
        <v>27</v>
      </c>
      <c r="G15850" s="30" t="s">
        <v>20</v>
      </c>
      <c r="H15850" s="32">
        <v>48</v>
      </c>
      <c r="I15850" s="30" t="s">
        <v>21</v>
      </c>
      <c r="J15850" s="41">
        <v>45028</v>
      </c>
      <c r="K15850" s="30" t="s">
        <v>22</v>
      </c>
    </row>
    <row r="15851" spans="1:11">
      <c r="A15851" s="33" t="s">
        <v>35604</v>
      </c>
      <c r="B15851" s="33" t="s">
        <v>35605</v>
      </c>
      <c r="C15851" s="33" t="s">
        <v>20363</v>
      </c>
      <c r="D15851" s="33" t="s">
        <v>17</v>
      </c>
      <c r="E15851" s="33" t="s">
        <v>26</v>
      </c>
      <c r="F15851" s="33" t="s">
        <v>27</v>
      </c>
      <c r="G15851" s="33" t="s">
        <v>140</v>
      </c>
      <c r="H15851" s="35">
        <v>40</v>
      </c>
      <c r="I15851" s="33" t="s">
        <v>51</v>
      </c>
      <c r="J15851" s="42">
        <v>45252</v>
      </c>
      <c r="K15851" s="33" t="s">
        <v>22</v>
      </c>
    </row>
    <row r="15852" spans="1:11">
      <c r="A15852" s="30" t="s">
        <v>35606</v>
      </c>
      <c r="B15852" s="30" t="s">
        <v>35607</v>
      </c>
      <c r="C15852" s="30" t="s">
        <v>3258</v>
      </c>
      <c r="D15852" s="30" t="s">
        <v>17</v>
      </c>
      <c r="E15852" s="30" t="s">
        <v>18</v>
      </c>
      <c r="F15852" s="30" t="s">
        <v>19</v>
      </c>
      <c r="G15852" s="30" t="s">
        <v>20</v>
      </c>
      <c r="H15852" s="32">
        <v>512</v>
      </c>
      <c r="I15852" s="30" t="s">
        <v>21</v>
      </c>
      <c r="J15852" s="41">
        <v>45036</v>
      </c>
      <c r="K15852" s="30" t="s">
        <v>22</v>
      </c>
    </row>
    <row r="15853" spans="1:11">
      <c r="A15853" s="33" t="s">
        <v>35608</v>
      </c>
      <c r="B15853" s="33" t="s">
        <v>35609</v>
      </c>
      <c r="C15853" s="33" t="s">
        <v>25363</v>
      </c>
      <c r="D15853" s="33" t="s">
        <v>17</v>
      </c>
      <c r="E15853" s="33" t="s">
        <v>18</v>
      </c>
      <c r="F15853" s="33" t="s">
        <v>19</v>
      </c>
      <c r="G15853" s="33" t="s">
        <v>140</v>
      </c>
      <c r="H15853" s="35">
        <v>412</v>
      </c>
      <c r="I15853" s="33" t="s">
        <v>51</v>
      </c>
      <c r="J15853" s="42">
        <v>45288</v>
      </c>
      <c r="K15853" s="33" t="s">
        <v>22</v>
      </c>
    </row>
    <row r="15854" spans="1:11">
      <c r="A15854" s="30" t="s">
        <v>35610</v>
      </c>
      <c r="B15854" s="30" t="s">
        <v>35611</v>
      </c>
      <c r="C15854" s="30" t="s">
        <v>24020</v>
      </c>
      <c r="D15854" s="30" t="s">
        <v>17</v>
      </c>
      <c r="E15854" s="30" t="s">
        <v>18</v>
      </c>
      <c r="F15854" s="30" t="s">
        <v>19</v>
      </c>
      <c r="G15854" s="30" t="s">
        <v>158</v>
      </c>
      <c r="H15854" s="32">
        <v>200</v>
      </c>
      <c r="I15854" s="30" t="s">
        <v>51</v>
      </c>
      <c r="J15854" s="41">
        <v>45210</v>
      </c>
      <c r="K15854" s="30" t="s">
        <v>22</v>
      </c>
    </row>
    <row r="15855" spans="1:11">
      <c r="A15855" s="33" t="s">
        <v>35612</v>
      </c>
      <c r="B15855" s="33" t="s">
        <v>35613</v>
      </c>
      <c r="C15855" s="33" t="s">
        <v>6470</v>
      </c>
      <c r="D15855" s="33" t="s">
        <v>17</v>
      </c>
      <c r="E15855" s="33" t="s">
        <v>18</v>
      </c>
      <c r="F15855" s="33" t="s">
        <v>19</v>
      </c>
      <c r="G15855" s="33" t="s">
        <v>140</v>
      </c>
      <c r="H15855" s="35">
        <v>1000</v>
      </c>
      <c r="I15855" s="33" t="s">
        <v>51</v>
      </c>
      <c r="J15855" s="42">
        <v>45118</v>
      </c>
      <c r="K15855" s="33" t="s">
        <v>22</v>
      </c>
    </row>
    <row r="15856" spans="1:11">
      <c r="A15856" s="30" t="s">
        <v>35614</v>
      </c>
      <c r="B15856" s="30" t="s">
        <v>35615</v>
      </c>
      <c r="C15856" s="30" t="s">
        <v>35616</v>
      </c>
      <c r="D15856" s="30" t="s">
        <v>17</v>
      </c>
      <c r="E15856" s="30" t="s">
        <v>212</v>
      </c>
      <c r="F15856" s="30" t="s">
        <v>213</v>
      </c>
      <c r="G15856" s="30" t="s">
        <v>20</v>
      </c>
      <c r="H15856" s="32">
        <v>5</v>
      </c>
      <c r="I15856" s="30" t="s">
        <v>21</v>
      </c>
      <c r="J15856" s="41">
        <v>45041</v>
      </c>
      <c r="K15856" s="30" t="s">
        <v>22</v>
      </c>
    </row>
    <row r="15857" spans="1:11">
      <c r="A15857" s="33" t="s">
        <v>35617</v>
      </c>
      <c r="B15857" s="33" t="s">
        <v>35618</v>
      </c>
      <c r="C15857" s="33" t="s">
        <v>31108</v>
      </c>
      <c r="D15857" s="33" t="s">
        <v>17</v>
      </c>
      <c r="E15857" s="33" t="s">
        <v>67</v>
      </c>
      <c r="F15857" s="33" t="s">
        <v>68</v>
      </c>
      <c r="G15857" s="33" t="s">
        <v>50</v>
      </c>
      <c r="H15857" s="35">
        <v>112</v>
      </c>
      <c r="I15857" s="33" t="s">
        <v>51</v>
      </c>
      <c r="J15857" s="42">
        <v>45229</v>
      </c>
      <c r="K15857" s="33" t="s">
        <v>22</v>
      </c>
    </row>
    <row r="15858" spans="1:11">
      <c r="A15858" s="30" t="s">
        <v>35619</v>
      </c>
      <c r="B15858" s="30" t="s">
        <v>35620</v>
      </c>
      <c r="C15858" s="30" t="s">
        <v>29544</v>
      </c>
      <c r="D15858" s="30" t="s">
        <v>17</v>
      </c>
      <c r="E15858" s="30" t="s">
        <v>26</v>
      </c>
      <c r="F15858" s="30" t="s">
        <v>27</v>
      </c>
      <c r="G15858" s="30" t="s">
        <v>50</v>
      </c>
      <c r="H15858" s="32">
        <v>60</v>
      </c>
      <c r="I15858" s="30" t="s">
        <v>51</v>
      </c>
      <c r="J15858" s="41">
        <v>45078</v>
      </c>
      <c r="K15858" s="30" t="s">
        <v>22</v>
      </c>
    </row>
    <row r="15859" spans="1:11">
      <c r="A15859" s="33" t="s">
        <v>35621</v>
      </c>
      <c r="B15859" s="33" t="s">
        <v>35622</v>
      </c>
      <c r="C15859" s="33" t="s">
        <v>35623</v>
      </c>
      <c r="D15859" s="33" t="s">
        <v>17</v>
      </c>
      <c r="E15859" s="33" t="s">
        <v>18</v>
      </c>
      <c r="F15859" s="33" t="s">
        <v>19</v>
      </c>
      <c r="G15859" s="33" t="s">
        <v>50</v>
      </c>
      <c r="H15859" s="35">
        <v>4100</v>
      </c>
      <c r="I15859" s="33" t="s">
        <v>51</v>
      </c>
      <c r="J15859" s="42">
        <v>45170</v>
      </c>
      <c r="K15859" s="33" t="s">
        <v>22</v>
      </c>
    </row>
    <row r="15860" spans="1:11">
      <c r="A15860" s="30" t="s">
        <v>35624</v>
      </c>
      <c r="B15860" s="30" t="s">
        <v>35625</v>
      </c>
      <c r="C15860" s="30" t="s">
        <v>136</v>
      </c>
      <c r="D15860" s="30" t="s">
        <v>17</v>
      </c>
      <c r="E15860" s="30" t="s">
        <v>26</v>
      </c>
      <c r="F15860" s="30" t="s">
        <v>27</v>
      </c>
      <c r="G15860" s="30" t="s">
        <v>20</v>
      </c>
      <c r="H15860" s="32">
        <v>56</v>
      </c>
      <c r="I15860" s="30" t="s">
        <v>21</v>
      </c>
      <c r="J15860" s="41">
        <v>45267</v>
      </c>
      <c r="K15860" s="30" t="s">
        <v>22</v>
      </c>
    </row>
    <row r="15861" spans="1:11">
      <c r="A15861" s="33" t="s">
        <v>35626</v>
      </c>
      <c r="B15861" s="33" t="s">
        <v>35627</v>
      </c>
      <c r="C15861" s="33" t="s">
        <v>22597</v>
      </c>
      <c r="D15861" s="33" t="s">
        <v>17</v>
      </c>
      <c r="E15861" s="33" t="s">
        <v>31</v>
      </c>
      <c r="F15861" s="33" t="s">
        <v>32</v>
      </c>
      <c r="G15861" s="33" t="s">
        <v>106</v>
      </c>
      <c r="H15861" s="35">
        <v>36</v>
      </c>
      <c r="I15861" s="33" t="s">
        <v>21</v>
      </c>
      <c r="J15861" s="42">
        <v>45091</v>
      </c>
      <c r="K15861" s="33" t="s">
        <v>22</v>
      </c>
    </row>
    <row r="15862" spans="1:11">
      <c r="A15862" s="30" t="s">
        <v>35628</v>
      </c>
      <c r="B15862" s="30" t="s">
        <v>35629</v>
      </c>
      <c r="C15862" s="30" t="s">
        <v>187</v>
      </c>
      <c r="D15862" s="30" t="s">
        <v>17</v>
      </c>
      <c r="E15862" s="30" t="s">
        <v>26</v>
      </c>
      <c r="F15862" s="30" t="s">
        <v>27</v>
      </c>
      <c r="G15862" s="30" t="s">
        <v>20</v>
      </c>
      <c r="H15862" s="32">
        <v>24</v>
      </c>
      <c r="I15862" s="30" t="s">
        <v>21</v>
      </c>
      <c r="J15862" s="41">
        <v>45230</v>
      </c>
      <c r="K15862" s="30" t="s">
        <v>22</v>
      </c>
    </row>
    <row r="15863" spans="1:11">
      <c r="A15863" s="33" t="s">
        <v>35630</v>
      </c>
      <c r="B15863" s="33" t="s">
        <v>35631</v>
      </c>
      <c r="C15863" s="33" t="s">
        <v>136</v>
      </c>
      <c r="D15863" s="33" t="s">
        <v>17</v>
      </c>
      <c r="E15863" s="33" t="s">
        <v>18</v>
      </c>
      <c r="F15863" s="33" t="s">
        <v>19</v>
      </c>
      <c r="G15863" s="33" t="s">
        <v>158</v>
      </c>
      <c r="H15863" s="35">
        <v>1000</v>
      </c>
      <c r="I15863" s="33" t="s">
        <v>51</v>
      </c>
      <c r="J15863" s="42">
        <v>45118</v>
      </c>
      <c r="K15863" s="33" t="s">
        <v>22</v>
      </c>
    </row>
    <row r="15864" spans="1:11">
      <c r="A15864" s="30" t="s">
        <v>35632</v>
      </c>
      <c r="B15864" s="30" t="s">
        <v>35633</v>
      </c>
      <c r="C15864" s="30" t="s">
        <v>701</v>
      </c>
      <c r="D15864" s="30" t="s">
        <v>17</v>
      </c>
      <c r="E15864" s="30" t="s">
        <v>26</v>
      </c>
      <c r="F15864" s="30" t="s">
        <v>27</v>
      </c>
      <c r="G15864" s="30" t="s">
        <v>50</v>
      </c>
      <c r="H15864" s="32">
        <v>100</v>
      </c>
      <c r="I15864" s="30" t="s">
        <v>51</v>
      </c>
      <c r="J15864" s="41">
        <v>45170</v>
      </c>
      <c r="K15864" s="30" t="s">
        <v>22</v>
      </c>
    </row>
    <row r="15865" spans="1:11">
      <c r="A15865" s="33" t="s">
        <v>35634</v>
      </c>
      <c r="B15865" s="33" t="s">
        <v>35635</v>
      </c>
      <c r="C15865" s="33" t="s">
        <v>22530</v>
      </c>
      <c r="D15865" s="33" t="s">
        <v>17</v>
      </c>
      <c r="E15865" s="33" t="s">
        <v>31</v>
      </c>
      <c r="F15865" s="33" t="s">
        <v>32</v>
      </c>
      <c r="G15865" s="33" t="s">
        <v>2613</v>
      </c>
      <c r="H15865" s="35">
        <v>132</v>
      </c>
      <c r="I15865" s="33" t="s">
        <v>51</v>
      </c>
      <c r="J15865" s="42">
        <v>45224</v>
      </c>
      <c r="K15865" s="33" t="s">
        <v>22</v>
      </c>
    </row>
    <row r="15866" spans="1:11">
      <c r="A15866" s="30" t="s">
        <v>35636</v>
      </c>
      <c r="B15866" s="30" t="s">
        <v>35637</v>
      </c>
      <c r="C15866" s="30" t="s">
        <v>2988</v>
      </c>
      <c r="D15866" s="30" t="s">
        <v>17</v>
      </c>
      <c r="E15866" s="30" t="s">
        <v>67</v>
      </c>
      <c r="F15866" s="30" t="s">
        <v>68</v>
      </c>
      <c r="G15866" s="30" t="s">
        <v>140</v>
      </c>
      <c r="H15866" s="32">
        <v>200</v>
      </c>
      <c r="I15866" s="30" t="s">
        <v>51</v>
      </c>
      <c r="J15866" s="41">
        <v>45217</v>
      </c>
      <c r="K15866" s="30" t="s">
        <v>22</v>
      </c>
    </row>
    <row r="15867" spans="1:11">
      <c r="A15867" s="33" t="s">
        <v>35638</v>
      </c>
      <c r="B15867" s="33" t="s">
        <v>35639</v>
      </c>
      <c r="C15867" s="33" t="s">
        <v>969</v>
      </c>
      <c r="D15867" s="33" t="s">
        <v>17</v>
      </c>
      <c r="E15867" s="33" t="s">
        <v>31</v>
      </c>
      <c r="F15867" s="33" t="s">
        <v>32</v>
      </c>
      <c r="G15867" s="33" t="s">
        <v>158</v>
      </c>
      <c r="H15867" s="35">
        <v>284</v>
      </c>
      <c r="I15867" s="33" t="s">
        <v>21</v>
      </c>
      <c r="J15867" s="42">
        <v>44928</v>
      </c>
      <c r="K15867" s="33" t="s">
        <v>22</v>
      </c>
    </row>
    <row r="15868" spans="1:11">
      <c r="A15868" s="30" t="s">
        <v>35640</v>
      </c>
      <c r="B15868" s="30" t="s">
        <v>35641</v>
      </c>
      <c r="C15868" s="30" t="s">
        <v>96</v>
      </c>
      <c r="D15868" s="30" t="s">
        <v>17</v>
      </c>
      <c r="E15868" s="30" t="s">
        <v>212</v>
      </c>
      <c r="F15868" s="30" t="s">
        <v>213</v>
      </c>
      <c r="G15868" s="30" t="s">
        <v>20</v>
      </c>
      <c r="H15868" s="32">
        <v>44</v>
      </c>
      <c r="I15868" s="30" t="s">
        <v>21</v>
      </c>
      <c r="J15868" s="41">
        <v>44981</v>
      </c>
      <c r="K15868" s="30" t="s">
        <v>22</v>
      </c>
    </row>
    <row r="15869" spans="1:11">
      <c r="A15869" s="33" t="s">
        <v>35642</v>
      </c>
      <c r="B15869" s="33" t="s">
        <v>35643</v>
      </c>
      <c r="C15869" s="33" t="s">
        <v>310</v>
      </c>
      <c r="D15869" s="33" t="s">
        <v>17</v>
      </c>
      <c r="E15869" s="33" t="s">
        <v>26</v>
      </c>
      <c r="F15869" s="33" t="s">
        <v>27</v>
      </c>
      <c r="G15869" s="33" t="s">
        <v>20</v>
      </c>
      <c r="H15869" s="35">
        <v>20</v>
      </c>
      <c r="I15869" s="33" t="s">
        <v>21</v>
      </c>
      <c r="J15869" s="42">
        <v>44943</v>
      </c>
      <c r="K15869" s="33" t="s">
        <v>22</v>
      </c>
    </row>
    <row r="15870" spans="1:11">
      <c r="A15870" s="30" t="s">
        <v>35644</v>
      </c>
      <c r="B15870" s="30" t="s">
        <v>35645</v>
      </c>
      <c r="C15870" s="30" t="s">
        <v>10699</v>
      </c>
      <c r="D15870" s="30" t="s">
        <v>17</v>
      </c>
      <c r="E15870" s="30" t="s">
        <v>26</v>
      </c>
      <c r="F15870" s="30" t="s">
        <v>27</v>
      </c>
      <c r="G15870" s="30" t="s">
        <v>50</v>
      </c>
      <c r="H15870" s="32">
        <v>50</v>
      </c>
      <c r="I15870" s="30" t="s">
        <v>51</v>
      </c>
      <c r="J15870" s="41">
        <v>45101</v>
      </c>
      <c r="K15870" s="30" t="s">
        <v>22</v>
      </c>
    </row>
    <row r="15871" spans="1:11">
      <c r="A15871" s="33" t="s">
        <v>35646</v>
      </c>
      <c r="B15871" s="33" t="s">
        <v>35647</v>
      </c>
      <c r="C15871" s="33" t="s">
        <v>35648</v>
      </c>
      <c r="D15871" s="33" t="s">
        <v>17</v>
      </c>
      <c r="E15871" s="33" t="s">
        <v>26</v>
      </c>
      <c r="F15871" s="33" t="s">
        <v>27</v>
      </c>
      <c r="G15871" s="33" t="s">
        <v>140</v>
      </c>
      <c r="H15871" s="35">
        <v>120</v>
      </c>
      <c r="I15871" s="33" t="s">
        <v>51</v>
      </c>
      <c r="J15871" s="42">
        <v>45139</v>
      </c>
      <c r="K15871" s="33" t="s">
        <v>22</v>
      </c>
    </row>
    <row r="15872" spans="1:11">
      <c r="A15872" s="30" t="s">
        <v>35649</v>
      </c>
      <c r="B15872" s="30" t="s">
        <v>35650</v>
      </c>
      <c r="C15872" s="30" t="s">
        <v>63</v>
      </c>
      <c r="D15872" s="30" t="s">
        <v>17</v>
      </c>
      <c r="E15872" s="30" t="s">
        <v>26</v>
      </c>
      <c r="F15872" s="30" t="s">
        <v>27</v>
      </c>
      <c r="G15872" s="30" t="s">
        <v>20</v>
      </c>
      <c r="H15872" s="32">
        <v>37</v>
      </c>
      <c r="I15872" s="30" t="s">
        <v>21</v>
      </c>
      <c r="J15872" s="41">
        <v>45078</v>
      </c>
      <c r="K15872" s="30" t="s">
        <v>22</v>
      </c>
    </row>
    <row r="15873" spans="1:11">
      <c r="A15873" s="33" t="s">
        <v>35651</v>
      </c>
      <c r="B15873" s="33" t="s">
        <v>35652</v>
      </c>
      <c r="C15873" s="33" t="s">
        <v>647</v>
      </c>
      <c r="D15873" s="33" t="s">
        <v>17</v>
      </c>
      <c r="E15873" s="33" t="s">
        <v>26</v>
      </c>
      <c r="F15873" s="33" t="s">
        <v>27</v>
      </c>
      <c r="G15873" s="33" t="s">
        <v>20</v>
      </c>
      <c r="H15873" s="35">
        <v>16</v>
      </c>
      <c r="I15873" s="33" t="s">
        <v>21</v>
      </c>
      <c r="J15873" s="42">
        <v>45216</v>
      </c>
      <c r="K15873" s="33" t="s">
        <v>22</v>
      </c>
    </row>
    <row r="15874" spans="1:11">
      <c r="A15874" s="30" t="s">
        <v>35653</v>
      </c>
      <c r="B15874" s="30" t="s">
        <v>35654</v>
      </c>
      <c r="C15874" s="30" t="s">
        <v>644</v>
      </c>
      <c r="D15874" s="30" t="s">
        <v>17</v>
      </c>
      <c r="E15874" s="30" t="s">
        <v>18</v>
      </c>
      <c r="F15874" s="30" t="s">
        <v>19</v>
      </c>
      <c r="G15874" s="30" t="s">
        <v>158</v>
      </c>
      <c r="H15874" s="32">
        <v>318</v>
      </c>
      <c r="I15874" s="30" t="s">
        <v>21</v>
      </c>
      <c r="J15874" s="41">
        <v>45044</v>
      </c>
      <c r="K15874" s="30" t="s">
        <v>22</v>
      </c>
    </row>
    <row r="15875" spans="1:11">
      <c r="A15875" s="33" t="s">
        <v>35655</v>
      </c>
      <c r="B15875" s="33" t="s">
        <v>35656</v>
      </c>
      <c r="C15875" s="33" t="s">
        <v>936</v>
      </c>
      <c r="D15875" s="33" t="s">
        <v>17</v>
      </c>
      <c r="E15875" s="33" t="s">
        <v>26</v>
      </c>
      <c r="F15875" s="33" t="s">
        <v>27</v>
      </c>
      <c r="G15875" s="33" t="s">
        <v>20</v>
      </c>
      <c r="H15875" s="35">
        <v>24</v>
      </c>
      <c r="I15875" s="33" t="s">
        <v>21</v>
      </c>
      <c r="J15875" s="42">
        <v>44952</v>
      </c>
      <c r="K15875" s="33" t="s">
        <v>22</v>
      </c>
    </row>
    <row r="15876" spans="1:11">
      <c r="A15876" s="30" t="s">
        <v>35657</v>
      </c>
      <c r="B15876" s="30" t="s">
        <v>35658</v>
      </c>
      <c r="C15876" s="30" t="s">
        <v>587</v>
      </c>
      <c r="D15876" s="30" t="s">
        <v>17</v>
      </c>
      <c r="E15876" s="30" t="s">
        <v>18</v>
      </c>
      <c r="F15876" s="30" t="s">
        <v>19</v>
      </c>
      <c r="G15876" s="30" t="s">
        <v>140</v>
      </c>
      <c r="H15876" s="32">
        <v>365</v>
      </c>
      <c r="I15876" s="30" t="s">
        <v>51</v>
      </c>
      <c r="J15876" s="41">
        <v>45082</v>
      </c>
      <c r="K15876" s="30" t="s">
        <v>22</v>
      </c>
    </row>
    <row r="15877" spans="1:11">
      <c r="A15877" s="33" t="s">
        <v>35659</v>
      </c>
      <c r="B15877" s="33" t="s">
        <v>35660</v>
      </c>
      <c r="C15877" s="33" t="s">
        <v>1090</v>
      </c>
      <c r="D15877" s="33" t="s">
        <v>17</v>
      </c>
      <c r="E15877" s="33" t="s">
        <v>31</v>
      </c>
      <c r="F15877" s="33" t="s">
        <v>32</v>
      </c>
      <c r="G15877" s="33" t="s">
        <v>50</v>
      </c>
      <c r="H15877" s="35">
        <v>104</v>
      </c>
      <c r="I15877" s="33" t="s">
        <v>51</v>
      </c>
      <c r="J15877" s="42">
        <v>45117</v>
      </c>
      <c r="K15877" s="33" t="s">
        <v>22</v>
      </c>
    </row>
    <row r="15878" spans="1:11">
      <c r="A15878" s="30" t="s">
        <v>35661</v>
      </c>
      <c r="B15878" s="30" t="s">
        <v>35662</v>
      </c>
      <c r="C15878" s="30" t="s">
        <v>19745</v>
      </c>
      <c r="D15878" s="30" t="s">
        <v>17</v>
      </c>
      <c r="E15878" s="30" t="s">
        <v>67</v>
      </c>
      <c r="F15878" s="30" t="s">
        <v>68</v>
      </c>
      <c r="G15878" s="30" t="s">
        <v>106</v>
      </c>
      <c r="H15878" s="32">
        <v>38</v>
      </c>
      <c r="I15878" s="30" t="s">
        <v>21</v>
      </c>
      <c r="J15878" s="41">
        <v>45271</v>
      </c>
      <c r="K15878" s="30" t="s">
        <v>22</v>
      </c>
    </row>
    <row r="15879" spans="1:11">
      <c r="A15879" s="33" t="s">
        <v>35663</v>
      </c>
      <c r="B15879" s="33" t="s">
        <v>35664</v>
      </c>
      <c r="C15879" s="33" t="s">
        <v>14816</v>
      </c>
      <c r="D15879" s="33" t="s">
        <v>17</v>
      </c>
      <c r="E15879" s="33" t="s">
        <v>26</v>
      </c>
      <c r="F15879" s="33" t="s">
        <v>27</v>
      </c>
      <c r="G15879" s="33" t="s">
        <v>20</v>
      </c>
      <c r="H15879" s="35">
        <v>40</v>
      </c>
      <c r="I15879" s="33" t="s">
        <v>21</v>
      </c>
      <c r="J15879" s="42">
        <v>44957</v>
      </c>
      <c r="K15879" s="33" t="s">
        <v>22</v>
      </c>
    </row>
    <row r="15880" spans="1:11">
      <c r="A15880" s="30" t="s">
        <v>35665</v>
      </c>
      <c r="B15880" s="30" t="s">
        <v>35666</v>
      </c>
      <c r="C15880" s="30" t="s">
        <v>3114</v>
      </c>
      <c r="D15880" s="30" t="s">
        <v>17</v>
      </c>
      <c r="E15880" s="30" t="s">
        <v>26</v>
      </c>
      <c r="F15880" s="30" t="s">
        <v>27</v>
      </c>
      <c r="G15880" s="30" t="s">
        <v>140</v>
      </c>
      <c r="H15880" s="32">
        <v>9</v>
      </c>
      <c r="I15880" s="30" t="s">
        <v>51</v>
      </c>
      <c r="J15880" s="41">
        <v>45153</v>
      </c>
      <c r="K15880" s="30" t="s">
        <v>22</v>
      </c>
    </row>
    <row r="15881" spans="1:11">
      <c r="A15881" s="33" t="s">
        <v>35667</v>
      </c>
      <c r="B15881" s="33" t="s">
        <v>35668</v>
      </c>
      <c r="C15881" s="33" t="s">
        <v>178</v>
      </c>
      <c r="D15881" s="33" t="s">
        <v>17</v>
      </c>
      <c r="E15881" s="33" t="s">
        <v>31</v>
      </c>
      <c r="F15881" s="33" t="s">
        <v>32</v>
      </c>
      <c r="G15881" s="33" t="s">
        <v>158</v>
      </c>
      <c r="H15881" s="35">
        <v>13</v>
      </c>
      <c r="I15881" s="33" t="s">
        <v>21</v>
      </c>
      <c r="J15881" s="42">
        <v>45259</v>
      </c>
      <c r="K15881" s="33" t="s">
        <v>22</v>
      </c>
    </row>
    <row r="15882" spans="1:11">
      <c r="A15882" s="30" t="s">
        <v>35669</v>
      </c>
      <c r="B15882" s="30" t="s">
        <v>35670</v>
      </c>
      <c r="C15882" s="30" t="s">
        <v>510</v>
      </c>
      <c r="D15882" s="30" t="s">
        <v>17</v>
      </c>
      <c r="E15882" s="30" t="s">
        <v>31</v>
      </c>
      <c r="F15882" s="30" t="s">
        <v>32</v>
      </c>
      <c r="G15882" s="30" t="s">
        <v>20</v>
      </c>
      <c r="H15882" s="32">
        <v>53</v>
      </c>
      <c r="I15882" s="30" t="s">
        <v>21</v>
      </c>
      <c r="J15882" s="41">
        <v>45096</v>
      </c>
      <c r="K15882" s="30" t="s">
        <v>22</v>
      </c>
    </row>
    <row r="15883" spans="1:11">
      <c r="A15883" s="33" t="s">
        <v>35671</v>
      </c>
      <c r="B15883" s="33" t="s">
        <v>35672</v>
      </c>
      <c r="C15883" s="33" t="s">
        <v>252</v>
      </c>
      <c r="D15883" s="33" t="s">
        <v>17</v>
      </c>
      <c r="E15883" s="33" t="s">
        <v>31</v>
      </c>
      <c r="F15883" s="33" t="s">
        <v>32</v>
      </c>
      <c r="G15883" s="33" t="s">
        <v>20</v>
      </c>
      <c r="H15883" s="35">
        <v>14</v>
      </c>
      <c r="I15883" s="33" t="s">
        <v>21</v>
      </c>
      <c r="J15883" s="42">
        <v>44967</v>
      </c>
      <c r="K15883" s="33" t="s">
        <v>22</v>
      </c>
    </row>
    <row r="15884" spans="1:11">
      <c r="A15884" s="30" t="s">
        <v>35673</v>
      </c>
      <c r="B15884" s="30" t="s">
        <v>35674</v>
      </c>
      <c r="C15884" s="30" t="s">
        <v>1598</v>
      </c>
      <c r="D15884" s="30" t="s">
        <v>17</v>
      </c>
      <c r="E15884" s="30" t="s">
        <v>26</v>
      </c>
      <c r="F15884" s="30" t="s">
        <v>27</v>
      </c>
      <c r="G15884" s="30" t="s">
        <v>20</v>
      </c>
      <c r="H15884" s="32">
        <v>17</v>
      </c>
      <c r="I15884" s="30" t="s">
        <v>21</v>
      </c>
      <c r="J15884" s="41">
        <v>44984</v>
      </c>
      <c r="K15884" s="30" t="s">
        <v>22</v>
      </c>
    </row>
    <row r="15885" spans="1:11">
      <c r="A15885" s="33" t="s">
        <v>35675</v>
      </c>
      <c r="B15885" s="33" t="s">
        <v>35676</v>
      </c>
      <c r="C15885" s="33" t="s">
        <v>25007</v>
      </c>
      <c r="D15885" s="33" t="s">
        <v>17</v>
      </c>
      <c r="E15885" s="33" t="s">
        <v>31</v>
      </c>
      <c r="F15885" s="33" t="s">
        <v>32</v>
      </c>
      <c r="G15885" s="33" t="s">
        <v>140</v>
      </c>
      <c r="H15885" s="35">
        <v>70</v>
      </c>
      <c r="I15885" s="33" t="s">
        <v>51</v>
      </c>
      <c r="J15885" s="42">
        <v>45100</v>
      </c>
      <c r="K15885" s="33" t="s">
        <v>22</v>
      </c>
    </row>
    <row r="15886" spans="1:11">
      <c r="A15886" s="30" t="s">
        <v>35677</v>
      </c>
      <c r="B15886" s="30" t="s">
        <v>35678</v>
      </c>
      <c r="C15886" s="30" t="s">
        <v>93</v>
      </c>
      <c r="D15886" s="30" t="s">
        <v>17</v>
      </c>
      <c r="E15886" s="30" t="s">
        <v>18</v>
      </c>
      <c r="F15886" s="30" t="s">
        <v>19</v>
      </c>
      <c r="G15886" s="30" t="s">
        <v>140</v>
      </c>
      <c r="H15886" s="32">
        <v>110</v>
      </c>
      <c r="I15886" s="30" t="s">
        <v>51</v>
      </c>
      <c r="J15886" s="41">
        <v>45271</v>
      </c>
      <c r="K15886" s="30" t="s">
        <v>22</v>
      </c>
    </row>
    <row r="15887" spans="1:11">
      <c r="A15887" s="33" t="s">
        <v>35679</v>
      </c>
      <c r="B15887" s="33" t="s">
        <v>35680</v>
      </c>
      <c r="C15887" s="33" t="s">
        <v>644</v>
      </c>
      <c r="D15887" s="33" t="s">
        <v>17</v>
      </c>
      <c r="E15887" s="33" t="s">
        <v>45</v>
      </c>
      <c r="F15887" s="33" t="s">
        <v>46</v>
      </c>
      <c r="G15887" s="33" t="s">
        <v>158</v>
      </c>
      <c r="H15887" s="35">
        <v>201</v>
      </c>
      <c r="I15887" s="33" t="s">
        <v>51</v>
      </c>
      <c r="J15887" s="42">
        <v>45142</v>
      </c>
      <c r="K15887" s="33" t="s">
        <v>22</v>
      </c>
    </row>
    <row r="15888" spans="1:11">
      <c r="A15888" s="30" t="s">
        <v>35681</v>
      </c>
      <c r="B15888" s="30" t="s">
        <v>35682</v>
      </c>
      <c r="C15888" s="30" t="s">
        <v>1210</v>
      </c>
      <c r="D15888" s="30" t="s">
        <v>17</v>
      </c>
      <c r="E15888" s="30" t="s">
        <v>31</v>
      </c>
      <c r="F15888" s="30" t="s">
        <v>32</v>
      </c>
      <c r="G15888" s="30" t="s">
        <v>20</v>
      </c>
      <c r="H15888" s="32">
        <v>210</v>
      </c>
      <c r="I15888" s="30" t="s">
        <v>21</v>
      </c>
      <c r="J15888" s="41">
        <v>45169</v>
      </c>
      <c r="K15888" s="30" t="s">
        <v>22</v>
      </c>
    </row>
    <row r="15889" spans="1:11">
      <c r="A15889" s="33" t="s">
        <v>35683</v>
      </c>
      <c r="B15889" s="33" t="s">
        <v>35684</v>
      </c>
      <c r="C15889" s="33" t="s">
        <v>12688</v>
      </c>
      <c r="D15889" s="33" t="s">
        <v>17</v>
      </c>
      <c r="E15889" s="33" t="s">
        <v>67</v>
      </c>
      <c r="F15889" s="33" t="s">
        <v>68</v>
      </c>
      <c r="G15889" s="33" t="s">
        <v>158</v>
      </c>
      <c r="H15889" s="35">
        <v>251</v>
      </c>
      <c r="I15889" s="33" t="s">
        <v>51</v>
      </c>
      <c r="J15889" s="42">
        <v>45266</v>
      </c>
      <c r="K15889" s="33" t="s">
        <v>22</v>
      </c>
    </row>
    <row r="15890" spans="1:11">
      <c r="A15890" s="30" t="s">
        <v>35685</v>
      </c>
      <c r="B15890" s="30" t="s">
        <v>35686</v>
      </c>
      <c r="C15890" s="30" t="s">
        <v>96</v>
      </c>
      <c r="D15890" s="30" t="s">
        <v>17</v>
      </c>
      <c r="E15890" s="30" t="s">
        <v>26</v>
      </c>
      <c r="F15890" s="30" t="s">
        <v>27</v>
      </c>
      <c r="G15890" s="30" t="s">
        <v>20</v>
      </c>
      <c r="H15890" s="32">
        <v>43</v>
      </c>
      <c r="I15890" s="30" t="s">
        <v>21</v>
      </c>
      <c r="J15890" s="41">
        <v>45061</v>
      </c>
      <c r="K15890" s="30" t="s">
        <v>22</v>
      </c>
    </row>
    <row r="15891" spans="1:11">
      <c r="A15891" s="33" t="s">
        <v>35687</v>
      </c>
      <c r="B15891" s="33" t="s">
        <v>35688</v>
      </c>
      <c r="C15891" s="33" t="s">
        <v>17076</v>
      </c>
      <c r="D15891" s="33" t="s">
        <v>17</v>
      </c>
      <c r="E15891" s="33" t="s">
        <v>67</v>
      </c>
      <c r="F15891" s="33" t="s">
        <v>68</v>
      </c>
      <c r="G15891" s="33" t="s">
        <v>20</v>
      </c>
      <c r="H15891" s="35">
        <v>24</v>
      </c>
      <c r="I15891" s="33" t="s">
        <v>21</v>
      </c>
      <c r="J15891" s="42">
        <v>45211</v>
      </c>
      <c r="K15891" s="33" t="s">
        <v>22</v>
      </c>
    </row>
    <row r="15892" spans="1:11">
      <c r="A15892" s="30" t="s">
        <v>35689</v>
      </c>
      <c r="B15892" s="30" t="s">
        <v>35690</v>
      </c>
      <c r="C15892" s="30" t="s">
        <v>252</v>
      </c>
      <c r="D15892" s="30" t="s">
        <v>17</v>
      </c>
      <c r="E15892" s="30" t="s">
        <v>31</v>
      </c>
      <c r="F15892" s="30" t="s">
        <v>32</v>
      </c>
      <c r="G15892" s="30" t="s">
        <v>20</v>
      </c>
      <c r="H15892" s="32">
        <v>28</v>
      </c>
      <c r="I15892" s="30" t="s">
        <v>21</v>
      </c>
      <c r="J15892" s="41">
        <v>45113</v>
      </c>
      <c r="K15892" s="30" t="s">
        <v>22</v>
      </c>
    </row>
    <row r="15893" spans="1:11">
      <c r="A15893" s="33" t="s">
        <v>35691</v>
      </c>
      <c r="B15893" s="33" t="s">
        <v>35692</v>
      </c>
      <c r="C15893" s="33" t="s">
        <v>27527</v>
      </c>
      <c r="D15893" s="33" t="s">
        <v>17</v>
      </c>
      <c r="E15893" s="33" t="s">
        <v>330</v>
      </c>
      <c r="F15893" s="33" t="s">
        <v>331</v>
      </c>
      <c r="G15893" s="33" t="s">
        <v>50</v>
      </c>
      <c r="H15893" s="35">
        <v>20</v>
      </c>
      <c r="I15893" s="33" t="s">
        <v>51</v>
      </c>
      <c r="J15893" s="42">
        <v>44963</v>
      </c>
      <c r="K15893" s="33" t="s">
        <v>22</v>
      </c>
    </row>
    <row r="15894" spans="1:11">
      <c r="A15894" s="30" t="s">
        <v>35693</v>
      </c>
      <c r="B15894" s="30" t="s">
        <v>35694</v>
      </c>
      <c r="C15894" s="30" t="s">
        <v>8653</v>
      </c>
      <c r="D15894" s="30" t="s">
        <v>17</v>
      </c>
      <c r="E15894" s="30" t="s">
        <v>26</v>
      </c>
      <c r="F15894" s="30" t="s">
        <v>27</v>
      </c>
      <c r="G15894" s="30" t="s">
        <v>20</v>
      </c>
      <c r="H15894" s="32">
        <v>24</v>
      </c>
      <c r="I15894" s="30" t="s">
        <v>21</v>
      </c>
      <c r="J15894" s="41">
        <v>45014</v>
      </c>
      <c r="K15894" s="30" t="s">
        <v>22</v>
      </c>
    </row>
    <row r="15895" spans="1:11">
      <c r="A15895" s="33" t="s">
        <v>35695</v>
      </c>
      <c r="B15895" s="33" t="s">
        <v>35696</v>
      </c>
      <c r="C15895" s="33" t="s">
        <v>96</v>
      </c>
      <c r="D15895" s="33" t="s">
        <v>17</v>
      </c>
      <c r="E15895" s="33" t="s">
        <v>26</v>
      </c>
      <c r="F15895" s="33" t="s">
        <v>27</v>
      </c>
      <c r="G15895" s="33" t="s">
        <v>20</v>
      </c>
      <c r="H15895" s="35">
        <v>16</v>
      </c>
      <c r="I15895" s="33" t="s">
        <v>21</v>
      </c>
      <c r="J15895" s="42">
        <v>44979</v>
      </c>
      <c r="K15895" s="33" t="s">
        <v>22</v>
      </c>
    </row>
    <row r="15896" spans="1:11">
      <c r="A15896" s="30" t="s">
        <v>35697</v>
      </c>
      <c r="B15896" s="30" t="s">
        <v>35698</v>
      </c>
      <c r="C15896" s="30" t="s">
        <v>480</v>
      </c>
      <c r="D15896" s="30" t="s">
        <v>17</v>
      </c>
      <c r="E15896" s="30" t="s">
        <v>18</v>
      </c>
      <c r="F15896" s="30" t="s">
        <v>19</v>
      </c>
      <c r="G15896" s="30" t="s">
        <v>20</v>
      </c>
      <c r="H15896" s="32">
        <v>271</v>
      </c>
      <c r="I15896" s="30" t="s">
        <v>21</v>
      </c>
      <c r="J15896" s="41">
        <v>45121</v>
      </c>
      <c r="K15896" s="30" t="s">
        <v>22</v>
      </c>
    </row>
    <row r="15897" spans="1:11">
      <c r="A15897" s="33" t="s">
        <v>35699</v>
      </c>
      <c r="B15897" s="33" t="s">
        <v>35700</v>
      </c>
      <c r="C15897" s="33" t="s">
        <v>35701</v>
      </c>
      <c r="D15897" s="33" t="s">
        <v>17</v>
      </c>
      <c r="E15897" s="33" t="s">
        <v>45</v>
      </c>
      <c r="F15897" s="33" t="s">
        <v>46</v>
      </c>
      <c r="G15897" s="33" t="s">
        <v>20</v>
      </c>
      <c r="H15897" s="35">
        <v>242</v>
      </c>
      <c r="I15897" s="33" t="s">
        <v>21</v>
      </c>
      <c r="J15897" s="42">
        <v>44927</v>
      </c>
      <c r="K15897" s="33" t="s">
        <v>22</v>
      </c>
    </row>
    <row r="15898" spans="1:11">
      <c r="A15898" s="30" t="s">
        <v>35702</v>
      </c>
      <c r="B15898" s="30" t="s">
        <v>35703</v>
      </c>
      <c r="C15898" s="30" t="s">
        <v>35704</v>
      </c>
      <c r="D15898" s="30" t="s">
        <v>17</v>
      </c>
      <c r="E15898" s="30" t="s">
        <v>31</v>
      </c>
      <c r="F15898" s="30" t="s">
        <v>32</v>
      </c>
      <c r="G15898" s="30" t="s">
        <v>20</v>
      </c>
      <c r="H15898" s="32">
        <v>52</v>
      </c>
      <c r="I15898" s="30" t="s">
        <v>21</v>
      </c>
      <c r="J15898" s="41">
        <v>45190</v>
      </c>
      <c r="K15898" s="30" t="s">
        <v>22</v>
      </c>
    </row>
    <row r="15899" spans="1:11">
      <c r="A15899" s="33" t="s">
        <v>35705</v>
      </c>
      <c r="B15899" s="33" t="s">
        <v>35706</v>
      </c>
      <c r="C15899" s="33" t="s">
        <v>9605</v>
      </c>
      <c r="D15899" s="33" t="s">
        <v>17</v>
      </c>
      <c r="E15899" s="33" t="s">
        <v>67</v>
      </c>
      <c r="F15899" s="33" t="s">
        <v>68</v>
      </c>
      <c r="G15899" s="33" t="s">
        <v>112</v>
      </c>
      <c r="H15899" s="35">
        <v>0</v>
      </c>
      <c r="I15899" s="33" t="s">
        <v>21</v>
      </c>
      <c r="J15899" s="42">
        <v>44944</v>
      </c>
      <c r="K15899" s="33" t="s">
        <v>22</v>
      </c>
    </row>
    <row r="15900" spans="1:11">
      <c r="A15900" s="30" t="s">
        <v>35707</v>
      </c>
      <c r="B15900" s="30" t="s">
        <v>35708</v>
      </c>
      <c r="C15900" s="30" t="s">
        <v>9114</v>
      </c>
      <c r="D15900" s="30" t="s">
        <v>17</v>
      </c>
      <c r="E15900" s="30" t="s">
        <v>26</v>
      </c>
      <c r="F15900" s="30" t="s">
        <v>27</v>
      </c>
      <c r="G15900" s="30" t="s">
        <v>50</v>
      </c>
      <c r="H15900" s="32">
        <v>16</v>
      </c>
      <c r="I15900" s="30" t="s">
        <v>51</v>
      </c>
      <c r="J15900" s="41">
        <v>44954</v>
      </c>
      <c r="K15900" s="30" t="s">
        <v>22</v>
      </c>
    </row>
    <row r="15901" spans="1:11">
      <c r="A15901" s="33" t="s">
        <v>35709</v>
      </c>
      <c r="B15901" s="33" t="s">
        <v>35710</v>
      </c>
      <c r="C15901" s="33" t="s">
        <v>96</v>
      </c>
      <c r="D15901" s="33" t="s">
        <v>17</v>
      </c>
      <c r="E15901" s="33" t="s">
        <v>212</v>
      </c>
      <c r="F15901" s="33" t="s">
        <v>213</v>
      </c>
      <c r="G15901" s="33" t="s">
        <v>20</v>
      </c>
      <c r="H15901" s="35">
        <v>70</v>
      </c>
      <c r="I15901" s="33" t="s">
        <v>21</v>
      </c>
      <c r="J15901" s="42">
        <v>44964</v>
      </c>
      <c r="K15901" s="33" t="s">
        <v>22</v>
      </c>
    </row>
    <row r="15902" spans="1:11">
      <c r="A15902" s="30" t="s">
        <v>35711</v>
      </c>
      <c r="B15902" s="30" t="s">
        <v>35712</v>
      </c>
      <c r="C15902" s="30" t="s">
        <v>2681</v>
      </c>
      <c r="D15902" s="30" t="s">
        <v>17</v>
      </c>
      <c r="E15902" s="30" t="s">
        <v>18</v>
      </c>
      <c r="F15902" s="30" t="s">
        <v>19</v>
      </c>
      <c r="G15902" s="30" t="s">
        <v>158</v>
      </c>
      <c r="H15902" s="32">
        <v>215</v>
      </c>
      <c r="I15902" s="30" t="s">
        <v>51</v>
      </c>
      <c r="J15902" s="41">
        <v>45266</v>
      </c>
      <c r="K15902" s="30" t="s">
        <v>22</v>
      </c>
    </row>
    <row r="15903" spans="1:11">
      <c r="A15903" s="33" t="s">
        <v>35713</v>
      </c>
      <c r="B15903" s="33" t="s">
        <v>35714</v>
      </c>
      <c r="C15903" s="33" t="s">
        <v>21347</v>
      </c>
      <c r="D15903" s="33" t="s">
        <v>17</v>
      </c>
      <c r="E15903" s="33" t="s">
        <v>26</v>
      </c>
      <c r="F15903" s="33" t="s">
        <v>27</v>
      </c>
      <c r="G15903" s="33" t="s">
        <v>106</v>
      </c>
      <c r="H15903" s="35">
        <v>11</v>
      </c>
      <c r="I15903" s="33" t="s">
        <v>21</v>
      </c>
      <c r="J15903" s="42">
        <v>44972</v>
      </c>
      <c r="K15903" s="33" t="s">
        <v>22</v>
      </c>
    </row>
    <row r="15904" spans="1:11">
      <c r="A15904" s="30" t="s">
        <v>35715</v>
      </c>
      <c r="B15904" s="30" t="s">
        <v>35716</v>
      </c>
      <c r="C15904" s="30" t="s">
        <v>334</v>
      </c>
      <c r="D15904" s="30" t="s">
        <v>17</v>
      </c>
      <c r="E15904" s="30" t="s">
        <v>18</v>
      </c>
      <c r="F15904" s="30" t="s">
        <v>19</v>
      </c>
      <c r="G15904" s="30" t="s">
        <v>158</v>
      </c>
      <c r="H15904" s="32">
        <v>102</v>
      </c>
      <c r="I15904" s="30" t="s">
        <v>51</v>
      </c>
      <c r="J15904" s="41">
        <v>45104</v>
      </c>
      <c r="K15904" s="30" t="s">
        <v>22</v>
      </c>
    </row>
    <row r="15905" spans="1:11">
      <c r="A15905" s="33" t="s">
        <v>35717</v>
      </c>
      <c r="B15905" s="33" t="s">
        <v>35718</v>
      </c>
      <c r="C15905" s="33" t="s">
        <v>31108</v>
      </c>
      <c r="D15905" s="33" t="s">
        <v>17</v>
      </c>
      <c r="E15905" s="33" t="s">
        <v>26</v>
      </c>
      <c r="F15905" s="33" t="s">
        <v>27</v>
      </c>
      <c r="G15905" s="33" t="s">
        <v>50</v>
      </c>
      <c r="H15905" s="35">
        <v>13</v>
      </c>
      <c r="I15905" s="33" t="s">
        <v>51</v>
      </c>
      <c r="J15905" s="42">
        <v>45113</v>
      </c>
      <c r="K15905" s="33" t="s">
        <v>22</v>
      </c>
    </row>
    <row r="15906" spans="1:11">
      <c r="A15906" s="30" t="s">
        <v>35719</v>
      </c>
      <c r="B15906" s="30" t="s">
        <v>35720</v>
      </c>
      <c r="C15906" s="30" t="s">
        <v>26805</v>
      </c>
      <c r="D15906" s="30" t="s">
        <v>17</v>
      </c>
      <c r="E15906" s="30" t="s">
        <v>67</v>
      </c>
      <c r="F15906" s="30" t="s">
        <v>68</v>
      </c>
      <c r="G15906" s="30" t="s">
        <v>106</v>
      </c>
      <c r="H15906" s="32">
        <v>8</v>
      </c>
      <c r="I15906" s="30" t="s">
        <v>21</v>
      </c>
      <c r="J15906" s="41">
        <v>44963</v>
      </c>
      <c r="K15906" s="30" t="s">
        <v>22</v>
      </c>
    </row>
    <row r="15907" spans="1:11">
      <c r="A15907" s="33" t="s">
        <v>35721</v>
      </c>
      <c r="B15907" s="33" t="s">
        <v>35722</v>
      </c>
      <c r="C15907" s="33" t="s">
        <v>2264</v>
      </c>
      <c r="D15907" s="33" t="s">
        <v>17</v>
      </c>
      <c r="E15907" s="33" t="s">
        <v>18</v>
      </c>
      <c r="F15907" s="33" t="s">
        <v>19</v>
      </c>
      <c r="G15907" s="33" t="s">
        <v>112</v>
      </c>
      <c r="H15907" s="35">
        <v>0</v>
      </c>
      <c r="I15907" s="33" t="s">
        <v>21</v>
      </c>
      <c r="J15907" s="42">
        <v>45155</v>
      </c>
      <c r="K15907" s="33" t="s">
        <v>22</v>
      </c>
    </row>
    <row r="15908" spans="1:11">
      <c r="A15908" s="30" t="s">
        <v>35723</v>
      </c>
      <c r="B15908" s="30" t="s">
        <v>35724</v>
      </c>
      <c r="C15908" s="30" t="s">
        <v>5050</v>
      </c>
      <c r="D15908" s="30" t="s">
        <v>17</v>
      </c>
      <c r="E15908" s="30" t="s">
        <v>26</v>
      </c>
      <c r="F15908" s="30" t="s">
        <v>27</v>
      </c>
      <c r="G15908" s="30" t="s">
        <v>20</v>
      </c>
      <c r="H15908" s="32">
        <v>30</v>
      </c>
      <c r="I15908" s="30" t="s">
        <v>21</v>
      </c>
      <c r="J15908" s="41">
        <v>45161</v>
      </c>
      <c r="K15908" s="30" t="s">
        <v>22</v>
      </c>
    </row>
    <row r="15909" spans="1:11">
      <c r="A15909" s="33" t="s">
        <v>35725</v>
      </c>
      <c r="B15909" s="33" t="s">
        <v>35726</v>
      </c>
      <c r="C15909" s="33" t="s">
        <v>2772</v>
      </c>
      <c r="D15909" s="33" t="s">
        <v>17</v>
      </c>
      <c r="E15909" s="33" t="s">
        <v>67</v>
      </c>
      <c r="F15909" s="33" t="s">
        <v>68</v>
      </c>
      <c r="G15909" s="33" t="s">
        <v>158</v>
      </c>
      <c r="H15909" s="35">
        <v>50</v>
      </c>
      <c r="I15909" s="33" t="s">
        <v>51</v>
      </c>
      <c r="J15909" s="42">
        <v>45133</v>
      </c>
      <c r="K15909" s="33" t="s">
        <v>22</v>
      </c>
    </row>
    <row r="15910" spans="1:11">
      <c r="A15910" s="30" t="s">
        <v>35727</v>
      </c>
      <c r="B15910" s="30" t="s">
        <v>35728</v>
      </c>
      <c r="C15910" s="30" t="s">
        <v>17877</v>
      </c>
      <c r="D15910" s="30" t="s">
        <v>17</v>
      </c>
      <c r="E15910" s="30" t="s">
        <v>31</v>
      </c>
      <c r="F15910" s="30" t="s">
        <v>32</v>
      </c>
      <c r="G15910" s="30" t="s">
        <v>106</v>
      </c>
      <c r="H15910" s="32">
        <v>192</v>
      </c>
      <c r="I15910" s="30" t="s">
        <v>21</v>
      </c>
      <c r="J15910" s="41">
        <v>45090</v>
      </c>
      <c r="K15910" s="30" t="s">
        <v>22</v>
      </c>
    </row>
    <row r="15911" spans="1:11">
      <c r="A15911" s="33" t="s">
        <v>35729</v>
      </c>
      <c r="B15911" s="33" t="s">
        <v>35730</v>
      </c>
      <c r="C15911" s="33" t="s">
        <v>5929</v>
      </c>
      <c r="D15911" s="33" t="s">
        <v>17</v>
      </c>
      <c r="E15911" s="33" t="s">
        <v>26</v>
      </c>
      <c r="F15911" s="33" t="s">
        <v>27</v>
      </c>
      <c r="G15911" s="33" t="s">
        <v>20</v>
      </c>
      <c r="H15911" s="35">
        <v>16</v>
      </c>
      <c r="I15911" s="33" t="s">
        <v>21</v>
      </c>
      <c r="J15911" s="42">
        <v>44928</v>
      </c>
      <c r="K15911" s="33" t="s">
        <v>22</v>
      </c>
    </row>
    <row r="15912" spans="1:11">
      <c r="A15912" s="30" t="s">
        <v>35731</v>
      </c>
      <c r="B15912" s="30" t="s">
        <v>35732</v>
      </c>
      <c r="C15912" s="30" t="s">
        <v>31562</v>
      </c>
      <c r="D15912" s="30" t="s">
        <v>17</v>
      </c>
      <c r="E15912" s="30" t="s">
        <v>31</v>
      </c>
      <c r="F15912" s="30" t="s">
        <v>32</v>
      </c>
      <c r="G15912" s="30" t="s">
        <v>140</v>
      </c>
      <c r="H15912" s="32">
        <v>460</v>
      </c>
      <c r="I15912" s="30" t="s">
        <v>51</v>
      </c>
      <c r="J15912" s="41">
        <v>45278</v>
      </c>
      <c r="K15912" s="30" t="s">
        <v>22</v>
      </c>
    </row>
    <row r="15913" spans="1:11">
      <c r="A15913" s="33" t="s">
        <v>35733</v>
      </c>
      <c r="B15913" s="33" t="s">
        <v>35734</v>
      </c>
      <c r="C15913" s="33" t="s">
        <v>35735</v>
      </c>
      <c r="D15913" s="33" t="s">
        <v>17</v>
      </c>
      <c r="E15913" s="33" t="s">
        <v>67</v>
      </c>
      <c r="F15913" s="33" t="s">
        <v>68</v>
      </c>
      <c r="G15913" s="33" t="s">
        <v>158</v>
      </c>
      <c r="H15913" s="35">
        <v>39</v>
      </c>
      <c r="I15913" s="33" t="s">
        <v>51</v>
      </c>
      <c r="J15913" s="42">
        <v>45161</v>
      </c>
      <c r="K15913" s="33" t="s">
        <v>22</v>
      </c>
    </row>
    <row r="15914" spans="1:11">
      <c r="A15914" s="30" t="s">
        <v>35736</v>
      </c>
      <c r="B15914" s="30" t="s">
        <v>35737</v>
      </c>
      <c r="C15914" s="30" t="s">
        <v>34100</v>
      </c>
      <c r="D15914" s="30" t="s">
        <v>17</v>
      </c>
      <c r="E15914" s="30" t="s">
        <v>67</v>
      </c>
      <c r="F15914" s="30" t="s">
        <v>68</v>
      </c>
      <c r="G15914" s="30" t="s">
        <v>140</v>
      </c>
      <c r="H15914" s="32">
        <v>18</v>
      </c>
      <c r="I15914" s="30" t="s">
        <v>51</v>
      </c>
      <c r="J15914" s="41">
        <v>44982</v>
      </c>
      <c r="K15914" s="30" t="s">
        <v>22</v>
      </c>
    </row>
    <row r="15915" spans="1:11">
      <c r="A15915" s="33" t="s">
        <v>35738</v>
      </c>
      <c r="B15915" s="33" t="s">
        <v>35739</v>
      </c>
      <c r="C15915" s="33" t="s">
        <v>12737</v>
      </c>
      <c r="D15915" s="33" t="s">
        <v>17</v>
      </c>
      <c r="E15915" s="33" t="s">
        <v>45</v>
      </c>
      <c r="F15915" s="33" t="s">
        <v>46</v>
      </c>
      <c r="G15915" s="33" t="s">
        <v>69</v>
      </c>
      <c r="H15915" s="35">
        <v>150</v>
      </c>
      <c r="I15915" s="33" t="s">
        <v>51</v>
      </c>
      <c r="J15915" s="42">
        <v>45139</v>
      </c>
      <c r="K15915" s="33" t="s">
        <v>22</v>
      </c>
    </row>
    <row r="15916" spans="1:11">
      <c r="A15916" s="30" t="s">
        <v>35740</v>
      </c>
      <c r="B15916" s="30" t="s">
        <v>35741</v>
      </c>
      <c r="C15916" s="30" t="s">
        <v>78</v>
      </c>
      <c r="D15916" s="30" t="s">
        <v>17</v>
      </c>
      <c r="E15916" s="30" t="s">
        <v>212</v>
      </c>
      <c r="F15916" s="30" t="s">
        <v>213</v>
      </c>
      <c r="G15916" s="30" t="s">
        <v>50</v>
      </c>
      <c r="H15916" s="32">
        <v>98</v>
      </c>
      <c r="I15916" s="30" t="s">
        <v>51</v>
      </c>
      <c r="J15916" s="41">
        <v>45035</v>
      </c>
      <c r="K15916" s="30" t="s">
        <v>22</v>
      </c>
    </row>
    <row r="15917" spans="1:11">
      <c r="A15917" s="33" t="s">
        <v>35742</v>
      </c>
      <c r="B15917" s="33" t="s">
        <v>35743</v>
      </c>
      <c r="C15917" s="33" t="s">
        <v>190</v>
      </c>
      <c r="D15917" s="33" t="s">
        <v>17</v>
      </c>
      <c r="E15917" s="33" t="s">
        <v>18</v>
      </c>
      <c r="F15917" s="33" t="s">
        <v>19</v>
      </c>
      <c r="G15917" s="33" t="s">
        <v>158</v>
      </c>
      <c r="H15917" s="35">
        <v>861</v>
      </c>
      <c r="I15917" s="33" t="s">
        <v>21</v>
      </c>
      <c r="J15917" s="42">
        <v>45239</v>
      </c>
      <c r="K15917" s="33" t="s">
        <v>22</v>
      </c>
    </row>
    <row r="15918" spans="1:11">
      <c r="A15918" s="30" t="s">
        <v>35744</v>
      </c>
      <c r="B15918" s="30" t="s">
        <v>35745</v>
      </c>
      <c r="C15918" s="30" t="s">
        <v>93</v>
      </c>
      <c r="D15918" s="30" t="s">
        <v>17</v>
      </c>
      <c r="E15918" s="30" t="s">
        <v>18</v>
      </c>
      <c r="F15918" s="30" t="s">
        <v>19</v>
      </c>
      <c r="G15918" s="30" t="s">
        <v>158</v>
      </c>
      <c r="H15918" s="32">
        <v>122</v>
      </c>
      <c r="I15918" s="30" t="s">
        <v>21</v>
      </c>
      <c r="J15918" s="41">
        <v>45236</v>
      </c>
      <c r="K15918" s="30" t="s">
        <v>22</v>
      </c>
    </row>
    <row r="15919" spans="1:11">
      <c r="A15919" s="33" t="s">
        <v>35746</v>
      </c>
      <c r="B15919" s="33" t="s">
        <v>35747</v>
      </c>
      <c r="C15919" s="33" t="s">
        <v>75</v>
      </c>
      <c r="D15919" s="33" t="s">
        <v>17</v>
      </c>
      <c r="E15919" s="33" t="s">
        <v>31</v>
      </c>
      <c r="F15919" s="33" t="s">
        <v>32</v>
      </c>
      <c r="G15919" s="33" t="s">
        <v>158</v>
      </c>
      <c r="H15919" s="35">
        <v>100</v>
      </c>
      <c r="I15919" s="33" t="s">
        <v>21</v>
      </c>
      <c r="J15919" s="42">
        <v>45236</v>
      </c>
      <c r="K15919" s="33" t="s">
        <v>22</v>
      </c>
    </row>
    <row r="15920" spans="1:11">
      <c r="A15920" s="30" t="s">
        <v>35748</v>
      </c>
      <c r="B15920" s="30" t="s">
        <v>35749</v>
      </c>
      <c r="C15920" s="30" t="s">
        <v>29973</v>
      </c>
      <c r="D15920" s="30" t="s">
        <v>17</v>
      </c>
      <c r="E15920" s="30" t="s">
        <v>67</v>
      </c>
      <c r="F15920" s="30" t="s">
        <v>68</v>
      </c>
      <c r="G15920" s="30" t="s">
        <v>140</v>
      </c>
      <c r="H15920" s="32">
        <v>42</v>
      </c>
      <c r="I15920" s="30" t="s">
        <v>51</v>
      </c>
      <c r="J15920" s="41">
        <v>44963</v>
      </c>
      <c r="K15920" s="30" t="s">
        <v>22</v>
      </c>
    </row>
    <row r="15921" spans="1:11">
      <c r="A15921" s="33" t="s">
        <v>35750</v>
      </c>
      <c r="B15921" s="33" t="s">
        <v>35751</v>
      </c>
      <c r="C15921" s="33" t="s">
        <v>203</v>
      </c>
      <c r="D15921" s="33" t="s">
        <v>17</v>
      </c>
      <c r="E15921" s="33" t="s">
        <v>31</v>
      </c>
      <c r="F15921" s="33" t="s">
        <v>32</v>
      </c>
      <c r="G15921" s="33" t="s">
        <v>20</v>
      </c>
      <c r="H15921" s="35">
        <v>224</v>
      </c>
      <c r="I15921" s="33" t="s">
        <v>21</v>
      </c>
      <c r="J15921" s="42">
        <v>45205</v>
      </c>
      <c r="K15921" s="33" t="s">
        <v>22</v>
      </c>
    </row>
    <row r="15922" spans="1:11">
      <c r="A15922" s="30" t="s">
        <v>35752</v>
      </c>
      <c r="B15922" s="30" t="s">
        <v>35753</v>
      </c>
      <c r="C15922" s="30" t="s">
        <v>190</v>
      </c>
      <c r="D15922" s="30" t="s">
        <v>17</v>
      </c>
      <c r="E15922" s="30" t="s">
        <v>26</v>
      </c>
      <c r="F15922" s="30" t="s">
        <v>27</v>
      </c>
      <c r="G15922" s="30" t="s">
        <v>20</v>
      </c>
      <c r="H15922" s="32">
        <v>48</v>
      </c>
      <c r="I15922" s="30" t="s">
        <v>21</v>
      </c>
      <c r="J15922" s="41">
        <v>45048</v>
      </c>
      <c r="K15922" s="30" t="s">
        <v>22</v>
      </c>
    </row>
    <row r="15923" spans="1:11">
      <c r="A15923" s="33" t="s">
        <v>35754</v>
      </c>
      <c r="B15923" s="33" t="s">
        <v>35755</v>
      </c>
      <c r="C15923" s="33" t="s">
        <v>1598</v>
      </c>
      <c r="D15923" s="33" t="s">
        <v>17</v>
      </c>
      <c r="E15923" s="33" t="s">
        <v>67</v>
      </c>
      <c r="F15923" s="33" t="s">
        <v>68</v>
      </c>
      <c r="G15923" s="33" t="s">
        <v>140</v>
      </c>
      <c r="H15923" s="35">
        <v>182</v>
      </c>
      <c r="I15923" s="33" t="s">
        <v>51</v>
      </c>
      <c r="J15923" s="42">
        <v>45244</v>
      </c>
      <c r="K15923" s="33" t="s">
        <v>22</v>
      </c>
    </row>
    <row r="15924" spans="1:11">
      <c r="A15924" s="30" t="s">
        <v>35756</v>
      </c>
      <c r="B15924" s="30" t="s">
        <v>35757</v>
      </c>
      <c r="C15924" s="30" t="s">
        <v>8250</v>
      </c>
      <c r="D15924" s="30" t="s">
        <v>17</v>
      </c>
      <c r="E15924" s="30" t="s">
        <v>67</v>
      </c>
      <c r="F15924" s="30" t="s">
        <v>68</v>
      </c>
      <c r="G15924" s="30" t="s">
        <v>140</v>
      </c>
      <c r="H15924" s="32">
        <v>345</v>
      </c>
      <c r="I15924" s="30" t="s">
        <v>51</v>
      </c>
      <c r="J15924" s="41">
        <v>45195</v>
      </c>
      <c r="K15924" s="30" t="s">
        <v>22</v>
      </c>
    </row>
    <row r="15925" spans="1:11">
      <c r="A15925" s="33" t="s">
        <v>35758</v>
      </c>
      <c r="B15925" s="33" t="s">
        <v>35759</v>
      </c>
      <c r="C15925" s="33" t="s">
        <v>136</v>
      </c>
      <c r="D15925" s="33" t="s">
        <v>17</v>
      </c>
      <c r="E15925" s="33" t="s">
        <v>31</v>
      </c>
      <c r="F15925" s="33" t="s">
        <v>32</v>
      </c>
      <c r="G15925" s="33" t="s">
        <v>20</v>
      </c>
      <c r="H15925" s="35">
        <v>179</v>
      </c>
      <c r="I15925" s="33" t="s">
        <v>21</v>
      </c>
      <c r="J15925" s="42">
        <v>45247</v>
      </c>
      <c r="K15925" s="33" t="s">
        <v>22</v>
      </c>
    </row>
    <row r="15926" spans="1:11">
      <c r="A15926" s="30" t="s">
        <v>35760</v>
      </c>
      <c r="B15926" s="30" t="s">
        <v>35761</v>
      </c>
      <c r="C15926" s="30" t="s">
        <v>9908</v>
      </c>
      <c r="D15926" s="30" t="s">
        <v>17</v>
      </c>
      <c r="E15926" s="30" t="s">
        <v>26</v>
      </c>
      <c r="F15926" s="30" t="s">
        <v>27</v>
      </c>
      <c r="G15926" s="30" t="s">
        <v>50</v>
      </c>
      <c r="H15926" s="32">
        <v>164</v>
      </c>
      <c r="I15926" s="30" t="s">
        <v>51</v>
      </c>
      <c r="J15926" s="41">
        <v>44995</v>
      </c>
      <c r="K15926" s="30" t="s">
        <v>22</v>
      </c>
    </row>
    <row r="15927" spans="1:11">
      <c r="A15927" s="33" t="s">
        <v>35762</v>
      </c>
      <c r="B15927" s="33" t="s">
        <v>35763</v>
      </c>
      <c r="C15927" s="33" t="s">
        <v>57</v>
      </c>
      <c r="D15927" s="33" t="s">
        <v>17</v>
      </c>
      <c r="E15927" s="33" t="s">
        <v>26</v>
      </c>
      <c r="F15927" s="33" t="s">
        <v>27</v>
      </c>
      <c r="G15927" s="33" t="s">
        <v>50</v>
      </c>
      <c r="H15927" s="35">
        <v>66</v>
      </c>
      <c r="I15927" s="33" t="s">
        <v>21</v>
      </c>
      <c r="J15927" s="42">
        <v>45155</v>
      </c>
      <c r="K15927" s="33" t="s">
        <v>22</v>
      </c>
    </row>
    <row r="15928" spans="1:11">
      <c r="A15928" s="30" t="s">
        <v>35764</v>
      </c>
      <c r="B15928" s="30" t="s">
        <v>35765</v>
      </c>
      <c r="C15928" s="30" t="s">
        <v>6248</v>
      </c>
      <c r="D15928" s="30" t="s">
        <v>17</v>
      </c>
      <c r="E15928" s="30" t="s">
        <v>18</v>
      </c>
      <c r="F15928" s="30" t="s">
        <v>19</v>
      </c>
      <c r="G15928" s="30" t="s">
        <v>20</v>
      </c>
      <c r="H15928" s="32">
        <v>175</v>
      </c>
      <c r="I15928" s="30" t="s">
        <v>21</v>
      </c>
      <c r="J15928" s="41">
        <v>45097</v>
      </c>
      <c r="K15928" s="30" t="s">
        <v>22</v>
      </c>
    </row>
    <row r="15929" spans="1:11">
      <c r="A15929" s="33" t="s">
        <v>35766</v>
      </c>
      <c r="B15929" s="33" t="s">
        <v>35767</v>
      </c>
      <c r="C15929" s="33" t="s">
        <v>3757</v>
      </c>
      <c r="D15929" s="33" t="s">
        <v>17</v>
      </c>
      <c r="E15929" s="33" t="s">
        <v>31</v>
      </c>
      <c r="F15929" s="33" t="s">
        <v>32</v>
      </c>
      <c r="G15929" s="33" t="s">
        <v>140</v>
      </c>
      <c r="H15929" s="35">
        <v>180</v>
      </c>
      <c r="I15929" s="33" t="s">
        <v>51</v>
      </c>
      <c r="J15929" s="42">
        <v>45253</v>
      </c>
      <c r="K15929" s="33" t="s">
        <v>22</v>
      </c>
    </row>
    <row r="15930" spans="1:11">
      <c r="A15930" s="30" t="s">
        <v>35768</v>
      </c>
      <c r="B15930" s="30" t="s">
        <v>35769</v>
      </c>
      <c r="C15930" s="30" t="s">
        <v>3622</v>
      </c>
      <c r="D15930" s="30" t="s">
        <v>17</v>
      </c>
      <c r="E15930" s="30" t="s">
        <v>45</v>
      </c>
      <c r="F15930" s="30" t="s">
        <v>46</v>
      </c>
      <c r="G15930" s="30" t="s">
        <v>140</v>
      </c>
      <c r="H15930" s="32">
        <v>210</v>
      </c>
      <c r="I15930" s="30" t="s">
        <v>51</v>
      </c>
      <c r="J15930" s="41">
        <v>45083</v>
      </c>
      <c r="K15930" s="30" t="s">
        <v>22</v>
      </c>
    </row>
    <row r="15931" spans="1:11">
      <c r="A15931" s="33" t="s">
        <v>35770</v>
      </c>
      <c r="B15931" s="33" t="s">
        <v>35771</v>
      </c>
      <c r="C15931" s="33" t="s">
        <v>14664</v>
      </c>
      <c r="D15931" s="33" t="s">
        <v>17</v>
      </c>
      <c r="E15931" s="33" t="s">
        <v>31</v>
      </c>
      <c r="F15931" s="33" t="s">
        <v>32</v>
      </c>
      <c r="G15931" s="33" t="s">
        <v>20</v>
      </c>
      <c r="H15931" s="35">
        <v>227</v>
      </c>
      <c r="I15931" s="33" t="s">
        <v>21</v>
      </c>
      <c r="J15931" s="42">
        <v>45190</v>
      </c>
      <c r="K15931" s="33" t="s">
        <v>22</v>
      </c>
    </row>
    <row r="15932" spans="1:11">
      <c r="A15932" s="30" t="s">
        <v>35772</v>
      </c>
      <c r="B15932" s="30" t="s">
        <v>35773</v>
      </c>
      <c r="C15932" s="30" t="s">
        <v>216</v>
      </c>
      <c r="D15932" s="30" t="s">
        <v>17</v>
      </c>
      <c r="E15932" s="30" t="s">
        <v>26</v>
      </c>
      <c r="F15932" s="30" t="s">
        <v>27</v>
      </c>
      <c r="G15932" s="30" t="s">
        <v>20</v>
      </c>
      <c r="H15932" s="32">
        <v>300</v>
      </c>
      <c r="I15932" s="30" t="s">
        <v>21</v>
      </c>
      <c r="J15932" s="41">
        <v>45167</v>
      </c>
      <c r="K15932" s="30" t="s">
        <v>22</v>
      </c>
    </row>
    <row r="15933" spans="1:11">
      <c r="A15933" s="33" t="s">
        <v>35774</v>
      </c>
      <c r="B15933" s="33" t="s">
        <v>35775</v>
      </c>
      <c r="C15933" s="33" t="s">
        <v>190</v>
      </c>
      <c r="D15933" s="33" t="s">
        <v>17</v>
      </c>
      <c r="E15933" s="33" t="s">
        <v>67</v>
      </c>
      <c r="F15933" s="33" t="s">
        <v>68</v>
      </c>
      <c r="G15933" s="33" t="s">
        <v>140</v>
      </c>
      <c r="H15933" s="35">
        <v>236</v>
      </c>
      <c r="I15933" s="33" t="s">
        <v>51</v>
      </c>
      <c r="J15933" s="42">
        <v>45289</v>
      </c>
      <c r="K15933" s="33" t="s">
        <v>22</v>
      </c>
    </row>
    <row r="15934" spans="1:11">
      <c r="A15934" s="30" t="s">
        <v>35776</v>
      </c>
      <c r="B15934" s="30" t="s">
        <v>35777</v>
      </c>
      <c r="C15934" s="30" t="s">
        <v>3775</v>
      </c>
      <c r="D15934" s="30" t="s">
        <v>17</v>
      </c>
      <c r="E15934" s="30" t="s">
        <v>26</v>
      </c>
      <c r="F15934" s="30" t="s">
        <v>27</v>
      </c>
      <c r="G15934" s="30" t="s">
        <v>20</v>
      </c>
      <c r="H15934" s="32">
        <v>37</v>
      </c>
      <c r="I15934" s="30" t="s">
        <v>21</v>
      </c>
      <c r="J15934" s="41">
        <v>45129</v>
      </c>
      <c r="K15934" s="30" t="s">
        <v>22</v>
      </c>
    </row>
    <row r="15935" spans="1:11">
      <c r="A15935" s="33" t="s">
        <v>35778</v>
      </c>
      <c r="B15935" s="33" t="s">
        <v>35779</v>
      </c>
      <c r="C15935" s="33" t="s">
        <v>187</v>
      </c>
      <c r="D15935" s="33" t="s">
        <v>17</v>
      </c>
      <c r="E15935" s="33" t="s">
        <v>31</v>
      </c>
      <c r="F15935" s="33" t="s">
        <v>32</v>
      </c>
      <c r="G15935" s="33" t="s">
        <v>140</v>
      </c>
      <c r="H15935" s="35">
        <v>58</v>
      </c>
      <c r="I15935" s="33" t="s">
        <v>51</v>
      </c>
      <c r="J15935" s="42">
        <v>45091</v>
      </c>
      <c r="K15935" s="33" t="s">
        <v>22</v>
      </c>
    </row>
    <row r="15936" spans="1:11">
      <c r="A15936" s="30" t="s">
        <v>35780</v>
      </c>
      <c r="B15936" s="30" t="s">
        <v>35781</v>
      </c>
      <c r="C15936" s="30" t="s">
        <v>34992</v>
      </c>
      <c r="D15936" s="30" t="s">
        <v>17</v>
      </c>
      <c r="E15936" s="30" t="s">
        <v>26</v>
      </c>
      <c r="F15936" s="30" t="s">
        <v>27</v>
      </c>
      <c r="G15936" s="30" t="s">
        <v>158</v>
      </c>
      <c r="H15936" s="32">
        <v>156</v>
      </c>
      <c r="I15936" s="30" t="s">
        <v>51</v>
      </c>
      <c r="J15936" s="41">
        <v>45272</v>
      </c>
      <c r="K15936" s="30" t="s">
        <v>22</v>
      </c>
    </row>
    <row r="15937" spans="1:11">
      <c r="A15937" s="33" t="s">
        <v>35782</v>
      </c>
      <c r="B15937" s="33" t="s">
        <v>35783</v>
      </c>
      <c r="C15937" s="33" t="s">
        <v>31984</v>
      </c>
      <c r="D15937" s="33" t="s">
        <v>17</v>
      </c>
      <c r="E15937" s="33" t="s">
        <v>26</v>
      </c>
      <c r="F15937" s="33" t="s">
        <v>27</v>
      </c>
      <c r="G15937" s="33" t="s">
        <v>20</v>
      </c>
      <c r="H15937" s="35">
        <v>74</v>
      </c>
      <c r="I15937" s="33" t="s">
        <v>21</v>
      </c>
      <c r="J15937" s="42">
        <v>44970</v>
      </c>
      <c r="K15937" s="33" t="s">
        <v>22</v>
      </c>
    </row>
    <row r="15938" spans="1:11">
      <c r="A15938" s="30" t="s">
        <v>35784</v>
      </c>
      <c r="B15938" s="30" t="s">
        <v>35785</v>
      </c>
      <c r="C15938" s="30" t="s">
        <v>2842</v>
      </c>
      <c r="D15938" s="30" t="s">
        <v>17</v>
      </c>
      <c r="E15938" s="30" t="s">
        <v>18</v>
      </c>
      <c r="F15938" s="30" t="s">
        <v>19</v>
      </c>
      <c r="G15938" s="30" t="s">
        <v>140</v>
      </c>
      <c r="H15938" s="32">
        <v>470</v>
      </c>
      <c r="I15938" s="30" t="s">
        <v>51</v>
      </c>
      <c r="J15938" s="41">
        <v>45048</v>
      </c>
      <c r="K15938" s="30" t="s">
        <v>22</v>
      </c>
    </row>
    <row r="15939" spans="1:11">
      <c r="A15939" s="33" t="s">
        <v>35786</v>
      </c>
      <c r="B15939" s="33" t="s">
        <v>35787</v>
      </c>
      <c r="C15939" s="33" t="s">
        <v>35788</v>
      </c>
      <c r="D15939" s="33" t="s">
        <v>17</v>
      </c>
      <c r="E15939" s="33" t="s">
        <v>26</v>
      </c>
      <c r="F15939" s="33" t="s">
        <v>27</v>
      </c>
      <c r="G15939" s="33" t="s">
        <v>50</v>
      </c>
      <c r="H15939" s="35">
        <v>30</v>
      </c>
      <c r="I15939" s="33" t="s">
        <v>51</v>
      </c>
      <c r="J15939" s="42">
        <v>45055</v>
      </c>
      <c r="K15939" s="33" t="s">
        <v>22</v>
      </c>
    </row>
    <row r="15940" spans="1:11">
      <c r="A15940" s="30" t="s">
        <v>35789</v>
      </c>
      <c r="B15940" s="30" t="s">
        <v>35790</v>
      </c>
      <c r="C15940" s="30" t="s">
        <v>1270</v>
      </c>
      <c r="D15940" s="30" t="s">
        <v>17</v>
      </c>
      <c r="E15940" s="30" t="s">
        <v>67</v>
      </c>
      <c r="F15940" s="30" t="s">
        <v>68</v>
      </c>
      <c r="G15940" s="30" t="s">
        <v>50</v>
      </c>
      <c r="H15940" s="32">
        <v>340</v>
      </c>
      <c r="I15940" s="30" t="s">
        <v>51</v>
      </c>
      <c r="J15940" s="41">
        <v>44958</v>
      </c>
      <c r="K15940" s="30" t="s">
        <v>22</v>
      </c>
    </row>
    <row r="15941" spans="1:11">
      <c r="A15941" s="33" t="s">
        <v>35791</v>
      </c>
      <c r="B15941" s="33" t="s">
        <v>35792</v>
      </c>
      <c r="C15941" s="33" t="s">
        <v>5845</v>
      </c>
      <c r="D15941" s="33" t="s">
        <v>17</v>
      </c>
      <c r="E15941" s="33" t="s">
        <v>26</v>
      </c>
      <c r="F15941" s="33" t="s">
        <v>27</v>
      </c>
      <c r="G15941" s="33" t="s">
        <v>20</v>
      </c>
      <c r="H15941" s="35">
        <v>19</v>
      </c>
      <c r="I15941" s="33" t="s">
        <v>21</v>
      </c>
      <c r="J15941" s="42">
        <v>44987</v>
      </c>
      <c r="K15941" s="33" t="s">
        <v>22</v>
      </c>
    </row>
    <row r="15942" spans="1:11">
      <c r="A15942" s="30" t="s">
        <v>35793</v>
      </c>
      <c r="B15942" s="30" t="s">
        <v>35794</v>
      </c>
      <c r="C15942" s="30" t="s">
        <v>3057</v>
      </c>
      <c r="D15942" s="30" t="s">
        <v>17</v>
      </c>
      <c r="E15942" s="30" t="s">
        <v>26</v>
      </c>
      <c r="F15942" s="30" t="s">
        <v>27</v>
      </c>
      <c r="G15942" s="30" t="s">
        <v>20</v>
      </c>
      <c r="H15942" s="32">
        <v>61</v>
      </c>
      <c r="I15942" s="30" t="s">
        <v>21</v>
      </c>
      <c r="J15942" s="41">
        <v>45118</v>
      </c>
      <c r="K15942" s="30" t="s">
        <v>22</v>
      </c>
    </row>
    <row r="15943" spans="1:11">
      <c r="A15943" s="33" t="s">
        <v>35795</v>
      </c>
      <c r="B15943" s="33" t="s">
        <v>35796</v>
      </c>
      <c r="C15943" s="33" t="s">
        <v>22647</v>
      </c>
      <c r="D15943" s="33" t="s">
        <v>17</v>
      </c>
      <c r="E15943" s="33" t="s">
        <v>31</v>
      </c>
      <c r="F15943" s="33" t="s">
        <v>32</v>
      </c>
      <c r="G15943" s="33" t="s">
        <v>20</v>
      </c>
      <c r="H15943" s="35">
        <v>155</v>
      </c>
      <c r="I15943" s="33" t="s">
        <v>21</v>
      </c>
      <c r="J15943" s="42">
        <v>45184</v>
      </c>
      <c r="K15943" s="33" t="s">
        <v>22</v>
      </c>
    </row>
    <row r="15944" spans="1:11">
      <c r="A15944" s="30" t="s">
        <v>35797</v>
      </c>
      <c r="B15944" s="30" t="s">
        <v>35798</v>
      </c>
      <c r="C15944" s="30" t="s">
        <v>190</v>
      </c>
      <c r="D15944" s="30" t="s">
        <v>17</v>
      </c>
      <c r="E15944" s="30" t="s">
        <v>26</v>
      </c>
      <c r="F15944" s="30" t="s">
        <v>27</v>
      </c>
      <c r="G15944" s="30" t="s">
        <v>20</v>
      </c>
      <c r="H15944" s="32">
        <v>31</v>
      </c>
      <c r="I15944" s="30" t="s">
        <v>21</v>
      </c>
      <c r="J15944" s="41">
        <v>45005</v>
      </c>
      <c r="K15944" s="30" t="s">
        <v>22</v>
      </c>
    </row>
    <row r="15945" spans="1:11">
      <c r="A15945" s="33" t="s">
        <v>35799</v>
      </c>
      <c r="B15945" s="33" t="s">
        <v>35800</v>
      </c>
      <c r="C15945" s="33" t="s">
        <v>187</v>
      </c>
      <c r="D15945" s="33" t="s">
        <v>17</v>
      </c>
      <c r="E15945" s="33" t="s">
        <v>31</v>
      </c>
      <c r="F15945" s="33" t="s">
        <v>32</v>
      </c>
      <c r="G15945" s="33" t="s">
        <v>20</v>
      </c>
      <c r="H15945" s="35">
        <v>80</v>
      </c>
      <c r="I15945" s="33" t="s">
        <v>21</v>
      </c>
      <c r="J15945" s="42">
        <v>45268</v>
      </c>
      <c r="K15945" s="33" t="s">
        <v>22</v>
      </c>
    </row>
    <row r="15946" spans="1:11">
      <c r="A15946" s="30" t="s">
        <v>35801</v>
      </c>
      <c r="B15946" s="30" t="s">
        <v>35802</v>
      </c>
      <c r="C15946" s="30" t="s">
        <v>6489</v>
      </c>
      <c r="D15946" s="30" t="s">
        <v>17</v>
      </c>
      <c r="E15946" s="30" t="s">
        <v>26</v>
      </c>
      <c r="F15946" s="30" t="s">
        <v>27</v>
      </c>
      <c r="G15946" s="30" t="s">
        <v>140</v>
      </c>
      <c r="H15946" s="32">
        <v>30</v>
      </c>
      <c r="I15946" s="30" t="s">
        <v>51</v>
      </c>
      <c r="J15946" s="41">
        <v>45207</v>
      </c>
      <c r="K15946" s="30" t="s">
        <v>22</v>
      </c>
    </row>
    <row r="15947" spans="1:11">
      <c r="A15947" s="33" t="s">
        <v>35803</v>
      </c>
      <c r="B15947" s="33" t="s">
        <v>35804</v>
      </c>
      <c r="C15947" s="33" t="s">
        <v>2261</v>
      </c>
      <c r="D15947" s="33" t="s">
        <v>17</v>
      </c>
      <c r="E15947" s="33" t="s">
        <v>31</v>
      </c>
      <c r="F15947" s="33" t="s">
        <v>32</v>
      </c>
      <c r="G15947" s="33" t="s">
        <v>112</v>
      </c>
      <c r="H15947" s="35">
        <v>0</v>
      </c>
      <c r="I15947" s="33" t="s">
        <v>21</v>
      </c>
      <c r="J15947" s="42">
        <v>45291</v>
      </c>
      <c r="K15947" s="33" t="s">
        <v>22</v>
      </c>
    </row>
    <row r="15948" spans="1:11">
      <c r="A15948" s="30" t="s">
        <v>35805</v>
      </c>
      <c r="B15948" s="30" t="s">
        <v>35806</v>
      </c>
      <c r="C15948" s="30" t="s">
        <v>12036</v>
      </c>
      <c r="D15948" s="30" t="s">
        <v>17</v>
      </c>
      <c r="E15948" s="30" t="s">
        <v>45</v>
      </c>
      <c r="F15948" s="30" t="s">
        <v>46</v>
      </c>
      <c r="G15948" s="30" t="s">
        <v>158</v>
      </c>
      <c r="H15948" s="32">
        <v>600</v>
      </c>
      <c r="I15948" s="30" t="s">
        <v>51</v>
      </c>
      <c r="J15948" s="41">
        <v>45156</v>
      </c>
      <c r="K15948" s="30" t="s">
        <v>22</v>
      </c>
    </row>
    <row r="15949" spans="1:11">
      <c r="A15949" s="33" t="s">
        <v>35807</v>
      </c>
      <c r="B15949" s="33" t="s">
        <v>35808</v>
      </c>
      <c r="C15949" s="33" t="s">
        <v>2772</v>
      </c>
      <c r="D15949" s="33" t="s">
        <v>17</v>
      </c>
      <c r="E15949" s="33" t="s">
        <v>18</v>
      </c>
      <c r="F15949" s="33" t="s">
        <v>19</v>
      </c>
      <c r="G15949" s="33" t="s">
        <v>158</v>
      </c>
      <c r="H15949" s="35">
        <v>421</v>
      </c>
      <c r="I15949" s="33" t="s">
        <v>51</v>
      </c>
      <c r="J15949" s="42">
        <v>45285</v>
      </c>
      <c r="K15949" s="33" t="s">
        <v>22</v>
      </c>
    </row>
    <row r="15950" spans="1:11">
      <c r="A15950" s="30" t="s">
        <v>35809</v>
      </c>
      <c r="B15950" s="30" t="s">
        <v>35810</v>
      </c>
      <c r="C15950" s="30" t="s">
        <v>8066</v>
      </c>
      <c r="D15950" s="30" t="s">
        <v>17</v>
      </c>
      <c r="E15950" s="30" t="s">
        <v>67</v>
      </c>
      <c r="F15950" s="30" t="s">
        <v>68</v>
      </c>
      <c r="G15950" s="30" t="s">
        <v>20</v>
      </c>
      <c r="H15950" s="32">
        <v>20</v>
      </c>
      <c r="I15950" s="30" t="s">
        <v>21</v>
      </c>
      <c r="J15950" s="41">
        <v>45257</v>
      </c>
      <c r="K15950" s="30" t="s">
        <v>22</v>
      </c>
    </row>
    <row r="15951" spans="1:11">
      <c r="A15951" s="33" t="s">
        <v>35811</v>
      </c>
      <c r="B15951" s="33" t="s">
        <v>35812</v>
      </c>
      <c r="C15951" s="33" t="s">
        <v>3655</v>
      </c>
      <c r="D15951" s="33" t="s">
        <v>17</v>
      </c>
      <c r="E15951" s="33" t="s">
        <v>45</v>
      </c>
      <c r="F15951" s="33" t="s">
        <v>46</v>
      </c>
      <c r="G15951" s="33" t="s">
        <v>20</v>
      </c>
      <c r="H15951" s="35">
        <v>1051</v>
      </c>
      <c r="I15951" s="33" t="s">
        <v>21</v>
      </c>
      <c r="J15951" s="42">
        <v>45148</v>
      </c>
      <c r="K15951" s="33" t="s">
        <v>22</v>
      </c>
    </row>
    <row r="15952" spans="1:11">
      <c r="A15952" s="30" t="s">
        <v>35813</v>
      </c>
      <c r="B15952" s="30" t="s">
        <v>35814</v>
      </c>
      <c r="C15952" s="30" t="s">
        <v>3892</v>
      </c>
      <c r="D15952" s="30" t="s">
        <v>17</v>
      </c>
      <c r="E15952" s="30" t="s">
        <v>26</v>
      </c>
      <c r="F15952" s="30" t="s">
        <v>27</v>
      </c>
      <c r="G15952" s="30" t="s">
        <v>20</v>
      </c>
      <c r="H15952" s="32">
        <v>120</v>
      </c>
      <c r="I15952" s="30" t="s">
        <v>21</v>
      </c>
      <c r="J15952" s="41">
        <v>44964</v>
      </c>
      <c r="K15952" s="30" t="s">
        <v>22</v>
      </c>
    </row>
    <row r="15953" spans="1:11">
      <c r="A15953" s="33" t="s">
        <v>35815</v>
      </c>
      <c r="B15953" s="33" t="s">
        <v>35816</v>
      </c>
      <c r="C15953" s="33" t="s">
        <v>7296</v>
      </c>
      <c r="D15953" s="33" t="s">
        <v>17</v>
      </c>
      <c r="E15953" s="33" t="s">
        <v>26</v>
      </c>
      <c r="F15953" s="33" t="s">
        <v>27</v>
      </c>
      <c r="G15953" s="33" t="s">
        <v>20</v>
      </c>
      <c r="H15953" s="35">
        <v>26</v>
      </c>
      <c r="I15953" s="33" t="s">
        <v>21</v>
      </c>
      <c r="J15953" s="42">
        <v>45125</v>
      </c>
      <c r="K15953" s="33" t="s">
        <v>22</v>
      </c>
    </row>
    <row r="15954" spans="1:11">
      <c r="A15954" s="30" t="s">
        <v>35817</v>
      </c>
      <c r="B15954" s="30" t="s">
        <v>35818</v>
      </c>
      <c r="C15954" s="30" t="s">
        <v>969</v>
      </c>
      <c r="D15954" s="30" t="s">
        <v>17</v>
      </c>
      <c r="E15954" s="30" t="s">
        <v>212</v>
      </c>
      <c r="F15954" s="30" t="s">
        <v>213</v>
      </c>
      <c r="G15954" s="30" t="s">
        <v>20</v>
      </c>
      <c r="H15954" s="32">
        <v>229</v>
      </c>
      <c r="I15954" s="30" t="s">
        <v>21</v>
      </c>
      <c r="J15954" s="41">
        <v>45083</v>
      </c>
      <c r="K15954" s="30" t="s">
        <v>22</v>
      </c>
    </row>
    <row r="15955" spans="1:11">
      <c r="A15955" s="33" t="s">
        <v>35819</v>
      </c>
      <c r="B15955" s="33" t="s">
        <v>35820</v>
      </c>
      <c r="C15955" s="33" t="s">
        <v>35821</v>
      </c>
      <c r="D15955" s="33" t="s">
        <v>17</v>
      </c>
      <c r="E15955" s="33" t="s">
        <v>67</v>
      </c>
      <c r="F15955" s="33" t="s">
        <v>68</v>
      </c>
      <c r="G15955" s="33" t="s">
        <v>140</v>
      </c>
      <c r="H15955" s="35">
        <v>210</v>
      </c>
      <c r="I15955" s="33" t="s">
        <v>51</v>
      </c>
      <c r="J15955" s="42">
        <v>45051</v>
      </c>
      <c r="K15955" s="33" t="s">
        <v>22</v>
      </c>
    </row>
    <row r="15956" spans="1:11">
      <c r="A15956" s="30" t="s">
        <v>35822</v>
      </c>
      <c r="B15956" s="30" t="s">
        <v>35823</v>
      </c>
      <c r="C15956" s="30" t="s">
        <v>35824</v>
      </c>
      <c r="D15956" s="30" t="s">
        <v>17</v>
      </c>
      <c r="E15956" s="30" t="s">
        <v>26</v>
      </c>
      <c r="F15956" s="30" t="s">
        <v>27</v>
      </c>
      <c r="G15956" s="30" t="s">
        <v>20</v>
      </c>
      <c r="H15956" s="32">
        <v>6</v>
      </c>
      <c r="I15956" s="30" t="s">
        <v>21</v>
      </c>
      <c r="J15956" s="41">
        <v>45058</v>
      </c>
      <c r="K15956" s="30" t="s">
        <v>22</v>
      </c>
    </row>
    <row r="15957" spans="1:11">
      <c r="A15957" s="33" t="s">
        <v>35825</v>
      </c>
      <c r="B15957" s="33" t="s">
        <v>35826</v>
      </c>
      <c r="C15957" s="33" t="s">
        <v>33455</v>
      </c>
      <c r="D15957" s="33" t="s">
        <v>17</v>
      </c>
      <c r="E15957" s="33" t="s">
        <v>18</v>
      </c>
      <c r="F15957" s="33" t="s">
        <v>19</v>
      </c>
      <c r="G15957" s="33" t="s">
        <v>20</v>
      </c>
      <c r="H15957" s="35">
        <v>614</v>
      </c>
      <c r="I15957" s="33" t="s">
        <v>21</v>
      </c>
      <c r="J15957" s="42">
        <v>45069</v>
      </c>
      <c r="K15957" s="33" t="s">
        <v>22</v>
      </c>
    </row>
    <row r="15958" spans="1:11">
      <c r="A15958" s="30" t="s">
        <v>35827</v>
      </c>
      <c r="B15958" s="30" t="s">
        <v>35828</v>
      </c>
      <c r="C15958" s="30" t="s">
        <v>1090</v>
      </c>
      <c r="D15958" s="30" t="s">
        <v>17</v>
      </c>
      <c r="E15958" s="30" t="s">
        <v>31</v>
      </c>
      <c r="F15958" s="30" t="s">
        <v>32</v>
      </c>
      <c r="G15958" s="30" t="s">
        <v>50</v>
      </c>
      <c r="H15958" s="32">
        <v>80</v>
      </c>
      <c r="I15958" s="30" t="s">
        <v>51</v>
      </c>
      <c r="J15958" s="41">
        <v>45104</v>
      </c>
      <c r="K15958" s="30" t="s">
        <v>22</v>
      </c>
    </row>
    <row r="15959" spans="1:11">
      <c r="A15959" s="33" t="s">
        <v>35829</v>
      </c>
      <c r="B15959" s="33" t="s">
        <v>35830</v>
      </c>
      <c r="C15959" s="33" t="s">
        <v>96</v>
      </c>
      <c r="D15959" s="33" t="s">
        <v>17</v>
      </c>
      <c r="E15959" s="33" t="s">
        <v>26</v>
      </c>
      <c r="F15959" s="33" t="s">
        <v>27</v>
      </c>
      <c r="G15959" s="33" t="s">
        <v>20</v>
      </c>
      <c r="H15959" s="35">
        <v>12</v>
      </c>
      <c r="I15959" s="33" t="s">
        <v>21</v>
      </c>
      <c r="J15959" s="42">
        <v>45055</v>
      </c>
      <c r="K15959" s="33" t="s">
        <v>22</v>
      </c>
    </row>
    <row r="15960" spans="1:11">
      <c r="A15960" s="30" t="s">
        <v>35831</v>
      </c>
      <c r="B15960" s="30" t="s">
        <v>35832</v>
      </c>
      <c r="C15960" s="30" t="s">
        <v>1835</v>
      </c>
      <c r="D15960" s="30" t="s">
        <v>17</v>
      </c>
      <c r="E15960" s="30" t="s">
        <v>18</v>
      </c>
      <c r="F15960" s="30" t="s">
        <v>19</v>
      </c>
      <c r="G15960" s="30" t="s">
        <v>20</v>
      </c>
      <c r="H15960" s="32">
        <v>7741</v>
      </c>
      <c r="I15960" s="30" t="s">
        <v>21</v>
      </c>
      <c r="J15960" s="41">
        <v>45233</v>
      </c>
      <c r="K15960" s="30" t="s">
        <v>22</v>
      </c>
    </row>
    <row r="15961" spans="1:11">
      <c r="A15961" s="33" t="s">
        <v>35833</v>
      </c>
      <c r="B15961" s="33" t="s">
        <v>35834</v>
      </c>
      <c r="C15961" s="33" t="s">
        <v>3971</v>
      </c>
      <c r="D15961" s="33" t="s">
        <v>17</v>
      </c>
      <c r="E15961" s="33" t="s">
        <v>31</v>
      </c>
      <c r="F15961" s="33" t="s">
        <v>32</v>
      </c>
      <c r="G15961" s="33" t="s">
        <v>20</v>
      </c>
      <c r="H15961" s="35">
        <v>39</v>
      </c>
      <c r="I15961" s="33" t="s">
        <v>21</v>
      </c>
      <c r="J15961" s="42">
        <v>45036</v>
      </c>
      <c r="K15961" s="33" t="s">
        <v>22</v>
      </c>
    </row>
    <row r="15962" spans="1:11">
      <c r="A15962" s="30" t="s">
        <v>35835</v>
      </c>
      <c r="B15962" s="30" t="s">
        <v>35836</v>
      </c>
      <c r="C15962" s="30" t="s">
        <v>149</v>
      </c>
      <c r="D15962" s="30" t="s">
        <v>17</v>
      </c>
      <c r="E15962" s="30" t="s">
        <v>18</v>
      </c>
      <c r="F15962" s="30" t="s">
        <v>19</v>
      </c>
      <c r="G15962" s="30" t="s">
        <v>20</v>
      </c>
      <c r="H15962" s="32">
        <v>513</v>
      </c>
      <c r="I15962" s="30" t="s">
        <v>21</v>
      </c>
      <c r="J15962" s="41">
        <v>45016</v>
      </c>
      <c r="K15962" s="30" t="s">
        <v>22</v>
      </c>
    </row>
    <row r="15963" spans="1:11">
      <c r="A15963" s="33" t="s">
        <v>35837</v>
      </c>
      <c r="B15963" s="33" t="s">
        <v>35838</v>
      </c>
      <c r="C15963" s="33" t="s">
        <v>96</v>
      </c>
      <c r="D15963" s="33" t="s">
        <v>17</v>
      </c>
      <c r="E15963" s="33" t="s">
        <v>26</v>
      </c>
      <c r="F15963" s="33" t="s">
        <v>27</v>
      </c>
      <c r="G15963" s="33" t="s">
        <v>20</v>
      </c>
      <c r="H15963" s="35">
        <v>24</v>
      </c>
      <c r="I15963" s="33" t="s">
        <v>21</v>
      </c>
      <c r="J15963" s="42">
        <v>44953</v>
      </c>
      <c r="K15963" s="33" t="s">
        <v>22</v>
      </c>
    </row>
    <row r="15964" spans="1:11">
      <c r="A15964" s="30" t="s">
        <v>35839</v>
      </c>
      <c r="B15964" s="30" t="s">
        <v>35840</v>
      </c>
      <c r="C15964" s="30" t="s">
        <v>109</v>
      </c>
      <c r="D15964" s="30" t="s">
        <v>17</v>
      </c>
      <c r="E15964" s="30" t="s">
        <v>18</v>
      </c>
      <c r="F15964" s="30" t="s">
        <v>19</v>
      </c>
      <c r="G15964" s="30" t="s">
        <v>158</v>
      </c>
      <c r="H15964" s="32">
        <v>470</v>
      </c>
      <c r="I15964" s="30" t="s">
        <v>21</v>
      </c>
      <c r="J15964" s="41">
        <v>45245</v>
      </c>
      <c r="K15964" s="30" t="s">
        <v>22</v>
      </c>
    </row>
    <row r="15965" spans="1:11">
      <c r="A15965" s="33" t="s">
        <v>35841</v>
      </c>
      <c r="B15965" s="33" t="s">
        <v>35842</v>
      </c>
      <c r="C15965" s="33" t="s">
        <v>28620</v>
      </c>
      <c r="D15965" s="33" t="s">
        <v>17</v>
      </c>
      <c r="E15965" s="33" t="s">
        <v>26</v>
      </c>
      <c r="F15965" s="33" t="s">
        <v>27</v>
      </c>
      <c r="G15965" s="33" t="s">
        <v>20</v>
      </c>
      <c r="H15965" s="35">
        <v>55</v>
      </c>
      <c r="I15965" s="33" t="s">
        <v>21</v>
      </c>
      <c r="J15965" s="42">
        <v>45168</v>
      </c>
      <c r="K15965" s="33" t="s">
        <v>22</v>
      </c>
    </row>
    <row r="15966" spans="1:11">
      <c r="A15966" s="30" t="s">
        <v>35843</v>
      </c>
      <c r="B15966" s="30" t="s">
        <v>35844</v>
      </c>
      <c r="C15966" s="30" t="s">
        <v>31709</v>
      </c>
      <c r="D15966" s="30" t="s">
        <v>17</v>
      </c>
      <c r="E15966" s="30" t="s">
        <v>18</v>
      </c>
      <c r="F15966" s="30" t="s">
        <v>19</v>
      </c>
      <c r="G15966" s="30" t="s">
        <v>50</v>
      </c>
      <c r="H15966" s="32">
        <v>558</v>
      </c>
      <c r="I15966" s="30" t="s">
        <v>51</v>
      </c>
      <c r="J15966" s="41">
        <v>45232</v>
      </c>
      <c r="K15966" s="30" t="s">
        <v>22</v>
      </c>
    </row>
    <row r="15967" spans="1:11">
      <c r="A15967" s="33" t="s">
        <v>35845</v>
      </c>
      <c r="B15967" s="33" t="s">
        <v>35846</v>
      </c>
      <c r="C15967" s="33" t="s">
        <v>2135</v>
      </c>
      <c r="D15967" s="33" t="s">
        <v>17</v>
      </c>
      <c r="E15967" s="33" t="s">
        <v>212</v>
      </c>
      <c r="F15967" s="33" t="s">
        <v>213</v>
      </c>
      <c r="G15967" s="33" t="s">
        <v>140</v>
      </c>
      <c r="H15967" s="35">
        <v>48</v>
      </c>
      <c r="I15967" s="33" t="s">
        <v>51</v>
      </c>
      <c r="J15967" s="42">
        <v>45280</v>
      </c>
      <c r="K15967" s="33" t="s">
        <v>22</v>
      </c>
    </row>
    <row r="15968" spans="1:11">
      <c r="A15968" s="30" t="s">
        <v>35847</v>
      </c>
      <c r="B15968" s="30" t="s">
        <v>35848</v>
      </c>
      <c r="C15968" s="30" t="s">
        <v>432</v>
      </c>
      <c r="D15968" s="30" t="s">
        <v>17</v>
      </c>
      <c r="E15968" s="30" t="s">
        <v>26</v>
      </c>
      <c r="F15968" s="30" t="s">
        <v>27</v>
      </c>
      <c r="G15968" s="30" t="s">
        <v>50</v>
      </c>
      <c r="H15968" s="32">
        <v>34</v>
      </c>
      <c r="I15968" s="30" t="s">
        <v>51</v>
      </c>
      <c r="J15968" s="41">
        <v>44974</v>
      </c>
      <c r="K15968" s="30" t="s">
        <v>22</v>
      </c>
    </row>
    <row r="15969" spans="1:11">
      <c r="A15969" s="33" t="s">
        <v>35849</v>
      </c>
      <c r="B15969" s="33" t="s">
        <v>35850</v>
      </c>
      <c r="C15969" s="33" t="s">
        <v>969</v>
      </c>
      <c r="D15969" s="33" t="s">
        <v>17</v>
      </c>
      <c r="E15969" s="33" t="s">
        <v>26</v>
      </c>
      <c r="F15969" s="33" t="s">
        <v>27</v>
      </c>
      <c r="G15969" s="33" t="s">
        <v>20</v>
      </c>
      <c r="H15969" s="35">
        <v>27</v>
      </c>
      <c r="I15969" s="33" t="s">
        <v>21</v>
      </c>
      <c r="J15969" s="42">
        <v>45027</v>
      </c>
      <c r="K15969" s="33" t="s">
        <v>22</v>
      </c>
    </row>
    <row r="15970" spans="1:11">
      <c r="A15970" s="30" t="s">
        <v>35851</v>
      </c>
      <c r="B15970" s="30" t="s">
        <v>35852</v>
      </c>
      <c r="C15970" s="30" t="s">
        <v>93</v>
      </c>
      <c r="D15970" s="30" t="s">
        <v>17</v>
      </c>
      <c r="E15970" s="30" t="s">
        <v>31</v>
      </c>
      <c r="F15970" s="30" t="s">
        <v>32</v>
      </c>
      <c r="G15970" s="30" t="s">
        <v>106</v>
      </c>
      <c r="H15970" s="32">
        <v>80</v>
      </c>
      <c r="I15970" s="30" t="s">
        <v>21</v>
      </c>
      <c r="J15970" s="41">
        <v>45138</v>
      </c>
      <c r="K15970" s="30" t="s">
        <v>22</v>
      </c>
    </row>
    <row r="15971" spans="1:11">
      <c r="A15971" s="33" t="s">
        <v>35853</v>
      </c>
      <c r="B15971" s="33" t="s">
        <v>35854</v>
      </c>
      <c r="C15971" s="33" t="s">
        <v>517</v>
      </c>
      <c r="D15971" s="33" t="s">
        <v>17</v>
      </c>
      <c r="E15971" s="33" t="s">
        <v>26</v>
      </c>
      <c r="F15971" s="33" t="s">
        <v>27</v>
      </c>
      <c r="G15971" s="33" t="s">
        <v>20</v>
      </c>
      <c r="H15971" s="35">
        <v>24</v>
      </c>
      <c r="I15971" s="33" t="s">
        <v>21</v>
      </c>
      <c r="J15971" s="42">
        <v>45184</v>
      </c>
      <c r="K15971" s="33" t="s">
        <v>22</v>
      </c>
    </row>
    <row r="15972" spans="1:11">
      <c r="A15972" s="30" t="s">
        <v>35855</v>
      </c>
      <c r="B15972" s="30" t="s">
        <v>35856</v>
      </c>
      <c r="C15972" s="30" t="s">
        <v>16063</v>
      </c>
      <c r="D15972" s="30" t="s">
        <v>17</v>
      </c>
      <c r="E15972" s="30" t="s">
        <v>26</v>
      </c>
      <c r="F15972" s="30" t="s">
        <v>27</v>
      </c>
      <c r="G15972" s="30" t="s">
        <v>140</v>
      </c>
      <c r="H15972" s="32">
        <v>300</v>
      </c>
      <c r="I15972" s="30" t="s">
        <v>51</v>
      </c>
      <c r="J15972" s="41">
        <v>45217</v>
      </c>
      <c r="K15972" s="30" t="s">
        <v>22</v>
      </c>
    </row>
    <row r="15973" spans="1:11">
      <c r="A15973" s="33" t="s">
        <v>35857</v>
      </c>
      <c r="B15973" s="33" t="s">
        <v>35858</v>
      </c>
      <c r="C15973" s="33" t="s">
        <v>3514</v>
      </c>
      <c r="D15973" s="33" t="s">
        <v>17</v>
      </c>
      <c r="E15973" s="33" t="s">
        <v>31</v>
      </c>
      <c r="F15973" s="33" t="s">
        <v>32</v>
      </c>
      <c r="G15973" s="33" t="s">
        <v>20</v>
      </c>
      <c r="H15973" s="35">
        <v>32</v>
      </c>
      <c r="I15973" s="33" t="s">
        <v>21</v>
      </c>
      <c r="J15973" s="42">
        <v>45224</v>
      </c>
      <c r="K15973" s="33" t="s">
        <v>22</v>
      </c>
    </row>
    <row r="15974" spans="1:11">
      <c r="A15974" s="30" t="s">
        <v>35859</v>
      </c>
      <c r="B15974" s="30" t="s">
        <v>35860</v>
      </c>
      <c r="C15974" s="30" t="s">
        <v>17048</v>
      </c>
      <c r="D15974" s="30" t="s">
        <v>17</v>
      </c>
      <c r="E15974" s="30" t="s">
        <v>26</v>
      </c>
      <c r="F15974" s="30" t="s">
        <v>27</v>
      </c>
      <c r="G15974" s="30" t="s">
        <v>106</v>
      </c>
      <c r="H15974" s="32">
        <v>23</v>
      </c>
      <c r="I15974" s="30" t="s">
        <v>21</v>
      </c>
      <c r="J15974" s="41">
        <v>45145</v>
      </c>
      <c r="K15974" s="30" t="s">
        <v>22</v>
      </c>
    </row>
    <row r="15975" spans="1:11">
      <c r="A15975" s="33" t="s">
        <v>35861</v>
      </c>
      <c r="B15975" s="33" t="s">
        <v>35862</v>
      </c>
      <c r="C15975" s="33" t="s">
        <v>34989</v>
      </c>
      <c r="D15975" s="33" t="s">
        <v>17</v>
      </c>
      <c r="E15975" s="33" t="s">
        <v>26</v>
      </c>
      <c r="F15975" s="33" t="s">
        <v>27</v>
      </c>
      <c r="G15975" s="33" t="s">
        <v>50</v>
      </c>
      <c r="H15975" s="35">
        <v>110</v>
      </c>
      <c r="I15975" s="33" t="s">
        <v>51</v>
      </c>
      <c r="J15975" s="42">
        <v>45257</v>
      </c>
      <c r="K15975" s="33" t="s">
        <v>22</v>
      </c>
    </row>
    <row r="15976" spans="1:11">
      <c r="A15976" s="30" t="s">
        <v>35863</v>
      </c>
      <c r="B15976" s="30" t="s">
        <v>35864</v>
      </c>
      <c r="C15976" s="30" t="s">
        <v>1090</v>
      </c>
      <c r="D15976" s="30" t="s">
        <v>17</v>
      </c>
      <c r="E15976" s="30" t="s">
        <v>26</v>
      </c>
      <c r="F15976" s="30" t="s">
        <v>27</v>
      </c>
      <c r="G15976" s="30" t="s">
        <v>50</v>
      </c>
      <c r="H15976" s="32">
        <v>12</v>
      </c>
      <c r="I15976" s="30" t="s">
        <v>51</v>
      </c>
      <c r="J15976" s="41">
        <v>45022</v>
      </c>
      <c r="K15976" s="30" t="s">
        <v>22</v>
      </c>
    </row>
    <row r="15977" spans="1:11">
      <c r="A15977" s="33" t="s">
        <v>35865</v>
      </c>
      <c r="B15977" s="33" t="s">
        <v>35866</v>
      </c>
      <c r="C15977" s="33" t="s">
        <v>154</v>
      </c>
      <c r="D15977" s="33" t="s">
        <v>17</v>
      </c>
      <c r="E15977" s="33" t="s">
        <v>31</v>
      </c>
      <c r="F15977" s="33" t="s">
        <v>32</v>
      </c>
      <c r="G15977" s="33" t="s">
        <v>20</v>
      </c>
      <c r="H15977" s="35">
        <v>118</v>
      </c>
      <c r="I15977" s="33" t="s">
        <v>21</v>
      </c>
      <c r="J15977" s="42">
        <v>45238</v>
      </c>
      <c r="K15977" s="33" t="s">
        <v>22</v>
      </c>
    </row>
    <row r="15978" spans="1:11">
      <c r="A15978" s="30" t="s">
        <v>35867</v>
      </c>
      <c r="B15978" s="30" t="s">
        <v>35868</v>
      </c>
      <c r="C15978" s="30" t="s">
        <v>21728</v>
      </c>
      <c r="D15978" s="30" t="s">
        <v>17</v>
      </c>
      <c r="E15978" s="30" t="s">
        <v>31</v>
      </c>
      <c r="F15978" s="30" t="s">
        <v>32</v>
      </c>
      <c r="G15978" s="30" t="s">
        <v>112</v>
      </c>
      <c r="H15978" s="32">
        <v>0</v>
      </c>
      <c r="I15978" s="30" t="s">
        <v>21</v>
      </c>
      <c r="J15978" s="41">
        <v>45168</v>
      </c>
      <c r="K15978" s="30" t="s">
        <v>22</v>
      </c>
    </row>
    <row r="15979" spans="1:11">
      <c r="A15979" s="33" t="s">
        <v>35869</v>
      </c>
      <c r="B15979" s="33" t="s">
        <v>35870</v>
      </c>
      <c r="C15979" s="33" t="s">
        <v>644</v>
      </c>
      <c r="D15979" s="33" t="s">
        <v>17</v>
      </c>
      <c r="E15979" s="33" t="s">
        <v>67</v>
      </c>
      <c r="F15979" s="33" t="s">
        <v>68</v>
      </c>
      <c r="G15979" s="33" t="s">
        <v>140</v>
      </c>
      <c r="H15979" s="35">
        <v>221</v>
      </c>
      <c r="I15979" s="33" t="s">
        <v>51</v>
      </c>
      <c r="J15979" s="42">
        <v>45183</v>
      </c>
      <c r="K15979" s="33" t="s">
        <v>22</v>
      </c>
    </row>
    <row r="15980" spans="1:11">
      <c r="A15980" s="30" t="s">
        <v>35871</v>
      </c>
      <c r="B15980" s="30" t="s">
        <v>35872</v>
      </c>
      <c r="C15980" s="30" t="s">
        <v>190</v>
      </c>
      <c r="D15980" s="30" t="s">
        <v>17</v>
      </c>
      <c r="E15980" s="30" t="s">
        <v>18</v>
      </c>
      <c r="F15980" s="30" t="s">
        <v>19</v>
      </c>
      <c r="G15980" s="30" t="s">
        <v>20</v>
      </c>
      <c r="H15980" s="32">
        <v>1713</v>
      </c>
      <c r="I15980" s="30" t="s">
        <v>21</v>
      </c>
      <c r="J15980" s="41">
        <v>44991</v>
      </c>
      <c r="K15980" s="30" t="s">
        <v>22</v>
      </c>
    </row>
    <row r="15981" spans="1:11">
      <c r="A15981" s="33" t="s">
        <v>35873</v>
      </c>
      <c r="B15981" s="33" t="s">
        <v>35874</v>
      </c>
      <c r="C15981" s="33" t="s">
        <v>136</v>
      </c>
      <c r="D15981" s="33" t="s">
        <v>17</v>
      </c>
      <c r="E15981" s="33" t="s">
        <v>26</v>
      </c>
      <c r="F15981" s="33" t="s">
        <v>27</v>
      </c>
      <c r="G15981" s="33" t="s">
        <v>140</v>
      </c>
      <c r="H15981" s="35">
        <v>225</v>
      </c>
      <c r="I15981" s="33" t="s">
        <v>51</v>
      </c>
      <c r="J15981" s="42">
        <v>45267</v>
      </c>
      <c r="K15981" s="33" t="s">
        <v>22</v>
      </c>
    </row>
    <row r="15982" spans="1:11">
      <c r="A15982" s="30" t="s">
        <v>35875</v>
      </c>
      <c r="B15982" s="30" t="s">
        <v>35876</v>
      </c>
      <c r="C15982" s="30" t="s">
        <v>10293</v>
      </c>
      <c r="D15982" s="30" t="s">
        <v>17</v>
      </c>
      <c r="E15982" s="30" t="s">
        <v>26</v>
      </c>
      <c r="F15982" s="30" t="s">
        <v>27</v>
      </c>
      <c r="G15982" s="30" t="s">
        <v>20</v>
      </c>
      <c r="H15982" s="32">
        <v>29</v>
      </c>
      <c r="I15982" s="30" t="s">
        <v>21</v>
      </c>
      <c r="J15982" s="41">
        <v>44950</v>
      </c>
      <c r="K15982" s="30" t="s">
        <v>22</v>
      </c>
    </row>
    <row r="15983" spans="1:11">
      <c r="A15983" s="33" t="s">
        <v>35877</v>
      </c>
      <c r="B15983" s="33" t="s">
        <v>35878</v>
      </c>
      <c r="C15983" s="33" t="s">
        <v>21185</v>
      </c>
      <c r="D15983" s="33" t="s">
        <v>17</v>
      </c>
      <c r="E15983" s="33" t="s">
        <v>26</v>
      </c>
      <c r="F15983" s="33" t="s">
        <v>27</v>
      </c>
      <c r="G15983" s="33" t="s">
        <v>158</v>
      </c>
      <c r="H15983" s="35">
        <v>219</v>
      </c>
      <c r="I15983" s="33" t="s">
        <v>21</v>
      </c>
      <c r="J15983" s="42">
        <v>44994</v>
      </c>
      <c r="K15983" s="33" t="s">
        <v>22</v>
      </c>
    </row>
    <row r="15984" spans="1:11">
      <c r="A15984" s="30" t="s">
        <v>35879</v>
      </c>
      <c r="B15984" s="30" t="s">
        <v>35880</v>
      </c>
      <c r="C15984" s="30" t="s">
        <v>10123</v>
      </c>
      <c r="D15984" s="30" t="s">
        <v>17</v>
      </c>
      <c r="E15984" s="30" t="s">
        <v>26</v>
      </c>
      <c r="F15984" s="30" t="s">
        <v>27</v>
      </c>
      <c r="G15984" s="30" t="s">
        <v>50</v>
      </c>
      <c r="H15984" s="32">
        <v>20</v>
      </c>
      <c r="I15984" s="30" t="s">
        <v>51</v>
      </c>
      <c r="J15984" s="41">
        <v>45139</v>
      </c>
      <c r="K15984" s="30" t="s">
        <v>22</v>
      </c>
    </row>
    <row r="15985" spans="1:11">
      <c r="A15985" s="33" t="s">
        <v>35881</v>
      </c>
      <c r="B15985" s="33" t="s">
        <v>35882</v>
      </c>
      <c r="C15985" s="33" t="s">
        <v>93</v>
      </c>
      <c r="D15985" s="33" t="s">
        <v>17</v>
      </c>
      <c r="E15985" s="33" t="s">
        <v>26</v>
      </c>
      <c r="F15985" s="33" t="s">
        <v>27</v>
      </c>
      <c r="G15985" s="33" t="s">
        <v>140</v>
      </c>
      <c r="H15985" s="35">
        <v>154</v>
      </c>
      <c r="I15985" s="33" t="s">
        <v>51</v>
      </c>
      <c r="J15985" s="42">
        <v>45042</v>
      </c>
      <c r="K15985" s="33" t="s">
        <v>22</v>
      </c>
    </row>
    <row r="15986" spans="1:11">
      <c r="A15986" s="30" t="s">
        <v>35883</v>
      </c>
      <c r="B15986" s="30" t="s">
        <v>35884</v>
      </c>
      <c r="C15986" s="30" t="s">
        <v>7388</v>
      </c>
      <c r="D15986" s="30" t="s">
        <v>17</v>
      </c>
      <c r="E15986" s="30" t="s">
        <v>31</v>
      </c>
      <c r="F15986" s="30" t="s">
        <v>32</v>
      </c>
      <c r="G15986" s="30" t="s">
        <v>112</v>
      </c>
      <c r="H15986" s="32">
        <v>0</v>
      </c>
      <c r="I15986" s="30" t="s">
        <v>21</v>
      </c>
      <c r="J15986" s="41">
        <v>44927</v>
      </c>
      <c r="K15986" s="30" t="s">
        <v>22</v>
      </c>
    </row>
    <row r="15987" spans="1:11">
      <c r="A15987" s="33" t="s">
        <v>35885</v>
      </c>
      <c r="B15987" s="33" t="s">
        <v>35886</v>
      </c>
      <c r="C15987" s="33" t="s">
        <v>1042</v>
      </c>
      <c r="D15987" s="33" t="s">
        <v>17</v>
      </c>
      <c r="E15987" s="33" t="s">
        <v>31</v>
      </c>
      <c r="F15987" s="33" t="s">
        <v>32</v>
      </c>
      <c r="G15987" s="33" t="s">
        <v>20</v>
      </c>
      <c r="H15987" s="35">
        <v>8</v>
      </c>
      <c r="I15987" s="33" t="s">
        <v>21</v>
      </c>
      <c r="J15987" s="42">
        <v>44972</v>
      </c>
      <c r="K15987" s="33" t="s">
        <v>22</v>
      </c>
    </row>
    <row r="15988" spans="1:11">
      <c r="A15988" s="30" t="s">
        <v>35887</v>
      </c>
      <c r="B15988" s="30" t="s">
        <v>35888</v>
      </c>
      <c r="C15988" s="30" t="s">
        <v>161</v>
      </c>
      <c r="D15988" s="30" t="s">
        <v>17</v>
      </c>
      <c r="E15988" s="30" t="s">
        <v>45</v>
      </c>
      <c r="F15988" s="30" t="s">
        <v>46</v>
      </c>
      <c r="G15988" s="30" t="s">
        <v>20</v>
      </c>
      <c r="H15988" s="32">
        <v>2282</v>
      </c>
      <c r="I15988" s="30" t="s">
        <v>21</v>
      </c>
      <c r="J15988" s="41">
        <v>45180</v>
      </c>
      <c r="K15988" s="30" t="s">
        <v>22</v>
      </c>
    </row>
    <row r="15989" spans="1:11">
      <c r="A15989" s="33" t="s">
        <v>35889</v>
      </c>
      <c r="B15989" s="33" t="s">
        <v>35890</v>
      </c>
      <c r="C15989" s="33" t="s">
        <v>6663</v>
      </c>
      <c r="D15989" s="33" t="s">
        <v>17</v>
      </c>
      <c r="E15989" s="33" t="s">
        <v>67</v>
      </c>
      <c r="F15989" s="33" t="s">
        <v>68</v>
      </c>
      <c r="G15989" s="33" t="s">
        <v>140</v>
      </c>
      <c r="H15989" s="35">
        <v>178</v>
      </c>
      <c r="I15989" s="33" t="s">
        <v>51</v>
      </c>
      <c r="J15989" s="42">
        <v>45268</v>
      </c>
      <c r="K15989" s="33" t="s">
        <v>22</v>
      </c>
    </row>
    <row r="15990" spans="1:11">
      <c r="A15990" s="30" t="s">
        <v>35891</v>
      </c>
      <c r="B15990" s="30" t="s">
        <v>35892</v>
      </c>
      <c r="C15990" s="30" t="s">
        <v>6460</v>
      </c>
      <c r="D15990" s="30" t="s">
        <v>17</v>
      </c>
      <c r="E15990" s="30" t="s">
        <v>26</v>
      </c>
      <c r="F15990" s="30" t="s">
        <v>27</v>
      </c>
      <c r="G15990" s="30" t="s">
        <v>140</v>
      </c>
      <c r="H15990" s="32">
        <v>30</v>
      </c>
      <c r="I15990" s="30" t="s">
        <v>51</v>
      </c>
      <c r="J15990" s="41">
        <v>45246</v>
      </c>
      <c r="K15990" s="30" t="s">
        <v>22</v>
      </c>
    </row>
    <row r="15991" spans="1:11">
      <c r="A15991" s="33" t="s">
        <v>35893</v>
      </c>
      <c r="B15991" s="33" t="s">
        <v>35894</v>
      </c>
      <c r="C15991" s="33" t="s">
        <v>10727</v>
      </c>
      <c r="D15991" s="33" t="s">
        <v>17</v>
      </c>
      <c r="E15991" s="33" t="s">
        <v>67</v>
      </c>
      <c r="F15991" s="33" t="s">
        <v>68</v>
      </c>
      <c r="G15991" s="33" t="s">
        <v>140</v>
      </c>
      <c r="H15991" s="35">
        <v>140</v>
      </c>
      <c r="I15991" s="33" t="s">
        <v>51</v>
      </c>
      <c r="J15991" s="42">
        <v>44995</v>
      </c>
      <c r="K15991" s="33" t="s">
        <v>22</v>
      </c>
    </row>
    <row r="15992" spans="1:11">
      <c r="A15992" s="30" t="s">
        <v>35895</v>
      </c>
      <c r="B15992" s="30" t="s">
        <v>35896</v>
      </c>
      <c r="C15992" s="30" t="s">
        <v>8554</v>
      </c>
      <c r="D15992" s="30" t="s">
        <v>17</v>
      </c>
      <c r="E15992" s="30" t="s">
        <v>31</v>
      </c>
      <c r="F15992" s="30" t="s">
        <v>32</v>
      </c>
      <c r="G15992" s="30" t="s">
        <v>50</v>
      </c>
      <c r="H15992" s="32">
        <v>70</v>
      </c>
      <c r="I15992" s="30" t="s">
        <v>51</v>
      </c>
      <c r="J15992" s="41">
        <v>44965</v>
      </c>
      <c r="K15992" s="30" t="s">
        <v>22</v>
      </c>
    </row>
    <row r="15993" spans="1:11">
      <c r="A15993" s="33" t="s">
        <v>35897</v>
      </c>
      <c r="B15993" s="33" t="s">
        <v>35898</v>
      </c>
      <c r="C15993" s="33" t="s">
        <v>26248</v>
      </c>
      <c r="D15993" s="33" t="s">
        <v>17</v>
      </c>
      <c r="E15993" s="33" t="s">
        <v>26</v>
      </c>
      <c r="F15993" s="33" t="s">
        <v>27</v>
      </c>
      <c r="G15993" s="33" t="s">
        <v>20</v>
      </c>
      <c r="H15993" s="35">
        <v>6</v>
      </c>
      <c r="I15993" s="33" t="s">
        <v>21</v>
      </c>
      <c r="J15993" s="42">
        <v>45061</v>
      </c>
      <c r="K15993" s="33" t="s">
        <v>22</v>
      </c>
    </row>
    <row r="15994" spans="1:11">
      <c r="A15994" s="30" t="s">
        <v>35899</v>
      </c>
      <c r="B15994" s="30" t="s">
        <v>35900</v>
      </c>
      <c r="C15994" s="30" t="s">
        <v>30604</v>
      </c>
      <c r="D15994" s="30" t="s">
        <v>17</v>
      </c>
      <c r="E15994" s="30" t="s">
        <v>31</v>
      </c>
      <c r="F15994" s="30" t="s">
        <v>32</v>
      </c>
      <c r="G15994" s="30" t="s">
        <v>106</v>
      </c>
      <c r="H15994" s="32">
        <v>20</v>
      </c>
      <c r="I15994" s="30" t="s">
        <v>21</v>
      </c>
      <c r="J15994" s="41">
        <v>45252</v>
      </c>
      <c r="K15994" s="30" t="s">
        <v>22</v>
      </c>
    </row>
    <row r="15995" spans="1:11">
      <c r="A15995" s="33" t="s">
        <v>35901</v>
      </c>
      <c r="B15995" s="33" t="s">
        <v>35902</v>
      </c>
      <c r="C15995" s="33" t="s">
        <v>21831</v>
      </c>
      <c r="D15995" s="33" t="s">
        <v>17</v>
      </c>
      <c r="E15995" s="33" t="s">
        <v>26</v>
      </c>
      <c r="F15995" s="33" t="s">
        <v>27</v>
      </c>
      <c r="G15995" s="33" t="s">
        <v>112</v>
      </c>
      <c r="H15995" s="35">
        <v>0</v>
      </c>
      <c r="I15995" s="33" t="s">
        <v>21</v>
      </c>
      <c r="J15995" s="42">
        <v>45261</v>
      </c>
      <c r="K15995" s="33" t="s">
        <v>22</v>
      </c>
    </row>
    <row r="15996" spans="1:11">
      <c r="A15996" s="30" t="s">
        <v>35903</v>
      </c>
      <c r="B15996" s="30" t="s">
        <v>35904</v>
      </c>
      <c r="C15996" s="30" t="s">
        <v>22999</v>
      </c>
      <c r="D15996" s="30" t="s">
        <v>17</v>
      </c>
      <c r="E15996" s="30" t="s">
        <v>26</v>
      </c>
      <c r="F15996" s="30" t="s">
        <v>27</v>
      </c>
      <c r="G15996" s="30" t="s">
        <v>20</v>
      </c>
      <c r="H15996" s="32">
        <v>40</v>
      </c>
      <c r="I15996" s="30" t="s">
        <v>21</v>
      </c>
      <c r="J15996" s="41">
        <v>45096</v>
      </c>
      <c r="K15996" s="30" t="s">
        <v>22</v>
      </c>
    </row>
    <row r="15997" spans="1:11">
      <c r="A15997" s="33" t="s">
        <v>35905</v>
      </c>
      <c r="B15997" s="33" t="s">
        <v>35906</v>
      </c>
      <c r="C15997" s="33" t="s">
        <v>14292</v>
      </c>
      <c r="D15997" s="33" t="s">
        <v>17</v>
      </c>
      <c r="E15997" s="33" t="s">
        <v>26</v>
      </c>
      <c r="F15997" s="33" t="s">
        <v>27</v>
      </c>
      <c r="G15997" s="33" t="s">
        <v>112</v>
      </c>
      <c r="H15997" s="35">
        <v>0</v>
      </c>
      <c r="I15997" s="33" t="s">
        <v>21</v>
      </c>
      <c r="J15997" s="42">
        <v>45015</v>
      </c>
      <c r="K15997" s="33" t="s">
        <v>22</v>
      </c>
    </row>
    <row r="15998" spans="1:11">
      <c r="A15998" s="30" t="s">
        <v>35907</v>
      </c>
      <c r="B15998" s="30" t="s">
        <v>35908</v>
      </c>
      <c r="C15998" s="30" t="s">
        <v>190</v>
      </c>
      <c r="D15998" s="30" t="s">
        <v>17</v>
      </c>
      <c r="E15998" s="30" t="s">
        <v>26</v>
      </c>
      <c r="F15998" s="30" t="s">
        <v>27</v>
      </c>
      <c r="G15998" s="30" t="s">
        <v>20</v>
      </c>
      <c r="H15998" s="32">
        <v>40</v>
      </c>
      <c r="I15998" s="30" t="s">
        <v>21</v>
      </c>
      <c r="J15998" s="41">
        <v>45245</v>
      </c>
      <c r="K15998" s="30" t="s">
        <v>22</v>
      </c>
    </row>
    <row r="15999" spans="1:11">
      <c r="A15999" s="33" t="s">
        <v>35909</v>
      </c>
      <c r="B15999" s="33" t="s">
        <v>35910</v>
      </c>
      <c r="C15999" s="33" t="s">
        <v>190</v>
      </c>
      <c r="D15999" s="33" t="s">
        <v>17</v>
      </c>
      <c r="E15999" s="33" t="s">
        <v>18</v>
      </c>
      <c r="F15999" s="33" t="s">
        <v>19</v>
      </c>
      <c r="G15999" s="33" t="s">
        <v>20</v>
      </c>
      <c r="H15999" s="35">
        <v>374</v>
      </c>
      <c r="I15999" s="33" t="s">
        <v>21</v>
      </c>
      <c r="J15999" s="42">
        <v>44984</v>
      </c>
      <c r="K15999" s="33" t="s">
        <v>22</v>
      </c>
    </row>
    <row r="16000" spans="1:11">
      <c r="A16000" s="30" t="s">
        <v>35911</v>
      </c>
      <c r="B16000" s="30" t="s">
        <v>35912</v>
      </c>
      <c r="C16000" s="30" t="s">
        <v>34377</v>
      </c>
      <c r="D16000" s="30" t="s">
        <v>17</v>
      </c>
      <c r="E16000" s="30" t="s">
        <v>67</v>
      </c>
      <c r="F16000" s="30" t="s">
        <v>68</v>
      </c>
      <c r="G16000" s="30" t="s">
        <v>20</v>
      </c>
      <c r="H16000" s="32">
        <v>142</v>
      </c>
      <c r="I16000" s="30" t="s">
        <v>21</v>
      </c>
      <c r="J16000" s="41">
        <v>44935</v>
      </c>
      <c r="K16000" s="30" t="s">
        <v>22</v>
      </c>
    </row>
    <row r="16001" spans="1:11">
      <c r="A16001" s="33" t="s">
        <v>35913</v>
      </c>
      <c r="B16001" s="33" t="s">
        <v>35914</v>
      </c>
      <c r="C16001" s="33" t="s">
        <v>2313</v>
      </c>
      <c r="D16001" s="33" t="s">
        <v>17</v>
      </c>
      <c r="E16001" s="33" t="s">
        <v>31</v>
      </c>
      <c r="F16001" s="33" t="s">
        <v>32</v>
      </c>
      <c r="G16001" s="33" t="s">
        <v>140</v>
      </c>
      <c r="H16001" s="35">
        <v>60</v>
      </c>
      <c r="I16001" s="33" t="s">
        <v>51</v>
      </c>
      <c r="J16001" s="42">
        <v>45008</v>
      </c>
      <c r="K16001" s="33" t="s">
        <v>22</v>
      </c>
    </row>
    <row r="16002" spans="1:11">
      <c r="A16002" s="30" t="s">
        <v>35915</v>
      </c>
      <c r="B16002" s="30" t="s">
        <v>35916</v>
      </c>
      <c r="C16002" s="30" t="s">
        <v>925</v>
      </c>
      <c r="D16002" s="30" t="s">
        <v>17</v>
      </c>
      <c r="E16002" s="30" t="s">
        <v>212</v>
      </c>
      <c r="F16002" s="30" t="s">
        <v>213</v>
      </c>
      <c r="G16002" s="30" t="s">
        <v>20</v>
      </c>
      <c r="H16002" s="32">
        <v>33</v>
      </c>
      <c r="I16002" s="30" t="s">
        <v>21</v>
      </c>
      <c r="J16002" s="41">
        <v>45273</v>
      </c>
      <c r="K16002" s="30" t="s">
        <v>22</v>
      </c>
    </row>
    <row r="16003" spans="1:11">
      <c r="A16003" s="33" t="s">
        <v>35917</v>
      </c>
      <c r="B16003" s="33" t="s">
        <v>35918</v>
      </c>
      <c r="C16003" s="33" t="s">
        <v>57</v>
      </c>
      <c r="D16003" s="33" t="s">
        <v>17</v>
      </c>
      <c r="E16003" s="33" t="s">
        <v>26</v>
      </c>
      <c r="F16003" s="33" t="s">
        <v>27</v>
      </c>
      <c r="G16003" s="33" t="s">
        <v>50</v>
      </c>
      <c r="H16003" s="35">
        <v>24</v>
      </c>
      <c r="I16003" s="33" t="s">
        <v>51</v>
      </c>
      <c r="J16003" s="42">
        <v>45139</v>
      </c>
      <c r="K16003" s="33" t="s">
        <v>22</v>
      </c>
    </row>
    <row r="16004" spans="1:11">
      <c r="A16004" s="30" t="s">
        <v>35919</v>
      </c>
      <c r="B16004" s="30" t="s">
        <v>35920</v>
      </c>
      <c r="C16004" s="30" t="s">
        <v>35921</v>
      </c>
      <c r="D16004" s="30" t="s">
        <v>17</v>
      </c>
      <c r="E16004" s="30" t="s">
        <v>26</v>
      </c>
      <c r="F16004" s="30" t="s">
        <v>27</v>
      </c>
      <c r="G16004" s="30" t="s">
        <v>20</v>
      </c>
      <c r="H16004" s="32">
        <v>38</v>
      </c>
      <c r="I16004" s="30" t="s">
        <v>21</v>
      </c>
      <c r="J16004" s="41">
        <v>45193</v>
      </c>
      <c r="K16004" s="30" t="s">
        <v>22</v>
      </c>
    </row>
    <row r="16005" spans="1:11">
      <c r="A16005" s="33" t="s">
        <v>35922</v>
      </c>
      <c r="B16005" s="33" t="s">
        <v>35923</v>
      </c>
      <c r="C16005" s="33" t="s">
        <v>1090</v>
      </c>
      <c r="D16005" s="33" t="s">
        <v>17</v>
      </c>
      <c r="E16005" s="33" t="s">
        <v>18</v>
      </c>
      <c r="F16005" s="33" t="s">
        <v>19</v>
      </c>
      <c r="G16005" s="33" t="s">
        <v>50</v>
      </c>
      <c r="H16005" s="35">
        <v>560</v>
      </c>
      <c r="I16005" s="33" t="s">
        <v>51</v>
      </c>
      <c r="J16005" s="42">
        <v>44935</v>
      </c>
      <c r="K16005" s="33" t="s">
        <v>22</v>
      </c>
    </row>
    <row r="16006" spans="1:11">
      <c r="A16006" s="30" t="s">
        <v>35924</v>
      </c>
      <c r="B16006" s="30" t="s">
        <v>35925</v>
      </c>
      <c r="C16006" s="30" t="s">
        <v>11599</v>
      </c>
      <c r="D16006" s="30" t="s">
        <v>17</v>
      </c>
      <c r="E16006" s="30" t="s">
        <v>18</v>
      </c>
      <c r="F16006" s="30" t="s">
        <v>19</v>
      </c>
      <c r="G16006" s="30" t="s">
        <v>20</v>
      </c>
      <c r="H16006" s="32">
        <v>84</v>
      </c>
      <c r="I16006" s="30" t="s">
        <v>21</v>
      </c>
      <c r="J16006" s="41">
        <v>45022</v>
      </c>
      <c r="K16006" s="30" t="s">
        <v>22</v>
      </c>
    </row>
    <row r="16007" spans="1:11">
      <c r="A16007" s="33" t="s">
        <v>35926</v>
      </c>
      <c r="B16007" s="33" t="s">
        <v>35927</v>
      </c>
      <c r="C16007" s="33" t="s">
        <v>35928</v>
      </c>
      <c r="D16007" s="33" t="s">
        <v>17</v>
      </c>
      <c r="E16007" s="33" t="s">
        <v>330</v>
      </c>
      <c r="F16007" s="33" t="s">
        <v>331</v>
      </c>
      <c r="G16007" s="33" t="s">
        <v>112</v>
      </c>
      <c r="H16007" s="35">
        <v>0</v>
      </c>
      <c r="I16007" s="33" t="s">
        <v>21</v>
      </c>
      <c r="J16007" s="42">
        <v>44927</v>
      </c>
      <c r="K16007" s="33" t="s">
        <v>22</v>
      </c>
    </row>
    <row r="16008" spans="1:11">
      <c r="A16008" s="30" t="s">
        <v>35929</v>
      </c>
      <c r="B16008" s="30" t="s">
        <v>35930</v>
      </c>
      <c r="C16008" s="30" t="s">
        <v>1364</v>
      </c>
      <c r="D16008" s="30" t="s">
        <v>17</v>
      </c>
      <c r="E16008" s="30" t="s">
        <v>31</v>
      </c>
      <c r="F16008" s="30" t="s">
        <v>32</v>
      </c>
      <c r="G16008" s="30" t="s">
        <v>158</v>
      </c>
      <c r="H16008" s="32">
        <v>356</v>
      </c>
      <c r="I16008" s="30" t="s">
        <v>21</v>
      </c>
      <c r="J16008" s="41">
        <v>45035</v>
      </c>
      <c r="K16008" s="30" t="s">
        <v>22</v>
      </c>
    </row>
    <row r="16009" spans="1:11">
      <c r="A16009" s="33" t="s">
        <v>35931</v>
      </c>
      <c r="B16009" s="33" t="s">
        <v>35932</v>
      </c>
      <c r="C16009" s="33" t="s">
        <v>18780</v>
      </c>
      <c r="D16009" s="33" t="s">
        <v>17</v>
      </c>
      <c r="E16009" s="33" t="s">
        <v>26</v>
      </c>
      <c r="F16009" s="33" t="s">
        <v>27</v>
      </c>
      <c r="G16009" s="33" t="s">
        <v>20</v>
      </c>
      <c r="H16009" s="35">
        <v>28</v>
      </c>
      <c r="I16009" s="33" t="s">
        <v>21</v>
      </c>
      <c r="J16009" s="42">
        <v>45085</v>
      </c>
      <c r="K16009" s="33" t="s">
        <v>22</v>
      </c>
    </row>
    <row r="16010" spans="1:11">
      <c r="A16010" s="30" t="s">
        <v>35933</v>
      </c>
      <c r="B16010" s="30" t="s">
        <v>35934</v>
      </c>
      <c r="C16010" s="30" t="s">
        <v>35935</v>
      </c>
      <c r="D16010" s="30" t="s">
        <v>17</v>
      </c>
      <c r="E16010" s="30" t="s">
        <v>26</v>
      </c>
      <c r="F16010" s="30" t="s">
        <v>27</v>
      </c>
      <c r="G16010" s="30" t="s">
        <v>140</v>
      </c>
      <c r="H16010" s="32">
        <v>270</v>
      </c>
      <c r="I16010" s="30" t="s">
        <v>51</v>
      </c>
      <c r="J16010" s="41">
        <v>45182</v>
      </c>
      <c r="K16010" s="30" t="s">
        <v>22</v>
      </c>
    </row>
    <row r="16011" spans="1:11">
      <c r="A16011" s="33" t="s">
        <v>35936</v>
      </c>
      <c r="B16011" s="33" t="s">
        <v>35937</v>
      </c>
      <c r="C16011" s="33" t="s">
        <v>11366</v>
      </c>
      <c r="D16011" s="33" t="s">
        <v>17</v>
      </c>
      <c r="E16011" s="33" t="s">
        <v>26</v>
      </c>
      <c r="F16011" s="33" t="s">
        <v>27</v>
      </c>
      <c r="G16011" s="33" t="s">
        <v>20</v>
      </c>
      <c r="H16011" s="35">
        <v>40</v>
      </c>
      <c r="I16011" s="33" t="s">
        <v>21</v>
      </c>
      <c r="J16011" s="42">
        <v>45071</v>
      </c>
      <c r="K16011" s="33" t="s">
        <v>22</v>
      </c>
    </row>
    <row r="16012" spans="1:11">
      <c r="A16012" s="30" t="s">
        <v>35938</v>
      </c>
      <c r="B16012" s="30" t="s">
        <v>35939</v>
      </c>
      <c r="C16012" s="30" t="s">
        <v>93</v>
      </c>
      <c r="D16012" s="30" t="s">
        <v>17</v>
      </c>
      <c r="E16012" s="30" t="s">
        <v>31</v>
      </c>
      <c r="F16012" s="30" t="s">
        <v>32</v>
      </c>
      <c r="G16012" s="30" t="s">
        <v>20</v>
      </c>
      <c r="H16012" s="32">
        <v>30</v>
      </c>
      <c r="I16012" s="30" t="s">
        <v>21</v>
      </c>
      <c r="J16012" s="41">
        <v>45279</v>
      </c>
      <c r="K16012" s="30" t="s">
        <v>22</v>
      </c>
    </row>
    <row r="16013" spans="1:11">
      <c r="A16013" s="33" t="s">
        <v>35940</v>
      </c>
      <c r="B16013" s="33" t="s">
        <v>35941</v>
      </c>
      <c r="C16013" s="33" t="s">
        <v>32473</v>
      </c>
      <c r="D16013" s="33" t="s">
        <v>17</v>
      </c>
      <c r="E16013" s="33" t="s">
        <v>26</v>
      </c>
      <c r="F16013" s="33" t="s">
        <v>27</v>
      </c>
      <c r="G16013" s="33" t="s">
        <v>158</v>
      </c>
      <c r="H16013" s="35">
        <v>208</v>
      </c>
      <c r="I16013" s="33" t="s">
        <v>21</v>
      </c>
      <c r="J16013" s="42">
        <v>45091</v>
      </c>
      <c r="K16013" s="33" t="s">
        <v>22</v>
      </c>
    </row>
    <row r="16014" spans="1:11">
      <c r="A16014" s="30" t="s">
        <v>35942</v>
      </c>
      <c r="B16014" s="30" t="s">
        <v>35943</v>
      </c>
      <c r="C16014" s="30" t="s">
        <v>1730</v>
      </c>
      <c r="D16014" s="30" t="s">
        <v>17</v>
      </c>
      <c r="E16014" s="30" t="s">
        <v>26</v>
      </c>
      <c r="F16014" s="30" t="s">
        <v>27</v>
      </c>
      <c r="G16014" s="30" t="s">
        <v>20</v>
      </c>
      <c r="H16014" s="32">
        <v>50</v>
      </c>
      <c r="I16014" s="30" t="s">
        <v>21</v>
      </c>
      <c r="J16014" s="41">
        <v>45239</v>
      </c>
      <c r="K16014" s="30" t="s">
        <v>22</v>
      </c>
    </row>
    <row r="16015" spans="1:11">
      <c r="A16015" s="33" t="s">
        <v>35944</v>
      </c>
      <c r="B16015" s="33" t="s">
        <v>35945</v>
      </c>
      <c r="C16015" s="33" t="s">
        <v>78</v>
      </c>
      <c r="D16015" s="33" t="s">
        <v>17</v>
      </c>
      <c r="E16015" s="33" t="s">
        <v>212</v>
      </c>
      <c r="F16015" s="33" t="s">
        <v>213</v>
      </c>
      <c r="G16015" s="33" t="s">
        <v>20</v>
      </c>
      <c r="H16015" s="35">
        <v>158</v>
      </c>
      <c r="I16015" s="33" t="s">
        <v>21</v>
      </c>
      <c r="J16015" s="42">
        <v>45244</v>
      </c>
      <c r="K16015" s="33" t="s">
        <v>22</v>
      </c>
    </row>
    <row r="16016" spans="1:11">
      <c r="A16016" s="30" t="s">
        <v>35946</v>
      </c>
      <c r="B16016" s="30" t="s">
        <v>35947</v>
      </c>
      <c r="C16016" s="30" t="s">
        <v>31283</v>
      </c>
      <c r="D16016" s="30" t="s">
        <v>17</v>
      </c>
      <c r="E16016" s="30" t="s">
        <v>31</v>
      </c>
      <c r="F16016" s="30" t="s">
        <v>32</v>
      </c>
      <c r="G16016" s="30" t="s">
        <v>50</v>
      </c>
      <c r="H16016" s="32">
        <v>39</v>
      </c>
      <c r="I16016" s="30" t="s">
        <v>51</v>
      </c>
      <c r="J16016" s="41">
        <v>45261</v>
      </c>
      <c r="K16016" s="30" t="s">
        <v>22</v>
      </c>
    </row>
    <row r="16017" spans="1:11">
      <c r="A16017" s="33" t="s">
        <v>35948</v>
      </c>
      <c r="B16017" s="33" t="s">
        <v>35949</v>
      </c>
      <c r="C16017" s="33" t="s">
        <v>10745</v>
      </c>
      <c r="D16017" s="33" t="s">
        <v>17</v>
      </c>
      <c r="E16017" s="33" t="s">
        <v>26</v>
      </c>
      <c r="F16017" s="33" t="s">
        <v>27</v>
      </c>
      <c r="G16017" s="33" t="s">
        <v>140</v>
      </c>
      <c r="H16017" s="35">
        <v>10</v>
      </c>
      <c r="I16017" s="33" t="s">
        <v>51</v>
      </c>
      <c r="J16017" s="42">
        <v>45162</v>
      </c>
      <c r="K16017" s="33" t="s">
        <v>22</v>
      </c>
    </row>
    <row r="16018" spans="1:11">
      <c r="A16018" s="30" t="s">
        <v>35950</v>
      </c>
      <c r="B16018" s="30" t="s">
        <v>35951</v>
      </c>
      <c r="C16018" s="30" t="s">
        <v>8457</v>
      </c>
      <c r="D16018" s="30" t="s">
        <v>17</v>
      </c>
      <c r="E16018" s="30" t="s">
        <v>18</v>
      </c>
      <c r="F16018" s="30" t="s">
        <v>19</v>
      </c>
      <c r="G16018" s="30" t="s">
        <v>112</v>
      </c>
      <c r="H16018" s="32">
        <v>0</v>
      </c>
      <c r="I16018" s="30" t="s">
        <v>21</v>
      </c>
      <c r="J16018" s="41">
        <v>45047</v>
      </c>
      <c r="K16018" s="30" t="s">
        <v>22</v>
      </c>
    </row>
    <row r="16019" spans="1:11">
      <c r="A16019" s="33" t="s">
        <v>35952</v>
      </c>
      <c r="B16019" s="33" t="s">
        <v>35953</v>
      </c>
      <c r="C16019" s="33" t="s">
        <v>75</v>
      </c>
      <c r="D16019" s="33" t="s">
        <v>17</v>
      </c>
      <c r="E16019" s="33" t="s">
        <v>18</v>
      </c>
      <c r="F16019" s="33" t="s">
        <v>19</v>
      </c>
      <c r="G16019" s="33" t="s">
        <v>158</v>
      </c>
      <c r="H16019" s="35">
        <v>579</v>
      </c>
      <c r="I16019" s="33" t="s">
        <v>21</v>
      </c>
      <c r="J16019" s="42">
        <v>44991</v>
      </c>
      <c r="K16019" s="33" t="s">
        <v>22</v>
      </c>
    </row>
    <row r="16020" spans="1:11">
      <c r="A16020" s="30" t="s">
        <v>35954</v>
      </c>
      <c r="B16020" s="30" t="s">
        <v>35955</v>
      </c>
      <c r="C16020" s="30" t="s">
        <v>13508</v>
      </c>
      <c r="D16020" s="30" t="s">
        <v>17</v>
      </c>
      <c r="E16020" s="30" t="s">
        <v>26</v>
      </c>
      <c r="F16020" s="30" t="s">
        <v>27</v>
      </c>
      <c r="G16020" s="30" t="s">
        <v>106</v>
      </c>
      <c r="H16020" s="32">
        <v>2</v>
      </c>
      <c r="I16020" s="30" t="s">
        <v>21</v>
      </c>
      <c r="J16020" s="41">
        <v>44988</v>
      </c>
      <c r="K16020" s="30" t="s">
        <v>22</v>
      </c>
    </row>
    <row r="16021" spans="1:11">
      <c r="A16021" s="33" t="s">
        <v>35956</v>
      </c>
      <c r="B16021" s="33" t="s">
        <v>35957</v>
      </c>
      <c r="C16021" s="33" t="s">
        <v>33627</v>
      </c>
      <c r="D16021" s="33" t="s">
        <v>17</v>
      </c>
      <c r="E16021" s="33" t="s">
        <v>31</v>
      </c>
      <c r="F16021" s="33" t="s">
        <v>32</v>
      </c>
      <c r="G16021" s="33" t="s">
        <v>20</v>
      </c>
      <c r="H16021" s="35">
        <v>14</v>
      </c>
      <c r="I16021" s="33" t="s">
        <v>21</v>
      </c>
      <c r="J16021" s="42">
        <v>45091</v>
      </c>
      <c r="K16021" s="33" t="s">
        <v>22</v>
      </c>
    </row>
    <row r="16022" spans="1:11">
      <c r="A16022" s="30" t="s">
        <v>35958</v>
      </c>
      <c r="B16022" s="30" t="s">
        <v>35959</v>
      </c>
      <c r="C16022" s="30" t="s">
        <v>3013</v>
      </c>
      <c r="D16022" s="30" t="s">
        <v>17</v>
      </c>
      <c r="E16022" s="30" t="s">
        <v>31</v>
      </c>
      <c r="F16022" s="30" t="s">
        <v>32</v>
      </c>
      <c r="G16022" s="30" t="s">
        <v>106</v>
      </c>
      <c r="H16022" s="32">
        <v>21</v>
      </c>
      <c r="I16022" s="30" t="s">
        <v>21</v>
      </c>
      <c r="J16022" s="41">
        <v>45281</v>
      </c>
      <c r="K16022" s="30" t="s">
        <v>22</v>
      </c>
    </row>
    <row r="16023" spans="1:11">
      <c r="A16023" s="33" t="s">
        <v>35960</v>
      </c>
      <c r="B16023" s="33" t="s">
        <v>35961</v>
      </c>
      <c r="C16023" s="33" t="s">
        <v>5246</v>
      </c>
      <c r="D16023" s="33" t="s">
        <v>17</v>
      </c>
      <c r="E16023" s="33" t="s">
        <v>31</v>
      </c>
      <c r="F16023" s="33" t="s">
        <v>32</v>
      </c>
      <c r="G16023" s="33" t="s">
        <v>158</v>
      </c>
      <c r="H16023" s="35">
        <v>180</v>
      </c>
      <c r="I16023" s="33" t="s">
        <v>21</v>
      </c>
      <c r="J16023" s="42">
        <v>45080</v>
      </c>
      <c r="K16023" s="33" t="s">
        <v>22</v>
      </c>
    </row>
    <row r="16024" spans="1:11">
      <c r="A16024" s="30" t="s">
        <v>35962</v>
      </c>
      <c r="B16024" s="30" t="s">
        <v>35963</v>
      </c>
      <c r="C16024" s="30" t="s">
        <v>15408</v>
      </c>
      <c r="D16024" s="30" t="s">
        <v>17</v>
      </c>
      <c r="E16024" s="30" t="s">
        <v>18</v>
      </c>
      <c r="F16024" s="30" t="s">
        <v>19</v>
      </c>
      <c r="G16024" s="30" t="s">
        <v>140</v>
      </c>
      <c r="H16024" s="32">
        <v>360</v>
      </c>
      <c r="I16024" s="30" t="s">
        <v>51</v>
      </c>
      <c r="J16024" s="41">
        <v>45055</v>
      </c>
      <c r="K16024" s="30" t="s">
        <v>22</v>
      </c>
    </row>
    <row r="16025" spans="1:11">
      <c r="A16025" s="33" t="s">
        <v>35964</v>
      </c>
      <c r="B16025" s="33" t="s">
        <v>35965</v>
      </c>
      <c r="C16025" s="33" t="s">
        <v>35966</v>
      </c>
      <c r="D16025" s="33" t="s">
        <v>17</v>
      </c>
      <c r="E16025" s="33" t="s">
        <v>31</v>
      </c>
      <c r="F16025" s="33" t="s">
        <v>32</v>
      </c>
      <c r="G16025" s="33" t="s">
        <v>50</v>
      </c>
      <c r="H16025" s="35">
        <v>60</v>
      </c>
      <c r="I16025" s="33" t="s">
        <v>51</v>
      </c>
      <c r="J16025" s="42">
        <v>45078</v>
      </c>
      <c r="K16025" s="33" t="s">
        <v>22</v>
      </c>
    </row>
    <row r="16026" spans="1:11">
      <c r="A16026" s="30" t="s">
        <v>35967</v>
      </c>
      <c r="B16026" s="30" t="s">
        <v>35968</v>
      </c>
      <c r="C16026" s="30" t="s">
        <v>17860</v>
      </c>
      <c r="D16026" s="30" t="s">
        <v>17</v>
      </c>
      <c r="E16026" s="30" t="s">
        <v>26</v>
      </c>
      <c r="F16026" s="30" t="s">
        <v>27</v>
      </c>
      <c r="G16026" s="30" t="s">
        <v>140</v>
      </c>
      <c r="H16026" s="32">
        <v>156</v>
      </c>
      <c r="I16026" s="30" t="s">
        <v>51</v>
      </c>
      <c r="J16026" s="41">
        <v>45012</v>
      </c>
      <c r="K16026" s="30" t="s">
        <v>22</v>
      </c>
    </row>
    <row r="16027" spans="1:11">
      <c r="A16027" s="33" t="s">
        <v>35969</v>
      </c>
      <c r="B16027" s="33" t="s">
        <v>35970</v>
      </c>
      <c r="C16027" s="33" t="s">
        <v>30271</v>
      </c>
      <c r="D16027" s="33" t="s">
        <v>17</v>
      </c>
      <c r="E16027" s="33" t="s">
        <v>330</v>
      </c>
      <c r="F16027" s="33" t="s">
        <v>331</v>
      </c>
      <c r="G16027" s="33" t="s">
        <v>140</v>
      </c>
      <c r="H16027" s="35">
        <v>14</v>
      </c>
      <c r="I16027" s="33" t="s">
        <v>51</v>
      </c>
      <c r="J16027" s="42">
        <v>45208</v>
      </c>
      <c r="K16027" s="33" t="s">
        <v>22</v>
      </c>
    </row>
    <row r="16028" spans="1:11">
      <c r="A16028" s="30" t="s">
        <v>35971</v>
      </c>
      <c r="B16028" s="30" t="s">
        <v>35972</v>
      </c>
      <c r="C16028" s="30" t="s">
        <v>35973</v>
      </c>
      <c r="D16028" s="30" t="s">
        <v>17</v>
      </c>
      <c r="E16028" s="30" t="s">
        <v>67</v>
      </c>
      <c r="F16028" s="30" t="s">
        <v>68</v>
      </c>
      <c r="G16028" s="30" t="s">
        <v>140</v>
      </c>
      <c r="H16028" s="32">
        <v>30</v>
      </c>
      <c r="I16028" s="30" t="s">
        <v>51</v>
      </c>
      <c r="J16028" s="41">
        <v>44967</v>
      </c>
      <c r="K16028" s="30" t="s">
        <v>22</v>
      </c>
    </row>
    <row r="16029" spans="1:11">
      <c r="A16029" s="33" t="s">
        <v>35974</v>
      </c>
      <c r="B16029" s="33" t="s">
        <v>35975</v>
      </c>
      <c r="C16029" s="33" t="s">
        <v>450</v>
      </c>
      <c r="D16029" s="33" t="s">
        <v>17</v>
      </c>
      <c r="E16029" s="33" t="s">
        <v>31</v>
      </c>
      <c r="F16029" s="33" t="s">
        <v>32</v>
      </c>
      <c r="G16029" s="33" t="s">
        <v>106</v>
      </c>
      <c r="H16029" s="35">
        <v>2</v>
      </c>
      <c r="I16029" s="33" t="s">
        <v>21</v>
      </c>
      <c r="J16029" s="42">
        <v>44979</v>
      </c>
      <c r="K16029" s="33" t="s">
        <v>22</v>
      </c>
    </row>
    <row r="16030" spans="1:11">
      <c r="A16030" s="30" t="s">
        <v>35976</v>
      </c>
      <c r="B16030" s="30" t="s">
        <v>35977</v>
      </c>
      <c r="C16030" s="30" t="s">
        <v>102</v>
      </c>
      <c r="D16030" s="30" t="s">
        <v>17</v>
      </c>
      <c r="E16030" s="30" t="s">
        <v>18</v>
      </c>
      <c r="F16030" s="30" t="s">
        <v>19</v>
      </c>
      <c r="G16030" s="30" t="s">
        <v>158</v>
      </c>
      <c r="H16030" s="32">
        <v>12532</v>
      </c>
      <c r="I16030" s="30" t="s">
        <v>21</v>
      </c>
      <c r="J16030" s="41">
        <v>44972</v>
      </c>
      <c r="K16030" s="30" t="s">
        <v>22</v>
      </c>
    </row>
    <row r="16031" spans="1:11">
      <c r="A16031" s="33" t="s">
        <v>35978</v>
      </c>
      <c r="B16031" s="33" t="s">
        <v>35979</v>
      </c>
      <c r="C16031" s="33" t="s">
        <v>57</v>
      </c>
      <c r="D16031" s="33" t="s">
        <v>17</v>
      </c>
      <c r="E16031" s="33" t="s">
        <v>18</v>
      </c>
      <c r="F16031" s="33" t="s">
        <v>19</v>
      </c>
      <c r="G16031" s="33" t="s">
        <v>50</v>
      </c>
      <c r="H16031" s="35">
        <v>79</v>
      </c>
      <c r="I16031" s="33" t="s">
        <v>51</v>
      </c>
      <c r="J16031" s="42">
        <v>45139</v>
      </c>
      <c r="K16031" s="33" t="s">
        <v>22</v>
      </c>
    </row>
    <row r="16032" spans="1:11">
      <c r="A16032" s="30" t="s">
        <v>35980</v>
      </c>
      <c r="B16032" s="30" t="s">
        <v>35981</v>
      </c>
      <c r="C16032" s="30" t="s">
        <v>35982</v>
      </c>
      <c r="D16032" s="30" t="s">
        <v>17</v>
      </c>
      <c r="E16032" s="30" t="s">
        <v>26</v>
      </c>
      <c r="F16032" s="30" t="s">
        <v>27</v>
      </c>
      <c r="G16032" s="30" t="s">
        <v>158</v>
      </c>
      <c r="H16032" s="32">
        <v>45</v>
      </c>
      <c r="I16032" s="30" t="s">
        <v>21</v>
      </c>
      <c r="J16032" s="41">
        <v>45027</v>
      </c>
      <c r="K16032" s="30" t="s">
        <v>22</v>
      </c>
    </row>
    <row r="16033" spans="1:11">
      <c r="A16033" s="33" t="s">
        <v>35983</v>
      </c>
      <c r="B16033" s="33" t="s">
        <v>35984</v>
      </c>
      <c r="C16033" s="33" t="s">
        <v>925</v>
      </c>
      <c r="D16033" s="33" t="s">
        <v>17</v>
      </c>
      <c r="E16033" s="33" t="s">
        <v>18</v>
      </c>
      <c r="F16033" s="33" t="s">
        <v>19</v>
      </c>
      <c r="G16033" s="33" t="s">
        <v>20</v>
      </c>
      <c r="H16033" s="35">
        <v>2011</v>
      </c>
      <c r="I16033" s="33" t="s">
        <v>21</v>
      </c>
      <c r="J16033" s="42">
        <v>44965</v>
      </c>
      <c r="K16033" s="33" t="s">
        <v>22</v>
      </c>
    </row>
    <row r="16034" spans="1:11">
      <c r="A16034" s="30" t="s">
        <v>35985</v>
      </c>
      <c r="B16034" s="30" t="s">
        <v>35986</v>
      </c>
      <c r="C16034" s="30" t="s">
        <v>25549</v>
      </c>
      <c r="D16034" s="30" t="s">
        <v>17</v>
      </c>
      <c r="E16034" s="30" t="s">
        <v>31</v>
      </c>
      <c r="F16034" s="30" t="s">
        <v>32</v>
      </c>
      <c r="G16034" s="30" t="s">
        <v>20</v>
      </c>
      <c r="H16034" s="32">
        <v>26</v>
      </c>
      <c r="I16034" s="30" t="s">
        <v>21</v>
      </c>
      <c r="J16034" s="41">
        <v>45245</v>
      </c>
      <c r="K16034" s="30" t="s">
        <v>22</v>
      </c>
    </row>
    <row r="16035" spans="1:11">
      <c r="A16035" s="33" t="s">
        <v>35987</v>
      </c>
      <c r="B16035" s="33" t="s">
        <v>35988</v>
      </c>
      <c r="C16035" s="33" t="s">
        <v>187</v>
      </c>
      <c r="D16035" s="33" t="s">
        <v>17</v>
      </c>
      <c r="E16035" s="33" t="s">
        <v>26</v>
      </c>
      <c r="F16035" s="33" t="s">
        <v>27</v>
      </c>
      <c r="G16035" s="33" t="s">
        <v>50</v>
      </c>
      <c r="H16035" s="35">
        <v>30</v>
      </c>
      <c r="I16035" s="33" t="s">
        <v>51</v>
      </c>
      <c r="J16035" s="42">
        <v>45094</v>
      </c>
      <c r="K16035" s="33" t="s">
        <v>22</v>
      </c>
    </row>
    <row r="16036" spans="1:11">
      <c r="A16036" s="30" t="s">
        <v>35989</v>
      </c>
      <c r="B16036" s="30" t="s">
        <v>35990</v>
      </c>
      <c r="C16036" s="30" t="s">
        <v>35991</v>
      </c>
      <c r="D16036" s="30" t="s">
        <v>17</v>
      </c>
      <c r="E16036" s="30" t="s">
        <v>18</v>
      </c>
      <c r="F16036" s="30" t="s">
        <v>19</v>
      </c>
      <c r="G16036" s="30" t="s">
        <v>20</v>
      </c>
      <c r="H16036" s="32">
        <v>642</v>
      </c>
      <c r="I16036" s="30" t="s">
        <v>21</v>
      </c>
      <c r="J16036" s="41">
        <v>45105</v>
      </c>
      <c r="K16036" s="30" t="s">
        <v>22</v>
      </c>
    </row>
    <row r="16037" spans="1:11">
      <c r="A16037" s="33" t="s">
        <v>35992</v>
      </c>
      <c r="B16037" s="33" t="s">
        <v>35993</v>
      </c>
      <c r="C16037" s="33" t="s">
        <v>35994</v>
      </c>
      <c r="D16037" s="33" t="s">
        <v>17</v>
      </c>
      <c r="E16037" s="33" t="s">
        <v>31</v>
      </c>
      <c r="F16037" s="33" t="s">
        <v>32</v>
      </c>
      <c r="G16037" s="33" t="s">
        <v>158</v>
      </c>
      <c r="H16037" s="35">
        <v>40</v>
      </c>
      <c r="I16037" s="33" t="s">
        <v>51</v>
      </c>
      <c r="J16037" s="42">
        <v>45019</v>
      </c>
      <c r="K16037" s="33" t="s">
        <v>22</v>
      </c>
    </row>
    <row r="16038" spans="1:11">
      <c r="A16038" s="30" t="s">
        <v>35995</v>
      </c>
      <c r="B16038" s="30" t="s">
        <v>35996</v>
      </c>
      <c r="C16038" s="30" t="s">
        <v>231</v>
      </c>
      <c r="D16038" s="30" t="s">
        <v>17</v>
      </c>
      <c r="E16038" s="30" t="s">
        <v>31</v>
      </c>
      <c r="F16038" s="30" t="s">
        <v>32</v>
      </c>
      <c r="G16038" s="30" t="s">
        <v>158</v>
      </c>
      <c r="H16038" s="32">
        <v>268</v>
      </c>
      <c r="I16038" s="30" t="s">
        <v>21</v>
      </c>
      <c r="J16038" s="41">
        <v>45177</v>
      </c>
      <c r="K16038" s="30" t="s">
        <v>22</v>
      </c>
    </row>
    <row r="16039" spans="1:11">
      <c r="A16039" s="33" t="s">
        <v>35997</v>
      </c>
      <c r="B16039" s="33" t="s">
        <v>35998</v>
      </c>
      <c r="C16039" s="33" t="s">
        <v>1504</v>
      </c>
      <c r="D16039" s="33" t="s">
        <v>17</v>
      </c>
      <c r="E16039" s="33" t="s">
        <v>18</v>
      </c>
      <c r="F16039" s="33" t="s">
        <v>19</v>
      </c>
      <c r="G16039" s="33" t="s">
        <v>140</v>
      </c>
      <c r="H16039" s="35">
        <v>432</v>
      </c>
      <c r="I16039" s="33" t="s">
        <v>51</v>
      </c>
      <c r="J16039" s="42">
        <v>45289</v>
      </c>
      <c r="K16039" s="33" t="s">
        <v>22</v>
      </c>
    </row>
    <row r="16040" spans="1:11">
      <c r="A16040" s="30" t="s">
        <v>35999</v>
      </c>
      <c r="B16040" s="30" t="s">
        <v>36000</v>
      </c>
      <c r="C16040" s="30" t="s">
        <v>874</v>
      </c>
      <c r="D16040" s="30" t="s">
        <v>17</v>
      </c>
      <c r="E16040" s="30" t="s">
        <v>31</v>
      </c>
      <c r="F16040" s="30" t="s">
        <v>32</v>
      </c>
      <c r="G16040" s="30" t="s">
        <v>106</v>
      </c>
      <c r="H16040" s="32">
        <v>2</v>
      </c>
      <c r="I16040" s="30" t="s">
        <v>21</v>
      </c>
      <c r="J16040" s="41">
        <v>45104</v>
      </c>
      <c r="K16040" s="30" t="s">
        <v>22</v>
      </c>
    </row>
    <row r="16041" spans="1:11">
      <c r="A16041" s="33" t="s">
        <v>36001</v>
      </c>
      <c r="B16041" s="33" t="s">
        <v>36002</v>
      </c>
      <c r="C16041" s="33" t="s">
        <v>29833</v>
      </c>
      <c r="D16041" s="33" t="s">
        <v>17</v>
      </c>
      <c r="E16041" s="33" t="s">
        <v>31</v>
      </c>
      <c r="F16041" s="33" t="s">
        <v>32</v>
      </c>
      <c r="G16041" s="33" t="s">
        <v>20</v>
      </c>
      <c r="H16041" s="35">
        <v>120</v>
      </c>
      <c r="I16041" s="33" t="s">
        <v>21</v>
      </c>
      <c r="J16041" s="42">
        <v>45212</v>
      </c>
      <c r="K16041" s="33" t="s">
        <v>22</v>
      </c>
    </row>
    <row r="16042" spans="1:11">
      <c r="A16042" s="30" t="s">
        <v>36003</v>
      </c>
      <c r="B16042" s="30" t="s">
        <v>36004</v>
      </c>
      <c r="C16042" s="30" t="s">
        <v>10503</v>
      </c>
      <c r="D16042" s="30" t="s">
        <v>17</v>
      </c>
      <c r="E16042" s="30" t="s">
        <v>67</v>
      </c>
      <c r="F16042" s="30" t="s">
        <v>68</v>
      </c>
      <c r="G16042" s="30" t="s">
        <v>158</v>
      </c>
      <c r="H16042" s="32">
        <v>62</v>
      </c>
      <c r="I16042" s="30" t="s">
        <v>51</v>
      </c>
      <c r="J16042" s="41">
        <v>45017</v>
      </c>
      <c r="K16042" s="30" t="s">
        <v>22</v>
      </c>
    </row>
    <row r="16043" spans="1:11">
      <c r="A16043" s="33" t="s">
        <v>36005</v>
      </c>
      <c r="B16043" s="33" t="s">
        <v>36006</v>
      </c>
      <c r="C16043" s="33" t="s">
        <v>10699</v>
      </c>
      <c r="D16043" s="33" t="s">
        <v>17</v>
      </c>
      <c r="E16043" s="33" t="s">
        <v>26</v>
      </c>
      <c r="F16043" s="33" t="s">
        <v>27</v>
      </c>
      <c r="G16043" s="33" t="s">
        <v>20</v>
      </c>
      <c r="H16043" s="35">
        <v>60</v>
      </c>
      <c r="I16043" s="33" t="s">
        <v>21</v>
      </c>
      <c r="J16043" s="42">
        <v>45093</v>
      </c>
      <c r="K16043" s="33" t="s">
        <v>22</v>
      </c>
    </row>
    <row r="16044" spans="1:11">
      <c r="A16044" s="30" t="s">
        <v>36007</v>
      </c>
      <c r="B16044" s="30" t="s">
        <v>36008</v>
      </c>
      <c r="C16044" s="30" t="s">
        <v>3655</v>
      </c>
      <c r="D16044" s="30" t="s">
        <v>17</v>
      </c>
      <c r="E16044" s="30" t="s">
        <v>67</v>
      </c>
      <c r="F16044" s="30" t="s">
        <v>68</v>
      </c>
      <c r="G16044" s="30" t="s">
        <v>158</v>
      </c>
      <c r="H16044" s="32">
        <v>497</v>
      </c>
      <c r="I16044" s="30" t="s">
        <v>21</v>
      </c>
      <c r="J16044" s="41">
        <v>45138</v>
      </c>
      <c r="K16044" s="30" t="s">
        <v>22</v>
      </c>
    </row>
    <row r="16045" spans="1:11">
      <c r="A16045" s="33" t="s">
        <v>36009</v>
      </c>
      <c r="B16045" s="33" t="s">
        <v>36010</v>
      </c>
      <c r="C16045" s="33" t="s">
        <v>510</v>
      </c>
      <c r="D16045" s="33" t="s">
        <v>17</v>
      </c>
      <c r="E16045" s="33" t="s">
        <v>45</v>
      </c>
      <c r="F16045" s="33" t="s">
        <v>46</v>
      </c>
      <c r="G16045" s="33" t="s">
        <v>140</v>
      </c>
      <c r="H16045" s="35">
        <v>374</v>
      </c>
      <c r="I16045" s="33" t="s">
        <v>51</v>
      </c>
      <c r="J16045" s="42">
        <v>45040</v>
      </c>
      <c r="K16045" s="33" t="s">
        <v>22</v>
      </c>
    </row>
    <row r="16046" spans="1:11">
      <c r="A16046" s="30" t="s">
        <v>36011</v>
      </c>
      <c r="B16046" s="30" t="s">
        <v>36012</v>
      </c>
      <c r="C16046" s="30" t="s">
        <v>36013</v>
      </c>
      <c r="D16046" s="30" t="s">
        <v>17</v>
      </c>
      <c r="E16046" s="30" t="s">
        <v>18</v>
      </c>
      <c r="F16046" s="30" t="s">
        <v>19</v>
      </c>
      <c r="G16046" s="30" t="s">
        <v>140</v>
      </c>
      <c r="H16046" s="32">
        <v>1000</v>
      </c>
      <c r="I16046" s="30" t="s">
        <v>51</v>
      </c>
      <c r="J16046" s="41">
        <v>45271</v>
      </c>
      <c r="K16046" s="30" t="s">
        <v>22</v>
      </c>
    </row>
    <row r="16047" spans="1:11">
      <c r="A16047" s="33" t="s">
        <v>36014</v>
      </c>
      <c r="B16047" s="33" t="s">
        <v>36015</v>
      </c>
      <c r="C16047" s="33" t="s">
        <v>109</v>
      </c>
      <c r="D16047" s="33" t="s">
        <v>17</v>
      </c>
      <c r="E16047" s="33" t="s">
        <v>31</v>
      </c>
      <c r="F16047" s="33" t="s">
        <v>32</v>
      </c>
      <c r="G16047" s="33" t="s">
        <v>20</v>
      </c>
      <c r="H16047" s="35">
        <v>54</v>
      </c>
      <c r="I16047" s="33" t="s">
        <v>21</v>
      </c>
      <c r="J16047" s="42">
        <v>45127</v>
      </c>
      <c r="K16047" s="33" t="s">
        <v>22</v>
      </c>
    </row>
    <row r="16048" spans="1:11">
      <c r="A16048" s="30" t="s">
        <v>36016</v>
      </c>
      <c r="B16048" s="30" t="s">
        <v>36017</v>
      </c>
      <c r="C16048" s="30" t="s">
        <v>10300</v>
      </c>
      <c r="D16048" s="30" t="s">
        <v>17</v>
      </c>
      <c r="E16048" s="30" t="s">
        <v>212</v>
      </c>
      <c r="F16048" s="30" t="s">
        <v>213</v>
      </c>
      <c r="G16048" s="30" t="s">
        <v>50</v>
      </c>
      <c r="H16048" s="32">
        <v>80</v>
      </c>
      <c r="I16048" s="30" t="s">
        <v>51</v>
      </c>
      <c r="J16048" s="41">
        <v>45279</v>
      </c>
      <c r="K16048" s="30" t="s">
        <v>22</v>
      </c>
    </row>
    <row r="16049" spans="1:11">
      <c r="A16049" s="33" t="s">
        <v>36018</v>
      </c>
      <c r="B16049" s="33" t="s">
        <v>36019</v>
      </c>
      <c r="C16049" s="33" t="s">
        <v>15917</v>
      </c>
      <c r="D16049" s="33" t="s">
        <v>17</v>
      </c>
      <c r="E16049" s="33" t="s">
        <v>26</v>
      </c>
      <c r="F16049" s="33" t="s">
        <v>27</v>
      </c>
      <c r="G16049" s="33" t="s">
        <v>20</v>
      </c>
      <c r="H16049" s="35">
        <v>106</v>
      </c>
      <c r="I16049" s="33" t="s">
        <v>21</v>
      </c>
      <c r="J16049" s="42">
        <v>44938</v>
      </c>
      <c r="K16049" s="33" t="s">
        <v>22</v>
      </c>
    </row>
    <row r="16050" spans="1:11">
      <c r="A16050" s="30" t="s">
        <v>36020</v>
      </c>
      <c r="B16050" s="30" t="s">
        <v>36021</v>
      </c>
      <c r="C16050" s="30" t="s">
        <v>379</v>
      </c>
      <c r="D16050" s="30" t="s">
        <v>17</v>
      </c>
      <c r="E16050" s="30" t="s">
        <v>67</v>
      </c>
      <c r="F16050" s="30" t="s">
        <v>68</v>
      </c>
      <c r="G16050" s="30" t="s">
        <v>50</v>
      </c>
      <c r="H16050" s="32">
        <v>49</v>
      </c>
      <c r="I16050" s="30" t="s">
        <v>51</v>
      </c>
      <c r="J16050" s="41">
        <v>44985</v>
      </c>
      <c r="K16050" s="30" t="s">
        <v>22</v>
      </c>
    </row>
    <row r="16051" spans="1:11">
      <c r="A16051" s="33" t="s">
        <v>36022</v>
      </c>
      <c r="B16051" s="33" t="s">
        <v>36023</v>
      </c>
      <c r="C16051" s="33" t="s">
        <v>32241</v>
      </c>
      <c r="D16051" s="33" t="s">
        <v>17</v>
      </c>
      <c r="E16051" s="33" t="s">
        <v>26</v>
      </c>
      <c r="F16051" s="33" t="s">
        <v>27</v>
      </c>
      <c r="G16051" s="33" t="s">
        <v>106</v>
      </c>
      <c r="H16051" s="35">
        <v>34</v>
      </c>
      <c r="I16051" s="33" t="s">
        <v>21</v>
      </c>
      <c r="J16051" s="42">
        <v>45131</v>
      </c>
      <c r="K16051" s="33" t="s">
        <v>22</v>
      </c>
    </row>
    <row r="16052" spans="1:11">
      <c r="A16052" s="30" t="s">
        <v>36024</v>
      </c>
      <c r="B16052" s="30" t="s">
        <v>36025</v>
      </c>
      <c r="C16052" s="30" t="s">
        <v>109</v>
      </c>
      <c r="D16052" s="30" t="s">
        <v>17</v>
      </c>
      <c r="E16052" s="30" t="s">
        <v>26</v>
      </c>
      <c r="F16052" s="30" t="s">
        <v>27</v>
      </c>
      <c r="G16052" s="30" t="s">
        <v>112</v>
      </c>
      <c r="H16052" s="32">
        <v>0</v>
      </c>
      <c r="I16052" s="30" t="s">
        <v>21</v>
      </c>
      <c r="J16052" s="41">
        <v>44950</v>
      </c>
      <c r="K16052" s="30" t="s">
        <v>22</v>
      </c>
    </row>
    <row r="16053" spans="1:11">
      <c r="A16053" s="33" t="s">
        <v>36026</v>
      </c>
      <c r="B16053" s="33" t="s">
        <v>36027</v>
      </c>
      <c r="C16053" s="33" t="s">
        <v>1571</v>
      </c>
      <c r="D16053" s="33" t="s">
        <v>17</v>
      </c>
      <c r="E16053" s="33" t="s">
        <v>26</v>
      </c>
      <c r="F16053" s="33" t="s">
        <v>27</v>
      </c>
      <c r="G16053" s="33" t="s">
        <v>158</v>
      </c>
      <c r="H16053" s="35">
        <v>169</v>
      </c>
      <c r="I16053" s="33" t="s">
        <v>51</v>
      </c>
      <c r="J16053" s="42">
        <v>45103</v>
      </c>
      <c r="K16053" s="33" t="s">
        <v>22</v>
      </c>
    </row>
    <row r="16054" spans="1:11">
      <c r="A16054" s="30" t="s">
        <v>36028</v>
      </c>
      <c r="B16054" s="30" t="s">
        <v>36029</v>
      </c>
      <c r="C16054" s="30" t="s">
        <v>14483</v>
      </c>
      <c r="D16054" s="30" t="s">
        <v>17</v>
      </c>
      <c r="E16054" s="30" t="s">
        <v>18</v>
      </c>
      <c r="F16054" s="30" t="s">
        <v>19</v>
      </c>
      <c r="G16054" s="30" t="s">
        <v>20</v>
      </c>
      <c r="H16054" s="32">
        <v>176</v>
      </c>
      <c r="I16054" s="30" t="s">
        <v>21</v>
      </c>
      <c r="J16054" s="41">
        <v>45009</v>
      </c>
      <c r="K16054" s="30" t="s">
        <v>22</v>
      </c>
    </row>
    <row r="16055" spans="1:11">
      <c r="A16055" s="33" t="s">
        <v>36030</v>
      </c>
      <c r="B16055" s="33" t="s">
        <v>36031</v>
      </c>
      <c r="C16055" s="33" t="s">
        <v>3451</v>
      </c>
      <c r="D16055" s="33" t="s">
        <v>17</v>
      </c>
      <c r="E16055" s="33" t="s">
        <v>31</v>
      </c>
      <c r="F16055" s="33" t="s">
        <v>32</v>
      </c>
      <c r="G16055" s="33" t="s">
        <v>50</v>
      </c>
      <c r="H16055" s="35">
        <v>272</v>
      </c>
      <c r="I16055" s="33" t="s">
        <v>21</v>
      </c>
      <c r="J16055" s="42">
        <v>45147</v>
      </c>
      <c r="K16055" s="33" t="s">
        <v>22</v>
      </c>
    </row>
    <row r="16056" spans="1:11">
      <c r="A16056" s="30" t="s">
        <v>36032</v>
      </c>
      <c r="B16056" s="30" t="s">
        <v>36033</v>
      </c>
      <c r="C16056" s="30" t="s">
        <v>190</v>
      </c>
      <c r="D16056" s="30" t="s">
        <v>17</v>
      </c>
      <c r="E16056" s="30" t="s">
        <v>18</v>
      </c>
      <c r="F16056" s="30" t="s">
        <v>19</v>
      </c>
      <c r="G16056" s="30" t="s">
        <v>20</v>
      </c>
      <c r="H16056" s="32">
        <v>35</v>
      </c>
      <c r="I16056" s="30" t="s">
        <v>21</v>
      </c>
      <c r="J16056" s="41">
        <v>45091</v>
      </c>
      <c r="K16056" s="30" t="s">
        <v>22</v>
      </c>
    </row>
    <row r="16057" spans="1:11">
      <c r="A16057" s="33" t="s">
        <v>36034</v>
      </c>
      <c r="B16057" s="33" t="s">
        <v>36035</v>
      </c>
      <c r="C16057" s="33" t="s">
        <v>96</v>
      </c>
      <c r="D16057" s="33" t="s">
        <v>17</v>
      </c>
      <c r="E16057" s="33" t="s">
        <v>18</v>
      </c>
      <c r="F16057" s="33" t="s">
        <v>19</v>
      </c>
      <c r="G16057" s="33" t="s">
        <v>106</v>
      </c>
      <c r="H16057" s="35">
        <v>7</v>
      </c>
      <c r="I16057" s="33" t="s">
        <v>21</v>
      </c>
      <c r="J16057" s="42">
        <v>44998</v>
      </c>
      <c r="K16057" s="33" t="s">
        <v>22</v>
      </c>
    </row>
    <row r="16058" spans="1:11">
      <c r="A16058" s="30" t="s">
        <v>36036</v>
      </c>
      <c r="B16058" s="30" t="s">
        <v>36037</v>
      </c>
      <c r="C16058" s="30" t="s">
        <v>25546</v>
      </c>
      <c r="D16058" s="30" t="s">
        <v>17</v>
      </c>
      <c r="E16058" s="30" t="s">
        <v>67</v>
      </c>
      <c r="F16058" s="30" t="s">
        <v>68</v>
      </c>
      <c r="G16058" s="30" t="s">
        <v>158</v>
      </c>
      <c r="H16058" s="32">
        <v>5</v>
      </c>
      <c r="I16058" s="30" t="s">
        <v>21</v>
      </c>
      <c r="J16058" s="41">
        <v>45211</v>
      </c>
      <c r="K16058" s="30" t="s">
        <v>22</v>
      </c>
    </row>
    <row r="16059" spans="1:11">
      <c r="A16059" s="33" t="s">
        <v>36038</v>
      </c>
      <c r="B16059" s="33" t="s">
        <v>36039</v>
      </c>
      <c r="C16059" s="33" t="s">
        <v>15718</v>
      </c>
      <c r="D16059" s="33" t="s">
        <v>17</v>
      </c>
      <c r="E16059" s="33" t="s">
        <v>67</v>
      </c>
      <c r="F16059" s="33" t="s">
        <v>68</v>
      </c>
      <c r="G16059" s="33" t="s">
        <v>140</v>
      </c>
      <c r="H16059" s="35">
        <v>94</v>
      </c>
      <c r="I16059" s="33" t="s">
        <v>51</v>
      </c>
      <c r="J16059" s="42">
        <v>45240</v>
      </c>
      <c r="K16059" s="33" t="s">
        <v>22</v>
      </c>
    </row>
    <row r="16060" spans="1:11">
      <c r="A16060" s="30" t="s">
        <v>36040</v>
      </c>
      <c r="B16060" s="30" t="s">
        <v>36041</v>
      </c>
      <c r="C16060" s="30" t="s">
        <v>13754</v>
      </c>
      <c r="D16060" s="30" t="s">
        <v>17</v>
      </c>
      <c r="E16060" s="30" t="s">
        <v>26</v>
      </c>
      <c r="F16060" s="30" t="s">
        <v>27</v>
      </c>
      <c r="G16060" s="30" t="s">
        <v>106</v>
      </c>
      <c r="H16060" s="32">
        <v>5</v>
      </c>
      <c r="I16060" s="30" t="s">
        <v>21</v>
      </c>
      <c r="J16060" s="41">
        <v>44995</v>
      </c>
      <c r="K16060" s="30" t="s">
        <v>22</v>
      </c>
    </row>
    <row r="16061" spans="1:11">
      <c r="A16061" s="33" t="s">
        <v>36042</v>
      </c>
      <c r="B16061" s="33" t="s">
        <v>36043</v>
      </c>
      <c r="C16061" s="33" t="s">
        <v>1343</v>
      </c>
      <c r="D16061" s="33" t="s">
        <v>17</v>
      </c>
      <c r="E16061" s="33" t="s">
        <v>212</v>
      </c>
      <c r="F16061" s="33" t="s">
        <v>213</v>
      </c>
      <c r="G16061" s="33" t="s">
        <v>20</v>
      </c>
      <c r="H16061" s="35">
        <v>20</v>
      </c>
      <c r="I16061" s="33" t="s">
        <v>21</v>
      </c>
      <c r="J16061" s="42">
        <v>45245</v>
      </c>
      <c r="K16061" s="33" t="s">
        <v>22</v>
      </c>
    </row>
    <row r="16062" spans="1:11">
      <c r="A16062" s="30" t="s">
        <v>36044</v>
      </c>
      <c r="B16062" s="30" t="s">
        <v>36045</v>
      </c>
      <c r="C16062" s="30" t="s">
        <v>93</v>
      </c>
      <c r="D16062" s="30" t="s">
        <v>17</v>
      </c>
      <c r="E16062" s="30" t="s">
        <v>18</v>
      </c>
      <c r="F16062" s="30" t="s">
        <v>19</v>
      </c>
      <c r="G16062" s="30" t="s">
        <v>20</v>
      </c>
      <c r="H16062" s="32">
        <v>545</v>
      </c>
      <c r="I16062" s="30" t="s">
        <v>21</v>
      </c>
      <c r="J16062" s="41">
        <v>45206</v>
      </c>
      <c r="K16062" s="30" t="s">
        <v>22</v>
      </c>
    </row>
    <row r="16063" spans="1:11">
      <c r="A16063" s="33" t="s">
        <v>36046</v>
      </c>
      <c r="B16063" s="33" t="s">
        <v>36047</v>
      </c>
      <c r="C16063" s="33" t="s">
        <v>1576</v>
      </c>
      <c r="D16063" s="33" t="s">
        <v>17</v>
      </c>
      <c r="E16063" s="33" t="s">
        <v>31</v>
      </c>
      <c r="F16063" s="33" t="s">
        <v>32</v>
      </c>
      <c r="G16063" s="33" t="s">
        <v>158</v>
      </c>
      <c r="H16063" s="35">
        <v>540</v>
      </c>
      <c r="I16063" s="33" t="s">
        <v>51</v>
      </c>
      <c r="J16063" s="42">
        <v>45105</v>
      </c>
      <c r="K16063" s="33" t="s">
        <v>22</v>
      </c>
    </row>
    <row r="16064" spans="1:11">
      <c r="A16064" s="30" t="s">
        <v>36048</v>
      </c>
      <c r="B16064" s="30" t="s">
        <v>36049</v>
      </c>
      <c r="C16064" s="30" t="s">
        <v>203</v>
      </c>
      <c r="D16064" s="30" t="s">
        <v>17</v>
      </c>
      <c r="E16064" s="30" t="s">
        <v>31</v>
      </c>
      <c r="F16064" s="30" t="s">
        <v>32</v>
      </c>
      <c r="G16064" s="30" t="s">
        <v>158</v>
      </c>
      <c r="H16064" s="32">
        <v>197</v>
      </c>
      <c r="I16064" s="30" t="s">
        <v>21</v>
      </c>
      <c r="J16064" s="41">
        <v>45271</v>
      </c>
      <c r="K16064" s="30" t="s">
        <v>22</v>
      </c>
    </row>
    <row r="16065" spans="1:11">
      <c r="A16065" s="33" t="s">
        <v>36050</v>
      </c>
      <c r="B16065" s="33" t="s">
        <v>36051</v>
      </c>
      <c r="C16065" s="33" t="s">
        <v>4668</v>
      </c>
      <c r="D16065" s="33" t="s">
        <v>17</v>
      </c>
      <c r="E16065" s="33" t="s">
        <v>26</v>
      </c>
      <c r="F16065" s="33" t="s">
        <v>27</v>
      </c>
      <c r="G16065" s="33" t="s">
        <v>20</v>
      </c>
      <c r="H16065" s="35">
        <v>62</v>
      </c>
      <c r="I16065" s="33" t="s">
        <v>21</v>
      </c>
      <c r="J16065" s="42">
        <v>44958</v>
      </c>
      <c r="K16065" s="33" t="s">
        <v>22</v>
      </c>
    </row>
    <row r="16066" spans="1:11">
      <c r="A16066" s="30" t="s">
        <v>36052</v>
      </c>
      <c r="B16066" s="30" t="s">
        <v>36053</v>
      </c>
      <c r="C16066" s="30" t="s">
        <v>36054</v>
      </c>
      <c r="D16066" s="30" t="s">
        <v>17</v>
      </c>
      <c r="E16066" s="30" t="s">
        <v>26</v>
      </c>
      <c r="F16066" s="30" t="s">
        <v>27</v>
      </c>
      <c r="G16066" s="30" t="s">
        <v>140</v>
      </c>
      <c r="H16066" s="32">
        <v>290</v>
      </c>
      <c r="I16066" s="30" t="s">
        <v>51</v>
      </c>
      <c r="J16066" s="41">
        <v>45135</v>
      </c>
      <c r="K16066" s="30" t="s">
        <v>22</v>
      </c>
    </row>
    <row r="16067" spans="1:11">
      <c r="A16067" s="33" t="s">
        <v>36055</v>
      </c>
      <c r="B16067" s="33" t="s">
        <v>36056</v>
      </c>
      <c r="C16067" s="33" t="s">
        <v>30073</v>
      </c>
      <c r="D16067" s="33" t="s">
        <v>17</v>
      </c>
      <c r="E16067" s="33" t="s">
        <v>26</v>
      </c>
      <c r="F16067" s="33" t="s">
        <v>27</v>
      </c>
      <c r="G16067" s="33" t="s">
        <v>140</v>
      </c>
      <c r="H16067" s="35">
        <v>73</v>
      </c>
      <c r="I16067" s="33" t="s">
        <v>51</v>
      </c>
      <c r="J16067" s="42">
        <v>45218</v>
      </c>
      <c r="K16067" s="33" t="s">
        <v>22</v>
      </c>
    </row>
    <row r="16068" spans="1:11">
      <c r="A16068" s="30" t="s">
        <v>36057</v>
      </c>
      <c r="B16068" s="30" t="s">
        <v>36058</v>
      </c>
      <c r="C16068" s="30" t="s">
        <v>15585</v>
      </c>
      <c r="D16068" s="30" t="s">
        <v>17</v>
      </c>
      <c r="E16068" s="30" t="s">
        <v>31</v>
      </c>
      <c r="F16068" s="30" t="s">
        <v>32</v>
      </c>
      <c r="G16068" s="30" t="s">
        <v>20</v>
      </c>
      <c r="H16068" s="32">
        <v>199</v>
      </c>
      <c r="I16068" s="30" t="s">
        <v>21</v>
      </c>
      <c r="J16068" s="41">
        <v>45150</v>
      </c>
      <c r="K16068" s="30" t="s">
        <v>22</v>
      </c>
    </row>
    <row r="16069" spans="1:11">
      <c r="A16069" s="33" t="s">
        <v>36059</v>
      </c>
      <c r="B16069" s="33" t="s">
        <v>36060</v>
      </c>
      <c r="C16069" s="33" t="s">
        <v>1191</v>
      </c>
      <c r="D16069" s="33" t="s">
        <v>17</v>
      </c>
      <c r="E16069" s="33" t="s">
        <v>18</v>
      </c>
      <c r="F16069" s="33" t="s">
        <v>19</v>
      </c>
      <c r="G16069" s="33" t="s">
        <v>50</v>
      </c>
      <c r="H16069" s="35">
        <v>1200</v>
      </c>
      <c r="I16069" s="33" t="s">
        <v>21</v>
      </c>
      <c r="J16069" s="42">
        <v>45043</v>
      </c>
      <c r="K16069" s="33" t="s">
        <v>22</v>
      </c>
    </row>
    <row r="16070" spans="1:11">
      <c r="A16070" s="30" t="s">
        <v>36061</v>
      </c>
      <c r="B16070" s="30" t="s">
        <v>36062</v>
      </c>
      <c r="C16070" s="30" t="s">
        <v>96</v>
      </c>
      <c r="D16070" s="30" t="s">
        <v>17</v>
      </c>
      <c r="E16070" s="30" t="s">
        <v>26</v>
      </c>
      <c r="F16070" s="30" t="s">
        <v>27</v>
      </c>
      <c r="G16070" s="30" t="s">
        <v>112</v>
      </c>
      <c r="H16070" s="32">
        <v>0</v>
      </c>
      <c r="I16070" s="30" t="s">
        <v>21</v>
      </c>
      <c r="J16070" s="41">
        <v>45224</v>
      </c>
      <c r="K16070" s="30" t="s">
        <v>22</v>
      </c>
    </row>
    <row r="16071" spans="1:11">
      <c r="A16071" s="33" t="s">
        <v>36063</v>
      </c>
      <c r="B16071" s="33" t="s">
        <v>36064</v>
      </c>
      <c r="C16071" s="33" t="s">
        <v>1561</v>
      </c>
      <c r="D16071" s="33" t="s">
        <v>17</v>
      </c>
      <c r="E16071" s="33" t="s">
        <v>31</v>
      </c>
      <c r="F16071" s="33" t="s">
        <v>32</v>
      </c>
      <c r="G16071" s="33" t="s">
        <v>158</v>
      </c>
      <c r="H16071" s="35">
        <v>75</v>
      </c>
      <c r="I16071" s="33" t="s">
        <v>51</v>
      </c>
      <c r="J16071" s="42">
        <v>45181</v>
      </c>
      <c r="K16071" s="33" t="s">
        <v>22</v>
      </c>
    </row>
    <row r="16072" spans="1:11">
      <c r="A16072" s="30" t="s">
        <v>36065</v>
      </c>
      <c r="B16072" s="30" t="s">
        <v>36066</v>
      </c>
      <c r="C16072" s="30" t="s">
        <v>24049</v>
      </c>
      <c r="D16072" s="30" t="s">
        <v>17</v>
      </c>
      <c r="E16072" s="30" t="s">
        <v>26</v>
      </c>
      <c r="F16072" s="30" t="s">
        <v>27</v>
      </c>
      <c r="G16072" s="30" t="s">
        <v>20</v>
      </c>
      <c r="H16072" s="32">
        <v>21</v>
      </c>
      <c r="I16072" s="30" t="s">
        <v>21</v>
      </c>
      <c r="J16072" s="41">
        <v>45156</v>
      </c>
      <c r="K16072" s="30" t="s">
        <v>22</v>
      </c>
    </row>
    <row r="16073" spans="1:11">
      <c r="A16073" s="33" t="s">
        <v>36067</v>
      </c>
      <c r="B16073" s="33" t="s">
        <v>36068</v>
      </c>
      <c r="C16073" s="33" t="s">
        <v>1801</v>
      </c>
      <c r="D16073" s="33" t="s">
        <v>17</v>
      </c>
      <c r="E16073" s="33" t="s">
        <v>26</v>
      </c>
      <c r="F16073" s="33" t="s">
        <v>27</v>
      </c>
      <c r="G16073" s="33" t="s">
        <v>158</v>
      </c>
      <c r="H16073" s="35">
        <v>408</v>
      </c>
      <c r="I16073" s="33" t="s">
        <v>51</v>
      </c>
      <c r="J16073" s="42">
        <v>45014</v>
      </c>
      <c r="K16073" s="33" t="s">
        <v>22</v>
      </c>
    </row>
    <row r="16074" spans="1:11">
      <c r="A16074" s="30" t="s">
        <v>36069</v>
      </c>
      <c r="B16074" s="30" t="s">
        <v>36070</v>
      </c>
      <c r="C16074" s="30" t="s">
        <v>96</v>
      </c>
      <c r="D16074" s="30" t="s">
        <v>17</v>
      </c>
      <c r="E16074" s="30" t="s">
        <v>26</v>
      </c>
      <c r="F16074" s="30" t="s">
        <v>27</v>
      </c>
      <c r="G16074" s="30" t="s">
        <v>20</v>
      </c>
      <c r="H16074" s="32">
        <v>12</v>
      </c>
      <c r="I16074" s="30" t="s">
        <v>21</v>
      </c>
      <c r="J16074" s="41">
        <v>45233</v>
      </c>
      <c r="K16074" s="30" t="s">
        <v>22</v>
      </c>
    </row>
    <row r="16075" spans="1:11">
      <c r="A16075" s="33" t="s">
        <v>36071</v>
      </c>
      <c r="B16075" s="33" t="s">
        <v>36072</v>
      </c>
      <c r="C16075" s="33" t="s">
        <v>15097</v>
      </c>
      <c r="D16075" s="33" t="s">
        <v>17</v>
      </c>
      <c r="E16075" s="33" t="s">
        <v>330</v>
      </c>
      <c r="F16075" s="33" t="s">
        <v>331</v>
      </c>
      <c r="G16075" s="33" t="s">
        <v>106</v>
      </c>
      <c r="H16075" s="35">
        <v>2</v>
      </c>
      <c r="I16075" s="33" t="s">
        <v>21</v>
      </c>
      <c r="J16075" s="42">
        <v>44983</v>
      </c>
      <c r="K16075" s="33" t="s">
        <v>22</v>
      </c>
    </row>
    <row r="16076" spans="1:11">
      <c r="A16076" s="30" t="s">
        <v>36073</v>
      </c>
      <c r="B16076" s="30" t="s">
        <v>36074</v>
      </c>
      <c r="C16076" s="30" t="s">
        <v>36075</v>
      </c>
      <c r="D16076" s="30" t="s">
        <v>17</v>
      </c>
      <c r="E16076" s="30" t="s">
        <v>26</v>
      </c>
      <c r="F16076" s="30" t="s">
        <v>27</v>
      </c>
      <c r="G16076" s="30" t="s">
        <v>20</v>
      </c>
      <c r="H16076" s="32">
        <v>1</v>
      </c>
      <c r="I16076" s="30" t="s">
        <v>21</v>
      </c>
      <c r="J16076" s="41">
        <v>45148</v>
      </c>
      <c r="K16076" s="30" t="s">
        <v>22</v>
      </c>
    </row>
    <row r="16077" spans="1:11">
      <c r="A16077" s="33" t="s">
        <v>36076</v>
      </c>
      <c r="B16077" s="33" t="s">
        <v>36077</v>
      </c>
      <c r="C16077" s="33" t="s">
        <v>96</v>
      </c>
      <c r="D16077" s="33" t="s">
        <v>17</v>
      </c>
      <c r="E16077" s="33" t="s">
        <v>26</v>
      </c>
      <c r="F16077" s="33" t="s">
        <v>27</v>
      </c>
      <c r="G16077" s="33" t="s">
        <v>20</v>
      </c>
      <c r="H16077" s="35">
        <v>8</v>
      </c>
      <c r="I16077" s="33" t="s">
        <v>21</v>
      </c>
      <c r="J16077" s="42">
        <v>45280</v>
      </c>
      <c r="K16077" s="33" t="s">
        <v>22</v>
      </c>
    </row>
    <row r="16078" spans="1:11">
      <c r="A16078" s="30" t="s">
        <v>36078</v>
      </c>
      <c r="B16078" s="30" t="s">
        <v>36079</v>
      </c>
      <c r="C16078" s="30" t="s">
        <v>36080</v>
      </c>
      <c r="D16078" s="30" t="s">
        <v>17</v>
      </c>
      <c r="E16078" s="30" t="s">
        <v>67</v>
      </c>
      <c r="F16078" s="30" t="s">
        <v>68</v>
      </c>
      <c r="G16078" s="30" t="s">
        <v>20</v>
      </c>
      <c r="H16078" s="32">
        <v>79</v>
      </c>
      <c r="I16078" s="30" t="s">
        <v>21</v>
      </c>
      <c r="J16078" s="41">
        <v>44986</v>
      </c>
      <c r="K16078" s="30" t="s">
        <v>22</v>
      </c>
    </row>
    <row r="16079" spans="1:11">
      <c r="A16079" s="33" t="s">
        <v>36081</v>
      </c>
      <c r="B16079" s="33" t="s">
        <v>36082</v>
      </c>
      <c r="C16079" s="33" t="s">
        <v>190</v>
      </c>
      <c r="D16079" s="33" t="s">
        <v>17</v>
      </c>
      <c r="E16079" s="33" t="s">
        <v>26</v>
      </c>
      <c r="F16079" s="33" t="s">
        <v>27</v>
      </c>
      <c r="G16079" s="33" t="s">
        <v>20</v>
      </c>
      <c r="H16079" s="35">
        <v>24</v>
      </c>
      <c r="I16079" s="33" t="s">
        <v>21</v>
      </c>
      <c r="J16079" s="42">
        <v>45138</v>
      </c>
      <c r="K16079" s="33" t="s">
        <v>22</v>
      </c>
    </row>
    <row r="16080" spans="1:11">
      <c r="A16080" s="30" t="s">
        <v>36083</v>
      </c>
      <c r="B16080" s="30" t="s">
        <v>36084</v>
      </c>
      <c r="C16080" s="30" t="s">
        <v>231</v>
      </c>
      <c r="D16080" s="30" t="s">
        <v>17</v>
      </c>
      <c r="E16080" s="30" t="s">
        <v>26</v>
      </c>
      <c r="F16080" s="30" t="s">
        <v>27</v>
      </c>
      <c r="G16080" s="30" t="s">
        <v>20</v>
      </c>
      <c r="H16080" s="32">
        <v>32</v>
      </c>
      <c r="I16080" s="30" t="s">
        <v>21</v>
      </c>
      <c r="J16080" s="41">
        <v>45128</v>
      </c>
      <c r="K16080" s="30" t="s">
        <v>22</v>
      </c>
    </row>
    <row r="16081" spans="1:11">
      <c r="A16081" s="33" t="s">
        <v>36085</v>
      </c>
      <c r="B16081" s="33" t="s">
        <v>36086</v>
      </c>
      <c r="C16081" s="33" t="s">
        <v>3157</v>
      </c>
      <c r="D16081" s="33" t="s">
        <v>17</v>
      </c>
      <c r="E16081" s="33" t="s">
        <v>18</v>
      </c>
      <c r="F16081" s="33" t="s">
        <v>19</v>
      </c>
      <c r="G16081" s="33" t="s">
        <v>158</v>
      </c>
      <c r="H16081" s="35">
        <v>16</v>
      </c>
      <c r="I16081" s="33" t="s">
        <v>21</v>
      </c>
      <c r="J16081" s="42">
        <v>45168</v>
      </c>
      <c r="K16081" s="33" t="s">
        <v>22</v>
      </c>
    </row>
    <row r="16082" spans="1:11">
      <c r="A16082" s="30" t="s">
        <v>36087</v>
      </c>
      <c r="B16082" s="30" t="s">
        <v>36088</v>
      </c>
      <c r="C16082" s="30" t="s">
        <v>231</v>
      </c>
      <c r="D16082" s="30" t="s">
        <v>17</v>
      </c>
      <c r="E16082" s="30" t="s">
        <v>26</v>
      </c>
      <c r="F16082" s="30" t="s">
        <v>27</v>
      </c>
      <c r="G16082" s="30" t="s">
        <v>20</v>
      </c>
      <c r="H16082" s="32">
        <v>64</v>
      </c>
      <c r="I16082" s="30" t="s">
        <v>21</v>
      </c>
      <c r="J16082" s="41">
        <v>45043</v>
      </c>
      <c r="K16082" s="30" t="s">
        <v>22</v>
      </c>
    </row>
    <row r="16083" spans="1:11">
      <c r="A16083" s="33" t="s">
        <v>36089</v>
      </c>
      <c r="B16083" s="33" t="s">
        <v>36090</v>
      </c>
      <c r="C16083" s="33" t="s">
        <v>407</v>
      </c>
      <c r="D16083" s="33" t="s">
        <v>17</v>
      </c>
      <c r="E16083" s="33" t="s">
        <v>26</v>
      </c>
      <c r="F16083" s="33" t="s">
        <v>27</v>
      </c>
      <c r="G16083" s="33" t="s">
        <v>50</v>
      </c>
      <c r="H16083" s="35">
        <v>42</v>
      </c>
      <c r="I16083" s="33" t="s">
        <v>51</v>
      </c>
      <c r="J16083" s="42">
        <v>45124</v>
      </c>
      <c r="K16083" s="33" t="s">
        <v>22</v>
      </c>
    </row>
    <row r="16084" spans="1:11">
      <c r="A16084" s="30" t="s">
        <v>36091</v>
      </c>
      <c r="B16084" s="30" t="s">
        <v>36092</v>
      </c>
      <c r="C16084" s="30" t="s">
        <v>44</v>
      </c>
      <c r="D16084" s="30" t="s">
        <v>17</v>
      </c>
      <c r="E16084" s="30" t="s">
        <v>18</v>
      </c>
      <c r="F16084" s="30" t="s">
        <v>19</v>
      </c>
      <c r="G16084" s="30" t="s">
        <v>158</v>
      </c>
      <c r="H16084" s="32">
        <v>1564</v>
      </c>
      <c r="I16084" s="30" t="s">
        <v>21</v>
      </c>
      <c r="J16084" s="41">
        <v>44942</v>
      </c>
      <c r="K16084" s="30" t="s">
        <v>22</v>
      </c>
    </row>
    <row r="16085" spans="1:11">
      <c r="A16085" s="33" t="s">
        <v>36093</v>
      </c>
      <c r="B16085" s="33" t="s">
        <v>36094</v>
      </c>
      <c r="C16085" s="33" t="s">
        <v>36095</v>
      </c>
      <c r="D16085" s="33" t="s">
        <v>17</v>
      </c>
      <c r="E16085" s="33" t="s">
        <v>26</v>
      </c>
      <c r="F16085" s="33" t="s">
        <v>27</v>
      </c>
      <c r="G16085" s="33" t="s">
        <v>140</v>
      </c>
      <c r="H16085" s="35">
        <v>25</v>
      </c>
      <c r="I16085" s="33" t="s">
        <v>51</v>
      </c>
      <c r="J16085" s="42">
        <v>45174</v>
      </c>
      <c r="K16085" s="33" t="s">
        <v>22</v>
      </c>
    </row>
    <row r="16086" spans="1:11">
      <c r="A16086" s="30" t="s">
        <v>36096</v>
      </c>
      <c r="B16086" s="30" t="s">
        <v>36097</v>
      </c>
      <c r="C16086" s="30" t="s">
        <v>644</v>
      </c>
      <c r="D16086" s="30" t="s">
        <v>17</v>
      </c>
      <c r="E16086" s="30" t="s">
        <v>18</v>
      </c>
      <c r="F16086" s="30" t="s">
        <v>19</v>
      </c>
      <c r="G16086" s="30" t="s">
        <v>50</v>
      </c>
      <c r="H16086" s="32">
        <v>432</v>
      </c>
      <c r="I16086" s="30" t="s">
        <v>51</v>
      </c>
      <c r="J16086" s="41">
        <v>44999</v>
      </c>
      <c r="K16086" s="30" t="s">
        <v>22</v>
      </c>
    </row>
    <row r="16087" spans="1:11">
      <c r="A16087" s="33" t="s">
        <v>36098</v>
      </c>
      <c r="B16087" s="33" t="s">
        <v>36099</v>
      </c>
      <c r="C16087" s="33" t="s">
        <v>96</v>
      </c>
      <c r="D16087" s="33" t="s">
        <v>17</v>
      </c>
      <c r="E16087" s="33" t="s">
        <v>26</v>
      </c>
      <c r="F16087" s="33" t="s">
        <v>27</v>
      </c>
      <c r="G16087" s="33" t="s">
        <v>20</v>
      </c>
      <c r="H16087" s="35">
        <v>16</v>
      </c>
      <c r="I16087" s="33" t="s">
        <v>21</v>
      </c>
      <c r="J16087" s="42">
        <v>45229</v>
      </c>
      <c r="K16087" s="33" t="s">
        <v>22</v>
      </c>
    </row>
    <row r="16088" spans="1:11">
      <c r="A16088" s="30" t="s">
        <v>36100</v>
      </c>
      <c r="B16088" s="30" t="s">
        <v>36101</v>
      </c>
      <c r="C16088" s="30" t="s">
        <v>96</v>
      </c>
      <c r="D16088" s="30" t="s">
        <v>17</v>
      </c>
      <c r="E16088" s="30" t="s">
        <v>26</v>
      </c>
      <c r="F16088" s="30" t="s">
        <v>27</v>
      </c>
      <c r="G16088" s="30" t="s">
        <v>20</v>
      </c>
      <c r="H16088" s="32">
        <v>30</v>
      </c>
      <c r="I16088" s="30" t="s">
        <v>21</v>
      </c>
      <c r="J16088" s="41">
        <v>45147</v>
      </c>
      <c r="K16088" s="30" t="s">
        <v>22</v>
      </c>
    </row>
    <row r="16089" spans="1:11">
      <c r="A16089" s="33" t="s">
        <v>36102</v>
      </c>
      <c r="B16089" s="33" t="s">
        <v>36103</v>
      </c>
      <c r="C16089" s="33" t="s">
        <v>17552</v>
      </c>
      <c r="D16089" s="33" t="s">
        <v>17</v>
      </c>
      <c r="E16089" s="33" t="s">
        <v>212</v>
      </c>
      <c r="F16089" s="33" t="s">
        <v>213</v>
      </c>
      <c r="G16089" s="33" t="s">
        <v>20</v>
      </c>
      <c r="H16089" s="35">
        <v>80</v>
      </c>
      <c r="I16089" s="33" t="s">
        <v>21</v>
      </c>
      <c r="J16089" s="42">
        <v>45184</v>
      </c>
      <c r="K16089" s="33" t="s">
        <v>22</v>
      </c>
    </row>
    <row r="16090" spans="1:11">
      <c r="A16090" s="30" t="s">
        <v>36104</v>
      </c>
      <c r="B16090" s="30" t="s">
        <v>36105</v>
      </c>
      <c r="C16090" s="30" t="s">
        <v>15917</v>
      </c>
      <c r="D16090" s="30" t="s">
        <v>17</v>
      </c>
      <c r="E16090" s="30" t="s">
        <v>31</v>
      </c>
      <c r="F16090" s="30" t="s">
        <v>32</v>
      </c>
      <c r="G16090" s="30" t="s">
        <v>50</v>
      </c>
      <c r="H16090" s="32">
        <v>114</v>
      </c>
      <c r="I16090" s="30" t="s">
        <v>21</v>
      </c>
      <c r="J16090" s="41">
        <v>45173</v>
      </c>
      <c r="K16090" s="30" t="s">
        <v>22</v>
      </c>
    </row>
    <row r="16091" spans="1:11">
      <c r="A16091" s="33" t="s">
        <v>36106</v>
      </c>
      <c r="B16091" s="33" t="s">
        <v>36107</v>
      </c>
      <c r="C16091" s="33" t="s">
        <v>10038</v>
      </c>
      <c r="D16091" s="33" t="s">
        <v>17</v>
      </c>
      <c r="E16091" s="33" t="s">
        <v>31</v>
      </c>
      <c r="F16091" s="33" t="s">
        <v>32</v>
      </c>
      <c r="G16091" s="33" t="s">
        <v>20</v>
      </c>
      <c r="H16091" s="35">
        <v>13</v>
      </c>
      <c r="I16091" s="33" t="s">
        <v>21</v>
      </c>
      <c r="J16091" s="42">
        <v>45076</v>
      </c>
      <c r="K16091" s="33" t="s">
        <v>22</v>
      </c>
    </row>
    <row r="16092" spans="1:11">
      <c r="A16092" s="30" t="s">
        <v>36108</v>
      </c>
      <c r="B16092" s="30" t="s">
        <v>36109</v>
      </c>
      <c r="C16092" s="30" t="s">
        <v>695</v>
      </c>
      <c r="D16092" s="30" t="s">
        <v>17</v>
      </c>
      <c r="E16092" s="30" t="s">
        <v>26</v>
      </c>
      <c r="F16092" s="30" t="s">
        <v>27</v>
      </c>
      <c r="G16092" s="30" t="s">
        <v>20</v>
      </c>
      <c r="H16092" s="32">
        <v>20</v>
      </c>
      <c r="I16092" s="30" t="s">
        <v>21</v>
      </c>
      <c r="J16092" s="41">
        <v>44951</v>
      </c>
      <c r="K16092" s="30" t="s">
        <v>22</v>
      </c>
    </row>
    <row r="16093" spans="1:11">
      <c r="A16093" s="33" t="s">
        <v>36110</v>
      </c>
      <c r="B16093" s="33" t="s">
        <v>36111</v>
      </c>
      <c r="C16093" s="33" t="s">
        <v>3594</v>
      </c>
      <c r="D16093" s="33" t="s">
        <v>17</v>
      </c>
      <c r="E16093" s="33" t="s">
        <v>26</v>
      </c>
      <c r="F16093" s="33" t="s">
        <v>27</v>
      </c>
      <c r="G16093" s="33" t="s">
        <v>20</v>
      </c>
      <c r="H16093" s="35">
        <v>20</v>
      </c>
      <c r="I16093" s="33" t="s">
        <v>21</v>
      </c>
      <c r="J16093" s="42">
        <v>44936</v>
      </c>
      <c r="K16093" s="33" t="s">
        <v>22</v>
      </c>
    </row>
    <row r="16094" spans="1:11">
      <c r="A16094" s="30" t="s">
        <v>36112</v>
      </c>
      <c r="B16094" s="30" t="s">
        <v>36113</v>
      </c>
      <c r="C16094" s="30" t="s">
        <v>5817</v>
      </c>
      <c r="D16094" s="30" t="s">
        <v>17</v>
      </c>
      <c r="E16094" s="30" t="s">
        <v>31</v>
      </c>
      <c r="F16094" s="30" t="s">
        <v>32</v>
      </c>
      <c r="G16094" s="30" t="s">
        <v>20</v>
      </c>
      <c r="H16094" s="32">
        <v>23</v>
      </c>
      <c r="I16094" s="30" t="s">
        <v>21</v>
      </c>
      <c r="J16094" s="41">
        <v>45056</v>
      </c>
      <c r="K16094" s="30" t="s">
        <v>22</v>
      </c>
    </row>
    <row r="16095" spans="1:11">
      <c r="A16095" s="33" t="s">
        <v>36114</v>
      </c>
      <c r="B16095" s="33" t="s">
        <v>36115</v>
      </c>
      <c r="C16095" s="33" t="s">
        <v>6955</v>
      </c>
      <c r="D16095" s="33" t="s">
        <v>17</v>
      </c>
      <c r="E16095" s="33" t="s">
        <v>26</v>
      </c>
      <c r="F16095" s="33" t="s">
        <v>27</v>
      </c>
      <c r="G16095" s="33" t="s">
        <v>20</v>
      </c>
      <c r="H16095" s="35">
        <v>84</v>
      </c>
      <c r="I16095" s="33" t="s">
        <v>21</v>
      </c>
      <c r="J16095" s="42">
        <v>45035</v>
      </c>
      <c r="K16095" s="33" t="s">
        <v>22</v>
      </c>
    </row>
    <row r="16096" spans="1:11">
      <c r="A16096" s="30" t="s">
        <v>36116</v>
      </c>
      <c r="B16096" s="30" t="s">
        <v>36117</v>
      </c>
      <c r="C16096" s="30" t="s">
        <v>19435</v>
      </c>
      <c r="D16096" s="30" t="s">
        <v>17</v>
      </c>
      <c r="E16096" s="30" t="s">
        <v>67</v>
      </c>
      <c r="F16096" s="30" t="s">
        <v>68</v>
      </c>
      <c r="G16096" s="30" t="s">
        <v>50</v>
      </c>
      <c r="H16096" s="32">
        <v>71</v>
      </c>
      <c r="I16096" s="30" t="s">
        <v>51</v>
      </c>
      <c r="J16096" s="41">
        <v>45125</v>
      </c>
      <c r="K16096" s="30" t="s">
        <v>22</v>
      </c>
    </row>
    <row r="16097" spans="1:11">
      <c r="A16097" s="33" t="s">
        <v>36118</v>
      </c>
      <c r="B16097" s="33" t="s">
        <v>36119</v>
      </c>
      <c r="C16097" s="33" t="s">
        <v>3957</v>
      </c>
      <c r="D16097" s="33" t="s">
        <v>17</v>
      </c>
      <c r="E16097" s="33" t="s">
        <v>18</v>
      </c>
      <c r="F16097" s="33" t="s">
        <v>19</v>
      </c>
      <c r="G16097" s="33" t="s">
        <v>140</v>
      </c>
      <c r="H16097" s="35">
        <v>105</v>
      </c>
      <c r="I16097" s="33" t="s">
        <v>51</v>
      </c>
      <c r="J16097" s="42">
        <v>45029</v>
      </c>
      <c r="K16097" s="33" t="s">
        <v>22</v>
      </c>
    </row>
    <row r="16098" spans="1:11">
      <c r="A16098" s="30" t="s">
        <v>36120</v>
      </c>
      <c r="B16098" s="30" t="s">
        <v>36121</v>
      </c>
      <c r="C16098" s="30" t="s">
        <v>36122</v>
      </c>
      <c r="D16098" s="30" t="s">
        <v>17</v>
      </c>
      <c r="E16098" s="30" t="s">
        <v>26</v>
      </c>
      <c r="F16098" s="30" t="s">
        <v>27</v>
      </c>
      <c r="G16098" s="30" t="s">
        <v>140</v>
      </c>
      <c r="H16098" s="32">
        <v>104</v>
      </c>
      <c r="I16098" s="30" t="s">
        <v>51</v>
      </c>
      <c r="J16098" s="41">
        <v>45177</v>
      </c>
      <c r="K16098" s="30" t="s">
        <v>22</v>
      </c>
    </row>
    <row r="16099" spans="1:11">
      <c r="A16099" s="33" t="s">
        <v>36123</v>
      </c>
      <c r="B16099" s="33" t="s">
        <v>36124</v>
      </c>
      <c r="C16099" s="33" t="s">
        <v>149</v>
      </c>
      <c r="D16099" s="33" t="s">
        <v>17</v>
      </c>
      <c r="E16099" s="33" t="s">
        <v>26</v>
      </c>
      <c r="F16099" s="33" t="s">
        <v>27</v>
      </c>
      <c r="G16099" s="33" t="s">
        <v>20</v>
      </c>
      <c r="H16099" s="35">
        <v>28</v>
      </c>
      <c r="I16099" s="33" t="s">
        <v>21</v>
      </c>
      <c r="J16099" s="42">
        <v>45286</v>
      </c>
      <c r="K16099" s="33" t="s">
        <v>22</v>
      </c>
    </row>
    <row r="16100" spans="1:11">
      <c r="A16100" s="30" t="s">
        <v>36125</v>
      </c>
      <c r="B16100" s="30" t="s">
        <v>36126</v>
      </c>
      <c r="C16100" s="30" t="s">
        <v>36127</v>
      </c>
      <c r="D16100" s="30" t="s">
        <v>17</v>
      </c>
      <c r="E16100" s="30" t="s">
        <v>18</v>
      </c>
      <c r="F16100" s="30" t="s">
        <v>19</v>
      </c>
      <c r="G16100" s="30" t="s">
        <v>140</v>
      </c>
      <c r="H16100" s="32">
        <v>168</v>
      </c>
      <c r="I16100" s="30" t="s">
        <v>51</v>
      </c>
      <c r="J16100" s="41">
        <v>45194</v>
      </c>
      <c r="K16100" s="30" t="s">
        <v>22</v>
      </c>
    </row>
    <row r="16101" spans="1:11">
      <c r="A16101" s="33" t="s">
        <v>36128</v>
      </c>
      <c r="B16101" s="33" t="s">
        <v>36129</v>
      </c>
      <c r="C16101" s="33" t="s">
        <v>34560</v>
      </c>
      <c r="D16101" s="33" t="s">
        <v>17</v>
      </c>
      <c r="E16101" s="33" t="s">
        <v>26</v>
      </c>
      <c r="F16101" s="33" t="s">
        <v>27</v>
      </c>
      <c r="G16101" s="33" t="s">
        <v>20</v>
      </c>
      <c r="H16101" s="35">
        <v>22</v>
      </c>
      <c r="I16101" s="33" t="s">
        <v>21</v>
      </c>
      <c r="J16101" s="42">
        <v>45280</v>
      </c>
      <c r="K16101" s="33" t="s">
        <v>22</v>
      </c>
    </row>
    <row r="16102" spans="1:11">
      <c r="A16102" s="30" t="s">
        <v>36130</v>
      </c>
      <c r="B16102" s="30" t="s">
        <v>36131</v>
      </c>
      <c r="C16102" s="30" t="s">
        <v>149</v>
      </c>
      <c r="D16102" s="30" t="s">
        <v>17</v>
      </c>
      <c r="E16102" s="30" t="s">
        <v>26</v>
      </c>
      <c r="F16102" s="30" t="s">
        <v>27</v>
      </c>
      <c r="G16102" s="30" t="s">
        <v>106</v>
      </c>
      <c r="H16102" s="32">
        <v>12</v>
      </c>
      <c r="I16102" s="30" t="s">
        <v>21</v>
      </c>
      <c r="J16102" s="41">
        <v>45111</v>
      </c>
      <c r="K16102" s="30" t="s">
        <v>22</v>
      </c>
    </row>
    <row r="16103" spans="1:11">
      <c r="A16103" s="33" t="s">
        <v>36132</v>
      </c>
      <c r="B16103" s="33" t="s">
        <v>36133</v>
      </c>
      <c r="C16103" s="33" t="s">
        <v>570</v>
      </c>
      <c r="D16103" s="33" t="s">
        <v>17</v>
      </c>
      <c r="E16103" s="33" t="s">
        <v>45</v>
      </c>
      <c r="F16103" s="33" t="s">
        <v>46</v>
      </c>
      <c r="G16103" s="33" t="s">
        <v>50</v>
      </c>
      <c r="H16103" s="35">
        <v>150</v>
      </c>
      <c r="I16103" s="33" t="s">
        <v>51</v>
      </c>
      <c r="J16103" s="42">
        <v>45036</v>
      </c>
      <c r="K16103" s="33" t="s">
        <v>22</v>
      </c>
    </row>
    <row r="16104" spans="1:11">
      <c r="A16104" s="30" t="s">
        <v>36134</v>
      </c>
      <c r="B16104" s="30" t="s">
        <v>36135</v>
      </c>
      <c r="C16104" s="30" t="s">
        <v>1529</v>
      </c>
      <c r="D16104" s="30" t="s">
        <v>17</v>
      </c>
      <c r="E16104" s="30" t="s">
        <v>67</v>
      </c>
      <c r="F16104" s="30" t="s">
        <v>68</v>
      </c>
      <c r="G16104" s="30" t="s">
        <v>140</v>
      </c>
      <c r="H16104" s="32">
        <v>15</v>
      </c>
      <c r="I16104" s="30" t="s">
        <v>51</v>
      </c>
      <c r="J16104" s="41">
        <v>45285</v>
      </c>
      <c r="K16104" s="30" t="s">
        <v>22</v>
      </c>
    </row>
    <row r="16105" spans="1:11">
      <c r="A16105" s="33" t="s">
        <v>36136</v>
      </c>
      <c r="B16105" s="33" t="s">
        <v>36137</v>
      </c>
      <c r="C16105" s="33" t="s">
        <v>25594</v>
      </c>
      <c r="D16105" s="33" t="s">
        <v>17</v>
      </c>
      <c r="E16105" s="33" t="s">
        <v>31</v>
      </c>
      <c r="F16105" s="33" t="s">
        <v>32</v>
      </c>
      <c r="G16105" s="33" t="s">
        <v>20</v>
      </c>
      <c r="H16105" s="35">
        <v>144</v>
      </c>
      <c r="I16105" s="33" t="s">
        <v>21</v>
      </c>
      <c r="J16105" s="42">
        <v>45057</v>
      </c>
      <c r="K16105" s="33" t="s">
        <v>22</v>
      </c>
    </row>
    <row r="16106" spans="1:11">
      <c r="A16106" s="30" t="s">
        <v>36138</v>
      </c>
      <c r="B16106" s="30" t="s">
        <v>36139</v>
      </c>
      <c r="C16106" s="30" t="s">
        <v>9958</v>
      </c>
      <c r="D16106" s="30" t="s">
        <v>17</v>
      </c>
      <c r="E16106" s="30" t="s">
        <v>67</v>
      </c>
      <c r="F16106" s="30" t="s">
        <v>68</v>
      </c>
      <c r="G16106" s="30" t="s">
        <v>50</v>
      </c>
      <c r="H16106" s="32">
        <v>400</v>
      </c>
      <c r="I16106" s="30" t="s">
        <v>51</v>
      </c>
      <c r="J16106" s="41">
        <v>44949</v>
      </c>
      <c r="K16106" s="30" t="s">
        <v>22</v>
      </c>
    </row>
    <row r="16107" spans="1:11">
      <c r="A16107" s="33" t="s">
        <v>36140</v>
      </c>
      <c r="B16107" s="33" t="s">
        <v>36141</v>
      </c>
      <c r="C16107" s="33" t="s">
        <v>231</v>
      </c>
      <c r="D16107" s="33" t="s">
        <v>17</v>
      </c>
      <c r="E16107" s="33" t="s">
        <v>26</v>
      </c>
      <c r="F16107" s="33" t="s">
        <v>27</v>
      </c>
      <c r="G16107" s="33" t="s">
        <v>158</v>
      </c>
      <c r="H16107" s="35">
        <v>45</v>
      </c>
      <c r="I16107" s="33" t="s">
        <v>21</v>
      </c>
      <c r="J16107" s="42">
        <v>45104</v>
      </c>
      <c r="K16107" s="33" t="s">
        <v>22</v>
      </c>
    </row>
    <row r="16108" spans="1:11">
      <c r="A16108" s="30" t="s">
        <v>36142</v>
      </c>
      <c r="B16108" s="30" t="s">
        <v>36143</v>
      </c>
      <c r="C16108" s="30" t="s">
        <v>21185</v>
      </c>
      <c r="D16108" s="30" t="s">
        <v>17</v>
      </c>
      <c r="E16108" s="30" t="s">
        <v>26</v>
      </c>
      <c r="F16108" s="30" t="s">
        <v>27</v>
      </c>
      <c r="G16108" s="30" t="s">
        <v>50</v>
      </c>
      <c r="H16108" s="32">
        <v>71</v>
      </c>
      <c r="I16108" s="30" t="s">
        <v>51</v>
      </c>
      <c r="J16108" s="41">
        <v>45111</v>
      </c>
      <c r="K16108" s="30" t="s">
        <v>22</v>
      </c>
    </row>
    <row r="16109" spans="1:11">
      <c r="A16109" s="33" t="s">
        <v>36144</v>
      </c>
      <c r="B16109" s="33" t="s">
        <v>36145</v>
      </c>
      <c r="C16109" s="33" t="s">
        <v>7721</v>
      </c>
      <c r="D16109" s="33" t="s">
        <v>17</v>
      </c>
      <c r="E16109" s="33" t="s">
        <v>26</v>
      </c>
      <c r="F16109" s="33" t="s">
        <v>27</v>
      </c>
      <c r="G16109" s="33" t="s">
        <v>20</v>
      </c>
      <c r="H16109" s="35">
        <v>34</v>
      </c>
      <c r="I16109" s="33" t="s">
        <v>21</v>
      </c>
      <c r="J16109" s="42">
        <v>45069</v>
      </c>
      <c r="K16109" s="33" t="s">
        <v>22</v>
      </c>
    </row>
    <row r="16110" spans="1:11">
      <c r="A16110" s="30" t="s">
        <v>36146</v>
      </c>
      <c r="B16110" s="30" t="s">
        <v>36147</v>
      </c>
      <c r="C16110" s="30" t="s">
        <v>535</v>
      </c>
      <c r="D16110" s="30" t="s">
        <v>17</v>
      </c>
      <c r="E16110" s="30" t="s">
        <v>31</v>
      </c>
      <c r="F16110" s="30" t="s">
        <v>32</v>
      </c>
      <c r="G16110" s="30" t="s">
        <v>20</v>
      </c>
      <c r="H16110" s="32">
        <v>365</v>
      </c>
      <c r="I16110" s="30" t="s">
        <v>21</v>
      </c>
      <c r="J16110" s="41">
        <v>45098</v>
      </c>
      <c r="K16110" s="30" t="s">
        <v>22</v>
      </c>
    </row>
    <row r="16111" spans="1:11">
      <c r="A16111" s="33" t="s">
        <v>36148</v>
      </c>
      <c r="B16111" s="33" t="s">
        <v>36149</v>
      </c>
      <c r="C16111" s="33" t="s">
        <v>17961</v>
      </c>
      <c r="D16111" s="33" t="s">
        <v>17</v>
      </c>
      <c r="E16111" s="33" t="s">
        <v>31</v>
      </c>
      <c r="F16111" s="33" t="s">
        <v>32</v>
      </c>
      <c r="G16111" s="33" t="s">
        <v>106</v>
      </c>
      <c r="H16111" s="35">
        <v>10</v>
      </c>
      <c r="I16111" s="33" t="s">
        <v>21</v>
      </c>
      <c r="J16111" s="42">
        <v>44987</v>
      </c>
      <c r="K16111" s="33" t="s">
        <v>22</v>
      </c>
    </row>
    <row r="16112" spans="1:11">
      <c r="A16112" s="30" t="s">
        <v>36150</v>
      </c>
      <c r="B16112" s="30" t="s">
        <v>36151</v>
      </c>
      <c r="C16112" s="30" t="s">
        <v>231</v>
      </c>
      <c r="D16112" s="30" t="s">
        <v>17</v>
      </c>
      <c r="E16112" s="30" t="s">
        <v>45</v>
      </c>
      <c r="F16112" s="30" t="s">
        <v>46</v>
      </c>
      <c r="G16112" s="30" t="s">
        <v>20</v>
      </c>
      <c r="H16112" s="32">
        <v>209</v>
      </c>
      <c r="I16112" s="30" t="s">
        <v>21</v>
      </c>
      <c r="J16112" s="41">
        <v>45033</v>
      </c>
      <c r="K16112" s="30" t="s">
        <v>22</v>
      </c>
    </row>
    <row r="16113" spans="1:11">
      <c r="A16113" s="33" t="s">
        <v>36152</v>
      </c>
      <c r="B16113" s="33" t="s">
        <v>36153</v>
      </c>
      <c r="C16113" s="33" t="s">
        <v>8869</v>
      </c>
      <c r="D16113" s="33" t="s">
        <v>17</v>
      </c>
      <c r="E16113" s="33" t="s">
        <v>31</v>
      </c>
      <c r="F16113" s="33" t="s">
        <v>32</v>
      </c>
      <c r="G16113" s="33" t="s">
        <v>112</v>
      </c>
      <c r="H16113" s="35">
        <v>0</v>
      </c>
      <c r="I16113" s="33" t="s">
        <v>21</v>
      </c>
      <c r="J16113" s="42">
        <v>45170</v>
      </c>
      <c r="K16113" s="33" t="s">
        <v>22</v>
      </c>
    </row>
    <row r="16114" spans="1:11">
      <c r="A16114" s="30" t="s">
        <v>36154</v>
      </c>
      <c r="B16114" s="30" t="s">
        <v>36155</v>
      </c>
      <c r="C16114" s="30" t="s">
        <v>36156</v>
      </c>
      <c r="D16114" s="30" t="s">
        <v>17</v>
      </c>
      <c r="E16114" s="30" t="s">
        <v>26</v>
      </c>
      <c r="F16114" s="30" t="s">
        <v>27</v>
      </c>
      <c r="G16114" s="30" t="s">
        <v>20</v>
      </c>
      <c r="H16114" s="32">
        <v>130</v>
      </c>
      <c r="I16114" s="30" t="s">
        <v>21</v>
      </c>
      <c r="J16114" s="41">
        <v>45142</v>
      </c>
      <c r="K16114" s="30" t="s">
        <v>22</v>
      </c>
    </row>
    <row r="16115" spans="1:11">
      <c r="A16115" s="33" t="s">
        <v>36157</v>
      </c>
      <c r="B16115" s="33" t="s">
        <v>36158</v>
      </c>
      <c r="C16115" s="33" t="s">
        <v>318</v>
      </c>
      <c r="D16115" s="33" t="s">
        <v>17</v>
      </c>
      <c r="E16115" s="33" t="s">
        <v>18</v>
      </c>
      <c r="F16115" s="33" t="s">
        <v>19</v>
      </c>
      <c r="G16115" s="33" t="s">
        <v>140</v>
      </c>
      <c r="H16115" s="35">
        <v>48</v>
      </c>
      <c r="I16115" s="33" t="s">
        <v>51</v>
      </c>
      <c r="J16115" s="42">
        <v>45008</v>
      </c>
      <c r="K16115" s="33" t="s">
        <v>22</v>
      </c>
    </row>
    <row r="16116" spans="1:11">
      <c r="A16116" s="30" t="s">
        <v>36159</v>
      </c>
      <c r="B16116" s="30" t="s">
        <v>36160</v>
      </c>
      <c r="C16116" s="30" t="s">
        <v>2313</v>
      </c>
      <c r="D16116" s="30" t="s">
        <v>17</v>
      </c>
      <c r="E16116" s="30" t="s">
        <v>31</v>
      </c>
      <c r="F16116" s="30" t="s">
        <v>32</v>
      </c>
      <c r="G16116" s="30" t="s">
        <v>140</v>
      </c>
      <c r="H16116" s="32">
        <v>260</v>
      </c>
      <c r="I16116" s="30" t="s">
        <v>51</v>
      </c>
      <c r="J16116" s="41">
        <v>45217</v>
      </c>
      <c r="K16116" s="30" t="s">
        <v>22</v>
      </c>
    </row>
    <row r="16117" spans="1:11">
      <c r="A16117" s="33" t="s">
        <v>36161</v>
      </c>
      <c r="B16117" s="33" t="s">
        <v>36162</v>
      </c>
      <c r="C16117" s="33" t="s">
        <v>1598</v>
      </c>
      <c r="D16117" s="33" t="s">
        <v>17</v>
      </c>
      <c r="E16117" s="33" t="s">
        <v>31</v>
      </c>
      <c r="F16117" s="33" t="s">
        <v>32</v>
      </c>
      <c r="G16117" s="33" t="s">
        <v>20</v>
      </c>
      <c r="H16117" s="35">
        <v>152</v>
      </c>
      <c r="I16117" s="33" t="s">
        <v>21</v>
      </c>
      <c r="J16117" s="42">
        <v>45166</v>
      </c>
      <c r="K16117" s="33" t="s">
        <v>22</v>
      </c>
    </row>
    <row r="16118" spans="1:11">
      <c r="A16118" s="30" t="s">
        <v>36163</v>
      </c>
      <c r="B16118" s="30" t="s">
        <v>36164</v>
      </c>
      <c r="C16118" s="30" t="s">
        <v>20366</v>
      </c>
      <c r="D16118" s="30" t="s">
        <v>17</v>
      </c>
      <c r="E16118" s="30" t="s">
        <v>26</v>
      </c>
      <c r="F16118" s="30" t="s">
        <v>27</v>
      </c>
      <c r="G16118" s="30" t="s">
        <v>20</v>
      </c>
      <c r="H16118" s="32">
        <v>30</v>
      </c>
      <c r="I16118" s="30" t="s">
        <v>21</v>
      </c>
      <c r="J16118" s="41">
        <v>45103</v>
      </c>
      <c r="K16118" s="30" t="s">
        <v>22</v>
      </c>
    </row>
    <row r="16119" spans="1:11">
      <c r="A16119" s="33" t="s">
        <v>36165</v>
      </c>
      <c r="B16119" s="33" t="s">
        <v>36166</v>
      </c>
      <c r="C16119" s="33" t="s">
        <v>187</v>
      </c>
      <c r="D16119" s="33" t="s">
        <v>17</v>
      </c>
      <c r="E16119" s="33" t="s">
        <v>67</v>
      </c>
      <c r="F16119" s="33" t="s">
        <v>68</v>
      </c>
      <c r="G16119" s="33" t="s">
        <v>158</v>
      </c>
      <c r="H16119" s="35">
        <v>88</v>
      </c>
      <c r="I16119" s="33" t="s">
        <v>21</v>
      </c>
      <c r="J16119" s="42">
        <v>45267</v>
      </c>
      <c r="K16119" s="33" t="s">
        <v>22</v>
      </c>
    </row>
    <row r="16120" spans="1:11">
      <c r="A16120" s="30" t="s">
        <v>36167</v>
      </c>
      <c r="B16120" s="30" t="s">
        <v>36168</v>
      </c>
      <c r="C16120" s="30" t="s">
        <v>20135</v>
      </c>
      <c r="D16120" s="30" t="s">
        <v>17</v>
      </c>
      <c r="E16120" s="30" t="s">
        <v>26</v>
      </c>
      <c r="F16120" s="30" t="s">
        <v>27</v>
      </c>
      <c r="G16120" s="30" t="s">
        <v>20</v>
      </c>
      <c r="H16120" s="32">
        <v>48</v>
      </c>
      <c r="I16120" s="30" t="s">
        <v>21</v>
      </c>
      <c r="J16120" s="41">
        <v>44942</v>
      </c>
      <c r="K16120" s="30" t="s">
        <v>22</v>
      </c>
    </row>
    <row r="16121" spans="1:11">
      <c r="A16121" s="33" t="s">
        <v>36169</v>
      </c>
      <c r="B16121" s="33" t="s">
        <v>36170</v>
      </c>
      <c r="C16121" s="33" t="s">
        <v>6610</v>
      </c>
      <c r="D16121" s="33" t="s">
        <v>17</v>
      </c>
      <c r="E16121" s="33" t="s">
        <v>31</v>
      </c>
      <c r="F16121" s="33" t="s">
        <v>32</v>
      </c>
      <c r="G16121" s="33" t="s">
        <v>50</v>
      </c>
      <c r="H16121" s="35">
        <v>6</v>
      </c>
      <c r="I16121" s="33" t="s">
        <v>51</v>
      </c>
      <c r="J16121" s="42">
        <v>45047</v>
      </c>
      <c r="K16121" s="33" t="s">
        <v>22</v>
      </c>
    </row>
    <row r="16122" spans="1:11">
      <c r="A16122" s="30" t="s">
        <v>36171</v>
      </c>
      <c r="B16122" s="30" t="s">
        <v>36172</v>
      </c>
      <c r="C16122" s="30" t="s">
        <v>36173</v>
      </c>
      <c r="D16122" s="30" t="s">
        <v>17</v>
      </c>
      <c r="E16122" s="30" t="s">
        <v>18</v>
      </c>
      <c r="F16122" s="30" t="s">
        <v>19</v>
      </c>
      <c r="G16122" s="30" t="s">
        <v>50</v>
      </c>
      <c r="H16122" s="32">
        <v>280</v>
      </c>
      <c r="I16122" s="30" t="s">
        <v>51</v>
      </c>
      <c r="J16122" s="41">
        <v>45237</v>
      </c>
      <c r="K16122" s="30" t="s">
        <v>22</v>
      </c>
    </row>
    <row r="16123" spans="1:11">
      <c r="A16123" s="33" t="s">
        <v>36174</v>
      </c>
      <c r="B16123" s="33" t="s">
        <v>36175</v>
      </c>
      <c r="C16123" s="33" t="s">
        <v>24049</v>
      </c>
      <c r="D16123" s="33" t="s">
        <v>17</v>
      </c>
      <c r="E16123" s="33" t="s">
        <v>31</v>
      </c>
      <c r="F16123" s="33" t="s">
        <v>32</v>
      </c>
      <c r="G16123" s="33" t="s">
        <v>20</v>
      </c>
      <c r="H16123" s="35">
        <v>80</v>
      </c>
      <c r="I16123" s="33" t="s">
        <v>21</v>
      </c>
      <c r="J16123" s="42">
        <v>45139</v>
      </c>
      <c r="K16123" s="33" t="s">
        <v>22</v>
      </c>
    </row>
    <row r="16124" spans="1:11">
      <c r="A16124" s="30" t="s">
        <v>36176</v>
      </c>
      <c r="B16124" s="30" t="s">
        <v>36177</v>
      </c>
      <c r="C16124" s="30" t="s">
        <v>14176</v>
      </c>
      <c r="D16124" s="30" t="s">
        <v>17</v>
      </c>
      <c r="E16124" s="30" t="s">
        <v>26</v>
      </c>
      <c r="F16124" s="30" t="s">
        <v>27</v>
      </c>
      <c r="G16124" s="30" t="s">
        <v>158</v>
      </c>
      <c r="H16124" s="32">
        <v>22</v>
      </c>
      <c r="I16124" s="30" t="s">
        <v>21</v>
      </c>
      <c r="J16124" s="41">
        <v>45261</v>
      </c>
      <c r="K16124" s="30" t="s">
        <v>22</v>
      </c>
    </row>
    <row r="16125" spans="1:11">
      <c r="A16125" s="33" t="s">
        <v>36178</v>
      </c>
      <c r="B16125" s="33" t="s">
        <v>36179</v>
      </c>
      <c r="C16125" s="33" t="s">
        <v>75</v>
      </c>
      <c r="D16125" s="33" t="s">
        <v>17</v>
      </c>
      <c r="E16125" s="33" t="s">
        <v>18</v>
      </c>
      <c r="F16125" s="33" t="s">
        <v>19</v>
      </c>
      <c r="G16125" s="33" t="s">
        <v>158</v>
      </c>
      <c r="H16125" s="35">
        <v>1057</v>
      </c>
      <c r="I16125" s="33" t="s">
        <v>51</v>
      </c>
      <c r="J16125" s="42">
        <v>45224</v>
      </c>
      <c r="K16125" s="33" t="s">
        <v>22</v>
      </c>
    </row>
    <row r="16126" spans="1:11">
      <c r="A16126" s="30" t="s">
        <v>36180</v>
      </c>
      <c r="B16126" s="30" t="s">
        <v>36181</v>
      </c>
      <c r="C16126" s="30" t="s">
        <v>8497</v>
      </c>
      <c r="D16126" s="30" t="s">
        <v>17</v>
      </c>
      <c r="E16126" s="30" t="s">
        <v>67</v>
      </c>
      <c r="F16126" s="30" t="s">
        <v>68</v>
      </c>
      <c r="G16126" s="30" t="s">
        <v>106</v>
      </c>
      <c r="H16126" s="32">
        <v>6</v>
      </c>
      <c r="I16126" s="30" t="s">
        <v>21</v>
      </c>
      <c r="J16126" s="41">
        <v>45027</v>
      </c>
      <c r="K16126" s="30" t="s">
        <v>22</v>
      </c>
    </row>
    <row r="16127" spans="1:11">
      <c r="A16127" s="33" t="s">
        <v>36182</v>
      </c>
      <c r="B16127" s="33" t="s">
        <v>36183</v>
      </c>
      <c r="C16127" s="33" t="s">
        <v>36184</v>
      </c>
      <c r="D16127" s="33" t="s">
        <v>17</v>
      </c>
      <c r="E16127" s="33" t="s">
        <v>26</v>
      </c>
      <c r="F16127" s="33" t="s">
        <v>27</v>
      </c>
      <c r="G16127" s="33" t="s">
        <v>2613</v>
      </c>
      <c r="H16127" s="35">
        <v>68</v>
      </c>
      <c r="I16127" s="33" t="s">
        <v>51</v>
      </c>
      <c r="J16127" s="42">
        <v>45265</v>
      </c>
      <c r="K16127" s="33" t="s">
        <v>22</v>
      </c>
    </row>
    <row r="16128" spans="1:11">
      <c r="A16128" s="30" t="s">
        <v>36185</v>
      </c>
      <c r="B16128" s="30" t="s">
        <v>36186</v>
      </c>
      <c r="C16128" s="30" t="s">
        <v>1674</v>
      </c>
      <c r="D16128" s="30" t="s">
        <v>17</v>
      </c>
      <c r="E16128" s="30" t="s">
        <v>31</v>
      </c>
      <c r="F16128" s="30" t="s">
        <v>32</v>
      </c>
      <c r="G16128" s="30" t="s">
        <v>20</v>
      </c>
      <c r="H16128" s="32">
        <v>157</v>
      </c>
      <c r="I16128" s="30" t="s">
        <v>21</v>
      </c>
      <c r="J16128" s="41">
        <v>44936</v>
      </c>
      <c r="K16128" s="30" t="s">
        <v>22</v>
      </c>
    </row>
    <row r="16129" spans="1:11">
      <c r="A16129" s="33" t="s">
        <v>36187</v>
      </c>
      <c r="B16129" s="33" t="s">
        <v>36188</v>
      </c>
      <c r="C16129" s="33" t="s">
        <v>5050</v>
      </c>
      <c r="D16129" s="33" t="s">
        <v>17</v>
      </c>
      <c r="E16129" s="33" t="s">
        <v>212</v>
      </c>
      <c r="F16129" s="33" t="s">
        <v>213</v>
      </c>
      <c r="G16129" s="33" t="s">
        <v>20</v>
      </c>
      <c r="H16129" s="35">
        <v>68</v>
      </c>
      <c r="I16129" s="33" t="s">
        <v>21</v>
      </c>
      <c r="J16129" s="42">
        <v>44937</v>
      </c>
      <c r="K16129" s="33" t="s">
        <v>22</v>
      </c>
    </row>
    <row r="16130" spans="1:11">
      <c r="A16130" s="30" t="s">
        <v>36189</v>
      </c>
      <c r="B16130" s="30" t="s">
        <v>36190</v>
      </c>
      <c r="C16130" s="30" t="s">
        <v>34280</v>
      </c>
      <c r="D16130" s="30" t="s">
        <v>17</v>
      </c>
      <c r="E16130" s="30" t="s">
        <v>18</v>
      </c>
      <c r="F16130" s="30" t="s">
        <v>19</v>
      </c>
      <c r="G16130" s="30" t="s">
        <v>158</v>
      </c>
      <c r="H16130" s="32">
        <v>17</v>
      </c>
      <c r="I16130" s="30" t="s">
        <v>21</v>
      </c>
      <c r="J16130" s="41">
        <v>44991</v>
      </c>
      <c r="K16130" s="30" t="s">
        <v>22</v>
      </c>
    </row>
    <row r="16131" spans="1:11">
      <c r="A16131" s="33" t="s">
        <v>36191</v>
      </c>
      <c r="B16131" s="33" t="s">
        <v>36192</v>
      </c>
      <c r="C16131" s="33" t="s">
        <v>246</v>
      </c>
      <c r="D16131" s="33" t="s">
        <v>17</v>
      </c>
      <c r="E16131" s="33" t="s">
        <v>26</v>
      </c>
      <c r="F16131" s="33" t="s">
        <v>27</v>
      </c>
      <c r="G16131" s="33" t="s">
        <v>140</v>
      </c>
      <c r="H16131" s="35">
        <v>60</v>
      </c>
      <c r="I16131" s="33" t="s">
        <v>51</v>
      </c>
      <c r="J16131" s="42">
        <v>45223</v>
      </c>
      <c r="K16131" s="33" t="s">
        <v>22</v>
      </c>
    </row>
    <row r="16132" spans="1:11">
      <c r="A16132" s="30" t="s">
        <v>36193</v>
      </c>
      <c r="B16132" s="30" t="s">
        <v>36194</v>
      </c>
      <c r="C16132" s="30" t="s">
        <v>1077</v>
      </c>
      <c r="D16132" s="30" t="s">
        <v>17</v>
      </c>
      <c r="E16132" s="30" t="s">
        <v>26</v>
      </c>
      <c r="F16132" s="30" t="s">
        <v>27</v>
      </c>
      <c r="G16132" s="30" t="s">
        <v>20</v>
      </c>
      <c r="H16132" s="32">
        <v>130</v>
      </c>
      <c r="I16132" s="30" t="s">
        <v>21</v>
      </c>
      <c r="J16132" s="41">
        <v>44972</v>
      </c>
      <c r="K16132" s="30" t="s">
        <v>22</v>
      </c>
    </row>
    <row r="16133" spans="1:11">
      <c r="A16133" s="33" t="s">
        <v>36195</v>
      </c>
      <c r="B16133" s="33" t="s">
        <v>36196</v>
      </c>
      <c r="C16133" s="33" t="s">
        <v>647</v>
      </c>
      <c r="D16133" s="33" t="s">
        <v>17</v>
      </c>
      <c r="E16133" s="33" t="s">
        <v>26</v>
      </c>
      <c r="F16133" s="33" t="s">
        <v>27</v>
      </c>
      <c r="G16133" s="33" t="s">
        <v>20</v>
      </c>
      <c r="H16133" s="35">
        <v>7</v>
      </c>
      <c r="I16133" s="33" t="s">
        <v>21</v>
      </c>
      <c r="J16133" s="42">
        <v>45244</v>
      </c>
      <c r="K16133" s="33" t="s">
        <v>22</v>
      </c>
    </row>
    <row r="16134" spans="1:11">
      <c r="A16134" s="30" t="s">
        <v>36197</v>
      </c>
      <c r="B16134" s="30" t="s">
        <v>36198</v>
      </c>
      <c r="C16134" s="30" t="s">
        <v>3238</v>
      </c>
      <c r="D16134" s="30" t="s">
        <v>17</v>
      </c>
      <c r="E16134" s="30" t="s">
        <v>31</v>
      </c>
      <c r="F16134" s="30" t="s">
        <v>32</v>
      </c>
      <c r="G16134" s="30" t="s">
        <v>112</v>
      </c>
      <c r="H16134" s="32">
        <v>0</v>
      </c>
      <c r="I16134" s="30" t="s">
        <v>21</v>
      </c>
      <c r="J16134" s="41">
        <v>44927</v>
      </c>
      <c r="K16134" s="30" t="s">
        <v>22</v>
      </c>
    </row>
    <row r="16135" spans="1:11">
      <c r="A16135" s="33" t="s">
        <v>36199</v>
      </c>
      <c r="B16135" s="33" t="s">
        <v>36200</v>
      </c>
      <c r="C16135" s="33" t="s">
        <v>1090</v>
      </c>
      <c r="D16135" s="33" t="s">
        <v>17</v>
      </c>
      <c r="E16135" s="33" t="s">
        <v>26</v>
      </c>
      <c r="F16135" s="33" t="s">
        <v>27</v>
      </c>
      <c r="G16135" s="33" t="s">
        <v>50</v>
      </c>
      <c r="H16135" s="35">
        <v>73</v>
      </c>
      <c r="I16135" s="33" t="s">
        <v>51</v>
      </c>
      <c r="J16135" s="42">
        <v>45153</v>
      </c>
      <c r="K16135" s="33" t="s">
        <v>22</v>
      </c>
    </row>
    <row r="16136" spans="1:11">
      <c r="A16136" s="30" t="s">
        <v>36201</v>
      </c>
      <c r="B16136" s="30" t="s">
        <v>36202</v>
      </c>
      <c r="C16136" s="30" t="s">
        <v>2753</v>
      </c>
      <c r="D16136" s="30" t="s">
        <v>17</v>
      </c>
      <c r="E16136" s="30" t="s">
        <v>26</v>
      </c>
      <c r="F16136" s="30" t="s">
        <v>27</v>
      </c>
      <c r="G16136" s="30" t="s">
        <v>106</v>
      </c>
      <c r="H16136" s="32">
        <v>51</v>
      </c>
      <c r="I16136" s="30" t="s">
        <v>21</v>
      </c>
      <c r="J16136" s="41">
        <v>45097</v>
      </c>
      <c r="K16136" s="30" t="s">
        <v>22</v>
      </c>
    </row>
    <row r="16137" spans="1:11">
      <c r="A16137" s="33" t="s">
        <v>36203</v>
      </c>
      <c r="B16137" s="33" t="s">
        <v>36204</v>
      </c>
      <c r="C16137" s="33" t="s">
        <v>25549</v>
      </c>
      <c r="D16137" s="33" t="s">
        <v>17</v>
      </c>
      <c r="E16137" s="33" t="s">
        <v>31</v>
      </c>
      <c r="F16137" s="33" t="s">
        <v>32</v>
      </c>
      <c r="G16137" s="33" t="s">
        <v>158</v>
      </c>
      <c r="H16137" s="35">
        <v>123</v>
      </c>
      <c r="I16137" s="33" t="s">
        <v>21</v>
      </c>
      <c r="J16137" s="42">
        <v>45279</v>
      </c>
      <c r="K16137" s="33" t="s">
        <v>22</v>
      </c>
    </row>
    <row r="16138" spans="1:11">
      <c r="A16138" s="30" t="s">
        <v>36205</v>
      </c>
      <c r="B16138" s="30" t="s">
        <v>36206</v>
      </c>
      <c r="C16138" s="30" t="s">
        <v>310</v>
      </c>
      <c r="D16138" s="30" t="s">
        <v>17</v>
      </c>
      <c r="E16138" s="30" t="s">
        <v>18</v>
      </c>
      <c r="F16138" s="30" t="s">
        <v>19</v>
      </c>
      <c r="G16138" s="30" t="s">
        <v>20</v>
      </c>
      <c r="H16138" s="32">
        <v>300</v>
      </c>
      <c r="I16138" s="30" t="s">
        <v>21</v>
      </c>
      <c r="J16138" s="41">
        <v>45153</v>
      </c>
      <c r="K16138" s="30" t="s">
        <v>22</v>
      </c>
    </row>
    <row r="16139" spans="1:11">
      <c r="A16139" s="33" t="s">
        <v>36207</v>
      </c>
      <c r="B16139" s="33" t="s">
        <v>36208</v>
      </c>
      <c r="C16139" s="33" t="s">
        <v>1778</v>
      </c>
      <c r="D16139" s="33" t="s">
        <v>17</v>
      </c>
      <c r="E16139" s="33" t="s">
        <v>26</v>
      </c>
      <c r="F16139" s="33" t="s">
        <v>27</v>
      </c>
      <c r="G16139" s="33" t="s">
        <v>20</v>
      </c>
      <c r="H16139" s="35">
        <v>43</v>
      </c>
      <c r="I16139" s="33" t="s">
        <v>21</v>
      </c>
      <c r="J16139" s="42">
        <v>45061</v>
      </c>
      <c r="K16139" s="33" t="s">
        <v>22</v>
      </c>
    </row>
    <row r="16140" spans="1:11">
      <c r="A16140" s="30" t="s">
        <v>36209</v>
      </c>
      <c r="B16140" s="30" t="s">
        <v>36210</v>
      </c>
      <c r="C16140" s="30" t="s">
        <v>93</v>
      </c>
      <c r="D16140" s="30" t="s">
        <v>17</v>
      </c>
      <c r="E16140" s="30" t="s">
        <v>31</v>
      </c>
      <c r="F16140" s="30" t="s">
        <v>32</v>
      </c>
      <c r="G16140" s="30" t="s">
        <v>158</v>
      </c>
      <c r="H16140" s="32">
        <v>280</v>
      </c>
      <c r="I16140" s="30" t="s">
        <v>51</v>
      </c>
      <c r="J16140" s="41">
        <v>45242</v>
      </c>
      <c r="K16140" s="30" t="s">
        <v>22</v>
      </c>
    </row>
    <row r="16141" spans="1:11">
      <c r="A16141" s="33" t="s">
        <v>36211</v>
      </c>
      <c r="B16141" s="33" t="s">
        <v>36212</v>
      </c>
      <c r="C16141" s="33" t="s">
        <v>33387</v>
      </c>
      <c r="D16141" s="33" t="s">
        <v>17</v>
      </c>
      <c r="E16141" s="33" t="s">
        <v>18</v>
      </c>
      <c r="F16141" s="33" t="s">
        <v>19</v>
      </c>
      <c r="G16141" s="33" t="s">
        <v>20</v>
      </c>
      <c r="H16141" s="35">
        <v>703</v>
      </c>
      <c r="I16141" s="33" t="s">
        <v>21</v>
      </c>
      <c r="J16141" s="42">
        <v>45098</v>
      </c>
      <c r="K16141" s="33" t="s">
        <v>22</v>
      </c>
    </row>
    <row r="16142" spans="1:11">
      <c r="A16142" s="30" t="s">
        <v>36213</v>
      </c>
      <c r="B16142" s="30" t="s">
        <v>36214</v>
      </c>
      <c r="C16142" s="30" t="s">
        <v>36215</v>
      </c>
      <c r="D16142" s="30" t="s">
        <v>17</v>
      </c>
      <c r="E16142" s="30" t="s">
        <v>26</v>
      </c>
      <c r="F16142" s="30" t="s">
        <v>27</v>
      </c>
      <c r="G16142" s="30" t="s">
        <v>140</v>
      </c>
      <c r="H16142" s="32">
        <v>80</v>
      </c>
      <c r="I16142" s="30" t="s">
        <v>51</v>
      </c>
      <c r="J16142" s="41">
        <v>45201</v>
      </c>
      <c r="K16142" s="30" t="s">
        <v>22</v>
      </c>
    </row>
    <row r="16143" spans="1:11">
      <c r="A16143" s="33" t="s">
        <v>36216</v>
      </c>
      <c r="B16143" s="33" t="s">
        <v>36217</v>
      </c>
      <c r="C16143" s="33" t="s">
        <v>9066</v>
      </c>
      <c r="D16143" s="33" t="s">
        <v>17</v>
      </c>
      <c r="E16143" s="33" t="s">
        <v>18</v>
      </c>
      <c r="F16143" s="33" t="s">
        <v>19</v>
      </c>
      <c r="G16143" s="33" t="s">
        <v>20</v>
      </c>
      <c r="H16143" s="35">
        <v>269</v>
      </c>
      <c r="I16143" s="33" t="s">
        <v>21</v>
      </c>
      <c r="J16143" s="42">
        <v>44991</v>
      </c>
      <c r="K16143" s="33" t="s">
        <v>22</v>
      </c>
    </row>
    <row r="16144" spans="1:11">
      <c r="A16144" s="30" t="s">
        <v>36218</v>
      </c>
      <c r="B16144" s="30" t="s">
        <v>36219</v>
      </c>
      <c r="C16144" s="30" t="s">
        <v>27299</v>
      </c>
      <c r="D16144" s="30" t="s">
        <v>17</v>
      </c>
      <c r="E16144" s="30" t="s">
        <v>67</v>
      </c>
      <c r="F16144" s="30" t="s">
        <v>68</v>
      </c>
      <c r="G16144" s="30" t="s">
        <v>158</v>
      </c>
      <c r="H16144" s="32">
        <v>60</v>
      </c>
      <c r="I16144" s="30" t="s">
        <v>21</v>
      </c>
      <c r="J16144" s="41">
        <v>44980</v>
      </c>
      <c r="K16144" s="30" t="s">
        <v>22</v>
      </c>
    </row>
    <row r="16145" spans="1:11">
      <c r="A16145" s="33" t="s">
        <v>36220</v>
      </c>
      <c r="B16145" s="33" t="s">
        <v>36221</v>
      </c>
      <c r="C16145" s="33" t="s">
        <v>644</v>
      </c>
      <c r="D16145" s="33" t="s">
        <v>17</v>
      </c>
      <c r="E16145" s="33" t="s">
        <v>26</v>
      </c>
      <c r="F16145" s="33" t="s">
        <v>27</v>
      </c>
      <c r="G16145" s="33" t="s">
        <v>20</v>
      </c>
      <c r="H16145" s="35">
        <v>16</v>
      </c>
      <c r="I16145" s="33" t="s">
        <v>21</v>
      </c>
      <c r="J16145" s="42">
        <v>45071</v>
      </c>
      <c r="K16145" s="33" t="s">
        <v>22</v>
      </c>
    </row>
    <row r="16146" spans="1:11">
      <c r="A16146" s="30" t="s">
        <v>36222</v>
      </c>
      <c r="B16146" s="30" t="s">
        <v>36223</v>
      </c>
      <c r="C16146" s="30" t="s">
        <v>1835</v>
      </c>
      <c r="D16146" s="30" t="s">
        <v>17</v>
      </c>
      <c r="E16146" s="30" t="s">
        <v>18</v>
      </c>
      <c r="F16146" s="30" t="s">
        <v>19</v>
      </c>
      <c r="G16146" s="30" t="s">
        <v>20</v>
      </c>
      <c r="H16146" s="32">
        <v>38769</v>
      </c>
      <c r="I16146" s="30" t="s">
        <v>21</v>
      </c>
      <c r="J16146" s="41">
        <v>45222</v>
      </c>
      <c r="K16146" s="30" t="s">
        <v>22</v>
      </c>
    </row>
    <row r="16147" spans="1:11">
      <c r="A16147" s="33" t="s">
        <v>36224</v>
      </c>
      <c r="B16147" s="33" t="s">
        <v>36225</v>
      </c>
      <c r="C16147" s="33" t="s">
        <v>36226</v>
      </c>
      <c r="D16147" s="33" t="s">
        <v>17</v>
      </c>
      <c r="E16147" s="33" t="s">
        <v>31</v>
      </c>
      <c r="F16147" s="33" t="s">
        <v>32</v>
      </c>
      <c r="G16147" s="33" t="s">
        <v>20</v>
      </c>
      <c r="H16147" s="35">
        <v>63</v>
      </c>
      <c r="I16147" s="33" t="s">
        <v>21</v>
      </c>
      <c r="J16147" s="42">
        <v>45075</v>
      </c>
      <c r="K16147" s="33" t="s">
        <v>22</v>
      </c>
    </row>
    <row r="16148" spans="1:11">
      <c r="A16148" s="30" t="s">
        <v>36227</v>
      </c>
      <c r="B16148" s="30" t="s">
        <v>36228</v>
      </c>
      <c r="C16148" s="30" t="s">
        <v>25098</v>
      </c>
      <c r="D16148" s="30" t="s">
        <v>17</v>
      </c>
      <c r="E16148" s="30" t="s">
        <v>45</v>
      </c>
      <c r="F16148" s="30" t="s">
        <v>46</v>
      </c>
      <c r="G16148" s="30" t="s">
        <v>140</v>
      </c>
      <c r="H16148" s="32">
        <v>75</v>
      </c>
      <c r="I16148" s="30" t="s">
        <v>51</v>
      </c>
      <c r="J16148" s="41">
        <v>45210</v>
      </c>
      <c r="K16148" s="30" t="s">
        <v>22</v>
      </c>
    </row>
    <row r="16149" spans="1:11">
      <c r="A16149" s="33" t="s">
        <v>36229</v>
      </c>
      <c r="B16149" s="33" t="s">
        <v>36230</v>
      </c>
      <c r="C16149" s="33" t="s">
        <v>36231</v>
      </c>
      <c r="D16149" s="33" t="s">
        <v>17</v>
      </c>
      <c r="E16149" s="33" t="s">
        <v>26</v>
      </c>
      <c r="F16149" s="33" t="s">
        <v>27</v>
      </c>
      <c r="G16149" s="33" t="s">
        <v>20</v>
      </c>
      <c r="H16149" s="35">
        <v>28</v>
      </c>
      <c r="I16149" s="33" t="s">
        <v>21</v>
      </c>
      <c r="J16149" s="42">
        <v>45251</v>
      </c>
      <c r="K16149" s="33" t="s">
        <v>22</v>
      </c>
    </row>
    <row r="16150" spans="1:11">
      <c r="A16150" s="30" t="s">
        <v>36232</v>
      </c>
      <c r="B16150" s="30" t="s">
        <v>36233</v>
      </c>
      <c r="C16150" s="30" t="s">
        <v>570</v>
      </c>
      <c r="D16150" s="30" t="s">
        <v>17</v>
      </c>
      <c r="E16150" s="30" t="s">
        <v>26</v>
      </c>
      <c r="F16150" s="30" t="s">
        <v>27</v>
      </c>
      <c r="G16150" s="30" t="s">
        <v>50</v>
      </c>
      <c r="H16150" s="32">
        <v>50</v>
      </c>
      <c r="I16150" s="30" t="s">
        <v>51</v>
      </c>
      <c r="J16150" s="41">
        <v>45033</v>
      </c>
      <c r="K16150" s="30" t="s">
        <v>22</v>
      </c>
    </row>
    <row r="16151" spans="1:11">
      <c r="A16151" s="33" t="s">
        <v>36234</v>
      </c>
      <c r="B16151" s="33" t="s">
        <v>36235</v>
      </c>
      <c r="C16151" s="33" t="s">
        <v>13471</v>
      </c>
      <c r="D16151" s="33" t="s">
        <v>17</v>
      </c>
      <c r="E16151" s="33" t="s">
        <v>18</v>
      </c>
      <c r="F16151" s="33" t="s">
        <v>19</v>
      </c>
      <c r="G16151" s="33" t="s">
        <v>50</v>
      </c>
      <c r="H16151" s="35">
        <v>34000</v>
      </c>
      <c r="I16151" s="33" t="s">
        <v>51</v>
      </c>
      <c r="J16151" s="42">
        <v>44956</v>
      </c>
      <c r="K16151" s="33" t="s">
        <v>22</v>
      </c>
    </row>
    <row r="16152" spans="1:11">
      <c r="A16152" s="30" t="s">
        <v>36236</v>
      </c>
      <c r="B16152" s="30" t="s">
        <v>36237</v>
      </c>
      <c r="C16152" s="30" t="s">
        <v>36238</v>
      </c>
      <c r="D16152" s="30" t="s">
        <v>17</v>
      </c>
      <c r="E16152" s="30" t="s">
        <v>67</v>
      </c>
      <c r="F16152" s="30" t="s">
        <v>68</v>
      </c>
      <c r="G16152" s="30" t="s">
        <v>140</v>
      </c>
      <c r="H16152" s="32">
        <v>84</v>
      </c>
      <c r="I16152" s="30" t="s">
        <v>51</v>
      </c>
      <c r="J16152" s="41">
        <v>45030</v>
      </c>
      <c r="K16152" s="30" t="s">
        <v>22</v>
      </c>
    </row>
    <row r="16153" spans="1:11">
      <c r="A16153" s="33" t="s">
        <v>36239</v>
      </c>
      <c r="B16153" s="33" t="s">
        <v>36240</v>
      </c>
      <c r="C16153" s="33" t="s">
        <v>34959</v>
      </c>
      <c r="D16153" s="33" t="s">
        <v>17</v>
      </c>
      <c r="E16153" s="33" t="s">
        <v>67</v>
      </c>
      <c r="F16153" s="33" t="s">
        <v>68</v>
      </c>
      <c r="G16153" s="33" t="s">
        <v>140</v>
      </c>
      <c r="H16153" s="35">
        <v>56</v>
      </c>
      <c r="I16153" s="33" t="s">
        <v>51</v>
      </c>
      <c r="J16153" s="42">
        <v>45145</v>
      </c>
      <c r="K16153" s="33" t="s">
        <v>22</v>
      </c>
    </row>
    <row r="16154" spans="1:11">
      <c r="A16154" s="30" t="s">
        <v>36241</v>
      </c>
      <c r="B16154" s="30" t="s">
        <v>36242</v>
      </c>
      <c r="C16154" s="30" t="s">
        <v>9943</v>
      </c>
      <c r="D16154" s="30" t="s">
        <v>17</v>
      </c>
      <c r="E16154" s="30" t="s">
        <v>26</v>
      </c>
      <c r="F16154" s="30" t="s">
        <v>27</v>
      </c>
      <c r="G16154" s="30" t="s">
        <v>140</v>
      </c>
      <c r="H16154" s="32">
        <v>50</v>
      </c>
      <c r="I16154" s="30" t="s">
        <v>51</v>
      </c>
      <c r="J16154" s="41">
        <v>44963</v>
      </c>
      <c r="K16154" s="30" t="s">
        <v>22</v>
      </c>
    </row>
    <row r="16155" spans="1:11">
      <c r="A16155" s="33" t="s">
        <v>36243</v>
      </c>
      <c r="B16155" s="33" t="s">
        <v>36244</v>
      </c>
      <c r="C16155" s="33" t="s">
        <v>21044</v>
      </c>
      <c r="D16155" s="33" t="s">
        <v>17</v>
      </c>
      <c r="E16155" s="33" t="s">
        <v>31</v>
      </c>
      <c r="F16155" s="33" t="s">
        <v>32</v>
      </c>
      <c r="G16155" s="33" t="s">
        <v>50</v>
      </c>
      <c r="H16155" s="35">
        <v>60</v>
      </c>
      <c r="I16155" s="33" t="s">
        <v>51</v>
      </c>
      <c r="J16155" s="42">
        <v>45261</v>
      </c>
      <c r="K16155" s="33" t="s">
        <v>22</v>
      </c>
    </row>
    <row r="16156" spans="1:11">
      <c r="A16156" s="30" t="s">
        <v>36245</v>
      </c>
      <c r="B16156" s="30" t="s">
        <v>36246</v>
      </c>
      <c r="C16156" s="30" t="s">
        <v>10199</v>
      </c>
      <c r="D16156" s="30" t="s">
        <v>17</v>
      </c>
      <c r="E16156" s="30" t="s">
        <v>31</v>
      </c>
      <c r="F16156" s="30" t="s">
        <v>32</v>
      </c>
      <c r="G16156" s="30" t="s">
        <v>158</v>
      </c>
      <c r="H16156" s="32">
        <v>47</v>
      </c>
      <c r="I16156" s="30" t="s">
        <v>21</v>
      </c>
      <c r="J16156" s="41">
        <v>45154</v>
      </c>
      <c r="K16156" s="30" t="s">
        <v>22</v>
      </c>
    </row>
    <row r="16157" spans="1:11">
      <c r="A16157" s="33" t="s">
        <v>36247</v>
      </c>
      <c r="B16157" s="33" t="s">
        <v>36248</v>
      </c>
      <c r="C16157" s="33" t="s">
        <v>318</v>
      </c>
      <c r="D16157" s="33" t="s">
        <v>17</v>
      </c>
      <c r="E16157" s="33" t="s">
        <v>212</v>
      </c>
      <c r="F16157" s="33" t="s">
        <v>213</v>
      </c>
      <c r="G16157" s="33" t="s">
        <v>158</v>
      </c>
      <c r="H16157" s="35">
        <v>36</v>
      </c>
      <c r="I16157" s="33" t="s">
        <v>21</v>
      </c>
      <c r="J16157" s="42">
        <v>45155</v>
      </c>
      <c r="K16157" s="33" t="s">
        <v>22</v>
      </c>
    </row>
    <row r="16158" spans="1:11">
      <c r="A16158" s="30" t="s">
        <v>36249</v>
      </c>
      <c r="B16158" s="30" t="s">
        <v>36250</v>
      </c>
      <c r="C16158" s="30" t="s">
        <v>78</v>
      </c>
      <c r="D16158" s="30" t="s">
        <v>17</v>
      </c>
      <c r="E16158" s="30" t="s">
        <v>26</v>
      </c>
      <c r="F16158" s="30" t="s">
        <v>27</v>
      </c>
      <c r="G16158" s="30" t="s">
        <v>20</v>
      </c>
      <c r="H16158" s="32">
        <v>31</v>
      </c>
      <c r="I16158" s="30" t="s">
        <v>21</v>
      </c>
      <c r="J16158" s="41">
        <v>45243</v>
      </c>
      <c r="K16158" s="30" t="s">
        <v>22</v>
      </c>
    </row>
    <row r="16159" spans="1:11">
      <c r="A16159" s="33" t="s">
        <v>36251</v>
      </c>
      <c r="B16159" s="33" t="s">
        <v>36252</v>
      </c>
      <c r="C16159" s="33" t="s">
        <v>1154</v>
      </c>
      <c r="D16159" s="33" t="s">
        <v>17</v>
      </c>
      <c r="E16159" s="33" t="s">
        <v>18</v>
      </c>
      <c r="F16159" s="33" t="s">
        <v>19</v>
      </c>
      <c r="G16159" s="33" t="s">
        <v>20</v>
      </c>
      <c r="H16159" s="35">
        <v>472</v>
      </c>
      <c r="I16159" s="33" t="s">
        <v>21</v>
      </c>
      <c r="J16159" s="42">
        <v>45035</v>
      </c>
      <c r="K16159" s="33" t="s">
        <v>22</v>
      </c>
    </row>
    <row r="16160" spans="1:11">
      <c r="A16160" s="30" t="s">
        <v>36253</v>
      </c>
      <c r="B16160" s="30" t="s">
        <v>36254</v>
      </c>
      <c r="C16160" s="30" t="s">
        <v>11407</v>
      </c>
      <c r="D16160" s="30" t="s">
        <v>17</v>
      </c>
      <c r="E16160" s="30" t="s">
        <v>26</v>
      </c>
      <c r="F16160" s="30" t="s">
        <v>27</v>
      </c>
      <c r="G16160" s="30" t="s">
        <v>106</v>
      </c>
      <c r="H16160" s="32">
        <v>34</v>
      </c>
      <c r="I16160" s="30" t="s">
        <v>21</v>
      </c>
      <c r="J16160" s="41">
        <v>45048</v>
      </c>
      <c r="K16160" s="30" t="s">
        <v>22</v>
      </c>
    </row>
    <row r="16161" spans="1:11">
      <c r="A16161" s="33" t="s">
        <v>36255</v>
      </c>
      <c r="B16161" s="33" t="s">
        <v>36256</v>
      </c>
      <c r="C16161" s="33" t="s">
        <v>1504</v>
      </c>
      <c r="D16161" s="33" t="s">
        <v>17</v>
      </c>
      <c r="E16161" s="33" t="s">
        <v>26</v>
      </c>
      <c r="F16161" s="33" t="s">
        <v>27</v>
      </c>
      <c r="G16161" s="33" t="s">
        <v>50</v>
      </c>
      <c r="H16161" s="35">
        <v>24</v>
      </c>
      <c r="I16161" s="33" t="s">
        <v>51</v>
      </c>
      <c r="J16161" s="42">
        <v>45133</v>
      </c>
      <c r="K16161" s="33" t="s">
        <v>22</v>
      </c>
    </row>
    <row r="16162" spans="1:11">
      <c r="A16162" s="30" t="s">
        <v>36257</v>
      </c>
      <c r="B16162" s="30" t="s">
        <v>36258</v>
      </c>
      <c r="C16162" s="30" t="s">
        <v>149</v>
      </c>
      <c r="D16162" s="30" t="s">
        <v>17</v>
      </c>
      <c r="E16162" s="30" t="s">
        <v>26</v>
      </c>
      <c r="F16162" s="30" t="s">
        <v>27</v>
      </c>
      <c r="G16162" s="30" t="s">
        <v>20</v>
      </c>
      <c r="H16162" s="32">
        <v>61</v>
      </c>
      <c r="I16162" s="30" t="s">
        <v>21</v>
      </c>
      <c r="J16162" s="41">
        <v>45005</v>
      </c>
      <c r="K16162" s="30" t="s">
        <v>22</v>
      </c>
    </row>
    <row r="16163" spans="1:11">
      <c r="A16163" s="33" t="s">
        <v>36259</v>
      </c>
      <c r="B16163" s="33" t="s">
        <v>36260</v>
      </c>
      <c r="C16163" s="33" t="s">
        <v>118</v>
      </c>
      <c r="D16163" s="33" t="s">
        <v>17</v>
      </c>
      <c r="E16163" s="33" t="s">
        <v>18</v>
      </c>
      <c r="F16163" s="33" t="s">
        <v>19</v>
      </c>
      <c r="G16163" s="33" t="s">
        <v>20</v>
      </c>
      <c r="H16163" s="35">
        <v>892</v>
      </c>
      <c r="I16163" s="33" t="s">
        <v>21</v>
      </c>
      <c r="J16163" s="42">
        <v>45061</v>
      </c>
      <c r="K16163" s="33" t="s">
        <v>22</v>
      </c>
    </row>
    <row r="16164" spans="1:11">
      <c r="A16164" s="30" t="s">
        <v>36261</v>
      </c>
      <c r="B16164" s="30" t="s">
        <v>36262</v>
      </c>
      <c r="C16164" s="30" t="s">
        <v>26379</v>
      </c>
      <c r="D16164" s="30" t="s">
        <v>17</v>
      </c>
      <c r="E16164" s="30" t="s">
        <v>67</v>
      </c>
      <c r="F16164" s="30" t="s">
        <v>68</v>
      </c>
      <c r="G16164" s="30" t="s">
        <v>140</v>
      </c>
      <c r="H16164" s="32">
        <v>162</v>
      </c>
      <c r="I16164" s="30" t="s">
        <v>51</v>
      </c>
      <c r="J16164" s="41">
        <v>45133</v>
      </c>
      <c r="K16164" s="30" t="s">
        <v>22</v>
      </c>
    </row>
    <row r="16165" spans="1:11">
      <c r="A16165" s="33" t="s">
        <v>36263</v>
      </c>
      <c r="B16165" s="33" t="s">
        <v>36264</v>
      </c>
      <c r="C16165" s="33" t="s">
        <v>36265</v>
      </c>
      <c r="D16165" s="33" t="s">
        <v>17</v>
      </c>
      <c r="E16165" s="33" t="s">
        <v>330</v>
      </c>
      <c r="F16165" s="33" t="s">
        <v>331</v>
      </c>
      <c r="G16165" s="33" t="s">
        <v>20</v>
      </c>
      <c r="H16165" s="35">
        <v>13</v>
      </c>
      <c r="I16165" s="33" t="s">
        <v>21</v>
      </c>
      <c r="J16165" s="42">
        <v>45134</v>
      </c>
      <c r="K16165" s="33" t="s">
        <v>22</v>
      </c>
    </row>
    <row r="16166" spans="1:11">
      <c r="A16166" s="30" t="s">
        <v>36266</v>
      </c>
      <c r="B16166" s="30" t="s">
        <v>36267</v>
      </c>
      <c r="C16166" s="30" t="s">
        <v>60</v>
      </c>
      <c r="D16166" s="30" t="s">
        <v>17</v>
      </c>
      <c r="E16166" s="30" t="s">
        <v>26</v>
      </c>
      <c r="F16166" s="30" t="s">
        <v>27</v>
      </c>
      <c r="G16166" s="30" t="s">
        <v>20</v>
      </c>
      <c r="H16166" s="32">
        <v>56</v>
      </c>
      <c r="I16166" s="30" t="s">
        <v>21</v>
      </c>
      <c r="J16166" s="41">
        <v>45042</v>
      </c>
      <c r="K16166" s="30" t="s">
        <v>22</v>
      </c>
    </row>
    <row r="16167" spans="1:11">
      <c r="A16167" s="33" t="s">
        <v>36268</v>
      </c>
      <c r="B16167" s="33" t="s">
        <v>36269</v>
      </c>
      <c r="C16167" s="33" t="s">
        <v>136</v>
      </c>
      <c r="D16167" s="33" t="s">
        <v>17</v>
      </c>
      <c r="E16167" s="33" t="s">
        <v>26</v>
      </c>
      <c r="F16167" s="33" t="s">
        <v>27</v>
      </c>
      <c r="G16167" s="33" t="s">
        <v>20</v>
      </c>
      <c r="H16167" s="35">
        <v>42</v>
      </c>
      <c r="I16167" s="33" t="s">
        <v>21</v>
      </c>
      <c r="J16167" s="42">
        <v>45170</v>
      </c>
      <c r="K16167" s="33" t="s">
        <v>22</v>
      </c>
    </row>
    <row r="16168" spans="1:11">
      <c r="A16168" s="30" t="s">
        <v>36270</v>
      </c>
      <c r="B16168" s="30" t="s">
        <v>36271</v>
      </c>
      <c r="C16168" s="30" t="s">
        <v>36272</v>
      </c>
      <c r="D16168" s="30" t="s">
        <v>17</v>
      </c>
      <c r="E16168" s="30" t="s">
        <v>67</v>
      </c>
      <c r="F16168" s="30" t="s">
        <v>68</v>
      </c>
      <c r="G16168" s="30" t="s">
        <v>140</v>
      </c>
      <c r="H16168" s="32">
        <v>12</v>
      </c>
      <c r="I16168" s="30" t="s">
        <v>51</v>
      </c>
      <c r="J16168" s="41">
        <v>45259</v>
      </c>
      <c r="K16168" s="30" t="s">
        <v>22</v>
      </c>
    </row>
    <row r="16169" spans="1:11">
      <c r="A16169" s="33" t="s">
        <v>36273</v>
      </c>
      <c r="B16169" s="33" t="s">
        <v>36274</v>
      </c>
      <c r="C16169" s="33" t="s">
        <v>36275</v>
      </c>
      <c r="D16169" s="33" t="s">
        <v>17</v>
      </c>
      <c r="E16169" s="33" t="s">
        <v>45</v>
      </c>
      <c r="F16169" s="33" t="s">
        <v>46</v>
      </c>
      <c r="G16169" s="33" t="s">
        <v>140</v>
      </c>
      <c r="H16169" s="35">
        <v>400</v>
      </c>
      <c r="I16169" s="33" t="s">
        <v>51</v>
      </c>
      <c r="J16169" s="42">
        <v>45224</v>
      </c>
      <c r="K16169" s="33" t="s">
        <v>22</v>
      </c>
    </row>
    <row r="16170" spans="1:11">
      <c r="A16170" s="30" t="s">
        <v>36276</v>
      </c>
      <c r="B16170" s="30" t="s">
        <v>36277</v>
      </c>
      <c r="C16170" s="30" t="s">
        <v>10300</v>
      </c>
      <c r="D16170" s="30" t="s">
        <v>17</v>
      </c>
      <c r="E16170" s="30" t="s">
        <v>18</v>
      </c>
      <c r="F16170" s="30" t="s">
        <v>19</v>
      </c>
      <c r="G16170" s="30" t="s">
        <v>50</v>
      </c>
      <c r="H16170" s="32">
        <v>252</v>
      </c>
      <c r="I16170" s="30" t="s">
        <v>51</v>
      </c>
      <c r="J16170" s="41">
        <v>45264</v>
      </c>
      <c r="K16170" s="30" t="s">
        <v>22</v>
      </c>
    </row>
    <row r="16171" spans="1:11">
      <c r="A16171" s="33" t="s">
        <v>36278</v>
      </c>
      <c r="B16171" s="33" t="s">
        <v>36279</v>
      </c>
      <c r="C16171" s="33" t="s">
        <v>5084</v>
      </c>
      <c r="D16171" s="33" t="s">
        <v>17</v>
      </c>
      <c r="E16171" s="33" t="s">
        <v>26</v>
      </c>
      <c r="F16171" s="33" t="s">
        <v>27</v>
      </c>
      <c r="G16171" s="33" t="s">
        <v>50</v>
      </c>
      <c r="H16171" s="35">
        <v>367</v>
      </c>
      <c r="I16171" s="33" t="s">
        <v>51</v>
      </c>
      <c r="J16171" s="42">
        <v>44986</v>
      </c>
      <c r="K16171" s="33" t="s">
        <v>22</v>
      </c>
    </row>
    <row r="16172" spans="1:11">
      <c r="A16172" s="30" t="s">
        <v>36280</v>
      </c>
      <c r="B16172" s="30" t="s">
        <v>36281</v>
      </c>
      <c r="C16172" s="30" t="s">
        <v>2017</v>
      </c>
      <c r="D16172" s="30" t="s">
        <v>17</v>
      </c>
      <c r="E16172" s="30" t="s">
        <v>26</v>
      </c>
      <c r="F16172" s="30" t="s">
        <v>27</v>
      </c>
      <c r="G16172" s="30" t="s">
        <v>20</v>
      </c>
      <c r="H16172" s="32">
        <v>430</v>
      </c>
      <c r="I16172" s="30" t="s">
        <v>21</v>
      </c>
      <c r="J16172" s="41">
        <v>45264</v>
      </c>
      <c r="K16172" s="30" t="s">
        <v>22</v>
      </c>
    </row>
    <row r="16173" spans="1:11">
      <c r="A16173" s="33" t="s">
        <v>36282</v>
      </c>
      <c r="B16173" s="33" t="s">
        <v>36283</v>
      </c>
      <c r="C16173" s="33" t="s">
        <v>2006</v>
      </c>
      <c r="D16173" s="33" t="s">
        <v>17</v>
      </c>
      <c r="E16173" s="33" t="s">
        <v>26</v>
      </c>
      <c r="F16173" s="33" t="s">
        <v>27</v>
      </c>
      <c r="G16173" s="33" t="s">
        <v>20</v>
      </c>
      <c r="H16173" s="35">
        <v>39</v>
      </c>
      <c r="I16173" s="33" t="s">
        <v>21</v>
      </c>
      <c r="J16173" s="42">
        <v>45142</v>
      </c>
      <c r="K16173" s="33" t="s">
        <v>22</v>
      </c>
    </row>
    <row r="16174" spans="1:11">
      <c r="A16174" s="30" t="s">
        <v>36284</v>
      </c>
      <c r="B16174" s="30" t="s">
        <v>36285</v>
      </c>
      <c r="C16174" s="30" t="s">
        <v>13508</v>
      </c>
      <c r="D16174" s="30" t="s">
        <v>17</v>
      </c>
      <c r="E16174" s="30" t="s">
        <v>26</v>
      </c>
      <c r="F16174" s="30" t="s">
        <v>27</v>
      </c>
      <c r="G16174" s="30" t="s">
        <v>158</v>
      </c>
      <c r="H16174" s="32">
        <v>17</v>
      </c>
      <c r="I16174" s="30" t="s">
        <v>21</v>
      </c>
      <c r="J16174" s="41">
        <v>45286</v>
      </c>
      <c r="K16174" s="30" t="s">
        <v>22</v>
      </c>
    </row>
    <row r="16175" spans="1:11">
      <c r="A16175" s="33" t="s">
        <v>36286</v>
      </c>
      <c r="B16175" s="33" t="s">
        <v>36287</v>
      </c>
      <c r="C16175" s="33" t="s">
        <v>29436</v>
      </c>
      <c r="D16175" s="33" t="s">
        <v>17</v>
      </c>
      <c r="E16175" s="33" t="s">
        <v>31</v>
      </c>
      <c r="F16175" s="33" t="s">
        <v>32</v>
      </c>
      <c r="G16175" s="33" t="s">
        <v>20</v>
      </c>
      <c r="H16175" s="35">
        <v>78</v>
      </c>
      <c r="I16175" s="33" t="s">
        <v>21</v>
      </c>
      <c r="J16175" s="42">
        <v>45255</v>
      </c>
      <c r="K16175" s="33" t="s">
        <v>22</v>
      </c>
    </row>
    <row r="16176" spans="1:11">
      <c r="A16176" s="30" t="s">
        <v>36288</v>
      </c>
      <c r="B16176" s="30" t="s">
        <v>36289</v>
      </c>
      <c r="C16176" s="30" t="s">
        <v>647</v>
      </c>
      <c r="D16176" s="30" t="s">
        <v>17</v>
      </c>
      <c r="E16176" s="30" t="s">
        <v>18</v>
      </c>
      <c r="F16176" s="30" t="s">
        <v>19</v>
      </c>
      <c r="G16176" s="30" t="s">
        <v>20</v>
      </c>
      <c r="H16176" s="32">
        <v>303</v>
      </c>
      <c r="I16176" s="30" t="s">
        <v>21</v>
      </c>
      <c r="J16176" s="41">
        <v>45146</v>
      </c>
      <c r="K16176" s="30" t="s">
        <v>22</v>
      </c>
    </row>
    <row r="16177" spans="1:11">
      <c r="A16177" s="33" t="s">
        <v>36290</v>
      </c>
      <c r="B16177" s="33" t="s">
        <v>36291</v>
      </c>
      <c r="C16177" s="33" t="s">
        <v>222</v>
      </c>
      <c r="D16177" s="33" t="s">
        <v>17</v>
      </c>
      <c r="E16177" s="33" t="s">
        <v>67</v>
      </c>
      <c r="F16177" s="33" t="s">
        <v>68</v>
      </c>
      <c r="G16177" s="33" t="s">
        <v>20</v>
      </c>
      <c r="H16177" s="35">
        <v>26</v>
      </c>
      <c r="I16177" s="33" t="s">
        <v>21</v>
      </c>
      <c r="J16177" s="42">
        <v>45084</v>
      </c>
      <c r="K16177" s="33" t="s">
        <v>22</v>
      </c>
    </row>
    <row r="16178" spans="1:11">
      <c r="A16178" s="30" t="s">
        <v>36292</v>
      </c>
      <c r="B16178" s="30" t="s">
        <v>36293</v>
      </c>
      <c r="C16178" s="30" t="s">
        <v>130</v>
      </c>
      <c r="D16178" s="30" t="s">
        <v>17</v>
      </c>
      <c r="E16178" s="30" t="s">
        <v>18</v>
      </c>
      <c r="F16178" s="30" t="s">
        <v>19</v>
      </c>
      <c r="G16178" s="30" t="s">
        <v>158</v>
      </c>
      <c r="H16178" s="32">
        <v>467</v>
      </c>
      <c r="I16178" s="30" t="s">
        <v>21</v>
      </c>
      <c r="J16178" s="41">
        <v>45259</v>
      </c>
      <c r="K16178" s="30" t="s">
        <v>22</v>
      </c>
    </row>
    <row r="16179" spans="1:11">
      <c r="A16179" s="33" t="s">
        <v>36294</v>
      </c>
      <c r="B16179" s="33" t="s">
        <v>36295</v>
      </c>
      <c r="C16179" s="33" t="s">
        <v>810</v>
      </c>
      <c r="D16179" s="33" t="s">
        <v>17</v>
      </c>
      <c r="E16179" s="33" t="s">
        <v>26</v>
      </c>
      <c r="F16179" s="33" t="s">
        <v>27</v>
      </c>
      <c r="G16179" s="33" t="s">
        <v>20</v>
      </c>
      <c r="H16179" s="35">
        <v>36</v>
      </c>
      <c r="I16179" s="33" t="s">
        <v>21</v>
      </c>
      <c r="J16179" s="42">
        <v>45250</v>
      </c>
      <c r="K16179" s="33" t="s">
        <v>22</v>
      </c>
    </row>
    <row r="16180" spans="1:11">
      <c r="A16180" s="30" t="s">
        <v>36296</v>
      </c>
      <c r="B16180" s="30" t="s">
        <v>36297</v>
      </c>
      <c r="C16180" s="30" t="s">
        <v>3429</v>
      </c>
      <c r="D16180" s="30" t="s">
        <v>17</v>
      </c>
      <c r="E16180" s="30" t="s">
        <v>26</v>
      </c>
      <c r="F16180" s="30" t="s">
        <v>27</v>
      </c>
      <c r="G16180" s="30" t="s">
        <v>20</v>
      </c>
      <c r="H16180" s="32">
        <v>30</v>
      </c>
      <c r="I16180" s="30" t="s">
        <v>21</v>
      </c>
      <c r="J16180" s="41">
        <v>44980</v>
      </c>
      <c r="K16180" s="30" t="s">
        <v>22</v>
      </c>
    </row>
    <row r="16181" spans="1:11">
      <c r="A16181" s="33" t="s">
        <v>36298</v>
      </c>
      <c r="B16181" s="33" t="s">
        <v>36299</v>
      </c>
      <c r="C16181" s="33" t="s">
        <v>26952</v>
      </c>
      <c r="D16181" s="33" t="s">
        <v>17</v>
      </c>
      <c r="E16181" s="33" t="s">
        <v>67</v>
      </c>
      <c r="F16181" s="33" t="s">
        <v>68</v>
      </c>
      <c r="G16181" s="33" t="s">
        <v>140</v>
      </c>
      <c r="H16181" s="35">
        <v>594</v>
      </c>
      <c r="I16181" s="33" t="s">
        <v>51</v>
      </c>
      <c r="J16181" s="42">
        <v>45140</v>
      </c>
      <c r="K16181" s="33" t="s">
        <v>22</v>
      </c>
    </row>
    <row r="16182" spans="1:11">
      <c r="A16182" s="30" t="s">
        <v>36300</v>
      </c>
      <c r="B16182" s="30" t="s">
        <v>36301</v>
      </c>
      <c r="C16182" s="30" t="s">
        <v>7831</v>
      </c>
      <c r="D16182" s="30" t="s">
        <v>17</v>
      </c>
      <c r="E16182" s="30" t="s">
        <v>67</v>
      </c>
      <c r="F16182" s="30" t="s">
        <v>68</v>
      </c>
      <c r="G16182" s="30" t="s">
        <v>140</v>
      </c>
      <c r="H16182" s="32">
        <v>30</v>
      </c>
      <c r="I16182" s="30" t="s">
        <v>51</v>
      </c>
      <c r="J16182" s="41">
        <v>45176</v>
      </c>
      <c r="K16182" s="30" t="s">
        <v>22</v>
      </c>
    </row>
    <row r="16183" spans="1:11">
      <c r="A16183" s="33" t="s">
        <v>36302</v>
      </c>
      <c r="B16183" s="33" t="s">
        <v>36303</v>
      </c>
      <c r="C16183" s="33" t="s">
        <v>36304</v>
      </c>
      <c r="D16183" s="33" t="s">
        <v>17</v>
      </c>
      <c r="E16183" s="33" t="s">
        <v>26</v>
      </c>
      <c r="F16183" s="33" t="s">
        <v>27</v>
      </c>
      <c r="G16183" s="33" t="s">
        <v>20</v>
      </c>
      <c r="H16183" s="35">
        <v>32</v>
      </c>
      <c r="I16183" s="33" t="s">
        <v>21</v>
      </c>
      <c r="J16183" s="42">
        <v>45139</v>
      </c>
      <c r="K16183" s="33" t="s">
        <v>22</v>
      </c>
    </row>
    <row r="16184" spans="1:11">
      <c r="A16184" s="30" t="s">
        <v>36305</v>
      </c>
      <c r="B16184" s="30" t="s">
        <v>36306</v>
      </c>
      <c r="C16184" s="30" t="s">
        <v>187</v>
      </c>
      <c r="D16184" s="30" t="s">
        <v>17</v>
      </c>
      <c r="E16184" s="30" t="s">
        <v>26</v>
      </c>
      <c r="F16184" s="30" t="s">
        <v>27</v>
      </c>
      <c r="G16184" s="30" t="s">
        <v>50</v>
      </c>
      <c r="H16184" s="32">
        <v>54</v>
      </c>
      <c r="I16184" s="30" t="s">
        <v>51</v>
      </c>
      <c r="J16184" s="41">
        <v>45260</v>
      </c>
      <c r="K16184" s="30" t="s">
        <v>22</v>
      </c>
    </row>
    <row r="16185" spans="1:11">
      <c r="A16185" s="33" t="s">
        <v>36307</v>
      </c>
      <c r="B16185" s="33" t="s">
        <v>36308</v>
      </c>
      <c r="C16185" s="33" t="s">
        <v>109</v>
      </c>
      <c r="D16185" s="33" t="s">
        <v>17</v>
      </c>
      <c r="E16185" s="33" t="s">
        <v>18</v>
      </c>
      <c r="F16185" s="33" t="s">
        <v>19</v>
      </c>
      <c r="G16185" s="33" t="s">
        <v>158</v>
      </c>
      <c r="H16185" s="35">
        <v>41</v>
      </c>
      <c r="I16185" s="33" t="s">
        <v>21</v>
      </c>
      <c r="J16185" s="42">
        <v>45198</v>
      </c>
      <c r="K16185" s="33" t="s">
        <v>22</v>
      </c>
    </row>
    <row r="16186" spans="1:11">
      <c r="A16186" s="30" t="s">
        <v>36309</v>
      </c>
      <c r="B16186" s="30" t="s">
        <v>36310</v>
      </c>
      <c r="C16186" s="30" t="s">
        <v>36311</v>
      </c>
      <c r="D16186" s="30" t="s">
        <v>17</v>
      </c>
      <c r="E16186" s="30" t="s">
        <v>31</v>
      </c>
      <c r="F16186" s="30" t="s">
        <v>32</v>
      </c>
      <c r="G16186" s="30" t="s">
        <v>50</v>
      </c>
      <c r="H16186" s="32">
        <v>100</v>
      </c>
      <c r="I16186" s="30" t="s">
        <v>51</v>
      </c>
      <c r="J16186" s="41">
        <v>45178</v>
      </c>
      <c r="K16186" s="30" t="s">
        <v>22</v>
      </c>
    </row>
    <row r="16187" spans="1:11">
      <c r="A16187" s="33" t="s">
        <v>36312</v>
      </c>
      <c r="B16187" s="33" t="s">
        <v>36313</v>
      </c>
      <c r="C16187" s="33" t="s">
        <v>187</v>
      </c>
      <c r="D16187" s="33" t="s">
        <v>17</v>
      </c>
      <c r="E16187" s="33" t="s">
        <v>26</v>
      </c>
      <c r="F16187" s="33" t="s">
        <v>27</v>
      </c>
      <c r="G16187" s="33" t="s">
        <v>50</v>
      </c>
      <c r="H16187" s="35">
        <v>40</v>
      </c>
      <c r="I16187" s="33" t="s">
        <v>51</v>
      </c>
      <c r="J16187" s="42">
        <v>45261</v>
      </c>
      <c r="K16187" s="33" t="s">
        <v>22</v>
      </c>
    </row>
    <row r="16188" spans="1:11">
      <c r="A16188" s="30" t="s">
        <v>36314</v>
      </c>
      <c r="B16188" s="30" t="s">
        <v>36315</v>
      </c>
      <c r="C16188" s="30" t="s">
        <v>36316</v>
      </c>
      <c r="D16188" s="30" t="s">
        <v>17</v>
      </c>
      <c r="E16188" s="30" t="s">
        <v>18</v>
      </c>
      <c r="F16188" s="30" t="s">
        <v>19</v>
      </c>
      <c r="G16188" s="30" t="s">
        <v>50</v>
      </c>
      <c r="H16188" s="32">
        <v>108</v>
      </c>
      <c r="I16188" s="30" t="s">
        <v>51</v>
      </c>
      <c r="J16188" s="41">
        <v>45139</v>
      </c>
      <c r="K16188" s="30" t="s">
        <v>22</v>
      </c>
    </row>
    <row r="16189" spans="1:11">
      <c r="A16189" s="33" t="s">
        <v>36317</v>
      </c>
      <c r="B16189" s="33" t="s">
        <v>36318</v>
      </c>
      <c r="C16189" s="33" t="s">
        <v>4348</v>
      </c>
      <c r="D16189" s="33" t="s">
        <v>17</v>
      </c>
      <c r="E16189" s="33" t="s">
        <v>67</v>
      </c>
      <c r="F16189" s="33" t="s">
        <v>68</v>
      </c>
      <c r="G16189" s="33" t="s">
        <v>158</v>
      </c>
      <c r="H16189" s="35">
        <v>7</v>
      </c>
      <c r="I16189" s="33" t="s">
        <v>21</v>
      </c>
      <c r="J16189" s="42">
        <v>44967</v>
      </c>
      <c r="K16189" s="33" t="s">
        <v>22</v>
      </c>
    </row>
    <row r="16190" spans="1:11">
      <c r="A16190" s="30" t="s">
        <v>36319</v>
      </c>
      <c r="B16190" s="30" t="s">
        <v>36320</v>
      </c>
      <c r="C16190" s="30" t="s">
        <v>15408</v>
      </c>
      <c r="D16190" s="30" t="s">
        <v>17</v>
      </c>
      <c r="E16190" s="30" t="s">
        <v>18</v>
      </c>
      <c r="F16190" s="30" t="s">
        <v>19</v>
      </c>
      <c r="G16190" s="30" t="s">
        <v>140</v>
      </c>
      <c r="H16190" s="32">
        <v>160</v>
      </c>
      <c r="I16190" s="30" t="s">
        <v>51</v>
      </c>
      <c r="J16190" s="41">
        <v>44971</v>
      </c>
      <c r="K16190" s="30" t="s">
        <v>22</v>
      </c>
    </row>
    <row r="16191" spans="1:11">
      <c r="A16191" s="33" t="s">
        <v>36321</v>
      </c>
      <c r="B16191" s="33" t="s">
        <v>36322</v>
      </c>
      <c r="C16191" s="33" t="s">
        <v>6148</v>
      </c>
      <c r="D16191" s="33" t="s">
        <v>17</v>
      </c>
      <c r="E16191" s="33" t="s">
        <v>18</v>
      </c>
      <c r="F16191" s="33" t="s">
        <v>19</v>
      </c>
      <c r="G16191" s="33" t="s">
        <v>140</v>
      </c>
      <c r="H16191" s="35">
        <v>243</v>
      </c>
      <c r="I16191" s="33" t="s">
        <v>51</v>
      </c>
      <c r="J16191" s="42">
        <v>45225</v>
      </c>
      <c r="K16191" s="33" t="s">
        <v>22</v>
      </c>
    </row>
    <row r="16192" spans="1:11">
      <c r="A16192" s="30" t="s">
        <v>36323</v>
      </c>
      <c r="B16192" s="30" t="s">
        <v>36324</v>
      </c>
      <c r="C16192" s="30" t="s">
        <v>190</v>
      </c>
      <c r="D16192" s="30" t="s">
        <v>17</v>
      </c>
      <c r="E16192" s="30" t="s">
        <v>31</v>
      </c>
      <c r="F16192" s="30" t="s">
        <v>32</v>
      </c>
      <c r="G16192" s="30" t="s">
        <v>140</v>
      </c>
      <c r="H16192" s="32">
        <v>224</v>
      </c>
      <c r="I16192" s="30" t="s">
        <v>51</v>
      </c>
      <c r="J16192" s="41">
        <v>45273</v>
      </c>
      <c r="K16192" s="30" t="s">
        <v>22</v>
      </c>
    </row>
    <row r="16193" spans="1:11">
      <c r="A16193" s="33" t="s">
        <v>36325</v>
      </c>
      <c r="B16193" s="33" t="s">
        <v>36326</v>
      </c>
      <c r="C16193" s="33" t="s">
        <v>36327</v>
      </c>
      <c r="D16193" s="33" t="s">
        <v>17</v>
      </c>
      <c r="E16193" s="33" t="s">
        <v>26</v>
      </c>
      <c r="F16193" s="33" t="s">
        <v>27</v>
      </c>
      <c r="G16193" s="33" t="s">
        <v>140</v>
      </c>
      <c r="H16193" s="35">
        <v>42</v>
      </c>
      <c r="I16193" s="33" t="s">
        <v>51</v>
      </c>
      <c r="J16193" s="42">
        <v>45015</v>
      </c>
      <c r="K16193" s="33" t="s">
        <v>22</v>
      </c>
    </row>
    <row r="16194" spans="1:11">
      <c r="A16194" s="30" t="s">
        <v>36328</v>
      </c>
      <c r="B16194" s="30" t="s">
        <v>36329</v>
      </c>
      <c r="C16194" s="30" t="s">
        <v>28136</v>
      </c>
      <c r="D16194" s="30" t="s">
        <v>17</v>
      </c>
      <c r="E16194" s="30" t="s">
        <v>67</v>
      </c>
      <c r="F16194" s="30" t="s">
        <v>68</v>
      </c>
      <c r="G16194" s="30" t="s">
        <v>158</v>
      </c>
      <c r="H16194" s="32">
        <v>30</v>
      </c>
      <c r="I16194" s="30" t="s">
        <v>51</v>
      </c>
      <c r="J16194" s="41">
        <v>45112</v>
      </c>
      <c r="K16194" s="30" t="s">
        <v>22</v>
      </c>
    </row>
    <row r="16195" spans="1:11">
      <c r="A16195" s="33" t="s">
        <v>36330</v>
      </c>
      <c r="B16195" s="33" t="s">
        <v>36331</v>
      </c>
      <c r="C16195" s="33" t="s">
        <v>1571</v>
      </c>
      <c r="D16195" s="33" t="s">
        <v>17</v>
      </c>
      <c r="E16195" s="33" t="s">
        <v>26</v>
      </c>
      <c r="F16195" s="33" t="s">
        <v>27</v>
      </c>
      <c r="G16195" s="33" t="s">
        <v>20</v>
      </c>
      <c r="H16195" s="35">
        <v>6</v>
      </c>
      <c r="I16195" s="33" t="s">
        <v>21</v>
      </c>
      <c r="J16195" s="42">
        <v>45273</v>
      </c>
      <c r="K16195" s="33" t="s">
        <v>22</v>
      </c>
    </row>
    <row r="16196" spans="1:11">
      <c r="A16196" s="30" t="s">
        <v>36332</v>
      </c>
      <c r="B16196" s="30" t="s">
        <v>36333</v>
      </c>
      <c r="C16196" s="30" t="s">
        <v>647</v>
      </c>
      <c r="D16196" s="30" t="s">
        <v>17</v>
      </c>
      <c r="E16196" s="30" t="s">
        <v>18</v>
      </c>
      <c r="F16196" s="30" t="s">
        <v>19</v>
      </c>
      <c r="G16196" s="30" t="s">
        <v>158</v>
      </c>
      <c r="H16196" s="32">
        <v>14550</v>
      </c>
      <c r="I16196" s="30" t="s">
        <v>51</v>
      </c>
      <c r="J16196" s="41">
        <v>45208</v>
      </c>
      <c r="K16196" s="30" t="s">
        <v>22</v>
      </c>
    </row>
    <row r="16197" spans="1:11">
      <c r="A16197" s="33" t="s">
        <v>36334</v>
      </c>
      <c r="B16197" s="33" t="s">
        <v>36335</v>
      </c>
      <c r="C16197" s="33" t="s">
        <v>15917</v>
      </c>
      <c r="D16197" s="33" t="s">
        <v>17</v>
      </c>
      <c r="E16197" s="33" t="s">
        <v>26</v>
      </c>
      <c r="F16197" s="33" t="s">
        <v>27</v>
      </c>
      <c r="G16197" s="33" t="s">
        <v>20</v>
      </c>
      <c r="H16197" s="35">
        <v>52</v>
      </c>
      <c r="I16197" s="33" t="s">
        <v>21</v>
      </c>
      <c r="J16197" s="42">
        <v>45118</v>
      </c>
      <c r="K16197" s="33" t="s">
        <v>22</v>
      </c>
    </row>
    <row r="16198" spans="1:11">
      <c r="A16198" s="30" t="s">
        <v>36336</v>
      </c>
      <c r="B16198" s="30" t="s">
        <v>36337</v>
      </c>
      <c r="C16198" s="30" t="s">
        <v>96</v>
      </c>
      <c r="D16198" s="30" t="s">
        <v>17</v>
      </c>
      <c r="E16198" s="30" t="s">
        <v>26</v>
      </c>
      <c r="F16198" s="30" t="s">
        <v>27</v>
      </c>
      <c r="G16198" s="30" t="s">
        <v>20</v>
      </c>
      <c r="H16198" s="32">
        <v>21</v>
      </c>
      <c r="I16198" s="30" t="s">
        <v>21</v>
      </c>
      <c r="J16198" s="41">
        <v>45092</v>
      </c>
      <c r="K16198" s="30" t="s">
        <v>22</v>
      </c>
    </row>
    <row r="16199" spans="1:11">
      <c r="A16199" s="33" t="s">
        <v>36338</v>
      </c>
      <c r="B16199" s="33" t="s">
        <v>36339</v>
      </c>
      <c r="C16199" s="33" t="s">
        <v>1469</v>
      </c>
      <c r="D16199" s="33" t="s">
        <v>17</v>
      </c>
      <c r="E16199" s="33" t="s">
        <v>18</v>
      </c>
      <c r="F16199" s="33" t="s">
        <v>19</v>
      </c>
      <c r="G16199" s="33" t="s">
        <v>112</v>
      </c>
      <c r="H16199" s="35">
        <v>0</v>
      </c>
      <c r="I16199" s="33" t="s">
        <v>21</v>
      </c>
      <c r="J16199" s="42">
        <v>44927</v>
      </c>
      <c r="K16199" s="33" t="s">
        <v>22</v>
      </c>
    </row>
    <row r="16200" spans="1:11">
      <c r="A16200" s="30" t="s">
        <v>36340</v>
      </c>
      <c r="B16200" s="30" t="s">
        <v>36341</v>
      </c>
      <c r="C16200" s="30" t="s">
        <v>4348</v>
      </c>
      <c r="D16200" s="30" t="s">
        <v>17</v>
      </c>
      <c r="E16200" s="30" t="s">
        <v>31</v>
      </c>
      <c r="F16200" s="30" t="s">
        <v>32</v>
      </c>
      <c r="G16200" s="30" t="s">
        <v>140</v>
      </c>
      <c r="H16200" s="32">
        <v>186</v>
      </c>
      <c r="I16200" s="30" t="s">
        <v>51</v>
      </c>
      <c r="J16200" s="41">
        <v>45219</v>
      </c>
      <c r="K16200" s="30" t="s">
        <v>22</v>
      </c>
    </row>
    <row r="16201" spans="1:11">
      <c r="A16201" s="33" t="s">
        <v>36342</v>
      </c>
      <c r="B16201" s="33" t="s">
        <v>36343</v>
      </c>
      <c r="C16201" s="33" t="s">
        <v>34959</v>
      </c>
      <c r="D16201" s="33" t="s">
        <v>17</v>
      </c>
      <c r="E16201" s="33" t="s">
        <v>31</v>
      </c>
      <c r="F16201" s="33" t="s">
        <v>32</v>
      </c>
      <c r="G16201" s="33" t="s">
        <v>50</v>
      </c>
      <c r="H16201" s="35">
        <v>120</v>
      </c>
      <c r="I16201" s="33" t="s">
        <v>51</v>
      </c>
      <c r="J16201" s="42">
        <v>45232</v>
      </c>
      <c r="K16201" s="33" t="s">
        <v>22</v>
      </c>
    </row>
    <row r="16202" spans="1:11">
      <c r="A16202" s="30" t="s">
        <v>36344</v>
      </c>
      <c r="B16202" s="30" t="s">
        <v>36345</v>
      </c>
      <c r="C16202" s="30" t="s">
        <v>102</v>
      </c>
      <c r="D16202" s="30" t="s">
        <v>17</v>
      </c>
      <c r="E16202" s="30" t="s">
        <v>26</v>
      </c>
      <c r="F16202" s="30" t="s">
        <v>27</v>
      </c>
      <c r="G16202" s="30" t="s">
        <v>20</v>
      </c>
      <c r="H16202" s="32">
        <v>72</v>
      </c>
      <c r="I16202" s="30" t="s">
        <v>21</v>
      </c>
      <c r="J16202" s="41">
        <v>45076</v>
      </c>
      <c r="K16202" s="30" t="s">
        <v>22</v>
      </c>
    </row>
    <row r="16203" spans="1:11">
      <c r="A16203" s="33" t="s">
        <v>36346</v>
      </c>
      <c r="B16203" s="33" t="s">
        <v>36347</v>
      </c>
      <c r="C16203" s="33" t="s">
        <v>36348</v>
      </c>
      <c r="D16203" s="33" t="s">
        <v>17</v>
      </c>
      <c r="E16203" s="33" t="s">
        <v>31</v>
      </c>
      <c r="F16203" s="33" t="s">
        <v>32</v>
      </c>
      <c r="G16203" s="33" t="s">
        <v>20</v>
      </c>
      <c r="H16203" s="35">
        <v>28</v>
      </c>
      <c r="I16203" s="33" t="s">
        <v>21</v>
      </c>
      <c r="J16203" s="42">
        <v>45068</v>
      </c>
      <c r="K16203" s="33" t="s">
        <v>22</v>
      </c>
    </row>
    <row r="16204" spans="1:11">
      <c r="A16204" s="30" t="s">
        <v>36349</v>
      </c>
      <c r="B16204" s="30" t="s">
        <v>36350</v>
      </c>
      <c r="C16204" s="30" t="s">
        <v>36351</v>
      </c>
      <c r="D16204" s="30" t="s">
        <v>17</v>
      </c>
      <c r="E16204" s="30" t="s">
        <v>67</v>
      </c>
      <c r="F16204" s="30" t="s">
        <v>68</v>
      </c>
      <c r="G16204" s="30" t="s">
        <v>20</v>
      </c>
      <c r="H16204" s="32">
        <v>12</v>
      </c>
      <c r="I16204" s="30" t="s">
        <v>21</v>
      </c>
      <c r="J16204" s="41">
        <v>45237</v>
      </c>
      <c r="K16204" s="30" t="s">
        <v>22</v>
      </c>
    </row>
    <row r="16205" spans="1:11">
      <c r="A16205" s="33" t="s">
        <v>36352</v>
      </c>
      <c r="B16205" s="33" t="s">
        <v>36353</v>
      </c>
      <c r="C16205" s="33" t="s">
        <v>178</v>
      </c>
      <c r="D16205" s="33" t="s">
        <v>17</v>
      </c>
      <c r="E16205" s="33" t="s">
        <v>18</v>
      </c>
      <c r="F16205" s="33" t="s">
        <v>19</v>
      </c>
      <c r="G16205" s="33" t="s">
        <v>112</v>
      </c>
      <c r="H16205" s="35">
        <v>0</v>
      </c>
      <c r="I16205" s="33" t="s">
        <v>21</v>
      </c>
      <c r="J16205" s="42">
        <v>45289</v>
      </c>
      <c r="K16205" s="33" t="s">
        <v>22</v>
      </c>
    </row>
    <row r="16206" spans="1:11">
      <c r="A16206" s="30" t="s">
        <v>36354</v>
      </c>
      <c r="B16206" s="30" t="s">
        <v>36355</v>
      </c>
      <c r="C16206" s="30" t="s">
        <v>36356</v>
      </c>
      <c r="D16206" s="30" t="s">
        <v>17</v>
      </c>
      <c r="E16206" s="30" t="s">
        <v>26</v>
      </c>
      <c r="F16206" s="30" t="s">
        <v>27</v>
      </c>
      <c r="G16206" s="30" t="s">
        <v>20</v>
      </c>
      <c r="H16206" s="32">
        <v>68</v>
      </c>
      <c r="I16206" s="30" t="s">
        <v>21</v>
      </c>
      <c r="J16206" s="41">
        <v>45111</v>
      </c>
      <c r="K16206" s="30" t="s">
        <v>22</v>
      </c>
    </row>
    <row r="16207" spans="1:11">
      <c r="A16207" s="33" t="s">
        <v>36357</v>
      </c>
      <c r="B16207" s="33" t="s">
        <v>36358</v>
      </c>
      <c r="C16207" s="33" t="s">
        <v>6962</v>
      </c>
      <c r="D16207" s="33" t="s">
        <v>17</v>
      </c>
      <c r="E16207" s="33" t="s">
        <v>26</v>
      </c>
      <c r="F16207" s="33" t="s">
        <v>27</v>
      </c>
      <c r="G16207" s="33" t="s">
        <v>20</v>
      </c>
      <c r="H16207" s="35">
        <v>42</v>
      </c>
      <c r="I16207" s="33" t="s">
        <v>21</v>
      </c>
      <c r="J16207" s="42">
        <v>45098</v>
      </c>
      <c r="K16207" s="33" t="s">
        <v>22</v>
      </c>
    </row>
    <row r="16208" spans="1:11">
      <c r="A16208" s="30" t="s">
        <v>36359</v>
      </c>
      <c r="B16208" s="30" t="s">
        <v>36360</v>
      </c>
      <c r="C16208" s="30" t="s">
        <v>36361</v>
      </c>
      <c r="D16208" s="30" t="s">
        <v>17</v>
      </c>
      <c r="E16208" s="30" t="s">
        <v>31</v>
      </c>
      <c r="F16208" s="30" t="s">
        <v>32</v>
      </c>
      <c r="G16208" s="30" t="s">
        <v>20</v>
      </c>
      <c r="H16208" s="32">
        <v>13</v>
      </c>
      <c r="I16208" s="30" t="s">
        <v>21</v>
      </c>
      <c r="J16208" s="41">
        <v>45040</v>
      </c>
      <c r="K16208" s="30" t="s">
        <v>22</v>
      </c>
    </row>
    <row r="16209" spans="1:11">
      <c r="A16209" s="33" t="s">
        <v>36362</v>
      </c>
      <c r="B16209" s="33" t="s">
        <v>36363</v>
      </c>
      <c r="C16209" s="33" t="s">
        <v>11609</v>
      </c>
      <c r="D16209" s="33" t="s">
        <v>17</v>
      </c>
      <c r="E16209" s="33" t="s">
        <v>67</v>
      </c>
      <c r="F16209" s="33" t="s">
        <v>68</v>
      </c>
      <c r="G16209" s="33" t="s">
        <v>20</v>
      </c>
      <c r="H16209" s="35">
        <v>61</v>
      </c>
      <c r="I16209" s="33" t="s">
        <v>21</v>
      </c>
      <c r="J16209" s="42">
        <v>45036</v>
      </c>
      <c r="K16209" s="33" t="s">
        <v>22</v>
      </c>
    </row>
    <row r="16210" spans="1:11">
      <c r="A16210" s="30" t="s">
        <v>36364</v>
      </c>
      <c r="B16210" s="30" t="s">
        <v>36365</v>
      </c>
      <c r="C16210" s="30" t="s">
        <v>231</v>
      </c>
      <c r="D16210" s="30" t="s">
        <v>17</v>
      </c>
      <c r="E16210" s="30" t="s">
        <v>26</v>
      </c>
      <c r="F16210" s="30" t="s">
        <v>27</v>
      </c>
      <c r="G16210" s="30" t="s">
        <v>20</v>
      </c>
      <c r="H16210" s="32">
        <v>24</v>
      </c>
      <c r="I16210" s="30" t="s">
        <v>21</v>
      </c>
      <c r="J16210" s="41">
        <v>45049</v>
      </c>
      <c r="K16210" s="30" t="s">
        <v>22</v>
      </c>
    </row>
    <row r="16211" spans="1:11">
      <c r="A16211" s="33" t="s">
        <v>36366</v>
      </c>
      <c r="B16211" s="33" t="s">
        <v>36367</v>
      </c>
      <c r="C16211" s="33" t="s">
        <v>102</v>
      </c>
      <c r="D16211" s="33" t="s">
        <v>17</v>
      </c>
      <c r="E16211" s="33" t="s">
        <v>26</v>
      </c>
      <c r="F16211" s="33" t="s">
        <v>27</v>
      </c>
      <c r="G16211" s="33" t="s">
        <v>158</v>
      </c>
      <c r="H16211" s="35">
        <v>21</v>
      </c>
      <c r="I16211" s="33" t="s">
        <v>21</v>
      </c>
      <c r="J16211" s="42">
        <v>45236</v>
      </c>
      <c r="K16211" s="33" t="s">
        <v>22</v>
      </c>
    </row>
    <row r="16212" spans="1:11">
      <c r="A16212" s="30" t="s">
        <v>36368</v>
      </c>
      <c r="B16212" s="30" t="s">
        <v>36369</v>
      </c>
      <c r="C16212" s="30" t="s">
        <v>36370</v>
      </c>
      <c r="D16212" s="30" t="s">
        <v>17</v>
      </c>
      <c r="E16212" s="30" t="s">
        <v>31</v>
      </c>
      <c r="F16212" s="30" t="s">
        <v>32</v>
      </c>
      <c r="G16212" s="30" t="s">
        <v>20</v>
      </c>
      <c r="H16212" s="32">
        <v>85</v>
      </c>
      <c r="I16212" s="30" t="s">
        <v>21</v>
      </c>
      <c r="J16212" s="41">
        <v>44965</v>
      </c>
      <c r="K16212" s="30" t="s">
        <v>22</v>
      </c>
    </row>
    <row r="16213" spans="1:11">
      <c r="A16213" s="33" t="s">
        <v>36371</v>
      </c>
      <c r="B16213" s="33" t="s">
        <v>36372</v>
      </c>
      <c r="C16213" s="33" t="s">
        <v>2490</v>
      </c>
      <c r="D16213" s="33" t="s">
        <v>17</v>
      </c>
      <c r="E16213" s="33" t="s">
        <v>18</v>
      </c>
      <c r="F16213" s="33" t="s">
        <v>19</v>
      </c>
      <c r="G16213" s="33" t="s">
        <v>50</v>
      </c>
      <c r="H16213" s="35">
        <v>392</v>
      </c>
      <c r="I16213" s="33" t="s">
        <v>51</v>
      </c>
      <c r="J16213" s="42">
        <v>45021</v>
      </c>
      <c r="K16213" s="33" t="s">
        <v>22</v>
      </c>
    </row>
    <row r="16214" spans="1:11">
      <c r="A16214" s="30" t="s">
        <v>36373</v>
      </c>
      <c r="B16214" s="30" t="s">
        <v>36374</v>
      </c>
      <c r="C16214" s="30" t="s">
        <v>27217</v>
      </c>
      <c r="D16214" s="30" t="s">
        <v>17</v>
      </c>
      <c r="E16214" s="30" t="s">
        <v>67</v>
      </c>
      <c r="F16214" s="30" t="s">
        <v>68</v>
      </c>
      <c r="G16214" s="30" t="s">
        <v>2613</v>
      </c>
      <c r="H16214" s="32">
        <v>12</v>
      </c>
      <c r="I16214" s="30" t="s">
        <v>51</v>
      </c>
      <c r="J16214" s="41">
        <v>44973</v>
      </c>
      <c r="K16214" s="30" t="s">
        <v>22</v>
      </c>
    </row>
    <row r="16215" spans="1:11">
      <c r="A16215" s="33" t="s">
        <v>36375</v>
      </c>
      <c r="B16215" s="33" t="s">
        <v>36376</v>
      </c>
      <c r="C16215" s="33" t="s">
        <v>36377</v>
      </c>
      <c r="D16215" s="33" t="s">
        <v>17</v>
      </c>
      <c r="E16215" s="33" t="s">
        <v>26</v>
      </c>
      <c r="F16215" s="33" t="s">
        <v>27</v>
      </c>
      <c r="G16215" s="33" t="s">
        <v>140</v>
      </c>
      <c r="H16215" s="35">
        <v>48</v>
      </c>
      <c r="I16215" s="33" t="s">
        <v>51</v>
      </c>
      <c r="J16215" s="42">
        <v>45239</v>
      </c>
      <c r="K16215" s="33" t="s">
        <v>22</v>
      </c>
    </row>
    <row r="16216" spans="1:11">
      <c r="A16216" s="30" t="s">
        <v>36378</v>
      </c>
      <c r="B16216" s="30" t="s">
        <v>36379</v>
      </c>
      <c r="C16216" s="30" t="s">
        <v>36380</v>
      </c>
      <c r="D16216" s="30" t="s">
        <v>17</v>
      </c>
      <c r="E16216" s="30" t="s">
        <v>18</v>
      </c>
      <c r="F16216" s="30" t="s">
        <v>19</v>
      </c>
      <c r="G16216" s="30" t="s">
        <v>140</v>
      </c>
      <c r="H16216" s="32">
        <v>97</v>
      </c>
      <c r="I16216" s="30" t="s">
        <v>51</v>
      </c>
      <c r="J16216" s="41">
        <v>45160</v>
      </c>
      <c r="K16216" s="30" t="s">
        <v>22</v>
      </c>
    </row>
    <row r="16217" spans="1:11">
      <c r="A16217" s="33" t="s">
        <v>36381</v>
      </c>
      <c r="B16217" s="33" t="s">
        <v>36382</v>
      </c>
      <c r="C16217" s="33" t="s">
        <v>570</v>
      </c>
      <c r="D16217" s="33" t="s">
        <v>17</v>
      </c>
      <c r="E16217" s="33" t="s">
        <v>26</v>
      </c>
      <c r="F16217" s="33" t="s">
        <v>27</v>
      </c>
      <c r="G16217" s="33" t="s">
        <v>50</v>
      </c>
      <c r="H16217" s="35">
        <v>78</v>
      </c>
      <c r="I16217" s="33" t="s">
        <v>51</v>
      </c>
      <c r="J16217" s="42">
        <v>45154</v>
      </c>
      <c r="K16217" s="33" t="s">
        <v>22</v>
      </c>
    </row>
    <row r="16218" spans="1:11">
      <c r="A16218" s="30" t="s">
        <v>36383</v>
      </c>
      <c r="B16218" s="30" t="s">
        <v>36384</v>
      </c>
      <c r="C16218" s="30" t="s">
        <v>14274</v>
      </c>
      <c r="D16218" s="30" t="s">
        <v>17</v>
      </c>
      <c r="E16218" s="30" t="s">
        <v>31</v>
      </c>
      <c r="F16218" s="30" t="s">
        <v>32</v>
      </c>
      <c r="G16218" s="30" t="s">
        <v>50</v>
      </c>
      <c r="H16218" s="32">
        <v>100</v>
      </c>
      <c r="I16218" s="30" t="s">
        <v>51</v>
      </c>
      <c r="J16218" s="41">
        <v>44958</v>
      </c>
      <c r="K16218" s="30" t="s">
        <v>22</v>
      </c>
    </row>
    <row r="16219" spans="1:11">
      <c r="A16219" s="33" t="s">
        <v>36385</v>
      </c>
      <c r="B16219" s="33" t="s">
        <v>36386</v>
      </c>
      <c r="C16219" s="33" t="s">
        <v>1504</v>
      </c>
      <c r="D16219" s="33" t="s">
        <v>17</v>
      </c>
      <c r="E16219" s="33" t="s">
        <v>67</v>
      </c>
      <c r="F16219" s="33" t="s">
        <v>68</v>
      </c>
      <c r="G16219" s="33" t="s">
        <v>50</v>
      </c>
      <c r="H16219" s="35">
        <v>164</v>
      </c>
      <c r="I16219" s="33" t="s">
        <v>51</v>
      </c>
      <c r="J16219" s="42">
        <v>45166</v>
      </c>
      <c r="K16219" s="33" t="s">
        <v>22</v>
      </c>
    </row>
    <row r="16220" spans="1:11">
      <c r="A16220" s="30" t="s">
        <v>36387</v>
      </c>
      <c r="B16220" s="30" t="s">
        <v>36388</v>
      </c>
      <c r="C16220" s="30" t="s">
        <v>22999</v>
      </c>
      <c r="D16220" s="30" t="s">
        <v>17</v>
      </c>
      <c r="E16220" s="30" t="s">
        <v>18</v>
      </c>
      <c r="F16220" s="30" t="s">
        <v>19</v>
      </c>
      <c r="G16220" s="30" t="s">
        <v>158</v>
      </c>
      <c r="H16220" s="32">
        <v>194</v>
      </c>
      <c r="I16220" s="30" t="s">
        <v>21</v>
      </c>
      <c r="J16220" s="41">
        <v>44935</v>
      </c>
      <c r="K16220" s="30" t="s">
        <v>22</v>
      </c>
    </row>
    <row r="16221" spans="1:11">
      <c r="A16221" s="33" t="s">
        <v>36389</v>
      </c>
      <c r="B16221" s="33" t="s">
        <v>36390</v>
      </c>
      <c r="C16221" s="33" t="s">
        <v>21185</v>
      </c>
      <c r="D16221" s="33" t="s">
        <v>17</v>
      </c>
      <c r="E16221" s="33" t="s">
        <v>26</v>
      </c>
      <c r="F16221" s="33" t="s">
        <v>27</v>
      </c>
      <c r="G16221" s="33" t="s">
        <v>20</v>
      </c>
      <c r="H16221" s="35">
        <v>40</v>
      </c>
      <c r="I16221" s="33" t="s">
        <v>21</v>
      </c>
      <c r="J16221" s="42">
        <v>45251</v>
      </c>
      <c r="K16221" s="33" t="s">
        <v>22</v>
      </c>
    </row>
    <row r="16222" spans="1:11">
      <c r="A16222" s="30" t="s">
        <v>36391</v>
      </c>
      <c r="B16222" s="30" t="s">
        <v>36392</v>
      </c>
      <c r="C16222" s="30" t="s">
        <v>31709</v>
      </c>
      <c r="D16222" s="30" t="s">
        <v>17</v>
      </c>
      <c r="E16222" s="30" t="s">
        <v>18</v>
      </c>
      <c r="F16222" s="30" t="s">
        <v>19</v>
      </c>
      <c r="G16222" s="30" t="s">
        <v>50</v>
      </c>
      <c r="H16222" s="32">
        <v>558</v>
      </c>
      <c r="I16222" s="30" t="s">
        <v>51</v>
      </c>
      <c r="J16222" s="41">
        <v>45232</v>
      </c>
      <c r="K16222" s="30" t="s">
        <v>22</v>
      </c>
    </row>
    <row r="16223" spans="1:11">
      <c r="A16223" s="33" t="s">
        <v>36393</v>
      </c>
      <c r="B16223" s="33" t="s">
        <v>36394</v>
      </c>
      <c r="C16223" s="33" t="s">
        <v>6470</v>
      </c>
      <c r="D16223" s="33" t="s">
        <v>17</v>
      </c>
      <c r="E16223" s="33" t="s">
        <v>18</v>
      </c>
      <c r="F16223" s="33" t="s">
        <v>19</v>
      </c>
      <c r="G16223" s="33" t="s">
        <v>20</v>
      </c>
      <c r="H16223" s="35">
        <v>202</v>
      </c>
      <c r="I16223" s="33" t="s">
        <v>21</v>
      </c>
      <c r="J16223" s="42">
        <v>45075</v>
      </c>
      <c r="K16223" s="33" t="s">
        <v>22</v>
      </c>
    </row>
    <row r="16224" spans="1:11">
      <c r="A16224" s="30" t="s">
        <v>36395</v>
      </c>
      <c r="B16224" s="30" t="s">
        <v>36396</v>
      </c>
      <c r="C16224" s="30" t="s">
        <v>25378</v>
      </c>
      <c r="D16224" s="30" t="s">
        <v>17</v>
      </c>
      <c r="E16224" s="30" t="s">
        <v>26</v>
      </c>
      <c r="F16224" s="30" t="s">
        <v>27</v>
      </c>
      <c r="G16224" s="30" t="s">
        <v>20</v>
      </c>
      <c r="H16224" s="32">
        <v>6</v>
      </c>
      <c r="I16224" s="30" t="s">
        <v>21</v>
      </c>
      <c r="J16224" s="41">
        <v>45254</v>
      </c>
      <c r="K16224" s="30" t="s">
        <v>22</v>
      </c>
    </row>
    <row r="16225" spans="1:11">
      <c r="A16225" s="33" t="s">
        <v>36397</v>
      </c>
      <c r="B16225" s="33" t="s">
        <v>36398</v>
      </c>
      <c r="C16225" s="33" t="s">
        <v>14825</v>
      </c>
      <c r="D16225" s="33" t="s">
        <v>17</v>
      </c>
      <c r="E16225" s="33" t="s">
        <v>26</v>
      </c>
      <c r="F16225" s="33" t="s">
        <v>27</v>
      </c>
      <c r="G16225" s="33" t="s">
        <v>20</v>
      </c>
      <c r="H16225" s="35">
        <v>13</v>
      </c>
      <c r="I16225" s="33" t="s">
        <v>21</v>
      </c>
      <c r="J16225" s="42">
        <v>44929</v>
      </c>
      <c r="K16225" s="33" t="s">
        <v>22</v>
      </c>
    </row>
    <row r="16226" spans="1:11">
      <c r="A16226" s="30" t="s">
        <v>36399</v>
      </c>
      <c r="B16226" s="30" t="s">
        <v>36400</v>
      </c>
      <c r="C16226" s="30" t="s">
        <v>190</v>
      </c>
      <c r="D16226" s="30" t="s">
        <v>17</v>
      </c>
      <c r="E16226" s="30" t="s">
        <v>18</v>
      </c>
      <c r="F16226" s="30" t="s">
        <v>19</v>
      </c>
      <c r="G16226" s="30" t="s">
        <v>158</v>
      </c>
      <c r="H16226" s="32">
        <v>314</v>
      </c>
      <c r="I16226" s="30" t="s">
        <v>21</v>
      </c>
      <c r="J16226" s="41">
        <v>45238</v>
      </c>
      <c r="K16226" s="30" t="s">
        <v>22</v>
      </c>
    </row>
    <row r="16227" spans="1:11">
      <c r="A16227" s="33" t="s">
        <v>36401</v>
      </c>
      <c r="B16227" s="33" t="s">
        <v>36402</v>
      </c>
      <c r="C16227" s="33" t="s">
        <v>8151</v>
      </c>
      <c r="D16227" s="33" t="s">
        <v>17</v>
      </c>
      <c r="E16227" s="33" t="s">
        <v>18</v>
      </c>
      <c r="F16227" s="33" t="s">
        <v>19</v>
      </c>
      <c r="G16227" s="33" t="s">
        <v>20</v>
      </c>
      <c r="H16227" s="35">
        <v>316</v>
      </c>
      <c r="I16227" s="33" t="s">
        <v>21</v>
      </c>
      <c r="J16227" s="42">
        <v>45178</v>
      </c>
      <c r="K16227" s="33" t="s">
        <v>22</v>
      </c>
    </row>
    <row r="16228" spans="1:11">
      <c r="A16228" s="30" t="s">
        <v>36403</v>
      </c>
      <c r="B16228" s="30" t="s">
        <v>36404</v>
      </c>
      <c r="C16228" s="30" t="s">
        <v>93</v>
      </c>
      <c r="D16228" s="30" t="s">
        <v>17</v>
      </c>
      <c r="E16228" s="30" t="s">
        <v>18</v>
      </c>
      <c r="F16228" s="30" t="s">
        <v>19</v>
      </c>
      <c r="G16228" s="30" t="s">
        <v>158</v>
      </c>
      <c r="H16228" s="32">
        <v>487</v>
      </c>
      <c r="I16228" s="30" t="s">
        <v>21</v>
      </c>
      <c r="J16228" s="41">
        <v>45092</v>
      </c>
      <c r="K16228" s="30" t="s">
        <v>22</v>
      </c>
    </row>
    <row r="16229" spans="1:11">
      <c r="A16229" s="33" t="s">
        <v>36405</v>
      </c>
      <c r="B16229" s="33" t="s">
        <v>36406</v>
      </c>
      <c r="C16229" s="33" t="s">
        <v>3001</v>
      </c>
      <c r="D16229" s="33" t="s">
        <v>17</v>
      </c>
      <c r="E16229" s="33" t="s">
        <v>18</v>
      </c>
      <c r="F16229" s="33" t="s">
        <v>19</v>
      </c>
      <c r="G16229" s="33" t="s">
        <v>140</v>
      </c>
      <c r="H16229" s="35">
        <v>510</v>
      </c>
      <c r="I16229" s="33" t="s">
        <v>51</v>
      </c>
      <c r="J16229" s="42">
        <v>45211</v>
      </c>
      <c r="K16229" s="33" t="s">
        <v>22</v>
      </c>
    </row>
    <row r="16230" spans="1:11">
      <c r="A16230" s="30" t="s">
        <v>36407</v>
      </c>
      <c r="B16230" s="30" t="s">
        <v>36408</v>
      </c>
      <c r="C16230" s="30" t="s">
        <v>450</v>
      </c>
      <c r="D16230" s="30" t="s">
        <v>17</v>
      </c>
      <c r="E16230" s="30" t="s">
        <v>18</v>
      </c>
      <c r="F16230" s="30" t="s">
        <v>19</v>
      </c>
      <c r="G16230" s="30" t="s">
        <v>20</v>
      </c>
      <c r="H16230" s="32">
        <v>544</v>
      </c>
      <c r="I16230" s="30" t="s">
        <v>21</v>
      </c>
      <c r="J16230" s="41">
        <v>45022</v>
      </c>
      <c r="K16230" s="30" t="s">
        <v>22</v>
      </c>
    </row>
    <row r="16231" spans="1:11">
      <c r="A16231" s="33" t="s">
        <v>36409</v>
      </c>
      <c r="B16231" s="33" t="s">
        <v>36410</v>
      </c>
      <c r="C16231" s="33" t="s">
        <v>36411</v>
      </c>
      <c r="D16231" s="33" t="s">
        <v>17</v>
      </c>
      <c r="E16231" s="33" t="s">
        <v>67</v>
      </c>
      <c r="F16231" s="33" t="s">
        <v>68</v>
      </c>
      <c r="G16231" s="33" t="s">
        <v>140</v>
      </c>
      <c r="H16231" s="35">
        <v>22</v>
      </c>
      <c r="I16231" s="33" t="s">
        <v>51</v>
      </c>
      <c r="J16231" s="42">
        <v>45184</v>
      </c>
      <c r="K16231" s="33" t="s">
        <v>22</v>
      </c>
    </row>
    <row r="16232" spans="1:11">
      <c r="A16232" s="30" t="s">
        <v>36412</v>
      </c>
      <c r="B16232" s="30" t="s">
        <v>36413</v>
      </c>
      <c r="C16232" s="30" t="s">
        <v>5643</v>
      </c>
      <c r="D16232" s="30" t="s">
        <v>17</v>
      </c>
      <c r="E16232" s="30" t="s">
        <v>26</v>
      </c>
      <c r="F16232" s="30" t="s">
        <v>27</v>
      </c>
      <c r="G16232" s="30" t="s">
        <v>50</v>
      </c>
      <c r="H16232" s="32">
        <v>300</v>
      </c>
      <c r="I16232" s="30" t="s">
        <v>51</v>
      </c>
      <c r="J16232" s="41">
        <v>45129</v>
      </c>
      <c r="K16232" s="30" t="s">
        <v>22</v>
      </c>
    </row>
    <row r="16233" spans="1:11">
      <c r="A16233" s="33" t="s">
        <v>36414</v>
      </c>
      <c r="B16233" s="33" t="s">
        <v>36415</v>
      </c>
      <c r="C16233" s="33" t="s">
        <v>310</v>
      </c>
      <c r="D16233" s="33" t="s">
        <v>17</v>
      </c>
      <c r="E16233" s="33" t="s">
        <v>18</v>
      </c>
      <c r="F16233" s="33" t="s">
        <v>19</v>
      </c>
      <c r="G16233" s="33" t="s">
        <v>20</v>
      </c>
      <c r="H16233" s="35">
        <v>2734</v>
      </c>
      <c r="I16233" s="33" t="s">
        <v>21</v>
      </c>
      <c r="J16233" s="42">
        <v>45196</v>
      </c>
      <c r="K16233" s="33" t="s">
        <v>22</v>
      </c>
    </row>
    <row r="16234" spans="1:11">
      <c r="A16234" s="30" t="s">
        <v>36416</v>
      </c>
      <c r="B16234" s="30" t="s">
        <v>36417</v>
      </c>
      <c r="C16234" s="30" t="s">
        <v>11434</v>
      </c>
      <c r="D16234" s="30" t="s">
        <v>17</v>
      </c>
      <c r="E16234" s="30" t="s">
        <v>26</v>
      </c>
      <c r="F16234" s="30" t="s">
        <v>27</v>
      </c>
      <c r="G16234" s="30" t="s">
        <v>20</v>
      </c>
      <c r="H16234" s="32">
        <v>16</v>
      </c>
      <c r="I16234" s="30" t="s">
        <v>21</v>
      </c>
      <c r="J16234" s="41">
        <v>45028</v>
      </c>
      <c r="K16234" s="30" t="s">
        <v>22</v>
      </c>
    </row>
    <row r="16235" spans="1:11">
      <c r="A16235" s="33" t="s">
        <v>36418</v>
      </c>
      <c r="B16235" s="33" t="s">
        <v>36419</v>
      </c>
      <c r="C16235" s="33" t="s">
        <v>4465</v>
      </c>
      <c r="D16235" s="33" t="s">
        <v>17</v>
      </c>
      <c r="E16235" s="33" t="s">
        <v>18</v>
      </c>
      <c r="F16235" s="33" t="s">
        <v>19</v>
      </c>
      <c r="G16235" s="33" t="s">
        <v>158</v>
      </c>
      <c r="H16235" s="35">
        <v>12</v>
      </c>
      <c r="I16235" s="33" t="s">
        <v>51</v>
      </c>
      <c r="J16235" s="42">
        <v>45018</v>
      </c>
      <c r="K16235" s="33" t="s">
        <v>22</v>
      </c>
    </row>
    <row r="16236" spans="1:11">
      <c r="A16236" s="30" t="s">
        <v>36420</v>
      </c>
      <c r="B16236" s="30" t="s">
        <v>36421</v>
      </c>
      <c r="C16236" s="30" t="s">
        <v>17608</v>
      </c>
      <c r="D16236" s="30" t="s">
        <v>17</v>
      </c>
      <c r="E16236" s="30" t="s">
        <v>26</v>
      </c>
      <c r="F16236" s="30" t="s">
        <v>27</v>
      </c>
      <c r="G16236" s="30" t="s">
        <v>20</v>
      </c>
      <c r="H16236" s="32">
        <v>20</v>
      </c>
      <c r="I16236" s="30" t="s">
        <v>21</v>
      </c>
      <c r="J16236" s="41">
        <v>45112</v>
      </c>
      <c r="K16236" s="30" t="s">
        <v>22</v>
      </c>
    </row>
    <row r="16237" spans="1:11">
      <c r="A16237" s="33" t="s">
        <v>36422</v>
      </c>
      <c r="B16237" s="33" t="s">
        <v>36423</v>
      </c>
      <c r="C16237" s="33" t="s">
        <v>11899</v>
      </c>
      <c r="D16237" s="33" t="s">
        <v>17</v>
      </c>
      <c r="E16237" s="33" t="s">
        <v>26</v>
      </c>
      <c r="F16237" s="33" t="s">
        <v>27</v>
      </c>
      <c r="G16237" s="33" t="s">
        <v>140</v>
      </c>
      <c r="H16237" s="35">
        <v>240</v>
      </c>
      <c r="I16237" s="33" t="s">
        <v>51</v>
      </c>
      <c r="J16237" s="42">
        <v>45285</v>
      </c>
      <c r="K16237" s="33" t="s">
        <v>22</v>
      </c>
    </row>
    <row r="16238" spans="1:11">
      <c r="A16238" s="30" t="s">
        <v>36424</v>
      </c>
      <c r="B16238" s="30" t="s">
        <v>36425</v>
      </c>
      <c r="C16238" s="30" t="s">
        <v>203</v>
      </c>
      <c r="D16238" s="30" t="s">
        <v>17</v>
      </c>
      <c r="E16238" s="30" t="s">
        <v>31</v>
      </c>
      <c r="F16238" s="30" t="s">
        <v>32</v>
      </c>
      <c r="G16238" s="30" t="s">
        <v>20</v>
      </c>
      <c r="H16238" s="32">
        <v>86</v>
      </c>
      <c r="I16238" s="30" t="s">
        <v>21</v>
      </c>
      <c r="J16238" s="41">
        <v>45083</v>
      </c>
      <c r="K16238" s="30" t="s">
        <v>22</v>
      </c>
    </row>
    <row r="16239" spans="1:11">
      <c r="A16239" s="33" t="s">
        <v>36426</v>
      </c>
      <c r="B16239" s="33" t="s">
        <v>36427</v>
      </c>
      <c r="C16239" s="33" t="s">
        <v>1343</v>
      </c>
      <c r="D16239" s="33" t="s">
        <v>17</v>
      </c>
      <c r="E16239" s="33" t="s">
        <v>212</v>
      </c>
      <c r="F16239" s="33" t="s">
        <v>213</v>
      </c>
      <c r="G16239" s="33" t="s">
        <v>20</v>
      </c>
      <c r="H16239" s="35">
        <v>10</v>
      </c>
      <c r="I16239" s="33" t="s">
        <v>21</v>
      </c>
      <c r="J16239" s="42">
        <v>45170</v>
      </c>
      <c r="K16239" s="33" t="s">
        <v>22</v>
      </c>
    </row>
    <row r="16240" spans="1:11">
      <c r="A16240" s="30" t="s">
        <v>36428</v>
      </c>
      <c r="B16240" s="30" t="s">
        <v>36429</v>
      </c>
      <c r="C16240" s="30" t="s">
        <v>21247</v>
      </c>
      <c r="D16240" s="30" t="s">
        <v>17</v>
      </c>
      <c r="E16240" s="30" t="s">
        <v>31</v>
      </c>
      <c r="F16240" s="30" t="s">
        <v>32</v>
      </c>
      <c r="G16240" s="30" t="s">
        <v>2613</v>
      </c>
      <c r="H16240" s="32">
        <v>120</v>
      </c>
      <c r="I16240" s="30" t="s">
        <v>51</v>
      </c>
      <c r="J16240" s="41">
        <v>45078</v>
      </c>
      <c r="K16240" s="30" t="s">
        <v>22</v>
      </c>
    </row>
    <row r="16241" spans="1:11">
      <c r="A16241" s="33" t="s">
        <v>36430</v>
      </c>
      <c r="B16241" s="33" t="s">
        <v>36431</v>
      </c>
      <c r="C16241" s="33" t="s">
        <v>3001</v>
      </c>
      <c r="D16241" s="33" t="s">
        <v>17</v>
      </c>
      <c r="E16241" s="33" t="s">
        <v>26</v>
      </c>
      <c r="F16241" s="33" t="s">
        <v>27</v>
      </c>
      <c r="G16241" s="33" t="s">
        <v>50</v>
      </c>
      <c r="H16241" s="35">
        <v>177</v>
      </c>
      <c r="I16241" s="33" t="s">
        <v>51</v>
      </c>
      <c r="J16241" s="42">
        <v>44957</v>
      </c>
      <c r="K16241" s="33" t="s">
        <v>22</v>
      </c>
    </row>
    <row r="16242" spans="1:11">
      <c r="A16242" s="30" t="s">
        <v>36432</v>
      </c>
      <c r="B16242" s="30" t="s">
        <v>36433</v>
      </c>
      <c r="C16242" s="30" t="s">
        <v>15741</v>
      </c>
      <c r="D16242" s="30" t="s">
        <v>17</v>
      </c>
      <c r="E16242" s="30" t="s">
        <v>18</v>
      </c>
      <c r="F16242" s="30" t="s">
        <v>19</v>
      </c>
      <c r="G16242" s="30" t="s">
        <v>20</v>
      </c>
      <c r="H16242" s="32">
        <v>202</v>
      </c>
      <c r="I16242" s="30" t="s">
        <v>21</v>
      </c>
      <c r="J16242" s="41">
        <v>45183</v>
      </c>
      <c r="K16242" s="30" t="s">
        <v>22</v>
      </c>
    </row>
    <row r="16243" spans="1:11">
      <c r="A16243" s="33" t="s">
        <v>36434</v>
      </c>
      <c r="B16243" s="33" t="s">
        <v>36435</v>
      </c>
      <c r="C16243" s="33" t="s">
        <v>178</v>
      </c>
      <c r="D16243" s="33" t="s">
        <v>17</v>
      </c>
      <c r="E16243" s="33" t="s">
        <v>18</v>
      </c>
      <c r="F16243" s="33" t="s">
        <v>19</v>
      </c>
      <c r="G16243" s="33" t="s">
        <v>140</v>
      </c>
      <c r="H16243" s="35">
        <v>2000</v>
      </c>
      <c r="I16243" s="33" t="s">
        <v>51</v>
      </c>
      <c r="J16243" s="42">
        <v>45105</v>
      </c>
      <c r="K16243" s="33" t="s">
        <v>22</v>
      </c>
    </row>
    <row r="16244" spans="1:11">
      <c r="A16244" s="30" t="s">
        <v>36436</v>
      </c>
      <c r="B16244" s="30" t="s">
        <v>36437</v>
      </c>
      <c r="C16244" s="30" t="s">
        <v>36438</v>
      </c>
      <c r="D16244" s="30" t="s">
        <v>17</v>
      </c>
      <c r="E16244" s="30" t="s">
        <v>26</v>
      </c>
      <c r="F16244" s="30" t="s">
        <v>27</v>
      </c>
      <c r="G16244" s="30" t="s">
        <v>158</v>
      </c>
      <c r="H16244" s="32">
        <v>96</v>
      </c>
      <c r="I16244" s="30" t="s">
        <v>21</v>
      </c>
      <c r="J16244" s="41">
        <v>45184</v>
      </c>
      <c r="K16244" s="30" t="s">
        <v>22</v>
      </c>
    </row>
    <row r="16245" spans="1:11">
      <c r="A16245" s="33" t="s">
        <v>36439</v>
      </c>
      <c r="B16245" s="33" t="s">
        <v>36440</v>
      </c>
      <c r="C16245" s="33" t="s">
        <v>379</v>
      </c>
      <c r="D16245" s="33" t="s">
        <v>17</v>
      </c>
      <c r="E16245" s="33" t="s">
        <v>31</v>
      </c>
      <c r="F16245" s="33" t="s">
        <v>32</v>
      </c>
      <c r="G16245" s="33" t="s">
        <v>158</v>
      </c>
      <c r="H16245" s="35">
        <v>132</v>
      </c>
      <c r="I16245" s="33" t="s">
        <v>51</v>
      </c>
      <c r="J16245" s="42">
        <v>45117</v>
      </c>
      <c r="K16245" s="33" t="s">
        <v>22</v>
      </c>
    </row>
    <row r="16246" spans="1:11">
      <c r="A16246" s="30" t="s">
        <v>36441</v>
      </c>
      <c r="B16246" s="30" t="s">
        <v>36442</v>
      </c>
      <c r="C16246" s="30" t="s">
        <v>29805</v>
      </c>
      <c r="D16246" s="30" t="s">
        <v>17</v>
      </c>
      <c r="E16246" s="30" t="s">
        <v>26</v>
      </c>
      <c r="F16246" s="30" t="s">
        <v>27</v>
      </c>
      <c r="G16246" s="30" t="s">
        <v>20</v>
      </c>
      <c r="H16246" s="32">
        <v>14</v>
      </c>
      <c r="I16246" s="30" t="s">
        <v>21</v>
      </c>
      <c r="J16246" s="41">
        <v>45147</v>
      </c>
      <c r="K16246" s="30" t="s">
        <v>22</v>
      </c>
    </row>
    <row r="16247" spans="1:11">
      <c r="A16247" s="33" t="s">
        <v>36443</v>
      </c>
      <c r="B16247" s="33" t="s">
        <v>36444</v>
      </c>
      <c r="C16247" s="33" t="s">
        <v>17410</v>
      </c>
      <c r="D16247" s="33" t="s">
        <v>17</v>
      </c>
      <c r="E16247" s="33" t="s">
        <v>26</v>
      </c>
      <c r="F16247" s="33" t="s">
        <v>27</v>
      </c>
      <c r="G16247" s="33" t="s">
        <v>2613</v>
      </c>
      <c r="H16247" s="35">
        <v>50</v>
      </c>
      <c r="I16247" s="33" t="s">
        <v>51</v>
      </c>
      <c r="J16247" s="42">
        <v>45286</v>
      </c>
      <c r="K16247" s="33" t="s">
        <v>22</v>
      </c>
    </row>
    <row r="16248" spans="1:11">
      <c r="A16248" s="30" t="s">
        <v>36445</v>
      </c>
      <c r="B16248" s="30" t="s">
        <v>36446</v>
      </c>
      <c r="C16248" s="30" t="s">
        <v>187</v>
      </c>
      <c r="D16248" s="30" t="s">
        <v>17</v>
      </c>
      <c r="E16248" s="30" t="s">
        <v>31</v>
      </c>
      <c r="F16248" s="30" t="s">
        <v>32</v>
      </c>
      <c r="G16248" s="30" t="s">
        <v>112</v>
      </c>
      <c r="H16248" s="32">
        <v>0</v>
      </c>
      <c r="I16248" s="30" t="s">
        <v>21</v>
      </c>
      <c r="J16248" s="41">
        <v>45139</v>
      </c>
      <c r="K16248" s="30" t="s">
        <v>22</v>
      </c>
    </row>
    <row r="16249" spans="1:11">
      <c r="A16249" s="33" t="s">
        <v>36447</v>
      </c>
      <c r="B16249" s="33" t="s">
        <v>36448</v>
      </c>
      <c r="C16249" s="33" t="s">
        <v>5279</v>
      </c>
      <c r="D16249" s="33" t="s">
        <v>17</v>
      </c>
      <c r="E16249" s="33" t="s">
        <v>18</v>
      </c>
      <c r="F16249" s="33" t="s">
        <v>19</v>
      </c>
      <c r="G16249" s="33" t="s">
        <v>140</v>
      </c>
      <c r="H16249" s="35">
        <v>36</v>
      </c>
      <c r="I16249" s="33" t="s">
        <v>51</v>
      </c>
      <c r="J16249" s="42">
        <v>45125</v>
      </c>
      <c r="K16249" s="33" t="s">
        <v>22</v>
      </c>
    </row>
    <row r="16250" spans="1:11">
      <c r="A16250" s="30" t="s">
        <v>36449</v>
      </c>
      <c r="B16250" s="30" t="s">
        <v>36450</v>
      </c>
      <c r="C16250" s="30" t="s">
        <v>14816</v>
      </c>
      <c r="D16250" s="30" t="s">
        <v>17</v>
      </c>
      <c r="E16250" s="30" t="s">
        <v>67</v>
      </c>
      <c r="F16250" s="30" t="s">
        <v>68</v>
      </c>
      <c r="G16250" s="30" t="s">
        <v>140</v>
      </c>
      <c r="H16250" s="32">
        <v>146</v>
      </c>
      <c r="I16250" s="30" t="s">
        <v>51</v>
      </c>
      <c r="J16250" s="41">
        <v>45280</v>
      </c>
      <c r="K16250" s="30" t="s">
        <v>22</v>
      </c>
    </row>
    <row r="16251" spans="1:11">
      <c r="A16251" s="33" t="s">
        <v>36451</v>
      </c>
      <c r="B16251" s="33" t="s">
        <v>36452</v>
      </c>
      <c r="C16251" s="33" t="s">
        <v>28777</v>
      </c>
      <c r="D16251" s="33" t="s">
        <v>17</v>
      </c>
      <c r="E16251" s="33" t="s">
        <v>31</v>
      </c>
      <c r="F16251" s="33" t="s">
        <v>32</v>
      </c>
      <c r="G16251" s="33" t="s">
        <v>20</v>
      </c>
      <c r="H16251" s="35">
        <v>15</v>
      </c>
      <c r="I16251" s="33" t="s">
        <v>21</v>
      </c>
      <c r="J16251" s="42">
        <v>45100</v>
      </c>
      <c r="K16251" s="33" t="s">
        <v>22</v>
      </c>
    </row>
    <row r="16252" spans="1:11">
      <c r="A16252" s="30" t="s">
        <v>36453</v>
      </c>
      <c r="B16252" s="30" t="s">
        <v>36454</v>
      </c>
      <c r="C16252" s="30" t="s">
        <v>3775</v>
      </c>
      <c r="D16252" s="30" t="s">
        <v>17</v>
      </c>
      <c r="E16252" s="30" t="s">
        <v>26</v>
      </c>
      <c r="F16252" s="30" t="s">
        <v>27</v>
      </c>
      <c r="G16252" s="30" t="s">
        <v>20</v>
      </c>
      <c r="H16252" s="32">
        <v>58</v>
      </c>
      <c r="I16252" s="30" t="s">
        <v>21</v>
      </c>
      <c r="J16252" s="41">
        <v>45283</v>
      </c>
      <c r="K16252" s="30" t="s">
        <v>22</v>
      </c>
    </row>
    <row r="16253" spans="1:11">
      <c r="A16253" s="33" t="s">
        <v>36455</v>
      </c>
      <c r="B16253" s="33" t="s">
        <v>36456</v>
      </c>
      <c r="C16253" s="33" t="s">
        <v>36457</v>
      </c>
      <c r="D16253" s="33" t="s">
        <v>17</v>
      </c>
      <c r="E16253" s="33" t="s">
        <v>26</v>
      </c>
      <c r="F16253" s="33" t="s">
        <v>27</v>
      </c>
      <c r="G16253" s="33" t="s">
        <v>140</v>
      </c>
      <c r="H16253" s="35">
        <v>105</v>
      </c>
      <c r="I16253" s="33" t="s">
        <v>51</v>
      </c>
      <c r="J16253" s="42">
        <v>45176</v>
      </c>
      <c r="K16253" s="33" t="s">
        <v>22</v>
      </c>
    </row>
    <row r="16254" spans="1:11">
      <c r="A16254" s="30" t="s">
        <v>36458</v>
      </c>
      <c r="B16254" s="30" t="s">
        <v>36459</v>
      </c>
      <c r="C16254" s="30" t="s">
        <v>21185</v>
      </c>
      <c r="D16254" s="30" t="s">
        <v>17</v>
      </c>
      <c r="E16254" s="30" t="s">
        <v>26</v>
      </c>
      <c r="F16254" s="30" t="s">
        <v>27</v>
      </c>
      <c r="G16254" s="30" t="s">
        <v>20</v>
      </c>
      <c r="H16254" s="32">
        <v>153</v>
      </c>
      <c r="I16254" s="30" t="s">
        <v>21</v>
      </c>
      <c r="J16254" s="41">
        <v>45247</v>
      </c>
      <c r="K16254" s="30" t="s">
        <v>22</v>
      </c>
    </row>
    <row r="16255" spans="1:11">
      <c r="A16255" s="33" t="s">
        <v>36460</v>
      </c>
      <c r="B16255" s="33" t="s">
        <v>36461</v>
      </c>
      <c r="C16255" s="33" t="s">
        <v>17663</v>
      </c>
      <c r="D16255" s="33" t="s">
        <v>17</v>
      </c>
      <c r="E16255" s="33" t="s">
        <v>18</v>
      </c>
      <c r="F16255" s="33" t="s">
        <v>19</v>
      </c>
      <c r="G16255" s="33" t="s">
        <v>20</v>
      </c>
      <c r="H16255" s="35">
        <v>188</v>
      </c>
      <c r="I16255" s="33" t="s">
        <v>21</v>
      </c>
      <c r="J16255" s="42">
        <v>45244</v>
      </c>
      <c r="K16255" s="33" t="s">
        <v>22</v>
      </c>
    </row>
    <row r="16256" spans="1:11">
      <c r="A16256" s="30" t="s">
        <v>36462</v>
      </c>
      <c r="B16256" s="30" t="s">
        <v>36463</v>
      </c>
      <c r="C16256" s="30" t="s">
        <v>149</v>
      </c>
      <c r="D16256" s="30" t="s">
        <v>17</v>
      </c>
      <c r="E16256" s="30" t="s">
        <v>26</v>
      </c>
      <c r="F16256" s="30" t="s">
        <v>27</v>
      </c>
      <c r="G16256" s="30" t="s">
        <v>20</v>
      </c>
      <c r="H16256" s="32">
        <v>16</v>
      </c>
      <c r="I16256" s="30" t="s">
        <v>21</v>
      </c>
      <c r="J16256" s="41">
        <v>45145</v>
      </c>
      <c r="K16256" s="30" t="s">
        <v>22</v>
      </c>
    </row>
    <row r="16257" spans="1:11">
      <c r="A16257" s="33" t="s">
        <v>36464</v>
      </c>
      <c r="B16257" s="33" t="s">
        <v>36465</v>
      </c>
      <c r="C16257" s="33" t="s">
        <v>187</v>
      </c>
      <c r="D16257" s="33" t="s">
        <v>17</v>
      </c>
      <c r="E16257" s="33" t="s">
        <v>67</v>
      </c>
      <c r="F16257" s="33" t="s">
        <v>68</v>
      </c>
      <c r="G16257" s="33" t="s">
        <v>50</v>
      </c>
      <c r="H16257" s="35">
        <v>107</v>
      </c>
      <c r="I16257" s="33" t="s">
        <v>51</v>
      </c>
      <c r="J16257" s="42">
        <v>45210</v>
      </c>
      <c r="K16257" s="33" t="s">
        <v>22</v>
      </c>
    </row>
    <row r="16258" spans="1:11">
      <c r="A16258" s="30" t="s">
        <v>36466</v>
      </c>
      <c r="B16258" s="30" t="s">
        <v>36467</v>
      </c>
      <c r="C16258" s="30" t="s">
        <v>21185</v>
      </c>
      <c r="D16258" s="30" t="s">
        <v>17</v>
      </c>
      <c r="E16258" s="30" t="s">
        <v>67</v>
      </c>
      <c r="F16258" s="30" t="s">
        <v>68</v>
      </c>
      <c r="G16258" s="30" t="s">
        <v>106</v>
      </c>
      <c r="H16258" s="32">
        <v>19</v>
      </c>
      <c r="I16258" s="30" t="s">
        <v>21</v>
      </c>
      <c r="J16258" s="41">
        <v>45204</v>
      </c>
      <c r="K16258" s="30" t="s">
        <v>22</v>
      </c>
    </row>
    <row r="16259" spans="1:11">
      <c r="A16259" s="33" t="s">
        <v>36468</v>
      </c>
      <c r="B16259" s="33" t="s">
        <v>36469</v>
      </c>
      <c r="C16259" s="33" t="s">
        <v>6442</v>
      </c>
      <c r="D16259" s="33" t="s">
        <v>17</v>
      </c>
      <c r="E16259" s="33" t="s">
        <v>18</v>
      </c>
      <c r="F16259" s="33" t="s">
        <v>19</v>
      </c>
      <c r="G16259" s="33" t="s">
        <v>158</v>
      </c>
      <c r="H16259" s="35">
        <v>317</v>
      </c>
      <c r="I16259" s="33" t="s">
        <v>21</v>
      </c>
      <c r="J16259" s="42">
        <v>44927</v>
      </c>
      <c r="K16259" s="33" t="s">
        <v>22</v>
      </c>
    </row>
    <row r="16260" spans="1:11">
      <c r="A16260" s="30" t="s">
        <v>36470</v>
      </c>
      <c r="B16260" s="30" t="s">
        <v>36471</v>
      </c>
      <c r="C16260" s="30" t="s">
        <v>12569</v>
      </c>
      <c r="D16260" s="30" t="s">
        <v>17</v>
      </c>
      <c r="E16260" s="30" t="s">
        <v>26</v>
      </c>
      <c r="F16260" s="30" t="s">
        <v>27</v>
      </c>
      <c r="G16260" s="30" t="s">
        <v>20</v>
      </c>
      <c r="H16260" s="32">
        <v>55</v>
      </c>
      <c r="I16260" s="30" t="s">
        <v>21</v>
      </c>
      <c r="J16260" s="41">
        <v>45020</v>
      </c>
      <c r="K16260" s="30" t="s">
        <v>22</v>
      </c>
    </row>
    <row r="16261" spans="1:11">
      <c r="A16261" s="33" t="s">
        <v>36472</v>
      </c>
      <c r="B16261" s="33" t="s">
        <v>36473</v>
      </c>
      <c r="C16261" s="33" t="s">
        <v>787</v>
      </c>
      <c r="D16261" s="33" t="s">
        <v>17</v>
      </c>
      <c r="E16261" s="33" t="s">
        <v>26</v>
      </c>
      <c r="F16261" s="33" t="s">
        <v>27</v>
      </c>
      <c r="G16261" s="33" t="s">
        <v>140</v>
      </c>
      <c r="H16261" s="35">
        <v>191</v>
      </c>
      <c r="I16261" s="33" t="s">
        <v>51</v>
      </c>
      <c r="J16261" s="42">
        <v>44994</v>
      </c>
      <c r="K16261" s="33" t="s">
        <v>22</v>
      </c>
    </row>
    <row r="16262" spans="1:11">
      <c r="A16262" s="30" t="s">
        <v>36474</v>
      </c>
      <c r="B16262" s="30" t="s">
        <v>36475</v>
      </c>
      <c r="C16262" s="30" t="s">
        <v>5825</v>
      </c>
      <c r="D16262" s="30" t="s">
        <v>17</v>
      </c>
      <c r="E16262" s="30" t="s">
        <v>31</v>
      </c>
      <c r="F16262" s="30" t="s">
        <v>32</v>
      </c>
      <c r="G16262" s="30" t="s">
        <v>106</v>
      </c>
      <c r="H16262" s="32">
        <v>11</v>
      </c>
      <c r="I16262" s="30" t="s">
        <v>21</v>
      </c>
      <c r="J16262" s="41">
        <v>45260</v>
      </c>
      <c r="K16262" s="30" t="s">
        <v>22</v>
      </c>
    </row>
    <row r="16263" spans="1:11">
      <c r="A16263" s="33" t="s">
        <v>36476</v>
      </c>
      <c r="B16263" s="33" t="s">
        <v>36477</v>
      </c>
      <c r="C16263" s="33" t="s">
        <v>34327</v>
      </c>
      <c r="D16263" s="33" t="s">
        <v>17</v>
      </c>
      <c r="E16263" s="33" t="s">
        <v>67</v>
      </c>
      <c r="F16263" s="33" t="s">
        <v>68</v>
      </c>
      <c r="G16263" s="33" t="s">
        <v>20</v>
      </c>
      <c r="H16263" s="35">
        <v>60</v>
      </c>
      <c r="I16263" s="33" t="s">
        <v>21</v>
      </c>
      <c r="J16263" s="42">
        <v>45124</v>
      </c>
      <c r="K16263" s="33" t="s">
        <v>22</v>
      </c>
    </row>
    <row r="16264" spans="1:11">
      <c r="A16264" s="30" t="s">
        <v>36478</v>
      </c>
      <c r="B16264" s="30" t="s">
        <v>36479</v>
      </c>
      <c r="C16264" s="30" t="s">
        <v>12783</v>
      </c>
      <c r="D16264" s="30" t="s">
        <v>17</v>
      </c>
      <c r="E16264" s="30" t="s">
        <v>45</v>
      </c>
      <c r="F16264" s="30" t="s">
        <v>46</v>
      </c>
      <c r="G16264" s="30" t="s">
        <v>106</v>
      </c>
      <c r="H16264" s="32">
        <v>214</v>
      </c>
      <c r="I16264" s="30" t="s">
        <v>21</v>
      </c>
      <c r="J16264" s="41">
        <v>45139</v>
      </c>
      <c r="K16264" s="30" t="s">
        <v>22</v>
      </c>
    </row>
    <row r="16265" spans="1:11">
      <c r="A16265" s="33" t="s">
        <v>36480</v>
      </c>
      <c r="B16265" s="33" t="s">
        <v>36481</v>
      </c>
      <c r="C16265" s="33" t="s">
        <v>9577</v>
      </c>
      <c r="D16265" s="33" t="s">
        <v>17</v>
      </c>
      <c r="E16265" s="33" t="s">
        <v>31</v>
      </c>
      <c r="F16265" s="33" t="s">
        <v>32</v>
      </c>
      <c r="G16265" s="33" t="s">
        <v>140</v>
      </c>
      <c r="H16265" s="35">
        <v>10</v>
      </c>
      <c r="I16265" s="33" t="s">
        <v>51</v>
      </c>
      <c r="J16265" s="42">
        <v>45230</v>
      </c>
      <c r="K16265" s="33" t="s">
        <v>22</v>
      </c>
    </row>
    <row r="16266" spans="1:11">
      <c r="A16266" s="30" t="s">
        <v>36482</v>
      </c>
      <c r="B16266" s="30" t="s">
        <v>36483</v>
      </c>
      <c r="C16266" s="30" t="s">
        <v>22762</v>
      </c>
      <c r="D16266" s="30" t="s">
        <v>17</v>
      </c>
      <c r="E16266" s="30" t="s">
        <v>31</v>
      </c>
      <c r="F16266" s="30" t="s">
        <v>32</v>
      </c>
      <c r="G16266" s="30" t="s">
        <v>20</v>
      </c>
      <c r="H16266" s="32">
        <v>64</v>
      </c>
      <c r="I16266" s="30" t="s">
        <v>21</v>
      </c>
      <c r="J16266" s="41">
        <v>45180</v>
      </c>
      <c r="K16266" s="30" t="s">
        <v>22</v>
      </c>
    </row>
    <row r="16267" spans="1:11">
      <c r="A16267" s="33" t="s">
        <v>36484</v>
      </c>
      <c r="B16267" s="33" t="s">
        <v>36485</v>
      </c>
      <c r="C16267" s="33" t="s">
        <v>647</v>
      </c>
      <c r="D16267" s="33" t="s">
        <v>17</v>
      </c>
      <c r="E16267" s="33" t="s">
        <v>26</v>
      </c>
      <c r="F16267" s="33" t="s">
        <v>27</v>
      </c>
      <c r="G16267" s="33" t="s">
        <v>20</v>
      </c>
      <c r="H16267" s="35">
        <v>8</v>
      </c>
      <c r="I16267" s="33" t="s">
        <v>21</v>
      </c>
      <c r="J16267" s="42">
        <v>44995</v>
      </c>
      <c r="K16267" s="33" t="s">
        <v>22</v>
      </c>
    </row>
    <row r="16268" spans="1:11">
      <c r="A16268" s="30" t="s">
        <v>36486</v>
      </c>
      <c r="B16268" s="30" t="s">
        <v>36487</v>
      </c>
      <c r="C16268" s="30" t="s">
        <v>75</v>
      </c>
      <c r="D16268" s="30" t="s">
        <v>17</v>
      </c>
      <c r="E16268" s="30" t="s">
        <v>26</v>
      </c>
      <c r="F16268" s="30" t="s">
        <v>27</v>
      </c>
      <c r="G16268" s="30" t="s">
        <v>20</v>
      </c>
      <c r="H16268" s="32">
        <v>8</v>
      </c>
      <c r="I16268" s="30" t="s">
        <v>21</v>
      </c>
      <c r="J16268" s="41">
        <v>45155</v>
      </c>
      <c r="K16268" s="30" t="s">
        <v>22</v>
      </c>
    </row>
    <row r="16269" spans="1:11">
      <c r="A16269" s="33" t="s">
        <v>36488</v>
      </c>
      <c r="B16269" s="33" t="s">
        <v>36489</v>
      </c>
      <c r="C16269" s="33" t="s">
        <v>1598</v>
      </c>
      <c r="D16269" s="33" t="s">
        <v>17</v>
      </c>
      <c r="E16269" s="33" t="s">
        <v>26</v>
      </c>
      <c r="F16269" s="33" t="s">
        <v>27</v>
      </c>
      <c r="G16269" s="33" t="s">
        <v>20</v>
      </c>
      <c r="H16269" s="35">
        <v>53</v>
      </c>
      <c r="I16269" s="33" t="s">
        <v>21</v>
      </c>
      <c r="J16269" s="42">
        <v>45229</v>
      </c>
      <c r="K16269" s="33" t="s">
        <v>22</v>
      </c>
    </row>
    <row r="16270" spans="1:11">
      <c r="A16270" s="30" t="s">
        <v>36490</v>
      </c>
      <c r="B16270" s="30" t="s">
        <v>36491</v>
      </c>
      <c r="C16270" s="30" t="s">
        <v>36492</v>
      </c>
      <c r="D16270" s="30" t="s">
        <v>17</v>
      </c>
      <c r="E16270" s="30" t="s">
        <v>26</v>
      </c>
      <c r="F16270" s="30" t="s">
        <v>27</v>
      </c>
      <c r="G16270" s="30" t="s">
        <v>7780</v>
      </c>
      <c r="H16270" s="32">
        <v>94</v>
      </c>
      <c r="I16270" s="30" t="s">
        <v>51</v>
      </c>
      <c r="J16270" s="41">
        <v>45261</v>
      </c>
      <c r="K16270" s="30" t="s">
        <v>22</v>
      </c>
    </row>
    <row r="16271" spans="1:11">
      <c r="A16271" s="33" t="s">
        <v>36493</v>
      </c>
      <c r="B16271" s="33" t="s">
        <v>36494</v>
      </c>
      <c r="C16271" s="33" t="s">
        <v>36495</v>
      </c>
      <c r="D16271" s="33" t="s">
        <v>17</v>
      </c>
      <c r="E16271" s="33" t="s">
        <v>26</v>
      </c>
      <c r="F16271" s="33" t="s">
        <v>27</v>
      </c>
      <c r="G16271" s="33" t="s">
        <v>50</v>
      </c>
      <c r="H16271" s="35">
        <v>30</v>
      </c>
      <c r="I16271" s="33" t="s">
        <v>21</v>
      </c>
      <c r="J16271" s="42">
        <v>44974</v>
      </c>
      <c r="K16271" s="33" t="s">
        <v>22</v>
      </c>
    </row>
    <row r="16272" spans="1:11">
      <c r="A16272" s="30" t="s">
        <v>36496</v>
      </c>
      <c r="B16272" s="30" t="s">
        <v>36497</v>
      </c>
      <c r="C16272" s="30" t="s">
        <v>5246</v>
      </c>
      <c r="D16272" s="30" t="s">
        <v>17</v>
      </c>
      <c r="E16272" s="30" t="s">
        <v>26</v>
      </c>
      <c r="F16272" s="30" t="s">
        <v>27</v>
      </c>
      <c r="G16272" s="30" t="s">
        <v>20</v>
      </c>
      <c r="H16272" s="32">
        <v>68</v>
      </c>
      <c r="I16272" s="30" t="s">
        <v>21</v>
      </c>
      <c r="J16272" s="41">
        <v>45064</v>
      </c>
      <c r="K16272" s="30" t="s">
        <v>22</v>
      </c>
    </row>
    <row r="16273" spans="1:11">
      <c r="A16273" s="33" t="s">
        <v>36498</v>
      </c>
      <c r="B16273" s="33" t="s">
        <v>36499</v>
      </c>
      <c r="C16273" s="33" t="s">
        <v>36500</v>
      </c>
      <c r="D16273" s="33" t="s">
        <v>17</v>
      </c>
      <c r="E16273" s="33" t="s">
        <v>26</v>
      </c>
      <c r="F16273" s="33" t="s">
        <v>27</v>
      </c>
      <c r="G16273" s="33" t="s">
        <v>50</v>
      </c>
      <c r="H16273" s="35">
        <v>30</v>
      </c>
      <c r="I16273" s="33" t="s">
        <v>51</v>
      </c>
      <c r="J16273" s="42">
        <v>45224</v>
      </c>
      <c r="K16273" s="33" t="s">
        <v>22</v>
      </c>
    </row>
    <row r="16274" spans="1:11">
      <c r="A16274" s="30" t="s">
        <v>36501</v>
      </c>
      <c r="B16274" s="30" t="s">
        <v>36502</v>
      </c>
      <c r="C16274" s="30" t="s">
        <v>149</v>
      </c>
      <c r="D16274" s="30" t="s">
        <v>17</v>
      </c>
      <c r="E16274" s="30" t="s">
        <v>18</v>
      </c>
      <c r="F16274" s="30" t="s">
        <v>19</v>
      </c>
      <c r="G16274" s="30" t="s">
        <v>20</v>
      </c>
      <c r="H16274" s="32">
        <v>317</v>
      </c>
      <c r="I16274" s="30" t="s">
        <v>21</v>
      </c>
      <c r="J16274" s="41">
        <v>45167</v>
      </c>
      <c r="K16274" s="30" t="s">
        <v>22</v>
      </c>
    </row>
    <row r="16275" spans="1:11">
      <c r="A16275" s="33" t="s">
        <v>36503</v>
      </c>
      <c r="B16275" s="33" t="s">
        <v>36504</v>
      </c>
      <c r="C16275" s="33" t="s">
        <v>190</v>
      </c>
      <c r="D16275" s="33" t="s">
        <v>17</v>
      </c>
      <c r="E16275" s="33" t="s">
        <v>26</v>
      </c>
      <c r="F16275" s="33" t="s">
        <v>27</v>
      </c>
      <c r="G16275" s="33" t="s">
        <v>20</v>
      </c>
      <c r="H16275" s="35">
        <v>95</v>
      </c>
      <c r="I16275" s="33" t="s">
        <v>21</v>
      </c>
      <c r="J16275" s="42">
        <v>45237</v>
      </c>
      <c r="K16275" s="33" t="s">
        <v>22</v>
      </c>
    </row>
    <row r="16276" spans="1:11">
      <c r="A16276" s="30" t="s">
        <v>36505</v>
      </c>
      <c r="B16276" s="30" t="s">
        <v>36506</v>
      </c>
      <c r="C16276" s="30" t="s">
        <v>222</v>
      </c>
      <c r="D16276" s="30" t="s">
        <v>17</v>
      </c>
      <c r="E16276" s="30" t="s">
        <v>26</v>
      </c>
      <c r="F16276" s="30" t="s">
        <v>27</v>
      </c>
      <c r="G16276" s="30" t="s">
        <v>140</v>
      </c>
      <c r="H16276" s="32">
        <v>108</v>
      </c>
      <c r="I16276" s="30" t="s">
        <v>51</v>
      </c>
      <c r="J16276" s="41">
        <v>45076</v>
      </c>
      <c r="K16276" s="30" t="s">
        <v>22</v>
      </c>
    </row>
    <row r="16277" spans="1:11">
      <c r="A16277" s="33" t="s">
        <v>36507</v>
      </c>
      <c r="B16277" s="33" t="s">
        <v>36508</v>
      </c>
      <c r="C16277" s="33" t="s">
        <v>178</v>
      </c>
      <c r="D16277" s="33" t="s">
        <v>17</v>
      </c>
      <c r="E16277" s="33" t="s">
        <v>67</v>
      </c>
      <c r="F16277" s="33" t="s">
        <v>68</v>
      </c>
      <c r="G16277" s="33" t="s">
        <v>20</v>
      </c>
      <c r="H16277" s="35">
        <v>12</v>
      </c>
      <c r="I16277" s="33" t="s">
        <v>21</v>
      </c>
      <c r="J16277" s="42">
        <v>45028</v>
      </c>
      <c r="K16277" s="33" t="s">
        <v>22</v>
      </c>
    </row>
    <row r="16278" spans="1:11">
      <c r="A16278" s="30" t="s">
        <v>36509</v>
      </c>
      <c r="B16278" s="30" t="s">
        <v>36510</v>
      </c>
      <c r="C16278" s="30" t="s">
        <v>178</v>
      </c>
      <c r="D16278" s="30" t="s">
        <v>17</v>
      </c>
      <c r="E16278" s="30" t="s">
        <v>31</v>
      </c>
      <c r="F16278" s="30" t="s">
        <v>32</v>
      </c>
      <c r="G16278" s="30" t="s">
        <v>158</v>
      </c>
      <c r="H16278" s="32">
        <v>301</v>
      </c>
      <c r="I16278" s="30" t="s">
        <v>21</v>
      </c>
      <c r="J16278" s="41">
        <v>44960</v>
      </c>
      <c r="K16278" s="30" t="s">
        <v>22</v>
      </c>
    </row>
    <row r="16279" spans="1:11">
      <c r="A16279" s="33" t="s">
        <v>36511</v>
      </c>
      <c r="B16279" s="33" t="s">
        <v>36512</v>
      </c>
      <c r="C16279" s="33" t="s">
        <v>36513</v>
      </c>
      <c r="D16279" s="33" t="s">
        <v>17</v>
      </c>
      <c r="E16279" s="33" t="s">
        <v>26</v>
      </c>
      <c r="F16279" s="33" t="s">
        <v>27</v>
      </c>
      <c r="G16279" s="33" t="s">
        <v>20</v>
      </c>
      <c r="H16279" s="35">
        <v>48</v>
      </c>
      <c r="I16279" s="33" t="s">
        <v>21</v>
      </c>
      <c r="J16279" s="42">
        <v>45097</v>
      </c>
      <c r="K16279" s="33" t="s">
        <v>22</v>
      </c>
    </row>
    <row r="16280" spans="1:11">
      <c r="A16280" s="30" t="s">
        <v>36514</v>
      </c>
      <c r="B16280" s="30" t="s">
        <v>36515</v>
      </c>
      <c r="C16280" s="30" t="s">
        <v>93</v>
      </c>
      <c r="D16280" s="30" t="s">
        <v>17</v>
      </c>
      <c r="E16280" s="30" t="s">
        <v>26</v>
      </c>
      <c r="F16280" s="30" t="s">
        <v>27</v>
      </c>
      <c r="G16280" s="30" t="s">
        <v>20</v>
      </c>
      <c r="H16280" s="32">
        <v>24</v>
      </c>
      <c r="I16280" s="30" t="s">
        <v>21</v>
      </c>
      <c r="J16280" s="41">
        <v>45100</v>
      </c>
      <c r="K16280" s="30" t="s">
        <v>22</v>
      </c>
    </row>
    <row r="16281" spans="1:11">
      <c r="A16281" s="33" t="s">
        <v>36516</v>
      </c>
      <c r="B16281" s="33" t="s">
        <v>36517</v>
      </c>
      <c r="C16281" s="33" t="s">
        <v>2313</v>
      </c>
      <c r="D16281" s="33" t="s">
        <v>17</v>
      </c>
      <c r="E16281" s="33" t="s">
        <v>26</v>
      </c>
      <c r="F16281" s="33" t="s">
        <v>27</v>
      </c>
      <c r="G16281" s="33" t="s">
        <v>20</v>
      </c>
      <c r="H16281" s="35">
        <v>102</v>
      </c>
      <c r="I16281" s="33" t="s">
        <v>21</v>
      </c>
      <c r="J16281" s="42">
        <v>45201</v>
      </c>
      <c r="K16281" s="33" t="s">
        <v>22</v>
      </c>
    </row>
    <row r="16282" spans="1:11">
      <c r="A16282" s="30" t="s">
        <v>36518</v>
      </c>
      <c r="B16282" s="30" t="s">
        <v>36519</v>
      </c>
      <c r="C16282" s="30" t="s">
        <v>149</v>
      </c>
      <c r="D16282" s="30" t="s">
        <v>17</v>
      </c>
      <c r="E16282" s="30" t="s">
        <v>18</v>
      </c>
      <c r="F16282" s="30" t="s">
        <v>19</v>
      </c>
      <c r="G16282" s="30" t="s">
        <v>158</v>
      </c>
      <c r="H16282" s="32">
        <v>213</v>
      </c>
      <c r="I16282" s="30" t="s">
        <v>21</v>
      </c>
      <c r="J16282" s="41">
        <v>45041</v>
      </c>
      <c r="K16282" s="30" t="s">
        <v>22</v>
      </c>
    </row>
    <row r="16283" spans="1:11">
      <c r="A16283" s="33" t="s">
        <v>36520</v>
      </c>
      <c r="B16283" s="33" t="s">
        <v>36521</v>
      </c>
      <c r="C16283" s="33" t="s">
        <v>9958</v>
      </c>
      <c r="D16283" s="33" t="s">
        <v>17</v>
      </c>
      <c r="E16283" s="33" t="s">
        <v>67</v>
      </c>
      <c r="F16283" s="33" t="s">
        <v>68</v>
      </c>
      <c r="G16283" s="33" t="s">
        <v>7780</v>
      </c>
      <c r="H16283" s="35">
        <v>48</v>
      </c>
      <c r="I16283" s="33" t="s">
        <v>51</v>
      </c>
      <c r="J16283" s="42">
        <v>44949</v>
      </c>
      <c r="K16283" s="33" t="s">
        <v>22</v>
      </c>
    </row>
    <row r="16284" spans="1:11">
      <c r="A16284" s="30" t="s">
        <v>36522</v>
      </c>
      <c r="B16284" s="30" t="s">
        <v>36523</v>
      </c>
      <c r="C16284" s="30" t="s">
        <v>6248</v>
      </c>
      <c r="D16284" s="30" t="s">
        <v>17</v>
      </c>
      <c r="E16284" s="30" t="s">
        <v>26</v>
      </c>
      <c r="F16284" s="30" t="s">
        <v>27</v>
      </c>
      <c r="G16284" s="30" t="s">
        <v>20</v>
      </c>
      <c r="H16284" s="32">
        <v>44</v>
      </c>
      <c r="I16284" s="30" t="s">
        <v>21</v>
      </c>
      <c r="J16284" s="41">
        <v>45061</v>
      </c>
      <c r="K16284" s="30" t="s">
        <v>22</v>
      </c>
    </row>
    <row r="16285" spans="1:11">
      <c r="A16285" s="33" t="s">
        <v>36524</v>
      </c>
      <c r="B16285" s="33" t="s">
        <v>36525</v>
      </c>
      <c r="C16285" s="33" t="s">
        <v>234</v>
      </c>
      <c r="D16285" s="33" t="s">
        <v>17</v>
      </c>
      <c r="E16285" s="33" t="s">
        <v>26</v>
      </c>
      <c r="F16285" s="33" t="s">
        <v>27</v>
      </c>
      <c r="G16285" s="33" t="s">
        <v>158</v>
      </c>
      <c r="H16285" s="35">
        <v>51</v>
      </c>
      <c r="I16285" s="33" t="s">
        <v>51</v>
      </c>
      <c r="J16285" s="42">
        <v>45013</v>
      </c>
      <c r="K16285" s="33" t="s">
        <v>22</v>
      </c>
    </row>
    <row r="16286" spans="1:11">
      <c r="A16286" s="30" t="s">
        <v>36526</v>
      </c>
      <c r="B16286" s="30" t="s">
        <v>36527</v>
      </c>
      <c r="C16286" s="30" t="s">
        <v>8222</v>
      </c>
      <c r="D16286" s="30" t="s">
        <v>17</v>
      </c>
      <c r="E16286" s="30" t="s">
        <v>18</v>
      </c>
      <c r="F16286" s="30" t="s">
        <v>19</v>
      </c>
      <c r="G16286" s="30" t="s">
        <v>7780</v>
      </c>
      <c r="H16286" s="32">
        <v>312</v>
      </c>
      <c r="I16286" s="30" t="s">
        <v>51</v>
      </c>
      <c r="J16286" s="41">
        <v>45092</v>
      </c>
      <c r="K16286" s="30" t="s">
        <v>22</v>
      </c>
    </row>
    <row r="16287" spans="1:11">
      <c r="A16287" s="33" t="s">
        <v>36528</v>
      </c>
      <c r="B16287" s="33" t="s">
        <v>36529</v>
      </c>
      <c r="C16287" s="33" t="s">
        <v>32473</v>
      </c>
      <c r="D16287" s="33" t="s">
        <v>17</v>
      </c>
      <c r="E16287" s="33" t="s">
        <v>18</v>
      </c>
      <c r="F16287" s="33" t="s">
        <v>19</v>
      </c>
      <c r="G16287" s="33" t="s">
        <v>50</v>
      </c>
      <c r="H16287" s="35">
        <v>494</v>
      </c>
      <c r="I16287" s="33" t="s">
        <v>51</v>
      </c>
      <c r="J16287" s="42">
        <v>45201</v>
      </c>
      <c r="K16287" s="33" t="s">
        <v>22</v>
      </c>
    </row>
    <row r="16288" spans="1:11">
      <c r="A16288" s="30" t="s">
        <v>36530</v>
      </c>
      <c r="B16288" s="30" t="s">
        <v>36531</v>
      </c>
      <c r="C16288" s="30" t="s">
        <v>25632</v>
      </c>
      <c r="D16288" s="30" t="s">
        <v>17</v>
      </c>
      <c r="E16288" s="30" t="s">
        <v>26</v>
      </c>
      <c r="F16288" s="30" t="s">
        <v>27</v>
      </c>
      <c r="G16288" s="30" t="s">
        <v>158</v>
      </c>
      <c r="H16288" s="32">
        <v>12</v>
      </c>
      <c r="I16288" s="30" t="s">
        <v>51</v>
      </c>
      <c r="J16288" s="41">
        <v>45012</v>
      </c>
      <c r="K16288" s="30" t="s">
        <v>22</v>
      </c>
    </row>
    <row r="16289" spans="1:11">
      <c r="A16289" s="33" t="s">
        <v>36532</v>
      </c>
      <c r="B16289" s="33" t="s">
        <v>36533</v>
      </c>
      <c r="C16289" s="33" t="s">
        <v>19649</v>
      </c>
      <c r="D16289" s="33" t="s">
        <v>17</v>
      </c>
      <c r="E16289" s="33" t="s">
        <v>26</v>
      </c>
      <c r="F16289" s="33" t="s">
        <v>27</v>
      </c>
      <c r="G16289" s="33" t="s">
        <v>106</v>
      </c>
      <c r="H16289" s="35">
        <v>2</v>
      </c>
      <c r="I16289" s="33" t="s">
        <v>21</v>
      </c>
      <c r="J16289" s="42">
        <v>44952</v>
      </c>
      <c r="K16289" s="33" t="s">
        <v>22</v>
      </c>
    </row>
    <row r="16290" spans="1:11">
      <c r="A16290" s="30" t="s">
        <v>36534</v>
      </c>
      <c r="B16290" s="30" t="s">
        <v>36535</v>
      </c>
      <c r="C16290" s="30" t="s">
        <v>3315</v>
      </c>
      <c r="D16290" s="30" t="s">
        <v>17</v>
      </c>
      <c r="E16290" s="30" t="s">
        <v>67</v>
      </c>
      <c r="F16290" s="30" t="s">
        <v>68</v>
      </c>
      <c r="G16290" s="30" t="s">
        <v>158</v>
      </c>
      <c r="H16290" s="32">
        <v>132</v>
      </c>
      <c r="I16290" s="30" t="s">
        <v>51</v>
      </c>
      <c r="J16290" s="41">
        <v>44935</v>
      </c>
      <c r="K16290" s="30" t="s">
        <v>22</v>
      </c>
    </row>
    <row r="16291" spans="1:11">
      <c r="A16291" s="33" t="s">
        <v>36536</v>
      </c>
      <c r="B16291" s="33" t="s">
        <v>36537</v>
      </c>
      <c r="C16291" s="33" t="s">
        <v>36538</v>
      </c>
      <c r="D16291" s="33" t="s">
        <v>17</v>
      </c>
      <c r="E16291" s="33" t="s">
        <v>26</v>
      </c>
      <c r="F16291" s="33" t="s">
        <v>27</v>
      </c>
      <c r="G16291" s="33" t="s">
        <v>2613</v>
      </c>
      <c r="H16291" s="35">
        <v>59</v>
      </c>
      <c r="I16291" s="33" t="s">
        <v>51</v>
      </c>
      <c r="J16291" s="42">
        <v>45182</v>
      </c>
      <c r="K16291" s="33" t="s">
        <v>22</v>
      </c>
    </row>
    <row r="16292" spans="1:11">
      <c r="A16292" s="30" t="s">
        <v>36539</v>
      </c>
      <c r="B16292" s="30" t="s">
        <v>36540</v>
      </c>
      <c r="C16292" s="30" t="s">
        <v>20075</v>
      </c>
      <c r="D16292" s="30" t="s">
        <v>17</v>
      </c>
      <c r="E16292" s="30" t="s">
        <v>26</v>
      </c>
      <c r="F16292" s="30" t="s">
        <v>27</v>
      </c>
      <c r="G16292" s="30" t="s">
        <v>20</v>
      </c>
      <c r="H16292" s="32">
        <v>7</v>
      </c>
      <c r="I16292" s="30" t="s">
        <v>21</v>
      </c>
      <c r="J16292" s="41">
        <v>45112</v>
      </c>
      <c r="K16292" s="30" t="s">
        <v>22</v>
      </c>
    </row>
    <row r="16293" spans="1:11">
      <c r="A16293" s="33" t="s">
        <v>36541</v>
      </c>
      <c r="B16293" s="33" t="s">
        <v>36542</v>
      </c>
      <c r="C16293" s="33" t="s">
        <v>21474</v>
      </c>
      <c r="D16293" s="33" t="s">
        <v>17</v>
      </c>
      <c r="E16293" s="33" t="s">
        <v>67</v>
      </c>
      <c r="F16293" s="33" t="s">
        <v>68</v>
      </c>
      <c r="G16293" s="33" t="s">
        <v>140</v>
      </c>
      <c r="H16293" s="35">
        <v>225</v>
      </c>
      <c r="I16293" s="33" t="s">
        <v>51</v>
      </c>
      <c r="J16293" s="42">
        <v>45072</v>
      </c>
      <c r="K16293" s="33" t="s">
        <v>22</v>
      </c>
    </row>
    <row r="16294" spans="1:11">
      <c r="A16294" s="30" t="s">
        <v>36543</v>
      </c>
      <c r="B16294" s="30" t="s">
        <v>36544</v>
      </c>
      <c r="C16294" s="30" t="s">
        <v>5246</v>
      </c>
      <c r="D16294" s="30" t="s">
        <v>17</v>
      </c>
      <c r="E16294" s="30" t="s">
        <v>26</v>
      </c>
      <c r="F16294" s="30" t="s">
        <v>27</v>
      </c>
      <c r="G16294" s="30" t="s">
        <v>20</v>
      </c>
      <c r="H16294" s="32">
        <v>32</v>
      </c>
      <c r="I16294" s="30" t="s">
        <v>21</v>
      </c>
      <c r="J16294" s="41">
        <v>45253</v>
      </c>
      <c r="K16294" s="30" t="s">
        <v>22</v>
      </c>
    </row>
    <row r="16295" spans="1:11">
      <c r="A16295" s="33" t="s">
        <v>36545</v>
      </c>
      <c r="B16295" s="33" t="s">
        <v>36546</v>
      </c>
      <c r="C16295" s="33" t="s">
        <v>36547</v>
      </c>
      <c r="D16295" s="33" t="s">
        <v>17</v>
      </c>
      <c r="E16295" s="33" t="s">
        <v>26</v>
      </c>
      <c r="F16295" s="33" t="s">
        <v>27</v>
      </c>
      <c r="G16295" s="33" t="s">
        <v>50</v>
      </c>
      <c r="H16295" s="35">
        <v>56</v>
      </c>
      <c r="I16295" s="33" t="s">
        <v>51</v>
      </c>
      <c r="J16295" s="42">
        <v>45075</v>
      </c>
      <c r="K16295" s="33" t="s">
        <v>22</v>
      </c>
    </row>
    <row r="16296" spans="1:11">
      <c r="A16296" s="30" t="s">
        <v>36548</v>
      </c>
      <c r="B16296" s="30" t="s">
        <v>36549</v>
      </c>
      <c r="C16296" s="30" t="s">
        <v>801</v>
      </c>
      <c r="D16296" s="30" t="s">
        <v>17</v>
      </c>
      <c r="E16296" s="30" t="s">
        <v>212</v>
      </c>
      <c r="F16296" s="30" t="s">
        <v>213</v>
      </c>
      <c r="G16296" s="30" t="s">
        <v>106</v>
      </c>
      <c r="H16296" s="32">
        <v>1</v>
      </c>
      <c r="I16296" s="30" t="s">
        <v>21</v>
      </c>
      <c r="J16296" s="41">
        <v>44949</v>
      </c>
      <c r="K16296" s="30" t="s">
        <v>22</v>
      </c>
    </row>
    <row r="16297" spans="1:11">
      <c r="A16297" s="33" t="s">
        <v>36550</v>
      </c>
      <c r="B16297" s="33" t="s">
        <v>36551</v>
      </c>
      <c r="C16297" s="33" t="s">
        <v>647</v>
      </c>
      <c r="D16297" s="33" t="s">
        <v>17</v>
      </c>
      <c r="E16297" s="33" t="s">
        <v>26</v>
      </c>
      <c r="F16297" s="33" t="s">
        <v>27</v>
      </c>
      <c r="G16297" s="33" t="s">
        <v>20</v>
      </c>
      <c r="H16297" s="35">
        <v>36</v>
      </c>
      <c r="I16297" s="33" t="s">
        <v>21</v>
      </c>
      <c r="J16297" s="42">
        <v>44986</v>
      </c>
      <c r="K16297" s="33" t="s">
        <v>22</v>
      </c>
    </row>
    <row r="16298" spans="1:11">
      <c r="A16298" s="30" t="s">
        <v>36552</v>
      </c>
      <c r="B16298" s="30" t="s">
        <v>36553</v>
      </c>
      <c r="C16298" s="30" t="s">
        <v>7094</v>
      </c>
      <c r="D16298" s="30" t="s">
        <v>17</v>
      </c>
      <c r="E16298" s="30" t="s">
        <v>18</v>
      </c>
      <c r="F16298" s="30" t="s">
        <v>19</v>
      </c>
      <c r="G16298" s="30" t="s">
        <v>140</v>
      </c>
      <c r="H16298" s="32">
        <v>136</v>
      </c>
      <c r="I16298" s="30" t="s">
        <v>51</v>
      </c>
      <c r="J16298" s="41">
        <v>45061</v>
      </c>
      <c r="K16298" s="30" t="s">
        <v>22</v>
      </c>
    </row>
    <row r="16299" spans="1:11">
      <c r="A16299" s="33" t="s">
        <v>36554</v>
      </c>
      <c r="B16299" s="33" t="s">
        <v>36555</v>
      </c>
      <c r="C16299" s="33" t="s">
        <v>925</v>
      </c>
      <c r="D16299" s="33" t="s">
        <v>17</v>
      </c>
      <c r="E16299" s="33" t="s">
        <v>26</v>
      </c>
      <c r="F16299" s="33" t="s">
        <v>27</v>
      </c>
      <c r="G16299" s="33" t="s">
        <v>20</v>
      </c>
      <c r="H16299" s="35">
        <v>41</v>
      </c>
      <c r="I16299" s="33" t="s">
        <v>21</v>
      </c>
      <c r="J16299" s="42">
        <v>45000</v>
      </c>
      <c r="K16299" s="33" t="s">
        <v>22</v>
      </c>
    </row>
    <row r="16300" spans="1:11">
      <c r="A16300" s="30" t="s">
        <v>36556</v>
      </c>
      <c r="B16300" s="30" t="s">
        <v>36557</v>
      </c>
      <c r="C16300" s="30" t="s">
        <v>1391</v>
      </c>
      <c r="D16300" s="30" t="s">
        <v>17</v>
      </c>
      <c r="E16300" s="30" t="s">
        <v>18</v>
      </c>
      <c r="F16300" s="30" t="s">
        <v>19</v>
      </c>
      <c r="G16300" s="30" t="s">
        <v>20</v>
      </c>
      <c r="H16300" s="32">
        <v>400</v>
      </c>
      <c r="I16300" s="30" t="s">
        <v>21</v>
      </c>
      <c r="J16300" s="41">
        <v>45154</v>
      </c>
      <c r="K16300" s="30" t="s">
        <v>22</v>
      </c>
    </row>
    <row r="16301" spans="1:11">
      <c r="A16301" s="33" t="s">
        <v>36558</v>
      </c>
      <c r="B16301" s="33" t="s">
        <v>36559</v>
      </c>
      <c r="C16301" s="33" t="s">
        <v>96</v>
      </c>
      <c r="D16301" s="33" t="s">
        <v>17</v>
      </c>
      <c r="E16301" s="33" t="s">
        <v>26</v>
      </c>
      <c r="F16301" s="33" t="s">
        <v>27</v>
      </c>
      <c r="G16301" s="33" t="s">
        <v>20</v>
      </c>
      <c r="H16301" s="35">
        <v>26</v>
      </c>
      <c r="I16301" s="33" t="s">
        <v>21</v>
      </c>
      <c r="J16301" s="42">
        <v>45168</v>
      </c>
      <c r="K16301" s="33" t="s">
        <v>22</v>
      </c>
    </row>
    <row r="16302" spans="1:11">
      <c r="A16302" s="30" t="s">
        <v>36560</v>
      </c>
      <c r="B16302" s="30" t="s">
        <v>36561</v>
      </c>
      <c r="C16302" s="30" t="s">
        <v>13009</v>
      </c>
      <c r="D16302" s="30" t="s">
        <v>17</v>
      </c>
      <c r="E16302" s="30" t="s">
        <v>31</v>
      </c>
      <c r="F16302" s="30" t="s">
        <v>32</v>
      </c>
      <c r="G16302" s="30" t="s">
        <v>106</v>
      </c>
      <c r="H16302" s="32">
        <v>3</v>
      </c>
      <c r="I16302" s="30" t="s">
        <v>21</v>
      </c>
      <c r="J16302" s="41">
        <v>44973</v>
      </c>
      <c r="K16302" s="30" t="s">
        <v>22</v>
      </c>
    </row>
    <row r="16303" spans="1:11">
      <c r="A16303" s="33" t="s">
        <v>36562</v>
      </c>
      <c r="B16303" s="33" t="s">
        <v>22049</v>
      </c>
      <c r="C16303" s="33" t="s">
        <v>1090</v>
      </c>
      <c r="D16303" s="33" t="s">
        <v>17</v>
      </c>
      <c r="E16303" s="33" t="s">
        <v>45</v>
      </c>
      <c r="F16303" s="33" t="s">
        <v>46</v>
      </c>
      <c r="G16303" s="33" t="s">
        <v>140</v>
      </c>
      <c r="H16303" s="35">
        <v>600</v>
      </c>
      <c r="I16303" s="33" t="s">
        <v>51</v>
      </c>
      <c r="J16303" s="42">
        <v>45044</v>
      </c>
      <c r="K16303" s="33" t="s">
        <v>22</v>
      </c>
    </row>
    <row r="16304" spans="1:11">
      <c r="A16304" s="30" t="s">
        <v>36563</v>
      </c>
      <c r="B16304" s="30" t="s">
        <v>36564</v>
      </c>
      <c r="C16304" s="30" t="s">
        <v>429</v>
      </c>
      <c r="D16304" s="30" t="s">
        <v>17</v>
      </c>
      <c r="E16304" s="30" t="s">
        <v>31</v>
      </c>
      <c r="F16304" s="30" t="s">
        <v>32</v>
      </c>
      <c r="G16304" s="30" t="s">
        <v>20</v>
      </c>
      <c r="H16304" s="32">
        <v>38</v>
      </c>
      <c r="I16304" s="30" t="s">
        <v>21</v>
      </c>
      <c r="J16304" s="41">
        <v>45014</v>
      </c>
      <c r="K16304" s="30" t="s">
        <v>22</v>
      </c>
    </row>
    <row r="16305" spans="1:11">
      <c r="A16305" s="33" t="s">
        <v>36565</v>
      </c>
      <c r="B16305" s="33" t="s">
        <v>36566</v>
      </c>
      <c r="C16305" s="33" t="s">
        <v>945</v>
      </c>
      <c r="D16305" s="33" t="s">
        <v>17</v>
      </c>
      <c r="E16305" s="33" t="s">
        <v>31</v>
      </c>
      <c r="F16305" s="33" t="s">
        <v>32</v>
      </c>
      <c r="G16305" s="33" t="s">
        <v>20</v>
      </c>
      <c r="H16305" s="35">
        <v>13</v>
      </c>
      <c r="I16305" s="33" t="s">
        <v>21</v>
      </c>
      <c r="J16305" s="42">
        <v>44958</v>
      </c>
      <c r="K16305" s="33" t="s">
        <v>22</v>
      </c>
    </row>
    <row r="16306" spans="1:11">
      <c r="A16306" s="30" t="s">
        <v>36567</v>
      </c>
      <c r="B16306" s="30" t="s">
        <v>36568</v>
      </c>
      <c r="C16306" s="30" t="s">
        <v>8201</v>
      </c>
      <c r="D16306" s="30" t="s">
        <v>17</v>
      </c>
      <c r="E16306" s="30" t="s">
        <v>26</v>
      </c>
      <c r="F16306" s="30" t="s">
        <v>27</v>
      </c>
      <c r="G16306" s="30" t="s">
        <v>112</v>
      </c>
      <c r="H16306" s="32">
        <v>0</v>
      </c>
      <c r="I16306" s="30" t="s">
        <v>21</v>
      </c>
      <c r="J16306" s="41">
        <v>44986</v>
      </c>
      <c r="K16306" s="30" t="s">
        <v>22</v>
      </c>
    </row>
    <row r="16307" spans="1:11">
      <c r="A16307" s="33" t="s">
        <v>36569</v>
      </c>
      <c r="B16307" s="33" t="s">
        <v>36570</v>
      </c>
      <c r="C16307" s="33" t="s">
        <v>407</v>
      </c>
      <c r="D16307" s="33" t="s">
        <v>17</v>
      </c>
      <c r="E16307" s="33" t="s">
        <v>26</v>
      </c>
      <c r="F16307" s="33" t="s">
        <v>27</v>
      </c>
      <c r="G16307" s="33" t="s">
        <v>20</v>
      </c>
      <c r="H16307" s="35">
        <v>24</v>
      </c>
      <c r="I16307" s="33" t="s">
        <v>21</v>
      </c>
      <c r="J16307" s="42">
        <v>45230</v>
      </c>
      <c r="K16307" s="33" t="s">
        <v>22</v>
      </c>
    </row>
    <row r="16308" spans="1:11">
      <c r="A16308" s="30" t="s">
        <v>36571</v>
      </c>
      <c r="B16308" s="30" t="s">
        <v>36572</v>
      </c>
      <c r="C16308" s="30" t="s">
        <v>36573</v>
      </c>
      <c r="D16308" s="30" t="s">
        <v>17</v>
      </c>
      <c r="E16308" s="30" t="s">
        <v>26</v>
      </c>
      <c r="F16308" s="30" t="s">
        <v>27</v>
      </c>
      <c r="G16308" s="30" t="s">
        <v>20</v>
      </c>
      <c r="H16308" s="32">
        <v>60</v>
      </c>
      <c r="I16308" s="30" t="s">
        <v>21</v>
      </c>
      <c r="J16308" s="41">
        <v>45014</v>
      </c>
      <c r="K16308" s="30" t="s">
        <v>22</v>
      </c>
    </row>
    <row r="16309" spans="1:11">
      <c r="A16309" s="33" t="s">
        <v>36574</v>
      </c>
      <c r="B16309" s="33" t="s">
        <v>36575</v>
      </c>
      <c r="C16309" s="33" t="s">
        <v>36576</v>
      </c>
      <c r="D16309" s="33" t="s">
        <v>17</v>
      </c>
      <c r="E16309" s="33" t="s">
        <v>67</v>
      </c>
      <c r="F16309" s="33" t="s">
        <v>68</v>
      </c>
      <c r="G16309" s="33" t="s">
        <v>140</v>
      </c>
      <c r="H16309" s="35">
        <v>90</v>
      </c>
      <c r="I16309" s="33" t="s">
        <v>51</v>
      </c>
      <c r="J16309" s="42">
        <v>45100</v>
      </c>
      <c r="K16309" s="33" t="s">
        <v>22</v>
      </c>
    </row>
    <row r="16310" spans="1:11">
      <c r="A16310" s="30" t="s">
        <v>36577</v>
      </c>
      <c r="B16310" s="30" t="s">
        <v>36578</v>
      </c>
      <c r="C16310" s="30" t="s">
        <v>36579</v>
      </c>
      <c r="D16310" s="30" t="s">
        <v>17</v>
      </c>
      <c r="E16310" s="30" t="s">
        <v>31</v>
      </c>
      <c r="F16310" s="30" t="s">
        <v>32</v>
      </c>
      <c r="G16310" s="30" t="s">
        <v>50</v>
      </c>
      <c r="H16310" s="32">
        <v>80</v>
      </c>
      <c r="I16310" s="30" t="s">
        <v>51</v>
      </c>
      <c r="J16310" s="41">
        <v>45148</v>
      </c>
      <c r="K16310" s="30" t="s">
        <v>22</v>
      </c>
    </row>
    <row r="16311" spans="1:11">
      <c r="A16311" s="33" t="s">
        <v>36580</v>
      </c>
      <c r="B16311" s="33" t="s">
        <v>36581</v>
      </c>
      <c r="C16311" s="33" t="s">
        <v>647</v>
      </c>
      <c r="D16311" s="33" t="s">
        <v>17</v>
      </c>
      <c r="E16311" s="33" t="s">
        <v>31</v>
      </c>
      <c r="F16311" s="33" t="s">
        <v>32</v>
      </c>
      <c r="G16311" s="33" t="s">
        <v>20</v>
      </c>
      <c r="H16311" s="35">
        <v>163</v>
      </c>
      <c r="I16311" s="33" t="s">
        <v>21</v>
      </c>
      <c r="J16311" s="42">
        <v>45198</v>
      </c>
      <c r="K16311" s="33" t="s">
        <v>22</v>
      </c>
    </row>
    <row r="16312" spans="1:11">
      <c r="A16312" s="30" t="s">
        <v>36582</v>
      </c>
      <c r="B16312" s="30" t="s">
        <v>36583</v>
      </c>
      <c r="C16312" s="30" t="s">
        <v>178</v>
      </c>
      <c r="D16312" s="30" t="s">
        <v>17</v>
      </c>
      <c r="E16312" s="30" t="s">
        <v>31</v>
      </c>
      <c r="F16312" s="30" t="s">
        <v>32</v>
      </c>
      <c r="G16312" s="30" t="s">
        <v>158</v>
      </c>
      <c r="H16312" s="32">
        <v>30</v>
      </c>
      <c r="I16312" s="30" t="s">
        <v>51</v>
      </c>
      <c r="J16312" s="41">
        <v>45104</v>
      </c>
      <c r="K16312" s="30" t="s">
        <v>22</v>
      </c>
    </row>
    <row r="16313" spans="1:11">
      <c r="A16313" s="33" t="s">
        <v>36584</v>
      </c>
      <c r="B16313" s="33" t="s">
        <v>36585</v>
      </c>
      <c r="C16313" s="33" t="s">
        <v>136</v>
      </c>
      <c r="D16313" s="33" t="s">
        <v>17</v>
      </c>
      <c r="E16313" s="33" t="s">
        <v>31</v>
      </c>
      <c r="F16313" s="33" t="s">
        <v>32</v>
      </c>
      <c r="G16313" s="33" t="s">
        <v>20</v>
      </c>
      <c r="H16313" s="35">
        <v>164</v>
      </c>
      <c r="I16313" s="33" t="s">
        <v>21</v>
      </c>
      <c r="J16313" s="42">
        <v>45069</v>
      </c>
      <c r="K16313" s="33" t="s">
        <v>22</v>
      </c>
    </row>
    <row r="16314" spans="1:11">
      <c r="A16314" s="30" t="s">
        <v>36586</v>
      </c>
      <c r="B16314" s="30" t="s">
        <v>36587</v>
      </c>
      <c r="C16314" s="30" t="s">
        <v>20321</v>
      </c>
      <c r="D16314" s="30" t="s">
        <v>17</v>
      </c>
      <c r="E16314" s="30" t="s">
        <v>26</v>
      </c>
      <c r="F16314" s="30" t="s">
        <v>27</v>
      </c>
      <c r="G16314" s="30" t="s">
        <v>140</v>
      </c>
      <c r="H16314" s="32">
        <v>128</v>
      </c>
      <c r="I16314" s="30" t="s">
        <v>51</v>
      </c>
      <c r="J16314" s="41">
        <v>45188</v>
      </c>
      <c r="K16314" s="30" t="s">
        <v>22</v>
      </c>
    </row>
    <row r="16315" spans="1:11">
      <c r="A16315" s="33" t="s">
        <v>36588</v>
      </c>
      <c r="B16315" s="33" t="s">
        <v>36589</v>
      </c>
      <c r="C16315" s="33" t="s">
        <v>203</v>
      </c>
      <c r="D16315" s="33" t="s">
        <v>17</v>
      </c>
      <c r="E16315" s="33" t="s">
        <v>31</v>
      </c>
      <c r="F16315" s="33" t="s">
        <v>32</v>
      </c>
      <c r="G16315" s="33" t="s">
        <v>20</v>
      </c>
      <c r="H16315" s="35">
        <v>264</v>
      </c>
      <c r="I16315" s="33" t="s">
        <v>21</v>
      </c>
      <c r="J16315" s="42">
        <v>45237</v>
      </c>
      <c r="K16315" s="33" t="s">
        <v>22</v>
      </c>
    </row>
    <row r="16316" spans="1:11">
      <c r="A16316" s="30" t="s">
        <v>36590</v>
      </c>
      <c r="B16316" s="30" t="s">
        <v>36591</v>
      </c>
      <c r="C16316" s="30" t="s">
        <v>25944</v>
      </c>
      <c r="D16316" s="30" t="s">
        <v>17</v>
      </c>
      <c r="E16316" s="30" t="s">
        <v>18</v>
      </c>
      <c r="F16316" s="30" t="s">
        <v>19</v>
      </c>
      <c r="G16316" s="30" t="s">
        <v>158</v>
      </c>
      <c r="H16316" s="32">
        <v>429</v>
      </c>
      <c r="I16316" s="30" t="s">
        <v>51</v>
      </c>
      <c r="J16316" s="41">
        <v>45134</v>
      </c>
      <c r="K16316" s="30" t="s">
        <v>22</v>
      </c>
    </row>
    <row r="16317" spans="1:11">
      <c r="A16317" s="33" t="s">
        <v>36592</v>
      </c>
      <c r="B16317" s="33" t="s">
        <v>36593</v>
      </c>
      <c r="C16317" s="33" t="s">
        <v>190</v>
      </c>
      <c r="D16317" s="33" t="s">
        <v>17</v>
      </c>
      <c r="E16317" s="33" t="s">
        <v>330</v>
      </c>
      <c r="F16317" s="33" t="s">
        <v>331</v>
      </c>
      <c r="G16317" s="33" t="s">
        <v>20</v>
      </c>
      <c r="H16317" s="35">
        <v>8</v>
      </c>
      <c r="I16317" s="33" t="s">
        <v>21</v>
      </c>
      <c r="J16317" s="42">
        <v>45043</v>
      </c>
      <c r="K16317" s="33" t="s">
        <v>22</v>
      </c>
    </row>
    <row r="16318" spans="1:11">
      <c r="A16318" s="30" t="s">
        <v>36594</v>
      </c>
      <c r="B16318" s="30" t="s">
        <v>36595</v>
      </c>
      <c r="C16318" s="30" t="s">
        <v>75</v>
      </c>
      <c r="D16318" s="30" t="s">
        <v>17</v>
      </c>
      <c r="E16318" s="30" t="s">
        <v>26</v>
      </c>
      <c r="F16318" s="30" t="s">
        <v>27</v>
      </c>
      <c r="G16318" s="30" t="s">
        <v>20</v>
      </c>
      <c r="H16318" s="32">
        <v>65</v>
      </c>
      <c r="I16318" s="30" t="s">
        <v>21</v>
      </c>
      <c r="J16318" s="41">
        <v>45091</v>
      </c>
      <c r="K16318" s="30" t="s">
        <v>22</v>
      </c>
    </row>
    <row r="16319" spans="1:11">
      <c r="A16319" s="33" t="s">
        <v>36596</v>
      </c>
      <c r="B16319" s="33" t="s">
        <v>36597</v>
      </c>
      <c r="C16319" s="33" t="s">
        <v>925</v>
      </c>
      <c r="D16319" s="33" t="s">
        <v>17</v>
      </c>
      <c r="E16319" s="33" t="s">
        <v>45</v>
      </c>
      <c r="F16319" s="33" t="s">
        <v>46</v>
      </c>
      <c r="G16319" s="33" t="s">
        <v>106</v>
      </c>
      <c r="H16319" s="35">
        <v>3</v>
      </c>
      <c r="I16319" s="33" t="s">
        <v>21</v>
      </c>
      <c r="J16319" s="42">
        <v>45286</v>
      </c>
      <c r="K16319" s="33" t="s">
        <v>22</v>
      </c>
    </row>
    <row r="16320" spans="1:11">
      <c r="A16320" s="30" t="s">
        <v>36598</v>
      </c>
      <c r="B16320" s="30" t="s">
        <v>36599</v>
      </c>
      <c r="C16320" s="30" t="s">
        <v>93</v>
      </c>
      <c r="D16320" s="30" t="s">
        <v>17</v>
      </c>
      <c r="E16320" s="30" t="s">
        <v>18</v>
      </c>
      <c r="F16320" s="30" t="s">
        <v>19</v>
      </c>
      <c r="G16320" s="30" t="s">
        <v>20</v>
      </c>
      <c r="H16320" s="32">
        <v>159</v>
      </c>
      <c r="I16320" s="30" t="s">
        <v>21</v>
      </c>
      <c r="J16320" s="41">
        <v>45023</v>
      </c>
      <c r="K16320" s="30" t="s">
        <v>22</v>
      </c>
    </row>
    <row r="16321" spans="1:11">
      <c r="A16321" s="33" t="s">
        <v>36600</v>
      </c>
      <c r="B16321" s="33" t="s">
        <v>36601</v>
      </c>
      <c r="C16321" s="33" t="s">
        <v>75</v>
      </c>
      <c r="D16321" s="33" t="s">
        <v>17</v>
      </c>
      <c r="E16321" s="33" t="s">
        <v>18</v>
      </c>
      <c r="F16321" s="33" t="s">
        <v>19</v>
      </c>
      <c r="G16321" s="33" t="s">
        <v>158</v>
      </c>
      <c r="H16321" s="35">
        <v>402</v>
      </c>
      <c r="I16321" s="33" t="s">
        <v>21</v>
      </c>
      <c r="J16321" s="42">
        <v>45223</v>
      </c>
      <c r="K16321" s="33" t="s">
        <v>22</v>
      </c>
    </row>
    <row r="16322" spans="1:11">
      <c r="A16322" s="30" t="s">
        <v>36602</v>
      </c>
      <c r="B16322" s="30" t="s">
        <v>36603</v>
      </c>
      <c r="C16322" s="30" t="s">
        <v>15221</v>
      </c>
      <c r="D16322" s="30" t="s">
        <v>17</v>
      </c>
      <c r="E16322" s="30" t="s">
        <v>26</v>
      </c>
      <c r="F16322" s="30" t="s">
        <v>27</v>
      </c>
      <c r="G16322" s="30" t="s">
        <v>20</v>
      </c>
      <c r="H16322" s="32">
        <v>75</v>
      </c>
      <c r="I16322" s="30" t="s">
        <v>21</v>
      </c>
      <c r="J16322" s="41">
        <v>44952</v>
      </c>
      <c r="K16322" s="30" t="s">
        <v>22</v>
      </c>
    </row>
    <row r="16323" spans="1:11">
      <c r="A16323" s="33" t="s">
        <v>36604</v>
      </c>
      <c r="B16323" s="33" t="s">
        <v>36605</v>
      </c>
      <c r="C16323" s="33" t="s">
        <v>4082</v>
      </c>
      <c r="D16323" s="33" t="s">
        <v>17</v>
      </c>
      <c r="E16323" s="33" t="s">
        <v>31</v>
      </c>
      <c r="F16323" s="33" t="s">
        <v>32</v>
      </c>
      <c r="G16323" s="33" t="s">
        <v>112</v>
      </c>
      <c r="H16323" s="35">
        <v>0</v>
      </c>
      <c r="I16323" s="33" t="s">
        <v>21</v>
      </c>
      <c r="J16323" s="42">
        <v>45078</v>
      </c>
      <c r="K16323" s="33" t="s">
        <v>22</v>
      </c>
    </row>
    <row r="16324" spans="1:11">
      <c r="A16324" s="30" t="s">
        <v>36606</v>
      </c>
      <c r="B16324" s="30" t="s">
        <v>36607</v>
      </c>
      <c r="C16324" s="30" t="s">
        <v>157</v>
      </c>
      <c r="D16324" s="30" t="s">
        <v>17</v>
      </c>
      <c r="E16324" s="30" t="s">
        <v>31</v>
      </c>
      <c r="F16324" s="30" t="s">
        <v>32</v>
      </c>
      <c r="G16324" s="30" t="s">
        <v>20</v>
      </c>
      <c r="H16324" s="32">
        <v>71</v>
      </c>
      <c r="I16324" s="30" t="s">
        <v>21</v>
      </c>
      <c r="J16324" s="41">
        <v>44935</v>
      </c>
      <c r="K16324" s="30" t="s">
        <v>22</v>
      </c>
    </row>
    <row r="16325" spans="1:11">
      <c r="A16325" s="33" t="s">
        <v>36608</v>
      </c>
      <c r="B16325" s="33" t="s">
        <v>36609</v>
      </c>
      <c r="C16325" s="33" t="s">
        <v>801</v>
      </c>
      <c r="D16325" s="33" t="s">
        <v>17</v>
      </c>
      <c r="E16325" s="33" t="s">
        <v>212</v>
      </c>
      <c r="F16325" s="33" t="s">
        <v>213</v>
      </c>
      <c r="G16325" s="33" t="s">
        <v>20</v>
      </c>
      <c r="H16325" s="35">
        <v>60</v>
      </c>
      <c r="I16325" s="33" t="s">
        <v>21</v>
      </c>
      <c r="J16325" s="42">
        <v>45086</v>
      </c>
      <c r="K16325" s="33" t="s">
        <v>22</v>
      </c>
    </row>
    <row r="16326" spans="1:11">
      <c r="A16326" s="30" t="s">
        <v>36610</v>
      </c>
      <c r="B16326" s="30" t="s">
        <v>36611</v>
      </c>
      <c r="C16326" s="30" t="s">
        <v>36612</v>
      </c>
      <c r="D16326" s="30" t="s">
        <v>17</v>
      </c>
      <c r="E16326" s="30" t="s">
        <v>18</v>
      </c>
      <c r="F16326" s="30" t="s">
        <v>19</v>
      </c>
      <c r="G16326" s="30" t="s">
        <v>20</v>
      </c>
      <c r="H16326" s="32">
        <v>204</v>
      </c>
      <c r="I16326" s="30" t="s">
        <v>21</v>
      </c>
      <c r="J16326" s="41">
        <v>45139</v>
      </c>
      <c r="K16326" s="30" t="s">
        <v>22</v>
      </c>
    </row>
    <row r="16327" spans="1:11">
      <c r="A16327" s="33" t="s">
        <v>36613</v>
      </c>
      <c r="B16327" s="33" t="s">
        <v>36614</v>
      </c>
      <c r="C16327" s="33" t="s">
        <v>31450</v>
      </c>
      <c r="D16327" s="33" t="s">
        <v>17</v>
      </c>
      <c r="E16327" s="33" t="s">
        <v>31</v>
      </c>
      <c r="F16327" s="33" t="s">
        <v>32</v>
      </c>
      <c r="G16327" s="33" t="s">
        <v>158</v>
      </c>
      <c r="H16327" s="35">
        <v>66</v>
      </c>
      <c r="I16327" s="33" t="s">
        <v>51</v>
      </c>
      <c r="J16327" s="42">
        <v>45103</v>
      </c>
      <c r="K16327" s="33" t="s">
        <v>22</v>
      </c>
    </row>
    <row r="16328" spans="1:11">
      <c r="A16328" s="30" t="s">
        <v>36615</v>
      </c>
      <c r="B16328" s="30" t="s">
        <v>36616</v>
      </c>
      <c r="C16328" s="30" t="s">
        <v>538</v>
      </c>
      <c r="D16328" s="30" t="s">
        <v>17</v>
      </c>
      <c r="E16328" s="30" t="s">
        <v>18</v>
      </c>
      <c r="F16328" s="30" t="s">
        <v>19</v>
      </c>
      <c r="G16328" s="30" t="s">
        <v>20</v>
      </c>
      <c r="H16328" s="32">
        <v>518</v>
      </c>
      <c r="I16328" s="30" t="s">
        <v>21</v>
      </c>
      <c r="J16328" s="41">
        <v>45034</v>
      </c>
      <c r="K16328" s="30" t="s">
        <v>22</v>
      </c>
    </row>
    <row r="16329" spans="1:11">
      <c r="A16329" s="33" t="s">
        <v>36617</v>
      </c>
      <c r="B16329" s="33" t="s">
        <v>36618</v>
      </c>
      <c r="C16329" s="33" t="s">
        <v>4484</v>
      </c>
      <c r="D16329" s="33" t="s">
        <v>17</v>
      </c>
      <c r="E16329" s="33" t="s">
        <v>18</v>
      </c>
      <c r="F16329" s="33" t="s">
        <v>19</v>
      </c>
      <c r="G16329" s="33" t="s">
        <v>158</v>
      </c>
      <c r="H16329" s="35">
        <v>238</v>
      </c>
      <c r="I16329" s="33" t="s">
        <v>21</v>
      </c>
      <c r="J16329" s="42">
        <v>45033</v>
      </c>
      <c r="K16329" s="33" t="s">
        <v>22</v>
      </c>
    </row>
    <row r="16330" spans="1:11">
      <c r="A16330" s="30" t="s">
        <v>36619</v>
      </c>
      <c r="B16330" s="30" t="s">
        <v>36620</v>
      </c>
      <c r="C16330" s="30" t="s">
        <v>36621</v>
      </c>
      <c r="D16330" s="30" t="s">
        <v>17</v>
      </c>
      <c r="E16330" s="30" t="s">
        <v>31</v>
      </c>
      <c r="F16330" s="30" t="s">
        <v>32</v>
      </c>
      <c r="G16330" s="30" t="s">
        <v>20</v>
      </c>
      <c r="H16330" s="32">
        <v>521</v>
      </c>
      <c r="I16330" s="30" t="s">
        <v>21</v>
      </c>
      <c r="J16330" s="41">
        <v>45071</v>
      </c>
      <c r="K16330" s="30" t="s">
        <v>22</v>
      </c>
    </row>
    <row r="16331" spans="1:11">
      <c r="A16331" s="33" t="s">
        <v>36622</v>
      </c>
      <c r="B16331" s="33" t="s">
        <v>36623</v>
      </c>
      <c r="C16331" s="33" t="s">
        <v>379</v>
      </c>
      <c r="D16331" s="33" t="s">
        <v>17</v>
      </c>
      <c r="E16331" s="33" t="s">
        <v>26</v>
      </c>
      <c r="F16331" s="33" t="s">
        <v>27</v>
      </c>
      <c r="G16331" s="33" t="s">
        <v>20</v>
      </c>
      <c r="H16331" s="35">
        <v>6</v>
      </c>
      <c r="I16331" s="33" t="s">
        <v>21</v>
      </c>
      <c r="J16331" s="42">
        <v>45094</v>
      </c>
      <c r="K16331" s="33" t="s">
        <v>22</v>
      </c>
    </row>
    <row r="16332" spans="1:11">
      <c r="A16332" s="30" t="s">
        <v>36624</v>
      </c>
      <c r="B16332" s="30" t="s">
        <v>36625</v>
      </c>
      <c r="C16332" s="30" t="s">
        <v>5443</v>
      </c>
      <c r="D16332" s="30" t="s">
        <v>17</v>
      </c>
      <c r="E16332" s="30" t="s">
        <v>67</v>
      </c>
      <c r="F16332" s="30" t="s">
        <v>68</v>
      </c>
      <c r="G16332" s="30" t="s">
        <v>140</v>
      </c>
      <c r="H16332" s="32">
        <v>47</v>
      </c>
      <c r="I16332" s="30" t="s">
        <v>51</v>
      </c>
      <c r="J16332" s="41">
        <v>44964</v>
      </c>
      <c r="K16332" s="30" t="s">
        <v>22</v>
      </c>
    </row>
    <row r="16333" spans="1:11">
      <c r="A16333" s="33" t="s">
        <v>36626</v>
      </c>
      <c r="B16333" s="33" t="s">
        <v>36627</v>
      </c>
      <c r="C16333" s="33" t="s">
        <v>8554</v>
      </c>
      <c r="D16333" s="33" t="s">
        <v>17</v>
      </c>
      <c r="E16333" s="33" t="s">
        <v>31</v>
      </c>
      <c r="F16333" s="33" t="s">
        <v>32</v>
      </c>
      <c r="G16333" s="33" t="s">
        <v>50</v>
      </c>
      <c r="H16333" s="35">
        <v>70</v>
      </c>
      <c r="I16333" s="33" t="s">
        <v>51</v>
      </c>
      <c r="J16333" s="42">
        <v>45156</v>
      </c>
      <c r="K16333" s="33" t="s">
        <v>22</v>
      </c>
    </row>
    <row r="16334" spans="1:11">
      <c r="A16334" s="30" t="s">
        <v>36628</v>
      </c>
      <c r="B16334" s="30" t="s">
        <v>36629</v>
      </c>
      <c r="C16334" s="30" t="s">
        <v>985</v>
      </c>
      <c r="D16334" s="30" t="s">
        <v>17</v>
      </c>
      <c r="E16334" s="30" t="s">
        <v>26</v>
      </c>
      <c r="F16334" s="30" t="s">
        <v>27</v>
      </c>
      <c r="G16334" s="30" t="s">
        <v>20</v>
      </c>
      <c r="H16334" s="32">
        <v>32</v>
      </c>
      <c r="I16334" s="30" t="s">
        <v>21</v>
      </c>
      <c r="J16334" s="41">
        <v>44956</v>
      </c>
      <c r="K16334" s="30" t="s">
        <v>22</v>
      </c>
    </row>
    <row r="16335" spans="1:11">
      <c r="A16335" s="33" t="s">
        <v>36630</v>
      </c>
      <c r="B16335" s="33" t="s">
        <v>36631</v>
      </c>
      <c r="C16335" s="33" t="s">
        <v>27211</v>
      </c>
      <c r="D16335" s="33" t="s">
        <v>17</v>
      </c>
      <c r="E16335" s="33" t="s">
        <v>26</v>
      </c>
      <c r="F16335" s="33" t="s">
        <v>27</v>
      </c>
      <c r="G16335" s="33" t="s">
        <v>140</v>
      </c>
      <c r="H16335" s="35">
        <v>18</v>
      </c>
      <c r="I16335" s="33" t="s">
        <v>51</v>
      </c>
      <c r="J16335" s="42">
        <v>45065</v>
      </c>
      <c r="K16335" s="33" t="s">
        <v>22</v>
      </c>
    </row>
    <row r="16336" spans="1:11">
      <c r="A16336" s="30" t="s">
        <v>36632</v>
      </c>
      <c r="B16336" s="30" t="s">
        <v>36633</v>
      </c>
      <c r="C16336" s="30" t="s">
        <v>36634</v>
      </c>
      <c r="D16336" s="30" t="s">
        <v>17</v>
      </c>
      <c r="E16336" s="30" t="s">
        <v>18</v>
      </c>
      <c r="F16336" s="30" t="s">
        <v>19</v>
      </c>
      <c r="G16336" s="30" t="s">
        <v>50</v>
      </c>
      <c r="H16336" s="32">
        <v>174</v>
      </c>
      <c r="I16336" s="30" t="s">
        <v>51</v>
      </c>
      <c r="J16336" s="41">
        <v>44985</v>
      </c>
      <c r="K16336" s="30" t="s">
        <v>22</v>
      </c>
    </row>
    <row r="16337" spans="1:11">
      <c r="A16337" s="33" t="s">
        <v>36635</v>
      </c>
      <c r="B16337" s="33" t="s">
        <v>36636</v>
      </c>
      <c r="C16337" s="33" t="s">
        <v>4004</v>
      </c>
      <c r="D16337" s="33" t="s">
        <v>17</v>
      </c>
      <c r="E16337" s="33" t="s">
        <v>26</v>
      </c>
      <c r="F16337" s="33" t="s">
        <v>27</v>
      </c>
      <c r="G16337" s="33" t="s">
        <v>50</v>
      </c>
      <c r="H16337" s="35">
        <v>20</v>
      </c>
      <c r="I16337" s="33" t="s">
        <v>51</v>
      </c>
      <c r="J16337" s="42">
        <v>45191</v>
      </c>
      <c r="K16337" s="33" t="s">
        <v>22</v>
      </c>
    </row>
    <row r="16338" spans="1:11">
      <c r="A16338" s="30" t="s">
        <v>36637</v>
      </c>
      <c r="B16338" s="30" t="s">
        <v>36638</v>
      </c>
      <c r="C16338" s="30" t="s">
        <v>9374</v>
      </c>
      <c r="D16338" s="30" t="s">
        <v>17</v>
      </c>
      <c r="E16338" s="30" t="s">
        <v>18</v>
      </c>
      <c r="F16338" s="30" t="s">
        <v>19</v>
      </c>
      <c r="G16338" s="30" t="s">
        <v>20</v>
      </c>
      <c r="H16338" s="32">
        <v>614</v>
      </c>
      <c r="I16338" s="30" t="s">
        <v>21</v>
      </c>
      <c r="J16338" s="41">
        <v>45041</v>
      </c>
      <c r="K16338" s="30" t="s">
        <v>22</v>
      </c>
    </row>
    <row r="16339" spans="1:11">
      <c r="A16339" s="33" t="s">
        <v>36639</v>
      </c>
      <c r="B16339" s="33" t="s">
        <v>36640</v>
      </c>
      <c r="C16339" s="33" t="s">
        <v>1016</v>
      </c>
      <c r="D16339" s="33" t="s">
        <v>17</v>
      </c>
      <c r="E16339" s="33" t="s">
        <v>26</v>
      </c>
      <c r="F16339" s="33" t="s">
        <v>27</v>
      </c>
      <c r="G16339" s="33" t="s">
        <v>20</v>
      </c>
      <c r="H16339" s="35">
        <v>39</v>
      </c>
      <c r="I16339" s="33" t="s">
        <v>21</v>
      </c>
      <c r="J16339" s="42">
        <v>44972</v>
      </c>
      <c r="K16339" s="33" t="s">
        <v>22</v>
      </c>
    </row>
    <row r="16340" spans="1:11">
      <c r="A16340" s="30" t="s">
        <v>36641</v>
      </c>
      <c r="B16340" s="30" t="s">
        <v>36642</v>
      </c>
      <c r="C16340" s="30" t="s">
        <v>252</v>
      </c>
      <c r="D16340" s="30" t="s">
        <v>17</v>
      </c>
      <c r="E16340" s="30" t="s">
        <v>18</v>
      </c>
      <c r="F16340" s="30" t="s">
        <v>19</v>
      </c>
      <c r="G16340" s="30" t="s">
        <v>158</v>
      </c>
      <c r="H16340" s="32">
        <v>532</v>
      </c>
      <c r="I16340" s="30" t="s">
        <v>21</v>
      </c>
      <c r="J16340" s="41">
        <v>45155</v>
      </c>
      <c r="K16340" s="30" t="s">
        <v>22</v>
      </c>
    </row>
    <row r="16341" spans="1:11">
      <c r="A16341" s="33" t="s">
        <v>36643</v>
      </c>
      <c r="B16341" s="33" t="s">
        <v>36644</v>
      </c>
      <c r="C16341" s="33" t="s">
        <v>36645</v>
      </c>
      <c r="D16341" s="33" t="s">
        <v>17</v>
      </c>
      <c r="E16341" s="33" t="s">
        <v>26</v>
      </c>
      <c r="F16341" s="33" t="s">
        <v>27</v>
      </c>
      <c r="G16341" s="33" t="s">
        <v>20</v>
      </c>
      <c r="H16341" s="35">
        <v>45</v>
      </c>
      <c r="I16341" s="33" t="s">
        <v>21</v>
      </c>
      <c r="J16341" s="42">
        <v>44971</v>
      </c>
      <c r="K16341" s="33" t="s">
        <v>22</v>
      </c>
    </row>
    <row r="16342" spans="1:11">
      <c r="A16342" s="30" t="s">
        <v>36646</v>
      </c>
      <c r="B16342" s="30" t="s">
        <v>36647</v>
      </c>
      <c r="C16342" s="30" t="s">
        <v>5757</v>
      </c>
      <c r="D16342" s="30" t="s">
        <v>17</v>
      </c>
      <c r="E16342" s="30" t="s">
        <v>18</v>
      </c>
      <c r="F16342" s="30" t="s">
        <v>19</v>
      </c>
      <c r="G16342" s="30" t="s">
        <v>20</v>
      </c>
      <c r="H16342" s="32">
        <v>280</v>
      </c>
      <c r="I16342" s="30" t="s">
        <v>21</v>
      </c>
      <c r="J16342" s="41">
        <v>45281</v>
      </c>
      <c r="K16342" s="30" t="s">
        <v>22</v>
      </c>
    </row>
    <row r="16343" spans="1:11">
      <c r="A16343" s="33" t="s">
        <v>36648</v>
      </c>
      <c r="B16343" s="33" t="s">
        <v>36649</v>
      </c>
      <c r="C16343" s="33" t="s">
        <v>27527</v>
      </c>
      <c r="D16343" s="33" t="s">
        <v>17</v>
      </c>
      <c r="E16343" s="33" t="s">
        <v>330</v>
      </c>
      <c r="F16343" s="33" t="s">
        <v>331</v>
      </c>
      <c r="G16343" s="33" t="s">
        <v>50</v>
      </c>
      <c r="H16343" s="35">
        <v>9</v>
      </c>
      <c r="I16343" s="33" t="s">
        <v>51</v>
      </c>
      <c r="J16343" s="42">
        <v>45012</v>
      </c>
      <c r="K16343" s="33" t="s">
        <v>22</v>
      </c>
    </row>
    <row r="16344" spans="1:11">
      <c r="A16344" s="30" t="s">
        <v>36650</v>
      </c>
      <c r="B16344" s="30" t="s">
        <v>36651</v>
      </c>
      <c r="C16344" s="30" t="s">
        <v>310</v>
      </c>
      <c r="D16344" s="30" t="s">
        <v>17</v>
      </c>
      <c r="E16344" s="30" t="s">
        <v>26</v>
      </c>
      <c r="F16344" s="30" t="s">
        <v>27</v>
      </c>
      <c r="G16344" s="30" t="s">
        <v>20</v>
      </c>
      <c r="H16344" s="32">
        <v>205</v>
      </c>
      <c r="I16344" s="30" t="s">
        <v>21</v>
      </c>
      <c r="J16344" s="41">
        <v>44928</v>
      </c>
      <c r="K16344" s="30" t="s">
        <v>22</v>
      </c>
    </row>
    <row r="16345" spans="1:11">
      <c r="A16345" s="33" t="s">
        <v>36652</v>
      </c>
      <c r="B16345" s="33" t="s">
        <v>36653</v>
      </c>
      <c r="C16345" s="33" t="s">
        <v>1504</v>
      </c>
      <c r="D16345" s="33" t="s">
        <v>17</v>
      </c>
      <c r="E16345" s="33" t="s">
        <v>26</v>
      </c>
      <c r="F16345" s="33" t="s">
        <v>27</v>
      </c>
      <c r="G16345" s="33" t="s">
        <v>50</v>
      </c>
      <c r="H16345" s="35">
        <v>27</v>
      </c>
      <c r="I16345" s="33" t="s">
        <v>51</v>
      </c>
      <c r="J16345" s="42">
        <v>45107</v>
      </c>
      <c r="K16345" s="33" t="s">
        <v>22</v>
      </c>
    </row>
    <row r="16346" spans="1:11">
      <c r="A16346" s="30" t="s">
        <v>36654</v>
      </c>
      <c r="B16346" s="30" t="s">
        <v>36655</v>
      </c>
      <c r="C16346" s="30" t="s">
        <v>178</v>
      </c>
      <c r="D16346" s="30" t="s">
        <v>17</v>
      </c>
      <c r="E16346" s="30" t="s">
        <v>18</v>
      </c>
      <c r="F16346" s="30" t="s">
        <v>19</v>
      </c>
      <c r="G16346" s="30" t="s">
        <v>140</v>
      </c>
      <c r="H16346" s="32">
        <v>1050</v>
      </c>
      <c r="I16346" s="30" t="s">
        <v>51</v>
      </c>
      <c r="J16346" s="41">
        <v>45271</v>
      </c>
      <c r="K16346" s="30" t="s">
        <v>22</v>
      </c>
    </row>
    <row r="16347" spans="1:11">
      <c r="A16347" s="33" t="s">
        <v>36656</v>
      </c>
      <c r="B16347" s="33" t="s">
        <v>36657</v>
      </c>
      <c r="C16347" s="33" t="s">
        <v>647</v>
      </c>
      <c r="D16347" s="33" t="s">
        <v>17</v>
      </c>
      <c r="E16347" s="33" t="s">
        <v>26</v>
      </c>
      <c r="F16347" s="33" t="s">
        <v>27</v>
      </c>
      <c r="G16347" s="33" t="s">
        <v>20</v>
      </c>
      <c r="H16347" s="35">
        <v>24</v>
      </c>
      <c r="I16347" s="33" t="s">
        <v>21</v>
      </c>
      <c r="J16347" s="42">
        <v>45252</v>
      </c>
      <c r="K16347" s="33" t="s">
        <v>22</v>
      </c>
    </row>
    <row r="16348" spans="1:11">
      <c r="A16348" s="30" t="s">
        <v>36658</v>
      </c>
      <c r="B16348" s="30" t="s">
        <v>36659</v>
      </c>
      <c r="C16348" s="30" t="s">
        <v>20363</v>
      </c>
      <c r="D16348" s="30" t="s">
        <v>17</v>
      </c>
      <c r="E16348" s="30" t="s">
        <v>26</v>
      </c>
      <c r="F16348" s="30" t="s">
        <v>27</v>
      </c>
      <c r="G16348" s="30" t="s">
        <v>158</v>
      </c>
      <c r="H16348" s="32">
        <v>60</v>
      </c>
      <c r="I16348" s="30" t="s">
        <v>51</v>
      </c>
      <c r="J16348" s="41">
        <v>45215</v>
      </c>
      <c r="K16348" s="30" t="s">
        <v>22</v>
      </c>
    </row>
    <row r="16349" spans="1:11">
      <c r="A16349" s="33" t="s">
        <v>36660</v>
      </c>
      <c r="B16349" s="33" t="s">
        <v>36661</v>
      </c>
      <c r="C16349" s="33" t="s">
        <v>203</v>
      </c>
      <c r="D16349" s="33" t="s">
        <v>17</v>
      </c>
      <c r="E16349" s="33" t="s">
        <v>18</v>
      </c>
      <c r="F16349" s="33" t="s">
        <v>19</v>
      </c>
      <c r="G16349" s="33" t="s">
        <v>140</v>
      </c>
      <c r="H16349" s="35">
        <v>180</v>
      </c>
      <c r="I16349" s="33" t="s">
        <v>51</v>
      </c>
      <c r="J16349" s="42">
        <v>45209</v>
      </c>
      <c r="K16349" s="33" t="s">
        <v>22</v>
      </c>
    </row>
    <row r="16350" spans="1:11">
      <c r="A16350" s="30" t="s">
        <v>36662</v>
      </c>
      <c r="B16350" s="30" t="s">
        <v>36663</v>
      </c>
      <c r="C16350" s="30" t="s">
        <v>93</v>
      </c>
      <c r="D16350" s="30" t="s">
        <v>17</v>
      </c>
      <c r="E16350" s="30" t="s">
        <v>26</v>
      </c>
      <c r="F16350" s="30" t="s">
        <v>27</v>
      </c>
      <c r="G16350" s="30" t="s">
        <v>106</v>
      </c>
      <c r="H16350" s="32">
        <v>24</v>
      </c>
      <c r="I16350" s="30" t="s">
        <v>21</v>
      </c>
      <c r="J16350" s="41">
        <v>45161</v>
      </c>
      <c r="K16350" s="30" t="s">
        <v>22</v>
      </c>
    </row>
    <row r="16351" spans="1:11">
      <c r="A16351" s="33" t="s">
        <v>36664</v>
      </c>
      <c r="B16351" s="33" t="s">
        <v>36665</v>
      </c>
      <c r="C16351" s="33" t="s">
        <v>2663</v>
      </c>
      <c r="D16351" s="33" t="s">
        <v>17</v>
      </c>
      <c r="E16351" s="33" t="s">
        <v>26</v>
      </c>
      <c r="F16351" s="33" t="s">
        <v>27</v>
      </c>
      <c r="G16351" s="33" t="s">
        <v>20</v>
      </c>
      <c r="H16351" s="35">
        <v>36</v>
      </c>
      <c r="I16351" s="33" t="s">
        <v>21</v>
      </c>
      <c r="J16351" s="42">
        <v>44931</v>
      </c>
      <c r="K16351" s="33" t="s">
        <v>22</v>
      </c>
    </row>
    <row r="16352" spans="1:11">
      <c r="A16352" s="30" t="s">
        <v>36666</v>
      </c>
      <c r="B16352" s="30" t="s">
        <v>36667</v>
      </c>
      <c r="C16352" s="30" t="s">
        <v>20834</v>
      </c>
      <c r="D16352" s="30" t="s">
        <v>17</v>
      </c>
      <c r="E16352" s="30" t="s">
        <v>26</v>
      </c>
      <c r="F16352" s="30" t="s">
        <v>27</v>
      </c>
      <c r="G16352" s="30" t="s">
        <v>158</v>
      </c>
      <c r="H16352" s="32">
        <v>42</v>
      </c>
      <c r="I16352" s="30" t="s">
        <v>51</v>
      </c>
      <c r="J16352" s="41">
        <v>45225</v>
      </c>
      <c r="K16352" s="30" t="s">
        <v>22</v>
      </c>
    </row>
    <row r="16353" spans="1:11">
      <c r="A16353" s="33" t="s">
        <v>36668</v>
      </c>
      <c r="B16353" s="33" t="s">
        <v>36669</v>
      </c>
      <c r="C16353" s="33" t="s">
        <v>44</v>
      </c>
      <c r="D16353" s="33" t="s">
        <v>17</v>
      </c>
      <c r="E16353" s="33" t="s">
        <v>67</v>
      </c>
      <c r="F16353" s="33" t="s">
        <v>68</v>
      </c>
      <c r="G16353" s="33" t="s">
        <v>140</v>
      </c>
      <c r="H16353" s="35">
        <v>149</v>
      </c>
      <c r="I16353" s="33" t="s">
        <v>51</v>
      </c>
      <c r="J16353" s="42">
        <v>45279</v>
      </c>
      <c r="K16353" s="33" t="s">
        <v>22</v>
      </c>
    </row>
    <row r="16354" spans="1:11">
      <c r="A16354" s="30" t="s">
        <v>36670</v>
      </c>
      <c r="B16354" s="30" t="s">
        <v>36671</v>
      </c>
      <c r="C16354" s="30" t="s">
        <v>36672</v>
      </c>
      <c r="D16354" s="30" t="s">
        <v>17</v>
      </c>
      <c r="E16354" s="30" t="s">
        <v>45</v>
      </c>
      <c r="F16354" s="30" t="s">
        <v>46</v>
      </c>
      <c r="G16354" s="30" t="s">
        <v>50</v>
      </c>
      <c r="H16354" s="32">
        <v>296</v>
      </c>
      <c r="I16354" s="30" t="s">
        <v>51</v>
      </c>
      <c r="J16354" s="41">
        <v>45211</v>
      </c>
      <c r="K16354" s="30" t="s">
        <v>22</v>
      </c>
    </row>
    <row r="16355" spans="1:11">
      <c r="A16355" s="33" t="s">
        <v>36673</v>
      </c>
      <c r="B16355" s="33" t="s">
        <v>36674</v>
      </c>
      <c r="C16355" s="33" t="s">
        <v>36675</v>
      </c>
      <c r="D16355" s="33" t="s">
        <v>17</v>
      </c>
      <c r="E16355" s="33" t="s">
        <v>67</v>
      </c>
      <c r="F16355" s="33" t="s">
        <v>68</v>
      </c>
      <c r="G16355" s="33" t="s">
        <v>106</v>
      </c>
      <c r="H16355" s="35">
        <v>9</v>
      </c>
      <c r="I16355" s="33" t="s">
        <v>21</v>
      </c>
      <c r="J16355" s="42">
        <v>45055</v>
      </c>
      <c r="K16355" s="33" t="s">
        <v>22</v>
      </c>
    </row>
    <row r="16356" spans="1:11">
      <c r="A16356" s="30" t="s">
        <v>36676</v>
      </c>
      <c r="B16356" s="30" t="s">
        <v>36677</v>
      </c>
      <c r="C16356" s="30" t="s">
        <v>4796</v>
      </c>
      <c r="D16356" s="30" t="s">
        <v>17</v>
      </c>
      <c r="E16356" s="30" t="s">
        <v>26</v>
      </c>
      <c r="F16356" s="30" t="s">
        <v>27</v>
      </c>
      <c r="G16356" s="30" t="s">
        <v>20</v>
      </c>
      <c r="H16356" s="32">
        <v>22</v>
      </c>
      <c r="I16356" s="30" t="s">
        <v>21</v>
      </c>
      <c r="J16356" s="41">
        <v>44961</v>
      </c>
      <c r="K16356" s="30" t="s">
        <v>22</v>
      </c>
    </row>
    <row r="16357" spans="1:11">
      <c r="A16357" s="33" t="s">
        <v>36678</v>
      </c>
      <c r="B16357" s="33" t="s">
        <v>36679</v>
      </c>
      <c r="C16357" s="33" t="s">
        <v>36680</v>
      </c>
      <c r="D16357" s="33" t="s">
        <v>17</v>
      </c>
      <c r="E16357" s="33" t="s">
        <v>67</v>
      </c>
      <c r="F16357" s="33" t="s">
        <v>68</v>
      </c>
      <c r="G16357" s="33" t="s">
        <v>106</v>
      </c>
      <c r="H16357" s="35">
        <v>4</v>
      </c>
      <c r="I16357" s="33" t="s">
        <v>21</v>
      </c>
      <c r="J16357" s="42">
        <v>45008</v>
      </c>
      <c r="K16357" s="33" t="s">
        <v>22</v>
      </c>
    </row>
    <row r="16358" spans="1:11">
      <c r="A16358" s="30" t="s">
        <v>36681</v>
      </c>
      <c r="B16358" s="30" t="s">
        <v>36682</v>
      </c>
      <c r="C16358" s="30" t="s">
        <v>9438</v>
      </c>
      <c r="D16358" s="30" t="s">
        <v>17</v>
      </c>
      <c r="E16358" s="30" t="s">
        <v>67</v>
      </c>
      <c r="F16358" s="30" t="s">
        <v>68</v>
      </c>
      <c r="G16358" s="30" t="s">
        <v>50</v>
      </c>
      <c r="H16358" s="32">
        <v>72</v>
      </c>
      <c r="I16358" s="30" t="s">
        <v>51</v>
      </c>
      <c r="J16358" s="41">
        <v>45098</v>
      </c>
      <c r="K16358" s="30" t="s">
        <v>22</v>
      </c>
    </row>
    <row r="16359" spans="1:11">
      <c r="A16359" s="33" t="s">
        <v>36683</v>
      </c>
      <c r="B16359" s="33" t="s">
        <v>36684</v>
      </c>
      <c r="C16359" s="33" t="s">
        <v>36685</v>
      </c>
      <c r="D16359" s="33" t="s">
        <v>17</v>
      </c>
      <c r="E16359" s="33" t="s">
        <v>26</v>
      </c>
      <c r="F16359" s="33" t="s">
        <v>27</v>
      </c>
      <c r="G16359" s="33" t="s">
        <v>20</v>
      </c>
      <c r="H16359" s="35">
        <v>72</v>
      </c>
      <c r="I16359" s="33" t="s">
        <v>21</v>
      </c>
      <c r="J16359" s="42">
        <v>45229</v>
      </c>
      <c r="K16359" s="33" t="s">
        <v>22</v>
      </c>
    </row>
    <row r="16360" spans="1:11">
      <c r="A16360" s="30" t="s">
        <v>36686</v>
      </c>
      <c r="B16360" s="30" t="s">
        <v>36687</v>
      </c>
      <c r="C16360" s="30" t="s">
        <v>44</v>
      </c>
      <c r="D16360" s="30" t="s">
        <v>17</v>
      </c>
      <c r="E16360" s="30" t="s">
        <v>31</v>
      </c>
      <c r="F16360" s="30" t="s">
        <v>32</v>
      </c>
      <c r="G16360" s="30" t="s">
        <v>20</v>
      </c>
      <c r="H16360" s="32">
        <v>373</v>
      </c>
      <c r="I16360" s="30" t="s">
        <v>21</v>
      </c>
      <c r="J16360" s="41">
        <v>45070</v>
      </c>
      <c r="K16360" s="30" t="s">
        <v>22</v>
      </c>
    </row>
    <row r="16361" spans="1:11">
      <c r="A16361" s="33" t="s">
        <v>36688</v>
      </c>
      <c r="B16361" s="33" t="s">
        <v>36689</v>
      </c>
      <c r="C16361" s="33" t="s">
        <v>5122</v>
      </c>
      <c r="D16361" s="33" t="s">
        <v>17</v>
      </c>
      <c r="E16361" s="33" t="s">
        <v>18</v>
      </c>
      <c r="F16361" s="33" t="s">
        <v>19</v>
      </c>
      <c r="G16361" s="33" t="s">
        <v>112</v>
      </c>
      <c r="H16361" s="35">
        <v>0</v>
      </c>
      <c r="I16361" s="33" t="s">
        <v>21</v>
      </c>
      <c r="J16361" s="42">
        <v>45261</v>
      </c>
      <c r="K16361" s="33" t="s">
        <v>22</v>
      </c>
    </row>
    <row r="16362" spans="1:11">
      <c r="A16362" s="30" t="s">
        <v>36690</v>
      </c>
      <c r="B16362" s="30" t="s">
        <v>36691</v>
      </c>
      <c r="C16362" s="30" t="s">
        <v>4348</v>
      </c>
      <c r="D16362" s="30" t="s">
        <v>17</v>
      </c>
      <c r="E16362" s="30" t="s">
        <v>26</v>
      </c>
      <c r="F16362" s="30" t="s">
        <v>27</v>
      </c>
      <c r="G16362" s="30" t="s">
        <v>140</v>
      </c>
      <c r="H16362" s="32">
        <v>130</v>
      </c>
      <c r="I16362" s="30" t="s">
        <v>51</v>
      </c>
      <c r="J16362" s="41">
        <v>45140</v>
      </c>
      <c r="K16362" s="30" t="s">
        <v>22</v>
      </c>
    </row>
    <row r="16363" spans="1:11">
      <c r="A16363" s="33" t="s">
        <v>36692</v>
      </c>
      <c r="B16363" s="33" t="s">
        <v>36693</v>
      </c>
      <c r="C16363" s="33" t="s">
        <v>96</v>
      </c>
      <c r="D16363" s="33" t="s">
        <v>17</v>
      </c>
      <c r="E16363" s="33" t="s">
        <v>26</v>
      </c>
      <c r="F16363" s="33" t="s">
        <v>27</v>
      </c>
      <c r="G16363" s="33" t="s">
        <v>20</v>
      </c>
      <c r="H16363" s="35">
        <v>86</v>
      </c>
      <c r="I16363" s="33" t="s">
        <v>21</v>
      </c>
      <c r="J16363" s="42">
        <v>45021</v>
      </c>
      <c r="K16363" s="33" t="s">
        <v>22</v>
      </c>
    </row>
    <row r="16364" spans="1:11">
      <c r="A16364" s="30" t="s">
        <v>36694</v>
      </c>
      <c r="B16364" s="30" t="s">
        <v>36695</v>
      </c>
      <c r="C16364" s="30" t="s">
        <v>5842</v>
      </c>
      <c r="D16364" s="30" t="s">
        <v>17</v>
      </c>
      <c r="E16364" s="30" t="s">
        <v>31</v>
      </c>
      <c r="F16364" s="30" t="s">
        <v>32</v>
      </c>
      <c r="G16364" s="30" t="s">
        <v>106</v>
      </c>
      <c r="H16364" s="32">
        <v>9</v>
      </c>
      <c r="I16364" s="30" t="s">
        <v>21</v>
      </c>
      <c r="J16364" s="41">
        <v>45041</v>
      </c>
      <c r="K16364" s="30" t="s">
        <v>22</v>
      </c>
    </row>
    <row r="16365" spans="1:11">
      <c r="A16365" s="33" t="s">
        <v>36696</v>
      </c>
      <c r="B16365" s="33" t="s">
        <v>36697</v>
      </c>
      <c r="C16365" s="33" t="s">
        <v>647</v>
      </c>
      <c r="D16365" s="33" t="s">
        <v>17</v>
      </c>
      <c r="E16365" s="33" t="s">
        <v>26</v>
      </c>
      <c r="F16365" s="33" t="s">
        <v>27</v>
      </c>
      <c r="G16365" s="33" t="s">
        <v>112</v>
      </c>
      <c r="H16365" s="35">
        <v>0</v>
      </c>
      <c r="I16365" s="33" t="s">
        <v>21</v>
      </c>
      <c r="J16365" s="42">
        <v>45033</v>
      </c>
      <c r="K16365" s="33" t="s">
        <v>22</v>
      </c>
    </row>
    <row r="16366" spans="1:11">
      <c r="A16366" s="30" t="s">
        <v>36698</v>
      </c>
      <c r="B16366" s="30" t="s">
        <v>36699</v>
      </c>
      <c r="C16366" s="30" t="s">
        <v>20050</v>
      </c>
      <c r="D16366" s="30" t="s">
        <v>17</v>
      </c>
      <c r="E16366" s="30" t="s">
        <v>18</v>
      </c>
      <c r="F16366" s="30" t="s">
        <v>19</v>
      </c>
      <c r="G16366" s="30" t="s">
        <v>158</v>
      </c>
      <c r="H16366" s="32">
        <v>1076</v>
      </c>
      <c r="I16366" s="30" t="s">
        <v>21</v>
      </c>
      <c r="J16366" s="41">
        <v>45121</v>
      </c>
      <c r="K16366" s="30" t="s">
        <v>22</v>
      </c>
    </row>
    <row r="16367" spans="1:11">
      <c r="A16367" s="33" t="s">
        <v>36700</v>
      </c>
      <c r="B16367" s="33" t="s">
        <v>36701</v>
      </c>
      <c r="C16367" s="33" t="s">
        <v>2490</v>
      </c>
      <c r="D16367" s="33" t="s">
        <v>17</v>
      </c>
      <c r="E16367" s="33" t="s">
        <v>26</v>
      </c>
      <c r="F16367" s="33" t="s">
        <v>27</v>
      </c>
      <c r="G16367" s="33" t="s">
        <v>50</v>
      </c>
      <c r="H16367" s="35">
        <v>24</v>
      </c>
      <c r="I16367" s="33" t="s">
        <v>51</v>
      </c>
      <c r="J16367" s="42">
        <v>45047</v>
      </c>
      <c r="K16367" s="33" t="s">
        <v>22</v>
      </c>
    </row>
    <row r="16368" spans="1:11">
      <c r="A16368" s="30" t="s">
        <v>36702</v>
      </c>
      <c r="B16368" s="30" t="s">
        <v>36703</v>
      </c>
      <c r="C16368" s="30" t="s">
        <v>203</v>
      </c>
      <c r="D16368" s="30" t="s">
        <v>17</v>
      </c>
      <c r="E16368" s="30" t="s">
        <v>31</v>
      </c>
      <c r="F16368" s="30" t="s">
        <v>32</v>
      </c>
      <c r="G16368" s="30" t="s">
        <v>20</v>
      </c>
      <c r="H16368" s="32">
        <v>685</v>
      </c>
      <c r="I16368" s="30" t="s">
        <v>21</v>
      </c>
      <c r="J16368" s="41">
        <v>45215</v>
      </c>
      <c r="K16368" s="30" t="s">
        <v>22</v>
      </c>
    </row>
    <row r="16369" spans="1:11">
      <c r="A16369" s="33" t="s">
        <v>36704</v>
      </c>
      <c r="B16369" s="33" t="s">
        <v>36705</v>
      </c>
      <c r="C16369" s="33" t="s">
        <v>36706</v>
      </c>
      <c r="D16369" s="33" t="s">
        <v>17</v>
      </c>
      <c r="E16369" s="33" t="s">
        <v>67</v>
      </c>
      <c r="F16369" s="33" t="s">
        <v>68</v>
      </c>
      <c r="G16369" s="33" t="s">
        <v>140</v>
      </c>
      <c r="H16369" s="35">
        <v>30</v>
      </c>
      <c r="I16369" s="33" t="s">
        <v>51</v>
      </c>
      <c r="J16369" s="42">
        <v>44988</v>
      </c>
      <c r="K16369" s="33" t="s">
        <v>22</v>
      </c>
    </row>
    <row r="16370" spans="1:11">
      <c r="A16370" s="30" t="s">
        <v>36707</v>
      </c>
      <c r="B16370" s="30" t="s">
        <v>36708</v>
      </c>
      <c r="C16370" s="30" t="s">
        <v>2239</v>
      </c>
      <c r="D16370" s="30" t="s">
        <v>17</v>
      </c>
      <c r="E16370" s="30" t="s">
        <v>18</v>
      </c>
      <c r="F16370" s="30" t="s">
        <v>19</v>
      </c>
      <c r="G16370" s="30" t="s">
        <v>20</v>
      </c>
      <c r="H16370" s="32">
        <v>369</v>
      </c>
      <c r="I16370" s="30" t="s">
        <v>21</v>
      </c>
      <c r="J16370" s="41">
        <v>45092</v>
      </c>
      <c r="K16370" s="30" t="s">
        <v>22</v>
      </c>
    </row>
    <row r="16371" spans="1:11">
      <c r="A16371" s="33" t="s">
        <v>36709</v>
      </c>
      <c r="B16371" s="33" t="s">
        <v>36710</v>
      </c>
      <c r="C16371" s="33" t="s">
        <v>36711</v>
      </c>
      <c r="D16371" s="33" t="s">
        <v>17</v>
      </c>
      <c r="E16371" s="33" t="s">
        <v>26</v>
      </c>
      <c r="F16371" s="33" t="s">
        <v>27</v>
      </c>
      <c r="G16371" s="33" t="s">
        <v>158</v>
      </c>
      <c r="H16371" s="35">
        <v>67</v>
      </c>
      <c r="I16371" s="33" t="s">
        <v>21</v>
      </c>
      <c r="J16371" s="42">
        <v>45089</v>
      </c>
      <c r="K16371" s="33" t="s">
        <v>22</v>
      </c>
    </row>
    <row r="16372" spans="1:11">
      <c r="A16372" s="30" t="s">
        <v>36712</v>
      </c>
      <c r="B16372" s="30" t="s">
        <v>36713</v>
      </c>
      <c r="C16372" s="30" t="s">
        <v>102</v>
      </c>
      <c r="D16372" s="30" t="s">
        <v>17</v>
      </c>
      <c r="E16372" s="30" t="s">
        <v>26</v>
      </c>
      <c r="F16372" s="30" t="s">
        <v>27</v>
      </c>
      <c r="G16372" s="30" t="s">
        <v>140</v>
      </c>
      <c r="H16372" s="32">
        <v>241</v>
      </c>
      <c r="I16372" s="30" t="s">
        <v>51</v>
      </c>
      <c r="J16372" s="41">
        <v>45280</v>
      </c>
      <c r="K16372" s="30" t="s">
        <v>22</v>
      </c>
    </row>
    <row r="16373" spans="1:11">
      <c r="A16373" s="33" t="s">
        <v>36714</v>
      </c>
      <c r="B16373" s="33" t="s">
        <v>36715</v>
      </c>
      <c r="C16373" s="33" t="s">
        <v>157</v>
      </c>
      <c r="D16373" s="33" t="s">
        <v>17</v>
      </c>
      <c r="E16373" s="33" t="s">
        <v>26</v>
      </c>
      <c r="F16373" s="33" t="s">
        <v>27</v>
      </c>
      <c r="G16373" s="33" t="s">
        <v>20</v>
      </c>
      <c r="H16373" s="35">
        <v>20</v>
      </c>
      <c r="I16373" s="33" t="s">
        <v>21</v>
      </c>
      <c r="J16373" s="42">
        <v>44963</v>
      </c>
      <c r="K16373" s="33" t="s">
        <v>22</v>
      </c>
    </row>
    <row r="16374" spans="1:11">
      <c r="A16374" s="30" t="s">
        <v>36716</v>
      </c>
      <c r="B16374" s="30" t="s">
        <v>36717</v>
      </c>
      <c r="C16374" s="30" t="s">
        <v>25517</v>
      </c>
      <c r="D16374" s="30" t="s">
        <v>17</v>
      </c>
      <c r="E16374" s="30" t="s">
        <v>31</v>
      </c>
      <c r="F16374" s="30" t="s">
        <v>32</v>
      </c>
      <c r="G16374" s="30" t="s">
        <v>20</v>
      </c>
      <c r="H16374" s="32">
        <v>93</v>
      </c>
      <c r="I16374" s="30" t="s">
        <v>21</v>
      </c>
      <c r="J16374" s="41">
        <v>45086</v>
      </c>
      <c r="K16374" s="30" t="s">
        <v>22</v>
      </c>
    </row>
    <row r="16375" spans="1:11">
      <c r="A16375" s="33" t="s">
        <v>36718</v>
      </c>
      <c r="B16375" s="33" t="s">
        <v>36719</v>
      </c>
      <c r="C16375" s="33" t="s">
        <v>246</v>
      </c>
      <c r="D16375" s="33" t="s">
        <v>17</v>
      </c>
      <c r="E16375" s="33" t="s">
        <v>26</v>
      </c>
      <c r="F16375" s="33" t="s">
        <v>27</v>
      </c>
      <c r="G16375" s="33" t="s">
        <v>50</v>
      </c>
      <c r="H16375" s="35">
        <v>80</v>
      </c>
      <c r="I16375" s="33" t="s">
        <v>51</v>
      </c>
      <c r="J16375" s="42">
        <v>45197</v>
      </c>
      <c r="K16375" s="33" t="s">
        <v>22</v>
      </c>
    </row>
    <row r="16376" spans="1:11">
      <c r="A16376" s="30" t="s">
        <v>36720</v>
      </c>
      <c r="B16376" s="30" t="s">
        <v>36721</v>
      </c>
      <c r="C16376" s="30" t="s">
        <v>310</v>
      </c>
      <c r="D16376" s="30" t="s">
        <v>17</v>
      </c>
      <c r="E16376" s="30" t="s">
        <v>26</v>
      </c>
      <c r="F16376" s="30" t="s">
        <v>27</v>
      </c>
      <c r="G16376" s="30" t="s">
        <v>20</v>
      </c>
      <c r="H16376" s="32">
        <v>264</v>
      </c>
      <c r="I16376" s="30" t="s">
        <v>21</v>
      </c>
      <c r="J16376" s="41">
        <v>45001</v>
      </c>
      <c r="K16376" s="30" t="s">
        <v>22</v>
      </c>
    </row>
    <row r="16377" spans="1:11">
      <c r="A16377" s="33" t="s">
        <v>36722</v>
      </c>
      <c r="B16377" s="33" t="s">
        <v>36723</v>
      </c>
      <c r="C16377" s="33" t="s">
        <v>36724</v>
      </c>
      <c r="D16377" s="33" t="s">
        <v>17</v>
      </c>
      <c r="E16377" s="33" t="s">
        <v>67</v>
      </c>
      <c r="F16377" s="33" t="s">
        <v>68</v>
      </c>
      <c r="G16377" s="33" t="s">
        <v>50</v>
      </c>
      <c r="H16377" s="35">
        <v>64</v>
      </c>
      <c r="I16377" s="33" t="s">
        <v>51</v>
      </c>
      <c r="J16377" s="42">
        <v>44960</v>
      </c>
      <c r="K16377" s="33" t="s">
        <v>22</v>
      </c>
    </row>
    <row r="16378" spans="1:11">
      <c r="A16378" s="30" t="s">
        <v>36725</v>
      </c>
      <c r="B16378" s="30" t="s">
        <v>36726</v>
      </c>
      <c r="C16378" s="30" t="s">
        <v>5410</v>
      </c>
      <c r="D16378" s="30" t="s">
        <v>17</v>
      </c>
      <c r="E16378" s="30" t="s">
        <v>26</v>
      </c>
      <c r="F16378" s="30" t="s">
        <v>27</v>
      </c>
      <c r="G16378" s="30" t="s">
        <v>140</v>
      </c>
      <c r="H16378" s="32">
        <v>200</v>
      </c>
      <c r="I16378" s="30" t="s">
        <v>51</v>
      </c>
      <c r="J16378" s="41">
        <v>45231</v>
      </c>
      <c r="K16378" s="30" t="s">
        <v>22</v>
      </c>
    </row>
    <row r="16379" spans="1:11">
      <c r="A16379" s="33" t="s">
        <v>36727</v>
      </c>
      <c r="B16379" s="33" t="s">
        <v>36728</v>
      </c>
      <c r="C16379" s="33" t="s">
        <v>5100</v>
      </c>
      <c r="D16379" s="33" t="s">
        <v>17</v>
      </c>
      <c r="E16379" s="33" t="s">
        <v>26</v>
      </c>
      <c r="F16379" s="33" t="s">
        <v>27</v>
      </c>
      <c r="G16379" s="33" t="s">
        <v>50</v>
      </c>
      <c r="H16379" s="35">
        <v>12</v>
      </c>
      <c r="I16379" s="33" t="s">
        <v>51</v>
      </c>
      <c r="J16379" s="42">
        <v>44973</v>
      </c>
      <c r="K16379" s="33" t="s">
        <v>22</v>
      </c>
    </row>
    <row r="16380" spans="1:11">
      <c r="A16380" s="30" t="s">
        <v>36729</v>
      </c>
      <c r="B16380" s="30" t="s">
        <v>36730</v>
      </c>
      <c r="C16380" s="30" t="s">
        <v>36731</v>
      </c>
      <c r="D16380" s="30" t="s">
        <v>17</v>
      </c>
      <c r="E16380" s="30" t="s">
        <v>26</v>
      </c>
      <c r="F16380" s="30" t="s">
        <v>27</v>
      </c>
      <c r="G16380" s="30" t="s">
        <v>20</v>
      </c>
      <c r="H16380" s="32">
        <v>24</v>
      </c>
      <c r="I16380" s="30" t="s">
        <v>21</v>
      </c>
      <c r="J16380" s="41">
        <v>45272</v>
      </c>
      <c r="K16380" s="30" t="s">
        <v>22</v>
      </c>
    </row>
    <row r="16381" spans="1:11">
      <c r="A16381" s="33" t="s">
        <v>36732</v>
      </c>
      <c r="B16381" s="33" t="s">
        <v>36733</v>
      </c>
      <c r="C16381" s="33" t="s">
        <v>36734</v>
      </c>
      <c r="D16381" s="33" t="s">
        <v>17</v>
      </c>
      <c r="E16381" s="33" t="s">
        <v>67</v>
      </c>
      <c r="F16381" s="33" t="s">
        <v>68</v>
      </c>
      <c r="G16381" s="33" t="s">
        <v>112</v>
      </c>
      <c r="H16381" s="35">
        <v>0</v>
      </c>
      <c r="I16381" s="33" t="s">
        <v>21</v>
      </c>
      <c r="J16381" s="42">
        <v>45231</v>
      </c>
      <c r="K16381" s="33" t="s">
        <v>22</v>
      </c>
    </row>
    <row r="16382" spans="1:11">
      <c r="A16382" s="30" t="s">
        <v>36735</v>
      </c>
      <c r="B16382" s="30" t="s">
        <v>36736</v>
      </c>
      <c r="C16382" s="30" t="s">
        <v>157</v>
      </c>
      <c r="D16382" s="30" t="s">
        <v>17</v>
      </c>
      <c r="E16382" s="30" t="s">
        <v>18</v>
      </c>
      <c r="F16382" s="30" t="s">
        <v>19</v>
      </c>
      <c r="G16382" s="30" t="s">
        <v>20</v>
      </c>
      <c r="H16382" s="32">
        <v>20</v>
      </c>
      <c r="I16382" s="30" t="s">
        <v>21</v>
      </c>
      <c r="J16382" s="41">
        <v>44929</v>
      </c>
      <c r="K16382" s="30" t="s">
        <v>22</v>
      </c>
    </row>
    <row r="16383" spans="1:11">
      <c r="A16383" s="33" t="s">
        <v>36737</v>
      </c>
      <c r="B16383" s="33" t="s">
        <v>36738</v>
      </c>
      <c r="C16383" s="33" t="s">
        <v>36739</v>
      </c>
      <c r="D16383" s="33" t="s">
        <v>17</v>
      </c>
      <c r="E16383" s="33" t="s">
        <v>26</v>
      </c>
      <c r="F16383" s="33" t="s">
        <v>27</v>
      </c>
      <c r="G16383" s="33" t="s">
        <v>50</v>
      </c>
      <c r="H16383" s="35">
        <v>120</v>
      </c>
      <c r="I16383" s="33" t="s">
        <v>51</v>
      </c>
      <c r="J16383" s="42">
        <v>45026</v>
      </c>
      <c r="K16383" s="33" t="s">
        <v>22</v>
      </c>
    </row>
    <row r="16384" spans="1:11">
      <c r="A16384" s="30" t="s">
        <v>36740</v>
      </c>
      <c r="B16384" s="30" t="s">
        <v>36741</v>
      </c>
      <c r="C16384" s="30" t="s">
        <v>2490</v>
      </c>
      <c r="D16384" s="30" t="s">
        <v>17</v>
      </c>
      <c r="E16384" s="30" t="s">
        <v>26</v>
      </c>
      <c r="F16384" s="30" t="s">
        <v>27</v>
      </c>
      <c r="G16384" s="30" t="s">
        <v>20</v>
      </c>
      <c r="H16384" s="32">
        <v>48</v>
      </c>
      <c r="I16384" s="30" t="s">
        <v>21</v>
      </c>
      <c r="J16384" s="41">
        <v>45048</v>
      </c>
      <c r="K16384" s="30" t="s">
        <v>22</v>
      </c>
    </row>
    <row r="16385" spans="1:11">
      <c r="A16385" s="33" t="s">
        <v>36742</v>
      </c>
      <c r="B16385" s="33" t="s">
        <v>36743</v>
      </c>
      <c r="C16385" s="33" t="s">
        <v>3757</v>
      </c>
      <c r="D16385" s="33" t="s">
        <v>17</v>
      </c>
      <c r="E16385" s="33" t="s">
        <v>18</v>
      </c>
      <c r="F16385" s="33" t="s">
        <v>19</v>
      </c>
      <c r="G16385" s="33" t="s">
        <v>140</v>
      </c>
      <c r="H16385" s="35">
        <v>408</v>
      </c>
      <c r="I16385" s="33" t="s">
        <v>51</v>
      </c>
      <c r="J16385" s="42">
        <v>45180</v>
      </c>
      <c r="K16385" s="33" t="s">
        <v>22</v>
      </c>
    </row>
    <row r="16386" spans="1:11">
      <c r="A16386" s="30" t="s">
        <v>36744</v>
      </c>
      <c r="B16386" s="30" t="s">
        <v>36745</v>
      </c>
      <c r="C16386" s="30" t="s">
        <v>190</v>
      </c>
      <c r="D16386" s="30" t="s">
        <v>17</v>
      </c>
      <c r="E16386" s="30" t="s">
        <v>31</v>
      </c>
      <c r="F16386" s="30" t="s">
        <v>32</v>
      </c>
      <c r="G16386" s="30" t="s">
        <v>158</v>
      </c>
      <c r="H16386" s="32">
        <v>60</v>
      </c>
      <c r="I16386" s="30" t="s">
        <v>21</v>
      </c>
      <c r="J16386" s="41">
        <v>45125</v>
      </c>
      <c r="K16386" s="30" t="s">
        <v>22</v>
      </c>
    </row>
    <row r="16387" spans="1:11">
      <c r="A16387" s="33" t="s">
        <v>36746</v>
      </c>
      <c r="B16387" s="33" t="s">
        <v>36747</v>
      </c>
      <c r="C16387" s="33" t="s">
        <v>969</v>
      </c>
      <c r="D16387" s="33" t="s">
        <v>17</v>
      </c>
      <c r="E16387" s="33" t="s">
        <v>31</v>
      </c>
      <c r="F16387" s="33" t="s">
        <v>32</v>
      </c>
      <c r="G16387" s="33" t="s">
        <v>112</v>
      </c>
      <c r="H16387" s="35">
        <v>0</v>
      </c>
      <c r="I16387" s="33" t="s">
        <v>21</v>
      </c>
      <c r="J16387" s="42">
        <v>45213</v>
      </c>
      <c r="K16387" s="33" t="s">
        <v>22</v>
      </c>
    </row>
    <row r="16388" spans="1:11">
      <c r="A16388" s="30" t="s">
        <v>36748</v>
      </c>
      <c r="B16388" s="30" t="s">
        <v>36749</v>
      </c>
      <c r="C16388" s="30" t="s">
        <v>5817</v>
      </c>
      <c r="D16388" s="30" t="s">
        <v>17</v>
      </c>
      <c r="E16388" s="30" t="s">
        <v>31</v>
      </c>
      <c r="F16388" s="30" t="s">
        <v>32</v>
      </c>
      <c r="G16388" s="30" t="s">
        <v>20</v>
      </c>
      <c r="H16388" s="32">
        <v>107</v>
      </c>
      <c r="I16388" s="30" t="s">
        <v>21</v>
      </c>
      <c r="J16388" s="41">
        <v>45076</v>
      </c>
      <c r="K16388" s="30" t="s">
        <v>22</v>
      </c>
    </row>
    <row r="16389" spans="1:11">
      <c r="A16389" s="33" t="s">
        <v>36750</v>
      </c>
      <c r="B16389" s="33" t="s">
        <v>36751</v>
      </c>
      <c r="C16389" s="33" t="s">
        <v>36675</v>
      </c>
      <c r="D16389" s="33" t="s">
        <v>17</v>
      </c>
      <c r="E16389" s="33" t="s">
        <v>67</v>
      </c>
      <c r="F16389" s="33" t="s">
        <v>68</v>
      </c>
      <c r="G16389" s="33" t="s">
        <v>106</v>
      </c>
      <c r="H16389" s="35">
        <v>21</v>
      </c>
      <c r="I16389" s="33" t="s">
        <v>21</v>
      </c>
      <c r="J16389" s="42">
        <v>45189</v>
      </c>
      <c r="K16389" s="33" t="s">
        <v>22</v>
      </c>
    </row>
    <row r="16390" spans="1:11">
      <c r="A16390" s="30" t="s">
        <v>36752</v>
      </c>
      <c r="B16390" s="30" t="s">
        <v>36753</v>
      </c>
      <c r="C16390" s="30" t="s">
        <v>190</v>
      </c>
      <c r="D16390" s="30" t="s">
        <v>17</v>
      </c>
      <c r="E16390" s="30" t="s">
        <v>26</v>
      </c>
      <c r="F16390" s="30" t="s">
        <v>27</v>
      </c>
      <c r="G16390" s="30" t="s">
        <v>106</v>
      </c>
      <c r="H16390" s="32">
        <v>18</v>
      </c>
      <c r="I16390" s="30" t="s">
        <v>21</v>
      </c>
      <c r="J16390" s="41">
        <v>45072</v>
      </c>
      <c r="K16390" s="30" t="s">
        <v>22</v>
      </c>
    </row>
    <row r="16391" spans="1:11">
      <c r="A16391" s="33" t="s">
        <v>36754</v>
      </c>
      <c r="B16391" s="33" t="s">
        <v>36755</v>
      </c>
      <c r="C16391" s="33" t="s">
        <v>7094</v>
      </c>
      <c r="D16391" s="33" t="s">
        <v>17</v>
      </c>
      <c r="E16391" s="33" t="s">
        <v>212</v>
      </c>
      <c r="F16391" s="33" t="s">
        <v>213</v>
      </c>
      <c r="G16391" s="33" t="s">
        <v>20</v>
      </c>
      <c r="H16391" s="35">
        <v>120</v>
      </c>
      <c r="I16391" s="33" t="s">
        <v>21</v>
      </c>
      <c r="J16391" s="42">
        <v>45172</v>
      </c>
      <c r="K16391" s="33" t="s">
        <v>22</v>
      </c>
    </row>
    <row r="16392" spans="1:11">
      <c r="A16392" s="30" t="s">
        <v>36756</v>
      </c>
      <c r="B16392" s="30" t="s">
        <v>36757</v>
      </c>
      <c r="C16392" s="30" t="s">
        <v>31709</v>
      </c>
      <c r="D16392" s="30" t="s">
        <v>17</v>
      </c>
      <c r="E16392" s="30" t="s">
        <v>18</v>
      </c>
      <c r="F16392" s="30" t="s">
        <v>19</v>
      </c>
      <c r="G16392" s="30" t="s">
        <v>50</v>
      </c>
      <c r="H16392" s="32">
        <v>558</v>
      </c>
      <c r="I16392" s="30" t="s">
        <v>51</v>
      </c>
      <c r="J16392" s="41">
        <v>45232</v>
      </c>
      <c r="K16392" s="30" t="s">
        <v>22</v>
      </c>
    </row>
    <row r="16393" spans="1:11">
      <c r="A16393" s="33" t="s">
        <v>36758</v>
      </c>
      <c r="B16393" s="33" t="s">
        <v>36759</v>
      </c>
      <c r="C16393" s="33" t="s">
        <v>10422</v>
      </c>
      <c r="D16393" s="33" t="s">
        <v>17</v>
      </c>
      <c r="E16393" s="33" t="s">
        <v>26</v>
      </c>
      <c r="F16393" s="33" t="s">
        <v>27</v>
      </c>
      <c r="G16393" s="33" t="s">
        <v>140</v>
      </c>
      <c r="H16393" s="35">
        <v>90</v>
      </c>
      <c r="I16393" s="33" t="s">
        <v>51</v>
      </c>
      <c r="J16393" s="42">
        <v>45078</v>
      </c>
      <c r="K16393" s="33" t="s">
        <v>22</v>
      </c>
    </row>
    <row r="16394" spans="1:11">
      <c r="A16394" s="30" t="s">
        <v>36760</v>
      </c>
      <c r="B16394" s="30" t="s">
        <v>36761</v>
      </c>
      <c r="C16394" s="30" t="s">
        <v>29544</v>
      </c>
      <c r="D16394" s="30" t="s">
        <v>17</v>
      </c>
      <c r="E16394" s="30" t="s">
        <v>26</v>
      </c>
      <c r="F16394" s="30" t="s">
        <v>27</v>
      </c>
      <c r="G16394" s="30" t="s">
        <v>50</v>
      </c>
      <c r="H16394" s="32">
        <v>40</v>
      </c>
      <c r="I16394" s="30" t="s">
        <v>51</v>
      </c>
      <c r="J16394" s="41">
        <v>45139</v>
      </c>
      <c r="K16394" s="30" t="s">
        <v>22</v>
      </c>
    </row>
    <row r="16395" spans="1:11">
      <c r="A16395" s="33" t="s">
        <v>36762</v>
      </c>
      <c r="B16395" s="33" t="s">
        <v>36763</v>
      </c>
      <c r="C16395" s="33" t="s">
        <v>9908</v>
      </c>
      <c r="D16395" s="33" t="s">
        <v>17</v>
      </c>
      <c r="E16395" s="33" t="s">
        <v>67</v>
      </c>
      <c r="F16395" s="33" t="s">
        <v>68</v>
      </c>
      <c r="G16395" s="33" t="s">
        <v>50</v>
      </c>
      <c r="H16395" s="35">
        <v>36</v>
      </c>
      <c r="I16395" s="33" t="s">
        <v>51</v>
      </c>
      <c r="J16395" s="42">
        <v>45260</v>
      </c>
      <c r="K16395" s="33" t="s">
        <v>22</v>
      </c>
    </row>
    <row r="16396" spans="1:11">
      <c r="A16396" s="30" t="s">
        <v>36764</v>
      </c>
      <c r="B16396" s="30" t="s">
        <v>36765</v>
      </c>
      <c r="C16396" s="30" t="s">
        <v>136</v>
      </c>
      <c r="D16396" s="30" t="s">
        <v>17</v>
      </c>
      <c r="E16396" s="30" t="s">
        <v>26</v>
      </c>
      <c r="F16396" s="30" t="s">
        <v>27</v>
      </c>
      <c r="G16396" s="30" t="s">
        <v>20</v>
      </c>
      <c r="H16396" s="32">
        <v>35</v>
      </c>
      <c r="I16396" s="30" t="s">
        <v>21</v>
      </c>
      <c r="J16396" s="41">
        <v>45226</v>
      </c>
      <c r="K16396" s="30" t="s">
        <v>22</v>
      </c>
    </row>
    <row r="16397" spans="1:11">
      <c r="A16397" s="33" t="s">
        <v>36766</v>
      </c>
      <c r="B16397" s="33" t="s">
        <v>36767</v>
      </c>
      <c r="C16397" s="33" t="s">
        <v>190</v>
      </c>
      <c r="D16397" s="33" t="s">
        <v>17</v>
      </c>
      <c r="E16397" s="33" t="s">
        <v>18</v>
      </c>
      <c r="F16397" s="33" t="s">
        <v>19</v>
      </c>
      <c r="G16397" s="33" t="s">
        <v>158</v>
      </c>
      <c r="H16397" s="35">
        <v>111</v>
      </c>
      <c r="I16397" s="33" t="s">
        <v>21</v>
      </c>
      <c r="J16397" s="42">
        <v>45104</v>
      </c>
      <c r="K16397" s="33" t="s">
        <v>22</v>
      </c>
    </row>
    <row r="16398" spans="1:11">
      <c r="A16398" s="30" t="s">
        <v>36768</v>
      </c>
      <c r="B16398" s="30" t="s">
        <v>36769</v>
      </c>
      <c r="C16398" s="30" t="s">
        <v>329</v>
      </c>
      <c r="D16398" s="30" t="s">
        <v>17</v>
      </c>
      <c r="E16398" s="30" t="s">
        <v>26</v>
      </c>
      <c r="F16398" s="30" t="s">
        <v>27</v>
      </c>
      <c r="G16398" s="30" t="s">
        <v>20</v>
      </c>
      <c r="H16398" s="32">
        <v>60</v>
      </c>
      <c r="I16398" s="30" t="s">
        <v>21</v>
      </c>
      <c r="J16398" s="41">
        <v>45280</v>
      </c>
      <c r="K16398" s="30" t="s">
        <v>22</v>
      </c>
    </row>
    <row r="16399" spans="1:11">
      <c r="A16399" s="33" t="s">
        <v>36770</v>
      </c>
      <c r="B16399" s="33" t="s">
        <v>36771</v>
      </c>
      <c r="C16399" s="33" t="s">
        <v>17394</v>
      </c>
      <c r="D16399" s="33" t="s">
        <v>17</v>
      </c>
      <c r="E16399" s="33" t="s">
        <v>31</v>
      </c>
      <c r="F16399" s="33" t="s">
        <v>32</v>
      </c>
      <c r="G16399" s="33" t="s">
        <v>20</v>
      </c>
      <c r="H16399" s="35">
        <v>13</v>
      </c>
      <c r="I16399" s="33" t="s">
        <v>21</v>
      </c>
      <c r="J16399" s="42">
        <v>45050</v>
      </c>
      <c r="K16399" s="33" t="s">
        <v>22</v>
      </c>
    </row>
    <row r="16400" spans="1:11">
      <c r="A16400" s="30" t="s">
        <v>36772</v>
      </c>
      <c r="B16400" s="30" t="s">
        <v>36773</v>
      </c>
      <c r="C16400" s="30" t="s">
        <v>149</v>
      </c>
      <c r="D16400" s="30" t="s">
        <v>17</v>
      </c>
      <c r="E16400" s="30" t="s">
        <v>26</v>
      </c>
      <c r="F16400" s="30" t="s">
        <v>27</v>
      </c>
      <c r="G16400" s="30" t="s">
        <v>50</v>
      </c>
      <c r="H16400" s="32">
        <v>9</v>
      </c>
      <c r="I16400" s="30" t="s">
        <v>51</v>
      </c>
      <c r="J16400" s="41">
        <v>45200</v>
      </c>
      <c r="K16400" s="30" t="s">
        <v>22</v>
      </c>
    </row>
    <row r="16401" spans="1:11">
      <c r="A16401" s="33" t="s">
        <v>36774</v>
      </c>
      <c r="B16401" s="33" t="s">
        <v>36775</v>
      </c>
      <c r="C16401" s="33" t="s">
        <v>33920</v>
      </c>
      <c r="D16401" s="33" t="s">
        <v>17</v>
      </c>
      <c r="E16401" s="33" t="s">
        <v>26</v>
      </c>
      <c r="F16401" s="33" t="s">
        <v>27</v>
      </c>
      <c r="G16401" s="33" t="s">
        <v>50</v>
      </c>
      <c r="H16401" s="35">
        <v>60</v>
      </c>
      <c r="I16401" s="33" t="s">
        <v>51</v>
      </c>
      <c r="J16401" s="42">
        <v>45093</v>
      </c>
      <c r="K16401" s="33" t="s">
        <v>22</v>
      </c>
    </row>
    <row r="16402" spans="1:11">
      <c r="A16402" s="30" t="s">
        <v>36776</v>
      </c>
      <c r="B16402" s="30" t="s">
        <v>36777</v>
      </c>
      <c r="C16402" s="30" t="s">
        <v>21405</v>
      </c>
      <c r="D16402" s="30" t="s">
        <v>17</v>
      </c>
      <c r="E16402" s="30" t="s">
        <v>18</v>
      </c>
      <c r="F16402" s="30" t="s">
        <v>19</v>
      </c>
      <c r="G16402" s="30" t="s">
        <v>112</v>
      </c>
      <c r="H16402" s="32">
        <v>0</v>
      </c>
      <c r="I16402" s="30" t="s">
        <v>21</v>
      </c>
      <c r="J16402" s="41">
        <v>44927</v>
      </c>
      <c r="K16402" s="30" t="s">
        <v>22</v>
      </c>
    </row>
    <row r="16403" spans="1:11">
      <c r="A16403" s="33" t="s">
        <v>36778</v>
      </c>
      <c r="B16403" s="33" t="s">
        <v>36779</v>
      </c>
      <c r="C16403" s="33" t="s">
        <v>109</v>
      </c>
      <c r="D16403" s="33" t="s">
        <v>17</v>
      </c>
      <c r="E16403" s="33" t="s">
        <v>18</v>
      </c>
      <c r="F16403" s="33" t="s">
        <v>19</v>
      </c>
      <c r="G16403" s="33" t="s">
        <v>158</v>
      </c>
      <c r="H16403" s="35">
        <v>383</v>
      </c>
      <c r="I16403" s="33" t="s">
        <v>21</v>
      </c>
      <c r="J16403" s="42">
        <v>45113</v>
      </c>
      <c r="K16403" s="33" t="s">
        <v>22</v>
      </c>
    </row>
    <row r="16404" spans="1:11">
      <c r="A16404" s="30" t="s">
        <v>36780</v>
      </c>
      <c r="B16404" s="30" t="s">
        <v>36781</v>
      </c>
      <c r="C16404" s="30" t="s">
        <v>36782</v>
      </c>
      <c r="D16404" s="30" t="s">
        <v>17</v>
      </c>
      <c r="E16404" s="30" t="s">
        <v>67</v>
      </c>
      <c r="F16404" s="30" t="s">
        <v>68</v>
      </c>
      <c r="G16404" s="30" t="s">
        <v>158</v>
      </c>
      <c r="H16404" s="32">
        <v>4</v>
      </c>
      <c r="I16404" s="30" t="s">
        <v>51</v>
      </c>
      <c r="J16404" s="41">
        <v>45177</v>
      </c>
      <c r="K16404" s="30" t="s">
        <v>22</v>
      </c>
    </row>
    <row r="16405" spans="1:11">
      <c r="A16405" s="33" t="s">
        <v>36783</v>
      </c>
      <c r="B16405" s="33" t="s">
        <v>36784</v>
      </c>
      <c r="C16405" s="33" t="s">
        <v>36785</v>
      </c>
      <c r="D16405" s="33" t="s">
        <v>17</v>
      </c>
      <c r="E16405" s="33" t="s">
        <v>26</v>
      </c>
      <c r="F16405" s="33" t="s">
        <v>27</v>
      </c>
      <c r="G16405" s="33" t="s">
        <v>20</v>
      </c>
      <c r="H16405" s="35">
        <v>112</v>
      </c>
      <c r="I16405" s="33" t="s">
        <v>21</v>
      </c>
      <c r="J16405" s="42">
        <v>45135</v>
      </c>
      <c r="K16405" s="33" t="s">
        <v>22</v>
      </c>
    </row>
    <row r="16406" spans="1:11">
      <c r="A16406" s="30" t="s">
        <v>36786</v>
      </c>
      <c r="B16406" s="30" t="s">
        <v>36787</v>
      </c>
      <c r="C16406" s="30" t="s">
        <v>36788</v>
      </c>
      <c r="D16406" s="30" t="s">
        <v>17</v>
      </c>
      <c r="E16406" s="30" t="s">
        <v>212</v>
      </c>
      <c r="F16406" s="30" t="s">
        <v>213</v>
      </c>
      <c r="G16406" s="30" t="s">
        <v>20</v>
      </c>
      <c r="H16406" s="32">
        <v>10</v>
      </c>
      <c r="I16406" s="30" t="s">
        <v>21</v>
      </c>
      <c r="J16406" s="41">
        <v>45230</v>
      </c>
      <c r="K16406" s="30" t="s">
        <v>22</v>
      </c>
    </row>
    <row r="16407" spans="1:11">
      <c r="A16407" s="33" t="s">
        <v>36789</v>
      </c>
      <c r="B16407" s="33" t="s">
        <v>36790</v>
      </c>
      <c r="C16407" s="33" t="s">
        <v>34440</v>
      </c>
      <c r="D16407" s="33" t="s">
        <v>17</v>
      </c>
      <c r="E16407" s="33" t="s">
        <v>26</v>
      </c>
      <c r="F16407" s="33" t="s">
        <v>27</v>
      </c>
      <c r="G16407" s="33" t="s">
        <v>50</v>
      </c>
      <c r="H16407" s="35">
        <v>14</v>
      </c>
      <c r="I16407" s="33" t="s">
        <v>51</v>
      </c>
      <c r="J16407" s="42">
        <v>45086</v>
      </c>
      <c r="K16407" s="33" t="s">
        <v>22</v>
      </c>
    </row>
    <row r="16408" spans="1:11">
      <c r="A16408" s="30" t="s">
        <v>36791</v>
      </c>
      <c r="B16408" s="30" t="s">
        <v>36792</v>
      </c>
      <c r="C16408" s="30" t="s">
        <v>36793</v>
      </c>
      <c r="D16408" s="30" t="s">
        <v>17</v>
      </c>
      <c r="E16408" s="30" t="s">
        <v>26</v>
      </c>
      <c r="F16408" s="30" t="s">
        <v>27</v>
      </c>
      <c r="G16408" s="30" t="s">
        <v>20</v>
      </c>
      <c r="H16408" s="32">
        <v>30</v>
      </c>
      <c r="I16408" s="30" t="s">
        <v>21</v>
      </c>
      <c r="J16408" s="41">
        <v>45106</v>
      </c>
      <c r="K16408" s="30" t="s">
        <v>22</v>
      </c>
    </row>
    <row r="16409" spans="1:11">
      <c r="A16409" s="33" t="s">
        <v>36794</v>
      </c>
      <c r="B16409" s="33" t="s">
        <v>36795</v>
      </c>
      <c r="C16409" s="33" t="s">
        <v>75</v>
      </c>
      <c r="D16409" s="33" t="s">
        <v>17</v>
      </c>
      <c r="E16409" s="33" t="s">
        <v>31</v>
      </c>
      <c r="F16409" s="33" t="s">
        <v>32</v>
      </c>
      <c r="G16409" s="33" t="s">
        <v>20</v>
      </c>
      <c r="H16409" s="35">
        <v>109</v>
      </c>
      <c r="I16409" s="33" t="s">
        <v>21</v>
      </c>
      <c r="J16409" s="42">
        <v>45019</v>
      </c>
      <c r="K16409" s="33" t="s">
        <v>22</v>
      </c>
    </row>
    <row r="16410" spans="1:11">
      <c r="A16410" s="30" t="s">
        <v>36796</v>
      </c>
      <c r="B16410" s="30" t="s">
        <v>36797</v>
      </c>
      <c r="C16410" s="30" t="s">
        <v>136</v>
      </c>
      <c r="D16410" s="30" t="s">
        <v>17</v>
      </c>
      <c r="E16410" s="30" t="s">
        <v>31</v>
      </c>
      <c r="F16410" s="30" t="s">
        <v>32</v>
      </c>
      <c r="G16410" s="30" t="s">
        <v>158</v>
      </c>
      <c r="H16410" s="32">
        <v>140</v>
      </c>
      <c r="I16410" s="30" t="s">
        <v>51</v>
      </c>
      <c r="J16410" s="41">
        <v>44965</v>
      </c>
      <c r="K16410" s="30" t="s">
        <v>22</v>
      </c>
    </row>
    <row r="16411" spans="1:11">
      <c r="A16411" s="33" t="s">
        <v>36798</v>
      </c>
      <c r="B16411" s="33" t="s">
        <v>36799</v>
      </c>
      <c r="C16411" s="33" t="s">
        <v>18915</v>
      </c>
      <c r="D16411" s="33" t="s">
        <v>17</v>
      </c>
      <c r="E16411" s="33" t="s">
        <v>31</v>
      </c>
      <c r="F16411" s="33" t="s">
        <v>32</v>
      </c>
      <c r="G16411" s="33" t="s">
        <v>20</v>
      </c>
      <c r="H16411" s="35">
        <v>234</v>
      </c>
      <c r="I16411" s="33" t="s">
        <v>21</v>
      </c>
      <c r="J16411" s="42">
        <v>45270</v>
      </c>
      <c r="K16411" s="33" t="s">
        <v>22</v>
      </c>
    </row>
    <row r="16412" spans="1:11">
      <c r="A16412" s="30" t="s">
        <v>36800</v>
      </c>
      <c r="B16412" s="30" t="s">
        <v>36801</v>
      </c>
      <c r="C16412" s="30" t="s">
        <v>20576</v>
      </c>
      <c r="D16412" s="30" t="s">
        <v>17</v>
      </c>
      <c r="E16412" s="30" t="s">
        <v>26</v>
      </c>
      <c r="F16412" s="30" t="s">
        <v>27</v>
      </c>
      <c r="G16412" s="30" t="s">
        <v>20</v>
      </c>
      <c r="H16412" s="32">
        <v>12</v>
      </c>
      <c r="I16412" s="30" t="s">
        <v>21</v>
      </c>
      <c r="J16412" s="41">
        <v>45058</v>
      </c>
      <c r="K16412" s="30" t="s">
        <v>22</v>
      </c>
    </row>
    <row r="16413" spans="1:11">
      <c r="A16413" s="33" t="s">
        <v>36802</v>
      </c>
      <c r="B16413" s="33" t="s">
        <v>36803</v>
      </c>
      <c r="C16413" s="33" t="s">
        <v>29479</v>
      </c>
      <c r="D16413" s="33" t="s">
        <v>17</v>
      </c>
      <c r="E16413" s="33" t="s">
        <v>31</v>
      </c>
      <c r="F16413" s="33" t="s">
        <v>32</v>
      </c>
      <c r="G16413" s="33" t="s">
        <v>158</v>
      </c>
      <c r="H16413" s="35">
        <v>1512</v>
      </c>
      <c r="I16413" s="33" t="s">
        <v>21</v>
      </c>
      <c r="J16413" s="42">
        <v>44934</v>
      </c>
      <c r="K16413" s="33" t="s">
        <v>22</v>
      </c>
    </row>
    <row r="16414" spans="1:11">
      <c r="A16414" s="30" t="s">
        <v>36804</v>
      </c>
      <c r="B16414" s="30" t="s">
        <v>36805</v>
      </c>
      <c r="C16414" s="30" t="s">
        <v>36806</v>
      </c>
      <c r="D16414" s="30" t="s">
        <v>17</v>
      </c>
      <c r="E16414" s="30" t="s">
        <v>26</v>
      </c>
      <c r="F16414" s="30" t="s">
        <v>27</v>
      </c>
      <c r="G16414" s="30" t="s">
        <v>20</v>
      </c>
      <c r="H16414" s="32">
        <v>32</v>
      </c>
      <c r="I16414" s="30" t="s">
        <v>21</v>
      </c>
      <c r="J16414" s="41">
        <v>45121</v>
      </c>
      <c r="K16414" s="30" t="s">
        <v>22</v>
      </c>
    </row>
    <row r="16415" spans="1:11">
      <c r="A16415" s="33" t="s">
        <v>36807</v>
      </c>
      <c r="B16415" s="33" t="s">
        <v>36808</v>
      </c>
      <c r="C16415" s="33" t="s">
        <v>17501</v>
      </c>
      <c r="D16415" s="33" t="s">
        <v>17</v>
      </c>
      <c r="E16415" s="33" t="s">
        <v>26</v>
      </c>
      <c r="F16415" s="33" t="s">
        <v>27</v>
      </c>
      <c r="G16415" s="33" t="s">
        <v>20</v>
      </c>
      <c r="H16415" s="35">
        <v>28</v>
      </c>
      <c r="I16415" s="33" t="s">
        <v>21</v>
      </c>
      <c r="J16415" s="42">
        <v>45215</v>
      </c>
      <c r="K16415" s="33" t="s">
        <v>22</v>
      </c>
    </row>
    <row r="16416" spans="1:11">
      <c r="A16416" s="30" t="s">
        <v>36809</v>
      </c>
      <c r="B16416" s="30" t="s">
        <v>36810</v>
      </c>
      <c r="C16416" s="30" t="s">
        <v>4056</v>
      </c>
      <c r="D16416" s="30" t="s">
        <v>17</v>
      </c>
      <c r="E16416" s="30" t="s">
        <v>31</v>
      </c>
      <c r="F16416" s="30" t="s">
        <v>32</v>
      </c>
      <c r="G16416" s="30" t="s">
        <v>20</v>
      </c>
      <c r="H16416" s="32">
        <v>182</v>
      </c>
      <c r="I16416" s="30" t="s">
        <v>21</v>
      </c>
      <c r="J16416" s="41">
        <v>45236</v>
      </c>
      <c r="K16416" s="30" t="s">
        <v>22</v>
      </c>
    </row>
    <row r="16417" spans="1:11">
      <c r="A16417" s="33" t="s">
        <v>36811</v>
      </c>
      <c r="B16417" s="33" t="s">
        <v>36812</v>
      </c>
      <c r="C16417" s="33" t="s">
        <v>5243</v>
      </c>
      <c r="D16417" s="33" t="s">
        <v>17</v>
      </c>
      <c r="E16417" s="33" t="s">
        <v>67</v>
      </c>
      <c r="F16417" s="33" t="s">
        <v>68</v>
      </c>
      <c r="G16417" s="33" t="s">
        <v>20</v>
      </c>
      <c r="H16417" s="35">
        <v>19</v>
      </c>
      <c r="I16417" s="33" t="s">
        <v>21</v>
      </c>
      <c r="J16417" s="42">
        <v>44998</v>
      </c>
      <c r="K16417" s="33" t="s">
        <v>22</v>
      </c>
    </row>
    <row r="16418" spans="1:11">
      <c r="A16418" s="30" t="s">
        <v>36813</v>
      </c>
      <c r="B16418" s="30" t="s">
        <v>36814</v>
      </c>
      <c r="C16418" s="30" t="s">
        <v>570</v>
      </c>
      <c r="D16418" s="30" t="s">
        <v>17</v>
      </c>
      <c r="E16418" s="30" t="s">
        <v>18</v>
      </c>
      <c r="F16418" s="30" t="s">
        <v>19</v>
      </c>
      <c r="G16418" s="30" t="s">
        <v>50</v>
      </c>
      <c r="H16418" s="32">
        <v>318</v>
      </c>
      <c r="I16418" s="30" t="s">
        <v>51</v>
      </c>
      <c r="J16418" s="41">
        <v>45013</v>
      </c>
      <c r="K16418" s="30" t="s">
        <v>22</v>
      </c>
    </row>
    <row r="16419" spans="1:11">
      <c r="A16419" s="33" t="s">
        <v>36815</v>
      </c>
      <c r="B16419" s="33" t="s">
        <v>36816</v>
      </c>
      <c r="C16419" s="33" t="s">
        <v>17061</v>
      </c>
      <c r="D16419" s="33" t="s">
        <v>17</v>
      </c>
      <c r="E16419" s="33" t="s">
        <v>67</v>
      </c>
      <c r="F16419" s="33" t="s">
        <v>68</v>
      </c>
      <c r="G16419" s="33" t="s">
        <v>140</v>
      </c>
      <c r="H16419" s="35">
        <v>168</v>
      </c>
      <c r="I16419" s="33" t="s">
        <v>51</v>
      </c>
      <c r="J16419" s="42">
        <v>45223</v>
      </c>
      <c r="K16419" s="33" t="s">
        <v>22</v>
      </c>
    </row>
    <row r="16420" spans="1:11">
      <c r="A16420" s="30" t="s">
        <v>36817</v>
      </c>
      <c r="B16420" s="30" t="s">
        <v>36818</v>
      </c>
      <c r="C16420" s="30" t="s">
        <v>36819</v>
      </c>
      <c r="D16420" s="30" t="s">
        <v>17</v>
      </c>
      <c r="E16420" s="30" t="s">
        <v>67</v>
      </c>
      <c r="F16420" s="30" t="s">
        <v>68</v>
      </c>
      <c r="G16420" s="30" t="s">
        <v>140</v>
      </c>
      <c r="H16420" s="32">
        <v>17</v>
      </c>
      <c r="I16420" s="30" t="s">
        <v>51</v>
      </c>
      <c r="J16420" s="41">
        <v>45243</v>
      </c>
      <c r="K16420" s="30" t="s">
        <v>22</v>
      </c>
    </row>
    <row r="16421" spans="1:11">
      <c r="A16421" s="33" t="s">
        <v>36820</v>
      </c>
      <c r="B16421" s="33" t="s">
        <v>36821</v>
      </c>
      <c r="C16421" s="33" t="s">
        <v>136</v>
      </c>
      <c r="D16421" s="33" t="s">
        <v>17</v>
      </c>
      <c r="E16421" s="33" t="s">
        <v>18</v>
      </c>
      <c r="F16421" s="33" t="s">
        <v>19</v>
      </c>
      <c r="G16421" s="33" t="s">
        <v>20</v>
      </c>
      <c r="H16421" s="35">
        <v>90</v>
      </c>
      <c r="I16421" s="33" t="s">
        <v>21</v>
      </c>
      <c r="J16421" s="42">
        <v>44938</v>
      </c>
      <c r="K16421" s="33" t="s">
        <v>22</v>
      </c>
    </row>
    <row r="16422" spans="1:11">
      <c r="A16422" s="30" t="s">
        <v>36822</v>
      </c>
      <c r="B16422" s="30" t="s">
        <v>36823</v>
      </c>
      <c r="C16422" s="30" t="s">
        <v>36824</v>
      </c>
      <c r="D16422" s="30" t="s">
        <v>17</v>
      </c>
      <c r="E16422" s="30" t="s">
        <v>67</v>
      </c>
      <c r="F16422" s="30" t="s">
        <v>68</v>
      </c>
      <c r="G16422" s="30" t="s">
        <v>140</v>
      </c>
      <c r="H16422" s="32">
        <v>18</v>
      </c>
      <c r="I16422" s="30" t="s">
        <v>51</v>
      </c>
      <c r="J16422" s="41">
        <v>45168</v>
      </c>
      <c r="K16422" s="30" t="s">
        <v>22</v>
      </c>
    </row>
    <row r="16423" spans="1:11">
      <c r="A16423" s="33" t="s">
        <v>36825</v>
      </c>
      <c r="B16423" s="33" t="s">
        <v>36826</v>
      </c>
      <c r="C16423" s="33" t="s">
        <v>17076</v>
      </c>
      <c r="D16423" s="33" t="s">
        <v>17</v>
      </c>
      <c r="E16423" s="33" t="s">
        <v>18</v>
      </c>
      <c r="F16423" s="33" t="s">
        <v>19</v>
      </c>
      <c r="G16423" s="33" t="s">
        <v>140</v>
      </c>
      <c r="H16423" s="35">
        <v>120</v>
      </c>
      <c r="I16423" s="33" t="s">
        <v>51</v>
      </c>
      <c r="J16423" s="42">
        <v>45287</v>
      </c>
      <c r="K16423" s="33" t="s">
        <v>22</v>
      </c>
    </row>
    <row r="16424" spans="1:11">
      <c r="A16424" s="30" t="s">
        <v>36827</v>
      </c>
      <c r="B16424" s="30" t="s">
        <v>36828</v>
      </c>
      <c r="C16424" s="30" t="s">
        <v>647</v>
      </c>
      <c r="D16424" s="30" t="s">
        <v>17</v>
      </c>
      <c r="E16424" s="30" t="s">
        <v>18</v>
      </c>
      <c r="F16424" s="30" t="s">
        <v>19</v>
      </c>
      <c r="G16424" s="30" t="s">
        <v>158</v>
      </c>
      <c r="H16424" s="32">
        <v>377</v>
      </c>
      <c r="I16424" s="30" t="s">
        <v>21</v>
      </c>
      <c r="J16424" s="41">
        <v>44971</v>
      </c>
      <c r="K16424" s="30" t="s">
        <v>22</v>
      </c>
    </row>
    <row r="16425" spans="1:11">
      <c r="A16425" s="33" t="s">
        <v>36829</v>
      </c>
      <c r="B16425" s="33" t="s">
        <v>36830</v>
      </c>
      <c r="C16425" s="33" t="s">
        <v>36831</v>
      </c>
      <c r="D16425" s="33" t="s">
        <v>17</v>
      </c>
      <c r="E16425" s="33" t="s">
        <v>26</v>
      </c>
      <c r="F16425" s="33" t="s">
        <v>27</v>
      </c>
      <c r="G16425" s="33" t="s">
        <v>140</v>
      </c>
      <c r="H16425" s="35">
        <v>48</v>
      </c>
      <c r="I16425" s="33" t="s">
        <v>51</v>
      </c>
      <c r="J16425" s="42">
        <v>45055</v>
      </c>
      <c r="K16425" s="33" t="s">
        <v>22</v>
      </c>
    </row>
    <row r="16426" spans="1:11">
      <c r="A16426" s="30" t="s">
        <v>36832</v>
      </c>
      <c r="B16426" s="30" t="s">
        <v>36833</v>
      </c>
      <c r="C16426" s="30" t="s">
        <v>6445</v>
      </c>
      <c r="D16426" s="30" t="s">
        <v>17</v>
      </c>
      <c r="E16426" s="30" t="s">
        <v>26</v>
      </c>
      <c r="F16426" s="30" t="s">
        <v>27</v>
      </c>
      <c r="G16426" s="30" t="s">
        <v>20</v>
      </c>
      <c r="H16426" s="32">
        <v>60</v>
      </c>
      <c r="I16426" s="30" t="s">
        <v>21</v>
      </c>
      <c r="J16426" s="41">
        <v>44929</v>
      </c>
      <c r="K16426" s="30" t="s">
        <v>22</v>
      </c>
    </row>
    <row r="16427" spans="1:11">
      <c r="A16427" s="33" t="s">
        <v>36834</v>
      </c>
      <c r="B16427" s="33" t="s">
        <v>36835</v>
      </c>
      <c r="C16427" s="33" t="s">
        <v>1270</v>
      </c>
      <c r="D16427" s="33" t="s">
        <v>17</v>
      </c>
      <c r="E16427" s="33" t="s">
        <v>31</v>
      </c>
      <c r="F16427" s="33" t="s">
        <v>32</v>
      </c>
      <c r="G16427" s="33" t="s">
        <v>50</v>
      </c>
      <c r="H16427" s="35">
        <v>144</v>
      </c>
      <c r="I16427" s="33" t="s">
        <v>51</v>
      </c>
      <c r="J16427" s="42">
        <v>45169</v>
      </c>
      <c r="K16427" s="33" t="s">
        <v>22</v>
      </c>
    </row>
    <row r="16428" spans="1:11">
      <c r="A16428" s="30" t="s">
        <v>36836</v>
      </c>
      <c r="B16428" s="30" t="s">
        <v>36837</v>
      </c>
      <c r="C16428" s="30" t="s">
        <v>36838</v>
      </c>
      <c r="D16428" s="30" t="s">
        <v>17</v>
      </c>
      <c r="E16428" s="30" t="s">
        <v>26</v>
      </c>
      <c r="F16428" s="30" t="s">
        <v>27</v>
      </c>
      <c r="G16428" s="30" t="s">
        <v>158</v>
      </c>
      <c r="H16428" s="32">
        <v>30</v>
      </c>
      <c r="I16428" s="30" t="s">
        <v>51</v>
      </c>
      <c r="J16428" s="41">
        <v>45237</v>
      </c>
      <c r="K16428" s="30" t="s">
        <v>22</v>
      </c>
    </row>
    <row r="16429" spans="1:11">
      <c r="A16429" s="33" t="s">
        <v>36839</v>
      </c>
      <c r="B16429" s="33" t="s">
        <v>36840</v>
      </c>
      <c r="C16429" s="33" t="s">
        <v>747</v>
      </c>
      <c r="D16429" s="33" t="s">
        <v>17</v>
      </c>
      <c r="E16429" s="33" t="s">
        <v>26</v>
      </c>
      <c r="F16429" s="33" t="s">
        <v>27</v>
      </c>
      <c r="G16429" s="33" t="s">
        <v>20</v>
      </c>
      <c r="H16429" s="35">
        <v>54</v>
      </c>
      <c r="I16429" s="33" t="s">
        <v>21</v>
      </c>
      <c r="J16429" s="42">
        <v>44972</v>
      </c>
      <c r="K16429" s="33" t="s">
        <v>22</v>
      </c>
    </row>
    <row r="16430" spans="1:11">
      <c r="A16430" s="30" t="s">
        <v>36841</v>
      </c>
      <c r="B16430" s="30" t="s">
        <v>36842</v>
      </c>
      <c r="C16430" s="30" t="s">
        <v>7369</v>
      </c>
      <c r="D16430" s="30" t="s">
        <v>17</v>
      </c>
      <c r="E16430" s="30" t="s">
        <v>67</v>
      </c>
      <c r="F16430" s="30" t="s">
        <v>68</v>
      </c>
      <c r="G16430" s="30" t="s">
        <v>20</v>
      </c>
      <c r="H16430" s="32">
        <v>25</v>
      </c>
      <c r="I16430" s="30" t="s">
        <v>21</v>
      </c>
      <c r="J16430" s="41">
        <v>44985</v>
      </c>
      <c r="K16430" s="30" t="s">
        <v>22</v>
      </c>
    </row>
    <row r="16431" spans="1:11">
      <c r="A16431" s="33" t="s">
        <v>36843</v>
      </c>
      <c r="B16431" s="33" t="s">
        <v>36844</v>
      </c>
      <c r="C16431" s="33" t="s">
        <v>36845</v>
      </c>
      <c r="D16431" s="33" t="s">
        <v>17</v>
      </c>
      <c r="E16431" s="33" t="s">
        <v>67</v>
      </c>
      <c r="F16431" s="33" t="s">
        <v>68</v>
      </c>
      <c r="G16431" s="33" t="s">
        <v>140</v>
      </c>
      <c r="H16431" s="35">
        <v>100</v>
      </c>
      <c r="I16431" s="33" t="s">
        <v>51</v>
      </c>
      <c r="J16431" s="42">
        <v>45000</v>
      </c>
      <c r="K16431" s="33" t="s">
        <v>22</v>
      </c>
    </row>
    <row r="16432" spans="1:11">
      <c r="A16432" s="30" t="s">
        <v>36846</v>
      </c>
      <c r="B16432" s="30" t="s">
        <v>36847</v>
      </c>
      <c r="C16432" s="30" t="s">
        <v>157</v>
      </c>
      <c r="D16432" s="30" t="s">
        <v>17</v>
      </c>
      <c r="E16432" s="30" t="s">
        <v>18</v>
      </c>
      <c r="F16432" s="30" t="s">
        <v>19</v>
      </c>
      <c r="G16432" s="30" t="s">
        <v>140</v>
      </c>
      <c r="H16432" s="32">
        <v>240</v>
      </c>
      <c r="I16432" s="30" t="s">
        <v>51</v>
      </c>
      <c r="J16432" s="41">
        <v>45062</v>
      </c>
      <c r="K16432" s="30" t="s">
        <v>22</v>
      </c>
    </row>
    <row r="16433" spans="1:11">
      <c r="A16433" s="33" t="s">
        <v>36848</v>
      </c>
      <c r="B16433" s="33" t="s">
        <v>36849</v>
      </c>
      <c r="C16433" s="33" t="s">
        <v>5093</v>
      </c>
      <c r="D16433" s="33" t="s">
        <v>17</v>
      </c>
      <c r="E16433" s="33" t="s">
        <v>212</v>
      </c>
      <c r="F16433" s="33" t="s">
        <v>213</v>
      </c>
      <c r="G16433" s="33" t="s">
        <v>140</v>
      </c>
      <c r="H16433" s="35">
        <v>1004</v>
      </c>
      <c r="I16433" s="33" t="s">
        <v>51</v>
      </c>
      <c r="J16433" s="42">
        <v>45036</v>
      </c>
      <c r="K16433" s="33" t="s">
        <v>22</v>
      </c>
    </row>
    <row r="16434" spans="1:11">
      <c r="A16434" s="30" t="s">
        <v>36850</v>
      </c>
      <c r="B16434" s="30" t="s">
        <v>36851</v>
      </c>
      <c r="C16434" s="30" t="s">
        <v>14483</v>
      </c>
      <c r="D16434" s="30" t="s">
        <v>17</v>
      </c>
      <c r="E16434" s="30" t="s">
        <v>18</v>
      </c>
      <c r="F16434" s="30" t="s">
        <v>19</v>
      </c>
      <c r="G16434" s="30" t="s">
        <v>50</v>
      </c>
      <c r="H16434" s="32">
        <v>180</v>
      </c>
      <c r="I16434" s="30" t="s">
        <v>51</v>
      </c>
      <c r="J16434" s="41">
        <v>45261</v>
      </c>
      <c r="K16434" s="30" t="s">
        <v>22</v>
      </c>
    </row>
    <row r="16435" spans="1:11">
      <c r="A16435" s="33" t="s">
        <v>36852</v>
      </c>
      <c r="B16435" s="33" t="s">
        <v>36853</v>
      </c>
      <c r="C16435" s="33" t="s">
        <v>1458</v>
      </c>
      <c r="D16435" s="33" t="s">
        <v>17</v>
      </c>
      <c r="E16435" s="33" t="s">
        <v>31</v>
      </c>
      <c r="F16435" s="33" t="s">
        <v>32</v>
      </c>
      <c r="G16435" s="33" t="s">
        <v>20</v>
      </c>
      <c r="H16435" s="35">
        <v>46</v>
      </c>
      <c r="I16435" s="33" t="s">
        <v>21</v>
      </c>
      <c r="J16435" s="42">
        <v>45022</v>
      </c>
      <c r="K16435" s="33" t="s">
        <v>22</v>
      </c>
    </row>
    <row r="16436" spans="1:11">
      <c r="A16436" s="30" t="s">
        <v>36854</v>
      </c>
      <c r="B16436" s="30" t="s">
        <v>36855</v>
      </c>
      <c r="C16436" s="30" t="s">
        <v>3647</v>
      </c>
      <c r="D16436" s="30" t="s">
        <v>17</v>
      </c>
      <c r="E16436" s="30" t="s">
        <v>45</v>
      </c>
      <c r="F16436" s="30" t="s">
        <v>46</v>
      </c>
      <c r="G16436" s="30" t="s">
        <v>140</v>
      </c>
      <c r="H16436" s="32">
        <v>16</v>
      </c>
      <c r="I16436" s="30" t="s">
        <v>51</v>
      </c>
      <c r="J16436" s="41">
        <v>45139</v>
      </c>
      <c r="K16436" s="30" t="s">
        <v>22</v>
      </c>
    </row>
    <row r="16437" spans="1:11">
      <c r="A16437" s="33" t="s">
        <v>36856</v>
      </c>
      <c r="B16437" s="33" t="s">
        <v>36857</v>
      </c>
      <c r="C16437" s="33" t="s">
        <v>36858</v>
      </c>
      <c r="D16437" s="33" t="s">
        <v>17</v>
      </c>
      <c r="E16437" s="33" t="s">
        <v>31</v>
      </c>
      <c r="F16437" s="33" t="s">
        <v>32</v>
      </c>
      <c r="G16437" s="33" t="s">
        <v>140</v>
      </c>
      <c r="H16437" s="35">
        <v>400</v>
      </c>
      <c r="I16437" s="33" t="s">
        <v>51</v>
      </c>
      <c r="J16437" s="42">
        <v>45201</v>
      </c>
      <c r="K16437" s="33" t="s">
        <v>22</v>
      </c>
    </row>
    <row r="16438" spans="1:11">
      <c r="A16438" s="30" t="s">
        <v>36859</v>
      </c>
      <c r="B16438" s="30" t="s">
        <v>36860</v>
      </c>
      <c r="C16438" s="30" t="s">
        <v>985</v>
      </c>
      <c r="D16438" s="30" t="s">
        <v>17</v>
      </c>
      <c r="E16438" s="30" t="s">
        <v>26</v>
      </c>
      <c r="F16438" s="30" t="s">
        <v>27</v>
      </c>
      <c r="G16438" s="30" t="s">
        <v>20</v>
      </c>
      <c r="H16438" s="32">
        <v>35</v>
      </c>
      <c r="I16438" s="30" t="s">
        <v>21</v>
      </c>
      <c r="J16438" s="41">
        <v>45041</v>
      </c>
      <c r="K16438" s="30" t="s">
        <v>22</v>
      </c>
    </row>
    <row r="16439" spans="1:11">
      <c r="A16439" s="33" t="s">
        <v>36861</v>
      </c>
      <c r="B16439" s="33" t="s">
        <v>36862</v>
      </c>
      <c r="C16439" s="33" t="s">
        <v>29479</v>
      </c>
      <c r="D16439" s="33" t="s">
        <v>17</v>
      </c>
      <c r="E16439" s="33" t="s">
        <v>31</v>
      </c>
      <c r="F16439" s="33" t="s">
        <v>32</v>
      </c>
      <c r="G16439" s="33" t="s">
        <v>158</v>
      </c>
      <c r="H16439" s="35">
        <v>924</v>
      </c>
      <c r="I16439" s="33" t="s">
        <v>51</v>
      </c>
      <c r="J16439" s="42">
        <v>45053</v>
      </c>
      <c r="K16439" s="33" t="s">
        <v>22</v>
      </c>
    </row>
    <row r="16440" spans="1:11">
      <c r="A16440" s="30" t="s">
        <v>36863</v>
      </c>
      <c r="B16440" s="30" t="s">
        <v>36864</v>
      </c>
      <c r="C16440" s="30" t="s">
        <v>3944</v>
      </c>
      <c r="D16440" s="30" t="s">
        <v>17</v>
      </c>
      <c r="E16440" s="30" t="s">
        <v>26</v>
      </c>
      <c r="F16440" s="30" t="s">
        <v>27</v>
      </c>
      <c r="G16440" s="30" t="s">
        <v>140</v>
      </c>
      <c r="H16440" s="32">
        <v>60</v>
      </c>
      <c r="I16440" s="30" t="s">
        <v>51</v>
      </c>
      <c r="J16440" s="41">
        <v>45236</v>
      </c>
      <c r="K16440" s="30" t="s">
        <v>22</v>
      </c>
    </row>
    <row r="16441" spans="1:11">
      <c r="A16441" s="33" t="s">
        <v>36865</v>
      </c>
      <c r="B16441" s="33" t="s">
        <v>36866</v>
      </c>
      <c r="C16441" s="33" t="s">
        <v>3934</v>
      </c>
      <c r="D16441" s="33" t="s">
        <v>17</v>
      </c>
      <c r="E16441" s="33" t="s">
        <v>18</v>
      </c>
      <c r="F16441" s="33" t="s">
        <v>19</v>
      </c>
      <c r="G16441" s="33" t="s">
        <v>2613</v>
      </c>
      <c r="H16441" s="35">
        <v>1000</v>
      </c>
      <c r="I16441" s="33" t="s">
        <v>51</v>
      </c>
      <c r="J16441" s="42">
        <v>45232</v>
      </c>
      <c r="K16441" s="33" t="s">
        <v>22</v>
      </c>
    </row>
    <row r="16442" spans="1:11">
      <c r="A16442" s="30" t="s">
        <v>36867</v>
      </c>
      <c r="B16442" s="30" t="s">
        <v>36868</v>
      </c>
      <c r="C16442" s="30" t="s">
        <v>4108</v>
      </c>
      <c r="D16442" s="30" t="s">
        <v>17</v>
      </c>
      <c r="E16442" s="30" t="s">
        <v>31</v>
      </c>
      <c r="F16442" s="30" t="s">
        <v>32</v>
      </c>
      <c r="G16442" s="30" t="s">
        <v>140</v>
      </c>
      <c r="H16442" s="32">
        <v>321</v>
      </c>
      <c r="I16442" s="30" t="s">
        <v>51</v>
      </c>
      <c r="J16442" s="41">
        <v>45085</v>
      </c>
      <c r="K16442" s="30" t="s">
        <v>22</v>
      </c>
    </row>
    <row r="16443" spans="1:11">
      <c r="A16443" s="33" t="s">
        <v>36869</v>
      </c>
      <c r="B16443" s="33" t="s">
        <v>36870</v>
      </c>
      <c r="C16443" s="33" t="s">
        <v>1469</v>
      </c>
      <c r="D16443" s="33" t="s">
        <v>17</v>
      </c>
      <c r="E16443" s="33" t="s">
        <v>212</v>
      </c>
      <c r="F16443" s="33" t="s">
        <v>213</v>
      </c>
      <c r="G16443" s="33" t="s">
        <v>20</v>
      </c>
      <c r="H16443" s="35">
        <v>26</v>
      </c>
      <c r="I16443" s="33" t="s">
        <v>21</v>
      </c>
      <c r="J16443" s="42">
        <v>45163</v>
      </c>
      <c r="K16443" s="33" t="s">
        <v>22</v>
      </c>
    </row>
    <row r="16444" spans="1:11">
      <c r="A16444" s="30" t="s">
        <v>36871</v>
      </c>
      <c r="B16444" s="30" t="s">
        <v>36872</v>
      </c>
      <c r="C16444" s="30" t="s">
        <v>136</v>
      </c>
      <c r="D16444" s="30" t="s">
        <v>17</v>
      </c>
      <c r="E16444" s="30" t="s">
        <v>26</v>
      </c>
      <c r="F16444" s="30" t="s">
        <v>27</v>
      </c>
      <c r="G16444" s="30" t="s">
        <v>20</v>
      </c>
      <c r="H16444" s="32">
        <v>8</v>
      </c>
      <c r="I16444" s="30" t="s">
        <v>21</v>
      </c>
      <c r="J16444" s="41">
        <v>45184</v>
      </c>
      <c r="K16444" s="30" t="s">
        <v>22</v>
      </c>
    </row>
    <row r="16445" spans="1:11">
      <c r="A16445" s="33" t="s">
        <v>36873</v>
      </c>
      <c r="B16445" s="33" t="s">
        <v>36874</v>
      </c>
      <c r="C16445" s="33" t="s">
        <v>1237</v>
      </c>
      <c r="D16445" s="33" t="s">
        <v>17</v>
      </c>
      <c r="E16445" s="33" t="s">
        <v>31</v>
      </c>
      <c r="F16445" s="33" t="s">
        <v>32</v>
      </c>
      <c r="G16445" s="33" t="s">
        <v>50</v>
      </c>
      <c r="H16445" s="35">
        <v>100</v>
      </c>
      <c r="I16445" s="33" t="s">
        <v>51</v>
      </c>
      <c r="J16445" s="42">
        <v>44956</v>
      </c>
      <c r="K16445" s="33" t="s">
        <v>22</v>
      </c>
    </row>
    <row r="16446" spans="1:11">
      <c r="A16446" s="30" t="s">
        <v>36875</v>
      </c>
      <c r="B16446" s="30" t="s">
        <v>36876</v>
      </c>
      <c r="C16446" s="30" t="s">
        <v>1270</v>
      </c>
      <c r="D16446" s="30" t="s">
        <v>17</v>
      </c>
      <c r="E16446" s="30" t="s">
        <v>31</v>
      </c>
      <c r="F16446" s="30" t="s">
        <v>32</v>
      </c>
      <c r="G16446" s="30" t="s">
        <v>20</v>
      </c>
      <c r="H16446" s="32">
        <v>54</v>
      </c>
      <c r="I16446" s="30" t="s">
        <v>21</v>
      </c>
      <c r="J16446" s="41">
        <v>45077</v>
      </c>
      <c r="K16446" s="30" t="s">
        <v>22</v>
      </c>
    </row>
    <row r="16447" spans="1:11">
      <c r="A16447" s="33" t="s">
        <v>36877</v>
      </c>
      <c r="B16447" s="33" t="s">
        <v>36878</v>
      </c>
      <c r="C16447" s="33" t="s">
        <v>36879</v>
      </c>
      <c r="D16447" s="33" t="s">
        <v>17</v>
      </c>
      <c r="E16447" s="33" t="s">
        <v>26</v>
      </c>
      <c r="F16447" s="33" t="s">
        <v>27</v>
      </c>
      <c r="G16447" s="33" t="s">
        <v>140</v>
      </c>
      <c r="H16447" s="35">
        <v>20</v>
      </c>
      <c r="I16447" s="33" t="s">
        <v>51</v>
      </c>
      <c r="J16447" s="42">
        <v>44957</v>
      </c>
      <c r="K16447" s="33" t="s">
        <v>22</v>
      </c>
    </row>
    <row r="16448" spans="1:11">
      <c r="A16448" s="30" t="s">
        <v>36880</v>
      </c>
      <c r="B16448" s="30" t="s">
        <v>36881</v>
      </c>
      <c r="C16448" s="30" t="s">
        <v>3647</v>
      </c>
      <c r="D16448" s="30" t="s">
        <v>17</v>
      </c>
      <c r="E16448" s="30" t="s">
        <v>18</v>
      </c>
      <c r="F16448" s="30" t="s">
        <v>19</v>
      </c>
      <c r="G16448" s="30" t="s">
        <v>20</v>
      </c>
      <c r="H16448" s="32">
        <v>827</v>
      </c>
      <c r="I16448" s="30" t="s">
        <v>21</v>
      </c>
      <c r="J16448" s="41">
        <v>45257</v>
      </c>
      <c r="K16448" s="30" t="s">
        <v>22</v>
      </c>
    </row>
    <row r="16449" spans="1:11">
      <c r="A16449" s="33" t="s">
        <v>36882</v>
      </c>
      <c r="B16449" s="33" t="s">
        <v>36883</v>
      </c>
      <c r="C16449" s="33" t="s">
        <v>9577</v>
      </c>
      <c r="D16449" s="33" t="s">
        <v>17</v>
      </c>
      <c r="E16449" s="33" t="s">
        <v>31</v>
      </c>
      <c r="F16449" s="33" t="s">
        <v>32</v>
      </c>
      <c r="G16449" s="33" t="s">
        <v>140</v>
      </c>
      <c r="H16449" s="35">
        <v>20</v>
      </c>
      <c r="I16449" s="33" t="s">
        <v>51</v>
      </c>
      <c r="J16449" s="42">
        <v>45231</v>
      </c>
      <c r="K16449" s="33" t="s">
        <v>22</v>
      </c>
    </row>
    <row r="16450" spans="1:11">
      <c r="A16450" s="30" t="s">
        <v>36884</v>
      </c>
      <c r="B16450" s="30" t="s">
        <v>36885</v>
      </c>
      <c r="C16450" s="30" t="s">
        <v>15917</v>
      </c>
      <c r="D16450" s="30" t="s">
        <v>17</v>
      </c>
      <c r="E16450" s="30" t="s">
        <v>31</v>
      </c>
      <c r="F16450" s="30" t="s">
        <v>32</v>
      </c>
      <c r="G16450" s="30" t="s">
        <v>106</v>
      </c>
      <c r="H16450" s="32">
        <v>53</v>
      </c>
      <c r="I16450" s="30" t="s">
        <v>21</v>
      </c>
      <c r="J16450" s="41">
        <v>45081</v>
      </c>
      <c r="K16450" s="30" t="s">
        <v>22</v>
      </c>
    </row>
    <row r="16451" spans="1:11">
      <c r="A16451" s="33" t="s">
        <v>36886</v>
      </c>
      <c r="B16451" s="33" t="s">
        <v>36887</v>
      </c>
      <c r="C16451" s="33" t="s">
        <v>34560</v>
      </c>
      <c r="D16451" s="33" t="s">
        <v>17</v>
      </c>
      <c r="E16451" s="33" t="s">
        <v>26</v>
      </c>
      <c r="F16451" s="33" t="s">
        <v>27</v>
      </c>
      <c r="G16451" s="33" t="s">
        <v>20</v>
      </c>
      <c r="H16451" s="35">
        <v>24</v>
      </c>
      <c r="I16451" s="33" t="s">
        <v>21</v>
      </c>
      <c r="J16451" s="42">
        <v>45229</v>
      </c>
      <c r="K16451" s="33" t="s">
        <v>22</v>
      </c>
    </row>
    <row r="16452" spans="1:11">
      <c r="A16452" s="30" t="s">
        <v>36888</v>
      </c>
      <c r="B16452" s="30" t="s">
        <v>36889</v>
      </c>
      <c r="C16452" s="30" t="s">
        <v>36890</v>
      </c>
      <c r="D16452" s="30" t="s">
        <v>17</v>
      </c>
      <c r="E16452" s="30" t="s">
        <v>26</v>
      </c>
      <c r="F16452" s="30" t="s">
        <v>27</v>
      </c>
      <c r="G16452" s="30" t="s">
        <v>140</v>
      </c>
      <c r="H16452" s="32">
        <v>23</v>
      </c>
      <c r="I16452" s="30" t="s">
        <v>51</v>
      </c>
      <c r="J16452" s="41">
        <v>45083</v>
      </c>
      <c r="K16452" s="30" t="s">
        <v>22</v>
      </c>
    </row>
    <row r="16453" spans="1:11">
      <c r="A16453" s="33" t="s">
        <v>36891</v>
      </c>
      <c r="B16453" s="33" t="s">
        <v>36892</v>
      </c>
      <c r="C16453" s="33" t="s">
        <v>310</v>
      </c>
      <c r="D16453" s="33" t="s">
        <v>17</v>
      </c>
      <c r="E16453" s="33" t="s">
        <v>26</v>
      </c>
      <c r="F16453" s="33" t="s">
        <v>27</v>
      </c>
      <c r="G16453" s="33" t="s">
        <v>20</v>
      </c>
      <c r="H16453" s="35">
        <v>24</v>
      </c>
      <c r="I16453" s="33" t="s">
        <v>21</v>
      </c>
      <c r="J16453" s="42">
        <v>44973</v>
      </c>
      <c r="K16453" s="33" t="s">
        <v>22</v>
      </c>
    </row>
    <row r="16454" spans="1:11">
      <c r="A16454" s="30" t="s">
        <v>36893</v>
      </c>
      <c r="B16454" s="30" t="s">
        <v>36894</v>
      </c>
      <c r="C16454" s="30" t="s">
        <v>231</v>
      </c>
      <c r="D16454" s="30" t="s">
        <v>17</v>
      </c>
      <c r="E16454" s="30" t="s">
        <v>31</v>
      </c>
      <c r="F16454" s="30" t="s">
        <v>32</v>
      </c>
      <c r="G16454" s="30" t="s">
        <v>106</v>
      </c>
      <c r="H16454" s="32">
        <v>160</v>
      </c>
      <c r="I16454" s="30" t="s">
        <v>21</v>
      </c>
      <c r="J16454" s="41">
        <v>45265</v>
      </c>
      <c r="K16454" s="30" t="s">
        <v>22</v>
      </c>
    </row>
    <row r="16455" spans="1:11">
      <c r="A16455" s="33" t="s">
        <v>36895</v>
      </c>
      <c r="B16455" s="33" t="s">
        <v>36896</v>
      </c>
      <c r="C16455" s="33" t="s">
        <v>5845</v>
      </c>
      <c r="D16455" s="33" t="s">
        <v>17</v>
      </c>
      <c r="E16455" s="33" t="s">
        <v>26</v>
      </c>
      <c r="F16455" s="33" t="s">
        <v>27</v>
      </c>
      <c r="G16455" s="33" t="s">
        <v>20</v>
      </c>
      <c r="H16455" s="35">
        <v>60</v>
      </c>
      <c r="I16455" s="33" t="s">
        <v>21</v>
      </c>
      <c r="J16455" s="42">
        <v>45153</v>
      </c>
      <c r="K16455" s="33" t="s">
        <v>22</v>
      </c>
    </row>
    <row r="16456" spans="1:11">
      <c r="A16456" s="30" t="s">
        <v>36897</v>
      </c>
      <c r="B16456" s="30" t="s">
        <v>36898</v>
      </c>
      <c r="C16456" s="30" t="s">
        <v>35570</v>
      </c>
      <c r="D16456" s="30" t="s">
        <v>17</v>
      </c>
      <c r="E16456" s="30" t="s">
        <v>67</v>
      </c>
      <c r="F16456" s="30" t="s">
        <v>68</v>
      </c>
      <c r="G16456" s="30" t="s">
        <v>69</v>
      </c>
      <c r="H16456" s="32">
        <v>80</v>
      </c>
      <c r="I16456" s="30" t="s">
        <v>51</v>
      </c>
      <c r="J16456" s="41">
        <v>45224</v>
      </c>
      <c r="K16456" s="30" t="s">
        <v>22</v>
      </c>
    </row>
    <row r="16457" spans="1:11">
      <c r="A16457" s="33" t="s">
        <v>36899</v>
      </c>
      <c r="B16457" s="33" t="s">
        <v>36900</v>
      </c>
      <c r="C16457" s="33" t="s">
        <v>13241</v>
      </c>
      <c r="D16457" s="33" t="s">
        <v>17</v>
      </c>
      <c r="E16457" s="33" t="s">
        <v>31</v>
      </c>
      <c r="F16457" s="33" t="s">
        <v>32</v>
      </c>
      <c r="G16457" s="33" t="s">
        <v>20</v>
      </c>
      <c r="H16457" s="35">
        <v>79</v>
      </c>
      <c r="I16457" s="33" t="s">
        <v>21</v>
      </c>
      <c r="J16457" s="42">
        <v>45175</v>
      </c>
      <c r="K16457" s="33" t="s">
        <v>22</v>
      </c>
    </row>
    <row r="16458" spans="1:11">
      <c r="A16458" s="30" t="s">
        <v>36901</v>
      </c>
      <c r="B16458" s="30" t="s">
        <v>36902</v>
      </c>
      <c r="C16458" s="30" t="s">
        <v>109</v>
      </c>
      <c r="D16458" s="30" t="s">
        <v>17</v>
      </c>
      <c r="E16458" s="30" t="s">
        <v>18</v>
      </c>
      <c r="F16458" s="30" t="s">
        <v>19</v>
      </c>
      <c r="G16458" s="30" t="s">
        <v>158</v>
      </c>
      <c r="H16458" s="32">
        <v>152</v>
      </c>
      <c r="I16458" s="30" t="s">
        <v>21</v>
      </c>
      <c r="J16458" s="41">
        <v>44959</v>
      </c>
      <c r="K16458" s="30" t="s">
        <v>22</v>
      </c>
    </row>
    <row r="16459" spans="1:11">
      <c r="A16459" s="33" t="s">
        <v>36903</v>
      </c>
      <c r="B16459" s="33" t="s">
        <v>36904</v>
      </c>
      <c r="C16459" s="33" t="s">
        <v>36905</v>
      </c>
      <c r="D16459" s="33" t="s">
        <v>17</v>
      </c>
      <c r="E16459" s="33" t="s">
        <v>330</v>
      </c>
      <c r="F16459" s="33" t="s">
        <v>331</v>
      </c>
      <c r="G16459" s="33" t="s">
        <v>20</v>
      </c>
      <c r="H16459" s="35">
        <v>10</v>
      </c>
      <c r="I16459" s="33" t="s">
        <v>21</v>
      </c>
      <c r="J16459" s="42">
        <v>45020</v>
      </c>
      <c r="K16459" s="33" t="s">
        <v>22</v>
      </c>
    </row>
    <row r="16460" spans="1:11">
      <c r="A16460" s="30" t="s">
        <v>36906</v>
      </c>
      <c r="B16460" s="30" t="s">
        <v>36907</v>
      </c>
      <c r="C16460" s="30" t="s">
        <v>96</v>
      </c>
      <c r="D16460" s="30" t="s">
        <v>17</v>
      </c>
      <c r="E16460" s="30" t="s">
        <v>26</v>
      </c>
      <c r="F16460" s="30" t="s">
        <v>27</v>
      </c>
      <c r="G16460" s="30" t="s">
        <v>20</v>
      </c>
      <c r="H16460" s="32">
        <v>9</v>
      </c>
      <c r="I16460" s="30" t="s">
        <v>21</v>
      </c>
      <c r="J16460" s="41">
        <v>44977</v>
      </c>
      <c r="K16460" s="30" t="s">
        <v>22</v>
      </c>
    </row>
    <row r="16461" spans="1:11">
      <c r="A16461" s="33" t="s">
        <v>36908</v>
      </c>
      <c r="B16461" s="33" t="s">
        <v>36909</v>
      </c>
      <c r="C16461" s="33" t="s">
        <v>178</v>
      </c>
      <c r="D16461" s="33" t="s">
        <v>17</v>
      </c>
      <c r="E16461" s="33" t="s">
        <v>67</v>
      </c>
      <c r="F16461" s="33" t="s">
        <v>68</v>
      </c>
      <c r="G16461" s="33" t="s">
        <v>140</v>
      </c>
      <c r="H16461" s="35">
        <v>60</v>
      </c>
      <c r="I16461" s="33" t="s">
        <v>51</v>
      </c>
      <c r="J16461" s="42">
        <v>45190</v>
      </c>
      <c r="K16461" s="33" t="s">
        <v>22</v>
      </c>
    </row>
    <row r="16462" spans="1:11">
      <c r="A16462" s="30" t="s">
        <v>36910</v>
      </c>
      <c r="B16462" s="30" t="s">
        <v>36911</v>
      </c>
      <c r="C16462" s="30" t="s">
        <v>75</v>
      </c>
      <c r="D16462" s="30" t="s">
        <v>17</v>
      </c>
      <c r="E16462" s="30" t="s">
        <v>212</v>
      </c>
      <c r="F16462" s="30" t="s">
        <v>213</v>
      </c>
      <c r="G16462" s="30" t="s">
        <v>158</v>
      </c>
      <c r="H16462" s="32">
        <v>85</v>
      </c>
      <c r="I16462" s="30" t="s">
        <v>51</v>
      </c>
      <c r="J16462" s="41">
        <v>45082</v>
      </c>
      <c r="K16462" s="30" t="s">
        <v>22</v>
      </c>
    </row>
    <row r="16463" spans="1:11">
      <c r="A16463" s="33" t="s">
        <v>36912</v>
      </c>
      <c r="B16463" s="33" t="s">
        <v>36913</v>
      </c>
      <c r="C16463" s="33" t="s">
        <v>3432</v>
      </c>
      <c r="D16463" s="33" t="s">
        <v>17</v>
      </c>
      <c r="E16463" s="33" t="s">
        <v>212</v>
      </c>
      <c r="F16463" s="33" t="s">
        <v>213</v>
      </c>
      <c r="G16463" s="33" t="s">
        <v>20</v>
      </c>
      <c r="H16463" s="35">
        <v>123</v>
      </c>
      <c r="I16463" s="33" t="s">
        <v>21</v>
      </c>
      <c r="J16463" s="42">
        <v>45079</v>
      </c>
      <c r="K16463" s="33" t="s">
        <v>22</v>
      </c>
    </row>
    <row r="16464" spans="1:11">
      <c r="A16464" s="30" t="s">
        <v>36914</v>
      </c>
      <c r="B16464" s="30" t="s">
        <v>36915</v>
      </c>
      <c r="C16464" s="30" t="s">
        <v>3013</v>
      </c>
      <c r="D16464" s="30" t="s">
        <v>17</v>
      </c>
      <c r="E16464" s="30" t="s">
        <v>26</v>
      </c>
      <c r="F16464" s="30" t="s">
        <v>27</v>
      </c>
      <c r="G16464" s="30" t="s">
        <v>20</v>
      </c>
      <c r="H16464" s="32">
        <v>24</v>
      </c>
      <c r="I16464" s="30" t="s">
        <v>21</v>
      </c>
      <c r="J16464" s="41">
        <v>45008</v>
      </c>
      <c r="K16464" s="30" t="s">
        <v>22</v>
      </c>
    </row>
    <row r="16465" spans="1:11">
      <c r="A16465" s="33" t="s">
        <v>36916</v>
      </c>
      <c r="B16465" s="33" t="s">
        <v>36917</v>
      </c>
      <c r="C16465" s="33" t="s">
        <v>20321</v>
      </c>
      <c r="D16465" s="33" t="s">
        <v>17</v>
      </c>
      <c r="E16465" s="33" t="s">
        <v>67</v>
      </c>
      <c r="F16465" s="33" t="s">
        <v>68</v>
      </c>
      <c r="G16465" s="33" t="s">
        <v>140</v>
      </c>
      <c r="H16465" s="35">
        <v>67</v>
      </c>
      <c r="I16465" s="33" t="s">
        <v>51</v>
      </c>
      <c r="J16465" s="42">
        <v>45117</v>
      </c>
      <c r="K16465" s="33" t="s">
        <v>22</v>
      </c>
    </row>
    <row r="16466" spans="1:11">
      <c r="A16466" s="30" t="s">
        <v>36918</v>
      </c>
      <c r="B16466" s="30" t="s">
        <v>36919</v>
      </c>
      <c r="C16466" s="30" t="s">
        <v>157</v>
      </c>
      <c r="D16466" s="30" t="s">
        <v>17</v>
      </c>
      <c r="E16466" s="30" t="s">
        <v>26</v>
      </c>
      <c r="F16466" s="30" t="s">
        <v>27</v>
      </c>
      <c r="G16466" s="30" t="s">
        <v>106</v>
      </c>
      <c r="H16466" s="32">
        <v>11</v>
      </c>
      <c r="I16466" s="30" t="s">
        <v>21</v>
      </c>
      <c r="J16466" s="41">
        <v>44944</v>
      </c>
      <c r="K16466" s="30" t="s">
        <v>22</v>
      </c>
    </row>
    <row r="16467" spans="1:11">
      <c r="A16467" s="33" t="s">
        <v>36920</v>
      </c>
      <c r="B16467" s="33" t="s">
        <v>36921</v>
      </c>
      <c r="C16467" s="33" t="s">
        <v>1080</v>
      </c>
      <c r="D16467" s="33" t="s">
        <v>17</v>
      </c>
      <c r="E16467" s="33" t="s">
        <v>26</v>
      </c>
      <c r="F16467" s="33" t="s">
        <v>27</v>
      </c>
      <c r="G16467" s="33" t="s">
        <v>50</v>
      </c>
      <c r="H16467" s="35">
        <v>80</v>
      </c>
      <c r="I16467" s="33" t="s">
        <v>51</v>
      </c>
      <c r="J16467" s="42">
        <v>45055</v>
      </c>
      <c r="K16467" s="33" t="s">
        <v>22</v>
      </c>
    </row>
    <row r="16468" spans="1:11">
      <c r="A16468" s="30" t="s">
        <v>36922</v>
      </c>
      <c r="B16468" s="30" t="s">
        <v>36923</v>
      </c>
      <c r="C16468" s="30" t="s">
        <v>93</v>
      </c>
      <c r="D16468" s="30" t="s">
        <v>17</v>
      </c>
      <c r="E16468" s="30" t="s">
        <v>212</v>
      </c>
      <c r="F16468" s="30" t="s">
        <v>213</v>
      </c>
      <c r="G16468" s="30" t="s">
        <v>20</v>
      </c>
      <c r="H16468" s="32">
        <v>214</v>
      </c>
      <c r="I16468" s="30" t="s">
        <v>21</v>
      </c>
      <c r="J16468" s="41">
        <v>45148</v>
      </c>
      <c r="K16468" s="30" t="s">
        <v>22</v>
      </c>
    </row>
    <row r="16469" spans="1:11">
      <c r="A16469" s="33" t="s">
        <v>36924</v>
      </c>
      <c r="B16469" s="33" t="s">
        <v>36925</v>
      </c>
      <c r="C16469" s="33" t="s">
        <v>252</v>
      </c>
      <c r="D16469" s="33" t="s">
        <v>17</v>
      </c>
      <c r="E16469" s="33" t="s">
        <v>26</v>
      </c>
      <c r="F16469" s="33" t="s">
        <v>27</v>
      </c>
      <c r="G16469" s="33" t="s">
        <v>140</v>
      </c>
      <c r="H16469" s="35">
        <v>182</v>
      </c>
      <c r="I16469" s="33" t="s">
        <v>51</v>
      </c>
      <c r="J16469" s="42">
        <v>44987</v>
      </c>
      <c r="K16469" s="33" t="s">
        <v>22</v>
      </c>
    </row>
    <row r="16470" spans="1:11">
      <c r="A16470" s="30" t="s">
        <v>36926</v>
      </c>
      <c r="B16470" s="30" t="s">
        <v>36927</v>
      </c>
      <c r="C16470" s="30" t="s">
        <v>99</v>
      </c>
      <c r="D16470" s="30" t="s">
        <v>17</v>
      </c>
      <c r="E16470" s="30" t="s">
        <v>18</v>
      </c>
      <c r="F16470" s="30" t="s">
        <v>19</v>
      </c>
      <c r="G16470" s="30" t="s">
        <v>20</v>
      </c>
      <c r="H16470" s="32">
        <v>618</v>
      </c>
      <c r="I16470" s="30" t="s">
        <v>21</v>
      </c>
      <c r="J16470" s="41">
        <v>45222</v>
      </c>
      <c r="K16470" s="30" t="s">
        <v>22</v>
      </c>
    </row>
    <row r="16471" spans="1:11">
      <c r="A16471" s="33" t="s">
        <v>36928</v>
      </c>
      <c r="B16471" s="33" t="s">
        <v>36929</v>
      </c>
      <c r="C16471" s="33" t="s">
        <v>925</v>
      </c>
      <c r="D16471" s="33" t="s">
        <v>17</v>
      </c>
      <c r="E16471" s="33" t="s">
        <v>26</v>
      </c>
      <c r="F16471" s="33" t="s">
        <v>27</v>
      </c>
      <c r="G16471" s="33" t="s">
        <v>158</v>
      </c>
      <c r="H16471" s="35">
        <v>45</v>
      </c>
      <c r="I16471" s="33" t="s">
        <v>51</v>
      </c>
      <c r="J16471" s="42">
        <v>45208</v>
      </c>
      <c r="K16471" s="33" t="s">
        <v>22</v>
      </c>
    </row>
    <row r="16472" spans="1:11">
      <c r="A16472" s="30" t="s">
        <v>36930</v>
      </c>
      <c r="B16472" s="30" t="s">
        <v>36931</v>
      </c>
      <c r="C16472" s="30" t="s">
        <v>985</v>
      </c>
      <c r="D16472" s="30" t="s">
        <v>17</v>
      </c>
      <c r="E16472" s="30" t="s">
        <v>26</v>
      </c>
      <c r="F16472" s="30" t="s">
        <v>27</v>
      </c>
      <c r="G16472" s="30" t="s">
        <v>20</v>
      </c>
      <c r="H16472" s="32">
        <v>42</v>
      </c>
      <c r="I16472" s="30" t="s">
        <v>21</v>
      </c>
      <c r="J16472" s="41">
        <v>45274</v>
      </c>
      <c r="K16472" s="30" t="s">
        <v>22</v>
      </c>
    </row>
    <row r="16473" spans="1:11">
      <c r="A16473" s="33" t="s">
        <v>36932</v>
      </c>
      <c r="B16473" s="33" t="s">
        <v>36933</v>
      </c>
      <c r="C16473" s="33" t="s">
        <v>429</v>
      </c>
      <c r="D16473" s="33" t="s">
        <v>17</v>
      </c>
      <c r="E16473" s="33" t="s">
        <v>26</v>
      </c>
      <c r="F16473" s="33" t="s">
        <v>27</v>
      </c>
      <c r="G16473" s="33" t="s">
        <v>20</v>
      </c>
      <c r="H16473" s="35">
        <v>46</v>
      </c>
      <c r="I16473" s="33" t="s">
        <v>21</v>
      </c>
      <c r="J16473" s="42">
        <v>44985</v>
      </c>
      <c r="K16473" s="33" t="s">
        <v>22</v>
      </c>
    </row>
    <row r="16474" spans="1:11">
      <c r="A16474" s="30" t="s">
        <v>36934</v>
      </c>
      <c r="B16474" s="30" t="s">
        <v>36935</v>
      </c>
      <c r="C16474" s="30" t="s">
        <v>3459</v>
      </c>
      <c r="D16474" s="30" t="s">
        <v>17</v>
      </c>
      <c r="E16474" s="30" t="s">
        <v>18</v>
      </c>
      <c r="F16474" s="30" t="s">
        <v>19</v>
      </c>
      <c r="G16474" s="30" t="s">
        <v>20</v>
      </c>
      <c r="H16474" s="32">
        <v>465</v>
      </c>
      <c r="I16474" s="30" t="s">
        <v>21</v>
      </c>
      <c r="J16474" s="41">
        <v>44970</v>
      </c>
      <c r="K16474" s="30" t="s">
        <v>22</v>
      </c>
    </row>
    <row r="16475" spans="1:11">
      <c r="A16475" s="33" t="s">
        <v>36936</v>
      </c>
      <c r="B16475" s="33" t="s">
        <v>36937</v>
      </c>
      <c r="C16475" s="33" t="s">
        <v>9882</v>
      </c>
      <c r="D16475" s="33" t="s">
        <v>17</v>
      </c>
      <c r="E16475" s="33" t="s">
        <v>26</v>
      </c>
      <c r="F16475" s="33" t="s">
        <v>27</v>
      </c>
      <c r="G16475" s="33" t="s">
        <v>20</v>
      </c>
      <c r="H16475" s="35">
        <v>128</v>
      </c>
      <c r="I16475" s="33" t="s">
        <v>21</v>
      </c>
      <c r="J16475" s="42">
        <v>45168</v>
      </c>
      <c r="K16475" s="33" t="s">
        <v>22</v>
      </c>
    </row>
    <row r="16476" spans="1:11">
      <c r="A16476" s="30" t="s">
        <v>36938</v>
      </c>
      <c r="B16476" s="30" t="s">
        <v>36939</v>
      </c>
      <c r="C16476" s="30" t="s">
        <v>9856</v>
      </c>
      <c r="D16476" s="30" t="s">
        <v>17</v>
      </c>
      <c r="E16476" s="30" t="s">
        <v>31</v>
      </c>
      <c r="F16476" s="30" t="s">
        <v>32</v>
      </c>
      <c r="G16476" s="30" t="s">
        <v>106</v>
      </c>
      <c r="H16476" s="32">
        <v>4</v>
      </c>
      <c r="I16476" s="30" t="s">
        <v>21</v>
      </c>
      <c r="J16476" s="41">
        <v>45000</v>
      </c>
      <c r="K16476" s="30" t="s">
        <v>22</v>
      </c>
    </row>
    <row r="16477" spans="1:11">
      <c r="A16477" s="33" t="s">
        <v>36940</v>
      </c>
      <c r="B16477" s="33" t="s">
        <v>36941</v>
      </c>
      <c r="C16477" s="33" t="s">
        <v>9728</v>
      </c>
      <c r="D16477" s="33" t="s">
        <v>17</v>
      </c>
      <c r="E16477" s="33" t="s">
        <v>26</v>
      </c>
      <c r="F16477" s="33" t="s">
        <v>27</v>
      </c>
      <c r="G16477" s="33" t="s">
        <v>20</v>
      </c>
      <c r="H16477" s="35">
        <v>19</v>
      </c>
      <c r="I16477" s="33" t="s">
        <v>21</v>
      </c>
      <c r="J16477" s="42">
        <v>45280</v>
      </c>
      <c r="K16477" s="33" t="s">
        <v>22</v>
      </c>
    </row>
    <row r="16478" spans="1:11">
      <c r="A16478" s="30" t="s">
        <v>36942</v>
      </c>
      <c r="B16478" s="30" t="s">
        <v>36943</v>
      </c>
      <c r="C16478" s="30" t="s">
        <v>31283</v>
      </c>
      <c r="D16478" s="30" t="s">
        <v>17</v>
      </c>
      <c r="E16478" s="30" t="s">
        <v>31</v>
      </c>
      <c r="F16478" s="30" t="s">
        <v>32</v>
      </c>
      <c r="G16478" s="30" t="s">
        <v>50</v>
      </c>
      <c r="H16478" s="32">
        <v>44</v>
      </c>
      <c r="I16478" s="30" t="s">
        <v>51</v>
      </c>
      <c r="J16478" s="41">
        <v>45200</v>
      </c>
      <c r="K16478" s="30" t="s">
        <v>22</v>
      </c>
    </row>
    <row r="16479" spans="1:11">
      <c r="A16479" s="33" t="s">
        <v>36944</v>
      </c>
      <c r="B16479" s="33" t="s">
        <v>36945</v>
      </c>
      <c r="C16479" s="33" t="s">
        <v>118</v>
      </c>
      <c r="D16479" s="33" t="s">
        <v>17</v>
      </c>
      <c r="E16479" s="33" t="s">
        <v>26</v>
      </c>
      <c r="F16479" s="33" t="s">
        <v>27</v>
      </c>
      <c r="G16479" s="33" t="s">
        <v>20</v>
      </c>
      <c r="H16479" s="35">
        <v>82</v>
      </c>
      <c r="I16479" s="33" t="s">
        <v>21</v>
      </c>
      <c r="J16479" s="42">
        <v>45184</v>
      </c>
      <c r="K16479" s="33" t="s">
        <v>22</v>
      </c>
    </row>
    <row r="16480" spans="1:11">
      <c r="A16480" s="30" t="s">
        <v>36946</v>
      </c>
      <c r="B16480" s="30" t="s">
        <v>36947</v>
      </c>
      <c r="C16480" s="30" t="s">
        <v>31709</v>
      </c>
      <c r="D16480" s="30" t="s">
        <v>17</v>
      </c>
      <c r="E16480" s="30" t="s">
        <v>18</v>
      </c>
      <c r="F16480" s="30" t="s">
        <v>19</v>
      </c>
      <c r="G16480" s="30" t="s">
        <v>50</v>
      </c>
      <c r="H16480" s="32">
        <v>558</v>
      </c>
      <c r="I16480" s="30" t="s">
        <v>51</v>
      </c>
      <c r="J16480" s="41">
        <v>45232</v>
      </c>
      <c r="K16480" s="30" t="s">
        <v>22</v>
      </c>
    </row>
    <row r="16481" spans="1:11">
      <c r="A16481" s="33" t="s">
        <v>36948</v>
      </c>
      <c r="B16481" s="33" t="s">
        <v>36949</v>
      </c>
      <c r="C16481" s="33" t="s">
        <v>1080</v>
      </c>
      <c r="D16481" s="33" t="s">
        <v>17</v>
      </c>
      <c r="E16481" s="33" t="s">
        <v>26</v>
      </c>
      <c r="F16481" s="33" t="s">
        <v>27</v>
      </c>
      <c r="G16481" s="33" t="s">
        <v>20</v>
      </c>
      <c r="H16481" s="35">
        <v>24</v>
      </c>
      <c r="I16481" s="33" t="s">
        <v>21</v>
      </c>
      <c r="J16481" s="42">
        <v>45186</v>
      </c>
      <c r="K16481" s="33" t="s">
        <v>22</v>
      </c>
    </row>
    <row r="16482" spans="1:11">
      <c r="A16482" s="30" t="s">
        <v>36950</v>
      </c>
      <c r="B16482" s="30" t="s">
        <v>36951</v>
      </c>
      <c r="C16482" s="30" t="s">
        <v>36952</v>
      </c>
      <c r="D16482" s="30" t="s">
        <v>17</v>
      </c>
      <c r="E16482" s="30" t="s">
        <v>26</v>
      </c>
      <c r="F16482" s="30" t="s">
        <v>27</v>
      </c>
      <c r="G16482" s="30" t="s">
        <v>158</v>
      </c>
      <c r="H16482" s="32">
        <v>18</v>
      </c>
      <c r="I16482" s="30" t="s">
        <v>51</v>
      </c>
      <c r="J16482" s="41">
        <v>45096</v>
      </c>
      <c r="K16482" s="30" t="s">
        <v>22</v>
      </c>
    </row>
    <row r="16483" spans="1:11">
      <c r="A16483" s="33" t="s">
        <v>36953</v>
      </c>
      <c r="B16483" s="33" t="s">
        <v>36954</v>
      </c>
      <c r="C16483" s="33" t="s">
        <v>310</v>
      </c>
      <c r="D16483" s="33" t="s">
        <v>17</v>
      </c>
      <c r="E16483" s="33" t="s">
        <v>18</v>
      </c>
      <c r="F16483" s="33" t="s">
        <v>19</v>
      </c>
      <c r="G16483" s="33" t="s">
        <v>20</v>
      </c>
      <c r="H16483" s="35">
        <v>331</v>
      </c>
      <c r="I16483" s="33" t="s">
        <v>21</v>
      </c>
      <c r="J16483" s="42">
        <v>45019</v>
      </c>
      <c r="K16483" s="33" t="s">
        <v>22</v>
      </c>
    </row>
    <row r="16484" spans="1:11">
      <c r="A16484" s="30" t="s">
        <v>36955</v>
      </c>
      <c r="B16484" s="30" t="s">
        <v>36956</v>
      </c>
      <c r="C16484" s="30" t="s">
        <v>190</v>
      </c>
      <c r="D16484" s="30" t="s">
        <v>17</v>
      </c>
      <c r="E16484" s="30" t="s">
        <v>31</v>
      </c>
      <c r="F16484" s="30" t="s">
        <v>32</v>
      </c>
      <c r="G16484" s="30" t="s">
        <v>158</v>
      </c>
      <c r="H16484" s="32">
        <v>39</v>
      </c>
      <c r="I16484" s="30" t="s">
        <v>21</v>
      </c>
      <c r="J16484" s="41">
        <v>45098</v>
      </c>
      <c r="K16484" s="30" t="s">
        <v>22</v>
      </c>
    </row>
    <row r="16485" spans="1:11">
      <c r="A16485" s="33" t="s">
        <v>36957</v>
      </c>
      <c r="B16485" s="33" t="s">
        <v>36958</v>
      </c>
      <c r="C16485" s="33" t="s">
        <v>2472</v>
      </c>
      <c r="D16485" s="33" t="s">
        <v>17</v>
      </c>
      <c r="E16485" s="33" t="s">
        <v>18</v>
      </c>
      <c r="F16485" s="33" t="s">
        <v>19</v>
      </c>
      <c r="G16485" s="33" t="s">
        <v>20</v>
      </c>
      <c r="H16485" s="35">
        <v>8411</v>
      </c>
      <c r="I16485" s="33" t="s">
        <v>21</v>
      </c>
      <c r="J16485" s="42">
        <v>45033</v>
      </c>
      <c r="K16485" s="33" t="s">
        <v>22</v>
      </c>
    </row>
    <row r="16486" spans="1:11">
      <c r="A16486" s="30" t="s">
        <v>36959</v>
      </c>
      <c r="B16486" s="30" t="s">
        <v>36960</v>
      </c>
      <c r="C16486" s="30" t="s">
        <v>23443</v>
      </c>
      <c r="D16486" s="30" t="s">
        <v>17</v>
      </c>
      <c r="E16486" s="30" t="s">
        <v>31</v>
      </c>
      <c r="F16486" s="30" t="s">
        <v>32</v>
      </c>
      <c r="G16486" s="30" t="s">
        <v>20</v>
      </c>
      <c r="H16486" s="32">
        <v>23</v>
      </c>
      <c r="I16486" s="30" t="s">
        <v>21</v>
      </c>
      <c r="J16486" s="41">
        <v>44986</v>
      </c>
      <c r="K16486" s="30" t="s">
        <v>22</v>
      </c>
    </row>
    <row r="16487" spans="1:11">
      <c r="A16487" s="33" t="s">
        <v>36961</v>
      </c>
      <c r="B16487" s="33" t="s">
        <v>36962</v>
      </c>
      <c r="C16487" s="33" t="s">
        <v>715</v>
      </c>
      <c r="D16487" s="33" t="s">
        <v>17</v>
      </c>
      <c r="E16487" s="33" t="s">
        <v>26</v>
      </c>
      <c r="F16487" s="33" t="s">
        <v>27</v>
      </c>
      <c r="G16487" s="33" t="s">
        <v>106</v>
      </c>
      <c r="H16487" s="35">
        <v>23</v>
      </c>
      <c r="I16487" s="33" t="s">
        <v>21</v>
      </c>
      <c r="J16487" s="42">
        <v>44985</v>
      </c>
      <c r="K16487" s="33" t="s">
        <v>22</v>
      </c>
    </row>
    <row r="16488" spans="1:11">
      <c r="A16488" s="30" t="s">
        <v>36963</v>
      </c>
      <c r="B16488" s="30" t="s">
        <v>36964</v>
      </c>
      <c r="C16488" s="30" t="s">
        <v>10925</v>
      </c>
      <c r="D16488" s="30" t="s">
        <v>17</v>
      </c>
      <c r="E16488" s="30" t="s">
        <v>18</v>
      </c>
      <c r="F16488" s="30" t="s">
        <v>19</v>
      </c>
      <c r="G16488" s="30" t="s">
        <v>158</v>
      </c>
      <c r="H16488" s="32">
        <v>33</v>
      </c>
      <c r="I16488" s="30" t="s">
        <v>51</v>
      </c>
      <c r="J16488" s="41">
        <v>45090</v>
      </c>
      <c r="K16488" s="30" t="s">
        <v>22</v>
      </c>
    </row>
    <row r="16489" spans="1:11">
      <c r="A16489" s="33" t="s">
        <v>36965</v>
      </c>
      <c r="B16489" s="33" t="s">
        <v>36966</v>
      </c>
      <c r="C16489" s="33" t="s">
        <v>36967</v>
      </c>
      <c r="D16489" s="33" t="s">
        <v>17</v>
      </c>
      <c r="E16489" s="33" t="s">
        <v>330</v>
      </c>
      <c r="F16489" s="33" t="s">
        <v>331</v>
      </c>
      <c r="G16489" s="33" t="s">
        <v>158</v>
      </c>
      <c r="H16489" s="35">
        <v>9</v>
      </c>
      <c r="I16489" s="33" t="s">
        <v>51</v>
      </c>
      <c r="J16489" s="42">
        <v>45180</v>
      </c>
      <c r="K16489" s="33" t="s">
        <v>22</v>
      </c>
    </row>
    <row r="16490" spans="1:11">
      <c r="A16490" s="30" t="s">
        <v>36968</v>
      </c>
      <c r="B16490" s="30" t="s">
        <v>36969</v>
      </c>
      <c r="C16490" s="30" t="s">
        <v>16259</v>
      </c>
      <c r="D16490" s="30" t="s">
        <v>17</v>
      </c>
      <c r="E16490" s="30" t="s">
        <v>26</v>
      </c>
      <c r="F16490" s="30" t="s">
        <v>27</v>
      </c>
      <c r="G16490" s="30" t="s">
        <v>20</v>
      </c>
      <c r="H16490" s="32">
        <v>21</v>
      </c>
      <c r="I16490" s="30" t="s">
        <v>21</v>
      </c>
      <c r="J16490" s="41">
        <v>45049</v>
      </c>
      <c r="K16490" s="30" t="s">
        <v>22</v>
      </c>
    </row>
    <row r="16491" spans="1:11">
      <c r="A16491" s="33" t="s">
        <v>36970</v>
      </c>
      <c r="B16491" s="33" t="s">
        <v>36971</v>
      </c>
      <c r="C16491" s="33" t="s">
        <v>26737</v>
      </c>
      <c r="D16491" s="33" t="s">
        <v>17</v>
      </c>
      <c r="E16491" s="33" t="s">
        <v>18</v>
      </c>
      <c r="F16491" s="33" t="s">
        <v>19</v>
      </c>
      <c r="G16491" s="33" t="s">
        <v>158</v>
      </c>
      <c r="H16491" s="35">
        <v>398</v>
      </c>
      <c r="I16491" s="33" t="s">
        <v>21</v>
      </c>
      <c r="J16491" s="42">
        <v>45078</v>
      </c>
      <c r="K16491" s="33" t="s">
        <v>22</v>
      </c>
    </row>
    <row r="16492" spans="1:11">
      <c r="A16492" s="30" t="s">
        <v>36972</v>
      </c>
      <c r="B16492" s="30" t="s">
        <v>36973</v>
      </c>
      <c r="C16492" s="30" t="s">
        <v>17523</v>
      </c>
      <c r="D16492" s="30" t="s">
        <v>17</v>
      </c>
      <c r="E16492" s="30" t="s">
        <v>26</v>
      </c>
      <c r="F16492" s="30" t="s">
        <v>27</v>
      </c>
      <c r="G16492" s="30" t="s">
        <v>140</v>
      </c>
      <c r="H16492" s="32">
        <v>200</v>
      </c>
      <c r="I16492" s="30" t="s">
        <v>51</v>
      </c>
      <c r="J16492" s="41">
        <v>45153</v>
      </c>
      <c r="K16492" s="30" t="s">
        <v>22</v>
      </c>
    </row>
    <row r="16493" spans="1:11">
      <c r="A16493" s="33" t="s">
        <v>36974</v>
      </c>
      <c r="B16493" s="33" t="s">
        <v>36975</v>
      </c>
      <c r="C16493" s="33" t="s">
        <v>16448</v>
      </c>
      <c r="D16493" s="33" t="s">
        <v>17</v>
      </c>
      <c r="E16493" s="33" t="s">
        <v>18</v>
      </c>
      <c r="F16493" s="33" t="s">
        <v>19</v>
      </c>
      <c r="G16493" s="33" t="s">
        <v>158</v>
      </c>
      <c r="H16493" s="35">
        <v>27</v>
      </c>
      <c r="I16493" s="33" t="s">
        <v>21</v>
      </c>
      <c r="J16493" s="42">
        <v>45235</v>
      </c>
      <c r="K16493" s="33" t="s">
        <v>22</v>
      </c>
    </row>
    <row r="16494" spans="1:11">
      <c r="A16494" s="30" t="s">
        <v>36976</v>
      </c>
      <c r="B16494" s="30" t="s">
        <v>36977</v>
      </c>
      <c r="C16494" s="30" t="s">
        <v>7246</v>
      </c>
      <c r="D16494" s="30" t="s">
        <v>17</v>
      </c>
      <c r="E16494" s="30" t="s">
        <v>26</v>
      </c>
      <c r="F16494" s="30" t="s">
        <v>27</v>
      </c>
      <c r="G16494" s="30" t="s">
        <v>20</v>
      </c>
      <c r="H16494" s="32">
        <v>22</v>
      </c>
      <c r="I16494" s="30" t="s">
        <v>21</v>
      </c>
      <c r="J16494" s="41">
        <v>45231</v>
      </c>
      <c r="K16494" s="30" t="s">
        <v>22</v>
      </c>
    </row>
    <row r="16495" spans="1:11">
      <c r="A16495" s="33" t="s">
        <v>36978</v>
      </c>
      <c r="B16495" s="33" t="s">
        <v>36979</v>
      </c>
      <c r="C16495" s="33" t="s">
        <v>36980</v>
      </c>
      <c r="D16495" s="33" t="s">
        <v>17</v>
      </c>
      <c r="E16495" s="33" t="s">
        <v>67</v>
      </c>
      <c r="F16495" s="33" t="s">
        <v>68</v>
      </c>
      <c r="G16495" s="33" t="s">
        <v>140</v>
      </c>
      <c r="H16495" s="35">
        <v>430</v>
      </c>
      <c r="I16495" s="33" t="s">
        <v>51</v>
      </c>
      <c r="J16495" s="42">
        <v>45168</v>
      </c>
      <c r="K16495" s="33" t="s">
        <v>22</v>
      </c>
    </row>
    <row r="16496" spans="1:11">
      <c r="A16496" s="30" t="s">
        <v>36981</v>
      </c>
      <c r="B16496" s="30" t="s">
        <v>36982</v>
      </c>
      <c r="C16496" s="30" t="s">
        <v>93</v>
      </c>
      <c r="D16496" s="30" t="s">
        <v>17</v>
      </c>
      <c r="E16496" s="30" t="s">
        <v>26</v>
      </c>
      <c r="F16496" s="30" t="s">
        <v>27</v>
      </c>
      <c r="G16496" s="30" t="s">
        <v>20</v>
      </c>
      <c r="H16496" s="32">
        <v>15</v>
      </c>
      <c r="I16496" s="30" t="s">
        <v>21</v>
      </c>
      <c r="J16496" s="41">
        <v>45092</v>
      </c>
      <c r="K16496" s="30" t="s">
        <v>22</v>
      </c>
    </row>
    <row r="16497" spans="1:11">
      <c r="A16497" s="33" t="s">
        <v>36983</v>
      </c>
      <c r="B16497" s="33" t="s">
        <v>36984</v>
      </c>
      <c r="C16497" s="33" t="s">
        <v>2698</v>
      </c>
      <c r="D16497" s="33" t="s">
        <v>17</v>
      </c>
      <c r="E16497" s="33" t="s">
        <v>26</v>
      </c>
      <c r="F16497" s="33" t="s">
        <v>27</v>
      </c>
      <c r="G16497" s="33" t="s">
        <v>20</v>
      </c>
      <c r="H16497" s="35">
        <v>15</v>
      </c>
      <c r="I16497" s="33" t="s">
        <v>21</v>
      </c>
      <c r="J16497" s="42">
        <v>45085</v>
      </c>
      <c r="K16497" s="33" t="s">
        <v>22</v>
      </c>
    </row>
    <row r="16498" spans="1:11">
      <c r="A16498" s="30" t="s">
        <v>36985</v>
      </c>
      <c r="B16498" s="30" t="s">
        <v>36986</v>
      </c>
      <c r="C16498" s="30" t="s">
        <v>8602</v>
      </c>
      <c r="D16498" s="30" t="s">
        <v>17</v>
      </c>
      <c r="E16498" s="30" t="s">
        <v>31</v>
      </c>
      <c r="F16498" s="30" t="s">
        <v>32</v>
      </c>
      <c r="G16498" s="30" t="s">
        <v>20</v>
      </c>
      <c r="H16498" s="32">
        <v>44</v>
      </c>
      <c r="I16498" s="30" t="s">
        <v>21</v>
      </c>
      <c r="J16498" s="41">
        <v>44992</v>
      </c>
      <c r="K16498" s="30" t="s">
        <v>22</v>
      </c>
    </row>
    <row r="16499" spans="1:11">
      <c r="A16499" s="33" t="s">
        <v>36987</v>
      </c>
      <c r="B16499" s="33" t="s">
        <v>36988</v>
      </c>
      <c r="C16499" s="33" t="s">
        <v>14226</v>
      </c>
      <c r="D16499" s="33" t="s">
        <v>17</v>
      </c>
      <c r="E16499" s="33" t="s">
        <v>31</v>
      </c>
      <c r="F16499" s="33" t="s">
        <v>32</v>
      </c>
      <c r="G16499" s="33" t="s">
        <v>106</v>
      </c>
      <c r="H16499" s="35">
        <v>201</v>
      </c>
      <c r="I16499" s="33" t="s">
        <v>21</v>
      </c>
      <c r="J16499" s="42">
        <v>45090</v>
      </c>
      <c r="K16499" s="33" t="s">
        <v>22</v>
      </c>
    </row>
    <row r="16500" spans="1:11">
      <c r="A16500" s="30" t="s">
        <v>36989</v>
      </c>
      <c r="B16500" s="30" t="s">
        <v>36990</v>
      </c>
      <c r="C16500" s="30" t="s">
        <v>647</v>
      </c>
      <c r="D16500" s="30" t="s">
        <v>17</v>
      </c>
      <c r="E16500" s="30" t="s">
        <v>31</v>
      </c>
      <c r="F16500" s="30" t="s">
        <v>32</v>
      </c>
      <c r="G16500" s="30" t="s">
        <v>158</v>
      </c>
      <c r="H16500" s="32">
        <v>129</v>
      </c>
      <c r="I16500" s="30" t="s">
        <v>21</v>
      </c>
      <c r="J16500" s="41">
        <v>45001</v>
      </c>
      <c r="K16500" s="30" t="s">
        <v>22</v>
      </c>
    </row>
    <row r="16501" spans="1:11">
      <c r="A16501" s="33" t="s">
        <v>36991</v>
      </c>
      <c r="B16501" s="33" t="s">
        <v>36992</v>
      </c>
      <c r="C16501" s="33" t="s">
        <v>9629</v>
      </c>
      <c r="D16501" s="33" t="s">
        <v>17</v>
      </c>
      <c r="E16501" s="33" t="s">
        <v>31</v>
      </c>
      <c r="F16501" s="33" t="s">
        <v>32</v>
      </c>
      <c r="G16501" s="33" t="s">
        <v>158</v>
      </c>
      <c r="H16501" s="35">
        <v>50</v>
      </c>
      <c r="I16501" s="33" t="s">
        <v>21</v>
      </c>
      <c r="J16501" s="42">
        <v>45078</v>
      </c>
      <c r="K16501" s="33" t="s">
        <v>22</v>
      </c>
    </row>
    <row r="16502" spans="1:11">
      <c r="A16502" s="30" t="s">
        <v>36993</v>
      </c>
      <c r="B16502" s="30" t="s">
        <v>36994</v>
      </c>
      <c r="C16502" s="30" t="s">
        <v>13241</v>
      </c>
      <c r="D16502" s="30" t="s">
        <v>17</v>
      </c>
      <c r="E16502" s="30" t="s">
        <v>31</v>
      </c>
      <c r="F16502" s="30" t="s">
        <v>32</v>
      </c>
      <c r="G16502" s="30" t="s">
        <v>158</v>
      </c>
      <c r="H16502" s="32">
        <v>260</v>
      </c>
      <c r="I16502" s="30" t="s">
        <v>21</v>
      </c>
      <c r="J16502" s="41">
        <v>44943</v>
      </c>
      <c r="K16502" s="30" t="s">
        <v>22</v>
      </c>
    </row>
    <row r="16503" spans="1:11">
      <c r="A16503" s="33" t="s">
        <v>36995</v>
      </c>
      <c r="B16503" s="33" t="s">
        <v>36996</v>
      </c>
      <c r="C16503" s="33" t="s">
        <v>936</v>
      </c>
      <c r="D16503" s="33" t="s">
        <v>17</v>
      </c>
      <c r="E16503" s="33" t="s">
        <v>26</v>
      </c>
      <c r="F16503" s="33" t="s">
        <v>27</v>
      </c>
      <c r="G16503" s="33" t="s">
        <v>140</v>
      </c>
      <c r="H16503" s="35">
        <v>177</v>
      </c>
      <c r="I16503" s="33" t="s">
        <v>51</v>
      </c>
      <c r="J16503" s="42">
        <v>45237</v>
      </c>
      <c r="K16503" s="33" t="s">
        <v>22</v>
      </c>
    </row>
    <row r="16504" spans="1:11">
      <c r="A16504" s="30" t="s">
        <v>36997</v>
      </c>
      <c r="B16504" s="30" t="s">
        <v>36998</v>
      </c>
      <c r="C16504" s="30" t="s">
        <v>36999</v>
      </c>
      <c r="D16504" s="30" t="s">
        <v>17</v>
      </c>
      <c r="E16504" s="30" t="s">
        <v>18</v>
      </c>
      <c r="F16504" s="30" t="s">
        <v>19</v>
      </c>
      <c r="G16504" s="30" t="s">
        <v>158</v>
      </c>
      <c r="H16504" s="32">
        <v>2312</v>
      </c>
      <c r="I16504" s="30" t="s">
        <v>21</v>
      </c>
      <c r="J16504" s="41">
        <v>45212</v>
      </c>
      <c r="K16504" s="30" t="s">
        <v>22</v>
      </c>
    </row>
    <row r="16505" spans="1:11">
      <c r="A16505" s="33" t="s">
        <v>37000</v>
      </c>
      <c r="B16505" s="33" t="s">
        <v>37001</v>
      </c>
      <c r="C16505" s="33" t="s">
        <v>14643</v>
      </c>
      <c r="D16505" s="33" t="s">
        <v>17</v>
      </c>
      <c r="E16505" s="33" t="s">
        <v>31</v>
      </c>
      <c r="F16505" s="33" t="s">
        <v>32</v>
      </c>
      <c r="G16505" s="33" t="s">
        <v>158</v>
      </c>
      <c r="H16505" s="35">
        <v>120</v>
      </c>
      <c r="I16505" s="33" t="s">
        <v>51</v>
      </c>
      <c r="J16505" s="42">
        <v>45072</v>
      </c>
      <c r="K16505" s="33" t="s">
        <v>22</v>
      </c>
    </row>
    <row r="16506" spans="1:11">
      <c r="A16506" s="30" t="s">
        <v>37002</v>
      </c>
      <c r="B16506" s="30" t="s">
        <v>37003</v>
      </c>
      <c r="C16506" s="30" t="s">
        <v>149</v>
      </c>
      <c r="D16506" s="30" t="s">
        <v>17</v>
      </c>
      <c r="E16506" s="30" t="s">
        <v>26</v>
      </c>
      <c r="F16506" s="30" t="s">
        <v>27</v>
      </c>
      <c r="G16506" s="30" t="s">
        <v>20</v>
      </c>
      <c r="H16506" s="32">
        <v>16</v>
      </c>
      <c r="I16506" s="30" t="s">
        <v>21</v>
      </c>
      <c r="J16506" s="41">
        <v>45075</v>
      </c>
      <c r="K16506" s="30" t="s">
        <v>22</v>
      </c>
    </row>
    <row r="16507" spans="1:11">
      <c r="A16507" s="33" t="s">
        <v>37004</v>
      </c>
      <c r="B16507" s="33" t="s">
        <v>37005</v>
      </c>
      <c r="C16507" s="33" t="s">
        <v>20047</v>
      </c>
      <c r="D16507" s="33" t="s">
        <v>17</v>
      </c>
      <c r="E16507" s="33" t="s">
        <v>31</v>
      </c>
      <c r="F16507" s="33" t="s">
        <v>32</v>
      </c>
      <c r="G16507" s="33" t="s">
        <v>158</v>
      </c>
      <c r="H16507" s="35">
        <v>40</v>
      </c>
      <c r="I16507" s="33" t="s">
        <v>21</v>
      </c>
      <c r="J16507" s="42">
        <v>45238</v>
      </c>
      <c r="K16507" s="33" t="s">
        <v>22</v>
      </c>
    </row>
    <row r="16508" spans="1:11">
      <c r="A16508" s="30" t="s">
        <v>37006</v>
      </c>
      <c r="B16508" s="30" t="s">
        <v>37007</v>
      </c>
      <c r="C16508" s="30" t="s">
        <v>6202</v>
      </c>
      <c r="D16508" s="30" t="s">
        <v>17</v>
      </c>
      <c r="E16508" s="30" t="s">
        <v>31</v>
      </c>
      <c r="F16508" s="30" t="s">
        <v>32</v>
      </c>
      <c r="G16508" s="30" t="s">
        <v>20</v>
      </c>
      <c r="H16508" s="32">
        <v>150</v>
      </c>
      <c r="I16508" s="30" t="s">
        <v>21</v>
      </c>
      <c r="J16508" s="41">
        <v>44985</v>
      </c>
      <c r="K16508" s="30" t="s">
        <v>22</v>
      </c>
    </row>
    <row r="16509" spans="1:11">
      <c r="A16509" s="33" t="s">
        <v>37008</v>
      </c>
      <c r="B16509" s="33" t="s">
        <v>37009</v>
      </c>
      <c r="C16509" s="33" t="s">
        <v>37010</v>
      </c>
      <c r="D16509" s="33" t="s">
        <v>17</v>
      </c>
      <c r="E16509" s="33" t="s">
        <v>67</v>
      </c>
      <c r="F16509" s="33" t="s">
        <v>68</v>
      </c>
      <c r="G16509" s="33" t="s">
        <v>140</v>
      </c>
      <c r="H16509" s="35">
        <v>68</v>
      </c>
      <c r="I16509" s="33" t="s">
        <v>51</v>
      </c>
      <c r="J16509" s="42">
        <v>44971</v>
      </c>
      <c r="K16509" s="33" t="s">
        <v>22</v>
      </c>
    </row>
    <row r="16510" spans="1:11">
      <c r="A16510" s="30" t="s">
        <v>37011</v>
      </c>
      <c r="B16510" s="30" t="s">
        <v>37012</v>
      </c>
      <c r="C16510" s="30" t="s">
        <v>178</v>
      </c>
      <c r="D16510" s="30" t="s">
        <v>17</v>
      </c>
      <c r="E16510" s="30" t="s">
        <v>67</v>
      </c>
      <c r="F16510" s="30" t="s">
        <v>68</v>
      </c>
      <c r="G16510" s="30" t="s">
        <v>140</v>
      </c>
      <c r="H16510" s="32">
        <v>200</v>
      </c>
      <c r="I16510" s="30" t="s">
        <v>51</v>
      </c>
      <c r="J16510" s="41">
        <v>45244</v>
      </c>
      <c r="K16510" s="30" t="s">
        <v>22</v>
      </c>
    </row>
    <row r="16511" spans="1:11">
      <c r="A16511" s="33" t="s">
        <v>37013</v>
      </c>
      <c r="B16511" s="33" t="s">
        <v>37014</v>
      </c>
      <c r="C16511" s="33" t="s">
        <v>15434</v>
      </c>
      <c r="D16511" s="33" t="s">
        <v>17</v>
      </c>
      <c r="E16511" s="33" t="s">
        <v>31</v>
      </c>
      <c r="F16511" s="33" t="s">
        <v>32</v>
      </c>
      <c r="G16511" s="33" t="s">
        <v>20</v>
      </c>
      <c r="H16511" s="35">
        <v>478</v>
      </c>
      <c r="I16511" s="33" t="s">
        <v>21</v>
      </c>
      <c r="J16511" s="42">
        <v>45056</v>
      </c>
      <c r="K16511" s="33" t="s">
        <v>22</v>
      </c>
    </row>
    <row r="16512" spans="1:11">
      <c r="A16512" s="30" t="s">
        <v>37015</v>
      </c>
      <c r="B16512" s="30" t="s">
        <v>37016</v>
      </c>
      <c r="C16512" s="30" t="s">
        <v>647</v>
      </c>
      <c r="D16512" s="30" t="s">
        <v>17</v>
      </c>
      <c r="E16512" s="30" t="s">
        <v>26</v>
      </c>
      <c r="F16512" s="30" t="s">
        <v>27</v>
      </c>
      <c r="G16512" s="30" t="s">
        <v>20</v>
      </c>
      <c r="H16512" s="32">
        <v>14</v>
      </c>
      <c r="I16512" s="30" t="s">
        <v>21</v>
      </c>
      <c r="J16512" s="41">
        <v>44965</v>
      </c>
      <c r="K16512" s="30" t="s">
        <v>22</v>
      </c>
    </row>
    <row r="16513" spans="1:11">
      <c r="A16513" s="33" t="s">
        <v>37017</v>
      </c>
      <c r="B16513" s="33" t="s">
        <v>37018</v>
      </c>
      <c r="C16513" s="33" t="s">
        <v>1571</v>
      </c>
      <c r="D16513" s="33" t="s">
        <v>17</v>
      </c>
      <c r="E16513" s="33" t="s">
        <v>26</v>
      </c>
      <c r="F16513" s="33" t="s">
        <v>27</v>
      </c>
      <c r="G16513" s="33" t="s">
        <v>20</v>
      </c>
      <c r="H16513" s="35">
        <v>32</v>
      </c>
      <c r="I16513" s="33" t="s">
        <v>21</v>
      </c>
      <c r="J16513" s="42">
        <v>45027</v>
      </c>
      <c r="K16513" s="33" t="s">
        <v>22</v>
      </c>
    </row>
    <row r="16514" spans="1:11">
      <c r="A16514" s="30" t="s">
        <v>37019</v>
      </c>
      <c r="B16514" s="30" t="s">
        <v>37020</v>
      </c>
      <c r="C16514" s="30" t="s">
        <v>8271</v>
      </c>
      <c r="D16514" s="30" t="s">
        <v>17</v>
      </c>
      <c r="E16514" s="30" t="s">
        <v>26</v>
      </c>
      <c r="F16514" s="30" t="s">
        <v>27</v>
      </c>
      <c r="G16514" s="30" t="s">
        <v>140</v>
      </c>
      <c r="H16514" s="32">
        <v>40</v>
      </c>
      <c r="I16514" s="30" t="s">
        <v>51</v>
      </c>
      <c r="J16514" s="41">
        <v>45218</v>
      </c>
      <c r="K16514" s="30" t="s">
        <v>22</v>
      </c>
    </row>
    <row r="16515" spans="1:11">
      <c r="A16515" s="33" t="s">
        <v>37021</v>
      </c>
      <c r="B16515" s="33" t="s">
        <v>37022</v>
      </c>
      <c r="C16515" s="33" t="s">
        <v>37023</v>
      </c>
      <c r="D16515" s="33" t="s">
        <v>17</v>
      </c>
      <c r="E16515" s="33" t="s">
        <v>26</v>
      </c>
      <c r="F16515" s="33" t="s">
        <v>27</v>
      </c>
      <c r="G16515" s="33" t="s">
        <v>50</v>
      </c>
      <c r="H16515" s="35">
        <v>9</v>
      </c>
      <c r="I16515" s="33" t="s">
        <v>51</v>
      </c>
      <c r="J16515" s="42">
        <v>45200</v>
      </c>
      <c r="K16515" s="33" t="s">
        <v>22</v>
      </c>
    </row>
    <row r="16516" spans="1:11">
      <c r="A16516" s="30" t="s">
        <v>37024</v>
      </c>
      <c r="B16516" s="30" t="s">
        <v>37025</v>
      </c>
      <c r="C16516" s="30" t="s">
        <v>15585</v>
      </c>
      <c r="D16516" s="30" t="s">
        <v>17</v>
      </c>
      <c r="E16516" s="30" t="s">
        <v>26</v>
      </c>
      <c r="F16516" s="30" t="s">
        <v>27</v>
      </c>
      <c r="G16516" s="30" t="s">
        <v>50</v>
      </c>
      <c r="H16516" s="32">
        <v>85</v>
      </c>
      <c r="I16516" s="30" t="s">
        <v>51</v>
      </c>
      <c r="J16516" s="41">
        <v>45046</v>
      </c>
      <c r="K16516" s="30" t="s">
        <v>22</v>
      </c>
    </row>
    <row r="16517" spans="1:11">
      <c r="A16517" s="33" t="s">
        <v>37026</v>
      </c>
      <c r="B16517" s="33" t="s">
        <v>37027</v>
      </c>
      <c r="C16517" s="33" t="s">
        <v>16116</v>
      </c>
      <c r="D16517" s="33" t="s">
        <v>17</v>
      </c>
      <c r="E16517" s="33" t="s">
        <v>18</v>
      </c>
      <c r="F16517" s="33" t="s">
        <v>19</v>
      </c>
      <c r="G16517" s="33" t="s">
        <v>20</v>
      </c>
      <c r="H16517" s="35">
        <v>21</v>
      </c>
      <c r="I16517" s="33" t="s">
        <v>21</v>
      </c>
      <c r="J16517" s="42">
        <v>45216</v>
      </c>
      <c r="K16517" s="33" t="s">
        <v>22</v>
      </c>
    </row>
    <row r="16518" spans="1:11">
      <c r="A16518" s="30" t="s">
        <v>37028</v>
      </c>
      <c r="B16518" s="30" t="s">
        <v>37029</v>
      </c>
      <c r="C16518" s="30" t="s">
        <v>374</v>
      </c>
      <c r="D16518" s="30" t="s">
        <v>17</v>
      </c>
      <c r="E16518" s="30" t="s">
        <v>26</v>
      </c>
      <c r="F16518" s="30" t="s">
        <v>27</v>
      </c>
      <c r="G16518" s="30" t="s">
        <v>106</v>
      </c>
      <c r="H16518" s="32">
        <v>6</v>
      </c>
      <c r="I16518" s="30" t="s">
        <v>21</v>
      </c>
      <c r="J16518" s="41">
        <v>45145</v>
      </c>
      <c r="K16518" s="30" t="s">
        <v>22</v>
      </c>
    </row>
    <row r="16519" spans="1:11">
      <c r="A16519" s="33" t="s">
        <v>37030</v>
      </c>
      <c r="B16519" s="33" t="s">
        <v>37031</v>
      </c>
      <c r="C16519" s="33" t="s">
        <v>8903</v>
      </c>
      <c r="D16519" s="33" t="s">
        <v>17</v>
      </c>
      <c r="E16519" s="33" t="s">
        <v>31</v>
      </c>
      <c r="F16519" s="33" t="s">
        <v>32</v>
      </c>
      <c r="G16519" s="33" t="s">
        <v>106</v>
      </c>
      <c r="H16519" s="35">
        <v>25</v>
      </c>
      <c r="I16519" s="33" t="s">
        <v>21</v>
      </c>
      <c r="J16519" s="42">
        <v>45209</v>
      </c>
      <c r="K16519" s="33" t="s">
        <v>22</v>
      </c>
    </row>
    <row r="16520" spans="1:11">
      <c r="A16520" s="30" t="s">
        <v>37032</v>
      </c>
      <c r="B16520" s="30" t="s">
        <v>37033</v>
      </c>
      <c r="C16520" s="30" t="s">
        <v>16725</v>
      </c>
      <c r="D16520" s="30" t="s">
        <v>17</v>
      </c>
      <c r="E16520" s="30" t="s">
        <v>26</v>
      </c>
      <c r="F16520" s="30" t="s">
        <v>27</v>
      </c>
      <c r="G16520" s="30" t="s">
        <v>106</v>
      </c>
      <c r="H16520" s="32">
        <v>1</v>
      </c>
      <c r="I16520" s="30" t="s">
        <v>21</v>
      </c>
      <c r="J16520" s="41">
        <v>45103</v>
      </c>
      <c r="K16520" s="30" t="s">
        <v>22</v>
      </c>
    </row>
    <row r="16521" spans="1:11">
      <c r="A16521" s="33" t="s">
        <v>37034</v>
      </c>
      <c r="B16521" s="33" t="s">
        <v>37035</v>
      </c>
      <c r="C16521" s="33" t="s">
        <v>310</v>
      </c>
      <c r="D16521" s="33" t="s">
        <v>17</v>
      </c>
      <c r="E16521" s="33" t="s">
        <v>26</v>
      </c>
      <c r="F16521" s="33" t="s">
        <v>27</v>
      </c>
      <c r="G16521" s="33" t="s">
        <v>20</v>
      </c>
      <c r="H16521" s="35">
        <v>267</v>
      </c>
      <c r="I16521" s="33" t="s">
        <v>21</v>
      </c>
      <c r="J16521" s="42">
        <v>44960</v>
      </c>
      <c r="K16521" s="33" t="s">
        <v>22</v>
      </c>
    </row>
    <row r="16522" spans="1:11">
      <c r="A16522" s="30" t="s">
        <v>37036</v>
      </c>
      <c r="B16522" s="30" t="s">
        <v>37037</v>
      </c>
      <c r="C16522" s="30" t="s">
        <v>8049</v>
      </c>
      <c r="D16522" s="30" t="s">
        <v>17</v>
      </c>
      <c r="E16522" s="30" t="s">
        <v>18</v>
      </c>
      <c r="F16522" s="30" t="s">
        <v>19</v>
      </c>
      <c r="G16522" s="30" t="s">
        <v>158</v>
      </c>
      <c r="H16522" s="32">
        <v>630</v>
      </c>
      <c r="I16522" s="30" t="s">
        <v>21</v>
      </c>
      <c r="J16522" s="41">
        <v>45253</v>
      </c>
      <c r="K16522" s="30" t="s">
        <v>22</v>
      </c>
    </row>
    <row r="16523" spans="1:11">
      <c r="A16523" s="33" t="s">
        <v>37038</v>
      </c>
      <c r="B16523" s="33" t="s">
        <v>37039</v>
      </c>
      <c r="C16523" s="33" t="s">
        <v>37040</v>
      </c>
      <c r="D16523" s="33" t="s">
        <v>17</v>
      </c>
      <c r="E16523" s="33" t="s">
        <v>67</v>
      </c>
      <c r="F16523" s="33" t="s">
        <v>68</v>
      </c>
      <c r="G16523" s="33" t="s">
        <v>7780</v>
      </c>
      <c r="H16523" s="35">
        <v>54</v>
      </c>
      <c r="I16523" s="33" t="s">
        <v>51</v>
      </c>
      <c r="J16523" s="42">
        <v>45261</v>
      </c>
      <c r="K16523" s="33" t="s">
        <v>22</v>
      </c>
    </row>
    <row r="16524" spans="1:11">
      <c r="A16524" s="30" t="s">
        <v>37041</v>
      </c>
      <c r="B16524" s="30" t="s">
        <v>37042</v>
      </c>
      <c r="C16524" s="30" t="s">
        <v>102</v>
      </c>
      <c r="D16524" s="30" t="s">
        <v>17</v>
      </c>
      <c r="E16524" s="30" t="s">
        <v>18</v>
      </c>
      <c r="F16524" s="30" t="s">
        <v>19</v>
      </c>
      <c r="G16524" s="30" t="s">
        <v>158</v>
      </c>
      <c r="H16524" s="32">
        <v>614</v>
      </c>
      <c r="I16524" s="30" t="s">
        <v>21</v>
      </c>
      <c r="J16524" s="41">
        <v>45014</v>
      </c>
      <c r="K16524" s="30" t="s">
        <v>22</v>
      </c>
    </row>
    <row r="16525" spans="1:11">
      <c r="A16525" s="33" t="s">
        <v>37043</v>
      </c>
      <c r="B16525" s="33" t="s">
        <v>37044</v>
      </c>
      <c r="C16525" s="33" t="s">
        <v>75</v>
      </c>
      <c r="D16525" s="33" t="s">
        <v>17</v>
      </c>
      <c r="E16525" s="33" t="s">
        <v>26</v>
      </c>
      <c r="F16525" s="33" t="s">
        <v>27</v>
      </c>
      <c r="G16525" s="33" t="s">
        <v>20</v>
      </c>
      <c r="H16525" s="35">
        <v>13</v>
      </c>
      <c r="I16525" s="33" t="s">
        <v>21</v>
      </c>
      <c r="J16525" s="42">
        <v>45155</v>
      </c>
      <c r="K16525" s="33" t="s">
        <v>22</v>
      </c>
    </row>
    <row r="16526" spans="1:11">
      <c r="A16526" s="30" t="s">
        <v>37045</v>
      </c>
      <c r="B16526" s="30" t="s">
        <v>37046</v>
      </c>
      <c r="C16526" s="30" t="s">
        <v>149</v>
      </c>
      <c r="D16526" s="30" t="s">
        <v>17</v>
      </c>
      <c r="E16526" s="30" t="s">
        <v>31</v>
      </c>
      <c r="F16526" s="30" t="s">
        <v>32</v>
      </c>
      <c r="G16526" s="30" t="s">
        <v>50</v>
      </c>
      <c r="H16526" s="32">
        <v>225</v>
      </c>
      <c r="I16526" s="30" t="s">
        <v>51</v>
      </c>
      <c r="J16526" s="41">
        <v>45117</v>
      </c>
      <c r="K16526" s="30" t="s">
        <v>22</v>
      </c>
    </row>
    <row r="16527" spans="1:11">
      <c r="A16527" s="33" t="s">
        <v>37047</v>
      </c>
      <c r="B16527" s="33" t="s">
        <v>37048</v>
      </c>
      <c r="C16527" s="33" t="s">
        <v>310</v>
      </c>
      <c r="D16527" s="33" t="s">
        <v>17</v>
      </c>
      <c r="E16527" s="33" t="s">
        <v>26</v>
      </c>
      <c r="F16527" s="33" t="s">
        <v>27</v>
      </c>
      <c r="G16527" s="33" t="s">
        <v>20</v>
      </c>
      <c r="H16527" s="35">
        <v>51</v>
      </c>
      <c r="I16527" s="33" t="s">
        <v>21</v>
      </c>
      <c r="J16527" s="42">
        <v>45243</v>
      </c>
      <c r="K16527" s="33" t="s">
        <v>22</v>
      </c>
    </row>
    <row r="16528" spans="1:11">
      <c r="A16528" s="30" t="s">
        <v>37049</v>
      </c>
      <c r="B16528" s="30" t="s">
        <v>37050</v>
      </c>
      <c r="C16528" s="30" t="s">
        <v>21641</v>
      </c>
      <c r="D16528" s="30" t="s">
        <v>17</v>
      </c>
      <c r="E16528" s="30" t="s">
        <v>18</v>
      </c>
      <c r="F16528" s="30" t="s">
        <v>19</v>
      </c>
      <c r="G16528" s="30" t="s">
        <v>20</v>
      </c>
      <c r="H16528" s="32">
        <v>526</v>
      </c>
      <c r="I16528" s="30" t="s">
        <v>21</v>
      </c>
      <c r="J16528" s="41">
        <v>44995</v>
      </c>
      <c r="K16528" s="30" t="s">
        <v>22</v>
      </c>
    </row>
    <row r="16529" spans="1:11">
      <c r="A16529" s="33" t="s">
        <v>37051</v>
      </c>
      <c r="B16529" s="33" t="s">
        <v>37052</v>
      </c>
      <c r="C16529" s="33" t="s">
        <v>9895</v>
      </c>
      <c r="D16529" s="33" t="s">
        <v>17</v>
      </c>
      <c r="E16529" s="33" t="s">
        <v>31</v>
      </c>
      <c r="F16529" s="33" t="s">
        <v>32</v>
      </c>
      <c r="G16529" s="33" t="s">
        <v>20</v>
      </c>
      <c r="H16529" s="35">
        <v>76</v>
      </c>
      <c r="I16529" s="33" t="s">
        <v>21</v>
      </c>
      <c r="J16529" s="42">
        <v>45288</v>
      </c>
      <c r="K16529" s="33" t="s">
        <v>22</v>
      </c>
    </row>
    <row r="16530" spans="1:11">
      <c r="A16530" s="30" t="s">
        <v>37053</v>
      </c>
      <c r="B16530" s="30" t="s">
        <v>37054</v>
      </c>
      <c r="C16530" s="30" t="s">
        <v>60</v>
      </c>
      <c r="D16530" s="30" t="s">
        <v>17</v>
      </c>
      <c r="E16530" s="30" t="s">
        <v>67</v>
      </c>
      <c r="F16530" s="30" t="s">
        <v>68</v>
      </c>
      <c r="G16530" s="30" t="s">
        <v>158</v>
      </c>
      <c r="H16530" s="32">
        <v>7</v>
      </c>
      <c r="I16530" s="30" t="s">
        <v>21</v>
      </c>
      <c r="J16530" s="41">
        <v>45062</v>
      </c>
      <c r="K16530" s="30" t="s">
        <v>22</v>
      </c>
    </row>
    <row r="16531" spans="1:11">
      <c r="A16531" s="33" t="s">
        <v>37055</v>
      </c>
      <c r="B16531" s="33" t="s">
        <v>37056</v>
      </c>
      <c r="C16531" s="33" t="s">
        <v>29959</v>
      </c>
      <c r="D16531" s="33" t="s">
        <v>17</v>
      </c>
      <c r="E16531" s="33" t="s">
        <v>330</v>
      </c>
      <c r="F16531" s="33" t="s">
        <v>331</v>
      </c>
      <c r="G16531" s="33" t="s">
        <v>158</v>
      </c>
      <c r="H16531" s="35">
        <v>45</v>
      </c>
      <c r="I16531" s="33" t="s">
        <v>21</v>
      </c>
      <c r="J16531" s="42">
        <v>45084</v>
      </c>
      <c r="K16531" s="33" t="s">
        <v>22</v>
      </c>
    </row>
    <row r="16532" spans="1:11">
      <c r="A16532" s="30" t="s">
        <v>37057</v>
      </c>
      <c r="B16532" s="30" t="s">
        <v>37058</v>
      </c>
      <c r="C16532" s="30" t="s">
        <v>1090</v>
      </c>
      <c r="D16532" s="30" t="s">
        <v>17</v>
      </c>
      <c r="E16532" s="30" t="s">
        <v>67</v>
      </c>
      <c r="F16532" s="30" t="s">
        <v>68</v>
      </c>
      <c r="G16532" s="30" t="s">
        <v>7780</v>
      </c>
      <c r="H16532" s="32">
        <v>129</v>
      </c>
      <c r="I16532" s="30" t="s">
        <v>51</v>
      </c>
      <c r="J16532" s="41">
        <v>45261</v>
      </c>
      <c r="K16532" s="30" t="s">
        <v>22</v>
      </c>
    </row>
    <row r="16533" spans="1:11">
      <c r="A16533" s="33" t="s">
        <v>37059</v>
      </c>
      <c r="B16533" s="33" t="s">
        <v>37060</v>
      </c>
      <c r="C16533" s="33" t="s">
        <v>252</v>
      </c>
      <c r="D16533" s="33" t="s">
        <v>17</v>
      </c>
      <c r="E16533" s="33" t="s">
        <v>67</v>
      </c>
      <c r="F16533" s="33" t="s">
        <v>68</v>
      </c>
      <c r="G16533" s="33" t="s">
        <v>158</v>
      </c>
      <c r="H16533" s="35">
        <v>233</v>
      </c>
      <c r="I16533" s="33" t="s">
        <v>51</v>
      </c>
      <c r="J16533" s="42">
        <v>45120</v>
      </c>
      <c r="K16533" s="33" t="s">
        <v>22</v>
      </c>
    </row>
    <row r="16534" spans="1:11">
      <c r="A16534" s="30" t="s">
        <v>37061</v>
      </c>
      <c r="B16534" s="30" t="s">
        <v>37062</v>
      </c>
      <c r="C16534" s="30" t="s">
        <v>23340</v>
      </c>
      <c r="D16534" s="30" t="s">
        <v>17</v>
      </c>
      <c r="E16534" s="30" t="s">
        <v>18</v>
      </c>
      <c r="F16534" s="30" t="s">
        <v>19</v>
      </c>
      <c r="G16534" s="30" t="s">
        <v>20</v>
      </c>
      <c r="H16534" s="32">
        <v>375</v>
      </c>
      <c r="I16534" s="30" t="s">
        <v>21</v>
      </c>
      <c r="J16534" s="41">
        <v>45087</v>
      </c>
      <c r="K16534" s="30" t="s">
        <v>22</v>
      </c>
    </row>
    <row r="16535" spans="1:11">
      <c r="A16535" s="33" t="s">
        <v>37063</v>
      </c>
      <c r="B16535" s="33" t="s">
        <v>37064</v>
      </c>
      <c r="C16535" s="33" t="s">
        <v>8231</v>
      </c>
      <c r="D16535" s="33" t="s">
        <v>17</v>
      </c>
      <c r="E16535" s="33" t="s">
        <v>31</v>
      </c>
      <c r="F16535" s="33" t="s">
        <v>32</v>
      </c>
      <c r="G16535" s="33" t="s">
        <v>158</v>
      </c>
      <c r="H16535" s="35">
        <v>139</v>
      </c>
      <c r="I16535" s="33" t="s">
        <v>51</v>
      </c>
      <c r="J16535" s="42">
        <v>45128</v>
      </c>
      <c r="K16535" s="33" t="s">
        <v>22</v>
      </c>
    </row>
    <row r="16536" spans="1:11">
      <c r="A16536" s="30" t="s">
        <v>37065</v>
      </c>
      <c r="B16536" s="30" t="s">
        <v>37066</v>
      </c>
      <c r="C16536" s="30" t="s">
        <v>5169</v>
      </c>
      <c r="D16536" s="30" t="s">
        <v>17</v>
      </c>
      <c r="E16536" s="30" t="s">
        <v>31</v>
      </c>
      <c r="F16536" s="30" t="s">
        <v>32</v>
      </c>
      <c r="G16536" s="30" t="s">
        <v>20</v>
      </c>
      <c r="H16536" s="32">
        <v>190</v>
      </c>
      <c r="I16536" s="30" t="s">
        <v>21</v>
      </c>
      <c r="J16536" s="41">
        <v>45158</v>
      </c>
      <c r="K16536" s="30" t="s">
        <v>22</v>
      </c>
    </row>
    <row r="16537" spans="1:11">
      <c r="A16537" s="33" t="s">
        <v>37067</v>
      </c>
      <c r="B16537" s="33" t="s">
        <v>37068</v>
      </c>
      <c r="C16537" s="33" t="s">
        <v>149</v>
      </c>
      <c r="D16537" s="33" t="s">
        <v>17</v>
      </c>
      <c r="E16537" s="33" t="s">
        <v>26</v>
      </c>
      <c r="F16537" s="33" t="s">
        <v>27</v>
      </c>
      <c r="G16537" s="33" t="s">
        <v>20</v>
      </c>
      <c r="H16537" s="35">
        <v>16</v>
      </c>
      <c r="I16537" s="33" t="s">
        <v>21</v>
      </c>
      <c r="J16537" s="42">
        <v>45069</v>
      </c>
      <c r="K16537" s="33" t="s">
        <v>22</v>
      </c>
    </row>
    <row r="16538" spans="1:11">
      <c r="A16538" s="30" t="s">
        <v>37069</v>
      </c>
      <c r="B16538" s="30" t="s">
        <v>37070</v>
      </c>
      <c r="C16538" s="30" t="s">
        <v>9271</v>
      </c>
      <c r="D16538" s="30" t="s">
        <v>17</v>
      </c>
      <c r="E16538" s="30" t="s">
        <v>18</v>
      </c>
      <c r="F16538" s="30" t="s">
        <v>19</v>
      </c>
      <c r="G16538" s="30" t="s">
        <v>140</v>
      </c>
      <c r="H16538" s="32">
        <v>136</v>
      </c>
      <c r="I16538" s="30" t="s">
        <v>51</v>
      </c>
      <c r="J16538" s="41">
        <v>45215</v>
      </c>
      <c r="K16538" s="30" t="s">
        <v>22</v>
      </c>
    </row>
    <row r="16539" spans="1:11">
      <c r="A16539" s="33" t="s">
        <v>37071</v>
      </c>
      <c r="B16539" s="33" t="s">
        <v>37072</v>
      </c>
      <c r="C16539" s="33" t="s">
        <v>16964</v>
      </c>
      <c r="D16539" s="33" t="s">
        <v>17</v>
      </c>
      <c r="E16539" s="33" t="s">
        <v>67</v>
      </c>
      <c r="F16539" s="33" t="s">
        <v>68</v>
      </c>
      <c r="G16539" s="33" t="s">
        <v>140</v>
      </c>
      <c r="H16539" s="35">
        <v>50</v>
      </c>
      <c r="I16539" s="33" t="s">
        <v>51</v>
      </c>
      <c r="J16539" s="42">
        <v>44998</v>
      </c>
      <c r="K16539" s="33" t="s">
        <v>22</v>
      </c>
    </row>
    <row r="16540" spans="1:11">
      <c r="A16540" s="30" t="s">
        <v>37073</v>
      </c>
      <c r="B16540" s="30" t="s">
        <v>37074</v>
      </c>
      <c r="C16540" s="30" t="s">
        <v>203</v>
      </c>
      <c r="D16540" s="30" t="s">
        <v>17</v>
      </c>
      <c r="E16540" s="30" t="s">
        <v>31</v>
      </c>
      <c r="F16540" s="30" t="s">
        <v>32</v>
      </c>
      <c r="G16540" s="30" t="s">
        <v>20</v>
      </c>
      <c r="H16540" s="32">
        <v>99</v>
      </c>
      <c r="I16540" s="30" t="s">
        <v>21</v>
      </c>
      <c r="J16540" s="41">
        <v>45211</v>
      </c>
      <c r="K16540" s="30" t="s">
        <v>22</v>
      </c>
    </row>
    <row r="16541" spans="1:11">
      <c r="A16541" s="33" t="s">
        <v>37075</v>
      </c>
      <c r="B16541" s="33" t="s">
        <v>37076</v>
      </c>
      <c r="C16541" s="33" t="s">
        <v>25186</v>
      </c>
      <c r="D16541" s="33" t="s">
        <v>17</v>
      </c>
      <c r="E16541" s="33" t="s">
        <v>18</v>
      </c>
      <c r="F16541" s="33" t="s">
        <v>19</v>
      </c>
      <c r="G16541" s="33" t="s">
        <v>20</v>
      </c>
      <c r="H16541" s="35">
        <v>121</v>
      </c>
      <c r="I16541" s="33" t="s">
        <v>21</v>
      </c>
      <c r="J16541" s="42">
        <v>44987</v>
      </c>
      <c r="K16541" s="33" t="s">
        <v>22</v>
      </c>
    </row>
    <row r="16542" spans="1:11">
      <c r="A16542" s="30" t="s">
        <v>37077</v>
      </c>
      <c r="B16542" s="30" t="s">
        <v>37078</v>
      </c>
      <c r="C16542" s="30" t="s">
        <v>379</v>
      </c>
      <c r="D16542" s="30" t="s">
        <v>17</v>
      </c>
      <c r="E16542" s="30" t="s">
        <v>26</v>
      </c>
      <c r="F16542" s="30" t="s">
        <v>27</v>
      </c>
      <c r="G16542" s="30" t="s">
        <v>50</v>
      </c>
      <c r="H16542" s="32">
        <v>304</v>
      </c>
      <c r="I16542" s="30" t="s">
        <v>51</v>
      </c>
      <c r="J16542" s="41">
        <v>45258</v>
      </c>
      <c r="K16542" s="30" t="s">
        <v>22</v>
      </c>
    </row>
    <row r="16543" spans="1:11">
      <c r="A16543" s="33" t="s">
        <v>37079</v>
      </c>
      <c r="B16543" s="33" t="s">
        <v>37080</v>
      </c>
      <c r="C16543" s="33" t="s">
        <v>28459</v>
      </c>
      <c r="D16543" s="33" t="s">
        <v>17</v>
      </c>
      <c r="E16543" s="33" t="s">
        <v>31</v>
      </c>
      <c r="F16543" s="33" t="s">
        <v>32</v>
      </c>
      <c r="G16543" s="33" t="s">
        <v>20</v>
      </c>
      <c r="H16543" s="35">
        <v>80</v>
      </c>
      <c r="I16543" s="33" t="s">
        <v>21</v>
      </c>
      <c r="J16543" s="42">
        <v>44995</v>
      </c>
      <c r="K16543" s="33" t="s">
        <v>22</v>
      </c>
    </row>
    <row r="16544" spans="1:11">
      <c r="A16544" s="30" t="s">
        <v>37081</v>
      </c>
      <c r="B16544" s="30" t="s">
        <v>37082</v>
      </c>
      <c r="C16544" s="30" t="s">
        <v>37083</v>
      </c>
      <c r="D16544" s="30" t="s">
        <v>17</v>
      </c>
      <c r="E16544" s="30" t="s">
        <v>26</v>
      </c>
      <c r="F16544" s="30" t="s">
        <v>27</v>
      </c>
      <c r="G16544" s="30" t="s">
        <v>20</v>
      </c>
      <c r="H16544" s="32">
        <v>57</v>
      </c>
      <c r="I16544" s="30" t="s">
        <v>21</v>
      </c>
      <c r="J16544" s="41">
        <v>45163</v>
      </c>
      <c r="K16544" s="30" t="s">
        <v>22</v>
      </c>
    </row>
    <row r="16545" spans="1:11">
      <c r="A16545" s="33" t="s">
        <v>37084</v>
      </c>
      <c r="B16545" s="33" t="s">
        <v>37085</v>
      </c>
      <c r="C16545" s="33" t="s">
        <v>190</v>
      </c>
      <c r="D16545" s="33" t="s">
        <v>17</v>
      </c>
      <c r="E16545" s="33" t="s">
        <v>26</v>
      </c>
      <c r="F16545" s="33" t="s">
        <v>27</v>
      </c>
      <c r="G16545" s="33" t="s">
        <v>20</v>
      </c>
      <c r="H16545" s="35">
        <v>38</v>
      </c>
      <c r="I16545" s="33" t="s">
        <v>21</v>
      </c>
      <c r="J16545" s="42">
        <v>45134</v>
      </c>
      <c r="K16545" s="33" t="s">
        <v>22</v>
      </c>
    </row>
    <row r="16546" spans="1:11">
      <c r="A16546" s="30" t="s">
        <v>37086</v>
      </c>
      <c r="B16546" s="30" t="s">
        <v>37087</v>
      </c>
      <c r="C16546" s="30" t="s">
        <v>178</v>
      </c>
      <c r="D16546" s="30" t="s">
        <v>17</v>
      </c>
      <c r="E16546" s="30" t="s">
        <v>31</v>
      </c>
      <c r="F16546" s="30" t="s">
        <v>32</v>
      </c>
      <c r="G16546" s="30" t="s">
        <v>158</v>
      </c>
      <c r="H16546" s="32">
        <v>51</v>
      </c>
      <c r="I16546" s="30" t="s">
        <v>21</v>
      </c>
      <c r="J16546" s="41">
        <v>44964</v>
      </c>
      <c r="K16546" s="30" t="s">
        <v>22</v>
      </c>
    </row>
    <row r="16547" spans="1:11">
      <c r="A16547" s="33" t="s">
        <v>37088</v>
      </c>
      <c r="B16547" s="33" t="s">
        <v>37089</v>
      </c>
      <c r="C16547" s="33" t="s">
        <v>25344</v>
      </c>
      <c r="D16547" s="33" t="s">
        <v>17</v>
      </c>
      <c r="E16547" s="33" t="s">
        <v>31</v>
      </c>
      <c r="F16547" s="33" t="s">
        <v>32</v>
      </c>
      <c r="G16547" s="33" t="s">
        <v>158</v>
      </c>
      <c r="H16547" s="35">
        <v>12</v>
      </c>
      <c r="I16547" s="33" t="s">
        <v>21</v>
      </c>
      <c r="J16547" s="42">
        <v>45209</v>
      </c>
      <c r="K16547" s="33" t="s">
        <v>22</v>
      </c>
    </row>
    <row r="16548" spans="1:11">
      <c r="A16548" s="30" t="s">
        <v>37090</v>
      </c>
      <c r="B16548" s="30" t="s">
        <v>37091</v>
      </c>
      <c r="C16548" s="30" t="s">
        <v>13241</v>
      </c>
      <c r="D16548" s="30" t="s">
        <v>17</v>
      </c>
      <c r="E16548" s="30" t="s">
        <v>26</v>
      </c>
      <c r="F16548" s="30" t="s">
        <v>27</v>
      </c>
      <c r="G16548" s="30" t="s">
        <v>50</v>
      </c>
      <c r="H16548" s="32">
        <v>252</v>
      </c>
      <c r="I16548" s="30" t="s">
        <v>51</v>
      </c>
      <c r="J16548" s="41">
        <v>44988</v>
      </c>
      <c r="K16548" s="30" t="s">
        <v>22</v>
      </c>
    </row>
    <row r="16549" spans="1:11">
      <c r="A16549" s="33" t="s">
        <v>37092</v>
      </c>
      <c r="B16549" s="33" t="s">
        <v>37093</v>
      </c>
      <c r="C16549" s="33" t="s">
        <v>7900</v>
      </c>
      <c r="D16549" s="33" t="s">
        <v>17</v>
      </c>
      <c r="E16549" s="33" t="s">
        <v>212</v>
      </c>
      <c r="F16549" s="33" t="s">
        <v>213</v>
      </c>
      <c r="G16549" s="33" t="s">
        <v>158</v>
      </c>
      <c r="H16549" s="35">
        <v>88</v>
      </c>
      <c r="I16549" s="33" t="s">
        <v>21</v>
      </c>
      <c r="J16549" s="42">
        <v>45159</v>
      </c>
      <c r="K16549" s="33" t="s">
        <v>22</v>
      </c>
    </row>
    <row r="16550" spans="1:11">
      <c r="A16550" s="30" t="s">
        <v>37094</v>
      </c>
      <c r="B16550" s="30" t="s">
        <v>37095</v>
      </c>
      <c r="C16550" s="30" t="s">
        <v>5084</v>
      </c>
      <c r="D16550" s="30" t="s">
        <v>17</v>
      </c>
      <c r="E16550" s="30" t="s">
        <v>31</v>
      </c>
      <c r="F16550" s="30" t="s">
        <v>32</v>
      </c>
      <c r="G16550" s="30" t="s">
        <v>20</v>
      </c>
      <c r="H16550" s="32">
        <v>93</v>
      </c>
      <c r="I16550" s="30" t="s">
        <v>21</v>
      </c>
      <c r="J16550" s="41">
        <v>45027</v>
      </c>
      <c r="K16550" s="30" t="s">
        <v>22</v>
      </c>
    </row>
    <row r="16551" spans="1:11">
      <c r="A16551" s="33" t="s">
        <v>37096</v>
      </c>
      <c r="B16551" s="33" t="s">
        <v>37097</v>
      </c>
      <c r="C16551" s="33" t="s">
        <v>17501</v>
      </c>
      <c r="D16551" s="33" t="s">
        <v>17</v>
      </c>
      <c r="E16551" s="33" t="s">
        <v>31</v>
      </c>
      <c r="F16551" s="33" t="s">
        <v>32</v>
      </c>
      <c r="G16551" s="33" t="s">
        <v>20</v>
      </c>
      <c r="H16551" s="35">
        <v>229</v>
      </c>
      <c r="I16551" s="33" t="s">
        <v>21</v>
      </c>
      <c r="J16551" s="42">
        <v>45048</v>
      </c>
      <c r="K16551" s="33" t="s">
        <v>22</v>
      </c>
    </row>
    <row r="16552" spans="1:11">
      <c r="A16552" s="30" t="s">
        <v>37098</v>
      </c>
      <c r="B16552" s="30" t="s">
        <v>37099</v>
      </c>
      <c r="C16552" s="30" t="s">
        <v>37100</v>
      </c>
      <c r="D16552" s="30" t="s">
        <v>17</v>
      </c>
      <c r="E16552" s="30" t="s">
        <v>26</v>
      </c>
      <c r="F16552" s="30" t="s">
        <v>27</v>
      </c>
      <c r="G16552" s="30" t="s">
        <v>20</v>
      </c>
      <c r="H16552" s="32">
        <v>66</v>
      </c>
      <c r="I16552" s="30" t="s">
        <v>21</v>
      </c>
      <c r="J16552" s="41">
        <v>44970</v>
      </c>
      <c r="K16552" s="30" t="s">
        <v>22</v>
      </c>
    </row>
    <row r="16553" spans="1:11">
      <c r="A16553" s="33" t="s">
        <v>37101</v>
      </c>
      <c r="B16553" s="33" t="s">
        <v>37102</v>
      </c>
      <c r="C16553" s="33" t="s">
        <v>102</v>
      </c>
      <c r="D16553" s="33" t="s">
        <v>17</v>
      </c>
      <c r="E16553" s="33" t="s">
        <v>18</v>
      </c>
      <c r="F16553" s="33" t="s">
        <v>19</v>
      </c>
      <c r="G16553" s="33" t="s">
        <v>158</v>
      </c>
      <c r="H16553" s="35">
        <v>20284</v>
      </c>
      <c r="I16553" s="33" t="s">
        <v>21</v>
      </c>
      <c r="J16553" s="42">
        <v>45027</v>
      </c>
      <c r="K16553" s="33" t="s">
        <v>22</v>
      </c>
    </row>
    <row r="16554" spans="1:11">
      <c r="A16554" s="30" t="s">
        <v>37103</v>
      </c>
      <c r="B16554" s="30" t="s">
        <v>37104</v>
      </c>
      <c r="C16554" s="30" t="s">
        <v>37105</v>
      </c>
      <c r="D16554" s="30" t="s">
        <v>17</v>
      </c>
      <c r="E16554" s="30" t="s">
        <v>26</v>
      </c>
      <c r="F16554" s="30" t="s">
        <v>27</v>
      </c>
      <c r="G16554" s="30" t="s">
        <v>140</v>
      </c>
      <c r="H16554" s="32">
        <v>30</v>
      </c>
      <c r="I16554" s="30" t="s">
        <v>51</v>
      </c>
      <c r="J16554" s="41">
        <v>45061</v>
      </c>
      <c r="K16554" s="30" t="s">
        <v>22</v>
      </c>
    </row>
    <row r="16555" spans="1:11">
      <c r="A16555" s="33" t="s">
        <v>37106</v>
      </c>
      <c r="B16555" s="33" t="s">
        <v>37107</v>
      </c>
      <c r="C16555" s="33" t="s">
        <v>231</v>
      </c>
      <c r="D16555" s="33" t="s">
        <v>17</v>
      </c>
      <c r="E16555" s="33" t="s">
        <v>18</v>
      </c>
      <c r="F16555" s="33" t="s">
        <v>19</v>
      </c>
      <c r="G16555" s="33" t="s">
        <v>20</v>
      </c>
      <c r="H16555" s="35">
        <v>755</v>
      </c>
      <c r="I16555" s="33" t="s">
        <v>21</v>
      </c>
      <c r="J16555" s="42">
        <v>45257</v>
      </c>
      <c r="K16555" s="33" t="s">
        <v>22</v>
      </c>
    </row>
    <row r="16556" spans="1:11">
      <c r="A16556" s="30" t="s">
        <v>37108</v>
      </c>
      <c r="B16556" s="30" t="s">
        <v>37109</v>
      </c>
      <c r="C16556" s="30" t="s">
        <v>37110</v>
      </c>
      <c r="D16556" s="30" t="s">
        <v>17</v>
      </c>
      <c r="E16556" s="30" t="s">
        <v>26</v>
      </c>
      <c r="F16556" s="30" t="s">
        <v>27</v>
      </c>
      <c r="G16556" s="30" t="s">
        <v>20</v>
      </c>
      <c r="H16556" s="32">
        <v>18</v>
      </c>
      <c r="I16556" s="30" t="s">
        <v>21</v>
      </c>
      <c r="J16556" s="41">
        <v>45041</v>
      </c>
      <c r="K16556" s="30" t="s">
        <v>22</v>
      </c>
    </row>
    <row r="16557" spans="1:11">
      <c r="A16557" s="33" t="s">
        <v>37111</v>
      </c>
      <c r="B16557" s="33" t="s">
        <v>37112</v>
      </c>
      <c r="C16557" s="33" t="s">
        <v>15097</v>
      </c>
      <c r="D16557" s="33" t="s">
        <v>17</v>
      </c>
      <c r="E16557" s="33" t="s">
        <v>67</v>
      </c>
      <c r="F16557" s="33" t="s">
        <v>68</v>
      </c>
      <c r="G16557" s="33" t="s">
        <v>140</v>
      </c>
      <c r="H16557" s="35">
        <v>18</v>
      </c>
      <c r="I16557" s="33" t="s">
        <v>51</v>
      </c>
      <c r="J16557" s="42">
        <v>45182</v>
      </c>
      <c r="K16557" s="33" t="s">
        <v>22</v>
      </c>
    </row>
    <row r="16558" spans="1:11">
      <c r="A16558" s="30" t="s">
        <v>37113</v>
      </c>
      <c r="B16558" s="30" t="s">
        <v>37114</v>
      </c>
      <c r="C16558" s="30" t="s">
        <v>12431</v>
      </c>
      <c r="D16558" s="30" t="s">
        <v>17</v>
      </c>
      <c r="E16558" s="30" t="s">
        <v>330</v>
      </c>
      <c r="F16558" s="30" t="s">
        <v>331</v>
      </c>
      <c r="G16558" s="30" t="s">
        <v>158</v>
      </c>
      <c r="H16558" s="32">
        <v>16</v>
      </c>
      <c r="I16558" s="30" t="s">
        <v>51</v>
      </c>
      <c r="J16558" s="41">
        <v>44962</v>
      </c>
      <c r="K16558" s="30" t="s">
        <v>22</v>
      </c>
    </row>
    <row r="16559" spans="1:11">
      <c r="A16559" s="33" t="s">
        <v>37115</v>
      </c>
      <c r="B16559" s="33" t="s">
        <v>37116</v>
      </c>
      <c r="C16559" s="33" t="s">
        <v>31289</v>
      </c>
      <c r="D16559" s="33" t="s">
        <v>17</v>
      </c>
      <c r="E16559" s="33" t="s">
        <v>31</v>
      </c>
      <c r="F16559" s="33" t="s">
        <v>32</v>
      </c>
      <c r="G16559" s="33" t="s">
        <v>112</v>
      </c>
      <c r="H16559" s="35">
        <v>0</v>
      </c>
      <c r="I16559" s="33" t="s">
        <v>21</v>
      </c>
      <c r="J16559" s="42">
        <v>45260</v>
      </c>
      <c r="K16559" s="33" t="s">
        <v>22</v>
      </c>
    </row>
    <row r="16560" spans="1:11">
      <c r="A16560" s="30" t="s">
        <v>37117</v>
      </c>
      <c r="B16560" s="30" t="s">
        <v>37118</v>
      </c>
      <c r="C16560" s="30" t="s">
        <v>318</v>
      </c>
      <c r="D16560" s="30" t="s">
        <v>17</v>
      </c>
      <c r="E16560" s="30" t="s">
        <v>31</v>
      </c>
      <c r="F16560" s="30" t="s">
        <v>32</v>
      </c>
      <c r="G16560" s="30" t="s">
        <v>20</v>
      </c>
      <c r="H16560" s="32">
        <v>592</v>
      </c>
      <c r="I16560" s="30" t="s">
        <v>21</v>
      </c>
      <c r="J16560" s="41">
        <v>44944</v>
      </c>
      <c r="K16560" s="30" t="s">
        <v>22</v>
      </c>
    </row>
    <row r="16561" spans="1:11">
      <c r="A16561" s="33" t="s">
        <v>37119</v>
      </c>
      <c r="B16561" s="33" t="s">
        <v>37120</v>
      </c>
      <c r="C16561" s="33" t="s">
        <v>353</v>
      </c>
      <c r="D16561" s="33" t="s">
        <v>17</v>
      </c>
      <c r="E16561" s="33" t="s">
        <v>26</v>
      </c>
      <c r="F16561" s="33" t="s">
        <v>27</v>
      </c>
      <c r="G16561" s="33" t="s">
        <v>50</v>
      </c>
      <c r="H16561" s="35">
        <v>48</v>
      </c>
      <c r="I16561" s="33" t="s">
        <v>51</v>
      </c>
      <c r="J16561" s="42">
        <v>45265</v>
      </c>
      <c r="K16561" s="33" t="s">
        <v>22</v>
      </c>
    </row>
    <row r="16562" spans="1:11">
      <c r="A16562" s="30" t="s">
        <v>37121</v>
      </c>
      <c r="B16562" s="30" t="s">
        <v>37122</v>
      </c>
      <c r="C16562" s="30" t="s">
        <v>26196</v>
      </c>
      <c r="D16562" s="30" t="s">
        <v>17</v>
      </c>
      <c r="E16562" s="30" t="s">
        <v>18</v>
      </c>
      <c r="F16562" s="30" t="s">
        <v>19</v>
      </c>
      <c r="G16562" s="30" t="s">
        <v>158</v>
      </c>
      <c r="H16562" s="32">
        <v>30</v>
      </c>
      <c r="I16562" s="30" t="s">
        <v>21</v>
      </c>
      <c r="J16562" s="41">
        <v>45182</v>
      </c>
      <c r="K16562" s="30" t="s">
        <v>22</v>
      </c>
    </row>
    <row r="16563" spans="1:11">
      <c r="A16563" s="33" t="s">
        <v>37123</v>
      </c>
      <c r="B16563" s="33" t="s">
        <v>37124</v>
      </c>
      <c r="C16563" s="33" t="s">
        <v>9629</v>
      </c>
      <c r="D16563" s="33" t="s">
        <v>17</v>
      </c>
      <c r="E16563" s="33" t="s">
        <v>31</v>
      </c>
      <c r="F16563" s="33" t="s">
        <v>32</v>
      </c>
      <c r="G16563" s="33" t="s">
        <v>158</v>
      </c>
      <c r="H16563" s="35">
        <v>64</v>
      </c>
      <c r="I16563" s="33" t="s">
        <v>21</v>
      </c>
      <c r="J16563" s="42">
        <v>45103</v>
      </c>
      <c r="K16563" s="33" t="s">
        <v>22</v>
      </c>
    </row>
    <row r="16564" spans="1:11">
      <c r="A16564" s="30" t="s">
        <v>37125</v>
      </c>
      <c r="B16564" s="30" t="s">
        <v>37126</v>
      </c>
      <c r="C16564" s="30" t="s">
        <v>4682</v>
      </c>
      <c r="D16564" s="30" t="s">
        <v>17</v>
      </c>
      <c r="E16564" s="30" t="s">
        <v>31</v>
      </c>
      <c r="F16564" s="30" t="s">
        <v>32</v>
      </c>
      <c r="G16564" s="30" t="s">
        <v>112</v>
      </c>
      <c r="H16564" s="32">
        <v>0</v>
      </c>
      <c r="I16564" s="30" t="s">
        <v>21</v>
      </c>
      <c r="J16564" s="41">
        <v>44986</v>
      </c>
      <c r="K16564" s="30" t="s">
        <v>22</v>
      </c>
    </row>
    <row r="16565" spans="1:11">
      <c r="A16565" s="33" t="s">
        <v>37127</v>
      </c>
      <c r="B16565" s="33" t="s">
        <v>37128</v>
      </c>
      <c r="C16565" s="33" t="s">
        <v>34100</v>
      </c>
      <c r="D16565" s="33" t="s">
        <v>17</v>
      </c>
      <c r="E16565" s="33" t="s">
        <v>67</v>
      </c>
      <c r="F16565" s="33" t="s">
        <v>68</v>
      </c>
      <c r="G16565" s="33" t="s">
        <v>158</v>
      </c>
      <c r="H16565" s="35">
        <v>33</v>
      </c>
      <c r="I16565" s="33" t="s">
        <v>51</v>
      </c>
      <c r="J16565" s="42">
        <v>45139</v>
      </c>
      <c r="K16565" s="33" t="s">
        <v>22</v>
      </c>
    </row>
    <row r="16566" spans="1:11">
      <c r="A16566" s="30" t="s">
        <v>37129</v>
      </c>
      <c r="B16566" s="30" t="s">
        <v>37130</v>
      </c>
      <c r="C16566" s="30" t="s">
        <v>14816</v>
      </c>
      <c r="D16566" s="30" t="s">
        <v>17</v>
      </c>
      <c r="E16566" s="30" t="s">
        <v>26</v>
      </c>
      <c r="F16566" s="30" t="s">
        <v>27</v>
      </c>
      <c r="G16566" s="30" t="s">
        <v>50</v>
      </c>
      <c r="H16566" s="32">
        <v>60</v>
      </c>
      <c r="I16566" s="30" t="s">
        <v>51</v>
      </c>
      <c r="J16566" s="41">
        <v>45072</v>
      </c>
      <c r="K16566" s="30" t="s">
        <v>22</v>
      </c>
    </row>
    <row r="16567" spans="1:11">
      <c r="A16567" s="33" t="s">
        <v>37131</v>
      </c>
      <c r="B16567" s="33" t="s">
        <v>37132</v>
      </c>
      <c r="C16567" s="33" t="s">
        <v>8768</v>
      </c>
      <c r="D16567" s="33" t="s">
        <v>17</v>
      </c>
      <c r="E16567" s="33" t="s">
        <v>26</v>
      </c>
      <c r="F16567" s="33" t="s">
        <v>27</v>
      </c>
      <c r="G16567" s="33" t="s">
        <v>140</v>
      </c>
      <c r="H16567" s="35">
        <v>12</v>
      </c>
      <c r="I16567" s="33" t="s">
        <v>51</v>
      </c>
      <c r="J16567" s="42">
        <v>45017</v>
      </c>
      <c r="K16567" s="33" t="s">
        <v>22</v>
      </c>
    </row>
    <row r="16568" spans="1:11">
      <c r="A16568" s="30" t="s">
        <v>37133</v>
      </c>
      <c r="B16568" s="30" t="s">
        <v>37134</v>
      </c>
      <c r="C16568" s="30" t="s">
        <v>869</v>
      </c>
      <c r="D16568" s="30" t="s">
        <v>17</v>
      </c>
      <c r="E16568" s="30" t="s">
        <v>67</v>
      </c>
      <c r="F16568" s="30" t="s">
        <v>68</v>
      </c>
      <c r="G16568" s="30" t="s">
        <v>158</v>
      </c>
      <c r="H16568" s="32">
        <v>72</v>
      </c>
      <c r="I16568" s="30" t="s">
        <v>51</v>
      </c>
      <c r="J16568" s="41">
        <v>45215</v>
      </c>
      <c r="K16568" s="30" t="s">
        <v>22</v>
      </c>
    </row>
    <row r="16569" spans="1:11">
      <c r="A16569" s="33" t="s">
        <v>37135</v>
      </c>
      <c r="B16569" s="33" t="s">
        <v>37136</v>
      </c>
      <c r="C16569" s="33" t="s">
        <v>32431</v>
      </c>
      <c r="D16569" s="33" t="s">
        <v>17</v>
      </c>
      <c r="E16569" s="33" t="s">
        <v>330</v>
      </c>
      <c r="F16569" s="33" t="s">
        <v>331</v>
      </c>
      <c r="G16569" s="33" t="s">
        <v>50</v>
      </c>
      <c r="H16569" s="35">
        <v>12</v>
      </c>
      <c r="I16569" s="33" t="s">
        <v>51</v>
      </c>
      <c r="J16569" s="42">
        <v>44927</v>
      </c>
      <c r="K16569" s="33" t="s">
        <v>22</v>
      </c>
    </row>
    <row r="16570" spans="1:11">
      <c r="A16570" s="30" t="s">
        <v>37137</v>
      </c>
      <c r="B16570" s="30" t="s">
        <v>37138</v>
      </c>
      <c r="C16570" s="30" t="s">
        <v>1270</v>
      </c>
      <c r="D16570" s="30" t="s">
        <v>17</v>
      </c>
      <c r="E16570" s="30" t="s">
        <v>31</v>
      </c>
      <c r="F16570" s="30" t="s">
        <v>32</v>
      </c>
      <c r="G16570" s="30" t="s">
        <v>50</v>
      </c>
      <c r="H16570" s="32">
        <v>96</v>
      </c>
      <c r="I16570" s="30" t="s">
        <v>51</v>
      </c>
      <c r="J16570" s="41">
        <v>45169</v>
      </c>
      <c r="K16570" s="30" t="s">
        <v>22</v>
      </c>
    </row>
    <row r="16571" spans="1:11">
      <c r="A16571" s="33" t="s">
        <v>37139</v>
      </c>
      <c r="B16571" s="33" t="s">
        <v>37140</v>
      </c>
      <c r="C16571" s="33" t="s">
        <v>130</v>
      </c>
      <c r="D16571" s="33" t="s">
        <v>17</v>
      </c>
      <c r="E16571" s="33" t="s">
        <v>18</v>
      </c>
      <c r="F16571" s="33" t="s">
        <v>19</v>
      </c>
      <c r="G16571" s="33" t="s">
        <v>158</v>
      </c>
      <c r="H16571" s="35">
        <v>450</v>
      </c>
      <c r="I16571" s="33" t="s">
        <v>21</v>
      </c>
      <c r="J16571" s="42">
        <v>45257</v>
      </c>
      <c r="K16571" s="33" t="s">
        <v>22</v>
      </c>
    </row>
    <row r="16572" spans="1:11">
      <c r="A16572" s="30" t="s">
        <v>37141</v>
      </c>
      <c r="B16572" s="30" t="s">
        <v>37142</v>
      </c>
      <c r="C16572" s="30" t="s">
        <v>37143</v>
      </c>
      <c r="D16572" s="30" t="s">
        <v>17</v>
      </c>
      <c r="E16572" s="30" t="s">
        <v>212</v>
      </c>
      <c r="F16572" s="30" t="s">
        <v>213</v>
      </c>
      <c r="G16572" s="30" t="s">
        <v>20</v>
      </c>
      <c r="H16572" s="32">
        <v>395</v>
      </c>
      <c r="I16572" s="30" t="s">
        <v>21</v>
      </c>
      <c r="J16572" s="41">
        <v>45203</v>
      </c>
      <c r="K16572" s="30" t="s">
        <v>22</v>
      </c>
    </row>
    <row r="16573" spans="1:11">
      <c r="A16573" s="33" t="s">
        <v>37144</v>
      </c>
      <c r="B16573" s="33" t="s">
        <v>37145</v>
      </c>
      <c r="C16573" s="33" t="s">
        <v>21856</v>
      </c>
      <c r="D16573" s="33" t="s">
        <v>17</v>
      </c>
      <c r="E16573" s="33" t="s">
        <v>67</v>
      </c>
      <c r="F16573" s="33" t="s">
        <v>68</v>
      </c>
      <c r="G16573" s="33" t="s">
        <v>106</v>
      </c>
      <c r="H16573" s="35">
        <v>26</v>
      </c>
      <c r="I16573" s="33" t="s">
        <v>21</v>
      </c>
      <c r="J16573" s="42">
        <v>44965</v>
      </c>
      <c r="K16573" s="33" t="s">
        <v>22</v>
      </c>
    </row>
    <row r="16574" spans="1:11">
      <c r="A16574" s="30" t="s">
        <v>37146</v>
      </c>
      <c r="B16574" s="30" t="s">
        <v>37147</v>
      </c>
      <c r="C16574" s="30" t="s">
        <v>701</v>
      </c>
      <c r="D16574" s="30" t="s">
        <v>17</v>
      </c>
      <c r="E16574" s="30" t="s">
        <v>212</v>
      </c>
      <c r="F16574" s="30" t="s">
        <v>213</v>
      </c>
      <c r="G16574" s="30" t="s">
        <v>20</v>
      </c>
      <c r="H16574" s="32">
        <v>7500</v>
      </c>
      <c r="I16574" s="30" t="s">
        <v>21</v>
      </c>
      <c r="J16574" s="41">
        <v>45033</v>
      </c>
      <c r="K16574" s="30" t="s">
        <v>22</v>
      </c>
    </row>
    <row r="16575" spans="1:11">
      <c r="A16575" s="33" t="s">
        <v>37148</v>
      </c>
      <c r="B16575" s="33" t="s">
        <v>37149</v>
      </c>
      <c r="C16575" s="33" t="s">
        <v>644</v>
      </c>
      <c r="D16575" s="33" t="s">
        <v>17</v>
      </c>
      <c r="E16575" s="33" t="s">
        <v>67</v>
      </c>
      <c r="F16575" s="33" t="s">
        <v>68</v>
      </c>
      <c r="G16575" s="33" t="s">
        <v>20</v>
      </c>
      <c r="H16575" s="35">
        <v>41</v>
      </c>
      <c r="I16575" s="33" t="s">
        <v>21</v>
      </c>
      <c r="J16575" s="42">
        <v>44956</v>
      </c>
      <c r="K16575" s="33" t="s">
        <v>22</v>
      </c>
    </row>
    <row r="16576" spans="1:11">
      <c r="A16576" s="30" t="s">
        <v>37150</v>
      </c>
      <c r="B16576" s="30" t="s">
        <v>37151</v>
      </c>
      <c r="C16576" s="30" t="s">
        <v>11434</v>
      </c>
      <c r="D16576" s="30" t="s">
        <v>17</v>
      </c>
      <c r="E16576" s="30" t="s">
        <v>26</v>
      </c>
      <c r="F16576" s="30" t="s">
        <v>27</v>
      </c>
      <c r="G16576" s="30" t="s">
        <v>20</v>
      </c>
      <c r="H16576" s="32">
        <v>24</v>
      </c>
      <c r="I16576" s="30" t="s">
        <v>21</v>
      </c>
      <c r="J16576" s="41">
        <v>45115</v>
      </c>
      <c r="K16576" s="30" t="s">
        <v>22</v>
      </c>
    </row>
    <row r="16577" spans="1:11">
      <c r="A16577" s="33" t="s">
        <v>37152</v>
      </c>
      <c r="B16577" s="33" t="s">
        <v>37153</v>
      </c>
      <c r="C16577" s="33" t="s">
        <v>28438</v>
      </c>
      <c r="D16577" s="33" t="s">
        <v>17</v>
      </c>
      <c r="E16577" s="33" t="s">
        <v>31</v>
      </c>
      <c r="F16577" s="33" t="s">
        <v>32</v>
      </c>
      <c r="G16577" s="33" t="s">
        <v>158</v>
      </c>
      <c r="H16577" s="35">
        <v>76</v>
      </c>
      <c r="I16577" s="33" t="s">
        <v>21</v>
      </c>
      <c r="J16577" s="42">
        <v>44993</v>
      </c>
      <c r="K16577" s="33" t="s">
        <v>22</v>
      </c>
    </row>
    <row r="16578" spans="1:11">
      <c r="A16578" s="30" t="s">
        <v>37154</v>
      </c>
      <c r="B16578" s="30" t="s">
        <v>37155</v>
      </c>
      <c r="C16578" s="30" t="s">
        <v>44</v>
      </c>
      <c r="D16578" s="30" t="s">
        <v>17</v>
      </c>
      <c r="E16578" s="30" t="s">
        <v>26</v>
      </c>
      <c r="F16578" s="30" t="s">
        <v>27</v>
      </c>
      <c r="G16578" s="30" t="s">
        <v>20</v>
      </c>
      <c r="H16578" s="32">
        <v>80</v>
      </c>
      <c r="I16578" s="30" t="s">
        <v>21</v>
      </c>
      <c r="J16578" s="41">
        <v>44938</v>
      </c>
      <c r="K16578" s="30" t="s">
        <v>22</v>
      </c>
    </row>
    <row r="16579" spans="1:11">
      <c r="A16579" s="33" t="s">
        <v>37156</v>
      </c>
      <c r="B16579" s="33" t="s">
        <v>37157</v>
      </c>
      <c r="C16579" s="33" t="s">
        <v>18347</v>
      </c>
      <c r="D16579" s="33" t="s">
        <v>17</v>
      </c>
      <c r="E16579" s="33" t="s">
        <v>31</v>
      </c>
      <c r="F16579" s="33" t="s">
        <v>32</v>
      </c>
      <c r="G16579" s="33" t="s">
        <v>20</v>
      </c>
      <c r="H16579" s="35">
        <v>40</v>
      </c>
      <c r="I16579" s="33" t="s">
        <v>21</v>
      </c>
      <c r="J16579" s="42">
        <v>45156</v>
      </c>
      <c r="K16579" s="33" t="s">
        <v>22</v>
      </c>
    </row>
    <row r="16580" spans="1:11">
      <c r="A16580" s="30" t="s">
        <v>37158</v>
      </c>
      <c r="B16580" s="30" t="s">
        <v>37159</v>
      </c>
      <c r="C16580" s="30" t="s">
        <v>57</v>
      </c>
      <c r="D16580" s="30" t="s">
        <v>17</v>
      </c>
      <c r="E16580" s="30" t="s">
        <v>26</v>
      </c>
      <c r="F16580" s="30" t="s">
        <v>27</v>
      </c>
      <c r="G16580" s="30" t="s">
        <v>50</v>
      </c>
      <c r="H16580" s="32">
        <v>40</v>
      </c>
      <c r="I16580" s="30" t="s">
        <v>51</v>
      </c>
      <c r="J16580" s="41">
        <v>44951</v>
      </c>
      <c r="K16580" s="30" t="s">
        <v>22</v>
      </c>
    </row>
    <row r="16581" spans="1:11">
      <c r="A16581" s="33" t="s">
        <v>37160</v>
      </c>
      <c r="B16581" s="33" t="s">
        <v>37161</v>
      </c>
      <c r="C16581" s="33" t="s">
        <v>969</v>
      </c>
      <c r="D16581" s="33" t="s">
        <v>17</v>
      </c>
      <c r="E16581" s="33" t="s">
        <v>31</v>
      </c>
      <c r="F16581" s="33" t="s">
        <v>32</v>
      </c>
      <c r="G16581" s="33" t="s">
        <v>106</v>
      </c>
      <c r="H16581" s="35">
        <v>161</v>
      </c>
      <c r="I16581" s="33" t="s">
        <v>21</v>
      </c>
      <c r="J16581" s="42">
        <v>45246</v>
      </c>
      <c r="K16581" s="33" t="s">
        <v>22</v>
      </c>
    </row>
    <row r="16582" spans="1:11">
      <c r="A16582" s="30" t="s">
        <v>37162</v>
      </c>
      <c r="B16582" s="30" t="s">
        <v>37163</v>
      </c>
      <c r="C16582" s="30" t="s">
        <v>96</v>
      </c>
      <c r="D16582" s="30" t="s">
        <v>17</v>
      </c>
      <c r="E16582" s="30" t="s">
        <v>67</v>
      </c>
      <c r="F16582" s="30" t="s">
        <v>68</v>
      </c>
      <c r="G16582" s="30" t="s">
        <v>106</v>
      </c>
      <c r="H16582" s="32">
        <v>40</v>
      </c>
      <c r="I16582" s="30" t="s">
        <v>21</v>
      </c>
      <c r="J16582" s="41">
        <v>45168</v>
      </c>
      <c r="K16582" s="30" t="s">
        <v>22</v>
      </c>
    </row>
    <row r="16583" spans="1:11">
      <c r="A16583" s="33" t="s">
        <v>37164</v>
      </c>
      <c r="B16583" s="33" t="s">
        <v>37165</v>
      </c>
      <c r="C16583" s="33" t="s">
        <v>570</v>
      </c>
      <c r="D16583" s="33" t="s">
        <v>17</v>
      </c>
      <c r="E16583" s="33" t="s">
        <v>18</v>
      </c>
      <c r="F16583" s="33" t="s">
        <v>19</v>
      </c>
      <c r="G16583" s="33" t="s">
        <v>50</v>
      </c>
      <c r="H16583" s="35">
        <v>478</v>
      </c>
      <c r="I16583" s="33" t="s">
        <v>51</v>
      </c>
      <c r="J16583" s="42">
        <v>45117</v>
      </c>
      <c r="K16583" s="33" t="s">
        <v>22</v>
      </c>
    </row>
    <row r="16584" spans="1:11">
      <c r="A16584" s="30" t="s">
        <v>37166</v>
      </c>
      <c r="B16584" s="30" t="s">
        <v>37167</v>
      </c>
      <c r="C16584" s="30" t="s">
        <v>24291</v>
      </c>
      <c r="D16584" s="30" t="s">
        <v>17</v>
      </c>
      <c r="E16584" s="30" t="s">
        <v>26</v>
      </c>
      <c r="F16584" s="30" t="s">
        <v>27</v>
      </c>
      <c r="G16584" s="30" t="s">
        <v>158</v>
      </c>
      <c r="H16584" s="32">
        <v>10</v>
      </c>
      <c r="I16584" s="30" t="s">
        <v>21</v>
      </c>
      <c r="J16584" s="41">
        <v>45054</v>
      </c>
      <c r="K16584" s="30" t="s">
        <v>22</v>
      </c>
    </row>
    <row r="16585" spans="1:11">
      <c r="A16585" s="33" t="s">
        <v>37168</v>
      </c>
      <c r="B16585" s="33" t="s">
        <v>37169</v>
      </c>
      <c r="C16585" s="33" t="s">
        <v>1923</v>
      </c>
      <c r="D16585" s="33" t="s">
        <v>17</v>
      </c>
      <c r="E16585" s="33" t="s">
        <v>18</v>
      </c>
      <c r="F16585" s="33" t="s">
        <v>19</v>
      </c>
      <c r="G16585" s="33" t="s">
        <v>158</v>
      </c>
      <c r="H16585" s="35">
        <v>5800</v>
      </c>
      <c r="I16585" s="33" t="s">
        <v>51</v>
      </c>
      <c r="J16585" s="42">
        <v>45114</v>
      </c>
      <c r="K16585" s="33" t="s">
        <v>22</v>
      </c>
    </row>
    <row r="16586" spans="1:11">
      <c r="A16586" s="30" t="s">
        <v>37170</v>
      </c>
      <c r="B16586" s="30" t="s">
        <v>37171</v>
      </c>
      <c r="C16586" s="30" t="s">
        <v>15650</v>
      </c>
      <c r="D16586" s="30" t="s">
        <v>17</v>
      </c>
      <c r="E16586" s="30" t="s">
        <v>26</v>
      </c>
      <c r="F16586" s="30" t="s">
        <v>27</v>
      </c>
      <c r="G16586" s="30" t="s">
        <v>20</v>
      </c>
      <c r="H16586" s="32">
        <v>32</v>
      </c>
      <c r="I16586" s="30" t="s">
        <v>21</v>
      </c>
      <c r="J16586" s="41">
        <v>45006</v>
      </c>
      <c r="K16586" s="30" t="s">
        <v>22</v>
      </c>
    </row>
    <row r="16587" spans="1:11">
      <c r="A16587" s="33" t="s">
        <v>37172</v>
      </c>
      <c r="B16587" s="33" t="s">
        <v>37173</v>
      </c>
      <c r="C16587" s="33" t="s">
        <v>11363</v>
      </c>
      <c r="D16587" s="33" t="s">
        <v>17</v>
      </c>
      <c r="E16587" s="33" t="s">
        <v>67</v>
      </c>
      <c r="F16587" s="33" t="s">
        <v>68</v>
      </c>
      <c r="G16587" s="33" t="s">
        <v>140</v>
      </c>
      <c r="H16587" s="35">
        <v>156</v>
      </c>
      <c r="I16587" s="33" t="s">
        <v>51</v>
      </c>
      <c r="J16587" s="42">
        <v>45271</v>
      </c>
      <c r="K16587" s="33" t="s">
        <v>22</v>
      </c>
    </row>
    <row r="16588" spans="1:11">
      <c r="A16588" s="30" t="s">
        <v>37174</v>
      </c>
      <c r="B16588" s="30" t="s">
        <v>37175</v>
      </c>
      <c r="C16588" s="30" t="s">
        <v>31374</v>
      </c>
      <c r="D16588" s="30" t="s">
        <v>17</v>
      </c>
      <c r="E16588" s="30" t="s">
        <v>45</v>
      </c>
      <c r="F16588" s="30" t="s">
        <v>46</v>
      </c>
      <c r="G16588" s="30" t="s">
        <v>2613</v>
      </c>
      <c r="H16588" s="32">
        <v>140</v>
      </c>
      <c r="I16588" s="30" t="s">
        <v>51</v>
      </c>
      <c r="J16588" s="41">
        <v>45098</v>
      </c>
      <c r="K16588" s="30" t="s">
        <v>22</v>
      </c>
    </row>
    <row r="16589" spans="1:11">
      <c r="A16589" s="33" t="s">
        <v>37176</v>
      </c>
      <c r="B16589" s="33" t="s">
        <v>37177</v>
      </c>
      <c r="C16589" s="33" t="s">
        <v>810</v>
      </c>
      <c r="D16589" s="33" t="s">
        <v>17</v>
      </c>
      <c r="E16589" s="33" t="s">
        <v>31</v>
      </c>
      <c r="F16589" s="33" t="s">
        <v>32</v>
      </c>
      <c r="G16589" s="33" t="s">
        <v>50</v>
      </c>
      <c r="H16589" s="35">
        <v>96</v>
      </c>
      <c r="I16589" s="33" t="s">
        <v>51</v>
      </c>
      <c r="J16589" s="42">
        <v>45078</v>
      </c>
      <c r="K16589" s="33" t="s">
        <v>22</v>
      </c>
    </row>
    <row r="16590" spans="1:11">
      <c r="A16590" s="30" t="s">
        <v>37178</v>
      </c>
      <c r="B16590" s="30" t="s">
        <v>37179</v>
      </c>
      <c r="C16590" s="30" t="s">
        <v>647</v>
      </c>
      <c r="D16590" s="30" t="s">
        <v>17</v>
      </c>
      <c r="E16590" s="30" t="s">
        <v>26</v>
      </c>
      <c r="F16590" s="30" t="s">
        <v>27</v>
      </c>
      <c r="G16590" s="30" t="s">
        <v>140</v>
      </c>
      <c r="H16590" s="32">
        <v>178</v>
      </c>
      <c r="I16590" s="30" t="s">
        <v>51</v>
      </c>
      <c r="J16590" s="41">
        <v>45113</v>
      </c>
      <c r="K16590" s="30" t="s">
        <v>22</v>
      </c>
    </row>
    <row r="16591" spans="1:11">
      <c r="A16591" s="33" t="s">
        <v>37180</v>
      </c>
      <c r="B16591" s="33" t="s">
        <v>37181</v>
      </c>
      <c r="C16591" s="33" t="s">
        <v>5246</v>
      </c>
      <c r="D16591" s="33" t="s">
        <v>17</v>
      </c>
      <c r="E16591" s="33" t="s">
        <v>26</v>
      </c>
      <c r="F16591" s="33" t="s">
        <v>27</v>
      </c>
      <c r="G16591" s="33" t="s">
        <v>20</v>
      </c>
      <c r="H16591" s="35">
        <v>32</v>
      </c>
      <c r="I16591" s="33" t="s">
        <v>21</v>
      </c>
      <c r="J16591" s="42">
        <v>45162</v>
      </c>
      <c r="K16591" s="33" t="s">
        <v>22</v>
      </c>
    </row>
    <row r="16592" spans="1:11">
      <c r="A16592" s="30" t="s">
        <v>37182</v>
      </c>
      <c r="B16592" s="30" t="s">
        <v>37183</v>
      </c>
      <c r="C16592" s="30" t="s">
        <v>3775</v>
      </c>
      <c r="D16592" s="30" t="s">
        <v>17</v>
      </c>
      <c r="E16592" s="30" t="s">
        <v>26</v>
      </c>
      <c r="F16592" s="30" t="s">
        <v>27</v>
      </c>
      <c r="G16592" s="30" t="s">
        <v>20</v>
      </c>
      <c r="H16592" s="32">
        <v>44</v>
      </c>
      <c r="I16592" s="30" t="s">
        <v>21</v>
      </c>
      <c r="J16592" s="41">
        <v>45173</v>
      </c>
      <c r="K16592" s="30" t="s">
        <v>22</v>
      </c>
    </row>
    <row r="16593" spans="1:11">
      <c r="A16593" s="33" t="s">
        <v>37184</v>
      </c>
      <c r="B16593" s="33" t="s">
        <v>37185</v>
      </c>
      <c r="C16593" s="33" t="s">
        <v>37186</v>
      </c>
      <c r="D16593" s="33" t="s">
        <v>17</v>
      </c>
      <c r="E16593" s="33" t="s">
        <v>26</v>
      </c>
      <c r="F16593" s="33" t="s">
        <v>27</v>
      </c>
      <c r="G16593" s="33" t="s">
        <v>140</v>
      </c>
      <c r="H16593" s="35">
        <v>48</v>
      </c>
      <c r="I16593" s="33" t="s">
        <v>51</v>
      </c>
      <c r="J16593" s="42">
        <v>45232</v>
      </c>
      <c r="K16593" s="33" t="s">
        <v>22</v>
      </c>
    </row>
    <row r="16594" spans="1:11">
      <c r="A16594" s="30" t="s">
        <v>37187</v>
      </c>
      <c r="B16594" s="30" t="s">
        <v>37188</v>
      </c>
      <c r="C16594" s="30" t="s">
        <v>549</v>
      </c>
      <c r="D16594" s="30" t="s">
        <v>17</v>
      </c>
      <c r="E16594" s="30" t="s">
        <v>18</v>
      </c>
      <c r="F16594" s="30" t="s">
        <v>19</v>
      </c>
      <c r="G16594" s="30" t="s">
        <v>20</v>
      </c>
      <c r="H16594" s="32">
        <v>62</v>
      </c>
      <c r="I16594" s="30" t="s">
        <v>21</v>
      </c>
      <c r="J16594" s="41">
        <v>45033</v>
      </c>
      <c r="K16594" s="30" t="s">
        <v>22</v>
      </c>
    </row>
    <row r="16595" spans="1:11">
      <c r="A16595" s="33" t="s">
        <v>37189</v>
      </c>
      <c r="B16595" s="33" t="s">
        <v>37190</v>
      </c>
      <c r="C16595" s="33" t="s">
        <v>23340</v>
      </c>
      <c r="D16595" s="33" t="s">
        <v>17</v>
      </c>
      <c r="E16595" s="33" t="s">
        <v>67</v>
      </c>
      <c r="F16595" s="33" t="s">
        <v>68</v>
      </c>
      <c r="G16595" s="33" t="s">
        <v>158</v>
      </c>
      <c r="H16595" s="35">
        <v>200</v>
      </c>
      <c r="I16595" s="33" t="s">
        <v>51</v>
      </c>
      <c r="J16595" s="42">
        <v>45072</v>
      </c>
      <c r="K16595" s="33" t="s">
        <v>22</v>
      </c>
    </row>
    <row r="16596" spans="1:11">
      <c r="A16596" s="30" t="s">
        <v>37191</v>
      </c>
      <c r="B16596" s="30" t="s">
        <v>37192</v>
      </c>
      <c r="C16596" s="30" t="s">
        <v>7388</v>
      </c>
      <c r="D16596" s="30" t="s">
        <v>17</v>
      </c>
      <c r="E16596" s="30" t="s">
        <v>67</v>
      </c>
      <c r="F16596" s="30" t="s">
        <v>68</v>
      </c>
      <c r="G16596" s="30" t="s">
        <v>112</v>
      </c>
      <c r="H16596" s="32">
        <v>0</v>
      </c>
      <c r="I16596" s="30" t="s">
        <v>21</v>
      </c>
      <c r="J16596" s="41">
        <v>44927</v>
      </c>
      <c r="K16596" s="30" t="s">
        <v>22</v>
      </c>
    </row>
    <row r="16597" spans="1:11">
      <c r="A16597" s="33" t="s">
        <v>37193</v>
      </c>
      <c r="B16597" s="33" t="s">
        <v>37194</v>
      </c>
      <c r="C16597" s="33" t="s">
        <v>3647</v>
      </c>
      <c r="D16597" s="33" t="s">
        <v>17</v>
      </c>
      <c r="E16597" s="33" t="s">
        <v>26</v>
      </c>
      <c r="F16597" s="33" t="s">
        <v>27</v>
      </c>
      <c r="G16597" s="33" t="s">
        <v>20</v>
      </c>
      <c r="H16597" s="35">
        <v>69</v>
      </c>
      <c r="I16597" s="33" t="s">
        <v>21</v>
      </c>
      <c r="J16597" s="42">
        <v>45040</v>
      </c>
      <c r="K16597" s="33" t="s">
        <v>22</v>
      </c>
    </row>
    <row r="16598" spans="1:11">
      <c r="A16598" s="30" t="s">
        <v>37195</v>
      </c>
      <c r="B16598" s="30" t="s">
        <v>37196</v>
      </c>
      <c r="C16598" s="30" t="s">
        <v>17990</v>
      </c>
      <c r="D16598" s="30" t="s">
        <v>17</v>
      </c>
      <c r="E16598" s="30" t="s">
        <v>18</v>
      </c>
      <c r="F16598" s="30" t="s">
        <v>19</v>
      </c>
      <c r="G16598" s="30" t="s">
        <v>50</v>
      </c>
      <c r="H16598" s="32">
        <v>267</v>
      </c>
      <c r="I16598" s="30" t="s">
        <v>51</v>
      </c>
      <c r="J16598" s="41">
        <v>45219</v>
      </c>
      <c r="K16598" s="30" t="s">
        <v>22</v>
      </c>
    </row>
    <row r="16599" spans="1:11">
      <c r="A16599" s="33" t="s">
        <v>37197</v>
      </c>
      <c r="B16599" s="33" t="s">
        <v>37198</v>
      </c>
      <c r="C16599" s="33" t="s">
        <v>11026</v>
      </c>
      <c r="D16599" s="33" t="s">
        <v>17</v>
      </c>
      <c r="E16599" s="33" t="s">
        <v>31</v>
      </c>
      <c r="F16599" s="33" t="s">
        <v>32</v>
      </c>
      <c r="G16599" s="33" t="s">
        <v>50</v>
      </c>
      <c r="H16599" s="35">
        <v>36</v>
      </c>
      <c r="I16599" s="33" t="s">
        <v>51</v>
      </c>
      <c r="J16599" s="42">
        <v>45132</v>
      </c>
      <c r="K16599" s="33" t="s">
        <v>22</v>
      </c>
    </row>
    <row r="16600" spans="1:11">
      <c r="A16600" s="30" t="s">
        <v>37199</v>
      </c>
      <c r="B16600" s="30" t="s">
        <v>37200</v>
      </c>
      <c r="C16600" s="30" t="s">
        <v>969</v>
      </c>
      <c r="D16600" s="30" t="s">
        <v>17</v>
      </c>
      <c r="E16600" s="30" t="s">
        <v>18</v>
      </c>
      <c r="F16600" s="30" t="s">
        <v>19</v>
      </c>
      <c r="G16600" s="30" t="s">
        <v>20</v>
      </c>
      <c r="H16600" s="32">
        <v>3855</v>
      </c>
      <c r="I16600" s="30" t="s">
        <v>21</v>
      </c>
      <c r="J16600" s="41">
        <v>44964</v>
      </c>
      <c r="K16600" s="30" t="s">
        <v>22</v>
      </c>
    </row>
    <row r="16601" spans="1:11">
      <c r="A16601" s="33" t="s">
        <v>37201</v>
      </c>
      <c r="B16601" s="33" t="s">
        <v>37202</v>
      </c>
      <c r="C16601" s="33" t="s">
        <v>8052</v>
      </c>
      <c r="D16601" s="33" t="s">
        <v>17</v>
      </c>
      <c r="E16601" s="33" t="s">
        <v>26</v>
      </c>
      <c r="F16601" s="33" t="s">
        <v>27</v>
      </c>
      <c r="G16601" s="33" t="s">
        <v>20</v>
      </c>
      <c r="H16601" s="35">
        <v>14</v>
      </c>
      <c r="I16601" s="33" t="s">
        <v>21</v>
      </c>
      <c r="J16601" s="42">
        <v>45233</v>
      </c>
      <c r="K16601" s="33" t="s">
        <v>22</v>
      </c>
    </row>
    <row r="16602" spans="1:11">
      <c r="A16602" s="30" t="s">
        <v>37203</v>
      </c>
      <c r="B16602" s="30" t="s">
        <v>37204</v>
      </c>
      <c r="C16602" s="30" t="s">
        <v>9908</v>
      </c>
      <c r="D16602" s="30" t="s">
        <v>17</v>
      </c>
      <c r="E16602" s="30" t="s">
        <v>31</v>
      </c>
      <c r="F16602" s="30" t="s">
        <v>32</v>
      </c>
      <c r="G16602" s="30" t="s">
        <v>140</v>
      </c>
      <c r="H16602" s="32">
        <v>40</v>
      </c>
      <c r="I16602" s="30" t="s">
        <v>51</v>
      </c>
      <c r="J16602" s="41">
        <v>45125</v>
      </c>
      <c r="K16602" s="30" t="s">
        <v>22</v>
      </c>
    </row>
    <row r="16603" spans="1:11">
      <c r="A16603" s="33" t="s">
        <v>37205</v>
      </c>
      <c r="B16603" s="33" t="s">
        <v>37206</v>
      </c>
      <c r="C16603" s="33" t="s">
        <v>3451</v>
      </c>
      <c r="D16603" s="33" t="s">
        <v>17</v>
      </c>
      <c r="E16603" s="33" t="s">
        <v>31</v>
      </c>
      <c r="F16603" s="33" t="s">
        <v>32</v>
      </c>
      <c r="G16603" s="33" t="s">
        <v>20</v>
      </c>
      <c r="H16603" s="35">
        <v>179</v>
      </c>
      <c r="I16603" s="33" t="s">
        <v>21</v>
      </c>
      <c r="J16603" s="42">
        <v>45149</v>
      </c>
      <c r="K16603" s="33" t="s">
        <v>22</v>
      </c>
    </row>
    <row r="16604" spans="1:11">
      <c r="A16604" s="30" t="s">
        <v>37207</v>
      </c>
      <c r="B16604" s="30" t="s">
        <v>37208</v>
      </c>
      <c r="C16604" s="30" t="s">
        <v>37209</v>
      </c>
      <c r="D16604" s="30" t="s">
        <v>17</v>
      </c>
      <c r="E16604" s="30" t="s">
        <v>26</v>
      </c>
      <c r="F16604" s="30" t="s">
        <v>27</v>
      </c>
      <c r="G16604" s="30" t="s">
        <v>158</v>
      </c>
      <c r="H16604" s="32">
        <v>144</v>
      </c>
      <c r="I16604" s="30" t="s">
        <v>51</v>
      </c>
      <c r="J16604" s="41">
        <v>45195</v>
      </c>
      <c r="K16604" s="30" t="s">
        <v>22</v>
      </c>
    </row>
    <row r="16605" spans="1:11">
      <c r="A16605" s="33" t="s">
        <v>37210</v>
      </c>
      <c r="B16605" s="33" t="s">
        <v>37211</v>
      </c>
      <c r="C16605" s="33" t="s">
        <v>99</v>
      </c>
      <c r="D16605" s="33" t="s">
        <v>17</v>
      </c>
      <c r="E16605" s="33" t="s">
        <v>26</v>
      </c>
      <c r="F16605" s="33" t="s">
        <v>27</v>
      </c>
      <c r="G16605" s="33" t="s">
        <v>158</v>
      </c>
      <c r="H16605" s="35">
        <v>72</v>
      </c>
      <c r="I16605" s="33" t="s">
        <v>51</v>
      </c>
      <c r="J16605" s="42">
        <v>44936</v>
      </c>
      <c r="K16605" s="33" t="s">
        <v>22</v>
      </c>
    </row>
    <row r="16606" spans="1:11">
      <c r="A16606" s="30" t="s">
        <v>37212</v>
      </c>
      <c r="B16606" s="30" t="s">
        <v>37213</v>
      </c>
      <c r="C16606" s="30" t="s">
        <v>23929</v>
      </c>
      <c r="D16606" s="30" t="s">
        <v>17</v>
      </c>
      <c r="E16606" s="30" t="s">
        <v>67</v>
      </c>
      <c r="F16606" s="30" t="s">
        <v>68</v>
      </c>
      <c r="G16606" s="30" t="s">
        <v>106</v>
      </c>
      <c r="H16606" s="32">
        <v>42</v>
      </c>
      <c r="I16606" s="30" t="s">
        <v>21</v>
      </c>
      <c r="J16606" s="41">
        <v>44997</v>
      </c>
      <c r="K16606" s="30" t="s">
        <v>22</v>
      </c>
    </row>
    <row r="16607" spans="1:11">
      <c r="A16607" s="33" t="s">
        <v>37214</v>
      </c>
      <c r="B16607" s="33" t="s">
        <v>37215</v>
      </c>
      <c r="C16607" s="33" t="s">
        <v>25759</v>
      </c>
      <c r="D16607" s="33" t="s">
        <v>17</v>
      </c>
      <c r="E16607" s="33" t="s">
        <v>18</v>
      </c>
      <c r="F16607" s="33" t="s">
        <v>19</v>
      </c>
      <c r="G16607" s="33" t="s">
        <v>20</v>
      </c>
      <c r="H16607" s="35">
        <v>120</v>
      </c>
      <c r="I16607" s="33" t="s">
        <v>21</v>
      </c>
      <c r="J16607" s="42">
        <v>45266</v>
      </c>
      <c r="K16607" s="33" t="s">
        <v>22</v>
      </c>
    </row>
    <row r="16608" spans="1:11">
      <c r="A16608" s="30" t="s">
        <v>37216</v>
      </c>
      <c r="B16608" s="30" t="s">
        <v>37217</v>
      </c>
      <c r="C16608" s="30" t="s">
        <v>36634</v>
      </c>
      <c r="D16608" s="30" t="s">
        <v>17</v>
      </c>
      <c r="E16608" s="30" t="s">
        <v>18</v>
      </c>
      <c r="F16608" s="30" t="s">
        <v>19</v>
      </c>
      <c r="G16608" s="30" t="s">
        <v>50</v>
      </c>
      <c r="H16608" s="32">
        <v>290</v>
      </c>
      <c r="I16608" s="30" t="s">
        <v>51</v>
      </c>
      <c r="J16608" s="41">
        <v>44985</v>
      </c>
      <c r="K16608" s="30" t="s">
        <v>22</v>
      </c>
    </row>
    <row r="16609" spans="1:11">
      <c r="A16609" s="33" t="s">
        <v>37218</v>
      </c>
      <c r="B16609" s="33" t="s">
        <v>37219</v>
      </c>
      <c r="C16609" s="33" t="s">
        <v>5229</v>
      </c>
      <c r="D16609" s="33" t="s">
        <v>17</v>
      </c>
      <c r="E16609" s="33" t="s">
        <v>18</v>
      </c>
      <c r="F16609" s="33" t="s">
        <v>19</v>
      </c>
      <c r="G16609" s="33" t="s">
        <v>158</v>
      </c>
      <c r="H16609" s="35">
        <v>469</v>
      </c>
      <c r="I16609" s="33" t="s">
        <v>21</v>
      </c>
      <c r="J16609" s="42">
        <v>45190</v>
      </c>
      <c r="K16609" s="33" t="s">
        <v>22</v>
      </c>
    </row>
    <row r="16610" spans="1:11">
      <c r="A16610" s="30" t="s">
        <v>37220</v>
      </c>
      <c r="B16610" s="30" t="s">
        <v>37221</v>
      </c>
      <c r="C16610" s="30" t="s">
        <v>37222</v>
      </c>
      <c r="D16610" s="30" t="s">
        <v>17</v>
      </c>
      <c r="E16610" s="30" t="s">
        <v>26</v>
      </c>
      <c r="F16610" s="30" t="s">
        <v>27</v>
      </c>
      <c r="G16610" s="30" t="s">
        <v>20</v>
      </c>
      <c r="H16610" s="32">
        <v>42</v>
      </c>
      <c r="I16610" s="30" t="s">
        <v>21</v>
      </c>
      <c r="J16610" s="41">
        <v>45016</v>
      </c>
      <c r="K16610" s="30" t="s">
        <v>22</v>
      </c>
    </row>
    <row r="16611" spans="1:11">
      <c r="A16611" s="33" t="s">
        <v>37223</v>
      </c>
      <c r="B16611" s="33" t="s">
        <v>37224</v>
      </c>
      <c r="C16611" s="33" t="s">
        <v>329</v>
      </c>
      <c r="D16611" s="33" t="s">
        <v>17</v>
      </c>
      <c r="E16611" s="33" t="s">
        <v>26</v>
      </c>
      <c r="F16611" s="33" t="s">
        <v>27</v>
      </c>
      <c r="G16611" s="33" t="s">
        <v>158</v>
      </c>
      <c r="H16611" s="35">
        <v>180</v>
      </c>
      <c r="I16611" s="33" t="s">
        <v>51</v>
      </c>
      <c r="J16611" s="42">
        <v>45266</v>
      </c>
      <c r="K16611" s="33" t="s">
        <v>22</v>
      </c>
    </row>
    <row r="16612" spans="1:11">
      <c r="A16612" s="30" t="s">
        <v>37225</v>
      </c>
      <c r="B16612" s="30" t="s">
        <v>37226</v>
      </c>
      <c r="C16612" s="30" t="s">
        <v>6202</v>
      </c>
      <c r="D16612" s="30" t="s">
        <v>17</v>
      </c>
      <c r="E16612" s="30" t="s">
        <v>31</v>
      </c>
      <c r="F16612" s="30" t="s">
        <v>32</v>
      </c>
      <c r="G16612" s="30" t="s">
        <v>20</v>
      </c>
      <c r="H16612" s="32">
        <v>150</v>
      </c>
      <c r="I16612" s="30" t="s">
        <v>21</v>
      </c>
      <c r="J16612" s="41">
        <v>45132</v>
      </c>
      <c r="K16612" s="30" t="s">
        <v>22</v>
      </c>
    </row>
    <row r="16613" spans="1:11">
      <c r="A16613" s="33" t="s">
        <v>37227</v>
      </c>
      <c r="B16613" s="33" t="s">
        <v>37228</v>
      </c>
      <c r="C16613" s="33" t="s">
        <v>8768</v>
      </c>
      <c r="D16613" s="33" t="s">
        <v>17</v>
      </c>
      <c r="E16613" s="33" t="s">
        <v>26</v>
      </c>
      <c r="F16613" s="33" t="s">
        <v>27</v>
      </c>
      <c r="G16613" s="33" t="s">
        <v>20</v>
      </c>
      <c r="H16613" s="35">
        <v>10</v>
      </c>
      <c r="I16613" s="33" t="s">
        <v>21</v>
      </c>
      <c r="J16613" s="42">
        <v>45103</v>
      </c>
      <c r="K16613" s="33" t="s">
        <v>22</v>
      </c>
    </row>
    <row r="16614" spans="1:11">
      <c r="A16614" s="30" t="s">
        <v>37229</v>
      </c>
      <c r="B16614" s="30" t="s">
        <v>37230</v>
      </c>
      <c r="C16614" s="30" t="s">
        <v>26952</v>
      </c>
      <c r="D16614" s="30" t="s">
        <v>17</v>
      </c>
      <c r="E16614" s="30" t="s">
        <v>26</v>
      </c>
      <c r="F16614" s="30" t="s">
        <v>27</v>
      </c>
      <c r="G16614" s="30" t="s">
        <v>50</v>
      </c>
      <c r="H16614" s="32">
        <v>100</v>
      </c>
      <c r="I16614" s="30" t="s">
        <v>51</v>
      </c>
      <c r="J16614" s="41">
        <v>45147</v>
      </c>
      <c r="K16614" s="30" t="s">
        <v>22</v>
      </c>
    </row>
    <row r="16615" spans="1:11">
      <c r="A16615" s="33" t="s">
        <v>37231</v>
      </c>
      <c r="B16615" s="33" t="s">
        <v>37232</v>
      </c>
      <c r="C16615" s="33" t="s">
        <v>178</v>
      </c>
      <c r="D16615" s="33" t="s">
        <v>17</v>
      </c>
      <c r="E16615" s="33" t="s">
        <v>31</v>
      </c>
      <c r="F16615" s="33" t="s">
        <v>32</v>
      </c>
      <c r="G16615" s="33" t="s">
        <v>20</v>
      </c>
      <c r="H16615" s="35">
        <v>64</v>
      </c>
      <c r="I16615" s="33" t="s">
        <v>21</v>
      </c>
      <c r="J16615" s="42">
        <v>45050</v>
      </c>
      <c r="K16615" s="33" t="s">
        <v>22</v>
      </c>
    </row>
    <row r="16616" spans="1:11">
      <c r="A16616" s="30" t="s">
        <v>37233</v>
      </c>
      <c r="B16616" s="30" t="s">
        <v>37234</v>
      </c>
      <c r="C16616" s="30" t="s">
        <v>2772</v>
      </c>
      <c r="D16616" s="30" t="s">
        <v>17</v>
      </c>
      <c r="E16616" s="30" t="s">
        <v>18</v>
      </c>
      <c r="F16616" s="30" t="s">
        <v>19</v>
      </c>
      <c r="G16616" s="30" t="s">
        <v>158</v>
      </c>
      <c r="H16616" s="32">
        <v>398</v>
      </c>
      <c r="I16616" s="30" t="s">
        <v>21</v>
      </c>
      <c r="J16616" s="41">
        <v>44956</v>
      </c>
      <c r="K16616" s="30" t="s">
        <v>22</v>
      </c>
    </row>
    <row r="16617" spans="1:11">
      <c r="A16617" s="33" t="s">
        <v>37235</v>
      </c>
      <c r="B16617" s="33" t="s">
        <v>37236</v>
      </c>
      <c r="C16617" s="33" t="s">
        <v>3625</v>
      </c>
      <c r="D16617" s="33" t="s">
        <v>17</v>
      </c>
      <c r="E16617" s="33" t="s">
        <v>31</v>
      </c>
      <c r="F16617" s="33" t="s">
        <v>32</v>
      </c>
      <c r="G16617" s="33" t="s">
        <v>112</v>
      </c>
      <c r="H16617" s="35">
        <v>0</v>
      </c>
      <c r="I16617" s="33" t="s">
        <v>21</v>
      </c>
      <c r="J16617" s="42">
        <v>44988</v>
      </c>
      <c r="K16617" s="33" t="s">
        <v>22</v>
      </c>
    </row>
    <row r="16618" spans="1:11">
      <c r="A16618" s="30" t="s">
        <v>37237</v>
      </c>
      <c r="B16618" s="30" t="s">
        <v>37238</v>
      </c>
      <c r="C16618" s="30" t="s">
        <v>37239</v>
      </c>
      <c r="D16618" s="30" t="s">
        <v>17</v>
      </c>
      <c r="E16618" s="30" t="s">
        <v>67</v>
      </c>
      <c r="F16618" s="30" t="s">
        <v>68</v>
      </c>
      <c r="G16618" s="30" t="s">
        <v>140</v>
      </c>
      <c r="H16618" s="32">
        <v>45</v>
      </c>
      <c r="I16618" s="30" t="s">
        <v>51</v>
      </c>
      <c r="J16618" s="41">
        <v>45223</v>
      </c>
      <c r="K16618" s="30" t="s">
        <v>22</v>
      </c>
    </row>
    <row r="16619" spans="1:11">
      <c r="A16619" s="33" t="s">
        <v>37240</v>
      </c>
      <c r="B16619" s="33" t="s">
        <v>37241</v>
      </c>
      <c r="C16619" s="33" t="s">
        <v>3748</v>
      </c>
      <c r="D16619" s="33" t="s">
        <v>17</v>
      </c>
      <c r="E16619" s="33" t="s">
        <v>26</v>
      </c>
      <c r="F16619" s="33" t="s">
        <v>27</v>
      </c>
      <c r="G16619" s="33" t="s">
        <v>20</v>
      </c>
      <c r="H16619" s="35">
        <v>42</v>
      </c>
      <c r="I16619" s="33" t="s">
        <v>21</v>
      </c>
      <c r="J16619" s="42">
        <v>44945</v>
      </c>
      <c r="K16619" s="33" t="s">
        <v>22</v>
      </c>
    </row>
    <row r="16620" spans="1:11">
      <c r="A16620" s="30" t="s">
        <v>37242</v>
      </c>
      <c r="B16620" s="30" t="s">
        <v>37243</v>
      </c>
      <c r="C16620" s="30" t="s">
        <v>37244</v>
      </c>
      <c r="D16620" s="30" t="s">
        <v>17</v>
      </c>
      <c r="E16620" s="30" t="s">
        <v>67</v>
      </c>
      <c r="F16620" s="30" t="s">
        <v>68</v>
      </c>
      <c r="G16620" s="30" t="s">
        <v>20</v>
      </c>
      <c r="H16620" s="32">
        <v>129</v>
      </c>
      <c r="I16620" s="30" t="s">
        <v>21</v>
      </c>
      <c r="J16620" s="41">
        <v>45141</v>
      </c>
      <c r="K16620" s="30" t="s">
        <v>22</v>
      </c>
    </row>
    <row r="16621" spans="1:11">
      <c r="A16621" s="33" t="s">
        <v>37245</v>
      </c>
      <c r="B16621" s="33" t="s">
        <v>37246</v>
      </c>
      <c r="C16621" s="33" t="s">
        <v>37247</v>
      </c>
      <c r="D16621" s="33" t="s">
        <v>17</v>
      </c>
      <c r="E16621" s="33" t="s">
        <v>26</v>
      </c>
      <c r="F16621" s="33" t="s">
        <v>27</v>
      </c>
      <c r="G16621" s="33" t="s">
        <v>20</v>
      </c>
      <c r="H16621" s="35">
        <v>76</v>
      </c>
      <c r="I16621" s="33" t="s">
        <v>21</v>
      </c>
      <c r="J16621" s="42">
        <v>45005</v>
      </c>
      <c r="K16621" s="33" t="s">
        <v>22</v>
      </c>
    </row>
    <row r="16622" spans="1:11">
      <c r="A16622" s="30" t="s">
        <v>37248</v>
      </c>
      <c r="B16622" s="30" t="s">
        <v>37249</v>
      </c>
      <c r="C16622" s="30" t="s">
        <v>329</v>
      </c>
      <c r="D16622" s="30" t="s">
        <v>17</v>
      </c>
      <c r="E16622" s="30" t="s">
        <v>26</v>
      </c>
      <c r="F16622" s="30" t="s">
        <v>27</v>
      </c>
      <c r="G16622" s="30" t="s">
        <v>20</v>
      </c>
      <c r="H16622" s="32">
        <v>65</v>
      </c>
      <c r="I16622" s="30" t="s">
        <v>21</v>
      </c>
      <c r="J16622" s="41">
        <v>45237</v>
      </c>
      <c r="K16622" s="30" t="s">
        <v>22</v>
      </c>
    </row>
    <row r="16623" spans="1:11">
      <c r="A16623" s="33" t="s">
        <v>37250</v>
      </c>
      <c r="B16623" s="33" t="s">
        <v>37251</v>
      </c>
      <c r="C16623" s="33" t="s">
        <v>3270</v>
      </c>
      <c r="D16623" s="33" t="s">
        <v>17</v>
      </c>
      <c r="E16623" s="33" t="s">
        <v>26</v>
      </c>
      <c r="F16623" s="33" t="s">
        <v>27</v>
      </c>
      <c r="G16623" s="33" t="s">
        <v>20</v>
      </c>
      <c r="H16623" s="35">
        <v>20</v>
      </c>
      <c r="I16623" s="33" t="s">
        <v>21</v>
      </c>
      <c r="J16623" s="42">
        <v>45246</v>
      </c>
      <c r="K16623" s="33" t="s">
        <v>22</v>
      </c>
    </row>
    <row r="16624" spans="1:11">
      <c r="A16624" s="30" t="s">
        <v>37252</v>
      </c>
      <c r="B16624" s="30" t="s">
        <v>37253</v>
      </c>
      <c r="C16624" s="30" t="s">
        <v>93</v>
      </c>
      <c r="D16624" s="30" t="s">
        <v>17</v>
      </c>
      <c r="E16624" s="30" t="s">
        <v>26</v>
      </c>
      <c r="F16624" s="30" t="s">
        <v>27</v>
      </c>
      <c r="G16624" s="30" t="s">
        <v>20</v>
      </c>
      <c r="H16624" s="32">
        <v>104</v>
      </c>
      <c r="I16624" s="30" t="s">
        <v>21</v>
      </c>
      <c r="J16624" s="41">
        <v>44929</v>
      </c>
      <c r="K16624" s="30" t="s">
        <v>22</v>
      </c>
    </row>
    <row r="16625" spans="1:11">
      <c r="A16625" s="33" t="s">
        <v>37254</v>
      </c>
      <c r="B16625" s="33" t="s">
        <v>37255</v>
      </c>
      <c r="C16625" s="33" t="s">
        <v>37256</v>
      </c>
      <c r="D16625" s="33" t="s">
        <v>17</v>
      </c>
      <c r="E16625" s="33" t="s">
        <v>31</v>
      </c>
      <c r="F16625" s="33" t="s">
        <v>32</v>
      </c>
      <c r="G16625" s="33" t="s">
        <v>20</v>
      </c>
      <c r="H16625" s="35">
        <v>144</v>
      </c>
      <c r="I16625" s="33" t="s">
        <v>21</v>
      </c>
      <c r="J16625" s="42">
        <v>45049</v>
      </c>
      <c r="K16625" s="33" t="s">
        <v>22</v>
      </c>
    </row>
    <row r="16626" spans="1:11">
      <c r="A16626" s="30" t="s">
        <v>37257</v>
      </c>
      <c r="B16626" s="30" t="s">
        <v>37258</v>
      </c>
      <c r="C16626" s="30" t="s">
        <v>37259</v>
      </c>
      <c r="D16626" s="30" t="s">
        <v>17</v>
      </c>
      <c r="E16626" s="30" t="s">
        <v>26</v>
      </c>
      <c r="F16626" s="30" t="s">
        <v>27</v>
      </c>
      <c r="G16626" s="30" t="s">
        <v>106</v>
      </c>
      <c r="H16626" s="32">
        <v>17</v>
      </c>
      <c r="I16626" s="30" t="s">
        <v>21</v>
      </c>
      <c r="J16626" s="41">
        <v>45078</v>
      </c>
      <c r="K16626" s="30" t="s">
        <v>22</v>
      </c>
    </row>
    <row r="16627" spans="1:11">
      <c r="A16627" s="33" t="s">
        <v>37260</v>
      </c>
      <c r="B16627" s="33" t="s">
        <v>37261</v>
      </c>
      <c r="C16627" s="33" t="s">
        <v>6607</v>
      </c>
      <c r="D16627" s="33" t="s">
        <v>17</v>
      </c>
      <c r="E16627" s="33" t="s">
        <v>26</v>
      </c>
      <c r="F16627" s="33" t="s">
        <v>27</v>
      </c>
      <c r="G16627" s="33" t="s">
        <v>50</v>
      </c>
      <c r="H16627" s="35">
        <v>38</v>
      </c>
      <c r="I16627" s="33" t="s">
        <v>51</v>
      </c>
      <c r="J16627" s="42">
        <v>44957</v>
      </c>
      <c r="K16627" s="33" t="s">
        <v>22</v>
      </c>
    </row>
    <row r="16628" spans="1:11">
      <c r="A16628" s="30" t="s">
        <v>37262</v>
      </c>
      <c r="B16628" s="30" t="s">
        <v>37263</v>
      </c>
      <c r="C16628" s="30" t="s">
        <v>18780</v>
      </c>
      <c r="D16628" s="30" t="s">
        <v>17</v>
      </c>
      <c r="E16628" s="30" t="s">
        <v>26</v>
      </c>
      <c r="F16628" s="30" t="s">
        <v>27</v>
      </c>
      <c r="G16628" s="30" t="s">
        <v>20</v>
      </c>
      <c r="H16628" s="32">
        <v>26</v>
      </c>
      <c r="I16628" s="30" t="s">
        <v>21</v>
      </c>
      <c r="J16628" s="41">
        <v>45113</v>
      </c>
      <c r="K16628" s="30" t="s">
        <v>22</v>
      </c>
    </row>
    <row r="16629" spans="1:11">
      <c r="A16629" s="33" t="s">
        <v>37264</v>
      </c>
      <c r="B16629" s="33" t="s">
        <v>37265</v>
      </c>
      <c r="C16629" s="33" t="s">
        <v>17720</v>
      </c>
      <c r="D16629" s="33" t="s">
        <v>17</v>
      </c>
      <c r="E16629" s="33" t="s">
        <v>31</v>
      </c>
      <c r="F16629" s="33" t="s">
        <v>32</v>
      </c>
      <c r="G16629" s="33" t="s">
        <v>20</v>
      </c>
      <c r="H16629" s="35">
        <v>48</v>
      </c>
      <c r="I16629" s="33" t="s">
        <v>21</v>
      </c>
      <c r="J16629" s="42">
        <v>45210</v>
      </c>
      <c r="K16629" s="33" t="s">
        <v>22</v>
      </c>
    </row>
    <row r="16630" spans="1:11">
      <c r="A16630" s="30" t="s">
        <v>37266</v>
      </c>
      <c r="B16630" s="30" t="s">
        <v>37267</v>
      </c>
      <c r="C16630" s="30" t="s">
        <v>1750</v>
      </c>
      <c r="D16630" s="30" t="s">
        <v>17</v>
      </c>
      <c r="E16630" s="30" t="s">
        <v>31</v>
      </c>
      <c r="F16630" s="30" t="s">
        <v>32</v>
      </c>
      <c r="G16630" s="30" t="s">
        <v>106</v>
      </c>
      <c r="H16630" s="32">
        <v>2</v>
      </c>
      <c r="I16630" s="30" t="s">
        <v>21</v>
      </c>
      <c r="J16630" s="41">
        <v>45231</v>
      </c>
      <c r="K16630" s="30" t="s">
        <v>22</v>
      </c>
    </row>
    <row r="16631" spans="1:11">
      <c r="A16631" s="33" t="s">
        <v>37268</v>
      </c>
      <c r="B16631" s="33" t="s">
        <v>37269</v>
      </c>
      <c r="C16631" s="33" t="s">
        <v>969</v>
      </c>
      <c r="D16631" s="33" t="s">
        <v>17</v>
      </c>
      <c r="E16631" s="33" t="s">
        <v>26</v>
      </c>
      <c r="F16631" s="33" t="s">
        <v>27</v>
      </c>
      <c r="G16631" s="33" t="s">
        <v>20</v>
      </c>
      <c r="H16631" s="35">
        <v>50</v>
      </c>
      <c r="I16631" s="33" t="s">
        <v>21</v>
      </c>
      <c r="J16631" s="42">
        <v>45146</v>
      </c>
      <c r="K16631" s="33" t="s">
        <v>22</v>
      </c>
    </row>
    <row r="16632" spans="1:11">
      <c r="A16632" s="30" t="s">
        <v>37270</v>
      </c>
      <c r="B16632" s="30" t="s">
        <v>37271</v>
      </c>
      <c r="C16632" s="30" t="s">
        <v>78</v>
      </c>
      <c r="D16632" s="30" t="s">
        <v>17</v>
      </c>
      <c r="E16632" s="30" t="s">
        <v>26</v>
      </c>
      <c r="F16632" s="30" t="s">
        <v>27</v>
      </c>
      <c r="G16632" s="30" t="s">
        <v>50</v>
      </c>
      <c r="H16632" s="32">
        <v>32</v>
      </c>
      <c r="I16632" s="30" t="s">
        <v>21</v>
      </c>
      <c r="J16632" s="41">
        <v>45079</v>
      </c>
      <c r="K16632" s="30" t="s">
        <v>22</v>
      </c>
    </row>
    <row r="16633" spans="1:11">
      <c r="A16633" s="33" t="s">
        <v>37272</v>
      </c>
      <c r="B16633" s="33" t="s">
        <v>37273</v>
      </c>
      <c r="C16633" s="33" t="s">
        <v>12198</v>
      </c>
      <c r="D16633" s="33" t="s">
        <v>17</v>
      </c>
      <c r="E16633" s="33" t="s">
        <v>18</v>
      </c>
      <c r="F16633" s="33" t="s">
        <v>19</v>
      </c>
      <c r="G16633" s="33" t="s">
        <v>158</v>
      </c>
      <c r="H16633" s="35">
        <v>420</v>
      </c>
      <c r="I16633" s="33" t="s">
        <v>21</v>
      </c>
      <c r="J16633" s="42">
        <v>45050</v>
      </c>
      <c r="K16633" s="33" t="s">
        <v>22</v>
      </c>
    </row>
    <row r="16634" spans="1:11">
      <c r="A16634" s="30" t="s">
        <v>37274</v>
      </c>
      <c r="B16634" s="30" t="s">
        <v>37275</v>
      </c>
      <c r="C16634" s="30" t="s">
        <v>93</v>
      </c>
      <c r="D16634" s="30" t="s">
        <v>17</v>
      </c>
      <c r="E16634" s="30" t="s">
        <v>31</v>
      </c>
      <c r="F16634" s="30" t="s">
        <v>32</v>
      </c>
      <c r="G16634" s="30" t="s">
        <v>20</v>
      </c>
      <c r="H16634" s="32">
        <v>30</v>
      </c>
      <c r="I16634" s="30" t="s">
        <v>21</v>
      </c>
      <c r="J16634" s="41">
        <v>45001</v>
      </c>
      <c r="K16634" s="30" t="s">
        <v>22</v>
      </c>
    </row>
    <row r="16635" spans="1:11">
      <c r="A16635" s="33" t="s">
        <v>37276</v>
      </c>
      <c r="B16635" s="33" t="s">
        <v>37277</v>
      </c>
      <c r="C16635" s="33" t="s">
        <v>37278</v>
      </c>
      <c r="D16635" s="33" t="s">
        <v>17</v>
      </c>
      <c r="E16635" s="33" t="s">
        <v>31</v>
      </c>
      <c r="F16635" s="33" t="s">
        <v>32</v>
      </c>
      <c r="G16635" s="33" t="s">
        <v>140</v>
      </c>
      <c r="H16635" s="35">
        <v>100</v>
      </c>
      <c r="I16635" s="33" t="s">
        <v>51</v>
      </c>
      <c r="J16635" s="42">
        <v>45036</v>
      </c>
      <c r="K16635" s="33" t="s">
        <v>22</v>
      </c>
    </row>
    <row r="16636" spans="1:11">
      <c r="A16636" s="30" t="s">
        <v>37279</v>
      </c>
      <c r="B16636" s="30" t="s">
        <v>37280</v>
      </c>
      <c r="C16636" s="30" t="s">
        <v>157</v>
      </c>
      <c r="D16636" s="30" t="s">
        <v>17</v>
      </c>
      <c r="E16636" s="30" t="s">
        <v>18</v>
      </c>
      <c r="F16636" s="30" t="s">
        <v>19</v>
      </c>
      <c r="G16636" s="30" t="s">
        <v>20</v>
      </c>
      <c r="H16636" s="32">
        <v>5</v>
      </c>
      <c r="I16636" s="30" t="s">
        <v>21</v>
      </c>
      <c r="J16636" s="41">
        <v>44936</v>
      </c>
      <c r="K16636" s="30" t="s">
        <v>22</v>
      </c>
    </row>
    <row r="16637" spans="1:11">
      <c r="A16637" s="33" t="s">
        <v>37281</v>
      </c>
      <c r="B16637" s="33" t="s">
        <v>37282</v>
      </c>
      <c r="C16637" s="33" t="s">
        <v>37283</v>
      </c>
      <c r="D16637" s="33" t="s">
        <v>17</v>
      </c>
      <c r="E16637" s="33" t="s">
        <v>26</v>
      </c>
      <c r="F16637" s="33" t="s">
        <v>27</v>
      </c>
      <c r="G16637" s="33" t="s">
        <v>20</v>
      </c>
      <c r="H16637" s="35">
        <v>48</v>
      </c>
      <c r="I16637" s="33" t="s">
        <v>21</v>
      </c>
      <c r="J16637" s="42">
        <v>44956</v>
      </c>
      <c r="K16637" s="33" t="s">
        <v>22</v>
      </c>
    </row>
    <row r="16638" spans="1:11">
      <c r="A16638" s="30" t="s">
        <v>37284</v>
      </c>
      <c r="B16638" s="30" t="s">
        <v>37285</v>
      </c>
      <c r="C16638" s="30" t="s">
        <v>647</v>
      </c>
      <c r="D16638" s="30" t="s">
        <v>17</v>
      </c>
      <c r="E16638" s="30" t="s">
        <v>31</v>
      </c>
      <c r="F16638" s="30" t="s">
        <v>32</v>
      </c>
      <c r="G16638" s="30" t="s">
        <v>106</v>
      </c>
      <c r="H16638" s="32">
        <v>169</v>
      </c>
      <c r="I16638" s="30" t="s">
        <v>21</v>
      </c>
      <c r="J16638" s="41">
        <v>45257</v>
      </c>
      <c r="K16638" s="30" t="s">
        <v>22</v>
      </c>
    </row>
    <row r="16639" spans="1:11">
      <c r="A16639" s="33" t="s">
        <v>37286</v>
      </c>
      <c r="B16639" s="33" t="s">
        <v>37287</v>
      </c>
      <c r="C16639" s="33" t="s">
        <v>37288</v>
      </c>
      <c r="D16639" s="33" t="s">
        <v>17</v>
      </c>
      <c r="E16639" s="33" t="s">
        <v>67</v>
      </c>
      <c r="F16639" s="33" t="s">
        <v>68</v>
      </c>
      <c r="G16639" s="33" t="s">
        <v>140</v>
      </c>
      <c r="H16639" s="35">
        <v>22</v>
      </c>
      <c r="I16639" s="33" t="s">
        <v>51</v>
      </c>
      <c r="J16639" s="42">
        <v>45092</v>
      </c>
      <c r="K16639" s="33" t="s">
        <v>22</v>
      </c>
    </row>
    <row r="16640" spans="1:11">
      <c r="A16640" s="30" t="s">
        <v>37289</v>
      </c>
      <c r="B16640" s="30" t="s">
        <v>37290</v>
      </c>
      <c r="C16640" s="30" t="s">
        <v>37291</v>
      </c>
      <c r="D16640" s="30" t="s">
        <v>17</v>
      </c>
      <c r="E16640" s="30" t="s">
        <v>31</v>
      </c>
      <c r="F16640" s="30" t="s">
        <v>32</v>
      </c>
      <c r="G16640" s="30" t="s">
        <v>20</v>
      </c>
      <c r="H16640" s="32">
        <v>61</v>
      </c>
      <c r="I16640" s="30" t="s">
        <v>21</v>
      </c>
      <c r="J16640" s="41">
        <v>44986</v>
      </c>
      <c r="K16640" s="30" t="s">
        <v>22</v>
      </c>
    </row>
    <row r="16641" spans="1:11">
      <c r="A16641" s="33" t="s">
        <v>37292</v>
      </c>
      <c r="B16641" s="33" t="s">
        <v>37293</v>
      </c>
      <c r="C16641" s="33" t="s">
        <v>190</v>
      </c>
      <c r="D16641" s="33" t="s">
        <v>17</v>
      </c>
      <c r="E16641" s="33" t="s">
        <v>18</v>
      </c>
      <c r="F16641" s="33" t="s">
        <v>19</v>
      </c>
      <c r="G16641" s="33" t="s">
        <v>158</v>
      </c>
      <c r="H16641" s="35">
        <v>37</v>
      </c>
      <c r="I16641" s="33" t="s">
        <v>51</v>
      </c>
      <c r="J16641" s="42">
        <v>45054</v>
      </c>
      <c r="K16641" s="33" t="s">
        <v>22</v>
      </c>
    </row>
    <row r="16642" spans="1:11">
      <c r="A16642" s="30" t="s">
        <v>37294</v>
      </c>
      <c r="B16642" s="30" t="s">
        <v>37295</v>
      </c>
      <c r="C16642" s="30" t="s">
        <v>2618</v>
      </c>
      <c r="D16642" s="30" t="s">
        <v>17</v>
      </c>
      <c r="E16642" s="30" t="s">
        <v>67</v>
      </c>
      <c r="F16642" s="30" t="s">
        <v>68</v>
      </c>
      <c r="G16642" s="30" t="s">
        <v>158</v>
      </c>
      <c r="H16642" s="32">
        <v>61</v>
      </c>
      <c r="I16642" s="30" t="s">
        <v>21</v>
      </c>
      <c r="J16642" s="41">
        <v>45182</v>
      </c>
      <c r="K16642" s="30" t="s">
        <v>22</v>
      </c>
    </row>
    <row r="16643" spans="1:11">
      <c r="A16643" s="33" t="s">
        <v>37296</v>
      </c>
      <c r="B16643" s="33" t="s">
        <v>37297</v>
      </c>
      <c r="C16643" s="33" t="s">
        <v>2472</v>
      </c>
      <c r="D16643" s="33" t="s">
        <v>17</v>
      </c>
      <c r="E16643" s="33" t="s">
        <v>18</v>
      </c>
      <c r="F16643" s="33" t="s">
        <v>19</v>
      </c>
      <c r="G16643" s="33" t="s">
        <v>158</v>
      </c>
      <c r="H16643" s="35">
        <v>1153</v>
      </c>
      <c r="I16643" s="33" t="s">
        <v>21</v>
      </c>
      <c r="J16643" s="42">
        <v>45205</v>
      </c>
      <c r="K16643" s="33" t="s">
        <v>22</v>
      </c>
    </row>
    <row r="16644" spans="1:11">
      <c r="A16644" s="30" t="s">
        <v>37298</v>
      </c>
      <c r="B16644" s="30" t="s">
        <v>37299</v>
      </c>
      <c r="C16644" s="30" t="s">
        <v>3253</v>
      </c>
      <c r="D16644" s="30" t="s">
        <v>17</v>
      </c>
      <c r="E16644" s="30" t="s">
        <v>67</v>
      </c>
      <c r="F16644" s="30" t="s">
        <v>68</v>
      </c>
      <c r="G16644" s="30" t="s">
        <v>158</v>
      </c>
      <c r="H16644" s="32">
        <v>30</v>
      </c>
      <c r="I16644" s="30" t="s">
        <v>21</v>
      </c>
      <c r="J16644" s="41">
        <v>45110</v>
      </c>
      <c r="K16644" s="30" t="s">
        <v>22</v>
      </c>
    </row>
    <row r="16645" spans="1:11">
      <c r="A16645" s="33" t="s">
        <v>37300</v>
      </c>
      <c r="B16645" s="33" t="s">
        <v>37301</v>
      </c>
      <c r="C16645" s="33" t="s">
        <v>37302</v>
      </c>
      <c r="D16645" s="33" t="s">
        <v>17</v>
      </c>
      <c r="E16645" s="33" t="s">
        <v>26</v>
      </c>
      <c r="F16645" s="33" t="s">
        <v>27</v>
      </c>
      <c r="G16645" s="33" t="s">
        <v>20</v>
      </c>
      <c r="H16645" s="35">
        <v>35</v>
      </c>
      <c r="I16645" s="33" t="s">
        <v>21</v>
      </c>
      <c r="J16645" s="42">
        <v>44933</v>
      </c>
      <c r="K16645" s="33" t="s">
        <v>22</v>
      </c>
    </row>
    <row r="16646" spans="1:11">
      <c r="A16646" s="30" t="s">
        <v>37303</v>
      </c>
      <c r="B16646" s="30" t="s">
        <v>37304</v>
      </c>
      <c r="C16646" s="30" t="s">
        <v>136</v>
      </c>
      <c r="D16646" s="30" t="s">
        <v>17</v>
      </c>
      <c r="E16646" s="30" t="s">
        <v>26</v>
      </c>
      <c r="F16646" s="30" t="s">
        <v>27</v>
      </c>
      <c r="G16646" s="30" t="s">
        <v>20</v>
      </c>
      <c r="H16646" s="32">
        <v>16</v>
      </c>
      <c r="I16646" s="30" t="s">
        <v>21</v>
      </c>
      <c r="J16646" s="41">
        <v>45082</v>
      </c>
      <c r="K16646" s="30" t="s">
        <v>22</v>
      </c>
    </row>
    <row r="16647" spans="1:11">
      <c r="A16647" s="33" t="s">
        <v>37305</v>
      </c>
      <c r="B16647" s="33" t="s">
        <v>37306</v>
      </c>
      <c r="C16647" s="33" t="s">
        <v>10651</v>
      </c>
      <c r="D16647" s="33" t="s">
        <v>17</v>
      </c>
      <c r="E16647" s="33" t="s">
        <v>26</v>
      </c>
      <c r="F16647" s="33" t="s">
        <v>27</v>
      </c>
      <c r="G16647" s="33" t="s">
        <v>140</v>
      </c>
      <c r="H16647" s="35">
        <v>168</v>
      </c>
      <c r="I16647" s="33" t="s">
        <v>51</v>
      </c>
      <c r="J16647" s="42">
        <v>45121</v>
      </c>
      <c r="K16647" s="33" t="s">
        <v>22</v>
      </c>
    </row>
    <row r="16648" spans="1:11">
      <c r="A16648" s="30" t="s">
        <v>37307</v>
      </c>
      <c r="B16648" s="30" t="s">
        <v>37308</v>
      </c>
      <c r="C16648" s="30" t="s">
        <v>1270</v>
      </c>
      <c r="D16648" s="30" t="s">
        <v>17</v>
      </c>
      <c r="E16648" s="30" t="s">
        <v>31</v>
      </c>
      <c r="F16648" s="30" t="s">
        <v>32</v>
      </c>
      <c r="G16648" s="30" t="s">
        <v>20</v>
      </c>
      <c r="H16648" s="32">
        <v>200</v>
      </c>
      <c r="I16648" s="30" t="s">
        <v>21</v>
      </c>
      <c r="J16648" s="41">
        <v>45215</v>
      </c>
      <c r="K16648" s="30" t="s">
        <v>22</v>
      </c>
    </row>
    <row r="16649" spans="1:11">
      <c r="A16649" s="33" t="s">
        <v>37309</v>
      </c>
      <c r="B16649" s="33" t="s">
        <v>37310</v>
      </c>
      <c r="C16649" s="33" t="s">
        <v>6955</v>
      </c>
      <c r="D16649" s="33" t="s">
        <v>17</v>
      </c>
      <c r="E16649" s="33" t="s">
        <v>26</v>
      </c>
      <c r="F16649" s="33" t="s">
        <v>27</v>
      </c>
      <c r="G16649" s="33" t="s">
        <v>20</v>
      </c>
      <c r="H16649" s="35">
        <v>77</v>
      </c>
      <c r="I16649" s="33" t="s">
        <v>21</v>
      </c>
      <c r="J16649" s="42">
        <v>44931</v>
      </c>
      <c r="K16649" s="33" t="s">
        <v>22</v>
      </c>
    </row>
    <row r="16650" spans="1:11">
      <c r="A16650" s="30" t="s">
        <v>37311</v>
      </c>
      <c r="B16650" s="30" t="s">
        <v>37312</v>
      </c>
      <c r="C16650" s="30" t="s">
        <v>318</v>
      </c>
      <c r="D16650" s="30" t="s">
        <v>17</v>
      </c>
      <c r="E16650" s="30" t="s">
        <v>18</v>
      </c>
      <c r="F16650" s="30" t="s">
        <v>19</v>
      </c>
      <c r="G16650" s="30" t="s">
        <v>158</v>
      </c>
      <c r="H16650" s="32">
        <v>633</v>
      </c>
      <c r="I16650" s="30" t="s">
        <v>21</v>
      </c>
      <c r="J16650" s="41">
        <v>45232</v>
      </c>
      <c r="K16650" s="30" t="s">
        <v>22</v>
      </c>
    </row>
    <row r="16651" spans="1:11">
      <c r="A16651" s="33" t="s">
        <v>37313</v>
      </c>
      <c r="B16651" s="33" t="s">
        <v>37314</v>
      </c>
      <c r="C16651" s="33" t="s">
        <v>136</v>
      </c>
      <c r="D16651" s="33" t="s">
        <v>17</v>
      </c>
      <c r="E16651" s="33" t="s">
        <v>26</v>
      </c>
      <c r="F16651" s="33" t="s">
        <v>27</v>
      </c>
      <c r="G16651" s="33" t="s">
        <v>20</v>
      </c>
      <c r="H16651" s="35">
        <v>140</v>
      </c>
      <c r="I16651" s="33" t="s">
        <v>21</v>
      </c>
      <c r="J16651" s="42">
        <v>45264</v>
      </c>
      <c r="K16651" s="33" t="s">
        <v>22</v>
      </c>
    </row>
    <row r="16652" spans="1:11">
      <c r="A16652" s="30" t="s">
        <v>37315</v>
      </c>
      <c r="B16652" s="30" t="s">
        <v>37316</v>
      </c>
      <c r="C16652" s="30" t="s">
        <v>17342</v>
      </c>
      <c r="D16652" s="30" t="s">
        <v>17</v>
      </c>
      <c r="E16652" s="30" t="s">
        <v>26</v>
      </c>
      <c r="F16652" s="30" t="s">
        <v>27</v>
      </c>
      <c r="G16652" s="30" t="s">
        <v>20</v>
      </c>
      <c r="H16652" s="32">
        <v>13</v>
      </c>
      <c r="I16652" s="30" t="s">
        <v>21</v>
      </c>
      <c r="J16652" s="41">
        <v>45140</v>
      </c>
      <c r="K16652" s="30" t="s">
        <v>22</v>
      </c>
    </row>
    <row r="16653" spans="1:11">
      <c r="A16653" s="33" t="s">
        <v>37317</v>
      </c>
      <c r="B16653" s="33" t="s">
        <v>37318</v>
      </c>
      <c r="C16653" s="33" t="s">
        <v>3089</v>
      </c>
      <c r="D16653" s="33" t="s">
        <v>17</v>
      </c>
      <c r="E16653" s="33" t="s">
        <v>26</v>
      </c>
      <c r="F16653" s="33" t="s">
        <v>27</v>
      </c>
      <c r="G16653" s="33" t="s">
        <v>20</v>
      </c>
      <c r="H16653" s="35">
        <v>30</v>
      </c>
      <c r="I16653" s="33" t="s">
        <v>21</v>
      </c>
      <c r="J16653" s="42">
        <v>45176</v>
      </c>
      <c r="K16653" s="33" t="s">
        <v>22</v>
      </c>
    </row>
    <row r="16654" spans="1:11">
      <c r="A16654" s="30" t="s">
        <v>37319</v>
      </c>
      <c r="B16654" s="30" t="s">
        <v>37320</v>
      </c>
      <c r="C16654" s="30" t="s">
        <v>706</v>
      </c>
      <c r="D16654" s="30" t="s">
        <v>17</v>
      </c>
      <c r="E16654" s="30" t="s">
        <v>26</v>
      </c>
      <c r="F16654" s="30" t="s">
        <v>27</v>
      </c>
      <c r="G16654" s="30" t="s">
        <v>50</v>
      </c>
      <c r="H16654" s="32">
        <v>25</v>
      </c>
      <c r="I16654" s="30" t="s">
        <v>51</v>
      </c>
      <c r="J16654" s="41">
        <v>45291</v>
      </c>
      <c r="K16654" s="30" t="s">
        <v>22</v>
      </c>
    </row>
    <row r="16655" spans="1:11">
      <c r="A16655" s="33" t="s">
        <v>37321</v>
      </c>
      <c r="B16655" s="33" t="s">
        <v>37322</v>
      </c>
      <c r="C16655" s="33" t="s">
        <v>11599</v>
      </c>
      <c r="D16655" s="33" t="s">
        <v>17</v>
      </c>
      <c r="E16655" s="33" t="s">
        <v>18</v>
      </c>
      <c r="F16655" s="33" t="s">
        <v>19</v>
      </c>
      <c r="G16655" s="33" t="s">
        <v>20</v>
      </c>
      <c r="H16655" s="35">
        <v>150</v>
      </c>
      <c r="I16655" s="33" t="s">
        <v>21</v>
      </c>
      <c r="J16655" s="42">
        <v>45224</v>
      </c>
      <c r="K16655" s="33" t="s">
        <v>22</v>
      </c>
    </row>
    <row r="16656" spans="1:11">
      <c r="A16656" s="30" t="s">
        <v>37323</v>
      </c>
      <c r="B16656" s="30" t="s">
        <v>37324</v>
      </c>
      <c r="C16656" s="30" t="s">
        <v>16404</v>
      </c>
      <c r="D16656" s="30" t="s">
        <v>17</v>
      </c>
      <c r="E16656" s="30" t="s">
        <v>45</v>
      </c>
      <c r="F16656" s="30" t="s">
        <v>46</v>
      </c>
      <c r="G16656" s="30" t="s">
        <v>158</v>
      </c>
      <c r="H16656" s="32">
        <v>420</v>
      </c>
      <c r="I16656" s="30" t="s">
        <v>51</v>
      </c>
      <c r="J16656" s="41">
        <v>45230</v>
      </c>
      <c r="K16656" s="30" t="s">
        <v>22</v>
      </c>
    </row>
    <row r="16657" spans="1:11">
      <c r="A16657" s="33" t="s">
        <v>37325</v>
      </c>
      <c r="B16657" s="33" t="s">
        <v>37326</v>
      </c>
      <c r="C16657" s="33" t="s">
        <v>644</v>
      </c>
      <c r="D16657" s="33" t="s">
        <v>17</v>
      </c>
      <c r="E16657" s="33" t="s">
        <v>67</v>
      </c>
      <c r="F16657" s="33" t="s">
        <v>68</v>
      </c>
      <c r="G16657" s="33" t="s">
        <v>140</v>
      </c>
      <c r="H16657" s="35">
        <v>106</v>
      </c>
      <c r="I16657" s="33" t="s">
        <v>51</v>
      </c>
      <c r="J16657" s="42">
        <v>45176</v>
      </c>
      <c r="K16657" s="33" t="s">
        <v>22</v>
      </c>
    </row>
    <row r="16658" spans="1:11">
      <c r="A16658" s="30" t="s">
        <v>37327</v>
      </c>
      <c r="B16658" s="30" t="s">
        <v>37328</v>
      </c>
      <c r="C16658" s="30" t="s">
        <v>16391</v>
      </c>
      <c r="D16658" s="30" t="s">
        <v>17</v>
      </c>
      <c r="E16658" s="30" t="s">
        <v>31</v>
      </c>
      <c r="F16658" s="30" t="s">
        <v>32</v>
      </c>
      <c r="G16658" s="30" t="s">
        <v>158</v>
      </c>
      <c r="H16658" s="32">
        <v>164</v>
      </c>
      <c r="I16658" s="30" t="s">
        <v>21</v>
      </c>
      <c r="J16658" s="41">
        <v>44944</v>
      </c>
      <c r="K16658" s="30" t="s">
        <v>22</v>
      </c>
    </row>
    <row r="16659" spans="1:11">
      <c r="A16659" s="33" t="s">
        <v>37329</v>
      </c>
      <c r="B16659" s="33" t="s">
        <v>37330</v>
      </c>
      <c r="C16659" s="33" t="s">
        <v>27527</v>
      </c>
      <c r="D16659" s="33" t="s">
        <v>17</v>
      </c>
      <c r="E16659" s="33" t="s">
        <v>330</v>
      </c>
      <c r="F16659" s="33" t="s">
        <v>331</v>
      </c>
      <c r="G16659" s="33" t="s">
        <v>50</v>
      </c>
      <c r="H16659" s="35">
        <v>20</v>
      </c>
      <c r="I16659" s="33" t="s">
        <v>51</v>
      </c>
      <c r="J16659" s="42">
        <v>44987</v>
      </c>
      <c r="K16659" s="33" t="s">
        <v>22</v>
      </c>
    </row>
    <row r="16660" spans="1:11">
      <c r="A16660" s="30" t="s">
        <v>37331</v>
      </c>
      <c r="B16660" s="30" t="s">
        <v>37332</v>
      </c>
      <c r="C16660" s="30" t="s">
        <v>75</v>
      </c>
      <c r="D16660" s="30" t="s">
        <v>17</v>
      </c>
      <c r="E16660" s="30" t="s">
        <v>26</v>
      </c>
      <c r="F16660" s="30" t="s">
        <v>27</v>
      </c>
      <c r="G16660" s="30" t="s">
        <v>20</v>
      </c>
      <c r="H16660" s="32">
        <v>37</v>
      </c>
      <c r="I16660" s="30" t="s">
        <v>21</v>
      </c>
      <c r="J16660" s="41">
        <v>45156</v>
      </c>
      <c r="K16660" s="30" t="s">
        <v>22</v>
      </c>
    </row>
    <row r="16661" spans="1:11">
      <c r="A16661" s="33" t="s">
        <v>37333</v>
      </c>
      <c r="B16661" s="33" t="s">
        <v>37334</v>
      </c>
      <c r="C16661" s="33" t="s">
        <v>1598</v>
      </c>
      <c r="D16661" s="33" t="s">
        <v>17</v>
      </c>
      <c r="E16661" s="33" t="s">
        <v>31</v>
      </c>
      <c r="F16661" s="33" t="s">
        <v>32</v>
      </c>
      <c r="G16661" s="33" t="s">
        <v>140</v>
      </c>
      <c r="H16661" s="35">
        <v>150</v>
      </c>
      <c r="I16661" s="33" t="s">
        <v>51</v>
      </c>
      <c r="J16661" s="42">
        <v>45218</v>
      </c>
      <c r="K16661" s="33" t="s">
        <v>22</v>
      </c>
    </row>
    <row r="16662" spans="1:11">
      <c r="A16662" s="30" t="s">
        <v>37335</v>
      </c>
      <c r="B16662" s="30" t="s">
        <v>37336</v>
      </c>
      <c r="C16662" s="30" t="s">
        <v>14457</v>
      </c>
      <c r="D16662" s="30" t="s">
        <v>17</v>
      </c>
      <c r="E16662" s="30" t="s">
        <v>26</v>
      </c>
      <c r="F16662" s="30" t="s">
        <v>27</v>
      </c>
      <c r="G16662" s="30" t="s">
        <v>140</v>
      </c>
      <c r="H16662" s="32">
        <v>604</v>
      </c>
      <c r="I16662" s="30" t="s">
        <v>51</v>
      </c>
      <c r="J16662" s="41">
        <v>45176</v>
      </c>
      <c r="K16662" s="30" t="s">
        <v>22</v>
      </c>
    </row>
    <row r="16663" spans="1:11">
      <c r="A16663" s="33" t="s">
        <v>37337</v>
      </c>
      <c r="B16663" s="33" t="s">
        <v>37338</v>
      </c>
      <c r="C16663" s="33" t="s">
        <v>75</v>
      </c>
      <c r="D16663" s="33" t="s">
        <v>17</v>
      </c>
      <c r="E16663" s="33" t="s">
        <v>26</v>
      </c>
      <c r="F16663" s="33" t="s">
        <v>27</v>
      </c>
      <c r="G16663" s="33" t="s">
        <v>20</v>
      </c>
      <c r="H16663" s="35">
        <v>84</v>
      </c>
      <c r="I16663" s="33" t="s">
        <v>21</v>
      </c>
      <c r="J16663" s="42">
        <v>44977</v>
      </c>
      <c r="K16663" s="33" t="s">
        <v>22</v>
      </c>
    </row>
    <row r="16664" spans="1:11">
      <c r="A16664" s="30" t="s">
        <v>37339</v>
      </c>
      <c r="B16664" s="30" t="s">
        <v>37340</v>
      </c>
      <c r="C16664" s="30" t="s">
        <v>9066</v>
      </c>
      <c r="D16664" s="30" t="s">
        <v>17</v>
      </c>
      <c r="E16664" s="30" t="s">
        <v>18</v>
      </c>
      <c r="F16664" s="30" t="s">
        <v>19</v>
      </c>
      <c r="G16664" s="30" t="s">
        <v>20</v>
      </c>
      <c r="H16664" s="32">
        <v>155</v>
      </c>
      <c r="I16664" s="30" t="s">
        <v>21</v>
      </c>
      <c r="J16664" s="41">
        <v>45278</v>
      </c>
      <c r="K16664" s="30" t="s">
        <v>22</v>
      </c>
    </row>
    <row r="16665" spans="1:11">
      <c r="A16665" s="33" t="s">
        <v>37341</v>
      </c>
      <c r="B16665" s="33" t="s">
        <v>37342</v>
      </c>
      <c r="C16665" s="33" t="s">
        <v>109</v>
      </c>
      <c r="D16665" s="33" t="s">
        <v>17</v>
      </c>
      <c r="E16665" s="33" t="s">
        <v>67</v>
      </c>
      <c r="F16665" s="33" t="s">
        <v>68</v>
      </c>
      <c r="G16665" s="33" t="s">
        <v>158</v>
      </c>
      <c r="H16665" s="35">
        <v>21</v>
      </c>
      <c r="I16665" s="33" t="s">
        <v>21</v>
      </c>
      <c r="J16665" s="42">
        <v>44985</v>
      </c>
      <c r="K16665" s="33" t="s">
        <v>22</v>
      </c>
    </row>
    <row r="16666" spans="1:11">
      <c r="A16666" s="30" t="s">
        <v>37343</v>
      </c>
      <c r="B16666" s="30" t="s">
        <v>37344</v>
      </c>
      <c r="C16666" s="30" t="s">
        <v>4872</v>
      </c>
      <c r="D16666" s="30" t="s">
        <v>17</v>
      </c>
      <c r="E16666" s="30" t="s">
        <v>45</v>
      </c>
      <c r="F16666" s="30" t="s">
        <v>46</v>
      </c>
      <c r="G16666" s="30" t="s">
        <v>20</v>
      </c>
      <c r="H16666" s="32">
        <v>155</v>
      </c>
      <c r="I16666" s="30" t="s">
        <v>21</v>
      </c>
      <c r="J16666" s="41">
        <v>45259</v>
      </c>
      <c r="K16666" s="30" t="s">
        <v>22</v>
      </c>
    </row>
    <row r="16667" spans="1:11">
      <c r="A16667" s="33" t="s">
        <v>37345</v>
      </c>
      <c r="B16667" s="33" t="s">
        <v>37346</v>
      </c>
      <c r="C16667" s="33" t="s">
        <v>647</v>
      </c>
      <c r="D16667" s="33" t="s">
        <v>17</v>
      </c>
      <c r="E16667" s="33" t="s">
        <v>18</v>
      </c>
      <c r="F16667" s="33" t="s">
        <v>19</v>
      </c>
      <c r="G16667" s="33" t="s">
        <v>140</v>
      </c>
      <c r="H16667" s="35">
        <v>1310</v>
      </c>
      <c r="I16667" s="33" t="s">
        <v>51</v>
      </c>
      <c r="J16667" s="42">
        <v>45291</v>
      </c>
      <c r="K16667" s="33" t="s">
        <v>22</v>
      </c>
    </row>
    <row r="16668" spans="1:11">
      <c r="A16668" s="30" t="s">
        <v>37347</v>
      </c>
      <c r="B16668" s="30" t="s">
        <v>37348</v>
      </c>
      <c r="C16668" s="30" t="s">
        <v>2196</v>
      </c>
      <c r="D16668" s="30" t="s">
        <v>17</v>
      </c>
      <c r="E16668" s="30" t="s">
        <v>26</v>
      </c>
      <c r="F16668" s="30" t="s">
        <v>27</v>
      </c>
      <c r="G16668" s="30" t="s">
        <v>50</v>
      </c>
      <c r="H16668" s="32">
        <v>81</v>
      </c>
      <c r="I16668" s="30" t="s">
        <v>51</v>
      </c>
      <c r="J16668" s="41">
        <v>45113</v>
      </c>
      <c r="K16668" s="30" t="s">
        <v>22</v>
      </c>
    </row>
    <row r="16669" spans="1:11">
      <c r="A16669" s="33" t="s">
        <v>37349</v>
      </c>
      <c r="B16669" s="33" t="s">
        <v>37350</v>
      </c>
      <c r="C16669" s="33" t="s">
        <v>1178</v>
      </c>
      <c r="D16669" s="33" t="s">
        <v>17</v>
      </c>
      <c r="E16669" s="33" t="s">
        <v>26</v>
      </c>
      <c r="F16669" s="33" t="s">
        <v>27</v>
      </c>
      <c r="G16669" s="33" t="s">
        <v>20</v>
      </c>
      <c r="H16669" s="35">
        <v>16</v>
      </c>
      <c r="I16669" s="33" t="s">
        <v>21</v>
      </c>
      <c r="J16669" s="42">
        <v>44955</v>
      </c>
      <c r="K16669" s="33" t="s">
        <v>22</v>
      </c>
    </row>
    <row r="16670" spans="1:11">
      <c r="A16670" s="30" t="s">
        <v>37351</v>
      </c>
      <c r="B16670" s="30" t="s">
        <v>37352</v>
      </c>
      <c r="C16670" s="30" t="s">
        <v>1210</v>
      </c>
      <c r="D16670" s="30" t="s">
        <v>17</v>
      </c>
      <c r="E16670" s="30" t="s">
        <v>26</v>
      </c>
      <c r="F16670" s="30" t="s">
        <v>27</v>
      </c>
      <c r="G16670" s="30" t="s">
        <v>106</v>
      </c>
      <c r="H16670" s="32">
        <v>9</v>
      </c>
      <c r="I16670" s="30" t="s">
        <v>21</v>
      </c>
      <c r="J16670" s="41">
        <v>44970</v>
      </c>
      <c r="K16670" s="30" t="s">
        <v>22</v>
      </c>
    </row>
    <row r="16671" spans="1:11">
      <c r="A16671" s="33" t="s">
        <v>37353</v>
      </c>
      <c r="B16671" s="33" t="s">
        <v>37354</v>
      </c>
      <c r="C16671" s="33" t="s">
        <v>7900</v>
      </c>
      <c r="D16671" s="33" t="s">
        <v>17</v>
      </c>
      <c r="E16671" s="33" t="s">
        <v>26</v>
      </c>
      <c r="F16671" s="33" t="s">
        <v>27</v>
      </c>
      <c r="G16671" s="33" t="s">
        <v>20</v>
      </c>
      <c r="H16671" s="35">
        <v>46</v>
      </c>
      <c r="I16671" s="33" t="s">
        <v>21</v>
      </c>
      <c r="J16671" s="42">
        <v>45044</v>
      </c>
      <c r="K16671" s="33" t="s">
        <v>22</v>
      </c>
    </row>
    <row r="16672" spans="1:11">
      <c r="A16672" s="30" t="s">
        <v>37355</v>
      </c>
      <c r="B16672" s="30" t="s">
        <v>37356</v>
      </c>
      <c r="C16672" s="30" t="s">
        <v>2292</v>
      </c>
      <c r="D16672" s="30" t="s">
        <v>17</v>
      </c>
      <c r="E16672" s="30" t="s">
        <v>26</v>
      </c>
      <c r="F16672" s="30" t="s">
        <v>27</v>
      </c>
      <c r="G16672" s="30" t="s">
        <v>158</v>
      </c>
      <c r="H16672" s="32">
        <v>5</v>
      </c>
      <c r="I16672" s="30" t="s">
        <v>21</v>
      </c>
      <c r="J16672" s="41">
        <v>44988</v>
      </c>
      <c r="K16672" s="30" t="s">
        <v>22</v>
      </c>
    </row>
    <row r="16673" spans="1:11">
      <c r="A16673" s="33" t="s">
        <v>37357</v>
      </c>
      <c r="B16673" s="33" t="s">
        <v>37358</v>
      </c>
      <c r="C16673" s="33" t="s">
        <v>27273</v>
      </c>
      <c r="D16673" s="33" t="s">
        <v>17</v>
      </c>
      <c r="E16673" s="33" t="s">
        <v>67</v>
      </c>
      <c r="F16673" s="33" t="s">
        <v>68</v>
      </c>
      <c r="G16673" s="33" t="s">
        <v>106</v>
      </c>
      <c r="H16673" s="35">
        <v>23</v>
      </c>
      <c r="I16673" s="33" t="s">
        <v>21</v>
      </c>
      <c r="J16673" s="42">
        <v>44960</v>
      </c>
      <c r="K16673" s="33" t="s">
        <v>22</v>
      </c>
    </row>
    <row r="16674" spans="1:11">
      <c r="A16674" s="30" t="s">
        <v>37359</v>
      </c>
      <c r="B16674" s="30" t="s">
        <v>37360</v>
      </c>
      <c r="C16674" s="30" t="s">
        <v>37361</v>
      </c>
      <c r="D16674" s="30" t="s">
        <v>17</v>
      </c>
      <c r="E16674" s="30" t="s">
        <v>26</v>
      </c>
      <c r="F16674" s="30" t="s">
        <v>27</v>
      </c>
      <c r="G16674" s="30" t="s">
        <v>106</v>
      </c>
      <c r="H16674" s="32">
        <v>1</v>
      </c>
      <c r="I16674" s="30" t="s">
        <v>21</v>
      </c>
      <c r="J16674" s="41">
        <v>45083</v>
      </c>
      <c r="K16674" s="30" t="s">
        <v>22</v>
      </c>
    </row>
    <row r="16675" spans="1:11">
      <c r="A16675" s="33" t="s">
        <v>37362</v>
      </c>
      <c r="B16675" s="33" t="s">
        <v>37363</v>
      </c>
      <c r="C16675" s="33" t="s">
        <v>1598</v>
      </c>
      <c r="D16675" s="33" t="s">
        <v>17</v>
      </c>
      <c r="E16675" s="33" t="s">
        <v>18</v>
      </c>
      <c r="F16675" s="33" t="s">
        <v>19</v>
      </c>
      <c r="G16675" s="33" t="s">
        <v>158</v>
      </c>
      <c r="H16675" s="35">
        <v>462</v>
      </c>
      <c r="I16675" s="33" t="s">
        <v>21</v>
      </c>
      <c r="J16675" s="42">
        <v>45287</v>
      </c>
      <c r="K16675" s="33" t="s">
        <v>22</v>
      </c>
    </row>
    <row r="16676" spans="1:11">
      <c r="A16676" s="30" t="s">
        <v>37364</v>
      </c>
      <c r="B16676" s="30" t="s">
        <v>37365</v>
      </c>
      <c r="C16676" s="30" t="s">
        <v>7035</v>
      </c>
      <c r="D16676" s="30" t="s">
        <v>17</v>
      </c>
      <c r="E16676" s="30" t="s">
        <v>31</v>
      </c>
      <c r="F16676" s="30" t="s">
        <v>32</v>
      </c>
      <c r="G16676" s="30" t="s">
        <v>20</v>
      </c>
      <c r="H16676" s="32">
        <v>288</v>
      </c>
      <c r="I16676" s="30" t="s">
        <v>21</v>
      </c>
      <c r="J16676" s="41">
        <v>45229</v>
      </c>
      <c r="K16676" s="30" t="s">
        <v>22</v>
      </c>
    </row>
    <row r="16677" spans="1:11">
      <c r="A16677" s="33" t="s">
        <v>37366</v>
      </c>
      <c r="B16677" s="33" t="s">
        <v>37367</v>
      </c>
      <c r="C16677" s="33" t="s">
        <v>118</v>
      </c>
      <c r="D16677" s="33" t="s">
        <v>17</v>
      </c>
      <c r="E16677" s="33" t="s">
        <v>31</v>
      </c>
      <c r="F16677" s="33" t="s">
        <v>32</v>
      </c>
      <c r="G16677" s="33" t="s">
        <v>20</v>
      </c>
      <c r="H16677" s="35">
        <v>110</v>
      </c>
      <c r="I16677" s="33" t="s">
        <v>21</v>
      </c>
      <c r="J16677" s="42">
        <v>45238</v>
      </c>
      <c r="K16677" s="33" t="s">
        <v>22</v>
      </c>
    </row>
    <row r="16678" spans="1:11">
      <c r="A16678" s="30" t="s">
        <v>37368</v>
      </c>
      <c r="B16678" s="30" t="s">
        <v>37369</v>
      </c>
      <c r="C16678" s="30" t="s">
        <v>37370</v>
      </c>
      <c r="D16678" s="30" t="s">
        <v>17</v>
      </c>
      <c r="E16678" s="30" t="s">
        <v>26</v>
      </c>
      <c r="F16678" s="30" t="s">
        <v>27</v>
      </c>
      <c r="G16678" s="30" t="s">
        <v>106</v>
      </c>
      <c r="H16678" s="32">
        <v>19</v>
      </c>
      <c r="I16678" s="30" t="s">
        <v>21</v>
      </c>
      <c r="J16678" s="41">
        <v>44964</v>
      </c>
      <c r="K16678" s="30" t="s">
        <v>22</v>
      </c>
    </row>
    <row r="16679" spans="1:11">
      <c r="A16679" s="33" t="s">
        <v>37371</v>
      </c>
      <c r="B16679" s="33" t="s">
        <v>37372</v>
      </c>
      <c r="C16679" s="33" t="s">
        <v>37373</v>
      </c>
      <c r="D16679" s="33" t="s">
        <v>17</v>
      </c>
      <c r="E16679" s="33" t="s">
        <v>26</v>
      </c>
      <c r="F16679" s="33" t="s">
        <v>27</v>
      </c>
      <c r="G16679" s="33" t="s">
        <v>20</v>
      </c>
      <c r="H16679" s="35">
        <v>40</v>
      </c>
      <c r="I16679" s="33" t="s">
        <v>21</v>
      </c>
      <c r="J16679" s="42">
        <v>45077</v>
      </c>
      <c r="K16679" s="33" t="s">
        <v>22</v>
      </c>
    </row>
    <row r="16680" spans="1:11">
      <c r="A16680" s="30" t="s">
        <v>37374</v>
      </c>
      <c r="B16680" s="30" t="s">
        <v>37375</v>
      </c>
      <c r="C16680" s="30" t="s">
        <v>326</v>
      </c>
      <c r="D16680" s="30" t="s">
        <v>17</v>
      </c>
      <c r="E16680" s="30" t="s">
        <v>26</v>
      </c>
      <c r="F16680" s="30" t="s">
        <v>27</v>
      </c>
      <c r="G16680" s="30" t="s">
        <v>20</v>
      </c>
      <c r="H16680" s="32">
        <v>10</v>
      </c>
      <c r="I16680" s="30" t="s">
        <v>21</v>
      </c>
      <c r="J16680" s="41">
        <v>45203</v>
      </c>
      <c r="K16680" s="30" t="s">
        <v>22</v>
      </c>
    </row>
    <row r="16681" spans="1:11">
      <c r="A16681" s="33" t="s">
        <v>37376</v>
      </c>
      <c r="B16681" s="33" t="s">
        <v>37377</v>
      </c>
      <c r="C16681" s="33" t="s">
        <v>37378</v>
      </c>
      <c r="D16681" s="33" t="s">
        <v>17</v>
      </c>
      <c r="E16681" s="33" t="s">
        <v>26</v>
      </c>
      <c r="F16681" s="33" t="s">
        <v>27</v>
      </c>
      <c r="G16681" s="33" t="s">
        <v>20</v>
      </c>
      <c r="H16681" s="35">
        <v>30</v>
      </c>
      <c r="I16681" s="33" t="s">
        <v>21</v>
      </c>
      <c r="J16681" s="42">
        <v>44932</v>
      </c>
      <c r="K16681" s="33" t="s">
        <v>22</v>
      </c>
    </row>
    <row r="16682" spans="1:11">
      <c r="A16682" s="30" t="s">
        <v>37379</v>
      </c>
      <c r="B16682" s="30" t="s">
        <v>37380</v>
      </c>
      <c r="C16682" s="30" t="s">
        <v>93</v>
      </c>
      <c r="D16682" s="30" t="s">
        <v>17</v>
      </c>
      <c r="E16682" s="30" t="s">
        <v>31</v>
      </c>
      <c r="F16682" s="30" t="s">
        <v>32</v>
      </c>
      <c r="G16682" s="30" t="s">
        <v>106</v>
      </c>
      <c r="H16682" s="32">
        <v>163</v>
      </c>
      <c r="I16682" s="30" t="s">
        <v>21</v>
      </c>
      <c r="J16682" s="41">
        <v>45211</v>
      </c>
      <c r="K16682" s="30" t="s">
        <v>22</v>
      </c>
    </row>
    <row r="16683" spans="1:11">
      <c r="A16683" s="33" t="s">
        <v>37381</v>
      </c>
      <c r="B16683" s="33" t="s">
        <v>37382</v>
      </c>
      <c r="C16683" s="33" t="s">
        <v>1270</v>
      </c>
      <c r="D16683" s="33" t="s">
        <v>17</v>
      </c>
      <c r="E16683" s="33" t="s">
        <v>26</v>
      </c>
      <c r="F16683" s="33" t="s">
        <v>27</v>
      </c>
      <c r="G16683" s="33" t="s">
        <v>140</v>
      </c>
      <c r="H16683" s="35">
        <v>248</v>
      </c>
      <c r="I16683" s="33" t="s">
        <v>51</v>
      </c>
      <c r="J16683" s="42">
        <v>44987</v>
      </c>
      <c r="K16683" s="33" t="s">
        <v>22</v>
      </c>
    </row>
    <row r="16684" spans="1:11">
      <c r="A16684" s="30" t="s">
        <v>37383</v>
      </c>
      <c r="B16684" s="30" t="s">
        <v>37384</v>
      </c>
      <c r="C16684" s="30" t="s">
        <v>3439</v>
      </c>
      <c r="D16684" s="30" t="s">
        <v>17</v>
      </c>
      <c r="E16684" s="30" t="s">
        <v>26</v>
      </c>
      <c r="F16684" s="30" t="s">
        <v>27</v>
      </c>
      <c r="G16684" s="30" t="s">
        <v>20</v>
      </c>
      <c r="H16684" s="32">
        <v>18</v>
      </c>
      <c r="I16684" s="30" t="s">
        <v>21</v>
      </c>
      <c r="J16684" s="41">
        <v>45058</v>
      </c>
      <c r="K16684" s="30" t="s">
        <v>22</v>
      </c>
    </row>
    <row r="16685" spans="1:11">
      <c r="A16685" s="33" t="s">
        <v>37385</v>
      </c>
      <c r="B16685" s="33" t="s">
        <v>37386</v>
      </c>
      <c r="C16685" s="33" t="s">
        <v>136</v>
      </c>
      <c r="D16685" s="33" t="s">
        <v>17</v>
      </c>
      <c r="E16685" s="33" t="s">
        <v>26</v>
      </c>
      <c r="F16685" s="33" t="s">
        <v>27</v>
      </c>
      <c r="G16685" s="33" t="s">
        <v>20</v>
      </c>
      <c r="H16685" s="35">
        <v>74</v>
      </c>
      <c r="I16685" s="33" t="s">
        <v>21</v>
      </c>
      <c r="J16685" s="42">
        <v>45161</v>
      </c>
      <c r="K16685" s="33" t="s">
        <v>22</v>
      </c>
    </row>
    <row r="16686" spans="1:11">
      <c r="A16686" s="30" t="s">
        <v>37387</v>
      </c>
      <c r="B16686" s="30" t="s">
        <v>37388</v>
      </c>
      <c r="C16686" s="30" t="s">
        <v>57</v>
      </c>
      <c r="D16686" s="30" t="s">
        <v>17</v>
      </c>
      <c r="E16686" s="30" t="s">
        <v>18</v>
      </c>
      <c r="F16686" s="30" t="s">
        <v>19</v>
      </c>
      <c r="G16686" s="30" t="s">
        <v>50</v>
      </c>
      <c r="H16686" s="32">
        <v>240</v>
      </c>
      <c r="I16686" s="30" t="s">
        <v>51</v>
      </c>
      <c r="J16686" s="41">
        <v>45002</v>
      </c>
      <c r="K16686" s="30" t="s">
        <v>22</v>
      </c>
    </row>
    <row r="16687" spans="1:11">
      <c r="A16687" s="33" t="s">
        <v>37389</v>
      </c>
      <c r="B16687" s="33" t="s">
        <v>37390</v>
      </c>
      <c r="C16687" s="33" t="s">
        <v>5757</v>
      </c>
      <c r="D16687" s="33" t="s">
        <v>17</v>
      </c>
      <c r="E16687" s="33" t="s">
        <v>18</v>
      </c>
      <c r="F16687" s="33" t="s">
        <v>19</v>
      </c>
      <c r="G16687" s="33" t="s">
        <v>158</v>
      </c>
      <c r="H16687" s="35">
        <v>240</v>
      </c>
      <c r="I16687" s="33" t="s">
        <v>51</v>
      </c>
      <c r="J16687" s="42">
        <v>45250</v>
      </c>
      <c r="K16687" s="33" t="s">
        <v>22</v>
      </c>
    </row>
    <row r="16688" spans="1:11">
      <c r="A16688" s="30" t="s">
        <v>37391</v>
      </c>
      <c r="B16688" s="30" t="s">
        <v>37392</v>
      </c>
      <c r="C16688" s="30" t="s">
        <v>4550</v>
      </c>
      <c r="D16688" s="30" t="s">
        <v>17</v>
      </c>
      <c r="E16688" s="30" t="s">
        <v>26</v>
      </c>
      <c r="F16688" s="30" t="s">
        <v>27</v>
      </c>
      <c r="G16688" s="30" t="s">
        <v>106</v>
      </c>
      <c r="H16688" s="32">
        <v>88</v>
      </c>
      <c r="I16688" s="30" t="s">
        <v>21</v>
      </c>
      <c r="J16688" s="41">
        <v>45148</v>
      </c>
      <c r="K16688" s="30" t="s">
        <v>22</v>
      </c>
    </row>
    <row r="16689" spans="1:11">
      <c r="A16689" s="33" t="s">
        <v>37393</v>
      </c>
      <c r="B16689" s="33" t="s">
        <v>37394</v>
      </c>
      <c r="C16689" s="33" t="s">
        <v>1042</v>
      </c>
      <c r="D16689" s="33" t="s">
        <v>17</v>
      </c>
      <c r="E16689" s="33" t="s">
        <v>31</v>
      </c>
      <c r="F16689" s="33" t="s">
        <v>32</v>
      </c>
      <c r="G16689" s="33" t="s">
        <v>112</v>
      </c>
      <c r="H16689" s="35">
        <v>0</v>
      </c>
      <c r="I16689" s="33" t="s">
        <v>21</v>
      </c>
      <c r="J16689" s="42">
        <v>44927</v>
      </c>
      <c r="K16689" s="33" t="s">
        <v>22</v>
      </c>
    </row>
    <row r="16690" spans="1:11">
      <c r="A16690" s="30" t="s">
        <v>37395</v>
      </c>
      <c r="B16690" s="30" t="s">
        <v>37396</v>
      </c>
      <c r="C16690" s="30" t="s">
        <v>31479</v>
      </c>
      <c r="D16690" s="30" t="s">
        <v>17</v>
      </c>
      <c r="E16690" s="30" t="s">
        <v>31</v>
      </c>
      <c r="F16690" s="30" t="s">
        <v>32</v>
      </c>
      <c r="G16690" s="30" t="s">
        <v>140</v>
      </c>
      <c r="H16690" s="32">
        <v>60</v>
      </c>
      <c r="I16690" s="30" t="s">
        <v>51</v>
      </c>
      <c r="J16690" s="41">
        <v>45245</v>
      </c>
      <c r="K16690" s="30" t="s">
        <v>22</v>
      </c>
    </row>
    <row r="16691" spans="1:11">
      <c r="A16691" s="33" t="s">
        <v>37397</v>
      </c>
      <c r="B16691" s="33" t="s">
        <v>37398</v>
      </c>
      <c r="C16691" s="33" t="s">
        <v>795</v>
      </c>
      <c r="D16691" s="33" t="s">
        <v>17</v>
      </c>
      <c r="E16691" s="33" t="s">
        <v>31</v>
      </c>
      <c r="F16691" s="33" t="s">
        <v>32</v>
      </c>
      <c r="G16691" s="33" t="s">
        <v>106</v>
      </c>
      <c r="H16691" s="35">
        <v>111</v>
      </c>
      <c r="I16691" s="33" t="s">
        <v>21</v>
      </c>
      <c r="J16691" s="42">
        <v>44991</v>
      </c>
      <c r="K16691" s="33" t="s">
        <v>22</v>
      </c>
    </row>
    <row r="16692" spans="1:11">
      <c r="A16692" s="30" t="s">
        <v>37399</v>
      </c>
      <c r="B16692" s="30" t="s">
        <v>37400</v>
      </c>
      <c r="C16692" s="30" t="s">
        <v>1027</v>
      </c>
      <c r="D16692" s="30" t="s">
        <v>17</v>
      </c>
      <c r="E16692" s="30" t="s">
        <v>67</v>
      </c>
      <c r="F16692" s="30" t="s">
        <v>68</v>
      </c>
      <c r="G16692" s="30" t="s">
        <v>158</v>
      </c>
      <c r="H16692" s="32">
        <v>12</v>
      </c>
      <c r="I16692" s="30" t="s">
        <v>51</v>
      </c>
      <c r="J16692" s="41">
        <v>45228</v>
      </c>
      <c r="K16692" s="30" t="s">
        <v>22</v>
      </c>
    </row>
    <row r="16693" spans="1:11">
      <c r="A16693" s="33" t="s">
        <v>37401</v>
      </c>
      <c r="B16693" s="33" t="s">
        <v>37402</v>
      </c>
      <c r="C16693" s="33" t="s">
        <v>187</v>
      </c>
      <c r="D16693" s="33" t="s">
        <v>17</v>
      </c>
      <c r="E16693" s="33" t="s">
        <v>26</v>
      </c>
      <c r="F16693" s="33" t="s">
        <v>27</v>
      </c>
      <c r="G16693" s="33" t="s">
        <v>112</v>
      </c>
      <c r="H16693" s="35">
        <v>0</v>
      </c>
      <c r="I16693" s="33" t="s">
        <v>21</v>
      </c>
      <c r="J16693" s="42">
        <v>45261</v>
      </c>
      <c r="K16693" s="33" t="s">
        <v>22</v>
      </c>
    </row>
    <row r="16694" spans="1:11">
      <c r="A16694" s="30" t="s">
        <v>37403</v>
      </c>
      <c r="B16694" s="30" t="s">
        <v>37404</v>
      </c>
      <c r="C16694" s="30" t="s">
        <v>22597</v>
      </c>
      <c r="D16694" s="30" t="s">
        <v>17</v>
      </c>
      <c r="E16694" s="30" t="s">
        <v>31</v>
      </c>
      <c r="F16694" s="30" t="s">
        <v>32</v>
      </c>
      <c r="G16694" s="30" t="s">
        <v>158</v>
      </c>
      <c r="H16694" s="32">
        <v>408</v>
      </c>
      <c r="I16694" s="30" t="s">
        <v>21</v>
      </c>
      <c r="J16694" s="41">
        <v>45103</v>
      </c>
      <c r="K16694" s="30" t="s">
        <v>22</v>
      </c>
    </row>
    <row r="16695" spans="1:11">
      <c r="A16695" s="33" t="s">
        <v>37405</v>
      </c>
      <c r="B16695" s="33" t="s">
        <v>37406</v>
      </c>
      <c r="C16695" s="33" t="s">
        <v>969</v>
      </c>
      <c r="D16695" s="33" t="s">
        <v>17</v>
      </c>
      <c r="E16695" s="33" t="s">
        <v>26</v>
      </c>
      <c r="F16695" s="33" t="s">
        <v>27</v>
      </c>
      <c r="G16695" s="33" t="s">
        <v>20</v>
      </c>
      <c r="H16695" s="35">
        <v>16</v>
      </c>
      <c r="I16695" s="33" t="s">
        <v>21</v>
      </c>
      <c r="J16695" s="42">
        <v>45114</v>
      </c>
      <c r="K16695" s="33" t="s">
        <v>22</v>
      </c>
    </row>
    <row r="16696" spans="1:11">
      <c r="A16696" s="30" t="s">
        <v>37407</v>
      </c>
      <c r="B16696" s="30" t="s">
        <v>37408</v>
      </c>
      <c r="C16696" s="30" t="s">
        <v>11899</v>
      </c>
      <c r="D16696" s="30" t="s">
        <v>17</v>
      </c>
      <c r="E16696" s="30" t="s">
        <v>67</v>
      </c>
      <c r="F16696" s="30" t="s">
        <v>68</v>
      </c>
      <c r="G16696" s="30" t="s">
        <v>50</v>
      </c>
      <c r="H16696" s="32">
        <v>270</v>
      </c>
      <c r="I16696" s="30" t="s">
        <v>51</v>
      </c>
      <c r="J16696" s="41">
        <v>45200</v>
      </c>
      <c r="K16696" s="30" t="s">
        <v>22</v>
      </c>
    </row>
    <row r="16697" spans="1:11">
      <c r="A16697" s="33" t="s">
        <v>37409</v>
      </c>
      <c r="B16697" s="33" t="s">
        <v>37410</v>
      </c>
      <c r="C16697" s="33" t="s">
        <v>37411</v>
      </c>
      <c r="D16697" s="33" t="s">
        <v>17</v>
      </c>
      <c r="E16697" s="33" t="s">
        <v>67</v>
      </c>
      <c r="F16697" s="33" t="s">
        <v>68</v>
      </c>
      <c r="G16697" s="33" t="s">
        <v>140</v>
      </c>
      <c r="H16697" s="35">
        <v>131</v>
      </c>
      <c r="I16697" s="33" t="s">
        <v>51</v>
      </c>
      <c r="J16697" s="42">
        <v>45086</v>
      </c>
      <c r="K16697" s="33" t="s">
        <v>22</v>
      </c>
    </row>
    <row r="16698" spans="1:11">
      <c r="A16698" s="30" t="s">
        <v>37412</v>
      </c>
      <c r="B16698" s="30" t="s">
        <v>37413</v>
      </c>
      <c r="C16698" s="30" t="s">
        <v>37414</v>
      </c>
      <c r="D16698" s="30" t="s">
        <v>17</v>
      </c>
      <c r="E16698" s="30" t="s">
        <v>31</v>
      </c>
      <c r="F16698" s="30" t="s">
        <v>32</v>
      </c>
      <c r="G16698" s="30" t="s">
        <v>20</v>
      </c>
      <c r="H16698" s="32">
        <v>80</v>
      </c>
      <c r="I16698" s="30" t="s">
        <v>21</v>
      </c>
      <c r="J16698" s="41">
        <v>45107</v>
      </c>
      <c r="K16698" s="30" t="s">
        <v>22</v>
      </c>
    </row>
    <row r="16699" spans="1:11">
      <c r="A16699" s="33" t="s">
        <v>37415</v>
      </c>
      <c r="B16699" s="33" t="s">
        <v>37416</v>
      </c>
      <c r="C16699" s="33" t="s">
        <v>782</v>
      </c>
      <c r="D16699" s="33" t="s">
        <v>17</v>
      </c>
      <c r="E16699" s="33" t="s">
        <v>18</v>
      </c>
      <c r="F16699" s="33" t="s">
        <v>19</v>
      </c>
      <c r="G16699" s="33" t="s">
        <v>140</v>
      </c>
      <c r="H16699" s="35">
        <v>24</v>
      </c>
      <c r="I16699" s="33" t="s">
        <v>51</v>
      </c>
      <c r="J16699" s="42">
        <v>45030</v>
      </c>
      <c r="K16699" s="33" t="s">
        <v>22</v>
      </c>
    </row>
    <row r="16700" spans="1:11">
      <c r="A16700" s="30" t="s">
        <v>37417</v>
      </c>
      <c r="B16700" s="30" t="s">
        <v>37418</v>
      </c>
      <c r="C16700" s="30" t="s">
        <v>154</v>
      </c>
      <c r="D16700" s="30" t="s">
        <v>17</v>
      </c>
      <c r="E16700" s="30" t="s">
        <v>31</v>
      </c>
      <c r="F16700" s="30" t="s">
        <v>32</v>
      </c>
      <c r="G16700" s="30" t="s">
        <v>20</v>
      </c>
      <c r="H16700" s="32">
        <v>35</v>
      </c>
      <c r="I16700" s="30" t="s">
        <v>21</v>
      </c>
      <c r="J16700" s="41">
        <v>45222</v>
      </c>
      <c r="K16700" s="30" t="s">
        <v>22</v>
      </c>
    </row>
    <row r="16701" spans="1:11">
      <c r="A16701" s="33" t="s">
        <v>37419</v>
      </c>
      <c r="B16701" s="33" t="s">
        <v>37420</v>
      </c>
      <c r="C16701" s="33" t="s">
        <v>75</v>
      </c>
      <c r="D16701" s="33" t="s">
        <v>17</v>
      </c>
      <c r="E16701" s="33" t="s">
        <v>26</v>
      </c>
      <c r="F16701" s="33" t="s">
        <v>27</v>
      </c>
      <c r="G16701" s="33" t="s">
        <v>20</v>
      </c>
      <c r="H16701" s="35">
        <v>63</v>
      </c>
      <c r="I16701" s="33" t="s">
        <v>21</v>
      </c>
      <c r="J16701" s="42">
        <v>45246</v>
      </c>
      <c r="K16701" s="33" t="s">
        <v>22</v>
      </c>
    </row>
    <row r="16702" spans="1:11">
      <c r="A16702" s="30" t="s">
        <v>37421</v>
      </c>
      <c r="B16702" s="30" t="s">
        <v>37422</v>
      </c>
      <c r="C16702" s="30" t="s">
        <v>20089</v>
      </c>
      <c r="D16702" s="30" t="s">
        <v>17</v>
      </c>
      <c r="E16702" s="30" t="s">
        <v>18</v>
      </c>
      <c r="F16702" s="30" t="s">
        <v>19</v>
      </c>
      <c r="G16702" s="30" t="s">
        <v>158</v>
      </c>
      <c r="H16702" s="32">
        <v>150</v>
      </c>
      <c r="I16702" s="30" t="s">
        <v>51</v>
      </c>
      <c r="J16702" s="41">
        <v>45110</v>
      </c>
      <c r="K16702" s="30" t="s">
        <v>22</v>
      </c>
    </row>
    <row r="16703" spans="1:11">
      <c r="A16703" s="33" t="s">
        <v>37423</v>
      </c>
      <c r="B16703" s="33" t="s">
        <v>37424</v>
      </c>
      <c r="C16703" s="33" t="s">
        <v>136</v>
      </c>
      <c r="D16703" s="33" t="s">
        <v>17</v>
      </c>
      <c r="E16703" s="33" t="s">
        <v>26</v>
      </c>
      <c r="F16703" s="33" t="s">
        <v>27</v>
      </c>
      <c r="G16703" s="33" t="s">
        <v>20</v>
      </c>
      <c r="H16703" s="35">
        <v>7</v>
      </c>
      <c r="I16703" s="33" t="s">
        <v>21</v>
      </c>
      <c r="J16703" s="42">
        <v>45189</v>
      </c>
      <c r="K16703" s="33" t="s">
        <v>22</v>
      </c>
    </row>
    <row r="16704" spans="1:11">
      <c r="A16704" s="30" t="s">
        <v>37425</v>
      </c>
      <c r="B16704" s="30" t="s">
        <v>37426</v>
      </c>
      <c r="C16704" s="30" t="s">
        <v>3655</v>
      </c>
      <c r="D16704" s="30" t="s">
        <v>17</v>
      </c>
      <c r="E16704" s="30" t="s">
        <v>18</v>
      </c>
      <c r="F16704" s="30" t="s">
        <v>19</v>
      </c>
      <c r="G16704" s="30" t="s">
        <v>20</v>
      </c>
      <c r="H16704" s="32">
        <v>8795</v>
      </c>
      <c r="I16704" s="30" t="s">
        <v>21</v>
      </c>
      <c r="J16704" s="41">
        <v>45280</v>
      </c>
      <c r="K16704" s="30" t="s">
        <v>22</v>
      </c>
    </row>
    <row r="16705" spans="1:11">
      <c r="A16705" s="33" t="s">
        <v>37427</v>
      </c>
      <c r="B16705" s="33" t="s">
        <v>37428</v>
      </c>
      <c r="C16705" s="33" t="s">
        <v>37429</v>
      </c>
      <c r="D16705" s="33" t="s">
        <v>17</v>
      </c>
      <c r="E16705" s="33" t="s">
        <v>31</v>
      </c>
      <c r="F16705" s="33" t="s">
        <v>32</v>
      </c>
      <c r="G16705" s="33" t="s">
        <v>20</v>
      </c>
      <c r="H16705" s="35">
        <v>201</v>
      </c>
      <c r="I16705" s="33" t="s">
        <v>21</v>
      </c>
      <c r="J16705" s="42">
        <v>45166</v>
      </c>
      <c r="K16705" s="33" t="s">
        <v>22</v>
      </c>
    </row>
    <row r="16706" spans="1:11">
      <c r="A16706" s="30" t="s">
        <v>37430</v>
      </c>
      <c r="B16706" s="30" t="s">
        <v>37431</v>
      </c>
      <c r="C16706" s="30" t="s">
        <v>37432</v>
      </c>
      <c r="D16706" s="30" t="s">
        <v>17</v>
      </c>
      <c r="E16706" s="30" t="s">
        <v>26</v>
      </c>
      <c r="F16706" s="30" t="s">
        <v>27</v>
      </c>
      <c r="G16706" s="30" t="s">
        <v>50</v>
      </c>
      <c r="H16706" s="32">
        <v>98</v>
      </c>
      <c r="I16706" s="30" t="s">
        <v>51</v>
      </c>
      <c r="J16706" s="41">
        <v>45090</v>
      </c>
      <c r="K16706" s="30" t="s">
        <v>22</v>
      </c>
    </row>
    <row r="16707" spans="1:11">
      <c r="A16707" s="33" t="s">
        <v>37433</v>
      </c>
      <c r="B16707" s="33" t="s">
        <v>37434</v>
      </c>
      <c r="C16707" s="33" t="s">
        <v>5246</v>
      </c>
      <c r="D16707" s="33" t="s">
        <v>17</v>
      </c>
      <c r="E16707" s="33" t="s">
        <v>26</v>
      </c>
      <c r="F16707" s="33" t="s">
        <v>27</v>
      </c>
      <c r="G16707" s="33" t="s">
        <v>20</v>
      </c>
      <c r="H16707" s="35">
        <v>6</v>
      </c>
      <c r="I16707" s="33" t="s">
        <v>21</v>
      </c>
      <c r="J16707" s="42">
        <v>45187</v>
      </c>
      <c r="K16707" s="33" t="s">
        <v>22</v>
      </c>
    </row>
    <row r="16708" spans="1:11">
      <c r="A16708" s="30" t="s">
        <v>37435</v>
      </c>
      <c r="B16708" s="30" t="s">
        <v>37436</v>
      </c>
      <c r="C16708" s="30" t="s">
        <v>33686</v>
      </c>
      <c r="D16708" s="30" t="s">
        <v>17</v>
      </c>
      <c r="E16708" s="30" t="s">
        <v>18</v>
      </c>
      <c r="F16708" s="30" t="s">
        <v>19</v>
      </c>
      <c r="G16708" s="30" t="s">
        <v>106</v>
      </c>
      <c r="H16708" s="32">
        <v>654</v>
      </c>
      <c r="I16708" s="30" t="s">
        <v>21</v>
      </c>
      <c r="J16708" s="41">
        <v>45012</v>
      </c>
      <c r="K16708" s="30" t="s">
        <v>22</v>
      </c>
    </row>
    <row r="16709" spans="1:11">
      <c r="A16709" s="33" t="s">
        <v>37437</v>
      </c>
      <c r="B16709" s="33" t="s">
        <v>37438</v>
      </c>
      <c r="C16709" s="33" t="s">
        <v>15421</v>
      </c>
      <c r="D16709" s="33" t="s">
        <v>17</v>
      </c>
      <c r="E16709" s="33" t="s">
        <v>67</v>
      </c>
      <c r="F16709" s="33" t="s">
        <v>68</v>
      </c>
      <c r="G16709" s="33" t="s">
        <v>140</v>
      </c>
      <c r="H16709" s="35">
        <v>255</v>
      </c>
      <c r="I16709" s="33" t="s">
        <v>51</v>
      </c>
      <c r="J16709" s="42">
        <v>45244</v>
      </c>
      <c r="K16709" s="33" t="s">
        <v>22</v>
      </c>
    </row>
    <row r="16710" spans="1:11">
      <c r="A16710" s="30" t="s">
        <v>37439</v>
      </c>
      <c r="B16710" s="30" t="s">
        <v>37440</v>
      </c>
      <c r="C16710" s="30" t="s">
        <v>3157</v>
      </c>
      <c r="D16710" s="30" t="s">
        <v>17</v>
      </c>
      <c r="E16710" s="30" t="s">
        <v>18</v>
      </c>
      <c r="F16710" s="30" t="s">
        <v>19</v>
      </c>
      <c r="G16710" s="30" t="s">
        <v>50</v>
      </c>
      <c r="H16710" s="32">
        <v>3</v>
      </c>
      <c r="I16710" s="30" t="s">
        <v>51</v>
      </c>
      <c r="J16710" s="41">
        <v>45141</v>
      </c>
      <c r="K16710" s="30" t="s">
        <v>22</v>
      </c>
    </row>
    <row r="16711" spans="1:11">
      <c r="A16711" s="33" t="s">
        <v>37441</v>
      </c>
      <c r="B16711" s="33" t="s">
        <v>32791</v>
      </c>
      <c r="C16711" s="33" t="s">
        <v>1598</v>
      </c>
      <c r="D16711" s="33" t="s">
        <v>17</v>
      </c>
      <c r="E16711" s="33" t="s">
        <v>26</v>
      </c>
      <c r="F16711" s="33" t="s">
        <v>27</v>
      </c>
      <c r="G16711" s="33" t="s">
        <v>20</v>
      </c>
      <c r="H16711" s="35">
        <v>24</v>
      </c>
      <c r="I16711" s="33" t="s">
        <v>21</v>
      </c>
      <c r="J16711" s="42">
        <v>44973</v>
      </c>
      <c r="K16711" s="33" t="s">
        <v>22</v>
      </c>
    </row>
    <row r="16712" spans="1:11">
      <c r="A16712" s="30" t="s">
        <v>37442</v>
      </c>
      <c r="B16712" s="30" t="s">
        <v>37443</v>
      </c>
      <c r="C16712" s="30" t="s">
        <v>17757</v>
      </c>
      <c r="D16712" s="30" t="s">
        <v>17</v>
      </c>
      <c r="E16712" s="30" t="s">
        <v>26</v>
      </c>
      <c r="F16712" s="30" t="s">
        <v>27</v>
      </c>
      <c r="G16712" s="30" t="s">
        <v>20</v>
      </c>
      <c r="H16712" s="32">
        <v>40</v>
      </c>
      <c r="I16712" s="30" t="s">
        <v>21</v>
      </c>
      <c r="J16712" s="41">
        <v>45040</v>
      </c>
      <c r="K16712" s="30" t="s">
        <v>22</v>
      </c>
    </row>
    <row r="16713" spans="1:11">
      <c r="A16713" s="33" t="s">
        <v>37444</v>
      </c>
      <c r="B16713" s="33" t="s">
        <v>37445</v>
      </c>
      <c r="C16713" s="33" t="s">
        <v>310</v>
      </c>
      <c r="D16713" s="33" t="s">
        <v>17</v>
      </c>
      <c r="E16713" s="33" t="s">
        <v>18</v>
      </c>
      <c r="F16713" s="33" t="s">
        <v>19</v>
      </c>
      <c r="G16713" s="33" t="s">
        <v>20</v>
      </c>
      <c r="H16713" s="35">
        <v>23</v>
      </c>
      <c r="I16713" s="33" t="s">
        <v>21</v>
      </c>
      <c r="J16713" s="42">
        <v>45097</v>
      </c>
      <c r="K16713" s="33" t="s">
        <v>22</v>
      </c>
    </row>
    <row r="16714" spans="1:11">
      <c r="A16714" s="30" t="s">
        <v>37446</v>
      </c>
      <c r="B16714" s="30" t="s">
        <v>37447</v>
      </c>
      <c r="C16714" s="30" t="s">
        <v>488</v>
      </c>
      <c r="D16714" s="30" t="s">
        <v>17</v>
      </c>
      <c r="E16714" s="30" t="s">
        <v>26</v>
      </c>
      <c r="F16714" s="30" t="s">
        <v>27</v>
      </c>
      <c r="G16714" s="30" t="s">
        <v>140</v>
      </c>
      <c r="H16714" s="32">
        <v>20</v>
      </c>
      <c r="I16714" s="30" t="s">
        <v>51</v>
      </c>
      <c r="J16714" s="41">
        <v>45107</v>
      </c>
      <c r="K16714" s="30" t="s">
        <v>22</v>
      </c>
    </row>
    <row r="16715" spans="1:11">
      <c r="A16715" s="33" t="s">
        <v>37448</v>
      </c>
      <c r="B16715" s="33" t="s">
        <v>37449</v>
      </c>
      <c r="C16715" s="33" t="s">
        <v>22145</v>
      </c>
      <c r="D16715" s="33" t="s">
        <v>17</v>
      </c>
      <c r="E16715" s="33" t="s">
        <v>67</v>
      </c>
      <c r="F16715" s="33" t="s">
        <v>68</v>
      </c>
      <c r="G16715" s="33" t="s">
        <v>106</v>
      </c>
      <c r="H16715" s="35">
        <v>36</v>
      </c>
      <c r="I16715" s="33" t="s">
        <v>21</v>
      </c>
      <c r="J16715" s="42">
        <v>45077</v>
      </c>
      <c r="K16715" s="33" t="s">
        <v>22</v>
      </c>
    </row>
    <row r="16716" spans="1:11">
      <c r="A16716" s="30" t="s">
        <v>37450</v>
      </c>
      <c r="B16716" s="30" t="s">
        <v>37451</v>
      </c>
      <c r="C16716" s="30" t="s">
        <v>37452</v>
      </c>
      <c r="D16716" s="30" t="s">
        <v>17</v>
      </c>
      <c r="E16716" s="30" t="s">
        <v>67</v>
      </c>
      <c r="F16716" s="30" t="s">
        <v>68</v>
      </c>
      <c r="G16716" s="30" t="s">
        <v>140</v>
      </c>
      <c r="H16716" s="32">
        <v>4</v>
      </c>
      <c r="I16716" s="30" t="s">
        <v>51</v>
      </c>
      <c r="J16716" s="41">
        <v>44972</v>
      </c>
      <c r="K16716" s="30" t="s">
        <v>22</v>
      </c>
    </row>
    <row r="16717" spans="1:11">
      <c r="A16717" s="33" t="s">
        <v>37453</v>
      </c>
      <c r="B16717" s="33" t="s">
        <v>37454</v>
      </c>
      <c r="C16717" s="33" t="s">
        <v>5842</v>
      </c>
      <c r="D16717" s="33" t="s">
        <v>17</v>
      </c>
      <c r="E16717" s="33" t="s">
        <v>31</v>
      </c>
      <c r="F16717" s="33" t="s">
        <v>32</v>
      </c>
      <c r="G16717" s="33" t="s">
        <v>106</v>
      </c>
      <c r="H16717" s="35">
        <v>9</v>
      </c>
      <c r="I16717" s="33" t="s">
        <v>21</v>
      </c>
      <c r="J16717" s="42">
        <v>45041</v>
      </c>
      <c r="K16717" s="33" t="s">
        <v>22</v>
      </c>
    </row>
    <row r="16718" spans="1:11">
      <c r="A16718" s="30" t="s">
        <v>37455</v>
      </c>
      <c r="B16718" s="30" t="s">
        <v>37456</v>
      </c>
      <c r="C16718" s="30" t="s">
        <v>1350</v>
      </c>
      <c r="D16718" s="30" t="s">
        <v>17</v>
      </c>
      <c r="E16718" s="30" t="s">
        <v>18</v>
      </c>
      <c r="F16718" s="30" t="s">
        <v>19</v>
      </c>
      <c r="G16718" s="30" t="s">
        <v>140</v>
      </c>
      <c r="H16718" s="32">
        <v>400</v>
      </c>
      <c r="I16718" s="30" t="s">
        <v>51</v>
      </c>
      <c r="J16718" s="41">
        <v>45261</v>
      </c>
      <c r="K16718" s="30" t="s">
        <v>22</v>
      </c>
    </row>
    <row r="16719" spans="1:11">
      <c r="A16719" s="33" t="s">
        <v>37457</v>
      </c>
      <c r="B16719" s="33" t="s">
        <v>37458</v>
      </c>
      <c r="C16719" s="33" t="s">
        <v>13281</v>
      </c>
      <c r="D16719" s="33" t="s">
        <v>17</v>
      </c>
      <c r="E16719" s="33" t="s">
        <v>67</v>
      </c>
      <c r="F16719" s="33" t="s">
        <v>68</v>
      </c>
      <c r="G16719" s="33" t="s">
        <v>112</v>
      </c>
      <c r="H16719" s="35">
        <v>0</v>
      </c>
      <c r="I16719" s="33" t="s">
        <v>21</v>
      </c>
      <c r="J16719" s="42">
        <v>45139</v>
      </c>
      <c r="K16719" s="33" t="s">
        <v>22</v>
      </c>
    </row>
    <row r="16720" spans="1:11">
      <c r="A16720" s="30" t="s">
        <v>37459</v>
      </c>
      <c r="B16720" s="30" t="s">
        <v>37460</v>
      </c>
      <c r="C16720" s="30" t="s">
        <v>15271</v>
      </c>
      <c r="D16720" s="30" t="s">
        <v>17</v>
      </c>
      <c r="E16720" s="30" t="s">
        <v>31</v>
      </c>
      <c r="F16720" s="30" t="s">
        <v>32</v>
      </c>
      <c r="G16720" s="30" t="s">
        <v>20</v>
      </c>
      <c r="H16720" s="32">
        <v>88</v>
      </c>
      <c r="I16720" s="30" t="s">
        <v>21</v>
      </c>
      <c r="J16720" s="41">
        <v>45281</v>
      </c>
      <c r="K16720" s="30" t="s">
        <v>22</v>
      </c>
    </row>
    <row r="16721" spans="1:11">
      <c r="A16721" s="33" t="s">
        <v>37461</v>
      </c>
      <c r="B16721" s="33" t="s">
        <v>37462</v>
      </c>
      <c r="C16721" s="33" t="s">
        <v>2313</v>
      </c>
      <c r="D16721" s="33" t="s">
        <v>17</v>
      </c>
      <c r="E16721" s="33" t="s">
        <v>26</v>
      </c>
      <c r="F16721" s="33" t="s">
        <v>27</v>
      </c>
      <c r="G16721" s="33" t="s">
        <v>20</v>
      </c>
      <c r="H16721" s="35">
        <v>56</v>
      </c>
      <c r="I16721" s="33" t="s">
        <v>21</v>
      </c>
      <c r="J16721" s="42">
        <v>44942</v>
      </c>
      <c r="K16721" s="33" t="s">
        <v>22</v>
      </c>
    </row>
    <row r="16722" spans="1:11">
      <c r="A16722" s="30" t="s">
        <v>37463</v>
      </c>
      <c r="B16722" s="30" t="s">
        <v>37464</v>
      </c>
      <c r="C16722" s="30" t="s">
        <v>193</v>
      </c>
      <c r="D16722" s="30" t="s">
        <v>17</v>
      </c>
      <c r="E16722" s="30" t="s">
        <v>26</v>
      </c>
      <c r="F16722" s="30" t="s">
        <v>27</v>
      </c>
      <c r="G16722" s="30" t="s">
        <v>20</v>
      </c>
      <c r="H16722" s="32">
        <v>135</v>
      </c>
      <c r="I16722" s="30" t="s">
        <v>21</v>
      </c>
      <c r="J16722" s="41">
        <v>45048</v>
      </c>
      <c r="K16722" s="30" t="s">
        <v>22</v>
      </c>
    </row>
    <row r="16723" spans="1:11">
      <c r="A16723" s="33" t="s">
        <v>37465</v>
      </c>
      <c r="B16723" s="33" t="s">
        <v>37466</v>
      </c>
      <c r="C16723" s="33" t="s">
        <v>136</v>
      </c>
      <c r="D16723" s="33" t="s">
        <v>17</v>
      </c>
      <c r="E16723" s="33" t="s">
        <v>26</v>
      </c>
      <c r="F16723" s="33" t="s">
        <v>27</v>
      </c>
      <c r="G16723" s="33" t="s">
        <v>20</v>
      </c>
      <c r="H16723" s="35">
        <v>24</v>
      </c>
      <c r="I16723" s="33" t="s">
        <v>21</v>
      </c>
      <c r="J16723" s="42">
        <v>45190</v>
      </c>
      <c r="K16723" s="33" t="s">
        <v>22</v>
      </c>
    </row>
    <row r="16724" spans="1:11">
      <c r="A16724" s="30" t="s">
        <v>37467</v>
      </c>
      <c r="B16724" s="30" t="s">
        <v>37468</v>
      </c>
      <c r="C16724" s="30" t="s">
        <v>37469</v>
      </c>
      <c r="D16724" s="30" t="s">
        <v>17</v>
      </c>
      <c r="E16724" s="30" t="s">
        <v>18</v>
      </c>
      <c r="F16724" s="30" t="s">
        <v>19</v>
      </c>
      <c r="G16724" s="30" t="s">
        <v>20</v>
      </c>
      <c r="H16724" s="32">
        <v>428</v>
      </c>
      <c r="I16724" s="30" t="s">
        <v>21</v>
      </c>
      <c r="J16724" s="41">
        <v>44998</v>
      </c>
      <c r="K16724" s="30" t="s">
        <v>22</v>
      </c>
    </row>
    <row r="16725" spans="1:11">
      <c r="A16725" s="33" t="s">
        <v>37470</v>
      </c>
      <c r="B16725" s="33" t="s">
        <v>37471</v>
      </c>
      <c r="C16725" s="33" t="s">
        <v>157</v>
      </c>
      <c r="D16725" s="33" t="s">
        <v>17</v>
      </c>
      <c r="E16725" s="33" t="s">
        <v>31</v>
      </c>
      <c r="F16725" s="33" t="s">
        <v>32</v>
      </c>
      <c r="G16725" s="33" t="s">
        <v>20</v>
      </c>
      <c r="H16725" s="35">
        <v>112</v>
      </c>
      <c r="I16725" s="33" t="s">
        <v>21</v>
      </c>
      <c r="J16725" s="42">
        <v>44935</v>
      </c>
      <c r="K16725" s="33" t="s">
        <v>22</v>
      </c>
    </row>
    <row r="16726" spans="1:11">
      <c r="A16726" s="30" t="s">
        <v>37472</v>
      </c>
      <c r="B16726" s="30" t="s">
        <v>37473</v>
      </c>
      <c r="C16726" s="30" t="s">
        <v>14483</v>
      </c>
      <c r="D16726" s="30" t="s">
        <v>17</v>
      </c>
      <c r="E16726" s="30" t="s">
        <v>26</v>
      </c>
      <c r="F16726" s="30" t="s">
        <v>27</v>
      </c>
      <c r="G16726" s="30" t="s">
        <v>50</v>
      </c>
      <c r="H16726" s="32">
        <v>70</v>
      </c>
      <c r="I16726" s="30" t="s">
        <v>51</v>
      </c>
      <c r="J16726" s="41">
        <v>44993</v>
      </c>
      <c r="K16726" s="30" t="s">
        <v>22</v>
      </c>
    </row>
    <row r="16727" spans="1:11">
      <c r="A16727" s="33" t="s">
        <v>37474</v>
      </c>
      <c r="B16727" s="33" t="s">
        <v>37475</v>
      </c>
      <c r="C16727" s="33" t="s">
        <v>7035</v>
      </c>
      <c r="D16727" s="33" t="s">
        <v>17</v>
      </c>
      <c r="E16727" s="33" t="s">
        <v>45</v>
      </c>
      <c r="F16727" s="33" t="s">
        <v>46</v>
      </c>
      <c r="G16727" s="33" t="s">
        <v>20</v>
      </c>
      <c r="H16727" s="35">
        <v>31</v>
      </c>
      <c r="I16727" s="33" t="s">
        <v>21</v>
      </c>
      <c r="J16727" s="42">
        <v>45057</v>
      </c>
      <c r="K16727" s="33" t="s">
        <v>22</v>
      </c>
    </row>
    <row r="16728" spans="1:11">
      <c r="A16728" s="30" t="s">
        <v>37476</v>
      </c>
      <c r="B16728" s="30" t="s">
        <v>37477</v>
      </c>
      <c r="C16728" s="30" t="s">
        <v>1202</v>
      </c>
      <c r="D16728" s="30" t="s">
        <v>17</v>
      </c>
      <c r="E16728" s="30" t="s">
        <v>26</v>
      </c>
      <c r="F16728" s="30" t="s">
        <v>27</v>
      </c>
      <c r="G16728" s="30" t="s">
        <v>20</v>
      </c>
      <c r="H16728" s="32">
        <v>196</v>
      </c>
      <c r="I16728" s="30" t="s">
        <v>21</v>
      </c>
      <c r="J16728" s="41">
        <v>45256</v>
      </c>
      <c r="K16728" s="30" t="s">
        <v>22</v>
      </c>
    </row>
    <row r="16729" spans="1:11">
      <c r="A16729" s="33" t="s">
        <v>37478</v>
      </c>
      <c r="B16729" s="33" t="s">
        <v>37479</v>
      </c>
      <c r="C16729" s="33" t="s">
        <v>1764</v>
      </c>
      <c r="D16729" s="33" t="s">
        <v>17</v>
      </c>
      <c r="E16729" s="33" t="s">
        <v>18</v>
      </c>
      <c r="F16729" s="33" t="s">
        <v>19</v>
      </c>
      <c r="G16729" s="33" t="s">
        <v>20</v>
      </c>
      <c r="H16729" s="35">
        <v>100</v>
      </c>
      <c r="I16729" s="33" t="s">
        <v>21</v>
      </c>
      <c r="J16729" s="42">
        <v>45078</v>
      </c>
      <c r="K16729" s="33" t="s">
        <v>22</v>
      </c>
    </row>
    <row r="16730" spans="1:11">
      <c r="A16730" s="30" t="s">
        <v>37480</v>
      </c>
      <c r="B16730" s="30" t="s">
        <v>37481</v>
      </c>
      <c r="C16730" s="30" t="s">
        <v>15585</v>
      </c>
      <c r="D16730" s="30" t="s">
        <v>17</v>
      </c>
      <c r="E16730" s="30" t="s">
        <v>31</v>
      </c>
      <c r="F16730" s="30" t="s">
        <v>32</v>
      </c>
      <c r="G16730" s="30" t="s">
        <v>20</v>
      </c>
      <c r="H16730" s="32">
        <v>249</v>
      </c>
      <c r="I16730" s="30" t="s">
        <v>21</v>
      </c>
      <c r="J16730" s="41">
        <v>45090</v>
      </c>
      <c r="K16730" s="30" t="s">
        <v>22</v>
      </c>
    </row>
    <row r="16731" spans="1:11">
      <c r="A16731" s="33" t="s">
        <v>37482</v>
      </c>
      <c r="B16731" s="33" t="s">
        <v>37483</v>
      </c>
      <c r="C16731" s="33" t="s">
        <v>647</v>
      </c>
      <c r="D16731" s="33" t="s">
        <v>17</v>
      </c>
      <c r="E16731" s="33" t="s">
        <v>18</v>
      </c>
      <c r="F16731" s="33" t="s">
        <v>19</v>
      </c>
      <c r="G16731" s="33" t="s">
        <v>20</v>
      </c>
      <c r="H16731" s="35">
        <v>46</v>
      </c>
      <c r="I16731" s="33" t="s">
        <v>21</v>
      </c>
      <c r="J16731" s="42">
        <v>45056</v>
      </c>
      <c r="K16731" s="33" t="s">
        <v>22</v>
      </c>
    </row>
    <row r="16732" spans="1:11">
      <c r="A16732" s="30" t="s">
        <v>37484</v>
      </c>
      <c r="B16732" s="30" t="s">
        <v>37485</v>
      </c>
      <c r="C16732" s="30" t="s">
        <v>75</v>
      </c>
      <c r="D16732" s="30" t="s">
        <v>17</v>
      </c>
      <c r="E16732" s="30" t="s">
        <v>18</v>
      </c>
      <c r="F16732" s="30" t="s">
        <v>19</v>
      </c>
      <c r="G16732" s="30" t="s">
        <v>158</v>
      </c>
      <c r="H16732" s="32">
        <v>774</v>
      </c>
      <c r="I16732" s="30" t="s">
        <v>21</v>
      </c>
      <c r="J16732" s="41">
        <v>45180</v>
      </c>
      <c r="K16732" s="30" t="s">
        <v>22</v>
      </c>
    </row>
    <row r="16733" spans="1:11">
      <c r="A16733" s="33" t="s">
        <v>37486</v>
      </c>
      <c r="B16733" s="33" t="s">
        <v>37487</v>
      </c>
      <c r="C16733" s="33" t="s">
        <v>7184</v>
      </c>
      <c r="D16733" s="33" t="s">
        <v>17</v>
      </c>
      <c r="E16733" s="33" t="s">
        <v>67</v>
      </c>
      <c r="F16733" s="33" t="s">
        <v>68</v>
      </c>
      <c r="G16733" s="33" t="s">
        <v>20</v>
      </c>
      <c r="H16733" s="35">
        <v>6</v>
      </c>
      <c r="I16733" s="33" t="s">
        <v>21</v>
      </c>
      <c r="J16733" s="42">
        <v>45006</v>
      </c>
      <c r="K16733" s="33" t="s">
        <v>22</v>
      </c>
    </row>
    <row r="16734" spans="1:11">
      <c r="A16734" s="30" t="s">
        <v>37488</v>
      </c>
      <c r="B16734" s="30" t="s">
        <v>37489</v>
      </c>
      <c r="C16734" s="30" t="s">
        <v>37490</v>
      </c>
      <c r="D16734" s="30" t="s">
        <v>17</v>
      </c>
      <c r="E16734" s="30" t="s">
        <v>67</v>
      </c>
      <c r="F16734" s="30" t="s">
        <v>68</v>
      </c>
      <c r="G16734" s="30" t="s">
        <v>20</v>
      </c>
      <c r="H16734" s="32">
        <v>55</v>
      </c>
      <c r="I16734" s="30" t="s">
        <v>21</v>
      </c>
      <c r="J16734" s="41">
        <v>45129</v>
      </c>
      <c r="K16734" s="30" t="s">
        <v>22</v>
      </c>
    </row>
    <row r="16735" spans="1:11">
      <c r="A16735" s="33" t="s">
        <v>37491</v>
      </c>
      <c r="B16735" s="33" t="s">
        <v>37492</v>
      </c>
      <c r="C16735" s="33" t="s">
        <v>231</v>
      </c>
      <c r="D16735" s="33" t="s">
        <v>17</v>
      </c>
      <c r="E16735" s="33" t="s">
        <v>26</v>
      </c>
      <c r="F16735" s="33" t="s">
        <v>27</v>
      </c>
      <c r="G16735" s="33" t="s">
        <v>20</v>
      </c>
      <c r="H16735" s="35">
        <v>14</v>
      </c>
      <c r="I16735" s="33" t="s">
        <v>21</v>
      </c>
      <c r="J16735" s="42">
        <v>45140</v>
      </c>
      <c r="K16735" s="33" t="s">
        <v>22</v>
      </c>
    </row>
    <row r="16736" spans="1:11">
      <c r="A16736" s="30" t="s">
        <v>37493</v>
      </c>
      <c r="B16736" s="30" t="s">
        <v>37494</v>
      </c>
      <c r="C16736" s="30" t="s">
        <v>30073</v>
      </c>
      <c r="D16736" s="30" t="s">
        <v>17</v>
      </c>
      <c r="E16736" s="30" t="s">
        <v>26</v>
      </c>
      <c r="F16736" s="30" t="s">
        <v>27</v>
      </c>
      <c r="G16736" s="30" t="s">
        <v>20</v>
      </c>
      <c r="H16736" s="32">
        <v>9</v>
      </c>
      <c r="I16736" s="30" t="s">
        <v>21</v>
      </c>
      <c r="J16736" s="41">
        <v>45265</v>
      </c>
      <c r="K16736" s="30" t="s">
        <v>22</v>
      </c>
    </row>
    <row r="16737" spans="1:11">
      <c r="A16737" s="33" t="s">
        <v>37495</v>
      </c>
      <c r="B16737" s="33" t="s">
        <v>37496</v>
      </c>
      <c r="C16737" s="33" t="s">
        <v>149</v>
      </c>
      <c r="D16737" s="33" t="s">
        <v>17</v>
      </c>
      <c r="E16737" s="33" t="s">
        <v>26</v>
      </c>
      <c r="F16737" s="33" t="s">
        <v>27</v>
      </c>
      <c r="G16737" s="33" t="s">
        <v>20</v>
      </c>
      <c r="H16737" s="35">
        <v>24</v>
      </c>
      <c r="I16737" s="33" t="s">
        <v>21</v>
      </c>
      <c r="J16737" s="42">
        <v>45237</v>
      </c>
      <c r="K16737" s="33" t="s">
        <v>22</v>
      </c>
    </row>
    <row r="16738" spans="1:11">
      <c r="A16738" s="30" t="s">
        <v>37497</v>
      </c>
      <c r="B16738" s="30" t="s">
        <v>37498</v>
      </c>
      <c r="C16738" s="30" t="s">
        <v>37499</v>
      </c>
      <c r="D16738" s="30" t="s">
        <v>17</v>
      </c>
      <c r="E16738" s="30" t="s">
        <v>26</v>
      </c>
      <c r="F16738" s="30" t="s">
        <v>27</v>
      </c>
      <c r="G16738" s="30" t="s">
        <v>20</v>
      </c>
      <c r="H16738" s="32">
        <v>40</v>
      </c>
      <c r="I16738" s="30" t="s">
        <v>21</v>
      </c>
      <c r="J16738" s="41">
        <v>45205</v>
      </c>
      <c r="K16738" s="30" t="s">
        <v>22</v>
      </c>
    </row>
    <row r="16739" spans="1:11">
      <c r="A16739" s="33" t="s">
        <v>37500</v>
      </c>
      <c r="B16739" s="33" t="s">
        <v>37501</v>
      </c>
      <c r="C16739" s="33" t="s">
        <v>1219</v>
      </c>
      <c r="D16739" s="33" t="s">
        <v>17</v>
      </c>
      <c r="E16739" s="33" t="s">
        <v>31</v>
      </c>
      <c r="F16739" s="33" t="s">
        <v>32</v>
      </c>
      <c r="G16739" s="33" t="s">
        <v>140</v>
      </c>
      <c r="H16739" s="35">
        <v>90</v>
      </c>
      <c r="I16739" s="33" t="s">
        <v>51</v>
      </c>
      <c r="J16739" s="42">
        <v>45078</v>
      </c>
      <c r="K16739" s="33" t="s">
        <v>22</v>
      </c>
    </row>
    <row r="16740" spans="1:11">
      <c r="A16740" s="30" t="s">
        <v>37502</v>
      </c>
      <c r="B16740" s="30" t="s">
        <v>37503</v>
      </c>
      <c r="C16740" s="30" t="s">
        <v>7900</v>
      </c>
      <c r="D16740" s="30" t="s">
        <v>17</v>
      </c>
      <c r="E16740" s="30" t="s">
        <v>26</v>
      </c>
      <c r="F16740" s="30" t="s">
        <v>27</v>
      </c>
      <c r="G16740" s="30" t="s">
        <v>20</v>
      </c>
      <c r="H16740" s="32">
        <v>48</v>
      </c>
      <c r="I16740" s="30" t="s">
        <v>21</v>
      </c>
      <c r="J16740" s="41">
        <v>45179</v>
      </c>
      <c r="K16740" s="30" t="s">
        <v>22</v>
      </c>
    </row>
    <row r="16741" spans="1:11">
      <c r="A16741" s="33" t="s">
        <v>37504</v>
      </c>
      <c r="B16741" s="33" t="s">
        <v>37505</v>
      </c>
      <c r="C16741" s="33" t="s">
        <v>6276</v>
      </c>
      <c r="D16741" s="33" t="s">
        <v>17</v>
      </c>
      <c r="E16741" s="33" t="s">
        <v>18</v>
      </c>
      <c r="F16741" s="33" t="s">
        <v>19</v>
      </c>
      <c r="G16741" s="33" t="s">
        <v>140</v>
      </c>
      <c r="H16741" s="35">
        <v>670</v>
      </c>
      <c r="I16741" s="33" t="s">
        <v>51</v>
      </c>
      <c r="J16741" s="42">
        <v>45015</v>
      </c>
      <c r="K16741" s="33" t="s">
        <v>22</v>
      </c>
    </row>
    <row r="16742" spans="1:11">
      <c r="A16742" s="30" t="s">
        <v>37506</v>
      </c>
      <c r="B16742" s="30" t="s">
        <v>37507</v>
      </c>
      <c r="C16742" s="30" t="s">
        <v>3957</v>
      </c>
      <c r="D16742" s="30" t="s">
        <v>17</v>
      </c>
      <c r="E16742" s="30" t="s">
        <v>26</v>
      </c>
      <c r="F16742" s="30" t="s">
        <v>27</v>
      </c>
      <c r="G16742" s="30" t="s">
        <v>50</v>
      </c>
      <c r="H16742" s="32">
        <v>50</v>
      </c>
      <c r="I16742" s="30" t="s">
        <v>51</v>
      </c>
      <c r="J16742" s="41">
        <v>44943</v>
      </c>
      <c r="K16742" s="30" t="s">
        <v>22</v>
      </c>
    </row>
    <row r="16743" spans="1:11">
      <c r="A16743" s="33" t="s">
        <v>37508</v>
      </c>
      <c r="B16743" s="33" t="s">
        <v>37509</v>
      </c>
      <c r="C16743" s="33" t="s">
        <v>11188</v>
      </c>
      <c r="D16743" s="33" t="s">
        <v>17</v>
      </c>
      <c r="E16743" s="33" t="s">
        <v>26</v>
      </c>
      <c r="F16743" s="33" t="s">
        <v>27</v>
      </c>
      <c r="G16743" s="33" t="s">
        <v>20</v>
      </c>
      <c r="H16743" s="35">
        <v>29</v>
      </c>
      <c r="I16743" s="33" t="s">
        <v>21</v>
      </c>
      <c r="J16743" s="42">
        <v>45065</v>
      </c>
      <c r="K16743" s="33" t="s">
        <v>22</v>
      </c>
    </row>
    <row r="16744" spans="1:11">
      <c r="A16744" s="30" t="s">
        <v>37510</v>
      </c>
      <c r="B16744" s="30" t="s">
        <v>37511</v>
      </c>
      <c r="C16744" s="30" t="s">
        <v>30884</v>
      </c>
      <c r="D16744" s="30" t="s">
        <v>17</v>
      </c>
      <c r="E16744" s="30" t="s">
        <v>31</v>
      </c>
      <c r="F16744" s="30" t="s">
        <v>32</v>
      </c>
      <c r="G16744" s="30" t="s">
        <v>140</v>
      </c>
      <c r="H16744" s="32">
        <v>80</v>
      </c>
      <c r="I16744" s="30" t="s">
        <v>51</v>
      </c>
      <c r="J16744" s="41">
        <v>45176</v>
      </c>
      <c r="K16744" s="30" t="s">
        <v>22</v>
      </c>
    </row>
    <row r="16745" spans="1:11">
      <c r="A16745" s="33" t="s">
        <v>37512</v>
      </c>
      <c r="B16745" s="33" t="s">
        <v>37513</v>
      </c>
      <c r="C16745" s="33" t="s">
        <v>252</v>
      </c>
      <c r="D16745" s="33" t="s">
        <v>17</v>
      </c>
      <c r="E16745" s="33" t="s">
        <v>67</v>
      </c>
      <c r="F16745" s="33" t="s">
        <v>68</v>
      </c>
      <c r="G16745" s="33" t="s">
        <v>106</v>
      </c>
      <c r="H16745" s="35">
        <v>59</v>
      </c>
      <c r="I16745" s="33" t="s">
        <v>21</v>
      </c>
      <c r="J16745" s="42">
        <v>44967</v>
      </c>
      <c r="K16745" s="33" t="s">
        <v>22</v>
      </c>
    </row>
    <row r="16746" spans="1:11">
      <c r="A16746" s="30" t="s">
        <v>37514</v>
      </c>
      <c r="B16746" s="30" t="s">
        <v>37515</v>
      </c>
      <c r="C16746" s="30" t="s">
        <v>33065</v>
      </c>
      <c r="D16746" s="30" t="s">
        <v>17</v>
      </c>
      <c r="E16746" s="30" t="s">
        <v>18</v>
      </c>
      <c r="F16746" s="30" t="s">
        <v>19</v>
      </c>
      <c r="G16746" s="30" t="s">
        <v>140</v>
      </c>
      <c r="H16746" s="32">
        <v>410</v>
      </c>
      <c r="I16746" s="30" t="s">
        <v>51</v>
      </c>
      <c r="J16746" s="41">
        <v>45131</v>
      </c>
      <c r="K16746" s="30" t="s">
        <v>22</v>
      </c>
    </row>
    <row r="16747" spans="1:11">
      <c r="A16747" s="33" t="s">
        <v>37516</v>
      </c>
      <c r="B16747" s="33" t="s">
        <v>37517</v>
      </c>
      <c r="C16747" s="33" t="s">
        <v>37518</v>
      </c>
      <c r="D16747" s="33" t="s">
        <v>17</v>
      </c>
      <c r="E16747" s="33" t="s">
        <v>31</v>
      </c>
      <c r="F16747" s="33" t="s">
        <v>32</v>
      </c>
      <c r="G16747" s="33" t="s">
        <v>140</v>
      </c>
      <c r="H16747" s="35">
        <v>120</v>
      </c>
      <c r="I16747" s="33" t="s">
        <v>51</v>
      </c>
      <c r="J16747" s="42">
        <v>45068</v>
      </c>
      <c r="K16747" s="33" t="s">
        <v>22</v>
      </c>
    </row>
    <row r="16748" spans="1:11">
      <c r="A16748" s="30" t="s">
        <v>37519</v>
      </c>
      <c r="B16748" s="30" t="s">
        <v>37520</v>
      </c>
      <c r="C16748" s="30" t="s">
        <v>136</v>
      </c>
      <c r="D16748" s="30" t="s">
        <v>17</v>
      </c>
      <c r="E16748" s="30" t="s">
        <v>18</v>
      </c>
      <c r="F16748" s="30" t="s">
        <v>19</v>
      </c>
      <c r="G16748" s="30" t="s">
        <v>158</v>
      </c>
      <c r="H16748" s="32">
        <v>160</v>
      </c>
      <c r="I16748" s="30" t="s">
        <v>21</v>
      </c>
      <c r="J16748" s="41">
        <v>45215</v>
      </c>
      <c r="K16748" s="30" t="s">
        <v>22</v>
      </c>
    </row>
    <row r="16749" spans="1:11">
      <c r="A16749" s="33" t="s">
        <v>37521</v>
      </c>
      <c r="B16749" s="33" t="s">
        <v>37522</v>
      </c>
      <c r="C16749" s="33" t="s">
        <v>25122</v>
      </c>
      <c r="D16749" s="33" t="s">
        <v>17</v>
      </c>
      <c r="E16749" s="33" t="s">
        <v>31</v>
      </c>
      <c r="F16749" s="33" t="s">
        <v>32</v>
      </c>
      <c r="G16749" s="33" t="s">
        <v>20</v>
      </c>
      <c r="H16749" s="35">
        <v>3</v>
      </c>
      <c r="I16749" s="33" t="s">
        <v>21</v>
      </c>
      <c r="J16749" s="42">
        <v>45145</v>
      </c>
      <c r="K16749" s="33" t="s">
        <v>22</v>
      </c>
    </row>
    <row r="16750" spans="1:11">
      <c r="A16750" s="30" t="s">
        <v>37523</v>
      </c>
      <c r="B16750" s="30" t="s">
        <v>37524</v>
      </c>
      <c r="C16750" s="30" t="s">
        <v>2196</v>
      </c>
      <c r="D16750" s="30" t="s">
        <v>17</v>
      </c>
      <c r="E16750" s="30" t="s">
        <v>26</v>
      </c>
      <c r="F16750" s="30" t="s">
        <v>27</v>
      </c>
      <c r="G16750" s="30" t="s">
        <v>20</v>
      </c>
      <c r="H16750" s="32">
        <v>6</v>
      </c>
      <c r="I16750" s="30" t="s">
        <v>21</v>
      </c>
      <c r="J16750" s="41">
        <v>44965</v>
      </c>
      <c r="K16750" s="30" t="s">
        <v>22</v>
      </c>
    </row>
    <row r="16751" spans="1:11">
      <c r="A16751" s="33" t="s">
        <v>37525</v>
      </c>
      <c r="B16751" s="33" t="s">
        <v>37526</v>
      </c>
      <c r="C16751" s="33" t="s">
        <v>26089</v>
      </c>
      <c r="D16751" s="33" t="s">
        <v>17</v>
      </c>
      <c r="E16751" s="33" t="s">
        <v>26</v>
      </c>
      <c r="F16751" s="33" t="s">
        <v>27</v>
      </c>
      <c r="G16751" s="33" t="s">
        <v>20</v>
      </c>
      <c r="H16751" s="35">
        <v>40</v>
      </c>
      <c r="I16751" s="33" t="s">
        <v>21</v>
      </c>
      <c r="J16751" s="42">
        <v>45223</v>
      </c>
      <c r="K16751" s="33" t="s">
        <v>22</v>
      </c>
    </row>
    <row r="16752" spans="1:11">
      <c r="A16752" s="30" t="s">
        <v>37527</v>
      </c>
      <c r="B16752" s="30" t="s">
        <v>37528</v>
      </c>
      <c r="C16752" s="30" t="s">
        <v>14394</v>
      </c>
      <c r="D16752" s="30" t="s">
        <v>17</v>
      </c>
      <c r="E16752" s="30" t="s">
        <v>67</v>
      </c>
      <c r="F16752" s="30" t="s">
        <v>68</v>
      </c>
      <c r="G16752" s="30" t="s">
        <v>106</v>
      </c>
      <c r="H16752" s="32">
        <v>28</v>
      </c>
      <c r="I16752" s="30" t="s">
        <v>21</v>
      </c>
      <c r="J16752" s="41">
        <v>45287</v>
      </c>
      <c r="K16752" s="30" t="s">
        <v>22</v>
      </c>
    </row>
    <row r="16753" spans="1:11">
      <c r="A16753" s="33" t="s">
        <v>37529</v>
      </c>
      <c r="B16753" s="33" t="s">
        <v>37530</v>
      </c>
      <c r="C16753" s="33" t="s">
        <v>4348</v>
      </c>
      <c r="D16753" s="33" t="s">
        <v>17</v>
      </c>
      <c r="E16753" s="33" t="s">
        <v>67</v>
      </c>
      <c r="F16753" s="33" t="s">
        <v>68</v>
      </c>
      <c r="G16753" s="33" t="s">
        <v>158</v>
      </c>
      <c r="H16753" s="35">
        <v>4</v>
      </c>
      <c r="I16753" s="33" t="s">
        <v>21</v>
      </c>
      <c r="J16753" s="42">
        <v>44978</v>
      </c>
      <c r="K16753" s="33" t="s">
        <v>22</v>
      </c>
    </row>
    <row r="16754" spans="1:11">
      <c r="A16754" s="30" t="s">
        <v>37531</v>
      </c>
      <c r="B16754" s="30" t="s">
        <v>37532</v>
      </c>
      <c r="C16754" s="30" t="s">
        <v>37278</v>
      </c>
      <c r="D16754" s="30" t="s">
        <v>17</v>
      </c>
      <c r="E16754" s="30" t="s">
        <v>31</v>
      </c>
      <c r="F16754" s="30" t="s">
        <v>32</v>
      </c>
      <c r="G16754" s="30" t="s">
        <v>20</v>
      </c>
      <c r="H16754" s="32">
        <v>83</v>
      </c>
      <c r="I16754" s="30" t="s">
        <v>21</v>
      </c>
      <c r="J16754" s="41">
        <v>45036</v>
      </c>
      <c r="K16754" s="30" t="s">
        <v>22</v>
      </c>
    </row>
    <row r="16755" spans="1:11">
      <c r="A16755" s="33" t="s">
        <v>37533</v>
      </c>
      <c r="B16755" s="33" t="s">
        <v>37534</v>
      </c>
      <c r="C16755" s="33" t="s">
        <v>1691</v>
      </c>
      <c r="D16755" s="33" t="s">
        <v>17</v>
      </c>
      <c r="E16755" s="33" t="s">
        <v>67</v>
      </c>
      <c r="F16755" s="33" t="s">
        <v>68</v>
      </c>
      <c r="G16755" s="33" t="s">
        <v>20</v>
      </c>
      <c r="H16755" s="35">
        <v>12</v>
      </c>
      <c r="I16755" s="33" t="s">
        <v>21</v>
      </c>
      <c r="J16755" s="42">
        <v>45061</v>
      </c>
      <c r="K16755" s="33" t="s">
        <v>22</v>
      </c>
    </row>
    <row r="16756" spans="1:11">
      <c r="A16756" s="30" t="s">
        <v>37535</v>
      </c>
      <c r="B16756" s="30" t="s">
        <v>37536</v>
      </c>
      <c r="C16756" s="30" t="s">
        <v>1583</v>
      </c>
      <c r="D16756" s="30" t="s">
        <v>17</v>
      </c>
      <c r="E16756" s="30" t="s">
        <v>26</v>
      </c>
      <c r="F16756" s="30" t="s">
        <v>27</v>
      </c>
      <c r="G16756" s="30" t="s">
        <v>106</v>
      </c>
      <c r="H16756" s="32">
        <v>41</v>
      </c>
      <c r="I16756" s="30" t="s">
        <v>21</v>
      </c>
      <c r="J16756" s="41">
        <v>44929</v>
      </c>
      <c r="K16756" s="30" t="s">
        <v>22</v>
      </c>
    </row>
    <row r="16757" spans="1:11">
      <c r="A16757" s="33" t="s">
        <v>37537</v>
      </c>
      <c r="B16757" s="33" t="s">
        <v>37538</v>
      </c>
      <c r="C16757" s="33" t="s">
        <v>4348</v>
      </c>
      <c r="D16757" s="33" t="s">
        <v>17</v>
      </c>
      <c r="E16757" s="33" t="s">
        <v>31</v>
      </c>
      <c r="F16757" s="33" t="s">
        <v>32</v>
      </c>
      <c r="G16757" s="33" t="s">
        <v>140</v>
      </c>
      <c r="H16757" s="35">
        <v>58</v>
      </c>
      <c r="I16757" s="33" t="s">
        <v>51</v>
      </c>
      <c r="J16757" s="42">
        <v>45272</v>
      </c>
      <c r="K16757" s="33" t="s">
        <v>22</v>
      </c>
    </row>
    <row r="16758" spans="1:11">
      <c r="A16758" s="30" t="s">
        <v>37539</v>
      </c>
      <c r="B16758" s="30" t="s">
        <v>37540</v>
      </c>
      <c r="C16758" s="30" t="s">
        <v>13616</v>
      </c>
      <c r="D16758" s="30" t="s">
        <v>17</v>
      </c>
      <c r="E16758" s="30" t="s">
        <v>26</v>
      </c>
      <c r="F16758" s="30" t="s">
        <v>27</v>
      </c>
      <c r="G16758" s="30" t="s">
        <v>112</v>
      </c>
      <c r="H16758" s="32">
        <v>0</v>
      </c>
      <c r="I16758" s="30" t="s">
        <v>21</v>
      </c>
      <c r="J16758" s="41">
        <v>44986</v>
      </c>
      <c r="K16758" s="30" t="s">
        <v>22</v>
      </c>
    </row>
    <row r="16759" spans="1:11">
      <c r="A16759" s="33" t="s">
        <v>37541</v>
      </c>
      <c r="B16759" s="33" t="s">
        <v>37542</v>
      </c>
      <c r="C16759" s="33" t="s">
        <v>60</v>
      </c>
      <c r="D16759" s="33" t="s">
        <v>17</v>
      </c>
      <c r="E16759" s="33" t="s">
        <v>26</v>
      </c>
      <c r="F16759" s="33" t="s">
        <v>27</v>
      </c>
      <c r="G16759" s="33" t="s">
        <v>20</v>
      </c>
      <c r="H16759" s="35">
        <v>21</v>
      </c>
      <c r="I16759" s="33" t="s">
        <v>21</v>
      </c>
      <c r="J16759" s="42">
        <v>45126</v>
      </c>
      <c r="K16759" s="33" t="s">
        <v>22</v>
      </c>
    </row>
    <row r="16760" spans="1:11">
      <c r="A16760" s="30" t="s">
        <v>37543</v>
      </c>
      <c r="B16760" s="30" t="s">
        <v>37544</v>
      </c>
      <c r="C16760" s="30" t="s">
        <v>7900</v>
      </c>
      <c r="D16760" s="30" t="s">
        <v>17</v>
      </c>
      <c r="E16760" s="30" t="s">
        <v>26</v>
      </c>
      <c r="F16760" s="30" t="s">
        <v>27</v>
      </c>
      <c r="G16760" s="30" t="s">
        <v>20</v>
      </c>
      <c r="H16760" s="32">
        <v>56</v>
      </c>
      <c r="I16760" s="30" t="s">
        <v>21</v>
      </c>
      <c r="J16760" s="41">
        <v>45233</v>
      </c>
      <c r="K16760" s="30" t="s">
        <v>22</v>
      </c>
    </row>
    <row r="16761" spans="1:11">
      <c r="A16761" s="33" t="s">
        <v>37545</v>
      </c>
      <c r="B16761" s="33" t="s">
        <v>37546</v>
      </c>
      <c r="C16761" s="33" t="s">
        <v>787</v>
      </c>
      <c r="D16761" s="33" t="s">
        <v>17</v>
      </c>
      <c r="E16761" s="33" t="s">
        <v>18</v>
      </c>
      <c r="F16761" s="33" t="s">
        <v>19</v>
      </c>
      <c r="G16761" s="33" t="s">
        <v>50</v>
      </c>
      <c r="H16761" s="35">
        <v>195</v>
      </c>
      <c r="I16761" s="33" t="s">
        <v>51</v>
      </c>
      <c r="J16761" s="42">
        <v>45225</v>
      </c>
      <c r="K16761" s="33" t="s">
        <v>22</v>
      </c>
    </row>
    <row r="16762" spans="1:11">
      <c r="A16762" s="30" t="s">
        <v>37547</v>
      </c>
      <c r="B16762" s="30" t="s">
        <v>37548</v>
      </c>
      <c r="C16762" s="30" t="s">
        <v>4328</v>
      </c>
      <c r="D16762" s="30" t="s">
        <v>17</v>
      </c>
      <c r="E16762" s="30" t="s">
        <v>26</v>
      </c>
      <c r="F16762" s="30" t="s">
        <v>27</v>
      </c>
      <c r="G16762" s="30" t="s">
        <v>20</v>
      </c>
      <c r="H16762" s="32">
        <v>22</v>
      </c>
      <c r="I16762" s="30" t="s">
        <v>21</v>
      </c>
      <c r="J16762" s="41">
        <v>45033</v>
      </c>
      <c r="K16762" s="30" t="s">
        <v>22</v>
      </c>
    </row>
    <row r="16763" spans="1:11">
      <c r="A16763" s="33" t="s">
        <v>37549</v>
      </c>
      <c r="B16763" s="33" t="s">
        <v>37550</v>
      </c>
      <c r="C16763" s="33" t="s">
        <v>14684</v>
      </c>
      <c r="D16763" s="33" t="s">
        <v>17</v>
      </c>
      <c r="E16763" s="33" t="s">
        <v>67</v>
      </c>
      <c r="F16763" s="33" t="s">
        <v>68</v>
      </c>
      <c r="G16763" s="33" t="s">
        <v>140</v>
      </c>
      <c r="H16763" s="35">
        <v>16</v>
      </c>
      <c r="I16763" s="33" t="s">
        <v>51</v>
      </c>
      <c r="J16763" s="42">
        <v>45019</v>
      </c>
      <c r="K16763" s="33" t="s">
        <v>22</v>
      </c>
    </row>
    <row r="16764" spans="1:11">
      <c r="A16764" s="30" t="s">
        <v>37551</v>
      </c>
      <c r="B16764" s="30" t="s">
        <v>37552</v>
      </c>
      <c r="C16764" s="30" t="s">
        <v>252</v>
      </c>
      <c r="D16764" s="30" t="s">
        <v>17</v>
      </c>
      <c r="E16764" s="30" t="s">
        <v>26</v>
      </c>
      <c r="F16764" s="30" t="s">
        <v>27</v>
      </c>
      <c r="G16764" s="30" t="s">
        <v>7780</v>
      </c>
      <c r="H16764" s="32">
        <v>72</v>
      </c>
      <c r="I16764" s="30" t="s">
        <v>51</v>
      </c>
      <c r="J16764" s="41">
        <v>45272</v>
      </c>
      <c r="K16764" s="30" t="s">
        <v>22</v>
      </c>
    </row>
    <row r="16765" spans="1:11">
      <c r="A16765" s="33" t="s">
        <v>37553</v>
      </c>
      <c r="B16765" s="33" t="s">
        <v>37554</v>
      </c>
      <c r="C16765" s="33" t="s">
        <v>26497</v>
      </c>
      <c r="D16765" s="33" t="s">
        <v>17</v>
      </c>
      <c r="E16765" s="33" t="s">
        <v>31</v>
      </c>
      <c r="F16765" s="33" t="s">
        <v>32</v>
      </c>
      <c r="G16765" s="33" t="s">
        <v>140</v>
      </c>
      <c r="H16765" s="35">
        <v>66</v>
      </c>
      <c r="I16765" s="33" t="s">
        <v>51</v>
      </c>
      <c r="J16765" s="42">
        <v>45287</v>
      </c>
      <c r="K16765" s="33" t="s">
        <v>22</v>
      </c>
    </row>
    <row r="16766" spans="1:11">
      <c r="A16766" s="30" t="s">
        <v>37555</v>
      </c>
      <c r="B16766" s="30" t="s">
        <v>37556</v>
      </c>
      <c r="C16766" s="30" t="s">
        <v>8755</v>
      </c>
      <c r="D16766" s="30" t="s">
        <v>17</v>
      </c>
      <c r="E16766" s="30" t="s">
        <v>31</v>
      </c>
      <c r="F16766" s="30" t="s">
        <v>32</v>
      </c>
      <c r="G16766" s="30" t="s">
        <v>20</v>
      </c>
      <c r="H16766" s="32">
        <v>31</v>
      </c>
      <c r="I16766" s="30" t="s">
        <v>21</v>
      </c>
      <c r="J16766" s="41">
        <v>45016</v>
      </c>
      <c r="K16766" s="30" t="s">
        <v>22</v>
      </c>
    </row>
    <row r="16767" spans="1:11">
      <c r="A16767" s="33" t="s">
        <v>37557</v>
      </c>
      <c r="B16767" s="33" t="s">
        <v>37558</v>
      </c>
      <c r="C16767" s="33" t="s">
        <v>30547</v>
      </c>
      <c r="D16767" s="33" t="s">
        <v>17</v>
      </c>
      <c r="E16767" s="33" t="s">
        <v>31</v>
      </c>
      <c r="F16767" s="33" t="s">
        <v>32</v>
      </c>
      <c r="G16767" s="33" t="s">
        <v>50</v>
      </c>
      <c r="H16767" s="35">
        <v>10</v>
      </c>
      <c r="I16767" s="33" t="s">
        <v>51</v>
      </c>
      <c r="J16767" s="42">
        <v>45169</v>
      </c>
      <c r="K16767" s="33" t="s">
        <v>22</v>
      </c>
    </row>
    <row r="16768" spans="1:11">
      <c r="A16768" s="30" t="s">
        <v>37559</v>
      </c>
      <c r="B16768" s="30" t="s">
        <v>37560</v>
      </c>
      <c r="C16768" s="30" t="s">
        <v>30667</v>
      </c>
      <c r="D16768" s="30" t="s">
        <v>17</v>
      </c>
      <c r="E16768" s="30" t="s">
        <v>67</v>
      </c>
      <c r="F16768" s="30" t="s">
        <v>68</v>
      </c>
      <c r="G16768" s="30" t="s">
        <v>140</v>
      </c>
      <c r="H16768" s="32">
        <v>30</v>
      </c>
      <c r="I16768" s="30" t="s">
        <v>51</v>
      </c>
      <c r="J16768" s="41">
        <v>45219</v>
      </c>
      <c r="K16768" s="30" t="s">
        <v>22</v>
      </c>
    </row>
    <row r="16769" spans="1:11">
      <c r="A16769" s="33" t="s">
        <v>37561</v>
      </c>
      <c r="B16769" s="33" t="s">
        <v>37562</v>
      </c>
      <c r="C16769" s="33" t="s">
        <v>37563</v>
      </c>
      <c r="D16769" s="33" t="s">
        <v>17</v>
      </c>
      <c r="E16769" s="33" t="s">
        <v>26</v>
      </c>
      <c r="F16769" s="33" t="s">
        <v>27</v>
      </c>
      <c r="G16769" s="33" t="s">
        <v>20</v>
      </c>
      <c r="H16769" s="35">
        <v>67</v>
      </c>
      <c r="I16769" s="33" t="s">
        <v>21</v>
      </c>
      <c r="J16769" s="42">
        <v>45209</v>
      </c>
      <c r="K16769" s="33" t="s">
        <v>22</v>
      </c>
    </row>
    <row r="16770" spans="1:11">
      <c r="A16770" s="30" t="s">
        <v>37564</v>
      </c>
      <c r="B16770" s="30" t="s">
        <v>37565</v>
      </c>
      <c r="C16770" s="30" t="s">
        <v>109</v>
      </c>
      <c r="D16770" s="30" t="s">
        <v>17</v>
      </c>
      <c r="E16770" s="30" t="s">
        <v>31</v>
      </c>
      <c r="F16770" s="30" t="s">
        <v>32</v>
      </c>
      <c r="G16770" s="30" t="s">
        <v>20</v>
      </c>
      <c r="H16770" s="32">
        <v>24</v>
      </c>
      <c r="I16770" s="30" t="s">
        <v>21</v>
      </c>
      <c r="J16770" s="41">
        <v>45215</v>
      </c>
      <c r="K16770" s="30" t="s">
        <v>22</v>
      </c>
    </row>
    <row r="16771" spans="1:11">
      <c r="A16771" s="33" t="s">
        <v>37566</v>
      </c>
      <c r="B16771" s="33" t="s">
        <v>37567</v>
      </c>
      <c r="C16771" s="33" t="s">
        <v>37100</v>
      </c>
      <c r="D16771" s="33" t="s">
        <v>17</v>
      </c>
      <c r="E16771" s="33" t="s">
        <v>31</v>
      </c>
      <c r="F16771" s="33" t="s">
        <v>32</v>
      </c>
      <c r="G16771" s="33" t="s">
        <v>50</v>
      </c>
      <c r="H16771" s="35">
        <v>140</v>
      </c>
      <c r="I16771" s="33" t="s">
        <v>51</v>
      </c>
      <c r="J16771" s="42">
        <v>45180</v>
      </c>
      <c r="K16771" s="33" t="s">
        <v>22</v>
      </c>
    </row>
    <row r="16772" spans="1:11">
      <c r="A16772" s="30" t="s">
        <v>37568</v>
      </c>
      <c r="B16772" s="30" t="s">
        <v>37569</v>
      </c>
      <c r="C16772" s="30" t="s">
        <v>11332</v>
      </c>
      <c r="D16772" s="30" t="s">
        <v>17</v>
      </c>
      <c r="E16772" s="30" t="s">
        <v>31</v>
      </c>
      <c r="F16772" s="30" t="s">
        <v>32</v>
      </c>
      <c r="G16772" s="30" t="s">
        <v>158</v>
      </c>
      <c r="H16772" s="32">
        <v>100</v>
      </c>
      <c r="I16772" s="30" t="s">
        <v>51</v>
      </c>
      <c r="J16772" s="41">
        <v>45233</v>
      </c>
      <c r="K16772" s="30" t="s">
        <v>22</v>
      </c>
    </row>
    <row r="16773" spans="1:11">
      <c r="A16773" s="33" t="s">
        <v>37570</v>
      </c>
      <c r="B16773" s="33" t="s">
        <v>37571</v>
      </c>
      <c r="C16773" s="33" t="s">
        <v>2313</v>
      </c>
      <c r="D16773" s="33" t="s">
        <v>17</v>
      </c>
      <c r="E16773" s="33" t="s">
        <v>26</v>
      </c>
      <c r="F16773" s="33" t="s">
        <v>27</v>
      </c>
      <c r="G16773" s="33" t="s">
        <v>140</v>
      </c>
      <c r="H16773" s="35">
        <v>210</v>
      </c>
      <c r="I16773" s="33" t="s">
        <v>51</v>
      </c>
      <c r="J16773" s="42">
        <v>45048</v>
      </c>
      <c r="K16773" s="33" t="s">
        <v>22</v>
      </c>
    </row>
    <row r="16774" spans="1:11">
      <c r="A16774" s="30" t="s">
        <v>37572</v>
      </c>
      <c r="B16774" s="30" t="s">
        <v>37573</v>
      </c>
      <c r="C16774" s="30" t="s">
        <v>2472</v>
      </c>
      <c r="D16774" s="30" t="s">
        <v>17</v>
      </c>
      <c r="E16774" s="30" t="s">
        <v>31</v>
      </c>
      <c r="F16774" s="30" t="s">
        <v>32</v>
      </c>
      <c r="G16774" s="30" t="s">
        <v>20</v>
      </c>
      <c r="H16774" s="32">
        <v>346</v>
      </c>
      <c r="I16774" s="30" t="s">
        <v>21</v>
      </c>
      <c r="J16774" s="41">
        <v>45223</v>
      </c>
      <c r="K16774" s="30" t="s">
        <v>22</v>
      </c>
    </row>
    <row r="16775" spans="1:11">
      <c r="A16775" s="33" t="s">
        <v>37574</v>
      </c>
      <c r="B16775" s="33" t="s">
        <v>37575</v>
      </c>
      <c r="C16775" s="33" t="s">
        <v>78</v>
      </c>
      <c r="D16775" s="33" t="s">
        <v>17</v>
      </c>
      <c r="E16775" s="33" t="s">
        <v>26</v>
      </c>
      <c r="F16775" s="33" t="s">
        <v>27</v>
      </c>
      <c r="G16775" s="33" t="s">
        <v>20</v>
      </c>
      <c r="H16775" s="35">
        <v>44</v>
      </c>
      <c r="I16775" s="33" t="s">
        <v>21</v>
      </c>
      <c r="J16775" s="42">
        <v>45111</v>
      </c>
      <c r="K16775" s="33" t="s">
        <v>22</v>
      </c>
    </row>
    <row r="16776" spans="1:11">
      <c r="A16776" s="30" t="s">
        <v>37576</v>
      </c>
      <c r="B16776" s="30" t="s">
        <v>37577</v>
      </c>
      <c r="C16776" s="30" t="s">
        <v>149</v>
      </c>
      <c r="D16776" s="30" t="s">
        <v>17</v>
      </c>
      <c r="E16776" s="30" t="s">
        <v>67</v>
      </c>
      <c r="F16776" s="30" t="s">
        <v>68</v>
      </c>
      <c r="G16776" s="30" t="s">
        <v>20</v>
      </c>
      <c r="H16776" s="32">
        <v>24</v>
      </c>
      <c r="I16776" s="30" t="s">
        <v>21</v>
      </c>
      <c r="J16776" s="41">
        <v>45104</v>
      </c>
      <c r="K16776" s="30" t="s">
        <v>22</v>
      </c>
    </row>
    <row r="16777" spans="1:11">
      <c r="A16777" s="33" t="s">
        <v>37578</v>
      </c>
      <c r="B16777" s="33" t="s">
        <v>37579</v>
      </c>
      <c r="C16777" s="33" t="s">
        <v>14643</v>
      </c>
      <c r="D16777" s="33" t="s">
        <v>17</v>
      </c>
      <c r="E16777" s="33" t="s">
        <v>67</v>
      </c>
      <c r="F16777" s="33" t="s">
        <v>68</v>
      </c>
      <c r="G16777" s="33" t="s">
        <v>140</v>
      </c>
      <c r="H16777" s="35">
        <v>132</v>
      </c>
      <c r="I16777" s="33" t="s">
        <v>51</v>
      </c>
      <c r="J16777" s="42">
        <v>45105</v>
      </c>
      <c r="K16777" s="33" t="s">
        <v>22</v>
      </c>
    </row>
    <row r="16778" spans="1:11">
      <c r="A16778" s="30" t="s">
        <v>37580</v>
      </c>
      <c r="B16778" s="30" t="s">
        <v>37581</v>
      </c>
      <c r="C16778" s="30" t="s">
        <v>3459</v>
      </c>
      <c r="D16778" s="30" t="s">
        <v>17</v>
      </c>
      <c r="E16778" s="30" t="s">
        <v>18</v>
      </c>
      <c r="F16778" s="30" t="s">
        <v>19</v>
      </c>
      <c r="G16778" s="30" t="s">
        <v>158</v>
      </c>
      <c r="H16778" s="32">
        <v>422</v>
      </c>
      <c r="I16778" s="30" t="s">
        <v>21</v>
      </c>
      <c r="J16778" s="41">
        <v>45132</v>
      </c>
      <c r="K16778" s="30" t="s">
        <v>22</v>
      </c>
    </row>
    <row r="16779" spans="1:11">
      <c r="A16779" s="33" t="s">
        <v>37582</v>
      </c>
      <c r="B16779" s="33" t="s">
        <v>37583</v>
      </c>
      <c r="C16779" s="33" t="s">
        <v>37584</v>
      </c>
      <c r="D16779" s="33" t="s">
        <v>17</v>
      </c>
      <c r="E16779" s="33" t="s">
        <v>26</v>
      </c>
      <c r="F16779" s="33" t="s">
        <v>27</v>
      </c>
      <c r="G16779" s="33" t="s">
        <v>158</v>
      </c>
      <c r="H16779" s="35">
        <v>204</v>
      </c>
      <c r="I16779" s="33" t="s">
        <v>51</v>
      </c>
      <c r="J16779" s="42">
        <v>45216</v>
      </c>
      <c r="K16779" s="33" t="s">
        <v>22</v>
      </c>
    </row>
    <row r="16780" spans="1:11">
      <c r="A16780" s="30" t="s">
        <v>37585</v>
      </c>
      <c r="B16780" s="30" t="s">
        <v>37586</v>
      </c>
      <c r="C16780" s="30" t="s">
        <v>37587</v>
      </c>
      <c r="D16780" s="30" t="s">
        <v>17</v>
      </c>
      <c r="E16780" s="30" t="s">
        <v>18</v>
      </c>
      <c r="F16780" s="30" t="s">
        <v>19</v>
      </c>
      <c r="G16780" s="30" t="s">
        <v>140</v>
      </c>
      <c r="H16780" s="32">
        <v>404</v>
      </c>
      <c r="I16780" s="30" t="s">
        <v>51</v>
      </c>
      <c r="J16780" s="41">
        <v>45265</v>
      </c>
      <c r="K16780" s="30" t="s">
        <v>22</v>
      </c>
    </row>
    <row r="16781" spans="1:11">
      <c r="A16781" s="33" t="s">
        <v>37588</v>
      </c>
      <c r="B16781" s="33" t="s">
        <v>37589</v>
      </c>
      <c r="C16781" s="33" t="s">
        <v>37590</v>
      </c>
      <c r="D16781" s="33" t="s">
        <v>17</v>
      </c>
      <c r="E16781" s="33" t="s">
        <v>67</v>
      </c>
      <c r="F16781" s="33" t="s">
        <v>68</v>
      </c>
      <c r="G16781" s="33" t="s">
        <v>140</v>
      </c>
      <c r="H16781" s="35">
        <v>150</v>
      </c>
      <c r="I16781" s="33" t="s">
        <v>51</v>
      </c>
      <c r="J16781" s="42">
        <v>45270</v>
      </c>
      <c r="K16781" s="33" t="s">
        <v>22</v>
      </c>
    </row>
    <row r="16782" spans="1:11">
      <c r="A16782" s="30" t="s">
        <v>37591</v>
      </c>
      <c r="B16782" s="30" t="s">
        <v>37592</v>
      </c>
      <c r="C16782" s="30" t="s">
        <v>22722</v>
      </c>
      <c r="D16782" s="30" t="s">
        <v>17</v>
      </c>
      <c r="E16782" s="30" t="s">
        <v>26</v>
      </c>
      <c r="F16782" s="30" t="s">
        <v>27</v>
      </c>
      <c r="G16782" s="30" t="s">
        <v>2613</v>
      </c>
      <c r="H16782" s="32">
        <v>9</v>
      </c>
      <c r="I16782" s="30" t="s">
        <v>51</v>
      </c>
      <c r="J16782" s="41">
        <v>45118</v>
      </c>
      <c r="K16782" s="30" t="s">
        <v>22</v>
      </c>
    </row>
    <row r="16783" spans="1:11">
      <c r="A16783" s="33" t="s">
        <v>37593</v>
      </c>
      <c r="B16783" s="33" t="s">
        <v>37594</v>
      </c>
      <c r="C16783" s="33" t="s">
        <v>22403</v>
      </c>
      <c r="D16783" s="33" t="s">
        <v>17</v>
      </c>
      <c r="E16783" s="33" t="s">
        <v>26</v>
      </c>
      <c r="F16783" s="33" t="s">
        <v>27</v>
      </c>
      <c r="G16783" s="33" t="s">
        <v>20</v>
      </c>
      <c r="H16783" s="35">
        <v>36</v>
      </c>
      <c r="I16783" s="33" t="s">
        <v>21</v>
      </c>
      <c r="J16783" s="42">
        <v>44928</v>
      </c>
      <c r="K16783" s="33" t="s">
        <v>22</v>
      </c>
    </row>
    <row r="16784" spans="1:11">
      <c r="A16784" s="30" t="s">
        <v>37595</v>
      </c>
      <c r="B16784" s="30" t="s">
        <v>37596</v>
      </c>
      <c r="C16784" s="30" t="s">
        <v>20189</v>
      </c>
      <c r="D16784" s="30" t="s">
        <v>17</v>
      </c>
      <c r="E16784" s="30" t="s">
        <v>26</v>
      </c>
      <c r="F16784" s="30" t="s">
        <v>27</v>
      </c>
      <c r="G16784" s="30" t="s">
        <v>69</v>
      </c>
      <c r="H16784" s="32">
        <v>9</v>
      </c>
      <c r="I16784" s="30" t="s">
        <v>51</v>
      </c>
      <c r="J16784" s="41">
        <v>45205</v>
      </c>
      <c r="K16784" s="30" t="s">
        <v>22</v>
      </c>
    </row>
    <row r="16785" spans="1:11">
      <c r="A16785" s="33" t="s">
        <v>37597</v>
      </c>
      <c r="B16785" s="33" t="s">
        <v>37598</v>
      </c>
      <c r="C16785" s="33" t="s">
        <v>93</v>
      </c>
      <c r="D16785" s="33" t="s">
        <v>17</v>
      </c>
      <c r="E16785" s="33" t="s">
        <v>18</v>
      </c>
      <c r="F16785" s="33" t="s">
        <v>19</v>
      </c>
      <c r="G16785" s="33" t="s">
        <v>158</v>
      </c>
      <c r="H16785" s="35">
        <v>157</v>
      </c>
      <c r="I16785" s="33" t="s">
        <v>21</v>
      </c>
      <c r="J16785" s="42">
        <v>45251</v>
      </c>
      <c r="K16785" s="33" t="s">
        <v>22</v>
      </c>
    </row>
    <row r="16786" spans="1:11">
      <c r="A16786" s="30" t="s">
        <v>37599</v>
      </c>
      <c r="B16786" s="30" t="s">
        <v>37600</v>
      </c>
      <c r="C16786" s="30" t="s">
        <v>5312</v>
      </c>
      <c r="D16786" s="30" t="s">
        <v>17</v>
      </c>
      <c r="E16786" s="30" t="s">
        <v>31</v>
      </c>
      <c r="F16786" s="30" t="s">
        <v>32</v>
      </c>
      <c r="G16786" s="30" t="s">
        <v>20</v>
      </c>
      <c r="H16786" s="32">
        <v>38</v>
      </c>
      <c r="I16786" s="30" t="s">
        <v>21</v>
      </c>
      <c r="J16786" s="41">
        <v>45110</v>
      </c>
      <c r="K16786" s="30" t="s">
        <v>22</v>
      </c>
    </row>
    <row r="16787" spans="1:11">
      <c r="A16787" s="33" t="s">
        <v>37601</v>
      </c>
      <c r="B16787" s="33" t="s">
        <v>37602</v>
      </c>
      <c r="C16787" s="33" t="s">
        <v>2866</v>
      </c>
      <c r="D16787" s="33" t="s">
        <v>17</v>
      </c>
      <c r="E16787" s="33" t="s">
        <v>18</v>
      </c>
      <c r="F16787" s="33" t="s">
        <v>19</v>
      </c>
      <c r="G16787" s="33" t="s">
        <v>140</v>
      </c>
      <c r="H16787" s="35">
        <v>630</v>
      </c>
      <c r="I16787" s="33" t="s">
        <v>51</v>
      </c>
      <c r="J16787" s="42">
        <v>45105</v>
      </c>
      <c r="K16787" s="33" t="s">
        <v>22</v>
      </c>
    </row>
    <row r="16788" spans="1:11">
      <c r="A16788" s="30" t="s">
        <v>37603</v>
      </c>
      <c r="B16788" s="30" t="s">
        <v>37604</v>
      </c>
      <c r="C16788" s="30" t="s">
        <v>37605</v>
      </c>
      <c r="D16788" s="30" t="s">
        <v>17</v>
      </c>
      <c r="E16788" s="30" t="s">
        <v>67</v>
      </c>
      <c r="F16788" s="30" t="s">
        <v>68</v>
      </c>
      <c r="G16788" s="30" t="s">
        <v>50</v>
      </c>
      <c r="H16788" s="32">
        <v>52</v>
      </c>
      <c r="I16788" s="30" t="s">
        <v>51</v>
      </c>
      <c r="J16788" s="41">
        <v>45082</v>
      </c>
      <c r="K16788" s="30" t="s">
        <v>22</v>
      </c>
    </row>
    <row r="16789" spans="1:11">
      <c r="A16789" s="33" t="s">
        <v>37606</v>
      </c>
      <c r="B16789" s="33" t="s">
        <v>37607</v>
      </c>
      <c r="C16789" s="33" t="s">
        <v>1796</v>
      </c>
      <c r="D16789" s="33" t="s">
        <v>17</v>
      </c>
      <c r="E16789" s="33" t="s">
        <v>67</v>
      </c>
      <c r="F16789" s="33" t="s">
        <v>68</v>
      </c>
      <c r="G16789" s="33" t="s">
        <v>140</v>
      </c>
      <c r="H16789" s="35">
        <v>350</v>
      </c>
      <c r="I16789" s="33" t="s">
        <v>51</v>
      </c>
      <c r="J16789" s="42">
        <v>45261</v>
      </c>
      <c r="K16789" s="33" t="s">
        <v>22</v>
      </c>
    </row>
    <row r="16790" spans="1:11">
      <c r="A16790" s="30" t="s">
        <v>37608</v>
      </c>
      <c r="B16790" s="30" t="s">
        <v>37609</v>
      </c>
      <c r="C16790" s="30" t="s">
        <v>2079</v>
      </c>
      <c r="D16790" s="30" t="s">
        <v>17</v>
      </c>
      <c r="E16790" s="30" t="s">
        <v>26</v>
      </c>
      <c r="F16790" s="30" t="s">
        <v>27</v>
      </c>
      <c r="G16790" s="30" t="s">
        <v>106</v>
      </c>
      <c r="H16790" s="32">
        <v>12</v>
      </c>
      <c r="I16790" s="30" t="s">
        <v>21</v>
      </c>
      <c r="J16790" s="41">
        <v>45015</v>
      </c>
      <c r="K16790" s="30" t="s">
        <v>22</v>
      </c>
    </row>
    <row r="16791" spans="1:11">
      <c r="A16791" s="33" t="s">
        <v>37610</v>
      </c>
      <c r="B16791" s="33" t="s">
        <v>37611</v>
      </c>
      <c r="C16791" s="33" t="s">
        <v>2001</v>
      </c>
      <c r="D16791" s="33" t="s">
        <v>17</v>
      </c>
      <c r="E16791" s="33" t="s">
        <v>31</v>
      </c>
      <c r="F16791" s="33" t="s">
        <v>32</v>
      </c>
      <c r="G16791" s="33" t="s">
        <v>20</v>
      </c>
      <c r="H16791" s="35">
        <v>168</v>
      </c>
      <c r="I16791" s="33" t="s">
        <v>21</v>
      </c>
      <c r="J16791" s="42">
        <v>45282</v>
      </c>
      <c r="K16791" s="33" t="s">
        <v>22</v>
      </c>
    </row>
    <row r="16792" spans="1:11">
      <c r="A16792" s="30" t="s">
        <v>37612</v>
      </c>
      <c r="B16792" s="30" t="s">
        <v>37613</v>
      </c>
      <c r="C16792" s="30" t="s">
        <v>1343</v>
      </c>
      <c r="D16792" s="30" t="s">
        <v>17</v>
      </c>
      <c r="E16792" s="30" t="s">
        <v>212</v>
      </c>
      <c r="F16792" s="30" t="s">
        <v>213</v>
      </c>
      <c r="G16792" s="30" t="s">
        <v>20</v>
      </c>
      <c r="H16792" s="32">
        <v>10</v>
      </c>
      <c r="I16792" s="30" t="s">
        <v>21</v>
      </c>
      <c r="J16792" s="41">
        <v>45245</v>
      </c>
      <c r="K16792" s="30" t="s">
        <v>22</v>
      </c>
    </row>
    <row r="16793" spans="1:11">
      <c r="A16793" s="33" t="s">
        <v>37614</v>
      </c>
      <c r="B16793" s="33" t="s">
        <v>37615</v>
      </c>
      <c r="C16793" s="33" t="s">
        <v>3641</v>
      </c>
      <c r="D16793" s="33" t="s">
        <v>17</v>
      </c>
      <c r="E16793" s="33" t="s">
        <v>45</v>
      </c>
      <c r="F16793" s="33" t="s">
        <v>46</v>
      </c>
      <c r="G16793" s="33" t="s">
        <v>140</v>
      </c>
      <c r="H16793" s="35">
        <v>268</v>
      </c>
      <c r="I16793" s="33" t="s">
        <v>51</v>
      </c>
      <c r="J16793" s="42">
        <v>45124</v>
      </c>
      <c r="K16793" s="33" t="s">
        <v>22</v>
      </c>
    </row>
    <row r="16794" spans="1:11">
      <c r="A16794" s="30" t="s">
        <v>37616</v>
      </c>
      <c r="B16794" s="30" t="s">
        <v>37617</v>
      </c>
      <c r="C16794" s="30" t="s">
        <v>570</v>
      </c>
      <c r="D16794" s="30" t="s">
        <v>17</v>
      </c>
      <c r="E16794" s="30" t="s">
        <v>26</v>
      </c>
      <c r="F16794" s="30" t="s">
        <v>27</v>
      </c>
      <c r="G16794" s="30" t="s">
        <v>50</v>
      </c>
      <c r="H16794" s="32">
        <v>148</v>
      </c>
      <c r="I16794" s="30" t="s">
        <v>51</v>
      </c>
      <c r="J16794" s="41">
        <v>45107</v>
      </c>
      <c r="K16794" s="30" t="s">
        <v>22</v>
      </c>
    </row>
    <row r="16795" spans="1:11">
      <c r="A16795" s="33" t="s">
        <v>37618</v>
      </c>
      <c r="B16795" s="33" t="s">
        <v>37619</v>
      </c>
      <c r="C16795" s="33" t="s">
        <v>75</v>
      </c>
      <c r="D16795" s="33" t="s">
        <v>17</v>
      </c>
      <c r="E16795" s="33" t="s">
        <v>67</v>
      </c>
      <c r="F16795" s="33" t="s">
        <v>68</v>
      </c>
      <c r="G16795" s="33" t="s">
        <v>158</v>
      </c>
      <c r="H16795" s="35">
        <v>100</v>
      </c>
      <c r="I16795" s="33" t="s">
        <v>51</v>
      </c>
      <c r="J16795" s="42">
        <v>45083</v>
      </c>
      <c r="K16795" s="33" t="s">
        <v>22</v>
      </c>
    </row>
    <row r="16796" spans="1:11">
      <c r="A16796" s="30" t="s">
        <v>37620</v>
      </c>
      <c r="B16796" s="30" t="s">
        <v>37621</v>
      </c>
      <c r="C16796" s="30" t="s">
        <v>228</v>
      </c>
      <c r="D16796" s="30" t="s">
        <v>17</v>
      </c>
      <c r="E16796" s="30" t="s">
        <v>18</v>
      </c>
      <c r="F16796" s="30" t="s">
        <v>19</v>
      </c>
      <c r="G16796" s="30" t="s">
        <v>106</v>
      </c>
      <c r="H16796" s="32">
        <v>2</v>
      </c>
      <c r="I16796" s="30" t="s">
        <v>21</v>
      </c>
      <c r="J16796" s="41">
        <v>44957</v>
      </c>
      <c r="K16796" s="30" t="s">
        <v>22</v>
      </c>
    </row>
    <row r="16797" spans="1:11">
      <c r="A16797" s="33" t="s">
        <v>37622</v>
      </c>
      <c r="B16797" s="33" t="s">
        <v>37623</v>
      </c>
      <c r="C16797" s="33" t="s">
        <v>3775</v>
      </c>
      <c r="D16797" s="33" t="s">
        <v>17</v>
      </c>
      <c r="E16797" s="33" t="s">
        <v>26</v>
      </c>
      <c r="F16797" s="33" t="s">
        <v>27</v>
      </c>
      <c r="G16797" s="33" t="s">
        <v>20</v>
      </c>
      <c r="H16797" s="35">
        <v>57</v>
      </c>
      <c r="I16797" s="33" t="s">
        <v>21</v>
      </c>
      <c r="J16797" s="42">
        <v>45148</v>
      </c>
      <c r="K16797" s="33" t="s">
        <v>22</v>
      </c>
    </row>
    <row r="16798" spans="1:11">
      <c r="A16798" s="30" t="s">
        <v>37624</v>
      </c>
      <c r="B16798" s="30" t="s">
        <v>37625</v>
      </c>
      <c r="C16798" s="30" t="s">
        <v>891</v>
      </c>
      <c r="D16798" s="30" t="s">
        <v>17</v>
      </c>
      <c r="E16798" s="30" t="s">
        <v>31</v>
      </c>
      <c r="F16798" s="30" t="s">
        <v>32</v>
      </c>
      <c r="G16798" s="30" t="s">
        <v>50</v>
      </c>
      <c r="H16798" s="32">
        <v>70</v>
      </c>
      <c r="I16798" s="30" t="s">
        <v>51</v>
      </c>
      <c r="J16798" s="41">
        <v>44994</v>
      </c>
      <c r="K16798" s="30" t="s">
        <v>22</v>
      </c>
    </row>
    <row r="16799" spans="1:11">
      <c r="A16799" s="33" t="s">
        <v>37626</v>
      </c>
      <c r="B16799" s="33" t="s">
        <v>37627</v>
      </c>
      <c r="C16799" s="33" t="s">
        <v>22647</v>
      </c>
      <c r="D16799" s="33" t="s">
        <v>17</v>
      </c>
      <c r="E16799" s="33" t="s">
        <v>26</v>
      </c>
      <c r="F16799" s="33" t="s">
        <v>27</v>
      </c>
      <c r="G16799" s="33" t="s">
        <v>20</v>
      </c>
      <c r="H16799" s="35">
        <v>25</v>
      </c>
      <c r="I16799" s="33" t="s">
        <v>21</v>
      </c>
      <c r="J16799" s="42">
        <v>45267</v>
      </c>
      <c r="K16799" s="33" t="s">
        <v>22</v>
      </c>
    </row>
    <row r="16800" spans="1:11">
      <c r="A16800" s="30" t="s">
        <v>37628</v>
      </c>
      <c r="B16800" s="30" t="s">
        <v>37629</v>
      </c>
      <c r="C16800" s="30" t="s">
        <v>37630</v>
      </c>
      <c r="D16800" s="30" t="s">
        <v>17</v>
      </c>
      <c r="E16800" s="30" t="s">
        <v>26</v>
      </c>
      <c r="F16800" s="30" t="s">
        <v>27</v>
      </c>
      <c r="G16800" s="30" t="s">
        <v>140</v>
      </c>
      <c r="H16800" s="32">
        <v>6</v>
      </c>
      <c r="I16800" s="30" t="s">
        <v>51</v>
      </c>
      <c r="J16800" s="41">
        <v>45070</v>
      </c>
      <c r="K16800" s="30" t="s">
        <v>22</v>
      </c>
    </row>
    <row r="16801" spans="1:11">
      <c r="A16801" s="33" t="s">
        <v>37631</v>
      </c>
      <c r="B16801" s="33" t="s">
        <v>37632</v>
      </c>
      <c r="C16801" s="33" t="s">
        <v>187</v>
      </c>
      <c r="D16801" s="33" t="s">
        <v>17</v>
      </c>
      <c r="E16801" s="33" t="s">
        <v>67</v>
      </c>
      <c r="F16801" s="33" t="s">
        <v>68</v>
      </c>
      <c r="G16801" s="33" t="s">
        <v>50</v>
      </c>
      <c r="H16801" s="35">
        <v>65</v>
      </c>
      <c r="I16801" s="33" t="s">
        <v>51</v>
      </c>
      <c r="J16801" s="42">
        <v>44987</v>
      </c>
      <c r="K16801" s="33" t="s">
        <v>22</v>
      </c>
    </row>
    <row r="16802" spans="1:11">
      <c r="A16802" s="30" t="s">
        <v>37633</v>
      </c>
      <c r="B16802" s="30" t="s">
        <v>37634</v>
      </c>
      <c r="C16802" s="30" t="s">
        <v>109</v>
      </c>
      <c r="D16802" s="30" t="s">
        <v>17</v>
      </c>
      <c r="E16802" s="30" t="s">
        <v>18</v>
      </c>
      <c r="F16802" s="30" t="s">
        <v>19</v>
      </c>
      <c r="G16802" s="30" t="s">
        <v>158</v>
      </c>
      <c r="H16802" s="32">
        <v>14012</v>
      </c>
      <c r="I16802" s="30" t="s">
        <v>21</v>
      </c>
      <c r="J16802" s="41">
        <v>44994</v>
      </c>
      <c r="K16802" s="30" t="s">
        <v>22</v>
      </c>
    </row>
    <row r="16803" spans="1:11">
      <c r="A16803" s="33" t="s">
        <v>37635</v>
      </c>
      <c r="B16803" s="33" t="s">
        <v>37636</v>
      </c>
      <c r="C16803" s="33" t="s">
        <v>3944</v>
      </c>
      <c r="D16803" s="33" t="s">
        <v>17</v>
      </c>
      <c r="E16803" s="33" t="s">
        <v>26</v>
      </c>
      <c r="F16803" s="33" t="s">
        <v>27</v>
      </c>
      <c r="G16803" s="33" t="s">
        <v>140</v>
      </c>
      <c r="H16803" s="35">
        <v>48</v>
      </c>
      <c r="I16803" s="33" t="s">
        <v>51</v>
      </c>
      <c r="J16803" s="42">
        <v>45260</v>
      </c>
      <c r="K16803" s="33" t="s">
        <v>22</v>
      </c>
    </row>
    <row r="16804" spans="1:11">
      <c r="A16804" s="30" t="s">
        <v>37637</v>
      </c>
      <c r="B16804" s="30" t="s">
        <v>37638</v>
      </c>
      <c r="C16804" s="30" t="s">
        <v>899</v>
      </c>
      <c r="D16804" s="30" t="s">
        <v>17</v>
      </c>
      <c r="E16804" s="30" t="s">
        <v>31</v>
      </c>
      <c r="F16804" s="30" t="s">
        <v>32</v>
      </c>
      <c r="G16804" s="30" t="s">
        <v>140</v>
      </c>
      <c r="H16804" s="32">
        <v>110</v>
      </c>
      <c r="I16804" s="30" t="s">
        <v>51</v>
      </c>
      <c r="J16804" s="41">
        <v>44972</v>
      </c>
      <c r="K16804" s="30" t="s">
        <v>22</v>
      </c>
    </row>
    <row r="16805" spans="1:11">
      <c r="A16805" s="33" t="s">
        <v>37639</v>
      </c>
      <c r="B16805" s="33" t="s">
        <v>37640</v>
      </c>
      <c r="C16805" s="33" t="s">
        <v>190</v>
      </c>
      <c r="D16805" s="33" t="s">
        <v>17</v>
      </c>
      <c r="E16805" s="33" t="s">
        <v>67</v>
      </c>
      <c r="F16805" s="33" t="s">
        <v>68</v>
      </c>
      <c r="G16805" s="33" t="s">
        <v>140</v>
      </c>
      <c r="H16805" s="35">
        <v>564</v>
      </c>
      <c r="I16805" s="33" t="s">
        <v>51</v>
      </c>
      <c r="J16805" s="42">
        <v>45265</v>
      </c>
      <c r="K16805" s="33" t="s">
        <v>22</v>
      </c>
    </row>
    <row r="16806" spans="1:11">
      <c r="A16806" s="30" t="s">
        <v>37641</v>
      </c>
      <c r="B16806" s="30" t="s">
        <v>37642</v>
      </c>
      <c r="C16806" s="30" t="s">
        <v>37643</v>
      </c>
      <c r="D16806" s="30" t="s">
        <v>17</v>
      </c>
      <c r="E16806" s="30" t="s">
        <v>26</v>
      </c>
      <c r="F16806" s="30" t="s">
        <v>27</v>
      </c>
      <c r="G16806" s="30" t="s">
        <v>20</v>
      </c>
      <c r="H16806" s="32">
        <v>40</v>
      </c>
      <c r="I16806" s="30" t="s">
        <v>21</v>
      </c>
      <c r="J16806" s="41">
        <v>45252</v>
      </c>
      <c r="K16806" s="30" t="s">
        <v>22</v>
      </c>
    </row>
    <row r="16807" spans="1:11">
      <c r="A16807" s="33" t="s">
        <v>37644</v>
      </c>
      <c r="B16807" s="33" t="s">
        <v>37645</v>
      </c>
      <c r="C16807" s="33" t="s">
        <v>1072</v>
      </c>
      <c r="D16807" s="33" t="s">
        <v>17</v>
      </c>
      <c r="E16807" s="33" t="s">
        <v>26</v>
      </c>
      <c r="F16807" s="33" t="s">
        <v>27</v>
      </c>
      <c r="G16807" s="33" t="s">
        <v>158</v>
      </c>
      <c r="H16807" s="35">
        <v>83</v>
      </c>
      <c r="I16807" s="33" t="s">
        <v>51</v>
      </c>
      <c r="J16807" s="42">
        <v>45055</v>
      </c>
      <c r="K16807" s="33" t="s">
        <v>22</v>
      </c>
    </row>
    <row r="16808" spans="1:11">
      <c r="A16808" s="30" t="s">
        <v>37646</v>
      </c>
      <c r="B16808" s="30" t="s">
        <v>37647</v>
      </c>
      <c r="C16808" s="30" t="s">
        <v>18324</v>
      </c>
      <c r="D16808" s="30" t="s">
        <v>17</v>
      </c>
      <c r="E16808" s="30" t="s">
        <v>26</v>
      </c>
      <c r="F16808" s="30" t="s">
        <v>27</v>
      </c>
      <c r="G16808" s="30" t="s">
        <v>50</v>
      </c>
      <c r="H16808" s="32">
        <v>30</v>
      </c>
      <c r="I16808" s="30" t="s">
        <v>51</v>
      </c>
      <c r="J16808" s="41">
        <v>45078</v>
      </c>
      <c r="K16808" s="30" t="s">
        <v>22</v>
      </c>
    </row>
    <row r="16809" spans="1:11">
      <c r="A16809" s="33" t="s">
        <v>37648</v>
      </c>
      <c r="B16809" s="33" t="s">
        <v>37649</v>
      </c>
      <c r="C16809" s="33" t="s">
        <v>22471</v>
      </c>
      <c r="D16809" s="33" t="s">
        <v>17</v>
      </c>
      <c r="E16809" s="33" t="s">
        <v>67</v>
      </c>
      <c r="F16809" s="33" t="s">
        <v>68</v>
      </c>
      <c r="G16809" s="33" t="s">
        <v>20</v>
      </c>
      <c r="H16809" s="35">
        <v>40</v>
      </c>
      <c r="I16809" s="33" t="s">
        <v>21</v>
      </c>
      <c r="J16809" s="42">
        <v>45257</v>
      </c>
      <c r="K16809" s="33" t="s">
        <v>22</v>
      </c>
    </row>
    <row r="16810" spans="1:11">
      <c r="A16810" s="30" t="s">
        <v>37650</v>
      </c>
      <c r="B16810" s="30" t="s">
        <v>37651</v>
      </c>
      <c r="C16810" s="30" t="s">
        <v>37652</v>
      </c>
      <c r="D16810" s="30" t="s">
        <v>17</v>
      </c>
      <c r="E16810" s="30" t="s">
        <v>26</v>
      </c>
      <c r="F16810" s="30" t="s">
        <v>27</v>
      </c>
      <c r="G16810" s="30" t="s">
        <v>112</v>
      </c>
      <c r="H16810" s="32">
        <v>0</v>
      </c>
      <c r="I16810" s="30" t="s">
        <v>21</v>
      </c>
      <c r="J16810" s="41">
        <v>45216</v>
      </c>
      <c r="K16810" s="30" t="s">
        <v>22</v>
      </c>
    </row>
    <row r="16811" spans="1:11">
      <c r="A16811" s="33" t="s">
        <v>37653</v>
      </c>
      <c r="B16811" s="33" t="s">
        <v>37654</v>
      </c>
      <c r="C16811" s="33" t="s">
        <v>4315</v>
      </c>
      <c r="D16811" s="33" t="s">
        <v>17</v>
      </c>
      <c r="E16811" s="33" t="s">
        <v>31</v>
      </c>
      <c r="F16811" s="33" t="s">
        <v>32</v>
      </c>
      <c r="G16811" s="33" t="s">
        <v>140</v>
      </c>
      <c r="H16811" s="35">
        <v>120</v>
      </c>
      <c r="I16811" s="33" t="s">
        <v>51</v>
      </c>
      <c r="J16811" s="42">
        <v>45028</v>
      </c>
      <c r="K16811" s="33" t="s">
        <v>22</v>
      </c>
    </row>
    <row r="16812" spans="1:11">
      <c r="A16812" s="30" t="s">
        <v>37655</v>
      </c>
      <c r="B16812" s="30" t="s">
        <v>37656</v>
      </c>
      <c r="C16812" s="30" t="s">
        <v>37657</v>
      </c>
      <c r="D16812" s="30" t="s">
        <v>17</v>
      </c>
      <c r="E16812" s="30" t="s">
        <v>18</v>
      </c>
      <c r="F16812" s="30" t="s">
        <v>19</v>
      </c>
      <c r="G16812" s="30" t="s">
        <v>20</v>
      </c>
      <c r="H16812" s="32">
        <v>244</v>
      </c>
      <c r="I16812" s="30" t="s">
        <v>21</v>
      </c>
      <c r="J16812" s="41">
        <v>44939</v>
      </c>
      <c r="K16812" s="30" t="s">
        <v>22</v>
      </c>
    </row>
    <row r="16813" spans="1:11">
      <c r="A16813" s="33" t="s">
        <v>37658</v>
      </c>
      <c r="B16813" s="33" t="s">
        <v>37659</v>
      </c>
      <c r="C16813" s="33" t="s">
        <v>925</v>
      </c>
      <c r="D16813" s="33" t="s">
        <v>17</v>
      </c>
      <c r="E16813" s="33" t="s">
        <v>31</v>
      </c>
      <c r="F16813" s="33" t="s">
        <v>32</v>
      </c>
      <c r="G16813" s="33" t="s">
        <v>158</v>
      </c>
      <c r="H16813" s="35">
        <v>181</v>
      </c>
      <c r="I16813" s="33" t="s">
        <v>21</v>
      </c>
      <c r="J16813" s="42">
        <v>45273</v>
      </c>
      <c r="K16813" s="33" t="s">
        <v>22</v>
      </c>
    </row>
    <row r="16814" spans="1:11">
      <c r="A16814" s="30" t="s">
        <v>37660</v>
      </c>
      <c r="B16814" s="30" t="s">
        <v>37661</v>
      </c>
      <c r="C16814" s="30" t="s">
        <v>6351</v>
      </c>
      <c r="D16814" s="30" t="s">
        <v>17</v>
      </c>
      <c r="E16814" s="30" t="s">
        <v>26</v>
      </c>
      <c r="F16814" s="30" t="s">
        <v>27</v>
      </c>
      <c r="G16814" s="30" t="s">
        <v>20</v>
      </c>
      <c r="H16814" s="32">
        <v>60</v>
      </c>
      <c r="I16814" s="30" t="s">
        <v>21</v>
      </c>
      <c r="J16814" s="41">
        <v>45204</v>
      </c>
      <c r="K16814" s="30" t="s">
        <v>22</v>
      </c>
    </row>
    <row r="16815" spans="1:11">
      <c r="A16815" s="33" t="s">
        <v>37662</v>
      </c>
      <c r="B16815" s="33" t="s">
        <v>37663</v>
      </c>
      <c r="C16815" s="33" t="s">
        <v>5725</v>
      </c>
      <c r="D16815" s="33" t="s">
        <v>17</v>
      </c>
      <c r="E16815" s="33" t="s">
        <v>26</v>
      </c>
      <c r="F16815" s="33" t="s">
        <v>27</v>
      </c>
      <c r="G16815" s="33" t="s">
        <v>106</v>
      </c>
      <c r="H16815" s="35">
        <v>28</v>
      </c>
      <c r="I16815" s="33" t="s">
        <v>21</v>
      </c>
      <c r="J16815" s="42">
        <v>44985</v>
      </c>
      <c r="K16815" s="33" t="s">
        <v>22</v>
      </c>
    </row>
    <row r="16816" spans="1:11">
      <c r="A16816" s="30" t="s">
        <v>37664</v>
      </c>
      <c r="B16816" s="30" t="s">
        <v>37665</v>
      </c>
      <c r="C16816" s="30" t="s">
        <v>37666</v>
      </c>
      <c r="D16816" s="30" t="s">
        <v>17</v>
      </c>
      <c r="E16816" s="30" t="s">
        <v>67</v>
      </c>
      <c r="F16816" s="30" t="s">
        <v>68</v>
      </c>
      <c r="G16816" s="30" t="s">
        <v>140</v>
      </c>
      <c r="H16816" s="32">
        <v>30</v>
      </c>
      <c r="I16816" s="30" t="s">
        <v>51</v>
      </c>
      <c r="J16816" s="41">
        <v>45258</v>
      </c>
      <c r="K16816" s="30" t="s">
        <v>22</v>
      </c>
    </row>
    <row r="16817" spans="1:11">
      <c r="A16817" s="33" t="s">
        <v>37667</v>
      </c>
      <c r="B16817" s="33" t="s">
        <v>37668</v>
      </c>
      <c r="C16817" s="33" t="s">
        <v>37669</v>
      </c>
      <c r="D16817" s="33" t="s">
        <v>17</v>
      </c>
      <c r="E16817" s="33" t="s">
        <v>212</v>
      </c>
      <c r="F16817" s="33" t="s">
        <v>213</v>
      </c>
      <c r="G16817" s="33" t="s">
        <v>106</v>
      </c>
      <c r="H16817" s="35">
        <v>5</v>
      </c>
      <c r="I16817" s="33" t="s">
        <v>21</v>
      </c>
      <c r="J16817" s="42">
        <v>44958</v>
      </c>
      <c r="K16817" s="33" t="s">
        <v>22</v>
      </c>
    </row>
    <row r="16818" spans="1:11">
      <c r="A16818" s="30" t="s">
        <v>37670</v>
      </c>
      <c r="B16818" s="30" t="s">
        <v>37671</v>
      </c>
      <c r="C16818" s="30" t="s">
        <v>7035</v>
      </c>
      <c r="D16818" s="30" t="s">
        <v>17</v>
      </c>
      <c r="E16818" s="30" t="s">
        <v>26</v>
      </c>
      <c r="F16818" s="30" t="s">
        <v>27</v>
      </c>
      <c r="G16818" s="30" t="s">
        <v>20</v>
      </c>
      <c r="H16818" s="32">
        <v>22</v>
      </c>
      <c r="I16818" s="30" t="s">
        <v>21</v>
      </c>
      <c r="J16818" s="41">
        <v>45135</v>
      </c>
      <c r="K16818" s="30" t="s">
        <v>22</v>
      </c>
    </row>
    <row r="16819" spans="1:11">
      <c r="A16819" s="33" t="s">
        <v>37672</v>
      </c>
      <c r="B16819" s="33" t="s">
        <v>37673</v>
      </c>
      <c r="C16819" s="33" t="s">
        <v>93</v>
      </c>
      <c r="D16819" s="33" t="s">
        <v>17</v>
      </c>
      <c r="E16819" s="33" t="s">
        <v>18</v>
      </c>
      <c r="F16819" s="33" t="s">
        <v>19</v>
      </c>
      <c r="G16819" s="33" t="s">
        <v>20</v>
      </c>
      <c r="H16819" s="35">
        <v>524</v>
      </c>
      <c r="I16819" s="33" t="s">
        <v>21</v>
      </c>
      <c r="J16819" s="42">
        <v>45119</v>
      </c>
      <c r="K16819" s="33" t="s">
        <v>22</v>
      </c>
    </row>
    <row r="16820" spans="1:11">
      <c r="A16820" s="30" t="s">
        <v>37674</v>
      </c>
      <c r="B16820" s="30" t="s">
        <v>37675</v>
      </c>
      <c r="C16820" s="30" t="s">
        <v>957</v>
      </c>
      <c r="D16820" s="30" t="s">
        <v>17</v>
      </c>
      <c r="E16820" s="30" t="s">
        <v>212</v>
      </c>
      <c r="F16820" s="30" t="s">
        <v>213</v>
      </c>
      <c r="G16820" s="30" t="s">
        <v>20</v>
      </c>
      <c r="H16820" s="32">
        <v>1113</v>
      </c>
      <c r="I16820" s="30" t="s">
        <v>21</v>
      </c>
      <c r="J16820" s="41">
        <v>45016</v>
      </c>
      <c r="K16820" s="30" t="s">
        <v>22</v>
      </c>
    </row>
    <row r="16821" spans="1:11">
      <c r="A16821" s="33" t="s">
        <v>37676</v>
      </c>
      <c r="B16821" s="33" t="s">
        <v>37677</v>
      </c>
      <c r="C16821" s="33" t="s">
        <v>37678</v>
      </c>
      <c r="D16821" s="33" t="s">
        <v>17</v>
      </c>
      <c r="E16821" s="33" t="s">
        <v>67</v>
      </c>
      <c r="F16821" s="33" t="s">
        <v>68</v>
      </c>
      <c r="G16821" s="33" t="s">
        <v>20</v>
      </c>
      <c r="H16821" s="35">
        <v>3</v>
      </c>
      <c r="I16821" s="33" t="s">
        <v>21</v>
      </c>
      <c r="J16821" s="42">
        <v>44977</v>
      </c>
      <c r="K16821" s="33" t="s">
        <v>22</v>
      </c>
    </row>
    <row r="16822" spans="1:11">
      <c r="A16822" s="30" t="s">
        <v>37679</v>
      </c>
      <c r="B16822" s="30" t="s">
        <v>37680</v>
      </c>
      <c r="C16822" s="30" t="s">
        <v>37681</v>
      </c>
      <c r="D16822" s="30" t="s">
        <v>17</v>
      </c>
      <c r="E16822" s="30" t="s">
        <v>67</v>
      </c>
      <c r="F16822" s="30" t="s">
        <v>68</v>
      </c>
      <c r="G16822" s="30" t="s">
        <v>106</v>
      </c>
      <c r="H16822" s="32">
        <v>7</v>
      </c>
      <c r="I16822" s="30" t="s">
        <v>21</v>
      </c>
      <c r="J16822" s="41">
        <v>45041</v>
      </c>
      <c r="K16822" s="30" t="s">
        <v>22</v>
      </c>
    </row>
    <row r="16823" spans="1:11">
      <c r="A16823" s="33" t="s">
        <v>37682</v>
      </c>
      <c r="B16823" s="33" t="s">
        <v>37683</v>
      </c>
      <c r="C16823" s="33" t="s">
        <v>647</v>
      </c>
      <c r="D16823" s="33" t="s">
        <v>17</v>
      </c>
      <c r="E16823" s="33" t="s">
        <v>18</v>
      </c>
      <c r="F16823" s="33" t="s">
        <v>19</v>
      </c>
      <c r="G16823" s="33" t="s">
        <v>20</v>
      </c>
      <c r="H16823" s="35">
        <v>518</v>
      </c>
      <c r="I16823" s="33" t="s">
        <v>21</v>
      </c>
      <c r="J16823" s="42">
        <v>44970</v>
      </c>
      <c r="K16823" s="33" t="s">
        <v>22</v>
      </c>
    </row>
    <row r="16824" spans="1:11">
      <c r="A16824" s="30" t="s">
        <v>37684</v>
      </c>
      <c r="B16824" s="30" t="s">
        <v>37685</v>
      </c>
      <c r="C16824" s="30" t="s">
        <v>33255</v>
      </c>
      <c r="D16824" s="30" t="s">
        <v>17</v>
      </c>
      <c r="E16824" s="30" t="s">
        <v>67</v>
      </c>
      <c r="F16824" s="30" t="s">
        <v>68</v>
      </c>
      <c r="G16824" s="30" t="s">
        <v>20</v>
      </c>
      <c r="H16824" s="32">
        <v>24</v>
      </c>
      <c r="I16824" s="30" t="s">
        <v>21</v>
      </c>
      <c r="J16824" s="41">
        <v>45058</v>
      </c>
      <c r="K16824" s="30" t="s">
        <v>22</v>
      </c>
    </row>
    <row r="16825" spans="1:11">
      <c r="A16825" s="33" t="s">
        <v>37686</v>
      </c>
      <c r="B16825" s="33" t="s">
        <v>37687</v>
      </c>
      <c r="C16825" s="33" t="s">
        <v>6379</v>
      </c>
      <c r="D16825" s="33" t="s">
        <v>17</v>
      </c>
      <c r="E16825" s="33" t="s">
        <v>18</v>
      </c>
      <c r="F16825" s="33" t="s">
        <v>19</v>
      </c>
      <c r="G16825" s="33" t="s">
        <v>106</v>
      </c>
      <c r="H16825" s="35">
        <v>8</v>
      </c>
      <c r="I16825" s="33" t="s">
        <v>21</v>
      </c>
      <c r="J16825" s="42">
        <v>44931</v>
      </c>
      <c r="K16825" s="33" t="s">
        <v>22</v>
      </c>
    </row>
    <row r="16826" spans="1:11">
      <c r="A16826" s="30" t="s">
        <v>37688</v>
      </c>
      <c r="B16826" s="30" t="s">
        <v>37689</v>
      </c>
      <c r="C16826" s="30" t="s">
        <v>37690</v>
      </c>
      <c r="D16826" s="30" t="s">
        <v>17</v>
      </c>
      <c r="E16826" s="30" t="s">
        <v>26</v>
      </c>
      <c r="F16826" s="30" t="s">
        <v>27</v>
      </c>
      <c r="G16826" s="30" t="s">
        <v>50</v>
      </c>
      <c r="H16826" s="32">
        <v>72</v>
      </c>
      <c r="I16826" s="30" t="s">
        <v>51</v>
      </c>
      <c r="J16826" s="41">
        <v>45072</v>
      </c>
      <c r="K16826" s="30" t="s">
        <v>22</v>
      </c>
    </row>
    <row r="16827" spans="1:11">
      <c r="A16827" s="33" t="s">
        <v>37691</v>
      </c>
      <c r="B16827" s="33" t="s">
        <v>37692</v>
      </c>
      <c r="C16827" s="33" t="s">
        <v>37693</v>
      </c>
      <c r="D16827" s="33" t="s">
        <v>17</v>
      </c>
      <c r="E16827" s="33" t="s">
        <v>26</v>
      </c>
      <c r="F16827" s="33" t="s">
        <v>27</v>
      </c>
      <c r="G16827" s="33" t="s">
        <v>20</v>
      </c>
      <c r="H16827" s="35">
        <v>132</v>
      </c>
      <c r="I16827" s="33" t="s">
        <v>21</v>
      </c>
      <c r="J16827" s="42">
        <v>45069</v>
      </c>
      <c r="K16827" s="33" t="s">
        <v>22</v>
      </c>
    </row>
    <row r="16828" spans="1:11">
      <c r="A16828" s="30" t="s">
        <v>37694</v>
      </c>
      <c r="B16828" s="30" t="s">
        <v>37695</v>
      </c>
      <c r="C16828" s="30" t="s">
        <v>18006</v>
      </c>
      <c r="D16828" s="30" t="s">
        <v>17</v>
      </c>
      <c r="E16828" s="30" t="s">
        <v>31</v>
      </c>
      <c r="F16828" s="30" t="s">
        <v>32</v>
      </c>
      <c r="G16828" s="30" t="s">
        <v>20</v>
      </c>
      <c r="H16828" s="32">
        <v>23</v>
      </c>
      <c r="I16828" s="30" t="s">
        <v>21</v>
      </c>
      <c r="J16828" s="41">
        <v>45206</v>
      </c>
      <c r="K16828" s="30" t="s">
        <v>22</v>
      </c>
    </row>
    <row r="16829" spans="1:11">
      <c r="A16829" s="33" t="s">
        <v>37696</v>
      </c>
      <c r="B16829" s="33" t="s">
        <v>37697</v>
      </c>
      <c r="C16829" s="33" t="s">
        <v>37698</v>
      </c>
      <c r="D16829" s="33" t="s">
        <v>17</v>
      </c>
      <c r="E16829" s="33" t="s">
        <v>26</v>
      </c>
      <c r="F16829" s="33" t="s">
        <v>27</v>
      </c>
      <c r="G16829" s="33" t="s">
        <v>20</v>
      </c>
      <c r="H16829" s="35">
        <v>64</v>
      </c>
      <c r="I16829" s="33" t="s">
        <v>21</v>
      </c>
      <c r="J16829" s="42">
        <v>44985</v>
      </c>
      <c r="K16829" s="33" t="s">
        <v>22</v>
      </c>
    </row>
    <row r="16830" spans="1:11">
      <c r="A16830" s="30" t="s">
        <v>37699</v>
      </c>
      <c r="B16830" s="30" t="s">
        <v>37700</v>
      </c>
      <c r="C16830" s="30" t="s">
        <v>1391</v>
      </c>
      <c r="D16830" s="30" t="s">
        <v>17</v>
      </c>
      <c r="E16830" s="30" t="s">
        <v>18</v>
      </c>
      <c r="F16830" s="30" t="s">
        <v>19</v>
      </c>
      <c r="G16830" s="30" t="s">
        <v>20</v>
      </c>
      <c r="H16830" s="32">
        <v>147</v>
      </c>
      <c r="I16830" s="30" t="s">
        <v>21</v>
      </c>
      <c r="J16830" s="41">
        <v>45013</v>
      </c>
      <c r="K16830" s="30" t="s">
        <v>22</v>
      </c>
    </row>
    <row r="16831" spans="1:11">
      <c r="A16831" s="33" t="s">
        <v>37701</v>
      </c>
      <c r="B16831" s="33" t="s">
        <v>37702</v>
      </c>
      <c r="C16831" s="33" t="s">
        <v>20576</v>
      </c>
      <c r="D16831" s="33" t="s">
        <v>17</v>
      </c>
      <c r="E16831" s="33" t="s">
        <v>26</v>
      </c>
      <c r="F16831" s="33" t="s">
        <v>27</v>
      </c>
      <c r="G16831" s="33" t="s">
        <v>50</v>
      </c>
      <c r="H16831" s="35">
        <v>18</v>
      </c>
      <c r="I16831" s="33" t="s">
        <v>51</v>
      </c>
      <c r="J16831" s="42">
        <v>45050</v>
      </c>
      <c r="K16831" s="33" t="s">
        <v>22</v>
      </c>
    </row>
    <row r="16832" spans="1:11">
      <c r="A16832" s="30" t="s">
        <v>37703</v>
      </c>
      <c r="B16832" s="30" t="s">
        <v>37704</v>
      </c>
      <c r="C16832" s="30" t="s">
        <v>3013</v>
      </c>
      <c r="D16832" s="30" t="s">
        <v>17</v>
      </c>
      <c r="E16832" s="30" t="s">
        <v>26</v>
      </c>
      <c r="F16832" s="30" t="s">
        <v>27</v>
      </c>
      <c r="G16832" s="30" t="s">
        <v>158</v>
      </c>
      <c r="H16832" s="32">
        <v>85</v>
      </c>
      <c r="I16832" s="30" t="s">
        <v>21</v>
      </c>
      <c r="J16832" s="41">
        <v>45162</v>
      </c>
      <c r="K16832" s="30" t="s">
        <v>22</v>
      </c>
    </row>
    <row r="16833" spans="1:11">
      <c r="A16833" s="33" t="s">
        <v>37705</v>
      </c>
      <c r="B16833" s="33" t="s">
        <v>37706</v>
      </c>
      <c r="C16833" s="33" t="s">
        <v>28085</v>
      </c>
      <c r="D16833" s="33" t="s">
        <v>17</v>
      </c>
      <c r="E16833" s="33" t="s">
        <v>31</v>
      </c>
      <c r="F16833" s="33" t="s">
        <v>32</v>
      </c>
      <c r="G16833" s="33" t="s">
        <v>140</v>
      </c>
      <c r="H16833" s="35">
        <v>90</v>
      </c>
      <c r="I16833" s="33" t="s">
        <v>51</v>
      </c>
      <c r="J16833" s="42">
        <v>45173</v>
      </c>
      <c r="K16833" s="33" t="s">
        <v>22</v>
      </c>
    </row>
    <row r="16834" spans="1:11">
      <c r="A16834" s="30" t="s">
        <v>37707</v>
      </c>
      <c r="B16834" s="30" t="s">
        <v>37708</v>
      </c>
      <c r="C16834" s="30" t="s">
        <v>16964</v>
      </c>
      <c r="D16834" s="30" t="s">
        <v>17</v>
      </c>
      <c r="E16834" s="30" t="s">
        <v>26</v>
      </c>
      <c r="F16834" s="30" t="s">
        <v>27</v>
      </c>
      <c r="G16834" s="30" t="s">
        <v>20</v>
      </c>
      <c r="H16834" s="32">
        <v>18</v>
      </c>
      <c r="I16834" s="30" t="s">
        <v>21</v>
      </c>
      <c r="J16834" s="41">
        <v>45279</v>
      </c>
      <c r="K16834" s="30" t="s">
        <v>22</v>
      </c>
    </row>
    <row r="16835" spans="1:11">
      <c r="A16835" s="33" t="s">
        <v>37709</v>
      </c>
      <c r="B16835" s="33" t="s">
        <v>37710</v>
      </c>
      <c r="C16835" s="33" t="s">
        <v>14394</v>
      </c>
      <c r="D16835" s="33" t="s">
        <v>17</v>
      </c>
      <c r="E16835" s="33" t="s">
        <v>26</v>
      </c>
      <c r="F16835" s="33" t="s">
        <v>27</v>
      </c>
      <c r="G16835" s="33" t="s">
        <v>106</v>
      </c>
      <c r="H16835" s="35">
        <v>7</v>
      </c>
      <c r="I16835" s="33" t="s">
        <v>21</v>
      </c>
      <c r="J16835" s="42">
        <v>45135</v>
      </c>
      <c r="K16835" s="33" t="s">
        <v>22</v>
      </c>
    </row>
    <row r="16836" spans="1:11">
      <c r="A16836" s="30" t="s">
        <v>37711</v>
      </c>
      <c r="B16836" s="30" t="s">
        <v>37712</v>
      </c>
      <c r="C16836" s="30" t="s">
        <v>246</v>
      </c>
      <c r="D16836" s="30" t="s">
        <v>17</v>
      </c>
      <c r="E16836" s="30" t="s">
        <v>26</v>
      </c>
      <c r="F16836" s="30" t="s">
        <v>27</v>
      </c>
      <c r="G16836" s="30" t="s">
        <v>50</v>
      </c>
      <c r="H16836" s="32">
        <v>50</v>
      </c>
      <c r="I16836" s="30" t="s">
        <v>51</v>
      </c>
      <c r="J16836" s="41">
        <v>45278</v>
      </c>
      <c r="K16836" s="30" t="s">
        <v>22</v>
      </c>
    </row>
    <row r="16837" spans="1:11">
      <c r="A16837" s="33" t="s">
        <v>37713</v>
      </c>
      <c r="B16837" s="33" t="s">
        <v>37714</v>
      </c>
      <c r="C16837" s="33" t="s">
        <v>27527</v>
      </c>
      <c r="D16837" s="33" t="s">
        <v>17</v>
      </c>
      <c r="E16837" s="33" t="s">
        <v>330</v>
      </c>
      <c r="F16837" s="33" t="s">
        <v>331</v>
      </c>
      <c r="G16837" s="33" t="s">
        <v>50</v>
      </c>
      <c r="H16837" s="35">
        <v>24</v>
      </c>
      <c r="I16837" s="33" t="s">
        <v>51</v>
      </c>
      <c r="J16837" s="42">
        <v>45015</v>
      </c>
      <c r="K16837" s="33" t="s">
        <v>22</v>
      </c>
    </row>
    <row r="16838" spans="1:11">
      <c r="A16838" s="30" t="s">
        <v>37715</v>
      </c>
      <c r="B16838" s="30" t="s">
        <v>37716</v>
      </c>
      <c r="C16838" s="30" t="s">
        <v>3157</v>
      </c>
      <c r="D16838" s="30" t="s">
        <v>17</v>
      </c>
      <c r="E16838" s="30" t="s">
        <v>18</v>
      </c>
      <c r="F16838" s="30" t="s">
        <v>19</v>
      </c>
      <c r="G16838" s="30" t="s">
        <v>158</v>
      </c>
      <c r="H16838" s="32">
        <v>15</v>
      </c>
      <c r="I16838" s="30" t="s">
        <v>51</v>
      </c>
      <c r="J16838" s="41">
        <v>44958</v>
      </c>
      <c r="K16838" s="30" t="s">
        <v>22</v>
      </c>
    </row>
    <row r="16839" spans="1:11">
      <c r="A16839" s="33" t="s">
        <v>37717</v>
      </c>
      <c r="B16839" s="33" t="s">
        <v>37718</v>
      </c>
      <c r="C16839" s="33" t="s">
        <v>11899</v>
      </c>
      <c r="D16839" s="33" t="s">
        <v>17</v>
      </c>
      <c r="E16839" s="33" t="s">
        <v>26</v>
      </c>
      <c r="F16839" s="33" t="s">
        <v>27</v>
      </c>
      <c r="G16839" s="33" t="s">
        <v>50</v>
      </c>
      <c r="H16839" s="35">
        <v>45</v>
      </c>
      <c r="I16839" s="33" t="s">
        <v>51</v>
      </c>
      <c r="J16839" s="42">
        <v>45111</v>
      </c>
      <c r="K16839" s="33" t="s">
        <v>22</v>
      </c>
    </row>
    <row r="16840" spans="1:11">
      <c r="A16840" s="30" t="s">
        <v>37719</v>
      </c>
      <c r="B16840" s="30" t="s">
        <v>37720</v>
      </c>
      <c r="C16840" s="30" t="s">
        <v>136</v>
      </c>
      <c r="D16840" s="30" t="s">
        <v>17</v>
      </c>
      <c r="E16840" s="30" t="s">
        <v>18</v>
      </c>
      <c r="F16840" s="30" t="s">
        <v>19</v>
      </c>
      <c r="G16840" s="30" t="s">
        <v>20</v>
      </c>
      <c r="H16840" s="32">
        <v>401</v>
      </c>
      <c r="I16840" s="30" t="s">
        <v>21</v>
      </c>
      <c r="J16840" s="41">
        <v>45197</v>
      </c>
      <c r="K16840" s="30" t="s">
        <v>22</v>
      </c>
    </row>
    <row r="16841" spans="1:11">
      <c r="A16841" s="33" t="s">
        <v>37721</v>
      </c>
      <c r="B16841" s="33" t="s">
        <v>37722</v>
      </c>
      <c r="C16841" s="33" t="s">
        <v>25363</v>
      </c>
      <c r="D16841" s="33" t="s">
        <v>17</v>
      </c>
      <c r="E16841" s="33" t="s">
        <v>31</v>
      </c>
      <c r="F16841" s="33" t="s">
        <v>32</v>
      </c>
      <c r="G16841" s="33" t="s">
        <v>50</v>
      </c>
      <c r="H16841" s="35">
        <v>420</v>
      </c>
      <c r="I16841" s="33" t="s">
        <v>51</v>
      </c>
      <c r="J16841" s="42">
        <v>45125</v>
      </c>
      <c r="K16841" s="33" t="s">
        <v>22</v>
      </c>
    </row>
    <row r="16842" spans="1:11">
      <c r="A16842" s="30" t="s">
        <v>37723</v>
      </c>
      <c r="B16842" s="30" t="s">
        <v>37724</v>
      </c>
      <c r="C16842" s="30" t="s">
        <v>969</v>
      </c>
      <c r="D16842" s="30" t="s">
        <v>17</v>
      </c>
      <c r="E16842" s="30" t="s">
        <v>26</v>
      </c>
      <c r="F16842" s="30" t="s">
        <v>27</v>
      </c>
      <c r="G16842" s="30" t="s">
        <v>20</v>
      </c>
      <c r="H16842" s="32">
        <v>12</v>
      </c>
      <c r="I16842" s="30" t="s">
        <v>21</v>
      </c>
      <c r="J16842" s="41">
        <v>44949</v>
      </c>
      <c r="K16842" s="30" t="s">
        <v>22</v>
      </c>
    </row>
    <row r="16843" spans="1:11">
      <c r="A16843" s="33" t="s">
        <v>37725</v>
      </c>
      <c r="B16843" s="33" t="s">
        <v>37726</v>
      </c>
      <c r="C16843" s="33" t="s">
        <v>17650</v>
      </c>
      <c r="D16843" s="33" t="s">
        <v>17</v>
      </c>
      <c r="E16843" s="33" t="s">
        <v>67</v>
      </c>
      <c r="F16843" s="33" t="s">
        <v>68</v>
      </c>
      <c r="G16843" s="33" t="s">
        <v>106</v>
      </c>
      <c r="H16843" s="35">
        <v>13</v>
      </c>
      <c r="I16843" s="33" t="s">
        <v>21</v>
      </c>
      <c r="J16843" s="42">
        <v>45147</v>
      </c>
      <c r="K16843" s="33" t="s">
        <v>22</v>
      </c>
    </row>
    <row r="16844" spans="1:11">
      <c r="A16844" s="30" t="s">
        <v>37727</v>
      </c>
      <c r="B16844" s="30" t="s">
        <v>37728</v>
      </c>
      <c r="C16844" s="30" t="s">
        <v>4810</v>
      </c>
      <c r="D16844" s="30" t="s">
        <v>17</v>
      </c>
      <c r="E16844" s="30" t="s">
        <v>26</v>
      </c>
      <c r="F16844" s="30" t="s">
        <v>27</v>
      </c>
      <c r="G16844" s="30" t="s">
        <v>20</v>
      </c>
      <c r="H16844" s="32">
        <v>24</v>
      </c>
      <c r="I16844" s="30" t="s">
        <v>21</v>
      </c>
      <c r="J16844" s="41">
        <v>44971</v>
      </c>
      <c r="K16844" s="30" t="s">
        <v>22</v>
      </c>
    </row>
    <row r="16845" spans="1:11">
      <c r="A16845" s="33" t="s">
        <v>37729</v>
      </c>
      <c r="B16845" s="33" t="s">
        <v>37730</v>
      </c>
      <c r="C16845" s="33" t="s">
        <v>18986</v>
      </c>
      <c r="D16845" s="33" t="s">
        <v>17</v>
      </c>
      <c r="E16845" s="33" t="s">
        <v>26</v>
      </c>
      <c r="F16845" s="33" t="s">
        <v>27</v>
      </c>
      <c r="G16845" s="33" t="s">
        <v>20</v>
      </c>
      <c r="H16845" s="35">
        <v>22</v>
      </c>
      <c r="I16845" s="33" t="s">
        <v>21</v>
      </c>
      <c r="J16845" s="42">
        <v>45191</v>
      </c>
      <c r="K16845" s="33" t="s">
        <v>22</v>
      </c>
    </row>
    <row r="16846" spans="1:11">
      <c r="A16846" s="30" t="s">
        <v>37731</v>
      </c>
      <c r="B16846" s="30" t="s">
        <v>37732</v>
      </c>
      <c r="C16846" s="30" t="s">
        <v>37733</v>
      </c>
      <c r="D16846" s="30" t="s">
        <v>17</v>
      </c>
      <c r="E16846" s="30" t="s">
        <v>26</v>
      </c>
      <c r="F16846" s="30" t="s">
        <v>27</v>
      </c>
      <c r="G16846" s="30" t="s">
        <v>69</v>
      </c>
      <c r="H16846" s="32">
        <v>30</v>
      </c>
      <c r="I16846" s="30" t="s">
        <v>51</v>
      </c>
      <c r="J16846" s="41">
        <v>45154</v>
      </c>
      <c r="K16846" s="30" t="s">
        <v>22</v>
      </c>
    </row>
    <row r="16847" spans="1:11">
      <c r="A16847" s="33" t="s">
        <v>37734</v>
      </c>
      <c r="B16847" s="33" t="s">
        <v>37735</v>
      </c>
      <c r="C16847" s="33" t="s">
        <v>93</v>
      </c>
      <c r="D16847" s="33" t="s">
        <v>17</v>
      </c>
      <c r="E16847" s="33" t="s">
        <v>18</v>
      </c>
      <c r="F16847" s="33" t="s">
        <v>19</v>
      </c>
      <c r="G16847" s="33" t="s">
        <v>20</v>
      </c>
      <c r="H16847" s="35">
        <v>259</v>
      </c>
      <c r="I16847" s="33" t="s">
        <v>21</v>
      </c>
      <c r="J16847" s="42">
        <v>45252</v>
      </c>
      <c r="K16847" s="33" t="s">
        <v>22</v>
      </c>
    </row>
    <row r="16848" spans="1:11">
      <c r="A16848" s="30" t="s">
        <v>37736</v>
      </c>
      <c r="B16848" s="30" t="s">
        <v>37737</v>
      </c>
      <c r="C16848" s="30" t="s">
        <v>2387</v>
      </c>
      <c r="D16848" s="30" t="s">
        <v>17</v>
      </c>
      <c r="E16848" s="30" t="s">
        <v>26</v>
      </c>
      <c r="F16848" s="30" t="s">
        <v>27</v>
      </c>
      <c r="G16848" s="30" t="s">
        <v>20</v>
      </c>
      <c r="H16848" s="32">
        <v>13</v>
      </c>
      <c r="I16848" s="30" t="s">
        <v>21</v>
      </c>
      <c r="J16848" s="41">
        <v>45059</v>
      </c>
      <c r="K16848" s="30" t="s">
        <v>22</v>
      </c>
    </row>
    <row r="16849" spans="1:11">
      <c r="A16849" s="33" t="s">
        <v>37738</v>
      </c>
      <c r="B16849" s="33" t="s">
        <v>37739</v>
      </c>
      <c r="C16849" s="33" t="s">
        <v>647</v>
      </c>
      <c r="D16849" s="33" t="s">
        <v>17</v>
      </c>
      <c r="E16849" s="33" t="s">
        <v>67</v>
      </c>
      <c r="F16849" s="33" t="s">
        <v>68</v>
      </c>
      <c r="G16849" s="33" t="s">
        <v>158</v>
      </c>
      <c r="H16849" s="35">
        <v>390</v>
      </c>
      <c r="I16849" s="33" t="s">
        <v>51</v>
      </c>
      <c r="J16849" s="42">
        <v>45100</v>
      </c>
      <c r="K16849" s="33" t="s">
        <v>22</v>
      </c>
    </row>
    <row r="16850" spans="1:11">
      <c r="A16850" s="30" t="s">
        <v>37740</v>
      </c>
      <c r="B16850" s="30" t="s">
        <v>37741</v>
      </c>
      <c r="C16850" s="30" t="s">
        <v>18463</v>
      </c>
      <c r="D16850" s="30" t="s">
        <v>17</v>
      </c>
      <c r="E16850" s="30" t="s">
        <v>31</v>
      </c>
      <c r="F16850" s="30" t="s">
        <v>32</v>
      </c>
      <c r="G16850" s="30" t="s">
        <v>158</v>
      </c>
      <c r="H16850" s="32">
        <v>49</v>
      </c>
      <c r="I16850" s="30" t="s">
        <v>21</v>
      </c>
      <c r="J16850" s="41">
        <v>45243</v>
      </c>
      <c r="K16850" s="30" t="s">
        <v>22</v>
      </c>
    </row>
    <row r="16851" spans="1:11">
      <c r="A16851" s="33" t="s">
        <v>37742</v>
      </c>
      <c r="B16851" s="33" t="s">
        <v>37743</v>
      </c>
      <c r="C16851" s="33" t="s">
        <v>17650</v>
      </c>
      <c r="D16851" s="33" t="s">
        <v>17</v>
      </c>
      <c r="E16851" s="33" t="s">
        <v>67</v>
      </c>
      <c r="F16851" s="33" t="s">
        <v>68</v>
      </c>
      <c r="G16851" s="33" t="s">
        <v>20</v>
      </c>
      <c r="H16851" s="35">
        <v>29</v>
      </c>
      <c r="I16851" s="33" t="s">
        <v>21</v>
      </c>
      <c r="J16851" s="42">
        <v>45194</v>
      </c>
      <c r="K16851" s="33" t="s">
        <v>22</v>
      </c>
    </row>
    <row r="16852" spans="1:11">
      <c r="A16852" s="30" t="s">
        <v>37744</v>
      </c>
      <c r="B16852" s="30" t="s">
        <v>37745</v>
      </c>
      <c r="C16852" s="30" t="s">
        <v>1112</v>
      </c>
      <c r="D16852" s="30" t="s">
        <v>17</v>
      </c>
      <c r="E16852" s="30" t="s">
        <v>18</v>
      </c>
      <c r="F16852" s="30" t="s">
        <v>19</v>
      </c>
      <c r="G16852" s="30" t="s">
        <v>20</v>
      </c>
      <c r="H16852" s="32">
        <v>199</v>
      </c>
      <c r="I16852" s="30" t="s">
        <v>21</v>
      </c>
      <c r="J16852" s="41">
        <v>44991</v>
      </c>
      <c r="K16852" s="30" t="s">
        <v>22</v>
      </c>
    </row>
    <row r="16853" spans="1:11">
      <c r="A16853" s="33" t="s">
        <v>37746</v>
      </c>
      <c r="B16853" s="33" t="s">
        <v>37747</v>
      </c>
      <c r="C16853" s="33" t="s">
        <v>96</v>
      </c>
      <c r="D16853" s="33" t="s">
        <v>17</v>
      </c>
      <c r="E16853" s="33" t="s">
        <v>212</v>
      </c>
      <c r="F16853" s="33" t="s">
        <v>213</v>
      </c>
      <c r="G16853" s="33" t="s">
        <v>140</v>
      </c>
      <c r="H16853" s="35">
        <v>80</v>
      </c>
      <c r="I16853" s="33" t="s">
        <v>51</v>
      </c>
      <c r="J16853" s="42">
        <v>45202</v>
      </c>
      <c r="K16853" s="33" t="s">
        <v>22</v>
      </c>
    </row>
    <row r="16854" spans="1:11">
      <c r="A16854" s="30" t="s">
        <v>37748</v>
      </c>
      <c r="B16854" s="30" t="s">
        <v>37749</v>
      </c>
      <c r="C16854" s="30" t="s">
        <v>231</v>
      </c>
      <c r="D16854" s="30" t="s">
        <v>17</v>
      </c>
      <c r="E16854" s="30" t="s">
        <v>26</v>
      </c>
      <c r="F16854" s="30" t="s">
        <v>27</v>
      </c>
      <c r="G16854" s="30" t="s">
        <v>20</v>
      </c>
      <c r="H16854" s="32">
        <v>28</v>
      </c>
      <c r="I16854" s="30" t="s">
        <v>21</v>
      </c>
      <c r="J16854" s="41">
        <v>44964</v>
      </c>
      <c r="K16854" s="30" t="s">
        <v>22</v>
      </c>
    </row>
    <row r="16855" spans="1:11">
      <c r="A16855" s="33" t="s">
        <v>37750</v>
      </c>
      <c r="B16855" s="33" t="s">
        <v>37751</v>
      </c>
      <c r="C16855" s="33" t="s">
        <v>1571</v>
      </c>
      <c r="D16855" s="33" t="s">
        <v>17</v>
      </c>
      <c r="E16855" s="33" t="s">
        <v>18</v>
      </c>
      <c r="F16855" s="33" t="s">
        <v>19</v>
      </c>
      <c r="G16855" s="33" t="s">
        <v>158</v>
      </c>
      <c r="H16855" s="35">
        <v>94</v>
      </c>
      <c r="I16855" s="33" t="s">
        <v>21</v>
      </c>
      <c r="J16855" s="42">
        <v>45043</v>
      </c>
      <c r="K16855" s="33" t="s">
        <v>22</v>
      </c>
    </row>
    <row r="16856" spans="1:11">
      <c r="A16856" s="30" t="s">
        <v>37752</v>
      </c>
      <c r="B16856" s="30" t="s">
        <v>37753</v>
      </c>
      <c r="C16856" s="30" t="s">
        <v>130</v>
      </c>
      <c r="D16856" s="30" t="s">
        <v>17</v>
      </c>
      <c r="E16856" s="30" t="s">
        <v>26</v>
      </c>
      <c r="F16856" s="30" t="s">
        <v>27</v>
      </c>
      <c r="G16856" s="30" t="s">
        <v>106</v>
      </c>
      <c r="H16856" s="32">
        <v>8</v>
      </c>
      <c r="I16856" s="30" t="s">
        <v>21</v>
      </c>
      <c r="J16856" s="41">
        <v>45167</v>
      </c>
      <c r="K16856" s="30" t="s">
        <v>22</v>
      </c>
    </row>
    <row r="16857" spans="1:11">
      <c r="A16857" s="33" t="s">
        <v>37754</v>
      </c>
      <c r="B16857" s="33" t="s">
        <v>37755</v>
      </c>
      <c r="C16857" s="33" t="s">
        <v>11942</v>
      </c>
      <c r="D16857" s="33" t="s">
        <v>17</v>
      </c>
      <c r="E16857" s="33" t="s">
        <v>67</v>
      </c>
      <c r="F16857" s="33" t="s">
        <v>68</v>
      </c>
      <c r="G16857" s="33" t="s">
        <v>140</v>
      </c>
      <c r="H16857" s="35">
        <v>99</v>
      </c>
      <c r="I16857" s="33" t="s">
        <v>51</v>
      </c>
      <c r="J16857" s="42">
        <v>45181</v>
      </c>
      <c r="K16857" s="33" t="s">
        <v>22</v>
      </c>
    </row>
    <row r="16858" spans="1:11">
      <c r="A16858" s="30" t="s">
        <v>37756</v>
      </c>
      <c r="B16858" s="30" t="s">
        <v>37757</v>
      </c>
      <c r="C16858" s="30" t="s">
        <v>4476</v>
      </c>
      <c r="D16858" s="30" t="s">
        <v>17</v>
      </c>
      <c r="E16858" s="30" t="s">
        <v>18</v>
      </c>
      <c r="F16858" s="30" t="s">
        <v>19</v>
      </c>
      <c r="G16858" s="30" t="s">
        <v>50</v>
      </c>
      <c r="H16858" s="32">
        <v>50</v>
      </c>
      <c r="I16858" s="30" t="s">
        <v>51</v>
      </c>
      <c r="J16858" s="41">
        <v>45261</v>
      </c>
      <c r="K16858" s="30" t="s">
        <v>22</v>
      </c>
    </row>
    <row r="16859" spans="1:11">
      <c r="A16859" s="33" t="s">
        <v>37758</v>
      </c>
      <c r="B16859" s="33" t="s">
        <v>37759</v>
      </c>
      <c r="C16859" s="33" t="s">
        <v>570</v>
      </c>
      <c r="D16859" s="33" t="s">
        <v>17</v>
      </c>
      <c r="E16859" s="33" t="s">
        <v>18</v>
      </c>
      <c r="F16859" s="33" t="s">
        <v>19</v>
      </c>
      <c r="G16859" s="33" t="s">
        <v>140</v>
      </c>
      <c r="H16859" s="35">
        <v>270</v>
      </c>
      <c r="I16859" s="33" t="s">
        <v>51</v>
      </c>
      <c r="J16859" s="42">
        <v>45285</v>
      </c>
      <c r="K16859" s="33" t="s">
        <v>22</v>
      </c>
    </row>
    <row r="16860" spans="1:11">
      <c r="A16860" s="30" t="s">
        <v>37760</v>
      </c>
      <c r="B16860" s="30" t="s">
        <v>37761</v>
      </c>
      <c r="C16860" s="30" t="s">
        <v>37762</v>
      </c>
      <c r="D16860" s="30" t="s">
        <v>17</v>
      </c>
      <c r="E16860" s="30" t="s">
        <v>26</v>
      </c>
      <c r="F16860" s="30" t="s">
        <v>27</v>
      </c>
      <c r="G16860" s="30" t="s">
        <v>20</v>
      </c>
      <c r="H16860" s="32">
        <v>18</v>
      </c>
      <c r="I16860" s="30" t="s">
        <v>21</v>
      </c>
      <c r="J16860" s="41">
        <v>45290</v>
      </c>
      <c r="K16860" s="30" t="s">
        <v>22</v>
      </c>
    </row>
    <row r="16861" spans="1:11">
      <c r="A16861" s="33" t="s">
        <v>37763</v>
      </c>
      <c r="B16861" s="33" t="s">
        <v>37764</v>
      </c>
      <c r="C16861" s="33" t="s">
        <v>310</v>
      </c>
      <c r="D16861" s="33" t="s">
        <v>17</v>
      </c>
      <c r="E16861" s="33" t="s">
        <v>26</v>
      </c>
      <c r="F16861" s="33" t="s">
        <v>27</v>
      </c>
      <c r="G16861" s="33" t="s">
        <v>20</v>
      </c>
      <c r="H16861" s="35">
        <v>42</v>
      </c>
      <c r="I16861" s="33" t="s">
        <v>21</v>
      </c>
      <c r="J16861" s="42">
        <v>44972</v>
      </c>
      <c r="K16861" s="33" t="s">
        <v>22</v>
      </c>
    </row>
    <row r="16862" spans="1:11">
      <c r="A16862" s="30" t="s">
        <v>37765</v>
      </c>
      <c r="B16862" s="30" t="s">
        <v>37766</v>
      </c>
      <c r="C16862" s="30" t="s">
        <v>990</v>
      </c>
      <c r="D16862" s="30" t="s">
        <v>17</v>
      </c>
      <c r="E16862" s="30" t="s">
        <v>18</v>
      </c>
      <c r="F16862" s="30" t="s">
        <v>19</v>
      </c>
      <c r="G16862" s="30" t="s">
        <v>158</v>
      </c>
      <c r="H16862" s="32">
        <v>2772</v>
      </c>
      <c r="I16862" s="30" t="s">
        <v>21</v>
      </c>
      <c r="J16862" s="41">
        <v>45168</v>
      </c>
      <c r="K16862" s="30" t="s">
        <v>22</v>
      </c>
    </row>
    <row r="16863" spans="1:11">
      <c r="A16863" s="33" t="s">
        <v>37767</v>
      </c>
      <c r="B16863" s="33" t="s">
        <v>37768</v>
      </c>
      <c r="C16863" s="33" t="s">
        <v>37769</v>
      </c>
      <c r="D16863" s="33" t="s">
        <v>17</v>
      </c>
      <c r="E16863" s="33" t="s">
        <v>18</v>
      </c>
      <c r="F16863" s="33" t="s">
        <v>19</v>
      </c>
      <c r="G16863" s="33" t="s">
        <v>140</v>
      </c>
      <c r="H16863" s="35">
        <v>436</v>
      </c>
      <c r="I16863" s="33" t="s">
        <v>51</v>
      </c>
      <c r="J16863" s="42">
        <v>45229</v>
      </c>
      <c r="K16863" s="33" t="s">
        <v>22</v>
      </c>
    </row>
    <row r="16864" spans="1:11">
      <c r="A16864" s="30" t="s">
        <v>37770</v>
      </c>
      <c r="B16864" s="30" t="s">
        <v>37771</v>
      </c>
      <c r="C16864" s="30" t="s">
        <v>149</v>
      </c>
      <c r="D16864" s="30" t="s">
        <v>17</v>
      </c>
      <c r="E16864" s="30" t="s">
        <v>18</v>
      </c>
      <c r="F16864" s="30" t="s">
        <v>19</v>
      </c>
      <c r="G16864" s="30" t="s">
        <v>20</v>
      </c>
      <c r="H16864" s="32">
        <v>765</v>
      </c>
      <c r="I16864" s="30" t="s">
        <v>21</v>
      </c>
      <c r="J16864" s="41">
        <v>45274</v>
      </c>
      <c r="K16864" s="30" t="s">
        <v>22</v>
      </c>
    </row>
    <row r="16865" spans="1:11">
      <c r="A16865" s="33" t="s">
        <v>37772</v>
      </c>
      <c r="B16865" s="33" t="s">
        <v>37773</v>
      </c>
      <c r="C16865" s="33" t="s">
        <v>969</v>
      </c>
      <c r="D16865" s="33" t="s">
        <v>17</v>
      </c>
      <c r="E16865" s="33" t="s">
        <v>212</v>
      </c>
      <c r="F16865" s="33" t="s">
        <v>213</v>
      </c>
      <c r="G16865" s="33" t="s">
        <v>20</v>
      </c>
      <c r="H16865" s="35">
        <v>250</v>
      </c>
      <c r="I16865" s="33" t="s">
        <v>21</v>
      </c>
      <c r="J16865" s="42">
        <v>45274</v>
      </c>
      <c r="K16865" s="33" t="s">
        <v>22</v>
      </c>
    </row>
    <row r="16866" spans="1:11">
      <c r="A16866" s="30" t="s">
        <v>37774</v>
      </c>
      <c r="B16866" s="30" t="s">
        <v>37775</v>
      </c>
      <c r="C16866" s="30" t="s">
        <v>37776</v>
      </c>
      <c r="D16866" s="30" t="s">
        <v>17</v>
      </c>
      <c r="E16866" s="30" t="s">
        <v>18</v>
      </c>
      <c r="F16866" s="30" t="s">
        <v>19</v>
      </c>
      <c r="G16866" s="30" t="s">
        <v>7780</v>
      </c>
      <c r="H16866" s="32">
        <v>350</v>
      </c>
      <c r="I16866" s="30" t="s">
        <v>51</v>
      </c>
      <c r="J16866" s="41">
        <v>45047</v>
      </c>
      <c r="K16866" s="30" t="s">
        <v>22</v>
      </c>
    </row>
    <row r="16867" spans="1:11">
      <c r="A16867" s="33" t="s">
        <v>37777</v>
      </c>
      <c r="B16867" s="33" t="s">
        <v>37778</v>
      </c>
      <c r="C16867" s="33" t="s">
        <v>102</v>
      </c>
      <c r="D16867" s="33" t="s">
        <v>17</v>
      </c>
      <c r="E16867" s="33" t="s">
        <v>67</v>
      </c>
      <c r="F16867" s="33" t="s">
        <v>68</v>
      </c>
      <c r="G16867" s="33" t="s">
        <v>158</v>
      </c>
      <c r="H16867" s="35">
        <v>71</v>
      </c>
      <c r="I16867" s="33" t="s">
        <v>21</v>
      </c>
      <c r="J16867" s="42">
        <v>45064</v>
      </c>
      <c r="K16867" s="33" t="s">
        <v>22</v>
      </c>
    </row>
    <row r="16868" spans="1:11">
      <c r="A16868" s="30" t="s">
        <v>37779</v>
      </c>
      <c r="B16868" s="30" t="s">
        <v>37780</v>
      </c>
      <c r="C16868" s="30" t="s">
        <v>34255</v>
      </c>
      <c r="D16868" s="30" t="s">
        <v>17</v>
      </c>
      <c r="E16868" s="30" t="s">
        <v>18</v>
      </c>
      <c r="F16868" s="30" t="s">
        <v>19</v>
      </c>
      <c r="G16868" s="30" t="s">
        <v>140</v>
      </c>
      <c r="H16868" s="32">
        <v>245</v>
      </c>
      <c r="I16868" s="30" t="s">
        <v>51</v>
      </c>
      <c r="J16868" s="41">
        <v>45091</v>
      </c>
      <c r="K16868" s="30" t="s">
        <v>22</v>
      </c>
    </row>
    <row r="16869" spans="1:11">
      <c r="A16869" s="33" t="s">
        <v>37781</v>
      </c>
      <c r="B16869" s="33" t="s">
        <v>37782</v>
      </c>
      <c r="C16869" s="33" t="s">
        <v>2772</v>
      </c>
      <c r="D16869" s="33" t="s">
        <v>17</v>
      </c>
      <c r="E16869" s="33" t="s">
        <v>18</v>
      </c>
      <c r="F16869" s="33" t="s">
        <v>19</v>
      </c>
      <c r="G16869" s="33" t="s">
        <v>158</v>
      </c>
      <c r="H16869" s="35">
        <v>411</v>
      </c>
      <c r="I16869" s="33" t="s">
        <v>21</v>
      </c>
      <c r="J16869" s="42">
        <v>45021</v>
      </c>
      <c r="K16869" s="33" t="s">
        <v>22</v>
      </c>
    </row>
    <row r="16870" spans="1:11">
      <c r="A16870" s="30" t="s">
        <v>37783</v>
      </c>
      <c r="B16870" s="30" t="s">
        <v>37784</v>
      </c>
      <c r="C16870" s="30" t="s">
        <v>957</v>
      </c>
      <c r="D16870" s="30" t="s">
        <v>17</v>
      </c>
      <c r="E16870" s="30" t="s">
        <v>26</v>
      </c>
      <c r="F16870" s="30" t="s">
        <v>27</v>
      </c>
      <c r="G16870" s="30" t="s">
        <v>20</v>
      </c>
      <c r="H16870" s="32">
        <v>26</v>
      </c>
      <c r="I16870" s="30" t="s">
        <v>21</v>
      </c>
      <c r="J16870" s="41">
        <v>44950</v>
      </c>
      <c r="K16870" s="30" t="s">
        <v>22</v>
      </c>
    </row>
    <row r="16871" spans="1:11">
      <c r="A16871" s="33" t="s">
        <v>37785</v>
      </c>
      <c r="B16871" s="33" t="s">
        <v>37786</v>
      </c>
      <c r="C16871" s="33" t="s">
        <v>23495</v>
      </c>
      <c r="D16871" s="33" t="s">
        <v>17</v>
      </c>
      <c r="E16871" s="33" t="s">
        <v>18</v>
      </c>
      <c r="F16871" s="33" t="s">
        <v>19</v>
      </c>
      <c r="G16871" s="33" t="s">
        <v>50</v>
      </c>
      <c r="H16871" s="35">
        <v>516</v>
      </c>
      <c r="I16871" s="33" t="s">
        <v>51</v>
      </c>
      <c r="J16871" s="42">
        <v>45045</v>
      </c>
      <c r="K16871" s="33" t="s">
        <v>22</v>
      </c>
    </row>
    <row r="16872" spans="1:11">
      <c r="A16872" s="30" t="s">
        <v>37787</v>
      </c>
      <c r="B16872" s="30" t="s">
        <v>37788</v>
      </c>
      <c r="C16872" s="30" t="s">
        <v>37789</v>
      </c>
      <c r="D16872" s="30" t="s">
        <v>17</v>
      </c>
      <c r="E16872" s="30" t="s">
        <v>26</v>
      </c>
      <c r="F16872" s="30" t="s">
        <v>27</v>
      </c>
      <c r="G16872" s="30" t="s">
        <v>50</v>
      </c>
      <c r="H16872" s="32">
        <v>150</v>
      </c>
      <c r="I16872" s="30" t="s">
        <v>51</v>
      </c>
      <c r="J16872" s="41">
        <v>45188</v>
      </c>
      <c r="K16872" s="30" t="s">
        <v>22</v>
      </c>
    </row>
    <row r="16873" spans="1:11">
      <c r="A16873" s="33" t="s">
        <v>37790</v>
      </c>
      <c r="B16873" s="33" t="s">
        <v>37791</v>
      </c>
      <c r="C16873" s="33" t="s">
        <v>16854</v>
      </c>
      <c r="D16873" s="33" t="s">
        <v>17</v>
      </c>
      <c r="E16873" s="33" t="s">
        <v>26</v>
      </c>
      <c r="F16873" s="33" t="s">
        <v>27</v>
      </c>
      <c r="G16873" s="33" t="s">
        <v>140</v>
      </c>
      <c r="H16873" s="35">
        <v>48</v>
      </c>
      <c r="I16873" s="33" t="s">
        <v>51</v>
      </c>
      <c r="J16873" s="42">
        <v>45140</v>
      </c>
      <c r="K16873" s="33" t="s">
        <v>22</v>
      </c>
    </row>
    <row r="16874" spans="1:11">
      <c r="A16874" s="30" t="s">
        <v>37792</v>
      </c>
      <c r="B16874" s="30" t="s">
        <v>37793</v>
      </c>
      <c r="C16874" s="30" t="s">
        <v>22010</v>
      </c>
      <c r="D16874" s="30" t="s">
        <v>17</v>
      </c>
      <c r="E16874" s="30" t="s">
        <v>26</v>
      </c>
      <c r="F16874" s="30" t="s">
        <v>27</v>
      </c>
      <c r="G16874" s="30" t="s">
        <v>20</v>
      </c>
      <c r="H16874" s="32">
        <v>75</v>
      </c>
      <c r="I16874" s="30" t="s">
        <v>21</v>
      </c>
      <c r="J16874" s="41">
        <v>45072</v>
      </c>
      <c r="K16874" s="30" t="s">
        <v>22</v>
      </c>
    </row>
    <row r="16875" spans="1:11">
      <c r="A16875" s="33" t="s">
        <v>37794</v>
      </c>
      <c r="B16875" s="33" t="s">
        <v>37795</v>
      </c>
      <c r="C16875" s="33" t="s">
        <v>17636</v>
      </c>
      <c r="D16875" s="33" t="s">
        <v>17</v>
      </c>
      <c r="E16875" s="33" t="s">
        <v>31</v>
      </c>
      <c r="F16875" s="33" t="s">
        <v>32</v>
      </c>
      <c r="G16875" s="33" t="s">
        <v>20</v>
      </c>
      <c r="H16875" s="35">
        <v>450</v>
      </c>
      <c r="I16875" s="33" t="s">
        <v>21</v>
      </c>
      <c r="J16875" s="42">
        <v>45015</v>
      </c>
      <c r="K16875" s="33" t="s">
        <v>22</v>
      </c>
    </row>
    <row r="16876" spans="1:11">
      <c r="A16876" s="30" t="s">
        <v>37796</v>
      </c>
      <c r="B16876" s="30" t="s">
        <v>37797</v>
      </c>
      <c r="C16876" s="30" t="s">
        <v>27046</v>
      </c>
      <c r="D16876" s="30" t="s">
        <v>17</v>
      </c>
      <c r="E16876" s="30" t="s">
        <v>67</v>
      </c>
      <c r="F16876" s="30" t="s">
        <v>68</v>
      </c>
      <c r="G16876" s="30" t="s">
        <v>20</v>
      </c>
      <c r="H16876" s="32">
        <v>144</v>
      </c>
      <c r="I16876" s="30" t="s">
        <v>21</v>
      </c>
      <c r="J16876" s="41">
        <v>45207</v>
      </c>
      <c r="K16876" s="30" t="s">
        <v>22</v>
      </c>
    </row>
    <row r="16877" spans="1:11">
      <c r="A16877" s="33" t="s">
        <v>37798</v>
      </c>
      <c r="B16877" s="33" t="s">
        <v>37799</v>
      </c>
      <c r="C16877" s="33" t="s">
        <v>22530</v>
      </c>
      <c r="D16877" s="33" t="s">
        <v>17</v>
      </c>
      <c r="E16877" s="33" t="s">
        <v>31</v>
      </c>
      <c r="F16877" s="33" t="s">
        <v>32</v>
      </c>
      <c r="G16877" s="33" t="s">
        <v>20</v>
      </c>
      <c r="H16877" s="35">
        <v>127</v>
      </c>
      <c r="I16877" s="33" t="s">
        <v>21</v>
      </c>
      <c r="J16877" s="42">
        <v>45168</v>
      </c>
      <c r="K16877" s="33" t="s">
        <v>22</v>
      </c>
    </row>
    <row r="16878" spans="1:11">
      <c r="A16878" s="30" t="s">
        <v>37800</v>
      </c>
      <c r="B16878" s="30" t="s">
        <v>37801</v>
      </c>
      <c r="C16878" s="30" t="s">
        <v>24276</v>
      </c>
      <c r="D16878" s="30" t="s">
        <v>17</v>
      </c>
      <c r="E16878" s="30" t="s">
        <v>31</v>
      </c>
      <c r="F16878" s="30" t="s">
        <v>32</v>
      </c>
      <c r="G16878" s="30" t="s">
        <v>50</v>
      </c>
      <c r="H16878" s="32">
        <v>240</v>
      </c>
      <c r="I16878" s="30" t="s">
        <v>51</v>
      </c>
      <c r="J16878" s="41">
        <v>45139</v>
      </c>
      <c r="K16878" s="30" t="s">
        <v>22</v>
      </c>
    </row>
    <row r="16879" spans="1:11">
      <c r="A16879" s="33" t="s">
        <v>37802</v>
      </c>
      <c r="B16879" s="33" t="s">
        <v>37803</v>
      </c>
      <c r="C16879" s="33" t="s">
        <v>510</v>
      </c>
      <c r="D16879" s="33" t="s">
        <v>17</v>
      </c>
      <c r="E16879" s="33" t="s">
        <v>67</v>
      </c>
      <c r="F16879" s="33" t="s">
        <v>68</v>
      </c>
      <c r="G16879" s="33" t="s">
        <v>140</v>
      </c>
      <c r="H16879" s="35">
        <v>63</v>
      </c>
      <c r="I16879" s="33" t="s">
        <v>51</v>
      </c>
      <c r="J16879" s="42">
        <v>45216</v>
      </c>
      <c r="K16879" s="33" t="s">
        <v>22</v>
      </c>
    </row>
    <row r="16880" spans="1:11">
      <c r="A16880" s="30" t="s">
        <v>37804</v>
      </c>
      <c r="B16880" s="30" t="s">
        <v>37805</v>
      </c>
      <c r="C16880" s="30" t="s">
        <v>10046</v>
      </c>
      <c r="D16880" s="30" t="s">
        <v>17</v>
      </c>
      <c r="E16880" s="30" t="s">
        <v>31</v>
      </c>
      <c r="F16880" s="30" t="s">
        <v>32</v>
      </c>
      <c r="G16880" s="30" t="s">
        <v>69</v>
      </c>
      <c r="H16880" s="32">
        <v>60</v>
      </c>
      <c r="I16880" s="30" t="s">
        <v>51</v>
      </c>
      <c r="J16880" s="41">
        <v>45231</v>
      </c>
      <c r="K16880" s="30" t="s">
        <v>22</v>
      </c>
    </row>
    <row r="16881" spans="1:11">
      <c r="A16881" s="33" t="s">
        <v>37806</v>
      </c>
      <c r="B16881" s="33" t="s">
        <v>37807</v>
      </c>
      <c r="C16881" s="33" t="s">
        <v>2562</v>
      </c>
      <c r="D16881" s="33" t="s">
        <v>17</v>
      </c>
      <c r="E16881" s="33" t="s">
        <v>31</v>
      </c>
      <c r="F16881" s="33" t="s">
        <v>32</v>
      </c>
      <c r="G16881" s="33" t="s">
        <v>20</v>
      </c>
      <c r="H16881" s="35">
        <v>160</v>
      </c>
      <c r="I16881" s="33" t="s">
        <v>21</v>
      </c>
      <c r="J16881" s="42">
        <v>44995</v>
      </c>
      <c r="K16881" s="33" t="s">
        <v>22</v>
      </c>
    </row>
    <row r="16882" spans="1:11">
      <c r="A16882" s="30" t="s">
        <v>37808</v>
      </c>
      <c r="B16882" s="30" t="s">
        <v>32444</v>
      </c>
      <c r="C16882" s="30" t="s">
        <v>130</v>
      </c>
      <c r="D16882" s="30" t="s">
        <v>17</v>
      </c>
      <c r="E16882" s="30" t="s">
        <v>26</v>
      </c>
      <c r="F16882" s="30" t="s">
        <v>27</v>
      </c>
      <c r="G16882" s="30" t="s">
        <v>140</v>
      </c>
      <c r="H16882" s="32">
        <v>225</v>
      </c>
      <c r="I16882" s="30" t="s">
        <v>51</v>
      </c>
      <c r="J16882" s="41">
        <v>45194</v>
      </c>
      <c r="K16882" s="30" t="s">
        <v>22</v>
      </c>
    </row>
    <row r="16883" spans="1:11">
      <c r="A16883" s="33" t="s">
        <v>37809</v>
      </c>
      <c r="B16883" s="33" t="s">
        <v>37810</v>
      </c>
      <c r="C16883" s="33" t="s">
        <v>231</v>
      </c>
      <c r="D16883" s="33" t="s">
        <v>17</v>
      </c>
      <c r="E16883" s="33" t="s">
        <v>26</v>
      </c>
      <c r="F16883" s="33" t="s">
        <v>27</v>
      </c>
      <c r="G16883" s="33" t="s">
        <v>20</v>
      </c>
      <c r="H16883" s="35">
        <v>67</v>
      </c>
      <c r="I16883" s="33" t="s">
        <v>21</v>
      </c>
      <c r="J16883" s="42">
        <v>45047</v>
      </c>
      <c r="K16883" s="33" t="s">
        <v>22</v>
      </c>
    </row>
    <row r="16884" spans="1:11">
      <c r="A16884" s="30" t="s">
        <v>37811</v>
      </c>
      <c r="B16884" s="30" t="s">
        <v>37812</v>
      </c>
      <c r="C16884" s="30" t="s">
        <v>37813</v>
      </c>
      <c r="D16884" s="30" t="s">
        <v>17</v>
      </c>
      <c r="E16884" s="30" t="s">
        <v>26</v>
      </c>
      <c r="F16884" s="30" t="s">
        <v>27</v>
      </c>
      <c r="G16884" s="30" t="s">
        <v>20</v>
      </c>
      <c r="H16884" s="32">
        <v>8</v>
      </c>
      <c r="I16884" s="30" t="s">
        <v>21</v>
      </c>
      <c r="J16884" s="41">
        <v>45035</v>
      </c>
      <c r="K16884" s="30" t="s">
        <v>22</v>
      </c>
    </row>
    <row r="16885" spans="1:11">
      <c r="A16885" s="33" t="s">
        <v>37814</v>
      </c>
      <c r="B16885" s="33" t="s">
        <v>37815</v>
      </c>
      <c r="C16885" s="33" t="s">
        <v>109</v>
      </c>
      <c r="D16885" s="33" t="s">
        <v>17</v>
      </c>
      <c r="E16885" s="33" t="s">
        <v>18</v>
      </c>
      <c r="F16885" s="33" t="s">
        <v>19</v>
      </c>
      <c r="G16885" s="33" t="s">
        <v>106</v>
      </c>
      <c r="H16885" s="35">
        <v>163</v>
      </c>
      <c r="I16885" s="33" t="s">
        <v>21</v>
      </c>
      <c r="J16885" s="42">
        <v>45043</v>
      </c>
      <c r="K16885" s="33" t="s">
        <v>22</v>
      </c>
    </row>
    <row r="16886" spans="1:11">
      <c r="A16886" s="30" t="s">
        <v>37816</v>
      </c>
      <c r="B16886" s="30" t="s">
        <v>37817</v>
      </c>
      <c r="C16886" s="30" t="s">
        <v>18324</v>
      </c>
      <c r="D16886" s="30" t="s">
        <v>17</v>
      </c>
      <c r="E16886" s="30" t="s">
        <v>26</v>
      </c>
      <c r="F16886" s="30" t="s">
        <v>27</v>
      </c>
      <c r="G16886" s="30" t="s">
        <v>20</v>
      </c>
      <c r="H16886" s="32">
        <v>31</v>
      </c>
      <c r="I16886" s="30" t="s">
        <v>21</v>
      </c>
      <c r="J16886" s="41">
        <v>44935</v>
      </c>
      <c r="K16886" s="30" t="s">
        <v>22</v>
      </c>
    </row>
    <row r="16887" spans="1:11">
      <c r="A16887" s="33" t="s">
        <v>37818</v>
      </c>
      <c r="B16887" s="33" t="s">
        <v>37819</v>
      </c>
      <c r="C16887" s="33" t="s">
        <v>16737</v>
      </c>
      <c r="D16887" s="33" t="s">
        <v>17</v>
      </c>
      <c r="E16887" s="33" t="s">
        <v>26</v>
      </c>
      <c r="F16887" s="33" t="s">
        <v>27</v>
      </c>
      <c r="G16887" s="33" t="s">
        <v>20</v>
      </c>
      <c r="H16887" s="35">
        <v>13</v>
      </c>
      <c r="I16887" s="33" t="s">
        <v>21</v>
      </c>
      <c r="J16887" s="42">
        <v>45254</v>
      </c>
      <c r="K16887" s="33" t="s">
        <v>22</v>
      </c>
    </row>
    <row r="16888" spans="1:11">
      <c r="A16888" s="30" t="s">
        <v>37820</v>
      </c>
      <c r="B16888" s="30" t="s">
        <v>37821</v>
      </c>
      <c r="C16888" s="30" t="s">
        <v>37822</v>
      </c>
      <c r="D16888" s="30" t="s">
        <v>17</v>
      </c>
      <c r="E16888" s="30" t="s">
        <v>67</v>
      </c>
      <c r="F16888" s="30" t="s">
        <v>68</v>
      </c>
      <c r="G16888" s="30" t="s">
        <v>158</v>
      </c>
      <c r="H16888" s="32">
        <v>160</v>
      </c>
      <c r="I16888" s="30" t="s">
        <v>51</v>
      </c>
      <c r="J16888" s="41">
        <v>45044</v>
      </c>
      <c r="K16888" s="30" t="s">
        <v>22</v>
      </c>
    </row>
    <row r="16889" spans="1:11">
      <c r="A16889" s="33" t="s">
        <v>37823</v>
      </c>
      <c r="B16889" s="33" t="s">
        <v>37824</v>
      </c>
      <c r="C16889" s="33" t="s">
        <v>1598</v>
      </c>
      <c r="D16889" s="33" t="s">
        <v>17</v>
      </c>
      <c r="E16889" s="33" t="s">
        <v>26</v>
      </c>
      <c r="F16889" s="33" t="s">
        <v>27</v>
      </c>
      <c r="G16889" s="33" t="s">
        <v>112</v>
      </c>
      <c r="H16889" s="35">
        <v>0</v>
      </c>
      <c r="I16889" s="33" t="s">
        <v>21</v>
      </c>
      <c r="J16889" s="42">
        <v>45135</v>
      </c>
      <c r="K16889" s="33" t="s">
        <v>22</v>
      </c>
    </row>
    <row r="16890" spans="1:11">
      <c r="A16890" s="30" t="s">
        <v>37825</v>
      </c>
      <c r="B16890" s="30" t="s">
        <v>37826</v>
      </c>
      <c r="C16890" s="30" t="s">
        <v>21674</v>
      </c>
      <c r="D16890" s="30" t="s">
        <v>17</v>
      </c>
      <c r="E16890" s="30" t="s">
        <v>31</v>
      </c>
      <c r="F16890" s="30" t="s">
        <v>32</v>
      </c>
      <c r="G16890" s="30" t="s">
        <v>140</v>
      </c>
      <c r="H16890" s="32">
        <v>276</v>
      </c>
      <c r="I16890" s="30" t="s">
        <v>51</v>
      </c>
      <c r="J16890" s="41">
        <v>45090</v>
      </c>
      <c r="K16890" s="30" t="s">
        <v>22</v>
      </c>
    </row>
    <row r="16891" spans="1:11">
      <c r="A16891" s="33" t="s">
        <v>37827</v>
      </c>
      <c r="B16891" s="33" t="s">
        <v>37828</v>
      </c>
      <c r="C16891" s="33" t="s">
        <v>7831</v>
      </c>
      <c r="D16891" s="33" t="s">
        <v>17</v>
      </c>
      <c r="E16891" s="33" t="s">
        <v>18</v>
      </c>
      <c r="F16891" s="33" t="s">
        <v>19</v>
      </c>
      <c r="G16891" s="33" t="s">
        <v>140</v>
      </c>
      <c r="H16891" s="35">
        <v>340</v>
      </c>
      <c r="I16891" s="33" t="s">
        <v>51</v>
      </c>
      <c r="J16891" s="42">
        <v>44993</v>
      </c>
      <c r="K16891" s="33" t="s">
        <v>22</v>
      </c>
    </row>
    <row r="16892" spans="1:11">
      <c r="A16892" s="30" t="s">
        <v>37829</v>
      </c>
      <c r="B16892" s="30" t="s">
        <v>37830</v>
      </c>
      <c r="C16892" s="30" t="s">
        <v>93</v>
      </c>
      <c r="D16892" s="30" t="s">
        <v>17</v>
      </c>
      <c r="E16892" s="30" t="s">
        <v>26</v>
      </c>
      <c r="F16892" s="30" t="s">
        <v>27</v>
      </c>
      <c r="G16892" s="30" t="s">
        <v>20</v>
      </c>
      <c r="H16892" s="32">
        <v>38</v>
      </c>
      <c r="I16892" s="30" t="s">
        <v>21</v>
      </c>
      <c r="J16892" s="41">
        <v>45107</v>
      </c>
      <c r="K16892" s="30" t="s">
        <v>22</v>
      </c>
    </row>
    <row r="16893" spans="1:11">
      <c r="A16893" s="33" t="s">
        <v>37831</v>
      </c>
      <c r="B16893" s="33" t="s">
        <v>37832</v>
      </c>
      <c r="C16893" s="33" t="s">
        <v>801</v>
      </c>
      <c r="D16893" s="33" t="s">
        <v>17</v>
      </c>
      <c r="E16893" s="33" t="s">
        <v>26</v>
      </c>
      <c r="F16893" s="33" t="s">
        <v>27</v>
      </c>
      <c r="G16893" s="33" t="s">
        <v>20</v>
      </c>
      <c r="H16893" s="35">
        <v>30</v>
      </c>
      <c r="I16893" s="33" t="s">
        <v>21</v>
      </c>
      <c r="J16893" s="42">
        <v>45118</v>
      </c>
      <c r="K16893" s="33" t="s">
        <v>22</v>
      </c>
    </row>
    <row r="16894" spans="1:11">
      <c r="A16894" s="30" t="s">
        <v>37833</v>
      </c>
      <c r="B16894" s="30" t="s">
        <v>37834</v>
      </c>
      <c r="C16894" s="30" t="s">
        <v>1077</v>
      </c>
      <c r="D16894" s="30" t="s">
        <v>17</v>
      </c>
      <c r="E16894" s="30" t="s">
        <v>26</v>
      </c>
      <c r="F16894" s="30" t="s">
        <v>27</v>
      </c>
      <c r="G16894" s="30" t="s">
        <v>20</v>
      </c>
      <c r="H16894" s="32">
        <v>128</v>
      </c>
      <c r="I16894" s="30" t="s">
        <v>21</v>
      </c>
      <c r="J16894" s="41">
        <v>45232</v>
      </c>
      <c r="K16894" s="30" t="s">
        <v>22</v>
      </c>
    </row>
    <row r="16895" spans="1:11">
      <c r="A16895" s="33" t="s">
        <v>37835</v>
      </c>
      <c r="B16895" s="33" t="s">
        <v>37836</v>
      </c>
      <c r="C16895" s="33" t="s">
        <v>10752</v>
      </c>
      <c r="D16895" s="33" t="s">
        <v>17</v>
      </c>
      <c r="E16895" s="33" t="s">
        <v>26</v>
      </c>
      <c r="F16895" s="33" t="s">
        <v>27</v>
      </c>
      <c r="G16895" s="33" t="s">
        <v>20</v>
      </c>
      <c r="H16895" s="35">
        <v>56</v>
      </c>
      <c r="I16895" s="33" t="s">
        <v>21</v>
      </c>
      <c r="J16895" s="42">
        <v>45001</v>
      </c>
      <c r="K16895" s="33" t="s">
        <v>22</v>
      </c>
    </row>
    <row r="16896" spans="1:11">
      <c r="A16896" s="30" t="s">
        <v>37837</v>
      </c>
      <c r="B16896" s="30" t="s">
        <v>37838</v>
      </c>
      <c r="C16896" s="30" t="s">
        <v>8046</v>
      </c>
      <c r="D16896" s="30" t="s">
        <v>17</v>
      </c>
      <c r="E16896" s="30" t="s">
        <v>26</v>
      </c>
      <c r="F16896" s="30" t="s">
        <v>27</v>
      </c>
      <c r="G16896" s="30" t="s">
        <v>20</v>
      </c>
      <c r="H16896" s="32">
        <v>8</v>
      </c>
      <c r="I16896" s="30" t="s">
        <v>21</v>
      </c>
      <c r="J16896" s="41">
        <v>45124</v>
      </c>
      <c r="K16896" s="30" t="s">
        <v>22</v>
      </c>
    </row>
    <row r="16897" spans="1:11">
      <c r="A16897" s="33" t="s">
        <v>37839</v>
      </c>
      <c r="B16897" s="33" t="s">
        <v>37840</v>
      </c>
      <c r="C16897" s="33" t="s">
        <v>2663</v>
      </c>
      <c r="D16897" s="33" t="s">
        <v>17</v>
      </c>
      <c r="E16897" s="33" t="s">
        <v>26</v>
      </c>
      <c r="F16897" s="33" t="s">
        <v>27</v>
      </c>
      <c r="G16897" s="33" t="s">
        <v>20</v>
      </c>
      <c r="H16897" s="35">
        <v>10</v>
      </c>
      <c r="I16897" s="33" t="s">
        <v>21</v>
      </c>
      <c r="J16897" s="42">
        <v>44942</v>
      </c>
      <c r="K16897" s="33" t="s">
        <v>22</v>
      </c>
    </row>
    <row r="16898" spans="1:11">
      <c r="A16898" s="30" t="s">
        <v>37841</v>
      </c>
      <c r="B16898" s="30" t="s">
        <v>37842</v>
      </c>
      <c r="C16898" s="30" t="s">
        <v>8888</v>
      </c>
      <c r="D16898" s="30" t="s">
        <v>17</v>
      </c>
      <c r="E16898" s="30" t="s">
        <v>18</v>
      </c>
      <c r="F16898" s="30" t="s">
        <v>19</v>
      </c>
      <c r="G16898" s="30" t="s">
        <v>158</v>
      </c>
      <c r="H16898" s="32">
        <v>160</v>
      </c>
      <c r="I16898" s="30" t="s">
        <v>21</v>
      </c>
      <c r="J16898" s="41">
        <v>45020</v>
      </c>
      <c r="K16898" s="30" t="s">
        <v>22</v>
      </c>
    </row>
    <row r="16899" spans="1:11">
      <c r="A16899" s="33" t="s">
        <v>37843</v>
      </c>
      <c r="B16899" s="33" t="s">
        <v>37844</v>
      </c>
      <c r="C16899" s="33" t="s">
        <v>37845</v>
      </c>
      <c r="D16899" s="33" t="s">
        <v>17</v>
      </c>
      <c r="E16899" s="33" t="s">
        <v>26</v>
      </c>
      <c r="F16899" s="33" t="s">
        <v>27</v>
      </c>
      <c r="G16899" s="33" t="s">
        <v>20</v>
      </c>
      <c r="H16899" s="35">
        <v>78</v>
      </c>
      <c r="I16899" s="33" t="s">
        <v>21</v>
      </c>
      <c r="J16899" s="42">
        <v>45210</v>
      </c>
      <c r="K16899" s="33" t="s">
        <v>22</v>
      </c>
    </row>
    <row r="16900" spans="1:11">
      <c r="A16900" s="30" t="s">
        <v>37846</v>
      </c>
      <c r="B16900" s="30" t="s">
        <v>37847</v>
      </c>
      <c r="C16900" s="30" t="s">
        <v>3429</v>
      </c>
      <c r="D16900" s="30" t="s">
        <v>17</v>
      </c>
      <c r="E16900" s="30" t="s">
        <v>26</v>
      </c>
      <c r="F16900" s="30" t="s">
        <v>27</v>
      </c>
      <c r="G16900" s="30" t="s">
        <v>20</v>
      </c>
      <c r="H16900" s="32">
        <v>36</v>
      </c>
      <c r="I16900" s="30" t="s">
        <v>21</v>
      </c>
      <c r="J16900" s="41">
        <v>45137</v>
      </c>
      <c r="K16900" s="30" t="s">
        <v>22</v>
      </c>
    </row>
    <row r="16901" spans="1:11">
      <c r="A16901" s="33" t="s">
        <v>37848</v>
      </c>
      <c r="B16901" s="33" t="s">
        <v>37849</v>
      </c>
      <c r="C16901" s="33" t="s">
        <v>37850</v>
      </c>
      <c r="D16901" s="33" t="s">
        <v>17</v>
      </c>
      <c r="E16901" s="33" t="s">
        <v>31</v>
      </c>
      <c r="F16901" s="33" t="s">
        <v>32</v>
      </c>
      <c r="G16901" s="33" t="s">
        <v>158</v>
      </c>
      <c r="H16901" s="35">
        <v>61</v>
      </c>
      <c r="I16901" s="33" t="s">
        <v>21</v>
      </c>
      <c r="J16901" s="42">
        <v>44949</v>
      </c>
      <c r="K16901" s="33" t="s">
        <v>22</v>
      </c>
    </row>
    <row r="16902" spans="1:11">
      <c r="A16902" s="30" t="s">
        <v>37851</v>
      </c>
      <c r="B16902" s="30" t="s">
        <v>37852</v>
      </c>
      <c r="C16902" s="30" t="s">
        <v>37853</v>
      </c>
      <c r="D16902" s="30" t="s">
        <v>17</v>
      </c>
      <c r="E16902" s="30" t="s">
        <v>18</v>
      </c>
      <c r="F16902" s="30" t="s">
        <v>19</v>
      </c>
      <c r="G16902" s="30" t="s">
        <v>20</v>
      </c>
      <c r="H16902" s="32">
        <v>34</v>
      </c>
      <c r="I16902" s="30" t="s">
        <v>21</v>
      </c>
      <c r="J16902" s="41">
        <v>45112</v>
      </c>
      <c r="K16902" s="30" t="s">
        <v>22</v>
      </c>
    </row>
    <row r="16903" spans="1:11">
      <c r="A16903" s="33" t="s">
        <v>37854</v>
      </c>
      <c r="B16903" s="33" t="s">
        <v>37855</v>
      </c>
      <c r="C16903" s="33" t="s">
        <v>7015</v>
      </c>
      <c r="D16903" s="33" t="s">
        <v>17</v>
      </c>
      <c r="E16903" s="33" t="s">
        <v>212</v>
      </c>
      <c r="F16903" s="33" t="s">
        <v>213</v>
      </c>
      <c r="G16903" s="33" t="s">
        <v>20</v>
      </c>
      <c r="H16903" s="35">
        <v>164</v>
      </c>
      <c r="I16903" s="33" t="s">
        <v>21</v>
      </c>
      <c r="J16903" s="42">
        <v>45243</v>
      </c>
      <c r="K16903" s="33" t="s">
        <v>22</v>
      </c>
    </row>
    <row r="16904" spans="1:11">
      <c r="A16904" s="30" t="s">
        <v>37856</v>
      </c>
      <c r="B16904" s="30" t="s">
        <v>37857</v>
      </c>
      <c r="C16904" s="30" t="s">
        <v>5805</v>
      </c>
      <c r="D16904" s="30" t="s">
        <v>17</v>
      </c>
      <c r="E16904" s="30" t="s">
        <v>26</v>
      </c>
      <c r="F16904" s="30" t="s">
        <v>27</v>
      </c>
      <c r="G16904" s="30" t="s">
        <v>20</v>
      </c>
      <c r="H16904" s="32">
        <v>20</v>
      </c>
      <c r="I16904" s="30" t="s">
        <v>21</v>
      </c>
      <c r="J16904" s="41">
        <v>45057</v>
      </c>
      <c r="K16904" s="30" t="s">
        <v>22</v>
      </c>
    </row>
    <row r="16905" spans="1:11">
      <c r="A16905" s="33" t="s">
        <v>37858</v>
      </c>
      <c r="B16905" s="33" t="s">
        <v>37859</v>
      </c>
      <c r="C16905" s="33" t="s">
        <v>1085</v>
      </c>
      <c r="D16905" s="33" t="s">
        <v>17</v>
      </c>
      <c r="E16905" s="33" t="s">
        <v>67</v>
      </c>
      <c r="F16905" s="33" t="s">
        <v>68</v>
      </c>
      <c r="G16905" s="33" t="s">
        <v>140</v>
      </c>
      <c r="H16905" s="35">
        <v>120</v>
      </c>
      <c r="I16905" s="33" t="s">
        <v>51</v>
      </c>
      <c r="J16905" s="42">
        <v>45229</v>
      </c>
      <c r="K16905" s="33" t="s">
        <v>22</v>
      </c>
    </row>
    <row r="16906" spans="1:11">
      <c r="A16906" s="30" t="s">
        <v>37860</v>
      </c>
      <c r="B16906" s="30" t="s">
        <v>37861</v>
      </c>
      <c r="C16906" s="30" t="s">
        <v>7900</v>
      </c>
      <c r="D16906" s="30" t="s">
        <v>17</v>
      </c>
      <c r="E16906" s="30" t="s">
        <v>18</v>
      </c>
      <c r="F16906" s="30" t="s">
        <v>19</v>
      </c>
      <c r="G16906" s="30" t="s">
        <v>20</v>
      </c>
      <c r="H16906" s="32">
        <v>200</v>
      </c>
      <c r="I16906" s="30" t="s">
        <v>21</v>
      </c>
      <c r="J16906" s="41">
        <v>44929</v>
      </c>
      <c r="K16906" s="30" t="s">
        <v>22</v>
      </c>
    </row>
    <row r="16907" spans="1:11">
      <c r="A16907" s="33" t="s">
        <v>37862</v>
      </c>
      <c r="B16907" s="33" t="s">
        <v>37863</v>
      </c>
      <c r="C16907" s="33" t="s">
        <v>14816</v>
      </c>
      <c r="D16907" s="33" t="s">
        <v>17</v>
      </c>
      <c r="E16907" s="33" t="s">
        <v>26</v>
      </c>
      <c r="F16907" s="33" t="s">
        <v>27</v>
      </c>
      <c r="G16907" s="33" t="s">
        <v>50</v>
      </c>
      <c r="H16907" s="35">
        <v>70</v>
      </c>
      <c r="I16907" s="33" t="s">
        <v>51</v>
      </c>
      <c r="J16907" s="42">
        <v>45261</v>
      </c>
      <c r="K16907" s="33" t="s">
        <v>22</v>
      </c>
    </row>
    <row r="16908" spans="1:11">
      <c r="A16908" s="30" t="s">
        <v>37864</v>
      </c>
      <c r="B16908" s="30" t="s">
        <v>37865</v>
      </c>
      <c r="C16908" s="30" t="s">
        <v>15609</v>
      </c>
      <c r="D16908" s="30" t="s">
        <v>17</v>
      </c>
      <c r="E16908" s="30" t="s">
        <v>67</v>
      </c>
      <c r="F16908" s="30" t="s">
        <v>68</v>
      </c>
      <c r="G16908" s="30" t="s">
        <v>140</v>
      </c>
      <c r="H16908" s="32">
        <v>120</v>
      </c>
      <c r="I16908" s="30" t="s">
        <v>51</v>
      </c>
      <c r="J16908" s="41">
        <v>45190</v>
      </c>
      <c r="K16908" s="30" t="s">
        <v>22</v>
      </c>
    </row>
    <row r="16909" spans="1:11">
      <c r="A16909" s="33" t="s">
        <v>37866</v>
      </c>
      <c r="B16909" s="33" t="s">
        <v>37867</v>
      </c>
      <c r="C16909" s="33" t="s">
        <v>14483</v>
      </c>
      <c r="D16909" s="33" t="s">
        <v>17</v>
      </c>
      <c r="E16909" s="33" t="s">
        <v>31</v>
      </c>
      <c r="F16909" s="33" t="s">
        <v>32</v>
      </c>
      <c r="G16909" s="33" t="s">
        <v>50</v>
      </c>
      <c r="H16909" s="35">
        <v>240</v>
      </c>
      <c r="I16909" s="33" t="s">
        <v>51</v>
      </c>
      <c r="J16909" s="42">
        <v>45189</v>
      </c>
      <c r="K16909" s="33" t="s">
        <v>22</v>
      </c>
    </row>
    <row r="16910" spans="1:11">
      <c r="A16910" s="30" t="s">
        <v>37868</v>
      </c>
      <c r="B16910" s="30" t="s">
        <v>37869</v>
      </c>
      <c r="C16910" s="30" t="s">
        <v>37870</v>
      </c>
      <c r="D16910" s="30" t="s">
        <v>17</v>
      </c>
      <c r="E16910" s="30" t="s">
        <v>18</v>
      </c>
      <c r="F16910" s="30" t="s">
        <v>19</v>
      </c>
      <c r="G16910" s="30" t="s">
        <v>140</v>
      </c>
      <c r="H16910" s="32">
        <v>1920</v>
      </c>
      <c r="I16910" s="30" t="s">
        <v>51</v>
      </c>
      <c r="J16910" s="41">
        <v>45177</v>
      </c>
      <c r="K16910" s="30" t="s">
        <v>22</v>
      </c>
    </row>
    <row r="16911" spans="1:11">
      <c r="A16911" s="33" t="s">
        <v>37871</v>
      </c>
      <c r="B16911" s="33" t="s">
        <v>37872</v>
      </c>
      <c r="C16911" s="33" t="s">
        <v>12799</v>
      </c>
      <c r="D16911" s="33" t="s">
        <v>17</v>
      </c>
      <c r="E16911" s="33" t="s">
        <v>67</v>
      </c>
      <c r="F16911" s="33" t="s">
        <v>68</v>
      </c>
      <c r="G16911" s="33" t="s">
        <v>112</v>
      </c>
      <c r="H16911" s="35">
        <v>0</v>
      </c>
      <c r="I16911" s="33" t="s">
        <v>21</v>
      </c>
      <c r="J16911" s="42">
        <v>45107</v>
      </c>
      <c r="K16911" s="33" t="s">
        <v>22</v>
      </c>
    </row>
    <row r="16912" spans="1:11">
      <c r="A16912" s="30" t="s">
        <v>37873</v>
      </c>
      <c r="B16912" s="30" t="s">
        <v>37874</v>
      </c>
      <c r="C16912" s="30" t="s">
        <v>157</v>
      </c>
      <c r="D16912" s="30" t="s">
        <v>17</v>
      </c>
      <c r="E16912" s="30" t="s">
        <v>26</v>
      </c>
      <c r="F16912" s="30" t="s">
        <v>27</v>
      </c>
      <c r="G16912" s="30" t="s">
        <v>20</v>
      </c>
      <c r="H16912" s="32">
        <v>24</v>
      </c>
      <c r="I16912" s="30" t="s">
        <v>21</v>
      </c>
      <c r="J16912" s="41">
        <v>45071</v>
      </c>
      <c r="K16912" s="30" t="s">
        <v>22</v>
      </c>
    </row>
    <row r="16913" spans="1:11">
      <c r="A16913" s="33" t="s">
        <v>37875</v>
      </c>
      <c r="B16913" s="33" t="s">
        <v>37876</v>
      </c>
      <c r="C16913" s="33" t="s">
        <v>37877</v>
      </c>
      <c r="D16913" s="33" t="s">
        <v>17</v>
      </c>
      <c r="E16913" s="33" t="s">
        <v>26</v>
      </c>
      <c r="F16913" s="33" t="s">
        <v>27</v>
      </c>
      <c r="G16913" s="33" t="s">
        <v>158</v>
      </c>
      <c r="H16913" s="35">
        <v>56</v>
      </c>
      <c r="I16913" s="33" t="s">
        <v>51</v>
      </c>
      <c r="J16913" s="42">
        <v>45195</v>
      </c>
      <c r="K16913" s="33" t="s">
        <v>22</v>
      </c>
    </row>
    <row r="16914" spans="1:11">
      <c r="A16914" s="30" t="s">
        <v>37878</v>
      </c>
      <c r="B16914" s="30" t="s">
        <v>37879</v>
      </c>
      <c r="C16914" s="30" t="s">
        <v>37880</v>
      </c>
      <c r="D16914" s="30" t="s">
        <v>17</v>
      </c>
      <c r="E16914" s="30" t="s">
        <v>212</v>
      </c>
      <c r="F16914" s="30" t="s">
        <v>213</v>
      </c>
      <c r="G16914" s="30" t="s">
        <v>50</v>
      </c>
      <c r="H16914" s="32">
        <v>35</v>
      </c>
      <c r="I16914" s="30" t="s">
        <v>51</v>
      </c>
      <c r="J16914" s="41">
        <v>44927</v>
      </c>
      <c r="K16914" s="30" t="s">
        <v>22</v>
      </c>
    </row>
    <row r="16915" spans="1:11">
      <c r="A16915" s="33" t="s">
        <v>37881</v>
      </c>
      <c r="B16915" s="33" t="s">
        <v>37882</v>
      </c>
      <c r="C16915" s="33" t="s">
        <v>37883</v>
      </c>
      <c r="D16915" s="33" t="s">
        <v>17</v>
      </c>
      <c r="E16915" s="33" t="s">
        <v>18</v>
      </c>
      <c r="F16915" s="33" t="s">
        <v>19</v>
      </c>
      <c r="G16915" s="33" t="s">
        <v>20</v>
      </c>
      <c r="H16915" s="35">
        <v>416</v>
      </c>
      <c r="I16915" s="33" t="s">
        <v>21</v>
      </c>
      <c r="J16915" s="42">
        <v>45093</v>
      </c>
      <c r="K16915" s="33" t="s">
        <v>22</v>
      </c>
    </row>
    <row r="16916" spans="1:11">
      <c r="A16916" s="30" t="s">
        <v>37884</v>
      </c>
      <c r="B16916" s="30" t="s">
        <v>37885</v>
      </c>
      <c r="C16916" s="30" t="s">
        <v>30388</v>
      </c>
      <c r="D16916" s="30" t="s">
        <v>17</v>
      </c>
      <c r="E16916" s="30" t="s">
        <v>26</v>
      </c>
      <c r="F16916" s="30" t="s">
        <v>27</v>
      </c>
      <c r="G16916" s="30" t="s">
        <v>158</v>
      </c>
      <c r="H16916" s="32">
        <v>2</v>
      </c>
      <c r="I16916" s="30" t="s">
        <v>51</v>
      </c>
      <c r="J16916" s="41">
        <v>45184</v>
      </c>
      <c r="K16916" s="30" t="s">
        <v>22</v>
      </c>
    </row>
    <row r="16917" spans="1:11">
      <c r="A16917" s="33" t="s">
        <v>37886</v>
      </c>
      <c r="B16917" s="33" t="s">
        <v>37887</v>
      </c>
      <c r="C16917" s="33" t="s">
        <v>124</v>
      </c>
      <c r="D16917" s="33" t="s">
        <v>17</v>
      </c>
      <c r="E16917" s="33" t="s">
        <v>26</v>
      </c>
      <c r="F16917" s="33" t="s">
        <v>27</v>
      </c>
      <c r="G16917" s="33" t="s">
        <v>20</v>
      </c>
      <c r="H16917" s="35">
        <v>6</v>
      </c>
      <c r="I16917" s="33" t="s">
        <v>21</v>
      </c>
      <c r="J16917" s="42">
        <v>45209</v>
      </c>
      <c r="K16917" s="33" t="s">
        <v>22</v>
      </c>
    </row>
    <row r="16918" spans="1:11">
      <c r="A16918" s="30" t="s">
        <v>37888</v>
      </c>
      <c r="B16918" s="30" t="s">
        <v>37889</v>
      </c>
      <c r="C16918" s="30" t="s">
        <v>32527</v>
      </c>
      <c r="D16918" s="30" t="s">
        <v>17</v>
      </c>
      <c r="E16918" s="30" t="s">
        <v>26</v>
      </c>
      <c r="F16918" s="30" t="s">
        <v>27</v>
      </c>
      <c r="G16918" s="30" t="s">
        <v>7780</v>
      </c>
      <c r="H16918" s="32">
        <v>9</v>
      </c>
      <c r="I16918" s="30" t="s">
        <v>51</v>
      </c>
      <c r="J16918" s="41">
        <v>45168</v>
      </c>
      <c r="K16918" s="30" t="s">
        <v>22</v>
      </c>
    </row>
    <row r="16919" spans="1:11">
      <c r="A16919" s="33" t="s">
        <v>37890</v>
      </c>
      <c r="B16919" s="33" t="s">
        <v>37891</v>
      </c>
      <c r="C16919" s="33" t="s">
        <v>5696</v>
      </c>
      <c r="D16919" s="33" t="s">
        <v>17</v>
      </c>
      <c r="E16919" s="33" t="s">
        <v>31</v>
      </c>
      <c r="F16919" s="33" t="s">
        <v>32</v>
      </c>
      <c r="G16919" s="33" t="s">
        <v>20</v>
      </c>
      <c r="H16919" s="35">
        <v>50</v>
      </c>
      <c r="I16919" s="33" t="s">
        <v>21</v>
      </c>
      <c r="J16919" s="42">
        <v>45107</v>
      </c>
      <c r="K16919" s="33" t="s">
        <v>22</v>
      </c>
    </row>
    <row r="16920" spans="1:11">
      <c r="A16920" s="30" t="s">
        <v>37892</v>
      </c>
      <c r="B16920" s="30" t="s">
        <v>37893</v>
      </c>
      <c r="C16920" s="30" t="s">
        <v>7787</v>
      </c>
      <c r="D16920" s="30" t="s">
        <v>17</v>
      </c>
      <c r="E16920" s="30" t="s">
        <v>26</v>
      </c>
      <c r="F16920" s="30" t="s">
        <v>27</v>
      </c>
      <c r="G16920" s="30" t="s">
        <v>20</v>
      </c>
      <c r="H16920" s="32">
        <v>7</v>
      </c>
      <c r="I16920" s="30" t="s">
        <v>21</v>
      </c>
      <c r="J16920" s="41">
        <v>45117</v>
      </c>
      <c r="K16920" s="30" t="s">
        <v>22</v>
      </c>
    </row>
    <row r="16921" spans="1:11">
      <c r="A16921" s="33" t="s">
        <v>37894</v>
      </c>
      <c r="B16921" s="33" t="s">
        <v>37895</v>
      </c>
      <c r="C16921" s="33" t="s">
        <v>190</v>
      </c>
      <c r="D16921" s="33" t="s">
        <v>17</v>
      </c>
      <c r="E16921" s="33" t="s">
        <v>26</v>
      </c>
      <c r="F16921" s="33" t="s">
        <v>27</v>
      </c>
      <c r="G16921" s="33" t="s">
        <v>20</v>
      </c>
      <c r="H16921" s="35">
        <v>113</v>
      </c>
      <c r="I16921" s="33" t="s">
        <v>21</v>
      </c>
      <c r="J16921" s="42">
        <v>45190</v>
      </c>
      <c r="K16921" s="33" t="s">
        <v>22</v>
      </c>
    </row>
    <row r="16922" spans="1:11">
      <c r="A16922" s="30" t="s">
        <v>37896</v>
      </c>
      <c r="B16922" s="30" t="s">
        <v>37897</v>
      </c>
      <c r="C16922" s="30" t="s">
        <v>136</v>
      </c>
      <c r="D16922" s="30" t="s">
        <v>17</v>
      </c>
      <c r="E16922" s="30" t="s">
        <v>26</v>
      </c>
      <c r="F16922" s="30" t="s">
        <v>27</v>
      </c>
      <c r="G16922" s="30" t="s">
        <v>20</v>
      </c>
      <c r="H16922" s="32">
        <v>32</v>
      </c>
      <c r="I16922" s="30" t="s">
        <v>21</v>
      </c>
      <c r="J16922" s="41">
        <v>45147</v>
      </c>
      <c r="K16922" s="30" t="s">
        <v>22</v>
      </c>
    </row>
    <row r="16923" spans="1:11">
      <c r="A16923" s="33" t="s">
        <v>37898</v>
      </c>
      <c r="B16923" s="33" t="s">
        <v>37899</v>
      </c>
      <c r="C16923" s="33" t="s">
        <v>25928</v>
      </c>
      <c r="D16923" s="33" t="s">
        <v>17</v>
      </c>
      <c r="E16923" s="33" t="s">
        <v>31</v>
      </c>
      <c r="F16923" s="33" t="s">
        <v>32</v>
      </c>
      <c r="G16923" s="33" t="s">
        <v>20</v>
      </c>
      <c r="H16923" s="35">
        <v>57</v>
      </c>
      <c r="I16923" s="33" t="s">
        <v>21</v>
      </c>
      <c r="J16923" s="42">
        <v>45211</v>
      </c>
      <c r="K16923" s="33" t="s">
        <v>22</v>
      </c>
    </row>
    <row r="16924" spans="1:11">
      <c r="A16924" s="30" t="s">
        <v>37900</v>
      </c>
      <c r="B16924" s="30" t="s">
        <v>37901</v>
      </c>
      <c r="C16924" s="30" t="s">
        <v>252</v>
      </c>
      <c r="D16924" s="30" t="s">
        <v>17</v>
      </c>
      <c r="E16924" s="30" t="s">
        <v>18</v>
      </c>
      <c r="F16924" s="30" t="s">
        <v>19</v>
      </c>
      <c r="G16924" s="30" t="s">
        <v>7780</v>
      </c>
      <c r="H16924" s="32">
        <v>642</v>
      </c>
      <c r="I16924" s="30" t="s">
        <v>51</v>
      </c>
      <c r="J16924" s="41">
        <v>45244</v>
      </c>
      <c r="K16924" s="30" t="s">
        <v>22</v>
      </c>
    </row>
    <row r="16925" spans="1:11">
      <c r="A16925" s="33" t="s">
        <v>37902</v>
      </c>
      <c r="B16925" s="33" t="s">
        <v>37903</v>
      </c>
      <c r="C16925" s="33" t="s">
        <v>37904</v>
      </c>
      <c r="D16925" s="33" t="s">
        <v>17</v>
      </c>
      <c r="E16925" s="33" t="s">
        <v>26</v>
      </c>
      <c r="F16925" s="33" t="s">
        <v>27</v>
      </c>
      <c r="G16925" s="33" t="s">
        <v>20</v>
      </c>
      <c r="H16925" s="35">
        <v>10</v>
      </c>
      <c r="I16925" s="33" t="s">
        <v>21</v>
      </c>
      <c r="J16925" s="42">
        <v>45160</v>
      </c>
      <c r="K16925" s="33" t="s">
        <v>22</v>
      </c>
    </row>
    <row r="16926" spans="1:11">
      <c r="A16926" s="30" t="s">
        <v>37905</v>
      </c>
      <c r="B16926" s="30" t="s">
        <v>37906</v>
      </c>
      <c r="C16926" s="30" t="s">
        <v>450</v>
      </c>
      <c r="D16926" s="30" t="s">
        <v>17</v>
      </c>
      <c r="E16926" s="30" t="s">
        <v>26</v>
      </c>
      <c r="F16926" s="30" t="s">
        <v>27</v>
      </c>
      <c r="G16926" s="30" t="s">
        <v>20</v>
      </c>
      <c r="H16926" s="32">
        <v>20</v>
      </c>
      <c r="I16926" s="30" t="s">
        <v>21</v>
      </c>
      <c r="J16926" s="41">
        <v>44958</v>
      </c>
      <c r="K16926" s="30" t="s">
        <v>22</v>
      </c>
    </row>
    <row r="16927" spans="1:11">
      <c r="A16927" s="33" t="s">
        <v>37907</v>
      </c>
      <c r="B16927" s="33" t="s">
        <v>37908</v>
      </c>
      <c r="C16927" s="33" t="s">
        <v>190</v>
      </c>
      <c r="D16927" s="33" t="s">
        <v>17</v>
      </c>
      <c r="E16927" s="33" t="s">
        <v>26</v>
      </c>
      <c r="F16927" s="33" t="s">
        <v>27</v>
      </c>
      <c r="G16927" s="33" t="s">
        <v>20</v>
      </c>
      <c r="H16927" s="35">
        <v>35</v>
      </c>
      <c r="I16927" s="33" t="s">
        <v>21</v>
      </c>
      <c r="J16927" s="42">
        <v>45093</v>
      </c>
      <c r="K16927" s="33" t="s">
        <v>22</v>
      </c>
    </row>
    <row r="16928" spans="1:11">
      <c r="A16928" s="30" t="s">
        <v>37909</v>
      </c>
      <c r="B16928" s="30" t="s">
        <v>33047</v>
      </c>
      <c r="C16928" s="30" t="s">
        <v>109</v>
      </c>
      <c r="D16928" s="30" t="s">
        <v>17</v>
      </c>
      <c r="E16928" s="30" t="s">
        <v>18</v>
      </c>
      <c r="F16928" s="30" t="s">
        <v>19</v>
      </c>
      <c r="G16928" s="30" t="s">
        <v>106</v>
      </c>
      <c r="H16928" s="32">
        <v>33</v>
      </c>
      <c r="I16928" s="30" t="s">
        <v>21</v>
      </c>
      <c r="J16928" s="41">
        <v>45148</v>
      </c>
      <c r="K16928" s="30" t="s">
        <v>22</v>
      </c>
    </row>
    <row r="16929" spans="1:11">
      <c r="A16929" s="33" t="s">
        <v>37910</v>
      </c>
      <c r="B16929" s="33" t="s">
        <v>37911</v>
      </c>
      <c r="C16929" s="33" t="s">
        <v>18780</v>
      </c>
      <c r="D16929" s="33" t="s">
        <v>17</v>
      </c>
      <c r="E16929" s="33" t="s">
        <v>26</v>
      </c>
      <c r="F16929" s="33" t="s">
        <v>27</v>
      </c>
      <c r="G16929" s="33" t="s">
        <v>20</v>
      </c>
      <c r="H16929" s="35">
        <v>28</v>
      </c>
      <c r="I16929" s="33" t="s">
        <v>21</v>
      </c>
      <c r="J16929" s="42">
        <v>45236</v>
      </c>
      <c r="K16929" s="33" t="s">
        <v>22</v>
      </c>
    </row>
    <row r="16930" spans="1:11">
      <c r="A16930" s="30" t="s">
        <v>37912</v>
      </c>
      <c r="B16930" s="30" t="s">
        <v>37913</v>
      </c>
      <c r="C16930" s="30" t="s">
        <v>1090</v>
      </c>
      <c r="D16930" s="30" t="s">
        <v>17</v>
      </c>
      <c r="E16930" s="30" t="s">
        <v>31</v>
      </c>
      <c r="F16930" s="30" t="s">
        <v>32</v>
      </c>
      <c r="G16930" s="30" t="s">
        <v>50</v>
      </c>
      <c r="H16930" s="32">
        <v>240</v>
      </c>
      <c r="I16930" s="30" t="s">
        <v>51</v>
      </c>
      <c r="J16930" s="41">
        <v>44985</v>
      </c>
      <c r="K16930" s="30" t="s">
        <v>22</v>
      </c>
    </row>
    <row r="16931" spans="1:11">
      <c r="A16931" s="33" t="s">
        <v>37914</v>
      </c>
      <c r="B16931" s="33" t="s">
        <v>37915</v>
      </c>
      <c r="C16931" s="33" t="s">
        <v>231</v>
      </c>
      <c r="D16931" s="33" t="s">
        <v>17</v>
      </c>
      <c r="E16931" s="33" t="s">
        <v>31</v>
      </c>
      <c r="F16931" s="33" t="s">
        <v>32</v>
      </c>
      <c r="G16931" s="33" t="s">
        <v>140</v>
      </c>
      <c r="H16931" s="35">
        <v>204</v>
      </c>
      <c r="I16931" s="33" t="s">
        <v>51</v>
      </c>
      <c r="J16931" s="42">
        <v>45212</v>
      </c>
      <c r="K16931" s="33" t="s">
        <v>22</v>
      </c>
    </row>
    <row r="16932" spans="1:11">
      <c r="A16932" s="30" t="s">
        <v>37916</v>
      </c>
      <c r="B16932" s="30" t="s">
        <v>37917</v>
      </c>
      <c r="C16932" s="30" t="s">
        <v>96</v>
      </c>
      <c r="D16932" s="30" t="s">
        <v>17</v>
      </c>
      <c r="E16932" s="30" t="s">
        <v>67</v>
      </c>
      <c r="F16932" s="30" t="s">
        <v>68</v>
      </c>
      <c r="G16932" s="30" t="s">
        <v>158</v>
      </c>
      <c r="H16932" s="32">
        <v>936</v>
      </c>
      <c r="I16932" s="30" t="s">
        <v>21</v>
      </c>
      <c r="J16932" s="41">
        <v>45008</v>
      </c>
      <c r="K16932" s="30" t="s">
        <v>22</v>
      </c>
    </row>
    <row r="16933" spans="1:11">
      <c r="A16933" s="33" t="s">
        <v>37918</v>
      </c>
      <c r="B16933" s="33" t="s">
        <v>37919</v>
      </c>
      <c r="C16933" s="33" t="s">
        <v>96</v>
      </c>
      <c r="D16933" s="33" t="s">
        <v>17</v>
      </c>
      <c r="E16933" s="33" t="s">
        <v>26</v>
      </c>
      <c r="F16933" s="33" t="s">
        <v>27</v>
      </c>
      <c r="G16933" s="33" t="s">
        <v>20</v>
      </c>
      <c r="H16933" s="35">
        <v>117</v>
      </c>
      <c r="I16933" s="33" t="s">
        <v>21</v>
      </c>
      <c r="J16933" s="42">
        <v>45226</v>
      </c>
      <c r="K16933" s="33" t="s">
        <v>22</v>
      </c>
    </row>
    <row r="16934" spans="1:11">
      <c r="A16934" s="30" t="s">
        <v>37920</v>
      </c>
      <c r="B16934" s="30" t="s">
        <v>37921</v>
      </c>
      <c r="C16934" s="30" t="s">
        <v>37922</v>
      </c>
      <c r="D16934" s="30" t="s">
        <v>17</v>
      </c>
      <c r="E16934" s="30" t="s">
        <v>26</v>
      </c>
      <c r="F16934" s="30" t="s">
        <v>27</v>
      </c>
      <c r="G16934" s="30" t="s">
        <v>69</v>
      </c>
      <c r="H16934" s="32">
        <v>131</v>
      </c>
      <c r="I16934" s="30" t="s">
        <v>51</v>
      </c>
      <c r="J16934" s="41">
        <v>45128</v>
      </c>
      <c r="K16934" s="30" t="s">
        <v>22</v>
      </c>
    </row>
    <row r="16935" spans="1:11">
      <c r="A16935" s="33" t="s">
        <v>37923</v>
      </c>
      <c r="B16935" s="33" t="s">
        <v>37924</v>
      </c>
      <c r="C16935" s="33" t="s">
        <v>28441</v>
      </c>
      <c r="D16935" s="33" t="s">
        <v>17</v>
      </c>
      <c r="E16935" s="33" t="s">
        <v>212</v>
      </c>
      <c r="F16935" s="33" t="s">
        <v>213</v>
      </c>
      <c r="G16935" s="33" t="s">
        <v>20</v>
      </c>
      <c r="H16935" s="35">
        <v>246</v>
      </c>
      <c r="I16935" s="33" t="s">
        <v>21</v>
      </c>
      <c r="J16935" s="42">
        <v>45279</v>
      </c>
      <c r="K16935" s="33" t="s">
        <v>22</v>
      </c>
    </row>
    <row r="16936" spans="1:11">
      <c r="A16936" s="30" t="s">
        <v>37925</v>
      </c>
      <c r="B16936" s="30" t="s">
        <v>37926</v>
      </c>
      <c r="C16936" s="30" t="s">
        <v>20064</v>
      </c>
      <c r="D16936" s="30" t="s">
        <v>17</v>
      </c>
      <c r="E16936" s="30" t="s">
        <v>26</v>
      </c>
      <c r="F16936" s="30" t="s">
        <v>27</v>
      </c>
      <c r="G16936" s="30" t="s">
        <v>20</v>
      </c>
      <c r="H16936" s="32">
        <v>35</v>
      </c>
      <c r="I16936" s="30" t="s">
        <v>21</v>
      </c>
      <c r="J16936" s="41">
        <v>45205</v>
      </c>
      <c r="K16936" s="30" t="s">
        <v>22</v>
      </c>
    </row>
    <row r="16937" spans="1:11">
      <c r="A16937" s="33" t="s">
        <v>37927</v>
      </c>
      <c r="B16937" s="33" t="s">
        <v>37928</v>
      </c>
      <c r="C16937" s="33" t="s">
        <v>647</v>
      </c>
      <c r="D16937" s="33" t="s">
        <v>17</v>
      </c>
      <c r="E16937" s="33" t="s">
        <v>26</v>
      </c>
      <c r="F16937" s="33" t="s">
        <v>27</v>
      </c>
      <c r="G16937" s="33" t="s">
        <v>20</v>
      </c>
      <c r="H16937" s="35">
        <v>34</v>
      </c>
      <c r="I16937" s="33" t="s">
        <v>21</v>
      </c>
      <c r="J16937" s="42">
        <v>45223</v>
      </c>
      <c r="K16937" s="33" t="s">
        <v>22</v>
      </c>
    </row>
    <row r="16938" spans="1:11">
      <c r="A16938" s="30" t="s">
        <v>37929</v>
      </c>
      <c r="B16938" s="30" t="s">
        <v>37930</v>
      </c>
      <c r="C16938" s="30" t="s">
        <v>3655</v>
      </c>
      <c r="D16938" s="30" t="s">
        <v>17</v>
      </c>
      <c r="E16938" s="30" t="s">
        <v>26</v>
      </c>
      <c r="F16938" s="30" t="s">
        <v>27</v>
      </c>
      <c r="G16938" s="30" t="s">
        <v>20</v>
      </c>
      <c r="H16938" s="32">
        <v>120</v>
      </c>
      <c r="I16938" s="30" t="s">
        <v>21</v>
      </c>
      <c r="J16938" s="41">
        <v>45034</v>
      </c>
      <c r="K16938" s="30" t="s">
        <v>22</v>
      </c>
    </row>
    <row r="16939" spans="1:11">
      <c r="A16939" s="33" t="s">
        <v>37931</v>
      </c>
      <c r="B16939" s="33" t="s">
        <v>37932</v>
      </c>
      <c r="C16939" s="33" t="s">
        <v>149</v>
      </c>
      <c r="D16939" s="33" t="s">
        <v>17</v>
      </c>
      <c r="E16939" s="33" t="s">
        <v>67</v>
      </c>
      <c r="F16939" s="33" t="s">
        <v>68</v>
      </c>
      <c r="G16939" s="33" t="s">
        <v>140</v>
      </c>
      <c r="H16939" s="35">
        <v>364</v>
      </c>
      <c r="I16939" s="33" t="s">
        <v>51</v>
      </c>
      <c r="J16939" s="42">
        <v>45149</v>
      </c>
      <c r="K16939" s="33" t="s">
        <v>22</v>
      </c>
    </row>
    <row r="16940" spans="1:11">
      <c r="A16940" s="30" t="s">
        <v>37933</v>
      </c>
      <c r="B16940" s="30" t="s">
        <v>37934</v>
      </c>
      <c r="C16940" s="30" t="s">
        <v>93</v>
      </c>
      <c r="D16940" s="30" t="s">
        <v>17</v>
      </c>
      <c r="E16940" s="30" t="s">
        <v>18</v>
      </c>
      <c r="F16940" s="30" t="s">
        <v>19</v>
      </c>
      <c r="G16940" s="30" t="s">
        <v>20</v>
      </c>
      <c r="H16940" s="32">
        <v>249</v>
      </c>
      <c r="I16940" s="30" t="s">
        <v>21</v>
      </c>
      <c r="J16940" s="41">
        <v>45216</v>
      </c>
      <c r="K16940" s="30" t="s">
        <v>22</v>
      </c>
    </row>
    <row r="16941" spans="1:11">
      <c r="A16941" s="33" t="s">
        <v>37935</v>
      </c>
      <c r="B16941" s="33" t="s">
        <v>37936</v>
      </c>
      <c r="C16941" s="33" t="s">
        <v>252</v>
      </c>
      <c r="D16941" s="33" t="s">
        <v>17</v>
      </c>
      <c r="E16941" s="33" t="s">
        <v>26</v>
      </c>
      <c r="F16941" s="33" t="s">
        <v>27</v>
      </c>
      <c r="G16941" s="33" t="s">
        <v>20</v>
      </c>
      <c r="H16941" s="35">
        <v>19</v>
      </c>
      <c r="I16941" s="33" t="s">
        <v>21</v>
      </c>
      <c r="J16941" s="42">
        <v>44966</v>
      </c>
      <c r="K16941" s="33" t="s">
        <v>22</v>
      </c>
    </row>
    <row r="16942" spans="1:11">
      <c r="A16942" s="30" t="s">
        <v>37937</v>
      </c>
      <c r="B16942" s="30" t="s">
        <v>37938</v>
      </c>
      <c r="C16942" s="30" t="s">
        <v>10079</v>
      </c>
      <c r="D16942" s="30" t="s">
        <v>17</v>
      </c>
      <c r="E16942" s="30" t="s">
        <v>31</v>
      </c>
      <c r="F16942" s="30" t="s">
        <v>32</v>
      </c>
      <c r="G16942" s="30" t="s">
        <v>20</v>
      </c>
      <c r="H16942" s="32">
        <v>108</v>
      </c>
      <c r="I16942" s="30" t="s">
        <v>21</v>
      </c>
      <c r="J16942" s="41">
        <v>45280</v>
      </c>
      <c r="K16942" s="30" t="s">
        <v>22</v>
      </c>
    </row>
    <row r="16943" spans="1:11">
      <c r="A16943" s="33" t="s">
        <v>37939</v>
      </c>
      <c r="B16943" s="33" t="s">
        <v>37940</v>
      </c>
      <c r="C16943" s="33" t="s">
        <v>4476</v>
      </c>
      <c r="D16943" s="33" t="s">
        <v>17</v>
      </c>
      <c r="E16943" s="33" t="s">
        <v>26</v>
      </c>
      <c r="F16943" s="33" t="s">
        <v>27</v>
      </c>
      <c r="G16943" s="33" t="s">
        <v>50</v>
      </c>
      <c r="H16943" s="35">
        <v>18</v>
      </c>
      <c r="I16943" s="33" t="s">
        <v>51</v>
      </c>
      <c r="J16943" s="42">
        <v>45291</v>
      </c>
      <c r="K16943" s="33" t="s">
        <v>22</v>
      </c>
    </row>
    <row r="16944" spans="1:11">
      <c r="A16944" s="30" t="s">
        <v>37941</v>
      </c>
      <c r="B16944" s="30" t="s">
        <v>37942</v>
      </c>
      <c r="C16944" s="30" t="s">
        <v>969</v>
      </c>
      <c r="D16944" s="30" t="s">
        <v>17</v>
      </c>
      <c r="E16944" s="30" t="s">
        <v>26</v>
      </c>
      <c r="F16944" s="30" t="s">
        <v>27</v>
      </c>
      <c r="G16944" s="30" t="s">
        <v>20</v>
      </c>
      <c r="H16944" s="32">
        <v>123</v>
      </c>
      <c r="I16944" s="30" t="s">
        <v>21</v>
      </c>
      <c r="J16944" s="41">
        <v>45271</v>
      </c>
      <c r="K16944" s="30" t="s">
        <v>22</v>
      </c>
    </row>
    <row r="16945" spans="1:11">
      <c r="A16945" s="33" t="s">
        <v>37943</v>
      </c>
      <c r="B16945" s="33" t="s">
        <v>37944</v>
      </c>
      <c r="C16945" s="33" t="s">
        <v>2472</v>
      </c>
      <c r="D16945" s="33" t="s">
        <v>17</v>
      </c>
      <c r="E16945" s="33" t="s">
        <v>31</v>
      </c>
      <c r="F16945" s="33" t="s">
        <v>32</v>
      </c>
      <c r="G16945" s="33" t="s">
        <v>20</v>
      </c>
      <c r="H16945" s="35">
        <v>360</v>
      </c>
      <c r="I16945" s="33" t="s">
        <v>21</v>
      </c>
      <c r="J16945" s="42">
        <v>45245</v>
      </c>
      <c r="K16945" s="33" t="s">
        <v>22</v>
      </c>
    </row>
    <row r="16946" spans="1:11">
      <c r="A16946" s="30" t="s">
        <v>37945</v>
      </c>
      <c r="B16946" s="30" t="s">
        <v>37946</v>
      </c>
      <c r="C16946" s="30" t="s">
        <v>149</v>
      </c>
      <c r="D16946" s="30" t="s">
        <v>17</v>
      </c>
      <c r="E16946" s="30" t="s">
        <v>67</v>
      </c>
      <c r="F16946" s="30" t="s">
        <v>68</v>
      </c>
      <c r="G16946" s="30" t="s">
        <v>50</v>
      </c>
      <c r="H16946" s="32">
        <v>300</v>
      </c>
      <c r="I16946" s="30" t="s">
        <v>51</v>
      </c>
      <c r="J16946" s="41">
        <v>45017</v>
      </c>
      <c r="K16946" s="30" t="s">
        <v>22</v>
      </c>
    </row>
    <row r="16947" spans="1:11">
      <c r="A16947" s="33" t="s">
        <v>37947</v>
      </c>
      <c r="B16947" s="33" t="s">
        <v>37948</v>
      </c>
      <c r="C16947" s="33" t="s">
        <v>60</v>
      </c>
      <c r="D16947" s="33" t="s">
        <v>17</v>
      </c>
      <c r="E16947" s="33" t="s">
        <v>31</v>
      </c>
      <c r="F16947" s="33" t="s">
        <v>32</v>
      </c>
      <c r="G16947" s="33" t="s">
        <v>20</v>
      </c>
      <c r="H16947" s="35">
        <v>218</v>
      </c>
      <c r="I16947" s="33" t="s">
        <v>21</v>
      </c>
      <c r="J16947" s="42">
        <v>45273</v>
      </c>
      <c r="K16947" s="33" t="s">
        <v>22</v>
      </c>
    </row>
    <row r="16948" spans="1:11">
      <c r="A16948" s="30" t="s">
        <v>37949</v>
      </c>
      <c r="B16948" s="30" t="s">
        <v>37950</v>
      </c>
      <c r="C16948" s="30" t="s">
        <v>75</v>
      </c>
      <c r="D16948" s="30" t="s">
        <v>17</v>
      </c>
      <c r="E16948" s="30" t="s">
        <v>31</v>
      </c>
      <c r="F16948" s="30" t="s">
        <v>32</v>
      </c>
      <c r="G16948" s="30" t="s">
        <v>106</v>
      </c>
      <c r="H16948" s="32">
        <v>1</v>
      </c>
      <c r="I16948" s="30" t="s">
        <v>21</v>
      </c>
      <c r="J16948" s="41">
        <v>45257</v>
      </c>
      <c r="K16948" s="30" t="s">
        <v>22</v>
      </c>
    </row>
    <row r="16949" spans="1:11">
      <c r="A16949" s="33" t="s">
        <v>37951</v>
      </c>
      <c r="B16949" s="33" t="s">
        <v>37952</v>
      </c>
      <c r="C16949" s="33" t="s">
        <v>216</v>
      </c>
      <c r="D16949" s="33" t="s">
        <v>17</v>
      </c>
      <c r="E16949" s="33" t="s">
        <v>31</v>
      </c>
      <c r="F16949" s="33" t="s">
        <v>32</v>
      </c>
      <c r="G16949" s="33" t="s">
        <v>158</v>
      </c>
      <c r="H16949" s="35">
        <v>162</v>
      </c>
      <c r="I16949" s="33" t="s">
        <v>51</v>
      </c>
      <c r="J16949" s="42">
        <v>45139</v>
      </c>
      <c r="K16949" s="33" t="s">
        <v>22</v>
      </c>
    </row>
    <row r="16950" spans="1:11">
      <c r="A16950" s="30" t="s">
        <v>37953</v>
      </c>
      <c r="B16950" s="30" t="s">
        <v>37954</v>
      </c>
      <c r="C16950" s="30" t="s">
        <v>517</v>
      </c>
      <c r="D16950" s="30" t="s">
        <v>17</v>
      </c>
      <c r="E16950" s="30" t="s">
        <v>26</v>
      </c>
      <c r="F16950" s="30" t="s">
        <v>27</v>
      </c>
      <c r="G16950" s="30" t="s">
        <v>20</v>
      </c>
      <c r="H16950" s="32">
        <v>32</v>
      </c>
      <c r="I16950" s="30" t="s">
        <v>21</v>
      </c>
      <c r="J16950" s="41">
        <v>44998</v>
      </c>
      <c r="K16950" s="30" t="s">
        <v>22</v>
      </c>
    </row>
    <row r="16951" spans="1:11">
      <c r="A16951" s="33" t="s">
        <v>37955</v>
      </c>
      <c r="B16951" s="33" t="s">
        <v>37956</v>
      </c>
      <c r="C16951" s="33" t="s">
        <v>4622</v>
      </c>
      <c r="D16951" s="33" t="s">
        <v>17</v>
      </c>
      <c r="E16951" s="33" t="s">
        <v>26</v>
      </c>
      <c r="F16951" s="33" t="s">
        <v>27</v>
      </c>
      <c r="G16951" s="33" t="s">
        <v>20</v>
      </c>
      <c r="H16951" s="35">
        <v>30</v>
      </c>
      <c r="I16951" s="33" t="s">
        <v>21</v>
      </c>
      <c r="J16951" s="42">
        <v>44981</v>
      </c>
      <c r="K16951" s="33" t="s">
        <v>22</v>
      </c>
    </row>
    <row r="16952" spans="1:11">
      <c r="A16952" s="30" t="s">
        <v>37957</v>
      </c>
      <c r="B16952" s="30" t="s">
        <v>37958</v>
      </c>
      <c r="C16952" s="30" t="s">
        <v>75</v>
      </c>
      <c r="D16952" s="30" t="s">
        <v>17</v>
      </c>
      <c r="E16952" s="30" t="s">
        <v>212</v>
      </c>
      <c r="F16952" s="30" t="s">
        <v>213</v>
      </c>
      <c r="G16952" s="30" t="s">
        <v>106</v>
      </c>
      <c r="H16952" s="32">
        <v>130</v>
      </c>
      <c r="I16952" s="30" t="s">
        <v>21</v>
      </c>
      <c r="J16952" s="41">
        <v>45208</v>
      </c>
      <c r="K16952" s="30" t="s">
        <v>22</v>
      </c>
    </row>
    <row r="16953" spans="1:11">
      <c r="A16953" s="33" t="s">
        <v>37959</v>
      </c>
      <c r="B16953" s="33" t="s">
        <v>37960</v>
      </c>
      <c r="C16953" s="33" t="s">
        <v>178</v>
      </c>
      <c r="D16953" s="33" t="s">
        <v>17</v>
      </c>
      <c r="E16953" s="33" t="s">
        <v>26</v>
      </c>
      <c r="F16953" s="33" t="s">
        <v>27</v>
      </c>
      <c r="G16953" s="33" t="s">
        <v>158</v>
      </c>
      <c r="H16953" s="35">
        <v>30</v>
      </c>
      <c r="I16953" s="33" t="s">
        <v>51</v>
      </c>
      <c r="J16953" s="42">
        <v>45271</v>
      </c>
      <c r="K16953" s="33" t="s">
        <v>22</v>
      </c>
    </row>
    <row r="16954" spans="1:11">
      <c r="A16954" s="30" t="s">
        <v>37961</v>
      </c>
      <c r="B16954" s="30" t="s">
        <v>37962</v>
      </c>
      <c r="C16954" s="30" t="s">
        <v>1796</v>
      </c>
      <c r="D16954" s="30" t="s">
        <v>17</v>
      </c>
      <c r="E16954" s="30" t="s">
        <v>18</v>
      </c>
      <c r="F16954" s="30" t="s">
        <v>19</v>
      </c>
      <c r="G16954" s="30" t="s">
        <v>50</v>
      </c>
      <c r="H16954" s="32">
        <v>780</v>
      </c>
      <c r="I16954" s="30" t="s">
        <v>51</v>
      </c>
      <c r="J16954" s="41">
        <v>45015</v>
      </c>
      <c r="K16954" s="30" t="s">
        <v>22</v>
      </c>
    </row>
    <row r="16955" spans="1:11">
      <c r="A16955" s="33" t="s">
        <v>37963</v>
      </c>
      <c r="B16955" s="33" t="s">
        <v>37964</v>
      </c>
      <c r="C16955" s="33" t="s">
        <v>36231</v>
      </c>
      <c r="D16955" s="33" t="s">
        <v>17</v>
      </c>
      <c r="E16955" s="33" t="s">
        <v>26</v>
      </c>
      <c r="F16955" s="33" t="s">
        <v>27</v>
      </c>
      <c r="G16955" s="33" t="s">
        <v>20</v>
      </c>
      <c r="H16955" s="35">
        <v>28</v>
      </c>
      <c r="I16955" s="33" t="s">
        <v>21</v>
      </c>
      <c r="J16955" s="42">
        <v>45096</v>
      </c>
      <c r="K16955" s="33" t="s">
        <v>22</v>
      </c>
    </row>
    <row r="16956" spans="1:11">
      <c r="A16956" s="30" t="s">
        <v>37965</v>
      </c>
      <c r="B16956" s="30" t="s">
        <v>37966</v>
      </c>
      <c r="C16956" s="30" t="s">
        <v>1210</v>
      </c>
      <c r="D16956" s="30" t="s">
        <v>17</v>
      </c>
      <c r="E16956" s="30" t="s">
        <v>26</v>
      </c>
      <c r="F16956" s="30" t="s">
        <v>27</v>
      </c>
      <c r="G16956" s="30" t="s">
        <v>140</v>
      </c>
      <c r="H16956" s="32">
        <v>108</v>
      </c>
      <c r="I16956" s="30" t="s">
        <v>51</v>
      </c>
      <c r="J16956" s="41">
        <v>45200</v>
      </c>
      <c r="K16956" s="30" t="s">
        <v>22</v>
      </c>
    </row>
    <row r="16957" spans="1:11">
      <c r="A16957" s="33" t="s">
        <v>37967</v>
      </c>
      <c r="B16957" s="33" t="s">
        <v>37968</v>
      </c>
      <c r="C16957" s="33" t="s">
        <v>118</v>
      </c>
      <c r="D16957" s="33" t="s">
        <v>17</v>
      </c>
      <c r="E16957" s="33" t="s">
        <v>18</v>
      </c>
      <c r="F16957" s="33" t="s">
        <v>19</v>
      </c>
      <c r="G16957" s="33" t="s">
        <v>20</v>
      </c>
      <c r="H16957" s="35">
        <v>404</v>
      </c>
      <c r="I16957" s="33" t="s">
        <v>21</v>
      </c>
      <c r="J16957" s="42">
        <v>45131</v>
      </c>
      <c r="K16957" s="33" t="s">
        <v>22</v>
      </c>
    </row>
    <row r="16958" spans="1:11">
      <c r="A16958" s="30" t="s">
        <v>37969</v>
      </c>
      <c r="B16958" s="30" t="s">
        <v>37970</v>
      </c>
      <c r="C16958" s="30" t="s">
        <v>969</v>
      </c>
      <c r="D16958" s="30" t="s">
        <v>17</v>
      </c>
      <c r="E16958" s="30" t="s">
        <v>26</v>
      </c>
      <c r="F16958" s="30" t="s">
        <v>27</v>
      </c>
      <c r="G16958" s="30" t="s">
        <v>20</v>
      </c>
      <c r="H16958" s="32">
        <v>28</v>
      </c>
      <c r="I16958" s="30" t="s">
        <v>21</v>
      </c>
      <c r="J16958" s="41">
        <v>45019</v>
      </c>
      <c r="K16958" s="30" t="s">
        <v>22</v>
      </c>
    </row>
    <row r="16959" spans="1:11">
      <c r="A16959" s="33" t="s">
        <v>37971</v>
      </c>
      <c r="B16959" s="33" t="s">
        <v>37972</v>
      </c>
      <c r="C16959" s="33" t="s">
        <v>37973</v>
      </c>
      <c r="D16959" s="33" t="s">
        <v>17</v>
      </c>
      <c r="E16959" s="33" t="s">
        <v>67</v>
      </c>
      <c r="F16959" s="33" t="s">
        <v>68</v>
      </c>
      <c r="G16959" s="33" t="s">
        <v>20</v>
      </c>
      <c r="H16959" s="35">
        <v>58</v>
      </c>
      <c r="I16959" s="33" t="s">
        <v>21</v>
      </c>
      <c r="J16959" s="42">
        <v>44980</v>
      </c>
      <c r="K16959" s="33" t="s">
        <v>22</v>
      </c>
    </row>
    <row r="16960" spans="1:11">
      <c r="A16960" s="30" t="s">
        <v>37974</v>
      </c>
      <c r="B16960" s="30" t="s">
        <v>37975</v>
      </c>
      <c r="C16960" s="30" t="s">
        <v>1691</v>
      </c>
      <c r="D16960" s="30" t="s">
        <v>17</v>
      </c>
      <c r="E16960" s="30" t="s">
        <v>31</v>
      </c>
      <c r="F16960" s="30" t="s">
        <v>32</v>
      </c>
      <c r="G16960" s="30" t="s">
        <v>20</v>
      </c>
      <c r="H16960" s="32">
        <v>271</v>
      </c>
      <c r="I16960" s="30" t="s">
        <v>21</v>
      </c>
      <c r="J16960" s="41">
        <v>45279</v>
      </c>
      <c r="K16960" s="30" t="s">
        <v>22</v>
      </c>
    </row>
    <row r="16961" spans="1:11">
      <c r="A16961" s="33" t="s">
        <v>37976</v>
      </c>
      <c r="B16961" s="33" t="s">
        <v>37977</v>
      </c>
      <c r="C16961" s="33" t="s">
        <v>187</v>
      </c>
      <c r="D16961" s="33" t="s">
        <v>17</v>
      </c>
      <c r="E16961" s="33" t="s">
        <v>18</v>
      </c>
      <c r="F16961" s="33" t="s">
        <v>19</v>
      </c>
      <c r="G16961" s="33" t="s">
        <v>50</v>
      </c>
      <c r="H16961" s="35">
        <v>570</v>
      </c>
      <c r="I16961" s="33" t="s">
        <v>51</v>
      </c>
      <c r="J16961" s="42">
        <v>44958</v>
      </c>
      <c r="K16961" s="33" t="s">
        <v>22</v>
      </c>
    </row>
    <row r="16962" spans="1:11">
      <c r="A16962" s="30" t="s">
        <v>37978</v>
      </c>
      <c r="B16962" s="30" t="s">
        <v>37979</v>
      </c>
      <c r="C16962" s="30" t="s">
        <v>37040</v>
      </c>
      <c r="D16962" s="30" t="s">
        <v>17</v>
      </c>
      <c r="E16962" s="30" t="s">
        <v>31</v>
      </c>
      <c r="F16962" s="30" t="s">
        <v>32</v>
      </c>
      <c r="G16962" s="30" t="s">
        <v>7780</v>
      </c>
      <c r="H16962" s="32">
        <v>300</v>
      </c>
      <c r="I16962" s="30" t="s">
        <v>51</v>
      </c>
      <c r="J16962" s="41">
        <v>45194</v>
      </c>
      <c r="K16962" s="30" t="s">
        <v>22</v>
      </c>
    </row>
    <row r="16963" spans="1:11">
      <c r="A16963" s="33" t="s">
        <v>37980</v>
      </c>
      <c r="B16963" s="33" t="s">
        <v>37981</v>
      </c>
      <c r="C16963" s="33" t="s">
        <v>684</v>
      </c>
      <c r="D16963" s="33" t="s">
        <v>17</v>
      </c>
      <c r="E16963" s="33" t="s">
        <v>18</v>
      </c>
      <c r="F16963" s="33" t="s">
        <v>19</v>
      </c>
      <c r="G16963" s="33" t="s">
        <v>158</v>
      </c>
      <c r="H16963" s="35">
        <v>79</v>
      </c>
      <c r="I16963" s="33" t="s">
        <v>21</v>
      </c>
      <c r="J16963" s="42">
        <v>45215</v>
      </c>
      <c r="K16963" s="33" t="s">
        <v>22</v>
      </c>
    </row>
    <row r="16964" spans="1:11">
      <c r="A16964" s="30" t="s">
        <v>37982</v>
      </c>
      <c r="B16964" s="30" t="s">
        <v>37983</v>
      </c>
      <c r="C16964" s="30" t="s">
        <v>231</v>
      </c>
      <c r="D16964" s="30" t="s">
        <v>17</v>
      </c>
      <c r="E16964" s="30" t="s">
        <v>26</v>
      </c>
      <c r="F16964" s="30" t="s">
        <v>27</v>
      </c>
      <c r="G16964" s="30" t="s">
        <v>20</v>
      </c>
      <c r="H16964" s="32">
        <v>32</v>
      </c>
      <c r="I16964" s="30" t="s">
        <v>21</v>
      </c>
      <c r="J16964" s="41">
        <v>45285</v>
      </c>
      <c r="K16964" s="30" t="s">
        <v>22</v>
      </c>
    </row>
    <row r="16965" spans="1:11">
      <c r="A16965" s="33" t="s">
        <v>37984</v>
      </c>
      <c r="B16965" s="33" t="s">
        <v>37985</v>
      </c>
      <c r="C16965" s="33" t="s">
        <v>21674</v>
      </c>
      <c r="D16965" s="33" t="s">
        <v>17</v>
      </c>
      <c r="E16965" s="33" t="s">
        <v>67</v>
      </c>
      <c r="F16965" s="33" t="s">
        <v>68</v>
      </c>
      <c r="G16965" s="33" t="s">
        <v>158</v>
      </c>
      <c r="H16965" s="35">
        <v>13</v>
      </c>
      <c r="I16965" s="33" t="s">
        <v>21</v>
      </c>
      <c r="J16965" s="42">
        <v>45065</v>
      </c>
      <c r="K16965" s="33" t="s">
        <v>22</v>
      </c>
    </row>
    <row r="16966" spans="1:11">
      <c r="A16966" s="30" t="s">
        <v>37986</v>
      </c>
      <c r="B16966" s="30" t="s">
        <v>37987</v>
      </c>
      <c r="C16966" s="30" t="s">
        <v>4306</v>
      </c>
      <c r="D16966" s="30" t="s">
        <v>17</v>
      </c>
      <c r="E16966" s="30" t="s">
        <v>26</v>
      </c>
      <c r="F16966" s="30" t="s">
        <v>27</v>
      </c>
      <c r="G16966" s="30" t="s">
        <v>20</v>
      </c>
      <c r="H16966" s="32">
        <v>47</v>
      </c>
      <c r="I16966" s="30" t="s">
        <v>21</v>
      </c>
      <c r="J16966" s="41">
        <v>45244</v>
      </c>
      <c r="K16966" s="30" t="s">
        <v>22</v>
      </c>
    </row>
    <row r="16967" spans="1:11">
      <c r="A16967" s="33" t="s">
        <v>37988</v>
      </c>
      <c r="B16967" s="33" t="s">
        <v>37989</v>
      </c>
      <c r="C16967" s="33" t="s">
        <v>4082</v>
      </c>
      <c r="D16967" s="33" t="s">
        <v>17</v>
      </c>
      <c r="E16967" s="33" t="s">
        <v>31</v>
      </c>
      <c r="F16967" s="33" t="s">
        <v>32</v>
      </c>
      <c r="G16967" s="33" t="s">
        <v>106</v>
      </c>
      <c r="H16967" s="35">
        <v>11</v>
      </c>
      <c r="I16967" s="33" t="s">
        <v>21</v>
      </c>
      <c r="J16967" s="42">
        <v>44978</v>
      </c>
      <c r="K16967" s="33" t="s">
        <v>22</v>
      </c>
    </row>
    <row r="16968" spans="1:11">
      <c r="A16968" s="30" t="s">
        <v>37990</v>
      </c>
      <c r="B16968" s="30" t="s">
        <v>37991</v>
      </c>
      <c r="C16968" s="30" t="s">
        <v>4108</v>
      </c>
      <c r="D16968" s="30" t="s">
        <v>17</v>
      </c>
      <c r="E16968" s="30" t="s">
        <v>31</v>
      </c>
      <c r="F16968" s="30" t="s">
        <v>32</v>
      </c>
      <c r="G16968" s="30" t="s">
        <v>20</v>
      </c>
      <c r="H16968" s="32">
        <v>301</v>
      </c>
      <c r="I16968" s="30" t="s">
        <v>21</v>
      </c>
      <c r="J16968" s="41">
        <v>44936</v>
      </c>
      <c r="K16968" s="30" t="s">
        <v>22</v>
      </c>
    </row>
    <row r="16969" spans="1:11">
      <c r="A16969" s="33" t="s">
        <v>37992</v>
      </c>
      <c r="B16969" s="33" t="s">
        <v>37993</v>
      </c>
      <c r="C16969" s="33" t="s">
        <v>3944</v>
      </c>
      <c r="D16969" s="33" t="s">
        <v>17</v>
      </c>
      <c r="E16969" s="33" t="s">
        <v>26</v>
      </c>
      <c r="F16969" s="33" t="s">
        <v>27</v>
      </c>
      <c r="G16969" s="33" t="s">
        <v>140</v>
      </c>
      <c r="H16969" s="35">
        <v>24</v>
      </c>
      <c r="I16969" s="33" t="s">
        <v>51</v>
      </c>
      <c r="J16969" s="42">
        <v>45169</v>
      </c>
      <c r="K16969" s="33" t="s">
        <v>22</v>
      </c>
    </row>
    <row r="16970" spans="1:11">
      <c r="A16970" s="30" t="s">
        <v>37994</v>
      </c>
      <c r="B16970" s="30" t="s">
        <v>37995</v>
      </c>
      <c r="C16970" s="30" t="s">
        <v>19368</v>
      </c>
      <c r="D16970" s="30" t="s">
        <v>17</v>
      </c>
      <c r="E16970" s="30" t="s">
        <v>26</v>
      </c>
      <c r="F16970" s="30" t="s">
        <v>27</v>
      </c>
      <c r="G16970" s="30" t="s">
        <v>20</v>
      </c>
      <c r="H16970" s="32">
        <v>48</v>
      </c>
      <c r="I16970" s="30" t="s">
        <v>21</v>
      </c>
      <c r="J16970" s="41">
        <v>44966</v>
      </c>
      <c r="K16970" s="30" t="s">
        <v>22</v>
      </c>
    </row>
    <row r="16971" spans="1:11">
      <c r="A16971" s="33" t="s">
        <v>37996</v>
      </c>
      <c r="B16971" s="33" t="s">
        <v>37997</v>
      </c>
      <c r="C16971" s="33" t="s">
        <v>9760</v>
      </c>
      <c r="D16971" s="33" t="s">
        <v>17</v>
      </c>
      <c r="E16971" s="33" t="s">
        <v>31</v>
      </c>
      <c r="F16971" s="33" t="s">
        <v>32</v>
      </c>
      <c r="G16971" s="33" t="s">
        <v>106</v>
      </c>
      <c r="H16971" s="35">
        <v>18</v>
      </c>
      <c r="I16971" s="33" t="s">
        <v>21</v>
      </c>
      <c r="J16971" s="42">
        <v>45135</v>
      </c>
      <c r="K16971" s="33" t="s">
        <v>22</v>
      </c>
    </row>
    <row r="16972" spans="1:11">
      <c r="A16972" s="30" t="s">
        <v>37998</v>
      </c>
      <c r="B16972" s="30" t="s">
        <v>37999</v>
      </c>
      <c r="C16972" s="30" t="s">
        <v>34704</v>
      </c>
      <c r="D16972" s="30" t="s">
        <v>17</v>
      </c>
      <c r="E16972" s="30" t="s">
        <v>330</v>
      </c>
      <c r="F16972" s="30" t="s">
        <v>331</v>
      </c>
      <c r="G16972" s="30" t="s">
        <v>50</v>
      </c>
      <c r="H16972" s="32">
        <v>118</v>
      </c>
      <c r="I16972" s="30" t="s">
        <v>51</v>
      </c>
      <c r="J16972" s="41">
        <v>45016</v>
      </c>
      <c r="K16972" s="30" t="s">
        <v>22</v>
      </c>
    </row>
    <row r="16973" spans="1:11">
      <c r="A16973" s="33" t="s">
        <v>38000</v>
      </c>
      <c r="B16973" s="33" t="s">
        <v>38001</v>
      </c>
      <c r="C16973" s="33" t="s">
        <v>38002</v>
      </c>
      <c r="D16973" s="33" t="s">
        <v>17</v>
      </c>
      <c r="E16973" s="33" t="s">
        <v>26</v>
      </c>
      <c r="F16973" s="33" t="s">
        <v>27</v>
      </c>
      <c r="G16973" s="33" t="s">
        <v>20</v>
      </c>
      <c r="H16973" s="35">
        <v>76</v>
      </c>
      <c r="I16973" s="33" t="s">
        <v>21</v>
      </c>
      <c r="J16973" s="42">
        <v>45022</v>
      </c>
      <c r="K16973" s="33" t="s">
        <v>22</v>
      </c>
    </row>
    <row r="16974" spans="1:11">
      <c r="A16974" s="30" t="s">
        <v>38003</v>
      </c>
      <c r="B16974" s="30" t="s">
        <v>38004</v>
      </c>
      <c r="C16974" s="30" t="s">
        <v>136</v>
      </c>
      <c r="D16974" s="30" t="s">
        <v>17</v>
      </c>
      <c r="E16974" s="30" t="s">
        <v>26</v>
      </c>
      <c r="F16974" s="30" t="s">
        <v>27</v>
      </c>
      <c r="G16974" s="30" t="s">
        <v>20</v>
      </c>
      <c r="H16974" s="32">
        <v>30</v>
      </c>
      <c r="I16974" s="30" t="s">
        <v>21</v>
      </c>
      <c r="J16974" s="41">
        <v>45089</v>
      </c>
      <c r="K16974" s="30" t="s">
        <v>22</v>
      </c>
    </row>
    <row r="16975" spans="1:11">
      <c r="A16975" s="33" t="s">
        <v>38005</v>
      </c>
      <c r="B16975" s="33" t="s">
        <v>38006</v>
      </c>
      <c r="C16975" s="33" t="s">
        <v>109</v>
      </c>
      <c r="D16975" s="33" t="s">
        <v>17</v>
      </c>
      <c r="E16975" s="33" t="s">
        <v>67</v>
      </c>
      <c r="F16975" s="33" t="s">
        <v>68</v>
      </c>
      <c r="G16975" s="33" t="s">
        <v>106</v>
      </c>
      <c r="H16975" s="35">
        <v>8</v>
      </c>
      <c r="I16975" s="33" t="s">
        <v>21</v>
      </c>
      <c r="J16975" s="42">
        <v>44980</v>
      </c>
      <c r="K16975" s="33" t="s">
        <v>22</v>
      </c>
    </row>
    <row r="16976" spans="1:11">
      <c r="A16976" s="30" t="s">
        <v>38007</v>
      </c>
      <c r="B16976" s="30" t="s">
        <v>38008</v>
      </c>
      <c r="C16976" s="30" t="s">
        <v>38009</v>
      </c>
      <c r="D16976" s="30" t="s">
        <v>17</v>
      </c>
      <c r="E16976" s="30" t="s">
        <v>31</v>
      </c>
      <c r="F16976" s="30" t="s">
        <v>32</v>
      </c>
      <c r="G16976" s="30" t="s">
        <v>20</v>
      </c>
      <c r="H16976" s="32">
        <v>77</v>
      </c>
      <c r="I16976" s="30" t="s">
        <v>21</v>
      </c>
      <c r="J16976" s="41">
        <v>45086</v>
      </c>
      <c r="K16976" s="30" t="s">
        <v>22</v>
      </c>
    </row>
    <row r="16977" spans="1:11">
      <c r="A16977" s="33" t="s">
        <v>38010</v>
      </c>
      <c r="B16977" s="33" t="s">
        <v>38011</v>
      </c>
      <c r="C16977" s="33" t="s">
        <v>16199</v>
      </c>
      <c r="D16977" s="33" t="s">
        <v>17</v>
      </c>
      <c r="E16977" s="33" t="s">
        <v>26</v>
      </c>
      <c r="F16977" s="33" t="s">
        <v>27</v>
      </c>
      <c r="G16977" s="33" t="s">
        <v>20</v>
      </c>
      <c r="H16977" s="35">
        <v>76</v>
      </c>
      <c r="I16977" s="33" t="s">
        <v>21</v>
      </c>
      <c r="J16977" s="42">
        <v>45188</v>
      </c>
      <c r="K16977" s="33" t="s">
        <v>22</v>
      </c>
    </row>
    <row r="16978" spans="1:11">
      <c r="A16978" s="30" t="s">
        <v>38012</v>
      </c>
      <c r="B16978" s="30" t="s">
        <v>38013</v>
      </c>
      <c r="C16978" s="30" t="s">
        <v>6962</v>
      </c>
      <c r="D16978" s="30" t="s">
        <v>17</v>
      </c>
      <c r="E16978" s="30" t="s">
        <v>26</v>
      </c>
      <c r="F16978" s="30" t="s">
        <v>27</v>
      </c>
      <c r="G16978" s="30" t="s">
        <v>20</v>
      </c>
      <c r="H16978" s="32">
        <v>45</v>
      </c>
      <c r="I16978" s="30" t="s">
        <v>21</v>
      </c>
      <c r="J16978" s="41">
        <v>45133</v>
      </c>
      <c r="K16978" s="30" t="s">
        <v>22</v>
      </c>
    </row>
    <row r="16979" spans="1:11">
      <c r="A16979" s="33" t="s">
        <v>38014</v>
      </c>
      <c r="B16979" s="33" t="s">
        <v>38015</v>
      </c>
      <c r="C16979" s="33" t="s">
        <v>38016</v>
      </c>
      <c r="D16979" s="33" t="s">
        <v>17</v>
      </c>
      <c r="E16979" s="33" t="s">
        <v>31</v>
      </c>
      <c r="F16979" s="33" t="s">
        <v>32</v>
      </c>
      <c r="G16979" s="33" t="s">
        <v>158</v>
      </c>
      <c r="H16979" s="35">
        <v>88</v>
      </c>
      <c r="I16979" s="33" t="s">
        <v>21</v>
      </c>
      <c r="J16979" s="42">
        <v>45042</v>
      </c>
      <c r="K16979" s="33" t="s">
        <v>22</v>
      </c>
    </row>
    <row r="16980" spans="1:11">
      <c r="A16980" s="30" t="s">
        <v>38017</v>
      </c>
      <c r="B16980" s="30" t="s">
        <v>38018</v>
      </c>
      <c r="C16980" s="30" t="s">
        <v>149</v>
      </c>
      <c r="D16980" s="30" t="s">
        <v>17</v>
      </c>
      <c r="E16980" s="30" t="s">
        <v>26</v>
      </c>
      <c r="F16980" s="30" t="s">
        <v>27</v>
      </c>
      <c r="G16980" s="30" t="s">
        <v>50</v>
      </c>
      <c r="H16980" s="32">
        <v>24</v>
      </c>
      <c r="I16980" s="30" t="s">
        <v>51</v>
      </c>
      <c r="J16980" s="41">
        <v>45170</v>
      </c>
      <c r="K16980" s="30" t="s">
        <v>22</v>
      </c>
    </row>
    <row r="16981" spans="1:11">
      <c r="A16981" s="33" t="s">
        <v>38019</v>
      </c>
      <c r="B16981" s="33" t="s">
        <v>38020</v>
      </c>
      <c r="C16981" s="33" t="s">
        <v>136</v>
      </c>
      <c r="D16981" s="33" t="s">
        <v>17</v>
      </c>
      <c r="E16981" s="33" t="s">
        <v>212</v>
      </c>
      <c r="F16981" s="33" t="s">
        <v>213</v>
      </c>
      <c r="G16981" s="33" t="s">
        <v>20</v>
      </c>
      <c r="H16981" s="35">
        <v>152</v>
      </c>
      <c r="I16981" s="33" t="s">
        <v>21</v>
      </c>
      <c r="J16981" s="42">
        <v>44993</v>
      </c>
      <c r="K16981" s="33" t="s">
        <v>22</v>
      </c>
    </row>
    <row r="16982" spans="1:11">
      <c r="A16982" s="30" t="s">
        <v>38021</v>
      </c>
      <c r="B16982" s="30" t="s">
        <v>38022</v>
      </c>
      <c r="C16982" s="30" t="s">
        <v>154</v>
      </c>
      <c r="D16982" s="30" t="s">
        <v>17</v>
      </c>
      <c r="E16982" s="30" t="s">
        <v>67</v>
      </c>
      <c r="F16982" s="30" t="s">
        <v>68</v>
      </c>
      <c r="G16982" s="30" t="s">
        <v>158</v>
      </c>
      <c r="H16982" s="32">
        <v>113</v>
      </c>
      <c r="I16982" s="30" t="s">
        <v>21</v>
      </c>
      <c r="J16982" s="41">
        <v>44935</v>
      </c>
      <c r="K16982" s="30" t="s">
        <v>22</v>
      </c>
    </row>
    <row r="16983" spans="1:11">
      <c r="A16983" s="33" t="s">
        <v>38023</v>
      </c>
      <c r="B16983" s="33" t="s">
        <v>38024</v>
      </c>
      <c r="C16983" s="33" t="s">
        <v>38025</v>
      </c>
      <c r="D16983" s="33" t="s">
        <v>17</v>
      </c>
      <c r="E16983" s="33" t="s">
        <v>67</v>
      </c>
      <c r="F16983" s="33" t="s">
        <v>68</v>
      </c>
      <c r="G16983" s="33" t="s">
        <v>140</v>
      </c>
      <c r="H16983" s="35">
        <v>365</v>
      </c>
      <c r="I16983" s="33" t="s">
        <v>51</v>
      </c>
      <c r="J16983" s="42">
        <v>44930</v>
      </c>
      <c r="K16983" s="33" t="s">
        <v>22</v>
      </c>
    </row>
    <row r="16984" spans="1:11">
      <c r="A16984" s="30" t="s">
        <v>38026</v>
      </c>
      <c r="B16984" s="30" t="s">
        <v>38027</v>
      </c>
      <c r="C16984" s="30" t="s">
        <v>38028</v>
      </c>
      <c r="D16984" s="30" t="s">
        <v>17</v>
      </c>
      <c r="E16984" s="30" t="s">
        <v>212</v>
      </c>
      <c r="F16984" s="30" t="s">
        <v>213</v>
      </c>
      <c r="G16984" s="30" t="s">
        <v>158</v>
      </c>
      <c r="H16984" s="32">
        <v>600</v>
      </c>
      <c r="I16984" s="30" t="s">
        <v>51</v>
      </c>
      <c r="J16984" s="41">
        <v>45241</v>
      </c>
      <c r="K16984" s="30" t="s">
        <v>22</v>
      </c>
    </row>
    <row r="16985" spans="1:11">
      <c r="A16985" s="33" t="s">
        <v>38029</v>
      </c>
      <c r="B16985" s="33" t="s">
        <v>38030</v>
      </c>
      <c r="C16985" s="33" t="s">
        <v>38031</v>
      </c>
      <c r="D16985" s="33" t="s">
        <v>17</v>
      </c>
      <c r="E16985" s="33" t="s">
        <v>330</v>
      </c>
      <c r="F16985" s="33" t="s">
        <v>331</v>
      </c>
      <c r="G16985" s="33" t="s">
        <v>20</v>
      </c>
      <c r="H16985" s="35">
        <v>50</v>
      </c>
      <c r="I16985" s="33" t="s">
        <v>21</v>
      </c>
      <c r="J16985" s="42">
        <v>45076</v>
      </c>
      <c r="K16985" s="33" t="s">
        <v>22</v>
      </c>
    </row>
    <row r="16986" spans="1:11">
      <c r="A16986" s="30" t="s">
        <v>38032</v>
      </c>
      <c r="B16986" s="30" t="s">
        <v>38033</v>
      </c>
      <c r="C16986" s="30" t="s">
        <v>31626</v>
      </c>
      <c r="D16986" s="30" t="s">
        <v>17</v>
      </c>
      <c r="E16986" s="30" t="s">
        <v>26</v>
      </c>
      <c r="F16986" s="30" t="s">
        <v>27</v>
      </c>
      <c r="G16986" s="30" t="s">
        <v>20</v>
      </c>
      <c r="H16986" s="32">
        <v>56</v>
      </c>
      <c r="I16986" s="30" t="s">
        <v>21</v>
      </c>
      <c r="J16986" s="41">
        <v>44943</v>
      </c>
      <c r="K16986" s="30" t="s">
        <v>22</v>
      </c>
    </row>
    <row r="16987" spans="1:11">
      <c r="A16987" s="33" t="s">
        <v>38034</v>
      </c>
      <c r="B16987" s="33" t="s">
        <v>38035</v>
      </c>
      <c r="C16987" s="33" t="s">
        <v>4348</v>
      </c>
      <c r="D16987" s="33" t="s">
        <v>17</v>
      </c>
      <c r="E16987" s="33" t="s">
        <v>26</v>
      </c>
      <c r="F16987" s="33" t="s">
        <v>27</v>
      </c>
      <c r="G16987" s="33" t="s">
        <v>140</v>
      </c>
      <c r="H16987" s="35">
        <v>26</v>
      </c>
      <c r="I16987" s="33" t="s">
        <v>51</v>
      </c>
      <c r="J16987" s="42">
        <v>44931</v>
      </c>
      <c r="K16987" s="33" t="s">
        <v>22</v>
      </c>
    </row>
    <row r="16988" spans="1:11">
      <c r="A16988" s="30" t="s">
        <v>38036</v>
      </c>
      <c r="B16988" s="30" t="s">
        <v>38037</v>
      </c>
      <c r="C16988" s="30" t="s">
        <v>136</v>
      </c>
      <c r="D16988" s="30" t="s">
        <v>17</v>
      </c>
      <c r="E16988" s="30" t="s">
        <v>18</v>
      </c>
      <c r="F16988" s="30" t="s">
        <v>19</v>
      </c>
      <c r="G16988" s="30" t="s">
        <v>20</v>
      </c>
      <c r="H16988" s="32">
        <v>2749</v>
      </c>
      <c r="I16988" s="30" t="s">
        <v>21</v>
      </c>
      <c r="J16988" s="41">
        <v>45019</v>
      </c>
      <c r="K16988" s="30" t="s">
        <v>22</v>
      </c>
    </row>
    <row r="16989" spans="1:11">
      <c r="A16989" s="33" t="s">
        <v>38038</v>
      </c>
      <c r="B16989" s="33" t="s">
        <v>38039</v>
      </c>
      <c r="C16989" s="33" t="s">
        <v>1669</v>
      </c>
      <c r="D16989" s="33" t="s">
        <v>17</v>
      </c>
      <c r="E16989" s="33" t="s">
        <v>31</v>
      </c>
      <c r="F16989" s="33" t="s">
        <v>32</v>
      </c>
      <c r="G16989" s="33" t="s">
        <v>112</v>
      </c>
      <c r="H16989" s="35">
        <v>0</v>
      </c>
      <c r="I16989" s="33" t="s">
        <v>21</v>
      </c>
      <c r="J16989" s="42">
        <v>45261</v>
      </c>
      <c r="K16989" s="33" t="s">
        <v>22</v>
      </c>
    </row>
    <row r="16990" spans="1:11">
      <c r="A16990" s="30" t="s">
        <v>38040</v>
      </c>
      <c r="B16990" s="30" t="s">
        <v>38041</v>
      </c>
      <c r="C16990" s="30" t="s">
        <v>96</v>
      </c>
      <c r="D16990" s="30" t="s">
        <v>17</v>
      </c>
      <c r="E16990" s="30" t="s">
        <v>26</v>
      </c>
      <c r="F16990" s="30" t="s">
        <v>27</v>
      </c>
      <c r="G16990" s="30" t="s">
        <v>106</v>
      </c>
      <c r="H16990" s="32">
        <v>37</v>
      </c>
      <c r="I16990" s="30" t="s">
        <v>21</v>
      </c>
      <c r="J16990" s="41">
        <v>45247</v>
      </c>
      <c r="K16990" s="30" t="s">
        <v>22</v>
      </c>
    </row>
    <row r="16991" spans="1:11">
      <c r="A16991" s="33" t="s">
        <v>38042</v>
      </c>
      <c r="B16991" s="33" t="s">
        <v>38043</v>
      </c>
      <c r="C16991" s="33" t="s">
        <v>96</v>
      </c>
      <c r="D16991" s="33" t="s">
        <v>17</v>
      </c>
      <c r="E16991" s="33" t="s">
        <v>26</v>
      </c>
      <c r="F16991" s="33" t="s">
        <v>27</v>
      </c>
      <c r="G16991" s="33" t="s">
        <v>20</v>
      </c>
      <c r="H16991" s="35">
        <v>88</v>
      </c>
      <c r="I16991" s="33" t="s">
        <v>21</v>
      </c>
      <c r="J16991" s="42">
        <v>45280</v>
      </c>
      <c r="K16991" s="33" t="s">
        <v>22</v>
      </c>
    </row>
    <row r="16992" spans="1:11">
      <c r="A16992" s="30" t="s">
        <v>38044</v>
      </c>
      <c r="B16992" s="30" t="s">
        <v>38045</v>
      </c>
      <c r="C16992" s="30" t="s">
        <v>6085</v>
      </c>
      <c r="D16992" s="30" t="s">
        <v>17</v>
      </c>
      <c r="E16992" s="30" t="s">
        <v>31</v>
      </c>
      <c r="F16992" s="30" t="s">
        <v>32</v>
      </c>
      <c r="G16992" s="30" t="s">
        <v>20</v>
      </c>
      <c r="H16992" s="32">
        <v>12</v>
      </c>
      <c r="I16992" s="30" t="s">
        <v>21</v>
      </c>
      <c r="J16992" s="41">
        <v>45091</v>
      </c>
      <c r="K16992" s="30" t="s">
        <v>22</v>
      </c>
    </row>
    <row r="16993" spans="1:11">
      <c r="A16993" s="33" t="s">
        <v>38046</v>
      </c>
      <c r="B16993" s="33" t="s">
        <v>38047</v>
      </c>
      <c r="C16993" s="33" t="s">
        <v>3243</v>
      </c>
      <c r="D16993" s="33" t="s">
        <v>17</v>
      </c>
      <c r="E16993" s="33" t="s">
        <v>26</v>
      </c>
      <c r="F16993" s="33" t="s">
        <v>27</v>
      </c>
      <c r="G16993" s="33" t="s">
        <v>20</v>
      </c>
      <c r="H16993" s="35">
        <v>108</v>
      </c>
      <c r="I16993" s="33" t="s">
        <v>21</v>
      </c>
      <c r="J16993" s="42">
        <v>45127</v>
      </c>
      <c r="K16993" s="33" t="s">
        <v>22</v>
      </c>
    </row>
    <row r="16994" spans="1:11">
      <c r="A16994" s="30" t="s">
        <v>38048</v>
      </c>
      <c r="B16994" s="30" t="s">
        <v>38049</v>
      </c>
      <c r="C16994" s="30" t="s">
        <v>38050</v>
      </c>
      <c r="D16994" s="30" t="s">
        <v>17</v>
      </c>
      <c r="E16994" s="30" t="s">
        <v>18</v>
      </c>
      <c r="F16994" s="30" t="s">
        <v>19</v>
      </c>
      <c r="G16994" s="30" t="s">
        <v>158</v>
      </c>
      <c r="H16994" s="32">
        <v>220</v>
      </c>
      <c r="I16994" s="30" t="s">
        <v>51</v>
      </c>
      <c r="J16994" s="41">
        <v>45230</v>
      </c>
      <c r="K16994" s="30" t="s">
        <v>22</v>
      </c>
    </row>
    <row r="16995" spans="1:11">
      <c r="A16995" s="33" t="s">
        <v>38051</v>
      </c>
      <c r="B16995" s="33" t="s">
        <v>38052</v>
      </c>
      <c r="C16995" s="33" t="s">
        <v>3964</v>
      </c>
      <c r="D16995" s="33" t="s">
        <v>17</v>
      </c>
      <c r="E16995" s="33" t="s">
        <v>18</v>
      </c>
      <c r="F16995" s="33" t="s">
        <v>19</v>
      </c>
      <c r="G16995" s="33" t="s">
        <v>50</v>
      </c>
      <c r="H16995" s="35">
        <v>180</v>
      </c>
      <c r="I16995" s="33" t="s">
        <v>51</v>
      </c>
      <c r="J16995" s="42">
        <v>44986</v>
      </c>
      <c r="K16995" s="33" t="s">
        <v>22</v>
      </c>
    </row>
    <row r="16996" spans="1:11">
      <c r="A16996" s="30" t="s">
        <v>38053</v>
      </c>
      <c r="B16996" s="30" t="s">
        <v>38054</v>
      </c>
      <c r="C16996" s="30" t="s">
        <v>570</v>
      </c>
      <c r="D16996" s="30" t="s">
        <v>17</v>
      </c>
      <c r="E16996" s="30" t="s">
        <v>31</v>
      </c>
      <c r="F16996" s="30" t="s">
        <v>32</v>
      </c>
      <c r="G16996" s="30" t="s">
        <v>20</v>
      </c>
      <c r="H16996" s="32">
        <v>120</v>
      </c>
      <c r="I16996" s="30" t="s">
        <v>21</v>
      </c>
      <c r="J16996" s="41">
        <v>45243</v>
      </c>
      <c r="K16996" s="30" t="s">
        <v>22</v>
      </c>
    </row>
    <row r="16997" spans="1:11">
      <c r="A16997" s="33" t="s">
        <v>38055</v>
      </c>
      <c r="B16997" s="33" t="s">
        <v>38056</v>
      </c>
      <c r="C16997" s="33" t="s">
        <v>2313</v>
      </c>
      <c r="D16997" s="33" t="s">
        <v>17</v>
      </c>
      <c r="E16997" s="33" t="s">
        <v>26</v>
      </c>
      <c r="F16997" s="33" t="s">
        <v>27</v>
      </c>
      <c r="G16997" s="33" t="s">
        <v>140</v>
      </c>
      <c r="H16997" s="35">
        <v>120</v>
      </c>
      <c r="I16997" s="33" t="s">
        <v>51</v>
      </c>
      <c r="J16997" s="42">
        <v>45148</v>
      </c>
      <c r="K16997" s="33" t="s">
        <v>22</v>
      </c>
    </row>
    <row r="16998" spans="1:11">
      <c r="A16998" s="30" t="s">
        <v>38057</v>
      </c>
      <c r="B16998" s="30" t="s">
        <v>38058</v>
      </c>
      <c r="C16998" s="30" t="s">
        <v>96</v>
      </c>
      <c r="D16998" s="30" t="s">
        <v>17</v>
      </c>
      <c r="E16998" s="30" t="s">
        <v>31</v>
      </c>
      <c r="F16998" s="30" t="s">
        <v>32</v>
      </c>
      <c r="G16998" s="30" t="s">
        <v>140</v>
      </c>
      <c r="H16998" s="32">
        <v>340</v>
      </c>
      <c r="I16998" s="30" t="s">
        <v>51</v>
      </c>
      <c r="J16998" s="41">
        <v>45160</v>
      </c>
      <c r="K16998" s="30" t="s">
        <v>22</v>
      </c>
    </row>
    <row r="16999" spans="1:11">
      <c r="A16999" s="33" t="s">
        <v>38059</v>
      </c>
      <c r="B16999" s="33" t="s">
        <v>38060</v>
      </c>
      <c r="C16999" s="33" t="s">
        <v>26602</v>
      </c>
      <c r="D16999" s="33" t="s">
        <v>17</v>
      </c>
      <c r="E16999" s="33" t="s">
        <v>31</v>
      </c>
      <c r="F16999" s="33" t="s">
        <v>32</v>
      </c>
      <c r="G16999" s="33" t="s">
        <v>20</v>
      </c>
      <c r="H16999" s="35">
        <v>25</v>
      </c>
      <c r="I16999" s="33" t="s">
        <v>21</v>
      </c>
      <c r="J16999" s="42">
        <v>45082</v>
      </c>
      <c r="K16999" s="33" t="s">
        <v>22</v>
      </c>
    </row>
    <row r="17000" spans="1:11">
      <c r="A17000" s="30" t="s">
        <v>38061</v>
      </c>
      <c r="B17000" s="30" t="s">
        <v>38062</v>
      </c>
      <c r="C17000" s="30" t="s">
        <v>38063</v>
      </c>
      <c r="D17000" s="30" t="s">
        <v>17</v>
      </c>
      <c r="E17000" s="30" t="s">
        <v>26</v>
      </c>
      <c r="F17000" s="30" t="s">
        <v>27</v>
      </c>
      <c r="G17000" s="30" t="s">
        <v>50</v>
      </c>
      <c r="H17000" s="32">
        <v>18</v>
      </c>
      <c r="I17000" s="30" t="s">
        <v>51</v>
      </c>
      <c r="J17000" s="41">
        <v>45174</v>
      </c>
      <c r="K17000" s="30" t="s">
        <v>22</v>
      </c>
    </row>
    <row r="17001" spans="1:11">
      <c r="A17001" s="33" t="s">
        <v>38064</v>
      </c>
      <c r="B17001" s="33" t="s">
        <v>38065</v>
      </c>
      <c r="C17001" s="33" t="s">
        <v>38066</v>
      </c>
      <c r="D17001" s="33" t="s">
        <v>17</v>
      </c>
      <c r="E17001" s="33" t="s">
        <v>26</v>
      </c>
      <c r="F17001" s="33" t="s">
        <v>27</v>
      </c>
      <c r="G17001" s="33" t="s">
        <v>50</v>
      </c>
      <c r="H17001" s="35">
        <v>81</v>
      </c>
      <c r="I17001" s="33" t="s">
        <v>51</v>
      </c>
      <c r="J17001" s="42">
        <v>45213</v>
      </c>
      <c r="K17001" s="33" t="s">
        <v>22</v>
      </c>
    </row>
    <row r="17002" spans="1:11">
      <c r="A17002" s="30" t="s">
        <v>38067</v>
      </c>
      <c r="B17002" s="30" t="s">
        <v>38068</v>
      </c>
      <c r="C17002" s="30" t="s">
        <v>18572</v>
      </c>
      <c r="D17002" s="30" t="s">
        <v>17</v>
      </c>
      <c r="E17002" s="30" t="s">
        <v>31</v>
      </c>
      <c r="F17002" s="30" t="s">
        <v>32</v>
      </c>
      <c r="G17002" s="30" t="s">
        <v>106</v>
      </c>
      <c r="H17002" s="32">
        <v>8</v>
      </c>
      <c r="I17002" s="30" t="s">
        <v>21</v>
      </c>
      <c r="J17002" s="41">
        <v>44958</v>
      </c>
      <c r="K17002" s="30" t="s">
        <v>22</v>
      </c>
    </row>
    <row r="17003" spans="1:11">
      <c r="A17003" s="33" t="s">
        <v>38069</v>
      </c>
      <c r="B17003" s="33" t="s">
        <v>38070</v>
      </c>
      <c r="C17003" s="33" t="s">
        <v>10589</v>
      </c>
      <c r="D17003" s="33" t="s">
        <v>17</v>
      </c>
      <c r="E17003" s="33" t="s">
        <v>26</v>
      </c>
      <c r="F17003" s="33" t="s">
        <v>27</v>
      </c>
      <c r="G17003" s="33" t="s">
        <v>106</v>
      </c>
      <c r="H17003" s="35">
        <v>9</v>
      </c>
      <c r="I17003" s="33" t="s">
        <v>21</v>
      </c>
      <c r="J17003" s="42">
        <v>45194</v>
      </c>
      <c r="K17003" s="33" t="s">
        <v>22</v>
      </c>
    </row>
    <row r="17004" spans="1:11">
      <c r="A17004" s="30" t="s">
        <v>38071</v>
      </c>
      <c r="B17004" s="30" t="s">
        <v>38072</v>
      </c>
      <c r="C17004" s="30" t="s">
        <v>96</v>
      </c>
      <c r="D17004" s="30" t="s">
        <v>17</v>
      </c>
      <c r="E17004" s="30" t="s">
        <v>31</v>
      </c>
      <c r="F17004" s="30" t="s">
        <v>32</v>
      </c>
      <c r="G17004" s="30" t="s">
        <v>20</v>
      </c>
      <c r="H17004" s="32">
        <v>105</v>
      </c>
      <c r="I17004" s="30" t="s">
        <v>21</v>
      </c>
      <c r="J17004" s="41">
        <v>45238</v>
      </c>
      <c r="K17004" s="30" t="s">
        <v>22</v>
      </c>
    </row>
    <row r="17005" spans="1:11">
      <c r="A17005" s="33" t="s">
        <v>38073</v>
      </c>
      <c r="B17005" s="33" t="s">
        <v>38074</v>
      </c>
      <c r="C17005" s="33" t="s">
        <v>644</v>
      </c>
      <c r="D17005" s="33" t="s">
        <v>17</v>
      </c>
      <c r="E17005" s="33" t="s">
        <v>26</v>
      </c>
      <c r="F17005" s="33" t="s">
        <v>27</v>
      </c>
      <c r="G17005" s="33" t="s">
        <v>140</v>
      </c>
      <c r="H17005" s="35">
        <v>24</v>
      </c>
      <c r="I17005" s="33" t="s">
        <v>51</v>
      </c>
      <c r="J17005" s="42">
        <v>45106</v>
      </c>
      <c r="K17005" s="33" t="s">
        <v>22</v>
      </c>
    </row>
    <row r="17006" spans="1:11">
      <c r="A17006" s="30" t="s">
        <v>38075</v>
      </c>
      <c r="B17006" s="30" t="s">
        <v>38076</v>
      </c>
      <c r="C17006" s="30" t="s">
        <v>136</v>
      </c>
      <c r="D17006" s="30" t="s">
        <v>17</v>
      </c>
      <c r="E17006" s="30" t="s">
        <v>18</v>
      </c>
      <c r="F17006" s="30" t="s">
        <v>19</v>
      </c>
      <c r="G17006" s="30" t="s">
        <v>20</v>
      </c>
      <c r="H17006" s="32">
        <v>559</v>
      </c>
      <c r="I17006" s="30" t="s">
        <v>21</v>
      </c>
      <c r="J17006" s="41">
        <v>45147</v>
      </c>
      <c r="K17006" s="30" t="s">
        <v>22</v>
      </c>
    </row>
    <row r="17007" spans="1:11">
      <c r="A17007" s="33" t="s">
        <v>38077</v>
      </c>
      <c r="B17007" s="33" t="s">
        <v>38078</v>
      </c>
      <c r="C17007" s="33" t="s">
        <v>38079</v>
      </c>
      <c r="D17007" s="33" t="s">
        <v>17</v>
      </c>
      <c r="E17007" s="33" t="s">
        <v>26</v>
      </c>
      <c r="F17007" s="33" t="s">
        <v>27</v>
      </c>
      <c r="G17007" s="33" t="s">
        <v>20</v>
      </c>
      <c r="H17007" s="35">
        <v>89</v>
      </c>
      <c r="I17007" s="33" t="s">
        <v>21</v>
      </c>
      <c r="J17007" s="42">
        <v>45180</v>
      </c>
      <c r="K17007" s="33" t="s">
        <v>22</v>
      </c>
    </row>
    <row r="17008" spans="1:11">
      <c r="A17008" s="30" t="s">
        <v>38080</v>
      </c>
      <c r="B17008" s="30" t="s">
        <v>38081</v>
      </c>
      <c r="C17008" s="30" t="s">
        <v>34362</v>
      </c>
      <c r="D17008" s="30" t="s">
        <v>17</v>
      </c>
      <c r="E17008" s="30" t="s">
        <v>67</v>
      </c>
      <c r="F17008" s="30" t="s">
        <v>68</v>
      </c>
      <c r="G17008" s="30" t="s">
        <v>140</v>
      </c>
      <c r="H17008" s="32">
        <v>151</v>
      </c>
      <c r="I17008" s="30" t="s">
        <v>51</v>
      </c>
      <c r="J17008" s="41">
        <v>45273</v>
      </c>
      <c r="K17008" s="30" t="s">
        <v>22</v>
      </c>
    </row>
    <row r="17009" spans="1:11">
      <c r="A17009" s="33" t="s">
        <v>38082</v>
      </c>
      <c r="B17009" s="33" t="s">
        <v>38083</v>
      </c>
      <c r="C17009" s="33" t="s">
        <v>2228</v>
      </c>
      <c r="D17009" s="33" t="s">
        <v>17</v>
      </c>
      <c r="E17009" s="33" t="s">
        <v>26</v>
      </c>
      <c r="F17009" s="33" t="s">
        <v>27</v>
      </c>
      <c r="G17009" s="33" t="s">
        <v>20</v>
      </c>
      <c r="H17009" s="35">
        <v>69</v>
      </c>
      <c r="I17009" s="33" t="s">
        <v>21</v>
      </c>
      <c r="J17009" s="42">
        <v>45025</v>
      </c>
      <c r="K17009" s="33" t="s">
        <v>22</v>
      </c>
    </row>
    <row r="17010" spans="1:11">
      <c r="A17010" s="30" t="s">
        <v>38084</v>
      </c>
      <c r="B17010" s="30" t="s">
        <v>38085</v>
      </c>
      <c r="C17010" s="30" t="s">
        <v>9825</v>
      </c>
      <c r="D17010" s="30" t="s">
        <v>17</v>
      </c>
      <c r="E17010" s="30" t="s">
        <v>31</v>
      </c>
      <c r="F17010" s="30" t="s">
        <v>32</v>
      </c>
      <c r="G17010" s="30" t="s">
        <v>20</v>
      </c>
      <c r="H17010" s="32">
        <v>200</v>
      </c>
      <c r="I17010" s="30" t="s">
        <v>21</v>
      </c>
      <c r="J17010" s="41">
        <v>44944</v>
      </c>
      <c r="K17010" s="30" t="s">
        <v>22</v>
      </c>
    </row>
    <row r="17011" spans="1:11">
      <c r="A17011" s="33" t="s">
        <v>38086</v>
      </c>
      <c r="B17011" s="33" t="s">
        <v>38087</v>
      </c>
      <c r="C17011" s="33" t="s">
        <v>178</v>
      </c>
      <c r="D17011" s="33" t="s">
        <v>17</v>
      </c>
      <c r="E17011" s="33" t="s">
        <v>18</v>
      </c>
      <c r="F17011" s="33" t="s">
        <v>19</v>
      </c>
      <c r="G17011" s="33" t="s">
        <v>112</v>
      </c>
      <c r="H17011" s="35">
        <v>0</v>
      </c>
      <c r="I17011" s="33" t="s">
        <v>21</v>
      </c>
      <c r="J17011" s="42">
        <v>45260</v>
      </c>
      <c r="K17011" s="33" t="s">
        <v>22</v>
      </c>
    </row>
    <row r="17012" spans="1:11">
      <c r="A17012" s="30" t="s">
        <v>38088</v>
      </c>
      <c r="B17012" s="30" t="s">
        <v>38089</v>
      </c>
      <c r="C17012" s="30" t="s">
        <v>29294</v>
      </c>
      <c r="D17012" s="30" t="s">
        <v>17</v>
      </c>
      <c r="E17012" s="30" t="s">
        <v>31</v>
      </c>
      <c r="F17012" s="30" t="s">
        <v>32</v>
      </c>
      <c r="G17012" s="30" t="s">
        <v>140</v>
      </c>
      <c r="H17012" s="32">
        <v>38</v>
      </c>
      <c r="I17012" s="30" t="s">
        <v>51</v>
      </c>
      <c r="J17012" s="41">
        <v>45217</v>
      </c>
      <c r="K17012" s="30" t="s">
        <v>22</v>
      </c>
    </row>
    <row r="17013" spans="1:11">
      <c r="A17013" s="33" t="s">
        <v>38090</v>
      </c>
      <c r="B17013" s="33" t="s">
        <v>38091</v>
      </c>
      <c r="C17013" s="33" t="s">
        <v>118</v>
      </c>
      <c r="D17013" s="33" t="s">
        <v>17</v>
      </c>
      <c r="E17013" s="33" t="s">
        <v>18</v>
      </c>
      <c r="F17013" s="33" t="s">
        <v>19</v>
      </c>
      <c r="G17013" s="33" t="s">
        <v>20</v>
      </c>
      <c r="H17013" s="35">
        <v>12327</v>
      </c>
      <c r="I17013" s="33" t="s">
        <v>21</v>
      </c>
      <c r="J17013" s="42">
        <v>44952</v>
      </c>
      <c r="K17013" s="33" t="s">
        <v>22</v>
      </c>
    </row>
    <row r="17014" spans="1:11">
      <c r="A17014" s="30" t="s">
        <v>38092</v>
      </c>
      <c r="B17014" s="30" t="s">
        <v>38093</v>
      </c>
      <c r="C17014" s="30" t="s">
        <v>11001</v>
      </c>
      <c r="D17014" s="30" t="s">
        <v>17</v>
      </c>
      <c r="E17014" s="30" t="s">
        <v>18</v>
      </c>
      <c r="F17014" s="30" t="s">
        <v>19</v>
      </c>
      <c r="G17014" s="30" t="s">
        <v>50</v>
      </c>
      <c r="H17014" s="32">
        <v>918</v>
      </c>
      <c r="I17014" s="30" t="s">
        <v>51</v>
      </c>
      <c r="J17014" s="41">
        <v>45159</v>
      </c>
      <c r="K17014" s="30" t="s">
        <v>22</v>
      </c>
    </row>
    <row r="17015" spans="1:11">
      <c r="A17015" s="33" t="s">
        <v>38094</v>
      </c>
      <c r="B17015" s="33" t="s">
        <v>38095</v>
      </c>
      <c r="C17015" s="33" t="s">
        <v>7374</v>
      </c>
      <c r="D17015" s="33" t="s">
        <v>17</v>
      </c>
      <c r="E17015" s="33" t="s">
        <v>18</v>
      </c>
      <c r="F17015" s="33" t="s">
        <v>19</v>
      </c>
      <c r="G17015" s="33" t="s">
        <v>20</v>
      </c>
      <c r="H17015" s="35">
        <v>300</v>
      </c>
      <c r="I17015" s="33" t="s">
        <v>21</v>
      </c>
      <c r="J17015" s="42">
        <v>44993</v>
      </c>
      <c r="K17015" s="33" t="s">
        <v>22</v>
      </c>
    </row>
    <row r="17016" spans="1:11">
      <c r="A17016" s="30" t="s">
        <v>38096</v>
      </c>
      <c r="B17016" s="30" t="s">
        <v>38097</v>
      </c>
      <c r="C17016" s="30" t="s">
        <v>1295</v>
      </c>
      <c r="D17016" s="30" t="s">
        <v>17</v>
      </c>
      <c r="E17016" s="30" t="s">
        <v>31</v>
      </c>
      <c r="F17016" s="30" t="s">
        <v>32</v>
      </c>
      <c r="G17016" s="30" t="s">
        <v>158</v>
      </c>
      <c r="H17016" s="32">
        <v>53</v>
      </c>
      <c r="I17016" s="30" t="s">
        <v>21</v>
      </c>
      <c r="J17016" s="41">
        <v>45120</v>
      </c>
      <c r="K17016" s="30" t="s">
        <v>22</v>
      </c>
    </row>
    <row r="17017" spans="1:11">
      <c r="A17017" s="33" t="s">
        <v>38098</v>
      </c>
      <c r="B17017" s="33" t="s">
        <v>38099</v>
      </c>
      <c r="C17017" s="33" t="s">
        <v>1652</v>
      </c>
      <c r="D17017" s="33" t="s">
        <v>17</v>
      </c>
      <c r="E17017" s="33" t="s">
        <v>26</v>
      </c>
      <c r="F17017" s="33" t="s">
        <v>27</v>
      </c>
      <c r="G17017" s="33" t="s">
        <v>20</v>
      </c>
      <c r="H17017" s="35">
        <v>41</v>
      </c>
      <c r="I17017" s="33" t="s">
        <v>21</v>
      </c>
      <c r="J17017" s="42">
        <v>45061</v>
      </c>
      <c r="K17017" s="33" t="s">
        <v>22</v>
      </c>
    </row>
    <row r="17018" spans="1:11">
      <c r="A17018" s="30" t="s">
        <v>38100</v>
      </c>
      <c r="B17018" s="30" t="s">
        <v>38101</v>
      </c>
      <c r="C17018" s="30" t="s">
        <v>6663</v>
      </c>
      <c r="D17018" s="30" t="s">
        <v>17</v>
      </c>
      <c r="E17018" s="30" t="s">
        <v>67</v>
      </c>
      <c r="F17018" s="30" t="s">
        <v>68</v>
      </c>
      <c r="G17018" s="30" t="s">
        <v>140</v>
      </c>
      <c r="H17018" s="32">
        <v>342</v>
      </c>
      <c r="I17018" s="30" t="s">
        <v>51</v>
      </c>
      <c r="J17018" s="41">
        <v>45219</v>
      </c>
      <c r="K17018" s="30" t="s">
        <v>22</v>
      </c>
    </row>
    <row r="17019" spans="1:11">
      <c r="A17019" s="33" t="s">
        <v>38102</v>
      </c>
      <c r="B17019" s="33" t="s">
        <v>38103</v>
      </c>
      <c r="C17019" s="33" t="s">
        <v>14816</v>
      </c>
      <c r="D17019" s="33" t="s">
        <v>17</v>
      </c>
      <c r="E17019" s="33" t="s">
        <v>31</v>
      </c>
      <c r="F17019" s="33" t="s">
        <v>32</v>
      </c>
      <c r="G17019" s="33" t="s">
        <v>50</v>
      </c>
      <c r="H17019" s="35">
        <v>180</v>
      </c>
      <c r="I17019" s="33" t="s">
        <v>51</v>
      </c>
      <c r="J17019" s="42">
        <v>44985</v>
      </c>
      <c r="K17019" s="33" t="s">
        <v>22</v>
      </c>
    </row>
    <row r="17020" spans="1:11">
      <c r="A17020" s="30" t="s">
        <v>38104</v>
      </c>
      <c r="B17020" s="30" t="s">
        <v>38105</v>
      </c>
      <c r="C17020" s="30" t="s">
        <v>38106</v>
      </c>
      <c r="D17020" s="30" t="s">
        <v>17</v>
      </c>
      <c r="E17020" s="30" t="s">
        <v>26</v>
      </c>
      <c r="F17020" s="30" t="s">
        <v>27</v>
      </c>
      <c r="G17020" s="30" t="s">
        <v>50</v>
      </c>
      <c r="H17020" s="32">
        <v>56</v>
      </c>
      <c r="I17020" s="30" t="s">
        <v>51</v>
      </c>
      <c r="J17020" s="41">
        <v>45056</v>
      </c>
      <c r="K17020" s="30" t="s">
        <v>22</v>
      </c>
    </row>
    <row r="17021" spans="1:11">
      <c r="A17021" s="33" t="s">
        <v>38107</v>
      </c>
      <c r="B17021" s="33" t="s">
        <v>38108</v>
      </c>
      <c r="C17021" s="33" t="s">
        <v>96</v>
      </c>
      <c r="D17021" s="33" t="s">
        <v>17</v>
      </c>
      <c r="E17021" s="33" t="s">
        <v>26</v>
      </c>
      <c r="F17021" s="33" t="s">
        <v>27</v>
      </c>
      <c r="G17021" s="33" t="s">
        <v>20</v>
      </c>
      <c r="H17021" s="35">
        <v>12</v>
      </c>
      <c r="I17021" s="33" t="s">
        <v>21</v>
      </c>
      <c r="J17021" s="42">
        <v>44965</v>
      </c>
      <c r="K17021" s="33" t="s">
        <v>22</v>
      </c>
    </row>
    <row r="17022" spans="1:11">
      <c r="A17022" s="30" t="s">
        <v>38109</v>
      </c>
      <c r="B17022" s="30" t="s">
        <v>38110</v>
      </c>
      <c r="C17022" s="30" t="s">
        <v>3034</v>
      </c>
      <c r="D17022" s="30" t="s">
        <v>17</v>
      </c>
      <c r="E17022" s="30" t="s">
        <v>67</v>
      </c>
      <c r="F17022" s="30" t="s">
        <v>68</v>
      </c>
      <c r="G17022" s="30" t="s">
        <v>20</v>
      </c>
      <c r="H17022" s="32">
        <v>31</v>
      </c>
      <c r="I17022" s="30" t="s">
        <v>21</v>
      </c>
      <c r="J17022" s="41">
        <v>44971</v>
      </c>
      <c r="K17022" s="30" t="s">
        <v>22</v>
      </c>
    </row>
    <row r="17023" spans="1:11">
      <c r="A17023" s="33" t="s">
        <v>38111</v>
      </c>
      <c r="B17023" s="33" t="s">
        <v>38112</v>
      </c>
      <c r="C17023" s="33" t="s">
        <v>32527</v>
      </c>
      <c r="D17023" s="33" t="s">
        <v>17</v>
      </c>
      <c r="E17023" s="33" t="s">
        <v>26</v>
      </c>
      <c r="F17023" s="33" t="s">
        <v>27</v>
      </c>
      <c r="G17023" s="33" t="s">
        <v>7780</v>
      </c>
      <c r="H17023" s="35">
        <v>9</v>
      </c>
      <c r="I17023" s="33" t="s">
        <v>51</v>
      </c>
      <c r="J17023" s="42">
        <v>45168</v>
      </c>
      <c r="K17023" s="33" t="s">
        <v>22</v>
      </c>
    </row>
    <row r="17024" spans="1:11">
      <c r="A17024" s="30" t="s">
        <v>38113</v>
      </c>
      <c r="B17024" s="30" t="s">
        <v>38114</v>
      </c>
      <c r="C17024" s="30" t="s">
        <v>27527</v>
      </c>
      <c r="D17024" s="30" t="s">
        <v>17</v>
      </c>
      <c r="E17024" s="30" t="s">
        <v>330</v>
      </c>
      <c r="F17024" s="30" t="s">
        <v>331</v>
      </c>
      <c r="G17024" s="30" t="s">
        <v>50</v>
      </c>
      <c r="H17024" s="32">
        <v>20</v>
      </c>
      <c r="I17024" s="30" t="s">
        <v>51</v>
      </c>
      <c r="J17024" s="41">
        <v>45026</v>
      </c>
      <c r="K17024" s="30" t="s">
        <v>22</v>
      </c>
    </row>
    <row r="17025" spans="1:11">
      <c r="A17025" s="33" t="s">
        <v>38115</v>
      </c>
      <c r="B17025" s="33" t="s">
        <v>38116</v>
      </c>
      <c r="C17025" s="33" t="s">
        <v>3964</v>
      </c>
      <c r="D17025" s="33" t="s">
        <v>17</v>
      </c>
      <c r="E17025" s="33" t="s">
        <v>18</v>
      </c>
      <c r="F17025" s="33" t="s">
        <v>19</v>
      </c>
      <c r="G17025" s="33" t="s">
        <v>140</v>
      </c>
      <c r="H17025" s="35">
        <v>290</v>
      </c>
      <c r="I17025" s="33" t="s">
        <v>51</v>
      </c>
      <c r="J17025" s="42">
        <v>45022</v>
      </c>
      <c r="K17025" s="33" t="s">
        <v>22</v>
      </c>
    </row>
    <row r="17026" spans="1:11">
      <c r="A17026" s="30" t="s">
        <v>38117</v>
      </c>
      <c r="B17026" s="30" t="s">
        <v>38118</v>
      </c>
      <c r="C17026" s="30" t="s">
        <v>109</v>
      </c>
      <c r="D17026" s="30" t="s">
        <v>17</v>
      </c>
      <c r="E17026" s="30" t="s">
        <v>18</v>
      </c>
      <c r="F17026" s="30" t="s">
        <v>19</v>
      </c>
      <c r="G17026" s="30" t="s">
        <v>20</v>
      </c>
      <c r="H17026" s="32">
        <v>52</v>
      </c>
      <c r="I17026" s="30" t="s">
        <v>21</v>
      </c>
      <c r="J17026" s="41">
        <v>45040</v>
      </c>
      <c r="K17026" s="30" t="s">
        <v>22</v>
      </c>
    </row>
    <row r="17027" spans="1:11">
      <c r="A17027" s="33" t="s">
        <v>38119</v>
      </c>
      <c r="B17027" s="33" t="s">
        <v>38120</v>
      </c>
      <c r="C17027" s="33" t="s">
        <v>21156</v>
      </c>
      <c r="D17027" s="33" t="s">
        <v>17</v>
      </c>
      <c r="E17027" s="33" t="s">
        <v>18</v>
      </c>
      <c r="F17027" s="33" t="s">
        <v>19</v>
      </c>
      <c r="G17027" s="33" t="s">
        <v>112</v>
      </c>
      <c r="H17027" s="35">
        <v>0</v>
      </c>
      <c r="I17027" s="33" t="s">
        <v>21</v>
      </c>
      <c r="J17027" s="42">
        <v>45034</v>
      </c>
      <c r="K17027" s="33" t="s">
        <v>22</v>
      </c>
    </row>
    <row r="17028" spans="1:11">
      <c r="A17028" s="30" t="s">
        <v>38121</v>
      </c>
      <c r="B17028" s="30" t="s">
        <v>38122</v>
      </c>
      <c r="C17028" s="30" t="s">
        <v>2663</v>
      </c>
      <c r="D17028" s="30" t="s">
        <v>17</v>
      </c>
      <c r="E17028" s="30" t="s">
        <v>26</v>
      </c>
      <c r="F17028" s="30" t="s">
        <v>27</v>
      </c>
      <c r="G17028" s="30" t="s">
        <v>20</v>
      </c>
      <c r="H17028" s="32">
        <v>38</v>
      </c>
      <c r="I17028" s="30" t="s">
        <v>21</v>
      </c>
      <c r="J17028" s="41">
        <v>45100</v>
      </c>
      <c r="K17028" s="30" t="s">
        <v>22</v>
      </c>
    </row>
    <row r="17029" spans="1:11">
      <c r="A17029" s="33" t="s">
        <v>38123</v>
      </c>
      <c r="B17029" s="33" t="s">
        <v>38124</v>
      </c>
      <c r="C17029" s="33" t="s">
        <v>118</v>
      </c>
      <c r="D17029" s="33" t="s">
        <v>17</v>
      </c>
      <c r="E17029" s="33" t="s">
        <v>26</v>
      </c>
      <c r="F17029" s="33" t="s">
        <v>27</v>
      </c>
      <c r="G17029" s="33" t="s">
        <v>20</v>
      </c>
      <c r="H17029" s="35">
        <v>60</v>
      </c>
      <c r="I17029" s="33" t="s">
        <v>21</v>
      </c>
      <c r="J17029" s="42">
        <v>45048</v>
      </c>
      <c r="K17029" s="33" t="s">
        <v>22</v>
      </c>
    </row>
    <row r="17030" spans="1:11">
      <c r="A17030" s="30" t="s">
        <v>38125</v>
      </c>
      <c r="B17030" s="30" t="s">
        <v>38126</v>
      </c>
      <c r="C17030" s="30" t="s">
        <v>203</v>
      </c>
      <c r="D17030" s="30" t="s">
        <v>17</v>
      </c>
      <c r="E17030" s="30" t="s">
        <v>18</v>
      </c>
      <c r="F17030" s="30" t="s">
        <v>19</v>
      </c>
      <c r="G17030" s="30" t="s">
        <v>20</v>
      </c>
      <c r="H17030" s="32">
        <v>601</v>
      </c>
      <c r="I17030" s="30" t="s">
        <v>21</v>
      </c>
      <c r="J17030" s="41">
        <v>45238</v>
      </c>
      <c r="K17030" s="30" t="s">
        <v>22</v>
      </c>
    </row>
    <row r="17031" spans="1:11">
      <c r="A17031" s="33" t="s">
        <v>38127</v>
      </c>
      <c r="B17031" s="33" t="s">
        <v>38128</v>
      </c>
      <c r="C17031" s="33" t="s">
        <v>647</v>
      </c>
      <c r="D17031" s="33" t="s">
        <v>17</v>
      </c>
      <c r="E17031" s="33" t="s">
        <v>18</v>
      </c>
      <c r="F17031" s="33" t="s">
        <v>19</v>
      </c>
      <c r="G17031" s="33" t="s">
        <v>158</v>
      </c>
      <c r="H17031" s="35">
        <v>1089</v>
      </c>
      <c r="I17031" s="33" t="s">
        <v>51</v>
      </c>
      <c r="J17031" s="42">
        <v>45126</v>
      </c>
      <c r="K17031" s="33" t="s">
        <v>22</v>
      </c>
    </row>
    <row r="17032" spans="1:11">
      <c r="A17032" s="30" t="s">
        <v>38129</v>
      </c>
      <c r="B17032" s="30" t="s">
        <v>38130</v>
      </c>
      <c r="C17032" s="30" t="s">
        <v>20710</v>
      </c>
      <c r="D17032" s="30" t="s">
        <v>17</v>
      </c>
      <c r="E17032" s="30" t="s">
        <v>26</v>
      </c>
      <c r="F17032" s="30" t="s">
        <v>27</v>
      </c>
      <c r="G17032" s="30" t="s">
        <v>20</v>
      </c>
      <c r="H17032" s="32">
        <v>24</v>
      </c>
      <c r="I17032" s="30" t="s">
        <v>21</v>
      </c>
      <c r="J17032" s="41">
        <v>45054</v>
      </c>
      <c r="K17032" s="30" t="s">
        <v>22</v>
      </c>
    </row>
    <row r="17033" spans="1:11">
      <c r="A17033" s="33" t="s">
        <v>38131</v>
      </c>
      <c r="B17033" s="33" t="s">
        <v>38132</v>
      </c>
      <c r="C17033" s="33" t="s">
        <v>246</v>
      </c>
      <c r="D17033" s="33" t="s">
        <v>17</v>
      </c>
      <c r="E17033" s="33" t="s">
        <v>67</v>
      </c>
      <c r="F17033" s="33" t="s">
        <v>68</v>
      </c>
      <c r="G17033" s="33" t="s">
        <v>7780</v>
      </c>
      <c r="H17033" s="35">
        <v>120</v>
      </c>
      <c r="I17033" s="33" t="s">
        <v>51</v>
      </c>
      <c r="J17033" s="42">
        <v>45169</v>
      </c>
      <c r="K17033" s="33" t="s">
        <v>22</v>
      </c>
    </row>
    <row r="17034" spans="1:11">
      <c r="A17034" s="30" t="s">
        <v>38133</v>
      </c>
      <c r="B17034" s="30" t="s">
        <v>38134</v>
      </c>
      <c r="C17034" s="30" t="s">
        <v>93</v>
      </c>
      <c r="D17034" s="30" t="s">
        <v>17</v>
      </c>
      <c r="E17034" s="30" t="s">
        <v>26</v>
      </c>
      <c r="F17034" s="30" t="s">
        <v>27</v>
      </c>
      <c r="G17034" s="30" t="s">
        <v>158</v>
      </c>
      <c r="H17034" s="32">
        <v>302</v>
      </c>
      <c r="I17034" s="30" t="s">
        <v>21</v>
      </c>
      <c r="J17034" s="41">
        <v>45239</v>
      </c>
      <c r="K17034" s="30" t="s">
        <v>22</v>
      </c>
    </row>
    <row r="17035" spans="1:11">
      <c r="A17035" s="33" t="s">
        <v>38135</v>
      </c>
      <c r="B17035" s="33" t="s">
        <v>38136</v>
      </c>
      <c r="C17035" s="33" t="s">
        <v>136</v>
      </c>
      <c r="D17035" s="33" t="s">
        <v>17</v>
      </c>
      <c r="E17035" s="33" t="s">
        <v>18</v>
      </c>
      <c r="F17035" s="33" t="s">
        <v>19</v>
      </c>
      <c r="G17035" s="33" t="s">
        <v>20</v>
      </c>
      <c r="H17035" s="35">
        <v>751</v>
      </c>
      <c r="I17035" s="33" t="s">
        <v>21</v>
      </c>
      <c r="J17035" s="42">
        <v>45037</v>
      </c>
      <c r="K17035" s="33" t="s">
        <v>22</v>
      </c>
    </row>
    <row r="17036" spans="1:11">
      <c r="A17036" s="30" t="s">
        <v>38137</v>
      </c>
      <c r="B17036" s="30" t="s">
        <v>38138</v>
      </c>
      <c r="C17036" s="30" t="s">
        <v>753</v>
      </c>
      <c r="D17036" s="30" t="s">
        <v>17</v>
      </c>
      <c r="E17036" s="30" t="s">
        <v>26</v>
      </c>
      <c r="F17036" s="30" t="s">
        <v>27</v>
      </c>
      <c r="G17036" s="30" t="s">
        <v>20</v>
      </c>
      <c r="H17036" s="32">
        <v>136</v>
      </c>
      <c r="I17036" s="30" t="s">
        <v>21</v>
      </c>
      <c r="J17036" s="41">
        <v>45166</v>
      </c>
      <c r="K17036" s="30" t="s">
        <v>22</v>
      </c>
    </row>
    <row r="17037" spans="1:11">
      <c r="A17037" s="33" t="s">
        <v>38139</v>
      </c>
      <c r="B17037" s="33" t="s">
        <v>38140</v>
      </c>
      <c r="C17037" s="33" t="s">
        <v>14816</v>
      </c>
      <c r="D17037" s="33" t="s">
        <v>17</v>
      </c>
      <c r="E17037" s="33" t="s">
        <v>26</v>
      </c>
      <c r="F17037" s="33" t="s">
        <v>27</v>
      </c>
      <c r="G17037" s="33" t="s">
        <v>140</v>
      </c>
      <c r="H17037" s="35">
        <v>102</v>
      </c>
      <c r="I17037" s="33" t="s">
        <v>51</v>
      </c>
      <c r="J17037" s="42">
        <v>44964</v>
      </c>
      <c r="K17037" s="33" t="s">
        <v>22</v>
      </c>
    </row>
    <row r="17038" spans="1:11">
      <c r="A17038" s="30" t="s">
        <v>38141</v>
      </c>
      <c r="B17038" s="30" t="s">
        <v>38142</v>
      </c>
      <c r="C17038" s="30" t="s">
        <v>75</v>
      </c>
      <c r="D17038" s="30" t="s">
        <v>17</v>
      </c>
      <c r="E17038" s="30" t="s">
        <v>26</v>
      </c>
      <c r="F17038" s="30" t="s">
        <v>27</v>
      </c>
      <c r="G17038" s="30" t="s">
        <v>20</v>
      </c>
      <c r="H17038" s="32">
        <v>21</v>
      </c>
      <c r="I17038" s="30" t="s">
        <v>21</v>
      </c>
      <c r="J17038" s="41">
        <v>45174</v>
      </c>
      <c r="K17038" s="30" t="s">
        <v>22</v>
      </c>
    </row>
    <row r="17039" spans="1:11">
      <c r="A17039" s="33" t="s">
        <v>38143</v>
      </c>
      <c r="B17039" s="33" t="s">
        <v>38144</v>
      </c>
      <c r="C17039" s="33" t="s">
        <v>149</v>
      </c>
      <c r="D17039" s="33" t="s">
        <v>17</v>
      </c>
      <c r="E17039" s="33" t="s">
        <v>26</v>
      </c>
      <c r="F17039" s="33" t="s">
        <v>27</v>
      </c>
      <c r="G17039" s="33" t="s">
        <v>20</v>
      </c>
      <c r="H17039" s="35">
        <v>33</v>
      </c>
      <c r="I17039" s="33" t="s">
        <v>21</v>
      </c>
      <c r="J17039" s="42">
        <v>45035</v>
      </c>
      <c r="K17039" s="33" t="s">
        <v>22</v>
      </c>
    </row>
    <row r="17040" spans="1:11">
      <c r="A17040" s="30" t="s">
        <v>38145</v>
      </c>
      <c r="B17040" s="30" t="s">
        <v>38146</v>
      </c>
      <c r="C17040" s="30" t="s">
        <v>38147</v>
      </c>
      <c r="D17040" s="30" t="s">
        <v>17</v>
      </c>
      <c r="E17040" s="30" t="s">
        <v>67</v>
      </c>
      <c r="F17040" s="30" t="s">
        <v>68</v>
      </c>
      <c r="G17040" s="30" t="s">
        <v>140</v>
      </c>
      <c r="H17040" s="32">
        <v>24</v>
      </c>
      <c r="I17040" s="30" t="s">
        <v>51</v>
      </c>
      <c r="J17040" s="41">
        <v>45201</v>
      </c>
      <c r="K17040" s="30" t="s">
        <v>22</v>
      </c>
    </row>
    <row r="17041" spans="1:11">
      <c r="A17041" s="33" t="s">
        <v>38148</v>
      </c>
      <c r="B17041" s="33" t="s">
        <v>38149</v>
      </c>
      <c r="C17041" s="33" t="s">
        <v>4348</v>
      </c>
      <c r="D17041" s="33" t="s">
        <v>17</v>
      </c>
      <c r="E17041" s="33" t="s">
        <v>18</v>
      </c>
      <c r="F17041" s="33" t="s">
        <v>19</v>
      </c>
      <c r="G17041" s="33" t="s">
        <v>158</v>
      </c>
      <c r="H17041" s="35">
        <v>589</v>
      </c>
      <c r="I17041" s="33" t="s">
        <v>21</v>
      </c>
      <c r="J17041" s="42">
        <v>45121</v>
      </c>
      <c r="K17041" s="33" t="s">
        <v>22</v>
      </c>
    </row>
    <row r="17042" spans="1:11">
      <c r="A17042" s="30" t="s">
        <v>38150</v>
      </c>
      <c r="B17042" s="30" t="s">
        <v>38151</v>
      </c>
      <c r="C17042" s="30" t="s">
        <v>318</v>
      </c>
      <c r="D17042" s="30" t="s">
        <v>17</v>
      </c>
      <c r="E17042" s="30" t="s">
        <v>18</v>
      </c>
      <c r="F17042" s="30" t="s">
        <v>19</v>
      </c>
      <c r="G17042" s="30" t="s">
        <v>158</v>
      </c>
      <c r="H17042" s="32">
        <v>2621</v>
      </c>
      <c r="I17042" s="30" t="s">
        <v>21</v>
      </c>
      <c r="J17042" s="41">
        <v>45077</v>
      </c>
      <c r="K17042" s="30" t="s">
        <v>22</v>
      </c>
    </row>
    <row r="17043" spans="1:11">
      <c r="A17043" s="33" t="s">
        <v>38152</v>
      </c>
      <c r="B17043" s="33" t="s">
        <v>38153</v>
      </c>
      <c r="C17043" s="33" t="s">
        <v>1039</v>
      </c>
      <c r="D17043" s="33" t="s">
        <v>17</v>
      </c>
      <c r="E17043" s="33" t="s">
        <v>45</v>
      </c>
      <c r="F17043" s="33" t="s">
        <v>46</v>
      </c>
      <c r="G17043" s="33" t="s">
        <v>140</v>
      </c>
      <c r="H17043" s="35">
        <v>52</v>
      </c>
      <c r="I17043" s="33" t="s">
        <v>51</v>
      </c>
      <c r="J17043" s="42">
        <v>44935</v>
      </c>
      <c r="K17043" s="33" t="s">
        <v>22</v>
      </c>
    </row>
    <row r="17044" spans="1:11">
      <c r="A17044" s="30" t="s">
        <v>38154</v>
      </c>
      <c r="B17044" s="30" t="s">
        <v>38155</v>
      </c>
      <c r="C17044" s="30" t="s">
        <v>75</v>
      </c>
      <c r="D17044" s="30" t="s">
        <v>17</v>
      </c>
      <c r="E17044" s="30" t="s">
        <v>18</v>
      </c>
      <c r="F17044" s="30" t="s">
        <v>19</v>
      </c>
      <c r="G17044" s="30" t="s">
        <v>158</v>
      </c>
      <c r="H17044" s="32">
        <v>516</v>
      </c>
      <c r="I17044" s="30" t="s">
        <v>21</v>
      </c>
      <c r="J17044" s="41">
        <v>44938</v>
      </c>
      <c r="K17044" s="30" t="s">
        <v>22</v>
      </c>
    </row>
    <row r="17045" spans="1:11">
      <c r="A17045" s="33" t="s">
        <v>38156</v>
      </c>
      <c r="B17045" s="33" t="s">
        <v>38157</v>
      </c>
      <c r="C17045" s="33" t="s">
        <v>16807</v>
      </c>
      <c r="D17045" s="33" t="s">
        <v>17</v>
      </c>
      <c r="E17045" s="33" t="s">
        <v>18</v>
      </c>
      <c r="F17045" s="33" t="s">
        <v>19</v>
      </c>
      <c r="G17045" s="33" t="s">
        <v>140</v>
      </c>
      <c r="H17045" s="35">
        <v>2000</v>
      </c>
      <c r="I17045" s="33" t="s">
        <v>51</v>
      </c>
      <c r="J17045" s="42">
        <v>45202</v>
      </c>
      <c r="K17045" s="33" t="s">
        <v>22</v>
      </c>
    </row>
    <row r="17046" spans="1:11">
      <c r="A17046" s="30" t="s">
        <v>38158</v>
      </c>
      <c r="B17046" s="30" t="s">
        <v>38159</v>
      </c>
      <c r="C17046" s="30" t="s">
        <v>329</v>
      </c>
      <c r="D17046" s="30" t="s">
        <v>17</v>
      </c>
      <c r="E17046" s="30" t="s">
        <v>26</v>
      </c>
      <c r="F17046" s="30" t="s">
        <v>27</v>
      </c>
      <c r="G17046" s="30" t="s">
        <v>20</v>
      </c>
      <c r="H17046" s="32">
        <v>60</v>
      </c>
      <c r="I17046" s="30" t="s">
        <v>21</v>
      </c>
      <c r="J17046" s="41">
        <v>44996</v>
      </c>
      <c r="K17046" s="30" t="s">
        <v>22</v>
      </c>
    </row>
    <row r="17047" spans="1:11">
      <c r="A17047" s="33" t="s">
        <v>38160</v>
      </c>
      <c r="B17047" s="33" t="s">
        <v>38161</v>
      </c>
      <c r="C17047" s="33" t="s">
        <v>38162</v>
      </c>
      <c r="D17047" s="33" t="s">
        <v>17</v>
      </c>
      <c r="E17047" s="33" t="s">
        <v>26</v>
      </c>
      <c r="F17047" s="33" t="s">
        <v>27</v>
      </c>
      <c r="G17047" s="33" t="s">
        <v>50</v>
      </c>
      <c r="H17047" s="35">
        <v>122</v>
      </c>
      <c r="I17047" s="33" t="s">
        <v>51</v>
      </c>
      <c r="J17047" s="42">
        <v>45197</v>
      </c>
      <c r="K17047" s="33" t="s">
        <v>22</v>
      </c>
    </row>
    <row r="17048" spans="1:11">
      <c r="A17048" s="30" t="s">
        <v>38163</v>
      </c>
      <c r="B17048" s="30" t="s">
        <v>38164</v>
      </c>
      <c r="C17048" s="30" t="s">
        <v>75</v>
      </c>
      <c r="D17048" s="30" t="s">
        <v>17</v>
      </c>
      <c r="E17048" s="30" t="s">
        <v>26</v>
      </c>
      <c r="F17048" s="30" t="s">
        <v>27</v>
      </c>
      <c r="G17048" s="30" t="s">
        <v>112</v>
      </c>
      <c r="H17048" s="32">
        <v>0</v>
      </c>
      <c r="I17048" s="30" t="s">
        <v>21</v>
      </c>
      <c r="J17048" s="41">
        <v>44935</v>
      </c>
      <c r="K17048" s="30" t="s">
        <v>22</v>
      </c>
    </row>
    <row r="17049" spans="1:11">
      <c r="A17049" s="33" t="s">
        <v>38165</v>
      </c>
      <c r="B17049" s="33" t="s">
        <v>38166</v>
      </c>
      <c r="C17049" s="33" t="s">
        <v>9763</v>
      </c>
      <c r="D17049" s="33" t="s">
        <v>17</v>
      </c>
      <c r="E17049" s="33" t="s">
        <v>212</v>
      </c>
      <c r="F17049" s="33" t="s">
        <v>213</v>
      </c>
      <c r="G17049" s="33" t="s">
        <v>20</v>
      </c>
      <c r="H17049" s="35">
        <v>100</v>
      </c>
      <c r="I17049" s="33" t="s">
        <v>21</v>
      </c>
      <c r="J17049" s="42">
        <v>45122</v>
      </c>
      <c r="K17049" s="33" t="s">
        <v>22</v>
      </c>
    </row>
    <row r="17050" spans="1:11">
      <c r="A17050" s="30" t="s">
        <v>38167</v>
      </c>
      <c r="B17050" s="30" t="s">
        <v>38168</v>
      </c>
      <c r="C17050" s="30" t="s">
        <v>359</v>
      </c>
      <c r="D17050" s="30" t="s">
        <v>17</v>
      </c>
      <c r="E17050" s="30" t="s">
        <v>31</v>
      </c>
      <c r="F17050" s="30" t="s">
        <v>32</v>
      </c>
      <c r="G17050" s="30" t="s">
        <v>112</v>
      </c>
      <c r="H17050" s="32">
        <v>0</v>
      </c>
      <c r="I17050" s="30" t="s">
        <v>21</v>
      </c>
      <c r="J17050" s="41">
        <v>45017</v>
      </c>
      <c r="K17050" s="30" t="s">
        <v>22</v>
      </c>
    </row>
    <row r="17051" spans="1:11">
      <c r="A17051" s="33" t="s">
        <v>38169</v>
      </c>
      <c r="B17051" s="33" t="s">
        <v>38170</v>
      </c>
      <c r="C17051" s="33" t="s">
        <v>9234</v>
      </c>
      <c r="D17051" s="33" t="s">
        <v>17</v>
      </c>
      <c r="E17051" s="33" t="s">
        <v>67</v>
      </c>
      <c r="F17051" s="33" t="s">
        <v>68</v>
      </c>
      <c r="G17051" s="33" t="s">
        <v>158</v>
      </c>
      <c r="H17051" s="35">
        <v>46</v>
      </c>
      <c r="I17051" s="33" t="s">
        <v>21</v>
      </c>
      <c r="J17051" s="42">
        <v>44956</v>
      </c>
      <c r="K17051" s="33" t="s">
        <v>22</v>
      </c>
    </row>
    <row r="17052" spans="1:11">
      <c r="A17052" s="30" t="s">
        <v>38171</v>
      </c>
      <c r="B17052" s="30" t="s">
        <v>38172</v>
      </c>
      <c r="C17052" s="30" t="s">
        <v>318</v>
      </c>
      <c r="D17052" s="30" t="s">
        <v>17</v>
      </c>
      <c r="E17052" s="30" t="s">
        <v>26</v>
      </c>
      <c r="F17052" s="30" t="s">
        <v>27</v>
      </c>
      <c r="G17052" s="30" t="s">
        <v>20</v>
      </c>
      <c r="H17052" s="32">
        <v>44</v>
      </c>
      <c r="I17052" s="30" t="s">
        <v>21</v>
      </c>
      <c r="J17052" s="41">
        <v>45009</v>
      </c>
      <c r="K17052" s="30" t="s">
        <v>22</v>
      </c>
    </row>
    <row r="17053" spans="1:11">
      <c r="A17053" s="33" t="s">
        <v>38173</v>
      </c>
      <c r="B17053" s="33" t="s">
        <v>38174</v>
      </c>
      <c r="C17053" s="33" t="s">
        <v>38175</v>
      </c>
      <c r="D17053" s="33" t="s">
        <v>17</v>
      </c>
      <c r="E17053" s="33" t="s">
        <v>26</v>
      </c>
      <c r="F17053" s="33" t="s">
        <v>27</v>
      </c>
      <c r="G17053" s="33" t="s">
        <v>158</v>
      </c>
      <c r="H17053" s="35">
        <v>39</v>
      </c>
      <c r="I17053" s="33" t="s">
        <v>21</v>
      </c>
      <c r="J17053" s="42">
        <v>45019</v>
      </c>
      <c r="K17053" s="33" t="s">
        <v>22</v>
      </c>
    </row>
    <row r="17054" spans="1:11">
      <c r="A17054" s="30" t="s">
        <v>38176</v>
      </c>
      <c r="B17054" s="30" t="s">
        <v>38177</v>
      </c>
      <c r="C17054" s="30" t="s">
        <v>5372</v>
      </c>
      <c r="D17054" s="30" t="s">
        <v>17</v>
      </c>
      <c r="E17054" s="30" t="s">
        <v>26</v>
      </c>
      <c r="F17054" s="30" t="s">
        <v>27</v>
      </c>
      <c r="G17054" s="30" t="s">
        <v>140</v>
      </c>
      <c r="H17054" s="32">
        <v>437</v>
      </c>
      <c r="I17054" s="30" t="s">
        <v>51</v>
      </c>
      <c r="J17054" s="41">
        <v>45148</v>
      </c>
      <c r="K17054" s="30" t="s">
        <v>22</v>
      </c>
    </row>
    <row r="17055" spans="1:11">
      <c r="A17055" s="33" t="s">
        <v>38178</v>
      </c>
      <c r="B17055" s="33" t="s">
        <v>38179</v>
      </c>
      <c r="C17055" s="33" t="s">
        <v>9306</v>
      </c>
      <c r="D17055" s="33" t="s">
        <v>17</v>
      </c>
      <c r="E17055" s="33" t="s">
        <v>26</v>
      </c>
      <c r="F17055" s="33" t="s">
        <v>27</v>
      </c>
      <c r="G17055" s="33" t="s">
        <v>20</v>
      </c>
      <c r="H17055" s="35">
        <v>76</v>
      </c>
      <c r="I17055" s="33" t="s">
        <v>21</v>
      </c>
      <c r="J17055" s="42">
        <v>45168</v>
      </c>
      <c r="K17055" s="33" t="s">
        <v>22</v>
      </c>
    </row>
    <row r="17056" spans="1:11">
      <c r="A17056" s="30" t="s">
        <v>38180</v>
      </c>
      <c r="B17056" s="30" t="s">
        <v>38181</v>
      </c>
      <c r="C17056" s="30" t="s">
        <v>75</v>
      </c>
      <c r="D17056" s="30" t="s">
        <v>17</v>
      </c>
      <c r="E17056" s="30" t="s">
        <v>31</v>
      </c>
      <c r="F17056" s="30" t="s">
        <v>32</v>
      </c>
      <c r="G17056" s="30" t="s">
        <v>106</v>
      </c>
      <c r="H17056" s="32">
        <v>18</v>
      </c>
      <c r="I17056" s="30" t="s">
        <v>21</v>
      </c>
      <c r="J17056" s="41">
        <v>44944</v>
      </c>
      <c r="K17056" s="30" t="s">
        <v>22</v>
      </c>
    </row>
    <row r="17057" spans="1:11">
      <c r="A17057" s="33" t="s">
        <v>38182</v>
      </c>
      <c r="B17057" s="33" t="s">
        <v>38183</v>
      </c>
      <c r="C17057" s="33" t="s">
        <v>20366</v>
      </c>
      <c r="D17057" s="33" t="s">
        <v>17</v>
      </c>
      <c r="E17057" s="33" t="s">
        <v>18</v>
      </c>
      <c r="F17057" s="33" t="s">
        <v>19</v>
      </c>
      <c r="G17057" s="33" t="s">
        <v>20</v>
      </c>
      <c r="H17057" s="35">
        <v>260</v>
      </c>
      <c r="I17057" s="33" t="s">
        <v>21</v>
      </c>
      <c r="J17057" s="42">
        <v>45064</v>
      </c>
      <c r="K17057" s="33" t="s">
        <v>22</v>
      </c>
    </row>
    <row r="17058" spans="1:11">
      <c r="A17058" s="30" t="s">
        <v>38184</v>
      </c>
      <c r="B17058" s="30" t="s">
        <v>38185</v>
      </c>
      <c r="C17058" s="30" t="s">
        <v>24049</v>
      </c>
      <c r="D17058" s="30" t="s">
        <v>17</v>
      </c>
      <c r="E17058" s="30" t="s">
        <v>45</v>
      </c>
      <c r="F17058" s="30" t="s">
        <v>46</v>
      </c>
      <c r="G17058" s="30" t="s">
        <v>20</v>
      </c>
      <c r="H17058" s="32">
        <v>329</v>
      </c>
      <c r="I17058" s="30" t="s">
        <v>21</v>
      </c>
      <c r="J17058" s="41">
        <v>45087</v>
      </c>
      <c r="K17058" s="30" t="s">
        <v>22</v>
      </c>
    </row>
    <row r="17059" spans="1:11">
      <c r="A17059" s="33" t="s">
        <v>38186</v>
      </c>
      <c r="B17059" s="33" t="s">
        <v>38187</v>
      </c>
      <c r="C17059" s="33" t="s">
        <v>647</v>
      </c>
      <c r="D17059" s="33" t="s">
        <v>17</v>
      </c>
      <c r="E17059" s="33" t="s">
        <v>26</v>
      </c>
      <c r="F17059" s="33" t="s">
        <v>27</v>
      </c>
      <c r="G17059" s="33" t="s">
        <v>20</v>
      </c>
      <c r="H17059" s="35">
        <v>64</v>
      </c>
      <c r="I17059" s="33" t="s">
        <v>21</v>
      </c>
      <c r="J17059" s="42">
        <v>44946</v>
      </c>
      <c r="K17059" s="33" t="s">
        <v>22</v>
      </c>
    </row>
    <row r="17060" spans="1:11">
      <c r="A17060" s="30" t="s">
        <v>38188</v>
      </c>
      <c r="B17060" s="30" t="s">
        <v>38189</v>
      </c>
      <c r="C17060" s="30" t="s">
        <v>190</v>
      </c>
      <c r="D17060" s="30" t="s">
        <v>17</v>
      </c>
      <c r="E17060" s="30" t="s">
        <v>18</v>
      </c>
      <c r="F17060" s="30" t="s">
        <v>19</v>
      </c>
      <c r="G17060" s="30" t="s">
        <v>20</v>
      </c>
      <c r="H17060" s="32">
        <v>64</v>
      </c>
      <c r="I17060" s="30" t="s">
        <v>21</v>
      </c>
      <c r="J17060" s="41">
        <v>45282</v>
      </c>
      <c r="K17060" s="30" t="s">
        <v>22</v>
      </c>
    </row>
    <row r="17061" spans="1:11">
      <c r="A17061" s="33" t="s">
        <v>38190</v>
      </c>
      <c r="B17061" s="33" t="s">
        <v>38191</v>
      </c>
      <c r="C17061" s="33" t="s">
        <v>87</v>
      </c>
      <c r="D17061" s="33" t="s">
        <v>17</v>
      </c>
      <c r="E17061" s="33" t="s">
        <v>18</v>
      </c>
      <c r="F17061" s="33" t="s">
        <v>19</v>
      </c>
      <c r="G17061" s="33" t="s">
        <v>50</v>
      </c>
      <c r="H17061" s="35">
        <v>552</v>
      </c>
      <c r="I17061" s="33" t="s">
        <v>51</v>
      </c>
      <c r="J17061" s="42">
        <v>45076</v>
      </c>
      <c r="K17061" s="33" t="s">
        <v>22</v>
      </c>
    </row>
    <row r="17062" spans="1:11">
      <c r="A17062" s="30" t="s">
        <v>38192</v>
      </c>
      <c r="B17062" s="30" t="s">
        <v>38193</v>
      </c>
      <c r="C17062" s="30" t="s">
        <v>38194</v>
      </c>
      <c r="D17062" s="30" t="s">
        <v>17</v>
      </c>
      <c r="E17062" s="30" t="s">
        <v>31</v>
      </c>
      <c r="F17062" s="30" t="s">
        <v>32</v>
      </c>
      <c r="G17062" s="30" t="s">
        <v>158</v>
      </c>
      <c r="H17062" s="32">
        <v>80</v>
      </c>
      <c r="I17062" s="30" t="s">
        <v>51</v>
      </c>
      <c r="J17062" s="41">
        <v>45078</v>
      </c>
      <c r="K17062" s="30" t="s">
        <v>22</v>
      </c>
    </row>
    <row r="17063" spans="1:11">
      <c r="A17063" s="33" t="s">
        <v>38195</v>
      </c>
      <c r="B17063" s="33" t="s">
        <v>38196</v>
      </c>
      <c r="C17063" s="33" t="s">
        <v>38197</v>
      </c>
      <c r="D17063" s="33" t="s">
        <v>17</v>
      </c>
      <c r="E17063" s="33" t="s">
        <v>26</v>
      </c>
      <c r="F17063" s="33" t="s">
        <v>27</v>
      </c>
      <c r="G17063" s="33" t="s">
        <v>20</v>
      </c>
      <c r="H17063" s="35">
        <v>100</v>
      </c>
      <c r="I17063" s="33" t="s">
        <v>21</v>
      </c>
      <c r="J17063" s="42">
        <v>44965</v>
      </c>
      <c r="K17063" s="33" t="s">
        <v>22</v>
      </c>
    </row>
    <row r="17064" spans="1:11">
      <c r="A17064" s="30" t="s">
        <v>38198</v>
      </c>
      <c r="B17064" s="30" t="s">
        <v>38199</v>
      </c>
      <c r="C17064" s="30" t="s">
        <v>96</v>
      </c>
      <c r="D17064" s="30" t="s">
        <v>17</v>
      </c>
      <c r="E17064" s="30" t="s">
        <v>45</v>
      </c>
      <c r="F17064" s="30" t="s">
        <v>46</v>
      </c>
      <c r="G17064" s="30" t="s">
        <v>106</v>
      </c>
      <c r="H17064" s="32">
        <v>47</v>
      </c>
      <c r="I17064" s="30" t="s">
        <v>21</v>
      </c>
      <c r="J17064" s="41">
        <v>44931</v>
      </c>
      <c r="K17064" s="30" t="s">
        <v>22</v>
      </c>
    </row>
    <row r="17065" spans="1:11">
      <c r="A17065" s="33" t="s">
        <v>38200</v>
      </c>
      <c r="B17065" s="33" t="s">
        <v>38201</v>
      </c>
      <c r="C17065" s="33" t="s">
        <v>32431</v>
      </c>
      <c r="D17065" s="33" t="s">
        <v>17</v>
      </c>
      <c r="E17065" s="33" t="s">
        <v>67</v>
      </c>
      <c r="F17065" s="33" t="s">
        <v>68</v>
      </c>
      <c r="G17065" s="33" t="s">
        <v>50</v>
      </c>
      <c r="H17065" s="35">
        <v>60</v>
      </c>
      <c r="I17065" s="33" t="s">
        <v>51</v>
      </c>
      <c r="J17065" s="42">
        <v>44927</v>
      </c>
      <c r="K17065" s="33" t="s">
        <v>22</v>
      </c>
    </row>
    <row r="17066" spans="1:11">
      <c r="A17066" s="30" t="s">
        <v>38202</v>
      </c>
      <c r="B17066" s="30" t="s">
        <v>38203</v>
      </c>
      <c r="C17066" s="30" t="s">
        <v>1112</v>
      </c>
      <c r="D17066" s="30" t="s">
        <v>17</v>
      </c>
      <c r="E17066" s="30" t="s">
        <v>26</v>
      </c>
      <c r="F17066" s="30" t="s">
        <v>27</v>
      </c>
      <c r="G17066" s="30" t="s">
        <v>20</v>
      </c>
      <c r="H17066" s="32">
        <v>40</v>
      </c>
      <c r="I17066" s="30" t="s">
        <v>21</v>
      </c>
      <c r="J17066" s="41">
        <v>45021</v>
      </c>
      <c r="K17066" s="30" t="s">
        <v>22</v>
      </c>
    </row>
    <row r="17067" spans="1:11">
      <c r="A17067" s="33" t="s">
        <v>38204</v>
      </c>
      <c r="B17067" s="33" t="s">
        <v>38205</v>
      </c>
      <c r="C17067" s="33" t="s">
        <v>30617</v>
      </c>
      <c r="D17067" s="33" t="s">
        <v>17</v>
      </c>
      <c r="E17067" s="33" t="s">
        <v>67</v>
      </c>
      <c r="F17067" s="33" t="s">
        <v>68</v>
      </c>
      <c r="G17067" s="33" t="s">
        <v>20</v>
      </c>
      <c r="H17067" s="35">
        <v>49</v>
      </c>
      <c r="I17067" s="33" t="s">
        <v>21</v>
      </c>
      <c r="J17067" s="42">
        <v>45208</v>
      </c>
      <c r="K17067" s="33" t="s">
        <v>22</v>
      </c>
    </row>
    <row r="17068" spans="1:11">
      <c r="A17068" s="30" t="s">
        <v>38206</v>
      </c>
      <c r="B17068" s="30" t="s">
        <v>38207</v>
      </c>
      <c r="C17068" s="30" t="s">
        <v>136</v>
      </c>
      <c r="D17068" s="30" t="s">
        <v>17</v>
      </c>
      <c r="E17068" s="30" t="s">
        <v>26</v>
      </c>
      <c r="F17068" s="30" t="s">
        <v>27</v>
      </c>
      <c r="G17068" s="30" t="s">
        <v>20</v>
      </c>
      <c r="H17068" s="32">
        <v>11</v>
      </c>
      <c r="I17068" s="30" t="s">
        <v>21</v>
      </c>
      <c r="J17068" s="41">
        <v>45138</v>
      </c>
      <c r="K17068" s="30" t="s">
        <v>22</v>
      </c>
    </row>
    <row r="17069" spans="1:11">
      <c r="A17069" s="33" t="s">
        <v>38208</v>
      </c>
      <c r="B17069" s="33" t="s">
        <v>38209</v>
      </c>
      <c r="C17069" s="33" t="s">
        <v>1674</v>
      </c>
      <c r="D17069" s="33" t="s">
        <v>17</v>
      </c>
      <c r="E17069" s="33" t="s">
        <v>26</v>
      </c>
      <c r="F17069" s="33" t="s">
        <v>27</v>
      </c>
      <c r="G17069" s="33" t="s">
        <v>20</v>
      </c>
      <c r="H17069" s="35">
        <v>59</v>
      </c>
      <c r="I17069" s="33" t="s">
        <v>21</v>
      </c>
      <c r="J17069" s="42">
        <v>45202</v>
      </c>
      <c r="K17069" s="33" t="s">
        <v>22</v>
      </c>
    </row>
    <row r="17070" spans="1:11">
      <c r="A17070" s="30" t="s">
        <v>38210</v>
      </c>
      <c r="B17070" s="30" t="s">
        <v>38211</v>
      </c>
      <c r="C17070" s="30" t="s">
        <v>13269</v>
      </c>
      <c r="D17070" s="30" t="s">
        <v>17</v>
      </c>
      <c r="E17070" s="30" t="s">
        <v>26</v>
      </c>
      <c r="F17070" s="30" t="s">
        <v>27</v>
      </c>
      <c r="G17070" s="30" t="s">
        <v>20</v>
      </c>
      <c r="H17070" s="32">
        <v>16</v>
      </c>
      <c r="I17070" s="30" t="s">
        <v>21</v>
      </c>
      <c r="J17070" s="41">
        <v>45247</v>
      </c>
      <c r="K17070" s="30" t="s">
        <v>22</v>
      </c>
    </row>
    <row r="17071" spans="1:11">
      <c r="A17071" s="33" t="s">
        <v>38212</v>
      </c>
      <c r="B17071" s="33" t="s">
        <v>38213</v>
      </c>
      <c r="C17071" s="33" t="s">
        <v>178</v>
      </c>
      <c r="D17071" s="33" t="s">
        <v>17</v>
      </c>
      <c r="E17071" s="33" t="s">
        <v>18</v>
      </c>
      <c r="F17071" s="33" t="s">
        <v>19</v>
      </c>
      <c r="G17071" s="33" t="s">
        <v>20</v>
      </c>
      <c r="H17071" s="35">
        <v>256</v>
      </c>
      <c r="I17071" s="33" t="s">
        <v>21</v>
      </c>
      <c r="J17071" s="42">
        <v>45008</v>
      </c>
      <c r="K17071" s="33" t="s">
        <v>22</v>
      </c>
    </row>
    <row r="17072" spans="1:11">
      <c r="A17072" s="30" t="s">
        <v>38214</v>
      </c>
      <c r="B17072" s="30" t="s">
        <v>38215</v>
      </c>
      <c r="C17072" s="30" t="s">
        <v>252</v>
      </c>
      <c r="D17072" s="30" t="s">
        <v>17</v>
      </c>
      <c r="E17072" s="30" t="s">
        <v>18</v>
      </c>
      <c r="F17072" s="30" t="s">
        <v>19</v>
      </c>
      <c r="G17072" s="30" t="s">
        <v>20</v>
      </c>
      <c r="H17072" s="32">
        <v>510</v>
      </c>
      <c r="I17072" s="30" t="s">
        <v>21</v>
      </c>
      <c r="J17072" s="41">
        <v>45252</v>
      </c>
      <c r="K17072" s="30" t="s">
        <v>22</v>
      </c>
    </row>
    <row r="17073" spans="1:11">
      <c r="A17073" s="33" t="s">
        <v>38216</v>
      </c>
      <c r="B17073" s="33" t="s">
        <v>38217</v>
      </c>
      <c r="C17073" s="33" t="s">
        <v>75</v>
      </c>
      <c r="D17073" s="33" t="s">
        <v>17</v>
      </c>
      <c r="E17073" s="33" t="s">
        <v>18</v>
      </c>
      <c r="F17073" s="33" t="s">
        <v>19</v>
      </c>
      <c r="G17073" s="33" t="s">
        <v>158</v>
      </c>
      <c r="H17073" s="35">
        <v>106</v>
      </c>
      <c r="I17073" s="33" t="s">
        <v>21</v>
      </c>
      <c r="J17073" s="42">
        <v>45204</v>
      </c>
      <c r="K17073" s="33" t="s">
        <v>22</v>
      </c>
    </row>
    <row r="17074" spans="1:11">
      <c r="A17074" s="30" t="s">
        <v>38218</v>
      </c>
      <c r="B17074" s="30" t="s">
        <v>38219</v>
      </c>
      <c r="C17074" s="30" t="s">
        <v>5364</v>
      </c>
      <c r="D17074" s="30" t="s">
        <v>17</v>
      </c>
      <c r="E17074" s="30" t="s">
        <v>212</v>
      </c>
      <c r="F17074" s="30" t="s">
        <v>213</v>
      </c>
      <c r="G17074" s="30" t="s">
        <v>7780</v>
      </c>
      <c r="H17074" s="32">
        <v>62</v>
      </c>
      <c r="I17074" s="30" t="s">
        <v>51</v>
      </c>
      <c r="J17074" s="41">
        <v>45230</v>
      </c>
      <c r="K17074" s="30" t="s">
        <v>22</v>
      </c>
    </row>
    <row r="17075" spans="1:11">
      <c r="A17075" s="33" t="s">
        <v>38220</v>
      </c>
      <c r="B17075" s="33" t="s">
        <v>38221</v>
      </c>
      <c r="C17075" s="33" t="s">
        <v>32434</v>
      </c>
      <c r="D17075" s="33" t="s">
        <v>17</v>
      </c>
      <c r="E17075" s="33" t="s">
        <v>26</v>
      </c>
      <c r="F17075" s="33" t="s">
        <v>27</v>
      </c>
      <c r="G17075" s="33" t="s">
        <v>20</v>
      </c>
      <c r="H17075" s="35">
        <v>21</v>
      </c>
      <c r="I17075" s="33" t="s">
        <v>21</v>
      </c>
      <c r="J17075" s="42">
        <v>45065</v>
      </c>
      <c r="K17075" s="33" t="s">
        <v>22</v>
      </c>
    </row>
    <row r="17076" spans="1:11">
      <c r="A17076" s="30" t="s">
        <v>38222</v>
      </c>
      <c r="B17076" s="30" t="s">
        <v>38223</v>
      </c>
      <c r="C17076" s="30" t="s">
        <v>38224</v>
      </c>
      <c r="D17076" s="30" t="s">
        <v>17</v>
      </c>
      <c r="E17076" s="30" t="s">
        <v>330</v>
      </c>
      <c r="F17076" s="30" t="s">
        <v>331</v>
      </c>
      <c r="G17076" s="30" t="s">
        <v>50</v>
      </c>
      <c r="H17076" s="32">
        <v>15</v>
      </c>
      <c r="I17076" s="30" t="s">
        <v>51</v>
      </c>
      <c r="J17076" s="41">
        <v>45089</v>
      </c>
      <c r="K17076" s="30" t="s">
        <v>22</v>
      </c>
    </row>
    <row r="17077" spans="1:11">
      <c r="A17077" s="33" t="s">
        <v>38225</v>
      </c>
      <c r="B17077" s="33" t="s">
        <v>38226</v>
      </c>
      <c r="C17077" s="33" t="s">
        <v>9114</v>
      </c>
      <c r="D17077" s="33" t="s">
        <v>17</v>
      </c>
      <c r="E17077" s="33" t="s">
        <v>26</v>
      </c>
      <c r="F17077" s="33" t="s">
        <v>27</v>
      </c>
      <c r="G17077" s="33" t="s">
        <v>20</v>
      </c>
      <c r="H17077" s="35">
        <v>24</v>
      </c>
      <c r="I17077" s="33" t="s">
        <v>21</v>
      </c>
      <c r="J17077" s="42">
        <v>45163</v>
      </c>
      <c r="K17077" s="33" t="s">
        <v>22</v>
      </c>
    </row>
    <row r="17078" spans="1:11">
      <c r="A17078" s="30" t="s">
        <v>38227</v>
      </c>
      <c r="B17078" s="30" t="s">
        <v>38228</v>
      </c>
      <c r="C17078" s="30" t="s">
        <v>2612</v>
      </c>
      <c r="D17078" s="30" t="s">
        <v>17</v>
      </c>
      <c r="E17078" s="30" t="s">
        <v>18</v>
      </c>
      <c r="F17078" s="30" t="s">
        <v>19</v>
      </c>
      <c r="G17078" s="30" t="s">
        <v>158</v>
      </c>
      <c r="H17078" s="32">
        <v>69</v>
      </c>
      <c r="I17078" s="30" t="s">
        <v>21</v>
      </c>
      <c r="J17078" s="41">
        <v>45091</v>
      </c>
      <c r="K17078" s="30" t="s">
        <v>22</v>
      </c>
    </row>
    <row r="17079" spans="1:11">
      <c r="A17079" s="33" t="s">
        <v>38229</v>
      </c>
      <c r="B17079" s="33" t="s">
        <v>38230</v>
      </c>
      <c r="C17079" s="33" t="s">
        <v>38231</v>
      </c>
      <c r="D17079" s="33" t="s">
        <v>17</v>
      </c>
      <c r="E17079" s="33" t="s">
        <v>26</v>
      </c>
      <c r="F17079" s="33" t="s">
        <v>27</v>
      </c>
      <c r="G17079" s="33" t="s">
        <v>106</v>
      </c>
      <c r="H17079" s="35">
        <v>17</v>
      </c>
      <c r="I17079" s="33" t="s">
        <v>21</v>
      </c>
      <c r="J17079" s="42">
        <v>45169</v>
      </c>
      <c r="K17079" s="33" t="s">
        <v>22</v>
      </c>
    </row>
    <row r="17080" spans="1:11">
      <c r="A17080" s="30" t="s">
        <v>38232</v>
      </c>
      <c r="B17080" s="30" t="s">
        <v>38233</v>
      </c>
      <c r="C17080" s="30" t="s">
        <v>3775</v>
      </c>
      <c r="D17080" s="30" t="s">
        <v>17</v>
      </c>
      <c r="E17080" s="30" t="s">
        <v>26</v>
      </c>
      <c r="F17080" s="30" t="s">
        <v>27</v>
      </c>
      <c r="G17080" s="30" t="s">
        <v>20</v>
      </c>
      <c r="H17080" s="32">
        <v>30</v>
      </c>
      <c r="I17080" s="30" t="s">
        <v>21</v>
      </c>
      <c r="J17080" s="41">
        <v>45015</v>
      </c>
      <c r="K17080" s="30" t="s">
        <v>22</v>
      </c>
    </row>
    <row r="17081" spans="1:11">
      <c r="A17081" s="33" t="s">
        <v>38234</v>
      </c>
      <c r="B17081" s="33" t="s">
        <v>38235</v>
      </c>
      <c r="C17081" s="33" t="s">
        <v>2490</v>
      </c>
      <c r="D17081" s="33" t="s">
        <v>17</v>
      </c>
      <c r="E17081" s="33" t="s">
        <v>26</v>
      </c>
      <c r="F17081" s="33" t="s">
        <v>27</v>
      </c>
      <c r="G17081" s="33" t="s">
        <v>20</v>
      </c>
      <c r="H17081" s="35">
        <v>40</v>
      </c>
      <c r="I17081" s="33" t="s">
        <v>21</v>
      </c>
      <c r="J17081" s="42">
        <v>45279</v>
      </c>
      <c r="K17081" s="33" t="s">
        <v>22</v>
      </c>
    </row>
    <row r="17082" spans="1:11">
      <c r="A17082" s="30" t="s">
        <v>38236</v>
      </c>
      <c r="B17082" s="30" t="s">
        <v>38237</v>
      </c>
      <c r="C17082" s="30" t="s">
        <v>2120</v>
      </c>
      <c r="D17082" s="30" t="s">
        <v>17</v>
      </c>
      <c r="E17082" s="30" t="s">
        <v>31</v>
      </c>
      <c r="F17082" s="30" t="s">
        <v>32</v>
      </c>
      <c r="G17082" s="30" t="s">
        <v>20</v>
      </c>
      <c r="H17082" s="32">
        <v>174</v>
      </c>
      <c r="I17082" s="30" t="s">
        <v>21</v>
      </c>
      <c r="J17082" s="41">
        <v>45134</v>
      </c>
      <c r="K17082" s="30" t="s">
        <v>22</v>
      </c>
    </row>
    <row r="17083" spans="1:11">
      <c r="A17083" s="33" t="s">
        <v>38238</v>
      </c>
      <c r="B17083" s="33" t="s">
        <v>38239</v>
      </c>
      <c r="C17083" s="33" t="s">
        <v>2313</v>
      </c>
      <c r="D17083" s="33" t="s">
        <v>17</v>
      </c>
      <c r="E17083" s="33" t="s">
        <v>26</v>
      </c>
      <c r="F17083" s="33" t="s">
        <v>27</v>
      </c>
      <c r="G17083" s="33" t="s">
        <v>140</v>
      </c>
      <c r="H17083" s="35">
        <v>250</v>
      </c>
      <c r="I17083" s="33" t="s">
        <v>51</v>
      </c>
      <c r="J17083" s="42">
        <v>45257</v>
      </c>
      <c r="K17083" s="33" t="s">
        <v>22</v>
      </c>
    </row>
    <row r="17084" spans="1:11">
      <c r="A17084" s="30" t="s">
        <v>38240</v>
      </c>
      <c r="B17084" s="30" t="s">
        <v>38241</v>
      </c>
      <c r="C17084" s="30" t="s">
        <v>1504</v>
      </c>
      <c r="D17084" s="30" t="s">
        <v>17</v>
      </c>
      <c r="E17084" s="30" t="s">
        <v>26</v>
      </c>
      <c r="F17084" s="30" t="s">
        <v>27</v>
      </c>
      <c r="G17084" s="30" t="s">
        <v>20</v>
      </c>
      <c r="H17084" s="32">
        <v>48</v>
      </c>
      <c r="I17084" s="30" t="s">
        <v>21</v>
      </c>
      <c r="J17084" s="41">
        <v>44995</v>
      </c>
      <c r="K17084" s="30" t="s">
        <v>22</v>
      </c>
    </row>
    <row r="17085" spans="1:11">
      <c r="A17085" s="33" t="s">
        <v>38242</v>
      </c>
      <c r="B17085" s="33" t="s">
        <v>38243</v>
      </c>
      <c r="C17085" s="33" t="s">
        <v>57</v>
      </c>
      <c r="D17085" s="33" t="s">
        <v>17</v>
      </c>
      <c r="E17085" s="33" t="s">
        <v>26</v>
      </c>
      <c r="F17085" s="33" t="s">
        <v>27</v>
      </c>
      <c r="G17085" s="33" t="s">
        <v>50</v>
      </c>
      <c r="H17085" s="35">
        <v>32</v>
      </c>
      <c r="I17085" s="33" t="s">
        <v>51</v>
      </c>
      <c r="J17085" s="42">
        <v>44994</v>
      </c>
      <c r="K17085" s="33" t="s">
        <v>22</v>
      </c>
    </row>
    <row r="17086" spans="1:11">
      <c r="A17086" s="30" t="s">
        <v>38244</v>
      </c>
      <c r="B17086" s="30" t="s">
        <v>38245</v>
      </c>
      <c r="C17086" s="30" t="s">
        <v>6205</v>
      </c>
      <c r="D17086" s="30" t="s">
        <v>17</v>
      </c>
      <c r="E17086" s="30" t="s">
        <v>26</v>
      </c>
      <c r="F17086" s="30" t="s">
        <v>27</v>
      </c>
      <c r="G17086" s="30" t="s">
        <v>20</v>
      </c>
      <c r="H17086" s="32">
        <v>310</v>
      </c>
      <c r="I17086" s="30" t="s">
        <v>21</v>
      </c>
      <c r="J17086" s="41">
        <v>44929</v>
      </c>
      <c r="K17086" s="30" t="s">
        <v>22</v>
      </c>
    </row>
    <row r="17087" spans="1:11">
      <c r="A17087" s="33" t="s">
        <v>38246</v>
      </c>
      <c r="B17087" s="33" t="s">
        <v>38247</v>
      </c>
      <c r="C17087" s="33" t="s">
        <v>130</v>
      </c>
      <c r="D17087" s="33" t="s">
        <v>17</v>
      </c>
      <c r="E17087" s="33" t="s">
        <v>31</v>
      </c>
      <c r="F17087" s="33" t="s">
        <v>32</v>
      </c>
      <c r="G17087" s="33" t="s">
        <v>158</v>
      </c>
      <c r="H17087" s="35">
        <v>73</v>
      </c>
      <c r="I17087" s="33" t="s">
        <v>21</v>
      </c>
      <c r="J17087" s="42">
        <v>45229</v>
      </c>
      <c r="K17087" s="33" t="s">
        <v>22</v>
      </c>
    </row>
    <row r="17088" spans="1:11">
      <c r="A17088" s="30" t="s">
        <v>38248</v>
      </c>
      <c r="B17088" s="30" t="s">
        <v>38249</v>
      </c>
      <c r="C17088" s="30" t="s">
        <v>9908</v>
      </c>
      <c r="D17088" s="30" t="s">
        <v>17</v>
      </c>
      <c r="E17088" s="30" t="s">
        <v>31</v>
      </c>
      <c r="F17088" s="30" t="s">
        <v>32</v>
      </c>
      <c r="G17088" s="30" t="s">
        <v>50</v>
      </c>
      <c r="H17088" s="32">
        <v>980</v>
      </c>
      <c r="I17088" s="30" t="s">
        <v>51</v>
      </c>
      <c r="J17088" s="41">
        <v>45117</v>
      </c>
      <c r="K17088" s="30" t="s">
        <v>22</v>
      </c>
    </row>
    <row r="17089" spans="1:11">
      <c r="A17089" s="33" t="s">
        <v>38250</v>
      </c>
      <c r="B17089" s="33" t="s">
        <v>38251</v>
      </c>
      <c r="C17089" s="33" t="s">
        <v>4348</v>
      </c>
      <c r="D17089" s="33" t="s">
        <v>17</v>
      </c>
      <c r="E17089" s="33" t="s">
        <v>31</v>
      </c>
      <c r="F17089" s="33" t="s">
        <v>32</v>
      </c>
      <c r="G17089" s="33" t="s">
        <v>140</v>
      </c>
      <c r="H17089" s="35">
        <v>100</v>
      </c>
      <c r="I17089" s="33" t="s">
        <v>51</v>
      </c>
      <c r="J17089" s="42">
        <v>45240</v>
      </c>
      <c r="K17089" s="33" t="s">
        <v>22</v>
      </c>
    </row>
    <row r="17090" spans="1:11">
      <c r="A17090" s="30" t="s">
        <v>38252</v>
      </c>
      <c r="B17090" s="30" t="s">
        <v>38253</v>
      </c>
      <c r="C17090" s="30" t="s">
        <v>647</v>
      </c>
      <c r="D17090" s="30" t="s">
        <v>17</v>
      </c>
      <c r="E17090" s="30" t="s">
        <v>18</v>
      </c>
      <c r="F17090" s="30" t="s">
        <v>19</v>
      </c>
      <c r="G17090" s="30" t="s">
        <v>140</v>
      </c>
      <c r="H17090" s="32">
        <v>614</v>
      </c>
      <c r="I17090" s="30" t="s">
        <v>51</v>
      </c>
      <c r="J17090" s="41">
        <v>45275</v>
      </c>
      <c r="K17090" s="30" t="s">
        <v>22</v>
      </c>
    </row>
    <row r="17091" spans="1:11">
      <c r="A17091" s="33" t="s">
        <v>38254</v>
      </c>
      <c r="B17091" s="33" t="s">
        <v>38255</v>
      </c>
      <c r="C17091" s="33" t="s">
        <v>187</v>
      </c>
      <c r="D17091" s="33" t="s">
        <v>17</v>
      </c>
      <c r="E17091" s="33" t="s">
        <v>67</v>
      </c>
      <c r="F17091" s="33" t="s">
        <v>68</v>
      </c>
      <c r="G17091" s="33" t="s">
        <v>50</v>
      </c>
      <c r="H17091" s="35">
        <v>78</v>
      </c>
      <c r="I17091" s="33" t="s">
        <v>51</v>
      </c>
      <c r="J17091" s="42">
        <v>45078</v>
      </c>
      <c r="K17091" s="33" t="s">
        <v>22</v>
      </c>
    </row>
    <row r="17092" spans="1:11">
      <c r="A17092" s="30" t="s">
        <v>38256</v>
      </c>
      <c r="B17092" s="30" t="s">
        <v>38257</v>
      </c>
      <c r="C17092" s="30" t="s">
        <v>6212</v>
      </c>
      <c r="D17092" s="30" t="s">
        <v>17</v>
      </c>
      <c r="E17092" s="30" t="s">
        <v>26</v>
      </c>
      <c r="F17092" s="30" t="s">
        <v>27</v>
      </c>
      <c r="G17092" s="30" t="s">
        <v>20</v>
      </c>
      <c r="H17092" s="32">
        <v>28</v>
      </c>
      <c r="I17092" s="30" t="s">
        <v>21</v>
      </c>
      <c r="J17092" s="41">
        <v>45188</v>
      </c>
      <c r="K17092" s="30" t="s">
        <v>22</v>
      </c>
    </row>
    <row r="17093" spans="1:11">
      <c r="A17093" s="33" t="s">
        <v>38258</v>
      </c>
      <c r="B17093" s="33" t="s">
        <v>38259</v>
      </c>
      <c r="C17093" s="33" t="s">
        <v>38260</v>
      </c>
      <c r="D17093" s="33" t="s">
        <v>17</v>
      </c>
      <c r="E17093" s="33" t="s">
        <v>31</v>
      </c>
      <c r="F17093" s="33" t="s">
        <v>32</v>
      </c>
      <c r="G17093" s="33" t="s">
        <v>112</v>
      </c>
      <c r="H17093" s="35">
        <v>0</v>
      </c>
      <c r="I17093" s="33" t="s">
        <v>21</v>
      </c>
      <c r="J17093" s="42">
        <v>44967</v>
      </c>
      <c r="K17093" s="33" t="s">
        <v>22</v>
      </c>
    </row>
    <row r="17094" spans="1:11">
      <c r="A17094" s="30" t="s">
        <v>38261</v>
      </c>
      <c r="B17094" s="30" t="s">
        <v>38262</v>
      </c>
      <c r="C17094" s="30" t="s">
        <v>6325</v>
      </c>
      <c r="D17094" s="30" t="s">
        <v>17</v>
      </c>
      <c r="E17094" s="30" t="s">
        <v>18</v>
      </c>
      <c r="F17094" s="30" t="s">
        <v>19</v>
      </c>
      <c r="G17094" s="30" t="s">
        <v>50</v>
      </c>
      <c r="H17094" s="32">
        <v>297</v>
      </c>
      <c r="I17094" s="30" t="s">
        <v>21</v>
      </c>
      <c r="J17094" s="41">
        <v>45091</v>
      </c>
      <c r="K17094" s="30" t="s">
        <v>22</v>
      </c>
    </row>
    <row r="17095" spans="1:11">
      <c r="A17095" s="33" t="s">
        <v>38263</v>
      </c>
      <c r="B17095" s="33" t="s">
        <v>38264</v>
      </c>
      <c r="C17095" s="33" t="s">
        <v>109</v>
      </c>
      <c r="D17095" s="33" t="s">
        <v>17</v>
      </c>
      <c r="E17095" s="33" t="s">
        <v>18</v>
      </c>
      <c r="F17095" s="33" t="s">
        <v>19</v>
      </c>
      <c r="G17095" s="33" t="s">
        <v>140</v>
      </c>
      <c r="H17095" s="35">
        <v>200</v>
      </c>
      <c r="I17095" s="33" t="s">
        <v>51</v>
      </c>
      <c r="J17095" s="42">
        <v>45057</v>
      </c>
      <c r="K17095" s="33" t="s">
        <v>22</v>
      </c>
    </row>
    <row r="17096" spans="1:11">
      <c r="A17096" s="30" t="s">
        <v>38265</v>
      </c>
      <c r="B17096" s="30" t="s">
        <v>38266</v>
      </c>
      <c r="C17096" s="30" t="s">
        <v>990</v>
      </c>
      <c r="D17096" s="30" t="s">
        <v>17</v>
      </c>
      <c r="E17096" s="30" t="s">
        <v>67</v>
      </c>
      <c r="F17096" s="30" t="s">
        <v>68</v>
      </c>
      <c r="G17096" s="30" t="s">
        <v>106</v>
      </c>
      <c r="H17096" s="32">
        <v>15</v>
      </c>
      <c r="I17096" s="30" t="s">
        <v>21</v>
      </c>
      <c r="J17096" s="41">
        <v>44949</v>
      </c>
      <c r="K17096" s="30" t="s">
        <v>22</v>
      </c>
    </row>
    <row r="17097" spans="1:11">
      <c r="A17097" s="33" t="s">
        <v>38267</v>
      </c>
      <c r="B17097" s="33" t="s">
        <v>38268</v>
      </c>
      <c r="C17097" s="33" t="s">
        <v>644</v>
      </c>
      <c r="D17097" s="33" t="s">
        <v>17</v>
      </c>
      <c r="E17097" s="33" t="s">
        <v>31</v>
      </c>
      <c r="F17097" s="33" t="s">
        <v>32</v>
      </c>
      <c r="G17097" s="33" t="s">
        <v>140</v>
      </c>
      <c r="H17097" s="35">
        <v>85</v>
      </c>
      <c r="I17097" s="33" t="s">
        <v>51</v>
      </c>
      <c r="J17097" s="42">
        <v>45085</v>
      </c>
      <c r="K17097" s="33" t="s">
        <v>22</v>
      </c>
    </row>
    <row r="17098" spans="1:11">
      <c r="A17098" s="30" t="s">
        <v>38269</v>
      </c>
      <c r="B17098" s="30" t="s">
        <v>38270</v>
      </c>
      <c r="C17098" s="30" t="s">
        <v>38271</v>
      </c>
      <c r="D17098" s="30" t="s">
        <v>17</v>
      </c>
      <c r="E17098" s="30" t="s">
        <v>31</v>
      </c>
      <c r="F17098" s="30" t="s">
        <v>32</v>
      </c>
      <c r="G17098" s="30" t="s">
        <v>50</v>
      </c>
      <c r="H17098" s="32">
        <v>540</v>
      </c>
      <c r="I17098" s="30" t="s">
        <v>51</v>
      </c>
      <c r="J17098" s="41">
        <v>45050</v>
      </c>
      <c r="K17098" s="30" t="s">
        <v>22</v>
      </c>
    </row>
    <row r="17099" spans="1:11">
      <c r="A17099" s="33" t="s">
        <v>38272</v>
      </c>
      <c r="B17099" s="33" t="s">
        <v>38273</v>
      </c>
      <c r="C17099" s="33" t="s">
        <v>969</v>
      </c>
      <c r="D17099" s="33" t="s">
        <v>17</v>
      </c>
      <c r="E17099" s="33" t="s">
        <v>31</v>
      </c>
      <c r="F17099" s="33" t="s">
        <v>32</v>
      </c>
      <c r="G17099" s="33" t="s">
        <v>20</v>
      </c>
      <c r="H17099" s="35">
        <v>386</v>
      </c>
      <c r="I17099" s="33" t="s">
        <v>21</v>
      </c>
      <c r="J17099" s="42">
        <v>45135</v>
      </c>
      <c r="K17099" s="33" t="s">
        <v>22</v>
      </c>
    </row>
    <row r="17100" spans="1:11">
      <c r="A17100" s="30" t="s">
        <v>38274</v>
      </c>
      <c r="B17100" s="30" t="s">
        <v>38275</v>
      </c>
      <c r="C17100" s="30" t="s">
        <v>36675</v>
      </c>
      <c r="D17100" s="30" t="s">
        <v>17</v>
      </c>
      <c r="E17100" s="30" t="s">
        <v>18</v>
      </c>
      <c r="F17100" s="30" t="s">
        <v>19</v>
      </c>
      <c r="G17100" s="30" t="s">
        <v>112</v>
      </c>
      <c r="H17100" s="32">
        <v>0</v>
      </c>
      <c r="I17100" s="30" t="s">
        <v>21</v>
      </c>
      <c r="J17100" s="41">
        <v>44986</v>
      </c>
      <c r="K17100" s="30" t="s">
        <v>22</v>
      </c>
    </row>
    <row r="17101" spans="1:11">
      <c r="A17101" s="33" t="s">
        <v>38276</v>
      </c>
      <c r="B17101" s="33" t="s">
        <v>38277</v>
      </c>
      <c r="C17101" s="33" t="s">
        <v>96</v>
      </c>
      <c r="D17101" s="33" t="s">
        <v>17</v>
      </c>
      <c r="E17101" s="33" t="s">
        <v>67</v>
      </c>
      <c r="F17101" s="33" t="s">
        <v>68</v>
      </c>
      <c r="G17101" s="33" t="s">
        <v>158</v>
      </c>
      <c r="H17101" s="35">
        <v>37</v>
      </c>
      <c r="I17101" s="33" t="s">
        <v>21</v>
      </c>
      <c r="J17101" s="42">
        <v>44980</v>
      </c>
      <c r="K17101" s="33" t="s">
        <v>22</v>
      </c>
    </row>
    <row r="17102" spans="1:11">
      <c r="A17102" s="30" t="s">
        <v>38278</v>
      </c>
      <c r="B17102" s="30" t="s">
        <v>38279</v>
      </c>
      <c r="C17102" s="30" t="s">
        <v>38280</v>
      </c>
      <c r="D17102" s="30" t="s">
        <v>17</v>
      </c>
      <c r="E17102" s="30" t="s">
        <v>31</v>
      </c>
      <c r="F17102" s="30" t="s">
        <v>32</v>
      </c>
      <c r="G17102" s="30" t="s">
        <v>20</v>
      </c>
      <c r="H17102" s="32">
        <v>150</v>
      </c>
      <c r="I17102" s="30" t="s">
        <v>21</v>
      </c>
      <c r="J17102" s="41">
        <v>44945</v>
      </c>
      <c r="K17102" s="30" t="s">
        <v>22</v>
      </c>
    </row>
    <row r="17103" spans="1:11">
      <c r="A17103" s="33" t="s">
        <v>38281</v>
      </c>
      <c r="B17103" s="33" t="s">
        <v>38282</v>
      </c>
      <c r="C17103" s="33" t="s">
        <v>2017</v>
      </c>
      <c r="D17103" s="33" t="s">
        <v>17</v>
      </c>
      <c r="E17103" s="33" t="s">
        <v>26</v>
      </c>
      <c r="F17103" s="33" t="s">
        <v>27</v>
      </c>
      <c r="G17103" s="33" t="s">
        <v>20</v>
      </c>
      <c r="H17103" s="35">
        <v>476</v>
      </c>
      <c r="I17103" s="33" t="s">
        <v>21</v>
      </c>
      <c r="J17103" s="42">
        <v>45149</v>
      </c>
      <c r="K17103" s="33" t="s">
        <v>22</v>
      </c>
    </row>
    <row r="17104" spans="1:11">
      <c r="A17104" s="30" t="s">
        <v>38283</v>
      </c>
      <c r="B17104" s="30" t="s">
        <v>38284</v>
      </c>
      <c r="C17104" s="30" t="s">
        <v>38285</v>
      </c>
      <c r="D17104" s="30" t="s">
        <v>17</v>
      </c>
      <c r="E17104" s="30" t="s">
        <v>26</v>
      </c>
      <c r="F17104" s="30" t="s">
        <v>27</v>
      </c>
      <c r="G17104" s="30" t="s">
        <v>50</v>
      </c>
      <c r="H17104" s="32">
        <v>48</v>
      </c>
      <c r="I17104" s="30" t="s">
        <v>51</v>
      </c>
      <c r="J17104" s="41">
        <v>45267</v>
      </c>
      <c r="K17104" s="30" t="s">
        <v>22</v>
      </c>
    </row>
    <row r="17105" spans="1:11">
      <c r="A17105" s="33" t="s">
        <v>38286</v>
      </c>
      <c r="B17105" s="33" t="s">
        <v>38287</v>
      </c>
      <c r="C17105" s="33" t="s">
        <v>1466</v>
      </c>
      <c r="D17105" s="33" t="s">
        <v>17</v>
      </c>
      <c r="E17105" s="33" t="s">
        <v>26</v>
      </c>
      <c r="F17105" s="33" t="s">
        <v>27</v>
      </c>
      <c r="G17105" s="33" t="s">
        <v>140</v>
      </c>
      <c r="H17105" s="35">
        <v>130</v>
      </c>
      <c r="I17105" s="33" t="s">
        <v>51</v>
      </c>
      <c r="J17105" s="42">
        <v>45082</v>
      </c>
      <c r="K17105" s="33" t="s">
        <v>22</v>
      </c>
    </row>
    <row r="17106" spans="1:11">
      <c r="A17106" s="30" t="s">
        <v>38288</v>
      </c>
      <c r="B17106" s="30" t="s">
        <v>38289</v>
      </c>
      <c r="C17106" s="30" t="s">
        <v>9872</v>
      </c>
      <c r="D17106" s="30" t="s">
        <v>17</v>
      </c>
      <c r="E17106" s="30" t="s">
        <v>26</v>
      </c>
      <c r="F17106" s="30" t="s">
        <v>27</v>
      </c>
      <c r="G17106" s="30" t="s">
        <v>20</v>
      </c>
      <c r="H17106" s="32">
        <v>58</v>
      </c>
      <c r="I17106" s="30" t="s">
        <v>21</v>
      </c>
      <c r="J17106" s="41">
        <v>45195</v>
      </c>
      <c r="K17106" s="30" t="s">
        <v>22</v>
      </c>
    </row>
    <row r="17107" spans="1:11">
      <c r="A17107" s="33" t="s">
        <v>38290</v>
      </c>
      <c r="B17107" s="33" t="s">
        <v>38291</v>
      </c>
      <c r="C17107" s="33" t="s">
        <v>5043</v>
      </c>
      <c r="D17107" s="33" t="s">
        <v>17</v>
      </c>
      <c r="E17107" s="33" t="s">
        <v>18</v>
      </c>
      <c r="F17107" s="33" t="s">
        <v>19</v>
      </c>
      <c r="G17107" s="33" t="s">
        <v>158</v>
      </c>
      <c r="H17107" s="35">
        <v>143</v>
      </c>
      <c r="I17107" s="33" t="s">
        <v>21</v>
      </c>
      <c r="J17107" s="42">
        <v>45042</v>
      </c>
      <c r="K17107" s="33" t="s">
        <v>22</v>
      </c>
    </row>
    <row r="17108" spans="1:11">
      <c r="A17108" s="30" t="s">
        <v>38292</v>
      </c>
      <c r="B17108" s="30" t="s">
        <v>38293</v>
      </c>
      <c r="C17108" s="30" t="s">
        <v>38294</v>
      </c>
      <c r="D17108" s="30" t="s">
        <v>17</v>
      </c>
      <c r="E17108" s="30" t="s">
        <v>31</v>
      </c>
      <c r="F17108" s="30" t="s">
        <v>32</v>
      </c>
      <c r="G17108" s="30" t="s">
        <v>106</v>
      </c>
      <c r="H17108" s="32">
        <v>69</v>
      </c>
      <c r="I17108" s="30" t="s">
        <v>21</v>
      </c>
      <c r="J17108" s="41">
        <v>45076</v>
      </c>
      <c r="K17108" s="30" t="s">
        <v>22</v>
      </c>
    </row>
    <row r="17109" spans="1:11">
      <c r="A17109" s="33" t="s">
        <v>38295</v>
      </c>
      <c r="B17109" s="33" t="s">
        <v>38296</v>
      </c>
      <c r="C17109" s="33" t="s">
        <v>231</v>
      </c>
      <c r="D17109" s="33" t="s">
        <v>17</v>
      </c>
      <c r="E17109" s="33" t="s">
        <v>26</v>
      </c>
      <c r="F17109" s="33" t="s">
        <v>27</v>
      </c>
      <c r="G17109" s="33" t="s">
        <v>20</v>
      </c>
      <c r="H17109" s="35">
        <v>12</v>
      </c>
      <c r="I17109" s="33" t="s">
        <v>21</v>
      </c>
      <c r="J17109" s="42">
        <v>45280</v>
      </c>
      <c r="K17109" s="33" t="s">
        <v>22</v>
      </c>
    </row>
    <row r="17110" spans="1:11">
      <c r="A17110" s="30" t="s">
        <v>38297</v>
      </c>
      <c r="B17110" s="30" t="s">
        <v>38298</v>
      </c>
      <c r="C17110" s="30" t="s">
        <v>407</v>
      </c>
      <c r="D17110" s="30" t="s">
        <v>17</v>
      </c>
      <c r="E17110" s="30" t="s">
        <v>31</v>
      </c>
      <c r="F17110" s="30" t="s">
        <v>32</v>
      </c>
      <c r="G17110" s="30" t="s">
        <v>50</v>
      </c>
      <c r="H17110" s="32">
        <v>4</v>
      </c>
      <c r="I17110" s="30" t="s">
        <v>51</v>
      </c>
      <c r="J17110" s="41">
        <v>45261</v>
      </c>
      <c r="K17110" s="30" t="s">
        <v>22</v>
      </c>
    </row>
    <row r="17111" spans="1:11">
      <c r="A17111" s="33" t="s">
        <v>38299</v>
      </c>
      <c r="B17111" s="33" t="s">
        <v>38300</v>
      </c>
      <c r="C17111" s="33" t="s">
        <v>4348</v>
      </c>
      <c r="D17111" s="33" t="s">
        <v>17</v>
      </c>
      <c r="E17111" s="33" t="s">
        <v>31</v>
      </c>
      <c r="F17111" s="33" t="s">
        <v>32</v>
      </c>
      <c r="G17111" s="33" t="s">
        <v>140</v>
      </c>
      <c r="H17111" s="35">
        <v>376</v>
      </c>
      <c r="I17111" s="33" t="s">
        <v>51</v>
      </c>
      <c r="J17111" s="42">
        <v>45246</v>
      </c>
      <c r="K17111" s="33" t="s">
        <v>22</v>
      </c>
    </row>
    <row r="17112" spans="1:11">
      <c r="A17112" s="30" t="s">
        <v>38301</v>
      </c>
      <c r="B17112" s="30" t="s">
        <v>38302</v>
      </c>
      <c r="C17112" s="30" t="s">
        <v>6585</v>
      </c>
      <c r="D17112" s="30" t="s">
        <v>17</v>
      </c>
      <c r="E17112" s="30" t="s">
        <v>18</v>
      </c>
      <c r="F17112" s="30" t="s">
        <v>19</v>
      </c>
      <c r="G17112" s="30" t="s">
        <v>158</v>
      </c>
      <c r="H17112" s="32">
        <v>150</v>
      </c>
      <c r="I17112" s="30" t="s">
        <v>51</v>
      </c>
      <c r="J17112" s="41">
        <v>45154</v>
      </c>
      <c r="K17112" s="30" t="s">
        <v>22</v>
      </c>
    </row>
    <row r="17113" spans="1:11">
      <c r="A17113" s="33" t="s">
        <v>38303</v>
      </c>
      <c r="B17113" s="33" t="s">
        <v>38304</v>
      </c>
      <c r="C17113" s="33" t="s">
        <v>60</v>
      </c>
      <c r="D17113" s="33" t="s">
        <v>17</v>
      </c>
      <c r="E17113" s="33" t="s">
        <v>26</v>
      </c>
      <c r="F17113" s="33" t="s">
        <v>27</v>
      </c>
      <c r="G17113" s="33" t="s">
        <v>20</v>
      </c>
      <c r="H17113" s="35">
        <v>38</v>
      </c>
      <c r="I17113" s="33" t="s">
        <v>21</v>
      </c>
      <c r="J17113" s="42">
        <v>44984</v>
      </c>
      <c r="K17113" s="33" t="s">
        <v>22</v>
      </c>
    </row>
    <row r="17114" spans="1:11">
      <c r="A17114" s="30" t="s">
        <v>38305</v>
      </c>
      <c r="B17114" s="30" t="s">
        <v>38306</v>
      </c>
      <c r="C17114" s="30" t="s">
        <v>443</v>
      </c>
      <c r="D17114" s="30" t="s">
        <v>17</v>
      </c>
      <c r="E17114" s="30" t="s">
        <v>67</v>
      </c>
      <c r="F17114" s="30" t="s">
        <v>68</v>
      </c>
      <c r="G17114" s="30" t="s">
        <v>20</v>
      </c>
      <c r="H17114" s="32">
        <v>744</v>
      </c>
      <c r="I17114" s="30" t="s">
        <v>21</v>
      </c>
      <c r="J17114" s="41">
        <v>45189</v>
      </c>
      <c r="K17114" s="30" t="s">
        <v>22</v>
      </c>
    </row>
    <row r="17115" spans="1:11">
      <c r="A17115" s="33" t="s">
        <v>38307</v>
      </c>
      <c r="B17115" s="33" t="s">
        <v>38308</v>
      </c>
      <c r="C17115" s="33" t="s">
        <v>31567</v>
      </c>
      <c r="D17115" s="33" t="s">
        <v>17</v>
      </c>
      <c r="E17115" s="33" t="s">
        <v>18</v>
      </c>
      <c r="F17115" s="33" t="s">
        <v>19</v>
      </c>
      <c r="G17115" s="33" t="s">
        <v>20</v>
      </c>
      <c r="H17115" s="35">
        <v>412</v>
      </c>
      <c r="I17115" s="33" t="s">
        <v>21</v>
      </c>
      <c r="J17115" s="42">
        <v>45061</v>
      </c>
      <c r="K17115" s="33" t="s">
        <v>22</v>
      </c>
    </row>
    <row r="17116" spans="1:11">
      <c r="A17116" s="30" t="s">
        <v>38309</v>
      </c>
      <c r="B17116" s="30" t="s">
        <v>38310</v>
      </c>
      <c r="C17116" s="30" t="s">
        <v>12845</v>
      </c>
      <c r="D17116" s="30" t="s">
        <v>17</v>
      </c>
      <c r="E17116" s="30" t="s">
        <v>26</v>
      </c>
      <c r="F17116" s="30" t="s">
        <v>27</v>
      </c>
      <c r="G17116" s="30" t="s">
        <v>140</v>
      </c>
      <c r="H17116" s="32">
        <v>96</v>
      </c>
      <c r="I17116" s="30" t="s">
        <v>51</v>
      </c>
      <c r="J17116" s="41">
        <v>45237</v>
      </c>
      <c r="K17116" s="30" t="s">
        <v>22</v>
      </c>
    </row>
    <row r="17117" spans="1:11">
      <c r="A17117" s="33" t="s">
        <v>38311</v>
      </c>
      <c r="B17117" s="33" t="s">
        <v>38312</v>
      </c>
      <c r="C17117" s="33" t="s">
        <v>7449</v>
      </c>
      <c r="D17117" s="33" t="s">
        <v>17</v>
      </c>
      <c r="E17117" s="33" t="s">
        <v>26</v>
      </c>
      <c r="F17117" s="33" t="s">
        <v>27</v>
      </c>
      <c r="G17117" s="33" t="s">
        <v>158</v>
      </c>
      <c r="H17117" s="35">
        <v>39</v>
      </c>
      <c r="I17117" s="33" t="s">
        <v>51</v>
      </c>
      <c r="J17117" s="42">
        <v>45239</v>
      </c>
      <c r="K17117" s="33" t="s">
        <v>22</v>
      </c>
    </row>
    <row r="17118" spans="1:11">
      <c r="A17118" s="30" t="s">
        <v>38313</v>
      </c>
      <c r="B17118" s="30" t="s">
        <v>38314</v>
      </c>
      <c r="C17118" s="30" t="s">
        <v>19532</v>
      </c>
      <c r="D17118" s="30" t="s">
        <v>17</v>
      </c>
      <c r="E17118" s="30" t="s">
        <v>26</v>
      </c>
      <c r="F17118" s="30" t="s">
        <v>27</v>
      </c>
      <c r="G17118" s="30" t="s">
        <v>20</v>
      </c>
      <c r="H17118" s="32">
        <v>14</v>
      </c>
      <c r="I17118" s="30" t="s">
        <v>21</v>
      </c>
      <c r="J17118" s="41">
        <v>44929</v>
      </c>
      <c r="K17118" s="30" t="s">
        <v>22</v>
      </c>
    </row>
    <row r="17119" spans="1:11">
      <c r="A17119" s="33" t="s">
        <v>38315</v>
      </c>
      <c r="B17119" s="33" t="s">
        <v>38316</v>
      </c>
      <c r="C17119" s="33" t="s">
        <v>35491</v>
      </c>
      <c r="D17119" s="33" t="s">
        <v>17</v>
      </c>
      <c r="E17119" s="33" t="s">
        <v>31</v>
      </c>
      <c r="F17119" s="33" t="s">
        <v>32</v>
      </c>
      <c r="G17119" s="33" t="s">
        <v>20</v>
      </c>
      <c r="H17119" s="35">
        <v>27</v>
      </c>
      <c r="I17119" s="33" t="s">
        <v>21</v>
      </c>
      <c r="J17119" s="42">
        <v>45143</v>
      </c>
      <c r="K17119" s="33" t="s">
        <v>22</v>
      </c>
    </row>
    <row r="17120" spans="1:11">
      <c r="A17120" s="30" t="s">
        <v>38317</v>
      </c>
      <c r="B17120" s="30" t="s">
        <v>38318</v>
      </c>
      <c r="C17120" s="30" t="s">
        <v>2472</v>
      </c>
      <c r="D17120" s="30" t="s">
        <v>17</v>
      </c>
      <c r="E17120" s="30" t="s">
        <v>18</v>
      </c>
      <c r="F17120" s="30" t="s">
        <v>19</v>
      </c>
      <c r="G17120" s="30" t="s">
        <v>20</v>
      </c>
      <c r="H17120" s="32">
        <v>1900</v>
      </c>
      <c r="I17120" s="30" t="s">
        <v>21</v>
      </c>
      <c r="J17120" s="41">
        <v>45194</v>
      </c>
      <c r="K17120" s="30" t="s">
        <v>22</v>
      </c>
    </row>
    <row r="17121" spans="1:11">
      <c r="A17121" s="33" t="s">
        <v>38319</v>
      </c>
      <c r="B17121" s="33" t="s">
        <v>38320</v>
      </c>
      <c r="C17121" s="33" t="s">
        <v>203</v>
      </c>
      <c r="D17121" s="33" t="s">
        <v>17</v>
      </c>
      <c r="E17121" s="33" t="s">
        <v>18</v>
      </c>
      <c r="F17121" s="33" t="s">
        <v>19</v>
      </c>
      <c r="G17121" s="33" t="s">
        <v>158</v>
      </c>
      <c r="H17121" s="35">
        <v>91</v>
      </c>
      <c r="I17121" s="33" t="s">
        <v>21</v>
      </c>
      <c r="J17121" s="42">
        <v>44958</v>
      </c>
      <c r="K17121" s="33" t="s">
        <v>22</v>
      </c>
    </row>
    <row r="17122" spans="1:11">
      <c r="A17122" s="30" t="s">
        <v>38321</v>
      </c>
      <c r="B17122" s="30" t="s">
        <v>38322</v>
      </c>
      <c r="C17122" s="30" t="s">
        <v>969</v>
      </c>
      <c r="D17122" s="30" t="s">
        <v>17</v>
      </c>
      <c r="E17122" s="30" t="s">
        <v>18</v>
      </c>
      <c r="F17122" s="30" t="s">
        <v>19</v>
      </c>
      <c r="G17122" s="30" t="s">
        <v>20</v>
      </c>
      <c r="H17122" s="32">
        <v>1113</v>
      </c>
      <c r="I17122" s="30" t="s">
        <v>21</v>
      </c>
      <c r="J17122" s="41">
        <v>45072</v>
      </c>
      <c r="K17122" s="30" t="s">
        <v>22</v>
      </c>
    </row>
    <row r="17123" spans="1:11">
      <c r="A17123" s="33" t="s">
        <v>38323</v>
      </c>
      <c r="B17123" s="33" t="s">
        <v>38324</v>
      </c>
      <c r="C17123" s="33" t="s">
        <v>7468</v>
      </c>
      <c r="D17123" s="33" t="s">
        <v>17</v>
      </c>
      <c r="E17123" s="33" t="s">
        <v>31</v>
      </c>
      <c r="F17123" s="33" t="s">
        <v>32</v>
      </c>
      <c r="G17123" s="33" t="s">
        <v>20</v>
      </c>
      <c r="H17123" s="35">
        <v>55</v>
      </c>
      <c r="I17123" s="33" t="s">
        <v>21</v>
      </c>
      <c r="J17123" s="42">
        <v>45273</v>
      </c>
      <c r="K17123" s="33" t="s">
        <v>22</v>
      </c>
    </row>
    <row r="17124" spans="1:11">
      <c r="A17124" s="30" t="s">
        <v>38325</v>
      </c>
      <c r="B17124" s="30" t="s">
        <v>38326</v>
      </c>
      <c r="C17124" s="30" t="s">
        <v>5643</v>
      </c>
      <c r="D17124" s="30" t="s">
        <v>17</v>
      </c>
      <c r="E17124" s="30" t="s">
        <v>18</v>
      </c>
      <c r="F17124" s="30" t="s">
        <v>19</v>
      </c>
      <c r="G17124" s="30" t="s">
        <v>140</v>
      </c>
      <c r="H17124" s="32">
        <v>1584</v>
      </c>
      <c r="I17124" s="30" t="s">
        <v>51</v>
      </c>
      <c r="J17124" s="41">
        <v>45281</v>
      </c>
      <c r="K17124" s="30" t="s">
        <v>22</v>
      </c>
    </row>
    <row r="17125" spans="1:11">
      <c r="A17125" s="33" t="s">
        <v>38327</v>
      </c>
      <c r="B17125" s="33" t="s">
        <v>38328</v>
      </c>
      <c r="C17125" s="33" t="s">
        <v>27922</v>
      </c>
      <c r="D17125" s="33" t="s">
        <v>17</v>
      </c>
      <c r="E17125" s="33" t="s">
        <v>26</v>
      </c>
      <c r="F17125" s="33" t="s">
        <v>27</v>
      </c>
      <c r="G17125" s="33" t="s">
        <v>158</v>
      </c>
      <c r="H17125" s="35">
        <v>35</v>
      </c>
      <c r="I17125" s="33" t="s">
        <v>21</v>
      </c>
      <c r="J17125" s="42">
        <v>45133</v>
      </c>
      <c r="K17125" s="33" t="s">
        <v>22</v>
      </c>
    </row>
    <row r="17126" spans="1:11">
      <c r="A17126" s="30" t="s">
        <v>38329</v>
      </c>
      <c r="B17126" s="30" t="s">
        <v>38330</v>
      </c>
      <c r="C17126" s="30" t="s">
        <v>38331</v>
      </c>
      <c r="D17126" s="30" t="s">
        <v>17</v>
      </c>
      <c r="E17126" s="30" t="s">
        <v>67</v>
      </c>
      <c r="F17126" s="30" t="s">
        <v>68</v>
      </c>
      <c r="G17126" s="30" t="s">
        <v>158</v>
      </c>
      <c r="H17126" s="32">
        <v>7</v>
      </c>
      <c r="I17126" s="30" t="s">
        <v>21</v>
      </c>
      <c r="J17126" s="41">
        <v>45117</v>
      </c>
      <c r="K17126" s="30" t="s">
        <v>22</v>
      </c>
    </row>
    <row r="17127" spans="1:11">
      <c r="A17127" s="33" t="s">
        <v>38332</v>
      </c>
      <c r="B17127" s="33" t="s">
        <v>38333</v>
      </c>
      <c r="C17127" s="33" t="s">
        <v>190</v>
      </c>
      <c r="D17127" s="33" t="s">
        <v>17</v>
      </c>
      <c r="E17127" s="33" t="s">
        <v>67</v>
      </c>
      <c r="F17127" s="33" t="s">
        <v>68</v>
      </c>
      <c r="G17127" s="33" t="s">
        <v>140</v>
      </c>
      <c r="H17127" s="35">
        <v>182</v>
      </c>
      <c r="I17127" s="33" t="s">
        <v>51</v>
      </c>
      <c r="J17127" s="42">
        <v>45127</v>
      </c>
      <c r="K17127" s="33" t="s">
        <v>22</v>
      </c>
    </row>
    <row r="17128" spans="1:11">
      <c r="A17128" s="30" t="s">
        <v>38334</v>
      </c>
      <c r="B17128" s="30" t="s">
        <v>38335</v>
      </c>
      <c r="C17128" s="30" t="s">
        <v>12637</v>
      </c>
      <c r="D17128" s="30" t="s">
        <v>17</v>
      </c>
      <c r="E17128" s="30" t="s">
        <v>31</v>
      </c>
      <c r="F17128" s="30" t="s">
        <v>32</v>
      </c>
      <c r="G17128" s="30" t="s">
        <v>106</v>
      </c>
      <c r="H17128" s="32">
        <v>42</v>
      </c>
      <c r="I17128" s="30" t="s">
        <v>21</v>
      </c>
      <c r="J17128" s="41">
        <v>45043</v>
      </c>
      <c r="K17128" s="30" t="s">
        <v>22</v>
      </c>
    </row>
    <row r="17129" spans="1:11">
      <c r="A17129" s="33" t="s">
        <v>38336</v>
      </c>
      <c r="B17129" s="33" t="s">
        <v>38337</v>
      </c>
      <c r="C17129" s="33" t="s">
        <v>16404</v>
      </c>
      <c r="D17129" s="33" t="s">
        <v>17</v>
      </c>
      <c r="E17129" s="33" t="s">
        <v>31</v>
      </c>
      <c r="F17129" s="33" t="s">
        <v>32</v>
      </c>
      <c r="G17129" s="33" t="s">
        <v>158</v>
      </c>
      <c r="H17129" s="35">
        <v>160</v>
      </c>
      <c r="I17129" s="33" t="s">
        <v>51</v>
      </c>
      <c r="J17129" s="42">
        <v>45110</v>
      </c>
      <c r="K17129" s="33" t="s">
        <v>22</v>
      </c>
    </row>
    <row r="17130" spans="1:11">
      <c r="A17130" s="30" t="s">
        <v>38338</v>
      </c>
      <c r="B17130" s="30" t="s">
        <v>38339</v>
      </c>
      <c r="C17130" s="30" t="s">
        <v>653</v>
      </c>
      <c r="D17130" s="30" t="s">
        <v>17</v>
      </c>
      <c r="E17130" s="30" t="s">
        <v>18</v>
      </c>
      <c r="F17130" s="30" t="s">
        <v>19</v>
      </c>
      <c r="G17130" s="30" t="s">
        <v>20</v>
      </c>
      <c r="H17130" s="32">
        <v>646</v>
      </c>
      <c r="I17130" s="30" t="s">
        <v>21</v>
      </c>
      <c r="J17130" s="41">
        <v>45185</v>
      </c>
      <c r="K17130" s="30" t="s">
        <v>22</v>
      </c>
    </row>
    <row r="17131" spans="1:11">
      <c r="A17131" s="33" t="s">
        <v>38340</v>
      </c>
      <c r="B17131" s="33" t="s">
        <v>38341</v>
      </c>
      <c r="C17131" s="33" t="s">
        <v>38342</v>
      </c>
      <c r="D17131" s="33" t="s">
        <v>17</v>
      </c>
      <c r="E17131" s="33" t="s">
        <v>26</v>
      </c>
      <c r="F17131" s="33" t="s">
        <v>27</v>
      </c>
      <c r="G17131" s="33" t="s">
        <v>140</v>
      </c>
      <c r="H17131" s="35">
        <v>25</v>
      </c>
      <c r="I17131" s="33" t="s">
        <v>51</v>
      </c>
      <c r="J17131" s="42">
        <v>45211</v>
      </c>
      <c r="K17131" s="33" t="s">
        <v>22</v>
      </c>
    </row>
    <row r="17132" spans="1:11">
      <c r="A17132" s="30" t="s">
        <v>38343</v>
      </c>
      <c r="B17132" s="30" t="s">
        <v>38344</v>
      </c>
      <c r="C17132" s="30" t="s">
        <v>11847</v>
      </c>
      <c r="D17132" s="30" t="s">
        <v>17</v>
      </c>
      <c r="E17132" s="30" t="s">
        <v>31</v>
      </c>
      <c r="F17132" s="30" t="s">
        <v>32</v>
      </c>
      <c r="G17132" s="30" t="s">
        <v>20</v>
      </c>
      <c r="H17132" s="32">
        <v>64</v>
      </c>
      <c r="I17132" s="30" t="s">
        <v>21</v>
      </c>
      <c r="J17132" s="41">
        <v>45232</v>
      </c>
      <c r="K17132" s="30" t="s">
        <v>22</v>
      </c>
    </row>
    <row r="17133" spans="1:11">
      <c r="A17133" s="33" t="s">
        <v>38345</v>
      </c>
      <c r="B17133" s="33" t="s">
        <v>38346</v>
      </c>
      <c r="C17133" s="33" t="s">
        <v>28164</v>
      </c>
      <c r="D17133" s="33" t="s">
        <v>17</v>
      </c>
      <c r="E17133" s="33" t="s">
        <v>31</v>
      </c>
      <c r="F17133" s="33" t="s">
        <v>32</v>
      </c>
      <c r="G17133" s="33" t="s">
        <v>20</v>
      </c>
      <c r="H17133" s="35">
        <v>33</v>
      </c>
      <c r="I17133" s="33" t="s">
        <v>21</v>
      </c>
      <c r="J17133" s="42">
        <v>45210</v>
      </c>
      <c r="K17133" s="33" t="s">
        <v>22</v>
      </c>
    </row>
    <row r="17134" spans="1:11">
      <c r="A17134" s="30" t="s">
        <v>38347</v>
      </c>
      <c r="B17134" s="30" t="s">
        <v>38348</v>
      </c>
      <c r="C17134" s="30" t="s">
        <v>187</v>
      </c>
      <c r="D17134" s="30" t="s">
        <v>17</v>
      </c>
      <c r="E17134" s="30" t="s">
        <v>67</v>
      </c>
      <c r="F17134" s="30" t="s">
        <v>68</v>
      </c>
      <c r="G17134" s="30" t="s">
        <v>140</v>
      </c>
      <c r="H17134" s="32">
        <v>154</v>
      </c>
      <c r="I17134" s="30" t="s">
        <v>51</v>
      </c>
      <c r="J17134" s="41">
        <v>45029</v>
      </c>
      <c r="K17134" s="30" t="s">
        <v>22</v>
      </c>
    </row>
    <row r="17135" spans="1:11">
      <c r="A17135" s="33" t="s">
        <v>38349</v>
      </c>
      <c r="B17135" s="33" t="s">
        <v>38350</v>
      </c>
      <c r="C17135" s="33" t="s">
        <v>157</v>
      </c>
      <c r="D17135" s="33" t="s">
        <v>17</v>
      </c>
      <c r="E17135" s="33" t="s">
        <v>18</v>
      </c>
      <c r="F17135" s="33" t="s">
        <v>19</v>
      </c>
      <c r="G17135" s="33" t="s">
        <v>140</v>
      </c>
      <c r="H17135" s="35">
        <v>408</v>
      </c>
      <c r="I17135" s="33" t="s">
        <v>51</v>
      </c>
      <c r="J17135" s="42">
        <v>45093</v>
      </c>
      <c r="K17135" s="33" t="s">
        <v>22</v>
      </c>
    </row>
    <row r="17136" spans="1:11">
      <c r="A17136" s="30" t="s">
        <v>38351</v>
      </c>
      <c r="B17136" s="30" t="s">
        <v>38352</v>
      </c>
      <c r="C17136" s="30" t="s">
        <v>5774</v>
      </c>
      <c r="D17136" s="30" t="s">
        <v>17</v>
      </c>
      <c r="E17136" s="30" t="s">
        <v>67</v>
      </c>
      <c r="F17136" s="30" t="s">
        <v>68</v>
      </c>
      <c r="G17136" s="30" t="s">
        <v>158</v>
      </c>
      <c r="H17136" s="32">
        <v>69</v>
      </c>
      <c r="I17136" s="30" t="s">
        <v>21</v>
      </c>
      <c r="J17136" s="41">
        <v>44952</v>
      </c>
      <c r="K17136" s="30" t="s">
        <v>22</v>
      </c>
    </row>
    <row r="17137" spans="1:11">
      <c r="A17137" s="33" t="s">
        <v>38353</v>
      </c>
      <c r="B17137" s="33" t="s">
        <v>38354</v>
      </c>
      <c r="C17137" s="33" t="s">
        <v>231</v>
      </c>
      <c r="D17137" s="33" t="s">
        <v>17</v>
      </c>
      <c r="E17137" s="33" t="s">
        <v>18</v>
      </c>
      <c r="F17137" s="33" t="s">
        <v>19</v>
      </c>
      <c r="G17137" s="33" t="s">
        <v>20</v>
      </c>
      <c r="H17137" s="35">
        <v>726</v>
      </c>
      <c r="I17137" s="33" t="s">
        <v>21</v>
      </c>
      <c r="J17137" s="42">
        <v>45255</v>
      </c>
      <c r="K17137" s="33" t="s">
        <v>22</v>
      </c>
    </row>
    <row r="17138" spans="1:11">
      <c r="A17138" s="30" t="s">
        <v>38355</v>
      </c>
      <c r="B17138" s="30" t="s">
        <v>38356</v>
      </c>
      <c r="C17138" s="30" t="s">
        <v>6233</v>
      </c>
      <c r="D17138" s="30" t="s">
        <v>17</v>
      </c>
      <c r="E17138" s="30" t="s">
        <v>67</v>
      </c>
      <c r="F17138" s="30" t="s">
        <v>68</v>
      </c>
      <c r="G17138" s="30" t="s">
        <v>140</v>
      </c>
      <c r="H17138" s="32">
        <v>51</v>
      </c>
      <c r="I17138" s="30" t="s">
        <v>51</v>
      </c>
      <c r="J17138" s="41">
        <v>45279</v>
      </c>
      <c r="K17138" s="30" t="s">
        <v>22</v>
      </c>
    </row>
    <row r="17139" spans="1:11">
      <c r="A17139" s="33" t="s">
        <v>38357</v>
      </c>
      <c r="B17139" s="33" t="s">
        <v>38358</v>
      </c>
      <c r="C17139" s="33" t="s">
        <v>3013</v>
      </c>
      <c r="D17139" s="33" t="s">
        <v>17</v>
      </c>
      <c r="E17139" s="33" t="s">
        <v>18</v>
      </c>
      <c r="F17139" s="33" t="s">
        <v>19</v>
      </c>
      <c r="G17139" s="33" t="s">
        <v>20</v>
      </c>
      <c r="H17139" s="35">
        <v>205</v>
      </c>
      <c r="I17139" s="33" t="s">
        <v>21</v>
      </c>
      <c r="J17139" s="42">
        <v>45114</v>
      </c>
      <c r="K17139" s="33" t="s">
        <v>22</v>
      </c>
    </row>
    <row r="17140" spans="1:11">
      <c r="A17140" s="30" t="s">
        <v>38359</v>
      </c>
      <c r="B17140" s="30" t="s">
        <v>38360</v>
      </c>
      <c r="C17140" s="30" t="s">
        <v>38361</v>
      </c>
      <c r="D17140" s="30" t="s">
        <v>17</v>
      </c>
      <c r="E17140" s="30" t="s">
        <v>67</v>
      </c>
      <c r="F17140" s="30" t="s">
        <v>68</v>
      </c>
      <c r="G17140" s="30" t="s">
        <v>112</v>
      </c>
      <c r="H17140" s="32">
        <v>0</v>
      </c>
      <c r="I17140" s="30" t="s">
        <v>21</v>
      </c>
      <c r="J17140" s="41">
        <v>45047</v>
      </c>
      <c r="K17140" s="30" t="s">
        <v>22</v>
      </c>
    </row>
    <row r="17141" spans="1:11">
      <c r="A17141" s="33" t="s">
        <v>38362</v>
      </c>
      <c r="B17141" s="33" t="s">
        <v>38363</v>
      </c>
      <c r="C17141" s="33" t="s">
        <v>109</v>
      </c>
      <c r="D17141" s="33" t="s">
        <v>17</v>
      </c>
      <c r="E17141" s="33" t="s">
        <v>212</v>
      </c>
      <c r="F17141" s="33" t="s">
        <v>213</v>
      </c>
      <c r="G17141" s="33" t="s">
        <v>158</v>
      </c>
      <c r="H17141" s="35">
        <v>240</v>
      </c>
      <c r="I17141" s="33" t="s">
        <v>21</v>
      </c>
      <c r="J17141" s="42">
        <v>45013</v>
      </c>
      <c r="K17141" s="33" t="s">
        <v>22</v>
      </c>
    </row>
    <row r="17142" spans="1:11">
      <c r="A17142" s="30" t="s">
        <v>38364</v>
      </c>
      <c r="B17142" s="30" t="s">
        <v>38365</v>
      </c>
      <c r="C17142" s="30" t="s">
        <v>969</v>
      </c>
      <c r="D17142" s="30" t="s">
        <v>17</v>
      </c>
      <c r="E17142" s="30" t="s">
        <v>31</v>
      </c>
      <c r="F17142" s="30" t="s">
        <v>32</v>
      </c>
      <c r="G17142" s="30" t="s">
        <v>158</v>
      </c>
      <c r="H17142" s="32">
        <v>367</v>
      </c>
      <c r="I17142" s="30" t="s">
        <v>21</v>
      </c>
      <c r="J17142" s="41">
        <v>45219</v>
      </c>
      <c r="K17142" s="30" t="s">
        <v>22</v>
      </c>
    </row>
    <row r="17143" spans="1:11">
      <c r="A17143" s="33" t="s">
        <v>38366</v>
      </c>
      <c r="B17143" s="33" t="s">
        <v>38367</v>
      </c>
      <c r="C17143" s="33" t="s">
        <v>2802</v>
      </c>
      <c r="D17143" s="33" t="s">
        <v>17</v>
      </c>
      <c r="E17143" s="33" t="s">
        <v>45</v>
      </c>
      <c r="F17143" s="33" t="s">
        <v>46</v>
      </c>
      <c r="G17143" s="33" t="s">
        <v>20</v>
      </c>
      <c r="H17143" s="35">
        <v>139</v>
      </c>
      <c r="I17143" s="33" t="s">
        <v>21</v>
      </c>
      <c r="J17143" s="42">
        <v>45281</v>
      </c>
      <c r="K17143" s="33" t="s">
        <v>22</v>
      </c>
    </row>
    <row r="17144" spans="1:11">
      <c r="A17144" s="30" t="s">
        <v>38368</v>
      </c>
      <c r="B17144" s="30" t="s">
        <v>38369</v>
      </c>
      <c r="C17144" s="30" t="s">
        <v>29990</v>
      </c>
      <c r="D17144" s="30" t="s">
        <v>17</v>
      </c>
      <c r="E17144" s="30" t="s">
        <v>31</v>
      </c>
      <c r="F17144" s="30" t="s">
        <v>32</v>
      </c>
      <c r="G17144" s="30" t="s">
        <v>106</v>
      </c>
      <c r="H17144" s="32">
        <v>60</v>
      </c>
      <c r="I17144" s="30" t="s">
        <v>21</v>
      </c>
      <c r="J17144" s="41">
        <v>45113</v>
      </c>
      <c r="K17144" s="30" t="s">
        <v>22</v>
      </c>
    </row>
    <row r="17145" spans="1:11">
      <c r="A17145" s="33" t="s">
        <v>38370</v>
      </c>
      <c r="B17145" s="33" t="s">
        <v>38371</v>
      </c>
      <c r="C17145" s="33" t="s">
        <v>31562</v>
      </c>
      <c r="D17145" s="33" t="s">
        <v>17</v>
      </c>
      <c r="E17145" s="33" t="s">
        <v>31</v>
      </c>
      <c r="F17145" s="33" t="s">
        <v>32</v>
      </c>
      <c r="G17145" s="33" t="s">
        <v>140</v>
      </c>
      <c r="H17145" s="35">
        <v>170</v>
      </c>
      <c r="I17145" s="33" t="s">
        <v>51</v>
      </c>
      <c r="J17145" s="42">
        <v>45085</v>
      </c>
      <c r="K17145" s="33" t="s">
        <v>22</v>
      </c>
    </row>
    <row r="17146" spans="1:11">
      <c r="A17146" s="30" t="s">
        <v>38372</v>
      </c>
      <c r="B17146" s="30" t="s">
        <v>38373</v>
      </c>
      <c r="C17146" s="30" t="s">
        <v>93</v>
      </c>
      <c r="D17146" s="30" t="s">
        <v>17</v>
      </c>
      <c r="E17146" s="30" t="s">
        <v>18</v>
      </c>
      <c r="F17146" s="30" t="s">
        <v>19</v>
      </c>
      <c r="G17146" s="30" t="s">
        <v>20</v>
      </c>
      <c r="H17146" s="32">
        <v>140</v>
      </c>
      <c r="I17146" s="30" t="s">
        <v>21</v>
      </c>
      <c r="J17146" s="41">
        <v>45272</v>
      </c>
      <c r="K17146" s="30" t="s">
        <v>22</v>
      </c>
    </row>
    <row r="17147" spans="1:11">
      <c r="A17147" s="33" t="s">
        <v>38374</v>
      </c>
      <c r="B17147" s="33" t="s">
        <v>38375</v>
      </c>
      <c r="C17147" s="33" t="s">
        <v>426</v>
      </c>
      <c r="D17147" s="33" t="s">
        <v>17</v>
      </c>
      <c r="E17147" s="33" t="s">
        <v>26</v>
      </c>
      <c r="F17147" s="33" t="s">
        <v>27</v>
      </c>
      <c r="G17147" s="33" t="s">
        <v>140</v>
      </c>
      <c r="H17147" s="35">
        <v>105</v>
      </c>
      <c r="I17147" s="33" t="s">
        <v>51</v>
      </c>
      <c r="J17147" s="42">
        <v>44998</v>
      </c>
      <c r="K17147" s="33" t="s">
        <v>22</v>
      </c>
    </row>
    <row r="17148" spans="1:11">
      <c r="A17148" s="30" t="s">
        <v>38376</v>
      </c>
      <c r="B17148" s="30" t="s">
        <v>38377</v>
      </c>
      <c r="C17148" s="30" t="s">
        <v>38378</v>
      </c>
      <c r="D17148" s="30" t="s">
        <v>17</v>
      </c>
      <c r="E17148" s="30" t="s">
        <v>212</v>
      </c>
      <c r="F17148" s="30" t="s">
        <v>213</v>
      </c>
      <c r="G17148" s="30" t="s">
        <v>158</v>
      </c>
      <c r="H17148" s="32">
        <v>23</v>
      </c>
      <c r="I17148" s="30" t="s">
        <v>21</v>
      </c>
      <c r="J17148" s="41">
        <v>45075</v>
      </c>
      <c r="K17148" s="30" t="s">
        <v>22</v>
      </c>
    </row>
    <row r="17149" spans="1:11">
      <c r="A17149" s="33" t="s">
        <v>38379</v>
      </c>
      <c r="B17149" s="33" t="s">
        <v>38380</v>
      </c>
      <c r="C17149" s="33" t="s">
        <v>4119</v>
      </c>
      <c r="D17149" s="33" t="s">
        <v>17</v>
      </c>
      <c r="E17149" s="33" t="s">
        <v>45</v>
      </c>
      <c r="F17149" s="33" t="s">
        <v>46</v>
      </c>
      <c r="G17149" s="33" t="s">
        <v>112</v>
      </c>
      <c r="H17149" s="35">
        <v>0</v>
      </c>
      <c r="I17149" s="33" t="s">
        <v>21</v>
      </c>
      <c r="J17149" s="42">
        <v>44927</v>
      </c>
      <c r="K17149" s="33" t="s">
        <v>22</v>
      </c>
    </row>
    <row r="17150" spans="1:11">
      <c r="A17150" s="30" t="s">
        <v>38381</v>
      </c>
      <c r="B17150" s="30" t="s">
        <v>38382</v>
      </c>
      <c r="C17150" s="30" t="s">
        <v>75</v>
      </c>
      <c r="D17150" s="30" t="s">
        <v>17</v>
      </c>
      <c r="E17150" s="30" t="s">
        <v>31</v>
      </c>
      <c r="F17150" s="30" t="s">
        <v>32</v>
      </c>
      <c r="G17150" s="30" t="s">
        <v>20</v>
      </c>
      <c r="H17150" s="32">
        <v>106</v>
      </c>
      <c r="I17150" s="30" t="s">
        <v>21</v>
      </c>
      <c r="J17150" s="41">
        <v>44958</v>
      </c>
      <c r="K17150" s="30" t="s">
        <v>22</v>
      </c>
    </row>
    <row r="17151" spans="1:11">
      <c r="A17151" s="33" t="s">
        <v>38383</v>
      </c>
      <c r="B17151" s="33" t="s">
        <v>38384</v>
      </c>
      <c r="C17151" s="33" t="s">
        <v>8443</v>
      </c>
      <c r="D17151" s="33" t="s">
        <v>17</v>
      </c>
      <c r="E17151" s="33" t="s">
        <v>26</v>
      </c>
      <c r="F17151" s="33" t="s">
        <v>27</v>
      </c>
      <c r="G17151" s="33" t="s">
        <v>50</v>
      </c>
      <c r="H17151" s="35">
        <v>200</v>
      </c>
      <c r="I17151" s="33" t="s">
        <v>51</v>
      </c>
      <c r="J17151" s="42">
        <v>45139</v>
      </c>
      <c r="K17151" s="33" t="s">
        <v>22</v>
      </c>
    </row>
    <row r="17152" spans="1:11">
      <c r="A17152" s="30" t="s">
        <v>38385</v>
      </c>
      <c r="B17152" s="30" t="s">
        <v>38386</v>
      </c>
      <c r="C17152" s="30" t="s">
        <v>21978</v>
      </c>
      <c r="D17152" s="30" t="s">
        <v>17</v>
      </c>
      <c r="E17152" s="30" t="s">
        <v>45</v>
      </c>
      <c r="F17152" s="30" t="s">
        <v>46</v>
      </c>
      <c r="G17152" s="30" t="s">
        <v>140</v>
      </c>
      <c r="H17152" s="32">
        <v>20</v>
      </c>
      <c r="I17152" s="30" t="s">
        <v>51</v>
      </c>
      <c r="J17152" s="41">
        <v>44999</v>
      </c>
      <c r="K17152" s="30" t="s">
        <v>22</v>
      </c>
    </row>
    <row r="17153" spans="1:11">
      <c r="A17153" s="33" t="s">
        <v>38387</v>
      </c>
      <c r="B17153" s="33" t="s">
        <v>38388</v>
      </c>
      <c r="C17153" s="33" t="s">
        <v>38389</v>
      </c>
      <c r="D17153" s="33" t="s">
        <v>17</v>
      </c>
      <c r="E17153" s="33" t="s">
        <v>330</v>
      </c>
      <c r="F17153" s="33" t="s">
        <v>331</v>
      </c>
      <c r="G17153" s="33" t="s">
        <v>20</v>
      </c>
      <c r="H17153" s="35">
        <v>62</v>
      </c>
      <c r="I17153" s="33" t="s">
        <v>21</v>
      </c>
      <c r="J17153" s="42">
        <v>45016</v>
      </c>
      <c r="K17153" s="33" t="s">
        <v>22</v>
      </c>
    </row>
    <row r="17154" spans="1:11">
      <c r="A17154" s="30" t="s">
        <v>38390</v>
      </c>
      <c r="B17154" s="30" t="s">
        <v>38391</v>
      </c>
      <c r="C17154" s="30" t="s">
        <v>11476</v>
      </c>
      <c r="D17154" s="30" t="s">
        <v>17</v>
      </c>
      <c r="E17154" s="30" t="s">
        <v>26</v>
      </c>
      <c r="F17154" s="30" t="s">
        <v>27</v>
      </c>
      <c r="G17154" s="30" t="s">
        <v>140</v>
      </c>
      <c r="H17154" s="32">
        <v>19</v>
      </c>
      <c r="I17154" s="30" t="s">
        <v>51</v>
      </c>
      <c r="J17154" s="41">
        <v>44938</v>
      </c>
      <c r="K17154" s="30" t="s">
        <v>22</v>
      </c>
    </row>
    <row r="17155" spans="1:11">
      <c r="A17155" s="33" t="s">
        <v>38392</v>
      </c>
      <c r="B17155" s="33" t="s">
        <v>38393</v>
      </c>
      <c r="C17155" s="33" t="s">
        <v>231</v>
      </c>
      <c r="D17155" s="33" t="s">
        <v>17</v>
      </c>
      <c r="E17155" s="33" t="s">
        <v>26</v>
      </c>
      <c r="F17155" s="33" t="s">
        <v>27</v>
      </c>
      <c r="G17155" s="33" t="s">
        <v>20</v>
      </c>
      <c r="H17155" s="35">
        <v>8</v>
      </c>
      <c r="I17155" s="33" t="s">
        <v>21</v>
      </c>
      <c r="J17155" s="42">
        <v>45040</v>
      </c>
      <c r="K17155" s="33" t="s">
        <v>22</v>
      </c>
    </row>
    <row r="17156" spans="1:11">
      <c r="A17156" s="30" t="s">
        <v>38394</v>
      </c>
      <c r="B17156" s="30" t="s">
        <v>38395</v>
      </c>
      <c r="C17156" s="30" t="s">
        <v>38396</v>
      </c>
      <c r="D17156" s="30" t="s">
        <v>17</v>
      </c>
      <c r="E17156" s="30" t="s">
        <v>26</v>
      </c>
      <c r="F17156" s="30" t="s">
        <v>27</v>
      </c>
      <c r="G17156" s="30" t="s">
        <v>20</v>
      </c>
      <c r="H17156" s="32">
        <v>15</v>
      </c>
      <c r="I17156" s="30" t="s">
        <v>21</v>
      </c>
      <c r="J17156" s="41">
        <v>45068</v>
      </c>
      <c r="K17156" s="30" t="s">
        <v>22</v>
      </c>
    </row>
    <row r="17157" spans="1:11">
      <c r="A17157" s="33" t="s">
        <v>38397</v>
      </c>
      <c r="B17157" s="33" t="s">
        <v>38398</v>
      </c>
      <c r="C17157" s="33" t="s">
        <v>2354</v>
      </c>
      <c r="D17157" s="33" t="s">
        <v>17</v>
      </c>
      <c r="E17157" s="33" t="s">
        <v>18</v>
      </c>
      <c r="F17157" s="33" t="s">
        <v>19</v>
      </c>
      <c r="G17157" s="33" t="s">
        <v>20</v>
      </c>
      <c r="H17157" s="35">
        <v>436</v>
      </c>
      <c r="I17157" s="33" t="s">
        <v>21</v>
      </c>
      <c r="J17157" s="42">
        <v>45258</v>
      </c>
      <c r="K17157" s="33" t="s">
        <v>22</v>
      </c>
    </row>
    <row r="17158" spans="1:11">
      <c r="A17158" s="30" t="s">
        <v>38399</v>
      </c>
      <c r="B17158" s="30" t="s">
        <v>38400</v>
      </c>
      <c r="C17158" s="30" t="s">
        <v>136</v>
      </c>
      <c r="D17158" s="30" t="s">
        <v>17</v>
      </c>
      <c r="E17158" s="30" t="s">
        <v>26</v>
      </c>
      <c r="F17158" s="30" t="s">
        <v>27</v>
      </c>
      <c r="G17158" s="30" t="s">
        <v>20</v>
      </c>
      <c r="H17158" s="32">
        <v>43</v>
      </c>
      <c r="I17158" s="30" t="s">
        <v>21</v>
      </c>
      <c r="J17158" s="41">
        <v>45120</v>
      </c>
      <c r="K17158" s="30" t="s">
        <v>22</v>
      </c>
    </row>
    <row r="17159" spans="1:11">
      <c r="A17159" s="33" t="s">
        <v>38401</v>
      </c>
      <c r="B17159" s="33" t="s">
        <v>38402</v>
      </c>
      <c r="C17159" s="33" t="s">
        <v>1835</v>
      </c>
      <c r="D17159" s="33" t="s">
        <v>17</v>
      </c>
      <c r="E17159" s="33" t="s">
        <v>31</v>
      </c>
      <c r="F17159" s="33" t="s">
        <v>32</v>
      </c>
      <c r="G17159" s="33" t="s">
        <v>20</v>
      </c>
      <c r="H17159" s="35">
        <v>480</v>
      </c>
      <c r="I17159" s="33" t="s">
        <v>21</v>
      </c>
      <c r="J17159" s="42">
        <v>45084</v>
      </c>
      <c r="K17159" s="33" t="s">
        <v>22</v>
      </c>
    </row>
    <row r="17160" spans="1:11">
      <c r="A17160" s="30" t="s">
        <v>38403</v>
      </c>
      <c r="B17160" s="30" t="s">
        <v>38404</v>
      </c>
      <c r="C17160" s="30" t="s">
        <v>14816</v>
      </c>
      <c r="D17160" s="30" t="s">
        <v>17</v>
      </c>
      <c r="E17160" s="30" t="s">
        <v>26</v>
      </c>
      <c r="F17160" s="30" t="s">
        <v>27</v>
      </c>
      <c r="G17160" s="30" t="s">
        <v>20</v>
      </c>
      <c r="H17160" s="32">
        <v>76</v>
      </c>
      <c r="I17160" s="30" t="s">
        <v>21</v>
      </c>
      <c r="J17160" s="41">
        <v>45082</v>
      </c>
      <c r="K17160" s="30" t="s">
        <v>22</v>
      </c>
    </row>
    <row r="17161" spans="1:11">
      <c r="A17161" s="33" t="s">
        <v>38405</v>
      </c>
      <c r="B17161" s="33" t="s">
        <v>38406</v>
      </c>
      <c r="C17161" s="33" t="s">
        <v>31236</v>
      </c>
      <c r="D17161" s="33" t="s">
        <v>17</v>
      </c>
      <c r="E17161" s="33" t="s">
        <v>18</v>
      </c>
      <c r="F17161" s="33" t="s">
        <v>19</v>
      </c>
      <c r="G17161" s="33" t="s">
        <v>20</v>
      </c>
      <c r="H17161" s="35">
        <v>110</v>
      </c>
      <c r="I17161" s="33" t="s">
        <v>21</v>
      </c>
      <c r="J17161" s="42">
        <v>45128</v>
      </c>
      <c r="K17161" s="33" t="s">
        <v>22</v>
      </c>
    </row>
    <row r="17162" spans="1:11">
      <c r="A17162" s="30" t="s">
        <v>38407</v>
      </c>
      <c r="B17162" s="30" t="s">
        <v>38408</v>
      </c>
      <c r="C17162" s="30" t="s">
        <v>2807</v>
      </c>
      <c r="D17162" s="30" t="s">
        <v>17</v>
      </c>
      <c r="E17162" s="30" t="s">
        <v>18</v>
      </c>
      <c r="F17162" s="30" t="s">
        <v>19</v>
      </c>
      <c r="G17162" s="30" t="s">
        <v>106</v>
      </c>
      <c r="H17162" s="32">
        <v>1366</v>
      </c>
      <c r="I17162" s="30" t="s">
        <v>21</v>
      </c>
      <c r="J17162" s="41">
        <v>45013</v>
      </c>
      <c r="K17162" s="30" t="s">
        <v>22</v>
      </c>
    </row>
    <row r="17163" spans="1:11">
      <c r="A17163" s="33" t="s">
        <v>38409</v>
      </c>
      <c r="B17163" s="33" t="s">
        <v>38410</v>
      </c>
      <c r="C17163" s="33" t="s">
        <v>96</v>
      </c>
      <c r="D17163" s="33" t="s">
        <v>17</v>
      </c>
      <c r="E17163" s="33" t="s">
        <v>67</v>
      </c>
      <c r="F17163" s="33" t="s">
        <v>68</v>
      </c>
      <c r="G17163" s="33" t="s">
        <v>158</v>
      </c>
      <c r="H17163" s="35">
        <v>97</v>
      </c>
      <c r="I17163" s="33" t="s">
        <v>21</v>
      </c>
      <c r="J17163" s="42">
        <v>45247</v>
      </c>
      <c r="K17163" s="33" t="s">
        <v>22</v>
      </c>
    </row>
    <row r="17164" spans="1:11">
      <c r="A17164" s="30" t="s">
        <v>38411</v>
      </c>
      <c r="B17164" s="30" t="s">
        <v>38412</v>
      </c>
      <c r="C17164" s="30" t="s">
        <v>535</v>
      </c>
      <c r="D17164" s="30" t="s">
        <v>17</v>
      </c>
      <c r="E17164" s="30" t="s">
        <v>18</v>
      </c>
      <c r="F17164" s="30" t="s">
        <v>19</v>
      </c>
      <c r="G17164" s="30" t="s">
        <v>20</v>
      </c>
      <c r="H17164" s="32">
        <v>2387</v>
      </c>
      <c r="I17164" s="30" t="s">
        <v>21</v>
      </c>
      <c r="J17164" s="41">
        <v>45086</v>
      </c>
      <c r="K17164" s="30" t="s">
        <v>22</v>
      </c>
    </row>
    <row r="17165" spans="1:11">
      <c r="A17165" s="33" t="s">
        <v>38413</v>
      </c>
      <c r="B17165" s="33" t="s">
        <v>38414</v>
      </c>
      <c r="C17165" s="33" t="s">
        <v>399</v>
      </c>
      <c r="D17165" s="33" t="s">
        <v>17</v>
      </c>
      <c r="E17165" s="33" t="s">
        <v>45</v>
      </c>
      <c r="F17165" s="33" t="s">
        <v>46</v>
      </c>
      <c r="G17165" s="33" t="s">
        <v>20</v>
      </c>
      <c r="H17165" s="35">
        <v>434</v>
      </c>
      <c r="I17165" s="33" t="s">
        <v>21</v>
      </c>
      <c r="J17165" s="42">
        <v>44993</v>
      </c>
      <c r="K17165" s="33" t="s">
        <v>22</v>
      </c>
    </row>
    <row r="17166" spans="1:11">
      <c r="A17166" s="30" t="s">
        <v>38415</v>
      </c>
      <c r="B17166" s="30" t="s">
        <v>38416</v>
      </c>
      <c r="C17166" s="30" t="s">
        <v>38417</v>
      </c>
      <c r="D17166" s="30" t="s">
        <v>17</v>
      </c>
      <c r="E17166" s="30" t="s">
        <v>31</v>
      </c>
      <c r="F17166" s="30" t="s">
        <v>32</v>
      </c>
      <c r="G17166" s="30" t="s">
        <v>20</v>
      </c>
      <c r="H17166" s="32">
        <v>31</v>
      </c>
      <c r="I17166" s="30" t="s">
        <v>21</v>
      </c>
      <c r="J17166" s="41">
        <v>45092</v>
      </c>
      <c r="K17166" s="30" t="s">
        <v>22</v>
      </c>
    </row>
    <row r="17167" spans="1:11">
      <c r="A17167" s="33" t="s">
        <v>38418</v>
      </c>
      <c r="B17167" s="33" t="s">
        <v>38419</v>
      </c>
      <c r="C17167" s="33" t="s">
        <v>1085</v>
      </c>
      <c r="D17167" s="33" t="s">
        <v>17</v>
      </c>
      <c r="E17167" s="33" t="s">
        <v>67</v>
      </c>
      <c r="F17167" s="33" t="s">
        <v>68</v>
      </c>
      <c r="G17167" s="33" t="s">
        <v>140</v>
      </c>
      <c r="H17167" s="35">
        <v>110</v>
      </c>
      <c r="I17167" s="33" t="s">
        <v>51</v>
      </c>
      <c r="J17167" s="42">
        <v>45120</v>
      </c>
      <c r="K17167" s="33" t="s">
        <v>22</v>
      </c>
    </row>
    <row r="17168" spans="1:11">
      <c r="A17168" s="30" t="s">
        <v>38420</v>
      </c>
      <c r="B17168" s="30" t="s">
        <v>38421</v>
      </c>
      <c r="C17168" s="30" t="s">
        <v>38422</v>
      </c>
      <c r="D17168" s="30" t="s">
        <v>17</v>
      </c>
      <c r="E17168" s="30" t="s">
        <v>31</v>
      </c>
      <c r="F17168" s="30" t="s">
        <v>32</v>
      </c>
      <c r="G17168" s="30" t="s">
        <v>158</v>
      </c>
      <c r="H17168" s="32">
        <v>247</v>
      </c>
      <c r="I17168" s="30" t="s">
        <v>51</v>
      </c>
      <c r="J17168" s="41">
        <v>44988</v>
      </c>
      <c r="K17168" s="30" t="s">
        <v>22</v>
      </c>
    </row>
    <row r="17169" spans="1:11">
      <c r="A17169" s="33" t="s">
        <v>38423</v>
      </c>
      <c r="B17169" s="33" t="s">
        <v>38424</v>
      </c>
      <c r="C17169" s="33" t="s">
        <v>10569</v>
      </c>
      <c r="D17169" s="33" t="s">
        <v>17</v>
      </c>
      <c r="E17169" s="33" t="s">
        <v>31</v>
      </c>
      <c r="F17169" s="33" t="s">
        <v>32</v>
      </c>
      <c r="G17169" s="33" t="s">
        <v>20</v>
      </c>
      <c r="H17169" s="35">
        <v>242</v>
      </c>
      <c r="I17169" s="33" t="s">
        <v>21</v>
      </c>
      <c r="J17169" s="42">
        <v>45085</v>
      </c>
      <c r="K17169" s="33" t="s">
        <v>22</v>
      </c>
    </row>
    <row r="17170" spans="1:11">
      <c r="A17170" s="30" t="s">
        <v>38425</v>
      </c>
      <c r="B17170" s="30" t="s">
        <v>38426</v>
      </c>
      <c r="C17170" s="30" t="s">
        <v>102</v>
      </c>
      <c r="D17170" s="30" t="s">
        <v>17</v>
      </c>
      <c r="E17170" s="30" t="s">
        <v>26</v>
      </c>
      <c r="F17170" s="30" t="s">
        <v>27</v>
      </c>
      <c r="G17170" s="30" t="s">
        <v>140</v>
      </c>
      <c r="H17170" s="32">
        <v>355</v>
      </c>
      <c r="I17170" s="30" t="s">
        <v>51</v>
      </c>
      <c r="J17170" s="41">
        <v>45231</v>
      </c>
      <c r="K17170" s="30" t="s">
        <v>22</v>
      </c>
    </row>
    <row r="17171" spans="1:11">
      <c r="A17171" s="33" t="s">
        <v>38427</v>
      </c>
      <c r="B17171" s="33" t="s">
        <v>38428</v>
      </c>
      <c r="C17171" s="33" t="s">
        <v>1295</v>
      </c>
      <c r="D17171" s="33" t="s">
        <v>17</v>
      </c>
      <c r="E17171" s="33" t="s">
        <v>31</v>
      </c>
      <c r="F17171" s="33" t="s">
        <v>32</v>
      </c>
      <c r="G17171" s="33" t="s">
        <v>140</v>
      </c>
      <c r="H17171" s="35">
        <v>220</v>
      </c>
      <c r="I17171" s="33" t="s">
        <v>51</v>
      </c>
      <c r="J17171" s="42">
        <v>45138</v>
      </c>
      <c r="K17171" s="33" t="s">
        <v>22</v>
      </c>
    </row>
    <row r="17172" spans="1:11">
      <c r="A17172" s="30" t="s">
        <v>38429</v>
      </c>
      <c r="B17172" s="30" t="s">
        <v>38430</v>
      </c>
      <c r="C17172" s="30" t="s">
        <v>93</v>
      </c>
      <c r="D17172" s="30" t="s">
        <v>17</v>
      </c>
      <c r="E17172" s="30" t="s">
        <v>26</v>
      </c>
      <c r="F17172" s="30" t="s">
        <v>27</v>
      </c>
      <c r="G17172" s="30" t="s">
        <v>20</v>
      </c>
      <c r="H17172" s="32">
        <v>104</v>
      </c>
      <c r="I17172" s="30" t="s">
        <v>21</v>
      </c>
      <c r="J17172" s="41">
        <v>44972</v>
      </c>
      <c r="K17172" s="30" t="s">
        <v>22</v>
      </c>
    </row>
    <row r="17173" spans="1:11">
      <c r="A17173" s="33" t="s">
        <v>38431</v>
      </c>
      <c r="B17173" s="33" t="s">
        <v>38432</v>
      </c>
      <c r="C17173" s="33" t="s">
        <v>38433</v>
      </c>
      <c r="D17173" s="33" t="s">
        <v>17</v>
      </c>
      <c r="E17173" s="33" t="s">
        <v>26</v>
      </c>
      <c r="F17173" s="33" t="s">
        <v>27</v>
      </c>
      <c r="G17173" s="33" t="s">
        <v>20</v>
      </c>
      <c r="H17173" s="35">
        <v>17</v>
      </c>
      <c r="I17173" s="33" t="s">
        <v>21</v>
      </c>
      <c r="J17173" s="42">
        <v>45036</v>
      </c>
      <c r="K17173" s="33" t="s">
        <v>22</v>
      </c>
    </row>
    <row r="17174" spans="1:11">
      <c r="A17174" s="30" t="s">
        <v>38434</v>
      </c>
      <c r="B17174" s="30" t="s">
        <v>38435</v>
      </c>
      <c r="C17174" s="30" t="s">
        <v>647</v>
      </c>
      <c r="D17174" s="30" t="s">
        <v>17</v>
      </c>
      <c r="E17174" s="30" t="s">
        <v>26</v>
      </c>
      <c r="F17174" s="30" t="s">
        <v>27</v>
      </c>
      <c r="G17174" s="30" t="s">
        <v>20</v>
      </c>
      <c r="H17174" s="32">
        <v>20</v>
      </c>
      <c r="I17174" s="30" t="s">
        <v>21</v>
      </c>
      <c r="J17174" s="41">
        <v>45201</v>
      </c>
      <c r="K17174" s="30" t="s">
        <v>22</v>
      </c>
    </row>
    <row r="17175" spans="1:11">
      <c r="A17175" s="33" t="s">
        <v>38436</v>
      </c>
      <c r="B17175" s="33" t="s">
        <v>38437</v>
      </c>
      <c r="C17175" s="33" t="s">
        <v>7581</v>
      </c>
      <c r="D17175" s="33" t="s">
        <v>17</v>
      </c>
      <c r="E17175" s="33" t="s">
        <v>18</v>
      </c>
      <c r="F17175" s="33" t="s">
        <v>19</v>
      </c>
      <c r="G17175" s="33" t="s">
        <v>20</v>
      </c>
      <c r="H17175" s="35">
        <v>430</v>
      </c>
      <c r="I17175" s="33" t="s">
        <v>21</v>
      </c>
      <c r="J17175" s="42">
        <v>45280</v>
      </c>
      <c r="K17175" s="33" t="s">
        <v>22</v>
      </c>
    </row>
    <row r="17176" spans="1:11">
      <c r="A17176" s="30" t="s">
        <v>38438</v>
      </c>
      <c r="B17176" s="30" t="s">
        <v>38439</v>
      </c>
      <c r="C17176" s="30" t="s">
        <v>102</v>
      </c>
      <c r="D17176" s="30" t="s">
        <v>17</v>
      </c>
      <c r="E17176" s="30" t="s">
        <v>26</v>
      </c>
      <c r="F17176" s="30" t="s">
        <v>27</v>
      </c>
      <c r="G17176" s="30" t="s">
        <v>112</v>
      </c>
      <c r="H17176" s="32">
        <v>0</v>
      </c>
      <c r="I17176" s="30" t="s">
        <v>21</v>
      </c>
      <c r="J17176" s="41">
        <v>45047</v>
      </c>
      <c r="K17176" s="30" t="s">
        <v>22</v>
      </c>
    </row>
    <row r="17177" spans="1:11">
      <c r="A17177" s="33" t="s">
        <v>38440</v>
      </c>
      <c r="B17177" s="33" t="s">
        <v>38441</v>
      </c>
      <c r="C17177" s="33" t="s">
        <v>13971</v>
      </c>
      <c r="D17177" s="33" t="s">
        <v>17</v>
      </c>
      <c r="E17177" s="33" t="s">
        <v>26</v>
      </c>
      <c r="F17177" s="33" t="s">
        <v>27</v>
      </c>
      <c r="G17177" s="33" t="s">
        <v>20</v>
      </c>
      <c r="H17177" s="35">
        <v>48</v>
      </c>
      <c r="I17177" s="33" t="s">
        <v>21</v>
      </c>
      <c r="J17177" s="42">
        <v>45047</v>
      </c>
      <c r="K17177" s="33" t="s">
        <v>22</v>
      </c>
    </row>
    <row r="17178" spans="1:11">
      <c r="A17178" s="30" t="s">
        <v>38442</v>
      </c>
      <c r="B17178" s="30" t="s">
        <v>38443</v>
      </c>
      <c r="C17178" s="30" t="s">
        <v>22301</v>
      </c>
      <c r="D17178" s="30" t="s">
        <v>17</v>
      </c>
      <c r="E17178" s="30" t="s">
        <v>67</v>
      </c>
      <c r="F17178" s="30" t="s">
        <v>68</v>
      </c>
      <c r="G17178" s="30" t="s">
        <v>140</v>
      </c>
      <c r="H17178" s="32">
        <v>134</v>
      </c>
      <c r="I17178" s="30" t="s">
        <v>51</v>
      </c>
      <c r="J17178" s="41">
        <v>45231</v>
      </c>
      <c r="K17178" s="30" t="s">
        <v>22</v>
      </c>
    </row>
    <row r="17179" spans="1:11">
      <c r="A17179" s="33" t="s">
        <v>38444</v>
      </c>
      <c r="B17179" s="33" t="s">
        <v>38445</v>
      </c>
      <c r="C17179" s="33" t="s">
        <v>28379</v>
      </c>
      <c r="D17179" s="33" t="s">
        <v>17</v>
      </c>
      <c r="E17179" s="33" t="s">
        <v>18</v>
      </c>
      <c r="F17179" s="33" t="s">
        <v>19</v>
      </c>
      <c r="G17179" s="33" t="s">
        <v>158</v>
      </c>
      <c r="H17179" s="35">
        <v>41</v>
      </c>
      <c r="I17179" s="33" t="s">
        <v>21</v>
      </c>
      <c r="J17179" s="42">
        <v>45271</v>
      </c>
      <c r="K17179" s="33" t="s">
        <v>22</v>
      </c>
    </row>
    <row r="17180" spans="1:11">
      <c r="A17180" s="30" t="s">
        <v>38446</v>
      </c>
      <c r="B17180" s="30" t="s">
        <v>38447</v>
      </c>
      <c r="C17180" s="30" t="s">
        <v>24276</v>
      </c>
      <c r="D17180" s="30" t="s">
        <v>17</v>
      </c>
      <c r="E17180" s="30" t="s">
        <v>18</v>
      </c>
      <c r="F17180" s="30" t="s">
        <v>19</v>
      </c>
      <c r="G17180" s="30" t="s">
        <v>50</v>
      </c>
      <c r="H17180" s="32">
        <v>540</v>
      </c>
      <c r="I17180" s="30" t="s">
        <v>51</v>
      </c>
      <c r="J17180" s="41">
        <v>45121</v>
      </c>
      <c r="K17180" s="30" t="s">
        <v>22</v>
      </c>
    </row>
    <row r="17181" spans="1:11">
      <c r="A17181" s="33" t="s">
        <v>38448</v>
      </c>
      <c r="B17181" s="33" t="s">
        <v>38449</v>
      </c>
      <c r="C17181" s="33" t="s">
        <v>318</v>
      </c>
      <c r="D17181" s="33" t="s">
        <v>17</v>
      </c>
      <c r="E17181" s="33" t="s">
        <v>18</v>
      </c>
      <c r="F17181" s="33" t="s">
        <v>19</v>
      </c>
      <c r="G17181" s="33" t="s">
        <v>20</v>
      </c>
      <c r="H17181" s="35">
        <v>49</v>
      </c>
      <c r="I17181" s="33" t="s">
        <v>21</v>
      </c>
      <c r="J17181" s="42">
        <v>44949</v>
      </c>
      <c r="K17181" s="33" t="s">
        <v>22</v>
      </c>
    </row>
    <row r="17182" spans="1:11">
      <c r="A17182" s="30" t="s">
        <v>38450</v>
      </c>
      <c r="B17182" s="30" t="s">
        <v>38451</v>
      </c>
      <c r="C17182" s="30" t="s">
        <v>1391</v>
      </c>
      <c r="D17182" s="30" t="s">
        <v>17</v>
      </c>
      <c r="E17182" s="30" t="s">
        <v>45</v>
      </c>
      <c r="F17182" s="30" t="s">
        <v>46</v>
      </c>
      <c r="G17182" s="30" t="s">
        <v>20</v>
      </c>
      <c r="H17182" s="32">
        <v>660</v>
      </c>
      <c r="I17182" s="30" t="s">
        <v>21</v>
      </c>
      <c r="J17182" s="41">
        <v>45176</v>
      </c>
      <c r="K17182" s="30" t="s">
        <v>22</v>
      </c>
    </row>
    <row r="17183" spans="1:11">
      <c r="A17183" s="33" t="s">
        <v>38452</v>
      </c>
      <c r="B17183" s="33" t="s">
        <v>38453</v>
      </c>
      <c r="C17183" s="33" t="s">
        <v>936</v>
      </c>
      <c r="D17183" s="33" t="s">
        <v>17</v>
      </c>
      <c r="E17183" s="33" t="s">
        <v>18</v>
      </c>
      <c r="F17183" s="33" t="s">
        <v>19</v>
      </c>
      <c r="G17183" s="33" t="s">
        <v>140</v>
      </c>
      <c r="H17183" s="35">
        <v>510</v>
      </c>
      <c r="I17183" s="33" t="s">
        <v>51</v>
      </c>
      <c r="J17183" s="42">
        <v>44949</v>
      </c>
      <c r="K17183" s="33" t="s">
        <v>22</v>
      </c>
    </row>
    <row r="17184" spans="1:11">
      <c r="A17184" s="30" t="s">
        <v>38454</v>
      </c>
      <c r="B17184" s="30" t="s">
        <v>38455</v>
      </c>
      <c r="C17184" s="30" t="s">
        <v>2503</v>
      </c>
      <c r="D17184" s="30" t="s">
        <v>17</v>
      </c>
      <c r="E17184" s="30" t="s">
        <v>67</v>
      </c>
      <c r="F17184" s="30" t="s">
        <v>68</v>
      </c>
      <c r="G17184" s="30" t="s">
        <v>158</v>
      </c>
      <c r="H17184" s="32">
        <v>113</v>
      </c>
      <c r="I17184" s="30" t="s">
        <v>51</v>
      </c>
      <c r="J17184" s="41">
        <v>45161</v>
      </c>
      <c r="K17184" s="30" t="s">
        <v>22</v>
      </c>
    </row>
    <row r="17185" spans="1:11">
      <c r="A17185" s="33" t="s">
        <v>38456</v>
      </c>
      <c r="B17185" s="33" t="s">
        <v>38457</v>
      </c>
      <c r="C17185" s="33" t="s">
        <v>644</v>
      </c>
      <c r="D17185" s="33" t="s">
        <v>17</v>
      </c>
      <c r="E17185" s="33" t="s">
        <v>31</v>
      </c>
      <c r="F17185" s="33" t="s">
        <v>32</v>
      </c>
      <c r="G17185" s="33" t="s">
        <v>140</v>
      </c>
      <c r="H17185" s="35">
        <v>120</v>
      </c>
      <c r="I17185" s="33" t="s">
        <v>51</v>
      </c>
      <c r="J17185" s="42">
        <v>45134</v>
      </c>
      <c r="K17185" s="33" t="s">
        <v>22</v>
      </c>
    </row>
    <row r="17186" spans="1:11">
      <c r="A17186" s="30" t="s">
        <v>38458</v>
      </c>
      <c r="B17186" s="30" t="s">
        <v>38459</v>
      </c>
      <c r="C17186" s="30" t="s">
        <v>31529</v>
      </c>
      <c r="D17186" s="30" t="s">
        <v>17</v>
      </c>
      <c r="E17186" s="30" t="s">
        <v>26</v>
      </c>
      <c r="F17186" s="30" t="s">
        <v>27</v>
      </c>
      <c r="G17186" s="30" t="s">
        <v>140</v>
      </c>
      <c r="H17186" s="32">
        <v>330</v>
      </c>
      <c r="I17186" s="30" t="s">
        <v>51</v>
      </c>
      <c r="J17186" s="41">
        <v>44999</v>
      </c>
      <c r="K17186" s="30" t="s">
        <v>22</v>
      </c>
    </row>
    <row r="17187" spans="1:11">
      <c r="A17187" s="33" t="s">
        <v>38460</v>
      </c>
      <c r="B17187" s="33" t="s">
        <v>38461</v>
      </c>
      <c r="C17187" s="33" t="s">
        <v>109</v>
      </c>
      <c r="D17187" s="33" t="s">
        <v>17</v>
      </c>
      <c r="E17187" s="33" t="s">
        <v>26</v>
      </c>
      <c r="F17187" s="33" t="s">
        <v>27</v>
      </c>
      <c r="G17187" s="33" t="s">
        <v>158</v>
      </c>
      <c r="H17187" s="35">
        <v>38</v>
      </c>
      <c r="I17187" s="33" t="s">
        <v>21</v>
      </c>
      <c r="J17187" s="42">
        <v>44980</v>
      </c>
      <c r="K17187" s="33" t="s">
        <v>22</v>
      </c>
    </row>
    <row r="17188" spans="1:11">
      <c r="A17188" s="30" t="s">
        <v>38462</v>
      </c>
      <c r="B17188" s="30" t="s">
        <v>38463</v>
      </c>
      <c r="C17188" s="30" t="s">
        <v>4863</v>
      </c>
      <c r="D17188" s="30" t="s">
        <v>17</v>
      </c>
      <c r="E17188" s="30" t="s">
        <v>18</v>
      </c>
      <c r="F17188" s="30" t="s">
        <v>19</v>
      </c>
      <c r="G17188" s="30" t="s">
        <v>50</v>
      </c>
      <c r="H17188" s="32">
        <v>74</v>
      </c>
      <c r="I17188" s="30" t="s">
        <v>51</v>
      </c>
      <c r="J17188" s="41">
        <v>45197</v>
      </c>
      <c r="K17188" s="30" t="s">
        <v>22</v>
      </c>
    </row>
    <row r="17189" spans="1:11">
      <c r="A17189" s="33" t="s">
        <v>38464</v>
      </c>
      <c r="B17189" s="33" t="s">
        <v>38465</v>
      </c>
      <c r="C17189" s="33" t="s">
        <v>30443</v>
      </c>
      <c r="D17189" s="33" t="s">
        <v>17</v>
      </c>
      <c r="E17189" s="33" t="s">
        <v>212</v>
      </c>
      <c r="F17189" s="33" t="s">
        <v>213</v>
      </c>
      <c r="G17189" s="33" t="s">
        <v>20</v>
      </c>
      <c r="H17189" s="35">
        <v>360</v>
      </c>
      <c r="I17189" s="33" t="s">
        <v>21</v>
      </c>
      <c r="J17189" s="42">
        <v>44937</v>
      </c>
      <c r="K17189" s="33" t="s">
        <v>22</v>
      </c>
    </row>
    <row r="17190" spans="1:11">
      <c r="A17190" s="30" t="s">
        <v>38466</v>
      </c>
      <c r="B17190" s="30" t="s">
        <v>38467</v>
      </c>
      <c r="C17190" s="30" t="s">
        <v>9688</v>
      </c>
      <c r="D17190" s="30" t="s">
        <v>17</v>
      </c>
      <c r="E17190" s="30" t="s">
        <v>26</v>
      </c>
      <c r="F17190" s="30" t="s">
        <v>27</v>
      </c>
      <c r="G17190" s="30" t="s">
        <v>20</v>
      </c>
      <c r="H17190" s="32">
        <v>14</v>
      </c>
      <c r="I17190" s="30" t="s">
        <v>21</v>
      </c>
      <c r="J17190" s="41">
        <v>45149</v>
      </c>
      <c r="K17190" s="30" t="s">
        <v>22</v>
      </c>
    </row>
    <row r="17191" spans="1:11">
      <c r="A17191" s="33" t="s">
        <v>38468</v>
      </c>
      <c r="B17191" s="33" t="s">
        <v>38469</v>
      </c>
      <c r="C17191" s="33" t="s">
        <v>38470</v>
      </c>
      <c r="D17191" s="33" t="s">
        <v>17</v>
      </c>
      <c r="E17191" s="33" t="s">
        <v>67</v>
      </c>
      <c r="F17191" s="33" t="s">
        <v>68</v>
      </c>
      <c r="G17191" s="33" t="s">
        <v>50</v>
      </c>
      <c r="H17191" s="35">
        <v>100</v>
      </c>
      <c r="I17191" s="33" t="s">
        <v>51</v>
      </c>
      <c r="J17191" s="42">
        <v>45139</v>
      </c>
      <c r="K17191" s="33" t="s">
        <v>22</v>
      </c>
    </row>
    <row r="17192" spans="1:11">
      <c r="A17192" s="30" t="s">
        <v>38471</v>
      </c>
      <c r="B17192" s="30" t="s">
        <v>38472</v>
      </c>
      <c r="C17192" s="30" t="s">
        <v>23283</v>
      </c>
      <c r="D17192" s="30" t="s">
        <v>17</v>
      </c>
      <c r="E17192" s="30" t="s">
        <v>31</v>
      </c>
      <c r="F17192" s="30" t="s">
        <v>32</v>
      </c>
      <c r="G17192" s="30" t="s">
        <v>50</v>
      </c>
      <c r="H17192" s="32">
        <v>40</v>
      </c>
      <c r="I17192" s="30" t="s">
        <v>51</v>
      </c>
      <c r="J17192" s="41">
        <v>45170</v>
      </c>
      <c r="K17192" s="30" t="s">
        <v>22</v>
      </c>
    </row>
    <row r="17193" spans="1:11">
      <c r="A17193" s="33" t="s">
        <v>38473</v>
      </c>
      <c r="B17193" s="33" t="s">
        <v>38474</v>
      </c>
      <c r="C17193" s="33" t="s">
        <v>701</v>
      </c>
      <c r="D17193" s="33" t="s">
        <v>17</v>
      </c>
      <c r="E17193" s="33" t="s">
        <v>18</v>
      </c>
      <c r="F17193" s="33" t="s">
        <v>19</v>
      </c>
      <c r="G17193" s="33" t="s">
        <v>20</v>
      </c>
      <c r="H17193" s="35">
        <v>780</v>
      </c>
      <c r="I17193" s="33" t="s">
        <v>21</v>
      </c>
      <c r="J17193" s="42">
        <v>45141</v>
      </c>
      <c r="K17193" s="33" t="s">
        <v>22</v>
      </c>
    </row>
    <row r="17194" spans="1:11">
      <c r="A17194" s="30" t="s">
        <v>38475</v>
      </c>
      <c r="B17194" s="30" t="s">
        <v>38476</v>
      </c>
      <c r="C17194" s="30" t="s">
        <v>1313</v>
      </c>
      <c r="D17194" s="30" t="s">
        <v>17</v>
      </c>
      <c r="E17194" s="30" t="s">
        <v>67</v>
      </c>
      <c r="F17194" s="30" t="s">
        <v>68</v>
      </c>
      <c r="G17194" s="30" t="s">
        <v>158</v>
      </c>
      <c r="H17194" s="32">
        <v>72</v>
      </c>
      <c r="I17194" s="30" t="s">
        <v>21</v>
      </c>
      <c r="J17194" s="41">
        <v>44958</v>
      </c>
      <c r="K17194" s="30" t="s">
        <v>22</v>
      </c>
    </row>
    <row r="17195" spans="1:11">
      <c r="A17195" s="33" t="s">
        <v>38477</v>
      </c>
      <c r="B17195" s="33" t="s">
        <v>38478</v>
      </c>
      <c r="C17195" s="33" t="s">
        <v>17528</v>
      </c>
      <c r="D17195" s="33" t="s">
        <v>17</v>
      </c>
      <c r="E17195" s="33" t="s">
        <v>31</v>
      </c>
      <c r="F17195" s="33" t="s">
        <v>32</v>
      </c>
      <c r="G17195" s="33" t="s">
        <v>106</v>
      </c>
      <c r="H17195" s="35">
        <v>170</v>
      </c>
      <c r="I17195" s="33" t="s">
        <v>21</v>
      </c>
      <c r="J17195" s="42">
        <v>44979</v>
      </c>
      <c r="K17195" s="33" t="s">
        <v>22</v>
      </c>
    </row>
    <row r="17196" spans="1:11">
      <c r="A17196" s="30" t="s">
        <v>38479</v>
      </c>
      <c r="B17196" s="30" t="s">
        <v>38480</v>
      </c>
      <c r="C17196" s="30" t="s">
        <v>4026</v>
      </c>
      <c r="D17196" s="30" t="s">
        <v>17</v>
      </c>
      <c r="E17196" s="30" t="s">
        <v>31</v>
      </c>
      <c r="F17196" s="30" t="s">
        <v>32</v>
      </c>
      <c r="G17196" s="30" t="s">
        <v>140</v>
      </c>
      <c r="H17196" s="32">
        <v>85</v>
      </c>
      <c r="I17196" s="30" t="s">
        <v>51</v>
      </c>
      <c r="J17196" s="41">
        <v>45168</v>
      </c>
      <c r="K17196" s="30" t="s">
        <v>22</v>
      </c>
    </row>
    <row r="17197" spans="1:11">
      <c r="A17197" s="33" t="s">
        <v>38481</v>
      </c>
      <c r="B17197" s="33" t="s">
        <v>38482</v>
      </c>
      <c r="C17197" s="33" t="s">
        <v>2812</v>
      </c>
      <c r="D17197" s="33" t="s">
        <v>17</v>
      </c>
      <c r="E17197" s="33" t="s">
        <v>212</v>
      </c>
      <c r="F17197" s="33" t="s">
        <v>213</v>
      </c>
      <c r="G17197" s="33" t="s">
        <v>140</v>
      </c>
      <c r="H17197" s="35">
        <v>350</v>
      </c>
      <c r="I17197" s="33" t="s">
        <v>51</v>
      </c>
      <c r="J17197" s="42">
        <v>45287</v>
      </c>
      <c r="K17197" s="33" t="s">
        <v>22</v>
      </c>
    </row>
    <row r="17198" spans="1:11">
      <c r="A17198" s="30" t="s">
        <v>38483</v>
      </c>
      <c r="B17198" s="30" t="s">
        <v>38484</v>
      </c>
      <c r="C17198" s="30" t="s">
        <v>20710</v>
      </c>
      <c r="D17198" s="30" t="s">
        <v>17</v>
      </c>
      <c r="E17198" s="30" t="s">
        <v>26</v>
      </c>
      <c r="F17198" s="30" t="s">
        <v>27</v>
      </c>
      <c r="G17198" s="30" t="s">
        <v>20</v>
      </c>
      <c r="H17198" s="32">
        <v>24</v>
      </c>
      <c r="I17198" s="30" t="s">
        <v>21</v>
      </c>
      <c r="J17198" s="41">
        <v>45135</v>
      </c>
      <c r="K17198" s="30" t="s">
        <v>22</v>
      </c>
    </row>
    <row r="17199" spans="1:11">
      <c r="A17199" s="33" t="s">
        <v>38485</v>
      </c>
      <c r="B17199" s="33" t="s">
        <v>38486</v>
      </c>
      <c r="C17199" s="33" t="s">
        <v>638</v>
      </c>
      <c r="D17199" s="33" t="s">
        <v>17</v>
      </c>
      <c r="E17199" s="33" t="s">
        <v>67</v>
      </c>
      <c r="F17199" s="33" t="s">
        <v>68</v>
      </c>
      <c r="G17199" s="33" t="s">
        <v>20</v>
      </c>
      <c r="H17199" s="35">
        <v>170</v>
      </c>
      <c r="I17199" s="33" t="s">
        <v>21</v>
      </c>
      <c r="J17199" s="42">
        <v>45063</v>
      </c>
      <c r="K17199" s="33" t="s">
        <v>22</v>
      </c>
    </row>
    <row r="17200" spans="1:11">
      <c r="A17200" s="30" t="s">
        <v>38487</v>
      </c>
      <c r="B17200" s="30" t="s">
        <v>38488</v>
      </c>
      <c r="C17200" s="30" t="s">
        <v>10300</v>
      </c>
      <c r="D17200" s="30" t="s">
        <v>17</v>
      </c>
      <c r="E17200" s="30" t="s">
        <v>26</v>
      </c>
      <c r="F17200" s="30" t="s">
        <v>27</v>
      </c>
      <c r="G17200" s="30" t="s">
        <v>50</v>
      </c>
      <c r="H17200" s="32">
        <v>42</v>
      </c>
      <c r="I17200" s="30" t="s">
        <v>51</v>
      </c>
      <c r="J17200" s="41">
        <v>45264</v>
      </c>
      <c r="K17200" s="30" t="s">
        <v>22</v>
      </c>
    </row>
    <row r="17201" spans="1:11">
      <c r="A17201" s="33" t="s">
        <v>38489</v>
      </c>
      <c r="B17201" s="33" t="s">
        <v>38490</v>
      </c>
      <c r="C17201" s="33" t="s">
        <v>7072</v>
      </c>
      <c r="D17201" s="33" t="s">
        <v>17</v>
      </c>
      <c r="E17201" s="33" t="s">
        <v>18</v>
      </c>
      <c r="F17201" s="33" t="s">
        <v>19</v>
      </c>
      <c r="G17201" s="33" t="s">
        <v>158</v>
      </c>
      <c r="H17201" s="35">
        <v>376</v>
      </c>
      <c r="I17201" s="33" t="s">
        <v>21</v>
      </c>
      <c r="J17201" s="42">
        <v>45103</v>
      </c>
      <c r="K17201" s="33" t="s">
        <v>22</v>
      </c>
    </row>
    <row r="17202" spans="1:11">
      <c r="A17202" s="30" t="s">
        <v>38491</v>
      </c>
      <c r="B17202" s="30" t="s">
        <v>38492</v>
      </c>
      <c r="C17202" s="30" t="s">
        <v>5948</v>
      </c>
      <c r="D17202" s="30" t="s">
        <v>17</v>
      </c>
      <c r="E17202" s="30" t="s">
        <v>26</v>
      </c>
      <c r="F17202" s="30" t="s">
        <v>27</v>
      </c>
      <c r="G17202" s="30" t="s">
        <v>106</v>
      </c>
      <c r="H17202" s="32">
        <v>4</v>
      </c>
      <c r="I17202" s="30" t="s">
        <v>21</v>
      </c>
      <c r="J17202" s="41">
        <v>45134</v>
      </c>
      <c r="K17202" s="30" t="s">
        <v>22</v>
      </c>
    </row>
    <row r="17203" spans="1:11">
      <c r="A17203" s="33" t="s">
        <v>38493</v>
      </c>
      <c r="B17203" s="33" t="s">
        <v>38494</v>
      </c>
      <c r="C17203" s="33" t="s">
        <v>38495</v>
      </c>
      <c r="D17203" s="33" t="s">
        <v>17</v>
      </c>
      <c r="E17203" s="33" t="s">
        <v>26</v>
      </c>
      <c r="F17203" s="33" t="s">
        <v>27</v>
      </c>
      <c r="G17203" s="33" t="s">
        <v>20</v>
      </c>
      <c r="H17203" s="35">
        <v>38</v>
      </c>
      <c r="I17203" s="33" t="s">
        <v>21</v>
      </c>
      <c r="J17203" s="42">
        <v>45275</v>
      </c>
      <c r="K17203" s="33" t="s">
        <v>22</v>
      </c>
    </row>
    <row r="17204" spans="1:11">
      <c r="A17204" s="30" t="s">
        <v>38496</v>
      </c>
      <c r="B17204" s="30" t="s">
        <v>38497</v>
      </c>
      <c r="C17204" s="30" t="s">
        <v>318</v>
      </c>
      <c r="D17204" s="30" t="s">
        <v>17</v>
      </c>
      <c r="E17204" s="30" t="s">
        <v>18</v>
      </c>
      <c r="F17204" s="30" t="s">
        <v>19</v>
      </c>
      <c r="G17204" s="30" t="s">
        <v>20</v>
      </c>
      <c r="H17204" s="32">
        <v>221</v>
      </c>
      <c r="I17204" s="30" t="s">
        <v>21</v>
      </c>
      <c r="J17204" s="41">
        <v>45084</v>
      </c>
      <c r="K17204" s="30" t="s">
        <v>22</v>
      </c>
    </row>
    <row r="17205" spans="1:11">
      <c r="A17205" s="33" t="s">
        <v>38498</v>
      </c>
      <c r="B17205" s="33" t="s">
        <v>38499</v>
      </c>
      <c r="C17205" s="33" t="s">
        <v>75</v>
      </c>
      <c r="D17205" s="33" t="s">
        <v>17</v>
      </c>
      <c r="E17205" s="33" t="s">
        <v>18</v>
      </c>
      <c r="F17205" s="33" t="s">
        <v>19</v>
      </c>
      <c r="G17205" s="33" t="s">
        <v>158</v>
      </c>
      <c r="H17205" s="35">
        <v>1230</v>
      </c>
      <c r="I17205" s="33" t="s">
        <v>21</v>
      </c>
      <c r="J17205" s="42">
        <v>45099</v>
      </c>
      <c r="K17205" s="33" t="s">
        <v>22</v>
      </c>
    </row>
    <row r="17206" spans="1:11">
      <c r="A17206" s="30" t="s">
        <v>38500</v>
      </c>
      <c r="B17206" s="30" t="s">
        <v>38501</v>
      </c>
      <c r="C17206" s="30" t="s">
        <v>149</v>
      </c>
      <c r="D17206" s="30" t="s">
        <v>17</v>
      </c>
      <c r="E17206" s="30" t="s">
        <v>67</v>
      </c>
      <c r="F17206" s="30" t="s">
        <v>68</v>
      </c>
      <c r="G17206" s="30" t="s">
        <v>50</v>
      </c>
      <c r="H17206" s="32">
        <v>100</v>
      </c>
      <c r="I17206" s="30" t="s">
        <v>51</v>
      </c>
      <c r="J17206" s="41">
        <v>45282</v>
      </c>
      <c r="K17206" s="30" t="s">
        <v>22</v>
      </c>
    </row>
    <row r="17207" spans="1:11">
      <c r="A17207" s="33" t="s">
        <v>38502</v>
      </c>
      <c r="B17207" s="33" t="s">
        <v>38503</v>
      </c>
      <c r="C17207" s="33" t="s">
        <v>33068</v>
      </c>
      <c r="D17207" s="33" t="s">
        <v>17</v>
      </c>
      <c r="E17207" s="33" t="s">
        <v>26</v>
      </c>
      <c r="F17207" s="33" t="s">
        <v>27</v>
      </c>
      <c r="G17207" s="33" t="s">
        <v>106</v>
      </c>
      <c r="H17207" s="35">
        <v>40</v>
      </c>
      <c r="I17207" s="33" t="s">
        <v>21</v>
      </c>
      <c r="J17207" s="42">
        <v>44956</v>
      </c>
      <c r="K17207" s="33" t="s">
        <v>22</v>
      </c>
    </row>
    <row r="17208" spans="1:11">
      <c r="A17208" s="30" t="s">
        <v>38504</v>
      </c>
      <c r="B17208" s="30" t="s">
        <v>38505</v>
      </c>
      <c r="C17208" s="30" t="s">
        <v>17068</v>
      </c>
      <c r="D17208" s="30" t="s">
        <v>17</v>
      </c>
      <c r="E17208" s="30" t="s">
        <v>26</v>
      </c>
      <c r="F17208" s="30" t="s">
        <v>27</v>
      </c>
      <c r="G17208" s="30" t="s">
        <v>140</v>
      </c>
      <c r="H17208" s="32">
        <v>46</v>
      </c>
      <c r="I17208" s="30" t="s">
        <v>51</v>
      </c>
      <c r="J17208" s="41">
        <v>45183</v>
      </c>
      <c r="K17208" s="30" t="s">
        <v>22</v>
      </c>
    </row>
    <row r="17209" spans="1:11">
      <c r="A17209" s="33" t="s">
        <v>38506</v>
      </c>
      <c r="B17209" s="33" t="s">
        <v>38507</v>
      </c>
      <c r="C17209" s="33" t="s">
        <v>1278</v>
      </c>
      <c r="D17209" s="33" t="s">
        <v>17</v>
      </c>
      <c r="E17209" s="33" t="s">
        <v>31</v>
      </c>
      <c r="F17209" s="33" t="s">
        <v>32</v>
      </c>
      <c r="G17209" s="33" t="s">
        <v>20</v>
      </c>
      <c r="H17209" s="35">
        <v>304</v>
      </c>
      <c r="I17209" s="33" t="s">
        <v>21</v>
      </c>
      <c r="J17209" s="42">
        <v>45278</v>
      </c>
      <c r="K17209" s="33" t="s">
        <v>22</v>
      </c>
    </row>
    <row r="17210" spans="1:11">
      <c r="A17210" s="30" t="s">
        <v>38508</v>
      </c>
      <c r="B17210" s="30" t="s">
        <v>38509</v>
      </c>
      <c r="C17210" s="30" t="s">
        <v>11767</v>
      </c>
      <c r="D17210" s="30" t="s">
        <v>17</v>
      </c>
      <c r="E17210" s="30" t="s">
        <v>18</v>
      </c>
      <c r="F17210" s="30" t="s">
        <v>19</v>
      </c>
      <c r="G17210" s="30" t="s">
        <v>158</v>
      </c>
      <c r="H17210" s="32">
        <v>9</v>
      </c>
      <c r="I17210" s="30" t="s">
        <v>21</v>
      </c>
      <c r="J17210" s="41">
        <v>45217</v>
      </c>
      <c r="K17210" s="30" t="s">
        <v>22</v>
      </c>
    </row>
    <row r="17211" spans="1:11">
      <c r="A17211" s="33" t="s">
        <v>38510</v>
      </c>
      <c r="B17211" s="33" t="s">
        <v>38511</v>
      </c>
      <c r="C17211" s="33" t="s">
        <v>6205</v>
      </c>
      <c r="D17211" s="33" t="s">
        <v>17</v>
      </c>
      <c r="E17211" s="33" t="s">
        <v>26</v>
      </c>
      <c r="F17211" s="33" t="s">
        <v>27</v>
      </c>
      <c r="G17211" s="33" t="s">
        <v>50</v>
      </c>
      <c r="H17211" s="35">
        <v>80</v>
      </c>
      <c r="I17211" s="33" t="s">
        <v>51</v>
      </c>
      <c r="J17211" s="42">
        <v>45077</v>
      </c>
      <c r="K17211" s="33" t="s">
        <v>22</v>
      </c>
    </row>
    <row r="17212" spans="1:11">
      <c r="A17212" s="30" t="s">
        <v>38512</v>
      </c>
      <c r="B17212" s="30" t="s">
        <v>38513</v>
      </c>
      <c r="C17212" s="30" t="s">
        <v>10515</v>
      </c>
      <c r="D17212" s="30" t="s">
        <v>17</v>
      </c>
      <c r="E17212" s="30" t="s">
        <v>18</v>
      </c>
      <c r="F17212" s="30" t="s">
        <v>19</v>
      </c>
      <c r="G17212" s="30" t="s">
        <v>158</v>
      </c>
      <c r="H17212" s="32">
        <v>418</v>
      </c>
      <c r="I17212" s="30" t="s">
        <v>21</v>
      </c>
      <c r="J17212" s="41">
        <v>44984</v>
      </c>
      <c r="K17212" s="30" t="s">
        <v>22</v>
      </c>
    </row>
    <row r="17213" spans="1:11">
      <c r="A17213" s="33" t="s">
        <v>38514</v>
      </c>
      <c r="B17213" s="33" t="s">
        <v>38515</v>
      </c>
      <c r="C17213" s="33" t="s">
        <v>31586</v>
      </c>
      <c r="D17213" s="33" t="s">
        <v>17</v>
      </c>
      <c r="E17213" s="33" t="s">
        <v>26</v>
      </c>
      <c r="F17213" s="33" t="s">
        <v>27</v>
      </c>
      <c r="G17213" s="33" t="s">
        <v>106</v>
      </c>
      <c r="H17213" s="35">
        <v>66</v>
      </c>
      <c r="I17213" s="33" t="s">
        <v>21</v>
      </c>
      <c r="J17213" s="42">
        <v>45196</v>
      </c>
      <c r="K17213" s="33" t="s">
        <v>22</v>
      </c>
    </row>
    <row r="17214" spans="1:11">
      <c r="A17214" s="30" t="s">
        <v>38516</v>
      </c>
      <c r="B17214" s="30" t="s">
        <v>38517</v>
      </c>
      <c r="C17214" s="30" t="s">
        <v>1270</v>
      </c>
      <c r="D17214" s="30" t="s">
        <v>17</v>
      </c>
      <c r="E17214" s="30" t="s">
        <v>26</v>
      </c>
      <c r="F17214" s="30" t="s">
        <v>27</v>
      </c>
      <c r="G17214" s="30" t="s">
        <v>50</v>
      </c>
      <c r="H17214" s="32">
        <v>190</v>
      </c>
      <c r="I17214" s="30" t="s">
        <v>51</v>
      </c>
      <c r="J17214" s="41">
        <v>45194</v>
      </c>
      <c r="K17214" s="30" t="s">
        <v>22</v>
      </c>
    </row>
    <row r="17215" spans="1:11">
      <c r="A17215" s="33" t="s">
        <v>38518</v>
      </c>
      <c r="B17215" s="33" t="s">
        <v>38519</v>
      </c>
      <c r="C17215" s="33" t="s">
        <v>27159</v>
      </c>
      <c r="D17215" s="33" t="s">
        <v>17</v>
      </c>
      <c r="E17215" s="33" t="s">
        <v>26</v>
      </c>
      <c r="F17215" s="33" t="s">
        <v>27</v>
      </c>
      <c r="G17215" s="33" t="s">
        <v>20</v>
      </c>
      <c r="H17215" s="35">
        <v>115</v>
      </c>
      <c r="I17215" s="33" t="s">
        <v>21</v>
      </c>
      <c r="J17215" s="42">
        <v>45191</v>
      </c>
      <c r="K17215" s="33" t="s">
        <v>22</v>
      </c>
    </row>
    <row r="17216" spans="1:11">
      <c r="A17216" s="30" t="s">
        <v>38520</v>
      </c>
      <c r="B17216" s="30" t="s">
        <v>38521</v>
      </c>
      <c r="C17216" s="30" t="s">
        <v>10183</v>
      </c>
      <c r="D17216" s="30" t="s">
        <v>17</v>
      </c>
      <c r="E17216" s="30" t="s">
        <v>31</v>
      </c>
      <c r="F17216" s="30" t="s">
        <v>32</v>
      </c>
      <c r="G17216" s="30" t="s">
        <v>158</v>
      </c>
      <c r="H17216" s="32">
        <v>61</v>
      </c>
      <c r="I17216" s="30" t="s">
        <v>21</v>
      </c>
      <c r="J17216" s="41">
        <v>45065</v>
      </c>
      <c r="K17216" s="30" t="s">
        <v>22</v>
      </c>
    </row>
    <row r="17217" spans="1:11">
      <c r="A17217" s="33" t="s">
        <v>38522</v>
      </c>
      <c r="B17217" s="33" t="s">
        <v>38523</v>
      </c>
      <c r="C17217" s="33" t="s">
        <v>647</v>
      </c>
      <c r="D17217" s="33" t="s">
        <v>17</v>
      </c>
      <c r="E17217" s="33" t="s">
        <v>26</v>
      </c>
      <c r="F17217" s="33" t="s">
        <v>27</v>
      </c>
      <c r="G17217" s="33" t="s">
        <v>20</v>
      </c>
      <c r="H17217" s="35">
        <v>16</v>
      </c>
      <c r="I17217" s="33" t="s">
        <v>21</v>
      </c>
      <c r="J17217" s="42">
        <v>45132</v>
      </c>
      <c r="K17217" s="33" t="s">
        <v>22</v>
      </c>
    </row>
    <row r="17218" spans="1:11">
      <c r="A17218" s="30" t="s">
        <v>38524</v>
      </c>
      <c r="B17218" s="30" t="s">
        <v>38525</v>
      </c>
      <c r="C17218" s="30" t="s">
        <v>798</v>
      </c>
      <c r="D17218" s="30" t="s">
        <v>17</v>
      </c>
      <c r="E17218" s="30" t="s">
        <v>26</v>
      </c>
      <c r="F17218" s="30" t="s">
        <v>27</v>
      </c>
      <c r="G17218" s="30" t="s">
        <v>140</v>
      </c>
      <c r="H17218" s="32">
        <v>124</v>
      </c>
      <c r="I17218" s="30" t="s">
        <v>51</v>
      </c>
      <c r="J17218" s="41">
        <v>45168</v>
      </c>
      <c r="K17218" s="30" t="s">
        <v>22</v>
      </c>
    </row>
    <row r="17219" spans="1:11">
      <c r="A17219" s="33" t="s">
        <v>38526</v>
      </c>
      <c r="B17219" s="33" t="s">
        <v>38527</v>
      </c>
      <c r="C17219" s="33" t="s">
        <v>23400</v>
      </c>
      <c r="D17219" s="33" t="s">
        <v>17</v>
      </c>
      <c r="E17219" s="33" t="s">
        <v>26</v>
      </c>
      <c r="F17219" s="33" t="s">
        <v>27</v>
      </c>
      <c r="G17219" s="33" t="s">
        <v>20</v>
      </c>
      <c r="H17219" s="35">
        <v>10</v>
      </c>
      <c r="I17219" s="33" t="s">
        <v>21</v>
      </c>
      <c r="J17219" s="42">
        <v>45256</v>
      </c>
      <c r="K17219" s="33" t="s">
        <v>22</v>
      </c>
    </row>
    <row r="17220" spans="1:11">
      <c r="A17220" s="30" t="s">
        <v>38528</v>
      </c>
      <c r="B17220" s="30" t="s">
        <v>38529</v>
      </c>
      <c r="C17220" s="30" t="s">
        <v>3296</v>
      </c>
      <c r="D17220" s="30" t="s">
        <v>17</v>
      </c>
      <c r="E17220" s="30" t="s">
        <v>26</v>
      </c>
      <c r="F17220" s="30" t="s">
        <v>27</v>
      </c>
      <c r="G17220" s="30" t="s">
        <v>50</v>
      </c>
      <c r="H17220" s="32">
        <v>34</v>
      </c>
      <c r="I17220" s="30" t="s">
        <v>51</v>
      </c>
      <c r="J17220" s="41">
        <v>45002</v>
      </c>
      <c r="K17220" s="30" t="s">
        <v>22</v>
      </c>
    </row>
    <row r="17221" spans="1:11">
      <c r="A17221" s="33" t="s">
        <v>38530</v>
      </c>
      <c r="B17221" s="33" t="s">
        <v>38531</v>
      </c>
      <c r="C17221" s="33" t="s">
        <v>178</v>
      </c>
      <c r="D17221" s="33" t="s">
        <v>17</v>
      </c>
      <c r="E17221" s="33" t="s">
        <v>67</v>
      </c>
      <c r="F17221" s="33" t="s">
        <v>68</v>
      </c>
      <c r="G17221" s="33" t="s">
        <v>20</v>
      </c>
      <c r="H17221" s="35">
        <v>19</v>
      </c>
      <c r="I17221" s="33" t="s">
        <v>21</v>
      </c>
      <c r="J17221" s="42">
        <v>45272</v>
      </c>
      <c r="K17221" s="33" t="s">
        <v>22</v>
      </c>
    </row>
    <row r="17222" spans="1:11">
      <c r="A17222" s="30" t="s">
        <v>38532</v>
      </c>
      <c r="B17222" s="30" t="s">
        <v>38533</v>
      </c>
      <c r="C17222" s="30" t="s">
        <v>37040</v>
      </c>
      <c r="D17222" s="30" t="s">
        <v>17</v>
      </c>
      <c r="E17222" s="30" t="s">
        <v>31</v>
      </c>
      <c r="F17222" s="30" t="s">
        <v>32</v>
      </c>
      <c r="G17222" s="30" t="s">
        <v>7780</v>
      </c>
      <c r="H17222" s="32">
        <v>200</v>
      </c>
      <c r="I17222" s="30" t="s">
        <v>51</v>
      </c>
      <c r="J17222" s="41">
        <v>45170</v>
      </c>
      <c r="K17222" s="30" t="s">
        <v>22</v>
      </c>
    </row>
    <row r="17223" spans="1:11">
      <c r="A17223" s="33" t="s">
        <v>38534</v>
      </c>
      <c r="B17223" s="33" t="s">
        <v>38535</v>
      </c>
      <c r="C17223" s="33" t="s">
        <v>231</v>
      </c>
      <c r="D17223" s="33" t="s">
        <v>17</v>
      </c>
      <c r="E17223" s="33" t="s">
        <v>18</v>
      </c>
      <c r="F17223" s="33" t="s">
        <v>19</v>
      </c>
      <c r="G17223" s="33" t="s">
        <v>20</v>
      </c>
      <c r="H17223" s="35">
        <v>138</v>
      </c>
      <c r="I17223" s="33" t="s">
        <v>21</v>
      </c>
      <c r="J17223" s="42">
        <v>45273</v>
      </c>
      <c r="K17223" s="33" t="s">
        <v>22</v>
      </c>
    </row>
    <row r="17224" spans="1:11">
      <c r="A17224" s="30" t="s">
        <v>38536</v>
      </c>
      <c r="B17224" s="30" t="s">
        <v>38537</v>
      </c>
      <c r="C17224" s="30" t="s">
        <v>75</v>
      </c>
      <c r="D17224" s="30" t="s">
        <v>17</v>
      </c>
      <c r="E17224" s="30" t="s">
        <v>26</v>
      </c>
      <c r="F17224" s="30" t="s">
        <v>27</v>
      </c>
      <c r="G17224" s="30" t="s">
        <v>20</v>
      </c>
      <c r="H17224" s="32">
        <v>32</v>
      </c>
      <c r="I17224" s="30" t="s">
        <v>21</v>
      </c>
      <c r="J17224" s="41">
        <v>44995</v>
      </c>
      <c r="K17224" s="30" t="s">
        <v>22</v>
      </c>
    </row>
    <row r="17225" spans="1:11">
      <c r="A17225" s="33" t="s">
        <v>38538</v>
      </c>
      <c r="B17225" s="33" t="s">
        <v>38539</v>
      </c>
      <c r="C17225" s="33" t="s">
        <v>93</v>
      </c>
      <c r="D17225" s="33" t="s">
        <v>17</v>
      </c>
      <c r="E17225" s="33" t="s">
        <v>26</v>
      </c>
      <c r="F17225" s="33" t="s">
        <v>27</v>
      </c>
      <c r="G17225" s="33" t="s">
        <v>20</v>
      </c>
      <c r="H17225" s="35">
        <v>24</v>
      </c>
      <c r="I17225" s="33" t="s">
        <v>21</v>
      </c>
      <c r="J17225" s="42">
        <v>45118</v>
      </c>
      <c r="K17225" s="33" t="s">
        <v>22</v>
      </c>
    </row>
    <row r="17226" spans="1:11">
      <c r="A17226" s="30" t="s">
        <v>38540</v>
      </c>
      <c r="B17226" s="30" t="s">
        <v>38541</v>
      </c>
      <c r="C17226" s="30" t="s">
        <v>4348</v>
      </c>
      <c r="D17226" s="30" t="s">
        <v>17</v>
      </c>
      <c r="E17226" s="30" t="s">
        <v>67</v>
      </c>
      <c r="F17226" s="30" t="s">
        <v>68</v>
      </c>
      <c r="G17226" s="30" t="s">
        <v>158</v>
      </c>
      <c r="H17226" s="32">
        <v>14</v>
      </c>
      <c r="I17226" s="30" t="s">
        <v>21</v>
      </c>
      <c r="J17226" s="41">
        <v>45173</v>
      </c>
      <c r="K17226" s="30" t="s">
        <v>22</v>
      </c>
    </row>
    <row r="17227" spans="1:11">
      <c r="A17227" s="33" t="s">
        <v>38542</v>
      </c>
      <c r="B17227" s="33" t="s">
        <v>38543</v>
      </c>
      <c r="C17227" s="33" t="s">
        <v>38544</v>
      </c>
      <c r="D17227" s="33" t="s">
        <v>17</v>
      </c>
      <c r="E17227" s="33" t="s">
        <v>330</v>
      </c>
      <c r="F17227" s="33" t="s">
        <v>331</v>
      </c>
      <c r="G17227" s="33" t="s">
        <v>50</v>
      </c>
      <c r="H17227" s="35">
        <v>16</v>
      </c>
      <c r="I17227" s="33" t="s">
        <v>21</v>
      </c>
      <c r="J17227" s="42">
        <v>45257</v>
      </c>
      <c r="K17227" s="33" t="s">
        <v>22</v>
      </c>
    </row>
    <row r="17228" spans="1:11">
      <c r="A17228" s="30" t="s">
        <v>38545</v>
      </c>
      <c r="B17228" s="30" t="s">
        <v>38546</v>
      </c>
      <c r="C17228" s="30" t="s">
        <v>136</v>
      </c>
      <c r="D17228" s="30" t="s">
        <v>17</v>
      </c>
      <c r="E17228" s="30" t="s">
        <v>26</v>
      </c>
      <c r="F17228" s="30" t="s">
        <v>27</v>
      </c>
      <c r="G17228" s="30" t="s">
        <v>20</v>
      </c>
      <c r="H17228" s="32">
        <v>88</v>
      </c>
      <c r="I17228" s="30" t="s">
        <v>21</v>
      </c>
      <c r="J17228" s="41">
        <v>44970</v>
      </c>
      <c r="K17228" s="30" t="s">
        <v>22</v>
      </c>
    </row>
    <row r="17229" spans="1:11">
      <c r="A17229" s="33" t="s">
        <v>38547</v>
      </c>
      <c r="B17229" s="33" t="s">
        <v>38548</v>
      </c>
      <c r="C17229" s="33" t="s">
        <v>450</v>
      </c>
      <c r="D17229" s="33" t="s">
        <v>17</v>
      </c>
      <c r="E17229" s="33" t="s">
        <v>26</v>
      </c>
      <c r="F17229" s="33" t="s">
        <v>27</v>
      </c>
      <c r="G17229" s="33" t="s">
        <v>20</v>
      </c>
      <c r="H17229" s="35">
        <v>80</v>
      </c>
      <c r="I17229" s="33" t="s">
        <v>21</v>
      </c>
      <c r="J17229" s="42">
        <v>45000</v>
      </c>
      <c r="K17229" s="33" t="s">
        <v>22</v>
      </c>
    </row>
    <row r="17230" spans="1:11">
      <c r="A17230" s="30" t="s">
        <v>38549</v>
      </c>
      <c r="B17230" s="30" t="s">
        <v>38550</v>
      </c>
      <c r="C17230" s="30" t="s">
        <v>109</v>
      </c>
      <c r="D17230" s="30" t="s">
        <v>17</v>
      </c>
      <c r="E17230" s="30" t="s">
        <v>18</v>
      </c>
      <c r="F17230" s="30" t="s">
        <v>19</v>
      </c>
      <c r="G17230" s="30" t="s">
        <v>140</v>
      </c>
      <c r="H17230" s="32">
        <v>100</v>
      </c>
      <c r="I17230" s="30" t="s">
        <v>51</v>
      </c>
      <c r="J17230" s="41">
        <v>45118</v>
      </c>
      <c r="K17230" s="30" t="s">
        <v>22</v>
      </c>
    </row>
    <row r="17231" spans="1:11">
      <c r="A17231" s="33" t="s">
        <v>38551</v>
      </c>
      <c r="B17231" s="33" t="s">
        <v>38552</v>
      </c>
      <c r="C17231" s="33" t="s">
        <v>310</v>
      </c>
      <c r="D17231" s="33" t="s">
        <v>17</v>
      </c>
      <c r="E17231" s="33" t="s">
        <v>26</v>
      </c>
      <c r="F17231" s="33" t="s">
        <v>27</v>
      </c>
      <c r="G17231" s="33" t="s">
        <v>20</v>
      </c>
      <c r="H17231" s="35">
        <v>170</v>
      </c>
      <c r="I17231" s="33" t="s">
        <v>21</v>
      </c>
      <c r="J17231" s="42">
        <v>45203</v>
      </c>
      <c r="K17231" s="33" t="s">
        <v>22</v>
      </c>
    </row>
    <row r="17232" spans="1:11">
      <c r="A17232" s="30" t="s">
        <v>38553</v>
      </c>
      <c r="B17232" s="30" t="s">
        <v>38554</v>
      </c>
      <c r="C17232" s="30" t="s">
        <v>38555</v>
      </c>
      <c r="D17232" s="30" t="s">
        <v>17</v>
      </c>
      <c r="E17232" s="30" t="s">
        <v>67</v>
      </c>
      <c r="F17232" s="30" t="s">
        <v>68</v>
      </c>
      <c r="G17232" s="30" t="s">
        <v>106</v>
      </c>
      <c r="H17232" s="32">
        <v>25</v>
      </c>
      <c r="I17232" s="30" t="s">
        <v>21</v>
      </c>
      <c r="J17232" s="41">
        <v>45013</v>
      </c>
      <c r="K17232" s="30" t="s">
        <v>22</v>
      </c>
    </row>
    <row r="17233" spans="1:11">
      <c r="A17233" s="33" t="s">
        <v>38556</v>
      </c>
      <c r="B17233" s="33" t="s">
        <v>38557</v>
      </c>
      <c r="C17233" s="33" t="s">
        <v>31562</v>
      </c>
      <c r="D17233" s="33" t="s">
        <v>17</v>
      </c>
      <c r="E17233" s="33" t="s">
        <v>31</v>
      </c>
      <c r="F17233" s="33" t="s">
        <v>32</v>
      </c>
      <c r="G17233" s="33" t="s">
        <v>140</v>
      </c>
      <c r="H17233" s="35">
        <v>170</v>
      </c>
      <c r="I17233" s="33" t="s">
        <v>51</v>
      </c>
      <c r="J17233" s="42">
        <v>45278</v>
      </c>
      <c r="K17233" s="33" t="s">
        <v>22</v>
      </c>
    </row>
    <row r="17234" spans="1:11">
      <c r="A17234" s="30" t="s">
        <v>38558</v>
      </c>
      <c r="B17234" s="30" t="s">
        <v>38559</v>
      </c>
      <c r="C17234" s="30" t="s">
        <v>31168</v>
      </c>
      <c r="D17234" s="30" t="s">
        <v>17</v>
      </c>
      <c r="E17234" s="30" t="s">
        <v>26</v>
      </c>
      <c r="F17234" s="30" t="s">
        <v>27</v>
      </c>
      <c r="G17234" s="30" t="s">
        <v>20</v>
      </c>
      <c r="H17234" s="32">
        <v>74</v>
      </c>
      <c r="I17234" s="30" t="s">
        <v>21</v>
      </c>
      <c r="J17234" s="41">
        <v>45118</v>
      </c>
      <c r="K17234" s="30" t="s">
        <v>22</v>
      </c>
    </row>
    <row r="17235" spans="1:11">
      <c r="A17235" s="33" t="s">
        <v>38560</v>
      </c>
      <c r="B17235" s="33" t="s">
        <v>38561</v>
      </c>
      <c r="C17235" s="33" t="s">
        <v>647</v>
      </c>
      <c r="D17235" s="33" t="s">
        <v>17</v>
      </c>
      <c r="E17235" s="33" t="s">
        <v>26</v>
      </c>
      <c r="F17235" s="33" t="s">
        <v>27</v>
      </c>
      <c r="G17235" s="33" t="s">
        <v>20</v>
      </c>
      <c r="H17235" s="35">
        <v>16</v>
      </c>
      <c r="I17235" s="33" t="s">
        <v>21</v>
      </c>
      <c r="J17235" s="42">
        <v>45187</v>
      </c>
      <c r="K17235" s="33" t="s">
        <v>22</v>
      </c>
    </row>
    <row r="17236" spans="1:11">
      <c r="A17236" s="30" t="s">
        <v>38562</v>
      </c>
      <c r="B17236" s="30" t="s">
        <v>38563</v>
      </c>
      <c r="C17236" s="30" t="s">
        <v>2117</v>
      </c>
      <c r="D17236" s="30" t="s">
        <v>17</v>
      </c>
      <c r="E17236" s="30" t="s">
        <v>18</v>
      </c>
      <c r="F17236" s="30" t="s">
        <v>19</v>
      </c>
      <c r="G17236" s="30" t="s">
        <v>112</v>
      </c>
      <c r="H17236" s="32">
        <v>0</v>
      </c>
      <c r="I17236" s="30" t="s">
        <v>21</v>
      </c>
      <c r="J17236" s="41">
        <v>45261</v>
      </c>
      <c r="K17236" s="30" t="s">
        <v>22</v>
      </c>
    </row>
    <row r="17237" spans="1:11">
      <c r="A17237" s="33" t="s">
        <v>38564</v>
      </c>
      <c r="B17237" s="33" t="s">
        <v>38565</v>
      </c>
      <c r="C17237" s="33" t="s">
        <v>38566</v>
      </c>
      <c r="D17237" s="33" t="s">
        <v>17</v>
      </c>
      <c r="E17237" s="33" t="s">
        <v>26</v>
      </c>
      <c r="F17237" s="33" t="s">
        <v>27</v>
      </c>
      <c r="G17237" s="33" t="s">
        <v>106</v>
      </c>
      <c r="H17237" s="35">
        <v>1</v>
      </c>
      <c r="I17237" s="33" t="s">
        <v>21</v>
      </c>
      <c r="J17237" s="42">
        <v>44986</v>
      </c>
      <c r="K17237" s="33" t="s">
        <v>22</v>
      </c>
    </row>
    <row r="17238" spans="1:11">
      <c r="A17238" s="30" t="s">
        <v>38567</v>
      </c>
      <c r="B17238" s="30" t="s">
        <v>38568</v>
      </c>
      <c r="C17238" s="30" t="s">
        <v>136</v>
      </c>
      <c r="D17238" s="30" t="s">
        <v>17</v>
      </c>
      <c r="E17238" s="30" t="s">
        <v>26</v>
      </c>
      <c r="F17238" s="30" t="s">
        <v>27</v>
      </c>
      <c r="G17238" s="30" t="s">
        <v>20</v>
      </c>
      <c r="H17238" s="32">
        <v>67</v>
      </c>
      <c r="I17238" s="30" t="s">
        <v>21</v>
      </c>
      <c r="J17238" s="41">
        <v>45103</v>
      </c>
      <c r="K17238" s="30" t="s">
        <v>22</v>
      </c>
    </row>
    <row r="17239" spans="1:11">
      <c r="A17239" s="33" t="s">
        <v>38569</v>
      </c>
      <c r="B17239" s="33" t="s">
        <v>38570</v>
      </c>
      <c r="C17239" s="33" t="s">
        <v>9262</v>
      </c>
      <c r="D17239" s="33" t="s">
        <v>17</v>
      </c>
      <c r="E17239" s="33" t="s">
        <v>26</v>
      </c>
      <c r="F17239" s="33" t="s">
        <v>27</v>
      </c>
      <c r="G17239" s="33" t="s">
        <v>20</v>
      </c>
      <c r="H17239" s="35">
        <v>30</v>
      </c>
      <c r="I17239" s="33" t="s">
        <v>21</v>
      </c>
      <c r="J17239" s="42">
        <v>45146</v>
      </c>
      <c r="K17239" s="33" t="s">
        <v>22</v>
      </c>
    </row>
    <row r="17240" spans="1:11">
      <c r="A17240" s="30" t="s">
        <v>38571</v>
      </c>
      <c r="B17240" s="30" t="s">
        <v>38572</v>
      </c>
      <c r="C17240" s="30" t="s">
        <v>34989</v>
      </c>
      <c r="D17240" s="30" t="s">
        <v>17</v>
      </c>
      <c r="E17240" s="30" t="s">
        <v>26</v>
      </c>
      <c r="F17240" s="30" t="s">
        <v>27</v>
      </c>
      <c r="G17240" s="30" t="s">
        <v>20</v>
      </c>
      <c r="H17240" s="32">
        <v>12</v>
      </c>
      <c r="I17240" s="30" t="s">
        <v>21</v>
      </c>
      <c r="J17240" s="41">
        <v>45286</v>
      </c>
      <c r="K17240" s="30" t="s">
        <v>22</v>
      </c>
    </row>
    <row r="17241" spans="1:11">
      <c r="A17241" s="33" t="s">
        <v>38573</v>
      </c>
      <c r="B17241" s="33" t="s">
        <v>38574</v>
      </c>
      <c r="C17241" s="33" t="s">
        <v>2839</v>
      </c>
      <c r="D17241" s="33" t="s">
        <v>17</v>
      </c>
      <c r="E17241" s="33" t="s">
        <v>26</v>
      </c>
      <c r="F17241" s="33" t="s">
        <v>27</v>
      </c>
      <c r="G17241" s="33" t="s">
        <v>140</v>
      </c>
      <c r="H17241" s="35">
        <v>60</v>
      </c>
      <c r="I17241" s="33" t="s">
        <v>51</v>
      </c>
      <c r="J17241" s="42">
        <v>45250</v>
      </c>
      <c r="K17241" s="33" t="s">
        <v>22</v>
      </c>
    </row>
    <row r="17242" spans="1:11">
      <c r="A17242" s="30" t="s">
        <v>38575</v>
      </c>
      <c r="B17242" s="30" t="s">
        <v>38576</v>
      </c>
      <c r="C17242" s="30" t="s">
        <v>948</v>
      </c>
      <c r="D17242" s="30" t="s">
        <v>17</v>
      </c>
      <c r="E17242" s="30" t="s">
        <v>26</v>
      </c>
      <c r="F17242" s="30" t="s">
        <v>27</v>
      </c>
      <c r="G17242" s="30" t="s">
        <v>20</v>
      </c>
      <c r="H17242" s="32">
        <v>238</v>
      </c>
      <c r="I17242" s="30" t="s">
        <v>21</v>
      </c>
      <c r="J17242" s="41">
        <v>44943</v>
      </c>
      <c r="K17242" s="30" t="s">
        <v>22</v>
      </c>
    </row>
    <row r="17243" spans="1:11">
      <c r="A17243" s="33" t="s">
        <v>38577</v>
      </c>
      <c r="B17243" s="33" t="s">
        <v>38578</v>
      </c>
      <c r="C17243" s="33" t="s">
        <v>136</v>
      </c>
      <c r="D17243" s="33" t="s">
        <v>17</v>
      </c>
      <c r="E17243" s="33" t="s">
        <v>18</v>
      </c>
      <c r="F17243" s="33" t="s">
        <v>19</v>
      </c>
      <c r="G17243" s="33" t="s">
        <v>20</v>
      </c>
      <c r="H17243" s="35">
        <v>1613</v>
      </c>
      <c r="I17243" s="33" t="s">
        <v>21</v>
      </c>
      <c r="J17243" s="42">
        <v>45082</v>
      </c>
      <c r="K17243" s="33" t="s">
        <v>22</v>
      </c>
    </row>
    <row r="17244" spans="1:11">
      <c r="A17244" s="30" t="s">
        <v>38579</v>
      </c>
      <c r="B17244" s="30" t="s">
        <v>38580</v>
      </c>
      <c r="C17244" s="30" t="s">
        <v>1598</v>
      </c>
      <c r="D17244" s="30" t="s">
        <v>17</v>
      </c>
      <c r="E17244" s="30" t="s">
        <v>67</v>
      </c>
      <c r="F17244" s="30" t="s">
        <v>68</v>
      </c>
      <c r="G17244" s="30" t="s">
        <v>50</v>
      </c>
      <c r="H17244" s="32">
        <v>20</v>
      </c>
      <c r="I17244" s="30" t="s">
        <v>51</v>
      </c>
      <c r="J17244" s="41">
        <v>44995</v>
      </c>
      <c r="K17244" s="30" t="s">
        <v>22</v>
      </c>
    </row>
    <row r="17245" spans="1:11">
      <c r="A17245" s="33" t="s">
        <v>38581</v>
      </c>
      <c r="B17245" s="33" t="s">
        <v>38582</v>
      </c>
      <c r="C17245" s="33" t="s">
        <v>1598</v>
      </c>
      <c r="D17245" s="33" t="s">
        <v>17</v>
      </c>
      <c r="E17245" s="33" t="s">
        <v>26</v>
      </c>
      <c r="F17245" s="33" t="s">
        <v>27</v>
      </c>
      <c r="G17245" s="33" t="s">
        <v>20</v>
      </c>
      <c r="H17245" s="35">
        <v>6</v>
      </c>
      <c r="I17245" s="33" t="s">
        <v>21</v>
      </c>
      <c r="J17245" s="42">
        <v>44975</v>
      </c>
      <c r="K17245" s="33" t="s">
        <v>22</v>
      </c>
    </row>
    <row r="17246" spans="1:11">
      <c r="A17246" s="30" t="s">
        <v>38583</v>
      </c>
      <c r="B17246" s="30" t="s">
        <v>38584</v>
      </c>
      <c r="C17246" s="30" t="s">
        <v>38585</v>
      </c>
      <c r="D17246" s="30" t="s">
        <v>17</v>
      </c>
      <c r="E17246" s="30" t="s">
        <v>31</v>
      </c>
      <c r="F17246" s="30" t="s">
        <v>32</v>
      </c>
      <c r="G17246" s="30" t="s">
        <v>106</v>
      </c>
      <c r="H17246" s="32">
        <v>21</v>
      </c>
      <c r="I17246" s="30" t="s">
        <v>21</v>
      </c>
      <c r="J17246" s="41">
        <v>44974</v>
      </c>
      <c r="K17246" s="30" t="s">
        <v>22</v>
      </c>
    </row>
    <row r="17247" spans="1:11">
      <c r="A17247" s="33" t="s">
        <v>38586</v>
      </c>
      <c r="B17247" s="33" t="s">
        <v>38587</v>
      </c>
      <c r="C17247" s="33" t="s">
        <v>21474</v>
      </c>
      <c r="D17247" s="33" t="s">
        <v>17</v>
      </c>
      <c r="E17247" s="33" t="s">
        <v>67</v>
      </c>
      <c r="F17247" s="33" t="s">
        <v>68</v>
      </c>
      <c r="G17247" s="33" t="s">
        <v>106</v>
      </c>
      <c r="H17247" s="35">
        <v>7</v>
      </c>
      <c r="I17247" s="33" t="s">
        <v>21</v>
      </c>
      <c r="J17247" s="42">
        <v>45268</v>
      </c>
      <c r="K17247" s="33" t="s">
        <v>22</v>
      </c>
    </row>
    <row r="17248" spans="1:11">
      <c r="A17248" s="30" t="s">
        <v>38588</v>
      </c>
      <c r="B17248" s="30" t="s">
        <v>38589</v>
      </c>
      <c r="C17248" s="30" t="s">
        <v>1908</v>
      </c>
      <c r="D17248" s="30" t="s">
        <v>17</v>
      </c>
      <c r="E17248" s="30" t="s">
        <v>26</v>
      </c>
      <c r="F17248" s="30" t="s">
        <v>27</v>
      </c>
      <c r="G17248" s="30" t="s">
        <v>20</v>
      </c>
      <c r="H17248" s="32">
        <v>38</v>
      </c>
      <c r="I17248" s="30" t="s">
        <v>21</v>
      </c>
      <c r="J17248" s="41">
        <v>45116</v>
      </c>
      <c r="K17248" s="30" t="s">
        <v>22</v>
      </c>
    </row>
    <row r="17249" spans="1:11">
      <c r="A17249" s="33" t="s">
        <v>38590</v>
      </c>
      <c r="B17249" s="33" t="s">
        <v>38591</v>
      </c>
      <c r="C17249" s="33" t="s">
        <v>38592</v>
      </c>
      <c r="D17249" s="33" t="s">
        <v>17</v>
      </c>
      <c r="E17249" s="33" t="s">
        <v>26</v>
      </c>
      <c r="F17249" s="33" t="s">
        <v>27</v>
      </c>
      <c r="G17249" s="33" t="s">
        <v>20</v>
      </c>
      <c r="H17249" s="35">
        <v>64</v>
      </c>
      <c r="I17249" s="33" t="s">
        <v>21</v>
      </c>
      <c r="J17249" s="42">
        <v>45131</v>
      </c>
      <c r="K17249" s="33" t="s">
        <v>22</v>
      </c>
    </row>
    <row r="17250" spans="1:11">
      <c r="A17250" s="30" t="s">
        <v>38593</v>
      </c>
      <c r="B17250" s="30" t="s">
        <v>38594</v>
      </c>
      <c r="C17250" s="30" t="s">
        <v>130</v>
      </c>
      <c r="D17250" s="30" t="s">
        <v>17</v>
      </c>
      <c r="E17250" s="30" t="s">
        <v>26</v>
      </c>
      <c r="F17250" s="30" t="s">
        <v>27</v>
      </c>
      <c r="G17250" s="30" t="s">
        <v>20</v>
      </c>
      <c r="H17250" s="32">
        <v>43</v>
      </c>
      <c r="I17250" s="30" t="s">
        <v>21</v>
      </c>
      <c r="J17250" s="41">
        <v>44938</v>
      </c>
      <c r="K17250" s="30" t="s">
        <v>22</v>
      </c>
    </row>
    <row r="17251" spans="1:11">
      <c r="A17251" s="33" t="s">
        <v>38595</v>
      </c>
      <c r="B17251" s="33" t="s">
        <v>38596</v>
      </c>
      <c r="C17251" s="33" t="s">
        <v>329</v>
      </c>
      <c r="D17251" s="33" t="s">
        <v>17</v>
      </c>
      <c r="E17251" s="33" t="s">
        <v>18</v>
      </c>
      <c r="F17251" s="33" t="s">
        <v>19</v>
      </c>
      <c r="G17251" s="33" t="s">
        <v>158</v>
      </c>
      <c r="H17251" s="35">
        <v>2520</v>
      </c>
      <c r="I17251" s="33" t="s">
        <v>21</v>
      </c>
      <c r="J17251" s="42">
        <v>45149</v>
      </c>
      <c r="K17251" s="33" t="s">
        <v>22</v>
      </c>
    </row>
    <row r="17252" spans="1:11">
      <c r="A17252" s="30" t="s">
        <v>38597</v>
      </c>
      <c r="B17252" s="30" t="s">
        <v>38598</v>
      </c>
      <c r="C17252" s="30" t="s">
        <v>136</v>
      </c>
      <c r="D17252" s="30" t="s">
        <v>17</v>
      </c>
      <c r="E17252" s="30" t="s">
        <v>26</v>
      </c>
      <c r="F17252" s="30" t="s">
        <v>27</v>
      </c>
      <c r="G17252" s="30" t="s">
        <v>20</v>
      </c>
      <c r="H17252" s="32">
        <v>65</v>
      </c>
      <c r="I17252" s="30" t="s">
        <v>21</v>
      </c>
      <c r="J17252" s="41">
        <v>45019</v>
      </c>
      <c r="K17252" s="30" t="s">
        <v>22</v>
      </c>
    </row>
    <row r="17253" spans="1:11">
      <c r="A17253" s="33" t="s">
        <v>38599</v>
      </c>
      <c r="B17253" s="33" t="s">
        <v>38600</v>
      </c>
      <c r="C17253" s="33" t="s">
        <v>969</v>
      </c>
      <c r="D17253" s="33" t="s">
        <v>17</v>
      </c>
      <c r="E17253" s="33" t="s">
        <v>67</v>
      </c>
      <c r="F17253" s="33" t="s">
        <v>68</v>
      </c>
      <c r="G17253" s="33" t="s">
        <v>20</v>
      </c>
      <c r="H17253" s="35">
        <v>518</v>
      </c>
      <c r="I17253" s="33" t="s">
        <v>21</v>
      </c>
      <c r="J17253" s="42">
        <v>45141</v>
      </c>
      <c r="K17253" s="33" t="s">
        <v>22</v>
      </c>
    </row>
    <row r="17254" spans="1:11">
      <c r="A17254" s="30" t="s">
        <v>38601</v>
      </c>
      <c r="B17254" s="30" t="s">
        <v>38602</v>
      </c>
      <c r="C17254" s="30" t="s">
        <v>3429</v>
      </c>
      <c r="D17254" s="30" t="s">
        <v>17</v>
      </c>
      <c r="E17254" s="30" t="s">
        <v>26</v>
      </c>
      <c r="F17254" s="30" t="s">
        <v>27</v>
      </c>
      <c r="G17254" s="30" t="s">
        <v>20</v>
      </c>
      <c r="H17254" s="32">
        <v>30</v>
      </c>
      <c r="I17254" s="30" t="s">
        <v>21</v>
      </c>
      <c r="J17254" s="41">
        <v>45183</v>
      </c>
      <c r="K17254" s="30" t="s">
        <v>22</v>
      </c>
    </row>
    <row r="17255" spans="1:11">
      <c r="A17255" s="33" t="s">
        <v>38603</v>
      </c>
      <c r="B17255" s="33" t="s">
        <v>38604</v>
      </c>
      <c r="C17255" s="33" t="s">
        <v>644</v>
      </c>
      <c r="D17255" s="33" t="s">
        <v>17</v>
      </c>
      <c r="E17255" s="33" t="s">
        <v>31</v>
      </c>
      <c r="F17255" s="33" t="s">
        <v>32</v>
      </c>
      <c r="G17255" s="33" t="s">
        <v>140</v>
      </c>
      <c r="H17255" s="35">
        <v>40</v>
      </c>
      <c r="I17255" s="33" t="s">
        <v>51</v>
      </c>
      <c r="J17255" s="42">
        <v>45258</v>
      </c>
      <c r="K17255" s="33" t="s">
        <v>22</v>
      </c>
    </row>
    <row r="17256" spans="1:11">
      <c r="A17256" s="30" t="s">
        <v>38605</v>
      </c>
      <c r="B17256" s="30" t="s">
        <v>38606</v>
      </c>
      <c r="C17256" s="30" t="s">
        <v>318</v>
      </c>
      <c r="D17256" s="30" t="s">
        <v>17</v>
      </c>
      <c r="E17256" s="30" t="s">
        <v>212</v>
      </c>
      <c r="F17256" s="30" t="s">
        <v>213</v>
      </c>
      <c r="G17256" s="30" t="s">
        <v>20</v>
      </c>
      <c r="H17256" s="32">
        <v>100</v>
      </c>
      <c r="I17256" s="30" t="s">
        <v>21</v>
      </c>
      <c r="J17256" s="41">
        <v>45229</v>
      </c>
      <c r="K17256" s="30" t="s">
        <v>22</v>
      </c>
    </row>
    <row r="17257" spans="1:11">
      <c r="A17257" s="33" t="s">
        <v>38607</v>
      </c>
      <c r="B17257" s="33" t="s">
        <v>38608</v>
      </c>
      <c r="C17257" s="33" t="s">
        <v>709</v>
      </c>
      <c r="D17257" s="33" t="s">
        <v>17</v>
      </c>
      <c r="E17257" s="33" t="s">
        <v>26</v>
      </c>
      <c r="F17257" s="33" t="s">
        <v>27</v>
      </c>
      <c r="G17257" s="33" t="s">
        <v>140</v>
      </c>
      <c r="H17257" s="35">
        <v>37</v>
      </c>
      <c r="I17257" s="33" t="s">
        <v>51</v>
      </c>
      <c r="J17257" s="42">
        <v>45015</v>
      </c>
      <c r="K17257" s="33" t="s">
        <v>22</v>
      </c>
    </row>
    <row r="17258" spans="1:11">
      <c r="A17258" s="30" t="s">
        <v>38609</v>
      </c>
      <c r="B17258" s="30" t="s">
        <v>38610</v>
      </c>
      <c r="C17258" s="30" t="s">
        <v>647</v>
      </c>
      <c r="D17258" s="30" t="s">
        <v>17</v>
      </c>
      <c r="E17258" s="30" t="s">
        <v>26</v>
      </c>
      <c r="F17258" s="30" t="s">
        <v>27</v>
      </c>
      <c r="G17258" s="30" t="s">
        <v>20</v>
      </c>
      <c r="H17258" s="32">
        <v>161</v>
      </c>
      <c r="I17258" s="30" t="s">
        <v>21</v>
      </c>
      <c r="J17258" s="41">
        <v>45159</v>
      </c>
      <c r="K17258" s="30" t="s">
        <v>22</v>
      </c>
    </row>
    <row r="17259" spans="1:11">
      <c r="A17259" s="33" t="s">
        <v>38611</v>
      </c>
      <c r="B17259" s="33" t="s">
        <v>38612</v>
      </c>
      <c r="C17259" s="33" t="s">
        <v>1077</v>
      </c>
      <c r="D17259" s="33" t="s">
        <v>17</v>
      </c>
      <c r="E17259" s="33" t="s">
        <v>212</v>
      </c>
      <c r="F17259" s="33" t="s">
        <v>213</v>
      </c>
      <c r="G17259" s="33" t="s">
        <v>140</v>
      </c>
      <c r="H17259" s="35">
        <v>30</v>
      </c>
      <c r="I17259" s="33" t="s">
        <v>51</v>
      </c>
      <c r="J17259" s="42">
        <v>45190</v>
      </c>
      <c r="K17259" s="33" t="s">
        <v>22</v>
      </c>
    </row>
    <row r="17260" spans="1:11">
      <c r="A17260" s="30" t="s">
        <v>38613</v>
      </c>
      <c r="B17260" s="30" t="s">
        <v>38614</v>
      </c>
      <c r="C17260" s="30" t="s">
        <v>157</v>
      </c>
      <c r="D17260" s="30" t="s">
        <v>17</v>
      </c>
      <c r="E17260" s="30" t="s">
        <v>67</v>
      </c>
      <c r="F17260" s="30" t="s">
        <v>68</v>
      </c>
      <c r="G17260" s="30" t="s">
        <v>106</v>
      </c>
      <c r="H17260" s="32">
        <v>16</v>
      </c>
      <c r="I17260" s="30" t="s">
        <v>21</v>
      </c>
      <c r="J17260" s="41">
        <v>45118</v>
      </c>
      <c r="K17260" s="30" t="s">
        <v>22</v>
      </c>
    </row>
    <row r="17261" spans="1:11">
      <c r="A17261" s="33" t="s">
        <v>38615</v>
      </c>
      <c r="B17261" s="33" t="s">
        <v>38616</v>
      </c>
      <c r="C17261" s="33" t="s">
        <v>190</v>
      </c>
      <c r="D17261" s="33" t="s">
        <v>17</v>
      </c>
      <c r="E17261" s="33" t="s">
        <v>26</v>
      </c>
      <c r="F17261" s="33" t="s">
        <v>27</v>
      </c>
      <c r="G17261" s="33" t="s">
        <v>20</v>
      </c>
      <c r="H17261" s="35">
        <v>6</v>
      </c>
      <c r="I17261" s="33" t="s">
        <v>21</v>
      </c>
      <c r="J17261" s="42">
        <v>45041</v>
      </c>
      <c r="K17261" s="33" t="s">
        <v>22</v>
      </c>
    </row>
    <row r="17262" spans="1:11">
      <c r="A17262" s="30" t="s">
        <v>38617</v>
      </c>
      <c r="B17262" s="30" t="s">
        <v>38618</v>
      </c>
      <c r="C17262" s="30" t="s">
        <v>7691</v>
      </c>
      <c r="D17262" s="30" t="s">
        <v>17</v>
      </c>
      <c r="E17262" s="30" t="s">
        <v>18</v>
      </c>
      <c r="F17262" s="30" t="s">
        <v>19</v>
      </c>
      <c r="G17262" s="30" t="s">
        <v>20</v>
      </c>
      <c r="H17262" s="32">
        <v>594</v>
      </c>
      <c r="I17262" s="30" t="s">
        <v>21</v>
      </c>
      <c r="J17262" s="41">
        <v>45175</v>
      </c>
      <c r="K17262" s="30" t="s">
        <v>22</v>
      </c>
    </row>
    <row r="17263" spans="1:11">
      <c r="A17263" s="33" t="s">
        <v>38619</v>
      </c>
      <c r="B17263" s="33" t="s">
        <v>38620</v>
      </c>
      <c r="C17263" s="33" t="s">
        <v>11366</v>
      </c>
      <c r="D17263" s="33" t="s">
        <v>17</v>
      </c>
      <c r="E17263" s="33" t="s">
        <v>18</v>
      </c>
      <c r="F17263" s="33" t="s">
        <v>19</v>
      </c>
      <c r="G17263" s="33" t="s">
        <v>20</v>
      </c>
      <c r="H17263" s="35">
        <v>41</v>
      </c>
      <c r="I17263" s="33" t="s">
        <v>21</v>
      </c>
      <c r="J17263" s="42">
        <v>45037</v>
      </c>
      <c r="K17263" s="33" t="s">
        <v>22</v>
      </c>
    </row>
    <row r="17264" spans="1:11">
      <c r="A17264" s="30" t="s">
        <v>38621</v>
      </c>
      <c r="B17264" s="30" t="s">
        <v>38622</v>
      </c>
      <c r="C17264" s="30" t="s">
        <v>5251</v>
      </c>
      <c r="D17264" s="30" t="s">
        <v>17</v>
      </c>
      <c r="E17264" s="30" t="s">
        <v>18</v>
      </c>
      <c r="F17264" s="30" t="s">
        <v>19</v>
      </c>
      <c r="G17264" s="30" t="s">
        <v>50</v>
      </c>
      <c r="H17264" s="32">
        <v>500</v>
      </c>
      <c r="I17264" s="30" t="s">
        <v>51</v>
      </c>
      <c r="J17264" s="41">
        <v>45261</v>
      </c>
      <c r="K17264" s="30" t="s">
        <v>22</v>
      </c>
    </row>
    <row r="17265" spans="1:11">
      <c r="A17265" s="33" t="s">
        <v>38623</v>
      </c>
      <c r="B17265" s="33" t="s">
        <v>38624</v>
      </c>
      <c r="C17265" s="33" t="s">
        <v>3195</v>
      </c>
      <c r="D17265" s="33" t="s">
        <v>17</v>
      </c>
      <c r="E17265" s="33" t="s">
        <v>212</v>
      </c>
      <c r="F17265" s="33" t="s">
        <v>213</v>
      </c>
      <c r="G17265" s="33" t="s">
        <v>20</v>
      </c>
      <c r="H17265" s="35">
        <v>200</v>
      </c>
      <c r="I17265" s="33" t="s">
        <v>21</v>
      </c>
      <c r="J17265" s="42">
        <v>44980</v>
      </c>
      <c r="K17265" s="33" t="s">
        <v>22</v>
      </c>
    </row>
    <row r="17266" spans="1:11">
      <c r="A17266" s="30" t="s">
        <v>38625</v>
      </c>
      <c r="B17266" s="30" t="s">
        <v>38626</v>
      </c>
      <c r="C17266" s="30" t="s">
        <v>839</v>
      </c>
      <c r="D17266" s="30" t="s">
        <v>17</v>
      </c>
      <c r="E17266" s="30" t="s">
        <v>18</v>
      </c>
      <c r="F17266" s="30" t="s">
        <v>19</v>
      </c>
      <c r="G17266" s="30" t="s">
        <v>140</v>
      </c>
      <c r="H17266" s="32">
        <v>70</v>
      </c>
      <c r="I17266" s="30" t="s">
        <v>51</v>
      </c>
      <c r="J17266" s="41">
        <v>45288</v>
      </c>
      <c r="K17266" s="30" t="s">
        <v>22</v>
      </c>
    </row>
    <row r="17267" spans="1:11">
      <c r="A17267" s="33" t="s">
        <v>38627</v>
      </c>
      <c r="B17267" s="33" t="s">
        <v>38628</v>
      </c>
      <c r="C17267" s="33" t="s">
        <v>1598</v>
      </c>
      <c r="D17267" s="33" t="s">
        <v>17</v>
      </c>
      <c r="E17267" s="33" t="s">
        <v>67</v>
      </c>
      <c r="F17267" s="33" t="s">
        <v>68</v>
      </c>
      <c r="G17267" s="33" t="s">
        <v>140</v>
      </c>
      <c r="H17267" s="35">
        <v>368</v>
      </c>
      <c r="I17267" s="33" t="s">
        <v>51</v>
      </c>
      <c r="J17267" s="42">
        <v>45020</v>
      </c>
      <c r="K17267" s="33" t="s">
        <v>22</v>
      </c>
    </row>
    <row r="17268" spans="1:11">
      <c r="A17268" s="30" t="s">
        <v>38629</v>
      </c>
      <c r="B17268" s="30" t="s">
        <v>38630</v>
      </c>
      <c r="C17268" s="30" t="s">
        <v>20710</v>
      </c>
      <c r="D17268" s="30" t="s">
        <v>17</v>
      </c>
      <c r="E17268" s="30" t="s">
        <v>26</v>
      </c>
      <c r="F17268" s="30" t="s">
        <v>27</v>
      </c>
      <c r="G17268" s="30" t="s">
        <v>20</v>
      </c>
      <c r="H17268" s="32">
        <v>18</v>
      </c>
      <c r="I17268" s="30" t="s">
        <v>21</v>
      </c>
      <c r="J17268" s="41">
        <v>45119</v>
      </c>
      <c r="K17268" s="30" t="s">
        <v>22</v>
      </c>
    </row>
    <row r="17269" spans="1:11">
      <c r="A17269" s="33" t="s">
        <v>38631</v>
      </c>
      <c r="B17269" s="33" t="s">
        <v>38632</v>
      </c>
      <c r="C17269" s="33" t="s">
        <v>4557</v>
      </c>
      <c r="D17269" s="33" t="s">
        <v>17</v>
      </c>
      <c r="E17269" s="33" t="s">
        <v>31</v>
      </c>
      <c r="F17269" s="33" t="s">
        <v>32</v>
      </c>
      <c r="G17269" s="33" t="s">
        <v>158</v>
      </c>
      <c r="H17269" s="35">
        <v>88</v>
      </c>
      <c r="I17269" s="33" t="s">
        <v>51</v>
      </c>
      <c r="J17269" s="42">
        <v>44964</v>
      </c>
      <c r="K17269" s="33" t="s">
        <v>22</v>
      </c>
    </row>
    <row r="17270" spans="1:11">
      <c r="A17270" s="30" t="s">
        <v>38633</v>
      </c>
      <c r="B17270" s="30" t="s">
        <v>38634</v>
      </c>
      <c r="C17270" s="30" t="s">
        <v>38635</v>
      </c>
      <c r="D17270" s="30" t="s">
        <v>17</v>
      </c>
      <c r="E17270" s="30" t="s">
        <v>212</v>
      </c>
      <c r="F17270" s="30" t="s">
        <v>213</v>
      </c>
      <c r="G17270" s="30" t="s">
        <v>20</v>
      </c>
      <c r="H17270" s="32">
        <v>72</v>
      </c>
      <c r="I17270" s="30" t="s">
        <v>21</v>
      </c>
      <c r="J17270" s="41">
        <v>45200</v>
      </c>
      <c r="K17270" s="30" t="s">
        <v>22</v>
      </c>
    </row>
    <row r="17271" spans="1:11">
      <c r="A17271" s="33" t="s">
        <v>38636</v>
      </c>
      <c r="B17271" s="33" t="s">
        <v>38637</v>
      </c>
      <c r="C17271" s="33" t="s">
        <v>798</v>
      </c>
      <c r="D17271" s="33" t="s">
        <v>17</v>
      </c>
      <c r="E17271" s="33" t="s">
        <v>31</v>
      </c>
      <c r="F17271" s="33" t="s">
        <v>32</v>
      </c>
      <c r="G17271" s="33" t="s">
        <v>106</v>
      </c>
      <c r="H17271" s="35">
        <v>320</v>
      </c>
      <c r="I17271" s="33" t="s">
        <v>21</v>
      </c>
      <c r="J17271" s="42">
        <v>45246</v>
      </c>
      <c r="K17271" s="33" t="s">
        <v>22</v>
      </c>
    </row>
    <row r="17272" spans="1:11">
      <c r="A17272" s="30" t="s">
        <v>38638</v>
      </c>
      <c r="B17272" s="30" t="s">
        <v>38639</v>
      </c>
      <c r="C17272" s="30" t="s">
        <v>10515</v>
      </c>
      <c r="D17272" s="30" t="s">
        <v>17</v>
      </c>
      <c r="E17272" s="30" t="s">
        <v>26</v>
      </c>
      <c r="F17272" s="30" t="s">
        <v>27</v>
      </c>
      <c r="G17272" s="30" t="s">
        <v>106</v>
      </c>
      <c r="H17272" s="32">
        <v>57</v>
      </c>
      <c r="I17272" s="30" t="s">
        <v>21</v>
      </c>
      <c r="J17272" s="41">
        <v>44950</v>
      </c>
      <c r="K17272" s="30" t="s">
        <v>22</v>
      </c>
    </row>
    <row r="17273" spans="1:11">
      <c r="A17273" s="33" t="s">
        <v>38640</v>
      </c>
      <c r="B17273" s="33" t="s">
        <v>38641</v>
      </c>
      <c r="C17273" s="33" t="s">
        <v>21185</v>
      </c>
      <c r="D17273" s="33" t="s">
        <v>17</v>
      </c>
      <c r="E17273" s="33" t="s">
        <v>31</v>
      </c>
      <c r="F17273" s="33" t="s">
        <v>32</v>
      </c>
      <c r="G17273" s="33" t="s">
        <v>20</v>
      </c>
      <c r="H17273" s="35">
        <v>160</v>
      </c>
      <c r="I17273" s="33" t="s">
        <v>21</v>
      </c>
      <c r="J17273" s="42">
        <v>45288</v>
      </c>
      <c r="K17273" s="33" t="s">
        <v>22</v>
      </c>
    </row>
    <row r="17274" spans="1:11">
      <c r="A17274" s="30" t="s">
        <v>38642</v>
      </c>
      <c r="B17274" s="30" t="s">
        <v>38643</v>
      </c>
      <c r="C17274" s="30" t="s">
        <v>969</v>
      </c>
      <c r="D17274" s="30" t="s">
        <v>17</v>
      </c>
      <c r="E17274" s="30" t="s">
        <v>18</v>
      </c>
      <c r="F17274" s="30" t="s">
        <v>19</v>
      </c>
      <c r="G17274" s="30" t="s">
        <v>20</v>
      </c>
      <c r="H17274" s="32">
        <v>4</v>
      </c>
      <c r="I17274" s="30" t="s">
        <v>21</v>
      </c>
      <c r="J17274" s="41">
        <v>45175</v>
      </c>
      <c r="K17274" s="30" t="s">
        <v>22</v>
      </c>
    </row>
    <row r="17275" spans="1:11">
      <c r="A17275" s="33" t="s">
        <v>38644</v>
      </c>
      <c r="B17275" s="33" t="s">
        <v>38645</v>
      </c>
      <c r="C17275" s="33" t="s">
        <v>96</v>
      </c>
      <c r="D17275" s="33" t="s">
        <v>17</v>
      </c>
      <c r="E17275" s="33" t="s">
        <v>31</v>
      </c>
      <c r="F17275" s="33" t="s">
        <v>32</v>
      </c>
      <c r="G17275" s="33" t="s">
        <v>106</v>
      </c>
      <c r="H17275" s="35">
        <v>38</v>
      </c>
      <c r="I17275" s="33" t="s">
        <v>21</v>
      </c>
      <c r="J17275" s="42">
        <v>45090</v>
      </c>
      <c r="K17275" s="33" t="s">
        <v>22</v>
      </c>
    </row>
    <row r="17276" spans="1:11">
      <c r="A17276" s="30" t="s">
        <v>38646</v>
      </c>
      <c r="B17276" s="30" t="s">
        <v>38647</v>
      </c>
      <c r="C17276" s="30" t="s">
        <v>318</v>
      </c>
      <c r="D17276" s="30" t="s">
        <v>17</v>
      </c>
      <c r="E17276" s="30" t="s">
        <v>18</v>
      </c>
      <c r="F17276" s="30" t="s">
        <v>19</v>
      </c>
      <c r="G17276" s="30" t="s">
        <v>158</v>
      </c>
      <c r="H17276" s="32">
        <v>51</v>
      </c>
      <c r="I17276" s="30" t="s">
        <v>21</v>
      </c>
      <c r="J17276" s="41">
        <v>45223</v>
      </c>
      <c r="K17276" s="30" t="s">
        <v>22</v>
      </c>
    </row>
    <row r="17277" spans="1:11">
      <c r="A17277" s="33" t="s">
        <v>38648</v>
      </c>
      <c r="B17277" s="33" t="s">
        <v>38649</v>
      </c>
      <c r="C17277" s="33" t="s">
        <v>20075</v>
      </c>
      <c r="D17277" s="33" t="s">
        <v>17</v>
      </c>
      <c r="E17277" s="33" t="s">
        <v>31</v>
      </c>
      <c r="F17277" s="33" t="s">
        <v>32</v>
      </c>
      <c r="G17277" s="33" t="s">
        <v>106</v>
      </c>
      <c r="H17277" s="35">
        <v>38</v>
      </c>
      <c r="I17277" s="33" t="s">
        <v>21</v>
      </c>
      <c r="J17277" s="42">
        <v>45112</v>
      </c>
      <c r="K17277" s="33" t="s">
        <v>22</v>
      </c>
    </row>
    <row r="17278" spans="1:11">
      <c r="A17278" s="30" t="s">
        <v>38650</v>
      </c>
      <c r="B17278" s="30" t="s">
        <v>38651</v>
      </c>
      <c r="C17278" s="30" t="s">
        <v>3655</v>
      </c>
      <c r="D17278" s="30" t="s">
        <v>17</v>
      </c>
      <c r="E17278" s="30" t="s">
        <v>67</v>
      </c>
      <c r="F17278" s="30" t="s">
        <v>68</v>
      </c>
      <c r="G17278" s="30" t="s">
        <v>20</v>
      </c>
      <c r="H17278" s="32">
        <v>163</v>
      </c>
      <c r="I17278" s="30" t="s">
        <v>21</v>
      </c>
      <c r="J17278" s="41">
        <v>45243</v>
      </c>
      <c r="K17278" s="30" t="s">
        <v>22</v>
      </c>
    </row>
    <row r="17279" spans="1:11">
      <c r="A17279" s="33" t="s">
        <v>38652</v>
      </c>
      <c r="B17279" s="33" t="s">
        <v>38653</v>
      </c>
      <c r="C17279" s="33" t="s">
        <v>804</v>
      </c>
      <c r="D17279" s="33" t="s">
        <v>17</v>
      </c>
      <c r="E17279" s="33" t="s">
        <v>31</v>
      </c>
      <c r="F17279" s="33" t="s">
        <v>32</v>
      </c>
      <c r="G17279" s="33" t="s">
        <v>106</v>
      </c>
      <c r="H17279" s="35">
        <v>27</v>
      </c>
      <c r="I17279" s="33" t="s">
        <v>21</v>
      </c>
      <c r="J17279" s="42">
        <v>45198</v>
      </c>
      <c r="K17279" s="33" t="s">
        <v>22</v>
      </c>
    </row>
    <row r="17280" spans="1:11">
      <c r="A17280" s="30" t="s">
        <v>38654</v>
      </c>
      <c r="B17280" s="30" t="s">
        <v>38655</v>
      </c>
      <c r="C17280" s="30" t="s">
        <v>38656</v>
      </c>
      <c r="D17280" s="30" t="s">
        <v>17</v>
      </c>
      <c r="E17280" s="30" t="s">
        <v>45</v>
      </c>
      <c r="F17280" s="30" t="s">
        <v>46</v>
      </c>
      <c r="G17280" s="30" t="s">
        <v>158</v>
      </c>
      <c r="H17280" s="32">
        <v>120</v>
      </c>
      <c r="I17280" s="30" t="s">
        <v>51</v>
      </c>
      <c r="J17280" s="41">
        <v>45184</v>
      </c>
      <c r="K17280" s="30" t="s">
        <v>22</v>
      </c>
    </row>
    <row r="17281" spans="1:11">
      <c r="A17281" s="33" t="s">
        <v>38657</v>
      </c>
      <c r="B17281" s="33" t="s">
        <v>38658</v>
      </c>
      <c r="C17281" s="33" t="s">
        <v>6127</v>
      </c>
      <c r="D17281" s="33" t="s">
        <v>17</v>
      </c>
      <c r="E17281" s="33" t="s">
        <v>26</v>
      </c>
      <c r="F17281" s="33" t="s">
        <v>27</v>
      </c>
      <c r="G17281" s="33" t="s">
        <v>20</v>
      </c>
      <c r="H17281" s="35">
        <v>96</v>
      </c>
      <c r="I17281" s="33" t="s">
        <v>21</v>
      </c>
      <c r="J17281" s="42">
        <v>44942</v>
      </c>
      <c r="K17281" s="33" t="s">
        <v>22</v>
      </c>
    </row>
    <row r="17282" spans="1:11">
      <c r="A17282" s="30" t="s">
        <v>38659</v>
      </c>
      <c r="B17282" s="30" t="s">
        <v>38660</v>
      </c>
      <c r="C17282" s="30" t="s">
        <v>5251</v>
      </c>
      <c r="D17282" s="30" t="s">
        <v>17</v>
      </c>
      <c r="E17282" s="30" t="s">
        <v>31</v>
      </c>
      <c r="F17282" s="30" t="s">
        <v>32</v>
      </c>
      <c r="G17282" s="30" t="s">
        <v>20</v>
      </c>
      <c r="H17282" s="32">
        <v>142</v>
      </c>
      <c r="I17282" s="30" t="s">
        <v>21</v>
      </c>
      <c r="J17282" s="41">
        <v>45268</v>
      </c>
      <c r="K17282" s="30" t="s">
        <v>22</v>
      </c>
    </row>
    <row r="17283" spans="1:11">
      <c r="A17283" s="33" t="s">
        <v>38661</v>
      </c>
      <c r="B17283" s="33" t="s">
        <v>38662</v>
      </c>
      <c r="C17283" s="33" t="s">
        <v>38663</v>
      </c>
      <c r="D17283" s="33" t="s">
        <v>17</v>
      </c>
      <c r="E17283" s="33" t="s">
        <v>31</v>
      </c>
      <c r="F17283" s="33" t="s">
        <v>32</v>
      </c>
      <c r="G17283" s="33" t="s">
        <v>158</v>
      </c>
      <c r="H17283" s="35">
        <v>70</v>
      </c>
      <c r="I17283" s="33" t="s">
        <v>51</v>
      </c>
      <c r="J17283" s="42">
        <v>45282</v>
      </c>
      <c r="K17283" s="33" t="s">
        <v>22</v>
      </c>
    </row>
    <row r="17284" spans="1:11">
      <c r="A17284" s="30" t="s">
        <v>38664</v>
      </c>
      <c r="B17284" s="30" t="s">
        <v>38665</v>
      </c>
      <c r="C17284" s="30" t="s">
        <v>2434</v>
      </c>
      <c r="D17284" s="30" t="s">
        <v>17</v>
      </c>
      <c r="E17284" s="30" t="s">
        <v>26</v>
      </c>
      <c r="F17284" s="30" t="s">
        <v>27</v>
      </c>
      <c r="G17284" s="30" t="s">
        <v>158</v>
      </c>
      <c r="H17284" s="32">
        <v>14</v>
      </c>
      <c r="I17284" s="30" t="s">
        <v>21</v>
      </c>
      <c r="J17284" s="41">
        <v>44970</v>
      </c>
      <c r="K17284" s="30" t="s">
        <v>22</v>
      </c>
    </row>
    <row r="17285" spans="1:11">
      <c r="A17285" s="33" t="s">
        <v>38666</v>
      </c>
      <c r="B17285" s="33" t="s">
        <v>38667</v>
      </c>
      <c r="C17285" s="33" t="s">
        <v>5169</v>
      </c>
      <c r="D17285" s="33" t="s">
        <v>17</v>
      </c>
      <c r="E17285" s="33" t="s">
        <v>67</v>
      </c>
      <c r="F17285" s="33" t="s">
        <v>68</v>
      </c>
      <c r="G17285" s="33" t="s">
        <v>140</v>
      </c>
      <c r="H17285" s="35">
        <v>315</v>
      </c>
      <c r="I17285" s="33" t="s">
        <v>51</v>
      </c>
      <c r="J17285" s="42">
        <v>45225</v>
      </c>
      <c r="K17285" s="33" t="s">
        <v>22</v>
      </c>
    </row>
    <row r="17286" spans="1:11">
      <c r="A17286" s="30" t="s">
        <v>38668</v>
      </c>
      <c r="B17286" s="30" t="s">
        <v>38669</v>
      </c>
      <c r="C17286" s="30" t="s">
        <v>5246</v>
      </c>
      <c r="D17286" s="30" t="s">
        <v>17</v>
      </c>
      <c r="E17286" s="30" t="s">
        <v>26</v>
      </c>
      <c r="F17286" s="30" t="s">
        <v>27</v>
      </c>
      <c r="G17286" s="30" t="s">
        <v>20</v>
      </c>
      <c r="H17286" s="32">
        <v>6</v>
      </c>
      <c r="I17286" s="30" t="s">
        <v>21</v>
      </c>
      <c r="J17286" s="41">
        <v>45010</v>
      </c>
      <c r="K17286" s="30" t="s">
        <v>22</v>
      </c>
    </row>
    <row r="17287" spans="1:11">
      <c r="A17287" s="33" t="s">
        <v>38670</v>
      </c>
      <c r="B17287" s="33" t="s">
        <v>38671</v>
      </c>
      <c r="C17287" s="33" t="s">
        <v>969</v>
      </c>
      <c r="D17287" s="33" t="s">
        <v>17</v>
      </c>
      <c r="E17287" s="33" t="s">
        <v>26</v>
      </c>
      <c r="F17287" s="33" t="s">
        <v>27</v>
      </c>
      <c r="G17287" s="33" t="s">
        <v>112</v>
      </c>
      <c r="H17287" s="35">
        <v>0</v>
      </c>
      <c r="I17287" s="33" t="s">
        <v>21</v>
      </c>
      <c r="J17287" s="42">
        <v>44965</v>
      </c>
      <c r="K17287" s="33" t="s">
        <v>22</v>
      </c>
    </row>
    <row r="17288" spans="1:11">
      <c r="A17288" s="30" t="s">
        <v>38672</v>
      </c>
      <c r="B17288" s="30" t="s">
        <v>38673</v>
      </c>
      <c r="C17288" s="30" t="s">
        <v>93</v>
      </c>
      <c r="D17288" s="30" t="s">
        <v>17</v>
      </c>
      <c r="E17288" s="30" t="s">
        <v>31</v>
      </c>
      <c r="F17288" s="30" t="s">
        <v>32</v>
      </c>
      <c r="G17288" s="30" t="s">
        <v>20</v>
      </c>
      <c r="H17288" s="32">
        <v>263</v>
      </c>
      <c r="I17288" s="30" t="s">
        <v>21</v>
      </c>
      <c r="J17288" s="41">
        <v>45082</v>
      </c>
      <c r="K17288" s="30" t="s">
        <v>22</v>
      </c>
    </row>
    <row r="17289" spans="1:11">
      <c r="A17289" s="33" t="s">
        <v>38674</v>
      </c>
      <c r="B17289" s="33" t="s">
        <v>38675</v>
      </c>
      <c r="C17289" s="33" t="s">
        <v>216</v>
      </c>
      <c r="D17289" s="33" t="s">
        <v>17</v>
      </c>
      <c r="E17289" s="33" t="s">
        <v>45</v>
      </c>
      <c r="F17289" s="33" t="s">
        <v>46</v>
      </c>
      <c r="G17289" s="33" t="s">
        <v>140</v>
      </c>
      <c r="H17289" s="35">
        <v>526</v>
      </c>
      <c r="I17289" s="33" t="s">
        <v>51</v>
      </c>
      <c r="J17289" s="42">
        <v>45273</v>
      </c>
      <c r="K17289" s="33" t="s">
        <v>22</v>
      </c>
    </row>
    <row r="17290" spans="1:11">
      <c r="A17290" s="30" t="s">
        <v>38676</v>
      </c>
      <c r="B17290" s="30" t="s">
        <v>38677</v>
      </c>
      <c r="C17290" s="30" t="s">
        <v>44</v>
      </c>
      <c r="D17290" s="30" t="s">
        <v>17</v>
      </c>
      <c r="E17290" s="30" t="s">
        <v>26</v>
      </c>
      <c r="F17290" s="30" t="s">
        <v>27</v>
      </c>
      <c r="G17290" s="30" t="s">
        <v>140</v>
      </c>
      <c r="H17290" s="32">
        <v>50</v>
      </c>
      <c r="I17290" s="30" t="s">
        <v>51</v>
      </c>
      <c r="J17290" s="41">
        <v>44964</v>
      </c>
      <c r="K17290" s="30" t="s">
        <v>22</v>
      </c>
    </row>
    <row r="17291" spans="1:11">
      <c r="A17291" s="33" t="s">
        <v>38678</v>
      </c>
      <c r="B17291" s="33" t="s">
        <v>38679</v>
      </c>
      <c r="C17291" s="33" t="s">
        <v>3892</v>
      </c>
      <c r="D17291" s="33" t="s">
        <v>17</v>
      </c>
      <c r="E17291" s="33" t="s">
        <v>31</v>
      </c>
      <c r="F17291" s="33" t="s">
        <v>32</v>
      </c>
      <c r="G17291" s="33" t="s">
        <v>20</v>
      </c>
      <c r="H17291" s="35">
        <v>262</v>
      </c>
      <c r="I17291" s="33" t="s">
        <v>21</v>
      </c>
      <c r="J17291" s="42">
        <v>45189</v>
      </c>
      <c r="K17291" s="33" t="s">
        <v>22</v>
      </c>
    </row>
    <row r="17292" spans="1:11">
      <c r="A17292" s="30" t="s">
        <v>38680</v>
      </c>
      <c r="B17292" s="30" t="s">
        <v>38681</v>
      </c>
      <c r="C17292" s="30" t="s">
        <v>38682</v>
      </c>
      <c r="D17292" s="30" t="s">
        <v>17</v>
      </c>
      <c r="E17292" s="30" t="s">
        <v>26</v>
      </c>
      <c r="F17292" s="30" t="s">
        <v>27</v>
      </c>
      <c r="G17292" s="30" t="s">
        <v>140</v>
      </c>
      <c r="H17292" s="32">
        <v>32</v>
      </c>
      <c r="I17292" s="30" t="s">
        <v>51</v>
      </c>
      <c r="J17292" s="41">
        <v>45124</v>
      </c>
      <c r="K17292" s="30" t="s">
        <v>22</v>
      </c>
    </row>
    <row r="17293" spans="1:11">
      <c r="A17293" s="33" t="s">
        <v>38683</v>
      </c>
      <c r="B17293" s="33" t="s">
        <v>38684</v>
      </c>
      <c r="C17293" s="33" t="s">
        <v>3350</v>
      </c>
      <c r="D17293" s="33" t="s">
        <v>17</v>
      </c>
      <c r="E17293" s="33" t="s">
        <v>26</v>
      </c>
      <c r="F17293" s="33" t="s">
        <v>27</v>
      </c>
      <c r="G17293" s="33" t="s">
        <v>20</v>
      </c>
      <c r="H17293" s="35">
        <v>40</v>
      </c>
      <c r="I17293" s="33" t="s">
        <v>21</v>
      </c>
      <c r="J17293" s="42">
        <v>45007</v>
      </c>
      <c r="K17293" s="33" t="s">
        <v>22</v>
      </c>
    </row>
    <row r="17294" spans="1:11">
      <c r="A17294" s="30" t="s">
        <v>38685</v>
      </c>
      <c r="B17294" s="30" t="s">
        <v>38686</v>
      </c>
      <c r="C17294" s="30" t="s">
        <v>11772</v>
      </c>
      <c r="D17294" s="30" t="s">
        <v>17</v>
      </c>
      <c r="E17294" s="30" t="s">
        <v>26</v>
      </c>
      <c r="F17294" s="30" t="s">
        <v>27</v>
      </c>
      <c r="G17294" s="30" t="s">
        <v>20</v>
      </c>
      <c r="H17294" s="32">
        <v>37</v>
      </c>
      <c r="I17294" s="30" t="s">
        <v>21</v>
      </c>
      <c r="J17294" s="41">
        <v>45222</v>
      </c>
      <c r="K17294" s="30" t="s">
        <v>22</v>
      </c>
    </row>
    <row r="17295" spans="1:11">
      <c r="A17295" s="33" t="s">
        <v>38687</v>
      </c>
      <c r="B17295" s="33" t="s">
        <v>38688</v>
      </c>
      <c r="C17295" s="33" t="s">
        <v>10079</v>
      </c>
      <c r="D17295" s="33" t="s">
        <v>17</v>
      </c>
      <c r="E17295" s="33" t="s">
        <v>18</v>
      </c>
      <c r="F17295" s="33" t="s">
        <v>19</v>
      </c>
      <c r="G17295" s="33" t="s">
        <v>20</v>
      </c>
      <c r="H17295" s="35">
        <v>286</v>
      </c>
      <c r="I17295" s="33" t="s">
        <v>21</v>
      </c>
      <c r="J17295" s="42">
        <v>45022</v>
      </c>
      <c r="K17295" s="33" t="s">
        <v>22</v>
      </c>
    </row>
    <row r="17296" spans="1:11">
      <c r="A17296" s="30" t="s">
        <v>38689</v>
      </c>
      <c r="B17296" s="30" t="s">
        <v>38690</v>
      </c>
      <c r="C17296" s="30" t="s">
        <v>203</v>
      </c>
      <c r="D17296" s="30" t="s">
        <v>17</v>
      </c>
      <c r="E17296" s="30" t="s">
        <v>18</v>
      </c>
      <c r="F17296" s="30" t="s">
        <v>19</v>
      </c>
      <c r="G17296" s="30" t="s">
        <v>20</v>
      </c>
      <c r="H17296" s="32">
        <v>63</v>
      </c>
      <c r="I17296" s="30" t="s">
        <v>21</v>
      </c>
      <c r="J17296" s="41">
        <v>45062</v>
      </c>
      <c r="K17296" s="30" t="s">
        <v>22</v>
      </c>
    </row>
    <row r="17297" spans="1:11">
      <c r="A17297" s="33" t="s">
        <v>38691</v>
      </c>
      <c r="B17297" s="33" t="s">
        <v>38692</v>
      </c>
      <c r="C17297" s="33" t="s">
        <v>32824</v>
      </c>
      <c r="D17297" s="33" t="s">
        <v>17</v>
      </c>
      <c r="E17297" s="33" t="s">
        <v>31</v>
      </c>
      <c r="F17297" s="33" t="s">
        <v>32</v>
      </c>
      <c r="G17297" s="33" t="s">
        <v>50</v>
      </c>
      <c r="H17297" s="35">
        <v>42</v>
      </c>
      <c r="I17297" s="33" t="s">
        <v>51</v>
      </c>
      <c r="J17297" s="42">
        <v>45250</v>
      </c>
      <c r="K17297" s="33" t="s">
        <v>22</v>
      </c>
    </row>
    <row r="17298" spans="1:11">
      <c r="A17298" s="30" t="s">
        <v>38693</v>
      </c>
      <c r="B17298" s="30" t="s">
        <v>38694</v>
      </c>
      <c r="C17298" s="30" t="s">
        <v>33443</v>
      </c>
      <c r="D17298" s="30" t="s">
        <v>17</v>
      </c>
      <c r="E17298" s="30" t="s">
        <v>26</v>
      </c>
      <c r="F17298" s="30" t="s">
        <v>27</v>
      </c>
      <c r="G17298" s="30" t="s">
        <v>50</v>
      </c>
      <c r="H17298" s="32">
        <v>38</v>
      </c>
      <c r="I17298" s="30" t="s">
        <v>21</v>
      </c>
      <c r="J17298" s="41">
        <v>45153</v>
      </c>
      <c r="K17298" s="30" t="s">
        <v>22</v>
      </c>
    </row>
    <row r="17299" spans="1:11">
      <c r="A17299" s="33" t="s">
        <v>38695</v>
      </c>
      <c r="B17299" s="33" t="s">
        <v>38696</v>
      </c>
      <c r="C17299" s="33" t="s">
        <v>38697</v>
      </c>
      <c r="D17299" s="33" t="s">
        <v>17</v>
      </c>
      <c r="E17299" s="33" t="s">
        <v>26</v>
      </c>
      <c r="F17299" s="33" t="s">
        <v>27</v>
      </c>
      <c r="G17299" s="33" t="s">
        <v>20</v>
      </c>
      <c r="H17299" s="35">
        <v>29</v>
      </c>
      <c r="I17299" s="33" t="s">
        <v>21</v>
      </c>
      <c r="J17299" s="42">
        <v>45013</v>
      </c>
      <c r="K17299" s="33" t="s">
        <v>22</v>
      </c>
    </row>
    <row r="17300" spans="1:11">
      <c r="A17300" s="30" t="s">
        <v>38698</v>
      </c>
      <c r="B17300" s="30" t="s">
        <v>38699</v>
      </c>
      <c r="C17300" s="30" t="s">
        <v>5636</v>
      </c>
      <c r="D17300" s="30" t="s">
        <v>17</v>
      </c>
      <c r="E17300" s="30" t="s">
        <v>18</v>
      </c>
      <c r="F17300" s="30" t="s">
        <v>19</v>
      </c>
      <c r="G17300" s="30" t="s">
        <v>7780</v>
      </c>
      <c r="H17300" s="32">
        <v>500</v>
      </c>
      <c r="I17300" s="30" t="s">
        <v>51</v>
      </c>
      <c r="J17300" s="41">
        <v>44958</v>
      </c>
      <c r="K17300" s="30" t="s">
        <v>22</v>
      </c>
    </row>
    <row r="17301" spans="1:11">
      <c r="A17301" s="33" t="s">
        <v>38700</v>
      </c>
      <c r="B17301" s="33" t="s">
        <v>38701</v>
      </c>
      <c r="C17301" s="33" t="s">
        <v>38702</v>
      </c>
      <c r="D17301" s="33" t="s">
        <v>17</v>
      </c>
      <c r="E17301" s="33" t="s">
        <v>67</v>
      </c>
      <c r="F17301" s="33" t="s">
        <v>68</v>
      </c>
      <c r="G17301" s="33" t="s">
        <v>50</v>
      </c>
      <c r="H17301" s="35">
        <v>40</v>
      </c>
      <c r="I17301" s="33" t="s">
        <v>51</v>
      </c>
      <c r="J17301" s="42">
        <v>45223</v>
      </c>
      <c r="K17301" s="33" t="s">
        <v>22</v>
      </c>
    </row>
    <row r="17302" spans="1:11">
      <c r="A17302" s="30" t="s">
        <v>38703</v>
      </c>
      <c r="B17302" s="30" t="s">
        <v>38704</v>
      </c>
      <c r="C17302" s="30" t="s">
        <v>310</v>
      </c>
      <c r="D17302" s="30" t="s">
        <v>17</v>
      </c>
      <c r="E17302" s="30" t="s">
        <v>26</v>
      </c>
      <c r="F17302" s="30" t="s">
        <v>27</v>
      </c>
      <c r="G17302" s="30" t="s">
        <v>20</v>
      </c>
      <c r="H17302" s="32">
        <v>32</v>
      </c>
      <c r="I17302" s="30" t="s">
        <v>21</v>
      </c>
      <c r="J17302" s="41">
        <v>45021</v>
      </c>
      <c r="K17302" s="30" t="s">
        <v>22</v>
      </c>
    </row>
    <row r="17303" spans="1:11">
      <c r="A17303" s="33" t="s">
        <v>38705</v>
      </c>
      <c r="B17303" s="33" t="s">
        <v>38706</v>
      </c>
      <c r="C17303" s="33" t="s">
        <v>6784</v>
      </c>
      <c r="D17303" s="33" t="s">
        <v>17</v>
      </c>
      <c r="E17303" s="33" t="s">
        <v>31</v>
      </c>
      <c r="F17303" s="33" t="s">
        <v>32</v>
      </c>
      <c r="G17303" s="33" t="s">
        <v>112</v>
      </c>
      <c r="H17303" s="35">
        <v>0</v>
      </c>
      <c r="I17303" s="33" t="s">
        <v>21</v>
      </c>
      <c r="J17303" s="42">
        <v>45170</v>
      </c>
      <c r="K17303" s="33" t="s">
        <v>22</v>
      </c>
    </row>
    <row r="17304" spans="1:11">
      <c r="A17304" s="30" t="s">
        <v>38707</v>
      </c>
      <c r="B17304" s="30" t="s">
        <v>38708</v>
      </c>
      <c r="C17304" s="30" t="s">
        <v>2472</v>
      </c>
      <c r="D17304" s="30" t="s">
        <v>17</v>
      </c>
      <c r="E17304" s="30" t="s">
        <v>67</v>
      </c>
      <c r="F17304" s="30" t="s">
        <v>68</v>
      </c>
      <c r="G17304" s="30" t="s">
        <v>20</v>
      </c>
      <c r="H17304" s="32">
        <v>351</v>
      </c>
      <c r="I17304" s="30" t="s">
        <v>21</v>
      </c>
      <c r="J17304" s="41">
        <v>45153</v>
      </c>
      <c r="K17304" s="30" t="s">
        <v>22</v>
      </c>
    </row>
    <row r="17305" spans="1:11">
      <c r="A17305" s="33" t="s">
        <v>38709</v>
      </c>
      <c r="B17305" s="33" t="s">
        <v>38710</v>
      </c>
      <c r="C17305" s="33" t="s">
        <v>32608</v>
      </c>
      <c r="D17305" s="33" t="s">
        <v>17</v>
      </c>
      <c r="E17305" s="33" t="s">
        <v>31</v>
      </c>
      <c r="F17305" s="33" t="s">
        <v>32</v>
      </c>
      <c r="G17305" s="33" t="s">
        <v>158</v>
      </c>
      <c r="H17305" s="35">
        <v>87</v>
      </c>
      <c r="I17305" s="33" t="s">
        <v>51</v>
      </c>
      <c r="J17305" s="42">
        <v>45016</v>
      </c>
      <c r="K17305" s="33" t="s">
        <v>22</v>
      </c>
    </row>
    <row r="17306" spans="1:11">
      <c r="A17306" s="30" t="s">
        <v>38711</v>
      </c>
      <c r="B17306" s="30" t="s">
        <v>38712</v>
      </c>
      <c r="C17306" s="30" t="s">
        <v>570</v>
      </c>
      <c r="D17306" s="30" t="s">
        <v>17</v>
      </c>
      <c r="E17306" s="30" t="s">
        <v>26</v>
      </c>
      <c r="F17306" s="30" t="s">
        <v>27</v>
      </c>
      <c r="G17306" s="30" t="s">
        <v>50</v>
      </c>
      <c r="H17306" s="32">
        <v>168</v>
      </c>
      <c r="I17306" s="30" t="s">
        <v>51</v>
      </c>
      <c r="J17306" s="41">
        <v>45272</v>
      </c>
      <c r="K17306" s="30" t="s">
        <v>22</v>
      </c>
    </row>
    <row r="17307" spans="1:11">
      <c r="A17307" s="33" t="s">
        <v>38713</v>
      </c>
      <c r="B17307" s="33" t="s">
        <v>38714</v>
      </c>
      <c r="C17307" s="33" t="s">
        <v>382</v>
      </c>
      <c r="D17307" s="33" t="s">
        <v>17</v>
      </c>
      <c r="E17307" s="33" t="s">
        <v>31</v>
      </c>
      <c r="F17307" s="33" t="s">
        <v>32</v>
      </c>
      <c r="G17307" s="33" t="s">
        <v>20</v>
      </c>
      <c r="H17307" s="35">
        <v>212</v>
      </c>
      <c r="I17307" s="33" t="s">
        <v>21</v>
      </c>
      <c r="J17307" s="42">
        <v>45134</v>
      </c>
      <c r="K17307" s="33" t="s">
        <v>22</v>
      </c>
    </row>
    <row r="17308" spans="1:11">
      <c r="A17308" s="30" t="s">
        <v>38715</v>
      </c>
      <c r="B17308" s="30" t="s">
        <v>38716</v>
      </c>
      <c r="C17308" s="30" t="s">
        <v>154</v>
      </c>
      <c r="D17308" s="30" t="s">
        <v>17</v>
      </c>
      <c r="E17308" s="30" t="s">
        <v>26</v>
      </c>
      <c r="F17308" s="30" t="s">
        <v>27</v>
      </c>
      <c r="G17308" s="30" t="s">
        <v>20</v>
      </c>
      <c r="H17308" s="32">
        <v>58</v>
      </c>
      <c r="I17308" s="30" t="s">
        <v>21</v>
      </c>
      <c r="J17308" s="41">
        <v>44992</v>
      </c>
      <c r="K17308" s="30" t="s">
        <v>22</v>
      </c>
    </row>
    <row r="17309" spans="1:11">
      <c r="A17309" s="33" t="s">
        <v>38717</v>
      </c>
      <c r="B17309" s="33" t="s">
        <v>38718</v>
      </c>
      <c r="C17309" s="33" t="s">
        <v>7020</v>
      </c>
      <c r="D17309" s="33" t="s">
        <v>17</v>
      </c>
      <c r="E17309" s="33" t="s">
        <v>26</v>
      </c>
      <c r="F17309" s="33" t="s">
        <v>27</v>
      </c>
      <c r="G17309" s="33" t="s">
        <v>20</v>
      </c>
      <c r="H17309" s="35">
        <v>11</v>
      </c>
      <c r="I17309" s="33" t="s">
        <v>21</v>
      </c>
      <c r="J17309" s="42">
        <v>45016</v>
      </c>
      <c r="K17309" s="33" t="s">
        <v>22</v>
      </c>
    </row>
    <row r="17310" spans="1:11">
      <c r="A17310" s="30" t="s">
        <v>38719</v>
      </c>
      <c r="B17310" s="30" t="s">
        <v>38720</v>
      </c>
      <c r="C17310" s="30" t="s">
        <v>426</v>
      </c>
      <c r="D17310" s="30" t="s">
        <v>17</v>
      </c>
      <c r="E17310" s="30" t="s">
        <v>18</v>
      </c>
      <c r="F17310" s="30" t="s">
        <v>19</v>
      </c>
      <c r="G17310" s="30" t="s">
        <v>140</v>
      </c>
      <c r="H17310" s="32">
        <v>350</v>
      </c>
      <c r="I17310" s="30" t="s">
        <v>51</v>
      </c>
      <c r="J17310" s="41">
        <v>45169</v>
      </c>
      <c r="K17310" s="30" t="s">
        <v>22</v>
      </c>
    </row>
    <row r="17311" spans="1:11">
      <c r="A17311" s="33" t="s">
        <v>38721</v>
      </c>
      <c r="B17311" s="33" t="s">
        <v>38722</v>
      </c>
      <c r="C17311" s="33" t="s">
        <v>31827</v>
      </c>
      <c r="D17311" s="33" t="s">
        <v>17</v>
      </c>
      <c r="E17311" s="33" t="s">
        <v>26</v>
      </c>
      <c r="F17311" s="33" t="s">
        <v>27</v>
      </c>
      <c r="G17311" s="33" t="s">
        <v>50</v>
      </c>
      <c r="H17311" s="35">
        <v>68</v>
      </c>
      <c r="I17311" s="33" t="s">
        <v>51</v>
      </c>
      <c r="J17311" s="42">
        <v>45078</v>
      </c>
      <c r="K17311" s="33" t="s">
        <v>22</v>
      </c>
    </row>
    <row r="17312" spans="1:11">
      <c r="A17312" s="30" t="s">
        <v>38723</v>
      </c>
      <c r="B17312" s="30" t="s">
        <v>38724</v>
      </c>
      <c r="C17312" s="30" t="s">
        <v>38725</v>
      </c>
      <c r="D17312" s="30" t="s">
        <v>17</v>
      </c>
      <c r="E17312" s="30" t="s">
        <v>31</v>
      </c>
      <c r="F17312" s="30" t="s">
        <v>32</v>
      </c>
      <c r="G17312" s="30" t="s">
        <v>106</v>
      </c>
      <c r="H17312" s="32">
        <v>43</v>
      </c>
      <c r="I17312" s="30" t="s">
        <v>21</v>
      </c>
      <c r="J17312" s="41">
        <v>45009</v>
      </c>
      <c r="K17312" s="30" t="s">
        <v>22</v>
      </c>
    </row>
    <row r="17313" spans="1:11">
      <c r="A17313" s="33" t="s">
        <v>38726</v>
      </c>
      <c r="B17313" s="33" t="s">
        <v>38727</v>
      </c>
      <c r="C17313" s="33" t="s">
        <v>3429</v>
      </c>
      <c r="D17313" s="33" t="s">
        <v>17</v>
      </c>
      <c r="E17313" s="33" t="s">
        <v>26</v>
      </c>
      <c r="F17313" s="33" t="s">
        <v>27</v>
      </c>
      <c r="G17313" s="33" t="s">
        <v>20</v>
      </c>
      <c r="H17313" s="35">
        <v>30</v>
      </c>
      <c r="I17313" s="33" t="s">
        <v>21</v>
      </c>
      <c r="J17313" s="42">
        <v>45252</v>
      </c>
      <c r="K17313" s="33" t="s">
        <v>22</v>
      </c>
    </row>
    <row r="17314" spans="1:11">
      <c r="A17314" s="30" t="s">
        <v>38728</v>
      </c>
      <c r="B17314" s="30" t="s">
        <v>38729</v>
      </c>
      <c r="C17314" s="30" t="s">
        <v>78</v>
      </c>
      <c r="D17314" s="30" t="s">
        <v>17</v>
      </c>
      <c r="E17314" s="30" t="s">
        <v>26</v>
      </c>
      <c r="F17314" s="30" t="s">
        <v>27</v>
      </c>
      <c r="G17314" s="30" t="s">
        <v>20</v>
      </c>
      <c r="H17314" s="32">
        <v>43</v>
      </c>
      <c r="I17314" s="30" t="s">
        <v>21</v>
      </c>
      <c r="J17314" s="41">
        <v>45048</v>
      </c>
      <c r="K17314" s="30" t="s">
        <v>22</v>
      </c>
    </row>
    <row r="17315" spans="1:11">
      <c r="A17315" s="33" t="s">
        <v>38730</v>
      </c>
      <c r="B17315" s="33" t="s">
        <v>38731</v>
      </c>
      <c r="C17315" s="33" t="s">
        <v>29321</v>
      </c>
      <c r="D17315" s="33" t="s">
        <v>17</v>
      </c>
      <c r="E17315" s="33" t="s">
        <v>31</v>
      </c>
      <c r="F17315" s="33" t="s">
        <v>32</v>
      </c>
      <c r="G17315" s="33" t="s">
        <v>50</v>
      </c>
      <c r="H17315" s="35">
        <v>120</v>
      </c>
      <c r="I17315" s="33" t="s">
        <v>21</v>
      </c>
      <c r="J17315" s="42">
        <v>45125</v>
      </c>
      <c r="K17315" s="33" t="s">
        <v>22</v>
      </c>
    </row>
    <row r="17316" spans="1:11">
      <c r="A17316" s="30" t="s">
        <v>38732</v>
      </c>
      <c r="B17316" s="30" t="s">
        <v>38733</v>
      </c>
      <c r="C17316" s="30" t="s">
        <v>3698</v>
      </c>
      <c r="D17316" s="30" t="s">
        <v>17</v>
      </c>
      <c r="E17316" s="30" t="s">
        <v>212</v>
      </c>
      <c r="F17316" s="30" t="s">
        <v>213</v>
      </c>
      <c r="G17316" s="30" t="s">
        <v>106</v>
      </c>
      <c r="H17316" s="32">
        <v>10</v>
      </c>
      <c r="I17316" s="30" t="s">
        <v>21</v>
      </c>
      <c r="J17316" s="41">
        <v>45162</v>
      </c>
      <c r="K17316" s="30" t="s">
        <v>22</v>
      </c>
    </row>
    <row r="17317" spans="1:11">
      <c r="A17317" s="33" t="s">
        <v>38734</v>
      </c>
      <c r="B17317" s="33" t="s">
        <v>38735</v>
      </c>
      <c r="C17317" s="33" t="s">
        <v>27689</v>
      </c>
      <c r="D17317" s="33" t="s">
        <v>17</v>
      </c>
      <c r="E17317" s="33" t="s">
        <v>26</v>
      </c>
      <c r="F17317" s="33" t="s">
        <v>27</v>
      </c>
      <c r="G17317" s="33" t="s">
        <v>20</v>
      </c>
      <c r="H17317" s="35">
        <v>24</v>
      </c>
      <c r="I17317" s="33" t="s">
        <v>21</v>
      </c>
      <c r="J17317" s="42">
        <v>44985</v>
      </c>
      <c r="K17317" s="33" t="s">
        <v>22</v>
      </c>
    </row>
    <row r="17318" spans="1:11">
      <c r="A17318" s="30" t="s">
        <v>38736</v>
      </c>
      <c r="B17318" s="30" t="s">
        <v>38737</v>
      </c>
      <c r="C17318" s="30" t="s">
        <v>38738</v>
      </c>
      <c r="D17318" s="30" t="s">
        <v>17</v>
      </c>
      <c r="E17318" s="30" t="s">
        <v>31</v>
      </c>
      <c r="F17318" s="30" t="s">
        <v>32</v>
      </c>
      <c r="G17318" s="30" t="s">
        <v>50</v>
      </c>
      <c r="H17318" s="32">
        <v>45</v>
      </c>
      <c r="I17318" s="30" t="s">
        <v>51</v>
      </c>
      <c r="J17318" s="41">
        <v>44986</v>
      </c>
      <c r="K17318" s="30" t="s">
        <v>22</v>
      </c>
    </row>
    <row r="17319" spans="1:11">
      <c r="A17319" s="33" t="s">
        <v>38739</v>
      </c>
      <c r="B17319" s="33" t="s">
        <v>38740</v>
      </c>
      <c r="C17319" s="33" t="s">
        <v>109</v>
      </c>
      <c r="D17319" s="33" t="s">
        <v>17</v>
      </c>
      <c r="E17319" s="33" t="s">
        <v>31</v>
      </c>
      <c r="F17319" s="33" t="s">
        <v>32</v>
      </c>
      <c r="G17319" s="33" t="s">
        <v>112</v>
      </c>
      <c r="H17319" s="35">
        <v>0</v>
      </c>
      <c r="I17319" s="33" t="s">
        <v>21</v>
      </c>
      <c r="J17319" s="42">
        <v>45184</v>
      </c>
      <c r="K17319" s="33" t="s">
        <v>22</v>
      </c>
    </row>
    <row r="17320" spans="1:11">
      <c r="A17320" s="30" t="s">
        <v>38741</v>
      </c>
      <c r="B17320" s="30" t="s">
        <v>38742</v>
      </c>
      <c r="C17320" s="30" t="s">
        <v>480</v>
      </c>
      <c r="D17320" s="30" t="s">
        <v>17</v>
      </c>
      <c r="E17320" s="30" t="s">
        <v>18</v>
      </c>
      <c r="F17320" s="30" t="s">
        <v>19</v>
      </c>
      <c r="G17320" s="30" t="s">
        <v>20</v>
      </c>
      <c r="H17320" s="32">
        <v>137</v>
      </c>
      <c r="I17320" s="30" t="s">
        <v>21</v>
      </c>
      <c r="J17320" s="41">
        <v>44956</v>
      </c>
      <c r="K17320" s="30" t="s">
        <v>22</v>
      </c>
    </row>
    <row r="17321" spans="1:11">
      <c r="A17321" s="33" t="s">
        <v>38743</v>
      </c>
      <c r="B17321" s="33" t="s">
        <v>38744</v>
      </c>
      <c r="C17321" s="33" t="s">
        <v>31562</v>
      </c>
      <c r="D17321" s="33" t="s">
        <v>17</v>
      </c>
      <c r="E17321" s="33" t="s">
        <v>26</v>
      </c>
      <c r="F17321" s="33" t="s">
        <v>27</v>
      </c>
      <c r="G17321" s="33" t="s">
        <v>50</v>
      </c>
      <c r="H17321" s="35">
        <v>48</v>
      </c>
      <c r="I17321" s="33" t="s">
        <v>51</v>
      </c>
      <c r="J17321" s="42">
        <v>45242</v>
      </c>
      <c r="K17321" s="33" t="s">
        <v>22</v>
      </c>
    </row>
    <row r="17322" spans="1:11">
      <c r="A17322" s="30" t="s">
        <v>38745</v>
      </c>
      <c r="B17322" s="30" t="s">
        <v>38746</v>
      </c>
      <c r="C17322" s="30" t="s">
        <v>38747</v>
      </c>
      <c r="D17322" s="30" t="s">
        <v>17</v>
      </c>
      <c r="E17322" s="30" t="s">
        <v>31</v>
      </c>
      <c r="F17322" s="30" t="s">
        <v>32</v>
      </c>
      <c r="G17322" s="30" t="s">
        <v>20</v>
      </c>
      <c r="H17322" s="32">
        <v>127</v>
      </c>
      <c r="I17322" s="30" t="s">
        <v>21</v>
      </c>
      <c r="J17322" s="41">
        <v>44986</v>
      </c>
      <c r="K17322" s="30" t="s">
        <v>22</v>
      </c>
    </row>
    <row r="17323" spans="1:11">
      <c r="A17323" s="33" t="s">
        <v>38748</v>
      </c>
      <c r="B17323" s="33" t="s">
        <v>38749</v>
      </c>
      <c r="C17323" s="33" t="s">
        <v>20576</v>
      </c>
      <c r="D17323" s="33" t="s">
        <v>17</v>
      </c>
      <c r="E17323" s="33" t="s">
        <v>31</v>
      </c>
      <c r="F17323" s="33" t="s">
        <v>32</v>
      </c>
      <c r="G17323" s="33" t="s">
        <v>20</v>
      </c>
      <c r="H17323" s="35">
        <v>90</v>
      </c>
      <c r="I17323" s="33" t="s">
        <v>21</v>
      </c>
      <c r="J17323" s="42">
        <v>44929</v>
      </c>
      <c r="K17323" s="33" t="s">
        <v>22</v>
      </c>
    </row>
    <row r="17324" spans="1:11">
      <c r="A17324" s="30" t="s">
        <v>38750</v>
      </c>
      <c r="B17324" s="30" t="s">
        <v>38751</v>
      </c>
      <c r="C17324" s="30" t="s">
        <v>124</v>
      </c>
      <c r="D17324" s="30" t="s">
        <v>17</v>
      </c>
      <c r="E17324" s="30" t="s">
        <v>31</v>
      </c>
      <c r="F17324" s="30" t="s">
        <v>32</v>
      </c>
      <c r="G17324" s="30" t="s">
        <v>20</v>
      </c>
      <c r="H17324" s="32">
        <v>235</v>
      </c>
      <c r="I17324" s="30" t="s">
        <v>21</v>
      </c>
      <c r="J17324" s="41">
        <v>44993</v>
      </c>
      <c r="K17324" s="30" t="s">
        <v>22</v>
      </c>
    </row>
    <row r="17325" spans="1:11">
      <c r="A17325" s="33" t="s">
        <v>38752</v>
      </c>
      <c r="B17325" s="33" t="s">
        <v>38753</v>
      </c>
      <c r="C17325" s="33" t="s">
        <v>38754</v>
      </c>
      <c r="D17325" s="33" t="s">
        <v>17</v>
      </c>
      <c r="E17325" s="33" t="s">
        <v>67</v>
      </c>
      <c r="F17325" s="33" t="s">
        <v>68</v>
      </c>
      <c r="G17325" s="33" t="s">
        <v>158</v>
      </c>
      <c r="H17325" s="35">
        <v>139</v>
      </c>
      <c r="I17325" s="33" t="s">
        <v>21</v>
      </c>
      <c r="J17325" s="42">
        <v>45266</v>
      </c>
      <c r="K17325" s="33" t="s">
        <v>22</v>
      </c>
    </row>
    <row r="17326" spans="1:11">
      <c r="A17326" s="30" t="s">
        <v>38755</v>
      </c>
      <c r="B17326" s="30" t="s">
        <v>38756</v>
      </c>
      <c r="C17326" s="30" t="s">
        <v>102</v>
      </c>
      <c r="D17326" s="30" t="s">
        <v>17</v>
      </c>
      <c r="E17326" s="30" t="s">
        <v>18</v>
      </c>
      <c r="F17326" s="30" t="s">
        <v>19</v>
      </c>
      <c r="G17326" s="30" t="s">
        <v>106</v>
      </c>
      <c r="H17326" s="32">
        <v>4</v>
      </c>
      <c r="I17326" s="30" t="s">
        <v>21</v>
      </c>
      <c r="J17326" s="41">
        <v>44978</v>
      </c>
      <c r="K17326" s="30" t="s">
        <v>22</v>
      </c>
    </row>
    <row r="17327" spans="1:11">
      <c r="A17327" s="33" t="s">
        <v>38757</v>
      </c>
      <c r="B17327" s="33" t="s">
        <v>38758</v>
      </c>
      <c r="C17327" s="33" t="s">
        <v>2839</v>
      </c>
      <c r="D17327" s="33" t="s">
        <v>17</v>
      </c>
      <c r="E17327" s="33" t="s">
        <v>31</v>
      </c>
      <c r="F17327" s="33" t="s">
        <v>32</v>
      </c>
      <c r="G17327" s="33" t="s">
        <v>20</v>
      </c>
      <c r="H17327" s="35">
        <v>86</v>
      </c>
      <c r="I17327" s="33" t="s">
        <v>21</v>
      </c>
      <c r="J17327" s="42">
        <v>44986</v>
      </c>
      <c r="K17327" s="33" t="s">
        <v>22</v>
      </c>
    </row>
    <row r="17328" spans="1:11">
      <c r="A17328" s="30" t="s">
        <v>38759</v>
      </c>
      <c r="B17328" s="30" t="s">
        <v>38760</v>
      </c>
      <c r="C17328" s="30" t="s">
        <v>38761</v>
      </c>
      <c r="D17328" s="30" t="s">
        <v>17</v>
      </c>
      <c r="E17328" s="30" t="s">
        <v>212</v>
      </c>
      <c r="F17328" s="30" t="s">
        <v>213</v>
      </c>
      <c r="G17328" s="30" t="s">
        <v>158</v>
      </c>
      <c r="H17328" s="32">
        <v>30</v>
      </c>
      <c r="I17328" s="30" t="s">
        <v>51</v>
      </c>
      <c r="J17328" s="41">
        <v>45139</v>
      </c>
      <c r="K17328" s="30" t="s">
        <v>22</v>
      </c>
    </row>
    <row r="17329" spans="1:11">
      <c r="A17329" s="33" t="s">
        <v>38762</v>
      </c>
      <c r="B17329" s="33" t="s">
        <v>38763</v>
      </c>
      <c r="C17329" s="33" t="s">
        <v>4576</v>
      </c>
      <c r="D17329" s="33" t="s">
        <v>17</v>
      </c>
      <c r="E17329" s="33" t="s">
        <v>26</v>
      </c>
      <c r="F17329" s="33" t="s">
        <v>27</v>
      </c>
      <c r="G17329" s="33" t="s">
        <v>158</v>
      </c>
      <c r="H17329" s="35">
        <v>9</v>
      </c>
      <c r="I17329" s="33" t="s">
        <v>51</v>
      </c>
      <c r="J17329" s="42">
        <v>45202</v>
      </c>
      <c r="K17329" s="33" t="s">
        <v>22</v>
      </c>
    </row>
    <row r="17330" spans="1:11">
      <c r="A17330" s="30" t="s">
        <v>38764</v>
      </c>
      <c r="B17330" s="30" t="s">
        <v>38765</v>
      </c>
      <c r="C17330" s="30" t="s">
        <v>190</v>
      </c>
      <c r="D17330" s="30" t="s">
        <v>17</v>
      </c>
      <c r="E17330" s="30" t="s">
        <v>18</v>
      </c>
      <c r="F17330" s="30" t="s">
        <v>19</v>
      </c>
      <c r="G17330" s="30" t="s">
        <v>140</v>
      </c>
      <c r="H17330" s="32">
        <v>4300</v>
      </c>
      <c r="I17330" s="30" t="s">
        <v>51</v>
      </c>
      <c r="J17330" s="41">
        <v>45016</v>
      </c>
      <c r="K17330" s="30" t="s">
        <v>22</v>
      </c>
    </row>
    <row r="17331" spans="1:11">
      <c r="A17331" s="33" t="s">
        <v>38766</v>
      </c>
      <c r="B17331" s="33" t="s">
        <v>38767</v>
      </c>
      <c r="C17331" s="33" t="s">
        <v>15090</v>
      </c>
      <c r="D17331" s="33" t="s">
        <v>17</v>
      </c>
      <c r="E17331" s="33" t="s">
        <v>26</v>
      </c>
      <c r="F17331" s="33" t="s">
        <v>27</v>
      </c>
      <c r="G17331" s="33" t="s">
        <v>20</v>
      </c>
      <c r="H17331" s="35">
        <v>36</v>
      </c>
      <c r="I17331" s="33" t="s">
        <v>21</v>
      </c>
      <c r="J17331" s="42">
        <v>45276</v>
      </c>
      <c r="K17331" s="33" t="s">
        <v>22</v>
      </c>
    </row>
    <row r="17332" spans="1:11">
      <c r="A17332" s="30" t="s">
        <v>38768</v>
      </c>
      <c r="B17332" s="30" t="s">
        <v>38769</v>
      </c>
      <c r="C17332" s="30" t="s">
        <v>38770</v>
      </c>
      <c r="D17332" s="30" t="s">
        <v>17</v>
      </c>
      <c r="E17332" s="30" t="s">
        <v>26</v>
      </c>
      <c r="F17332" s="30" t="s">
        <v>27</v>
      </c>
      <c r="G17332" s="30" t="s">
        <v>20</v>
      </c>
      <c r="H17332" s="32">
        <v>24</v>
      </c>
      <c r="I17332" s="30" t="s">
        <v>21</v>
      </c>
      <c r="J17332" s="41">
        <v>45062</v>
      </c>
      <c r="K17332" s="30" t="s">
        <v>22</v>
      </c>
    </row>
    <row r="17333" spans="1:11">
      <c r="A17333" s="33" t="s">
        <v>38771</v>
      </c>
      <c r="B17333" s="33" t="s">
        <v>38772</v>
      </c>
      <c r="C17333" s="33" t="s">
        <v>10293</v>
      </c>
      <c r="D17333" s="33" t="s">
        <v>17</v>
      </c>
      <c r="E17333" s="33" t="s">
        <v>26</v>
      </c>
      <c r="F17333" s="33" t="s">
        <v>27</v>
      </c>
      <c r="G17333" s="33" t="s">
        <v>140</v>
      </c>
      <c r="H17333" s="35">
        <v>36</v>
      </c>
      <c r="I17333" s="33" t="s">
        <v>51</v>
      </c>
      <c r="J17333" s="42">
        <v>45182</v>
      </c>
      <c r="K17333" s="33" t="s">
        <v>22</v>
      </c>
    </row>
    <row r="17334" spans="1:11">
      <c r="A17334" s="30" t="s">
        <v>38773</v>
      </c>
      <c r="B17334" s="30" t="s">
        <v>38774</v>
      </c>
      <c r="C17334" s="30" t="s">
        <v>178</v>
      </c>
      <c r="D17334" s="30" t="s">
        <v>17</v>
      </c>
      <c r="E17334" s="30" t="s">
        <v>18</v>
      </c>
      <c r="F17334" s="30" t="s">
        <v>19</v>
      </c>
      <c r="G17334" s="30" t="s">
        <v>158</v>
      </c>
      <c r="H17334" s="32">
        <v>127</v>
      </c>
      <c r="I17334" s="30" t="s">
        <v>21</v>
      </c>
      <c r="J17334" s="41">
        <v>45245</v>
      </c>
      <c r="K17334" s="30" t="s">
        <v>22</v>
      </c>
    </row>
    <row r="17335" spans="1:11">
      <c r="A17335" s="33" t="s">
        <v>38775</v>
      </c>
      <c r="B17335" s="33" t="s">
        <v>38776</v>
      </c>
      <c r="C17335" s="33" t="s">
        <v>21641</v>
      </c>
      <c r="D17335" s="33" t="s">
        <v>17</v>
      </c>
      <c r="E17335" s="33" t="s">
        <v>26</v>
      </c>
      <c r="F17335" s="33" t="s">
        <v>27</v>
      </c>
      <c r="G17335" s="33" t="s">
        <v>20</v>
      </c>
      <c r="H17335" s="35">
        <v>28</v>
      </c>
      <c r="I17335" s="33" t="s">
        <v>21</v>
      </c>
      <c r="J17335" s="42">
        <v>44991</v>
      </c>
      <c r="K17335" s="33" t="s">
        <v>22</v>
      </c>
    </row>
    <row r="17336" spans="1:11">
      <c r="A17336" s="30" t="s">
        <v>38777</v>
      </c>
      <c r="B17336" s="30" t="s">
        <v>38778</v>
      </c>
      <c r="C17336" s="30" t="s">
        <v>38779</v>
      </c>
      <c r="D17336" s="30" t="s">
        <v>17</v>
      </c>
      <c r="E17336" s="30" t="s">
        <v>26</v>
      </c>
      <c r="F17336" s="30" t="s">
        <v>27</v>
      </c>
      <c r="G17336" s="30" t="s">
        <v>20</v>
      </c>
      <c r="H17336" s="32">
        <v>64</v>
      </c>
      <c r="I17336" s="30" t="s">
        <v>21</v>
      </c>
      <c r="J17336" s="41">
        <v>45182</v>
      </c>
      <c r="K17336" s="30" t="s">
        <v>22</v>
      </c>
    </row>
    <row r="17337" spans="1:11">
      <c r="A17337" s="33" t="s">
        <v>38780</v>
      </c>
      <c r="B17337" s="33" t="s">
        <v>38781</v>
      </c>
      <c r="C17337" s="33" t="s">
        <v>38782</v>
      </c>
      <c r="D17337" s="33" t="s">
        <v>17</v>
      </c>
      <c r="E17337" s="33" t="s">
        <v>26</v>
      </c>
      <c r="F17337" s="33" t="s">
        <v>27</v>
      </c>
      <c r="G17337" s="33" t="s">
        <v>140</v>
      </c>
      <c r="H17337" s="35">
        <v>10</v>
      </c>
      <c r="I17337" s="33" t="s">
        <v>51</v>
      </c>
      <c r="J17337" s="42">
        <v>45120</v>
      </c>
      <c r="K17337" s="33" t="s">
        <v>22</v>
      </c>
    </row>
    <row r="17338" spans="1:11">
      <c r="A17338" s="30" t="s">
        <v>38783</v>
      </c>
      <c r="B17338" s="30" t="s">
        <v>38784</v>
      </c>
      <c r="C17338" s="30" t="s">
        <v>5452</v>
      </c>
      <c r="D17338" s="30" t="s">
        <v>17</v>
      </c>
      <c r="E17338" s="30" t="s">
        <v>26</v>
      </c>
      <c r="F17338" s="30" t="s">
        <v>27</v>
      </c>
      <c r="G17338" s="30" t="s">
        <v>140</v>
      </c>
      <c r="H17338" s="32">
        <v>121</v>
      </c>
      <c r="I17338" s="30" t="s">
        <v>51</v>
      </c>
      <c r="J17338" s="41">
        <v>45089</v>
      </c>
      <c r="K17338" s="30" t="s">
        <v>22</v>
      </c>
    </row>
    <row r="17339" spans="1:11">
      <c r="A17339" s="33" t="s">
        <v>38785</v>
      </c>
      <c r="B17339" s="33" t="s">
        <v>38786</v>
      </c>
      <c r="C17339" s="33" t="s">
        <v>443</v>
      </c>
      <c r="D17339" s="33" t="s">
        <v>17</v>
      </c>
      <c r="E17339" s="33" t="s">
        <v>18</v>
      </c>
      <c r="F17339" s="33" t="s">
        <v>19</v>
      </c>
      <c r="G17339" s="33" t="s">
        <v>20</v>
      </c>
      <c r="H17339" s="35">
        <v>1442</v>
      </c>
      <c r="I17339" s="33" t="s">
        <v>21</v>
      </c>
      <c r="J17339" s="42">
        <v>45068</v>
      </c>
      <c r="K17339" s="33" t="s">
        <v>22</v>
      </c>
    </row>
    <row r="17340" spans="1:11">
      <c r="A17340" s="30" t="s">
        <v>38787</v>
      </c>
      <c r="B17340" s="30" t="s">
        <v>38788</v>
      </c>
      <c r="C17340" s="30" t="s">
        <v>37590</v>
      </c>
      <c r="D17340" s="30" t="s">
        <v>17</v>
      </c>
      <c r="E17340" s="30" t="s">
        <v>67</v>
      </c>
      <c r="F17340" s="30" t="s">
        <v>68</v>
      </c>
      <c r="G17340" s="30" t="s">
        <v>50</v>
      </c>
      <c r="H17340" s="32">
        <v>80</v>
      </c>
      <c r="I17340" s="30" t="s">
        <v>51</v>
      </c>
      <c r="J17340" s="41">
        <v>45056</v>
      </c>
      <c r="K17340" s="30" t="s">
        <v>22</v>
      </c>
    </row>
    <row r="17341" spans="1:11">
      <c r="A17341" s="33" t="s">
        <v>38789</v>
      </c>
      <c r="B17341" s="33" t="s">
        <v>38790</v>
      </c>
      <c r="C17341" s="33" t="s">
        <v>136</v>
      </c>
      <c r="D17341" s="33" t="s">
        <v>17</v>
      </c>
      <c r="E17341" s="33" t="s">
        <v>18</v>
      </c>
      <c r="F17341" s="33" t="s">
        <v>19</v>
      </c>
      <c r="G17341" s="33" t="s">
        <v>20</v>
      </c>
      <c r="H17341" s="35">
        <v>2335</v>
      </c>
      <c r="I17341" s="33" t="s">
        <v>21</v>
      </c>
      <c r="J17341" s="42">
        <v>45117</v>
      </c>
      <c r="K17341" s="33" t="s">
        <v>22</v>
      </c>
    </row>
    <row r="17342" spans="1:11">
      <c r="A17342" s="30" t="s">
        <v>38791</v>
      </c>
      <c r="B17342" s="30" t="s">
        <v>38792</v>
      </c>
      <c r="C17342" s="30" t="s">
        <v>15107</v>
      </c>
      <c r="D17342" s="30" t="s">
        <v>17</v>
      </c>
      <c r="E17342" s="30" t="s">
        <v>67</v>
      </c>
      <c r="F17342" s="30" t="s">
        <v>68</v>
      </c>
      <c r="G17342" s="30" t="s">
        <v>140</v>
      </c>
      <c r="H17342" s="32">
        <v>100</v>
      </c>
      <c r="I17342" s="30" t="s">
        <v>51</v>
      </c>
      <c r="J17342" s="41">
        <v>45013</v>
      </c>
      <c r="K17342" s="30" t="s">
        <v>22</v>
      </c>
    </row>
    <row r="17343" spans="1:11">
      <c r="A17343" s="33" t="s">
        <v>38793</v>
      </c>
      <c r="B17343" s="33" t="s">
        <v>38794</v>
      </c>
      <c r="C17343" s="33" t="s">
        <v>231</v>
      </c>
      <c r="D17343" s="33" t="s">
        <v>17</v>
      </c>
      <c r="E17343" s="33" t="s">
        <v>26</v>
      </c>
      <c r="F17343" s="33" t="s">
        <v>27</v>
      </c>
      <c r="G17343" s="33" t="s">
        <v>106</v>
      </c>
      <c r="H17343" s="35">
        <v>10</v>
      </c>
      <c r="I17343" s="33" t="s">
        <v>21</v>
      </c>
      <c r="J17343" s="42">
        <v>45084</v>
      </c>
      <c r="K17343" s="33" t="s">
        <v>22</v>
      </c>
    </row>
    <row r="17344" spans="1:11">
      <c r="A17344" s="30" t="s">
        <v>38795</v>
      </c>
      <c r="B17344" s="30" t="s">
        <v>38796</v>
      </c>
      <c r="C17344" s="30" t="s">
        <v>190</v>
      </c>
      <c r="D17344" s="30" t="s">
        <v>17</v>
      </c>
      <c r="E17344" s="30" t="s">
        <v>26</v>
      </c>
      <c r="F17344" s="30" t="s">
        <v>27</v>
      </c>
      <c r="G17344" s="30" t="s">
        <v>106</v>
      </c>
      <c r="H17344" s="32">
        <v>31</v>
      </c>
      <c r="I17344" s="30" t="s">
        <v>21</v>
      </c>
      <c r="J17344" s="41">
        <v>44929</v>
      </c>
      <c r="K17344" s="30" t="s">
        <v>22</v>
      </c>
    </row>
    <row r="17345" spans="1:11">
      <c r="A17345" s="33" t="s">
        <v>38797</v>
      </c>
      <c r="B17345" s="33" t="s">
        <v>38798</v>
      </c>
      <c r="C17345" s="33" t="s">
        <v>33681</v>
      </c>
      <c r="D17345" s="33" t="s">
        <v>17</v>
      </c>
      <c r="E17345" s="33" t="s">
        <v>67</v>
      </c>
      <c r="F17345" s="33" t="s">
        <v>68</v>
      </c>
      <c r="G17345" s="33" t="s">
        <v>20</v>
      </c>
      <c r="H17345" s="35">
        <v>56</v>
      </c>
      <c r="I17345" s="33" t="s">
        <v>21</v>
      </c>
      <c r="J17345" s="42">
        <v>44967</v>
      </c>
      <c r="K17345" s="33" t="s">
        <v>22</v>
      </c>
    </row>
    <row r="17346" spans="1:11">
      <c r="A17346" s="30" t="s">
        <v>38799</v>
      </c>
      <c r="B17346" s="30" t="s">
        <v>38800</v>
      </c>
      <c r="C17346" s="30" t="s">
        <v>13181</v>
      </c>
      <c r="D17346" s="30" t="s">
        <v>17</v>
      </c>
      <c r="E17346" s="30" t="s">
        <v>18</v>
      </c>
      <c r="F17346" s="30" t="s">
        <v>19</v>
      </c>
      <c r="G17346" s="30" t="s">
        <v>140</v>
      </c>
      <c r="H17346" s="32">
        <v>248</v>
      </c>
      <c r="I17346" s="30" t="s">
        <v>51</v>
      </c>
      <c r="J17346" s="41">
        <v>45150</v>
      </c>
      <c r="K17346" s="30" t="s">
        <v>22</v>
      </c>
    </row>
    <row r="17347" spans="1:11">
      <c r="A17347" s="33" t="s">
        <v>38801</v>
      </c>
      <c r="B17347" s="33" t="s">
        <v>38802</v>
      </c>
      <c r="C17347" s="33" t="s">
        <v>8979</v>
      </c>
      <c r="D17347" s="33" t="s">
        <v>17</v>
      </c>
      <c r="E17347" s="33" t="s">
        <v>18</v>
      </c>
      <c r="F17347" s="33" t="s">
        <v>19</v>
      </c>
      <c r="G17347" s="33" t="s">
        <v>20</v>
      </c>
      <c r="H17347" s="35">
        <v>370</v>
      </c>
      <c r="I17347" s="33" t="s">
        <v>21</v>
      </c>
      <c r="J17347" s="42">
        <v>45261</v>
      </c>
      <c r="K17347" s="33" t="s">
        <v>22</v>
      </c>
    </row>
    <row r="17348" spans="1:11">
      <c r="A17348" s="30" t="s">
        <v>38803</v>
      </c>
      <c r="B17348" s="30" t="s">
        <v>38804</v>
      </c>
      <c r="C17348" s="30" t="s">
        <v>38805</v>
      </c>
      <c r="D17348" s="30" t="s">
        <v>17</v>
      </c>
      <c r="E17348" s="30" t="s">
        <v>18</v>
      </c>
      <c r="F17348" s="30" t="s">
        <v>19</v>
      </c>
      <c r="G17348" s="30" t="s">
        <v>20</v>
      </c>
      <c r="H17348" s="32">
        <v>169</v>
      </c>
      <c r="I17348" s="30" t="s">
        <v>21</v>
      </c>
      <c r="J17348" s="41">
        <v>45167</v>
      </c>
      <c r="K17348" s="30" t="s">
        <v>22</v>
      </c>
    </row>
    <row r="17349" spans="1:11">
      <c r="A17349" s="33" t="s">
        <v>38806</v>
      </c>
      <c r="B17349" s="33" t="s">
        <v>38807</v>
      </c>
      <c r="C17349" s="33" t="s">
        <v>3429</v>
      </c>
      <c r="D17349" s="33" t="s">
        <v>17</v>
      </c>
      <c r="E17349" s="33" t="s">
        <v>18</v>
      </c>
      <c r="F17349" s="33" t="s">
        <v>19</v>
      </c>
      <c r="G17349" s="33" t="s">
        <v>20</v>
      </c>
      <c r="H17349" s="35">
        <v>36</v>
      </c>
      <c r="I17349" s="33" t="s">
        <v>21</v>
      </c>
      <c r="J17349" s="42">
        <v>44972</v>
      </c>
      <c r="K17349" s="33" t="s">
        <v>22</v>
      </c>
    </row>
    <row r="17350" spans="1:11">
      <c r="A17350" s="30" t="s">
        <v>38808</v>
      </c>
      <c r="B17350" s="30" t="s">
        <v>38809</v>
      </c>
      <c r="C17350" s="30" t="s">
        <v>38810</v>
      </c>
      <c r="D17350" s="30" t="s">
        <v>17</v>
      </c>
      <c r="E17350" s="30" t="s">
        <v>31</v>
      </c>
      <c r="F17350" s="30" t="s">
        <v>32</v>
      </c>
      <c r="G17350" s="30" t="s">
        <v>106</v>
      </c>
      <c r="H17350" s="32">
        <v>63</v>
      </c>
      <c r="I17350" s="30" t="s">
        <v>21</v>
      </c>
      <c r="J17350" s="41">
        <v>45259</v>
      </c>
      <c r="K17350" s="30" t="s">
        <v>22</v>
      </c>
    </row>
    <row r="17351" spans="1:11">
      <c r="A17351" s="33" t="s">
        <v>38811</v>
      </c>
      <c r="B17351" s="33" t="s">
        <v>38812</v>
      </c>
      <c r="C17351" s="33" t="s">
        <v>12659</v>
      </c>
      <c r="D17351" s="33" t="s">
        <v>17</v>
      </c>
      <c r="E17351" s="33" t="s">
        <v>67</v>
      </c>
      <c r="F17351" s="33" t="s">
        <v>68</v>
      </c>
      <c r="G17351" s="33" t="s">
        <v>140</v>
      </c>
      <c r="H17351" s="35">
        <v>15</v>
      </c>
      <c r="I17351" s="33" t="s">
        <v>51</v>
      </c>
      <c r="J17351" s="42">
        <v>45474</v>
      </c>
      <c r="K17351" s="33" t="s">
        <v>22</v>
      </c>
    </row>
    <row r="17352" spans="1:11">
      <c r="A17352" s="30" t="s">
        <v>38813</v>
      </c>
      <c r="B17352" s="30" t="s">
        <v>38814</v>
      </c>
      <c r="C17352" s="30" t="s">
        <v>570</v>
      </c>
      <c r="D17352" s="30" t="s">
        <v>17</v>
      </c>
      <c r="E17352" s="30" t="s">
        <v>31</v>
      </c>
      <c r="F17352" s="30" t="s">
        <v>32</v>
      </c>
      <c r="G17352" s="30" t="s">
        <v>7780</v>
      </c>
      <c r="H17352" s="32">
        <v>360</v>
      </c>
      <c r="I17352" s="30" t="s">
        <v>51</v>
      </c>
      <c r="J17352" s="41">
        <v>45473</v>
      </c>
      <c r="K17352" s="30" t="s">
        <v>22</v>
      </c>
    </row>
    <row r="17353" spans="1:11">
      <c r="A17353" s="33" t="s">
        <v>38815</v>
      </c>
      <c r="B17353" s="33" t="s">
        <v>38816</v>
      </c>
      <c r="C17353" s="33" t="s">
        <v>7880</v>
      </c>
      <c r="D17353" s="33" t="s">
        <v>17</v>
      </c>
      <c r="E17353" s="33" t="s">
        <v>18</v>
      </c>
      <c r="F17353" s="33" t="s">
        <v>19</v>
      </c>
      <c r="G17353" s="33" t="s">
        <v>140</v>
      </c>
      <c r="H17353" s="35">
        <v>240</v>
      </c>
      <c r="I17353" s="33" t="s">
        <v>51</v>
      </c>
      <c r="J17353" s="42">
        <v>45378</v>
      </c>
      <c r="K17353" s="33" t="s">
        <v>22</v>
      </c>
    </row>
    <row r="17354" spans="1:11">
      <c r="A17354" s="30" t="s">
        <v>38817</v>
      </c>
      <c r="B17354" s="30" t="s">
        <v>38818</v>
      </c>
      <c r="C17354" s="30" t="s">
        <v>96</v>
      </c>
      <c r="D17354" s="30" t="s">
        <v>17</v>
      </c>
      <c r="E17354" s="30" t="s">
        <v>26</v>
      </c>
      <c r="F17354" s="30" t="s">
        <v>27</v>
      </c>
      <c r="G17354" s="30" t="s">
        <v>106</v>
      </c>
      <c r="H17354" s="32">
        <v>30</v>
      </c>
      <c r="I17354" s="30" t="s">
        <v>21</v>
      </c>
      <c r="J17354" s="41">
        <v>45636</v>
      </c>
      <c r="K17354" s="30" t="s">
        <v>22</v>
      </c>
    </row>
    <row r="17355" spans="1:11">
      <c r="A17355" s="33" t="s">
        <v>38819</v>
      </c>
      <c r="B17355" s="33" t="s">
        <v>38820</v>
      </c>
      <c r="C17355" s="33" t="s">
        <v>37584</v>
      </c>
      <c r="D17355" s="33" t="s">
        <v>17</v>
      </c>
      <c r="E17355" s="33" t="s">
        <v>26</v>
      </c>
      <c r="F17355" s="33" t="s">
        <v>27</v>
      </c>
      <c r="G17355" s="33" t="s">
        <v>20</v>
      </c>
      <c r="H17355" s="35">
        <v>112</v>
      </c>
      <c r="I17355" s="33" t="s">
        <v>21</v>
      </c>
      <c r="J17355" s="42">
        <v>45538</v>
      </c>
      <c r="K17355" s="33" t="s">
        <v>22</v>
      </c>
    </row>
    <row r="17356" spans="1:11">
      <c r="A17356" s="30" t="s">
        <v>38821</v>
      </c>
      <c r="B17356" s="30" t="s">
        <v>38822</v>
      </c>
      <c r="C17356" s="30" t="s">
        <v>36080</v>
      </c>
      <c r="D17356" s="30" t="s">
        <v>17</v>
      </c>
      <c r="E17356" s="30" t="s">
        <v>31</v>
      </c>
      <c r="F17356" s="30" t="s">
        <v>32</v>
      </c>
      <c r="G17356" s="30" t="s">
        <v>20</v>
      </c>
      <c r="H17356" s="32">
        <v>62</v>
      </c>
      <c r="I17356" s="30" t="s">
        <v>21</v>
      </c>
      <c r="J17356" s="41">
        <v>45386</v>
      </c>
      <c r="K17356" s="30" t="s">
        <v>22</v>
      </c>
    </row>
    <row r="17357" spans="1:11">
      <c r="A17357" s="33" t="s">
        <v>38823</v>
      </c>
      <c r="B17357" s="33" t="s">
        <v>38824</v>
      </c>
      <c r="C17357" s="33" t="s">
        <v>36785</v>
      </c>
      <c r="D17357" s="33" t="s">
        <v>17</v>
      </c>
      <c r="E17357" s="33" t="s">
        <v>26</v>
      </c>
      <c r="F17357" s="33" t="s">
        <v>27</v>
      </c>
      <c r="G17357" s="33" t="s">
        <v>140</v>
      </c>
      <c r="H17357" s="35">
        <v>150</v>
      </c>
      <c r="I17357" s="33" t="s">
        <v>51</v>
      </c>
      <c r="J17357" s="42">
        <v>45441</v>
      </c>
      <c r="K17357" s="33" t="s">
        <v>22</v>
      </c>
    </row>
    <row r="17358" spans="1:11">
      <c r="A17358" s="30" t="s">
        <v>38825</v>
      </c>
      <c r="B17358" s="30" t="s">
        <v>38826</v>
      </c>
      <c r="C17358" s="30" t="s">
        <v>1016</v>
      </c>
      <c r="D17358" s="30" t="s">
        <v>17</v>
      </c>
      <c r="E17358" s="30" t="s">
        <v>26</v>
      </c>
      <c r="F17358" s="30" t="s">
        <v>27</v>
      </c>
      <c r="G17358" s="30" t="s">
        <v>20</v>
      </c>
      <c r="H17358" s="32">
        <v>139</v>
      </c>
      <c r="I17358" s="30" t="s">
        <v>21</v>
      </c>
      <c r="J17358" s="41">
        <v>45313</v>
      </c>
      <c r="K17358" s="30" t="s">
        <v>22</v>
      </c>
    </row>
    <row r="17359" spans="1:11">
      <c r="A17359" s="33" t="s">
        <v>38827</v>
      </c>
      <c r="B17359" s="33" t="s">
        <v>38828</v>
      </c>
      <c r="C17359" s="33" t="s">
        <v>38829</v>
      </c>
      <c r="D17359" s="33" t="s">
        <v>17</v>
      </c>
      <c r="E17359" s="33" t="s">
        <v>26</v>
      </c>
      <c r="F17359" s="33" t="s">
        <v>27</v>
      </c>
      <c r="G17359" s="33" t="s">
        <v>20</v>
      </c>
      <c r="H17359" s="35">
        <v>22</v>
      </c>
      <c r="I17359" s="33" t="s">
        <v>21</v>
      </c>
      <c r="J17359" s="42">
        <v>45630</v>
      </c>
      <c r="K17359" s="33" t="s">
        <v>22</v>
      </c>
    </row>
    <row r="17360" spans="1:11">
      <c r="A17360" s="30" t="s">
        <v>38830</v>
      </c>
      <c r="B17360" s="30" t="s">
        <v>38831</v>
      </c>
      <c r="C17360" s="30" t="s">
        <v>488</v>
      </c>
      <c r="D17360" s="30" t="s">
        <v>17</v>
      </c>
      <c r="E17360" s="30" t="s">
        <v>26</v>
      </c>
      <c r="F17360" s="30" t="s">
        <v>27</v>
      </c>
      <c r="G17360" s="30" t="s">
        <v>140</v>
      </c>
      <c r="H17360" s="32">
        <v>15</v>
      </c>
      <c r="I17360" s="30" t="s">
        <v>51</v>
      </c>
      <c r="J17360" s="41">
        <v>45337</v>
      </c>
      <c r="K17360" s="30" t="s">
        <v>22</v>
      </c>
    </row>
    <row r="17361" spans="1:11">
      <c r="A17361" s="33" t="s">
        <v>38832</v>
      </c>
      <c r="B17361" s="33" t="s">
        <v>38833</v>
      </c>
      <c r="C17361" s="33" t="s">
        <v>8142</v>
      </c>
      <c r="D17361" s="33" t="s">
        <v>17</v>
      </c>
      <c r="E17361" s="33" t="s">
        <v>31</v>
      </c>
      <c r="F17361" s="33" t="s">
        <v>32</v>
      </c>
      <c r="G17361" s="33" t="s">
        <v>140</v>
      </c>
      <c r="H17361" s="35">
        <v>284</v>
      </c>
      <c r="I17361" s="33" t="s">
        <v>51</v>
      </c>
      <c r="J17361" s="42">
        <v>45546</v>
      </c>
      <c r="K17361" s="33" t="s">
        <v>22</v>
      </c>
    </row>
    <row r="17362" spans="1:11">
      <c r="A17362" s="30" t="s">
        <v>38834</v>
      </c>
      <c r="B17362" s="30" t="s">
        <v>38835</v>
      </c>
      <c r="C17362" s="30" t="s">
        <v>93</v>
      </c>
      <c r="D17362" s="30" t="s">
        <v>17</v>
      </c>
      <c r="E17362" s="30" t="s">
        <v>31</v>
      </c>
      <c r="F17362" s="30" t="s">
        <v>32</v>
      </c>
      <c r="G17362" s="30" t="s">
        <v>140</v>
      </c>
      <c r="H17362" s="32">
        <v>60</v>
      </c>
      <c r="I17362" s="30" t="s">
        <v>51</v>
      </c>
      <c r="J17362" s="41">
        <v>45518</v>
      </c>
      <c r="K17362" s="30" t="s">
        <v>22</v>
      </c>
    </row>
    <row r="17363" spans="1:11">
      <c r="A17363" s="33" t="s">
        <v>38836</v>
      </c>
      <c r="B17363" s="33" t="s">
        <v>38837</v>
      </c>
      <c r="C17363" s="33" t="s">
        <v>1275</v>
      </c>
      <c r="D17363" s="33" t="s">
        <v>17</v>
      </c>
      <c r="E17363" s="33" t="s">
        <v>18</v>
      </c>
      <c r="F17363" s="33" t="s">
        <v>19</v>
      </c>
      <c r="G17363" s="33" t="s">
        <v>20</v>
      </c>
      <c r="H17363" s="35">
        <v>161</v>
      </c>
      <c r="I17363" s="33" t="s">
        <v>21</v>
      </c>
      <c r="J17363" s="42">
        <v>45512</v>
      </c>
      <c r="K17363" s="33" t="s">
        <v>22</v>
      </c>
    </row>
    <row r="17364" spans="1:11">
      <c r="A17364" s="30" t="s">
        <v>38838</v>
      </c>
      <c r="B17364" s="30" t="s">
        <v>38839</v>
      </c>
      <c r="C17364" s="30" t="s">
        <v>93</v>
      </c>
      <c r="D17364" s="30" t="s">
        <v>17</v>
      </c>
      <c r="E17364" s="30" t="s">
        <v>26</v>
      </c>
      <c r="F17364" s="30" t="s">
        <v>27</v>
      </c>
      <c r="G17364" s="30" t="s">
        <v>140</v>
      </c>
      <c r="H17364" s="32">
        <v>20</v>
      </c>
      <c r="I17364" s="30" t="s">
        <v>51</v>
      </c>
      <c r="J17364" s="41">
        <v>45546</v>
      </c>
      <c r="K17364" s="30" t="s">
        <v>22</v>
      </c>
    </row>
    <row r="17365" spans="1:11">
      <c r="A17365" s="33" t="s">
        <v>38840</v>
      </c>
      <c r="B17365" s="33" t="s">
        <v>38841</v>
      </c>
      <c r="C17365" s="33" t="s">
        <v>38361</v>
      </c>
      <c r="D17365" s="33" t="s">
        <v>17</v>
      </c>
      <c r="E17365" s="33" t="s">
        <v>67</v>
      </c>
      <c r="F17365" s="33" t="s">
        <v>68</v>
      </c>
      <c r="G17365" s="33" t="s">
        <v>140</v>
      </c>
      <c r="H17365" s="35">
        <v>24</v>
      </c>
      <c r="I17365" s="33" t="s">
        <v>51</v>
      </c>
      <c r="J17365" s="42">
        <v>45358</v>
      </c>
      <c r="K17365" s="33" t="s">
        <v>22</v>
      </c>
    </row>
    <row r="17366" spans="1:11">
      <c r="A17366" s="30" t="s">
        <v>38842</v>
      </c>
      <c r="B17366" s="30" t="s">
        <v>38843</v>
      </c>
      <c r="C17366" s="30" t="s">
        <v>25632</v>
      </c>
      <c r="D17366" s="30" t="s">
        <v>17</v>
      </c>
      <c r="E17366" s="30" t="s">
        <v>26</v>
      </c>
      <c r="F17366" s="30" t="s">
        <v>27</v>
      </c>
      <c r="G17366" s="30" t="s">
        <v>140</v>
      </c>
      <c r="H17366" s="32">
        <v>12</v>
      </c>
      <c r="I17366" s="30" t="s">
        <v>51</v>
      </c>
      <c r="J17366" s="41">
        <v>45411</v>
      </c>
      <c r="K17366" s="30" t="s">
        <v>22</v>
      </c>
    </row>
    <row r="17367" spans="1:11">
      <c r="A17367" s="33" t="s">
        <v>38844</v>
      </c>
      <c r="B17367" s="33" t="s">
        <v>38845</v>
      </c>
      <c r="C17367" s="33" t="s">
        <v>1165</v>
      </c>
      <c r="D17367" s="33" t="s">
        <v>17</v>
      </c>
      <c r="E17367" s="33" t="s">
        <v>18</v>
      </c>
      <c r="F17367" s="33" t="s">
        <v>19</v>
      </c>
      <c r="G17367" s="33" t="s">
        <v>158</v>
      </c>
      <c r="H17367" s="35">
        <v>141</v>
      </c>
      <c r="I17367" s="33" t="s">
        <v>21</v>
      </c>
      <c r="J17367" s="42">
        <v>45553</v>
      </c>
      <c r="K17367" s="33" t="s">
        <v>22</v>
      </c>
    </row>
    <row r="17368" spans="1:11">
      <c r="A17368" s="30" t="s">
        <v>38846</v>
      </c>
      <c r="B17368" s="30" t="s">
        <v>38847</v>
      </c>
      <c r="C17368" s="30" t="s">
        <v>190</v>
      </c>
      <c r="D17368" s="30" t="s">
        <v>17</v>
      </c>
      <c r="E17368" s="30" t="s">
        <v>26</v>
      </c>
      <c r="F17368" s="30" t="s">
        <v>27</v>
      </c>
      <c r="G17368" s="30" t="s">
        <v>20</v>
      </c>
      <c r="H17368" s="32">
        <v>16</v>
      </c>
      <c r="I17368" s="30" t="s">
        <v>21</v>
      </c>
      <c r="J17368" s="41">
        <v>45643</v>
      </c>
      <c r="K17368" s="30" t="s">
        <v>22</v>
      </c>
    </row>
    <row r="17369" spans="1:11">
      <c r="A17369" s="33" t="s">
        <v>38848</v>
      </c>
      <c r="B17369" s="33" t="s">
        <v>38849</v>
      </c>
      <c r="C17369" s="33" t="s">
        <v>36831</v>
      </c>
      <c r="D17369" s="33" t="s">
        <v>17</v>
      </c>
      <c r="E17369" s="33" t="s">
        <v>26</v>
      </c>
      <c r="F17369" s="33" t="s">
        <v>27</v>
      </c>
      <c r="G17369" s="33" t="s">
        <v>140</v>
      </c>
      <c r="H17369" s="35">
        <v>70</v>
      </c>
      <c r="I17369" s="33" t="s">
        <v>51</v>
      </c>
      <c r="J17369" s="42">
        <v>45457</v>
      </c>
      <c r="K17369" s="33" t="s">
        <v>22</v>
      </c>
    </row>
    <row r="17370" spans="1:11">
      <c r="A17370" s="30" t="s">
        <v>38850</v>
      </c>
      <c r="B17370" s="30" t="s">
        <v>38851</v>
      </c>
      <c r="C17370" s="30" t="s">
        <v>318</v>
      </c>
      <c r="D17370" s="30" t="s">
        <v>17</v>
      </c>
      <c r="E17370" s="30" t="s">
        <v>31</v>
      </c>
      <c r="F17370" s="30" t="s">
        <v>32</v>
      </c>
      <c r="G17370" s="30" t="s">
        <v>106</v>
      </c>
      <c r="H17370" s="32">
        <v>209</v>
      </c>
      <c r="I17370" s="30" t="s">
        <v>21</v>
      </c>
      <c r="J17370" s="41">
        <v>45421</v>
      </c>
      <c r="K17370" s="30" t="s">
        <v>22</v>
      </c>
    </row>
    <row r="17371" spans="1:11">
      <c r="A17371" s="33" t="s">
        <v>38852</v>
      </c>
      <c r="B17371" s="33" t="s">
        <v>38853</v>
      </c>
      <c r="C17371" s="33" t="s">
        <v>801</v>
      </c>
      <c r="D17371" s="33" t="s">
        <v>17</v>
      </c>
      <c r="E17371" s="33" t="s">
        <v>26</v>
      </c>
      <c r="F17371" s="33" t="s">
        <v>27</v>
      </c>
      <c r="G17371" s="33" t="s">
        <v>20</v>
      </c>
      <c r="H17371" s="35">
        <v>18</v>
      </c>
      <c r="I17371" s="33" t="s">
        <v>21</v>
      </c>
      <c r="J17371" s="42">
        <v>45334</v>
      </c>
      <c r="K17371" s="33" t="s">
        <v>22</v>
      </c>
    </row>
    <row r="17372" spans="1:11">
      <c r="A17372" s="30" t="s">
        <v>38854</v>
      </c>
      <c r="B17372" s="30" t="s">
        <v>38855</v>
      </c>
      <c r="C17372" s="30" t="s">
        <v>203</v>
      </c>
      <c r="D17372" s="30" t="s">
        <v>17</v>
      </c>
      <c r="E17372" s="30" t="s">
        <v>18</v>
      </c>
      <c r="F17372" s="30" t="s">
        <v>19</v>
      </c>
      <c r="G17372" s="30" t="s">
        <v>158</v>
      </c>
      <c r="H17372" s="32">
        <v>260</v>
      </c>
      <c r="I17372" s="30" t="s">
        <v>51</v>
      </c>
      <c r="J17372" s="41">
        <v>45314</v>
      </c>
      <c r="K17372" s="30" t="s">
        <v>22</v>
      </c>
    </row>
    <row r="17373" spans="1:11">
      <c r="A17373" s="33" t="s">
        <v>38856</v>
      </c>
      <c r="B17373" s="33" t="s">
        <v>38857</v>
      </c>
      <c r="C17373" s="33" t="s">
        <v>318</v>
      </c>
      <c r="D17373" s="33" t="s">
        <v>17</v>
      </c>
      <c r="E17373" s="33" t="s">
        <v>26</v>
      </c>
      <c r="F17373" s="33" t="s">
        <v>27</v>
      </c>
      <c r="G17373" s="33" t="s">
        <v>158</v>
      </c>
      <c r="H17373" s="35">
        <v>50</v>
      </c>
      <c r="I17373" s="33" t="s">
        <v>21</v>
      </c>
      <c r="J17373" s="42">
        <v>45558</v>
      </c>
      <c r="K17373" s="33" t="s">
        <v>22</v>
      </c>
    </row>
    <row r="17374" spans="1:11">
      <c r="A17374" s="30" t="s">
        <v>38858</v>
      </c>
      <c r="B17374" s="30" t="s">
        <v>38859</v>
      </c>
      <c r="C17374" s="30" t="s">
        <v>38860</v>
      </c>
      <c r="D17374" s="30" t="s">
        <v>17</v>
      </c>
      <c r="E17374" s="30" t="s">
        <v>45</v>
      </c>
      <c r="F17374" s="30" t="s">
        <v>46</v>
      </c>
      <c r="G17374" s="30" t="s">
        <v>158</v>
      </c>
      <c r="H17374" s="32">
        <v>390</v>
      </c>
      <c r="I17374" s="30" t="s">
        <v>51</v>
      </c>
      <c r="J17374" s="41">
        <v>45425</v>
      </c>
      <c r="K17374" s="30" t="s">
        <v>22</v>
      </c>
    </row>
    <row r="17375" spans="1:11">
      <c r="A17375" s="33" t="s">
        <v>38861</v>
      </c>
      <c r="B17375" s="33" t="s">
        <v>38862</v>
      </c>
      <c r="C17375" s="33" t="s">
        <v>190</v>
      </c>
      <c r="D17375" s="33" t="s">
        <v>17</v>
      </c>
      <c r="E17375" s="33" t="s">
        <v>67</v>
      </c>
      <c r="F17375" s="33" t="s">
        <v>68</v>
      </c>
      <c r="G17375" s="33" t="s">
        <v>140</v>
      </c>
      <c r="H17375" s="35">
        <v>334</v>
      </c>
      <c r="I17375" s="33" t="s">
        <v>51</v>
      </c>
      <c r="J17375" s="42">
        <v>45309</v>
      </c>
      <c r="K17375" s="33" t="s">
        <v>22</v>
      </c>
    </row>
    <row r="17376" spans="1:11">
      <c r="A17376" s="30" t="s">
        <v>38863</v>
      </c>
      <c r="B17376" s="30" t="s">
        <v>38864</v>
      </c>
      <c r="C17376" s="30" t="s">
        <v>28250</v>
      </c>
      <c r="D17376" s="30" t="s">
        <v>17</v>
      </c>
      <c r="E17376" s="30" t="s">
        <v>31</v>
      </c>
      <c r="F17376" s="30" t="s">
        <v>32</v>
      </c>
      <c r="G17376" s="30" t="s">
        <v>140</v>
      </c>
      <c r="H17376" s="32">
        <v>60</v>
      </c>
      <c r="I17376" s="30" t="s">
        <v>51</v>
      </c>
      <c r="J17376" s="41">
        <v>45575</v>
      </c>
      <c r="K17376" s="30" t="s">
        <v>22</v>
      </c>
    </row>
    <row r="17377" spans="1:11">
      <c r="A17377" s="33" t="s">
        <v>38865</v>
      </c>
      <c r="B17377" s="33" t="s">
        <v>38866</v>
      </c>
      <c r="C17377" s="33" t="s">
        <v>353</v>
      </c>
      <c r="D17377" s="33" t="s">
        <v>17</v>
      </c>
      <c r="E17377" s="33" t="s">
        <v>26</v>
      </c>
      <c r="F17377" s="33" t="s">
        <v>27</v>
      </c>
      <c r="G17377" s="33" t="s">
        <v>7780</v>
      </c>
      <c r="H17377" s="35">
        <v>80</v>
      </c>
      <c r="I17377" s="33" t="s">
        <v>51</v>
      </c>
      <c r="J17377" s="42">
        <v>45642</v>
      </c>
      <c r="K17377" s="33" t="s">
        <v>22</v>
      </c>
    </row>
    <row r="17378" spans="1:11">
      <c r="A17378" s="30" t="s">
        <v>38867</v>
      </c>
      <c r="B17378" s="30" t="s">
        <v>38868</v>
      </c>
      <c r="C17378" s="30" t="s">
        <v>252</v>
      </c>
      <c r="D17378" s="30" t="s">
        <v>17</v>
      </c>
      <c r="E17378" s="30" t="s">
        <v>31</v>
      </c>
      <c r="F17378" s="30" t="s">
        <v>32</v>
      </c>
      <c r="G17378" s="30" t="s">
        <v>140</v>
      </c>
      <c r="H17378" s="32">
        <v>172</v>
      </c>
      <c r="I17378" s="30" t="s">
        <v>51</v>
      </c>
      <c r="J17378" s="41">
        <v>45608</v>
      </c>
      <c r="K17378" s="30" t="s">
        <v>22</v>
      </c>
    </row>
    <row r="17379" spans="1:11">
      <c r="A17379" s="33" t="s">
        <v>38869</v>
      </c>
      <c r="B17379" s="33" t="s">
        <v>38870</v>
      </c>
      <c r="C17379" s="33" t="s">
        <v>733</v>
      </c>
      <c r="D17379" s="33" t="s">
        <v>17</v>
      </c>
      <c r="E17379" s="33" t="s">
        <v>26</v>
      </c>
      <c r="F17379" s="33" t="s">
        <v>27</v>
      </c>
      <c r="G17379" s="33" t="s">
        <v>20</v>
      </c>
      <c r="H17379" s="35">
        <v>8</v>
      </c>
      <c r="I17379" s="33" t="s">
        <v>21</v>
      </c>
      <c r="J17379" s="42">
        <v>45573</v>
      </c>
      <c r="K17379" s="33" t="s">
        <v>22</v>
      </c>
    </row>
    <row r="17380" spans="1:11">
      <c r="A17380" s="30" t="s">
        <v>38871</v>
      </c>
      <c r="B17380" s="30" t="s">
        <v>38872</v>
      </c>
      <c r="C17380" s="30" t="s">
        <v>109</v>
      </c>
      <c r="D17380" s="30" t="s">
        <v>17</v>
      </c>
      <c r="E17380" s="30" t="s">
        <v>31</v>
      </c>
      <c r="F17380" s="30" t="s">
        <v>32</v>
      </c>
      <c r="G17380" s="30" t="s">
        <v>140</v>
      </c>
      <c r="H17380" s="32">
        <v>327</v>
      </c>
      <c r="I17380" s="30" t="s">
        <v>51</v>
      </c>
      <c r="J17380" s="41">
        <v>45314</v>
      </c>
      <c r="K17380" s="30" t="s">
        <v>22</v>
      </c>
    </row>
    <row r="17381" spans="1:11">
      <c r="A17381" s="33" t="s">
        <v>38873</v>
      </c>
      <c r="B17381" s="33" t="s">
        <v>38874</v>
      </c>
      <c r="C17381" s="33" t="s">
        <v>1583</v>
      </c>
      <c r="D17381" s="33" t="s">
        <v>17</v>
      </c>
      <c r="E17381" s="33" t="s">
        <v>31</v>
      </c>
      <c r="F17381" s="33" t="s">
        <v>32</v>
      </c>
      <c r="G17381" s="33" t="s">
        <v>158</v>
      </c>
      <c r="H17381" s="35">
        <v>54</v>
      </c>
      <c r="I17381" s="33" t="s">
        <v>21</v>
      </c>
      <c r="J17381" s="42">
        <v>45432</v>
      </c>
      <c r="K17381" s="33" t="s">
        <v>22</v>
      </c>
    </row>
    <row r="17382" spans="1:11">
      <c r="A17382" s="30" t="s">
        <v>38875</v>
      </c>
      <c r="B17382" s="30" t="s">
        <v>38876</v>
      </c>
      <c r="C17382" s="30" t="s">
        <v>28028</v>
      </c>
      <c r="D17382" s="30" t="s">
        <v>17</v>
      </c>
      <c r="E17382" s="30" t="s">
        <v>18</v>
      </c>
      <c r="F17382" s="30" t="s">
        <v>19</v>
      </c>
      <c r="G17382" s="30" t="s">
        <v>158</v>
      </c>
      <c r="H17382" s="32">
        <v>330</v>
      </c>
      <c r="I17382" s="30" t="s">
        <v>51</v>
      </c>
      <c r="J17382" s="41">
        <v>45555</v>
      </c>
      <c r="K17382" s="30" t="s">
        <v>22</v>
      </c>
    </row>
    <row r="17383" spans="1:11">
      <c r="A17383" s="33" t="s">
        <v>38877</v>
      </c>
      <c r="B17383" s="33" t="s">
        <v>38878</v>
      </c>
      <c r="C17383" s="33" t="s">
        <v>21565</v>
      </c>
      <c r="D17383" s="33" t="s">
        <v>17</v>
      </c>
      <c r="E17383" s="33" t="s">
        <v>26</v>
      </c>
      <c r="F17383" s="33" t="s">
        <v>27</v>
      </c>
      <c r="G17383" s="33" t="s">
        <v>20</v>
      </c>
      <c r="H17383" s="35">
        <v>60</v>
      </c>
      <c r="I17383" s="33" t="s">
        <v>21</v>
      </c>
      <c r="J17383" s="42">
        <v>45414</v>
      </c>
      <c r="K17383" s="33" t="s">
        <v>22</v>
      </c>
    </row>
    <row r="17384" spans="1:11">
      <c r="A17384" s="30" t="s">
        <v>38879</v>
      </c>
      <c r="B17384" s="30" t="s">
        <v>38880</v>
      </c>
      <c r="C17384" s="30" t="s">
        <v>3057</v>
      </c>
      <c r="D17384" s="30" t="s">
        <v>17</v>
      </c>
      <c r="E17384" s="30" t="s">
        <v>31</v>
      </c>
      <c r="F17384" s="30" t="s">
        <v>32</v>
      </c>
      <c r="G17384" s="30" t="s">
        <v>140</v>
      </c>
      <c r="H17384" s="32">
        <v>310</v>
      </c>
      <c r="I17384" s="30" t="s">
        <v>51</v>
      </c>
      <c r="J17384" s="41">
        <v>45450</v>
      </c>
      <c r="K17384" s="30" t="s">
        <v>22</v>
      </c>
    </row>
    <row r="17385" spans="1:11">
      <c r="A17385" s="33" t="s">
        <v>38881</v>
      </c>
      <c r="B17385" s="33" t="s">
        <v>38882</v>
      </c>
      <c r="C17385" s="33" t="s">
        <v>2888</v>
      </c>
      <c r="D17385" s="33" t="s">
        <v>17</v>
      </c>
      <c r="E17385" s="33" t="s">
        <v>26</v>
      </c>
      <c r="F17385" s="33" t="s">
        <v>27</v>
      </c>
      <c r="G17385" s="33" t="s">
        <v>140</v>
      </c>
      <c r="H17385" s="35">
        <v>8</v>
      </c>
      <c r="I17385" s="33" t="s">
        <v>51</v>
      </c>
      <c r="J17385" s="42">
        <v>45455</v>
      </c>
      <c r="K17385" s="33" t="s">
        <v>22</v>
      </c>
    </row>
    <row r="17386" spans="1:11">
      <c r="A17386" s="30" t="s">
        <v>38883</v>
      </c>
      <c r="B17386" s="30" t="s">
        <v>38884</v>
      </c>
      <c r="C17386" s="30" t="s">
        <v>3013</v>
      </c>
      <c r="D17386" s="30" t="s">
        <v>17</v>
      </c>
      <c r="E17386" s="30" t="s">
        <v>18</v>
      </c>
      <c r="F17386" s="30" t="s">
        <v>19</v>
      </c>
      <c r="G17386" s="30" t="s">
        <v>140</v>
      </c>
      <c r="H17386" s="32">
        <v>3508</v>
      </c>
      <c r="I17386" s="30" t="s">
        <v>51</v>
      </c>
      <c r="J17386" s="41">
        <v>45426</v>
      </c>
      <c r="K17386" s="30" t="s">
        <v>22</v>
      </c>
    </row>
    <row r="17387" spans="1:11">
      <c r="A17387" s="33" t="s">
        <v>38885</v>
      </c>
      <c r="B17387" s="33" t="s">
        <v>38886</v>
      </c>
      <c r="C17387" s="33" t="s">
        <v>33111</v>
      </c>
      <c r="D17387" s="33" t="s">
        <v>17</v>
      </c>
      <c r="E17387" s="33" t="s">
        <v>26</v>
      </c>
      <c r="F17387" s="33" t="s">
        <v>27</v>
      </c>
      <c r="G17387" s="33" t="s">
        <v>50</v>
      </c>
      <c r="H17387" s="35">
        <v>90</v>
      </c>
      <c r="I17387" s="33" t="s">
        <v>51</v>
      </c>
      <c r="J17387" s="42">
        <v>45317</v>
      </c>
      <c r="K17387" s="33" t="s">
        <v>22</v>
      </c>
    </row>
    <row r="17388" spans="1:11">
      <c r="A17388" s="30" t="s">
        <v>38887</v>
      </c>
      <c r="B17388" s="30" t="s">
        <v>38888</v>
      </c>
      <c r="C17388" s="30" t="s">
        <v>14483</v>
      </c>
      <c r="D17388" s="30" t="s">
        <v>17</v>
      </c>
      <c r="E17388" s="30" t="s">
        <v>18</v>
      </c>
      <c r="F17388" s="30" t="s">
        <v>19</v>
      </c>
      <c r="G17388" s="30" t="s">
        <v>7780</v>
      </c>
      <c r="H17388" s="32">
        <v>60</v>
      </c>
      <c r="I17388" s="30" t="s">
        <v>51</v>
      </c>
      <c r="J17388" s="41">
        <v>45555</v>
      </c>
      <c r="K17388" s="30" t="s">
        <v>22</v>
      </c>
    </row>
    <row r="17389" spans="1:11">
      <c r="A17389" s="33" t="s">
        <v>38889</v>
      </c>
      <c r="B17389" s="33" t="s">
        <v>38890</v>
      </c>
      <c r="C17389" s="33" t="s">
        <v>25933</v>
      </c>
      <c r="D17389" s="33" t="s">
        <v>17</v>
      </c>
      <c r="E17389" s="33" t="s">
        <v>45</v>
      </c>
      <c r="F17389" s="33" t="s">
        <v>46</v>
      </c>
      <c r="G17389" s="33" t="s">
        <v>106</v>
      </c>
      <c r="H17389" s="35">
        <v>28</v>
      </c>
      <c r="I17389" s="33" t="s">
        <v>21</v>
      </c>
      <c r="J17389" s="42">
        <v>45537</v>
      </c>
      <c r="K17389" s="33" t="s">
        <v>22</v>
      </c>
    </row>
    <row r="17390" spans="1:11">
      <c r="A17390" s="30" t="s">
        <v>38891</v>
      </c>
      <c r="B17390" s="30" t="s">
        <v>38892</v>
      </c>
      <c r="C17390" s="30" t="s">
        <v>6528</v>
      </c>
      <c r="D17390" s="30" t="s">
        <v>17</v>
      </c>
      <c r="E17390" s="30" t="s">
        <v>26</v>
      </c>
      <c r="F17390" s="30" t="s">
        <v>27</v>
      </c>
      <c r="G17390" s="30" t="s">
        <v>140</v>
      </c>
      <c r="H17390" s="32">
        <v>24</v>
      </c>
      <c r="I17390" s="30" t="s">
        <v>51</v>
      </c>
      <c r="J17390" s="41">
        <v>45651</v>
      </c>
      <c r="K17390" s="30" t="s">
        <v>22</v>
      </c>
    </row>
    <row r="17391" spans="1:11">
      <c r="A17391" s="33" t="s">
        <v>38893</v>
      </c>
      <c r="B17391" s="33" t="s">
        <v>38894</v>
      </c>
      <c r="C17391" s="33" t="s">
        <v>38895</v>
      </c>
      <c r="D17391" s="33" t="s">
        <v>17</v>
      </c>
      <c r="E17391" s="33" t="s">
        <v>18</v>
      </c>
      <c r="F17391" s="33" t="s">
        <v>19</v>
      </c>
      <c r="G17391" s="33" t="s">
        <v>50</v>
      </c>
      <c r="H17391" s="35">
        <v>286</v>
      </c>
      <c r="I17391" s="33" t="s">
        <v>51</v>
      </c>
      <c r="J17391" s="42">
        <v>45352</v>
      </c>
      <c r="K17391" s="33" t="s">
        <v>22</v>
      </c>
    </row>
    <row r="17392" spans="1:11">
      <c r="A17392" s="30" t="s">
        <v>38896</v>
      </c>
      <c r="B17392" s="30" t="s">
        <v>38897</v>
      </c>
      <c r="C17392" s="30" t="s">
        <v>644</v>
      </c>
      <c r="D17392" s="30" t="s">
        <v>17</v>
      </c>
      <c r="E17392" s="30" t="s">
        <v>31</v>
      </c>
      <c r="F17392" s="30" t="s">
        <v>32</v>
      </c>
      <c r="G17392" s="30" t="s">
        <v>20</v>
      </c>
      <c r="H17392" s="32">
        <v>43</v>
      </c>
      <c r="I17392" s="30" t="s">
        <v>21</v>
      </c>
      <c r="J17392" s="41">
        <v>45310</v>
      </c>
      <c r="K17392" s="30" t="s">
        <v>22</v>
      </c>
    </row>
    <row r="17393" spans="1:11">
      <c r="A17393" s="33" t="s">
        <v>38898</v>
      </c>
      <c r="B17393" s="33" t="s">
        <v>38899</v>
      </c>
      <c r="C17393" s="33" t="s">
        <v>231</v>
      </c>
      <c r="D17393" s="33" t="s">
        <v>17</v>
      </c>
      <c r="E17393" s="33" t="s">
        <v>26</v>
      </c>
      <c r="F17393" s="33" t="s">
        <v>27</v>
      </c>
      <c r="G17393" s="33" t="s">
        <v>20</v>
      </c>
      <c r="H17393" s="35">
        <v>18</v>
      </c>
      <c r="I17393" s="33" t="s">
        <v>21</v>
      </c>
      <c r="J17393" s="42">
        <v>45440</v>
      </c>
      <c r="K17393" s="33" t="s">
        <v>22</v>
      </c>
    </row>
    <row r="17394" spans="1:11">
      <c r="A17394" s="30" t="s">
        <v>38900</v>
      </c>
      <c r="B17394" s="30" t="s">
        <v>38901</v>
      </c>
      <c r="C17394" s="30" t="s">
        <v>5262</v>
      </c>
      <c r="D17394" s="30" t="s">
        <v>17</v>
      </c>
      <c r="E17394" s="30" t="s">
        <v>31</v>
      </c>
      <c r="F17394" s="30" t="s">
        <v>32</v>
      </c>
      <c r="G17394" s="30" t="s">
        <v>158</v>
      </c>
      <c r="H17394" s="32">
        <v>64</v>
      </c>
      <c r="I17394" s="30" t="s">
        <v>51</v>
      </c>
      <c r="J17394" s="41">
        <v>45464</v>
      </c>
      <c r="K17394" s="30" t="s">
        <v>22</v>
      </c>
    </row>
    <row r="17395" spans="1:11">
      <c r="A17395" s="33" t="s">
        <v>38902</v>
      </c>
      <c r="B17395" s="33" t="s">
        <v>38903</v>
      </c>
      <c r="C17395" s="33" t="s">
        <v>38904</v>
      </c>
      <c r="D17395" s="33" t="s">
        <v>17</v>
      </c>
      <c r="E17395" s="33" t="s">
        <v>26</v>
      </c>
      <c r="F17395" s="33" t="s">
        <v>27</v>
      </c>
      <c r="G17395" s="33" t="s">
        <v>20</v>
      </c>
      <c r="H17395" s="35">
        <v>32</v>
      </c>
      <c r="I17395" s="33" t="s">
        <v>21</v>
      </c>
      <c r="J17395" s="42">
        <v>45536</v>
      </c>
      <c r="K17395" s="33" t="s">
        <v>22</v>
      </c>
    </row>
    <row r="17396" spans="1:11">
      <c r="A17396" s="30" t="s">
        <v>38905</v>
      </c>
      <c r="B17396" s="30" t="s">
        <v>38906</v>
      </c>
      <c r="C17396" s="30" t="s">
        <v>231</v>
      </c>
      <c r="D17396" s="30" t="s">
        <v>17</v>
      </c>
      <c r="E17396" s="30" t="s">
        <v>18</v>
      </c>
      <c r="F17396" s="30" t="s">
        <v>19</v>
      </c>
      <c r="G17396" s="30" t="s">
        <v>112</v>
      </c>
      <c r="H17396" s="32">
        <v>0</v>
      </c>
      <c r="I17396" s="30" t="s">
        <v>21</v>
      </c>
      <c r="J17396" s="41">
        <v>45470</v>
      </c>
      <c r="K17396" s="30" t="s">
        <v>22</v>
      </c>
    </row>
    <row r="17397" spans="1:11">
      <c r="A17397" s="33" t="s">
        <v>38907</v>
      </c>
      <c r="B17397" s="33" t="s">
        <v>38908</v>
      </c>
      <c r="C17397" s="33" t="s">
        <v>8311</v>
      </c>
      <c r="D17397" s="33" t="s">
        <v>17</v>
      </c>
      <c r="E17397" s="33" t="s">
        <v>31</v>
      </c>
      <c r="F17397" s="33" t="s">
        <v>32</v>
      </c>
      <c r="G17397" s="33" t="s">
        <v>140</v>
      </c>
      <c r="H17397" s="35">
        <v>128</v>
      </c>
      <c r="I17397" s="33" t="s">
        <v>51</v>
      </c>
      <c r="J17397" s="42">
        <v>45322</v>
      </c>
      <c r="K17397" s="33" t="s">
        <v>22</v>
      </c>
    </row>
    <row r="17398" spans="1:11">
      <c r="A17398" s="30" t="s">
        <v>38909</v>
      </c>
      <c r="B17398" s="30" t="s">
        <v>38910</v>
      </c>
      <c r="C17398" s="30" t="s">
        <v>16391</v>
      </c>
      <c r="D17398" s="30" t="s">
        <v>17</v>
      </c>
      <c r="E17398" s="30" t="s">
        <v>26</v>
      </c>
      <c r="F17398" s="30" t="s">
        <v>27</v>
      </c>
      <c r="G17398" s="30" t="s">
        <v>20</v>
      </c>
      <c r="H17398" s="32">
        <v>34</v>
      </c>
      <c r="I17398" s="30" t="s">
        <v>21</v>
      </c>
      <c r="J17398" s="41">
        <v>45355</v>
      </c>
      <c r="K17398" s="30" t="s">
        <v>22</v>
      </c>
    </row>
    <row r="17399" spans="1:11">
      <c r="A17399" s="33" t="s">
        <v>38911</v>
      </c>
      <c r="B17399" s="33" t="s">
        <v>38912</v>
      </c>
      <c r="C17399" s="33" t="s">
        <v>18347</v>
      </c>
      <c r="D17399" s="33" t="s">
        <v>17</v>
      </c>
      <c r="E17399" s="33" t="s">
        <v>26</v>
      </c>
      <c r="F17399" s="33" t="s">
        <v>27</v>
      </c>
      <c r="G17399" s="33" t="s">
        <v>20</v>
      </c>
      <c r="H17399" s="35">
        <v>24</v>
      </c>
      <c r="I17399" s="33" t="s">
        <v>21</v>
      </c>
      <c r="J17399" s="42">
        <v>45496</v>
      </c>
      <c r="K17399" s="33" t="s">
        <v>22</v>
      </c>
    </row>
    <row r="17400" spans="1:11">
      <c r="A17400" s="30" t="s">
        <v>38913</v>
      </c>
      <c r="B17400" s="30" t="s">
        <v>38914</v>
      </c>
      <c r="C17400" s="30" t="s">
        <v>1808</v>
      </c>
      <c r="D17400" s="30" t="s">
        <v>17</v>
      </c>
      <c r="E17400" s="30" t="s">
        <v>26</v>
      </c>
      <c r="F17400" s="30" t="s">
        <v>27</v>
      </c>
      <c r="G17400" s="30" t="s">
        <v>20</v>
      </c>
      <c r="H17400" s="32">
        <v>48</v>
      </c>
      <c r="I17400" s="30" t="s">
        <v>21</v>
      </c>
      <c r="J17400" s="41">
        <v>45363</v>
      </c>
      <c r="K17400" s="30" t="s">
        <v>22</v>
      </c>
    </row>
    <row r="17401" spans="1:11">
      <c r="A17401" s="33" t="s">
        <v>38915</v>
      </c>
      <c r="B17401" s="33" t="s">
        <v>38916</v>
      </c>
      <c r="C17401" s="33" t="s">
        <v>12921</v>
      </c>
      <c r="D17401" s="33" t="s">
        <v>17</v>
      </c>
      <c r="E17401" s="33" t="s">
        <v>26</v>
      </c>
      <c r="F17401" s="33" t="s">
        <v>27</v>
      </c>
      <c r="G17401" s="33" t="s">
        <v>140</v>
      </c>
      <c r="H17401" s="35">
        <v>48</v>
      </c>
      <c r="I17401" s="33" t="s">
        <v>51</v>
      </c>
      <c r="J17401" s="42">
        <v>45609</v>
      </c>
      <c r="K17401" s="33" t="s">
        <v>22</v>
      </c>
    </row>
    <row r="17402" spans="1:11">
      <c r="A17402" s="30" t="s">
        <v>38917</v>
      </c>
      <c r="B17402" s="30" t="s">
        <v>38918</v>
      </c>
      <c r="C17402" s="30" t="s">
        <v>5050</v>
      </c>
      <c r="D17402" s="30" t="s">
        <v>17</v>
      </c>
      <c r="E17402" s="30" t="s">
        <v>18</v>
      </c>
      <c r="F17402" s="30" t="s">
        <v>19</v>
      </c>
      <c r="G17402" s="30" t="s">
        <v>20</v>
      </c>
      <c r="H17402" s="32">
        <v>60</v>
      </c>
      <c r="I17402" s="30" t="s">
        <v>21</v>
      </c>
      <c r="J17402" s="41">
        <v>45610</v>
      </c>
      <c r="K17402" s="30" t="s">
        <v>22</v>
      </c>
    </row>
    <row r="17403" spans="1:11">
      <c r="A17403" s="33" t="s">
        <v>38919</v>
      </c>
      <c r="B17403" s="33" t="s">
        <v>38920</v>
      </c>
      <c r="C17403" s="33" t="s">
        <v>203</v>
      </c>
      <c r="D17403" s="33" t="s">
        <v>17</v>
      </c>
      <c r="E17403" s="33" t="s">
        <v>31</v>
      </c>
      <c r="F17403" s="33" t="s">
        <v>32</v>
      </c>
      <c r="G17403" s="33" t="s">
        <v>140</v>
      </c>
      <c r="H17403" s="35">
        <v>260</v>
      </c>
      <c r="I17403" s="33" t="s">
        <v>51</v>
      </c>
      <c r="J17403" s="42">
        <v>45636</v>
      </c>
      <c r="K17403" s="33" t="s">
        <v>22</v>
      </c>
    </row>
    <row r="17404" spans="1:11">
      <c r="A17404" s="30" t="s">
        <v>38921</v>
      </c>
      <c r="B17404" s="30" t="s">
        <v>38922</v>
      </c>
      <c r="C17404" s="30" t="s">
        <v>32839</v>
      </c>
      <c r="D17404" s="30" t="s">
        <v>17</v>
      </c>
      <c r="E17404" s="30" t="s">
        <v>26</v>
      </c>
      <c r="F17404" s="30" t="s">
        <v>27</v>
      </c>
      <c r="G17404" s="30" t="s">
        <v>140</v>
      </c>
      <c r="H17404" s="32">
        <v>36</v>
      </c>
      <c r="I17404" s="30" t="s">
        <v>51</v>
      </c>
      <c r="J17404" s="41">
        <v>45617</v>
      </c>
      <c r="K17404" s="30" t="s">
        <v>22</v>
      </c>
    </row>
    <row r="17405" spans="1:11">
      <c r="A17405" s="33" t="s">
        <v>38923</v>
      </c>
      <c r="B17405" s="33" t="s">
        <v>38924</v>
      </c>
      <c r="C17405" s="33" t="s">
        <v>136</v>
      </c>
      <c r="D17405" s="33" t="s">
        <v>17</v>
      </c>
      <c r="E17405" s="33" t="s">
        <v>212</v>
      </c>
      <c r="F17405" s="33" t="s">
        <v>213</v>
      </c>
      <c r="G17405" s="33" t="s">
        <v>20</v>
      </c>
      <c r="H17405" s="35">
        <v>166</v>
      </c>
      <c r="I17405" s="33" t="s">
        <v>21</v>
      </c>
      <c r="J17405" s="42">
        <v>45576</v>
      </c>
      <c r="K17405" s="33" t="s">
        <v>22</v>
      </c>
    </row>
    <row r="17406" spans="1:11">
      <c r="A17406" s="30" t="s">
        <v>38925</v>
      </c>
      <c r="B17406" s="30" t="s">
        <v>38926</v>
      </c>
      <c r="C17406" s="30" t="s">
        <v>647</v>
      </c>
      <c r="D17406" s="30" t="s">
        <v>17</v>
      </c>
      <c r="E17406" s="30" t="s">
        <v>18</v>
      </c>
      <c r="F17406" s="30" t="s">
        <v>19</v>
      </c>
      <c r="G17406" s="30" t="s">
        <v>140</v>
      </c>
      <c r="H17406" s="32">
        <v>300</v>
      </c>
      <c r="I17406" s="30" t="s">
        <v>51</v>
      </c>
      <c r="J17406" s="41">
        <v>45489</v>
      </c>
      <c r="K17406" s="30" t="s">
        <v>22</v>
      </c>
    </row>
    <row r="17407" spans="1:11">
      <c r="A17407" s="33" t="s">
        <v>38927</v>
      </c>
      <c r="B17407" s="33" t="s">
        <v>38928</v>
      </c>
      <c r="C17407" s="33" t="s">
        <v>715</v>
      </c>
      <c r="D17407" s="33" t="s">
        <v>17</v>
      </c>
      <c r="E17407" s="33" t="s">
        <v>26</v>
      </c>
      <c r="F17407" s="33" t="s">
        <v>27</v>
      </c>
      <c r="G17407" s="33" t="s">
        <v>106</v>
      </c>
      <c r="H17407" s="35">
        <v>116</v>
      </c>
      <c r="I17407" s="33" t="s">
        <v>21</v>
      </c>
      <c r="J17407" s="42">
        <v>45525</v>
      </c>
      <c r="K17407" s="33" t="s">
        <v>22</v>
      </c>
    </row>
    <row r="17408" spans="1:11">
      <c r="A17408" s="30" t="s">
        <v>38929</v>
      </c>
      <c r="B17408" s="30" t="s">
        <v>38930</v>
      </c>
      <c r="C17408" s="30" t="s">
        <v>2239</v>
      </c>
      <c r="D17408" s="30" t="s">
        <v>17</v>
      </c>
      <c r="E17408" s="30" t="s">
        <v>18</v>
      </c>
      <c r="F17408" s="30" t="s">
        <v>19</v>
      </c>
      <c r="G17408" s="30" t="s">
        <v>140</v>
      </c>
      <c r="H17408" s="32">
        <v>1350</v>
      </c>
      <c r="I17408" s="30" t="s">
        <v>51</v>
      </c>
      <c r="J17408" s="41">
        <v>45364</v>
      </c>
      <c r="K17408" s="30" t="s">
        <v>22</v>
      </c>
    </row>
    <row r="17409" spans="1:11">
      <c r="A17409" s="33" t="s">
        <v>38931</v>
      </c>
      <c r="B17409" s="33" t="s">
        <v>38932</v>
      </c>
      <c r="C17409" s="33" t="s">
        <v>38933</v>
      </c>
      <c r="D17409" s="33" t="s">
        <v>17</v>
      </c>
      <c r="E17409" s="33" t="s">
        <v>26</v>
      </c>
      <c r="F17409" s="33" t="s">
        <v>27</v>
      </c>
      <c r="G17409" s="33" t="s">
        <v>20</v>
      </c>
      <c r="H17409" s="35">
        <v>26</v>
      </c>
      <c r="I17409" s="33" t="s">
        <v>21</v>
      </c>
      <c r="J17409" s="42">
        <v>45307</v>
      </c>
      <c r="K17409" s="33" t="s">
        <v>22</v>
      </c>
    </row>
    <row r="17410" spans="1:11">
      <c r="A17410" s="30" t="s">
        <v>38934</v>
      </c>
      <c r="B17410" s="30" t="s">
        <v>38935</v>
      </c>
      <c r="C17410" s="30" t="s">
        <v>96</v>
      </c>
      <c r="D17410" s="30" t="s">
        <v>17</v>
      </c>
      <c r="E17410" s="30" t="s">
        <v>26</v>
      </c>
      <c r="F17410" s="30" t="s">
        <v>27</v>
      </c>
      <c r="G17410" s="30" t="s">
        <v>20</v>
      </c>
      <c r="H17410" s="32">
        <v>12</v>
      </c>
      <c r="I17410" s="30" t="s">
        <v>21</v>
      </c>
      <c r="J17410" s="41">
        <v>45601</v>
      </c>
      <c r="K17410" s="30" t="s">
        <v>22</v>
      </c>
    </row>
    <row r="17411" spans="1:11">
      <c r="A17411" s="33" t="s">
        <v>38936</v>
      </c>
      <c r="B17411" s="33" t="s">
        <v>38937</v>
      </c>
      <c r="C17411" s="33" t="s">
        <v>38938</v>
      </c>
      <c r="D17411" s="33" t="s">
        <v>17</v>
      </c>
      <c r="E17411" s="33" t="s">
        <v>31</v>
      </c>
      <c r="F17411" s="33" t="s">
        <v>32</v>
      </c>
      <c r="G17411" s="33" t="s">
        <v>20</v>
      </c>
      <c r="H17411" s="35">
        <v>40</v>
      </c>
      <c r="I17411" s="33" t="s">
        <v>21</v>
      </c>
      <c r="J17411" s="42">
        <v>45376</v>
      </c>
      <c r="K17411" s="33" t="s">
        <v>22</v>
      </c>
    </row>
    <row r="17412" spans="1:11">
      <c r="A17412" s="30" t="s">
        <v>38939</v>
      </c>
      <c r="B17412" s="30" t="s">
        <v>38940</v>
      </c>
      <c r="C17412" s="30" t="s">
        <v>22597</v>
      </c>
      <c r="D17412" s="30" t="s">
        <v>17</v>
      </c>
      <c r="E17412" s="30" t="s">
        <v>18</v>
      </c>
      <c r="F17412" s="30" t="s">
        <v>19</v>
      </c>
      <c r="G17412" s="30" t="s">
        <v>20</v>
      </c>
      <c r="H17412" s="32">
        <v>912</v>
      </c>
      <c r="I17412" s="30" t="s">
        <v>21</v>
      </c>
      <c r="J17412" s="41">
        <v>45498</v>
      </c>
      <c r="K17412" s="30" t="s">
        <v>22</v>
      </c>
    </row>
    <row r="17413" spans="1:11">
      <c r="A17413" s="33" t="s">
        <v>38941</v>
      </c>
      <c r="B17413" s="33" t="s">
        <v>38942</v>
      </c>
      <c r="C17413" s="33" t="s">
        <v>5802</v>
      </c>
      <c r="D17413" s="33" t="s">
        <v>17</v>
      </c>
      <c r="E17413" s="33" t="s">
        <v>31</v>
      </c>
      <c r="F17413" s="33" t="s">
        <v>32</v>
      </c>
      <c r="G17413" s="33" t="s">
        <v>140</v>
      </c>
      <c r="H17413" s="35">
        <v>385</v>
      </c>
      <c r="I17413" s="33" t="s">
        <v>51</v>
      </c>
      <c r="J17413" s="42">
        <v>45491</v>
      </c>
      <c r="K17413" s="33" t="s">
        <v>22</v>
      </c>
    </row>
    <row r="17414" spans="1:11">
      <c r="A17414" s="30" t="s">
        <v>38943</v>
      </c>
      <c r="B17414" s="30" t="s">
        <v>38944</v>
      </c>
      <c r="C17414" s="30" t="s">
        <v>38945</v>
      </c>
      <c r="D17414" s="30" t="s">
        <v>17</v>
      </c>
      <c r="E17414" s="30" t="s">
        <v>26</v>
      </c>
      <c r="F17414" s="30" t="s">
        <v>27</v>
      </c>
      <c r="G17414" s="30" t="s">
        <v>20</v>
      </c>
      <c r="H17414" s="32">
        <v>44</v>
      </c>
      <c r="I17414" s="30" t="s">
        <v>21</v>
      </c>
      <c r="J17414" s="41">
        <v>45370</v>
      </c>
      <c r="K17414" s="30" t="s">
        <v>22</v>
      </c>
    </row>
    <row r="17415" spans="1:11">
      <c r="A17415" s="33" t="s">
        <v>38946</v>
      </c>
      <c r="B17415" s="33" t="s">
        <v>38947</v>
      </c>
      <c r="C17415" s="33" t="s">
        <v>190</v>
      </c>
      <c r="D17415" s="33" t="s">
        <v>17</v>
      </c>
      <c r="E17415" s="33" t="s">
        <v>18</v>
      </c>
      <c r="F17415" s="33" t="s">
        <v>19</v>
      </c>
      <c r="G17415" s="33" t="s">
        <v>140</v>
      </c>
      <c r="H17415" s="35">
        <v>1018</v>
      </c>
      <c r="I17415" s="33" t="s">
        <v>51</v>
      </c>
      <c r="J17415" s="42">
        <v>45511</v>
      </c>
      <c r="K17415" s="33" t="s">
        <v>22</v>
      </c>
    </row>
    <row r="17416" spans="1:11">
      <c r="A17416" s="30" t="s">
        <v>38948</v>
      </c>
      <c r="B17416" s="30" t="s">
        <v>38949</v>
      </c>
      <c r="C17416" s="30" t="s">
        <v>26361</v>
      </c>
      <c r="D17416" s="30" t="s">
        <v>17</v>
      </c>
      <c r="E17416" s="30" t="s">
        <v>26</v>
      </c>
      <c r="F17416" s="30" t="s">
        <v>27</v>
      </c>
      <c r="G17416" s="30" t="s">
        <v>158</v>
      </c>
      <c r="H17416" s="32">
        <v>84</v>
      </c>
      <c r="I17416" s="30" t="s">
        <v>51</v>
      </c>
      <c r="J17416" s="41">
        <v>45504</v>
      </c>
      <c r="K17416" s="30" t="s">
        <v>22</v>
      </c>
    </row>
    <row r="17417" spans="1:11">
      <c r="A17417" s="33" t="s">
        <v>38950</v>
      </c>
      <c r="B17417" s="33" t="s">
        <v>38951</v>
      </c>
      <c r="C17417" s="33" t="s">
        <v>38433</v>
      </c>
      <c r="D17417" s="33" t="s">
        <v>17</v>
      </c>
      <c r="E17417" s="33" t="s">
        <v>26</v>
      </c>
      <c r="F17417" s="33" t="s">
        <v>27</v>
      </c>
      <c r="G17417" s="33" t="s">
        <v>158</v>
      </c>
      <c r="H17417" s="35">
        <v>18</v>
      </c>
      <c r="I17417" s="33" t="s">
        <v>51</v>
      </c>
      <c r="J17417" s="42">
        <v>45596</v>
      </c>
      <c r="K17417" s="33" t="s">
        <v>22</v>
      </c>
    </row>
    <row r="17418" spans="1:11">
      <c r="A17418" s="30" t="s">
        <v>38952</v>
      </c>
      <c r="B17418" s="30" t="s">
        <v>38953</v>
      </c>
      <c r="C17418" s="30" t="s">
        <v>15107</v>
      </c>
      <c r="D17418" s="30" t="s">
        <v>17</v>
      </c>
      <c r="E17418" s="30" t="s">
        <v>26</v>
      </c>
      <c r="F17418" s="30" t="s">
        <v>27</v>
      </c>
      <c r="G17418" s="30" t="s">
        <v>112</v>
      </c>
      <c r="H17418" s="32">
        <v>0</v>
      </c>
      <c r="I17418" s="30" t="s">
        <v>21</v>
      </c>
      <c r="J17418" s="41">
        <v>45603</v>
      </c>
      <c r="K17418" s="30" t="s">
        <v>22</v>
      </c>
    </row>
    <row r="17419" spans="1:11">
      <c r="A17419" s="33" t="s">
        <v>38954</v>
      </c>
      <c r="B17419" s="33" t="s">
        <v>38955</v>
      </c>
      <c r="C17419" s="33" t="s">
        <v>925</v>
      </c>
      <c r="D17419" s="33" t="s">
        <v>17</v>
      </c>
      <c r="E17419" s="33" t="s">
        <v>18</v>
      </c>
      <c r="F17419" s="33" t="s">
        <v>19</v>
      </c>
      <c r="G17419" s="33" t="s">
        <v>158</v>
      </c>
      <c r="H17419" s="35">
        <v>609</v>
      </c>
      <c r="I17419" s="33" t="s">
        <v>21</v>
      </c>
      <c r="J17419" s="42">
        <v>45574</v>
      </c>
      <c r="K17419" s="33" t="s">
        <v>22</v>
      </c>
    </row>
    <row r="17420" spans="1:11">
      <c r="A17420" s="30" t="s">
        <v>38956</v>
      </c>
      <c r="B17420" s="30" t="s">
        <v>38957</v>
      </c>
      <c r="C17420" s="30" t="s">
        <v>13241</v>
      </c>
      <c r="D17420" s="30" t="s">
        <v>17</v>
      </c>
      <c r="E17420" s="30" t="s">
        <v>31</v>
      </c>
      <c r="F17420" s="30" t="s">
        <v>32</v>
      </c>
      <c r="G17420" s="30" t="s">
        <v>106</v>
      </c>
      <c r="H17420" s="32">
        <v>46</v>
      </c>
      <c r="I17420" s="30" t="s">
        <v>21</v>
      </c>
      <c r="J17420" s="41">
        <v>45327</v>
      </c>
      <c r="K17420" s="30" t="s">
        <v>22</v>
      </c>
    </row>
    <row r="17421" spans="1:11">
      <c r="A17421" s="33" t="s">
        <v>38958</v>
      </c>
      <c r="B17421" s="33" t="s">
        <v>38959</v>
      </c>
      <c r="C17421" s="33" t="s">
        <v>96</v>
      </c>
      <c r="D17421" s="33" t="s">
        <v>17</v>
      </c>
      <c r="E17421" s="33" t="s">
        <v>26</v>
      </c>
      <c r="F17421" s="33" t="s">
        <v>27</v>
      </c>
      <c r="G17421" s="33" t="s">
        <v>20</v>
      </c>
      <c r="H17421" s="35">
        <v>6</v>
      </c>
      <c r="I17421" s="33" t="s">
        <v>21</v>
      </c>
      <c r="J17421" s="42">
        <v>45534</v>
      </c>
      <c r="K17421" s="33" t="s">
        <v>22</v>
      </c>
    </row>
    <row r="17422" spans="1:11">
      <c r="A17422" s="30" t="s">
        <v>38960</v>
      </c>
      <c r="B17422" s="30" t="s">
        <v>38961</v>
      </c>
      <c r="C17422" s="30" t="s">
        <v>33931</v>
      </c>
      <c r="D17422" s="30" t="s">
        <v>17</v>
      </c>
      <c r="E17422" s="30" t="s">
        <v>26</v>
      </c>
      <c r="F17422" s="30" t="s">
        <v>27</v>
      </c>
      <c r="G17422" s="30" t="s">
        <v>140</v>
      </c>
      <c r="H17422" s="32">
        <v>120</v>
      </c>
      <c r="I17422" s="30" t="s">
        <v>51</v>
      </c>
      <c r="J17422" s="41">
        <v>45645</v>
      </c>
      <c r="K17422" s="30" t="s">
        <v>22</v>
      </c>
    </row>
    <row r="17423" spans="1:11">
      <c r="A17423" s="33" t="s">
        <v>38962</v>
      </c>
      <c r="B17423" s="33" t="s">
        <v>38963</v>
      </c>
      <c r="C17423" s="33" t="s">
        <v>647</v>
      </c>
      <c r="D17423" s="33" t="s">
        <v>17</v>
      </c>
      <c r="E17423" s="33" t="s">
        <v>67</v>
      </c>
      <c r="F17423" s="33" t="s">
        <v>68</v>
      </c>
      <c r="G17423" s="33" t="s">
        <v>140</v>
      </c>
      <c r="H17423" s="35">
        <v>90</v>
      </c>
      <c r="I17423" s="33" t="s">
        <v>51</v>
      </c>
      <c r="J17423" s="42">
        <v>45520</v>
      </c>
      <c r="K17423" s="33" t="s">
        <v>22</v>
      </c>
    </row>
    <row r="17424" spans="1:11">
      <c r="A17424" s="30" t="s">
        <v>38964</v>
      </c>
      <c r="B17424" s="30" t="s">
        <v>38965</v>
      </c>
      <c r="C17424" s="30" t="s">
        <v>3944</v>
      </c>
      <c r="D17424" s="30" t="s">
        <v>17</v>
      </c>
      <c r="E17424" s="30" t="s">
        <v>26</v>
      </c>
      <c r="F17424" s="30" t="s">
        <v>27</v>
      </c>
      <c r="G17424" s="30" t="s">
        <v>140</v>
      </c>
      <c r="H17424" s="32">
        <v>30</v>
      </c>
      <c r="I17424" s="30" t="s">
        <v>51</v>
      </c>
      <c r="J17424" s="41">
        <v>45609</v>
      </c>
      <c r="K17424" s="30" t="s">
        <v>22</v>
      </c>
    </row>
    <row r="17425" spans="1:11">
      <c r="A17425" s="33" t="s">
        <v>38966</v>
      </c>
      <c r="B17425" s="33" t="s">
        <v>38967</v>
      </c>
      <c r="C17425" s="33" t="s">
        <v>15585</v>
      </c>
      <c r="D17425" s="33" t="s">
        <v>17</v>
      </c>
      <c r="E17425" s="33" t="s">
        <v>26</v>
      </c>
      <c r="F17425" s="33" t="s">
        <v>27</v>
      </c>
      <c r="G17425" s="33" t="s">
        <v>20</v>
      </c>
      <c r="H17425" s="35">
        <v>50</v>
      </c>
      <c r="I17425" s="33" t="s">
        <v>21</v>
      </c>
      <c r="J17425" s="42">
        <v>45628</v>
      </c>
      <c r="K17425" s="33" t="s">
        <v>22</v>
      </c>
    </row>
    <row r="17426" spans="1:11">
      <c r="A17426" s="30" t="s">
        <v>38968</v>
      </c>
      <c r="B17426" s="30" t="s">
        <v>38969</v>
      </c>
      <c r="C17426" s="30" t="s">
        <v>28502</v>
      </c>
      <c r="D17426" s="30" t="s">
        <v>17</v>
      </c>
      <c r="E17426" s="30" t="s">
        <v>67</v>
      </c>
      <c r="F17426" s="30" t="s">
        <v>68</v>
      </c>
      <c r="G17426" s="30" t="s">
        <v>158</v>
      </c>
      <c r="H17426" s="32">
        <v>141</v>
      </c>
      <c r="I17426" s="30" t="s">
        <v>21</v>
      </c>
      <c r="J17426" s="41">
        <v>45378</v>
      </c>
      <c r="K17426" s="30" t="s">
        <v>22</v>
      </c>
    </row>
    <row r="17427" spans="1:11">
      <c r="A17427" s="33" t="s">
        <v>38970</v>
      </c>
      <c r="B17427" s="33" t="s">
        <v>38971</v>
      </c>
      <c r="C17427" s="33" t="s">
        <v>12879</v>
      </c>
      <c r="D17427" s="33" t="s">
        <v>17</v>
      </c>
      <c r="E17427" s="33" t="s">
        <v>31</v>
      </c>
      <c r="F17427" s="33" t="s">
        <v>32</v>
      </c>
      <c r="G17427" s="33" t="s">
        <v>20</v>
      </c>
      <c r="H17427" s="35">
        <v>161</v>
      </c>
      <c r="I17427" s="33" t="s">
        <v>21</v>
      </c>
      <c r="J17427" s="42">
        <v>45509</v>
      </c>
      <c r="K17427" s="33" t="s">
        <v>22</v>
      </c>
    </row>
    <row r="17428" spans="1:11">
      <c r="A17428" s="30" t="s">
        <v>38972</v>
      </c>
      <c r="B17428" s="30" t="s">
        <v>38973</v>
      </c>
      <c r="C17428" s="30" t="s">
        <v>36967</v>
      </c>
      <c r="D17428" s="30" t="s">
        <v>17</v>
      </c>
      <c r="E17428" s="30" t="s">
        <v>26</v>
      </c>
      <c r="F17428" s="30" t="s">
        <v>27</v>
      </c>
      <c r="G17428" s="30" t="s">
        <v>158</v>
      </c>
      <c r="H17428" s="32">
        <v>9</v>
      </c>
      <c r="I17428" s="30" t="s">
        <v>51</v>
      </c>
      <c r="J17428" s="41">
        <v>45559</v>
      </c>
      <c r="K17428" s="30" t="s">
        <v>22</v>
      </c>
    </row>
    <row r="17429" spans="1:11">
      <c r="A17429" s="33" t="s">
        <v>38974</v>
      </c>
      <c r="B17429" s="33" t="s">
        <v>38975</v>
      </c>
      <c r="C17429" s="33" t="s">
        <v>25146</v>
      </c>
      <c r="D17429" s="33" t="s">
        <v>17</v>
      </c>
      <c r="E17429" s="33" t="s">
        <v>26</v>
      </c>
      <c r="F17429" s="33" t="s">
        <v>27</v>
      </c>
      <c r="G17429" s="33" t="s">
        <v>20</v>
      </c>
      <c r="H17429" s="35">
        <v>89</v>
      </c>
      <c r="I17429" s="33" t="s">
        <v>21</v>
      </c>
      <c r="J17429" s="42">
        <v>45601</v>
      </c>
      <c r="K17429" s="33" t="s">
        <v>22</v>
      </c>
    </row>
    <row r="17430" spans="1:11">
      <c r="A17430" s="30" t="s">
        <v>38976</v>
      </c>
      <c r="B17430" s="30" t="s">
        <v>38977</v>
      </c>
      <c r="C17430" s="30" t="s">
        <v>647</v>
      </c>
      <c r="D17430" s="30" t="s">
        <v>17</v>
      </c>
      <c r="E17430" s="30" t="s">
        <v>26</v>
      </c>
      <c r="F17430" s="30" t="s">
        <v>27</v>
      </c>
      <c r="G17430" s="30" t="s">
        <v>20</v>
      </c>
      <c r="H17430" s="32">
        <v>48</v>
      </c>
      <c r="I17430" s="30" t="s">
        <v>21</v>
      </c>
      <c r="J17430" s="41">
        <v>45456</v>
      </c>
      <c r="K17430" s="30" t="s">
        <v>22</v>
      </c>
    </row>
    <row r="17431" spans="1:11">
      <c r="A17431" s="33" t="s">
        <v>38978</v>
      </c>
      <c r="B17431" s="33" t="s">
        <v>38979</v>
      </c>
      <c r="C17431" s="33" t="s">
        <v>1165</v>
      </c>
      <c r="D17431" s="33" t="s">
        <v>17</v>
      </c>
      <c r="E17431" s="33" t="s">
        <v>45</v>
      </c>
      <c r="F17431" s="33" t="s">
        <v>46</v>
      </c>
      <c r="G17431" s="33" t="s">
        <v>140</v>
      </c>
      <c r="H17431" s="35">
        <v>12</v>
      </c>
      <c r="I17431" s="33" t="s">
        <v>51</v>
      </c>
      <c r="J17431" s="42">
        <v>45471</v>
      </c>
      <c r="K17431" s="33" t="s">
        <v>22</v>
      </c>
    </row>
    <row r="17432" spans="1:11">
      <c r="A17432" s="30" t="s">
        <v>38980</v>
      </c>
      <c r="B17432" s="30" t="s">
        <v>38981</v>
      </c>
      <c r="C17432" s="30" t="s">
        <v>2034</v>
      </c>
      <c r="D17432" s="30" t="s">
        <v>17</v>
      </c>
      <c r="E17432" s="30" t="s">
        <v>26</v>
      </c>
      <c r="F17432" s="30" t="s">
        <v>27</v>
      </c>
      <c r="G17432" s="30" t="s">
        <v>20</v>
      </c>
      <c r="H17432" s="32">
        <v>26</v>
      </c>
      <c r="I17432" s="30" t="s">
        <v>21</v>
      </c>
      <c r="J17432" s="41">
        <v>45526</v>
      </c>
      <c r="K17432" s="30" t="s">
        <v>22</v>
      </c>
    </row>
    <row r="17433" spans="1:11">
      <c r="A17433" s="33" t="s">
        <v>38982</v>
      </c>
      <c r="B17433" s="33" t="s">
        <v>38983</v>
      </c>
      <c r="C17433" s="33" t="s">
        <v>38984</v>
      </c>
      <c r="D17433" s="33" t="s">
        <v>17</v>
      </c>
      <c r="E17433" s="33" t="s">
        <v>67</v>
      </c>
      <c r="F17433" s="33" t="s">
        <v>68</v>
      </c>
      <c r="G17433" s="33" t="s">
        <v>140</v>
      </c>
      <c r="H17433" s="35">
        <v>50</v>
      </c>
      <c r="I17433" s="33" t="s">
        <v>51</v>
      </c>
      <c r="J17433" s="42">
        <v>45567</v>
      </c>
      <c r="K17433" s="33" t="s">
        <v>22</v>
      </c>
    </row>
    <row r="17434" spans="1:11">
      <c r="A17434" s="30" t="s">
        <v>38985</v>
      </c>
      <c r="B17434" s="30" t="s">
        <v>38986</v>
      </c>
      <c r="C17434" s="30" t="s">
        <v>38987</v>
      </c>
      <c r="D17434" s="30" t="s">
        <v>17</v>
      </c>
      <c r="E17434" s="30" t="s">
        <v>26</v>
      </c>
      <c r="F17434" s="30" t="s">
        <v>27</v>
      </c>
      <c r="G17434" s="30" t="s">
        <v>158</v>
      </c>
      <c r="H17434" s="32">
        <v>30</v>
      </c>
      <c r="I17434" s="30" t="s">
        <v>51</v>
      </c>
      <c r="J17434" s="41">
        <v>45583</v>
      </c>
      <c r="K17434" s="30" t="s">
        <v>22</v>
      </c>
    </row>
    <row r="17435" spans="1:11">
      <c r="A17435" s="33" t="s">
        <v>38988</v>
      </c>
      <c r="B17435" s="33" t="s">
        <v>38989</v>
      </c>
      <c r="C17435" s="33" t="s">
        <v>38990</v>
      </c>
      <c r="D17435" s="33" t="s">
        <v>17</v>
      </c>
      <c r="E17435" s="33" t="s">
        <v>67</v>
      </c>
      <c r="F17435" s="33" t="s">
        <v>68</v>
      </c>
      <c r="G17435" s="33" t="s">
        <v>158</v>
      </c>
      <c r="H17435" s="35">
        <v>12</v>
      </c>
      <c r="I17435" s="33" t="s">
        <v>21</v>
      </c>
      <c r="J17435" s="42">
        <v>45372</v>
      </c>
      <c r="K17435" s="33" t="s">
        <v>22</v>
      </c>
    </row>
    <row r="17436" spans="1:11">
      <c r="A17436" s="30" t="s">
        <v>38991</v>
      </c>
      <c r="B17436" s="30" t="s">
        <v>38992</v>
      </c>
      <c r="C17436" s="30" t="s">
        <v>38993</v>
      </c>
      <c r="D17436" s="30" t="s">
        <v>17</v>
      </c>
      <c r="E17436" s="30" t="s">
        <v>26</v>
      </c>
      <c r="F17436" s="30" t="s">
        <v>27</v>
      </c>
      <c r="G17436" s="30" t="s">
        <v>20</v>
      </c>
      <c r="H17436" s="32">
        <v>40</v>
      </c>
      <c r="I17436" s="30" t="s">
        <v>21</v>
      </c>
      <c r="J17436" s="41">
        <v>45589</v>
      </c>
      <c r="K17436" s="30" t="s">
        <v>22</v>
      </c>
    </row>
    <row r="17437" spans="1:11">
      <c r="A17437" s="33" t="s">
        <v>38994</v>
      </c>
      <c r="B17437" s="33" t="s">
        <v>38995</v>
      </c>
      <c r="C17437" s="33" t="s">
        <v>22632</v>
      </c>
      <c r="D17437" s="33" t="s">
        <v>17</v>
      </c>
      <c r="E17437" s="33" t="s">
        <v>67</v>
      </c>
      <c r="F17437" s="33" t="s">
        <v>68</v>
      </c>
      <c r="G17437" s="33" t="s">
        <v>158</v>
      </c>
      <c r="H17437" s="35">
        <v>10</v>
      </c>
      <c r="I17437" s="33" t="s">
        <v>21</v>
      </c>
      <c r="J17437" s="42">
        <v>45460</v>
      </c>
      <c r="K17437" s="33" t="s">
        <v>22</v>
      </c>
    </row>
    <row r="17438" spans="1:11">
      <c r="A17438" s="30" t="s">
        <v>38996</v>
      </c>
      <c r="B17438" s="30" t="s">
        <v>38997</v>
      </c>
      <c r="C17438" s="30" t="s">
        <v>25897</v>
      </c>
      <c r="D17438" s="30" t="s">
        <v>17</v>
      </c>
      <c r="E17438" s="30" t="s">
        <v>31</v>
      </c>
      <c r="F17438" s="30" t="s">
        <v>32</v>
      </c>
      <c r="G17438" s="30" t="s">
        <v>106</v>
      </c>
      <c r="H17438" s="32">
        <v>64</v>
      </c>
      <c r="I17438" s="30" t="s">
        <v>21</v>
      </c>
      <c r="J17438" s="41">
        <v>45384</v>
      </c>
      <c r="K17438" s="30" t="s">
        <v>22</v>
      </c>
    </row>
    <row r="17439" spans="1:11">
      <c r="A17439" s="33" t="s">
        <v>38998</v>
      </c>
      <c r="B17439" s="33" t="s">
        <v>38999</v>
      </c>
      <c r="C17439" s="33" t="s">
        <v>10515</v>
      </c>
      <c r="D17439" s="33" t="s">
        <v>17</v>
      </c>
      <c r="E17439" s="33" t="s">
        <v>26</v>
      </c>
      <c r="F17439" s="33" t="s">
        <v>27</v>
      </c>
      <c r="G17439" s="33" t="s">
        <v>140</v>
      </c>
      <c r="H17439" s="35">
        <v>254</v>
      </c>
      <c r="I17439" s="33" t="s">
        <v>51</v>
      </c>
      <c r="J17439" s="42">
        <v>45614</v>
      </c>
      <c r="K17439" s="33" t="s">
        <v>22</v>
      </c>
    </row>
    <row r="17440" spans="1:11">
      <c r="A17440" s="30" t="s">
        <v>39000</v>
      </c>
      <c r="B17440" s="30" t="s">
        <v>39001</v>
      </c>
      <c r="C17440" s="30" t="s">
        <v>109</v>
      </c>
      <c r="D17440" s="30" t="s">
        <v>17</v>
      </c>
      <c r="E17440" s="30" t="s">
        <v>26</v>
      </c>
      <c r="F17440" s="30" t="s">
        <v>27</v>
      </c>
      <c r="G17440" s="30" t="s">
        <v>140</v>
      </c>
      <c r="H17440" s="32">
        <v>162</v>
      </c>
      <c r="I17440" s="30" t="s">
        <v>51</v>
      </c>
      <c r="J17440" s="41">
        <v>45580</v>
      </c>
      <c r="K17440" s="30" t="s">
        <v>22</v>
      </c>
    </row>
    <row r="17441" spans="1:11">
      <c r="A17441" s="33" t="s">
        <v>39002</v>
      </c>
      <c r="B17441" s="33" t="s">
        <v>39003</v>
      </c>
      <c r="C17441" s="33" t="s">
        <v>216</v>
      </c>
      <c r="D17441" s="33" t="s">
        <v>17</v>
      </c>
      <c r="E17441" s="33" t="s">
        <v>26</v>
      </c>
      <c r="F17441" s="33" t="s">
        <v>27</v>
      </c>
      <c r="G17441" s="33" t="s">
        <v>50</v>
      </c>
      <c r="H17441" s="35">
        <v>210</v>
      </c>
      <c r="I17441" s="33" t="s">
        <v>51</v>
      </c>
      <c r="J17441" s="42">
        <v>45357</v>
      </c>
      <c r="K17441" s="33" t="s">
        <v>22</v>
      </c>
    </row>
    <row r="17442" spans="1:11">
      <c r="A17442" s="30" t="s">
        <v>39004</v>
      </c>
      <c r="B17442" s="30" t="s">
        <v>39005</v>
      </c>
      <c r="C17442" s="30" t="s">
        <v>535</v>
      </c>
      <c r="D17442" s="30" t="s">
        <v>17</v>
      </c>
      <c r="E17442" s="30" t="s">
        <v>26</v>
      </c>
      <c r="F17442" s="30" t="s">
        <v>27</v>
      </c>
      <c r="G17442" s="30" t="s">
        <v>20</v>
      </c>
      <c r="H17442" s="32">
        <v>50</v>
      </c>
      <c r="I17442" s="30" t="s">
        <v>21</v>
      </c>
      <c r="J17442" s="41">
        <v>45364</v>
      </c>
      <c r="K17442" s="30" t="s">
        <v>22</v>
      </c>
    </row>
    <row r="17443" spans="1:11">
      <c r="A17443" s="33" t="s">
        <v>39006</v>
      </c>
      <c r="B17443" s="33" t="s">
        <v>39007</v>
      </c>
      <c r="C17443" s="33" t="s">
        <v>1808</v>
      </c>
      <c r="D17443" s="33" t="s">
        <v>17</v>
      </c>
      <c r="E17443" s="33" t="s">
        <v>26</v>
      </c>
      <c r="F17443" s="33" t="s">
        <v>27</v>
      </c>
      <c r="G17443" s="33" t="s">
        <v>140</v>
      </c>
      <c r="H17443" s="35">
        <v>156</v>
      </c>
      <c r="I17443" s="33" t="s">
        <v>51</v>
      </c>
      <c r="J17443" s="42">
        <v>45293</v>
      </c>
      <c r="K17443" s="33" t="s">
        <v>22</v>
      </c>
    </row>
    <row r="17444" spans="1:11">
      <c r="A17444" s="30" t="s">
        <v>39008</v>
      </c>
      <c r="B17444" s="30" t="s">
        <v>39009</v>
      </c>
      <c r="C17444" s="30" t="s">
        <v>13520</v>
      </c>
      <c r="D17444" s="30" t="s">
        <v>17</v>
      </c>
      <c r="E17444" s="30" t="s">
        <v>18</v>
      </c>
      <c r="F17444" s="30" t="s">
        <v>19</v>
      </c>
      <c r="G17444" s="30" t="s">
        <v>158</v>
      </c>
      <c r="H17444" s="32">
        <v>81</v>
      </c>
      <c r="I17444" s="30" t="s">
        <v>51</v>
      </c>
      <c r="J17444" s="41">
        <v>45627</v>
      </c>
      <c r="K17444" s="30" t="s">
        <v>22</v>
      </c>
    </row>
    <row r="17445" spans="1:11">
      <c r="A17445" s="33" t="s">
        <v>39010</v>
      </c>
      <c r="B17445" s="33" t="s">
        <v>39011</v>
      </c>
      <c r="C17445" s="33" t="s">
        <v>23529</v>
      </c>
      <c r="D17445" s="33" t="s">
        <v>17</v>
      </c>
      <c r="E17445" s="33" t="s">
        <v>31</v>
      </c>
      <c r="F17445" s="33" t="s">
        <v>32</v>
      </c>
      <c r="G17445" s="33" t="s">
        <v>106</v>
      </c>
      <c r="H17445" s="35">
        <v>90</v>
      </c>
      <c r="I17445" s="33" t="s">
        <v>21</v>
      </c>
      <c r="J17445" s="42">
        <v>45541</v>
      </c>
      <c r="K17445" s="33" t="s">
        <v>22</v>
      </c>
    </row>
    <row r="17446" spans="1:11">
      <c r="A17446" s="30" t="s">
        <v>39012</v>
      </c>
      <c r="B17446" s="30" t="s">
        <v>39013</v>
      </c>
      <c r="C17446" s="30" t="s">
        <v>11035</v>
      </c>
      <c r="D17446" s="30" t="s">
        <v>17</v>
      </c>
      <c r="E17446" s="30" t="s">
        <v>18</v>
      </c>
      <c r="F17446" s="30" t="s">
        <v>19</v>
      </c>
      <c r="G17446" s="30" t="s">
        <v>158</v>
      </c>
      <c r="H17446" s="32">
        <v>605</v>
      </c>
      <c r="I17446" s="30" t="s">
        <v>21</v>
      </c>
      <c r="J17446" s="41">
        <v>45534</v>
      </c>
      <c r="K17446" s="30" t="s">
        <v>22</v>
      </c>
    </row>
    <row r="17447" spans="1:11">
      <c r="A17447" s="33" t="s">
        <v>39014</v>
      </c>
      <c r="B17447" s="33" t="s">
        <v>39015</v>
      </c>
      <c r="C17447" s="33" t="s">
        <v>60</v>
      </c>
      <c r="D17447" s="33" t="s">
        <v>17</v>
      </c>
      <c r="E17447" s="33" t="s">
        <v>26</v>
      </c>
      <c r="F17447" s="33" t="s">
        <v>27</v>
      </c>
      <c r="G17447" s="33" t="s">
        <v>20</v>
      </c>
      <c r="H17447" s="35">
        <v>30</v>
      </c>
      <c r="I17447" s="33" t="s">
        <v>21</v>
      </c>
      <c r="J17447" s="42">
        <v>45565</v>
      </c>
      <c r="K17447" s="33" t="s">
        <v>22</v>
      </c>
    </row>
    <row r="17448" spans="1:11">
      <c r="A17448" s="30" t="s">
        <v>39016</v>
      </c>
      <c r="B17448" s="30" t="s">
        <v>39017</v>
      </c>
      <c r="C17448" s="30" t="s">
        <v>1598</v>
      </c>
      <c r="D17448" s="30" t="s">
        <v>17</v>
      </c>
      <c r="E17448" s="30" t="s">
        <v>26</v>
      </c>
      <c r="F17448" s="30" t="s">
        <v>27</v>
      </c>
      <c r="G17448" s="30" t="s">
        <v>20</v>
      </c>
      <c r="H17448" s="32">
        <v>36</v>
      </c>
      <c r="I17448" s="30" t="s">
        <v>21</v>
      </c>
      <c r="J17448" s="41">
        <v>45534</v>
      </c>
      <c r="K17448" s="30" t="s">
        <v>22</v>
      </c>
    </row>
    <row r="17449" spans="1:11">
      <c r="A17449" s="33" t="s">
        <v>39018</v>
      </c>
      <c r="B17449" s="33" t="s">
        <v>39019</v>
      </c>
      <c r="C17449" s="33" t="s">
        <v>1504</v>
      </c>
      <c r="D17449" s="33" t="s">
        <v>17</v>
      </c>
      <c r="E17449" s="33" t="s">
        <v>26</v>
      </c>
      <c r="F17449" s="33" t="s">
        <v>27</v>
      </c>
      <c r="G17449" s="33" t="s">
        <v>140</v>
      </c>
      <c r="H17449" s="35">
        <v>108</v>
      </c>
      <c r="I17449" s="33" t="s">
        <v>51</v>
      </c>
      <c r="J17449" s="42">
        <v>45372</v>
      </c>
      <c r="K17449" s="33" t="s">
        <v>22</v>
      </c>
    </row>
    <row r="17450" spans="1:11">
      <c r="A17450" s="30" t="s">
        <v>39020</v>
      </c>
      <c r="B17450" s="30" t="s">
        <v>39021</v>
      </c>
      <c r="C17450" s="30" t="s">
        <v>19056</v>
      </c>
      <c r="D17450" s="30" t="s">
        <v>17</v>
      </c>
      <c r="E17450" s="30" t="s">
        <v>31</v>
      </c>
      <c r="F17450" s="30" t="s">
        <v>32</v>
      </c>
      <c r="G17450" s="30" t="s">
        <v>140</v>
      </c>
      <c r="H17450" s="32">
        <v>140</v>
      </c>
      <c r="I17450" s="30" t="s">
        <v>51</v>
      </c>
      <c r="J17450" s="41">
        <v>45639</v>
      </c>
      <c r="K17450" s="30" t="s">
        <v>22</v>
      </c>
    </row>
    <row r="17451" spans="1:11">
      <c r="A17451" s="33" t="s">
        <v>39022</v>
      </c>
      <c r="B17451" s="33" t="s">
        <v>39023</v>
      </c>
      <c r="C17451" s="33" t="s">
        <v>29022</v>
      </c>
      <c r="D17451" s="33" t="s">
        <v>17</v>
      </c>
      <c r="E17451" s="33" t="s">
        <v>26</v>
      </c>
      <c r="F17451" s="33" t="s">
        <v>27</v>
      </c>
      <c r="G17451" s="33" t="s">
        <v>140</v>
      </c>
      <c r="H17451" s="35">
        <v>85</v>
      </c>
      <c r="I17451" s="33" t="s">
        <v>51</v>
      </c>
      <c r="J17451" s="42">
        <v>45412</v>
      </c>
      <c r="K17451" s="33" t="s">
        <v>22</v>
      </c>
    </row>
    <row r="17452" spans="1:11">
      <c r="A17452" s="30" t="s">
        <v>39024</v>
      </c>
      <c r="B17452" s="30" t="s">
        <v>39025</v>
      </c>
      <c r="C17452" s="30" t="s">
        <v>2562</v>
      </c>
      <c r="D17452" s="30" t="s">
        <v>17</v>
      </c>
      <c r="E17452" s="30" t="s">
        <v>31</v>
      </c>
      <c r="F17452" s="30" t="s">
        <v>32</v>
      </c>
      <c r="G17452" s="30" t="s">
        <v>50</v>
      </c>
      <c r="H17452" s="32">
        <v>300</v>
      </c>
      <c r="I17452" s="30" t="s">
        <v>51</v>
      </c>
      <c r="J17452" s="41">
        <v>45381</v>
      </c>
      <c r="K17452" s="30" t="s">
        <v>22</v>
      </c>
    </row>
    <row r="17453" spans="1:11">
      <c r="A17453" s="33" t="s">
        <v>39026</v>
      </c>
      <c r="B17453" s="33" t="s">
        <v>39027</v>
      </c>
      <c r="C17453" s="33" t="s">
        <v>178</v>
      </c>
      <c r="D17453" s="33" t="s">
        <v>17</v>
      </c>
      <c r="E17453" s="33" t="s">
        <v>212</v>
      </c>
      <c r="F17453" s="33" t="s">
        <v>213</v>
      </c>
      <c r="G17453" s="33" t="s">
        <v>140</v>
      </c>
      <c r="H17453" s="35">
        <v>28</v>
      </c>
      <c r="I17453" s="33" t="s">
        <v>51</v>
      </c>
      <c r="J17453" s="42">
        <v>45518</v>
      </c>
      <c r="K17453" s="33" t="s">
        <v>22</v>
      </c>
    </row>
    <row r="17454" spans="1:11">
      <c r="A17454" s="30" t="s">
        <v>39028</v>
      </c>
      <c r="B17454" s="30" t="s">
        <v>39029</v>
      </c>
      <c r="C17454" s="30" t="s">
        <v>39030</v>
      </c>
      <c r="D17454" s="30" t="s">
        <v>17</v>
      </c>
      <c r="E17454" s="30" t="s">
        <v>67</v>
      </c>
      <c r="F17454" s="30" t="s">
        <v>68</v>
      </c>
      <c r="G17454" s="30" t="s">
        <v>106</v>
      </c>
      <c r="H17454" s="32">
        <v>10</v>
      </c>
      <c r="I17454" s="30" t="s">
        <v>21</v>
      </c>
      <c r="J17454" s="41">
        <v>45587</v>
      </c>
      <c r="K17454" s="30" t="s">
        <v>22</v>
      </c>
    </row>
    <row r="17455" spans="1:11">
      <c r="A17455" s="33" t="s">
        <v>39031</v>
      </c>
      <c r="B17455" s="33" t="s">
        <v>39032</v>
      </c>
      <c r="C17455" s="33" t="s">
        <v>13335</v>
      </c>
      <c r="D17455" s="33" t="s">
        <v>17</v>
      </c>
      <c r="E17455" s="33" t="s">
        <v>67</v>
      </c>
      <c r="F17455" s="33" t="s">
        <v>68</v>
      </c>
      <c r="G17455" s="33" t="s">
        <v>140</v>
      </c>
      <c r="H17455" s="35">
        <v>100</v>
      </c>
      <c r="I17455" s="33" t="s">
        <v>51</v>
      </c>
      <c r="J17455" s="42">
        <v>45461</v>
      </c>
      <c r="K17455" s="33" t="s">
        <v>22</v>
      </c>
    </row>
    <row r="17456" spans="1:11">
      <c r="A17456" s="30" t="s">
        <v>39033</v>
      </c>
      <c r="B17456" s="30" t="s">
        <v>39034</v>
      </c>
      <c r="C17456" s="30" t="s">
        <v>34959</v>
      </c>
      <c r="D17456" s="30" t="s">
        <v>17</v>
      </c>
      <c r="E17456" s="30" t="s">
        <v>26</v>
      </c>
      <c r="F17456" s="30" t="s">
        <v>27</v>
      </c>
      <c r="G17456" s="30" t="s">
        <v>20</v>
      </c>
      <c r="H17456" s="32">
        <v>151</v>
      </c>
      <c r="I17456" s="30" t="s">
        <v>21</v>
      </c>
      <c r="J17456" s="41">
        <v>45317</v>
      </c>
      <c r="K17456" s="30" t="s">
        <v>22</v>
      </c>
    </row>
    <row r="17457" spans="1:11">
      <c r="A17457" s="33" t="s">
        <v>39035</v>
      </c>
      <c r="B17457" s="33" t="s">
        <v>39036</v>
      </c>
      <c r="C17457" s="33" t="s">
        <v>78</v>
      </c>
      <c r="D17457" s="33" t="s">
        <v>17</v>
      </c>
      <c r="E17457" s="33" t="s">
        <v>26</v>
      </c>
      <c r="F17457" s="33" t="s">
        <v>27</v>
      </c>
      <c r="G17457" s="33" t="s">
        <v>20</v>
      </c>
      <c r="H17457" s="35">
        <v>30</v>
      </c>
      <c r="I17457" s="33" t="s">
        <v>21</v>
      </c>
      <c r="J17457" s="42">
        <v>45602</v>
      </c>
      <c r="K17457" s="33" t="s">
        <v>22</v>
      </c>
    </row>
    <row r="17458" spans="1:11">
      <c r="A17458" s="30" t="s">
        <v>39037</v>
      </c>
      <c r="B17458" s="30" t="s">
        <v>39038</v>
      </c>
      <c r="C17458" s="30" t="s">
        <v>13241</v>
      </c>
      <c r="D17458" s="30" t="s">
        <v>17</v>
      </c>
      <c r="E17458" s="30" t="s">
        <v>18</v>
      </c>
      <c r="F17458" s="30" t="s">
        <v>19</v>
      </c>
      <c r="G17458" s="30" t="s">
        <v>140</v>
      </c>
      <c r="H17458" s="32">
        <v>524</v>
      </c>
      <c r="I17458" s="30" t="s">
        <v>51</v>
      </c>
      <c r="J17458" s="41">
        <v>45618</v>
      </c>
      <c r="K17458" s="30" t="s">
        <v>22</v>
      </c>
    </row>
    <row r="17459" spans="1:11">
      <c r="A17459" s="33" t="s">
        <v>39039</v>
      </c>
      <c r="B17459" s="33" t="s">
        <v>39040</v>
      </c>
      <c r="C17459" s="33" t="s">
        <v>6391</v>
      </c>
      <c r="D17459" s="33" t="s">
        <v>17</v>
      </c>
      <c r="E17459" s="33" t="s">
        <v>26</v>
      </c>
      <c r="F17459" s="33" t="s">
        <v>27</v>
      </c>
      <c r="G17459" s="33" t="s">
        <v>20</v>
      </c>
      <c r="H17459" s="35">
        <v>108</v>
      </c>
      <c r="I17459" s="33" t="s">
        <v>21</v>
      </c>
      <c r="J17459" s="42">
        <v>45626</v>
      </c>
      <c r="K17459" s="33" t="s">
        <v>22</v>
      </c>
    </row>
    <row r="17460" spans="1:11">
      <c r="A17460" s="30" t="s">
        <v>39041</v>
      </c>
      <c r="B17460" s="30" t="s">
        <v>39042</v>
      </c>
      <c r="C17460" s="30" t="s">
        <v>39043</v>
      </c>
      <c r="D17460" s="30" t="s">
        <v>17</v>
      </c>
      <c r="E17460" s="30" t="s">
        <v>67</v>
      </c>
      <c r="F17460" s="30" t="s">
        <v>68</v>
      </c>
      <c r="G17460" s="30" t="s">
        <v>140</v>
      </c>
      <c r="H17460" s="32">
        <v>18</v>
      </c>
      <c r="I17460" s="30" t="s">
        <v>51</v>
      </c>
      <c r="J17460" s="41">
        <v>45509</v>
      </c>
      <c r="K17460" s="30" t="s">
        <v>22</v>
      </c>
    </row>
    <row r="17461" spans="1:11">
      <c r="A17461" s="33" t="s">
        <v>39044</v>
      </c>
      <c r="B17461" s="33" t="s">
        <v>39045</v>
      </c>
      <c r="C17461" s="33" t="s">
        <v>34057</v>
      </c>
      <c r="D17461" s="33" t="s">
        <v>17</v>
      </c>
      <c r="E17461" s="33" t="s">
        <v>67</v>
      </c>
      <c r="F17461" s="33" t="s">
        <v>68</v>
      </c>
      <c r="G17461" s="33" t="s">
        <v>158</v>
      </c>
      <c r="H17461" s="35">
        <v>30</v>
      </c>
      <c r="I17461" s="33" t="s">
        <v>51</v>
      </c>
      <c r="J17461" s="42">
        <v>45483</v>
      </c>
      <c r="K17461" s="33" t="s">
        <v>22</v>
      </c>
    </row>
    <row r="17462" spans="1:11">
      <c r="A17462" s="30" t="s">
        <v>39046</v>
      </c>
      <c r="B17462" s="30" t="s">
        <v>39047</v>
      </c>
      <c r="C17462" s="30" t="s">
        <v>39048</v>
      </c>
      <c r="D17462" s="30" t="s">
        <v>17</v>
      </c>
      <c r="E17462" s="30" t="s">
        <v>31</v>
      </c>
      <c r="F17462" s="30" t="s">
        <v>32</v>
      </c>
      <c r="G17462" s="30" t="s">
        <v>20</v>
      </c>
      <c r="H17462" s="32">
        <v>480</v>
      </c>
      <c r="I17462" s="30" t="s">
        <v>21</v>
      </c>
      <c r="J17462" s="41">
        <v>45591</v>
      </c>
      <c r="K17462" s="30" t="s">
        <v>22</v>
      </c>
    </row>
    <row r="17463" spans="1:11">
      <c r="A17463" s="33" t="s">
        <v>39049</v>
      </c>
      <c r="B17463" s="33" t="s">
        <v>39050</v>
      </c>
      <c r="C17463" s="33" t="s">
        <v>310</v>
      </c>
      <c r="D17463" s="33" t="s">
        <v>17</v>
      </c>
      <c r="E17463" s="33" t="s">
        <v>26</v>
      </c>
      <c r="F17463" s="33" t="s">
        <v>27</v>
      </c>
      <c r="G17463" s="33" t="s">
        <v>20</v>
      </c>
      <c r="H17463" s="35">
        <v>31</v>
      </c>
      <c r="I17463" s="33" t="s">
        <v>21</v>
      </c>
      <c r="J17463" s="42">
        <v>45568</v>
      </c>
      <c r="K17463" s="33" t="s">
        <v>22</v>
      </c>
    </row>
    <row r="17464" spans="1:11">
      <c r="A17464" s="30" t="s">
        <v>39051</v>
      </c>
      <c r="B17464" s="30" t="s">
        <v>39052</v>
      </c>
      <c r="C17464" s="30" t="s">
        <v>203</v>
      </c>
      <c r="D17464" s="30" t="s">
        <v>17</v>
      </c>
      <c r="E17464" s="30" t="s">
        <v>26</v>
      </c>
      <c r="F17464" s="30" t="s">
        <v>27</v>
      </c>
      <c r="G17464" s="30" t="s">
        <v>20</v>
      </c>
      <c r="H17464" s="32">
        <v>32</v>
      </c>
      <c r="I17464" s="30" t="s">
        <v>21</v>
      </c>
      <c r="J17464" s="41">
        <v>45616</v>
      </c>
      <c r="K17464" s="30" t="s">
        <v>22</v>
      </c>
    </row>
    <row r="17465" spans="1:11">
      <c r="A17465" s="33" t="s">
        <v>39053</v>
      </c>
      <c r="B17465" s="33" t="s">
        <v>39054</v>
      </c>
      <c r="C17465" s="33" t="s">
        <v>39055</v>
      </c>
      <c r="D17465" s="33" t="s">
        <v>17</v>
      </c>
      <c r="E17465" s="33" t="s">
        <v>18</v>
      </c>
      <c r="F17465" s="33" t="s">
        <v>19</v>
      </c>
      <c r="G17465" s="33" t="s">
        <v>140</v>
      </c>
      <c r="H17465" s="35">
        <v>234</v>
      </c>
      <c r="I17465" s="33" t="s">
        <v>51</v>
      </c>
      <c r="J17465" s="42">
        <v>45656</v>
      </c>
      <c r="K17465" s="33" t="s">
        <v>22</v>
      </c>
    </row>
    <row r="17466" spans="1:11">
      <c r="A17466" s="30" t="s">
        <v>39056</v>
      </c>
      <c r="B17466" s="30" t="s">
        <v>39057</v>
      </c>
      <c r="C17466" s="30" t="s">
        <v>27962</v>
      </c>
      <c r="D17466" s="30" t="s">
        <v>17</v>
      </c>
      <c r="E17466" s="30" t="s">
        <v>330</v>
      </c>
      <c r="F17466" s="30" t="s">
        <v>331</v>
      </c>
      <c r="G17466" s="30" t="s">
        <v>20</v>
      </c>
      <c r="H17466" s="32">
        <v>14</v>
      </c>
      <c r="I17466" s="30" t="s">
        <v>21</v>
      </c>
      <c r="J17466" s="41">
        <v>45623</v>
      </c>
      <c r="K17466" s="30" t="s">
        <v>22</v>
      </c>
    </row>
    <row r="17467" spans="1:11">
      <c r="A17467" s="33" t="s">
        <v>39058</v>
      </c>
      <c r="B17467" s="33" t="s">
        <v>39059</v>
      </c>
      <c r="C17467" s="33" t="s">
        <v>39060</v>
      </c>
      <c r="D17467" s="33" t="s">
        <v>17</v>
      </c>
      <c r="E17467" s="33" t="s">
        <v>31</v>
      </c>
      <c r="F17467" s="33" t="s">
        <v>32</v>
      </c>
      <c r="G17467" s="33" t="s">
        <v>106</v>
      </c>
      <c r="H17467" s="35">
        <v>58</v>
      </c>
      <c r="I17467" s="33" t="s">
        <v>21</v>
      </c>
      <c r="J17467" s="42">
        <v>45411</v>
      </c>
      <c r="K17467" s="33" t="s">
        <v>22</v>
      </c>
    </row>
    <row r="17468" spans="1:11">
      <c r="A17468" s="30" t="s">
        <v>39061</v>
      </c>
      <c r="B17468" s="30" t="s">
        <v>39062</v>
      </c>
      <c r="C17468" s="30" t="s">
        <v>15622</v>
      </c>
      <c r="D17468" s="30" t="s">
        <v>17</v>
      </c>
      <c r="E17468" s="30" t="s">
        <v>67</v>
      </c>
      <c r="F17468" s="30" t="s">
        <v>68</v>
      </c>
      <c r="G17468" s="30" t="s">
        <v>158</v>
      </c>
      <c r="H17468" s="32">
        <v>48</v>
      </c>
      <c r="I17468" s="30" t="s">
        <v>21</v>
      </c>
      <c r="J17468" s="41">
        <v>45535</v>
      </c>
      <c r="K17468" s="30" t="s">
        <v>22</v>
      </c>
    </row>
    <row r="17469" spans="1:11">
      <c r="A17469" s="33" t="s">
        <v>39063</v>
      </c>
      <c r="B17469" s="33" t="s">
        <v>39064</v>
      </c>
      <c r="C17469" s="33" t="s">
        <v>1210</v>
      </c>
      <c r="D17469" s="33" t="s">
        <v>17</v>
      </c>
      <c r="E17469" s="33" t="s">
        <v>31</v>
      </c>
      <c r="F17469" s="33" t="s">
        <v>32</v>
      </c>
      <c r="G17469" s="33" t="s">
        <v>158</v>
      </c>
      <c r="H17469" s="35">
        <v>226</v>
      </c>
      <c r="I17469" s="33" t="s">
        <v>21</v>
      </c>
      <c r="J17469" s="42">
        <v>45301</v>
      </c>
      <c r="K17469" s="33" t="s">
        <v>22</v>
      </c>
    </row>
    <row r="17470" spans="1:11">
      <c r="A17470" s="30" t="s">
        <v>39065</v>
      </c>
      <c r="B17470" s="30" t="s">
        <v>39066</v>
      </c>
      <c r="C17470" s="30" t="s">
        <v>25308</v>
      </c>
      <c r="D17470" s="30" t="s">
        <v>17</v>
      </c>
      <c r="E17470" s="30" t="s">
        <v>31</v>
      </c>
      <c r="F17470" s="30" t="s">
        <v>32</v>
      </c>
      <c r="G17470" s="30" t="s">
        <v>20</v>
      </c>
      <c r="H17470" s="32">
        <v>79</v>
      </c>
      <c r="I17470" s="30" t="s">
        <v>21</v>
      </c>
      <c r="J17470" s="41">
        <v>45505</v>
      </c>
      <c r="K17470" s="30" t="s">
        <v>22</v>
      </c>
    </row>
    <row r="17471" spans="1:11">
      <c r="A17471" s="33" t="s">
        <v>39067</v>
      </c>
      <c r="B17471" s="33" t="s">
        <v>39068</v>
      </c>
      <c r="C17471" s="33" t="s">
        <v>3757</v>
      </c>
      <c r="D17471" s="33" t="s">
        <v>17</v>
      </c>
      <c r="E17471" s="33" t="s">
        <v>18</v>
      </c>
      <c r="F17471" s="33" t="s">
        <v>19</v>
      </c>
      <c r="G17471" s="33" t="s">
        <v>7780</v>
      </c>
      <c r="H17471" s="35">
        <v>520</v>
      </c>
      <c r="I17471" s="33" t="s">
        <v>51</v>
      </c>
      <c r="J17471" s="42">
        <v>45656</v>
      </c>
      <c r="K17471" s="33" t="s">
        <v>22</v>
      </c>
    </row>
    <row r="17472" spans="1:11">
      <c r="A17472" s="30" t="s">
        <v>39069</v>
      </c>
      <c r="B17472" s="30" t="s">
        <v>39070</v>
      </c>
      <c r="C17472" s="30" t="s">
        <v>1080</v>
      </c>
      <c r="D17472" s="30" t="s">
        <v>17</v>
      </c>
      <c r="E17472" s="30" t="s">
        <v>26</v>
      </c>
      <c r="F17472" s="30" t="s">
        <v>27</v>
      </c>
      <c r="G17472" s="30" t="s">
        <v>140</v>
      </c>
      <c r="H17472" s="32">
        <v>80</v>
      </c>
      <c r="I17472" s="30" t="s">
        <v>51</v>
      </c>
      <c r="J17472" s="41">
        <v>45365</v>
      </c>
      <c r="K17472" s="30" t="s">
        <v>22</v>
      </c>
    </row>
    <row r="17473" spans="1:11">
      <c r="A17473" s="33" t="s">
        <v>39071</v>
      </c>
      <c r="B17473" s="33" t="s">
        <v>39072</v>
      </c>
      <c r="C17473" s="33" t="s">
        <v>13520</v>
      </c>
      <c r="D17473" s="33" t="s">
        <v>17</v>
      </c>
      <c r="E17473" s="33" t="s">
        <v>18</v>
      </c>
      <c r="F17473" s="33" t="s">
        <v>19</v>
      </c>
      <c r="G17473" s="33" t="s">
        <v>20</v>
      </c>
      <c r="H17473" s="35">
        <v>134</v>
      </c>
      <c r="I17473" s="33" t="s">
        <v>21</v>
      </c>
      <c r="J17473" s="42">
        <v>45348</v>
      </c>
      <c r="K17473" s="33" t="s">
        <v>22</v>
      </c>
    </row>
    <row r="17474" spans="1:11">
      <c r="A17474" s="30" t="s">
        <v>39073</v>
      </c>
      <c r="B17474" s="30" t="s">
        <v>39074</v>
      </c>
      <c r="C17474" s="30" t="s">
        <v>252</v>
      </c>
      <c r="D17474" s="30" t="s">
        <v>17</v>
      </c>
      <c r="E17474" s="30" t="s">
        <v>26</v>
      </c>
      <c r="F17474" s="30" t="s">
        <v>27</v>
      </c>
      <c r="G17474" s="30" t="s">
        <v>140</v>
      </c>
      <c r="H17474" s="32">
        <v>130</v>
      </c>
      <c r="I17474" s="30" t="s">
        <v>51</v>
      </c>
      <c r="J17474" s="41">
        <v>45301</v>
      </c>
      <c r="K17474" s="30" t="s">
        <v>22</v>
      </c>
    </row>
    <row r="17475" spans="1:11">
      <c r="A17475" s="33" t="s">
        <v>39075</v>
      </c>
      <c r="B17475" s="33" t="s">
        <v>39076</v>
      </c>
      <c r="C17475" s="33" t="s">
        <v>326</v>
      </c>
      <c r="D17475" s="33" t="s">
        <v>17</v>
      </c>
      <c r="E17475" s="33" t="s">
        <v>26</v>
      </c>
      <c r="F17475" s="33" t="s">
        <v>27</v>
      </c>
      <c r="G17475" s="33" t="s">
        <v>158</v>
      </c>
      <c r="H17475" s="35">
        <v>20</v>
      </c>
      <c r="I17475" s="33" t="s">
        <v>21</v>
      </c>
      <c r="J17475" s="42">
        <v>45527</v>
      </c>
      <c r="K17475" s="33" t="s">
        <v>22</v>
      </c>
    </row>
    <row r="17476" spans="1:11">
      <c r="A17476" s="30" t="s">
        <v>39077</v>
      </c>
      <c r="B17476" s="30" t="s">
        <v>39078</v>
      </c>
      <c r="C17476" s="30" t="s">
        <v>27986</v>
      </c>
      <c r="D17476" s="30" t="s">
        <v>17</v>
      </c>
      <c r="E17476" s="30" t="s">
        <v>18</v>
      </c>
      <c r="F17476" s="30" t="s">
        <v>19</v>
      </c>
      <c r="G17476" s="30" t="s">
        <v>140</v>
      </c>
      <c r="H17476" s="32">
        <v>220</v>
      </c>
      <c r="I17476" s="30" t="s">
        <v>51</v>
      </c>
      <c r="J17476" s="41">
        <v>45643</v>
      </c>
      <c r="K17476" s="30" t="s">
        <v>22</v>
      </c>
    </row>
    <row r="17477" spans="1:11">
      <c r="A17477" s="33" t="s">
        <v>39079</v>
      </c>
      <c r="B17477" s="33" t="s">
        <v>39080</v>
      </c>
      <c r="C17477" s="33" t="s">
        <v>39081</v>
      </c>
      <c r="D17477" s="33" t="s">
        <v>17</v>
      </c>
      <c r="E17477" s="33" t="s">
        <v>67</v>
      </c>
      <c r="F17477" s="33" t="s">
        <v>68</v>
      </c>
      <c r="G17477" s="33" t="s">
        <v>140</v>
      </c>
      <c r="H17477" s="35">
        <v>20</v>
      </c>
      <c r="I17477" s="33" t="s">
        <v>51</v>
      </c>
      <c r="J17477" s="42">
        <v>45390</v>
      </c>
      <c r="K17477" s="33" t="s">
        <v>22</v>
      </c>
    </row>
    <row r="17478" spans="1:11">
      <c r="A17478" s="30" t="s">
        <v>39082</v>
      </c>
      <c r="B17478" s="30" t="s">
        <v>39083</v>
      </c>
      <c r="C17478" s="30" t="s">
        <v>21232</v>
      </c>
      <c r="D17478" s="30" t="s">
        <v>17</v>
      </c>
      <c r="E17478" s="30" t="s">
        <v>18</v>
      </c>
      <c r="F17478" s="30" t="s">
        <v>19</v>
      </c>
      <c r="G17478" s="30" t="s">
        <v>20</v>
      </c>
      <c r="H17478" s="32">
        <v>418</v>
      </c>
      <c r="I17478" s="30" t="s">
        <v>21</v>
      </c>
      <c r="J17478" s="41">
        <v>45426</v>
      </c>
      <c r="K17478" s="30" t="s">
        <v>22</v>
      </c>
    </row>
    <row r="17479" spans="1:11">
      <c r="A17479" s="33" t="s">
        <v>39084</v>
      </c>
      <c r="B17479" s="33" t="s">
        <v>39085</v>
      </c>
      <c r="C17479" s="33" t="s">
        <v>109</v>
      </c>
      <c r="D17479" s="33" t="s">
        <v>17</v>
      </c>
      <c r="E17479" s="33" t="s">
        <v>212</v>
      </c>
      <c r="F17479" s="33" t="s">
        <v>213</v>
      </c>
      <c r="G17479" s="33" t="s">
        <v>140</v>
      </c>
      <c r="H17479" s="35">
        <v>318</v>
      </c>
      <c r="I17479" s="33" t="s">
        <v>51</v>
      </c>
      <c r="J17479" s="42">
        <v>45482</v>
      </c>
      <c r="K17479" s="33" t="s">
        <v>22</v>
      </c>
    </row>
    <row r="17480" spans="1:11">
      <c r="A17480" s="30" t="s">
        <v>39086</v>
      </c>
      <c r="B17480" s="30" t="s">
        <v>39087</v>
      </c>
      <c r="C17480" s="30" t="s">
        <v>2842</v>
      </c>
      <c r="D17480" s="30" t="s">
        <v>17</v>
      </c>
      <c r="E17480" s="30" t="s">
        <v>26</v>
      </c>
      <c r="F17480" s="30" t="s">
        <v>27</v>
      </c>
      <c r="G17480" s="30" t="s">
        <v>140</v>
      </c>
      <c r="H17480" s="32">
        <v>42</v>
      </c>
      <c r="I17480" s="30" t="s">
        <v>51</v>
      </c>
      <c r="J17480" s="41">
        <v>45393</v>
      </c>
      <c r="K17480" s="30" t="s">
        <v>22</v>
      </c>
    </row>
    <row r="17481" spans="1:11">
      <c r="A17481" s="33" t="s">
        <v>39088</v>
      </c>
      <c r="B17481" s="33" t="s">
        <v>39089</v>
      </c>
      <c r="C17481" s="33" t="s">
        <v>39090</v>
      </c>
      <c r="D17481" s="33" t="s">
        <v>17</v>
      </c>
      <c r="E17481" s="33" t="s">
        <v>26</v>
      </c>
      <c r="F17481" s="33" t="s">
        <v>27</v>
      </c>
      <c r="G17481" s="33" t="s">
        <v>140</v>
      </c>
      <c r="H17481" s="35">
        <v>127</v>
      </c>
      <c r="I17481" s="33" t="s">
        <v>51</v>
      </c>
      <c r="J17481" s="42">
        <v>45456</v>
      </c>
      <c r="K17481" s="33" t="s">
        <v>22</v>
      </c>
    </row>
    <row r="17482" spans="1:11">
      <c r="A17482" s="30" t="s">
        <v>39091</v>
      </c>
      <c r="B17482" s="30" t="s">
        <v>39092</v>
      </c>
      <c r="C17482" s="30" t="s">
        <v>39093</v>
      </c>
      <c r="D17482" s="30" t="s">
        <v>17</v>
      </c>
      <c r="E17482" s="30" t="s">
        <v>31</v>
      </c>
      <c r="F17482" s="30" t="s">
        <v>32</v>
      </c>
      <c r="G17482" s="30" t="s">
        <v>158</v>
      </c>
      <c r="H17482" s="32">
        <v>79</v>
      </c>
      <c r="I17482" s="30" t="s">
        <v>21</v>
      </c>
      <c r="J17482" s="41">
        <v>45341</v>
      </c>
      <c r="K17482" s="30" t="s">
        <v>22</v>
      </c>
    </row>
    <row r="17483" spans="1:11">
      <c r="A17483" s="33" t="s">
        <v>39094</v>
      </c>
      <c r="B17483" s="33" t="s">
        <v>39095</v>
      </c>
      <c r="C17483" s="33" t="s">
        <v>4348</v>
      </c>
      <c r="D17483" s="33" t="s">
        <v>17</v>
      </c>
      <c r="E17483" s="33" t="s">
        <v>31</v>
      </c>
      <c r="F17483" s="33" t="s">
        <v>32</v>
      </c>
      <c r="G17483" s="33" t="s">
        <v>140</v>
      </c>
      <c r="H17483" s="35">
        <v>52</v>
      </c>
      <c r="I17483" s="33" t="s">
        <v>51</v>
      </c>
      <c r="J17483" s="42">
        <v>45441</v>
      </c>
      <c r="K17483" s="33" t="s">
        <v>22</v>
      </c>
    </row>
    <row r="17484" spans="1:11">
      <c r="A17484" s="30" t="s">
        <v>39096</v>
      </c>
      <c r="B17484" s="30" t="s">
        <v>39097</v>
      </c>
      <c r="C17484" s="30" t="s">
        <v>7072</v>
      </c>
      <c r="D17484" s="30" t="s">
        <v>17</v>
      </c>
      <c r="E17484" s="30" t="s">
        <v>31</v>
      </c>
      <c r="F17484" s="30" t="s">
        <v>32</v>
      </c>
      <c r="G17484" s="30" t="s">
        <v>140</v>
      </c>
      <c r="H17484" s="32">
        <v>40</v>
      </c>
      <c r="I17484" s="30" t="s">
        <v>51</v>
      </c>
      <c r="J17484" s="41">
        <v>45555</v>
      </c>
      <c r="K17484" s="30" t="s">
        <v>22</v>
      </c>
    </row>
    <row r="17485" spans="1:11">
      <c r="A17485" s="33" t="s">
        <v>39098</v>
      </c>
      <c r="B17485" s="33" t="s">
        <v>39099</v>
      </c>
      <c r="C17485" s="33" t="s">
        <v>795</v>
      </c>
      <c r="D17485" s="33" t="s">
        <v>17</v>
      </c>
      <c r="E17485" s="33" t="s">
        <v>67</v>
      </c>
      <c r="F17485" s="33" t="s">
        <v>68</v>
      </c>
      <c r="G17485" s="33" t="s">
        <v>106</v>
      </c>
      <c r="H17485" s="35">
        <v>23</v>
      </c>
      <c r="I17485" s="33" t="s">
        <v>21</v>
      </c>
      <c r="J17485" s="42">
        <v>45609</v>
      </c>
      <c r="K17485" s="33" t="s">
        <v>22</v>
      </c>
    </row>
    <row r="17486" spans="1:11">
      <c r="A17486" s="30" t="s">
        <v>39100</v>
      </c>
      <c r="B17486" s="30" t="s">
        <v>39101</v>
      </c>
      <c r="C17486" s="30" t="s">
        <v>39102</v>
      </c>
      <c r="D17486" s="30" t="s">
        <v>17</v>
      </c>
      <c r="E17486" s="30" t="s">
        <v>45</v>
      </c>
      <c r="F17486" s="30" t="s">
        <v>46</v>
      </c>
      <c r="G17486" s="30" t="s">
        <v>7780</v>
      </c>
      <c r="H17486" s="32">
        <v>30</v>
      </c>
      <c r="I17486" s="30" t="s">
        <v>51</v>
      </c>
      <c r="J17486" s="41">
        <v>45493</v>
      </c>
      <c r="K17486" s="30" t="s">
        <v>22</v>
      </c>
    </row>
    <row r="17487" spans="1:11">
      <c r="A17487" s="33" t="s">
        <v>39103</v>
      </c>
      <c r="B17487" s="33" t="s">
        <v>39104</v>
      </c>
      <c r="C17487" s="33" t="s">
        <v>29526</v>
      </c>
      <c r="D17487" s="33" t="s">
        <v>17</v>
      </c>
      <c r="E17487" s="33" t="s">
        <v>67</v>
      </c>
      <c r="F17487" s="33" t="s">
        <v>68</v>
      </c>
      <c r="G17487" s="33" t="s">
        <v>20</v>
      </c>
      <c r="H17487" s="35">
        <v>30</v>
      </c>
      <c r="I17487" s="33" t="s">
        <v>21</v>
      </c>
      <c r="J17487" s="42">
        <v>45349</v>
      </c>
      <c r="K17487" s="33" t="s">
        <v>22</v>
      </c>
    </row>
    <row r="17488" spans="1:11">
      <c r="A17488" s="30" t="s">
        <v>39105</v>
      </c>
      <c r="B17488" s="30" t="s">
        <v>39106</v>
      </c>
      <c r="C17488" s="30" t="s">
        <v>2978</v>
      </c>
      <c r="D17488" s="30" t="s">
        <v>17</v>
      </c>
      <c r="E17488" s="30" t="s">
        <v>26</v>
      </c>
      <c r="F17488" s="30" t="s">
        <v>27</v>
      </c>
      <c r="G17488" s="30" t="s">
        <v>7780</v>
      </c>
      <c r="H17488" s="32">
        <v>36</v>
      </c>
      <c r="I17488" s="30" t="s">
        <v>51</v>
      </c>
      <c r="J17488" s="41">
        <v>45474</v>
      </c>
      <c r="K17488" s="30" t="s">
        <v>22</v>
      </c>
    </row>
    <row r="17489" spans="1:11">
      <c r="A17489" s="33" t="s">
        <v>39107</v>
      </c>
      <c r="B17489" s="33" t="s">
        <v>39108</v>
      </c>
      <c r="C17489" s="33" t="s">
        <v>39109</v>
      </c>
      <c r="D17489" s="33" t="s">
        <v>17</v>
      </c>
      <c r="E17489" s="33" t="s">
        <v>67</v>
      </c>
      <c r="F17489" s="33" t="s">
        <v>68</v>
      </c>
      <c r="G17489" s="33" t="s">
        <v>50</v>
      </c>
      <c r="H17489" s="35">
        <v>15</v>
      </c>
      <c r="I17489" s="33" t="s">
        <v>51</v>
      </c>
      <c r="J17489" s="42">
        <v>45536</v>
      </c>
      <c r="K17489" s="33" t="s">
        <v>22</v>
      </c>
    </row>
    <row r="17490" spans="1:11">
      <c r="A17490" s="30" t="s">
        <v>39110</v>
      </c>
      <c r="B17490" s="30" t="s">
        <v>39111</v>
      </c>
      <c r="C17490" s="30" t="s">
        <v>39112</v>
      </c>
      <c r="D17490" s="30" t="s">
        <v>17</v>
      </c>
      <c r="E17490" s="30" t="s">
        <v>26</v>
      </c>
      <c r="F17490" s="30" t="s">
        <v>27</v>
      </c>
      <c r="G17490" s="30" t="s">
        <v>158</v>
      </c>
      <c r="H17490" s="32">
        <v>50</v>
      </c>
      <c r="I17490" s="30" t="s">
        <v>21</v>
      </c>
      <c r="J17490" s="41">
        <v>45622</v>
      </c>
      <c r="K17490" s="30" t="s">
        <v>22</v>
      </c>
    </row>
    <row r="17491" spans="1:11">
      <c r="A17491" s="33" t="s">
        <v>39113</v>
      </c>
      <c r="B17491" s="33" t="s">
        <v>39114</v>
      </c>
      <c r="C17491" s="33" t="s">
        <v>318</v>
      </c>
      <c r="D17491" s="33" t="s">
        <v>17</v>
      </c>
      <c r="E17491" s="33" t="s">
        <v>26</v>
      </c>
      <c r="F17491" s="33" t="s">
        <v>27</v>
      </c>
      <c r="G17491" s="33" t="s">
        <v>20</v>
      </c>
      <c r="H17491" s="35">
        <v>240</v>
      </c>
      <c r="I17491" s="33" t="s">
        <v>21</v>
      </c>
      <c r="J17491" s="42">
        <v>45337</v>
      </c>
      <c r="K17491" s="33" t="s">
        <v>22</v>
      </c>
    </row>
    <row r="17492" spans="1:11">
      <c r="A17492" s="30" t="s">
        <v>39115</v>
      </c>
      <c r="B17492" s="30" t="s">
        <v>39116</v>
      </c>
      <c r="C17492" s="30" t="s">
        <v>203</v>
      </c>
      <c r="D17492" s="30" t="s">
        <v>17</v>
      </c>
      <c r="E17492" s="30" t="s">
        <v>31</v>
      </c>
      <c r="F17492" s="30" t="s">
        <v>32</v>
      </c>
      <c r="G17492" s="30" t="s">
        <v>158</v>
      </c>
      <c r="H17492" s="32">
        <v>229</v>
      </c>
      <c r="I17492" s="30" t="s">
        <v>21</v>
      </c>
      <c r="J17492" s="41">
        <v>45533</v>
      </c>
      <c r="K17492" s="30" t="s">
        <v>22</v>
      </c>
    </row>
    <row r="17493" spans="1:11">
      <c r="A17493" s="33" t="s">
        <v>39117</v>
      </c>
      <c r="B17493" s="33" t="s">
        <v>39118</v>
      </c>
      <c r="C17493" s="33" t="s">
        <v>801</v>
      </c>
      <c r="D17493" s="33" t="s">
        <v>17</v>
      </c>
      <c r="E17493" s="33" t="s">
        <v>18</v>
      </c>
      <c r="F17493" s="33" t="s">
        <v>19</v>
      </c>
      <c r="G17493" s="33" t="s">
        <v>158</v>
      </c>
      <c r="H17493" s="35">
        <v>132</v>
      </c>
      <c r="I17493" s="33" t="s">
        <v>21</v>
      </c>
      <c r="J17493" s="42">
        <v>45629</v>
      </c>
      <c r="K17493" s="33" t="s">
        <v>22</v>
      </c>
    </row>
    <row r="17494" spans="1:11">
      <c r="A17494" s="30" t="s">
        <v>39119</v>
      </c>
      <c r="B17494" s="30" t="s">
        <v>39120</v>
      </c>
      <c r="C17494" s="30" t="s">
        <v>39121</v>
      </c>
      <c r="D17494" s="30" t="s">
        <v>17</v>
      </c>
      <c r="E17494" s="30" t="s">
        <v>330</v>
      </c>
      <c r="F17494" s="30" t="s">
        <v>331</v>
      </c>
      <c r="G17494" s="30" t="s">
        <v>140</v>
      </c>
      <c r="H17494" s="32">
        <v>120</v>
      </c>
      <c r="I17494" s="30" t="s">
        <v>51</v>
      </c>
      <c r="J17494" s="41">
        <v>45566</v>
      </c>
      <c r="K17494" s="30" t="s">
        <v>22</v>
      </c>
    </row>
    <row r="17495" spans="1:11">
      <c r="A17495" s="33" t="s">
        <v>39122</v>
      </c>
      <c r="B17495" s="33" t="s">
        <v>39123</v>
      </c>
      <c r="C17495" s="33" t="s">
        <v>17466</v>
      </c>
      <c r="D17495" s="33" t="s">
        <v>17</v>
      </c>
      <c r="E17495" s="33" t="s">
        <v>31</v>
      </c>
      <c r="F17495" s="33" t="s">
        <v>32</v>
      </c>
      <c r="G17495" s="33" t="s">
        <v>140</v>
      </c>
      <c r="H17495" s="35">
        <v>220</v>
      </c>
      <c r="I17495" s="33" t="s">
        <v>51</v>
      </c>
      <c r="J17495" s="42">
        <v>45588</v>
      </c>
      <c r="K17495" s="33" t="s">
        <v>22</v>
      </c>
    </row>
    <row r="17496" spans="1:11">
      <c r="A17496" s="30" t="s">
        <v>39124</v>
      </c>
      <c r="B17496" s="30" t="s">
        <v>39125</v>
      </c>
      <c r="C17496" s="30" t="s">
        <v>488</v>
      </c>
      <c r="D17496" s="30" t="s">
        <v>17</v>
      </c>
      <c r="E17496" s="30" t="s">
        <v>67</v>
      </c>
      <c r="F17496" s="30" t="s">
        <v>68</v>
      </c>
      <c r="G17496" s="30" t="s">
        <v>158</v>
      </c>
      <c r="H17496" s="32">
        <v>19</v>
      </c>
      <c r="I17496" s="30" t="s">
        <v>21</v>
      </c>
      <c r="J17496" s="41">
        <v>45616</v>
      </c>
      <c r="K17496" s="30" t="s">
        <v>22</v>
      </c>
    </row>
    <row r="17497" spans="1:11">
      <c r="A17497" s="33" t="s">
        <v>39126</v>
      </c>
      <c r="B17497" s="33" t="s">
        <v>39127</v>
      </c>
      <c r="C17497" s="33" t="s">
        <v>894</v>
      </c>
      <c r="D17497" s="33" t="s">
        <v>17</v>
      </c>
      <c r="E17497" s="33" t="s">
        <v>26</v>
      </c>
      <c r="F17497" s="33" t="s">
        <v>27</v>
      </c>
      <c r="G17497" s="33" t="s">
        <v>20</v>
      </c>
      <c r="H17497" s="35">
        <v>24</v>
      </c>
      <c r="I17497" s="33" t="s">
        <v>21</v>
      </c>
      <c r="J17497" s="42">
        <v>45560</v>
      </c>
      <c r="K17497" s="33" t="s">
        <v>22</v>
      </c>
    </row>
    <row r="17498" spans="1:11">
      <c r="A17498" s="30" t="s">
        <v>39128</v>
      </c>
      <c r="B17498" s="30" t="s">
        <v>39129</v>
      </c>
      <c r="C17498" s="30" t="s">
        <v>93</v>
      </c>
      <c r="D17498" s="30" t="s">
        <v>17</v>
      </c>
      <c r="E17498" s="30" t="s">
        <v>18</v>
      </c>
      <c r="F17498" s="30" t="s">
        <v>19</v>
      </c>
      <c r="G17498" s="30" t="s">
        <v>140</v>
      </c>
      <c r="H17498" s="32">
        <v>40</v>
      </c>
      <c r="I17498" s="30" t="s">
        <v>51</v>
      </c>
      <c r="J17498" s="41">
        <v>45481</v>
      </c>
      <c r="K17498" s="30" t="s">
        <v>22</v>
      </c>
    </row>
    <row r="17499" spans="1:11">
      <c r="A17499" s="33" t="s">
        <v>39130</v>
      </c>
      <c r="B17499" s="33" t="s">
        <v>39131</v>
      </c>
      <c r="C17499" s="33" t="s">
        <v>39132</v>
      </c>
      <c r="D17499" s="33" t="s">
        <v>17</v>
      </c>
      <c r="E17499" s="33" t="s">
        <v>67</v>
      </c>
      <c r="F17499" s="33" t="s">
        <v>68</v>
      </c>
      <c r="G17499" s="33" t="s">
        <v>140</v>
      </c>
      <c r="H17499" s="35">
        <v>47</v>
      </c>
      <c r="I17499" s="33" t="s">
        <v>51</v>
      </c>
      <c r="J17499" s="42">
        <v>45426</v>
      </c>
      <c r="K17499" s="33" t="s">
        <v>22</v>
      </c>
    </row>
    <row r="17500" spans="1:11">
      <c r="A17500" s="30" t="s">
        <v>39133</v>
      </c>
      <c r="B17500" s="30" t="s">
        <v>39134</v>
      </c>
      <c r="C17500" s="30" t="s">
        <v>969</v>
      </c>
      <c r="D17500" s="30" t="s">
        <v>17</v>
      </c>
      <c r="E17500" s="30" t="s">
        <v>18</v>
      </c>
      <c r="F17500" s="30" t="s">
        <v>19</v>
      </c>
      <c r="G17500" s="30" t="s">
        <v>20</v>
      </c>
      <c r="H17500" s="32">
        <v>477</v>
      </c>
      <c r="I17500" s="30" t="s">
        <v>21</v>
      </c>
      <c r="J17500" s="41">
        <v>45443</v>
      </c>
      <c r="K17500" s="30" t="s">
        <v>22</v>
      </c>
    </row>
    <row r="17501" spans="1:11">
      <c r="A17501" s="33" t="s">
        <v>39135</v>
      </c>
      <c r="B17501" s="33" t="s">
        <v>39136</v>
      </c>
      <c r="C17501" s="33" t="s">
        <v>5246</v>
      </c>
      <c r="D17501" s="33" t="s">
        <v>17</v>
      </c>
      <c r="E17501" s="33" t="s">
        <v>26</v>
      </c>
      <c r="F17501" s="33" t="s">
        <v>27</v>
      </c>
      <c r="G17501" s="33" t="s">
        <v>20</v>
      </c>
      <c r="H17501" s="35">
        <v>16</v>
      </c>
      <c r="I17501" s="33" t="s">
        <v>21</v>
      </c>
      <c r="J17501" s="42">
        <v>45306</v>
      </c>
      <c r="K17501" s="33" t="s">
        <v>22</v>
      </c>
    </row>
    <row r="17502" spans="1:11">
      <c r="A17502" s="30" t="s">
        <v>39137</v>
      </c>
      <c r="B17502" s="30" t="s">
        <v>39138</v>
      </c>
      <c r="C17502" s="30" t="s">
        <v>39139</v>
      </c>
      <c r="D17502" s="30" t="s">
        <v>17</v>
      </c>
      <c r="E17502" s="30" t="s">
        <v>26</v>
      </c>
      <c r="F17502" s="30" t="s">
        <v>27</v>
      </c>
      <c r="G17502" s="30" t="s">
        <v>140</v>
      </c>
      <c r="H17502" s="32">
        <v>383</v>
      </c>
      <c r="I17502" s="30" t="s">
        <v>51</v>
      </c>
      <c r="J17502" s="41">
        <v>45376</v>
      </c>
      <c r="K17502" s="30" t="s">
        <v>22</v>
      </c>
    </row>
    <row r="17503" spans="1:11">
      <c r="A17503" s="33" t="s">
        <v>39140</v>
      </c>
      <c r="B17503" s="33" t="s">
        <v>39141</v>
      </c>
      <c r="C17503" s="33" t="s">
        <v>11407</v>
      </c>
      <c r="D17503" s="33" t="s">
        <v>17</v>
      </c>
      <c r="E17503" s="33" t="s">
        <v>18</v>
      </c>
      <c r="F17503" s="33" t="s">
        <v>19</v>
      </c>
      <c r="G17503" s="33" t="s">
        <v>158</v>
      </c>
      <c r="H17503" s="35">
        <v>56</v>
      </c>
      <c r="I17503" s="33" t="s">
        <v>51</v>
      </c>
      <c r="J17503" s="42">
        <v>45504</v>
      </c>
      <c r="K17503" s="33" t="s">
        <v>22</v>
      </c>
    </row>
    <row r="17504" spans="1:11">
      <c r="A17504" s="30" t="s">
        <v>39142</v>
      </c>
      <c r="B17504" s="30" t="s">
        <v>39143</v>
      </c>
      <c r="C17504" s="30" t="s">
        <v>39144</v>
      </c>
      <c r="D17504" s="30" t="s">
        <v>17</v>
      </c>
      <c r="E17504" s="30" t="s">
        <v>26</v>
      </c>
      <c r="F17504" s="30" t="s">
        <v>27</v>
      </c>
      <c r="G17504" s="30" t="s">
        <v>140</v>
      </c>
      <c r="H17504" s="32">
        <v>48</v>
      </c>
      <c r="I17504" s="30" t="s">
        <v>51</v>
      </c>
      <c r="J17504" s="41">
        <v>45302</v>
      </c>
      <c r="K17504" s="30" t="s">
        <v>22</v>
      </c>
    </row>
    <row r="17505" spans="1:11">
      <c r="A17505" s="33" t="s">
        <v>39145</v>
      </c>
      <c r="B17505" s="33" t="s">
        <v>39146</v>
      </c>
      <c r="C17505" s="33" t="s">
        <v>109</v>
      </c>
      <c r="D17505" s="33" t="s">
        <v>17</v>
      </c>
      <c r="E17505" s="33" t="s">
        <v>67</v>
      </c>
      <c r="F17505" s="33" t="s">
        <v>68</v>
      </c>
      <c r="G17505" s="33" t="s">
        <v>112</v>
      </c>
      <c r="H17505" s="35">
        <v>0</v>
      </c>
      <c r="I17505" s="33" t="s">
        <v>21</v>
      </c>
      <c r="J17505" s="42">
        <v>45646</v>
      </c>
      <c r="K17505" s="33" t="s">
        <v>22</v>
      </c>
    </row>
    <row r="17506" spans="1:11">
      <c r="A17506" s="30" t="s">
        <v>39147</v>
      </c>
      <c r="B17506" s="30" t="s">
        <v>39148</v>
      </c>
      <c r="C17506" s="30" t="s">
        <v>3290</v>
      </c>
      <c r="D17506" s="30" t="s">
        <v>17</v>
      </c>
      <c r="E17506" s="30" t="s">
        <v>26</v>
      </c>
      <c r="F17506" s="30" t="s">
        <v>27</v>
      </c>
      <c r="G17506" s="30" t="s">
        <v>20</v>
      </c>
      <c r="H17506" s="32">
        <v>74</v>
      </c>
      <c r="I17506" s="30" t="s">
        <v>21</v>
      </c>
      <c r="J17506" s="41">
        <v>45418</v>
      </c>
      <c r="K17506" s="30" t="s">
        <v>22</v>
      </c>
    </row>
    <row r="17507" spans="1:11">
      <c r="A17507" s="33" t="s">
        <v>39149</v>
      </c>
      <c r="B17507" s="33" t="s">
        <v>39150</v>
      </c>
      <c r="C17507" s="33" t="s">
        <v>93</v>
      </c>
      <c r="D17507" s="33" t="s">
        <v>17</v>
      </c>
      <c r="E17507" s="33" t="s">
        <v>26</v>
      </c>
      <c r="F17507" s="33" t="s">
        <v>27</v>
      </c>
      <c r="G17507" s="33" t="s">
        <v>158</v>
      </c>
      <c r="H17507" s="35">
        <v>31</v>
      </c>
      <c r="I17507" s="33" t="s">
        <v>21</v>
      </c>
      <c r="J17507" s="42">
        <v>45565</v>
      </c>
      <c r="K17507" s="33" t="s">
        <v>22</v>
      </c>
    </row>
    <row r="17508" spans="1:11">
      <c r="A17508" s="30" t="s">
        <v>39151</v>
      </c>
      <c r="B17508" s="30" t="s">
        <v>39152</v>
      </c>
      <c r="C17508" s="30" t="s">
        <v>10311</v>
      </c>
      <c r="D17508" s="30" t="s">
        <v>17</v>
      </c>
      <c r="E17508" s="30" t="s">
        <v>45</v>
      </c>
      <c r="F17508" s="30" t="s">
        <v>46</v>
      </c>
      <c r="G17508" s="30" t="s">
        <v>158</v>
      </c>
      <c r="H17508" s="32">
        <v>74</v>
      </c>
      <c r="I17508" s="30" t="s">
        <v>51</v>
      </c>
      <c r="J17508" s="41">
        <v>45454</v>
      </c>
      <c r="K17508" s="30" t="s">
        <v>22</v>
      </c>
    </row>
    <row r="17509" spans="1:11">
      <c r="A17509" s="33" t="s">
        <v>39153</v>
      </c>
      <c r="B17509" s="33" t="s">
        <v>39154</v>
      </c>
      <c r="C17509" s="33" t="s">
        <v>118</v>
      </c>
      <c r="D17509" s="33" t="s">
        <v>17</v>
      </c>
      <c r="E17509" s="33" t="s">
        <v>18</v>
      </c>
      <c r="F17509" s="33" t="s">
        <v>19</v>
      </c>
      <c r="G17509" s="33" t="s">
        <v>140</v>
      </c>
      <c r="H17509" s="35">
        <v>444</v>
      </c>
      <c r="I17509" s="33" t="s">
        <v>51</v>
      </c>
      <c r="J17509" s="42">
        <v>45532</v>
      </c>
      <c r="K17509" s="33" t="s">
        <v>22</v>
      </c>
    </row>
    <row r="17510" spans="1:11">
      <c r="A17510" s="30" t="s">
        <v>39155</v>
      </c>
      <c r="B17510" s="30" t="s">
        <v>39156</v>
      </c>
      <c r="C17510" s="30" t="s">
        <v>11899</v>
      </c>
      <c r="D17510" s="30" t="s">
        <v>17</v>
      </c>
      <c r="E17510" s="30" t="s">
        <v>26</v>
      </c>
      <c r="F17510" s="30" t="s">
        <v>27</v>
      </c>
      <c r="G17510" s="30" t="s">
        <v>20</v>
      </c>
      <c r="H17510" s="32">
        <v>25</v>
      </c>
      <c r="I17510" s="30" t="s">
        <v>21</v>
      </c>
      <c r="J17510" s="41">
        <v>45432</v>
      </c>
      <c r="K17510" s="30" t="s">
        <v>22</v>
      </c>
    </row>
    <row r="17511" spans="1:11">
      <c r="A17511" s="33" t="s">
        <v>39157</v>
      </c>
      <c r="B17511" s="33" t="s">
        <v>39158</v>
      </c>
      <c r="C17511" s="33" t="s">
        <v>647</v>
      </c>
      <c r="D17511" s="33" t="s">
        <v>17</v>
      </c>
      <c r="E17511" s="33" t="s">
        <v>18</v>
      </c>
      <c r="F17511" s="33" t="s">
        <v>19</v>
      </c>
      <c r="G17511" s="33" t="s">
        <v>20</v>
      </c>
      <c r="H17511" s="35">
        <v>882</v>
      </c>
      <c r="I17511" s="33" t="s">
        <v>21</v>
      </c>
      <c r="J17511" s="42">
        <v>45309</v>
      </c>
      <c r="K17511" s="33" t="s">
        <v>22</v>
      </c>
    </row>
    <row r="17512" spans="1:11">
      <c r="A17512" s="30" t="s">
        <v>39159</v>
      </c>
      <c r="B17512" s="30" t="s">
        <v>39160</v>
      </c>
      <c r="C17512" s="30" t="s">
        <v>39161</v>
      </c>
      <c r="D17512" s="30" t="s">
        <v>17</v>
      </c>
      <c r="E17512" s="30" t="s">
        <v>18</v>
      </c>
      <c r="F17512" s="30" t="s">
        <v>19</v>
      </c>
      <c r="G17512" s="30" t="s">
        <v>20</v>
      </c>
      <c r="H17512" s="32">
        <v>105</v>
      </c>
      <c r="I17512" s="30" t="s">
        <v>21</v>
      </c>
      <c r="J17512" s="41">
        <v>45467</v>
      </c>
      <c r="K17512" s="30" t="s">
        <v>22</v>
      </c>
    </row>
    <row r="17513" spans="1:11">
      <c r="A17513" s="33" t="s">
        <v>39162</v>
      </c>
      <c r="B17513" s="33" t="s">
        <v>39163</v>
      </c>
      <c r="C17513" s="33" t="s">
        <v>203</v>
      </c>
      <c r="D17513" s="33" t="s">
        <v>17</v>
      </c>
      <c r="E17513" s="33" t="s">
        <v>67</v>
      </c>
      <c r="F17513" s="33" t="s">
        <v>68</v>
      </c>
      <c r="G17513" s="33" t="s">
        <v>140</v>
      </c>
      <c r="H17513" s="35">
        <v>66</v>
      </c>
      <c r="I17513" s="33" t="s">
        <v>51</v>
      </c>
      <c r="J17513" s="42">
        <v>45617</v>
      </c>
      <c r="K17513" s="33" t="s">
        <v>22</v>
      </c>
    </row>
    <row r="17514" spans="1:11">
      <c r="A17514" s="30" t="s">
        <v>39164</v>
      </c>
      <c r="B17514" s="30" t="s">
        <v>39165</v>
      </c>
      <c r="C17514" s="30" t="s">
        <v>3384</v>
      </c>
      <c r="D17514" s="30" t="s">
        <v>17</v>
      </c>
      <c r="E17514" s="30" t="s">
        <v>67</v>
      </c>
      <c r="F17514" s="30" t="s">
        <v>68</v>
      </c>
      <c r="G17514" s="30" t="s">
        <v>140</v>
      </c>
      <c r="H17514" s="32">
        <v>12</v>
      </c>
      <c r="I17514" s="30" t="s">
        <v>51</v>
      </c>
      <c r="J17514" s="41">
        <v>45475</v>
      </c>
      <c r="K17514" s="30" t="s">
        <v>22</v>
      </c>
    </row>
    <row r="17515" spans="1:11">
      <c r="A17515" s="33" t="s">
        <v>39166</v>
      </c>
      <c r="B17515" s="33" t="s">
        <v>39167</v>
      </c>
      <c r="C17515" s="33" t="s">
        <v>34287</v>
      </c>
      <c r="D17515" s="33" t="s">
        <v>17</v>
      </c>
      <c r="E17515" s="33" t="s">
        <v>26</v>
      </c>
      <c r="F17515" s="33" t="s">
        <v>27</v>
      </c>
      <c r="G17515" s="33" t="s">
        <v>20</v>
      </c>
      <c r="H17515" s="35">
        <v>14</v>
      </c>
      <c r="I17515" s="33" t="s">
        <v>21</v>
      </c>
      <c r="J17515" s="42">
        <v>45587</v>
      </c>
      <c r="K17515" s="33" t="s">
        <v>22</v>
      </c>
    </row>
    <row r="17516" spans="1:11">
      <c r="A17516" s="30" t="s">
        <v>39168</v>
      </c>
      <c r="B17516" s="30" t="s">
        <v>39169</v>
      </c>
      <c r="C17516" s="30" t="s">
        <v>38</v>
      </c>
      <c r="D17516" s="30" t="s">
        <v>17</v>
      </c>
      <c r="E17516" s="30" t="s">
        <v>26</v>
      </c>
      <c r="F17516" s="30" t="s">
        <v>27</v>
      </c>
      <c r="G17516" s="30" t="s">
        <v>158</v>
      </c>
      <c r="H17516" s="32">
        <v>17</v>
      </c>
      <c r="I17516" s="30" t="s">
        <v>21</v>
      </c>
      <c r="J17516" s="41">
        <v>45355</v>
      </c>
      <c r="K17516" s="30" t="s">
        <v>22</v>
      </c>
    </row>
    <row r="17517" spans="1:11">
      <c r="A17517" s="33" t="s">
        <v>39170</v>
      </c>
      <c r="B17517" s="33" t="s">
        <v>39171</v>
      </c>
      <c r="C17517" s="33" t="s">
        <v>2842</v>
      </c>
      <c r="D17517" s="33" t="s">
        <v>17</v>
      </c>
      <c r="E17517" s="33" t="s">
        <v>26</v>
      </c>
      <c r="F17517" s="33" t="s">
        <v>27</v>
      </c>
      <c r="G17517" s="33" t="s">
        <v>140</v>
      </c>
      <c r="H17517" s="35">
        <v>26</v>
      </c>
      <c r="I17517" s="33" t="s">
        <v>51</v>
      </c>
      <c r="J17517" s="42">
        <v>45422</v>
      </c>
      <c r="K17517" s="33" t="s">
        <v>22</v>
      </c>
    </row>
    <row r="17518" spans="1:11">
      <c r="A17518" s="30" t="s">
        <v>39172</v>
      </c>
      <c r="B17518" s="30" t="s">
        <v>39173</v>
      </c>
      <c r="C17518" s="30" t="s">
        <v>39174</v>
      </c>
      <c r="D17518" s="30" t="s">
        <v>17</v>
      </c>
      <c r="E17518" s="30" t="s">
        <v>330</v>
      </c>
      <c r="F17518" s="30" t="s">
        <v>331</v>
      </c>
      <c r="G17518" s="30" t="s">
        <v>20</v>
      </c>
      <c r="H17518" s="32">
        <v>77</v>
      </c>
      <c r="I17518" s="30" t="s">
        <v>21</v>
      </c>
      <c r="J17518" s="41">
        <v>45525</v>
      </c>
      <c r="K17518" s="30" t="s">
        <v>22</v>
      </c>
    </row>
    <row r="17519" spans="1:11">
      <c r="A17519" s="33" t="s">
        <v>39175</v>
      </c>
      <c r="B17519" s="33" t="s">
        <v>39176</v>
      </c>
      <c r="C17519" s="33" t="s">
        <v>39177</v>
      </c>
      <c r="D17519" s="33" t="s">
        <v>17</v>
      </c>
      <c r="E17519" s="33" t="s">
        <v>26</v>
      </c>
      <c r="F17519" s="33" t="s">
        <v>27</v>
      </c>
      <c r="G17519" s="33" t="s">
        <v>20</v>
      </c>
      <c r="H17519" s="35">
        <v>56</v>
      </c>
      <c r="I17519" s="33" t="s">
        <v>21</v>
      </c>
      <c r="J17519" s="42">
        <v>45617</v>
      </c>
      <c r="K17519" s="33" t="s">
        <v>22</v>
      </c>
    </row>
    <row r="17520" spans="1:11">
      <c r="A17520" s="30" t="s">
        <v>39178</v>
      </c>
      <c r="B17520" s="30" t="s">
        <v>39179</v>
      </c>
      <c r="C17520" s="30" t="s">
        <v>318</v>
      </c>
      <c r="D17520" s="30" t="s">
        <v>17</v>
      </c>
      <c r="E17520" s="30" t="s">
        <v>26</v>
      </c>
      <c r="F17520" s="30" t="s">
        <v>27</v>
      </c>
      <c r="G17520" s="30" t="s">
        <v>20</v>
      </c>
      <c r="H17520" s="32">
        <v>32</v>
      </c>
      <c r="I17520" s="30" t="s">
        <v>21</v>
      </c>
      <c r="J17520" s="41">
        <v>45547</v>
      </c>
      <c r="K17520" s="30" t="s">
        <v>22</v>
      </c>
    </row>
    <row r="17521" spans="1:11">
      <c r="A17521" s="33" t="s">
        <v>39180</v>
      </c>
      <c r="B17521" s="33" t="s">
        <v>39181</v>
      </c>
      <c r="C17521" s="33" t="s">
        <v>75</v>
      </c>
      <c r="D17521" s="33" t="s">
        <v>17</v>
      </c>
      <c r="E17521" s="33" t="s">
        <v>26</v>
      </c>
      <c r="F17521" s="33" t="s">
        <v>27</v>
      </c>
      <c r="G17521" s="33" t="s">
        <v>106</v>
      </c>
      <c r="H17521" s="35">
        <v>267</v>
      </c>
      <c r="I17521" s="33" t="s">
        <v>21</v>
      </c>
      <c r="J17521" s="42">
        <v>45320</v>
      </c>
      <c r="K17521" s="33" t="s">
        <v>22</v>
      </c>
    </row>
    <row r="17522" spans="1:11">
      <c r="A17522" s="30" t="s">
        <v>39182</v>
      </c>
      <c r="B17522" s="30" t="s">
        <v>39183</v>
      </c>
      <c r="C17522" s="30" t="s">
        <v>22160</v>
      </c>
      <c r="D17522" s="30" t="s">
        <v>17</v>
      </c>
      <c r="E17522" s="30" t="s">
        <v>26</v>
      </c>
      <c r="F17522" s="30" t="s">
        <v>27</v>
      </c>
      <c r="G17522" s="30" t="s">
        <v>140</v>
      </c>
      <c r="H17522" s="32">
        <v>40</v>
      </c>
      <c r="I17522" s="30" t="s">
        <v>51</v>
      </c>
      <c r="J17522" s="41">
        <v>45413</v>
      </c>
      <c r="K17522" s="30" t="s">
        <v>22</v>
      </c>
    </row>
    <row r="17523" spans="1:11">
      <c r="A17523" s="33" t="s">
        <v>39184</v>
      </c>
      <c r="B17523" s="33" t="s">
        <v>39185</v>
      </c>
      <c r="C17523" s="33" t="s">
        <v>1583</v>
      </c>
      <c r="D17523" s="33" t="s">
        <v>17</v>
      </c>
      <c r="E17523" s="33" t="s">
        <v>18</v>
      </c>
      <c r="F17523" s="33" t="s">
        <v>19</v>
      </c>
      <c r="G17523" s="33" t="s">
        <v>158</v>
      </c>
      <c r="H17523" s="35">
        <v>762</v>
      </c>
      <c r="I17523" s="33" t="s">
        <v>21</v>
      </c>
      <c r="J17523" s="42">
        <v>45343</v>
      </c>
      <c r="K17523" s="33" t="s">
        <v>22</v>
      </c>
    </row>
    <row r="17524" spans="1:11">
      <c r="A17524" s="30" t="s">
        <v>39186</v>
      </c>
      <c r="B17524" s="30" t="s">
        <v>39187</v>
      </c>
      <c r="C17524" s="30" t="s">
        <v>2618</v>
      </c>
      <c r="D17524" s="30" t="s">
        <v>17</v>
      </c>
      <c r="E17524" s="30" t="s">
        <v>26</v>
      </c>
      <c r="F17524" s="30" t="s">
        <v>27</v>
      </c>
      <c r="G17524" s="30" t="s">
        <v>158</v>
      </c>
      <c r="H17524" s="32">
        <v>60</v>
      </c>
      <c r="I17524" s="30" t="s">
        <v>21</v>
      </c>
      <c r="J17524" s="41">
        <v>45511</v>
      </c>
      <c r="K17524" s="30" t="s">
        <v>22</v>
      </c>
    </row>
    <row r="17525" spans="1:11">
      <c r="A17525" s="33" t="s">
        <v>39188</v>
      </c>
      <c r="B17525" s="33" t="s">
        <v>39189</v>
      </c>
      <c r="C17525" s="33" t="s">
        <v>549</v>
      </c>
      <c r="D17525" s="33" t="s">
        <v>17</v>
      </c>
      <c r="E17525" s="33" t="s">
        <v>26</v>
      </c>
      <c r="F17525" s="33" t="s">
        <v>27</v>
      </c>
      <c r="G17525" s="33" t="s">
        <v>20</v>
      </c>
      <c r="H17525" s="35">
        <v>14</v>
      </c>
      <c r="I17525" s="33" t="s">
        <v>21</v>
      </c>
      <c r="J17525" s="42">
        <v>45509</v>
      </c>
      <c r="K17525" s="33" t="s">
        <v>22</v>
      </c>
    </row>
    <row r="17526" spans="1:11">
      <c r="A17526" s="30" t="s">
        <v>39190</v>
      </c>
      <c r="B17526" s="30" t="s">
        <v>39191</v>
      </c>
      <c r="C17526" s="30" t="s">
        <v>39192</v>
      </c>
      <c r="D17526" s="30" t="s">
        <v>17</v>
      </c>
      <c r="E17526" s="30" t="s">
        <v>18</v>
      </c>
      <c r="F17526" s="30" t="s">
        <v>19</v>
      </c>
      <c r="G17526" s="30" t="s">
        <v>20</v>
      </c>
      <c r="H17526" s="32">
        <v>318</v>
      </c>
      <c r="I17526" s="30" t="s">
        <v>21</v>
      </c>
      <c r="J17526" s="41">
        <v>45362</v>
      </c>
      <c r="K17526" s="30" t="s">
        <v>22</v>
      </c>
    </row>
    <row r="17527" spans="1:11">
      <c r="A17527" s="33" t="s">
        <v>39193</v>
      </c>
      <c r="B17527" s="33" t="s">
        <v>39194</v>
      </c>
      <c r="C17527" s="33" t="s">
        <v>222</v>
      </c>
      <c r="D17527" s="33" t="s">
        <v>17</v>
      </c>
      <c r="E17527" s="33" t="s">
        <v>18</v>
      </c>
      <c r="F17527" s="33" t="s">
        <v>19</v>
      </c>
      <c r="G17527" s="33" t="s">
        <v>140</v>
      </c>
      <c r="H17527" s="35">
        <v>540</v>
      </c>
      <c r="I17527" s="33" t="s">
        <v>51</v>
      </c>
      <c r="J17527" s="42">
        <v>45433</v>
      </c>
      <c r="K17527" s="33" t="s">
        <v>22</v>
      </c>
    </row>
    <row r="17528" spans="1:11">
      <c r="A17528" s="30" t="s">
        <v>39195</v>
      </c>
      <c r="B17528" s="30" t="s">
        <v>39196</v>
      </c>
      <c r="C17528" s="30" t="s">
        <v>26227</v>
      </c>
      <c r="D17528" s="30" t="s">
        <v>17</v>
      </c>
      <c r="E17528" s="30" t="s">
        <v>26</v>
      </c>
      <c r="F17528" s="30" t="s">
        <v>27</v>
      </c>
      <c r="G17528" s="30" t="s">
        <v>140</v>
      </c>
      <c r="H17528" s="32">
        <v>56</v>
      </c>
      <c r="I17528" s="30" t="s">
        <v>51</v>
      </c>
      <c r="J17528" s="41">
        <v>45463</v>
      </c>
      <c r="K17528" s="30" t="s">
        <v>22</v>
      </c>
    </row>
    <row r="17529" spans="1:11">
      <c r="A17529" s="33" t="s">
        <v>39197</v>
      </c>
      <c r="B17529" s="33" t="s">
        <v>39198</v>
      </c>
      <c r="C17529" s="33" t="s">
        <v>24941</v>
      </c>
      <c r="D17529" s="33" t="s">
        <v>17</v>
      </c>
      <c r="E17529" s="33" t="s">
        <v>26</v>
      </c>
      <c r="F17529" s="33" t="s">
        <v>27</v>
      </c>
      <c r="G17529" s="33" t="s">
        <v>140</v>
      </c>
      <c r="H17529" s="35">
        <v>10</v>
      </c>
      <c r="I17529" s="33" t="s">
        <v>51</v>
      </c>
      <c r="J17529" s="42">
        <v>45444</v>
      </c>
      <c r="K17529" s="33" t="s">
        <v>22</v>
      </c>
    </row>
    <row r="17530" spans="1:11">
      <c r="A17530" s="30" t="s">
        <v>39199</v>
      </c>
      <c r="B17530" s="30" t="s">
        <v>39200</v>
      </c>
      <c r="C17530" s="30" t="s">
        <v>969</v>
      </c>
      <c r="D17530" s="30" t="s">
        <v>17</v>
      </c>
      <c r="E17530" s="30" t="s">
        <v>26</v>
      </c>
      <c r="F17530" s="30" t="s">
        <v>27</v>
      </c>
      <c r="G17530" s="30" t="s">
        <v>20</v>
      </c>
      <c r="H17530" s="32">
        <v>50</v>
      </c>
      <c r="I17530" s="30" t="s">
        <v>21</v>
      </c>
      <c r="J17530" s="41">
        <v>45572</v>
      </c>
      <c r="K17530" s="30" t="s">
        <v>22</v>
      </c>
    </row>
    <row r="17531" spans="1:11">
      <c r="A17531" s="33" t="s">
        <v>39201</v>
      </c>
      <c r="B17531" s="33" t="s">
        <v>39202</v>
      </c>
      <c r="C17531" s="33" t="s">
        <v>4661</v>
      </c>
      <c r="D17531" s="33" t="s">
        <v>17</v>
      </c>
      <c r="E17531" s="33" t="s">
        <v>31</v>
      </c>
      <c r="F17531" s="33" t="s">
        <v>32</v>
      </c>
      <c r="G17531" s="33" t="s">
        <v>20</v>
      </c>
      <c r="H17531" s="35">
        <v>194</v>
      </c>
      <c r="I17531" s="33" t="s">
        <v>21</v>
      </c>
      <c r="J17531" s="42">
        <v>45376</v>
      </c>
      <c r="K17531" s="33" t="s">
        <v>22</v>
      </c>
    </row>
    <row r="17532" spans="1:11">
      <c r="A17532" s="30" t="s">
        <v>39203</v>
      </c>
      <c r="B17532" s="30" t="s">
        <v>39204</v>
      </c>
      <c r="C17532" s="30" t="s">
        <v>231</v>
      </c>
      <c r="D17532" s="30" t="s">
        <v>17</v>
      </c>
      <c r="E17532" s="30" t="s">
        <v>26</v>
      </c>
      <c r="F17532" s="30" t="s">
        <v>27</v>
      </c>
      <c r="G17532" s="30" t="s">
        <v>20</v>
      </c>
      <c r="H17532" s="32">
        <v>75</v>
      </c>
      <c r="I17532" s="30" t="s">
        <v>21</v>
      </c>
      <c r="J17532" s="41">
        <v>45362</v>
      </c>
      <c r="K17532" s="30" t="s">
        <v>22</v>
      </c>
    </row>
    <row r="17533" spans="1:11">
      <c r="A17533" s="33" t="s">
        <v>39205</v>
      </c>
      <c r="B17533" s="33" t="s">
        <v>39206</v>
      </c>
      <c r="C17533" s="33" t="s">
        <v>44</v>
      </c>
      <c r="D17533" s="33" t="s">
        <v>17</v>
      </c>
      <c r="E17533" s="33" t="s">
        <v>26</v>
      </c>
      <c r="F17533" s="33" t="s">
        <v>27</v>
      </c>
      <c r="G17533" s="33" t="s">
        <v>158</v>
      </c>
      <c r="H17533" s="35">
        <v>6</v>
      </c>
      <c r="I17533" s="33" t="s">
        <v>21</v>
      </c>
      <c r="J17533" s="42">
        <v>45429</v>
      </c>
      <c r="K17533" s="33" t="s">
        <v>22</v>
      </c>
    </row>
    <row r="17534" spans="1:11">
      <c r="A17534" s="30" t="s">
        <v>39207</v>
      </c>
      <c r="B17534" s="30" t="s">
        <v>39208</v>
      </c>
      <c r="C17534" s="30" t="s">
        <v>318</v>
      </c>
      <c r="D17534" s="30" t="s">
        <v>17</v>
      </c>
      <c r="E17534" s="30" t="s">
        <v>18</v>
      </c>
      <c r="F17534" s="30" t="s">
        <v>19</v>
      </c>
      <c r="G17534" s="30" t="s">
        <v>20</v>
      </c>
      <c r="H17534" s="32">
        <v>151</v>
      </c>
      <c r="I17534" s="30" t="s">
        <v>21</v>
      </c>
      <c r="J17534" s="41">
        <v>45384</v>
      </c>
      <c r="K17534" s="30" t="s">
        <v>22</v>
      </c>
    </row>
    <row r="17535" spans="1:11">
      <c r="A17535" s="33" t="s">
        <v>39209</v>
      </c>
      <c r="B17535" s="33" t="s">
        <v>39210</v>
      </c>
      <c r="C17535" s="33" t="s">
        <v>969</v>
      </c>
      <c r="D17535" s="33" t="s">
        <v>17</v>
      </c>
      <c r="E17535" s="33" t="s">
        <v>26</v>
      </c>
      <c r="F17535" s="33" t="s">
        <v>27</v>
      </c>
      <c r="G17535" s="33" t="s">
        <v>112</v>
      </c>
      <c r="H17535" s="35">
        <v>0</v>
      </c>
      <c r="I17535" s="33" t="s">
        <v>21</v>
      </c>
      <c r="J17535" s="42">
        <v>45446</v>
      </c>
      <c r="K17535" s="33" t="s">
        <v>22</v>
      </c>
    </row>
    <row r="17536" spans="1:11">
      <c r="A17536" s="30" t="s">
        <v>39211</v>
      </c>
      <c r="B17536" s="30" t="s">
        <v>39212</v>
      </c>
      <c r="C17536" s="30" t="s">
        <v>25561</v>
      </c>
      <c r="D17536" s="30" t="s">
        <v>17</v>
      </c>
      <c r="E17536" s="30" t="s">
        <v>26</v>
      </c>
      <c r="F17536" s="30" t="s">
        <v>27</v>
      </c>
      <c r="G17536" s="30" t="s">
        <v>20</v>
      </c>
      <c r="H17536" s="32">
        <v>180</v>
      </c>
      <c r="I17536" s="30" t="s">
        <v>21</v>
      </c>
      <c r="J17536" s="41">
        <v>45540</v>
      </c>
      <c r="K17536" s="30" t="s">
        <v>22</v>
      </c>
    </row>
    <row r="17537" spans="1:11">
      <c r="A17537" s="33" t="s">
        <v>39213</v>
      </c>
      <c r="B17537" s="33" t="s">
        <v>39214</v>
      </c>
      <c r="C17537" s="33" t="s">
        <v>24363</v>
      </c>
      <c r="D17537" s="33" t="s">
        <v>17</v>
      </c>
      <c r="E17537" s="33" t="s">
        <v>31</v>
      </c>
      <c r="F17537" s="33" t="s">
        <v>32</v>
      </c>
      <c r="G17537" s="33" t="s">
        <v>7780</v>
      </c>
      <c r="H17537" s="35">
        <v>120</v>
      </c>
      <c r="I17537" s="33" t="s">
        <v>51</v>
      </c>
      <c r="J17537" s="42">
        <v>45627</v>
      </c>
      <c r="K17537" s="33" t="s">
        <v>22</v>
      </c>
    </row>
    <row r="17538" spans="1:11">
      <c r="A17538" s="30" t="s">
        <v>39215</v>
      </c>
      <c r="B17538" s="30" t="s">
        <v>39216</v>
      </c>
      <c r="C17538" s="30" t="s">
        <v>1583</v>
      </c>
      <c r="D17538" s="30" t="s">
        <v>17</v>
      </c>
      <c r="E17538" s="30" t="s">
        <v>26</v>
      </c>
      <c r="F17538" s="30" t="s">
        <v>27</v>
      </c>
      <c r="G17538" s="30" t="s">
        <v>20</v>
      </c>
      <c r="H17538" s="32">
        <v>6</v>
      </c>
      <c r="I17538" s="30" t="s">
        <v>21</v>
      </c>
      <c r="J17538" s="41">
        <v>45525</v>
      </c>
      <c r="K17538" s="30" t="s">
        <v>22</v>
      </c>
    </row>
    <row r="17539" spans="1:11">
      <c r="A17539" s="33" t="s">
        <v>39217</v>
      </c>
      <c r="B17539" s="33" t="s">
        <v>39218</v>
      </c>
      <c r="C17539" s="33" t="s">
        <v>118</v>
      </c>
      <c r="D17539" s="33" t="s">
        <v>17</v>
      </c>
      <c r="E17539" s="33" t="s">
        <v>26</v>
      </c>
      <c r="F17539" s="33" t="s">
        <v>27</v>
      </c>
      <c r="G17539" s="33" t="s">
        <v>20</v>
      </c>
      <c r="H17539" s="35">
        <v>21</v>
      </c>
      <c r="I17539" s="33" t="s">
        <v>21</v>
      </c>
      <c r="J17539" s="42">
        <v>45380</v>
      </c>
      <c r="K17539" s="33" t="s">
        <v>22</v>
      </c>
    </row>
    <row r="17540" spans="1:11">
      <c r="A17540" s="30" t="s">
        <v>39219</v>
      </c>
      <c r="B17540" s="30" t="s">
        <v>39220</v>
      </c>
      <c r="C17540" s="30" t="s">
        <v>2842</v>
      </c>
      <c r="D17540" s="30" t="s">
        <v>17</v>
      </c>
      <c r="E17540" s="30" t="s">
        <v>31</v>
      </c>
      <c r="F17540" s="30" t="s">
        <v>32</v>
      </c>
      <c r="G17540" s="30" t="s">
        <v>140</v>
      </c>
      <c r="H17540" s="32">
        <v>320</v>
      </c>
      <c r="I17540" s="30" t="s">
        <v>51</v>
      </c>
      <c r="J17540" s="41">
        <v>45587</v>
      </c>
      <c r="K17540" s="30" t="s">
        <v>22</v>
      </c>
    </row>
    <row r="17541" spans="1:11">
      <c r="A17541" s="33" t="s">
        <v>39221</v>
      </c>
      <c r="B17541" s="33" t="s">
        <v>39222</v>
      </c>
      <c r="C17541" s="33" t="s">
        <v>231</v>
      </c>
      <c r="D17541" s="33" t="s">
        <v>17</v>
      </c>
      <c r="E17541" s="33" t="s">
        <v>26</v>
      </c>
      <c r="F17541" s="33" t="s">
        <v>27</v>
      </c>
      <c r="G17541" s="33" t="s">
        <v>106</v>
      </c>
      <c r="H17541" s="35">
        <v>8</v>
      </c>
      <c r="I17541" s="33" t="s">
        <v>21</v>
      </c>
      <c r="J17541" s="42">
        <v>45565</v>
      </c>
      <c r="K17541" s="33" t="s">
        <v>22</v>
      </c>
    </row>
    <row r="17542" spans="1:11">
      <c r="A17542" s="30" t="s">
        <v>39223</v>
      </c>
      <c r="B17542" s="30" t="s">
        <v>39224</v>
      </c>
      <c r="C17542" s="30" t="s">
        <v>190</v>
      </c>
      <c r="D17542" s="30" t="s">
        <v>17</v>
      </c>
      <c r="E17542" s="30" t="s">
        <v>18</v>
      </c>
      <c r="F17542" s="30" t="s">
        <v>19</v>
      </c>
      <c r="G17542" s="30" t="s">
        <v>140</v>
      </c>
      <c r="H17542" s="32">
        <v>744</v>
      </c>
      <c r="I17542" s="30" t="s">
        <v>51</v>
      </c>
      <c r="J17542" s="41">
        <v>45569</v>
      </c>
      <c r="K17542" s="30" t="s">
        <v>22</v>
      </c>
    </row>
    <row r="17543" spans="1:11">
      <c r="A17543" s="33" t="s">
        <v>39225</v>
      </c>
      <c r="B17543" s="33" t="s">
        <v>39226</v>
      </c>
      <c r="C17543" s="33" t="s">
        <v>25667</v>
      </c>
      <c r="D17543" s="33" t="s">
        <v>17</v>
      </c>
      <c r="E17543" s="33" t="s">
        <v>31</v>
      </c>
      <c r="F17543" s="33" t="s">
        <v>32</v>
      </c>
      <c r="G17543" s="33" t="s">
        <v>140</v>
      </c>
      <c r="H17543" s="35">
        <v>97</v>
      </c>
      <c r="I17543" s="33" t="s">
        <v>51</v>
      </c>
      <c r="J17543" s="42">
        <v>45315</v>
      </c>
      <c r="K17543" s="33" t="s">
        <v>22</v>
      </c>
    </row>
    <row r="17544" spans="1:11">
      <c r="A17544" s="30" t="s">
        <v>39227</v>
      </c>
      <c r="B17544" s="30" t="s">
        <v>39228</v>
      </c>
      <c r="C17544" s="30" t="s">
        <v>1422</v>
      </c>
      <c r="D17544" s="30" t="s">
        <v>17</v>
      </c>
      <c r="E17544" s="30" t="s">
        <v>26</v>
      </c>
      <c r="F17544" s="30" t="s">
        <v>27</v>
      </c>
      <c r="G17544" s="30" t="s">
        <v>20</v>
      </c>
      <c r="H17544" s="32">
        <v>300</v>
      </c>
      <c r="I17544" s="30" t="s">
        <v>21</v>
      </c>
      <c r="J17544" s="41">
        <v>45381</v>
      </c>
      <c r="K17544" s="30" t="s">
        <v>22</v>
      </c>
    </row>
    <row r="17545" spans="1:11">
      <c r="A17545" s="33" t="s">
        <v>39229</v>
      </c>
      <c r="B17545" s="33" t="s">
        <v>39230</v>
      </c>
      <c r="C17545" s="33" t="s">
        <v>3459</v>
      </c>
      <c r="D17545" s="33" t="s">
        <v>17</v>
      </c>
      <c r="E17545" s="33" t="s">
        <v>67</v>
      </c>
      <c r="F17545" s="33" t="s">
        <v>68</v>
      </c>
      <c r="G17545" s="33" t="s">
        <v>158</v>
      </c>
      <c r="H17545" s="35">
        <v>150</v>
      </c>
      <c r="I17545" s="33" t="s">
        <v>21</v>
      </c>
      <c r="J17545" s="42">
        <v>45572</v>
      </c>
      <c r="K17545" s="33" t="s">
        <v>22</v>
      </c>
    </row>
    <row r="17546" spans="1:11">
      <c r="A17546" s="30" t="s">
        <v>39231</v>
      </c>
      <c r="B17546" s="30" t="s">
        <v>39232</v>
      </c>
      <c r="C17546" s="30" t="s">
        <v>39233</v>
      </c>
      <c r="D17546" s="30" t="s">
        <v>17</v>
      </c>
      <c r="E17546" s="30" t="s">
        <v>67</v>
      </c>
      <c r="F17546" s="30" t="s">
        <v>68</v>
      </c>
      <c r="G17546" s="30" t="s">
        <v>140</v>
      </c>
      <c r="H17546" s="32">
        <v>820</v>
      </c>
      <c r="I17546" s="30" t="s">
        <v>51</v>
      </c>
      <c r="J17546" s="41">
        <v>45656</v>
      </c>
      <c r="K17546" s="30" t="s">
        <v>22</v>
      </c>
    </row>
    <row r="17547" spans="1:11">
      <c r="A17547" s="33" t="s">
        <v>39234</v>
      </c>
      <c r="B17547" s="33" t="s">
        <v>39235</v>
      </c>
      <c r="C17547" s="33" t="s">
        <v>12921</v>
      </c>
      <c r="D17547" s="33" t="s">
        <v>17</v>
      </c>
      <c r="E17547" s="33" t="s">
        <v>26</v>
      </c>
      <c r="F17547" s="33" t="s">
        <v>27</v>
      </c>
      <c r="G17547" s="33" t="s">
        <v>140</v>
      </c>
      <c r="H17547" s="35">
        <v>60</v>
      </c>
      <c r="I17547" s="33" t="s">
        <v>51</v>
      </c>
      <c r="J17547" s="42">
        <v>45420</v>
      </c>
      <c r="K17547" s="33" t="s">
        <v>22</v>
      </c>
    </row>
    <row r="17548" spans="1:11">
      <c r="A17548" s="30" t="s">
        <v>39236</v>
      </c>
      <c r="B17548" s="30" t="s">
        <v>39237</v>
      </c>
      <c r="C17548" s="30" t="s">
        <v>399</v>
      </c>
      <c r="D17548" s="30" t="s">
        <v>17</v>
      </c>
      <c r="E17548" s="30" t="s">
        <v>31</v>
      </c>
      <c r="F17548" s="30" t="s">
        <v>32</v>
      </c>
      <c r="G17548" s="30" t="s">
        <v>140</v>
      </c>
      <c r="H17548" s="32">
        <v>25</v>
      </c>
      <c r="I17548" s="30" t="s">
        <v>51</v>
      </c>
      <c r="J17548" s="41">
        <v>45615</v>
      </c>
      <c r="K17548" s="30" t="s">
        <v>22</v>
      </c>
    </row>
    <row r="17549" spans="1:11">
      <c r="A17549" s="33" t="s">
        <v>39238</v>
      </c>
      <c r="B17549" s="33" t="s">
        <v>39239</v>
      </c>
      <c r="C17549" s="33" t="s">
        <v>2313</v>
      </c>
      <c r="D17549" s="33" t="s">
        <v>17</v>
      </c>
      <c r="E17549" s="33" t="s">
        <v>26</v>
      </c>
      <c r="F17549" s="33" t="s">
        <v>27</v>
      </c>
      <c r="G17549" s="33" t="s">
        <v>106</v>
      </c>
      <c r="H17549" s="35">
        <v>12</v>
      </c>
      <c r="I17549" s="33" t="s">
        <v>21</v>
      </c>
      <c r="J17549" s="42">
        <v>45642</v>
      </c>
      <c r="K17549" s="33" t="s">
        <v>22</v>
      </c>
    </row>
    <row r="17550" spans="1:11">
      <c r="A17550" s="30" t="s">
        <v>39240</v>
      </c>
      <c r="B17550" s="30" t="s">
        <v>39241</v>
      </c>
      <c r="C17550" s="30" t="s">
        <v>31733</v>
      </c>
      <c r="D17550" s="30" t="s">
        <v>17</v>
      </c>
      <c r="E17550" s="30" t="s">
        <v>26</v>
      </c>
      <c r="F17550" s="30" t="s">
        <v>27</v>
      </c>
      <c r="G17550" s="30" t="s">
        <v>7780</v>
      </c>
      <c r="H17550" s="32">
        <v>8</v>
      </c>
      <c r="I17550" s="30" t="s">
        <v>51</v>
      </c>
      <c r="J17550" s="41">
        <v>45473</v>
      </c>
      <c r="K17550" s="30" t="s">
        <v>22</v>
      </c>
    </row>
    <row r="17551" spans="1:11">
      <c r="A17551" s="33" t="s">
        <v>39242</v>
      </c>
      <c r="B17551" s="33" t="s">
        <v>39243</v>
      </c>
      <c r="C17551" s="33" t="s">
        <v>26340</v>
      </c>
      <c r="D17551" s="33" t="s">
        <v>17</v>
      </c>
      <c r="E17551" s="33" t="s">
        <v>31</v>
      </c>
      <c r="F17551" s="33" t="s">
        <v>32</v>
      </c>
      <c r="G17551" s="33" t="s">
        <v>158</v>
      </c>
      <c r="H17551" s="35">
        <v>900</v>
      </c>
      <c r="I17551" s="33" t="s">
        <v>21</v>
      </c>
      <c r="J17551" s="42">
        <v>45621</v>
      </c>
      <c r="K17551" s="33" t="s">
        <v>22</v>
      </c>
    </row>
    <row r="17552" spans="1:11">
      <c r="A17552" s="30" t="s">
        <v>39244</v>
      </c>
      <c r="B17552" s="30" t="s">
        <v>39245</v>
      </c>
      <c r="C17552" s="30" t="s">
        <v>1583</v>
      </c>
      <c r="D17552" s="30" t="s">
        <v>17</v>
      </c>
      <c r="E17552" s="30" t="s">
        <v>26</v>
      </c>
      <c r="F17552" s="30" t="s">
        <v>27</v>
      </c>
      <c r="G17552" s="30" t="s">
        <v>106</v>
      </c>
      <c r="H17552" s="32">
        <v>22</v>
      </c>
      <c r="I17552" s="30" t="s">
        <v>21</v>
      </c>
      <c r="J17552" s="41">
        <v>45351</v>
      </c>
      <c r="K17552" s="30" t="s">
        <v>22</v>
      </c>
    </row>
    <row r="17553" spans="1:11">
      <c r="A17553" s="33" t="s">
        <v>39246</v>
      </c>
      <c r="B17553" s="33" t="s">
        <v>39247</v>
      </c>
      <c r="C17553" s="33" t="s">
        <v>190</v>
      </c>
      <c r="D17553" s="33" t="s">
        <v>17</v>
      </c>
      <c r="E17553" s="33" t="s">
        <v>31</v>
      </c>
      <c r="F17553" s="33" t="s">
        <v>32</v>
      </c>
      <c r="G17553" s="33" t="s">
        <v>20</v>
      </c>
      <c r="H17553" s="35">
        <v>73</v>
      </c>
      <c r="I17553" s="33" t="s">
        <v>21</v>
      </c>
      <c r="J17553" s="42">
        <v>45337</v>
      </c>
      <c r="K17553" s="33" t="s">
        <v>22</v>
      </c>
    </row>
    <row r="17554" spans="1:11">
      <c r="A17554" s="30" t="s">
        <v>39248</v>
      </c>
      <c r="B17554" s="30" t="s">
        <v>39249</v>
      </c>
      <c r="C17554" s="30" t="s">
        <v>10950</v>
      </c>
      <c r="D17554" s="30" t="s">
        <v>17</v>
      </c>
      <c r="E17554" s="30" t="s">
        <v>26</v>
      </c>
      <c r="F17554" s="30" t="s">
        <v>27</v>
      </c>
      <c r="G17554" s="30" t="s">
        <v>112</v>
      </c>
      <c r="H17554" s="32">
        <v>0</v>
      </c>
      <c r="I17554" s="30" t="s">
        <v>21</v>
      </c>
      <c r="J17554" s="41">
        <v>45596</v>
      </c>
      <c r="K17554" s="30" t="s">
        <v>22</v>
      </c>
    </row>
    <row r="17555" spans="1:11">
      <c r="A17555" s="33" t="s">
        <v>39250</v>
      </c>
      <c r="B17555" s="33" t="s">
        <v>39251</v>
      </c>
      <c r="C17555" s="33" t="s">
        <v>96</v>
      </c>
      <c r="D17555" s="33" t="s">
        <v>17</v>
      </c>
      <c r="E17555" s="33" t="s">
        <v>31</v>
      </c>
      <c r="F17555" s="33" t="s">
        <v>32</v>
      </c>
      <c r="G17555" s="33" t="s">
        <v>20</v>
      </c>
      <c r="H17555" s="35">
        <v>644</v>
      </c>
      <c r="I17555" s="33" t="s">
        <v>21</v>
      </c>
      <c r="J17555" s="42">
        <v>45322</v>
      </c>
      <c r="K17555" s="33" t="s">
        <v>22</v>
      </c>
    </row>
    <row r="17556" spans="1:11">
      <c r="A17556" s="30" t="s">
        <v>39252</v>
      </c>
      <c r="B17556" s="30" t="s">
        <v>39253</v>
      </c>
      <c r="C17556" s="30" t="s">
        <v>39254</v>
      </c>
      <c r="D17556" s="30" t="s">
        <v>17</v>
      </c>
      <c r="E17556" s="30" t="s">
        <v>26</v>
      </c>
      <c r="F17556" s="30" t="s">
        <v>27</v>
      </c>
      <c r="G17556" s="30" t="s">
        <v>2613</v>
      </c>
      <c r="H17556" s="32">
        <v>12</v>
      </c>
      <c r="I17556" s="30" t="s">
        <v>51</v>
      </c>
      <c r="J17556" s="41">
        <v>45656</v>
      </c>
      <c r="K17556" s="30" t="s">
        <v>22</v>
      </c>
    </row>
    <row r="17557" spans="1:11">
      <c r="A17557" s="33" t="s">
        <v>39255</v>
      </c>
      <c r="B17557" s="33" t="s">
        <v>39256</v>
      </c>
      <c r="C17557" s="33" t="s">
        <v>3013</v>
      </c>
      <c r="D17557" s="33" t="s">
        <v>17</v>
      </c>
      <c r="E17557" s="33" t="s">
        <v>26</v>
      </c>
      <c r="F17557" s="33" t="s">
        <v>27</v>
      </c>
      <c r="G17557" s="33" t="s">
        <v>20</v>
      </c>
      <c r="H17557" s="35">
        <v>26</v>
      </c>
      <c r="I17557" s="33" t="s">
        <v>21</v>
      </c>
      <c r="J17557" s="42">
        <v>45357</v>
      </c>
      <c r="K17557" s="33" t="s">
        <v>22</v>
      </c>
    </row>
    <row r="17558" spans="1:11">
      <c r="A17558" s="30" t="s">
        <v>39257</v>
      </c>
      <c r="B17558" s="30" t="s">
        <v>39258</v>
      </c>
      <c r="C17558" s="30" t="s">
        <v>39259</v>
      </c>
      <c r="D17558" s="30" t="s">
        <v>17</v>
      </c>
      <c r="E17558" s="30" t="s">
        <v>212</v>
      </c>
      <c r="F17558" s="30" t="s">
        <v>213</v>
      </c>
      <c r="G17558" s="30" t="s">
        <v>20</v>
      </c>
      <c r="H17558" s="32">
        <v>292</v>
      </c>
      <c r="I17558" s="30" t="s">
        <v>21</v>
      </c>
      <c r="J17558" s="41">
        <v>45579</v>
      </c>
      <c r="K17558" s="30" t="s">
        <v>22</v>
      </c>
    </row>
    <row r="17559" spans="1:11">
      <c r="A17559" s="33" t="s">
        <v>39260</v>
      </c>
      <c r="B17559" s="33" t="s">
        <v>39261</v>
      </c>
      <c r="C17559" s="33" t="s">
        <v>15585</v>
      </c>
      <c r="D17559" s="33" t="s">
        <v>17</v>
      </c>
      <c r="E17559" s="33" t="s">
        <v>31</v>
      </c>
      <c r="F17559" s="33" t="s">
        <v>32</v>
      </c>
      <c r="G17559" s="33" t="s">
        <v>20</v>
      </c>
      <c r="H17559" s="35">
        <v>235</v>
      </c>
      <c r="I17559" s="33" t="s">
        <v>21</v>
      </c>
      <c r="J17559" s="42">
        <v>45468</v>
      </c>
      <c r="K17559" s="33" t="s">
        <v>22</v>
      </c>
    </row>
    <row r="17560" spans="1:11">
      <c r="A17560" s="30" t="s">
        <v>39262</v>
      </c>
      <c r="B17560" s="30" t="s">
        <v>39263</v>
      </c>
      <c r="C17560" s="30" t="s">
        <v>14176</v>
      </c>
      <c r="D17560" s="30" t="s">
        <v>17</v>
      </c>
      <c r="E17560" s="30" t="s">
        <v>18</v>
      </c>
      <c r="F17560" s="30" t="s">
        <v>19</v>
      </c>
      <c r="G17560" s="30" t="s">
        <v>20</v>
      </c>
      <c r="H17560" s="32">
        <v>407</v>
      </c>
      <c r="I17560" s="30" t="s">
        <v>21</v>
      </c>
      <c r="J17560" s="41">
        <v>45352</v>
      </c>
      <c r="K17560" s="30" t="s">
        <v>22</v>
      </c>
    </row>
    <row r="17561" spans="1:11">
      <c r="A17561" s="33" t="s">
        <v>39264</v>
      </c>
      <c r="B17561" s="33" t="s">
        <v>39265</v>
      </c>
      <c r="C17561" s="33" t="s">
        <v>37690</v>
      </c>
      <c r="D17561" s="33" t="s">
        <v>17</v>
      </c>
      <c r="E17561" s="33" t="s">
        <v>31</v>
      </c>
      <c r="F17561" s="33" t="s">
        <v>32</v>
      </c>
      <c r="G17561" s="33" t="s">
        <v>7780</v>
      </c>
      <c r="H17561" s="35">
        <v>100</v>
      </c>
      <c r="I17561" s="33" t="s">
        <v>51</v>
      </c>
      <c r="J17561" s="42">
        <v>45627</v>
      </c>
      <c r="K17561" s="33" t="s">
        <v>22</v>
      </c>
    </row>
    <row r="17562" spans="1:11">
      <c r="A17562" s="30" t="s">
        <v>39266</v>
      </c>
      <c r="B17562" s="30" t="s">
        <v>39267</v>
      </c>
      <c r="C17562" s="30" t="s">
        <v>647</v>
      </c>
      <c r="D17562" s="30" t="s">
        <v>17</v>
      </c>
      <c r="E17562" s="30" t="s">
        <v>31</v>
      </c>
      <c r="F17562" s="30" t="s">
        <v>32</v>
      </c>
      <c r="G17562" s="30" t="s">
        <v>158</v>
      </c>
      <c r="H17562" s="32">
        <v>120</v>
      </c>
      <c r="I17562" s="30" t="s">
        <v>51</v>
      </c>
      <c r="J17562" s="41">
        <v>45623</v>
      </c>
      <c r="K17562" s="30" t="s">
        <v>22</v>
      </c>
    </row>
    <row r="17563" spans="1:11">
      <c r="A17563" s="33" t="s">
        <v>39268</v>
      </c>
      <c r="B17563" s="33" t="s">
        <v>39269</v>
      </c>
      <c r="C17563" s="33" t="s">
        <v>1178</v>
      </c>
      <c r="D17563" s="33" t="s">
        <v>17</v>
      </c>
      <c r="E17563" s="33" t="s">
        <v>26</v>
      </c>
      <c r="F17563" s="33" t="s">
        <v>27</v>
      </c>
      <c r="G17563" s="33" t="s">
        <v>140</v>
      </c>
      <c r="H17563" s="35">
        <v>32</v>
      </c>
      <c r="I17563" s="33" t="s">
        <v>51</v>
      </c>
      <c r="J17563" s="42">
        <v>45441</v>
      </c>
      <c r="K17563" s="33" t="s">
        <v>22</v>
      </c>
    </row>
    <row r="17564" spans="1:11">
      <c r="A17564" s="30" t="s">
        <v>39270</v>
      </c>
      <c r="B17564" s="30" t="s">
        <v>39271</v>
      </c>
      <c r="C17564" s="30" t="s">
        <v>3190</v>
      </c>
      <c r="D17564" s="30" t="s">
        <v>17</v>
      </c>
      <c r="E17564" s="30" t="s">
        <v>26</v>
      </c>
      <c r="F17564" s="30" t="s">
        <v>27</v>
      </c>
      <c r="G17564" s="30" t="s">
        <v>20</v>
      </c>
      <c r="H17564" s="32">
        <v>90</v>
      </c>
      <c r="I17564" s="30" t="s">
        <v>21</v>
      </c>
      <c r="J17564" s="41">
        <v>45314</v>
      </c>
      <c r="K17564" s="30" t="s">
        <v>22</v>
      </c>
    </row>
    <row r="17565" spans="1:11">
      <c r="A17565" s="33" t="s">
        <v>39272</v>
      </c>
      <c r="B17565" s="33" t="s">
        <v>39273</v>
      </c>
      <c r="C17565" s="33" t="s">
        <v>96</v>
      </c>
      <c r="D17565" s="33" t="s">
        <v>17</v>
      </c>
      <c r="E17565" s="33" t="s">
        <v>26</v>
      </c>
      <c r="F17565" s="33" t="s">
        <v>27</v>
      </c>
      <c r="G17565" s="33" t="s">
        <v>20</v>
      </c>
      <c r="H17565" s="35">
        <v>15</v>
      </c>
      <c r="I17565" s="33" t="s">
        <v>21</v>
      </c>
      <c r="J17565" s="42">
        <v>45330</v>
      </c>
      <c r="K17565" s="33" t="s">
        <v>22</v>
      </c>
    </row>
    <row r="17566" spans="1:11">
      <c r="A17566" s="30" t="s">
        <v>39274</v>
      </c>
      <c r="B17566" s="30" t="s">
        <v>39275</v>
      </c>
      <c r="C17566" s="30" t="s">
        <v>109</v>
      </c>
      <c r="D17566" s="30" t="s">
        <v>17</v>
      </c>
      <c r="E17566" s="30" t="s">
        <v>212</v>
      </c>
      <c r="F17566" s="30" t="s">
        <v>213</v>
      </c>
      <c r="G17566" s="30" t="s">
        <v>158</v>
      </c>
      <c r="H17566" s="32">
        <v>24</v>
      </c>
      <c r="I17566" s="30" t="s">
        <v>21</v>
      </c>
      <c r="J17566" s="41">
        <v>45621</v>
      </c>
      <c r="K17566" s="30" t="s">
        <v>22</v>
      </c>
    </row>
    <row r="17567" spans="1:11">
      <c r="A17567" s="33" t="s">
        <v>39276</v>
      </c>
      <c r="B17567" s="33" t="s">
        <v>39277</v>
      </c>
      <c r="C17567" s="33" t="s">
        <v>44</v>
      </c>
      <c r="D17567" s="33" t="s">
        <v>17</v>
      </c>
      <c r="E17567" s="33" t="s">
        <v>67</v>
      </c>
      <c r="F17567" s="33" t="s">
        <v>68</v>
      </c>
      <c r="G17567" s="33" t="s">
        <v>140</v>
      </c>
      <c r="H17567" s="35">
        <v>240</v>
      </c>
      <c r="I17567" s="33" t="s">
        <v>51</v>
      </c>
      <c r="J17567" s="42">
        <v>45558</v>
      </c>
      <c r="K17567" s="33" t="s">
        <v>22</v>
      </c>
    </row>
    <row r="17568" spans="1:11">
      <c r="A17568" s="30" t="s">
        <v>39278</v>
      </c>
      <c r="B17568" s="30" t="s">
        <v>39279</v>
      </c>
      <c r="C17568" s="30" t="s">
        <v>39280</v>
      </c>
      <c r="D17568" s="30" t="s">
        <v>17</v>
      </c>
      <c r="E17568" s="30" t="s">
        <v>26</v>
      </c>
      <c r="F17568" s="30" t="s">
        <v>27</v>
      </c>
      <c r="G17568" s="30" t="s">
        <v>20</v>
      </c>
      <c r="H17568" s="32">
        <v>89</v>
      </c>
      <c r="I17568" s="30" t="s">
        <v>21</v>
      </c>
      <c r="J17568" s="41">
        <v>45322</v>
      </c>
      <c r="K17568" s="30" t="s">
        <v>22</v>
      </c>
    </row>
    <row r="17569" spans="1:11">
      <c r="A17569" s="33" t="s">
        <v>39281</v>
      </c>
      <c r="B17569" s="33" t="s">
        <v>39282</v>
      </c>
      <c r="C17569" s="33" t="s">
        <v>39283</v>
      </c>
      <c r="D17569" s="33" t="s">
        <v>17</v>
      </c>
      <c r="E17569" s="33" t="s">
        <v>26</v>
      </c>
      <c r="F17569" s="33" t="s">
        <v>27</v>
      </c>
      <c r="G17569" s="33" t="s">
        <v>158</v>
      </c>
      <c r="H17569" s="35">
        <v>60</v>
      </c>
      <c r="I17569" s="33" t="s">
        <v>51</v>
      </c>
      <c r="J17569" s="42">
        <v>45565</v>
      </c>
      <c r="K17569" s="33" t="s">
        <v>22</v>
      </c>
    </row>
    <row r="17570" spans="1:11">
      <c r="A17570" s="30" t="s">
        <v>39284</v>
      </c>
      <c r="B17570" s="30" t="s">
        <v>39285</v>
      </c>
      <c r="C17570" s="30" t="s">
        <v>11356</v>
      </c>
      <c r="D17570" s="30" t="s">
        <v>17</v>
      </c>
      <c r="E17570" s="30" t="s">
        <v>31</v>
      </c>
      <c r="F17570" s="30" t="s">
        <v>32</v>
      </c>
      <c r="G17570" s="30" t="s">
        <v>158</v>
      </c>
      <c r="H17570" s="32">
        <v>542</v>
      </c>
      <c r="I17570" s="30" t="s">
        <v>21</v>
      </c>
      <c r="J17570" s="41">
        <v>45351</v>
      </c>
      <c r="K17570" s="30" t="s">
        <v>22</v>
      </c>
    </row>
    <row r="17571" spans="1:11">
      <c r="A17571" s="33" t="s">
        <v>39286</v>
      </c>
      <c r="B17571" s="33" t="s">
        <v>39287</v>
      </c>
      <c r="C17571" s="33" t="s">
        <v>190</v>
      </c>
      <c r="D17571" s="33" t="s">
        <v>17</v>
      </c>
      <c r="E17571" s="33" t="s">
        <v>26</v>
      </c>
      <c r="F17571" s="33" t="s">
        <v>27</v>
      </c>
      <c r="G17571" s="33" t="s">
        <v>106</v>
      </c>
      <c r="H17571" s="35">
        <v>8</v>
      </c>
      <c r="I17571" s="33" t="s">
        <v>21</v>
      </c>
      <c r="J17571" s="42">
        <v>45562</v>
      </c>
      <c r="K17571" s="33" t="s">
        <v>22</v>
      </c>
    </row>
    <row r="17572" spans="1:11">
      <c r="A17572" s="30" t="s">
        <v>39288</v>
      </c>
      <c r="B17572" s="30" t="s">
        <v>39289</v>
      </c>
      <c r="C17572" s="30" t="s">
        <v>10451</v>
      </c>
      <c r="D17572" s="30" t="s">
        <v>17</v>
      </c>
      <c r="E17572" s="30" t="s">
        <v>67</v>
      </c>
      <c r="F17572" s="30" t="s">
        <v>68</v>
      </c>
      <c r="G17572" s="30" t="s">
        <v>50</v>
      </c>
      <c r="H17572" s="32">
        <v>15</v>
      </c>
      <c r="I17572" s="30" t="s">
        <v>51</v>
      </c>
      <c r="J17572" s="41">
        <v>45536</v>
      </c>
      <c r="K17572" s="30" t="s">
        <v>22</v>
      </c>
    </row>
    <row r="17573" spans="1:11">
      <c r="A17573" s="33" t="s">
        <v>39290</v>
      </c>
      <c r="B17573" s="33" t="s">
        <v>39291</v>
      </c>
      <c r="C17573" s="33" t="s">
        <v>12371</v>
      </c>
      <c r="D17573" s="33" t="s">
        <v>17</v>
      </c>
      <c r="E17573" s="33" t="s">
        <v>67</v>
      </c>
      <c r="F17573" s="33" t="s">
        <v>68</v>
      </c>
      <c r="G17573" s="33" t="s">
        <v>158</v>
      </c>
      <c r="H17573" s="35">
        <v>60</v>
      </c>
      <c r="I17573" s="33" t="s">
        <v>51</v>
      </c>
      <c r="J17573" s="42">
        <v>45638</v>
      </c>
      <c r="K17573" s="33" t="s">
        <v>22</v>
      </c>
    </row>
    <row r="17574" spans="1:11">
      <c r="A17574" s="30" t="s">
        <v>39292</v>
      </c>
      <c r="B17574" s="30" t="s">
        <v>39293</v>
      </c>
      <c r="C17574" s="30" t="s">
        <v>5503</v>
      </c>
      <c r="D17574" s="30" t="s">
        <v>17</v>
      </c>
      <c r="E17574" s="30" t="s">
        <v>31</v>
      </c>
      <c r="F17574" s="30" t="s">
        <v>32</v>
      </c>
      <c r="G17574" s="30" t="s">
        <v>140</v>
      </c>
      <c r="H17574" s="32">
        <v>148</v>
      </c>
      <c r="I17574" s="30" t="s">
        <v>51</v>
      </c>
      <c r="J17574" s="41">
        <v>45343</v>
      </c>
      <c r="K17574" s="30" t="s">
        <v>22</v>
      </c>
    </row>
    <row r="17575" spans="1:11">
      <c r="A17575" s="33" t="s">
        <v>39294</v>
      </c>
      <c r="B17575" s="33" t="s">
        <v>39295</v>
      </c>
      <c r="C17575" s="33" t="s">
        <v>39296</v>
      </c>
      <c r="D17575" s="33" t="s">
        <v>17</v>
      </c>
      <c r="E17575" s="33" t="s">
        <v>67</v>
      </c>
      <c r="F17575" s="33" t="s">
        <v>68</v>
      </c>
      <c r="G17575" s="33" t="s">
        <v>140</v>
      </c>
      <c r="H17575" s="35">
        <v>40</v>
      </c>
      <c r="I17575" s="33" t="s">
        <v>51</v>
      </c>
      <c r="J17575" s="42">
        <v>45608</v>
      </c>
      <c r="K17575" s="33" t="s">
        <v>22</v>
      </c>
    </row>
    <row r="17576" spans="1:11">
      <c r="A17576" s="30" t="s">
        <v>39297</v>
      </c>
      <c r="B17576" s="30" t="s">
        <v>39298</v>
      </c>
      <c r="C17576" s="30" t="s">
        <v>3660</v>
      </c>
      <c r="D17576" s="30" t="s">
        <v>17</v>
      </c>
      <c r="E17576" s="30" t="s">
        <v>18</v>
      </c>
      <c r="F17576" s="30" t="s">
        <v>19</v>
      </c>
      <c r="G17576" s="30" t="s">
        <v>158</v>
      </c>
      <c r="H17576" s="32">
        <v>400</v>
      </c>
      <c r="I17576" s="30" t="s">
        <v>51</v>
      </c>
      <c r="J17576" s="41">
        <v>45587</v>
      </c>
      <c r="K17576" s="30" t="s">
        <v>22</v>
      </c>
    </row>
    <row r="17577" spans="1:11">
      <c r="A17577" s="33" t="s">
        <v>39299</v>
      </c>
      <c r="B17577" s="33" t="s">
        <v>39300</v>
      </c>
      <c r="C17577" s="33" t="s">
        <v>3922</v>
      </c>
      <c r="D17577" s="33" t="s">
        <v>17</v>
      </c>
      <c r="E17577" s="33" t="s">
        <v>31</v>
      </c>
      <c r="F17577" s="33" t="s">
        <v>32</v>
      </c>
      <c r="G17577" s="33" t="s">
        <v>140</v>
      </c>
      <c r="H17577" s="35">
        <v>212</v>
      </c>
      <c r="I17577" s="33" t="s">
        <v>51</v>
      </c>
      <c r="J17577" s="42">
        <v>45595</v>
      </c>
      <c r="K17577" s="33" t="s">
        <v>22</v>
      </c>
    </row>
    <row r="17578" spans="1:11">
      <c r="A17578" s="30" t="s">
        <v>39301</v>
      </c>
      <c r="B17578" s="30" t="s">
        <v>39302</v>
      </c>
      <c r="C17578" s="30" t="s">
        <v>1428</v>
      </c>
      <c r="D17578" s="30" t="s">
        <v>17</v>
      </c>
      <c r="E17578" s="30" t="s">
        <v>26</v>
      </c>
      <c r="F17578" s="30" t="s">
        <v>27</v>
      </c>
      <c r="G17578" s="30" t="s">
        <v>7780</v>
      </c>
      <c r="H17578" s="32">
        <v>76</v>
      </c>
      <c r="I17578" s="30" t="s">
        <v>51</v>
      </c>
      <c r="J17578" s="41">
        <v>45383</v>
      </c>
      <c r="K17578" s="30" t="s">
        <v>22</v>
      </c>
    </row>
    <row r="17579" spans="1:11">
      <c r="A17579" s="33" t="s">
        <v>39303</v>
      </c>
      <c r="B17579" s="33" t="s">
        <v>39304</v>
      </c>
      <c r="C17579" s="33" t="s">
        <v>39305</v>
      </c>
      <c r="D17579" s="33" t="s">
        <v>17</v>
      </c>
      <c r="E17579" s="33" t="s">
        <v>212</v>
      </c>
      <c r="F17579" s="33" t="s">
        <v>213</v>
      </c>
      <c r="G17579" s="33" t="s">
        <v>140</v>
      </c>
      <c r="H17579" s="35">
        <v>128</v>
      </c>
      <c r="I17579" s="33" t="s">
        <v>51</v>
      </c>
      <c r="J17579" s="42">
        <v>45503</v>
      </c>
      <c r="K17579" s="33" t="s">
        <v>22</v>
      </c>
    </row>
    <row r="17580" spans="1:11">
      <c r="A17580" s="30" t="s">
        <v>39306</v>
      </c>
      <c r="B17580" s="30" t="s">
        <v>39307</v>
      </c>
      <c r="C17580" s="30" t="s">
        <v>23200</v>
      </c>
      <c r="D17580" s="30" t="s">
        <v>17</v>
      </c>
      <c r="E17580" s="30" t="s">
        <v>67</v>
      </c>
      <c r="F17580" s="30" t="s">
        <v>68</v>
      </c>
      <c r="G17580" s="30" t="s">
        <v>158</v>
      </c>
      <c r="H17580" s="32">
        <v>37</v>
      </c>
      <c r="I17580" s="30" t="s">
        <v>21</v>
      </c>
      <c r="J17580" s="41">
        <v>45348</v>
      </c>
      <c r="K17580" s="30" t="s">
        <v>22</v>
      </c>
    </row>
    <row r="17581" spans="1:11">
      <c r="A17581" s="33" t="s">
        <v>39308</v>
      </c>
      <c r="B17581" s="33" t="s">
        <v>39309</v>
      </c>
      <c r="C17581" s="33" t="s">
        <v>39310</v>
      </c>
      <c r="D17581" s="33" t="s">
        <v>17</v>
      </c>
      <c r="E17581" s="33" t="s">
        <v>31</v>
      </c>
      <c r="F17581" s="33" t="s">
        <v>32</v>
      </c>
      <c r="G17581" s="33" t="s">
        <v>20</v>
      </c>
      <c r="H17581" s="35">
        <v>121</v>
      </c>
      <c r="I17581" s="33" t="s">
        <v>21</v>
      </c>
      <c r="J17581" s="42">
        <v>45581</v>
      </c>
      <c r="K17581" s="33" t="s">
        <v>22</v>
      </c>
    </row>
    <row r="17582" spans="1:11">
      <c r="A17582" s="30" t="s">
        <v>39311</v>
      </c>
      <c r="B17582" s="30" t="s">
        <v>39312</v>
      </c>
      <c r="C17582" s="30" t="s">
        <v>995</v>
      </c>
      <c r="D17582" s="30" t="s">
        <v>17</v>
      </c>
      <c r="E17582" s="30" t="s">
        <v>18</v>
      </c>
      <c r="F17582" s="30" t="s">
        <v>19</v>
      </c>
      <c r="G17582" s="30" t="s">
        <v>20</v>
      </c>
      <c r="H17582" s="32">
        <v>240</v>
      </c>
      <c r="I17582" s="30" t="s">
        <v>21</v>
      </c>
      <c r="J17582" s="41">
        <v>45400</v>
      </c>
      <c r="K17582" s="30" t="s">
        <v>22</v>
      </c>
    </row>
    <row r="17583" spans="1:11">
      <c r="A17583" s="33" t="s">
        <v>39313</v>
      </c>
      <c r="B17583" s="33" t="s">
        <v>39314</v>
      </c>
      <c r="C17583" s="33" t="s">
        <v>1504</v>
      </c>
      <c r="D17583" s="33" t="s">
        <v>17</v>
      </c>
      <c r="E17583" s="33" t="s">
        <v>18</v>
      </c>
      <c r="F17583" s="33" t="s">
        <v>19</v>
      </c>
      <c r="G17583" s="33" t="s">
        <v>140</v>
      </c>
      <c r="H17583" s="35">
        <v>460</v>
      </c>
      <c r="I17583" s="33" t="s">
        <v>51</v>
      </c>
      <c r="J17583" s="42">
        <v>45526</v>
      </c>
      <c r="K17583" s="33" t="s">
        <v>22</v>
      </c>
    </row>
    <row r="17584" spans="1:11">
      <c r="A17584" s="30" t="s">
        <v>39315</v>
      </c>
      <c r="B17584" s="30" t="s">
        <v>39316</v>
      </c>
      <c r="C17584" s="30" t="s">
        <v>118</v>
      </c>
      <c r="D17584" s="30" t="s">
        <v>17</v>
      </c>
      <c r="E17584" s="30" t="s">
        <v>26</v>
      </c>
      <c r="F17584" s="30" t="s">
        <v>27</v>
      </c>
      <c r="G17584" s="30" t="s">
        <v>20</v>
      </c>
      <c r="H17584" s="32">
        <v>21</v>
      </c>
      <c r="I17584" s="30" t="s">
        <v>21</v>
      </c>
      <c r="J17584" s="41">
        <v>45357</v>
      </c>
      <c r="K17584" s="30" t="s">
        <v>22</v>
      </c>
    </row>
    <row r="17585" spans="1:11">
      <c r="A17585" s="33" t="s">
        <v>39317</v>
      </c>
      <c r="B17585" s="33" t="s">
        <v>39318</v>
      </c>
      <c r="C17585" s="33" t="s">
        <v>78</v>
      </c>
      <c r="D17585" s="33" t="s">
        <v>17</v>
      </c>
      <c r="E17585" s="33" t="s">
        <v>26</v>
      </c>
      <c r="F17585" s="33" t="s">
        <v>27</v>
      </c>
      <c r="G17585" s="33" t="s">
        <v>20</v>
      </c>
      <c r="H17585" s="35">
        <v>63</v>
      </c>
      <c r="I17585" s="33" t="s">
        <v>21</v>
      </c>
      <c r="J17585" s="42">
        <v>45295</v>
      </c>
      <c r="K17585" s="33" t="s">
        <v>22</v>
      </c>
    </row>
    <row r="17586" spans="1:11">
      <c r="A17586" s="30" t="s">
        <v>39319</v>
      </c>
      <c r="B17586" s="30" t="s">
        <v>39320</v>
      </c>
      <c r="C17586" s="30" t="s">
        <v>387</v>
      </c>
      <c r="D17586" s="30" t="s">
        <v>17</v>
      </c>
      <c r="E17586" s="30" t="s">
        <v>212</v>
      </c>
      <c r="F17586" s="30" t="s">
        <v>213</v>
      </c>
      <c r="G17586" s="30" t="s">
        <v>158</v>
      </c>
      <c r="H17586" s="32">
        <v>164</v>
      </c>
      <c r="I17586" s="30" t="s">
        <v>21</v>
      </c>
      <c r="J17586" s="41">
        <v>45644</v>
      </c>
      <c r="K17586" s="30" t="s">
        <v>22</v>
      </c>
    </row>
    <row r="17587" spans="1:11">
      <c r="A17587" s="33" t="s">
        <v>39321</v>
      </c>
      <c r="B17587" s="33" t="s">
        <v>39322</v>
      </c>
      <c r="C17587" s="33" t="s">
        <v>35404</v>
      </c>
      <c r="D17587" s="33" t="s">
        <v>17</v>
      </c>
      <c r="E17587" s="33" t="s">
        <v>67</v>
      </c>
      <c r="F17587" s="33" t="s">
        <v>68</v>
      </c>
      <c r="G17587" s="33" t="s">
        <v>140</v>
      </c>
      <c r="H17587" s="35">
        <v>243</v>
      </c>
      <c r="I17587" s="33" t="s">
        <v>51</v>
      </c>
      <c r="J17587" s="42">
        <v>45358</v>
      </c>
      <c r="K17587" s="33" t="s">
        <v>22</v>
      </c>
    </row>
    <row r="17588" spans="1:11">
      <c r="A17588" s="30" t="s">
        <v>39323</v>
      </c>
      <c r="B17588" s="30" t="s">
        <v>39324</v>
      </c>
      <c r="C17588" s="30" t="s">
        <v>5636</v>
      </c>
      <c r="D17588" s="30" t="s">
        <v>17</v>
      </c>
      <c r="E17588" s="30" t="s">
        <v>18</v>
      </c>
      <c r="F17588" s="30" t="s">
        <v>19</v>
      </c>
      <c r="G17588" s="30" t="s">
        <v>7780</v>
      </c>
      <c r="H17588" s="32">
        <v>486</v>
      </c>
      <c r="I17588" s="30" t="s">
        <v>51</v>
      </c>
      <c r="J17588" s="41">
        <v>45593</v>
      </c>
      <c r="K17588" s="30" t="s">
        <v>22</v>
      </c>
    </row>
    <row r="17589" spans="1:11">
      <c r="A17589" s="33" t="s">
        <v>39325</v>
      </c>
      <c r="B17589" s="33" t="s">
        <v>39326</v>
      </c>
      <c r="C17589" s="33" t="s">
        <v>1788</v>
      </c>
      <c r="D17589" s="33" t="s">
        <v>17</v>
      </c>
      <c r="E17589" s="33" t="s">
        <v>26</v>
      </c>
      <c r="F17589" s="33" t="s">
        <v>27</v>
      </c>
      <c r="G17589" s="33" t="s">
        <v>112</v>
      </c>
      <c r="H17589" s="35">
        <v>0</v>
      </c>
      <c r="I17589" s="33" t="s">
        <v>21</v>
      </c>
      <c r="J17589" s="42">
        <v>45352</v>
      </c>
      <c r="K17589" s="33" t="s">
        <v>22</v>
      </c>
    </row>
    <row r="17590" spans="1:11">
      <c r="A17590" s="30" t="s">
        <v>39327</v>
      </c>
      <c r="B17590" s="30" t="s">
        <v>39328</v>
      </c>
      <c r="C17590" s="30" t="s">
        <v>647</v>
      </c>
      <c r="D17590" s="30" t="s">
        <v>17</v>
      </c>
      <c r="E17590" s="30" t="s">
        <v>18</v>
      </c>
      <c r="F17590" s="30" t="s">
        <v>19</v>
      </c>
      <c r="G17590" s="30" t="s">
        <v>158</v>
      </c>
      <c r="H17590" s="32">
        <v>520</v>
      </c>
      <c r="I17590" s="30" t="s">
        <v>51</v>
      </c>
      <c r="J17590" s="41">
        <v>45454</v>
      </c>
      <c r="K17590" s="30" t="s">
        <v>22</v>
      </c>
    </row>
    <row r="17591" spans="1:11">
      <c r="A17591" s="33" t="s">
        <v>39329</v>
      </c>
      <c r="B17591" s="33" t="s">
        <v>39330</v>
      </c>
      <c r="C17591" s="33" t="s">
        <v>96</v>
      </c>
      <c r="D17591" s="33" t="s">
        <v>17</v>
      </c>
      <c r="E17591" s="33" t="s">
        <v>26</v>
      </c>
      <c r="F17591" s="33" t="s">
        <v>27</v>
      </c>
      <c r="G17591" s="33" t="s">
        <v>20</v>
      </c>
      <c r="H17591" s="35">
        <v>12</v>
      </c>
      <c r="I17591" s="33" t="s">
        <v>21</v>
      </c>
      <c r="J17591" s="42">
        <v>45453</v>
      </c>
      <c r="K17591" s="33" t="s">
        <v>22</v>
      </c>
    </row>
    <row r="17592" spans="1:11">
      <c r="A17592" s="30" t="s">
        <v>39331</v>
      </c>
      <c r="B17592" s="30" t="s">
        <v>39332</v>
      </c>
      <c r="C17592" s="30" t="s">
        <v>231</v>
      </c>
      <c r="D17592" s="30" t="s">
        <v>17</v>
      </c>
      <c r="E17592" s="30" t="s">
        <v>26</v>
      </c>
      <c r="F17592" s="30" t="s">
        <v>27</v>
      </c>
      <c r="G17592" s="30" t="s">
        <v>140</v>
      </c>
      <c r="H17592" s="32">
        <v>30</v>
      </c>
      <c r="I17592" s="30" t="s">
        <v>51</v>
      </c>
      <c r="J17592" s="41">
        <v>45566</v>
      </c>
      <c r="K17592" s="30" t="s">
        <v>22</v>
      </c>
    </row>
    <row r="17593" spans="1:11">
      <c r="A17593" s="33" t="s">
        <v>39333</v>
      </c>
      <c r="B17593" s="33" t="s">
        <v>39334</v>
      </c>
      <c r="C17593" s="33" t="s">
        <v>11899</v>
      </c>
      <c r="D17593" s="33" t="s">
        <v>17</v>
      </c>
      <c r="E17593" s="33" t="s">
        <v>31</v>
      </c>
      <c r="F17593" s="33" t="s">
        <v>32</v>
      </c>
      <c r="G17593" s="33" t="s">
        <v>158</v>
      </c>
      <c r="H17593" s="35">
        <v>153</v>
      </c>
      <c r="I17593" s="33" t="s">
        <v>21</v>
      </c>
      <c r="J17593" s="42">
        <v>45362</v>
      </c>
      <c r="K17593" s="33" t="s">
        <v>22</v>
      </c>
    </row>
    <row r="17594" spans="1:11">
      <c r="A17594" s="30" t="s">
        <v>39335</v>
      </c>
      <c r="B17594" s="30" t="s">
        <v>39336</v>
      </c>
      <c r="C17594" s="30" t="s">
        <v>39337</v>
      </c>
      <c r="D17594" s="30" t="s">
        <v>17</v>
      </c>
      <c r="E17594" s="30" t="s">
        <v>26</v>
      </c>
      <c r="F17594" s="30" t="s">
        <v>27</v>
      </c>
      <c r="G17594" s="30" t="s">
        <v>140</v>
      </c>
      <c r="H17594" s="32">
        <v>50</v>
      </c>
      <c r="I17594" s="30" t="s">
        <v>51</v>
      </c>
      <c r="J17594" s="41">
        <v>45329</v>
      </c>
      <c r="K17594" s="30" t="s">
        <v>22</v>
      </c>
    </row>
    <row r="17595" spans="1:11">
      <c r="A17595" s="33" t="s">
        <v>39338</v>
      </c>
      <c r="B17595" s="33" t="s">
        <v>39339</v>
      </c>
      <c r="C17595" s="33" t="s">
        <v>39340</v>
      </c>
      <c r="D17595" s="33" t="s">
        <v>17</v>
      </c>
      <c r="E17595" s="33" t="s">
        <v>26</v>
      </c>
      <c r="F17595" s="33" t="s">
        <v>27</v>
      </c>
      <c r="G17595" s="33" t="s">
        <v>20</v>
      </c>
      <c r="H17595" s="35">
        <v>10</v>
      </c>
      <c r="I17595" s="33" t="s">
        <v>21</v>
      </c>
      <c r="J17595" s="42">
        <v>45570</v>
      </c>
      <c r="K17595" s="33" t="s">
        <v>22</v>
      </c>
    </row>
    <row r="17596" spans="1:11">
      <c r="A17596" s="30" t="s">
        <v>39341</v>
      </c>
      <c r="B17596" s="30" t="s">
        <v>39342</v>
      </c>
      <c r="C17596" s="30" t="s">
        <v>2692</v>
      </c>
      <c r="D17596" s="30" t="s">
        <v>17</v>
      </c>
      <c r="E17596" s="30" t="s">
        <v>18</v>
      </c>
      <c r="F17596" s="30" t="s">
        <v>19</v>
      </c>
      <c r="G17596" s="30" t="s">
        <v>7780</v>
      </c>
      <c r="H17596" s="32">
        <v>672</v>
      </c>
      <c r="I17596" s="30" t="s">
        <v>51</v>
      </c>
      <c r="J17596" s="41">
        <v>45292</v>
      </c>
      <c r="K17596" s="30" t="s">
        <v>22</v>
      </c>
    </row>
    <row r="17597" spans="1:11">
      <c r="A17597" s="33" t="s">
        <v>39343</v>
      </c>
      <c r="B17597" s="33" t="s">
        <v>39344</v>
      </c>
      <c r="C17597" s="33" t="s">
        <v>149</v>
      </c>
      <c r="D17597" s="33" t="s">
        <v>17</v>
      </c>
      <c r="E17597" s="33" t="s">
        <v>18</v>
      </c>
      <c r="F17597" s="33" t="s">
        <v>19</v>
      </c>
      <c r="G17597" s="33" t="s">
        <v>140</v>
      </c>
      <c r="H17597" s="35">
        <v>578</v>
      </c>
      <c r="I17597" s="33" t="s">
        <v>51</v>
      </c>
      <c r="J17597" s="42">
        <v>45560</v>
      </c>
      <c r="K17597" s="33" t="s">
        <v>22</v>
      </c>
    </row>
    <row r="17598" spans="1:11">
      <c r="A17598" s="30" t="s">
        <v>39345</v>
      </c>
      <c r="B17598" s="30" t="s">
        <v>39346</v>
      </c>
      <c r="C17598" s="30" t="s">
        <v>10268</v>
      </c>
      <c r="D17598" s="30" t="s">
        <v>17</v>
      </c>
      <c r="E17598" s="30" t="s">
        <v>31</v>
      </c>
      <c r="F17598" s="30" t="s">
        <v>32</v>
      </c>
      <c r="G17598" s="30" t="s">
        <v>140</v>
      </c>
      <c r="H17598" s="32">
        <v>70</v>
      </c>
      <c r="I17598" s="30" t="s">
        <v>51</v>
      </c>
      <c r="J17598" s="41">
        <v>45505</v>
      </c>
      <c r="K17598" s="30" t="s">
        <v>22</v>
      </c>
    </row>
    <row r="17599" spans="1:11">
      <c r="A17599" s="33" t="s">
        <v>39347</v>
      </c>
      <c r="B17599" s="33" t="s">
        <v>39348</v>
      </c>
      <c r="C17599" s="33" t="s">
        <v>39349</v>
      </c>
      <c r="D17599" s="33" t="s">
        <v>17</v>
      </c>
      <c r="E17599" s="33" t="s">
        <v>31</v>
      </c>
      <c r="F17599" s="33" t="s">
        <v>32</v>
      </c>
      <c r="G17599" s="33" t="s">
        <v>140</v>
      </c>
      <c r="H17599" s="35">
        <v>120</v>
      </c>
      <c r="I17599" s="33" t="s">
        <v>51</v>
      </c>
      <c r="J17599" s="42">
        <v>45526</v>
      </c>
      <c r="K17599" s="33" t="s">
        <v>22</v>
      </c>
    </row>
    <row r="17600" spans="1:11">
      <c r="A17600" s="30" t="s">
        <v>39350</v>
      </c>
      <c r="B17600" s="30" t="s">
        <v>39351</v>
      </c>
      <c r="C17600" s="30" t="s">
        <v>39352</v>
      </c>
      <c r="D17600" s="30" t="s">
        <v>17</v>
      </c>
      <c r="E17600" s="30" t="s">
        <v>31</v>
      </c>
      <c r="F17600" s="30" t="s">
        <v>32</v>
      </c>
      <c r="G17600" s="30" t="s">
        <v>158</v>
      </c>
      <c r="H17600" s="32">
        <v>70</v>
      </c>
      <c r="I17600" s="30" t="s">
        <v>51</v>
      </c>
      <c r="J17600" s="41">
        <v>45559</v>
      </c>
      <c r="K17600" s="30" t="s">
        <v>22</v>
      </c>
    </row>
    <row r="17601" spans="1:11">
      <c r="A17601" s="33" t="s">
        <v>39353</v>
      </c>
      <c r="B17601" s="33" t="s">
        <v>39354</v>
      </c>
      <c r="C17601" s="33" t="s">
        <v>1016</v>
      </c>
      <c r="D17601" s="33" t="s">
        <v>17</v>
      </c>
      <c r="E17601" s="33" t="s">
        <v>26</v>
      </c>
      <c r="F17601" s="33" t="s">
        <v>27</v>
      </c>
      <c r="G17601" s="33" t="s">
        <v>20</v>
      </c>
      <c r="H17601" s="35">
        <v>212</v>
      </c>
      <c r="I17601" s="33" t="s">
        <v>21</v>
      </c>
      <c r="J17601" s="42">
        <v>45636</v>
      </c>
      <c r="K17601" s="33" t="s">
        <v>22</v>
      </c>
    </row>
    <row r="17602" spans="1:11">
      <c r="A17602" s="30" t="s">
        <v>39355</v>
      </c>
      <c r="B17602" s="30" t="s">
        <v>39356</v>
      </c>
      <c r="C17602" s="30" t="s">
        <v>118</v>
      </c>
      <c r="D17602" s="30" t="s">
        <v>17</v>
      </c>
      <c r="E17602" s="30" t="s">
        <v>26</v>
      </c>
      <c r="F17602" s="30" t="s">
        <v>27</v>
      </c>
      <c r="G17602" s="30" t="s">
        <v>20</v>
      </c>
      <c r="H17602" s="32">
        <v>64</v>
      </c>
      <c r="I17602" s="30" t="s">
        <v>21</v>
      </c>
      <c r="J17602" s="41">
        <v>45299</v>
      </c>
      <c r="K17602" s="30" t="s">
        <v>22</v>
      </c>
    </row>
    <row r="17603" spans="1:11">
      <c r="A17603" s="33" t="s">
        <v>39357</v>
      </c>
      <c r="B17603" s="33" t="s">
        <v>39358</v>
      </c>
      <c r="C17603" s="33" t="s">
        <v>3775</v>
      </c>
      <c r="D17603" s="33" t="s">
        <v>17</v>
      </c>
      <c r="E17603" s="33" t="s">
        <v>18</v>
      </c>
      <c r="F17603" s="33" t="s">
        <v>19</v>
      </c>
      <c r="G17603" s="33" t="s">
        <v>20</v>
      </c>
      <c r="H17603" s="35">
        <v>156</v>
      </c>
      <c r="I17603" s="33" t="s">
        <v>21</v>
      </c>
      <c r="J17603" s="42">
        <v>45399</v>
      </c>
      <c r="K17603" s="33" t="s">
        <v>22</v>
      </c>
    </row>
    <row r="17604" spans="1:11">
      <c r="A17604" s="30" t="s">
        <v>39359</v>
      </c>
      <c r="B17604" s="30" t="s">
        <v>39360</v>
      </c>
      <c r="C17604" s="30" t="s">
        <v>8234</v>
      </c>
      <c r="D17604" s="30" t="s">
        <v>17</v>
      </c>
      <c r="E17604" s="30" t="s">
        <v>31</v>
      </c>
      <c r="F17604" s="30" t="s">
        <v>32</v>
      </c>
      <c r="G17604" s="30" t="s">
        <v>140</v>
      </c>
      <c r="H17604" s="32">
        <v>64</v>
      </c>
      <c r="I17604" s="30" t="s">
        <v>51</v>
      </c>
      <c r="J17604" s="41">
        <v>45439</v>
      </c>
      <c r="K17604" s="30" t="s">
        <v>22</v>
      </c>
    </row>
    <row r="17605" spans="1:11">
      <c r="A17605" s="33" t="s">
        <v>39361</v>
      </c>
      <c r="B17605" s="33" t="s">
        <v>39362</v>
      </c>
      <c r="C17605" s="33" t="s">
        <v>39363</v>
      </c>
      <c r="D17605" s="33" t="s">
        <v>17</v>
      </c>
      <c r="E17605" s="33" t="s">
        <v>18</v>
      </c>
      <c r="F17605" s="33" t="s">
        <v>19</v>
      </c>
      <c r="G17605" s="33" t="s">
        <v>158</v>
      </c>
      <c r="H17605" s="35">
        <v>500</v>
      </c>
      <c r="I17605" s="33" t="s">
        <v>21</v>
      </c>
      <c r="J17605" s="42">
        <v>45573</v>
      </c>
      <c r="K17605" s="33" t="s">
        <v>22</v>
      </c>
    </row>
    <row r="17606" spans="1:11">
      <c r="A17606" s="30" t="s">
        <v>39364</v>
      </c>
      <c r="B17606" s="30" t="s">
        <v>39365</v>
      </c>
      <c r="C17606" s="30" t="s">
        <v>2618</v>
      </c>
      <c r="D17606" s="30" t="s">
        <v>17</v>
      </c>
      <c r="E17606" s="30" t="s">
        <v>26</v>
      </c>
      <c r="F17606" s="30" t="s">
        <v>27</v>
      </c>
      <c r="G17606" s="30" t="s">
        <v>106</v>
      </c>
      <c r="H17606" s="32">
        <v>18</v>
      </c>
      <c r="I17606" s="30" t="s">
        <v>21</v>
      </c>
      <c r="J17606" s="41">
        <v>45309</v>
      </c>
      <c r="K17606" s="30" t="s">
        <v>22</v>
      </c>
    </row>
    <row r="17607" spans="1:11">
      <c r="A17607" s="33" t="s">
        <v>39366</v>
      </c>
      <c r="B17607" s="33" t="s">
        <v>39367</v>
      </c>
      <c r="C17607" s="33" t="s">
        <v>39368</v>
      </c>
      <c r="D17607" s="33" t="s">
        <v>17</v>
      </c>
      <c r="E17607" s="33" t="s">
        <v>330</v>
      </c>
      <c r="F17607" s="33" t="s">
        <v>331</v>
      </c>
      <c r="G17607" s="33" t="s">
        <v>112</v>
      </c>
      <c r="H17607" s="35">
        <v>0</v>
      </c>
      <c r="I17607" s="33" t="s">
        <v>21</v>
      </c>
      <c r="J17607" s="42">
        <v>45535</v>
      </c>
      <c r="K17607" s="33" t="s">
        <v>22</v>
      </c>
    </row>
    <row r="17608" spans="1:11">
      <c r="A17608" s="30" t="s">
        <v>39369</v>
      </c>
      <c r="B17608" s="30" t="s">
        <v>39370</v>
      </c>
      <c r="C17608" s="30" t="s">
        <v>39371</v>
      </c>
      <c r="D17608" s="30" t="s">
        <v>17</v>
      </c>
      <c r="E17608" s="30" t="s">
        <v>26</v>
      </c>
      <c r="F17608" s="30" t="s">
        <v>27</v>
      </c>
      <c r="G17608" s="30" t="s">
        <v>140</v>
      </c>
      <c r="H17608" s="32">
        <v>136</v>
      </c>
      <c r="I17608" s="30" t="s">
        <v>51</v>
      </c>
      <c r="J17608" s="41">
        <v>45596</v>
      </c>
      <c r="K17608" s="30" t="s">
        <v>22</v>
      </c>
    </row>
    <row r="17609" spans="1:11">
      <c r="A17609" s="33" t="s">
        <v>39372</v>
      </c>
      <c r="B17609" s="33" t="s">
        <v>39373</v>
      </c>
      <c r="C17609" s="33" t="s">
        <v>28441</v>
      </c>
      <c r="D17609" s="33" t="s">
        <v>17</v>
      </c>
      <c r="E17609" s="33" t="s">
        <v>212</v>
      </c>
      <c r="F17609" s="33" t="s">
        <v>213</v>
      </c>
      <c r="G17609" s="33" t="s">
        <v>140</v>
      </c>
      <c r="H17609" s="35">
        <v>234</v>
      </c>
      <c r="I17609" s="33" t="s">
        <v>51</v>
      </c>
      <c r="J17609" s="42">
        <v>45503</v>
      </c>
      <c r="K17609" s="33" t="s">
        <v>22</v>
      </c>
    </row>
    <row r="17610" spans="1:11">
      <c r="A17610" s="30" t="s">
        <v>39374</v>
      </c>
      <c r="B17610" s="30" t="s">
        <v>39375</v>
      </c>
      <c r="C17610" s="30" t="s">
        <v>102</v>
      </c>
      <c r="D17610" s="30" t="s">
        <v>17</v>
      </c>
      <c r="E17610" s="30" t="s">
        <v>31</v>
      </c>
      <c r="F17610" s="30" t="s">
        <v>32</v>
      </c>
      <c r="G17610" s="30" t="s">
        <v>158</v>
      </c>
      <c r="H17610" s="32">
        <v>43</v>
      </c>
      <c r="I17610" s="30" t="s">
        <v>21</v>
      </c>
      <c r="J17610" s="41">
        <v>45524</v>
      </c>
      <c r="K17610" s="30" t="s">
        <v>22</v>
      </c>
    </row>
    <row r="17611" spans="1:11">
      <c r="A17611" s="33" t="s">
        <v>39376</v>
      </c>
      <c r="B17611" s="33" t="s">
        <v>39377</v>
      </c>
      <c r="C17611" s="33" t="s">
        <v>190</v>
      </c>
      <c r="D17611" s="33" t="s">
        <v>17</v>
      </c>
      <c r="E17611" s="33" t="s">
        <v>31</v>
      </c>
      <c r="F17611" s="33" t="s">
        <v>32</v>
      </c>
      <c r="G17611" s="33" t="s">
        <v>20</v>
      </c>
      <c r="H17611" s="35">
        <v>406</v>
      </c>
      <c r="I17611" s="33" t="s">
        <v>21</v>
      </c>
      <c r="J17611" s="42">
        <v>45573</v>
      </c>
      <c r="K17611" s="33" t="s">
        <v>22</v>
      </c>
    </row>
    <row r="17612" spans="1:11">
      <c r="A17612" s="30" t="s">
        <v>39378</v>
      </c>
      <c r="B17612" s="30" t="s">
        <v>39379</v>
      </c>
      <c r="C17612" s="30" t="s">
        <v>3270</v>
      </c>
      <c r="D17612" s="30" t="s">
        <v>17</v>
      </c>
      <c r="E17612" s="30" t="s">
        <v>26</v>
      </c>
      <c r="F17612" s="30" t="s">
        <v>27</v>
      </c>
      <c r="G17612" s="30" t="s">
        <v>140</v>
      </c>
      <c r="H17612" s="32">
        <v>351</v>
      </c>
      <c r="I17612" s="30" t="s">
        <v>51</v>
      </c>
      <c r="J17612" s="41">
        <v>45296</v>
      </c>
      <c r="K17612" s="30" t="s">
        <v>22</v>
      </c>
    </row>
    <row r="17613" spans="1:11">
      <c r="A17613" s="33" t="s">
        <v>39380</v>
      </c>
      <c r="B17613" s="33" t="s">
        <v>39381</v>
      </c>
      <c r="C17613" s="33" t="s">
        <v>190</v>
      </c>
      <c r="D17613" s="33" t="s">
        <v>17</v>
      </c>
      <c r="E17613" s="33" t="s">
        <v>26</v>
      </c>
      <c r="F17613" s="33" t="s">
        <v>27</v>
      </c>
      <c r="G17613" s="33" t="s">
        <v>106</v>
      </c>
      <c r="H17613" s="35">
        <v>15</v>
      </c>
      <c r="I17613" s="33" t="s">
        <v>21</v>
      </c>
      <c r="J17613" s="42">
        <v>45425</v>
      </c>
      <c r="K17613" s="33" t="s">
        <v>22</v>
      </c>
    </row>
    <row r="17614" spans="1:11">
      <c r="A17614" s="30" t="s">
        <v>39382</v>
      </c>
      <c r="B17614" s="30" t="s">
        <v>39383</v>
      </c>
      <c r="C17614" s="30" t="s">
        <v>1069</v>
      </c>
      <c r="D17614" s="30" t="s">
        <v>17</v>
      </c>
      <c r="E17614" s="30" t="s">
        <v>18</v>
      </c>
      <c r="F17614" s="30" t="s">
        <v>19</v>
      </c>
      <c r="G17614" s="30" t="s">
        <v>158</v>
      </c>
      <c r="H17614" s="32">
        <v>140</v>
      </c>
      <c r="I17614" s="30" t="s">
        <v>51</v>
      </c>
      <c r="J17614" s="41">
        <v>45368</v>
      </c>
      <c r="K17614" s="30" t="s">
        <v>22</v>
      </c>
    </row>
    <row r="17615" spans="1:11">
      <c r="A17615" s="33" t="s">
        <v>39384</v>
      </c>
      <c r="B17615" s="33" t="s">
        <v>39385</v>
      </c>
      <c r="C17615" s="33" t="s">
        <v>10669</v>
      </c>
      <c r="D17615" s="33" t="s">
        <v>17</v>
      </c>
      <c r="E17615" s="33" t="s">
        <v>26</v>
      </c>
      <c r="F17615" s="33" t="s">
        <v>27</v>
      </c>
      <c r="G17615" s="33" t="s">
        <v>106</v>
      </c>
      <c r="H17615" s="35">
        <v>30</v>
      </c>
      <c r="I17615" s="33" t="s">
        <v>21</v>
      </c>
      <c r="J17615" s="42">
        <v>45474</v>
      </c>
      <c r="K17615" s="33" t="s">
        <v>22</v>
      </c>
    </row>
    <row r="17616" spans="1:11">
      <c r="A17616" s="30" t="s">
        <v>39386</v>
      </c>
      <c r="B17616" s="30" t="s">
        <v>39387</v>
      </c>
      <c r="C17616" s="30" t="s">
        <v>93</v>
      </c>
      <c r="D17616" s="30" t="s">
        <v>17</v>
      </c>
      <c r="E17616" s="30" t="s">
        <v>26</v>
      </c>
      <c r="F17616" s="30" t="s">
        <v>27</v>
      </c>
      <c r="G17616" s="30" t="s">
        <v>112</v>
      </c>
      <c r="H17616" s="32">
        <v>0</v>
      </c>
      <c r="I17616" s="30" t="s">
        <v>21</v>
      </c>
      <c r="J17616" s="41">
        <v>45627</v>
      </c>
      <c r="K17616" s="30" t="s">
        <v>22</v>
      </c>
    </row>
    <row r="17617" spans="1:11">
      <c r="A17617" s="33" t="s">
        <v>39388</v>
      </c>
      <c r="B17617" s="33" t="s">
        <v>39389</v>
      </c>
      <c r="C17617" s="33" t="s">
        <v>149</v>
      </c>
      <c r="D17617" s="33" t="s">
        <v>17</v>
      </c>
      <c r="E17617" s="33" t="s">
        <v>18</v>
      </c>
      <c r="F17617" s="33" t="s">
        <v>19</v>
      </c>
      <c r="G17617" s="33" t="s">
        <v>20</v>
      </c>
      <c r="H17617" s="35">
        <v>393</v>
      </c>
      <c r="I17617" s="33" t="s">
        <v>21</v>
      </c>
      <c r="J17617" s="42">
        <v>45420</v>
      </c>
      <c r="K17617" s="33" t="s">
        <v>22</v>
      </c>
    </row>
    <row r="17618" spans="1:11">
      <c r="A17618" s="30" t="s">
        <v>39390</v>
      </c>
      <c r="B17618" s="30" t="s">
        <v>39391</v>
      </c>
      <c r="C17618" s="30" t="s">
        <v>2753</v>
      </c>
      <c r="D17618" s="30" t="s">
        <v>17</v>
      </c>
      <c r="E17618" s="30" t="s">
        <v>26</v>
      </c>
      <c r="F17618" s="30" t="s">
        <v>27</v>
      </c>
      <c r="G17618" s="30" t="s">
        <v>140</v>
      </c>
      <c r="H17618" s="32">
        <v>308</v>
      </c>
      <c r="I17618" s="30" t="s">
        <v>51</v>
      </c>
      <c r="J17618" s="41">
        <v>45394</v>
      </c>
      <c r="K17618" s="30" t="s">
        <v>22</v>
      </c>
    </row>
    <row r="17619" spans="1:11">
      <c r="A17619" s="33" t="s">
        <v>39392</v>
      </c>
      <c r="B17619" s="33" t="s">
        <v>39393</v>
      </c>
      <c r="C17619" s="33" t="s">
        <v>187</v>
      </c>
      <c r="D17619" s="33" t="s">
        <v>17</v>
      </c>
      <c r="E17619" s="33" t="s">
        <v>67</v>
      </c>
      <c r="F17619" s="33" t="s">
        <v>68</v>
      </c>
      <c r="G17619" s="33" t="s">
        <v>140</v>
      </c>
      <c r="H17619" s="35">
        <v>138</v>
      </c>
      <c r="I17619" s="33" t="s">
        <v>51</v>
      </c>
      <c r="J17619" s="42">
        <v>45399</v>
      </c>
      <c r="K17619" s="33" t="s">
        <v>22</v>
      </c>
    </row>
    <row r="17620" spans="1:11">
      <c r="A17620" s="30" t="s">
        <v>39394</v>
      </c>
      <c r="B17620" s="30" t="s">
        <v>39395</v>
      </c>
      <c r="C17620" s="30" t="s">
        <v>39396</v>
      </c>
      <c r="D17620" s="30" t="s">
        <v>17</v>
      </c>
      <c r="E17620" s="30" t="s">
        <v>26</v>
      </c>
      <c r="F17620" s="30" t="s">
        <v>27</v>
      </c>
      <c r="G17620" s="30" t="s">
        <v>20</v>
      </c>
      <c r="H17620" s="32">
        <v>32</v>
      </c>
      <c r="I17620" s="30" t="s">
        <v>21</v>
      </c>
      <c r="J17620" s="41">
        <v>45329</v>
      </c>
      <c r="K17620" s="30" t="s">
        <v>22</v>
      </c>
    </row>
    <row r="17621" spans="1:11">
      <c r="A17621" s="33" t="s">
        <v>39397</v>
      </c>
      <c r="B17621" s="33" t="s">
        <v>39398</v>
      </c>
      <c r="C17621" s="33" t="s">
        <v>7765</v>
      </c>
      <c r="D17621" s="33" t="s">
        <v>17</v>
      </c>
      <c r="E17621" s="33" t="s">
        <v>26</v>
      </c>
      <c r="F17621" s="33" t="s">
        <v>27</v>
      </c>
      <c r="G17621" s="33" t="s">
        <v>20</v>
      </c>
      <c r="H17621" s="35">
        <v>60</v>
      </c>
      <c r="I17621" s="33" t="s">
        <v>21</v>
      </c>
      <c r="J17621" s="42">
        <v>45539</v>
      </c>
      <c r="K17621" s="33" t="s">
        <v>22</v>
      </c>
    </row>
    <row r="17622" spans="1:11">
      <c r="A17622" s="30" t="s">
        <v>39399</v>
      </c>
      <c r="B17622" s="30" t="s">
        <v>39400</v>
      </c>
      <c r="C17622" s="30" t="s">
        <v>136</v>
      </c>
      <c r="D17622" s="30" t="s">
        <v>17</v>
      </c>
      <c r="E17622" s="30" t="s">
        <v>26</v>
      </c>
      <c r="F17622" s="30" t="s">
        <v>27</v>
      </c>
      <c r="G17622" s="30" t="s">
        <v>20</v>
      </c>
      <c r="H17622" s="32">
        <v>15</v>
      </c>
      <c r="I17622" s="30" t="s">
        <v>21</v>
      </c>
      <c r="J17622" s="41">
        <v>45582</v>
      </c>
      <c r="K17622" s="30" t="s">
        <v>22</v>
      </c>
    </row>
    <row r="17623" spans="1:11">
      <c r="A17623" s="33" t="s">
        <v>39401</v>
      </c>
      <c r="B17623" s="33" t="s">
        <v>39402</v>
      </c>
      <c r="C17623" s="33" t="s">
        <v>39403</v>
      </c>
      <c r="D17623" s="33" t="s">
        <v>17</v>
      </c>
      <c r="E17623" s="33" t="s">
        <v>212</v>
      </c>
      <c r="F17623" s="33" t="s">
        <v>213</v>
      </c>
      <c r="G17623" s="33" t="s">
        <v>106</v>
      </c>
      <c r="H17623" s="35">
        <v>2</v>
      </c>
      <c r="I17623" s="33" t="s">
        <v>21</v>
      </c>
      <c r="J17623" s="42">
        <v>45525</v>
      </c>
      <c r="K17623" s="33" t="s">
        <v>22</v>
      </c>
    </row>
    <row r="17624" spans="1:11">
      <c r="A17624" s="30" t="s">
        <v>39404</v>
      </c>
      <c r="B17624" s="30" t="s">
        <v>39405</v>
      </c>
      <c r="C17624" s="30" t="s">
        <v>4796</v>
      </c>
      <c r="D17624" s="30" t="s">
        <v>17</v>
      </c>
      <c r="E17624" s="30" t="s">
        <v>26</v>
      </c>
      <c r="F17624" s="30" t="s">
        <v>27</v>
      </c>
      <c r="G17624" s="30" t="s">
        <v>20</v>
      </c>
      <c r="H17624" s="32">
        <v>28</v>
      </c>
      <c r="I17624" s="30" t="s">
        <v>21</v>
      </c>
      <c r="J17624" s="41">
        <v>45330</v>
      </c>
      <c r="K17624" s="30" t="s">
        <v>22</v>
      </c>
    </row>
    <row r="17625" spans="1:11">
      <c r="A17625" s="33" t="s">
        <v>39406</v>
      </c>
      <c r="B17625" s="33" t="s">
        <v>39407</v>
      </c>
      <c r="C17625" s="33" t="s">
        <v>647</v>
      </c>
      <c r="D17625" s="33" t="s">
        <v>17</v>
      </c>
      <c r="E17625" s="33" t="s">
        <v>67</v>
      </c>
      <c r="F17625" s="33" t="s">
        <v>68</v>
      </c>
      <c r="G17625" s="33" t="s">
        <v>140</v>
      </c>
      <c r="H17625" s="35">
        <v>180</v>
      </c>
      <c r="I17625" s="33" t="s">
        <v>51</v>
      </c>
      <c r="J17625" s="42">
        <v>45599</v>
      </c>
      <c r="K17625" s="33" t="s">
        <v>22</v>
      </c>
    </row>
    <row r="17626" spans="1:11">
      <c r="A17626" s="30" t="s">
        <v>39408</v>
      </c>
      <c r="B17626" s="30" t="s">
        <v>39409</v>
      </c>
      <c r="C17626" s="30" t="s">
        <v>39410</v>
      </c>
      <c r="D17626" s="30" t="s">
        <v>17</v>
      </c>
      <c r="E17626" s="30" t="s">
        <v>330</v>
      </c>
      <c r="F17626" s="30" t="s">
        <v>331</v>
      </c>
      <c r="G17626" s="30" t="s">
        <v>140</v>
      </c>
      <c r="H17626" s="32">
        <v>53</v>
      </c>
      <c r="I17626" s="30" t="s">
        <v>51</v>
      </c>
      <c r="J17626" s="41">
        <v>45303</v>
      </c>
      <c r="K17626" s="30" t="s">
        <v>22</v>
      </c>
    </row>
    <row r="17627" spans="1:11">
      <c r="A17627" s="33" t="s">
        <v>39411</v>
      </c>
      <c r="B17627" s="33" t="s">
        <v>39412</v>
      </c>
      <c r="C17627" s="33" t="s">
        <v>318</v>
      </c>
      <c r="D17627" s="33" t="s">
        <v>17</v>
      </c>
      <c r="E17627" s="33" t="s">
        <v>31</v>
      </c>
      <c r="F17627" s="33" t="s">
        <v>32</v>
      </c>
      <c r="G17627" s="33" t="s">
        <v>158</v>
      </c>
      <c r="H17627" s="35">
        <v>61</v>
      </c>
      <c r="I17627" s="33" t="s">
        <v>21</v>
      </c>
      <c r="J17627" s="42">
        <v>45652</v>
      </c>
      <c r="K17627" s="33" t="s">
        <v>22</v>
      </c>
    </row>
    <row r="17628" spans="1:11">
      <c r="A17628" s="30" t="s">
        <v>39413</v>
      </c>
      <c r="B17628" s="30" t="s">
        <v>39414</v>
      </c>
      <c r="C17628" s="30" t="s">
        <v>647</v>
      </c>
      <c r="D17628" s="30" t="s">
        <v>17</v>
      </c>
      <c r="E17628" s="30" t="s">
        <v>18</v>
      </c>
      <c r="F17628" s="30" t="s">
        <v>19</v>
      </c>
      <c r="G17628" s="30" t="s">
        <v>140</v>
      </c>
      <c r="H17628" s="32">
        <v>680</v>
      </c>
      <c r="I17628" s="30" t="s">
        <v>51</v>
      </c>
      <c r="J17628" s="41">
        <v>45586</v>
      </c>
      <c r="K17628" s="30" t="s">
        <v>22</v>
      </c>
    </row>
    <row r="17629" spans="1:11">
      <c r="A17629" s="33" t="s">
        <v>39415</v>
      </c>
      <c r="B17629" s="33" t="s">
        <v>39416</v>
      </c>
      <c r="C17629" s="33" t="s">
        <v>28126</v>
      </c>
      <c r="D17629" s="33" t="s">
        <v>17</v>
      </c>
      <c r="E17629" s="33" t="s">
        <v>67</v>
      </c>
      <c r="F17629" s="33" t="s">
        <v>68</v>
      </c>
      <c r="G17629" s="33" t="s">
        <v>140</v>
      </c>
      <c r="H17629" s="35">
        <v>42</v>
      </c>
      <c r="I17629" s="33" t="s">
        <v>51</v>
      </c>
      <c r="J17629" s="42">
        <v>45586</v>
      </c>
      <c r="K17629" s="33" t="s">
        <v>22</v>
      </c>
    </row>
    <row r="17630" spans="1:11">
      <c r="A17630" s="30" t="s">
        <v>39417</v>
      </c>
      <c r="B17630" s="30" t="s">
        <v>39418</v>
      </c>
      <c r="C17630" s="30" t="s">
        <v>2978</v>
      </c>
      <c r="D17630" s="30" t="s">
        <v>17</v>
      </c>
      <c r="E17630" s="30" t="s">
        <v>26</v>
      </c>
      <c r="F17630" s="30" t="s">
        <v>27</v>
      </c>
      <c r="G17630" s="30" t="s">
        <v>7780</v>
      </c>
      <c r="H17630" s="32">
        <v>166</v>
      </c>
      <c r="I17630" s="30" t="s">
        <v>51</v>
      </c>
      <c r="J17630" s="41">
        <v>45639</v>
      </c>
      <c r="K17630" s="30" t="s">
        <v>22</v>
      </c>
    </row>
    <row r="17631" spans="1:11">
      <c r="A17631" s="33" t="s">
        <v>39419</v>
      </c>
      <c r="B17631" s="33" t="s">
        <v>39420</v>
      </c>
      <c r="C17631" s="33" t="s">
        <v>549</v>
      </c>
      <c r="D17631" s="33" t="s">
        <v>17</v>
      </c>
      <c r="E17631" s="33" t="s">
        <v>18</v>
      </c>
      <c r="F17631" s="33" t="s">
        <v>19</v>
      </c>
      <c r="G17631" s="33" t="s">
        <v>20</v>
      </c>
      <c r="H17631" s="35">
        <v>684</v>
      </c>
      <c r="I17631" s="33" t="s">
        <v>21</v>
      </c>
      <c r="J17631" s="42">
        <v>45586</v>
      </c>
      <c r="K17631" s="33" t="s">
        <v>22</v>
      </c>
    </row>
    <row r="17632" spans="1:11">
      <c r="A17632" s="30" t="s">
        <v>39421</v>
      </c>
      <c r="B17632" s="30" t="s">
        <v>39422</v>
      </c>
      <c r="C17632" s="30" t="s">
        <v>1598</v>
      </c>
      <c r="D17632" s="30" t="s">
        <v>17</v>
      </c>
      <c r="E17632" s="30" t="s">
        <v>26</v>
      </c>
      <c r="F17632" s="30" t="s">
        <v>27</v>
      </c>
      <c r="G17632" s="30" t="s">
        <v>140</v>
      </c>
      <c r="H17632" s="32">
        <v>190</v>
      </c>
      <c r="I17632" s="30" t="s">
        <v>51</v>
      </c>
      <c r="J17632" s="41">
        <v>45656</v>
      </c>
      <c r="K17632" s="30" t="s">
        <v>22</v>
      </c>
    </row>
    <row r="17633" spans="1:11">
      <c r="A17633" s="33" t="s">
        <v>39423</v>
      </c>
      <c r="B17633" s="33" t="s">
        <v>39424</v>
      </c>
      <c r="C17633" s="33" t="s">
        <v>2006</v>
      </c>
      <c r="D17633" s="33" t="s">
        <v>17</v>
      </c>
      <c r="E17633" s="33" t="s">
        <v>26</v>
      </c>
      <c r="F17633" s="33" t="s">
        <v>27</v>
      </c>
      <c r="G17633" s="33" t="s">
        <v>20</v>
      </c>
      <c r="H17633" s="35">
        <v>39</v>
      </c>
      <c r="I17633" s="33" t="s">
        <v>21</v>
      </c>
      <c r="J17633" s="42">
        <v>45616</v>
      </c>
      <c r="K17633" s="33" t="s">
        <v>22</v>
      </c>
    </row>
    <row r="17634" spans="1:11">
      <c r="A17634" s="30" t="s">
        <v>39425</v>
      </c>
      <c r="B17634" s="30" t="s">
        <v>39426</v>
      </c>
      <c r="C17634" s="30" t="s">
        <v>17663</v>
      </c>
      <c r="D17634" s="30" t="s">
        <v>17</v>
      </c>
      <c r="E17634" s="30" t="s">
        <v>18</v>
      </c>
      <c r="F17634" s="30" t="s">
        <v>19</v>
      </c>
      <c r="G17634" s="30" t="s">
        <v>158</v>
      </c>
      <c r="H17634" s="32">
        <v>132</v>
      </c>
      <c r="I17634" s="30" t="s">
        <v>21</v>
      </c>
      <c r="J17634" s="41">
        <v>45531</v>
      </c>
      <c r="K17634" s="30" t="s">
        <v>22</v>
      </c>
    </row>
    <row r="17635" spans="1:11">
      <c r="A17635" s="33" t="s">
        <v>39427</v>
      </c>
      <c r="B17635" s="33" t="s">
        <v>39428</v>
      </c>
      <c r="C17635" s="33" t="s">
        <v>9943</v>
      </c>
      <c r="D17635" s="33" t="s">
        <v>17</v>
      </c>
      <c r="E17635" s="33" t="s">
        <v>26</v>
      </c>
      <c r="F17635" s="33" t="s">
        <v>27</v>
      </c>
      <c r="G17635" s="33" t="s">
        <v>106</v>
      </c>
      <c r="H17635" s="35">
        <v>12</v>
      </c>
      <c r="I17635" s="33" t="s">
        <v>21</v>
      </c>
      <c r="J17635" s="42">
        <v>45330</v>
      </c>
      <c r="K17635" s="33" t="s">
        <v>22</v>
      </c>
    </row>
    <row r="17636" spans="1:11">
      <c r="A17636" s="30" t="s">
        <v>39429</v>
      </c>
      <c r="B17636" s="30" t="s">
        <v>39430</v>
      </c>
      <c r="C17636" s="30" t="s">
        <v>11214</v>
      </c>
      <c r="D17636" s="30" t="s">
        <v>17</v>
      </c>
      <c r="E17636" s="30" t="s">
        <v>212</v>
      </c>
      <c r="F17636" s="30" t="s">
        <v>213</v>
      </c>
      <c r="G17636" s="30" t="s">
        <v>50</v>
      </c>
      <c r="H17636" s="32">
        <v>252</v>
      </c>
      <c r="I17636" s="30" t="s">
        <v>51</v>
      </c>
      <c r="J17636" s="41">
        <v>45382</v>
      </c>
      <c r="K17636" s="30" t="s">
        <v>22</v>
      </c>
    </row>
    <row r="17637" spans="1:11">
      <c r="A17637" s="33" t="s">
        <v>39431</v>
      </c>
      <c r="B17637" s="33" t="s">
        <v>39432</v>
      </c>
      <c r="C17637" s="33" t="s">
        <v>136</v>
      </c>
      <c r="D17637" s="33" t="s">
        <v>17</v>
      </c>
      <c r="E17637" s="33" t="s">
        <v>18</v>
      </c>
      <c r="F17637" s="33" t="s">
        <v>19</v>
      </c>
      <c r="G17637" s="33" t="s">
        <v>20</v>
      </c>
      <c r="H17637" s="35">
        <v>962</v>
      </c>
      <c r="I17637" s="33" t="s">
        <v>21</v>
      </c>
      <c r="J17637" s="42">
        <v>45301</v>
      </c>
      <c r="K17637" s="33" t="s">
        <v>22</v>
      </c>
    </row>
    <row r="17638" spans="1:11">
      <c r="A17638" s="30" t="s">
        <v>39433</v>
      </c>
      <c r="B17638" s="30" t="s">
        <v>39434</v>
      </c>
      <c r="C17638" s="30" t="s">
        <v>15453</v>
      </c>
      <c r="D17638" s="30" t="s">
        <v>17</v>
      </c>
      <c r="E17638" s="30" t="s">
        <v>31</v>
      </c>
      <c r="F17638" s="30" t="s">
        <v>32</v>
      </c>
      <c r="G17638" s="30" t="s">
        <v>158</v>
      </c>
      <c r="H17638" s="32">
        <v>94</v>
      </c>
      <c r="I17638" s="30" t="s">
        <v>51</v>
      </c>
      <c r="J17638" s="41">
        <v>45314</v>
      </c>
      <c r="K17638" s="30" t="s">
        <v>22</v>
      </c>
    </row>
    <row r="17639" spans="1:11">
      <c r="A17639" s="33" t="s">
        <v>39435</v>
      </c>
      <c r="B17639" s="33" t="s">
        <v>39436</v>
      </c>
      <c r="C17639" s="33" t="s">
        <v>10300</v>
      </c>
      <c r="D17639" s="33" t="s">
        <v>17</v>
      </c>
      <c r="E17639" s="33" t="s">
        <v>31</v>
      </c>
      <c r="F17639" s="33" t="s">
        <v>32</v>
      </c>
      <c r="G17639" s="33" t="s">
        <v>140</v>
      </c>
      <c r="H17639" s="35">
        <v>300</v>
      </c>
      <c r="I17639" s="33" t="s">
        <v>51</v>
      </c>
      <c r="J17639" s="42">
        <v>45610</v>
      </c>
      <c r="K17639" s="33" t="s">
        <v>22</v>
      </c>
    </row>
    <row r="17640" spans="1:11">
      <c r="A17640" s="30" t="s">
        <v>39437</v>
      </c>
      <c r="B17640" s="30" t="s">
        <v>39438</v>
      </c>
      <c r="C17640" s="30" t="s">
        <v>190</v>
      </c>
      <c r="D17640" s="30" t="s">
        <v>17</v>
      </c>
      <c r="E17640" s="30" t="s">
        <v>31</v>
      </c>
      <c r="F17640" s="30" t="s">
        <v>32</v>
      </c>
      <c r="G17640" s="30" t="s">
        <v>158</v>
      </c>
      <c r="H17640" s="32">
        <v>120</v>
      </c>
      <c r="I17640" s="30" t="s">
        <v>21</v>
      </c>
      <c r="J17640" s="41">
        <v>45532</v>
      </c>
      <c r="K17640" s="30" t="s">
        <v>22</v>
      </c>
    </row>
    <row r="17641" spans="1:11">
      <c r="A17641" s="33" t="s">
        <v>39439</v>
      </c>
      <c r="B17641" s="33" t="s">
        <v>39440</v>
      </c>
      <c r="C17641" s="33" t="s">
        <v>20420</v>
      </c>
      <c r="D17641" s="33" t="s">
        <v>17</v>
      </c>
      <c r="E17641" s="33" t="s">
        <v>31</v>
      </c>
      <c r="F17641" s="33" t="s">
        <v>32</v>
      </c>
      <c r="G17641" s="33" t="s">
        <v>20</v>
      </c>
      <c r="H17641" s="35">
        <v>479</v>
      </c>
      <c r="I17641" s="33" t="s">
        <v>21</v>
      </c>
      <c r="J17641" s="42">
        <v>45349</v>
      </c>
      <c r="K17641" s="33" t="s">
        <v>22</v>
      </c>
    </row>
    <row r="17642" spans="1:11">
      <c r="A17642" s="30" t="s">
        <v>39441</v>
      </c>
      <c r="B17642" s="30" t="s">
        <v>39442</v>
      </c>
      <c r="C17642" s="30" t="s">
        <v>35123</v>
      </c>
      <c r="D17642" s="30" t="s">
        <v>17</v>
      </c>
      <c r="E17642" s="30" t="s">
        <v>212</v>
      </c>
      <c r="F17642" s="30" t="s">
        <v>213</v>
      </c>
      <c r="G17642" s="30" t="s">
        <v>20</v>
      </c>
      <c r="H17642" s="32">
        <v>20</v>
      </c>
      <c r="I17642" s="30" t="s">
        <v>21</v>
      </c>
      <c r="J17642" s="41">
        <v>45411</v>
      </c>
      <c r="K17642" s="30" t="s">
        <v>22</v>
      </c>
    </row>
    <row r="17643" spans="1:11">
      <c r="A17643" s="33" t="s">
        <v>39443</v>
      </c>
      <c r="B17643" s="33" t="s">
        <v>39444</v>
      </c>
      <c r="C17643" s="33" t="s">
        <v>36573</v>
      </c>
      <c r="D17643" s="33" t="s">
        <v>17</v>
      </c>
      <c r="E17643" s="33" t="s">
        <v>26</v>
      </c>
      <c r="F17643" s="33" t="s">
        <v>27</v>
      </c>
      <c r="G17643" s="33" t="s">
        <v>20</v>
      </c>
      <c r="H17643" s="35">
        <v>32</v>
      </c>
      <c r="I17643" s="33" t="s">
        <v>21</v>
      </c>
      <c r="J17643" s="42">
        <v>45558</v>
      </c>
      <c r="K17643" s="33" t="s">
        <v>22</v>
      </c>
    </row>
    <row r="17644" spans="1:11">
      <c r="A17644" s="30" t="s">
        <v>39445</v>
      </c>
      <c r="B17644" s="30" t="s">
        <v>39446</v>
      </c>
      <c r="C17644" s="30" t="s">
        <v>39447</v>
      </c>
      <c r="D17644" s="30" t="s">
        <v>17</v>
      </c>
      <c r="E17644" s="30" t="s">
        <v>26</v>
      </c>
      <c r="F17644" s="30" t="s">
        <v>27</v>
      </c>
      <c r="G17644" s="30" t="s">
        <v>50</v>
      </c>
      <c r="H17644" s="32">
        <v>52</v>
      </c>
      <c r="I17644" s="30" t="s">
        <v>51</v>
      </c>
      <c r="J17644" s="41">
        <v>45315</v>
      </c>
      <c r="K17644" s="30" t="s">
        <v>22</v>
      </c>
    </row>
    <row r="17645" spans="1:11">
      <c r="A17645" s="33" t="s">
        <v>39448</v>
      </c>
      <c r="B17645" s="33" t="s">
        <v>39449</v>
      </c>
      <c r="C17645" s="33" t="s">
        <v>25994</v>
      </c>
      <c r="D17645" s="33" t="s">
        <v>17</v>
      </c>
      <c r="E17645" s="33" t="s">
        <v>31</v>
      </c>
      <c r="F17645" s="33" t="s">
        <v>32</v>
      </c>
      <c r="G17645" s="33" t="s">
        <v>158</v>
      </c>
      <c r="H17645" s="35">
        <v>25</v>
      </c>
      <c r="I17645" s="33" t="s">
        <v>51</v>
      </c>
      <c r="J17645" s="42">
        <v>45560</v>
      </c>
      <c r="K17645" s="33" t="s">
        <v>22</v>
      </c>
    </row>
    <row r="17646" spans="1:11">
      <c r="A17646" s="30" t="s">
        <v>39450</v>
      </c>
      <c r="B17646" s="30" t="s">
        <v>39451</v>
      </c>
      <c r="C17646" s="30" t="s">
        <v>3555</v>
      </c>
      <c r="D17646" s="30" t="s">
        <v>17</v>
      </c>
      <c r="E17646" s="30" t="s">
        <v>26</v>
      </c>
      <c r="F17646" s="30" t="s">
        <v>27</v>
      </c>
      <c r="G17646" s="30" t="s">
        <v>112</v>
      </c>
      <c r="H17646" s="32">
        <v>0</v>
      </c>
      <c r="I17646" s="30" t="s">
        <v>21</v>
      </c>
      <c r="J17646" s="41">
        <v>45627</v>
      </c>
      <c r="K17646" s="30" t="s">
        <v>22</v>
      </c>
    </row>
    <row r="17647" spans="1:11">
      <c r="A17647" s="33" t="s">
        <v>39452</v>
      </c>
      <c r="B17647" s="33" t="s">
        <v>39453</v>
      </c>
      <c r="C17647" s="33" t="s">
        <v>2228</v>
      </c>
      <c r="D17647" s="33" t="s">
        <v>17</v>
      </c>
      <c r="E17647" s="33" t="s">
        <v>26</v>
      </c>
      <c r="F17647" s="33" t="s">
        <v>27</v>
      </c>
      <c r="G17647" s="33" t="s">
        <v>20</v>
      </c>
      <c r="H17647" s="35">
        <v>41</v>
      </c>
      <c r="I17647" s="33" t="s">
        <v>21</v>
      </c>
      <c r="J17647" s="42">
        <v>45370</v>
      </c>
      <c r="K17647" s="33" t="s">
        <v>22</v>
      </c>
    </row>
    <row r="17648" spans="1:11">
      <c r="A17648" s="30" t="s">
        <v>39454</v>
      </c>
      <c r="B17648" s="30" t="s">
        <v>39455</v>
      </c>
      <c r="C17648" s="30" t="s">
        <v>7488</v>
      </c>
      <c r="D17648" s="30" t="s">
        <v>17</v>
      </c>
      <c r="E17648" s="30" t="s">
        <v>18</v>
      </c>
      <c r="F17648" s="30" t="s">
        <v>19</v>
      </c>
      <c r="G17648" s="30" t="s">
        <v>140</v>
      </c>
      <c r="H17648" s="32">
        <v>150</v>
      </c>
      <c r="I17648" s="30" t="s">
        <v>51</v>
      </c>
      <c r="J17648" s="41">
        <v>45567</v>
      </c>
      <c r="K17648" s="30" t="s">
        <v>22</v>
      </c>
    </row>
    <row r="17649" spans="1:11">
      <c r="A17649" s="33" t="s">
        <v>39456</v>
      </c>
      <c r="B17649" s="33" t="s">
        <v>39457</v>
      </c>
      <c r="C17649" s="33" t="s">
        <v>2490</v>
      </c>
      <c r="D17649" s="33" t="s">
        <v>17</v>
      </c>
      <c r="E17649" s="33" t="s">
        <v>18</v>
      </c>
      <c r="F17649" s="33" t="s">
        <v>19</v>
      </c>
      <c r="G17649" s="33" t="s">
        <v>140</v>
      </c>
      <c r="H17649" s="35">
        <v>180</v>
      </c>
      <c r="I17649" s="33" t="s">
        <v>51</v>
      </c>
      <c r="J17649" s="42">
        <v>45549</v>
      </c>
      <c r="K17649" s="33" t="s">
        <v>22</v>
      </c>
    </row>
    <row r="17650" spans="1:11">
      <c r="A17650" s="30" t="s">
        <v>39458</v>
      </c>
      <c r="B17650" s="30" t="s">
        <v>39459</v>
      </c>
      <c r="C17650" s="30" t="s">
        <v>2772</v>
      </c>
      <c r="D17650" s="30" t="s">
        <v>17</v>
      </c>
      <c r="E17650" s="30" t="s">
        <v>26</v>
      </c>
      <c r="F17650" s="30" t="s">
        <v>27</v>
      </c>
      <c r="G17650" s="30" t="s">
        <v>140</v>
      </c>
      <c r="H17650" s="32">
        <v>48</v>
      </c>
      <c r="I17650" s="30" t="s">
        <v>51</v>
      </c>
      <c r="J17650" s="41">
        <v>45380</v>
      </c>
      <c r="K17650" s="30" t="s">
        <v>22</v>
      </c>
    </row>
    <row r="17651" spans="1:11">
      <c r="A17651" s="33" t="s">
        <v>39460</v>
      </c>
      <c r="B17651" s="33" t="s">
        <v>39461</v>
      </c>
      <c r="C17651" s="33" t="s">
        <v>16983</v>
      </c>
      <c r="D17651" s="33" t="s">
        <v>17</v>
      </c>
      <c r="E17651" s="33" t="s">
        <v>31</v>
      </c>
      <c r="F17651" s="33" t="s">
        <v>32</v>
      </c>
      <c r="G17651" s="33" t="s">
        <v>140</v>
      </c>
      <c r="H17651" s="35">
        <v>40</v>
      </c>
      <c r="I17651" s="33" t="s">
        <v>51</v>
      </c>
      <c r="J17651" s="42">
        <v>45560</v>
      </c>
      <c r="K17651" s="33" t="s">
        <v>22</v>
      </c>
    </row>
    <row r="17652" spans="1:11">
      <c r="A17652" s="30" t="s">
        <v>39462</v>
      </c>
      <c r="B17652" s="30" t="s">
        <v>39463</v>
      </c>
      <c r="C17652" s="30" t="s">
        <v>96</v>
      </c>
      <c r="D17652" s="30" t="s">
        <v>17</v>
      </c>
      <c r="E17652" s="30" t="s">
        <v>26</v>
      </c>
      <c r="F17652" s="30" t="s">
        <v>27</v>
      </c>
      <c r="G17652" s="30" t="s">
        <v>140</v>
      </c>
      <c r="H17652" s="32">
        <v>87</v>
      </c>
      <c r="I17652" s="30" t="s">
        <v>51</v>
      </c>
      <c r="J17652" s="41">
        <v>45342</v>
      </c>
      <c r="K17652" s="30" t="s">
        <v>22</v>
      </c>
    </row>
    <row r="17653" spans="1:11">
      <c r="A17653" s="33" t="s">
        <v>39464</v>
      </c>
      <c r="B17653" s="33" t="s">
        <v>39465</v>
      </c>
      <c r="C17653" s="33" t="s">
        <v>4788</v>
      </c>
      <c r="D17653" s="33" t="s">
        <v>17</v>
      </c>
      <c r="E17653" s="33" t="s">
        <v>26</v>
      </c>
      <c r="F17653" s="33" t="s">
        <v>27</v>
      </c>
      <c r="G17653" s="33" t="s">
        <v>158</v>
      </c>
      <c r="H17653" s="35">
        <v>22</v>
      </c>
      <c r="I17653" s="33" t="s">
        <v>51</v>
      </c>
      <c r="J17653" s="42">
        <v>45496</v>
      </c>
      <c r="K17653" s="33" t="s">
        <v>22</v>
      </c>
    </row>
    <row r="17654" spans="1:11">
      <c r="A17654" s="30" t="s">
        <v>39466</v>
      </c>
      <c r="B17654" s="30" t="s">
        <v>39467</v>
      </c>
      <c r="C17654" s="30" t="s">
        <v>30537</v>
      </c>
      <c r="D17654" s="30" t="s">
        <v>17</v>
      </c>
      <c r="E17654" s="30" t="s">
        <v>26</v>
      </c>
      <c r="F17654" s="30" t="s">
        <v>27</v>
      </c>
      <c r="G17654" s="30" t="s">
        <v>140</v>
      </c>
      <c r="H17654" s="32">
        <v>15</v>
      </c>
      <c r="I17654" s="30" t="s">
        <v>51</v>
      </c>
      <c r="J17654" s="41">
        <v>45377</v>
      </c>
      <c r="K17654" s="30" t="s">
        <v>22</v>
      </c>
    </row>
    <row r="17655" spans="1:11">
      <c r="A17655" s="33" t="s">
        <v>39468</v>
      </c>
      <c r="B17655" s="33" t="s">
        <v>39469</v>
      </c>
      <c r="C17655" s="33" t="s">
        <v>75</v>
      </c>
      <c r="D17655" s="33" t="s">
        <v>17</v>
      </c>
      <c r="E17655" s="33" t="s">
        <v>26</v>
      </c>
      <c r="F17655" s="33" t="s">
        <v>27</v>
      </c>
      <c r="G17655" s="33" t="s">
        <v>20</v>
      </c>
      <c r="H17655" s="35">
        <v>25</v>
      </c>
      <c r="I17655" s="33" t="s">
        <v>21</v>
      </c>
      <c r="J17655" s="42">
        <v>45538</v>
      </c>
      <c r="K17655" s="33" t="s">
        <v>22</v>
      </c>
    </row>
    <row r="17656" spans="1:11">
      <c r="A17656" s="30" t="s">
        <v>39470</v>
      </c>
      <c r="B17656" s="30" t="s">
        <v>39471</v>
      </c>
      <c r="C17656" s="30" t="s">
        <v>9629</v>
      </c>
      <c r="D17656" s="30" t="s">
        <v>17</v>
      </c>
      <c r="E17656" s="30" t="s">
        <v>18</v>
      </c>
      <c r="F17656" s="30" t="s">
        <v>19</v>
      </c>
      <c r="G17656" s="30" t="s">
        <v>158</v>
      </c>
      <c r="H17656" s="32">
        <v>404</v>
      </c>
      <c r="I17656" s="30" t="s">
        <v>51</v>
      </c>
      <c r="J17656" s="41">
        <v>45609</v>
      </c>
      <c r="K17656" s="30" t="s">
        <v>22</v>
      </c>
    </row>
    <row r="17657" spans="1:11">
      <c r="A17657" s="33" t="s">
        <v>39472</v>
      </c>
      <c r="B17657" s="33" t="s">
        <v>39473</v>
      </c>
      <c r="C17657" s="33" t="s">
        <v>9882</v>
      </c>
      <c r="D17657" s="33" t="s">
        <v>17</v>
      </c>
      <c r="E17657" s="33" t="s">
        <v>31</v>
      </c>
      <c r="F17657" s="33" t="s">
        <v>32</v>
      </c>
      <c r="G17657" s="33" t="s">
        <v>112</v>
      </c>
      <c r="H17657" s="35">
        <v>0</v>
      </c>
      <c r="I17657" s="33" t="s">
        <v>21</v>
      </c>
      <c r="J17657" s="42">
        <v>45413</v>
      </c>
      <c r="K17657" s="33" t="s">
        <v>22</v>
      </c>
    </row>
    <row r="17658" spans="1:11">
      <c r="A17658" s="30" t="s">
        <v>39474</v>
      </c>
      <c r="B17658" s="30" t="s">
        <v>39475</v>
      </c>
      <c r="C17658" s="30" t="s">
        <v>15795</v>
      </c>
      <c r="D17658" s="30" t="s">
        <v>17</v>
      </c>
      <c r="E17658" s="30" t="s">
        <v>18</v>
      </c>
      <c r="F17658" s="30" t="s">
        <v>19</v>
      </c>
      <c r="G17658" s="30" t="s">
        <v>20</v>
      </c>
      <c r="H17658" s="32">
        <v>462</v>
      </c>
      <c r="I17658" s="30" t="s">
        <v>21</v>
      </c>
      <c r="J17658" s="41">
        <v>45555</v>
      </c>
      <c r="K17658" s="30" t="s">
        <v>22</v>
      </c>
    </row>
    <row r="17659" spans="1:11">
      <c r="A17659" s="33" t="s">
        <v>39476</v>
      </c>
      <c r="B17659" s="33" t="s">
        <v>39477</v>
      </c>
      <c r="C17659" s="33" t="s">
        <v>19317</v>
      </c>
      <c r="D17659" s="33" t="s">
        <v>17</v>
      </c>
      <c r="E17659" s="33" t="s">
        <v>26</v>
      </c>
      <c r="F17659" s="33" t="s">
        <v>27</v>
      </c>
      <c r="G17659" s="33" t="s">
        <v>20</v>
      </c>
      <c r="H17659" s="35">
        <v>25</v>
      </c>
      <c r="I17659" s="33" t="s">
        <v>21</v>
      </c>
      <c r="J17659" s="42">
        <v>45456</v>
      </c>
      <c r="K17659" s="33" t="s">
        <v>22</v>
      </c>
    </row>
    <row r="17660" spans="1:11">
      <c r="A17660" s="30" t="s">
        <v>39478</v>
      </c>
      <c r="B17660" s="30" t="s">
        <v>39479</v>
      </c>
      <c r="C17660" s="30" t="s">
        <v>4348</v>
      </c>
      <c r="D17660" s="30" t="s">
        <v>17</v>
      </c>
      <c r="E17660" s="30" t="s">
        <v>26</v>
      </c>
      <c r="F17660" s="30" t="s">
        <v>27</v>
      </c>
      <c r="G17660" s="30" t="s">
        <v>140</v>
      </c>
      <c r="H17660" s="32">
        <v>20</v>
      </c>
      <c r="I17660" s="30" t="s">
        <v>51</v>
      </c>
      <c r="J17660" s="41">
        <v>45581</v>
      </c>
      <c r="K17660" s="30" t="s">
        <v>22</v>
      </c>
    </row>
    <row r="17661" spans="1:11">
      <c r="A17661" s="33" t="s">
        <v>39480</v>
      </c>
      <c r="B17661" s="33" t="s">
        <v>39481</v>
      </c>
      <c r="C17661" s="33" t="s">
        <v>33789</v>
      </c>
      <c r="D17661" s="33" t="s">
        <v>17</v>
      </c>
      <c r="E17661" s="33" t="s">
        <v>18</v>
      </c>
      <c r="F17661" s="33" t="s">
        <v>19</v>
      </c>
      <c r="G17661" s="33" t="s">
        <v>140</v>
      </c>
      <c r="H17661" s="35">
        <v>312</v>
      </c>
      <c r="I17661" s="33" t="s">
        <v>51</v>
      </c>
      <c r="J17661" s="42">
        <v>45463</v>
      </c>
      <c r="K17661" s="33" t="s">
        <v>22</v>
      </c>
    </row>
    <row r="17662" spans="1:11">
      <c r="A17662" s="30" t="s">
        <v>39482</v>
      </c>
      <c r="B17662" s="30" t="s">
        <v>39483</v>
      </c>
      <c r="C17662" s="30" t="s">
        <v>22680</v>
      </c>
      <c r="D17662" s="30" t="s">
        <v>17</v>
      </c>
      <c r="E17662" s="30" t="s">
        <v>31</v>
      </c>
      <c r="F17662" s="30" t="s">
        <v>32</v>
      </c>
      <c r="G17662" s="30" t="s">
        <v>20</v>
      </c>
      <c r="H17662" s="32">
        <v>41</v>
      </c>
      <c r="I17662" s="30" t="s">
        <v>21</v>
      </c>
      <c r="J17662" s="41">
        <v>45327</v>
      </c>
      <c r="K17662" s="30" t="s">
        <v>22</v>
      </c>
    </row>
    <row r="17663" spans="1:11">
      <c r="A17663" s="33" t="s">
        <v>39484</v>
      </c>
      <c r="B17663" s="33" t="s">
        <v>39485</v>
      </c>
      <c r="C17663" s="33" t="s">
        <v>318</v>
      </c>
      <c r="D17663" s="33" t="s">
        <v>17</v>
      </c>
      <c r="E17663" s="33" t="s">
        <v>31</v>
      </c>
      <c r="F17663" s="33" t="s">
        <v>32</v>
      </c>
      <c r="G17663" s="33" t="s">
        <v>158</v>
      </c>
      <c r="H17663" s="35">
        <v>18</v>
      </c>
      <c r="I17663" s="33" t="s">
        <v>21</v>
      </c>
      <c r="J17663" s="42">
        <v>45496</v>
      </c>
      <c r="K17663" s="33" t="s">
        <v>22</v>
      </c>
    </row>
    <row r="17664" spans="1:11">
      <c r="A17664" s="30" t="s">
        <v>39486</v>
      </c>
      <c r="B17664" s="30" t="s">
        <v>39487</v>
      </c>
      <c r="C17664" s="30" t="s">
        <v>39488</v>
      </c>
      <c r="D17664" s="30" t="s">
        <v>17</v>
      </c>
      <c r="E17664" s="30" t="s">
        <v>67</v>
      </c>
      <c r="F17664" s="30" t="s">
        <v>68</v>
      </c>
      <c r="G17664" s="30" t="s">
        <v>20</v>
      </c>
      <c r="H17664" s="32">
        <v>25</v>
      </c>
      <c r="I17664" s="30" t="s">
        <v>21</v>
      </c>
      <c r="J17664" s="41">
        <v>45419</v>
      </c>
      <c r="K17664" s="30" t="s">
        <v>22</v>
      </c>
    </row>
    <row r="17665" spans="1:11">
      <c r="A17665" s="33" t="s">
        <v>39489</v>
      </c>
      <c r="B17665" s="33" t="s">
        <v>39490</v>
      </c>
      <c r="C17665" s="33" t="s">
        <v>554</v>
      </c>
      <c r="D17665" s="33" t="s">
        <v>17</v>
      </c>
      <c r="E17665" s="33" t="s">
        <v>26</v>
      </c>
      <c r="F17665" s="33" t="s">
        <v>27</v>
      </c>
      <c r="G17665" s="33" t="s">
        <v>20</v>
      </c>
      <c r="H17665" s="35">
        <v>32</v>
      </c>
      <c r="I17665" s="33" t="s">
        <v>21</v>
      </c>
      <c r="J17665" s="42">
        <v>45468</v>
      </c>
      <c r="K17665" s="33" t="s">
        <v>22</v>
      </c>
    </row>
    <row r="17666" spans="1:11">
      <c r="A17666" s="30" t="s">
        <v>39491</v>
      </c>
      <c r="B17666" s="30" t="s">
        <v>39492</v>
      </c>
      <c r="C17666" s="30" t="s">
        <v>718</v>
      </c>
      <c r="D17666" s="30" t="s">
        <v>17</v>
      </c>
      <c r="E17666" s="30" t="s">
        <v>26</v>
      </c>
      <c r="F17666" s="30" t="s">
        <v>27</v>
      </c>
      <c r="G17666" s="30" t="s">
        <v>7780</v>
      </c>
      <c r="H17666" s="32">
        <v>82</v>
      </c>
      <c r="I17666" s="30" t="s">
        <v>51</v>
      </c>
      <c r="J17666" s="41">
        <v>45323</v>
      </c>
      <c r="K17666" s="30" t="s">
        <v>22</v>
      </c>
    </row>
    <row r="17667" spans="1:11">
      <c r="A17667" s="33" t="s">
        <v>39493</v>
      </c>
      <c r="B17667" s="33" t="s">
        <v>39494</v>
      </c>
      <c r="C17667" s="33" t="s">
        <v>39495</v>
      </c>
      <c r="D17667" s="33" t="s">
        <v>17</v>
      </c>
      <c r="E17667" s="33" t="s">
        <v>26</v>
      </c>
      <c r="F17667" s="33" t="s">
        <v>27</v>
      </c>
      <c r="G17667" s="33" t="s">
        <v>2613</v>
      </c>
      <c r="H17667" s="35">
        <v>30</v>
      </c>
      <c r="I17667" s="33" t="s">
        <v>51</v>
      </c>
      <c r="J17667" s="42">
        <v>45552</v>
      </c>
      <c r="K17667" s="33" t="s">
        <v>22</v>
      </c>
    </row>
    <row r="17668" spans="1:11">
      <c r="A17668" s="30" t="s">
        <v>39496</v>
      </c>
      <c r="B17668" s="30" t="s">
        <v>39497</v>
      </c>
      <c r="C17668" s="30" t="s">
        <v>2472</v>
      </c>
      <c r="D17668" s="30" t="s">
        <v>17</v>
      </c>
      <c r="E17668" s="30" t="s">
        <v>31</v>
      </c>
      <c r="F17668" s="30" t="s">
        <v>32</v>
      </c>
      <c r="G17668" s="30" t="s">
        <v>112</v>
      </c>
      <c r="H17668" s="32">
        <v>0</v>
      </c>
      <c r="I17668" s="30" t="s">
        <v>21</v>
      </c>
      <c r="J17668" s="41">
        <v>45330</v>
      </c>
      <c r="K17668" s="30" t="s">
        <v>22</v>
      </c>
    </row>
    <row r="17669" spans="1:11">
      <c r="A17669" s="33" t="s">
        <v>39498</v>
      </c>
      <c r="B17669" s="33" t="s">
        <v>39499</v>
      </c>
      <c r="C17669" s="33" t="s">
        <v>15917</v>
      </c>
      <c r="D17669" s="33" t="s">
        <v>17</v>
      </c>
      <c r="E17669" s="33" t="s">
        <v>67</v>
      </c>
      <c r="F17669" s="33" t="s">
        <v>68</v>
      </c>
      <c r="G17669" s="33" t="s">
        <v>20</v>
      </c>
      <c r="H17669" s="35">
        <v>51</v>
      </c>
      <c r="I17669" s="33" t="s">
        <v>21</v>
      </c>
      <c r="J17669" s="42">
        <v>45644</v>
      </c>
      <c r="K17669" s="33" t="s">
        <v>22</v>
      </c>
    </row>
    <row r="17670" spans="1:11">
      <c r="A17670" s="30" t="s">
        <v>39500</v>
      </c>
      <c r="B17670" s="30" t="s">
        <v>39501</v>
      </c>
      <c r="C17670" s="30" t="s">
        <v>7674</v>
      </c>
      <c r="D17670" s="30" t="s">
        <v>17</v>
      </c>
      <c r="E17670" s="30" t="s">
        <v>18</v>
      </c>
      <c r="F17670" s="30" t="s">
        <v>19</v>
      </c>
      <c r="G17670" s="30" t="s">
        <v>20</v>
      </c>
      <c r="H17670" s="32">
        <v>400</v>
      </c>
      <c r="I17670" s="30" t="s">
        <v>21</v>
      </c>
      <c r="J17670" s="41">
        <v>45315</v>
      </c>
      <c r="K17670" s="30" t="s">
        <v>22</v>
      </c>
    </row>
    <row r="17671" spans="1:11">
      <c r="A17671" s="33" t="s">
        <v>39502</v>
      </c>
      <c r="B17671" s="33" t="s">
        <v>39503</v>
      </c>
      <c r="C17671" s="33" t="s">
        <v>37429</v>
      </c>
      <c r="D17671" s="33" t="s">
        <v>17</v>
      </c>
      <c r="E17671" s="33" t="s">
        <v>26</v>
      </c>
      <c r="F17671" s="33" t="s">
        <v>27</v>
      </c>
      <c r="G17671" s="33" t="s">
        <v>20</v>
      </c>
      <c r="H17671" s="35">
        <v>17</v>
      </c>
      <c r="I17671" s="33" t="s">
        <v>21</v>
      </c>
      <c r="J17671" s="42">
        <v>45551</v>
      </c>
      <c r="K17671" s="33" t="s">
        <v>22</v>
      </c>
    </row>
    <row r="17672" spans="1:11">
      <c r="A17672" s="30" t="s">
        <v>39504</v>
      </c>
      <c r="B17672" s="30" t="s">
        <v>39505</v>
      </c>
      <c r="C17672" s="30" t="s">
        <v>39506</v>
      </c>
      <c r="D17672" s="30" t="s">
        <v>17</v>
      </c>
      <c r="E17672" s="30" t="s">
        <v>31</v>
      </c>
      <c r="F17672" s="30" t="s">
        <v>32</v>
      </c>
      <c r="G17672" s="30" t="s">
        <v>20</v>
      </c>
      <c r="H17672" s="32">
        <v>84</v>
      </c>
      <c r="I17672" s="30" t="s">
        <v>21</v>
      </c>
      <c r="J17672" s="41">
        <v>45457</v>
      </c>
      <c r="K17672" s="30" t="s">
        <v>22</v>
      </c>
    </row>
    <row r="17673" spans="1:11">
      <c r="A17673" s="33" t="s">
        <v>39507</v>
      </c>
      <c r="B17673" s="33" t="s">
        <v>39508</v>
      </c>
      <c r="C17673" s="33" t="s">
        <v>23852</v>
      </c>
      <c r="D17673" s="33" t="s">
        <v>17</v>
      </c>
      <c r="E17673" s="33" t="s">
        <v>31</v>
      </c>
      <c r="F17673" s="33" t="s">
        <v>32</v>
      </c>
      <c r="G17673" s="33" t="s">
        <v>20</v>
      </c>
      <c r="H17673" s="35">
        <v>202</v>
      </c>
      <c r="I17673" s="33" t="s">
        <v>21</v>
      </c>
      <c r="J17673" s="42">
        <v>45317</v>
      </c>
      <c r="K17673" s="33" t="s">
        <v>22</v>
      </c>
    </row>
    <row r="17674" spans="1:11">
      <c r="A17674" s="30" t="s">
        <v>39509</v>
      </c>
      <c r="B17674" s="30" t="s">
        <v>39510</v>
      </c>
      <c r="C17674" s="30" t="s">
        <v>1165</v>
      </c>
      <c r="D17674" s="30" t="s">
        <v>17</v>
      </c>
      <c r="E17674" s="30" t="s">
        <v>31</v>
      </c>
      <c r="F17674" s="30" t="s">
        <v>32</v>
      </c>
      <c r="G17674" s="30" t="s">
        <v>140</v>
      </c>
      <c r="H17674" s="32">
        <v>81</v>
      </c>
      <c r="I17674" s="30" t="s">
        <v>51</v>
      </c>
      <c r="J17674" s="41">
        <v>45607</v>
      </c>
      <c r="K17674" s="30" t="s">
        <v>22</v>
      </c>
    </row>
    <row r="17675" spans="1:11">
      <c r="A17675" s="33" t="s">
        <v>39511</v>
      </c>
      <c r="B17675" s="33" t="s">
        <v>39512</v>
      </c>
      <c r="C17675" s="33" t="s">
        <v>17454</v>
      </c>
      <c r="D17675" s="33" t="s">
        <v>17</v>
      </c>
      <c r="E17675" s="33" t="s">
        <v>31</v>
      </c>
      <c r="F17675" s="33" t="s">
        <v>32</v>
      </c>
      <c r="G17675" s="33" t="s">
        <v>50</v>
      </c>
      <c r="H17675" s="35">
        <v>60</v>
      </c>
      <c r="I17675" s="33" t="s">
        <v>51</v>
      </c>
      <c r="J17675" s="42">
        <v>45423</v>
      </c>
      <c r="K17675" s="33" t="s">
        <v>22</v>
      </c>
    </row>
    <row r="17676" spans="1:11">
      <c r="A17676" s="30" t="s">
        <v>39513</v>
      </c>
      <c r="B17676" s="30" t="s">
        <v>39514</v>
      </c>
      <c r="C17676" s="30" t="s">
        <v>21185</v>
      </c>
      <c r="D17676" s="30" t="s">
        <v>17</v>
      </c>
      <c r="E17676" s="30" t="s">
        <v>67</v>
      </c>
      <c r="F17676" s="30" t="s">
        <v>68</v>
      </c>
      <c r="G17676" s="30" t="s">
        <v>140</v>
      </c>
      <c r="H17676" s="32">
        <v>102</v>
      </c>
      <c r="I17676" s="30" t="s">
        <v>51</v>
      </c>
      <c r="J17676" s="41">
        <v>45495</v>
      </c>
      <c r="K17676" s="30" t="s">
        <v>22</v>
      </c>
    </row>
    <row r="17677" spans="1:11">
      <c r="A17677" s="33" t="s">
        <v>39515</v>
      </c>
      <c r="B17677" s="33" t="s">
        <v>39516</v>
      </c>
      <c r="C17677" s="33" t="s">
        <v>109</v>
      </c>
      <c r="D17677" s="33" t="s">
        <v>17</v>
      </c>
      <c r="E17677" s="33" t="s">
        <v>18</v>
      </c>
      <c r="F17677" s="33" t="s">
        <v>19</v>
      </c>
      <c r="G17677" s="33" t="s">
        <v>140</v>
      </c>
      <c r="H17677" s="35">
        <v>315</v>
      </c>
      <c r="I17677" s="33" t="s">
        <v>51</v>
      </c>
      <c r="J17677" s="42">
        <v>45589</v>
      </c>
      <c r="K17677" s="33" t="s">
        <v>22</v>
      </c>
    </row>
    <row r="17678" spans="1:11">
      <c r="A17678" s="30" t="s">
        <v>39517</v>
      </c>
      <c r="B17678" s="30" t="s">
        <v>39518</v>
      </c>
      <c r="C17678" s="30" t="s">
        <v>136</v>
      </c>
      <c r="D17678" s="30" t="s">
        <v>17</v>
      </c>
      <c r="E17678" s="30" t="s">
        <v>26</v>
      </c>
      <c r="F17678" s="30" t="s">
        <v>27</v>
      </c>
      <c r="G17678" s="30" t="s">
        <v>20</v>
      </c>
      <c r="H17678" s="32">
        <v>533</v>
      </c>
      <c r="I17678" s="30" t="s">
        <v>21</v>
      </c>
      <c r="J17678" s="41">
        <v>45467</v>
      </c>
      <c r="K17678" s="30" t="s">
        <v>22</v>
      </c>
    </row>
    <row r="17679" spans="1:11">
      <c r="A17679" s="33" t="s">
        <v>39519</v>
      </c>
      <c r="B17679" s="33" t="s">
        <v>39520</v>
      </c>
      <c r="C17679" s="33" t="s">
        <v>28376</v>
      </c>
      <c r="D17679" s="33" t="s">
        <v>17</v>
      </c>
      <c r="E17679" s="33" t="s">
        <v>212</v>
      </c>
      <c r="F17679" s="33" t="s">
        <v>213</v>
      </c>
      <c r="G17679" s="33" t="s">
        <v>140</v>
      </c>
      <c r="H17679" s="35">
        <v>100</v>
      </c>
      <c r="I17679" s="33" t="s">
        <v>51</v>
      </c>
      <c r="J17679" s="42">
        <v>45593</v>
      </c>
      <c r="K17679" s="33" t="s">
        <v>22</v>
      </c>
    </row>
    <row r="17680" spans="1:11">
      <c r="A17680" s="30" t="s">
        <v>39521</v>
      </c>
      <c r="B17680" s="30" t="s">
        <v>39522</v>
      </c>
      <c r="C17680" s="30" t="s">
        <v>8052</v>
      </c>
      <c r="D17680" s="30" t="s">
        <v>17</v>
      </c>
      <c r="E17680" s="30" t="s">
        <v>31</v>
      </c>
      <c r="F17680" s="30" t="s">
        <v>32</v>
      </c>
      <c r="G17680" s="30" t="s">
        <v>20</v>
      </c>
      <c r="H17680" s="32">
        <v>102</v>
      </c>
      <c r="I17680" s="30" t="s">
        <v>21</v>
      </c>
      <c r="J17680" s="41">
        <v>45383</v>
      </c>
      <c r="K17680" s="30" t="s">
        <v>22</v>
      </c>
    </row>
    <row r="17681" spans="1:11">
      <c r="A17681" s="33" t="s">
        <v>39523</v>
      </c>
      <c r="B17681" s="33" t="s">
        <v>39524</v>
      </c>
      <c r="C17681" s="33" t="s">
        <v>39525</v>
      </c>
      <c r="D17681" s="33" t="s">
        <v>17</v>
      </c>
      <c r="E17681" s="33" t="s">
        <v>26</v>
      </c>
      <c r="F17681" s="33" t="s">
        <v>27</v>
      </c>
      <c r="G17681" s="33" t="s">
        <v>50</v>
      </c>
      <c r="H17681" s="35">
        <v>24</v>
      </c>
      <c r="I17681" s="33" t="s">
        <v>51</v>
      </c>
      <c r="J17681" s="42">
        <v>45356</v>
      </c>
      <c r="K17681" s="33" t="s">
        <v>22</v>
      </c>
    </row>
    <row r="17682" spans="1:11">
      <c r="A17682" s="30" t="s">
        <v>39526</v>
      </c>
      <c r="B17682" s="30" t="s">
        <v>39527</v>
      </c>
      <c r="C17682" s="30" t="s">
        <v>21654</v>
      </c>
      <c r="D17682" s="30" t="s">
        <v>17</v>
      </c>
      <c r="E17682" s="30" t="s">
        <v>26</v>
      </c>
      <c r="F17682" s="30" t="s">
        <v>27</v>
      </c>
      <c r="G17682" s="30" t="s">
        <v>106</v>
      </c>
      <c r="H17682" s="32">
        <v>33</v>
      </c>
      <c r="I17682" s="30" t="s">
        <v>21</v>
      </c>
      <c r="J17682" s="41">
        <v>45436</v>
      </c>
      <c r="K17682" s="30" t="s">
        <v>22</v>
      </c>
    </row>
    <row r="17683" spans="1:11">
      <c r="A17683" s="33" t="s">
        <v>39528</v>
      </c>
      <c r="B17683" s="33" t="s">
        <v>39529</v>
      </c>
      <c r="C17683" s="33" t="s">
        <v>747</v>
      </c>
      <c r="D17683" s="33" t="s">
        <v>17</v>
      </c>
      <c r="E17683" s="33" t="s">
        <v>18</v>
      </c>
      <c r="F17683" s="33" t="s">
        <v>19</v>
      </c>
      <c r="G17683" s="33" t="s">
        <v>140</v>
      </c>
      <c r="H17683" s="35">
        <v>748</v>
      </c>
      <c r="I17683" s="33" t="s">
        <v>51</v>
      </c>
      <c r="J17683" s="42">
        <v>45627</v>
      </c>
      <c r="K17683" s="33" t="s">
        <v>22</v>
      </c>
    </row>
    <row r="17684" spans="1:11">
      <c r="A17684" s="30" t="s">
        <v>39530</v>
      </c>
      <c r="B17684" s="30" t="s">
        <v>39531</v>
      </c>
      <c r="C17684" s="30" t="s">
        <v>38761</v>
      </c>
      <c r="D17684" s="30" t="s">
        <v>17</v>
      </c>
      <c r="E17684" s="30" t="s">
        <v>212</v>
      </c>
      <c r="F17684" s="30" t="s">
        <v>213</v>
      </c>
      <c r="G17684" s="30" t="s">
        <v>140</v>
      </c>
      <c r="H17684" s="32">
        <v>150</v>
      </c>
      <c r="I17684" s="30" t="s">
        <v>51</v>
      </c>
      <c r="J17684" s="41">
        <v>45621</v>
      </c>
      <c r="K17684" s="30" t="s">
        <v>22</v>
      </c>
    </row>
    <row r="17685" spans="1:11">
      <c r="A17685" s="33" t="s">
        <v>39532</v>
      </c>
      <c r="B17685" s="33" t="s">
        <v>39533</v>
      </c>
      <c r="C17685" s="33" t="s">
        <v>6528</v>
      </c>
      <c r="D17685" s="33" t="s">
        <v>17</v>
      </c>
      <c r="E17685" s="33" t="s">
        <v>67</v>
      </c>
      <c r="F17685" s="33" t="s">
        <v>68</v>
      </c>
      <c r="G17685" s="33" t="s">
        <v>140</v>
      </c>
      <c r="H17685" s="35">
        <v>121</v>
      </c>
      <c r="I17685" s="33" t="s">
        <v>51</v>
      </c>
      <c r="J17685" s="42">
        <v>45565</v>
      </c>
      <c r="K17685" s="33" t="s">
        <v>22</v>
      </c>
    </row>
    <row r="17686" spans="1:11">
      <c r="A17686" s="30" t="s">
        <v>39534</v>
      </c>
      <c r="B17686" s="30" t="s">
        <v>39535</v>
      </c>
      <c r="C17686" s="30" t="s">
        <v>2313</v>
      </c>
      <c r="D17686" s="30" t="s">
        <v>17</v>
      </c>
      <c r="E17686" s="30" t="s">
        <v>26</v>
      </c>
      <c r="F17686" s="30" t="s">
        <v>27</v>
      </c>
      <c r="G17686" s="30" t="s">
        <v>140</v>
      </c>
      <c r="H17686" s="32">
        <v>410</v>
      </c>
      <c r="I17686" s="30" t="s">
        <v>51</v>
      </c>
      <c r="J17686" s="41">
        <v>45610</v>
      </c>
      <c r="K17686" s="30" t="s">
        <v>22</v>
      </c>
    </row>
    <row r="17687" spans="1:11">
      <c r="A17687" s="33" t="s">
        <v>39536</v>
      </c>
      <c r="B17687" s="33" t="s">
        <v>39537</v>
      </c>
      <c r="C17687" s="33" t="s">
        <v>2472</v>
      </c>
      <c r="D17687" s="33" t="s">
        <v>17</v>
      </c>
      <c r="E17687" s="33" t="s">
        <v>18</v>
      </c>
      <c r="F17687" s="33" t="s">
        <v>19</v>
      </c>
      <c r="G17687" s="33" t="s">
        <v>20</v>
      </c>
      <c r="H17687" s="35">
        <v>217</v>
      </c>
      <c r="I17687" s="33" t="s">
        <v>21</v>
      </c>
      <c r="J17687" s="42">
        <v>45390</v>
      </c>
      <c r="K17687" s="33" t="s">
        <v>22</v>
      </c>
    </row>
    <row r="17688" spans="1:11">
      <c r="A17688" s="30" t="s">
        <v>39538</v>
      </c>
      <c r="B17688" s="30" t="s">
        <v>39539</v>
      </c>
      <c r="C17688" s="30" t="s">
        <v>318</v>
      </c>
      <c r="D17688" s="30" t="s">
        <v>17</v>
      </c>
      <c r="E17688" s="30" t="s">
        <v>212</v>
      </c>
      <c r="F17688" s="30" t="s">
        <v>213</v>
      </c>
      <c r="G17688" s="30" t="s">
        <v>158</v>
      </c>
      <c r="H17688" s="32">
        <v>32</v>
      </c>
      <c r="I17688" s="30" t="s">
        <v>21</v>
      </c>
      <c r="J17688" s="41">
        <v>45384</v>
      </c>
      <c r="K17688" s="30" t="s">
        <v>22</v>
      </c>
    </row>
    <row r="17689" spans="1:11">
      <c r="A17689" s="33" t="s">
        <v>39540</v>
      </c>
      <c r="B17689" s="33" t="s">
        <v>39541</v>
      </c>
      <c r="C17689" s="33" t="s">
        <v>39542</v>
      </c>
      <c r="D17689" s="33" t="s">
        <v>17</v>
      </c>
      <c r="E17689" s="33" t="s">
        <v>212</v>
      </c>
      <c r="F17689" s="33" t="s">
        <v>213</v>
      </c>
      <c r="G17689" s="33" t="s">
        <v>50</v>
      </c>
      <c r="H17689" s="35">
        <v>300</v>
      </c>
      <c r="I17689" s="33" t="s">
        <v>51</v>
      </c>
      <c r="J17689" s="42">
        <v>45371</v>
      </c>
      <c r="K17689" s="33" t="s">
        <v>22</v>
      </c>
    </row>
    <row r="17690" spans="1:11">
      <c r="A17690" s="30" t="s">
        <v>39543</v>
      </c>
      <c r="B17690" s="30" t="s">
        <v>39544</v>
      </c>
      <c r="C17690" s="30" t="s">
        <v>4328</v>
      </c>
      <c r="D17690" s="30" t="s">
        <v>17</v>
      </c>
      <c r="E17690" s="30" t="s">
        <v>26</v>
      </c>
      <c r="F17690" s="30" t="s">
        <v>27</v>
      </c>
      <c r="G17690" s="30" t="s">
        <v>140</v>
      </c>
      <c r="H17690" s="32">
        <v>144</v>
      </c>
      <c r="I17690" s="30" t="s">
        <v>51</v>
      </c>
      <c r="J17690" s="41">
        <v>45523</v>
      </c>
      <c r="K17690" s="30" t="s">
        <v>22</v>
      </c>
    </row>
    <row r="17691" spans="1:11">
      <c r="A17691" s="33" t="s">
        <v>39545</v>
      </c>
      <c r="B17691" s="33" t="s">
        <v>39546</v>
      </c>
      <c r="C17691" s="33" t="s">
        <v>109</v>
      </c>
      <c r="D17691" s="33" t="s">
        <v>17</v>
      </c>
      <c r="E17691" s="33" t="s">
        <v>26</v>
      </c>
      <c r="F17691" s="33" t="s">
        <v>27</v>
      </c>
      <c r="G17691" s="33" t="s">
        <v>20</v>
      </c>
      <c r="H17691" s="35">
        <v>65</v>
      </c>
      <c r="I17691" s="33" t="s">
        <v>21</v>
      </c>
      <c r="J17691" s="42">
        <v>45378</v>
      </c>
      <c r="K17691" s="33" t="s">
        <v>22</v>
      </c>
    </row>
    <row r="17692" spans="1:11">
      <c r="A17692" s="30" t="s">
        <v>39547</v>
      </c>
      <c r="B17692" s="30" t="s">
        <v>39548</v>
      </c>
      <c r="C17692" s="30" t="s">
        <v>190</v>
      </c>
      <c r="D17692" s="30" t="s">
        <v>17</v>
      </c>
      <c r="E17692" s="30" t="s">
        <v>18</v>
      </c>
      <c r="F17692" s="30" t="s">
        <v>19</v>
      </c>
      <c r="G17692" s="30" t="s">
        <v>140</v>
      </c>
      <c r="H17692" s="32">
        <v>100</v>
      </c>
      <c r="I17692" s="30" t="s">
        <v>51</v>
      </c>
      <c r="J17692" s="41">
        <v>45365</v>
      </c>
      <c r="K17692" s="30" t="s">
        <v>22</v>
      </c>
    </row>
    <row r="17693" spans="1:11">
      <c r="A17693" s="33" t="s">
        <v>39549</v>
      </c>
      <c r="B17693" s="33" t="s">
        <v>39550</v>
      </c>
      <c r="C17693" s="33" t="s">
        <v>17725</v>
      </c>
      <c r="D17693" s="33" t="s">
        <v>17</v>
      </c>
      <c r="E17693" s="33" t="s">
        <v>26</v>
      </c>
      <c r="F17693" s="33" t="s">
        <v>27</v>
      </c>
      <c r="G17693" s="33" t="s">
        <v>20</v>
      </c>
      <c r="H17693" s="35">
        <v>80</v>
      </c>
      <c r="I17693" s="33" t="s">
        <v>21</v>
      </c>
      <c r="J17693" s="42">
        <v>45314</v>
      </c>
      <c r="K17693" s="33" t="s">
        <v>22</v>
      </c>
    </row>
    <row r="17694" spans="1:11">
      <c r="A17694" s="30" t="s">
        <v>39551</v>
      </c>
      <c r="B17694" s="30" t="s">
        <v>39552</v>
      </c>
      <c r="C17694" s="30" t="s">
        <v>190</v>
      </c>
      <c r="D17694" s="30" t="s">
        <v>17</v>
      </c>
      <c r="E17694" s="30" t="s">
        <v>26</v>
      </c>
      <c r="F17694" s="30" t="s">
        <v>27</v>
      </c>
      <c r="G17694" s="30" t="s">
        <v>20</v>
      </c>
      <c r="H17694" s="32">
        <v>147</v>
      </c>
      <c r="I17694" s="30" t="s">
        <v>21</v>
      </c>
      <c r="J17694" s="41">
        <v>45506</v>
      </c>
      <c r="K17694" s="30" t="s">
        <v>22</v>
      </c>
    </row>
    <row r="17695" spans="1:11">
      <c r="A17695" s="33" t="s">
        <v>39553</v>
      </c>
      <c r="B17695" s="33" t="s">
        <v>39554</v>
      </c>
      <c r="C17695" s="33" t="s">
        <v>34287</v>
      </c>
      <c r="D17695" s="33" t="s">
        <v>17</v>
      </c>
      <c r="E17695" s="33" t="s">
        <v>31</v>
      </c>
      <c r="F17695" s="33" t="s">
        <v>32</v>
      </c>
      <c r="G17695" s="33" t="s">
        <v>140</v>
      </c>
      <c r="H17695" s="35">
        <v>192</v>
      </c>
      <c r="I17695" s="33" t="s">
        <v>51</v>
      </c>
      <c r="J17695" s="42">
        <v>45323</v>
      </c>
      <c r="K17695" s="33" t="s">
        <v>22</v>
      </c>
    </row>
    <row r="17696" spans="1:11">
      <c r="A17696" s="30" t="s">
        <v>39555</v>
      </c>
      <c r="B17696" s="30" t="s">
        <v>39556</v>
      </c>
      <c r="C17696" s="30" t="s">
        <v>14483</v>
      </c>
      <c r="D17696" s="30" t="s">
        <v>17</v>
      </c>
      <c r="E17696" s="30" t="s">
        <v>26</v>
      </c>
      <c r="F17696" s="30" t="s">
        <v>27</v>
      </c>
      <c r="G17696" s="30" t="s">
        <v>20</v>
      </c>
      <c r="H17696" s="32">
        <v>86</v>
      </c>
      <c r="I17696" s="30" t="s">
        <v>21</v>
      </c>
      <c r="J17696" s="41">
        <v>45349</v>
      </c>
      <c r="K17696" s="30" t="s">
        <v>22</v>
      </c>
    </row>
    <row r="17697" spans="1:11">
      <c r="A17697" s="33" t="s">
        <v>39557</v>
      </c>
      <c r="B17697" s="33" t="s">
        <v>39558</v>
      </c>
      <c r="C17697" s="33" t="s">
        <v>22695</v>
      </c>
      <c r="D17697" s="33" t="s">
        <v>17</v>
      </c>
      <c r="E17697" s="33" t="s">
        <v>18</v>
      </c>
      <c r="F17697" s="33" t="s">
        <v>19</v>
      </c>
      <c r="G17697" s="33" t="s">
        <v>106</v>
      </c>
      <c r="H17697" s="35">
        <v>4</v>
      </c>
      <c r="I17697" s="33" t="s">
        <v>21</v>
      </c>
      <c r="J17697" s="42">
        <v>45379</v>
      </c>
      <c r="K17697" s="33" t="s">
        <v>22</v>
      </c>
    </row>
    <row r="17698" spans="1:11">
      <c r="A17698" s="30" t="s">
        <v>39559</v>
      </c>
      <c r="B17698" s="30" t="s">
        <v>39560</v>
      </c>
      <c r="C17698" s="30" t="s">
        <v>96</v>
      </c>
      <c r="D17698" s="30" t="s">
        <v>17</v>
      </c>
      <c r="E17698" s="30" t="s">
        <v>26</v>
      </c>
      <c r="F17698" s="30" t="s">
        <v>27</v>
      </c>
      <c r="G17698" s="30" t="s">
        <v>20</v>
      </c>
      <c r="H17698" s="32">
        <v>26</v>
      </c>
      <c r="I17698" s="30" t="s">
        <v>21</v>
      </c>
      <c r="J17698" s="41">
        <v>45637</v>
      </c>
      <c r="K17698" s="30" t="s">
        <v>22</v>
      </c>
    </row>
    <row r="17699" spans="1:11">
      <c r="A17699" s="33" t="s">
        <v>39561</v>
      </c>
      <c r="B17699" s="33" t="s">
        <v>39562</v>
      </c>
      <c r="C17699" s="33" t="s">
        <v>39563</v>
      </c>
      <c r="D17699" s="33" t="s">
        <v>17</v>
      </c>
      <c r="E17699" s="33" t="s">
        <v>26</v>
      </c>
      <c r="F17699" s="33" t="s">
        <v>27</v>
      </c>
      <c r="G17699" s="33" t="s">
        <v>50</v>
      </c>
      <c r="H17699" s="35">
        <v>30</v>
      </c>
      <c r="I17699" s="33" t="s">
        <v>51</v>
      </c>
      <c r="J17699" s="42">
        <v>45533</v>
      </c>
      <c r="K17699" s="33" t="s">
        <v>22</v>
      </c>
    </row>
    <row r="17700" spans="1:11">
      <c r="A17700" s="30" t="s">
        <v>39564</v>
      </c>
      <c r="B17700" s="30" t="s">
        <v>39565</v>
      </c>
      <c r="C17700" s="30" t="s">
        <v>25378</v>
      </c>
      <c r="D17700" s="30" t="s">
        <v>17</v>
      </c>
      <c r="E17700" s="30" t="s">
        <v>18</v>
      </c>
      <c r="F17700" s="30" t="s">
        <v>19</v>
      </c>
      <c r="G17700" s="30" t="s">
        <v>20</v>
      </c>
      <c r="H17700" s="32">
        <v>190</v>
      </c>
      <c r="I17700" s="30" t="s">
        <v>21</v>
      </c>
      <c r="J17700" s="41">
        <v>45523</v>
      </c>
      <c r="K17700" s="30" t="s">
        <v>22</v>
      </c>
    </row>
    <row r="17701" spans="1:11">
      <c r="A17701" s="33" t="s">
        <v>39566</v>
      </c>
      <c r="B17701" s="33" t="s">
        <v>39567</v>
      </c>
      <c r="C17701" s="33" t="s">
        <v>21961</v>
      </c>
      <c r="D17701" s="33" t="s">
        <v>17</v>
      </c>
      <c r="E17701" s="33" t="s">
        <v>26</v>
      </c>
      <c r="F17701" s="33" t="s">
        <v>27</v>
      </c>
      <c r="G17701" s="33" t="s">
        <v>20</v>
      </c>
      <c r="H17701" s="35">
        <v>60</v>
      </c>
      <c r="I17701" s="33" t="s">
        <v>21</v>
      </c>
      <c r="J17701" s="42">
        <v>45372</v>
      </c>
      <c r="K17701" s="33" t="s">
        <v>22</v>
      </c>
    </row>
    <row r="17702" spans="1:11">
      <c r="A17702" s="30" t="s">
        <v>39568</v>
      </c>
      <c r="B17702" s="30" t="s">
        <v>39569</v>
      </c>
      <c r="C17702" s="30" t="s">
        <v>2196</v>
      </c>
      <c r="D17702" s="30" t="s">
        <v>17</v>
      </c>
      <c r="E17702" s="30" t="s">
        <v>45</v>
      </c>
      <c r="F17702" s="30" t="s">
        <v>46</v>
      </c>
      <c r="G17702" s="30" t="s">
        <v>140</v>
      </c>
      <c r="H17702" s="32">
        <v>502</v>
      </c>
      <c r="I17702" s="30" t="s">
        <v>51</v>
      </c>
      <c r="J17702" s="41">
        <v>45420</v>
      </c>
      <c r="K17702" s="30" t="s">
        <v>22</v>
      </c>
    </row>
    <row r="17703" spans="1:11">
      <c r="A17703" s="33" t="s">
        <v>39570</v>
      </c>
      <c r="B17703" s="33" t="s">
        <v>39571</v>
      </c>
      <c r="C17703" s="33" t="s">
        <v>178</v>
      </c>
      <c r="D17703" s="33" t="s">
        <v>17</v>
      </c>
      <c r="E17703" s="33" t="s">
        <v>18</v>
      </c>
      <c r="F17703" s="33" t="s">
        <v>19</v>
      </c>
      <c r="G17703" s="33" t="s">
        <v>158</v>
      </c>
      <c r="H17703" s="35">
        <v>400</v>
      </c>
      <c r="I17703" s="33" t="s">
        <v>51</v>
      </c>
      <c r="J17703" s="42">
        <v>45552</v>
      </c>
      <c r="K17703" s="33" t="s">
        <v>22</v>
      </c>
    </row>
    <row r="17704" spans="1:11">
      <c r="A17704" s="30" t="s">
        <v>39572</v>
      </c>
      <c r="B17704" s="30" t="s">
        <v>39573</v>
      </c>
      <c r="C17704" s="30" t="s">
        <v>647</v>
      </c>
      <c r="D17704" s="30" t="s">
        <v>17</v>
      </c>
      <c r="E17704" s="30" t="s">
        <v>26</v>
      </c>
      <c r="F17704" s="30" t="s">
        <v>27</v>
      </c>
      <c r="G17704" s="30" t="s">
        <v>20</v>
      </c>
      <c r="H17704" s="32">
        <v>18</v>
      </c>
      <c r="I17704" s="30" t="s">
        <v>21</v>
      </c>
      <c r="J17704" s="41">
        <v>45489</v>
      </c>
      <c r="K17704" s="30" t="s">
        <v>22</v>
      </c>
    </row>
    <row r="17705" spans="1:11">
      <c r="A17705" s="33" t="s">
        <v>39574</v>
      </c>
      <c r="B17705" s="33" t="s">
        <v>39575</v>
      </c>
      <c r="C17705" s="33" t="s">
        <v>14816</v>
      </c>
      <c r="D17705" s="33" t="s">
        <v>17</v>
      </c>
      <c r="E17705" s="33" t="s">
        <v>67</v>
      </c>
      <c r="F17705" s="33" t="s">
        <v>68</v>
      </c>
      <c r="G17705" s="33" t="s">
        <v>140</v>
      </c>
      <c r="H17705" s="35">
        <v>350</v>
      </c>
      <c r="I17705" s="33" t="s">
        <v>51</v>
      </c>
      <c r="J17705" s="42">
        <v>45342</v>
      </c>
      <c r="K17705" s="33" t="s">
        <v>22</v>
      </c>
    </row>
    <row r="17706" spans="1:11">
      <c r="A17706" s="30" t="s">
        <v>39576</v>
      </c>
      <c r="B17706" s="30" t="s">
        <v>39577</v>
      </c>
      <c r="C17706" s="30" t="s">
        <v>39563</v>
      </c>
      <c r="D17706" s="30" t="s">
        <v>17</v>
      </c>
      <c r="E17706" s="30" t="s">
        <v>26</v>
      </c>
      <c r="F17706" s="30" t="s">
        <v>27</v>
      </c>
      <c r="G17706" s="30" t="s">
        <v>50</v>
      </c>
      <c r="H17706" s="32">
        <v>34</v>
      </c>
      <c r="I17706" s="30" t="s">
        <v>51</v>
      </c>
      <c r="J17706" s="41">
        <v>45412</v>
      </c>
      <c r="K17706" s="30" t="s">
        <v>22</v>
      </c>
    </row>
    <row r="17707" spans="1:11">
      <c r="A17707" s="33" t="s">
        <v>39578</v>
      </c>
      <c r="B17707" s="33" t="s">
        <v>39579</v>
      </c>
      <c r="C17707" s="33" t="s">
        <v>969</v>
      </c>
      <c r="D17707" s="33" t="s">
        <v>17</v>
      </c>
      <c r="E17707" s="33" t="s">
        <v>31</v>
      </c>
      <c r="F17707" s="33" t="s">
        <v>32</v>
      </c>
      <c r="G17707" s="33" t="s">
        <v>106</v>
      </c>
      <c r="H17707" s="35">
        <v>158</v>
      </c>
      <c r="I17707" s="33" t="s">
        <v>21</v>
      </c>
      <c r="J17707" s="42">
        <v>45386</v>
      </c>
      <c r="K17707" s="33" t="s">
        <v>22</v>
      </c>
    </row>
    <row r="17708" spans="1:11">
      <c r="A17708" s="30" t="s">
        <v>39580</v>
      </c>
      <c r="B17708" s="30" t="s">
        <v>39581</v>
      </c>
      <c r="C17708" s="30" t="s">
        <v>39582</v>
      </c>
      <c r="D17708" s="30" t="s">
        <v>17</v>
      </c>
      <c r="E17708" s="30" t="s">
        <v>26</v>
      </c>
      <c r="F17708" s="30" t="s">
        <v>27</v>
      </c>
      <c r="G17708" s="30" t="s">
        <v>50</v>
      </c>
      <c r="H17708" s="32">
        <v>64</v>
      </c>
      <c r="I17708" s="30" t="s">
        <v>51</v>
      </c>
      <c r="J17708" s="41">
        <v>45340</v>
      </c>
      <c r="K17708" s="30" t="s">
        <v>22</v>
      </c>
    </row>
    <row r="17709" spans="1:11">
      <c r="A17709" s="33" t="s">
        <v>39583</v>
      </c>
      <c r="B17709" s="33" t="s">
        <v>39584</v>
      </c>
      <c r="C17709" s="33" t="s">
        <v>190</v>
      </c>
      <c r="D17709" s="33" t="s">
        <v>17</v>
      </c>
      <c r="E17709" s="33" t="s">
        <v>26</v>
      </c>
      <c r="F17709" s="33" t="s">
        <v>27</v>
      </c>
      <c r="G17709" s="33" t="s">
        <v>140</v>
      </c>
      <c r="H17709" s="35">
        <v>108</v>
      </c>
      <c r="I17709" s="33" t="s">
        <v>51</v>
      </c>
      <c r="J17709" s="42">
        <v>45373</v>
      </c>
      <c r="K17709" s="33" t="s">
        <v>22</v>
      </c>
    </row>
    <row r="17710" spans="1:11">
      <c r="A17710" s="30" t="s">
        <v>39585</v>
      </c>
      <c r="B17710" s="30" t="s">
        <v>39586</v>
      </c>
      <c r="C17710" s="30" t="s">
        <v>1077</v>
      </c>
      <c r="D17710" s="30" t="s">
        <v>17</v>
      </c>
      <c r="E17710" s="30" t="s">
        <v>18</v>
      </c>
      <c r="F17710" s="30" t="s">
        <v>19</v>
      </c>
      <c r="G17710" s="30" t="s">
        <v>20</v>
      </c>
      <c r="H17710" s="32">
        <v>336</v>
      </c>
      <c r="I17710" s="30" t="s">
        <v>21</v>
      </c>
      <c r="J17710" s="41">
        <v>45531</v>
      </c>
      <c r="K17710" s="30" t="s">
        <v>22</v>
      </c>
    </row>
    <row r="17711" spans="1:11">
      <c r="A17711" s="33" t="s">
        <v>39587</v>
      </c>
      <c r="B17711" s="33" t="s">
        <v>39588</v>
      </c>
      <c r="C17711" s="33" t="s">
        <v>231</v>
      </c>
      <c r="D17711" s="33" t="s">
        <v>17</v>
      </c>
      <c r="E17711" s="33" t="s">
        <v>26</v>
      </c>
      <c r="F17711" s="33" t="s">
        <v>27</v>
      </c>
      <c r="G17711" s="33" t="s">
        <v>20</v>
      </c>
      <c r="H17711" s="35">
        <v>30</v>
      </c>
      <c r="I17711" s="33" t="s">
        <v>21</v>
      </c>
      <c r="J17711" s="42">
        <v>45587</v>
      </c>
      <c r="K17711" s="33" t="s">
        <v>22</v>
      </c>
    </row>
    <row r="17712" spans="1:11">
      <c r="A17712" s="30" t="s">
        <v>39589</v>
      </c>
      <c r="B17712" s="30" t="s">
        <v>39590</v>
      </c>
      <c r="C17712" s="30" t="s">
        <v>39591</v>
      </c>
      <c r="D17712" s="30" t="s">
        <v>17</v>
      </c>
      <c r="E17712" s="30" t="s">
        <v>330</v>
      </c>
      <c r="F17712" s="30" t="s">
        <v>331</v>
      </c>
      <c r="G17712" s="30" t="s">
        <v>2613</v>
      </c>
      <c r="H17712" s="32">
        <v>10</v>
      </c>
      <c r="I17712" s="30" t="s">
        <v>51</v>
      </c>
      <c r="J17712" s="41">
        <v>45641</v>
      </c>
      <c r="K17712" s="30" t="s">
        <v>22</v>
      </c>
    </row>
    <row r="17713" spans="1:11">
      <c r="A17713" s="33" t="s">
        <v>39592</v>
      </c>
      <c r="B17713" s="33" t="s">
        <v>39593</v>
      </c>
      <c r="C17713" s="33" t="s">
        <v>231</v>
      </c>
      <c r="D17713" s="33" t="s">
        <v>17</v>
      </c>
      <c r="E17713" s="33" t="s">
        <v>26</v>
      </c>
      <c r="F17713" s="33" t="s">
        <v>27</v>
      </c>
      <c r="G17713" s="33" t="s">
        <v>158</v>
      </c>
      <c r="H17713" s="35">
        <v>69</v>
      </c>
      <c r="I17713" s="33" t="s">
        <v>21</v>
      </c>
      <c r="J17713" s="42">
        <v>45336</v>
      </c>
      <c r="K17713" s="33" t="s">
        <v>22</v>
      </c>
    </row>
    <row r="17714" spans="1:11">
      <c r="A17714" s="30" t="s">
        <v>39594</v>
      </c>
      <c r="B17714" s="30" t="s">
        <v>39595</v>
      </c>
      <c r="C17714" s="30" t="s">
        <v>13021</v>
      </c>
      <c r="D17714" s="30" t="s">
        <v>17</v>
      </c>
      <c r="E17714" s="30" t="s">
        <v>18</v>
      </c>
      <c r="F17714" s="30" t="s">
        <v>19</v>
      </c>
      <c r="G17714" s="30" t="s">
        <v>140</v>
      </c>
      <c r="H17714" s="32">
        <v>700</v>
      </c>
      <c r="I17714" s="30" t="s">
        <v>51</v>
      </c>
      <c r="J17714" s="41">
        <v>45560</v>
      </c>
      <c r="K17714" s="30" t="s">
        <v>22</v>
      </c>
    </row>
    <row r="17715" spans="1:11">
      <c r="A17715" s="33" t="s">
        <v>39596</v>
      </c>
      <c r="B17715" s="33" t="s">
        <v>39597</v>
      </c>
      <c r="C17715" s="33" t="s">
        <v>22172</v>
      </c>
      <c r="D17715" s="33" t="s">
        <v>17</v>
      </c>
      <c r="E17715" s="33" t="s">
        <v>26</v>
      </c>
      <c r="F17715" s="33" t="s">
        <v>27</v>
      </c>
      <c r="G17715" s="33" t="s">
        <v>140</v>
      </c>
      <c r="H17715" s="35">
        <v>240</v>
      </c>
      <c r="I17715" s="33" t="s">
        <v>51</v>
      </c>
      <c r="J17715" s="42">
        <v>45595</v>
      </c>
      <c r="K17715" s="33" t="s">
        <v>22</v>
      </c>
    </row>
    <row r="17716" spans="1:11">
      <c r="A17716" s="30" t="s">
        <v>39598</v>
      </c>
      <c r="B17716" s="30" t="s">
        <v>39599</v>
      </c>
      <c r="C17716" s="30" t="s">
        <v>33068</v>
      </c>
      <c r="D17716" s="30" t="s">
        <v>17</v>
      </c>
      <c r="E17716" s="30" t="s">
        <v>26</v>
      </c>
      <c r="F17716" s="30" t="s">
        <v>27</v>
      </c>
      <c r="G17716" s="30" t="s">
        <v>20</v>
      </c>
      <c r="H17716" s="32">
        <v>64</v>
      </c>
      <c r="I17716" s="30" t="s">
        <v>21</v>
      </c>
      <c r="J17716" s="41">
        <v>45552</v>
      </c>
      <c r="K17716" s="30" t="s">
        <v>22</v>
      </c>
    </row>
    <row r="17717" spans="1:11">
      <c r="A17717" s="33" t="s">
        <v>39600</v>
      </c>
      <c r="B17717" s="33" t="s">
        <v>39601</v>
      </c>
      <c r="C17717" s="33" t="s">
        <v>17410</v>
      </c>
      <c r="D17717" s="33" t="s">
        <v>17</v>
      </c>
      <c r="E17717" s="33" t="s">
        <v>26</v>
      </c>
      <c r="F17717" s="33" t="s">
        <v>27</v>
      </c>
      <c r="G17717" s="33" t="s">
        <v>7780</v>
      </c>
      <c r="H17717" s="35">
        <v>50</v>
      </c>
      <c r="I17717" s="33" t="s">
        <v>51</v>
      </c>
      <c r="J17717" s="42">
        <v>45458</v>
      </c>
      <c r="K17717" s="33" t="s">
        <v>22</v>
      </c>
    </row>
    <row r="17718" spans="1:11">
      <c r="A17718" s="30" t="s">
        <v>39602</v>
      </c>
      <c r="B17718" s="30" t="s">
        <v>39603</v>
      </c>
      <c r="C17718" s="30" t="s">
        <v>11899</v>
      </c>
      <c r="D17718" s="30" t="s">
        <v>17</v>
      </c>
      <c r="E17718" s="30" t="s">
        <v>31</v>
      </c>
      <c r="F17718" s="30" t="s">
        <v>32</v>
      </c>
      <c r="G17718" s="30" t="s">
        <v>158</v>
      </c>
      <c r="H17718" s="32">
        <v>93</v>
      </c>
      <c r="I17718" s="30" t="s">
        <v>21</v>
      </c>
      <c r="J17718" s="41">
        <v>45474</v>
      </c>
      <c r="K17718" s="30" t="s">
        <v>22</v>
      </c>
    </row>
    <row r="17719" spans="1:11">
      <c r="A17719" s="33" t="s">
        <v>39604</v>
      </c>
      <c r="B17719" s="33" t="s">
        <v>39605</v>
      </c>
      <c r="C17719" s="33" t="s">
        <v>2797</v>
      </c>
      <c r="D17719" s="33" t="s">
        <v>17</v>
      </c>
      <c r="E17719" s="33" t="s">
        <v>26</v>
      </c>
      <c r="F17719" s="33" t="s">
        <v>27</v>
      </c>
      <c r="G17719" s="33" t="s">
        <v>140</v>
      </c>
      <c r="H17719" s="35">
        <v>56</v>
      </c>
      <c r="I17719" s="33" t="s">
        <v>51</v>
      </c>
      <c r="J17719" s="42">
        <v>45464</v>
      </c>
      <c r="K17719" s="33" t="s">
        <v>22</v>
      </c>
    </row>
    <row r="17720" spans="1:11">
      <c r="A17720" s="30" t="s">
        <v>39606</v>
      </c>
      <c r="B17720" s="30" t="s">
        <v>39607</v>
      </c>
      <c r="C17720" s="30" t="s">
        <v>75</v>
      </c>
      <c r="D17720" s="30" t="s">
        <v>17</v>
      </c>
      <c r="E17720" s="30" t="s">
        <v>67</v>
      </c>
      <c r="F17720" s="30" t="s">
        <v>68</v>
      </c>
      <c r="G17720" s="30" t="s">
        <v>140</v>
      </c>
      <c r="H17720" s="32">
        <v>224</v>
      </c>
      <c r="I17720" s="30" t="s">
        <v>51</v>
      </c>
      <c r="J17720" s="41">
        <v>45490</v>
      </c>
      <c r="K17720" s="30" t="s">
        <v>22</v>
      </c>
    </row>
    <row r="17721" spans="1:11">
      <c r="A17721" s="33" t="s">
        <v>39608</v>
      </c>
      <c r="B17721" s="33" t="s">
        <v>39609</v>
      </c>
      <c r="C17721" s="33" t="s">
        <v>10300</v>
      </c>
      <c r="D17721" s="33" t="s">
        <v>17</v>
      </c>
      <c r="E17721" s="33" t="s">
        <v>26</v>
      </c>
      <c r="F17721" s="33" t="s">
        <v>27</v>
      </c>
      <c r="G17721" s="33" t="s">
        <v>50</v>
      </c>
      <c r="H17721" s="35">
        <v>24</v>
      </c>
      <c r="I17721" s="33" t="s">
        <v>51</v>
      </c>
      <c r="J17721" s="42">
        <v>45370</v>
      </c>
      <c r="K17721" s="33" t="s">
        <v>22</v>
      </c>
    </row>
    <row r="17722" spans="1:11">
      <c r="A17722" s="30" t="s">
        <v>39610</v>
      </c>
      <c r="B17722" s="30" t="s">
        <v>39611</v>
      </c>
      <c r="C17722" s="30" t="s">
        <v>39612</v>
      </c>
      <c r="D17722" s="30" t="s">
        <v>17</v>
      </c>
      <c r="E17722" s="30" t="s">
        <v>26</v>
      </c>
      <c r="F17722" s="30" t="s">
        <v>27</v>
      </c>
      <c r="G17722" s="30" t="s">
        <v>140</v>
      </c>
      <c r="H17722" s="32">
        <v>96</v>
      </c>
      <c r="I17722" s="30" t="s">
        <v>51</v>
      </c>
      <c r="J17722" s="41">
        <v>45456</v>
      </c>
      <c r="K17722" s="30" t="s">
        <v>22</v>
      </c>
    </row>
    <row r="17723" spans="1:11">
      <c r="A17723" s="33" t="s">
        <v>39613</v>
      </c>
      <c r="B17723" s="33" t="s">
        <v>39614</v>
      </c>
      <c r="C17723" s="33" t="s">
        <v>3775</v>
      </c>
      <c r="D17723" s="33" t="s">
        <v>17</v>
      </c>
      <c r="E17723" s="33" t="s">
        <v>26</v>
      </c>
      <c r="F17723" s="33" t="s">
        <v>27</v>
      </c>
      <c r="G17723" s="33" t="s">
        <v>20</v>
      </c>
      <c r="H17723" s="35">
        <v>50</v>
      </c>
      <c r="I17723" s="33" t="s">
        <v>21</v>
      </c>
      <c r="J17723" s="42">
        <v>45606</v>
      </c>
      <c r="K17723" s="33" t="s">
        <v>22</v>
      </c>
    </row>
    <row r="17724" spans="1:11">
      <c r="A17724" s="30" t="s">
        <v>39615</v>
      </c>
      <c r="B17724" s="30" t="s">
        <v>39616</v>
      </c>
      <c r="C17724" s="30" t="s">
        <v>39617</v>
      </c>
      <c r="D17724" s="30" t="s">
        <v>17</v>
      </c>
      <c r="E17724" s="30" t="s">
        <v>31</v>
      </c>
      <c r="F17724" s="30" t="s">
        <v>32</v>
      </c>
      <c r="G17724" s="30" t="s">
        <v>158</v>
      </c>
      <c r="H17724" s="32">
        <v>227</v>
      </c>
      <c r="I17724" s="30" t="s">
        <v>21</v>
      </c>
      <c r="J17724" s="41">
        <v>45314</v>
      </c>
      <c r="K17724" s="30" t="s">
        <v>22</v>
      </c>
    </row>
    <row r="17725" spans="1:11">
      <c r="A17725" s="33" t="s">
        <v>39618</v>
      </c>
      <c r="B17725" s="33" t="s">
        <v>39619</v>
      </c>
      <c r="C17725" s="33" t="s">
        <v>3480</v>
      </c>
      <c r="D17725" s="33" t="s">
        <v>17</v>
      </c>
      <c r="E17725" s="33" t="s">
        <v>31</v>
      </c>
      <c r="F17725" s="33" t="s">
        <v>32</v>
      </c>
      <c r="G17725" s="33" t="s">
        <v>50</v>
      </c>
      <c r="H17725" s="35">
        <v>142</v>
      </c>
      <c r="I17725" s="33" t="s">
        <v>51</v>
      </c>
      <c r="J17725" s="42">
        <v>45444</v>
      </c>
      <c r="K17725" s="33" t="s">
        <v>22</v>
      </c>
    </row>
    <row r="17726" spans="1:11">
      <c r="A17726" s="30" t="s">
        <v>39620</v>
      </c>
      <c r="B17726" s="30" t="s">
        <v>39621</v>
      </c>
      <c r="C17726" s="30" t="s">
        <v>15585</v>
      </c>
      <c r="D17726" s="30" t="s">
        <v>17</v>
      </c>
      <c r="E17726" s="30" t="s">
        <v>18</v>
      </c>
      <c r="F17726" s="30" t="s">
        <v>19</v>
      </c>
      <c r="G17726" s="30" t="s">
        <v>20</v>
      </c>
      <c r="H17726" s="32">
        <v>706</v>
      </c>
      <c r="I17726" s="30" t="s">
        <v>21</v>
      </c>
      <c r="J17726" s="41">
        <v>45538</v>
      </c>
      <c r="K17726" s="30" t="s">
        <v>22</v>
      </c>
    </row>
    <row r="17727" spans="1:11">
      <c r="A17727" s="33" t="s">
        <v>39622</v>
      </c>
      <c r="B17727" s="33" t="s">
        <v>39623</v>
      </c>
      <c r="C17727" s="33" t="s">
        <v>310</v>
      </c>
      <c r="D17727" s="33" t="s">
        <v>17</v>
      </c>
      <c r="E17727" s="33" t="s">
        <v>26</v>
      </c>
      <c r="F17727" s="33" t="s">
        <v>27</v>
      </c>
      <c r="G17727" s="33" t="s">
        <v>20</v>
      </c>
      <c r="H17727" s="35">
        <v>11</v>
      </c>
      <c r="I17727" s="33" t="s">
        <v>21</v>
      </c>
      <c r="J17727" s="42">
        <v>45320</v>
      </c>
      <c r="K17727" s="33" t="s">
        <v>22</v>
      </c>
    </row>
    <row r="17728" spans="1:11">
      <c r="A17728" s="30" t="s">
        <v>39624</v>
      </c>
      <c r="B17728" s="30" t="s">
        <v>39625</v>
      </c>
      <c r="C17728" s="30" t="s">
        <v>30725</v>
      </c>
      <c r="D17728" s="30" t="s">
        <v>17</v>
      </c>
      <c r="E17728" s="30" t="s">
        <v>67</v>
      </c>
      <c r="F17728" s="30" t="s">
        <v>68</v>
      </c>
      <c r="G17728" s="30" t="s">
        <v>140</v>
      </c>
      <c r="H17728" s="32">
        <v>117</v>
      </c>
      <c r="I17728" s="30" t="s">
        <v>51</v>
      </c>
      <c r="J17728" s="41">
        <v>45421</v>
      </c>
      <c r="K17728" s="30" t="s">
        <v>22</v>
      </c>
    </row>
    <row r="17729" spans="1:11">
      <c r="A17729" s="33" t="s">
        <v>39626</v>
      </c>
      <c r="B17729" s="33" t="s">
        <v>39627</v>
      </c>
      <c r="C17729" s="33" t="s">
        <v>429</v>
      </c>
      <c r="D17729" s="33" t="s">
        <v>17</v>
      </c>
      <c r="E17729" s="33" t="s">
        <v>26</v>
      </c>
      <c r="F17729" s="33" t="s">
        <v>27</v>
      </c>
      <c r="G17729" s="33" t="s">
        <v>20</v>
      </c>
      <c r="H17729" s="35">
        <v>40</v>
      </c>
      <c r="I17729" s="33" t="s">
        <v>21</v>
      </c>
      <c r="J17729" s="42">
        <v>45545</v>
      </c>
      <c r="K17729" s="33" t="s">
        <v>22</v>
      </c>
    </row>
    <row r="17730" spans="1:11">
      <c r="A17730" s="30" t="s">
        <v>39628</v>
      </c>
      <c r="B17730" s="30" t="s">
        <v>39629</v>
      </c>
      <c r="C17730" s="30" t="s">
        <v>26361</v>
      </c>
      <c r="D17730" s="30" t="s">
        <v>17</v>
      </c>
      <c r="E17730" s="30" t="s">
        <v>26</v>
      </c>
      <c r="F17730" s="30" t="s">
        <v>27</v>
      </c>
      <c r="G17730" s="30" t="s">
        <v>158</v>
      </c>
      <c r="H17730" s="32">
        <v>48</v>
      </c>
      <c r="I17730" s="30" t="s">
        <v>51</v>
      </c>
      <c r="J17730" s="41">
        <v>45378</v>
      </c>
      <c r="K17730" s="30" t="s">
        <v>22</v>
      </c>
    </row>
    <row r="17731" spans="1:11">
      <c r="A17731" s="33" t="s">
        <v>39630</v>
      </c>
      <c r="B17731" s="33" t="s">
        <v>39631</v>
      </c>
      <c r="C17731" s="33" t="s">
        <v>11128</v>
      </c>
      <c r="D17731" s="33" t="s">
        <v>17</v>
      </c>
      <c r="E17731" s="33" t="s">
        <v>26</v>
      </c>
      <c r="F17731" s="33" t="s">
        <v>27</v>
      </c>
      <c r="G17731" s="33" t="s">
        <v>7780</v>
      </c>
      <c r="H17731" s="35">
        <v>38</v>
      </c>
      <c r="I17731" s="33" t="s">
        <v>51</v>
      </c>
      <c r="J17731" s="42">
        <v>45652</v>
      </c>
      <c r="K17731" s="33" t="s">
        <v>22</v>
      </c>
    </row>
    <row r="17732" spans="1:11">
      <c r="A17732" s="30" t="s">
        <v>39632</v>
      </c>
      <c r="B17732" s="30" t="s">
        <v>39633</v>
      </c>
      <c r="C17732" s="30" t="s">
        <v>39634</v>
      </c>
      <c r="D17732" s="30" t="s">
        <v>17</v>
      </c>
      <c r="E17732" s="30" t="s">
        <v>67</v>
      </c>
      <c r="F17732" s="30" t="s">
        <v>68</v>
      </c>
      <c r="G17732" s="30" t="s">
        <v>50</v>
      </c>
      <c r="H17732" s="32">
        <v>165</v>
      </c>
      <c r="I17732" s="30" t="s">
        <v>51</v>
      </c>
      <c r="J17732" s="41">
        <v>45481</v>
      </c>
      <c r="K17732" s="30" t="s">
        <v>22</v>
      </c>
    </row>
    <row r="17733" spans="1:11">
      <c r="A17733" s="33" t="s">
        <v>39635</v>
      </c>
      <c r="B17733" s="33" t="s">
        <v>39636</v>
      </c>
      <c r="C17733" s="33" t="s">
        <v>96</v>
      </c>
      <c r="D17733" s="33" t="s">
        <v>17</v>
      </c>
      <c r="E17733" s="33" t="s">
        <v>26</v>
      </c>
      <c r="F17733" s="33" t="s">
        <v>27</v>
      </c>
      <c r="G17733" s="33" t="s">
        <v>106</v>
      </c>
      <c r="H17733" s="35">
        <v>4</v>
      </c>
      <c r="I17733" s="33" t="s">
        <v>21</v>
      </c>
      <c r="J17733" s="42">
        <v>45607</v>
      </c>
      <c r="K17733" s="33" t="s">
        <v>22</v>
      </c>
    </row>
    <row r="17734" spans="1:11">
      <c r="A17734" s="30" t="s">
        <v>39637</v>
      </c>
      <c r="B17734" s="30" t="s">
        <v>39638</v>
      </c>
      <c r="C17734" s="30" t="s">
        <v>19317</v>
      </c>
      <c r="D17734" s="30" t="s">
        <v>17</v>
      </c>
      <c r="E17734" s="30" t="s">
        <v>31</v>
      </c>
      <c r="F17734" s="30" t="s">
        <v>32</v>
      </c>
      <c r="G17734" s="30" t="s">
        <v>20</v>
      </c>
      <c r="H17734" s="32">
        <v>64</v>
      </c>
      <c r="I17734" s="30" t="s">
        <v>21</v>
      </c>
      <c r="J17734" s="41">
        <v>45512</v>
      </c>
      <c r="K17734" s="30" t="s">
        <v>22</v>
      </c>
    </row>
    <row r="17735" spans="1:11">
      <c r="A17735" s="33" t="s">
        <v>39639</v>
      </c>
      <c r="B17735" s="33" t="s">
        <v>39640</v>
      </c>
      <c r="C17735" s="33" t="s">
        <v>6735</v>
      </c>
      <c r="D17735" s="33" t="s">
        <v>17</v>
      </c>
      <c r="E17735" s="33" t="s">
        <v>18</v>
      </c>
      <c r="F17735" s="33" t="s">
        <v>19</v>
      </c>
      <c r="G17735" s="33" t="s">
        <v>20</v>
      </c>
      <c r="H17735" s="35">
        <v>410</v>
      </c>
      <c r="I17735" s="33" t="s">
        <v>21</v>
      </c>
      <c r="J17735" s="42">
        <v>45338</v>
      </c>
      <c r="K17735" s="33" t="s">
        <v>22</v>
      </c>
    </row>
    <row r="17736" spans="1:11">
      <c r="A17736" s="30" t="s">
        <v>39641</v>
      </c>
      <c r="B17736" s="30" t="s">
        <v>39642</v>
      </c>
      <c r="C17736" s="30" t="s">
        <v>15585</v>
      </c>
      <c r="D17736" s="30" t="s">
        <v>17</v>
      </c>
      <c r="E17736" s="30" t="s">
        <v>31</v>
      </c>
      <c r="F17736" s="30" t="s">
        <v>32</v>
      </c>
      <c r="G17736" s="30" t="s">
        <v>7780</v>
      </c>
      <c r="H17736" s="32">
        <v>144</v>
      </c>
      <c r="I17736" s="30" t="s">
        <v>51</v>
      </c>
      <c r="J17736" s="41">
        <v>45536</v>
      </c>
      <c r="K17736" s="30" t="s">
        <v>22</v>
      </c>
    </row>
    <row r="17737" spans="1:11">
      <c r="A17737" s="33" t="s">
        <v>39643</v>
      </c>
      <c r="B17737" s="33" t="s">
        <v>39644</v>
      </c>
      <c r="C17737" s="33" t="s">
        <v>12282</v>
      </c>
      <c r="D17737" s="33" t="s">
        <v>17</v>
      </c>
      <c r="E17737" s="33" t="s">
        <v>26</v>
      </c>
      <c r="F17737" s="33" t="s">
        <v>27</v>
      </c>
      <c r="G17737" s="33" t="s">
        <v>20</v>
      </c>
      <c r="H17737" s="35">
        <v>9</v>
      </c>
      <c r="I17737" s="33" t="s">
        <v>21</v>
      </c>
      <c r="J17737" s="42">
        <v>45531</v>
      </c>
      <c r="K17737" s="33" t="s">
        <v>22</v>
      </c>
    </row>
    <row r="17738" spans="1:11">
      <c r="A17738" s="30" t="s">
        <v>39645</v>
      </c>
      <c r="B17738" s="30" t="s">
        <v>39646</v>
      </c>
      <c r="C17738" s="30" t="s">
        <v>3177</v>
      </c>
      <c r="D17738" s="30" t="s">
        <v>17</v>
      </c>
      <c r="E17738" s="30" t="s">
        <v>18</v>
      </c>
      <c r="F17738" s="30" t="s">
        <v>19</v>
      </c>
      <c r="G17738" s="30" t="s">
        <v>140</v>
      </c>
      <c r="H17738" s="32">
        <v>700</v>
      </c>
      <c r="I17738" s="30" t="s">
        <v>51</v>
      </c>
      <c r="J17738" s="41">
        <v>45383</v>
      </c>
      <c r="K17738" s="30" t="s">
        <v>22</v>
      </c>
    </row>
    <row r="17739" spans="1:11">
      <c r="A17739" s="33" t="s">
        <v>39647</v>
      </c>
      <c r="B17739" s="33" t="s">
        <v>39648</v>
      </c>
      <c r="C17739" s="33" t="s">
        <v>1857</v>
      </c>
      <c r="D17739" s="33" t="s">
        <v>17</v>
      </c>
      <c r="E17739" s="33" t="s">
        <v>26</v>
      </c>
      <c r="F17739" s="33" t="s">
        <v>27</v>
      </c>
      <c r="G17739" s="33" t="s">
        <v>50</v>
      </c>
      <c r="H17739" s="35">
        <v>9</v>
      </c>
      <c r="I17739" s="33" t="s">
        <v>51</v>
      </c>
      <c r="J17739" s="42">
        <v>45458</v>
      </c>
      <c r="K17739" s="33" t="s">
        <v>22</v>
      </c>
    </row>
    <row r="17740" spans="1:11">
      <c r="A17740" s="30" t="s">
        <v>39649</v>
      </c>
      <c r="B17740" s="30" t="s">
        <v>39650</v>
      </c>
      <c r="C17740" s="30" t="s">
        <v>1270</v>
      </c>
      <c r="D17740" s="30" t="s">
        <v>17</v>
      </c>
      <c r="E17740" s="30" t="s">
        <v>26</v>
      </c>
      <c r="F17740" s="30" t="s">
        <v>27</v>
      </c>
      <c r="G17740" s="30" t="s">
        <v>50</v>
      </c>
      <c r="H17740" s="32">
        <v>116</v>
      </c>
      <c r="I17740" s="30" t="s">
        <v>51</v>
      </c>
      <c r="J17740" s="41">
        <v>45443</v>
      </c>
      <c r="K17740" s="30" t="s">
        <v>22</v>
      </c>
    </row>
    <row r="17741" spans="1:11">
      <c r="A17741" s="33" t="s">
        <v>39651</v>
      </c>
      <c r="B17741" s="33" t="s">
        <v>39652</v>
      </c>
      <c r="C17741" s="33" t="s">
        <v>18324</v>
      </c>
      <c r="D17741" s="33" t="s">
        <v>17</v>
      </c>
      <c r="E17741" s="33" t="s">
        <v>212</v>
      </c>
      <c r="F17741" s="33" t="s">
        <v>213</v>
      </c>
      <c r="G17741" s="33" t="s">
        <v>140</v>
      </c>
      <c r="H17741" s="35">
        <v>196</v>
      </c>
      <c r="I17741" s="33" t="s">
        <v>51</v>
      </c>
      <c r="J17741" s="42">
        <v>45440</v>
      </c>
      <c r="K17741" s="33" t="s">
        <v>22</v>
      </c>
    </row>
    <row r="17742" spans="1:11">
      <c r="A17742" s="30" t="s">
        <v>39653</v>
      </c>
      <c r="B17742" s="30" t="s">
        <v>39654</v>
      </c>
      <c r="C17742" s="30" t="s">
        <v>1270</v>
      </c>
      <c r="D17742" s="30" t="s">
        <v>17</v>
      </c>
      <c r="E17742" s="30" t="s">
        <v>26</v>
      </c>
      <c r="F17742" s="30" t="s">
        <v>27</v>
      </c>
      <c r="G17742" s="30" t="s">
        <v>7780</v>
      </c>
      <c r="H17742" s="32">
        <v>8</v>
      </c>
      <c r="I17742" s="30" t="s">
        <v>51</v>
      </c>
      <c r="J17742" s="41">
        <v>45519</v>
      </c>
      <c r="K17742" s="30" t="s">
        <v>22</v>
      </c>
    </row>
    <row r="17743" spans="1:11">
      <c r="A17743" s="33" t="s">
        <v>39655</v>
      </c>
      <c r="B17743" s="33" t="s">
        <v>39656</v>
      </c>
      <c r="C17743" s="33" t="s">
        <v>1701</v>
      </c>
      <c r="D17743" s="33" t="s">
        <v>17</v>
      </c>
      <c r="E17743" s="33" t="s">
        <v>31</v>
      </c>
      <c r="F17743" s="33" t="s">
        <v>32</v>
      </c>
      <c r="G17743" s="33" t="s">
        <v>158</v>
      </c>
      <c r="H17743" s="35">
        <v>72</v>
      </c>
      <c r="I17743" s="33" t="s">
        <v>51</v>
      </c>
      <c r="J17743" s="42">
        <v>45646</v>
      </c>
      <c r="K17743" s="33" t="s">
        <v>22</v>
      </c>
    </row>
    <row r="17744" spans="1:11">
      <c r="A17744" s="30" t="s">
        <v>39657</v>
      </c>
      <c r="B17744" s="30" t="s">
        <v>39658</v>
      </c>
      <c r="C17744" s="30" t="s">
        <v>3243</v>
      </c>
      <c r="D17744" s="30" t="s">
        <v>17</v>
      </c>
      <c r="E17744" s="30" t="s">
        <v>31</v>
      </c>
      <c r="F17744" s="30" t="s">
        <v>32</v>
      </c>
      <c r="G17744" s="30" t="s">
        <v>158</v>
      </c>
      <c r="H17744" s="32">
        <v>42</v>
      </c>
      <c r="I17744" s="30" t="s">
        <v>51</v>
      </c>
      <c r="J17744" s="41">
        <v>45517</v>
      </c>
      <c r="K17744" s="30" t="s">
        <v>22</v>
      </c>
    </row>
    <row r="17745" spans="1:11">
      <c r="A17745" s="33" t="s">
        <v>39659</v>
      </c>
      <c r="B17745" s="33" t="s">
        <v>39660</v>
      </c>
      <c r="C17745" s="33" t="s">
        <v>20240</v>
      </c>
      <c r="D17745" s="33" t="s">
        <v>17</v>
      </c>
      <c r="E17745" s="33" t="s">
        <v>26</v>
      </c>
      <c r="F17745" s="33" t="s">
        <v>27</v>
      </c>
      <c r="G17745" s="33" t="s">
        <v>7780</v>
      </c>
      <c r="H17745" s="35">
        <v>52</v>
      </c>
      <c r="I17745" s="33" t="s">
        <v>51</v>
      </c>
      <c r="J17745" s="42">
        <v>45571</v>
      </c>
      <c r="K17745" s="33" t="s">
        <v>22</v>
      </c>
    </row>
    <row r="17746" spans="1:11">
      <c r="A17746" s="30" t="s">
        <v>39661</v>
      </c>
      <c r="B17746" s="30" t="s">
        <v>39662</v>
      </c>
      <c r="C17746" s="30" t="s">
        <v>10914</v>
      </c>
      <c r="D17746" s="30" t="s">
        <v>17</v>
      </c>
      <c r="E17746" s="30" t="s">
        <v>26</v>
      </c>
      <c r="F17746" s="30" t="s">
        <v>27</v>
      </c>
      <c r="G17746" s="30" t="s">
        <v>106</v>
      </c>
      <c r="H17746" s="32">
        <v>8</v>
      </c>
      <c r="I17746" s="30" t="s">
        <v>21</v>
      </c>
      <c r="J17746" s="41">
        <v>45350</v>
      </c>
      <c r="K17746" s="30" t="s">
        <v>22</v>
      </c>
    </row>
    <row r="17747" spans="1:11">
      <c r="A17747" s="33" t="s">
        <v>39663</v>
      </c>
      <c r="B17747" s="33" t="s">
        <v>39664</v>
      </c>
      <c r="C17747" s="33" t="s">
        <v>16391</v>
      </c>
      <c r="D17747" s="33" t="s">
        <v>17</v>
      </c>
      <c r="E17747" s="33" t="s">
        <v>31</v>
      </c>
      <c r="F17747" s="33" t="s">
        <v>32</v>
      </c>
      <c r="G17747" s="33" t="s">
        <v>140</v>
      </c>
      <c r="H17747" s="35">
        <v>40</v>
      </c>
      <c r="I17747" s="33" t="s">
        <v>51</v>
      </c>
      <c r="J17747" s="42">
        <v>45488</v>
      </c>
      <c r="K17747" s="33" t="s">
        <v>22</v>
      </c>
    </row>
    <row r="17748" spans="1:11">
      <c r="A17748" s="30" t="s">
        <v>39665</v>
      </c>
      <c r="B17748" s="30" t="s">
        <v>39666</v>
      </c>
      <c r="C17748" s="30" t="s">
        <v>130</v>
      </c>
      <c r="D17748" s="30" t="s">
        <v>17</v>
      </c>
      <c r="E17748" s="30" t="s">
        <v>26</v>
      </c>
      <c r="F17748" s="30" t="s">
        <v>27</v>
      </c>
      <c r="G17748" s="30" t="s">
        <v>20</v>
      </c>
      <c r="H17748" s="32">
        <v>23</v>
      </c>
      <c r="I17748" s="30" t="s">
        <v>21</v>
      </c>
      <c r="J17748" s="41">
        <v>45349</v>
      </c>
      <c r="K17748" s="30" t="s">
        <v>22</v>
      </c>
    </row>
    <row r="17749" spans="1:11">
      <c r="A17749" s="33" t="s">
        <v>39667</v>
      </c>
      <c r="B17749" s="33" t="s">
        <v>39668</v>
      </c>
      <c r="C17749" s="33" t="s">
        <v>14816</v>
      </c>
      <c r="D17749" s="33" t="s">
        <v>17</v>
      </c>
      <c r="E17749" s="33" t="s">
        <v>26</v>
      </c>
      <c r="F17749" s="33" t="s">
        <v>27</v>
      </c>
      <c r="G17749" s="33" t="s">
        <v>140</v>
      </c>
      <c r="H17749" s="35">
        <v>206</v>
      </c>
      <c r="I17749" s="33" t="s">
        <v>51</v>
      </c>
      <c r="J17749" s="42">
        <v>45643</v>
      </c>
      <c r="K17749" s="33" t="s">
        <v>22</v>
      </c>
    </row>
    <row r="17750" spans="1:11">
      <c r="A17750" s="30" t="s">
        <v>39669</v>
      </c>
      <c r="B17750" s="30" t="s">
        <v>39670</v>
      </c>
      <c r="C17750" s="30" t="s">
        <v>8443</v>
      </c>
      <c r="D17750" s="30" t="s">
        <v>17</v>
      </c>
      <c r="E17750" s="30" t="s">
        <v>330</v>
      </c>
      <c r="F17750" s="30" t="s">
        <v>331</v>
      </c>
      <c r="G17750" s="30" t="s">
        <v>140</v>
      </c>
      <c r="H17750" s="32">
        <v>20</v>
      </c>
      <c r="I17750" s="30" t="s">
        <v>51</v>
      </c>
      <c r="J17750" s="41">
        <v>45419</v>
      </c>
      <c r="K17750" s="30" t="s">
        <v>22</v>
      </c>
    </row>
    <row r="17751" spans="1:11">
      <c r="A17751" s="33" t="s">
        <v>39671</v>
      </c>
      <c r="B17751" s="33" t="s">
        <v>39672</v>
      </c>
      <c r="C17751" s="33" t="s">
        <v>28153</v>
      </c>
      <c r="D17751" s="33" t="s">
        <v>17</v>
      </c>
      <c r="E17751" s="33" t="s">
        <v>18</v>
      </c>
      <c r="F17751" s="33" t="s">
        <v>19</v>
      </c>
      <c r="G17751" s="33" t="s">
        <v>158</v>
      </c>
      <c r="H17751" s="35">
        <v>438</v>
      </c>
      <c r="I17751" s="33" t="s">
        <v>51</v>
      </c>
      <c r="J17751" s="42">
        <v>45643</v>
      </c>
      <c r="K17751" s="33" t="s">
        <v>22</v>
      </c>
    </row>
    <row r="17752" spans="1:11">
      <c r="A17752" s="30" t="s">
        <v>39673</v>
      </c>
      <c r="B17752" s="30" t="s">
        <v>39674</v>
      </c>
      <c r="C17752" s="30" t="s">
        <v>190</v>
      </c>
      <c r="D17752" s="30" t="s">
        <v>17</v>
      </c>
      <c r="E17752" s="30" t="s">
        <v>31</v>
      </c>
      <c r="F17752" s="30" t="s">
        <v>32</v>
      </c>
      <c r="G17752" s="30" t="s">
        <v>158</v>
      </c>
      <c r="H17752" s="32">
        <v>127</v>
      </c>
      <c r="I17752" s="30" t="s">
        <v>21</v>
      </c>
      <c r="J17752" s="41">
        <v>45344</v>
      </c>
      <c r="K17752" s="30" t="s">
        <v>22</v>
      </c>
    </row>
    <row r="17753" spans="1:11">
      <c r="A17753" s="33" t="s">
        <v>39675</v>
      </c>
      <c r="B17753" s="33" t="s">
        <v>39676</v>
      </c>
      <c r="C17753" s="33" t="s">
        <v>39677</v>
      </c>
      <c r="D17753" s="33" t="s">
        <v>17</v>
      </c>
      <c r="E17753" s="33" t="s">
        <v>330</v>
      </c>
      <c r="F17753" s="33" t="s">
        <v>331</v>
      </c>
      <c r="G17753" s="33" t="s">
        <v>140</v>
      </c>
      <c r="H17753" s="35">
        <v>28</v>
      </c>
      <c r="I17753" s="33" t="s">
        <v>51</v>
      </c>
      <c r="J17753" s="42">
        <v>45537</v>
      </c>
      <c r="K17753" s="33" t="s">
        <v>22</v>
      </c>
    </row>
    <row r="17754" spans="1:11">
      <c r="A17754" s="30" t="s">
        <v>39678</v>
      </c>
      <c r="B17754" s="30" t="s">
        <v>39679</v>
      </c>
      <c r="C17754" s="30" t="s">
        <v>190</v>
      </c>
      <c r="D17754" s="30" t="s">
        <v>17</v>
      </c>
      <c r="E17754" s="30" t="s">
        <v>26</v>
      </c>
      <c r="F17754" s="30" t="s">
        <v>27</v>
      </c>
      <c r="G17754" s="30" t="s">
        <v>20</v>
      </c>
      <c r="H17754" s="32">
        <v>41</v>
      </c>
      <c r="I17754" s="30" t="s">
        <v>21</v>
      </c>
      <c r="J17754" s="41">
        <v>45614</v>
      </c>
      <c r="K17754" s="30" t="s">
        <v>22</v>
      </c>
    </row>
    <row r="17755" spans="1:11">
      <c r="A17755" s="33" t="s">
        <v>39680</v>
      </c>
      <c r="B17755" s="33" t="s">
        <v>39681</v>
      </c>
      <c r="C17755" s="33" t="s">
        <v>4260</v>
      </c>
      <c r="D17755" s="33" t="s">
        <v>17</v>
      </c>
      <c r="E17755" s="33" t="s">
        <v>18</v>
      </c>
      <c r="F17755" s="33" t="s">
        <v>19</v>
      </c>
      <c r="G17755" s="33" t="s">
        <v>20</v>
      </c>
      <c r="H17755" s="35">
        <v>192</v>
      </c>
      <c r="I17755" s="33" t="s">
        <v>21</v>
      </c>
      <c r="J17755" s="42">
        <v>45393</v>
      </c>
      <c r="K17755" s="33" t="s">
        <v>22</v>
      </c>
    </row>
    <row r="17756" spans="1:11">
      <c r="A17756" s="30" t="s">
        <v>39682</v>
      </c>
      <c r="B17756" s="30" t="s">
        <v>39683</v>
      </c>
      <c r="C17756" s="30" t="s">
        <v>39684</v>
      </c>
      <c r="D17756" s="30" t="s">
        <v>17</v>
      </c>
      <c r="E17756" s="30" t="s">
        <v>212</v>
      </c>
      <c r="F17756" s="30" t="s">
        <v>213</v>
      </c>
      <c r="G17756" s="30" t="s">
        <v>140</v>
      </c>
      <c r="H17756" s="32">
        <v>400</v>
      </c>
      <c r="I17756" s="30" t="s">
        <v>51</v>
      </c>
      <c r="J17756" s="41">
        <v>45513</v>
      </c>
      <c r="K17756" s="30" t="s">
        <v>22</v>
      </c>
    </row>
    <row r="17757" spans="1:11">
      <c r="A17757" s="33" t="s">
        <v>39685</v>
      </c>
      <c r="B17757" s="33" t="s">
        <v>39686</v>
      </c>
      <c r="C17757" s="33" t="s">
        <v>990</v>
      </c>
      <c r="D17757" s="33" t="s">
        <v>17</v>
      </c>
      <c r="E17757" s="33" t="s">
        <v>26</v>
      </c>
      <c r="F17757" s="33" t="s">
        <v>27</v>
      </c>
      <c r="G17757" s="33" t="s">
        <v>20</v>
      </c>
      <c r="H17757" s="35">
        <v>153</v>
      </c>
      <c r="I17757" s="33" t="s">
        <v>21</v>
      </c>
      <c r="J17757" s="42">
        <v>45371</v>
      </c>
      <c r="K17757" s="33" t="s">
        <v>22</v>
      </c>
    </row>
    <row r="17758" spans="1:11">
      <c r="A17758" s="30" t="s">
        <v>39687</v>
      </c>
      <c r="B17758" s="30" t="s">
        <v>39688</v>
      </c>
      <c r="C17758" s="30" t="s">
        <v>21337</v>
      </c>
      <c r="D17758" s="30" t="s">
        <v>17</v>
      </c>
      <c r="E17758" s="30" t="s">
        <v>67</v>
      </c>
      <c r="F17758" s="30" t="s">
        <v>68</v>
      </c>
      <c r="G17758" s="30" t="s">
        <v>112</v>
      </c>
      <c r="H17758" s="32">
        <v>0</v>
      </c>
      <c r="I17758" s="30" t="s">
        <v>21</v>
      </c>
      <c r="J17758" s="41">
        <v>45337</v>
      </c>
      <c r="K17758" s="30" t="s">
        <v>22</v>
      </c>
    </row>
    <row r="17759" spans="1:11">
      <c r="A17759" s="33" t="s">
        <v>39689</v>
      </c>
      <c r="B17759" s="33" t="s">
        <v>39690</v>
      </c>
      <c r="C17759" s="33" t="s">
        <v>7393</v>
      </c>
      <c r="D17759" s="33" t="s">
        <v>17</v>
      </c>
      <c r="E17759" s="33" t="s">
        <v>18</v>
      </c>
      <c r="F17759" s="33" t="s">
        <v>19</v>
      </c>
      <c r="G17759" s="33" t="s">
        <v>140</v>
      </c>
      <c r="H17759" s="35">
        <v>410</v>
      </c>
      <c r="I17759" s="33" t="s">
        <v>51</v>
      </c>
      <c r="J17759" s="42">
        <v>45302</v>
      </c>
      <c r="K17759" s="33" t="s">
        <v>22</v>
      </c>
    </row>
    <row r="17760" spans="1:11">
      <c r="A17760" s="30" t="s">
        <v>39691</v>
      </c>
      <c r="B17760" s="30" t="s">
        <v>39692</v>
      </c>
      <c r="C17760" s="30" t="s">
        <v>25444</v>
      </c>
      <c r="D17760" s="30" t="s">
        <v>17</v>
      </c>
      <c r="E17760" s="30" t="s">
        <v>67</v>
      </c>
      <c r="F17760" s="30" t="s">
        <v>68</v>
      </c>
      <c r="G17760" s="30" t="s">
        <v>140</v>
      </c>
      <c r="H17760" s="32">
        <v>106</v>
      </c>
      <c r="I17760" s="30" t="s">
        <v>51</v>
      </c>
      <c r="J17760" s="41">
        <v>45462</v>
      </c>
      <c r="K17760" s="30" t="s">
        <v>22</v>
      </c>
    </row>
    <row r="17761" spans="1:11">
      <c r="A17761" s="33" t="s">
        <v>39693</v>
      </c>
      <c r="B17761" s="33" t="s">
        <v>39694</v>
      </c>
      <c r="C17761" s="33" t="s">
        <v>44</v>
      </c>
      <c r="D17761" s="33" t="s">
        <v>17</v>
      </c>
      <c r="E17761" s="33" t="s">
        <v>31</v>
      </c>
      <c r="F17761" s="33" t="s">
        <v>32</v>
      </c>
      <c r="G17761" s="33" t="s">
        <v>140</v>
      </c>
      <c r="H17761" s="35">
        <v>120</v>
      </c>
      <c r="I17761" s="33" t="s">
        <v>51</v>
      </c>
      <c r="J17761" s="42">
        <v>45614</v>
      </c>
      <c r="K17761" s="33" t="s">
        <v>22</v>
      </c>
    </row>
    <row r="17762" spans="1:11">
      <c r="A17762" s="30" t="s">
        <v>39695</v>
      </c>
      <c r="B17762" s="30" t="s">
        <v>39696</v>
      </c>
      <c r="C17762" s="30" t="s">
        <v>17501</v>
      </c>
      <c r="D17762" s="30" t="s">
        <v>17</v>
      </c>
      <c r="E17762" s="30" t="s">
        <v>31</v>
      </c>
      <c r="F17762" s="30" t="s">
        <v>32</v>
      </c>
      <c r="G17762" s="30" t="s">
        <v>20</v>
      </c>
      <c r="H17762" s="32">
        <v>222</v>
      </c>
      <c r="I17762" s="30" t="s">
        <v>21</v>
      </c>
      <c r="J17762" s="41">
        <v>45590</v>
      </c>
      <c r="K17762" s="30" t="s">
        <v>22</v>
      </c>
    </row>
    <row r="17763" spans="1:11">
      <c r="A17763" s="33" t="s">
        <v>39697</v>
      </c>
      <c r="B17763" s="33" t="s">
        <v>39698</v>
      </c>
      <c r="C17763" s="33" t="s">
        <v>39699</v>
      </c>
      <c r="D17763" s="33" t="s">
        <v>17</v>
      </c>
      <c r="E17763" s="33" t="s">
        <v>26</v>
      </c>
      <c r="F17763" s="33" t="s">
        <v>27</v>
      </c>
      <c r="G17763" s="33" t="s">
        <v>140</v>
      </c>
      <c r="H17763" s="35">
        <v>110</v>
      </c>
      <c r="I17763" s="33" t="s">
        <v>51</v>
      </c>
      <c r="J17763" s="42">
        <v>45302</v>
      </c>
      <c r="K17763" s="33" t="s">
        <v>22</v>
      </c>
    </row>
    <row r="17764" spans="1:11">
      <c r="A17764" s="30" t="s">
        <v>39700</v>
      </c>
      <c r="B17764" s="30" t="s">
        <v>39701</v>
      </c>
      <c r="C17764" s="30" t="s">
        <v>34100</v>
      </c>
      <c r="D17764" s="30" t="s">
        <v>17</v>
      </c>
      <c r="E17764" s="30" t="s">
        <v>26</v>
      </c>
      <c r="F17764" s="30" t="s">
        <v>27</v>
      </c>
      <c r="G17764" s="30" t="s">
        <v>140</v>
      </c>
      <c r="H17764" s="32">
        <v>7</v>
      </c>
      <c r="I17764" s="30" t="s">
        <v>51</v>
      </c>
      <c r="J17764" s="41">
        <v>45555</v>
      </c>
      <c r="K17764" s="30" t="s">
        <v>22</v>
      </c>
    </row>
    <row r="17765" spans="1:11">
      <c r="A17765" s="33" t="s">
        <v>39702</v>
      </c>
      <c r="B17765" s="33" t="s">
        <v>39703</v>
      </c>
      <c r="C17765" s="33" t="s">
        <v>39704</v>
      </c>
      <c r="D17765" s="33" t="s">
        <v>17</v>
      </c>
      <c r="E17765" s="33" t="s">
        <v>31</v>
      </c>
      <c r="F17765" s="33" t="s">
        <v>32</v>
      </c>
      <c r="G17765" s="33" t="s">
        <v>106</v>
      </c>
      <c r="H17765" s="35">
        <v>1</v>
      </c>
      <c r="I17765" s="33" t="s">
        <v>21</v>
      </c>
      <c r="J17765" s="42">
        <v>45617</v>
      </c>
      <c r="K17765" s="33" t="s">
        <v>22</v>
      </c>
    </row>
    <row r="17766" spans="1:11">
      <c r="A17766" s="30" t="s">
        <v>39705</v>
      </c>
      <c r="B17766" s="30" t="s">
        <v>39706</v>
      </c>
      <c r="C17766" s="30" t="s">
        <v>969</v>
      </c>
      <c r="D17766" s="30" t="s">
        <v>17</v>
      </c>
      <c r="E17766" s="30" t="s">
        <v>26</v>
      </c>
      <c r="F17766" s="30" t="s">
        <v>27</v>
      </c>
      <c r="G17766" s="30" t="s">
        <v>20</v>
      </c>
      <c r="H17766" s="32">
        <v>106</v>
      </c>
      <c r="I17766" s="30" t="s">
        <v>21</v>
      </c>
      <c r="J17766" s="41">
        <v>45607</v>
      </c>
      <c r="K17766" s="30" t="s">
        <v>22</v>
      </c>
    </row>
    <row r="17767" spans="1:11">
      <c r="A17767" s="33" t="s">
        <v>39707</v>
      </c>
      <c r="B17767" s="33" t="s">
        <v>39708</v>
      </c>
      <c r="C17767" s="33" t="s">
        <v>39363</v>
      </c>
      <c r="D17767" s="33" t="s">
        <v>17</v>
      </c>
      <c r="E17767" s="33" t="s">
        <v>31</v>
      </c>
      <c r="F17767" s="33" t="s">
        <v>32</v>
      </c>
      <c r="G17767" s="33" t="s">
        <v>158</v>
      </c>
      <c r="H17767" s="35">
        <v>258</v>
      </c>
      <c r="I17767" s="33" t="s">
        <v>21</v>
      </c>
      <c r="J17767" s="42">
        <v>45657</v>
      </c>
      <c r="K17767" s="33" t="s">
        <v>22</v>
      </c>
    </row>
    <row r="17768" spans="1:11">
      <c r="A17768" s="30" t="s">
        <v>39709</v>
      </c>
      <c r="B17768" s="30" t="s">
        <v>39710</v>
      </c>
      <c r="C17768" s="30" t="s">
        <v>39711</v>
      </c>
      <c r="D17768" s="30" t="s">
        <v>17</v>
      </c>
      <c r="E17768" s="30" t="s">
        <v>26</v>
      </c>
      <c r="F17768" s="30" t="s">
        <v>27</v>
      </c>
      <c r="G17768" s="30" t="s">
        <v>20</v>
      </c>
      <c r="H17768" s="32">
        <v>16</v>
      </c>
      <c r="I17768" s="30" t="s">
        <v>21</v>
      </c>
      <c r="J17768" s="41">
        <v>45604</v>
      </c>
      <c r="K17768" s="30" t="s">
        <v>22</v>
      </c>
    </row>
    <row r="17769" spans="1:11">
      <c r="A17769" s="33" t="s">
        <v>39712</v>
      </c>
      <c r="B17769" s="33" t="s">
        <v>39713</v>
      </c>
      <c r="C17769" s="33" t="s">
        <v>1112</v>
      </c>
      <c r="D17769" s="33" t="s">
        <v>17</v>
      </c>
      <c r="E17769" s="33" t="s">
        <v>18</v>
      </c>
      <c r="F17769" s="33" t="s">
        <v>19</v>
      </c>
      <c r="G17769" s="33" t="s">
        <v>20</v>
      </c>
      <c r="H17769" s="35">
        <v>356</v>
      </c>
      <c r="I17769" s="33" t="s">
        <v>21</v>
      </c>
      <c r="J17769" s="42">
        <v>45422</v>
      </c>
      <c r="K17769" s="33" t="s">
        <v>22</v>
      </c>
    </row>
    <row r="17770" spans="1:11">
      <c r="A17770" s="30" t="s">
        <v>39714</v>
      </c>
      <c r="B17770" s="30" t="s">
        <v>39715</v>
      </c>
      <c r="C17770" s="30" t="s">
        <v>14842</v>
      </c>
      <c r="D17770" s="30" t="s">
        <v>17</v>
      </c>
      <c r="E17770" s="30" t="s">
        <v>212</v>
      </c>
      <c r="F17770" s="30" t="s">
        <v>213</v>
      </c>
      <c r="G17770" s="30" t="s">
        <v>140</v>
      </c>
      <c r="H17770" s="32">
        <v>160</v>
      </c>
      <c r="I17770" s="30" t="s">
        <v>51</v>
      </c>
      <c r="J17770" s="41">
        <v>45299</v>
      </c>
      <c r="K17770" s="30" t="s">
        <v>22</v>
      </c>
    </row>
    <row r="17771" spans="1:11">
      <c r="A17771" s="33" t="s">
        <v>39716</v>
      </c>
      <c r="B17771" s="33" t="s">
        <v>39717</v>
      </c>
      <c r="C17771" s="33" t="s">
        <v>15650</v>
      </c>
      <c r="D17771" s="33" t="s">
        <v>17</v>
      </c>
      <c r="E17771" s="33" t="s">
        <v>31</v>
      </c>
      <c r="F17771" s="33" t="s">
        <v>32</v>
      </c>
      <c r="G17771" s="33" t="s">
        <v>20</v>
      </c>
      <c r="H17771" s="35">
        <v>469</v>
      </c>
      <c r="I17771" s="33" t="s">
        <v>21</v>
      </c>
      <c r="J17771" s="42">
        <v>45520</v>
      </c>
      <c r="K17771" s="33" t="s">
        <v>22</v>
      </c>
    </row>
    <row r="17772" spans="1:11">
      <c r="A17772" s="30" t="s">
        <v>39718</v>
      </c>
      <c r="B17772" s="30" t="s">
        <v>39719</v>
      </c>
      <c r="C17772" s="30" t="s">
        <v>39720</v>
      </c>
      <c r="D17772" s="30" t="s">
        <v>17</v>
      </c>
      <c r="E17772" s="30" t="s">
        <v>26</v>
      </c>
      <c r="F17772" s="30" t="s">
        <v>27</v>
      </c>
      <c r="G17772" s="30" t="s">
        <v>140</v>
      </c>
      <c r="H17772" s="32">
        <v>82</v>
      </c>
      <c r="I17772" s="30" t="s">
        <v>51</v>
      </c>
      <c r="J17772" s="41">
        <v>45328</v>
      </c>
      <c r="K17772" s="30" t="s">
        <v>22</v>
      </c>
    </row>
    <row r="17773" spans="1:11">
      <c r="A17773" s="33" t="s">
        <v>39721</v>
      </c>
      <c r="B17773" s="33" t="s">
        <v>39722</v>
      </c>
      <c r="C17773" s="33" t="s">
        <v>96</v>
      </c>
      <c r="D17773" s="33" t="s">
        <v>17</v>
      </c>
      <c r="E17773" s="33" t="s">
        <v>31</v>
      </c>
      <c r="F17773" s="33" t="s">
        <v>32</v>
      </c>
      <c r="G17773" s="33" t="s">
        <v>20</v>
      </c>
      <c r="H17773" s="35">
        <v>225</v>
      </c>
      <c r="I17773" s="33" t="s">
        <v>21</v>
      </c>
      <c r="J17773" s="42">
        <v>45503</v>
      </c>
      <c r="K17773" s="33" t="s">
        <v>22</v>
      </c>
    </row>
    <row r="17774" spans="1:11">
      <c r="A17774" s="30" t="s">
        <v>39723</v>
      </c>
      <c r="B17774" s="30" t="s">
        <v>39724</v>
      </c>
      <c r="C17774" s="30" t="s">
        <v>149</v>
      </c>
      <c r="D17774" s="30" t="s">
        <v>17</v>
      </c>
      <c r="E17774" s="30" t="s">
        <v>18</v>
      </c>
      <c r="F17774" s="30" t="s">
        <v>19</v>
      </c>
      <c r="G17774" s="30" t="s">
        <v>140</v>
      </c>
      <c r="H17774" s="32">
        <v>130</v>
      </c>
      <c r="I17774" s="30" t="s">
        <v>51</v>
      </c>
      <c r="J17774" s="41">
        <v>45327</v>
      </c>
      <c r="K17774" s="30" t="s">
        <v>22</v>
      </c>
    </row>
    <row r="17775" spans="1:11">
      <c r="A17775" s="33" t="s">
        <v>39725</v>
      </c>
      <c r="B17775" s="33" t="s">
        <v>39726</v>
      </c>
      <c r="C17775" s="33" t="s">
        <v>39727</v>
      </c>
      <c r="D17775" s="33" t="s">
        <v>17</v>
      </c>
      <c r="E17775" s="33" t="s">
        <v>67</v>
      </c>
      <c r="F17775" s="33" t="s">
        <v>68</v>
      </c>
      <c r="G17775" s="33" t="s">
        <v>158</v>
      </c>
      <c r="H17775" s="35">
        <v>6</v>
      </c>
      <c r="I17775" s="33" t="s">
        <v>51</v>
      </c>
      <c r="J17775" s="42">
        <v>45423</v>
      </c>
      <c r="K17775" s="33" t="s">
        <v>22</v>
      </c>
    </row>
    <row r="17776" spans="1:11">
      <c r="A17776" s="30" t="s">
        <v>39728</v>
      </c>
      <c r="B17776" s="30" t="s">
        <v>39729</v>
      </c>
      <c r="C17776" s="30" t="s">
        <v>5158</v>
      </c>
      <c r="D17776" s="30" t="s">
        <v>17</v>
      </c>
      <c r="E17776" s="30" t="s">
        <v>31</v>
      </c>
      <c r="F17776" s="30" t="s">
        <v>32</v>
      </c>
      <c r="G17776" s="30" t="s">
        <v>158</v>
      </c>
      <c r="H17776" s="32">
        <v>180</v>
      </c>
      <c r="I17776" s="30" t="s">
        <v>51</v>
      </c>
      <c r="J17776" s="41">
        <v>45322</v>
      </c>
      <c r="K17776" s="30" t="s">
        <v>22</v>
      </c>
    </row>
    <row r="17777" spans="1:11">
      <c r="A17777" s="33" t="s">
        <v>39730</v>
      </c>
      <c r="B17777" s="33" t="s">
        <v>39731</v>
      </c>
      <c r="C17777" s="33" t="s">
        <v>44</v>
      </c>
      <c r="D17777" s="33" t="s">
        <v>17</v>
      </c>
      <c r="E17777" s="33" t="s">
        <v>18</v>
      </c>
      <c r="F17777" s="33" t="s">
        <v>19</v>
      </c>
      <c r="G17777" s="33" t="s">
        <v>158</v>
      </c>
      <c r="H17777" s="35">
        <v>216</v>
      </c>
      <c r="I17777" s="33" t="s">
        <v>21</v>
      </c>
      <c r="J17777" s="42">
        <v>45337</v>
      </c>
      <c r="K17777" s="33" t="s">
        <v>22</v>
      </c>
    </row>
    <row r="17778" spans="1:11">
      <c r="A17778" s="30" t="s">
        <v>39732</v>
      </c>
      <c r="B17778" s="30" t="s">
        <v>39733</v>
      </c>
      <c r="C17778" s="30" t="s">
        <v>4717</v>
      </c>
      <c r="D17778" s="30" t="s">
        <v>17</v>
      </c>
      <c r="E17778" s="30" t="s">
        <v>31</v>
      </c>
      <c r="F17778" s="30" t="s">
        <v>32</v>
      </c>
      <c r="G17778" s="30" t="s">
        <v>20</v>
      </c>
      <c r="H17778" s="32">
        <v>43</v>
      </c>
      <c r="I17778" s="30" t="s">
        <v>21</v>
      </c>
      <c r="J17778" s="41">
        <v>45545</v>
      </c>
      <c r="K17778" s="30" t="s">
        <v>22</v>
      </c>
    </row>
    <row r="17779" spans="1:11">
      <c r="A17779" s="33" t="s">
        <v>39734</v>
      </c>
      <c r="B17779" s="33" t="s">
        <v>39735</v>
      </c>
      <c r="C17779" s="33" t="s">
        <v>22560</v>
      </c>
      <c r="D17779" s="33" t="s">
        <v>17</v>
      </c>
      <c r="E17779" s="33" t="s">
        <v>31</v>
      </c>
      <c r="F17779" s="33" t="s">
        <v>32</v>
      </c>
      <c r="G17779" s="33" t="s">
        <v>2613</v>
      </c>
      <c r="H17779" s="35">
        <v>90</v>
      </c>
      <c r="I17779" s="33" t="s">
        <v>51</v>
      </c>
      <c r="J17779" s="42">
        <v>45565</v>
      </c>
      <c r="K17779" s="33" t="s">
        <v>22</v>
      </c>
    </row>
    <row r="17780" spans="1:11">
      <c r="A17780" s="30" t="s">
        <v>39736</v>
      </c>
      <c r="B17780" s="30" t="s">
        <v>39737</v>
      </c>
      <c r="C17780" s="30" t="s">
        <v>216</v>
      </c>
      <c r="D17780" s="30" t="s">
        <v>17</v>
      </c>
      <c r="E17780" s="30" t="s">
        <v>45</v>
      </c>
      <c r="F17780" s="30" t="s">
        <v>46</v>
      </c>
      <c r="G17780" s="30" t="s">
        <v>106</v>
      </c>
      <c r="H17780" s="32">
        <v>5</v>
      </c>
      <c r="I17780" s="30" t="s">
        <v>21</v>
      </c>
      <c r="J17780" s="41">
        <v>45391</v>
      </c>
      <c r="K17780" s="30" t="s">
        <v>22</v>
      </c>
    </row>
    <row r="17781" spans="1:11">
      <c r="A17781" s="33" t="s">
        <v>39738</v>
      </c>
      <c r="B17781" s="33" t="s">
        <v>39739</v>
      </c>
      <c r="C17781" s="33" t="s">
        <v>39740</v>
      </c>
      <c r="D17781" s="33" t="s">
        <v>17</v>
      </c>
      <c r="E17781" s="33" t="s">
        <v>26</v>
      </c>
      <c r="F17781" s="33" t="s">
        <v>27</v>
      </c>
      <c r="G17781" s="33" t="s">
        <v>158</v>
      </c>
      <c r="H17781" s="35">
        <v>30</v>
      </c>
      <c r="I17781" s="33" t="s">
        <v>51</v>
      </c>
      <c r="J17781" s="42">
        <v>45441</v>
      </c>
      <c r="K17781" s="33" t="s">
        <v>22</v>
      </c>
    </row>
    <row r="17782" spans="1:11">
      <c r="A17782" s="30" t="s">
        <v>39741</v>
      </c>
      <c r="B17782" s="30" t="s">
        <v>39742</v>
      </c>
      <c r="C17782" s="30" t="s">
        <v>2842</v>
      </c>
      <c r="D17782" s="30" t="s">
        <v>17</v>
      </c>
      <c r="E17782" s="30" t="s">
        <v>18</v>
      </c>
      <c r="F17782" s="30" t="s">
        <v>19</v>
      </c>
      <c r="G17782" s="30" t="s">
        <v>140</v>
      </c>
      <c r="H17782" s="32">
        <v>300</v>
      </c>
      <c r="I17782" s="30" t="s">
        <v>51</v>
      </c>
      <c r="J17782" s="41">
        <v>45316</v>
      </c>
      <c r="K17782" s="30" t="s">
        <v>22</v>
      </c>
    </row>
    <row r="17783" spans="1:11">
      <c r="A17783" s="33" t="s">
        <v>39743</v>
      </c>
      <c r="B17783" s="33" t="s">
        <v>39744</v>
      </c>
      <c r="C17783" s="33" t="s">
        <v>1305</v>
      </c>
      <c r="D17783" s="33" t="s">
        <v>17</v>
      </c>
      <c r="E17783" s="33" t="s">
        <v>31</v>
      </c>
      <c r="F17783" s="33" t="s">
        <v>32</v>
      </c>
      <c r="G17783" s="33" t="s">
        <v>140</v>
      </c>
      <c r="H17783" s="35">
        <v>641</v>
      </c>
      <c r="I17783" s="33" t="s">
        <v>51</v>
      </c>
      <c r="J17783" s="42">
        <v>45575</v>
      </c>
      <c r="K17783" s="33" t="s">
        <v>22</v>
      </c>
    </row>
    <row r="17784" spans="1:11">
      <c r="A17784" s="30" t="s">
        <v>39745</v>
      </c>
      <c r="B17784" s="30" t="s">
        <v>39746</v>
      </c>
      <c r="C17784" s="30" t="s">
        <v>21136</v>
      </c>
      <c r="D17784" s="30" t="s">
        <v>17</v>
      </c>
      <c r="E17784" s="30" t="s">
        <v>18</v>
      </c>
      <c r="F17784" s="30" t="s">
        <v>19</v>
      </c>
      <c r="G17784" s="30" t="s">
        <v>20</v>
      </c>
      <c r="H17784" s="32">
        <v>297</v>
      </c>
      <c r="I17784" s="30" t="s">
        <v>21</v>
      </c>
      <c r="J17784" s="41">
        <v>45432</v>
      </c>
      <c r="K17784" s="30" t="s">
        <v>22</v>
      </c>
    </row>
    <row r="17785" spans="1:11">
      <c r="A17785" s="33" t="s">
        <v>39747</v>
      </c>
      <c r="B17785" s="33" t="s">
        <v>39748</v>
      </c>
      <c r="C17785" s="33" t="s">
        <v>310</v>
      </c>
      <c r="D17785" s="33" t="s">
        <v>17</v>
      </c>
      <c r="E17785" s="33" t="s">
        <v>26</v>
      </c>
      <c r="F17785" s="33" t="s">
        <v>27</v>
      </c>
      <c r="G17785" s="33" t="s">
        <v>20</v>
      </c>
      <c r="H17785" s="35">
        <v>82</v>
      </c>
      <c r="I17785" s="33" t="s">
        <v>21</v>
      </c>
      <c r="J17785" s="42">
        <v>45511</v>
      </c>
      <c r="K17785" s="33" t="s">
        <v>22</v>
      </c>
    </row>
    <row r="17786" spans="1:11">
      <c r="A17786" s="30" t="s">
        <v>39749</v>
      </c>
      <c r="B17786" s="30" t="s">
        <v>39750</v>
      </c>
      <c r="C17786" s="30" t="s">
        <v>34124</v>
      </c>
      <c r="D17786" s="30" t="s">
        <v>17</v>
      </c>
      <c r="E17786" s="30" t="s">
        <v>26</v>
      </c>
      <c r="F17786" s="30" t="s">
        <v>27</v>
      </c>
      <c r="G17786" s="30" t="s">
        <v>140</v>
      </c>
      <c r="H17786" s="32">
        <v>100</v>
      </c>
      <c r="I17786" s="30" t="s">
        <v>51</v>
      </c>
      <c r="J17786" s="41">
        <v>45408</v>
      </c>
      <c r="K17786" s="30" t="s">
        <v>22</v>
      </c>
    </row>
    <row r="17787" spans="1:11">
      <c r="A17787" s="33" t="s">
        <v>39751</v>
      </c>
      <c r="B17787" s="33" t="s">
        <v>39752</v>
      </c>
      <c r="C17787" s="33" t="s">
        <v>39753</v>
      </c>
      <c r="D17787" s="33" t="s">
        <v>17</v>
      </c>
      <c r="E17787" s="33" t="s">
        <v>212</v>
      </c>
      <c r="F17787" s="33" t="s">
        <v>213</v>
      </c>
      <c r="G17787" s="33" t="s">
        <v>20</v>
      </c>
      <c r="H17787" s="35">
        <v>30</v>
      </c>
      <c r="I17787" s="33" t="s">
        <v>21</v>
      </c>
      <c r="J17787" s="42">
        <v>45555</v>
      </c>
      <c r="K17787" s="33" t="s">
        <v>22</v>
      </c>
    </row>
    <row r="17788" spans="1:11">
      <c r="A17788" s="30" t="s">
        <v>39754</v>
      </c>
      <c r="B17788" s="30" t="s">
        <v>39755</v>
      </c>
      <c r="C17788" s="30" t="s">
        <v>6127</v>
      </c>
      <c r="D17788" s="30" t="s">
        <v>17</v>
      </c>
      <c r="E17788" s="30" t="s">
        <v>67</v>
      </c>
      <c r="F17788" s="30" t="s">
        <v>68</v>
      </c>
      <c r="G17788" s="30" t="s">
        <v>158</v>
      </c>
      <c r="H17788" s="32">
        <v>89</v>
      </c>
      <c r="I17788" s="30" t="s">
        <v>21</v>
      </c>
      <c r="J17788" s="41">
        <v>45603</v>
      </c>
      <c r="K17788" s="30" t="s">
        <v>22</v>
      </c>
    </row>
    <row r="17789" spans="1:11">
      <c r="A17789" s="33" t="s">
        <v>39756</v>
      </c>
      <c r="B17789" s="33" t="s">
        <v>39757</v>
      </c>
      <c r="C17789" s="33" t="s">
        <v>39758</v>
      </c>
      <c r="D17789" s="33" t="s">
        <v>17</v>
      </c>
      <c r="E17789" s="33" t="s">
        <v>26</v>
      </c>
      <c r="F17789" s="33" t="s">
        <v>27</v>
      </c>
      <c r="G17789" s="33" t="s">
        <v>140</v>
      </c>
      <c r="H17789" s="35">
        <v>45</v>
      </c>
      <c r="I17789" s="33" t="s">
        <v>51</v>
      </c>
      <c r="J17789" s="42">
        <v>45538</v>
      </c>
      <c r="K17789" s="33" t="s">
        <v>22</v>
      </c>
    </row>
    <row r="17790" spans="1:11">
      <c r="A17790" s="30" t="s">
        <v>39759</v>
      </c>
      <c r="B17790" s="30" t="s">
        <v>39760</v>
      </c>
      <c r="C17790" s="30" t="s">
        <v>387</v>
      </c>
      <c r="D17790" s="30" t="s">
        <v>17</v>
      </c>
      <c r="E17790" s="30" t="s">
        <v>26</v>
      </c>
      <c r="F17790" s="30" t="s">
        <v>27</v>
      </c>
      <c r="G17790" s="30" t="s">
        <v>158</v>
      </c>
      <c r="H17790" s="32">
        <v>20</v>
      </c>
      <c r="I17790" s="30" t="s">
        <v>21</v>
      </c>
      <c r="J17790" s="41">
        <v>45554</v>
      </c>
      <c r="K17790" s="30" t="s">
        <v>22</v>
      </c>
    </row>
    <row r="17791" spans="1:11">
      <c r="A17791" s="33" t="s">
        <v>39761</v>
      </c>
      <c r="B17791" s="33" t="s">
        <v>39762</v>
      </c>
      <c r="C17791" s="33" t="s">
        <v>39763</v>
      </c>
      <c r="D17791" s="33" t="s">
        <v>17</v>
      </c>
      <c r="E17791" s="33" t="s">
        <v>31</v>
      </c>
      <c r="F17791" s="33" t="s">
        <v>32</v>
      </c>
      <c r="G17791" s="33" t="s">
        <v>158</v>
      </c>
      <c r="H17791" s="35">
        <v>191</v>
      </c>
      <c r="I17791" s="33" t="s">
        <v>51</v>
      </c>
      <c r="J17791" s="42">
        <v>45539</v>
      </c>
      <c r="K17791" s="33" t="s">
        <v>22</v>
      </c>
    </row>
    <row r="17792" spans="1:11">
      <c r="A17792" s="30" t="s">
        <v>39764</v>
      </c>
      <c r="B17792" s="30" t="s">
        <v>39765</v>
      </c>
      <c r="C17792" s="30" t="s">
        <v>136</v>
      </c>
      <c r="D17792" s="30" t="s">
        <v>17</v>
      </c>
      <c r="E17792" s="30" t="s">
        <v>26</v>
      </c>
      <c r="F17792" s="30" t="s">
        <v>27</v>
      </c>
      <c r="G17792" s="30" t="s">
        <v>20</v>
      </c>
      <c r="H17792" s="32">
        <v>59</v>
      </c>
      <c r="I17792" s="30" t="s">
        <v>21</v>
      </c>
      <c r="J17792" s="41">
        <v>45587</v>
      </c>
      <c r="K17792" s="30" t="s">
        <v>22</v>
      </c>
    </row>
    <row r="17793" spans="1:11">
      <c r="A17793" s="33" t="s">
        <v>39766</v>
      </c>
      <c r="B17793" s="33" t="s">
        <v>39767</v>
      </c>
      <c r="C17793" s="33" t="s">
        <v>24200</v>
      </c>
      <c r="D17793" s="33" t="s">
        <v>17</v>
      </c>
      <c r="E17793" s="33" t="s">
        <v>18</v>
      </c>
      <c r="F17793" s="33" t="s">
        <v>19</v>
      </c>
      <c r="G17793" s="33" t="s">
        <v>158</v>
      </c>
      <c r="H17793" s="35">
        <v>371</v>
      </c>
      <c r="I17793" s="33" t="s">
        <v>21</v>
      </c>
      <c r="J17793" s="42">
        <v>45546</v>
      </c>
      <c r="K17793" s="33" t="s">
        <v>22</v>
      </c>
    </row>
    <row r="17794" spans="1:11">
      <c r="A17794" s="30" t="s">
        <v>39768</v>
      </c>
      <c r="B17794" s="30" t="s">
        <v>39769</v>
      </c>
      <c r="C17794" s="30" t="s">
        <v>4087</v>
      </c>
      <c r="D17794" s="30" t="s">
        <v>17</v>
      </c>
      <c r="E17794" s="30" t="s">
        <v>18</v>
      </c>
      <c r="F17794" s="30" t="s">
        <v>19</v>
      </c>
      <c r="G17794" s="30" t="s">
        <v>112</v>
      </c>
      <c r="H17794" s="32">
        <v>0</v>
      </c>
      <c r="I17794" s="30" t="s">
        <v>21</v>
      </c>
      <c r="J17794" s="41">
        <v>45505</v>
      </c>
      <c r="K17794" s="30" t="s">
        <v>22</v>
      </c>
    </row>
    <row r="17795" spans="1:11">
      <c r="A17795" s="33" t="s">
        <v>39770</v>
      </c>
      <c r="B17795" s="33" t="s">
        <v>39771</v>
      </c>
      <c r="C17795" s="33" t="s">
        <v>21791</v>
      </c>
      <c r="D17795" s="33" t="s">
        <v>17</v>
      </c>
      <c r="E17795" s="33" t="s">
        <v>26</v>
      </c>
      <c r="F17795" s="33" t="s">
        <v>27</v>
      </c>
      <c r="G17795" s="33" t="s">
        <v>50</v>
      </c>
      <c r="H17795" s="35">
        <v>8</v>
      </c>
      <c r="I17795" s="33" t="s">
        <v>51</v>
      </c>
      <c r="J17795" s="42">
        <v>45390</v>
      </c>
      <c r="K17795" s="33" t="s">
        <v>22</v>
      </c>
    </row>
    <row r="17796" spans="1:11">
      <c r="A17796" s="30" t="s">
        <v>39772</v>
      </c>
      <c r="B17796" s="30" t="s">
        <v>39773</v>
      </c>
      <c r="C17796" s="30" t="s">
        <v>136</v>
      </c>
      <c r="D17796" s="30" t="s">
        <v>17</v>
      </c>
      <c r="E17796" s="30" t="s">
        <v>26</v>
      </c>
      <c r="F17796" s="30" t="s">
        <v>27</v>
      </c>
      <c r="G17796" s="30" t="s">
        <v>20</v>
      </c>
      <c r="H17796" s="32">
        <v>498</v>
      </c>
      <c r="I17796" s="30" t="s">
        <v>21</v>
      </c>
      <c r="J17796" s="41">
        <v>45467</v>
      </c>
      <c r="K17796" s="30" t="s">
        <v>22</v>
      </c>
    </row>
    <row r="17797" spans="1:11">
      <c r="A17797" s="33" t="s">
        <v>39774</v>
      </c>
      <c r="B17797" s="33" t="s">
        <v>39775</v>
      </c>
      <c r="C17797" s="33" t="s">
        <v>203</v>
      </c>
      <c r="D17797" s="33" t="s">
        <v>17</v>
      </c>
      <c r="E17797" s="33" t="s">
        <v>31</v>
      </c>
      <c r="F17797" s="33" t="s">
        <v>32</v>
      </c>
      <c r="G17797" s="33" t="s">
        <v>2613</v>
      </c>
      <c r="H17797" s="35">
        <v>900</v>
      </c>
      <c r="I17797" s="33" t="s">
        <v>51</v>
      </c>
      <c r="J17797" s="42">
        <v>45565</v>
      </c>
      <c r="K17797" s="33" t="s">
        <v>22</v>
      </c>
    </row>
    <row r="17798" spans="1:11">
      <c r="A17798" s="30" t="s">
        <v>39776</v>
      </c>
      <c r="B17798" s="30" t="s">
        <v>39777</v>
      </c>
      <c r="C17798" s="30" t="s">
        <v>12195</v>
      </c>
      <c r="D17798" s="30" t="s">
        <v>17</v>
      </c>
      <c r="E17798" s="30" t="s">
        <v>31</v>
      </c>
      <c r="F17798" s="30" t="s">
        <v>32</v>
      </c>
      <c r="G17798" s="30" t="s">
        <v>112</v>
      </c>
      <c r="H17798" s="32">
        <v>0</v>
      </c>
      <c r="I17798" s="30" t="s">
        <v>21</v>
      </c>
      <c r="J17798" s="41">
        <v>45611</v>
      </c>
      <c r="K17798" s="30" t="s">
        <v>22</v>
      </c>
    </row>
    <row r="17799" spans="1:11">
      <c r="A17799" s="33" t="s">
        <v>39778</v>
      </c>
      <c r="B17799" s="33" t="s">
        <v>39779</v>
      </c>
      <c r="C17799" s="33" t="s">
        <v>15741</v>
      </c>
      <c r="D17799" s="33" t="s">
        <v>17</v>
      </c>
      <c r="E17799" s="33" t="s">
        <v>26</v>
      </c>
      <c r="F17799" s="33" t="s">
        <v>27</v>
      </c>
      <c r="G17799" s="33" t="s">
        <v>7780</v>
      </c>
      <c r="H17799" s="35">
        <v>12</v>
      </c>
      <c r="I17799" s="33" t="s">
        <v>51</v>
      </c>
      <c r="J17799" s="42">
        <v>45505</v>
      </c>
      <c r="K17799" s="33" t="s">
        <v>22</v>
      </c>
    </row>
    <row r="17800" spans="1:11">
      <c r="A17800" s="30" t="s">
        <v>39780</v>
      </c>
      <c r="B17800" s="30" t="s">
        <v>39781</v>
      </c>
      <c r="C17800" s="30" t="s">
        <v>1136</v>
      </c>
      <c r="D17800" s="30" t="s">
        <v>17</v>
      </c>
      <c r="E17800" s="30" t="s">
        <v>67</v>
      </c>
      <c r="F17800" s="30" t="s">
        <v>68</v>
      </c>
      <c r="G17800" s="30" t="s">
        <v>158</v>
      </c>
      <c r="H17800" s="32">
        <v>1530</v>
      </c>
      <c r="I17800" s="30" t="s">
        <v>21</v>
      </c>
      <c r="J17800" s="41">
        <v>45607</v>
      </c>
      <c r="K17800" s="30" t="s">
        <v>22</v>
      </c>
    </row>
    <row r="17801" spans="1:11">
      <c r="A17801" s="33" t="s">
        <v>39782</v>
      </c>
      <c r="B17801" s="33" t="s">
        <v>39783</v>
      </c>
      <c r="C17801" s="33" t="s">
        <v>38495</v>
      </c>
      <c r="D17801" s="33" t="s">
        <v>17</v>
      </c>
      <c r="E17801" s="33" t="s">
        <v>26</v>
      </c>
      <c r="F17801" s="33" t="s">
        <v>27</v>
      </c>
      <c r="G17801" s="33" t="s">
        <v>20</v>
      </c>
      <c r="H17801" s="35">
        <v>40</v>
      </c>
      <c r="I17801" s="33" t="s">
        <v>21</v>
      </c>
      <c r="J17801" s="42">
        <v>45566</v>
      </c>
      <c r="K17801" s="33" t="s">
        <v>22</v>
      </c>
    </row>
    <row r="17802" spans="1:11">
      <c r="A17802" s="30" t="s">
        <v>39784</v>
      </c>
      <c r="B17802" s="30" t="s">
        <v>39785</v>
      </c>
      <c r="C17802" s="30" t="s">
        <v>96</v>
      </c>
      <c r="D17802" s="30" t="s">
        <v>17</v>
      </c>
      <c r="E17802" s="30" t="s">
        <v>18</v>
      </c>
      <c r="F17802" s="30" t="s">
        <v>19</v>
      </c>
      <c r="G17802" s="30" t="s">
        <v>140</v>
      </c>
      <c r="H17802" s="32">
        <v>900</v>
      </c>
      <c r="I17802" s="30" t="s">
        <v>51</v>
      </c>
      <c r="J17802" s="41">
        <v>45587</v>
      </c>
      <c r="K17802" s="30" t="s">
        <v>22</v>
      </c>
    </row>
    <row r="17803" spans="1:11">
      <c r="A17803" s="33" t="s">
        <v>39786</v>
      </c>
      <c r="B17803" s="33" t="s">
        <v>39787</v>
      </c>
      <c r="C17803" s="33" t="s">
        <v>2753</v>
      </c>
      <c r="D17803" s="33" t="s">
        <v>17</v>
      </c>
      <c r="E17803" s="33" t="s">
        <v>26</v>
      </c>
      <c r="F17803" s="33" t="s">
        <v>27</v>
      </c>
      <c r="G17803" s="33" t="s">
        <v>106</v>
      </c>
      <c r="H17803" s="35">
        <v>47</v>
      </c>
      <c r="I17803" s="33" t="s">
        <v>21</v>
      </c>
      <c r="J17803" s="42">
        <v>45639</v>
      </c>
      <c r="K17803" s="33" t="s">
        <v>22</v>
      </c>
    </row>
    <row r="17804" spans="1:11">
      <c r="A17804" s="30" t="s">
        <v>39788</v>
      </c>
      <c r="B17804" s="30" t="s">
        <v>39789</v>
      </c>
      <c r="C17804" s="30" t="s">
        <v>16052</v>
      </c>
      <c r="D17804" s="30" t="s">
        <v>17</v>
      </c>
      <c r="E17804" s="30" t="s">
        <v>26</v>
      </c>
      <c r="F17804" s="30" t="s">
        <v>27</v>
      </c>
      <c r="G17804" s="30" t="s">
        <v>20</v>
      </c>
      <c r="H17804" s="32">
        <v>48</v>
      </c>
      <c r="I17804" s="30" t="s">
        <v>21</v>
      </c>
      <c r="J17804" s="41">
        <v>45330</v>
      </c>
      <c r="K17804" s="30" t="s">
        <v>22</v>
      </c>
    </row>
    <row r="17805" spans="1:11">
      <c r="A17805" s="33" t="s">
        <v>39790</v>
      </c>
      <c r="B17805" s="33" t="s">
        <v>39791</v>
      </c>
      <c r="C17805" s="33" t="s">
        <v>136</v>
      </c>
      <c r="D17805" s="33" t="s">
        <v>17</v>
      </c>
      <c r="E17805" s="33" t="s">
        <v>26</v>
      </c>
      <c r="F17805" s="33" t="s">
        <v>27</v>
      </c>
      <c r="G17805" s="33" t="s">
        <v>140</v>
      </c>
      <c r="H17805" s="35">
        <v>118</v>
      </c>
      <c r="I17805" s="33" t="s">
        <v>51</v>
      </c>
      <c r="J17805" s="42">
        <v>45427</v>
      </c>
      <c r="K17805" s="33" t="s">
        <v>22</v>
      </c>
    </row>
    <row r="17806" spans="1:11">
      <c r="A17806" s="30" t="s">
        <v>39792</v>
      </c>
      <c r="B17806" s="30" t="s">
        <v>39793</v>
      </c>
      <c r="C17806" s="30" t="s">
        <v>18973</v>
      </c>
      <c r="D17806" s="30" t="s">
        <v>17</v>
      </c>
      <c r="E17806" s="30" t="s">
        <v>26</v>
      </c>
      <c r="F17806" s="30" t="s">
        <v>27</v>
      </c>
      <c r="G17806" s="30" t="s">
        <v>20</v>
      </c>
      <c r="H17806" s="32">
        <v>50</v>
      </c>
      <c r="I17806" s="30" t="s">
        <v>21</v>
      </c>
      <c r="J17806" s="41">
        <v>45604</v>
      </c>
      <c r="K17806" s="30" t="s">
        <v>22</v>
      </c>
    </row>
    <row r="17807" spans="1:11">
      <c r="A17807" s="33" t="s">
        <v>39794</v>
      </c>
      <c r="B17807" s="33" t="s">
        <v>39795</v>
      </c>
      <c r="C17807" s="33" t="s">
        <v>1718</v>
      </c>
      <c r="D17807" s="33" t="s">
        <v>17</v>
      </c>
      <c r="E17807" s="33" t="s">
        <v>18</v>
      </c>
      <c r="F17807" s="33" t="s">
        <v>19</v>
      </c>
      <c r="G17807" s="33" t="s">
        <v>20</v>
      </c>
      <c r="H17807" s="35">
        <v>35</v>
      </c>
      <c r="I17807" s="33" t="s">
        <v>21</v>
      </c>
      <c r="J17807" s="42">
        <v>45350</v>
      </c>
      <c r="K17807" s="33" t="s">
        <v>22</v>
      </c>
    </row>
    <row r="17808" spans="1:11">
      <c r="A17808" s="30" t="s">
        <v>39796</v>
      </c>
      <c r="B17808" s="30" t="s">
        <v>39797</v>
      </c>
      <c r="C17808" s="30" t="s">
        <v>4260</v>
      </c>
      <c r="D17808" s="30" t="s">
        <v>17</v>
      </c>
      <c r="E17808" s="30" t="s">
        <v>18</v>
      </c>
      <c r="F17808" s="30" t="s">
        <v>19</v>
      </c>
      <c r="G17808" s="30" t="s">
        <v>20</v>
      </c>
      <c r="H17808" s="32">
        <v>136</v>
      </c>
      <c r="I17808" s="30" t="s">
        <v>21</v>
      </c>
      <c r="J17808" s="41">
        <v>45553</v>
      </c>
      <c r="K17808" s="30" t="s">
        <v>22</v>
      </c>
    </row>
    <row r="17809" spans="1:11">
      <c r="A17809" s="33" t="s">
        <v>39798</v>
      </c>
      <c r="B17809" s="33" t="s">
        <v>39799</v>
      </c>
      <c r="C17809" s="33" t="s">
        <v>1287</v>
      </c>
      <c r="D17809" s="33" t="s">
        <v>17</v>
      </c>
      <c r="E17809" s="33" t="s">
        <v>18</v>
      </c>
      <c r="F17809" s="33" t="s">
        <v>19</v>
      </c>
      <c r="G17809" s="33" t="s">
        <v>158</v>
      </c>
      <c r="H17809" s="35">
        <v>46</v>
      </c>
      <c r="I17809" s="33" t="s">
        <v>21</v>
      </c>
      <c r="J17809" s="42">
        <v>45313</v>
      </c>
      <c r="K17809" s="33" t="s">
        <v>22</v>
      </c>
    </row>
    <row r="17810" spans="1:11">
      <c r="A17810" s="30" t="s">
        <v>39800</v>
      </c>
      <c r="B17810" s="30" t="s">
        <v>39801</v>
      </c>
      <c r="C17810" s="30" t="s">
        <v>38361</v>
      </c>
      <c r="D17810" s="30" t="s">
        <v>17</v>
      </c>
      <c r="E17810" s="30" t="s">
        <v>26</v>
      </c>
      <c r="F17810" s="30" t="s">
        <v>27</v>
      </c>
      <c r="G17810" s="30" t="s">
        <v>7780</v>
      </c>
      <c r="H17810" s="32">
        <v>24</v>
      </c>
      <c r="I17810" s="30" t="s">
        <v>51</v>
      </c>
      <c r="J17810" s="41">
        <v>45383</v>
      </c>
      <c r="K17810" s="30" t="s">
        <v>22</v>
      </c>
    </row>
    <row r="17811" spans="1:11">
      <c r="A17811" s="33" t="s">
        <v>39802</v>
      </c>
      <c r="B17811" s="33" t="s">
        <v>39803</v>
      </c>
      <c r="C17811" s="33" t="s">
        <v>11966</v>
      </c>
      <c r="D17811" s="33" t="s">
        <v>17</v>
      </c>
      <c r="E17811" s="33" t="s">
        <v>31</v>
      </c>
      <c r="F17811" s="33" t="s">
        <v>32</v>
      </c>
      <c r="G17811" s="33" t="s">
        <v>158</v>
      </c>
      <c r="H17811" s="35">
        <v>110</v>
      </c>
      <c r="I17811" s="33" t="s">
        <v>21</v>
      </c>
      <c r="J17811" s="42">
        <v>45349</v>
      </c>
      <c r="K17811" s="33" t="s">
        <v>22</v>
      </c>
    </row>
    <row r="17812" spans="1:11">
      <c r="A17812" s="30" t="s">
        <v>39804</v>
      </c>
      <c r="B17812" s="30" t="s">
        <v>39805</v>
      </c>
      <c r="C17812" s="30" t="s">
        <v>16199</v>
      </c>
      <c r="D17812" s="30" t="s">
        <v>17</v>
      </c>
      <c r="E17812" s="30" t="s">
        <v>18</v>
      </c>
      <c r="F17812" s="30" t="s">
        <v>19</v>
      </c>
      <c r="G17812" s="30" t="s">
        <v>69</v>
      </c>
      <c r="H17812" s="32">
        <v>750</v>
      </c>
      <c r="I17812" s="30" t="s">
        <v>51</v>
      </c>
      <c r="J17812" s="41">
        <v>45413</v>
      </c>
      <c r="K17812" s="30" t="s">
        <v>22</v>
      </c>
    </row>
    <row r="17813" spans="1:11">
      <c r="A17813" s="33" t="s">
        <v>39806</v>
      </c>
      <c r="B17813" s="33" t="s">
        <v>39807</v>
      </c>
      <c r="C17813" s="33" t="s">
        <v>32759</v>
      </c>
      <c r="D17813" s="33" t="s">
        <v>17</v>
      </c>
      <c r="E17813" s="33" t="s">
        <v>26</v>
      </c>
      <c r="F17813" s="33" t="s">
        <v>27</v>
      </c>
      <c r="G17813" s="33" t="s">
        <v>158</v>
      </c>
      <c r="H17813" s="35">
        <v>36</v>
      </c>
      <c r="I17813" s="33" t="s">
        <v>51</v>
      </c>
      <c r="J17813" s="42">
        <v>45600</v>
      </c>
      <c r="K17813" s="33" t="s">
        <v>22</v>
      </c>
    </row>
    <row r="17814" spans="1:11">
      <c r="A17814" s="30" t="s">
        <v>39808</v>
      </c>
      <c r="B17814" s="30" t="s">
        <v>39809</v>
      </c>
      <c r="C17814" s="30" t="s">
        <v>1165</v>
      </c>
      <c r="D17814" s="30" t="s">
        <v>17</v>
      </c>
      <c r="E17814" s="30" t="s">
        <v>31</v>
      </c>
      <c r="F17814" s="30" t="s">
        <v>32</v>
      </c>
      <c r="G17814" s="30" t="s">
        <v>158</v>
      </c>
      <c r="H17814" s="32">
        <v>60</v>
      </c>
      <c r="I17814" s="30" t="s">
        <v>51</v>
      </c>
      <c r="J17814" s="41">
        <v>45588</v>
      </c>
      <c r="K17814" s="30" t="s">
        <v>22</v>
      </c>
    </row>
    <row r="17815" spans="1:11">
      <c r="A17815" s="33" t="s">
        <v>39810</v>
      </c>
      <c r="B17815" s="33" t="s">
        <v>39811</v>
      </c>
      <c r="C17815" s="33" t="s">
        <v>23340</v>
      </c>
      <c r="D17815" s="33" t="s">
        <v>17</v>
      </c>
      <c r="E17815" s="33" t="s">
        <v>67</v>
      </c>
      <c r="F17815" s="33" t="s">
        <v>68</v>
      </c>
      <c r="G17815" s="33" t="s">
        <v>158</v>
      </c>
      <c r="H17815" s="35">
        <v>196</v>
      </c>
      <c r="I17815" s="33" t="s">
        <v>51</v>
      </c>
      <c r="J17815" s="42">
        <v>45398</v>
      </c>
      <c r="K17815" s="33" t="s">
        <v>22</v>
      </c>
    </row>
    <row r="17816" spans="1:11">
      <c r="A17816" s="30" t="s">
        <v>39812</v>
      </c>
      <c r="B17816" s="30" t="s">
        <v>39813</v>
      </c>
      <c r="C17816" s="30" t="s">
        <v>15585</v>
      </c>
      <c r="D17816" s="30" t="s">
        <v>17</v>
      </c>
      <c r="E17816" s="30" t="s">
        <v>26</v>
      </c>
      <c r="F17816" s="30" t="s">
        <v>27</v>
      </c>
      <c r="G17816" s="30" t="s">
        <v>20</v>
      </c>
      <c r="H17816" s="32">
        <v>72</v>
      </c>
      <c r="I17816" s="30" t="s">
        <v>21</v>
      </c>
      <c r="J17816" s="41">
        <v>45447</v>
      </c>
      <c r="K17816" s="30" t="s">
        <v>22</v>
      </c>
    </row>
    <row r="17817" spans="1:11">
      <c r="A17817" s="33" t="s">
        <v>39814</v>
      </c>
      <c r="B17817" s="33" t="s">
        <v>39815</v>
      </c>
      <c r="C17817" s="33" t="s">
        <v>11899</v>
      </c>
      <c r="D17817" s="33" t="s">
        <v>17</v>
      </c>
      <c r="E17817" s="33" t="s">
        <v>26</v>
      </c>
      <c r="F17817" s="33" t="s">
        <v>27</v>
      </c>
      <c r="G17817" s="33" t="s">
        <v>20</v>
      </c>
      <c r="H17817" s="35">
        <v>76</v>
      </c>
      <c r="I17817" s="33" t="s">
        <v>21</v>
      </c>
      <c r="J17817" s="42">
        <v>45436</v>
      </c>
      <c r="K17817" s="33" t="s">
        <v>22</v>
      </c>
    </row>
    <row r="17818" spans="1:11">
      <c r="A17818" s="30" t="s">
        <v>39816</v>
      </c>
      <c r="B17818" s="30" t="s">
        <v>39817</v>
      </c>
      <c r="C17818" s="30" t="s">
        <v>11366</v>
      </c>
      <c r="D17818" s="30" t="s">
        <v>17</v>
      </c>
      <c r="E17818" s="30" t="s">
        <v>18</v>
      </c>
      <c r="F17818" s="30" t="s">
        <v>19</v>
      </c>
      <c r="G17818" s="30" t="s">
        <v>140</v>
      </c>
      <c r="H17818" s="32">
        <v>454</v>
      </c>
      <c r="I17818" s="30" t="s">
        <v>51</v>
      </c>
      <c r="J17818" s="41">
        <v>45566</v>
      </c>
      <c r="K17818" s="30" t="s">
        <v>22</v>
      </c>
    </row>
    <row r="17819" spans="1:11">
      <c r="A17819" s="33" t="s">
        <v>39818</v>
      </c>
      <c r="B17819" s="33" t="s">
        <v>39819</v>
      </c>
      <c r="C17819" s="33" t="s">
        <v>11391</v>
      </c>
      <c r="D17819" s="33" t="s">
        <v>17</v>
      </c>
      <c r="E17819" s="33" t="s">
        <v>45</v>
      </c>
      <c r="F17819" s="33" t="s">
        <v>46</v>
      </c>
      <c r="G17819" s="33" t="s">
        <v>20</v>
      </c>
      <c r="H17819" s="35">
        <v>453</v>
      </c>
      <c r="I17819" s="33" t="s">
        <v>21</v>
      </c>
      <c r="J17819" s="42">
        <v>45309</v>
      </c>
      <c r="K17819" s="33" t="s">
        <v>22</v>
      </c>
    </row>
    <row r="17820" spans="1:11">
      <c r="A17820" s="30" t="s">
        <v>39820</v>
      </c>
      <c r="B17820" s="30" t="s">
        <v>39821</v>
      </c>
      <c r="C17820" s="30" t="s">
        <v>13241</v>
      </c>
      <c r="D17820" s="30" t="s">
        <v>17</v>
      </c>
      <c r="E17820" s="30" t="s">
        <v>67</v>
      </c>
      <c r="F17820" s="30" t="s">
        <v>68</v>
      </c>
      <c r="G17820" s="30" t="s">
        <v>140</v>
      </c>
      <c r="H17820" s="32">
        <v>124</v>
      </c>
      <c r="I17820" s="30" t="s">
        <v>51</v>
      </c>
      <c r="J17820" s="41">
        <v>45562</v>
      </c>
      <c r="K17820" s="30" t="s">
        <v>22</v>
      </c>
    </row>
    <row r="17821" spans="1:11">
      <c r="A17821" s="33" t="s">
        <v>39822</v>
      </c>
      <c r="B17821" s="33" t="s">
        <v>39823</v>
      </c>
      <c r="C17821" s="33" t="s">
        <v>39563</v>
      </c>
      <c r="D17821" s="33" t="s">
        <v>17</v>
      </c>
      <c r="E17821" s="33" t="s">
        <v>26</v>
      </c>
      <c r="F17821" s="33" t="s">
        <v>27</v>
      </c>
      <c r="G17821" s="33" t="s">
        <v>50</v>
      </c>
      <c r="H17821" s="35">
        <v>46</v>
      </c>
      <c r="I17821" s="33" t="s">
        <v>51</v>
      </c>
      <c r="J17821" s="42">
        <v>45538</v>
      </c>
      <c r="K17821" s="33" t="s">
        <v>22</v>
      </c>
    </row>
    <row r="17822" spans="1:11">
      <c r="A17822" s="30" t="s">
        <v>39824</v>
      </c>
      <c r="B17822" s="30" t="s">
        <v>39825</v>
      </c>
      <c r="C17822" s="30" t="s">
        <v>15408</v>
      </c>
      <c r="D17822" s="30" t="s">
        <v>17</v>
      </c>
      <c r="E17822" s="30" t="s">
        <v>18</v>
      </c>
      <c r="F17822" s="30" t="s">
        <v>19</v>
      </c>
      <c r="G17822" s="30" t="s">
        <v>140</v>
      </c>
      <c r="H17822" s="32">
        <v>450</v>
      </c>
      <c r="I17822" s="30" t="s">
        <v>51</v>
      </c>
      <c r="J17822" s="41">
        <v>45646</v>
      </c>
      <c r="K17822" s="30" t="s">
        <v>22</v>
      </c>
    </row>
    <row r="17823" spans="1:11">
      <c r="A17823" s="33" t="s">
        <v>39826</v>
      </c>
      <c r="B17823" s="33" t="s">
        <v>39827</v>
      </c>
      <c r="C17823" s="33" t="s">
        <v>39828</v>
      </c>
      <c r="D17823" s="33" t="s">
        <v>17</v>
      </c>
      <c r="E17823" s="33" t="s">
        <v>26</v>
      </c>
      <c r="F17823" s="33" t="s">
        <v>27</v>
      </c>
      <c r="G17823" s="33" t="s">
        <v>140</v>
      </c>
      <c r="H17823" s="35">
        <v>122</v>
      </c>
      <c r="I17823" s="33" t="s">
        <v>51</v>
      </c>
      <c r="J17823" s="42">
        <v>45378</v>
      </c>
      <c r="K17823" s="33" t="s">
        <v>22</v>
      </c>
    </row>
    <row r="17824" spans="1:11">
      <c r="A17824" s="30" t="s">
        <v>39829</v>
      </c>
      <c r="B17824" s="30" t="s">
        <v>39830</v>
      </c>
      <c r="C17824" s="30" t="s">
        <v>39831</v>
      </c>
      <c r="D17824" s="30" t="s">
        <v>17</v>
      </c>
      <c r="E17824" s="30" t="s">
        <v>26</v>
      </c>
      <c r="F17824" s="30" t="s">
        <v>27</v>
      </c>
      <c r="G17824" s="30" t="s">
        <v>50</v>
      </c>
      <c r="H17824" s="32">
        <v>48</v>
      </c>
      <c r="I17824" s="30" t="s">
        <v>51</v>
      </c>
      <c r="J17824" s="41">
        <v>45352</v>
      </c>
      <c r="K17824" s="30" t="s">
        <v>22</v>
      </c>
    </row>
    <row r="17825" spans="1:11">
      <c r="A17825" s="33" t="s">
        <v>39832</v>
      </c>
      <c r="B17825" s="33" t="s">
        <v>39833</v>
      </c>
      <c r="C17825" s="33" t="s">
        <v>817</v>
      </c>
      <c r="D17825" s="33" t="s">
        <v>17</v>
      </c>
      <c r="E17825" s="33" t="s">
        <v>26</v>
      </c>
      <c r="F17825" s="33" t="s">
        <v>27</v>
      </c>
      <c r="G17825" s="33" t="s">
        <v>20</v>
      </c>
      <c r="H17825" s="35">
        <v>43</v>
      </c>
      <c r="I17825" s="33" t="s">
        <v>21</v>
      </c>
      <c r="J17825" s="42">
        <v>45497</v>
      </c>
      <c r="K17825" s="33" t="s">
        <v>22</v>
      </c>
    </row>
    <row r="17826" spans="1:11">
      <c r="A17826" s="30" t="s">
        <v>39834</v>
      </c>
      <c r="B17826" s="30" t="s">
        <v>39835</v>
      </c>
      <c r="C17826" s="30" t="s">
        <v>14816</v>
      </c>
      <c r="D17826" s="30" t="s">
        <v>17</v>
      </c>
      <c r="E17826" s="30" t="s">
        <v>26</v>
      </c>
      <c r="F17826" s="30" t="s">
        <v>27</v>
      </c>
      <c r="G17826" s="30" t="s">
        <v>20</v>
      </c>
      <c r="H17826" s="32">
        <v>23</v>
      </c>
      <c r="I17826" s="30" t="s">
        <v>21</v>
      </c>
      <c r="J17826" s="41">
        <v>45656</v>
      </c>
      <c r="K17826" s="30" t="s">
        <v>22</v>
      </c>
    </row>
    <row r="17827" spans="1:11">
      <c r="A17827" s="33" t="s">
        <v>39836</v>
      </c>
      <c r="B17827" s="33" t="s">
        <v>39837</v>
      </c>
      <c r="C17827" s="33" t="s">
        <v>203</v>
      </c>
      <c r="D17827" s="33" t="s">
        <v>17</v>
      </c>
      <c r="E17827" s="33" t="s">
        <v>18</v>
      </c>
      <c r="F17827" s="33" t="s">
        <v>19</v>
      </c>
      <c r="G17827" s="33" t="s">
        <v>140</v>
      </c>
      <c r="H17827" s="35">
        <v>90</v>
      </c>
      <c r="I17827" s="33" t="s">
        <v>51</v>
      </c>
      <c r="J17827" s="42">
        <v>45294</v>
      </c>
      <c r="K17827" s="33" t="s">
        <v>22</v>
      </c>
    </row>
    <row r="17828" spans="1:11">
      <c r="A17828" s="30" t="s">
        <v>39838</v>
      </c>
      <c r="B17828" s="30" t="s">
        <v>39839</v>
      </c>
      <c r="C17828" s="30" t="s">
        <v>190</v>
      </c>
      <c r="D17828" s="30" t="s">
        <v>17</v>
      </c>
      <c r="E17828" s="30" t="s">
        <v>18</v>
      </c>
      <c r="F17828" s="30" t="s">
        <v>19</v>
      </c>
      <c r="G17828" s="30" t="s">
        <v>140</v>
      </c>
      <c r="H17828" s="32">
        <v>582</v>
      </c>
      <c r="I17828" s="30" t="s">
        <v>51</v>
      </c>
      <c r="J17828" s="41">
        <v>45411</v>
      </c>
      <c r="K17828" s="30" t="s">
        <v>22</v>
      </c>
    </row>
    <row r="17829" spans="1:11">
      <c r="A17829" s="33" t="s">
        <v>39840</v>
      </c>
      <c r="B17829" s="33" t="s">
        <v>39841</v>
      </c>
      <c r="C17829" s="33" t="s">
        <v>429</v>
      </c>
      <c r="D17829" s="33" t="s">
        <v>17</v>
      </c>
      <c r="E17829" s="33" t="s">
        <v>26</v>
      </c>
      <c r="F17829" s="33" t="s">
        <v>27</v>
      </c>
      <c r="G17829" s="33" t="s">
        <v>20</v>
      </c>
      <c r="H17829" s="35">
        <v>34</v>
      </c>
      <c r="I17829" s="33" t="s">
        <v>21</v>
      </c>
      <c r="J17829" s="42">
        <v>45559</v>
      </c>
      <c r="K17829" s="33" t="s">
        <v>22</v>
      </c>
    </row>
    <row r="17830" spans="1:11">
      <c r="A17830" s="30" t="s">
        <v>39842</v>
      </c>
      <c r="B17830" s="30" t="s">
        <v>39843</v>
      </c>
      <c r="C17830" s="30" t="s">
        <v>49</v>
      </c>
      <c r="D17830" s="30" t="s">
        <v>17</v>
      </c>
      <c r="E17830" s="30" t="s">
        <v>26</v>
      </c>
      <c r="F17830" s="30" t="s">
        <v>27</v>
      </c>
      <c r="G17830" s="30" t="s">
        <v>140</v>
      </c>
      <c r="H17830" s="32">
        <v>18</v>
      </c>
      <c r="I17830" s="30" t="s">
        <v>51</v>
      </c>
      <c r="J17830" s="41">
        <v>45433</v>
      </c>
      <c r="K17830" s="30" t="s">
        <v>22</v>
      </c>
    </row>
    <row r="17831" spans="1:11">
      <c r="A17831" s="33" t="s">
        <v>39844</v>
      </c>
      <c r="B17831" s="33" t="s">
        <v>39845</v>
      </c>
      <c r="C17831" s="33" t="s">
        <v>39846</v>
      </c>
      <c r="D17831" s="33" t="s">
        <v>17</v>
      </c>
      <c r="E17831" s="33" t="s">
        <v>31</v>
      </c>
      <c r="F17831" s="33" t="s">
        <v>32</v>
      </c>
      <c r="G17831" s="33" t="s">
        <v>7780</v>
      </c>
      <c r="H17831" s="35">
        <v>80</v>
      </c>
      <c r="I17831" s="33" t="s">
        <v>51</v>
      </c>
      <c r="J17831" s="42">
        <v>45580</v>
      </c>
      <c r="K17831" s="33" t="s">
        <v>22</v>
      </c>
    </row>
    <row r="17832" spans="1:11">
      <c r="A17832" s="30" t="s">
        <v>39847</v>
      </c>
      <c r="B17832" s="30" t="s">
        <v>39848</v>
      </c>
      <c r="C17832" s="30" t="s">
        <v>16748</v>
      </c>
      <c r="D17832" s="30" t="s">
        <v>17</v>
      </c>
      <c r="E17832" s="30" t="s">
        <v>31</v>
      </c>
      <c r="F17832" s="30" t="s">
        <v>32</v>
      </c>
      <c r="G17832" s="30" t="s">
        <v>20</v>
      </c>
      <c r="H17832" s="32">
        <v>170</v>
      </c>
      <c r="I17832" s="30" t="s">
        <v>21</v>
      </c>
      <c r="J17832" s="41">
        <v>45530</v>
      </c>
      <c r="K17832" s="30" t="s">
        <v>22</v>
      </c>
    </row>
    <row r="17833" spans="1:11">
      <c r="A17833" s="33" t="s">
        <v>39849</v>
      </c>
      <c r="B17833" s="33" t="s">
        <v>39850</v>
      </c>
      <c r="C17833" s="33" t="s">
        <v>310</v>
      </c>
      <c r="D17833" s="33" t="s">
        <v>17</v>
      </c>
      <c r="E17833" s="33" t="s">
        <v>31</v>
      </c>
      <c r="F17833" s="33" t="s">
        <v>32</v>
      </c>
      <c r="G17833" s="33" t="s">
        <v>20</v>
      </c>
      <c r="H17833" s="35">
        <v>354</v>
      </c>
      <c r="I17833" s="33" t="s">
        <v>21</v>
      </c>
      <c r="J17833" s="42">
        <v>45369</v>
      </c>
      <c r="K17833" s="33" t="s">
        <v>22</v>
      </c>
    </row>
    <row r="17834" spans="1:11">
      <c r="A17834" s="30" t="s">
        <v>39851</v>
      </c>
      <c r="B17834" s="30" t="s">
        <v>39852</v>
      </c>
      <c r="C17834" s="30" t="s">
        <v>407</v>
      </c>
      <c r="D17834" s="30" t="s">
        <v>17</v>
      </c>
      <c r="E17834" s="30" t="s">
        <v>31</v>
      </c>
      <c r="F17834" s="30" t="s">
        <v>32</v>
      </c>
      <c r="G17834" s="30" t="s">
        <v>7780</v>
      </c>
      <c r="H17834" s="32">
        <v>336</v>
      </c>
      <c r="I17834" s="30" t="s">
        <v>51</v>
      </c>
      <c r="J17834" s="41">
        <v>45567</v>
      </c>
      <c r="K17834" s="30" t="s">
        <v>22</v>
      </c>
    </row>
    <row r="17835" spans="1:11">
      <c r="A17835" s="33" t="s">
        <v>39853</v>
      </c>
      <c r="B17835" s="33" t="s">
        <v>39854</v>
      </c>
      <c r="C17835" s="33" t="s">
        <v>39855</v>
      </c>
      <c r="D17835" s="33" t="s">
        <v>17</v>
      </c>
      <c r="E17835" s="33" t="s">
        <v>18</v>
      </c>
      <c r="F17835" s="33" t="s">
        <v>19</v>
      </c>
      <c r="G17835" s="33" t="s">
        <v>20</v>
      </c>
      <c r="H17835" s="35">
        <v>300</v>
      </c>
      <c r="I17835" s="33" t="s">
        <v>21</v>
      </c>
      <c r="J17835" s="42">
        <v>45398</v>
      </c>
      <c r="K17835" s="33" t="s">
        <v>22</v>
      </c>
    </row>
    <row r="17836" spans="1:11">
      <c r="A17836" s="30" t="s">
        <v>39856</v>
      </c>
      <c r="B17836" s="30" t="s">
        <v>39857</v>
      </c>
      <c r="C17836" s="30" t="s">
        <v>1598</v>
      </c>
      <c r="D17836" s="30" t="s">
        <v>17</v>
      </c>
      <c r="E17836" s="30" t="s">
        <v>26</v>
      </c>
      <c r="F17836" s="30" t="s">
        <v>27</v>
      </c>
      <c r="G17836" s="30" t="s">
        <v>20</v>
      </c>
      <c r="H17836" s="32">
        <v>52</v>
      </c>
      <c r="I17836" s="30" t="s">
        <v>21</v>
      </c>
      <c r="J17836" s="41">
        <v>45348</v>
      </c>
      <c r="K17836" s="30" t="s">
        <v>22</v>
      </c>
    </row>
    <row r="17837" spans="1:11">
      <c r="A17837" s="33" t="s">
        <v>39858</v>
      </c>
      <c r="B17837" s="33" t="s">
        <v>39859</v>
      </c>
      <c r="C17837" s="33" t="s">
        <v>6622</v>
      </c>
      <c r="D17837" s="33" t="s">
        <v>17</v>
      </c>
      <c r="E17837" s="33" t="s">
        <v>18</v>
      </c>
      <c r="F17837" s="33" t="s">
        <v>19</v>
      </c>
      <c r="G17837" s="33" t="s">
        <v>158</v>
      </c>
      <c r="H17837" s="35">
        <v>490</v>
      </c>
      <c r="I17837" s="33" t="s">
        <v>51</v>
      </c>
      <c r="J17837" s="42">
        <v>45370</v>
      </c>
      <c r="K17837" s="33" t="s">
        <v>22</v>
      </c>
    </row>
    <row r="17838" spans="1:11">
      <c r="A17838" s="30" t="s">
        <v>39860</v>
      </c>
      <c r="B17838" s="30" t="s">
        <v>39861</v>
      </c>
      <c r="C17838" s="30" t="s">
        <v>39862</v>
      </c>
      <c r="D17838" s="30" t="s">
        <v>17</v>
      </c>
      <c r="E17838" s="30" t="s">
        <v>67</v>
      </c>
      <c r="F17838" s="30" t="s">
        <v>68</v>
      </c>
      <c r="G17838" s="30" t="s">
        <v>140</v>
      </c>
      <c r="H17838" s="32">
        <v>56</v>
      </c>
      <c r="I17838" s="30" t="s">
        <v>51</v>
      </c>
      <c r="J17838" s="41">
        <v>45580</v>
      </c>
      <c r="K17838" s="30" t="s">
        <v>22</v>
      </c>
    </row>
    <row r="17839" spans="1:11">
      <c r="A17839" s="33" t="s">
        <v>39863</v>
      </c>
      <c r="B17839" s="33" t="s">
        <v>39864</v>
      </c>
      <c r="C17839" s="33" t="s">
        <v>12277</v>
      </c>
      <c r="D17839" s="33" t="s">
        <v>17</v>
      </c>
      <c r="E17839" s="33" t="s">
        <v>31</v>
      </c>
      <c r="F17839" s="33" t="s">
        <v>32</v>
      </c>
      <c r="G17839" s="33" t="s">
        <v>20</v>
      </c>
      <c r="H17839" s="35">
        <v>63</v>
      </c>
      <c r="I17839" s="33" t="s">
        <v>21</v>
      </c>
      <c r="J17839" s="42">
        <v>45356</v>
      </c>
      <c r="K17839" s="33" t="s">
        <v>22</v>
      </c>
    </row>
    <row r="17840" spans="1:11">
      <c r="A17840" s="30" t="s">
        <v>39865</v>
      </c>
      <c r="B17840" s="30" t="s">
        <v>39866</v>
      </c>
      <c r="C17840" s="30" t="s">
        <v>647</v>
      </c>
      <c r="D17840" s="30" t="s">
        <v>17</v>
      </c>
      <c r="E17840" s="30" t="s">
        <v>31</v>
      </c>
      <c r="F17840" s="30" t="s">
        <v>32</v>
      </c>
      <c r="G17840" s="30" t="s">
        <v>20</v>
      </c>
      <c r="H17840" s="32">
        <v>164</v>
      </c>
      <c r="I17840" s="30" t="s">
        <v>21</v>
      </c>
      <c r="J17840" s="41">
        <v>45610</v>
      </c>
      <c r="K17840" s="30" t="s">
        <v>22</v>
      </c>
    </row>
    <row r="17841" spans="1:11">
      <c r="A17841" s="33" t="s">
        <v>39867</v>
      </c>
      <c r="B17841" s="33" t="s">
        <v>39868</v>
      </c>
      <c r="C17841" s="33" t="s">
        <v>4944</v>
      </c>
      <c r="D17841" s="33" t="s">
        <v>17</v>
      </c>
      <c r="E17841" s="33" t="s">
        <v>212</v>
      </c>
      <c r="F17841" s="33" t="s">
        <v>213</v>
      </c>
      <c r="G17841" s="33" t="s">
        <v>140</v>
      </c>
      <c r="H17841" s="35">
        <v>25</v>
      </c>
      <c r="I17841" s="33" t="s">
        <v>51</v>
      </c>
      <c r="J17841" s="42">
        <v>45535</v>
      </c>
      <c r="K17841" s="33" t="s">
        <v>22</v>
      </c>
    </row>
    <row r="17842" spans="1:11">
      <c r="A17842" s="30" t="s">
        <v>39869</v>
      </c>
      <c r="B17842" s="30" t="s">
        <v>39870</v>
      </c>
      <c r="C17842" s="30" t="s">
        <v>22999</v>
      </c>
      <c r="D17842" s="30" t="s">
        <v>17</v>
      </c>
      <c r="E17842" s="30" t="s">
        <v>31</v>
      </c>
      <c r="F17842" s="30" t="s">
        <v>32</v>
      </c>
      <c r="G17842" s="30" t="s">
        <v>158</v>
      </c>
      <c r="H17842" s="32">
        <v>93</v>
      </c>
      <c r="I17842" s="30" t="s">
        <v>51</v>
      </c>
      <c r="J17842" s="41">
        <v>45530</v>
      </c>
      <c r="K17842" s="30" t="s">
        <v>22</v>
      </c>
    </row>
    <row r="17843" spans="1:11">
      <c r="A17843" s="33" t="s">
        <v>39871</v>
      </c>
      <c r="B17843" s="33" t="s">
        <v>39872</v>
      </c>
      <c r="C17843" s="33" t="s">
        <v>44</v>
      </c>
      <c r="D17843" s="33" t="s">
        <v>17</v>
      </c>
      <c r="E17843" s="33" t="s">
        <v>31</v>
      </c>
      <c r="F17843" s="33" t="s">
        <v>32</v>
      </c>
      <c r="G17843" s="33" t="s">
        <v>158</v>
      </c>
      <c r="H17843" s="35">
        <v>19</v>
      </c>
      <c r="I17843" s="33" t="s">
        <v>21</v>
      </c>
      <c r="J17843" s="42">
        <v>45565</v>
      </c>
      <c r="K17843" s="33" t="s">
        <v>22</v>
      </c>
    </row>
    <row r="17844" spans="1:11">
      <c r="A17844" s="30" t="s">
        <v>39873</v>
      </c>
      <c r="B17844" s="30" t="s">
        <v>39874</v>
      </c>
      <c r="C17844" s="30" t="s">
        <v>4210</v>
      </c>
      <c r="D17844" s="30" t="s">
        <v>17</v>
      </c>
      <c r="E17844" s="30" t="s">
        <v>26</v>
      </c>
      <c r="F17844" s="30" t="s">
        <v>27</v>
      </c>
      <c r="G17844" s="30" t="s">
        <v>50</v>
      </c>
      <c r="H17844" s="32">
        <v>24</v>
      </c>
      <c r="I17844" s="30" t="s">
        <v>51</v>
      </c>
      <c r="J17844" s="41">
        <v>45352</v>
      </c>
      <c r="K17844" s="30" t="s">
        <v>22</v>
      </c>
    </row>
    <row r="17845" spans="1:11">
      <c r="A17845" s="33" t="s">
        <v>39875</v>
      </c>
      <c r="B17845" s="33" t="s">
        <v>39876</v>
      </c>
      <c r="C17845" s="33" t="s">
        <v>5251</v>
      </c>
      <c r="D17845" s="33" t="s">
        <v>17</v>
      </c>
      <c r="E17845" s="33" t="s">
        <v>31</v>
      </c>
      <c r="F17845" s="33" t="s">
        <v>32</v>
      </c>
      <c r="G17845" s="33" t="s">
        <v>50</v>
      </c>
      <c r="H17845" s="35">
        <v>157</v>
      </c>
      <c r="I17845" s="33" t="s">
        <v>21</v>
      </c>
      <c r="J17845" s="42">
        <v>45381</v>
      </c>
      <c r="K17845" s="33" t="s">
        <v>22</v>
      </c>
    </row>
    <row r="17846" spans="1:11">
      <c r="A17846" s="30" t="s">
        <v>39877</v>
      </c>
      <c r="B17846" s="30" t="s">
        <v>39878</v>
      </c>
      <c r="C17846" s="30" t="s">
        <v>39879</v>
      </c>
      <c r="D17846" s="30" t="s">
        <v>17</v>
      </c>
      <c r="E17846" s="30" t="s">
        <v>26</v>
      </c>
      <c r="F17846" s="30" t="s">
        <v>27</v>
      </c>
      <c r="G17846" s="30" t="s">
        <v>20</v>
      </c>
      <c r="H17846" s="32">
        <v>152</v>
      </c>
      <c r="I17846" s="30" t="s">
        <v>21</v>
      </c>
      <c r="J17846" s="41">
        <v>45309</v>
      </c>
      <c r="K17846" s="30" t="s">
        <v>22</v>
      </c>
    </row>
    <row r="17847" spans="1:11">
      <c r="A17847" s="33" t="s">
        <v>39880</v>
      </c>
      <c r="B17847" s="33" t="s">
        <v>39881</v>
      </c>
      <c r="C17847" s="33" t="s">
        <v>969</v>
      </c>
      <c r="D17847" s="33" t="s">
        <v>17</v>
      </c>
      <c r="E17847" s="33" t="s">
        <v>18</v>
      </c>
      <c r="F17847" s="33" t="s">
        <v>19</v>
      </c>
      <c r="G17847" s="33" t="s">
        <v>140</v>
      </c>
      <c r="H17847" s="35">
        <v>150</v>
      </c>
      <c r="I17847" s="33" t="s">
        <v>51</v>
      </c>
      <c r="J17847" s="42">
        <v>45492</v>
      </c>
      <c r="K17847" s="33" t="s">
        <v>22</v>
      </c>
    </row>
    <row r="17848" spans="1:11">
      <c r="A17848" s="30" t="s">
        <v>39882</v>
      </c>
      <c r="B17848" s="30" t="s">
        <v>39883</v>
      </c>
      <c r="C17848" s="30" t="s">
        <v>7581</v>
      </c>
      <c r="D17848" s="30" t="s">
        <v>17</v>
      </c>
      <c r="E17848" s="30" t="s">
        <v>26</v>
      </c>
      <c r="F17848" s="30" t="s">
        <v>27</v>
      </c>
      <c r="G17848" s="30" t="s">
        <v>20</v>
      </c>
      <c r="H17848" s="32">
        <v>87</v>
      </c>
      <c r="I17848" s="30" t="s">
        <v>21</v>
      </c>
      <c r="J17848" s="41">
        <v>45482</v>
      </c>
      <c r="K17848" s="30" t="s">
        <v>22</v>
      </c>
    </row>
    <row r="17849" spans="1:11">
      <c r="A17849" s="33" t="s">
        <v>39884</v>
      </c>
      <c r="B17849" s="33" t="s">
        <v>39885</v>
      </c>
      <c r="C17849" s="33" t="s">
        <v>31562</v>
      </c>
      <c r="D17849" s="33" t="s">
        <v>17</v>
      </c>
      <c r="E17849" s="33" t="s">
        <v>26</v>
      </c>
      <c r="F17849" s="33" t="s">
        <v>27</v>
      </c>
      <c r="G17849" s="33" t="s">
        <v>140</v>
      </c>
      <c r="H17849" s="35">
        <v>1048</v>
      </c>
      <c r="I17849" s="33" t="s">
        <v>51</v>
      </c>
      <c r="J17849" s="42">
        <v>45393</v>
      </c>
      <c r="K17849" s="33" t="s">
        <v>22</v>
      </c>
    </row>
    <row r="17850" spans="1:11">
      <c r="A17850" s="30" t="s">
        <v>39886</v>
      </c>
      <c r="B17850" s="30" t="s">
        <v>39887</v>
      </c>
      <c r="C17850" s="30" t="s">
        <v>3578</v>
      </c>
      <c r="D17850" s="30" t="s">
        <v>17</v>
      </c>
      <c r="E17850" s="30" t="s">
        <v>31</v>
      </c>
      <c r="F17850" s="30" t="s">
        <v>32</v>
      </c>
      <c r="G17850" s="30" t="s">
        <v>20</v>
      </c>
      <c r="H17850" s="32">
        <v>162</v>
      </c>
      <c r="I17850" s="30" t="s">
        <v>21</v>
      </c>
      <c r="J17850" s="41">
        <v>45307</v>
      </c>
      <c r="K17850" s="30" t="s">
        <v>22</v>
      </c>
    </row>
    <row r="17851" spans="1:11">
      <c r="A17851" s="33" t="s">
        <v>39888</v>
      </c>
      <c r="B17851" s="33" t="s">
        <v>39889</v>
      </c>
      <c r="C17851" s="33" t="s">
        <v>5050</v>
      </c>
      <c r="D17851" s="33" t="s">
        <v>17</v>
      </c>
      <c r="E17851" s="33" t="s">
        <v>67</v>
      </c>
      <c r="F17851" s="33" t="s">
        <v>68</v>
      </c>
      <c r="G17851" s="33" t="s">
        <v>140</v>
      </c>
      <c r="H17851" s="35">
        <v>161</v>
      </c>
      <c r="I17851" s="33" t="s">
        <v>51</v>
      </c>
      <c r="J17851" s="42">
        <v>45567</v>
      </c>
      <c r="K17851" s="33" t="s">
        <v>22</v>
      </c>
    </row>
    <row r="17852" spans="1:11">
      <c r="A17852" s="30" t="s">
        <v>39890</v>
      </c>
      <c r="B17852" s="30" t="s">
        <v>20867</v>
      </c>
      <c r="C17852" s="30" t="s">
        <v>13050</v>
      </c>
      <c r="D17852" s="30" t="s">
        <v>17</v>
      </c>
      <c r="E17852" s="30" t="s">
        <v>67</v>
      </c>
      <c r="F17852" s="30" t="s">
        <v>68</v>
      </c>
      <c r="G17852" s="30" t="s">
        <v>140</v>
      </c>
      <c r="H17852" s="32">
        <v>78</v>
      </c>
      <c r="I17852" s="30" t="s">
        <v>51</v>
      </c>
      <c r="J17852" s="41">
        <v>45657</v>
      </c>
      <c r="K17852" s="30" t="s">
        <v>22</v>
      </c>
    </row>
    <row r="17853" spans="1:11">
      <c r="A17853" s="33" t="s">
        <v>39891</v>
      </c>
      <c r="B17853" s="33" t="s">
        <v>39892</v>
      </c>
      <c r="C17853" s="33" t="s">
        <v>969</v>
      </c>
      <c r="D17853" s="33" t="s">
        <v>17</v>
      </c>
      <c r="E17853" s="33" t="s">
        <v>26</v>
      </c>
      <c r="F17853" s="33" t="s">
        <v>27</v>
      </c>
      <c r="G17853" s="33" t="s">
        <v>20</v>
      </c>
      <c r="H17853" s="35">
        <v>24</v>
      </c>
      <c r="I17853" s="33" t="s">
        <v>21</v>
      </c>
      <c r="J17853" s="42">
        <v>45502</v>
      </c>
      <c r="K17853" s="33" t="s">
        <v>22</v>
      </c>
    </row>
    <row r="17854" spans="1:11">
      <c r="A17854" s="30" t="s">
        <v>39893</v>
      </c>
      <c r="B17854" s="30" t="s">
        <v>39894</v>
      </c>
      <c r="C17854" s="30" t="s">
        <v>39895</v>
      </c>
      <c r="D17854" s="30" t="s">
        <v>17</v>
      </c>
      <c r="E17854" s="30" t="s">
        <v>26</v>
      </c>
      <c r="F17854" s="30" t="s">
        <v>27</v>
      </c>
      <c r="G17854" s="30" t="s">
        <v>140</v>
      </c>
      <c r="H17854" s="32">
        <v>21</v>
      </c>
      <c r="I17854" s="30" t="s">
        <v>51</v>
      </c>
      <c r="J17854" s="41">
        <v>45533</v>
      </c>
      <c r="K17854" s="30" t="s">
        <v>22</v>
      </c>
    </row>
    <row r="17855" spans="1:11">
      <c r="A17855" s="33" t="s">
        <v>39896</v>
      </c>
      <c r="B17855" s="33" t="s">
        <v>39897</v>
      </c>
      <c r="C17855" s="33" t="s">
        <v>190</v>
      </c>
      <c r="D17855" s="33" t="s">
        <v>17</v>
      </c>
      <c r="E17855" s="33" t="s">
        <v>26</v>
      </c>
      <c r="F17855" s="33" t="s">
        <v>27</v>
      </c>
      <c r="G17855" s="33" t="s">
        <v>20</v>
      </c>
      <c r="H17855" s="35">
        <v>14</v>
      </c>
      <c r="I17855" s="33" t="s">
        <v>21</v>
      </c>
      <c r="J17855" s="42">
        <v>45523</v>
      </c>
      <c r="K17855" s="33" t="s">
        <v>22</v>
      </c>
    </row>
    <row r="17856" spans="1:11">
      <c r="A17856" s="30" t="s">
        <v>39898</v>
      </c>
      <c r="B17856" s="30" t="s">
        <v>39899</v>
      </c>
      <c r="C17856" s="30" t="s">
        <v>18431</v>
      </c>
      <c r="D17856" s="30" t="s">
        <v>17</v>
      </c>
      <c r="E17856" s="30" t="s">
        <v>26</v>
      </c>
      <c r="F17856" s="30" t="s">
        <v>27</v>
      </c>
      <c r="G17856" s="30" t="s">
        <v>20</v>
      </c>
      <c r="H17856" s="32">
        <v>21</v>
      </c>
      <c r="I17856" s="30" t="s">
        <v>21</v>
      </c>
      <c r="J17856" s="41">
        <v>45355</v>
      </c>
      <c r="K17856" s="30" t="s">
        <v>22</v>
      </c>
    </row>
    <row r="17857" spans="1:11">
      <c r="A17857" s="33" t="s">
        <v>39900</v>
      </c>
      <c r="B17857" s="33" t="s">
        <v>39901</v>
      </c>
      <c r="C17857" s="33" t="s">
        <v>5251</v>
      </c>
      <c r="D17857" s="33" t="s">
        <v>17</v>
      </c>
      <c r="E17857" s="33" t="s">
        <v>67</v>
      </c>
      <c r="F17857" s="33" t="s">
        <v>68</v>
      </c>
      <c r="G17857" s="33" t="s">
        <v>20</v>
      </c>
      <c r="H17857" s="35">
        <v>128</v>
      </c>
      <c r="I17857" s="33" t="s">
        <v>21</v>
      </c>
      <c r="J17857" s="42">
        <v>45483</v>
      </c>
      <c r="K17857" s="33" t="s">
        <v>22</v>
      </c>
    </row>
    <row r="17858" spans="1:11">
      <c r="A17858" s="30" t="s">
        <v>39902</v>
      </c>
      <c r="B17858" s="30" t="s">
        <v>39903</v>
      </c>
      <c r="C17858" s="30" t="s">
        <v>2618</v>
      </c>
      <c r="D17858" s="30" t="s">
        <v>17</v>
      </c>
      <c r="E17858" s="30" t="s">
        <v>31</v>
      </c>
      <c r="F17858" s="30" t="s">
        <v>32</v>
      </c>
      <c r="G17858" s="30" t="s">
        <v>158</v>
      </c>
      <c r="H17858" s="32">
        <v>63</v>
      </c>
      <c r="I17858" s="30" t="s">
        <v>21</v>
      </c>
      <c r="J17858" s="41">
        <v>45595</v>
      </c>
      <c r="K17858" s="30" t="s">
        <v>22</v>
      </c>
    </row>
    <row r="17859" spans="1:11">
      <c r="A17859" s="33" t="s">
        <v>39904</v>
      </c>
      <c r="B17859" s="33" t="s">
        <v>39905</v>
      </c>
      <c r="C17859" s="33" t="s">
        <v>157</v>
      </c>
      <c r="D17859" s="33" t="s">
        <v>17</v>
      </c>
      <c r="E17859" s="33" t="s">
        <v>18</v>
      </c>
      <c r="F17859" s="33" t="s">
        <v>19</v>
      </c>
      <c r="G17859" s="33" t="s">
        <v>20</v>
      </c>
      <c r="H17859" s="35">
        <v>168</v>
      </c>
      <c r="I17859" s="33" t="s">
        <v>21</v>
      </c>
      <c r="J17859" s="42">
        <v>45475</v>
      </c>
      <c r="K17859" s="33" t="s">
        <v>22</v>
      </c>
    </row>
    <row r="17860" spans="1:11">
      <c r="A17860" s="30" t="s">
        <v>39906</v>
      </c>
      <c r="B17860" s="30" t="s">
        <v>39907</v>
      </c>
      <c r="C17860" s="30" t="s">
        <v>329</v>
      </c>
      <c r="D17860" s="30" t="s">
        <v>17</v>
      </c>
      <c r="E17860" s="30" t="s">
        <v>18</v>
      </c>
      <c r="F17860" s="30" t="s">
        <v>19</v>
      </c>
      <c r="G17860" s="30" t="s">
        <v>158</v>
      </c>
      <c r="H17860" s="32">
        <v>840</v>
      </c>
      <c r="I17860" s="30" t="s">
        <v>21</v>
      </c>
      <c r="J17860" s="41">
        <v>45352</v>
      </c>
      <c r="K17860" s="30" t="s">
        <v>22</v>
      </c>
    </row>
    <row r="17861" spans="1:11">
      <c r="A17861" s="33" t="s">
        <v>39908</v>
      </c>
      <c r="B17861" s="33" t="s">
        <v>39909</v>
      </c>
      <c r="C17861" s="33" t="s">
        <v>78</v>
      </c>
      <c r="D17861" s="33" t="s">
        <v>17</v>
      </c>
      <c r="E17861" s="33" t="s">
        <v>26</v>
      </c>
      <c r="F17861" s="33" t="s">
        <v>27</v>
      </c>
      <c r="G17861" s="33" t="s">
        <v>20</v>
      </c>
      <c r="H17861" s="35">
        <v>31</v>
      </c>
      <c r="I17861" s="33" t="s">
        <v>21</v>
      </c>
      <c r="J17861" s="42">
        <v>45415</v>
      </c>
      <c r="K17861" s="33" t="s">
        <v>22</v>
      </c>
    </row>
    <row r="17862" spans="1:11">
      <c r="A17862" s="30" t="s">
        <v>39910</v>
      </c>
      <c r="B17862" s="30" t="s">
        <v>39911</v>
      </c>
      <c r="C17862" s="30" t="s">
        <v>39912</v>
      </c>
      <c r="D17862" s="30" t="s">
        <v>17</v>
      </c>
      <c r="E17862" s="30" t="s">
        <v>26</v>
      </c>
      <c r="F17862" s="30" t="s">
        <v>27</v>
      </c>
      <c r="G17862" s="30" t="s">
        <v>140</v>
      </c>
      <c r="H17862" s="32">
        <v>72</v>
      </c>
      <c r="I17862" s="30" t="s">
        <v>51</v>
      </c>
      <c r="J17862" s="41">
        <v>45362</v>
      </c>
      <c r="K17862" s="30" t="s">
        <v>22</v>
      </c>
    </row>
    <row r="17863" spans="1:11">
      <c r="A17863" s="33" t="s">
        <v>39913</v>
      </c>
      <c r="B17863" s="33" t="s">
        <v>39914</v>
      </c>
      <c r="C17863" s="33" t="s">
        <v>21185</v>
      </c>
      <c r="D17863" s="33" t="s">
        <v>17</v>
      </c>
      <c r="E17863" s="33" t="s">
        <v>26</v>
      </c>
      <c r="F17863" s="33" t="s">
        <v>27</v>
      </c>
      <c r="G17863" s="33" t="s">
        <v>7780</v>
      </c>
      <c r="H17863" s="35">
        <v>120</v>
      </c>
      <c r="I17863" s="33" t="s">
        <v>51</v>
      </c>
      <c r="J17863" s="42">
        <v>45597</v>
      </c>
      <c r="K17863" s="33" t="s">
        <v>22</v>
      </c>
    </row>
    <row r="17864" spans="1:11">
      <c r="A17864" s="30" t="s">
        <v>39915</v>
      </c>
      <c r="B17864" s="30" t="s">
        <v>39916</v>
      </c>
      <c r="C17864" s="30" t="s">
        <v>190</v>
      </c>
      <c r="D17864" s="30" t="s">
        <v>17</v>
      </c>
      <c r="E17864" s="30" t="s">
        <v>31</v>
      </c>
      <c r="F17864" s="30" t="s">
        <v>32</v>
      </c>
      <c r="G17864" s="30" t="s">
        <v>158</v>
      </c>
      <c r="H17864" s="32">
        <v>103</v>
      </c>
      <c r="I17864" s="30" t="s">
        <v>21</v>
      </c>
      <c r="J17864" s="41">
        <v>45386</v>
      </c>
      <c r="K17864" s="30" t="s">
        <v>22</v>
      </c>
    </row>
    <row r="17865" spans="1:11">
      <c r="A17865" s="33" t="s">
        <v>39917</v>
      </c>
      <c r="B17865" s="33" t="s">
        <v>39918</v>
      </c>
      <c r="C17865" s="33" t="s">
        <v>190</v>
      </c>
      <c r="D17865" s="33" t="s">
        <v>17</v>
      </c>
      <c r="E17865" s="33" t="s">
        <v>212</v>
      </c>
      <c r="F17865" s="33" t="s">
        <v>213</v>
      </c>
      <c r="G17865" s="33" t="s">
        <v>112</v>
      </c>
      <c r="H17865" s="35">
        <v>0</v>
      </c>
      <c r="I17865" s="33" t="s">
        <v>21</v>
      </c>
      <c r="J17865" s="42">
        <v>45310</v>
      </c>
      <c r="K17865" s="33" t="s">
        <v>22</v>
      </c>
    </row>
    <row r="17866" spans="1:11">
      <c r="A17866" s="30" t="s">
        <v>39919</v>
      </c>
      <c r="B17866" s="30" t="s">
        <v>39920</v>
      </c>
      <c r="C17866" s="30" t="s">
        <v>39921</v>
      </c>
      <c r="D17866" s="30" t="s">
        <v>17</v>
      </c>
      <c r="E17866" s="30" t="s">
        <v>26</v>
      </c>
      <c r="F17866" s="30" t="s">
        <v>27</v>
      </c>
      <c r="G17866" s="30" t="s">
        <v>140</v>
      </c>
      <c r="H17866" s="32">
        <v>210</v>
      </c>
      <c r="I17866" s="30" t="s">
        <v>51</v>
      </c>
      <c r="J17866" s="41">
        <v>45621</v>
      </c>
      <c r="K17866" s="30" t="s">
        <v>22</v>
      </c>
    </row>
    <row r="17867" spans="1:11">
      <c r="A17867" s="33" t="s">
        <v>39922</v>
      </c>
      <c r="B17867" s="33" t="s">
        <v>39923</v>
      </c>
      <c r="C17867" s="33" t="s">
        <v>3264</v>
      </c>
      <c r="D17867" s="33" t="s">
        <v>17</v>
      </c>
      <c r="E17867" s="33" t="s">
        <v>18</v>
      </c>
      <c r="F17867" s="33" t="s">
        <v>19</v>
      </c>
      <c r="G17867" s="33" t="s">
        <v>140</v>
      </c>
      <c r="H17867" s="35">
        <v>120</v>
      </c>
      <c r="I17867" s="33" t="s">
        <v>51</v>
      </c>
      <c r="J17867" s="42">
        <v>45525</v>
      </c>
      <c r="K17867" s="33" t="s">
        <v>22</v>
      </c>
    </row>
    <row r="17868" spans="1:11">
      <c r="A17868" s="30" t="s">
        <v>39924</v>
      </c>
      <c r="B17868" s="30" t="s">
        <v>39925</v>
      </c>
      <c r="C17868" s="30" t="s">
        <v>39926</v>
      </c>
      <c r="D17868" s="30" t="s">
        <v>17</v>
      </c>
      <c r="E17868" s="30" t="s">
        <v>31</v>
      </c>
      <c r="F17868" s="30" t="s">
        <v>32</v>
      </c>
      <c r="G17868" s="30" t="s">
        <v>158</v>
      </c>
      <c r="H17868" s="32">
        <v>46</v>
      </c>
      <c r="I17868" s="30" t="s">
        <v>51</v>
      </c>
      <c r="J17868" s="41">
        <v>45392</v>
      </c>
      <c r="K17868" s="30" t="s">
        <v>22</v>
      </c>
    </row>
    <row r="17869" spans="1:11">
      <c r="A17869" s="33" t="s">
        <v>39927</v>
      </c>
      <c r="B17869" s="33" t="s">
        <v>39928</v>
      </c>
      <c r="C17869" s="33" t="s">
        <v>39929</v>
      </c>
      <c r="D17869" s="33" t="s">
        <v>17</v>
      </c>
      <c r="E17869" s="33" t="s">
        <v>67</v>
      </c>
      <c r="F17869" s="33" t="s">
        <v>68</v>
      </c>
      <c r="G17869" s="33" t="s">
        <v>140</v>
      </c>
      <c r="H17869" s="35">
        <v>28</v>
      </c>
      <c r="I17869" s="33" t="s">
        <v>51</v>
      </c>
      <c r="J17869" s="42">
        <v>45616</v>
      </c>
      <c r="K17869" s="33" t="s">
        <v>22</v>
      </c>
    </row>
    <row r="17870" spans="1:11">
      <c r="A17870" s="30" t="s">
        <v>39930</v>
      </c>
      <c r="B17870" s="30" t="s">
        <v>39931</v>
      </c>
      <c r="C17870" s="30" t="s">
        <v>18006</v>
      </c>
      <c r="D17870" s="30" t="s">
        <v>17</v>
      </c>
      <c r="E17870" s="30" t="s">
        <v>31</v>
      </c>
      <c r="F17870" s="30" t="s">
        <v>32</v>
      </c>
      <c r="G17870" s="30" t="s">
        <v>158</v>
      </c>
      <c r="H17870" s="32">
        <v>90</v>
      </c>
      <c r="I17870" s="30" t="s">
        <v>51</v>
      </c>
      <c r="J17870" s="41">
        <v>45637</v>
      </c>
      <c r="K17870" s="30" t="s">
        <v>22</v>
      </c>
    </row>
    <row r="17871" spans="1:11">
      <c r="A17871" s="33" t="s">
        <v>39932</v>
      </c>
      <c r="B17871" s="33" t="s">
        <v>39933</v>
      </c>
      <c r="C17871" s="33" t="s">
        <v>1469</v>
      </c>
      <c r="D17871" s="33" t="s">
        <v>17</v>
      </c>
      <c r="E17871" s="33" t="s">
        <v>212</v>
      </c>
      <c r="F17871" s="33" t="s">
        <v>213</v>
      </c>
      <c r="G17871" s="33" t="s">
        <v>20</v>
      </c>
      <c r="H17871" s="35">
        <v>46</v>
      </c>
      <c r="I17871" s="33" t="s">
        <v>21</v>
      </c>
      <c r="J17871" s="42">
        <v>45390</v>
      </c>
      <c r="K17871" s="33" t="s">
        <v>22</v>
      </c>
    </row>
    <row r="17872" spans="1:11">
      <c r="A17872" s="30" t="s">
        <v>39934</v>
      </c>
      <c r="B17872" s="30" t="s">
        <v>39935</v>
      </c>
      <c r="C17872" s="30" t="s">
        <v>3429</v>
      </c>
      <c r="D17872" s="30" t="s">
        <v>17</v>
      </c>
      <c r="E17872" s="30" t="s">
        <v>26</v>
      </c>
      <c r="F17872" s="30" t="s">
        <v>27</v>
      </c>
      <c r="G17872" s="30" t="s">
        <v>20</v>
      </c>
      <c r="H17872" s="32">
        <v>32</v>
      </c>
      <c r="I17872" s="30" t="s">
        <v>21</v>
      </c>
      <c r="J17872" s="41">
        <v>45302</v>
      </c>
      <c r="K17872" s="30" t="s">
        <v>22</v>
      </c>
    </row>
    <row r="17873" spans="1:11">
      <c r="A17873" s="33" t="s">
        <v>39936</v>
      </c>
      <c r="B17873" s="33" t="s">
        <v>39937</v>
      </c>
      <c r="C17873" s="33" t="s">
        <v>39938</v>
      </c>
      <c r="D17873" s="33" t="s">
        <v>17</v>
      </c>
      <c r="E17873" s="33" t="s">
        <v>26</v>
      </c>
      <c r="F17873" s="33" t="s">
        <v>27</v>
      </c>
      <c r="G17873" s="33" t="s">
        <v>20</v>
      </c>
      <c r="H17873" s="35">
        <v>6</v>
      </c>
      <c r="I17873" s="33" t="s">
        <v>21</v>
      </c>
      <c r="J17873" s="42">
        <v>45638</v>
      </c>
      <c r="K17873" s="33" t="s">
        <v>22</v>
      </c>
    </row>
    <row r="17874" spans="1:11">
      <c r="A17874" s="30" t="s">
        <v>39939</v>
      </c>
      <c r="B17874" s="30" t="s">
        <v>39940</v>
      </c>
      <c r="C17874" s="30" t="s">
        <v>25933</v>
      </c>
      <c r="D17874" s="30" t="s">
        <v>17</v>
      </c>
      <c r="E17874" s="30" t="s">
        <v>18</v>
      </c>
      <c r="F17874" s="30" t="s">
        <v>19</v>
      </c>
      <c r="G17874" s="30" t="s">
        <v>106</v>
      </c>
      <c r="H17874" s="32">
        <v>62</v>
      </c>
      <c r="I17874" s="30" t="s">
        <v>21</v>
      </c>
      <c r="J17874" s="41">
        <v>45474</v>
      </c>
      <c r="K17874" s="30" t="s">
        <v>22</v>
      </c>
    </row>
    <row r="17875" spans="1:11">
      <c r="A17875" s="33" t="s">
        <v>39941</v>
      </c>
      <c r="B17875" s="33" t="s">
        <v>39942</v>
      </c>
      <c r="C17875" s="33" t="s">
        <v>570</v>
      </c>
      <c r="D17875" s="33" t="s">
        <v>17</v>
      </c>
      <c r="E17875" s="33" t="s">
        <v>212</v>
      </c>
      <c r="F17875" s="33" t="s">
        <v>213</v>
      </c>
      <c r="G17875" s="33" t="s">
        <v>140</v>
      </c>
      <c r="H17875" s="35">
        <v>336</v>
      </c>
      <c r="I17875" s="33" t="s">
        <v>51</v>
      </c>
      <c r="J17875" s="42">
        <v>45554</v>
      </c>
      <c r="K17875" s="33" t="s">
        <v>22</v>
      </c>
    </row>
    <row r="17876" spans="1:11">
      <c r="A17876" s="30" t="s">
        <v>39943</v>
      </c>
      <c r="B17876" s="30" t="s">
        <v>39944</v>
      </c>
      <c r="C17876" s="30" t="s">
        <v>1090</v>
      </c>
      <c r="D17876" s="30" t="s">
        <v>17</v>
      </c>
      <c r="E17876" s="30" t="s">
        <v>18</v>
      </c>
      <c r="F17876" s="30" t="s">
        <v>19</v>
      </c>
      <c r="G17876" s="30" t="s">
        <v>20</v>
      </c>
      <c r="H17876" s="32">
        <v>506</v>
      </c>
      <c r="I17876" s="30" t="s">
        <v>21</v>
      </c>
      <c r="J17876" s="41">
        <v>45345</v>
      </c>
      <c r="K17876" s="30" t="s">
        <v>22</v>
      </c>
    </row>
    <row r="17877" spans="1:11">
      <c r="A17877" s="33" t="s">
        <v>39945</v>
      </c>
      <c r="B17877" s="33" t="s">
        <v>39946</v>
      </c>
      <c r="C17877" s="33" t="s">
        <v>39947</v>
      </c>
      <c r="D17877" s="33" t="s">
        <v>17</v>
      </c>
      <c r="E17877" s="33" t="s">
        <v>212</v>
      </c>
      <c r="F17877" s="33" t="s">
        <v>213</v>
      </c>
      <c r="G17877" s="33" t="s">
        <v>20</v>
      </c>
      <c r="H17877" s="35">
        <v>226</v>
      </c>
      <c r="I17877" s="33" t="s">
        <v>21</v>
      </c>
      <c r="J17877" s="42">
        <v>45553</v>
      </c>
      <c r="K17877" s="33" t="s">
        <v>22</v>
      </c>
    </row>
    <row r="17878" spans="1:11">
      <c r="A17878" s="30" t="s">
        <v>39948</v>
      </c>
      <c r="B17878" s="30" t="s">
        <v>39949</v>
      </c>
      <c r="C17878" s="30" t="s">
        <v>39950</v>
      </c>
      <c r="D17878" s="30" t="s">
        <v>17</v>
      </c>
      <c r="E17878" s="30" t="s">
        <v>18</v>
      </c>
      <c r="F17878" s="30" t="s">
        <v>19</v>
      </c>
      <c r="G17878" s="30" t="s">
        <v>140</v>
      </c>
      <c r="H17878" s="32">
        <v>32</v>
      </c>
      <c r="I17878" s="30" t="s">
        <v>51</v>
      </c>
      <c r="J17878" s="41">
        <v>45604</v>
      </c>
      <c r="K17878" s="30" t="s">
        <v>22</v>
      </c>
    </row>
    <row r="17879" spans="1:11">
      <c r="A17879" s="33" t="s">
        <v>39951</v>
      </c>
      <c r="B17879" s="33" t="s">
        <v>39952</v>
      </c>
      <c r="C17879" s="33" t="s">
        <v>886</v>
      </c>
      <c r="D17879" s="33" t="s">
        <v>17</v>
      </c>
      <c r="E17879" s="33" t="s">
        <v>26</v>
      </c>
      <c r="F17879" s="33" t="s">
        <v>27</v>
      </c>
      <c r="G17879" s="33" t="s">
        <v>20</v>
      </c>
      <c r="H17879" s="35">
        <v>48</v>
      </c>
      <c r="I17879" s="33" t="s">
        <v>21</v>
      </c>
      <c r="J17879" s="42">
        <v>45568</v>
      </c>
      <c r="K17879" s="33" t="s">
        <v>22</v>
      </c>
    </row>
    <row r="17880" spans="1:11">
      <c r="A17880" s="30" t="s">
        <v>39953</v>
      </c>
      <c r="B17880" s="30" t="s">
        <v>39954</v>
      </c>
      <c r="C17880" s="30" t="s">
        <v>7965</v>
      </c>
      <c r="D17880" s="30" t="s">
        <v>17</v>
      </c>
      <c r="E17880" s="30" t="s">
        <v>31</v>
      </c>
      <c r="F17880" s="30" t="s">
        <v>32</v>
      </c>
      <c r="G17880" s="30" t="s">
        <v>20</v>
      </c>
      <c r="H17880" s="32">
        <v>26</v>
      </c>
      <c r="I17880" s="30" t="s">
        <v>21</v>
      </c>
      <c r="J17880" s="41">
        <v>45505</v>
      </c>
      <c r="K17880" s="30" t="s">
        <v>22</v>
      </c>
    </row>
    <row r="17881" spans="1:11">
      <c r="A17881" s="33" t="s">
        <v>39955</v>
      </c>
      <c r="B17881" s="33" t="s">
        <v>39956</v>
      </c>
      <c r="C17881" s="33" t="s">
        <v>26943</v>
      </c>
      <c r="D17881" s="33" t="s">
        <v>17</v>
      </c>
      <c r="E17881" s="33" t="s">
        <v>18</v>
      </c>
      <c r="F17881" s="33" t="s">
        <v>19</v>
      </c>
      <c r="G17881" s="33" t="s">
        <v>158</v>
      </c>
      <c r="H17881" s="35">
        <v>345</v>
      </c>
      <c r="I17881" s="33" t="s">
        <v>21</v>
      </c>
      <c r="J17881" s="42">
        <v>45624</v>
      </c>
      <c r="K17881" s="33" t="s">
        <v>22</v>
      </c>
    </row>
    <row r="17882" spans="1:11">
      <c r="A17882" s="30" t="s">
        <v>39957</v>
      </c>
      <c r="B17882" s="30" t="s">
        <v>39958</v>
      </c>
      <c r="C17882" s="30" t="s">
        <v>3655</v>
      </c>
      <c r="D17882" s="30" t="s">
        <v>17</v>
      </c>
      <c r="E17882" s="30" t="s">
        <v>31</v>
      </c>
      <c r="F17882" s="30" t="s">
        <v>32</v>
      </c>
      <c r="G17882" s="30" t="s">
        <v>158</v>
      </c>
      <c r="H17882" s="32">
        <v>110</v>
      </c>
      <c r="I17882" s="30" t="s">
        <v>51</v>
      </c>
      <c r="J17882" s="41">
        <v>45509</v>
      </c>
      <c r="K17882" s="30" t="s">
        <v>22</v>
      </c>
    </row>
    <row r="17883" spans="1:11">
      <c r="A17883" s="33" t="s">
        <v>39959</v>
      </c>
      <c r="B17883" s="33" t="s">
        <v>39960</v>
      </c>
      <c r="C17883" s="33" t="s">
        <v>20598</v>
      </c>
      <c r="D17883" s="33" t="s">
        <v>17</v>
      </c>
      <c r="E17883" s="33" t="s">
        <v>31</v>
      </c>
      <c r="F17883" s="33" t="s">
        <v>32</v>
      </c>
      <c r="G17883" s="33" t="s">
        <v>140</v>
      </c>
      <c r="H17883" s="35">
        <v>230</v>
      </c>
      <c r="I17883" s="33" t="s">
        <v>51</v>
      </c>
      <c r="J17883" s="42">
        <v>45555</v>
      </c>
      <c r="K17883" s="33" t="s">
        <v>22</v>
      </c>
    </row>
    <row r="17884" spans="1:11">
      <c r="A17884" s="30" t="s">
        <v>39961</v>
      </c>
      <c r="B17884" s="30" t="s">
        <v>39962</v>
      </c>
      <c r="C17884" s="30" t="s">
        <v>12458</v>
      </c>
      <c r="D17884" s="30" t="s">
        <v>17</v>
      </c>
      <c r="E17884" s="30" t="s">
        <v>330</v>
      </c>
      <c r="F17884" s="30" t="s">
        <v>331</v>
      </c>
      <c r="G17884" s="30" t="s">
        <v>20</v>
      </c>
      <c r="H17884" s="32">
        <v>30</v>
      </c>
      <c r="I17884" s="30" t="s">
        <v>21</v>
      </c>
      <c r="J17884" s="41">
        <v>45531</v>
      </c>
      <c r="K17884" s="30" t="s">
        <v>22</v>
      </c>
    </row>
    <row r="17885" spans="1:11">
      <c r="A17885" s="33" t="s">
        <v>39963</v>
      </c>
      <c r="B17885" s="33" t="s">
        <v>39964</v>
      </c>
      <c r="C17885" s="33" t="s">
        <v>1165</v>
      </c>
      <c r="D17885" s="33" t="s">
        <v>17</v>
      </c>
      <c r="E17885" s="33" t="s">
        <v>18</v>
      </c>
      <c r="F17885" s="33" t="s">
        <v>19</v>
      </c>
      <c r="G17885" s="33" t="s">
        <v>140</v>
      </c>
      <c r="H17885" s="35">
        <v>69</v>
      </c>
      <c r="I17885" s="33" t="s">
        <v>51</v>
      </c>
      <c r="J17885" s="42">
        <v>45583</v>
      </c>
      <c r="K17885" s="33" t="s">
        <v>22</v>
      </c>
    </row>
    <row r="17886" spans="1:11">
      <c r="A17886" s="30" t="s">
        <v>39965</v>
      </c>
      <c r="B17886" s="30" t="s">
        <v>39966</v>
      </c>
      <c r="C17886" s="30" t="s">
        <v>8566</v>
      </c>
      <c r="D17886" s="30" t="s">
        <v>17</v>
      </c>
      <c r="E17886" s="30" t="s">
        <v>26</v>
      </c>
      <c r="F17886" s="30" t="s">
        <v>27</v>
      </c>
      <c r="G17886" s="30" t="s">
        <v>112</v>
      </c>
      <c r="H17886" s="32">
        <v>0</v>
      </c>
      <c r="I17886" s="30" t="s">
        <v>21</v>
      </c>
      <c r="J17886" s="41">
        <v>45627</v>
      </c>
      <c r="K17886" s="30" t="s">
        <v>22</v>
      </c>
    </row>
    <row r="17887" spans="1:11">
      <c r="A17887" s="33" t="s">
        <v>39967</v>
      </c>
      <c r="B17887" s="33" t="s">
        <v>39968</v>
      </c>
      <c r="C17887" s="33" t="s">
        <v>1826</v>
      </c>
      <c r="D17887" s="33" t="s">
        <v>17</v>
      </c>
      <c r="E17887" s="33" t="s">
        <v>212</v>
      </c>
      <c r="F17887" s="33" t="s">
        <v>213</v>
      </c>
      <c r="G17887" s="33" t="s">
        <v>20</v>
      </c>
      <c r="H17887" s="35">
        <v>161</v>
      </c>
      <c r="I17887" s="33" t="s">
        <v>21</v>
      </c>
      <c r="J17887" s="42">
        <v>45376</v>
      </c>
      <c r="K17887" s="33" t="s">
        <v>22</v>
      </c>
    </row>
    <row r="17888" spans="1:11">
      <c r="A17888" s="30" t="s">
        <v>39969</v>
      </c>
      <c r="B17888" s="30" t="s">
        <v>39970</v>
      </c>
      <c r="C17888" s="30" t="s">
        <v>21674</v>
      </c>
      <c r="D17888" s="30" t="s">
        <v>17</v>
      </c>
      <c r="E17888" s="30" t="s">
        <v>31</v>
      </c>
      <c r="F17888" s="30" t="s">
        <v>32</v>
      </c>
      <c r="G17888" s="30" t="s">
        <v>2613</v>
      </c>
      <c r="H17888" s="32">
        <v>276</v>
      </c>
      <c r="I17888" s="30" t="s">
        <v>51</v>
      </c>
      <c r="J17888" s="41">
        <v>45506</v>
      </c>
      <c r="K17888" s="30" t="s">
        <v>22</v>
      </c>
    </row>
    <row r="17889" spans="1:11">
      <c r="A17889" s="33" t="s">
        <v>39971</v>
      </c>
      <c r="B17889" s="33" t="s">
        <v>39972</v>
      </c>
      <c r="C17889" s="33" t="s">
        <v>39973</v>
      </c>
      <c r="D17889" s="33" t="s">
        <v>17</v>
      </c>
      <c r="E17889" s="33" t="s">
        <v>26</v>
      </c>
      <c r="F17889" s="33" t="s">
        <v>27</v>
      </c>
      <c r="G17889" s="33" t="s">
        <v>7780</v>
      </c>
      <c r="H17889" s="35">
        <v>36</v>
      </c>
      <c r="I17889" s="33" t="s">
        <v>51</v>
      </c>
      <c r="J17889" s="42">
        <v>45627</v>
      </c>
      <c r="K17889" s="33" t="s">
        <v>22</v>
      </c>
    </row>
    <row r="17890" spans="1:11">
      <c r="A17890" s="30" t="s">
        <v>39974</v>
      </c>
      <c r="B17890" s="30" t="s">
        <v>39975</v>
      </c>
      <c r="C17890" s="30" t="s">
        <v>39976</v>
      </c>
      <c r="D17890" s="30" t="s">
        <v>17</v>
      </c>
      <c r="E17890" s="30" t="s">
        <v>31</v>
      </c>
      <c r="F17890" s="30" t="s">
        <v>32</v>
      </c>
      <c r="G17890" s="30" t="s">
        <v>112</v>
      </c>
      <c r="H17890" s="32">
        <v>0</v>
      </c>
      <c r="I17890" s="30" t="s">
        <v>21</v>
      </c>
      <c r="J17890" s="41">
        <v>45352</v>
      </c>
      <c r="K17890" s="30" t="s">
        <v>22</v>
      </c>
    </row>
    <row r="17891" spans="1:11">
      <c r="A17891" s="33" t="s">
        <v>39977</v>
      </c>
      <c r="B17891" s="33" t="s">
        <v>39978</v>
      </c>
      <c r="C17891" s="33" t="s">
        <v>24475</v>
      </c>
      <c r="D17891" s="33" t="s">
        <v>17</v>
      </c>
      <c r="E17891" s="33" t="s">
        <v>67</v>
      </c>
      <c r="F17891" s="33" t="s">
        <v>68</v>
      </c>
      <c r="G17891" s="33" t="s">
        <v>50</v>
      </c>
      <c r="H17891" s="35">
        <v>30</v>
      </c>
      <c r="I17891" s="33" t="s">
        <v>51</v>
      </c>
      <c r="J17891" s="42">
        <v>45408</v>
      </c>
      <c r="K17891" s="33" t="s">
        <v>22</v>
      </c>
    </row>
    <row r="17892" spans="1:11">
      <c r="A17892" s="30" t="s">
        <v>39979</v>
      </c>
      <c r="B17892" s="30" t="s">
        <v>39980</v>
      </c>
      <c r="C17892" s="30" t="s">
        <v>39981</v>
      </c>
      <c r="D17892" s="30" t="s">
        <v>17</v>
      </c>
      <c r="E17892" s="30" t="s">
        <v>26</v>
      </c>
      <c r="F17892" s="30" t="s">
        <v>27</v>
      </c>
      <c r="G17892" s="30" t="s">
        <v>158</v>
      </c>
      <c r="H17892" s="32">
        <v>10</v>
      </c>
      <c r="I17892" s="30" t="s">
        <v>21</v>
      </c>
      <c r="J17892" s="41">
        <v>45531</v>
      </c>
      <c r="K17892" s="30" t="s">
        <v>22</v>
      </c>
    </row>
    <row r="17893" spans="1:11">
      <c r="A17893" s="33" t="s">
        <v>39982</v>
      </c>
      <c r="B17893" s="33" t="s">
        <v>39983</v>
      </c>
      <c r="C17893" s="33" t="s">
        <v>570</v>
      </c>
      <c r="D17893" s="33" t="s">
        <v>17</v>
      </c>
      <c r="E17893" s="33" t="s">
        <v>26</v>
      </c>
      <c r="F17893" s="33" t="s">
        <v>27</v>
      </c>
      <c r="G17893" s="33" t="s">
        <v>50</v>
      </c>
      <c r="H17893" s="35">
        <v>228</v>
      </c>
      <c r="I17893" s="33" t="s">
        <v>51</v>
      </c>
      <c r="J17893" s="42">
        <v>45394</v>
      </c>
      <c r="K17893" s="33" t="s">
        <v>22</v>
      </c>
    </row>
    <row r="17894" spans="1:11">
      <c r="A17894" s="30" t="s">
        <v>39984</v>
      </c>
      <c r="B17894" s="30" t="s">
        <v>39985</v>
      </c>
      <c r="C17894" s="30" t="s">
        <v>1151</v>
      </c>
      <c r="D17894" s="30" t="s">
        <v>17</v>
      </c>
      <c r="E17894" s="30" t="s">
        <v>67</v>
      </c>
      <c r="F17894" s="30" t="s">
        <v>68</v>
      </c>
      <c r="G17894" s="30" t="s">
        <v>140</v>
      </c>
      <c r="H17894" s="32">
        <v>180</v>
      </c>
      <c r="I17894" s="30" t="s">
        <v>51</v>
      </c>
      <c r="J17894" s="41">
        <v>45630</v>
      </c>
      <c r="K17894" s="30" t="s">
        <v>22</v>
      </c>
    </row>
    <row r="17895" spans="1:11">
      <c r="A17895" s="33" t="s">
        <v>39986</v>
      </c>
      <c r="B17895" s="33" t="s">
        <v>39987</v>
      </c>
      <c r="C17895" s="33" t="s">
        <v>19750</v>
      </c>
      <c r="D17895" s="33" t="s">
        <v>17</v>
      </c>
      <c r="E17895" s="33" t="s">
        <v>67</v>
      </c>
      <c r="F17895" s="33" t="s">
        <v>68</v>
      </c>
      <c r="G17895" s="33" t="s">
        <v>158</v>
      </c>
      <c r="H17895" s="35">
        <v>54</v>
      </c>
      <c r="I17895" s="33" t="s">
        <v>51</v>
      </c>
      <c r="J17895" s="42">
        <v>45442</v>
      </c>
      <c r="K17895" s="33" t="s">
        <v>22</v>
      </c>
    </row>
    <row r="17896" spans="1:11">
      <c r="A17896" s="30" t="s">
        <v>39988</v>
      </c>
      <c r="B17896" s="30" t="s">
        <v>39989</v>
      </c>
      <c r="C17896" s="30" t="s">
        <v>1080</v>
      </c>
      <c r="D17896" s="30" t="s">
        <v>17</v>
      </c>
      <c r="E17896" s="30" t="s">
        <v>31</v>
      </c>
      <c r="F17896" s="30" t="s">
        <v>32</v>
      </c>
      <c r="G17896" s="30" t="s">
        <v>20</v>
      </c>
      <c r="H17896" s="32">
        <v>69</v>
      </c>
      <c r="I17896" s="30" t="s">
        <v>21</v>
      </c>
      <c r="J17896" s="41">
        <v>45462</v>
      </c>
      <c r="K17896" s="30" t="s">
        <v>22</v>
      </c>
    </row>
    <row r="17897" spans="1:11">
      <c r="A17897" s="33" t="s">
        <v>39990</v>
      </c>
      <c r="B17897" s="33" t="s">
        <v>39991</v>
      </c>
      <c r="C17897" s="33" t="s">
        <v>24203</v>
      </c>
      <c r="D17897" s="33" t="s">
        <v>17</v>
      </c>
      <c r="E17897" s="33" t="s">
        <v>67</v>
      </c>
      <c r="F17897" s="33" t="s">
        <v>68</v>
      </c>
      <c r="G17897" s="33" t="s">
        <v>140</v>
      </c>
      <c r="H17897" s="35">
        <v>27</v>
      </c>
      <c r="I17897" s="33" t="s">
        <v>51</v>
      </c>
      <c r="J17897" s="42">
        <v>45442</v>
      </c>
      <c r="K17897" s="33" t="s">
        <v>22</v>
      </c>
    </row>
    <row r="17898" spans="1:11">
      <c r="A17898" s="30" t="s">
        <v>39992</v>
      </c>
      <c r="B17898" s="30" t="s">
        <v>39993</v>
      </c>
      <c r="C17898" s="30" t="s">
        <v>9095</v>
      </c>
      <c r="D17898" s="30" t="s">
        <v>17</v>
      </c>
      <c r="E17898" s="30" t="s">
        <v>18</v>
      </c>
      <c r="F17898" s="30" t="s">
        <v>19</v>
      </c>
      <c r="G17898" s="30" t="s">
        <v>140</v>
      </c>
      <c r="H17898" s="32">
        <v>726</v>
      </c>
      <c r="I17898" s="30" t="s">
        <v>51</v>
      </c>
      <c r="J17898" s="41">
        <v>45656</v>
      </c>
      <c r="K17898" s="30" t="s">
        <v>22</v>
      </c>
    </row>
    <row r="17899" spans="1:11">
      <c r="A17899" s="33" t="s">
        <v>39994</v>
      </c>
      <c r="B17899" s="33" t="s">
        <v>39995</v>
      </c>
      <c r="C17899" s="33" t="s">
        <v>39996</v>
      </c>
      <c r="D17899" s="33" t="s">
        <v>17</v>
      </c>
      <c r="E17899" s="33" t="s">
        <v>31</v>
      </c>
      <c r="F17899" s="33" t="s">
        <v>32</v>
      </c>
      <c r="G17899" s="33" t="s">
        <v>50</v>
      </c>
      <c r="H17899" s="35">
        <v>300</v>
      </c>
      <c r="I17899" s="33" t="s">
        <v>51</v>
      </c>
      <c r="J17899" s="42">
        <v>45329</v>
      </c>
      <c r="K17899" s="33" t="s">
        <v>22</v>
      </c>
    </row>
    <row r="17900" spans="1:11">
      <c r="A17900" s="30" t="s">
        <v>39997</v>
      </c>
      <c r="B17900" s="30" t="s">
        <v>39998</v>
      </c>
      <c r="C17900" s="30" t="s">
        <v>310</v>
      </c>
      <c r="D17900" s="30" t="s">
        <v>17</v>
      </c>
      <c r="E17900" s="30" t="s">
        <v>26</v>
      </c>
      <c r="F17900" s="30" t="s">
        <v>27</v>
      </c>
      <c r="G17900" s="30" t="s">
        <v>20</v>
      </c>
      <c r="H17900" s="32">
        <v>43</v>
      </c>
      <c r="I17900" s="30" t="s">
        <v>21</v>
      </c>
      <c r="J17900" s="41">
        <v>45457</v>
      </c>
      <c r="K17900" s="30" t="s">
        <v>22</v>
      </c>
    </row>
    <row r="17901" spans="1:11">
      <c r="A17901" s="33" t="s">
        <v>39999</v>
      </c>
      <c r="B17901" s="33" t="s">
        <v>40000</v>
      </c>
      <c r="C17901" s="33" t="s">
        <v>3673</v>
      </c>
      <c r="D17901" s="33" t="s">
        <v>17</v>
      </c>
      <c r="E17901" s="33" t="s">
        <v>31</v>
      </c>
      <c r="F17901" s="33" t="s">
        <v>32</v>
      </c>
      <c r="G17901" s="33" t="s">
        <v>7780</v>
      </c>
      <c r="H17901" s="35">
        <v>180</v>
      </c>
      <c r="I17901" s="33" t="s">
        <v>51</v>
      </c>
      <c r="J17901" s="42">
        <v>45536</v>
      </c>
      <c r="K17901" s="33" t="s">
        <v>22</v>
      </c>
    </row>
    <row r="17902" spans="1:11">
      <c r="A17902" s="30" t="s">
        <v>40001</v>
      </c>
      <c r="B17902" s="30" t="s">
        <v>40002</v>
      </c>
      <c r="C17902" s="30" t="s">
        <v>40003</v>
      </c>
      <c r="D17902" s="30" t="s">
        <v>17</v>
      </c>
      <c r="E17902" s="30" t="s">
        <v>26</v>
      </c>
      <c r="F17902" s="30" t="s">
        <v>27</v>
      </c>
      <c r="G17902" s="30" t="s">
        <v>20</v>
      </c>
      <c r="H17902" s="32">
        <v>22</v>
      </c>
      <c r="I17902" s="30" t="s">
        <v>21</v>
      </c>
      <c r="J17902" s="41">
        <v>45351</v>
      </c>
      <c r="K17902" s="30" t="s">
        <v>22</v>
      </c>
    </row>
    <row r="17903" spans="1:11">
      <c r="A17903" s="33" t="s">
        <v>40004</v>
      </c>
      <c r="B17903" s="33" t="s">
        <v>40005</v>
      </c>
      <c r="C17903" s="33" t="s">
        <v>22889</v>
      </c>
      <c r="D17903" s="33" t="s">
        <v>17</v>
      </c>
      <c r="E17903" s="33" t="s">
        <v>67</v>
      </c>
      <c r="F17903" s="33" t="s">
        <v>68</v>
      </c>
      <c r="G17903" s="33" t="s">
        <v>140</v>
      </c>
      <c r="H17903" s="35">
        <v>398</v>
      </c>
      <c r="I17903" s="33" t="s">
        <v>51</v>
      </c>
      <c r="J17903" s="42">
        <v>45327</v>
      </c>
      <c r="K17903" s="33" t="s">
        <v>22</v>
      </c>
    </row>
    <row r="17904" spans="1:11">
      <c r="A17904" s="30" t="s">
        <v>40006</v>
      </c>
      <c r="B17904" s="30" t="s">
        <v>40007</v>
      </c>
      <c r="C17904" s="30" t="s">
        <v>3644</v>
      </c>
      <c r="D17904" s="30" t="s">
        <v>17</v>
      </c>
      <c r="E17904" s="30" t="s">
        <v>31</v>
      </c>
      <c r="F17904" s="30" t="s">
        <v>32</v>
      </c>
      <c r="G17904" s="30" t="s">
        <v>20</v>
      </c>
      <c r="H17904" s="32">
        <v>120</v>
      </c>
      <c r="I17904" s="30" t="s">
        <v>21</v>
      </c>
      <c r="J17904" s="41">
        <v>45467</v>
      </c>
      <c r="K17904" s="30" t="s">
        <v>22</v>
      </c>
    </row>
    <row r="17905" spans="1:11">
      <c r="A17905" s="33" t="s">
        <v>40008</v>
      </c>
      <c r="B17905" s="33" t="s">
        <v>40009</v>
      </c>
      <c r="C17905" s="33" t="s">
        <v>203</v>
      </c>
      <c r="D17905" s="33" t="s">
        <v>17</v>
      </c>
      <c r="E17905" s="33" t="s">
        <v>18</v>
      </c>
      <c r="F17905" s="33" t="s">
        <v>19</v>
      </c>
      <c r="G17905" s="33" t="s">
        <v>158</v>
      </c>
      <c r="H17905" s="35">
        <v>2500</v>
      </c>
      <c r="I17905" s="33" t="s">
        <v>51</v>
      </c>
      <c r="J17905" s="42">
        <v>45398</v>
      </c>
      <c r="K17905" s="33" t="s">
        <v>22</v>
      </c>
    </row>
    <row r="17906" spans="1:11">
      <c r="A17906" s="30" t="s">
        <v>40010</v>
      </c>
      <c r="B17906" s="30" t="s">
        <v>40011</v>
      </c>
      <c r="C17906" s="30" t="s">
        <v>109</v>
      </c>
      <c r="D17906" s="30" t="s">
        <v>17</v>
      </c>
      <c r="E17906" s="30" t="s">
        <v>18</v>
      </c>
      <c r="F17906" s="30" t="s">
        <v>19</v>
      </c>
      <c r="G17906" s="30" t="s">
        <v>140</v>
      </c>
      <c r="H17906" s="32">
        <v>550</v>
      </c>
      <c r="I17906" s="30" t="s">
        <v>51</v>
      </c>
      <c r="J17906" s="41">
        <v>45433</v>
      </c>
      <c r="K17906" s="30" t="s">
        <v>22</v>
      </c>
    </row>
    <row r="17907" spans="1:11">
      <c r="A17907" s="33" t="s">
        <v>40012</v>
      </c>
      <c r="B17907" s="33" t="s">
        <v>40013</v>
      </c>
      <c r="C17907" s="33" t="s">
        <v>1658</v>
      </c>
      <c r="D17907" s="33" t="s">
        <v>17</v>
      </c>
      <c r="E17907" s="33" t="s">
        <v>26</v>
      </c>
      <c r="F17907" s="33" t="s">
        <v>27</v>
      </c>
      <c r="G17907" s="33" t="s">
        <v>158</v>
      </c>
      <c r="H17907" s="35">
        <v>72</v>
      </c>
      <c r="I17907" s="33" t="s">
        <v>21</v>
      </c>
      <c r="J17907" s="42">
        <v>45488</v>
      </c>
      <c r="K17907" s="33" t="s">
        <v>22</v>
      </c>
    </row>
    <row r="17908" spans="1:11">
      <c r="A17908" s="30" t="s">
        <v>40014</v>
      </c>
      <c r="B17908" s="30" t="s">
        <v>40015</v>
      </c>
      <c r="C17908" s="30" t="s">
        <v>936</v>
      </c>
      <c r="D17908" s="30" t="s">
        <v>17</v>
      </c>
      <c r="E17908" s="30" t="s">
        <v>18</v>
      </c>
      <c r="F17908" s="30" t="s">
        <v>19</v>
      </c>
      <c r="G17908" s="30" t="s">
        <v>140</v>
      </c>
      <c r="H17908" s="32">
        <v>286</v>
      </c>
      <c r="I17908" s="30" t="s">
        <v>51</v>
      </c>
      <c r="J17908" s="41">
        <v>45492</v>
      </c>
      <c r="K17908" s="30" t="s">
        <v>22</v>
      </c>
    </row>
    <row r="17909" spans="1:11">
      <c r="A17909" s="33" t="s">
        <v>40016</v>
      </c>
      <c r="B17909" s="33" t="s">
        <v>40017</v>
      </c>
      <c r="C17909" s="33" t="s">
        <v>10300</v>
      </c>
      <c r="D17909" s="33" t="s">
        <v>17</v>
      </c>
      <c r="E17909" s="33" t="s">
        <v>26</v>
      </c>
      <c r="F17909" s="33" t="s">
        <v>27</v>
      </c>
      <c r="G17909" s="33" t="s">
        <v>140</v>
      </c>
      <c r="H17909" s="35">
        <v>24</v>
      </c>
      <c r="I17909" s="33" t="s">
        <v>51</v>
      </c>
      <c r="J17909" s="42">
        <v>45636</v>
      </c>
      <c r="K17909" s="33" t="s">
        <v>22</v>
      </c>
    </row>
    <row r="17910" spans="1:11">
      <c r="A17910" s="30" t="s">
        <v>40018</v>
      </c>
      <c r="B17910" s="30" t="s">
        <v>40019</v>
      </c>
      <c r="C17910" s="30" t="s">
        <v>3775</v>
      </c>
      <c r="D17910" s="30" t="s">
        <v>17</v>
      </c>
      <c r="E17910" s="30" t="s">
        <v>26</v>
      </c>
      <c r="F17910" s="30" t="s">
        <v>27</v>
      </c>
      <c r="G17910" s="30" t="s">
        <v>20</v>
      </c>
      <c r="H17910" s="32">
        <v>52</v>
      </c>
      <c r="I17910" s="30" t="s">
        <v>21</v>
      </c>
      <c r="J17910" s="41">
        <v>45588</v>
      </c>
      <c r="K17910" s="30" t="s">
        <v>22</v>
      </c>
    </row>
    <row r="17911" spans="1:11">
      <c r="A17911" s="33" t="s">
        <v>40020</v>
      </c>
      <c r="B17911" s="33" t="s">
        <v>40021</v>
      </c>
      <c r="C17911" s="33" t="s">
        <v>96</v>
      </c>
      <c r="D17911" s="33" t="s">
        <v>17</v>
      </c>
      <c r="E17911" s="33" t="s">
        <v>26</v>
      </c>
      <c r="F17911" s="33" t="s">
        <v>27</v>
      </c>
      <c r="G17911" s="33" t="s">
        <v>20</v>
      </c>
      <c r="H17911" s="35">
        <v>13</v>
      </c>
      <c r="I17911" s="33" t="s">
        <v>21</v>
      </c>
      <c r="J17911" s="42">
        <v>45502</v>
      </c>
      <c r="K17911" s="33" t="s">
        <v>22</v>
      </c>
    </row>
    <row r="17912" spans="1:11">
      <c r="A17912" s="30" t="s">
        <v>40022</v>
      </c>
      <c r="B17912" s="30" t="s">
        <v>40023</v>
      </c>
      <c r="C17912" s="30" t="s">
        <v>1813</v>
      </c>
      <c r="D17912" s="30" t="s">
        <v>17</v>
      </c>
      <c r="E17912" s="30" t="s">
        <v>18</v>
      </c>
      <c r="F17912" s="30" t="s">
        <v>19</v>
      </c>
      <c r="G17912" s="30" t="s">
        <v>50</v>
      </c>
      <c r="H17912" s="32">
        <v>50</v>
      </c>
      <c r="I17912" s="30" t="s">
        <v>51</v>
      </c>
      <c r="J17912" s="41">
        <v>45383</v>
      </c>
      <c r="K17912" s="30" t="s">
        <v>22</v>
      </c>
    </row>
    <row r="17913" spans="1:11">
      <c r="A17913" s="33" t="s">
        <v>40024</v>
      </c>
      <c r="B17913" s="33" t="s">
        <v>40025</v>
      </c>
      <c r="C17913" s="33" t="s">
        <v>36327</v>
      </c>
      <c r="D17913" s="33" t="s">
        <v>17</v>
      </c>
      <c r="E17913" s="33" t="s">
        <v>26</v>
      </c>
      <c r="F17913" s="33" t="s">
        <v>27</v>
      </c>
      <c r="G17913" s="33" t="s">
        <v>140</v>
      </c>
      <c r="H17913" s="35">
        <v>36</v>
      </c>
      <c r="I17913" s="33" t="s">
        <v>51</v>
      </c>
      <c r="J17913" s="42">
        <v>45597</v>
      </c>
      <c r="K17913" s="33" t="s">
        <v>22</v>
      </c>
    </row>
    <row r="17914" spans="1:11">
      <c r="A17914" s="30" t="s">
        <v>40026</v>
      </c>
      <c r="B17914" s="30" t="s">
        <v>40027</v>
      </c>
      <c r="C17914" s="30" t="s">
        <v>647</v>
      </c>
      <c r="D17914" s="30" t="s">
        <v>17</v>
      </c>
      <c r="E17914" s="30" t="s">
        <v>26</v>
      </c>
      <c r="F17914" s="30" t="s">
        <v>27</v>
      </c>
      <c r="G17914" s="30" t="s">
        <v>20</v>
      </c>
      <c r="H17914" s="32">
        <v>19</v>
      </c>
      <c r="I17914" s="30" t="s">
        <v>21</v>
      </c>
      <c r="J17914" s="41">
        <v>45331</v>
      </c>
      <c r="K17914" s="30" t="s">
        <v>22</v>
      </c>
    </row>
    <row r="17915" spans="1:11">
      <c r="A17915" s="33" t="s">
        <v>40028</v>
      </c>
      <c r="B17915" s="33" t="s">
        <v>40029</v>
      </c>
      <c r="C17915" s="33" t="s">
        <v>40030</v>
      </c>
      <c r="D17915" s="33" t="s">
        <v>17</v>
      </c>
      <c r="E17915" s="33" t="s">
        <v>31</v>
      </c>
      <c r="F17915" s="33" t="s">
        <v>32</v>
      </c>
      <c r="G17915" s="33" t="s">
        <v>20</v>
      </c>
      <c r="H17915" s="35">
        <v>150</v>
      </c>
      <c r="I17915" s="33" t="s">
        <v>21</v>
      </c>
      <c r="J17915" s="42">
        <v>45333</v>
      </c>
      <c r="K17915" s="33" t="s">
        <v>22</v>
      </c>
    </row>
    <row r="17916" spans="1:11">
      <c r="A17916" s="30" t="s">
        <v>40031</v>
      </c>
      <c r="B17916" s="30" t="s">
        <v>40032</v>
      </c>
      <c r="C17916" s="30" t="s">
        <v>15453</v>
      </c>
      <c r="D17916" s="30" t="s">
        <v>17</v>
      </c>
      <c r="E17916" s="30" t="s">
        <v>31</v>
      </c>
      <c r="F17916" s="30" t="s">
        <v>32</v>
      </c>
      <c r="G17916" s="30" t="s">
        <v>140</v>
      </c>
      <c r="H17916" s="32">
        <v>230</v>
      </c>
      <c r="I17916" s="30" t="s">
        <v>51</v>
      </c>
      <c r="J17916" s="41">
        <v>45554</v>
      </c>
      <c r="K17916" s="30" t="s">
        <v>22</v>
      </c>
    </row>
    <row r="17917" spans="1:11">
      <c r="A17917" s="33" t="s">
        <v>40033</v>
      </c>
      <c r="B17917" s="33" t="s">
        <v>40034</v>
      </c>
      <c r="C17917" s="33" t="s">
        <v>30640</v>
      </c>
      <c r="D17917" s="33" t="s">
        <v>17</v>
      </c>
      <c r="E17917" s="33" t="s">
        <v>26</v>
      </c>
      <c r="F17917" s="33" t="s">
        <v>27</v>
      </c>
      <c r="G17917" s="33" t="s">
        <v>140</v>
      </c>
      <c r="H17917" s="35">
        <v>30</v>
      </c>
      <c r="I17917" s="33" t="s">
        <v>51</v>
      </c>
      <c r="J17917" s="42">
        <v>45652</v>
      </c>
      <c r="K17917" s="33" t="s">
        <v>22</v>
      </c>
    </row>
    <row r="17918" spans="1:11">
      <c r="A17918" s="30" t="s">
        <v>40035</v>
      </c>
      <c r="B17918" s="30" t="s">
        <v>40036</v>
      </c>
      <c r="C17918" s="30" t="s">
        <v>6127</v>
      </c>
      <c r="D17918" s="30" t="s">
        <v>17</v>
      </c>
      <c r="E17918" s="30" t="s">
        <v>67</v>
      </c>
      <c r="F17918" s="30" t="s">
        <v>68</v>
      </c>
      <c r="G17918" s="30" t="s">
        <v>20</v>
      </c>
      <c r="H17918" s="32">
        <v>36</v>
      </c>
      <c r="I17918" s="30" t="s">
        <v>21</v>
      </c>
      <c r="J17918" s="41">
        <v>45448</v>
      </c>
      <c r="K17918" s="30" t="s">
        <v>22</v>
      </c>
    </row>
    <row r="17919" spans="1:11">
      <c r="A17919" s="33" t="s">
        <v>40037</v>
      </c>
      <c r="B17919" s="33" t="s">
        <v>40038</v>
      </c>
      <c r="C17919" s="33" t="s">
        <v>24475</v>
      </c>
      <c r="D17919" s="33" t="s">
        <v>17</v>
      </c>
      <c r="E17919" s="33" t="s">
        <v>67</v>
      </c>
      <c r="F17919" s="33" t="s">
        <v>68</v>
      </c>
      <c r="G17919" s="33" t="s">
        <v>50</v>
      </c>
      <c r="H17919" s="35">
        <v>30</v>
      </c>
      <c r="I17919" s="33" t="s">
        <v>51</v>
      </c>
      <c r="J17919" s="42">
        <v>45407</v>
      </c>
      <c r="K17919" s="33" t="s">
        <v>22</v>
      </c>
    </row>
    <row r="17920" spans="1:11">
      <c r="A17920" s="30" t="s">
        <v>40039</v>
      </c>
      <c r="B17920" s="30" t="s">
        <v>40040</v>
      </c>
      <c r="C17920" s="30" t="s">
        <v>29009</v>
      </c>
      <c r="D17920" s="30" t="s">
        <v>17</v>
      </c>
      <c r="E17920" s="30" t="s">
        <v>26</v>
      </c>
      <c r="F17920" s="30" t="s">
        <v>27</v>
      </c>
      <c r="G17920" s="30" t="s">
        <v>20</v>
      </c>
      <c r="H17920" s="32">
        <v>80</v>
      </c>
      <c r="I17920" s="30" t="s">
        <v>21</v>
      </c>
      <c r="J17920" s="41">
        <v>45552</v>
      </c>
      <c r="K17920" s="30" t="s">
        <v>22</v>
      </c>
    </row>
    <row r="17921" spans="1:11">
      <c r="A17921" s="33" t="s">
        <v>40041</v>
      </c>
      <c r="B17921" s="33" t="s">
        <v>40042</v>
      </c>
      <c r="C17921" s="33" t="s">
        <v>5251</v>
      </c>
      <c r="D17921" s="33" t="s">
        <v>17</v>
      </c>
      <c r="E17921" s="33" t="s">
        <v>18</v>
      </c>
      <c r="F17921" s="33" t="s">
        <v>19</v>
      </c>
      <c r="G17921" s="33" t="s">
        <v>50</v>
      </c>
      <c r="H17921" s="35">
        <v>750</v>
      </c>
      <c r="I17921" s="33" t="s">
        <v>51</v>
      </c>
      <c r="J17921" s="42">
        <v>45427</v>
      </c>
      <c r="K17921" s="33" t="s">
        <v>22</v>
      </c>
    </row>
    <row r="17922" spans="1:11">
      <c r="A17922" s="30" t="s">
        <v>40043</v>
      </c>
      <c r="B17922" s="30" t="s">
        <v>40044</v>
      </c>
      <c r="C17922" s="30" t="s">
        <v>20773</v>
      </c>
      <c r="D17922" s="30" t="s">
        <v>17</v>
      </c>
      <c r="E17922" s="30" t="s">
        <v>31</v>
      </c>
      <c r="F17922" s="30" t="s">
        <v>32</v>
      </c>
      <c r="G17922" s="30" t="s">
        <v>7780</v>
      </c>
      <c r="H17922" s="32">
        <v>72</v>
      </c>
      <c r="I17922" s="30" t="s">
        <v>51</v>
      </c>
      <c r="J17922" s="41">
        <v>45657</v>
      </c>
      <c r="K17922" s="30" t="s">
        <v>22</v>
      </c>
    </row>
    <row r="17923" spans="1:11">
      <c r="A17923" s="33" t="s">
        <v>40045</v>
      </c>
      <c r="B17923" s="33" t="s">
        <v>40046</v>
      </c>
      <c r="C17923" s="33" t="s">
        <v>231</v>
      </c>
      <c r="D17923" s="33" t="s">
        <v>17</v>
      </c>
      <c r="E17923" s="33" t="s">
        <v>26</v>
      </c>
      <c r="F17923" s="33" t="s">
        <v>27</v>
      </c>
      <c r="G17923" s="33" t="s">
        <v>20</v>
      </c>
      <c r="H17923" s="35">
        <v>15</v>
      </c>
      <c r="I17923" s="33" t="s">
        <v>21</v>
      </c>
      <c r="J17923" s="42">
        <v>45434</v>
      </c>
      <c r="K17923" s="33" t="s">
        <v>22</v>
      </c>
    </row>
    <row r="17924" spans="1:11">
      <c r="A17924" s="30" t="s">
        <v>40047</v>
      </c>
      <c r="B17924" s="30" t="s">
        <v>40048</v>
      </c>
      <c r="C17924" s="30" t="s">
        <v>40049</v>
      </c>
      <c r="D17924" s="30" t="s">
        <v>17</v>
      </c>
      <c r="E17924" s="30" t="s">
        <v>330</v>
      </c>
      <c r="F17924" s="30" t="s">
        <v>331</v>
      </c>
      <c r="G17924" s="30" t="s">
        <v>140</v>
      </c>
      <c r="H17924" s="32">
        <v>30</v>
      </c>
      <c r="I17924" s="30" t="s">
        <v>51</v>
      </c>
      <c r="J17924" s="41">
        <v>45505</v>
      </c>
      <c r="K17924" s="30" t="s">
        <v>22</v>
      </c>
    </row>
    <row r="17925" spans="1:11">
      <c r="A17925" s="33" t="s">
        <v>40050</v>
      </c>
      <c r="B17925" s="33" t="s">
        <v>40051</v>
      </c>
      <c r="C17925" s="33" t="s">
        <v>2472</v>
      </c>
      <c r="D17925" s="33" t="s">
        <v>17</v>
      </c>
      <c r="E17925" s="33" t="s">
        <v>212</v>
      </c>
      <c r="F17925" s="33" t="s">
        <v>213</v>
      </c>
      <c r="G17925" s="33" t="s">
        <v>20</v>
      </c>
      <c r="H17925" s="35">
        <v>1000</v>
      </c>
      <c r="I17925" s="33" t="s">
        <v>21</v>
      </c>
      <c r="J17925" s="42">
        <v>45573</v>
      </c>
      <c r="K17925" s="33" t="s">
        <v>22</v>
      </c>
    </row>
    <row r="17926" spans="1:11">
      <c r="A17926" s="30" t="s">
        <v>40052</v>
      </c>
      <c r="B17926" s="30" t="s">
        <v>40053</v>
      </c>
      <c r="C17926" s="30" t="s">
        <v>1520</v>
      </c>
      <c r="D17926" s="30" t="s">
        <v>17</v>
      </c>
      <c r="E17926" s="30" t="s">
        <v>31</v>
      </c>
      <c r="F17926" s="30" t="s">
        <v>32</v>
      </c>
      <c r="G17926" s="30" t="s">
        <v>158</v>
      </c>
      <c r="H17926" s="32">
        <v>94</v>
      </c>
      <c r="I17926" s="30" t="s">
        <v>21</v>
      </c>
      <c r="J17926" s="41">
        <v>45384</v>
      </c>
      <c r="K17926" s="30" t="s">
        <v>22</v>
      </c>
    </row>
    <row r="17927" spans="1:11">
      <c r="A17927" s="33" t="s">
        <v>40054</v>
      </c>
      <c r="B17927" s="33" t="s">
        <v>40055</v>
      </c>
      <c r="C17927" s="33" t="s">
        <v>8979</v>
      </c>
      <c r="D17927" s="33" t="s">
        <v>17</v>
      </c>
      <c r="E17927" s="33" t="s">
        <v>18</v>
      </c>
      <c r="F17927" s="33" t="s">
        <v>19</v>
      </c>
      <c r="G17927" s="33" t="s">
        <v>140</v>
      </c>
      <c r="H17927" s="35">
        <v>374</v>
      </c>
      <c r="I17927" s="33" t="s">
        <v>51</v>
      </c>
      <c r="J17927" s="42">
        <v>45607</v>
      </c>
      <c r="K17927" s="33" t="s">
        <v>22</v>
      </c>
    </row>
    <row r="17928" spans="1:11">
      <c r="A17928" s="30" t="s">
        <v>40056</v>
      </c>
      <c r="B17928" s="30" t="s">
        <v>40057</v>
      </c>
      <c r="C17928" s="30" t="s">
        <v>25186</v>
      </c>
      <c r="D17928" s="30" t="s">
        <v>17</v>
      </c>
      <c r="E17928" s="30" t="s">
        <v>26</v>
      </c>
      <c r="F17928" s="30" t="s">
        <v>27</v>
      </c>
      <c r="G17928" s="30" t="s">
        <v>20</v>
      </c>
      <c r="H17928" s="32">
        <v>68</v>
      </c>
      <c r="I17928" s="30" t="s">
        <v>21</v>
      </c>
      <c r="J17928" s="41">
        <v>45557</v>
      </c>
      <c r="K17928" s="30" t="s">
        <v>22</v>
      </c>
    </row>
    <row r="17929" spans="1:11">
      <c r="A17929" s="33" t="s">
        <v>40058</v>
      </c>
      <c r="B17929" s="33" t="s">
        <v>40059</v>
      </c>
      <c r="C17929" s="33" t="s">
        <v>102</v>
      </c>
      <c r="D17929" s="33" t="s">
        <v>17</v>
      </c>
      <c r="E17929" s="33" t="s">
        <v>18</v>
      </c>
      <c r="F17929" s="33" t="s">
        <v>19</v>
      </c>
      <c r="G17929" s="33" t="s">
        <v>140</v>
      </c>
      <c r="H17929" s="35">
        <v>1000</v>
      </c>
      <c r="I17929" s="33" t="s">
        <v>51</v>
      </c>
      <c r="J17929" s="42">
        <v>45583</v>
      </c>
      <c r="K17929" s="33" t="s">
        <v>22</v>
      </c>
    </row>
    <row r="17930" spans="1:11">
      <c r="A17930" s="30" t="s">
        <v>40060</v>
      </c>
      <c r="B17930" s="30" t="s">
        <v>40061</v>
      </c>
      <c r="C17930" s="30" t="s">
        <v>37302</v>
      </c>
      <c r="D17930" s="30" t="s">
        <v>17</v>
      </c>
      <c r="E17930" s="30" t="s">
        <v>18</v>
      </c>
      <c r="F17930" s="30" t="s">
        <v>19</v>
      </c>
      <c r="G17930" s="30" t="s">
        <v>140</v>
      </c>
      <c r="H17930" s="32">
        <v>322</v>
      </c>
      <c r="I17930" s="30" t="s">
        <v>51</v>
      </c>
      <c r="J17930" s="41">
        <v>45378</v>
      </c>
      <c r="K17930" s="30" t="s">
        <v>22</v>
      </c>
    </row>
    <row r="17931" spans="1:11">
      <c r="A17931" s="33" t="s">
        <v>40062</v>
      </c>
      <c r="B17931" s="33" t="s">
        <v>40063</v>
      </c>
      <c r="C17931" s="33" t="s">
        <v>4315</v>
      </c>
      <c r="D17931" s="33" t="s">
        <v>17</v>
      </c>
      <c r="E17931" s="33" t="s">
        <v>31</v>
      </c>
      <c r="F17931" s="33" t="s">
        <v>32</v>
      </c>
      <c r="G17931" s="33" t="s">
        <v>7780</v>
      </c>
      <c r="H17931" s="35">
        <v>30</v>
      </c>
      <c r="I17931" s="33" t="s">
        <v>51</v>
      </c>
      <c r="J17931" s="42">
        <v>45474</v>
      </c>
      <c r="K17931" s="33" t="s">
        <v>22</v>
      </c>
    </row>
    <row r="17932" spans="1:11">
      <c r="A17932" s="30" t="s">
        <v>40064</v>
      </c>
      <c r="B17932" s="30" t="s">
        <v>40065</v>
      </c>
      <c r="C17932" s="30" t="s">
        <v>157</v>
      </c>
      <c r="D17932" s="30" t="s">
        <v>17</v>
      </c>
      <c r="E17932" s="30" t="s">
        <v>212</v>
      </c>
      <c r="F17932" s="30" t="s">
        <v>213</v>
      </c>
      <c r="G17932" s="30" t="s">
        <v>140</v>
      </c>
      <c r="H17932" s="32">
        <v>124</v>
      </c>
      <c r="I17932" s="30" t="s">
        <v>51</v>
      </c>
      <c r="J17932" s="41">
        <v>45532</v>
      </c>
      <c r="K17932" s="30" t="s">
        <v>22</v>
      </c>
    </row>
    <row r="17933" spans="1:11">
      <c r="A17933" s="33" t="s">
        <v>40066</v>
      </c>
      <c r="B17933" s="33" t="s">
        <v>40067</v>
      </c>
      <c r="C17933" s="33" t="s">
        <v>318</v>
      </c>
      <c r="D17933" s="33" t="s">
        <v>17</v>
      </c>
      <c r="E17933" s="33" t="s">
        <v>31</v>
      </c>
      <c r="F17933" s="33" t="s">
        <v>32</v>
      </c>
      <c r="G17933" s="33" t="s">
        <v>158</v>
      </c>
      <c r="H17933" s="35">
        <v>409</v>
      </c>
      <c r="I17933" s="33" t="s">
        <v>21</v>
      </c>
      <c r="J17933" s="42">
        <v>45603</v>
      </c>
      <c r="K17933" s="33" t="s">
        <v>22</v>
      </c>
    </row>
    <row r="17934" spans="1:11">
      <c r="A17934" s="30" t="s">
        <v>40068</v>
      </c>
      <c r="B17934" s="30" t="s">
        <v>40069</v>
      </c>
      <c r="C17934" s="30" t="s">
        <v>93</v>
      </c>
      <c r="D17934" s="30" t="s">
        <v>17</v>
      </c>
      <c r="E17934" s="30" t="s">
        <v>18</v>
      </c>
      <c r="F17934" s="30" t="s">
        <v>19</v>
      </c>
      <c r="G17934" s="30" t="s">
        <v>140</v>
      </c>
      <c r="H17934" s="32">
        <v>675</v>
      </c>
      <c r="I17934" s="30" t="s">
        <v>51</v>
      </c>
      <c r="J17934" s="41">
        <v>45523</v>
      </c>
      <c r="K17934" s="30" t="s">
        <v>22</v>
      </c>
    </row>
    <row r="17935" spans="1:11">
      <c r="A17935" s="33" t="s">
        <v>40070</v>
      </c>
      <c r="B17935" s="33" t="s">
        <v>40071</v>
      </c>
      <c r="C17935" s="33" t="s">
        <v>40072</v>
      </c>
      <c r="D17935" s="33" t="s">
        <v>17</v>
      </c>
      <c r="E17935" s="33" t="s">
        <v>67</v>
      </c>
      <c r="F17935" s="33" t="s">
        <v>68</v>
      </c>
      <c r="G17935" s="33" t="s">
        <v>20</v>
      </c>
      <c r="H17935" s="35">
        <v>19</v>
      </c>
      <c r="I17935" s="33" t="s">
        <v>21</v>
      </c>
      <c r="J17935" s="42">
        <v>45460</v>
      </c>
      <c r="K17935" s="33" t="s">
        <v>22</v>
      </c>
    </row>
    <row r="17936" spans="1:11">
      <c r="A17936" s="30" t="s">
        <v>40073</v>
      </c>
      <c r="B17936" s="30" t="s">
        <v>40074</v>
      </c>
      <c r="C17936" s="30" t="s">
        <v>149</v>
      </c>
      <c r="D17936" s="30" t="s">
        <v>17</v>
      </c>
      <c r="E17936" s="30" t="s">
        <v>67</v>
      </c>
      <c r="F17936" s="30" t="s">
        <v>68</v>
      </c>
      <c r="G17936" s="30" t="s">
        <v>140</v>
      </c>
      <c r="H17936" s="32">
        <v>100</v>
      </c>
      <c r="I17936" s="30" t="s">
        <v>51</v>
      </c>
      <c r="J17936" s="41">
        <v>45560</v>
      </c>
      <c r="K17936" s="30" t="s">
        <v>22</v>
      </c>
    </row>
    <row r="17937" spans="1:11">
      <c r="A17937" s="33" t="s">
        <v>40075</v>
      </c>
      <c r="B17937" s="33" t="s">
        <v>40076</v>
      </c>
      <c r="C17937" s="33" t="s">
        <v>1324</v>
      </c>
      <c r="D17937" s="33" t="s">
        <v>17</v>
      </c>
      <c r="E17937" s="33" t="s">
        <v>31</v>
      </c>
      <c r="F17937" s="33" t="s">
        <v>32</v>
      </c>
      <c r="G17937" s="33" t="s">
        <v>140</v>
      </c>
      <c r="H17937" s="35">
        <v>16</v>
      </c>
      <c r="I17937" s="33" t="s">
        <v>51</v>
      </c>
      <c r="J17937" s="42">
        <v>45337</v>
      </c>
      <c r="K17937" s="33" t="s">
        <v>22</v>
      </c>
    </row>
    <row r="17938" spans="1:11">
      <c r="A17938" s="30" t="s">
        <v>40077</v>
      </c>
      <c r="B17938" s="30" t="s">
        <v>40078</v>
      </c>
      <c r="C17938" s="30" t="s">
        <v>1090</v>
      </c>
      <c r="D17938" s="30" t="s">
        <v>17</v>
      </c>
      <c r="E17938" s="30" t="s">
        <v>18</v>
      </c>
      <c r="F17938" s="30" t="s">
        <v>19</v>
      </c>
      <c r="G17938" s="30" t="s">
        <v>140</v>
      </c>
      <c r="H17938" s="32">
        <v>442</v>
      </c>
      <c r="I17938" s="30" t="s">
        <v>51</v>
      </c>
      <c r="J17938" s="41">
        <v>45364</v>
      </c>
      <c r="K17938" s="30" t="s">
        <v>22</v>
      </c>
    </row>
    <row r="17939" spans="1:11">
      <c r="A17939" s="33" t="s">
        <v>40079</v>
      </c>
      <c r="B17939" s="33" t="s">
        <v>40080</v>
      </c>
      <c r="C17939" s="33" t="s">
        <v>5452</v>
      </c>
      <c r="D17939" s="33" t="s">
        <v>17</v>
      </c>
      <c r="E17939" s="33" t="s">
        <v>18</v>
      </c>
      <c r="F17939" s="33" t="s">
        <v>19</v>
      </c>
      <c r="G17939" s="33" t="s">
        <v>158</v>
      </c>
      <c r="H17939" s="35">
        <v>350</v>
      </c>
      <c r="I17939" s="33" t="s">
        <v>51</v>
      </c>
      <c r="J17939" s="42">
        <v>45513</v>
      </c>
      <c r="K17939" s="33" t="s">
        <v>22</v>
      </c>
    </row>
    <row r="17940" spans="1:11">
      <c r="A17940" s="30" t="s">
        <v>40081</v>
      </c>
      <c r="B17940" s="30" t="s">
        <v>40082</v>
      </c>
      <c r="C17940" s="30" t="s">
        <v>178</v>
      </c>
      <c r="D17940" s="30" t="s">
        <v>17</v>
      </c>
      <c r="E17940" s="30" t="s">
        <v>212</v>
      </c>
      <c r="F17940" s="30" t="s">
        <v>213</v>
      </c>
      <c r="G17940" s="30" t="s">
        <v>140</v>
      </c>
      <c r="H17940" s="32">
        <v>28</v>
      </c>
      <c r="I17940" s="30" t="s">
        <v>51</v>
      </c>
      <c r="J17940" s="41">
        <v>45442</v>
      </c>
      <c r="K17940" s="30" t="s">
        <v>22</v>
      </c>
    </row>
    <row r="17941" spans="1:11">
      <c r="A17941" s="33" t="s">
        <v>40083</v>
      </c>
      <c r="B17941" s="33" t="s">
        <v>40084</v>
      </c>
      <c r="C17941" s="33" t="s">
        <v>19435</v>
      </c>
      <c r="D17941" s="33" t="s">
        <v>17</v>
      </c>
      <c r="E17941" s="33" t="s">
        <v>26</v>
      </c>
      <c r="F17941" s="33" t="s">
        <v>27</v>
      </c>
      <c r="G17941" s="33" t="s">
        <v>140</v>
      </c>
      <c r="H17941" s="35">
        <v>46</v>
      </c>
      <c r="I17941" s="33" t="s">
        <v>51</v>
      </c>
      <c r="J17941" s="42">
        <v>45614</v>
      </c>
      <c r="K17941" s="33" t="s">
        <v>22</v>
      </c>
    </row>
    <row r="17942" spans="1:11">
      <c r="A17942" s="30" t="s">
        <v>40085</v>
      </c>
      <c r="B17942" s="30" t="s">
        <v>40086</v>
      </c>
      <c r="C17942" s="30" t="s">
        <v>310</v>
      </c>
      <c r="D17942" s="30" t="s">
        <v>17</v>
      </c>
      <c r="E17942" s="30" t="s">
        <v>26</v>
      </c>
      <c r="F17942" s="30" t="s">
        <v>27</v>
      </c>
      <c r="G17942" s="30" t="s">
        <v>140</v>
      </c>
      <c r="H17942" s="32">
        <v>60</v>
      </c>
      <c r="I17942" s="30" t="s">
        <v>51</v>
      </c>
      <c r="J17942" s="41">
        <v>45609</v>
      </c>
      <c r="K17942" s="30" t="s">
        <v>22</v>
      </c>
    </row>
    <row r="17943" spans="1:11">
      <c r="A17943" s="33" t="s">
        <v>40087</v>
      </c>
      <c r="B17943" s="33" t="s">
        <v>40088</v>
      </c>
      <c r="C17943" s="33" t="s">
        <v>7072</v>
      </c>
      <c r="D17943" s="33" t="s">
        <v>17</v>
      </c>
      <c r="E17943" s="33" t="s">
        <v>26</v>
      </c>
      <c r="F17943" s="33" t="s">
        <v>27</v>
      </c>
      <c r="G17943" s="33" t="s">
        <v>140</v>
      </c>
      <c r="H17943" s="35">
        <v>90</v>
      </c>
      <c r="I17943" s="33" t="s">
        <v>51</v>
      </c>
      <c r="J17943" s="42">
        <v>45638</v>
      </c>
      <c r="K17943" s="33" t="s">
        <v>22</v>
      </c>
    </row>
    <row r="17944" spans="1:11">
      <c r="A17944" s="30" t="s">
        <v>40089</v>
      </c>
      <c r="B17944" s="30" t="s">
        <v>40090</v>
      </c>
      <c r="C17944" s="30" t="s">
        <v>40091</v>
      </c>
      <c r="D17944" s="30" t="s">
        <v>17</v>
      </c>
      <c r="E17944" s="30" t="s">
        <v>26</v>
      </c>
      <c r="F17944" s="30" t="s">
        <v>27</v>
      </c>
      <c r="G17944" s="30" t="s">
        <v>158</v>
      </c>
      <c r="H17944" s="32">
        <v>12</v>
      </c>
      <c r="I17944" s="30" t="s">
        <v>51</v>
      </c>
      <c r="J17944" s="41">
        <v>45546</v>
      </c>
      <c r="K17944" s="30" t="s">
        <v>22</v>
      </c>
    </row>
    <row r="17945" spans="1:11">
      <c r="A17945" s="33" t="s">
        <v>40092</v>
      </c>
      <c r="B17945" s="33" t="s">
        <v>40093</v>
      </c>
      <c r="C17945" s="33" t="s">
        <v>231</v>
      </c>
      <c r="D17945" s="33" t="s">
        <v>17</v>
      </c>
      <c r="E17945" s="33" t="s">
        <v>31</v>
      </c>
      <c r="F17945" s="33" t="s">
        <v>32</v>
      </c>
      <c r="G17945" s="33" t="s">
        <v>140</v>
      </c>
      <c r="H17945" s="35">
        <v>80</v>
      </c>
      <c r="I17945" s="33" t="s">
        <v>51</v>
      </c>
      <c r="J17945" s="42">
        <v>45637</v>
      </c>
      <c r="K17945" s="33" t="s">
        <v>22</v>
      </c>
    </row>
    <row r="17946" spans="1:11">
      <c r="A17946" s="30" t="s">
        <v>40094</v>
      </c>
      <c r="B17946" s="30" t="s">
        <v>40095</v>
      </c>
      <c r="C17946" s="30" t="s">
        <v>570</v>
      </c>
      <c r="D17946" s="30" t="s">
        <v>17</v>
      </c>
      <c r="E17946" s="30" t="s">
        <v>26</v>
      </c>
      <c r="F17946" s="30" t="s">
        <v>27</v>
      </c>
      <c r="G17946" s="30" t="s">
        <v>20</v>
      </c>
      <c r="H17946" s="32">
        <v>84</v>
      </c>
      <c r="I17946" s="30" t="s">
        <v>21</v>
      </c>
      <c r="J17946" s="41">
        <v>45463</v>
      </c>
      <c r="K17946" s="30" t="s">
        <v>22</v>
      </c>
    </row>
    <row r="17947" spans="1:11">
      <c r="A17947" s="33" t="s">
        <v>40096</v>
      </c>
      <c r="B17947" s="33" t="s">
        <v>40097</v>
      </c>
      <c r="C17947" s="33" t="s">
        <v>11366</v>
      </c>
      <c r="D17947" s="33" t="s">
        <v>17</v>
      </c>
      <c r="E17947" s="33" t="s">
        <v>18</v>
      </c>
      <c r="F17947" s="33" t="s">
        <v>19</v>
      </c>
      <c r="G17947" s="33" t="s">
        <v>20</v>
      </c>
      <c r="H17947" s="35">
        <v>301</v>
      </c>
      <c r="I17947" s="33" t="s">
        <v>21</v>
      </c>
      <c r="J17947" s="42">
        <v>45380</v>
      </c>
      <c r="K17947" s="33" t="s">
        <v>22</v>
      </c>
    </row>
    <row r="17948" spans="1:11">
      <c r="A17948" s="30" t="s">
        <v>40098</v>
      </c>
      <c r="B17948" s="30" t="s">
        <v>40099</v>
      </c>
      <c r="C17948" s="30" t="s">
        <v>19841</v>
      </c>
      <c r="D17948" s="30" t="s">
        <v>17</v>
      </c>
      <c r="E17948" s="30" t="s">
        <v>26</v>
      </c>
      <c r="F17948" s="30" t="s">
        <v>27</v>
      </c>
      <c r="G17948" s="30" t="s">
        <v>158</v>
      </c>
      <c r="H17948" s="32">
        <v>40</v>
      </c>
      <c r="I17948" s="30" t="s">
        <v>21</v>
      </c>
      <c r="J17948" s="41">
        <v>45343</v>
      </c>
      <c r="K17948" s="30" t="s">
        <v>22</v>
      </c>
    </row>
    <row r="17949" spans="1:11">
      <c r="A17949" s="33" t="s">
        <v>40100</v>
      </c>
      <c r="B17949" s="33" t="s">
        <v>40101</v>
      </c>
      <c r="C17949" s="33" t="s">
        <v>118</v>
      </c>
      <c r="D17949" s="33" t="s">
        <v>17</v>
      </c>
      <c r="E17949" s="33" t="s">
        <v>26</v>
      </c>
      <c r="F17949" s="33" t="s">
        <v>27</v>
      </c>
      <c r="G17949" s="33" t="s">
        <v>20</v>
      </c>
      <c r="H17949" s="35">
        <v>24</v>
      </c>
      <c r="I17949" s="33" t="s">
        <v>21</v>
      </c>
      <c r="J17949" s="42">
        <v>45575</v>
      </c>
      <c r="K17949" s="33" t="s">
        <v>22</v>
      </c>
    </row>
    <row r="17950" spans="1:11">
      <c r="A17950" s="30" t="s">
        <v>40102</v>
      </c>
      <c r="B17950" s="30" t="s">
        <v>40103</v>
      </c>
      <c r="C17950" s="30" t="s">
        <v>40104</v>
      </c>
      <c r="D17950" s="30" t="s">
        <v>17</v>
      </c>
      <c r="E17950" s="30" t="s">
        <v>31</v>
      </c>
      <c r="F17950" s="30" t="s">
        <v>32</v>
      </c>
      <c r="G17950" s="30" t="s">
        <v>158</v>
      </c>
      <c r="H17950" s="32">
        <v>184</v>
      </c>
      <c r="I17950" s="30" t="s">
        <v>21</v>
      </c>
      <c r="J17950" s="41">
        <v>45581</v>
      </c>
      <c r="K17950" s="30" t="s">
        <v>22</v>
      </c>
    </row>
    <row r="17951" spans="1:11">
      <c r="A17951" s="33" t="s">
        <v>40105</v>
      </c>
      <c r="B17951" s="33" t="s">
        <v>40106</v>
      </c>
      <c r="C17951" s="33" t="s">
        <v>39582</v>
      </c>
      <c r="D17951" s="33" t="s">
        <v>17</v>
      </c>
      <c r="E17951" s="33" t="s">
        <v>26</v>
      </c>
      <c r="F17951" s="33" t="s">
        <v>27</v>
      </c>
      <c r="G17951" s="33" t="s">
        <v>158</v>
      </c>
      <c r="H17951" s="35">
        <v>37</v>
      </c>
      <c r="I17951" s="33" t="s">
        <v>51</v>
      </c>
      <c r="J17951" s="42">
        <v>45510</v>
      </c>
      <c r="K17951" s="33" t="s">
        <v>22</v>
      </c>
    </row>
    <row r="17952" spans="1:11">
      <c r="A17952" s="30" t="s">
        <v>40107</v>
      </c>
      <c r="B17952" s="30" t="s">
        <v>40108</v>
      </c>
      <c r="C17952" s="30" t="s">
        <v>40109</v>
      </c>
      <c r="D17952" s="30" t="s">
        <v>17</v>
      </c>
      <c r="E17952" s="30" t="s">
        <v>26</v>
      </c>
      <c r="F17952" s="30" t="s">
        <v>27</v>
      </c>
      <c r="G17952" s="30" t="s">
        <v>20</v>
      </c>
      <c r="H17952" s="32">
        <v>7</v>
      </c>
      <c r="I17952" s="30" t="s">
        <v>21</v>
      </c>
      <c r="J17952" s="41">
        <v>45477</v>
      </c>
      <c r="K17952" s="30" t="s">
        <v>22</v>
      </c>
    </row>
    <row r="17953" spans="1:11">
      <c r="A17953" s="33" t="s">
        <v>40110</v>
      </c>
      <c r="B17953" s="33" t="s">
        <v>40111</v>
      </c>
      <c r="C17953" s="33" t="s">
        <v>15585</v>
      </c>
      <c r="D17953" s="33" t="s">
        <v>17</v>
      </c>
      <c r="E17953" s="33" t="s">
        <v>26</v>
      </c>
      <c r="F17953" s="33" t="s">
        <v>27</v>
      </c>
      <c r="G17953" s="33" t="s">
        <v>20</v>
      </c>
      <c r="H17953" s="35">
        <v>25</v>
      </c>
      <c r="I17953" s="33" t="s">
        <v>21</v>
      </c>
      <c r="J17953" s="42">
        <v>45520</v>
      </c>
      <c r="K17953" s="33" t="s">
        <v>22</v>
      </c>
    </row>
    <row r="17954" spans="1:11">
      <c r="A17954" s="30" t="s">
        <v>40112</v>
      </c>
      <c r="B17954" s="30" t="s">
        <v>40113</v>
      </c>
      <c r="C17954" s="30" t="s">
        <v>231</v>
      </c>
      <c r="D17954" s="30" t="s">
        <v>17</v>
      </c>
      <c r="E17954" s="30" t="s">
        <v>45</v>
      </c>
      <c r="F17954" s="30" t="s">
        <v>46</v>
      </c>
      <c r="G17954" s="30" t="s">
        <v>106</v>
      </c>
      <c r="H17954" s="32">
        <v>39</v>
      </c>
      <c r="I17954" s="30" t="s">
        <v>21</v>
      </c>
      <c r="J17954" s="41">
        <v>45420</v>
      </c>
      <c r="K17954" s="30" t="s">
        <v>22</v>
      </c>
    </row>
    <row r="17955" spans="1:11">
      <c r="A17955" s="33" t="s">
        <v>40114</v>
      </c>
      <c r="B17955" s="33" t="s">
        <v>40115</v>
      </c>
      <c r="C17955" s="33" t="s">
        <v>93</v>
      </c>
      <c r="D17955" s="33" t="s">
        <v>17</v>
      </c>
      <c r="E17955" s="33" t="s">
        <v>18</v>
      </c>
      <c r="F17955" s="33" t="s">
        <v>19</v>
      </c>
      <c r="G17955" s="33" t="s">
        <v>20</v>
      </c>
      <c r="H17955" s="35">
        <v>202</v>
      </c>
      <c r="I17955" s="33" t="s">
        <v>21</v>
      </c>
      <c r="J17955" s="42">
        <v>45404</v>
      </c>
      <c r="K17955" s="33" t="s">
        <v>22</v>
      </c>
    </row>
    <row r="17956" spans="1:11">
      <c r="A17956" s="30" t="s">
        <v>40116</v>
      </c>
      <c r="B17956" s="30" t="s">
        <v>40117</v>
      </c>
      <c r="C17956" s="30" t="s">
        <v>93</v>
      </c>
      <c r="D17956" s="30" t="s">
        <v>17</v>
      </c>
      <c r="E17956" s="30" t="s">
        <v>31</v>
      </c>
      <c r="F17956" s="30" t="s">
        <v>32</v>
      </c>
      <c r="G17956" s="30" t="s">
        <v>140</v>
      </c>
      <c r="H17956" s="32">
        <v>180</v>
      </c>
      <c r="I17956" s="30" t="s">
        <v>51</v>
      </c>
      <c r="J17956" s="41">
        <v>45639</v>
      </c>
      <c r="K17956" s="30" t="s">
        <v>22</v>
      </c>
    </row>
    <row r="17957" spans="1:11">
      <c r="A17957" s="33" t="s">
        <v>40118</v>
      </c>
      <c r="B17957" s="33" t="s">
        <v>40119</v>
      </c>
      <c r="C17957" s="33" t="s">
        <v>40120</v>
      </c>
      <c r="D17957" s="33" t="s">
        <v>17</v>
      </c>
      <c r="E17957" s="33" t="s">
        <v>26</v>
      </c>
      <c r="F17957" s="33" t="s">
        <v>27</v>
      </c>
      <c r="G17957" s="33" t="s">
        <v>20</v>
      </c>
      <c r="H17957" s="35">
        <v>41</v>
      </c>
      <c r="I17957" s="33" t="s">
        <v>21</v>
      </c>
      <c r="J17957" s="42">
        <v>45523</v>
      </c>
      <c r="K17957" s="33" t="s">
        <v>22</v>
      </c>
    </row>
    <row r="17958" spans="1:11">
      <c r="A17958" s="30" t="s">
        <v>40121</v>
      </c>
      <c r="B17958" s="30" t="s">
        <v>40122</v>
      </c>
      <c r="C17958" s="30" t="s">
        <v>14816</v>
      </c>
      <c r="D17958" s="30" t="s">
        <v>17</v>
      </c>
      <c r="E17958" s="30" t="s">
        <v>26</v>
      </c>
      <c r="F17958" s="30" t="s">
        <v>27</v>
      </c>
      <c r="G17958" s="30" t="s">
        <v>20</v>
      </c>
      <c r="H17958" s="32">
        <v>71</v>
      </c>
      <c r="I17958" s="30" t="s">
        <v>21</v>
      </c>
      <c r="J17958" s="41">
        <v>45456</v>
      </c>
      <c r="K17958" s="30" t="s">
        <v>22</v>
      </c>
    </row>
    <row r="17959" spans="1:11">
      <c r="A17959" s="33" t="s">
        <v>40123</v>
      </c>
      <c r="B17959" s="33" t="s">
        <v>40124</v>
      </c>
      <c r="C17959" s="33" t="s">
        <v>5084</v>
      </c>
      <c r="D17959" s="33" t="s">
        <v>17</v>
      </c>
      <c r="E17959" s="33" t="s">
        <v>18</v>
      </c>
      <c r="F17959" s="33" t="s">
        <v>19</v>
      </c>
      <c r="G17959" s="33" t="s">
        <v>7780</v>
      </c>
      <c r="H17959" s="35">
        <v>408</v>
      </c>
      <c r="I17959" s="33" t="s">
        <v>51</v>
      </c>
      <c r="J17959" s="42">
        <v>45536</v>
      </c>
      <c r="K17959" s="33" t="s">
        <v>22</v>
      </c>
    </row>
    <row r="17960" spans="1:11">
      <c r="A17960" s="30" t="s">
        <v>40125</v>
      </c>
      <c r="B17960" s="30" t="s">
        <v>40126</v>
      </c>
      <c r="C17960" s="30" t="s">
        <v>231</v>
      </c>
      <c r="D17960" s="30" t="s">
        <v>17</v>
      </c>
      <c r="E17960" s="30" t="s">
        <v>26</v>
      </c>
      <c r="F17960" s="30" t="s">
        <v>27</v>
      </c>
      <c r="G17960" s="30" t="s">
        <v>20</v>
      </c>
      <c r="H17960" s="32">
        <v>34</v>
      </c>
      <c r="I17960" s="30" t="s">
        <v>21</v>
      </c>
      <c r="J17960" s="41">
        <v>45566</v>
      </c>
      <c r="K17960" s="30" t="s">
        <v>22</v>
      </c>
    </row>
    <row r="17961" spans="1:11">
      <c r="A17961" s="33" t="s">
        <v>40127</v>
      </c>
      <c r="B17961" s="33" t="s">
        <v>40128</v>
      </c>
      <c r="C17961" s="33" t="s">
        <v>190</v>
      </c>
      <c r="D17961" s="33" t="s">
        <v>17</v>
      </c>
      <c r="E17961" s="33" t="s">
        <v>26</v>
      </c>
      <c r="F17961" s="33" t="s">
        <v>27</v>
      </c>
      <c r="G17961" s="33" t="s">
        <v>20</v>
      </c>
      <c r="H17961" s="35">
        <v>59</v>
      </c>
      <c r="I17961" s="33" t="s">
        <v>21</v>
      </c>
      <c r="J17961" s="42">
        <v>45560</v>
      </c>
      <c r="K17961" s="33" t="s">
        <v>22</v>
      </c>
    </row>
    <row r="17962" spans="1:11">
      <c r="A17962" s="30" t="s">
        <v>40129</v>
      </c>
      <c r="B17962" s="30" t="s">
        <v>40130</v>
      </c>
      <c r="C17962" s="30" t="s">
        <v>3013</v>
      </c>
      <c r="D17962" s="30" t="s">
        <v>17</v>
      </c>
      <c r="E17962" s="30" t="s">
        <v>26</v>
      </c>
      <c r="F17962" s="30" t="s">
        <v>27</v>
      </c>
      <c r="G17962" s="30" t="s">
        <v>112</v>
      </c>
      <c r="H17962" s="32">
        <v>0</v>
      </c>
      <c r="I17962" s="30" t="s">
        <v>21</v>
      </c>
      <c r="J17962" s="41">
        <v>45506</v>
      </c>
      <c r="K17962" s="30" t="s">
        <v>22</v>
      </c>
    </row>
    <row r="17963" spans="1:11">
      <c r="A17963" s="33" t="s">
        <v>40131</v>
      </c>
      <c r="B17963" s="33" t="s">
        <v>40132</v>
      </c>
      <c r="C17963" s="33" t="s">
        <v>11899</v>
      </c>
      <c r="D17963" s="33" t="s">
        <v>17</v>
      </c>
      <c r="E17963" s="33" t="s">
        <v>18</v>
      </c>
      <c r="F17963" s="33" t="s">
        <v>19</v>
      </c>
      <c r="G17963" s="33" t="s">
        <v>158</v>
      </c>
      <c r="H17963" s="35">
        <v>498</v>
      </c>
      <c r="I17963" s="33" t="s">
        <v>21</v>
      </c>
      <c r="J17963" s="42">
        <v>45625</v>
      </c>
      <c r="K17963" s="33" t="s">
        <v>22</v>
      </c>
    </row>
    <row r="17964" spans="1:11">
      <c r="A17964" s="30" t="s">
        <v>40133</v>
      </c>
      <c r="B17964" s="30" t="s">
        <v>40134</v>
      </c>
      <c r="C17964" s="30" t="s">
        <v>136</v>
      </c>
      <c r="D17964" s="30" t="s">
        <v>17</v>
      </c>
      <c r="E17964" s="30" t="s">
        <v>18</v>
      </c>
      <c r="F17964" s="30" t="s">
        <v>19</v>
      </c>
      <c r="G17964" s="30" t="s">
        <v>158</v>
      </c>
      <c r="H17964" s="32">
        <v>800</v>
      </c>
      <c r="I17964" s="30" t="s">
        <v>51</v>
      </c>
      <c r="J17964" s="41">
        <v>45597</v>
      </c>
      <c r="K17964" s="30" t="s">
        <v>22</v>
      </c>
    </row>
    <row r="17965" spans="1:11">
      <c r="A17965" s="33" t="s">
        <v>40135</v>
      </c>
      <c r="B17965" s="33" t="s">
        <v>40136</v>
      </c>
      <c r="C17965" s="33" t="s">
        <v>190</v>
      </c>
      <c r="D17965" s="33" t="s">
        <v>17</v>
      </c>
      <c r="E17965" s="33" t="s">
        <v>18</v>
      </c>
      <c r="F17965" s="33" t="s">
        <v>19</v>
      </c>
      <c r="G17965" s="33" t="s">
        <v>140</v>
      </c>
      <c r="H17965" s="35">
        <v>1160</v>
      </c>
      <c r="I17965" s="33" t="s">
        <v>51</v>
      </c>
      <c r="J17965" s="42">
        <v>45623</v>
      </c>
      <c r="K17965" s="33" t="s">
        <v>22</v>
      </c>
    </row>
    <row r="17966" spans="1:11">
      <c r="A17966" s="30" t="s">
        <v>40137</v>
      </c>
      <c r="B17966" s="30" t="s">
        <v>40138</v>
      </c>
      <c r="C17966" s="30" t="s">
        <v>15917</v>
      </c>
      <c r="D17966" s="30" t="s">
        <v>17</v>
      </c>
      <c r="E17966" s="30" t="s">
        <v>31</v>
      </c>
      <c r="F17966" s="30" t="s">
        <v>32</v>
      </c>
      <c r="G17966" s="30" t="s">
        <v>140</v>
      </c>
      <c r="H17966" s="32">
        <v>200</v>
      </c>
      <c r="I17966" s="30" t="s">
        <v>51</v>
      </c>
      <c r="J17966" s="41">
        <v>45492</v>
      </c>
      <c r="K17966" s="30" t="s">
        <v>22</v>
      </c>
    </row>
    <row r="17967" spans="1:11">
      <c r="A17967" s="33" t="s">
        <v>40139</v>
      </c>
      <c r="B17967" s="33" t="s">
        <v>40140</v>
      </c>
      <c r="C17967" s="33" t="s">
        <v>2756</v>
      </c>
      <c r="D17967" s="33" t="s">
        <v>17</v>
      </c>
      <c r="E17967" s="33" t="s">
        <v>26</v>
      </c>
      <c r="F17967" s="33" t="s">
        <v>27</v>
      </c>
      <c r="G17967" s="33" t="s">
        <v>20</v>
      </c>
      <c r="H17967" s="35">
        <v>24</v>
      </c>
      <c r="I17967" s="33" t="s">
        <v>21</v>
      </c>
      <c r="J17967" s="42">
        <v>45643</v>
      </c>
      <c r="K17967" s="33" t="s">
        <v>22</v>
      </c>
    </row>
    <row r="17968" spans="1:11">
      <c r="A17968" s="30" t="s">
        <v>40141</v>
      </c>
      <c r="B17968" s="30" t="s">
        <v>40142</v>
      </c>
      <c r="C17968" s="30" t="s">
        <v>2612</v>
      </c>
      <c r="D17968" s="30" t="s">
        <v>17</v>
      </c>
      <c r="E17968" s="30" t="s">
        <v>18</v>
      </c>
      <c r="F17968" s="30" t="s">
        <v>19</v>
      </c>
      <c r="G17968" s="30" t="s">
        <v>158</v>
      </c>
      <c r="H17968" s="32">
        <v>6</v>
      </c>
      <c r="I17968" s="30" t="s">
        <v>21</v>
      </c>
      <c r="J17968" s="41">
        <v>45590</v>
      </c>
      <c r="K17968" s="30" t="s">
        <v>22</v>
      </c>
    </row>
    <row r="17969" spans="1:11">
      <c r="A17969" s="33" t="s">
        <v>40143</v>
      </c>
      <c r="B17969" s="33" t="s">
        <v>40144</v>
      </c>
      <c r="C17969" s="33" t="s">
        <v>96</v>
      </c>
      <c r="D17969" s="33" t="s">
        <v>17</v>
      </c>
      <c r="E17969" s="33" t="s">
        <v>26</v>
      </c>
      <c r="F17969" s="33" t="s">
        <v>27</v>
      </c>
      <c r="G17969" s="33" t="s">
        <v>106</v>
      </c>
      <c r="H17969" s="35">
        <v>4</v>
      </c>
      <c r="I17969" s="33" t="s">
        <v>21</v>
      </c>
      <c r="J17969" s="42">
        <v>45421</v>
      </c>
      <c r="K17969" s="33" t="s">
        <v>22</v>
      </c>
    </row>
    <row r="17970" spans="1:11">
      <c r="A17970" s="30" t="s">
        <v>40145</v>
      </c>
      <c r="B17970" s="30" t="s">
        <v>40146</v>
      </c>
      <c r="C17970" s="30" t="s">
        <v>990</v>
      </c>
      <c r="D17970" s="30" t="s">
        <v>17</v>
      </c>
      <c r="E17970" s="30" t="s">
        <v>18</v>
      </c>
      <c r="F17970" s="30" t="s">
        <v>19</v>
      </c>
      <c r="G17970" s="30" t="s">
        <v>140</v>
      </c>
      <c r="H17970" s="32">
        <v>724</v>
      </c>
      <c r="I17970" s="30" t="s">
        <v>51</v>
      </c>
      <c r="J17970" s="41">
        <v>45638</v>
      </c>
      <c r="K17970" s="30" t="s">
        <v>22</v>
      </c>
    </row>
    <row r="17971" spans="1:11">
      <c r="A17971" s="33" t="s">
        <v>40147</v>
      </c>
      <c r="B17971" s="33" t="s">
        <v>40148</v>
      </c>
      <c r="C17971" s="33" t="s">
        <v>231</v>
      </c>
      <c r="D17971" s="33" t="s">
        <v>17</v>
      </c>
      <c r="E17971" s="33" t="s">
        <v>18</v>
      </c>
      <c r="F17971" s="33" t="s">
        <v>19</v>
      </c>
      <c r="G17971" s="33" t="s">
        <v>20</v>
      </c>
      <c r="H17971" s="35">
        <v>218</v>
      </c>
      <c r="I17971" s="33" t="s">
        <v>21</v>
      </c>
      <c r="J17971" s="42">
        <v>45384</v>
      </c>
      <c r="K17971" s="33" t="s">
        <v>22</v>
      </c>
    </row>
    <row r="17972" spans="1:11">
      <c r="A17972" s="30" t="s">
        <v>40149</v>
      </c>
      <c r="B17972" s="30" t="s">
        <v>40150</v>
      </c>
      <c r="C17972" s="30" t="s">
        <v>16901</v>
      </c>
      <c r="D17972" s="30" t="s">
        <v>17</v>
      </c>
      <c r="E17972" s="30" t="s">
        <v>67</v>
      </c>
      <c r="F17972" s="30" t="s">
        <v>68</v>
      </c>
      <c r="G17972" s="30" t="s">
        <v>20</v>
      </c>
      <c r="H17972" s="32">
        <v>1</v>
      </c>
      <c r="I17972" s="30" t="s">
        <v>21</v>
      </c>
      <c r="J17972" s="41">
        <v>45380</v>
      </c>
      <c r="K17972" s="30" t="s">
        <v>22</v>
      </c>
    </row>
    <row r="17973" spans="1:11">
      <c r="A17973" s="33" t="s">
        <v>40151</v>
      </c>
      <c r="B17973" s="33" t="s">
        <v>40152</v>
      </c>
      <c r="C17973" s="33" t="s">
        <v>40153</v>
      </c>
      <c r="D17973" s="33" t="s">
        <v>17</v>
      </c>
      <c r="E17973" s="33" t="s">
        <v>31</v>
      </c>
      <c r="F17973" s="33" t="s">
        <v>32</v>
      </c>
      <c r="G17973" s="33" t="s">
        <v>20</v>
      </c>
      <c r="H17973" s="35">
        <v>54</v>
      </c>
      <c r="I17973" s="33" t="s">
        <v>21</v>
      </c>
      <c r="J17973" s="42">
        <v>45352</v>
      </c>
      <c r="K17973" s="33" t="s">
        <v>22</v>
      </c>
    </row>
    <row r="17974" spans="1:11">
      <c r="A17974" s="30" t="s">
        <v>40154</v>
      </c>
      <c r="B17974" s="30" t="s">
        <v>40155</v>
      </c>
      <c r="C17974" s="30" t="s">
        <v>5232</v>
      </c>
      <c r="D17974" s="30" t="s">
        <v>17</v>
      </c>
      <c r="E17974" s="30" t="s">
        <v>26</v>
      </c>
      <c r="F17974" s="30" t="s">
        <v>27</v>
      </c>
      <c r="G17974" s="30" t="s">
        <v>20</v>
      </c>
      <c r="H17974" s="32">
        <v>82</v>
      </c>
      <c r="I17974" s="30" t="s">
        <v>21</v>
      </c>
      <c r="J17974" s="41">
        <v>45428</v>
      </c>
      <c r="K17974" s="30" t="s">
        <v>22</v>
      </c>
    </row>
    <row r="17975" spans="1:11">
      <c r="A17975" s="33" t="s">
        <v>40156</v>
      </c>
      <c r="B17975" s="33" t="s">
        <v>40157</v>
      </c>
      <c r="C17975" s="33" t="s">
        <v>10330</v>
      </c>
      <c r="D17975" s="33" t="s">
        <v>17</v>
      </c>
      <c r="E17975" s="33" t="s">
        <v>31</v>
      </c>
      <c r="F17975" s="33" t="s">
        <v>32</v>
      </c>
      <c r="G17975" s="33" t="s">
        <v>20</v>
      </c>
      <c r="H17975" s="35">
        <v>120</v>
      </c>
      <c r="I17975" s="33" t="s">
        <v>21</v>
      </c>
      <c r="J17975" s="42">
        <v>45573</v>
      </c>
      <c r="K17975" s="33" t="s">
        <v>22</v>
      </c>
    </row>
    <row r="17976" spans="1:11">
      <c r="A17976" s="30" t="s">
        <v>40158</v>
      </c>
      <c r="B17976" s="30" t="s">
        <v>40159</v>
      </c>
      <c r="C17976" s="30" t="s">
        <v>1598</v>
      </c>
      <c r="D17976" s="30" t="s">
        <v>17</v>
      </c>
      <c r="E17976" s="30" t="s">
        <v>67</v>
      </c>
      <c r="F17976" s="30" t="s">
        <v>68</v>
      </c>
      <c r="G17976" s="30" t="s">
        <v>140</v>
      </c>
      <c r="H17976" s="32">
        <v>116</v>
      </c>
      <c r="I17976" s="30" t="s">
        <v>51</v>
      </c>
      <c r="J17976" s="41">
        <v>45502</v>
      </c>
      <c r="K17976" s="30" t="s">
        <v>22</v>
      </c>
    </row>
    <row r="17977" spans="1:11">
      <c r="A17977" s="33" t="s">
        <v>40160</v>
      </c>
      <c r="B17977" s="33" t="s">
        <v>40161</v>
      </c>
      <c r="C17977" s="33" t="s">
        <v>149</v>
      </c>
      <c r="D17977" s="33" t="s">
        <v>17</v>
      </c>
      <c r="E17977" s="33" t="s">
        <v>26</v>
      </c>
      <c r="F17977" s="33" t="s">
        <v>27</v>
      </c>
      <c r="G17977" s="33" t="s">
        <v>20</v>
      </c>
      <c r="H17977" s="35">
        <v>72</v>
      </c>
      <c r="I17977" s="33" t="s">
        <v>21</v>
      </c>
      <c r="J17977" s="42">
        <v>45389</v>
      </c>
      <c r="K17977" s="33" t="s">
        <v>22</v>
      </c>
    </row>
    <row r="17978" spans="1:11">
      <c r="A17978" s="30" t="s">
        <v>40162</v>
      </c>
      <c r="B17978" s="30" t="s">
        <v>40163</v>
      </c>
      <c r="C17978" s="30" t="s">
        <v>23518</v>
      </c>
      <c r="D17978" s="30" t="s">
        <v>17</v>
      </c>
      <c r="E17978" s="30" t="s">
        <v>26</v>
      </c>
      <c r="F17978" s="30" t="s">
        <v>27</v>
      </c>
      <c r="G17978" s="30" t="s">
        <v>20</v>
      </c>
      <c r="H17978" s="32">
        <v>9</v>
      </c>
      <c r="I17978" s="30" t="s">
        <v>21</v>
      </c>
      <c r="J17978" s="41">
        <v>45419</v>
      </c>
      <c r="K17978" s="30" t="s">
        <v>22</v>
      </c>
    </row>
    <row r="17979" spans="1:11">
      <c r="A17979" s="33" t="s">
        <v>40164</v>
      </c>
      <c r="B17979" s="33" t="s">
        <v>40165</v>
      </c>
      <c r="C17979" s="33" t="s">
        <v>3290</v>
      </c>
      <c r="D17979" s="33" t="s">
        <v>17</v>
      </c>
      <c r="E17979" s="33" t="s">
        <v>45</v>
      </c>
      <c r="F17979" s="33" t="s">
        <v>46</v>
      </c>
      <c r="G17979" s="33" t="s">
        <v>20</v>
      </c>
      <c r="H17979" s="35">
        <v>187</v>
      </c>
      <c r="I17979" s="33" t="s">
        <v>21</v>
      </c>
      <c r="J17979" s="42">
        <v>45366</v>
      </c>
      <c r="K17979" s="33" t="s">
        <v>22</v>
      </c>
    </row>
    <row r="17980" spans="1:11">
      <c r="A17980" s="30" t="s">
        <v>40166</v>
      </c>
      <c r="B17980" s="30" t="s">
        <v>40167</v>
      </c>
      <c r="C17980" s="30" t="s">
        <v>22557</v>
      </c>
      <c r="D17980" s="30" t="s">
        <v>17</v>
      </c>
      <c r="E17980" s="30" t="s">
        <v>18</v>
      </c>
      <c r="F17980" s="30" t="s">
        <v>19</v>
      </c>
      <c r="G17980" s="30" t="s">
        <v>158</v>
      </c>
      <c r="H17980" s="32">
        <v>440</v>
      </c>
      <c r="I17980" s="30" t="s">
        <v>21</v>
      </c>
      <c r="J17980" s="41">
        <v>45378</v>
      </c>
      <c r="K17980" s="30" t="s">
        <v>22</v>
      </c>
    </row>
    <row r="17981" spans="1:11">
      <c r="A17981" s="33" t="s">
        <v>40168</v>
      </c>
      <c r="B17981" s="33" t="s">
        <v>40169</v>
      </c>
      <c r="C17981" s="33" t="s">
        <v>102</v>
      </c>
      <c r="D17981" s="33" t="s">
        <v>17</v>
      </c>
      <c r="E17981" s="33" t="s">
        <v>31</v>
      </c>
      <c r="F17981" s="33" t="s">
        <v>32</v>
      </c>
      <c r="G17981" s="33" t="s">
        <v>158</v>
      </c>
      <c r="H17981" s="35">
        <v>24</v>
      </c>
      <c r="I17981" s="33" t="s">
        <v>21</v>
      </c>
      <c r="J17981" s="42">
        <v>45575</v>
      </c>
      <c r="K17981" s="33" t="s">
        <v>22</v>
      </c>
    </row>
    <row r="17982" spans="1:11">
      <c r="A17982" s="30" t="s">
        <v>40170</v>
      </c>
      <c r="B17982" s="30" t="s">
        <v>40171</v>
      </c>
      <c r="C17982" s="30" t="s">
        <v>93</v>
      </c>
      <c r="D17982" s="30" t="s">
        <v>17</v>
      </c>
      <c r="E17982" s="30" t="s">
        <v>26</v>
      </c>
      <c r="F17982" s="30" t="s">
        <v>27</v>
      </c>
      <c r="G17982" s="30" t="s">
        <v>20</v>
      </c>
      <c r="H17982" s="32">
        <v>16</v>
      </c>
      <c r="I17982" s="30" t="s">
        <v>21</v>
      </c>
      <c r="J17982" s="41">
        <v>45622</v>
      </c>
      <c r="K17982" s="30" t="s">
        <v>22</v>
      </c>
    </row>
    <row r="17983" spans="1:11">
      <c r="A17983" s="33" t="s">
        <v>40172</v>
      </c>
      <c r="B17983" s="33" t="s">
        <v>40173</v>
      </c>
      <c r="C17983" s="33" t="s">
        <v>787</v>
      </c>
      <c r="D17983" s="33" t="s">
        <v>17</v>
      </c>
      <c r="E17983" s="33" t="s">
        <v>31</v>
      </c>
      <c r="F17983" s="33" t="s">
        <v>32</v>
      </c>
      <c r="G17983" s="33" t="s">
        <v>20</v>
      </c>
      <c r="H17983" s="35">
        <v>129</v>
      </c>
      <c r="I17983" s="33" t="s">
        <v>21</v>
      </c>
      <c r="J17983" s="42">
        <v>45295</v>
      </c>
      <c r="K17983" s="33" t="s">
        <v>22</v>
      </c>
    </row>
    <row r="17984" spans="1:11">
      <c r="A17984" s="30" t="s">
        <v>40174</v>
      </c>
      <c r="B17984" s="30" t="s">
        <v>40175</v>
      </c>
      <c r="C17984" s="30" t="s">
        <v>1112</v>
      </c>
      <c r="D17984" s="30" t="s">
        <v>17</v>
      </c>
      <c r="E17984" s="30" t="s">
        <v>26</v>
      </c>
      <c r="F17984" s="30" t="s">
        <v>27</v>
      </c>
      <c r="G17984" s="30" t="s">
        <v>20</v>
      </c>
      <c r="H17984" s="32">
        <v>34</v>
      </c>
      <c r="I17984" s="30" t="s">
        <v>21</v>
      </c>
      <c r="J17984" s="41">
        <v>45429</v>
      </c>
      <c r="K17984" s="30" t="s">
        <v>22</v>
      </c>
    </row>
    <row r="17985" spans="1:11">
      <c r="A17985" s="33" t="s">
        <v>40176</v>
      </c>
      <c r="B17985" s="33" t="s">
        <v>40177</v>
      </c>
      <c r="C17985" s="33" t="s">
        <v>5636</v>
      </c>
      <c r="D17985" s="33" t="s">
        <v>17</v>
      </c>
      <c r="E17985" s="33" t="s">
        <v>26</v>
      </c>
      <c r="F17985" s="33" t="s">
        <v>27</v>
      </c>
      <c r="G17985" s="33" t="s">
        <v>20</v>
      </c>
      <c r="H17985" s="35">
        <v>39</v>
      </c>
      <c r="I17985" s="33" t="s">
        <v>21</v>
      </c>
      <c r="J17985" s="42">
        <v>45299</v>
      </c>
      <c r="K17985" s="33" t="s">
        <v>22</v>
      </c>
    </row>
    <row r="17986" spans="1:11">
      <c r="A17986" s="30" t="s">
        <v>40178</v>
      </c>
      <c r="B17986" s="30" t="s">
        <v>40179</v>
      </c>
      <c r="C17986" s="30" t="s">
        <v>40180</v>
      </c>
      <c r="D17986" s="30" t="s">
        <v>17</v>
      </c>
      <c r="E17986" s="30" t="s">
        <v>26</v>
      </c>
      <c r="F17986" s="30" t="s">
        <v>27</v>
      </c>
      <c r="G17986" s="30" t="s">
        <v>140</v>
      </c>
      <c r="H17986" s="32">
        <v>97</v>
      </c>
      <c r="I17986" s="30" t="s">
        <v>51</v>
      </c>
      <c r="J17986" s="41">
        <v>45310</v>
      </c>
      <c r="K17986" s="30" t="s">
        <v>22</v>
      </c>
    </row>
    <row r="17987" spans="1:11">
      <c r="A17987" s="33" t="s">
        <v>40181</v>
      </c>
      <c r="B17987" s="33" t="s">
        <v>40182</v>
      </c>
      <c r="C17987" s="33" t="s">
        <v>136</v>
      </c>
      <c r="D17987" s="33" t="s">
        <v>17</v>
      </c>
      <c r="E17987" s="33" t="s">
        <v>26</v>
      </c>
      <c r="F17987" s="33" t="s">
        <v>27</v>
      </c>
      <c r="G17987" s="33" t="s">
        <v>140</v>
      </c>
      <c r="H17987" s="35">
        <v>48</v>
      </c>
      <c r="I17987" s="33" t="s">
        <v>51</v>
      </c>
      <c r="J17987" s="42">
        <v>45519</v>
      </c>
      <c r="K17987" s="33" t="s">
        <v>22</v>
      </c>
    </row>
    <row r="17988" spans="1:11">
      <c r="A17988" s="30" t="s">
        <v>40183</v>
      </c>
      <c r="B17988" s="30" t="s">
        <v>40184</v>
      </c>
      <c r="C17988" s="30" t="s">
        <v>990</v>
      </c>
      <c r="D17988" s="30" t="s">
        <v>17</v>
      </c>
      <c r="E17988" s="30" t="s">
        <v>212</v>
      </c>
      <c r="F17988" s="30" t="s">
        <v>213</v>
      </c>
      <c r="G17988" s="30" t="s">
        <v>20</v>
      </c>
      <c r="H17988" s="32">
        <v>50</v>
      </c>
      <c r="I17988" s="30" t="s">
        <v>21</v>
      </c>
      <c r="J17988" s="41">
        <v>45324</v>
      </c>
      <c r="K17988" s="30" t="s">
        <v>22</v>
      </c>
    </row>
    <row r="17989" spans="1:11">
      <c r="A17989" s="33" t="s">
        <v>40185</v>
      </c>
      <c r="B17989" s="33" t="s">
        <v>40186</v>
      </c>
      <c r="C17989" s="33" t="s">
        <v>102</v>
      </c>
      <c r="D17989" s="33" t="s">
        <v>17</v>
      </c>
      <c r="E17989" s="33" t="s">
        <v>31</v>
      </c>
      <c r="F17989" s="33" t="s">
        <v>32</v>
      </c>
      <c r="G17989" s="33" t="s">
        <v>158</v>
      </c>
      <c r="H17989" s="35">
        <v>305</v>
      </c>
      <c r="I17989" s="33" t="s">
        <v>21</v>
      </c>
      <c r="J17989" s="42">
        <v>45338</v>
      </c>
      <c r="K17989" s="33" t="s">
        <v>22</v>
      </c>
    </row>
    <row r="17990" spans="1:11">
      <c r="A17990" s="30" t="s">
        <v>40187</v>
      </c>
      <c r="B17990" s="30" t="s">
        <v>40188</v>
      </c>
      <c r="C17990" s="30" t="s">
        <v>1136</v>
      </c>
      <c r="D17990" s="30" t="s">
        <v>17</v>
      </c>
      <c r="E17990" s="30" t="s">
        <v>18</v>
      </c>
      <c r="F17990" s="30" t="s">
        <v>19</v>
      </c>
      <c r="G17990" s="30" t="s">
        <v>106</v>
      </c>
      <c r="H17990" s="32">
        <v>2226</v>
      </c>
      <c r="I17990" s="30" t="s">
        <v>21</v>
      </c>
      <c r="J17990" s="41">
        <v>45425</v>
      </c>
      <c r="K17990" s="30" t="s">
        <v>22</v>
      </c>
    </row>
    <row r="17991" spans="1:11">
      <c r="A17991" s="33" t="s">
        <v>40189</v>
      </c>
      <c r="B17991" s="33" t="s">
        <v>40190</v>
      </c>
      <c r="C17991" s="33" t="s">
        <v>203</v>
      </c>
      <c r="D17991" s="33" t="s">
        <v>17</v>
      </c>
      <c r="E17991" s="33" t="s">
        <v>212</v>
      </c>
      <c r="F17991" s="33" t="s">
        <v>213</v>
      </c>
      <c r="G17991" s="33" t="s">
        <v>158</v>
      </c>
      <c r="H17991" s="35">
        <v>48</v>
      </c>
      <c r="I17991" s="33" t="s">
        <v>51</v>
      </c>
      <c r="J17991" s="42">
        <v>45344</v>
      </c>
      <c r="K17991" s="33" t="s">
        <v>22</v>
      </c>
    </row>
    <row r="17992" spans="1:11">
      <c r="A17992" s="30" t="s">
        <v>40191</v>
      </c>
      <c r="B17992" s="30" t="s">
        <v>40192</v>
      </c>
      <c r="C17992" s="30" t="s">
        <v>190</v>
      </c>
      <c r="D17992" s="30" t="s">
        <v>17</v>
      </c>
      <c r="E17992" s="30" t="s">
        <v>31</v>
      </c>
      <c r="F17992" s="30" t="s">
        <v>32</v>
      </c>
      <c r="G17992" s="30" t="s">
        <v>158</v>
      </c>
      <c r="H17992" s="32">
        <v>76</v>
      </c>
      <c r="I17992" s="30" t="s">
        <v>21</v>
      </c>
      <c r="J17992" s="41">
        <v>45403</v>
      </c>
      <c r="K17992" s="30" t="s">
        <v>22</v>
      </c>
    </row>
    <row r="17993" spans="1:11">
      <c r="A17993" s="33" t="s">
        <v>40193</v>
      </c>
      <c r="B17993" s="33" t="s">
        <v>40194</v>
      </c>
      <c r="C17993" s="33" t="s">
        <v>2562</v>
      </c>
      <c r="D17993" s="33" t="s">
        <v>17</v>
      </c>
      <c r="E17993" s="33" t="s">
        <v>31</v>
      </c>
      <c r="F17993" s="33" t="s">
        <v>32</v>
      </c>
      <c r="G17993" s="33" t="s">
        <v>50</v>
      </c>
      <c r="H17993" s="35">
        <v>100</v>
      </c>
      <c r="I17993" s="33" t="s">
        <v>51</v>
      </c>
      <c r="J17993" s="42">
        <v>45381</v>
      </c>
      <c r="K17993" s="33" t="s">
        <v>22</v>
      </c>
    </row>
    <row r="17994" spans="1:11">
      <c r="A17994" s="30" t="s">
        <v>40195</v>
      </c>
      <c r="B17994" s="30" t="s">
        <v>40196</v>
      </c>
      <c r="C17994" s="30" t="s">
        <v>4348</v>
      </c>
      <c r="D17994" s="30" t="s">
        <v>17</v>
      </c>
      <c r="E17994" s="30" t="s">
        <v>18</v>
      </c>
      <c r="F17994" s="30" t="s">
        <v>19</v>
      </c>
      <c r="G17994" s="30" t="s">
        <v>158</v>
      </c>
      <c r="H17994" s="32">
        <v>383</v>
      </c>
      <c r="I17994" s="30" t="s">
        <v>21</v>
      </c>
      <c r="J17994" s="41">
        <v>45406</v>
      </c>
      <c r="K17994" s="30" t="s">
        <v>22</v>
      </c>
    </row>
    <row r="17995" spans="1:11">
      <c r="A17995" s="33" t="s">
        <v>40197</v>
      </c>
      <c r="B17995" s="33" t="s">
        <v>40198</v>
      </c>
      <c r="C17995" s="33" t="s">
        <v>4348</v>
      </c>
      <c r="D17995" s="33" t="s">
        <v>17</v>
      </c>
      <c r="E17995" s="33" t="s">
        <v>31</v>
      </c>
      <c r="F17995" s="33" t="s">
        <v>32</v>
      </c>
      <c r="G17995" s="33" t="s">
        <v>140</v>
      </c>
      <c r="H17995" s="35">
        <v>40</v>
      </c>
      <c r="I17995" s="33" t="s">
        <v>51</v>
      </c>
      <c r="J17995" s="42">
        <v>45650</v>
      </c>
      <c r="K17995" s="33" t="s">
        <v>22</v>
      </c>
    </row>
    <row r="17996" spans="1:11">
      <c r="A17996" s="30" t="s">
        <v>40199</v>
      </c>
      <c r="B17996" s="30" t="s">
        <v>40200</v>
      </c>
      <c r="C17996" s="30" t="s">
        <v>40201</v>
      </c>
      <c r="D17996" s="30" t="s">
        <v>17</v>
      </c>
      <c r="E17996" s="30" t="s">
        <v>26</v>
      </c>
      <c r="F17996" s="30" t="s">
        <v>27</v>
      </c>
      <c r="G17996" s="30" t="s">
        <v>2613</v>
      </c>
      <c r="H17996" s="32">
        <v>12</v>
      </c>
      <c r="I17996" s="30" t="s">
        <v>51</v>
      </c>
      <c r="J17996" s="41">
        <v>45544</v>
      </c>
      <c r="K17996" s="30" t="s">
        <v>22</v>
      </c>
    </row>
    <row r="17997" spans="1:11">
      <c r="A17997" s="33" t="s">
        <v>40202</v>
      </c>
      <c r="B17997" s="33" t="s">
        <v>40203</v>
      </c>
      <c r="C17997" s="33" t="s">
        <v>124</v>
      </c>
      <c r="D17997" s="33" t="s">
        <v>17</v>
      </c>
      <c r="E17997" s="33" t="s">
        <v>26</v>
      </c>
      <c r="F17997" s="33" t="s">
        <v>27</v>
      </c>
      <c r="G17997" s="33" t="s">
        <v>158</v>
      </c>
      <c r="H17997" s="35">
        <v>24</v>
      </c>
      <c r="I17997" s="33" t="s">
        <v>21</v>
      </c>
      <c r="J17997" s="42">
        <v>45593</v>
      </c>
      <c r="K17997" s="33" t="s">
        <v>22</v>
      </c>
    </row>
    <row r="17998" spans="1:11">
      <c r="A17998" s="30" t="s">
        <v>40204</v>
      </c>
      <c r="B17998" s="30" t="s">
        <v>40205</v>
      </c>
      <c r="C17998" s="30" t="s">
        <v>75</v>
      </c>
      <c r="D17998" s="30" t="s">
        <v>17</v>
      </c>
      <c r="E17998" s="30" t="s">
        <v>212</v>
      </c>
      <c r="F17998" s="30" t="s">
        <v>213</v>
      </c>
      <c r="G17998" s="30" t="s">
        <v>158</v>
      </c>
      <c r="H17998" s="32">
        <v>63</v>
      </c>
      <c r="I17998" s="30" t="s">
        <v>21</v>
      </c>
      <c r="J17998" s="41">
        <v>45315</v>
      </c>
      <c r="K17998" s="30" t="s">
        <v>22</v>
      </c>
    </row>
    <row r="17999" spans="1:11">
      <c r="A17999" s="33" t="s">
        <v>40206</v>
      </c>
      <c r="B17999" s="33" t="s">
        <v>40207</v>
      </c>
      <c r="C17999" s="33" t="s">
        <v>60</v>
      </c>
      <c r="D17999" s="33" t="s">
        <v>17</v>
      </c>
      <c r="E17999" s="33" t="s">
        <v>18</v>
      </c>
      <c r="F17999" s="33" t="s">
        <v>19</v>
      </c>
      <c r="G17999" s="33" t="s">
        <v>140</v>
      </c>
      <c r="H17999" s="35">
        <v>1100</v>
      </c>
      <c r="I17999" s="33" t="s">
        <v>51</v>
      </c>
      <c r="J17999" s="42">
        <v>45566</v>
      </c>
      <c r="K17999" s="33" t="s">
        <v>22</v>
      </c>
    </row>
    <row r="18000" spans="1:11">
      <c r="A18000" s="30" t="s">
        <v>40208</v>
      </c>
      <c r="B18000" s="30" t="s">
        <v>40209</v>
      </c>
      <c r="C18000" s="30" t="s">
        <v>5251</v>
      </c>
      <c r="D18000" s="30" t="s">
        <v>17</v>
      </c>
      <c r="E18000" s="30" t="s">
        <v>26</v>
      </c>
      <c r="F18000" s="30" t="s">
        <v>27</v>
      </c>
      <c r="G18000" s="30" t="s">
        <v>20</v>
      </c>
      <c r="H18000" s="32">
        <v>50</v>
      </c>
      <c r="I18000" s="30" t="s">
        <v>21</v>
      </c>
      <c r="J18000" s="41">
        <v>45628</v>
      </c>
      <c r="K18000" s="30" t="s">
        <v>22</v>
      </c>
    </row>
    <row r="18001" spans="1:11">
      <c r="A18001" s="33" t="s">
        <v>40210</v>
      </c>
      <c r="B18001" s="33" t="s">
        <v>40211</v>
      </c>
      <c r="C18001" s="33" t="s">
        <v>1908</v>
      </c>
      <c r="D18001" s="33" t="s">
        <v>17</v>
      </c>
      <c r="E18001" s="33" t="s">
        <v>26</v>
      </c>
      <c r="F18001" s="33" t="s">
        <v>27</v>
      </c>
      <c r="G18001" s="33" t="s">
        <v>20</v>
      </c>
      <c r="H18001" s="35">
        <v>20</v>
      </c>
      <c r="I18001" s="33" t="s">
        <v>21</v>
      </c>
      <c r="J18001" s="42">
        <v>45442</v>
      </c>
      <c r="K18001" s="33" t="s">
        <v>22</v>
      </c>
    </row>
    <row r="18002" spans="1:11">
      <c r="A18002" s="30" t="s">
        <v>40212</v>
      </c>
      <c r="B18002" s="30" t="s">
        <v>40213</v>
      </c>
      <c r="C18002" s="30" t="s">
        <v>1770</v>
      </c>
      <c r="D18002" s="30" t="s">
        <v>17</v>
      </c>
      <c r="E18002" s="30" t="s">
        <v>31</v>
      </c>
      <c r="F18002" s="30" t="s">
        <v>32</v>
      </c>
      <c r="G18002" s="30" t="s">
        <v>158</v>
      </c>
      <c r="H18002" s="32">
        <v>43</v>
      </c>
      <c r="I18002" s="30" t="s">
        <v>21</v>
      </c>
      <c r="J18002" s="41">
        <v>45373</v>
      </c>
      <c r="K18002" s="30" t="s">
        <v>22</v>
      </c>
    </row>
    <row r="18003" spans="1:11">
      <c r="A18003" s="33" t="s">
        <v>40214</v>
      </c>
      <c r="B18003" s="33" t="s">
        <v>40215</v>
      </c>
      <c r="C18003" s="33" t="s">
        <v>40216</v>
      </c>
      <c r="D18003" s="33" t="s">
        <v>17</v>
      </c>
      <c r="E18003" s="33" t="s">
        <v>31</v>
      </c>
      <c r="F18003" s="33" t="s">
        <v>32</v>
      </c>
      <c r="G18003" s="33" t="s">
        <v>140</v>
      </c>
      <c r="H18003" s="35">
        <v>42</v>
      </c>
      <c r="I18003" s="33" t="s">
        <v>51</v>
      </c>
      <c r="J18003" s="42">
        <v>45614</v>
      </c>
      <c r="K18003" s="33" t="s">
        <v>22</v>
      </c>
    </row>
    <row r="18004" spans="1:11">
      <c r="A18004" s="30" t="s">
        <v>40217</v>
      </c>
      <c r="B18004" s="30" t="s">
        <v>40218</v>
      </c>
      <c r="C18004" s="30" t="s">
        <v>96</v>
      </c>
      <c r="D18004" s="30" t="s">
        <v>17</v>
      </c>
      <c r="E18004" s="30" t="s">
        <v>26</v>
      </c>
      <c r="F18004" s="30" t="s">
        <v>27</v>
      </c>
      <c r="G18004" s="30" t="s">
        <v>20</v>
      </c>
      <c r="H18004" s="32">
        <v>50</v>
      </c>
      <c r="I18004" s="30" t="s">
        <v>21</v>
      </c>
      <c r="J18004" s="41">
        <v>45342</v>
      </c>
      <c r="K18004" s="30" t="s">
        <v>22</v>
      </c>
    </row>
    <row r="18005" spans="1:11">
      <c r="A18005" s="33" t="s">
        <v>40219</v>
      </c>
      <c r="B18005" s="33" t="s">
        <v>40220</v>
      </c>
      <c r="C18005" s="33" t="s">
        <v>684</v>
      </c>
      <c r="D18005" s="33" t="s">
        <v>17</v>
      </c>
      <c r="E18005" s="33" t="s">
        <v>26</v>
      </c>
      <c r="F18005" s="33" t="s">
        <v>27</v>
      </c>
      <c r="G18005" s="33" t="s">
        <v>106</v>
      </c>
      <c r="H18005" s="35">
        <v>4</v>
      </c>
      <c r="I18005" s="33" t="s">
        <v>21</v>
      </c>
      <c r="J18005" s="42">
        <v>45349</v>
      </c>
      <c r="K18005" s="33" t="s">
        <v>22</v>
      </c>
    </row>
    <row r="18006" spans="1:11">
      <c r="A18006" s="30" t="s">
        <v>40221</v>
      </c>
      <c r="B18006" s="30" t="s">
        <v>40222</v>
      </c>
      <c r="C18006" s="30" t="s">
        <v>2012</v>
      </c>
      <c r="D18006" s="30" t="s">
        <v>17</v>
      </c>
      <c r="E18006" s="30" t="s">
        <v>18</v>
      </c>
      <c r="F18006" s="30" t="s">
        <v>19</v>
      </c>
      <c r="G18006" s="30" t="s">
        <v>140</v>
      </c>
      <c r="H18006" s="32">
        <v>134</v>
      </c>
      <c r="I18006" s="30" t="s">
        <v>51</v>
      </c>
      <c r="J18006" s="41">
        <v>45440</v>
      </c>
      <c r="K18006" s="30" t="s">
        <v>22</v>
      </c>
    </row>
    <row r="18007" spans="1:11">
      <c r="A18007" s="33" t="s">
        <v>40223</v>
      </c>
      <c r="B18007" s="33" t="s">
        <v>40224</v>
      </c>
      <c r="C18007" s="33" t="s">
        <v>4328</v>
      </c>
      <c r="D18007" s="33" t="s">
        <v>17</v>
      </c>
      <c r="E18007" s="33" t="s">
        <v>26</v>
      </c>
      <c r="F18007" s="33" t="s">
        <v>27</v>
      </c>
      <c r="G18007" s="33" t="s">
        <v>2613</v>
      </c>
      <c r="H18007" s="35">
        <v>144</v>
      </c>
      <c r="I18007" s="33" t="s">
        <v>51</v>
      </c>
      <c r="J18007" s="42">
        <v>45635</v>
      </c>
      <c r="K18007" s="33" t="s">
        <v>22</v>
      </c>
    </row>
    <row r="18008" spans="1:11">
      <c r="A18008" s="30" t="s">
        <v>40225</v>
      </c>
      <c r="B18008" s="30" t="s">
        <v>40226</v>
      </c>
      <c r="C18008" s="30" t="s">
        <v>78</v>
      </c>
      <c r="D18008" s="30" t="s">
        <v>17</v>
      </c>
      <c r="E18008" s="30" t="s">
        <v>26</v>
      </c>
      <c r="F18008" s="30" t="s">
        <v>27</v>
      </c>
      <c r="G18008" s="30" t="s">
        <v>20</v>
      </c>
      <c r="H18008" s="32">
        <v>30</v>
      </c>
      <c r="I18008" s="30" t="s">
        <v>21</v>
      </c>
      <c r="J18008" s="41">
        <v>45601</v>
      </c>
      <c r="K18008" s="30" t="s">
        <v>22</v>
      </c>
    </row>
    <row r="18009" spans="1:11">
      <c r="A18009" s="33" t="s">
        <v>40227</v>
      </c>
      <c r="B18009" s="33" t="s">
        <v>40228</v>
      </c>
      <c r="C18009" s="33" t="s">
        <v>7388</v>
      </c>
      <c r="D18009" s="33" t="s">
        <v>17</v>
      </c>
      <c r="E18009" s="33" t="s">
        <v>31</v>
      </c>
      <c r="F18009" s="33" t="s">
        <v>32</v>
      </c>
      <c r="G18009" s="33" t="s">
        <v>140</v>
      </c>
      <c r="H18009" s="35">
        <v>40</v>
      </c>
      <c r="I18009" s="33" t="s">
        <v>51</v>
      </c>
      <c r="J18009" s="42">
        <v>45355</v>
      </c>
      <c r="K18009" s="33" t="s">
        <v>22</v>
      </c>
    </row>
    <row r="18010" spans="1:11">
      <c r="A18010" s="30" t="s">
        <v>40229</v>
      </c>
      <c r="B18010" s="30" t="s">
        <v>40230</v>
      </c>
      <c r="C18010" s="30" t="s">
        <v>40231</v>
      </c>
      <c r="D18010" s="30" t="s">
        <v>17</v>
      </c>
      <c r="E18010" s="30" t="s">
        <v>26</v>
      </c>
      <c r="F18010" s="30" t="s">
        <v>27</v>
      </c>
      <c r="G18010" s="30" t="s">
        <v>140</v>
      </c>
      <c r="H18010" s="32">
        <v>12</v>
      </c>
      <c r="I18010" s="30" t="s">
        <v>51</v>
      </c>
      <c r="J18010" s="41">
        <v>45617</v>
      </c>
      <c r="K18010" s="30" t="s">
        <v>22</v>
      </c>
    </row>
    <row r="18011" spans="1:11">
      <c r="A18011" s="33" t="s">
        <v>40232</v>
      </c>
      <c r="B18011" s="33" t="s">
        <v>40233</v>
      </c>
      <c r="C18011" s="33" t="s">
        <v>1498</v>
      </c>
      <c r="D18011" s="33" t="s">
        <v>17</v>
      </c>
      <c r="E18011" s="33" t="s">
        <v>18</v>
      </c>
      <c r="F18011" s="33" t="s">
        <v>19</v>
      </c>
      <c r="G18011" s="33" t="s">
        <v>140</v>
      </c>
      <c r="H18011" s="35">
        <v>512</v>
      </c>
      <c r="I18011" s="33" t="s">
        <v>51</v>
      </c>
      <c r="J18011" s="42">
        <v>45302</v>
      </c>
      <c r="K18011" s="33" t="s">
        <v>22</v>
      </c>
    </row>
    <row r="18012" spans="1:11">
      <c r="A18012" s="30" t="s">
        <v>40234</v>
      </c>
      <c r="B18012" s="30" t="s">
        <v>40235</v>
      </c>
      <c r="C18012" s="30" t="s">
        <v>429</v>
      </c>
      <c r="D18012" s="30" t="s">
        <v>17</v>
      </c>
      <c r="E18012" s="30" t="s">
        <v>26</v>
      </c>
      <c r="F18012" s="30" t="s">
        <v>27</v>
      </c>
      <c r="G18012" s="30" t="s">
        <v>140</v>
      </c>
      <c r="H18012" s="32">
        <v>49</v>
      </c>
      <c r="I18012" s="30" t="s">
        <v>51</v>
      </c>
      <c r="J18012" s="41">
        <v>45547</v>
      </c>
      <c r="K18012" s="30" t="s">
        <v>22</v>
      </c>
    </row>
    <row r="18013" spans="1:11">
      <c r="A18013" s="33" t="s">
        <v>40236</v>
      </c>
      <c r="B18013" s="33" t="s">
        <v>40237</v>
      </c>
      <c r="C18013" s="33" t="s">
        <v>187</v>
      </c>
      <c r="D18013" s="33" t="s">
        <v>17</v>
      </c>
      <c r="E18013" s="33" t="s">
        <v>31</v>
      </c>
      <c r="F18013" s="33" t="s">
        <v>32</v>
      </c>
      <c r="G18013" s="33" t="s">
        <v>158</v>
      </c>
      <c r="H18013" s="35">
        <v>104</v>
      </c>
      <c r="I18013" s="33" t="s">
        <v>51</v>
      </c>
      <c r="J18013" s="42">
        <v>45327</v>
      </c>
      <c r="K18013" s="33" t="s">
        <v>22</v>
      </c>
    </row>
    <row r="18014" spans="1:11">
      <c r="A18014" s="30" t="s">
        <v>40238</v>
      </c>
      <c r="B18014" s="30" t="s">
        <v>40239</v>
      </c>
      <c r="C18014" s="30" t="s">
        <v>40240</v>
      </c>
      <c r="D18014" s="30" t="s">
        <v>17</v>
      </c>
      <c r="E18014" s="30" t="s">
        <v>26</v>
      </c>
      <c r="F18014" s="30" t="s">
        <v>27</v>
      </c>
      <c r="G18014" s="30" t="s">
        <v>106</v>
      </c>
      <c r="H18014" s="32">
        <v>12</v>
      </c>
      <c r="I18014" s="30" t="s">
        <v>21</v>
      </c>
      <c r="J18014" s="41">
        <v>45445</v>
      </c>
      <c r="K18014" s="30" t="s">
        <v>22</v>
      </c>
    </row>
    <row r="18015" spans="1:11">
      <c r="A18015" s="33" t="s">
        <v>40241</v>
      </c>
      <c r="B18015" s="33" t="s">
        <v>40242</v>
      </c>
      <c r="C18015" s="33" t="s">
        <v>102</v>
      </c>
      <c r="D18015" s="33" t="s">
        <v>17</v>
      </c>
      <c r="E18015" s="33" t="s">
        <v>26</v>
      </c>
      <c r="F18015" s="33" t="s">
        <v>27</v>
      </c>
      <c r="G18015" s="33" t="s">
        <v>140</v>
      </c>
      <c r="H18015" s="35">
        <v>260</v>
      </c>
      <c r="I18015" s="33" t="s">
        <v>51</v>
      </c>
      <c r="J18015" s="42">
        <v>45580</v>
      </c>
      <c r="K18015" s="33" t="s">
        <v>22</v>
      </c>
    </row>
    <row r="18016" spans="1:11">
      <c r="A18016" s="30" t="s">
        <v>40243</v>
      </c>
      <c r="B18016" s="30" t="s">
        <v>40244</v>
      </c>
      <c r="C18016" s="30" t="s">
        <v>40245</v>
      </c>
      <c r="D18016" s="30" t="s">
        <v>17</v>
      </c>
      <c r="E18016" s="30" t="s">
        <v>26</v>
      </c>
      <c r="F18016" s="30" t="s">
        <v>27</v>
      </c>
      <c r="G18016" s="30" t="s">
        <v>20</v>
      </c>
      <c r="H18016" s="32">
        <v>22</v>
      </c>
      <c r="I18016" s="30" t="s">
        <v>21</v>
      </c>
      <c r="J18016" s="41">
        <v>45568</v>
      </c>
      <c r="K18016" s="30" t="s">
        <v>22</v>
      </c>
    </row>
    <row r="18017" spans="1:11">
      <c r="A18017" s="33" t="s">
        <v>40246</v>
      </c>
      <c r="B18017" s="33" t="s">
        <v>40247</v>
      </c>
      <c r="C18017" s="33" t="s">
        <v>40248</v>
      </c>
      <c r="D18017" s="33" t="s">
        <v>17</v>
      </c>
      <c r="E18017" s="33" t="s">
        <v>26</v>
      </c>
      <c r="F18017" s="33" t="s">
        <v>27</v>
      </c>
      <c r="G18017" s="33" t="s">
        <v>106</v>
      </c>
      <c r="H18017" s="35">
        <v>20</v>
      </c>
      <c r="I18017" s="33" t="s">
        <v>21</v>
      </c>
      <c r="J18017" s="42">
        <v>45580</v>
      </c>
      <c r="K18017" s="33" t="s">
        <v>22</v>
      </c>
    </row>
    <row r="18018" spans="1:11">
      <c r="A18018" s="30" t="s">
        <v>40249</v>
      </c>
      <c r="B18018" s="30" t="s">
        <v>40250</v>
      </c>
      <c r="C18018" s="30" t="s">
        <v>22557</v>
      </c>
      <c r="D18018" s="30" t="s">
        <v>17</v>
      </c>
      <c r="E18018" s="30" t="s">
        <v>26</v>
      </c>
      <c r="F18018" s="30" t="s">
        <v>27</v>
      </c>
      <c r="G18018" s="30" t="s">
        <v>20</v>
      </c>
      <c r="H18018" s="32">
        <v>36</v>
      </c>
      <c r="I18018" s="30" t="s">
        <v>21</v>
      </c>
      <c r="J18018" s="41">
        <v>45457</v>
      </c>
      <c r="K18018" s="30" t="s">
        <v>22</v>
      </c>
    </row>
    <row r="18019" spans="1:11">
      <c r="A18019" s="33" t="s">
        <v>40251</v>
      </c>
      <c r="B18019" s="33" t="s">
        <v>40252</v>
      </c>
      <c r="C18019" s="33" t="s">
        <v>733</v>
      </c>
      <c r="D18019" s="33" t="s">
        <v>17</v>
      </c>
      <c r="E18019" s="33" t="s">
        <v>26</v>
      </c>
      <c r="F18019" s="33" t="s">
        <v>27</v>
      </c>
      <c r="G18019" s="33" t="s">
        <v>20</v>
      </c>
      <c r="H18019" s="35">
        <v>30</v>
      </c>
      <c r="I18019" s="33" t="s">
        <v>21</v>
      </c>
      <c r="J18019" s="42">
        <v>45428</v>
      </c>
      <c r="K18019" s="33" t="s">
        <v>22</v>
      </c>
    </row>
    <row r="18020" spans="1:11">
      <c r="A18020" s="30" t="s">
        <v>40253</v>
      </c>
      <c r="B18020" s="30" t="s">
        <v>40254</v>
      </c>
      <c r="C18020" s="30" t="s">
        <v>5232</v>
      </c>
      <c r="D18020" s="30" t="s">
        <v>17</v>
      </c>
      <c r="E18020" s="30" t="s">
        <v>26</v>
      </c>
      <c r="F18020" s="30" t="s">
        <v>27</v>
      </c>
      <c r="G18020" s="30" t="s">
        <v>20</v>
      </c>
      <c r="H18020" s="32">
        <v>12</v>
      </c>
      <c r="I18020" s="30" t="s">
        <v>21</v>
      </c>
      <c r="J18020" s="41">
        <v>45558</v>
      </c>
      <c r="K18020" s="30" t="s">
        <v>22</v>
      </c>
    </row>
    <row r="18021" spans="1:11">
      <c r="A18021" s="33" t="s">
        <v>40255</v>
      </c>
      <c r="B18021" s="33" t="s">
        <v>40256</v>
      </c>
      <c r="C18021" s="33" t="s">
        <v>40257</v>
      </c>
      <c r="D18021" s="33" t="s">
        <v>17</v>
      </c>
      <c r="E18021" s="33" t="s">
        <v>31</v>
      </c>
      <c r="F18021" s="33" t="s">
        <v>32</v>
      </c>
      <c r="G18021" s="33" t="s">
        <v>20</v>
      </c>
      <c r="H18021" s="35">
        <v>27</v>
      </c>
      <c r="I18021" s="33" t="s">
        <v>21</v>
      </c>
      <c r="J18021" s="42">
        <v>45390</v>
      </c>
      <c r="K18021" s="33" t="s">
        <v>22</v>
      </c>
    </row>
    <row r="18022" spans="1:11">
      <c r="A18022" s="30" t="s">
        <v>40258</v>
      </c>
      <c r="B18022" s="30" t="s">
        <v>40259</v>
      </c>
      <c r="C18022" s="30" t="s">
        <v>23956</v>
      </c>
      <c r="D18022" s="30" t="s">
        <v>17</v>
      </c>
      <c r="E18022" s="30" t="s">
        <v>31</v>
      </c>
      <c r="F18022" s="30" t="s">
        <v>32</v>
      </c>
      <c r="G18022" s="30" t="s">
        <v>140</v>
      </c>
      <c r="H18022" s="32">
        <v>30</v>
      </c>
      <c r="I18022" s="30" t="s">
        <v>51</v>
      </c>
      <c r="J18022" s="41">
        <v>45566</v>
      </c>
      <c r="K18022" s="30" t="s">
        <v>22</v>
      </c>
    </row>
    <row r="18023" spans="1:11">
      <c r="A18023" s="33" t="s">
        <v>40260</v>
      </c>
      <c r="B18023" s="33" t="s">
        <v>40261</v>
      </c>
      <c r="C18023" s="33" t="s">
        <v>39563</v>
      </c>
      <c r="D18023" s="33" t="s">
        <v>17</v>
      </c>
      <c r="E18023" s="33" t="s">
        <v>26</v>
      </c>
      <c r="F18023" s="33" t="s">
        <v>27</v>
      </c>
      <c r="G18023" s="33" t="s">
        <v>50</v>
      </c>
      <c r="H18023" s="35">
        <v>48</v>
      </c>
      <c r="I18023" s="33" t="s">
        <v>51</v>
      </c>
      <c r="J18023" s="42">
        <v>45540</v>
      </c>
      <c r="K18023" s="33" t="s">
        <v>22</v>
      </c>
    </row>
    <row r="18024" spans="1:11">
      <c r="A18024" s="30" t="s">
        <v>40262</v>
      </c>
      <c r="B18024" s="30" t="s">
        <v>40263</v>
      </c>
      <c r="C18024" s="30" t="s">
        <v>130</v>
      </c>
      <c r="D18024" s="30" t="s">
        <v>17</v>
      </c>
      <c r="E18024" s="30" t="s">
        <v>18</v>
      </c>
      <c r="F18024" s="30" t="s">
        <v>19</v>
      </c>
      <c r="G18024" s="30" t="s">
        <v>158</v>
      </c>
      <c r="H18024" s="32">
        <v>346</v>
      </c>
      <c r="I18024" s="30" t="s">
        <v>21</v>
      </c>
      <c r="J18024" s="41">
        <v>45575</v>
      </c>
      <c r="K18024" s="30" t="s">
        <v>22</v>
      </c>
    </row>
    <row r="18025" spans="1:11">
      <c r="A18025" s="33" t="s">
        <v>40264</v>
      </c>
      <c r="B18025" s="33" t="s">
        <v>40265</v>
      </c>
      <c r="C18025" s="33" t="s">
        <v>570</v>
      </c>
      <c r="D18025" s="33" t="s">
        <v>17</v>
      </c>
      <c r="E18025" s="33" t="s">
        <v>18</v>
      </c>
      <c r="F18025" s="33" t="s">
        <v>19</v>
      </c>
      <c r="G18025" s="33" t="s">
        <v>140</v>
      </c>
      <c r="H18025" s="35">
        <v>378</v>
      </c>
      <c r="I18025" s="33" t="s">
        <v>51</v>
      </c>
      <c r="J18025" s="42">
        <v>45484</v>
      </c>
      <c r="K18025" s="33" t="s">
        <v>22</v>
      </c>
    </row>
    <row r="18026" spans="1:11">
      <c r="A18026" s="30" t="s">
        <v>40266</v>
      </c>
      <c r="B18026" s="30" t="s">
        <v>40267</v>
      </c>
      <c r="C18026" s="30" t="s">
        <v>178</v>
      </c>
      <c r="D18026" s="30" t="s">
        <v>17</v>
      </c>
      <c r="E18026" s="30" t="s">
        <v>31</v>
      </c>
      <c r="F18026" s="30" t="s">
        <v>32</v>
      </c>
      <c r="G18026" s="30" t="s">
        <v>140</v>
      </c>
      <c r="H18026" s="32">
        <v>62</v>
      </c>
      <c r="I18026" s="30" t="s">
        <v>51</v>
      </c>
      <c r="J18026" s="41">
        <v>45635</v>
      </c>
      <c r="K18026" s="30" t="s">
        <v>22</v>
      </c>
    </row>
    <row r="18027" spans="1:11">
      <c r="A18027" s="33" t="s">
        <v>40268</v>
      </c>
      <c r="B18027" s="33" t="s">
        <v>40269</v>
      </c>
      <c r="C18027" s="33" t="s">
        <v>8768</v>
      </c>
      <c r="D18027" s="33" t="s">
        <v>17</v>
      </c>
      <c r="E18027" s="33" t="s">
        <v>18</v>
      </c>
      <c r="F18027" s="33" t="s">
        <v>19</v>
      </c>
      <c r="G18027" s="33" t="s">
        <v>140</v>
      </c>
      <c r="H18027" s="35">
        <v>520</v>
      </c>
      <c r="I18027" s="33" t="s">
        <v>51</v>
      </c>
      <c r="J18027" s="42">
        <v>45499</v>
      </c>
      <c r="K18027" s="33" t="s">
        <v>22</v>
      </c>
    </row>
    <row r="18028" spans="1:11">
      <c r="A18028" s="30" t="s">
        <v>40270</v>
      </c>
      <c r="B18028" s="30" t="s">
        <v>40271</v>
      </c>
      <c r="C18028" s="30" t="s">
        <v>190</v>
      </c>
      <c r="D18028" s="30" t="s">
        <v>17</v>
      </c>
      <c r="E18028" s="30" t="s">
        <v>26</v>
      </c>
      <c r="F18028" s="30" t="s">
        <v>27</v>
      </c>
      <c r="G18028" s="30" t="s">
        <v>112</v>
      </c>
      <c r="H18028" s="32">
        <v>0</v>
      </c>
      <c r="I18028" s="30" t="s">
        <v>21</v>
      </c>
      <c r="J18028" s="41">
        <v>45582</v>
      </c>
      <c r="K18028" s="30" t="s">
        <v>22</v>
      </c>
    </row>
    <row r="18029" spans="1:11">
      <c r="A18029" s="33" t="s">
        <v>40272</v>
      </c>
      <c r="B18029" s="33" t="s">
        <v>40273</v>
      </c>
      <c r="C18029" s="33" t="s">
        <v>78</v>
      </c>
      <c r="D18029" s="33" t="s">
        <v>17</v>
      </c>
      <c r="E18029" s="33" t="s">
        <v>18</v>
      </c>
      <c r="F18029" s="33" t="s">
        <v>19</v>
      </c>
      <c r="G18029" s="33" t="s">
        <v>140</v>
      </c>
      <c r="H18029" s="35">
        <v>324</v>
      </c>
      <c r="I18029" s="33" t="s">
        <v>51</v>
      </c>
      <c r="J18029" s="42">
        <v>45579</v>
      </c>
      <c r="K18029" s="33" t="s">
        <v>22</v>
      </c>
    </row>
    <row r="18030" spans="1:11">
      <c r="A18030" s="30" t="s">
        <v>40274</v>
      </c>
      <c r="B18030" s="30" t="s">
        <v>40275</v>
      </c>
      <c r="C18030" s="30" t="s">
        <v>12295</v>
      </c>
      <c r="D18030" s="30" t="s">
        <v>17</v>
      </c>
      <c r="E18030" s="30" t="s">
        <v>31</v>
      </c>
      <c r="F18030" s="30" t="s">
        <v>32</v>
      </c>
      <c r="G18030" s="30" t="s">
        <v>20</v>
      </c>
      <c r="H18030" s="32">
        <v>5</v>
      </c>
      <c r="I18030" s="30" t="s">
        <v>21</v>
      </c>
      <c r="J18030" s="41">
        <v>45505</v>
      </c>
      <c r="K18030" s="30" t="s">
        <v>22</v>
      </c>
    </row>
    <row r="18031" spans="1:11">
      <c r="A18031" s="33" t="s">
        <v>40276</v>
      </c>
      <c r="B18031" s="33" t="s">
        <v>40277</v>
      </c>
      <c r="C18031" s="33" t="s">
        <v>3429</v>
      </c>
      <c r="D18031" s="33" t="s">
        <v>17</v>
      </c>
      <c r="E18031" s="33" t="s">
        <v>26</v>
      </c>
      <c r="F18031" s="33" t="s">
        <v>27</v>
      </c>
      <c r="G18031" s="33" t="s">
        <v>20</v>
      </c>
      <c r="H18031" s="35">
        <v>32</v>
      </c>
      <c r="I18031" s="33" t="s">
        <v>21</v>
      </c>
      <c r="J18031" s="42">
        <v>45294</v>
      </c>
      <c r="K18031" s="33" t="s">
        <v>22</v>
      </c>
    </row>
    <row r="18032" spans="1:11">
      <c r="A18032" s="30" t="s">
        <v>40278</v>
      </c>
      <c r="B18032" s="30" t="s">
        <v>40279</v>
      </c>
      <c r="C18032" s="30" t="s">
        <v>44</v>
      </c>
      <c r="D18032" s="30" t="s">
        <v>17</v>
      </c>
      <c r="E18032" s="30" t="s">
        <v>67</v>
      </c>
      <c r="F18032" s="30" t="s">
        <v>68</v>
      </c>
      <c r="G18032" s="30" t="s">
        <v>140</v>
      </c>
      <c r="H18032" s="32">
        <v>54</v>
      </c>
      <c r="I18032" s="30" t="s">
        <v>51</v>
      </c>
      <c r="J18032" s="41">
        <v>45532</v>
      </c>
      <c r="K18032" s="30" t="s">
        <v>22</v>
      </c>
    </row>
    <row r="18033" spans="1:11">
      <c r="A18033" s="33" t="s">
        <v>40280</v>
      </c>
      <c r="B18033" s="33" t="s">
        <v>40281</v>
      </c>
      <c r="C18033" s="33" t="s">
        <v>5401</v>
      </c>
      <c r="D18033" s="33" t="s">
        <v>17</v>
      </c>
      <c r="E18033" s="33" t="s">
        <v>31</v>
      </c>
      <c r="F18033" s="33" t="s">
        <v>32</v>
      </c>
      <c r="G18033" s="33" t="s">
        <v>158</v>
      </c>
      <c r="H18033" s="35">
        <v>50</v>
      </c>
      <c r="I18033" s="33" t="s">
        <v>51</v>
      </c>
      <c r="J18033" s="42">
        <v>45589</v>
      </c>
      <c r="K18033" s="33" t="s">
        <v>22</v>
      </c>
    </row>
    <row r="18034" spans="1:11">
      <c r="A18034" s="30" t="s">
        <v>40282</v>
      </c>
      <c r="B18034" s="30" t="s">
        <v>40283</v>
      </c>
      <c r="C18034" s="30" t="s">
        <v>1598</v>
      </c>
      <c r="D18034" s="30" t="s">
        <v>17</v>
      </c>
      <c r="E18034" s="30" t="s">
        <v>31</v>
      </c>
      <c r="F18034" s="30" t="s">
        <v>32</v>
      </c>
      <c r="G18034" s="30" t="s">
        <v>20</v>
      </c>
      <c r="H18034" s="32">
        <v>38</v>
      </c>
      <c r="I18034" s="30" t="s">
        <v>21</v>
      </c>
      <c r="J18034" s="41">
        <v>45539</v>
      </c>
      <c r="K18034" s="30" t="s">
        <v>22</v>
      </c>
    </row>
    <row r="18035" spans="1:11">
      <c r="A18035" s="33" t="s">
        <v>40284</v>
      </c>
      <c r="B18035" s="33" t="s">
        <v>40285</v>
      </c>
      <c r="C18035" s="33" t="s">
        <v>40286</v>
      </c>
      <c r="D18035" s="33" t="s">
        <v>17</v>
      </c>
      <c r="E18035" s="33" t="s">
        <v>67</v>
      </c>
      <c r="F18035" s="33" t="s">
        <v>68</v>
      </c>
      <c r="G18035" s="33" t="s">
        <v>158</v>
      </c>
      <c r="H18035" s="35">
        <v>18</v>
      </c>
      <c r="I18035" s="33" t="s">
        <v>51</v>
      </c>
      <c r="J18035" s="42">
        <v>45511</v>
      </c>
      <c r="K18035" s="33" t="s">
        <v>22</v>
      </c>
    </row>
    <row r="18036" spans="1:11">
      <c r="A18036" s="30" t="s">
        <v>40287</v>
      </c>
      <c r="B18036" s="30" t="s">
        <v>40288</v>
      </c>
      <c r="C18036" s="30" t="s">
        <v>40289</v>
      </c>
      <c r="D18036" s="30" t="s">
        <v>17</v>
      </c>
      <c r="E18036" s="30" t="s">
        <v>67</v>
      </c>
      <c r="F18036" s="30" t="s">
        <v>68</v>
      </c>
      <c r="G18036" s="30" t="s">
        <v>158</v>
      </c>
      <c r="H18036" s="32">
        <v>45</v>
      </c>
      <c r="I18036" s="30" t="s">
        <v>51</v>
      </c>
      <c r="J18036" s="41">
        <v>45448</v>
      </c>
      <c r="K18036" s="30" t="s">
        <v>22</v>
      </c>
    </row>
    <row r="18037" spans="1:11">
      <c r="A18037" s="33" t="s">
        <v>40290</v>
      </c>
      <c r="B18037" s="33" t="s">
        <v>40291</v>
      </c>
      <c r="C18037" s="33" t="s">
        <v>38860</v>
      </c>
      <c r="D18037" s="33" t="s">
        <v>17</v>
      </c>
      <c r="E18037" s="33" t="s">
        <v>45</v>
      </c>
      <c r="F18037" s="33" t="s">
        <v>46</v>
      </c>
      <c r="G18037" s="33" t="s">
        <v>140</v>
      </c>
      <c r="H18037" s="35">
        <v>390</v>
      </c>
      <c r="I18037" s="33" t="s">
        <v>51</v>
      </c>
      <c r="J18037" s="42">
        <v>45365</v>
      </c>
      <c r="K18037" s="33" t="s">
        <v>22</v>
      </c>
    </row>
    <row r="18038" spans="1:11">
      <c r="A18038" s="30" t="s">
        <v>40292</v>
      </c>
      <c r="B18038" s="30" t="s">
        <v>40293</v>
      </c>
      <c r="C18038" s="30" t="s">
        <v>75</v>
      </c>
      <c r="D18038" s="30" t="s">
        <v>17</v>
      </c>
      <c r="E18038" s="30" t="s">
        <v>18</v>
      </c>
      <c r="F18038" s="30" t="s">
        <v>19</v>
      </c>
      <c r="G18038" s="30" t="s">
        <v>158</v>
      </c>
      <c r="H18038" s="32">
        <v>44</v>
      </c>
      <c r="I18038" s="30" t="s">
        <v>21</v>
      </c>
      <c r="J18038" s="41">
        <v>45399</v>
      </c>
      <c r="K18038" s="30" t="s">
        <v>22</v>
      </c>
    </row>
    <row r="18039" spans="1:11">
      <c r="A18039" s="33" t="s">
        <v>40294</v>
      </c>
      <c r="B18039" s="33" t="s">
        <v>40295</v>
      </c>
      <c r="C18039" s="33" t="s">
        <v>190</v>
      </c>
      <c r="D18039" s="33" t="s">
        <v>17</v>
      </c>
      <c r="E18039" s="33" t="s">
        <v>18</v>
      </c>
      <c r="F18039" s="33" t="s">
        <v>19</v>
      </c>
      <c r="G18039" s="33" t="s">
        <v>140</v>
      </c>
      <c r="H18039" s="35">
        <v>675</v>
      </c>
      <c r="I18039" s="33" t="s">
        <v>51</v>
      </c>
      <c r="J18039" s="42">
        <v>45393</v>
      </c>
      <c r="K18039" s="33" t="s">
        <v>22</v>
      </c>
    </row>
    <row r="18040" spans="1:11">
      <c r="A18040" s="30" t="s">
        <v>40296</v>
      </c>
      <c r="B18040" s="30" t="s">
        <v>40297</v>
      </c>
      <c r="C18040" s="30" t="s">
        <v>15917</v>
      </c>
      <c r="D18040" s="30" t="s">
        <v>17</v>
      </c>
      <c r="E18040" s="30" t="s">
        <v>26</v>
      </c>
      <c r="F18040" s="30" t="s">
        <v>27</v>
      </c>
      <c r="G18040" s="30" t="s">
        <v>20</v>
      </c>
      <c r="H18040" s="32">
        <v>50</v>
      </c>
      <c r="I18040" s="30" t="s">
        <v>21</v>
      </c>
      <c r="J18040" s="41">
        <v>45497</v>
      </c>
      <c r="K18040" s="30" t="s">
        <v>22</v>
      </c>
    </row>
    <row r="18041" spans="1:11">
      <c r="A18041" s="33" t="s">
        <v>40298</v>
      </c>
      <c r="B18041" s="33" t="s">
        <v>40299</v>
      </c>
      <c r="C18041" s="33" t="s">
        <v>3157</v>
      </c>
      <c r="D18041" s="33" t="s">
        <v>17</v>
      </c>
      <c r="E18041" s="33" t="s">
        <v>31</v>
      </c>
      <c r="F18041" s="33" t="s">
        <v>32</v>
      </c>
      <c r="G18041" s="33" t="s">
        <v>158</v>
      </c>
      <c r="H18041" s="35">
        <v>12</v>
      </c>
      <c r="I18041" s="33" t="s">
        <v>51</v>
      </c>
      <c r="J18041" s="42">
        <v>45586</v>
      </c>
      <c r="K18041" s="33" t="s">
        <v>22</v>
      </c>
    </row>
    <row r="18042" spans="1:11">
      <c r="A18042" s="30" t="s">
        <v>40300</v>
      </c>
      <c r="B18042" s="30" t="s">
        <v>40301</v>
      </c>
      <c r="C18042" s="30" t="s">
        <v>1270</v>
      </c>
      <c r="D18042" s="30" t="s">
        <v>17</v>
      </c>
      <c r="E18042" s="30" t="s">
        <v>18</v>
      </c>
      <c r="F18042" s="30" t="s">
        <v>19</v>
      </c>
      <c r="G18042" s="30" t="s">
        <v>20</v>
      </c>
      <c r="H18042" s="32">
        <v>604</v>
      </c>
      <c r="I18042" s="30" t="s">
        <v>21</v>
      </c>
      <c r="J18042" s="41">
        <v>45612</v>
      </c>
      <c r="K18042" s="30" t="s">
        <v>22</v>
      </c>
    </row>
    <row r="18043" spans="1:11">
      <c r="A18043" s="33" t="s">
        <v>40302</v>
      </c>
      <c r="B18043" s="33" t="s">
        <v>40303</v>
      </c>
      <c r="C18043" s="33" t="s">
        <v>22062</v>
      </c>
      <c r="D18043" s="33" t="s">
        <v>17</v>
      </c>
      <c r="E18043" s="33" t="s">
        <v>31</v>
      </c>
      <c r="F18043" s="33" t="s">
        <v>32</v>
      </c>
      <c r="G18043" s="33" t="s">
        <v>112</v>
      </c>
      <c r="H18043" s="35">
        <v>0</v>
      </c>
      <c r="I18043" s="33" t="s">
        <v>21</v>
      </c>
      <c r="J18043" s="42">
        <v>45525</v>
      </c>
      <c r="K18043" s="33" t="s">
        <v>22</v>
      </c>
    </row>
    <row r="18044" spans="1:11">
      <c r="A18044" s="30" t="s">
        <v>40304</v>
      </c>
      <c r="B18044" s="30" t="s">
        <v>40305</v>
      </c>
      <c r="C18044" s="30" t="s">
        <v>231</v>
      </c>
      <c r="D18044" s="30" t="s">
        <v>17</v>
      </c>
      <c r="E18044" s="30" t="s">
        <v>31</v>
      </c>
      <c r="F18044" s="30" t="s">
        <v>32</v>
      </c>
      <c r="G18044" s="30" t="s">
        <v>140</v>
      </c>
      <c r="H18044" s="32">
        <v>430</v>
      </c>
      <c r="I18044" s="30" t="s">
        <v>51</v>
      </c>
      <c r="J18044" s="41">
        <v>45576</v>
      </c>
      <c r="K18044" s="30" t="s">
        <v>22</v>
      </c>
    </row>
    <row r="18045" spans="1:11">
      <c r="A18045" s="33" t="s">
        <v>40306</v>
      </c>
      <c r="B18045" s="33" t="s">
        <v>40307</v>
      </c>
      <c r="C18045" s="33" t="s">
        <v>1598</v>
      </c>
      <c r="D18045" s="33" t="s">
        <v>17</v>
      </c>
      <c r="E18045" s="33" t="s">
        <v>26</v>
      </c>
      <c r="F18045" s="33" t="s">
        <v>27</v>
      </c>
      <c r="G18045" s="33" t="s">
        <v>20</v>
      </c>
      <c r="H18045" s="35">
        <v>99</v>
      </c>
      <c r="I18045" s="33" t="s">
        <v>21</v>
      </c>
      <c r="J18045" s="42">
        <v>45296</v>
      </c>
      <c r="K18045" s="33" t="s">
        <v>22</v>
      </c>
    </row>
    <row r="18046" spans="1:11">
      <c r="A18046" s="30" t="s">
        <v>40308</v>
      </c>
      <c r="B18046" s="30" t="s">
        <v>40309</v>
      </c>
      <c r="C18046" s="30" t="s">
        <v>2988</v>
      </c>
      <c r="D18046" s="30" t="s">
        <v>17</v>
      </c>
      <c r="E18046" s="30" t="s">
        <v>26</v>
      </c>
      <c r="F18046" s="30" t="s">
        <v>27</v>
      </c>
      <c r="G18046" s="30" t="s">
        <v>158</v>
      </c>
      <c r="H18046" s="32">
        <v>120</v>
      </c>
      <c r="I18046" s="30" t="s">
        <v>51</v>
      </c>
      <c r="J18046" s="41">
        <v>45386</v>
      </c>
      <c r="K18046" s="30" t="s">
        <v>22</v>
      </c>
    </row>
    <row r="18047" spans="1:11">
      <c r="A18047" s="33" t="s">
        <v>40310</v>
      </c>
      <c r="B18047" s="33" t="s">
        <v>40311</v>
      </c>
      <c r="C18047" s="33" t="s">
        <v>190</v>
      </c>
      <c r="D18047" s="33" t="s">
        <v>17</v>
      </c>
      <c r="E18047" s="33" t="s">
        <v>26</v>
      </c>
      <c r="F18047" s="33" t="s">
        <v>27</v>
      </c>
      <c r="G18047" s="33" t="s">
        <v>20</v>
      </c>
      <c r="H18047" s="35">
        <v>17</v>
      </c>
      <c r="I18047" s="33" t="s">
        <v>21</v>
      </c>
      <c r="J18047" s="42">
        <v>45496</v>
      </c>
      <c r="K18047" s="33" t="s">
        <v>22</v>
      </c>
    </row>
    <row r="18048" spans="1:11">
      <c r="A18048" s="30" t="s">
        <v>40312</v>
      </c>
      <c r="B18048" s="30" t="s">
        <v>40313</v>
      </c>
      <c r="C18048" s="30" t="s">
        <v>27689</v>
      </c>
      <c r="D18048" s="30" t="s">
        <v>17</v>
      </c>
      <c r="E18048" s="30" t="s">
        <v>26</v>
      </c>
      <c r="F18048" s="30" t="s">
        <v>27</v>
      </c>
      <c r="G18048" s="30" t="s">
        <v>20</v>
      </c>
      <c r="H18048" s="32">
        <v>60</v>
      </c>
      <c r="I18048" s="30" t="s">
        <v>21</v>
      </c>
      <c r="J18048" s="41">
        <v>45524</v>
      </c>
      <c r="K18048" s="30" t="s">
        <v>22</v>
      </c>
    </row>
    <row r="18049" spans="1:11">
      <c r="A18049" s="33" t="s">
        <v>40314</v>
      </c>
      <c r="B18049" s="33" t="s">
        <v>40315</v>
      </c>
      <c r="C18049" s="33" t="s">
        <v>22573</v>
      </c>
      <c r="D18049" s="33" t="s">
        <v>17</v>
      </c>
      <c r="E18049" s="33" t="s">
        <v>67</v>
      </c>
      <c r="F18049" s="33" t="s">
        <v>68</v>
      </c>
      <c r="G18049" s="33" t="s">
        <v>140</v>
      </c>
      <c r="H18049" s="35">
        <v>148</v>
      </c>
      <c r="I18049" s="33" t="s">
        <v>51</v>
      </c>
      <c r="J18049" s="42">
        <v>45569</v>
      </c>
      <c r="K18049" s="33" t="s">
        <v>22</v>
      </c>
    </row>
    <row r="18050" spans="1:11">
      <c r="A18050" s="30" t="s">
        <v>40316</v>
      </c>
      <c r="B18050" s="30" t="s">
        <v>40317</v>
      </c>
      <c r="C18050" s="30" t="s">
        <v>40318</v>
      </c>
      <c r="D18050" s="30" t="s">
        <v>17</v>
      </c>
      <c r="E18050" s="30" t="s">
        <v>26</v>
      </c>
      <c r="F18050" s="30" t="s">
        <v>27</v>
      </c>
      <c r="G18050" s="30" t="s">
        <v>50</v>
      </c>
      <c r="H18050" s="32">
        <v>44</v>
      </c>
      <c r="I18050" s="30" t="s">
        <v>51</v>
      </c>
      <c r="J18050" s="41">
        <v>45453</v>
      </c>
      <c r="K18050" s="30" t="s">
        <v>22</v>
      </c>
    </row>
    <row r="18051" spans="1:11">
      <c r="A18051" s="33" t="s">
        <v>40319</v>
      </c>
      <c r="B18051" s="33" t="s">
        <v>40320</v>
      </c>
      <c r="C18051" s="33" t="s">
        <v>17808</v>
      </c>
      <c r="D18051" s="33" t="s">
        <v>17</v>
      </c>
      <c r="E18051" s="33" t="s">
        <v>31</v>
      </c>
      <c r="F18051" s="33" t="s">
        <v>32</v>
      </c>
      <c r="G18051" s="33" t="s">
        <v>158</v>
      </c>
      <c r="H18051" s="35">
        <v>54</v>
      </c>
      <c r="I18051" s="33" t="s">
        <v>51</v>
      </c>
      <c r="J18051" s="42">
        <v>45399</v>
      </c>
      <c r="K18051" s="33" t="s">
        <v>22</v>
      </c>
    </row>
    <row r="18052" spans="1:11">
      <c r="A18052" s="30" t="s">
        <v>40321</v>
      </c>
      <c r="B18052" s="30" t="s">
        <v>40322</v>
      </c>
      <c r="C18052" s="30" t="s">
        <v>40323</v>
      </c>
      <c r="D18052" s="30" t="s">
        <v>17</v>
      </c>
      <c r="E18052" s="30" t="s">
        <v>26</v>
      </c>
      <c r="F18052" s="30" t="s">
        <v>27</v>
      </c>
      <c r="G18052" s="30" t="s">
        <v>140</v>
      </c>
      <c r="H18052" s="32">
        <v>115</v>
      </c>
      <c r="I18052" s="30" t="s">
        <v>51</v>
      </c>
      <c r="J18052" s="41">
        <v>45645</v>
      </c>
      <c r="K18052" s="30" t="s">
        <v>22</v>
      </c>
    </row>
    <row r="18053" spans="1:11">
      <c r="A18053" s="33" t="s">
        <v>40324</v>
      </c>
      <c r="B18053" s="33" t="s">
        <v>40325</v>
      </c>
      <c r="C18053" s="33" t="s">
        <v>87</v>
      </c>
      <c r="D18053" s="33" t="s">
        <v>17</v>
      </c>
      <c r="E18053" s="33" t="s">
        <v>31</v>
      </c>
      <c r="F18053" s="33" t="s">
        <v>32</v>
      </c>
      <c r="G18053" s="33" t="s">
        <v>7780</v>
      </c>
      <c r="H18053" s="35">
        <v>118</v>
      </c>
      <c r="I18053" s="33" t="s">
        <v>51</v>
      </c>
      <c r="J18053" s="42">
        <v>45627</v>
      </c>
      <c r="K18053" s="33" t="s">
        <v>22</v>
      </c>
    </row>
    <row r="18054" spans="1:11">
      <c r="A18054" s="30" t="s">
        <v>40326</v>
      </c>
      <c r="B18054" s="30" t="s">
        <v>40327</v>
      </c>
      <c r="C18054" s="30" t="s">
        <v>34733</v>
      </c>
      <c r="D18054" s="30" t="s">
        <v>17</v>
      </c>
      <c r="E18054" s="30" t="s">
        <v>26</v>
      </c>
      <c r="F18054" s="30" t="s">
        <v>27</v>
      </c>
      <c r="G18054" s="30" t="s">
        <v>106</v>
      </c>
      <c r="H18054" s="32">
        <v>19</v>
      </c>
      <c r="I18054" s="30" t="s">
        <v>21</v>
      </c>
      <c r="J18054" s="41">
        <v>45379</v>
      </c>
      <c r="K18054" s="30" t="s">
        <v>22</v>
      </c>
    </row>
    <row r="18055" spans="1:11">
      <c r="A18055" s="33" t="s">
        <v>40328</v>
      </c>
      <c r="B18055" s="33" t="s">
        <v>40329</v>
      </c>
      <c r="C18055" s="33" t="s">
        <v>157</v>
      </c>
      <c r="D18055" s="33" t="s">
        <v>17</v>
      </c>
      <c r="E18055" s="33" t="s">
        <v>212</v>
      </c>
      <c r="F18055" s="33" t="s">
        <v>213</v>
      </c>
      <c r="G18055" s="33" t="s">
        <v>140</v>
      </c>
      <c r="H18055" s="35">
        <v>100</v>
      </c>
      <c r="I18055" s="33" t="s">
        <v>51</v>
      </c>
      <c r="J18055" s="42">
        <v>45400</v>
      </c>
      <c r="K18055" s="33" t="s">
        <v>22</v>
      </c>
    </row>
    <row r="18056" spans="1:11">
      <c r="A18056" s="30" t="s">
        <v>40330</v>
      </c>
      <c r="B18056" s="30" t="s">
        <v>40331</v>
      </c>
      <c r="C18056" s="30" t="s">
        <v>13241</v>
      </c>
      <c r="D18056" s="30" t="s">
        <v>17</v>
      </c>
      <c r="E18056" s="30" t="s">
        <v>67</v>
      </c>
      <c r="F18056" s="30" t="s">
        <v>68</v>
      </c>
      <c r="G18056" s="30" t="s">
        <v>140</v>
      </c>
      <c r="H18056" s="32">
        <v>80</v>
      </c>
      <c r="I18056" s="30" t="s">
        <v>51</v>
      </c>
      <c r="J18056" s="41">
        <v>45425</v>
      </c>
      <c r="K18056" s="30" t="s">
        <v>22</v>
      </c>
    </row>
    <row r="18057" spans="1:11">
      <c r="A18057" s="33" t="s">
        <v>40332</v>
      </c>
      <c r="B18057" s="33" t="s">
        <v>40333</v>
      </c>
      <c r="C18057" s="33" t="s">
        <v>190</v>
      </c>
      <c r="D18057" s="33" t="s">
        <v>17</v>
      </c>
      <c r="E18057" s="33" t="s">
        <v>18</v>
      </c>
      <c r="F18057" s="33" t="s">
        <v>19</v>
      </c>
      <c r="G18057" s="33" t="s">
        <v>158</v>
      </c>
      <c r="H18057" s="35">
        <v>2554</v>
      </c>
      <c r="I18057" s="33" t="s">
        <v>21</v>
      </c>
      <c r="J18057" s="42">
        <v>45380</v>
      </c>
      <c r="K18057" s="33" t="s">
        <v>22</v>
      </c>
    </row>
    <row r="18058" spans="1:11">
      <c r="A18058" s="30" t="s">
        <v>40334</v>
      </c>
      <c r="B18058" s="30" t="s">
        <v>40335</v>
      </c>
      <c r="C18058" s="30" t="s">
        <v>27827</v>
      </c>
      <c r="D18058" s="30" t="s">
        <v>17</v>
      </c>
      <c r="E18058" s="30" t="s">
        <v>67</v>
      </c>
      <c r="F18058" s="30" t="s">
        <v>68</v>
      </c>
      <c r="G18058" s="30" t="s">
        <v>106</v>
      </c>
      <c r="H18058" s="32">
        <v>10</v>
      </c>
      <c r="I18058" s="30" t="s">
        <v>21</v>
      </c>
      <c r="J18058" s="41">
        <v>45335</v>
      </c>
      <c r="K18058" s="30" t="s">
        <v>22</v>
      </c>
    </row>
    <row r="18059" spans="1:11">
      <c r="A18059" s="33" t="s">
        <v>40336</v>
      </c>
      <c r="B18059" s="33" t="s">
        <v>40337</v>
      </c>
      <c r="C18059" s="33" t="s">
        <v>426</v>
      </c>
      <c r="D18059" s="33" t="s">
        <v>17</v>
      </c>
      <c r="E18059" s="33" t="s">
        <v>18</v>
      </c>
      <c r="F18059" s="33" t="s">
        <v>19</v>
      </c>
      <c r="G18059" s="33" t="s">
        <v>140</v>
      </c>
      <c r="H18059" s="35">
        <v>344</v>
      </c>
      <c r="I18059" s="33" t="s">
        <v>51</v>
      </c>
      <c r="J18059" s="42">
        <v>45389</v>
      </c>
      <c r="K18059" s="33" t="s">
        <v>22</v>
      </c>
    </row>
    <row r="18060" spans="1:11">
      <c r="A18060" s="30" t="s">
        <v>40338</v>
      </c>
      <c r="B18060" s="30" t="s">
        <v>40339</v>
      </c>
      <c r="C18060" s="30" t="s">
        <v>9605</v>
      </c>
      <c r="D18060" s="30" t="s">
        <v>17</v>
      </c>
      <c r="E18060" s="30" t="s">
        <v>67</v>
      </c>
      <c r="F18060" s="30" t="s">
        <v>68</v>
      </c>
      <c r="G18060" s="30" t="s">
        <v>140</v>
      </c>
      <c r="H18060" s="32">
        <v>108</v>
      </c>
      <c r="I18060" s="30" t="s">
        <v>51</v>
      </c>
      <c r="J18060" s="41">
        <v>45574</v>
      </c>
      <c r="K18060" s="30" t="s">
        <v>22</v>
      </c>
    </row>
    <row r="18061" spans="1:11">
      <c r="A18061" s="33" t="s">
        <v>40340</v>
      </c>
      <c r="B18061" s="33" t="s">
        <v>40341</v>
      </c>
      <c r="C18061" s="33" t="s">
        <v>40342</v>
      </c>
      <c r="D18061" s="33" t="s">
        <v>17</v>
      </c>
      <c r="E18061" s="33" t="s">
        <v>67</v>
      </c>
      <c r="F18061" s="33" t="s">
        <v>68</v>
      </c>
      <c r="G18061" s="33" t="s">
        <v>140</v>
      </c>
      <c r="H18061" s="35">
        <v>285</v>
      </c>
      <c r="I18061" s="33" t="s">
        <v>51</v>
      </c>
      <c r="J18061" s="42">
        <v>45455</v>
      </c>
      <c r="K18061" s="33" t="s">
        <v>22</v>
      </c>
    </row>
    <row r="18062" spans="1:11">
      <c r="A18062" s="30" t="s">
        <v>40343</v>
      </c>
      <c r="B18062" s="30" t="s">
        <v>40344</v>
      </c>
      <c r="C18062" s="30" t="s">
        <v>30672</v>
      </c>
      <c r="D18062" s="30" t="s">
        <v>17</v>
      </c>
      <c r="E18062" s="30" t="s">
        <v>330</v>
      </c>
      <c r="F18062" s="30" t="s">
        <v>331</v>
      </c>
      <c r="G18062" s="30" t="s">
        <v>140</v>
      </c>
      <c r="H18062" s="32">
        <v>24</v>
      </c>
      <c r="I18062" s="30" t="s">
        <v>51</v>
      </c>
      <c r="J18062" s="41">
        <v>45461</v>
      </c>
      <c r="K18062" s="30" t="s">
        <v>22</v>
      </c>
    </row>
    <row r="18063" spans="1:11">
      <c r="A18063" s="33" t="s">
        <v>40345</v>
      </c>
      <c r="B18063" s="33" t="s">
        <v>40346</v>
      </c>
      <c r="C18063" s="33" t="s">
        <v>222</v>
      </c>
      <c r="D18063" s="33" t="s">
        <v>17</v>
      </c>
      <c r="E18063" s="33" t="s">
        <v>45</v>
      </c>
      <c r="F18063" s="33" t="s">
        <v>46</v>
      </c>
      <c r="G18063" s="33" t="s">
        <v>140</v>
      </c>
      <c r="H18063" s="35">
        <v>860</v>
      </c>
      <c r="I18063" s="33" t="s">
        <v>51</v>
      </c>
      <c r="J18063" s="42">
        <v>45349</v>
      </c>
      <c r="K18063" s="33" t="s">
        <v>22</v>
      </c>
    </row>
    <row r="18064" spans="1:11">
      <c r="A18064" s="30" t="s">
        <v>40347</v>
      </c>
      <c r="B18064" s="30" t="s">
        <v>40348</v>
      </c>
      <c r="C18064" s="30" t="s">
        <v>2228</v>
      </c>
      <c r="D18064" s="30" t="s">
        <v>17</v>
      </c>
      <c r="E18064" s="30" t="s">
        <v>31</v>
      </c>
      <c r="F18064" s="30" t="s">
        <v>32</v>
      </c>
      <c r="G18064" s="30" t="s">
        <v>140</v>
      </c>
      <c r="H18064" s="32">
        <v>75</v>
      </c>
      <c r="I18064" s="30" t="s">
        <v>51</v>
      </c>
      <c r="J18064" s="41">
        <v>45418</v>
      </c>
      <c r="K18064" s="30" t="s">
        <v>22</v>
      </c>
    </row>
    <row r="18065" spans="1:11">
      <c r="A18065" s="33" t="s">
        <v>40349</v>
      </c>
      <c r="B18065" s="33" t="s">
        <v>40350</v>
      </c>
      <c r="C18065" s="33" t="s">
        <v>40351</v>
      </c>
      <c r="D18065" s="33" t="s">
        <v>17</v>
      </c>
      <c r="E18065" s="33" t="s">
        <v>31</v>
      </c>
      <c r="F18065" s="33" t="s">
        <v>32</v>
      </c>
      <c r="G18065" s="33" t="s">
        <v>20</v>
      </c>
      <c r="H18065" s="35">
        <v>35</v>
      </c>
      <c r="I18065" s="33" t="s">
        <v>21</v>
      </c>
      <c r="J18065" s="42">
        <v>45406</v>
      </c>
      <c r="K18065" s="33" t="s">
        <v>22</v>
      </c>
    </row>
    <row r="18066" spans="1:11">
      <c r="A18066" s="30" t="s">
        <v>40352</v>
      </c>
      <c r="B18066" s="30" t="s">
        <v>40353</v>
      </c>
      <c r="C18066" s="30" t="s">
        <v>1764</v>
      </c>
      <c r="D18066" s="30" t="s">
        <v>17</v>
      </c>
      <c r="E18066" s="30" t="s">
        <v>31</v>
      </c>
      <c r="F18066" s="30" t="s">
        <v>32</v>
      </c>
      <c r="G18066" s="30" t="s">
        <v>20</v>
      </c>
      <c r="H18066" s="32">
        <v>84</v>
      </c>
      <c r="I18066" s="30" t="s">
        <v>21</v>
      </c>
      <c r="J18066" s="41">
        <v>45499</v>
      </c>
      <c r="K18066" s="30" t="s">
        <v>22</v>
      </c>
    </row>
    <row r="18067" spans="1:11">
      <c r="A18067" s="33" t="s">
        <v>40354</v>
      </c>
      <c r="B18067" s="33" t="s">
        <v>40355</v>
      </c>
      <c r="C18067" s="33" t="s">
        <v>203</v>
      </c>
      <c r="D18067" s="33" t="s">
        <v>17</v>
      </c>
      <c r="E18067" s="33" t="s">
        <v>31</v>
      </c>
      <c r="F18067" s="33" t="s">
        <v>32</v>
      </c>
      <c r="G18067" s="33" t="s">
        <v>158</v>
      </c>
      <c r="H18067" s="35">
        <v>66</v>
      </c>
      <c r="I18067" s="33" t="s">
        <v>21</v>
      </c>
      <c r="J18067" s="42">
        <v>45642</v>
      </c>
      <c r="K18067" s="33" t="s">
        <v>22</v>
      </c>
    </row>
    <row r="18068" spans="1:11">
      <c r="A18068" s="30" t="s">
        <v>40356</v>
      </c>
      <c r="B18068" s="30" t="s">
        <v>40357</v>
      </c>
      <c r="C18068" s="30" t="s">
        <v>19859</v>
      </c>
      <c r="D18068" s="30" t="s">
        <v>17</v>
      </c>
      <c r="E18068" s="30" t="s">
        <v>67</v>
      </c>
      <c r="F18068" s="30" t="s">
        <v>68</v>
      </c>
      <c r="G18068" s="30" t="s">
        <v>140</v>
      </c>
      <c r="H18068" s="32">
        <v>12</v>
      </c>
      <c r="I18068" s="30" t="s">
        <v>51</v>
      </c>
      <c r="J18068" s="41">
        <v>45455</v>
      </c>
      <c r="K18068" s="30" t="s">
        <v>22</v>
      </c>
    </row>
    <row r="18069" spans="1:11">
      <c r="A18069" s="33" t="s">
        <v>40358</v>
      </c>
      <c r="B18069" s="33" t="s">
        <v>40359</v>
      </c>
      <c r="C18069" s="33" t="s">
        <v>30</v>
      </c>
      <c r="D18069" s="33" t="s">
        <v>17</v>
      </c>
      <c r="E18069" s="33" t="s">
        <v>18</v>
      </c>
      <c r="F18069" s="33" t="s">
        <v>19</v>
      </c>
      <c r="G18069" s="33" t="s">
        <v>112</v>
      </c>
      <c r="H18069" s="35">
        <v>0</v>
      </c>
      <c r="I18069" s="33" t="s">
        <v>21</v>
      </c>
      <c r="J18069" s="42">
        <v>45352</v>
      </c>
      <c r="K18069" s="33" t="s">
        <v>22</v>
      </c>
    </row>
    <row r="18070" spans="1:11">
      <c r="A18070" s="30" t="s">
        <v>40360</v>
      </c>
      <c r="B18070" s="30" t="s">
        <v>40361</v>
      </c>
      <c r="C18070" s="30" t="s">
        <v>187</v>
      </c>
      <c r="D18070" s="30" t="s">
        <v>17</v>
      </c>
      <c r="E18070" s="30" t="s">
        <v>26</v>
      </c>
      <c r="F18070" s="30" t="s">
        <v>27</v>
      </c>
      <c r="G18070" s="30" t="s">
        <v>106</v>
      </c>
      <c r="H18070" s="32">
        <v>22</v>
      </c>
      <c r="I18070" s="30" t="s">
        <v>21</v>
      </c>
      <c r="J18070" s="41">
        <v>45442</v>
      </c>
      <c r="K18070" s="30" t="s">
        <v>22</v>
      </c>
    </row>
    <row r="18071" spans="1:11">
      <c r="A18071" s="33" t="s">
        <v>40362</v>
      </c>
      <c r="B18071" s="33" t="s">
        <v>40363</v>
      </c>
      <c r="C18071" s="33" t="s">
        <v>310</v>
      </c>
      <c r="D18071" s="33" t="s">
        <v>17</v>
      </c>
      <c r="E18071" s="33" t="s">
        <v>26</v>
      </c>
      <c r="F18071" s="33" t="s">
        <v>27</v>
      </c>
      <c r="G18071" s="33" t="s">
        <v>20</v>
      </c>
      <c r="H18071" s="35">
        <v>16</v>
      </c>
      <c r="I18071" s="33" t="s">
        <v>21</v>
      </c>
      <c r="J18071" s="42">
        <v>45440</v>
      </c>
      <c r="K18071" s="33" t="s">
        <v>22</v>
      </c>
    </row>
    <row r="18072" spans="1:11">
      <c r="A18072" s="30" t="s">
        <v>40364</v>
      </c>
      <c r="B18072" s="30" t="s">
        <v>40365</v>
      </c>
      <c r="C18072" s="30" t="s">
        <v>157</v>
      </c>
      <c r="D18072" s="30" t="s">
        <v>17</v>
      </c>
      <c r="E18072" s="30" t="s">
        <v>18</v>
      </c>
      <c r="F18072" s="30" t="s">
        <v>19</v>
      </c>
      <c r="G18072" s="30" t="s">
        <v>140</v>
      </c>
      <c r="H18072" s="32">
        <v>50</v>
      </c>
      <c r="I18072" s="30" t="s">
        <v>51</v>
      </c>
      <c r="J18072" s="41">
        <v>45352</v>
      </c>
      <c r="K18072" s="30" t="s">
        <v>22</v>
      </c>
    </row>
    <row r="18073" spans="1:11">
      <c r="A18073" s="33" t="s">
        <v>40366</v>
      </c>
      <c r="B18073" s="33" t="s">
        <v>40367</v>
      </c>
      <c r="C18073" s="33" t="s">
        <v>2490</v>
      </c>
      <c r="D18073" s="33" t="s">
        <v>17</v>
      </c>
      <c r="E18073" s="33" t="s">
        <v>26</v>
      </c>
      <c r="F18073" s="33" t="s">
        <v>27</v>
      </c>
      <c r="G18073" s="33" t="s">
        <v>20</v>
      </c>
      <c r="H18073" s="35">
        <v>66</v>
      </c>
      <c r="I18073" s="33" t="s">
        <v>21</v>
      </c>
      <c r="J18073" s="42">
        <v>45523</v>
      </c>
      <c r="K18073" s="33" t="s">
        <v>22</v>
      </c>
    </row>
    <row r="18074" spans="1:11">
      <c r="A18074" s="30" t="s">
        <v>40368</v>
      </c>
      <c r="B18074" s="30" t="s">
        <v>40369</v>
      </c>
      <c r="C18074" s="30" t="s">
        <v>4345</v>
      </c>
      <c r="D18074" s="30" t="s">
        <v>17</v>
      </c>
      <c r="E18074" s="30" t="s">
        <v>26</v>
      </c>
      <c r="F18074" s="30" t="s">
        <v>27</v>
      </c>
      <c r="G18074" s="30" t="s">
        <v>106</v>
      </c>
      <c r="H18074" s="32">
        <v>1</v>
      </c>
      <c r="I18074" s="30" t="s">
        <v>21</v>
      </c>
      <c r="J18074" s="41">
        <v>45646</v>
      </c>
      <c r="K18074" s="30" t="s">
        <v>22</v>
      </c>
    </row>
    <row r="18075" spans="1:11">
      <c r="A18075" s="33" t="s">
        <v>40370</v>
      </c>
      <c r="B18075" s="33" t="s">
        <v>40371</v>
      </c>
      <c r="C18075" s="33" t="s">
        <v>14331</v>
      </c>
      <c r="D18075" s="33" t="s">
        <v>17</v>
      </c>
      <c r="E18075" s="33" t="s">
        <v>18</v>
      </c>
      <c r="F18075" s="33" t="s">
        <v>19</v>
      </c>
      <c r="G18075" s="33" t="s">
        <v>158</v>
      </c>
      <c r="H18075" s="35">
        <v>159</v>
      </c>
      <c r="I18075" s="33" t="s">
        <v>21</v>
      </c>
      <c r="J18075" s="42">
        <v>45442</v>
      </c>
      <c r="K18075" s="33" t="s">
        <v>22</v>
      </c>
    </row>
    <row r="18076" spans="1:11">
      <c r="A18076" s="30" t="s">
        <v>40372</v>
      </c>
      <c r="B18076" s="30" t="s">
        <v>40373</v>
      </c>
      <c r="C18076" s="30" t="s">
        <v>16964</v>
      </c>
      <c r="D18076" s="30" t="s">
        <v>17</v>
      </c>
      <c r="E18076" s="30" t="s">
        <v>26</v>
      </c>
      <c r="F18076" s="30" t="s">
        <v>27</v>
      </c>
      <c r="G18076" s="30" t="s">
        <v>20</v>
      </c>
      <c r="H18076" s="32">
        <v>7</v>
      </c>
      <c r="I18076" s="30" t="s">
        <v>21</v>
      </c>
      <c r="J18076" s="41">
        <v>45433</v>
      </c>
      <c r="K18076" s="30" t="s">
        <v>22</v>
      </c>
    </row>
    <row r="18077" spans="1:11">
      <c r="A18077" s="33" t="s">
        <v>40374</v>
      </c>
      <c r="B18077" s="33" t="s">
        <v>40375</v>
      </c>
      <c r="C18077" s="33" t="s">
        <v>747</v>
      </c>
      <c r="D18077" s="33" t="s">
        <v>17</v>
      </c>
      <c r="E18077" s="33" t="s">
        <v>26</v>
      </c>
      <c r="F18077" s="33" t="s">
        <v>27</v>
      </c>
      <c r="G18077" s="33" t="s">
        <v>20</v>
      </c>
      <c r="H18077" s="35">
        <v>36</v>
      </c>
      <c r="I18077" s="33" t="s">
        <v>21</v>
      </c>
      <c r="J18077" s="42">
        <v>45562</v>
      </c>
      <c r="K18077" s="33" t="s">
        <v>22</v>
      </c>
    </row>
    <row r="18078" spans="1:11">
      <c r="A18078" s="30" t="s">
        <v>40376</v>
      </c>
      <c r="B18078" s="30" t="s">
        <v>40377</v>
      </c>
      <c r="C18078" s="30" t="s">
        <v>136</v>
      </c>
      <c r="D18078" s="30" t="s">
        <v>17</v>
      </c>
      <c r="E18078" s="30" t="s">
        <v>31</v>
      </c>
      <c r="F18078" s="30" t="s">
        <v>32</v>
      </c>
      <c r="G18078" s="30" t="s">
        <v>20</v>
      </c>
      <c r="H18078" s="32">
        <v>558</v>
      </c>
      <c r="I18078" s="30" t="s">
        <v>21</v>
      </c>
      <c r="J18078" s="41">
        <v>45526</v>
      </c>
      <c r="K18078" s="30" t="s">
        <v>22</v>
      </c>
    </row>
    <row r="18079" spans="1:11">
      <c r="A18079" s="33" t="s">
        <v>40378</v>
      </c>
      <c r="B18079" s="33" t="s">
        <v>40379</v>
      </c>
      <c r="C18079" s="33" t="s">
        <v>5040</v>
      </c>
      <c r="D18079" s="33" t="s">
        <v>17</v>
      </c>
      <c r="E18079" s="33" t="s">
        <v>212</v>
      </c>
      <c r="F18079" s="33" t="s">
        <v>213</v>
      </c>
      <c r="G18079" s="33" t="s">
        <v>2613</v>
      </c>
      <c r="H18079" s="35">
        <v>414</v>
      </c>
      <c r="I18079" s="33" t="s">
        <v>51</v>
      </c>
      <c r="J18079" s="42">
        <v>45551</v>
      </c>
      <c r="K18079" s="33" t="s">
        <v>22</v>
      </c>
    </row>
    <row r="18080" spans="1:11">
      <c r="A18080" s="30" t="s">
        <v>40380</v>
      </c>
      <c r="B18080" s="30" t="s">
        <v>40381</v>
      </c>
      <c r="C18080" s="30" t="s">
        <v>109</v>
      </c>
      <c r="D18080" s="30" t="s">
        <v>17</v>
      </c>
      <c r="E18080" s="30" t="s">
        <v>18</v>
      </c>
      <c r="F18080" s="30" t="s">
        <v>19</v>
      </c>
      <c r="G18080" s="30" t="s">
        <v>140</v>
      </c>
      <c r="H18080" s="32">
        <v>50</v>
      </c>
      <c r="I18080" s="30" t="s">
        <v>51</v>
      </c>
      <c r="J18080" s="41">
        <v>45350</v>
      </c>
      <c r="K18080" s="30" t="s">
        <v>22</v>
      </c>
    </row>
    <row r="18081" spans="1:11">
      <c r="A18081" s="33" t="s">
        <v>40382</v>
      </c>
      <c r="B18081" s="33" t="s">
        <v>40383</v>
      </c>
      <c r="C18081" s="33" t="s">
        <v>149</v>
      </c>
      <c r="D18081" s="33" t="s">
        <v>17</v>
      </c>
      <c r="E18081" s="33" t="s">
        <v>26</v>
      </c>
      <c r="F18081" s="33" t="s">
        <v>27</v>
      </c>
      <c r="G18081" s="33" t="s">
        <v>20</v>
      </c>
      <c r="H18081" s="35">
        <v>32</v>
      </c>
      <c r="I18081" s="33" t="s">
        <v>21</v>
      </c>
      <c r="J18081" s="42">
        <v>45462</v>
      </c>
      <c r="K18081" s="33" t="s">
        <v>22</v>
      </c>
    </row>
    <row r="18082" spans="1:11">
      <c r="A18082" s="30" t="s">
        <v>40384</v>
      </c>
      <c r="B18082" s="30" t="s">
        <v>40385</v>
      </c>
      <c r="C18082" s="30" t="s">
        <v>647</v>
      </c>
      <c r="D18082" s="30" t="s">
        <v>17</v>
      </c>
      <c r="E18082" s="30" t="s">
        <v>26</v>
      </c>
      <c r="F18082" s="30" t="s">
        <v>27</v>
      </c>
      <c r="G18082" s="30" t="s">
        <v>20</v>
      </c>
      <c r="H18082" s="32">
        <v>28</v>
      </c>
      <c r="I18082" s="30" t="s">
        <v>21</v>
      </c>
      <c r="J18082" s="41">
        <v>45379</v>
      </c>
      <c r="K18082" s="30" t="s">
        <v>22</v>
      </c>
    </row>
    <row r="18083" spans="1:11">
      <c r="A18083" s="33" t="s">
        <v>40386</v>
      </c>
      <c r="B18083" s="33" t="s">
        <v>40387</v>
      </c>
      <c r="C18083" s="33" t="s">
        <v>3451</v>
      </c>
      <c r="D18083" s="33" t="s">
        <v>17</v>
      </c>
      <c r="E18083" s="33" t="s">
        <v>31</v>
      </c>
      <c r="F18083" s="33" t="s">
        <v>32</v>
      </c>
      <c r="G18083" s="33" t="s">
        <v>140</v>
      </c>
      <c r="H18083" s="35">
        <v>60</v>
      </c>
      <c r="I18083" s="33" t="s">
        <v>51</v>
      </c>
      <c r="J18083" s="42">
        <v>45471</v>
      </c>
      <c r="K18083" s="33" t="s">
        <v>22</v>
      </c>
    </row>
    <row r="18084" spans="1:11">
      <c r="A18084" s="30" t="s">
        <v>40388</v>
      </c>
      <c r="B18084" s="30" t="s">
        <v>40389</v>
      </c>
      <c r="C18084" s="30" t="s">
        <v>93</v>
      </c>
      <c r="D18084" s="30" t="s">
        <v>17</v>
      </c>
      <c r="E18084" s="30" t="s">
        <v>31</v>
      </c>
      <c r="F18084" s="30" t="s">
        <v>32</v>
      </c>
      <c r="G18084" s="30" t="s">
        <v>20</v>
      </c>
      <c r="H18084" s="32">
        <v>161</v>
      </c>
      <c r="I18084" s="30" t="s">
        <v>21</v>
      </c>
      <c r="J18084" s="41">
        <v>45580</v>
      </c>
      <c r="K18084" s="30" t="s">
        <v>22</v>
      </c>
    </row>
    <row r="18085" spans="1:11">
      <c r="A18085" s="33" t="s">
        <v>40390</v>
      </c>
      <c r="B18085" s="33" t="s">
        <v>40391</v>
      </c>
      <c r="C18085" s="33" t="s">
        <v>149</v>
      </c>
      <c r="D18085" s="33" t="s">
        <v>17</v>
      </c>
      <c r="E18085" s="33" t="s">
        <v>67</v>
      </c>
      <c r="F18085" s="33" t="s">
        <v>68</v>
      </c>
      <c r="G18085" s="33" t="s">
        <v>140</v>
      </c>
      <c r="H18085" s="35">
        <v>66</v>
      </c>
      <c r="I18085" s="33" t="s">
        <v>51</v>
      </c>
      <c r="J18085" s="42">
        <v>45637</v>
      </c>
      <c r="K18085" s="33" t="s">
        <v>22</v>
      </c>
    </row>
    <row r="18086" spans="1:11">
      <c r="A18086" s="30" t="s">
        <v>40392</v>
      </c>
      <c r="B18086" s="30" t="s">
        <v>40393</v>
      </c>
      <c r="C18086" s="30" t="s">
        <v>801</v>
      </c>
      <c r="D18086" s="30" t="s">
        <v>17</v>
      </c>
      <c r="E18086" s="30" t="s">
        <v>26</v>
      </c>
      <c r="F18086" s="30" t="s">
        <v>27</v>
      </c>
      <c r="G18086" s="30" t="s">
        <v>20</v>
      </c>
      <c r="H18086" s="32">
        <v>25</v>
      </c>
      <c r="I18086" s="30" t="s">
        <v>21</v>
      </c>
      <c r="J18086" s="41">
        <v>45581</v>
      </c>
      <c r="K18086" s="30" t="s">
        <v>22</v>
      </c>
    </row>
    <row r="18087" spans="1:11">
      <c r="A18087" s="33" t="s">
        <v>40394</v>
      </c>
      <c r="B18087" s="33" t="s">
        <v>40395</v>
      </c>
      <c r="C18087" s="33" t="s">
        <v>157</v>
      </c>
      <c r="D18087" s="33" t="s">
        <v>17</v>
      </c>
      <c r="E18087" s="33" t="s">
        <v>26</v>
      </c>
      <c r="F18087" s="33" t="s">
        <v>27</v>
      </c>
      <c r="G18087" s="33" t="s">
        <v>20</v>
      </c>
      <c r="H18087" s="35">
        <v>24</v>
      </c>
      <c r="I18087" s="33" t="s">
        <v>21</v>
      </c>
      <c r="J18087" s="42">
        <v>45467</v>
      </c>
      <c r="K18087" s="33" t="s">
        <v>22</v>
      </c>
    </row>
    <row r="18088" spans="1:11">
      <c r="A18088" s="30" t="s">
        <v>40396</v>
      </c>
      <c r="B18088" s="30" t="s">
        <v>40397</v>
      </c>
      <c r="C18088" s="30" t="s">
        <v>25616</v>
      </c>
      <c r="D18088" s="30" t="s">
        <v>17</v>
      </c>
      <c r="E18088" s="30" t="s">
        <v>26</v>
      </c>
      <c r="F18088" s="30" t="s">
        <v>27</v>
      </c>
      <c r="G18088" s="30" t="s">
        <v>20</v>
      </c>
      <c r="H18088" s="32">
        <v>5</v>
      </c>
      <c r="I18088" s="30" t="s">
        <v>21</v>
      </c>
      <c r="J18088" s="41">
        <v>45525</v>
      </c>
      <c r="K18088" s="30" t="s">
        <v>22</v>
      </c>
    </row>
    <row r="18089" spans="1:11">
      <c r="A18089" s="33" t="s">
        <v>40398</v>
      </c>
      <c r="B18089" s="33" t="s">
        <v>40399</v>
      </c>
      <c r="C18089" s="33" t="s">
        <v>93</v>
      </c>
      <c r="D18089" s="33" t="s">
        <v>17</v>
      </c>
      <c r="E18089" s="33" t="s">
        <v>26</v>
      </c>
      <c r="F18089" s="33" t="s">
        <v>27</v>
      </c>
      <c r="G18089" s="33" t="s">
        <v>20</v>
      </c>
      <c r="H18089" s="35">
        <v>24</v>
      </c>
      <c r="I18089" s="33" t="s">
        <v>21</v>
      </c>
      <c r="J18089" s="42">
        <v>45573</v>
      </c>
      <c r="K18089" s="33" t="s">
        <v>22</v>
      </c>
    </row>
    <row r="18090" spans="1:11">
      <c r="A18090" s="30" t="s">
        <v>40400</v>
      </c>
      <c r="B18090" s="30" t="s">
        <v>40401</v>
      </c>
      <c r="C18090" s="30" t="s">
        <v>18761</v>
      </c>
      <c r="D18090" s="30" t="s">
        <v>17</v>
      </c>
      <c r="E18090" s="30" t="s">
        <v>31</v>
      </c>
      <c r="F18090" s="30" t="s">
        <v>32</v>
      </c>
      <c r="G18090" s="30" t="s">
        <v>158</v>
      </c>
      <c r="H18090" s="32">
        <v>17</v>
      </c>
      <c r="I18090" s="30" t="s">
        <v>21</v>
      </c>
      <c r="J18090" s="41">
        <v>45321</v>
      </c>
      <c r="K18090" s="30" t="s">
        <v>22</v>
      </c>
    </row>
    <row r="18091" spans="1:11">
      <c r="A18091" s="33" t="s">
        <v>40402</v>
      </c>
      <c r="B18091" s="33" t="s">
        <v>40403</v>
      </c>
      <c r="C18091" s="33" t="s">
        <v>27211</v>
      </c>
      <c r="D18091" s="33" t="s">
        <v>17</v>
      </c>
      <c r="E18091" s="33" t="s">
        <v>67</v>
      </c>
      <c r="F18091" s="33" t="s">
        <v>68</v>
      </c>
      <c r="G18091" s="33" t="s">
        <v>140</v>
      </c>
      <c r="H18091" s="35">
        <v>32</v>
      </c>
      <c r="I18091" s="33" t="s">
        <v>51</v>
      </c>
      <c r="J18091" s="42">
        <v>45383</v>
      </c>
      <c r="K18091" s="33" t="s">
        <v>22</v>
      </c>
    </row>
    <row r="18092" spans="1:11">
      <c r="A18092" s="30" t="s">
        <v>40404</v>
      </c>
      <c r="B18092" s="30" t="s">
        <v>40405</v>
      </c>
      <c r="C18092" s="30" t="s">
        <v>5251</v>
      </c>
      <c r="D18092" s="30" t="s">
        <v>17</v>
      </c>
      <c r="E18092" s="30" t="s">
        <v>31</v>
      </c>
      <c r="F18092" s="30" t="s">
        <v>32</v>
      </c>
      <c r="G18092" s="30" t="s">
        <v>140</v>
      </c>
      <c r="H18092" s="32">
        <v>130</v>
      </c>
      <c r="I18092" s="30" t="s">
        <v>51</v>
      </c>
      <c r="J18092" s="41">
        <v>45538</v>
      </c>
      <c r="K18092" s="30" t="s">
        <v>22</v>
      </c>
    </row>
    <row r="18093" spans="1:11">
      <c r="A18093" s="33" t="s">
        <v>40406</v>
      </c>
      <c r="B18093" s="33" t="s">
        <v>40407</v>
      </c>
      <c r="C18093" s="33" t="s">
        <v>29882</v>
      </c>
      <c r="D18093" s="33" t="s">
        <v>17</v>
      </c>
      <c r="E18093" s="33" t="s">
        <v>31</v>
      </c>
      <c r="F18093" s="33" t="s">
        <v>32</v>
      </c>
      <c r="G18093" s="33" t="s">
        <v>158</v>
      </c>
      <c r="H18093" s="35">
        <v>992</v>
      </c>
      <c r="I18093" s="33" t="s">
        <v>51</v>
      </c>
      <c r="J18093" s="42">
        <v>45402</v>
      </c>
      <c r="K18093" s="33" t="s">
        <v>22</v>
      </c>
    </row>
    <row r="18094" spans="1:11">
      <c r="A18094" s="30" t="s">
        <v>40408</v>
      </c>
      <c r="B18094" s="30" t="s">
        <v>40409</v>
      </c>
      <c r="C18094" s="30" t="s">
        <v>8151</v>
      </c>
      <c r="D18094" s="30" t="s">
        <v>17</v>
      </c>
      <c r="E18094" s="30" t="s">
        <v>26</v>
      </c>
      <c r="F18094" s="30" t="s">
        <v>27</v>
      </c>
      <c r="G18094" s="30" t="s">
        <v>20</v>
      </c>
      <c r="H18094" s="32">
        <v>26</v>
      </c>
      <c r="I18094" s="30" t="s">
        <v>21</v>
      </c>
      <c r="J18094" s="41">
        <v>45484</v>
      </c>
      <c r="K18094" s="30" t="s">
        <v>22</v>
      </c>
    </row>
    <row r="18095" spans="1:11">
      <c r="A18095" s="33" t="s">
        <v>40410</v>
      </c>
      <c r="B18095" s="33" t="s">
        <v>40411</v>
      </c>
      <c r="C18095" s="33" t="s">
        <v>14771</v>
      </c>
      <c r="D18095" s="33" t="s">
        <v>17</v>
      </c>
      <c r="E18095" s="33" t="s">
        <v>18</v>
      </c>
      <c r="F18095" s="33" t="s">
        <v>19</v>
      </c>
      <c r="G18095" s="33" t="s">
        <v>158</v>
      </c>
      <c r="H18095" s="35">
        <v>387</v>
      </c>
      <c r="I18095" s="33" t="s">
        <v>21</v>
      </c>
      <c r="J18095" s="42">
        <v>45467</v>
      </c>
      <c r="K18095" s="33" t="s">
        <v>22</v>
      </c>
    </row>
    <row r="18096" spans="1:11">
      <c r="A18096" s="30" t="s">
        <v>40412</v>
      </c>
      <c r="B18096" s="30" t="s">
        <v>40413</v>
      </c>
      <c r="C18096" s="30" t="s">
        <v>32043</v>
      </c>
      <c r="D18096" s="30" t="s">
        <v>17</v>
      </c>
      <c r="E18096" s="30" t="s">
        <v>26</v>
      </c>
      <c r="F18096" s="30" t="s">
        <v>27</v>
      </c>
      <c r="G18096" s="30" t="s">
        <v>20</v>
      </c>
      <c r="H18096" s="32">
        <v>20</v>
      </c>
      <c r="I18096" s="30" t="s">
        <v>21</v>
      </c>
      <c r="J18096" s="41">
        <v>45522</v>
      </c>
      <c r="K18096" s="30" t="s">
        <v>22</v>
      </c>
    </row>
    <row r="18097" spans="1:11">
      <c r="A18097" s="33" t="s">
        <v>40414</v>
      </c>
      <c r="B18097" s="33" t="s">
        <v>40415</v>
      </c>
      <c r="C18097" s="33" t="s">
        <v>20263</v>
      </c>
      <c r="D18097" s="33" t="s">
        <v>17</v>
      </c>
      <c r="E18097" s="33" t="s">
        <v>26</v>
      </c>
      <c r="F18097" s="33" t="s">
        <v>27</v>
      </c>
      <c r="G18097" s="33" t="s">
        <v>20</v>
      </c>
      <c r="H18097" s="35">
        <v>36</v>
      </c>
      <c r="I18097" s="33" t="s">
        <v>21</v>
      </c>
      <c r="J18097" s="42">
        <v>45327</v>
      </c>
      <c r="K18097" s="33" t="s">
        <v>22</v>
      </c>
    </row>
    <row r="18098" spans="1:11">
      <c r="A18098" s="30" t="s">
        <v>40416</v>
      </c>
      <c r="B18098" s="30" t="s">
        <v>40417</v>
      </c>
      <c r="C18098" s="30" t="s">
        <v>190</v>
      </c>
      <c r="D18098" s="30" t="s">
        <v>17</v>
      </c>
      <c r="E18098" s="30" t="s">
        <v>18</v>
      </c>
      <c r="F18098" s="30" t="s">
        <v>19</v>
      </c>
      <c r="G18098" s="30" t="s">
        <v>158</v>
      </c>
      <c r="H18098" s="32">
        <v>25</v>
      </c>
      <c r="I18098" s="30" t="s">
        <v>21</v>
      </c>
      <c r="J18098" s="41">
        <v>45580</v>
      </c>
      <c r="K18098" s="30" t="s">
        <v>22</v>
      </c>
    </row>
    <row r="18099" spans="1:11">
      <c r="A18099" s="33" t="s">
        <v>40418</v>
      </c>
      <c r="B18099" s="33" t="s">
        <v>40419</v>
      </c>
      <c r="C18099" s="33" t="s">
        <v>4742</v>
      </c>
      <c r="D18099" s="33" t="s">
        <v>17</v>
      </c>
      <c r="E18099" s="33" t="s">
        <v>26</v>
      </c>
      <c r="F18099" s="33" t="s">
        <v>27</v>
      </c>
      <c r="G18099" s="33" t="s">
        <v>20</v>
      </c>
      <c r="H18099" s="35">
        <v>140</v>
      </c>
      <c r="I18099" s="33" t="s">
        <v>21</v>
      </c>
      <c r="J18099" s="42">
        <v>45295</v>
      </c>
      <c r="K18099" s="33" t="s">
        <v>22</v>
      </c>
    </row>
    <row r="18100" spans="1:11">
      <c r="A18100" s="30" t="s">
        <v>40420</v>
      </c>
      <c r="B18100" s="30" t="s">
        <v>40421</v>
      </c>
      <c r="C18100" s="30" t="s">
        <v>40422</v>
      </c>
      <c r="D18100" s="30" t="s">
        <v>17</v>
      </c>
      <c r="E18100" s="30" t="s">
        <v>26</v>
      </c>
      <c r="F18100" s="30" t="s">
        <v>27</v>
      </c>
      <c r="G18100" s="30" t="s">
        <v>106</v>
      </c>
      <c r="H18100" s="32">
        <v>1</v>
      </c>
      <c r="I18100" s="30" t="s">
        <v>21</v>
      </c>
      <c r="J18100" s="41">
        <v>45351</v>
      </c>
      <c r="K18100" s="30" t="s">
        <v>22</v>
      </c>
    </row>
    <row r="18101" spans="1:11">
      <c r="A18101" s="33" t="s">
        <v>40423</v>
      </c>
      <c r="B18101" s="33" t="s">
        <v>40424</v>
      </c>
      <c r="C18101" s="33" t="s">
        <v>698</v>
      </c>
      <c r="D18101" s="33" t="s">
        <v>17</v>
      </c>
      <c r="E18101" s="33" t="s">
        <v>18</v>
      </c>
      <c r="F18101" s="33" t="s">
        <v>19</v>
      </c>
      <c r="G18101" s="33" t="s">
        <v>158</v>
      </c>
      <c r="H18101" s="35">
        <v>520</v>
      </c>
      <c r="I18101" s="33" t="s">
        <v>51</v>
      </c>
      <c r="J18101" s="42">
        <v>45642</v>
      </c>
      <c r="K18101" s="33" t="s">
        <v>22</v>
      </c>
    </row>
    <row r="18102" spans="1:11">
      <c r="A18102" s="30" t="s">
        <v>40425</v>
      </c>
      <c r="B18102" s="30" t="s">
        <v>40426</v>
      </c>
      <c r="C18102" s="30" t="s">
        <v>39950</v>
      </c>
      <c r="D18102" s="30" t="s">
        <v>17</v>
      </c>
      <c r="E18102" s="30" t="s">
        <v>67</v>
      </c>
      <c r="F18102" s="30" t="s">
        <v>68</v>
      </c>
      <c r="G18102" s="30" t="s">
        <v>140</v>
      </c>
      <c r="H18102" s="32">
        <v>8</v>
      </c>
      <c r="I18102" s="30" t="s">
        <v>51</v>
      </c>
      <c r="J18102" s="41">
        <v>45548</v>
      </c>
      <c r="K18102" s="30" t="s">
        <v>22</v>
      </c>
    </row>
    <row r="18103" spans="1:11">
      <c r="A18103" s="33" t="s">
        <v>40427</v>
      </c>
      <c r="B18103" s="33" t="s">
        <v>40428</v>
      </c>
      <c r="C18103" s="33" t="s">
        <v>40429</v>
      </c>
      <c r="D18103" s="33" t="s">
        <v>17</v>
      </c>
      <c r="E18103" s="33" t="s">
        <v>67</v>
      </c>
      <c r="F18103" s="33" t="s">
        <v>68</v>
      </c>
      <c r="G18103" s="33" t="s">
        <v>140</v>
      </c>
      <c r="H18103" s="35">
        <v>21</v>
      </c>
      <c r="I18103" s="33" t="s">
        <v>51</v>
      </c>
      <c r="J18103" s="42">
        <v>45444</v>
      </c>
      <c r="K18103" s="33" t="s">
        <v>22</v>
      </c>
    </row>
    <row r="18104" spans="1:11">
      <c r="A18104" s="30" t="s">
        <v>40430</v>
      </c>
      <c r="B18104" s="30" t="s">
        <v>40431</v>
      </c>
      <c r="C18104" s="30" t="s">
        <v>5251</v>
      </c>
      <c r="D18104" s="30" t="s">
        <v>17</v>
      </c>
      <c r="E18104" s="30" t="s">
        <v>31</v>
      </c>
      <c r="F18104" s="30" t="s">
        <v>32</v>
      </c>
      <c r="G18104" s="30" t="s">
        <v>50</v>
      </c>
      <c r="H18104" s="32">
        <v>235</v>
      </c>
      <c r="I18104" s="30" t="s">
        <v>51</v>
      </c>
      <c r="J18104" s="41">
        <v>45499</v>
      </c>
      <c r="K18104" s="30" t="s">
        <v>22</v>
      </c>
    </row>
    <row r="18105" spans="1:11">
      <c r="A18105" s="33" t="s">
        <v>40432</v>
      </c>
      <c r="B18105" s="33" t="s">
        <v>40433</v>
      </c>
      <c r="C18105" s="33" t="s">
        <v>2842</v>
      </c>
      <c r="D18105" s="33" t="s">
        <v>17</v>
      </c>
      <c r="E18105" s="33" t="s">
        <v>18</v>
      </c>
      <c r="F18105" s="33" t="s">
        <v>19</v>
      </c>
      <c r="G18105" s="33" t="s">
        <v>140</v>
      </c>
      <c r="H18105" s="35">
        <v>160</v>
      </c>
      <c r="I18105" s="33" t="s">
        <v>51</v>
      </c>
      <c r="J18105" s="42">
        <v>45618</v>
      </c>
      <c r="K18105" s="33" t="s">
        <v>22</v>
      </c>
    </row>
    <row r="18106" spans="1:11">
      <c r="A18106" s="30" t="s">
        <v>40434</v>
      </c>
      <c r="B18106" s="30" t="s">
        <v>40435</v>
      </c>
      <c r="C18106" s="30" t="s">
        <v>40436</v>
      </c>
      <c r="D18106" s="30" t="s">
        <v>17</v>
      </c>
      <c r="E18106" s="30" t="s">
        <v>26</v>
      </c>
      <c r="F18106" s="30" t="s">
        <v>27</v>
      </c>
      <c r="G18106" s="30" t="s">
        <v>20</v>
      </c>
      <c r="H18106" s="32">
        <v>62</v>
      </c>
      <c r="I18106" s="30" t="s">
        <v>21</v>
      </c>
      <c r="J18106" s="41">
        <v>45425</v>
      </c>
      <c r="K18106" s="30" t="s">
        <v>22</v>
      </c>
    </row>
    <row r="18107" spans="1:11">
      <c r="A18107" s="33" t="s">
        <v>40437</v>
      </c>
      <c r="B18107" s="33" t="s">
        <v>40438</v>
      </c>
      <c r="C18107" s="33" t="s">
        <v>11764</v>
      </c>
      <c r="D18107" s="33" t="s">
        <v>17</v>
      </c>
      <c r="E18107" s="33" t="s">
        <v>31</v>
      </c>
      <c r="F18107" s="33" t="s">
        <v>32</v>
      </c>
      <c r="G18107" s="33" t="s">
        <v>20</v>
      </c>
      <c r="H18107" s="35">
        <v>150</v>
      </c>
      <c r="I18107" s="33" t="s">
        <v>21</v>
      </c>
      <c r="J18107" s="42">
        <v>45324</v>
      </c>
      <c r="K18107" s="33" t="s">
        <v>22</v>
      </c>
    </row>
    <row r="18108" spans="1:11">
      <c r="A18108" s="30" t="s">
        <v>40439</v>
      </c>
      <c r="B18108" s="30" t="s">
        <v>40440</v>
      </c>
      <c r="C18108" s="30" t="s">
        <v>1275</v>
      </c>
      <c r="D18108" s="30" t="s">
        <v>17</v>
      </c>
      <c r="E18108" s="30" t="s">
        <v>18</v>
      </c>
      <c r="F18108" s="30" t="s">
        <v>19</v>
      </c>
      <c r="G18108" s="30" t="s">
        <v>158</v>
      </c>
      <c r="H18108" s="32">
        <v>246</v>
      </c>
      <c r="I18108" s="30" t="s">
        <v>51</v>
      </c>
      <c r="J18108" s="41">
        <v>45513</v>
      </c>
      <c r="K18108" s="30" t="s">
        <v>22</v>
      </c>
    </row>
    <row r="18109" spans="1:11">
      <c r="A18109" s="33" t="s">
        <v>40441</v>
      </c>
      <c r="B18109" s="33" t="s">
        <v>40442</v>
      </c>
      <c r="C18109" s="33" t="s">
        <v>17961</v>
      </c>
      <c r="D18109" s="33" t="s">
        <v>17</v>
      </c>
      <c r="E18109" s="33" t="s">
        <v>26</v>
      </c>
      <c r="F18109" s="33" t="s">
        <v>27</v>
      </c>
      <c r="G18109" s="33" t="s">
        <v>140</v>
      </c>
      <c r="H18109" s="35">
        <v>52</v>
      </c>
      <c r="I18109" s="33" t="s">
        <v>51</v>
      </c>
      <c r="J18109" s="42">
        <v>45505</v>
      </c>
      <c r="K18109" s="33" t="s">
        <v>22</v>
      </c>
    </row>
    <row r="18110" spans="1:11">
      <c r="A18110" s="30" t="s">
        <v>40443</v>
      </c>
      <c r="B18110" s="30" t="s">
        <v>40444</v>
      </c>
      <c r="C18110" s="30" t="s">
        <v>75</v>
      </c>
      <c r="D18110" s="30" t="s">
        <v>17</v>
      </c>
      <c r="E18110" s="30" t="s">
        <v>26</v>
      </c>
      <c r="F18110" s="30" t="s">
        <v>27</v>
      </c>
      <c r="G18110" s="30" t="s">
        <v>20</v>
      </c>
      <c r="H18110" s="32">
        <v>71</v>
      </c>
      <c r="I18110" s="30" t="s">
        <v>21</v>
      </c>
      <c r="J18110" s="41">
        <v>45554</v>
      </c>
      <c r="K18110" s="30" t="s">
        <v>22</v>
      </c>
    </row>
    <row r="18111" spans="1:11">
      <c r="A18111" s="33" t="s">
        <v>40445</v>
      </c>
      <c r="B18111" s="33" t="s">
        <v>40446</v>
      </c>
      <c r="C18111" s="33" t="s">
        <v>329</v>
      </c>
      <c r="D18111" s="33" t="s">
        <v>17</v>
      </c>
      <c r="E18111" s="33" t="s">
        <v>18</v>
      </c>
      <c r="F18111" s="33" t="s">
        <v>19</v>
      </c>
      <c r="G18111" s="33" t="s">
        <v>158</v>
      </c>
      <c r="H18111" s="35">
        <v>840</v>
      </c>
      <c r="I18111" s="33" t="s">
        <v>21</v>
      </c>
      <c r="J18111" s="42">
        <v>45640</v>
      </c>
      <c r="K18111" s="33" t="s">
        <v>22</v>
      </c>
    </row>
    <row r="18112" spans="1:11">
      <c r="A18112" s="30" t="s">
        <v>40447</v>
      </c>
      <c r="B18112" s="30" t="s">
        <v>40448</v>
      </c>
      <c r="C18112" s="30" t="s">
        <v>136</v>
      </c>
      <c r="D18112" s="30" t="s">
        <v>17</v>
      </c>
      <c r="E18112" s="30" t="s">
        <v>26</v>
      </c>
      <c r="F18112" s="30" t="s">
        <v>27</v>
      </c>
      <c r="G18112" s="30" t="s">
        <v>140</v>
      </c>
      <c r="H18112" s="32">
        <v>340</v>
      </c>
      <c r="I18112" s="30" t="s">
        <v>51</v>
      </c>
      <c r="J18112" s="41">
        <v>45554</v>
      </c>
      <c r="K18112" s="30" t="s">
        <v>22</v>
      </c>
    </row>
    <row r="18113" spans="1:11">
      <c r="A18113" s="33" t="s">
        <v>40449</v>
      </c>
      <c r="B18113" s="33" t="s">
        <v>40450</v>
      </c>
      <c r="C18113" s="33" t="s">
        <v>40451</v>
      </c>
      <c r="D18113" s="33" t="s">
        <v>17</v>
      </c>
      <c r="E18113" s="33" t="s">
        <v>67</v>
      </c>
      <c r="F18113" s="33" t="s">
        <v>68</v>
      </c>
      <c r="G18113" s="33" t="s">
        <v>140</v>
      </c>
      <c r="H18113" s="35">
        <v>36</v>
      </c>
      <c r="I18113" s="33" t="s">
        <v>51</v>
      </c>
      <c r="J18113" s="42">
        <v>45427</v>
      </c>
      <c r="K18113" s="33" t="s">
        <v>22</v>
      </c>
    </row>
    <row r="18114" spans="1:11">
      <c r="A18114" s="30" t="s">
        <v>40452</v>
      </c>
      <c r="B18114" s="30" t="s">
        <v>40453</v>
      </c>
      <c r="C18114" s="30" t="s">
        <v>40454</v>
      </c>
      <c r="D18114" s="30" t="s">
        <v>17</v>
      </c>
      <c r="E18114" s="30" t="s">
        <v>26</v>
      </c>
      <c r="F18114" s="30" t="s">
        <v>27</v>
      </c>
      <c r="G18114" s="30" t="s">
        <v>140</v>
      </c>
      <c r="H18114" s="32">
        <v>48</v>
      </c>
      <c r="I18114" s="30" t="s">
        <v>51</v>
      </c>
      <c r="J18114" s="41">
        <v>45516</v>
      </c>
      <c r="K18114" s="30" t="s">
        <v>22</v>
      </c>
    </row>
    <row r="18115" spans="1:11">
      <c r="A18115" s="33" t="s">
        <v>40455</v>
      </c>
      <c r="B18115" s="33" t="s">
        <v>40456</v>
      </c>
      <c r="C18115" s="33" t="s">
        <v>12295</v>
      </c>
      <c r="D18115" s="33" t="s">
        <v>17</v>
      </c>
      <c r="E18115" s="33" t="s">
        <v>18</v>
      </c>
      <c r="F18115" s="33" t="s">
        <v>19</v>
      </c>
      <c r="G18115" s="33" t="s">
        <v>106</v>
      </c>
      <c r="H18115" s="35">
        <v>19</v>
      </c>
      <c r="I18115" s="33" t="s">
        <v>21</v>
      </c>
      <c r="J18115" s="42">
        <v>45496</v>
      </c>
      <c r="K18115" s="33" t="s">
        <v>22</v>
      </c>
    </row>
    <row r="18116" spans="1:11">
      <c r="A18116" s="30" t="s">
        <v>40457</v>
      </c>
      <c r="B18116" s="30" t="s">
        <v>40458</v>
      </c>
      <c r="C18116" s="30" t="s">
        <v>318</v>
      </c>
      <c r="D18116" s="30" t="s">
        <v>17</v>
      </c>
      <c r="E18116" s="30" t="s">
        <v>26</v>
      </c>
      <c r="F18116" s="30" t="s">
        <v>27</v>
      </c>
      <c r="G18116" s="30" t="s">
        <v>140</v>
      </c>
      <c r="H18116" s="32">
        <v>220</v>
      </c>
      <c r="I18116" s="30" t="s">
        <v>51</v>
      </c>
      <c r="J18116" s="41">
        <v>45572</v>
      </c>
      <c r="K18116" s="30" t="s">
        <v>22</v>
      </c>
    </row>
    <row r="18117" spans="1:11">
      <c r="A18117" s="33" t="s">
        <v>40459</v>
      </c>
      <c r="B18117" s="33" t="s">
        <v>40460</v>
      </c>
      <c r="C18117" s="33" t="s">
        <v>40461</v>
      </c>
      <c r="D18117" s="33" t="s">
        <v>17</v>
      </c>
      <c r="E18117" s="33" t="s">
        <v>18</v>
      </c>
      <c r="F18117" s="33" t="s">
        <v>19</v>
      </c>
      <c r="G18117" s="33" t="s">
        <v>140</v>
      </c>
      <c r="H18117" s="35">
        <v>150</v>
      </c>
      <c r="I18117" s="33" t="s">
        <v>51</v>
      </c>
      <c r="J18117" s="42">
        <v>45457</v>
      </c>
      <c r="K18117" s="33" t="s">
        <v>22</v>
      </c>
    </row>
    <row r="18118" spans="1:11">
      <c r="A18118" s="30" t="s">
        <v>40462</v>
      </c>
      <c r="B18118" s="30" t="s">
        <v>40463</v>
      </c>
      <c r="C18118" s="30" t="s">
        <v>2905</v>
      </c>
      <c r="D18118" s="30" t="s">
        <v>17</v>
      </c>
      <c r="E18118" s="30" t="s">
        <v>212</v>
      </c>
      <c r="F18118" s="30" t="s">
        <v>213</v>
      </c>
      <c r="G18118" s="30" t="s">
        <v>20</v>
      </c>
      <c r="H18118" s="32">
        <v>240</v>
      </c>
      <c r="I18118" s="30" t="s">
        <v>21</v>
      </c>
      <c r="J18118" s="41">
        <v>45536</v>
      </c>
      <c r="K18118" s="30" t="s">
        <v>22</v>
      </c>
    </row>
    <row r="18119" spans="1:11">
      <c r="A18119" s="33" t="s">
        <v>40464</v>
      </c>
      <c r="B18119" s="33" t="s">
        <v>40465</v>
      </c>
      <c r="C18119" s="33" t="s">
        <v>1237</v>
      </c>
      <c r="D18119" s="33" t="s">
        <v>17</v>
      </c>
      <c r="E18119" s="33" t="s">
        <v>67</v>
      </c>
      <c r="F18119" s="33" t="s">
        <v>68</v>
      </c>
      <c r="G18119" s="33" t="s">
        <v>140</v>
      </c>
      <c r="H18119" s="35">
        <v>282</v>
      </c>
      <c r="I18119" s="33" t="s">
        <v>51</v>
      </c>
      <c r="J18119" s="42">
        <v>45322</v>
      </c>
      <c r="K18119" s="33" t="s">
        <v>22</v>
      </c>
    </row>
    <row r="18120" spans="1:11">
      <c r="A18120" s="30" t="s">
        <v>40466</v>
      </c>
      <c r="B18120" s="30" t="s">
        <v>40467</v>
      </c>
      <c r="C18120" s="30" t="s">
        <v>310</v>
      </c>
      <c r="D18120" s="30" t="s">
        <v>17</v>
      </c>
      <c r="E18120" s="30" t="s">
        <v>18</v>
      </c>
      <c r="F18120" s="30" t="s">
        <v>19</v>
      </c>
      <c r="G18120" s="30" t="s">
        <v>158</v>
      </c>
      <c r="H18120" s="32">
        <v>1023</v>
      </c>
      <c r="I18120" s="30" t="s">
        <v>21</v>
      </c>
      <c r="J18120" s="41">
        <v>45601</v>
      </c>
      <c r="K18120" s="30" t="s">
        <v>22</v>
      </c>
    </row>
    <row r="18121" spans="1:11">
      <c r="A18121" s="33" t="s">
        <v>40468</v>
      </c>
      <c r="B18121" s="33" t="s">
        <v>40469</v>
      </c>
      <c r="C18121" s="33" t="s">
        <v>969</v>
      </c>
      <c r="D18121" s="33" t="s">
        <v>17</v>
      </c>
      <c r="E18121" s="33" t="s">
        <v>18</v>
      </c>
      <c r="F18121" s="33" t="s">
        <v>19</v>
      </c>
      <c r="G18121" s="33" t="s">
        <v>20</v>
      </c>
      <c r="H18121" s="35">
        <v>97</v>
      </c>
      <c r="I18121" s="33" t="s">
        <v>21</v>
      </c>
      <c r="J18121" s="42">
        <v>45567</v>
      </c>
      <c r="K18121" s="33" t="s">
        <v>22</v>
      </c>
    </row>
    <row r="18122" spans="1:11">
      <c r="A18122" s="30" t="s">
        <v>40470</v>
      </c>
      <c r="B18122" s="30" t="s">
        <v>40471</v>
      </c>
      <c r="C18122" s="30" t="s">
        <v>190</v>
      </c>
      <c r="D18122" s="30" t="s">
        <v>17</v>
      </c>
      <c r="E18122" s="30" t="s">
        <v>31</v>
      </c>
      <c r="F18122" s="30" t="s">
        <v>32</v>
      </c>
      <c r="G18122" s="30" t="s">
        <v>158</v>
      </c>
      <c r="H18122" s="32">
        <v>58</v>
      </c>
      <c r="I18122" s="30" t="s">
        <v>21</v>
      </c>
      <c r="J18122" s="41">
        <v>45335</v>
      </c>
      <c r="K18122" s="30" t="s">
        <v>22</v>
      </c>
    </row>
    <row r="18123" spans="1:11">
      <c r="A18123" s="33" t="s">
        <v>40472</v>
      </c>
      <c r="B18123" s="33" t="s">
        <v>40473</v>
      </c>
      <c r="C18123" s="33" t="s">
        <v>7935</v>
      </c>
      <c r="D18123" s="33" t="s">
        <v>17</v>
      </c>
      <c r="E18123" s="33" t="s">
        <v>26</v>
      </c>
      <c r="F18123" s="33" t="s">
        <v>27</v>
      </c>
      <c r="G18123" s="33" t="s">
        <v>140</v>
      </c>
      <c r="H18123" s="35">
        <v>160</v>
      </c>
      <c r="I18123" s="33" t="s">
        <v>51</v>
      </c>
      <c r="J18123" s="42">
        <v>45468</v>
      </c>
      <c r="K18123" s="33" t="s">
        <v>22</v>
      </c>
    </row>
    <row r="18124" spans="1:11">
      <c r="A18124" s="30" t="s">
        <v>40474</v>
      </c>
      <c r="B18124" s="30" t="s">
        <v>40475</v>
      </c>
      <c r="C18124" s="30" t="s">
        <v>787</v>
      </c>
      <c r="D18124" s="30" t="s">
        <v>17</v>
      </c>
      <c r="E18124" s="30" t="s">
        <v>45</v>
      </c>
      <c r="F18124" s="30" t="s">
        <v>46</v>
      </c>
      <c r="G18124" s="30" t="s">
        <v>140</v>
      </c>
      <c r="H18124" s="32">
        <v>226</v>
      </c>
      <c r="I18124" s="30" t="s">
        <v>51</v>
      </c>
      <c r="J18124" s="41">
        <v>45427</v>
      </c>
      <c r="K18124" s="30" t="s">
        <v>22</v>
      </c>
    </row>
    <row r="18125" spans="1:11">
      <c r="A18125" s="33" t="s">
        <v>40476</v>
      </c>
      <c r="B18125" s="33" t="s">
        <v>40477</v>
      </c>
      <c r="C18125" s="33" t="s">
        <v>40478</v>
      </c>
      <c r="D18125" s="33" t="s">
        <v>17</v>
      </c>
      <c r="E18125" s="33" t="s">
        <v>26</v>
      </c>
      <c r="F18125" s="33" t="s">
        <v>27</v>
      </c>
      <c r="G18125" s="33" t="s">
        <v>20</v>
      </c>
      <c r="H18125" s="35">
        <v>14</v>
      </c>
      <c r="I18125" s="33" t="s">
        <v>21</v>
      </c>
      <c r="J18125" s="42">
        <v>45331</v>
      </c>
      <c r="K18125" s="33" t="s">
        <v>22</v>
      </c>
    </row>
    <row r="18126" spans="1:11">
      <c r="A18126" s="30" t="s">
        <v>40479</v>
      </c>
      <c r="B18126" s="30" t="s">
        <v>40480</v>
      </c>
      <c r="C18126" s="30" t="s">
        <v>44</v>
      </c>
      <c r="D18126" s="30" t="s">
        <v>17</v>
      </c>
      <c r="E18126" s="30" t="s">
        <v>67</v>
      </c>
      <c r="F18126" s="30" t="s">
        <v>68</v>
      </c>
      <c r="G18126" s="30" t="s">
        <v>140</v>
      </c>
      <c r="H18126" s="32">
        <v>186</v>
      </c>
      <c r="I18126" s="30" t="s">
        <v>51</v>
      </c>
      <c r="J18126" s="41">
        <v>45637</v>
      </c>
      <c r="K18126" s="30" t="s">
        <v>22</v>
      </c>
    </row>
    <row r="18127" spans="1:11">
      <c r="A18127" s="33" t="s">
        <v>40481</v>
      </c>
      <c r="B18127" s="33" t="s">
        <v>40482</v>
      </c>
      <c r="C18127" s="33" t="s">
        <v>40104</v>
      </c>
      <c r="D18127" s="33" t="s">
        <v>17</v>
      </c>
      <c r="E18127" s="33" t="s">
        <v>31</v>
      </c>
      <c r="F18127" s="33" t="s">
        <v>32</v>
      </c>
      <c r="G18127" s="33" t="s">
        <v>158</v>
      </c>
      <c r="H18127" s="35">
        <v>145</v>
      </c>
      <c r="I18127" s="33" t="s">
        <v>21</v>
      </c>
      <c r="J18127" s="42">
        <v>45499</v>
      </c>
      <c r="K18127" s="33" t="s">
        <v>22</v>
      </c>
    </row>
    <row r="18128" spans="1:11">
      <c r="A18128" s="30" t="s">
        <v>40483</v>
      </c>
      <c r="B18128" s="30" t="s">
        <v>40484</v>
      </c>
      <c r="C18128" s="30" t="s">
        <v>29798</v>
      </c>
      <c r="D18128" s="30" t="s">
        <v>17</v>
      </c>
      <c r="E18128" s="30" t="s">
        <v>26</v>
      </c>
      <c r="F18128" s="30" t="s">
        <v>27</v>
      </c>
      <c r="G18128" s="30" t="s">
        <v>158</v>
      </c>
      <c r="H18128" s="32">
        <v>200</v>
      </c>
      <c r="I18128" s="30" t="s">
        <v>51</v>
      </c>
      <c r="J18128" s="41">
        <v>45348</v>
      </c>
      <c r="K18128" s="30" t="s">
        <v>22</v>
      </c>
    </row>
    <row r="18129" spans="1:11">
      <c r="A18129" s="33" t="s">
        <v>40485</v>
      </c>
      <c r="B18129" s="33" t="s">
        <v>40486</v>
      </c>
      <c r="C18129" s="33" t="s">
        <v>647</v>
      </c>
      <c r="D18129" s="33" t="s">
        <v>17</v>
      </c>
      <c r="E18129" s="33" t="s">
        <v>18</v>
      </c>
      <c r="F18129" s="33" t="s">
        <v>19</v>
      </c>
      <c r="G18129" s="33" t="s">
        <v>158</v>
      </c>
      <c r="H18129" s="35">
        <v>450</v>
      </c>
      <c r="I18129" s="33" t="s">
        <v>51</v>
      </c>
      <c r="J18129" s="42">
        <v>45415</v>
      </c>
      <c r="K18129" s="33" t="s">
        <v>22</v>
      </c>
    </row>
    <row r="18130" spans="1:11">
      <c r="A18130" s="30" t="s">
        <v>40487</v>
      </c>
      <c r="B18130" s="30" t="s">
        <v>40488</v>
      </c>
      <c r="C18130" s="30" t="s">
        <v>149</v>
      </c>
      <c r="D18130" s="30" t="s">
        <v>17</v>
      </c>
      <c r="E18130" s="30" t="s">
        <v>67</v>
      </c>
      <c r="F18130" s="30" t="s">
        <v>68</v>
      </c>
      <c r="G18130" s="30" t="s">
        <v>140</v>
      </c>
      <c r="H18130" s="32">
        <v>200</v>
      </c>
      <c r="I18130" s="30" t="s">
        <v>51</v>
      </c>
      <c r="J18130" s="41">
        <v>45649</v>
      </c>
      <c r="K18130" s="30" t="s">
        <v>22</v>
      </c>
    </row>
    <row r="18131" spans="1:11">
      <c r="A18131" s="33" t="s">
        <v>40489</v>
      </c>
      <c r="B18131" s="33" t="s">
        <v>40490</v>
      </c>
      <c r="C18131" s="33" t="s">
        <v>130</v>
      </c>
      <c r="D18131" s="33" t="s">
        <v>17</v>
      </c>
      <c r="E18131" s="33" t="s">
        <v>67</v>
      </c>
      <c r="F18131" s="33" t="s">
        <v>68</v>
      </c>
      <c r="G18131" s="33" t="s">
        <v>106</v>
      </c>
      <c r="H18131" s="35">
        <v>5</v>
      </c>
      <c r="I18131" s="33" t="s">
        <v>21</v>
      </c>
      <c r="J18131" s="42">
        <v>45398</v>
      </c>
      <c r="K18131" s="33" t="s">
        <v>22</v>
      </c>
    </row>
    <row r="18132" spans="1:11">
      <c r="A18132" s="30" t="s">
        <v>40491</v>
      </c>
      <c r="B18132" s="30" t="s">
        <v>40492</v>
      </c>
      <c r="C18132" s="30" t="s">
        <v>29943</v>
      </c>
      <c r="D18132" s="30" t="s">
        <v>17</v>
      </c>
      <c r="E18132" s="30" t="s">
        <v>31</v>
      </c>
      <c r="F18132" s="30" t="s">
        <v>32</v>
      </c>
      <c r="G18132" s="30" t="s">
        <v>158</v>
      </c>
      <c r="H18132" s="32">
        <v>48</v>
      </c>
      <c r="I18132" s="30" t="s">
        <v>21</v>
      </c>
      <c r="J18132" s="41">
        <v>45404</v>
      </c>
      <c r="K18132" s="30" t="s">
        <v>22</v>
      </c>
    </row>
    <row r="18133" spans="1:11">
      <c r="A18133" s="33" t="s">
        <v>40493</v>
      </c>
      <c r="B18133" s="33" t="s">
        <v>40494</v>
      </c>
      <c r="C18133" s="33" t="s">
        <v>4622</v>
      </c>
      <c r="D18133" s="33" t="s">
        <v>17</v>
      </c>
      <c r="E18133" s="33" t="s">
        <v>26</v>
      </c>
      <c r="F18133" s="33" t="s">
        <v>27</v>
      </c>
      <c r="G18133" s="33" t="s">
        <v>20</v>
      </c>
      <c r="H18133" s="35">
        <v>17</v>
      </c>
      <c r="I18133" s="33" t="s">
        <v>21</v>
      </c>
      <c r="J18133" s="42">
        <v>45566</v>
      </c>
      <c r="K18133" s="33" t="s">
        <v>22</v>
      </c>
    </row>
    <row r="18134" spans="1:11">
      <c r="A18134" s="30" t="s">
        <v>40495</v>
      </c>
      <c r="B18134" s="30" t="s">
        <v>40496</v>
      </c>
      <c r="C18134" s="30" t="s">
        <v>310</v>
      </c>
      <c r="D18134" s="30" t="s">
        <v>17</v>
      </c>
      <c r="E18134" s="30" t="s">
        <v>26</v>
      </c>
      <c r="F18134" s="30" t="s">
        <v>27</v>
      </c>
      <c r="G18134" s="30" t="s">
        <v>140</v>
      </c>
      <c r="H18134" s="32">
        <v>177</v>
      </c>
      <c r="I18134" s="30" t="s">
        <v>51</v>
      </c>
      <c r="J18134" s="41">
        <v>45629</v>
      </c>
      <c r="K18134" s="30" t="s">
        <v>22</v>
      </c>
    </row>
    <row r="18135" spans="1:11">
      <c r="A18135" s="33" t="s">
        <v>40497</v>
      </c>
      <c r="B18135" s="33" t="s">
        <v>40498</v>
      </c>
      <c r="C18135" s="33" t="s">
        <v>11599</v>
      </c>
      <c r="D18135" s="33" t="s">
        <v>17</v>
      </c>
      <c r="E18135" s="33" t="s">
        <v>18</v>
      </c>
      <c r="F18135" s="33" t="s">
        <v>19</v>
      </c>
      <c r="G18135" s="33" t="s">
        <v>20</v>
      </c>
      <c r="H18135" s="35">
        <v>35</v>
      </c>
      <c r="I18135" s="33" t="s">
        <v>21</v>
      </c>
      <c r="J18135" s="42">
        <v>45596</v>
      </c>
      <c r="K18135" s="33" t="s">
        <v>22</v>
      </c>
    </row>
    <row r="18136" spans="1:11">
      <c r="A18136" s="30" t="s">
        <v>40499</v>
      </c>
      <c r="B18136" s="30" t="s">
        <v>40500</v>
      </c>
      <c r="C18136" s="30" t="s">
        <v>23991</v>
      </c>
      <c r="D18136" s="30" t="s">
        <v>17</v>
      </c>
      <c r="E18136" s="30" t="s">
        <v>31</v>
      </c>
      <c r="F18136" s="30" t="s">
        <v>32</v>
      </c>
      <c r="G18136" s="30" t="s">
        <v>20</v>
      </c>
      <c r="H18136" s="32">
        <v>18</v>
      </c>
      <c r="I18136" s="30" t="s">
        <v>21</v>
      </c>
      <c r="J18136" s="41">
        <v>45519</v>
      </c>
      <c r="K18136" s="30" t="s">
        <v>22</v>
      </c>
    </row>
    <row r="18137" spans="1:11">
      <c r="A18137" s="33" t="s">
        <v>40501</v>
      </c>
      <c r="B18137" s="33" t="s">
        <v>40502</v>
      </c>
      <c r="C18137" s="33" t="s">
        <v>4348</v>
      </c>
      <c r="D18137" s="33" t="s">
        <v>17</v>
      </c>
      <c r="E18137" s="33" t="s">
        <v>31</v>
      </c>
      <c r="F18137" s="33" t="s">
        <v>32</v>
      </c>
      <c r="G18137" s="33" t="s">
        <v>140</v>
      </c>
      <c r="H18137" s="35">
        <v>52</v>
      </c>
      <c r="I18137" s="33" t="s">
        <v>51</v>
      </c>
      <c r="J18137" s="42">
        <v>45506</v>
      </c>
      <c r="K18137" s="33" t="s">
        <v>22</v>
      </c>
    </row>
    <row r="18138" spans="1:11">
      <c r="A18138" s="30" t="s">
        <v>40503</v>
      </c>
      <c r="B18138" s="30" t="s">
        <v>40504</v>
      </c>
      <c r="C18138" s="30" t="s">
        <v>178</v>
      </c>
      <c r="D18138" s="30" t="s">
        <v>17</v>
      </c>
      <c r="E18138" s="30" t="s">
        <v>26</v>
      </c>
      <c r="F18138" s="30" t="s">
        <v>27</v>
      </c>
      <c r="G18138" s="30" t="s">
        <v>140</v>
      </c>
      <c r="H18138" s="32">
        <v>75</v>
      </c>
      <c r="I18138" s="30" t="s">
        <v>51</v>
      </c>
      <c r="J18138" s="41">
        <v>45643</v>
      </c>
      <c r="K18138" s="30" t="s">
        <v>22</v>
      </c>
    </row>
    <row r="18139" spans="1:11">
      <c r="A18139" s="33" t="s">
        <v>40505</v>
      </c>
      <c r="B18139" s="33" t="s">
        <v>40506</v>
      </c>
      <c r="C18139" s="33" t="s">
        <v>40507</v>
      </c>
      <c r="D18139" s="33" t="s">
        <v>17</v>
      </c>
      <c r="E18139" s="33" t="s">
        <v>31</v>
      </c>
      <c r="F18139" s="33" t="s">
        <v>32</v>
      </c>
      <c r="G18139" s="33" t="s">
        <v>140</v>
      </c>
      <c r="H18139" s="35">
        <v>60</v>
      </c>
      <c r="I18139" s="33" t="s">
        <v>51</v>
      </c>
      <c r="J18139" s="42">
        <v>45547</v>
      </c>
      <c r="K18139" s="33" t="s">
        <v>22</v>
      </c>
    </row>
    <row r="18140" spans="1:11">
      <c r="A18140" s="30" t="s">
        <v>40508</v>
      </c>
      <c r="B18140" s="30" t="s">
        <v>40509</v>
      </c>
      <c r="C18140" s="30" t="s">
        <v>231</v>
      </c>
      <c r="D18140" s="30" t="s">
        <v>17</v>
      </c>
      <c r="E18140" s="30" t="s">
        <v>26</v>
      </c>
      <c r="F18140" s="30" t="s">
        <v>27</v>
      </c>
      <c r="G18140" s="30" t="s">
        <v>20</v>
      </c>
      <c r="H18140" s="32">
        <v>8</v>
      </c>
      <c r="I18140" s="30" t="s">
        <v>21</v>
      </c>
      <c r="J18140" s="41">
        <v>45530</v>
      </c>
      <c r="K18140" s="30" t="s">
        <v>22</v>
      </c>
    </row>
    <row r="18141" spans="1:11">
      <c r="A18141" s="33" t="s">
        <v>40510</v>
      </c>
      <c r="B18141" s="33" t="s">
        <v>40511</v>
      </c>
      <c r="C18141" s="33" t="s">
        <v>39563</v>
      </c>
      <c r="D18141" s="33" t="s">
        <v>17</v>
      </c>
      <c r="E18141" s="33" t="s">
        <v>26</v>
      </c>
      <c r="F18141" s="33" t="s">
        <v>27</v>
      </c>
      <c r="G18141" s="33" t="s">
        <v>50</v>
      </c>
      <c r="H18141" s="35">
        <v>34</v>
      </c>
      <c r="I18141" s="33" t="s">
        <v>51</v>
      </c>
      <c r="J18141" s="42">
        <v>45447</v>
      </c>
      <c r="K18141" s="33" t="s">
        <v>22</v>
      </c>
    </row>
    <row r="18142" spans="1:11">
      <c r="A18142" s="30" t="s">
        <v>40512</v>
      </c>
      <c r="B18142" s="30" t="s">
        <v>40513</v>
      </c>
      <c r="C18142" s="30" t="s">
        <v>19745</v>
      </c>
      <c r="D18142" s="30" t="s">
        <v>17</v>
      </c>
      <c r="E18142" s="30" t="s">
        <v>18</v>
      </c>
      <c r="F18142" s="30" t="s">
        <v>19</v>
      </c>
      <c r="G18142" s="30" t="s">
        <v>112</v>
      </c>
      <c r="H18142" s="32">
        <v>0</v>
      </c>
      <c r="I18142" s="30" t="s">
        <v>21</v>
      </c>
      <c r="J18142" s="41">
        <v>45536</v>
      </c>
      <c r="K18142" s="30" t="s">
        <v>22</v>
      </c>
    </row>
    <row r="18143" spans="1:11">
      <c r="A18143" s="33" t="s">
        <v>40514</v>
      </c>
      <c r="B18143" s="33" t="s">
        <v>40515</v>
      </c>
      <c r="C18143" s="33" t="s">
        <v>3290</v>
      </c>
      <c r="D18143" s="33" t="s">
        <v>17</v>
      </c>
      <c r="E18143" s="33" t="s">
        <v>31</v>
      </c>
      <c r="F18143" s="33" t="s">
        <v>32</v>
      </c>
      <c r="G18143" s="33" t="s">
        <v>20</v>
      </c>
      <c r="H18143" s="35">
        <v>126</v>
      </c>
      <c r="I18143" s="33" t="s">
        <v>21</v>
      </c>
      <c r="J18143" s="42">
        <v>45492</v>
      </c>
      <c r="K18143" s="33" t="s">
        <v>22</v>
      </c>
    </row>
    <row r="18144" spans="1:11">
      <c r="A18144" s="30" t="s">
        <v>40516</v>
      </c>
      <c r="B18144" s="30" t="s">
        <v>40517</v>
      </c>
      <c r="C18144" s="30" t="s">
        <v>40518</v>
      </c>
      <c r="D18144" s="30" t="s">
        <v>17</v>
      </c>
      <c r="E18144" s="30" t="s">
        <v>18</v>
      </c>
      <c r="F18144" s="30" t="s">
        <v>19</v>
      </c>
      <c r="G18144" s="30" t="s">
        <v>140</v>
      </c>
      <c r="H18144" s="32">
        <v>40</v>
      </c>
      <c r="I18144" s="30" t="s">
        <v>51</v>
      </c>
      <c r="J18144" s="41">
        <v>45485</v>
      </c>
      <c r="K18144" s="30" t="s">
        <v>22</v>
      </c>
    </row>
    <row r="18145" spans="1:11">
      <c r="A18145" s="33" t="s">
        <v>40519</v>
      </c>
      <c r="B18145" s="33" t="s">
        <v>40520</v>
      </c>
      <c r="C18145" s="33" t="s">
        <v>40521</v>
      </c>
      <c r="D18145" s="33" t="s">
        <v>17</v>
      </c>
      <c r="E18145" s="33" t="s">
        <v>26</v>
      </c>
      <c r="F18145" s="33" t="s">
        <v>27</v>
      </c>
      <c r="G18145" s="33" t="s">
        <v>140</v>
      </c>
      <c r="H18145" s="35">
        <v>24</v>
      </c>
      <c r="I18145" s="33" t="s">
        <v>51</v>
      </c>
      <c r="J18145" s="42">
        <v>45636</v>
      </c>
      <c r="K18145" s="33" t="s">
        <v>22</v>
      </c>
    </row>
    <row r="18146" spans="1:11">
      <c r="A18146" s="30" t="s">
        <v>40522</v>
      </c>
      <c r="B18146" s="30" t="s">
        <v>40523</v>
      </c>
      <c r="C18146" s="30" t="s">
        <v>318</v>
      </c>
      <c r="D18146" s="30" t="s">
        <v>17</v>
      </c>
      <c r="E18146" s="30" t="s">
        <v>18</v>
      </c>
      <c r="F18146" s="30" t="s">
        <v>19</v>
      </c>
      <c r="G18146" s="30" t="s">
        <v>140</v>
      </c>
      <c r="H18146" s="32">
        <v>20</v>
      </c>
      <c r="I18146" s="30" t="s">
        <v>51</v>
      </c>
      <c r="J18146" s="41">
        <v>45587</v>
      </c>
      <c r="K18146" s="30" t="s">
        <v>22</v>
      </c>
    </row>
    <row r="18147" spans="1:11">
      <c r="A18147" s="33" t="s">
        <v>40524</v>
      </c>
      <c r="B18147" s="33" t="s">
        <v>40525</v>
      </c>
      <c r="C18147" s="33" t="s">
        <v>15917</v>
      </c>
      <c r="D18147" s="33" t="s">
        <v>17</v>
      </c>
      <c r="E18147" s="33" t="s">
        <v>26</v>
      </c>
      <c r="F18147" s="33" t="s">
        <v>27</v>
      </c>
      <c r="G18147" s="33" t="s">
        <v>20</v>
      </c>
      <c r="H18147" s="35">
        <v>35</v>
      </c>
      <c r="I18147" s="33" t="s">
        <v>21</v>
      </c>
      <c r="J18147" s="42">
        <v>45410</v>
      </c>
      <c r="K18147" s="33" t="s">
        <v>22</v>
      </c>
    </row>
    <row r="18148" spans="1:11">
      <c r="A18148" s="30" t="s">
        <v>40526</v>
      </c>
      <c r="B18148" s="30" t="s">
        <v>40527</v>
      </c>
      <c r="C18148" s="30" t="s">
        <v>2778</v>
      </c>
      <c r="D18148" s="30" t="s">
        <v>17</v>
      </c>
      <c r="E18148" s="30" t="s">
        <v>18</v>
      </c>
      <c r="F18148" s="30" t="s">
        <v>19</v>
      </c>
      <c r="G18148" s="30" t="s">
        <v>140</v>
      </c>
      <c r="H18148" s="32">
        <v>270</v>
      </c>
      <c r="I18148" s="30" t="s">
        <v>51</v>
      </c>
      <c r="J18148" s="41">
        <v>45369</v>
      </c>
      <c r="K18148" s="30" t="s">
        <v>22</v>
      </c>
    </row>
    <row r="18149" spans="1:11">
      <c r="A18149" s="33" t="s">
        <v>40528</v>
      </c>
      <c r="B18149" s="33" t="s">
        <v>40529</v>
      </c>
      <c r="C18149" s="33" t="s">
        <v>231</v>
      </c>
      <c r="D18149" s="33" t="s">
        <v>17</v>
      </c>
      <c r="E18149" s="33" t="s">
        <v>26</v>
      </c>
      <c r="F18149" s="33" t="s">
        <v>27</v>
      </c>
      <c r="G18149" s="33" t="s">
        <v>158</v>
      </c>
      <c r="H18149" s="35">
        <v>46</v>
      </c>
      <c r="I18149" s="33" t="s">
        <v>21</v>
      </c>
      <c r="J18149" s="42">
        <v>45336</v>
      </c>
      <c r="K18149" s="33" t="s">
        <v>22</v>
      </c>
    </row>
    <row r="18150" spans="1:11">
      <c r="A18150" s="30" t="s">
        <v>40530</v>
      </c>
      <c r="B18150" s="30" t="s">
        <v>40531</v>
      </c>
      <c r="C18150" s="30" t="s">
        <v>6571</v>
      </c>
      <c r="D18150" s="30" t="s">
        <v>17</v>
      </c>
      <c r="E18150" s="30" t="s">
        <v>212</v>
      </c>
      <c r="F18150" s="30" t="s">
        <v>213</v>
      </c>
      <c r="G18150" s="30" t="s">
        <v>7780</v>
      </c>
      <c r="H18150" s="32">
        <v>30</v>
      </c>
      <c r="I18150" s="30" t="s">
        <v>51</v>
      </c>
      <c r="J18150" s="41">
        <v>45580</v>
      </c>
      <c r="K18150" s="30" t="s">
        <v>22</v>
      </c>
    </row>
    <row r="18151" spans="1:11">
      <c r="A18151" s="33" t="s">
        <v>40532</v>
      </c>
      <c r="B18151" s="33" t="s">
        <v>40533</v>
      </c>
      <c r="C18151" s="33" t="s">
        <v>40534</v>
      </c>
      <c r="D18151" s="33" t="s">
        <v>17</v>
      </c>
      <c r="E18151" s="33" t="s">
        <v>18</v>
      </c>
      <c r="F18151" s="33" t="s">
        <v>19</v>
      </c>
      <c r="G18151" s="33" t="s">
        <v>112</v>
      </c>
      <c r="H18151" s="35">
        <v>0</v>
      </c>
      <c r="I18151" s="33" t="s">
        <v>21</v>
      </c>
      <c r="J18151" s="42">
        <v>45566</v>
      </c>
      <c r="K18151" s="33" t="s">
        <v>22</v>
      </c>
    </row>
    <row r="18152" spans="1:11">
      <c r="A18152" s="30" t="s">
        <v>40535</v>
      </c>
      <c r="B18152" s="30" t="s">
        <v>40536</v>
      </c>
      <c r="C18152" s="30" t="s">
        <v>647</v>
      </c>
      <c r="D18152" s="30" t="s">
        <v>17</v>
      </c>
      <c r="E18152" s="30" t="s">
        <v>26</v>
      </c>
      <c r="F18152" s="30" t="s">
        <v>27</v>
      </c>
      <c r="G18152" s="30" t="s">
        <v>106</v>
      </c>
      <c r="H18152" s="32">
        <v>24</v>
      </c>
      <c r="I18152" s="30" t="s">
        <v>21</v>
      </c>
      <c r="J18152" s="41">
        <v>45544</v>
      </c>
      <c r="K18152" s="30" t="s">
        <v>22</v>
      </c>
    </row>
    <row r="18153" spans="1:11">
      <c r="A18153" s="33" t="s">
        <v>40537</v>
      </c>
      <c r="B18153" s="33" t="s">
        <v>40538</v>
      </c>
      <c r="C18153" s="33" t="s">
        <v>1219</v>
      </c>
      <c r="D18153" s="33" t="s">
        <v>17</v>
      </c>
      <c r="E18153" s="33" t="s">
        <v>31</v>
      </c>
      <c r="F18153" s="33" t="s">
        <v>32</v>
      </c>
      <c r="G18153" s="33" t="s">
        <v>158</v>
      </c>
      <c r="H18153" s="35">
        <v>59</v>
      </c>
      <c r="I18153" s="33" t="s">
        <v>21</v>
      </c>
      <c r="J18153" s="42">
        <v>45364</v>
      </c>
      <c r="K18153" s="33" t="s">
        <v>22</v>
      </c>
    </row>
    <row r="18154" spans="1:11">
      <c r="A18154" s="30" t="s">
        <v>40539</v>
      </c>
      <c r="B18154" s="30" t="s">
        <v>40540</v>
      </c>
      <c r="C18154" s="30" t="s">
        <v>13241</v>
      </c>
      <c r="D18154" s="30" t="s">
        <v>17</v>
      </c>
      <c r="E18154" s="30" t="s">
        <v>31</v>
      </c>
      <c r="F18154" s="30" t="s">
        <v>32</v>
      </c>
      <c r="G18154" s="30" t="s">
        <v>7780</v>
      </c>
      <c r="H18154" s="32">
        <v>20</v>
      </c>
      <c r="I18154" s="30" t="s">
        <v>51</v>
      </c>
      <c r="J18154" s="41">
        <v>45627</v>
      </c>
      <c r="K18154" s="30" t="s">
        <v>22</v>
      </c>
    </row>
    <row r="18155" spans="1:11">
      <c r="A18155" s="33" t="s">
        <v>40541</v>
      </c>
      <c r="B18155" s="33" t="s">
        <v>40542</v>
      </c>
      <c r="C18155" s="33" t="s">
        <v>969</v>
      </c>
      <c r="D18155" s="33" t="s">
        <v>17</v>
      </c>
      <c r="E18155" s="33" t="s">
        <v>212</v>
      </c>
      <c r="F18155" s="33" t="s">
        <v>213</v>
      </c>
      <c r="G18155" s="33" t="s">
        <v>158</v>
      </c>
      <c r="H18155" s="35">
        <v>336</v>
      </c>
      <c r="I18155" s="33" t="s">
        <v>51</v>
      </c>
      <c r="J18155" s="42">
        <v>45371</v>
      </c>
      <c r="K18155" s="33" t="s">
        <v>22</v>
      </c>
    </row>
    <row r="18156" spans="1:11">
      <c r="A18156" s="30" t="s">
        <v>40543</v>
      </c>
      <c r="B18156" s="30" t="s">
        <v>40544</v>
      </c>
      <c r="C18156" s="30" t="s">
        <v>102</v>
      </c>
      <c r="D18156" s="30" t="s">
        <v>17</v>
      </c>
      <c r="E18156" s="30" t="s">
        <v>18</v>
      </c>
      <c r="F18156" s="30" t="s">
        <v>19</v>
      </c>
      <c r="G18156" s="30" t="s">
        <v>140</v>
      </c>
      <c r="H18156" s="32">
        <v>39</v>
      </c>
      <c r="I18156" s="30" t="s">
        <v>51</v>
      </c>
      <c r="J18156" s="41">
        <v>45607</v>
      </c>
      <c r="K18156" s="30" t="s">
        <v>22</v>
      </c>
    </row>
    <row r="18157" spans="1:11">
      <c r="A18157" s="33" t="s">
        <v>40545</v>
      </c>
      <c r="B18157" s="33" t="s">
        <v>40546</v>
      </c>
      <c r="C18157" s="33" t="s">
        <v>715</v>
      </c>
      <c r="D18157" s="33" t="s">
        <v>17</v>
      </c>
      <c r="E18157" s="33" t="s">
        <v>18</v>
      </c>
      <c r="F18157" s="33" t="s">
        <v>19</v>
      </c>
      <c r="G18157" s="33" t="s">
        <v>140</v>
      </c>
      <c r="H18157" s="35">
        <v>100</v>
      </c>
      <c r="I18157" s="33" t="s">
        <v>51</v>
      </c>
      <c r="J18157" s="42">
        <v>45307</v>
      </c>
      <c r="K18157" s="33" t="s">
        <v>22</v>
      </c>
    </row>
    <row r="18158" spans="1:11">
      <c r="A18158" s="30" t="s">
        <v>40547</v>
      </c>
      <c r="B18158" s="30" t="s">
        <v>40548</v>
      </c>
      <c r="C18158" s="30" t="s">
        <v>3617</v>
      </c>
      <c r="D18158" s="30" t="s">
        <v>17</v>
      </c>
      <c r="E18158" s="30" t="s">
        <v>31</v>
      </c>
      <c r="F18158" s="30" t="s">
        <v>32</v>
      </c>
      <c r="G18158" s="30" t="s">
        <v>158</v>
      </c>
      <c r="H18158" s="32">
        <v>60</v>
      </c>
      <c r="I18158" s="30" t="s">
        <v>51</v>
      </c>
      <c r="J18158" s="41">
        <v>45439</v>
      </c>
      <c r="K18158" s="30" t="s">
        <v>22</v>
      </c>
    </row>
    <row r="18159" spans="1:11">
      <c r="A18159" s="33" t="s">
        <v>40549</v>
      </c>
      <c r="B18159" s="33" t="s">
        <v>40550</v>
      </c>
      <c r="C18159" s="33" t="s">
        <v>804</v>
      </c>
      <c r="D18159" s="33" t="s">
        <v>17</v>
      </c>
      <c r="E18159" s="33" t="s">
        <v>31</v>
      </c>
      <c r="F18159" s="33" t="s">
        <v>32</v>
      </c>
      <c r="G18159" s="33" t="s">
        <v>140</v>
      </c>
      <c r="H18159" s="35">
        <v>24</v>
      </c>
      <c r="I18159" s="33" t="s">
        <v>51</v>
      </c>
      <c r="J18159" s="42">
        <v>45636</v>
      </c>
      <c r="K18159" s="33" t="s">
        <v>22</v>
      </c>
    </row>
    <row r="18160" spans="1:11">
      <c r="A18160" s="30" t="s">
        <v>40551</v>
      </c>
      <c r="B18160" s="30" t="s">
        <v>40552</v>
      </c>
      <c r="C18160" s="30" t="s">
        <v>15208</v>
      </c>
      <c r="D18160" s="30" t="s">
        <v>17</v>
      </c>
      <c r="E18160" s="30" t="s">
        <v>31</v>
      </c>
      <c r="F18160" s="30" t="s">
        <v>32</v>
      </c>
      <c r="G18160" s="30" t="s">
        <v>20</v>
      </c>
      <c r="H18160" s="32">
        <v>652</v>
      </c>
      <c r="I18160" s="30" t="s">
        <v>21</v>
      </c>
      <c r="J18160" s="41">
        <v>45471</v>
      </c>
      <c r="K18160" s="30" t="s">
        <v>22</v>
      </c>
    </row>
    <row r="18161" spans="1:11">
      <c r="A18161" s="33" t="s">
        <v>40553</v>
      </c>
      <c r="B18161" s="33" t="s">
        <v>40554</v>
      </c>
      <c r="C18161" s="33" t="s">
        <v>3610</v>
      </c>
      <c r="D18161" s="33" t="s">
        <v>17</v>
      </c>
      <c r="E18161" s="33" t="s">
        <v>18</v>
      </c>
      <c r="F18161" s="33" t="s">
        <v>19</v>
      </c>
      <c r="G18161" s="33" t="s">
        <v>140</v>
      </c>
      <c r="H18161" s="35">
        <v>1000</v>
      </c>
      <c r="I18161" s="33" t="s">
        <v>51</v>
      </c>
      <c r="J18161" s="42">
        <v>45541</v>
      </c>
      <c r="K18161" s="33" t="s">
        <v>22</v>
      </c>
    </row>
    <row r="18162" spans="1:11">
      <c r="A18162" s="30" t="s">
        <v>40555</v>
      </c>
      <c r="B18162" s="30" t="s">
        <v>40556</v>
      </c>
      <c r="C18162" s="30" t="s">
        <v>40557</v>
      </c>
      <c r="D18162" s="30" t="s">
        <v>17</v>
      </c>
      <c r="E18162" s="30" t="s">
        <v>26</v>
      </c>
      <c r="F18162" s="30" t="s">
        <v>27</v>
      </c>
      <c r="G18162" s="30" t="s">
        <v>20</v>
      </c>
      <c r="H18162" s="32">
        <v>8</v>
      </c>
      <c r="I18162" s="30" t="s">
        <v>21</v>
      </c>
      <c r="J18162" s="41">
        <v>45594</v>
      </c>
      <c r="K18162" s="30" t="s">
        <v>22</v>
      </c>
    </row>
    <row r="18163" spans="1:11">
      <c r="A18163" s="33" t="s">
        <v>40558</v>
      </c>
      <c r="B18163" s="33" t="s">
        <v>40559</v>
      </c>
      <c r="C18163" s="33" t="s">
        <v>136</v>
      </c>
      <c r="D18163" s="33" t="s">
        <v>17</v>
      </c>
      <c r="E18163" s="33" t="s">
        <v>26</v>
      </c>
      <c r="F18163" s="33" t="s">
        <v>27</v>
      </c>
      <c r="G18163" s="33" t="s">
        <v>20</v>
      </c>
      <c r="H18163" s="35">
        <v>18</v>
      </c>
      <c r="I18163" s="33" t="s">
        <v>21</v>
      </c>
      <c r="J18163" s="42">
        <v>45294</v>
      </c>
      <c r="K18163" s="33" t="s">
        <v>22</v>
      </c>
    </row>
    <row r="18164" spans="1:11">
      <c r="A18164" s="30" t="s">
        <v>40560</v>
      </c>
      <c r="B18164" s="30" t="s">
        <v>40561</v>
      </c>
      <c r="C18164" s="30" t="s">
        <v>426</v>
      </c>
      <c r="D18164" s="30" t="s">
        <v>17</v>
      </c>
      <c r="E18164" s="30" t="s">
        <v>18</v>
      </c>
      <c r="F18164" s="30" t="s">
        <v>19</v>
      </c>
      <c r="G18164" s="30" t="s">
        <v>140</v>
      </c>
      <c r="H18164" s="32">
        <v>486</v>
      </c>
      <c r="I18164" s="30" t="s">
        <v>51</v>
      </c>
      <c r="J18164" s="41">
        <v>45454</v>
      </c>
      <c r="K18164" s="30" t="s">
        <v>22</v>
      </c>
    </row>
    <row r="18165" spans="1:11">
      <c r="A18165" s="33" t="s">
        <v>40562</v>
      </c>
      <c r="B18165" s="33" t="s">
        <v>40563</v>
      </c>
      <c r="C18165" s="33" t="s">
        <v>190</v>
      </c>
      <c r="D18165" s="33" t="s">
        <v>17</v>
      </c>
      <c r="E18165" s="33" t="s">
        <v>67</v>
      </c>
      <c r="F18165" s="33" t="s">
        <v>68</v>
      </c>
      <c r="G18165" s="33" t="s">
        <v>140</v>
      </c>
      <c r="H18165" s="35">
        <v>161</v>
      </c>
      <c r="I18165" s="33" t="s">
        <v>51</v>
      </c>
      <c r="J18165" s="42">
        <v>45314</v>
      </c>
      <c r="K18165" s="33" t="s">
        <v>22</v>
      </c>
    </row>
    <row r="18166" spans="1:11">
      <c r="A18166" s="30" t="s">
        <v>40564</v>
      </c>
      <c r="B18166" s="30" t="s">
        <v>40565</v>
      </c>
      <c r="C18166" s="30" t="s">
        <v>28346</v>
      </c>
      <c r="D18166" s="30" t="s">
        <v>17</v>
      </c>
      <c r="E18166" s="30" t="s">
        <v>26</v>
      </c>
      <c r="F18166" s="30" t="s">
        <v>27</v>
      </c>
      <c r="G18166" s="30" t="s">
        <v>140</v>
      </c>
      <c r="H18166" s="32">
        <v>85</v>
      </c>
      <c r="I18166" s="30" t="s">
        <v>51</v>
      </c>
      <c r="J18166" s="41">
        <v>45370</v>
      </c>
      <c r="K18166" s="30" t="s">
        <v>22</v>
      </c>
    </row>
    <row r="18167" spans="1:11">
      <c r="A18167" s="33" t="s">
        <v>40566</v>
      </c>
      <c r="B18167" s="33" t="s">
        <v>40567</v>
      </c>
      <c r="C18167" s="33" t="s">
        <v>8271</v>
      </c>
      <c r="D18167" s="33" t="s">
        <v>17</v>
      </c>
      <c r="E18167" s="33" t="s">
        <v>31</v>
      </c>
      <c r="F18167" s="33" t="s">
        <v>32</v>
      </c>
      <c r="G18167" s="33" t="s">
        <v>106</v>
      </c>
      <c r="H18167" s="35">
        <v>29</v>
      </c>
      <c r="I18167" s="33" t="s">
        <v>21</v>
      </c>
      <c r="J18167" s="42">
        <v>45605</v>
      </c>
      <c r="K18167" s="33" t="s">
        <v>22</v>
      </c>
    </row>
    <row r="18168" spans="1:11">
      <c r="A18168" s="30" t="s">
        <v>40568</v>
      </c>
      <c r="B18168" s="30" t="s">
        <v>40569</v>
      </c>
      <c r="C18168" s="30" t="s">
        <v>318</v>
      </c>
      <c r="D18168" s="30" t="s">
        <v>17</v>
      </c>
      <c r="E18168" s="30" t="s">
        <v>31</v>
      </c>
      <c r="F18168" s="30" t="s">
        <v>32</v>
      </c>
      <c r="G18168" s="30" t="s">
        <v>20</v>
      </c>
      <c r="H18168" s="32">
        <v>317</v>
      </c>
      <c r="I18168" s="30" t="s">
        <v>21</v>
      </c>
      <c r="J18168" s="41">
        <v>45436</v>
      </c>
      <c r="K18168" s="30" t="s">
        <v>22</v>
      </c>
    </row>
    <row r="18169" spans="1:11">
      <c r="A18169" s="33" t="s">
        <v>40570</v>
      </c>
      <c r="B18169" s="33" t="s">
        <v>40571</v>
      </c>
      <c r="C18169" s="33" t="s">
        <v>517</v>
      </c>
      <c r="D18169" s="33" t="s">
        <v>17</v>
      </c>
      <c r="E18169" s="33" t="s">
        <v>18</v>
      </c>
      <c r="F18169" s="33" t="s">
        <v>19</v>
      </c>
      <c r="G18169" s="33" t="s">
        <v>140</v>
      </c>
      <c r="H18169" s="35">
        <v>251</v>
      </c>
      <c r="I18169" s="33" t="s">
        <v>51</v>
      </c>
      <c r="J18169" s="42">
        <v>45504</v>
      </c>
      <c r="K18169" s="33" t="s">
        <v>22</v>
      </c>
    </row>
    <row r="18170" spans="1:11">
      <c r="A18170" s="30" t="s">
        <v>40572</v>
      </c>
      <c r="B18170" s="30" t="s">
        <v>40573</v>
      </c>
      <c r="C18170" s="30" t="s">
        <v>15585</v>
      </c>
      <c r="D18170" s="30" t="s">
        <v>17</v>
      </c>
      <c r="E18170" s="30" t="s">
        <v>18</v>
      </c>
      <c r="F18170" s="30" t="s">
        <v>19</v>
      </c>
      <c r="G18170" s="30" t="s">
        <v>20</v>
      </c>
      <c r="H18170" s="32">
        <v>218</v>
      </c>
      <c r="I18170" s="30" t="s">
        <v>21</v>
      </c>
      <c r="J18170" s="41">
        <v>45604</v>
      </c>
      <c r="K18170" s="30" t="s">
        <v>22</v>
      </c>
    </row>
    <row r="18171" spans="1:11">
      <c r="A18171" s="33" t="s">
        <v>40574</v>
      </c>
      <c r="B18171" s="33" t="s">
        <v>40575</v>
      </c>
      <c r="C18171" s="33" t="s">
        <v>44</v>
      </c>
      <c r="D18171" s="33" t="s">
        <v>17</v>
      </c>
      <c r="E18171" s="33" t="s">
        <v>31</v>
      </c>
      <c r="F18171" s="33" t="s">
        <v>32</v>
      </c>
      <c r="G18171" s="33" t="s">
        <v>158</v>
      </c>
      <c r="H18171" s="35">
        <v>82</v>
      </c>
      <c r="I18171" s="33" t="s">
        <v>21</v>
      </c>
      <c r="J18171" s="42">
        <v>45609</v>
      </c>
      <c r="K18171" s="33" t="s">
        <v>22</v>
      </c>
    </row>
    <row r="18172" spans="1:11">
      <c r="A18172" s="30" t="s">
        <v>40576</v>
      </c>
      <c r="B18172" s="30" t="s">
        <v>40577</v>
      </c>
      <c r="C18172" s="30" t="s">
        <v>216</v>
      </c>
      <c r="D18172" s="30" t="s">
        <v>17</v>
      </c>
      <c r="E18172" s="30" t="s">
        <v>67</v>
      </c>
      <c r="F18172" s="30" t="s">
        <v>68</v>
      </c>
      <c r="G18172" s="30" t="s">
        <v>140</v>
      </c>
      <c r="H18172" s="32">
        <v>216</v>
      </c>
      <c r="I18172" s="30" t="s">
        <v>51</v>
      </c>
      <c r="J18172" s="41">
        <v>45420</v>
      </c>
      <c r="K18172" s="30" t="s">
        <v>22</v>
      </c>
    </row>
    <row r="18173" spans="1:11">
      <c r="A18173" s="33" t="s">
        <v>40578</v>
      </c>
      <c r="B18173" s="33" t="s">
        <v>40579</v>
      </c>
      <c r="C18173" s="33" t="s">
        <v>190</v>
      </c>
      <c r="D18173" s="33" t="s">
        <v>17</v>
      </c>
      <c r="E18173" s="33" t="s">
        <v>26</v>
      </c>
      <c r="F18173" s="33" t="s">
        <v>27</v>
      </c>
      <c r="G18173" s="33" t="s">
        <v>20</v>
      </c>
      <c r="H18173" s="35">
        <v>40</v>
      </c>
      <c r="I18173" s="33" t="s">
        <v>21</v>
      </c>
      <c r="J18173" s="42">
        <v>45531</v>
      </c>
      <c r="K18173" s="33" t="s">
        <v>22</v>
      </c>
    </row>
    <row r="18174" spans="1:11">
      <c r="A18174" s="30" t="s">
        <v>40580</v>
      </c>
      <c r="B18174" s="30" t="s">
        <v>40581</v>
      </c>
      <c r="C18174" s="30" t="s">
        <v>40582</v>
      </c>
      <c r="D18174" s="30" t="s">
        <v>17</v>
      </c>
      <c r="E18174" s="30" t="s">
        <v>67</v>
      </c>
      <c r="F18174" s="30" t="s">
        <v>68</v>
      </c>
      <c r="G18174" s="30" t="s">
        <v>50</v>
      </c>
      <c r="H18174" s="32">
        <v>100</v>
      </c>
      <c r="I18174" s="30" t="s">
        <v>51</v>
      </c>
      <c r="J18174" s="41">
        <v>45565</v>
      </c>
      <c r="K18174" s="30" t="s">
        <v>22</v>
      </c>
    </row>
    <row r="18175" spans="1:11">
      <c r="A18175" s="33" t="s">
        <v>40583</v>
      </c>
      <c r="B18175" s="33" t="s">
        <v>23096</v>
      </c>
      <c r="C18175" s="33" t="s">
        <v>15917</v>
      </c>
      <c r="D18175" s="33" t="s">
        <v>17</v>
      </c>
      <c r="E18175" s="33" t="s">
        <v>18</v>
      </c>
      <c r="F18175" s="33" t="s">
        <v>19</v>
      </c>
      <c r="G18175" s="33" t="s">
        <v>158</v>
      </c>
      <c r="H18175" s="35">
        <v>652</v>
      </c>
      <c r="I18175" s="33" t="s">
        <v>21</v>
      </c>
      <c r="J18175" s="42">
        <v>45457</v>
      </c>
      <c r="K18175" s="33" t="s">
        <v>22</v>
      </c>
    </row>
    <row r="18176" spans="1:11">
      <c r="A18176" s="30" t="s">
        <v>40584</v>
      </c>
      <c r="B18176" s="30" t="s">
        <v>40585</v>
      </c>
      <c r="C18176" s="30" t="s">
        <v>20032</v>
      </c>
      <c r="D18176" s="30" t="s">
        <v>17</v>
      </c>
      <c r="E18176" s="30" t="s">
        <v>18</v>
      </c>
      <c r="F18176" s="30" t="s">
        <v>19</v>
      </c>
      <c r="G18176" s="30" t="s">
        <v>7780</v>
      </c>
      <c r="H18176" s="32">
        <v>510</v>
      </c>
      <c r="I18176" s="30" t="s">
        <v>51</v>
      </c>
      <c r="J18176" s="41">
        <v>45505</v>
      </c>
      <c r="K18176" s="30" t="s">
        <v>22</v>
      </c>
    </row>
    <row r="18177" spans="1:11">
      <c r="A18177" s="33" t="s">
        <v>40586</v>
      </c>
      <c r="B18177" s="33" t="s">
        <v>40587</v>
      </c>
      <c r="C18177" s="33" t="s">
        <v>1571</v>
      </c>
      <c r="D18177" s="33" t="s">
        <v>17</v>
      </c>
      <c r="E18177" s="33" t="s">
        <v>26</v>
      </c>
      <c r="F18177" s="33" t="s">
        <v>27</v>
      </c>
      <c r="G18177" s="33" t="s">
        <v>20</v>
      </c>
      <c r="H18177" s="35">
        <v>24</v>
      </c>
      <c r="I18177" s="33" t="s">
        <v>21</v>
      </c>
      <c r="J18177" s="42">
        <v>45555</v>
      </c>
      <c r="K18177" s="33" t="s">
        <v>22</v>
      </c>
    </row>
    <row r="18178" spans="1:11">
      <c r="A18178" s="30" t="s">
        <v>40588</v>
      </c>
      <c r="B18178" s="30" t="s">
        <v>40589</v>
      </c>
      <c r="C18178" s="30" t="s">
        <v>2171</v>
      </c>
      <c r="D18178" s="30" t="s">
        <v>17</v>
      </c>
      <c r="E18178" s="30" t="s">
        <v>26</v>
      </c>
      <c r="F18178" s="30" t="s">
        <v>27</v>
      </c>
      <c r="G18178" s="30" t="s">
        <v>106</v>
      </c>
      <c r="H18178" s="32">
        <v>13</v>
      </c>
      <c r="I18178" s="30" t="s">
        <v>21</v>
      </c>
      <c r="J18178" s="41">
        <v>45364</v>
      </c>
      <c r="K18178" s="30" t="s">
        <v>22</v>
      </c>
    </row>
    <row r="18179" spans="1:11">
      <c r="A18179" s="33" t="s">
        <v>40590</v>
      </c>
      <c r="B18179" s="33" t="s">
        <v>40591</v>
      </c>
      <c r="C18179" s="33" t="s">
        <v>136</v>
      </c>
      <c r="D18179" s="33" t="s">
        <v>17</v>
      </c>
      <c r="E18179" s="33" t="s">
        <v>26</v>
      </c>
      <c r="F18179" s="33" t="s">
        <v>27</v>
      </c>
      <c r="G18179" s="33" t="s">
        <v>20</v>
      </c>
      <c r="H18179" s="35">
        <v>50</v>
      </c>
      <c r="I18179" s="33" t="s">
        <v>21</v>
      </c>
      <c r="J18179" s="42">
        <v>45293</v>
      </c>
      <c r="K18179" s="33" t="s">
        <v>22</v>
      </c>
    </row>
    <row r="18180" spans="1:11">
      <c r="A18180" s="30" t="s">
        <v>40592</v>
      </c>
      <c r="B18180" s="30" t="s">
        <v>40593</v>
      </c>
      <c r="C18180" s="30" t="s">
        <v>34264</v>
      </c>
      <c r="D18180" s="30" t="s">
        <v>17</v>
      </c>
      <c r="E18180" s="30" t="s">
        <v>31</v>
      </c>
      <c r="F18180" s="30" t="s">
        <v>32</v>
      </c>
      <c r="G18180" s="30" t="s">
        <v>20</v>
      </c>
      <c r="H18180" s="32">
        <v>72</v>
      </c>
      <c r="I18180" s="30" t="s">
        <v>21</v>
      </c>
      <c r="J18180" s="41">
        <v>45544</v>
      </c>
      <c r="K18180" s="30" t="s">
        <v>22</v>
      </c>
    </row>
    <row r="18181" spans="1:11">
      <c r="A18181" s="33" t="s">
        <v>40594</v>
      </c>
      <c r="B18181" s="33" t="s">
        <v>40595</v>
      </c>
      <c r="C18181" s="33" t="s">
        <v>40596</v>
      </c>
      <c r="D18181" s="33" t="s">
        <v>17</v>
      </c>
      <c r="E18181" s="33" t="s">
        <v>31</v>
      </c>
      <c r="F18181" s="33" t="s">
        <v>32</v>
      </c>
      <c r="G18181" s="33" t="s">
        <v>140</v>
      </c>
      <c r="H18181" s="35">
        <v>96</v>
      </c>
      <c r="I18181" s="33" t="s">
        <v>51</v>
      </c>
      <c r="J18181" s="42">
        <v>45413</v>
      </c>
      <c r="K18181" s="33" t="s">
        <v>22</v>
      </c>
    </row>
    <row r="18182" spans="1:11">
      <c r="A18182" s="30" t="s">
        <v>40597</v>
      </c>
      <c r="B18182" s="30" t="s">
        <v>40598</v>
      </c>
      <c r="C18182" s="30" t="s">
        <v>35935</v>
      </c>
      <c r="D18182" s="30" t="s">
        <v>17</v>
      </c>
      <c r="E18182" s="30" t="s">
        <v>18</v>
      </c>
      <c r="F18182" s="30" t="s">
        <v>19</v>
      </c>
      <c r="G18182" s="30" t="s">
        <v>112</v>
      </c>
      <c r="H18182" s="32">
        <v>0</v>
      </c>
      <c r="I18182" s="30" t="s">
        <v>21</v>
      </c>
      <c r="J18182" s="41">
        <v>45380</v>
      </c>
      <c r="K18182" s="30" t="s">
        <v>22</v>
      </c>
    </row>
    <row r="18183" spans="1:11">
      <c r="A18183" s="33" t="s">
        <v>40599</v>
      </c>
      <c r="B18183" s="33" t="s">
        <v>40600</v>
      </c>
      <c r="C18183" s="33" t="s">
        <v>10079</v>
      </c>
      <c r="D18183" s="33" t="s">
        <v>17</v>
      </c>
      <c r="E18183" s="33" t="s">
        <v>18</v>
      </c>
      <c r="F18183" s="33" t="s">
        <v>19</v>
      </c>
      <c r="G18183" s="33" t="s">
        <v>20</v>
      </c>
      <c r="H18183" s="35">
        <v>554</v>
      </c>
      <c r="I18183" s="33" t="s">
        <v>21</v>
      </c>
      <c r="J18183" s="42">
        <v>45467</v>
      </c>
      <c r="K18183" s="33" t="s">
        <v>22</v>
      </c>
    </row>
    <row r="18184" spans="1:11">
      <c r="A18184" s="30" t="s">
        <v>40601</v>
      </c>
      <c r="B18184" s="30" t="s">
        <v>40602</v>
      </c>
      <c r="C18184" s="30" t="s">
        <v>21136</v>
      </c>
      <c r="D18184" s="30" t="s">
        <v>17</v>
      </c>
      <c r="E18184" s="30" t="s">
        <v>26</v>
      </c>
      <c r="F18184" s="30" t="s">
        <v>27</v>
      </c>
      <c r="G18184" s="30" t="s">
        <v>158</v>
      </c>
      <c r="H18184" s="32">
        <v>46</v>
      </c>
      <c r="I18184" s="30" t="s">
        <v>21</v>
      </c>
      <c r="J18184" s="41">
        <v>45402</v>
      </c>
      <c r="K18184" s="30" t="s">
        <v>22</v>
      </c>
    </row>
    <row r="18185" spans="1:11">
      <c r="A18185" s="33" t="s">
        <v>40603</v>
      </c>
      <c r="B18185" s="33" t="s">
        <v>40604</v>
      </c>
      <c r="C18185" s="33" t="s">
        <v>3610</v>
      </c>
      <c r="D18185" s="33" t="s">
        <v>17</v>
      </c>
      <c r="E18185" s="33" t="s">
        <v>18</v>
      </c>
      <c r="F18185" s="33" t="s">
        <v>19</v>
      </c>
      <c r="G18185" s="33" t="s">
        <v>140</v>
      </c>
      <c r="H18185" s="35">
        <v>480</v>
      </c>
      <c r="I18185" s="33" t="s">
        <v>51</v>
      </c>
      <c r="J18185" s="42">
        <v>45656</v>
      </c>
      <c r="K18185" s="33" t="s">
        <v>22</v>
      </c>
    </row>
    <row r="18186" spans="1:11">
      <c r="A18186" s="30" t="s">
        <v>40605</v>
      </c>
      <c r="B18186" s="30" t="s">
        <v>40606</v>
      </c>
      <c r="C18186" s="30" t="s">
        <v>93</v>
      </c>
      <c r="D18186" s="30" t="s">
        <v>17</v>
      </c>
      <c r="E18186" s="30" t="s">
        <v>18</v>
      </c>
      <c r="F18186" s="30" t="s">
        <v>19</v>
      </c>
      <c r="G18186" s="30" t="s">
        <v>140</v>
      </c>
      <c r="H18186" s="32">
        <v>496</v>
      </c>
      <c r="I18186" s="30" t="s">
        <v>51</v>
      </c>
      <c r="J18186" s="41">
        <v>45545</v>
      </c>
      <c r="K18186" s="30" t="s">
        <v>22</v>
      </c>
    </row>
    <row r="18187" spans="1:11">
      <c r="A18187" s="33" t="s">
        <v>40607</v>
      </c>
      <c r="B18187" s="33" t="s">
        <v>40608</v>
      </c>
      <c r="C18187" s="33" t="s">
        <v>426</v>
      </c>
      <c r="D18187" s="33" t="s">
        <v>17</v>
      </c>
      <c r="E18187" s="33" t="s">
        <v>67</v>
      </c>
      <c r="F18187" s="33" t="s">
        <v>68</v>
      </c>
      <c r="G18187" s="33" t="s">
        <v>140</v>
      </c>
      <c r="H18187" s="35">
        <v>40</v>
      </c>
      <c r="I18187" s="33" t="s">
        <v>51</v>
      </c>
      <c r="J18187" s="42">
        <v>45513</v>
      </c>
      <c r="K18187" s="33" t="s">
        <v>22</v>
      </c>
    </row>
    <row r="18188" spans="1:11">
      <c r="A18188" s="30" t="s">
        <v>40609</v>
      </c>
      <c r="B18188" s="30" t="s">
        <v>40610</v>
      </c>
      <c r="C18188" s="30" t="s">
        <v>136</v>
      </c>
      <c r="D18188" s="30" t="s">
        <v>17</v>
      </c>
      <c r="E18188" s="30" t="s">
        <v>18</v>
      </c>
      <c r="F18188" s="30" t="s">
        <v>19</v>
      </c>
      <c r="G18188" s="30" t="s">
        <v>20</v>
      </c>
      <c r="H18188" s="32">
        <v>281</v>
      </c>
      <c r="I18188" s="30" t="s">
        <v>21</v>
      </c>
      <c r="J18188" s="41">
        <v>45565</v>
      </c>
      <c r="K18188" s="30" t="s">
        <v>22</v>
      </c>
    </row>
    <row r="18189" spans="1:11">
      <c r="A18189" s="33" t="s">
        <v>40611</v>
      </c>
      <c r="B18189" s="33" t="s">
        <v>40612</v>
      </c>
      <c r="C18189" s="33" t="s">
        <v>4348</v>
      </c>
      <c r="D18189" s="33" t="s">
        <v>17</v>
      </c>
      <c r="E18189" s="33" t="s">
        <v>18</v>
      </c>
      <c r="F18189" s="33" t="s">
        <v>19</v>
      </c>
      <c r="G18189" s="33" t="s">
        <v>158</v>
      </c>
      <c r="H18189" s="35">
        <v>698</v>
      </c>
      <c r="I18189" s="33" t="s">
        <v>21</v>
      </c>
      <c r="J18189" s="42">
        <v>45429</v>
      </c>
      <c r="K18189" s="33" t="s">
        <v>22</v>
      </c>
    </row>
    <row r="18190" spans="1:11">
      <c r="A18190" s="30" t="s">
        <v>40613</v>
      </c>
      <c r="B18190" s="30" t="s">
        <v>40614</v>
      </c>
      <c r="C18190" s="30" t="s">
        <v>187</v>
      </c>
      <c r="D18190" s="30" t="s">
        <v>17</v>
      </c>
      <c r="E18190" s="30" t="s">
        <v>31</v>
      </c>
      <c r="F18190" s="30" t="s">
        <v>32</v>
      </c>
      <c r="G18190" s="30" t="s">
        <v>20</v>
      </c>
      <c r="H18190" s="32">
        <v>122</v>
      </c>
      <c r="I18190" s="30" t="s">
        <v>21</v>
      </c>
      <c r="J18190" s="41">
        <v>45610</v>
      </c>
      <c r="K18190" s="30" t="s">
        <v>22</v>
      </c>
    </row>
    <row r="18191" spans="1:11">
      <c r="A18191" s="33" t="s">
        <v>40615</v>
      </c>
      <c r="B18191" s="33" t="s">
        <v>40616</v>
      </c>
      <c r="C18191" s="33" t="s">
        <v>647</v>
      </c>
      <c r="D18191" s="33" t="s">
        <v>17</v>
      </c>
      <c r="E18191" s="33" t="s">
        <v>26</v>
      </c>
      <c r="F18191" s="33" t="s">
        <v>27</v>
      </c>
      <c r="G18191" s="33" t="s">
        <v>20</v>
      </c>
      <c r="H18191" s="35">
        <v>8</v>
      </c>
      <c r="I18191" s="33" t="s">
        <v>21</v>
      </c>
      <c r="J18191" s="42">
        <v>45554</v>
      </c>
      <c r="K18191" s="33" t="s">
        <v>22</v>
      </c>
    </row>
    <row r="18192" spans="1:11">
      <c r="A18192" s="30" t="s">
        <v>40617</v>
      </c>
      <c r="B18192" s="30" t="s">
        <v>40618</v>
      </c>
      <c r="C18192" s="30" t="s">
        <v>40619</v>
      </c>
      <c r="D18192" s="30" t="s">
        <v>17</v>
      </c>
      <c r="E18192" s="30" t="s">
        <v>26</v>
      </c>
      <c r="F18192" s="30" t="s">
        <v>27</v>
      </c>
      <c r="G18192" s="30" t="s">
        <v>140</v>
      </c>
      <c r="H18192" s="32">
        <v>186</v>
      </c>
      <c r="I18192" s="30" t="s">
        <v>51</v>
      </c>
      <c r="J18192" s="41">
        <v>45504</v>
      </c>
      <c r="K18192" s="30" t="s">
        <v>22</v>
      </c>
    </row>
    <row r="18193" spans="1:11">
      <c r="A18193" s="33" t="s">
        <v>40620</v>
      </c>
      <c r="B18193" s="33" t="s">
        <v>40621</v>
      </c>
      <c r="C18193" s="33" t="s">
        <v>1801</v>
      </c>
      <c r="D18193" s="33" t="s">
        <v>17</v>
      </c>
      <c r="E18193" s="33" t="s">
        <v>26</v>
      </c>
      <c r="F18193" s="33" t="s">
        <v>27</v>
      </c>
      <c r="G18193" s="33" t="s">
        <v>158</v>
      </c>
      <c r="H18193" s="35">
        <v>6</v>
      </c>
      <c r="I18193" s="33" t="s">
        <v>21</v>
      </c>
      <c r="J18193" s="42">
        <v>45582</v>
      </c>
      <c r="K18193" s="33" t="s">
        <v>22</v>
      </c>
    </row>
    <row r="18194" spans="1:11">
      <c r="A18194" s="30" t="s">
        <v>40622</v>
      </c>
      <c r="B18194" s="30" t="s">
        <v>40623</v>
      </c>
      <c r="C18194" s="30" t="s">
        <v>16391</v>
      </c>
      <c r="D18194" s="30" t="s">
        <v>17</v>
      </c>
      <c r="E18194" s="30" t="s">
        <v>67</v>
      </c>
      <c r="F18194" s="30" t="s">
        <v>68</v>
      </c>
      <c r="G18194" s="30" t="s">
        <v>140</v>
      </c>
      <c r="H18194" s="32">
        <v>30</v>
      </c>
      <c r="I18194" s="30" t="s">
        <v>51</v>
      </c>
      <c r="J18194" s="41">
        <v>45357</v>
      </c>
      <c r="K18194" s="30" t="s">
        <v>22</v>
      </c>
    </row>
    <row r="18195" spans="1:11">
      <c r="A18195" s="33" t="s">
        <v>40624</v>
      </c>
      <c r="B18195" s="33" t="s">
        <v>40625</v>
      </c>
      <c r="C18195" s="33" t="s">
        <v>18463</v>
      </c>
      <c r="D18195" s="33" t="s">
        <v>17</v>
      </c>
      <c r="E18195" s="33" t="s">
        <v>26</v>
      </c>
      <c r="F18195" s="33" t="s">
        <v>27</v>
      </c>
      <c r="G18195" s="33" t="s">
        <v>20</v>
      </c>
      <c r="H18195" s="35">
        <v>20</v>
      </c>
      <c r="I18195" s="33" t="s">
        <v>21</v>
      </c>
      <c r="J18195" s="42">
        <v>45323</v>
      </c>
      <c r="K18195" s="33" t="s">
        <v>22</v>
      </c>
    </row>
    <row r="18196" spans="1:11">
      <c r="A18196" s="30" t="s">
        <v>40626</v>
      </c>
      <c r="B18196" s="30" t="s">
        <v>40627</v>
      </c>
      <c r="C18196" s="30" t="s">
        <v>93</v>
      </c>
      <c r="D18196" s="30" t="s">
        <v>17</v>
      </c>
      <c r="E18196" s="30" t="s">
        <v>212</v>
      </c>
      <c r="F18196" s="30" t="s">
        <v>213</v>
      </c>
      <c r="G18196" s="30" t="s">
        <v>20</v>
      </c>
      <c r="H18196" s="32">
        <v>393</v>
      </c>
      <c r="I18196" s="30" t="s">
        <v>21</v>
      </c>
      <c r="J18196" s="41">
        <v>45422</v>
      </c>
      <c r="K18196" s="30" t="s">
        <v>22</v>
      </c>
    </row>
    <row r="18197" spans="1:11">
      <c r="A18197" s="33" t="s">
        <v>40628</v>
      </c>
      <c r="B18197" s="33" t="s">
        <v>40629</v>
      </c>
      <c r="C18197" s="33" t="s">
        <v>17501</v>
      </c>
      <c r="D18197" s="33" t="s">
        <v>17</v>
      </c>
      <c r="E18197" s="33" t="s">
        <v>26</v>
      </c>
      <c r="F18197" s="33" t="s">
        <v>27</v>
      </c>
      <c r="G18197" s="33" t="s">
        <v>20</v>
      </c>
      <c r="H18197" s="35">
        <v>69</v>
      </c>
      <c r="I18197" s="33" t="s">
        <v>21</v>
      </c>
      <c r="J18197" s="42">
        <v>45370</v>
      </c>
      <c r="K18197" s="33" t="s">
        <v>22</v>
      </c>
    </row>
    <row r="18198" spans="1:11">
      <c r="A18198" s="30" t="s">
        <v>40630</v>
      </c>
      <c r="B18198" s="30" t="s">
        <v>40631</v>
      </c>
      <c r="C18198" s="30" t="s">
        <v>30640</v>
      </c>
      <c r="D18198" s="30" t="s">
        <v>17</v>
      </c>
      <c r="E18198" s="30" t="s">
        <v>67</v>
      </c>
      <c r="F18198" s="30" t="s">
        <v>68</v>
      </c>
      <c r="G18198" s="30" t="s">
        <v>140</v>
      </c>
      <c r="H18198" s="32">
        <v>258</v>
      </c>
      <c r="I18198" s="30" t="s">
        <v>51</v>
      </c>
      <c r="J18198" s="41">
        <v>45589</v>
      </c>
      <c r="K18198" s="30" t="s">
        <v>22</v>
      </c>
    </row>
    <row r="18199" spans="1:11">
      <c r="A18199" s="33" t="s">
        <v>40632</v>
      </c>
      <c r="B18199" s="33" t="s">
        <v>40633</v>
      </c>
      <c r="C18199" s="33" t="s">
        <v>8554</v>
      </c>
      <c r="D18199" s="33" t="s">
        <v>17</v>
      </c>
      <c r="E18199" s="33" t="s">
        <v>18</v>
      </c>
      <c r="F18199" s="33" t="s">
        <v>19</v>
      </c>
      <c r="G18199" s="33" t="s">
        <v>158</v>
      </c>
      <c r="H18199" s="35">
        <v>228</v>
      </c>
      <c r="I18199" s="33" t="s">
        <v>51</v>
      </c>
      <c r="J18199" s="42">
        <v>45554</v>
      </c>
      <c r="K18199" s="33" t="s">
        <v>22</v>
      </c>
    </row>
    <row r="18200" spans="1:11">
      <c r="A18200" s="30" t="s">
        <v>40634</v>
      </c>
      <c r="B18200" s="30" t="s">
        <v>40635</v>
      </c>
      <c r="C18200" s="30" t="s">
        <v>2429</v>
      </c>
      <c r="D18200" s="30" t="s">
        <v>17</v>
      </c>
      <c r="E18200" s="30" t="s">
        <v>18</v>
      </c>
      <c r="F18200" s="30" t="s">
        <v>19</v>
      </c>
      <c r="G18200" s="30" t="s">
        <v>140</v>
      </c>
      <c r="H18200" s="32">
        <v>528</v>
      </c>
      <c r="I18200" s="30" t="s">
        <v>51</v>
      </c>
      <c r="J18200" s="41">
        <v>45413</v>
      </c>
      <c r="K18200" s="30" t="s">
        <v>22</v>
      </c>
    </row>
    <row r="18201" spans="1:11">
      <c r="A18201" s="33" t="s">
        <v>40636</v>
      </c>
      <c r="B18201" s="33" t="s">
        <v>40637</v>
      </c>
      <c r="C18201" s="33" t="s">
        <v>157</v>
      </c>
      <c r="D18201" s="33" t="s">
        <v>17</v>
      </c>
      <c r="E18201" s="33" t="s">
        <v>18</v>
      </c>
      <c r="F18201" s="33" t="s">
        <v>19</v>
      </c>
      <c r="G18201" s="33" t="s">
        <v>106</v>
      </c>
      <c r="H18201" s="35">
        <v>1</v>
      </c>
      <c r="I18201" s="33" t="s">
        <v>21</v>
      </c>
      <c r="J18201" s="42">
        <v>45407</v>
      </c>
      <c r="K18201" s="33" t="s">
        <v>22</v>
      </c>
    </row>
    <row r="18202" spans="1:11">
      <c r="A18202" s="30" t="s">
        <v>40638</v>
      </c>
      <c r="B18202" s="30" t="s">
        <v>40639</v>
      </c>
      <c r="C18202" s="30" t="s">
        <v>40640</v>
      </c>
      <c r="D18202" s="30" t="s">
        <v>17</v>
      </c>
      <c r="E18202" s="30" t="s">
        <v>67</v>
      </c>
      <c r="F18202" s="30" t="s">
        <v>68</v>
      </c>
      <c r="G18202" s="30" t="s">
        <v>140</v>
      </c>
      <c r="H18202" s="32">
        <v>298</v>
      </c>
      <c r="I18202" s="30" t="s">
        <v>51</v>
      </c>
      <c r="J18202" s="41">
        <v>45373</v>
      </c>
      <c r="K18202" s="30" t="s">
        <v>22</v>
      </c>
    </row>
    <row r="18203" spans="1:11">
      <c r="A18203" s="33" t="s">
        <v>40641</v>
      </c>
      <c r="B18203" s="33" t="s">
        <v>40642</v>
      </c>
      <c r="C18203" s="33" t="s">
        <v>20744</v>
      </c>
      <c r="D18203" s="33" t="s">
        <v>17</v>
      </c>
      <c r="E18203" s="33" t="s">
        <v>67</v>
      </c>
      <c r="F18203" s="33" t="s">
        <v>68</v>
      </c>
      <c r="G18203" s="33" t="s">
        <v>140</v>
      </c>
      <c r="H18203" s="35">
        <v>12</v>
      </c>
      <c r="I18203" s="33" t="s">
        <v>51</v>
      </c>
      <c r="J18203" s="42">
        <v>45520</v>
      </c>
      <c r="K18203" s="33" t="s">
        <v>22</v>
      </c>
    </row>
    <row r="18204" spans="1:11">
      <c r="A18204" s="30" t="s">
        <v>40643</v>
      </c>
      <c r="B18204" s="30" t="s">
        <v>40644</v>
      </c>
      <c r="C18204" s="30" t="s">
        <v>40645</v>
      </c>
      <c r="D18204" s="30" t="s">
        <v>17</v>
      </c>
      <c r="E18204" s="30" t="s">
        <v>31</v>
      </c>
      <c r="F18204" s="30" t="s">
        <v>32</v>
      </c>
      <c r="G18204" s="30" t="s">
        <v>140</v>
      </c>
      <c r="H18204" s="32">
        <v>90</v>
      </c>
      <c r="I18204" s="30" t="s">
        <v>51</v>
      </c>
      <c r="J18204" s="41">
        <v>45349</v>
      </c>
      <c r="K18204" s="30" t="s">
        <v>22</v>
      </c>
    </row>
    <row r="18205" spans="1:11">
      <c r="A18205" s="33" t="s">
        <v>40646</v>
      </c>
      <c r="B18205" s="33" t="s">
        <v>40647</v>
      </c>
      <c r="C18205" s="33" t="s">
        <v>510</v>
      </c>
      <c r="D18205" s="33" t="s">
        <v>17</v>
      </c>
      <c r="E18205" s="33" t="s">
        <v>26</v>
      </c>
      <c r="F18205" s="33" t="s">
        <v>27</v>
      </c>
      <c r="G18205" s="33" t="s">
        <v>20</v>
      </c>
      <c r="H18205" s="35">
        <v>16</v>
      </c>
      <c r="I18205" s="33" t="s">
        <v>21</v>
      </c>
      <c r="J18205" s="42">
        <v>45355</v>
      </c>
      <c r="K18205" s="33" t="s">
        <v>22</v>
      </c>
    </row>
    <row r="18206" spans="1:11">
      <c r="A18206" s="30" t="s">
        <v>40648</v>
      </c>
      <c r="B18206" s="30" t="s">
        <v>40649</v>
      </c>
      <c r="C18206" s="30" t="s">
        <v>12879</v>
      </c>
      <c r="D18206" s="30" t="s">
        <v>17</v>
      </c>
      <c r="E18206" s="30" t="s">
        <v>31</v>
      </c>
      <c r="F18206" s="30" t="s">
        <v>32</v>
      </c>
      <c r="G18206" s="30" t="s">
        <v>158</v>
      </c>
      <c r="H18206" s="32">
        <v>81</v>
      </c>
      <c r="I18206" s="30" t="s">
        <v>51</v>
      </c>
      <c r="J18206" s="41">
        <v>45637</v>
      </c>
      <c r="K18206" s="30" t="s">
        <v>22</v>
      </c>
    </row>
    <row r="18207" spans="1:11">
      <c r="A18207" s="33" t="s">
        <v>40650</v>
      </c>
      <c r="B18207" s="33" t="s">
        <v>40651</v>
      </c>
      <c r="C18207" s="33" t="s">
        <v>40652</v>
      </c>
      <c r="D18207" s="33" t="s">
        <v>17</v>
      </c>
      <c r="E18207" s="33" t="s">
        <v>31</v>
      </c>
      <c r="F18207" s="33" t="s">
        <v>32</v>
      </c>
      <c r="G18207" s="33" t="s">
        <v>140</v>
      </c>
      <c r="H18207" s="35">
        <v>96</v>
      </c>
      <c r="I18207" s="33" t="s">
        <v>51</v>
      </c>
      <c r="J18207" s="42">
        <v>45489</v>
      </c>
      <c r="K18207" s="33" t="s">
        <v>22</v>
      </c>
    </row>
    <row r="18208" spans="1:11">
      <c r="A18208" s="30" t="s">
        <v>40653</v>
      </c>
      <c r="B18208" s="30" t="s">
        <v>40654</v>
      </c>
      <c r="C18208" s="30" t="s">
        <v>2842</v>
      </c>
      <c r="D18208" s="30" t="s">
        <v>17</v>
      </c>
      <c r="E18208" s="30" t="s">
        <v>31</v>
      </c>
      <c r="F18208" s="30" t="s">
        <v>32</v>
      </c>
      <c r="G18208" s="30" t="s">
        <v>140</v>
      </c>
      <c r="H18208" s="32">
        <v>570</v>
      </c>
      <c r="I18208" s="30" t="s">
        <v>51</v>
      </c>
      <c r="J18208" s="41">
        <v>45617</v>
      </c>
      <c r="K18208" s="30" t="s">
        <v>22</v>
      </c>
    </row>
    <row r="18209" spans="1:11">
      <c r="A18209" s="33" t="s">
        <v>40655</v>
      </c>
      <c r="B18209" s="33" t="s">
        <v>40656</v>
      </c>
      <c r="C18209" s="33" t="s">
        <v>28153</v>
      </c>
      <c r="D18209" s="33" t="s">
        <v>17</v>
      </c>
      <c r="E18209" s="33" t="s">
        <v>67</v>
      </c>
      <c r="F18209" s="33" t="s">
        <v>68</v>
      </c>
      <c r="G18209" s="33" t="s">
        <v>140</v>
      </c>
      <c r="H18209" s="35">
        <v>252</v>
      </c>
      <c r="I18209" s="33" t="s">
        <v>51</v>
      </c>
      <c r="J18209" s="42">
        <v>45447</v>
      </c>
      <c r="K18209" s="33" t="s">
        <v>22</v>
      </c>
    </row>
    <row r="18210" spans="1:11">
      <c r="A18210" s="30" t="s">
        <v>40657</v>
      </c>
      <c r="B18210" s="30" t="s">
        <v>40658</v>
      </c>
      <c r="C18210" s="30" t="s">
        <v>2039</v>
      </c>
      <c r="D18210" s="30" t="s">
        <v>17</v>
      </c>
      <c r="E18210" s="30" t="s">
        <v>31</v>
      </c>
      <c r="F18210" s="30" t="s">
        <v>32</v>
      </c>
      <c r="G18210" s="30" t="s">
        <v>20</v>
      </c>
      <c r="H18210" s="32">
        <v>24</v>
      </c>
      <c r="I18210" s="30" t="s">
        <v>21</v>
      </c>
      <c r="J18210" s="41">
        <v>45307</v>
      </c>
      <c r="K18210" s="30" t="s">
        <v>22</v>
      </c>
    </row>
    <row r="18211" spans="1:11">
      <c r="A18211" s="33" t="s">
        <v>40659</v>
      </c>
      <c r="B18211" s="33" t="s">
        <v>40660</v>
      </c>
      <c r="C18211" s="33" t="s">
        <v>6336</v>
      </c>
      <c r="D18211" s="33" t="s">
        <v>17</v>
      </c>
      <c r="E18211" s="33" t="s">
        <v>18</v>
      </c>
      <c r="F18211" s="33" t="s">
        <v>19</v>
      </c>
      <c r="G18211" s="33" t="s">
        <v>140</v>
      </c>
      <c r="H18211" s="35">
        <v>363</v>
      </c>
      <c r="I18211" s="33" t="s">
        <v>51</v>
      </c>
      <c r="J18211" s="42">
        <v>45629</v>
      </c>
      <c r="K18211" s="33" t="s">
        <v>22</v>
      </c>
    </row>
    <row r="18212" spans="1:11">
      <c r="A18212" s="30" t="s">
        <v>40661</v>
      </c>
      <c r="B18212" s="30" t="s">
        <v>40662</v>
      </c>
      <c r="C18212" s="30" t="s">
        <v>18780</v>
      </c>
      <c r="D18212" s="30" t="s">
        <v>17</v>
      </c>
      <c r="E18212" s="30" t="s">
        <v>31</v>
      </c>
      <c r="F18212" s="30" t="s">
        <v>32</v>
      </c>
      <c r="G18212" s="30" t="s">
        <v>20</v>
      </c>
      <c r="H18212" s="32">
        <v>60</v>
      </c>
      <c r="I18212" s="30" t="s">
        <v>21</v>
      </c>
      <c r="J18212" s="41">
        <v>45462</v>
      </c>
      <c r="K18212" s="30" t="s">
        <v>22</v>
      </c>
    </row>
    <row r="18213" spans="1:11">
      <c r="A18213" s="33" t="s">
        <v>40663</v>
      </c>
      <c r="B18213" s="33" t="s">
        <v>40664</v>
      </c>
      <c r="C18213" s="33" t="s">
        <v>14816</v>
      </c>
      <c r="D18213" s="33" t="s">
        <v>17</v>
      </c>
      <c r="E18213" s="33" t="s">
        <v>26</v>
      </c>
      <c r="F18213" s="33" t="s">
        <v>27</v>
      </c>
      <c r="G18213" s="33" t="s">
        <v>20</v>
      </c>
      <c r="H18213" s="35">
        <v>18</v>
      </c>
      <c r="I18213" s="33" t="s">
        <v>21</v>
      </c>
      <c r="J18213" s="42">
        <v>45657</v>
      </c>
      <c r="K18213" s="33" t="s">
        <v>22</v>
      </c>
    </row>
    <row r="18214" spans="1:11">
      <c r="A18214" s="30" t="s">
        <v>40665</v>
      </c>
      <c r="B18214" s="30" t="s">
        <v>40666</v>
      </c>
      <c r="C18214" s="30" t="s">
        <v>718</v>
      </c>
      <c r="D18214" s="30" t="s">
        <v>17</v>
      </c>
      <c r="E18214" s="30" t="s">
        <v>45</v>
      </c>
      <c r="F18214" s="30" t="s">
        <v>46</v>
      </c>
      <c r="G18214" s="30" t="s">
        <v>2613</v>
      </c>
      <c r="H18214" s="32">
        <v>510</v>
      </c>
      <c r="I18214" s="30" t="s">
        <v>51</v>
      </c>
      <c r="J18214" s="41">
        <v>45561</v>
      </c>
      <c r="K18214" s="30" t="s">
        <v>22</v>
      </c>
    </row>
    <row r="18215" spans="1:11">
      <c r="A18215" s="33" t="s">
        <v>40667</v>
      </c>
      <c r="B18215" s="33" t="s">
        <v>40668</v>
      </c>
      <c r="C18215" s="33" t="s">
        <v>1857</v>
      </c>
      <c r="D18215" s="33" t="s">
        <v>17</v>
      </c>
      <c r="E18215" s="33" t="s">
        <v>330</v>
      </c>
      <c r="F18215" s="33" t="s">
        <v>331</v>
      </c>
      <c r="G18215" s="33" t="s">
        <v>7780</v>
      </c>
      <c r="H18215" s="35">
        <v>6</v>
      </c>
      <c r="I18215" s="33" t="s">
        <v>51</v>
      </c>
      <c r="J18215" s="42">
        <v>45608</v>
      </c>
      <c r="K18215" s="33" t="s">
        <v>22</v>
      </c>
    </row>
    <row r="18216" spans="1:11">
      <c r="A18216" s="30" t="s">
        <v>40669</v>
      </c>
      <c r="B18216" s="30" t="s">
        <v>40670</v>
      </c>
      <c r="C18216" s="30" t="s">
        <v>44</v>
      </c>
      <c r="D18216" s="30" t="s">
        <v>17</v>
      </c>
      <c r="E18216" s="30" t="s">
        <v>26</v>
      </c>
      <c r="F18216" s="30" t="s">
        <v>27</v>
      </c>
      <c r="G18216" s="30" t="s">
        <v>20</v>
      </c>
      <c r="H18216" s="32">
        <v>9</v>
      </c>
      <c r="I18216" s="30" t="s">
        <v>21</v>
      </c>
      <c r="J18216" s="41">
        <v>45433</v>
      </c>
      <c r="K18216" s="30" t="s">
        <v>22</v>
      </c>
    </row>
    <row r="18217" spans="1:11">
      <c r="A18217" s="33" t="s">
        <v>40671</v>
      </c>
      <c r="B18217" s="33" t="s">
        <v>40672</v>
      </c>
      <c r="C18217" s="33" t="s">
        <v>40673</v>
      </c>
      <c r="D18217" s="33" t="s">
        <v>17</v>
      </c>
      <c r="E18217" s="33" t="s">
        <v>67</v>
      </c>
      <c r="F18217" s="33" t="s">
        <v>68</v>
      </c>
      <c r="G18217" s="33" t="s">
        <v>140</v>
      </c>
      <c r="H18217" s="35">
        <v>31</v>
      </c>
      <c r="I18217" s="33" t="s">
        <v>51</v>
      </c>
      <c r="J18217" s="42">
        <v>45435</v>
      </c>
      <c r="K18217" s="33" t="s">
        <v>22</v>
      </c>
    </row>
    <row r="18218" spans="1:11">
      <c r="A18218" s="30" t="s">
        <v>40674</v>
      </c>
      <c r="B18218" s="30" t="s">
        <v>40675</v>
      </c>
      <c r="C18218" s="30" t="s">
        <v>3258</v>
      </c>
      <c r="D18218" s="30" t="s">
        <v>17</v>
      </c>
      <c r="E18218" s="30" t="s">
        <v>212</v>
      </c>
      <c r="F18218" s="30" t="s">
        <v>213</v>
      </c>
      <c r="G18218" s="30" t="s">
        <v>158</v>
      </c>
      <c r="H18218" s="32">
        <v>216</v>
      </c>
      <c r="I18218" s="30" t="s">
        <v>21</v>
      </c>
      <c r="J18218" s="41">
        <v>45504</v>
      </c>
      <c r="K18218" s="30" t="s">
        <v>22</v>
      </c>
    </row>
    <row r="18219" spans="1:11">
      <c r="A18219" s="33" t="s">
        <v>40676</v>
      </c>
      <c r="B18219" s="33" t="s">
        <v>40677</v>
      </c>
      <c r="C18219" s="33" t="s">
        <v>6470</v>
      </c>
      <c r="D18219" s="33" t="s">
        <v>17</v>
      </c>
      <c r="E18219" s="33" t="s">
        <v>18</v>
      </c>
      <c r="F18219" s="33" t="s">
        <v>19</v>
      </c>
      <c r="G18219" s="33" t="s">
        <v>140</v>
      </c>
      <c r="H18219" s="35">
        <v>406</v>
      </c>
      <c r="I18219" s="33" t="s">
        <v>51</v>
      </c>
      <c r="J18219" s="42">
        <v>45561</v>
      </c>
      <c r="K18219" s="33" t="s">
        <v>22</v>
      </c>
    </row>
    <row r="18220" spans="1:11">
      <c r="A18220" s="30" t="s">
        <v>40678</v>
      </c>
      <c r="B18220" s="30" t="s">
        <v>40679</v>
      </c>
      <c r="C18220" s="30" t="s">
        <v>93</v>
      </c>
      <c r="D18220" s="30" t="s">
        <v>17</v>
      </c>
      <c r="E18220" s="30" t="s">
        <v>26</v>
      </c>
      <c r="F18220" s="30" t="s">
        <v>27</v>
      </c>
      <c r="G18220" s="30" t="s">
        <v>158</v>
      </c>
      <c r="H18220" s="32">
        <v>60</v>
      </c>
      <c r="I18220" s="30" t="s">
        <v>21</v>
      </c>
      <c r="J18220" s="41">
        <v>45460</v>
      </c>
      <c r="K18220" s="30" t="s">
        <v>22</v>
      </c>
    </row>
    <row r="18221" spans="1:11">
      <c r="A18221" s="33" t="s">
        <v>40680</v>
      </c>
      <c r="B18221" s="33" t="s">
        <v>40681</v>
      </c>
      <c r="C18221" s="33" t="s">
        <v>8987</v>
      </c>
      <c r="D18221" s="33" t="s">
        <v>17</v>
      </c>
      <c r="E18221" s="33" t="s">
        <v>67</v>
      </c>
      <c r="F18221" s="33" t="s">
        <v>68</v>
      </c>
      <c r="G18221" s="33" t="s">
        <v>158</v>
      </c>
      <c r="H18221" s="35">
        <v>60</v>
      </c>
      <c r="I18221" s="33" t="s">
        <v>51</v>
      </c>
      <c r="J18221" s="42">
        <v>45581</v>
      </c>
      <c r="K18221" s="33" t="s">
        <v>22</v>
      </c>
    </row>
    <row r="18222" spans="1:11">
      <c r="A18222" s="30" t="s">
        <v>40682</v>
      </c>
      <c r="B18222" s="30" t="s">
        <v>40683</v>
      </c>
      <c r="C18222" s="30" t="s">
        <v>15107</v>
      </c>
      <c r="D18222" s="30" t="s">
        <v>17</v>
      </c>
      <c r="E18222" s="30" t="s">
        <v>31</v>
      </c>
      <c r="F18222" s="30" t="s">
        <v>32</v>
      </c>
      <c r="G18222" s="30" t="s">
        <v>50</v>
      </c>
      <c r="H18222" s="32">
        <v>50</v>
      </c>
      <c r="I18222" s="30" t="s">
        <v>51</v>
      </c>
      <c r="J18222" s="41">
        <v>45383</v>
      </c>
      <c r="K18222" s="30" t="s">
        <v>22</v>
      </c>
    </row>
    <row r="18223" spans="1:11">
      <c r="A18223" s="33" t="s">
        <v>40684</v>
      </c>
      <c r="B18223" s="33" t="s">
        <v>40685</v>
      </c>
      <c r="C18223" s="33" t="s">
        <v>271</v>
      </c>
      <c r="D18223" s="33" t="s">
        <v>17</v>
      </c>
      <c r="E18223" s="33" t="s">
        <v>31</v>
      </c>
      <c r="F18223" s="33" t="s">
        <v>32</v>
      </c>
      <c r="G18223" s="33" t="s">
        <v>140</v>
      </c>
      <c r="H18223" s="35">
        <v>58</v>
      </c>
      <c r="I18223" s="33" t="s">
        <v>51</v>
      </c>
      <c r="J18223" s="42">
        <v>45404</v>
      </c>
      <c r="K18223" s="33" t="s">
        <v>22</v>
      </c>
    </row>
    <row r="18224" spans="1:11">
      <c r="A18224" s="30" t="s">
        <v>40686</v>
      </c>
      <c r="B18224" s="30" t="s">
        <v>40687</v>
      </c>
      <c r="C18224" s="30" t="s">
        <v>2812</v>
      </c>
      <c r="D18224" s="30" t="s">
        <v>17</v>
      </c>
      <c r="E18224" s="30" t="s">
        <v>18</v>
      </c>
      <c r="F18224" s="30" t="s">
        <v>19</v>
      </c>
      <c r="G18224" s="30" t="s">
        <v>140</v>
      </c>
      <c r="H18224" s="32">
        <v>450</v>
      </c>
      <c r="I18224" s="30" t="s">
        <v>51</v>
      </c>
      <c r="J18224" s="41">
        <v>45408</v>
      </c>
      <c r="K18224" s="30" t="s">
        <v>22</v>
      </c>
    </row>
    <row r="18225" spans="1:11">
      <c r="A18225" s="33" t="s">
        <v>40688</v>
      </c>
      <c r="B18225" s="33" t="s">
        <v>40689</v>
      </c>
      <c r="C18225" s="33" t="s">
        <v>318</v>
      </c>
      <c r="D18225" s="33" t="s">
        <v>17</v>
      </c>
      <c r="E18225" s="33" t="s">
        <v>26</v>
      </c>
      <c r="F18225" s="33" t="s">
        <v>27</v>
      </c>
      <c r="G18225" s="33" t="s">
        <v>158</v>
      </c>
      <c r="H18225" s="35">
        <v>21</v>
      </c>
      <c r="I18225" s="33" t="s">
        <v>21</v>
      </c>
      <c r="J18225" s="42">
        <v>45581</v>
      </c>
      <c r="K18225" s="33" t="s">
        <v>22</v>
      </c>
    </row>
    <row r="18226" spans="1:11">
      <c r="A18226" s="30" t="s">
        <v>40690</v>
      </c>
      <c r="B18226" s="30" t="s">
        <v>40691</v>
      </c>
      <c r="C18226" s="30" t="s">
        <v>21791</v>
      </c>
      <c r="D18226" s="30" t="s">
        <v>17</v>
      </c>
      <c r="E18226" s="30" t="s">
        <v>67</v>
      </c>
      <c r="F18226" s="30" t="s">
        <v>68</v>
      </c>
      <c r="G18226" s="30" t="s">
        <v>50</v>
      </c>
      <c r="H18226" s="32">
        <v>24</v>
      </c>
      <c r="I18226" s="30" t="s">
        <v>51</v>
      </c>
      <c r="J18226" s="41">
        <v>45436</v>
      </c>
      <c r="K18226" s="30" t="s">
        <v>22</v>
      </c>
    </row>
    <row r="18227" spans="1:11">
      <c r="A18227" s="33" t="s">
        <v>40692</v>
      </c>
      <c r="B18227" s="33" t="s">
        <v>40693</v>
      </c>
      <c r="C18227" s="33" t="s">
        <v>310</v>
      </c>
      <c r="D18227" s="33" t="s">
        <v>17</v>
      </c>
      <c r="E18227" s="33" t="s">
        <v>31</v>
      </c>
      <c r="F18227" s="33" t="s">
        <v>32</v>
      </c>
      <c r="G18227" s="33" t="s">
        <v>140</v>
      </c>
      <c r="H18227" s="35">
        <v>465</v>
      </c>
      <c r="I18227" s="33" t="s">
        <v>51</v>
      </c>
      <c r="J18227" s="42">
        <v>45628</v>
      </c>
      <c r="K18227" s="33" t="s">
        <v>22</v>
      </c>
    </row>
    <row r="18228" spans="1:11">
      <c r="A18228" s="30" t="s">
        <v>40694</v>
      </c>
      <c r="B18228" s="30" t="s">
        <v>40695</v>
      </c>
      <c r="C18228" s="30" t="s">
        <v>5043</v>
      </c>
      <c r="D18228" s="30" t="s">
        <v>17</v>
      </c>
      <c r="E18228" s="30" t="s">
        <v>67</v>
      </c>
      <c r="F18228" s="30" t="s">
        <v>68</v>
      </c>
      <c r="G18228" s="30" t="s">
        <v>140</v>
      </c>
      <c r="H18228" s="32">
        <v>150</v>
      </c>
      <c r="I18228" s="30" t="s">
        <v>51</v>
      </c>
      <c r="J18228" s="41">
        <v>45356</v>
      </c>
      <c r="K18228" s="30" t="s">
        <v>22</v>
      </c>
    </row>
    <row r="18229" spans="1:11">
      <c r="A18229" s="33" t="s">
        <v>40696</v>
      </c>
      <c r="B18229" s="33" t="s">
        <v>40697</v>
      </c>
      <c r="C18229" s="33" t="s">
        <v>1090</v>
      </c>
      <c r="D18229" s="33" t="s">
        <v>17</v>
      </c>
      <c r="E18229" s="33" t="s">
        <v>45</v>
      </c>
      <c r="F18229" s="33" t="s">
        <v>46</v>
      </c>
      <c r="G18229" s="33" t="s">
        <v>7780</v>
      </c>
      <c r="H18229" s="35">
        <v>884</v>
      </c>
      <c r="I18229" s="33" t="s">
        <v>51</v>
      </c>
      <c r="J18229" s="42">
        <v>45548</v>
      </c>
      <c r="K18229" s="33" t="s">
        <v>22</v>
      </c>
    </row>
    <row r="18230" spans="1:11">
      <c r="A18230" s="30" t="s">
        <v>40698</v>
      </c>
      <c r="B18230" s="30" t="s">
        <v>40699</v>
      </c>
      <c r="C18230" s="30" t="s">
        <v>30622</v>
      </c>
      <c r="D18230" s="30" t="s">
        <v>17</v>
      </c>
      <c r="E18230" s="30" t="s">
        <v>330</v>
      </c>
      <c r="F18230" s="30" t="s">
        <v>331</v>
      </c>
      <c r="G18230" s="30" t="s">
        <v>140</v>
      </c>
      <c r="H18230" s="32">
        <v>5</v>
      </c>
      <c r="I18230" s="30" t="s">
        <v>51</v>
      </c>
      <c r="J18230" s="41">
        <v>45537</v>
      </c>
      <c r="K18230" s="30" t="s">
        <v>22</v>
      </c>
    </row>
    <row r="18231" spans="1:11">
      <c r="A18231" s="33" t="s">
        <v>40700</v>
      </c>
      <c r="B18231" s="33" t="s">
        <v>40701</v>
      </c>
      <c r="C18231" s="33" t="s">
        <v>5251</v>
      </c>
      <c r="D18231" s="33" t="s">
        <v>17</v>
      </c>
      <c r="E18231" s="33" t="s">
        <v>18</v>
      </c>
      <c r="F18231" s="33" t="s">
        <v>19</v>
      </c>
      <c r="G18231" s="33" t="s">
        <v>20</v>
      </c>
      <c r="H18231" s="35">
        <v>519</v>
      </c>
      <c r="I18231" s="33" t="s">
        <v>21</v>
      </c>
      <c r="J18231" s="42">
        <v>45313</v>
      </c>
      <c r="K18231" s="33" t="s">
        <v>22</v>
      </c>
    </row>
    <row r="18232" spans="1:11">
      <c r="A18232" s="30" t="s">
        <v>40702</v>
      </c>
      <c r="B18232" s="30" t="s">
        <v>40703</v>
      </c>
      <c r="C18232" s="30" t="s">
        <v>15585</v>
      </c>
      <c r="D18232" s="30" t="s">
        <v>17</v>
      </c>
      <c r="E18232" s="30" t="s">
        <v>26</v>
      </c>
      <c r="F18232" s="30" t="s">
        <v>27</v>
      </c>
      <c r="G18232" s="30" t="s">
        <v>140</v>
      </c>
      <c r="H18232" s="32">
        <v>60</v>
      </c>
      <c r="I18232" s="30" t="s">
        <v>51</v>
      </c>
      <c r="J18232" s="41">
        <v>45650</v>
      </c>
      <c r="K18232" s="30" t="s">
        <v>22</v>
      </c>
    </row>
    <row r="18233" spans="1:11">
      <c r="A18233" s="33" t="s">
        <v>40704</v>
      </c>
      <c r="B18233" s="33" t="s">
        <v>40705</v>
      </c>
      <c r="C18233" s="33" t="s">
        <v>491</v>
      </c>
      <c r="D18233" s="33" t="s">
        <v>17</v>
      </c>
      <c r="E18233" s="33" t="s">
        <v>31</v>
      </c>
      <c r="F18233" s="33" t="s">
        <v>32</v>
      </c>
      <c r="G18233" s="33" t="s">
        <v>158</v>
      </c>
      <c r="H18233" s="35">
        <v>93</v>
      </c>
      <c r="I18233" s="33" t="s">
        <v>21</v>
      </c>
      <c r="J18233" s="42">
        <v>45295</v>
      </c>
      <c r="K18233" s="33" t="s">
        <v>22</v>
      </c>
    </row>
    <row r="18234" spans="1:11">
      <c r="A18234" s="30" t="s">
        <v>40706</v>
      </c>
      <c r="B18234" s="30" t="s">
        <v>40707</v>
      </c>
      <c r="C18234" s="30" t="s">
        <v>1598</v>
      </c>
      <c r="D18234" s="30" t="s">
        <v>17</v>
      </c>
      <c r="E18234" s="30" t="s">
        <v>67</v>
      </c>
      <c r="F18234" s="30" t="s">
        <v>68</v>
      </c>
      <c r="G18234" s="30" t="s">
        <v>20</v>
      </c>
      <c r="H18234" s="32">
        <v>36</v>
      </c>
      <c r="I18234" s="30" t="s">
        <v>21</v>
      </c>
      <c r="J18234" s="41">
        <v>45363</v>
      </c>
      <c r="K18234" s="30" t="s">
        <v>22</v>
      </c>
    </row>
    <row r="18235" spans="1:11">
      <c r="A18235" s="33" t="s">
        <v>40708</v>
      </c>
      <c r="B18235" s="33" t="s">
        <v>40709</v>
      </c>
      <c r="C18235" s="33" t="s">
        <v>5452</v>
      </c>
      <c r="D18235" s="33" t="s">
        <v>17</v>
      </c>
      <c r="E18235" s="33" t="s">
        <v>31</v>
      </c>
      <c r="F18235" s="33" t="s">
        <v>32</v>
      </c>
      <c r="G18235" s="33" t="s">
        <v>50</v>
      </c>
      <c r="H18235" s="35">
        <v>150</v>
      </c>
      <c r="I18235" s="33" t="s">
        <v>51</v>
      </c>
      <c r="J18235" s="42">
        <v>45425</v>
      </c>
      <c r="K18235" s="33" t="s">
        <v>22</v>
      </c>
    </row>
    <row r="18236" spans="1:11">
      <c r="A18236" s="30" t="s">
        <v>40710</v>
      </c>
      <c r="B18236" s="30" t="s">
        <v>40711</v>
      </c>
      <c r="C18236" s="30" t="s">
        <v>647</v>
      </c>
      <c r="D18236" s="30" t="s">
        <v>17</v>
      </c>
      <c r="E18236" s="30" t="s">
        <v>67</v>
      </c>
      <c r="F18236" s="30" t="s">
        <v>68</v>
      </c>
      <c r="G18236" s="30" t="s">
        <v>20</v>
      </c>
      <c r="H18236" s="32">
        <v>13</v>
      </c>
      <c r="I18236" s="30" t="s">
        <v>21</v>
      </c>
      <c r="J18236" s="41">
        <v>45350</v>
      </c>
      <c r="K18236" s="30" t="s">
        <v>22</v>
      </c>
    </row>
    <row r="18237" spans="1:11">
      <c r="A18237" s="33" t="s">
        <v>40712</v>
      </c>
      <c r="B18237" s="33" t="s">
        <v>40713</v>
      </c>
      <c r="C18237" s="33" t="s">
        <v>149</v>
      </c>
      <c r="D18237" s="33" t="s">
        <v>17</v>
      </c>
      <c r="E18237" s="33" t="s">
        <v>26</v>
      </c>
      <c r="F18237" s="33" t="s">
        <v>27</v>
      </c>
      <c r="G18237" s="33" t="s">
        <v>50</v>
      </c>
      <c r="H18237" s="35">
        <v>18</v>
      </c>
      <c r="I18237" s="33" t="s">
        <v>51</v>
      </c>
      <c r="J18237" s="42">
        <v>45383</v>
      </c>
      <c r="K18237" s="33" t="s">
        <v>22</v>
      </c>
    </row>
    <row r="18238" spans="1:11">
      <c r="A18238" s="30" t="s">
        <v>40714</v>
      </c>
      <c r="B18238" s="30" t="s">
        <v>40715</v>
      </c>
      <c r="C18238" s="30" t="s">
        <v>40716</v>
      </c>
      <c r="D18238" s="30" t="s">
        <v>17</v>
      </c>
      <c r="E18238" s="30" t="s">
        <v>212</v>
      </c>
      <c r="F18238" s="30" t="s">
        <v>213</v>
      </c>
      <c r="G18238" s="30" t="s">
        <v>140</v>
      </c>
      <c r="H18238" s="32">
        <v>224</v>
      </c>
      <c r="I18238" s="30" t="s">
        <v>51</v>
      </c>
      <c r="J18238" s="41">
        <v>45441</v>
      </c>
      <c r="K18238" s="30" t="s">
        <v>22</v>
      </c>
    </row>
    <row r="18239" spans="1:11">
      <c r="A18239" s="33" t="s">
        <v>40717</v>
      </c>
      <c r="B18239" s="33" t="s">
        <v>40718</v>
      </c>
      <c r="C18239" s="33" t="s">
        <v>9900</v>
      </c>
      <c r="D18239" s="33" t="s">
        <v>17</v>
      </c>
      <c r="E18239" s="33" t="s">
        <v>26</v>
      </c>
      <c r="F18239" s="33" t="s">
        <v>27</v>
      </c>
      <c r="G18239" s="33" t="s">
        <v>20</v>
      </c>
      <c r="H18239" s="35">
        <v>40</v>
      </c>
      <c r="I18239" s="33" t="s">
        <v>21</v>
      </c>
      <c r="J18239" s="42">
        <v>45495</v>
      </c>
      <c r="K18239" s="33" t="s">
        <v>22</v>
      </c>
    </row>
    <row r="18240" spans="1:11">
      <c r="A18240" s="30" t="s">
        <v>40719</v>
      </c>
      <c r="B18240" s="30" t="s">
        <v>40720</v>
      </c>
      <c r="C18240" s="30" t="s">
        <v>2196</v>
      </c>
      <c r="D18240" s="30" t="s">
        <v>17</v>
      </c>
      <c r="E18240" s="30" t="s">
        <v>18</v>
      </c>
      <c r="F18240" s="30" t="s">
        <v>19</v>
      </c>
      <c r="G18240" s="30" t="s">
        <v>140</v>
      </c>
      <c r="H18240" s="32">
        <v>316</v>
      </c>
      <c r="I18240" s="30" t="s">
        <v>51</v>
      </c>
      <c r="J18240" s="41">
        <v>45408</v>
      </c>
      <c r="K18240" s="30" t="s">
        <v>22</v>
      </c>
    </row>
    <row r="18241" spans="1:11">
      <c r="A18241" s="33" t="s">
        <v>40721</v>
      </c>
      <c r="B18241" s="33" t="s">
        <v>40722</v>
      </c>
      <c r="C18241" s="33" t="s">
        <v>6460</v>
      </c>
      <c r="D18241" s="33" t="s">
        <v>17</v>
      </c>
      <c r="E18241" s="33" t="s">
        <v>26</v>
      </c>
      <c r="F18241" s="33" t="s">
        <v>27</v>
      </c>
      <c r="G18241" s="33" t="s">
        <v>140</v>
      </c>
      <c r="H18241" s="35">
        <v>18</v>
      </c>
      <c r="I18241" s="33" t="s">
        <v>51</v>
      </c>
      <c r="J18241" s="42">
        <v>45324</v>
      </c>
      <c r="K18241" s="33" t="s">
        <v>22</v>
      </c>
    </row>
    <row r="18242" spans="1:11">
      <c r="A18242" s="30" t="s">
        <v>40723</v>
      </c>
      <c r="B18242" s="30" t="s">
        <v>40724</v>
      </c>
      <c r="C18242" s="30" t="s">
        <v>647</v>
      </c>
      <c r="D18242" s="30" t="s">
        <v>17</v>
      </c>
      <c r="E18242" s="30" t="s">
        <v>26</v>
      </c>
      <c r="F18242" s="30" t="s">
        <v>27</v>
      </c>
      <c r="G18242" s="30" t="s">
        <v>20</v>
      </c>
      <c r="H18242" s="32">
        <v>20</v>
      </c>
      <c r="I18242" s="30" t="s">
        <v>21</v>
      </c>
      <c r="J18242" s="41">
        <v>45555</v>
      </c>
      <c r="K18242" s="30" t="s">
        <v>22</v>
      </c>
    </row>
    <row r="18243" spans="1:11">
      <c r="A18243" s="33" t="s">
        <v>40725</v>
      </c>
      <c r="B18243" s="33" t="s">
        <v>40726</v>
      </c>
      <c r="C18243" s="33" t="s">
        <v>310</v>
      </c>
      <c r="D18243" s="33" t="s">
        <v>17</v>
      </c>
      <c r="E18243" s="33" t="s">
        <v>18</v>
      </c>
      <c r="F18243" s="33" t="s">
        <v>19</v>
      </c>
      <c r="G18243" s="33" t="s">
        <v>20</v>
      </c>
      <c r="H18243" s="35">
        <v>189</v>
      </c>
      <c r="I18243" s="33" t="s">
        <v>21</v>
      </c>
      <c r="J18243" s="42">
        <v>45370</v>
      </c>
      <c r="K18243" s="33" t="s">
        <v>22</v>
      </c>
    </row>
    <row r="18244" spans="1:11">
      <c r="A18244" s="30" t="s">
        <v>40727</v>
      </c>
      <c r="B18244" s="30" t="s">
        <v>40728</v>
      </c>
      <c r="C18244" s="30" t="s">
        <v>20773</v>
      </c>
      <c r="D18244" s="30" t="s">
        <v>17</v>
      </c>
      <c r="E18244" s="30" t="s">
        <v>26</v>
      </c>
      <c r="F18244" s="30" t="s">
        <v>27</v>
      </c>
      <c r="G18244" s="30" t="s">
        <v>7780</v>
      </c>
      <c r="H18244" s="32">
        <v>16</v>
      </c>
      <c r="I18244" s="30" t="s">
        <v>51</v>
      </c>
      <c r="J18244" s="41">
        <v>45514</v>
      </c>
      <c r="K18244" s="30" t="s">
        <v>22</v>
      </c>
    </row>
    <row r="18245" spans="1:11">
      <c r="A18245" s="33" t="s">
        <v>40729</v>
      </c>
      <c r="B18245" s="33" t="s">
        <v>40730</v>
      </c>
      <c r="C18245" s="33" t="s">
        <v>14684</v>
      </c>
      <c r="D18245" s="33" t="s">
        <v>17</v>
      </c>
      <c r="E18245" s="33" t="s">
        <v>26</v>
      </c>
      <c r="F18245" s="33" t="s">
        <v>27</v>
      </c>
      <c r="G18245" s="33" t="s">
        <v>106</v>
      </c>
      <c r="H18245" s="35">
        <v>5</v>
      </c>
      <c r="I18245" s="33" t="s">
        <v>21</v>
      </c>
      <c r="J18245" s="42">
        <v>45344</v>
      </c>
      <c r="K18245" s="33" t="s">
        <v>22</v>
      </c>
    </row>
    <row r="18246" spans="1:11">
      <c r="A18246" s="30" t="s">
        <v>40731</v>
      </c>
      <c r="B18246" s="30" t="s">
        <v>40732</v>
      </c>
      <c r="C18246" s="30" t="s">
        <v>40733</v>
      </c>
      <c r="D18246" s="30" t="s">
        <v>17</v>
      </c>
      <c r="E18246" s="30" t="s">
        <v>26</v>
      </c>
      <c r="F18246" s="30" t="s">
        <v>27</v>
      </c>
      <c r="G18246" s="30" t="s">
        <v>140</v>
      </c>
      <c r="H18246" s="32">
        <v>15</v>
      </c>
      <c r="I18246" s="30" t="s">
        <v>51</v>
      </c>
      <c r="J18246" s="41">
        <v>45390</v>
      </c>
      <c r="K18246" s="30" t="s">
        <v>22</v>
      </c>
    </row>
    <row r="18247" spans="1:11">
      <c r="A18247" s="33" t="s">
        <v>40734</v>
      </c>
      <c r="B18247" s="33" t="s">
        <v>40735</v>
      </c>
      <c r="C18247" s="33" t="s">
        <v>87</v>
      </c>
      <c r="D18247" s="33" t="s">
        <v>17</v>
      </c>
      <c r="E18247" s="33" t="s">
        <v>31</v>
      </c>
      <c r="F18247" s="33" t="s">
        <v>32</v>
      </c>
      <c r="G18247" s="33" t="s">
        <v>7780</v>
      </c>
      <c r="H18247" s="35">
        <v>100</v>
      </c>
      <c r="I18247" s="33" t="s">
        <v>51</v>
      </c>
      <c r="J18247" s="42">
        <v>45627</v>
      </c>
      <c r="K18247" s="33" t="s">
        <v>22</v>
      </c>
    </row>
    <row r="18248" spans="1:11">
      <c r="A18248" s="30" t="s">
        <v>40736</v>
      </c>
      <c r="B18248" s="30" t="s">
        <v>40737</v>
      </c>
      <c r="C18248" s="30" t="s">
        <v>136</v>
      </c>
      <c r="D18248" s="30" t="s">
        <v>17</v>
      </c>
      <c r="E18248" s="30" t="s">
        <v>26</v>
      </c>
      <c r="F18248" s="30" t="s">
        <v>27</v>
      </c>
      <c r="G18248" s="30" t="s">
        <v>20</v>
      </c>
      <c r="H18248" s="32">
        <v>85</v>
      </c>
      <c r="I18248" s="30" t="s">
        <v>21</v>
      </c>
      <c r="J18248" s="41">
        <v>45371</v>
      </c>
      <c r="K18248" s="30" t="s">
        <v>22</v>
      </c>
    </row>
    <row r="18249" spans="1:11">
      <c r="A18249" s="33" t="s">
        <v>40738</v>
      </c>
      <c r="B18249" s="33" t="s">
        <v>40739</v>
      </c>
      <c r="C18249" s="33" t="s">
        <v>2490</v>
      </c>
      <c r="D18249" s="33" t="s">
        <v>17</v>
      </c>
      <c r="E18249" s="33" t="s">
        <v>26</v>
      </c>
      <c r="F18249" s="33" t="s">
        <v>27</v>
      </c>
      <c r="G18249" s="33" t="s">
        <v>140</v>
      </c>
      <c r="H18249" s="35">
        <v>102</v>
      </c>
      <c r="I18249" s="33" t="s">
        <v>51</v>
      </c>
      <c r="J18249" s="42">
        <v>45363</v>
      </c>
      <c r="K18249" s="33" t="s">
        <v>22</v>
      </c>
    </row>
    <row r="18250" spans="1:11">
      <c r="A18250" s="30" t="s">
        <v>40740</v>
      </c>
      <c r="B18250" s="30" t="s">
        <v>40741</v>
      </c>
      <c r="C18250" s="30" t="s">
        <v>22383</v>
      </c>
      <c r="D18250" s="30" t="s">
        <v>17</v>
      </c>
      <c r="E18250" s="30" t="s">
        <v>26</v>
      </c>
      <c r="F18250" s="30" t="s">
        <v>27</v>
      </c>
      <c r="G18250" s="30" t="s">
        <v>20</v>
      </c>
      <c r="H18250" s="32">
        <v>45</v>
      </c>
      <c r="I18250" s="30" t="s">
        <v>21</v>
      </c>
      <c r="J18250" s="41">
        <v>45313</v>
      </c>
      <c r="K18250" s="30" t="s">
        <v>22</v>
      </c>
    </row>
    <row r="18251" spans="1:11">
      <c r="A18251" s="33" t="s">
        <v>40742</v>
      </c>
      <c r="B18251" s="33" t="s">
        <v>40743</v>
      </c>
      <c r="C18251" s="33" t="s">
        <v>32821</v>
      </c>
      <c r="D18251" s="33" t="s">
        <v>17</v>
      </c>
      <c r="E18251" s="33" t="s">
        <v>31</v>
      </c>
      <c r="F18251" s="33" t="s">
        <v>32</v>
      </c>
      <c r="G18251" s="33" t="s">
        <v>20</v>
      </c>
      <c r="H18251" s="35">
        <v>10</v>
      </c>
      <c r="I18251" s="33" t="s">
        <v>21</v>
      </c>
      <c r="J18251" s="42">
        <v>45478</v>
      </c>
      <c r="K18251" s="33" t="s">
        <v>22</v>
      </c>
    </row>
    <row r="18252" spans="1:11">
      <c r="A18252" s="30" t="s">
        <v>40744</v>
      </c>
      <c r="B18252" s="30" t="s">
        <v>40745</v>
      </c>
      <c r="C18252" s="30" t="s">
        <v>2323</v>
      </c>
      <c r="D18252" s="30" t="s">
        <v>17</v>
      </c>
      <c r="E18252" s="30" t="s">
        <v>31</v>
      </c>
      <c r="F18252" s="30" t="s">
        <v>32</v>
      </c>
      <c r="G18252" s="30" t="s">
        <v>140</v>
      </c>
      <c r="H18252" s="32">
        <v>30</v>
      </c>
      <c r="I18252" s="30" t="s">
        <v>51</v>
      </c>
      <c r="J18252" s="41">
        <v>45562</v>
      </c>
      <c r="K18252" s="30" t="s">
        <v>22</v>
      </c>
    </row>
    <row r="18253" spans="1:11">
      <c r="A18253" s="33" t="s">
        <v>40746</v>
      </c>
      <c r="B18253" s="33" t="s">
        <v>40747</v>
      </c>
      <c r="C18253" s="33" t="s">
        <v>5144</v>
      </c>
      <c r="D18253" s="33" t="s">
        <v>17</v>
      </c>
      <c r="E18253" s="33" t="s">
        <v>26</v>
      </c>
      <c r="F18253" s="33" t="s">
        <v>27</v>
      </c>
      <c r="G18253" s="33" t="s">
        <v>20</v>
      </c>
      <c r="H18253" s="35">
        <v>40</v>
      </c>
      <c r="I18253" s="33" t="s">
        <v>21</v>
      </c>
      <c r="J18253" s="42">
        <v>45594</v>
      </c>
      <c r="K18253" s="33" t="s">
        <v>22</v>
      </c>
    </row>
    <row r="18254" spans="1:11">
      <c r="A18254" s="30" t="s">
        <v>40748</v>
      </c>
      <c r="B18254" s="30" t="s">
        <v>40749</v>
      </c>
      <c r="C18254" s="30" t="s">
        <v>969</v>
      </c>
      <c r="D18254" s="30" t="s">
        <v>17</v>
      </c>
      <c r="E18254" s="30" t="s">
        <v>18</v>
      </c>
      <c r="F18254" s="30" t="s">
        <v>19</v>
      </c>
      <c r="G18254" s="30" t="s">
        <v>20</v>
      </c>
      <c r="H18254" s="32">
        <v>2620</v>
      </c>
      <c r="I18254" s="30" t="s">
        <v>21</v>
      </c>
      <c r="J18254" s="41">
        <v>45509</v>
      </c>
      <c r="K18254" s="30" t="s">
        <v>22</v>
      </c>
    </row>
    <row r="18255" spans="1:11">
      <c r="A18255" s="33" t="s">
        <v>40750</v>
      </c>
      <c r="B18255" s="33" t="s">
        <v>40751</v>
      </c>
      <c r="C18255" s="33" t="s">
        <v>96</v>
      </c>
      <c r="D18255" s="33" t="s">
        <v>17</v>
      </c>
      <c r="E18255" s="33" t="s">
        <v>26</v>
      </c>
      <c r="F18255" s="33" t="s">
        <v>27</v>
      </c>
      <c r="G18255" s="33" t="s">
        <v>20</v>
      </c>
      <c r="H18255" s="35">
        <v>144</v>
      </c>
      <c r="I18255" s="33" t="s">
        <v>21</v>
      </c>
      <c r="J18255" s="42">
        <v>45602</v>
      </c>
      <c r="K18255" s="33" t="s">
        <v>22</v>
      </c>
    </row>
    <row r="18256" spans="1:11">
      <c r="A18256" s="30" t="s">
        <v>40752</v>
      </c>
      <c r="B18256" s="30" t="s">
        <v>40753</v>
      </c>
      <c r="C18256" s="30" t="s">
        <v>4484</v>
      </c>
      <c r="D18256" s="30" t="s">
        <v>17</v>
      </c>
      <c r="E18256" s="30" t="s">
        <v>31</v>
      </c>
      <c r="F18256" s="30" t="s">
        <v>32</v>
      </c>
      <c r="G18256" s="30" t="s">
        <v>20</v>
      </c>
      <c r="H18256" s="32">
        <v>102</v>
      </c>
      <c r="I18256" s="30" t="s">
        <v>21</v>
      </c>
      <c r="J18256" s="41">
        <v>45433</v>
      </c>
      <c r="K18256" s="30" t="s">
        <v>22</v>
      </c>
    </row>
    <row r="18257" spans="1:11">
      <c r="A18257" s="33" t="s">
        <v>40754</v>
      </c>
      <c r="B18257" s="33" t="s">
        <v>40755</v>
      </c>
      <c r="C18257" s="33" t="s">
        <v>190</v>
      </c>
      <c r="D18257" s="33" t="s">
        <v>17</v>
      </c>
      <c r="E18257" s="33" t="s">
        <v>18</v>
      </c>
      <c r="F18257" s="33" t="s">
        <v>19</v>
      </c>
      <c r="G18257" s="33" t="s">
        <v>140</v>
      </c>
      <c r="H18257" s="35">
        <v>620</v>
      </c>
      <c r="I18257" s="33" t="s">
        <v>51</v>
      </c>
      <c r="J18257" s="42">
        <v>45516</v>
      </c>
      <c r="K18257" s="33" t="s">
        <v>22</v>
      </c>
    </row>
    <row r="18258" spans="1:11">
      <c r="A18258" s="30" t="s">
        <v>40756</v>
      </c>
      <c r="B18258" s="30" t="s">
        <v>40757</v>
      </c>
      <c r="C18258" s="30" t="s">
        <v>1823</v>
      </c>
      <c r="D18258" s="30" t="s">
        <v>17</v>
      </c>
      <c r="E18258" s="30" t="s">
        <v>67</v>
      </c>
      <c r="F18258" s="30" t="s">
        <v>68</v>
      </c>
      <c r="G18258" s="30" t="s">
        <v>112</v>
      </c>
      <c r="H18258" s="32">
        <v>0</v>
      </c>
      <c r="I18258" s="30" t="s">
        <v>21</v>
      </c>
      <c r="J18258" s="41">
        <v>45292</v>
      </c>
      <c r="K18258" s="30" t="s">
        <v>22</v>
      </c>
    </row>
    <row r="18259" spans="1:11">
      <c r="A18259" s="33" t="s">
        <v>40758</v>
      </c>
      <c r="B18259" s="33" t="s">
        <v>40759</v>
      </c>
      <c r="C18259" s="33" t="s">
        <v>39506</v>
      </c>
      <c r="D18259" s="33" t="s">
        <v>17</v>
      </c>
      <c r="E18259" s="33" t="s">
        <v>26</v>
      </c>
      <c r="F18259" s="33" t="s">
        <v>27</v>
      </c>
      <c r="G18259" s="33" t="s">
        <v>20</v>
      </c>
      <c r="H18259" s="35">
        <v>14</v>
      </c>
      <c r="I18259" s="33" t="s">
        <v>21</v>
      </c>
      <c r="J18259" s="42">
        <v>45609</v>
      </c>
      <c r="K18259" s="33" t="s">
        <v>22</v>
      </c>
    </row>
    <row r="18260" spans="1:11">
      <c r="A18260" s="30" t="s">
        <v>40760</v>
      </c>
      <c r="B18260" s="30" t="s">
        <v>40761</v>
      </c>
      <c r="C18260" s="30" t="s">
        <v>40762</v>
      </c>
      <c r="D18260" s="30" t="s">
        <v>17</v>
      </c>
      <c r="E18260" s="30" t="s">
        <v>26</v>
      </c>
      <c r="F18260" s="30" t="s">
        <v>27</v>
      </c>
      <c r="G18260" s="30" t="s">
        <v>106</v>
      </c>
      <c r="H18260" s="32">
        <v>18</v>
      </c>
      <c r="I18260" s="30" t="s">
        <v>21</v>
      </c>
      <c r="J18260" s="41">
        <v>45573</v>
      </c>
      <c r="K18260" s="30" t="s">
        <v>22</v>
      </c>
    </row>
    <row r="18261" spans="1:11">
      <c r="A18261" s="33" t="s">
        <v>40763</v>
      </c>
      <c r="B18261" s="33" t="s">
        <v>40764</v>
      </c>
      <c r="C18261" s="33" t="s">
        <v>362</v>
      </c>
      <c r="D18261" s="33" t="s">
        <v>17</v>
      </c>
      <c r="E18261" s="33" t="s">
        <v>18</v>
      </c>
      <c r="F18261" s="33" t="s">
        <v>19</v>
      </c>
      <c r="G18261" s="33" t="s">
        <v>140</v>
      </c>
      <c r="H18261" s="35">
        <v>546</v>
      </c>
      <c r="I18261" s="33" t="s">
        <v>51</v>
      </c>
      <c r="J18261" s="42">
        <v>45544</v>
      </c>
      <c r="K18261" s="33" t="s">
        <v>22</v>
      </c>
    </row>
    <row r="18262" spans="1:11">
      <c r="A18262" s="30" t="s">
        <v>40765</v>
      </c>
      <c r="B18262" s="30" t="s">
        <v>40766</v>
      </c>
      <c r="C18262" s="30" t="s">
        <v>40767</v>
      </c>
      <c r="D18262" s="30" t="s">
        <v>17</v>
      </c>
      <c r="E18262" s="30" t="s">
        <v>31</v>
      </c>
      <c r="F18262" s="30" t="s">
        <v>32</v>
      </c>
      <c r="G18262" s="30" t="s">
        <v>20</v>
      </c>
      <c r="H18262" s="32">
        <v>78</v>
      </c>
      <c r="I18262" s="30" t="s">
        <v>21</v>
      </c>
      <c r="J18262" s="41">
        <v>45448</v>
      </c>
      <c r="K18262" s="30" t="s">
        <v>22</v>
      </c>
    </row>
    <row r="18263" spans="1:11">
      <c r="A18263" s="33" t="s">
        <v>40768</v>
      </c>
      <c r="B18263" s="33" t="s">
        <v>40769</v>
      </c>
      <c r="C18263" s="33" t="s">
        <v>644</v>
      </c>
      <c r="D18263" s="33" t="s">
        <v>17</v>
      </c>
      <c r="E18263" s="33" t="s">
        <v>31</v>
      </c>
      <c r="F18263" s="33" t="s">
        <v>32</v>
      </c>
      <c r="G18263" s="33" t="s">
        <v>112</v>
      </c>
      <c r="H18263" s="35">
        <v>0</v>
      </c>
      <c r="I18263" s="33" t="s">
        <v>21</v>
      </c>
      <c r="J18263" s="42">
        <v>45646</v>
      </c>
      <c r="K18263" s="33" t="s">
        <v>22</v>
      </c>
    </row>
    <row r="18264" spans="1:11">
      <c r="A18264" s="30" t="s">
        <v>40770</v>
      </c>
      <c r="B18264" s="30" t="s">
        <v>40771</v>
      </c>
      <c r="C18264" s="30" t="s">
        <v>3698</v>
      </c>
      <c r="D18264" s="30" t="s">
        <v>17</v>
      </c>
      <c r="E18264" s="30" t="s">
        <v>212</v>
      </c>
      <c r="F18264" s="30" t="s">
        <v>213</v>
      </c>
      <c r="G18264" s="30" t="s">
        <v>158</v>
      </c>
      <c r="H18264" s="32">
        <v>37</v>
      </c>
      <c r="I18264" s="30" t="s">
        <v>21</v>
      </c>
      <c r="J18264" s="41">
        <v>45645</v>
      </c>
      <c r="K18264" s="30" t="s">
        <v>22</v>
      </c>
    </row>
    <row r="18265" spans="1:11">
      <c r="A18265" s="33" t="s">
        <v>40772</v>
      </c>
      <c r="B18265" s="33" t="s">
        <v>40773</v>
      </c>
      <c r="C18265" s="33" t="s">
        <v>34560</v>
      </c>
      <c r="D18265" s="33" t="s">
        <v>17</v>
      </c>
      <c r="E18265" s="33" t="s">
        <v>18</v>
      </c>
      <c r="F18265" s="33" t="s">
        <v>19</v>
      </c>
      <c r="G18265" s="33" t="s">
        <v>20</v>
      </c>
      <c r="H18265" s="35">
        <v>289</v>
      </c>
      <c r="I18265" s="33" t="s">
        <v>21</v>
      </c>
      <c r="J18265" s="42">
        <v>45511</v>
      </c>
      <c r="K18265" s="33" t="s">
        <v>22</v>
      </c>
    </row>
    <row r="18266" spans="1:11">
      <c r="A18266" s="30" t="s">
        <v>40774</v>
      </c>
      <c r="B18266" s="30" t="s">
        <v>40775</v>
      </c>
      <c r="C18266" s="30" t="s">
        <v>93</v>
      </c>
      <c r="D18266" s="30" t="s">
        <v>17</v>
      </c>
      <c r="E18266" s="30" t="s">
        <v>26</v>
      </c>
      <c r="F18266" s="30" t="s">
        <v>27</v>
      </c>
      <c r="G18266" s="30" t="s">
        <v>106</v>
      </c>
      <c r="H18266" s="32">
        <v>20</v>
      </c>
      <c r="I18266" s="30" t="s">
        <v>21</v>
      </c>
      <c r="J18266" s="41">
        <v>45588</v>
      </c>
      <c r="K18266" s="30" t="s">
        <v>22</v>
      </c>
    </row>
    <row r="18267" spans="1:11">
      <c r="A18267" s="33" t="s">
        <v>40776</v>
      </c>
      <c r="B18267" s="33" t="s">
        <v>40777</v>
      </c>
      <c r="C18267" s="33" t="s">
        <v>1908</v>
      </c>
      <c r="D18267" s="33" t="s">
        <v>17</v>
      </c>
      <c r="E18267" s="33" t="s">
        <v>26</v>
      </c>
      <c r="F18267" s="33" t="s">
        <v>27</v>
      </c>
      <c r="G18267" s="33" t="s">
        <v>140</v>
      </c>
      <c r="H18267" s="35">
        <v>40</v>
      </c>
      <c r="I18267" s="33" t="s">
        <v>51</v>
      </c>
      <c r="J18267" s="42">
        <v>45489</v>
      </c>
      <c r="K18267" s="33" t="s">
        <v>22</v>
      </c>
    </row>
    <row r="18268" spans="1:11">
      <c r="A18268" s="30" t="s">
        <v>40778</v>
      </c>
      <c r="B18268" s="30" t="s">
        <v>40779</v>
      </c>
      <c r="C18268" s="30" t="s">
        <v>5842</v>
      </c>
      <c r="D18268" s="30" t="s">
        <v>17</v>
      </c>
      <c r="E18268" s="30" t="s">
        <v>26</v>
      </c>
      <c r="F18268" s="30" t="s">
        <v>27</v>
      </c>
      <c r="G18268" s="30" t="s">
        <v>20</v>
      </c>
      <c r="H18268" s="32">
        <v>40</v>
      </c>
      <c r="I18268" s="30" t="s">
        <v>21</v>
      </c>
      <c r="J18268" s="41">
        <v>45504</v>
      </c>
      <c r="K18268" s="30" t="s">
        <v>22</v>
      </c>
    </row>
    <row r="18269" spans="1:11">
      <c r="A18269" s="33" t="s">
        <v>40780</v>
      </c>
      <c r="B18269" s="33" t="s">
        <v>40781</v>
      </c>
      <c r="C18269" s="33" t="s">
        <v>149</v>
      </c>
      <c r="D18269" s="33" t="s">
        <v>17</v>
      </c>
      <c r="E18269" s="33" t="s">
        <v>26</v>
      </c>
      <c r="F18269" s="33" t="s">
        <v>27</v>
      </c>
      <c r="G18269" s="33" t="s">
        <v>20</v>
      </c>
      <c r="H18269" s="35">
        <v>24</v>
      </c>
      <c r="I18269" s="33" t="s">
        <v>21</v>
      </c>
      <c r="J18269" s="42">
        <v>45295</v>
      </c>
      <c r="K18269" s="33" t="s">
        <v>22</v>
      </c>
    </row>
    <row r="18270" spans="1:11">
      <c r="A18270" s="30" t="s">
        <v>40782</v>
      </c>
      <c r="B18270" s="30" t="s">
        <v>40783</v>
      </c>
      <c r="C18270" s="30" t="s">
        <v>1151</v>
      </c>
      <c r="D18270" s="30" t="s">
        <v>17</v>
      </c>
      <c r="E18270" s="30" t="s">
        <v>18</v>
      </c>
      <c r="F18270" s="30" t="s">
        <v>19</v>
      </c>
      <c r="G18270" s="30" t="s">
        <v>158</v>
      </c>
      <c r="H18270" s="32">
        <v>311</v>
      </c>
      <c r="I18270" s="30" t="s">
        <v>21</v>
      </c>
      <c r="J18270" s="41">
        <v>45496</v>
      </c>
      <c r="K18270" s="30" t="s">
        <v>22</v>
      </c>
    </row>
    <row r="18271" spans="1:11">
      <c r="A18271" s="33" t="s">
        <v>40784</v>
      </c>
      <c r="B18271" s="33" t="s">
        <v>40785</v>
      </c>
      <c r="C18271" s="33" t="s">
        <v>57</v>
      </c>
      <c r="D18271" s="33" t="s">
        <v>17</v>
      </c>
      <c r="E18271" s="33" t="s">
        <v>26</v>
      </c>
      <c r="F18271" s="33" t="s">
        <v>27</v>
      </c>
      <c r="G18271" s="33" t="s">
        <v>7780</v>
      </c>
      <c r="H18271" s="35">
        <v>34</v>
      </c>
      <c r="I18271" s="33" t="s">
        <v>51</v>
      </c>
      <c r="J18271" s="42">
        <v>45591</v>
      </c>
      <c r="K18271" s="33" t="s">
        <v>22</v>
      </c>
    </row>
    <row r="18272" spans="1:11">
      <c r="A18272" s="30" t="s">
        <v>40786</v>
      </c>
      <c r="B18272" s="30" t="s">
        <v>40787</v>
      </c>
      <c r="C18272" s="30" t="s">
        <v>40788</v>
      </c>
      <c r="D18272" s="30" t="s">
        <v>17</v>
      </c>
      <c r="E18272" s="30" t="s">
        <v>26</v>
      </c>
      <c r="F18272" s="30" t="s">
        <v>27</v>
      </c>
      <c r="G18272" s="30" t="s">
        <v>140</v>
      </c>
      <c r="H18272" s="32">
        <v>48</v>
      </c>
      <c r="I18272" s="30" t="s">
        <v>51</v>
      </c>
      <c r="J18272" s="41">
        <v>45595</v>
      </c>
      <c r="K18272" s="30" t="s">
        <v>22</v>
      </c>
    </row>
    <row r="18273" spans="1:11">
      <c r="A18273" s="33" t="s">
        <v>40789</v>
      </c>
      <c r="B18273" s="33" t="s">
        <v>40790</v>
      </c>
      <c r="C18273" s="33" t="s">
        <v>25444</v>
      </c>
      <c r="D18273" s="33" t="s">
        <v>17</v>
      </c>
      <c r="E18273" s="33" t="s">
        <v>67</v>
      </c>
      <c r="F18273" s="33" t="s">
        <v>68</v>
      </c>
      <c r="G18273" s="33" t="s">
        <v>140</v>
      </c>
      <c r="H18273" s="35">
        <v>36</v>
      </c>
      <c r="I18273" s="33" t="s">
        <v>51</v>
      </c>
      <c r="J18273" s="42">
        <v>45632</v>
      </c>
      <c r="K18273" s="33" t="s">
        <v>22</v>
      </c>
    </row>
    <row r="18274" spans="1:11">
      <c r="A18274" s="30" t="s">
        <v>40791</v>
      </c>
      <c r="B18274" s="30" t="s">
        <v>40792</v>
      </c>
      <c r="C18274" s="30" t="s">
        <v>203</v>
      </c>
      <c r="D18274" s="30" t="s">
        <v>17</v>
      </c>
      <c r="E18274" s="30" t="s">
        <v>26</v>
      </c>
      <c r="F18274" s="30" t="s">
        <v>27</v>
      </c>
      <c r="G18274" s="30" t="s">
        <v>158</v>
      </c>
      <c r="H18274" s="32">
        <v>144</v>
      </c>
      <c r="I18274" s="30" t="s">
        <v>21</v>
      </c>
      <c r="J18274" s="41">
        <v>45517</v>
      </c>
      <c r="K18274" s="30" t="s">
        <v>22</v>
      </c>
    </row>
    <row r="18275" spans="1:11">
      <c r="A18275" s="33" t="s">
        <v>40793</v>
      </c>
      <c r="B18275" s="33" t="s">
        <v>40794</v>
      </c>
      <c r="C18275" s="33" t="s">
        <v>149</v>
      </c>
      <c r="D18275" s="33" t="s">
        <v>17</v>
      </c>
      <c r="E18275" s="33" t="s">
        <v>26</v>
      </c>
      <c r="F18275" s="33" t="s">
        <v>27</v>
      </c>
      <c r="G18275" s="33" t="s">
        <v>20</v>
      </c>
      <c r="H18275" s="35">
        <v>6</v>
      </c>
      <c r="I18275" s="33" t="s">
        <v>21</v>
      </c>
      <c r="J18275" s="42">
        <v>45450</v>
      </c>
      <c r="K18275" s="33" t="s">
        <v>22</v>
      </c>
    </row>
    <row r="18276" spans="1:11">
      <c r="A18276" s="30" t="s">
        <v>40795</v>
      </c>
      <c r="B18276" s="30" t="s">
        <v>40796</v>
      </c>
      <c r="C18276" s="30" t="s">
        <v>23852</v>
      </c>
      <c r="D18276" s="30" t="s">
        <v>17</v>
      </c>
      <c r="E18276" s="30" t="s">
        <v>18</v>
      </c>
      <c r="F18276" s="30" t="s">
        <v>19</v>
      </c>
      <c r="G18276" s="30" t="s">
        <v>158</v>
      </c>
      <c r="H18276" s="32">
        <v>546</v>
      </c>
      <c r="I18276" s="30" t="s">
        <v>21</v>
      </c>
      <c r="J18276" s="41">
        <v>45505</v>
      </c>
      <c r="K18276" s="30" t="s">
        <v>22</v>
      </c>
    </row>
    <row r="18277" spans="1:11">
      <c r="A18277" s="33" t="s">
        <v>40797</v>
      </c>
      <c r="B18277" s="33" t="s">
        <v>40798</v>
      </c>
      <c r="C18277" s="33" t="s">
        <v>30173</v>
      </c>
      <c r="D18277" s="33" t="s">
        <v>17</v>
      </c>
      <c r="E18277" s="33" t="s">
        <v>31</v>
      </c>
      <c r="F18277" s="33" t="s">
        <v>32</v>
      </c>
      <c r="G18277" s="33" t="s">
        <v>158</v>
      </c>
      <c r="H18277" s="35">
        <v>30</v>
      </c>
      <c r="I18277" s="33" t="s">
        <v>51</v>
      </c>
      <c r="J18277" s="42">
        <v>45639</v>
      </c>
      <c r="K18277" s="33" t="s">
        <v>22</v>
      </c>
    </row>
    <row r="18278" spans="1:11">
      <c r="A18278" s="30" t="s">
        <v>40799</v>
      </c>
      <c r="B18278" s="30" t="s">
        <v>40800</v>
      </c>
      <c r="C18278" s="30" t="s">
        <v>715</v>
      </c>
      <c r="D18278" s="30" t="s">
        <v>17</v>
      </c>
      <c r="E18278" s="30" t="s">
        <v>26</v>
      </c>
      <c r="F18278" s="30" t="s">
        <v>27</v>
      </c>
      <c r="G18278" s="30" t="s">
        <v>106</v>
      </c>
      <c r="H18278" s="32">
        <v>15</v>
      </c>
      <c r="I18278" s="30" t="s">
        <v>21</v>
      </c>
      <c r="J18278" s="41">
        <v>45427</v>
      </c>
      <c r="K18278" s="30" t="s">
        <v>22</v>
      </c>
    </row>
    <row r="18279" spans="1:11">
      <c r="A18279" s="33" t="s">
        <v>40801</v>
      </c>
      <c r="B18279" s="33" t="s">
        <v>40802</v>
      </c>
      <c r="C18279" s="33" t="s">
        <v>5144</v>
      </c>
      <c r="D18279" s="33" t="s">
        <v>17</v>
      </c>
      <c r="E18279" s="33" t="s">
        <v>18</v>
      </c>
      <c r="F18279" s="33" t="s">
        <v>19</v>
      </c>
      <c r="G18279" s="33" t="s">
        <v>140</v>
      </c>
      <c r="H18279" s="35">
        <v>429</v>
      </c>
      <c r="I18279" s="33" t="s">
        <v>51</v>
      </c>
      <c r="J18279" s="42">
        <v>45316</v>
      </c>
      <c r="K18279" s="33" t="s">
        <v>22</v>
      </c>
    </row>
    <row r="18280" spans="1:11">
      <c r="A18280" s="30" t="s">
        <v>40803</v>
      </c>
      <c r="B18280" s="30" t="s">
        <v>40804</v>
      </c>
      <c r="C18280" s="30" t="s">
        <v>31562</v>
      </c>
      <c r="D18280" s="30" t="s">
        <v>17</v>
      </c>
      <c r="E18280" s="30" t="s">
        <v>31</v>
      </c>
      <c r="F18280" s="30" t="s">
        <v>32</v>
      </c>
      <c r="G18280" s="30" t="s">
        <v>140</v>
      </c>
      <c r="H18280" s="32">
        <v>220</v>
      </c>
      <c r="I18280" s="30" t="s">
        <v>51</v>
      </c>
      <c r="J18280" s="41">
        <v>45328</v>
      </c>
      <c r="K18280" s="30" t="s">
        <v>22</v>
      </c>
    </row>
    <row r="18281" spans="1:11">
      <c r="A18281" s="33" t="s">
        <v>40805</v>
      </c>
      <c r="B18281" s="33" t="s">
        <v>40806</v>
      </c>
      <c r="C18281" s="33" t="s">
        <v>136</v>
      </c>
      <c r="D18281" s="33" t="s">
        <v>17</v>
      </c>
      <c r="E18281" s="33" t="s">
        <v>26</v>
      </c>
      <c r="F18281" s="33" t="s">
        <v>27</v>
      </c>
      <c r="G18281" s="33" t="s">
        <v>158</v>
      </c>
      <c r="H18281" s="35">
        <v>302</v>
      </c>
      <c r="I18281" s="33" t="s">
        <v>51</v>
      </c>
      <c r="J18281" s="42">
        <v>45540</v>
      </c>
      <c r="K18281" s="33" t="s">
        <v>22</v>
      </c>
    </row>
    <row r="18282" spans="1:11">
      <c r="A18282" s="30" t="s">
        <v>40807</v>
      </c>
      <c r="B18282" s="30" t="s">
        <v>40808</v>
      </c>
      <c r="C18282" s="30" t="s">
        <v>40809</v>
      </c>
      <c r="D18282" s="30" t="s">
        <v>17</v>
      </c>
      <c r="E18282" s="30" t="s">
        <v>31</v>
      </c>
      <c r="F18282" s="30" t="s">
        <v>32</v>
      </c>
      <c r="G18282" s="30" t="s">
        <v>158</v>
      </c>
      <c r="H18282" s="32">
        <v>90</v>
      </c>
      <c r="I18282" s="30" t="s">
        <v>51</v>
      </c>
      <c r="J18282" s="41">
        <v>45321</v>
      </c>
      <c r="K18282" s="30" t="s">
        <v>22</v>
      </c>
    </row>
    <row r="18283" spans="1:11">
      <c r="A18283" s="33" t="s">
        <v>40810</v>
      </c>
      <c r="B18283" s="33" t="s">
        <v>40811</v>
      </c>
      <c r="C18283" s="33" t="s">
        <v>40812</v>
      </c>
      <c r="D18283" s="33" t="s">
        <v>17</v>
      </c>
      <c r="E18283" s="33" t="s">
        <v>67</v>
      </c>
      <c r="F18283" s="33" t="s">
        <v>68</v>
      </c>
      <c r="G18283" s="33" t="s">
        <v>140</v>
      </c>
      <c r="H18283" s="35">
        <v>41</v>
      </c>
      <c r="I18283" s="33" t="s">
        <v>51</v>
      </c>
      <c r="J18283" s="42">
        <v>45387</v>
      </c>
      <c r="K18283" s="33" t="s">
        <v>22</v>
      </c>
    </row>
    <row r="18284" spans="1:11">
      <c r="A18284" s="30" t="s">
        <v>40813</v>
      </c>
      <c r="B18284" s="30" t="s">
        <v>40814</v>
      </c>
      <c r="C18284" s="30" t="s">
        <v>5488</v>
      </c>
      <c r="D18284" s="30" t="s">
        <v>17</v>
      </c>
      <c r="E18284" s="30" t="s">
        <v>31</v>
      </c>
      <c r="F18284" s="30" t="s">
        <v>32</v>
      </c>
      <c r="G18284" s="30" t="s">
        <v>158</v>
      </c>
      <c r="H18284" s="32">
        <v>60</v>
      </c>
      <c r="I18284" s="30" t="s">
        <v>51</v>
      </c>
      <c r="J18284" s="41">
        <v>45355</v>
      </c>
      <c r="K18284" s="30" t="s">
        <v>22</v>
      </c>
    </row>
    <row r="18285" spans="1:11">
      <c r="A18285" s="33" t="s">
        <v>40815</v>
      </c>
      <c r="B18285" s="33" t="s">
        <v>40816</v>
      </c>
      <c r="C18285" s="33" t="s">
        <v>7449</v>
      </c>
      <c r="D18285" s="33" t="s">
        <v>17</v>
      </c>
      <c r="E18285" s="33" t="s">
        <v>26</v>
      </c>
      <c r="F18285" s="33" t="s">
        <v>27</v>
      </c>
      <c r="G18285" s="33" t="s">
        <v>158</v>
      </c>
      <c r="H18285" s="35">
        <v>10</v>
      </c>
      <c r="I18285" s="33" t="s">
        <v>21</v>
      </c>
      <c r="J18285" s="42">
        <v>45555</v>
      </c>
      <c r="K18285" s="33" t="s">
        <v>22</v>
      </c>
    </row>
    <row r="18286" spans="1:11">
      <c r="A18286" s="30" t="s">
        <v>40817</v>
      </c>
      <c r="B18286" s="30" t="s">
        <v>40818</v>
      </c>
      <c r="C18286" s="30" t="s">
        <v>136</v>
      </c>
      <c r="D18286" s="30" t="s">
        <v>17</v>
      </c>
      <c r="E18286" s="30" t="s">
        <v>26</v>
      </c>
      <c r="F18286" s="30" t="s">
        <v>27</v>
      </c>
      <c r="G18286" s="30" t="s">
        <v>20</v>
      </c>
      <c r="H18286" s="32">
        <v>15</v>
      </c>
      <c r="I18286" s="30" t="s">
        <v>21</v>
      </c>
      <c r="J18286" s="41">
        <v>45593</v>
      </c>
      <c r="K18286" s="30" t="s">
        <v>22</v>
      </c>
    </row>
    <row r="18287" spans="1:11">
      <c r="A18287" s="33" t="s">
        <v>40819</v>
      </c>
      <c r="B18287" s="33" t="s">
        <v>40820</v>
      </c>
      <c r="C18287" s="33" t="s">
        <v>9728</v>
      </c>
      <c r="D18287" s="33" t="s">
        <v>17</v>
      </c>
      <c r="E18287" s="33" t="s">
        <v>18</v>
      </c>
      <c r="F18287" s="33" t="s">
        <v>19</v>
      </c>
      <c r="G18287" s="33" t="s">
        <v>7780</v>
      </c>
      <c r="H18287" s="35">
        <v>450</v>
      </c>
      <c r="I18287" s="33" t="s">
        <v>51</v>
      </c>
      <c r="J18287" s="42">
        <v>45596</v>
      </c>
      <c r="K18287" s="33" t="s">
        <v>22</v>
      </c>
    </row>
    <row r="18288" spans="1:11">
      <c r="A18288" s="30" t="s">
        <v>40821</v>
      </c>
      <c r="B18288" s="30" t="s">
        <v>40822</v>
      </c>
      <c r="C18288" s="30" t="s">
        <v>12277</v>
      </c>
      <c r="D18288" s="30" t="s">
        <v>17</v>
      </c>
      <c r="E18288" s="30" t="s">
        <v>31</v>
      </c>
      <c r="F18288" s="30" t="s">
        <v>32</v>
      </c>
      <c r="G18288" s="30" t="s">
        <v>20</v>
      </c>
      <c r="H18288" s="32">
        <v>36</v>
      </c>
      <c r="I18288" s="30" t="s">
        <v>21</v>
      </c>
      <c r="J18288" s="41">
        <v>45403</v>
      </c>
      <c r="K18288" s="30" t="s">
        <v>22</v>
      </c>
    </row>
    <row r="18289" spans="1:11">
      <c r="A18289" s="33" t="s">
        <v>40823</v>
      </c>
      <c r="B18289" s="33" t="s">
        <v>40824</v>
      </c>
      <c r="C18289" s="33" t="s">
        <v>13241</v>
      </c>
      <c r="D18289" s="33" t="s">
        <v>17</v>
      </c>
      <c r="E18289" s="33" t="s">
        <v>31</v>
      </c>
      <c r="F18289" s="33" t="s">
        <v>32</v>
      </c>
      <c r="G18289" s="33" t="s">
        <v>140</v>
      </c>
      <c r="H18289" s="35">
        <v>100</v>
      </c>
      <c r="I18289" s="33" t="s">
        <v>51</v>
      </c>
      <c r="J18289" s="42">
        <v>45611</v>
      </c>
      <c r="K18289" s="33" t="s">
        <v>22</v>
      </c>
    </row>
    <row r="18290" spans="1:11">
      <c r="A18290" s="30" t="s">
        <v>40825</v>
      </c>
      <c r="B18290" s="30" t="s">
        <v>40826</v>
      </c>
      <c r="C18290" s="30" t="s">
        <v>795</v>
      </c>
      <c r="D18290" s="30" t="s">
        <v>17</v>
      </c>
      <c r="E18290" s="30" t="s">
        <v>67</v>
      </c>
      <c r="F18290" s="30" t="s">
        <v>68</v>
      </c>
      <c r="G18290" s="30" t="s">
        <v>106</v>
      </c>
      <c r="H18290" s="32">
        <v>33</v>
      </c>
      <c r="I18290" s="30" t="s">
        <v>21</v>
      </c>
      <c r="J18290" s="41">
        <v>45294</v>
      </c>
      <c r="K18290" s="30" t="s">
        <v>22</v>
      </c>
    </row>
    <row r="18291" spans="1:11">
      <c r="A18291" s="33" t="s">
        <v>40827</v>
      </c>
      <c r="B18291" s="33" t="s">
        <v>40828</v>
      </c>
      <c r="C18291" s="33" t="s">
        <v>187</v>
      </c>
      <c r="D18291" s="33" t="s">
        <v>17</v>
      </c>
      <c r="E18291" s="33" t="s">
        <v>18</v>
      </c>
      <c r="F18291" s="33" t="s">
        <v>19</v>
      </c>
      <c r="G18291" s="33" t="s">
        <v>140</v>
      </c>
      <c r="H18291" s="35">
        <v>214</v>
      </c>
      <c r="I18291" s="33" t="s">
        <v>51</v>
      </c>
      <c r="J18291" s="42">
        <v>45496</v>
      </c>
      <c r="K18291" s="33" t="s">
        <v>22</v>
      </c>
    </row>
    <row r="18292" spans="1:11">
      <c r="A18292" s="30" t="s">
        <v>40829</v>
      </c>
      <c r="B18292" s="30" t="s">
        <v>40830</v>
      </c>
      <c r="C18292" s="30" t="s">
        <v>3439</v>
      </c>
      <c r="D18292" s="30" t="s">
        <v>17</v>
      </c>
      <c r="E18292" s="30" t="s">
        <v>18</v>
      </c>
      <c r="F18292" s="30" t="s">
        <v>19</v>
      </c>
      <c r="G18292" s="30" t="s">
        <v>140</v>
      </c>
      <c r="H18292" s="32">
        <v>392</v>
      </c>
      <c r="I18292" s="30" t="s">
        <v>51</v>
      </c>
      <c r="J18292" s="41">
        <v>45511</v>
      </c>
      <c r="K18292" s="30" t="s">
        <v>22</v>
      </c>
    </row>
    <row r="18293" spans="1:11">
      <c r="A18293" s="33" t="s">
        <v>40831</v>
      </c>
      <c r="B18293" s="33" t="s">
        <v>40832</v>
      </c>
      <c r="C18293" s="33" t="s">
        <v>2807</v>
      </c>
      <c r="D18293" s="33" t="s">
        <v>17</v>
      </c>
      <c r="E18293" s="33" t="s">
        <v>18</v>
      </c>
      <c r="F18293" s="33" t="s">
        <v>19</v>
      </c>
      <c r="G18293" s="33" t="s">
        <v>140</v>
      </c>
      <c r="H18293" s="35">
        <v>90</v>
      </c>
      <c r="I18293" s="33" t="s">
        <v>51</v>
      </c>
      <c r="J18293" s="42">
        <v>45566</v>
      </c>
      <c r="K18293" s="33" t="s">
        <v>22</v>
      </c>
    </row>
    <row r="18294" spans="1:11">
      <c r="A18294" s="30" t="s">
        <v>40833</v>
      </c>
      <c r="B18294" s="30" t="s">
        <v>40834</v>
      </c>
      <c r="C18294" s="30" t="s">
        <v>14457</v>
      </c>
      <c r="D18294" s="30" t="s">
        <v>17</v>
      </c>
      <c r="E18294" s="30" t="s">
        <v>67</v>
      </c>
      <c r="F18294" s="30" t="s">
        <v>68</v>
      </c>
      <c r="G18294" s="30" t="s">
        <v>140</v>
      </c>
      <c r="H18294" s="32">
        <v>616</v>
      </c>
      <c r="I18294" s="30" t="s">
        <v>51</v>
      </c>
      <c r="J18294" s="41">
        <v>45309</v>
      </c>
      <c r="K18294" s="30" t="s">
        <v>22</v>
      </c>
    </row>
    <row r="18295" spans="1:11">
      <c r="A18295" s="33" t="s">
        <v>40835</v>
      </c>
      <c r="B18295" s="33" t="s">
        <v>40836</v>
      </c>
      <c r="C18295" s="33" t="s">
        <v>124</v>
      </c>
      <c r="D18295" s="33" t="s">
        <v>17</v>
      </c>
      <c r="E18295" s="33" t="s">
        <v>26</v>
      </c>
      <c r="F18295" s="33" t="s">
        <v>27</v>
      </c>
      <c r="G18295" s="33" t="s">
        <v>20</v>
      </c>
      <c r="H18295" s="35">
        <v>63</v>
      </c>
      <c r="I18295" s="33" t="s">
        <v>21</v>
      </c>
      <c r="J18295" s="42">
        <v>45537</v>
      </c>
      <c r="K18295" s="33" t="s">
        <v>22</v>
      </c>
    </row>
    <row r="18296" spans="1:11">
      <c r="A18296" s="30" t="s">
        <v>40837</v>
      </c>
      <c r="B18296" s="30" t="s">
        <v>40838</v>
      </c>
      <c r="C18296" s="30" t="s">
        <v>35935</v>
      </c>
      <c r="D18296" s="30" t="s">
        <v>17</v>
      </c>
      <c r="E18296" s="30" t="s">
        <v>26</v>
      </c>
      <c r="F18296" s="30" t="s">
        <v>27</v>
      </c>
      <c r="G18296" s="30" t="s">
        <v>140</v>
      </c>
      <c r="H18296" s="32">
        <v>147</v>
      </c>
      <c r="I18296" s="30" t="s">
        <v>51</v>
      </c>
      <c r="J18296" s="41">
        <v>45344</v>
      </c>
      <c r="K18296" s="30" t="s">
        <v>22</v>
      </c>
    </row>
    <row r="18297" spans="1:11">
      <c r="A18297" s="33" t="s">
        <v>40839</v>
      </c>
      <c r="B18297" s="33" t="s">
        <v>40840</v>
      </c>
      <c r="C18297" s="33" t="s">
        <v>40841</v>
      </c>
      <c r="D18297" s="33" t="s">
        <v>17</v>
      </c>
      <c r="E18297" s="33" t="s">
        <v>26</v>
      </c>
      <c r="F18297" s="33" t="s">
        <v>27</v>
      </c>
      <c r="G18297" s="33" t="s">
        <v>158</v>
      </c>
      <c r="H18297" s="35">
        <v>21</v>
      </c>
      <c r="I18297" s="33" t="s">
        <v>51</v>
      </c>
      <c r="J18297" s="42">
        <v>45404</v>
      </c>
      <c r="K18297" s="33" t="s">
        <v>22</v>
      </c>
    </row>
    <row r="18298" spans="1:11">
      <c r="A18298" s="30" t="s">
        <v>40842</v>
      </c>
      <c r="B18298" s="30" t="s">
        <v>40843</v>
      </c>
      <c r="C18298" s="30" t="s">
        <v>4348</v>
      </c>
      <c r="D18298" s="30" t="s">
        <v>17</v>
      </c>
      <c r="E18298" s="30" t="s">
        <v>67</v>
      </c>
      <c r="F18298" s="30" t="s">
        <v>68</v>
      </c>
      <c r="G18298" s="30" t="s">
        <v>140</v>
      </c>
      <c r="H18298" s="32">
        <v>138</v>
      </c>
      <c r="I18298" s="30" t="s">
        <v>51</v>
      </c>
      <c r="J18298" s="41">
        <v>45351</v>
      </c>
      <c r="K18298" s="30" t="s">
        <v>22</v>
      </c>
    </row>
    <row r="18299" spans="1:11">
      <c r="A18299" s="33" t="s">
        <v>40844</v>
      </c>
      <c r="B18299" s="33" t="s">
        <v>40845</v>
      </c>
      <c r="C18299" s="33" t="s">
        <v>190</v>
      </c>
      <c r="D18299" s="33" t="s">
        <v>17</v>
      </c>
      <c r="E18299" s="33" t="s">
        <v>26</v>
      </c>
      <c r="F18299" s="33" t="s">
        <v>27</v>
      </c>
      <c r="G18299" s="33" t="s">
        <v>20</v>
      </c>
      <c r="H18299" s="35">
        <v>42</v>
      </c>
      <c r="I18299" s="33" t="s">
        <v>21</v>
      </c>
      <c r="J18299" s="42">
        <v>45411</v>
      </c>
      <c r="K18299" s="33" t="s">
        <v>22</v>
      </c>
    </row>
    <row r="18300" spans="1:11">
      <c r="A18300" s="30" t="s">
        <v>40846</v>
      </c>
      <c r="B18300" s="30" t="s">
        <v>40847</v>
      </c>
      <c r="C18300" s="30" t="s">
        <v>2565</v>
      </c>
      <c r="D18300" s="30" t="s">
        <v>17</v>
      </c>
      <c r="E18300" s="30" t="s">
        <v>26</v>
      </c>
      <c r="F18300" s="30" t="s">
        <v>27</v>
      </c>
      <c r="G18300" s="30" t="s">
        <v>2613</v>
      </c>
      <c r="H18300" s="32">
        <v>52</v>
      </c>
      <c r="I18300" s="30" t="s">
        <v>51</v>
      </c>
      <c r="J18300" s="41">
        <v>45474</v>
      </c>
      <c r="K18300" s="30" t="s">
        <v>22</v>
      </c>
    </row>
    <row r="18301" spans="1:11">
      <c r="A18301" s="33" t="s">
        <v>40848</v>
      </c>
      <c r="B18301" s="33" t="s">
        <v>40849</v>
      </c>
      <c r="C18301" s="33" t="s">
        <v>698</v>
      </c>
      <c r="D18301" s="33" t="s">
        <v>17</v>
      </c>
      <c r="E18301" s="33" t="s">
        <v>18</v>
      </c>
      <c r="F18301" s="33" t="s">
        <v>19</v>
      </c>
      <c r="G18301" s="33" t="s">
        <v>140</v>
      </c>
      <c r="H18301" s="35">
        <v>516</v>
      </c>
      <c r="I18301" s="33" t="s">
        <v>51</v>
      </c>
      <c r="J18301" s="42">
        <v>45588</v>
      </c>
      <c r="K18301" s="33" t="s">
        <v>22</v>
      </c>
    </row>
    <row r="18302" spans="1:11">
      <c r="A18302" s="30" t="s">
        <v>40850</v>
      </c>
      <c r="B18302" s="30" t="s">
        <v>40851</v>
      </c>
      <c r="C18302" s="30" t="s">
        <v>22650</v>
      </c>
      <c r="D18302" s="30" t="s">
        <v>17</v>
      </c>
      <c r="E18302" s="30" t="s">
        <v>18</v>
      </c>
      <c r="F18302" s="30" t="s">
        <v>19</v>
      </c>
      <c r="G18302" s="30" t="s">
        <v>50</v>
      </c>
      <c r="H18302" s="32">
        <v>498</v>
      </c>
      <c r="I18302" s="30" t="s">
        <v>51</v>
      </c>
      <c r="J18302" s="41">
        <v>45304</v>
      </c>
      <c r="K18302" s="30" t="s">
        <v>22</v>
      </c>
    </row>
    <row r="18303" spans="1:11">
      <c r="A18303" s="33" t="s">
        <v>40852</v>
      </c>
      <c r="B18303" s="33" t="s">
        <v>40853</v>
      </c>
      <c r="C18303" s="33" t="s">
        <v>718</v>
      </c>
      <c r="D18303" s="33" t="s">
        <v>17</v>
      </c>
      <c r="E18303" s="33" t="s">
        <v>26</v>
      </c>
      <c r="F18303" s="33" t="s">
        <v>27</v>
      </c>
      <c r="G18303" s="33" t="s">
        <v>7780</v>
      </c>
      <c r="H18303" s="35">
        <v>123</v>
      </c>
      <c r="I18303" s="33" t="s">
        <v>51</v>
      </c>
      <c r="J18303" s="42">
        <v>45323</v>
      </c>
      <c r="K18303" s="33" t="s">
        <v>22</v>
      </c>
    </row>
    <row r="18304" spans="1:11">
      <c r="A18304" s="30" t="s">
        <v>40854</v>
      </c>
      <c r="B18304" s="30" t="s">
        <v>40855</v>
      </c>
      <c r="C18304" s="30" t="s">
        <v>6972</v>
      </c>
      <c r="D18304" s="30" t="s">
        <v>17</v>
      </c>
      <c r="E18304" s="30" t="s">
        <v>26</v>
      </c>
      <c r="F18304" s="30" t="s">
        <v>27</v>
      </c>
      <c r="G18304" s="30" t="s">
        <v>7780</v>
      </c>
      <c r="H18304" s="32">
        <v>40</v>
      </c>
      <c r="I18304" s="30" t="s">
        <v>51</v>
      </c>
      <c r="J18304" s="41">
        <v>45627</v>
      </c>
      <c r="K18304" s="30" t="s">
        <v>22</v>
      </c>
    </row>
    <row r="18305" spans="1:11">
      <c r="A18305" s="33" t="s">
        <v>40856</v>
      </c>
      <c r="B18305" s="33" t="s">
        <v>40857</v>
      </c>
      <c r="C18305" s="33" t="s">
        <v>252</v>
      </c>
      <c r="D18305" s="33" t="s">
        <v>17</v>
      </c>
      <c r="E18305" s="33" t="s">
        <v>18</v>
      </c>
      <c r="F18305" s="33" t="s">
        <v>19</v>
      </c>
      <c r="G18305" s="33" t="s">
        <v>50</v>
      </c>
      <c r="H18305" s="35">
        <v>420</v>
      </c>
      <c r="I18305" s="33" t="s">
        <v>51</v>
      </c>
      <c r="J18305" s="42">
        <v>45412</v>
      </c>
      <c r="K18305" s="33" t="s">
        <v>22</v>
      </c>
    </row>
    <row r="18306" spans="1:11">
      <c r="A18306" s="30" t="s">
        <v>40858</v>
      </c>
      <c r="B18306" s="30" t="s">
        <v>40859</v>
      </c>
      <c r="C18306" s="30" t="s">
        <v>40860</v>
      </c>
      <c r="D18306" s="30" t="s">
        <v>17</v>
      </c>
      <c r="E18306" s="30" t="s">
        <v>18</v>
      </c>
      <c r="F18306" s="30" t="s">
        <v>19</v>
      </c>
      <c r="G18306" s="30" t="s">
        <v>158</v>
      </c>
      <c r="H18306" s="32">
        <v>128</v>
      </c>
      <c r="I18306" s="30" t="s">
        <v>51</v>
      </c>
      <c r="J18306" s="41">
        <v>45574</v>
      </c>
      <c r="K18306" s="30" t="s">
        <v>22</v>
      </c>
    </row>
    <row r="18307" spans="1:11">
      <c r="A18307" s="33" t="s">
        <v>40861</v>
      </c>
      <c r="B18307" s="33" t="s">
        <v>40862</v>
      </c>
      <c r="C18307" s="33" t="s">
        <v>3384</v>
      </c>
      <c r="D18307" s="33" t="s">
        <v>17</v>
      </c>
      <c r="E18307" s="33" t="s">
        <v>67</v>
      </c>
      <c r="F18307" s="33" t="s">
        <v>68</v>
      </c>
      <c r="G18307" s="33" t="s">
        <v>140</v>
      </c>
      <c r="H18307" s="35">
        <v>28</v>
      </c>
      <c r="I18307" s="33" t="s">
        <v>51</v>
      </c>
      <c r="J18307" s="42">
        <v>45338</v>
      </c>
      <c r="K18307" s="33" t="s">
        <v>22</v>
      </c>
    </row>
    <row r="18308" spans="1:11">
      <c r="A18308" s="30" t="s">
        <v>40863</v>
      </c>
      <c r="B18308" s="30" t="s">
        <v>40864</v>
      </c>
      <c r="C18308" s="30" t="s">
        <v>2849</v>
      </c>
      <c r="D18308" s="30" t="s">
        <v>17</v>
      </c>
      <c r="E18308" s="30" t="s">
        <v>18</v>
      </c>
      <c r="F18308" s="30" t="s">
        <v>19</v>
      </c>
      <c r="G18308" s="30" t="s">
        <v>20</v>
      </c>
      <c r="H18308" s="32">
        <v>158</v>
      </c>
      <c r="I18308" s="30" t="s">
        <v>21</v>
      </c>
      <c r="J18308" s="41">
        <v>45565</v>
      </c>
      <c r="K18308" s="30" t="s">
        <v>22</v>
      </c>
    </row>
    <row r="18309" spans="1:11">
      <c r="A18309" s="33" t="s">
        <v>40865</v>
      </c>
      <c r="B18309" s="33" t="s">
        <v>40866</v>
      </c>
      <c r="C18309" s="33" t="s">
        <v>18993</v>
      </c>
      <c r="D18309" s="33" t="s">
        <v>17</v>
      </c>
      <c r="E18309" s="33" t="s">
        <v>67</v>
      </c>
      <c r="F18309" s="33" t="s">
        <v>68</v>
      </c>
      <c r="G18309" s="33" t="s">
        <v>106</v>
      </c>
      <c r="H18309" s="35">
        <v>5</v>
      </c>
      <c r="I18309" s="33" t="s">
        <v>21</v>
      </c>
      <c r="J18309" s="42">
        <v>45358</v>
      </c>
      <c r="K18309" s="33" t="s">
        <v>22</v>
      </c>
    </row>
    <row r="18310" spans="1:11">
      <c r="A18310" s="30" t="s">
        <v>40867</v>
      </c>
      <c r="B18310" s="30" t="s">
        <v>40868</v>
      </c>
      <c r="C18310" s="30" t="s">
        <v>187</v>
      </c>
      <c r="D18310" s="30" t="s">
        <v>17</v>
      </c>
      <c r="E18310" s="30" t="s">
        <v>31</v>
      </c>
      <c r="F18310" s="30" t="s">
        <v>32</v>
      </c>
      <c r="G18310" s="30" t="s">
        <v>50</v>
      </c>
      <c r="H18310" s="32">
        <v>90</v>
      </c>
      <c r="I18310" s="30" t="s">
        <v>51</v>
      </c>
      <c r="J18310" s="41">
        <v>45371</v>
      </c>
      <c r="K18310" s="30" t="s">
        <v>22</v>
      </c>
    </row>
    <row r="18311" spans="1:11">
      <c r="A18311" s="33" t="s">
        <v>40869</v>
      </c>
      <c r="B18311" s="33" t="s">
        <v>40870</v>
      </c>
      <c r="C18311" s="33" t="s">
        <v>32821</v>
      </c>
      <c r="D18311" s="33" t="s">
        <v>17</v>
      </c>
      <c r="E18311" s="33" t="s">
        <v>31</v>
      </c>
      <c r="F18311" s="33" t="s">
        <v>32</v>
      </c>
      <c r="G18311" s="33" t="s">
        <v>158</v>
      </c>
      <c r="H18311" s="35">
        <v>32</v>
      </c>
      <c r="I18311" s="33" t="s">
        <v>51</v>
      </c>
      <c r="J18311" s="42">
        <v>45505</v>
      </c>
      <c r="K18311" s="33" t="s">
        <v>22</v>
      </c>
    </row>
    <row r="18312" spans="1:11">
      <c r="A18312" s="30" t="s">
        <v>40871</v>
      </c>
      <c r="B18312" s="30" t="s">
        <v>40872</v>
      </c>
      <c r="C18312" s="30" t="s">
        <v>27848</v>
      </c>
      <c r="D18312" s="30" t="s">
        <v>17</v>
      </c>
      <c r="E18312" s="30" t="s">
        <v>67</v>
      </c>
      <c r="F18312" s="30" t="s">
        <v>68</v>
      </c>
      <c r="G18312" s="30" t="s">
        <v>140</v>
      </c>
      <c r="H18312" s="32">
        <v>10</v>
      </c>
      <c r="I18312" s="30" t="s">
        <v>51</v>
      </c>
      <c r="J18312" s="41">
        <v>45352</v>
      </c>
      <c r="K18312" s="30" t="s">
        <v>22</v>
      </c>
    </row>
    <row r="18313" spans="1:11">
      <c r="A18313" s="33" t="s">
        <v>40873</v>
      </c>
      <c r="B18313" s="33" t="s">
        <v>40874</v>
      </c>
      <c r="C18313" s="33" t="s">
        <v>7072</v>
      </c>
      <c r="D18313" s="33" t="s">
        <v>17</v>
      </c>
      <c r="E18313" s="33" t="s">
        <v>26</v>
      </c>
      <c r="F18313" s="33" t="s">
        <v>27</v>
      </c>
      <c r="G18313" s="33" t="s">
        <v>140</v>
      </c>
      <c r="H18313" s="35">
        <v>180</v>
      </c>
      <c r="I18313" s="33" t="s">
        <v>51</v>
      </c>
      <c r="J18313" s="42">
        <v>45639</v>
      </c>
      <c r="K18313" s="33" t="s">
        <v>22</v>
      </c>
    </row>
    <row r="18314" spans="1:11">
      <c r="A18314" s="30" t="s">
        <v>40875</v>
      </c>
      <c r="B18314" s="30" t="s">
        <v>40876</v>
      </c>
      <c r="C18314" s="30" t="s">
        <v>190</v>
      </c>
      <c r="D18314" s="30" t="s">
        <v>17</v>
      </c>
      <c r="E18314" s="30" t="s">
        <v>212</v>
      </c>
      <c r="F18314" s="30" t="s">
        <v>213</v>
      </c>
      <c r="G18314" s="30" t="s">
        <v>20</v>
      </c>
      <c r="H18314" s="32">
        <v>633</v>
      </c>
      <c r="I18314" s="30" t="s">
        <v>21</v>
      </c>
      <c r="J18314" s="41">
        <v>45366</v>
      </c>
      <c r="K18314" s="30" t="s">
        <v>22</v>
      </c>
    </row>
    <row r="18315" spans="1:11">
      <c r="A18315" s="33" t="s">
        <v>40877</v>
      </c>
      <c r="B18315" s="33" t="s">
        <v>40878</v>
      </c>
      <c r="C18315" s="33" t="s">
        <v>40879</v>
      </c>
      <c r="D18315" s="33" t="s">
        <v>17</v>
      </c>
      <c r="E18315" s="33" t="s">
        <v>67</v>
      </c>
      <c r="F18315" s="33" t="s">
        <v>68</v>
      </c>
      <c r="G18315" s="33" t="s">
        <v>140</v>
      </c>
      <c r="H18315" s="35">
        <v>100</v>
      </c>
      <c r="I18315" s="33" t="s">
        <v>51</v>
      </c>
      <c r="J18315" s="42">
        <v>45608</v>
      </c>
      <c r="K18315" s="33" t="s">
        <v>22</v>
      </c>
    </row>
    <row r="18316" spans="1:11">
      <c r="A18316" s="30" t="s">
        <v>40880</v>
      </c>
      <c r="B18316" s="30" t="s">
        <v>40881</v>
      </c>
      <c r="C18316" s="30" t="s">
        <v>136</v>
      </c>
      <c r="D18316" s="30" t="s">
        <v>17</v>
      </c>
      <c r="E18316" s="30" t="s">
        <v>26</v>
      </c>
      <c r="F18316" s="30" t="s">
        <v>27</v>
      </c>
      <c r="G18316" s="30" t="s">
        <v>140</v>
      </c>
      <c r="H18316" s="32">
        <v>128</v>
      </c>
      <c r="I18316" s="30" t="s">
        <v>51</v>
      </c>
      <c r="J18316" s="41">
        <v>45594</v>
      </c>
      <c r="K18316" s="30" t="s">
        <v>22</v>
      </c>
    </row>
    <row r="18317" spans="1:11">
      <c r="A18317" s="33" t="s">
        <v>40882</v>
      </c>
      <c r="B18317" s="33" t="s">
        <v>40883</v>
      </c>
      <c r="C18317" s="33" t="s">
        <v>3944</v>
      </c>
      <c r="D18317" s="33" t="s">
        <v>17</v>
      </c>
      <c r="E18317" s="33" t="s">
        <v>26</v>
      </c>
      <c r="F18317" s="33" t="s">
        <v>27</v>
      </c>
      <c r="G18317" s="33" t="s">
        <v>140</v>
      </c>
      <c r="H18317" s="35">
        <v>36</v>
      </c>
      <c r="I18317" s="33" t="s">
        <v>51</v>
      </c>
      <c r="J18317" s="42">
        <v>45301</v>
      </c>
      <c r="K18317" s="33" t="s">
        <v>22</v>
      </c>
    </row>
    <row r="18318" spans="1:11">
      <c r="A18318" s="30" t="s">
        <v>40884</v>
      </c>
      <c r="B18318" s="30" t="s">
        <v>40885</v>
      </c>
      <c r="C18318" s="30" t="s">
        <v>1136</v>
      </c>
      <c r="D18318" s="30" t="s">
        <v>17</v>
      </c>
      <c r="E18318" s="30" t="s">
        <v>31</v>
      </c>
      <c r="F18318" s="30" t="s">
        <v>32</v>
      </c>
      <c r="G18318" s="30" t="s">
        <v>20</v>
      </c>
      <c r="H18318" s="32">
        <v>4541</v>
      </c>
      <c r="I18318" s="30" t="s">
        <v>21</v>
      </c>
      <c r="J18318" s="41">
        <v>45384</v>
      </c>
      <c r="K18318" s="30" t="s">
        <v>22</v>
      </c>
    </row>
    <row r="18319" spans="1:11">
      <c r="A18319" s="33" t="s">
        <v>40886</v>
      </c>
      <c r="B18319" s="33" t="s">
        <v>40887</v>
      </c>
      <c r="C18319" s="33" t="s">
        <v>14640</v>
      </c>
      <c r="D18319" s="33" t="s">
        <v>17</v>
      </c>
      <c r="E18319" s="33" t="s">
        <v>26</v>
      </c>
      <c r="F18319" s="33" t="s">
        <v>27</v>
      </c>
      <c r="G18319" s="33" t="s">
        <v>140</v>
      </c>
      <c r="H18319" s="35">
        <v>112</v>
      </c>
      <c r="I18319" s="33" t="s">
        <v>51</v>
      </c>
      <c r="J18319" s="42">
        <v>45392</v>
      </c>
      <c r="K18319" s="33" t="s">
        <v>22</v>
      </c>
    </row>
    <row r="18320" spans="1:11">
      <c r="A18320" s="30" t="s">
        <v>40888</v>
      </c>
      <c r="B18320" s="30" t="s">
        <v>40889</v>
      </c>
      <c r="C18320" s="30" t="s">
        <v>1151</v>
      </c>
      <c r="D18320" s="30" t="s">
        <v>17</v>
      </c>
      <c r="E18320" s="30" t="s">
        <v>67</v>
      </c>
      <c r="F18320" s="30" t="s">
        <v>68</v>
      </c>
      <c r="G18320" s="30" t="s">
        <v>140</v>
      </c>
      <c r="H18320" s="32">
        <v>78</v>
      </c>
      <c r="I18320" s="30" t="s">
        <v>51</v>
      </c>
      <c r="J18320" s="41">
        <v>45355</v>
      </c>
      <c r="K18320" s="30" t="s">
        <v>22</v>
      </c>
    </row>
    <row r="18321" spans="1:11">
      <c r="A18321" s="33" t="s">
        <v>40890</v>
      </c>
      <c r="B18321" s="33" t="s">
        <v>40891</v>
      </c>
      <c r="C18321" s="33" t="s">
        <v>2753</v>
      </c>
      <c r="D18321" s="33" t="s">
        <v>17</v>
      </c>
      <c r="E18321" s="33" t="s">
        <v>67</v>
      </c>
      <c r="F18321" s="33" t="s">
        <v>68</v>
      </c>
      <c r="G18321" s="33" t="s">
        <v>140</v>
      </c>
      <c r="H18321" s="35">
        <v>80</v>
      </c>
      <c r="I18321" s="33" t="s">
        <v>51</v>
      </c>
      <c r="J18321" s="42">
        <v>45623</v>
      </c>
      <c r="K18321" s="33" t="s">
        <v>22</v>
      </c>
    </row>
    <row r="18322" spans="1:11">
      <c r="A18322" s="30" t="s">
        <v>40892</v>
      </c>
      <c r="B18322" s="30" t="s">
        <v>40893</v>
      </c>
      <c r="C18322" s="30" t="s">
        <v>2514</v>
      </c>
      <c r="D18322" s="30" t="s">
        <v>17</v>
      </c>
      <c r="E18322" s="30" t="s">
        <v>67</v>
      </c>
      <c r="F18322" s="30" t="s">
        <v>68</v>
      </c>
      <c r="G18322" s="30" t="s">
        <v>158</v>
      </c>
      <c r="H18322" s="32">
        <v>160</v>
      </c>
      <c r="I18322" s="30" t="s">
        <v>51</v>
      </c>
      <c r="J18322" s="41">
        <v>45317</v>
      </c>
      <c r="K18322" s="30" t="s">
        <v>22</v>
      </c>
    </row>
    <row r="18323" spans="1:11">
      <c r="A18323" s="33" t="s">
        <v>40894</v>
      </c>
      <c r="B18323" s="33" t="s">
        <v>40895</v>
      </c>
      <c r="C18323" s="33" t="s">
        <v>231</v>
      </c>
      <c r="D18323" s="33" t="s">
        <v>17</v>
      </c>
      <c r="E18323" s="33" t="s">
        <v>26</v>
      </c>
      <c r="F18323" s="33" t="s">
        <v>27</v>
      </c>
      <c r="G18323" s="33" t="s">
        <v>106</v>
      </c>
      <c r="H18323" s="35">
        <v>30</v>
      </c>
      <c r="I18323" s="33" t="s">
        <v>21</v>
      </c>
      <c r="J18323" s="42">
        <v>45644</v>
      </c>
      <c r="K18323" s="33" t="s">
        <v>22</v>
      </c>
    </row>
    <row r="18324" spans="1:11">
      <c r="A18324" s="30" t="s">
        <v>40896</v>
      </c>
      <c r="B18324" s="30" t="s">
        <v>40897</v>
      </c>
      <c r="C18324" s="30" t="s">
        <v>40898</v>
      </c>
      <c r="D18324" s="30" t="s">
        <v>17</v>
      </c>
      <c r="E18324" s="30" t="s">
        <v>26</v>
      </c>
      <c r="F18324" s="30" t="s">
        <v>27</v>
      </c>
      <c r="G18324" s="30" t="s">
        <v>20</v>
      </c>
      <c r="H18324" s="32">
        <v>56</v>
      </c>
      <c r="I18324" s="30" t="s">
        <v>21</v>
      </c>
      <c r="J18324" s="41">
        <v>45397</v>
      </c>
      <c r="K18324" s="30" t="s">
        <v>22</v>
      </c>
    </row>
    <row r="18325" spans="1:11">
      <c r="A18325" s="33" t="s">
        <v>40899</v>
      </c>
      <c r="B18325" s="33" t="s">
        <v>40900</v>
      </c>
      <c r="C18325" s="33" t="s">
        <v>1080</v>
      </c>
      <c r="D18325" s="33" t="s">
        <v>17</v>
      </c>
      <c r="E18325" s="33" t="s">
        <v>26</v>
      </c>
      <c r="F18325" s="33" t="s">
        <v>27</v>
      </c>
      <c r="G18325" s="33" t="s">
        <v>50</v>
      </c>
      <c r="H18325" s="35">
        <v>27</v>
      </c>
      <c r="I18325" s="33" t="s">
        <v>51</v>
      </c>
      <c r="J18325" s="42">
        <v>45483</v>
      </c>
      <c r="K18325" s="33" t="s">
        <v>22</v>
      </c>
    </row>
    <row r="18326" spans="1:11">
      <c r="A18326" s="30" t="s">
        <v>40901</v>
      </c>
      <c r="B18326" s="30" t="s">
        <v>40902</v>
      </c>
      <c r="C18326" s="30" t="s">
        <v>25994</v>
      </c>
      <c r="D18326" s="30" t="s">
        <v>17</v>
      </c>
      <c r="E18326" s="30" t="s">
        <v>45</v>
      </c>
      <c r="F18326" s="30" t="s">
        <v>46</v>
      </c>
      <c r="G18326" s="30" t="s">
        <v>140</v>
      </c>
      <c r="H18326" s="32">
        <v>66</v>
      </c>
      <c r="I18326" s="30" t="s">
        <v>51</v>
      </c>
      <c r="J18326" s="41">
        <v>45532</v>
      </c>
      <c r="K18326" s="30" t="s">
        <v>22</v>
      </c>
    </row>
    <row r="18327" spans="1:11">
      <c r="A18327" s="33" t="s">
        <v>40903</v>
      </c>
      <c r="B18327" s="33" t="s">
        <v>40904</v>
      </c>
      <c r="C18327" s="33" t="s">
        <v>549</v>
      </c>
      <c r="D18327" s="33" t="s">
        <v>17</v>
      </c>
      <c r="E18327" s="33" t="s">
        <v>45</v>
      </c>
      <c r="F18327" s="33" t="s">
        <v>46</v>
      </c>
      <c r="G18327" s="33" t="s">
        <v>158</v>
      </c>
      <c r="H18327" s="35">
        <v>12</v>
      </c>
      <c r="I18327" s="33" t="s">
        <v>21</v>
      </c>
      <c r="J18327" s="42">
        <v>45457</v>
      </c>
      <c r="K18327" s="33" t="s">
        <v>22</v>
      </c>
    </row>
    <row r="18328" spans="1:11">
      <c r="A18328" s="30" t="s">
        <v>40905</v>
      </c>
      <c r="B18328" s="30" t="s">
        <v>40906</v>
      </c>
      <c r="C18328" s="30" t="s">
        <v>5246</v>
      </c>
      <c r="D18328" s="30" t="s">
        <v>17</v>
      </c>
      <c r="E18328" s="30" t="s">
        <v>31</v>
      </c>
      <c r="F18328" s="30" t="s">
        <v>32</v>
      </c>
      <c r="G18328" s="30" t="s">
        <v>158</v>
      </c>
      <c r="H18328" s="32">
        <v>210</v>
      </c>
      <c r="I18328" s="30" t="s">
        <v>21</v>
      </c>
      <c r="J18328" s="41">
        <v>45348</v>
      </c>
      <c r="K18328" s="30" t="s">
        <v>22</v>
      </c>
    </row>
    <row r="18329" spans="1:11">
      <c r="A18329" s="33" t="s">
        <v>40907</v>
      </c>
      <c r="B18329" s="33" t="s">
        <v>40908</v>
      </c>
      <c r="C18329" s="33" t="s">
        <v>8554</v>
      </c>
      <c r="D18329" s="33" t="s">
        <v>17</v>
      </c>
      <c r="E18329" s="33" t="s">
        <v>26</v>
      </c>
      <c r="F18329" s="33" t="s">
        <v>27</v>
      </c>
      <c r="G18329" s="33" t="s">
        <v>50</v>
      </c>
      <c r="H18329" s="35">
        <v>132</v>
      </c>
      <c r="I18329" s="33" t="s">
        <v>51</v>
      </c>
      <c r="J18329" s="42">
        <v>45374</v>
      </c>
      <c r="K18329" s="33" t="s">
        <v>22</v>
      </c>
    </row>
    <row r="18330" spans="1:11">
      <c r="A18330" s="30" t="s">
        <v>40909</v>
      </c>
      <c r="B18330" s="30" t="s">
        <v>40910</v>
      </c>
      <c r="C18330" s="30" t="s">
        <v>8151</v>
      </c>
      <c r="D18330" s="30" t="s">
        <v>17</v>
      </c>
      <c r="E18330" s="30" t="s">
        <v>18</v>
      </c>
      <c r="F18330" s="30" t="s">
        <v>19</v>
      </c>
      <c r="G18330" s="30" t="s">
        <v>140</v>
      </c>
      <c r="H18330" s="32">
        <v>60</v>
      </c>
      <c r="I18330" s="30" t="s">
        <v>51</v>
      </c>
      <c r="J18330" s="41">
        <v>45573</v>
      </c>
      <c r="K18330" s="30" t="s">
        <v>22</v>
      </c>
    </row>
    <row r="18331" spans="1:11">
      <c r="A18331" s="33" t="s">
        <v>40911</v>
      </c>
      <c r="B18331" s="33" t="s">
        <v>40912</v>
      </c>
      <c r="C18331" s="33" t="s">
        <v>6379</v>
      </c>
      <c r="D18331" s="33" t="s">
        <v>17</v>
      </c>
      <c r="E18331" s="33" t="s">
        <v>31</v>
      </c>
      <c r="F18331" s="33" t="s">
        <v>32</v>
      </c>
      <c r="G18331" s="33" t="s">
        <v>20</v>
      </c>
      <c r="H18331" s="35">
        <v>73</v>
      </c>
      <c r="I18331" s="33" t="s">
        <v>21</v>
      </c>
      <c r="J18331" s="42">
        <v>45371</v>
      </c>
      <c r="K18331" s="33" t="s">
        <v>22</v>
      </c>
    </row>
    <row r="18332" spans="1:11">
      <c r="A18332" s="30" t="s">
        <v>40913</v>
      </c>
      <c r="B18332" s="30" t="s">
        <v>40914</v>
      </c>
      <c r="C18332" s="30" t="s">
        <v>14394</v>
      </c>
      <c r="D18332" s="30" t="s">
        <v>17</v>
      </c>
      <c r="E18332" s="30" t="s">
        <v>67</v>
      </c>
      <c r="F18332" s="30" t="s">
        <v>68</v>
      </c>
      <c r="G18332" s="30" t="s">
        <v>140</v>
      </c>
      <c r="H18332" s="32">
        <v>270</v>
      </c>
      <c r="I18332" s="30" t="s">
        <v>51</v>
      </c>
      <c r="J18332" s="41">
        <v>45575</v>
      </c>
      <c r="K18332" s="30" t="s">
        <v>22</v>
      </c>
    </row>
    <row r="18333" spans="1:11">
      <c r="A18333" s="33" t="s">
        <v>40915</v>
      </c>
      <c r="B18333" s="33" t="s">
        <v>40916</v>
      </c>
      <c r="C18333" s="33" t="s">
        <v>3496</v>
      </c>
      <c r="D18333" s="33" t="s">
        <v>17</v>
      </c>
      <c r="E18333" s="33" t="s">
        <v>212</v>
      </c>
      <c r="F18333" s="33" t="s">
        <v>213</v>
      </c>
      <c r="G18333" s="33" t="s">
        <v>20</v>
      </c>
      <c r="H18333" s="35">
        <v>62</v>
      </c>
      <c r="I18333" s="33" t="s">
        <v>21</v>
      </c>
      <c r="J18333" s="42">
        <v>45630</v>
      </c>
      <c r="K18333" s="33" t="s">
        <v>22</v>
      </c>
    </row>
    <row r="18334" spans="1:11">
      <c r="A18334" s="30" t="s">
        <v>40917</v>
      </c>
      <c r="B18334" s="30" t="s">
        <v>40918</v>
      </c>
      <c r="C18334" s="30" t="s">
        <v>93</v>
      </c>
      <c r="D18334" s="30" t="s">
        <v>17</v>
      </c>
      <c r="E18334" s="30" t="s">
        <v>31</v>
      </c>
      <c r="F18334" s="30" t="s">
        <v>32</v>
      </c>
      <c r="G18334" s="30" t="s">
        <v>140</v>
      </c>
      <c r="H18334" s="32">
        <v>540</v>
      </c>
      <c r="I18334" s="30" t="s">
        <v>51</v>
      </c>
      <c r="J18334" s="41">
        <v>45539</v>
      </c>
      <c r="K18334" s="30" t="s">
        <v>22</v>
      </c>
    </row>
    <row r="18335" spans="1:11">
      <c r="A18335" s="33" t="s">
        <v>40919</v>
      </c>
      <c r="B18335" s="33" t="s">
        <v>40920</v>
      </c>
      <c r="C18335" s="33" t="s">
        <v>149</v>
      </c>
      <c r="D18335" s="33" t="s">
        <v>17</v>
      </c>
      <c r="E18335" s="33" t="s">
        <v>18</v>
      </c>
      <c r="F18335" s="33" t="s">
        <v>19</v>
      </c>
      <c r="G18335" s="33" t="s">
        <v>112</v>
      </c>
      <c r="H18335" s="35">
        <v>0</v>
      </c>
      <c r="I18335" s="33" t="s">
        <v>21</v>
      </c>
      <c r="J18335" s="42">
        <v>45323</v>
      </c>
      <c r="K18335" s="33" t="s">
        <v>22</v>
      </c>
    </row>
    <row r="18336" spans="1:11">
      <c r="A18336" s="30" t="s">
        <v>40921</v>
      </c>
      <c r="B18336" s="30" t="s">
        <v>40922</v>
      </c>
      <c r="C18336" s="30" t="s">
        <v>4064</v>
      </c>
      <c r="D18336" s="30" t="s">
        <v>17</v>
      </c>
      <c r="E18336" s="30" t="s">
        <v>18</v>
      </c>
      <c r="F18336" s="30" t="s">
        <v>19</v>
      </c>
      <c r="G18336" s="30" t="s">
        <v>158</v>
      </c>
      <c r="H18336" s="32">
        <v>825</v>
      </c>
      <c r="I18336" s="30" t="s">
        <v>51</v>
      </c>
      <c r="J18336" s="41">
        <v>45623</v>
      </c>
      <c r="K18336" s="30" t="s">
        <v>22</v>
      </c>
    </row>
    <row r="18337" spans="1:11">
      <c r="A18337" s="33" t="s">
        <v>40923</v>
      </c>
      <c r="B18337" s="33" t="s">
        <v>40924</v>
      </c>
      <c r="C18337" s="33" t="s">
        <v>17183</v>
      </c>
      <c r="D18337" s="33" t="s">
        <v>17</v>
      </c>
      <c r="E18337" s="33" t="s">
        <v>26</v>
      </c>
      <c r="F18337" s="33" t="s">
        <v>27</v>
      </c>
      <c r="G18337" s="33" t="s">
        <v>7780</v>
      </c>
      <c r="H18337" s="35">
        <v>24</v>
      </c>
      <c r="I18337" s="33" t="s">
        <v>51</v>
      </c>
      <c r="J18337" s="42">
        <v>45427</v>
      </c>
      <c r="K18337" s="33" t="s">
        <v>22</v>
      </c>
    </row>
    <row r="18338" spans="1:11">
      <c r="A18338" s="30" t="s">
        <v>40925</v>
      </c>
      <c r="B18338" s="30" t="s">
        <v>40926</v>
      </c>
      <c r="C18338" s="30" t="s">
        <v>34791</v>
      </c>
      <c r="D18338" s="30" t="s">
        <v>17</v>
      </c>
      <c r="E18338" s="30" t="s">
        <v>31</v>
      </c>
      <c r="F18338" s="30" t="s">
        <v>32</v>
      </c>
      <c r="G18338" s="30" t="s">
        <v>158</v>
      </c>
      <c r="H18338" s="32">
        <v>136</v>
      </c>
      <c r="I18338" s="30" t="s">
        <v>21</v>
      </c>
      <c r="J18338" s="41">
        <v>45526</v>
      </c>
      <c r="K18338" s="30" t="s">
        <v>22</v>
      </c>
    </row>
    <row r="18339" spans="1:11">
      <c r="A18339" s="33" t="s">
        <v>40927</v>
      </c>
      <c r="B18339" s="33" t="s">
        <v>40928</v>
      </c>
      <c r="C18339" s="33" t="s">
        <v>2403</v>
      </c>
      <c r="D18339" s="33" t="s">
        <v>17</v>
      </c>
      <c r="E18339" s="33" t="s">
        <v>18</v>
      </c>
      <c r="F18339" s="33" t="s">
        <v>19</v>
      </c>
      <c r="G18339" s="33" t="s">
        <v>50</v>
      </c>
      <c r="H18339" s="35">
        <v>376</v>
      </c>
      <c r="I18339" s="33" t="s">
        <v>51</v>
      </c>
      <c r="J18339" s="42">
        <v>45352</v>
      </c>
      <c r="K18339" s="33" t="s">
        <v>22</v>
      </c>
    </row>
    <row r="18340" spans="1:11">
      <c r="A18340" s="30" t="s">
        <v>40929</v>
      </c>
      <c r="B18340" s="30" t="s">
        <v>40930</v>
      </c>
      <c r="C18340" s="30" t="s">
        <v>5696</v>
      </c>
      <c r="D18340" s="30" t="s">
        <v>17</v>
      </c>
      <c r="E18340" s="30" t="s">
        <v>31</v>
      </c>
      <c r="F18340" s="30" t="s">
        <v>32</v>
      </c>
      <c r="G18340" s="30" t="s">
        <v>140</v>
      </c>
      <c r="H18340" s="32">
        <v>36</v>
      </c>
      <c r="I18340" s="30" t="s">
        <v>51</v>
      </c>
      <c r="J18340" s="41">
        <v>45306</v>
      </c>
      <c r="K18340" s="30" t="s">
        <v>22</v>
      </c>
    </row>
    <row r="18341" spans="1:11">
      <c r="A18341" s="33" t="s">
        <v>40931</v>
      </c>
      <c r="B18341" s="33" t="s">
        <v>40932</v>
      </c>
      <c r="C18341" s="33" t="s">
        <v>60</v>
      </c>
      <c r="D18341" s="33" t="s">
        <v>17</v>
      </c>
      <c r="E18341" s="33" t="s">
        <v>26</v>
      </c>
      <c r="F18341" s="33" t="s">
        <v>27</v>
      </c>
      <c r="G18341" s="33" t="s">
        <v>20</v>
      </c>
      <c r="H18341" s="35">
        <v>48</v>
      </c>
      <c r="I18341" s="33" t="s">
        <v>21</v>
      </c>
      <c r="J18341" s="42">
        <v>45379</v>
      </c>
      <c r="K18341" s="33" t="s">
        <v>22</v>
      </c>
    </row>
    <row r="18342" spans="1:11">
      <c r="A18342" s="30" t="s">
        <v>40933</v>
      </c>
      <c r="B18342" s="30" t="s">
        <v>40934</v>
      </c>
      <c r="C18342" s="30" t="s">
        <v>40935</v>
      </c>
      <c r="D18342" s="30" t="s">
        <v>17</v>
      </c>
      <c r="E18342" s="30" t="s">
        <v>18</v>
      </c>
      <c r="F18342" s="30" t="s">
        <v>19</v>
      </c>
      <c r="G18342" s="30" t="s">
        <v>140</v>
      </c>
      <c r="H18342" s="32">
        <v>560</v>
      </c>
      <c r="I18342" s="30" t="s">
        <v>51</v>
      </c>
      <c r="J18342" s="41">
        <v>45320</v>
      </c>
      <c r="K18342" s="30" t="s">
        <v>22</v>
      </c>
    </row>
    <row r="18343" spans="1:11">
      <c r="A18343" s="33" t="s">
        <v>40936</v>
      </c>
      <c r="B18343" s="33" t="s">
        <v>40937</v>
      </c>
      <c r="C18343" s="33" t="s">
        <v>16063</v>
      </c>
      <c r="D18343" s="33" t="s">
        <v>17</v>
      </c>
      <c r="E18343" s="33" t="s">
        <v>26</v>
      </c>
      <c r="F18343" s="33" t="s">
        <v>27</v>
      </c>
      <c r="G18343" s="33" t="s">
        <v>140</v>
      </c>
      <c r="H18343" s="35">
        <v>171</v>
      </c>
      <c r="I18343" s="33" t="s">
        <v>51</v>
      </c>
      <c r="J18343" s="42">
        <v>45344</v>
      </c>
      <c r="K18343" s="33" t="s">
        <v>22</v>
      </c>
    </row>
    <row r="18344" spans="1:11">
      <c r="A18344" s="30" t="s">
        <v>40938</v>
      </c>
      <c r="B18344" s="30" t="s">
        <v>40939</v>
      </c>
      <c r="C18344" s="30" t="s">
        <v>40940</v>
      </c>
      <c r="D18344" s="30" t="s">
        <v>17</v>
      </c>
      <c r="E18344" s="30" t="s">
        <v>26</v>
      </c>
      <c r="F18344" s="30" t="s">
        <v>27</v>
      </c>
      <c r="G18344" s="30" t="s">
        <v>140</v>
      </c>
      <c r="H18344" s="32">
        <v>105</v>
      </c>
      <c r="I18344" s="30" t="s">
        <v>51</v>
      </c>
      <c r="J18344" s="41">
        <v>45523</v>
      </c>
      <c r="K18344" s="30" t="s">
        <v>22</v>
      </c>
    </row>
    <row r="18345" spans="1:11">
      <c r="A18345" s="33" t="s">
        <v>40941</v>
      </c>
      <c r="B18345" s="33" t="s">
        <v>40942</v>
      </c>
      <c r="C18345" s="33" t="s">
        <v>40943</v>
      </c>
      <c r="D18345" s="33" t="s">
        <v>17</v>
      </c>
      <c r="E18345" s="33" t="s">
        <v>45</v>
      </c>
      <c r="F18345" s="33" t="s">
        <v>46</v>
      </c>
      <c r="G18345" s="33" t="s">
        <v>140</v>
      </c>
      <c r="H18345" s="35">
        <v>52</v>
      </c>
      <c r="I18345" s="33" t="s">
        <v>51</v>
      </c>
      <c r="J18345" s="42">
        <v>45536</v>
      </c>
      <c r="K18345" s="33" t="s">
        <v>22</v>
      </c>
    </row>
    <row r="18346" spans="1:11">
      <c r="A18346" s="30" t="s">
        <v>40944</v>
      </c>
      <c r="B18346" s="30" t="s">
        <v>40945</v>
      </c>
      <c r="C18346" s="30" t="s">
        <v>15335</v>
      </c>
      <c r="D18346" s="30" t="s">
        <v>17</v>
      </c>
      <c r="E18346" s="30" t="s">
        <v>26</v>
      </c>
      <c r="F18346" s="30" t="s">
        <v>27</v>
      </c>
      <c r="G18346" s="30" t="s">
        <v>158</v>
      </c>
      <c r="H18346" s="32">
        <v>40</v>
      </c>
      <c r="I18346" s="30" t="s">
        <v>51</v>
      </c>
      <c r="J18346" s="41">
        <v>45532</v>
      </c>
      <c r="K18346" s="30" t="s">
        <v>22</v>
      </c>
    </row>
    <row r="18347" spans="1:11">
      <c r="A18347" s="33" t="s">
        <v>40946</v>
      </c>
      <c r="B18347" s="33" t="s">
        <v>40947</v>
      </c>
      <c r="C18347" s="33" t="s">
        <v>40948</v>
      </c>
      <c r="D18347" s="33" t="s">
        <v>17</v>
      </c>
      <c r="E18347" s="33" t="s">
        <v>31</v>
      </c>
      <c r="F18347" s="33" t="s">
        <v>32</v>
      </c>
      <c r="G18347" s="33" t="s">
        <v>106</v>
      </c>
      <c r="H18347" s="35">
        <v>6</v>
      </c>
      <c r="I18347" s="33" t="s">
        <v>21</v>
      </c>
      <c r="J18347" s="42">
        <v>45310</v>
      </c>
      <c r="K18347" s="33" t="s">
        <v>22</v>
      </c>
    </row>
    <row r="18348" spans="1:11">
      <c r="A18348" s="30" t="s">
        <v>40949</v>
      </c>
      <c r="B18348" s="30" t="s">
        <v>40950</v>
      </c>
      <c r="C18348" s="30" t="s">
        <v>19649</v>
      </c>
      <c r="D18348" s="30" t="s">
        <v>17</v>
      </c>
      <c r="E18348" s="30" t="s">
        <v>31</v>
      </c>
      <c r="F18348" s="30" t="s">
        <v>32</v>
      </c>
      <c r="G18348" s="30" t="s">
        <v>158</v>
      </c>
      <c r="H18348" s="32">
        <v>216</v>
      </c>
      <c r="I18348" s="30" t="s">
        <v>51</v>
      </c>
      <c r="J18348" s="41">
        <v>45384</v>
      </c>
      <c r="K18348" s="30" t="s">
        <v>22</v>
      </c>
    </row>
    <row r="18349" spans="1:11">
      <c r="A18349" s="33" t="s">
        <v>40951</v>
      </c>
      <c r="B18349" s="33" t="s">
        <v>40952</v>
      </c>
      <c r="C18349" s="33" t="s">
        <v>40953</v>
      </c>
      <c r="D18349" s="33" t="s">
        <v>17</v>
      </c>
      <c r="E18349" s="33" t="s">
        <v>26</v>
      </c>
      <c r="F18349" s="33" t="s">
        <v>27</v>
      </c>
      <c r="G18349" s="33" t="s">
        <v>158</v>
      </c>
      <c r="H18349" s="35">
        <v>20</v>
      </c>
      <c r="I18349" s="33" t="s">
        <v>51</v>
      </c>
      <c r="J18349" s="42">
        <v>45401</v>
      </c>
      <c r="K18349" s="33" t="s">
        <v>22</v>
      </c>
    </row>
    <row r="18350" spans="1:11">
      <c r="A18350" s="30" t="s">
        <v>40954</v>
      </c>
      <c r="B18350" s="30" t="s">
        <v>40955</v>
      </c>
      <c r="C18350" s="30" t="s">
        <v>30095</v>
      </c>
      <c r="D18350" s="30" t="s">
        <v>17</v>
      </c>
      <c r="E18350" s="30" t="s">
        <v>330</v>
      </c>
      <c r="F18350" s="30" t="s">
        <v>331</v>
      </c>
      <c r="G18350" s="30" t="s">
        <v>20</v>
      </c>
      <c r="H18350" s="32">
        <v>4</v>
      </c>
      <c r="I18350" s="30" t="s">
        <v>21</v>
      </c>
      <c r="J18350" s="41">
        <v>45602</v>
      </c>
      <c r="K18350" s="30" t="s">
        <v>22</v>
      </c>
    </row>
    <row r="18351" spans="1:11">
      <c r="A18351" s="33" t="s">
        <v>40956</v>
      </c>
      <c r="B18351" s="33" t="s">
        <v>40957</v>
      </c>
      <c r="C18351" s="33" t="s">
        <v>310</v>
      </c>
      <c r="D18351" s="33" t="s">
        <v>17</v>
      </c>
      <c r="E18351" s="33" t="s">
        <v>31</v>
      </c>
      <c r="F18351" s="33" t="s">
        <v>32</v>
      </c>
      <c r="G18351" s="33" t="s">
        <v>20</v>
      </c>
      <c r="H18351" s="35">
        <v>12</v>
      </c>
      <c r="I18351" s="33" t="s">
        <v>21</v>
      </c>
      <c r="J18351" s="42">
        <v>45360</v>
      </c>
      <c r="K18351" s="33" t="s">
        <v>22</v>
      </c>
    </row>
    <row r="18352" spans="1:11">
      <c r="A18352" s="30" t="s">
        <v>40958</v>
      </c>
      <c r="B18352" s="30" t="s">
        <v>40959</v>
      </c>
      <c r="C18352" s="30" t="s">
        <v>18780</v>
      </c>
      <c r="D18352" s="30" t="s">
        <v>17</v>
      </c>
      <c r="E18352" s="30" t="s">
        <v>31</v>
      </c>
      <c r="F18352" s="30" t="s">
        <v>32</v>
      </c>
      <c r="G18352" s="30" t="s">
        <v>20</v>
      </c>
      <c r="H18352" s="32">
        <v>60</v>
      </c>
      <c r="I18352" s="30" t="s">
        <v>21</v>
      </c>
      <c r="J18352" s="41">
        <v>45496</v>
      </c>
      <c r="K18352" s="30" t="s">
        <v>22</v>
      </c>
    </row>
    <row r="18353" spans="1:11">
      <c r="A18353" s="33" t="s">
        <v>40960</v>
      </c>
      <c r="B18353" s="33" t="s">
        <v>40961</v>
      </c>
      <c r="C18353" s="33" t="s">
        <v>118</v>
      </c>
      <c r="D18353" s="33" t="s">
        <v>17</v>
      </c>
      <c r="E18353" s="33" t="s">
        <v>26</v>
      </c>
      <c r="F18353" s="33" t="s">
        <v>27</v>
      </c>
      <c r="G18353" s="33" t="s">
        <v>20</v>
      </c>
      <c r="H18353" s="35">
        <v>14</v>
      </c>
      <c r="I18353" s="33" t="s">
        <v>21</v>
      </c>
      <c r="J18353" s="42">
        <v>45530</v>
      </c>
      <c r="K18353" s="33" t="s">
        <v>22</v>
      </c>
    </row>
    <row r="18354" spans="1:11">
      <c r="A18354" s="30" t="s">
        <v>40962</v>
      </c>
      <c r="B18354" s="30" t="s">
        <v>40963</v>
      </c>
      <c r="C18354" s="30" t="s">
        <v>190</v>
      </c>
      <c r="D18354" s="30" t="s">
        <v>17</v>
      </c>
      <c r="E18354" s="30" t="s">
        <v>26</v>
      </c>
      <c r="F18354" s="30" t="s">
        <v>27</v>
      </c>
      <c r="G18354" s="30" t="s">
        <v>20</v>
      </c>
      <c r="H18354" s="32">
        <v>81</v>
      </c>
      <c r="I18354" s="30" t="s">
        <v>21</v>
      </c>
      <c r="J18354" s="41">
        <v>45646</v>
      </c>
      <c r="K18354" s="30" t="s">
        <v>22</v>
      </c>
    </row>
    <row r="18355" spans="1:11">
      <c r="A18355" s="33" t="s">
        <v>40964</v>
      </c>
      <c r="B18355" s="33" t="s">
        <v>40965</v>
      </c>
      <c r="C18355" s="33" t="s">
        <v>2261</v>
      </c>
      <c r="D18355" s="33" t="s">
        <v>17</v>
      </c>
      <c r="E18355" s="33" t="s">
        <v>26</v>
      </c>
      <c r="F18355" s="33" t="s">
        <v>27</v>
      </c>
      <c r="G18355" s="33" t="s">
        <v>20</v>
      </c>
      <c r="H18355" s="35">
        <v>24</v>
      </c>
      <c r="I18355" s="33" t="s">
        <v>21</v>
      </c>
      <c r="J18355" s="42">
        <v>45378</v>
      </c>
      <c r="K18355" s="33" t="s">
        <v>22</v>
      </c>
    </row>
    <row r="18356" spans="1:11">
      <c r="A18356" s="30" t="s">
        <v>40966</v>
      </c>
      <c r="B18356" s="30" t="s">
        <v>40967</v>
      </c>
      <c r="C18356" s="30" t="s">
        <v>178</v>
      </c>
      <c r="D18356" s="30" t="s">
        <v>17</v>
      </c>
      <c r="E18356" s="30" t="s">
        <v>18</v>
      </c>
      <c r="F18356" s="30" t="s">
        <v>19</v>
      </c>
      <c r="G18356" s="30" t="s">
        <v>106</v>
      </c>
      <c r="H18356" s="32">
        <v>56</v>
      </c>
      <c r="I18356" s="30" t="s">
        <v>21</v>
      </c>
      <c r="J18356" s="41">
        <v>45372</v>
      </c>
      <c r="K18356" s="30" t="s">
        <v>22</v>
      </c>
    </row>
    <row r="18357" spans="1:11">
      <c r="A18357" s="33" t="s">
        <v>40968</v>
      </c>
      <c r="B18357" s="33" t="s">
        <v>40969</v>
      </c>
      <c r="C18357" s="33" t="s">
        <v>39132</v>
      </c>
      <c r="D18357" s="33" t="s">
        <v>17</v>
      </c>
      <c r="E18357" s="33" t="s">
        <v>67</v>
      </c>
      <c r="F18357" s="33" t="s">
        <v>68</v>
      </c>
      <c r="G18357" s="33" t="s">
        <v>158</v>
      </c>
      <c r="H18357" s="35">
        <v>4</v>
      </c>
      <c r="I18357" s="33" t="s">
        <v>21</v>
      </c>
      <c r="J18357" s="42">
        <v>45350</v>
      </c>
      <c r="K18357" s="33" t="s">
        <v>22</v>
      </c>
    </row>
    <row r="18358" spans="1:11">
      <c r="A18358" s="30" t="s">
        <v>40970</v>
      </c>
      <c r="B18358" s="30" t="s">
        <v>40971</v>
      </c>
      <c r="C18358" s="30" t="s">
        <v>13993</v>
      </c>
      <c r="D18358" s="30" t="s">
        <v>17</v>
      </c>
      <c r="E18358" s="30" t="s">
        <v>31</v>
      </c>
      <c r="F18358" s="30" t="s">
        <v>32</v>
      </c>
      <c r="G18358" s="30" t="s">
        <v>140</v>
      </c>
      <c r="H18358" s="32">
        <v>33</v>
      </c>
      <c r="I18358" s="30" t="s">
        <v>51</v>
      </c>
      <c r="J18358" s="41">
        <v>45460</v>
      </c>
      <c r="K18358" s="30" t="s">
        <v>22</v>
      </c>
    </row>
    <row r="18359" spans="1:11">
      <c r="A18359" s="33" t="s">
        <v>40972</v>
      </c>
      <c r="B18359" s="33" t="s">
        <v>40973</v>
      </c>
      <c r="C18359" s="33" t="s">
        <v>310</v>
      </c>
      <c r="D18359" s="33" t="s">
        <v>17</v>
      </c>
      <c r="E18359" s="33" t="s">
        <v>26</v>
      </c>
      <c r="F18359" s="33" t="s">
        <v>27</v>
      </c>
      <c r="G18359" s="33" t="s">
        <v>20</v>
      </c>
      <c r="H18359" s="35">
        <v>56</v>
      </c>
      <c r="I18359" s="33" t="s">
        <v>21</v>
      </c>
      <c r="J18359" s="42">
        <v>45379</v>
      </c>
      <c r="K18359" s="33" t="s">
        <v>22</v>
      </c>
    </row>
    <row r="18360" spans="1:11">
      <c r="A18360" s="30" t="s">
        <v>40974</v>
      </c>
      <c r="B18360" s="30" t="s">
        <v>40975</v>
      </c>
      <c r="C18360" s="30" t="s">
        <v>190</v>
      </c>
      <c r="D18360" s="30" t="s">
        <v>17</v>
      </c>
      <c r="E18360" s="30" t="s">
        <v>18</v>
      </c>
      <c r="F18360" s="30" t="s">
        <v>19</v>
      </c>
      <c r="G18360" s="30" t="s">
        <v>140</v>
      </c>
      <c r="H18360" s="32">
        <v>500</v>
      </c>
      <c r="I18360" s="30" t="s">
        <v>51</v>
      </c>
      <c r="J18360" s="41">
        <v>45505</v>
      </c>
      <c r="K18360" s="30" t="s">
        <v>22</v>
      </c>
    </row>
    <row r="18361" spans="1:11">
      <c r="A18361" s="33" t="s">
        <v>40976</v>
      </c>
      <c r="B18361" s="33" t="s">
        <v>40977</v>
      </c>
      <c r="C18361" s="33" t="s">
        <v>40978</v>
      </c>
      <c r="D18361" s="33" t="s">
        <v>17</v>
      </c>
      <c r="E18361" s="33" t="s">
        <v>31</v>
      </c>
      <c r="F18361" s="33" t="s">
        <v>32</v>
      </c>
      <c r="G18361" s="33" t="s">
        <v>20</v>
      </c>
      <c r="H18361" s="35">
        <v>36</v>
      </c>
      <c r="I18361" s="33" t="s">
        <v>21</v>
      </c>
      <c r="J18361" s="42">
        <v>45490</v>
      </c>
      <c r="K18361" s="33" t="s">
        <v>22</v>
      </c>
    </row>
    <row r="18362" spans="1:11">
      <c r="A18362" s="30" t="s">
        <v>40979</v>
      </c>
      <c r="B18362" s="30" t="s">
        <v>40980</v>
      </c>
      <c r="C18362" s="30" t="s">
        <v>9722</v>
      </c>
      <c r="D18362" s="30" t="s">
        <v>17</v>
      </c>
      <c r="E18362" s="30" t="s">
        <v>26</v>
      </c>
      <c r="F18362" s="30" t="s">
        <v>27</v>
      </c>
      <c r="G18362" s="30" t="s">
        <v>20</v>
      </c>
      <c r="H18362" s="32">
        <v>12</v>
      </c>
      <c r="I18362" s="30" t="s">
        <v>21</v>
      </c>
      <c r="J18362" s="41">
        <v>45439</v>
      </c>
      <c r="K18362" s="30" t="s">
        <v>22</v>
      </c>
    </row>
    <row r="18363" spans="1:11">
      <c r="A18363" s="33" t="s">
        <v>40981</v>
      </c>
      <c r="B18363" s="33" t="s">
        <v>40982</v>
      </c>
      <c r="C18363" s="33" t="s">
        <v>310</v>
      </c>
      <c r="D18363" s="33" t="s">
        <v>17</v>
      </c>
      <c r="E18363" s="33" t="s">
        <v>26</v>
      </c>
      <c r="F18363" s="33" t="s">
        <v>27</v>
      </c>
      <c r="G18363" s="33" t="s">
        <v>20</v>
      </c>
      <c r="H18363" s="35">
        <v>62</v>
      </c>
      <c r="I18363" s="33" t="s">
        <v>21</v>
      </c>
      <c r="J18363" s="42">
        <v>45345</v>
      </c>
      <c r="K18363" s="33" t="s">
        <v>22</v>
      </c>
    </row>
    <row r="18364" spans="1:11">
      <c r="A18364" s="30" t="s">
        <v>40983</v>
      </c>
      <c r="B18364" s="30" t="s">
        <v>40984</v>
      </c>
      <c r="C18364" s="30" t="s">
        <v>30725</v>
      </c>
      <c r="D18364" s="30" t="s">
        <v>17</v>
      </c>
      <c r="E18364" s="30" t="s">
        <v>26</v>
      </c>
      <c r="F18364" s="30" t="s">
        <v>27</v>
      </c>
      <c r="G18364" s="30" t="s">
        <v>20</v>
      </c>
      <c r="H18364" s="32">
        <v>48</v>
      </c>
      <c r="I18364" s="30" t="s">
        <v>21</v>
      </c>
      <c r="J18364" s="41">
        <v>45537</v>
      </c>
      <c r="K18364" s="30" t="s">
        <v>22</v>
      </c>
    </row>
    <row r="18365" spans="1:11">
      <c r="A18365" s="33" t="s">
        <v>40985</v>
      </c>
      <c r="B18365" s="33" t="s">
        <v>40986</v>
      </c>
      <c r="C18365" s="33" t="s">
        <v>21009</v>
      </c>
      <c r="D18365" s="33" t="s">
        <v>17</v>
      </c>
      <c r="E18365" s="33" t="s">
        <v>26</v>
      </c>
      <c r="F18365" s="33" t="s">
        <v>27</v>
      </c>
      <c r="G18365" s="33" t="s">
        <v>20</v>
      </c>
      <c r="H18365" s="35">
        <v>26</v>
      </c>
      <c r="I18365" s="33" t="s">
        <v>21</v>
      </c>
      <c r="J18365" s="42">
        <v>45419</v>
      </c>
      <c r="K18365" s="33" t="s">
        <v>22</v>
      </c>
    </row>
    <row r="18366" spans="1:11">
      <c r="A18366" s="30" t="s">
        <v>40987</v>
      </c>
      <c r="B18366" s="30" t="s">
        <v>40988</v>
      </c>
      <c r="C18366" s="30" t="s">
        <v>40989</v>
      </c>
      <c r="D18366" s="30" t="s">
        <v>17</v>
      </c>
      <c r="E18366" s="30" t="s">
        <v>26</v>
      </c>
      <c r="F18366" s="30" t="s">
        <v>27</v>
      </c>
      <c r="G18366" s="30" t="s">
        <v>106</v>
      </c>
      <c r="H18366" s="32">
        <v>42</v>
      </c>
      <c r="I18366" s="30" t="s">
        <v>21</v>
      </c>
      <c r="J18366" s="41">
        <v>45328</v>
      </c>
      <c r="K18366" s="30" t="s">
        <v>22</v>
      </c>
    </row>
    <row r="18367" spans="1:11">
      <c r="A18367" s="33" t="s">
        <v>40990</v>
      </c>
      <c r="B18367" s="33" t="s">
        <v>40991</v>
      </c>
      <c r="C18367" s="33" t="s">
        <v>20486</v>
      </c>
      <c r="D18367" s="33" t="s">
        <v>17</v>
      </c>
      <c r="E18367" s="33" t="s">
        <v>31</v>
      </c>
      <c r="F18367" s="33" t="s">
        <v>32</v>
      </c>
      <c r="G18367" s="33" t="s">
        <v>140</v>
      </c>
      <c r="H18367" s="35">
        <v>142</v>
      </c>
      <c r="I18367" s="33" t="s">
        <v>51</v>
      </c>
      <c r="J18367" s="42">
        <v>45561</v>
      </c>
      <c r="K18367" s="33" t="s">
        <v>22</v>
      </c>
    </row>
    <row r="18368" spans="1:11">
      <c r="A18368" s="30" t="s">
        <v>40992</v>
      </c>
      <c r="B18368" s="30" t="s">
        <v>40993</v>
      </c>
      <c r="C18368" s="30" t="s">
        <v>16002</v>
      </c>
      <c r="D18368" s="30" t="s">
        <v>17</v>
      </c>
      <c r="E18368" s="30" t="s">
        <v>26</v>
      </c>
      <c r="F18368" s="30" t="s">
        <v>27</v>
      </c>
      <c r="G18368" s="30" t="s">
        <v>20</v>
      </c>
      <c r="H18368" s="32">
        <v>56</v>
      </c>
      <c r="I18368" s="30" t="s">
        <v>21</v>
      </c>
      <c r="J18368" s="41">
        <v>45321</v>
      </c>
      <c r="K18368" s="30" t="s">
        <v>22</v>
      </c>
    </row>
    <row r="18369" spans="1:11">
      <c r="A18369" s="33" t="s">
        <v>40994</v>
      </c>
      <c r="B18369" s="33" t="s">
        <v>40995</v>
      </c>
      <c r="C18369" s="33" t="s">
        <v>9728</v>
      </c>
      <c r="D18369" s="33" t="s">
        <v>17</v>
      </c>
      <c r="E18369" s="33" t="s">
        <v>67</v>
      </c>
      <c r="F18369" s="33" t="s">
        <v>68</v>
      </c>
      <c r="G18369" s="33" t="s">
        <v>7780</v>
      </c>
      <c r="H18369" s="35">
        <v>380</v>
      </c>
      <c r="I18369" s="33" t="s">
        <v>51</v>
      </c>
      <c r="J18369" s="42">
        <v>45609</v>
      </c>
      <c r="K18369" s="33" t="s">
        <v>22</v>
      </c>
    </row>
    <row r="18370" spans="1:11">
      <c r="A18370" s="30" t="s">
        <v>40996</v>
      </c>
      <c r="B18370" s="30" t="s">
        <v>40997</v>
      </c>
      <c r="C18370" s="30" t="s">
        <v>3917</v>
      </c>
      <c r="D18370" s="30" t="s">
        <v>17</v>
      </c>
      <c r="E18370" s="30" t="s">
        <v>26</v>
      </c>
      <c r="F18370" s="30" t="s">
        <v>27</v>
      </c>
      <c r="G18370" s="30" t="s">
        <v>158</v>
      </c>
      <c r="H18370" s="32">
        <v>76</v>
      </c>
      <c r="I18370" s="30" t="s">
        <v>21</v>
      </c>
      <c r="J18370" s="41">
        <v>45433</v>
      </c>
      <c r="K18370" s="30" t="s">
        <v>22</v>
      </c>
    </row>
    <row r="18371" spans="1:11">
      <c r="A18371" s="33" t="s">
        <v>40998</v>
      </c>
      <c r="B18371" s="33" t="s">
        <v>40999</v>
      </c>
      <c r="C18371" s="33" t="s">
        <v>102</v>
      </c>
      <c r="D18371" s="33" t="s">
        <v>17</v>
      </c>
      <c r="E18371" s="33" t="s">
        <v>31</v>
      </c>
      <c r="F18371" s="33" t="s">
        <v>32</v>
      </c>
      <c r="G18371" s="33" t="s">
        <v>158</v>
      </c>
      <c r="H18371" s="35">
        <v>107</v>
      </c>
      <c r="I18371" s="33" t="s">
        <v>21</v>
      </c>
      <c r="J18371" s="42">
        <v>45652</v>
      </c>
      <c r="K18371" s="33" t="s">
        <v>22</v>
      </c>
    </row>
    <row r="18372" spans="1:11">
      <c r="A18372" s="30" t="s">
        <v>41000</v>
      </c>
      <c r="B18372" s="30" t="s">
        <v>41001</v>
      </c>
      <c r="C18372" s="30" t="s">
        <v>22010</v>
      </c>
      <c r="D18372" s="30" t="s">
        <v>17</v>
      </c>
      <c r="E18372" s="30" t="s">
        <v>31</v>
      </c>
      <c r="F18372" s="30" t="s">
        <v>32</v>
      </c>
      <c r="G18372" s="30" t="s">
        <v>158</v>
      </c>
      <c r="H18372" s="32">
        <v>467</v>
      </c>
      <c r="I18372" s="30" t="s">
        <v>21</v>
      </c>
      <c r="J18372" s="41">
        <v>45581</v>
      </c>
      <c r="K18372" s="30" t="s">
        <v>22</v>
      </c>
    </row>
    <row r="18373" spans="1:11">
      <c r="A18373" s="33" t="s">
        <v>41002</v>
      </c>
      <c r="B18373" s="33" t="s">
        <v>41003</v>
      </c>
      <c r="C18373" s="33" t="s">
        <v>17523</v>
      </c>
      <c r="D18373" s="33" t="s">
        <v>17</v>
      </c>
      <c r="E18373" s="33" t="s">
        <v>26</v>
      </c>
      <c r="F18373" s="33" t="s">
        <v>27</v>
      </c>
      <c r="G18373" s="33" t="s">
        <v>140</v>
      </c>
      <c r="H18373" s="35">
        <v>270</v>
      </c>
      <c r="I18373" s="33" t="s">
        <v>51</v>
      </c>
      <c r="J18373" s="42">
        <v>45359</v>
      </c>
      <c r="K18373" s="33" t="s">
        <v>22</v>
      </c>
    </row>
    <row r="18374" spans="1:11">
      <c r="A18374" s="30" t="s">
        <v>41004</v>
      </c>
      <c r="B18374" s="30" t="s">
        <v>41005</v>
      </c>
      <c r="C18374" s="30" t="s">
        <v>36831</v>
      </c>
      <c r="D18374" s="30" t="s">
        <v>17</v>
      </c>
      <c r="E18374" s="30" t="s">
        <v>67</v>
      </c>
      <c r="F18374" s="30" t="s">
        <v>68</v>
      </c>
      <c r="G18374" s="30" t="s">
        <v>140</v>
      </c>
      <c r="H18374" s="32">
        <v>46</v>
      </c>
      <c r="I18374" s="30" t="s">
        <v>51</v>
      </c>
      <c r="J18374" s="41">
        <v>45560</v>
      </c>
      <c r="K18374" s="30" t="s">
        <v>22</v>
      </c>
    </row>
    <row r="18375" spans="1:11">
      <c r="A18375" s="33" t="s">
        <v>41006</v>
      </c>
      <c r="B18375" s="33" t="s">
        <v>41007</v>
      </c>
      <c r="C18375" s="33" t="s">
        <v>1683</v>
      </c>
      <c r="D18375" s="33" t="s">
        <v>17</v>
      </c>
      <c r="E18375" s="33" t="s">
        <v>26</v>
      </c>
      <c r="F18375" s="33" t="s">
        <v>27</v>
      </c>
      <c r="G18375" s="33" t="s">
        <v>106</v>
      </c>
      <c r="H18375" s="35">
        <v>3</v>
      </c>
      <c r="I18375" s="33" t="s">
        <v>21</v>
      </c>
      <c r="J18375" s="42">
        <v>45553</v>
      </c>
      <c r="K18375" s="33" t="s">
        <v>22</v>
      </c>
    </row>
    <row r="18376" spans="1:11">
      <c r="A18376" s="30" t="s">
        <v>41008</v>
      </c>
      <c r="B18376" s="30" t="s">
        <v>41009</v>
      </c>
      <c r="C18376" s="30" t="s">
        <v>9688</v>
      </c>
      <c r="D18376" s="30" t="s">
        <v>17</v>
      </c>
      <c r="E18376" s="30" t="s">
        <v>26</v>
      </c>
      <c r="F18376" s="30" t="s">
        <v>27</v>
      </c>
      <c r="G18376" s="30" t="s">
        <v>20</v>
      </c>
      <c r="H18376" s="32">
        <v>24</v>
      </c>
      <c r="I18376" s="30" t="s">
        <v>21</v>
      </c>
      <c r="J18376" s="41">
        <v>45535</v>
      </c>
      <c r="K18376" s="30" t="s">
        <v>22</v>
      </c>
    </row>
    <row r="18377" spans="1:11">
      <c r="A18377" s="33" t="s">
        <v>41010</v>
      </c>
      <c r="B18377" s="33" t="s">
        <v>41011</v>
      </c>
      <c r="C18377" s="33" t="s">
        <v>14816</v>
      </c>
      <c r="D18377" s="33" t="s">
        <v>17</v>
      </c>
      <c r="E18377" s="33" t="s">
        <v>26</v>
      </c>
      <c r="F18377" s="33" t="s">
        <v>27</v>
      </c>
      <c r="G18377" s="33" t="s">
        <v>50</v>
      </c>
      <c r="H18377" s="35">
        <v>28</v>
      </c>
      <c r="I18377" s="33" t="s">
        <v>51</v>
      </c>
      <c r="J18377" s="42">
        <v>45383</v>
      </c>
      <c r="K18377" s="33" t="s">
        <v>22</v>
      </c>
    </row>
    <row r="18378" spans="1:11">
      <c r="A18378" s="30" t="s">
        <v>41012</v>
      </c>
      <c r="B18378" s="30" t="s">
        <v>41013</v>
      </c>
      <c r="C18378" s="30" t="s">
        <v>41014</v>
      </c>
      <c r="D18378" s="30" t="s">
        <v>17</v>
      </c>
      <c r="E18378" s="30" t="s">
        <v>18</v>
      </c>
      <c r="F18378" s="30" t="s">
        <v>19</v>
      </c>
      <c r="G18378" s="30" t="s">
        <v>140</v>
      </c>
      <c r="H18378" s="32">
        <v>692</v>
      </c>
      <c r="I18378" s="30" t="s">
        <v>51</v>
      </c>
      <c r="J18378" s="41">
        <v>45432</v>
      </c>
      <c r="K18378" s="30" t="s">
        <v>22</v>
      </c>
    </row>
    <row r="18379" spans="1:11">
      <c r="A18379" s="33" t="s">
        <v>41015</v>
      </c>
      <c r="B18379" s="33" t="s">
        <v>41016</v>
      </c>
      <c r="C18379" s="33" t="s">
        <v>21232</v>
      </c>
      <c r="D18379" s="33" t="s">
        <v>17</v>
      </c>
      <c r="E18379" s="33" t="s">
        <v>18</v>
      </c>
      <c r="F18379" s="33" t="s">
        <v>19</v>
      </c>
      <c r="G18379" s="33" t="s">
        <v>158</v>
      </c>
      <c r="H18379" s="35">
        <v>35</v>
      </c>
      <c r="I18379" s="33" t="s">
        <v>51</v>
      </c>
      <c r="J18379" s="42">
        <v>45656</v>
      </c>
      <c r="K18379" s="33" t="s">
        <v>22</v>
      </c>
    </row>
    <row r="18380" spans="1:11">
      <c r="A18380" s="30" t="s">
        <v>41017</v>
      </c>
      <c r="B18380" s="30" t="s">
        <v>41018</v>
      </c>
      <c r="C18380" s="30" t="s">
        <v>6110</v>
      </c>
      <c r="D18380" s="30" t="s">
        <v>17</v>
      </c>
      <c r="E18380" s="30" t="s">
        <v>26</v>
      </c>
      <c r="F18380" s="30" t="s">
        <v>27</v>
      </c>
      <c r="G18380" s="30" t="s">
        <v>20</v>
      </c>
      <c r="H18380" s="32">
        <v>21</v>
      </c>
      <c r="I18380" s="30" t="s">
        <v>21</v>
      </c>
      <c r="J18380" s="41">
        <v>45401</v>
      </c>
      <c r="K18380" s="30" t="s">
        <v>22</v>
      </c>
    </row>
    <row r="18381" spans="1:11">
      <c r="A18381" s="33" t="s">
        <v>41019</v>
      </c>
      <c r="B18381" s="33" t="s">
        <v>41020</v>
      </c>
      <c r="C18381" s="33" t="s">
        <v>7759</v>
      </c>
      <c r="D18381" s="33" t="s">
        <v>17</v>
      </c>
      <c r="E18381" s="33" t="s">
        <v>18</v>
      </c>
      <c r="F18381" s="33" t="s">
        <v>19</v>
      </c>
      <c r="G18381" s="33" t="s">
        <v>140</v>
      </c>
      <c r="H18381" s="35">
        <v>412</v>
      </c>
      <c r="I18381" s="33" t="s">
        <v>51</v>
      </c>
      <c r="J18381" s="42">
        <v>45650</v>
      </c>
      <c r="K18381" s="33" t="s">
        <v>22</v>
      </c>
    </row>
    <row r="18382" spans="1:11">
      <c r="A18382" s="30" t="s">
        <v>41021</v>
      </c>
      <c r="B18382" s="30" t="s">
        <v>41022</v>
      </c>
      <c r="C18382" s="30" t="s">
        <v>18780</v>
      </c>
      <c r="D18382" s="30" t="s">
        <v>17</v>
      </c>
      <c r="E18382" s="30" t="s">
        <v>18</v>
      </c>
      <c r="F18382" s="30" t="s">
        <v>19</v>
      </c>
      <c r="G18382" s="30" t="s">
        <v>20</v>
      </c>
      <c r="H18382" s="32">
        <v>160</v>
      </c>
      <c r="I18382" s="30" t="s">
        <v>21</v>
      </c>
      <c r="J18382" s="41">
        <v>45586</v>
      </c>
      <c r="K18382" s="30" t="s">
        <v>22</v>
      </c>
    </row>
    <row r="18383" spans="1:11">
      <c r="A18383" s="33" t="s">
        <v>41023</v>
      </c>
      <c r="B18383" s="33" t="s">
        <v>41024</v>
      </c>
      <c r="C18383" s="33" t="s">
        <v>41025</v>
      </c>
      <c r="D18383" s="33" t="s">
        <v>17</v>
      </c>
      <c r="E18383" s="33" t="s">
        <v>26</v>
      </c>
      <c r="F18383" s="33" t="s">
        <v>27</v>
      </c>
      <c r="G18383" s="33" t="s">
        <v>158</v>
      </c>
      <c r="H18383" s="35">
        <v>145</v>
      </c>
      <c r="I18383" s="33" t="s">
        <v>51</v>
      </c>
      <c r="J18383" s="42">
        <v>45595</v>
      </c>
      <c r="K18383" s="33" t="s">
        <v>22</v>
      </c>
    </row>
    <row r="18384" spans="1:11">
      <c r="A18384" s="30" t="s">
        <v>41026</v>
      </c>
      <c r="B18384" s="30" t="s">
        <v>41027</v>
      </c>
      <c r="C18384" s="30" t="s">
        <v>19859</v>
      </c>
      <c r="D18384" s="30" t="s">
        <v>17</v>
      </c>
      <c r="E18384" s="30" t="s">
        <v>67</v>
      </c>
      <c r="F18384" s="30" t="s">
        <v>68</v>
      </c>
      <c r="G18384" s="30" t="s">
        <v>140</v>
      </c>
      <c r="H18384" s="32">
        <v>12</v>
      </c>
      <c r="I18384" s="30" t="s">
        <v>51</v>
      </c>
      <c r="J18384" s="41">
        <v>45448</v>
      </c>
      <c r="K18384" s="30" t="s">
        <v>22</v>
      </c>
    </row>
    <row r="18385" spans="1:11">
      <c r="A18385" s="33" t="s">
        <v>41028</v>
      </c>
      <c r="B18385" s="33" t="s">
        <v>41029</v>
      </c>
      <c r="C18385" s="33" t="s">
        <v>5032</v>
      </c>
      <c r="D18385" s="33" t="s">
        <v>17</v>
      </c>
      <c r="E18385" s="33" t="s">
        <v>31</v>
      </c>
      <c r="F18385" s="33" t="s">
        <v>32</v>
      </c>
      <c r="G18385" s="33" t="s">
        <v>140</v>
      </c>
      <c r="H18385" s="35">
        <v>24</v>
      </c>
      <c r="I18385" s="33" t="s">
        <v>51</v>
      </c>
      <c r="J18385" s="42">
        <v>45642</v>
      </c>
      <c r="K18385" s="33" t="s">
        <v>22</v>
      </c>
    </row>
    <row r="18386" spans="1:11">
      <c r="A18386" s="30" t="s">
        <v>41030</v>
      </c>
      <c r="B18386" s="30" t="s">
        <v>41031</v>
      </c>
      <c r="C18386" s="30" t="s">
        <v>1305</v>
      </c>
      <c r="D18386" s="30" t="s">
        <v>17</v>
      </c>
      <c r="E18386" s="30" t="s">
        <v>67</v>
      </c>
      <c r="F18386" s="30" t="s">
        <v>68</v>
      </c>
      <c r="G18386" s="30" t="s">
        <v>158</v>
      </c>
      <c r="H18386" s="32">
        <v>36</v>
      </c>
      <c r="I18386" s="30" t="s">
        <v>21</v>
      </c>
      <c r="J18386" s="41">
        <v>45385</v>
      </c>
      <c r="K18386" s="30" t="s">
        <v>22</v>
      </c>
    </row>
    <row r="18387" spans="1:11">
      <c r="A18387" s="33" t="s">
        <v>41032</v>
      </c>
      <c r="B18387" s="33" t="s">
        <v>41033</v>
      </c>
      <c r="C18387" s="33" t="s">
        <v>11366</v>
      </c>
      <c r="D18387" s="33" t="s">
        <v>17</v>
      </c>
      <c r="E18387" s="33" t="s">
        <v>26</v>
      </c>
      <c r="F18387" s="33" t="s">
        <v>27</v>
      </c>
      <c r="G18387" s="33" t="s">
        <v>106</v>
      </c>
      <c r="H18387" s="35">
        <v>106</v>
      </c>
      <c r="I18387" s="33" t="s">
        <v>21</v>
      </c>
      <c r="J18387" s="42">
        <v>45488</v>
      </c>
      <c r="K18387" s="33" t="s">
        <v>22</v>
      </c>
    </row>
    <row r="18388" spans="1:11">
      <c r="A18388" s="30" t="s">
        <v>41034</v>
      </c>
      <c r="B18388" s="30" t="s">
        <v>41035</v>
      </c>
      <c r="C18388" s="30" t="s">
        <v>75</v>
      </c>
      <c r="D18388" s="30" t="s">
        <v>17</v>
      </c>
      <c r="E18388" s="30" t="s">
        <v>26</v>
      </c>
      <c r="F18388" s="30" t="s">
        <v>27</v>
      </c>
      <c r="G18388" s="30" t="s">
        <v>158</v>
      </c>
      <c r="H18388" s="32">
        <v>213</v>
      </c>
      <c r="I18388" s="30" t="s">
        <v>51</v>
      </c>
      <c r="J18388" s="41">
        <v>45575</v>
      </c>
      <c r="K18388" s="30" t="s">
        <v>22</v>
      </c>
    </row>
    <row r="18389" spans="1:11">
      <c r="A18389" s="33" t="s">
        <v>41036</v>
      </c>
      <c r="B18389" s="33" t="s">
        <v>41037</v>
      </c>
      <c r="C18389" s="33" t="s">
        <v>124</v>
      </c>
      <c r="D18389" s="33" t="s">
        <v>17</v>
      </c>
      <c r="E18389" s="33" t="s">
        <v>31</v>
      </c>
      <c r="F18389" s="33" t="s">
        <v>32</v>
      </c>
      <c r="G18389" s="33" t="s">
        <v>50</v>
      </c>
      <c r="H18389" s="35">
        <v>90</v>
      </c>
      <c r="I18389" s="33" t="s">
        <v>51</v>
      </c>
      <c r="J18389" s="42">
        <v>45401</v>
      </c>
      <c r="K18389" s="33" t="s">
        <v>22</v>
      </c>
    </row>
    <row r="18390" spans="1:11">
      <c r="A18390" s="30" t="s">
        <v>41038</v>
      </c>
      <c r="B18390" s="30" t="s">
        <v>41039</v>
      </c>
      <c r="C18390" s="30" t="s">
        <v>2500</v>
      </c>
      <c r="D18390" s="30" t="s">
        <v>17</v>
      </c>
      <c r="E18390" s="30" t="s">
        <v>26</v>
      </c>
      <c r="F18390" s="30" t="s">
        <v>27</v>
      </c>
      <c r="G18390" s="30" t="s">
        <v>20</v>
      </c>
      <c r="H18390" s="32">
        <v>24</v>
      </c>
      <c r="I18390" s="30" t="s">
        <v>21</v>
      </c>
      <c r="J18390" s="41">
        <v>45355</v>
      </c>
      <c r="K18390" s="30" t="s">
        <v>22</v>
      </c>
    </row>
    <row r="18391" spans="1:11">
      <c r="A18391" s="33" t="s">
        <v>41040</v>
      </c>
      <c r="B18391" s="33" t="s">
        <v>41041</v>
      </c>
      <c r="C18391" s="33" t="s">
        <v>3660</v>
      </c>
      <c r="D18391" s="33" t="s">
        <v>17</v>
      </c>
      <c r="E18391" s="33" t="s">
        <v>31</v>
      </c>
      <c r="F18391" s="33" t="s">
        <v>32</v>
      </c>
      <c r="G18391" s="33" t="s">
        <v>20</v>
      </c>
      <c r="H18391" s="35">
        <v>27</v>
      </c>
      <c r="I18391" s="33" t="s">
        <v>21</v>
      </c>
      <c r="J18391" s="42">
        <v>45306</v>
      </c>
      <c r="K18391" s="33" t="s">
        <v>22</v>
      </c>
    </row>
    <row r="18392" spans="1:11">
      <c r="A18392" s="30" t="s">
        <v>41042</v>
      </c>
      <c r="B18392" s="30" t="s">
        <v>41043</v>
      </c>
      <c r="C18392" s="30" t="s">
        <v>32198</v>
      </c>
      <c r="D18392" s="30" t="s">
        <v>17</v>
      </c>
      <c r="E18392" s="30" t="s">
        <v>67</v>
      </c>
      <c r="F18392" s="30" t="s">
        <v>68</v>
      </c>
      <c r="G18392" s="30" t="s">
        <v>158</v>
      </c>
      <c r="H18392" s="32">
        <v>20</v>
      </c>
      <c r="I18392" s="30" t="s">
        <v>21</v>
      </c>
      <c r="J18392" s="41">
        <v>45526</v>
      </c>
      <c r="K18392" s="30" t="s">
        <v>22</v>
      </c>
    </row>
    <row r="18393" spans="1:11">
      <c r="A18393" s="33" t="s">
        <v>41044</v>
      </c>
      <c r="B18393" s="33" t="s">
        <v>41045</v>
      </c>
      <c r="C18393" s="33" t="s">
        <v>1923</v>
      </c>
      <c r="D18393" s="33" t="s">
        <v>17</v>
      </c>
      <c r="E18393" s="33" t="s">
        <v>26</v>
      </c>
      <c r="F18393" s="33" t="s">
        <v>27</v>
      </c>
      <c r="G18393" s="33" t="s">
        <v>20</v>
      </c>
      <c r="H18393" s="35">
        <v>30</v>
      </c>
      <c r="I18393" s="33" t="s">
        <v>21</v>
      </c>
      <c r="J18393" s="42">
        <v>45310</v>
      </c>
      <c r="K18393" s="33" t="s">
        <v>22</v>
      </c>
    </row>
    <row r="18394" spans="1:11">
      <c r="A18394" s="30" t="s">
        <v>41046</v>
      </c>
      <c r="B18394" s="30" t="s">
        <v>41047</v>
      </c>
      <c r="C18394" s="30" t="s">
        <v>41048</v>
      </c>
      <c r="D18394" s="30" t="s">
        <v>17</v>
      </c>
      <c r="E18394" s="30" t="s">
        <v>26</v>
      </c>
      <c r="F18394" s="30" t="s">
        <v>27</v>
      </c>
      <c r="G18394" s="30" t="s">
        <v>106</v>
      </c>
      <c r="H18394" s="32">
        <v>9</v>
      </c>
      <c r="I18394" s="30" t="s">
        <v>21</v>
      </c>
      <c r="J18394" s="41">
        <v>45553</v>
      </c>
      <c r="K18394" s="30" t="s">
        <v>22</v>
      </c>
    </row>
    <row r="18395" spans="1:11">
      <c r="A18395" s="33" t="s">
        <v>41049</v>
      </c>
      <c r="B18395" s="33" t="s">
        <v>41050</v>
      </c>
      <c r="C18395" s="33" t="s">
        <v>5845</v>
      </c>
      <c r="D18395" s="33" t="s">
        <v>17</v>
      </c>
      <c r="E18395" s="33" t="s">
        <v>26</v>
      </c>
      <c r="F18395" s="33" t="s">
        <v>27</v>
      </c>
      <c r="G18395" s="33" t="s">
        <v>20</v>
      </c>
      <c r="H18395" s="35">
        <v>20</v>
      </c>
      <c r="I18395" s="33" t="s">
        <v>21</v>
      </c>
      <c r="J18395" s="42">
        <v>45422</v>
      </c>
      <c r="K18395" s="33" t="s">
        <v>22</v>
      </c>
    </row>
    <row r="18396" spans="1:11">
      <c r="A18396" s="30" t="s">
        <v>41051</v>
      </c>
      <c r="B18396" s="30" t="s">
        <v>41052</v>
      </c>
      <c r="C18396" s="30" t="s">
        <v>25549</v>
      </c>
      <c r="D18396" s="30" t="s">
        <v>17</v>
      </c>
      <c r="E18396" s="30" t="s">
        <v>26</v>
      </c>
      <c r="F18396" s="30" t="s">
        <v>27</v>
      </c>
      <c r="G18396" s="30" t="s">
        <v>20</v>
      </c>
      <c r="H18396" s="32">
        <v>24</v>
      </c>
      <c r="I18396" s="30" t="s">
        <v>21</v>
      </c>
      <c r="J18396" s="41">
        <v>45622</v>
      </c>
      <c r="K18396" s="30" t="s">
        <v>22</v>
      </c>
    </row>
    <row r="18397" spans="1:11">
      <c r="A18397" s="33" t="s">
        <v>41053</v>
      </c>
      <c r="B18397" s="33" t="s">
        <v>41054</v>
      </c>
      <c r="C18397" s="33" t="s">
        <v>9895</v>
      </c>
      <c r="D18397" s="33" t="s">
        <v>17</v>
      </c>
      <c r="E18397" s="33" t="s">
        <v>26</v>
      </c>
      <c r="F18397" s="33" t="s">
        <v>27</v>
      </c>
      <c r="G18397" s="33" t="s">
        <v>140</v>
      </c>
      <c r="H18397" s="35">
        <v>48</v>
      </c>
      <c r="I18397" s="33" t="s">
        <v>51</v>
      </c>
      <c r="J18397" s="42">
        <v>45398</v>
      </c>
      <c r="K18397" s="33" t="s">
        <v>22</v>
      </c>
    </row>
    <row r="18398" spans="1:11">
      <c r="A18398" s="30" t="s">
        <v>41055</v>
      </c>
      <c r="B18398" s="30" t="s">
        <v>41056</v>
      </c>
      <c r="C18398" s="30" t="s">
        <v>2753</v>
      </c>
      <c r="D18398" s="30" t="s">
        <v>17</v>
      </c>
      <c r="E18398" s="30" t="s">
        <v>26</v>
      </c>
      <c r="F18398" s="30" t="s">
        <v>27</v>
      </c>
      <c r="G18398" s="30" t="s">
        <v>106</v>
      </c>
      <c r="H18398" s="32">
        <v>29</v>
      </c>
      <c r="I18398" s="30" t="s">
        <v>21</v>
      </c>
      <c r="J18398" s="41">
        <v>45577</v>
      </c>
      <c r="K18398" s="30" t="s">
        <v>22</v>
      </c>
    </row>
    <row r="18399" spans="1:11">
      <c r="A18399" s="33" t="s">
        <v>41057</v>
      </c>
      <c r="B18399" s="33" t="s">
        <v>41058</v>
      </c>
      <c r="C18399" s="33" t="s">
        <v>96</v>
      </c>
      <c r="D18399" s="33" t="s">
        <v>17</v>
      </c>
      <c r="E18399" s="33" t="s">
        <v>31</v>
      </c>
      <c r="F18399" s="33" t="s">
        <v>32</v>
      </c>
      <c r="G18399" s="33" t="s">
        <v>158</v>
      </c>
      <c r="H18399" s="35">
        <v>333</v>
      </c>
      <c r="I18399" s="33" t="s">
        <v>21</v>
      </c>
      <c r="J18399" s="42">
        <v>45300</v>
      </c>
      <c r="K18399" s="33" t="s">
        <v>22</v>
      </c>
    </row>
    <row r="18400" spans="1:11">
      <c r="A18400" s="30" t="s">
        <v>41059</v>
      </c>
      <c r="B18400" s="30" t="s">
        <v>41060</v>
      </c>
      <c r="C18400" s="30" t="s">
        <v>20240</v>
      </c>
      <c r="D18400" s="30" t="s">
        <v>17</v>
      </c>
      <c r="E18400" s="30" t="s">
        <v>212</v>
      </c>
      <c r="F18400" s="30" t="s">
        <v>213</v>
      </c>
      <c r="G18400" s="30" t="s">
        <v>20</v>
      </c>
      <c r="H18400" s="32">
        <v>24</v>
      </c>
      <c r="I18400" s="30" t="s">
        <v>21</v>
      </c>
      <c r="J18400" s="41">
        <v>45328</v>
      </c>
      <c r="K18400" s="30" t="s">
        <v>22</v>
      </c>
    </row>
    <row r="18401" spans="1:11">
      <c r="A18401" s="33" t="s">
        <v>41061</v>
      </c>
      <c r="B18401" s="33" t="s">
        <v>41062</v>
      </c>
      <c r="C18401" s="33" t="s">
        <v>28054</v>
      </c>
      <c r="D18401" s="33" t="s">
        <v>17</v>
      </c>
      <c r="E18401" s="33" t="s">
        <v>67</v>
      </c>
      <c r="F18401" s="33" t="s">
        <v>68</v>
      </c>
      <c r="G18401" s="33" t="s">
        <v>140</v>
      </c>
      <c r="H18401" s="35">
        <v>188</v>
      </c>
      <c r="I18401" s="33" t="s">
        <v>51</v>
      </c>
      <c r="J18401" s="42">
        <v>45595</v>
      </c>
      <c r="K18401" s="33" t="s">
        <v>22</v>
      </c>
    </row>
    <row r="18402" spans="1:11">
      <c r="A18402" s="30" t="s">
        <v>41063</v>
      </c>
      <c r="B18402" s="30" t="s">
        <v>41064</v>
      </c>
      <c r="C18402" s="30" t="s">
        <v>41065</v>
      </c>
      <c r="D18402" s="30" t="s">
        <v>17</v>
      </c>
      <c r="E18402" s="30" t="s">
        <v>26</v>
      </c>
      <c r="F18402" s="30" t="s">
        <v>27</v>
      </c>
      <c r="G18402" s="30" t="s">
        <v>20</v>
      </c>
      <c r="H18402" s="32">
        <v>40</v>
      </c>
      <c r="I18402" s="30" t="s">
        <v>21</v>
      </c>
      <c r="J18402" s="41">
        <v>45448</v>
      </c>
      <c r="K18402" s="30" t="s">
        <v>22</v>
      </c>
    </row>
    <row r="18403" spans="1:11">
      <c r="A18403" s="33" t="s">
        <v>41066</v>
      </c>
      <c r="B18403" s="33" t="s">
        <v>41067</v>
      </c>
      <c r="C18403" s="33" t="s">
        <v>647</v>
      </c>
      <c r="D18403" s="33" t="s">
        <v>17</v>
      </c>
      <c r="E18403" s="33" t="s">
        <v>26</v>
      </c>
      <c r="F18403" s="33" t="s">
        <v>27</v>
      </c>
      <c r="G18403" s="33" t="s">
        <v>20</v>
      </c>
      <c r="H18403" s="35">
        <v>40</v>
      </c>
      <c r="I18403" s="33" t="s">
        <v>21</v>
      </c>
      <c r="J18403" s="42">
        <v>45369</v>
      </c>
      <c r="K18403" s="33" t="s">
        <v>22</v>
      </c>
    </row>
    <row r="18404" spans="1:11">
      <c r="A18404" s="30" t="s">
        <v>41068</v>
      </c>
      <c r="B18404" s="30" t="s">
        <v>41069</v>
      </c>
      <c r="C18404" s="30" t="s">
        <v>1571</v>
      </c>
      <c r="D18404" s="30" t="s">
        <v>17</v>
      </c>
      <c r="E18404" s="30" t="s">
        <v>26</v>
      </c>
      <c r="F18404" s="30" t="s">
        <v>27</v>
      </c>
      <c r="G18404" s="30" t="s">
        <v>20</v>
      </c>
      <c r="H18404" s="32">
        <v>26</v>
      </c>
      <c r="I18404" s="30" t="s">
        <v>21</v>
      </c>
      <c r="J18404" s="41">
        <v>45636</v>
      </c>
      <c r="K18404" s="30" t="s">
        <v>22</v>
      </c>
    </row>
    <row r="18405" spans="1:11">
      <c r="A18405" s="33" t="s">
        <v>41070</v>
      </c>
      <c r="B18405" s="33" t="s">
        <v>41071</v>
      </c>
      <c r="C18405" s="33" t="s">
        <v>6127</v>
      </c>
      <c r="D18405" s="33" t="s">
        <v>17</v>
      </c>
      <c r="E18405" s="33" t="s">
        <v>31</v>
      </c>
      <c r="F18405" s="33" t="s">
        <v>32</v>
      </c>
      <c r="G18405" s="33" t="s">
        <v>20</v>
      </c>
      <c r="H18405" s="35">
        <v>375</v>
      </c>
      <c r="I18405" s="33" t="s">
        <v>21</v>
      </c>
      <c r="J18405" s="42">
        <v>45351</v>
      </c>
      <c r="K18405" s="33" t="s">
        <v>22</v>
      </c>
    </row>
    <row r="18406" spans="1:11">
      <c r="A18406" s="30" t="s">
        <v>41072</v>
      </c>
      <c r="B18406" s="30" t="s">
        <v>41073</v>
      </c>
      <c r="C18406" s="30" t="s">
        <v>10658</v>
      </c>
      <c r="D18406" s="30" t="s">
        <v>17</v>
      </c>
      <c r="E18406" s="30" t="s">
        <v>26</v>
      </c>
      <c r="F18406" s="30" t="s">
        <v>27</v>
      </c>
      <c r="G18406" s="30" t="s">
        <v>2613</v>
      </c>
      <c r="H18406" s="32">
        <v>60</v>
      </c>
      <c r="I18406" s="30" t="s">
        <v>51</v>
      </c>
      <c r="J18406" s="41">
        <v>45586</v>
      </c>
      <c r="K18406" s="30" t="s">
        <v>22</v>
      </c>
    </row>
    <row r="18407" spans="1:11">
      <c r="A18407" s="33" t="s">
        <v>41074</v>
      </c>
      <c r="B18407" s="33" t="s">
        <v>41075</v>
      </c>
      <c r="C18407" s="33" t="s">
        <v>11899</v>
      </c>
      <c r="D18407" s="33" t="s">
        <v>17</v>
      </c>
      <c r="E18407" s="33" t="s">
        <v>31</v>
      </c>
      <c r="F18407" s="33" t="s">
        <v>32</v>
      </c>
      <c r="G18407" s="33" t="s">
        <v>7780</v>
      </c>
      <c r="H18407" s="35">
        <v>60</v>
      </c>
      <c r="I18407" s="33" t="s">
        <v>51</v>
      </c>
      <c r="J18407" s="42">
        <v>45555</v>
      </c>
      <c r="K18407" s="33" t="s">
        <v>22</v>
      </c>
    </row>
    <row r="18408" spans="1:11">
      <c r="A18408" s="30" t="s">
        <v>41076</v>
      </c>
      <c r="B18408" s="30" t="s">
        <v>41077</v>
      </c>
      <c r="C18408" s="30" t="s">
        <v>9728</v>
      </c>
      <c r="D18408" s="30" t="s">
        <v>17</v>
      </c>
      <c r="E18408" s="30" t="s">
        <v>67</v>
      </c>
      <c r="F18408" s="30" t="s">
        <v>68</v>
      </c>
      <c r="G18408" s="30" t="s">
        <v>7780</v>
      </c>
      <c r="H18408" s="32">
        <v>252</v>
      </c>
      <c r="I18408" s="30" t="s">
        <v>51</v>
      </c>
      <c r="J18408" s="41">
        <v>45530</v>
      </c>
      <c r="K18408" s="30" t="s">
        <v>22</v>
      </c>
    </row>
    <row r="18409" spans="1:11">
      <c r="A18409" s="33" t="s">
        <v>41078</v>
      </c>
      <c r="B18409" s="33" t="s">
        <v>41079</v>
      </c>
      <c r="C18409" s="33" t="s">
        <v>187</v>
      </c>
      <c r="D18409" s="33" t="s">
        <v>17</v>
      </c>
      <c r="E18409" s="33" t="s">
        <v>26</v>
      </c>
      <c r="F18409" s="33" t="s">
        <v>27</v>
      </c>
      <c r="G18409" s="33" t="s">
        <v>7780</v>
      </c>
      <c r="H18409" s="35">
        <v>40</v>
      </c>
      <c r="I18409" s="33" t="s">
        <v>51</v>
      </c>
      <c r="J18409" s="42">
        <v>45597</v>
      </c>
      <c r="K18409" s="33" t="s">
        <v>22</v>
      </c>
    </row>
    <row r="18410" spans="1:11">
      <c r="A18410" s="30" t="s">
        <v>41080</v>
      </c>
      <c r="B18410" s="30" t="s">
        <v>41081</v>
      </c>
      <c r="C18410" s="30" t="s">
        <v>13779</v>
      </c>
      <c r="D18410" s="30" t="s">
        <v>17</v>
      </c>
      <c r="E18410" s="30" t="s">
        <v>45</v>
      </c>
      <c r="F18410" s="30" t="s">
        <v>46</v>
      </c>
      <c r="G18410" s="30" t="s">
        <v>158</v>
      </c>
      <c r="H18410" s="32">
        <v>247</v>
      </c>
      <c r="I18410" s="30" t="s">
        <v>21</v>
      </c>
      <c r="J18410" s="41">
        <v>45394</v>
      </c>
      <c r="K18410" s="30" t="s">
        <v>22</v>
      </c>
    </row>
    <row r="18411" spans="1:11">
      <c r="A18411" s="33" t="s">
        <v>41082</v>
      </c>
      <c r="B18411" s="33" t="s">
        <v>41083</v>
      </c>
      <c r="C18411" s="33" t="s">
        <v>3610</v>
      </c>
      <c r="D18411" s="33" t="s">
        <v>17</v>
      </c>
      <c r="E18411" s="33" t="s">
        <v>26</v>
      </c>
      <c r="F18411" s="33" t="s">
        <v>27</v>
      </c>
      <c r="G18411" s="33" t="s">
        <v>20</v>
      </c>
      <c r="H18411" s="35">
        <v>56</v>
      </c>
      <c r="I18411" s="33" t="s">
        <v>21</v>
      </c>
      <c r="J18411" s="42">
        <v>45553</v>
      </c>
      <c r="K18411" s="33" t="s">
        <v>22</v>
      </c>
    </row>
    <row r="18412" spans="1:11">
      <c r="A18412" s="30" t="s">
        <v>41084</v>
      </c>
      <c r="B18412" s="30" t="s">
        <v>41085</v>
      </c>
      <c r="C18412" s="30" t="s">
        <v>41086</v>
      </c>
      <c r="D18412" s="30" t="s">
        <v>17</v>
      </c>
      <c r="E18412" s="30" t="s">
        <v>26</v>
      </c>
      <c r="F18412" s="30" t="s">
        <v>27</v>
      </c>
      <c r="G18412" s="30" t="s">
        <v>20</v>
      </c>
      <c r="H18412" s="32">
        <v>72</v>
      </c>
      <c r="I18412" s="30" t="s">
        <v>21</v>
      </c>
      <c r="J18412" s="41">
        <v>45630</v>
      </c>
      <c r="K18412" s="30" t="s">
        <v>22</v>
      </c>
    </row>
    <row r="18413" spans="1:11">
      <c r="A18413" s="33" t="s">
        <v>41087</v>
      </c>
      <c r="B18413" s="33" t="s">
        <v>41088</v>
      </c>
      <c r="C18413" s="33" t="s">
        <v>1498</v>
      </c>
      <c r="D18413" s="33" t="s">
        <v>17</v>
      </c>
      <c r="E18413" s="33" t="s">
        <v>26</v>
      </c>
      <c r="F18413" s="33" t="s">
        <v>27</v>
      </c>
      <c r="G18413" s="33" t="s">
        <v>20</v>
      </c>
      <c r="H18413" s="35">
        <v>172</v>
      </c>
      <c r="I18413" s="33" t="s">
        <v>21</v>
      </c>
      <c r="J18413" s="42">
        <v>45303</v>
      </c>
      <c r="K18413" s="33" t="s">
        <v>22</v>
      </c>
    </row>
    <row r="18414" spans="1:11">
      <c r="A18414" s="30" t="s">
        <v>41089</v>
      </c>
      <c r="B18414" s="30" t="s">
        <v>41090</v>
      </c>
      <c r="C18414" s="30" t="s">
        <v>1981</v>
      </c>
      <c r="D18414" s="30" t="s">
        <v>17</v>
      </c>
      <c r="E18414" s="30" t="s">
        <v>31</v>
      </c>
      <c r="F18414" s="30" t="s">
        <v>32</v>
      </c>
      <c r="G18414" s="30" t="s">
        <v>112</v>
      </c>
      <c r="H18414" s="32">
        <v>0</v>
      </c>
      <c r="I18414" s="30" t="s">
        <v>21</v>
      </c>
      <c r="J18414" s="41">
        <v>45321</v>
      </c>
      <c r="K18414" s="30" t="s">
        <v>22</v>
      </c>
    </row>
    <row r="18415" spans="1:11">
      <c r="A18415" s="33" t="s">
        <v>41091</v>
      </c>
      <c r="B18415" s="33" t="s">
        <v>41092</v>
      </c>
      <c r="C18415" s="33" t="s">
        <v>22597</v>
      </c>
      <c r="D18415" s="33" t="s">
        <v>17</v>
      </c>
      <c r="E18415" s="33" t="s">
        <v>26</v>
      </c>
      <c r="F18415" s="33" t="s">
        <v>27</v>
      </c>
      <c r="G18415" s="33" t="s">
        <v>20</v>
      </c>
      <c r="H18415" s="35">
        <v>52</v>
      </c>
      <c r="I18415" s="33" t="s">
        <v>21</v>
      </c>
      <c r="J18415" s="42">
        <v>45464</v>
      </c>
      <c r="K18415" s="33" t="s">
        <v>22</v>
      </c>
    </row>
    <row r="18416" spans="1:11">
      <c r="A18416" s="30" t="s">
        <v>41093</v>
      </c>
      <c r="B18416" s="30" t="s">
        <v>41094</v>
      </c>
      <c r="C18416" s="30" t="s">
        <v>41095</v>
      </c>
      <c r="D18416" s="30" t="s">
        <v>17</v>
      </c>
      <c r="E18416" s="30" t="s">
        <v>67</v>
      </c>
      <c r="F18416" s="30" t="s">
        <v>68</v>
      </c>
      <c r="G18416" s="30" t="s">
        <v>106</v>
      </c>
      <c r="H18416" s="32">
        <v>8</v>
      </c>
      <c r="I18416" s="30" t="s">
        <v>21</v>
      </c>
      <c r="J18416" s="41">
        <v>45601</v>
      </c>
      <c r="K18416" s="30" t="s">
        <v>22</v>
      </c>
    </row>
    <row r="18417" spans="1:11">
      <c r="A18417" s="33" t="s">
        <v>41096</v>
      </c>
      <c r="B18417" s="33" t="s">
        <v>41097</v>
      </c>
      <c r="C18417" s="33" t="s">
        <v>187</v>
      </c>
      <c r="D18417" s="33" t="s">
        <v>17</v>
      </c>
      <c r="E18417" s="33" t="s">
        <v>26</v>
      </c>
      <c r="F18417" s="33" t="s">
        <v>27</v>
      </c>
      <c r="G18417" s="33" t="s">
        <v>7780</v>
      </c>
      <c r="H18417" s="35">
        <v>59</v>
      </c>
      <c r="I18417" s="33" t="s">
        <v>51</v>
      </c>
      <c r="J18417" s="42">
        <v>45444</v>
      </c>
      <c r="K18417" s="33" t="s">
        <v>22</v>
      </c>
    </row>
    <row r="18418" spans="1:11">
      <c r="A18418" s="30" t="s">
        <v>41098</v>
      </c>
      <c r="B18418" s="30" t="s">
        <v>41099</v>
      </c>
      <c r="C18418" s="30" t="s">
        <v>5084</v>
      </c>
      <c r="D18418" s="30" t="s">
        <v>17</v>
      </c>
      <c r="E18418" s="30" t="s">
        <v>18</v>
      </c>
      <c r="F18418" s="30" t="s">
        <v>19</v>
      </c>
      <c r="G18418" s="30" t="s">
        <v>50</v>
      </c>
      <c r="H18418" s="32">
        <v>358</v>
      </c>
      <c r="I18418" s="30" t="s">
        <v>51</v>
      </c>
      <c r="J18418" s="41">
        <v>45427</v>
      </c>
      <c r="K18418" s="30" t="s">
        <v>22</v>
      </c>
    </row>
    <row r="18419" spans="1:11">
      <c r="A18419" s="33" t="s">
        <v>41100</v>
      </c>
      <c r="B18419" s="33" t="s">
        <v>41101</v>
      </c>
      <c r="C18419" s="33" t="s">
        <v>11899</v>
      </c>
      <c r="D18419" s="33" t="s">
        <v>17</v>
      </c>
      <c r="E18419" s="33" t="s">
        <v>26</v>
      </c>
      <c r="F18419" s="33" t="s">
        <v>27</v>
      </c>
      <c r="G18419" s="33" t="s">
        <v>140</v>
      </c>
      <c r="H18419" s="35">
        <v>162</v>
      </c>
      <c r="I18419" s="33" t="s">
        <v>51</v>
      </c>
      <c r="J18419" s="42">
        <v>45609</v>
      </c>
      <c r="K18419" s="33" t="s">
        <v>22</v>
      </c>
    </row>
    <row r="18420" spans="1:11">
      <c r="A18420" s="30" t="s">
        <v>41102</v>
      </c>
      <c r="B18420" s="30" t="s">
        <v>41103</v>
      </c>
      <c r="C18420" s="30" t="s">
        <v>1080</v>
      </c>
      <c r="D18420" s="30" t="s">
        <v>17</v>
      </c>
      <c r="E18420" s="30" t="s">
        <v>31</v>
      </c>
      <c r="F18420" s="30" t="s">
        <v>32</v>
      </c>
      <c r="G18420" s="30" t="s">
        <v>50</v>
      </c>
      <c r="H18420" s="32">
        <v>220</v>
      </c>
      <c r="I18420" s="30" t="s">
        <v>51</v>
      </c>
      <c r="J18420" s="41">
        <v>45376</v>
      </c>
      <c r="K18420" s="30" t="s">
        <v>22</v>
      </c>
    </row>
    <row r="18421" spans="1:11">
      <c r="A18421" s="33" t="s">
        <v>41104</v>
      </c>
      <c r="B18421" s="33" t="s">
        <v>41105</v>
      </c>
      <c r="C18421" s="33" t="s">
        <v>12256</v>
      </c>
      <c r="D18421" s="33" t="s">
        <v>17</v>
      </c>
      <c r="E18421" s="33" t="s">
        <v>45</v>
      </c>
      <c r="F18421" s="33" t="s">
        <v>46</v>
      </c>
      <c r="G18421" s="33" t="s">
        <v>140</v>
      </c>
      <c r="H18421" s="35">
        <v>55</v>
      </c>
      <c r="I18421" s="33" t="s">
        <v>51</v>
      </c>
      <c r="J18421" s="42">
        <v>45294</v>
      </c>
      <c r="K18421" s="33" t="s">
        <v>22</v>
      </c>
    </row>
    <row r="18422" spans="1:11">
      <c r="A18422" s="30" t="s">
        <v>41106</v>
      </c>
      <c r="B18422" s="30" t="s">
        <v>41107</v>
      </c>
      <c r="C18422" s="30" t="s">
        <v>41108</v>
      </c>
      <c r="D18422" s="30" t="s">
        <v>17</v>
      </c>
      <c r="E18422" s="30" t="s">
        <v>212</v>
      </c>
      <c r="F18422" s="30" t="s">
        <v>213</v>
      </c>
      <c r="G18422" s="30" t="s">
        <v>140</v>
      </c>
      <c r="H18422" s="32">
        <v>32000</v>
      </c>
      <c r="I18422" s="30" t="s">
        <v>51</v>
      </c>
      <c r="J18422" s="41">
        <v>45526</v>
      </c>
      <c r="K18422" s="30" t="s">
        <v>22</v>
      </c>
    </row>
    <row r="18423" spans="1:11">
      <c r="A18423" s="33" t="s">
        <v>41109</v>
      </c>
      <c r="B18423" s="33" t="s">
        <v>41110</v>
      </c>
      <c r="C18423" s="33" t="s">
        <v>12063</v>
      </c>
      <c r="D18423" s="33" t="s">
        <v>17</v>
      </c>
      <c r="E18423" s="33" t="s">
        <v>45</v>
      </c>
      <c r="F18423" s="33" t="s">
        <v>46</v>
      </c>
      <c r="G18423" s="33" t="s">
        <v>158</v>
      </c>
      <c r="H18423" s="35">
        <v>410</v>
      </c>
      <c r="I18423" s="33" t="s">
        <v>51</v>
      </c>
      <c r="J18423" s="42">
        <v>45426</v>
      </c>
      <c r="K18423" s="33" t="s">
        <v>22</v>
      </c>
    </row>
    <row r="18424" spans="1:11">
      <c r="A18424" s="30" t="s">
        <v>41111</v>
      </c>
      <c r="B18424" s="30" t="s">
        <v>41112</v>
      </c>
      <c r="C18424" s="30" t="s">
        <v>647</v>
      </c>
      <c r="D18424" s="30" t="s">
        <v>17</v>
      </c>
      <c r="E18424" s="30" t="s">
        <v>26</v>
      </c>
      <c r="F18424" s="30" t="s">
        <v>27</v>
      </c>
      <c r="G18424" s="30" t="s">
        <v>20</v>
      </c>
      <c r="H18424" s="32">
        <v>60</v>
      </c>
      <c r="I18424" s="30" t="s">
        <v>21</v>
      </c>
      <c r="J18424" s="41">
        <v>45559</v>
      </c>
      <c r="K18424" s="30" t="s">
        <v>22</v>
      </c>
    </row>
    <row r="18425" spans="1:11">
      <c r="A18425" s="33" t="s">
        <v>41113</v>
      </c>
      <c r="B18425" s="33" t="s">
        <v>41114</v>
      </c>
      <c r="C18425" s="33" t="s">
        <v>647</v>
      </c>
      <c r="D18425" s="33" t="s">
        <v>17</v>
      </c>
      <c r="E18425" s="33" t="s">
        <v>26</v>
      </c>
      <c r="F18425" s="33" t="s">
        <v>27</v>
      </c>
      <c r="G18425" s="33" t="s">
        <v>20</v>
      </c>
      <c r="H18425" s="35">
        <v>16</v>
      </c>
      <c r="I18425" s="33" t="s">
        <v>21</v>
      </c>
      <c r="J18425" s="42">
        <v>45400</v>
      </c>
      <c r="K18425" s="33" t="s">
        <v>22</v>
      </c>
    </row>
    <row r="18426" spans="1:11">
      <c r="A18426" s="30" t="s">
        <v>41115</v>
      </c>
      <c r="B18426" s="30" t="s">
        <v>41116</v>
      </c>
      <c r="C18426" s="30" t="s">
        <v>1422</v>
      </c>
      <c r="D18426" s="30" t="s">
        <v>17</v>
      </c>
      <c r="E18426" s="30" t="s">
        <v>31</v>
      </c>
      <c r="F18426" s="30" t="s">
        <v>32</v>
      </c>
      <c r="G18426" s="30" t="s">
        <v>140</v>
      </c>
      <c r="H18426" s="32">
        <v>81</v>
      </c>
      <c r="I18426" s="30" t="s">
        <v>51</v>
      </c>
      <c r="J18426" s="41">
        <v>45562</v>
      </c>
      <c r="K18426" s="30" t="s">
        <v>22</v>
      </c>
    </row>
    <row r="18427" spans="1:11">
      <c r="A18427" s="33" t="s">
        <v>41117</v>
      </c>
      <c r="B18427" s="33" t="s">
        <v>41118</v>
      </c>
      <c r="C18427" s="33" t="s">
        <v>747</v>
      </c>
      <c r="D18427" s="33" t="s">
        <v>17</v>
      </c>
      <c r="E18427" s="33" t="s">
        <v>26</v>
      </c>
      <c r="F18427" s="33" t="s">
        <v>27</v>
      </c>
      <c r="G18427" s="33" t="s">
        <v>20</v>
      </c>
      <c r="H18427" s="35">
        <v>44</v>
      </c>
      <c r="I18427" s="33" t="s">
        <v>21</v>
      </c>
      <c r="J18427" s="42">
        <v>45562</v>
      </c>
      <c r="K18427" s="33" t="s">
        <v>22</v>
      </c>
    </row>
    <row r="18428" spans="1:11">
      <c r="A18428" s="30" t="s">
        <v>41119</v>
      </c>
      <c r="B18428" s="30" t="s">
        <v>41120</v>
      </c>
      <c r="C18428" s="30" t="s">
        <v>41121</v>
      </c>
      <c r="D18428" s="30" t="s">
        <v>17</v>
      </c>
      <c r="E18428" s="30" t="s">
        <v>26</v>
      </c>
      <c r="F18428" s="30" t="s">
        <v>27</v>
      </c>
      <c r="G18428" s="30" t="s">
        <v>20</v>
      </c>
      <c r="H18428" s="32">
        <v>72</v>
      </c>
      <c r="I18428" s="30" t="s">
        <v>21</v>
      </c>
      <c r="J18428" s="41">
        <v>45637</v>
      </c>
      <c r="K18428" s="30" t="s">
        <v>22</v>
      </c>
    </row>
    <row r="18429" spans="1:11">
      <c r="A18429" s="33" t="s">
        <v>41122</v>
      </c>
      <c r="B18429" s="33" t="s">
        <v>41123</v>
      </c>
      <c r="C18429" s="33" t="s">
        <v>93</v>
      </c>
      <c r="D18429" s="33" t="s">
        <v>17</v>
      </c>
      <c r="E18429" s="33" t="s">
        <v>31</v>
      </c>
      <c r="F18429" s="33" t="s">
        <v>32</v>
      </c>
      <c r="G18429" s="33" t="s">
        <v>158</v>
      </c>
      <c r="H18429" s="35">
        <v>83</v>
      </c>
      <c r="I18429" s="33" t="s">
        <v>21</v>
      </c>
      <c r="J18429" s="42">
        <v>45645</v>
      </c>
      <c r="K18429" s="33" t="s">
        <v>22</v>
      </c>
    </row>
    <row r="18430" spans="1:11">
      <c r="A18430" s="30" t="s">
        <v>41124</v>
      </c>
      <c r="B18430" s="30" t="s">
        <v>41125</v>
      </c>
      <c r="C18430" s="30" t="s">
        <v>310</v>
      </c>
      <c r="D18430" s="30" t="s">
        <v>17</v>
      </c>
      <c r="E18430" s="30" t="s">
        <v>26</v>
      </c>
      <c r="F18430" s="30" t="s">
        <v>27</v>
      </c>
      <c r="G18430" s="30" t="s">
        <v>158</v>
      </c>
      <c r="H18430" s="32">
        <v>63</v>
      </c>
      <c r="I18430" s="30" t="s">
        <v>21</v>
      </c>
      <c r="J18430" s="41">
        <v>45538</v>
      </c>
      <c r="K18430" s="30" t="s">
        <v>22</v>
      </c>
    </row>
    <row r="18431" spans="1:11">
      <c r="A18431" s="33" t="s">
        <v>41126</v>
      </c>
      <c r="B18431" s="33" t="s">
        <v>41127</v>
      </c>
      <c r="C18431" s="33" t="s">
        <v>41128</v>
      </c>
      <c r="D18431" s="33" t="s">
        <v>17</v>
      </c>
      <c r="E18431" s="33" t="s">
        <v>31</v>
      </c>
      <c r="F18431" s="33" t="s">
        <v>32</v>
      </c>
      <c r="G18431" s="33" t="s">
        <v>50</v>
      </c>
      <c r="H18431" s="35">
        <v>67</v>
      </c>
      <c r="I18431" s="33" t="s">
        <v>51</v>
      </c>
      <c r="J18431" s="42">
        <v>45292</v>
      </c>
      <c r="K18431" s="33" t="s">
        <v>22</v>
      </c>
    </row>
    <row r="18432" spans="1:11">
      <c r="A18432" s="30" t="s">
        <v>41129</v>
      </c>
      <c r="B18432" s="30" t="s">
        <v>41130</v>
      </c>
      <c r="C18432" s="30" t="s">
        <v>647</v>
      </c>
      <c r="D18432" s="30" t="s">
        <v>17</v>
      </c>
      <c r="E18432" s="30" t="s">
        <v>31</v>
      </c>
      <c r="F18432" s="30" t="s">
        <v>32</v>
      </c>
      <c r="G18432" s="30" t="s">
        <v>20</v>
      </c>
      <c r="H18432" s="32">
        <v>124</v>
      </c>
      <c r="I18432" s="30" t="s">
        <v>21</v>
      </c>
      <c r="J18432" s="41">
        <v>45502</v>
      </c>
      <c r="K18432" s="30" t="s">
        <v>22</v>
      </c>
    </row>
    <row r="18433" spans="1:11">
      <c r="A18433" s="33" t="s">
        <v>41131</v>
      </c>
      <c r="B18433" s="33" t="s">
        <v>41132</v>
      </c>
      <c r="C18433" s="33" t="s">
        <v>7649</v>
      </c>
      <c r="D18433" s="33" t="s">
        <v>17</v>
      </c>
      <c r="E18433" s="33" t="s">
        <v>18</v>
      </c>
      <c r="F18433" s="33" t="s">
        <v>19</v>
      </c>
      <c r="G18433" s="33" t="s">
        <v>140</v>
      </c>
      <c r="H18433" s="35">
        <v>60</v>
      </c>
      <c r="I18433" s="33" t="s">
        <v>51</v>
      </c>
      <c r="J18433" s="42">
        <v>45618</v>
      </c>
      <c r="K18433" s="33" t="s">
        <v>22</v>
      </c>
    </row>
    <row r="18434" spans="1:11">
      <c r="A18434" s="30" t="s">
        <v>41133</v>
      </c>
      <c r="B18434" s="30" t="s">
        <v>41134</v>
      </c>
      <c r="C18434" s="30" t="s">
        <v>1237</v>
      </c>
      <c r="D18434" s="30" t="s">
        <v>17</v>
      </c>
      <c r="E18434" s="30" t="s">
        <v>18</v>
      </c>
      <c r="F18434" s="30" t="s">
        <v>19</v>
      </c>
      <c r="G18434" s="30" t="s">
        <v>50</v>
      </c>
      <c r="H18434" s="32">
        <v>400</v>
      </c>
      <c r="I18434" s="30" t="s">
        <v>51</v>
      </c>
      <c r="J18434" s="41">
        <v>45352</v>
      </c>
      <c r="K18434" s="30" t="s">
        <v>22</v>
      </c>
    </row>
    <row r="18435" spans="1:11">
      <c r="A18435" s="33" t="s">
        <v>41135</v>
      </c>
      <c r="B18435" s="33" t="s">
        <v>41136</v>
      </c>
      <c r="C18435" s="33" t="s">
        <v>41137</v>
      </c>
      <c r="D18435" s="33" t="s">
        <v>17</v>
      </c>
      <c r="E18435" s="33" t="s">
        <v>26</v>
      </c>
      <c r="F18435" s="33" t="s">
        <v>27</v>
      </c>
      <c r="G18435" s="33" t="s">
        <v>20</v>
      </c>
      <c r="H18435" s="35">
        <v>148</v>
      </c>
      <c r="I18435" s="33" t="s">
        <v>21</v>
      </c>
      <c r="J18435" s="42">
        <v>45630</v>
      </c>
      <c r="K18435" s="33" t="s">
        <v>22</v>
      </c>
    </row>
    <row r="18436" spans="1:11">
      <c r="A18436" s="30" t="s">
        <v>41138</v>
      </c>
      <c r="B18436" s="30" t="s">
        <v>41139</v>
      </c>
      <c r="C18436" s="30" t="s">
        <v>41140</v>
      </c>
      <c r="D18436" s="30" t="s">
        <v>17</v>
      </c>
      <c r="E18436" s="30" t="s">
        <v>67</v>
      </c>
      <c r="F18436" s="30" t="s">
        <v>68</v>
      </c>
      <c r="G18436" s="30" t="s">
        <v>50</v>
      </c>
      <c r="H18436" s="32">
        <v>48</v>
      </c>
      <c r="I18436" s="30" t="s">
        <v>51</v>
      </c>
      <c r="J18436" s="41">
        <v>45413</v>
      </c>
      <c r="K18436" s="30" t="s">
        <v>22</v>
      </c>
    </row>
    <row r="18437" spans="1:11">
      <c r="A18437" s="33" t="s">
        <v>41141</v>
      </c>
      <c r="B18437" s="33" t="s">
        <v>41142</v>
      </c>
      <c r="C18437" s="33" t="s">
        <v>2034</v>
      </c>
      <c r="D18437" s="33" t="s">
        <v>17</v>
      </c>
      <c r="E18437" s="33" t="s">
        <v>31</v>
      </c>
      <c r="F18437" s="33" t="s">
        <v>32</v>
      </c>
      <c r="G18437" s="33" t="s">
        <v>158</v>
      </c>
      <c r="H18437" s="35">
        <v>456</v>
      </c>
      <c r="I18437" s="33" t="s">
        <v>51</v>
      </c>
      <c r="J18437" s="42">
        <v>45376</v>
      </c>
      <c r="K18437" s="33" t="s">
        <v>22</v>
      </c>
    </row>
    <row r="18438" spans="1:11">
      <c r="A18438" s="30" t="s">
        <v>41143</v>
      </c>
      <c r="B18438" s="30" t="s">
        <v>41144</v>
      </c>
      <c r="C18438" s="30" t="s">
        <v>37361</v>
      </c>
      <c r="D18438" s="30" t="s">
        <v>17</v>
      </c>
      <c r="E18438" s="30" t="s">
        <v>67</v>
      </c>
      <c r="F18438" s="30" t="s">
        <v>68</v>
      </c>
      <c r="G18438" s="30" t="s">
        <v>140</v>
      </c>
      <c r="H18438" s="32">
        <v>135</v>
      </c>
      <c r="I18438" s="30" t="s">
        <v>51</v>
      </c>
      <c r="J18438" s="41">
        <v>45427</v>
      </c>
      <c r="K18438" s="30" t="s">
        <v>22</v>
      </c>
    </row>
    <row r="18439" spans="1:11">
      <c r="A18439" s="33" t="s">
        <v>41145</v>
      </c>
      <c r="B18439" s="33" t="s">
        <v>41146</v>
      </c>
      <c r="C18439" s="33" t="s">
        <v>41147</v>
      </c>
      <c r="D18439" s="33" t="s">
        <v>17</v>
      </c>
      <c r="E18439" s="33" t="s">
        <v>31</v>
      </c>
      <c r="F18439" s="33" t="s">
        <v>32</v>
      </c>
      <c r="G18439" s="33" t="s">
        <v>140</v>
      </c>
      <c r="H18439" s="35">
        <v>60</v>
      </c>
      <c r="I18439" s="33" t="s">
        <v>51</v>
      </c>
      <c r="J18439" s="42">
        <v>45510</v>
      </c>
      <c r="K18439" s="33" t="s">
        <v>22</v>
      </c>
    </row>
    <row r="18440" spans="1:11">
      <c r="A18440" s="30" t="s">
        <v>41148</v>
      </c>
      <c r="B18440" s="30" t="s">
        <v>41149</v>
      </c>
      <c r="C18440" s="30" t="s">
        <v>231</v>
      </c>
      <c r="D18440" s="30" t="s">
        <v>17</v>
      </c>
      <c r="E18440" s="30" t="s">
        <v>18</v>
      </c>
      <c r="F18440" s="30" t="s">
        <v>19</v>
      </c>
      <c r="G18440" s="30" t="s">
        <v>140</v>
      </c>
      <c r="H18440" s="32">
        <v>1700</v>
      </c>
      <c r="I18440" s="30" t="s">
        <v>51</v>
      </c>
      <c r="J18440" s="41">
        <v>45418</v>
      </c>
      <c r="K18440" s="30" t="s">
        <v>22</v>
      </c>
    </row>
    <row r="18441" spans="1:11">
      <c r="A18441" s="33" t="s">
        <v>41150</v>
      </c>
      <c r="B18441" s="33" t="s">
        <v>41151</v>
      </c>
      <c r="C18441" s="33" t="s">
        <v>30456</v>
      </c>
      <c r="D18441" s="33" t="s">
        <v>17</v>
      </c>
      <c r="E18441" s="33" t="s">
        <v>330</v>
      </c>
      <c r="F18441" s="33" t="s">
        <v>331</v>
      </c>
      <c r="G18441" s="33" t="s">
        <v>140</v>
      </c>
      <c r="H18441" s="35">
        <v>18</v>
      </c>
      <c r="I18441" s="33" t="s">
        <v>51</v>
      </c>
      <c r="J18441" s="42">
        <v>45604</v>
      </c>
      <c r="K18441" s="33" t="s">
        <v>22</v>
      </c>
    </row>
    <row r="18442" spans="1:11">
      <c r="A18442" s="30" t="s">
        <v>41152</v>
      </c>
      <c r="B18442" s="30" t="s">
        <v>41153</v>
      </c>
      <c r="C18442" s="30" t="s">
        <v>44</v>
      </c>
      <c r="D18442" s="30" t="s">
        <v>17</v>
      </c>
      <c r="E18442" s="30" t="s">
        <v>31</v>
      </c>
      <c r="F18442" s="30" t="s">
        <v>32</v>
      </c>
      <c r="G18442" s="30" t="s">
        <v>112</v>
      </c>
      <c r="H18442" s="32">
        <v>0</v>
      </c>
      <c r="I18442" s="30" t="s">
        <v>21</v>
      </c>
      <c r="J18442" s="41">
        <v>45610</v>
      </c>
      <c r="K18442" s="30" t="s">
        <v>22</v>
      </c>
    </row>
    <row r="18443" spans="1:11">
      <c r="A18443" s="33" t="s">
        <v>41154</v>
      </c>
      <c r="B18443" s="33" t="s">
        <v>41155</v>
      </c>
      <c r="C18443" s="33" t="s">
        <v>41156</v>
      </c>
      <c r="D18443" s="33" t="s">
        <v>17</v>
      </c>
      <c r="E18443" s="33" t="s">
        <v>18</v>
      </c>
      <c r="F18443" s="33" t="s">
        <v>19</v>
      </c>
      <c r="G18443" s="33" t="s">
        <v>158</v>
      </c>
      <c r="H18443" s="35">
        <v>300</v>
      </c>
      <c r="I18443" s="33" t="s">
        <v>51</v>
      </c>
      <c r="J18443" s="42">
        <v>45476</v>
      </c>
      <c r="K18443" s="33" t="s">
        <v>22</v>
      </c>
    </row>
    <row r="18444" spans="1:11">
      <c r="A18444" s="30" t="s">
        <v>41157</v>
      </c>
      <c r="B18444" s="30" t="s">
        <v>41158</v>
      </c>
      <c r="C18444" s="30" t="s">
        <v>41159</v>
      </c>
      <c r="D18444" s="30" t="s">
        <v>17</v>
      </c>
      <c r="E18444" s="30" t="s">
        <v>26</v>
      </c>
      <c r="F18444" s="30" t="s">
        <v>27</v>
      </c>
      <c r="G18444" s="30" t="s">
        <v>20</v>
      </c>
      <c r="H18444" s="32">
        <v>16</v>
      </c>
      <c r="I18444" s="30" t="s">
        <v>21</v>
      </c>
      <c r="J18444" s="41">
        <v>45455</v>
      </c>
      <c r="K18444" s="30" t="s">
        <v>22</v>
      </c>
    </row>
    <row r="18445" spans="1:11">
      <c r="A18445" s="33" t="s">
        <v>41160</v>
      </c>
      <c r="B18445" s="33" t="s">
        <v>41161</v>
      </c>
      <c r="C18445" s="33" t="s">
        <v>34567</v>
      </c>
      <c r="D18445" s="33" t="s">
        <v>17</v>
      </c>
      <c r="E18445" s="33" t="s">
        <v>31</v>
      </c>
      <c r="F18445" s="33" t="s">
        <v>32</v>
      </c>
      <c r="G18445" s="33" t="s">
        <v>106</v>
      </c>
      <c r="H18445" s="35">
        <v>18</v>
      </c>
      <c r="I18445" s="33" t="s">
        <v>21</v>
      </c>
      <c r="J18445" s="42">
        <v>45580</v>
      </c>
      <c r="K18445" s="33" t="s">
        <v>22</v>
      </c>
    </row>
    <row r="18446" spans="1:11">
      <c r="A18446" s="30" t="s">
        <v>41162</v>
      </c>
      <c r="B18446" s="30" t="s">
        <v>41163</v>
      </c>
      <c r="C18446" s="30" t="s">
        <v>41164</v>
      </c>
      <c r="D18446" s="30" t="s">
        <v>17</v>
      </c>
      <c r="E18446" s="30" t="s">
        <v>212</v>
      </c>
      <c r="F18446" s="30" t="s">
        <v>213</v>
      </c>
      <c r="G18446" s="30" t="s">
        <v>140</v>
      </c>
      <c r="H18446" s="32">
        <v>10</v>
      </c>
      <c r="I18446" s="30" t="s">
        <v>51</v>
      </c>
      <c r="J18446" s="41">
        <v>45292</v>
      </c>
      <c r="K18446" s="30" t="s">
        <v>22</v>
      </c>
    </row>
    <row r="18447" spans="1:11">
      <c r="A18447" s="33" t="s">
        <v>41165</v>
      </c>
      <c r="B18447" s="33" t="s">
        <v>41166</v>
      </c>
      <c r="C18447" s="33" t="s">
        <v>109</v>
      </c>
      <c r="D18447" s="33" t="s">
        <v>17</v>
      </c>
      <c r="E18447" s="33" t="s">
        <v>31</v>
      </c>
      <c r="F18447" s="33" t="s">
        <v>32</v>
      </c>
      <c r="G18447" s="33" t="s">
        <v>158</v>
      </c>
      <c r="H18447" s="35">
        <v>84</v>
      </c>
      <c r="I18447" s="33" t="s">
        <v>21</v>
      </c>
      <c r="J18447" s="42">
        <v>45509</v>
      </c>
      <c r="K18447" s="33" t="s">
        <v>22</v>
      </c>
    </row>
    <row r="18448" spans="1:11">
      <c r="A18448" s="30" t="s">
        <v>41167</v>
      </c>
      <c r="B18448" s="30" t="s">
        <v>41168</v>
      </c>
      <c r="C18448" s="30" t="s">
        <v>969</v>
      </c>
      <c r="D18448" s="30" t="s">
        <v>17</v>
      </c>
      <c r="E18448" s="30" t="s">
        <v>18</v>
      </c>
      <c r="F18448" s="30" t="s">
        <v>19</v>
      </c>
      <c r="G18448" s="30" t="s">
        <v>140</v>
      </c>
      <c r="H18448" s="32">
        <v>864</v>
      </c>
      <c r="I18448" s="30" t="s">
        <v>51</v>
      </c>
      <c r="J18448" s="41">
        <v>45372</v>
      </c>
      <c r="K18448" s="30" t="s">
        <v>22</v>
      </c>
    </row>
    <row r="18449" spans="1:11">
      <c r="A18449" s="33" t="s">
        <v>41169</v>
      </c>
      <c r="B18449" s="33" t="s">
        <v>41170</v>
      </c>
      <c r="C18449" s="33" t="s">
        <v>41171</v>
      </c>
      <c r="D18449" s="33" t="s">
        <v>17</v>
      </c>
      <c r="E18449" s="33" t="s">
        <v>26</v>
      </c>
      <c r="F18449" s="33" t="s">
        <v>27</v>
      </c>
      <c r="G18449" s="33" t="s">
        <v>140</v>
      </c>
      <c r="H18449" s="35">
        <v>33</v>
      </c>
      <c r="I18449" s="33" t="s">
        <v>51</v>
      </c>
      <c r="J18449" s="42">
        <v>45554</v>
      </c>
      <c r="K18449" s="33" t="s">
        <v>22</v>
      </c>
    </row>
    <row r="18450" spans="1:11">
      <c r="A18450" s="30" t="s">
        <v>41172</v>
      </c>
      <c r="B18450" s="30" t="s">
        <v>41173</v>
      </c>
      <c r="C18450" s="30" t="s">
        <v>27241</v>
      </c>
      <c r="D18450" s="30" t="s">
        <v>17</v>
      </c>
      <c r="E18450" s="30" t="s">
        <v>31</v>
      </c>
      <c r="F18450" s="30" t="s">
        <v>32</v>
      </c>
      <c r="G18450" s="30" t="s">
        <v>20</v>
      </c>
      <c r="H18450" s="32">
        <v>225</v>
      </c>
      <c r="I18450" s="30" t="s">
        <v>21</v>
      </c>
      <c r="J18450" s="41">
        <v>45338</v>
      </c>
      <c r="K18450" s="30" t="s">
        <v>22</v>
      </c>
    </row>
    <row r="18451" spans="1:11">
      <c r="A18451" s="33" t="s">
        <v>41174</v>
      </c>
      <c r="B18451" s="33" t="s">
        <v>41175</v>
      </c>
      <c r="C18451" s="33" t="s">
        <v>7578</v>
      </c>
      <c r="D18451" s="33" t="s">
        <v>17</v>
      </c>
      <c r="E18451" s="33" t="s">
        <v>212</v>
      </c>
      <c r="F18451" s="33" t="s">
        <v>213</v>
      </c>
      <c r="G18451" s="33" t="s">
        <v>7780</v>
      </c>
      <c r="H18451" s="35">
        <v>14</v>
      </c>
      <c r="I18451" s="33" t="s">
        <v>51</v>
      </c>
      <c r="J18451" s="42">
        <v>45566</v>
      </c>
      <c r="K18451" s="33" t="s">
        <v>22</v>
      </c>
    </row>
    <row r="18452" spans="1:11">
      <c r="A18452" s="30" t="s">
        <v>41176</v>
      </c>
      <c r="B18452" s="30" t="s">
        <v>41177</v>
      </c>
      <c r="C18452" s="30" t="s">
        <v>9297</v>
      </c>
      <c r="D18452" s="30" t="s">
        <v>17</v>
      </c>
      <c r="E18452" s="30" t="s">
        <v>31</v>
      </c>
      <c r="F18452" s="30" t="s">
        <v>32</v>
      </c>
      <c r="G18452" s="30" t="s">
        <v>140</v>
      </c>
      <c r="H18452" s="32">
        <v>20</v>
      </c>
      <c r="I18452" s="30" t="s">
        <v>51</v>
      </c>
      <c r="J18452" s="41">
        <v>45344</v>
      </c>
      <c r="K18452" s="30" t="s">
        <v>22</v>
      </c>
    </row>
    <row r="18453" spans="1:11">
      <c r="A18453" s="33" t="s">
        <v>41178</v>
      </c>
      <c r="B18453" s="33" t="s">
        <v>41179</v>
      </c>
      <c r="C18453" s="33" t="s">
        <v>41180</v>
      </c>
      <c r="D18453" s="33" t="s">
        <v>17</v>
      </c>
      <c r="E18453" s="33" t="s">
        <v>212</v>
      </c>
      <c r="F18453" s="33" t="s">
        <v>213</v>
      </c>
      <c r="G18453" s="33" t="s">
        <v>140</v>
      </c>
      <c r="H18453" s="35">
        <v>100</v>
      </c>
      <c r="I18453" s="33" t="s">
        <v>51</v>
      </c>
      <c r="J18453" s="42">
        <v>45629</v>
      </c>
      <c r="K18453" s="33" t="s">
        <v>22</v>
      </c>
    </row>
    <row r="18454" spans="1:11">
      <c r="A18454" s="30" t="s">
        <v>41181</v>
      </c>
      <c r="B18454" s="30" t="s">
        <v>41182</v>
      </c>
      <c r="C18454" s="30" t="s">
        <v>2562</v>
      </c>
      <c r="D18454" s="30" t="s">
        <v>17</v>
      </c>
      <c r="E18454" s="30" t="s">
        <v>26</v>
      </c>
      <c r="F18454" s="30" t="s">
        <v>27</v>
      </c>
      <c r="G18454" s="30" t="s">
        <v>50</v>
      </c>
      <c r="H18454" s="32">
        <v>51</v>
      </c>
      <c r="I18454" s="30" t="s">
        <v>51</v>
      </c>
      <c r="J18454" s="41">
        <v>45363</v>
      </c>
      <c r="K18454" s="30" t="s">
        <v>22</v>
      </c>
    </row>
    <row r="18455" spans="1:11">
      <c r="A18455" s="33" t="s">
        <v>41183</v>
      </c>
      <c r="B18455" s="33" t="s">
        <v>21270</v>
      </c>
      <c r="C18455" s="33" t="s">
        <v>149</v>
      </c>
      <c r="D18455" s="33" t="s">
        <v>17</v>
      </c>
      <c r="E18455" s="33" t="s">
        <v>18</v>
      </c>
      <c r="F18455" s="33" t="s">
        <v>19</v>
      </c>
      <c r="G18455" s="33" t="s">
        <v>20</v>
      </c>
      <c r="H18455" s="35">
        <v>214</v>
      </c>
      <c r="I18455" s="33" t="s">
        <v>21</v>
      </c>
      <c r="J18455" s="42">
        <v>45363</v>
      </c>
      <c r="K18455" s="33" t="s">
        <v>22</v>
      </c>
    </row>
    <row r="18456" spans="1:11">
      <c r="A18456" s="30" t="s">
        <v>41184</v>
      </c>
      <c r="B18456" s="30" t="s">
        <v>41185</v>
      </c>
      <c r="C18456" s="30" t="s">
        <v>41186</v>
      </c>
      <c r="D18456" s="30" t="s">
        <v>17</v>
      </c>
      <c r="E18456" s="30" t="s">
        <v>26</v>
      </c>
      <c r="F18456" s="30" t="s">
        <v>27</v>
      </c>
      <c r="G18456" s="30" t="s">
        <v>20</v>
      </c>
      <c r="H18456" s="32">
        <v>12</v>
      </c>
      <c r="I18456" s="30" t="s">
        <v>21</v>
      </c>
      <c r="J18456" s="41">
        <v>45375</v>
      </c>
      <c r="K18456" s="30" t="s">
        <v>22</v>
      </c>
    </row>
    <row r="18457" spans="1:11">
      <c r="A18457" s="33" t="s">
        <v>41187</v>
      </c>
      <c r="B18457" s="33" t="s">
        <v>41188</v>
      </c>
      <c r="C18457" s="33" t="s">
        <v>41189</v>
      </c>
      <c r="D18457" s="33" t="s">
        <v>17</v>
      </c>
      <c r="E18457" s="33" t="s">
        <v>26</v>
      </c>
      <c r="F18457" s="33" t="s">
        <v>27</v>
      </c>
      <c r="G18457" s="33" t="s">
        <v>158</v>
      </c>
      <c r="H18457" s="35">
        <v>110</v>
      </c>
      <c r="I18457" s="33" t="s">
        <v>51</v>
      </c>
      <c r="J18457" s="42">
        <v>45526</v>
      </c>
      <c r="K18457" s="33" t="s">
        <v>22</v>
      </c>
    </row>
    <row r="18458" spans="1:11">
      <c r="A18458" s="30" t="s">
        <v>41190</v>
      </c>
      <c r="B18458" s="30" t="s">
        <v>41191</v>
      </c>
      <c r="C18458" s="30" t="s">
        <v>644</v>
      </c>
      <c r="D18458" s="30" t="s">
        <v>17</v>
      </c>
      <c r="E18458" s="30" t="s">
        <v>26</v>
      </c>
      <c r="F18458" s="30" t="s">
        <v>27</v>
      </c>
      <c r="G18458" s="30" t="s">
        <v>140</v>
      </c>
      <c r="H18458" s="32">
        <v>248</v>
      </c>
      <c r="I18458" s="30" t="s">
        <v>51</v>
      </c>
      <c r="J18458" s="41">
        <v>45509</v>
      </c>
      <c r="K18458" s="30" t="s">
        <v>22</v>
      </c>
    </row>
    <row r="18459" spans="1:11">
      <c r="A18459" s="33" t="s">
        <v>41192</v>
      </c>
      <c r="B18459" s="33" t="s">
        <v>41193</v>
      </c>
      <c r="C18459" s="33" t="s">
        <v>41194</v>
      </c>
      <c r="D18459" s="33" t="s">
        <v>17</v>
      </c>
      <c r="E18459" s="33" t="s">
        <v>18</v>
      </c>
      <c r="F18459" s="33" t="s">
        <v>19</v>
      </c>
      <c r="G18459" s="33" t="s">
        <v>20</v>
      </c>
      <c r="H18459" s="35">
        <v>146</v>
      </c>
      <c r="I18459" s="33" t="s">
        <v>21</v>
      </c>
      <c r="J18459" s="42">
        <v>45440</v>
      </c>
      <c r="K18459" s="33" t="s">
        <v>22</v>
      </c>
    </row>
    <row r="18460" spans="1:11">
      <c r="A18460" s="30" t="s">
        <v>41195</v>
      </c>
      <c r="B18460" s="30" t="s">
        <v>41196</v>
      </c>
      <c r="C18460" s="30" t="s">
        <v>41197</v>
      </c>
      <c r="D18460" s="30" t="s">
        <v>17</v>
      </c>
      <c r="E18460" s="30" t="s">
        <v>31</v>
      </c>
      <c r="F18460" s="30" t="s">
        <v>32</v>
      </c>
      <c r="G18460" s="30" t="s">
        <v>7780</v>
      </c>
      <c r="H18460" s="32">
        <v>10</v>
      </c>
      <c r="I18460" s="30" t="s">
        <v>51</v>
      </c>
      <c r="J18460" s="41">
        <v>45627</v>
      </c>
      <c r="K18460" s="30" t="s">
        <v>22</v>
      </c>
    </row>
    <row r="18461" spans="1:11">
      <c r="A18461" s="33" t="s">
        <v>41198</v>
      </c>
      <c r="B18461" s="33" t="s">
        <v>41199</v>
      </c>
      <c r="C18461" s="33" t="s">
        <v>14176</v>
      </c>
      <c r="D18461" s="33" t="s">
        <v>17</v>
      </c>
      <c r="E18461" s="33" t="s">
        <v>18</v>
      </c>
      <c r="F18461" s="33" t="s">
        <v>19</v>
      </c>
      <c r="G18461" s="33" t="s">
        <v>158</v>
      </c>
      <c r="H18461" s="35">
        <v>300</v>
      </c>
      <c r="I18461" s="33" t="s">
        <v>51</v>
      </c>
      <c r="J18461" s="42">
        <v>45428</v>
      </c>
      <c r="K18461" s="33" t="s">
        <v>22</v>
      </c>
    </row>
    <row r="18462" spans="1:11">
      <c r="A18462" s="30" t="s">
        <v>41200</v>
      </c>
      <c r="B18462" s="30" t="s">
        <v>41201</v>
      </c>
      <c r="C18462" s="30" t="s">
        <v>31168</v>
      </c>
      <c r="D18462" s="30" t="s">
        <v>17</v>
      </c>
      <c r="E18462" s="30" t="s">
        <v>26</v>
      </c>
      <c r="F18462" s="30" t="s">
        <v>27</v>
      </c>
      <c r="G18462" s="30" t="s">
        <v>20</v>
      </c>
      <c r="H18462" s="32">
        <v>34</v>
      </c>
      <c r="I18462" s="30" t="s">
        <v>21</v>
      </c>
      <c r="J18462" s="41">
        <v>45625</v>
      </c>
      <c r="K18462" s="30" t="s">
        <v>22</v>
      </c>
    </row>
    <row r="18463" spans="1:11">
      <c r="A18463" s="33" t="s">
        <v>41202</v>
      </c>
      <c r="B18463" s="33" t="s">
        <v>41203</v>
      </c>
      <c r="C18463" s="33" t="s">
        <v>647</v>
      </c>
      <c r="D18463" s="33" t="s">
        <v>17</v>
      </c>
      <c r="E18463" s="33" t="s">
        <v>26</v>
      </c>
      <c r="F18463" s="33" t="s">
        <v>27</v>
      </c>
      <c r="G18463" s="33" t="s">
        <v>20</v>
      </c>
      <c r="H18463" s="35">
        <v>18</v>
      </c>
      <c r="I18463" s="33" t="s">
        <v>21</v>
      </c>
      <c r="J18463" s="42">
        <v>45463</v>
      </c>
      <c r="K18463" s="33" t="s">
        <v>22</v>
      </c>
    </row>
    <row r="18464" spans="1:11">
      <c r="A18464" s="30" t="s">
        <v>41204</v>
      </c>
      <c r="B18464" s="30" t="s">
        <v>41205</v>
      </c>
      <c r="C18464" s="30" t="s">
        <v>41206</v>
      </c>
      <c r="D18464" s="30" t="s">
        <v>17</v>
      </c>
      <c r="E18464" s="30" t="s">
        <v>31</v>
      </c>
      <c r="F18464" s="30" t="s">
        <v>32</v>
      </c>
      <c r="G18464" s="30" t="s">
        <v>140</v>
      </c>
      <c r="H18464" s="32">
        <v>100</v>
      </c>
      <c r="I18464" s="30" t="s">
        <v>51</v>
      </c>
      <c r="J18464" s="41">
        <v>45579</v>
      </c>
      <c r="K18464" s="30" t="s">
        <v>22</v>
      </c>
    </row>
    <row r="18465" spans="1:11">
      <c r="A18465" s="33" t="s">
        <v>41207</v>
      </c>
      <c r="B18465" s="33" t="s">
        <v>41208</v>
      </c>
      <c r="C18465" s="33" t="s">
        <v>35237</v>
      </c>
      <c r="D18465" s="33" t="s">
        <v>17</v>
      </c>
      <c r="E18465" s="33" t="s">
        <v>18</v>
      </c>
      <c r="F18465" s="33" t="s">
        <v>19</v>
      </c>
      <c r="G18465" s="33" t="s">
        <v>158</v>
      </c>
      <c r="H18465" s="35">
        <v>840</v>
      </c>
      <c r="I18465" s="33" t="s">
        <v>21</v>
      </c>
      <c r="J18465" s="42">
        <v>45650</v>
      </c>
      <c r="K18465" s="33" t="s">
        <v>22</v>
      </c>
    </row>
    <row r="18466" spans="1:11">
      <c r="A18466" s="30" t="s">
        <v>41209</v>
      </c>
      <c r="B18466" s="30" t="s">
        <v>41210</v>
      </c>
      <c r="C18466" s="30" t="s">
        <v>78</v>
      </c>
      <c r="D18466" s="30" t="s">
        <v>17</v>
      </c>
      <c r="E18466" s="30" t="s">
        <v>26</v>
      </c>
      <c r="F18466" s="30" t="s">
        <v>27</v>
      </c>
      <c r="G18466" s="30" t="s">
        <v>20</v>
      </c>
      <c r="H18466" s="32">
        <v>44</v>
      </c>
      <c r="I18466" s="30" t="s">
        <v>21</v>
      </c>
      <c r="J18466" s="41">
        <v>45610</v>
      </c>
      <c r="K18466" s="30" t="s">
        <v>22</v>
      </c>
    </row>
    <row r="18467" spans="1:11">
      <c r="A18467" s="33" t="s">
        <v>41211</v>
      </c>
      <c r="B18467" s="33" t="s">
        <v>41212</v>
      </c>
      <c r="C18467" s="33" t="s">
        <v>7765</v>
      </c>
      <c r="D18467" s="33" t="s">
        <v>17</v>
      </c>
      <c r="E18467" s="33" t="s">
        <v>26</v>
      </c>
      <c r="F18467" s="33" t="s">
        <v>27</v>
      </c>
      <c r="G18467" s="33" t="s">
        <v>20</v>
      </c>
      <c r="H18467" s="35">
        <v>32</v>
      </c>
      <c r="I18467" s="33" t="s">
        <v>21</v>
      </c>
      <c r="J18467" s="42">
        <v>45606</v>
      </c>
      <c r="K18467" s="33" t="s">
        <v>22</v>
      </c>
    </row>
    <row r="18468" spans="1:11">
      <c r="A18468" s="30" t="s">
        <v>41213</v>
      </c>
      <c r="B18468" s="30" t="s">
        <v>41214</v>
      </c>
      <c r="C18468" s="30" t="s">
        <v>310</v>
      </c>
      <c r="D18468" s="30" t="s">
        <v>17</v>
      </c>
      <c r="E18468" s="30" t="s">
        <v>18</v>
      </c>
      <c r="F18468" s="30" t="s">
        <v>19</v>
      </c>
      <c r="G18468" s="30" t="s">
        <v>20</v>
      </c>
      <c r="H18468" s="32">
        <v>1024</v>
      </c>
      <c r="I18468" s="30" t="s">
        <v>21</v>
      </c>
      <c r="J18468" s="41">
        <v>45307</v>
      </c>
      <c r="K18468" s="30" t="s">
        <v>22</v>
      </c>
    </row>
    <row r="18469" spans="1:11">
      <c r="A18469" s="33" t="s">
        <v>41215</v>
      </c>
      <c r="B18469" s="33" t="s">
        <v>41216</v>
      </c>
      <c r="C18469" s="33" t="s">
        <v>1504</v>
      </c>
      <c r="D18469" s="33" t="s">
        <v>17</v>
      </c>
      <c r="E18469" s="33" t="s">
        <v>31</v>
      </c>
      <c r="F18469" s="33" t="s">
        <v>32</v>
      </c>
      <c r="G18469" s="33" t="s">
        <v>140</v>
      </c>
      <c r="H18469" s="35">
        <v>160</v>
      </c>
      <c r="I18469" s="33" t="s">
        <v>51</v>
      </c>
      <c r="J18469" s="42">
        <v>45499</v>
      </c>
      <c r="K18469" s="33" t="s">
        <v>22</v>
      </c>
    </row>
    <row r="18470" spans="1:11">
      <c r="A18470" s="30" t="s">
        <v>41217</v>
      </c>
      <c r="B18470" s="30" t="s">
        <v>41218</v>
      </c>
      <c r="C18470" s="30" t="s">
        <v>2695</v>
      </c>
      <c r="D18470" s="30" t="s">
        <v>17</v>
      </c>
      <c r="E18470" s="30" t="s">
        <v>31</v>
      </c>
      <c r="F18470" s="30" t="s">
        <v>32</v>
      </c>
      <c r="G18470" s="30" t="s">
        <v>20</v>
      </c>
      <c r="H18470" s="32">
        <v>303</v>
      </c>
      <c r="I18470" s="30" t="s">
        <v>21</v>
      </c>
      <c r="J18470" s="41">
        <v>45335</v>
      </c>
      <c r="K18470" s="30" t="s">
        <v>22</v>
      </c>
    </row>
    <row r="18471" spans="1:11">
      <c r="A18471" s="33" t="s">
        <v>41219</v>
      </c>
      <c r="B18471" s="33" t="s">
        <v>41220</v>
      </c>
      <c r="C18471" s="33" t="s">
        <v>109</v>
      </c>
      <c r="D18471" s="33" t="s">
        <v>17</v>
      </c>
      <c r="E18471" s="33" t="s">
        <v>18</v>
      </c>
      <c r="F18471" s="33" t="s">
        <v>19</v>
      </c>
      <c r="G18471" s="33" t="s">
        <v>20</v>
      </c>
      <c r="H18471" s="35">
        <v>71</v>
      </c>
      <c r="I18471" s="33" t="s">
        <v>21</v>
      </c>
      <c r="J18471" s="42">
        <v>45372</v>
      </c>
      <c r="K18471" s="33" t="s">
        <v>22</v>
      </c>
    </row>
    <row r="18472" spans="1:11">
      <c r="A18472" s="30" t="s">
        <v>41221</v>
      </c>
      <c r="B18472" s="30" t="s">
        <v>41222</v>
      </c>
      <c r="C18472" s="30" t="s">
        <v>2772</v>
      </c>
      <c r="D18472" s="30" t="s">
        <v>17</v>
      </c>
      <c r="E18472" s="30" t="s">
        <v>18</v>
      </c>
      <c r="F18472" s="30" t="s">
        <v>19</v>
      </c>
      <c r="G18472" s="30" t="s">
        <v>140</v>
      </c>
      <c r="H18472" s="32">
        <v>24</v>
      </c>
      <c r="I18472" s="30" t="s">
        <v>51</v>
      </c>
      <c r="J18472" s="41">
        <v>45603</v>
      </c>
      <c r="K18472" s="30" t="s">
        <v>22</v>
      </c>
    </row>
    <row r="18473" spans="1:11">
      <c r="A18473" s="33" t="s">
        <v>41223</v>
      </c>
      <c r="B18473" s="33" t="s">
        <v>41224</v>
      </c>
      <c r="C18473" s="33" t="s">
        <v>26573</v>
      </c>
      <c r="D18473" s="33" t="s">
        <v>17</v>
      </c>
      <c r="E18473" s="33" t="s">
        <v>26</v>
      </c>
      <c r="F18473" s="33" t="s">
        <v>27</v>
      </c>
      <c r="G18473" s="33" t="s">
        <v>140</v>
      </c>
      <c r="H18473" s="35">
        <v>82</v>
      </c>
      <c r="I18473" s="33" t="s">
        <v>51</v>
      </c>
      <c r="J18473" s="42">
        <v>45476</v>
      </c>
      <c r="K18473" s="33" t="s">
        <v>22</v>
      </c>
    </row>
    <row r="18474" spans="1:11">
      <c r="A18474" s="30" t="s">
        <v>41225</v>
      </c>
      <c r="B18474" s="30" t="s">
        <v>41226</v>
      </c>
      <c r="C18474" s="30" t="s">
        <v>25517</v>
      </c>
      <c r="D18474" s="30" t="s">
        <v>17</v>
      </c>
      <c r="E18474" s="30" t="s">
        <v>31</v>
      </c>
      <c r="F18474" s="30" t="s">
        <v>32</v>
      </c>
      <c r="G18474" s="30" t="s">
        <v>20</v>
      </c>
      <c r="H18474" s="32">
        <v>19</v>
      </c>
      <c r="I18474" s="30" t="s">
        <v>21</v>
      </c>
      <c r="J18474" s="41">
        <v>45542</v>
      </c>
      <c r="K18474" s="30" t="s">
        <v>22</v>
      </c>
    </row>
    <row r="18475" spans="1:11">
      <c r="A18475" s="33" t="s">
        <v>41227</v>
      </c>
      <c r="B18475" s="33" t="s">
        <v>41228</v>
      </c>
      <c r="C18475" s="33" t="s">
        <v>28510</v>
      </c>
      <c r="D18475" s="33" t="s">
        <v>17</v>
      </c>
      <c r="E18475" s="33" t="s">
        <v>31</v>
      </c>
      <c r="F18475" s="33" t="s">
        <v>32</v>
      </c>
      <c r="G18475" s="33" t="s">
        <v>140</v>
      </c>
      <c r="H18475" s="35">
        <v>60</v>
      </c>
      <c r="I18475" s="33" t="s">
        <v>51</v>
      </c>
      <c r="J18475" s="42">
        <v>45504</v>
      </c>
      <c r="K18475" s="33" t="s">
        <v>22</v>
      </c>
    </row>
    <row r="18476" spans="1:11">
      <c r="A18476" s="30" t="s">
        <v>41229</v>
      </c>
      <c r="B18476" s="30" t="s">
        <v>41230</v>
      </c>
      <c r="C18476" s="30" t="s">
        <v>124</v>
      </c>
      <c r="D18476" s="30" t="s">
        <v>17</v>
      </c>
      <c r="E18476" s="30" t="s">
        <v>31</v>
      </c>
      <c r="F18476" s="30" t="s">
        <v>32</v>
      </c>
      <c r="G18476" s="30" t="s">
        <v>20</v>
      </c>
      <c r="H18476" s="32">
        <v>87</v>
      </c>
      <c r="I18476" s="30" t="s">
        <v>21</v>
      </c>
      <c r="J18476" s="41">
        <v>45577</v>
      </c>
      <c r="K18476" s="30" t="s">
        <v>22</v>
      </c>
    </row>
    <row r="18477" spans="1:11">
      <c r="A18477" s="33" t="s">
        <v>41231</v>
      </c>
      <c r="B18477" s="33" t="s">
        <v>41232</v>
      </c>
      <c r="C18477" s="33" t="s">
        <v>41233</v>
      </c>
      <c r="D18477" s="33" t="s">
        <v>17</v>
      </c>
      <c r="E18477" s="33" t="s">
        <v>26</v>
      </c>
      <c r="F18477" s="33" t="s">
        <v>27</v>
      </c>
      <c r="G18477" s="33" t="s">
        <v>20</v>
      </c>
      <c r="H18477" s="35">
        <v>32</v>
      </c>
      <c r="I18477" s="33" t="s">
        <v>21</v>
      </c>
      <c r="J18477" s="42">
        <v>45461</v>
      </c>
      <c r="K18477" s="33" t="s">
        <v>22</v>
      </c>
    </row>
    <row r="18478" spans="1:11">
      <c r="A18478" s="30" t="s">
        <v>41234</v>
      </c>
      <c r="B18478" s="30" t="s">
        <v>41235</v>
      </c>
      <c r="C18478" s="30" t="s">
        <v>629</v>
      </c>
      <c r="D18478" s="30" t="s">
        <v>17</v>
      </c>
      <c r="E18478" s="30" t="s">
        <v>31</v>
      </c>
      <c r="F18478" s="30" t="s">
        <v>32</v>
      </c>
      <c r="G18478" s="30" t="s">
        <v>20</v>
      </c>
      <c r="H18478" s="32">
        <v>168</v>
      </c>
      <c r="I18478" s="30" t="s">
        <v>21</v>
      </c>
      <c r="J18478" s="41">
        <v>45411</v>
      </c>
      <c r="K18478" s="30" t="s">
        <v>22</v>
      </c>
    </row>
    <row r="18479" spans="1:11">
      <c r="A18479" s="33" t="s">
        <v>41236</v>
      </c>
      <c r="B18479" s="33" t="s">
        <v>41237</v>
      </c>
      <c r="C18479" s="33" t="s">
        <v>190</v>
      </c>
      <c r="D18479" s="33" t="s">
        <v>17</v>
      </c>
      <c r="E18479" s="33" t="s">
        <v>18</v>
      </c>
      <c r="F18479" s="33" t="s">
        <v>19</v>
      </c>
      <c r="G18479" s="33" t="s">
        <v>158</v>
      </c>
      <c r="H18479" s="35">
        <v>504</v>
      </c>
      <c r="I18479" s="33" t="s">
        <v>21</v>
      </c>
      <c r="J18479" s="42">
        <v>45350</v>
      </c>
      <c r="K18479" s="33" t="s">
        <v>22</v>
      </c>
    </row>
    <row r="18480" spans="1:11">
      <c r="A18480" s="30" t="s">
        <v>41238</v>
      </c>
      <c r="B18480" s="30" t="s">
        <v>41239</v>
      </c>
      <c r="C18480" s="30" t="s">
        <v>33154</v>
      </c>
      <c r="D18480" s="30" t="s">
        <v>17</v>
      </c>
      <c r="E18480" s="30" t="s">
        <v>45</v>
      </c>
      <c r="F18480" s="30" t="s">
        <v>46</v>
      </c>
      <c r="G18480" s="30" t="s">
        <v>158</v>
      </c>
      <c r="H18480" s="32">
        <v>480</v>
      </c>
      <c r="I18480" s="30" t="s">
        <v>51</v>
      </c>
      <c r="J18480" s="41">
        <v>45602</v>
      </c>
      <c r="K18480" s="30" t="s">
        <v>22</v>
      </c>
    </row>
    <row r="18481" spans="1:11">
      <c r="A18481" s="33" t="s">
        <v>41240</v>
      </c>
      <c r="B18481" s="33" t="s">
        <v>41241</v>
      </c>
      <c r="C18481" s="33" t="s">
        <v>4345</v>
      </c>
      <c r="D18481" s="33" t="s">
        <v>17</v>
      </c>
      <c r="E18481" s="33" t="s">
        <v>26</v>
      </c>
      <c r="F18481" s="33" t="s">
        <v>27</v>
      </c>
      <c r="G18481" s="33" t="s">
        <v>140</v>
      </c>
      <c r="H18481" s="35">
        <v>24</v>
      </c>
      <c r="I18481" s="33" t="s">
        <v>51</v>
      </c>
      <c r="J18481" s="42">
        <v>45392</v>
      </c>
      <c r="K18481" s="33" t="s">
        <v>22</v>
      </c>
    </row>
    <row r="18482" spans="1:11">
      <c r="A18482" s="30" t="s">
        <v>41242</v>
      </c>
      <c r="B18482" s="30" t="s">
        <v>41243</v>
      </c>
      <c r="C18482" s="30" t="s">
        <v>231</v>
      </c>
      <c r="D18482" s="30" t="s">
        <v>17</v>
      </c>
      <c r="E18482" s="30" t="s">
        <v>67</v>
      </c>
      <c r="F18482" s="30" t="s">
        <v>68</v>
      </c>
      <c r="G18482" s="30" t="s">
        <v>140</v>
      </c>
      <c r="H18482" s="32">
        <v>768</v>
      </c>
      <c r="I18482" s="30" t="s">
        <v>51</v>
      </c>
      <c r="J18482" s="41">
        <v>45446</v>
      </c>
      <c r="K18482" s="30" t="s">
        <v>22</v>
      </c>
    </row>
    <row r="18483" spans="1:11">
      <c r="A18483" s="33" t="s">
        <v>41244</v>
      </c>
      <c r="B18483" s="33" t="s">
        <v>41245</v>
      </c>
      <c r="C18483" s="33" t="s">
        <v>41246</v>
      </c>
      <c r="D18483" s="33" t="s">
        <v>17</v>
      </c>
      <c r="E18483" s="33" t="s">
        <v>330</v>
      </c>
      <c r="F18483" s="33" t="s">
        <v>331</v>
      </c>
      <c r="G18483" s="33" t="s">
        <v>140</v>
      </c>
      <c r="H18483" s="35">
        <v>10</v>
      </c>
      <c r="I18483" s="33" t="s">
        <v>51</v>
      </c>
      <c r="J18483" s="42">
        <v>45323</v>
      </c>
      <c r="K18483" s="33" t="s">
        <v>22</v>
      </c>
    </row>
    <row r="18484" spans="1:11">
      <c r="A18484" s="30" t="s">
        <v>41247</v>
      </c>
      <c r="B18484" s="30" t="s">
        <v>41248</v>
      </c>
      <c r="C18484" s="30" t="s">
        <v>124</v>
      </c>
      <c r="D18484" s="30" t="s">
        <v>17</v>
      </c>
      <c r="E18484" s="30" t="s">
        <v>31</v>
      </c>
      <c r="F18484" s="30" t="s">
        <v>32</v>
      </c>
      <c r="G18484" s="30" t="s">
        <v>20</v>
      </c>
      <c r="H18484" s="32">
        <v>161</v>
      </c>
      <c r="I18484" s="30" t="s">
        <v>21</v>
      </c>
      <c r="J18484" s="41">
        <v>45548</v>
      </c>
      <c r="K18484" s="30" t="s">
        <v>22</v>
      </c>
    </row>
    <row r="18485" spans="1:11">
      <c r="A18485" s="33" t="s">
        <v>41249</v>
      </c>
      <c r="B18485" s="33" t="s">
        <v>41250</v>
      </c>
      <c r="C18485" s="33" t="s">
        <v>41251</v>
      </c>
      <c r="D18485" s="33" t="s">
        <v>17</v>
      </c>
      <c r="E18485" s="33" t="s">
        <v>18</v>
      </c>
      <c r="F18485" s="33" t="s">
        <v>19</v>
      </c>
      <c r="G18485" s="33" t="s">
        <v>140</v>
      </c>
      <c r="H18485" s="35">
        <v>620</v>
      </c>
      <c r="I18485" s="33" t="s">
        <v>51</v>
      </c>
      <c r="J18485" s="42">
        <v>45593</v>
      </c>
      <c r="K18485" s="33" t="s">
        <v>22</v>
      </c>
    </row>
    <row r="18486" spans="1:11">
      <c r="A18486" s="30" t="s">
        <v>41252</v>
      </c>
      <c r="B18486" s="30" t="s">
        <v>41253</v>
      </c>
      <c r="C18486" s="30" t="s">
        <v>647</v>
      </c>
      <c r="D18486" s="30" t="s">
        <v>17</v>
      </c>
      <c r="E18486" s="30" t="s">
        <v>26</v>
      </c>
      <c r="F18486" s="30" t="s">
        <v>27</v>
      </c>
      <c r="G18486" s="30" t="s">
        <v>20</v>
      </c>
      <c r="H18486" s="32">
        <v>16</v>
      </c>
      <c r="I18486" s="30" t="s">
        <v>21</v>
      </c>
      <c r="J18486" s="41">
        <v>45600</v>
      </c>
      <c r="K18486" s="30" t="s">
        <v>22</v>
      </c>
    </row>
    <row r="18487" spans="1:11">
      <c r="A18487" s="33" t="s">
        <v>41254</v>
      </c>
      <c r="B18487" s="33" t="s">
        <v>41255</v>
      </c>
      <c r="C18487" s="33" t="s">
        <v>7072</v>
      </c>
      <c r="D18487" s="33" t="s">
        <v>17</v>
      </c>
      <c r="E18487" s="33" t="s">
        <v>18</v>
      </c>
      <c r="F18487" s="33" t="s">
        <v>19</v>
      </c>
      <c r="G18487" s="33" t="s">
        <v>158</v>
      </c>
      <c r="H18487" s="35">
        <v>432</v>
      </c>
      <c r="I18487" s="33" t="s">
        <v>51</v>
      </c>
      <c r="J18487" s="42">
        <v>45595</v>
      </c>
      <c r="K18487" s="33" t="s">
        <v>22</v>
      </c>
    </row>
    <row r="18488" spans="1:11">
      <c r="A18488" s="30" t="s">
        <v>41256</v>
      </c>
      <c r="B18488" s="30" t="s">
        <v>41257</v>
      </c>
      <c r="C18488" s="30" t="s">
        <v>20032</v>
      </c>
      <c r="D18488" s="30" t="s">
        <v>17</v>
      </c>
      <c r="E18488" s="30" t="s">
        <v>26</v>
      </c>
      <c r="F18488" s="30" t="s">
        <v>27</v>
      </c>
      <c r="G18488" s="30" t="s">
        <v>20</v>
      </c>
      <c r="H18488" s="32">
        <v>36</v>
      </c>
      <c r="I18488" s="30" t="s">
        <v>21</v>
      </c>
      <c r="J18488" s="41">
        <v>45491</v>
      </c>
      <c r="K18488" s="30" t="s">
        <v>22</v>
      </c>
    </row>
    <row r="18489" spans="1:11">
      <c r="A18489" s="33" t="s">
        <v>41258</v>
      </c>
      <c r="B18489" s="33" t="s">
        <v>41259</v>
      </c>
      <c r="C18489" s="33" t="s">
        <v>41260</v>
      </c>
      <c r="D18489" s="33" t="s">
        <v>17</v>
      </c>
      <c r="E18489" s="33" t="s">
        <v>26</v>
      </c>
      <c r="F18489" s="33" t="s">
        <v>27</v>
      </c>
      <c r="G18489" s="33" t="s">
        <v>140</v>
      </c>
      <c r="H18489" s="35">
        <v>18</v>
      </c>
      <c r="I18489" s="33" t="s">
        <v>51</v>
      </c>
      <c r="J18489" s="42">
        <v>45427</v>
      </c>
      <c r="K18489" s="33" t="s">
        <v>22</v>
      </c>
    </row>
    <row r="18490" spans="1:11">
      <c r="A18490" s="30" t="s">
        <v>41261</v>
      </c>
      <c r="B18490" s="30" t="s">
        <v>41262</v>
      </c>
      <c r="C18490" s="30" t="s">
        <v>8142</v>
      </c>
      <c r="D18490" s="30" t="s">
        <v>17</v>
      </c>
      <c r="E18490" s="30" t="s">
        <v>31</v>
      </c>
      <c r="F18490" s="30" t="s">
        <v>32</v>
      </c>
      <c r="G18490" s="30" t="s">
        <v>20</v>
      </c>
      <c r="H18490" s="32">
        <v>46</v>
      </c>
      <c r="I18490" s="30" t="s">
        <v>21</v>
      </c>
      <c r="J18490" s="41">
        <v>45520</v>
      </c>
      <c r="K18490" s="30" t="s">
        <v>22</v>
      </c>
    </row>
    <row r="18491" spans="1:11">
      <c r="A18491" s="33" t="s">
        <v>41263</v>
      </c>
      <c r="B18491" s="33" t="s">
        <v>41264</v>
      </c>
      <c r="C18491" s="33" t="s">
        <v>109</v>
      </c>
      <c r="D18491" s="33" t="s">
        <v>17</v>
      </c>
      <c r="E18491" s="33" t="s">
        <v>26</v>
      </c>
      <c r="F18491" s="33" t="s">
        <v>27</v>
      </c>
      <c r="G18491" s="33" t="s">
        <v>158</v>
      </c>
      <c r="H18491" s="35">
        <v>4</v>
      </c>
      <c r="I18491" s="33" t="s">
        <v>21</v>
      </c>
      <c r="J18491" s="42">
        <v>45398</v>
      </c>
      <c r="K18491" s="33" t="s">
        <v>22</v>
      </c>
    </row>
    <row r="18492" spans="1:11">
      <c r="A18492" s="30" t="s">
        <v>41265</v>
      </c>
      <c r="B18492" s="30" t="s">
        <v>41266</v>
      </c>
      <c r="C18492" s="30" t="s">
        <v>6205</v>
      </c>
      <c r="D18492" s="30" t="s">
        <v>17</v>
      </c>
      <c r="E18492" s="30" t="s">
        <v>26</v>
      </c>
      <c r="F18492" s="30" t="s">
        <v>27</v>
      </c>
      <c r="G18492" s="30" t="s">
        <v>20</v>
      </c>
      <c r="H18492" s="32">
        <v>119</v>
      </c>
      <c r="I18492" s="30" t="s">
        <v>21</v>
      </c>
      <c r="J18492" s="41">
        <v>45542</v>
      </c>
      <c r="K18492" s="30" t="s">
        <v>22</v>
      </c>
    </row>
    <row r="18493" spans="1:11">
      <c r="A18493" s="33" t="s">
        <v>41267</v>
      </c>
      <c r="B18493" s="33" t="s">
        <v>41268</v>
      </c>
      <c r="C18493" s="33" t="s">
        <v>647</v>
      </c>
      <c r="D18493" s="33" t="s">
        <v>17</v>
      </c>
      <c r="E18493" s="33" t="s">
        <v>26</v>
      </c>
      <c r="F18493" s="33" t="s">
        <v>27</v>
      </c>
      <c r="G18493" s="33" t="s">
        <v>20</v>
      </c>
      <c r="H18493" s="35">
        <v>18</v>
      </c>
      <c r="I18493" s="33" t="s">
        <v>21</v>
      </c>
      <c r="J18493" s="42">
        <v>45370</v>
      </c>
      <c r="K18493" s="33" t="s">
        <v>22</v>
      </c>
    </row>
    <row r="18494" spans="1:11">
      <c r="A18494" s="30" t="s">
        <v>41269</v>
      </c>
      <c r="B18494" s="30" t="s">
        <v>41270</v>
      </c>
      <c r="C18494" s="30" t="s">
        <v>9459</v>
      </c>
      <c r="D18494" s="30" t="s">
        <v>17</v>
      </c>
      <c r="E18494" s="30" t="s">
        <v>31</v>
      </c>
      <c r="F18494" s="30" t="s">
        <v>32</v>
      </c>
      <c r="G18494" s="30" t="s">
        <v>140</v>
      </c>
      <c r="H18494" s="32">
        <v>90</v>
      </c>
      <c r="I18494" s="30" t="s">
        <v>51</v>
      </c>
      <c r="J18494" s="41">
        <v>45567</v>
      </c>
      <c r="K18494" s="30" t="s">
        <v>22</v>
      </c>
    </row>
    <row r="18495" spans="1:11">
      <c r="A18495" s="33" t="s">
        <v>41271</v>
      </c>
      <c r="B18495" s="33" t="s">
        <v>41272</v>
      </c>
      <c r="C18495" s="33" t="s">
        <v>39368</v>
      </c>
      <c r="D18495" s="33" t="s">
        <v>17</v>
      </c>
      <c r="E18495" s="33" t="s">
        <v>330</v>
      </c>
      <c r="F18495" s="33" t="s">
        <v>331</v>
      </c>
      <c r="G18495" s="33" t="s">
        <v>140</v>
      </c>
      <c r="H18495" s="35">
        <v>20</v>
      </c>
      <c r="I18495" s="33" t="s">
        <v>51</v>
      </c>
      <c r="J18495" s="42">
        <v>45549</v>
      </c>
      <c r="K18495" s="33" t="s">
        <v>22</v>
      </c>
    </row>
    <row r="18496" spans="1:11">
      <c r="A18496" s="30" t="s">
        <v>41273</v>
      </c>
      <c r="B18496" s="30" t="s">
        <v>41274</v>
      </c>
      <c r="C18496" s="30" t="s">
        <v>41275</v>
      </c>
      <c r="D18496" s="30" t="s">
        <v>17</v>
      </c>
      <c r="E18496" s="30" t="s">
        <v>67</v>
      </c>
      <c r="F18496" s="30" t="s">
        <v>68</v>
      </c>
      <c r="G18496" s="30" t="s">
        <v>140</v>
      </c>
      <c r="H18496" s="32">
        <v>120</v>
      </c>
      <c r="I18496" s="30" t="s">
        <v>51</v>
      </c>
      <c r="J18496" s="41">
        <v>45467</v>
      </c>
      <c r="K18496" s="30" t="s">
        <v>22</v>
      </c>
    </row>
    <row r="18497" spans="1:11">
      <c r="A18497" s="33" t="s">
        <v>41276</v>
      </c>
      <c r="B18497" s="33" t="s">
        <v>41277</v>
      </c>
      <c r="C18497" s="33" t="s">
        <v>37762</v>
      </c>
      <c r="D18497" s="33" t="s">
        <v>17</v>
      </c>
      <c r="E18497" s="33" t="s">
        <v>67</v>
      </c>
      <c r="F18497" s="33" t="s">
        <v>68</v>
      </c>
      <c r="G18497" s="33" t="s">
        <v>140</v>
      </c>
      <c r="H18497" s="35">
        <v>80</v>
      </c>
      <c r="I18497" s="33" t="s">
        <v>51</v>
      </c>
      <c r="J18497" s="42">
        <v>45520</v>
      </c>
      <c r="K18497" s="33" t="s">
        <v>22</v>
      </c>
    </row>
    <row r="18498" spans="1:11">
      <c r="A18498" s="30" t="s">
        <v>41278</v>
      </c>
      <c r="B18498" s="30" t="s">
        <v>41279</v>
      </c>
      <c r="C18498" s="30" t="s">
        <v>6955</v>
      </c>
      <c r="D18498" s="30" t="s">
        <v>17</v>
      </c>
      <c r="E18498" s="30" t="s">
        <v>212</v>
      </c>
      <c r="F18498" s="30" t="s">
        <v>213</v>
      </c>
      <c r="G18498" s="30" t="s">
        <v>20</v>
      </c>
      <c r="H18498" s="32">
        <v>196</v>
      </c>
      <c r="I18498" s="30" t="s">
        <v>21</v>
      </c>
      <c r="J18498" s="41">
        <v>45407</v>
      </c>
      <c r="K18498" s="30" t="s">
        <v>22</v>
      </c>
    </row>
    <row r="18499" spans="1:11">
      <c r="A18499" s="33" t="s">
        <v>41280</v>
      </c>
      <c r="B18499" s="33" t="s">
        <v>41281</v>
      </c>
      <c r="C18499" s="33" t="s">
        <v>3583</v>
      </c>
      <c r="D18499" s="33" t="s">
        <v>17</v>
      </c>
      <c r="E18499" s="33" t="s">
        <v>18</v>
      </c>
      <c r="F18499" s="33" t="s">
        <v>19</v>
      </c>
      <c r="G18499" s="33" t="s">
        <v>158</v>
      </c>
      <c r="H18499" s="35">
        <v>214</v>
      </c>
      <c r="I18499" s="33" t="s">
        <v>21</v>
      </c>
      <c r="J18499" s="42">
        <v>45637</v>
      </c>
      <c r="K18499" s="33" t="s">
        <v>22</v>
      </c>
    </row>
    <row r="18500" spans="1:11">
      <c r="A18500" s="30" t="s">
        <v>41282</v>
      </c>
      <c r="B18500" s="30" t="s">
        <v>41283</v>
      </c>
      <c r="C18500" s="30" t="s">
        <v>30622</v>
      </c>
      <c r="D18500" s="30" t="s">
        <v>17</v>
      </c>
      <c r="E18500" s="30" t="s">
        <v>330</v>
      </c>
      <c r="F18500" s="30" t="s">
        <v>331</v>
      </c>
      <c r="G18500" s="30" t="s">
        <v>2613</v>
      </c>
      <c r="H18500" s="32">
        <v>10</v>
      </c>
      <c r="I18500" s="30" t="s">
        <v>51</v>
      </c>
      <c r="J18500" s="41">
        <v>45370</v>
      </c>
      <c r="K18500" s="30" t="s">
        <v>22</v>
      </c>
    </row>
    <row r="18501" spans="1:11">
      <c r="A18501" s="33" t="s">
        <v>41284</v>
      </c>
      <c r="B18501" s="33" t="s">
        <v>41285</v>
      </c>
      <c r="C18501" s="33" t="s">
        <v>20773</v>
      </c>
      <c r="D18501" s="33" t="s">
        <v>17</v>
      </c>
      <c r="E18501" s="33" t="s">
        <v>45</v>
      </c>
      <c r="F18501" s="33" t="s">
        <v>46</v>
      </c>
      <c r="G18501" s="33" t="s">
        <v>140</v>
      </c>
      <c r="H18501" s="35">
        <v>120</v>
      </c>
      <c r="I18501" s="33" t="s">
        <v>51</v>
      </c>
      <c r="J18501" s="42">
        <v>45626</v>
      </c>
      <c r="K18501" s="33" t="s">
        <v>22</v>
      </c>
    </row>
    <row r="18502" spans="1:11">
      <c r="A18502" s="30" t="s">
        <v>41286</v>
      </c>
      <c r="B18502" s="30" t="s">
        <v>41287</v>
      </c>
      <c r="C18502" s="30" t="s">
        <v>2490</v>
      </c>
      <c r="D18502" s="30" t="s">
        <v>17</v>
      </c>
      <c r="E18502" s="30" t="s">
        <v>26</v>
      </c>
      <c r="F18502" s="30" t="s">
        <v>27</v>
      </c>
      <c r="G18502" s="30" t="s">
        <v>20</v>
      </c>
      <c r="H18502" s="32">
        <v>16</v>
      </c>
      <c r="I18502" s="30" t="s">
        <v>21</v>
      </c>
      <c r="J18502" s="41">
        <v>45504</v>
      </c>
      <c r="K18502" s="30" t="s">
        <v>22</v>
      </c>
    </row>
    <row r="18503" spans="1:11">
      <c r="A18503" s="33" t="s">
        <v>41288</v>
      </c>
      <c r="B18503" s="33" t="s">
        <v>41289</v>
      </c>
      <c r="C18503" s="33" t="s">
        <v>41290</v>
      </c>
      <c r="D18503" s="33" t="s">
        <v>17</v>
      </c>
      <c r="E18503" s="33" t="s">
        <v>26</v>
      </c>
      <c r="F18503" s="33" t="s">
        <v>27</v>
      </c>
      <c r="G18503" s="33" t="s">
        <v>20</v>
      </c>
      <c r="H18503" s="35">
        <v>46</v>
      </c>
      <c r="I18503" s="33" t="s">
        <v>21</v>
      </c>
      <c r="J18503" s="42">
        <v>45537</v>
      </c>
      <c r="K18503" s="33" t="s">
        <v>22</v>
      </c>
    </row>
    <row r="18504" spans="1:11">
      <c r="A18504" s="30" t="s">
        <v>41291</v>
      </c>
      <c r="B18504" s="30" t="s">
        <v>41292</v>
      </c>
      <c r="C18504" s="30" t="s">
        <v>27547</v>
      </c>
      <c r="D18504" s="30" t="s">
        <v>17</v>
      </c>
      <c r="E18504" s="30" t="s">
        <v>26</v>
      </c>
      <c r="F18504" s="30" t="s">
        <v>27</v>
      </c>
      <c r="G18504" s="30" t="s">
        <v>140</v>
      </c>
      <c r="H18504" s="32">
        <v>240</v>
      </c>
      <c r="I18504" s="30" t="s">
        <v>51</v>
      </c>
      <c r="J18504" s="41">
        <v>45383</v>
      </c>
      <c r="K18504" s="30" t="s">
        <v>22</v>
      </c>
    </row>
    <row r="18505" spans="1:11">
      <c r="A18505" s="33" t="s">
        <v>41293</v>
      </c>
      <c r="B18505" s="33" t="s">
        <v>41294</v>
      </c>
      <c r="C18505" s="33" t="s">
        <v>109</v>
      </c>
      <c r="D18505" s="33" t="s">
        <v>17</v>
      </c>
      <c r="E18505" s="33" t="s">
        <v>31</v>
      </c>
      <c r="F18505" s="33" t="s">
        <v>32</v>
      </c>
      <c r="G18505" s="33" t="s">
        <v>20</v>
      </c>
      <c r="H18505" s="35">
        <v>52</v>
      </c>
      <c r="I18505" s="33" t="s">
        <v>21</v>
      </c>
      <c r="J18505" s="42">
        <v>45314</v>
      </c>
      <c r="K18505" s="33" t="s">
        <v>22</v>
      </c>
    </row>
    <row r="18506" spans="1:11">
      <c r="A18506" s="30" t="s">
        <v>41295</v>
      </c>
      <c r="B18506" s="30" t="s">
        <v>41296</v>
      </c>
      <c r="C18506" s="30" t="s">
        <v>41297</v>
      </c>
      <c r="D18506" s="30" t="s">
        <v>17</v>
      </c>
      <c r="E18506" s="30" t="s">
        <v>26</v>
      </c>
      <c r="F18506" s="30" t="s">
        <v>27</v>
      </c>
      <c r="G18506" s="30" t="s">
        <v>20</v>
      </c>
      <c r="H18506" s="32">
        <v>50</v>
      </c>
      <c r="I18506" s="30" t="s">
        <v>21</v>
      </c>
      <c r="J18506" s="41">
        <v>45400</v>
      </c>
      <c r="K18506" s="30" t="s">
        <v>22</v>
      </c>
    </row>
    <row r="18507" spans="1:11">
      <c r="A18507" s="33" t="s">
        <v>41298</v>
      </c>
      <c r="B18507" s="33" t="s">
        <v>41299</v>
      </c>
      <c r="C18507" s="33" t="s">
        <v>19859</v>
      </c>
      <c r="D18507" s="33" t="s">
        <v>17</v>
      </c>
      <c r="E18507" s="33" t="s">
        <v>67</v>
      </c>
      <c r="F18507" s="33" t="s">
        <v>68</v>
      </c>
      <c r="G18507" s="33" t="s">
        <v>158</v>
      </c>
      <c r="H18507" s="35">
        <v>20</v>
      </c>
      <c r="I18507" s="33" t="s">
        <v>51</v>
      </c>
      <c r="J18507" s="42">
        <v>45505</v>
      </c>
      <c r="K18507" s="33" t="s">
        <v>22</v>
      </c>
    </row>
    <row r="18508" spans="1:11">
      <c r="A18508" s="30" t="s">
        <v>41300</v>
      </c>
      <c r="B18508" s="30" t="s">
        <v>41301</v>
      </c>
      <c r="C18508" s="30" t="s">
        <v>190</v>
      </c>
      <c r="D18508" s="30" t="s">
        <v>17</v>
      </c>
      <c r="E18508" s="30" t="s">
        <v>212</v>
      </c>
      <c r="F18508" s="30" t="s">
        <v>213</v>
      </c>
      <c r="G18508" s="30" t="s">
        <v>158</v>
      </c>
      <c r="H18508" s="32">
        <v>1511</v>
      </c>
      <c r="I18508" s="30" t="s">
        <v>21</v>
      </c>
      <c r="J18508" s="41">
        <v>45422</v>
      </c>
      <c r="K18508" s="30" t="s">
        <v>22</v>
      </c>
    </row>
    <row r="18509" spans="1:11">
      <c r="A18509" s="33" t="s">
        <v>41302</v>
      </c>
      <c r="B18509" s="33" t="s">
        <v>41303</v>
      </c>
      <c r="C18509" s="33" t="s">
        <v>41304</v>
      </c>
      <c r="D18509" s="33" t="s">
        <v>17</v>
      </c>
      <c r="E18509" s="33" t="s">
        <v>212</v>
      </c>
      <c r="F18509" s="33" t="s">
        <v>213</v>
      </c>
      <c r="G18509" s="33" t="s">
        <v>158</v>
      </c>
      <c r="H18509" s="35">
        <v>60</v>
      </c>
      <c r="I18509" s="33" t="s">
        <v>51</v>
      </c>
      <c r="J18509" s="42">
        <v>45566</v>
      </c>
      <c r="K18509" s="33" t="s">
        <v>22</v>
      </c>
    </row>
    <row r="18510" spans="1:11">
      <c r="A18510" s="30" t="s">
        <v>41305</v>
      </c>
      <c r="B18510" s="30" t="s">
        <v>41306</v>
      </c>
      <c r="C18510" s="30" t="s">
        <v>1857</v>
      </c>
      <c r="D18510" s="30" t="s">
        <v>17</v>
      </c>
      <c r="E18510" s="30" t="s">
        <v>330</v>
      </c>
      <c r="F18510" s="30" t="s">
        <v>331</v>
      </c>
      <c r="G18510" s="30" t="s">
        <v>7780</v>
      </c>
      <c r="H18510" s="32">
        <v>12</v>
      </c>
      <c r="I18510" s="30" t="s">
        <v>51</v>
      </c>
      <c r="J18510" s="41">
        <v>45639</v>
      </c>
      <c r="K18510" s="30" t="s">
        <v>22</v>
      </c>
    </row>
    <row r="18511" spans="1:11">
      <c r="A18511" s="33" t="s">
        <v>41307</v>
      </c>
      <c r="B18511" s="33" t="s">
        <v>41308</v>
      </c>
      <c r="C18511" s="33" t="s">
        <v>24203</v>
      </c>
      <c r="D18511" s="33" t="s">
        <v>17</v>
      </c>
      <c r="E18511" s="33" t="s">
        <v>67</v>
      </c>
      <c r="F18511" s="33" t="s">
        <v>68</v>
      </c>
      <c r="G18511" s="33" t="s">
        <v>50</v>
      </c>
      <c r="H18511" s="35">
        <v>88</v>
      </c>
      <c r="I18511" s="33" t="s">
        <v>51</v>
      </c>
      <c r="J18511" s="42">
        <v>45352</v>
      </c>
      <c r="K18511" s="33" t="s">
        <v>22</v>
      </c>
    </row>
    <row r="18512" spans="1:11">
      <c r="A18512" s="30" t="s">
        <v>41309</v>
      </c>
      <c r="B18512" s="30" t="s">
        <v>41310</v>
      </c>
      <c r="C18512" s="30" t="s">
        <v>130</v>
      </c>
      <c r="D18512" s="30" t="s">
        <v>17</v>
      </c>
      <c r="E18512" s="30" t="s">
        <v>18</v>
      </c>
      <c r="F18512" s="30" t="s">
        <v>19</v>
      </c>
      <c r="G18512" s="30" t="s">
        <v>158</v>
      </c>
      <c r="H18512" s="32">
        <v>617</v>
      </c>
      <c r="I18512" s="30" t="s">
        <v>21</v>
      </c>
      <c r="J18512" s="41">
        <v>45321</v>
      </c>
      <c r="K18512" s="30" t="s">
        <v>22</v>
      </c>
    </row>
    <row r="18513" spans="1:11">
      <c r="A18513" s="33" t="s">
        <v>41311</v>
      </c>
      <c r="B18513" s="33" t="s">
        <v>41312</v>
      </c>
      <c r="C18513" s="33" t="s">
        <v>310</v>
      </c>
      <c r="D18513" s="33" t="s">
        <v>17</v>
      </c>
      <c r="E18513" s="33" t="s">
        <v>18</v>
      </c>
      <c r="F18513" s="33" t="s">
        <v>19</v>
      </c>
      <c r="G18513" s="33" t="s">
        <v>140</v>
      </c>
      <c r="H18513" s="35">
        <v>680</v>
      </c>
      <c r="I18513" s="33" t="s">
        <v>51</v>
      </c>
      <c r="J18513" s="42">
        <v>45383</v>
      </c>
      <c r="K18513" s="33" t="s">
        <v>22</v>
      </c>
    </row>
    <row r="18514" spans="1:11">
      <c r="A18514" s="30" t="s">
        <v>41313</v>
      </c>
      <c r="B18514" s="30" t="s">
        <v>41314</v>
      </c>
      <c r="C18514" s="30" t="s">
        <v>30948</v>
      </c>
      <c r="D18514" s="30" t="s">
        <v>17</v>
      </c>
      <c r="E18514" s="30" t="s">
        <v>45</v>
      </c>
      <c r="F18514" s="30" t="s">
        <v>46</v>
      </c>
      <c r="G18514" s="30" t="s">
        <v>106</v>
      </c>
      <c r="H18514" s="32">
        <v>95</v>
      </c>
      <c r="I18514" s="30" t="s">
        <v>21</v>
      </c>
      <c r="J18514" s="41">
        <v>45316</v>
      </c>
      <c r="K18514" s="30" t="s">
        <v>22</v>
      </c>
    </row>
    <row r="18515" spans="1:11">
      <c r="A18515" s="33" t="s">
        <v>41315</v>
      </c>
      <c r="B18515" s="33" t="s">
        <v>41316</v>
      </c>
      <c r="C18515" s="33" t="s">
        <v>17220</v>
      </c>
      <c r="D18515" s="33" t="s">
        <v>17</v>
      </c>
      <c r="E18515" s="33" t="s">
        <v>26</v>
      </c>
      <c r="F18515" s="33" t="s">
        <v>27</v>
      </c>
      <c r="G18515" s="33" t="s">
        <v>20</v>
      </c>
      <c r="H18515" s="35">
        <v>66</v>
      </c>
      <c r="I18515" s="33" t="s">
        <v>21</v>
      </c>
      <c r="J18515" s="42">
        <v>45346</v>
      </c>
      <c r="K18515" s="33" t="s">
        <v>22</v>
      </c>
    </row>
    <row r="18516" spans="1:11">
      <c r="A18516" s="30" t="s">
        <v>41317</v>
      </c>
      <c r="B18516" s="30" t="s">
        <v>41318</v>
      </c>
      <c r="C18516" s="30" t="s">
        <v>7296</v>
      </c>
      <c r="D18516" s="30" t="s">
        <v>17</v>
      </c>
      <c r="E18516" s="30" t="s">
        <v>31</v>
      </c>
      <c r="F18516" s="30" t="s">
        <v>32</v>
      </c>
      <c r="G18516" s="30" t="s">
        <v>106</v>
      </c>
      <c r="H18516" s="32">
        <v>3</v>
      </c>
      <c r="I18516" s="30" t="s">
        <v>21</v>
      </c>
      <c r="J18516" s="41">
        <v>45520</v>
      </c>
      <c r="K18516" s="30" t="s">
        <v>22</v>
      </c>
    </row>
    <row r="18517" spans="1:11">
      <c r="A18517" s="33" t="s">
        <v>41319</v>
      </c>
      <c r="B18517" s="33" t="s">
        <v>41320</v>
      </c>
      <c r="C18517" s="33" t="s">
        <v>34794</v>
      </c>
      <c r="D18517" s="33" t="s">
        <v>17</v>
      </c>
      <c r="E18517" s="33" t="s">
        <v>31</v>
      </c>
      <c r="F18517" s="33" t="s">
        <v>32</v>
      </c>
      <c r="G18517" s="33" t="s">
        <v>20</v>
      </c>
      <c r="H18517" s="35">
        <v>15</v>
      </c>
      <c r="I18517" s="33" t="s">
        <v>21</v>
      </c>
      <c r="J18517" s="42">
        <v>45540</v>
      </c>
      <c r="K18517" s="33" t="s">
        <v>22</v>
      </c>
    </row>
    <row r="18518" spans="1:11">
      <c r="A18518" s="30" t="s">
        <v>41321</v>
      </c>
      <c r="B18518" s="30" t="s">
        <v>41322</v>
      </c>
      <c r="C18518" s="30" t="s">
        <v>136</v>
      </c>
      <c r="D18518" s="30" t="s">
        <v>17</v>
      </c>
      <c r="E18518" s="30" t="s">
        <v>26</v>
      </c>
      <c r="F18518" s="30" t="s">
        <v>27</v>
      </c>
      <c r="G18518" s="30" t="s">
        <v>20</v>
      </c>
      <c r="H18518" s="32">
        <v>30</v>
      </c>
      <c r="I18518" s="30" t="s">
        <v>21</v>
      </c>
      <c r="J18518" s="41">
        <v>45418</v>
      </c>
      <c r="K18518" s="30" t="s">
        <v>22</v>
      </c>
    </row>
    <row r="18519" spans="1:11">
      <c r="A18519" s="33" t="s">
        <v>41323</v>
      </c>
      <c r="B18519" s="33" t="s">
        <v>41324</v>
      </c>
      <c r="C18519" s="33" t="s">
        <v>31553</v>
      </c>
      <c r="D18519" s="33" t="s">
        <v>17</v>
      </c>
      <c r="E18519" s="33" t="s">
        <v>31</v>
      </c>
      <c r="F18519" s="33" t="s">
        <v>32</v>
      </c>
      <c r="G18519" s="33" t="s">
        <v>140</v>
      </c>
      <c r="H18519" s="35">
        <v>300</v>
      </c>
      <c r="I18519" s="33" t="s">
        <v>51</v>
      </c>
      <c r="J18519" s="42">
        <v>45369</v>
      </c>
      <c r="K18519" s="33" t="s">
        <v>22</v>
      </c>
    </row>
    <row r="18520" spans="1:11">
      <c r="A18520" s="30" t="s">
        <v>41325</v>
      </c>
      <c r="B18520" s="30" t="s">
        <v>41326</v>
      </c>
      <c r="C18520" s="30" t="s">
        <v>795</v>
      </c>
      <c r="D18520" s="30" t="s">
        <v>17</v>
      </c>
      <c r="E18520" s="30" t="s">
        <v>67</v>
      </c>
      <c r="F18520" s="30" t="s">
        <v>68</v>
      </c>
      <c r="G18520" s="30" t="s">
        <v>106</v>
      </c>
      <c r="H18520" s="32">
        <v>21</v>
      </c>
      <c r="I18520" s="30" t="s">
        <v>21</v>
      </c>
      <c r="J18520" s="41">
        <v>45426</v>
      </c>
      <c r="K18520" s="30" t="s">
        <v>22</v>
      </c>
    </row>
    <row r="18521" spans="1:11">
      <c r="A18521" s="33" t="s">
        <v>41327</v>
      </c>
      <c r="B18521" s="33" t="s">
        <v>41328</v>
      </c>
      <c r="C18521" s="33" t="s">
        <v>7588</v>
      </c>
      <c r="D18521" s="33" t="s">
        <v>17</v>
      </c>
      <c r="E18521" s="33" t="s">
        <v>31</v>
      </c>
      <c r="F18521" s="33" t="s">
        <v>32</v>
      </c>
      <c r="G18521" s="33" t="s">
        <v>158</v>
      </c>
      <c r="H18521" s="35">
        <v>460</v>
      </c>
      <c r="I18521" s="33" t="s">
        <v>51</v>
      </c>
      <c r="J18521" s="42">
        <v>45586</v>
      </c>
      <c r="K18521" s="33" t="s">
        <v>22</v>
      </c>
    </row>
    <row r="18522" spans="1:11">
      <c r="A18522" s="30" t="s">
        <v>41329</v>
      </c>
      <c r="B18522" s="30" t="s">
        <v>41330</v>
      </c>
      <c r="C18522" s="30" t="s">
        <v>41331</v>
      </c>
      <c r="D18522" s="30" t="s">
        <v>17</v>
      </c>
      <c r="E18522" s="30" t="s">
        <v>67</v>
      </c>
      <c r="F18522" s="30" t="s">
        <v>68</v>
      </c>
      <c r="G18522" s="30" t="s">
        <v>140</v>
      </c>
      <c r="H18522" s="32">
        <v>15</v>
      </c>
      <c r="I18522" s="30" t="s">
        <v>51</v>
      </c>
      <c r="J18522" s="41">
        <v>45454</v>
      </c>
      <c r="K18522" s="30" t="s">
        <v>22</v>
      </c>
    </row>
    <row r="18523" spans="1:11">
      <c r="A18523" s="33" t="s">
        <v>41332</v>
      </c>
      <c r="B18523" s="33" t="s">
        <v>41333</v>
      </c>
      <c r="C18523" s="33" t="s">
        <v>774</v>
      </c>
      <c r="D18523" s="33" t="s">
        <v>17</v>
      </c>
      <c r="E18523" s="33" t="s">
        <v>26</v>
      </c>
      <c r="F18523" s="33" t="s">
        <v>27</v>
      </c>
      <c r="G18523" s="33" t="s">
        <v>140</v>
      </c>
      <c r="H18523" s="35">
        <v>48</v>
      </c>
      <c r="I18523" s="33" t="s">
        <v>51</v>
      </c>
      <c r="J18523" s="42">
        <v>45380</v>
      </c>
      <c r="K18523" s="33" t="s">
        <v>22</v>
      </c>
    </row>
    <row r="18524" spans="1:11">
      <c r="A18524" s="30" t="s">
        <v>41334</v>
      </c>
      <c r="B18524" s="30" t="s">
        <v>41335</v>
      </c>
      <c r="C18524" s="30" t="s">
        <v>157</v>
      </c>
      <c r="D18524" s="30" t="s">
        <v>17</v>
      </c>
      <c r="E18524" s="30" t="s">
        <v>26</v>
      </c>
      <c r="F18524" s="30" t="s">
        <v>27</v>
      </c>
      <c r="G18524" s="30" t="s">
        <v>20</v>
      </c>
      <c r="H18524" s="32">
        <v>120</v>
      </c>
      <c r="I18524" s="30" t="s">
        <v>21</v>
      </c>
      <c r="J18524" s="41">
        <v>45411</v>
      </c>
      <c r="K18524" s="30" t="s">
        <v>22</v>
      </c>
    </row>
    <row r="18525" spans="1:11">
      <c r="A18525" s="33" t="s">
        <v>41336</v>
      </c>
      <c r="B18525" s="33" t="s">
        <v>41337</v>
      </c>
      <c r="C18525" s="33" t="s">
        <v>41338</v>
      </c>
      <c r="D18525" s="33" t="s">
        <v>17</v>
      </c>
      <c r="E18525" s="33" t="s">
        <v>26</v>
      </c>
      <c r="F18525" s="33" t="s">
        <v>27</v>
      </c>
      <c r="G18525" s="33" t="s">
        <v>20</v>
      </c>
      <c r="H18525" s="35">
        <v>66</v>
      </c>
      <c r="I18525" s="33" t="s">
        <v>21</v>
      </c>
      <c r="J18525" s="42">
        <v>45627</v>
      </c>
      <c r="K18525" s="33" t="s">
        <v>22</v>
      </c>
    </row>
    <row r="18526" spans="1:11">
      <c r="A18526" s="30" t="s">
        <v>41339</v>
      </c>
      <c r="B18526" s="30" t="s">
        <v>41340</v>
      </c>
      <c r="C18526" s="30" t="s">
        <v>12458</v>
      </c>
      <c r="D18526" s="30" t="s">
        <v>17</v>
      </c>
      <c r="E18526" s="30" t="s">
        <v>45</v>
      </c>
      <c r="F18526" s="30" t="s">
        <v>46</v>
      </c>
      <c r="G18526" s="30" t="s">
        <v>20</v>
      </c>
      <c r="H18526" s="32">
        <v>390</v>
      </c>
      <c r="I18526" s="30" t="s">
        <v>21</v>
      </c>
      <c r="J18526" s="41">
        <v>45523</v>
      </c>
      <c r="K18526" s="30" t="s">
        <v>22</v>
      </c>
    </row>
    <row r="18527" spans="1:11">
      <c r="A18527" s="33" t="s">
        <v>41341</v>
      </c>
      <c r="B18527" s="33" t="s">
        <v>41342</v>
      </c>
      <c r="C18527" s="33" t="s">
        <v>41343</v>
      </c>
      <c r="D18527" s="33" t="s">
        <v>17</v>
      </c>
      <c r="E18527" s="33" t="s">
        <v>18</v>
      </c>
      <c r="F18527" s="33" t="s">
        <v>19</v>
      </c>
      <c r="G18527" s="33" t="s">
        <v>158</v>
      </c>
      <c r="H18527" s="35">
        <v>519</v>
      </c>
      <c r="I18527" s="33" t="s">
        <v>51</v>
      </c>
      <c r="J18527" s="42">
        <v>45428</v>
      </c>
      <c r="K18527" s="33" t="s">
        <v>22</v>
      </c>
    </row>
    <row r="18528" spans="1:11">
      <c r="A18528" s="30" t="s">
        <v>41344</v>
      </c>
      <c r="B18528" s="30" t="s">
        <v>41345</v>
      </c>
      <c r="C18528" s="30" t="s">
        <v>6325</v>
      </c>
      <c r="D18528" s="30" t="s">
        <v>17</v>
      </c>
      <c r="E18528" s="30" t="s">
        <v>31</v>
      </c>
      <c r="F18528" s="30" t="s">
        <v>32</v>
      </c>
      <c r="G18528" s="30" t="s">
        <v>140</v>
      </c>
      <c r="H18528" s="32">
        <v>252</v>
      </c>
      <c r="I18528" s="30" t="s">
        <v>51</v>
      </c>
      <c r="J18528" s="41">
        <v>45455</v>
      </c>
      <c r="K18528" s="30" t="s">
        <v>22</v>
      </c>
    </row>
    <row r="18529" spans="1:11">
      <c r="A18529" s="33" t="s">
        <v>41346</v>
      </c>
      <c r="B18529" s="33" t="s">
        <v>41347</v>
      </c>
      <c r="C18529" s="33" t="s">
        <v>6276</v>
      </c>
      <c r="D18529" s="33" t="s">
        <v>17</v>
      </c>
      <c r="E18529" s="33" t="s">
        <v>26</v>
      </c>
      <c r="F18529" s="33" t="s">
        <v>27</v>
      </c>
      <c r="G18529" s="33" t="s">
        <v>158</v>
      </c>
      <c r="H18529" s="35">
        <v>40</v>
      </c>
      <c r="I18529" s="33" t="s">
        <v>51</v>
      </c>
      <c r="J18529" s="42">
        <v>45379</v>
      </c>
      <c r="K18529" s="33" t="s">
        <v>22</v>
      </c>
    </row>
    <row r="18530" spans="1:11">
      <c r="A18530" s="30" t="s">
        <v>41348</v>
      </c>
      <c r="B18530" s="30" t="s">
        <v>41349</v>
      </c>
      <c r="C18530" s="30" t="s">
        <v>41350</v>
      </c>
      <c r="D18530" s="30" t="s">
        <v>17</v>
      </c>
      <c r="E18530" s="30" t="s">
        <v>26</v>
      </c>
      <c r="F18530" s="30" t="s">
        <v>27</v>
      </c>
      <c r="G18530" s="30" t="s">
        <v>20</v>
      </c>
      <c r="H18530" s="32">
        <v>47</v>
      </c>
      <c r="I18530" s="30" t="s">
        <v>21</v>
      </c>
      <c r="J18530" s="41">
        <v>45503</v>
      </c>
      <c r="K18530" s="30" t="s">
        <v>22</v>
      </c>
    </row>
    <row r="18531" spans="1:11">
      <c r="A18531" s="33" t="s">
        <v>41351</v>
      </c>
      <c r="B18531" s="33" t="s">
        <v>41352</v>
      </c>
      <c r="C18531" s="33" t="s">
        <v>10530</v>
      </c>
      <c r="D18531" s="33" t="s">
        <v>17</v>
      </c>
      <c r="E18531" s="33" t="s">
        <v>26</v>
      </c>
      <c r="F18531" s="33" t="s">
        <v>27</v>
      </c>
      <c r="G18531" s="33" t="s">
        <v>20</v>
      </c>
      <c r="H18531" s="35">
        <v>42</v>
      </c>
      <c r="I18531" s="33" t="s">
        <v>21</v>
      </c>
      <c r="J18531" s="42">
        <v>45355</v>
      </c>
      <c r="K18531" s="33" t="s">
        <v>22</v>
      </c>
    </row>
    <row r="18532" spans="1:11">
      <c r="A18532" s="30" t="s">
        <v>41353</v>
      </c>
      <c r="B18532" s="30" t="s">
        <v>41354</v>
      </c>
      <c r="C18532" s="30" t="s">
        <v>44</v>
      </c>
      <c r="D18532" s="30" t="s">
        <v>17</v>
      </c>
      <c r="E18532" s="30" t="s">
        <v>212</v>
      </c>
      <c r="F18532" s="30" t="s">
        <v>213</v>
      </c>
      <c r="G18532" s="30" t="s">
        <v>158</v>
      </c>
      <c r="H18532" s="32">
        <v>120</v>
      </c>
      <c r="I18532" s="30" t="s">
        <v>21</v>
      </c>
      <c r="J18532" s="41">
        <v>45530</v>
      </c>
      <c r="K18532" s="30" t="s">
        <v>22</v>
      </c>
    </row>
    <row r="18533" spans="1:11">
      <c r="A18533" s="33" t="s">
        <v>41355</v>
      </c>
      <c r="B18533" s="33" t="s">
        <v>41356</v>
      </c>
      <c r="C18533" s="33" t="s">
        <v>9487</v>
      </c>
      <c r="D18533" s="33" t="s">
        <v>17</v>
      </c>
      <c r="E18533" s="33" t="s">
        <v>18</v>
      </c>
      <c r="F18533" s="33" t="s">
        <v>19</v>
      </c>
      <c r="G18533" s="33" t="s">
        <v>158</v>
      </c>
      <c r="H18533" s="35">
        <v>238</v>
      </c>
      <c r="I18533" s="33" t="s">
        <v>21</v>
      </c>
      <c r="J18533" s="42">
        <v>45551</v>
      </c>
      <c r="K18533" s="33" t="s">
        <v>22</v>
      </c>
    </row>
    <row r="18534" spans="1:11">
      <c r="A18534" s="30" t="s">
        <v>41357</v>
      </c>
      <c r="B18534" s="30" t="s">
        <v>41358</v>
      </c>
      <c r="C18534" s="30" t="s">
        <v>41359</v>
      </c>
      <c r="D18534" s="30" t="s">
        <v>17</v>
      </c>
      <c r="E18534" s="30" t="s">
        <v>67</v>
      </c>
      <c r="F18534" s="30" t="s">
        <v>68</v>
      </c>
      <c r="G18534" s="30" t="s">
        <v>140</v>
      </c>
      <c r="H18534" s="32">
        <v>60</v>
      </c>
      <c r="I18534" s="30" t="s">
        <v>51</v>
      </c>
      <c r="J18534" s="41">
        <v>45608</v>
      </c>
      <c r="K18534" s="30" t="s">
        <v>22</v>
      </c>
    </row>
    <row r="18535" spans="1:11">
      <c r="A18535" s="33" t="s">
        <v>41360</v>
      </c>
      <c r="B18535" s="33" t="s">
        <v>41361</v>
      </c>
      <c r="C18535" s="33" t="s">
        <v>2562</v>
      </c>
      <c r="D18535" s="33" t="s">
        <v>17</v>
      </c>
      <c r="E18535" s="33" t="s">
        <v>18</v>
      </c>
      <c r="F18535" s="33" t="s">
        <v>19</v>
      </c>
      <c r="G18535" s="33" t="s">
        <v>158</v>
      </c>
      <c r="H18535" s="35">
        <v>180</v>
      </c>
      <c r="I18535" s="33" t="s">
        <v>51</v>
      </c>
      <c r="J18535" s="42">
        <v>45506</v>
      </c>
      <c r="K18535" s="33" t="s">
        <v>22</v>
      </c>
    </row>
    <row r="18536" spans="1:11">
      <c r="A18536" s="30" t="s">
        <v>41362</v>
      </c>
      <c r="B18536" s="30" t="s">
        <v>41363</v>
      </c>
      <c r="C18536" s="30" t="s">
        <v>1324</v>
      </c>
      <c r="D18536" s="30" t="s">
        <v>17</v>
      </c>
      <c r="E18536" s="30" t="s">
        <v>31</v>
      </c>
      <c r="F18536" s="30" t="s">
        <v>32</v>
      </c>
      <c r="G18536" s="30" t="s">
        <v>140</v>
      </c>
      <c r="H18536" s="32">
        <v>14</v>
      </c>
      <c r="I18536" s="30" t="s">
        <v>51</v>
      </c>
      <c r="J18536" s="41">
        <v>45440</v>
      </c>
      <c r="K18536" s="30" t="s">
        <v>22</v>
      </c>
    </row>
    <row r="18537" spans="1:11">
      <c r="A18537" s="33" t="s">
        <v>41364</v>
      </c>
      <c r="B18537" s="33" t="s">
        <v>41365</v>
      </c>
      <c r="C18537" s="33" t="s">
        <v>29990</v>
      </c>
      <c r="D18537" s="33" t="s">
        <v>17</v>
      </c>
      <c r="E18537" s="33" t="s">
        <v>18</v>
      </c>
      <c r="F18537" s="33" t="s">
        <v>19</v>
      </c>
      <c r="G18537" s="33" t="s">
        <v>106</v>
      </c>
      <c r="H18537" s="35">
        <v>15</v>
      </c>
      <c r="I18537" s="33" t="s">
        <v>21</v>
      </c>
      <c r="J18537" s="42">
        <v>45484</v>
      </c>
      <c r="K18537" s="33" t="s">
        <v>22</v>
      </c>
    </row>
    <row r="18538" spans="1:11">
      <c r="A18538" s="30" t="s">
        <v>41366</v>
      </c>
      <c r="B18538" s="30" t="s">
        <v>41367</v>
      </c>
      <c r="C18538" s="30" t="s">
        <v>1250</v>
      </c>
      <c r="D18538" s="30" t="s">
        <v>17</v>
      </c>
      <c r="E18538" s="30" t="s">
        <v>26</v>
      </c>
      <c r="F18538" s="30" t="s">
        <v>27</v>
      </c>
      <c r="G18538" s="30" t="s">
        <v>20</v>
      </c>
      <c r="H18538" s="32">
        <v>103</v>
      </c>
      <c r="I18538" s="30" t="s">
        <v>21</v>
      </c>
      <c r="J18538" s="41">
        <v>45634</v>
      </c>
      <c r="K18538" s="30" t="s">
        <v>22</v>
      </c>
    </row>
    <row r="18539" spans="1:11">
      <c r="A18539" s="33" t="s">
        <v>41368</v>
      </c>
      <c r="B18539" s="33" t="s">
        <v>41369</v>
      </c>
      <c r="C18539" s="33" t="s">
        <v>41370</v>
      </c>
      <c r="D18539" s="33" t="s">
        <v>17</v>
      </c>
      <c r="E18539" s="33" t="s">
        <v>26</v>
      </c>
      <c r="F18539" s="33" t="s">
        <v>27</v>
      </c>
      <c r="G18539" s="33" t="s">
        <v>20</v>
      </c>
      <c r="H18539" s="35">
        <v>56</v>
      </c>
      <c r="I18539" s="33" t="s">
        <v>21</v>
      </c>
      <c r="J18539" s="42">
        <v>45581</v>
      </c>
      <c r="K18539" s="33" t="s">
        <v>22</v>
      </c>
    </row>
    <row r="18540" spans="1:11">
      <c r="A18540" s="30" t="s">
        <v>41371</v>
      </c>
      <c r="B18540" s="30" t="s">
        <v>41372</v>
      </c>
      <c r="C18540" s="30" t="s">
        <v>190</v>
      </c>
      <c r="D18540" s="30" t="s">
        <v>17</v>
      </c>
      <c r="E18540" s="30" t="s">
        <v>26</v>
      </c>
      <c r="F18540" s="30" t="s">
        <v>27</v>
      </c>
      <c r="G18540" s="30" t="s">
        <v>20</v>
      </c>
      <c r="H18540" s="32">
        <v>22</v>
      </c>
      <c r="I18540" s="30" t="s">
        <v>21</v>
      </c>
      <c r="J18540" s="41">
        <v>45597</v>
      </c>
      <c r="K18540" s="30" t="s">
        <v>22</v>
      </c>
    </row>
    <row r="18541" spans="1:11">
      <c r="A18541" s="33" t="s">
        <v>41373</v>
      </c>
      <c r="B18541" s="33" t="s">
        <v>41374</v>
      </c>
      <c r="C18541" s="33" t="s">
        <v>102</v>
      </c>
      <c r="D18541" s="33" t="s">
        <v>17</v>
      </c>
      <c r="E18541" s="33" t="s">
        <v>18</v>
      </c>
      <c r="F18541" s="33" t="s">
        <v>19</v>
      </c>
      <c r="G18541" s="33" t="s">
        <v>140</v>
      </c>
      <c r="H18541" s="35">
        <v>641</v>
      </c>
      <c r="I18541" s="33" t="s">
        <v>51</v>
      </c>
      <c r="J18541" s="42">
        <v>45400</v>
      </c>
      <c r="K18541" s="33" t="s">
        <v>22</v>
      </c>
    </row>
    <row r="18542" spans="1:11">
      <c r="A18542" s="30" t="s">
        <v>41375</v>
      </c>
      <c r="B18542" s="30" t="s">
        <v>41376</v>
      </c>
      <c r="C18542" s="30" t="s">
        <v>96</v>
      </c>
      <c r="D18542" s="30" t="s">
        <v>17</v>
      </c>
      <c r="E18542" s="30" t="s">
        <v>26</v>
      </c>
      <c r="F18542" s="30" t="s">
        <v>27</v>
      </c>
      <c r="G18542" s="30" t="s">
        <v>20</v>
      </c>
      <c r="H18542" s="32">
        <v>22</v>
      </c>
      <c r="I18542" s="30" t="s">
        <v>21</v>
      </c>
      <c r="J18542" s="41">
        <v>45518</v>
      </c>
      <c r="K18542" s="30" t="s">
        <v>22</v>
      </c>
    </row>
    <row r="18543" spans="1:11">
      <c r="A18543" s="33" t="s">
        <v>41377</v>
      </c>
      <c r="B18543" s="33" t="s">
        <v>41378</v>
      </c>
      <c r="C18543" s="33" t="s">
        <v>41379</v>
      </c>
      <c r="D18543" s="33" t="s">
        <v>17</v>
      </c>
      <c r="E18543" s="33" t="s">
        <v>31</v>
      </c>
      <c r="F18543" s="33" t="s">
        <v>32</v>
      </c>
      <c r="G18543" s="33" t="s">
        <v>140</v>
      </c>
      <c r="H18543" s="35">
        <v>126</v>
      </c>
      <c r="I18543" s="33" t="s">
        <v>51</v>
      </c>
      <c r="J18543" s="42">
        <v>45302</v>
      </c>
      <c r="K18543" s="33" t="s">
        <v>22</v>
      </c>
    </row>
    <row r="18544" spans="1:11">
      <c r="A18544" s="30" t="s">
        <v>41380</v>
      </c>
      <c r="B18544" s="30" t="s">
        <v>41381</v>
      </c>
      <c r="C18544" s="30" t="s">
        <v>41382</v>
      </c>
      <c r="D18544" s="30" t="s">
        <v>17</v>
      </c>
      <c r="E18544" s="30" t="s">
        <v>26</v>
      </c>
      <c r="F18544" s="30" t="s">
        <v>27</v>
      </c>
      <c r="G18544" s="30" t="s">
        <v>20</v>
      </c>
      <c r="H18544" s="32">
        <v>32</v>
      </c>
      <c r="I18544" s="30" t="s">
        <v>21</v>
      </c>
      <c r="J18544" s="41">
        <v>45309</v>
      </c>
      <c r="K18544" s="30" t="s">
        <v>22</v>
      </c>
    </row>
    <row r="18545" spans="1:11">
      <c r="A18545" s="33" t="s">
        <v>41383</v>
      </c>
      <c r="B18545" s="33" t="s">
        <v>41384</v>
      </c>
      <c r="C18545" s="33" t="s">
        <v>4348</v>
      </c>
      <c r="D18545" s="33" t="s">
        <v>17</v>
      </c>
      <c r="E18545" s="33" t="s">
        <v>26</v>
      </c>
      <c r="F18545" s="33" t="s">
        <v>27</v>
      </c>
      <c r="G18545" s="33" t="s">
        <v>140</v>
      </c>
      <c r="H18545" s="35">
        <v>22</v>
      </c>
      <c r="I18545" s="33" t="s">
        <v>51</v>
      </c>
      <c r="J18545" s="42">
        <v>45506</v>
      </c>
      <c r="K18545" s="33" t="s">
        <v>22</v>
      </c>
    </row>
    <row r="18546" spans="1:11">
      <c r="A18546" s="30" t="s">
        <v>41385</v>
      </c>
      <c r="B18546" s="30" t="s">
        <v>41386</v>
      </c>
      <c r="C18546" s="30" t="s">
        <v>6650</v>
      </c>
      <c r="D18546" s="30" t="s">
        <v>17</v>
      </c>
      <c r="E18546" s="30" t="s">
        <v>26</v>
      </c>
      <c r="F18546" s="30" t="s">
        <v>27</v>
      </c>
      <c r="G18546" s="30" t="s">
        <v>50</v>
      </c>
      <c r="H18546" s="32">
        <v>18</v>
      </c>
      <c r="I18546" s="30" t="s">
        <v>51</v>
      </c>
      <c r="J18546" s="41">
        <v>45292</v>
      </c>
      <c r="K18546" s="30" t="s">
        <v>22</v>
      </c>
    </row>
    <row r="18547" spans="1:11">
      <c r="A18547" s="33" t="s">
        <v>41387</v>
      </c>
      <c r="B18547" s="33" t="s">
        <v>41388</v>
      </c>
      <c r="C18547" s="33" t="s">
        <v>10835</v>
      </c>
      <c r="D18547" s="33" t="s">
        <v>17</v>
      </c>
      <c r="E18547" s="33" t="s">
        <v>18</v>
      </c>
      <c r="F18547" s="33" t="s">
        <v>19</v>
      </c>
      <c r="G18547" s="33" t="s">
        <v>20</v>
      </c>
      <c r="H18547" s="35">
        <v>123</v>
      </c>
      <c r="I18547" s="33" t="s">
        <v>21</v>
      </c>
      <c r="J18547" s="42">
        <v>45436</v>
      </c>
      <c r="K18547" s="33" t="s">
        <v>22</v>
      </c>
    </row>
    <row r="18548" spans="1:11">
      <c r="A18548" s="30" t="s">
        <v>41389</v>
      </c>
      <c r="B18548" s="30" t="s">
        <v>41390</v>
      </c>
      <c r="C18548" s="30" t="s">
        <v>109</v>
      </c>
      <c r="D18548" s="30" t="s">
        <v>17</v>
      </c>
      <c r="E18548" s="30" t="s">
        <v>18</v>
      </c>
      <c r="F18548" s="30" t="s">
        <v>19</v>
      </c>
      <c r="G18548" s="30" t="s">
        <v>20</v>
      </c>
      <c r="H18548" s="32">
        <v>1720</v>
      </c>
      <c r="I18548" s="30" t="s">
        <v>21</v>
      </c>
      <c r="J18548" s="41">
        <v>45358</v>
      </c>
      <c r="K18548" s="30" t="s">
        <v>22</v>
      </c>
    </row>
    <row r="18549" spans="1:11">
      <c r="A18549" s="33" t="s">
        <v>41391</v>
      </c>
      <c r="B18549" s="33" t="s">
        <v>41392</v>
      </c>
      <c r="C18549" s="33" t="s">
        <v>41393</v>
      </c>
      <c r="D18549" s="33" t="s">
        <v>17</v>
      </c>
      <c r="E18549" s="33" t="s">
        <v>330</v>
      </c>
      <c r="F18549" s="33" t="s">
        <v>331</v>
      </c>
      <c r="G18549" s="33" t="s">
        <v>69</v>
      </c>
      <c r="H18549" s="35">
        <v>30</v>
      </c>
      <c r="I18549" s="33" t="s">
        <v>51</v>
      </c>
      <c r="J18549" s="42">
        <v>45589</v>
      </c>
      <c r="K18549" s="33" t="s">
        <v>22</v>
      </c>
    </row>
    <row r="18550" spans="1:11">
      <c r="A18550" s="30" t="s">
        <v>41394</v>
      </c>
      <c r="B18550" s="30" t="s">
        <v>41395</v>
      </c>
      <c r="C18550" s="30" t="s">
        <v>22019</v>
      </c>
      <c r="D18550" s="30" t="s">
        <v>17</v>
      </c>
      <c r="E18550" s="30" t="s">
        <v>18</v>
      </c>
      <c r="F18550" s="30" t="s">
        <v>19</v>
      </c>
      <c r="G18550" s="30" t="s">
        <v>140</v>
      </c>
      <c r="H18550" s="32">
        <v>160</v>
      </c>
      <c r="I18550" s="30" t="s">
        <v>51</v>
      </c>
      <c r="J18550" s="41">
        <v>45560</v>
      </c>
      <c r="K18550" s="30" t="s">
        <v>22</v>
      </c>
    </row>
    <row r="18551" spans="1:11">
      <c r="A18551" s="33" t="s">
        <v>41396</v>
      </c>
      <c r="B18551" s="33" t="s">
        <v>41397</v>
      </c>
      <c r="C18551" s="33" t="s">
        <v>14816</v>
      </c>
      <c r="D18551" s="33" t="s">
        <v>17</v>
      </c>
      <c r="E18551" s="33" t="s">
        <v>31</v>
      </c>
      <c r="F18551" s="33" t="s">
        <v>32</v>
      </c>
      <c r="G18551" s="33" t="s">
        <v>20</v>
      </c>
      <c r="H18551" s="35">
        <v>235</v>
      </c>
      <c r="I18551" s="33" t="s">
        <v>21</v>
      </c>
      <c r="J18551" s="42">
        <v>45345</v>
      </c>
      <c r="K18551" s="33" t="s">
        <v>22</v>
      </c>
    </row>
    <row r="18552" spans="1:11">
      <c r="A18552" s="30" t="s">
        <v>41398</v>
      </c>
      <c r="B18552" s="30" t="s">
        <v>41399</v>
      </c>
      <c r="C18552" s="30" t="s">
        <v>8004</v>
      </c>
      <c r="D18552" s="30" t="s">
        <v>17</v>
      </c>
      <c r="E18552" s="30" t="s">
        <v>18</v>
      </c>
      <c r="F18552" s="30" t="s">
        <v>19</v>
      </c>
      <c r="G18552" s="30" t="s">
        <v>106</v>
      </c>
      <c r="H18552" s="32">
        <v>163</v>
      </c>
      <c r="I18552" s="30" t="s">
        <v>21</v>
      </c>
      <c r="J18552" s="41">
        <v>45384</v>
      </c>
      <c r="K18552" s="30" t="s">
        <v>22</v>
      </c>
    </row>
    <row r="18553" spans="1:11">
      <c r="A18553" s="33" t="s">
        <v>41400</v>
      </c>
      <c r="B18553" s="33" t="s">
        <v>41401</v>
      </c>
      <c r="C18553" s="33" t="s">
        <v>41402</v>
      </c>
      <c r="D18553" s="33" t="s">
        <v>17</v>
      </c>
      <c r="E18553" s="33" t="s">
        <v>26</v>
      </c>
      <c r="F18553" s="33" t="s">
        <v>27</v>
      </c>
      <c r="G18553" s="33" t="s">
        <v>20</v>
      </c>
      <c r="H18553" s="35">
        <v>48</v>
      </c>
      <c r="I18553" s="33" t="s">
        <v>21</v>
      </c>
      <c r="J18553" s="42">
        <v>45421</v>
      </c>
      <c r="K18553" s="33" t="s">
        <v>22</v>
      </c>
    </row>
    <row r="18554" spans="1:11">
      <c r="A18554" s="30" t="s">
        <v>41403</v>
      </c>
      <c r="B18554" s="30" t="s">
        <v>41404</v>
      </c>
      <c r="C18554" s="30" t="s">
        <v>1504</v>
      </c>
      <c r="D18554" s="30" t="s">
        <v>17</v>
      </c>
      <c r="E18554" s="30" t="s">
        <v>18</v>
      </c>
      <c r="F18554" s="30" t="s">
        <v>19</v>
      </c>
      <c r="G18554" s="30" t="s">
        <v>140</v>
      </c>
      <c r="H18554" s="32">
        <v>420</v>
      </c>
      <c r="I18554" s="30" t="s">
        <v>51</v>
      </c>
      <c r="J18554" s="41">
        <v>45545</v>
      </c>
      <c r="K18554" s="30" t="s">
        <v>22</v>
      </c>
    </row>
    <row r="18555" spans="1:11">
      <c r="A18555" s="33" t="s">
        <v>41405</v>
      </c>
      <c r="B18555" s="33" t="s">
        <v>41406</v>
      </c>
      <c r="C18555" s="33" t="s">
        <v>157</v>
      </c>
      <c r="D18555" s="33" t="s">
        <v>17</v>
      </c>
      <c r="E18555" s="33" t="s">
        <v>45</v>
      </c>
      <c r="F18555" s="33" t="s">
        <v>46</v>
      </c>
      <c r="G18555" s="33" t="s">
        <v>158</v>
      </c>
      <c r="H18555" s="35">
        <v>6</v>
      </c>
      <c r="I18555" s="33" t="s">
        <v>21</v>
      </c>
      <c r="J18555" s="42">
        <v>45356</v>
      </c>
      <c r="K18555" s="33" t="s">
        <v>22</v>
      </c>
    </row>
    <row r="18556" spans="1:11">
      <c r="A18556" s="30" t="s">
        <v>41407</v>
      </c>
      <c r="B18556" s="30" t="s">
        <v>41408</v>
      </c>
      <c r="C18556" s="30" t="s">
        <v>35123</v>
      </c>
      <c r="D18556" s="30" t="s">
        <v>17</v>
      </c>
      <c r="E18556" s="30" t="s">
        <v>212</v>
      </c>
      <c r="F18556" s="30" t="s">
        <v>213</v>
      </c>
      <c r="G18556" s="30" t="s">
        <v>20</v>
      </c>
      <c r="H18556" s="32">
        <v>20</v>
      </c>
      <c r="I18556" s="30" t="s">
        <v>21</v>
      </c>
      <c r="J18556" s="41">
        <v>45428</v>
      </c>
      <c r="K18556" s="30" t="s">
        <v>22</v>
      </c>
    </row>
    <row r="18557" spans="1:11">
      <c r="A18557" s="33" t="s">
        <v>41409</v>
      </c>
      <c r="B18557" s="33" t="s">
        <v>41410</v>
      </c>
      <c r="C18557" s="33" t="s">
        <v>3429</v>
      </c>
      <c r="D18557" s="33" t="s">
        <v>17</v>
      </c>
      <c r="E18557" s="33" t="s">
        <v>26</v>
      </c>
      <c r="F18557" s="33" t="s">
        <v>27</v>
      </c>
      <c r="G18557" s="33" t="s">
        <v>20</v>
      </c>
      <c r="H18557" s="35">
        <v>44</v>
      </c>
      <c r="I18557" s="33" t="s">
        <v>21</v>
      </c>
      <c r="J18557" s="42">
        <v>45357</v>
      </c>
      <c r="K18557" s="33" t="s">
        <v>22</v>
      </c>
    </row>
    <row r="18558" spans="1:11">
      <c r="A18558" s="30" t="s">
        <v>41411</v>
      </c>
      <c r="B18558" s="30" t="s">
        <v>41412</v>
      </c>
      <c r="C18558" s="30" t="s">
        <v>10459</v>
      </c>
      <c r="D18558" s="30" t="s">
        <v>17</v>
      </c>
      <c r="E18558" s="30" t="s">
        <v>26</v>
      </c>
      <c r="F18558" s="30" t="s">
        <v>27</v>
      </c>
      <c r="G18558" s="30" t="s">
        <v>140</v>
      </c>
      <c r="H18558" s="32">
        <v>20</v>
      </c>
      <c r="I18558" s="30" t="s">
        <v>51</v>
      </c>
      <c r="J18558" s="41">
        <v>45579</v>
      </c>
      <c r="K18558" s="30" t="s">
        <v>22</v>
      </c>
    </row>
    <row r="18559" spans="1:11">
      <c r="A18559" s="33" t="s">
        <v>41413</v>
      </c>
      <c r="B18559" s="33" t="s">
        <v>41414</v>
      </c>
      <c r="C18559" s="33" t="s">
        <v>96</v>
      </c>
      <c r="D18559" s="33" t="s">
        <v>17</v>
      </c>
      <c r="E18559" s="33" t="s">
        <v>67</v>
      </c>
      <c r="F18559" s="33" t="s">
        <v>68</v>
      </c>
      <c r="G18559" s="33" t="s">
        <v>158</v>
      </c>
      <c r="H18559" s="35">
        <v>11</v>
      </c>
      <c r="I18559" s="33" t="s">
        <v>21</v>
      </c>
      <c r="J18559" s="42">
        <v>45301</v>
      </c>
      <c r="K18559" s="33" t="s">
        <v>22</v>
      </c>
    </row>
    <row r="18560" spans="1:11">
      <c r="A18560" s="30" t="s">
        <v>41415</v>
      </c>
      <c r="B18560" s="30" t="s">
        <v>41416</v>
      </c>
      <c r="C18560" s="30" t="s">
        <v>3751</v>
      </c>
      <c r="D18560" s="30" t="s">
        <v>17</v>
      </c>
      <c r="E18560" s="30" t="s">
        <v>18</v>
      </c>
      <c r="F18560" s="30" t="s">
        <v>19</v>
      </c>
      <c r="G18560" s="30" t="s">
        <v>20</v>
      </c>
      <c r="H18560" s="32">
        <v>150</v>
      </c>
      <c r="I18560" s="30" t="s">
        <v>21</v>
      </c>
      <c r="J18560" s="41">
        <v>45533</v>
      </c>
      <c r="K18560" s="30" t="s">
        <v>22</v>
      </c>
    </row>
    <row r="18561" spans="1:11">
      <c r="A18561" s="33" t="s">
        <v>41417</v>
      </c>
      <c r="B18561" s="33" t="s">
        <v>41418</v>
      </c>
      <c r="C18561" s="33" t="s">
        <v>1796</v>
      </c>
      <c r="D18561" s="33" t="s">
        <v>17</v>
      </c>
      <c r="E18561" s="33" t="s">
        <v>31</v>
      </c>
      <c r="F18561" s="33" t="s">
        <v>32</v>
      </c>
      <c r="G18561" s="33" t="s">
        <v>7780</v>
      </c>
      <c r="H18561" s="35">
        <v>50</v>
      </c>
      <c r="I18561" s="33" t="s">
        <v>51</v>
      </c>
      <c r="J18561" s="42">
        <v>45597</v>
      </c>
      <c r="K18561" s="33" t="s">
        <v>22</v>
      </c>
    </row>
    <row r="18562" spans="1:11">
      <c r="A18562" s="30" t="s">
        <v>41419</v>
      </c>
      <c r="B18562" s="30" t="s">
        <v>41420</v>
      </c>
      <c r="C18562" s="30" t="s">
        <v>10300</v>
      </c>
      <c r="D18562" s="30" t="s">
        <v>17</v>
      </c>
      <c r="E18562" s="30" t="s">
        <v>31</v>
      </c>
      <c r="F18562" s="30" t="s">
        <v>32</v>
      </c>
      <c r="G18562" s="30" t="s">
        <v>140</v>
      </c>
      <c r="H18562" s="32">
        <v>300</v>
      </c>
      <c r="I18562" s="30" t="s">
        <v>51</v>
      </c>
      <c r="J18562" s="41">
        <v>45582</v>
      </c>
      <c r="K18562" s="30" t="s">
        <v>22</v>
      </c>
    </row>
    <row r="18563" spans="1:11">
      <c r="A18563" s="33" t="s">
        <v>41421</v>
      </c>
      <c r="B18563" s="33" t="s">
        <v>41422</v>
      </c>
      <c r="C18563" s="33" t="s">
        <v>10422</v>
      </c>
      <c r="D18563" s="33" t="s">
        <v>17</v>
      </c>
      <c r="E18563" s="33" t="s">
        <v>31</v>
      </c>
      <c r="F18563" s="33" t="s">
        <v>32</v>
      </c>
      <c r="G18563" s="33" t="s">
        <v>20</v>
      </c>
      <c r="H18563" s="35">
        <v>307</v>
      </c>
      <c r="I18563" s="33" t="s">
        <v>21</v>
      </c>
      <c r="J18563" s="42">
        <v>45566</v>
      </c>
      <c r="K18563" s="33" t="s">
        <v>22</v>
      </c>
    </row>
    <row r="18564" spans="1:11">
      <c r="A18564" s="30" t="s">
        <v>41423</v>
      </c>
      <c r="B18564" s="30" t="s">
        <v>41424</v>
      </c>
      <c r="C18564" s="30" t="s">
        <v>2753</v>
      </c>
      <c r="D18564" s="30" t="s">
        <v>17</v>
      </c>
      <c r="E18564" s="30" t="s">
        <v>26</v>
      </c>
      <c r="F18564" s="30" t="s">
        <v>27</v>
      </c>
      <c r="G18564" s="30" t="s">
        <v>140</v>
      </c>
      <c r="H18564" s="32">
        <v>392</v>
      </c>
      <c r="I18564" s="30" t="s">
        <v>51</v>
      </c>
      <c r="J18564" s="41">
        <v>45496</v>
      </c>
      <c r="K18564" s="30" t="s">
        <v>22</v>
      </c>
    </row>
    <row r="18565" spans="1:11">
      <c r="A18565" s="33" t="s">
        <v>41425</v>
      </c>
      <c r="B18565" s="33" t="s">
        <v>41426</v>
      </c>
      <c r="C18565" s="33" t="s">
        <v>96</v>
      </c>
      <c r="D18565" s="33" t="s">
        <v>17</v>
      </c>
      <c r="E18565" s="33" t="s">
        <v>26</v>
      </c>
      <c r="F18565" s="33" t="s">
        <v>27</v>
      </c>
      <c r="G18565" s="33" t="s">
        <v>20</v>
      </c>
      <c r="H18565" s="35">
        <v>12</v>
      </c>
      <c r="I18565" s="33" t="s">
        <v>21</v>
      </c>
      <c r="J18565" s="42">
        <v>45415</v>
      </c>
      <c r="K18565" s="33" t="s">
        <v>22</v>
      </c>
    </row>
    <row r="18566" spans="1:11">
      <c r="A18566" s="30" t="s">
        <v>41427</v>
      </c>
      <c r="B18566" s="30" t="s">
        <v>41428</v>
      </c>
      <c r="C18566" s="30" t="s">
        <v>321</v>
      </c>
      <c r="D18566" s="30" t="s">
        <v>17</v>
      </c>
      <c r="E18566" s="30" t="s">
        <v>18</v>
      </c>
      <c r="F18566" s="30" t="s">
        <v>19</v>
      </c>
      <c r="G18566" s="30" t="s">
        <v>2613</v>
      </c>
      <c r="H18566" s="32">
        <v>680</v>
      </c>
      <c r="I18566" s="30" t="s">
        <v>51</v>
      </c>
      <c r="J18566" s="41">
        <v>45503</v>
      </c>
      <c r="K18566" s="30" t="s">
        <v>22</v>
      </c>
    </row>
    <row r="18567" spans="1:11">
      <c r="A18567" s="33" t="s">
        <v>41429</v>
      </c>
      <c r="B18567" s="33" t="s">
        <v>41430</v>
      </c>
      <c r="C18567" s="33" t="s">
        <v>1778</v>
      </c>
      <c r="D18567" s="33" t="s">
        <v>17</v>
      </c>
      <c r="E18567" s="33" t="s">
        <v>26</v>
      </c>
      <c r="F18567" s="33" t="s">
        <v>27</v>
      </c>
      <c r="G18567" s="33" t="s">
        <v>20</v>
      </c>
      <c r="H18567" s="35">
        <v>6</v>
      </c>
      <c r="I18567" s="33" t="s">
        <v>21</v>
      </c>
      <c r="J18567" s="42">
        <v>45561</v>
      </c>
      <c r="K18567" s="33" t="s">
        <v>22</v>
      </c>
    </row>
    <row r="18568" spans="1:11">
      <c r="A18568" s="30" t="s">
        <v>41431</v>
      </c>
      <c r="B18568" s="30" t="s">
        <v>41432</v>
      </c>
      <c r="C18568" s="30" t="s">
        <v>41433</v>
      </c>
      <c r="D18568" s="30" t="s">
        <v>17</v>
      </c>
      <c r="E18568" s="30" t="s">
        <v>26</v>
      </c>
      <c r="F18568" s="30" t="s">
        <v>27</v>
      </c>
      <c r="G18568" s="30" t="s">
        <v>112</v>
      </c>
      <c r="H18568" s="32">
        <v>0</v>
      </c>
      <c r="I18568" s="30" t="s">
        <v>21</v>
      </c>
      <c r="J18568" s="41">
        <v>45414</v>
      </c>
      <c r="K18568" s="30" t="s">
        <v>22</v>
      </c>
    </row>
    <row r="18569" spans="1:11">
      <c r="A18569" s="33" t="s">
        <v>41434</v>
      </c>
      <c r="B18569" s="33" t="s">
        <v>41435</v>
      </c>
      <c r="C18569" s="33" t="s">
        <v>41436</v>
      </c>
      <c r="D18569" s="33" t="s">
        <v>17</v>
      </c>
      <c r="E18569" s="33" t="s">
        <v>31</v>
      </c>
      <c r="F18569" s="33" t="s">
        <v>32</v>
      </c>
      <c r="G18569" s="33" t="s">
        <v>20</v>
      </c>
      <c r="H18569" s="35">
        <v>145</v>
      </c>
      <c r="I18569" s="33" t="s">
        <v>21</v>
      </c>
      <c r="J18569" s="42">
        <v>45405</v>
      </c>
      <c r="K18569" s="33" t="s">
        <v>22</v>
      </c>
    </row>
    <row r="18570" spans="1:11">
      <c r="A18570" s="30" t="s">
        <v>41437</v>
      </c>
      <c r="B18570" s="30" t="s">
        <v>41438</v>
      </c>
      <c r="C18570" s="30" t="s">
        <v>231</v>
      </c>
      <c r="D18570" s="30" t="s">
        <v>17</v>
      </c>
      <c r="E18570" s="30" t="s">
        <v>26</v>
      </c>
      <c r="F18570" s="30" t="s">
        <v>27</v>
      </c>
      <c r="G18570" s="30" t="s">
        <v>20</v>
      </c>
      <c r="H18570" s="32">
        <v>64</v>
      </c>
      <c r="I18570" s="30" t="s">
        <v>21</v>
      </c>
      <c r="J18570" s="41">
        <v>45449</v>
      </c>
      <c r="K18570" s="30" t="s">
        <v>22</v>
      </c>
    </row>
    <row r="18571" spans="1:11">
      <c r="A18571" s="33" t="s">
        <v>41439</v>
      </c>
      <c r="B18571" s="33" t="s">
        <v>41440</v>
      </c>
      <c r="C18571" s="33" t="s">
        <v>1154</v>
      </c>
      <c r="D18571" s="33" t="s">
        <v>17</v>
      </c>
      <c r="E18571" s="33" t="s">
        <v>18</v>
      </c>
      <c r="F18571" s="33" t="s">
        <v>19</v>
      </c>
      <c r="G18571" s="33" t="s">
        <v>20</v>
      </c>
      <c r="H18571" s="35">
        <v>288</v>
      </c>
      <c r="I18571" s="33" t="s">
        <v>21</v>
      </c>
      <c r="J18571" s="42">
        <v>45378</v>
      </c>
      <c r="K18571" s="33" t="s">
        <v>22</v>
      </c>
    </row>
    <row r="18572" spans="1:11">
      <c r="A18572" s="30" t="s">
        <v>41441</v>
      </c>
      <c r="B18572" s="30" t="s">
        <v>41442</v>
      </c>
      <c r="C18572" s="30" t="s">
        <v>3594</v>
      </c>
      <c r="D18572" s="30" t="s">
        <v>17</v>
      </c>
      <c r="E18572" s="30" t="s">
        <v>26</v>
      </c>
      <c r="F18572" s="30" t="s">
        <v>27</v>
      </c>
      <c r="G18572" s="30" t="s">
        <v>20</v>
      </c>
      <c r="H18572" s="32">
        <v>20</v>
      </c>
      <c r="I18572" s="30" t="s">
        <v>21</v>
      </c>
      <c r="J18572" s="41">
        <v>45582</v>
      </c>
      <c r="K18572" s="30" t="s">
        <v>22</v>
      </c>
    </row>
    <row r="18573" spans="1:11">
      <c r="A18573" s="33" t="s">
        <v>41443</v>
      </c>
      <c r="B18573" s="33" t="s">
        <v>41444</v>
      </c>
      <c r="C18573" s="33" t="s">
        <v>41445</v>
      </c>
      <c r="D18573" s="33" t="s">
        <v>17</v>
      </c>
      <c r="E18573" s="33" t="s">
        <v>67</v>
      </c>
      <c r="F18573" s="33" t="s">
        <v>68</v>
      </c>
      <c r="G18573" s="33" t="s">
        <v>140</v>
      </c>
      <c r="H18573" s="35">
        <v>250</v>
      </c>
      <c r="I18573" s="33" t="s">
        <v>51</v>
      </c>
      <c r="J18573" s="42">
        <v>45639</v>
      </c>
      <c r="K18573" s="33" t="s">
        <v>22</v>
      </c>
    </row>
    <row r="18574" spans="1:11">
      <c r="A18574" s="30" t="s">
        <v>41446</v>
      </c>
      <c r="B18574" s="30" t="s">
        <v>41447</v>
      </c>
      <c r="C18574" s="30" t="s">
        <v>1764</v>
      </c>
      <c r="D18574" s="30" t="s">
        <v>17</v>
      </c>
      <c r="E18574" s="30" t="s">
        <v>18</v>
      </c>
      <c r="F18574" s="30" t="s">
        <v>19</v>
      </c>
      <c r="G18574" s="30" t="s">
        <v>20</v>
      </c>
      <c r="H18574" s="32">
        <v>82</v>
      </c>
      <c r="I18574" s="30" t="s">
        <v>21</v>
      </c>
      <c r="J18574" s="41">
        <v>45313</v>
      </c>
      <c r="K18574" s="30" t="s">
        <v>22</v>
      </c>
    </row>
    <row r="18575" spans="1:11">
      <c r="A18575" s="33" t="s">
        <v>41448</v>
      </c>
      <c r="B18575" s="33" t="s">
        <v>41449</v>
      </c>
      <c r="C18575" s="33" t="s">
        <v>647</v>
      </c>
      <c r="D18575" s="33" t="s">
        <v>17</v>
      </c>
      <c r="E18575" s="33" t="s">
        <v>18</v>
      </c>
      <c r="F18575" s="33" t="s">
        <v>19</v>
      </c>
      <c r="G18575" s="33" t="s">
        <v>158</v>
      </c>
      <c r="H18575" s="35">
        <v>67</v>
      </c>
      <c r="I18575" s="33" t="s">
        <v>21</v>
      </c>
      <c r="J18575" s="42">
        <v>45617</v>
      </c>
      <c r="K18575" s="33" t="s">
        <v>22</v>
      </c>
    </row>
    <row r="18576" spans="1:11">
      <c r="A18576" s="30" t="s">
        <v>41450</v>
      </c>
      <c r="B18576" s="30" t="s">
        <v>41451</v>
      </c>
      <c r="C18576" s="30" t="s">
        <v>310</v>
      </c>
      <c r="D18576" s="30" t="s">
        <v>17</v>
      </c>
      <c r="E18576" s="30" t="s">
        <v>212</v>
      </c>
      <c r="F18576" s="30" t="s">
        <v>213</v>
      </c>
      <c r="G18576" s="30" t="s">
        <v>158</v>
      </c>
      <c r="H18576" s="32">
        <v>500</v>
      </c>
      <c r="I18576" s="30" t="s">
        <v>51</v>
      </c>
      <c r="J18576" s="41">
        <v>45552</v>
      </c>
      <c r="K18576" s="30" t="s">
        <v>22</v>
      </c>
    </row>
    <row r="18577" spans="1:11">
      <c r="A18577" s="33" t="s">
        <v>41452</v>
      </c>
      <c r="B18577" s="33" t="s">
        <v>41453</v>
      </c>
      <c r="C18577" s="33" t="s">
        <v>109</v>
      </c>
      <c r="D18577" s="33" t="s">
        <v>17</v>
      </c>
      <c r="E18577" s="33" t="s">
        <v>212</v>
      </c>
      <c r="F18577" s="33" t="s">
        <v>213</v>
      </c>
      <c r="G18577" s="33" t="s">
        <v>140</v>
      </c>
      <c r="H18577" s="35">
        <v>224</v>
      </c>
      <c r="I18577" s="33" t="s">
        <v>51</v>
      </c>
      <c r="J18577" s="42">
        <v>45623</v>
      </c>
      <c r="K18577" s="33" t="s">
        <v>22</v>
      </c>
    </row>
    <row r="18578" spans="1:11">
      <c r="A18578" s="30" t="s">
        <v>41454</v>
      </c>
      <c r="B18578" s="30" t="s">
        <v>41455</v>
      </c>
      <c r="C18578" s="30" t="s">
        <v>32736</v>
      </c>
      <c r="D18578" s="30" t="s">
        <v>17</v>
      </c>
      <c r="E18578" s="30" t="s">
        <v>31</v>
      </c>
      <c r="F18578" s="30" t="s">
        <v>32</v>
      </c>
      <c r="G18578" s="30" t="s">
        <v>20</v>
      </c>
      <c r="H18578" s="32">
        <v>11</v>
      </c>
      <c r="I18578" s="30" t="s">
        <v>21</v>
      </c>
      <c r="J18578" s="41">
        <v>45512</v>
      </c>
      <c r="K18578" s="30" t="s">
        <v>22</v>
      </c>
    </row>
    <row r="18579" spans="1:11">
      <c r="A18579" s="33" t="s">
        <v>41456</v>
      </c>
      <c r="B18579" s="33" t="s">
        <v>41457</v>
      </c>
      <c r="C18579" s="33" t="s">
        <v>190</v>
      </c>
      <c r="D18579" s="33" t="s">
        <v>17</v>
      </c>
      <c r="E18579" s="33" t="s">
        <v>18</v>
      </c>
      <c r="F18579" s="33" t="s">
        <v>19</v>
      </c>
      <c r="G18579" s="33" t="s">
        <v>158</v>
      </c>
      <c r="H18579" s="35">
        <v>326</v>
      </c>
      <c r="I18579" s="33" t="s">
        <v>21</v>
      </c>
      <c r="J18579" s="42">
        <v>45565</v>
      </c>
      <c r="K18579" s="33" t="s">
        <v>22</v>
      </c>
    </row>
    <row r="18580" spans="1:11">
      <c r="A18580" s="30" t="s">
        <v>41458</v>
      </c>
      <c r="B18580" s="30" t="s">
        <v>41459</v>
      </c>
      <c r="C18580" s="30" t="s">
        <v>13196</v>
      </c>
      <c r="D18580" s="30" t="s">
        <v>17</v>
      </c>
      <c r="E18580" s="30" t="s">
        <v>31</v>
      </c>
      <c r="F18580" s="30" t="s">
        <v>32</v>
      </c>
      <c r="G18580" s="30" t="s">
        <v>106</v>
      </c>
      <c r="H18580" s="32">
        <v>19</v>
      </c>
      <c r="I18580" s="30" t="s">
        <v>21</v>
      </c>
      <c r="J18580" s="41">
        <v>45456</v>
      </c>
      <c r="K18580" s="30" t="s">
        <v>22</v>
      </c>
    </row>
    <row r="18581" spans="1:11">
      <c r="A18581" s="33" t="s">
        <v>41460</v>
      </c>
      <c r="B18581" s="33" t="s">
        <v>41461</v>
      </c>
      <c r="C18581" s="33" t="s">
        <v>1543</v>
      </c>
      <c r="D18581" s="33" t="s">
        <v>17</v>
      </c>
      <c r="E18581" s="33" t="s">
        <v>26</v>
      </c>
      <c r="F18581" s="33" t="s">
        <v>27</v>
      </c>
      <c r="G18581" s="33" t="s">
        <v>20</v>
      </c>
      <c r="H18581" s="35">
        <v>30</v>
      </c>
      <c r="I18581" s="33" t="s">
        <v>21</v>
      </c>
      <c r="J18581" s="42">
        <v>45523</v>
      </c>
      <c r="K18581" s="33" t="s">
        <v>22</v>
      </c>
    </row>
    <row r="18582" spans="1:11">
      <c r="A18582" s="30" t="s">
        <v>41462</v>
      </c>
      <c r="B18582" s="30" t="s">
        <v>41463</v>
      </c>
      <c r="C18582" s="30" t="s">
        <v>1151</v>
      </c>
      <c r="D18582" s="30" t="s">
        <v>17</v>
      </c>
      <c r="E18582" s="30" t="s">
        <v>26</v>
      </c>
      <c r="F18582" s="30" t="s">
        <v>27</v>
      </c>
      <c r="G18582" s="30" t="s">
        <v>112</v>
      </c>
      <c r="H18582" s="32">
        <v>0</v>
      </c>
      <c r="I18582" s="30" t="s">
        <v>21</v>
      </c>
      <c r="J18582" s="41">
        <v>45292</v>
      </c>
      <c r="K18582" s="30" t="s">
        <v>22</v>
      </c>
    </row>
    <row r="18583" spans="1:11">
      <c r="A18583" s="33" t="s">
        <v>41464</v>
      </c>
      <c r="B18583" s="33" t="s">
        <v>41465</v>
      </c>
      <c r="C18583" s="33" t="s">
        <v>8775</v>
      </c>
      <c r="D18583" s="33" t="s">
        <v>17</v>
      </c>
      <c r="E18583" s="33" t="s">
        <v>26</v>
      </c>
      <c r="F18583" s="33" t="s">
        <v>27</v>
      </c>
      <c r="G18583" s="33" t="s">
        <v>7780</v>
      </c>
      <c r="H18583" s="35">
        <v>18</v>
      </c>
      <c r="I18583" s="33" t="s">
        <v>51</v>
      </c>
      <c r="J18583" s="42">
        <v>45621</v>
      </c>
      <c r="K18583" s="33" t="s">
        <v>22</v>
      </c>
    </row>
    <row r="18584" spans="1:11">
      <c r="A18584" s="30" t="s">
        <v>41466</v>
      </c>
      <c r="B18584" s="30" t="s">
        <v>41467</v>
      </c>
      <c r="C18584" s="30" t="s">
        <v>310</v>
      </c>
      <c r="D18584" s="30" t="s">
        <v>17</v>
      </c>
      <c r="E18584" s="30" t="s">
        <v>26</v>
      </c>
      <c r="F18584" s="30" t="s">
        <v>27</v>
      </c>
      <c r="G18584" s="30" t="s">
        <v>20</v>
      </c>
      <c r="H18584" s="32">
        <v>46</v>
      </c>
      <c r="I18584" s="30" t="s">
        <v>21</v>
      </c>
      <c r="J18584" s="41">
        <v>45580</v>
      </c>
      <c r="K18584" s="30" t="s">
        <v>22</v>
      </c>
    </row>
    <row r="18585" spans="1:11">
      <c r="A18585" s="33" t="s">
        <v>41468</v>
      </c>
      <c r="B18585" s="33" t="s">
        <v>41469</v>
      </c>
      <c r="C18585" s="33" t="s">
        <v>203</v>
      </c>
      <c r="D18585" s="33" t="s">
        <v>17</v>
      </c>
      <c r="E18585" s="33" t="s">
        <v>31</v>
      </c>
      <c r="F18585" s="33" t="s">
        <v>32</v>
      </c>
      <c r="G18585" s="33" t="s">
        <v>158</v>
      </c>
      <c r="H18585" s="35">
        <v>556</v>
      </c>
      <c r="I18585" s="33" t="s">
        <v>21</v>
      </c>
      <c r="J18585" s="42">
        <v>45603</v>
      </c>
      <c r="K18585" s="33" t="s">
        <v>22</v>
      </c>
    </row>
    <row r="18586" spans="1:11">
      <c r="A18586" s="30" t="s">
        <v>41470</v>
      </c>
      <c r="B18586" s="30" t="s">
        <v>41471</v>
      </c>
      <c r="C18586" s="30" t="s">
        <v>12556</v>
      </c>
      <c r="D18586" s="30" t="s">
        <v>17</v>
      </c>
      <c r="E18586" s="30" t="s">
        <v>26</v>
      </c>
      <c r="F18586" s="30" t="s">
        <v>27</v>
      </c>
      <c r="G18586" s="30" t="s">
        <v>140</v>
      </c>
      <c r="H18586" s="32">
        <v>40</v>
      </c>
      <c r="I18586" s="30" t="s">
        <v>51</v>
      </c>
      <c r="J18586" s="41">
        <v>45638</v>
      </c>
      <c r="K18586" s="30" t="s">
        <v>22</v>
      </c>
    </row>
    <row r="18587" spans="1:11">
      <c r="A18587" s="33" t="s">
        <v>41472</v>
      </c>
      <c r="B18587" s="33" t="s">
        <v>41473</v>
      </c>
      <c r="C18587" s="33" t="s">
        <v>187</v>
      </c>
      <c r="D18587" s="33" t="s">
        <v>17</v>
      </c>
      <c r="E18587" s="33" t="s">
        <v>18</v>
      </c>
      <c r="F18587" s="33" t="s">
        <v>19</v>
      </c>
      <c r="G18587" s="33" t="s">
        <v>50</v>
      </c>
      <c r="H18587" s="35">
        <v>83</v>
      </c>
      <c r="I18587" s="33" t="s">
        <v>51</v>
      </c>
      <c r="J18587" s="42">
        <v>45413</v>
      </c>
      <c r="K18587" s="33" t="s">
        <v>22</v>
      </c>
    </row>
    <row r="18588" spans="1:11">
      <c r="A18588" s="30" t="s">
        <v>41474</v>
      </c>
      <c r="B18588" s="30" t="s">
        <v>41475</v>
      </c>
      <c r="C18588" s="30" t="s">
        <v>10646</v>
      </c>
      <c r="D18588" s="30" t="s">
        <v>17</v>
      </c>
      <c r="E18588" s="30" t="s">
        <v>18</v>
      </c>
      <c r="F18588" s="30" t="s">
        <v>19</v>
      </c>
      <c r="G18588" s="30" t="s">
        <v>106</v>
      </c>
      <c r="H18588" s="32">
        <v>132</v>
      </c>
      <c r="I18588" s="30" t="s">
        <v>21</v>
      </c>
      <c r="J18588" s="41">
        <v>45546</v>
      </c>
      <c r="K18588" s="30" t="s">
        <v>22</v>
      </c>
    </row>
    <row r="18589" spans="1:11">
      <c r="A18589" s="33" t="s">
        <v>41476</v>
      </c>
      <c r="B18589" s="33" t="s">
        <v>41477</v>
      </c>
      <c r="C18589" s="33" t="s">
        <v>3451</v>
      </c>
      <c r="D18589" s="33" t="s">
        <v>17</v>
      </c>
      <c r="E18589" s="33" t="s">
        <v>26</v>
      </c>
      <c r="F18589" s="33" t="s">
        <v>27</v>
      </c>
      <c r="G18589" s="33" t="s">
        <v>7780</v>
      </c>
      <c r="H18589" s="35">
        <v>32</v>
      </c>
      <c r="I18589" s="33" t="s">
        <v>51</v>
      </c>
      <c r="J18589" s="42">
        <v>45595</v>
      </c>
      <c r="K18589" s="33" t="s">
        <v>22</v>
      </c>
    </row>
    <row r="18590" spans="1:11">
      <c r="A18590" s="30" t="s">
        <v>41478</v>
      </c>
      <c r="B18590" s="30" t="s">
        <v>41479</v>
      </c>
      <c r="C18590" s="30" t="s">
        <v>1080</v>
      </c>
      <c r="D18590" s="30" t="s">
        <v>17</v>
      </c>
      <c r="E18590" s="30" t="s">
        <v>26</v>
      </c>
      <c r="F18590" s="30" t="s">
        <v>27</v>
      </c>
      <c r="G18590" s="30" t="s">
        <v>50</v>
      </c>
      <c r="H18590" s="32">
        <v>78</v>
      </c>
      <c r="I18590" s="30" t="s">
        <v>51</v>
      </c>
      <c r="J18590" s="41">
        <v>45392</v>
      </c>
      <c r="K18590" s="30" t="s">
        <v>22</v>
      </c>
    </row>
    <row r="18591" spans="1:11">
      <c r="A18591" s="33" t="s">
        <v>41480</v>
      </c>
      <c r="B18591" s="33" t="s">
        <v>41481</v>
      </c>
      <c r="C18591" s="33" t="s">
        <v>2562</v>
      </c>
      <c r="D18591" s="33" t="s">
        <v>17</v>
      </c>
      <c r="E18591" s="33" t="s">
        <v>18</v>
      </c>
      <c r="F18591" s="33" t="s">
        <v>19</v>
      </c>
      <c r="G18591" s="33" t="s">
        <v>20</v>
      </c>
      <c r="H18591" s="35">
        <v>180</v>
      </c>
      <c r="I18591" s="33" t="s">
        <v>21</v>
      </c>
      <c r="J18591" s="42">
        <v>45372</v>
      </c>
      <c r="K18591" s="33" t="s">
        <v>22</v>
      </c>
    </row>
    <row r="18592" spans="1:11">
      <c r="A18592" s="30" t="s">
        <v>41482</v>
      </c>
      <c r="B18592" s="30" t="s">
        <v>41483</v>
      </c>
      <c r="C18592" s="30" t="s">
        <v>41484</v>
      </c>
      <c r="D18592" s="30" t="s">
        <v>17</v>
      </c>
      <c r="E18592" s="30" t="s">
        <v>26</v>
      </c>
      <c r="F18592" s="30" t="s">
        <v>27</v>
      </c>
      <c r="G18592" s="30" t="s">
        <v>20</v>
      </c>
      <c r="H18592" s="32">
        <v>56</v>
      </c>
      <c r="I18592" s="30" t="s">
        <v>21</v>
      </c>
      <c r="J18592" s="41">
        <v>45614</v>
      </c>
      <c r="K18592" s="30" t="s">
        <v>22</v>
      </c>
    </row>
    <row r="18593" spans="1:11">
      <c r="A18593" s="33" t="s">
        <v>41485</v>
      </c>
      <c r="B18593" s="33" t="s">
        <v>41486</v>
      </c>
      <c r="C18593" s="33" t="s">
        <v>969</v>
      </c>
      <c r="D18593" s="33" t="s">
        <v>17</v>
      </c>
      <c r="E18593" s="33" t="s">
        <v>26</v>
      </c>
      <c r="F18593" s="33" t="s">
        <v>27</v>
      </c>
      <c r="G18593" s="33" t="s">
        <v>140</v>
      </c>
      <c r="H18593" s="35">
        <v>84</v>
      </c>
      <c r="I18593" s="33" t="s">
        <v>51</v>
      </c>
      <c r="J18593" s="42">
        <v>45637</v>
      </c>
      <c r="K18593" s="33" t="s">
        <v>22</v>
      </c>
    </row>
    <row r="18594" spans="1:11">
      <c r="A18594" s="30" t="s">
        <v>41487</v>
      </c>
      <c r="B18594" s="30" t="s">
        <v>41488</v>
      </c>
      <c r="C18594" s="30" t="s">
        <v>41489</v>
      </c>
      <c r="D18594" s="30" t="s">
        <v>17</v>
      </c>
      <c r="E18594" s="30" t="s">
        <v>26</v>
      </c>
      <c r="F18594" s="30" t="s">
        <v>27</v>
      </c>
      <c r="G18594" s="30" t="s">
        <v>20</v>
      </c>
      <c r="H18594" s="32">
        <v>40</v>
      </c>
      <c r="I18594" s="30" t="s">
        <v>21</v>
      </c>
      <c r="J18594" s="41">
        <v>45407</v>
      </c>
      <c r="K18594" s="30" t="s">
        <v>22</v>
      </c>
    </row>
    <row r="18595" spans="1:11">
      <c r="A18595" s="33" t="s">
        <v>41490</v>
      </c>
      <c r="B18595" s="33" t="s">
        <v>41491</v>
      </c>
      <c r="C18595" s="33" t="s">
        <v>9122</v>
      </c>
      <c r="D18595" s="33" t="s">
        <v>17</v>
      </c>
      <c r="E18595" s="33" t="s">
        <v>18</v>
      </c>
      <c r="F18595" s="33" t="s">
        <v>19</v>
      </c>
      <c r="G18595" s="33" t="s">
        <v>158</v>
      </c>
      <c r="H18595" s="35">
        <v>78</v>
      </c>
      <c r="I18595" s="33" t="s">
        <v>21</v>
      </c>
      <c r="J18595" s="42">
        <v>45411</v>
      </c>
      <c r="K18595" s="33" t="s">
        <v>22</v>
      </c>
    </row>
    <row r="18596" spans="1:11">
      <c r="A18596" s="30" t="s">
        <v>41492</v>
      </c>
      <c r="B18596" s="30" t="s">
        <v>41493</v>
      </c>
      <c r="C18596" s="30" t="s">
        <v>1652</v>
      </c>
      <c r="D18596" s="30" t="s">
        <v>17</v>
      </c>
      <c r="E18596" s="30" t="s">
        <v>31</v>
      </c>
      <c r="F18596" s="30" t="s">
        <v>32</v>
      </c>
      <c r="G18596" s="30" t="s">
        <v>140</v>
      </c>
      <c r="H18596" s="32">
        <v>250</v>
      </c>
      <c r="I18596" s="30" t="s">
        <v>51</v>
      </c>
      <c r="J18596" s="41">
        <v>45596</v>
      </c>
      <c r="K18596" s="30" t="s">
        <v>22</v>
      </c>
    </row>
    <row r="18597" spans="1:11">
      <c r="A18597" s="33" t="s">
        <v>41494</v>
      </c>
      <c r="B18597" s="33" t="s">
        <v>41495</v>
      </c>
      <c r="C18597" s="33" t="s">
        <v>925</v>
      </c>
      <c r="D18597" s="33" t="s">
        <v>17</v>
      </c>
      <c r="E18597" s="33" t="s">
        <v>31</v>
      </c>
      <c r="F18597" s="33" t="s">
        <v>32</v>
      </c>
      <c r="G18597" s="33" t="s">
        <v>158</v>
      </c>
      <c r="H18597" s="35">
        <v>228</v>
      </c>
      <c r="I18597" s="33" t="s">
        <v>51</v>
      </c>
      <c r="J18597" s="42">
        <v>45378</v>
      </c>
      <c r="K18597" s="33" t="s">
        <v>22</v>
      </c>
    </row>
    <row r="18598" spans="1:11">
      <c r="A18598" s="30" t="s">
        <v>41496</v>
      </c>
      <c r="B18598" s="30" t="s">
        <v>41497</v>
      </c>
      <c r="C18598" s="30" t="s">
        <v>41498</v>
      </c>
      <c r="D18598" s="30" t="s">
        <v>17</v>
      </c>
      <c r="E18598" s="30" t="s">
        <v>26</v>
      </c>
      <c r="F18598" s="30" t="s">
        <v>27</v>
      </c>
      <c r="G18598" s="30" t="s">
        <v>20</v>
      </c>
      <c r="H18598" s="32">
        <v>24</v>
      </c>
      <c r="I18598" s="30" t="s">
        <v>21</v>
      </c>
      <c r="J18598" s="41">
        <v>45358</v>
      </c>
      <c r="K18598" s="30" t="s">
        <v>22</v>
      </c>
    </row>
    <row r="18599" spans="1:11">
      <c r="A18599" s="33" t="s">
        <v>41499</v>
      </c>
      <c r="B18599" s="33" t="s">
        <v>41500</v>
      </c>
      <c r="C18599" s="33" t="s">
        <v>41501</v>
      </c>
      <c r="D18599" s="33" t="s">
        <v>17</v>
      </c>
      <c r="E18599" s="33" t="s">
        <v>26</v>
      </c>
      <c r="F18599" s="33" t="s">
        <v>27</v>
      </c>
      <c r="G18599" s="33" t="s">
        <v>140</v>
      </c>
      <c r="H18599" s="35">
        <v>12</v>
      </c>
      <c r="I18599" s="33" t="s">
        <v>51</v>
      </c>
      <c r="J18599" s="42">
        <v>45615</v>
      </c>
      <c r="K18599" s="33" t="s">
        <v>22</v>
      </c>
    </row>
    <row r="18600" spans="1:11">
      <c r="A18600" s="30" t="s">
        <v>41502</v>
      </c>
      <c r="B18600" s="30" t="s">
        <v>41503</v>
      </c>
      <c r="C18600" s="30" t="s">
        <v>41504</v>
      </c>
      <c r="D18600" s="30" t="s">
        <v>17</v>
      </c>
      <c r="E18600" s="30" t="s">
        <v>67</v>
      </c>
      <c r="F18600" s="30" t="s">
        <v>68</v>
      </c>
      <c r="G18600" s="30" t="s">
        <v>7780</v>
      </c>
      <c r="H18600" s="32">
        <v>216</v>
      </c>
      <c r="I18600" s="30" t="s">
        <v>51</v>
      </c>
      <c r="J18600" s="41">
        <v>45323</v>
      </c>
      <c r="K18600" s="30" t="s">
        <v>22</v>
      </c>
    </row>
    <row r="18601" spans="1:11">
      <c r="A18601" s="33" t="s">
        <v>41505</v>
      </c>
      <c r="B18601" s="33" t="s">
        <v>41506</v>
      </c>
      <c r="C18601" s="33" t="s">
        <v>1270</v>
      </c>
      <c r="D18601" s="33" t="s">
        <v>17</v>
      </c>
      <c r="E18601" s="33" t="s">
        <v>26</v>
      </c>
      <c r="F18601" s="33" t="s">
        <v>27</v>
      </c>
      <c r="G18601" s="33" t="s">
        <v>140</v>
      </c>
      <c r="H18601" s="35">
        <v>60</v>
      </c>
      <c r="I18601" s="33" t="s">
        <v>51</v>
      </c>
      <c r="J18601" s="42">
        <v>45492</v>
      </c>
      <c r="K18601" s="33" t="s">
        <v>22</v>
      </c>
    </row>
    <row r="18602" spans="1:11">
      <c r="A18602" s="30" t="s">
        <v>41507</v>
      </c>
      <c r="B18602" s="30" t="s">
        <v>41508</v>
      </c>
      <c r="C18602" s="30" t="s">
        <v>41509</v>
      </c>
      <c r="D18602" s="30" t="s">
        <v>17</v>
      </c>
      <c r="E18602" s="30" t="s">
        <v>18</v>
      </c>
      <c r="F18602" s="30" t="s">
        <v>19</v>
      </c>
      <c r="G18602" s="30" t="s">
        <v>158</v>
      </c>
      <c r="H18602" s="32">
        <v>200</v>
      </c>
      <c r="I18602" s="30" t="s">
        <v>51</v>
      </c>
      <c r="J18602" s="41">
        <v>45372</v>
      </c>
      <c r="K18602" s="30" t="s">
        <v>22</v>
      </c>
    </row>
    <row r="18603" spans="1:11">
      <c r="A18603" s="33" t="s">
        <v>41510</v>
      </c>
      <c r="B18603" s="33" t="s">
        <v>41511</v>
      </c>
      <c r="C18603" s="33" t="s">
        <v>41512</v>
      </c>
      <c r="D18603" s="33" t="s">
        <v>17</v>
      </c>
      <c r="E18603" s="33" t="s">
        <v>18</v>
      </c>
      <c r="F18603" s="33" t="s">
        <v>19</v>
      </c>
      <c r="G18603" s="33" t="s">
        <v>140</v>
      </c>
      <c r="H18603" s="35">
        <v>178</v>
      </c>
      <c r="I18603" s="33" t="s">
        <v>51</v>
      </c>
      <c r="J18603" s="42">
        <v>45468</v>
      </c>
      <c r="K18603" s="33" t="s">
        <v>22</v>
      </c>
    </row>
    <row r="18604" spans="1:11">
      <c r="A18604" s="30" t="s">
        <v>41513</v>
      </c>
      <c r="B18604" s="30" t="s">
        <v>41514</v>
      </c>
      <c r="C18604" s="30" t="s">
        <v>24200</v>
      </c>
      <c r="D18604" s="30" t="s">
        <v>17</v>
      </c>
      <c r="E18604" s="30" t="s">
        <v>31</v>
      </c>
      <c r="F18604" s="30" t="s">
        <v>32</v>
      </c>
      <c r="G18604" s="30" t="s">
        <v>20</v>
      </c>
      <c r="H18604" s="32">
        <v>5</v>
      </c>
      <c r="I18604" s="30" t="s">
        <v>21</v>
      </c>
      <c r="J18604" s="41">
        <v>45532</v>
      </c>
      <c r="K18604" s="30" t="s">
        <v>22</v>
      </c>
    </row>
    <row r="18605" spans="1:11">
      <c r="A18605" s="33" t="s">
        <v>41515</v>
      </c>
      <c r="B18605" s="33" t="s">
        <v>41516</v>
      </c>
      <c r="C18605" s="33" t="s">
        <v>231</v>
      </c>
      <c r="D18605" s="33" t="s">
        <v>17</v>
      </c>
      <c r="E18605" s="33" t="s">
        <v>26</v>
      </c>
      <c r="F18605" s="33" t="s">
        <v>27</v>
      </c>
      <c r="G18605" s="33" t="s">
        <v>20</v>
      </c>
      <c r="H18605" s="35">
        <v>60</v>
      </c>
      <c r="I18605" s="33" t="s">
        <v>21</v>
      </c>
      <c r="J18605" s="42">
        <v>45511</v>
      </c>
      <c r="K18605" s="33" t="s">
        <v>22</v>
      </c>
    </row>
    <row r="18606" spans="1:11">
      <c r="A18606" s="30" t="s">
        <v>41517</v>
      </c>
      <c r="B18606" s="30" t="s">
        <v>41518</v>
      </c>
      <c r="C18606" s="30" t="s">
        <v>20885</v>
      </c>
      <c r="D18606" s="30" t="s">
        <v>17</v>
      </c>
      <c r="E18606" s="30" t="s">
        <v>18</v>
      </c>
      <c r="F18606" s="30" t="s">
        <v>19</v>
      </c>
      <c r="G18606" s="30" t="s">
        <v>20</v>
      </c>
      <c r="H18606" s="32">
        <v>50</v>
      </c>
      <c r="I18606" s="30" t="s">
        <v>21</v>
      </c>
      <c r="J18606" s="41">
        <v>45482</v>
      </c>
      <c r="K18606" s="30" t="s">
        <v>22</v>
      </c>
    </row>
    <row r="18607" spans="1:11">
      <c r="A18607" s="33" t="s">
        <v>41519</v>
      </c>
      <c r="B18607" s="33" t="s">
        <v>41520</v>
      </c>
      <c r="C18607" s="33" t="s">
        <v>1764</v>
      </c>
      <c r="D18607" s="33" t="s">
        <v>17</v>
      </c>
      <c r="E18607" s="33" t="s">
        <v>18</v>
      </c>
      <c r="F18607" s="33" t="s">
        <v>19</v>
      </c>
      <c r="G18607" s="33" t="s">
        <v>20</v>
      </c>
      <c r="H18607" s="35">
        <v>30</v>
      </c>
      <c r="I18607" s="33" t="s">
        <v>21</v>
      </c>
      <c r="J18607" s="42">
        <v>45565</v>
      </c>
      <c r="K18607" s="33" t="s">
        <v>22</v>
      </c>
    </row>
    <row r="18608" spans="1:11">
      <c r="A18608" s="30" t="s">
        <v>41521</v>
      </c>
      <c r="B18608" s="30" t="s">
        <v>41522</v>
      </c>
      <c r="C18608" s="30" t="s">
        <v>157</v>
      </c>
      <c r="D18608" s="30" t="s">
        <v>17</v>
      </c>
      <c r="E18608" s="30" t="s">
        <v>18</v>
      </c>
      <c r="F18608" s="30" t="s">
        <v>19</v>
      </c>
      <c r="G18608" s="30" t="s">
        <v>140</v>
      </c>
      <c r="H18608" s="32">
        <v>24</v>
      </c>
      <c r="I18608" s="30" t="s">
        <v>51</v>
      </c>
      <c r="J18608" s="41">
        <v>45602</v>
      </c>
      <c r="K18608" s="30" t="s">
        <v>22</v>
      </c>
    </row>
    <row r="18609" spans="1:11">
      <c r="A18609" s="33" t="s">
        <v>41523</v>
      </c>
      <c r="B18609" s="33" t="s">
        <v>41524</v>
      </c>
      <c r="C18609" s="33" t="s">
        <v>3578</v>
      </c>
      <c r="D18609" s="33" t="s">
        <v>17</v>
      </c>
      <c r="E18609" s="33" t="s">
        <v>26</v>
      </c>
      <c r="F18609" s="33" t="s">
        <v>27</v>
      </c>
      <c r="G18609" s="33" t="s">
        <v>20</v>
      </c>
      <c r="H18609" s="35">
        <v>6</v>
      </c>
      <c r="I18609" s="33" t="s">
        <v>21</v>
      </c>
      <c r="J18609" s="42">
        <v>45311</v>
      </c>
      <c r="K18609" s="33" t="s">
        <v>22</v>
      </c>
    </row>
    <row r="18610" spans="1:11">
      <c r="A18610" s="30" t="s">
        <v>41525</v>
      </c>
      <c r="B18610" s="30" t="s">
        <v>41526</v>
      </c>
      <c r="C18610" s="30" t="s">
        <v>3944</v>
      </c>
      <c r="D18610" s="30" t="s">
        <v>17</v>
      </c>
      <c r="E18610" s="30" t="s">
        <v>26</v>
      </c>
      <c r="F18610" s="30" t="s">
        <v>27</v>
      </c>
      <c r="G18610" s="30" t="s">
        <v>140</v>
      </c>
      <c r="H18610" s="32">
        <v>10</v>
      </c>
      <c r="I18610" s="30" t="s">
        <v>51</v>
      </c>
      <c r="J18610" s="41">
        <v>45475</v>
      </c>
      <c r="K18610" s="30" t="s">
        <v>22</v>
      </c>
    </row>
    <row r="18611" spans="1:11">
      <c r="A18611" s="33" t="s">
        <v>41527</v>
      </c>
      <c r="B18611" s="33" t="s">
        <v>41528</v>
      </c>
      <c r="C18611" s="33" t="s">
        <v>16941</v>
      </c>
      <c r="D18611" s="33" t="s">
        <v>17</v>
      </c>
      <c r="E18611" s="33" t="s">
        <v>31</v>
      </c>
      <c r="F18611" s="33" t="s">
        <v>32</v>
      </c>
      <c r="G18611" s="33" t="s">
        <v>7780</v>
      </c>
      <c r="H18611" s="35">
        <v>25</v>
      </c>
      <c r="I18611" s="33" t="s">
        <v>51</v>
      </c>
      <c r="J18611" s="42">
        <v>45561</v>
      </c>
      <c r="K18611" s="33" t="s">
        <v>22</v>
      </c>
    </row>
    <row r="18612" spans="1:11">
      <c r="A18612" s="30" t="s">
        <v>41529</v>
      </c>
      <c r="B18612" s="30" t="s">
        <v>41530</v>
      </c>
      <c r="C18612" s="30" t="s">
        <v>187</v>
      </c>
      <c r="D18612" s="30" t="s">
        <v>17</v>
      </c>
      <c r="E18612" s="30" t="s">
        <v>26</v>
      </c>
      <c r="F18612" s="30" t="s">
        <v>27</v>
      </c>
      <c r="G18612" s="30" t="s">
        <v>50</v>
      </c>
      <c r="H18612" s="32">
        <v>208</v>
      </c>
      <c r="I18612" s="30" t="s">
        <v>51</v>
      </c>
      <c r="J18612" s="41">
        <v>45292</v>
      </c>
      <c r="K18612" s="30" t="s">
        <v>22</v>
      </c>
    </row>
    <row r="18613" spans="1:11">
      <c r="A18613" s="33" t="s">
        <v>41531</v>
      </c>
      <c r="B18613" s="33" t="s">
        <v>41532</v>
      </c>
      <c r="C18613" s="33" t="s">
        <v>15258</v>
      </c>
      <c r="D18613" s="33" t="s">
        <v>17</v>
      </c>
      <c r="E18613" s="33" t="s">
        <v>18</v>
      </c>
      <c r="F18613" s="33" t="s">
        <v>19</v>
      </c>
      <c r="G18613" s="33" t="s">
        <v>112</v>
      </c>
      <c r="H18613" s="35">
        <v>0</v>
      </c>
      <c r="I18613" s="33" t="s">
        <v>21</v>
      </c>
      <c r="J18613" s="42">
        <v>45490</v>
      </c>
      <c r="K18613" s="33" t="s">
        <v>22</v>
      </c>
    </row>
    <row r="18614" spans="1:11">
      <c r="A18614" s="30" t="s">
        <v>41533</v>
      </c>
      <c r="B18614" s="30" t="s">
        <v>41534</v>
      </c>
      <c r="C18614" s="30" t="s">
        <v>41535</v>
      </c>
      <c r="D18614" s="30" t="s">
        <v>17</v>
      </c>
      <c r="E18614" s="30" t="s">
        <v>26</v>
      </c>
      <c r="F18614" s="30" t="s">
        <v>27</v>
      </c>
      <c r="G18614" s="30" t="s">
        <v>140</v>
      </c>
      <c r="H18614" s="32">
        <v>250</v>
      </c>
      <c r="I18614" s="30" t="s">
        <v>51</v>
      </c>
      <c r="J18614" s="41">
        <v>45327</v>
      </c>
      <c r="K18614" s="30" t="s">
        <v>22</v>
      </c>
    </row>
    <row r="18615" spans="1:11">
      <c r="A18615" s="33" t="s">
        <v>41536</v>
      </c>
      <c r="B18615" s="33" t="s">
        <v>41537</v>
      </c>
      <c r="C18615" s="33" t="s">
        <v>41538</v>
      </c>
      <c r="D18615" s="33" t="s">
        <v>17</v>
      </c>
      <c r="E18615" s="33" t="s">
        <v>26</v>
      </c>
      <c r="F18615" s="33" t="s">
        <v>27</v>
      </c>
      <c r="G18615" s="33" t="s">
        <v>140</v>
      </c>
      <c r="H18615" s="35">
        <v>30</v>
      </c>
      <c r="I18615" s="33" t="s">
        <v>51</v>
      </c>
      <c r="J18615" s="42">
        <v>45449</v>
      </c>
      <c r="K18615" s="33" t="s">
        <v>22</v>
      </c>
    </row>
    <row r="18616" spans="1:11">
      <c r="A18616" s="30" t="s">
        <v>41539</v>
      </c>
      <c r="B18616" s="30" t="s">
        <v>41540</v>
      </c>
      <c r="C18616" s="30" t="s">
        <v>41541</v>
      </c>
      <c r="D18616" s="30" t="s">
        <v>17</v>
      </c>
      <c r="E18616" s="30" t="s">
        <v>67</v>
      </c>
      <c r="F18616" s="30" t="s">
        <v>68</v>
      </c>
      <c r="G18616" s="30" t="s">
        <v>7780</v>
      </c>
      <c r="H18616" s="32">
        <v>66</v>
      </c>
      <c r="I18616" s="30" t="s">
        <v>51</v>
      </c>
      <c r="J18616" s="41">
        <v>45611</v>
      </c>
      <c r="K18616" s="30" t="s">
        <v>22</v>
      </c>
    </row>
    <row r="18617" spans="1:11">
      <c r="A18617" s="33" t="s">
        <v>41542</v>
      </c>
      <c r="B18617" s="33" t="s">
        <v>41543</v>
      </c>
      <c r="C18617" s="33" t="s">
        <v>41544</v>
      </c>
      <c r="D18617" s="33" t="s">
        <v>17</v>
      </c>
      <c r="E18617" s="33" t="s">
        <v>26</v>
      </c>
      <c r="F18617" s="33" t="s">
        <v>27</v>
      </c>
      <c r="G18617" s="33" t="s">
        <v>140</v>
      </c>
      <c r="H18617" s="35">
        <v>24</v>
      </c>
      <c r="I18617" s="33" t="s">
        <v>51</v>
      </c>
      <c r="J18617" s="42">
        <v>45657</v>
      </c>
      <c r="K18617" s="33" t="s">
        <v>22</v>
      </c>
    </row>
    <row r="18618" spans="1:11">
      <c r="A18618" s="30" t="s">
        <v>41545</v>
      </c>
      <c r="B18618" s="30" t="s">
        <v>41546</v>
      </c>
      <c r="C18618" s="30" t="s">
        <v>9234</v>
      </c>
      <c r="D18618" s="30" t="s">
        <v>17</v>
      </c>
      <c r="E18618" s="30" t="s">
        <v>26</v>
      </c>
      <c r="F18618" s="30" t="s">
        <v>27</v>
      </c>
      <c r="G18618" s="30" t="s">
        <v>20</v>
      </c>
      <c r="H18618" s="32">
        <v>5</v>
      </c>
      <c r="I18618" s="30" t="s">
        <v>21</v>
      </c>
      <c r="J18618" s="41">
        <v>45467</v>
      </c>
      <c r="K18618" s="30" t="s">
        <v>22</v>
      </c>
    </row>
    <row r="18619" spans="1:11">
      <c r="A18619" s="33" t="s">
        <v>41547</v>
      </c>
      <c r="B18619" s="33" t="s">
        <v>41548</v>
      </c>
      <c r="C18619" s="33" t="s">
        <v>93</v>
      </c>
      <c r="D18619" s="33" t="s">
        <v>17</v>
      </c>
      <c r="E18619" s="33" t="s">
        <v>18</v>
      </c>
      <c r="F18619" s="33" t="s">
        <v>19</v>
      </c>
      <c r="G18619" s="33" t="s">
        <v>112</v>
      </c>
      <c r="H18619" s="35">
        <v>0</v>
      </c>
      <c r="I18619" s="33" t="s">
        <v>21</v>
      </c>
      <c r="J18619" s="42">
        <v>45435</v>
      </c>
      <c r="K18619" s="33" t="s">
        <v>22</v>
      </c>
    </row>
    <row r="18620" spans="1:11">
      <c r="A18620" s="30" t="s">
        <v>41549</v>
      </c>
      <c r="B18620" s="30" t="s">
        <v>41550</v>
      </c>
      <c r="C18620" s="30" t="s">
        <v>96</v>
      </c>
      <c r="D18620" s="30" t="s">
        <v>17</v>
      </c>
      <c r="E18620" s="30" t="s">
        <v>26</v>
      </c>
      <c r="F18620" s="30" t="s">
        <v>27</v>
      </c>
      <c r="G18620" s="30" t="s">
        <v>20</v>
      </c>
      <c r="H18620" s="32">
        <v>16</v>
      </c>
      <c r="I18620" s="30" t="s">
        <v>21</v>
      </c>
      <c r="J18620" s="41">
        <v>45545</v>
      </c>
      <c r="K18620" s="30" t="s">
        <v>22</v>
      </c>
    </row>
    <row r="18621" spans="1:11">
      <c r="A18621" s="33" t="s">
        <v>41551</v>
      </c>
      <c r="B18621" s="33" t="s">
        <v>41552</v>
      </c>
      <c r="C18621" s="33" t="s">
        <v>41553</v>
      </c>
      <c r="D18621" s="33" t="s">
        <v>17</v>
      </c>
      <c r="E18621" s="33" t="s">
        <v>18</v>
      </c>
      <c r="F18621" s="33" t="s">
        <v>19</v>
      </c>
      <c r="G18621" s="33" t="s">
        <v>140</v>
      </c>
      <c r="H18621" s="35">
        <v>106</v>
      </c>
      <c r="I18621" s="33" t="s">
        <v>51</v>
      </c>
      <c r="J18621" s="42">
        <v>45483</v>
      </c>
      <c r="K18621" s="33" t="s">
        <v>22</v>
      </c>
    </row>
    <row r="18622" spans="1:11">
      <c r="A18622" s="30" t="s">
        <v>41554</v>
      </c>
      <c r="B18622" s="30" t="s">
        <v>41555</v>
      </c>
      <c r="C18622" s="30" t="s">
        <v>1080</v>
      </c>
      <c r="D18622" s="30" t="s">
        <v>17</v>
      </c>
      <c r="E18622" s="30" t="s">
        <v>31</v>
      </c>
      <c r="F18622" s="30" t="s">
        <v>32</v>
      </c>
      <c r="G18622" s="30" t="s">
        <v>140</v>
      </c>
      <c r="H18622" s="32">
        <v>135</v>
      </c>
      <c r="I18622" s="30" t="s">
        <v>51</v>
      </c>
      <c r="J18622" s="41">
        <v>45508</v>
      </c>
      <c r="K18622" s="30" t="s">
        <v>22</v>
      </c>
    </row>
    <row r="18623" spans="1:11">
      <c r="A18623" s="33" t="s">
        <v>41556</v>
      </c>
      <c r="B18623" s="33" t="s">
        <v>41557</v>
      </c>
      <c r="C18623" s="33" t="s">
        <v>178</v>
      </c>
      <c r="D18623" s="33" t="s">
        <v>17</v>
      </c>
      <c r="E18623" s="33" t="s">
        <v>18</v>
      </c>
      <c r="F18623" s="33" t="s">
        <v>19</v>
      </c>
      <c r="G18623" s="33" t="s">
        <v>140</v>
      </c>
      <c r="H18623" s="35">
        <v>500</v>
      </c>
      <c r="I18623" s="33" t="s">
        <v>51</v>
      </c>
      <c r="J18623" s="42">
        <v>45639</v>
      </c>
      <c r="K18623" s="33" t="s">
        <v>22</v>
      </c>
    </row>
    <row r="18624" spans="1:11">
      <c r="A18624" s="30" t="s">
        <v>41558</v>
      </c>
      <c r="B18624" s="30" t="s">
        <v>41559</v>
      </c>
      <c r="C18624" s="30" t="s">
        <v>109</v>
      </c>
      <c r="D18624" s="30" t="s">
        <v>17</v>
      </c>
      <c r="E18624" s="30" t="s">
        <v>31</v>
      </c>
      <c r="F18624" s="30" t="s">
        <v>32</v>
      </c>
      <c r="G18624" s="30" t="s">
        <v>140</v>
      </c>
      <c r="H18624" s="32">
        <v>200</v>
      </c>
      <c r="I18624" s="30" t="s">
        <v>51</v>
      </c>
      <c r="J18624" s="41">
        <v>45574</v>
      </c>
      <c r="K18624" s="30" t="s">
        <v>22</v>
      </c>
    </row>
    <row r="18625" spans="1:11">
      <c r="A18625" s="33" t="s">
        <v>41560</v>
      </c>
      <c r="B18625" s="33" t="s">
        <v>41561</v>
      </c>
      <c r="C18625" s="33" t="s">
        <v>1136</v>
      </c>
      <c r="D18625" s="33" t="s">
        <v>17</v>
      </c>
      <c r="E18625" s="33" t="s">
        <v>67</v>
      </c>
      <c r="F18625" s="33" t="s">
        <v>68</v>
      </c>
      <c r="G18625" s="33" t="s">
        <v>20</v>
      </c>
      <c r="H18625" s="35">
        <v>276</v>
      </c>
      <c r="I18625" s="33" t="s">
        <v>21</v>
      </c>
      <c r="J18625" s="42">
        <v>45635</v>
      </c>
      <c r="K18625" s="33" t="s">
        <v>22</v>
      </c>
    </row>
    <row r="18626" spans="1:11">
      <c r="A18626" s="30" t="s">
        <v>41562</v>
      </c>
      <c r="B18626" s="30" t="s">
        <v>41563</v>
      </c>
      <c r="C18626" s="30" t="s">
        <v>488</v>
      </c>
      <c r="D18626" s="30" t="s">
        <v>17</v>
      </c>
      <c r="E18626" s="30" t="s">
        <v>67</v>
      </c>
      <c r="F18626" s="30" t="s">
        <v>68</v>
      </c>
      <c r="G18626" s="30" t="s">
        <v>140</v>
      </c>
      <c r="H18626" s="32">
        <v>250</v>
      </c>
      <c r="I18626" s="30" t="s">
        <v>51</v>
      </c>
      <c r="J18626" s="41">
        <v>45399</v>
      </c>
      <c r="K18626" s="30" t="s">
        <v>22</v>
      </c>
    </row>
    <row r="18627" spans="1:11">
      <c r="A18627" s="33" t="s">
        <v>41564</v>
      </c>
      <c r="B18627" s="33" t="s">
        <v>41565</v>
      </c>
      <c r="C18627" s="33" t="s">
        <v>5050</v>
      </c>
      <c r="D18627" s="33" t="s">
        <v>17</v>
      </c>
      <c r="E18627" s="33" t="s">
        <v>26</v>
      </c>
      <c r="F18627" s="33" t="s">
        <v>27</v>
      </c>
      <c r="G18627" s="33" t="s">
        <v>20</v>
      </c>
      <c r="H18627" s="35">
        <v>26</v>
      </c>
      <c r="I18627" s="33" t="s">
        <v>21</v>
      </c>
      <c r="J18627" s="42">
        <v>45569</v>
      </c>
      <c r="K18627" s="33" t="s">
        <v>22</v>
      </c>
    </row>
    <row r="18628" spans="1:11">
      <c r="A18628" s="30" t="s">
        <v>41566</v>
      </c>
      <c r="B18628" s="30" t="s">
        <v>41567</v>
      </c>
      <c r="C18628" s="30" t="s">
        <v>318</v>
      </c>
      <c r="D18628" s="30" t="s">
        <v>17</v>
      </c>
      <c r="E18628" s="30" t="s">
        <v>26</v>
      </c>
      <c r="F18628" s="30" t="s">
        <v>27</v>
      </c>
      <c r="G18628" s="30" t="s">
        <v>20</v>
      </c>
      <c r="H18628" s="32">
        <v>13</v>
      </c>
      <c r="I18628" s="30" t="s">
        <v>21</v>
      </c>
      <c r="J18628" s="41">
        <v>45461</v>
      </c>
      <c r="K18628" s="30" t="s">
        <v>22</v>
      </c>
    </row>
    <row r="18629" spans="1:11">
      <c r="A18629" s="33" t="s">
        <v>41568</v>
      </c>
      <c r="B18629" s="33" t="s">
        <v>41569</v>
      </c>
      <c r="C18629" s="33" t="s">
        <v>28387</v>
      </c>
      <c r="D18629" s="33" t="s">
        <v>17</v>
      </c>
      <c r="E18629" s="33" t="s">
        <v>212</v>
      </c>
      <c r="F18629" s="33" t="s">
        <v>213</v>
      </c>
      <c r="G18629" s="33" t="s">
        <v>112</v>
      </c>
      <c r="H18629" s="35">
        <v>0</v>
      </c>
      <c r="I18629" s="33" t="s">
        <v>21</v>
      </c>
      <c r="J18629" s="42">
        <v>45505</v>
      </c>
      <c r="K18629" s="33" t="s">
        <v>22</v>
      </c>
    </row>
    <row r="18630" spans="1:11">
      <c r="A18630" s="30" t="s">
        <v>41570</v>
      </c>
      <c r="B18630" s="30" t="s">
        <v>41571</v>
      </c>
      <c r="C18630" s="30" t="s">
        <v>37100</v>
      </c>
      <c r="D18630" s="30" t="s">
        <v>17</v>
      </c>
      <c r="E18630" s="30" t="s">
        <v>18</v>
      </c>
      <c r="F18630" s="30" t="s">
        <v>19</v>
      </c>
      <c r="G18630" s="30" t="s">
        <v>140</v>
      </c>
      <c r="H18630" s="32">
        <v>420</v>
      </c>
      <c r="I18630" s="30" t="s">
        <v>51</v>
      </c>
      <c r="J18630" s="41">
        <v>45649</v>
      </c>
      <c r="K18630" s="30" t="s">
        <v>22</v>
      </c>
    </row>
    <row r="18631" spans="1:11">
      <c r="A18631" s="33" t="s">
        <v>41572</v>
      </c>
      <c r="B18631" s="33" t="s">
        <v>41573</v>
      </c>
      <c r="C18631" s="33" t="s">
        <v>27559</v>
      </c>
      <c r="D18631" s="33" t="s">
        <v>17</v>
      </c>
      <c r="E18631" s="33" t="s">
        <v>67</v>
      </c>
      <c r="F18631" s="33" t="s">
        <v>68</v>
      </c>
      <c r="G18631" s="33" t="s">
        <v>140</v>
      </c>
      <c r="H18631" s="35">
        <v>194</v>
      </c>
      <c r="I18631" s="33" t="s">
        <v>51</v>
      </c>
      <c r="J18631" s="42">
        <v>45462</v>
      </c>
      <c r="K18631" s="33" t="s">
        <v>22</v>
      </c>
    </row>
    <row r="18632" spans="1:11">
      <c r="A18632" s="30" t="s">
        <v>41574</v>
      </c>
      <c r="B18632" s="30" t="s">
        <v>41575</v>
      </c>
      <c r="C18632" s="30" t="s">
        <v>379</v>
      </c>
      <c r="D18632" s="30" t="s">
        <v>17</v>
      </c>
      <c r="E18632" s="30" t="s">
        <v>26</v>
      </c>
      <c r="F18632" s="30" t="s">
        <v>27</v>
      </c>
      <c r="G18632" s="30" t="s">
        <v>158</v>
      </c>
      <c r="H18632" s="32">
        <v>268</v>
      </c>
      <c r="I18632" s="30" t="s">
        <v>51</v>
      </c>
      <c r="J18632" s="41">
        <v>45404</v>
      </c>
      <c r="K18632" s="30" t="s">
        <v>22</v>
      </c>
    </row>
    <row r="18633" spans="1:11">
      <c r="A18633" s="33" t="s">
        <v>41576</v>
      </c>
      <c r="B18633" s="33" t="s">
        <v>41577</v>
      </c>
      <c r="C18633" s="33" t="s">
        <v>38829</v>
      </c>
      <c r="D18633" s="33" t="s">
        <v>17</v>
      </c>
      <c r="E18633" s="33" t="s">
        <v>18</v>
      </c>
      <c r="F18633" s="33" t="s">
        <v>19</v>
      </c>
      <c r="G18633" s="33" t="s">
        <v>158</v>
      </c>
      <c r="H18633" s="35">
        <v>25</v>
      </c>
      <c r="I18633" s="33" t="s">
        <v>21</v>
      </c>
      <c r="J18633" s="42">
        <v>45433</v>
      </c>
      <c r="K18633" s="33" t="s">
        <v>22</v>
      </c>
    </row>
    <row r="18634" spans="1:11">
      <c r="A18634" s="30" t="s">
        <v>41578</v>
      </c>
      <c r="B18634" s="30" t="s">
        <v>41579</v>
      </c>
      <c r="C18634" s="30" t="s">
        <v>6625</v>
      </c>
      <c r="D18634" s="30" t="s">
        <v>17</v>
      </c>
      <c r="E18634" s="30" t="s">
        <v>45</v>
      </c>
      <c r="F18634" s="30" t="s">
        <v>46</v>
      </c>
      <c r="G18634" s="30" t="s">
        <v>158</v>
      </c>
      <c r="H18634" s="32">
        <v>120</v>
      </c>
      <c r="I18634" s="30" t="s">
        <v>51</v>
      </c>
      <c r="J18634" s="41">
        <v>45520</v>
      </c>
      <c r="K18634" s="30" t="s">
        <v>22</v>
      </c>
    </row>
    <row r="18635" spans="1:11">
      <c r="A18635" s="33" t="s">
        <v>41580</v>
      </c>
      <c r="B18635" s="33" t="s">
        <v>41581</v>
      </c>
      <c r="C18635" s="33" t="s">
        <v>32241</v>
      </c>
      <c r="D18635" s="33" t="s">
        <v>17</v>
      </c>
      <c r="E18635" s="33" t="s">
        <v>31</v>
      </c>
      <c r="F18635" s="33" t="s">
        <v>32</v>
      </c>
      <c r="G18635" s="33" t="s">
        <v>140</v>
      </c>
      <c r="H18635" s="35">
        <v>250</v>
      </c>
      <c r="I18635" s="33" t="s">
        <v>51</v>
      </c>
      <c r="J18635" s="42">
        <v>45434</v>
      </c>
      <c r="K18635" s="33" t="s">
        <v>22</v>
      </c>
    </row>
    <row r="18636" spans="1:11">
      <c r="A18636" s="30" t="s">
        <v>41582</v>
      </c>
      <c r="B18636" s="30" t="s">
        <v>41583</v>
      </c>
      <c r="C18636" s="30" t="s">
        <v>29513</v>
      </c>
      <c r="D18636" s="30" t="s">
        <v>17</v>
      </c>
      <c r="E18636" s="30" t="s">
        <v>26</v>
      </c>
      <c r="F18636" s="30" t="s">
        <v>27</v>
      </c>
      <c r="G18636" s="30" t="s">
        <v>158</v>
      </c>
      <c r="H18636" s="32">
        <v>24</v>
      </c>
      <c r="I18636" s="30" t="s">
        <v>51</v>
      </c>
      <c r="J18636" s="41">
        <v>45574</v>
      </c>
      <c r="K18636" s="30" t="s">
        <v>22</v>
      </c>
    </row>
    <row r="18637" spans="1:11">
      <c r="A18637" s="33" t="s">
        <v>41584</v>
      </c>
      <c r="B18637" s="33" t="s">
        <v>41585</v>
      </c>
      <c r="C18637" s="33" t="s">
        <v>190</v>
      </c>
      <c r="D18637" s="33" t="s">
        <v>17</v>
      </c>
      <c r="E18637" s="33" t="s">
        <v>26</v>
      </c>
      <c r="F18637" s="33" t="s">
        <v>27</v>
      </c>
      <c r="G18637" s="33" t="s">
        <v>20</v>
      </c>
      <c r="H18637" s="35">
        <v>32</v>
      </c>
      <c r="I18637" s="33" t="s">
        <v>21</v>
      </c>
      <c r="J18637" s="42">
        <v>45510</v>
      </c>
      <c r="K18637" s="33" t="s">
        <v>22</v>
      </c>
    </row>
    <row r="18638" spans="1:11">
      <c r="A18638" s="30" t="s">
        <v>41586</v>
      </c>
      <c r="B18638" s="30" t="s">
        <v>41587</v>
      </c>
      <c r="C18638" s="30" t="s">
        <v>187</v>
      </c>
      <c r="D18638" s="30" t="s">
        <v>17</v>
      </c>
      <c r="E18638" s="30" t="s">
        <v>31</v>
      </c>
      <c r="F18638" s="30" t="s">
        <v>32</v>
      </c>
      <c r="G18638" s="30" t="s">
        <v>20</v>
      </c>
      <c r="H18638" s="32">
        <v>240</v>
      </c>
      <c r="I18638" s="30" t="s">
        <v>21</v>
      </c>
      <c r="J18638" s="41">
        <v>45549</v>
      </c>
      <c r="K18638" s="30" t="s">
        <v>22</v>
      </c>
    </row>
    <row r="18639" spans="1:11">
      <c r="A18639" s="33" t="s">
        <v>41588</v>
      </c>
      <c r="B18639" s="33" t="s">
        <v>41589</v>
      </c>
      <c r="C18639" s="33" t="s">
        <v>15545</v>
      </c>
      <c r="D18639" s="33" t="s">
        <v>17</v>
      </c>
      <c r="E18639" s="33" t="s">
        <v>31</v>
      </c>
      <c r="F18639" s="33" t="s">
        <v>32</v>
      </c>
      <c r="G18639" s="33" t="s">
        <v>50</v>
      </c>
      <c r="H18639" s="35">
        <v>45</v>
      </c>
      <c r="I18639" s="33" t="s">
        <v>51</v>
      </c>
      <c r="J18639" s="42">
        <v>45444</v>
      </c>
      <c r="K18639" s="33" t="s">
        <v>22</v>
      </c>
    </row>
    <row r="18640" spans="1:11">
      <c r="A18640" s="30" t="s">
        <v>41590</v>
      </c>
      <c r="B18640" s="30" t="s">
        <v>41591</v>
      </c>
      <c r="C18640" s="30" t="s">
        <v>517</v>
      </c>
      <c r="D18640" s="30" t="s">
        <v>17</v>
      </c>
      <c r="E18640" s="30" t="s">
        <v>18</v>
      </c>
      <c r="F18640" s="30" t="s">
        <v>19</v>
      </c>
      <c r="G18640" s="30" t="s">
        <v>140</v>
      </c>
      <c r="H18640" s="32">
        <v>252</v>
      </c>
      <c r="I18640" s="30" t="s">
        <v>51</v>
      </c>
      <c r="J18640" s="41">
        <v>45397</v>
      </c>
      <c r="K18640" s="30" t="s">
        <v>22</v>
      </c>
    </row>
    <row r="18641" spans="1:11">
      <c r="A18641" s="33" t="s">
        <v>41592</v>
      </c>
      <c r="B18641" s="33" t="s">
        <v>41593</v>
      </c>
      <c r="C18641" s="33" t="s">
        <v>14181</v>
      </c>
      <c r="D18641" s="33" t="s">
        <v>17</v>
      </c>
      <c r="E18641" s="33" t="s">
        <v>26</v>
      </c>
      <c r="F18641" s="33" t="s">
        <v>27</v>
      </c>
      <c r="G18641" s="33" t="s">
        <v>20</v>
      </c>
      <c r="H18641" s="35">
        <v>57</v>
      </c>
      <c r="I18641" s="33" t="s">
        <v>21</v>
      </c>
      <c r="J18641" s="42">
        <v>45397</v>
      </c>
      <c r="K18641" s="33" t="s">
        <v>22</v>
      </c>
    </row>
    <row r="18642" spans="1:11">
      <c r="A18642" s="30" t="s">
        <v>41594</v>
      </c>
      <c r="B18642" s="30" t="s">
        <v>41595</v>
      </c>
      <c r="C18642" s="30" t="s">
        <v>41596</v>
      </c>
      <c r="D18642" s="30" t="s">
        <v>17</v>
      </c>
      <c r="E18642" s="30" t="s">
        <v>67</v>
      </c>
      <c r="F18642" s="30" t="s">
        <v>68</v>
      </c>
      <c r="G18642" s="30" t="s">
        <v>140</v>
      </c>
      <c r="H18642" s="32">
        <v>315</v>
      </c>
      <c r="I18642" s="30" t="s">
        <v>51</v>
      </c>
      <c r="J18642" s="41">
        <v>45377</v>
      </c>
      <c r="K18642" s="30" t="s">
        <v>22</v>
      </c>
    </row>
    <row r="18643" spans="1:11">
      <c r="A18643" s="33" t="s">
        <v>41597</v>
      </c>
      <c r="B18643" s="33" t="s">
        <v>41598</v>
      </c>
      <c r="C18643" s="33" t="s">
        <v>93</v>
      </c>
      <c r="D18643" s="33" t="s">
        <v>17</v>
      </c>
      <c r="E18643" s="33" t="s">
        <v>18</v>
      </c>
      <c r="F18643" s="33" t="s">
        <v>19</v>
      </c>
      <c r="G18643" s="33" t="s">
        <v>158</v>
      </c>
      <c r="H18643" s="35">
        <v>74</v>
      </c>
      <c r="I18643" s="33" t="s">
        <v>21</v>
      </c>
      <c r="J18643" s="42">
        <v>45604</v>
      </c>
      <c r="K18643" s="33" t="s">
        <v>22</v>
      </c>
    </row>
    <row r="18644" spans="1:11">
      <c r="A18644" s="30" t="s">
        <v>41599</v>
      </c>
      <c r="B18644" s="30" t="s">
        <v>41600</v>
      </c>
      <c r="C18644" s="30" t="s">
        <v>9163</v>
      </c>
      <c r="D18644" s="30" t="s">
        <v>17</v>
      </c>
      <c r="E18644" s="30" t="s">
        <v>67</v>
      </c>
      <c r="F18644" s="30" t="s">
        <v>68</v>
      </c>
      <c r="G18644" s="30" t="s">
        <v>158</v>
      </c>
      <c r="H18644" s="32">
        <v>75</v>
      </c>
      <c r="I18644" s="30" t="s">
        <v>51</v>
      </c>
      <c r="J18644" s="41">
        <v>45425</v>
      </c>
      <c r="K18644" s="30" t="s">
        <v>22</v>
      </c>
    </row>
    <row r="18645" spans="1:11">
      <c r="A18645" s="33" t="s">
        <v>41601</v>
      </c>
      <c r="B18645" s="33" t="s">
        <v>41602</v>
      </c>
      <c r="C18645" s="33" t="s">
        <v>6276</v>
      </c>
      <c r="D18645" s="33" t="s">
        <v>17</v>
      </c>
      <c r="E18645" s="33" t="s">
        <v>31</v>
      </c>
      <c r="F18645" s="33" t="s">
        <v>32</v>
      </c>
      <c r="G18645" s="33" t="s">
        <v>140</v>
      </c>
      <c r="H18645" s="35">
        <v>60</v>
      </c>
      <c r="I18645" s="33" t="s">
        <v>51</v>
      </c>
      <c r="J18645" s="42">
        <v>45594</v>
      </c>
      <c r="K18645" s="33" t="s">
        <v>22</v>
      </c>
    </row>
    <row r="18646" spans="1:11">
      <c r="A18646" s="30" t="s">
        <v>41603</v>
      </c>
      <c r="B18646" s="30" t="s">
        <v>41604</v>
      </c>
      <c r="C18646" s="30" t="s">
        <v>318</v>
      </c>
      <c r="D18646" s="30" t="s">
        <v>17</v>
      </c>
      <c r="E18646" s="30" t="s">
        <v>67</v>
      </c>
      <c r="F18646" s="30" t="s">
        <v>68</v>
      </c>
      <c r="G18646" s="30" t="s">
        <v>140</v>
      </c>
      <c r="H18646" s="32">
        <v>88</v>
      </c>
      <c r="I18646" s="30" t="s">
        <v>51</v>
      </c>
      <c r="J18646" s="41">
        <v>45442</v>
      </c>
      <c r="K18646" s="30" t="s">
        <v>22</v>
      </c>
    </row>
    <row r="18647" spans="1:11">
      <c r="A18647" s="33" t="s">
        <v>41605</v>
      </c>
      <c r="B18647" s="33" t="s">
        <v>41606</v>
      </c>
      <c r="C18647" s="33" t="s">
        <v>18998</v>
      </c>
      <c r="D18647" s="33" t="s">
        <v>17</v>
      </c>
      <c r="E18647" s="33" t="s">
        <v>26</v>
      </c>
      <c r="F18647" s="33" t="s">
        <v>27</v>
      </c>
      <c r="G18647" s="33" t="s">
        <v>20</v>
      </c>
      <c r="H18647" s="35">
        <v>28</v>
      </c>
      <c r="I18647" s="33" t="s">
        <v>21</v>
      </c>
      <c r="J18647" s="42">
        <v>45575</v>
      </c>
      <c r="K18647" s="33" t="s">
        <v>22</v>
      </c>
    </row>
    <row r="18648" spans="1:11">
      <c r="A18648" s="30" t="s">
        <v>41607</v>
      </c>
      <c r="B18648" s="30" t="s">
        <v>41608</v>
      </c>
      <c r="C18648" s="30" t="s">
        <v>4221</v>
      </c>
      <c r="D18648" s="30" t="s">
        <v>17</v>
      </c>
      <c r="E18648" s="30" t="s">
        <v>67</v>
      </c>
      <c r="F18648" s="30" t="s">
        <v>68</v>
      </c>
      <c r="G18648" s="30" t="s">
        <v>106</v>
      </c>
      <c r="H18648" s="32">
        <v>27</v>
      </c>
      <c r="I18648" s="30" t="s">
        <v>21</v>
      </c>
      <c r="J18648" s="41">
        <v>45369</v>
      </c>
      <c r="K18648" s="30" t="s">
        <v>22</v>
      </c>
    </row>
    <row r="18649" spans="1:11">
      <c r="A18649" s="33" t="s">
        <v>41609</v>
      </c>
      <c r="B18649" s="33" t="s">
        <v>41610</v>
      </c>
      <c r="C18649" s="33" t="s">
        <v>187</v>
      </c>
      <c r="D18649" s="33" t="s">
        <v>17</v>
      </c>
      <c r="E18649" s="33" t="s">
        <v>18</v>
      </c>
      <c r="F18649" s="33" t="s">
        <v>19</v>
      </c>
      <c r="G18649" s="33" t="s">
        <v>7780</v>
      </c>
      <c r="H18649" s="35">
        <v>542</v>
      </c>
      <c r="I18649" s="33" t="s">
        <v>51</v>
      </c>
      <c r="J18649" s="42">
        <v>45505</v>
      </c>
      <c r="K18649" s="33" t="s">
        <v>22</v>
      </c>
    </row>
    <row r="18650" spans="1:11">
      <c r="A18650" s="30" t="s">
        <v>41611</v>
      </c>
      <c r="B18650" s="30" t="s">
        <v>41612</v>
      </c>
      <c r="C18650" s="30" t="s">
        <v>41613</v>
      </c>
      <c r="D18650" s="30" t="s">
        <v>17</v>
      </c>
      <c r="E18650" s="30" t="s">
        <v>26</v>
      </c>
      <c r="F18650" s="30" t="s">
        <v>27</v>
      </c>
      <c r="G18650" s="30" t="s">
        <v>140</v>
      </c>
      <c r="H18650" s="32">
        <v>280</v>
      </c>
      <c r="I18650" s="30" t="s">
        <v>51</v>
      </c>
      <c r="J18650" s="41">
        <v>45315</v>
      </c>
      <c r="K18650" s="30" t="s">
        <v>22</v>
      </c>
    </row>
    <row r="18651" spans="1:11">
      <c r="A18651" s="33" t="s">
        <v>41614</v>
      </c>
      <c r="B18651" s="33" t="s">
        <v>41615</v>
      </c>
      <c r="C18651" s="33" t="s">
        <v>78</v>
      </c>
      <c r="D18651" s="33" t="s">
        <v>17</v>
      </c>
      <c r="E18651" s="33" t="s">
        <v>26</v>
      </c>
      <c r="F18651" s="33" t="s">
        <v>27</v>
      </c>
      <c r="G18651" s="33" t="s">
        <v>20</v>
      </c>
      <c r="H18651" s="35">
        <v>45</v>
      </c>
      <c r="I18651" s="33" t="s">
        <v>21</v>
      </c>
      <c r="J18651" s="42">
        <v>45386</v>
      </c>
      <c r="K18651" s="33" t="s">
        <v>22</v>
      </c>
    </row>
    <row r="18652" spans="1:11">
      <c r="A18652" s="30" t="s">
        <v>41616</v>
      </c>
      <c r="B18652" s="30" t="s">
        <v>41617</v>
      </c>
      <c r="C18652" s="30" t="s">
        <v>41618</v>
      </c>
      <c r="D18652" s="30" t="s">
        <v>17</v>
      </c>
      <c r="E18652" s="30" t="s">
        <v>26</v>
      </c>
      <c r="F18652" s="30" t="s">
        <v>27</v>
      </c>
      <c r="G18652" s="30" t="s">
        <v>106</v>
      </c>
      <c r="H18652" s="32">
        <v>17</v>
      </c>
      <c r="I18652" s="30" t="s">
        <v>21</v>
      </c>
      <c r="J18652" s="41">
        <v>45576</v>
      </c>
      <c r="K18652" s="30" t="s">
        <v>22</v>
      </c>
    </row>
    <row r="18653" spans="1:11">
      <c r="A18653" s="33" t="s">
        <v>41619</v>
      </c>
      <c r="B18653" s="33" t="s">
        <v>41620</v>
      </c>
      <c r="C18653" s="33" t="s">
        <v>36080</v>
      </c>
      <c r="D18653" s="33" t="s">
        <v>17</v>
      </c>
      <c r="E18653" s="33" t="s">
        <v>26</v>
      </c>
      <c r="F18653" s="33" t="s">
        <v>27</v>
      </c>
      <c r="G18653" s="33" t="s">
        <v>20</v>
      </c>
      <c r="H18653" s="35">
        <v>40</v>
      </c>
      <c r="I18653" s="33" t="s">
        <v>21</v>
      </c>
      <c r="J18653" s="42">
        <v>45371</v>
      </c>
      <c r="K18653" s="33" t="s">
        <v>22</v>
      </c>
    </row>
    <row r="18654" spans="1:11">
      <c r="A18654" s="30" t="s">
        <v>41621</v>
      </c>
      <c r="B18654" s="30" t="s">
        <v>41622</v>
      </c>
      <c r="C18654" s="30" t="s">
        <v>178</v>
      </c>
      <c r="D18654" s="30" t="s">
        <v>17</v>
      </c>
      <c r="E18654" s="30" t="s">
        <v>212</v>
      </c>
      <c r="F18654" s="30" t="s">
        <v>213</v>
      </c>
      <c r="G18654" s="30" t="s">
        <v>140</v>
      </c>
      <c r="H18654" s="32">
        <v>320</v>
      </c>
      <c r="I18654" s="30" t="s">
        <v>51</v>
      </c>
      <c r="J18654" s="41">
        <v>45384</v>
      </c>
      <c r="K18654" s="30" t="s">
        <v>22</v>
      </c>
    </row>
    <row r="18655" spans="1:11">
      <c r="A18655" s="33" t="s">
        <v>41623</v>
      </c>
      <c r="B18655" s="33" t="s">
        <v>41624</v>
      </c>
      <c r="C18655" s="33" t="s">
        <v>32241</v>
      </c>
      <c r="D18655" s="33" t="s">
        <v>17</v>
      </c>
      <c r="E18655" s="33" t="s">
        <v>26</v>
      </c>
      <c r="F18655" s="33" t="s">
        <v>27</v>
      </c>
      <c r="G18655" s="33" t="s">
        <v>20</v>
      </c>
      <c r="H18655" s="35">
        <v>24</v>
      </c>
      <c r="I18655" s="33" t="s">
        <v>21</v>
      </c>
      <c r="J18655" s="42">
        <v>45398</v>
      </c>
      <c r="K18655" s="33" t="s">
        <v>22</v>
      </c>
    </row>
    <row r="18656" spans="1:11">
      <c r="A18656" s="30" t="s">
        <v>41625</v>
      </c>
      <c r="B18656" s="30" t="s">
        <v>41626</v>
      </c>
      <c r="C18656" s="30" t="s">
        <v>102</v>
      </c>
      <c r="D18656" s="30" t="s">
        <v>17</v>
      </c>
      <c r="E18656" s="30" t="s">
        <v>18</v>
      </c>
      <c r="F18656" s="30" t="s">
        <v>19</v>
      </c>
      <c r="G18656" s="30" t="s">
        <v>158</v>
      </c>
      <c r="H18656" s="32">
        <v>774</v>
      </c>
      <c r="I18656" s="30" t="s">
        <v>21</v>
      </c>
      <c r="J18656" s="41">
        <v>45323</v>
      </c>
      <c r="K18656" s="30" t="s">
        <v>22</v>
      </c>
    </row>
    <row r="18657" spans="1:11">
      <c r="A18657" s="33" t="s">
        <v>41627</v>
      </c>
      <c r="B18657" s="33" t="s">
        <v>41628</v>
      </c>
      <c r="C18657" s="33" t="s">
        <v>570</v>
      </c>
      <c r="D18657" s="33" t="s">
        <v>17</v>
      </c>
      <c r="E18657" s="33" t="s">
        <v>26</v>
      </c>
      <c r="F18657" s="33" t="s">
        <v>27</v>
      </c>
      <c r="G18657" s="33" t="s">
        <v>140</v>
      </c>
      <c r="H18657" s="35">
        <v>250</v>
      </c>
      <c r="I18657" s="33" t="s">
        <v>51</v>
      </c>
      <c r="J18657" s="42">
        <v>45407</v>
      </c>
      <c r="K18657" s="33" t="s">
        <v>22</v>
      </c>
    </row>
    <row r="18658" spans="1:11">
      <c r="A18658" s="30" t="s">
        <v>41629</v>
      </c>
      <c r="B18658" s="30" t="s">
        <v>41630</v>
      </c>
      <c r="C18658" s="30" t="s">
        <v>353</v>
      </c>
      <c r="D18658" s="30" t="s">
        <v>17</v>
      </c>
      <c r="E18658" s="30" t="s">
        <v>26</v>
      </c>
      <c r="F18658" s="30" t="s">
        <v>27</v>
      </c>
      <c r="G18658" s="30" t="s">
        <v>50</v>
      </c>
      <c r="H18658" s="32">
        <v>36</v>
      </c>
      <c r="I18658" s="30" t="s">
        <v>51</v>
      </c>
      <c r="J18658" s="41">
        <v>45370</v>
      </c>
      <c r="K18658" s="30" t="s">
        <v>22</v>
      </c>
    </row>
    <row r="18659" spans="1:11">
      <c r="A18659" s="33" t="s">
        <v>41631</v>
      </c>
      <c r="B18659" s="33" t="s">
        <v>41632</v>
      </c>
      <c r="C18659" s="33" t="s">
        <v>905</v>
      </c>
      <c r="D18659" s="33" t="s">
        <v>17</v>
      </c>
      <c r="E18659" s="33" t="s">
        <v>31</v>
      </c>
      <c r="F18659" s="33" t="s">
        <v>32</v>
      </c>
      <c r="G18659" s="33" t="s">
        <v>140</v>
      </c>
      <c r="H18659" s="35">
        <v>150</v>
      </c>
      <c r="I18659" s="33" t="s">
        <v>51</v>
      </c>
      <c r="J18659" s="42">
        <v>45615</v>
      </c>
      <c r="K18659" s="33" t="s">
        <v>22</v>
      </c>
    </row>
    <row r="18660" spans="1:11">
      <c r="A18660" s="30" t="s">
        <v>41633</v>
      </c>
      <c r="B18660" s="30" t="s">
        <v>41634</v>
      </c>
      <c r="C18660" s="30" t="s">
        <v>353</v>
      </c>
      <c r="D18660" s="30" t="s">
        <v>17</v>
      </c>
      <c r="E18660" s="30" t="s">
        <v>26</v>
      </c>
      <c r="F18660" s="30" t="s">
        <v>27</v>
      </c>
      <c r="G18660" s="30" t="s">
        <v>158</v>
      </c>
      <c r="H18660" s="32">
        <v>60</v>
      </c>
      <c r="I18660" s="30" t="s">
        <v>51</v>
      </c>
      <c r="J18660" s="41">
        <v>45520</v>
      </c>
      <c r="K18660" s="30" t="s">
        <v>22</v>
      </c>
    </row>
    <row r="18661" spans="1:11">
      <c r="A18661" s="33" t="s">
        <v>41635</v>
      </c>
      <c r="B18661" s="33" t="s">
        <v>41636</v>
      </c>
      <c r="C18661" s="33" t="s">
        <v>41637</v>
      </c>
      <c r="D18661" s="33" t="s">
        <v>17</v>
      </c>
      <c r="E18661" s="33" t="s">
        <v>18</v>
      </c>
      <c r="F18661" s="33" t="s">
        <v>19</v>
      </c>
      <c r="G18661" s="33" t="s">
        <v>106</v>
      </c>
      <c r="H18661" s="35">
        <v>477</v>
      </c>
      <c r="I18661" s="33" t="s">
        <v>21</v>
      </c>
      <c r="J18661" s="42">
        <v>45404</v>
      </c>
      <c r="K18661" s="33" t="s">
        <v>22</v>
      </c>
    </row>
    <row r="18662" spans="1:11">
      <c r="A18662" s="30" t="s">
        <v>41638</v>
      </c>
      <c r="B18662" s="30" t="s">
        <v>41639</v>
      </c>
      <c r="C18662" s="30" t="s">
        <v>16002</v>
      </c>
      <c r="D18662" s="30" t="s">
        <v>17</v>
      </c>
      <c r="E18662" s="30" t="s">
        <v>26</v>
      </c>
      <c r="F18662" s="30" t="s">
        <v>27</v>
      </c>
      <c r="G18662" s="30" t="s">
        <v>20</v>
      </c>
      <c r="H18662" s="32">
        <v>24</v>
      </c>
      <c r="I18662" s="30" t="s">
        <v>21</v>
      </c>
      <c r="J18662" s="41">
        <v>45495</v>
      </c>
      <c r="K18662" s="30" t="s">
        <v>22</v>
      </c>
    </row>
    <row r="18663" spans="1:11">
      <c r="A18663" s="33" t="s">
        <v>41640</v>
      </c>
      <c r="B18663" s="33" t="s">
        <v>41641</v>
      </c>
      <c r="C18663" s="33" t="s">
        <v>554</v>
      </c>
      <c r="D18663" s="33" t="s">
        <v>17</v>
      </c>
      <c r="E18663" s="33" t="s">
        <v>26</v>
      </c>
      <c r="F18663" s="33" t="s">
        <v>27</v>
      </c>
      <c r="G18663" s="33" t="s">
        <v>20</v>
      </c>
      <c r="H18663" s="35">
        <v>22</v>
      </c>
      <c r="I18663" s="33" t="s">
        <v>21</v>
      </c>
      <c r="J18663" s="42">
        <v>45463</v>
      </c>
      <c r="K18663" s="33" t="s">
        <v>22</v>
      </c>
    </row>
    <row r="18664" spans="1:11">
      <c r="A18664" s="30" t="s">
        <v>41642</v>
      </c>
      <c r="B18664" s="30" t="s">
        <v>41643</v>
      </c>
      <c r="C18664" s="30" t="s">
        <v>8554</v>
      </c>
      <c r="D18664" s="30" t="s">
        <v>17</v>
      </c>
      <c r="E18664" s="30" t="s">
        <v>31</v>
      </c>
      <c r="F18664" s="30" t="s">
        <v>32</v>
      </c>
      <c r="G18664" s="30" t="s">
        <v>158</v>
      </c>
      <c r="H18664" s="32">
        <v>116</v>
      </c>
      <c r="I18664" s="30" t="s">
        <v>51</v>
      </c>
      <c r="J18664" s="41">
        <v>45530</v>
      </c>
      <c r="K18664" s="30" t="s">
        <v>22</v>
      </c>
    </row>
    <row r="18665" spans="1:11">
      <c r="A18665" s="33" t="s">
        <v>41644</v>
      </c>
      <c r="B18665" s="33" t="s">
        <v>41645</v>
      </c>
      <c r="C18665" s="33" t="s">
        <v>925</v>
      </c>
      <c r="D18665" s="33" t="s">
        <v>17</v>
      </c>
      <c r="E18665" s="33" t="s">
        <v>26</v>
      </c>
      <c r="F18665" s="33" t="s">
        <v>27</v>
      </c>
      <c r="G18665" s="33" t="s">
        <v>140</v>
      </c>
      <c r="H18665" s="35">
        <v>134</v>
      </c>
      <c r="I18665" s="33" t="s">
        <v>51</v>
      </c>
      <c r="J18665" s="42">
        <v>45532</v>
      </c>
      <c r="K18665" s="33" t="s">
        <v>22</v>
      </c>
    </row>
    <row r="18666" spans="1:11">
      <c r="A18666" s="30" t="s">
        <v>41646</v>
      </c>
      <c r="B18666" s="30" t="s">
        <v>41647</v>
      </c>
      <c r="C18666" s="30" t="s">
        <v>8231</v>
      </c>
      <c r="D18666" s="30" t="s">
        <v>17</v>
      </c>
      <c r="E18666" s="30" t="s">
        <v>31</v>
      </c>
      <c r="F18666" s="30" t="s">
        <v>32</v>
      </c>
      <c r="G18666" s="30" t="s">
        <v>140</v>
      </c>
      <c r="H18666" s="32">
        <v>120</v>
      </c>
      <c r="I18666" s="30" t="s">
        <v>51</v>
      </c>
      <c r="J18666" s="41">
        <v>45511</v>
      </c>
      <c r="K18666" s="30" t="s">
        <v>22</v>
      </c>
    </row>
    <row r="18667" spans="1:11">
      <c r="A18667" s="33" t="s">
        <v>41648</v>
      </c>
      <c r="B18667" s="33" t="s">
        <v>41649</v>
      </c>
      <c r="C18667" s="33" t="s">
        <v>16448</v>
      </c>
      <c r="D18667" s="33" t="s">
        <v>17</v>
      </c>
      <c r="E18667" s="33" t="s">
        <v>31</v>
      </c>
      <c r="F18667" s="33" t="s">
        <v>32</v>
      </c>
      <c r="G18667" s="33" t="s">
        <v>140</v>
      </c>
      <c r="H18667" s="35">
        <v>200</v>
      </c>
      <c r="I18667" s="33" t="s">
        <v>51</v>
      </c>
      <c r="J18667" s="42">
        <v>45462</v>
      </c>
      <c r="K18667" s="33" t="s">
        <v>22</v>
      </c>
    </row>
    <row r="18668" spans="1:11">
      <c r="A18668" s="30" t="s">
        <v>41650</v>
      </c>
      <c r="B18668" s="30" t="s">
        <v>41651</v>
      </c>
      <c r="C18668" s="30" t="s">
        <v>7094</v>
      </c>
      <c r="D18668" s="30" t="s">
        <v>17</v>
      </c>
      <c r="E18668" s="30" t="s">
        <v>18</v>
      </c>
      <c r="F18668" s="30" t="s">
        <v>19</v>
      </c>
      <c r="G18668" s="30" t="s">
        <v>50</v>
      </c>
      <c r="H18668" s="32">
        <v>358</v>
      </c>
      <c r="I18668" s="30" t="s">
        <v>51</v>
      </c>
      <c r="J18668" s="41">
        <v>45444</v>
      </c>
      <c r="K18668" s="30" t="s">
        <v>22</v>
      </c>
    </row>
    <row r="18669" spans="1:11">
      <c r="A18669" s="33" t="s">
        <v>41652</v>
      </c>
      <c r="B18669" s="33" t="s">
        <v>41653</v>
      </c>
      <c r="C18669" s="33" t="s">
        <v>96</v>
      </c>
      <c r="D18669" s="33" t="s">
        <v>17</v>
      </c>
      <c r="E18669" s="33" t="s">
        <v>26</v>
      </c>
      <c r="F18669" s="33" t="s">
        <v>27</v>
      </c>
      <c r="G18669" s="33" t="s">
        <v>20</v>
      </c>
      <c r="H18669" s="35">
        <v>12</v>
      </c>
      <c r="I18669" s="33" t="s">
        <v>21</v>
      </c>
      <c r="J18669" s="42">
        <v>45581</v>
      </c>
      <c r="K18669" s="33" t="s">
        <v>22</v>
      </c>
    </row>
    <row r="18670" spans="1:11">
      <c r="A18670" s="30" t="s">
        <v>41654</v>
      </c>
      <c r="B18670" s="30" t="s">
        <v>41655</v>
      </c>
      <c r="C18670" s="30" t="s">
        <v>969</v>
      </c>
      <c r="D18670" s="30" t="s">
        <v>17</v>
      </c>
      <c r="E18670" s="30" t="s">
        <v>31</v>
      </c>
      <c r="F18670" s="30" t="s">
        <v>32</v>
      </c>
      <c r="G18670" s="30" t="s">
        <v>158</v>
      </c>
      <c r="H18670" s="32">
        <v>23</v>
      </c>
      <c r="I18670" s="30" t="s">
        <v>21</v>
      </c>
      <c r="J18670" s="41">
        <v>45582</v>
      </c>
      <c r="K18670" s="30" t="s">
        <v>22</v>
      </c>
    </row>
    <row r="18671" spans="1:11">
      <c r="A18671" s="33" t="s">
        <v>41656</v>
      </c>
      <c r="B18671" s="33" t="s">
        <v>41657</v>
      </c>
      <c r="C18671" s="33" t="s">
        <v>78</v>
      </c>
      <c r="D18671" s="33" t="s">
        <v>17</v>
      </c>
      <c r="E18671" s="33" t="s">
        <v>26</v>
      </c>
      <c r="F18671" s="33" t="s">
        <v>27</v>
      </c>
      <c r="G18671" s="33" t="s">
        <v>7780</v>
      </c>
      <c r="H18671" s="35">
        <v>28</v>
      </c>
      <c r="I18671" s="33" t="s">
        <v>51</v>
      </c>
      <c r="J18671" s="42">
        <v>45477</v>
      </c>
      <c r="K18671" s="33" t="s">
        <v>22</v>
      </c>
    </row>
    <row r="18672" spans="1:11">
      <c r="A18672" s="30" t="s">
        <v>41658</v>
      </c>
      <c r="B18672" s="30" t="s">
        <v>41659</v>
      </c>
      <c r="C18672" s="30" t="s">
        <v>23852</v>
      </c>
      <c r="D18672" s="30" t="s">
        <v>17</v>
      </c>
      <c r="E18672" s="30" t="s">
        <v>31</v>
      </c>
      <c r="F18672" s="30" t="s">
        <v>32</v>
      </c>
      <c r="G18672" s="30" t="s">
        <v>158</v>
      </c>
      <c r="H18672" s="32">
        <v>30</v>
      </c>
      <c r="I18672" s="30" t="s">
        <v>21</v>
      </c>
      <c r="J18672" s="41">
        <v>45610</v>
      </c>
      <c r="K18672" s="30" t="s">
        <v>22</v>
      </c>
    </row>
    <row r="18673" spans="1:11">
      <c r="A18673" s="33" t="s">
        <v>41660</v>
      </c>
      <c r="B18673" s="33" t="s">
        <v>41661</v>
      </c>
      <c r="C18673" s="33" t="s">
        <v>1045</v>
      </c>
      <c r="D18673" s="33" t="s">
        <v>17</v>
      </c>
      <c r="E18673" s="33" t="s">
        <v>31</v>
      </c>
      <c r="F18673" s="33" t="s">
        <v>32</v>
      </c>
      <c r="G18673" s="33" t="s">
        <v>140</v>
      </c>
      <c r="H18673" s="35">
        <v>325</v>
      </c>
      <c r="I18673" s="33" t="s">
        <v>51</v>
      </c>
      <c r="J18673" s="42">
        <v>45551</v>
      </c>
      <c r="K18673" s="33" t="s">
        <v>22</v>
      </c>
    </row>
    <row r="18674" spans="1:11">
      <c r="A18674" s="30" t="s">
        <v>41662</v>
      </c>
      <c r="B18674" s="30" t="s">
        <v>41663</v>
      </c>
      <c r="C18674" s="30" t="s">
        <v>41664</v>
      </c>
      <c r="D18674" s="30" t="s">
        <v>17</v>
      </c>
      <c r="E18674" s="30" t="s">
        <v>26</v>
      </c>
      <c r="F18674" s="30" t="s">
        <v>27</v>
      </c>
      <c r="G18674" s="30" t="s">
        <v>50</v>
      </c>
      <c r="H18674" s="32">
        <v>6</v>
      </c>
      <c r="I18674" s="30" t="s">
        <v>51</v>
      </c>
      <c r="J18674" s="41">
        <v>45323</v>
      </c>
      <c r="K18674" s="30" t="s">
        <v>22</v>
      </c>
    </row>
    <row r="18675" spans="1:11">
      <c r="A18675" s="33" t="s">
        <v>41665</v>
      </c>
      <c r="B18675" s="33" t="s">
        <v>41666</v>
      </c>
      <c r="C18675" s="33" t="s">
        <v>93</v>
      </c>
      <c r="D18675" s="33" t="s">
        <v>17</v>
      </c>
      <c r="E18675" s="33" t="s">
        <v>18</v>
      </c>
      <c r="F18675" s="33" t="s">
        <v>19</v>
      </c>
      <c r="G18675" s="33" t="s">
        <v>140</v>
      </c>
      <c r="H18675" s="35">
        <v>264</v>
      </c>
      <c r="I18675" s="33" t="s">
        <v>51</v>
      </c>
      <c r="J18675" s="42">
        <v>45601</v>
      </c>
      <c r="K18675" s="33" t="s">
        <v>22</v>
      </c>
    </row>
    <row r="18676" spans="1:11">
      <c r="A18676" s="30" t="s">
        <v>41667</v>
      </c>
      <c r="B18676" s="30" t="s">
        <v>41668</v>
      </c>
      <c r="C18676" s="30" t="s">
        <v>78</v>
      </c>
      <c r="D18676" s="30" t="s">
        <v>17</v>
      </c>
      <c r="E18676" s="30" t="s">
        <v>26</v>
      </c>
      <c r="F18676" s="30" t="s">
        <v>27</v>
      </c>
      <c r="G18676" s="30" t="s">
        <v>20</v>
      </c>
      <c r="H18676" s="32">
        <v>31</v>
      </c>
      <c r="I18676" s="30" t="s">
        <v>21</v>
      </c>
      <c r="J18676" s="41">
        <v>45604</v>
      </c>
      <c r="K18676" s="30" t="s">
        <v>22</v>
      </c>
    </row>
    <row r="18677" spans="1:11">
      <c r="A18677" s="33" t="s">
        <v>41669</v>
      </c>
      <c r="B18677" s="33" t="s">
        <v>41670</v>
      </c>
      <c r="C18677" s="33" t="s">
        <v>4108</v>
      </c>
      <c r="D18677" s="33" t="s">
        <v>17</v>
      </c>
      <c r="E18677" s="33" t="s">
        <v>31</v>
      </c>
      <c r="F18677" s="33" t="s">
        <v>32</v>
      </c>
      <c r="G18677" s="33" t="s">
        <v>140</v>
      </c>
      <c r="H18677" s="35">
        <v>82</v>
      </c>
      <c r="I18677" s="33" t="s">
        <v>51</v>
      </c>
      <c r="J18677" s="42">
        <v>45454</v>
      </c>
      <c r="K18677" s="33" t="s">
        <v>22</v>
      </c>
    </row>
    <row r="18678" spans="1:11">
      <c r="A18678" s="30" t="s">
        <v>41671</v>
      </c>
      <c r="B18678" s="30" t="s">
        <v>41672</v>
      </c>
      <c r="C18678" s="30" t="s">
        <v>41673</v>
      </c>
      <c r="D18678" s="30" t="s">
        <v>17</v>
      </c>
      <c r="E18678" s="30" t="s">
        <v>67</v>
      </c>
      <c r="F18678" s="30" t="s">
        <v>68</v>
      </c>
      <c r="G18678" s="30" t="s">
        <v>140</v>
      </c>
      <c r="H18678" s="32">
        <v>72</v>
      </c>
      <c r="I18678" s="30" t="s">
        <v>51</v>
      </c>
      <c r="J18678" s="41">
        <v>45512</v>
      </c>
      <c r="K18678" s="30" t="s">
        <v>22</v>
      </c>
    </row>
    <row r="18679" spans="1:11">
      <c r="A18679" s="33" t="s">
        <v>41674</v>
      </c>
      <c r="B18679" s="33" t="s">
        <v>41675</v>
      </c>
      <c r="C18679" s="33" t="s">
        <v>510</v>
      </c>
      <c r="D18679" s="33" t="s">
        <v>17</v>
      </c>
      <c r="E18679" s="33" t="s">
        <v>31</v>
      </c>
      <c r="F18679" s="33" t="s">
        <v>32</v>
      </c>
      <c r="G18679" s="33" t="s">
        <v>20</v>
      </c>
      <c r="H18679" s="35">
        <v>15</v>
      </c>
      <c r="I18679" s="33" t="s">
        <v>21</v>
      </c>
      <c r="J18679" s="42">
        <v>45363</v>
      </c>
      <c r="K18679" s="33" t="s">
        <v>22</v>
      </c>
    </row>
    <row r="18680" spans="1:11">
      <c r="A18680" s="30" t="s">
        <v>41676</v>
      </c>
      <c r="B18680" s="30" t="s">
        <v>41677</v>
      </c>
      <c r="C18680" s="30" t="s">
        <v>246</v>
      </c>
      <c r="D18680" s="30" t="s">
        <v>17</v>
      </c>
      <c r="E18680" s="30" t="s">
        <v>45</v>
      </c>
      <c r="F18680" s="30" t="s">
        <v>46</v>
      </c>
      <c r="G18680" s="30" t="s">
        <v>7780</v>
      </c>
      <c r="H18680" s="32">
        <v>606</v>
      </c>
      <c r="I18680" s="30" t="s">
        <v>51</v>
      </c>
      <c r="J18680" s="41">
        <v>45545</v>
      </c>
      <c r="K18680" s="30" t="s">
        <v>22</v>
      </c>
    </row>
    <row r="18681" spans="1:11">
      <c r="A18681" s="33" t="s">
        <v>41678</v>
      </c>
      <c r="B18681" s="33" t="s">
        <v>41679</v>
      </c>
      <c r="C18681" s="33" t="s">
        <v>1428</v>
      </c>
      <c r="D18681" s="33" t="s">
        <v>17</v>
      </c>
      <c r="E18681" s="33" t="s">
        <v>26</v>
      </c>
      <c r="F18681" s="33" t="s">
        <v>27</v>
      </c>
      <c r="G18681" s="33" t="s">
        <v>140</v>
      </c>
      <c r="H18681" s="35">
        <v>74</v>
      </c>
      <c r="I18681" s="33" t="s">
        <v>51</v>
      </c>
      <c r="J18681" s="42">
        <v>45350</v>
      </c>
      <c r="K18681" s="33" t="s">
        <v>22</v>
      </c>
    </row>
    <row r="18682" spans="1:11">
      <c r="A18682" s="30" t="s">
        <v>41680</v>
      </c>
      <c r="B18682" s="30" t="s">
        <v>41681</v>
      </c>
      <c r="C18682" s="30" t="s">
        <v>2660</v>
      </c>
      <c r="D18682" s="30" t="s">
        <v>17</v>
      </c>
      <c r="E18682" s="30" t="s">
        <v>18</v>
      </c>
      <c r="F18682" s="30" t="s">
        <v>19</v>
      </c>
      <c r="G18682" s="30" t="s">
        <v>140</v>
      </c>
      <c r="H18682" s="32">
        <v>450</v>
      </c>
      <c r="I18682" s="30" t="s">
        <v>51</v>
      </c>
      <c r="J18682" s="41">
        <v>45637</v>
      </c>
      <c r="K18682" s="30" t="s">
        <v>22</v>
      </c>
    </row>
    <row r="18683" spans="1:11">
      <c r="A18683" s="33" t="s">
        <v>41682</v>
      </c>
      <c r="B18683" s="33" t="s">
        <v>41683</v>
      </c>
      <c r="C18683" s="33" t="s">
        <v>37373</v>
      </c>
      <c r="D18683" s="33" t="s">
        <v>17</v>
      </c>
      <c r="E18683" s="33" t="s">
        <v>31</v>
      </c>
      <c r="F18683" s="33" t="s">
        <v>32</v>
      </c>
      <c r="G18683" s="33" t="s">
        <v>140</v>
      </c>
      <c r="H18683" s="35">
        <v>96</v>
      </c>
      <c r="I18683" s="33" t="s">
        <v>51</v>
      </c>
      <c r="J18683" s="42">
        <v>45475</v>
      </c>
      <c r="K18683" s="33" t="s">
        <v>22</v>
      </c>
    </row>
    <row r="18684" spans="1:11">
      <c r="A18684" s="30" t="s">
        <v>41684</v>
      </c>
      <c r="B18684" s="30" t="s">
        <v>41685</v>
      </c>
      <c r="C18684" s="30" t="s">
        <v>75</v>
      </c>
      <c r="D18684" s="30" t="s">
        <v>17</v>
      </c>
      <c r="E18684" s="30" t="s">
        <v>26</v>
      </c>
      <c r="F18684" s="30" t="s">
        <v>27</v>
      </c>
      <c r="G18684" s="30" t="s">
        <v>20</v>
      </c>
      <c r="H18684" s="32">
        <v>27</v>
      </c>
      <c r="I18684" s="30" t="s">
        <v>21</v>
      </c>
      <c r="J18684" s="41">
        <v>45633</v>
      </c>
      <c r="K18684" s="30" t="s">
        <v>22</v>
      </c>
    </row>
    <row r="18685" spans="1:11">
      <c r="A18685" s="33" t="s">
        <v>41686</v>
      </c>
      <c r="B18685" s="33" t="s">
        <v>41687</v>
      </c>
      <c r="C18685" s="33" t="s">
        <v>647</v>
      </c>
      <c r="D18685" s="33" t="s">
        <v>17</v>
      </c>
      <c r="E18685" s="33" t="s">
        <v>18</v>
      </c>
      <c r="F18685" s="33" t="s">
        <v>19</v>
      </c>
      <c r="G18685" s="33" t="s">
        <v>140</v>
      </c>
      <c r="H18685" s="35">
        <v>851</v>
      </c>
      <c r="I18685" s="33" t="s">
        <v>51</v>
      </c>
      <c r="J18685" s="42">
        <v>45453</v>
      </c>
      <c r="K18685" s="33" t="s">
        <v>22</v>
      </c>
    </row>
    <row r="18686" spans="1:11">
      <c r="A18686" s="30" t="s">
        <v>41688</v>
      </c>
      <c r="B18686" s="30" t="s">
        <v>41689</v>
      </c>
      <c r="C18686" s="30" t="s">
        <v>28862</v>
      </c>
      <c r="D18686" s="30" t="s">
        <v>17</v>
      </c>
      <c r="E18686" s="30" t="s">
        <v>26</v>
      </c>
      <c r="F18686" s="30" t="s">
        <v>27</v>
      </c>
      <c r="G18686" s="30" t="s">
        <v>140</v>
      </c>
      <c r="H18686" s="32">
        <v>24</v>
      </c>
      <c r="I18686" s="30" t="s">
        <v>51</v>
      </c>
      <c r="J18686" s="41">
        <v>45645</v>
      </c>
      <c r="K18686" s="30" t="s">
        <v>22</v>
      </c>
    </row>
    <row r="18687" spans="1:11">
      <c r="A18687" s="33" t="s">
        <v>41690</v>
      </c>
      <c r="B18687" s="33" t="s">
        <v>41691</v>
      </c>
      <c r="C18687" s="33" t="s">
        <v>7834</v>
      </c>
      <c r="D18687" s="33" t="s">
        <v>17</v>
      </c>
      <c r="E18687" s="33" t="s">
        <v>31</v>
      </c>
      <c r="F18687" s="33" t="s">
        <v>32</v>
      </c>
      <c r="G18687" s="33" t="s">
        <v>158</v>
      </c>
      <c r="H18687" s="35">
        <v>379</v>
      </c>
      <c r="I18687" s="33" t="s">
        <v>21</v>
      </c>
      <c r="J18687" s="42">
        <v>45596</v>
      </c>
      <c r="K18687" s="33" t="s">
        <v>22</v>
      </c>
    </row>
    <row r="18688" spans="1:11">
      <c r="A18688" s="30" t="s">
        <v>41692</v>
      </c>
      <c r="B18688" s="30" t="s">
        <v>41693</v>
      </c>
      <c r="C18688" s="30" t="s">
        <v>647</v>
      </c>
      <c r="D18688" s="30" t="s">
        <v>17</v>
      </c>
      <c r="E18688" s="30" t="s">
        <v>26</v>
      </c>
      <c r="F18688" s="30" t="s">
        <v>27</v>
      </c>
      <c r="G18688" s="30" t="s">
        <v>20</v>
      </c>
      <c r="H18688" s="32">
        <v>245</v>
      </c>
      <c r="I18688" s="30" t="s">
        <v>21</v>
      </c>
      <c r="J18688" s="41">
        <v>45352</v>
      </c>
      <c r="K18688" s="30" t="s">
        <v>22</v>
      </c>
    </row>
    <row r="18689" spans="1:11">
      <c r="A18689" s="33" t="s">
        <v>41694</v>
      </c>
      <c r="B18689" s="33" t="s">
        <v>41695</v>
      </c>
      <c r="C18689" s="33" t="s">
        <v>20331</v>
      </c>
      <c r="D18689" s="33" t="s">
        <v>17</v>
      </c>
      <c r="E18689" s="33" t="s">
        <v>26</v>
      </c>
      <c r="F18689" s="33" t="s">
        <v>27</v>
      </c>
      <c r="G18689" s="33" t="s">
        <v>20</v>
      </c>
      <c r="H18689" s="35">
        <v>30</v>
      </c>
      <c r="I18689" s="33" t="s">
        <v>21</v>
      </c>
      <c r="J18689" s="42">
        <v>45448</v>
      </c>
      <c r="K18689" s="33" t="s">
        <v>22</v>
      </c>
    </row>
    <row r="18690" spans="1:11">
      <c r="A18690" s="30" t="s">
        <v>41696</v>
      </c>
      <c r="B18690" s="30" t="s">
        <v>41697</v>
      </c>
      <c r="C18690" s="30" t="s">
        <v>1598</v>
      </c>
      <c r="D18690" s="30" t="s">
        <v>17</v>
      </c>
      <c r="E18690" s="30" t="s">
        <v>31</v>
      </c>
      <c r="F18690" s="30" t="s">
        <v>32</v>
      </c>
      <c r="G18690" s="30" t="s">
        <v>140</v>
      </c>
      <c r="H18690" s="32">
        <v>178</v>
      </c>
      <c r="I18690" s="30" t="s">
        <v>51</v>
      </c>
      <c r="J18690" s="41">
        <v>45390</v>
      </c>
      <c r="K18690" s="30" t="s">
        <v>22</v>
      </c>
    </row>
    <row r="18691" spans="1:11">
      <c r="A18691" s="33" t="s">
        <v>41698</v>
      </c>
      <c r="B18691" s="33" t="s">
        <v>41699</v>
      </c>
      <c r="C18691" s="33" t="s">
        <v>41700</v>
      </c>
      <c r="D18691" s="33" t="s">
        <v>17</v>
      </c>
      <c r="E18691" s="33" t="s">
        <v>26</v>
      </c>
      <c r="F18691" s="33" t="s">
        <v>27</v>
      </c>
      <c r="G18691" s="33" t="s">
        <v>20</v>
      </c>
      <c r="H18691" s="35">
        <v>24</v>
      </c>
      <c r="I18691" s="33" t="s">
        <v>21</v>
      </c>
      <c r="J18691" s="42">
        <v>45337</v>
      </c>
      <c r="K18691" s="33" t="s">
        <v>22</v>
      </c>
    </row>
    <row r="18692" spans="1:11">
      <c r="A18692" s="30" t="s">
        <v>41701</v>
      </c>
      <c r="B18692" s="30" t="s">
        <v>41702</v>
      </c>
      <c r="C18692" s="30" t="s">
        <v>5093</v>
      </c>
      <c r="D18692" s="30" t="s">
        <v>17</v>
      </c>
      <c r="E18692" s="30" t="s">
        <v>26</v>
      </c>
      <c r="F18692" s="30" t="s">
        <v>27</v>
      </c>
      <c r="G18692" s="30" t="s">
        <v>50</v>
      </c>
      <c r="H18692" s="32">
        <v>36</v>
      </c>
      <c r="I18692" s="30" t="s">
        <v>51</v>
      </c>
      <c r="J18692" s="41">
        <v>45534</v>
      </c>
      <c r="K18692" s="30" t="s">
        <v>22</v>
      </c>
    </row>
    <row r="18693" spans="1:11">
      <c r="A18693" s="33" t="s">
        <v>41703</v>
      </c>
      <c r="B18693" s="33" t="s">
        <v>41704</v>
      </c>
      <c r="C18693" s="33" t="s">
        <v>684</v>
      </c>
      <c r="D18693" s="33" t="s">
        <v>17</v>
      </c>
      <c r="E18693" s="33" t="s">
        <v>26</v>
      </c>
      <c r="F18693" s="33" t="s">
        <v>27</v>
      </c>
      <c r="G18693" s="33" t="s">
        <v>20</v>
      </c>
      <c r="H18693" s="35">
        <v>29</v>
      </c>
      <c r="I18693" s="33" t="s">
        <v>21</v>
      </c>
      <c r="J18693" s="42">
        <v>45519</v>
      </c>
      <c r="K18693" s="33" t="s">
        <v>22</v>
      </c>
    </row>
    <row r="18694" spans="1:11">
      <c r="A18694" s="30" t="s">
        <v>41705</v>
      </c>
      <c r="B18694" s="30" t="s">
        <v>41706</v>
      </c>
      <c r="C18694" s="30" t="s">
        <v>1658</v>
      </c>
      <c r="D18694" s="30" t="s">
        <v>17</v>
      </c>
      <c r="E18694" s="30" t="s">
        <v>26</v>
      </c>
      <c r="F18694" s="30" t="s">
        <v>27</v>
      </c>
      <c r="G18694" s="30" t="s">
        <v>158</v>
      </c>
      <c r="H18694" s="32">
        <v>100</v>
      </c>
      <c r="I18694" s="30" t="s">
        <v>21</v>
      </c>
      <c r="J18694" s="41">
        <v>45420</v>
      </c>
      <c r="K18694" s="30" t="s">
        <v>22</v>
      </c>
    </row>
    <row r="18695" spans="1:11">
      <c r="A18695" s="33" t="s">
        <v>41707</v>
      </c>
      <c r="B18695" s="33" t="s">
        <v>41708</v>
      </c>
      <c r="C18695" s="33" t="s">
        <v>31562</v>
      </c>
      <c r="D18695" s="33" t="s">
        <v>17</v>
      </c>
      <c r="E18695" s="33" t="s">
        <v>18</v>
      </c>
      <c r="F18695" s="33" t="s">
        <v>19</v>
      </c>
      <c r="G18695" s="33" t="s">
        <v>7780</v>
      </c>
      <c r="H18695" s="35">
        <v>375</v>
      </c>
      <c r="I18695" s="33" t="s">
        <v>51</v>
      </c>
      <c r="J18695" s="42">
        <v>45600</v>
      </c>
      <c r="K18695" s="33" t="s">
        <v>22</v>
      </c>
    </row>
    <row r="18696" spans="1:11">
      <c r="A18696" s="30" t="s">
        <v>41709</v>
      </c>
      <c r="B18696" s="30" t="s">
        <v>41710</v>
      </c>
      <c r="C18696" s="30" t="s">
        <v>102</v>
      </c>
      <c r="D18696" s="30" t="s">
        <v>17</v>
      </c>
      <c r="E18696" s="30" t="s">
        <v>18</v>
      </c>
      <c r="F18696" s="30" t="s">
        <v>19</v>
      </c>
      <c r="G18696" s="30" t="s">
        <v>158</v>
      </c>
      <c r="H18696" s="32">
        <v>112</v>
      </c>
      <c r="I18696" s="30" t="s">
        <v>21</v>
      </c>
      <c r="J18696" s="41">
        <v>45310</v>
      </c>
      <c r="K18696" s="30" t="s">
        <v>22</v>
      </c>
    </row>
    <row r="18697" spans="1:11">
      <c r="A18697" s="33" t="s">
        <v>41711</v>
      </c>
      <c r="B18697" s="33" t="s">
        <v>41712</v>
      </c>
      <c r="C18697" s="33" t="s">
        <v>130</v>
      </c>
      <c r="D18697" s="33" t="s">
        <v>17</v>
      </c>
      <c r="E18697" s="33" t="s">
        <v>26</v>
      </c>
      <c r="F18697" s="33" t="s">
        <v>27</v>
      </c>
      <c r="G18697" s="33" t="s">
        <v>140</v>
      </c>
      <c r="H18697" s="35">
        <v>186</v>
      </c>
      <c r="I18697" s="33" t="s">
        <v>51</v>
      </c>
      <c r="J18697" s="42">
        <v>45512</v>
      </c>
      <c r="K18697" s="33" t="s">
        <v>22</v>
      </c>
    </row>
    <row r="18698" spans="1:11">
      <c r="A18698" s="30" t="s">
        <v>41713</v>
      </c>
      <c r="B18698" s="30" t="s">
        <v>41714</v>
      </c>
      <c r="C18698" s="30" t="s">
        <v>9114</v>
      </c>
      <c r="D18698" s="30" t="s">
        <v>17</v>
      </c>
      <c r="E18698" s="30" t="s">
        <v>26</v>
      </c>
      <c r="F18698" s="30" t="s">
        <v>27</v>
      </c>
      <c r="G18698" s="30" t="s">
        <v>20</v>
      </c>
      <c r="H18698" s="32">
        <v>12</v>
      </c>
      <c r="I18698" s="30" t="s">
        <v>21</v>
      </c>
      <c r="J18698" s="41">
        <v>45467</v>
      </c>
      <c r="K18698" s="30" t="s">
        <v>22</v>
      </c>
    </row>
    <row r="18699" spans="1:11">
      <c r="A18699" s="33" t="s">
        <v>41715</v>
      </c>
      <c r="B18699" s="33" t="s">
        <v>41716</v>
      </c>
      <c r="C18699" s="33" t="s">
        <v>6127</v>
      </c>
      <c r="D18699" s="33" t="s">
        <v>17</v>
      </c>
      <c r="E18699" s="33" t="s">
        <v>26</v>
      </c>
      <c r="F18699" s="33" t="s">
        <v>27</v>
      </c>
      <c r="G18699" s="33" t="s">
        <v>140</v>
      </c>
      <c r="H18699" s="35">
        <v>158</v>
      </c>
      <c r="I18699" s="33" t="s">
        <v>51</v>
      </c>
      <c r="J18699" s="42">
        <v>45656</v>
      </c>
      <c r="K18699" s="33" t="s">
        <v>22</v>
      </c>
    </row>
    <row r="18700" spans="1:11">
      <c r="A18700" s="30" t="s">
        <v>41717</v>
      </c>
      <c r="B18700" s="30" t="s">
        <v>41718</v>
      </c>
      <c r="C18700" s="30" t="s">
        <v>10658</v>
      </c>
      <c r="D18700" s="30" t="s">
        <v>17</v>
      </c>
      <c r="E18700" s="30" t="s">
        <v>26</v>
      </c>
      <c r="F18700" s="30" t="s">
        <v>27</v>
      </c>
      <c r="G18700" s="30" t="s">
        <v>2613</v>
      </c>
      <c r="H18700" s="32">
        <v>72</v>
      </c>
      <c r="I18700" s="30" t="s">
        <v>51</v>
      </c>
      <c r="J18700" s="41">
        <v>45478</v>
      </c>
      <c r="K18700" s="30" t="s">
        <v>22</v>
      </c>
    </row>
    <row r="18701" spans="1:11">
      <c r="A18701" s="33" t="s">
        <v>41719</v>
      </c>
      <c r="B18701" s="33" t="s">
        <v>41720</v>
      </c>
      <c r="C18701" s="33" t="s">
        <v>41721</v>
      </c>
      <c r="D18701" s="33" t="s">
        <v>17</v>
      </c>
      <c r="E18701" s="33" t="s">
        <v>67</v>
      </c>
      <c r="F18701" s="33" t="s">
        <v>68</v>
      </c>
      <c r="G18701" s="33" t="s">
        <v>140</v>
      </c>
      <c r="H18701" s="35">
        <v>30</v>
      </c>
      <c r="I18701" s="33" t="s">
        <v>51</v>
      </c>
      <c r="J18701" s="42">
        <v>45547</v>
      </c>
      <c r="K18701" s="33" t="s">
        <v>22</v>
      </c>
    </row>
    <row r="18702" spans="1:11">
      <c r="A18702" s="30" t="s">
        <v>41722</v>
      </c>
      <c r="B18702" s="30" t="s">
        <v>41723</v>
      </c>
      <c r="C18702" s="30" t="s">
        <v>178</v>
      </c>
      <c r="D18702" s="30" t="s">
        <v>17</v>
      </c>
      <c r="E18702" s="30" t="s">
        <v>18</v>
      </c>
      <c r="F18702" s="30" t="s">
        <v>19</v>
      </c>
      <c r="G18702" s="30" t="s">
        <v>140</v>
      </c>
      <c r="H18702" s="32">
        <v>68</v>
      </c>
      <c r="I18702" s="30" t="s">
        <v>51</v>
      </c>
      <c r="J18702" s="41">
        <v>45460</v>
      </c>
      <c r="K18702" s="30" t="s">
        <v>22</v>
      </c>
    </row>
    <row r="18703" spans="1:11">
      <c r="A18703" s="33" t="s">
        <v>41724</v>
      </c>
      <c r="B18703" s="33" t="s">
        <v>41725</v>
      </c>
      <c r="C18703" s="33" t="s">
        <v>11984</v>
      </c>
      <c r="D18703" s="33" t="s">
        <v>17</v>
      </c>
      <c r="E18703" s="33" t="s">
        <v>31</v>
      </c>
      <c r="F18703" s="33" t="s">
        <v>32</v>
      </c>
      <c r="G18703" s="33" t="s">
        <v>7780</v>
      </c>
      <c r="H18703" s="35">
        <v>60</v>
      </c>
      <c r="I18703" s="33" t="s">
        <v>51</v>
      </c>
      <c r="J18703" s="42">
        <v>45627</v>
      </c>
      <c r="K18703" s="33" t="s">
        <v>22</v>
      </c>
    </row>
    <row r="18704" spans="1:11">
      <c r="A18704" s="30" t="s">
        <v>41726</v>
      </c>
      <c r="B18704" s="30" t="s">
        <v>41727</v>
      </c>
      <c r="C18704" s="30" t="s">
        <v>41728</v>
      </c>
      <c r="D18704" s="30" t="s">
        <v>17</v>
      </c>
      <c r="E18704" s="30" t="s">
        <v>26</v>
      </c>
      <c r="F18704" s="30" t="s">
        <v>27</v>
      </c>
      <c r="G18704" s="30" t="s">
        <v>140</v>
      </c>
      <c r="H18704" s="32">
        <v>64</v>
      </c>
      <c r="I18704" s="30" t="s">
        <v>51</v>
      </c>
      <c r="J18704" s="41">
        <v>45389</v>
      </c>
      <c r="K18704" s="30" t="s">
        <v>22</v>
      </c>
    </row>
    <row r="18705" spans="1:11">
      <c r="A18705" s="33" t="s">
        <v>41729</v>
      </c>
      <c r="B18705" s="33" t="s">
        <v>41730</v>
      </c>
      <c r="C18705" s="33" t="s">
        <v>4348</v>
      </c>
      <c r="D18705" s="33" t="s">
        <v>17</v>
      </c>
      <c r="E18705" s="33" t="s">
        <v>26</v>
      </c>
      <c r="F18705" s="33" t="s">
        <v>27</v>
      </c>
      <c r="G18705" s="33" t="s">
        <v>140</v>
      </c>
      <c r="H18705" s="35">
        <v>30</v>
      </c>
      <c r="I18705" s="33" t="s">
        <v>51</v>
      </c>
      <c r="J18705" s="42">
        <v>45401</v>
      </c>
      <c r="K18705" s="33" t="s">
        <v>22</v>
      </c>
    </row>
    <row r="18706" spans="1:11">
      <c r="A18706" s="30" t="s">
        <v>41731</v>
      </c>
      <c r="B18706" s="30" t="s">
        <v>41732</v>
      </c>
      <c r="C18706" s="30" t="s">
        <v>187</v>
      </c>
      <c r="D18706" s="30" t="s">
        <v>17</v>
      </c>
      <c r="E18706" s="30" t="s">
        <v>18</v>
      </c>
      <c r="F18706" s="30" t="s">
        <v>19</v>
      </c>
      <c r="G18706" s="30" t="s">
        <v>7780</v>
      </c>
      <c r="H18706" s="32">
        <v>420</v>
      </c>
      <c r="I18706" s="30" t="s">
        <v>51</v>
      </c>
      <c r="J18706" s="41">
        <v>45474</v>
      </c>
      <c r="K18706" s="30" t="s">
        <v>22</v>
      </c>
    </row>
    <row r="18707" spans="1:11">
      <c r="A18707" s="33" t="s">
        <v>41733</v>
      </c>
      <c r="B18707" s="33" t="s">
        <v>41734</v>
      </c>
      <c r="C18707" s="33" t="s">
        <v>41735</v>
      </c>
      <c r="D18707" s="33" t="s">
        <v>17</v>
      </c>
      <c r="E18707" s="33" t="s">
        <v>26</v>
      </c>
      <c r="F18707" s="33" t="s">
        <v>27</v>
      </c>
      <c r="G18707" s="33" t="s">
        <v>20</v>
      </c>
      <c r="H18707" s="35">
        <v>72</v>
      </c>
      <c r="I18707" s="33" t="s">
        <v>21</v>
      </c>
      <c r="J18707" s="42">
        <v>45299</v>
      </c>
      <c r="K18707" s="33" t="s">
        <v>22</v>
      </c>
    </row>
    <row r="18708" spans="1:11">
      <c r="A18708" s="30" t="s">
        <v>41736</v>
      </c>
      <c r="B18708" s="30" t="s">
        <v>41737</v>
      </c>
      <c r="C18708" s="30" t="s">
        <v>41738</v>
      </c>
      <c r="D18708" s="30" t="s">
        <v>17</v>
      </c>
      <c r="E18708" s="30" t="s">
        <v>330</v>
      </c>
      <c r="F18708" s="30" t="s">
        <v>331</v>
      </c>
      <c r="G18708" s="30" t="s">
        <v>20</v>
      </c>
      <c r="H18708" s="32">
        <v>34</v>
      </c>
      <c r="I18708" s="30" t="s">
        <v>21</v>
      </c>
      <c r="J18708" s="41">
        <v>45321</v>
      </c>
      <c r="K18708" s="30" t="s">
        <v>22</v>
      </c>
    </row>
    <row r="18709" spans="1:11">
      <c r="A18709" s="33" t="s">
        <v>41739</v>
      </c>
      <c r="B18709" s="33" t="s">
        <v>41740</v>
      </c>
      <c r="C18709" s="33" t="s">
        <v>11366</v>
      </c>
      <c r="D18709" s="33" t="s">
        <v>17</v>
      </c>
      <c r="E18709" s="33" t="s">
        <v>26</v>
      </c>
      <c r="F18709" s="33" t="s">
        <v>27</v>
      </c>
      <c r="G18709" s="33" t="s">
        <v>112</v>
      </c>
      <c r="H18709" s="35">
        <v>0</v>
      </c>
      <c r="I18709" s="33" t="s">
        <v>21</v>
      </c>
      <c r="J18709" s="42">
        <v>45363</v>
      </c>
      <c r="K18709" s="33" t="s">
        <v>22</v>
      </c>
    </row>
    <row r="18710" spans="1:11">
      <c r="A18710" s="30" t="s">
        <v>41741</v>
      </c>
      <c r="B18710" s="30" t="s">
        <v>41742</v>
      </c>
      <c r="C18710" s="30" t="s">
        <v>969</v>
      </c>
      <c r="D18710" s="30" t="s">
        <v>17</v>
      </c>
      <c r="E18710" s="30" t="s">
        <v>212</v>
      </c>
      <c r="F18710" s="30" t="s">
        <v>213</v>
      </c>
      <c r="G18710" s="30" t="s">
        <v>158</v>
      </c>
      <c r="H18710" s="32">
        <v>1366</v>
      </c>
      <c r="I18710" s="30" t="s">
        <v>21</v>
      </c>
      <c r="J18710" s="41">
        <v>45398</v>
      </c>
      <c r="K18710" s="30" t="s">
        <v>22</v>
      </c>
    </row>
    <row r="18711" spans="1:11">
      <c r="A18711" s="33" t="s">
        <v>41743</v>
      </c>
      <c r="B18711" s="33" t="s">
        <v>41744</v>
      </c>
      <c r="C18711" s="33" t="s">
        <v>715</v>
      </c>
      <c r="D18711" s="33" t="s">
        <v>17</v>
      </c>
      <c r="E18711" s="33" t="s">
        <v>26</v>
      </c>
      <c r="F18711" s="33" t="s">
        <v>27</v>
      </c>
      <c r="G18711" s="33" t="s">
        <v>106</v>
      </c>
      <c r="H18711" s="35">
        <v>1</v>
      </c>
      <c r="I18711" s="33" t="s">
        <v>21</v>
      </c>
      <c r="J18711" s="42">
        <v>45541</v>
      </c>
      <c r="K18711" s="33" t="s">
        <v>22</v>
      </c>
    </row>
    <row r="18712" spans="1:11">
      <c r="A18712" s="30" t="s">
        <v>41745</v>
      </c>
      <c r="B18712" s="30" t="s">
        <v>41746</v>
      </c>
      <c r="C18712" s="30" t="s">
        <v>190</v>
      </c>
      <c r="D18712" s="30" t="s">
        <v>17</v>
      </c>
      <c r="E18712" s="30" t="s">
        <v>26</v>
      </c>
      <c r="F18712" s="30" t="s">
        <v>27</v>
      </c>
      <c r="G18712" s="30" t="s">
        <v>20</v>
      </c>
      <c r="H18712" s="32">
        <v>30</v>
      </c>
      <c r="I18712" s="30" t="s">
        <v>21</v>
      </c>
      <c r="J18712" s="41">
        <v>45631</v>
      </c>
      <c r="K18712" s="30" t="s">
        <v>22</v>
      </c>
    </row>
    <row r="18713" spans="1:11">
      <c r="A18713" s="33" t="s">
        <v>41747</v>
      </c>
      <c r="B18713" s="33" t="s">
        <v>41748</v>
      </c>
      <c r="C18713" s="33" t="s">
        <v>149</v>
      </c>
      <c r="D18713" s="33" t="s">
        <v>17</v>
      </c>
      <c r="E18713" s="33" t="s">
        <v>18</v>
      </c>
      <c r="F18713" s="33" t="s">
        <v>19</v>
      </c>
      <c r="G18713" s="33" t="s">
        <v>140</v>
      </c>
      <c r="H18713" s="35">
        <v>101</v>
      </c>
      <c r="I18713" s="33" t="s">
        <v>51</v>
      </c>
      <c r="J18713" s="42">
        <v>45504</v>
      </c>
      <c r="K18713" s="33" t="s">
        <v>22</v>
      </c>
    </row>
    <row r="18714" spans="1:11">
      <c r="A18714" s="30" t="s">
        <v>41749</v>
      </c>
      <c r="B18714" s="30" t="s">
        <v>41750</v>
      </c>
      <c r="C18714" s="30" t="s">
        <v>38860</v>
      </c>
      <c r="D18714" s="30" t="s">
        <v>17</v>
      </c>
      <c r="E18714" s="30" t="s">
        <v>67</v>
      </c>
      <c r="F18714" s="30" t="s">
        <v>68</v>
      </c>
      <c r="G18714" s="30" t="s">
        <v>140</v>
      </c>
      <c r="H18714" s="32">
        <v>500</v>
      </c>
      <c r="I18714" s="30" t="s">
        <v>51</v>
      </c>
      <c r="J18714" s="41">
        <v>45404</v>
      </c>
      <c r="K18714" s="30" t="s">
        <v>22</v>
      </c>
    </row>
    <row r="18715" spans="1:11">
      <c r="A18715" s="33" t="s">
        <v>41751</v>
      </c>
      <c r="B18715" s="33" t="s">
        <v>41752</v>
      </c>
      <c r="C18715" s="33" t="s">
        <v>13495</v>
      </c>
      <c r="D18715" s="33" t="s">
        <v>17</v>
      </c>
      <c r="E18715" s="33" t="s">
        <v>26</v>
      </c>
      <c r="F18715" s="33" t="s">
        <v>27</v>
      </c>
      <c r="G18715" s="33" t="s">
        <v>50</v>
      </c>
      <c r="H18715" s="35">
        <v>24</v>
      </c>
      <c r="I18715" s="33" t="s">
        <v>51</v>
      </c>
      <c r="J18715" s="42">
        <v>45597</v>
      </c>
      <c r="K18715" s="33" t="s">
        <v>22</v>
      </c>
    </row>
    <row r="18716" spans="1:11">
      <c r="A18716" s="30" t="s">
        <v>41753</v>
      </c>
      <c r="B18716" s="30" t="s">
        <v>41754</v>
      </c>
      <c r="C18716" s="30" t="s">
        <v>1112</v>
      </c>
      <c r="D18716" s="30" t="s">
        <v>17</v>
      </c>
      <c r="E18716" s="30" t="s">
        <v>18</v>
      </c>
      <c r="F18716" s="30" t="s">
        <v>19</v>
      </c>
      <c r="G18716" s="30" t="s">
        <v>20</v>
      </c>
      <c r="H18716" s="32">
        <v>249</v>
      </c>
      <c r="I18716" s="30" t="s">
        <v>21</v>
      </c>
      <c r="J18716" s="41">
        <v>45376</v>
      </c>
      <c r="K18716" s="30" t="s">
        <v>22</v>
      </c>
    </row>
    <row r="18717" spans="1:11">
      <c r="A18717" s="33" t="s">
        <v>41755</v>
      </c>
      <c r="B18717" s="33" t="s">
        <v>41756</v>
      </c>
      <c r="C18717" s="33" t="s">
        <v>387</v>
      </c>
      <c r="D18717" s="33" t="s">
        <v>17</v>
      </c>
      <c r="E18717" s="33" t="s">
        <v>31</v>
      </c>
      <c r="F18717" s="33" t="s">
        <v>32</v>
      </c>
      <c r="G18717" s="33" t="s">
        <v>20</v>
      </c>
      <c r="H18717" s="35">
        <v>874</v>
      </c>
      <c r="I18717" s="33" t="s">
        <v>21</v>
      </c>
      <c r="J18717" s="42">
        <v>45383</v>
      </c>
      <c r="K18717" s="33" t="s">
        <v>22</v>
      </c>
    </row>
    <row r="18718" spans="1:11">
      <c r="A18718" s="30" t="s">
        <v>41757</v>
      </c>
      <c r="B18718" s="30" t="s">
        <v>41758</v>
      </c>
      <c r="C18718" s="30" t="s">
        <v>3594</v>
      </c>
      <c r="D18718" s="30" t="s">
        <v>17</v>
      </c>
      <c r="E18718" s="30" t="s">
        <v>26</v>
      </c>
      <c r="F18718" s="30" t="s">
        <v>27</v>
      </c>
      <c r="G18718" s="30" t="s">
        <v>20</v>
      </c>
      <c r="H18718" s="32">
        <v>8</v>
      </c>
      <c r="I18718" s="30" t="s">
        <v>21</v>
      </c>
      <c r="J18718" s="41">
        <v>45646</v>
      </c>
      <c r="K18718" s="30" t="s">
        <v>22</v>
      </c>
    </row>
    <row r="18719" spans="1:11">
      <c r="A18719" s="33" t="s">
        <v>41759</v>
      </c>
      <c r="B18719" s="33" t="s">
        <v>41760</v>
      </c>
      <c r="C18719" s="33" t="s">
        <v>399</v>
      </c>
      <c r="D18719" s="33" t="s">
        <v>17</v>
      </c>
      <c r="E18719" s="33" t="s">
        <v>26</v>
      </c>
      <c r="F18719" s="33" t="s">
        <v>27</v>
      </c>
      <c r="G18719" s="33" t="s">
        <v>20</v>
      </c>
      <c r="H18719" s="35">
        <v>43</v>
      </c>
      <c r="I18719" s="33" t="s">
        <v>21</v>
      </c>
      <c r="J18719" s="42">
        <v>45603</v>
      </c>
      <c r="K18719" s="33" t="s">
        <v>22</v>
      </c>
    </row>
    <row r="18720" spans="1:11">
      <c r="A18720" s="30" t="s">
        <v>41761</v>
      </c>
      <c r="B18720" s="30" t="s">
        <v>41762</v>
      </c>
      <c r="C18720" s="30" t="s">
        <v>109</v>
      </c>
      <c r="D18720" s="30" t="s">
        <v>17</v>
      </c>
      <c r="E18720" s="30" t="s">
        <v>18</v>
      </c>
      <c r="F18720" s="30" t="s">
        <v>19</v>
      </c>
      <c r="G18720" s="30" t="s">
        <v>140</v>
      </c>
      <c r="H18720" s="32">
        <v>60</v>
      </c>
      <c r="I18720" s="30" t="s">
        <v>51</v>
      </c>
      <c r="J18720" s="41">
        <v>45635</v>
      </c>
      <c r="K18720" s="30" t="s">
        <v>22</v>
      </c>
    </row>
    <row r="18721" spans="1:11">
      <c r="A18721" s="33" t="s">
        <v>41763</v>
      </c>
      <c r="B18721" s="33" t="s">
        <v>41764</v>
      </c>
      <c r="C18721" s="33" t="s">
        <v>6442</v>
      </c>
      <c r="D18721" s="33" t="s">
        <v>17</v>
      </c>
      <c r="E18721" s="33" t="s">
        <v>45</v>
      </c>
      <c r="F18721" s="33" t="s">
        <v>46</v>
      </c>
      <c r="G18721" s="33" t="s">
        <v>158</v>
      </c>
      <c r="H18721" s="35">
        <v>600</v>
      </c>
      <c r="I18721" s="33" t="s">
        <v>51</v>
      </c>
      <c r="J18721" s="42">
        <v>45450</v>
      </c>
      <c r="K18721" s="33" t="s">
        <v>22</v>
      </c>
    </row>
    <row r="18722" spans="1:11">
      <c r="A18722" s="30" t="s">
        <v>41765</v>
      </c>
      <c r="B18722" s="30" t="s">
        <v>41766</v>
      </c>
      <c r="C18722" s="30" t="s">
        <v>41767</v>
      </c>
      <c r="D18722" s="30" t="s">
        <v>17</v>
      </c>
      <c r="E18722" s="30" t="s">
        <v>330</v>
      </c>
      <c r="F18722" s="30" t="s">
        <v>331</v>
      </c>
      <c r="G18722" s="30" t="s">
        <v>20</v>
      </c>
      <c r="H18722" s="32">
        <v>6</v>
      </c>
      <c r="I18722" s="30" t="s">
        <v>21</v>
      </c>
      <c r="J18722" s="41">
        <v>45448</v>
      </c>
      <c r="K18722" s="30" t="s">
        <v>22</v>
      </c>
    </row>
    <row r="18723" spans="1:11">
      <c r="A18723" s="33" t="s">
        <v>41768</v>
      </c>
      <c r="B18723" s="33" t="s">
        <v>41769</v>
      </c>
      <c r="C18723" s="33" t="s">
        <v>222</v>
      </c>
      <c r="D18723" s="33" t="s">
        <v>17</v>
      </c>
      <c r="E18723" s="33" t="s">
        <v>18</v>
      </c>
      <c r="F18723" s="33" t="s">
        <v>19</v>
      </c>
      <c r="G18723" s="33" t="s">
        <v>158</v>
      </c>
      <c r="H18723" s="35">
        <v>700</v>
      </c>
      <c r="I18723" s="33" t="s">
        <v>51</v>
      </c>
      <c r="J18723" s="42">
        <v>45615</v>
      </c>
      <c r="K18723" s="33" t="s">
        <v>22</v>
      </c>
    </row>
    <row r="18724" spans="1:11">
      <c r="A18724" s="30" t="s">
        <v>41770</v>
      </c>
      <c r="B18724" s="30" t="s">
        <v>41771</v>
      </c>
      <c r="C18724" s="30" t="s">
        <v>41772</v>
      </c>
      <c r="D18724" s="30" t="s">
        <v>17</v>
      </c>
      <c r="E18724" s="30" t="s">
        <v>26</v>
      </c>
      <c r="F18724" s="30" t="s">
        <v>27</v>
      </c>
      <c r="G18724" s="30" t="s">
        <v>140</v>
      </c>
      <c r="H18724" s="32">
        <v>18</v>
      </c>
      <c r="I18724" s="30" t="s">
        <v>51</v>
      </c>
      <c r="J18724" s="41">
        <v>45599</v>
      </c>
      <c r="K18724" s="30" t="s">
        <v>22</v>
      </c>
    </row>
    <row r="18725" spans="1:11">
      <c r="A18725" s="33" t="s">
        <v>41773</v>
      </c>
      <c r="B18725" s="33" t="s">
        <v>41774</v>
      </c>
      <c r="C18725" s="33" t="s">
        <v>33818</v>
      </c>
      <c r="D18725" s="33" t="s">
        <v>17</v>
      </c>
      <c r="E18725" s="33" t="s">
        <v>31</v>
      </c>
      <c r="F18725" s="33" t="s">
        <v>32</v>
      </c>
      <c r="G18725" s="33" t="s">
        <v>140</v>
      </c>
      <c r="H18725" s="35">
        <v>64</v>
      </c>
      <c r="I18725" s="33" t="s">
        <v>51</v>
      </c>
      <c r="J18725" s="42">
        <v>45467</v>
      </c>
      <c r="K18725" s="33" t="s">
        <v>22</v>
      </c>
    </row>
    <row r="18726" spans="1:11">
      <c r="A18726" s="30" t="s">
        <v>41775</v>
      </c>
      <c r="B18726" s="30" t="s">
        <v>41776</v>
      </c>
      <c r="C18726" s="30" t="s">
        <v>1598</v>
      </c>
      <c r="D18726" s="30" t="s">
        <v>17</v>
      </c>
      <c r="E18726" s="30" t="s">
        <v>18</v>
      </c>
      <c r="F18726" s="30" t="s">
        <v>19</v>
      </c>
      <c r="G18726" s="30" t="s">
        <v>20</v>
      </c>
      <c r="H18726" s="32">
        <v>349</v>
      </c>
      <c r="I18726" s="30" t="s">
        <v>21</v>
      </c>
      <c r="J18726" s="41">
        <v>45351</v>
      </c>
      <c r="K18726" s="30" t="s">
        <v>22</v>
      </c>
    </row>
    <row r="18727" spans="1:11">
      <c r="A18727" s="33" t="s">
        <v>41777</v>
      </c>
      <c r="B18727" s="33" t="s">
        <v>41778</v>
      </c>
      <c r="C18727" s="33" t="s">
        <v>1683</v>
      </c>
      <c r="D18727" s="33" t="s">
        <v>17</v>
      </c>
      <c r="E18727" s="33" t="s">
        <v>26</v>
      </c>
      <c r="F18727" s="33" t="s">
        <v>27</v>
      </c>
      <c r="G18727" s="33" t="s">
        <v>106</v>
      </c>
      <c r="H18727" s="35">
        <v>5</v>
      </c>
      <c r="I18727" s="33" t="s">
        <v>21</v>
      </c>
      <c r="J18727" s="42">
        <v>45320</v>
      </c>
      <c r="K18727" s="33" t="s">
        <v>22</v>
      </c>
    </row>
    <row r="18728" spans="1:11">
      <c r="A18728" s="30" t="s">
        <v>41779</v>
      </c>
      <c r="B18728" s="30" t="s">
        <v>41780</v>
      </c>
      <c r="C18728" s="30" t="s">
        <v>136</v>
      </c>
      <c r="D18728" s="30" t="s">
        <v>17</v>
      </c>
      <c r="E18728" s="30" t="s">
        <v>31</v>
      </c>
      <c r="F18728" s="30" t="s">
        <v>32</v>
      </c>
      <c r="G18728" s="30" t="s">
        <v>140</v>
      </c>
      <c r="H18728" s="32">
        <v>140</v>
      </c>
      <c r="I18728" s="30" t="s">
        <v>51</v>
      </c>
      <c r="J18728" s="41">
        <v>45575</v>
      </c>
      <c r="K18728" s="30" t="s">
        <v>22</v>
      </c>
    </row>
    <row r="18729" spans="1:11">
      <c r="A18729" s="33" t="s">
        <v>41781</v>
      </c>
      <c r="B18729" s="33" t="s">
        <v>41782</v>
      </c>
      <c r="C18729" s="33" t="s">
        <v>25101</v>
      </c>
      <c r="D18729" s="33" t="s">
        <v>17</v>
      </c>
      <c r="E18729" s="33" t="s">
        <v>67</v>
      </c>
      <c r="F18729" s="33" t="s">
        <v>68</v>
      </c>
      <c r="G18729" s="33" t="s">
        <v>106</v>
      </c>
      <c r="H18729" s="35">
        <v>3</v>
      </c>
      <c r="I18729" s="33" t="s">
        <v>21</v>
      </c>
      <c r="J18729" s="42">
        <v>45317</v>
      </c>
      <c r="K18729" s="33" t="s">
        <v>22</v>
      </c>
    </row>
    <row r="18730" spans="1:11">
      <c r="A18730" s="30" t="s">
        <v>41783</v>
      </c>
      <c r="B18730" s="30" t="s">
        <v>41784</v>
      </c>
      <c r="C18730" s="30" t="s">
        <v>41785</v>
      </c>
      <c r="D18730" s="30" t="s">
        <v>17</v>
      </c>
      <c r="E18730" s="30" t="s">
        <v>26</v>
      </c>
      <c r="F18730" s="30" t="s">
        <v>27</v>
      </c>
      <c r="G18730" s="30" t="s">
        <v>106</v>
      </c>
      <c r="H18730" s="32">
        <v>16</v>
      </c>
      <c r="I18730" s="30" t="s">
        <v>21</v>
      </c>
      <c r="J18730" s="41">
        <v>45446</v>
      </c>
      <c r="K18730" s="30" t="s">
        <v>22</v>
      </c>
    </row>
    <row r="18731" spans="1:11">
      <c r="A18731" s="33" t="s">
        <v>41786</v>
      </c>
      <c r="B18731" s="33" t="s">
        <v>41787</v>
      </c>
      <c r="C18731" s="33" t="s">
        <v>41788</v>
      </c>
      <c r="D18731" s="33" t="s">
        <v>17</v>
      </c>
      <c r="E18731" s="33" t="s">
        <v>67</v>
      </c>
      <c r="F18731" s="33" t="s">
        <v>68</v>
      </c>
      <c r="G18731" s="33" t="s">
        <v>2613</v>
      </c>
      <c r="H18731" s="35">
        <v>12</v>
      </c>
      <c r="I18731" s="33" t="s">
        <v>51</v>
      </c>
      <c r="J18731" s="42">
        <v>45582</v>
      </c>
      <c r="K18731" s="33" t="s">
        <v>22</v>
      </c>
    </row>
    <row r="18732" spans="1:11">
      <c r="A18732" s="30" t="s">
        <v>41789</v>
      </c>
      <c r="B18732" s="30" t="s">
        <v>41790</v>
      </c>
      <c r="C18732" s="30" t="s">
        <v>96</v>
      </c>
      <c r="D18732" s="30" t="s">
        <v>17</v>
      </c>
      <c r="E18732" s="30" t="s">
        <v>31</v>
      </c>
      <c r="F18732" s="30" t="s">
        <v>32</v>
      </c>
      <c r="G18732" s="30" t="s">
        <v>20</v>
      </c>
      <c r="H18732" s="32">
        <v>121</v>
      </c>
      <c r="I18732" s="30" t="s">
        <v>21</v>
      </c>
      <c r="J18732" s="41">
        <v>45484</v>
      </c>
      <c r="K18732" s="30" t="s">
        <v>22</v>
      </c>
    </row>
    <row r="18733" spans="1:11">
      <c r="A18733" s="33" t="s">
        <v>41791</v>
      </c>
      <c r="B18733" s="33" t="s">
        <v>41792</v>
      </c>
      <c r="C18733" s="33" t="s">
        <v>318</v>
      </c>
      <c r="D18733" s="33" t="s">
        <v>17</v>
      </c>
      <c r="E18733" s="33" t="s">
        <v>18</v>
      </c>
      <c r="F18733" s="33" t="s">
        <v>19</v>
      </c>
      <c r="G18733" s="33" t="s">
        <v>140</v>
      </c>
      <c r="H18733" s="35">
        <v>450</v>
      </c>
      <c r="I18733" s="33" t="s">
        <v>51</v>
      </c>
      <c r="J18733" s="42">
        <v>45490</v>
      </c>
      <c r="K18733" s="33" t="s">
        <v>22</v>
      </c>
    </row>
    <row r="18734" spans="1:11">
      <c r="A18734" s="30" t="s">
        <v>41793</v>
      </c>
      <c r="B18734" s="30" t="s">
        <v>41794</v>
      </c>
      <c r="C18734" s="30" t="s">
        <v>3647</v>
      </c>
      <c r="D18734" s="30" t="s">
        <v>17</v>
      </c>
      <c r="E18734" s="30" t="s">
        <v>26</v>
      </c>
      <c r="F18734" s="30" t="s">
        <v>27</v>
      </c>
      <c r="G18734" s="30" t="s">
        <v>20</v>
      </c>
      <c r="H18734" s="32">
        <v>24</v>
      </c>
      <c r="I18734" s="30" t="s">
        <v>21</v>
      </c>
      <c r="J18734" s="41">
        <v>45379</v>
      </c>
      <c r="K18734" s="30" t="s">
        <v>22</v>
      </c>
    </row>
    <row r="18735" spans="1:11">
      <c r="A18735" s="33" t="s">
        <v>41795</v>
      </c>
      <c r="B18735" s="33" t="s">
        <v>41796</v>
      </c>
      <c r="C18735" s="33" t="s">
        <v>190</v>
      </c>
      <c r="D18735" s="33" t="s">
        <v>17</v>
      </c>
      <c r="E18735" s="33" t="s">
        <v>26</v>
      </c>
      <c r="F18735" s="33" t="s">
        <v>27</v>
      </c>
      <c r="G18735" s="33" t="s">
        <v>20</v>
      </c>
      <c r="H18735" s="35">
        <v>7</v>
      </c>
      <c r="I18735" s="33" t="s">
        <v>21</v>
      </c>
      <c r="J18735" s="42">
        <v>45394</v>
      </c>
      <c r="K18735" s="33" t="s">
        <v>22</v>
      </c>
    </row>
    <row r="18736" spans="1:11">
      <c r="A18736" s="30" t="s">
        <v>41797</v>
      </c>
      <c r="B18736" s="30" t="s">
        <v>41798</v>
      </c>
      <c r="C18736" s="30" t="s">
        <v>102</v>
      </c>
      <c r="D18736" s="30" t="s">
        <v>17</v>
      </c>
      <c r="E18736" s="30" t="s">
        <v>31</v>
      </c>
      <c r="F18736" s="30" t="s">
        <v>32</v>
      </c>
      <c r="G18736" s="30" t="s">
        <v>140</v>
      </c>
      <c r="H18736" s="32">
        <v>274</v>
      </c>
      <c r="I18736" s="30" t="s">
        <v>51</v>
      </c>
      <c r="J18736" s="41">
        <v>45554</v>
      </c>
      <c r="K18736" s="30" t="s">
        <v>22</v>
      </c>
    </row>
    <row r="18737" spans="1:11">
      <c r="A18737" s="33" t="s">
        <v>41799</v>
      </c>
      <c r="B18737" s="33" t="s">
        <v>41800</v>
      </c>
      <c r="C18737" s="33" t="s">
        <v>14483</v>
      </c>
      <c r="D18737" s="33" t="s">
        <v>17</v>
      </c>
      <c r="E18737" s="33" t="s">
        <v>212</v>
      </c>
      <c r="F18737" s="33" t="s">
        <v>213</v>
      </c>
      <c r="G18737" s="33" t="s">
        <v>140</v>
      </c>
      <c r="H18737" s="35">
        <v>100</v>
      </c>
      <c r="I18737" s="33" t="s">
        <v>51</v>
      </c>
      <c r="J18737" s="42">
        <v>45504</v>
      </c>
      <c r="K18737" s="33" t="s">
        <v>22</v>
      </c>
    </row>
    <row r="18738" spans="1:11">
      <c r="A18738" s="30" t="s">
        <v>41801</v>
      </c>
      <c r="B18738" s="30" t="s">
        <v>41802</v>
      </c>
      <c r="C18738" s="30" t="s">
        <v>41803</v>
      </c>
      <c r="D18738" s="30" t="s">
        <v>17</v>
      </c>
      <c r="E18738" s="30" t="s">
        <v>67</v>
      </c>
      <c r="F18738" s="30" t="s">
        <v>68</v>
      </c>
      <c r="G18738" s="30" t="s">
        <v>140</v>
      </c>
      <c r="H18738" s="32">
        <v>100</v>
      </c>
      <c r="I18738" s="30" t="s">
        <v>51</v>
      </c>
      <c r="J18738" s="41">
        <v>45539</v>
      </c>
      <c r="K18738" s="30" t="s">
        <v>22</v>
      </c>
    </row>
    <row r="18739" spans="1:11">
      <c r="A18739" s="33" t="s">
        <v>41804</v>
      </c>
      <c r="B18739" s="33" t="s">
        <v>41805</v>
      </c>
      <c r="C18739" s="33" t="s">
        <v>30617</v>
      </c>
      <c r="D18739" s="33" t="s">
        <v>17</v>
      </c>
      <c r="E18739" s="33" t="s">
        <v>67</v>
      </c>
      <c r="F18739" s="33" t="s">
        <v>68</v>
      </c>
      <c r="G18739" s="33" t="s">
        <v>140</v>
      </c>
      <c r="H18739" s="35">
        <v>50</v>
      </c>
      <c r="I18739" s="33" t="s">
        <v>51</v>
      </c>
      <c r="J18739" s="42">
        <v>45520</v>
      </c>
      <c r="K18739" s="33" t="s">
        <v>22</v>
      </c>
    </row>
    <row r="18740" spans="1:11">
      <c r="A18740" s="30" t="s">
        <v>41806</v>
      </c>
      <c r="B18740" s="30" t="s">
        <v>41807</v>
      </c>
      <c r="C18740" s="30" t="s">
        <v>96</v>
      </c>
      <c r="D18740" s="30" t="s">
        <v>17</v>
      </c>
      <c r="E18740" s="30" t="s">
        <v>26</v>
      </c>
      <c r="F18740" s="30" t="s">
        <v>27</v>
      </c>
      <c r="G18740" s="30" t="s">
        <v>20</v>
      </c>
      <c r="H18740" s="32">
        <v>63</v>
      </c>
      <c r="I18740" s="30" t="s">
        <v>21</v>
      </c>
      <c r="J18740" s="41">
        <v>45562</v>
      </c>
      <c r="K18740" s="30" t="s">
        <v>22</v>
      </c>
    </row>
    <row r="18741" spans="1:11">
      <c r="A18741" s="33" t="s">
        <v>41808</v>
      </c>
      <c r="B18741" s="33" t="s">
        <v>41809</v>
      </c>
      <c r="C18741" s="33" t="s">
        <v>93</v>
      </c>
      <c r="D18741" s="33" t="s">
        <v>17</v>
      </c>
      <c r="E18741" s="33" t="s">
        <v>212</v>
      </c>
      <c r="F18741" s="33" t="s">
        <v>213</v>
      </c>
      <c r="G18741" s="33" t="s">
        <v>158</v>
      </c>
      <c r="H18741" s="35">
        <v>120</v>
      </c>
      <c r="I18741" s="33" t="s">
        <v>21</v>
      </c>
      <c r="J18741" s="42">
        <v>45300</v>
      </c>
      <c r="K18741" s="33" t="s">
        <v>22</v>
      </c>
    </row>
    <row r="18742" spans="1:11">
      <c r="A18742" s="30" t="s">
        <v>41810</v>
      </c>
      <c r="B18742" s="30" t="s">
        <v>41811</v>
      </c>
      <c r="C18742" s="30" t="s">
        <v>149</v>
      </c>
      <c r="D18742" s="30" t="s">
        <v>17</v>
      </c>
      <c r="E18742" s="30" t="s">
        <v>18</v>
      </c>
      <c r="F18742" s="30" t="s">
        <v>19</v>
      </c>
      <c r="G18742" s="30" t="s">
        <v>20</v>
      </c>
      <c r="H18742" s="32">
        <v>165</v>
      </c>
      <c r="I18742" s="30" t="s">
        <v>21</v>
      </c>
      <c r="J18742" s="41">
        <v>45602</v>
      </c>
      <c r="K18742" s="30" t="s">
        <v>22</v>
      </c>
    </row>
    <row r="18743" spans="1:11">
      <c r="A18743" s="33" t="s">
        <v>41812</v>
      </c>
      <c r="B18743" s="33" t="s">
        <v>41813</v>
      </c>
      <c r="C18743" s="33" t="s">
        <v>17220</v>
      </c>
      <c r="D18743" s="33" t="s">
        <v>17</v>
      </c>
      <c r="E18743" s="33" t="s">
        <v>67</v>
      </c>
      <c r="F18743" s="33" t="s">
        <v>68</v>
      </c>
      <c r="G18743" s="33" t="s">
        <v>140</v>
      </c>
      <c r="H18743" s="35">
        <v>60</v>
      </c>
      <c r="I18743" s="33" t="s">
        <v>51</v>
      </c>
      <c r="J18743" s="42">
        <v>45484</v>
      </c>
      <c r="K18743" s="33" t="s">
        <v>22</v>
      </c>
    </row>
    <row r="18744" spans="1:11">
      <c r="A18744" s="30" t="s">
        <v>41814</v>
      </c>
      <c r="B18744" s="30" t="s">
        <v>41815</v>
      </c>
      <c r="C18744" s="30" t="s">
        <v>1165</v>
      </c>
      <c r="D18744" s="30" t="s">
        <v>17</v>
      </c>
      <c r="E18744" s="30" t="s">
        <v>18</v>
      </c>
      <c r="F18744" s="30" t="s">
        <v>19</v>
      </c>
      <c r="G18744" s="30" t="s">
        <v>106</v>
      </c>
      <c r="H18744" s="32">
        <v>105</v>
      </c>
      <c r="I18744" s="30" t="s">
        <v>21</v>
      </c>
      <c r="J18744" s="41">
        <v>45379</v>
      </c>
      <c r="K18744" s="30" t="s">
        <v>22</v>
      </c>
    </row>
    <row r="18745" spans="1:11">
      <c r="A18745" s="33" t="s">
        <v>41816</v>
      </c>
      <c r="B18745" s="33" t="s">
        <v>41817</v>
      </c>
      <c r="C18745" s="33" t="s">
        <v>102</v>
      </c>
      <c r="D18745" s="33" t="s">
        <v>17</v>
      </c>
      <c r="E18745" s="33" t="s">
        <v>26</v>
      </c>
      <c r="F18745" s="33" t="s">
        <v>27</v>
      </c>
      <c r="G18745" s="33" t="s">
        <v>158</v>
      </c>
      <c r="H18745" s="35">
        <v>108</v>
      </c>
      <c r="I18745" s="33" t="s">
        <v>21</v>
      </c>
      <c r="J18745" s="42">
        <v>45450</v>
      </c>
      <c r="K18745" s="33" t="s">
        <v>22</v>
      </c>
    </row>
    <row r="18746" spans="1:11">
      <c r="A18746" s="30" t="s">
        <v>41818</v>
      </c>
      <c r="B18746" s="30" t="s">
        <v>41819</v>
      </c>
      <c r="C18746" s="30" t="s">
        <v>154</v>
      </c>
      <c r="D18746" s="30" t="s">
        <v>17</v>
      </c>
      <c r="E18746" s="30" t="s">
        <v>26</v>
      </c>
      <c r="F18746" s="30" t="s">
        <v>27</v>
      </c>
      <c r="G18746" s="30" t="s">
        <v>20</v>
      </c>
      <c r="H18746" s="32">
        <v>203</v>
      </c>
      <c r="I18746" s="30" t="s">
        <v>21</v>
      </c>
      <c r="J18746" s="41">
        <v>45463</v>
      </c>
      <c r="K18746" s="30" t="s">
        <v>22</v>
      </c>
    </row>
    <row r="18747" spans="1:11">
      <c r="A18747" s="33" t="s">
        <v>41820</v>
      </c>
      <c r="B18747" s="33" t="s">
        <v>41821</v>
      </c>
      <c r="C18747" s="33" t="s">
        <v>109</v>
      </c>
      <c r="D18747" s="33" t="s">
        <v>17</v>
      </c>
      <c r="E18747" s="33" t="s">
        <v>26</v>
      </c>
      <c r="F18747" s="33" t="s">
        <v>27</v>
      </c>
      <c r="G18747" s="33" t="s">
        <v>158</v>
      </c>
      <c r="H18747" s="35">
        <v>31</v>
      </c>
      <c r="I18747" s="33" t="s">
        <v>21</v>
      </c>
      <c r="J18747" s="42">
        <v>45502</v>
      </c>
      <c r="K18747" s="33" t="s">
        <v>22</v>
      </c>
    </row>
    <row r="18748" spans="1:11">
      <c r="A18748" s="30" t="s">
        <v>41822</v>
      </c>
      <c r="B18748" s="30" t="s">
        <v>41823</v>
      </c>
      <c r="C18748" s="30" t="s">
        <v>5251</v>
      </c>
      <c r="D18748" s="30" t="s">
        <v>17</v>
      </c>
      <c r="E18748" s="30" t="s">
        <v>26</v>
      </c>
      <c r="F18748" s="30" t="s">
        <v>27</v>
      </c>
      <c r="G18748" s="30" t="s">
        <v>140</v>
      </c>
      <c r="H18748" s="32">
        <v>180</v>
      </c>
      <c r="I18748" s="30" t="s">
        <v>51</v>
      </c>
      <c r="J18748" s="41">
        <v>45442</v>
      </c>
      <c r="K18748" s="30" t="s">
        <v>22</v>
      </c>
    </row>
    <row r="18749" spans="1:11">
      <c r="A18749" s="33" t="s">
        <v>41824</v>
      </c>
      <c r="B18749" s="33" t="s">
        <v>41825</v>
      </c>
      <c r="C18749" s="33" t="s">
        <v>29180</v>
      </c>
      <c r="D18749" s="33" t="s">
        <v>17</v>
      </c>
      <c r="E18749" s="33" t="s">
        <v>26</v>
      </c>
      <c r="F18749" s="33" t="s">
        <v>27</v>
      </c>
      <c r="G18749" s="33" t="s">
        <v>20</v>
      </c>
      <c r="H18749" s="35">
        <v>14</v>
      </c>
      <c r="I18749" s="33" t="s">
        <v>21</v>
      </c>
      <c r="J18749" s="42">
        <v>45536</v>
      </c>
      <c r="K18749" s="33" t="s">
        <v>22</v>
      </c>
    </row>
    <row r="18750" spans="1:11">
      <c r="A18750" s="30" t="s">
        <v>41826</v>
      </c>
      <c r="B18750" s="30" t="s">
        <v>41827</v>
      </c>
      <c r="C18750" s="30" t="s">
        <v>3013</v>
      </c>
      <c r="D18750" s="30" t="s">
        <v>17</v>
      </c>
      <c r="E18750" s="30" t="s">
        <v>31</v>
      </c>
      <c r="F18750" s="30" t="s">
        <v>32</v>
      </c>
      <c r="G18750" s="30" t="s">
        <v>158</v>
      </c>
      <c r="H18750" s="32">
        <v>229</v>
      </c>
      <c r="I18750" s="30" t="s">
        <v>21</v>
      </c>
      <c r="J18750" s="41">
        <v>45646</v>
      </c>
      <c r="K18750" s="30" t="s">
        <v>22</v>
      </c>
    </row>
    <row r="18751" spans="1:11">
      <c r="A18751" s="33" t="s">
        <v>41828</v>
      </c>
      <c r="B18751" s="33" t="s">
        <v>41829</v>
      </c>
      <c r="C18751" s="33" t="s">
        <v>450</v>
      </c>
      <c r="D18751" s="33" t="s">
        <v>17</v>
      </c>
      <c r="E18751" s="33" t="s">
        <v>18</v>
      </c>
      <c r="F18751" s="33" t="s">
        <v>19</v>
      </c>
      <c r="G18751" s="33" t="s">
        <v>158</v>
      </c>
      <c r="H18751" s="35">
        <v>30</v>
      </c>
      <c r="I18751" s="33" t="s">
        <v>21</v>
      </c>
      <c r="J18751" s="42">
        <v>45426</v>
      </c>
      <c r="K18751" s="33" t="s">
        <v>22</v>
      </c>
    </row>
    <row r="18752" spans="1:11">
      <c r="A18752" s="30" t="s">
        <v>41830</v>
      </c>
      <c r="B18752" s="30" t="s">
        <v>41831</v>
      </c>
      <c r="C18752" s="30" t="s">
        <v>41832</v>
      </c>
      <c r="D18752" s="30" t="s">
        <v>17</v>
      </c>
      <c r="E18752" s="30" t="s">
        <v>31</v>
      </c>
      <c r="F18752" s="30" t="s">
        <v>32</v>
      </c>
      <c r="G18752" s="30" t="s">
        <v>140</v>
      </c>
      <c r="H18752" s="32">
        <v>120</v>
      </c>
      <c r="I18752" s="30" t="s">
        <v>51</v>
      </c>
      <c r="J18752" s="41">
        <v>45657</v>
      </c>
      <c r="K18752" s="30" t="s">
        <v>22</v>
      </c>
    </row>
    <row r="18753" spans="1:11">
      <c r="A18753" s="33" t="s">
        <v>41833</v>
      </c>
      <c r="B18753" s="33" t="s">
        <v>41834</v>
      </c>
      <c r="C18753" s="33" t="s">
        <v>93</v>
      </c>
      <c r="D18753" s="33" t="s">
        <v>17</v>
      </c>
      <c r="E18753" s="33" t="s">
        <v>212</v>
      </c>
      <c r="F18753" s="33" t="s">
        <v>213</v>
      </c>
      <c r="G18753" s="33" t="s">
        <v>20</v>
      </c>
      <c r="H18753" s="35">
        <v>10</v>
      </c>
      <c r="I18753" s="33" t="s">
        <v>21</v>
      </c>
      <c r="J18753" s="42">
        <v>45406</v>
      </c>
      <c r="K18753" s="33" t="s">
        <v>22</v>
      </c>
    </row>
    <row r="18754" spans="1:11">
      <c r="A18754" s="30" t="s">
        <v>41835</v>
      </c>
      <c r="B18754" s="30" t="s">
        <v>41836</v>
      </c>
      <c r="C18754" s="30" t="s">
        <v>39563</v>
      </c>
      <c r="D18754" s="30" t="s">
        <v>17</v>
      </c>
      <c r="E18754" s="30" t="s">
        <v>26</v>
      </c>
      <c r="F18754" s="30" t="s">
        <v>27</v>
      </c>
      <c r="G18754" s="30" t="s">
        <v>50</v>
      </c>
      <c r="H18754" s="32">
        <v>28</v>
      </c>
      <c r="I18754" s="30" t="s">
        <v>51</v>
      </c>
      <c r="J18754" s="41">
        <v>45559</v>
      </c>
      <c r="K18754" s="30" t="s">
        <v>22</v>
      </c>
    </row>
    <row r="18755" spans="1:11">
      <c r="A18755" s="33" t="s">
        <v>41837</v>
      </c>
      <c r="B18755" s="33" t="s">
        <v>41838</v>
      </c>
      <c r="C18755" s="33" t="s">
        <v>136</v>
      </c>
      <c r="D18755" s="33" t="s">
        <v>17</v>
      </c>
      <c r="E18755" s="33" t="s">
        <v>18</v>
      </c>
      <c r="F18755" s="33" t="s">
        <v>19</v>
      </c>
      <c r="G18755" s="33" t="s">
        <v>158</v>
      </c>
      <c r="H18755" s="35">
        <v>320</v>
      </c>
      <c r="I18755" s="33" t="s">
        <v>51</v>
      </c>
      <c r="J18755" s="42">
        <v>45366</v>
      </c>
      <c r="K18755" s="33" t="s">
        <v>22</v>
      </c>
    </row>
    <row r="18756" spans="1:11">
      <c r="A18756" s="30" t="s">
        <v>41839</v>
      </c>
      <c r="B18756" s="30" t="s">
        <v>41840</v>
      </c>
      <c r="C18756" s="30" t="s">
        <v>190</v>
      </c>
      <c r="D18756" s="30" t="s">
        <v>17</v>
      </c>
      <c r="E18756" s="30" t="s">
        <v>31</v>
      </c>
      <c r="F18756" s="30" t="s">
        <v>32</v>
      </c>
      <c r="G18756" s="30" t="s">
        <v>140</v>
      </c>
      <c r="H18756" s="32">
        <v>80</v>
      </c>
      <c r="I18756" s="30" t="s">
        <v>51</v>
      </c>
      <c r="J18756" s="41">
        <v>45489</v>
      </c>
      <c r="K18756" s="30" t="s">
        <v>22</v>
      </c>
    </row>
    <row r="18757" spans="1:11">
      <c r="A18757" s="33" t="s">
        <v>41841</v>
      </c>
      <c r="B18757" s="33" t="s">
        <v>41842</v>
      </c>
      <c r="C18757" s="33" t="s">
        <v>39368</v>
      </c>
      <c r="D18757" s="33" t="s">
        <v>17</v>
      </c>
      <c r="E18757" s="33" t="s">
        <v>330</v>
      </c>
      <c r="F18757" s="33" t="s">
        <v>331</v>
      </c>
      <c r="G18757" s="33" t="s">
        <v>69</v>
      </c>
      <c r="H18757" s="35">
        <v>12</v>
      </c>
      <c r="I18757" s="33" t="s">
        <v>51</v>
      </c>
      <c r="J18757" s="42">
        <v>45548</v>
      </c>
      <c r="K18757" s="33" t="s">
        <v>22</v>
      </c>
    </row>
    <row r="18758" spans="1:11">
      <c r="A18758" s="30" t="s">
        <v>41843</v>
      </c>
      <c r="B18758" s="30" t="s">
        <v>41844</v>
      </c>
      <c r="C18758" s="30" t="s">
        <v>20888</v>
      </c>
      <c r="D18758" s="30" t="s">
        <v>17</v>
      </c>
      <c r="E18758" s="30" t="s">
        <v>31</v>
      </c>
      <c r="F18758" s="30" t="s">
        <v>32</v>
      </c>
      <c r="G18758" s="30" t="s">
        <v>158</v>
      </c>
      <c r="H18758" s="32">
        <v>5</v>
      </c>
      <c r="I18758" s="30" t="s">
        <v>21</v>
      </c>
      <c r="J18758" s="41">
        <v>45482</v>
      </c>
      <c r="K18758" s="30" t="s">
        <v>22</v>
      </c>
    </row>
    <row r="18759" spans="1:11">
      <c r="A18759" s="33" t="s">
        <v>41845</v>
      </c>
      <c r="B18759" s="33" t="s">
        <v>41846</v>
      </c>
      <c r="C18759" s="33" t="s">
        <v>38860</v>
      </c>
      <c r="D18759" s="33" t="s">
        <v>17</v>
      </c>
      <c r="E18759" s="33" t="s">
        <v>31</v>
      </c>
      <c r="F18759" s="33" t="s">
        <v>32</v>
      </c>
      <c r="G18759" s="33" t="s">
        <v>20</v>
      </c>
      <c r="H18759" s="35">
        <v>647</v>
      </c>
      <c r="I18759" s="33" t="s">
        <v>21</v>
      </c>
      <c r="J18759" s="42">
        <v>45575</v>
      </c>
      <c r="K18759" s="33" t="s">
        <v>22</v>
      </c>
    </row>
    <row r="18760" spans="1:11">
      <c r="A18760" s="30" t="s">
        <v>41847</v>
      </c>
      <c r="B18760" s="30" t="s">
        <v>41848</v>
      </c>
      <c r="C18760" s="30" t="s">
        <v>318</v>
      </c>
      <c r="D18760" s="30" t="s">
        <v>17</v>
      </c>
      <c r="E18760" s="30" t="s">
        <v>26</v>
      </c>
      <c r="F18760" s="30" t="s">
        <v>27</v>
      </c>
      <c r="G18760" s="30" t="s">
        <v>112</v>
      </c>
      <c r="H18760" s="32">
        <v>0</v>
      </c>
      <c r="I18760" s="30" t="s">
        <v>21</v>
      </c>
      <c r="J18760" s="41">
        <v>45488</v>
      </c>
      <c r="K18760" s="30" t="s">
        <v>22</v>
      </c>
    </row>
    <row r="18761" spans="1:11">
      <c r="A18761" s="33" t="s">
        <v>41849</v>
      </c>
      <c r="B18761" s="33" t="s">
        <v>41850</v>
      </c>
      <c r="C18761" s="33" t="s">
        <v>41851</v>
      </c>
      <c r="D18761" s="33" t="s">
        <v>17</v>
      </c>
      <c r="E18761" s="33" t="s">
        <v>26</v>
      </c>
      <c r="F18761" s="33" t="s">
        <v>27</v>
      </c>
      <c r="G18761" s="33" t="s">
        <v>50</v>
      </c>
      <c r="H18761" s="35">
        <v>14</v>
      </c>
      <c r="I18761" s="33" t="s">
        <v>51</v>
      </c>
      <c r="J18761" s="42">
        <v>45505</v>
      </c>
      <c r="K18761" s="33" t="s">
        <v>22</v>
      </c>
    </row>
    <row r="18762" spans="1:11">
      <c r="A18762" s="30" t="s">
        <v>41852</v>
      </c>
      <c r="B18762" s="30" t="s">
        <v>41853</v>
      </c>
      <c r="C18762" s="30" t="s">
        <v>41854</v>
      </c>
      <c r="D18762" s="30" t="s">
        <v>17</v>
      </c>
      <c r="E18762" s="30" t="s">
        <v>330</v>
      </c>
      <c r="F18762" s="30" t="s">
        <v>331</v>
      </c>
      <c r="G18762" s="30" t="s">
        <v>140</v>
      </c>
      <c r="H18762" s="32">
        <v>30</v>
      </c>
      <c r="I18762" s="30" t="s">
        <v>51</v>
      </c>
      <c r="J18762" s="41">
        <v>45623</v>
      </c>
      <c r="K18762" s="30" t="s">
        <v>22</v>
      </c>
    </row>
    <row r="18763" spans="1:11">
      <c r="A18763" s="33" t="s">
        <v>41855</v>
      </c>
      <c r="B18763" s="33" t="s">
        <v>41856</v>
      </c>
      <c r="C18763" s="33" t="s">
        <v>4348</v>
      </c>
      <c r="D18763" s="33" t="s">
        <v>17</v>
      </c>
      <c r="E18763" s="33" t="s">
        <v>31</v>
      </c>
      <c r="F18763" s="33" t="s">
        <v>32</v>
      </c>
      <c r="G18763" s="33" t="s">
        <v>140</v>
      </c>
      <c r="H18763" s="35">
        <v>570</v>
      </c>
      <c r="I18763" s="33" t="s">
        <v>51</v>
      </c>
      <c r="J18763" s="42">
        <v>45468</v>
      </c>
      <c r="K18763" s="33" t="s">
        <v>22</v>
      </c>
    </row>
    <row r="18764" spans="1:11">
      <c r="A18764" s="30" t="s">
        <v>41857</v>
      </c>
      <c r="B18764" s="30" t="s">
        <v>41858</v>
      </c>
      <c r="C18764" s="30" t="s">
        <v>33931</v>
      </c>
      <c r="D18764" s="30" t="s">
        <v>17</v>
      </c>
      <c r="E18764" s="30" t="s">
        <v>26</v>
      </c>
      <c r="F18764" s="30" t="s">
        <v>27</v>
      </c>
      <c r="G18764" s="30" t="s">
        <v>140</v>
      </c>
      <c r="H18764" s="32">
        <v>280</v>
      </c>
      <c r="I18764" s="30" t="s">
        <v>51</v>
      </c>
      <c r="J18764" s="41">
        <v>45331</v>
      </c>
      <c r="K18764" s="30" t="s">
        <v>22</v>
      </c>
    </row>
    <row r="18765" spans="1:11">
      <c r="A18765" s="33" t="s">
        <v>41859</v>
      </c>
      <c r="B18765" s="33" t="s">
        <v>41860</v>
      </c>
      <c r="C18765" s="33" t="s">
        <v>16854</v>
      </c>
      <c r="D18765" s="33" t="s">
        <v>17</v>
      </c>
      <c r="E18765" s="33" t="s">
        <v>26</v>
      </c>
      <c r="F18765" s="33" t="s">
        <v>27</v>
      </c>
      <c r="G18765" s="33" t="s">
        <v>140</v>
      </c>
      <c r="H18765" s="35">
        <v>70</v>
      </c>
      <c r="I18765" s="33" t="s">
        <v>51</v>
      </c>
      <c r="J18765" s="42">
        <v>45474</v>
      </c>
      <c r="K18765" s="33" t="s">
        <v>22</v>
      </c>
    </row>
    <row r="18766" spans="1:11">
      <c r="A18766" s="30" t="s">
        <v>41861</v>
      </c>
      <c r="B18766" s="30" t="s">
        <v>41862</v>
      </c>
      <c r="C18766" s="30" t="s">
        <v>17285</v>
      </c>
      <c r="D18766" s="30" t="s">
        <v>17</v>
      </c>
      <c r="E18766" s="30" t="s">
        <v>67</v>
      </c>
      <c r="F18766" s="30" t="s">
        <v>68</v>
      </c>
      <c r="G18766" s="30" t="s">
        <v>140</v>
      </c>
      <c r="H18766" s="32">
        <v>51</v>
      </c>
      <c r="I18766" s="30" t="s">
        <v>51</v>
      </c>
      <c r="J18766" s="41">
        <v>45371</v>
      </c>
      <c r="K18766" s="30" t="s">
        <v>22</v>
      </c>
    </row>
    <row r="18767" spans="1:11">
      <c r="A18767" s="33" t="s">
        <v>41863</v>
      </c>
      <c r="B18767" s="33" t="s">
        <v>41864</v>
      </c>
      <c r="C18767" s="33" t="s">
        <v>41865</v>
      </c>
      <c r="D18767" s="33" t="s">
        <v>17</v>
      </c>
      <c r="E18767" s="33" t="s">
        <v>330</v>
      </c>
      <c r="F18767" s="33" t="s">
        <v>331</v>
      </c>
      <c r="G18767" s="33" t="s">
        <v>7780</v>
      </c>
      <c r="H18767" s="35">
        <v>9</v>
      </c>
      <c r="I18767" s="33" t="s">
        <v>51</v>
      </c>
      <c r="J18767" s="42">
        <v>45566</v>
      </c>
      <c r="K18767" s="33" t="s">
        <v>22</v>
      </c>
    </row>
    <row r="18768" spans="1:11">
      <c r="A18768" s="30" t="s">
        <v>41866</v>
      </c>
      <c r="B18768" s="30" t="s">
        <v>41867</v>
      </c>
      <c r="C18768" s="30" t="s">
        <v>318</v>
      </c>
      <c r="D18768" s="30" t="s">
        <v>17</v>
      </c>
      <c r="E18768" s="30" t="s">
        <v>26</v>
      </c>
      <c r="F18768" s="30" t="s">
        <v>27</v>
      </c>
      <c r="G18768" s="30" t="s">
        <v>20</v>
      </c>
      <c r="H18768" s="32">
        <v>231</v>
      </c>
      <c r="I18768" s="30" t="s">
        <v>21</v>
      </c>
      <c r="J18768" s="41">
        <v>45510</v>
      </c>
      <c r="K18768" s="30" t="s">
        <v>22</v>
      </c>
    </row>
    <row r="18769" spans="1:11">
      <c r="A18769" s="33" t="s">
        <v>41868</v>
      </c>
      <c r="B18769" s="33" t="s">
        <v>41869</v>
      </c>
      <c r="C18769" s="33" t="s">
        <v>23852</v>
      </c>
      <c r="D18769" s="33" t="s">
        <v>17</v>
      </c>
      <c r="E18769" s="33" t="s">
        <v>26</v>
      </c>
      <c r="F18769" s="33" t="s">
        <v>27</v>
      </c>
      <c r="G18769" s="33" t="s">
        <v>158</v>
      </c>
      <c r="H18769" s="35">
        <v>12</v>
      </c>
      <c r="I18769" s="33" t="s">
        <v>21</v>
      </c>
      <c r="J18769" s="42">
        <v>45588</v>
      </c>
      <c r="K18769" s="33" t="s">
        <v>22</v>
      </c>
    </row>
    <row r="18770" spans="1:11">
      <c r="A18770" s="30" t="s">
        <v>41870</v>
      </c>
      <c r="B18770" s="30" t="s">
        <v>41871</v>
      </c>
      <c r="C18770" s="30" t="s">
        <v>2313</v>
      </c>
      <c r="D18770" s="30" t="s">
        <v>17</v>
      </c>
      <c r="E18770" s="30" t="s">
        <v>26</v>
      </c>
      <c r="F18770" s="30" t="s">
        <v>27</v>
      </c>
      <c r="G18770" s="30" t="s">
        <v>20</v>
      </c>
      <c r="H18770" s="32">
        <v>18</v>
      </c>
      <c r="I18770" s="30" t="s">
        <v>21</v>
      </c>
      <c r="J18770" s="41">
        <v>45611</v>
      </c>
      <c r="K18770" s="30" t="s">
        <v>22</v>
      </c>
    </row>
    <row r="18771" spans="1:11">
      <c r="A18771" s="33" t="s">
        <v>41872</v>
      </c>
      <c r="B18771" s="33" t="s">
        <v>41873</v>
      </c>
      <c r="C18771" s="33" t="s">
        <v>2196</v>
      </c>
      <c r="D18771" s="33" t="s">
        <v>17</v>
      </c>
      <c r="E18771" s="33" t="s">
        <v>31</v>
      </c>
      <c r="F18771" s="33" t="s">
        <v>32</v>
      </c>
      <c r="G18771" s="33" t="s">
        <v>158</v>
      </c>
      <c r="H18771" s="35">
        <v>61</v>
      </c>
      <c r="I18771" s="33" t="s">
        <v>21</v>
      </c>
      <c r="J18771" s="42">
        <v>45601</v>
      </c>
      <c r="K18771" s="33" t="s">
        <v>22</v>
      </c>
    </row>
    <row r="18772" spans="1:11">
      <c r="A18772" s="30" t="s">
        <v>41874</v>
      </c>
      <c r="B18772" s="30" t="s">
        <v>41875</v>
      </c>
      <c r="C18772" s="30" t="s">
        <v>149</v>
      </c>
      <c r="D18772" s="30" t="s">
        <v>17</v>
      </c>
      <c r="E18772" s="30" t="s">
        <v>26</v>
      </c>
      <c r="F18772" s="30" t="s">
        <v>27</v>
      </c>
      <c r="G18772" s="30" t="s">
        <v>158</v>
      </c>
      <c r="H18772" s="32">
        <v>98</v>
      </c>
      <c r="I18772" s="30" t="s">
        <v>21</v>
      </c>
      <c r="J18772" s="41">
        <v>45352</v>
      </c>
      <c r="K18772" s="30" t="s">
        <v>22</v>
      </c>
    </row>
    <row r="18773" spans="1:11">
      <c r="A18773" s="33" t="s">
        <v>41876</v>
      </c>
      <c r="B18773" s="33" t="s">
        <v>41877</v>
      </c>
      <c r="C18773" s="33" t="s">
        <v>193</v>
      </c>
      <c r="D18773" s="33" t="s">
        <v>17</v>
      </c>
      <c r="E18773" s="33" t="s">
        <v>26</v>
      </c>
      <c r="F18773" s="33" t="s">
        <v>27</v>
      </c>
      <c r="G18773" s="33" t="s">
        <v>106</v>
      </c>
      <c r="H18773" s="35">
        <v>42</v>
      </c>
      <c r="I18773" s="33" t="s">
        <v>21</v>
      </c>
      <c r="J18773" s="42">
        <v>45600</v>
      </c>
      <c r="K18773" s="33" t="s">
        <v>22</v>
      </c>
    </row>
    <row r="18774" spans="1:11">
      <c r="A18774" s="30" t="s">
        <v>41878</v>
      </c>
      <c r="B18774" s="30" t="s">
        <v>41879</v>
      </c>
      <c r="C18774" s="30" t="s">
        <v>11320</v>
      </c>
      <c r="D18774" s="30" t="s">
        <v>17</v>
      </c>
      <c r="E18774" s="30" t="s">
        <v>31</v>
      </c>
      <c r="F18774" s="30" t="s">
        <v>32</v>
      </c>
      <c r="G18774" s="30" t="s">
        <v>158</v>
      </c>
      <c r="H18774" s="32">
        <v>24</v>
      </c>
      <c r="I18774" s="30" t="s">
        <v>51</v>
      </c>
      <c r="J18774" s="41">
        <v>45316</v>
      </c>
      <c r="K18774" s="30" t="s">
        <v>22</v>
      </c>
    </row>
    <row r="18775" spans="1:11">
      <c r="A18775" s="33" t="s">
        <v>41880</v>
      </c>
      <c r="B18775" s="33" t="s">
        <v>41881</v>
      </c>
      <c r="C18775" s="33" t="s">
        <v>203</v>
      </c>
      <c r="D18775" s="33" t="s">
        <v>17</v>
      </c>
      <c r="E18775" s="33" t="s">
        <v>18</v>
      </c>
      <c r="F18775" s="33" t="s">
        <v>19</v>
      </c>
      <c r="G18775" s="33" t="s">
        <v>158</v>
      </c>
      <c r="H18775" s="35">
        <v>142</v>
      </c>
      <c r="I18775" s="33" t="s">
        <v>21</v>
      </c>
      <c r="J18775" s="42">
        <v>45624</v>
      </c>
      <c r="K18775" s="33" t="s">
        <v>22</v>
      </c>
    </row>
    <row r="18776" spans="1:11">
      <c r="A18776" s="30" t="s">
        <v>41882</v>
      </c>
      <c r="B18776" s="30" t="s">
        <v>41883</v>
      </c>
      <c r="C18776" s="30" t="s">
        <v>969</v>
      </c>
      <c r="D18776" s="30" t="s">
        <v>17</v>
      </c>
      <c r="E18776" s="30" t="s">
        <v>18</v>
      </c>
      <c r="F18776" s="30" t="s">
        <v>19</v>
      </c>
      <c r="G18776" s="30" t="s">
        <v>158</v>
      </c>
      <c r="H18776" s="32">
        <v>10212</v>
      </c>
      <c r="I18776" s="30" t="s">
        <v>21</v>
      </c>
      <c r="J18776" s="41">
        <v>45505</v>
      </c>
      <c r="K18776" s="30" t="s">
        <v>22</v>
      </c>
    </row>
    <row r="18777" spans="1:11">
      <c r="A18777" s="33" t="s">
        <v>41884</v>
      </c>
      <c r="B18777" s="33" t="s">
        <v>41885</v>
      </c>
      <c r="C18777" s="33" t="s">
        <v>2308</v>
      </c>
      <c r="D18777" s="33" t="s">
        <v>17</v>
      </c>
      <c r="E18777" s="33" t="s">
        <v>67</v>
      </c>
      <c r="F18777" s="33" t="s">
        <v>68</v>
      </c>
      <c r="G18777" s="33" t="s">
        <v>50</v>
      </c>
      <c r="H18777" s="35">
        <v>85</v>
      </c>
      <c r="I18777" s="33" t="s">
        <v>51</v>
      </c>
      <c r="J18777" s="42">
        <v>45397</v>
      </c>
      <c r="K18777" s="33" t="s">
        <v>22</v>
      </c>
    </row>
    <row r="18778" spans="1:11">
      <c r="A18778" s="30" t="s">
        <v>41886</v>
      </c>
      <c r="B18778" s="30" t="s">
        <v>41887</v>
      </c>
      <c r="C18778" s="30" t="s">
        <v>190</v>
      </c>
      <c r="D18778" s="30" t="s">
        <v>17</v>
      </c>
      <c r="E18778" s="30" t="s">
        <v>26</v>
      </c>
      <c r="F18778" s="30" t="s">
        <v>27</v>
      </c>
      <c r="G18778" s="30" t="s">
        <v>20</v>
      </c>
      <c r="H18778" s="32">
        <v>24</v>
      </c>
      <c r="I18778" s="30" t="s">
        <v>21</v>
      </c>
      <c r="J18778" s="41">
        <v>45586</v>
      </c>
      <c r="K18778" s="30" t="s">
        <v>22</v>
      </c>
    </row>
    <row r="18779" spans="1:11">
      <c r="A18779" s="33" t="s">
        <v>41888</v>
      </c>
      <c r="B18779" s="33" t="s">
        <v>41889</v>
      </c>
      <c r="C18779" s="33" t="s">
        <v>22083</v>
      </c>
      <c r="D18779" s="33" t="s">
        <v>17</v>
      </c>
      <c r="E18779" s="33" t="s">
        <v>26</v>
      </c>
      <c r="F18779" s="33" t="s">
        <v>27</v>
      </c>
      <c r="G18779" s="33" t="s">
        <v>20</v>
      </c>
      <c r="H18779" s="35">
        <v>60</v>
      </c>
      <c r="I18779" s="33" t="s">
        <v>21</v>
      </c>
      <c r="J18779" s="42">
        <v>45474</v>
      </c>
      <c r="K18779" s="33" t="s">
        <v>22</v>
      </c>
    </row>
    <row r="18780" spans="1:11">
      <c r="A18780" s="30" t="s">
        <v>41890</v>
      </c>
      <c r="B18780" s="30" t="s">
        <v>41891</v>
      </c>
      <c r="C18780" s="30" t="s">
        <v>1938</v>
      </c>
      <c r="D18780" s="30" t="s">
        <v>17</v>
      </c>
      <c r="E18780" s="30" t="s">
        <v>31</v>
      </c>
      <c r="F18780" s="30" t="s">
        <v>32</v>
      </c>
      <c r="G18780" s="30" t="s">
        <v>158</v>
      </c>
      <c r="H18780" s="32">
        <v>24</v>
      </c>
      <c r="I18780" s="30" t="s">
        <v>51</v>
      </c>
      <c r="J18780" s="41">
        <v>45474</v>
      </c>
      <c r="K18780" s="30" t="s">
        <v>22</v>
      </c>
    </row>
    <row r="18781" spans="1:11">
      <c r="A18781" s="33" t="s">
        <v>41892</v>
      </c>
      <c r="B18781" s="33" t="s">
        <v>39830</v>
      </c>
      <c r="C18781" s="33" t="s">
        <v>39831</v>
      </c>
      <c r="D18781" s="33" t="s">
        <v>17</v>
      </c>
      <c r="E18781" s="33" t="s">
        <v>26</v>
      </c>
      <c r="F18781" s="33" t="s">
        <v>27</v>
      </c>
      <c r="G18781" s="33" t="s">
        <v>50</v>
      </c>
      <c r="H18781" s="35">
        <v>48</v>
      </c>
      <c r="I18781" s="33" t="s">
        <v>51</v>
      </c>
      <c r="J18781" s="42">
        <v>45383</v>
      </c>
      <c r="K18781" s="33" t="s">
        <v>22</v>
      </c>
    </row>
    <row r="18782" spans="1:11">
      <c r="A18782" s="30" t="s">
        <v>41893</v>
      </c>
      <c r="B18782" s="30" t="s">
        <v>41894</v>
      </c>
      <c r="C18782" s="30" t="s">
        <v>3892</v>
      </c>
      <c r="D18782" s="30" t="s">
        <v>17</v>
      </c>
      <c r="E18782" s="30" t="s">
        <v>18</v>
      </c>
      <c r="F18782" s="30" t="s">
        <v>19</v>
      </c>
      <c r="G18782" s="30" t="s">
        <v>140</v>
      </c>
      <c r="H18782" s="32">
        <v>195</v>
      </c>
      <c r="I18782" s="30" t="s">
        <v>51</v>
      </c>
      <c r="J18782" s="41">
        <v>45453</v>
      </c>
      <c r="K18782" s="30" t="s">
        <v>22</v>
      </c>
    </row>
    <row r="18783" spans="1:11">
      <c r="A18783" s="33" t="s">
        <v>41895</v>
      </c>
      <c r="B18783" s="33" t="s">
        <v>41896</v>
      </c>
      <c r="C18783" s="33" t="s">
        <v>13795</v>
      </c>
      <c r="D18783" s="33" t="s">
        <v>17</v>
      </c>
      <c r="E18783" s="33" t="s">
        <v>18</v>
      </c>
      <c r="F18783" s="33" t="s">
        <v>19</v>
      </c>
      <c r="G18783" s="33" t="s">
        <v>158</v>
      </c>
      <c r="H18783" s="35">
        <v>312</v>
      </c>
      <c r="I18783" s="33" t="s">
        <v>21</v>
      </c>
      <c r="J18783" s="42">
        <v>45376</v>
      </c>
      <c r="K18783" s="33" t="s">
        <v>22</v>
      </c>
    </row>
    <row r="18784" spans="1:11">
      <c r="A18784" s="30" t="s">
        <v>41897</v>
      </c>
      <c r="B18784" s="30" t="s">
        <v>41898</v>
      </c>
      <c r="C18784" s="30" t="s">
        <v>41899</v>
      </c>
      <c r="D18784" s="30" t="s">
        <v>17</v>
      </c>
      <c r="E18784" s="30" t="s">
        <v>67</v>
      </c>
      <c r="F18784" s="30" t="s">
        <v>68</v>
      </c>
      <c r="G18784" s="30" t="s">
        <v>158</v>
      </c>
      <c r="H18784" s="32">
        <v>10</v>
      </c>
      <c r="I18784" s="30" t="s">
        <v>51</v>
      </c>
      <c r="J18784" s="41">
        <v>45352</v>
      </c>
      <c r="K18784" s="30" t="s">
        <v>22</v>
      </c>
    </row>
    <row r="18785" spans="1:11">
      <c r="A18785" s="33" t="s">
        <v>41900</v>
      </c>
      <c r="B18785" s="33" t="s">
        <v>41901</v>
      </c>
      <c r="C18785" s="33" t="s">
        <v>379</v>
      </c>
      <c r="D18785" s="33" t="s">
        <v>17</v>
      </c>
      <c r="E18785" s="33" t="s">
        <v>26</v>
      </c>
      <c r="F18785" s="33" t="s">
        <v>27</v>
      </c>
      <c r="G18785" s="33" t="s">
        <v>20</v>
      </c>
      <c r="H18785" s="35">
        <v>66</v>
      </c>
      <c r="I18785" s="33" t="s">
        <v>21</v>
      </c>
      <c r="J18785" s="42">
        <v>45405</v>
      </c>
      <c r="K18785" s="33" t="s">
        <v>22</v>
      </c>
    </row>
    <row r="18786" spans="1:11">
      <c r="A18786" s="30" t="s">
        <v>41902</v>
      </c>
      <c r="B18786" s="30" t="s">
        <v>41903</v>
      </c>
      <c r="C18786" s="30" t="s">
        <v>96</v>
      </c>
      <c r="D18786" s="30" t="s">
        <v>17</v>
      </c>
      <c r="E18786" s="30" t="s">
        <v>26</v>
      </c>
      <c r="F18786" s="30" t="s">
        <v>27</v>
      </c>
      <c r="G18786" s="30" t="s">
        <v>20</v>
      </c>
      <c r="H18786" s="32">
        <v>12</v>
      </c>
      <c r="I18786" s="30" t="s">
        <v>21</v>
      </c>
      <c r="J18786" s="41">
        <v>45345</v>
      </c>
      <c r="K18786" s="30" t="s">
        <v>22</v>
      </c>
    </row>
    <row r="18787" spans="1:11">
      <c r="A18787" s="33" t="s">
        <v>41904</v>
      </c>
      <c r="B18787" s="33" t="s">
        <v>41905</v>
      </c>
      <c r="C18787" s="33" t="s">
        <v>203</v>
      </c>
      <c r="D18787" s="33" t="s">
        <v>17</v>
      </c>
      <c r="E18787" s="33" t="s">
        <v>18</v>
      </c>
      <c r="F18787" s="33" t="s">
        <v>19</v>
      </c>
      <c r="G18787" s="33" t="s">
        <v>140</v>
      </c>
      <c r="H18787" s="35">
        <v>160</v>
      </c>
      <c r="I18787" s="33" t="s">
        <v>51</v>
      </c>
      <c r="J18787" s="42">
        <v>45525</v>
      </c>
      <c r="K18787" s="33" t="s">
        <v>22</v>
      </c>
    </row>
    <row r="18788" spans="1:11">
      <c r="A18788" s="30" t="s">
        <v>41906</v>
      </c>
      <c r="B18788" s="30" t="s">
        <v>41907</v>
      </c>
      <c r="C18788" s="30" t="s">
        <v>801</v>
      </c>
      <c r="D18788" s="30" t="s">
        <v>17</v>
      </c>
      <c r="E18788" s="30" t="s">
        <v>26</v>
      </c>
      <c r="F18788" s="30" t="s">
        <v>27</v>
      </c>
      <c r="G18788" s="30" t="s">
        <v>20</v>
      </c>
      <c r="H18788" s="32">
        <v>12</v>
      </c>
      <c r="I18788" s="30" t="s">
        <v>21</v>
      </c>
      <c r="J18788" s="41">
        <v>45583</v>
      </c>
      <c r="K18788" s="30" t="s">
        <v>22</v>
      </c>
    </row>
    <row r="18789" spans="1:11">
      <c r="A18789" s="33" t="s">
        <v>41908</v>
      </c>
      <c r="B18789" s="33" t="s">
        <v>41909</v>
      </c>
      <c r="C18789" s="33" t="s">
        <v>3013</v>
      </c>
      <c r="D18789" s="33" t="s">
        <v>17</v>
      </c>
      <c r="E18789" s="33" t="s">
        <v>18</v>
      </c>
      <c r="F18789" s="33" t="s">
        <v>19</v>
      </c>
      <c r="G18789" s="33" t="s">
        <v>140</v>
      </c>
      <c r="H18789" s="35">
        <v>332</v>
      </c>
      <c r="I18789" s="33" t="s">
        <v>51</v>
      </c>
      <c r="J18789" s="42">
        <v>45628</v>
      </c>
      <c r="K18789" s="33" t="s">
        <v>22</v>
      </c>
    </row>
    <row r="18790" spans="1:11">
      <c r="A18790" s="30" t="s">
        <v>41910</v>
      </c>
      <c r="B18790" s="30" t="s">
        <v>41911</v>
      </c>
      <c r="C18790" s="30" t="s">
        <v>136</v>
      </c>
      <c r="D18790" s="30" t="s">
        <v>17</v>
      </c>
      <c r="E18790" s="30" t="s">
        <v>26</v>
      </c>
      <c r="F18790" s="30" t="s">
        <v>27</v>
      </c>
      <c r="G18790" s="30" t="s">
        <v>158</v>
      </c>
      <c r="H18790" s="32">
        <v>142</v>
      </c>
      <c r="I18790" s="30" t="s">
        <v>51</v>
      </c>
      <c r="J18790" s="41">
        <v>45385</v>
      </c>
      <c r="K18790" s="30" t="s">
        <v>22</v>
      </c>
    </row>
    <row r="18791" spans="1:11">
      <c r="A18791" s="33" t="s">
        <v>41912</v>
      </c>
      <c r="B18791" s="33" t="s">
        <v>41913</v>
      </c>
      <c r="C18791" s="33" t="s">
        <v>178</v>
      </c>
      <c r="D18791" s="33" t="s">
        <v>17</v>
      </c>
      <c r="E18791" s="33" t="s">
        <v>26</v>
      </c>
      <c r="F18791" s="33" t="s">
        <v>27</v>
      </c>
      <c r="G18791" s="33" t="s">
        <v>158</v>
      </c>
      <c r="H18791" s="35">
        <v>34</v>
      </c>
      <c r="I18791" s="33" t="s">
        <v>21</v>
      </c>
      <c r="J18791" s="42">
        <v>45551</v>
      </c>
      <c r="K18791" s="33" t="s">
        <v>22</v>
      </c>
    </row>
    <row r="18792" spans="1:11">
      <c r="A18792" s="30" t="s">
        <v>41914</v>
      </c>
      <c r="B18792" s="30" t="s">
        <v>41915</v>
      </c>
      <c r="C18792" s="30" t="s">
        <v>24294</v>
      </c>
      <c r="D18792" s="30" t="s">
        <v>17</v>
      </c>
      <c r="E18792" s="30" t="s">
        <v>31</v>
      </c>
      <c r="F18792" s="30" t="s">
        <v>32</v>
      </c>
      <c r="G18792" s="30" t="s">
        <v>140</v>
      </c>
      <c r="H18792" s="32">
        <v>40</v>
      </c>
      <c r="I18792" s="30" t="s">
        <v>51</v>
      </c>
      <c r="J18792" s="41">
        <v>45330</v>
      </c>
      <c r="K18792" s="30" t="s">
        <v>22</v>
      </c>
    </row>
    <row r="18793" spans="1:11">
      <c r="A18793" s="33" t="s">
        <v>41916</v>
      </c>
      <c r="B18793" s="33" t="s">
        <v>41917</v>
      </c>
      <c r="C18793" s="33" t="s">
        <v>318</v>
      </c>
      <c r="D18793" s="33" t="s">
        <v>17</v>
      </c>
      <c r="E18793" s="33" t="s">
        <v>18</v>
      </c>
      <c r="F18793" s="33" t="s">
        <v>19</v>
      </c>
      <c r="G18793" s="33" t="s">
        <v>158</v>
      </c>
      <c r="H18793" s="35">
        <v>163</v>
      </c>
      <c r="I18793" s="33" t="s">
        <v>21</v>
      </c>
      <c r="J18793" s="42">
        <v>45547</v>
      </c>
      <c r="K18793" s="33" t="s">
        <v>22</v>
      </c>
    </row>
    <row r="18794" spans="1:11">
      <c r="A18794" s="30" t="s">
        <v>41918</v>
      </c>
      <c r="B18794" s="30" t="s">
        <v>41919</v>
      </c>
      <c r="C18794" s="30" t="s">
        <v>30173</v>
      </c>
      <c r="D18794" s="30" t="s">
        <v>17</v>
      </c>
      <c r="E18794" s="30" t="s">
        <v>330</v>
      </c>
      <c r="F18794" s="30" t="s">
        <v>331</v>
      </c>
      <c r="G18794" s="30" t="s">
        <v>140</v>
      </c>
      <c r="H18794" s="32">
        <v>30</v>
      </c>
      <c r="I18794" s="30" t="s">
        <v>51</v>
      </c>
      <c r="J18794" s="41">
        <v>45446</v>
      </c>
      <c r="K18794" s="30" t="s">
        <v>22</v>
      </c>
    </row>
    <row r="18795" spans="1:11">
      <c r="A18795" s="33" t="s">
        <v>41920</v>
      </c>
      <c r="B18795" s="33" t="s">
        <v>41921</v>
      </c>
      <c r="C18795" s="33" t="s">
        <v>2117</v>
      </c>
      <c r="D18795" s="33" t="s">
        <v>17</v>
      </c>
      <c r="E18795" s="33" t="s">
        <v>31</v>
      </c>
      <c r="F18795" s="33" t="s">
        <v>32</v>
      </c>
      <c r="G18795" s="33" t="s">
        <v>158</v>
      </c>
      <c r="H18795" s="35">
        <v>120</v>
      </c>
      <c r="I18795" s="33" t="s">
        <v>51</v>
      </c>
      <c r="J18795" s="42">
        <v>45589</v>
      </c>
      <c r="K18795" s="33" t="s">
        <v>22</v>
      </c>
    </row>
    <row r="18796" spans="1:11">
      <c r="A18796" s="30" t="s">
        <v>41922</v>
      </c>
      <c r="B18796" s="30" t="s">
        <v>41923</v>
      </c>
      <c r="C18796" s="30" t="s">
        <v>635</v>
      </c>
      <c r="D18796" s="30" t="s">
        <v>17</v>
      </c>
      <c r="E18796" s="30" t="s">
        <v>26</v>
      </c>
      <c r="F18796" s="30" t="s">
        <v>27</v>
      </c>
      <c r="G18796" s="30" t="s">
        <v>140</v>
      </c>
      <c r="H18796" s="32">
        <v>339</v>
      </c>
      <c r="I18796" s="30" t="s">
        <v>51</v>
      </c>
      <c r="J18796" s="41">
        <v>45314</v>
      </c>
      <c r="K18796" s="30" t="s">
        <v>22</v>
      </c>
    </row>
    <row r="18797" spans="1:11">
      <c r="A18797" s="33" t="s">
        <v>41924</v>
      </c>
      <c r="B18797" s="33" t="s">
        <v>41925</v>
      </c>
      <c r="C18797" s="33" t="s">
        <v>41926</v>
      </c>
      <c r="D18797" s="33" t="s">
        <v>17</v>
      </c>
      <c r="E18797" s="33" t="s">
        <v>26</v>
      </c>
      <c r="F18797" s="33" t="s">
        <v>27</v>
      </c>
      <c r="G18797" s="33" t="s">
        <v>20</v>
      </c>
      <c r="H18797" s="35">
        <v>24</v>
      </c>
      <c r="I18797" s="33" t="s">
        <v>21</v>
      </c>
      <c r="J18797" s="42">
        <v>45580</v>
      </c>
      <c r="K18797" s="33" t="s">
        <v>22</v>
      </c>
    </row>
    <row r="18798" spans="1:11">
      <c r="A18798" s="30" t="s">
        <v>41927</v>
      </c>
      <c r="B18798" s="30" t="s">
        <v>41928</v>
      </c>
      <c r="C18798" s="30" t="s">
        <v>1270</v>
      </c>
      <c r="D18798" s="30" t="s">
        <v>17</v>
      </c>
      <c r="E18798" s="30" t="s">
        <v>67</v>
      </c>
      <c r="F18798" s="30" t="s">
        <v>68</v>
      </c>
      <c r="G18798" s="30" t="s">
        <v>50</v>
      </c>
      <c r="H18798" s="32">
        <v>312</v>
      </c>
      <c r="I18798" s="30" t="s">
        <v>51</v>
      </c>
      <c r="J18798" s="41">
        <v>45413</v>
      </c>
      <c r="K18798" s="30" t="s">
        <v>22</v>
      </c>
    </row>
    <row r="18799" spans="1:11">
      <c r="A18799" s="33" t="s">
        <v>41929</v>
      </c>
      <c r="B18799" s="33" t="s">
        <v>41930</v>
      </c>
      <c r="C18799" s="33" t="s">
        <v>3775</v>
      </c>
      <c r="D18799" s="33" t="s">
        <v>17</v>
      </c>
      <c r="E18799" s="33" t="s">
        <v>26</v>
      </c>
      <c r="F18799" s="33" t="s">
        <v>27</v>
      </c>
      <c r="G18799" s="33" t="s">
        <v>20</v>
      </c>
      <c r="H18799" s="35">
        <v>53</v>
      </c>
      <c r="I18799" s="33" t="s">
        <v>21</v>
      </c>
      <c r="J18799" s="42">
        <v>45627</v>
      </c>
      <c r="K18799" s="33" t="s">
        <v>22</v>
      </c>
    </row>
    <row r="18800" spans="1:11">
      <c r="A18800" s="30" t="s">
        <v>41931</v>
      </c>
      <c r="B18800" s="30" t="s">
        <v>41932</v>
      </c>
      <c r="C18800" s="30" t="s">
        <v>26391</v>
      </c>
      <c r="D18800" s="30" t="s">
        <v>17</v>
      </c>
      <c r="E18800" s="30" t="s">
        <v>26</v>
      </c>
      <c r="F18800" s="30" t="s">
        <v>27</v>
      </c>
      <c r="G18800" s="30" t="s">
        <v>7780</v>
      </c>
      <c r="H18800" s="32">
        <v>21</v>
      </c>
      <c r="I18800" s="30" t="s">
        <v>51</v>
      </c>
      <c r="J18800" s="41">
        <v>45535</v>
      </c>
      <c r="K18800" s="30" t="s">
        <v>22</v>
      </c>
    </row>
    <row r="18801" spans="1:11">
      <c r="A18801" s="33" t="s">
        <v>41933</v>
      </c>
      <c r="B18801" s="33" t="s">
        <v>41934</v>
      </c>
      <c r="C18801" s="33" t="s">
        <v>30492</v>
      </c>
      <c r="D18801" s="33" t="s">
        <v>17</v>
      </c>
      <c r="E18801" s="33" t="s">
        <v>26</v>
      </c>
      <c r="F18801" s="33" t="s">
        <v>27</v>
      </c>
      <c r="G18801" s="33" t="s">
        <v>20</v>
      </c>
      <c r="H18801" s="35">
        <v>18</v>
      </c>
      <c r="I18801" s="33" t="s">
        <v>21</v>
      </c>
      <c r="J18801" s="42">
        <v>45369</v>
      </c>
      <c r="K18801" s="33" t="s">
        <v>22</v>
      </c>
    </row>
    <row r="18802" spans="1:11">
      <c r="A18802" s="30" t="s">
        <v>41935</v>
      </c>
      <c r="B18802" s="30" t="s">
        <v>41936</v>
      </c>
      <c r="C18802" s="30" t="s">
        <v>22118</v>
      </c>
      <c r="D18802" s="30" t="s">
        <v>17</v>
      </c>
      <c r="E18802" s="30" t="s">
        <v>67</v>
      </c>
      <c r="F18802" s="30" t="s">
        <v>68</v>
      </c>
      <c r="G18802" s="30" t="s">
        <v>158</v>
      </c>
      <c r="H18802" s="32">
        <v>764</v>
      </c>
      <c r="I18802" s="30" t="s">
        <v>51</v>
      </c>
      <c r="J18802" s="41">
        <v>45460</v>
      </c>
      <c r="K18802" s="30" t="s">
        <v>22</v>
      </c>
    </row>
    <row r="18803" spans="1:11">
      <c r="A18803" s="33" t="s">
        <v>41937</v>
      </c>
      <c r="B18803" s="33" t="s">
        <v>41938</v>
      </c>
      <c r="C18803" s="33" t="s">
        <v>203</v>
      </c>
      <c r="D18803" s="33" t="s">
        <v>17</v>
      </c>
      <c r="E18803" s="33" t="s">
        <v>31</v>
      </c>
      <c r="F18803" s="33" t="s">
        <v>32</v>
      </c>
      <c r="G18803" s="33" t="s">
        <v>20</v>
      </c>
      <c r="H18803" s="35">
        <v>312</v>
      </c>
      <c r="I18803" s="33" t="s">
        <v>21</v>
      </c>
      <c r="J18803" s="42">
        <v>45342</v>
      </c>
      <c r="K18803" s="33" t="s">
        <v>22</v>
      </c>
    </row>
    <row r="18804" spans="1:11">
      <c r="A18804" s="30" t="s">
        <v>41939</v>
      </c>
      <c r="B18804" s="30" t="s">
        <v>41940</v>
      </c>
      <c r="C18804" s="30" t="s">
        <v>787</v>
      </c>
      <c r="D18804" s="30" t="s">
        <v>17</v>
      </c>
      <c r="E18804" s="30" t="s">
        <v>18</v>
      </c>
      <c r="F18804" s="30" t="s">
        <v>19</v>
      </c>
      <c r="G18804" s="30" t="s">
        <v>140</v>
      </c>
      <c r="H18804" s="32">
        <v>244</v>
      </c>
      <c r="I18804" s="30" t="s">
        <v>51</v>
      </c>
      <c r="J18804" s="41">
        <v>45419</v>
      </c>
      <c r="K18804" s="30" t="s">
        <v>22</v>
      </c>
    </row>
    <row r="18805" spans="1:11">
      <c r="A18805" s="33" t="s">
        <v>41941</v>
      </c>
      <c r="B18805" s="33" t="s">
        <v>41942</v>
      </c>
      <c r="C18805" s="33" t="s">
        <v>231</v>
      </c>
      <c r="D18805" s="33" t="s">
        <v>17</v>
      </c>
      <c r="E18805" s="33" t="s">
        <v>31</v>
      </c>
      <c r="F18805" s="33" t="s">
        <v>32</v>
      </c>
      <c r="G18805" s="33" t="s">
        <v>106</v>
      </c>
      <c r="H18805" s="35">
        <v>22</v>
      </c>
      <c r="I18805" s="33" t="s">
        <v>21</v>
      </c>
      <c r="J18805" s="42">
        <v>45294</v>
      </c>
      <c r="K18805" s="33" t="s">
        <v>22</v>
      </c>
    </row>
    <row r="18806" spans="1:11">
      <c r="A18806" s="30" t="s">
        <v>41943</v>
      </c>
      <c r="B18806" s="30" t="s">
        <v>41944</v>
      </c>
      <c r="C18806" s="30" t="s">
        <v>222</v>
      </c>
      <c r="D18806" s="30" t="s">
        <v>17</v>
      </c>
      <c r="E18806" s="30" t="s">
        <v>67</v>
      </c>
      <c r="F18806" s="30" t="s">
        <v>68</v>
      </c>
      <c r="G18806" s="30" t="s">
        <v>140</v>
      </c>
      <c r="H18806" s="32">
        <v>137</v>
      </c>
      <c r="I18806" s="30" t="s">
        <v>51</v>
      </c>
      <c r="J18806" s="41">
        <v>45595</v>
      </c>
      <c r="K18806" s="30" t="s">
        <v>22</v>
      </c>
    </row>
    <row r="18807" spans="1:11">
      <c r="A18807" s="33" t="s">
        <v>41945</v>
      </c>
      <c r="B18807" s="33" t="s">
        <v>41946</v>
      </c>
      <c r="C18807" s="33" t="s">
        <v>39753</v>
      </c>
      <c r="D18807" s="33" t="s">
        <v>17</v>
      </c>
      <c r="E18807" s="33" t="s">
        <v>212</v>
      </c>
      <c r="F18807" s="33" t="s">
        <v>213</v>
      </c>
      <c r="G18807" s="33" t="s">
        <v>20</v>
      </c>
      <c r="H18807" s="35">
        <v>31</v>
      </c>
      <c r="I18807" s="33" t="s">
        <v>21</v>
      </c>
      <c r="J18807" s="42">
        <v>45454</v>
      </c>
      <c r="K18807" s="33" t="s">
        <v>22</v>
      </c>
    </row>
    <row r="18808" spans="1:11">
      <c r="A18808" s="30" t="s">
        <v>41947</v>
      </c>
      <c r="B18808" s="30" t="s">
        <v>41948</v>
      </c>
      <c r="C18808" s="30" t="s">
        <v>24294</v>
      </c>
      <c r="D18808" s="30" t="s">
        <v>17</v>
      </c>
      <c r="E18808" s="30" t="s">
        <v>26</v>
      </c>
      <c r="F18808" s="30" t="s">
        <v>27</v>
      </c>
      <c r="G18808" s="30" t="s">
        <v>140</v>
      </c>
      <c r="H18808" s="32">
        <v>100</v>
      </c>
      <c r="I18808" s="30" t="s">
        <v>51</v>
      </c>
      <c r="J18808" s="41">
        <v>45653</v>
      </c>
      <c r="K18808" s="30" t="s">
        <v>22</v>
      </c>
    </row>
    <row r="18809" spans="1:11">
      <c r="A18809" s="33" t="s">
        <v>41949</v>
      </c>
      <c r="B18809" s="33" t="s">
        <v>41950</v>
      </c>
      <c r="C18809" s="33" t="s">
        <v>1764</v>
      </c>
      <c r="D18809" s="33" t="s">
        <v>17</v>
      </c>
      <c r="E18809" s="33" t="s">
        <v>18</v>
      </c>
      <c r="F18809" s="33" t="s">
        <v>19</v>
      </c>
      <c r="G18809" s="33" t="s">
        <v>20</v>
      </c>
      <c r="H18809" s="35">
        <v>86</v>
      </c>
      <c r="I18809" s="33" t="s">
        <v>21</v>
      </c>
      <c r="J18809" s="42">
        <v>45341</v>
      </c>
      <c r="K18809" s="33" t="s">
        <v>22</v>
      </c>
    </row>
    <row r="18810" spans="1:11">
      <c r="A18810" s="30" t="s">
        <v>41951</v>
      </c>
      <c r="B18810" s="30" t="s">
        <v>41952</v>
      </c>
      <c r="C18810" s="30" t="s">
        <v>653</v>
      </c>
      <c r="D18810" s="30" t="s">
        <v>17</v>
      </c>
      <c r="E18810" s="30" t="s">
        <v>18</v>
      </c>
      <c r="F18810" s="30" t="s">
        <v>19</v>
      </c>
      <c r="G18810" s="30" t="s">
        <v>2613</v>
      </c>
      <c r="H18810" s="32">
        <v>1280</v>
      </c>
      <c r="I18810" s="30" t="s">
        <v>51</v>
      </c>
      <c r="J18810" s="41">
        <v>45476</v>
      </c>
      <c r="K18810" s="30" t="s">
        <v>22</v>
      </c>
    </row>
    <row r="18811" spans="1:11">
      <c r="A18811" s="33" t="s">
        <v>41953</v>
      </c>
      <c r="B18811" s="33" t="s">
        <v>41954</v>
      </c>
      <c r="C18811" s="33" t="s">
        <v>549</v>
      </c>
      <c r="D18811" s="33" t="s">
        <v>17</v>
      </c>
      <c r="E18811" s="33" t="s">
        <v>45</v>
      </c>
      <c r="F18811" s="33" t="s">
        <v>46</v>
      </c>
      <c r="G18811" s="33" t="s">
        <v>140</v>
      </c>
      <c r="H18811" s="35">
        <v>8</v>
      </c>
      <c r="I18811" s="33" t="s">
        <v>51</v>
      </c>
      <c r="J18811" s="42">
        <v>45581</v>
      </c>
      <c r="K18811" s="33" t="s">
        <v>22</v>
      </c>
    </row>
    <row r="18812" spans="1:11">
      <c r="A18812" s="30" t="s">
        <v>41955</v>
      </c>
      <c r="B18812" s="30" t="s">
        <v>41956</v>
      </c>
      <c r="C18812" s="30" t="s">
        <v>570</v>
      </c>
      <c r="D18812" s="30" t="s">
        <v>17</v>
      </c>
      <c r="E18812" s="30" t="s">
        <v>31</v>
      </c>
      <c r="F18812" s="30" t="s">
        <v>32</v>
      </c>
      <c r="G18812" s="30" t="s">
        <v>140</v>
      </c>
      <c r="H18812" s="32">
        <v>120</v>
      </c>
      <c r="I18812" s="30" t="s">
        <v>51</v>
      </c>
      <c r="J18812" s="41">
        <v>45370</v>
      </c>
      <c r="K18812" s="30" t="s">
        <v>22</v>
      </c>
    </row>
    <row r="18813" spans="1:11">
      <c r="A18813" s="33" t="s">
        <v>41957</v>
      </c>
      <c r="B18813" s="33" t="s">
        <v>41958</v>
      </c>
      <c r="C18813" s="33" t="s">
        <v>231</v>
      </c>
      <c r="D18813" s="33" t="s">
        <v>17</v>
      </c>
      <c r="E18813" s="33" t="s">
        <v>26</v>
      </c>
      <c r="F18813" s="33" t="s">
        <v>27</v>
      </c>
      <c r="G18813" s="33" t="s">
        <v>158</v>
      </c>
      <c r="H18813" s="35">
        <v>65</v>
      </c>
      <c r="I18813" s="33" t="s">
        <v>21</v>
      </c>
      <c r="J18813" s="42">
        <v>45313</v>
      </c>
      <c r="K18813" s="33" t="s">
        <v>22</v>
      </c>
    </row>
    <row r="18814" spans="1:11">
      <c r="A18814" s="30" t="s">
        <v>41959</v>
      </c>
      <c r="B18814" s="30" t="s">
        <v>41960</v>
      </c>
      <c r="C18814" s="30" t="s">
        <v>2618</v>
      </c>
      <c r="D18814" s="30" t="s">
        <v>17</v>
      </c>
      <c r="E18814" s="30" t="s">
        <v>26</v>
      </c>
      <c r="F18814" s="30" t="s">
        <v>27</v>
      </c>
      <c r="G18814" s="30" t="s">
        <v>140</v>
      </c>
      <c r="H18814" s="32">
        <v>52</v>
      </c>
      <c r="I18814" s="30" t="s">
        <v>51</v>
      </c>
      <c r="J18814" s="41">
        <v>45604</v>
      </c>
      <c r="K18814" s="30" t="s">
        <v>22</v>
      </c>
    </row>
    <row r="18815" spans="1:11">
      <c r="A18815" s="33" t="s">
        <v>41961</v>
      </c>
      <c r="B18815" s="33" t="s">
        <v>41962</v>
      </c>
      <c r="C18815" s="33" t="s">
        <v>2562</v>
      </c>
      <c r="D18815" s="33" t="s">
        <v>17</v>
      </c>
      <c r="E18815" s="33" t="s">
        <v>26</v>
      </c>
      <c r="F18815" s="33" t="s">
        <v>27</v>
      </c>
      <c r="G18815" s="33" t="s">
        <v>140</v>
      </c>
      <c r="H18815" s="35">
        <v>48</v>
      </c>
      <c r="I18815" s="33" t="s">
        <v>51</v>
      </c>
      <c r="J18815" s="42">
        <v>45604</v>
      </c>
      <c r="K18815" s="33" t="s">
        <v>22</v>
      </c>
    </row>
    <row r="18816" spans="1:11">
      <c r="A18816" s="30" t="s">
        <v>41963</v>
      </c>
      <c r="B18816" s="30" t="s">
        <v>41964</v>
      </c>
      <c r="C18816" s="30" t="s">
        <v>9725</v>
      </c>
      <c r="D18816" s="30" t="s">
        <v>17</v>
      </c>
      <c r="E18816" s="30" t="s">
        <v>26</v>
      </c>
      <c r="F18816" s="30" t="s">
        <v>27</v>
      </c>
      <c r="G18816" s="30" t="s">
        <v>7780</v>
      </c>
      <c r="H18816" s="32">
        <v>40</v>
      </c>
      <c r="I18816" s="30" t="s">
        <v>51</v>
      </c>
      <c r="J18816" s="41">
        <v>45474</v>
      </c>
      <c r="K18816" s="30" t="s">
        <v>22</v>
      </c>
    </row>
    <row r="18817" spans="1:11">
      <c r="A18817" s="33" t="s">
        <v>41965</v>
      </c>
      <c r="B18817" s="33" t="s">
        <v>41966</v>
      </c>
      <c r="C18817" s="33" t="s">
        <v>44</v>
      </c>
      <c r="D18817" s="33" t="s">
        <v>17</v>
      </c>
      <c r="E18817" s="33" t="s">
        <v>31</v>
      </c>
      <c r="F18817" s="33" t="s">
        <v>32</v>
      </c>
      <c r="G18817" s="33" t="s">
        <v>140</v>
      </c>
      <c r="H18817" s="35">
        <v>116</v>
      </c>
      <c r="I18817" s="33" t="s">
        <v>51</v>
      </c>
      <c r="J18817" s="42">
        <v>45551</v>
      </c>
      <c r="K18817" s="33" t="s">
        <v>22</v>
      </c>
    </row>
    <row r="18818" spans="1:11">
      <c r="A18818" s="30" t="s">
        <v>41967</v>
      </c>
      <c r="B18818" s="30" t="s">
        <v>41968</v>
      </c>
      <c r="C18818" s="30" t="s">
        <v>22597</v>
      </c>
      <c r="D18818" s="30" t="s">
        <v>17</v>
      </c>
      <c r="E18818" s="30" t="s">
        <v>26</v>
      </c>
      <c r="F18818" s="30" t="s">
        <v>27</v>
      </c>
      <c r="G18818" s="30" t="s">
        <v>20</v>
      </c>
      <c r="H18818" s="32">
        <v>135</v>
      </c>
      <c r="I18818" s="30" t="s">
        <v>21</v>
      </c>
      <c r="J18818" s="41">
        <v>45404</v>
      </c>
      <c r="K18818" s="30" t="s">
        <v>22</v>
      </c>
    </row>
    <row r="18819" spans="1:11">
      <c r="A18819" s="33" t="s">
        <v>41969</v>
      </c>
      <c r="B18819" s="33" t="s">
        <v>41970</v>
      </c>
      <c r="C18819" s="33" t="s">
        <v>8421</v>
      </c>
      <c r="D18819" s="33" t="s">
        <v>17</v>
      </c>
      <c r="E18819" s="33" t="s">
        <v>45</v>
      </c>
      <c r="F18819" s="33" t="s">
        <v>46</v>
      </c>
      <c r="G18819" s="33" t="s">
        <v>140</v>
      </c>
      <c r="H18819" s="35">
        <v>150</v>
      </c>
      <c r="I18819" s="33" t="s">
        <v>51</v>
      </c>
      <c r="J18819" s="42">
        <v>45643</v>
      </c>
      <c r="K18819" s="33" t="s">
        <v>22</v>
      </c>
    </row>
    <row r="18820" spans="1:11">
      <c r="A18820" s="30" t="s">
        <v>41971</v>
      </c>
      <c r="B18820" s="30" t="s">
        <v>41972</v>
      </c>
      <c r="C18820" s="30" t="s">
        <v>20331</v>
      </c>
      <c r="D18820" s="30" t="s">
        <v>17</v>
      </c>
      <c r="E18820" s="30" t="s">
        <v>212</v>
      </c>
      <c r="F18820" s="30" t="s">
        <v>213</v>
      </c>
      <c r="G18820" s="30" t="s">
        <v>158</v>
      </c>
      <c r="H18820" s="32">
        <v>80</v>
      </c>
      <c r="I18820" s="30" t="s">
        <v>51</v>
      </c>
      <c r="J18820" s="41">
        <v>45606</v>
      </c>
      <c r="K18820" s="30" t="s">
        <v>22</v>
      </c>
    </row>
    <row r="18821" spans="1:11">
      <c r="A18821" s="33" t="s">
        <v>41973</v>
      </c>
      <c r="B18821" s="33" t="s">
        <v>41974</v>
      </c>
      <c r="C18821" s="33" t="s">
        <v>118</v>
      </c>
      <c r="D18821" s="33" t="s">
        <v>17</v>
      </c>
      <c r="E18821" s="33" t="s">
        <v>26</v>
      </c>
      <c r="F18821" s="33" t="s">
        <v>27</v>
      </c>
      <c r="G18821" s="33" t="s">
        <v>20</v>
      </c>
      <c r="H18821" s="35">
        <v>14</v>
      </c>
      <c r="I18821" s="33" t="s">
        <v>21</v>
      </c>
      <c r="J18821" s="42">
        <v>45419</v>
      </c>
      <c r="K18821" s="33" t="s">
        <v>22</v>
      </c>
    </row>
    <row r="18822" spans="1:11">
      <c r="A18822" s="30" t="s">
        <v>41975</v>
      </c>
      <c r="B18822" s="30" t="s">
        <v>41976</v>
      </c>
      <c r="C18822" s="30" t="s">
        <v>21185</v>
      </c>
      <c r="D18822" s="30" t="s">
        <v>17</v>
      </c>
      <c r="E18822" s="30" t="s">
        <v>31</v>
      </c>
      <c r="F18822" s="30" t="s">
        <v>32</v>
      </c>
      <c r="G18822" s="30" t="s">
        <v>20</v>
      </c>
      <c r="H18822" s="32">
        <v>59</v>
      </c>
      <c r="I18822" s="30" t="s">
        <v>21</v>
      </c>
      <c r="J18822" s="41">
        <v>45477</v>
      </c>
      <c r="K18822" s="30" t="s">
        <v>22</v>
      </c>
    </row>
    <row r="18823" spans="1:11">
      <c r="A18823" s="33" t="s">
        <v>41977</v>
      </c>
      <c r="B18823" s="33" t="s">
        <v>41978</v>
      </c>
      <c r="C18823" s="33" t="s">
        <v>8611</v>
      </c>
      <c r="D18823" s="33" t="s">
        <v>17</v>
      </c>
      <c r="E18823" s="33" t="s">
        <v>330</v>
      </c>
      <c r="F18823" s="33" t="s">
        <v>331</v>
      </c>
      <c r="G18823" s="33" t="s">
        <v>140</v>
      </c>
      <c r="H18823" s="35">
        <v>45</v>
      </c>
      <c r="I18823" s="33" t="s">
        <v>51</v>
      </c>
      <c r="J18823" s="42">
        <v>45505</v>
      </c>
      <c r="K18823" s="33" t="s">
        <v>22</v>
      </c>
    </row>
    <row r="18824" spans="1:11">
      <c r="A18824" s="30" t="s">
        <v>41979</v>
      </c>
      <c r="B18824" s="30" t="s">
        <v>41980</v>
      </c>
      <c r="C18824" s="30" t="s">
        <v>25632</v>
      </c>
      <c r="D18824" s="30" t="s">
        <v>17</v>
      </c>
      <c r="E18824" s="30" t="s">
        <v>18</v>
      </c>
      <c r="F18824" s="30" t="s">
        <v>19</v>
      </c>
      <c r="G18824" s="30" t="s">
        <v>158</v>
      </c>
      <c r="H18824" s="32">
        <v>45</v>
      </c>
      <c r="I18824" s="30" t="s">
        <v>51</v>
      </c>
      <c r="J18824" s="41">
        <v>45639</v>
      </c>
      <c r="K18824" s="30" t="s">
        <v>22</v>
      </c>
    </row>
    <row r="18825" spans="1:11">
      <c r="A18825" s="33" t="s">
        <v>41981</v>
      </c>
      <c r="B18825" s="33" t="s">
        <v>41982</v>
      </c>
      <c r="C18825" s="33" t="s">
        <v>187</v>
      </c>
      <c r="D18825" s="33" t="s">
        <v>17</v>
      </c>
      <c r="E18825" s="33" t="s">
        <v>26</v>
      </c>
      <c r="F18825" s="33" t="s">
        <v>27</v>
      </c>
      <c r="G18825" s="33" t="s">
        <v>20</v>
      </c>
      <c r="H18825" s="35">
        <v>32</v>
      </c>
      <c r="I18825" s="33" t="s">
        <v>21</v>
      </c>
      <c r="J18825" s="42">
        <v>45616</v>
      </c>
      <c r="K18825" s="33" t="s">
        <v>22</v>
      </c>
    </row>
    <row r="18826" spans="1:11">
      <c r="A18826" s="30" t="s">
        <v>41983</v>
      </c>
      <c r="B18826" s="30" t="s">
        <v>41984</v>
      </c>
      <c r="C18826" s="30" t="s">
        <v>41985</v>
      </c>
      <c r="D18826" s="30" t="s">
        <v>17</v>
      </c>
      <c r="E18826" s="30" t="s">
        <v>26</v>
      </c>
      <c r="F18826" s="30" t="s">
        <v>27</v>
      </c>
      <c r="G18826" s="30" t="s">
        <v>140</v>
      </c>
      <c r="H18826" s="32">
        <v>30</v>
      </c>
      <c r="I18826" s="30" t="s">
        <v>51</v>
      </c>
      <c r="J18826" s="41">
        <v>45569</v>
      </c>
      <c r="K18826" s="30" t="s">
        <v>22</v>
      </c>
    </row>
    <row r="18827" spans="1:11">
      <c r="A18827" s="33" t="s">
        <v>41986</v>
      </c>
      <c r="B18827" s="33" t="s">
        <v>41987</v>
      </c>
      <c r="C18827" s="33" t="s">
        <v>11668</v>
      </c>
      <c r="D18827" s="33" t="s">
        <v>17</v>
      </c>
      <c r="E18827" s="33" t="s">
        <v>26</v>
      </c>
      <c r="F18827" s="33" t="s">
        <v>27</v>
      </c>
      <c r="G18827" s="33" t="s">
        <v>112</v>
      </c>
      <c r="H18827" s="35">
        <v>0</v>
      </c>
      <c r="I18827" s="33" t="s">
        <v>21</v>
      </c>
      <c r="J18827" s="42">
        <v>45450</v>
      </c>
      <c r="K18827" s="33" t="s">
        <v>22</v>
      </c>
    </row>
    <row r="18828" spans="1:11">
      <c r="A18828" s="30" t="s">
        <v>41988</v>
      </c>
      <c r="B18828" s="30" t="s">
        <v>41989</v>
      </c>
      <c r="C18828" s="30" t="s">
        <v>41990</v>
      </c>
      <c r="D18828" s="30" t="s">
        <v>17</v>
      </c>
      <c r="E18828" s="30" t="s">
        <v>31</v>
      </c>
      <c r="F18828" s="30" t="s">
        <v>32</v>
      </c>
      <c r="G18828" s="30" t="s">
        <v>140</v>
      </c>
      <c r="H18828" s="32">
        <v>126</v>
      </c>
      <c r="I18828" s="30" t="s">
        <v>51</v>
      </c>
      <c r="J18828" s="41">
        <v>45582</v>
      </c>
      <c r="K18828" s="30" t="s">
        <v>22</v>
      </c>
    </row>
    <row r="18829" spans="1:11">
      <c r="A18829" s="33" t="s">
        <v>41991</v>
      </c>
      <c r="B18829" s="33" t="s">
        <v>41992</v>
      </c>
      <c r="C18829" s="33" t="s">
        <v>41993</v>
      </c>
      <c r="D18829" s="33" t="s">
        <v>17</v>
      </c>
      <c r="E18829" s="33" t="s">
        <v>26</v>
      </c>
      <c r="F18829" s="33" t="s">
        <v>27</v>
      </c>
      <c r="G18829" s="33" t="s">
        <v>7780</v>
      </c>
      <c r="H18829" s="35">
        <v>12</v>
      </c>
      <c r="I18829" s="33" t="s">
        <v>51</v>
      </c>
      <c r="J18829" s="42">
        <v>45497</v>
      </c>
      <c r="K18829" s="33" t="s">
        <v>22</v>
      </c>
    </row>
    <row r="18830" spans="1:11">
      <c r="A18830" s="30" t="s">
        <v>41994</v>
      </c>
      <c r="B18830" s="30" t="s">
        <v>41995</v>
      </c>
      <c r="C18830" s="30" t="s">
        <v>650</v>
      </c>
      <c r="D18830" s="30" t="s">
        <v>17</v>
      </c>
      <c r="E18830" s="30" t="s">
        <v>26</v>
      </c>
      <c r="F18830" s="30" t="s">
        <v>27</v>
      </c>
      <c r="G18830" s="30" t="s">
        <v>140</v>
      </c>
      <c r="H18830" s="32">
        <v>124</v>
      </c>
      <c r="I18830" s="30" t="s">
        <v>51</v>
      </c>
      <c r="J18830" s="41">
        <v>45581</v>
      </c>
      <c r="K18830" s="30" t="s">
        <v>22</v>
      </c>
    </row>
    <row r="18831" spans="1:11">
      <c r="A18831" s="33" t="s">
        <v>41996</v>
      </c>
      <c r="B18831" s="33" t="s">
        <v>41997</v>
      </c>
      <c r="C18831" s="33" t="s">
        <v>23495</v>
      </c>
      <c r="D18831" s="33" t="s">
        <v>17</v>
      </c>
      <c r="E18831" s="33" t="s">
        <v>18</v>
      </c>
      <c r="F18831" s="33" t="s">
        <v>19</v>
      </c>
      <c r="G18831" s="33" t="s">
        <v>50</v>
      </c>
      <c r="H18831" s="35">
        <v>194</v>
      </c>
      <c r="I18831" s="33" t="s">
        <v>51</v>
      </c>
      <c r="J18831" s="42">
        <v>45461</v>
      </c>
      <c r="K18831" s="33" t="s">
        <v>22</v>
      </c>
    </row>
    <row r="18832" spans="1:11">
      <c r="A18832" s="30" t="s">
        <v>41998</v>
      </c>
      <c r="B18832" s="30" t="s">
        <v>41999</v>
      </c>
      <c r="C18832" s="30" t="s">
        <v>5757</v>
      </c>
      <c r="D18832" s="30" t="s">
        <v>17</v>
      </c>
      <c r="E18832" s="30" t="s">
        <v>18</v>
      </c>
      <c r="F18832" s="30" t="s">
        <v>19</v>
      </c>
      <c r="G18832" s="30" t="s">
        <v>158</v>
      </c>
      <c r="H18832" s="32">
        <v>520</v>
      </c>
      <c r="I18832" s="30" t="s">
        <v>51</v>
      </c>
      <c r="J18832" s="41">
        <v>45476</v>
      </c>
      <c r="K18832" s="30" t="s">
        <v>22</v>
      </c>
    </row>
    <row r="18833" spans="1:11">
      <c r="A18833" s="33" t="s">
        <v>42000</v>
      </c>
      <c r="B18833" s="33" t="s">
        <v>42001</v>
      </c>
      <c r="C18833" s="33" t="s">
        <v>9095</v>
      </c>
      <c r="D18833" s="33" t="s">
        <v>17</v>
      </c>
      <c r="E18833" s="33" t="s">
        <v>26</v>
      </c>
      <c r="F18833" s="33" t="s">
        <v>27</v>
      </c>
      <c r="G18833" s="33" t="s">
        <v>20</v>
      </c>
      <c r="H18833" s="35">
        <v>141</v>
      </c>
      <c r="I18833" s="33" t="s">
        <v>21</v>
      </c>
      <c r="J18833" s="42">
        <v>45358</v>
      </c>
      <c r="K18833" s="33" t="s">
        <v>22</v>
      </c>
    </row>
    <row r="18834" spans="1:11">
      <c r="A18834" s="30" t="s">
        <v>42002</v>
      </c>
      <c r="B18834" s="30" t="s">
        <v>42003</v>
      </c>
      <c r="C18834" s="30" t="s">
        <v>318</v>
      </c>
      <c r="D18834" s="30" t="s">
        <v>17</v>
      </c>
      <c r="E18834" s="30" t="s">
        <v>18</v>
      </c>
      <c r="F18834" s="30" t="s">
        <v>19</v>
      </c>
      <c r="G18834" s="30" t="s">
        <v>158</v>
      </c>
      <c r="H18834" s="32">
        <v>651</v>
      </c>
      <c r="I18834" s="30" t="s">
        <v>21</v>
      </c>
      <c r="J18834" s="41">
        <v>45315</v>
      </c>
      <c r="K18834" s="30" t="s">
        <v>22</v>
      </c>
    </row>
    <row r="18835" spans="1:11">
      <c r="A18835" s="33" t="s">
        <v>42004</v>
      </c>
      <c r="B18835" s="33" t="s">
        <v>42005</v>
      </c>
      <c r="C18835" s="33" t="s">
        <v>9629</v>
      </c>
      <c r="D18835" s="33" t="s">
        <v>17</v>
      </c>
      <c r="E18835" s="33" t="s">
        <v>67</v>
      </c>
      <c r="F18835" s="33" t="s">
        <v>68</v>
      </c>
      <c r="G18835" s="33" t="s">
        <v>7780</v>
      </c>
      <c r="H18835" s="35">
        <v>140</v>
      </c>
      <c r="I18835" s="33" t="s">
        <v>51</v>
      </c>
      <c r="J18835" s="42">
        <v>45627</v>
      </c>
      <c r="K18835" s="33" t="s">
        <v>22</v>
      </c>
    </row>
    <row r="18836" spans="1:11">
      <c r="A18836" s="30" t="s">
        <v>42006</v>
      </c>
      <c r="B18836" s="30" t="s">
        <v>42007</v>
      </c>
      <c r="C18836" s="30" t="s">
        <v>15097</v>
      </c>
      <c r="D18836" s="30" t="s">
        <v>17</v>
      </c>
      <c r="E18836" s="30" t="s">
        <v>31</v>
      </c>
      <c r="F18836" s="30" t="s">
        <v>32</v>
      </c>
      <c r="G18836" s="30" t="s">
        <v>140</v>
      </c>
      <c r="H18836" s="32">
        <v>83</v>
      </c>
      <c r="I18836" s="30" t="s">
        <v>51</v>
      </c>
      <c r="J18836" s="41">
        <v>45384</v>
      </c>
      <c r="K18836" s="30" t="s">
        <v>22</v>
      </c>
    </row>
    <row r="18837" spans="1:11">
      <c r="A18837" s="33" t="s">
        <v>42008</v>
      </c>
      <c r="B18837" s="33" t="s">
        <v>42009</v>
      </c>
      <c r="C18837" s="33" t="s">
        <v>2292</v>
      </c>
      <c r="D18837" s="33" t="s">
        <v>17</v>
      </c>
      <c r="E18837" s="33" t="s">
        <v>18</v>
      </c>
      <c r="F18837" s="33" t="s">
        <v>19</v>
      </c>
      <c r="G18837" s="33" t="s">
        <v>158</v>
      </c>
      <c r="H18837" s="35">
        <v>19</v>
      </c>
      <c r="I18837" s="33" t="s">
        <v>21</v>
      </c>
      <c r="J18837" s="42">
        <v>45331</v>
      </c>
      <c r="K18837" s="33" t="s">
        <v>22</v>
      </c>
    </row>
    <row r="18838" spans="1:11">
      <c r="A18838" s="30" t="s">
        <v>42010</v>
      </c>
      <c r="B18838" s="30" t="s">
        <v>42011</v>
      </c>
      <c r="C18838" s="30" t="s">
        <v>1391</v>
      </c>
      <c r="D18838" s="30" t="s">
        <v>17</v>
      </c>
      <c r="E18838" s="30" t="s">
        <v>18</v>
      </c>
      <c r="F18838" s="30" t="s">
        <v>19</v>
      </c>
      <c r="G18838" s="30" t="s">
        <v>20</v>
      </c>
      <c r="H18838" s="32">
        <v>9320</v>
      </c>
      <c r="I18838" s="30" t="s">
        <v>21</v>
      </c>
      <c r="J18838" s="41">
        <v>45635</v>
      </c>
      <c r="K18838" s="30" t="s">
        <v>22</v>
      </c>
    </row>
    <row r="18839" spans="1:11">
      <c r="A18839" s="33" t="s">
        <v>42012</v>
      </c>
      <c r="B18839" s="33" t="s">
        <v>42013</v>
      </c>
      <c r="C18839" s="33" t="s">
        <v>33473</v>
      </c>
      <c r="D18839" s="33" t="s">
        <v>17</v>
      </c>
      <c r="E18839" s="33" t="s">
        <v>18</v>
      </c>
      <c r="F18839" s="33" t="s">
        <v>19</v>
      </c>
      <c r="G18839" s="33" t="s">
        <v>158</v>
      </c>
      <c r="H18839" s="35">
        <v>316</v>
      </c>
      <c r="I18839" s="33" t="s">
        <v>21</v>
      </c>
      <c r="J18839" s="42">
        <v>45538</v>
      </c>
      <c r="K18839" s="33" t="s">
        <v>22</v>
      </c>
    </row>
    <row r="18840" spans="1:11">
      <c r="A18840" s="30" t="s">
        <v>42014</v>
      </c>
      <c r="B18840" s="30" t="s">
        <v>42015</v>
      </c>
      <c r="C18840" s="30" t="s">
        <v>39495</v>
      </c>
      <c r="D18840" s="30" t="s">
        <v>17</v>
      </c>
      <c r="E18840" s="30" t="s">
        <v>18</v>
      </c>
      <c r="F18840" s="30" t="s">
        <v>19</v>
      </c>
      <c r="G18840" s="30" t="s">
        <v>140</v>
      </c>
      <c r="H18840" s="32">
        <v>210</v>
      </c>
      <c r="I18840" s="30" t="s">
        <v>51</v>
      </c>
      <c r="J18840" s="41">
        <v>45612</v>
      </c>
      <c r="K18840" s="30" t="s">
        <v>22</v>
      </c>
    </row>
    <row r="18841" spans="1:11">
      <c r="A18841" s="33" t="s">
        <v>42016</v>
      </c>
      <c r="B18841" s="33" t="s">
        <v>42017</v>
      </c>
      <c r="C18841" s="33" t="s">
        <v>39563</v>
      </c>
      <c r="D18841" s="33" t="s">
        <v>17</v>
      </c>
      <c r="E18841" s="33" t="s">
        <v>26</v>
      </c>
      <c r="F18841" s="33" t="s">
        <v>27</v>
      </c>
      <c r="G18841" s="33" t="s">
        <v>50</v>
      </c>
      <c r="H18841" s="35">
        <v>30</v>
      </c>
      <c r="I18841" s="33" t="s">
        <v>51</v>
      </c>
      <c r="J18841" s="42">
        <v>45496</v>
      </c>
      <c r="K18841" s="33" t="s">
        <v>22</v>
      </c>
    </row>
    <row r="18842" spans="1:11">
      <c r="A18842" s="30" t="s">
        <v>42018</v>
      </c>
      <c r="B18842" s="30" t="s">
        <v>42019</v>
      </c>
      <c r="C18842" s="30" t="s">
        <v>231</v>
      </c>
      <c r="D18842" s="30" t="s">
        <v>17</v>
      </c>
      <c r="E18842" s="30" t="s">
        <v>26</v>
      </c>
      <c r="F18842" s="30" t="s">
        <v>27</v>
      </c>
      <c r="G18842" s="30" t="s">
        <v>20</v>
      </c>
      <c r="H18842" s="32">
        <v>16</v>
      </c>
      <c r="I18842" s="30" t="s">
        <v>21</v>
      </c>
      <c r="J18842" s="41">
        <v>45307</v>
      </c>
      <c r="K18842" s="30" t="s">
        <v>22</v>
      </c>
    </row>
    <row r="18843" spans="1:11">
      <c r="A18843" s="33" t="s">
        <v>42020</v>
      </c>
      <c r="B18843" s="33" t="s">
        <v>42021</v>
      </c>
      <c r="C18843" s="33" t="s">
        <v>1024</v>
      </c>
      <c r="D18843" s="33" t="s">
        <v>17</v>
      </c>
      <c r="E18843" s="33" t="s">
        <v>31</v>
      </c>
      <c r="F18843" s="33" t="s">
        <v>32</v>
      </c>
      <c r="G18843" s="33" t="s">
        <v>20</v>
      </c>
      <c r="H18843" s="35">
        <v>493</v>
      </c>
      <c r="I18843" s="33" t="s">
        <v>21</v>
      </c>
      <c r="J18843" s="42">
        <v>45635</v>
      </c>
      <c r="K18843" s="33" t="s">
        <v>22</v>
      </c>
    </row>
    <row r="18844" spans="1:11">
      <c r="A18844" s="30" t="s">
        <v>42022</v>
      </c>
      <c r="B18844" s="30" t="s">
        <v>42023</v>
      </c>
      <c r="C18844" s="30" t="s">
        <v>93</v>
      </c>
      <c r="D18844" s="30" t="s">
        <v>17</v>
      </c>
      <c r="E18844" s="30" t="s">
        <v>26</v>
      </c>
      <c r="F18844" s="30" t="s">
        <v>27</v>
      </c>
      <c r="G18844" s="30" t="s">
        <v>20</v>
      </c>
      <c r="H18844" s="32">
        <v>60</v>
      </c>
      <c r="I18844" s="30" t="s">
        <v>21</v>
      </c>
      <c r="J18844" s="41">
        <v>45496</v>
      </c>
      <c r="K18844" s="30" t="s">
        <v>22</v>
      </c>
    </row>
    <row r="18845" spans="1:11">
      <c r="A18845" s="33" t="s">
        <v>42024</v>
      </c>
      <c r="B18845" s="33" t="s">
        <v>42025</v>
      </c>
      <c r="C18845" s="33" t="s">
        <v>13241</v>
      </c>
      <c r="D18845" s="33" t="s">
        <v>17</v>
      </c>
      <c r="E18845" s="33" t="s">
        <v>31</v>
      </c>
      <c r="F18845" s="33" t="s">
        <v>32</v>
      </c>
      <c r="G18845" s="33" t="s">
        <v>20</v>
      </c>
      <c r="H18845" s="35">
        <v>303</v>
      </c>
      <c r="I18845" s="33" t="s">
        <v>21</v>
      </c>
      <c r="J18845" s="42">
        <v>45342</v>
      </c>
      <c r="K18845" s="33" t="s">
        <v>22</v>
      </c>
    </row>
    <row r="18846" spans="1:11">
      <c r="A18846" s="30" t="s">
        <v>42026</v>
      </c>
      <c r="B18846" s="30" t="s">
        <v>42027</v>
      </c>
      <c r="C18846" s="30" t="s">
        <v>3302</v>
      </c>
      <c r="D18846" s="30" t="s">
        <v>17</v>
      </c>
      <c r="E18846" s="30" t="s">
        <v>212</v>
      </c>
      <c r="F18846" s="30" t="s">
        <v>213</v>
      </c>
      <c r="G18846" s="30" t="s">
        <v>20</v>
      </c>
      <c r="H18846" s="32">
        <v>136</v>
      </c>
      <c r="I18846" s="30" t="s">
        <v>21</v>
      </c>
      <c r="J18846" s="41">
        <v>45343</v>
      </c>
      <c r="K18846" s="30" t="s">
        <v>22</v>
      </c>
    </row>
    <row r="18847" spans="1:11">
      <c r="A18847" s="33" t="s">
        <v>42028</v>
      </c>
      <c r="B18847" s="33" t="s">
        <v>42029</v>
      </c>
      <c r="C18847" s="33" t="s">
        <v>1270</v>
      </c>
      <c r="D18847" s="33" t="s">
        <v>17</v>
      </c>
      <c r="E18847" s="33" t="s">
        <v>26</v>
      </c>
      <c r="F18847" s="33" t="s">
        <v>27</v>
      </c>
      <c r="G18847" s="33" t="s">
        <v>50</v>
      </c>
      <c r="H18847" s="35">
        <v>96</v>
      </c>
      <c r="I18847" s="33" t="s">
        <v>51</v>
      </c>
      <c r="J18847" s="42">
        <v>45322</v>
      </c>
      <c r="K18847" s="33" t="s">
        <v>22</v>
      </c>
    </row>
    <row r="18848" spans="1:11">
      <c r="A18848" s="30" t="s">
        <v>42030</v>
      </c>
      <c r="B18848" s="30" t="s">
        <v>42031</v>
      </c>
      <c r="C18848" s="30" t="s">
        <v>36731</v>
      </c>
      <c r="D18848" s="30" t="s">
        <v>17</v>
      </c>
      <c r="E18848" s="30" t="s">
        <v>31</v>
      </c>
      <c r="F18848" s="30" t="s">
        <v>32</v>
      </c>
      <c r="G18848" s="30" t="s">
        <v>106</v>
      </c>
      <c r="H18848" s="32">
        <v>7</v>
      </c>
      <c r="I18848" s="30" t="s">
        <v>21</v>
      </c>
      <c r="J18848" s="41">
        <v>45294</v>
      </c>
      <c r="K18848" s="30" t="s">
        <v>22</v>
      </c>
    </row>
    <row r="18849" spans="1:11">
      <c r="A18849" s="33" t="s">
        <v>42032</v>
      </c>
      <c r="B18849" s="33" t="s">
        <v>42033</v>
      </c>
      <c r="C18849" s="33" t="s">
        <v>698</v>
      </c>
      <c r="D18849" s="33" t="s">
        <v>17</v>
      </c>
      <c r="E18849" s="33" t="s">
        <v>18</v>
      </c>
      <c r="F18849" s="33" t="s">
        <v>19</v>
      </c>
      <c r="G18849" s="33" t="s">
        <v>7780</v>
      </c>
      <c r="H18849" s="35">
        <v>1360</v>
      </c>
      <c r="I18849" s="33" t="s">
        <v>51</v>
      </c>
      <c r="J18849" s="42">
        <v>45387</v>
      </c>
      <c r="K18849" s="33" t="s">
        <v>22</v>
      </c>
    </row>
    <row r="18850" spans="1:11">
      <c r="A18850" s="30" t="s">
        <v>42034</v>
      </c>
      <c r="B18850" s="30" t="s">
        <v>42035</v>
      </c>
      <c r="C18850" s="30" t="s">
        <v>252</v>
      </c>
      <c r="D18850" s="30" t="s">
        <v>17</v>
      </c>
      <c r="E18850" s="30" t="s">
        <v>18</v>
      </c>
      <c r="F18850" s="30" t="s">
        <v>19</v>
      </c>
      <c r="G18850" s="30" t="s">
        <v>140</v>
      </c>
      <c r="H18850" s="32">
        <v>469</v>
      </c>
      <c r="I18850" s="30" t="s">
        <v>51</v>
      </c>
      <c r="J18850" s="41">
        <v>45506</v>
      </c>
      <c r="K18850" s="30" t="s">
        <v>22</v>
      </c>
    </row>
    <row r="18851" spans="1:11">
      <c r="A18851" s="33" t="s">
        <v>42036</v>
      </c>
      <c r="B18851" s="33" t="s">
        <v>42037</v>
      </c>
      <c r="C18851" s="33" t="s">
        <v>93</v>
      </c>
      <c r="D18851" s="33" t="s">
        <v>17</v>
      </c>
      <c r="E18851" s="33" t="s">
        <v>45</v>
      </c>
      <c r="F18851" s="33" t="s">
        <v>46</v>
      </c>
      <c r="G18851" s="33" t="s">
        <v>140</v>
      </c>
      <c r="H18851" s="35">
        <v>660</v>
      </c>
      <c r="I18851" s="33" t="s">
        <v>51</v>
      </c>
      <c r="J18851" s="42">
        <v>45302</v>
      </c>
      <c r="K18851" s="33" t="s">
        <v>22</v>
      </c>
    </row>
    <row r="18852" spans="1:11">
      <c r="A18852" s="30" t="s">
        <v>42038</v>
      </c>
      <c r="B18852" s="30" t="s">
        <v>42039</v>
      </c>
      <c r="C18852" s="30" t="s">
        <v>42040</v>
      </c>
      <c r="D18852" s="30" t="s">
        <v>17</v>
      </c>
      <c r="E18852" s="30" t="s">
        <v>18</v>
      </c>
      <c r="F18852" s="30" t="s">
        <v>19</v>
      </c>
      <c r="G18852" s="30" t="s">
        <v>140</v>
      </c>
      <c r="H18852" s="32">
        <v>280</v>
      </c>
      <c r="I18852" s="30" t="s">
        <v>51</v>
      </c>
      <c r="J18852" s="41">
        <v>45539</v>
      </c>
      <c r="K18852" s="30" t="s">
        <v>22</v>
      </c>
    </row>
    <row r="18853" spans="1:11">
      <c r="A18853" s="33" t="s">
        <v>42041</v>
      </c>
      <c r="B18853" s="33" t="s">
        <v>42042</v>
      </c>
      <c r="C18853" s="33" t="s">
        <v>30753</v>
      </c>
      <c r="D18853" s="33" t="s">
        <v>17</v>
      </c>
      <c r="E18853" s="33" t="s">
        <v>26</v>
      </c>
      <c r="F18853" s="33" t="s">
        <v>27</v>
      </c>
      <c r="G18853" s="33" t="s">
        <v>140</v>
      </c>
      <c r="H18853" s="35">
        <v>57</v>
      </c>
      <c r="I18853" s="33" t="s">
        <v>51</v>
      </c>
      <c r="J18853" s="42">
        <v>45623</v>
      </c>
      <c r="K18853" s="33" t="s">
        <v>22</v>
      </c>
    </row>
    <row r="18854" spans="1:11">
      <c r="A18854" s="30" t="s">
        <v>42043</v>
      </c>
      <c r="B18854" s="30" t="s">
        <v>42044</v>
      </c>
      <c r="C18854" s="30" t="s">
        <v>318</v>
      </c>
      <c r="D18854" s="30" t="s">
        <v>17</v>
      </c>
      <c r="E18854" s="30" t="s">
        <v>18</v>
      </c>
      <c r="F18854" s="30" t="s">
        <v>19</v>
      </c>
      <c r="G18854" s="30" t="s">
        <v>158</v>
      </c>
      <c r="H18854" s="32">
        <v>89</v>
      </c>
      <c r="I18854" s="30" t="s">
        <v>21</v>
      </c>
      <c r="J18854" s="41">
        <v>45478</v>
      </c>
      <c r="K18854" s="30" t="s">
        <v>22</v>
      </c>
    </row>
    <row r="18855" spans="1:11">
      <c r="A18855" s="33" t="s">
        <v>42045</v>
      </c>
      <c r="B18855" s="33" t="s">
        <v>42046</v>
      </c>
      <c r="C18855" s="33" t="s">
        <v>817</v>
      </c>
      <c r="D18855" s="33" t="s">
        <v>17</v>
      </c>
      <c r="E18855" s="33" t="s">
        <v>26</v>
      </c>
      <c r="F18855" s="33" t="s">
        <v>27</v>
      </c>
      <c r="G18855" s="33" t="s">
        <v>20</v>
      </c>
      <c r="H18855" s="35">
        <v>8</v>
      </c>
      <c r="I18855" s="33" t="s">
        <v>21</v>
      </c>
      <c r="J18855" s="42">
        <v>45377</v>
      </c>
      <c r="K18855" s="33" t="s">
        <v>22</v>
      </c>
    </row>
    <row r="18856" spans="1:11">
      <c r="A18856" s="30" t="s">
        <v>42047</v>
      </c>
      <c r="B18856" s="30" t="s">
        <v>42048</v>
      </c>
      <c r="C18856" s="30" t="s">
        <v>75</v>
      </c>
      <c r="D18856" s="30" t="s">
        <v>17</v>
      </c>
      <c r="E18856" s="30" t="s">
        <v>18</v>
      </c>
      <c r="F18856" s="30" t="s">
        <v>19</v>
      </c>
      <c r="G18856" s="30" t="s">
        <v>140</v>
      </c>
      <c r="H18856" s="32">
        <v>1000</v>
      </c>
      <c r="I18856" s="30" t="s">
        <v>51</v>
      </c>
      <c r="J18856" s="41">
        <v>45572</v>
      </c>
      <c r="K18856" s="30" t="s">
        <v>22</v>
      </c>
    </row>
    <row r="18857" spans="1:11">
      <c r="A18857" s="33" t="s">
        <v>42049</v>
      </c>
      <c r="B18857" s="33" t="s">
        <v>42050</v>
      </c>
      <c r="C18857" s="33" t="s">
        <v>14457</v>
      </c>
      <c r="D18857" s="33" t="s">
        <v>17</v>
      </c>
      <c r="E18857" s="33" t="s">
        <v>67</v>
      </c>
      <c r="F18857" s="33" t="s">
        <v>68</v>
      </c>
      <c r="G18857" s="33" t="s">
        <v>140</v>
      </c>
      <c r="H18857" s="35">
        <v>1130</v>
      </c>
      <c r="I18857" s="33" t="s">
        <v>51</v>
      </c>
      <c r="J18857" s="42">
        <v>45436</v>
      </c>
      <c r="K18857" s="33" t="s">
        <v>22</v>
      </c>
    </row>
    <row r="18858" spans="1:11">
      <c r="A18858" s="30" t="s">
        <v>42051</v>
      </c>
      <c r="B18858" s="30" t="s">
        <v>42052</v>
      </c>
      <c r="C18858" s="30" t="s">
        <v>647</v>
      </c>
      <c r="D18858" s="30" t="s">
        <v>17</v>
      </c>
      <c r="E18858" s="30" t="s">
        <v>26</v>
      </c>
      <c r="F18858" s="30" t="s">
        <v>27</v>
      </c>
      <c r="G18858" s="30" t="s">
        <v>20</v>
      </c>
      <c r="H18858" s="32">
        <v>23</v>
      </c>
      <c r="I18858" s="30" t="s">
        <v>21</v>
      </c>
      <c r="J18858" s="41">
        <v>45580</v>
      </c>
      <c r="K18858" s="30" t="s">
        <v>22</v>
      </c>
    </row>
    <row r="18859" spans="1:11">
      <c r="A18859" s="33" t="s">
        <v>42053</v>
      </c>
      <c r="B18859" s="33" t="s">
        <v>42054</v>
      </c>
      <c r="C18859" s="33" t="s">
        <v>549</v>
      </c>
      <c r="D18859" s="33" t="s">
        <v>17</v>
      </c>
      <c r="E18859" s="33" t="s">
        <v>26</v>
      </c>
      <c r="F18859" s="33" t="s">
        <v>27</v>
      </c>
      <c r="G18859" s="33" t="s">
        <v>106</v>
      </c>
      <c r="H18859" s="35">
        <v>56</v>
      </c>
      <c r="I18859" s="33" t="s">
        <v>21</v>
      </c>
      <c r="J18859" s="42">
        <v>45504</v>
      </c>
      <c r="K18859" s="33" t="s">
        <v>22</v>
      </c>
    </row>
    <row r="18860" spans="1:11">
      <c r="A18860" s="30" t="s">
        <v>42055</v>
      </c>
      <c r="B18860" s="30" t="s">
        <v>42056</v>
      </c>
      <c r="C18860" s="30" t="s">
        <v>4133</v>
      </c>
      <c r="D18860" s="30" t="s">
        <v>17</v>
      </c>
      <c r="E18860" s="30" t="s">
        <v>26</v>
      </c>
      <c r="F18860" s="30" t="s">
        <v>27</v>
      </c>
      <c r="G18860" s="30" t="s">
        <v>140</v>
      </c>
      <c r="H18860" s="32">
        <v>160</v>
      </c>
      <c r="I18860" s="30" t="s">
        <v>51</v>
      </c>
      <c r="J18860" s="41">
        <v>45384</v>
      </c>
      <c r="K18860" s="30" t="s">
        <v>22</v>
      </c>
    </row>
    <row r="18861" spans="1:11">
      <c r="A18861" s="33" t="s">
        <v>42057</v>
      </c>
      <c r="B18861" s="33" t="s">
        <v>42058</v>
      </c>
      <c r="C18861" s="33" t="s">
        <v>15659</v>
      </c>
      <c r="D18861" s="33" t="s">
        <v>17</v>
      </c>
      <c r="E18861" s="33" t="s">
        <v>45</v>
      </c>
      <c r="F18861" s="33" t="s">
        <v>46</v>
      </c>
      <c r="G18861" s="33" t="s">
        <v>158</v>
      </c>
      <c r="H18861" s="35">
        <v>270</v>
      </c>
      <c r="I18861" s="33" t="s">
        <v>51</v>
      </c>
      <c r="J18861" s="42">
        <v>45586</v>
      </c>
      <c r="K18861" s="33" t="s">
        <v>22</v>
      </c>
    </row>
    <row r="18862" spans="1:11">
      <c r="A18862" s="30" t="s">
        <v>42059</v>
      </c>
      <c r="B18862" s="30" t="s">
        <v>42060</v>
      </c>
      <c r="C18862" s="30" t="s">
        <v>18347</v>
      </c>
      <c r="D18862" s="30" t="s">
        <v>17</v>
      </c>
      <c r="E18862" s="30" t="s">
        <v>18</v>
      </c>
      <c r="F18862" s="30" t="s">
        <v>19</v>
      </c>
      <c r="G18862" s="30" t="s">
        <v>140</v>
      </c>
      <c r="H18862" s="32">
        <v>476</v>
      </c>
      <c r="I18862" s="30" t="s">
        <v>51</v>
      </c>
      <c r="J18862" s="41">
        <v>45441</v>
      </c>
      <c r="K18862" s="30" t="s">
        <v>22</v>
      </c>
    </row>
    <row r="18863" spans="1:11">
      <c r="A18863" s="33" t="s">
        <v>42061</v>
      </c>
      <c r="B18863" s="33" t="s">
        <v>42062</v>
      </c>
      <c r="C18863" s="33" t="s">
        <v>21185</v>
      </c>
      <c r="D18863" s="33" t="s">
        <v>17</v>
      </c>
      <c r="E18863" s="33" t="s">
        <v>26</v>
      </c>
      <c r="F18863" s="33" t="s">
        <v>27</v>
      </c>
      <c r="G18863" s="33" t="s">
        <v>106</v>
      </c>
      <c r="H18863" s="35">
        <v>20</v>
      </c>
      <c r="I18863" s="33" t="s">
        <v>21</v>
      </c>
      <c r="J18863" s="42">
        <v>45337</v>
      </c>
      <c r="K18863" s="33" t="s">
        <v>22</v>
      </c>
    </row>
    <row r="18864" spans="1:11">
      <c r="A18864" s="30" t="s">
        <v>42063</v>
      </c>
      <c r="B18864" s="30" t="s">
        <v>42064</v>
      </c>
      <c r="C18864" s="30" t="s">
        <v>343</v>
      </c>
      <c r="D18864" s="30" t="s">
        <v>17</v>
      </c>
      <c r="E18864" s="30" t="s">
        <v>18</v>
      </c>
      <c r="F18864" s="30" t="s">
        <v>19</v>
      </c>
      <c r="G18864" s="30" t="s">
        <v>106</v>
      </c>
      <c r="H18864" s="32">
        <v>52</v>
      </c>
      <c r="I18864" s="30" t="s">
        <v>21</v>
      </c>
      <c r="J18864" s="41">
        <v>45645</v>
      </c>
      <c r="K18864" s="30" t="s">
        <v>22</v>
      </c>
    </row>
    <row r="18865" spans="1:11">
      <c r="A18865" s="33" t="s">
        <v>42065</v>
      </c>
      <c r="B18865" s="33" t="s">
        <v>42066</v>
      </c>
      <c r="C18865" s="33" t="s">
        <v>42067</v>
      </c>
      <c r="D18865" s="33" t="s">
        <v>17</v>
      </c>
      <c r="E18865" s="33" t="s">
        <v>31</v>
      </c>
      <c r="F18865" s="33" t="s">
        <v>32</v>
      </c>
      <c r="G18865" s="33" t="s">
        <v>20</v>
      </c>
      <c r="H18865" s="35">
        <v>41</v>
      </c>
      <c r="I18865" s="33" t="s">
        <v>21</v>
      </c>
      <c r="J18865" s="42">
        <v>45356</v>
      </c>
      <c r="K18865" s="33" t="s">
        <v>22</v>
      </c>
    </row>
    <row r="18866" spans="1:11">
      <c r="A18866" s="30" t="s">
        <v>42068</v>
      </c>
      <c r="B18866" s="30" t="s">
        <v>42069</v>
      </c>
      <c r="C18866" s="30" t="s">
        <v>136</v>
      </c>
      <c r="D18866" s="30" t="s">
        <v>17</v>
      </c>
      <c r="E18866" s="30" t="s">
        <v>26</v>
      </c>
      <c r="F18866" s="30" t="s">
        <v>27</v>
      </c>
      <c r="G18866" s="30" t="s">
        <v>140</v>
      </c>
      <c r="H18866" s="32">
        <v>495</v>
      </c>
      <c r="I18866" s="30" t="s">
        <v>51</v>
      </c>
      <c r="J18866" s="41">
        <v>45432</v>
      </c>
      <c r="K18866" s="30" t="s">
        <v>22</v>
      </c>
    </row>
    <row r="18867" spans="1:11">
      <c r="A18867" s="33" t="s">
        <v>42070</v>
      </c>
      <c r="B18867" s="33" t="s">
        <v>42071</v>
      </c>
      <c r="C18867" s="33" t="s">
        <v>37587</v>
      </c>
      <c r="D18867" s="33" t="s">
        <v>17</v>
      </c>
      <c r="E18867" s="33" t="s">
        <v>67</v>
      </c>
      <c r="F18867" s="33" t="s">
        <v>68</v>
      </c>
      <c r="G18867" s="33" t="s">
        <v>140</v>
      </c>
      <c r="H18867" s="35">
        <v>18</v>
      </c>
      <c r="I18867" s="33" t="s">
        <v>51</v>
      </c>
      <c r="J18867" s="42">
        <v>45441</v>
      </c>
      <c r="K18867" s="33" t="s">
        <v>22</v>
      </c>
    </row>
    <row r="18868" spans="1:11">
      <c r="A18868" s="30" t="s">
        <v>42072</v>
      </c>
      <c r="B18868" s="30" t="s">
        <v>42073</v>
      </c>
      <c r="C18868" s="30" t="s">
        <v>42074</v>
      </c>
      <c r="D18868" s="30" t="s">
        <v>17</v>
      </c>
      <c r="E18868" s="30" t="s">
        <v>67</v>
      </c>
      <c r="F18868" s="30" t="s">
        <v>68</v>
      </c>
      <c r="G18868" s="30" t="s">
        <v>140</v>
      </c>
      <c r="H18868" s="32">
        <v>40</v>
      </c>
      <c r="I18868" s="30" t="s">
        <v>51</v>
      </c>
      <c r="J18868" s="41">
        <v>45308</v>
      </c>
      <c r="K18868" s="30" t="s">
        <v>22</v>
      </c>
    </row>
    <row r="18869" spans="1:11">
      <c r="A18869" s="33" t="s">
        <v>42075</v>
      </c>
      <c r="B18869" s="33" t="s">
        <v>42076</v>
      </c>
      <c r="C18869" s="33" t="s">
        <v>99</v>
      </c>
      <c r="D18869" s="33" t="s">
        <v>17</v>
      </c>
      <c r="E18869" s="33" t="s">
        <v>31</v>
      </c>
      <c r="F18869" s="33" t="s">
        <v>32</v>
      </c>
      <c r="G18869" s="33" t="s">
        <v>140</v>
      </c>
      <c r="H18869" s="35">
        <v>60</v>
      </c>
      <c r="I18869" s="33" t="s">
        <v>51</v>
      </c>
      <c r="J18869" s="42">
        <v>45549</v>
      </c>
      <c r="K18869" s="33" t="s">
        <v>22</v>
      </c>
    </row>
    <row r="18870" spans="1:11">
      <c r="A18870" s="30" t="s">
        <v>42077</v>
      </c>
      <c r="B18870" s="30" t="s">
        <v>42078</v>
      </c>
      <c r="C18870" s="30" t="s">
        <v>124</v>
      </c>
      <c r="D18870" s="30" t="s">
        <v>17</v>
      </c>
      <c r="E18870" s="30" t="s">
        <v>26</v>
      </c>
      <c r="F18870" s="30" t="s">
        <v>27</v>
      </c>
      <c r="G18870" s="30" t="s">
        <v>140</v>
      </c>
      <c r="H18870" s="32">
        <v>316</v>
      </c>
      <c r="I18870" s="30" t="s">
        <v>51</v>
      </c>
      <c r="J18870" s="41">
        <v>45468</v>
      </c>
      <c r="K18870" s="30" t="s">
        <v>22</v>
      </c>
    </row>
    <row r="18871" spans="1:11">
      <c r="A18871" s="33" t="s">
        <v>42079</v>
      </c>
      <c r="B18871" s="33" t="s">
        <v>42080</v>
      </c>
      <c r="C18871" s="33" t="s">
        <v>28495</v>
      </c>
      <c r="D18871" s="33" t="s">
        <v>17</v>
      </c>
      <c r="E18871" s="33" t="s">
        <v>31</v>
      </c>
      <c r="F18871" s="33" t="s">
        <v>32</v>
      </c>
      <c r="G18871" s="33" t="s">
        <v>140</v>
      </c>
      <c r="H18871" s="35">
        <v>20</v>
      </c>
      <c r="I18871" s="33" t="s">
        <v>51</v>
      </c>
      <c r="J18871" s="42">
        <v>45352</v>
      </c>
      <c r="K18871" s="33" t="s">
        <v>22</v>
      </c>
    </row>
    <row r="18872" spans="1:11">
      <c r="A18872" s="30" t="s">
        <v>42081</v>
      </c>
      <c r="B18872" s="30" t="s">
        <v>42082</v>
      </c>
      <c r="C18872" s="30" t="s">
        <v>6437</v>
      </c>
      <c r="D18872" s="30" t="s">
        <v>17</v>
      </c>
      <c r="E18872" s="30" t="s">
        <v>45</v>
      </c>
      <c r="F18872" s="30" t="s">
        <v>46</v>
      </c>
      <c r="G18872" s="30" t="s">
        <v>158</v>
      </c>
      <c r="H18872" s="32">
        <v>80</v>
      </c>
      <c r="I18872" s="30" t="s">
        <v>51</v>
      </c>
      <c r="J18872" s="41">
        <v>45386</v>
      </c>
      <c r="K18872" s="30" t="s">
        <v>22</v>
      </c>
    </row>
    <row r="18873" spans="1:11">
      <c r="A18873" s="33" t="s">
        <v>42083</v>
      </c>
      <c r="B18873" s="33" t="s">
        <v>42084</v>
      </c>
      <c r="C18873" s="33" t="s">
        <v>31562</v>
      </c>
      <c r="D18873" s="33" t="s">
        <v>17</v>
      </c>
      <c r="E18873" s="33" t="s">
        <v>26</v>
      </c>
      <c r="F18873" s="33" t="s">
        <v>27</v>
      </c>
      <c r="G18873" s="33" t="s">
        <v>140</v>
      </c>
      <c r="H18873" s="35">
        <v>780</v>
      </c>
      <c r="I18873" s="33" t="s">
        <v>51</v>
      </c>
      <c r="J18873" s="42">
        <v>45640</v>
      </c>
      <c r="K18873" s="33" t="s">
        <v>22</v>
      </c>
    </row>
    <row r="18874" spans="1:11">
      <c r="A18874" s="30" t="s">
        <v>42085</v>
      </c>
      <c r="B18874" s="30" t="s">
        <v>42086</v>
      </c>
      <c r="C18874" s="30" t="s">
        <v>1154</v>
      </c>
      <c r="D18874" s="30" t="s">
        <v>17</v>
      </c>
      <c r="E18874" s="30" t="s">
        <v>18</v>
      </c>
      <c r="F18874" s="30" t="s">
        <v>19</v>
      </c>
      <c r="G18874" s="30" t="s">
        <v>20</v>
      </c>
      <c r="H18874" s="32">
        <v>262</v>
      </c>
      <c r="I18874" s="30" t="s">
        <v>21</v>
      </c>
      <c r="J18874" s="41">
        <v>45481</v>
      </c>
      <c r="K18874" s="30" t="s">
        <v>22</v>
      </c>
    </row>
    <row r="18875" spans="1:11">
      <c r="A18875" s="33" t="s">
        <v>42087</v>
      </c>
      <c r="B18875" s="33" t="s">
        <v>42088</v>
      </c>
      <c r="C18875" s="33" t="s">
        <v>29513</v>
      </c>
      <c r="D18875" s="33" t="s">
        <v>17</v>
      </c>
      <c r="E18875" s="33" t="s">
        <v>26</v>
      </c>
      <c r="F18875" s="33" t="s">
        <v>27</v>
      </c>
      <c r="G18875" s="33" t="s">
        <v>140</v>
      </c>
      <c r="H18875" s="35">
        <v>48</v>
      </c>
      <c r="I18875" s="33" t="s">
        <v>51</v>
      </c>
      <c r="J18875" s="42">
        <v>45357</v>
      </c>
      <c r="K18875" s="33" t="s">
        <v>22</v>
      </c>
    </row>
    <row r="18876" spans="1:11">
      <c r="A18876" s="30" t="s">
        <v>42089</v>
      </c>
      <c r="B18876" s="30" t="s">
        <v>42090</v>
      </c>
      <c r="C18876" s="30" t="s">
        <v>12443</v>
      </c>
      <c r="D18876" s="30" t="s">
        <v>17</v>
      </c>
      <c r="E18876" s="30" t="s">
        <v>26</v>
      </c>
      <c r="F18876" s="30" t="s">
        <v>27</v>
      </c>
      <c r="G18876" s="30" t="s">
        <v>140</v>
      </c>
      <c r="H18876" s="32">
        <v>12</v>
      </c>
      <c r="I18876" s="30" t="s">
        <v>51</v>
      </c>
      <c r="J18876" s="41">
        <v>45442</v>
      </c>
      <c r="K18876" s="30" t="s">
        <v>22</v>
      </c>
    </row>
    <row r="18877" spans="1:11">
      <c r="A18877" s="33" t="s">
        <v>42091</v>
      </c>
      <c r="B18877" s="33" t="s">
        <v>42092</v>
      </c>
      <c r="C18877" s="33" t="s">
        <v>4348</v>
      </c>
      <c r="D18877" s="33" t="s">
        <v>17</v>
      </c>
      <c r="E18877" s="33" t="s">
        <v>67</v>
      </c>
      <c r="F18877" s="33" t="s">
        <v>68</v>
      </c>
      <c r="G18877" s="33" t="s">
        <v>140</v>
      </c>
      <c r="H18877" s="35">
        <v>42</v>
      </c>
      <c r="I18877" s="33" t="s">
        <v>51</v>
      </c>
      <c r="J18877" s="42">
        <v>45310</v>
      </c>
      <c r="K18877" s="33" t="s">
        <v>22</v>
      </c>
    </row>
    <row r="18878" spans="1:11">
      <c r="A18878" s="30" t="s">
        <v>42093</v>
      </c>
      <c r="B18878" s="30" t="s">
        <v>42094</v>
      </c>
      <c r="C18878" s="30" t="s">
        <v>535</v>
      </c>
      <c r="D18878" s="30" t="s">
        <v>17</v>
      </c>
      <c r="E18878" s="30" t="s">
        <v>26</v>
      </c>
      <c r="F18878" s="30" t="s">
        <v>27</v>
      </c>
      <c r="G18878" s="30" t="s">
        <v>20</v>
      </c>
      <c r="H18878" s="32">
        <v>24</v>
      </c>
      <c r="I18878" s="30" t="s">
        <v>21</v>
      </c>
      <c r="J18878" s="41">
        <v>45656</v>
      </c>
      <c r="K18878" s="30" t="s">
        <v>22</v>
      </c>
    </row>
    <row r="18879" spans="1:11">
      <c r="A18879" s="33" t="s">
        <v>42095</v>
      </c>
      <c r="B18879" s="33" t="s">
        <v>42096</v>
      </c>
      <c r="C18879" s="33" t="s">
        <v>10589</v>
      </c>
      <c r="D18879" s="33" t="s">
        <v>17</v>
      </c>
      <c r="E18879" s="33" t="s">
        <v>26</v>
      </c>
      <c r="F18879" s="33" t="s">
        <v>27</v>
      </c>
      <c r="G18879" s="33" t="s">
        <v>20</v>
      </c>
      <c r="H18879" s="35">
        <v>95</v>
      </c>
      <c r="I18879" s="33" t="s">
        <v>21</v>
      </c>
      <c r="J18879" s="42">
        <v>45511</v>
      </c>
      <c r="K18879" s="33" t="s">
        <v>22</v>
      </c>
    </row>
    <row r="18880" spans="1:11">
      <c r="A18880" s="30" t="s">
        <v>42097</v>
      </c>
      <c r="B18880" s="30" t="s">
        <v>42098</v>
      </c>
      <c r="C18880" s="30" t="s">
        <v>14331</v>
      </c>
      <c r="D18880" s="30" t="s">
        <v>17</v>
      </c>
      <c r="E18880" s="30" t="s">
        <v>31</v>
      </c>
      <c r="F18880" s="30" t="s">
        <v>32</v>
      </c>
      <c r="G18880" s="30" t="s">
        <v>158</v>
      </c>
      <c r="H18880" s="32">
        <v>84</v>
      </c>
      <c r="I18880" s="30" t="s">
        <v>51</v>
      </c>
      <c r="J18880" s="41">
        <v>45498</v>
      </c>
      <c r="K18880" s="30" t="s">
        <v>22</v>
      </c>
    </row>
    <row r="18881" spans="1:11">
      <c r="A18881" s="33" t="s">
        <v>42099</v>
      </c>
      <c r="B18881" s="33" t="s">
        <v>42100</v>
      </c>
      <c r="C18881" s="33" t="s">
        <v>222</v>
      </c>
      <c r="D18881" s="33" t="s">
        <v>17</v>
      </c>
      <c r="E18881" s="33" t="s">
        <v>18</v>
      </c>
      <c r="F18881" s="33" t="s">
        <v>19</v>
      </c>
      <c r="G18881" s="33" t="s">
        <v>140</v>
      </c>
      <c r="H18881" s="35">
        <v>50</v>
      </c>
      <c r="I18881" s="33" t="s">
        <v>51</v>
      </c>
      <c r="J18881" s="42">
        <v>45296</v>
      </c>
      <c r="K18881" s="33" t="s">
        <v>22</v>
      </c>
    </row>
    <row r="18882" spans="1:11">
      <c r="A18882" s="30" t="s">
        <v>42101</v>
      </c>
      <c r="B18882" s="30" t="s">
        <v>42102</v>
      </c>
      <c r="C18882" s="30" t="s">
        <v>5050</v>
      </c>
      <c r="D18882" s="30" t="s">
        <v>17</v>
      </c>
      <c r="E18882" s="30" t="s">
        <v>26</v>
      </c>
      <c r="F18882" s="30" t="s">
        <v>27</v>
      </c>
      <c r="G18882" s="30" t="s">
        <v>140</v>
      </c>
      <c r="H18882" s="32">
        <v>86</v>
      </c>
      <c r="I18882" s="30" t="s">
        <v>51</v>
      </c>
      <c r="J18882" s="41">
        <v>45502</v>
      </c>
      <c r="K18882" s="30" t="s">
        <v>22</v>
      </c>
    </row>
    <row r="18883" spans="1:11">
      <c r="A18883" s="33" t="s">
        <v>42103</v>
      </c>
      <c r="B18883" s="33" t="s">
        <v>42104</v>
      </c>
      <c r="C18883" s="33" t="s">
        <v>11899</v>
      </c>
      <c r="D18883" s="33" t="s">
        <v>17</v>
      </c>
      <c r="E18883" s="33" t="s">
        <v>18</v>
      </c>
      <c r="F18883" s="33" t="s">
        <v>19</v>
      </c>
      <c r="G18883" s="33" t="s">
        <v>140</v>
      </c>
      <c r="H18883" s="35">
        <v>440</v>
      </c>
      <c r="I18883" s="33" t="s">
        <v>51</v>
      </c>
      <c r="J18883" s="42">
        <v>45422</v>
      </c>
      <c r="K18883" s="33" t="s">
        <v>22</v>
      </c>
    </row>
    <row r="18884" spans="1:11">
      <c r="A18884" s="30" t="s">
        <v>42105</v>
      </c>
      <c r="B18884" s="30" t="s">
        <v>42106</v>
      </c>
      <c r="C18884" s="30" t="s">
        <v>42107</v>
      </c>
      <c r="D18884" s="30" t="s">
        <v>17</v>
      </c>
      <c r="E18884" s="30" t="s">
        <v>26</v>
      </c>
      <c r="F18884" s="30" t="s">
        <v>27</v>
      </c>
      <c r="G18884" s="30" t="s">
        <v>112</v>
      </c>
      <c r="H18884" s="32">
        <v>0</v>
      </c>
      <c r="I18884" s="30" t="s">
        <v>21</v>
      </c>
      <c r="J18884" s="41">
        <v>45292</v>
      </c>
      <c r="K18884" s="30" t="s">
        <v>22</v>
      </c>
    </row>
    <row r="18885" spans="1:11">
      <c r="A18885" s="33" t="s">
        <v>42108</v>
      </c>
      <c r="B18885" s="33" t="s">
        <v>42109</v>
      </c>
      <c r="C18885" s="33" t="s">
        <v>136</v>
      </c>
      <c r="D18885" s="33" t="s">
        <v>17</v>
      </c>
      <c r="E18885" s="33" t="s">
        <v>18</v>
      </c>
      <c r="F18885" s="33" t="s">
        <v>19</v>
      </c>
      <c r="G18885" s="33" t="s">
        <v>158</v>
      </c>
      <c r="H18885" s="35">
        <v>301</v>
      </c>
      <c r="I18885" s="33" t="s">
        <v>21</v>
      </c>
      <c r="J18885" s="42">
        <v>45406</v>
      </c>
      <c r="K18885" s="33" t="s">
        <v>22</v>
      </c>
    </row>
    <row r="18886" spans="1:11">
      <c r="A18886" s="30" t="s">
        <v>42110</v>
      </c>
      <c r="B18886" s="30" t="s">
        <v>42111</v>
      </c>
      <c r="C18886" s="30" t="s">
        <v>1493</v>
      </c>
      <c r="D18886" s="30" t="s">
        <v>17</v>
      </c>
      <c r="E18886" s="30" t="s">
        <v>31</v>
      </c>
      <c r="F18886" s="30" t="s">
        <v>32</v>
      </c>
      <c r="G18886" s="30" t="s">
        <v>20</v>
      </c>
      <c r="H18886" s="32">
        <v>57</v>
      </c>
      <c r="I18886" s="30" t="s">
        <v>21</v>
      </c>
      <c r="J18886" s="41">
        <v>45469</v>
      </c>
      <c r="K18886" s="30" t="s">
        <v>22</v>
      </c>
    </row>
    <row r="18887" spans="1:11">
      <c r="A18887" s="33" t="s">
        <v>42112</v>
      </c>
      <c r="B18887" s="33" t="s">
        <v>42113</v>
      </c>
      <c r="C18887" s="33" t="s">
        <v>318</v>
      </c>
      <c r="D18887" s="33" t="s">
        <v>17</v>
      </c>
      <c r="E18887" s="33" t="s">
        <v>26</v>
      </c>
      <c r="F18887" s="33" t="s">
        <v>27</v>
      </c>
      <c r="G18887" s="33" t="s">
        <v>20</v>
      </c>
      <c r="H18887" s="35">
        <v>20</v>
      </c>
      <c r="I18887" s="33" t="s">
        <v>21</v>
      </c>
      <c r="J18887" s="42">
        <v>45407</v>
      </c>
      <c r="K18887" s="33" t="s">
        <v>22</v>
      </c>
    </row>
    <row r="18888" spans="1:11">
      <c r="A18888" s="30" t="s">
        <v>42114</v>
      </c>
      <c r="B18888" s="30" t="s">
        <v>42115</v>
      </c>
      <c r="C18888" s="30" t="s">
        <v>7163</v>
      </c>
      <c r="D18888" s="30" t="s">
        <v>17</v>
      </c>
      <c r="E18888" s="30" t="s">
        <v>26</v>
      </c>
      <c r="F18888" s="30" t="s">
        <v>27</v>
      </c>
      <c r="G18888" s="30" t="s">
        <v>20</v>
      </c>
      <c r="H18888" s="32">
        <v>12</v>
      </c>
      <c r="I18888" s="30" t="s">
        <v>21</v>
      </c>
      <c r="J18888" s="41">
        <v>45428</v>
      </c>
      <c r="K18888" s="30" t="s">
        <v>22</v>
      </c>
    </row>
    <row r="18889" spans="1:11">
      <c r="A18889" s="33" t="s">
        <v>42116</v>
      </c>
      <c r="B18889" s="33" t="s">
        <v>42117</v>
      </c>
      <c r="C18889" s="33" t="s">
        <v>15917</v>
      </c>
      <c r="D18889" s="33" t="s">
        <v>17</v>
      </c>
      <c r="E18889" s="33" t="s">
        <v>26</v>
      </c>
      <c r="F18889" s="33" t="s">
        <v>27</v>
      </c>
      <c r="G18889" s="33" t="s">
        <v>20</v>
      </c>
      <c r="H18889" s="35">
        <v>64</v>
      </c>
      <c r="I18889" s="33" t="s">
        <v>21</v>
      </c>
      <c r="J18889" s="42">
        <v>45469</v>
      </c>
      <c r="K18889" s="33" t="s">
        <v>22</v>
      </c>
    </row>
    <row r="18890" spans="1:11">
      <c r="A18890" s="30" t="s">
        <v>42118</v>
      </c>
      <c r="B18890" s="30" t="s">
        <v>42119</v>
      </c>
      <c r="C18890" s="30" t="s">
        <v>13241</v>
      </c>
      <c r="D18890" s="30" t="s">
        <v>17</v>
      </c>
      <c r="E18890" s="30" t="s">
        <v>31</v>
      </c>
      <c r="F18890" s="30" t="s">
        <v>32</v>
      </c>
      <c r="G18890" s="30" t="s">
        <v>106</v>
      </c>
      <c r="H18890" s="32">
        <v>15</v>
      </c>
      <c r="I18890" s="30" t="s">
        <v>21</v>
      </c>
      <c r="J18890" s="41">
        <v>45524</v>
      </c>
      <c r="K18890" s="30" t="s">
        <v>22</v>
      </c>
    </row>
    <row r="18891" spans="1:11">
      <c r="A18891" s="33" t="s">
        <v>42120</v>
      </c>
      <c r="B18891" s="33" t="s">
        <v>42121</v>
      </c>
      <c r="C18891" s="33" t="s">
        <v>795</v>
      </c>
      <c r="D18891" s="33" t="s">
        <v>17</v>
      </c>
      <c r="E18891" s="33" t="s">
        <v>18</v>
      </c>
      <c r="F18891" s="33" t="s">
        <v>19</v>
      </c>
      <c r="G18891" s="33" t="s">
        <v>158</v>
      </c>
      <c r="H18891" s="35">
        <v>379</v>
      </c>
      <c r="I18891" s="33" t="s">
        <v>21</v>
      </c>
      <c r="J18891" s="42">
        <v>45517</v>
      </c>
      <c r="K18891" s="33" t="s">
        <v>22</v>
      </c>
    </row>
    <row r="18892" spans="1:11">
      <c r="A18892" s="30" t="s">
        <v>42122</v>
      </c>
      <c r="B18892" s="30" t="s">
        <v>42123</v>
      </c>
      <c r="C18892" s="30" t="s">
        <v>14597</v>
      </c>
      <c r="D18892" s="30" t="s">
        <v>17</v>
      </c>
      <c r="E18892" s="30" t="s">
        <v>45</v>
      </c>
      <c r="F18892" s="30" t="s">
        <v>46</v>
      </c>
      <c r="G18892" s="30" t="s">
        <v>112</v>
      </c>
      <c r="H18892" s="32">
        <v>0</v>
      </c>
      <c r="I18892" s="30" t="s">
        <v>21</v>
      </c>
      <c r="J18892" s="41">
        <v>45413</v>
      </c>
      <c r="K18892" s="30" t="s">
        <v>22</v>
      </c>
    </row>
    <row r="18893" spans="1:11">
      <c r="A18893" s="33" t="s">
        <v>42124</v>
      </c>
      <c r="B18893" s="33" t="s">
        <v>42125</v>
      </c>
      <c r="C18893" s="33" t="s">
        <v>7015</v>
      </c>
      <c r="D18893" s="33" t="s">
        <v>17</v>
      </c>
      <c r="E18893" s="33" t="s">
        <v>18</v>
      </c>
      <c r="F18893" s="33" t="s">
        <v>19</v>
      </c>
      <c r="G18893" s="33" t="s">
        <v>112</v>
      </c>
      <c r="H18893" s="35">
        <v>0</v>
      </c>
      <c r="I18893" s="33" t="s">
        <v>21</v>
      </c>
      <c r="J18893" s="42">
        <v>45306</v>
      </c>
      <c r="K18893" s="33" t="s">
        <v>22</v>
      </c>
    </row>
    <row r="18894" spans="1:11">
      <c r="A18894" s="30" t="s">
        <v>42126</v>
      </c>
      <c r="B18894" s="30" t="s">
        <v>42127</v>
      </c>
      <c r="C18894" s="30" t="s">
        <v>136</v>
      </c>
      <c r="D18894" s="30" t="s">
        <v>17</v>
      </c>
      <c r="E18894" s="30" t="s">
        <v>18</v>
      </c>
      <c r="F18894" s="30" t="s">
        <v>19</v>
      </c>
      <c r="G18894" s="30" t="s">
        <v>140</v>
      </c>
      <c r="H18894" s="32">
        <v>125</v>
      </c>
      <c r="I18894" s="30" t="s">
        <v>51</v>
      </c>
      <c r="J18894" s="41">
        <v>45614</v>
      </c>
      <c r="K18894" s="30" t="s">
        <v>22</v>
      </c>
    </row>
    <row r="18895" spans="1:11">
      <c r="A18895" s="33" t="s">
        <v>42128</v>
      </c>
      <c r="B18895" s="33" t="s">
        <v>42129</v>
      </c>
      <c r="C18895" s="33" t="s">
        <v>2812</v>
      </c>
      <c r="D18895" s="33" t="s">
        <v>17</v>
      </c>
      <c r="E18895" s="33" t="s">
        <v>18</v>
      </c>
      <c r="F18895" s="33" t="s">
        <v>19</v>
      </c>
      <c r="G18895" s="33" t="s">
        <v>106</v>
      </c>
      <c r="H18895" s="35">
        <v>139</v>
      </c>
      <c r="I18895" s="33" t="s">
        <v>21</v>
      </c>
      <c r="J18895" s="42">
        <v>45617</v>
      </c>
      <c r="K18895" s="33" t="s">
        <v>22</v>
      </c>
    </row>
    <row r="18896" spans="1:11">
      <c r="A18896" s="30" t="s">
        <v>42130</v>
      </c>
      <c r="B18896" s="30" t="s">
        <v>42131</v>
      </c>
      <c r="C18896" s="30" t="s">
        <v>5246</v>
      </c>
      <c r="D18896" s="30" t="s">
        <v>17</v>
      </c>
      <c r="E18896" s="30" t="s">
        <v>31</v>
      </c>
      <c r="F18896" s="30" t="s">
        <v>32</v>
      </c>
      <c r="G18896" s="30" t="s">
        <v>20</v>
      </c>
      <c r="H18896" s="32">
        <v>72</v>
      </c>
      <c r="I18896" s="30" t="s">
        <v>21</v>
      </c>
      <c r="J18896" s="41">
        <v>45626</v>
      </c>
      <c r="K18896" s="30" t="s">
        <v>22</v>
      </c>
    </row>
    <row r="18897" spans="1:11">
      <c r="A18897" s="33" t="s">
        <v>42132</v>
      </c>
      <c r="B18897" s="33" t="s">
        <v>42133</v>
      </c>
      <c r="C18897" s="33" t="s">
        <v>387</v>
      </c>
      <c r="D18897" s="33" t="s">
        <v>17</v>
      </c>
      <c r="E18897" s="33" t="s">
        <v>26</v>
      </c>
      <c r="F18897" s="33" t="s">
        <v>27</v>
      </c>
      <c r="G18897" s="33" t="s">
        <v>20</v>
      </c>
      <c r="H18897" s="35">
        <v>22</v>
      </c>
      <c r="I18897" s="33" t="s">
        <v>21</v>
      </c>
      <c r="J18897" s="42">
        <v>45349</v>
      </c>
      <c r="K18897" s="33" t="s">
        <v>22</v>
      </c>
    </row>
    <row r="18898" spans="1:11">
      <c r="A18898" s="30" t="s">
        <v>42134</v>
      </c>
      <c r="B18898" s="30" t="s">
        <v>42135</v>
      </c>
      <c r="C18898" s="30" t="s">
        <v>2196</v>
      </c>
      <c r="D18898" s="30" t="s">
        <v>17</v>
      </c>
      <c r="E18898" s="30" t="s">
        <v>18</v>
      </c>
      <c r="F18898" s="30" t="s">
        <v>19</v>
      </c>
      <c r="G18898" s="30" t="s">
        <v>140</v>
      </c>
      <c r="H18898" s="32">
        <v>412</v>
      </c>
      <c r="I18898" s="30" t="s">
        <v>51</v>
      </c>
      <c r="J18898" s="41">
        <v>45638</v>
      </c>
      <c r="K18898" s="30" t="s">
        <v>22</v>
      </c>
    </row>
    <row r="18899" spans="1:11">
      <c r="A18899" s="33" t="s">
        <v>42136</v>
      </c>
      <c r="B18899" s="33" t="s">
        <v>42137</v>
      </c>
      <c r="C18899" s="33" t="s">
        <v>34959</v>
      </c>
      <c r="D18899" s="33" t="s">
        <v>17</v>
      </c>
      <c r="E18899" s="33" t="s">
        <v>67</v>
      </c>
      <c r="F18899" s="33" t="s">
        <v>68</v>
      </c>
      <c r="G18899" s="33" t="s">
        <v>50</v>
      </c>
      <c r="H18899" s="35">
        <v>72</v>
      </c>
      <c r="I18899" s="33" t="s">
        <v>51</v>
      </c>
      <c r="J18899" s="42">
        <v>45323</v>
      </c>
      <c r="K18899" s="33" t="s">
        <v>22</v>
      </c>
    </row>
    <row r="18900" spans="1:11">
      <c r="A18900" s="30" t="s">
        <v>42138</v>
      </c>
      <c r="B18900" s="30" t="s">
        <v>42139</v>
      </c>
      <c r="C18900" s="30" t="s">
        <v>647</v>
      </c>
      <c r="D18900" s="30" t="s">
        <v>17</v>
      </c>
      <c r="E18900" s="30" t="s">
        <v>31</v>
      </c>
      <c r="F18900" s="30" t="s">
        <v>32</v>
      </c>
      <c r="G18900" s="30" t="s">
        <v>112</v>
      </c>
      <c r="H18900" s="32">
        <v>0</v>
      </c>
      <c r="I18900" s="30" t="s">
        <v>21</v>
      </c>
      <c r="J18900" s="41">
        <v>45295</v>
      </c>
      <c r="K18900" s="30" t="s">
        <v>22</v>
      </c>
    </row>
    <row r="18901" spans="1:11">
      <c r="A18901" s="33" t="s">
        <v>42140</v>
      </c>
      <c r="B18901" s="33" t="s">
        <v>42141</v>
      </c>
      <c r="C18901" s="33" t="s">
        <v>42142</v>
      </c>
      <c r="D18901" s="33" t="s">
        <v>17</v>
      </c>
      <c r="E18901" s="33" t="s">
        <v>26</v>
      </c>
      <c r="F18901" s="33" t="s">
        <v>27</v>
      </c>
      <c r="G18901" s="33" t="s">
        <v>140</v>
      </c>
      <c r="H18901" s="35">
        <v>30</v>
      </c>
      <c r="I18901" s="33" t="s">
        <v>51</v>
      </c>
      <c r="J18901" s="42">
        <v>45427</v>
      </c>
      <c r="K18901" s="33" t="s">
        <v>22</v>
      </c>
    </row>
    <row r="18902" spans="1:11">
      <c r="A18902" s="30" t="s">
        <v>42143</v>
      </c>
      <c r="B18902" s="30" t="s">
        <v>42144</v>
      </c>
      <c r="C18902" s="30" t="s">
        <v>93</v>
      </c>
      <c r="D18902" s="30" t="s">
        <v>17</v>
      </c>
      <c r="E18902" s="30" t="s">
        <v>26</v>
      </c>
      <c r="F18902" s="30" t="s">
        <v>27</v>
      </c>
      <c r="G18902" s="30" t="s">
        <v>106</v>
      </c>
      <c r="H18902" s="32">
        <v>27</v>
      </c>
      <c r="I18902" s="30" t="s">
        <v>21</v>
      </c>
      <c r="J18902" s="41">
        <v>45328</v>
      </c>
      <c r="K18902" s="30" t="s">
        <v>22</v>
      </c>
    </row>
    <row r="18903" spans="1:11">
      <c r="A18903" s="33" t="s">
        <v>42145</v>
      </c>
      <c r="B18903" s="33" t="s">
        <v>42146</v>
      </c>
      <c r="C18903" s="33" t="s">
        <v>20773</v>
      </c>
      <c r="D18903" s="33" t="s">
        <v>17</v>
      </c>
      <c r="E18903" s="33" t="s">
        <v>18</v>
      </c>
      <c r="F18903" s="33" t="s">
        <v>19</v>
      </c>
      <c r="G18903" s="33" t="s">
        <v>140</v>
      </c>
      <c r="H18903" s="35">
        <v>20</v>
      </c>
      <c r="I18903" s="33" t="s">
        <v>51</v>
      </c>
      <c r="J18903" s="42">
        <v>45534</v>
      </c>
      <c r="K18903" s="33" t="s">
        <v>22</v>
      </c>
    </row>
    <row r="18904" spans="1:11">
      <c r="A18904" s="30" t="s">
        <v>42147</v>
      </c>
      <c r="B18904" s="30" t="s">
        <v>42148</v>
      </c>
      <c r="C18904" s="30" t="s">
        <v>102</v>
      </c>
      <c r="D18904" s="30" t="s">
        <v>17</v>
      </c>
      <c r="E18904" s="30" t="s">
        <v>18</v>
      </c>
      <c r="F18904" s="30" t="s">
        <v>19</v>
      </c>
      <c r="G18904" s="30" t="s">
        <v>140</v>
      </c>
      <c r="H18904" s="32">
        <v>196</v>
      </c>
      <c r="I18904" s="30" t="s">
        <v>51</v>
      </c>
      <c r="J18904" s="41">
        <v>45594</v>
      </c>
      <c r="K18904" s="30" t="s">
        <v>22</v>
      </c>
    </row>
    <row r="18905" spans="1:11">
      <c r="A18905" s="33" t="s">
        <v>42149</v>
      </c>
      <c r="B18905" s="33" t="s">
        <v>42150</v>
      </c>
      <c r="C18905" s="33" t="s">
        <v>1428</v>
      </c>
      <c r="D18905" s="33" t="s">
        <v>17</v>
      </c>
      <c r="E18905" s="33" t="s">
        <v>18</v>
      </c>
      <c r="F18905" s="33" t="s">
        <v>19</v>
      </c>
      <c r="G18905" s="33" t="s">
        <v>140</v>
      </c>
      <c r="H18905" s="35">
        <v>36</v>
      </c>
      <c r="I18905" s="33" t="s">
        <v>51</v>
      </c>
      <c r="J18905" s="42">
        <v>45408</v>
      </c>
      <c r="K18905" s="33" t="s">
        <v>22</v>
      </c>
    </row>
    <row r="18906" spans="1:11">
      <c r="A18906" s="30" t="s">
        <v>42151</v>
      </c>
      <c r="B18906" s="30" t="s">
        <v>42152</v>
      </c>
      <c r="C18906" s="30" t="s">
        <v>549</v>
      </c>
      <c r="D18906" s="30" t="s">
        <v>17</v>
      </c>
      <c r="E18906" s="30" t="s">
        <v>18</v>
      </c>
      <c r="F18906" s="30" t="s">
        <v>19</v>
      </c>
      <c r="G18906" s="30" t="s">
        <v>140</v>
      </c>
      <c r="H18906" s="32">
        <v>168</v>
      </c>
      <c r="I18906" s="30" t="s">
        <v>51</v>
      </c>
      <c r="J18906" s="41">
        <v>45468</v>
      </c>
      <c r="K18906" s="30" t="s">
        <v>22</v>
      </c>
    </row>
    <row r="18907" spans="1:11">
      <c r="A18907" s="33" t="s">
        <v>42153</v>
      </c>
      <c r="B18907" s="33" t="s">
        <v>42154</v>
      </c>
      <c r="C18907" s="33" t="s">
        <v>33291</v>
      </c>
      <c r="D18907" s="33" t="s">
        <v>17</v>
      </c>
      <c r="E18907" s="33" t="s">
        <v>26</v>
      </c>
      <c r="F18907" s="33" t="s">
        <v>27</v>
      </c>
      <c r="G18907" s="33" t="s">
        <v>20</v>
      </c>
      <c r="H18907" s="35">
        <v>27</v>
      </c>
      <c r="I18907" s="33" t="s">
        <v>21</v>
      </c>
      <c r="J18907" s="42">
        <v>45636</v>
      </c>
      <c r="K18907" s="33" t="s">
        <v>22</v>
      </c>
    </row>
    <row r="18908" spans="1:11">
      <c r="A18908" s="30" t="s">
        <v>42155</v>
      </c>
      <c r="B18908" s="30" t="s">
        <v>42156</v>
      </c>
      <c r="C18908" s="30" t="s">
        <v>42157</v>
      </c>
      <c r="D18908" s="30" t="s">
        <v>17</v>
      </c>
      <c r="E18908" s="30" t="s">
        <v>31</v>
      </c>
      <c r="F18908" s="30" t="s">
        <v>32</v>
      </c>
      <c r="G18908" s="30" t="s">
        <v>20</v>
      </c>
      <c r="H18908" s="32">
        <v>17</v>
      </c>
      <c r="I18908" s="30" t="s">
        <v>21</v>
      </c>
      <c r="J18908" s="41">
        <v>45398</v>
      </c>
      <c r="K18908" s="30" t="s">
        <v>22</v>
      </c>
    </row>
    <row r="18909" spans="1:11">
      <c r="A18909" s="33" t="s">
        <v>42158</v>
      </c>
      <c r="B18909" s="33" t="s">
        <v>42159</v>
      </c>
      <c r="C18909" s="33" t="s">
        <v>25994</v>
      </c>
      <c r="D18909" s="33" t="s">
        <v>17</v>
      </c>
      <c r="E18909" s="33" t="s">
        <v>31</v>
      </c>
      <c r="F18909" s="33" t="s">
        <v>32</v>
      </c>
      <c r="G18909" s="33" t="s">
        <v>158</v>
      </c>
      <c r="H18909" s="35">
        <v>120</v>
      </c>
      <c r="I18909" s="33" t="s">
        <v>51</v>
      </c>
      <c r="J18909" s="42">
        <v>45555</v>
      </c>
      <c r="K18909" s="33" t="s">
        <v>22</v>
      </c>
    </row>
    <row r="18910" spans="1:11">
      <c r="A18910" s="30" t="s">
        <v>42160</v>
      </c>
      <c r="B18910" s="30" t="s">
        <v>42161</v>
      </c>
      <c r="C18910" s="30" t="s">
        <v>310</v>
      </c>
      <c r="D18910" s="30" t="s">
        <v>17</v>
      </c>
      <c r="E18910" s="30" t="s">
        <v>31</v>
      </c>
      <c r="F18910" s="30" t="s">
        <v>32</v>
      </c>
      <c r="G18910" s="30" t="s">
        <v>20</v>
      </c>
      <c r="H18910" s="32">
        <v>299</v>
      </c>
      <c r="I18910" s="30" t="s">
        <v>21</v>
      </c>
      <c r="J18910" s="41">
        <v>45369</v>
      </c>
      <c r="K18910" s="30" t="s">
        <v>22</v>
      </c>
    </row>
    <row r="18911" spans="1:11">
      <c r="A18911" s="33" t="s">
        <v>42162</v>
      </c>
      <c r="B18911" s="33" t="s">
        <v>42163</v>
      </c>
      <c r="C18911" s="33" t="s">
        <v>42164</v>
      </c>
      <c r="D18911" s="33" t="s">
        <v>17</v>
      </c>
      <c r="E18911" s="33" t="s">
        <v>31</v>
      </c>
      <c r="F18911" s="33" t="s">
        <v>32</v>
      </c>
      <c r="G18911" s="33" t="s">
        <v>20</v>
      </c>
      <c r="H18911" s="35">
        <v>99</v>
      </c>
      <c r="I18911" s="33" t="s">
        <v>21</v>
      </c>
      <c r="J18911" s="42">
        <v>45369</v>
      </c>
      <c r="K18911" s="33" t="s">
        <v>22</v>
      </c>
    </row>
    <row r="18912" spans="1:11">
      <c r="A18912" s="30" t="s">
        <v>42165</v>
      </c>
      <c r="B18912" s="30" t="s">
        <v>42166</v>
      </c>
      <c r="C18912" s="30" t="s">
        <v>42167</v>
      </c>
      <c r="D18912" s="30" t="s">
        <v>17</v>
      </c>
      <c r="E18912" s="30" t="s">
        <v>26</v>
      </c>
      <c r="F18912" s="30" t="s">
        <v>27</v>
      </c>
      <c r="G18912" s="30" t="s">
        <v>50</v>
      </c>
      <c r="H18912" s="32">
        <v>100</v>
      </c>
      <c r="I18912" s="30" t="s">
        <v>51</v>
      </c>
      <c r="J18912" s="41">
        <v>45383</v>
      </c>
      <c r="K18912" s="30" t="s">
        <v>22</v>
      </c>
    </row>
    <row r="18913" spans="1:11">
      <c r="A18913" s="33" t="s">
        <v>42168</v>
      </c>
      <c r="B18913" s="33" t="s">
        <v>42169</v>
      </c>
      <c r="C18913" s="33" t="s">
        <v>1210</v>
      </c>
      <c r="D18913" s="33" t="s">
        <v>17</v>
      </c>
      <c r="E18913" s="33" t="s">
        <v>26</v>
      </c>
      <c r="F18913" s="33" t="s">
        <v>27</v>
      </c>
      <c r="G18913" s="33" t="s">
        <v>158</v>
      </c>
      <c r="H18913" s="35">
        <v>24</v>
      </c>
      <c r="I18913" s="33" t="s">
        <v>51</v>
      </c>
      <c r="J18913" s="42">
        <v>45623</v>
      </c>
      <c r="K18913" s="33" t="s">
        <v>22</v>
      </c>
    </row>
    <row r="18914" spans="1:11">
      <c r="A18914" s="30" t="s">
        <v>42170</v>
      </c>
      <c r="B18914" s="30" t="s">
        <v>42171</v>
      </c>
      <c r="C18914" s="30" t="s">
        <v>10860</v>
      </c>
      <c r="D18914" s="30" t="s">
        <v>17</v>
      </c>
      <c r="E18914" s="30" t="s">
        <v>67</v>
      </c>
      <c r="F18914" s="30" t="s">
        <v>68</v>
      </c>
      <c r="G18914" s="30" t="s">
        <v>140</v>
      </c>
      <c r="H18914" s="32">
        <v>36</v>
      </c>
      <c r="I18914" s="30" t="s">
        <v>51</v>
      </c>
      <c r="J18914" s="41">
        <v>45523</v>
      </c>
      <c r="K18914" s="30" t="s">
        <v>22</v>
      </c>
    </row>
    <row r="18915" spans="1:11">
      <c r="A18915" s="33" t="s">
        <v>42172</v>
      </c>
      <c r="B18915" s="33" t="s">
        <v>42173</v>
      </c>
      <c r="C18915" s="33" t="s">
        <v>2117</v>
      </c>
      <c r="D18915" s="33" t="s">
        <v>17</v>
      </c>
      <c r="E18915" s="33" t="s">
        <v>26</v>
      </c>
      <c r="F18915" s="33" t="s">
        <v>27</v>
      </c>
      <c r="G18915" s="33" t="s">
        <v>20</v>
      </c>
      <c r="H18915" s="35">
        <v>130</v>
      </c>
      <c r="I18915" s="33" t="s">
        <v>21</v>
      </c>
      <c r="J18915" s="42">
        <v>45629</v>
      </c>
      <c r="K18915" s="33" t="s">
        <v>22</v>
      </c>
    </row>
    <row r="18916" spans="1:11">
      <c r="A18916" s="30" t="s">
        <v>42174</v>
      </c>
      <c r="B18916" s="30" t="s">
        <v>42175</v>
      </c>
      <c r="C18916" s="30" t="s">
        <v>42176</v>
      </c>
      <c r="D18916" s="30" t="s">
        <v>17</v>
      </c>
      <c r="E18916" s="30" t="s">
        <v>67</v>
      </c>
      <c r="F18916" s="30" t="s">
        <v>68</v>
      </c>
      <c r="G18916" s="30" t="s">
        <v>140</v>
      </c>
      <c r="H18916" s="32">
        <v>60</v>
      </c>
      <c r="I18916" s="30" t="s">
        <v>51</v>
      </c>
      <c r="J18916" s="41">
        <v>45496</v>
      </c>
      <c r="K18916" s="30" t="s">
        <v>22</v>
      </c>
    </row>
    <row r="18917" spans="1:11">
      <c r="A18917" s="33" t="s">
        <v>42177</v>
      </c>
      <c r="B18917" s="33" t="s">
        <v>42178</v>
      </c>
      <c r="C18917" s="33" t="s">
        <v>38194</v>
      </c>
      <c r="D18917" s="33" t="s">
        <v>17</v>
      </c>
      <c r="E18917" s="33" t="s">
        <v>330</v>
      </c>
      <c r="F18917" s="33" t="s">
        <v>331</v>
      </c>
      <c r="G18917" s="33" t="s">
        <v>158</v>
      </c>
      <c r="H18917" s="35">
        <v>20</v>
      </c>
      <c r="I18917" s="33" t="s">
        <v>21</v>
      </c>
      <c r="J18917" s="42">
        <v>45309</v>
      </c>
      <c r="K18917" s="33" t="s">
        <v>22</v>
      </c>
    </row>
    <row r="18918" spans="1:11">
      <c r="A18918" s="30" t="s">
        <v>42179</v>
      </c>
      <c r="B18918" s="30" t="s">
        <v>42180</v>
      </c>
      <c r="C18918" s="30" t="s">
        <v>7556</v>
      </c>
      <c r="D18918" s="30" t="s">
        <v>17</v>
      </c>
      <c r="E18918" s="30" t="s">
        <v>26</v>
      </c>
      <c r="F18918" s="30" t="s">
        <v>27</v>
      </c>
      <c r="G18918" s="30" t="s">
        <v>20</v>
      </c>
      <c r="H18918" s="32">
        <v>144</v>
      </c>
      <c r="I18918" s="30" t="s">
        <v>21</v>
      </c>
      <c r="J18918" s="41">
        <v>45469</v>
      </c>
      <c r="K18918" s="30" t="s">
        <v>22</v>
      </c>
    </row>
    <row r="18919" spans="1:11">
      <c r="A18919" s="33" t="s">
        <v>42181</v>
      </c>
      <c r="B18919" s="33" t="s">
        <v>42182</v>
      </c>
      <c r="C18919" s="33" t="s">
        <v>124</v>
      </c>
      <c r="D18919" s="33" t="s">
        <v>17</v>
      </c>
      <c r="E18919" s="33" t="s">
        <v>26</v>
      </c>
      <c r="F18919" s="33" t="s">
        <v>27</v>
      </c>
      <c r="G18919" s="33" t="s">
        <v>20</v>
      </c>
      <c r="H18919" s="35">
        <v>7</v>
      </c>
      <c r="I18919" s="33" t="s">
        <v>21</v>
      </c>
      <c r="J18919" s="42">
        <v>45544</v>
      </c>
      <c r="K18919" s="33" t="s">
        <v>22</v>
      </c>
    </row>
    <row r="18920" spans="1:11">
      <c r="A18920" s="30" t="s">
        <v>42183</v>
      </c>
      <c r="B18920" s="30" t="s">
        <v>42184</v>
      </c>
      <c r="C18920" s="30" t="s">
        <v>2812</v>
      </c>
      <c r="D18920" s="30" t="s">
        <v>17</v>
      </c>
      <c r="E18920" s="30" t="s">
        <v>18</v>
      </c>
      <c r="F18920" s="30" t="s">
        <v>19</v>
      </c>
      <c r="G18920" s="30" t="s">
        <v>20</v>
      </c>
      <c r="H18920" s="32">
        <v>346</v>
      </c>
      <c r="I18920" s="30" t="s">
        <v>21</v>
      </c>
      <c r="J18920" s="41">
        <v>45369</v>
      </c>
      <c r="K18920" s="30" t="s">
        <v>22</v>
      </c>
    </row>
    <row r="18921" spans="1:11">
      <c r="A18921" s="33" t="s">
        <v>42185</v>
      </c>
      <c r="B18921" s="33" t="s">
        <v>42186</v>
      </c>
      <c r="C18921" s="33" t="s">
        <v>1003</v>
      </c>
      <c r="D18921" s="33" t="s">
        <v>17</v>
      </c>
      <c r="E18921" s="33" t="s">
        <v>67</v>
      </c>
      <c r="F18921" s="33" t="s">
        <v>68</v>
      </c>
      <c r="G18921" s="33" t="s">
        <v>50</v>
      </c>
      <c r="H18921" s="35">
        <v>130</v>
      </c>
      <c r="I18921" s="33" t="s">
        <v>51</v>
      </c>
      <c r="J18921" s="42">
        <v>45422</v>
      </c>
      <c r="K18921" s="33" t="s">
        <v>22</v>
      </c>
    </row>
    <row r="18922" spans="1:11">
      <c r="A18922" s="30" t="s">
        <v>42187</v>
      </c>
      <c r="B18922" s="30" t="s">
        <v>42188</v>
      </c>
      <c r="C18922" s="30" t="s">
        <v>1652</v>
      </c>
      <c r="D18922" s="30" t="s">
        <v>17</v>
      </c>
      <c r="E18922" s="30" t="s">
        <v>31</v>
      </c>
      <c r="F18922" s="30" t="s">
        <v>32</v>
      </c>
      <c r="G18922" s="30" t="s">
        <v>158</v>
      </c>
      <c r="H18922" s="32">
        <v>150</v>
      </c>
      <c r="I18922" s="30" t="s">
        <v>51</v>
      </c>
      <c r="J18922" s="41">
        <v>45510</v>
      </c>
      <c r="K18922" s="30" t="s">
        <v>22</v>
      </c>
    </row>
    <row r="18923" spans="1:11">
      <c r="A18923" s="33" t="s">
        <v>42189</v>
      </c>
      <c r="B18923" s="33" t="s">
        <v>42190</v>
      </c>
      <c r="C18923" s="33" t="s">
        <v>18591</v>
      </c>
      <c r="D18923" s="33" t="s">
        <v>17</v>
      </c>
      <c r="E18923" s="33" t="s">
        <v>31</v>
      </c>
      <c r="F18923" s="33" t="s">
        <v>32</v>
      </c>
      <c r="G18923" s="33" t="s">
        <v>140</v>
      </c>
      <c r="H18923" s="35">
        <v>230</v>
      </c>
      <c r="I18923" s="33" t="s">
        <v>51</v>
      </c>
      <c r="J18923" s="42">
        <v>45616</v>
      </c>
      <c r="K18923" s="33" t="s">
        <v>22</v>
      </c>
    </row>
    <row r="18924" spans="1:11">
      <c r="A18924" s="30" t="s">
        <v>42191</v>
      </c>
      <c r="B18924" s="30" t="s">
        <v>42192</v>
      </c>
      <c r="C18924" s="30" t="s">
        <v>42193</v>
      </c>
      <c r="D18924" s="30" t="s">
        <v>17</v>
      </c>
      <c r="E18924" s="30" t="s">
        <v>26</v>
      </c>
      <c r="F18924" s="30" t="s">
        <v>27</v>
      </c>
      <c r="G18924" s="30" t="s">
        <v>140</v>
      </c>
      <c r="H18924" s="32">
        <v>230</v>
      </c>
      <c r="I18924" s="30" t="s">
        <v>51</v>
      </c>
      <c r="J18924" s="41">
        <v>45391</v>
      </c>
      <c r="K18924" s="30" t="s">
        <v>22</v>
      </c>
    </row>
    <row r="18925" spans="1:11">
      <c r="A18925" s="33" t="s">
        <v>42194</v>
      </c>
      <c r="B18925" s="33" t="s">
        <v>42195</v>
      </c>
      <c r="C18925" s="33" t="s">
        <v>29943</v>
      </c>
      <c r="D18925" s="33" t="s">
        <v>17</v>
      </c>
      <c r="E18925" s="33" t="s">
        <v>18</v>
      </c>
      <c r="F18925" s="33" t="s">
        <v>19</v>
      </c>
      <c r="G18925" s="33" t="s">
        <v>158</v>
      </c>
      <c r="H18925" s="35">
        <v>46</v>
      </c>
      <c r="I18925" s="33" t="s">
        <v>21</v>
      </c>
      <c r="J18925" s="42">
        <v>45623</v>
      </c>
      <c r="K18925" s="33" t="s">
        <v>22</v>
      </c>
    </row>
    <row r="18926" spans="1:11">
      <c r="A18926" s="30" t="s">
        <v>42196</v>
      </c>
      <c r="B18926" s="30" t="s">
        <v>42197</v>
      </c>
      <c r="C18926" s="30" t="s">
        <v>7163</v>
      </c>
      <c r="D18926" s="30" t="s">
        <v>17</v>
      </c>
      <c r="E18926" s="30" t="s">
        <v>212</v>
      </c>
      <c r="F18926" s="30" t="s">
        <v>213</v>
      </c>
      <c r="G18926" s="30" t="s">
        <v>140</v>
      </c>
      <c r="H18926" s="32">
        <v>50</v>
      </c>
      <c r="I18926" s="30" t="s">
        <v>51</v>
      </c>
      <c r="J18926" s="41">
        <v>45383</v>
      </c>
      <c r="K18926" s="30" t="s">
        <v>22</v>
      </c>
    </row>
    <row r="18927" spans="1:11">
      <c r="A18927" s="33" t="s">
        <v>42198</v>
      </c>
      <c r="B18927" s="33" t="s">
        <v>42199</v>
      </c>
      <c r="C18927" s="33" t="s">
        <v>23929</v>
      </c>
      <c r="D18927" s="33" t="s">
        <v>17</v>
      </c>
      <c r="E18927" s="33" t="s">
        <v>26</v>
      </c>
      <c r="F18927" s="33" t="s">
        <v>27</v>
      </c>
      <c r="G18927" s="33" t="s">
        <v>20</v>
      </c>
      <c r="H18927" s="35">
        <v>56</v>
      </c>
      <c r="I18927" s="33" t="s">
        <v>21</v>
      </c>
      <c r="J18927" s="42">
        <v>45427</v>
      </c>
      <c r="K18927" s="33" t="s">
        <v>22</v>
      </c>
    </row>
    <row r="18928" spans="1:11">
      <c r="A18928" s="30" t="s">
        <v>42200</v>
      </c>
      <c r="B18928" s="30" t="s">
        <v>42201</v>
      </c>
      <c r="C18928" s="30" t="s">
        <v>25517</v>
      </c>
      <c r="D18928" s="30" t="s">
        <v>17</v>
      </c>
      <c r="E18928" s="30" t="s">
        <v>31</v>
      </c>
      <c r="F18928" s="30" t="s">
        <v>32</v>
      </c>
      <c r="G18928" s="30" t="s">
        <v>20</v>
      </c>
      <c r="H18928" s="32">
        <v>109</v>
      </c>
      <c r="I18928" s="30" t="s">
        <v>21</v>
      </c>
      <c r="J18928" s="41">
        <v>45378</v>
      </c>
      <c r="K18928" s="30" t="s">
        <v>22</v>
      </c>
    </row>
    <row r="18929" spans="1:11">
      <c r="A18929" s="33" t="s">
        <v>42202</v>
      </c>
      <c r="B18929" s="33" t="s">
        <v>42203</v>
      </c>
      <c r="C18929" s="33" t="s">
        <v>109</v>
      </c>
      <c r="D18929" s="33" t="s">
        <v>17</v>
      </c>
      <c r="E18929" s="33" t="s">
        <v>212</v>
      </c>
      <c r="F18929" s="33" t="s">
        <v>213</v>
      </c>
      <c r="G18929" s="33" t="s">
        <v>20</v>
      </c>
      <c r="H18929" s="35">
        <v>65</v>
      </c>
      <c r="I18929" s="33" t="s">
        <v>21</v>
      </c>
      <c r="J18929" s="42">
        <v>45608</v>
      </c>
      <c r="K18929" s="33" t="s">
        <v>22</v>
      </c>
    </row>
    <row r="18930" spans="1:11">
      <c r="A18930" s="30" t="s">
        <v>42204</v>
      </c>
      <c r="B18930" s="30" t="s">
        <v>42205</v>
      </c>
      <c r="C18930" s="30" t="s">
        <v>11599</v>
      </c>
      <c r="D18930" s="30" t="s">
        <v>17</v>
      </c>
      <c r="E18930" s="30" t="s">
        <v>18</v>
      </c>
      <c r="F18930" s="30" t="s">
        <v>19</v>
      </c>
      <c r="G18930" s="30" t="s">
        <v>20</v>
      </c>
      <c r="H18930" s="32">
        <v>33</v>
      </c>
      <c r="I18930" s="30" t="s">
        <v>21</v>
      </c>
      <c r="J18930" s="41">
        <v>45547</v>
      </c>
      <c r="K18930" s="30" t="s">
        <v>22</v>
      </c>
    </row>
    <row r="18931" spans="1:11">
      <c r="A18931" s="33" t="s">
        <v>42206</v>
      </c>
      <c r="B18931" s="33" t="s">
        <v>42207</v>
      </c>
      <c r="C18931" s="33" t="s">
        <v>25254</v>
      </c>
      <c r="D18931" s="33" t="s">
        <v>17</v>
      </c>
      <c r="E18931" s="33" t="s">
        <v>31</v>
      </c>
      <c r="F18931" s="33" t="s">
        <v>32</v>
      </c>
      <c r="G18931" s="33" t="s">
        <v>158</v>
      </c>
      <c r="H18931" s="35">
        <v>14</v>
      </c>
      <c r="I18931" s="33" t="s">
        <v>21</v>
      </c>
      <c r="J18931" s="42">
        <v>45308</v>
      </c>
      <c r="K18931" s="33" t="s">
        <v>22</v>
      </c>
    </row>
    <row r="18932" spans="1:11">
      <c r="A18932" s="30" t="s">
        <v>42208</v>
      </c>
      <c r="B18932" s="30" t="s">
        <v>42209</v>
      </c>
      <c r="C18932" s="30" t="s">
        <v>34100</v>
      </c>
      <c r="D18932" s="30" t="s">
        <v>17</v>
      </c>
      <c r="E18932" s="30" t="s">
        <v>67</v>
      </c>
      <c r="F18932" s="30" t="s">
        <v>68</v>
      </c>
      <c r="G18932" s="30" t="s">
        <v>140</v>
      </c>
      <c r="H18932" s="32">
        <v>33</v>
      </c>
      <c r="I18932" s="30" t="s">
        <v>51</v>
      </c>
      <c r="J18932" s="41">
        <v>45401</v>
      </c>
      <c r="K18932" s="30" t="s">
        <v>22</v>
      </c>
    </row>
    <row r="18933" spans="1:11">
      <c r="A18933" s="33" t="s">
        <v>42210</v>
      </c>
      <c r="B18933" s="33" t="s">
        <v>42211</v>
      </c>
      <c r="C18933" s="33" t="s">
        <v>4348</v>
      </c>
      <c r="D18933" s="33" t="s">
        <v>17</v>
      </c>
      <c r="E18933" s="33" t="s">
        <v>67</v>
      </c>
      <c r="F18933" s="33" t="s">
        <v>68</v>
      </c>
      <c r="G18933" s="33" t="s">
        <v>140</v>
      </c>
      <c r="H18933" s="35">
        <v>98</v>
      </c>
      <c r="I18933" s="33" t="s">
        <v>51</v>
      </c>
      <c r="J18933" s="42">
        <v>45406</v>
      </c>
      <c r="K18933" s="33" t="s">
        <v>22</v>
      </c>
    </row>
    <row r="18934" spans="1:11">
      <c r="A18934" s="30" t="s">
        <v>42212</v>
      </c>
      <c r="B18934" s="30" t="s">
        <v>42213</v>
      </c>
      <c r="C18934" s="30" t="s">
        <v>8126</v>
      </c>
      <c r="D18934" s="30" t="s">
        <v>17</v>
      </c>
      <c r="E18934" s="30" t="s">
        <v>67</v>
      </c>
      <c r="F18934" s="30" t="s">
        <v>68</v>
      </c>
      <c r="G18934" s="30" t="s">
        <v>158</v>
      </c>
      <c r="H18934" s="32">
        <v>20</v>
      </c>
      <c r="I18934" s="30" t="s">
        <v>21</v>
      </c>
      <c r="J18934" s="41">
        <v>45444</v>
      </c>
      <c r="K18934" s="30" t="s">
        <v>22</v>
      </c>
    </row>
    <row r="18935" spans="1:11">
      <c r="A18935" s="33" t="s">
        <v>42214</v>
      </c>
      <c r="B18935" s="33" t="s">
        <v>42215</v>
      </c>
      <c r="C18935" s="33" t="s">
        <v>29679</v>
      </c>
      <c r="D18935" s="33" t="s">
        <v>17</v>
      </c>
      <c r="E18935" s="33" t="s">
        <v>67</v>
      </c>
      <c r="F18935" s="33" t="s">
        <v>68</v>
      </c>
      <c r="G18935" s="33" t="s">
        <v>158</v>
      </c>
      <c r="H18935" s="35">
        <v>86</v>
      </c>
      <c r="I18935" s="33" t="s">
        <v>21</v>
      </c>
      <c r="J18935" s="42">
        <v>45656</v>
      </c>
      <c r="K18935" s="33" t="s">
        <v>22</v>
      </c>
    </row>
    <row r="18936" spans="1:11">
      <c r="A18936" s="30" t="s">
        <v>42216</v>
      </c>
      <c r="B18936" s="30" t="s">
        <v>42217</v>
      </c>
      <c r="C18936" s="30" t="s">
        <v>3775</v>
      </c>
      <c r="D18936" s="30" t="s">
        <v>17</v>
      </c>
      <c r="E18936" s="30" t="s">
        <v>26</v>
      </c>
      <c r="F18936" s="30" t="s">
        <v>27</v>
      </c>
      <c r="G18936" s="30" t="s">
        <v>20</v>
      </c>
      <c r="H18936" s="32">
        <v>40</v>
      </c>
      <c r="I18936" s="30" t="s">
        <v>21</v>
      </c>
      <c r="J18936" s="41">
        <v>45356</v>
      </c>
      <c r="K18936" s="30" t="s">
        <v>22</v>
      </c>
    </row>
    <row r="18937" spans="1:11">
      <c r="A18937" s="33" t="s">
        <v>42218</v>
      </c>
      <c r="B18937" s="33" t="s">
        <v>42219</v>
      </c>
      <c r="C18937" s="33" t="s">
        <v>4627</v>
      </c>
      <c r="D18937" s="33" t="s">
        <v>17</v>
      </c>
      <c r="E18937" s="33" t="s">
        <v>18</v>
      </c>
      <c r="F18937" s="33" t="s">
        <v>19</v>
      </c>
      <c r="G18937" s="33" t="s">
        <v>140</v>
      </c>
      <c r="H18937" s="35">
        <v>154</v>
      </c>
      <c r="I18937" s="33" t="s">
        <v>51</v>
      </c>
      <c r="J18937" s="42">
        <v>45442</v>
      </c>
      <c r="K18937" s="33" t="s">
        <v>22</v>
      </c>
    </row>
    <row r="18938" spans="1:11">
      <c r="A18938" s="30" t="s">
        <v>42220</v>
      </c>
      <c r="B18938" s="30" t="s">
        <v>42221</v>
      </c>
      <c r="C18938" s="30" t="s">
        <v>443</v>
      </c>
      <c r="D18938" s="30" t="s">
        <v>17</v>
      </c>
      <c r="E18938" s="30" t="s">
        <v>212</v>
      </c>
      <c r="F18938" s="30" t="s">
        <v>213</v>
      </c>
      <c r="G18938" s="30" t="s">
        <v>20</v>
      </c>
      <c r="H18938" s="32">
        <v>200</v>
      </c>
      <c r="I18938" s="30" t="s">
        <v>21</v>
      </c>
      <c r="J18938" s="41">
        <v>45432</v>
      </c>
      <c r="K18938" s="30" t="s">
        <v>22</v>
      </c>
    </row>
    <row r="18939" spans="1:11">
      <c r="A18939" s="33" t="s">
        <v>42222</v>
      </c>
      <c r="B18939" s="33" t="s">
        <v>42223</v>
      </c>
      <c r="C18939" s="33" t="s">
        <v>969</v>
      </c>
      <c r="D18939" s="33" t="s">
        <v>17</v>
      </c>
      <c r="E18939" s="33" t="s">
        <v>31</v>
      </c>
      <c r="F18939" s="33" t="s">
        <v>32</v>
      </c>
      <c r="G18939" s="33" t="s">
        <v>158</v>
      </c>
      <c r="H18939" s="35">
        <v>215</v>
      </c>
      <c r="I18939" s="33" t="s">
        <v>21</v>
      </c>
      <c r="J18939" s="42">
        <v>45306</v>
      </c>
      <c r="K18939" s="33" t="s">
        <v>22</v>
      </c>
    </row>
    <row r="18940" spans="1:11">
      <c r="A18940" s="30" t="s">
        <v>42224</v>
      </c>
      <c r="B18940" s="30" t="s">
        <v>42225</v>
      </c>
      <c r="C18940" s="30" t="s">
        <v>42226</v>
      </c>
      <c r="D18940" s="30" t="s">
        <v>17</v>
      </c>
      <c r="E18940" s="30" t="s">
        <v>330</v>
      </c>
      <c r="F18940" s="30" t="s">
        <v>331</v>
      </c>
      <c r="G18940" s="30" t="s">
        <v>140</v>
      </c>
      <c r="H18940" s="32">
        <v>32</v>
      </c>
      <c r="I18940" s="30" t="s">
        <v>51</v>
      </c>
      <c r="J18940" s="41">
        <v>45636</v>
      </c>
      <c r="K18940" s="30" t="s">
        <v>22</v>
      </c>
    </row>
    <row r="18941" spans="1:11">
      <c r="A18941" s="33" t="s">
        <v>42227</v>
      </c>
      <c r="B18941" s="33" t="s">
        <v>42228</v>
      </c>
      <c r="C18941" s="33" t="s">
        <v>96</v>
      </c>
      <c r="D18941" s="33" t="s">
        <v>17</v>
      </c>
      <c r="E18941" s="33" t="s">
        <v>26</v>
      </c>
      <c r="F18941" s="33" t="s">
        <v>27</v>
      </c>
      <c r="G18941" s="33" t="s">
        <v>20</v>
      </c>
      <c r="H18941" s="35">
        <v>12</v>
      </c>
      <c r="I18941" s="33" t="s">
        <v>21</v>
      </c>
      <c r="J18941" s="42">
        <v>45322</v>
      </c>
      <c r="K18941" s="33" t="s">
        <v>22</v>
      </c>
    </row>
    <row r="18942" spans="1:11">
      <c r="A18942" s="30" t="s">
        <v>42229</v>
      </c>
      <c r="B18942" s="30" t="s">
        <v>42230</v>
      </c>
      <c r="C18942" s="30" t="s">
        <v>1880</v>
      </c>
      <c r="D18942" s="30" t="s">
        <v>17</v>
      </c>
      <c r="E18942" s="30" t="s">
        <v>26</v>
      </c>
      <c r="F18942" s="30" t="s">
        <v>27</v>
      </c>
      <c r="G18942" s="30" t="s">
        <v>140</v>
      </c>
      <c r="H18942" s="32">
        <v>130</v>
      </c>
      <c r="I18942" s="30" t="s">
        <v>51</v>
      </c>
      <c r="J18942" s="41">
        <v>45526</v>
      </c>
      <c r="K18942" s="30" t="s">
        <v>22</v>
      </c>
    </row>
    <row r="18943" spans="1:11">
      <c r="A18943" s="33" t="s">
        <v>42231</v>
      </c>
      <c r="B18943" s="33" t="s">
        <v>42232</v>
      </c>
      <c r="C18943" s="33" t="s">
        <v>42233</v>
      </c>
      <c r="D18943" s="33" t="s">
        <v>17</v>
      </c>
      <c r="E18943" s="33" t="s">
        <v>26</v>
      </c>
      <c r="F18943" s="33" t="s">
        <v>27</v>
      </c>
      <c r="G18943" s="33" t="s">
        <v>140</v>
      </c>
      <c r="H18943" s="35">
        <v>40</v>
      </c>
      <c r="I18943" s="33" t="s">
        <v>51</v>
      </c>
      <c r="J18943" s="42">
        <v>45581</v>
      </c>
      <c r="K18943" s="33" t="s">
        <v>22</v>
      </c>
    </row>
    <row r="18944" spans="1:11">
      <c r="A18944" s="30" t="s">
        <v>42234</v>
      </c>
      <c r="B18944" s="30" t="s">
        <v>42235</v>
      </c>
      <c r="C18944" s="30" t="s">
        <v>28551</v>
      </c>
      <c r="D18944" s="30" t="s">
        <v>17</v>
      </c>
      <c r="E18944" s="30" t="s">
        <v>31</v>
      </c>
      <c r="F18944" s="30" t="s">
        <v>32</v>
      </c>
      <c r="G18944" s="30" t="s">
        <v>140</v>
      </c>
      <c r="H18944" s="32">
        <v>20</v>
      </c>
      <c r="I18944" s="30" t="s">
        <v>51</v>
      </c>
      <c r="J18944" s="41">
        <v>45631</v>
      </c>
      <c r="K18944" s="30" t="s">
        <v>22</v>
      </c>
    </row>
    <row r="18945" spans="1:11">
      <c r="A18945" s="33" t="s">
        <v>42236</v>
      </c>
      <c r="B18945" s="33" t="s">
        <v>42237</v>
      </c>
      <c r="C18945" s="33" t="s">
        <v>14816</v>
      </c>
      <c r="D18945" s="33" t="s">
        <v>17</v>
      </c>
      <c r="E18945" s="33" t="s">
        <v>18</v>
      </c>
      <c r="F18945" s="33" t="s">
        <v>19</v>
      </c>
      <c r="G18945" s="33" t="s">
        <v>20</v>
      </c>
      <c r="H18945" s="35">
        <v>810</v>
      </c>
      <c r="I18945" s="33" t="s">
        <v>21</v>
      </c>
      <c r="J18945" s="42">
        <v>45562</v>
      </c>
      <c r="K18945" s="33" t="s">
        <v>22</v>
      </c>
    </row>
    <row r="18946" spans="1:11">
      <c r="A18946" s="30" t="s">
        <v>42238</v>
      </c>
      <c r="B18946" s="30" t="s">
        <v>42239</v>
      </c>
      <c r="C18946" s="30" t="s">
        <v>647</v>
      </c>
      <c r="D18946" s="30" t="s">
        <v>17</v>
      </c>
      <c r="E18946" s="30" t="s">
        <v>26</v>
      </c>
      <c r="F18946" s="30" t="s">
        <v>27</v>
      </c>
      <c r="G18946" s="30" t="s">
        <v>20</v>
      </c>
      <c r="H18946" s="32">
        <v>28</v>
      </c>
      <c r="I18946" s="30" t="s">
        <v>21</v>
      </c>
      <c r="J18946" s="41">
        <v>45538</v>
      </c>
      <c r="K18946" s="30" t="s">
        <v>22</v>
      </c>
    </row>
    <row r="18947" spans="1:11">
      <c r="A18947" s="33" t="s">
        <v>42240</v>
      </c>
      <c r="B18947" s="33" t="s">
        <v>42241</v>
      </c>
      <c r="C18947" s="33" t="s">
        <v>19435</v>
      </c>
      <c r="D18947" s="33" t="s">
        <v>17</v>
      </c>
      <c r="E18947" s="33" t="s">
        <v>31</v>
      </c>
      <c r="F18947" s="33" t="s">
        <v>32</v>
      </c>
      <c r="G18947" s="33" t="s">
        <v>140</v>
      </c>
      <c r="H18947" s="35">
        <v>33</v>
      </c>
      <c r="I18947" s="33" t="s">
        <v>51</v>
      </c>
      <c r="J18947" s="42">
        <v>45351</v>
      </c>
      <c r="K18947" s="33" t="s">
        <v>22</v>
      </c>
    </row>
    <row r="18948" spans="1:11">
      <c r="A18948" s="30" t="s">
        <v>42242</v>
      </c>
      <c r="B18948" s="30" t="s">
        <v>42243</v>
      </c>
      <c r="C18948" s="30" t="s">
        <v>93</v>
      </c>
      <c r="D18948" s="30" t="s">
        <v>17</v>
      </c>
      <c r="E18948" s="30" t="s">
        <v>26</v>
      </c>
      <c r="F18948" s="30" t="s">
        <v>27</v>
      </c>
      <c r="G18948" s="30" t="s">
        <v>20</v>
      </c>
      <c r="H18948" s="32">
        <v>12</v>
      </c>
      <c r="I18948" s="30" t="s">
        <v>21</v>
      </c>
      <c r="J18948" s="41">
        <v>45609</v>
      </c>
      <c r="K18948" s="30" t="s">
        <v>22</v>
      </c>
    </row>
    <row r="18949" spans="1:11">
      <c r="A18949" s="33" t="s">
        <v>42244</v>
      </c>
      <c r="B18949" s="33" t="s">
        <v>42245</v>
      </c>
      <c r="C18949" s="33" t="s">
        <v>252</v>
      </c>
      <c r="D18949" s="33" t="s">
        <v>17</v>
      </c>
      <c r="E18949" s="33" t="s">
        <v>67</v>
      </c>
      <c r="F18949" s="33" t="s">
        <v>68</v>
      </c>
      <c r="G18949" s="33" t="s">
        <v>140</v>
      </c>
      <c r="H18949" s="35">
        <v>280</v>
      </c>
      <c r="I18949" s="33" t="s">
        <v>51</v>
      </c>
      <c r="J18949" s="42">
        <v>45559</v>
      </c>
      <c r="K18949" s="33" t="s">
        <v>22</v>
      </c>
    </row>
    <row r="18950" spans="1:11">
      <c r="A18950" s="30" t="s">
        <v>42246</v>
      </c>
      <c r="B18950" s="30" t="s">
        <v>42247</v>
      </c>
      <c r="C18950" s="30" t="s">
        <v>34697</v>
      </c>
      <c r="D18950" s="30" t="s">
        <v>17</v>
      </c>
      <c r="E18950" s="30" t="s">
        <v>26</v>
      </c>
      <c r="F18950" s="30" t="s">
        <v>27</v>
      </c>
      <c r="G18950" s="30" t="s">
        <v>20</v>
      </c>
      <c r="H18950" s="32">
        <v>25</v>
      </c>
      <c r="I18950" s="30" t="s">
        <v>21</v>
      </c>
      <c r="J18950" s="41">
        <v>45345</v>
      </c>
      <c r="K18950" s="30" t="s">
        <v>22</v>
      </c>
    </row>
    <row r="18951" spans="1:11">
      <c r="A18951" s="33" t="s">
        <v>42248</v>
      </c>
      <c r="B18951" s="33" t="s">
        <v>42249</v>
      </c>
      <c r="C18951" s="33" t="s">
        <v>93</v>
      </c>
      <c r="D18951" s="33" t="s">
        <v>17</v>
      </c>
      <c r="E18951" s="33" t="s">
        <v>31</v>
      </c>
      <c r="F18951" s="33" t="s">
        <v>32</v>
      </c>
      <c r="G18951" s="33" t="s">
        <v>140</v>
      </c>
      <c r="H18951" s="35">
        <v>100</v>
      </c>
      <c r="I18951" s="33" t="s">
        <v>51</v>
      </c>
      <c r="J18951" s="42">
        <v>45502</v>
      </c>
      <c r="K18951" s="33" t="s">
        <v>22</v>
      </c>
    </row>
    <row r="18952" spans="1:11">
      <c r="A18952" s="30" t="s">
        <v>42250</v>
      </c>
      <c r="B18952" s="30" t="s">
        <v>42251</v>
      </c>
      <c r="C18952" s="30" t="s">
        <v>36905</v>
      </c>
      <c r="D18952" s="30" t="s">
        <v>17</v>
      </c>
      <c r="E18952" s="30" t="s">
        <v>330</v>
      </c>
      <c r="F18952" s="30" t="s">
        <v>331</v>
      </c>
      <c r="G18952" s="30" t="s">
        <v>20</v>
      </c>
      <c r="H18952" s="32">
        <v>8</v>
      </c>
      <c r="I18952" s="30" t="s">
        <v>21</v>
      </c>
      <c r="J18952" s="41">
        <v>45468</v>
      </c>
      <c r="K18952" s="30" t="s">
        <v>22</v>
      </c>
    </row>
    <row r="18953" spans="1:11">
      <c r="A18953" s="33" t="s">
        <v>42252</v>
      </c>
      <c r="B18953" s="33" t="s">
        <v>42253</v>
      </c>
      <c r="C18953" s="33" t="s">
        <v>1270</v>
      </c>
      <c r="D18953" s="33" t="s">
        <v>17</v>
      </c>
      <c r="E18953" s="33" t="s">
        <v>26</v>
      </c>
      <c r="F18953" s="33" t="s">
        <v>27</v>
      </c>
      <c r="G18953" s="33" t="s">
        <v>50</v>
      </c>
      <c r="H18953" s="35">
        <v>84</v>
      </c>
      <c r="I18953" s="33" t="s">
        <v>51</v>
      </c>
      <c r="J18953" s="42">
        <v>45365</v>
      </c>
      <c r="K18953" s="33" t="s">
        <v>22</v>
      </c>
    </row>
    <row r="18954" spans="1:11">
      <c r="A18954" s="30" t="s">
        <v>42254</v>
      </c>
      <c r="B18954" s="30" t="s">
        <v>42255</v>
      </c>
      <c r="C18954" s="30" t="s">
        <v>20240</v>
      </c>
      <c r="D18954" s="30" t="s">
        <v>17</v>
      </c>
      <c r="E18954" s="30" t="s">
        <v>26</v>
      </c>
      <c r="F18954" s="30" t="s">
        <v>27</v>
      </c>
      <c r="G18954" s="30" t="s">
        <v>7780</v>
      </c>
      <c r="H18954" s="32">
        <v>100</v>
      </c>
      <c r="I18954" s="30" t="s">
        <v>51</v>
      </c>
      <c r="J18954" s="41">
        <v>45597</v>
      </c>
      <c r="K18954" s="30" t="s">
        <v>22</v>
      </c>
    </row>
    <row r="18955" spans="1:11">
      <c r="A18955" s="33" t="s">
        <v>42256</v>
      </c>
      <c r="B18955" s="33" t="s">
        <v>42257</v>
      </c>
      <c r="C18955" s="33" t="s">
        <v>3451</v>
      </c>
      <c r="D18955" s="33" t="s">
        <v>17</v>
      </c>
      <c r="E18955" s="33" t="s">
        <v>26</v>
      </c>
      <c r="F18955" s="33" t="s">
        <v>27</v>
      </c>
      <c r="G18955" s="33" t="s">
        <v>158</v>
      </c>
      <c r="H18955" s="35">
        <v>92</v>
      </c>
      <c r="I18955" s="33" t="s">
        <v>21</v>
      </c>
      <c r="J18955" s="42">
        <v>45383</v>
      </c>
      <c r="K18955" s="33" t="s">
        <v>22</v>
      </c>
    </row>
    <row r="18956" spans="1:11">
      <c r="A18956" s="30" t="s">
        <v>42258</v>
      </c>
      <c r="B18956" s="30" t="s">
        <v>42259</v>
      </c>
      <c r="C18956" s="30" t="s">
        <v>149</v>
      </c>
      <c r="D18956" s="30" t="s">
        <v>17</v>
      </c>
      <c r="E18956" s="30" t="s">
        <v>26</v>
      </c>
      <c r="F18956" s="30" t="s">
        <v>27</v>
      </c>
      <c r="G18956" s="30" t="s">
        <v>20</v>
      </c>
      <c r="H18956" s="32">
        <v>18</v>
      </c>
      <c r="I18956" s="30" t="s">
        <v>21</v>
      </c>
      <c r="J18956" s="41">
        <v>45305</v>
      </c>
      <c r="K18956" s="30" t="s">
        <v>22</v>
      </c>
    </row>
    <row r="18957" spans="1:11">
      <c r="A18957" s="33" t="s">
        <v>42260</v>
      </c>
      <c r="B18957" s="33" t="s">
        <v>42261</v>
      </c>
      <c r="C18957" s="33" t="s">
        <v>4348</v>
      </c>
      <c r="D18957" s="33" t="s">
        <v>17</v>
      </c>
      <c r="E18957" s="33" t="s">
        <v>26</v>
      </c>
      <c r="F18957" s="33" t="s">
        <v>27</v>
      </c>
      <c r="G18957" s="33" t="s">
        <v>140</v>
      </c>
      <c r="H18957" s="35">
        <v>21</v>
      </c>
      <c r="I18957" s="33" t="s">
        <v>51</v>
      </c>
      <c r="J18957" s="42">
        <v>45491</v>
      </c>
      <c r="K18957" s="33" t="s">
        <v>22</v>
      </c>
    </row>
    <row r="18958" spans="1:11">
      <c r="A18958" s="30" t="s">
        <v>42262</v>
      </c>
      <c r="B18958" s="30" t="s">
        <v>42263</v>
      </c>
      <c r="C18958" s="30" t="s">
        <v>14307</v>
      </c>
      <c r="D18958" s="30" t="s">
        <v>17</v>
      </c>
      <c r="E18958" s="30" t="s">
        <v>18</v>
      </c>
      <c r="F18958" s="30" t="s">
        <v>19</v>
      </c>
      <c r="G18958" s="30" t="s">
        <v>20</v>
      </c>
      <c r="H18958" s="32">
        <v>356</v>
      </c>
      <c r="I18958" s="30" t="s">
        <v>21</v>
      </c>
      <c r="J18958" s="41">
        <v>45328</v>
      </c>
      <c r="K18958" s="30" t="s">
        <v>22</v>
      </c>
    </row>
    <row r="18959" spans="1:11">
      <c r="A18959" s="33" t="s">
        <v>42264</v>
      </c>
      <c r="B18959" s="33" t="s">
        <v>42265</v>
      </c>
      <c r="C18959" s="33" t="s">
        <v>894</v>
      </c>
      <c r="D18959" s="33" t="s">
        <v>17</v>
      </c>
      <c r="E18959" s="33" t="s">
        <v>26</v>
      </c>
      <c r="F18959" s="33" t="s">
        <v>27</v>
      </c>
      <c r="G18959" s="33" t="s">
        <v>20</v>
      </c>
      <c r="H18959" s="35">
        <v>2</v>
      </c>
      <c r="I18959" s="33" t="s">
        <v>21</v>
      </c>
      <c r="J18959" s="42">
        <v>45399</v>
      </c>
      <c r="K18959" s="33" t="s">
        <v>22</v>
      </c>
    </row>
    <row r="18960" spans="1:11">
      <c r="A18960" s="30" t="s">
        <v>42266</v>
      </c>
      <c r="B18960" s="30" t="s">
        <v>42267</v>
      </c>
      <c r="C18960" s="30" t="s">
        <v>14816</v>
      </c>
      <c r="D18960" s="30" t="s">
        <v>17</v>
      </c>
      <c r="E18960" s="30" t="s">
        <v>26</v>
      </c>
      <c r="F18960" s="30" t="s">
        <v>27</v>
      </c>
      <c r="G18960" s="30" t="s">
        <v>20</v>
      </c>
      <c r="H18960" s="32">
        <v>24</v>
      </c>
      <c r="I18960" s="30" t="s">
        <v>21</v>
      </c>
      <c r="J18960" s="41">
        <v>45435</v>
      </c>
      <c r="K18960" s="30" t="s">
        <v>22</v>
      </c>
    </row>
    <row r="18961" spans="1:11">
      <c r="A18961" s="33" t="s">
        <v>42268</v>
      </c>
      <c r="B18961" s="33" t="s">
        <v>42269</v>
      </c>
      <c r="C18961" s="33" t="s">
        <v>399</v>
      </c>
      <c r="D18961" s="33" t="s">
        <v>17</v>
      </c>
      <c r="E18961" s="33" t="s">
        <v>26</v>
      </c>
      <c r="F18961" s="33" t="s">
        <v>27</v>
      </c>
      <c r="G18961" s="33" t="s">
        <v>20</v>
      </c>
      <c r="H18961" s="35">
        <v>174</v>
      </c>
      <c r="I18961" s="33" t="s">
        <v>21</v>
      </c>
      <c r="J18961" s="42">
        <v>45533</v>
      </c>
      <c r="K18961" s="33" t="s">
        <v>22</v>
      </c>
    </row>
    <row r="18962" spans="1:11">
      <c r="A18962" s="30" t="s">
        <v>42270</v>
      </c>
      <c r="B18962" s="30" t="s">
        <v>42271</v>
      </c>
      <c r="C18962" s="30" t="s">
        <v>603</v>
      </c>
      <c r="D18962" s="30" t="s">
        <v>17</v>
      </c>
      <c r="E18962" s="30" t="s">
        <v>212</v>
      </c>
      <c r="F18962" s="30" t="s">
        <v>213</v>
      </c>
      <c r="G18962" s="30" t="s">
        <v>140</v>
      </c>
      <c r="H18962" s="32">
        <v>406</v>
      </c>
      <c r="I18962" s="30" t="s">
        <v>51</v>
      </c>
      <c r="J18962" s="41">
        <v>45512</v>
      </c>
      <c r="K18962" s="30" t="s">
        <v>22</v>
      </c>
    </row>
    <row r="18963" spans="1:11">
      <c r="A18963" s="33" t="s">
        <v>42272</v>
      </c>
      <c r="B18963" s="33" t="s">
        <v>42273</v>
      </c>
      <c r="C18963" s="33" t="s">
        <v>3182</v>
      </c>
      <c r="D18963" s="33" t="s">
        <v>17</v>
      </c>
      <c r="E18963" s="33" t="s">
        <v>18</v>
      </c>
      <c r="F18963" s="33" t="s">
        <v>19</v>
      </c>
      <c r="G18963" s="33" t="s">
        <v>50</v>
      </c>
      <c r="H18963" s="35">
        <v>272</v>
      </c>
      <c r="I18963" s="33" t="s">
        <v>51</v>
      </c>
      <c r="J18963" s="42">
        <v>45295</v>
      </c>
      <c r="K18963" s="33" t="s">
        <v>22</v>
      </c>
    </row>
    <row r="18964" spans="1:11">
      <c r="A18964" s="30" t="s">
        <v>42274</v>
      </c>
      <c r="B18964" s="30" t="s">
        <v>42275</v>
      </c>
      <c r="C18964" s="30" t="s">
        <v>25378</v>
      </c>
      <c r="D18964" s="30" t="s">
        <v>17</v>
      </c>
      <c r="E18964" s="30" t="s">
        <v>26</v>
      </c>
      <c r="F18964" s="30" t="s">
        <v>27</v>
      </c>
      <c r="G18964" s="30" t="s">
        <v>20</v>
      </c>
      <c r="H18964" s="32">
        <v>48</v>
      </c>
      <c r="I18964" s="30" t="s">
        <v>21</v>
      </c>
      <c r="J18964" s="41">
        <v>45363</v>
      </c>
      <c r="K18964" s="30" t="s">
        <v>22</v>
      </c>
    </row>
    <row r="18965" spans="1:11">
      <c r="A18965" s="33" t="s">
        <v>42276</v>
      </c>
      <c r="B18965" s="33" t="s">
        <v>42277</v>
      </c>
      <c r="C18965" s="33" t="s">
        <v>42278</v>
      </c>
      <c r="D18965" s="33" t="s">
        <v>17</v>
      </c>
      <c r="E18965" s="33" t="s">
        <v>26</v>
      </c>
      <c r="F18965" s="33" t="s">
        <v>27</v>
      </c>
      <c r="G18965" s="33" t="s">
        <v>140</v>
      </c>
      <c r="H18965" s="35">
        <v>50</v>
      </c>
      <c r="I18965" s="33" t="s">
        <v>51</v>
      </c>
      <c r="J18965" s="42">
        <v>45642</v>
      </c>
      <c r="K18965" s="33" t="s">
        <v>22</v>
      </c>
    </row>
    <row r="18966" spans="1:11">
      <c r="A18966" s="30" t="s">
        <v>42279</v>
      </c>
      <c r="B18966" s="30" t="s">
        <v>42280</v>
      </c>
      <c r="C18966" s="30" t="s">
        <v>1350</v>
      </c>
      <c r="D18966" s="30" t="s">
        <v>17</v>
      </c>
      <c r="E18966" s="30" t="s">
        <v>67</v>
      </c>
      <c r="F18966" s="30" t="s">
        <v>68</v>
      </c>
      <c r="G18966" s="30" t="s">
        <v>106</v>
      </c>
      <c r="H18966" s="32">
        <v>11</v>
      </c>
      <c r="I18966" s="30" t="s">
        <v>21</v>
      </c>
      <c r="J18966" s="41">
        <v>45309</v>
      </c>
      <c r="K18966" s="30" t="s">
        <v>22</v>
      </c>
    </row>
    <row r="18967" spans="1:11">
      <c r="A18967" s="33" t="s">
        <v>42281</v>
      </c>
      <c r="B18967" s="33" t="s">
        <v>42282</v>
      </c>
      <c r="C18967" s="33" t="s">
        <v>3957</v>
      </c>
      <c r="D18967" s="33" t="s">
        <v>17</v>
      </c>
      <c r="E18967" s="33" t="s">
        <v>26</v>
      </c>
      <c r="F18967" s="33" t="s">
        <v>27</v>
      </c>
      <c r="G18967" s="33" t="s">
        <v>140</v>
      </c>
      <c r="H18967" s="35">
        <v>9</v>
      </c>
      <c r="I18967" s="33" t="s">
        <v>51</v>
      </c>
      <c r="J18967" s="42">
        <v>45617</v>
      </c>
      <c r="K18967" s="33" t="s">
        <v>22</v>
      </c>
    </row>
    <row r="18968" spans="1:11">
      <c r="A18968" s="30" t="s">
        <v>42283</v>
      </c>
      <c r="B18968" s="30" t="s">
        <v>42284</v>
      </c>
      <c r="C18968" s="30" t="s">
        <v>11649</v>
      </c>
      <c r="D18968" s="30" t="s">
        <v>17</v>
      </c>
      <c r="E18968" s="30" t="s">
        <v>31</v>
      </c>
      <c r="F18968" s="30" t="s">
        <v>32</v>
      </c>
      <c r="G18968" s="30" t="s">
        <v>20</v>
      </c>
      <c r="H18968" s="32">
        <v>40</v>
      </c>
      <c r="I18968" s="30" t="s">
        <v>21</v>
      </c>
      <c r="J18968" s="41">
        <v>45337</v>
      </c>
      <c r="K18968" s="30" t="s">
        <v>22</v>
      </c>
    </row>
    <row r="18969" spans="1:11">
      <c r="A18969" s="33" t="s">
        <v>42285</v>
      </c>
      <c r="B18969" s="33" t="s">
        <v>42286</v>
      </c>
      <c r="C18969" s="33" t="s">
        <v>20331</v>
      </c>
      <c r="D18969" s="33" t="s">
        <v>17</v>
      </c>
      <c r="E18969" s="33" t="s">
        <v>26</v>
      </c>
      <c r="F18969" s="33" t="s">
        <v>27</v>
      </c>
      <c r="G18969" s="33" t="s">
        <v>20</v>
      </c>
      <c r="H18969" s="35">
        <v>18</v>
      </c>
      <c r="I18969" s="33" t="s">
        <v>21</v>
      </c>
      <c r="J18969" s="42">
        <v>45517</v>
      </c>
      <c r="K18969" s="33" t="s">
        <v>22</v>
      </c>
    </row>
    <row r="18970" spans="1:11">
      <c r="A18970" s="30" t="s">
        <v>42287</v>
      </c>
      <c r="B18970" s="30" t="s">
        <v>42288</v>
      </c>
      <c r="C18970" s="30" t="s">
        <v>15917</v>
      </c>
      <c r="D18970" s="30" t="s">
        <v>17</v>
      </c>
      <c r="E18970" s="30" t="s">
        <v>18</v>
      </c>
      <c r="F18970" s="30" t="s">
        <v>19</v>
      </c>
      <c r="G18970" s="30" t="s">
        <v>140</v>
      </c>
      <c r="H18970" s="32">
        <v>400</v>
      </c>
      <c r="I18970" s="30" t="s">
        <v>51</v>
      </c>
      <c r="J18970" s="41">
        <v>45617</v>
      </c>
      <c r="K18970" s="30" t="s">
        <v>22</v>
      </c>
    </row>
    <row r="18971" spans="1:11">
      <c r="A18971" s="33" t="s">
        <v>42289</v>
      </c>
      <c r="B18971" s="33" t="s">
        <v>42290</v>
      </c>
      <c r="C18971" s="33" t="s">
        <v>3775</v>
      </c>
      <c r="D18971" s="33" t="s">
        <v>17</v>
      </c>
      <c r="E18971" s="33" t="s">
        <v>18</v>
      </c>
      <c r="F18971" s="33" t="s">
        <v>19</v>
      </c>
      <c r="G18971" s="33" t="s">
        <v>50</v>
      </c>
      <c r="H18971" s="35">
        <v>276</v>
      </c>
      <c r="I18971" s="33" t="s">
        <v>51</v>
      </c>
      <c r="J18971" s="42">
        <v>45433</v>
      </c>
      <c r="K18971" s="33" t="s">
        <v>22</v>
      </c>
    </row>
    <row r="18972" spans="1:11">
      <c r="A18972" s="30" t="s">
        <v>42291</v>
      </c>
      <c r="B18972" s="30" t="s">
        <v>42292</v>
      </c>
      <c r="C18972" s="30" t="s">
        <v>2562</v>
      </c>
      <c r="D18972" s="30" t="s">
        <v>17</v>
      </c>
      <c r="E18972" s="30" t="s">
        <v>31</v>
      </c>
      <c r="F18972" s="30" t="s">
        <v>32</v>
      </c>
      <c r="G18972" s="30" t="s">
        <v>50</v>
      </c>
      <c r="H18972" s="32">
        <v>90</v>
      </c>
      <c r="I18972" s="30" t="s">
        <v>51</v>
      </c>
      <c r="J18972" s="41">
        <v>45473</v>
      </c>
      <c r="K18972" s="30" t="s">
        <v>22</v>
      </c>
    </row>
    <row r="18973" spans="1:11">
      <c r="A18973" s="33" t="s">
        <v>42293</v>
      </c>
      <c r="B18973" s="33" t="s">
        <v>42294</v>
      </c>
      <c r="C18973" s="33" t="s">
        <v>44</v>
      </c>
      <c r="D18973" s="33" t="s">
        <v>17</v>
      </c>
      <c r="E18973" s="33" t="s">
        <v>26</v>
      </c>
      <c r="F18973" s="33" t="s">
        <v>27</v>
      </c>
      <c r="G18973" s="33" t="s">
        <v>20</v>
      </c>
      <c r="H18973" s="35">
        <v>224</v>
      </c>
      <c r="I18973" s="33" t="s">
        <v>21</v>
      </c>
      <c r="J18973" s="42">
        <v>45565</v>
      </c>
      <c r="K18973" s="33" t="s">
        <v>22</v>
      </c>
    </row>
    <row r="18974" spans="1:11">
      <c r="A18974" s="30" t="s">
        <v>42295</v>
      </c>
      <c r="B18974" s="30" t="s">
        <v>42296</v>
      </c>
      <c r="C18974" s="30" t="s">
        <v>96</v>
      </c>
      <c r="D18974" s="30" t="s">
        <v>17</v>
      </c>
      <c r="E18974" s="30" t="s">
        <v>18</v>
      </c>
      <c r="F18974" s="30" t="s">
        <v>19</v>
      </c>
      <c r="G18974" s="30" t="s">
        <v>140</v>
      </c>
      <c r="H18974" s="32">
        <v>2330</v>
      </c>
      <c r="I18974" s="30" t="s">
        <v>51</v>
      </c>
      <c r="J18974" s="41">
        <v>45634</v>
      </c>
      <c r="K18974" s="30" t="s">
        <v>22</v>
      </c>
    </row>
    <row r="18975" spans="1:11">
      <c r="A18975" s="33" t="s">
        <v>42297</v>
      </c>
      <c r="B18975" s="33" t="s">
        <v>42298</v>
      </c>
      <c r="C18975" s="33" t="s">
        <v>190</v>
      </c>
      <c r="D18975" s="33" t="s">
        <v>17</v>
      </c>
      <c r="E18975" s="33" t="s">
        <v>18</v>
      </c>
      <c r="F18975" s="33" t="s">
        <v>19</v>
      </c>
      <c r="G18975" s="33" t="s">
        <v>158</v>
      </c>
      <c r="H18975" s="35">
        <v>181</v>
      </c>
      <c r="I18975" s="33" t="s">
        <v>21</v>
      </c>
      <c r="J18975" s="42">
        <v>45629</v>
      </c>
      <c r="K18975" s="33" t="s">
        <v>22</v>
      </c>
    </row>
    <row r="18976" spans="1:11">
      <c r="A18976" s="30" t="s">
        <v>42299</v>
      </c>
      <c r="B18976" s="30" t="s">
        <v>42300</v>
      </c>
      <c r="C18976" s="30" t="s">
        <v>190</v>
      </c>
      <c r="D18976" s="30" t="s">
        <v>17</v>
      </c>
      <c r="E18976" s="30" t="s">
        <v>26</v>
      </c>
      <c r="F18976" s="30" t="s">
        <v>27</v>
      </c>
      <c r="G18976" s="30" t="s">
        <v>20</v>
      </c>
      <c r="H18976" s="32">
        <v>39</v>
      </c>
      <c r="I18976" s="30" t="s">
        <v>21</v>
      </c>
      <c r="J18976" s="41">
        <v>45427</v>
      </c>
      <c r="K18976" s="30" t="s">
        <v>22</v>
      </c>
    </row>
    <row r="18977" spans="1:11">
      <c r="A18977" s="33" t="s">
        <v>42301</v>
      </c>
      <c r="B18977" s="33" t="s">
        <v>42302</v>
      </c>
      <c r="C18977" s="33" t="s">
        <v>26227</v>
      </c>
      <c r="D18977" s="33" t="s">
        <v>17</v>
      </c>
      <c r="E18977" s="33" t="s">
        <v>31</v>
      </c>
      <c r="F18977" s="33" t="s">
        <v>32</v>
      </c>
      <c r="G18977" s="33" t="s">
        <v>140</v>
      </c>
      <c r="H18977" s="35">
        <v>160</v>
      </c>
      <c r="I18977" s="33" t="s">
        <v>51</v>
      </c>
      <c r="J18977" s="42">
        <v>45638</v>
      </c>
      <c r="K18977" s="33" t="s">
        <v>22</v>
      </c>
    </row>
    <row r="18978" spans="1:11">
      <c r="A18978" s="30" t="s">
        <v>42303</v>
      </c>
      <c r="B18978" s="30" t="s">
        <v>42304</v>
      </c>
      <c r="C18978" s="30" t="s">
        <v>969</v>
      </c>
      <c r="D18978" s="30" t="s">
        <v>17</v>
      </c>
      <c r="E18978" s="30" t="s">
        <v>26</v>
      </c>
      <c r="F18978" s="30" t="s">
        <v>27</v>
      </c>
      <c r="G18978" s="30" t="s">
        <v>20</v>
      </c>
      <c r="H18978" s="32">
        <v>60</v>
      </c>
      <c r="I18978" s="30" t="s">
        <v>21</v>
      </c>
      <c r="J18978" s="41">
        <v>45447</v>
      </c>
      <c r="K18978" s="30" t="s">
        <v>22</v>
      </c>
    </row>
    <row r="18979" spans="1:11">
      <c r="A18979" s="33" t="s">
        <v>42305</v>
      </c>
      <c r="B18979" s="33" t="s">
        <v>42306</v>
      </c>
      <c r="C18979" s="33" t="s">
        <v>570</v>
      </c>
      <c r="D18979" s="33" t="s">
        <v>17</v>
      </c>
      <c r="E18979" s="33" t="s">
        <v>18</v>
      </c>
      <c r="F18979" s="33" t="s">
        <v>19</v>
      </c>
      <c r="G18979" s="33" t="s">
        <v>7780</v>
      </c>
      <c r="H18979" s="35">
        <v>786</v>
      </c>
      <c r="I18979" s="33" t="s">
        <v>51</v>
      </c>
      <c r="J18979" s="42">
        <v>45596</v>
      </c>
      <c r="K18979" s="33" t="s">
        <v>22</v>
      </c>
    </row>
    <row r="18980" spans="1:11">
      <c r="A18980" s="30" t="s">
        <v>42307</v>
      </c>
      <c r="B18980" s="30" t="s">
        <v>42308</v>
      </c>
      <c r="C18980" s="30" t="s">
        <v>6379</v>
      </c>
      <c r="D18980" s="30" t="s">
        <v>17</v>
      </c>
      <c r="E18980" s="30" t="s">
        <v>18</v>
      </c>
      <c r="F18980" s="30" t="s">
        <v>19</v>
      </c>
      <c r="G18980" s="30" t="s">
        <v>2613</v>
      </c>
      <c r="H18980" s="32">
        <v>7</v>
      </c>
      <c r="I18980" s="30" t="s">
        <v>51</v>
      </c>
      <c r="J18980" s="41">
        <v>45406</v>
      </c>
      <c r="K18980" s="30" t="s">
        <v>22</v>
      </c>
    </row>
    <row r="18981" spans="1:11">
      <c r="A18981" s="33" t="s">
        <v>42309</v>
      </c>
      <c r="B18981" s="33" t="s">
        <v>42310</v>
      </c>
      <c r="C18981" s="33" t="s">
        <v>2228</v>
      </c>
      <c r="D18981" s="33" t="s">
        <v>17</v>
      </c>
      <c r="E18981" s="33" t="s">
        <v>26</v>
      </c>
      <c r="F18981" s="33" t="s">
        <v>27</v>
      </c>
      <c r="G18981" s="33" t="s">
        <v>20</v>
      </c>
      <c r="H18981" s="35">
        <v>24</v>
      </c>
      <c r="I18981" s="33" t="s">
        <v>21</v>
      </c>
      <c r="J18981" s="42">
        <v>45508</v>
      </c>
      <c r="K18981" s="33" t="s">
        <v>22</v>
      </c>
    </row>
    <row r="18982" spans="1:11">
      <c r="A18982" s="30" t="s">
        <v>42311</v>
      </c>
      <c r="B18982" s="30" t="s">
        <v>42312</v>
      </c>
      <c r="C18982" s="30" t="s">
        <v>42313</v>
      </c>
      <c r="D18982" s="30" t="s">
        <v>17</v>
      </c>
      <c r="E18982" s="30" t="s">
        <v>26</v>
      </c>
      <c r="F18982" s="30" t="s">
        <v>27</v>
      </c>
      <c r="G18982" s="30" t="s">
        <v>140</v>
      </c>
      <c r="H18982" s="32">
        <v>100</v>
      </c>
      <c r="I18982" s="30" t="s">
        <v>51</v>
      </c>
      <c r="J18982" s="41">
        <v>45532</v>
      </c>
      <c r="K18982" s="30" t="s">
        <v>22</v>
      </c>
    </row>
    <row r="18983" spans="1:11">
      <c r="A18983" s="33" t="s">
        <v>42314</v>
      </c>
      <c r="B18983" s="33" t="s">
        <v>42315</v>
      </c>
      <c r="C18983" s="33" t="s">
        <v>2208</v>
      </c>
      <c r="D18983" s="33" t="s">
        <v>17</v>
      </c>
      <c r="E18983" s="33" t="s">
        <v>26</v>
      </c>
      <c r="F18983" s="33" t="s">
        <v>27</v>
      </c>
      <c r="G18983" s="33" t="s">
        <v>140</v>
      </c>
      <c r="H18983" s="35">
        <v>136</v>
      </c>
      <c r="I18983" s="33" t="s">
        <v>51</v>
      </c>
      <c r="J18983" s="42">
        <v>45351</v>
      </c>
      <c r="K18983" s="33" t="s">
        <v>22</v>
      </c>
    </row>
    <row r="18984" spans="1:11">
      <c r="A18984" s="30" t="s">
        <v>42316</v>
      </c>
      <c r="B18984" s="30" t="s">
        <v>42317</v>
      </c>
      <c r="C18984" s="30" t="s">
        <v>149</v>
      </c>
      <c r="D18984" s="30" t="s">
        <v>17</v>
      </c>
      <c r="E18984" s="30" t="s">
        <v>31</v>
      </c>
      <c r="F18984" s="30" t="s">
        <v>32</v>
      </c>
      <c r="G18984" s="30" t="s">
        <v>7780</v>
      </c>
      <c r="H18984" s="32">
        <v>240</v>
      </c>
      <c r="I18984" s="30" t="s">
        <v>51</v>
      </c>
      <c r="J18984" s="41">
        <v>45505</v>
      </c>
      <c r="K18984" s="30" t="s">
        <v>22</v>
      </c>
    </row>
    <row r="18985" spans="1:11">
      <c r="A18985" s="33" t="s">
        <v>42318</v>
      </c>
      <c r="B18985" s="33" t="s">
        <v>42319</v>
      </c>
      <c r="C18985" s="33" t="s">
        <v>2228</v>
      </c>
      <c r="D18985" s="33" t="s">
        <v>17</v>
      </c>
      <c r="E18985" s="33" t="s">
        <v>67</v>
      </c>
      <c r="F18985" s="33" t="s">
        <v>68</v>
      </c>
      <c r="G18985" s="33" t="s">
        <v>140</v>
      </c>
      <c r="H18985" s="35">
        <v>132</v>
      </c>
      <c r="I18985" s="33" t="s">
        <v>51</v>
      </c>
      <c r="J18985" s="42">
        <v>45420</v>
      </c>
      <c r="K18985" s="33" t="s">
        <v>22</v>
      </c>
    </row>
    <row r="18986" spans="1:11">
      <c r="A18986" s="30" t="s">
        <v>42320</v>
      </c>
      <c r="B18986" s="30" t="s">
        <v>42321</v>
      </c>
      <c r="C18986" s="30" t="s">
        <v>4348</v>
      </c>
      <c r="D18986" s="30" t="s">
        <v>17</v>
      </c>
      <c r="E18986" s="30" t="s">
        <v>18</v>
      </c>
      <c r="F18986" s="30" t="s">
        <v>19</v>
      </c>
      <c r="G18986" s="30" t="s">
        <v>158</v>
      </c>
      <c r="H18986" s="32">
        <v>722</v>
      </c>
      <c r="I18986" s="30" t="s">
        <v>21</v>
      </c>
      <c r="J18986" s="41">
        <v>45511</v>
      </c>
      <c r="K18986" s="30" t="s">
        <v>22</v>
      </c>
    </row>
    <row r="18987" spans="1:11">
      <c r="A18987" s="33" t="s">
        <v>42322</v>
      </c>
      <c r="B18987" s="33" t="s">
        <v>42323</v>
      </c>
      <c r="C18987" s="33" t="s">
        <v>38342</v>
      </c>
      <c r="D18987" s="33" t="s">
        <v>17</v>
      </c>
      <c r="E18987" s="33" t="s">
        <v>31</v>
      </c>
      <c r="F18987" s="33" t="s">
        <v>32</v>
      </c>
      <c r="G18987" s="33" t="s">
        <v>140</v>
      </c>
      <c r="H18987" s="35">
        <v>70</v>
      </c>
      <c r="I18987" s="33" t="s">
        <v>51</v>
      </c>
      <c r="J18987" s="42">
        <v>45616</v>
      </c>
      <c r="K18987" s="33" t="s">
        <v>22</v>
      </c>
    </row>
    <row r="18988" spans="1:11">
      <c r="A18988" s="30" t="s">
        <v>42324</v>
      </c>
      <c r="B18988" s="30" t="s">
        <v>42325</v>
      </c>
      <c r="C18988" s="30" t="s">
        <v>42326</v>
      </c>
      <c r="D18988" s="30" t="s">
        <v>17</v>
      </c>
      <c r="E18988" s="30" t="s">
        <v>26</v>
      </c>
      <c r="F18988" s="30" t="s">
        <v>27</v>
      </c>
      <c r="G18988" s="30" t="s">
        <v>7780</v>
      </c>
      <c r="H18988" s="32">
        <v>9</v>
      </c>
      <c r="I18988" s="30" t="s">
        <v>51</v>
      </c>
      <c r="J18988" s="41">
        <v>45505</v>
      </c>
      <c r="K18988" s="30" t="s">
        <v>22</v>
      </c>
    </row>
    <row r="18989" spans="1:11">
      <c r="A18989" s="33" t="s">
        <v>42327</v>
      </c>
      <c r="B18989" s="33" t="s">
        <v>42328</v>
      </c>
      <c r="C18989" s="33" t="s">
        <v>925</v>
      </c>
      <c r="D18989" s="33" t="s">
        <v>17</v>
      </c>
      <c r="E18989" s="33" t="s">
        <v>45</v>
      </c>
      <c r="F18989" s="33" t="s">
        <v>46</v>
      </c>
      <c r="G18989" s="33" t="s">
        <v>158</v>
      </c>
      <c r="H18989" s="35">
        <v>675</v>
      </c>
      <c r="I18989" s="33" t="s">
        <v>51</v>
      </c>
      <c r="J18989" s="42">
        <v>45524</v>
      </c>
      <c r="K18989" s="33" t="s">
        <v>22</v>
      </c>
    </row>
    <row r="18990" spans="1:11">
      <c r="A18990" s="30" t="s">
        <v>42329</v>
      </c>
      <c r="B18990" s="30" t="s">
        <v>42330</v>
      </c>
      <c r="C18990" s="30" t="s">
        <v>60</v>
      </c>
      <c r="D18990" s="30" t="s">
        <v>17</v>
      </c>
      <c r="E18990" s="30" t="s">
        <v>26</v>
      </c>
      <c r="F18990" s="30" t="s">
        <v>27</v>
      </c>
      <c r="G18990" s="30" t="s">
        <v>20</v>
      </c>
      <c r="H18990" s="32">
        <v>159</v>
      </c>
      <c r="I18990" s="30" t="s">
        <v>21</v>
      </c>
      <c r="J18990" s="41">
        <v>45399</v>
      </c>
      <c r="K18990" s="30" t="s">
        <v>22</v>
      </c>
    </row>
    <row r="18991" spans="1:11">
      <c r="A18991" s="33" t="s">
        <v>42331</v>
      </c>
      <c r="B18991" s="33" t="s">
        <v>42332</v>
      </c>
      <c r="C18991" s="33" t="s">
        <v>42333</v>
      </c>
      <c r="D18991" s="33" t="s">
        <v>17</v>
      </c>
      <c r="E18991" s="33" t="s">
        <v>212</v>
      </c>
      <c r="F18991" s="33" t="s">
        <v>213</v>
      </c>
      <c r="G18991" s="33" t="s">
        <v>2613</v>
      </c>
      <c r="H18991" s="35">
        <v>120</v>
      </c>
      <c r="I18991" s="33" t="s">
        <v>51</v>
      </c>
      <c r="J18991" s="42">
        <v>45627</v>
      </c>
      <c r="K18991" s="33" t="s">
        <v>22</v>
      </c>
    </row>
    <row r="18992" spans="1:11">
      <c r="A18992" s="30" t="s">
        <v>42334</v>
      </c>
      <c r="B18992" s="30" t="s">
        <v>42335</v>
      </c>
      <c r="C18992" s="30" t="s">
        <v>6001</v>
      </c>
      <c r="D18992" s="30" t="s">
        <v>17</v>
      </c>
      <c r="E18992" s="30" t="s">
        <v>26</v>
      </c>
      <c r="F18992" s="30" t="s">
        <v>27</v>
      </c>
      <c r="G18992" s="30" t="s">
        <v>140</v>
      </c>
      <c r="H18992" s="32">
        <v>20</v>
      </c>
      <c r="I18992" s="30" t="s">
        <v>51</v>
      </c>
      <c r="J18992" s="41">
        <v>45535</v>
      </c>
      <c r="K18992" s="30" t="s">
        <v>22</v>
      </c>
    </row>
    <row r="18993" spans="1:11">
      <c r="A18993" s="33" t="s">
        <v>42336</v>
      </c>
      <c r="B18993" s="33" t="s">
        <v>42337</v>
      </c>
      <c r="C18993" s="33" t="s">
        <v>252</v>
      </c>
      <c r="D18993" s="33" t="s">
        <v>17</v>
      </c>
      <c r="E18993" s="33" t="s">
        <v>31</v>
      </c>
      <c r="F18993" s="33" t="s">
        <v>32</v>
      </c>
      <c r="G18993" s="33" t="s">
        <v>7780</v>
      </c>
      <c r="H18993" s="35">
        <v>24</v>
      </c>
      <c r="I18993" s="33" t="s">
        <v>51</v>
      </c>
      <c r="J18993" s="42">
        <v>45656</v>
      </c>
      <c r="K18993" s="33" t="s">
        <v>22</v>
      </c>
    </row>
    <row r="18994" spans="1:11">
      <c r="A18994" s="30" t="s">
        <v>42338</v>
      </c>
      <c r="B18994" s="30" t="s">
        <v>42339</v>
      </c>
      <c r="C18994" s="30" t="s">
        <v>42340</v>
      </c>
      <c r="D18994" s="30" t="s">
        <v>17</v>
      </c>
      <c r="E18994" s="30" t="s">
        <v>26</v>
      </c>
      <c r="F18994" s="30" t="s">
        <v>27</v>
      </c>
      <c r="G18994" s="30" t="s">
        <v>140</v>
      </c>
      <c r="H18994" s="32">
        <v>102</v>
      </c>
      <c r="I18994" s="30" t="s">
        <v>51</v>
      </c>
      <c r="J18994" s="41">
        <v>45638</v>
      </c>
      <c r="K18994" s="30" t="s">
        <v>22</v>
      </c>
    </row>
    <row r="18995" spans="1:11">
      <c r="A18995" s="33" t="s">
        <v>42341</v>
      </c>
      <c r="B18995" s="33" t="s">
        <v>42342</v>
      </c>
      <c r="C18995" s="33" t="s">
        <v>35935</v>
      </c>
      <c r="D18995" s="33" t="s">
        <v>17</v>
      </c>
      <c r="E18995" s="33" t="s">
        <v>31</v>
      </c>
      <c r="F18995" s="33" t="s">
        <v>32</v>
      </c>
      <c r="G18995" s="33" t="s">
        <v>140</v>
      </c>
      <c r="H18995" s="35">
        <v>230</v>
      </c>
      <c r="I18995" s="33" t="s">
        <v>51</v>
      </c>
      <c r="J18995" s="42">
        <v>45372</v>
      </c>
      <c r="K18995" s="33" t="s">
        <v>22</v>
      </c>
    </row>
    <row r="18996" spans="1:11">
      <c r="A18996" s="30" t="s">
        <v>42343</v>
      </c>
      <c r="B18996" s="30" t="s">
        <v>42344</v>
      </c>
      <c r="C18996" s="30" t="s">
        <v>41014</v>
      </c>
      <c r="D18996" s="30" t="s">
        <v>17</v>
      </c>
      <c r="E18996" s="30" t="s">
        <v>26</v>
      </c>
      <c r="F18996" s="30" t="s">
        <v>27</v>
      </c>
      <c r="G18996" s="30" t="s">
        <v>20</v>
      </c>
      <c r="H18996" s="32">
        <v>12</v>
      </c>
      <c r="I18996" s="30" t="s">
        <v>21</v>
      </c>
      <c r="J18996" s="41">
        <v>45505</v>
      </c>
      <c r="K18996" s="30" t="s">
        <v>22</v>
      </c>
    </row>
    <row r="18997" spans="1:11">
      <c r="A18997" s="33" t="s">
        <v>42345</v>
      </c>
      <c r="B18997" s="33" t="s">
        <v>42346</v>
      </c>
      <c r="C18997" s="33" t="s">
        <v>11599</v>
      </c>
      <c r="D18997" s="33" t="s">
        <v>17</v>
      </c>
      <c r="E18997" s="33" t="s">
        <v>212</v>
      </c>
      <c r="F18997" s="33" t="s">
        <v>213</v>
      </c>
      <c r="G18997" s="33" t="s">
        <v>20</v>
      </c>
      <c r="H18997" s="35">
        <v>80</v>
      </c>
      <c r="I18997" s="33" t="s">
        <v>21</v>
      </c>
      <c r="J18997" s="42">
        <v>45406</v>
      </c>
      <c r="K18997" s="33" t="s">
        <v>22</v>
      </c>
    </row>
    <row r="18998" spans="1:11">
      <c r="A18998" s="30" t="s">
        <v>42347</v>
      </c>
      <c r="B18998" s="30" t="s">
        <v>42348</v>
      </c>
      <c r="C18998" s="30" t="s">
        <v>24294</v>
      </c>
      <c r="D18998" s="30" t="s">
        <v>17</v>
      </c>
      <c r="E18998" s="30" t="s">
        <v>26</v>
      </c>
      <c r="F18998" s="30" t="s">
        <v>27</v>
      </c>
      <c r="G18998" s="30" t="s">
        <v>140</v>
      </c>
      <c r="H18998" s="32">
        <v>60</v>
      </c>
      <c r="I18998" s="30" t="s">
        <v>51</v>
      </c>
      <c r="J18998" s="41">
        <v>45407</v>
      </c>
      <c r="K18998" s="30" t="s">
        <v>22</v>
      </c>
    </row>
    <row r="18999" spans="1:11">
      <c r="A18999" s="33" t="s">
        <v>42349</v>
      </c>
      <c r="B18999" s="33" t="s">
        <v>42350</v>
      </c>
      <c r="C18999" s="33" t="s">
        <v>157</v>
      </c>
      <c r="D18999" s="33" t="s">
        <v>17</v>
      </c>
      <c r="E18999" s="33" t="s">
        <v>31</v>
      </c>
      <c r="F18999" s="33" t="s">
        <v>32</v>
      </c>
      <c r="G18999" s="33" t="s">
        <v>158</v>
      </c>
      <c r="H18999" s="35">
        <v>207</v>
      </c>
      <c r="I18999" s="33" t="s">
        <v>51</v>
      </c>
      <c r="J18999" s="42">
        <v>45380</v>
      </c>
      <c r="K18999" s="33" t="s">
        <v>22</v>
      </c>
    </row>
    <row r="19000" spans="1:11">
      <c r="A19000" s="30" t="s">
        <v>42351</v>
      </c>
      <c r="B19000" s="30" t="s">
        <v>42352</v>
      </c>
      <c r="C19000" s="30" t="s">
        <v>32509</v>
      </c>
      <c r="D19000" s="30" t="s">
        <v>17</v>
      </c>
      <c r="E19000" s="30" t="s">
        <v>67</v>
      </c>
      <c r="F19000" s="30" t="s">
        <v>68</v>
      </c>
      <c r="G19000" s="30" t="s">
        <v>158</v>
      </c>
      <c r="H19000" s="32">
        <v>16</v>
      </c>
      <c r="I19000" s="30" t="s">
        <v>21</v>
      </c>
      <c r="J19000" s="41">
        <v>45540</v>
      </c>
      <c r="K19000" s="30" t="s">
        <v>22</v>
      </c>
    </row>
    <row r="19001" spans="1:11">
      <c r="A19001" s="33" t="s">
        <v>42353</v>
      </c>
      <c r="B19001" s="33" t="s">
        <v>42354</v>
      </c>
      <c r="C19001" s="33" t="s">
        <v>42355</v>
      </c>
      <c r="D19001" s="33" t="s">
        <v>17</v>
      </c>
      <c r="E19001" s="33" t="s">
        <v>31</v>
      </c>
      <c r="F19001" s="33" t="s">
        <v>32</v>
      </c>
      <c r="G19001" s="33" t="s">
        <v>20</v>
      </c>
      <c r="H19001" s="35">
        <v>16</v>
      </c>
      <c r="I19001" s="33" t="s">
        <v>21</v>
      </c>
      <c r="J19001" s="42">
        <v>45363</v>
      </c>
      <c r="K19001" s="33" t="s">
        <v>22</v>
      </c>
    </row>
    <row r="19002" spans="1:11">
      <c r="A19002" s="30" t="s">
        <v>42356</v>
      </c>
      <c r="B19002" s="30" t="s">
        <v>42357</v>
      </c>
      <c r="C19002" s="30" t="s">
        <v>6955</v>
      </c>
      <c r="D19002" s="30" t="s">
        <v>17</v>
      </c>
      <c r="E19002" s="30" t="s">
        <v>212</v>
      </c>
      <c r="F19002" s="30" t="s">
        <v>213</v>
      </c>
      <c r="G19002" s="30" t="s">
        <v>20</v>
      </c>
      <c r="H19002" s="32">
        <v>299</v>
      </c>
      <c r="I19002" s="30" t="s">
        <v>21</v>
      </c>
      <c r="J19002" s="41">
        <v>45595</v>
      </c>
      <c r="K19002" s="30" t="s">
        <v>22</v>
      </c>
    </row>
    <row r="19003" spans="1:11">
      <c r="A19003" s="33" t="s">
        <v>42358</v>
      </c>
      <c r="B19003" s="33" t="s">
        <v>42359</v>
      </c>
      <c r="C19003" s="33" t="s">
        <v>535</v>
      </c>
      <c r="D19003" s="33" t="s">
        <v>17</v>
      </c>
      <c r="E19003" s="33" t="s">
        <v>26</v>
      </c>
      <c r="F19003" s="33" t="s">
        <v>27</v>
      </c>
      <c r="G19003" s="33" t="s">
        <v>20</v>
      </c>
      <c r="H19003" s="35">
        <v>16</v>
      </c>
      <c r="I19003" s="33" t="s">
        <v>21</v>
      </c>
      <c r="J19003" s="42">
        <v>45643</v>
      </c>
      <c r="K19003" s="33" t="s">
        <v>22</v>
      </c>
    </row>
    <row r="19004" spans="1:11">
      <c r="A19004" s="30" t="s">
        <v>42360</v>
      </c>
      <c r="B19004" s="30" t="s">
        <v>42361</v>
      </c>
      <c r="C19004" s="30" t="s">
        <v>203</v>
      </c>
      <c r="D19004" s="30" t="s">
        <v>17</v>
      </c>
      <c r="E19004" s="30" t="s">
        <v>31</v>
      </c>
      <c r="F19004" s="30" t="s">
        <v>32</v>
      </c>
      <c r="G19004" s="30" t="s">
        <v>20</v>
      </c>
      <c r="H19004" s="32">
        <v>79</v>
      </c>
      <c r="I19004" s="30" t="s">
        <v>21</v>
      </c>
      <c r="J19004" s="41">
        <v>45490</v>
      </c>
      <c r="K19004" s="30" t="s">
        <v>22</v>
      </c>
    </row>
    <row r="19005" spans="1:11">
      <c r="A19005" s="33" t="s">
        <v>42362</v>
      </c>
      <c r="B19005" s="33" t="s">
        <v>42363</v>
      </c>
      <c r="C19005" s="33" t="s">
        <v>39447</v>
      </c>
      <c r="D19005" s="33" t="s">
        <v>17</v>
      </c>
      <c r="E19005" s="33" t="s">
        <v>67</v>
      </c>
      <c r="F19005" s="33" t="s">
        <v>68</v>
      </c>
      <c r="G19005" s="33" t="s">
        <v>140</v>
      </c>
      <c r="H19005" s="35">
        <v>36</v>
      </c>
      <c r="I19005" s="33" t="s">
        <v>51</v>
      </c>
      <c r="J19005" s="42">
        <v>45532</v>
      </c>
      <c r="K19005" s="33" t="s">
        <v>22</v>
      </c>
    </row>
    <row r="19006" spans="1:11">
      <c r="A19006" s="30" t="s">
        <v>42364</v>
      </c>
      <c r="B19006" s="30" t="s">
        <v>42365</v>
      </c>
      <c r="C19006" s="30" t="s">
        <v>42366</v>
      </c>
      <c r="D19006" s="30" t="s">
        <v>17</v>
      </c>
      <c r="E19006" s="30" t="s">
        <v>18</v>
      </c>
      <c r="F19006" s="30" t="s">
        <v>19</v>
      </c>
      <c r="G19006" s="30" t="s">
        <v>158</v>
      </c>
      <c r="H19006" s="32">
        <v>10</v>
      </c>
      <c r="I19006" s="30" t="s">
        <v>21</v>
      </c>
      <c r="J19006" s="41">
        <v>45335</v>
      </c>
      <c r="K19006" s="30" t="s">
        <v>22</v>
      </c>
    </row>
    <row r="19007" spans="1:11">
      <c r="A19007" s="33" t="s">
        <v>42367</v>
      </c>
      <c r="B19007" s="33" t="s">
        <v>42368</v>
      </c>
      <c r="C19007" s="33" t="s">
        <v>38682</v>
      </c>
      <c r="D19007" s="33" t="s">
        <v>17</v>
      </c>
      <c r="E19007" s="33" t="s">
        <v>26</v>
      </c>
      <c r="F19007" s="33" t="s">
        <v>27</v>
      </c>
      <c r="G19007" s="33" t="s">
        <v>140</v>
      </c>
      <c r="H19007" s="35">
        <v>54</v>
      </c>
      <c r="I19007" s="33" t="s">
        <v>51</v>
      </c>
      <c r="J19007" s="42">
        <v>45378</v>
      </c>
      <c r="K19007" s="33" t="s">
        <v>22</v>
      </c>
    </row>
    <row r="19008" spans="1:11">
      <c r="A19008" s="30" t="s">
        <v>42369</v>
      </c>
      <c r="B19008" s="30" t="s">
        <v>42370</v>
      </c>
      <c r="C19008" s="30" t="s">
        <v>13492</v>
      </c>
      <c r="D19008" s="30" t="s">
        <v>17</v>
      </c>
      <c r="E19008" s="30" t="s">
        <v>26</v>
      </c>
      <c r="F19008" s="30" t="s">
        <v>27</v>
      </c>
      <c r="G19008" s="30" t="s">
        <v>20</v>
      </c>
      <c r="H19008" s="32">
        <v>41</v>
      </c>
      <c r="I19008" s="30" t="s">
        <v>21</v>
      </c>
      <c r="J19008" s="41">
        <v>45457</v>
      </c>
      <c r="K19008" s="30" t="s">
        <v>22</v>
      </c>
    </row>
    <row r="19009" spans="1:11">
      <c r="A19009" s="33" t="s">
        <v>42371</v>
      </c>
      <c r="B19009" s="33" t="s">
        <v>42372</v>
      </c>
      <c r="C19009" s="33" t="s">
        <v>39112</v>
      </c>
      <c r="D19009" s="33" t="s">
        <v>17</v>
      </c>
      <c r="E19009" s="33" t="s">
        <v>26</v>
      </c>
      <c r="F19009" s="33" t="s">
        <v>27</v>
      </c>
      <c r="G19009" s="33" t="s">
        <v>140</v>
      </c>
      <c r="H19009" s="35">
        <v>56</v>
      </c>
      <c r="I19009" s="33" t="s">
        <v>51</v>
      </c>
      <c r="J19009" s="42">
        <v>45614</v>
      </c>
      <c r="K19009" s="33" t="s">
        <v>22</v>
      </c>
    </row>
    <row r="19010" spans="1:11">
      <c r="A19010" s="30" t="s">
        <v>42373</v>
      </c>
      <c r="B19010" s="30" t="s">
        <v>42374</v>
      </c>
      <c r="C19010" s="30" t="s">
        <v>42375</v>
      </c>
      <c r="D19010" s="30" t="s">
        <v>17</v>
      </c>
      <c r="E19010" s="30" t="s">
        <v>330</v>
      </c>
      <c r="F19010" s="30" t="s">
        <v>331</v>
      </c>
      <c r="G19010" s="30" t="s">
        <v>106</v>
      </c>
      <c r="H19010" s="32">
        <v>67</v>
      </c>
      <c r="I19010" s="30" t="s">
        <v>21</v>
      </c>
      <c r="J19010" s="41">
        <v>45391</v>
      </c>
      <c r="K19010" s="30" t="s">
        <v>22</v>
      </c>
    </row>
    <row r="19011" spans="1:11">
      <c r="A19011" s="33" t="s">
        <v>42376</v>
      </c>
      <c r="B19011" s="33" t="s">
        <v>42377</v>
      </c>
      <c r="C19011" s="33" t="s">
        <v>925</v>
      </c>
      <c r="D19011" s="33" t="s">
        <v>17</v>
      </c>
      <c r="E19011" s="33" t="s">
        <v>18</v>
      </c>
      <c r="F19011" s="33" t="s">
        <v>19</v>
      </c>
      <c r="G19011" s="33" t="s">
        <v>158</v>
      </c>
      <c r="H19011" s="35">
        <v>640</v>
      </c>
      <c r="I19011" s="33" t="s">
        <v>51</v>
      </c>
      <c r="J19011" s="42">
        <v>45532</v>
      </c>
      <c r="K19011" s="33" t="s">
        <v>22</v>
      </c>
    </row>
    <row r="19012" spans="1:11">
      <c r="A19012" s="30" t="s">
        <v>42378</v>
      </c>
      <c r="B19012" s="30" t="s">
        <v>42379</v>
      </c>
      <c r="C19012" s="30" t="s">
        <v>18758</v>
      </c>
      <c r="D19012" s="30" t="s">
        <v>17</v>
      </c>
      <c r="E19012" s="30" t="s">
        <v>18</v>
      </c>
      <c r="F19012" s="30" t="s">
        <v>19</v>
      </c>
      <c r="G19012" s="30" t="s">
        <v>50</v>
      </c>
      <c r="H19012" s="32">
        <v>48</v>
      </c>
      <c r="I19012" s="30" t="s">
        <v>51</v>
      </c>
      <c r="J19012" s="41">
        <v>45488</v>
      </c>
      <c r="K19012" s="30" t="s">
        <v>22</v>
      </c>
    </row>
    <row r="19013" spans="1:11">
      <c r="A19013" s="33" t="s">
        <v>42380</v>
      </c>
      <c r="B19013" s="33" t="s">
        <v>42381</v>
      </c>
      <c r="C19013" s="33" t="s">
        <v>27391</v>
      </c>
      <c r="D19013" s="33" t="s">
        <v>17</v>
      </c>
      <c r="E19013" s="33" t="s">
        <v>26</v>
      </c>
      <c r="F19013" s="33" t="s">
        <v>27</v>
      </c>
      <c r="G19013" s="33" t="s">
        <v>140</v>
      </c>
      <c r="H19013" s="35">
        <v>39</v>
      </c>
      <c r="I19013" s="33" t="s">
        <v>51</v>
      </c>
      <c r="J19013" s="42">
        <v>45566</v>
      </c>
      <c r="K19013" s="33" t="s">
        <v>22</v>
      </c>
    </row>
    <row r="19014" spans="1:11">
      <c r="A19014" s="30" t="s">
        <v>42382</v>
      </c>
      <c r="B19014" s="30" t="s">
        <v>42383</v>
      </c>
      <c r="C19014" s="30" t="s">
        <v>2196</v>
      </c>
      <c r="D19014" s="30" t="s">
        <v>17</v>
      </c>
      <c r="E19014" s="30" t="s">
        <v>26</v>
      </c>
      <c r="F19014" s="30" t="s">
        <v>27</v>
      </c>
      <c r="G19014" s="30" t="s">
        <v>20</v>
      </c>
      <c r="H19014" s="32">
        <v>6</v>
      </c>
      <c r="I19014" s="30" t="s">
        <v>21</v>
      </c>
      <c r="J19014" s="41">
        <v>45622</v>
      </c>
      <c r="K19014" s="30" t="s">
        <v>22</v>
      </c>
    </row>
    <row r="19015" spans="1:11">
      <c r="A19015" s="33" t="s">
        <v>42384</v>
      </c>
      <c r="B19015" s="33" t="s">
        <v>42385</v>
      </c>
      <c r="C19015" s="33" t="s">
        <v>130</v>
      </c>
      <c r="D19015" s="33" t="s">
        <v>17</v>
      </c>
      <c r="E19015" s="33" t="s">
        <v>26</v>
      </c>
      <c r="F19015" s="33" t="s">
        <v>27</v>
      </c>
      <c r="G19015" s="33" t="s">
        <v>20</v>
      </c>
      <c r="H19015" s="35">
        <v>5</v>
      </c>
      <c r="I19015" s="33" t="s">
        <v>21</v>
      </c>
      <c r="J19015" s="42">
        <v>45427</v>
      </c>
      <c r="K19015" s="33" t="s">
        <v>22</v>
      </c>
    </row>
    <row r="19016" spans="1:11">
      <c r="A19016" s="30" t="s">
        <v>42386</v>
      </c>
      <c r="B19016" s="30" t="s">
        <v>42387</v>
      </c>
      <c r="C19016" s="30" t="s">
        <v>6046</v>
      </c>
      <c r="D19016" s="30" t="s">
        <v>17</v>
      </c>
      <c r="E19016" s="30" t="s">
        <v>31</v>
      </c>
      <c r="F19016" s="30" t="s">
        <v>32</v>
      </c>
      <c r="G19016" s="30" t="s">
        <v>106</v>
      </c>
      <c r="H19016" s="32">
        <v>3</v>
      </c>
      <c r="I19016" s="30" t="s">
        <v>21</v>
      </c>
      <c r="J19016" s="41">
        <v>45490</v>
      </c>
      <c r="K19016" s="30" t="s">
        <v>22</v>
      </c>
    </row>
    <row r="19017" spans="1:11">
      <c r="A19017" s="33" t="s">
        <v>42388</v>
      </c>
      <c r="B19017" s="33" t="s">
        <v>42389</v>
      </c>
      <c r="C19017" s="33" t="s">
        <v>203</v>
      </c>
      <c r="D19017" s="33" t="s">
        <v>17</v>
      </c>
      <c r="E19017" s="33" t="s">
        <v>26</v>
      </c>
      <c r="F19017" s="33" t="s">
        <v>27</v>
      </c>
      <c r="G19017" s="33" t="s">
        <v>140</v>
      </c>
      <c r="H19017" s="35">
        <v>96</v>
      </c>
      <c r="I19017" s="33" t="s">
        <v>51</v>
      </c>
      <c r="J19017" s="42">
        <v>45481</v>
      </c>
      <c r="K19017" s="33" t="s">
        <v>22</v>
      </c>
    </row>
    <row r="19018" spans="1:11">
      <c r="A19018" s="30" t="s">
        <v>42390</v>
      </c>
      <c r="B19018" s="30" t="s">
        <v>42391</v>
      </c>
      <c r="C19018" s="30" t="s">
        <v>15453</v>
      </c>
      <c r="D19018" s="30" t="s">
        <v>17</v>
      </c>
      <c r="E19018" s="30" t="s">
        <v>31</v>
      </c>
      <c r="F19018" s="30" t="s">
        <v>32</v>
      </c>
      <c r="G19018" s="30" t="s">
        <v>140</v>
      </c>
      <c r="H19018" s="32">
        <v>178</v>
      </c>
      <c r="I19018" s="30" t="s">
        <v>51</v>
      </c>
      <c r="J19018" s="41">
        <v>45631</v>
      </c>
      <c r="K19018" s="30" t="s">
        <v>22</v>
      </c>
    </row>
    <row r="19019" spans="1:11">
      <c r="A19019" s="33" t="s">
        <v>42392</v>
      </c>
      <c r="B19019" s="33" t="s">
        <v>42393</v>
      </c>
      <c r="C19019" s="33" t="s">
        <v>96</v>
      </c>
      <c r="D19019" s="33" t="s">
        <v>17</v>
      </c>
      <c r="E19019" s="33" t="s">
        <v>26</v>
      </c>
      <c r="F19019" s="33" t="s">
        <v>27</v>
      </c>
      <c r="G19019" s="33" t="s">
        <v>106</v>
      </c>
      <c r="H19019" s="35">
        <v>10</v>
      </c>
      <c r="I19019" s="33" t="s">
        <v>21</v>
      </c>
      <c r="J19019" s="42">
        <v>45541</v>
      </c>
      <c r="K19019" s="33" t="s">
        <v>22</v>
      </c>
    </row>
    <row r="19020" spans="1:11">
      <c r="A19020" s="30" t="s">
        <v>42394</v>
      </c>
      <c r="B19020" s="30" t="s">
        <v>42395</v>
      </c>
      <c r="C19020" s="30" t="s">
        <v>13124</v>
      </c>
      <c r="D19020" s="30" t="s">
        <v>17</v>
      </c>
      <c r="E19020" s="30" t="s">
        <v>18</v>
      </c>
      <c r="F19020" s="30" t="s">
        <v>19</v>
      </c>
      <c r="G19020" s="30" t="s">
        <v>140</v>
      </c>
      <c r="H19020" s="32">
        <v>220</v>
      </c>
      <c r="I19020" s="30" t="s">
        <v>51</v>
      </c>
      <c r="J19020" s="41">
        <v>45377</v>
      </c>
      <c r="K19020" s="30" t="s">
        <v>22</v>
      </c>
    </row>
    <row r="19021" spans="1:11">
      <c r="A19021" s="33" t="s">
        <v>42396</v>
      </c>
      <c r="B19021" s="33" t="s">
        <v>42397</v>
      </c>
      <c r="C19021" s="33" t="s">
        <v>5050</v>
      </c>
      <c r="D19021" s="33" t="s">
        <v>17</v>
      </c>
      <c r="E19021" s="33" t="s">
        <v>26</v>
      </c>
      <c r="F19021" s="33" t="s">
        <v>27</v>
      </c>
      <c r="G19021" s="33" t="s">
        <v>20</v>
      </c>
      <c r="H19021" s="35">
        <v>34</v>
      </c>
      <c r="I19021" s="33" t="s">
        <v>21</v>
      </c>
      <c r="J19021" s="42">
        <v>45571</v>
      </c>
      <c r="K19021" s="33" t="s">
        <v>22</v>
      </c>
    </row>
    <row r="19022" spans="1:11">
      <c r="A19022" s="30" t="s">
        <v>42398</v>
      </c>
      <c r="B19022" s="30" t="s">
        <v>42399</v>
      </c>
      <c r="C19022" s="30" t="s">
        <v>647</v>
      </c>
      <c r="D19022" s="30" t="s">
        <v>17</v>
      </c>
      <c r="E19022" s="30" t="s">
        <v>18</v>
      </c>
      <c r="F19022" s="30" t="s">
        <v>19</v>
      </c>
      <c r="G19022" s="30" t="s">
        <v>140</v>
      </c>
      <c r="H19022" s="32">
        <v>780</v>
      </c>
      <c r="I19022" s="30" t="s">
        <v>51</v>
      </c>
      <c r="J19022" s="41">
        <v>45385</v>
      </c>
      <c r="K19022" s="30" t="s">
        <v>22</v>
      </c>
    </row>
    <row r="19023" spans="1:11">
      <c r="A19023" s="33" t="s">
        <v>42400</v>
      </c>
      <c r="B19023" s="33" t="s">
        <v>42401</v>
      </c>
      <c r="C19023" s="33" t="s">
        <v>15831</v>
      </c>
      <c r="D19023" s="33" t="s">
        <v>17</v>
      </c>
      <c r="E19023" s="33" t="s">
        <v>31</v>
      </c>
      <c r="F19023" s="33" t="s">
        <v>32</v>
      </c>
      <c r="G19023" s="33" t="s">
        <v>140</v>
      </c>
      <c r="H19023" s="35">
        <v>60</v>
      </c>
      <c r="I19023" s="33" t="s">
        <v>51</v>
      </c>
      <c r="J19023" s="42">
        <v>45611</v>
      </c>
      <c r="K19023" s="33" t="s">
        <v>22</v>
      </c>
    </row>
    <row r="19024" spans="1:11">
      <c r="A19024" s="30" t="s">
        <v>42402</v>
      </c>
      <c r="B19024" s="30" t="s">
        <v>42403</v>
      </c>
      <c r="C19024" s="30" t="s">
        <v>190</v>
      </c>
      <c r="D19024" s="30" t="s">
        <v>17</v>
      </c>
      <c r="E19024" s="30" t="s">
        <v>18</v>
      </c>
      <c r="F19024" s="30" t="s">
        <v>19</v>
      </c>
      <c r="G19024" s="30" t="s">
        <v>140</v>
      </c>
      <c r="H19024" s="32">
        <v>790</v>
      </c>
      <c r="I19024" s="30" t="s">
        <v>51</v>
      </c>
      <c r="J19024" s="41">
        <v>45460</v>
      </c>
      <c r="K19024" s="30" t="s">
        <v>22</v>
      </c>
    </row>
    <row r="19025" spans="1:11">
      <c r="A19025" s="33" t="s">
        <v>42404</v>
      </c>
      <c r="B19025" s="33" t="s">
        <v>42405</v>
      </c>
      <c r="C19025" s="33" t="s">
        <v>190</v>
      </c>
      <c r="D19025" s="33" t="s">
        <v>17</v>
      </c>
      <c r="E19025" s="33" t="s">
        <v>26</v>
      </c>
      <c r="F19025" s="33" t="s">
        <v>27</v>
      </c>
      <c r="G19025" s="33" t="s">
        <v>20</v>
      </c>
      <c r="H19025" s="35">
        <v>33</v>
      </c>
      <c r="I19025" s="33" t="s">
        <v>21</v>
      </c>
      <c r="J19025" s="42">
        <v>45645</v>
      </c>
      <c r="K19025" s="33" t="s">
        <v>22</v>
      </c>
    </row>
    <row r="19026" spans="1:11">
      <c r="A19026" s="30" t="s">
        <v>42406</v>
      </c>
      <c r="B19026" s="30" t="s">
        <v>42407</v>
      </c>
      <c r="C19026" s="30" t="s">
        <v>42408</v>
      </c>
      <c r="D19026" s="30" t="s">
        <v>17</v>
      </c>
      <c r="E19026" s="30" t="s">
        <v>26</v>
      </c>
      <c r="F19026" s="30" t="s">
        <v>27</v>
      </c>
      <c r="G19026" s="30" t="s">
        <v>140</v>
      </c>
      <c r="H19026" s="32">
        <v>12</v>
      </c>
      <c r="I19026" s="30" t="s">
        <v>51</v>
      </c>
      <c r="J19026" s="41">
        <v>45462</v>
      </c>
      <c r="K19026" s="30" t="s">
        <v>22</v>
      </c>
    </row>
    <row r="19027" spans="1:11">
      <c r="A19027" s="33" t="s">
        <v>42409</v>
      </c>
      <c r="B19027" s="33" t="s">
        <v>42410</v>
      </c>
      <c r="C19027" s="33" t="s">
        <v>109</v>
      </c>
      <c r="D19027" s="33" t="s">
        <v>17</v>
      </c>
      <c r="E19027" s="33" t="s">
        <v>18</v>
      </c>
      <c r="F19027" s="33" t="s">
        <v>19</v>
      </c>
      <c r="G19027" s="33" t="s">
        <v>158</v>
      </c>
      <c r="H19027" s="35">
        <v>161</v>
      </c>
      <c r="I19027" s="33" t="s">
        <v>21</v>
      </c>
      <c r="J19027" s="42">
        <v>45471</v>
      </c>
      <c r="K19027" s="33" t="s">
        <v>22</v>
      </c>
    </row>
    <row r="19028" spans="1:11">
      <c r="A19028" s="30" t="s">
        <v>42411</v>
      </c>
      <c r="B19028" s="30" t="s">
        <v>42412</v>
      </c>
      <c r="C19028" s="30" t="s">
        <v>1003</v>
      </c>
      <c r="D19028" s="30" t="s">
        <v>17</v>
      </c>
      <c r="E19028" s="30" t="s">
        <v>31</v>
      </c>
      <c r="F19028" s="30" t="s">
        <v>32</v>
      </c>
      <c r="G19028" s="30" t="s">
        <v>50</v>
      </c>
      <c r="H19028" s="32">
        <v>60</v>
      </c>
      <c r="I19028" s="30" t="s">
        <v>51</v>
      </c>
      <c r="J19028" s="41">
        <v>45627</v>
      </c>
      <c r="K19028" s="30" t="s">
        <v>22</v>
      </c>
    </row>
    <row r="19029" spans="1:11">
      <c r="A19029" s="33" t="s">
        <v>42413</v>
      </c>
      <c r="B19029" s="33" t="s">
        <v>42414</v>
      </c>
      <c r="C19029" s="33" t="s">
        <v>4348</v>
      </c>
      <c r="D19029" s="33" t="s">
        <v>17</v>
      </c>
      <c r="E19029" s="33" t="s">
        <v>26</v>
      </c>
      <c r="F19029" s="33" t="s">
        <v>27</v>
      </c>
      <c r="G19029" s="33" t="s">
        <v>140</v>
      </c>
      <c r="H19029" s="35">
        <v>20</v>
      </c>
      <c r="I19029" s="33" t="s">
        <v>51</v>
      </c>
      <c r="J19029" s="42">
        <v>45595</v>
      </c>
      <c r="K19029" s="33" t="s">
        <v>22</v>
      </c>
    </row>
    <row r="19030" spans="1:11">
      <c r="A19030" s="30" t="s">
        <v>42415</v>
      </c>
      <c r="B19030" s="30" t="s">
        <v>42416</v>
      </c>
      <c r="C19030" s="30" t="s">
        <v>124</v>
      </c>
      <c r="D19030" s="30" t="s">
        <v>17</v>
      </c>
      <c r="E19030" s="30" t="s">
        <v>31</v>
      </c>
      <c r="F19030" s="30" t="s">
        <v>32</v>
      </c>
      <c r="G19030" s="30" t="s">
        <v>2613</v>
      </c>
      <c r="H19030" s="32">
        <v>309</v>
      </c>
      <c r="I19030" s="30" t="s">
        <v>51</v>
      </c>
      <c r="J19030" s="41">
        <v>45636</v>
      </c>
      <c r="K19030" s="30" t="s">
        <v>22</v>
      </c>
    </row>
    <row r="19031" spans="1:11">
      <c r="A19031" s="33" t="s">
        <v>42417</v>
      </c>
      <c r="B19031" s="33" t="s">
        <v>42418</v>
      </c>
      <c r="C19031" s="33" t="s">
        <v>154</v>
      </c>
      <c r="D19031" s="33" t="s">
        <v>17</v>
      </c>
      <c r="E19031" s="33" t="s">
        <v>26</v>
      </c>
      <c r="F19031" s="33" t="s">
        <v>27</v>
      </c>
      <c r="G19031" s="33" t="s">
        <v>112</v>
      </c>
      <c r="H19031" s="35">
        <v>0</v>
      </c>
      <c r="I19031" s="33" t="s">
        <v>21</v>
      </c>
      <c r="J19031" s="42">
        <v>45352</v>
      </c>
      <c r="K19031" s="33" t="s">
        <v>22</v>
      </c>
    </row>
    <row r="19032" spans="1:11">
      <c r="A19032" s="30" t="s">
        <v>42419</v>
      </c>
      <c r="B19032" s="30" t="s">
        <v>42420</v>
      </c>
      <c r="C19032" s="30" t="s">
        <v>36054</v>
      </c>
      <c r="D19032" s="30" t="s">
        <v>17</v>
      </c>
      <c r="E19032" s="30" t="s">
        <v>26</v>
      </c>
      <c r="F19032" s="30" t="s">
        <v>27</v>
      </c>
      <c r="G19032" s="30" t="s">
        <v>106</v>
      </c>
      <c r="H19032" s="32">
        <v>132</v>
      </c>
      <c r="I19032" s="30" t="s">
        <v>21</v>
      </c>
      <c r="J19032" s="41">
        <v>45296</v>
      </c>
      <c r="K19032" s="30" t="s">
        <v>22</v>
      </c>
    </row>
    <row r="19033" spans="1:11">
      <c r="A19033" s="33" t="s">
        <v>42421</v>
      </c>
      <c r="B19033" s="33" t="s">
        <v>42422</v>
      </c>
      <c r="C19033" s="33" t="s">
        <v>747</v>
      </c>
      <c r="D19033" s="33" t="s">
        <v>17</v>
      </c>
      <c r="E19033" s="33" t="s">
        <v>18</v>
      </c>
      <c r="F19033" s="33" t="s">
        <v>19</v>
      </c>
      <c r="G19033" s="33" t="s">
        <v>140</v>
      </c>
      <c r="H19033" s="35">
        <v>328</v>
      </c>
      <c r="I19033" s="33" t="s">
        <v>51</v>
      </c>
      <c r="J19033" s="42">
        <v>45607</v>
      </c>
      <c r="K19033" s="33" t="s">
        <v>22</v>
      </c>
    </row>
    <row r="19034" spans="1:11">
      <c r="A19034" s="30" t="s">
        <v>42423</v>
      </c>
      <c r="B19034" s="30" t="s">
        <v>42424</v>
      </c>
      <c r="C19034" s="30" t="s">
        <v>42425</v>
      </c>
      <c r="D19034" s="30" t="s">
        <v>17</v>
      </c>
      <c r="E19034" s="30" t="s">
        <v>67</v>
      </c>
      <c r="F19034" s="30" t="s">
        <v>68</v>
      </c>
      <c r="G19034" s="30" t="s">
        <v>140</v>
      </c>
      <c r="H19034" s="32">
        <v>76</v>
      </c>
      <c r="I19034" s="30" t="s">
        <v>51</v>
      </c>
      <c r="J19034" s="41">
        <v>45443</v>
      </c>
      <c r="K19034" s="30" t="s">
        <v>22</v>
      </c>
    </row>
    <row r="19035" spans="1:11">
      <c r="A19035" s="33" t="s">
        <v>42426</v>
      </c>
      <c r="B19035" s="33" t="s">
        <v>42427</v>
      </c>
      <c r="C19035" s="33" t="s">
        <v>1422</v>
      </c>
      <c r="D19035" s="33" t="s">
        <v>17</v>
      </c>
      <c r="E19035" s="33" t="s">
        <v>26</v>
      </c>
      <c r="F19035" s="33" t="s">
        <v>27</v>
      </c>
      <c r="G19035" s="33" t="s">
        <v>140</v>
      </c>
      <c r="H19035" s="35">
        <v>196</v>
      </c>
      <c r="I19035" s="33" t="s">
        <v>51</v>
      </c>
      <c r="J19035" s="42">
        <v>45496</v>
      </c>
      <c r="K19035" s="33" t="s">
        <v>22</v>
      </c>
    </row>
    <row r="19036" spans="1:11">
      <c r="A19036" s="30" t="s">
        <v>42428</v>
      </c>
      <c r="B19036" s="30" t="s">
        <v>42429</v>
      </c>
      <c r="C19036" s="30" t="s">
        <v>34377</v>
      </c>
      <c r="D19036" s="30" t="s">
        <v>17</v>
      </c>
      <c r="E19036" s="30" t="s">
        <v>31</v>
      </c>
      <c r="F19036" s="30" t="s">
        <v>32</v>
      </c>
      <c r="G19036" s="30" t="s">
        <v>20</v>
      </c>
      <c r="H19036" s="32">
        <v>85</v>
      </c>
      <c r="I19036" s="30" t="s">
        <v>21</v>
      </c>
      <c r="J19036" s="41">
        <v>45646</v>
      </c>
      <c r="K19036" s="30" t="s">
        <v>22</v>
      </c>
    </row>
    <row r="19037" spans="1:11">
      <c r="A19037" s="33" t="s">
        <v>42430</v>
      </c>
      <c r="B19037" s="33" t="s">
        <v>42431</v>
      </c>
      <c r="C19037" s="33" t="s">
        <v>810</v>
      </c>
      <c r="D19037" s="33" t="s">
        <v>17</v>
      </c>
      <c r="E19037" s="33" t="s">
        <v>26</v>
      </c>
      <c r="F19037" s="33" t="s">
        <v>27</v>
      </c>
      <c r="G19037" s="33" t="s">
        <v>20</v>
      </c>
      <c r="H19037" s="35">
        <v>37</v>
      </c>
      <c r="I19037" s="33" t="s">
        <v>21</v>
      </c>
      <c r="J19037" s="42">
        <v>45581</v>
      </c>
      <c r="K19037" s="33" t="s">
        <v>22</v>
      </c>
    </row>
    <row r="19038" spans="1:11">
      <c r="A19038" s="30" t="s">
        <v>42432</v>
      </c>
      <c r="B19038" s="30" t="s">
        <v>42433</v>
      </c>
      <c r="C19038" s="30" t="s">
        <v>17636</v>
      </c>
      <c r="D19038" s="30" t="s">
        <v>17</v>
      </c>
      <c r="E19038" s="30" t="s">
        <v>31</v>
      </c>
      <c r="F19038" s="30" t="s">
        <v>32</v>
      </c>
      <c r="G19038" s="30" t="s">
        <v>7780</v>
      </c>
      <c r="H19038" s="32">
        <v>3100</v>
      </c>
      <c r="I19038" s="30" t="s">
        <v>51</v>
      </c>
      <c r="J19038" s="41">
        <v>45656</v>
      </c>
      <c r="K19038" s="30" t="s">
        <v>22</v>
      </c>
    </row>
    <row r="19039" spans="1:11">
      <c r="A19039" s="33" t="s">
        <v>42434</v>
      </c>
      <c r="B19039" s="33" t="s">
        <v>42435</v>
      </c>
      <c r="C19039" s="33" t="s">
        <v>4108</v>
      </c>
      <c r="D19039" s="33" t="s">
        <v>17</v>
      </c>
      <c r="E19039" s="33" t="s">
        <v>31</v>
      </c>
      <c r="F19039" s="33" t="s">
        <v>32</v>
      </c>
      <c r="G19039" s="33" t="s">
        <v>20</v>
      </c>
      <c r="H19039" s="35">
        <v>69</v>
      </c>
      <c r="I19039" s="33" t="s">
        <v>21</v>
      </c>
      <c r="J19039" s="42">
        <v>45376</v>
      </c>
      <c r="K19039" s="33" t="s">
        <v>22</v>
      </c>
    </row>
    <row r="19040" spans="1:11">
      <c r="A19040" s="30" t="s">
        <v>42436</v>
      </c>
      <c r="B19040" s="30" t="s">
        <v>42437</v>
      </c>
      <c r="C19040" s="30" t="s">
        <v>44</v>
      </c>
      <c r="D19040" s="30" t="s">
        <v>17</v>
      </c>
      <c r="E19040" s="30" t="s">
        <v>18</v>
      </c>
      <c r="F19040" s="30" t="s">
        <v>19</v>
      </c>
      <c r="G19040" s="30" t="s">
        <v>140</v>
      </c>
      <c r="H19040" s="32">
        <v>975</v>
      </c>
      <c r="I19040" s="30" t="s">
        <v>51</v>
      </c>
      <c r="J19040" s="41">
        <v>45595</v>
      </c>
      <c r="K19040" s="30" t="s">
        <v>22</v>
      </c>
    </row>
    <row r="19041" spans="1:11">
      <c r="A19041" s="33" t="s">
        <v>42438</v>
      </c>
      <c r="B19041" s="33" t="s">
        <v>42439</v>
      </c>
      <c r="C19041" s="33" t="s">
        <v>14483</v>
      </c>
      <c r="D19041" s="33" t="s">
        <v>17</v>
      </c>
      <c r="E19041" s="33" t="s">
        <v>26</v>
      </c>
      <c r="F19041" s="33" t="s">
        <v>27</v>
      </c>
      <c r="G19041" s="33" t="s">
        <v>20</v>
      </c>
      <c r="H19041" s="35">
        <v>178</v>
      </c>
      <c r="I19041" s="33" t="s">
        <v>21</v>
      </c>
      <c r="J19041" s="42">
        <v>45467</v>
      </c>
      <c r="K19041" s="33" t="s">
        <v>22</v>
      </c>
    </row>
    <row r="19042" spans="1:11">
      <c r="A19042" s="30" t="s">
        <v>42440</v>
      </c>
      <c r="B19042" s="30" t="s">
        <v>42441</v>
      </c>
      <c r="C19042" s="30" t="s">
        <v>15718</v>
      </c>
      <c r="D19042" s="30" t="s">
        <v>17</v>
      </c>
      <c r="E19042" s="30" t="s">
        <v>26</v>
      </c>
      <c r="F19042" s="30" t="s">
        <v>27</v>
      </c>
      <c r="G19042" s="30" t="s">
        <v>20</v>
      </c>
      <c r="H19042" s="32">
        <v>54</v>
      </c>
      <c r="I19042" s="30" t="s">
        <v>21</v>
      </c>
      <c r="J19042" s="41">
        <v>45503</v>
      </c>
      <c r="K19042" s="30" t="s">
        <v>22</v>
      </c>
    </row>
    <row r="19043" spans="1:11">
      <c r="A19043" s="33" t="s">
        <v>42442</v>
      </c>
      <c r="B19043" s="33" t="s">
        <v>42443</v>
      </c>
      <c r="C19043" s="33" t="s">
        <v>42444</v>
      </c>
      <c r="D19043" s="33" t="s">
        <v>17</v>
      </c>
      <c r="E19043" s="33" t="s">
        <v>26</v>
      </c>
      <c r="F19043" s="33" t="s">
        <v>27</v>
      </c>
      <c r="G19043" s="33" t="s">
        <v>140</v>
      </c>
      <c r="H19043" s="35">
        <v>36</v>
      </c>
      <c r="I19043" s="33" t="s">
        <v>51</v>
      </c>
      <c r="J19043" s="42">
        <v>45625</v>
      </c>
      <c r="K19043" s="33" t="s">
        <v>22</v>
      </c>
    </row>
    <row r="19044" spans="1:11">
      <c r="A19044" s="30" t="s">
        <v>42445</v>
      </c>
      <c r="B19044" s="30" t="s">
        <v>42446</v>
      </c>
      <c r="C19044" s="30" t="s">
        <v>31562</v>
      </c>
      <c r="D19044" s="30" t="s">
        <v>17</v>
      </c>
      <c r="E19044" s="30" t="s">
        <v>26</v>
      </c>
      <c r="F19044" s="30" t="s">
        <v>27</v>
      </c>
      <c r="G19044" s="30" t="s">
        <v>7780</v>
      </c>
      <c r="H19044" s="32">
        <v>448</v>
      </c>
      <c r="I19044" s="30" t="s">
        <v>51</v>
      </c>
      <c r="J19044" s="41">
        <v>45646</v>
      </c>
      <c r="K19044" s="30" t="s">
        <v>22</v>
      </c>
    </row>
    <row r="19045" spans="1:11">
      <c r="A19045" s="33" t="s">
        <v>42447</v>
      </c>
      <c r="B19045" s="33" t="s">
        <v>42448</v>
      </c>
      <c r="C19045" s="33" t="s">
        <v>203</v>
      </c>
      <c r="D19045" s="33" t="s">
        <v>17</v>
      </c>
      <c r="E19045" s="33" t="s">
        <v>31</v>
      </c>
      <c r="F19045" s="33" t="s">
        <v>32</v>
      </c>
      <c r="G19045" s="33" t="s">
        <v>158</v>
      </c>
      <c r="H19045" s="35">
        <v>185</v>
      </c>
      <c r="I19045" s="33" t="s">
        <v>51</v>
      </c>
      <c r="J19045" s="42">
        <v>45463</v>
      </c>
      <c r="K19045" s="33" t="s">
        <v>22</v>
      </c>
    </row>
    <row r="19046" spans="1:11">
      <c r="A19046" s="30" t="s">
        <v>42449</v>
      </c>
      <c r="B19046" s="30" t="s">
        <v>42450</v>
      </c>
      <c r="C19046" s="30" t="s">
        <v>1324</v>
      </c>
      <c r="D19046" s="30" t="s">
        <v>17</v>
      </c>
      <c r="E19046" s="30" t="s">
        <v>31</v>
      </c>
      <c r="F19046" s="30" t="s">
        <v>32</v>
      </c>
      <c r="G19046" s="30" t="s">
        <v>140</v>
      </c>
      <c r="H19046" s="32">
        <v>14</v>
      </c>
      <c r="I19046" s="30" t="s">
        <v>51</v>
      </c>
      <c r="J19046" s="41">
        <v>45572</v>
      </c>
      <c r="K19046" s="30" t="s">
        <v>22</v>
      </c>
    </row>
    <row r="19047" spans="1:11">
      <c r="A19047" s="33" t="s">
        <v>42451</v>
      </c>
      <c r="B19047" s="33" t="s">
        <v>42452</v>
      </c>
      <c r="C19047" s="33" t="s">
        <v>32824</v>
      </c>
      <c r="D19047" s="33" t="s">
        <v>17</v>
      </c>
      <c r="E19047" s="33" t="s">
        <v>31</v>
      </c>
      <c r="F19047" s="33" t="s">
        <v>32</v>
      </c>
      <c r="G19047" s="33" t="s">
        <v>7780</v>
      </c>
      <c r="H19047" s="35">
        <v>28</v>
      </c>
      <c r="I19047" s="33" t="s">
        <v>51</v>
      </c>
      <c r="J19047" s="42">
        <v>45412</v>
      </c>
      <c r="K19047" s="33" t="s">
        <v>22</v>
      </c>
    </row>
    <row r="19048" spans="1:11">
      <c r="A19048" s="30" t="s">
        <v>42453</v>
      </c>
      <c r="B19048" s="30" t="s">
        <v>42454</v>
      </c>
      <c r="C19048" s="30" t="s">
        <v>329</v>
      </c>
      <c r="D19048" s="30" t="s">
        <v>17</v>
      </c>
      <c r="E19048" s="30" t="s">
        <v>26</v>
      </c>
      <c r="F19048" s="30" t="s">
        <v>27</v>
      </c>
      <c r="G19048" s="30" t="s">
        <v>20</v>
      </c>
      <c r="H19048" s="32">
        <v>72</v>
      </c>
      <c r="I19048" s="30" t="s">
        <v>21</v>
      </c>
      <c r="J19048" s="41">
        <v>45306</v>
      </c>
      <c r="K19048" s="30" t="s">
        <v>22</v>
      </c>
    </row>
    <row r="19049" spans="1:11">
      <c r="A19049" s="33" t="s">
        <v>42455</v>
      </c>
      <c r="B19049" s="33" t="s">
        <v>42456</v>
      </c>
      <c r="C19049" s="33" t="s">
        <v>96</v>
      </c>
      <c r="D19049" s="33" t="s">
        <v>17</v>
      </c>
      <c r="E19049" s="33" t="s">
        <v>26</v>
      </c>
      <c r="F19049" s="33" t="s">
        <v>27</v>
      </c>
      <c r="G19049" s="33" t="s">
        <v>140</v>
      </c>
      <c r="H19049" s="35">
        <v>119</v>
      </c>
      <c r="I19049" s="33" t="s">
        <v>51</v>
      </c>
      <c r="J19049" s="42">
        <v>45601</v>
      </c>
      <c r="K19049" s="33" t="s">
        <v>22</v>
      </c>
    </row>
    <row r="19050" spans="1:11">
      <c r="A19050" s="30" t="s">
        <v>42457</v>
      </c>
      <c r="B19050" s="30" t="s">
        <v>42458</v>
      </c>
      <c r="C19050" s="30" t="s">
        <v>36075</v>
      </c>
      <c r="D19050" s="30" t="s">
        <v>17</v>
      </c>
      <c r="E19050" s="30" t="s">
        <v>67</v>
      </c>
      <c r="F19050" s="30" t="s">
        <v>68</v>
      </c>
      <c r="G19050" s="30" t="s">
        <v>140</v>
      </c>
      <c r="H19050" s="32">
        <v>8</v>
      </c>
      <c r="I19050" s="30" t="s">
        <v>51</v>
      </c>
      <c r="J19050" s="41">
        <v>45517</v>
      </c>
      <c r="K19050" s="30" t="s">
        <v>22</v>
      </c>
    </row>
    <row r="19051" spans="1:11">
      <c r="A19051" s="33" t="s">
        <v>42459</v>
      </c>
      <c r="B19051" s="33" t="s">
        <v>42460</v>
      </c>
      <c r="C19051" s="33" t="s">
        <v>3489</v>
      </c>
      <c r="D19051" s="33" t="s">
        <v>17</v>
      </c>
      <c r="E19051" s="33" t="s">
        <v>31</v>
      </c>
      <c r="F19051" s="33" t="s">
        <v>32</v>
      </c>
      <c r="G19051" s="33" t="s">
        <v>140</v>
      </c>
      <c r="H19051" s="35">
        <v>30</v>
      </c>
      <c r="I19051" s="33" t="s">
        <v>51</v>
      </c>
      <c r="J19051" s="42">
        <v>45618</v>
      </c>
      <c r="K19051" s="33" t="s">
        <v>22</v>
      </c>
    </row>
    <row r="19052" spans="1:11">
      <c r="A19052" s="30" t="s">
        <v>42461</v>
      </c>
      <c r="B19052" s="30" t="s">
        <v>42462</v>
      </c>
      <c r="C19052" s="30" t="s">
        <v>5805</v>
      </c>
      <c r="D19052" s="30" t="s">
        <v>17</v>
      </c>
      <c r="E19052" s="30" t="s">
        <v>26</v>
      </c>
      <c r="F19052" s="30" t="s">
        <v>27</v>
      </c>
      <c r="G19052" s="30" t="s">
        <v>20</v>
      </c>
      <c r="H19052" s="32">
        <v>85</v>
      </c>
      <c r="I19052" s="30" t="s">
        <v>21</v>
      </c>
      <c r="J19052" s="41">
        <v>45597</v>
      </c>
      <c r="K19052" s="30" t="s">
        <v>22</v>
      </c>
    </row>
    <row r="19053" spans="1:11">
      <c r="A19053" s="33" t="s">
        <v>42463</v>
      </c>
      <c r="B19053" s="33" t="s">
        <v>42464</v>
      </c>
      <c r="C19053" s="33" t="s">
        <v>549</v>
      </c>
      <c r="D19053" s="33" t="s">
        <v>17</v>
      </c>
      <c r="E19053" s="33" t="s">
        <v>26</v>
      </c>
      <c r="F19053" s="33" t="s">
        <v>27</v>
      </c>
      <c r="G19053" s="33" t="s">
        <v>20</v>
      </c>
      <c r="H19053" s="35">
        <v>64</v>
      </c>
      <c r="I19053" s="33" t="s">
        <v>21</v>
      </c>
      <c r="J19053" s="42">
        <v>45376</v>
      </c>
      <c r="K19053" s="33" t="s">
        <v>22</v>
      </c>
    </row>
    <row r="19054" spans="1:11">
      <c r="A19054" s="30" t="s">
        <v>42465</v>
      </c>
      <c r="B19054" s="30" t="s">
        <v>42466</v>
      </c>
      <c r="C19054" s="30" t="s">
        <v>42467</v>
      </c>
      <c r="D19054" s="30" t="s">
        <v>17</v>
      </c>
      <c r="E19054" s="30" t="s">
        <v>67</v>
      </c>
      <c r="F19054" s="30" t="s">
        <v>68</v>
      </c>
      <c r="G19054" s="30" t="s">
        <v>140</v>
      </c>
      <c r="H19054" s="32">
        <v>348</v>
      </c>
      <c r="I19054" s="30" t="s">
        <v>51</v>
      </c>
      <c r="J19054" s="41">
        <v>45383</v>
      </c>
      <c r="K19054" s="30" t="s">
        <v>22</v>
      </c>
    </row>
    <row r="19055" spans="1:11">
      <c r="A19055" s="33" t="s">
        <v>42468</v>
      </c>
      <c r="B19055" s="33" t="s">
        <v>42469</v>
      </c>
      <c r="C19055" s="33" t="s">
        <v>22565</v>
      </c>
      <c r="D19055" s="33" t="s">
        <v>17</v>
      </c>
      <c r="E19055" s="33" t="s">
        <v>18</v>
      </c>
      <c r="F19055" s="33" t="s">
        <v>19</v>
      </c>
      <c r="G19055" s="33" t="s">
        <v>158</v>
      </c>
      <c r="H19055" s="35">
        <v>173</v>
      </c>
      <c r="I19055" s="33" t="s">
        <v>21</v>
      </c>
      <c r="J19055" s="42">
        <v>45366</v>
      </c>
      <c r="K19055" s="33" t="s">
        <v>22</v>
      </c>
    </row>
    <row r="19056" spans="1:11">
      <c r="A19056" s="30" t="s">
        <v>42470</v>
      </c>
      <c r="B19056" s="30" t="s">
        <v>42471</v>
      </c>
      <c r="C19056" s="30" t="s">
        <v>31762</v>
      </c>
      <c r="D19056" s="30" t="s">
        <v>17</v>
      </c>
      <c r="E19056" s="30" t="s">
        <v>67</v>
      </c>
      <c r="F19056" s="30" t="s">
        <v>68</v>
      </c>
      <c r="G19056" s="30" t="s">
        <v>140</v>
      </c>
      <c r="H19056" s="32">
        <v>224</v>
      </c>
      <c r="I19056" s="30" t="s">
        <v>51</v>
      </c>
      <c r="J19056" s="41">
        <v>45651</v>
      </c>
      <c r="K19056" s="30" t="s">
        <v>22</v>
      </c>
    </row>
    <row r="19057" spans="1:11">
      <c r="A19057" s="33" t="s">
        <v>42472</v>
      </c>
      <c r="B19057" s="33" t="s">
        <v>42473</v>
      </c>
      <c r="C19057" s="33" t="s">
        <v>42474</v>
      </c>
      <c r="D19057" s="33" t="s">
        <v>17</v>
      </c>
      <c r="E19057" s="33" t="s">
        <v>26</v>
      </c>
      <c r="F19057" s="33" t="s">
        <v>27</v>
      </c>
      <c r="G19057" s="33" t="s">
        <v>2613</v>
      </c>
      <c r="H19057" s="35">
        <v>12</v>
      </c>
      <c r="I19057" s="33" t="s">
        <v>51</v>
      </c>
      <c r="J19057" s="42">
        <v>45419</v>
      </c>
      <c r="K19057" s="33" t="s">
        <v>22</v>
      </c>
    </row>
    <row r="19058" spans="1:11">
      <c r="A19058" s="30" t="s">
        <v>42475</v>
      </c>
      <c r="B19058" s="30" t="s">
        <v>42476</v>
      </c>
      <c r="C19058" s="30" t="s">
        <v>42477</v>
      </c>
      <c r="D19058" s="30" t="s">
        <v>17</v>
      </c>
      <c r="E19058" s="30" t="s">
        <v>26</v>
      </c>
      <c r="F19058" s="30" t="s">
        <v>27</v>
      </c>
      <c r="G19058" s="30" t="s">
        <v>50</v>
      </c>
      <c r="H19058" s="32">
        <v>104</v>
      </c>
      <c r="I19058" s="30" t="s">
        <v>51</v>
      </c>
      <c r="J19058" s="41">
        <v>45421</v>
      </c>
      <c r="K19058" s="30" t="s">
        <v>22</v>
      </c>
    </row>
    <row r="19059" spans="1:11">
      <c r="A19059" s="33" t="s">
        <v>42478</v>
      </c>
      <c r="B19059" s="33" t="s">
        <v>42479</v>
      </c>
      <c r="C19059" s="33" t="s">
        <v>42480</v>
      </c>
      <c r="D19059" s="33" t="s">
        <v>17</v>
      </c>
      <c r="E19059" s="33" t="s">
        <v>67</v>
      </c>
      <c r="F19059" s="33" t="s">
        <v>68</v>
      </c>
      <c r="G19059" s="33" t="s">
        <v>140</v>
      </c>
      <c r="H19059" s="35">
        <v>202</v>
      </c>
      <c r="I19059" s="33" t="s">
        <v>51</v>
      </c>
      <c r="J19059" s="42">
        <v>45589</v>
      </c>
      <c r="K19059" s="33" t="s">
        <v>22</v>
      </c>
    </row>
    <row r="19060" spans="1:11">
      <c r="A19060" s="30" t="s">
        <v>42481</v>
      </c>
      <c r="B19060" s="30" t="s">
        <v>42482</v>
      </c>
      <c r="C19060" s="30" t="s">
        <v>15585</v>
      </c>
      <c r="D19060" s="30" t="s">
        <v>17</v>
      </c>
      <c r="E19060" s="30" t="s">
        <v>26</v>
      </c>
      <c r="F19060" s="30" t="s">
        <v>27</v>
      </c>
      <c r="G19060" s="30" t="s">
        <v>20</v>
      </c>
      <c r="H19060" s="32">
        <v>57</v>
      </c>
      <c r="I19060" s="30" t="s">
        <v>21</v>
      </c>
      <c r="J19060" s="41">
        <v>45644</v>
      </c>
      <c r="K19060" s="30" t="s">
        <v>22</v>
      </c>
    </row>
    <row r="19061" spans="1:11">
      <c r="A19061" s="33" t="s">
        <v>42483</v>
      </c>
      <c r="B19061" s="33" t="s">
        <v>42484</v>
      </c>
      <c r="C19061" s="33" t="s">
        <v>96</v>
      </c>
      <c r="D19061" s="33" t="s">
        <v>17</v>
      </c>
      <c r="E19061" s="33" t="s">
        <v>26</v>
      </c>
      <c r="F19061" s="33" t="s">
        <v>27</v>
      </c>
      <c r="G19061" s="33" t="s">
        <v>106</v>
      </c>
      <c r="H19061" s="35">
        <v>10</v>
      </c>
      <c r="I19061" s="33" t="s">
        <v>21</v>
      </c>
      <c r="J19061" s="42">
        <v>45337</v>
      </c>
      <c r="K19061" s="33" t="s">
        <v>22</v>
      </c>
    </row>
    <row r="19062" spans="1:11">
      <c r="A19062" s="30" t="s">
        <v>42485</v>
      </c>
      <c r="B19062" s="30" t="s">
        <v>42486</v>
      </c>
      <c r="C19062" s="30" t="s">
        <v>93</v>
      </c>
      <c r="D19062" s="30" t="s">
        <v>17</v>
      </c>
      <c r="E19062" s="30" t="s">
        <v>18</v>
      </c>
      <c r="F19062" s="30" t="s">
        <v>19</v>
      </c>
      <c r="G19062" s="30" t="s">
        <v>20</v>
      </c>
      <c r="H19062" s="32">
        <v>207</v>
      </c>
      <c r="I19062" s="30" t="s">
        <v>21</v>
      </c>
      <c r="J19062" s="41">
        <v>45412</v>
      </c>
      <c r="K19062" s="30" t="s">
        <v>22</v>
      </c>
    </row>
    <row r="19063" spans="1:11">
      <c r="A19063" s="33" t="s">
        <v>42487</v>
      </c>
      <c r="B19063" s="33" t="s">
        <v>42488</v>
      </c>
      <c r="C19063" s="33" t="s">
        <v>222</v>
      </c>
      <c r="D19063" s="33" t="s">
        <v>17</v>
      </c>
      <c r="E19063" s="33" t="s">
        <v>67</v>
      </c>
      <c r="F19063" s="33" t="s">
        <v>68</v>
      </c>
      <c r="G19063" s="33" t="s">
        <v>140</v>
      </c>
      <c r="H19063" s="35">
        <v>123</v>
      </c>
      <c r="I19063" s="33" t="s">
        <v>51</v>
      </c>
      <c r="J19063" s="42">
        <v>45495</v>
      </c>
      <c r="K19063" s="33" t="s">
        <v>22</v>
      </c>
    </row>
    <row r="19064" spans="1:11">
      <c r="A19064" s="30" t="s">
        <v>42489</v>
      </c>
      <c r="B19064" s="30" t="s">
        <v>42490</v>
      </c>
      <c r="C19064" s="30" t="s">
        <v>42491</v>
      </c>
      <c r="D19064" s="30" t="s">
        <v>17</v>
      </c>
      <c r="E19064" s="30" t="s">
        <v>26</v>
      </c>
      <c r="F19064" s="30" t="s">
        <v>27</v>
      </c>
      <c r="G19064" s="30" t="s">
        <v>7780</v>
      </c>
      <c r="H19064" s="32">
        <v>50</v>
      </c>
      <c r="I19064" s="30" t="s">
        <v>51</v>
      </c>
      <c r="J19064" s="41">
        <v>45292</v>
      </c>
      <c r="K19064" s="30" t="s">
        <v>22</v>
      </c>
    </row>
    <row r="19065" spans="1:11">
      <c r="A19065" s="33" t="s">
        <v>42492</v>
      </c>
      <c r="B19065" s="33" t="s">
        <v>42493</v>
      </c>
      <c r="C19065" s="33" t="s">
        <v>1391</v>
      </c>
      <c r="D19065" s="33" t="s">
        <v>17</v>
      </c>
      <c r="E19065" s="33" t="s">
        <v>18</v>
      </c>
      <c r="F19065" s="33" t="s">
        <v>19</v>
      </c>
      <c r="G19065" s="33" t="s">
        <v>20</v>
      </c>
      <c r="H19065" s="35">
        <v>60</v>
      </c>
      <c r="I19065" s="33" t="s">
        <v>21</v>
      </c>
      <c r="J19065" s="42">
        <v>45579</v>
      </c>
      <c r="K19065" s="33" t="s">
        <v>22</v>
      </c>
    </row>
    <row r="19066" spans="1:11">
      <c r="A19066" s="30" t="s">
        <v>42494</v>
      </c>
      <c r="B19066" s="30" t="s">
        <v>42495</v>
      </c>
      <c r="C19066" s="30" t="s">
        <v>6735</v>
      </c>
      <c r="D19066" s="30" t="s">
        <v>17</v>
      </c>
      <c r="E19066" s="30" t="s">
        <v>18</v>
      </c>
      <c r="F19066" s="30" t="s">
        <v>19</v>
      </c>
      <c r="G19066" s="30" t="s">
        <v>20</v>
      </c>
      <c r="H19066" s="32">
        <v>277</v>
      </c>
      <c r="I19066" s="30" t="s">
        <v>21</v>
      </c>
      <c r="J19066" s="41">
        <v>45344</v>
      </c>
      <c r="K19066" s="30" t="s">
        <v>22</v>
      </c>
    </row>
    <row r="19067" spans="1:11">
      <c r="A19067" s="33" t="s">
        <v>42496</v>
      </c>
      <c r="B19067" s="33" t="s">
        <v>42497</v>
      </c>
      <c r="C19067" s="33" t="s">
        <v>109</v>
      </c>
      <c r="D19067" s="33" t="s">
        <v>17</v>
      </c>
      <c r="E19067" s="33" t="s">
        <v>31</v>
      </c>
      <c r="F19067" s="33" t="s">
        <v>32</v>
      </c>
      <c r="G19067" s="33" t="s">
        <v>20</v>
      </c>
      <c r="H19067" s="35">
        <v>31</v>
      </c>
      <c r="I19067" s="33" t="s">
        <v>21</v>
      </c>
      <c r="J19067" s="42">
        <v>45337</v>
      </c>
      <c r="K19067" s="33" t="s">
        <v>22</v>
      </c>
    </row>
    <row r="19068" spans="1:11">
      <c r="A19068" s="30" t="s">
        <v>42498</v>
      </c>
      <c r="B19068" s="30" t="s">
        <v>42499</v>
      </c>
      <c r="C19068" s="30" t="s">
        <v>203</v>
      </c>
      <c r="D19068" s="30" t="s">
        <v>17</v>
      </c>
      <c r="E19068" s="30" t="s">
        <v>212</v>
      </c>
      <c r="F19068" s="30" t="s">
        <v>213</v>
      </c>
      <c r="G19068" s="30" t="s">
        <v>140</v>
      </c>
      <c r="H19068" s="32">
        <v>678</v>
      </c>
      <c r="I19068" s="30" t="s">
        <v>51</v>
      </c>
      <c r="J19068" s="41">
        <v>45636</v>
      </c>
      <c r="K19068" s="30" t="s">
        <v>22</v>
      </c>
    </row>
    <row r="19069" spans="1:11">
      <c r="A19069" s="33" t="s">
        <v>42500</v>
      </c>
      <c r="B19069" s="33" t="s">
        <v>42501</v>
      </c>
      <c r="C19069" s="33" t="s">
        <v>6351</v>
      </c>
      <c r="D19069" s="33" t="s">
        <v>17</v>
      </c>
      <c r="E19069" s="33" t="s">
        <v>26</v>
      </c>
      <c r="F19069" s="33" t="s">
        <v>27</v>
      </c>
      <c r="G19069" s="33" t="s">
        <v>50</v>
      </c>
      <c r="H19069" s="35">
        <v>36</v>
      </c>
      <c r="I19069" s="33" t="s">
        <v>51</v>
      </c>
      <c r="J19069" s="42">
        <v>45405</v>
      </c>
      <c r="K19069" s="33" t="s">
        <v>22</v>
      </c>
    </row>
    <row r="19070" spans="1:11">
      <c r="A19070" s="30" t="s">
        <v>42502</v>
      </c>
      <c r="B19070" s="30" t="s">
        <v>42503</v>
      </c>
      <c r="C19070" s="30" t="s">
        <v>4967</v>
      </c>
      <c r="D19070" s="30" t="s">
        <v>17</v>
      </c>
      <c r="E19070" s="30" t="s">
        <v>26</v>
      </c>
      <c r="F19070" s="30" t="s">
        <v>27</v>
      </c>
      <c r="G19070" s="30" t="s">
        <v>140</v>
      </c>
      <c r="H19070" s="32">
        <v>45</v>
      </c>
      <c r="I19070" s="30" t="s">
        <v>51</v>
      </c>
      <c r="J19070" s="41">
        <v>45610</v>
      </c>
      <c r="K19070" s="30" t="s">
        <v>22</v>
      </c>
    </row>
    <row r="19071" spans="1:11">
      <c r="A19071" s="33" t="s">
        <v>42504</v>
      </c>
      <c r="B19071" s="33" t="s">
        <v>42505</v>
      </c>
      <c r="C19071" s="33" t="s">
        <v>60</v>
      </c>
      <c r="D19071" s="33" t="s">
        <v>17</v>
      </c>
      <c r="E19071" s="33" t="s">
        <v>18</v>
      </c>
      <c r="F19071" s="33" t="s">
        <v>19</v>
      </c>
      <c r="G19071" s="33" t="s">
        <v>158</v>
      </c>
      <c r="H19071" s="35">
        <v>50</v>
      </c>
      <c r="I19071" s="33" t="s">
        <v>21</v>
      </c>
      <c r="J19071" s="42">
        <v>45617</v>
      </c>
      <c r="K19071" s="33" t="s">
        <v>22</v>
      </c>
    </row>
    <row r="19072" spans="1:11">
      <c r="A19072" s="30" t="s">
        <v>42506</v>
      </c>
      <c r="B19072" s="30" t="s">
        <v>42507</v>
      </c>
      <c r="C19072" s="30" t="s">
        <v>6585</v>
      </c>
      <c r="D19072" s="30" t="s">
        <v>17</v>
      </c>
      <c r="E19072" s="30" t="s">
        <v>26</v>
      </c>
      <c r="F19072" s="30" t="s">
        <v>27</v>
      </c>
      <c r="G19072" s="30" t="s">
        <v>20</v>
      </c>
      <c r="H19072" s="32">
        <v>25</v>
      </c>
      <c r="I19072" s="30" t="s">
        <v>21</v>
      </c>
      <c r="J19072" s="41">
        <v>45601</v>
      </c>
      <c r="K19072" s="30" t="s">
        <v>22</v>
      </c>
    </row>
    <row r="19073" spans="1:11">
      <c r="A19073" s="33" t="s">
        <v>42508</v>
      </c>
      <c r="B19073" s="33" t="s">
        <v>42509</v>
      </c>
      <c r="C19073" s="33" t="s">
        <v>20427</v>
      </c>
      <c r="D19073" s="33" t="s">
        <v>17</v>
      </c>
      <c r="E19073" s="33" t="s">
        <v>18</v>
      </c>
      <c r="F19073" s="33" t="s">
        <v>19</v>
      </c>
      <c r="G19073" s="33" t="s">
        <v>20</v>
      </c>
      <c r="H19073" s="35">
        <v>279</v>
      </c>
      <c r="I19073" s="33" t="s">
        <v>21</v>
      </c>
      <c r="J19073" s="42">
        <v>45538</v>
      </c>
      <c r="K19073" s="33" t="s">
        <v>22</v>
      </c>
    </row>
    <row r="19074" spans="1:11">
      <c r="A19074" s="30" t="s">
        <v>42510</v>
      </c>
      <c r="B19074" s="30" t="s">
        <v>42511</v>
      </c>
      <c r="C19074" s="30" t="s">
        <v>5251</v>
      </c>
      <c r="D19074" s="30" t="s">
        <v>17</v>
      </c>
      <c r="E19074" s="30" t="s">
        <v>18</v>
      </c>
      <c r="F19074" s="30" t="s">
        <v>19</v>
      </c>
      <c r="G19074" s="30" t="s">
        <v>140</v>
      </c>
      <c r="H19074" s="32">
        <v>480</v>
      </c>
      <c r="I19074" s="30" t="s">
        <v>51</v>
      </c>
      <c r="J19074" s="41">
        <v>45467</v>
      </c>
      <c r="K19074" s="30" t="s">
        <v>22</v>
      </c>
    </row>
    <row r="19075" spans="1:11">
      <c r="A19075" s="33" t="s">
        <v>42512</v>
      </c>
      <c r="B19075" s="33" t="s">
        <v>42513</v>
      </c>
      <c r="C19075" s="33" t="s">
        <v>102</v>
      </c>
      <c r="D19075" s="33" t="s">
        <v>17</v>
      </c>
      <c r="E19075" s="33" t="s">
        <v>26</v>
      </c>
      <c r="F19075" s="33" t="s">
        <v>27</v>
      </c>
      <c r="G19075" s="33" t="s">
        <v>140</v>
      </c>
      <c r="H19075" s="35">
        <v>240</v>
      </c>
      <c r="I19075" s="33" t="s">
        <v>51</v>
      </c>
      <c r="J19075" s="42">
        <v>45630</v>
      </c>
      <c r="K19075" s="33" t="s">
        <v>22</v>
      </c>
    </row>
    <row r="19076" spans="1:11">
      <c r="A19076" s="30" t="s">
        <v>42514</v>
      </c>
      <c r="B19076" s="30" t="s">
        <v>42515</v>
      </c>
      <c r="C19076" s="30" t="s">
        <v>647</v>
      </c>
      <c r="D19076" s="30" t="s">
        <v>17</v>
      </c>
      <c r="E19076" s="30" t="s">
        <v>26</v>
      </c>
      <c r="F19076" s="30" t="s">
        <v>27</v>
      </c>
      <c r="G19076" s="30" t="s">
        <v>140</v>
      </c>
      <c r="H19076" s="32">
        <v>250</v>
      </c>
      <c r="I19076" s="30" t="s">
        <v>51</v>
      </c>
      <c r="J19076" s="41">
        <v>45631</v>
      </c>
      <c r="K19076" s="30" t="s">
        <v>22</v>
      </c>
    </row>
    <row r="19077" spans="1:11">
      <c r="A19077" s="33" t="s">
        <v>42516</v>
      </c>
      <c r="B19077" s="33" t="s">
        <v>42517</v>
      </c>
      <c r="C19077" s="33" t="s">
        <v>42518</v>
      </c>
      <c r="D19077" s="33" t="s">
        <v>17</v>
      </c>
      <c r="E19077" s="33" t="s">
        <v>26</v>
      </c>
      <c r="F19077" s="33" t="s">
        <v>27</v>
      </c>
      <c r="G19077" s="33" t="s">
        <v>112</v>
      </c>
      <c r="H19077" s="35">
        <v>0</v>
      </c>
      <c r="I19077" s="33" t="s">
        <v>21</v>
      </c>
      <c r="J19077" s="42">
        <v>45534</v>
      </c>
      <c r="K19077" s="33" t="s">
        <v>22</v>
      </c>
    </row>
    <row r="19078" spans="1:11">
      <c r="A19078" s="30" t="s">
        <v>42519</v>
      </c>
      <c r="B19078" s="30" t="s">
        <v>42520</v>
      </c>
      <c r="C19078" s="30" t="s">
        <v>102</v>
      </c>
      <c r="D19078" s="30" t="s">
        <v>17</v>
      </c>
      <c r="E19078" s="30" t="s">
        <v>18</v>
      </c>
      <c r="F19078" s="30" t="s">
        <v>19</v>
      </c>
      <c r="G19078" s="30" t="s">
        <v>140</v>
      </c>
      <c r="H19078" s="32">
        <v>795</v>
      </c>
      <c r="I19078" s="30" t="s">
        <v>51</v>
      </c>
      <c r="J19078" s="41">
        <v>45313</v>
      </c>
      <c r="K19078" s="30" t="s">
        <v>22</v>
      </c>
    </row>
    <row r="19079" spans="1:11">
      <c r="A19079" s="33" t="s">
        <v>42521</v>
      </c>
      <c r="B19079" s="33" t="s">
        <v>42522</v>
      </c>
      <c r="C19079" s="33" t="s">
        <v>14331</v>
      </c>
      <c r="D19079" s="33" t="s">
        <v>17</v>
      </c>
      <c r="E19079" s="33" t="s">
        <v>31</v>
      </c>
      <c r="F19079" s="33" t="s">
        <v>32</v>
      </c>
      <c r="G19079" s="33" t="s">
        <v>158</v>
      </c>
      <c r="H19079" s="35">
        <v>39</v>
      </c>
      <c r="I19079" s="33" t="s">
        <v>21</v>
      </c>
      <c r="J19079" s="42">
        <v>45313</v>
      </c>
      <c r="K19079" s="33" t="s">
        <v>22</v>
      </c>
    </row>
    <row r="19080" spans="1:11">
      <c r="A19080" s="30" t="s">
        <v>42523</v>
      </c>
      <c r="B19080" s="30" t="s">
        <v>42524</v>
      </c>
      <c r="C19080" s="30" t="s">
        <v>130</v>
      </c>
      <c r="D19080" s="30" t="s">
        <v>17</v>
      </c>
      <c r="E19080" s="30" t="s">
        <v>18</v>
      </c>
      <c r="F19080" s="30" t="s">
        <v>19</v>
      </c>
      <c r="G19080" s="30" t="s">
        <v>158</v>
      </c>
      <c r="H19080" s="32">
        <v>349</v>
      </c>
      <c r="I19080" s="30" t="s">
        <v>21</v>
      </c>
      <c r="J19080" s="41">
        <v>45575</v>
      </c>
      <c r="K19080" s="30" t="s">
        <v>22</v>
      </c>
    </row>
    <row r="19081" spans="1:11">
      <c r="A19081" s="33" t="s">
        <v>42525</v>
      </c>
      <c r="B19081" s="33" t="s">
        <v>42526</v>
      </c>
      <c r="C19081" s="33" t="s">
        <v>1136</v>
      </c>
      <c r="D19081" s="33" t="s">
        <v>17</v>
      </c>
      <c r="E19081" s="33" t="s">
        <v>26</v>
      </c>
      <c r="F19081" s="33" t="s">
        <v>27</v>
      </c>
      <c r="G19081" s="33" t="s">
        <v>20</v>
      </c>
      <c r="H19081" s="35">
        <v>385</v>
      </c>
      <c r="I19081" s="33" t="s">
        <v>21</v>
      </c>
      <c r="J19081" s="42">
        <v>45574</v>
      </c>
      <c r="K19081" s="33" t="s">
        <v>22</v>
      </c>
    </row>
    <row r="19082" spans="1:11">
      <c r="A19082" s="30" t="s">
        <v>42527</v>
      </c>
      <c r="B19082" s="30" t="s">
        <v>42528</v>
      </c>
      <c r="C19082" s="30" t="s">
        <v>2646</v>
      </c>
      <c r="D19082" s="30" t="s">
        <v>17</v>
      </c>
      <c r="E19082" s="30" t="s">
        <v>330</v>
      </c>
      <c r="F19082" s="30" t="s">
        <v>331</v>
      </c>
      <c r="G19082" s="30" t="s">
        <v>20</v>
      </c>
      <c r="H19082" s="32">
        <v>10</v>
      </c>
      <c r="I19082" s="30" t="s">
        <v>21</v>
      </c>
      <c r="J19082" s="41">
        <v>45413</v>
      </c>
      <c r="K19082" s="30" t="s">
        <v>22</v>
      </c>
    </row>
    <row r="19083" spans="1:11">
      <c r="A19083" s="33" t="s">
        <v>42529</v>
      </c>
      <c r="B19083" s="33" t="s">
        <v>42530</v>
      </c>
      <c r="C19083" s="33" t="s">
        <v>2695</v>
      </c>
      <c r="D19083" s="33" t="s">
        <v>17</v>
      </c>
      <c r="E19083" s="33" t="s">
        <v>31</v>
      </c>
      <c r="F19083" s="33" t="s">
        <v>32</v>
      </c>
      <c r="G19083" s="33" t="s">
        <v>20</v>
      </c>
      <c r="H19083" s="35">
        <v>557</v>
      </c>
      <c r="I19083" s="33" t="s">
        <v>21</v>
      </c>
      <c r="J19083" s="42">
        <v>45335</v>
      </c>
      <c r="K19083" s="33" t="s">
        <v>22</v>
      </c>
    </row>
    <row r="19084" spans="1:11">
      <c r="A19084" s="30" t="s">
        <v>42531</v>
      </c>
      <c r="B19084" s="30" t="s">
        <v>42532</v>
      </c>
      <c r="C19084" s="30" t="s">
        <v>15585</v>
      </c>
      <c r="D19084" s="30" t="s">
        <v>17</v>
      </c>
      <c r="E19084" s="30" t="s">
        <v>18</v>
      </c>
      <c r="F19084" s="30" t="s">
        <v>19</v>
      </c>
      <c r="G19084" s="30" t="s">
        <v>158</v>
      </c>
      <c r="H19084" s="32">
        <v>884</v>
      </c>
      <c r="I19084" s="30" t="s">
        <v>21</v>
      </c>
      <c r="J19084" s="41">
        <v>45596</v>
      </c>
      <c r="K19084" s="30" t="s">
        <v>22</v>
      </c>
    </row>
    <row r="19085" spans="1:11">
      <c r="A19085" s="33" t="s">
        <v>42533</v>
      </c>
      <c r="B19085" s="33" t="s">
        <v>42534</v>
      </c>
      <c r="C19085" s="33" t="s">
        <v>42535</v>
      </c>
      <c r="D19085" s="33" t="s">
        <v>17</v>
      </c>
      <c r="E19085" s="33" t="s">
        <v>67</v>
      </c>
      <c r="F19085" s="33" t="s">
        <v>68</v>
      </c>
      <c r="G19085" s="33" t="s">
        <v>140</v>
      </c>
      <c r="H19085" s="35">
        <v>68</v>
      </c>
      <c r="I19085" s="33" t="s">
        <v>51</v>
      </c>
      <c r="J19085" s="42">
        <v>45317</v>
      </c>
      <c r="K19085" s="33" t="s">
        <v>22</v>
      </c>
    </row>
    <row r="19086" spans="1:11">
      <c r="A19086" s="30" t="s">
        <v>42536</v>
      </c>
      <c r="B19086" s="30" t="s">
        <v>42537</v>
      </c>
      <c r="C19086" s="30" t="s">
        <v>42538</v>
      </c>
      <c r="D19086" s="30" t="s">
        <v>17</v>
      </c>
      <c r="E19086" s="30" t="s">
        <v>26</v>
      </c>
      <c r="F19086" s="30" t="s">
        <v>27</v>
      </c>
      <c r="G19086" s="30" t="s">
        <v>50</v>
      </c>
      <c r="H19086" s="32">
        <v>30</v>
      </c>
      <c r="I19086" s="30" t="s">
        <v>51</v>
      </c>
      <c r="J19086" s="41">
        <v>45323</v>
      </c>
      <c r="K19086" s="30" t="s">
        <v>22</v>
      </c>
    </row>
    <row r="19087" spans="1:11">
      <c r="A19087" s="33" t="s">
        <v>42539</v>
      </c>
      <c r="B19087" s="33" t="s">
        <v>42540</v>
      </c>
      <c r="C19087" s="33" t="s">
        <v>2171</v>
      </c>
      <c r="D19087" s="33" t="s">
        <v>17</v>
      </c>
      <c r="E19087" s="33" t="s">
        <v>26</v>
      </c>
      <c r="F19087" s="33" t="s">
        <v>27</v>
      </c>
      <c r="G19087" s="33" t="s">
        <v>20</v>
      </c>
      <c r="H19087" s="35">
        <v>88</v>
      </c>
      <c r="I19087" s="33" t="s">
        <v>21</v>
      </c>
      <c r="J19087" s="42">
        <v>45343</v>
      </c>
      <c r="K19087" s="33" t="s">
        <v>22</v>
      </c>
    </row>
    <row r="19088" spans="1:11">
      <c r="A19088" s="30" t="s">
        <v>42541</v>
      </c>
      <c r="B19088" s="30" t="s">
        <v>42542</v>
      </c>
      <c r="C19088" s="30" t="s">
        <v>42543</v>
      </c>
      <c r="D19088" s="30" t="s">
        <v>17</v>
      </c>
      <c r="E19088" s="30" t="s">
        <v>18</v>
      </c>
      <c r="F19088" s="30" t="s">
        <v>19</v>
      </c>
      <c r="G19088" s="30" t="s">
        <v>140</v>
      </c>
      <c r="H19088" s="32">
        <v>820</v>
      </c>
      <c r="I19088" s="30" t="s">
        <v>51</v>
      </c>
      <c r="J19088" s="41">
        <v>45379</v>
      </c>
      <c r="K19088" s="30" t="s">
        <v>22</v>
      </c>
    </row>
    <row r="19089" spans="1:11">
      <c r="A19089" s="33" t="s">
        <v>42544</v>
      </c>
      <c r="B19089" s="33" t="s">
        <v>42545</v>
      </c>
      <c r="C19089" s="33" t="s">
        <v>31562</v>
      </c>
      <c r="D19089" s="33" t="s">
        <v>17</v>
      </c>
      <c r="E19089" s="33" t="s">
        <v>67</v>
      </c>
      <c r="F19089" s="33" t="s">
        <v>68</v>
      </c>
      <c r="G19089" s="33" t="s">
        <v>7780</v>
      </c>
      <c r="H19089" s="35">
        <v>402</v>
      </c>
      <c r="I19089" s="33" t="s">
        <v>51</v>
      </c>
      <c r="J19089" s="42">
        <v>45352</v>
      </c>
      <c r="K19089" s="33" t="s">
        <v>22</v>
      </c>
    </row>
    <row r="19090" spans="1:11">
      <c r="A19090" s="30" t="s">
        <v>42546</v>
      </c>
      <c r="B19090" s="30" t="s">
        <v>42547</v>
      </c>
      <c r="C19090" s="30" t="s">
        <v>7094</v>
      </c>
      <c r="D19090" s="30" t="s">
        <v>17</v>
      </c>
      <c r="E19090" s="30" t="s">
        <v>18</v>
      </c>
      <c r="F19090" s="30" t="s">
        <v>19</v>
      </c>
      <c r="G19090" s="30" t="s">
        <v>50</v>
      </c>
      <c r="H19090" s="32">
        <v>232</v>
      </c>
      <c r="I19090" s="30" t="s">
        <v>51</v>
      </c>
      <c r="J19090" s="41">
        <v>45536</v>
      </c>
      <c r="K19090" s="30" t="s">
        <v>22</v>
      </c>
    </row>
    <row r="19091" spans="1:11">
      <c r="A19091" s="33" t="s">
        <v>42548</v>
      </c>
      <c r="B19091" s="33" t="s">
        <v>42549</v>
      </c>
      <c r="C19091" s="33" t="s">
        <v>8250</v>
      </c>
      <c r="D19091" s="33" t="s">
        <v>17</v>
      </c>
      <c r="E19091" s="33" t="s">
        <v>67</v>
      </c>
      <c r="F19091" s="33" t="s">
        <v>68</v>
      </c>
      <c r="G19091" s="33" t="s">
        <v>140</v>
      </c>
      <c r="H19091" s="35">
        <v>171</v>
      </c>
      <c r="I19091" s="33" t="s">
        <v>51</v>
      </c>
      <c r="J19091" s="42">
        <v>45552</v>
      </c>
      <c r="K19091" s="33" t="s">
        <v>22</v>
      </c>
    </row>
    <row r="19092" spans="1:11">
      <c r="A19092" s="30" t="s">
        <v>42550</v>
      </c>
      <c r="B19092" s="30" t="s">
        <v>42551</v>
      </c>
      <c r="C19092" s="30" t="s">
        <v>39753</v>
      </c>
      <c r="D19092" s="30" t="s">
        <v>17</v>
      </c>
      <c r="E19092" s="30" t="s">
        <v>18</v>
      </c>
      <c r="F19092" s="30" t="s">
        <v>19</v>
      </c>
      <c r="G19092" s="30" t="s">
        <v>106</v>
      </c>
      <c r="H19092" s="32">
        <v>25</v>
      </c>
      <c r="I19092" s="30" t="s">
        <v>21</v>
      </c>
      <c r="J19092" s="41">
        <v>45568</v>
      </c>
      <c r="K19092" s="30" t="s">
        <v>22</v>
      </c>
    </row>
    <row r="19093" spans="1:11">
      <c r="A19093" s="33" t="s">
        <v>42552</v>
      </c>
      <c r="B19093" s="33" t="s">
        <v>42553</v>
      </c>
      <c r="C19093" s="33" t="s">
        <v>42554</v>
      </c>
      <c r="D19093" s="33" t="s">
        <v>17</v>
      </c>
      <c r="E19093" s="33" t="s">
        <v>26</v>
      </c>
      <c r="F19093" s="33" t="s">
        <v>27</v>
      </c>
      <c r="G19093" s="33" t="s">
        <v>140</v>
      </c>
      <c r="H19093" s="35">
        <v>60</v>
      </c>
      <c r="I19093" s="33" t="s">
        <v>51</v>
      </c>
      <c r="J19093" s="42">
        <v>45551</v>
      </c>
      <c r="K19093" s="33" t="s">
        <v>22</v>
      </c>
    </row>
    <row r="19094" spans="1:11">
      <c r="A19094" s="30" t="s">
        <v>42555</v>
      </c>
      <c r="B19094" s="30" t="s">
        <v>42556</v>
      </c>
      <c r="C19094" s="30" t="s">
        <v>231</v>
      </c>
      <c r="D19094" s="30" t="s">
        <v>17</v>
      </c>
      <c r="E19094" s="30" t="s">
        <v>26</v>
      </c>
      <c r="F19094" s="30" t="s">
        <v>27</v>
      </c>
      <c r="G19094" s="30" t="s">
        <v>20</v>
      </c>
      <c r="H19094" s="32">
        <v>26</v>
      </c>
      <c r="I19094" s="30" t="s">
        <v>21</v>
      </c>
      <c r="J19094" s="41">
        <v>45523</v>
      </c>
      <c r="K19094" s="30" t="s">
        <v>22</v>
      </c>
    </row>
    <row r="19095" spans="1:11">
      <c r="A19095" s="33" t="s">
        <v>42557</v>
      </c>
      <c r="B19095" s="33" t="s">
        <v>42558</v>
      </c>
      <c r="C19095" s="33" t="s">
        <v>38860</v>
      </c>
      <c r="D19095" s="33" t="s">
        <v>17</v>
      </c>
      <c r="E19095" s="33" t="s">
        <v>45</v>
      </c>
      <c r="F19095" s="33" t="s">
        <v>46</v>
      </c>
      <c r="G19095" s="33" t="s">
        <v>20</v>
      </c>
      <c r="H19095" s="35">
        <v>274</v>
      </c>
      <c r="I19095" s="33" t="s">
        <v>21</v>
      </c>
      <c r="J19095" s="42">
        <v>45440</v>
      </c>
      <c r="K19095" s="33" t="s">
        <v>22</v>
      </c>
    </row>
    <row r="19096" spans="1:11">
      <c r="A19096" s="30" t="s">
        <v>42559</v>
      </c>
      <c r="B19096" s="30" t="s">
        <v>42560</v>
      </c>
      <c r="C19096" s="30" t="s">
        <v>42561</v>
      </c>
      <c r="D19096" s="30" t="s">
        <v>17</v>
      </c>
      <c r="E19096" s="30" t="s">
        <v>18</v>
      </c>
      <c r="F19096" s="30" t="s">
        <v>19</v>
      </c>
      <c r="G19096" s="30" t="s">
        <v>140</v>
      </c>
      <c r="H19096" s="32">
        <v>240</v>
      </c>
      <c r="I19096" s="30" t="s">
        <v>51</v>
      </c>
      <c r="J19096" s="41">
        <v>45646</v>
      </c>
      <c r="K19096" s="30" t="s">
        <v>22</v>
      </c>
    </row>
    <row r="19097" spans="1:11">
      <c r="A19097" s="33" t="s">
        <v>42562</v>
      </c>
      <c r="B19097" s="33" t="s">
        <v>42563</v>
      </c>
      <c r="C19097" s="33" t="s">
        <v>15622</v>
      </c>
      <c r="D19097" s="33" t="s">
        <v>17</v>
      </c>
      <c r="E19097" s="33" t="s">
        <v>67</v>
      </c>
      <c r="F19097" s="33" t="s">
        <v>68</v>
      </c>
      <c r="G19097" s="33" t="s">
        <v>158</v>
      </c>
      <c r="H19097" s="35">
        <v>60</v>
      </c>
      <c r="I19097" s="33" t="s">
        <v>21</v>
      </c>
      <c r="J19097" s="42">
        <v>45411</v>
      </c>
      <c r="K19097" s="33" t="s">
        <v>22</v>
      </c>
    </row>
    <row r="19098" spans="1:11">
      <c r="A19098" s="30" t="s">
        <v>42564</v>
      </c>
      <c r="B19098" s="30" t="s">
        <v>42565</v>
      </c>
      <c r="C19098" s="30" t="s">
        <v>684</v>
      </c>
      <c r="D19098" s="30" t="s">
        <v>17</v>
      </c>
      <c r="E19098" s="30" t="s">
        <v>31</v>
      </c>
      <c r="F19098" s="30" t="s">
        <v>32</v>
      </c>
      <c r="G19098" s="30" t="s">
        <v>158</v>
      </c>
      <c r="H19098" s="32">
        <v>90</v>
      </c>
      <c r="I19098" s="30" t="s">
        <v>51</v>
      </c>
      <c r="J19098" s="41">
        <v>45534</v>
      </c>
      <c r="K19098" s="30" t="s">
        <v>22</v>
      </c>
    </row>
    <row r="19099" spans="1:11">
      <c r="A19099" s="33" t="s">
        <v>42566</v>
      </c>
      <c r="B19099" s="33" t="s">
        <v>42567</v>
      </c>
      <c r="C19099" s="33" t="s">
        <v>157</v>
      </c>
      <c r="D19099" s="33" t="s">
        <v>17</v>
      </c>
      <c r="E19099" s="33" t="s">
        <v>18</v>
      </c>
      <c r="F19099" s="33" t="s">
        <v>19</v>
      </c>
      <c r="G19099" s="33" t="s">
        <v>140</v>
      </c>
      <c r="H19099" s="35">
        <v>30</v>
      </c>
      <c r="I19099" s="33" t="s">
        <v>51</v>
      </c>
      <c r="J19099" s="42">
        <v>45615</v>
      </c>
      <c r="K19099" s="33" t="s">
        <v>22</v>
      </c>
    </row>
    <row r="19100" spans="1:11">
      <c r="A19100" s="30" t="s">
        <v>42568</v>
      </c>
      <c r="B19100" s="30" t="s">
        <v>42569</v>
      </c>
      <c r="C19100" s="30" t="s">
        <v>231</v>
      </c>
      <c r="D19100" s="30" t="s">
        <v>17</v>
      </c>
      <c r="E19100" s="30" t="s">
        <v>18</v>
      </c>
      <c r="F19100" s="30" t="s">
        <v>19</v>
      </c>
      <c r="G19100" s="30" t="s">
        <v>140</v>
      </c>
      <c r="H19100" s="32">
        <v>11000</v>
      </c>
      <c r="I19100" s="30" t="s">
        <v>51</v>
      </c>
      <c r="J19100" s="41">
        <v>45534</v>
      </c>
      <c r="K19100" s="30" t="s">
        <v>22</v>
      </c>
    </row>
    <row r="19101" spans="1:11">
      <c r="A19101" s="33" t="s">
        <v>42570</v>
      </c>
      <c r="B19101" s="33" t="s">
        <v>42571</v>
      </c>
      <c r="C19101" s="33" t="s">
        <v>2313</v>
      </c>
      <c r="D19101" s="33" t="s">
        <v>17</v>
      </c>
      <c r="E19101" s="33" t="s">
        <v>26</v>
      </c>
      <c r="F19101" s="33" t="s">
        <v>27</v>
      </c>
      <c r="G19101" s="33" t="s">
        <v>20</v>
      </c>
      <c r="H19101" s="35">
        <v>78</v>
      </c>
      <c r="I19101" s="33" t="s">
        <v>21</v>
      </c>
      <c r="J19101" s="42">
        <v>45460</v>
      </c>
      <c r="K19101" s="33" t="s">
        <v>22</v>
      </c>
    </row>
    <row r="19102" spans="1:11">
      <c r="A19102" s="30" t="s">
        <v>42572</v>
      </c>
      <c r="B19102" s="30" t="s">
        <v>42573</v>
      </c>
      <c r="C19102" s="30" t="s">
        <v>231</v>
      </c>
      <c r="D19102" s="30" t="s">
        <v>17</v>
      </c>
      <c r="E19102" s="30" t="s">
        <v>26</v>
      </c>
      <c r="F19102" s="30" t="s">
        <v>27</v>
      </c>
      <c r="G19102" s="30" t="s">
        <v>20</v>
      </c>
      <c r="H19102" s="32">
        <v>56</v>
      </c>
      <c r="I19102" s="30" t="s">
        <v>21</v>
      </c>
      <c r="J19102" s="41">
        <v>45316</v>
      </c>
      <c r="K19102" s="30" t="s">
        <v>22</v>
      </c>
    </row>
    <row r="19103" spans="1:11">
      <c r="A19103" s="33" t="s">
        <v>42574</v>
      </c>
      <c r="B19103" s="33" t="s">
        <v>42575</v>
      </c>
      <c r="C19103" s="33" t="s">
        <v>130</v>
      </c>
      <c r="D19103" s="33" t="s">
        <v>17</v>
      </c>
      <c r="E19103" s="33" t="s">
        <v>26</v>
      </c>
      <c r="F19103" s="33" t="s">
        <v>27</v>
      </c>
      <c r="G19103" s="33" t="s">
        <v>140</v>
      </c>
      <c r="H19103" s="35">
        <v>710</v>
      </c>
      <c r="I19103" s="33" t="s">
        <v>51</v>
      </c>
      <c r="J19103" s="42">
        <v>45295</v>
      </c>
      <c r="K19103" s="33" t="s">
        <v>22</v>
      </c>
    </row>
    <row r="19104" spans="1:11">
      <c r="A19104" s="30" t="s">
        <v>42576</v>
      </c>
      <c r="B19104" s="30" t="s">
        <v>42577</v>
      </c>
      <c r="C19104" s="30" t="s">
        <v>11366</v>
      </c>
      <c r="D19104" s="30" t="s">
        <v>17</v>
      </c>
      <c r="E19104" s="30" t="s">
        <v>18</v>
      </c>
      <c r="F19104" s="30" t="s">
        <v>19</v>
      </c>
      <c r="G19104" s="30" t="s">
        <v>140</v>
      </c>
      <c r="H19104" s="32">
        <v>250</v>
      </c>
      <c r="I19104" s="30" t="s">
        <v>51</v>
      </c>
      <c r="J19104" s="41">
        <v>45566</v>
      </c>
      <c r="K19104" s="30" t="s">
        <v>22</v>
      </c>
    </row>
    <row r="19105" spans="1:11">
      <c r="A19105" s="33" t="s">
        <v>42578</v>
      </c>
      <c r="B19105" s="33" t="s">
        <v>42579</v>
      </c>
      <c r="C19105" s="33" t="s">
        <v>3243</v>
      </c>
      <c r="D19105" s="33" t="s">
        <v>17</v>
      </c>
      <c r="E19105" s="33" t="s">
        <v>18</v>
      </c>
      <c r="F19105" s="33" t="s">
        <v>19</v>
      </c>
      <c r="G19105" s="33" t="s">
        <v>140</v>
      </c>
      <c r="H19105" s="35">
        <v>430</v>
      </c>
      <c r="I19105" s="33" t="s">
        <v>51</v>
      </c>
      <c r="J19105" s="42">
        <v>45632</v>
      </c>
      <c r="K19105" s="33" t="s">
        <v>22</v>
      </c>
    </row>
    <row r="19106" spans="1:11">
      <c r="A19106" s="30" t="s">
        <v>42580</v>
      </c>
      <c r="B19106" s="30" t="s">
        <v>42581</v>
      </c>
      <c r="C19106" s="30" t="s">
        <v>178</v>
      </c>
      <c r="D19106" s="30" t="s">
        <v>17</v>
      </c>
      <c r="E19106" s="30" t="s">
        <v>18</v>
      </c>
      <c r="F19106" s="30" t="s">
        <v>19</v>
      </c>
      <c r="G19106" s="30" t="s">
        <v>20</v>
      </c>
      <c r="H19106" s="32">
        <v>280</v>
      </c>
      <c r="I19106" s="30" t="s">
        <v>21</v>
      </c>
      <c r="J19106" s="41">
        <v>45357</v>
      </c>
      <c r="K19106" s="30" t="s">
        <v>22</v>
      </c>
    </row>
    <row r="19107" spans="1:11">
      <c r="A19107" s="33" t="s">
        <v>42582</v>
      </c>
      <c r="B19107" s="33" t="s">
        <v>42583</v>
      </c>
      <c r="C19107" s="33" t="s">
        <v>570</v>
      </c>
      <c r="D19107" s="33" t="s">
        <v>17</v>
      </c>
      <c r="E19107" s="33" t="s">
        <v>18</v>
      </c>
      <c r="F19107" s="33" t="s">
        <v>19</v>
      </c>
      <c r="G19107" s="33" t="s">
        <v>140</v>
      </c>
      <c r="H19107" s="35">
        <v>120</v>
      </c>
      <c r="I19107" s="33" t="s">
        <v>51</v>
      </c>
      <c r="J19107" s="42">
        <v>45306</v>
      </c>
      <c r="K19107" s="33" t="s">
        <v>22</v>
      </c>
    </row>
    <row r="19108" spans="1:11">
      <c r="A19108" s="30" t="s">
        <v>42584</v>
      </c>
      <c r="B19108" s="30" t="s">
        <v>42585</v>
      </c>
      <c r="C19108" s="30" t="s">
        <v>34377</v>
      </c>
      <c r="D19108" s="30" t="s">
        <v>17</v>
      </c>
      <c r="E19108" s="30" t="s">
        <v>31</v>
      </c>
      <c r="F19108" s="30" t="s">
        <v>32</v>
      </c>
      <c r="G19108" s="30" t="s">
        <v>158</v>
      </c>
      <c r="H19108" s="32">
        <v>220</v>
      </c>
      <c r="I19108" s="30" t="s">
        <v>51</v>
      </c>
      <c r="J19108" s="41">
        <v>45593</v>
      </c>
      <c r="K19108" s="30" t="s">
        <v>22</v>
      </c>
    </row>
    <row r="19109" spans="1:11">
      <c r="A19109" s="33" t="s">
        <v>42586</v>
      </c>
      <c r="B19109" s="33" t="s">
        <v>42587</v>
      </c>
      <c r="C19109" s="33" t="s">
        <v>379</v>
      </c>
      <c r="D19109" s="33" t="s">
        <v>17</v>
      </c>
      <c r="E19109" s="33" t="s">
        <v>26</v>
      </c>
      <c r="F19109" s="33" t="s">
        <v>27</v>
      </c>
      <c r="G19109" s="33" t="s">
        <v>140</v>
      </c>
      <c r="H19109" s="35">
        <v>102</v>
      </c>
      <c r="I19109" s="33" t="s">
        <v>51</v>
      </c>
      <c r="J19109" s="42">
        <v>45365</v>
      </c>
      <c r="K19109" s="33" t="s">
        <v>22</v>
      </c>
    </row>
    <row r="19110" spans="1:11">
      <c r="A19110" s="30" t="s">
        <v>42588</v>
      </c>
      <c r="B19110" s="30" t="s">
        <v>42589</v>
      </c>
      <c r="C19110" s="30" t="s">
        <v>42590</v>
      </c>
      <c r="D19110" s="30" t="s">
        <v>17</v>
      </c>
      <c r="E19110" s="30" t="s">
        <v>212</v>
      </c>
      <c r="F19110" s="30" t="s">
        <v>213</v>
      </c>
      <c r="G19110" s="30" t="s">
        <v>158</v>
      </c>
      <c r="H19110" s="32">
        <v>274</v>
      </c>
      <c r="I19110" s="30" t="s">
        <v>51</v>
      </c>
      <c r="J19110" s="41">
        <v>45330</v>
      </c>
      <c r="K19110" s="30" t="s">
        <v>22</v>
      </c>
    </row>
    <row r="19111" spans="1:11">
      <c r="A19111" s="33" t="s">
        <v>42591</v>
      </c>
      <c r="B19111" s="33" t="s">
        <v>42592</v>
      </c>
      <c r="C19111" s="33" t="s">
        <v>329</v>
      </c>
      <c r="D19111" s="33" t="s">
        <v>17</v>
      </c>
      <c r="E19111" s="33" t="s">
        <v>212</v>
      </c>
      <c r="F19111" s="33" t="s">
        <v>213</v>
      </c>
      <c r="G19111" s="33" t="s">
        <v>158</v>
      </c>
      <c r="H19111" s="35">
        <v>3011</v>
      </c>
      <c r="I19111" s="33" t="s">
        <v>21</v>
      </c>
      <c r="J19111" s="42">
        <v>45455</v>
      </c>
      <c r="K19111" s="33" t="s">
        <v>22</v>
      </c>
    </row>
    <row r="19112" spans="1:11">
      <c r="A19112" s="30" t="s">
        <v>42593</v>
      </c>
      <c r="B19112" s="30" t="s">
        <v>42594</v>
      </c>
      <c r="C19112" s="30" t="s">
        <v>15795</v>
      </c>
      <c r="D19112" s="30" t="s">
        <v>17</v>
      </c>
      <c r="E19112" s="30" t="s">
        <v>31</v>
      </c>
      <c r="F19112" s="30" t="s">
        <v>32</v>
      </c>
      <c r="G19112" s="30" t="s">
        <v>20</v>
      </c>
      <c r="H19112" s="32">
        <v>314</v>
      </c>
      <c r="I19112" s="30" t="s">
        <v>21</v>
      </c>
      <c r="J19112" s="41">
        <v>45343</v>
      </c>
      <c r="K19112" s="30" t="s">
        <v>22</v>
      </c>
    </row>
    <row r="19113" spans="1:11">
      <c r="A19113" s="33" t="s">
        <v>42595</v>
      </c>
      <c r="B19113" s="33" t="s">
        <v>42596</v>
      </c>
      <c r="C19113" s="33" t="s">
        <v>1136</v>
      </c>
      <c r="D19113" s="33" t="s">
        <v>17</v>
      </c>
      <c r="E19113" s="33" t="s">
        <v>67</v>
      </c>
      <c r="F19113" s="33" t="s">
        <v>68</v>
      </c>
      <c r="G19113" s="33" t="s">
        <v>140</v>
      </c>
      <c r="H19113" s="35">
        <v>800</v>
      </c>
      <c r="I19113" s="33" t="s">
        <v>51</v>
      </c>
      <c r="J19113" s="42">
        <v>45387</v>
      </c>
      <c r="K19113" s="33" t="s">
        <v>22</v>
      </c>
    </row>
    <row r="19114" spans="1:11">
      <c r="A19114" s="30" t="s">
        <v>42597</v>
      </c>
      <c r="B19114" s="30" t="s">
        <v>42598</v>
      </c>
      <c r="C19114" s="30" t="s">
        <v>1598</v>
      </c>
      <c r="D19114" s="30" t="s">
        <v>17</v>
      </c>
      <c r="E19114" s="30" t="s">
        <v>67</v>
      </c>
      <c r="F19114" s="30" t="s">
        <v>68</v>
      </c>
      <c r="G19114" s="30" t="s">
        <v>20</v>
      </c>
      <c r="H19114" s="32">
        <v>19</v>
      </c>
      <c r="I19114" s="30" t="s">
        <v>21</v>
      </c>
      <c r="J19114" s="41">
        <v>45307</v>
      </c>
      <c r="K19114" s="30" t="s">
        <v>22</v>
      </c>
    </row>
    <row r="19115" spans="1:11">
      <c r="A19115" s="33" t="s">
        <v>42599</v>
      </c>
      <c r="B19115" s="33" t="s">
        <v>42600</v>
      </c>
      <c r="C19115" s="33" t="s">
        <v>15585</v>
      </c>
      <c r="D19115" s="33" t="s">
        <v>17</v>
      </c>
      <c r="E19115" s="33" t="s">
        <v>26</v>
      </c>
      <c r="F19115" s="33" t="s">
        <v>27</v>
      </c>
      <c r="G19115" s="33" t="s">
        <v>20</v>
      </c>
      <c r="H19115" s="35">
        <v>64</v>
      </c>
      <c r="I19115" s="33" t="s">
        <v>21</v>
      </c>
      <c r="J19115" s="42">
        <v>45510</v>
      </c>
      <c r="K19115" s="33" t="s">
        <v>22</v>
      </c>
    </row>
    <row r="19116" spans="1:11">
      <c r="A19116" s="30" t="s">
        <v>42601</v>
      </c>
      <c r="B19116" s="30" t="s">
        <v>42602</v>
      </c>
      <c r="C19116" s="30" t="s">
        <v>42603</v>
      </c>
      <c r="D19116" s="30" t="s">
        <v>17</v>
      </c>
      <c r="E19116" s="30" t="s">
        <v>26</v>
      </c>
      <c r="F19116" s="30" t="s">
        <v>27</v>
      </c>
      <c r="G19116" s="30" t="s">
        <v>140</v>
      </c>
      <c r="H19116" s="32">
        <v>52</v>
      </c>
      <c r="I19116" s="30" t="s">
        <v>51</v>
      </c>
      <c r="J19116" s="41">
        <v>45539</v>
      </c>
      <c r="K19116" s="30" t="s">
        <v>22</v>
      </c>
    </row>
    <row r="19117" spans="1:11">
      <c r="A19117" s="33" t="s">
        <v>42604</v>
      </c>
      <c r="B19117" s="33" t="s">
        <v>42605</v>
      </c>
      <c r="C19117" s="33" t="s">
        <v>96</v>
      </c>
      <c r="D19117" s="33" t="s">
        <v>17</v>
      </c>
      <c r="E19117" s="33" t="s">
        <v>26</v>
      </c>
      <c r="F19117" s="33" t="s">
        <v>27</v>
      </c>
      <c r="G19117" s="33" t="s">
        <v>112</v>
      </c>
      <c r="H19117" s="35">
        <v>0</v>
      </c>
      <c r="I19117" s="33" t="s">
        <v>21</v>
      </c>
      <c r="J19117" s="42">
        <v>45306</v>
      </c>
      <c r="K19117" s="33" t="s">
        <v>22</v>
      </c>
    </row>
    <row r="19118" spans="1:11">
      <c r="A19118" s="30" t="s">
        <v>42606</v>
      </c>
      <c r="B19118" s="30" t="s">
        <v>42607</v>
      </c>
      <c r="C19118" s="30" t="s">
        <v>25549</v>
      </c>
      <c r="D19118" s="30" t="s">
        <v>17</v>
      </c>
      <c r="E19118" s="30" t="s">
        <v>26</v>
      </c>
      <c r="F19118" s="30" t="s">
        <v>27</v>
      </c>
      <c r="G19118" s="30" t="s">
        <v>20</v>
      </c>
      <c r="H19118" s="32">
        <v>32</v>
      </c>
      <c r="I19118" s="30" t="s">
        <v>21</v>
      </c>
      <c r="J19118" s="41">
        <v>45605</v>
      </c>
      <c r="K19118" s="30" t="s">
        <v>22</v>
      </c>
    </row>
    <row r="19119" spans="1:11">
      <c r="A19119" s="33" t="s">
        <v>42608</v>
      </c>
      <c r="B19119" s="33" t="s">
        <v>42609</v>
      </c>
      <c r="C19119" s="33" t="s">
        <v>8247</v>
      </c>
      <c r="D19119" s="33" t="s">
        <v>17</v>
      </c>
      <c r="E19119" s="33" t="s">
        <v>26</v>
      </c>
      <c r="F19119" s="33" t="s">
        <v>27</v>
      </c>
      <c r="G19119" s="33" t="s">
        <v>106</v>
      </c>
      <c r="H19119" s="35">
        <v>18</v>
      </c>
      <c r="I19119" s="33" t="s">
        <v>21</v>
      </c>
      <c r="J19119" s="42">
        <v>45632</v>
      </c>
      <c r="K19119" s="33" t="s">
        <v>22</v>
      </c>
    </row>
    <row r="19120" spans="1:11">
      <c r="A19120" s="30" t="s">
        <v>42610</v>
      </c>
      <c r="B19120" s="30" t="s">
        <v>42611</v>
      </c>
      <c r="C19120" s="30" t="s">
        <v>38028</v>
      </c>
      <c r="D19120" s="30" t="s">
        <v>17</v>
      </c>
      <c r="E19120" s="30" t="s">
        <v>212</v>
      </c>
      <c r="F19120" s="30" t="s">
        <v>213</v>
      </c>
      <c r="G19120" s="30" t="s">
        <v>158</v>
      </c>
      <c r="H19120" s="32">
        <v>250</v>
      </c>
      <c r="I19120" s="30" t="s">
        <v>51</v>
      </c>
      <c r="J19120" s="41">
        <v>45610</v>
      </c>
      <c r="K19120" s="30" t="s">
        <v>22</v>
      </c>
    </row>
    <row r="19121" spans="1:11">
      <c r="A19121" s="33" t="s">
        <v>42612</v>
      </c>
      <c r="B19121" s="33" t="s">
        <v>42613</v>
      </c>
      <c r="C19121" s="33" t="s">
        <v>8421</v>
      </c>
      <c r="D19121" s="33" t="s">
        <v>17</v>
      </c>
      <c r="E19121" s="33" t="s">
        <v>330</v>
      </c>
      <c r="F19121" s="33" t="s">
        <v>331</v>
      </c>
      <c r="G19121" s="33" t="s">
        <v>2613</v>
      </c>
      <c r="H19121" s="35">
        <v>150</v>
      </c>
      <c r="I19121" s="33" t="s">
        <v>51</v>
      </c>
      <c r="J19121" s="42">
        <v>45597</v>
      </c>
      <c r="K19121" s="33" t="s">
        <v>22</v>
      </c>
    </row>
    <row r="19122" spans="1:11">
      <c r="A19122" s="30" t="s">
        <v>42614</v>
      </c>
      <c r="B19122" s="30" t="s">
        <v>42615</v>
      </c>
      <c r="C19122" s="30" t="s">
        <v>42616</v>
      </c>
      <c r="D19122" s="30" t="s">
        <v>17</v>
      </c>
      <c r="E19122" s="30" t="s">
        <v>330</v>
      </c>
      <c r="F19122" s="30" t="s">
        <v>331</v>
      </c>
      <c r="G19122" s="30" t="s">
        <v>50</v>
      </c>
      <c r="H19122" s="32">
        <v>400</v>
      </c>
      <c r="I19122" s="30" t="s">
        <v>51</v>
      </c>
      <c r="J19122" s="41">
        <v>45427</v>
      </c>
      <c r="K19122" s="30" t="s">
        <v>22</v>
      </c>
    </row>
    <row r="19123" spans="1:11">
      <c r="A19123" s="33" t="s">
        <v>42617</v>
      </c>
      <c r="B19123" s="33" t="s">
        <v>42618</v>
      </c>
      <c r="C19123" s="33" t="s">
        <v>1112</v>
      </c>
      <c r="D19123" s="33" t="s">
        <v>17</v>
      </c>
      <c r="E19123" s="33" t="s">
        <v>26</v>
      </c>
      <c r="F19123" s="33" t="s">
        <v>27</v>
      </c>
      <c r="G19123" s="33" t="s">
        <v>140</v>
      </c>
      <c r="H19123" s="35">
        <v>292</v>
      </c>
      <c r="I19123" s="33" t="s">
        <v>51</v>
      </c>
      <c r="J19123" s="42">
        <v>45637</v>
      </c>
      <c r="K19123" s="33" t="s">
        <v>22</v>
      </c>
    </row>
    <row r="19124" spans="1:11">
      <c r="A19124" s="30" t="s">
        <v>42619</v>
      </c>
      <c r="B19124" s="30" t="s">
        <v>42620</v>
      </c>
      <c r="C19124" s="30" t="s">
        <v>21185</v>
      </c>
      <c r="D19124" s="30" t="s">
        <v>17</v>
      </c>
      <c r="E19124" s="30" t="s">
        <v>31</v>
      </c>
      <c r="F19124" s="30" t="s">
        <v>32</v>
      </c>
      <c r="G19124" s="30" t="s">
        <v>140</v>
      </c>
      <c r="H19124" s="32">
        <v>42</v>
      </c>
      <c r="I19124" s="30" t="s">
        <v>51</v>
      </c>
      <c r="J19124" s="41">
        <v>45610</v>
      </c>
      <c r="K19124" s="30" t="s">
        <v>22</v>
      </c>
    </row>
    <row r="19125" spans="1:11">
      <c r="A19125" s="33" t="s">
        <v>42621</v>
      </c>
      <c r="B19125" s="33" t="s">
        <v>42622</v>
      </c>
      <c r="C19125" s="33" t="s">
        <v>42623</v>
      </c>
      <c r="D19125" s="33" t="s">
        <v>17</v>
      </c>
      <c r="E19125" s="33" t="s">
        <v>330</v>
      </c>
      <c r="F19125" s="33" t="s">
        <v>331</v>
      </c>
      <c r="G19125" s="33" t="s">
        <v>158</v>
      </c>
      <c r="H19125" s="35">
        <v>18</v>
      </c>
      <c r="I19125" s="33" t="s">
        <v>51</v>
      </c>
      <c r="J19125" s="42">
        <v>45359</v>
      </c>
      <c r="K19125" s="33" t="s">
        <v>22</v>
      </c>
    </row>
    <row r="19126" spans="1:11">
      <c r="A19126" s="30" t="s">
        <v>42624</v>
      </c>
      <c r="B19126" s="30" t="s">
        <v>42625</v>
      </c>
      <c r="C19126" s="30" t="s">
        <v>42626</v>
      </c>
      <c r="D19126" s="30" t="s">
        <v>17</v>
      </c>
      <c r="E19126" s="30" t="s">
        <v>26</v>
      </c>
      <c r="F19126" s="30" t="s">
        <v>27</v>
      </c>
      <c r="G19126" s="30" t="s">
        <v>140</v>
      </c>
      <c r="H19126" s="32">
        <v>120</v>
      </c>
      <c r="I19126" s="30" t="s">
        <v>51</v>
      </c>
      <c r="J19126" s="41">
        <v>45631</v>
      </c>
      <c r="K19126" s="30" t="s">
        <v>22</v>
      </c>
    </row>
    <row r="19127" spans="1:11">
      <c r="A19127" s="33" t="s">
        <v>42627</v>
      </c>
      <c r="B19127" s="33" t="s">
        <v>42628</v>
      </c>
      <c r="C19127" s="33" t="s">
        <v>25044</v>
      </c>
      <c r="D19127" s="33" t="s">
        <v>17</v>
      </c>
      <c r="E19127" s="33" t="s">
        <v>26</v>
      </c>
      <c r="F19127" s="33" t="s">
        <v>27</v>
      </c>
      <c r="G19127" s="33" t="s">
        <v>158</v>
      </c>
      <c r="H19127" s="35">
        <v>28</v>
      </c>
      <c r="I19127" s="33" t="s">
        <v>21</v>
      </c>
      <c r="J19127" s="42">
        <v>45372</v>
      </c>
      <c r="K19127" s="33" t="s">
        <v>22</v>
      </c>
    </row>
    <row r="19128" spans="1:11">
      <c r="A19128" s="30" t="s">
        <v>42629</v>
      </c>
      <c r="B19128" s="30" t="s">
        <v>42630</v>
      </c>
      <c r="C19128" s="30" t="s">
        <v>40072</v>
      </c>
      <c r="D19128" s="30" t="s">
        <v>17</v>
      </c>
      <c r="E19128" s="30" t="s">
        <v>67</v>
      </c>
      <c r="F19128" s="30" t="s">
        <v>68</v>
      </c>
      <c r="G19128" s="30" t="s">
        <v>158</v>
      </c>
      <c r="H19128" s="32">
        <v>30</v>
      </c>
      <c r="I19128" s="30" t="s">
        <v>21</v>
      </c>
      <c r="J19128" s="41">
        <v>45408</v>
      </c>
      <c r="K19128" s="30" t="s">
        <v>22</v>
      </c>
    </row>
    <row r="19129" spans="1:11">
      <c r="A19129" s="33" t="s">
        <v>42631</v>
      </c>
      <c r="B19129" s="33" t="s">
        <v>42632</v>
      </c>
      <c r="C19129" s="33" t="s">
        <v>22336</v>
      </c>
      <c r="D19129" s="33" t="s">
        <v>17</v>
      </c>
      <c r="E19129" s="33" t="s">
        <v>31</v>
      </c>
      <c r="F19129" s="33" t="s">
        <v>32</v>
      </c>
      <c r="G19129" s="33" t="s">
        <v>158</v>
      </c>
      <c r="H19129" s="35">
        <v>12</v>
      </c>
      <c r="I19129" s="33" t="s">
        <v>51</v>
      </c>
      <c r="J19129" s="42">
        <v>45586</v>
      </c>
      <c r="K19129" s="33" t="s">
        <v>22</v>
      </c>
    </row>
    <row r="19130" spans="1:11">
      <c r="A19130" s="30" t="s">
        <v>42633</v>
      </c>
      <c r="B19130" s="30" t="s">
        <v>42634</v>
      </c>
      <c r="C19130" s="30" t="s">
        <v>252</v>
      </c>
      <c r="D19130" s="30" t="s">
        <v>17</v>
      </c>
      <c r="E19130" s="30" t="s">
        <v>18</v>
      </c>
      <c r="F19130" s="30" t="s">
        <v>19</v>
      </c>
      <c r="G19130" s="30" t="s">
        <v>140</v>
      </c>
      <c r="H19130" s="32">
        <v>560</v>
      </c>
      <c r="I19130" s="30" t="s">
        <v>51</v>
      </c>
      <c r="J19130" s="41">
        <v>45608</v>
      </c>
      <c r="K19130" s="30" t="s">
        <v>22</v>
      </c>
    </row>
    <row r="19131" spans="1:11">
      <c r="A19131" s="33" t="s">
        <v>42635</v>
      </c>
      <c r="B19131" s="33" t="s">
        <v>42636</v>
      </c>
      <c r="C19131" s="33" t="s">
        <v>190</v>
      </c>
      <c r="D19131" s="33" t="s">
        <v>17</v>
      </c>
      <c r="E19131" s="33" t="s">
        <v>26</v>
      </c>
      <c r="F19131" s="33" t="s">
        <v>27</v>
      </c>
      <c r="G19131" s="33" t="s">
        <v>20</v>
      </c>
      <c r="H19131" s="35">
        <v>16</v>
      </c>
      <c r="I19131" s="33" t="s">
        <v>21</v>
      </c>
      <c r="J19131" s="42">
        <v>45614</v>
      </c>
      <c r="K19131" s="33" t="s">
        <v>22</v>
      </c>
    </row>
    <row r="19132" spans="1:11">
      <c r="A19132" s="30" t="s">
        <v>42637</v>
      </c>
      <c r="B19132" s="30" t="s">
        <v>42638</v>
      </c>
      <c r="C19132" s="30" t="s">
        <v>29950</v>
      </c>
      <c r="D19132" s="30" t="s">
        <v>17</v>
      </c>
      <c r="E19132" s="30" t="s">
        <v>18</v>
      </c>
      <c r="F19132" s="30" t="s">
        <v>19</v>
      </c>
      <c r="G19132" s="30" t="s">
        <v>20</v>
      </c>
      <c r="H19132" s="32">
        <v>202</v>
      </c>
      <c r="I19132" s="30" t="s">
        <v>21</v>
      </c>
      <c r="J19132" s="41">
        <v>45503</v>
      </c>
      <c r="K19132" s="30" t="s">
        <v>22</v>
      </c>
    </row>
    <row r="19133" spans="1:11">
      <c r="A19133" s="33" t="s">
        <v>42639</v>
      </c>
      <c r="B19133" s="33" t="s">
        <v>42640</v>
      </c>
      <c r="C19133" s="33" t="s">
        <v>24225</v>
      </c>
      <c r="D19133" s="33" t="s">
        <v>17</v>
      </c>
      <c r="E19133" s="33" t="s">
        <v>26</v>
      </c>
      <c r="F19133" s="33" t="s">
        <v>27</v>
      </c>
      <c r="G19133" s="33" t="s">
        <v>140</v>
      </c>
      <c r="H19133" s="35">
        <v>27</v>
      </c>
      <c r="I19133" s="33" t="s">
        <v>51</v>
      </c>
      <c r="J19133" s="42">
        <v>45440</v>
      </c>
      <c r="K19133" s="33" t="s">
        <v>22</v>
      </c>
    </row>
    <row r="19134" spans="1:11">
      <c r="A19134" s="30" t="s">
        <v>42641</v>
      </c>
      <c r="B19134" s="30" t="s">
        <v>42642</v>
      </c>
      <c r="C19134" s="30" t="s">
        <v>42643</v>
      </c>
      <c r="D19134" s="30" t="s">
        <v>17</v>
      </c>
      <c r="E19134" s="30" t="s">
        <v>26</v>
      </c>
      <c r="F19134" s="30" t="s">
        <v>27</v>
      </c>
      <c r="G19134" s="30" t="s">
        <v>140</v>
      </c>
      <c r="H19134" s="32">
        <v>16</v>
      </c>
      <c r="I19134" s="30" t="s">
        <v>51</v>
      </c>
      <c r="J19134" s="41">
        <v>45512</v>
      </c>
      <c r="K19134" s="30" t="s">
        <v>22</v>
      </c>
    </row>
    <row r="19135" spans="1:11">
      <c r="A19135" s="33" t="s">
        <v>42644</v>
      </c>
      <c r="B19135" s="33" t="s">
        <v>42645</v>
      </c>
      <c r="C19135" s="33" t="s">
        <v>29180</v>
      </c>
      <c r="D19135" s="33" t="s">
        <v>17</v>
      </c>
      <c r="E19135" s="33" t="s">
        <v>26</v>
      </c>
      <c r="F19135" s="33" t="s">
        <v>27</v>
      </c>
      <c r="G19135" s="33" t="s">
        <v>20</v>
      </c>
      <c r="H19135" s="35">
        <v>14</v>
      </c>
      <c r="I19135" s="33" t="s">
        <v>21</v>
      </c>
      <c r="J19135" s="42">
        <v>45536</v>
      </c>
      <c r="K19135" s="33" t="s">
        <v>22</v>
      </c>
    </row>
    <row r="19136" spans="1:11">
      <c r="A19136" s="30" t="s">
        <v>42646</v>
      </c>
      <c r="B19136" s="30" t="s">
        <v>42647</v>
      </c>
      <c r="C19136" s="30" t="s">
        <v>19435</v>
      </c>
      <c r="D19136" s="30" t="s">
        <v>17</v>
      </c>
      <c r="E19136" s="30" t="s">
        <v>67</v>
      </c>
      <c r="F19136" s="30" t="s">
        <v>68</v>
      </c>
      <c r="G19136" s="30" t="s">
        <v>2613</v>
      </c>
      <c r="H19136" s="32">
        <v>30</v>
      </c>
      <c r="I19136" s="30" t="s">
        <v>51</v>
      </c>
      <c r="J19136" s="41">
        <v>45536</v>
      </c>
      <c r="K19136" s="30" t="s">
        <v>22</v>
      </c>
    </row>
    <row r="19137" spans="1:11">
      <c r="A19137" s="33" t="s">
        <v>42648</v>
      </c>
      <c r="B19137" s="33" t="s">
        <v>42649</v>
      </c>
      <c r="C19137" s="33" t="s">
        <v>14816</v>
      </c>
      <c r="D19137" s="33" t="s">
        <v>17</v>
      </c>
      <c r="E19137" s="33" t="s">
        <v>67</v>
      </c>
      <c r="F19137" s="33" t="s">
        <v>68</v>
      </c>
      <c r="G19137" s="33" t="s">
        <v>158</v>
      </c>
      <c r="H19137" s="35">
        <v>74</v>
      </c>
      <c r="I19137" s="33" t="s">
        <v>21</v>
      </c>
      <c r="J19137" s="42">
        <v>45595</v>
      </c>
      <c r="K19137" s="33" t="s">
        <v>22</v>
      </c>
    </row>
    <row r="19138" spans="1:11">
      <c r="A19138" s="30" t="s">
        <v>42650</v>
      </c>
      <c r="B19138" s="30" t="s">
        <v>42651</v>
      </c>
      <c r="C19138" s="30" t="s">
        <v>5251</v>
      </c>
      <c r="D19138" s="30" t="s">
        <v>17</v>
      </c>
      <c r="E19138" s="30" t="s">
        <v>31</v>
      </c>
      <c r="F19138" s="30" t="s">
        <v>32</v>
      </c>
      <c r="G19138" s="30" t="s">
        <v>50</v>
      </c>
      <c r="H19138" s="32">
        <v>250</v>
      </c>
      <c r="I19138" s="30" t="s">
        <v>51</v>
      </c>
      <c r="J19138" s="41">
        <v>45370</v>
      </c>
      <c r="K19138" s="30" t="s">
        <v>22</v>
      </c>
    </row>
    <row r="19139" spans="1:11">
      <c r="A19139" s="33" t="s">
        <v>42652</v>
      </c>
      <c r="B19139" s="33" t="s">
        <v>42653</v>
      </c>
      <c r="C19139" s="33" t="s">
        <v>231</v>
      </c>
      <c r="D19139" s="33" t="s">
        <v>17</v>
      </c>
      <c r="E19139" s="33" t="s">
        <v>26</v>
      </c>
      <c r="F19139" s="33" t="s">
        <v>27</v>
      </c>
      <c r="G19139" s="33" t="s">
        <v>20</v>
      </c>
      <c r="H19139" s="35">
        <v>30</v>
      </c>
      <c r="I19139" s="33" t="s">
        <v>21</v>
      </c>
      <c r="J19139" s="42">
        <v>45516</v>
      </c>
      <c r="K19139" s="33" t="s">
        <v>22</v>
      </c>
    </row>
    <row r="19140" spans="1:11">
      <c r="A19140" s="30" t="s">
        <v>42654</v>
      </c>
      <c r="B19140" s="30" t="s">
        <v>42655</v>
      </c>
      <c r="C19140" s="30" t="s">
        <v>32759</v>
      </c>
      <c r="D19140" s="30" t="s">
        <v>17</v>
      </c>
      <c r="E19140" s="30" t="s">
        <v>26</v>
      </c>
      <c r="F19140" s="30" t="s">
        <v>27</v>
      </c>
      <c r="G19140" s="30" t="s">
        <v>50</v>
      </c>
      <c r="H19140" s="32">
        <v>18</v>
      </c>
      <c r="I19140" s="30" t="s">
        <v>51</v>
      </c>
      <c r="J19140" s="41">
        <v>45366</v>
      </c>
      <c r="K19140" s="30" t="s">
        <v>22</v>
      </c>
    </row>
    <row r="19141" spans="1:11">
      <c r="A19141" s="33" t="s">
        <v>42656</v>
      </c>
      <c r="B19141" s="33" t="s">
        <v>42657</v>
      </c>
      <c r="C19141" s="33" t="s">
        <v>31000</v>
      </c>
      <c r="D19141" s="33" t="s">
        <v>17</v>
      </c>
      <c r="E19141" s="33" t="s">
        <v>26</v>
      </c>
      <c r="F19141" s="33" t="s">
        <v>27</v>
      </c>
      <c r="G19141" s="33" t="s">
        <v>140</v>
      </c>
      <c r="H19141" s="35">
        <v>255</v>
      </c>
      <c r="I19141" s="33" t="s">
        <v>51</v>
      </c>
      <c r="J19141" s="42">
        <v>45540</v>
      </c>
      <c r="K19141" s="33" t="s">
        <v>22</v>
      </c>
    </row>
    <row r="19142" spans="1:11">
      <c r="A19142" s="30" t="s">
        <v>42658</v>
      </c>
      <c r="B19142" s="30" t="s">
        <v>42659</v>
      </c>
      <c r="C19142" s="30" t="s">
        <v>149</v>
      </c>
      <c r="D19142" s="30" t="s">
        <v>17</v>
      </c>
      <c r="E19142" s="30" t="s">
        <v>67</v>
      </c>
      <c r="F19142" s="30" t="s">
        <v>68</v>
      </c>
      <c r="G19142" s="30" t="s">
        <v>158</v>
      </c>
      <c r="H19142" s="32">
        <v>47</v>
      </c>
      <c r="I19142" s="30" t="s">
        <v>21</v>
      </c>
      <c r="J19142" s="41">
        <v>45478</v>
      </c>
      <c r="K19142" s="30" t="s">
        <v>22</v>
      </c>
    </row>
    <row r="19143" spans="1:11">
      <c r="A19143" s="33" t="s">
        <v>42660</v>
      </c>
      <c r="B19143" s="33" t="s">
        <v>42661</v>
      </c>
      <c r="C19143" s="33" t="s">
        <v>4796</v>
      </c>
      <c r="D19143" s="33" t="s">
        <v>17</v>
      </c>
      <c r="E19143" s="33" t="s">
        <v>26</v>
      </c>
      <c r="F19143" s="33" t="s">
        <v>27</v>
      </c>
      <c r="G19143" s="33" t="s">
        <v>20</v>
      </c>
      <c r="H19143" s="35">
        <v>36</v>
      </c>
      <c r="I19143" s="33" t="s">
        <v>21</v>
      </c>
      <c r="J19143" s="42">
        <v>45428</v>
      </c>
      <c r="K19143" s="33" t="s">
        <v>22</v>
      </c>
    </row>
    <row r="19144" spans="1:11">
      <c r="A19144" s="30" t="s">
        <v>42662</v>
      </c>
      <c r="B19144" s="30" t="s">
        <v>42663</v>
      </c>
      <c r="C19144" s="30" t="s">
        <v>31488</v>
      </c>
      <c r="D19144" s="30" t="s">
        <v>17</v>
      </c>
      <c r="E19144" s="30" t="s">
        <v>26</v>
      </c>
      <c r="F19144" s="30" t="s">
        <v>27</v>
      </c>
      <c r="G19144" s="30" t="s">
        <v>158</v>
      </c>
      <c r="H19144" s="32">
        <v>144</v>
      </c>
      <c r="I19144" s="30" t="s">
        <v>21</v>
      </c>
      <c r="J19144" s="41">
        <v>45639</v>
      </c>
      <c r="K19144" s="30" t="s">
        <v>22</v>
      </c>
    </row>
    <row r="19145" spans="1:11">
      <c r="A19145" s="33" t="s">
        <v>42664</v>
      </c>
      <c r="B19145" s="33" t="s">
        <v>42665</v>
      </c>
      <c r="C19145" s="33" t="s">
        <v>969</v>
      </c>
      <c r="D19145" s="33" t="s">
        <v>17</v>
      </c>
      <c r="E19145" s="33" t="s">
        <v>31</v>
      </c>
      <c r="F19145" s="33" t="s">
        <v>32</v>
      </c>
      <c r="G19145" s="33" t="s">
        <v>140</v>
      </c>
      <c r="H19145" s="35">
        <v>393</v>
      </c>
      <c r="I19145" s="33" t="s">
        <v>51</v>
      </c>
      <c r="J19145" s="42">
        <v>45562</v>
      </c>
      <c r="K19145" s="33" t="s">
        <v>22</v>
      </c>
    </row>
    <row r="19146" spans="1:11">
      <c r="A19146" s="30" t="s">
        <v>42666</v>
      </c>
      <c r="B19146" s="30" t="s">
        <v>42667</v>
      </c>
      <c r="C19146" s="30" t="s">
        <v>222</v>
      </c>
      <c r="D19146" s="30" t="s">
        <v>17</v>
      </c>
      <c r="E19146" s="30" t="s">
        <v>26</v>
      </c>
      <c r="F19146" s="30" t="s">
        <v>27</v>
      </c>
      <c r="G19146" s="30" t="s">
        <v>140</v>
      </c>
      <c r="H19146" s="32">
        <v>150</v>
      </c>
      <c r="I19146" s="30" t="s">
        <v>51</v>
      </c>
      <c r="J19146" s="41">
        <v>45610</v>
      </c>
      <c r="K19146" s="30" t="s">
        <v>22</v>
      </c>
    </row>
    <row r="19147" spans="1:11">
      <c r="A19147" s="33" t="s">
        <v>42668</v>
      </c>
      <c r="B19147" s="33" t="s">
        <v>42669</v>
      </c>
      <c r="C19147" s="33" t="s">
        <v>4348</v>
      </c>
      <c r="D19147" s="33" t="s">
        <v>17</v>
      </c>
      <c r="E19147" s="33" t="s">
        <v>31</v>
      </c>
      <c r="F19147" s="33" t="s">
        <v>32</v>
      </c>
      <c r="G19147" s="33" t="s">
        <v>140</v>
      </c>
      <c r="H19147" s="35">
        <v>121</v>
      </c>
      <c r="I19147" s="33" t="s">
        <v>51</v>
      </c>
      <c r="J19147" s="42">
        <v>45320</v>
      </c>
      <c r="K19147" s="33" t="s">
        <v>22</v>
      </c>
    </row>
    <row r="19148" spans="1:11">
      <c r="A19148" s="30" t="s">
        <v>42670</v>
      </c>
      <c r="B19148" s="30" t="s">
        <v>42671</v>
      </c>
      <c r="C19148" s="30" t="s">
        <v>3177</v>
      </c>
      <c r="D19148" s="30" t="s">
        <v>17</v>
      </c>
      <c r="E19148" s="30" t="s">
        <v>31</v>
      </c>
      <c r="F19148" s="30" t="s">
        <v>32</v>
      </c>
      <c r="G19148" s="30" t="s">
        <v>20</v>
      </c>
      <c r="H19148" s="32">
        <v>91</v>
      </c>
      <c r="I19148" s="30" t="s">
        <v>21</v>
      </c>
      <c r="J19148" s="41">
        <v>45302</v>
      </c>
      <c r="K19148" s="30" t="s">
        <v>22</v>
      </c>
    </row>
    <row r="19149" spans="1:11">
      <c r="A19149" s="33" t="s">
        <v>42672</v>
      </c>
      <c r="B19149" s="33" t="s">
        <v>42673</v>
      </c>
      <c r="C19149" s="33" t="s">
        <v>2852</v>
      </c>
      <c r="D19149" s="33" t="s">
        <v>17</v>
      </c>
      <c r="E19149" s="33" t="s">
        <v>18</v>
      </c>
      <c r="F19149" s="33" t="s">
        <v>19</v>
      </c>
      <c r="G19149" s="33" t="s">
        <v>158</v>
      </c>
      <c r="H19149" s="35">
        <v>90</v>
      </c>
      <c r="I19149" s="33" t="s">
        <v>51</v>
      </c>
      <c r="J19149" s="42">
        <v>45579</v>
      </c>
      <c r="K19149" s="33" t="s">
        <v>22</v>
      </c>
    </row>
    <row r="19150" spans="1:11">
      <c r="A19150" s="30" t="s">
        <v>42674</v>
      </c>
      <c r="B19150" s="30" t="s">
        <v>42675</v>
      </c>
      <c r="C19150" s="30" t="s">
        <v>93</v>
      </c>
      <c r="D19150" s="30" t="s">
        <v>17</v>
      </c>
      <c r="E19150" s="30" t="s">
        <v>18</v>
      </c>
      <c r="F19150" s="30" t="s">
        <v>19</v>
      </c>
      <c r="G19150" s="30" t="s">
        <v>140</v>
      </c>
      <c r="H19150" s="32">
        <v>200</v>
      </c>
      <c r="I19150" s="30" t="s">
        <v>51</v>
      </c>
      <c r="J19150" s="41">
        <v>45457</v>
      </c>
      <c r="K19150" s="30" t="s">
        <v>22</v>
      </c>
    </row>
    <row r="19151" spans="1:11">
      <c r="A19151" s="33" t="s">
        <v>42676</v>
      </c>
      <c r="B19151" s="33" t="s">
        <v>42677</v>
      </c>
      <c r="C19151" s="33" t="s">
        <v>25186</v>
      </c>
      <c r="D19151" s="33" t="s">
        <v>17</v>
      </c>
      <c r="E19151" s="33" t="s">
        <v>26</v>
      </c>
      <c r="F19151" s="33" t="s">
        <v>27</v>
      </c>
      <c r="G19151" s="33" t="s">
        <v>20</v>
      </c>
      <c r="H19151" s="35">
        <v>40</v>
      </c>
      <c r="I19151" s="33" t="s">
        <v>21</v>
      </c>
      <c r="J19151" s="42">
        <v>45463</v>
      </c>
      <c r="K19151" s="33" t="s">
        <v>22</v>
      </c>
    </row>
    <row r="19152" spans="1:11">
      <c r="A19152" s="30" t="s">
        <v>42678</v>
      </c>
      <c r="B19152" s="30" t="s">
        <v>42679</v>
      </c>
      <c r="C19152" s="30" t="s">
        <v>42680</v>
      </c>
      <c r="D19152" s="30" t="s">
        <v>17</v>
      </c>
      <c r="E19152" s="30" t="s">
        <v>67</v>
      </c>
      <c r="F19152" s="30" t="s">
        <v>68</v>
      </c>
      <c r="G19152" s="30" t="s">
        <v>140</v>
      </c>
      <c r="H19152" s="32">
        <v>6</v>
      </c>
      <c r="I19152" s="30" t="s">
        <v>51</v>
      </c>
      <c r="J19152" s="41">
        <v>45298</v>
      </c>
      <c r="K19152" s="30" t="s">
        <v>22</v>
      </c>
    </row>
    <row r="19153" spans="1:11">
      <c r="A19153" s="33" t="s">
        <v>42681</v>
      </c>
      <c r="B19153" s="33" t="s">
        <v>42682</v>
      </c>
      <c r="C19153" s="33" t="s">
        <v>42683</v>
      </c>
      <c r="D19153" s="33" t="s">
        <v>17</v>
      </c>
      <c r="E19153" s="33" t="s">
        <v>26</v>
      </c>
      <c r="F19153" s="33" t="s">
        <v>27</v>
      </c>
      <c r="G19153" s="33" t="s">
        <v>20</v>
      </c>
      <c r="H19153" s="35">
        <v>24</v>
      </c>
      <c r="I19153" s="33" t="s">
        <v>21</v>
      </c>
      <c r="J19153" s="42">
        <v>45590</v>
      </c>
      <c r="K19153" s="33" t="s">
        <v>22</v>
      </c>
    </row>
    <row r="19154" spans="1:11">
      <c r="A19154" s="30" t="s">
        <v>42684</v>
      </c>
      <c r="B19154" s="30" t="s">
        <v>42685</v>
      </c>
      <c r="C19154" s="30" t="s">
        <v>42686</v>
      </c>
      <c r="D19154" s="30" t="s">
        <v>17</v>
      </c>
      <c r="E19154" s="30" t="s">
        <v>212</v>
      </c>
      <c r="F19154" s="30" t="s">
        <v>213</v>
      </c>
      <c r="G19154" s="30" t="s">
        <v>140</v>
      </c>
      <c r="H19154" s="32">
        <v>70</v>
      </c>
      <c r="I19154" s="30" t="s">
        <v>51</v>
      </c>
      <c r="J19154" s="41">
        <v>45503</v>
      </c>
      <c r="K19154" s="30" t="s">
        <v>22</v>
      </c>
    </row>
    <row r="19155" spans="1:11">
      <c r="A19155" s="33" t="s">
        <v>42687</v>
      </c>
      <c r="B19155" s="33" t="s">
        <v>42688</v>
      </c>
      <c r="C19155" s="33" t="s">
        <v>96</v>
      </c>
      <c r="D19155" s="33" t="s">
        <v>17</v>
      </c>
      <c r="E19155" s="33" t="s">
        <v>26</v>
      </c>
      <c r="F19155" s="33" t="s">
        <v>27</v>
      </c>
      <c r="G19155" s="33" t="s">
        <v>158</v>
      </c>
      <c r="H19155" s="35">
        <v>64</v>
      </c>
      <c r="I19155" s="33" t="s">
        <v>21</v>
      </c>
      <c r="J19155" s="42">
        <v>45470</v>
      </c>
      <c r="K19155" s="33" t="s">
        <v>22</v>
      </c>
    </row>
    <row r="19156" spans="1:11">
      <c r="A19156" s="30" t="s">
        <v>42689</v>
      </c>
      <c r="B19156" s="30" t="s">
        <v>42690</v>
      </c>
      <c r="C19156" s="30" t="s">
        <v>1701</v>
      </c>
      <c r="D19156" s="30" t="s">
        <v>17</v>
      </c>
      <c r="E19156" s="30" t="s">
        <v>212</v>
      </c>
      <c r="F19156" s="30" t="s">
        <v>213</v>
      </c>
      <c r="G19156" s="30" t="s">
        <v>140</v>
      </c>
      <c r="H19156" s="32">
        <v>100</v>
      </c>
      <c r="I19156" s="30" t="s">
        <v>51</v>
      </c>
      <c r="J19156" s="41">
        <v>45597</v>
      </c>
      <c r="K19156" s="30" t="s">
        <v>22</v>
      </c>
    </row>
    <row r="19157" spans="1:11">
      <c r="A19157" s="33" t="s">
        <v>42691</v>
      </c>
      <c r="B19157" s="33" t="s">
        <v>42692</v>
      </c>
      <c r="C19157" s="33" t="s">
        <v>26746</v>
      </c>
      <c r="D19157" s="33" t="s">
        <v>17</v>
      </c>
      <c r="E19157" s="33" t="s">
        <v>31</v>
      </c>
      <c r="F19157" s="33" t="s">
        <v>32</v>
      </c>
      <c r="G19157" s="33" t="s">
        <v>158</v>
      </c>
      <c r="H19157" s="35">
        <v>455</v>
      </c>
      <c r="I19157" s="33" t="s">
        <v>51</v>
      </c>
      <c r="J19157" s="42">
        <v>45559</v>
      </c>
      <c r="K19157" s="33" t="s">
        <v>22</v>
      </c>
    </row>
    <row r="19158" spans="1:11">
      <c r="A19158" s="30" t="s">
        <v>42693</v>
      </c>
      <c r="B19158" s="30" t="s">
        <v>42694</v>
      </c>
      <c r="C19158" s="30" t="s">
        <v>38860</v>
      </c>
      <c r="D19158" s="30" t="s">
        <v>17</v>
      </c>
      <c r="E19158" s="30" t="s">
        <v>45</v>
      </c>
      <c r="F19158" s="30" t="s">
        <v>46</v>
      </c>
      <c r="G19158" s="30" t="s">
        <v>106</v>
      </c>
      <c r="H19158" s="32">
        <v>27</v>
      </c>
      <c r="I19158" s="30" t="s">
        <v>21</v>
      </c>
      <c r="J19158" s="41">
        <v>45463</v>
      </c>
      <c r="K19158" s="30" t="s">
        <v>22</v>
      </c>
    </row>
    <row r="19159" spans="1:11">
      <c r="A19159" s="33" t="s">
        <v>42695</v>
      </c>
      <c r="B19159" s="33" t="s">
        <v>42696</v>
      </c>
      <c r="C19159" s="33" t="s">
        <v>252</v>
      </c>
      <c r="D19159" s="33" t="s">
        <v>17</v>
      </c>
      <c r="E19159" s="33" t="s">
        <v>31</v>
      </c>
      <c r="F19159" s="33" t="s">
        <v>32</v>
      </c>
      <c r="G19159" s="33" t="s">
        <v>140</v>
      </c>
      <c r="H19159" s="35">
        <v>90</v>
      </c>
      <c r="I19159" s="33" t="s">
        <v>51</v>
      </c>
      <c r="J19159" s="42">
        <v>45329</v>
      </c>
      <c r="K19159" s="33" t="s">
        <v>22</v>
      </c>
    </row>
    <row r="19160" spans="1:11">
      <c r="A19160" s="30" t="s">
        <v>42697</v>
      </c>
      <c r="B19160" s="30" t="s">
        <v>42698</v>
      </c>
      <c r="C19160" s="30" t="s">
        <v>2472</v>
      </c>
      <c r="D19160" s="30" t="s">
        <v>17</v>
      </c>
      <c r="E19160" s="30" t="s">
        <v>18</v>
      </c>
      <c r="F19160" s="30" t="s">
        <v>19</v>
      </c>
      <c r="G19160" s="30" t="s">
        <v>20</v>
      </c>
      <c r="H19160" s="32">
        <v>40817</v>
      </c>
      <c r="I19160" s="30" t="s">
        <v>21</v>
      </c>
      <c r="J19160" s="41">
        <v>45551</v>
      </c>
      <c r="K19160" s="30" t="s">
        <v>22</v>
      </c>
    </row>
    <row r="19161" spans="1:11">
      <c r="A19161" s="33" t="s">
        <v>42699</v>
      </c>
      <c r="B19161" s="33" t="s">
        <v>42700</v>
      </c>
      <c r="C19161" s="33" t="s">
        <v>93</v>
      </c>
      <c r="D19161" s="33" t="s">
        <v>17</v>
      </c>
      <c r="E19161" s="33" t="s">
        <v>26</v>
      </c>
      <c r="F19161" s="33" t="s">
        <v>27</v>
      </c>
      <c r="G19161" s="33" t="s">
        <v>20</v>
      </c>
      <c r="H19161" s="35">
        <v>11</v>
      </c>
      <c r="I19161" s="33" t="s">
        <v>21</v>
      </c>
      <c r="J19161" s="42">
        <v>45525</v>
      </c>
      <c r="K19161" s="33" t="s">
        <v>22</v>
      </c>
    </row>
    <row r="19162" spans="1:11">
      <c r="A19162" s="30" t="s">
        <v>42701</v>
      </c>
      <c r="B19162" s="30" t="s">
        <v>42702</v>
      </c>
      <c r="C19162" s="30" t="s">
        <v>957</v>
      </c>
      <c r="D19162" s="30" t="s">
        <v>17</v>
      </c>
      <c r="E19162" s="30" t="s">
        <v>26</v>
      </c>
      <c r="F19162" s="30" t="s">
        <v>27</v>
      </c>
      <c r="G19162" s="30" t="s">
        <v>20</v>
      </c>
      <c r="H19162" s="32">
        <v>19</v>
      </c>
      <c r="I19162" s="30" t="s">
        <v>21</v>
      </c>
      <c r="J19162" s="41">
        <v>45573</v>
      </c>
      <c r="K19162" s="30" t="s">
        <v>22</v>
      </c>
    </row>
    <row r="19163" spans="1:11">
      <c r="A19163" s="33" t="s">
        <v>42703</v>
      </c>
      <c r="B19163" s="33" t="s">
        <v>42704</v>
      </c>
      <c r="C19163" s="33" t="s">
        <v>969</v>
      </c>
      <c r="D19163" s="33" t="s">
        <v>17</v>
      </c>
      <c r="E19163" s="33" t="s">
        <v>26</v>
      </c>
      <c r="F19163" s="33" t="s">
        <v>27</v>
      </c>
      <c r="G19163" s="33" t="s">
        <v>20</v>
      </c>
      <c r="H19163" s="35">
        <v>30</v>
      </c>
      <c r="I19163" s="33" t="s">
        <v>21</v>
      </c>
      <c r="J19163" s="42">
        <v>45537</v>
      </c>
      <c r="K19163" s="33" t="s">
        <v>22</v>
      </c>
    </row>
    <row r="19164" spans="1:11">
      <c r="A19164" s="30" t="s">
        <v>42705</v>
      </c>
      <c r="B19164" s="30" t="s">
        <v>42706</v>
      </c>
      <c r="C19164" s="30" t="s">
        <v>6233</v>
      </c>
      <c r="D19164" s="30" t="s">
        <v>17</v>
      </c>
      <c r="E19164" s="30" t="s">
        <v>31</v>
      </c>
      <c r="F19164" s="30" t="s">
        <v>32</v>
      </c>
      <c r="G19164" s="30" t="s">
        <v>112</v>
      </c>
      <c r="H19164" s="32">
        <v>0</v>
      </c>
      <c r="I19164" s="30" t="s">
        <v>21</v>
      </c>
      <c r="J19164" s="41">
        <v>45400</v>
      </c>
      <c r="K19164" s="30" t="s">
        <v>22</v>
      </c>
    </row>
    <row r="19165" spans="1:11">
      <c r="A19165" s="33" t="s">
        <v>42707</v>
      </c>
      <c r="B19165" s="33" t="s">
        <v>42708</v>
      </c>
      <c r="C19165" s="33" t="s">
        <v>118</v>
      </c>
      <c r="D19165" s="33" t="s">
        <v>17</v>
      </c>
      <c r="E19165" s="33" t="s">
        <v>31</v>
      </c>
      <c r="F19165" s="33" t="s">
        <v>32</v>
      </c>
      <c r="G19165" s="33" t="s">
        <v>20</v>
      </c>
      <c r="H19165" s="35">
        <v>258</v>
      </c>
      <c r="I19165" s="33" t="s">
        <v>21</v>
      </c>
      <c r="J19165" s="42">
        <v>45306</v>
      </c>
      <c r="K19165" s="33" t="s">
        <v>22</v>
      </c>
    </row>
    <row r="19166" spans="1:11">
      <c r="A19166" s="30" t="s">
        <v>42709</v>
      </c>
      <c r="B19166" s="30" t="s">
        <v>42710</v>
      </c>
      <c r="C19166" s="30" t="s">
        <v>40318</v>
      </c>
      <c r="D19166" s="30" t="s">
        <v>17</v>
      </c>
      <c r="E19166" s="30" t="s">
        <v>26</v>
      </c>
      <c r="F19166" s="30" t="s">
        <v>27</v>
      </c>
      <c r="G19166" s="30" t="s">
        <v>50</v>
      </c>
      <c r="H19166" s="32">
        <v>28</v>
      </c>
      <c r="I19166" s="30" t="s">
        <v>51</v>
      </c>
      <c r="J19166" s="41">
        <v>45440</v>
      </c>
      <c r="K19166" s="30" t="s">
        <v>22</v>
      </c>
    </row>
    <row r="19167" spans="1:11">
      <c r="A19167" s="33" t="s">
        <v>42711</v>
      </c>
      <c r="B19167" s="33" t="s">
        <v>6683</v>
      </c>
      <c r="C19167" s="33" t="s">
        <v>549</v>
      </c>
      <c r="D19167" s="33" t="s">
        <v>17</v>
      </c>
      <c r="E19167" s="33" t="s">
        <v>18</v>
      </c>
      <c r="F19167" s="33" t="s">
        <v>19</v>
      </c>
      <c r="G19167" s="33" t="s">
        <v>140</v>
      </c>
      <c r="H19167" s="35">
        <v>450</v>
      </c>
      <c r="I19167" s="33" t="s">
        <v>51</v>
      </c>
      <c r="J19167" s="42">
        <v>45617</v>
      </c>
      <c r="K19167" s="33" t="s">
        <v>22</v>
      </c>
    </row>
    <row r="19168" spans="1:11">
      <c r="A19168" s="30" t="s">
        <v>42712</v>
      </c>
      <c r="B19168" s="30" t="s">
        <v>42713</v>
      </c>
      <c r="C19168" s="30" t="s">
        <v>13241</v>
      </c>
      <c r="D19168" s="30" t="s">
        <v>17</v>
      </c>
      <c r="E19168" s="30" t="s">
        <v>67</v>
      </c>
      <c r="F19168" s="30" t="s">
        <v>68</v>
      </c>
      <c r="G19168" s="30" t="s">
        <v>140</v>
      </c>
      <c r="H19168" s="32">
        <v>148</v>
      </c>
      <c r="I19168" s="30" t="s">
        <v>51</v>
      </c>
      <c r="J19168" s="41">
        <v>45463</v>
      </c>
      <c r="K19168" s="30" t="s">
        <v>22</v>
      </c>
    </row>
    <row r="19169" spans="1:11">
      <c r="A19169" s="33" t="s">
        <v>42714</v>
      </c>
      <c r="B19169" s="33" t="s">
        <v>42715</v>
      </c>
      <c r="C19169" s="33" t="s">
        <v>26414</v>
      </c>
      <c r="D19169" s="33" t="s">
        <v>17</v>
      </c>
      <c r="E19169" s="33" t="s">
        <v>26</v>
      </c>
      <c r="F19169" s="33" t="s">
        <v>27</v>
      </c>
      <c r="G19169" s="33" t="s">
        <v>106</v>
      </c>
      <c r="H19169" s="35">
        <v>1</v>
      </c>
      <c r="I19169" s="33" t="s">
        <v>21</v>
      </c>
      <c r="J19169" s="42">
        <v>45446</v>
      </c>
      <c r="K19169" s="33" t="s">
        <v>22</v>
      </c>
    </row>
    <row r="19170" spans="1:11">
      <c r="A19170" s="30" t="s">
        <v>42716</v>
      </c>
      <c r="B19170" s="30" t="s">
        <v>42717</v>
      </c>
      <c r="C19170" s="30" t="s">
        <v>1136</v>
      </c>
      <c r="D19170" s="30" t="s">
        <v>17</v>
      </c>
      <c r="E19170" s="30" t="s">
        <v>18</v>
      </c>
      <c r="F19170" s="30" t="s">
        <v>19</v>
      </c>
      <c r="G19170" s="30" t="s">
        <v>106</v>
      </c>
      <c r="H19170" s="32">
        <v>947</v>
      </c>
      <c r="I19170" s="30" t="s">
        <v>21</v>
      </c>
      <c r="J19170" s="41">
        <v>45621</v>
      </c>
      <c r="K19170" s="30" t="s">
        <v>22</v>
      </c>
    </row>
    <row r="19171" spans="1:11">
      <c r="A19171" s="33" t="s">
        <v>42718</v>
      </c>
      <c r="B19171" s="33" t="s">
        <v>42719</v>
      </c>
      <c r="C19171" s="33" t="s">
        <v>1165</v>
      </c>
      <c r="D19171" s="33" t="s">
        <v>17</v>
      </c>
      <c r="E19171" s="33" t="s">
        <v>31</v>
      </c>
      <c r="F19171" s="33" t="s">
        <v>32</v>
      </c>
      <c r="G19171" s="33" t="s">
        <v>158</v>
      </c>
      <c r="H19171" s="35">
        <v>103</v>
      </c>
      <c r="I19171" s="33" t="s">
        <v>21</v>
      </c>
      <c r="J19171" s="42">
        <v>45339</v>
      </c>
      <c r="K19171" s="33" t="s">
        <v>22</v>
      </c>
    </row>
    <row r="19172" spans="1:11">
      <c r="A19172" s="30" t="s">
        <v>42720</v>
      </c>
      <c r="B19172" s="30" t="s">
        <v>42721</v>
      </c>
      <c r="C19172" s="30" t="s">
        <v>187</v>
      </c>
      <c r="D19172" s="30" t="s">
        <v>17</v>
      </c>
      <c r="E19172" s="30" t="s">
        <v>26</v>
      </c>
      <c r="F19172" s="30" t="s">
        <v>27</v>
      </c>
      <c r="G19172" s="30" t="s">
        <v>20</v>
      </c>
      <c r="H19172" s="32">
        <v>60</v>
      </c>
      <c r="I19172" s="30" t="s">
        <v>21</v>
      </c>
      <c r="J19172" s="41">
        <v>45434</v>
      </c>
      <c r="K19172" s="30" t="s">
        <v>22</v>
      </c>
    </row>
    <row r="19173" spans="1:11">
      <c r="A19173" s="33" t="s">
        <v>42722</v>
      </c>
      <c r="B19173" s="33" t="s">
        <v>42723</v>
      </c>
      <c r="C19173" s="33" t="s">
        <v>1270</v>
      </c>
      <c r="D19173" s="33" t="s">
        <v>17</v>
      </c>
      <c r="E19173" s="33" t="s">
        <v>26</v>
      </c>
      <c r="F19173" s="33" t="s">
        <v>27</v>
      </c>
      <c r="G19173" s="33" t="s">
        <v>7780</v>
      </c>
      <c r="H19173" s="35">
        <v>100</v>
      </c>
      <c r="I19173" s="33" t="s">
        <v>51</v>
      </c>
      <c r="J19173" s="42">
        <v>45504</v>
      </c>
      <c r="K19173" s="33" t="s">
        <v>22</v>
      </c>
    </row>
    <row r="19174" spans="1:11">
      <c r="A19174" s="30" t="s">
        <v>42724</v>
      </c>
      <c r="B19174" s="30" t="s">
        <v>42725</v>
      </c>
      <c r="C19174" s="30" t="s">
        <v>252</v>
      </c>
      <c r="D19174" s="30" t="s">
        <v>17</v>
      </c>
      <c r="E19174" s="30" t="s">
        <v>18</v>
      </c>
      <c r="F19174" s="30" t="s">
        <v>19</v>
      </c>
      <c r="G19174" s="30" t="s">
        <v>158</v>
      </c>
      <c r="H19174" s="32">
        <v>682</v>
      </c>
      <c r="I19174" s="30" t="s">
        <v>21</v>
      </c>
      <c r="J19174" s="41">
        <v>45585</v>
      </c>
      <c r="K19174" s="30" t="s">
        <v>22</v>
      </c>
    </row>
    <row r="19175" spans="1:11">
      <c r="A19175" s="33" t="s">
        <v>42726</v>
      </c>
      <c r="B19175" s="33" t="s">
        <v>42727</v>
      </c>
      <c r="C19175" s="33" t="s">
        <v>42728</v>
      </c>
      <c r="D19175" s="33" t="s">
        <v>17</v>
      </c>
      <c r="E19175" s="33" t="s">
        <v>212</v>
      </c>
      <c r="F19175" s="33" t="s">
        <v>213</v>
      </c>
      <c r="G19175" s="33" t="s">
        <v>50</v>
      </c>
      <c r="H19175" s="35">
        <v>96</v>
      </c>
      <c r="I19175" s="33" t="s">
        <v>51</v>
      </c>
      <c r="J19175" s="42">
        <v>45444</v>
      </c>
      <c r="K19175" s="33" t="s">
        <v>22</v>
      </c>
    </row>
    <row r="19176" spans="1:11">
      <c r="A19176" s="30" t="s">
        <v>42729</v>
      </c>
      <c r="B19176" s="30" t="s">
        <v>42730</v>
      </c>
      <c r="C19176" s="30" t="s">
        <v>42731</v>
      </c>
      <c r="D19176" s="30" t="s">
        <v>17</v>
      </c>
      <c r="E19176" s="30" t="s">
        <v>31</v>
      </c>
      <c r="F19176" s="30" t="s">
        <v>32</v>
      </c>
      <c r="G19176" s="30" t="s">
        <v>140</v>
      </c>
      <c r="H19176" s="32">
        <v>36</v>
      </c>
      <c r="I19176" s="30" t="s">
        <v>51</v>
      </c>
      <c r="J19176" s="41">
        <v>45471</v>
      </c>
      <c r="K19176" s="30" t="s">
        <v>22</v>
      </c>
    </row>
    <row r="19177" spans="1:11">
      <c r="A19177" s="33" t="s">
        <v>42732</v>
      </c>
      <c r="B19177" s="33" t="s">
        <v>42733</v>
      </c>
      <c r="C19177" s="33" t="s">
        <v>2739</v>
      </c>
      <c r="D19177" s="33" t="s">
        <v>17</v>
      </c>
      <c r="E19177" s="33" t="s">
        <v>18</v>
      </c>
      <c r="F19177" s="33" t="s">
        <v>19</v>
      </c>
      <c r="G19177" s="33" t="s">
        <v>20</v>
      </c>
      <c r="H19177" s="35">
        <v>273</v>
      </c>
      <c r="I19177" s="33" t="s">
        <v>21</v>
      </c>
      <c r="J19177" s="42">
        <v>45379</v>
      </c>
      <c r="K19177" s="33" t="s">
        <v>22</v>
      </c>
    </row>
    <row r="19178" spans="1:11">
      <c r="A19178" s="30" t="s">
        <v>42734</v>
      </c>
      <c r="B19178" s="30" t="s">
        <v>42735</v>
      </c>
      <c r="C19178" s="30" t="s">
        <v>379</v>
      </c>
      <c r="D19178" s="30" t="s">
        <v>17</v>
      </c>
      <c r="E19178" s="30" t="s">
        <v>31</v>
      </c>
      <c r="F19178" s="30" t="s">
        <v>32</v>
      </c>
      <c r="G19178" s="30" t="s">
        <v>140</v>
      </c>
      <c r="H19178" s="32">
        <v>117</v>
      </c>
      <c r="I19178" s="30" t="s">
        <v>51</v>
      </c>
      <c r="J19178" s="41">
        <v>45509</v>
      </c>
      <c r="K19178" s="30" t="s">
        <v>22</v>
      </c>
    </row>
    <row r="19179" spans="1:11">
      <c r="A19179" s="33" t="s">
        <v>42736</v>
      </c>
      <c r="B19179" s="33" t="s">
        <v>42737</v>
      </c>
      <c r="C19179" s="33" t="s">
        <v>21728</v>
      </c>
      <c r="D19179" s="33" t="s">
        <v>17</v>
      </c>
      <c r="E19179" s="33" t="s">
        <v>26</v>
      </c>
      <c r="F19179" s="33" t="s">
        <v>27</v>
      </c>
      <c r="G19179" s="33" t="s">
        <v>140</v>
      </c>
      <c r="H19179" s="35">
        <v>48</v>
      </c>
      <c r="I19179" s="33" t="s">
        <v>51</v>
      </c>
      <c r="J19179" s="42">
        <v>45390</v>
      </c>
      <c r="K19179" s="33" t="s">
        <v>22</v>
      </c>
    </row>
    <row r="19180" spans="1:11">
      <c r="A19180" s="30" t="s">
        <v>42738</v>
      </c>
      <c r="B19180" s="30" t="s">
        <v>42739</v>
      </c>
      <c r="C19180" s="30" t="s">
        <v>14483</v>
      </c>
      <c r="D19180" s="30" t="s">
        <v>17</v>
      </c>
      <c r="E19180" s="30" t="s">
        <v>26</v>
      </c>
      <c r="F19180" s="30" t="s">
        <v>27</v>
      </c>
      <c r="G19180" s="30" t="s">
        <v>140</v>
      </c>
      <c r="H19180" s="32">
        <v>76</v>
      </c>
      <c r="I19180" s="30" t="s">
        <v>51</v>
      </c>
      <c r="J19180" s="41">
        <v>45559</v>
      </c>
      <c r="K19180" s="30" t="s">
        <v>22</v>
      </c>
    </row>
    <row r="19181" spans="1:11">
      <c r="A19181" s="33" t="s">
        <v>42740</v>
      </c>
      <c r="B19181" s="33" t="s">
        <v>42741</v>
      </c>
      <c r="C19181" s="33" t="s">
        <v>1003</v>
      </c>
      <c r="D19181" s="33" t="s">
        <v>17</v>
      </c>
      <c r="E19181" s="33" t="s">
        <v>26</v>
      </c>
      <c r="F19181" s="33" t="s">
        <v>27</v>
      </c>
      <c r="G19181" s="33" t="s">
        <v>20</v>
      </c>
      <c r="H19181" s="35">
        <v>32</v>
      </c>
      <c r="I19181" s="33" t="s">
        <v>21</v>
      </c>
      <c r="J19181" s="42">
        <v>45370</v>
      </c>
      <c r="K19181" s="33" t="s">
        <v>22</v>
      </c>
    </row>
    <row r="19182" spans="1:11">
      <c r="A19182" s="30" t="s">
        <v>42742</v>
      </c>
      <c r="B19182" s="30" t="s">
        <v>42743</v>
      </c>
      <c r="C19182" s="30" t="s">
        <v>32134</v>
      </c>
      <c r="D19182" s="30" t="s">
        <v>17</v>
      </c>
      <c r="E19182" s="30" t="s">
        <v>31</v>
      </c>
      <c r="F19182" s="30" t="s">
        <v>32</v>
      </c>
      <c r="G19182" s="30" t="s">
        <v>158</v>
      </c>
      <c r="H19182" s="32">
        <v>41</v>
      </c>
      <c r="I19182" s="30" t="s">
        <v>21</v>
      </c>
      <c r="J19182" s="41">
        <v>45545</v>
      </c>
      <c r="K19182" s="30" t="s">
        <v>22</v>
      </c>
    </row>
    <row r="19183" spans="1:11">
      <c r="A19183" s="33" t="s">
        <v>42744</v>
      </c>
      <c r="B19183" s="33" t="s">
        <v>42745</v>
      </c>
      <c r="C19183" s="33" t="s">
        <v>42746</v>
      </c>
      <c r="D19183" s="33" t="s">
        <v>17</v>
      </c>
      <c r="E19183" s="33" t="s">
        <v>26</v>
      </c>
      <c r="F19183" s="33" t="s">
        <v>27</v>
      </c>
      <c r="G19183" s="33" t="s">
        <v>106</v>
      </c>
      <c r="H19183" s="35">
        <v>16</v>
      </c>
      <c r="I19183" s="33" t="s">
        <v>21</v>
      </c>
      <c r="J19183" s="42">
        <v>45403</v>
      </c>
      <c r="K19183" s="33" t="s">
        <v>22</v>
      </c>
    </row>
    <row r="19184" spans="1:11">
      <c r="A19184" s="30" t="s">
        <v>42747</v>
      </c>
      <c r="B19184" s="30" t="s">
        <v>42748</v>
      </c>
      <c r="C19184" s="30" t="s">
        <v>11847</v>
      </c>
      <c r="D19184" s="30" t="s">
        <v>17</v>
      </c>
      <c r="E19184" s="30" t="s">
        <v>67</v>
      </c>
      <c r="F19184" s="30" t="s">
        <v>68</v>
      </c>
      <c r="G19184" s="30" t="s">
        <v>20</v>
      </c>
      <c r="H19184" s="32">
        <v>40</v>
      </c>
      <c r="I19184" s="30" t="s">
        <v>21</v>
      </c>
      <c r="J19184" s="41">
        <v>45537</v>
      </c>
      <c r="K19184" s="30" t="s">
        <v>22</v>
      </c>
    </row>
    <row r="19185" spans="1:11">
      <c r="A19185" s="33" t="s">
        <v>42749</v>
      </c>
      <c r="B19185" s="33" t="s">
        <v>42750</v>
      </c>
      <c r="C19185" s="33" t="s">
        <v>157</v>
      </c>
      <c r="D19185" s="33" t="s">
        <v>17</v>
      </c>
      <c r="E19185" s="33" t="s">
        <v>212</v>
      </c>
      <c r="F19185" s="33" t="s">
        <v>213</v>
      </c>
      <c r="G19185" s="33" t="s">
        <v>112</v>
      </c>
      <c r="H19185" s="35">
        <v>0</v>
      </c>
      <c r="I19185" s="33" t="s">
        <v>21</v>
      </c>
      <c r="J19185" s="42">
        <v>45292</v>
      </c>
      <c r="K19185" s="33" t="s">
        <v>22</v>
      </c>
    </row>
    <row r="19186" spans="1:11">
      <c r="A19186" s="30" t="s">
        <v>42751</v>
      </c>
      <c r="B19186" s="30" t="s">
        <v>42752</v>
      </c>
      <c r="C19186" s="30" t="s">
        <v>8554</v>
      </c>
      <c r="D19186" s="30" t="s">
        <v>17</v>
      </c>
      <c r="E19186" s="30" t="s">
        <v>31</v>
      </c>
      <c r="F19186" s="30" t="s">
        <v>32</v>
      </c>
      <c r="G19186" s="30" t="s">
        <v>158</v>
      </c>
      <c r="H19186" s="32">
        <v>240</v>
      </c>
      <c r="I19186" s="30" t="s">
        <v>21</v>
      </c>
      <c r="J19186" s="41">
        <v>45375</v>
      </c>
      <c r="K19186" s="30" t="s">
        <v>22</v>
      </c>
    </row>
    <row r="19187" spans="1:11">
      <c r="A19187" s="33" t="s">
        <v>42753</v>
      </c>
      <c r="B19187" s="33" t="s">
        <v>42754</v>
      </c>
      <c r="C19187" s="33" t="s">
        <v>96</v>
      </c>
      <c r="D19187" s="33" t="s">
        <v>17</v>
      </c>
      <c r="E19187" s="33" t="s">
        <v>31</v>
      </c>
      <c r="F19187" s="33" t="s">
        <v>32</v>
      </c>
      <c r="G19187" s="33" t="s">
        <v>140</v>
      </c>
      <c r="H19187" s="35">
        <v>48</v>
      </c>
      <c r="I19187" s="33" t="s">
        <v>51</v>
      </c>
      <c r="J19187" s="42">
        <v>45560</v>
      </c>
      <c r="K19187" s="33" t="s">
        <v>22</v>
      </c>
    </row>
    <row r="19188" spans="1:11">
      <c r="A19188" s="30" t="s">
        <v>42755</v>
      </c>
      <c r="B19188" s="30" t="s">
        <v>42756</v>
      </c>
      <c r="C19188" s="30" t="s">
        <v>1431</v>
      </c>
      <c r="D19188" s="30" t="s">
        <v>17</v>
      </c>
      <c r="E19188" s="30" t="s">
        <v>31</v>
      </c>
      <c r="F19188" s="30" t="s">
        <v>32</v>
      </c>
      <c r="G19188" s="30" t="s">
        <v>20</v>
      </c>
      <c r="H19188" s="32">
        <v>138</v>
      </c>
      <c r="I19188" s="30" t="s">
        <v>21</v>
      </c>
      <c r="J19188" s="41">
        <v>45551</v>
      </c>
      <c r="K19188" s="30" t="s">
        <v>22</v>
      </c>
    </row>
    <row r="19189" spans="1:11">
      <c r="A19189" s="33" t="s">
        <v>42757</v>
      </c>
      <c r="B19189" s="33" t="s">
        <v>42758</v>
      </c>
      <c r="C19189" s="33" t="s">
        <v>42759</v>
      </c>
      <c r="D19189" s="33" t="s">
        <v>17</v>
      </c>
      <c r="E19189" s="33" t="s">
        <v>67</v>
      </c>
      <c r="F19189" s="33" t="s">
        <v>68</v>
      </c>
      <c r="G19189" s="33" t="s">
        <v>158</v>
      </c>
      <c r="H19189" s="35">
        <v>12</v>
      </c>
      <c r="I19189" s="33" t="s">
        <v>51</v>
      </c>
      <c r="J19189" s="42">
        <v>45342</v>
      </c>
      <c r="K19189" s="33" t="s">
        <v>22</v>
      </c>
    </row>
    <row r="19190" spans="1:11">
      <c r="A19190" s="30" t="s">
        <v>42760</v>
      </c>
      <c r="B19190" s="30" t="s">
        <v>42761</v>
      </c>
      <c r="C19190" s="30" t="s">
        <v>318</v>
      </c>
      <c r="D19190" s="30" t="s">
        <v>17</v>
      </c>
      <c r="E19190" s="30" t="s">
        <v>18</v>
      </c>
      <c r="F19190" s="30" t="s">
        <v>19</v>
      </c>
      <c r="G19190" s="30" t="s">
        <v>158</v>
      </c>
      <c r="H19190" s="32">
        <v>469</v>
      </c>
      <c r="I19190" s="30" t="s">
        <v>21</v>
      </c>
      <c r="J19190" s="41">
        <v>45491</v>
      </c>
      <c r="K19190" s="30" t="s">
        <v>22</v>
      </c>
    </row>
    <row r="19191" spans="1:11">
      <c r="A19191" s="33" t="s">
        <v>42762</v>
      </c>
      <c r="B19191" s="33" t="s">
        <v>42763</v>
      </c>
      <c r="C19191" s="33" t="s">
        <v>6113</v>
      </c>
      <c r="D19191" s="33" t="s">
        <v>17</v>
      </c>
      <c r="E19191" s="33" t="s">
        <v>31</v>
      </c>
      <c r="F19191" s="33" t="s">
        <v>32</v>
      </c>
      <c r="G19191" s="33" t="s">
        <v>112</v>
      </c>
      <c r="H19191" s="35">
        <v>0</v>
      </c>
      <c r="I19191" s="33" t="s">
        <v>21</v>
      </c>
      <c r="J19191" s="42">
        <v>45442</v>
      </c>
      <c r="K19191" s="33" t="s">
        <v>22</v>
      </c>
    </row>
    <row r="19192" spans="1:11">
      <c r="A19192" s="30" t="s">
        <v>42764</v>
      </c>
      <c r="B19192" s="30" t="s">
        <v>42765</v>
      </c>
      <c r="C19192" s="30" t="s">
        <v>343</v>
      </c>
      <c r="D19192" s="30" t="s">
        <v>17</v>
      </c>
      <c r="E19192" s="30" t="s">
        <v>18</v>
      </c>
      <c r="F19192" s="30" t="s">
        <v>19</v>
      </c>
      <c r="G19192" s="30" t="s">
        <v>112</v>
      </c>
      <c r="H19192" s="32">
        <v>0</v>
      </c>
      <c r="I19192" s="30" t="s">
        <v>21</v>
      </c>
      <c r="J19192" s="41">
        <v>45555</v>
      </c>
      <c r="K19192" s="30" t="s">
        <v>22</v>
      </c>
    </row>
    <row r="19193" spans="1:11">
      <c r="A19193" s="33" t="s">
        <v>42766</v>
      </c>
      <c r="B19193" s="33" t="s">
        <v>42767</v>
      </c>
      <c r="C19193" s="33" t="s">
        <v>647</v>
      </c>
      <c r="D19193" s="33" t="s">
        <v>17</v>
      </c>
      <c r="E19193" s="33" t="s">
        <v>18</v>
      </c>
      <c r="F19193" s="33" t="s">
        <v>19</v>
      </c>
      <c r="G19193" s="33" t="s">
        <v>158</v>
      </c>
      <c r="H19193" s="35">
        <v>3000</v>
      </c>
      <c r="I19193" s="33" t="s">
        <v>51</v>
      </c>
      <c r="J19193" s="42">
        <v>45509</v>
      </c>
      <c r="K19193" s="33" t="s">
        <v>22</v>
      </c>
    </row>
    <row r="19194" spans="1:11">
      <c r="A19194" s="30" t="s">
        <v>42768</v>
      </c>
      <c r="B19194" s="30" t="s">
        <v>42769</v>
      </c>
      <c r="C19194" s="30" t="s">
        <v>3862</v>
      </c>
      <c r="D19194" s="30" t="s">
        <v>17</v>
      </c>
      <c r="E19194" s="30" t="s">
        <v>18</v>
      </c>
      <c r="F19194" s="30" t="s">
        <v>19</v>
      </c>
      <c r="G19194" s="30" t="s">
        <v>20</v>
      </c>
      <c r="H19194" s="32">
        <v>36</v>
      </c>
      <c r="I19194" s="30" t="s">
        <v>21</v>
      </c>
      <c r="J19194" s="41">
        <v>45467</v>
      </c>
      <c r="K19194" s="30" t="s">
        <v>22</v>
      </c>
    </row>
    <row r="19195" spans="1:11">
      <c r="A19195" s="33" t="s">
        <v>42770</v>
      </c>
      <c r="B19195" s="33" t="s">
        <v>42771</v>
      </c>
      <c r="C19195" s="33" t="s">
        <v>25186</v>
      </c>
      <c r="D19195" s="33" t="s">
        <v>17</v>
      </c>
      <c r="E19195" s="33" t="s">
        <v>31</v>
      </c>
      <c r="F19195" s="33" t="s">
        <v>32</v>
      </c>
      <c r="G19195" s="33" t="s">
        <v>20</v>
      </c>
      <c r="H19195" s="35">
        <v>324</v>
      </c>
      <c r="I19195" s="33" t="s">
        <v>21</v>
      </c>
      <c r="J19195" s="42">
        <v>45470</v>
      </c>
      <c r="K19195" s="33" t="s">
        <v>22</v>
      </c>
    </row>
    <row r="19196" spans="1:11">
      <c r="A19196" s="30" t="s">
        <v>42772</v>
      </c>
      <c r="B19196" s="30" t="s">
        <v>42773</v>
      </c>
      <c r="C19196" s="30" t="s">
        <v>136</v>
      </c>
      <c r="D19196" s="30" t="s">
        <v>17</v>
      </c>
      <c r="E19196" s="30" t="s">
        <v>26</v>
      </c>
      <c r="F19196" s="30" t="s">
        <v>27</v>
      </c>
      <c r="G19196" s="30" t="s">
        <v>140</v>
      </c>
      <c r="H19196" s="32">
        <v>630</v>
      </c>
      <c r="I19196" s="30" t="s">
        <v>51</v>
      </c>
      <c r="J19196" s="41">
        <v>45547</v>
      </c>
      <c r="K19196" s="30" t="s">
        <v>22</v>
      </c>
    </row>
    <row r="19197" spans="1:11">
      <c r="A19197" s="33" t="s">
        <v>42774</v>
      </c>
      <c r="B19197" s="33" t="s">
        <v>42775</v>
      </c>
      <c r="C19197" s="33" t="s">
        <v>16259</v>
      </c>
      <c r="D19197" s="33" t="s">
        <v>17</v>
      </c>
      <c r="E19197" s="33" t="s">
        <v>31</v>
      </c>
      <c r="F19197" s="33" t="s">
        <v>32</v>
      </c>
      <c r="G19197" s="33" t="s">
        <v>158</v>
      </c>
      <c r="H19197" s="35">
        <v>213</v>
      </c>
      <c r="I19197" s="33" t="s">
        <v>21</v>
      </c>
      <c r="J19197" s="42">
        <v>45611</v>
      </c>
      <c r="K19197" s="33" t="s">
        <v>22</v>
      </c>
    </row>
    <row r="19198" spans="1:11">
      <c r="A19198" s="30" t="s">
        <v>42776</v>
      </c>
      <c r="B19198" s="30" t="s">
        <v>42777</v>
      </c>
      <c r="C19198" s="30" t="s">
        <v>42778</v>
      </c>
      <c r="D19198" s="30" t="s">
        <v>17</v>
      </c>
      <c r="E19198" s="30" t="s">
        <v>67</v>
      </c>
      <c r="F19198" s="30" t="s">
        <v>68</v>
      </c>
      <c r="G19198" s="30" t="s">
        <v>50</v>
      </c>
      <c r="H19198" s="32">
        <v>22</v>
      </c>
      <c r="I19198" s="30" t="s">
        <v>51</v>
      </c>
      <c r="J19198" s="41">
        <v>45413</v>
      </c>
      <c r="K19198" s="30" t="s">
        <v>22</v>
      </c>
    </row>
    <row r="19199" spans="1:11">
      <c r="A19199" s="33" t="s">
        <v>42779</v>
      </c>
      <c r="B19199" s="33" t="s">
        <v>42780</v>
      </c>
      <c r="C19199" s="33" t="s">
        <v>15453</v>
      </c>
      <c r="D19199" s="33" t="s">
        <v>17</v>
      </c>
      <c r="E19199" s="33" t="s">
        <v>31</v>
      </c>
      <c r="F19199" s="33" t="s">
        <v>32</v>
      </c>
      <c r="G19199" s="33" t="s">
        <v>140</v>
      </c>
      <c r="H19199" s="35">
        <v>98</v>
      </c>
      <c r="I19199" s="33" t="s">
        <v>51</v>
      </c>
      <c r="J19199" s="42">
        <v>45296</v>
      </c>
      <c r="K19199" s="33" t="s">
        <v>22</v>
      </c>
    </row>
    <row r="19200" spans="1:11">
      <c r="A19200" s="30" t="s">
        <v>42781</v>
      </c>
      <c r="B19200" s="30" t="s">
        <v>42782</v>
      </c>
      <c r="C19200" s="30" t="s">
        <v>8543</v>
      </c>
      <c r="D19200" s="30" t="s">
        <v>17</v>
      </c>
      <c r="E19200" s="30" t="s">
        <v>31</v>
      </c>
      <c r="F19200" s="30" t="s">
        <v>32</v>
      </c>
      <c r="G19200" s="30" t="s">
        <v>106</v>
      </c>
      <c r="H19200" s="32">
        <v>45</v>
      </c>
      <c r="I19200" s="30" t="s">
        <v>21</v>
      </c>
      <c r="J19200" s="41">
        <v>45371</v>
      </c>
      <c r="K19200" s="30" t="s">
        <v>22</v>
      </c>
    </row>
    <row r="19201" spans="1:11">
      <c r="A19201" s="33" t="s">
        <v>42783</v>
      </c>
      <c r="B19201" s="33" t="s">
        <v>42784</v>
      </c>
      <c r="C19201" s="33" t="s">
        <v>1136</v>
      </c>
      <c r="D19201" s="33" t="s">
        <v>17</v>
      </c>
      <c r="E19201" s="33" t="s">
        <v>18</v>
      </c>
      <c r="F19201" s="33" t="s">
        <v>19</v>
      </c>
      <c r="G19201" s="33" t="s">
        <v>106</v>
      </c>
      <c r="H19201" s="35">
        <v>6300</v>
      </c>
      <c r="I19201" s="33" t="s">
        <v>21</v>
      </c>
      <c r="J19201" s="42">
        <v>45328</v>
      </c>
      <c r="K19201" s="33" t="s">
        <v>22</v>
      </c>
    </row>
    <row r="19202" spans="1:11">
      <c r="A19202" s="30" t="s">
        <v>42785</v>
      </c>
      <c r="B19202" s="30" t="s">
        <v>42786</v>
      </c>
      <c r="C19202" s="30" t="s">
        <v>6097</v>
      </c>
      <c r="D19202" s="30" t="s">
        <v>17</v>
      </c>
      <c r="E19202" s="30" t="s">
        <v>31</v>
      </c>
      <c r="F19202" s="30" t="s">
        <v>32</v>
      </c>
      <c r="G19202" s="30" t="s">
        <v>20</v>
      </c>
      <c r="H19202" s="32">
        <v>80</v>
      </c>
      <c r="I19202" s="30" t="s">
        <v>21</v>
      </c>
      <c r="J19202" s="41">
        <v>45393</v>
      </c>
      <c r="K19202" s="30" t="s">
        <v>22</v>
      </c>
    </row>
    <row r="19203" spans="1:11">
      <c r="A19203" s="33" t="s">
        <v>42787</v>
      </c>
      <c r="B19203" s="33" t="s">
        <v>42788</v>
      </c>
      <c r="C19203" s="33" t="s">
        <v>109</v>
      </c>
      <c r="D19203" s="33" t="s">
        <v>17</v>
      </c>
      <c r="E19203" s="33" t="s">
        <v>31</v>
      </c>
      <c r="F19203" s="33" t="s">
        <v>32</v>
      </c>
      <c r="G19203" s="33" t="s">
        <v>140</v>
      </c>
      <c r="H19203" s="35">
        <v>96</v>
      </c>
      <c r="I19203" s="33" t="s">
        <v>51</v>
      </c>
      <c r="J19203" s="42">
        <v>45594</v>
      </c>
      <c r="K19203" s="33" t="s">
        <v>22</v>
      </c>
    </row>
    <row r="19204" spans="1:11">
      <c r="A19204" s="30" t="s">
        <v>42789</v>
      </c>
      <c r="B19204" s="30" t="s">
        <v>42790</v>
      </c>
      <c r="C19204" s="30" t="s">
        <v>3190</v>
      </c>
      <c r="D19204" s="30" t="s">
        <v>17</v>
      </c>
      <c r="E19204" s="30" t="s">
        <v>45</v>
      </c>
      <c r="F19204" s="30" t="s">
        <v>46</v>
      </c>
      <c r="G19204" s="30" t="s">
        <v>106</v>
      </c>
      <c r="H19204" s="32">
        <v>43</v>
      </c>
      <c r="I19204" s="30" t="s">
        <v>21</v>
      </c>
      <c r="J19204" s="41">
        <v>45404</v>
      </c>
      <c r="K19204" s="30" t="s">
        <v>22</v>
      </c>
    </row>
    <row r="19205" spans="1:11">
      <c r="A19205" s="33" t="s">
        <v>42791</v>
      </c>
      <c r="B19205" s="33" t="s">
        <v>42792</v>
      </c>
      <c r="C19205" s="33" t="s">
        <v>41393</v>
      </c>
      <c r="D19205" s="33" t="s">
        <v>17</v>
      </c>
      <c r="E19205" s="33" t="s">
        <v>330</v>
      </c>
      <c r="F19205" s="33" t="s">
        <v>331</v>
      </c>
      <c r="G19205" s="33" t="s">
        <v>69</v>
      </c>
      <c r="H19205" s="35">
        <v>60</v>
      </c>
      <c r="I19205" s="33" t="s">
        <v>51</v>
      </c>
      <c r="J19205" s="42">
        <v>45588</v>
      </c>
      <c r="K19205" s="33" t="s">
        <v>22</v>
      </c>
    </row>
    <row r="19206" spans="1:11">
      <c r="A19206" s="30" t="s">
        <v>42793</v>
      </c>
      <c r="B19206" s="30" t="s">
        <v>42794</v>
      </c>
      <c r="C19206" s="30" t="s">
        <v>1343</v>
      </c>
      <c r="D19206" s="30" t="s">
        <v>17</v>
      </c>
      <c r="E19206" s="30" t="s">
        <v>212</v>
      </c>
      <c r="F19206" s="30" t="s">
        <v>213</v>
      </c>
      <c r="G19206" s="30" t="s">
        <v>20</v>
      </c>
      <c r="H19206" s="32">
        <v>40</v>
      </c>
      <c r="I19206" s="30" t="s">
        <v>21</v>
      </c>
      <c r="J19206" s="41">
        <v>45336</v>
      </c>
      <c r="K19206" s="30" t="s">
        <v>22</v>
      </c>
    </row>
    <row r="19207" spans="1:11">
      <c r="A19207" s="33" t="s">
        <v>42795</v>
      </c>
      <c r="B19207" s="33" t="s">
        <v>42796</v>
      </c>
      <c r="C19207" s="33" t="s">
        <v>42797</v>
      </c>
      <c r="D19207" s="33" t="s">
        <v>17</v>
      </c>
      <c r="E19207" s="33" t="s">
        <v>26</v>
      </c>
      <c r="F19207" s="33" t="s">
        <v>27</v>
      </c>
      <c r="G19207" s="33" t="s">
        <v>140</v>
      </c>
      <c r="H19207" s="35">
        <v>50</v>
      </c>
      <c r="I19207" s="33" t="s">
        <v>51</v>
      </c>
      <c r="J19207" s="42">
        <v>45534</v>
      </c>
      <c r="K19207" s="33" t="s">
        <v>22</v>
      </c>
    </row>
    <row r="19208" spans="1:11">
      <c r="A19208" s="30" t="s">
        <v>42798</v>
      </c>
      <c r="B19208" s="30" t="s">
        <v>42799</v>
      </c>
      <c r="C19208" s="30" t="s">
        <v>27074</v>
      </c>
      <c r="D19208" s="30" t="s">
        <v>17</v>
      </c>
      <c r="E19208" s="30" t="s">
        <v>26</v>
      </c>
      <c r="F19208" s="30" t="s">
        <v>27</v>
      </c>
      <c r="G19208" s="30" t="s">
        <v>20</v>
      </c>
      <c r="H19208" s="32">
        <v>59</v>
      </c>
      <c r="I19208" s="30" t="s">
        <v>21</v>
      </c>
      <c r="J19208" s="41">
        <v>45573</v>
      </c>
      <c r="K19208" s="30" t="s">
        <v>22</v>
      </c>
    </row>
    <row r="19209" spans="1:11">
      <c r="A19209" s="33" t="s">
        <v>42800</v>
      </c>
      <c r="B19209" s="33" t="s">
        <v>42801</v>
      </c>
      <c r="C19209" s="33" t="s">
        <v>4504</v>
      </c>
      <c r="D19209" s="33" t="s">
        <v>17</v>
      </c>
      <c r="E19209" s="33" t="s">
        <v>26</v>
      </c>
      <c r="F19209" s="33" t="s">
        <v>27</v>
      </c>
      <c r="G19209" s="33" t="s">
        <v>140</v>
      </c>
      <c r="H19209" s="35">
        <v>139</v>
      </c>
      <c r="I19209" s="33" t="s">
        <v>51</v>
      </c>
      <c r="J19209" s="42">
        <v>45376</v>
      </c>
      <c r="K19209" s="33" t="s">
        <v>22</v>
      </c>
    </row>
    <row r="19210" spans="1:11">
      <c r="A19210" s="30" t="s">
        <v>42802</v>
      </c>
      <c r="B19210" s="30" t="s">
        <v>42803</v>
      </c>
      <c r="C19210" s="30" t="s">
        <v>42804</v>
      </c>
      <c r="D19210" s="30" t="s">
        <v>17</v>
      </c>
      <c r="E19210" s="30" t="s">
        <v>212</v>
      </c>
      <c r="F19210" s="30" t="s">
        <v>213</v>
      </c>
      <c r="G19210" s="30" t="s">
        <v>158</v>
      </c>
      <c r="H19210" s="32">
        <v>8600</v>
      </c>
      <c r="I19210" s="30" t="s">
        <v>51</v>
      </c>
      <c r="J19210" s="41">
        <v>45294</v>
      </c>
      <c r="K19210" s="30" t="s">
        <v>22</v>
      </c>
    </row>
    <row r="19211" spans="1:11">
      <c r="A19211" s="33" t="s">
        <v>42805</v>
      </c>
      <c r="B19211" s="33" t="s">
        <v>42806</v>
      </c>
      <c r="C19211" s="33" t="s">
        <v>5971</v>
      </c>
      <c r="D19211" s="33" t="s">
        <v>17</v>
      </c>
      <c r="E19211" s="33" t="s">
        <v>31</v>
      </c>
      <c r="F19211" s="33" t="s">
        <v>32</v>
      </c>
      <c r="G19211" s="33" t="s">
        <v>20</v>
      </c>
      <c r="H19211" s="35">
        <v>123</v>
      </c>
      <c r="I19211" s="33" t="s">
        <v>21</v>
      </c>
      <c r="J19211" s="42">
        <v>45392</v>
      </c>
      <c r="K19211" s="33" t="s">
        <v>22</v>
      </c>
    </row>
    <row r="19212" spans="1:11">
      <c r="A19212" s="30" t="s">
        <v>42807</v>
      </c>
      <c r="B19212" s="30" t="s">
        <v>42808</v>
      </c>
      <c r="C19212" s="30" t="s">
        <v>42809</v>
      </c>
      <c r="D19212" s="30" t="s">
        <v>17</v>
      </c>
      <c r="E19212" s="30" t="s">
        <v>26</v>
      </c>
      <c r="F19212" s="30" t="s">
        <v>27</v>
      </c>
      <c r="G19212" s="30" t="s">
        <v>20</v>
      </c>
      <c r="H19212" s="32">
        <v>20</v>
      </c>
      <c r="I19212" s="30" t="s">
        <v>21</v>
      </c>
      <c r="J19212" s="41">
        <v>45317</v>
      </c>
      <c r="K19212" s="30" t="s">
        <v>22</v>
      </c>
    </row>
    <row r="19213" spans="1:11">
      <c r="A19213" s="33" t="s">
        <v>42810</v>
      </c>
      <c r="B19213" s="33" t="s">
        <v>42811</v>
      </c>
      <c r="C19213" s="33" t="s">
        <v>1683</v>
      </c>
      <c r="D19213" s="33" t="s">
        <v>17</v>
      </c>
      <c r="E19213" s="33" t="s">
        <v>18</v>
      </c>
      <c r="F19213" s="33" t="s">
        <v>19</v>
      </c>
      <c r="G19213" s="33" t="s">
        <v>158</v>
      </c>
      <c r="H19213" s="35">
        <v>17</v>
      </c>
      <c r="I19213" s="33" t="s">
        <v>21</v>
      </c>
      <c r="J19213" s="42">
        <v>45306</v>
      </c>
      <c r="K19213" s="33" t="s">
        <v>22</v>
      </c>
    </row>
    <row r="19214" spans="1:11">
      <c r="A19214" s="30" t="s">
        <v>42812</v>
      </c>
      <c r="B19214" s="30" t="s">
        <v>42813</v>
      </c>
      <c r="C19214" s="30" t="s">
        <v>31562</v>
      </c>
      <c r="D19214" s="30" t="s">
        <v>17</v>
      </c>
      <c r="E19214" s="30" t="s">
        <v>26</v>
      </c>
      <c r="F19214" s="30" t="s">
        <v>27</v>
      </c>
      <c r="G19214" s="30" t="s">
        <v>140</v>
      </c>
      <c r="H19214" s="32">
        <v>560</v>
      </c>
      <c r="I19214" s="30" t="s">
        <v>51</v>
      </c>
      <c r="J19214" s="41">
        <v>45568</v>
      </c>
      <c r="K19214" s="30" t="s">
        <v>22</v>
      </c>
    </row>
    <row r="19215" spans="1:11">
      <c r="A19215" s="33" t="s">
        <v>42814</v>
      </c>
      <c r="B19215" s="33" t="s">
        <v>42815</v>
      </c>
      <c r="C19215" s="33" t="s">
        <v>25186</v>
      </c>
      <c r="D19215" s="33" t="s">
        <v>17</v>
      </c>
      <c r="E19215" s="33" t="s">
        <v>26</v>
      </c>
      <c r="F19215" s="33" t="s">
        <v>27</v>
      </c>
      <c r="G19215" s="33" t="s">
        <v>7780</v>
      </c>
      <c r="H19215" s="35">
        <v>40</v>
      </c>
      <c r="I19215" s="33" t="s">
        <v>51</v>
      </c>
      <c r="J19215" s="42">
        <v>45520</v>
      </c>
      <c r="K19215" s="33" t="s">
        <v>22</v>
      </c>
    </row>
    <row r="19216" spans="1:11">
      <c r="A19216" s="30" t="s">
        <v>42816</v>
      </c>
      <c r="B19216" s="30" t="s">
        <v>42817</v>
      </c>
      <c r="C19216" s="30" t="s">
        <v>3944</v>
      </c>
      <c r="D19216" s="30" t="s">
        <v>17</v>
      </c>
      <c r="E19216" s="30" t="s">
        <v>26</v>
      </c>
      <c r="F19216" s="30" t="s">
        <v>27</v>
      </c>
      <c r="G19216" s="30" t="s">
        <v>140</v>
      </c>
      <c r="H19216" s="32">
        <v>18</v>
      </c>
      <c r="I19216" s="30" t="s">
        <v>51</v>
      </c>
      <c r="J19216" s="41">
        <v>45607</v>
      </c>
      <c r="K19216" s="30" t="s">
        <v>22</v>
      </c>
    </row>
    <row r="19217" spans="1:11">
      <c r="A19217" s="33" t="s">
        <v>42818</v>
      </c>
      <c r="B19217" s="33" t="s">
        <v>42819</v>
      </c>
      <c r="C19217" s="33" t="s">
        <v>18084</v>
      </c>
      <c r="D19217" s="33" t="s">
        <v>17</v>
      </c>
      <c r="E19217" s="33" t="s">
        <v>31</v>
      </c>
      <c r="F19217" s="33" t="s">
        <v>32</v>
      </c>
      <c r="G19217" s="33" t="s">
        <v>112</v>
      </c>
      <c r="H19217" s="35">
        <v>0</v>
      </c>
      <c r="I19217" s="33" t="s">
        <v>21</v>
      </c>
      <c r="J19217" s="42">
        <v>45444</v>
      </c>
      <c r="K19217" s="33" t="s">
        <v>22</v>
      </c>
    </row>
    <row r="19218" spans="1:11">
      <c r="A19218" s="30" t="s">
        <v>42820</v>
      </c>
      <c r="B19218" s="30" t="s">
        <v>42821</v>
      </c>
      <c r="C19218" s="30" t="s">
        <v>3057</v>
      </c>
      <c r="D19218" s="30" t="s">
        <v>17</v>
      </c>
      <c r="E19218" s="30" t="s">
        <v>31</v>
      </c>
      <c r="F19218" s="30" t="s">
        <v>32</v>
      </c>
      <c r="G19218" s="30" t="s">
        <v>20</v>
      </c>
      <c r="H19218" s="32">
        <v>115</v>
      </c>
      <c r="I19218" s="30" t="s">
        <v>21</v>
      </c>
      <c r="J19218" s="41">
        <v>45600</v>
      </c>
      <c r="K19218" s="30" t="s">
        <v>22</v>
      </c>
    </row>
    <row r="19219" spans="1:11">
      <c r="A19219" s="33" t="s">
        <v>42822</v>
      </c>
      <c r="B19219" s="33" t="s">
        <v>42823</v>
      </c>
      <c r="C19219" s="33" t="s">
        <v>5805</v>
      </c>
      <c r="D19219" s="33" t="s">
        <v>17</v>
      </c>
      <c r="E19219" s="33" t="s">
        <v>18</v>
      </c>
      <c r="F19219" s="33" t="s">
        <v>19</v>
      </c>
      <c r="G19219" s="33" t="s">
        <v>158</v>
      </c>
      <c r="H19219" s="35">
        <v>963</v>
      </c>
      <c r="I19219" s="33" t="s">
        <v>21</v>
      </c>
      <c r="J19219" s="42">
        <v>45484</v>
      </c>
      <c r="K19219" s="33" t="s">
        <v>22</v>
      </c>
    </row>
    <row r="19220" spans="1:11">
      <c r="A19220" s="30" t="s">
        <v>42824</v>
      </c>
      <c r="B19220" s="30" t="s">
        <v>42825</v>
      </c>
      <c r="C19220" s="30" t="s">
        <v>42826</v>
      </c>
      <c r="D19220" s="30" t="s">
        <v>17</v>
      </c>
      <c r="E19220" s="30" t="s">
        <v>31</v>
      </c>
      <c r="F19220" s="30" t="s">
        <v>32</v>
      </c>
      <c r="G19220" s="30" t="s">
        <v>140</v>
      </c>
      <c r="H19220" s="32">
        <v>124</v>
      </c>
      <c r="I19220" s="30" t="s">
        <v>51</v>
      </c>
      <c r="J19220" s="41">
        <v>45322</v>
      </c>
      <c r="K19220" s="30" t="s">
        <v>22</v>
      </c>
    </row>
    <row r="19221" spans="1:11">
      <c r="A19221" s="33" t="s">
        <v>42827</v>
      </c>
      <c r="B19221" s="33" t="s">
        <v>42828</v>
      </c>
      <c r="C19221" s="33" t="s">
        <v>10300</v>
      </c>
      <c r="D19221" s="33" t="s">
        <v>17</v>
      </c>
      <c r="E19221" s="33" t="s">
        <v>26</v>
      </c>
      <c r="F19221" s="33" t="s">
        <v>27</v>
      </c>
      <c r="G19221" s="33" t="s">
        <v>140</v>
      </c>
      <c r="H19221" s="35">
        <v>24</v>
      </c>
      <c r="I19221" s="33" t="s">
        <v>51</v>
      </c>
      <c r="J19221" s="42">
        <v>45635</v>
      </c>
      <c r="K19221" s="33" t="s">
        <v>22</v>
      </c>
    </row>
    <row r="19222" spans="1:11">
      <c r="A19222" s="30" t="s">
        <v>42829</v>
      </c>
      <c r="B19222" s="30" t="s">
        <v>42830</v>
      </c>
      <c r="C19222" s="30" t="s">
        <v>25994</v>
      </c>
      <c r="D19222" s="30" t="s">
        <v>17</v>
      </c>
      <c r="E19222" s="30" t="s">
        <v>67</v>
      </c>
      <c r="F19222" s="30" t="s">
        <v>68</v>
      </c>
      <c r="G19222" s="30" t="s">
        <v>158</v>
      </c>
      <c r="H19222" s="32">
        <v>3</v>
      </c>
      <c r="I19222" s="30" t="s">
        <v>21</v>
      </c>
      <c r="J19222" s="41">
        <v>45510</v>
      </c>
      <c r="K19222" s="30" t="s">
        <v>22</v>
      </c>
    </row>
    <row r="19223" spans="1:11">
      <c r="A19223" s="33" t="s">
        <v>42831</v>
      </c>
      <c r="B19223" s="33" t="s">
        <v>42832</v>
      </c>
      <c r="C19223" s="33" t="s">
        <v>2772</v>
      </c>
      <c r="D19223" s="33" t="s">
        <v>17</v>
      </c>
      <c r="E19223" s="33" t="s">
        <v>31</v>
      </c>
      <c r="F19223" s="33" t="s">
        <v>32</v>
      </c>
      <c r="G19223" s="33" t="s">
        <v>140</v>
      </c>
      <c r="H19223" s="35">
        <v>100</v>
      </c>
      <c r="I19223" s="33" t="s">
        <v>51</v>
      </c>
      <c r="J19223" s="42">
        <v>45652</v>
      </c>
      <c r="K19223" s="33" t="s">
        <v>22</v>
      </c>
    </row>
    <row r="19224" spans="1:11">
      <c r="A19224" s="30" t="s">
        <v>42833</v>
      </c>
      <c r="B19224" s="30" t="s">
        <v>42834</v>
      </c>
      <c r="C19224" s="30" t="s">
        <v>42835</v>
      </c>
      <c r="D19224" s="30" t="s">
        <v>17</v>
      </c>
      <c r="E19224" s="30" t="s">
        <v>26</v>
      </c>
      <c r="F19224" s="30" t="s">
        <v>27</v>
      </c>
      <c r="G19224" s="30" t="s">
        <v>50</v>
      </c>
      <c r="H19224" s="32">
        <v>300</v>
      </c>
      <c r="I19224" s="30" t="s">
        <v>51</v>
      </c>
      <c r="J19224" s="41">
        <v>45323</v>
      </c>
      <c r="K19224" s="30" t="s">
        <v>22</v>
      </c>
    </row>
    <row r="19225" spans="1:11">
      <c r="A19225" s="33" t="s">
        <v>42836</v>
      </c>
      <c r="B19225" s="33" t="s">
        <v>42837</v>
      </c>
      <c r="C19225" s="33" t="s">
        <v>310</v>
      </c>
      <c r="D19225" s="33" t="s">
        <v>17</v>
      </c>
      <c r="E19225" s="33" t="s">
        <v>26</v>
      </c>
      <c r="F19225" s="33" t="s">
        <v>27</v>
      </c>
      <c r="G19225" s="33" t="s">
        <v>20</v>
      </c>
      <c r="H19225" s="35">
        <v>36</v>
      </c>
      <c r="I19225" s="33" t="s">
        <v>21</v>
      </c>
      <c r="J19225" s="42">
        <v>45397</v>
      </c>
      <c r="K19225" s="33" t="s">
        <v>22</v>
      </c>
    </row>
    <row r="19226" spans="1:11">
      <c r="A19226" s="30" t="s">
        <v>42838</v>
      </c>
      <c r="B19226" s="30" t="s">
        <v>42839</v>
      </c>
      <c r="C19226" s="30" t="s">
        <v>17663</v>
      </c>
      <c r="D19226" s="30" t="s">
        <v>17</v>
      </c>
      <c r="E19226" s="30" t="s">
        <v>18</v>
      </c>
      <c r="F19226" s="30" t="s">
        <v>19</v>
      </c>
      <c r="G19226" s="30" t="s">
        <v>158</v>
      </c>
      <c r="H19226" s="32">
        <v>204</v>
      </c>
      <c r="I19226" s="30" t="s">
        <v>21</v>
      </c>
      <c r="J19226" s="41">
        <v>45531</v>
      </c>
      <c r="K19226" s="30" t="s">
        <v>22</v>
      </c>
    </row>
    <row r="19227" spans="1:11">
      <c r="A19227" s="33" t="s">
        <v>42840</v>
      </c>
      <c r="B19227" s="33" t="s">
        <v>42841</v>
      </c>
      <c r="C19227" s="33" t="s">
        <v>1849</v>
      </c>
      <c r="D19227" s="33" t="s">
        <v>17</v>
      </c>
      <c r="E19227" s="33" t="s">
        <v>18</v>
      </c>
      <c r="F19227" s="33" t="s">
        <v>19</v>
      </c>
      <c r="G19227" s="33" t="s">
        <v>20</v>
      </c>
      <c r="H19227" s="35">
        <v>157</v>
      </c>
      <c r="I19227" s="33" t="s">
        <v>21</v>
      </c>
      <c r="J19227" s="42">
        <v>45505</v>
      </c>
      <c r="K19227" s="33" t="s">
        <v>22</v>
      </c>
    </row>
    <row r="19228" spans="1:11">
      <c r="A19228" s="30" t="s">
        <v>42842</v>
      </c>
      <c r="B19228" s="30" t="s">
        <v>42843</v>
      </c>
      <c r="C19228" s="30" t="s">
        <v>231</v>
      </c>
      <c r="D19228" s="30" t="s">
        <v>17</v>
      </c>
      <c r="E19228" s="30" t="s">
        <v>26</v>
      </c>
      <c r="F19228" s="30" t="s">
        <v>27</v>
      </c>
      <c r="G19228" s="30" t="s">
        <v>140</v>
      </c>
      <c r="H19228" s="32">
        <v>124</v>
      </c>
      <c r="I19228" s="30" t="s">
        <v>51</v>
      </c>
      <c r="J19228" s="41">
        <v>45547</v>
      </c>
      <c r="K19228" s="30" t="s">
        <v>22</v>
      </c>
    </row>
    <row r="19229" spans="1:11">
      <c r="A19229" s="33" t="s">
        <v>42844</v>
      </c>
      <c r="B19229" s="33" t="s">
        <v>42845</v>
      </c>
      <c r="C19229" s="33" t="s">
        <v>42846</v>
      </c>
      <c r="D19229" s="33" t="s">
        <v>17</v>
      </c>
      <c r="E19229" s="33" t="s">
        <v>26</v>
      </c>
      <c r="F19229" s="33" t="s">
        <v>27</v>
      </c>
      <c r="G19229" s="33" t="s">
        <v>158</v>
      </c>
      <c r="H19229" s="35">
        <v>240</v>
      </c>
      <c r="I19229" s="33" t="s">
        <v>51</v>
      </c>
      <c r="J19229" s="42">
        <v>45607</v>
      </c>
      <c r="K19229" s="33" t="s">
        <v>22</v>
      </c>
    </row>
    <row r="19230" spans="1:11">
      <c r="A19230" s="30" t="s">
        <v>42847</v>
      </c>
      <c r="B19230" s="30" t="s">
        <v>42848</v>
      </c>
      <c r="C19230" s="30" t="s">
        <v>42849</v>
      </c>
      <c r="D19230" s="30" t="s">
        <v>17</v>
      </c>
      <c r="E19230" s="30" t="s">
        <v>67</v>
      </c>
      <c r="F19230" s="30" t="s">
        <v>68</v>
      </c>
      <c r="G19230" s="30" t="s">
        <v>140</v>
      </c>
      <c r="H19230" s="32">
        <v>120</v>
      </c>
      <c r="I19230" s="30" t="s">
        <v>51</v>
      </c>
      <c r="J19230" s="41">
        <v>45425</v>
      </c>
      <c r="K19230" s="30" t="s">
        <v>22</v>
      </c>
    </row>
    <row r="19231" spans="1:11">
      <c r="A19231" s="33" t="s">
        <v>42850</v>
      </c>
      <c r="B19231" s="33" t="s">
        <v>42851</v>
      </c>
      <c r="C19231" s="33" t="s">
        <v>32211</v>
      </c>
      <c r="D19231" s="33" t="s">
        <v>17</v>
      </c>
      <c r="E19231" s="33" t="s">
        <v>31</v>
      </c>
      <c r="F19231" s="33" t="s">
        <v>32</v>
      </c>
      <c r="G19231" s="33" t="s">
        <v>69</v>
      </c>
      <c r="H19231" s="35">
        <v>100</v>
      </c>
      <c r="I19231" s="33" t="s">
        <v>51</v>
      </c>
      <c r="J19231" s="42">
        <v>45631</v>
      </c>
      <c r="K19231" s="33" t="s">
        <v>22</v>
      </c>
    </row>
    <row r="19232" spans="1:11">
      <c r="A19232" s="30" t="s">
        <v>42852</v>
      </c>
      <c r="B19232" s="30" t="s">
        <v>42853</v>
      </c>
      <c r="C19232" s="30" t="s">
        <v>42854</v>
      </c>
      <c r="D19232" s="30" t="s">
        <v>17</v>
      </c>
      <c r="E19232" s="30" t="s">
        <v>26</v>
      </c>
      <c r="F19232" s="30" t="s">
        <v>27</v>
      </c>
      <c r="G19232" s="30" t="s">
        <v>140</v>
      </c>
      <c r="H19232" s="32">
        <v>30</v>
      </c>
      <c r="I19232" s="30" t="s">
        <v>51</v>
      </c>
      <c r="J19232" s="41">
        <v>45574</v>
      </c>
      <c r="K19232" s="30" t="s">
        <v>22</v>
      </c>
    </row>
    <row r="19233" spans="1:11">
      <c r="A19233" s="33" t="s">
        <v>42855</v>
      </c>
      <c r="B19233" s="33" t="s">
        <v>42856</v>
      </c>
      <c r="C19233" s="33" t="s">
        <v>33031</v>
      </c>
      <c r="D19233" s="33" t="s">
        <v>17</v>
      </c>
      <c r="E19233" s="33" t="s">
        <v>26</v>
      </c>
      <c r="F19233" s="33" t="s">
        <v>27</v>
      </c>
      <c r="G19233" s="33" t="s">
        <v>140</v>
      </c>
      <c r="H19233" s="35">
        <v>39</v>
      </c>
      <c r="I19233" s="33" t="s">
        <v>51</v>
      </c>
      <c r="J19233" s="42">
        <v>45595</v>
      </c>
      <c r="K19233" s="33" t="s">
        <v>22</v>
      </c>
    </row>
    <row r="19234" spans="1:11">
      <c r="A19234" s="30" t="s">
        <v>42857</v>
      </c>
      <c r="B19234" s="30" t="s">
        <v>42858</v>
      </c>
      <c r="C19234" s="30" t="s">
        <v>21185</v>
      </c>
      <c r="D19234" s="30" t="s">
        <v>17</v>
      </c>
      <c r="E19234" s="30" t="s">
        <v>31</v>
      </c>
      <c r="F19234" s="30" t="s">
        <v>32</v>
      </c>
      <c r="G19234" s="30" t="s">
        <v>20</v>
      </c>
      <c r="H19234" s="32">
        <v>209</v>
      </c>
      <c r="I19234" s="30" t="s">
        <v>21</v>
      </c>
      <c r="J19234" s="41">
        <v>45531</v>
      </c>
      <c r="K19234" s="30" t="s">
        <v>22</v>
      </c>
    </row>
    <row r="19235" spans="1:11">
      <c r="A19235" s="33" t="s">
        <v>42859</v>
      </c>
      <c r="B19235" s="33" t="s">
        <v>42860</v>
      </c>
      <c r="C19235" s="33" t="s">
        <v>42861</v>
      </c>
      <c r="D19235" s="33" t="s">
        <v>17</v>
      </c>
      <c r="E19235" s="33" t="s">
        <v>31</v>
      </c>
      <c r="F19235" s="33" t="s">
        <v>32</v>
      </c>
      <c r="G19235" s="33" t="s">
        <v>20</v>
      </c>
      <c r="H19235" s="35">
        <v>93</v>
      </c>
      <c r="I19235" s="33" t="s">
        <v>21</v>
      </c>
      <c r="J19235" s="42">
        <v>45379</v>
      </c>
      <c r="K19235" s="33" t="s">
        <v>22</v>
      </c>
    </row>
    <row r="19236" spans="1:11">
      <c r="A19236" s="30" t="s">
        <v>42862</v>
      </c>
      <c r="B19236" s="30" t="s">
        <v>42863</v>
      </c>
      <c r="C19236" s="30" t="s">
        <v>42864</v>
      </c>
      <c r="D19236" s="30" t="s">
        <v>17</v>
      </c>
      <c r="E19236" s="30" t="s">
        <v>26</v>
      </c>
      <c r="F19236" s="30" t="s">
        <v>27</v>
      </c>
      <c r="G19236" s="30" t="s">
        <v>20</v>
      </c>
      <c r="H19236" s="32">
        <v>19</v>
      </c>
      <c r="I19236" s="30" t="s">
        <v>21</v>
      </c>
      <c r="J19236" s="41">
        <v>45444</v>
      </c>
      <c r="K19236" s="30" t="s">
        <v>22</v>
      </c>
    </row>
    <row r="19237" spans="1:11">
      <c r="A19237" s="33" t="s">
        <v>42865</v>
      </c>
      <c r="B19237" s="33" t="s">
        <v>42866</v>
      </c>
      <c r="C19237" s="33" t="s">
        <v>124</v>
      </c>
      <c r="D19237" s="33" t="s">
        <v>17</v>
      </c>
      <c r="E19237" s="33" t="s">
        <v>31</v>
      </c>
      <c r="F19237" s="33" t="s">
        <v>32</v>
      </c>
      <c r="G19237" s="33" t="s">
        <v>20</v>
      </c>
      <c r="H19237" s="35">
        <v>47</v>
      </c>
      <c r="I19237" s="33" t="s">
        <v>21</v>
      </c>
      <c r="J19237" s="42">
        <v>45490</v>
      </c>
      <c r="K19237" s="33" t="s">
        <v>22</v>
      </c>
    </row>
    <row r="19238" spans="1:11">
      <c r="A19238" s="30" t="s">
        <v>42867</v>
      </c>
      <c r="B19238" s="30" t="s">
        <v>42868</v>
      </c>
      <c r="C19238" s="30" t="s">
        <v>13124</v>
      </c>
      <c r="D19238" s="30" t="s">
        <v>17</v>
      </c>
      <c r="E19238" s="30" t="s">
        <v>18</v>
      </c>
      <c r="F19238" s="30" t="s">
        <v>19</v>
      </c>
      <c r="G19238" s="30" t="s">
        <v>140</v>
      </c>
      <c r="H19238" s="32">
        <v>138</v>
      </c>
      <c r="I19238" s="30" t="s">
        <v>51</v>
      </c>
      <c r="J19238" s="41">
        <v>45341</v>
      </c>
      <c r="K19238" s="30" t="s">
        <v>22</v>
      </c>
    </row>
    <row r="19239" spans="1:11">
      <c r="A19239" s="33" t="s">
        <v>42869</v>
      </c>
      <c r="B19239" s="33" t="s">
        <v>42870</v>
      </c>
      <c r="C19239" s="33" t="s">
        <v>30679</v>
      </c>
      <c r="D19239" s="33" t="s">
        <v>17</v>
      </c>
      <c r="E19239" s="33" t="s">
        <v>67</v>
      </c>
      <c r="F19239" s="33" t="s">
        <v>68</v>
      </c>
      <c r="G19239" s="33" t="s">
        <v>140</v>
      </c>
      <c r="H19239" s="35">
        <v>15</v>
      </c>
      <c r="I19239" s="33" t="s">
        <v>51</v>
      </c>
      <c r="J19239" s="42">
        <v>45649</v>
      </c>
      <c r="K19239" s="33" t="s">
        <v>22</v>
      </c>
    </row>
    <row r="19240" spans="1:11">
      <c r="A19240" s="30" t="s">
        <v>42871</v>
      </c>
      <c r="B19240" s="30" t="s">
        <v>42872</v>
      </c>
      <c r="C19240" s="30" t="s">
        <v>318</v>
      </c>
      <c r="D19240" s="30" t="s">
        <v>17</v>
      </c>
      <c r="E19240" s="30" t="s">
        <v>26</v>
      </c>
      <c r="F19240" s="30" t="s">
        <v>27</v>
      </c>
      <c r="G19240" s="30" t="s">
        <v>20</v>
      </c>
      <c r="H19240" s="32">
        <v>59</v>
      </c>
      <c r="I19240" s="30" t="s">
        <v>21</v>
      </c>
      <c r="J19240" s="41">
        <v>45636</v>
      </c>
      <c r="K19240" s="30" t="s">
        <v>22</v>
      </c>
    </row>
    <row r="19241" spans="1:11">
      <c r="A19241" s="33" t="s">
        <v>42873</v>
      </c>
      <c r="B19241" s="33" t="s">
        <v>42874</v>
      </c>
      <c r="C19241" s="33" t="s">
        <v>4851</v>
      </c>
      <c r="D19241" s="33" t="s">
        <v>17</v>
      </c>
      <c r="E19241" s="33" t="s">
        <v>26</v>
      </c>
      <c r="F19241" s="33" t="s">
        <v>27</v>
      </c>
      <c r="G19241" s="33" t="s">
        <v>106</v>
      </c>
      <c r="H19241" s="35">
        <v>11</v>
      </c>
      <c r="I19241" s="33" t="s">
        <v>21</v>
      </c>
      <c r="J19241" s="42">
        <v>45413</v>
      </c>
      <c r="K19241" s="33" t="s">
        <v>22</v>
      </c>
    </row>
    <row r="19242" spans="1:11">
      <c r="A19242" s="30" t="s">
        <v>42875</v>
      </c>
      <c r="B19242" s="30" t="s">
        <v>42876</v>
      </c>
      <c r="C19242" s="30" t="s">
        <v>29838</v>
      </c>
      <c r="D19242" s="30" t="s">
        <v>17</v>
      </c>
      <c r="E19242" s="30" t="s">
        <v>26</v>
      </c>
      <c r="F19242" s="30" t="s">
        <v>27</v>
      </c>
      <c r="G19242" s="30" t="s">
        <v>20</v>
      </c>
      <c r="H19242" s="32">
        <v>8</v>
      </c>
      <c r="I19242" s="30" t="s">
        <v>21</v>
      </c>
      <c r="J19242" s="41">
        <v>45502</v>
      </c>
      <c r="K19242" s="30" t="s">
        <v>22</v>
      </c>
    </row>
    <row r="19243" spans="1:11">
      <c r="A19243" s="33" t="s">
        <v>42877</v>
      </c>
      <c r="B19243" s="33" t="s">
        <v>42878</v>
      </c>
      <c r="C19243" s="33" t="s">
        <v>5084</v>
      </c>
      <c r="D19243" s="33" t="s">
        <v>17</v>
      </c>
      <c r="E19243" s="33" t="s">
        <v>31</v>
      </c>
      <c r="F19243" s="33" t="s">
        <v>32</v>
      </c>
      <c r="G19243" s="33" t="s">
        <v>7780</v>
      </c>
      <c r="H19243" s="35">
        <v>80</v>
      </c>
      <c r="I19243" s="33" t="s">
        <v>51</v>
      </c>
      <c r="J19243" s="42">
        <v>45383</v>
      </c>
      <c r="K19243" s="33" t="s">
        <v>22</v>
      </c>
    </row>
    <row r="19244" spans="1:11">
      <c r="A19244" s="30" t="s">
        <v>42879</v>
      </c>
      <c r="B19244" s="30" t="s">
        <v>42880</v>
      </c>
      <c r="C19244" s="30" t="s">
        <v>1801</v>
      </c>
      <c r="D19244" s="30" t="s">
        <v>17</v>
      </c>
      <c r="E19244" s="30" t="s">
        <v>26</v>
      </c>
      <c r="F19244" s="30" t="s">
        <v>27</v>
      </c>
      <c r="G19244" s="30" t="s">
        <v>20</v>
      </c>
      <c r="H19244" s="32">
        <v>16</v>
      </c>
      <c r="I19244" s="30" t="s">
        <v>21</v>
      </c>
      <c r="J19244" s="41">
        <v>45496</v>
      </c>
      <c r="K19244" s="30" t="s">
        <v>22</v>
      </c>
    </row>
    <row r="19245" spans="1:11">
      <c r="A19245" s="33" t="s">
        <v>42881</v>
      </c>
      <c r="B19245" s="33" t="s">
        <v>42882</v>
      </c>
      <c r="C19245" s="33" t="s">
        <v>231</v>
      </c>
      <c r="D19245" s="33" t="s">
        <v>17</v>
      </c>
      <c r="E19245" s="33" t="s">
        <v>31</v>
      </c>
      <c r="F19245" s="33" t="s">
        <v>32</v>
      </c>
      <c r="G19245" s="33" t="s">
        <v>20</v>
      </c>
      <c r="H19245" s="35">
        <v>225</v>
      </c>
      <c r="I19245" s="33" t="s">
        <v>21</v>
      </c>
      <c r="J19245" s="42">
        <v>45566</v>
      </c>
      <c r="K19245" s="33" t="s">
        <v>22</v>
      </c>
    </row>
    <row r="19246" spans="1:11">
      <c r="A19246" s="30" t="s">
        <v>42883</v>
      </c>
      <c r="B19246" s="30" t="s">
        <v>42884</v>
      </c>
      <c r="C19246" s="30" t="s">
        <v>2313</v>
      </c>
      <c r="D19246" s="30" t="s">
        <v>17</v>
      </c>
      <c r="E19246" s="30" t="s">
        <v>31</v>
      </c>
      <c r="F19246" s="30" t="s">
        <v>32</v>
      </c>
      <c r="G19246" s="30" t="s">
        <v>158</v>
      </c>
      <c r="H19246" s="32">
        <v>118</v>
      </c>
      <c r="I19246" s="30" t="s">
        <v>21</v>
      </c>
      <c r="J19246" s="41">
        <v>45513</v>
      </c>
      <c r="K19246" s="30" t="s">
        <v>22</v>
      </c>
    </row>
    <row r="19247" spans="1:11">
      <c r="A19247" s="33" t="s">
        <v>42885</v>
      </c>
      <c r="B19247" s="33" t="s">
        <v>42886</v>
      </c>
      <c r="C19247" s="33" t="s">
        <v>10774</v>
      </c>
      <c r="D19247" s="33" t="s">
        <v>17</v>
      </c>
      <c r="E19247" s="33" t="s">
        <v>67</v>
      </c>
      <c r="F19247" s="33" t="s">
        <v>68</v>
      </c>
      <c r="G19247" s="33" t="s">
        <v>140</v>
      </c>
      <c r="H19247" s="35">
        <v>29</v>
      </c>
      <c r="I19247" s="33" t="s">
        <v>51</v>
      </c>
      <c r="J19247" s="42">
        <v>45505</v>
      </c>
      <c r="K19247" s="33" t="s">
        <v>22</v>
      </c>
    </row>
    <row r="19248" spans="1:11">
      <c r="A19248" s="30" t="s">
        <v>42887</v>
      </c>
      <c r="B19248" s="30" t="s">
        <v>42888</v>
      </c>
      <c r="C19248" s="30" t="s">
        <v>11599</v>
      </c>
      <c r="D19248" s="30" t="s">
        <v>17</v>
      </c>
      <c r="E19248" s="30" t="s">
        <v>18</v>
      </c>
      <c r="F19248" s="30" t="s">
        <v>19</v>
      </c>
      <c r="G19248" s="30" t="s">
        <v>20</v>
      </c>
      <c r="H19248" s="32">
        <v>91</v>
      </c>
      <c r="I19248" s="30" t="s">
        <v>21</v>
      </c>
      <c r="J19248" s="41">
        <v>45343</v>
      </c>
      <c r="K19248" s="30" t="s">
        <v>22</v>
      </c>
    </row>
    <row r="19249" spans="1:11">
      <c r="A19249" s="33" t="s">
        <v>42889</v>
      </c>
      <c r="B19249" s="33" t="s">
        <v>42890</v>
      </c>
      <c r="C19249" s="33" t="s">
        <v>2196</v>
      </c>
      <c r="D19249" s="33" t="s">
        <v>17</v>
      </c>
      <c r="E19249" s="33" t="s">
        <v>26</v>
      </c>
      <c r="F19249" s="33" t="s">
        <v>27</v>
      </c>
      <c r="G19249" s="33" t="s">
        <v>140</v>
      </c>
      <c r="H19249" s="35">
        <v>132</v>
      </c>
      <c r="I19249" s="33" t="s">
        <v>51</v>
      </c>
      <c r="J19249" s="42">
        <v>45439</v>
      </c>
      <c r="K19249" s="33" t="s">
        <v>22</v>
      </c>
    </row>
    <row r="19250" spans="1:11">
      <c r="A19250" s="30" t="s">
        <v>42891</v>
      </c>
      <c r="B19250" s="30" t="s">
        <v>42892</v>
      </c>
      <c r="C19250" s="30" t="s">
        <v>21009</v>
      </c>
      <c r="D19250" s="30" t="s">
        <v>17</v>
      </c>
      <c r="E19250" s="30" t="s">
        <v>26</v>
      </c>
      <c r="F19250" s="30" t="s">
        <v>27</v>
      </c>
      <c r="G19250" s="30" t="s">
        <v>20</v>
      </c>
      <c r="H19250" s="32">
        <v>20</v>
      </c>
      <c r="I19250" s="30" t="s">
        <v>21</v>
      </c>
      <c r="J19250" s="41">
        <v>45638</v>
      </c>
      <c r="K19250" s="30" t="s">
        <v>22</v>
      </c>
    </row>
    <row r="19251" spans="1:11">
      <c r="A19251" s="33" t="s">
        <v>42893</v>
      </c>
      <c r="B19251" s="33" t="s">
        <v>42894</v>
      </c>
      <c r="C19251" s="33" t="s">
        <v>42895</v>
      </c>
      <c r="D19251" s="33" t="s">
        <v>17</v>
      </c>
      <c r="E19251" s="33" t="s">
        <v>67</v>
      </c>
      <c r="F19251" s="33" t="s">
        <v>68</v>
      </c>
      <c r="G19251" s="33" t="s">
        <v>140</v>
      </c>
      <c r="H19251" s="35">
        <v>108</v>
      </c>
      <c r="I19251" s="33" t="s">
        <v>51</v>
      </c>
      <c r="J19251" s="42">
        <v>45415</v>
      </c>
      <c r="K19251" s="33" t="s">
        <v>22</v>
      </c>
    </row>
    <row r="19252" spans="1:11">
      <c r="A19252" s="30" t="s">
        <v>42896</v>
      </c>
      <c r="B19252" s="30" t="s">
        <v>42897</v>
      </c>
      <c r="C19252" s="30" t="s">
        <v>14176</v>
      </c>
      <c r="D19252" s="30" t="s">
        <v>17</v>
      </c>
      <c r="E19252" s="30" t="s">
        <v>26</v>
      </c>
      <c r="F19252" s="30" t="s">
        <v>27</v>
      </c>
      <c r="G19252" s="30" t="s">
        <v>20</v>
      </c>
      <c r="H19252" s="32">
        <v>28</v>
      </c>
      <c r="I19252" s="30" t="s">
        <v>21</v>
      </c>
      <c r="J19252" s="41">
        <v>45311</v>
      </c>
      <c r="K19252" s="30" t="s">
        <v>22</v>
      </c>
    </row>
    <row r="19253" spans="1:11">
      <c r="A19253" s="33" t="s">
        <v>42898</v>
      </c>
      <c r="B19253" s="33" t="s">
        <v>42899</v>
      </c>
      <c r="C19253" s="33" t="s">
        <v>21340</v>
      </c>
      <c r="D19253" s="33" t="s">
        <v>17</v>
      </c>
      <c r="E19253" s="33" t="s">
        <v>18</v>
      </c>
      <c r="F19253" s="33" t="s">
        <v>19</v>
      </c>
      <c r="G19253" s="33" t="s">
        <v>158</v>
      </c>
      <c r="H19253" s="35">
        <v>125</v>
      </c>
      <c r="I19253" s="33" t="s">
        <v>21</v>
      </c>
      <c r="J19253" s="42">
        <v>45383</v>
      </c>
      <c r="K19253" s="33" t="s">
        <v>22</v>
      </c>
    </row>
    <row r="19254" spans="1:11">
      <c r="A19254" s="30" t="s">
        <v>42900</v>
      </c>
      <c r="B19254" s="30" t="s">
        <v>42901</v>
      </c>
      <c r="C19254" s="30" t="s">
        <v>38754</v>
      </c>
      <c r="D19254" s="30" t="s">
        <v>17</v>
      </c>
      <c r="E19254" s="30" t="s">
        <v>31</v>
      </c>
      <c r="F19254" s="30" t="s">
        <v>32</v>
      </c>
      <c r="G19254" s="30" t="s">
        <v>20</v>
      </c>
      <c r="H19254" s="32">
        <v>426</v>
      </c>
      <c r="I19254" s="30" t="s">
        <v>21</v>
      </c>
      <c r="J19254" s="41">
        <v>45539</v>
      </c>
      <c r="K19254" s="30" t="s">
        <v>22</v>
      </c>
    </row>
    <row r="19255" spans="1:11">
      <c r="A19255" s="33" t="s">
        <v>42902</v>
      </c>
      <c r="B19255" s="33" t="s">
        <v>42903</v>
      </c>
      <c r="C19255" s="33" t="s">
        <v>42904</v>
      </c>
      <c r="D19255" s="33" t="s">
        <v>17</v>
      </c>
      <c r="E19255" s="33" t="s">
        <v>18</v>
      </c>
      <c r="F19255" s="33" t="s">
        <v>19</v>
      </c>
      <c r="G19255" s="33" t="s">
        <v>20</v>
      </c>
      <c r="H19255" s="35">
        <v>164</v>
      </c>
      <c r="I19255" s="33" t="s">
        <v>21</v>
      </c>
      <c r="J19255" s="42">
        <v>45630</v>
      </c>
      <c r="K19255" s="33" t="s">
        <v>22</v>
      </c>
    </row>
    <row r="19256" spans="1:11">
      <c r="A19256" s="30" t="s">
        <v>42905</v>
      </c>
      <c r="B19256" s="30" t="s">
        <v>42906</v>
      </c>
      <c r="C19256" s="30" t="s">
        <v>969</v>
      </c>
      <c r="D19256" s="30" t="s">
        <v>17</v>
      </c>
      <c r="E19256" s="30" t="s">
        <v>31</v>
      </c>
      <c r="F19256" s="30" t="s">
        <v>32</v>
      </c>
      <c r="G19256" s="30" t="s">
        <v>106</v>
      </c>
      <c r="H19256" s="32">
        <v>79</v>
      </c>
      <c r="I19256" s="30" t="s">
        <v>21</v>
      </c>
      <c r="J19256" s="41">
        <v>45448</v>
      </c>
      <c r="K19256" s="30" t="s">
        <v>22</v>
      </c>
    </row>
    <row r="19257" spans="1:11">
      <c r="A19257" s="33" t="s">
        <v>42907</v>
      </c>
      <c r="B19257" s="33" t="s">
        <v>42908</v>
      </c>
      <c r="C19257" s="33" t="s">
        <v>40003</v>
      </c>
      <c r="D19257" s="33" t="s">
        <v>17</v>
      </c>
      <c r="E19257" s="33" t="s">
        <v>26</v>
      </c>
      <c r="F19257" s="33" t="s">
        <v>27</v>
      </c>
      <c r="G19257" s="33" t="s">
        <v>106</v>
      </c>
      <c r="H19257" s="35">
        <v>54</v>
      </c>
      <c r="I19257" s="33" t="s">
        <v>21</v>
      </c>
      <c r="J19257" s="42">
        <v>45306</v>
      </c>
      <c r="K19257" s="33" t="s">
        <v>22</v>
      </c>
    </row>
    <row r="19258" spans="1:11">
      <c r="A19258" s="30" t="s">
        <v>42909</v>
      </c>
      <c r="B19258" s="30" t="s">
        <v>42910</v>
      </c>
      <c r="C19258" s="30" t="s">
        <v>96</v>
      </c>
      <c r="D19258" s="30" t="s">
        <v>17</v>
      </c>
      <c r="E19258" s="30" t="s">
        <v>26</v>
      </c>
      <c r="F19258" s="30" t="s">
        <v>27</v>
      </c>
      <c r="G19258" s="30" t="s">
        <v>20</v>
      </c>
      <c r="H19258" s="32">
        <v>23</v>
      </c>
      <c r="I19258" s="30" t="s">
        <v>21</v>
      </c>
      <c r="J19258" s="41">
        <v>45412</v>
      </c>
      <c r="K19258" s="30" t="s">
        <v>22</v>
      </c>
    </row>
    <row r="19259" spans="1:11">
      <c r="A19259" s="33" t="s">
        <v>42911</v>
      </c>
      <c r="B19259" s="33" t="s">
        <v>42912</v>
      </c>
      <c r="C19259" s="33" t="s">
        <v>190</v>
      </c>
      <c r="D19259" s="33" t="s">
        <v>17</v>
      </c>
      <c r="E19259" s="33" t="s">
        <v>26</v>
      </c>
      <c r="F19259" s="33" t="s">
        <v>27</v>
      </c>
      <c r="G19259" s="33" t="s">
        <v>20</v>
      </c>
      <c r="H19259" s="35">
        <v>91</v>
      </c>
      <c r="I19259" s="33" t="s">
        <v>21</v>
      </c>
      <c r="J19259" s="42">
        <v>45488</v>
      </c>
      <c r="K19259" s="33" t="s">
        <v>22</v>
      </c>
    </row>
    <row r="19260" spans="1:11">
      <c r="A19260" s="30" t="s">
        <v>42913</v>
      </c>
      <c r="B19260" s="30" t="s">
        <v>42914</v>
      </c>
      <c r="C19260" s="30" t="s">
        <v>42915</v>
      </c>
      <c r="D19260" s="30" t="s">
        <v>17</v>
      </c>
      <c r="E19260" s="30" t="s">
        <v>26</v>
      </c>
      <c r="F19260" s="30" t="s">
        <v>27</v>
      </c>
      <c r="G19260" s="30" t="s">
        <v>140</v>
      </c>
      <c r="H19260" s="32">
        <v>103</v>
      </c>
      <c r="I19260" s="30" t="s">
        <v>51</v>
      </c>
      <c r="J19260" s="41">
        <v>45470</v>
      </c>
      <c r="K19260" s="30" t="s">
        <v>22</v>
      </c>
    </row>
    <row r="19261" spans="1:11">
      <c r="A19261" s="33" t="s">
        <v>42916</v>
      </c>
      <c r="B19261" s="33" t="s">
        <v>42917</v>
      </c>
      <c r="C19261" s="33" t="s">
        <v>19179</v>
      </c>
      <c r="D19261" s="33" t="s">
        <v>17</v>
      </c>
      <c r="E19261" s="33" t="s">
        <v>212</v>
      </c>
      <c r="F19261" s="33" t="s">
        <v>213</v>
      </c>
      <c r="G19261" s="33" t="s">
        <v>106</v>
      </c>
      <c r="H19261" s="35">
        <v>5</v>
      </c>
      <c r="I19261" s="33" t="s">
        <v>21</v>
      </c>
      <c r="J19261" s="42">
        <v>45343</v>
      </c>
      <c r="K19261" s="33" t="s">
        <v>22</v>
      </c>
    </row>
    <row r="19262" spans="1:11">
      <c r="A19262" s="30" t="s">
        <v>42918</v>
      </c>
      <c r="B19262" s="30" t="s">
        <v>42919</v>
      </c>
      <c r="C19262" s="30" t="s">
        <v>36231</v>
      </c>
      <c r="D19262" s="30" t="s">
        <v>17</v>
      </c>
      <c r="E19262" s="30" t="s">
        <v>67</v>
      </c>
      <c r="F19262" s="30" t="s">
        <v>68</v>
      </c>
      <c r="G19262" s="30" t="s">
        <v>20</v>
      </c>
      <c r="H19262" s="32">
        <v>27</v>
      </c>
      <c r="I19262" s="30" t="s">
        <v>21</v>
      </c>
      <c r="J19262" s="41">
        <v>45341</v>
      </c>
      <c r="K19262" s="30" t="s">
        <v>22</v>
      </c>
    </row>
    <row r="19263" spans="1:11">
      <c r="A19263" s="33" t="s">
        <v>42920</v>
      </c>
      <c r="B19263" s="33" t="s">
        <v>42921</v>
      </c>
      <c r="C19263" s="33" t="s">
        <v>42922</v>
      </c>
      <c r="D19263" s="33" t="s">
        <v>17</v>
      </c>
      <c r="E19263" s="33" t="s">
        <v>31</v>
      </c>
      <c r="F19263" s="33" t="s">
        <v>32</v>
      </c>
      <c r="G19263" s="33" t="s">
        <v>20</v>
      </c>
      <c r="H19263" s="35">
        <v>46</v>
      </c>
      <c r="I19263" s="33" t="s">
        <v>21</v>
      </c>
      <c r="J19263" s="42">
        <v>45384</v>
      </c>
      <c r="K19263" s="33" t="s">
        <v>22</v>
      </c>
    </row>
    <row r="19264" spans="1:11">
      <c r="A19264" s="30" t="s">
        <v>42923</v>
      </c>
      <c r="B19264" s="30" t="s">
        <v>42924</v>
      </c>
      <c r="C19264" s="30" t="s">
        <v>1165</v>
      </c>
      <c r="D19264" s="30" t="s">
        <v>17</v>
      </c>
      <c r="E19264" s="30" t="s">
        <v>31</v>
      </c>
      <c r="F19264" s="30" t="s">
        <v>32</v>
      </c>
      <c r="G19264" s="30" t="s">
        <v>158</v>
      </c>
      <c r="H19264" s="32">
        <v>3</v>
      </c>
      <c r="I19264" s="30" t="s">
        <v>21</v>
      </c>
      <c r="J19264" s="41">
        <v>45524</v>
      </c>
      <c r="K19264" s="30" t="s">
        <v>22</v>
      </c>
    </row>
    <row r="19265" spans="1:11">
      <c r="A19265" s="33" t="s">
        <v>42925</v>
      </c>
      <c r="B19265" s="33" t="s">
        <v>42926</v>
      </c>
      <c r="C19265" s="33" t="s">
        <v>2261</v>
      </c>
      <c r="D19265" s="33" t="s">
        <v>17</v>
      </c>
      <c r="E19265" s="33" t="s">
        <v>45</v>
      </c>
      <c r="F19265" s="33" t="s">
        <v>46</v>
      </c>
      <c r="G19265" s="33" t="s">
        <v>158</v>
      </c>
      <c r="H19265" s="35">
        <v>450</v>
      </c>
      <c r="I19265" s="33" t="s">
        <v>51</v>
      </c>
      <c r="J19265" s="42">
        <v>45379</v>
      </c>
      <c r="K19265" s="33" t="s">
        <v>22</v>
      </c>
    </row>
    <row r="19266" spans="1:11">
      <c r="A19266" s="30" t="s">
        <v>42927</v>
      </c>
      <c r="B19266" s="30" t="s">
        <v>42928</v>
      </c>
      <c r="C19266" s="30" t="s">
        <v>32885</v>
      </c>
      <c r="D19266" s="30" t="s">
        <v>17</v>
      </c>
      <c r="E19266" s="30" t="s">
        <v>26</v>
      </c>
      <c r="F19266" s="30" t="s">
        <v>27</v>
      </c>
      <c r="G19266" s="30" t="s">
        <v>20</v>
      </c>
      <c r="H19266" s="32">
        <v>41</v>
      </c>
      <c r="I19266" s="30" t="s">
        <v>21</v>
      </c>
      <c r="J19266" s="41">
        <v>45492</v>
      </c>
      <c r="K19266" s="30" t="s">
        <v>22</v>
      </c>
    </row>
    <row r="19267" spans="1:11">
      <c r="A19267" s="33" t="s">
        <v>42929</v>
      </c>
      <c r="B19267" s="33" t="s">
        <v>42930</v>
      </c>
      <c r="C19267" s="33" t="s">
        <v>4679</v>
      </c>
      <c r="D19267" s="33" t="s">
        <v>17</v>
      </c>
      <c r="E19267" s="33" t="s">
        <v>18</v>
      </c>
      <c r="F19267" s="33" t="s">
        <v>19</v>
      </c>
      <c r="G19267" s="33" t="s">
        <v>140</v>
      </c>
      <c r="H19267" s="35">
        <v>46</v>
      </c>
      <c r="I19267" s="33" t="s">
        <v>51</v>
      </c>
      <c r="J19267" s="42">
        <v>45510</v>
      </c>
      <c r="K19267" s="33" t="s">
        <v>22</v>
      </c>
    </row>
    <row r="19268" spans="1:11">
      <c r="A19268" s="30" t="s">
        <v>42931</v>
      </c>
      <c r="B19268" s="30" t="s">
        <v>42932</v>
      </c>
      <c r="C19268" s="30" t="s">
        <v>1343</v>
      </c>
      <c r="D19268" s="30" t="s">
        <v>17</v>
      </c>
      <c r="E19268" s="30" t="s">
        <v>212</v>
      </c>
      <c r="F19268" s="30" t="s">
        <v>213</v>
      </c>
      <c r="G19268" s="30" t="s">
        <v>158</v>
      </c>
      <c r="H19268" s="32">
        <v>10</v>
      </c>
      <c r="I19268" s="30" t="s">
        <v>21</v>
      </c>
      <c r="J19268" s="41">
        <v>45474</v>
      </c>
      <c r="K19268" s="30" t="s">
        <v>22</v>
      </c>
    </row>
    <row r="19269" spans="1:11">
      <c r="A19269" s="33" t="s">
        <v>42933</v>
      </c>
      <c r="B19269" s="33" t="s">
        <v>42934</v>
      </c>
      <c r="C19269" s="33" t="s">
        <v>7035</v>
      </c>
      <c r="D19269" s="33" t="s">
        <v>17</v>
      </c>
      <c r="E19269" s="33" t="s">
        <v>26</v>
      </c>
      <c r="F19269" s="33" t="s">
        <v>27</v>
      </c>
      <c r="G19269" s="33" t="s">
        <v>20</v>
      </c>
      <c r="H19269" s="35">
        <v>24</v>
      </c>
      <c r="I19269" s="33" t="s">
        <v>21</v>
      </c>
      <c r="J19269" s="42">
        <v>45412</v>
      </c>
      <c r="K19269" s="33" t="s">
        <v>22</v>
      </c>
    </row>
    <row r="19270" spans="1:11">
      <c r="A19270" s="30" t="s">
        <v>42935</v>
      </c>
      <c r="B19270" s="30" t="s">
        <v>42936</v>
      </c>
      <c r="C19270" s="30" t="s">
        <v>684</v>
      </c>
      <c r="D19270" s="30" t="s">
        <v>17</v>
      </c>
      <c r="E19270" s="30" t="s">
        <v>26</v>
      </c>
      <c r="F19270" s="30" t="s">
        <v>27</v>
      </c>
      <c r="G19270" s="30" t="s">
        <v>20</v>
      </c>
      <c r="H19270" s="32">
        <v>56</v>
      </c>
      <c r="I19270" s="30" t="s">
        <v>21</v>
      </c>
      <c r="J19270" s="41">
        <v>45443</v>
      </c>
      <c r="K19270" s="30" t="s">
        <v>22</v>
      </c>
    </row>
    <row r="19271" spans="1:11">
      <c r="A19271" s="33" t="s">
        <v>42937</v>
      </c>
      <c r="B19271" s="33" t="s">
        <v>42938</v>
      </c>
      <c r="C19271" s="33" t="s">
        <v>96</v>
      </c>
      <c r="D19271" s="33" t="s">
        <v>17</v>
      </c>
      <c r="E19271" s="33" t="s">
        <v>31</v>
      </c>
      <c r="F19271" s="33" t="s">
        <v>32</v>
      </c>
      <c r="G19271" s="33" t="s">
        <v>20</v>
      </c>
      <c r="H19271" s="35">
        <v>239</v>
      </c>
      <c r="I19271" s="33" t="s">
        <v>21</v>
      </c>
      <c r="J19271" s="42">
        <v>45574</v>
      </c>
      <c r="K19271" s="33" t="s">
        <v>22</v>
      </c>
    </row>
    <row r="19272" spans="1:11">
      <c r="A19272" s="30" t="s">
        <v>42939</v>
      </c>
      <c r="B19272" s="30" t="s">
        <v>42940</v>
      </c>
      <c r="C19272" s="30" t="s">
        <v>44</v>
      </c>
      <c r="D19272" s="30" t="s">
        <v>17</v>
      </c>
      <c r="E19272" s="30" t="s">
        <v>26</v>
      </c>
      <c r="F19272" s="30" t="s">
        <v>27</v>
      </c>
      <c r="G19272" s="30" t="s">
        <v>158</v>
      </c>
      <c r="H19272" s="32">
        <v>59</v>
      </c>
      <c r="I19272" s="30" t="s">
        <v>21</v>
      </c>
      <c r="J19272" s="41">
        <v>45470</v>
      </c>
      <c r="K19272" s="30" t="s">
        <v>22</v>
      </c>
    </row>
    <row r="19273" spans="1:11">
      <c r="A19273" s="33" t="s">
        <v>42941</v>
      </c>
      <c r="B19273" s="33" t="s">
        <v>42942</v>
      </c>
      <c r="C19273" s="33" t="s">
        <v>6127</v>
      </c>
      <c r="D19273" s="33" t="s">
        <v>17</v>
      </c>
      <c r="E19273" s="33" t="s">
        <v>18</v>
      </c>
      <c r="F19273" s="33" t="s">
        <v>19</v>
      </c>
      <c r="G19273" s="33" t="s">
        <v>2613</v>
      </c>
      <c r="H19273" s="35">
        <v>700</v>
      </c>
      <c r="I19273" s="33" t="s">
        <v>51</v>
      </c>
      <c r="J19273" s="42">
        <v>45629</v>
      </c>
      <c r="K19273" s="33" t="s">
        <v>22</v>
      </c>
    </row>
    <row r="19274" spans="1:11">
      <c r="A19274" s="30" t="s">
        <v>42943</v>
      </c>
      <c r="B19274" s="30" t="s">
        <v>42944</v>
      </c>
      <c r="C19274" s="30" t="s">
        <v>1165</v>
      </c>
      <c r="D19274" s="30" t="s">
        <v>17</v>
      </c>
      <c r="E19274" s="30" t="s">
        <v>26</v>
      </c>
      <c r="F19274" s="30" t="s">
        <v>27</v>
      </c>
      <c r="G19274" s="30" t="s">
        <v>140</v>
      </c>
      <c r="H19274" s="32">
        <v>16</v>
      </c>
      <c r="I19274" s="30" t="s">
        <v>51</v>
      </c>
      <c r="J19274" s="41">
        <v>45559</v>
      </c>
      <c r="K19274" s="30" t="s">
        <v>22</v>
      </c>
    </row>
    <row r="19275" spans="1:11">
      <c r="A19275" s="33" t="s">
        <v>42945</v>
      </c>
      <c r="B19275" s="33" t="s">
        <v>42946</v>
      </c>
      <c r="C19275" s="33" t="s">
        <v>387</v>
      </c>
      <c r="D19275" s="33" t="s">
        <v>17</v>
      </c>
      <c r="E19275" s="33" t="s">
        <v>26</v>
      </c>
      <c r="F19275" s="33" t="s">
        <v>27</v>
      </c>
      <c r="G19275" s="33" t="s">
        <v>20</v>
      </c>
      <c r="H19275" s="35">
        <v>24</v>
      </c>
      <c r="I19275" s="33" t="s">
        <v>21</v>
      </c>
      <c r="J19275" s="42">
        <v>45369</v>
      </c>
      <c r="K19275" s="33" t="s">
        <v>22</v>
      </c>
    </row>
    <row r="19276" spans="1:11">
      <c r="A19276" s="30" t="s">
        <v>42947</v>
      </c>
      <c r="B19276" s="30" t="s">
        <v>42948</v>
      </c>
      <c r="C19276" s="30" t="s">
        <v>24109</v>
      </c>
      <c r="D19276" s="30" t="s">
        <v>17</v>
      </c>
      <c r="E19276" s="30" t="s">
        <v>31</v>
      </c>
      <c r="F19276" s="30" t="s">
        <v>32</v>
      </c>
      <c r="G19276" s="30" t="s">
        <v>20</v>
      </c>
      <c r="H19276" s="32">
        <v>30</v>
      </c>
      <c r="I19276" s="30" t="s">
        <v>21</v>
      </c>
      <c r="J19276" s="41">
        <v>45518</v>
      </c>
      <c r="K19276" s="30" t="s">
        <v>22</v>
      </c>
    </row>
    <row r="19277" spans="1:11">
      <c r="A19277" s="33" t="s">
        <v>42949</v>
      </c>
      <c r="B19277" s="33" t="s">
        <v>42950</v>
      </c>
      <c r="C19277" s="33" t="s">
        <v>178</v>
      </c>
      <c r="D19277" s="33" t="s">
        <v>17</v>
      </c>
      <c r="E19277" s="33" t="s">
        <v>18</v>
      </c>
      <c r="F19277" s="33" t="s">
        <v>19</v>
      </c>
      <c r="G19277" s="33" t="s">
        <v>20</v>
      </c>
      <c r="H19277" s="35">
        <v>100</v>
      </c>
      <c r="I19277" s="33" t="s">
        <v>21</v>
      </c>
      <c r="J19277" s="42">
        <v>45592</v>
      </c>
      <c r="K19277" s="33" t="s">
        <v>22</v>
      </c>
    </row>
    <row r="19278" spans="1:11">
      <c r="A19278" s="30" t="s">
        <v>42951</v>
      </c>
      <c r="B19278" s="30" t="s">
        <v>42952</v>
      </c>
      <c r="C19278" s="30" t="s">
        <v>75</v>
      </c>
      <c r="D19278" s="30" t="s">
        <v>17</v>
      </c>
      <c r="E19278" s="30" t="s">
        <v>26</v>
      </c>
      <c r="F19278" s="30" t="s">
        <v>27</v>
      </c>
      <c r="G19278" s="30" t="s">
        <v>20</v>
      </c>
      <c r="H19278" s="32">
        <v>34</v>
      </c>
      <c r="I19278" s="30" t="s">
        <v>21</v>
      </c>
      <c r="J19278" s="41">
        <v>45301</v>
      </c>
      <c r="K19278" s="30" t="s">
        <v>22</v>
      </c>
    </row>
    <row r="19279" spans="1:11">
      <c r="A19279" s="33" t="s">
        <v>42953</v>
      </c>
      <c r="B19279" s="33" t="s">
        <v>42954</v>
      </c>
      <c r="C19279" s="33" t="s">
        <v>37681</v>
      </c>
      <c r="D19279" s="33" t="s">
        <v>17</v>
      </c>
      <c r="E19279" s="33" t="s">
        <v>31</v>
      </c>
      <c r="F19279" s="33" t="s">
        <v>32</v>
      </c>
      <c r="G19279" s="33" t="s">
        <v>140</v>
      </c>
      <c r="H19279" s="35">
        <v>33</v>
      </c>
      <c r="I19279" s="33" t="s">
        <v>51</v>
      </c>
      <c r="J19279" s="42">
        <v>45583</v>
      </c>
      <c r="K19279" s="33" t="s">
        <v>22</v>
      </c>
    </row>
    <row r="19280" spans="1:11">
      <c r="A19280" s="30" t="s">
        <v>42955</v>
      </c>
      <c r="B19280" s="30" t="s">
        <v>42956</v>
      </c>
      <c r="C19280" s="30" t="s">
        <v>1422</v>
      </c>
      <c r="D19280" s="30" t="s">
        <v>17</v>
      </c>
      <c r="E19280" s="30" t="s">
        <v>18</v>
      </c>
      <c r="F19280" s="30" t="s">
        <v>19</v>
      </c>
      <c r="G19280" s="30" t="s">
        <v>20</v>
      </c>
      <c r="H19280" s="32">
        <v>1200</v>
      </c>
      <c r="I19280" s="30" t="s">
        <v>21</v>
      </c>
      <c r="J19280" s="41">
        <v>45471</v>
      </c>
      <c r="K19280" s="30" t="s">
        <v>22</v>
      </c>
    </row>
    <row r="19281" spans="1:11">
      <c r="A19281" s="33" t="s">
        <v>42957</v>
      </c>
      <c r="B19281" s="33" t="s">
        <v>42958</v>
      </c>
      <c r="C19281" s="33" t="s">
        <v>42959</v>
      </c>
      <c r="D19281" s="33" t="s">
        <v>17</v>
      </c>
      <c r="E19281" s="33" t="s">
        <v>212</v>
      </c>
      <c r="F19281" s="33" t="s">
        <v>213</v>
      </c>
      <c r="G19281" s="33" t="s">
        <v>50</v>
      </c>
      <c r="H19281" s="35">
        <v>130</v>
      </c>
      <c r="I19281" s="33" t="s">
        <v>51</v>
      </c>
      <c r="J19281" s="42">
        <v>45317</v>
      </c>
      <c r="K19281" s="33" t="s">
        <v>22</v>
      </c>
    </row>
    <row r="19282" spans="1:11">
      <c r="A19282" s="30" t="s">
        <v>42960</v>
      </c>
      <c r="B19282" s="30" t="s">
        <v>42961</v>
      </c>
      <c r="C19282" s="30" t="s">
        <v>187</v>
      </c>
      <c r="D19282" s="30" t="s">
        <v>17</v>
      </c>
      <c r="E19282" s="30" t="s">
        <v>31</v>
      </c>
      <c r="F19282" s="30" t="s">
        <v>32</v>
      </c>
      <c r="G19282" s="30" t="s">
        <v>140</v>
      </c>
      <c r="H19282" s="32">
        <v>80</v>
      </c>
      <c r="I19282" s="30" t="s">
        <v>51</v>
      </c>
      <c r="J19282" s="41">
        <v>45602</v>
      </c>
      <c r="K19282" s="30" t="s">
        <v>22</v>
      </c>
    </row>
    <row r="19283" spans="1:11">
      <c r="A19283" s="33" t="s">
        <v>42962</v>
      </c>
      <c r="B19283" s="33" t="s">
        <v>42963</v>
      </c>
      <c r="C19283" s="33" t="s">
        <v>42964</v>
      </c>
      <c r="D19283" s="33" t="s">
        <v>17</v>
      </c>
      <c r="E19283" s="33" t="s">
        <v>26</v>
      </c>
      <c r="F19283" s="33" t="s">
        <v>27</v>
      </c>
      <c r="G19283" s="33" t="s">
        <v>20</v>
      </c>
      <c r="H19283" s="35">
        <v>29</v>
      </c>
      <c r="I19283" s="33" t="s">
        <v>21</v>
      </c>
      <c r="J19283" s="42">
        <v>45562</v>
      </c>
      <c r="K19283" s="33" t="s">
        <v>22</v>
      </c>
    </row>
    <row r="19284" spans="1:11">
      <c r="A19284" s="30" t="s">
        <v>42965</v>
      </c>
      <c r="B19284" s="30" t="s">
        <v>42966</v>
      </c>
      <c r="C19284" s="30" t="s">
        <v>30271</v>
      </c>
      <c r="D19284" s="30" t="s">
        <v>17</v>
      </c>
      <c r="E19284" s="30" t="s">
        <v>330</v>
      </c>
      <c r="F19284" s="30" t="s">
        <v>331</v>
      </c>
      <c r="G19284" s="30" t="s">
        <v>7780</v>
      </c>
      <c r="H19284" s="32">
        <v>15</v>
      </c>
      <c r="I19284" s="30" t="s">
        <v>51</v>
      </c>
      <c r="J19284" s="41">
        <v>45626</v>
      </c>
      <c r="K19284" s="30" t="s">
        <v>22</v>
      </c>
    </row>
    <row r="19285" spans="1:11">
      <c r="A19285" s="33" t="s">
        <v>42967</v>
      </c>
      <c r="B19285" s="33" t="s">
        <v>42968</v>
      </c>
      <c r="C19285" s="33" t="s">
        <v>326</v>
      </c>
      <c r="D19285" s="33" t="s">
        <v>17</v>
      </c>
      <c r="E19285" s="33" t="s">
        <v>26</v>
      </c>
      <c r="F19285" s="33" t="s">
        <v>27</v>
      </c>
      <c r="G19285" s="33" t="s">
        <v>158</v>
      </c>
      <c r="H19285" s="35">
        <v>12</v>
      </c>
      <c r="I19285" s="33" t="s">
        <v>51</v>
      </c>
      <c r="J19285" s="42">
        <v>45457</v>
      </c>
      <c r="K19285" s="33" t="s">
        <v>22</v>
      </c>
    </row>
    <row r="19286" spans="1:11">
      <c r="A19286" s="30" t="s">
        <v>42969</v>
      </c>
      <c r="B19286" s="30" t="s">
        <v>42970</v>
      </c>
      <c r="C19286" s="30" t="s">
        <v>990</v>
      </c>
      <c r="D19286" s="30" t="s">
        <v>17</v>
      </c>
      <c r="E19286" s="30" t="s">
        <v>26</v>
      </c>
      <c r="F19286" s="30" t="s">
        <v>27</v>
      </c>
      <c r="G19286" s="30" t="s">
        <v>158</v>
      </c>
      <c r="H19286" s="32">
        <v>38</v>
      </c>
      <c r="I19286" s="30" t="s">
        <v>21</v>
      </c>
      <c r="J19286" s="41">
        <v>45607</v>
      </c>
      <c r="K19286" s="30" t="s">
        <v>22</v>
      </c>
    </row>
    <row r="19287" spans="1:11">
      <c r="A19287" s="33" t="s">
        <v>42971</v>
      </c>
      <c r="B19287" s="33" t="s">
        <v>42972</v>
      </c>
      <c r="C19287" s="33" t="s">
        <v>18714</v>
      </c>
      <c r="D19287" s="33" t="s">
        <v>17</v>
      </c>
      <c r="E19287" s="33" t="s">
        <v>26</v>
      </c>
      <c r="F19287" s="33" t="s">
        <v>27</v>
      </c>
      <c r="G19287" s="33" t="s">
        <v>50</v>
      </c>
      <c r="H19287" s="35">
        <v>12</v>
      </c>
      <c r="I19287" s="33" t="s">
        <v>51</v>
      </c>
      <c r="J19287" s="42">
        <v>45292</v>
      </c>
      <c r="K19287" s="33" t="s">
        <v>22</v>
      </c>
    </row>
    <row r="19288" spans="1:11">
      <c r="A19288" s="30" t="s">
        <v>42973</v>
      </c>
      <c r="B19288" s="30" t="s">
        <v>42974</v>
      </c>
      <c r="C19288" s="30" t="s">
        <v>684</v>
      </c>
      <c r="D19288" s="30" t="s">
        <v>17</v>
      </c>
      <c r="E19288" s="30" t="s">
        <v>18</v>
      </c>
      <c r="F19288" s="30" t="s">
        <v>19</v>
      </c>
      <c r="G19288" s="30" t="s">
        <v>112</v>
      </c>
      <c r="H19288" s="32">
        <v>0</v>
      </c>
      <c r="I19288" s="30" t="s">
        <v>21</v>
      </c>
      <c r="J19288" s="41">
        <v>45415</v>
      </c>
      <c r="K19288" s="30" t="s">
        <v>22</v>
      </c>
    </row>
    <row r="19289" spans="1:11">
      <c r="A19289" s="33" t="s">
        <v>42975</v>
      </c>
      <c r="B19289" s="33" t="s">
        <v>42976</v>
      </c>
      <c r="C19289" s="33" t="s">
        <v>27299</v>
      </c>
      <c r="D19289" s="33" t="s">
        <v>17</v>
      </c>
      <c r="E19289" s="33" t="s">
        <v>18</v>
      </c>
      <c r="F19289" s="33" t="s">
        <v>19</v>
      </c>
      <c r="G19289" s="33" t="s">
        <v>158</v>
      </c>
      <c r="H19289" s="35">
        <v>140</v>
      </c>
      <c r="I19289" s="33" t="s">
        <v>21</v>
      </c>
      <c r="J19289" s="42">
        <v>45461</v>
      </c>
      <c r="K19289" s="33" t="s">
        <v>22</v>
      </c>
    </row>
    <row r="19290" spans="1:11">
      <c r="A19290" s="30" t="s">
        <v>42977</v>
      </c>
      <c r="B19290" s="30" t="s">
        <v>42978</v>
      </c>
      <c r="C19290" s="30" t="s">
        <v>25561</v>
      </c>
      <c r="D19290" s="30" t="s">
        <v>17</v>
      </c>
      <c r="E19290" s="30" t="s">
        <v>26</v>
      </c>
      <c r="F19290" s="30" t="s">
        <v>27</v>
      </c>
      <c r="G19290" s="30" t="s">
        <v>20</v>
      </c>
      <c r="H19290" s="32">
        <v>300</v>
      </c>
      <c r="I19290" s="30" t="s">
        <v>21</v>
      </c>
      <c r="J19290" s="41">
        <v>45477</v>
      </c>
      <c r="K19290" s="30" t="s">
        <v>22</v>
      </c>
    </row>
    <row r="19291" spans="1:11">
      <c r="A19291" s="33" t="s">
        <v>42979</v>
      </c>
      <c r="B19291" s="33" t="s">
        <v>42980</v>
      </c>
      <c r="C19291" s="33" t="s">
        <v>130</v>
      </c>
      <c r="D19291" s="33" t="s">
        <v>17</v>
      </c>
      <c r="E19291" s="33" t="s">
        <v>26</v>
      </c>
      <c r="F19291" s="33" t="s">
        <v>27</v>
      </c>
      <c r="G19291" s="33" t="s">
        <v>20</v>
      </c>
      <c r="H19291" s="35">
        <v>168</v>
      </c>
      <c r="I19291" s="33" t="s">
        <v>21</v>
      </c>
      <c r="J19291" s="42">
        <v>45560</v>
      </c>
      <c r="K19291" s="33" t="s">
        <v>22</v>
      </c>
    </row>
    <row r="19292" spans="1:11">
      <c r="A19292" s="30" t="s">
        <v>42981</v>
      </c>
      <c r="B19292" s="30" t="s">
        <v>42982</v>
      </c>
      <c r="C19292" s="30" t="s">
        <v>190</v>
      </c>
      <c r="D19292" s="30" t="s">
        <v>17</v>
      </c>
      <c r="E19292" s="30" t="s">
        <v>26</v>
      </c>
      <c r="F19292" s="30" t="s">
        <v>27</v>
      </c>
      <c r="G19292" s="30" t="s">
        <v>20</v>
      </c>
      <c r="H19292" s="32">
        <v>30</v>
      </c>
      <c r="I19292" s="30" t="s">
        <v>21</v>
      </c>
      <c r="J19292" s="41">
        <v>45414</v>
      </c>
      <c r="K19292" s="30" t="s">
        <v>22</v>
      </c>
    </row>
    <row r="19293" spans="1:11">
      <c r="A19293" s="33" t="s">
        <v>42983</v>
      </c>
      <c r="B19293" s="33" t="s">
        <v>42984</v>
      </c>
      <c r="C19293" s="33" t="s">
        <v>2562</v>
      </c>
      <c r="D19293" s="33" t="s">
        <v>17</v>
      </c>
      <c r="E19293" s="33" t="s">
        <v>26</v>
      </c>
      <c r="F19293" s="33" t="s">
        <v>27</v>
      </c>
      <c r="G19293" s="33" t="s">
        <v>50</v>
      </c>
      <c r="H19293" s="35">
        <v>56</v>
      </c>
      <c r="I19293" s="33" t="s">
        <v>51</v>
      </c>
      <c r="J19293" s="42">
        <v>45440</v>
      </c>
      <c r="K19293" s="33" t="s">
        <v>22</v>
      </c>
    </row>
    <row r="19294" spans="1:11">
      <c r="A19294" s="30" t="s">
        <v>42985</v>
      </c>
      <c r="B19294" s="30" t="s">
        <v>42986</v>
      </c>
      <c r="C19294" s="30" t="s">
        <v>60</v>
      </c>
      <c r="D19294" s="30" t="s">
        <v>17</v>
      </c>
      <c r="E19294" s="30" t="s">
        <v>18</v>
      </c>
      <c r="F19294" s="30" t="s">
        <v>19</v>
      </c>
      <c r="G19294" s="30" t="s">
        <v>158</v>
      </c>
      <c r="H19294" s="32">
        <v>455</v>
      </c>
      <c r="I19294" s="30" t="s">
        <v>21</v>
      </c>
      <c r="J19294" s="41">
        <v>45644</v>
      </c>
      <c r="K19294" s="30" t="s">
        <v>22</v>
      </c>
    </row>
    <row r="19295" spans="1:11">
      <c r="A19295" s="33" t="s">
        <v>42987</v>
      </c>
      <c r="B19295" s="33" t="s">
        <v>42988</v>
      </c>
      <c r="C19295" s="33" t="s">
        <v>42989</v>
      </c>
      <c r="D19295" s="33" t="s">
        <v>17</v>
      </c>
      <c r="E19295" s="33" t="s">
        <v>26</v>
      </c>
      <c r="F19295" s="33" t="s">
        <v>27</v>
      </c>
      <c r="G19295" s="33" t="s">
        <v>20</v>
      </c>
      <c r="H19295" s="35">
        <v>176</v>
      </c>
      <c r="I19295" s="33" t="s">
        <v>21</v>
      </c>
      <c r="J19295" s="42">
        <v>45621</v>
      </c>
      <c r="K19295" s="33" t="s">
        <v>22</v>
      </c>
    </row>
    <row r="19296" spans="1:11">
      <c r="A19296" s="30" t="s">
        <v>42990</v>
      </c>
      <c r="B19296" s="30" t="s">
        <v>42991</v>
      </c>
      <c r="C19296" s="30" t="s">
        <v>8066</v>
      </c>
      <c r="D19296" s="30" t="s">
        <v>17</v>
      </c>
      <c r="E19296" s="30" t="s">
        <v>212</v>
      </c>
      <c r="F19296" s="30" t="s">
        <v>213</v>
      </c>
      <c r="G19296" s="30" t="s">
        <v>140</v>
      </c>
      <c r="H19296" s="32">
        <v>60</v>
      </c>
      <c r="I19296" s="30" t="s">
        <v>51</v>
      </c>
      <c r="J19296" s="41">
        <v>45643</v>
      </c>
      <c r="K19296" s="30" t="s">
        <v>22</v>
      </c>
    </row>
    <row r="19297" spans="1:11">
      <c r="A19297" s="33" t="s">
        <v>42992</v>
      </c>
      <c r="B19297" s="33" t="s">
        <v>42993</v>
      </c>
      <c r="C19297" s="33" t="s">
        <v>42994</v>
      </c>
      <c r="D19297" s="33" t="s">
        <v>17</v>
      </c>
      <c r="E19297" s="33" t="s">
        <v>67</v>
      </c>
      <c r="F19297" s="33" t="s">
        <v>68</v>
      </c>
      <c r="G19297" s="33" t="s">
        <v>20</v>
      </c>
      <c r="H19297" s="35">
        <v>10</v>
      </c>
      <c r="I19297" s="33" t="s">
        <v>21</v>
      </c>
      <c r="J19297" s="42">
        <v>45579</v>
      </c>
      <c r="K19297" s="33" t="s">
        <v>22</v>
      </c>
    </row>
    <row r="19298" spans="1:11">
      <c r="A19298" s="30" t="s">
        <v>42995</v>
      </c>
      <c r="B19298" s="30" t="s">
        <v>42996</v>
      </c>
      <c r="C19298" s="30" t="s">
        <v>6470</v>
      </c>
      <c r="D19298" s="30" t="s">
        <v>17</v>
      </c>
      <c r="E19298" s="30" t="s">
        <v>18</v>
      </c>
      <c r="F19298" s="30" t="s">
        <v>19</v>
      </c>
      <c r="G19298" s="30" t="s">
        <v>20</v>
      </c>
      <c r="H19298" s="32">
        <v>173</v>
      </c>
      <c r="I19298" s="30" t="s">
        <v>21</v>
      </c>
      <c r="J19298" s="41">
        <v>45593</v>
      </c>
      <c r="K19298" s="30" t="s">
        <v>22</v>
      </c>
    </row>
    <row r="19299" spans="1:11">
      <c r="A19299" s="33" t="s">
        <v>42997</v>
      </c>
      <c r="B19299" s="33" t="s">
        <v>42998</v>
      </c>
      <c r="C19299" s="33" t="s">
        <v>102</v>
      </c>
      <c r="D19299" s="33" t="s">
        <v>17</v>
      </c>
      <c r="E19299" s="33" t="s">
        <v>26</v>
      </c>
      <c r="F19299" s="33" t="s">
        <v>27</v>
      </c>
      <c r="G19299" s="33" t="s">
        <v>2613</v>
      </c>
      <c r="H19299" s="35">
        <v>120</v>
      </c>
      <c r="I19299" s="33" t="s">
        <v>51</v>
      </c>
      <c r="J19299" s="42">
        <v>45656</v>
      </c>
      <c r="K19299" s="33" t="s">
        <v>22</v>
      </c>
    </row>
    <row r="19300" spans="1:11">
      <c r="A19300" s="30" t="s">
        <v>42999</v>
      </c>
      <c r="B19300" s="30" t="s">
        <v>43000</v>
      </c>
      <c r="C19300" s="30" t="s">
        <v>16043</v>
      </c>
      <c r="D19300" s="30" t="s">
        <v>17</v>
      </c>
      <c r="E19300" s="30" t="s">
        <v>18</v>
      </c>
      <c r="F19300" s="30" t="s">
        <v>19</v>
      </c>
      <c r="G19300" s="30" t="s">
        <v>140</v>
      </c>
      <c r="H19300" s="32">
        <v>2150</v>
      </c>
      <c r="I19300" s="30" t="s">
        <v>51</v>
      </c>
      <c r="J19300" s="41">
        <v>45539</v>
      </c>
      <c r="K19300" s="30" t="s">
        <v>22</v>
      </c>
    </row>
    <row r="19301" spans="1:11">
      <c r="A19301" s="33" t="s">
        <v>43001</v>
      </c>
      <c r="B19301" s="33" t="s">
        <v>43002</v>
      </c>
      <c r="C19301" s="33" t="s">
        <v>190</v>
      </c>
      <c r="D19301" s="33" t="s">
        <v>17</v>
      </c>
      <c r="E19301" s="33" t="s">
        <v>18</v>
      </c>
      <c r="F19301" s="33" t="s">
        <v>19</v>
      </c>
      <c r="G19301" s="33" t="s">
        <v>112</v>
      </c>
      <c r="H19301" s="35">
        <v>0</v>
      </c>
      <c r="I19301" s="33" t="s">
        <v>21</v>
      </c>
      <c r="J19301" s="42">
        <v>45506</v>
      </c>
      <c r="K19301" s="33" t="s">
        <v>22</v>
      </c>
    </row>
    <row r="19302" spans="1:11">
      <c r="A19302" s="30" t="s">
        <v>43003</v>
      </c>
      <c r="B19302" s="30" t="s">
        <v>43004</v>
      </c>
      <c r="C19302" s="30" t="s">
        <v>318</v>
      </c>
      <c r="D19302" s="30" t="s">
        <v>17</v>
      </c>
      <c r="E19302" s="30" t="s">
        <v>18</v>
      </c>
      <c r="F19302" s="30" t="s">
        <v>19</v>
      </c>
      <c r="G19302" s="30" t="s">
        <v>158</v>
      </c>
      <c r="H19302" s="32">
        <v>434</v>
      </c>
      <c r="I19302" s="30" t="s">
        <v>21</v>
      </c>
      <c r="J19302" s="41">
        <v>45390</v>
      </c>
      <c r="K19302" s="30" t="s">
        <v>22</v>
      </c>
    </row>
    <row r="19303" spans="1:11">
      <c r="A19303" s="33" t="s">
        <v>43005</v>
      </c>
      <c r="B19303" s="33" t="s">
        <v>43006</v>
      </c>
      <c r="C19303" s="33" t="s">
        <v>38754</v>
      </c>
      <c r="D19303" s="33" t="s">
        <v>17</v>
      </c>
      <c r="E19303" s="33" t="s">
        <v>18</v>
      </c>
      <c r="F19303" s="33" t="s">
        <v>19</v>
      </c>
      <c r="G19303" s="33" t="s">
        <v>20</v>
      </c>
      <c r="H19303" s="35">
        <v>81</v>
      </c>
      <c r="I19303" s="33" t="s">
        <v>21</v>
      </c>
      <c r="J19303" s="42">
        <v>45580</v>
      </c>
      <c r="K19303" s="33" t="s">
        <v>22</v>
      </c>
    </row>
    <row r="19304" spans="1:11">
      <c r="A19304" s="30" t="s">
        <v>43007</v>
      </c>
      <c r="B19304" s="30" t="s">
        <v>43008</v>
      </c>
      <c r="C19304" s="30" t="s">
        <v>10459</v>
      </c>
      <c r="D19304" s="30" t="s">
        <v>17</v>
      </c>
      <c r="E19304" s="30" t="s">
        <v>31</v>
      </c>
      <c r="F19304" s="30" t="s">
        <v>32</v>
      </c>
      <c r="G19304" s="30" t="s">
        <v>140</v>
      </c>
      <c r="H19304" s="32">
        <v>98</v>
      </c>
      <c r="I19304" s="30" t="s">
        <v>51</v>
      </c>
      <c r="J19304" s="41">
        <v>45646</v>
      </c>
      <c r="K19304" s="30" t="s">
        <v>22</v>
      </c>
    </row>
    <row r="19305" spans="1:11">
      <c r="A19305" s="33" t="s">
        <v>43009</v>
      </c>
      <c r="B19305" s="33" t="s">
        <v>43010</v>
      </c>
      <c r="C19305" s="33" t="s">
        <v>549</v>
      </c>
      <c r="D19305" s="33" t="s">
        <v>17</v>
      </c>
      <c r="E19305" s="33" t="s">
        <v>18</v>
      </c>
      <c r="F19305" s="33" t="s">
        <v>19</v>
      </c>
      <c r="G19305" s="33" t="s">
        <v>158</v>
      </c>
      <c r="H19305" s="35">
        <v>89</v>
      </c>
      <c r="I19305" s="33" t="s">
        <v>21</v>
      </c>
      <c r="J19305" s="42">
        <v>45502</v>
      </c>
      <c r="K19305" s="33" t="s">
        <v>22</v>
      </c>
    </row>
    <row r="19306" spans="1:11">
      <c r="A19306" s="30" t="s">
        <v>43011</v>
      </c>
      <c r="B19306" s="30" t="s">
        <v>43012</v>
      </c>
      <c r="C19306" s="30" t="s">
        <v>14816</v>
      </c>
      <c r="D19306" s="30" t="s">
        <v>17</v>
      </c>
      <c r="E19306" s="30" t="s">
        <v>26</v>
      </c>
      <c r="F19306" s="30" t="s">
        <v>27</v>
      </c>
      <c r="G19306" s="30" t="s">
        <v>140</v>
      </c>
      <c r="H19306" s="32">
        <v>233</v>
      </c>
      <c r="I19306" s="30" t="s">
        <v>51</v>
      </c>
      <c r="J19306" s="41">
        <v>45449</v>
      </c>
      <c r="K19306" s="30" t="s">
        <v>22</v>
      </c>
    </row>
    <row r="19307" spans="1:11">
      <c r="A19307" s="33" t="s">
        <v>43013</v>
      </c>
      <c r="B19307" s="33" t="s">
        <v>43014</v>
      </c>
      <c r="C19307" s="33" t="s">
        <v>1431</v>
      </c>
      <c r="D19307" s="33" t="s">
        <v>17</v>
      </c>
      <c r="E19307" s="33" t="s">
        <v>31</v>
      </c>
      <c r="F19307" s="33" t="s">
        <v>32</v>
      </c>
      <c r="G19307" s="33" t="s">
        <v>140</v>
      </c>
      <c r="H19307" s="35">
        <v>240</v>
      </c>
      <c r="I19307" s="33" t="s">
        <v>51</v>
      </c>
      <c r="J19307" s="42">
        <v>45545</v>
      </c>
      <c r="K19307" s="33" t="s">
        <v>22</v>
      </c>
    </row>
    <row r="19308" spans="1:11">
      <c r="A19308" s="30" t="s">
        <v>43015</v>
      </c>
      <c r="B19308" s="30" t="s">
        <v>43016</v>
      </c>
      <c r="C19308" s="30" t="s">
        <v>43017</v>
      </c>
      <c r="D19308" s="30" t="s">
        <v>17</v>
      </c>
      <c r="E19308" s="30" t="s">
        <v>67</v>
      </c>
      <c r="F19308" s="30" t="s">
        <v>68</v>
      </c>
      <c r="G19308" s="30" t="s">
        <v>158</v>
      </c>
      <c r="H19308" s="32">
        <v>80</v>
      </c>
      <c r="I19308" s="30" t="s">
        <v>21</v>
      </c>
      <c r="J19308" s="41">
        <v>45413</v>
      </c>
      <c r="K19308" s="30" t="s">
        <v>22</v>
      </c>
    </row>
    <row r="19309" spans="1:11">
      <c r="A19309" s="33" t="s">
        <v>43018</v>
      </c>
      <c r="B19309" s="33" t="s">
        <v>43019</v>
      </c>
      <c r="C19309" s="33" t="s">
        <v>2514</v>
      </c>
      <c r="D19309" s="33" t="s">
        <v>17</v>
      </c>
      <c r="E19309" s="33" t="s">
        <v>26</v>
      </c>
      <c r="F19309" s="33" t="s">
        <v>27</v>
      </c>
      <c r="G19309" s="33" t="s">
        <v>106</v>
      </c>
      <c r="H19309" s="35">
        <v>5</v>
      </c>
      <c r="I19309" s="33" t="s">
        <v>21</v>
      </c>
      <c r="J19309" s="42">
        <v>45505</v>
      </c>
      <c r="K19309" s="33" t="s">
        <v>22</v>
      </c>
    </row>
    <row r="19310" spans="1:11">
      <c r="A19310" s="30" t="s">
        <v>43020</v>
      </c>
      <c r="B19310" s="30" t="s">
        <v>43021</v>
      </c>
      <c r="C19310" s="30" t="s">
        <v>118</v>
      </c>
      <c r="D19310" s="30" t="s">
        <v>17</v>
      </c>
      <c r="E19310" s="30" t="s">
        <v>26</v>
      </c>
      <c r="F19310" s="30" t="s">
        <v>27</v>
      </c>
      <c r="G19310" s="30" t="s">
        <v>20</v>
      </c>
      <c r="H19310" s="32">
        <v>75</v>
      </c>
      <c r="I19310" s="30" t="s">
        <v>21</v>
      </c>
      <c r="J19310" s="41">
        <v>45520</v>
      </c>
      <c r="K19310" s="30" t="s">
        <v>22</v>
      </c>
    </row>
    <row r="19311" spans="1:11">
      <c r="A19311" s="33" t="s">
        <v>43022</v>
      </c>
      <c r="B19311" s="33" t="s">
        <v>43023</v>
      </c>
      <c r="C19311" s="33" t="s">
        <v>443</v>
      </c>
      <c r="D19311" s="33" t="s">
        <v>17</v>
      </c>
      <c r="E19311" s="33" t="s">
        <v>212</v>
      </c>
      <c r="F19311" s="33" t="s">
        <v>213</v>
      </c>
      <c r="G19311" s="33" t="s">
        <v>20</v>
      </c>
      <c r="H19311" s="35">
        <v>889</v>
      </c>
      <c r="I19311" s="33" t="s">
        <v>21</v>
      </c>
      <c r="J19311" s="42">
        <v>45512</v>
      </c>
      <c r="K19311" s="33" t="s">
        <v>22</v>
      </c>
    </row>
    <row r="19312" spans="1:11">
      <c r="A19312" s="30" t="s">
        <v>43024</v>
      </c>
      <c r="B19312" s="30" t="s">
        <v>43025</v>
      </c>
      <c r="C19312" s="30" t="s">
        <v>925</v>
      </c>
      <c r="D19312" s="30" t="s">
        <v>17</v>
      </c>
      <c r="E19312" s="30" t="s">
        <v>26</v>
      </c>
      <c r="F19312" s="30" t="s">
        <v>27</v>
      </c>
      <c r="G19312" s="30" t="s">
        <v>140</v>
      </c>
      <c r="H19312" s="32">
        <v>278</v>
      </c>
      <c r="I19312" s="30" t="s">
        <v>51</v>
      </c>
      <c r="J19312" s="41">
        <v>45300</v>
      </c>
      <c r="K19312" s="30" t="s">
        <v>22</v>
      </c>
    </row>
    <row r="19313" spans="1:11">
      <c r="A19313" s="33" t="s">
        <v>43026</v>
      </c>
      <c r="B19313" s="33" t="s">
        <v>43027</v>
      </c>
      <c r="C19313" s="33" t="s">
        <v>136</v>
      </c>
      <c r="D19313" s="33" t="s">
        <v>17</v>
      </c>
      <c r="E19313" s="33" t="s">
        <v>26</v>
      </c>
      <c r="F19313" s="33" t="s">
        <v>27</v>
      </c>
      <c r="G19313" s="33" t="s">
        <v>20</v>
      </c>
      <c r="H19313" s="35">
        <v>27</v>
      </c>
      <c r="I19313" s="33" t="s">
        <v>21</v>
      </c>
      <c r="J19313" s="42">
        <v>45632</v>
      </c>
      <c r="K19313" s="33" t="s">
        <v>22</v>
      </c>
    </row>
    <row r="19314" spans="1:11">
      <c r="A19314" s="30" t="s">
        <v>43028</v>
      </c>
      <c r="B19314" s="30" t="s">
        <v>43029</v>
      </c>
      <c r="C19314" s="30" t="s">
        <v>17431</v>
      </c>
      <c r="D19314" s="30" t="s">
        <v>17</v>
      </c>
      <c r="E19314" s="30" t="s">
        <v>18</v>
      </c>
      <c r="F19314" s="30" t="s">
        <v>19</v>
      </c>
      <c r="G19314" s="30" t="s">
        <v>158</v>
      </c>
      <c r="H19314" s="32">
        <v>270</v>
      </c>
      <c r="I19314" s="30" t="s">
        <v>21</v>
      </c>
      <c r="J19314" s="41">
        <v>45483</v>
      </c>
      <c r="K19314" s="30" t="s">
        <v>22</v>
      </c>
    </row>
    <row r="19315" spans="1:11">
      <c r="A19315" s="33" t="s">
        <v>43030</v>
      </c>
      <c r="B19315" s="33" t="s">
        <v>43031</v>
      </c>
      <c r="C19315" s="33" t="s">
        <v>3296</v>
      </c>
      <c r="D19315" s="33" t="s">
        <v>17</v>
      </c>
      <c r="E19315" s="33" t="s">
        <v>18</v>
      </c>
      <c r="F19315" s="33" t="s">
        <v>19</v>
      </c>
      <c r="G19315" s="33" t="s">
        <v>158</v>
      </c>
      <c r="H19315" s="35">
        <v>174</v>
      </c>
      <c r="I19315" s="33" t="s">
        <v>21</v>
      </c>
      <c r="J19315" s="42">
        <v>45383</v>
      </c>
      <c r="K19315" s="33" t="s">
        <v>22</v>
      </c>
    </row>
    <row r="19316" spans="1:11">
      <c r="A19316" s="30" t="s">
        <v>43032</v>
      </c>
      <c r="B19316" s="30" t="s">
        <v>43033</v>
      </c>
      <c r="C19316" s="30" t="s">
        <v>3489</v>
      </c>
      <c r="D19316" s="30" t="s">
        <v>17</v>
      </c>
      <c r="E19316" s="30" t="s">
        <v>31</v>
      </c>
      <c r="F19316" s="30" t="s">
        <v>32</v>
      </c>
      <c r="G19316" s="30" t="s">
        <v>140</v>
      </c>
      <c r="H19316" s="32">
        <v>100</v>
      </c>
      <c r="I19316" s="30" t="s">
        <v>51</v>
      </c>
      <c r="J19316" s="41">
        <v>45586</v>
      </c>
      <c r="K19316" s="30" t="s">
        <v>22</v>
      </c>
    </row>
    <row r="19317" spans="1:11">
      <c r="A19317" s="33" t="s">
        <v>43034</v>
      </c>
      <c r="B19317" s="33" t="s">
        <v>43035</v>
      </c>
      <c r="C19317" s="33" t="s">
        <v>43036</v>
      </c>
      <c r="D19317" s="33" t="s">
        <v>17</v>
      </c>
      <c r="E19317" s="33" t="s">
        <v>31</v>
      </c>
      <c r="F19317" s="33" t="s">
        <v>32</v>
      </c>
      <c r="G19317" s="33" t="s">
        <v>20</v>
      </c>
      <c r="H19317" s="35">
        <v>40</v>
      </c>
      <c r="I19317" s="33" t="s">
        <v>21</v>
      </c>
      <c r="J19317" s="42">
        <v>45561</v>
      </c>
      <c r="K19317" s="33" t="s">
        <v>22</v>
      </c>
    </row>
    <row r="19318" spans="1:11">
      <c r="A19318" s="30" t="s">
        <v>43037</v>
      </c>
      <c r="B19318" s="30" t="s">
        <v>43038</v>
      </c>
      <c r="C19318" s="30" t="s">
        <v>2842</v>
      </c>
      <c r="D19318" s="30" t="s">
        <v>17</v>
      </c>
      <c r="E19318" s="30" t="s">
        <v>31</v>
      </c>
      <c r="F19318" s="30" t="s">
        <v>32</v>
      </c>
      <c r="G19318" s="30" t="s">
        <v>140</v>
      </c>
      <c r="H19318" s="32">
        <v>370</v>
      </c>
      <c r="I19318" s="30" t="s">
        <v>51</v>
      </c>
      <c r="J19318" s="41">
        <v>45519</v>
      </c>
      <c r="K19318" s="30" t="s">
        <v>22</v>
      </c>
    </row>
    <row r="19319" spans="1:11">
      <c r="A19319" s="33" t="s">
        <v>43039</v>
      </c>
      <c r="B19319" s="33" t="s">
        <v>43040</v>
      </c>
      <c r="C19319" s="33" t="s">
        <v>43041</v>
      </c>
      <c r="D19319" s="33" t="s">
        <v>17</v>
      </c>
      <c r="E19319" s="33" t="s">
        <v>31</v>
      </c>
      <c r="F19319" s="33" t="s">
        <v>32</v>
      </c>
      <c r="G19319" s="33" t="s">
        <v>158</v>
      </c>
      <c r="H19319" s="35">
        <v>38</v>
      </c>
      <c r="I19319" s="33" t="s">
        <v>21</v>
      </c>
      <c r="J19319" s="42">
        <v>45589</v>
      </c>
      <c r="K19319" s="33" t="s">
        <v>22</v>
      </c>
    </row>
    <row r="19320" spans="1:11">
      <c r="A19320" s="30" t="s">
        <v>43042</v>
      </c>
      <c r="B19320" s="30" t="s">
        <v>43043</v>
      </c>
      <c r="C19320" s="30" t="s">
        <v>32359</v>
      </c>
      <c r="D19320" s="30" t="s">
        <v>17</v>
      </c>
      <c r="E19320" s="30" t="s">
        <v>31</v>
      </c>
      <c r="F19320" s="30" t="s">
        <v>32</v>
      </c>
      <c r="G19320" s="30" t="s">
        <v>20</v>
      </c>
      <c r="H19320" s="32">
        <v>35</v>
      </c>
      <c r="I19320" s="30" t="s">
        <v>21</v>
      </c>
      <c r="J19320" s="41">
        <v>45462</v>
      </c>
      <c r="K19320" s="30" t="s">
        <v>22</v>
      </c>
    </row>
    <row r="19321" spans="1:11">
      <c r="A19321" s="33" t="s">
        <v>43044</v>
      </c>
      <c r="B19321" s="33" t="s">
        <v>43045</v>
      </c>
      <c r="C19321" s="33" t="s">
        <v>4260</v>
      </c>
      <c r="D19321" s="33" t="s">
        <v>17</v>
      </c>
      <c r="E19321" s="33" t="s">
        <v>18</v>
      </c>
      <c r="F19321" s="33" t="s">
        <v>19</v>
      </c>
      <c r="G19321" s="33" t="s">
        <v>140</v>
      </c>
      <c r="H19321" s="35">
        <v>177</v>
      </c>
      <c r="I19321" s="33" t="s">
        <v>51</v>
      </c>
      <c r="J19321" s="42">
        <v>45432</v>
      </c>
      <c r="K19321" s="33" t="s">
        <v>22</v>
      </c>
    </row>
    <row r="19322" spans="1:11">
      <c r="A19322" s="30" t="s">
        <v>43046</v>
      </c>
      <c r="B19322" s="30" t="s">
        <v>43047</v>
      </c>
      <c r="C19322" s="30" t="s">
        <v>43048</v>
      </c>
      <c r="D19322" s="30" t="s">
        <v>17</v>
      </c>
      <c r="E19322" s="30" t="s">
        <v>18</v>
      </c>
      <c r="F19322" s="30" t="s">
        <v>19</v>
      </c>
      <c r="G19322" s="30" t="s">
        <v>20</v>
      </c>
      <c r="H19322" s="32">
        <v>180</v>
      </c>
      <c r="I19322" s="30" t="s">
        <v>21</v>
      </c>
      <c r="J19322" s="41">
        <v>45356</v>
      </c>
      <c r="K19322" s="30" t="s">
        <v>22</v>
      </c>
    </row>
    <row r="19323" spans="1:11">
      <c r="A19323" s="33" t="s">
        <v>43049</v>
      </c>
      <c r="B19323" s="33" t="s">
        <v>43050</v>
      </c>
      <c r="C19323" s="33" t="s">
        <v>190</v>
      </c>
      <c r="D19323" s="33" t="s">
        <v>17</v>
      </c>
      <c r="E19323" s="33" t="s">
        <v>18</v>
      </c>
      <c r="F19323" s="33" t="s">
        <v>19</v>
      </c>
      <c r="G19323" s="33" t="s">
        <v>158</v>
      </c>
      <c r="H19323" s="35">
        <v>258</v>
      </c>
      <c r="I19323" s="33" t="s">
        <v>21</v>
      </c>
      <c r="J19323" s="42">
        <v>45561</v>
      </c>
      <c r="K19323" s="33" t="s">
        <v>22</v>
      </c>
    </row>
    <row r="19324" spans="1:11">
      <c r="A19324" s="30" t="s">
        <v>43051</v>
      </c>
      <c r="B19324" s="30" t="s">
        <v>43052</v>
      </c>
      <c r="C19324" s="30" t="s">
        <v>43053</v>
      </c>
      <c r="D19324" s="30" t="s">
        <v>17</v>
      </c>
      <c r="E19324" s="30" t="s">
        <v>26</v>
      </c>
      <c r="F19324" s="30" t="s">
        <v>27</v>
      </c>
      <c r="G19324" s="30" t="s">
        <v>158</v>
      </c>
      <c r="H19324" s="32">
        <v>10</v>
      </c>
      <c r="I19324" s="30" t="s">
        <v>51</v>
      </c>
      <c r="J19324" s="41">
        <v>45413</v>
      </c>
      <c r="K19324" s="30" t="s">
        <v>22</v>
      </c>
    </row>
    <row r="19325" spans="1:11">
      <c r="A19325" s="33" t="s">
        <v>43054</v>
      </c>
      <c r="B19325" s="33" t="s">
        <v>43055</v>
      </c>
      <c r="C19325" s="33" t="s">
        <v>190</v>
      </c>
      <c r="D19325" s="33" t="s">
        <v>17</v>
      </c>
      <c r="E19325" s="33" t="s">
        <v>31</v>
      </c>
      <c r="F19325" s="33" t="s">
        <v>32</v>
      </c>
      <c r="G19325" s="33" t="s">
        <v>158</v>
      </c>
      <c r="H19325" s="35">
        <v>30</v>
      </c>
      <c r="I19325" s="33" t="s">
        <v>21</v>
      </c>
      <c r="J19325" s="42">
        <v>45559</v>
      </c>
      <c r="K19325" s="33" t="s">
        <v>22</v>
      </c>
    </row>
    <row r="19326" spans="1:11">
      <c r="A19326" s="30" t="s">
        <v>43056</v>
      </c>
      <c r="B19326" s="30" t="s">
        <v>43057</v>
      </c>
      <c r="C19326" s="30" t="s">
        <v>118</v>
      </c>
      <c r="D19326" s="30" t="s">
        <v>17</v>
      </c>
      <c r="E19326" s="30" t="s">
        <v>31</v>
      </c>
      <c r="F19326" s="30" t="s">
        <v>32</v>
      </c>
      <c r="G19326" s="30" t="s">
        <v>20</v>
      </c>
      <c r="H19326" s="32">
        <v>106</v>
      </c>
      <c r="I19326" s="30" t="s">
        <v>21</v>
      </c>
      <c r="J19326" s="41">
        <v>45400</v>
      </c>
      <c r="K19326" s="30" t="s">
        <v>22</v>
      </c>
    </row>
    <row r="19327" spans="1:11">
      <c r="A19327" s="33" t="s">
        <v>43058</v>
      </c>
      <c r="B19327" s="33" t="s">
        <v>43059</v>
      </c>
      <c r="C19327" s="33" t="s">
        <v>29882</v>
      </c>
      <c r="D19327" s="33" t="s">
        <v>17</v>
      </c>
      <c r="E19327" s="33" t="s">
        <v>26</v>
      </c>
      <c r="F19327" s="33" t="s">
        <v>27</v>
      </c>
      <c r="G19327" s="33" t="s">
        <v>158</v>
      </c>
      <c r="H19327" s="35">
        <v>230</v>
      </c>
      <c r="I19327" s="33" t="s">
        <v>51</v>
      </c>
      <c r="J19327" s="42">
        <v>45409</v>
      </c>
      <c r="K19327" s="33" t="s">
        <v>22</v>
      </c>
    </row>
    <row r="19328" spans="1:11">
      <c r="A19328" s="30" t="s">
        <v>43060</v>
      </c>
      <c r="B19328" s="30" t="s">
        <v>43061</v>
      </c>
      <c r="C19328" s="30" t="s">
        <v>14816</v>
      </c>
      <c r="D19328" s="30" t="s">
        <v>17</v>
      </c>
      <c r="E19328" s="30" t="s">
        <v>31</v>
      </c>
      <c r="F19328" s="30" t="s">
        <v>32</v>
      </c>
      <c r="G19328" s="30" t="s">
        <v>20</v>
      </c>
      <c r="H19328" s="32">
        <v>281</v>
      </c>
      <c r="I19328" s="30" t="s">
        <v>21</v>
      </c>
      <c r="J19328" s="41">
        <v>45464</v>
      </c>
      <c r="K19328" s="30" t="s">
        <v>22</v>
      </c>
    </row>
    <row r="19329" spans="1:11">
      <c r="A19329" s="33" t="s">
        <v>43062</v>
      </c>
      <c r="B19329" s="33" t="s">
        <v>43063</v>
      </c>
      <c r="C19329" s="33" t="s">
        <v>10183</v>
      </c>
      <c r="D19329" s="33" t="s">
        <v>17</v>
      </c>
      <c r="E19329" s="33" t="s">
        <v>18</v>
      </c>
      <c r="F19329" s="33" t="s">
        <v>19</v>
      </c>
      <c r="G19329" s="33" t="s">
        <v>140</v>
      </c>
      <c r="H19329" s="35">
        <v>4220</v>
      </c>
      <c r="I19329" s="33" t="s">
        <v>51</v>
      </c>
      <c r="J19329" s="42">
        <v>45562</v>
      </c>
      <c r="K19329" s="33" t="s">
        <v>22</v>
      </c>
    </row>
    <row r="19330" spans="1:11">
      <c r="A19330" s="30" t="s">
        <v>43064</v>
      </c>
      <c r="B19330" s="30" t="s">
        <v>43065</v>
      </c>
      <c r="C19330" s="30" t="s">
        <v>19803</v>
      </c>
      <c r="D19330" s="30" t="s">
        <v>17</v>
      </c>
      <c r="E19330" s="30" t="s">
        <v>26</v>
      </c>
      <c r="F19330" s="30" t="s">
        <v>27</v>
      </c>
      <c r="G19330" s="30" t="s">
        <v>20</v>
      </c>
      <c r="H19330" s="32">
        <v>48</v>
      </c>
      <c r="I19330" s="30" t="s">
        <v>21</v>
      </c>
      <c r="J19330" s="41">
        <v>45391</v>
      </c>
      <c r="K19330" s="30" t="s">
        <v>22</v>
      </c>
    </row>
    <row r="19331" spans="1:11">
      <c r="A19331" s="33" t="s">
        <v>43066</v>
      </c>
      <c r="B19331" s="33" t="s">
        <v>43067</v>
      </c>
      <c r="C19331" s="33" t="s">
        <v>5251</v>
      </c>
      <c r="D19331" s="33" t="s">
        <v>17</v>
      </c>
      <c r="E19331" s="33" t="s">
        <v>31</v>
      </c>
      <c r="F19331" s="33" t="s">
        <v>32</v>
      </c>
      <c r="G19331" s="33" t="s">
        <v>140</v>
      </c>
      <c r="H19331" s="35">
        <v>180</v>
      </c>
      <c r="I19331" s="33" t="s">
        <v>51</v>
      </c>
      <c r="J19331" s="42">
        <v>45373</v>
      </c>
      <c r="K19331" s="33" t="s">
        <v>22</v>
      </c>
    </row>
    <row r="19332" spans="1:11">
      <c r="A19332" s="30" t="s">
        <v>43068</v>
      </c>
      <c r="B19332" s="30" t="s">
        <v>43069</v>
      </c>
      <c r="C19332" s="30" t="s">
        <v>2753</v>
      </c>
      <c r="D19332" s="30" t="s">
        <v>17</v>
      </c>
      <c r="E19332" s="30" t="s">
        <v>26</v>
      </c>
      <c r="F19332" s="30" t="s">
        <v>27</v>
      </c>
      <c r="G19332" s="30" t="s">
        <v>140</v>
      </c>
      <c r="H19332" s="32">
        <v>153</v>
      </c>
      <c r="I19332" s="30" t="s">
        <v>51</v>
      </c>
      <c r="J19332" s="41">
        <v>45583</v>
      </c>
      <c r="K19332" s="30" t="s">
        <v>22</v>
      </c>
    </row>
    <row r="19333" spans="1:11">
      <c r="A19333" s="33" t="s">
        <v>43070</v>
      </c>
      <c r="B19333" s="33" t="s">
        <v>43071</v>
      </c>
      <c r="C19333" s="33" t="s">
        <v>203</v>
      </c>
      <c r="D19333" s="33" t="s">
        <v>17</v>
      </c>
      <c r="E19333" s="33" t="s">
        <v>18</v>
      </c>
      <c r="F19333" s="33" t="s">
        <v>19</v>
      </c>
      <c r="G19333" s="33" t="s">
        <v>158</v>
      </c>
      <c r="H19333" s="35">
        <v>1541</v>
      </c>
      <c r="I19333" s="33" t="s">
        <v>21</v>
      </c>
      <c r="J19333" s="42">
        <v>45420</v>
      </c>
      <c r="K19333" s="33" t="s">
        <v>22</v>
      </c>
    </row>
    <row r="19334" spans="1:11">
      <c r="A19334" s="30" t="s">
        <v>43072</v>
      </c>
      <c r="B19334" s="30" t="s">
        <v>43073</v>
      </c>
      <c r="C19334" s="30" t="s">
        <v>130</v>
      </c>
      <c r="D19334" s="30" t="s">
        <v>17</v>
      </c>
      <c r="E19334" s="30" t="s">
        <v>26</v>
      </c>
      <c r="F19334" s="30" t="s">
        <v>27</v>
      </c>
      <c r="G19334" s="30" t="s">
        <v>20</v>
      </c>
      <c r="H19334" s="32">
        <v>18</v>
      </c>
      <c r="I19334" s="30" t="s">
        <v>21</v>
      </c>
      <c r="J19334" s="41">
        <v>45516</v>
      </c>
      <c r="K19334" s="30" t="s">
        <v>22</v>
      </c>
    </row>
    <row r="19335" spans="1:11">
      <c r="A19335" s="33" t="s">
        <v>43074</v>
      </c>
      <c r="B19335" s="33" t="s">
        <v>43075</v>
      </c>
      <c r="C19335" s="33" t="s">
        <v>549</v>
      </c>
      <c r="D19335" s="33" t="s">
        <v>17</v>
      </c>
      <c r="E19335" s="33" t="s">
        <v>26</v>
      </c>
      <c r="F19335" s="33" t="s">
        <v>27</v>
      </c>
      <c r="G19335" s="33" t="s">
        <v>20</v>
      </c>
      <c r="H19335" s="35">
        <v>15</v>
      </c>
      <c r="I19335" s="33" t="s">
        <v>21</v>
      </c>
      <c r="J19335" s="42">
        <v>45629</v>
      </c>
      <c r="K19335" s="33" t="s">
        <v>22</v>
      </c>
    </row>
    <row r="19336" spans="1:11">
      <c r="A19336" s="30" t="s">
        <v>43076</v>
      </c>
      <c r="B19336" s="30" t="s">
        <v>43077</v>
      </c>
      <c r="C19336" s="30" t="s">
        <v>969</v>
      </c>
      <c r="D19336" s="30" t="s">
        <v>17</v>
      </c>
      <c r="E19336" s="30" t="s">
        <v>18</v>
      </c>
      <c r="F19336" s="30" t="s">
        <v>19</v>
      </c>
      <c r="G19336" s="30" t="s">
        <v>140</v>
      </c>
      <c r="H19336" s="32">
        <v>514</v>
      </c>
      <c r="I19336" s="30" t="s">
        <v>51</v>
      </c>
      <c r="J19336" s="41">
        <v>45638</v>
      </c>
      <c r="K19336" s="30" t="s">
        <v>22</v>
      </c>
    </row>
    <row r="19337" spans="1:11">
      <c r="A19337" s="33" t="s">
        <v>43078</v>
      </c>
      <c r="B19337" s="33" t="s">
        <v>43079</v>
      </c>
      <c r="C19337" s="33" t="s">
        <v>31562</v>
      </c>
      <c r="D19337" s="33" t="s">
        <v>17</v>
      </c>
      <c r="E19337" s="33" t="s">
        <v>26</v>
      </c>
      <c r="F19337" s="33" t="s">
        <v>27</v>
      </c>
      <c r="G19337" s="33" t="s">
        <v>140</v>
      </c>
      <c r="H19337" s="35">
        <v>610</v>
      </c>
      <c r="I19337" s="33" t="s">
        <v>51</v>
      </c>
      <c r="J19337" s="42">
        <v>45408</v>
      </c>
      <c r="K19337" s="33" t="s">
        <v>22</v>
      </c>
    </row>
    <row r="19338" spans="1:11">
      <c r="A19338" s="30" t="s">
        <v>43080</v>
      </c>
      <c r="B19338" s="30" t="s">
        <v>43081</v>
      </c>
      <c r="C19338" s="30" t="s">
        <v>11899</v>
      </c>
      <c r="D19338" s="30" t="s">
        <v>17</v>
      </c>
      <c r="E19338" s="30" t="s">
        <v>18</v>
      </c>
      <c r="F19338" s="30" t="s">
        <v>19</v>
      </c>
      <c r="G19338" s="30" t="s">
        <v>158</v>
      </c>
      <c r="H19338" s="32">
        <v>130</v>
      </c>
      <c r="I19338" s="30" t="s">
        <v>21</v>
      </c>
      <c r="J19338" s="41">
        <v>45352</v>
      </c>
      <c r="K19338" s="30" t="s">
        <v>22</v>
      </c>
    </row>
    <row r="19339" spans="1:11">
      <c r="A19339" s="33" t="s">
        <v>43082</v>
      </c>
      <c r="B19339" s="33" t="s">
        <v>43083</v>
      </c>
      <c r="C19339" s="33" t="s">
        <v>187</v>
      </c>
      <c r="D19339" s="33" t="s">
        <v>17</v>
      </c>
      <c r="E19339" s="33" t="s">
        <v>67</v>
      </c>
      <c r="F19339" s="33" t="s">
        <v>68</v>
      </c>
      <c r="G19339" s="33" t="s">
        <v>106</v>
      </c>
      <c r="H19339" s="35">
        <v>21</v>
      </c>
      <c r="I19339" s="33" t="s">
        <v>21</v>
      </c>
      <c r="J19339" s="42">
        <v>45425</v>
      </c>
      <c r="K19339" s="33" t="s">
        <v>22</v>
      </c>
    </row>
    <row r="19340" spans="1:11">
      <c r="A19340" s="30" t="s">
        <v>43084</v>
      </c>
      <c r="B19340" s="30" t="s">
        <v>43085</v>
      </c>
      <c r="C19340" s="30" t="s">
        <v>43086</v>
      </c>
      <c r="D19340" s="30" t="s">
        <v>17</v>
      </c>
      <c r="E19340" s="30" t="s">
        <v>67</v>
      </c>
      <c r="F19340" s="30" t="s">
        <v>68</v>
      </c>
      <c r="G19340" s="30" t="s">
        <v>140</v>
      </c>
      <c r="H19340" s="32">
        <v>15</v>
      </c>
      <c r="I19340" s="30" t="s">
        <v>51</v>
      </c>
      <c r="J19340" s="41">
        <v>45551</v>
      </c>
      <c r="K19340" s="30" t="s">
        <v>22</v>
      </c>
    </row>
    <row r="19341" spans="1:11">
      <c r="A19341" s="33" t="s">
        <v>43087</v>
      </c>
      <c r="B19341" s="33" t="s">
        <v>43088</v>
      </c>
      <c r="C19341" s="33" t="s">
        <v>2308</v>
      </c>
      <c r="D19341" s="33" t="s">
        <v>17</v>
      </c>
      <c r="E19341" s="33" t="s">
        <v>26</v>
      </c>
      <c r="F19341" s="33" t="s">
        <v>27</v>
      </c>
      <c r="G19341" s="33" t="s">
        <v>20</v>
      </c>
      <c r="H19341" s="35">
        <v>73</v>
      </c>
      <c r="I19341" s="33" t="s">
        <v>21</v>
      </c>
      <c r="J19341" s="42">
        <v>45297</v>
      </c>
      <c r="K19341" s="33" t="s">
        <v>22</v>
      </c>
    </row>
    <row r="19342" spans="1:11">
      <c r="A19342" s="30" t="s">
        <v>43089</v>
      </c>
      <c r="B19342" s="30" t="s">
        <v>43090</v>
      </c>
      <c r="C19342" s="30" t="s">
        <v>29782</v>
      </c>
      <c r="D19342" s="30" t="s">
        <v>17</v>
      </c>
      <c r="E19342" s="30" t="s">
        <v>31</v>
      </c>
      <c r="F19342" s="30" t="s">
        <v>32</v>
      </c>
      <c r="G19342" s="30" t="s">
        <v>20</v>
      </c>
      <c r="H19342" s="32">
        <v>143</v>
      </c>
      <c r="I19342" s="30" t="s">
        <v>21</v>
      </c>
      <c r="J19342" s="41">
        <v>45453</v>
      </c>
      <c r="K19342" s="30" t="s">
        <v>22</v>
      </c>
    </row>
    <row r="19343" spans="1:11">
      <c r="A19343" s="33" t="s">
        <v>43091</v>
      </c>
      <c r="B19343" s="33" t="s">
        <v>43092</v>
      </c>
      <c r="C19343" s="33" t="s">
        <v>24593</v>
      </c>
      <c r="D19343" s="33" t="s">
        <v>17</v>
      </c>
      <c r="E19343" s="33" t="s">
        <v>18</v>
      </c>
      <c r="F19343" s="33" t="s">
        <v>19</v>
      </c>
      <c r="G19343" s="33" t="s">
        <v>158</v>
      </c>
      <c r="H19343" s="35">
        <v>100</v>
      </c>
      <c r="I19343" s="33" t="s">
        <v>51</v>
      </c>
      <c r="J19343" s="42">
        <v>45344</v>
      </c>
      <c r="K19343" s="33" t="s">
        <v>22</v>
      </c>
    </row>
    <row r="19344" spans="1:11">
      <c r="A19344" s="30" t="s">
        <v>43093</v>
      </c>
      <c r="B19344" s="30" t="s">
        <v>43094</v>
      </c>
      <c r="C19344" s="30" t="s">
        <v>102</v>
      </c>
      <c r="D19344" s="30" t="s">
        <v>17</v>
      </c>
      <c r="E19344" s="30" t="s">
        <v>18</v>
      </c>
      <c r="F19344" s="30" t="s">
        <v>19</v>
      </c>
      <c r="G19344" s="30" t="s">
        <v>106</v>
      </c>
      <c r="H19344" s="32">
        <v>101</v>
      </c>
      <c r="I19344" s="30" t="s">
        <v>21</v>
      </c>
      <c r="J19344" s="41">
        <v>45469</v>
      </c>
      <c r="K19344" s="30" t="s">
        <v>22</v>
      </c>
    </row>
    <row r="19345" spans="1:11">
      <c r="A19345" s="33" t="s">
        <v>43095</v>
      </c>
      <c r="B19345" s="33" t="s">
        <v>43096</v>
      </c>
      <c r="C19345" s="33" t="s">
        <v>5040</v>
      </c>
      <c r="D19345" s="33" t="s">
        <v>17</v>
      </c>
      <c r="E19345" s="33" t="s">
        <v>212</v>
      </c>
      <c r="F19345" s="33" t="s">
        <v>213</v>
      </c>
      <c r="G19345" s="33" t="s">
        <v>20</v>
      </c>
      <c r="H19345" s="35">
        <v>899</v>
      </c>
      <c r="I19345" s="33" t="s">
        <v>21</v>
      </c>
      <c r="J19345" s="42">
        <v>45556</v>
      </c>
      <c r="K19345" s="33" t="s">
        <v>22</v>
      </c>
    </row>
    <row r="19346" spans="1:11">
      <c r="A19346" s="30" t="s">
        <v>43097</v>
      </c>
      <c r="B19346" s="30" t="s">
        <v>43098</v>
      </c>
      <c r="C19346" s="30" t="s">
        <v>549</v>
      </c>
      <c r="D19346" s="30" t="s">
        <v>17</v>
      </c>
      <c r="E19346" s="30" t="s">
        <v>18</v>
      </c>
      <c r="F19346" s="30" t="s">
        <v>19</v>
      </c>
      <c r="G19346" s="30" t="s">
        <v>158</v>
      </c>
      <c r="H19346" s="32">
        <v>70</v>
      </c>
      <c r="I19346" s="30" t="s">
        <v>21</v>
      </c>
      <c r="J19346" s="41">
        <v>45483</v>
      </c>
      <c r="K19346" s="30" t="s">
        <v>22</v>
      </c>
    </row>
    <row r="19347" spans="1:11">
      <c r="A19347" s="33" t="s">
        <v>43099</v>
      </c>
      <c r="B19347" s="33" t="s">
        <v>43100</v>
      </c>
      <c r="C19347" s="33" t="s">
        <v>40478</v>
      </c>
      <c r="D19347" s="33" t="s">
        <v>17</v>
      </c>
      <c r="E19347" s="33" t="s">
        <v>18</v>
      </c>
      <c r="F19347" s="33" t="s">
        <v>19</v>
      </c>
      <c r="G19347" s="33" t="s">
        <v>140</v>
      </c>
      <c r="H19347" s="35">
        <v>520</v>
      </c>
      <c r="I19347" s="33" t="s">
        <v>51</v>
      </c>
      <c r="J19347" s="42">
        <v>45582</v>
      </c>
      <c r="K19347" s="33" t="s">
        <v>22</v>
      </c>
    </row>
    <row r="19348" spans="1:11">
      <c r="A19348" s="30" t="s">
        <v>43101</v>
      </c>
      <c r="B19348" s="30" t="s">
        <v>43102</v>
      </c>
      <c r="C19348" s="30" t="s">
        <v>3296</v>
      </c>
      <c r="D19348" s="30" t="s">
        <v>17</v>
      </c>
      <c r="E19348" s="30" t="s">
        <v>26</v>
      </c>
      <c r="F19348" s="30" t="s">
        <v>27</v>
      </c>
      <c r="G19348" s="30" t="s">
        <v>7780</v>
      </c>
      <c r="H19348" s="32">
        <v>44</v>
      </c>
      <c r="I19348" s="30" t="s">
        <v>51</v>
      </c>
      <c r="J19348" s="41">
        <v>45565</v>
      </c>
      <c r="K19348" s="30" t="s">
        <v>22</v>
      </c>
    </row>
    <row r="19349" spans="1:11">
      <c r="A19349" s="33" t="s">
        <v>43103</v>
      </c>
      <c r="B19349" s="33" t="s">
        <v>43104</v>
      </c>
      <c r="C19349" s="33" t="s">
        <v>20427</v>
      </c>
      <c r="D19349" s="33" t="s">
        <v>17</v>
      </c>
      <c r="E19349" s="33" t="s">
        <v>18</v>
      </c>
      <c r="F19349" s="33" t="s">
        <v>19</v>
      </c>
      <c r="G19349" s="33" t="s">
        <v>20</v>
      </c>
      <c r="H19349" s="35">
        <v>240</v>
      </c>
      <c r="I19349" s="33" t="s">
        <v>21</v>
      </c>
      <c r="J19349" s="42">
        <v>45491</v>
      </c>
      <c r="K19349" s="33" t="s">
        <v>22</v>
      </c>
    </row>
    <row r="19350" spans="1:11">
      <c r="A19350" s="30" t="s">
        <v>43105</v>
      </c>
      <c r="B19350" s="30" t="s">
        <v>43106</v>
      </c>
      <c r="C19350" s="30" t="s">
        <v>17431</v>
      </c>
      <c r="D19350" s="30" t="s">
        <v>17</v>
      </c>
      <c r="E19350" s="30" t="s">
        <v>18</v>
      </c>
      <c r="F19350" s="30" t="s">
        <v>19</v>
      </c>
      <c r="G19350" s="30" t="s">
        <v>158</v>
      </c>
      <c r="H19350" s="32">
        <v>600</v>
      </c>
      <c r="I19350" s="30" t="s">
        <v>21</v>
      </c>
      <c r="J19350" s="41">
        <v>45490</v>
      </c>
      <c r="K19350" s="30" t="s">
        <v>22</v>
      </c>
    </row>
    <row r="19351" spans="1:11">
      <c r="A19351" s="33" t="s">
        <v>43107</v>
      </c>
      <c r="B19351" s="33" t="s">
        <v>43108</v>
      </c>
      <c r="C19351" s="33" t="s">
        <v>157</v>
      </c>
      <c r="D19351" s="33" t="s">
        <v>17</v>
      </c>
      <c r="E19351" s="33" t="s">
        <v>31</v>
      </c>
      <c r="F19351" s="33" t="s">
        <v>32</v>
      </c>
      <c r="G19351" s="33" t="s">
        <v>112</v>
      </c>
      <c r="H19351" s="35">
        <v>0</v>
      </c>
      <c r="I19351" s="33" t="s">
        <v>21</v>
      </c>
      <c r="J19351" s="42">
        <v>45293</v>
      </c>
      <c r="K19351" s="33" t="s">
        <v>22</v>
      </c>
    </row>
    <row r="19352" spans="1:11">
      <c r="A19352" s="30" t="s">
        <v>43109</v>
      </c>
      <c r="B19352" s="30" t="s">
        <v>43110</v>
      </c>
      <c r="C19352" s="30" t="s">
        <v>3258</v>
      </c>
      <c r="D19352" s="30" t="s">
        <v>17</v>
      </c>
      <c r="E19352" s="30" t="s">
        <v>212</v>
      </c>
      <c r="F19352" s="30" t="s">
        <v>213</v>
      </c>
      <c r="G19352" s="30" t="s">
        <v>20</v>
      </c>
      <c r="H19352" s="32">
        <v>99</v>
      </c>
      <c r="I19352" s="30" t="s">
        <v>21</v>
      </c>
      <c r="J19352" s="41">
        <v>45350</v>
      </c>
      <c r="K19352" s="30" t="s">
        <v>22</v>
      </c>
    </row>
    <row r="19353" spans="1:11">
      <c r="A19353" s="33" t="s">
        <v>43111</v>
      </c>
      <c r="B19353" s="33" t="s">
        <v>43112</v>
      </c>
      <c r="C19353" s="33" t="s">
        <v>7072</v>
      </c>
      <c r="D19353" s="33" t="s">
        <v>17</v>
      </c>
      <c r="E19353" s="33" t="s">
        <v>18</v>
      </c>
      <c r="F19353" s="33" t="s">
        <v>19</v>
      </c>
      <c r="G19353" s="33" t="s">
        <v>158</v>
      </c>
      <c r="H19353" s="35">
        <v>420</v>
      </c>
      <c r="I19353" s="33" t="s">
        <v>51</v>
      </c>
      <c r="J19353" s="42">
        <v>45623</v>
      </c>
      <c r="K19353" s="33" t="s">
        <v>22</v>
      </c>
    </row>
    <row r="19354" spans="1:11">
      <c r="A19354" s="30" t="s">
        <v>43113</v>
      </c>
      <c r="B19354" s="30" t="s">
        <v>43114</v>
      </c>
      <c r="C19354" s="30" t="s">
        <v>3589</v>
      </c>
      <c r="D19354" s="30" t="s">
        <v>17</v>
      </c>
      <c r="E19354" s="30" t="s">
        <v>26</v>
      </c>
      <c r="F19354" s="30" t="s">
        <v>27</v>
      </c>
      <c r="G19354" s="30" t="s">
        <v>158</v>
      </c>
      <c r="H19354" s="32">
        <v>120</v>
      </c>
      <c r="I19354" s="30" t="s">
        <v>51</v>
      </c>
      <c r="J19354" s="41">
        <v>45398</v>
      </c>
      <c r="K19354" s="30" t="s">
        <v>22</v>
      </c>
    </row>
    <row r="19355" spans="1:11">
      <c r="A19355" s="33" t="s">
        <v>43115</v>
      </c>
      <c r="B19355" s="33" t="s">
        <v>43116</v>
      </c>
      <c r="C19355" s="33" t="s">
        <v>78</v>
      </c>
      <c r="D19355" s="33" t="s">
        <v>17</v>
      </c>
      <c r="E19355" s="33" t="s">
        <v>26</v>
      </c>
      <c r="F19355" s="33" t="s">
        <v>27</v>
      </c>
      <c r="G19355" s="33" t="s">
        <v>20</v>
      </c>
      <c r="H19355" s="35">
        <v>40</v>
      </c>
      <c r="I19355" s="33" t="s">
        <v>21</v>
      </c>
      <c r="J19355" s="42">
        <v>45623</v>
      </c>
      <c r="K19355" s="33" t="s">
        <v>22</v>
      </c>
    </row>
    <row r="19356" spans="1:11">
      <c r="A19356" s="30" t="s">
        <v>43117</v>
      </c>
      <c r="B19356" s="30" t="s">
        <v>43118</v>
      </c>
      <c r="C19356" s="30" t="s">
        <v>10503</v>
      </c>
      <c r="D19356" s="30" t="s">
        <v>17</v>
      </c>
      <c r="E19356" s="30" t="s">
        <v>26</v>
      </c>
      <c r="F19356" s="30" t="s">
        <v>27</v>
      </c>
      <c r="G19356" s="30" t="s">
        <v>140</v>
      </c>
      <c r="H19356" s="32">
        <v>40</v>
      </c>
      <c r="I19356" s="30" t="s">
        <v>51</v>
      </c>
      <c r="J19356" s="41">
        <v>45546</v>
      </c>
      <c r="K19356" s="30" t="s">
        <v>22</v>
      </c>
    </row>
    <row r="19357" spans="1:11">
      <c r="A19357" s="33" t="s">
        <v>43119</v>
      </c>
      <c r="B19357" s="33" t="s">
        <v>43120</v>
      </c>
      <c r="C19357" s="33" t="s">
        <v>93</v>
      </c>
      <c r="D19357" s="33" t="s">
        <v>17</v>
      </c>
      <c r="E19357" s="33" t="s">
        <v>26</v>
      </c>
      <c r="F19357" s="33" t="s">
        <v>27</v>
      </c>
      <c r="G19357" s="33" t="s">
        <v>158</v>
      </c>
      <c r="H19357" s="35">
        <v>95</v>
      </c>
      <c r="I19357" s="33" t="s">
        <v>21</v>
      </c>
      <c r="J19357" s="42">
        <v>45594</v>
      </c>
      <c r="K19357" s="33" t="s">
        <v>22</v>
      </c>
    </row>
    <row r="19358" spans="1:11">
      <c r="A19358" s="30" t="s">
        <v>43121</v>
      </c>
      <c r="B19358" s="30" t="s">
        <v>43122</v>
      </c>
      <c r="C19358" s="30" t="s">
        <v>310</v>
      </c>
      <c r="D19358" s="30" t="s">
        <v>17</v>
      </c>
      <c r="E19358" s="30" t="s">
        <v>31</v>
      </c>
      <c r="F19358" s="30" t="s">
        <v>32</v>
      </c>
      <c r="G19358" s="30" t="s">
        <v>20</v>
      </c>
      <c r="H19358" s="32">
        <v>448</v>
      </c>
      <c r="I19358" s="30" t="s">
        <v>21</v>
      </c>
      <c r="J19358" s="41">
        <v>45511</v>
      </c>
      <c r="K19358" s="30" t="s">
        <v>22</v>
      </c>
    </row>
    <row r="19359" spans="1:11">
      <c r="A19359" s="33" t="s">
        <v>43123</v>
      </c>
      <c r="B19359" s="33" t="s">
        <v>43124</v>
      </c>
      <c r="C19359" s="33" t="s">
        <v>343</v>
      </c>
      <c r="D19359" s="33" t="s">
        <v>17</v>
      </c>
      <c r="E19359" s="33" t="s">
        <v>18</v>
      </c>
      <c r="F19359" s="33" t="s">
        <v>19</v>
      </c>
      <c r="G19359" s="33" t="s">
        <v>20</v>
      </c>
      <c r="H19359" s="35">
        <v>218</v>
      </c>
      <c r="I19359" s="33" t="s">
        <v>21</v>
      </c>
      <c r="J19359" s="42">
        <v>45411</v>
      </c>
      <c r="K19359" s="33" t="s">
        <v>22</v>
      </c>
    </row>
    <row r="19360" spans="1:11">
      <c r="A19360" s="30" t="s">
        <v>43125</v>
      </c>
      <c r="B19360" s="30" t="s">
        <v>43126</v>
      </c>
      <c r="C19360" s="30" t="s">
        <v>570</v>
      </c>
      <c r="D19360" s="30" t="s">
        <v>17</v>
      </c>
      <c r="E19360" s="30" t="s">
        <v>18</v>
      </c>
      <c r="F19360" s="30" t="s">
        <v>19</v>
      </c>
      <c r="G19360" s="30" t="s">
        <v>140</v>
      </c>
      <c r="H19360" s="32">
        <v>363</v>
      </c>
      <c r="I19360" s="30" t="s">
        <v>51</v>
      </c>
      <c r="J19360" s="41">
        <v>45638</v>
      </c>
      <c r="K19360" s="30" t="s">
        <v>22</v>
      </c>
    </row>
    <row r="19361" spans="1:11">
      <c r="A19361" s="33" t="s">
        <v>43127</v>
      </c>
      <c r="B19361" s="33" t="s">
        <v>43128</v>
      </c>
      <c r="C19361" s="33" t="s">
        <v>32824</v>
      </c>
      <c r="D19361" s="33" t="s">
        <v>17</v>
      </c>
      <c r="E19361" s="33" t="s">
        <v>26</v>
      </c>
      <c r="F19361" s="33" t="s">
        <v>27</v>
      </c>
      <c r="G19361" s="33" t="s">
        <v>7780</v>
      </c>
      <c r="H19361" s="35">
        <v>120</v>
      </c>
      <c r="I19361" s="33" t="s">
        <v>51</v>
      </c>
      <c r="J19361" s="42">
        <v>45616</v>
      </c>
      <c r="K19361" s="33" t="s">
        <v>22</v>
      </c>
    </row>
    <row r="19362" spans="1:11">
      <c r="A19362" s="30" t="s">
        <v>43129</v>
      </c>
      <c r="B19362" s="30" t="s">
        <v>43130</v>
      </c>
      <c r="C19362" s="30" t="s">
        <v>14816</v>
      </c>
      <c r="D19362" s="30" t="s">
        <v>17</v>
      </c>
      <c r="E19362" s="30" t="s">
        <v>31</v>
      </c>
      <c r="F19362" s="30" t="s">
        <v>32</v>
      </c>
      <c r="G19362" s="30" t="s">
        <v>158</v>
      </c>
      <c r="H19362" s="32">
        <v>42</v>
      </c>
      <c r="I19362" s="30" t="s">
        <v>21</v>
      </c>
      <c r="J19362" s="41">
        <v>45515</v>
      </c>
      <c r="K19362" s="30" t="s">
        <v>22</v>
      </c>
    </row>
    <row r="19363" spans="1:11">
      <c r="A19363" s="33" t="s">
        <v>43131</v>
      </c>
      <c r="B19363" s="33" t="s">
        <v>43132</v>
      </c>
      <c r="C19363" s="33" t="s">
        <v>190</v>
      </c>
      <c r="D19363" s="33" t="s">
        <v>17</v>
      </c>
      <c r="E19363" s="33" t="s">
        <v>26</v>
      </c>
      <c r="F19363" s="33" t="s">
        <v>27</v>
      </c>
      <c r="G19363" s="33" t="s">
        <v>106</v>
      </c>
      <c r="H19363" s="35">
        <v>10</v>
      </c>
      <c r="I19363" s="33" t="s">
        <v>21</v>
      </c>
      <c r="J19363" s="42">
        <v>45580</v>
      </c>
      <c r="K19363" s="33" t="s">
        <v>22</v>
      </c>
    </row>
    <row r="19364" spans="1:11">
      <c r="A19364" s="30" t="s">
        <v>43133</v>
      </c>
      <c r="B19364" s="30" t="s">
        <v>43134</v>
      </c>
      <c r="C19364" s="30" t="s">
        <v>4221</v>
      </c>
      <c r="D19364" s="30" t="s">
        <v>17</v>
      </c>
      <c r="E19364" s="30" t="s">
        <v>26</v>
      </c>
      <c r="F19364" s="30" t="s">
        <v>27</v>
      </c>
      <c r="G19364" s="30" t="s">
        <v>106</v>
      </c>
      <c r="H19364" s="32">
        <v>17</v>
      </c>
      <c r="I19364" s="30" t="s">
        <v>21</v>
      </c>
      <c r="J19364" s="41">
        <v>45622</v>
      </c>
      <c r="K19364" s="30" t="s">
        <v>22</v>
      </c>
    </row>
    <row r="19365" spans="1:11">
      <c r="A19365" s="33" t="s">
        <v>43135</v>
      </c>
      <c r="B19365" s="33" t="s">
        <v>43136</v>
      </c>
      <c r="C19365" s="33" t="s">
        <v>21185</v>
      </c>
      <c r="D19365" s="33" t="s">
        <v>17</v>
      </c>
      <c r="E19365" s="33" t="s">
        <v>31</v>
      </c>
      <c r="F19365" s="33" t="s">
        <v>32</v>
      </c>
      <c r="G19365" s="33" t="s">
        <v>140</v>
      </c>
      <c r="H19365" s="35">
        <v>270</v>
      </c>
      <c r="I19365" s="33" t="s">
        <v>51</v>
      </c>
      <c r="J19365" s="42">
        <v>45510</v>
      </c>
      <c r="K19365" s="33" t="s">
        <v>22</v>
      </c>
    </row>
    <row r="19366" spans="1:11">
      <c r="A19366" s="30" t="s">
        <v>43137</v>
      </c>
      <c r="B19366" s="30" t="s">
        <v>43138</v>
      </c>
      <c r="C19366" s="30" t="s">
        <v>96</v>
      </c>
      <c r="D19366" s="30" t="s">
        <v>17</v>
      </c>
      <c r="E19366" s="30" t="s">
        <v>26</v>
      </c>
      <c r="F19366" s="30" t="s">
        <v>27</v>
      </c>
      <c r="G19366" s="30" t="s">
        <v>106</v>
      </c>
      <c r="H19366" s="32">
        <v>9</v>
      </c>
      <c r="I19366" s="30" t="s">
        <v>21</v>
      </c>
      <c r="J19366" s="41">
        <v>45330</v>
      </c>
      <c r="K19366" s="30" t="s">
        <v>22</v>
      </c>
    </row>
    <row r="19367" spans="1:11">
      <c r="A19367" s="33" t="s">
        <v>43139</v>
      </c>
      <c r="B19367" s="33" t="s">
        <v>43140</v>
      </c>
      <c r="C19367" s="33" t="s">
        <v>36806</v>
      </c>
      <c r="D19367" s="33" t="s">
        <v>17</v>
      </c>
      <c r="E19367" s="33" t="s">
        <v>67</v>
      </c>
      <c r="F19367" s="33" t="s">
        <v>68</v>
      </c>
      <c r="G19367" s="33" t="s">
        <v>158</v>
      </c>
      <c r="H19367" s="35">
        <v>108</v>
      </c>
      <c r="I19367" s="33" t="s">
        <v>51</v>
      </c>
      <c r="J19367" s="42">
        <v>45565</v>
      </c>
      <c r="K19367" s="33" t="s">
        <v>22</v>
      </c>
    </row>
    <row r="19368" spans="1:11">
      <c r="A19368" s="30" t="s">
        <v>43141</v>
      </c>
      <c r="B19368" s="30" t="s">
        <v>43142</v>
      </c>
      <c r="C19368" s="30" t="s">
        <v>149</v>
      </c>
      <c r="D19368" s="30" t="s">
        <v>17</v>
      </c>
      <c r="E19368" s="30" t="s">
        <v>212</v>
      </c>
      <c r="F19368" s="30" t="s">
        <v>213</v>
      </c>
      <c r="G19368" s="30" t="s">
        <v>140</v>
      </c>
      <c r="H19368" s="32">
        <v>232</v>
      </c>
      <c r="I19368" s="30" t="s">
        <v>51</v>
      </c>
      <c r="J19368" s="41">
        <v>45433</v>
      </c>
      <c r="K19368" s="30" t="s">
        <v>22</v>
      </c>
    </row>
    <row r="19369" spans="1:11">
      <c r="A19369" s="33" t="s">
        <v>43143</v>
      </c>
      <c r="B19369" s="33" t="s">
        <v>43144</v>
      </c>
      <c r="C19369" s="33" t="s">
        <v>190</v>
      </c>
      <c r="D19369" s="33" t="s">
        <v>17</v>
      </c>
      <c r="E19369" s="33" t="s">
        <v>26</v>
      </c>
      <c r="F19369" s="33" t="s">
        <v>27</v>
      </c>
      <c r="G19369" s="33" t="s">
        <v>20</v>
      </c>
      <c r="H19369" s="35">
        <v>30</v>
      </c>
      <c r="I19369" s="33" t="s">
        <v>21</v>
      </c>
      <c r="J19369" s="42">
        <v>45506</v>
      </c>
      <c r="K19369" s="33" t="s">
        <v>22</v>
      </c>
    </row>
    <row r="19370" spans="1:11">
      <c r="A19370" s="30" t="s">
        <v>43145</v>
      </c>
      <c r="B19370" s="30" t="s">
        <v>43146</v>
      </c>
      <c r="C19370" s="30" t="s">
        <v>216</v>
      </c>
      <c r="D19370" s="30" t="s">
        <v>17</v>
      </c>
      <c r="E19370" s="30" t="s">
        <v>18</v>
      </c>
      <c r="F19370" s="30" t="s">
        <v>19</v>
      </c>
      <c r="G19370" s="30" t="s">
        <v>140</v>
      </c>
      <c r="H19370" s="32">
        <v>406</v>
      </c>
      <c r="I19370" s="30" t="s">
        <v>51</v>
      </c>
      <c r="J19370" s="41">
        <v>45574</v>
      </c>
      <c r="K19370" s="30" t="s">
        <v>22</v>
      </c>
    </row>
    <row r="19371" spans="1:11">
      <c r="A19371" s="33" t="s">
        <v>43147</v>
      </c>
      <c r="B19371" s="33" t="s">
        <v>43148</v>
      </c>
      <c r="C19371" s="33" t="s">
        <v>1077</v>
      </c>
      <c r="D19371" s="33" t="s">
        <v>17</v>
      </c>
      <c r="E19371" s="33" t="s">
        <v>26</v>
      </c>
      <c r="F19371" s="33" t="s">
        <v>27</v>
      </c>
      <c r="G19371" s="33" t="s">
        <v>20</v>
      </c>
      <c r="H19371" s="35">
        <v>114</v>
      </c>
      <c r="I19371" s="33" t="s">
        <v>21</v>
      </c>
      <c r="J19371" s="42">
        <v>45379</v>
      </c>
      <c r="K19371" s="33" t="s">
        <v>22</v>
      </c>
    </row>
    <row r="19372" spans="1:11">
      <c r="A19372" s="30" t="s">
        <v>43149</v>
      </c>
      <c r="B19372" s="30" t="s">
        <v>43150</v>
      </c>
      <c r="C19372" s="30" t="s">
        <v>190</v>
      </c>
      <c r="D19372" s="30" t="s">
        <v>17</v>
      </c>
      <c r="E19372" s="30" t="s">
        <v>18</v>
      </c>
      <c r="F19372" s="30" t="s">
        <v>19</v>
      </c>
      <c r="G19372" s="30" t="s">
        <v>140</v>
      </c>
      <c r="H19372" s="32">
        <v>4800</v>
      </c>
      <c r="I19372" s="30" t="s">
        <v>51</v>
      </c>
      <c r="J19372" s="41">
        <v>45394</v>
      </c>
      <c r="K19372" s="30" t="s">
        <v>22</v>
      </c>
    </row>
    <row r="19373" spans="1:11">
      <c r="A19373" s="33" t="s">
        <v>43151</v>
      </c>
      <c r="B19373" s="33" t="s">
        <v>43152</v>
      </c>
      <c r="C19373" s="33" t="s">
        <v>38555</v>
      </c>
      <c r="D19373" s="33" t="s">
        <v>17</v>
      </c>
      <c r="E19373" s="33" t="s">
        <v>31</v>
      </c>
      <c r="F19373" s="33" t="s">
        <v>32</v>
      </c>
      <c r="G19373" s="33" t="s">
        <v>140</v>
      </c>
      <c r="H19373" s="35">
        <v>248</v>
      </c>
      <c r="I19373" s="33" t="s">
        <v>51</v>
      </c>
      <c r="J19373" s="42">
        <v>45649</v>
      </c>
      <c r="K19373" s="33" t="s">
        <v>22</v>
      </c>
    </row>
    <row r="19374" spans="1:11">
      <c r="A19374" s="30" t="s">
        <v>43153</v>
      </c>
      <c r="B19374" s="30" t="s">
        <v>43154</v>
      </c>
      <c r="C19374" s="30" t="s">
        <v>203</v>
      </c>
      <c r="D19374" s="30" t="s">
        <v>17</v>
      </c>
      <c r="E19374" s="30" t="s">
        <v>18</v>
      </c>
      <c r="F19374" s="30" t="s">
        <v>19</v>
      </c>
      <c r="G19374" s="30" t="s">
        <v>140</v>
      </c>
      <c r="H19374" s="32">
        <v>636</v>
      </c>
      <c r="I19374" s="30" t="s">
        <v>51</v>
      </c>
      <c r="J19374" s="41">
        <v>45351</v>
      </c>
      <c r="K19374" s="30" t="s">
        <v>22</v>
      </c>
    </row>
    <row r="19375" spans="1:11">
      <c r="A19375" s="33" t="s">
        <v>43155</v>
      </c>
      <c r="B19375" s="33" t="s">
        <v>43156</v>
      </c>
      <c r="C19375" s="33" t="s">
        <v>437</v>
      </c>
      <c r="D19375" s="33" t="s">
        <v>17</v>
      </c>
      <c r="E19375" s="33" t="s">
        <v>26</v>
      </c>
      <c r="F19375" s="33" t="s">
        <v>27</v>
      </c>
      <c r="G19375" s="33" t="s">
        <v>158</v>
      </c>
      <c r="H19375" s="35">
        <v>163</v>
      </c>
      <c r="I19375" s="33" t="s">
        <v>21</v>
      </c>
      <c r="J19375" s="42">
        <v>45307</v>
      </c>
      <c r="K19375" s="33" t="s">
        <v>22</v>
      </c>
    </row>
    <row r="19376" spans="1:11">
      <c r="A19376" s="30" t="s">
        <v>43157</v>
      </c>
      <c r="B19376" s="30" t="s">
        <v>43158</v>
      </c>
      <c r="C19376" s="30" t="s">
        <v>60</v>
      </c>
      <c r="D19376" s="30" t="s">
        <v>17</v>
      </c>
      <c r="E19376" s="30" t="s">
        <v>26</v>
      </c>
      <c r="F19376" s="30" t="s">
        <v>27</v>
      </c>
      <c r="G19376" s="30" t="s">
        <v>20</v>
      </c>
      <c r="H19376" s="32">
        <v>42</v>
      </c>
      <c r="I19376" s="30" t="s">
        <v>21</v>
      </c>
      <c r="J19376" s="41">
        <v>45414</v>
      </c>
      <c r="K19376" s="30" t="s">
        <v>22</v>
      </c>
    </row>
    <row r="19377" spans="1:11">
      <c r="A19377" s="33" t="s">
        <v>43159</v>
      </c>
      <c r="B19377" s="33" t="s">
        <v>43160</v>
      </c>
      <c r="C19377" s="33" t="s">
        <v>310</v>
      </c>
      <c r="D19377" s="33" t="s">
        <v>17</v>
      </c>
      <c r="E19377" s="33" t="s">
        <v>26</v>
      </c>
      <c r="F19377" s="33" t="s">
        <v>27</v>
      </c>
      <c r="G19377" s="33" t="s">
        <v>20</v>
      </c>
      <c r="H19377" s="35">
        <v>42</v>
      </c>
      <c r="I19377" s="33" t="s">
        <v>21</v>
      </c>
      <c r="J19377" s="42">
        <v>45524</v>
      </c>
      <c r="K19377" s="33" t="s">
        <v>22</v>
      </c>
    </row>
    <row r="19378" spans="1:11">
      <c r="A19378" s="30" t="s">
        <v>43161</v>
      </c>
      <c r="B19378" s="30" t="s">
        <v>43162</v>
      </c>
      <c r="C19378" s="30" t="s">
        <v>891</v>
      </c>
      <c r="D19378" s="30" t="s">
        <v>17</v>
      </c>
      <c r="E19378" s="30" t="s">
        <v>31</v>
      </c>
      <c r="F19378" s="30" t="s">
        <v>32</v>
      </c>
      <c r="G19378" s="30" t="s">
        <v>140</v>
      </c>
      <c r="H19378" s="32">
        <v>162</v>
      </c>
      <c r="I19378" s="30" t="s">
        <v>51</v>
      </c>
      <c r="J19378" s="41">
        <v>45485</v>
      </c>
      <c r="K19378" s="30" t="s">
        <v>22</v>
      </c>
    </row>
    <row r="19379" spans="1:11">
      <c r="A19379" s="33" t="s">
        <v>43163</v>
      </c>
      <c r="B19379" s="33" t="s">
        <v>43164</v>
      </c>
      <c r="C19379" s="33" t="s">
        <v>3429</v>
      </c>
      <c r="D19379" s="33" t="s">
        <v>17</v>
      </c>
      <c r="E19379" s="33" t="s">
        <v>26</v>
      </c>
      <c r="F19379" s="33" t="s">
        <v>27</v>
      </c>
      <c r="G19379" s="33" t="s">
        <v>20</v>
      </c>
      <c r="H19379" s="35">
        <v>36</v>
      </c>
      <c r="I19379" s="33" t="s">
        <v>21</v>
      </c>
      <c r="J19379" s="42">
        <v>45295</v>
      </c>
      <c r="K19379" s="33" t="s">
        <v>22</v>
      </c>
    </row>
    <row r="19380" spans="1:11">
      <c r="A19380" s="30" t="s">
        <v>43165</v>
      </c>
      <c r="B19380" s="30" t="s">
        <v>43166</v>
      </c>
      <c r="C19380" s="30" t="s">
        <v>203</v>
      </c>
      <c r="D19380" s="30" t="s">
        <v>17</v>
      </c>
      <c r="E19380" s="30" t="s">
        <v>67</v>
      </c>
      <c r="F19380" s="30" t="s">
        <v>68</v>
      </c>
      <c r="G19380" s="30" t="s">
        <v>20</v>
      </c>
      <c r="H19380" s="32">
        <v>980</v>
      </c>
      <c r="I19380" s="30" t="s">
        <v>21</v>
      </c>
      <c r="J19380" s="41">
        <v>45615</v>
      </c>
      <c r="K19380" s="30" t="s">
        <v>22</v>
      </c>
    </row>
    <row r="19381" spans="1:11">
      <c r="A19381" s="33" t="s">
        <v>43167</v>
      </c>
      <c r="B19381" s="33" t="s">
        <v>43168</v>
      </c>
      <c r="C19381" s="33" t="s">
        <v>698</v>
      </c>
      <c r="D19381" s="33" t="s">
        <v>17</v>
      </c>
      <c r="E19381" s="33" t="s">
        <v>45</v>
      </c>
      <c r="F19381" s="33" t="s">
        <v>46</v>
      </c>
      <c r="G19381" s="33" t="s">
        <v>7780</v>
      </c>
      <c r="H19381" s="35">
        <v>534</v>
      </c>
      <c r="I19381" s="33" t="s">
        <v>51</v>
      </c>
      <c r="J19381" s="42">
        <v>45413</v>
      </c>
      <c r="K19381" s="33" t="s">
        <v>22</v>
      </c>
    </row>
    <row r="19382" spans="1:11">
      <c r="A19382" s="30" t="s">
        <v>43169</v>
      </c>
      <c r="B19382" s="30" t="s">
        <v>43170</v>
      </c>
      <c r="C19382" s="30" t="s">
        <v>231</v>
      </c>
      <c r="D19382" s="30" t="s">
        <v>17</v>
      </c>
      <c r="E19382" s="30" t="s">
        <v>26</v>
      </c>
      <c r="F19382" s="30" t="s">
        <v>27</v>
      </c>
      <c r="G19382" s="30" t="s">
        <v>20</v>
      </c>
      <c r="H19382" s="32">
        <v>32</v>
      </c>
      <c r="I19382" s="30" t="s">
        <v>21</v>
      </c>
      <c r="J19382" s="41">
        <v>45524</v>
      </c>
      <c r="K19382" s="30" t="s">
        <v>22</v>
      </c>
    </row>
    <row r="19383" spans="1:11">
      <c r="A19383" s="33" t="s">
        <v>43171</v>
      </c>
      <c r="B19383" s="33" t="s">
        <v>43172</v>
      </c>
      <c r="C19383" s="33" t="s">
        <v>11467</v>
      </c>
      <c r="D19383" s="33" t="s">
        <v>17</v>
      </c>
      <c r="E19383" s="33" t="s">
        <v>45</v>
      </c>
      <c r="F19383" s="33" t="s">
        <v>46</v>
      </c>
      <c r="G19383" s="33" t="s">
        <v>158</v>
      </c>
      <c r="H19383" s="35">
        <v>85</v>
      </c>
      <c r="I19383" s="33" t="s">
        <v>21</v>
      </c>
      <c r="J19383" s="42">
        <v>45365</v>
      </c>
      <c r="K19383" s="33" t="s">
        <v>22</v>
      </c>
    </row>
    <row r="19384" spans="1:11">
      <c r="A19384" s="30" t="s">
        <v>43173</v>
      </c>
      <c r="B19384" s="30" t="s">
        <v>43174</v>
      </c>
      <c r="C19384" s="30" t="s">
        <v>3978</v>
      </c>
      <c r="D19384" s="30" t="s">
        <v>17</v>
      </c>
      <c r="E19384" s="30" t="s">
        <v>18</v>
      </c>
      <c r="F19384" s="30" t="s">
        <v>19</v>
      </c>
      <c r="G19384" s="30" t="s">
        <v>158</v>
      </c>
      <c r="H19384" s="32">
        <v>51</v>
      </c>
      <c r="I19384" s="30" t="s">
        <v>21</v>
      </c>
      <c r="J19384" s="41">
        <v>45504</v>
      </c>
      <c r="K19384" s="30" t="s">
        <v>22</v>
      </c>
    </row>
    <row r="19385" spans="1:11">
      <c r="A19385" s="33" t="s">
        <v>43175</v>
      </c>
      <c r="B19385" s="33" t="s">
        <v>43176</v>
      </c>
      <c r="C19385" s="33" t="s">
        <v>18998</v>
      </c>
      <c r="D19385" s="33" t="s">
        <v>17</v>
      </c>
      <c r="E19385" s="33" t="s">
        <v>18</v>
      </c>
      <c r="F19385" s="33" t="s">
        <v>19</v>
      </c>
      <c r="G19385" s="33" t="s">
        <v>20</v>
      </c>
      <c r="H19385" s="35">
        <v>488</v>
      </c>
      <c r="I19385" s="33" t="s">
        <v>21</v>
      </c>
      <c r="J19385" s="42">
        <v>45317</v>
      </c>
      <c r="K19385" s="33" t="s">
        <v>22</v>
      </c>
    </row>
    <row r="19386" spans="1:11">
      <c r="A19386" s="30" t="s">
        <v>43177</v>
      </c>
      <c r="B19386" s="30" t="s">
        <v>43178</v>
      </c>
      <c r="C19386" s="30" t="s">
        <v>37378</v>
      </c>
      <c r="D19386" s="30" t="s">
        <v>17</v>
      </c>
      <c r="E19386" s="30" t="s">
        <v>31</v>
      </c>
      <c r="F19386" s="30" t="s">
        <v>32</v>
      </c>
      <c r="G19386" s="30" t="s">
        <v>106</v>
      </c>
      <c r="H19386" s="32">
        <v>110</v>
      </c>
      <c r="I19386" s="30" t="s">
        <v>21</v>
      </c>
      <c r="J19386" s="41">
        <v>45610</v>
      </c>
      <c r="K19386" s="30" t="s">
        <v>22</v>
      </c>
    </row>
    <row r="19387" spans="1:11">
      <c r="A19387" s="33" t="s">
        <v>43179</v>
      </c>
      <c r="B19387" s="33" t="s">
        <v>43180</v>
      </c>
      <c r="C19387" s="33" t="s">
        <v>11899</v>
      </c>
      <c r="D19387" s="33" t="s">
        <v>17</v>
      </c>
      <c r="E19387" s="33" t="s">
        <v>26</v>
      </c>
      <c r="F19387" s="33" t="s">
        <v>27</v>
      </c>
      <c r="G19387" s="33" t="s">
        <v>140</v>
      </c>
      <c r="H19387" s="35">
        <v>80</v>
      </c>
      <c r="I19387" s="33" t="s">
        <v>51</v>
      </c>
      <c r="J19387" s="42">
        <v>45469</v>
      </c>
      <c r="K19387" s="33" t="s">
        <v>22</v>
      </c>
    </row>
    <row r="19388" spans="1:11">
      <c r="A19388" s="30" t="s">
        <v>43181</v>
      </c>
      <c r="B19388" s="30" t="s">
        <v>43182</v>
      </c>
      <c r="C19388" s="30" t="s">
        <v>718</v>
      </c>
      <c r="D19388" s="30" t="s">
        <v>17</v>
      </c>
      <c r="E19388" s="30" t="s">
        <v>18</v>
      </c>
      <c r="F19388" s="30" t="s">
        <v>19</v>
      </c>
      <c r="G19388" s="30" t="s">
        <v>140</v>
      </c>
      <c r="H19388" s="32">
        <v>284</v>
      </c>
      <c r="I19388" s="30" t="s">
        <v>51</v>
      </c>
      <c r="J19388" s="41">
        <v>45404</v>
      </c>
      <c r="K19388" s="30" t="s">
        <v>22</v>
      </c>
    </row>
    <row r="19389" spans="1:11">
      <c r="A19389" s="33" t="s">
        <v>43183</v>
      </c>
      <c r="B19389" s="33" t="s">
        <v>43184</v>
      </c>
      <c r="C19389" s="33" t="s">
        <v>1016</v>
      </c>
      <c r="D19389" s="33" t="s">
        <v>17</v>
      </c>
      <c r="E19389" s="33" t="s">
        <v>31</v>
      </c>
      <c r="F19389" s="33" t="s">
        <v>32</v>
      </c>
      <c r="G19389" s="33" t="s">
        <v>140</v>
      </c>
      <c r="H19389" s="35">
        <v>9</v>
      </c>
      <c r="I19389" s="33" t="s">
        <v>51</v>
      </c>
      <c r="J19389" s="42">
        <v>45600</v>
      </c>
      <c r="K19389" s="33" t="s">
        <v>22</v>
      </c>
    </row>
    <row r="19390" spans="1:11">
      <c r="A19390" s="30" t="s">
        <v>43185</v>
      </c>
      <c r="B19390" s="30" t="s">
        <v>43186</v>
      </c>
      <c r="C19390" s="30" t="s">
        <v>34327</v>
      </c>
      <c r="D19390" s="30" t="s">
        <v>17</v>
      </c>
      <c r="E19390" s="30" t="s">
        <v>26</v>
      </c>
      <c r="F19390" s="30" t="s">
        <v>27</v>
      </c>
      <c r="G19390" s="30" t="s">
        <v>20</v>
      </c>
      <c r="H19390" s="32">
        <v>105</v>
      </c>
      <c r="I19390" s="30" t="s">
        <v>21</v>
      </c>
      <c r="J19390" s="41">
        <v>45530</v>
      </c>
      <c r="K19390" s="30" t="s">
        <v>22</v>
      </c>
    </row>
    <row r="19391" spans="1:11">
      <c r="A19391" s="33" t="s">
        <v>43187</v>
      </c>
      <c r="B19391" s="33" t="s">
        <v>43188</v>
      </c>
      <c r="C19391" s="33" t="s">
        <v>38754</v>
      </c>
      <c r="D19391" s="33" t="s">
        <v>17</v>
      </c>
      <c r="E19391" s="33" t="s">
        <v>18</v>
      </c>
      <c r="F19391" s="33" t="s">
        <v>19</v>
      </c>
      <c r="G19391" s="33" t="s">
        <v>20</v>
      </c>
      <c r="H19391" s="35">
        <v>283</v>
      </c>
      <c r="I19391" s="33" t="s">
        <v>21</v>
      </c>
      <c r="J19391" s="42">
        <v>45572</v>
      </c>
      <c r="K19391" s="33" t="s">
        <v>22</v>
      </c>
    </row>
    <row r="19392" spans="1:11">
      <c r="A19392" s="30" t="s">
        <v>43189</v>
      </c>
      <c r="B19392" s="30" t="s">
        <v>43190</v>
      </c>
      <c r="C19392" s="30" t="s">
        <v>4221</v>
      </c>
      <c r="D19392" s="30" t="s">
        <v>17</v>
      </c>
      <c r="E19392" s="30" t="s">
        <v>31</v>
      </c>
      <c r="F19392" s="30" t="s">
        <v>32</v>
      </c>
      <c r="G19392" s="30" t="s">
        <v>158</v>
      </c>
      <c r="H19392" s="32">
        <v>67</v>
      </c>
      <c r="I19392" s="30" t="s">
        <v>21</v>
      </c>
      <c r="J19392" s="41">
        <v>45622</v>
      </c>
      <c r="K19392" s="30" t="s">
        <v>22</v>
      </c>
    </row>
    <row r="19393" spans="1:11">
      <c r="A19393" s="33" t="s">
        <v>43191</v>
      </c>
      <c r="B19393" s="33" t="s">
        <v>43192</v>
      </c>
      <c r="C19393" s="33" t="s">
        <v>1571</v>
      </c>
      <c r="D19393" s="33" t="s">
        <v>17</v>
      </c>
      <c r="E19393" s="33" t="s">
        <v>31</v>
      </c>
      <c r="F19393" s="33" t="s">
        <v>32</v>
      </c>
      <c r="G19393" s="33" t="s">
        <v>140</v>
      </c>
      <c r="H19393" s="35">
        <v>54</v>
      </c>
      <c r="I19393" s="33" t="s">
        <v>51</v>
      </c>
      <c r="J19393" s="42">
        <v>45621</v>
      </c>
      <c r="K19393" s="33" t="s">
        <v>22</v>
      </c>
    </row>
    <row r="19394" spans="1:11">
      <c r="A19394" s="30" t="s">
        <v>43193</v>
      </c>
      <c r="B19394" s="30" t="s">
        <v>43194</v>
      </c>
      <c r="C19394" s="30" t="s">
        <v>26407</v>
      </c>
      <c r="D19394" s="30" t="s">
        <v>17</v>
      </c>
      <c r="E19394" s="30" t="s">
        <v>45</v>
      </c>
      <c r="F19394" s="30" t="s">
        <v>46</v>
      </c>
      <c r="G19394" s="30" t="s">
        <v>140</v>
      </c>
      <c r="H19394" s="32">
        <v>254</v>
      </c>
      <c r="I19394" s="30" t="s">
        <v>51</v>
      </c>
      <c r="J19394" s="41">
        <v>45549</v>
      </c>
      <c r="K19394" s="30" t="s">
        <v>22</v>
      </c>
    </row>
    <row r="19395" spans="1:11">
      <c r="A19395" s="33" t="s">
        <v>43195</v>
      </c>
      <c r="B19395" s="33" t="s">
        <v>43196</v>
      </c>
      <c r="C19395" s="33" t="s">
        <v>43197</v>
      </c>
      <c r="D19395" s="33" t="s">
        <v>17</v>
      </c>
      <c r="E19395" s="33" t="s">
        <v>26</v>
      </c>
      <c r="F19395" s="33" t="s">
        <v>27</v>
      </c>
      <c r="G19395" s="33" t="s">
        <v>140</v>
      </c>
      <c r="H19395" s="35">
        <v>30</v>
      </c>
      <c r="I19395" s="33" t="s">
        <v>51</v>
      </c>
      <c r="J19395" s="42">
        <v>45609</v>
      </c>
      <c r="K19395" s="33" t="s">
        <v>22</v>
      </c>
    </row>
    <row r="19396" spans="1:11">
      <c r="A19396" s="30" t="s">
        <v>43198</v>
      </c>
      <c r="B19396" s="30" t="s">
        <v>43199</v>
      </c>
      <c r="C19396" s="30" t="s">
        <v>3270</v>
      </c>
      <c r="D19396" s="30" t="s">
        <v>17</v>
      </c>
      <c r="E19396" s="30" t="s">
        <v>26</v>
      </c>
      <c r="F19396" s="30" t="s">
        <v>27</v>
      </c>
      <c r="G19396" s="30" t="s">
        <v>140</v>
      </c>
      <c r="H19396" s="32">
        <v>244</v>
      </c>
      <c r="I19396" s="30" t="s">
        <v>51</v>
      </c>
      <c r="J19396" s="41">
        <v>45379</v>
      </c>
      <c r="K19396" s="30" t="s">
        <v>22</v>
      </c>
    </row>
    <row r="19397" spans="1:11">
      <c r="A19397" s="33" t="s">
        <v>43200</v>
      </c>
      <c r="B19397" s="33" t="s">
        <v>43201</v>
      </c>
      <c r="C19397" s="33" t="s">
        <v>190</v>
      </c>
      <c r="D19397" s="33" t="s">
        <v>17</v>
      </c>
      <c r="E19397" s="33" t="s">
        <v>26</v>
      </c>
      <c r="F19397" s="33" t="s">
        <v>27</v>
      </c>
      <c r="G19397" s="33" t="s">
        <v>20</v>
      </c>
      <c r="H19397" s="35">
        <v>56</v>
      </c>
      <c r="I19397" s="33" t="s">
        <v>21</v>
      </c>
      <c r="J19397" s="42">
        <v>45488</v>
      </c>
      <c r="K19397" s="33" t="s">
        <v>22</v>
      </c>
    </row>
    <row r="19398" spans="1:11">
      <c r="A19398" s="30" t="s">
        <v>43202</v>
      </c>
      <c r="B19398" s="30" t="s">
        <v>43203</v>
      </c>
      <c r="C19398" s="30" t="s">
        <v>187</v>
      </c>
      <c r="D19398" s="30" t="s">
        <v>17</v>
      </c>
      <c r="E19398" s="30" t="s">
        <v>31</v>
      </c>
      <c r="F19398" s="30" t="s">
        <v>32</v>
      </c>
      <c r="G19398" s="30" t="s">
        <v>140</v>
      </c>
      <c r="H19398" s="32">
        <v>52</v>
      </c>
      <c r="I19398" s="30" t="s">
        <v>51</v>
      </c>
      <c r="J19398" s="41">
        <v>45419</v>
      </c>
      <c r="K19398" s="30" t="s">
        <v>22</v>
      </c>
    </row>
    <row r="19399" spans="1:11">
      <c r="A19399" s="33" t="s">
        <v>43204</v>
      </c>
      <c r="B19399" s="33" t="s">
        <v>43205</v>
      </c>
      <c r="C19399" s="33" t="s">
        <v>16391</v>
      </c>
      <c r="D19399" s="33" t="s">
        <v>17</v>
      </c>
      <c r="E19399" s="33" t="s">
        <v>26</v>
      </c>
      <c r="F19399" s="33" t="s">
        <v>27</v>
      </c>
      <c r="G19399" s="33" t="s">
        <v>140</v>
      </c>
      <c r="H19399" s="35">
        <v>90</v>
      </c>
      <c r="I19399" s="33" t="s">
        <v>51</v>
      </c>
      <c r="J19399" s="42">
        <v>45475</v>
      </c>
      <c r="K19399" s="33" t="s">
        <v>22</v>
      </c>
    </row>
    <row r="19400" spans="1:11">
      <c r="A19400" s="30" t="s">
        <v>43206</v>
      </c>
      <c r="B19400" s="30" t="s">
        <v>43207</v>
      </c>
      <c r="C19400" s="30" t="s">
        <v>592</v>
      </c>
      <c r="D19400" s="30" t="s">
        <v>17</v>
      </c>
      <c r="E19400" s="30" t="s">
        <v>212</v>
      </c>
      <c r="F19400" s="30" t="s">
        <v>213</v>
      </c>
      <c r="G19400" s="30" t="s">
        <v>20</v>
      </c>
      <c r="H19400" s="32">
        <v>204</v>
      </c>
      <c r="I19400" s="30" t="s">
        <v>21</v>
      </c>
      <c r="J19400" s="41">
        <v>45404</v>
      </c>
      <c r="K19400" s="30" t="s">
        <v>22</v>
      </c>
    </row>
    <row r="19401" spans="1:11">
      <c r="A19401" s="33" t="s">
        <v>43208</v>
      </c>
      <c r="B19401" s="33" t="s">
        <v>43209</v>
      </c>
      <c r="C19401" s="33" t="s">
        <v>3757</v>
      </c>
      <c r="D19401" s="33" t="s">
        <v>17</v>
      </c>
      <c r="E19401" s="33" t="s">
        <v>18</v>
      </c>
      <c r="F19401" s="33" t="s">
        <v>19</v>
      </c>
      <c r="G19401" s="33" t="s">
        <v>140</v>
      </c>
      <c r="H19401" s="35">
        <v>430</v>
      </c>
      <c r="I19401" s="33" t="s">
        <v>51</v>
      </c>
      <c r="J19401" s="42">
        <v>45408</v>
      </c>
      <c r="K19401" s="33" t="s">
        <v>22</v>
      </c>
    </row>
    <row r="19402" spans="1:11">
      <c r="A19402" s="30" t="s">
        <v>43210</v>
      </c>
      <c r="B19402" s="30" t="s">
        <v>43211</v>
      </c>
      <c r="C19402" s="30" t="s">
        <v>109</v>
      </c>
      <c r="D19402" s="30" t="s">
        <v>17</v>
      </c>
      <c r="E19402" s="30" t="s">
        <v>31</v>
      </c>
      <c r="F19402" s="30" t="s">
        <v>32</v>
      </c>
      <c r="G19402" s="30" t="s">
        <v>20</v>
      </c>
      <c r="H19402" s="32">
        <v>316</v>
      </c>
      <c r="I19402" s="30" t="s">
        <v>21</v>
      </c>
      <c r="J19402" s="41">
        <v>45309</v>
      </c>
      <c r="K19402" s="30" t="s">
        <v>22</v>
      </c>
    </row>
    <row r="19403" spans="1:11">
      <c r="A19403" s="33" t="s">
        <v>43212</v>
      </c>
      <c r="B19403" s="33" t="s">
        <v>43213</v>
      </c>
      <c r="C19403" s="33" t="s">
        <v>13269</v>
      </c>
      <c r="D19403" s="33" t="s">
        <v>17</v>
      </c>
      <c r="E19403" s="33" t="s">
        <v>31</v>
      </c>
      <c r="F19403" s="33" t="s">
        <v>32</v>
      </c>
      <c r="G19403" s="33" t="s">
        <v>106</v>
      </c>
      <c r="H19403" s="35">
        <v>204</v>
      </c>
      <c r="I19403" s="33" t="s">
        <v>21</v>
      </c>
      <c r="J19403" s="42">
        <v>45470</v>
      </c>
      <c r="K19403" s="33" t="s">
        <v>22</v>
      </c>
    </row>
    <row r="19404" spans="1:11">
      <c r="A19404" s="30" t="s">
        <v>43214</v>
      </c>
      <c r="B19404" s="30" t="s">
        <v>43215</v>
      </c>
      <c r="C19404" s="30" t="s">
        <v>4345</v>
      </c>
      <c r="D19404" s="30" t="s">
        <v>17</v>
      </c>
      <c r="E19404" s="30" t="s">
        <v>67</v>
      </c>
      <c r="F19404" s="30" t="s">
        <v>68</v>
      </c>
      <c r="G19404" s="30" t="s">
        <v>140</v>
      </c>
      <c r="H19404" s="32">
        <v>48</v>
      </c>
      <c r="I19404" s="30" t="s">
        <v>51</v>
      </c>
      <c r="J19404" s="41">
        <v>45586</v>
      </c>
      <c r="K19404" s="30" t="s">
        <v>22</v>
      </c>
    </row>
    <row r="19405" spans="1:11">
      <c r="A19405" s="33" t="s">
        <v>43216</v>
      </c>
      <c r="B19405" s="33" t="s">
        <v>43217</v>
      </c>
      <c r="C19405" s="33" t="s">
        <v>3278</v>
      </c>
      <c r="D19405" s="33" t="s">
        <v>17</v>
      </c>
      <c r="E19405" s="33" t="s">
        <v>31</v>
      </c>
      <c r="F19405" s="33" t="s">
        <v>32</v>
      </c>
      <c r="G19405" s="33" t="s">
        <v>20</v>
      </c>
      <c r="H19405" s="35">
        <v>161</v>
      </c>
      <c r="I19405" s="33" t="s">
        <v>21</v>
      </c>
      <c r="J19405" s="42">
        <v>45322</v>
      </c>
      <c r="K19405" s="33" t="s">
        <v>22</v>
      </c>
    </row>
    <row r="19406" spans="1:11">
      <c r="A19406" s="30" t="s">
        <v>43218</v>
      </c>
      <c r="B19406" s="30" t="s">
        <v>43219</v>
      </c>
      <c r="C19406" s="30" t="s">
        <v>43220</v>
      </c>
      <c r="D19406" s="30" t="s">
        <v>17</v>
      </c>
      <c r="E19406" s="30" t="s">
        <v>26</v>
      </c>
      <c r="F19406" s="30" t="s">
        <v>27</v>
      </c>
      <c r="G19406" s="30" t="s">
        <v>140</v>
      </c>
      <c r="H19406" s="32">
        <v>24</v>
      </c>
      <c r="I19406" s="30" t="s">
        <v>51</v>
      </c>
      <c r="J19406" s="41">
        <v>45308</v>
      </c>
      <c r="K19406" s="30" t="s">
        <v>22</v>
      </c>
    </row>
    <row r="19407" spans="1:11">
      <c r="A19407" s="33" t="s">
        <v>43221</v>
      </c>
      <c r="B19407" s="33" t="s">
        <v>43222</v>
      </c>
      <c r="C19407" s="33" t="s">
        <v>38895</v>
      </c>
      <c r="D19407" s="33" t="s">
        <v>17</v>
      </c>
      <c r="E19407" s="33" t="s">
        <v>18</v>
      </c>
      <c r="F19407" s="33" t="s">
        <v>19</v>
      </c>
      <c r="G19407" s="33" t="s">
        <v>50</v>
      </c>
      <c r="H19407" s="35">
        <v>400</v>
      </c>
      <c r="I19407" s="33" t="s">
        <v>51</v>
      </c>
      <c r="J19407" s="42">
        <v>45352</v>
      </c>
      <c r="K19407" s="33" t="s">
        <v>22</v>
      </c>
    </row>
    <row r="19408" spans="1:11">
      <c r="A19408" s="30" t="s">
        <v>43223</v>
      </c>
      <c r="B19408" s="30" t="s">
        <v>43224</v>
      </c>
      <c r="C19408" s="30" t="s">
        <v>43225</v>
      </c>
      <c r="D19408" s="30" t="s">
        <v>17</v>
      </c>
      <c r="E19408" s="30" t="s">
        <v>67</v>
      </c>
      <c r="F19408" s="30" t="s">
        <v>68</v>
      </c>
      <c r="G19408" s="30" t="s">
        <v>140</v>
      </c>
      <c r="H19408" s="32">
        <v>75</v>
      </c>
      <c r="I19408" s="30" t="s">
        <v>51</v>
      </c>
      <c r="J19408" s="41">
        <v>45523</v>
      </c>
      <c r="K19408" s="30" t="s">
        <v>22</v>
      </c>
    </row>
    <row r="19409" spans="1:11">
      <c r="A19409" s="33" t="s">
        <v>43226</v>
      </c>
      <c r="B19409" s="33" t="s">
        <v>43227</v>
      </c>
      <c r="C19409" s="33" t="s">
        <v>1080</v>
      </c>
      <c r="D19409" s="33" t="s">
        <v>17</v>
      </c>
      <c r="E19409" s="33" t="s">
        <v>31</v>
      </c>
      <c r="F19409" s="33" t="s">
        <v>32</v>
      </c>
      <c r="G19409" s="33" t="s">
        <v>140</v>
      </c>
      <c r="H19409" s="35">
        <v>50</v>
      </c>
      <c r="I19409" s="33" t="s">
        <v>51</v>
      </c>
      <c r="J19409" s="42">
        <v>45656</v>
      </c>
      <c r="K19409" s="33" t="s">
        <v>22</v>
      </c>
    </row>
    <row r="19410" spans="1:11">
      <c r="A19410" s="30" t="s">
        <v>43228</v>
      </c>
      <c r="B19410" s="30" t="s">
        <v>43229</v>
      </c>
      <c r="C19410" s="30" t="s">
        <v>43230</v>
      </c>
      <c r="D19410" s="30" t="s">
        <v>17</v>
      </c>
      <c r="E19410" s="30" t="s">
        <v>26</v>
      </c>
      <c r="F19410" s="30" t="s">
        <v>27</v>
      </c>
      <c r="G19410" s="30" t="s">
        <v>158</v>
      </c>
      <c r="H19410" s="32">
        <v>56</v>
      </c>
      <c r="I19410" s="30" t="s">
        <v>21</v>
      </c>
      <c r="J19410" s="41">
        <v>45539</v>
      </c>
      <c r="K19410" s="30" t="s">
        <v>22</v>
      </c>
    </row>
    <row r="19411" spans="1:11">
      <c r="A19411" s="33" t="s">
        <v>43231</v>
      </c>
      <c r="B19411" s="33" t="s">
        <v>43232</v>
      </c>
      <c r="C19411" s="33" t="s">
        <v>31562</v>
      </c>
      <c r="D19411" s="33" t="s">
        <v>17</v>
      </c>
      <c r="E19411" s="33" t="s">
        <v>31</v>
      </c>
      <c r="F19411" s="33" t="s">
        <v>32</v>
      </c>
      <c r="G19411" s="33" t="s">
        <v>140</v>
      </c>
      <c r="H19411" s="35">
        <v>160</v>
      </c>
      <c r="I19411" s="33" t="s">
        <v>51</v>
      </c>
      <c r="J19411" s="42">
        <v>45348</v>
      </c>
      <c r="K19411" s="33" t="s">
        <v>22</v>
      </c>
    </row>
    <row r="19412" spans="1:11">
      <c r="A19412" s="30" t="s">
        <v>43233</v>
      </c>
      <c r="B19412" s="30" t="s">
        <v>43234</v>
      </c>
      <c r="C19412" s="30" t="s">
        <v>5053</v>
      </c>
      <c r="D19412" s="30" t="s">
        <v>17</v>
      </c>
      <c r="E19412" s="30" t="s">
        <v>26</v>
      </c>
      <c r="F19412" s="30" t="s">
        <v>27</v>
      </c>
      <c r="G19412" s="30" t="s">
        <v>20</v>
      </c>
      <c r="H19412" s="32">
        <v>27</v>
      </c>
      <c r="I19412" s="30" t="s">
        <v>21</v>
      </c>
      <c r="J19412" s="41">
        <v>45469</v>
      </c>
      <c r="K19412" s="30" t="s">
        <v>22</v>
      </c>
    </row>
    <row r="19413" spans="1:11">
      <c r="A19413" s="33" t="s">
        <v>43235</v>
      </c>
      <c r="B19413" s="33" t="s">
        <v>43236</v>
      </c>
      <c r="C19413" s="33" t="s">
        <v>29838</v>
      </c>
      <c r="D19413" s="33" t="s">
        <v>17</v>
      </c>
      <c r="E19413" s="33" t="s">
        <v>18</v>
      </c>
      <c r="F19413" s="33" t="s">
        <v>19</v>
      </c>
      <c r="G19413" s="33" t="s">
        <v>7780</v>
      </c>
      <c r="H19413" s="35">
        <v>428</v>
      </c>
      <c r="I19413" s="33" t="s">
        <v>51</v>
      </c>
      <c r="J19413" s="42">
        <v>45505</v>
      </c>
      <c r="K19413" s="33" t="s">
        <v>22</v>
      </c>
    </row>
    <row r="19414" spans="1:11">
      <c r="A19414" s="30" t="s">
        <v>43237</v>
      </c>
      <c r="B19414" s="30" t="s">
        <v>43238</v>
      </c>
      <c r="C19414" s="30" t="s">
        <v>13241</v>
      </c>
      <c r="D19414" s="30" t="s">
        <v>17</v>
      </c>
      <c r="E19414" s="30" t="s">
        <v>67</v>
      </c>
      <c r="F19414" s="30" t="s">
        <v>68</v>
      </c>
      <c r="G19414" s="30" t="s">
        <v>140</v>
      </c>
      <c r="H19414" s="32">
        <v>156</v>
      </c>
      <c r="I19414" s="30" t="s">
        <v>51</v>
      </c>
      <c r="J19414" s="41">
        <v>45475</v>
      </c>
      <c r="K19414" s="30" t="s">
        <v>22</v>
      </c>
    </row>
    <row r="19415" spans="1:11">
      <c r="A19415" s="33" t="s">
        <v>43239</v>
      </c>
      <c r="B19415" s="33" t="s">
        <v>43240</v>
      </c>
      <c r="C19415" s="33" t="s">
        <v>2562</v>
      </c>
      <c r="D19415" s="33" t="s">
        <v>17</v>
      </c>
      <c r="E19415" s="33" t="s">
        <v>26</v>
      </c>
      <c r="F19415" s="33" t="s">
        <v>27</v>
      </c>
      <c r="G19415" s="33" t="s">
        <v>50</v>
      </c>
      <c r="H19415" s="35">
        <v>236</v>
      </c>
      <c r="I19415" s="33" t="s">
        <v>51</v>
      </c>
      <c r="J19415" s="42">
        <v>45412</v>
      </c>
      <c r="K19415" s="33" t="s">
        <v>22</v>
      </c>
    </row>
    <row r="19416" spans="1:11">
      <c r="A19416" s="30" t="s">
        <v>43241</v>
      </c>
      <c r="B19416" s="30" t="s">
        <v>43242</v>
      </c>
      <c r="C19416" s="30" t="s">
        <v>6914</v>
      </c>
      <c r="D19416" s="30" t="s">
        <v>17</v>
      </c>
      <c r="E19416" s="30" t="s">
        <v>26</v>
      </c>
      <c r="F19416" s="30" t="s">
        <v>27</v>
      </c>
      <c r="G19416" s="30" t="s">
        <v>106</v>
      </c>
      <c r="H19416" s="32">
        <v>29</v>
      </c>
      <c r="I19416" s="30" t="s">
        <v>21</v>
      </c>
      <c r="J19416" s="41">
        <v>45336</v>
      </c>
      <c r="K19416" s="30" t="s">
        <v>22</v>
      </c>
    </row>
    <row r="19417" spans="1:11">
      <c r="A19417" s="33" t="s">
        <v>43243</v>
      </c>
      <c r="B19417" s="33" t="s">
        <v>43244</v>
      </c>
      <c r="C19417" s="33" t="s">
        <v>39929</v>
      </c>
      <c r="D19417" s="33" t="s">
        <v>17</v>
      </c>
      <c r="E19417" s="33" t="s">
        <v>67</v>
      </c>
      <c r="F19417" s="33" t="s">
        <v>68</v>
      </c>
      <c r="G19417" s="33" t="s">
        <v>158</v>
      </c>
      <c r="H19417" s="35">
        <v>20</v>
      </c>
      <c r="I19417" s="33" t="s">
        <v>51</v>
      </c>
      <c r="J19417" s="42">
        <v>45572</v>
      </c>
      <c r="K19417" s="33" t="s">
        <v>22</v>
      </c>
    </row>
    <row r="19418" spans="1:11">
      <c r="A19418" s="30" t="s">
        <v>43245</v>
      </c>
      <c r="B19418" s="30" t="s">
        <v>43246</v>
      </c>
      <c r="C19418" s="30" t="s">
        <v>647</v>
      </c>
      <c r="D19418" s="30" t="s">
        <v>17</v>
      </c>
      <c r="E19418" s="30" t="s">
        <v>18</v>
      </c>
      <c r="F19418" s="30" t="s">
        <v>19</v>
      </c>
      <c r="G19418" s="30" t="s">
        <v>20</v>
      </c>
      <c r="H19418" s="32">
        <v>301</v>
      </c>
      <c r="I19418" s="30" t="s">
        <v>21</v>
      </c>
      <c r="J19418" s="41">
        <v>45481</v>
      </c>
      <c r="K19418" s="30" t="s">
        <v>22</v>
      </c>
    </row>
    <row r="19419" spans="1:11">
      <c r="A19419" s="33" t="s">
        <v>43247</v>
      </c>
      <c r="B19419" s="33" t="s">
        <v>43248</v>
      </c>
      <c r="C19419" s="33" t="s">
        <v>905</v>
      </c>
      <c r="D19419" s="33" t="s">
        <v>17</v>
      </c>
      <c r="E19419" s="33" t="s">
        <v>31</v>
      </c>
      <c r="F19419" s="33" t="s">
        <v>32</v>
      </c>
      <c r="G19419" s="33" t="s">
        <v>140</v>
      </c>
      <c r="H19419" s="35">
        <v>120</v>
      </c>
      <c r="I19419" s="33" t="s">
        <v>51</v>
      </c>
      <c r="J19419" s="42">
        <v>45330</v>
      </c>
      <c r="K19419" s="33" t="s">
        <v>22</v>
      </c>
    </row>
    <row r="19420" spans="1:11">
      <c r="A19420" s="30" t="s">
        <v>43249</v>
      </c>
      <c r="B19420" s="30" t="s">
        <v>43250</v>
      </c>
      <c r="C19420" s="30" t="s">
        <v>15585</v>
      </c>
      <c r="D19420" s="30" t="s">
        <v>17</v>
      </c>
      <c r="E19420" s="30" t="s">
        <v>18</v>
      </c>
      <c r="F19420" s="30" t="s">
        <v>19</v>
      </c>
      <c r="G19420" s="30" t="s">
        <v>20</v>
      </c>
      <c r="H19420" s="32">
        <v>567</v>
      </c>
      <c r="I19420" s="30" t="s">
        <v>21</v>
      </c>
      <c r="J19420" s="41">
        <v>45425</v>
      </c>
      <c r="K19420" s="30" t="s">
        <v>22</v>
      </c>
    </row>
    <row r="19421" spans="1:11">
      <c r="A19421" s="33" t="s">
        <v>43251</v>
      </c>
      <c r="B19421" s="33" t="s">
        <v>43252</v>
      </c>
      <c r="C19421" s="33" t="s">
        <v>187</v>
      </c>
      <c r="D19421" s="33" t="s">
        <v>17</v>
      </c>
      <c r="E19421" s="33" t="s">
        <v>26</v>
      </c>
      <c r="F19421" s="33" t="s">
        <v>27</v>
      </c>
      <c r="G19421" s="33" t="s">
        <v>50</v>
      </c>
      <c r="H19421" s="35">
        <v>40</v>
      </c>
      <c r="I19421" s="33" t="s">
        <v>51</v>
      </c>
      <c r="J19421" s="42">
        <v>45492</v>
      </c>
      <c r="K19421" s="33" t="s">
        <v>22</v>
      </c>
    </row>
    <row r="19422" spans="1:11">
      <c r="A19422" s="30" t="s">
        <v>43253</v>
      </c>
      <c r="B19422" s="30" t="s">
        <v>43254</v>
      </c>
      <c r="C19422" s="30" t="s">
        <v>203</v>
      </c>
      <c r="D19422" s="30" t="s">
        <v>17</v>
      </c>
      <c r="E19422" s="30" t="s">
        <v>31</v>
      </c>
      <c r="F19422" s="30" t="s">
        <v>32</v>
      </c>
      <c r="G19422" s="30" t="s">
        <v>140</v>
      </c>
      <c r="H19422" s="32">
        <v>84</v>
      </c>
      <c r="I19422" s="30" t="s">
        <v>51</v>
      </c>
      <c r="J19422" s="41">
        <v>45645</v>
      </c>
      <c r="K19422" s="30" t="s">
        <v>22</v>
      </c>
    </row>
    <row r="19423" spans="1:11">
      <c r="A19423" s="33" t="s">
        <v>43255</v>
      </c>
      <c r="B19423" s="33" t="s">
        <v>43256</v>
      </c>
      <c r="C19423" s="33" t="s">
        <v>43257</v>
      </c>
      <c r="D19423" s="33" t="s">
        <v>17</v>
      </c>
      <c r="E19423" s="33" t="s">
        <v>26</v>
      </c>
      <c r="F19423" s="33" t="s">
        <v>27</v>
      </c>
      <c r="G19423" s="33" t="s">
        <v>20</v>
      </c>
      <c r="H19423" s="35">
        <v>58</v>
      </c>
      <c r="I19423" s="33" t="s">
        <v>21</v>
      </c>
      <c r="J19423" s="42">
        <v>45544</v>
      </c>
      <c r="K19423" s="33" t="s">
        <v>22</v>
      </c>
    </row>
    <row r="19424" spans="1:11">
      <c r="A19424" s="30" t="s">
        <v>43258</v>
      </c>
      <c r="B19424" s="30" t="s">
        <v>43259</v>
      </c>
      <c r="C19424" s="30" t="s">
        <v>20409</v>
      </c>
      <c r="D19424" s="30" t="s">
        <v>17</v>
      </c>
      <c r="E19424" s="30" t="s">
        <v>18</v>
      </c>
      <c r="F19424" s="30" t="s">
        <v>19</v>
      </c>
      <c r="G19424" s="30" t="s">
        <v>158</v>
      </c>
      <c r="H19424" s="32">
        <v>313</v>
      </c>
      <c r="I19424" s="30" t="s">
        <v>21</v>
      </c>
      <c r="J19424" s="41">
        <v>45442</v>
      </c>
      <c r="K19424" s="30" t="s">
        <v>22</v>
      </c>
    </row>
    <row r="19425" spans="1:11">
      <c r="A19425" s="33" t="s">
        <v>43260</v>
      </c>
      <c r="B19425" s="33" t="s">
        <v>20867</v>
      </c>
      <c r="C19425" s="33" t="s">
        <v>13050</v>
      </c>
      <c r="D19425" s="33" t="s">
        <v>17</v>
      </c>
      <c r="E19425" s="33" t="s">
        <v>67</v>
      </c>
      <c r="F19425" s="33" t="s">
        <v>68</v>
      </c>
      <c r="G19425" s="33" t="s">
        <v>140</v>
      </c>
      <c r="H19425" s="35">
        <v>50</v>
      </c>
      <c r="I19425" s="33" t="s">
        <v>51</v>
      </c>
      <c r="J19425" s="42">
        <v>45352</v>
      </c>
      <c r="K19425" s="33" t="s">
        <v>22</v>
      </c>
    </row>
    <row r="19426" spans="1:11">
      <c r="A19426" s="30" t="s">
        <v>43261</v>
      </c>
      <c r="B19426" s="30" t="s">
        <v>43262</v>
      </c>
      <c r="C19426" s="30" t="s">
        <v>22010</v>
      </c>
      <c r="D19426" s="30" t="s">
        <v>17</v>
      </c>
      <c r="E19426" s="30" t="s">
        <v>26</v>
      </c>
      <c r="F19426" s="30" t="s">
        <v>27</v>
      </c>
      <c r="G19426" s="30" t="s">
        <v>158</v>
      </c>
      <c r="H19426" s="32">
        <v>75</v>
      </c>
      <c r="I19426" s="30" t="s">
        <v>21</v>
      </c>
      <c r="J19426" s="41">
        <v>45560</v>
      </c>
      <c r="K19426" s="30" t="s">
        <v>22</v>
      </c>
    </row>
    <row r="19427" spans="1:11">
      <c r="A19427" s="33" t="s">
        <v>43263</v>
      </c>
      <c r="B19427" s="33" t="s">
        <v>43264</v>
      </c>
      <c r="C19427" s="33" t="s">
        <v>18809</v>
      </c>
      <c r="D19427" s="33" t="s">
        <v>17</v>
      </c>
      <c r="E19427" s="33" t="s">
        <v>26</v>
      </c>
      <c r="F19427" s="33" t="s">
        <v>27</v>
      </c>
      <c r="G19427" s="33" t="s">
        <v>20</v>
      </c>
      <c r="H19427" s="35">
        <v>28</v>
      </c>
      <c r="I19427" s="33" t="s">
        <v>21</v>
      </c>
      <c r="J19427" s="42">
        <v>45357</v>
      </c>
      <c r="K19427" s="33" t="s">
        <v>22</v>
      </c>
    </row>
    <row r="19428" spans="1:11">
      <c r="A19428" s="30" t="s">
        <v>43265</v>
      </c>
      <c r="B19428" s="30" t="s">
        <v>43266</v>
      </c>
      <c r="C19428" s="30" t="s">
        <v>43267</v>
      </c>
      <c r="D19428" s="30" t="s">
        <v>17</v>
      </c>
      <c r="E19428" s="30" t="s">
        <v>45</v>
      </c>
      <c r="F19428" s="30" t="s">
        <v>46</v>
      </c>
      <c r="G19428" s="30" t="s">
        <v>112</v>
      </c>
      <c r="H19428" s="32">
        <v>0</v>
      </c>
      <c r="I19428" s="30" t="s">
        <v>21</v>
      </c>
      <c r="J19428" s="41">
        <v>45627</v>
      </c>
      <c r="K19428" s="30" t="s">
        <v>22</v>
      </c>
    </row>
    <row r="19429" spans="1:11">
      <c r="A19429" s="33" t="s">
        <v>43268</v>
      </c>
      <c r="B19429" s="33" t="s">
        <v>43269</v>
      </c>
      <c r="C19429" s="33" t="s">
        <v>14483</v>
      </c>
      <c r="D19429" s="33" t="s">
        <v>17</v>
      </c>
      <c r="E19429" s="33" t="s">
        <v>26</v>
      </c>
      <c r="F19429" s="33" t="s">
        <v>27</v>
      </c>
      <c r="G19429" s="33" t="s">
        <v>20</v>
      </c>
      <c r="H19429" s="35">
        <v>16</v>
      </c>
      <c r="I19429" s="33" t="s">
        <v>21</v>
      </c>
      <c r="J19429" s="42">
        <v>45420</v>
      </c>
      <c r="K19429" s="33" t="s">
        <v>22</v>
      </c>
    </row>
    <row r="19430" spans="1:11">
      <c r="A19430" s="30" t="s">
        <v>43270</v>
      </c>
      <c r="B19430" s="30" t="s">
        <v>43271</v>
      </c>
      <c r="C19430" s="30" t="s">
        <v>93</v>
      </c>
      <c r="D19430" s="30" t="s">
        <v>17</v>
      </c>
      <c r="E19430" s="30" t="s">
        <v>67</v>
      </c>
      <c r="F19430" s="30" t="s">
        <v>68</v>
      </c>
      <c r="G19430" s="30" t="s">
        <v>140</v>
      </c>
      <c r="H19430" s="32">
        <v>76</v>
      </c>
      <c r="I19430" s="30" t="s">
        <v>51</v>
      </c>
      <c r="J19430" s="41">
        <v>45383</v>
      </c>
      <c r="K19430" s="30" t="s">
        <v>22</v>
      </c>
    </row>
    <row r="19431" spans="1:11">
      <c r="A19431" s="33" t="s">
        <v>43272</v>
      </c>
      <c r="B19431" s="33" t="s">
        <v>43273</v>
      </c>
      <c r="C19431" s="33" t="s">
        <v>510</v>
      </c>
      <c r="D19431" s="33" t="s">
        <v>17</v>
      </c>
      <c r="E19431" s="33" t="s">
        <v>67</v>
      </c>
      <c r="F19431" s="33" t="s">
        <v>68</v>
      </c>
      <c r="G19431" s="33" t="s">
        <v>140</v>
      </c>
      <c r="H19431" s="35">
        <v>42</v>
      </c>
      <c r="I19431" s="33" t="s">
        <v>51</v>
      </c>
      <c r="J19431" s="42">
        <v>45317</v>
      </c>
      <c r="K19431" s="33" t="s">
        <v>22</v>
      </c>
    </row>
    <row r="19432" spans="1:11">
      <c r="A19432" s="30" t="s">
        <v>43274</v>
      </c>
      <c r="B19432" s="30" t="s">
        <v>43275</v>
      </c>
      <c r="C19432" s="30" t="s">
        <v>2778</v>
      </c>
      <c r="D19432" s="30" t="s">
        <v>17</v>
      </c>
      <c r="E19432" s="30" t="s">
        <v>31</v>
      </c>
      <c r="F19432" s="30" t="s">
        <v>32</v>
      </c>
      <c r="G19432" s="30" t="s">
        <v>158</v>
      </c>
      <c r="H19432" s="32">
        <v>16</v>
      </c>
      <c r="I19432" s="30" t="s">
        <v>21</v>
      </c>
      <c r="J19432" s="41">
        <v>45595</v>
      </c>
      <c r="K19432" s="30" t="s">
        <v>22</v>
      </c>
    </row>
    <row r="19433" spans="1:11">
      <c r="A19433" s="33" t="s">
        <v>43276</v>
      </c>
      <c r="B19433" s="33" t="s">
        <v>43277</v>
      </c>
      <c r="C19433" s="33" t="s">
        <v>13161</v>
      </c>
      <c r="D19433" s="33" t="s">
        <v>17</v>
      </c>
      <c r="E19433" s="33" t="s">
        <v>26</v>
      </c>
      <c r="F19433" s="33" t="s">
        <v>27</v>
      </c>
      <c r="G19433" s="33" t="s">
        <v>7780</v>
      </c>
      <c r="H19433" s="35">
        <v>16</v>
      </c>
      <c r="I19433" s="33" t="s">
        <v>51</v>
      </c>
      <c r="J19433" s="42">
        <v>45536</v>
      </c>
      <c r="K19433" s="33" t="s">
        <v>22</v>
      </c>
    </row>
    <row r="19434" spans="1:11">
      <c r="A19434" s="30" t="s">
        <v>43278</v>
      </c>
      <c r="B19434" s="30" t="s">
        <v>43279</v>
      </c>
      <c r="C19434" s="30" t="s">
        <v>12734</v>
      </c>
      <c r="D19434" s="30" t="s">
        <v>17</v>
      </c>
      <c r="E19434" s="30" t="s">
        <v>26</v>
      </c>
      <c r="F19434" s="30" t="s">
        <v>27</v>
      </c>
      <c r="G19434" s="30" t="s">
        <v>140</v>
      </c>
      <c r="H19434" s="32">
        <v>79</v>
      </c>
      <c r="I19434" s="30" t="s">
        <v>51</v>
      </c>
      <c r="J19434" s="41">
        <v>45490</v>
      </c>
      <c r="K19434" s="30" t="s">
        <v>22</v>
      </c>
    </row>
    <row r="19435" spans="1:11">
      <c r="A19435" s="33" t="s">
        <v>43280</v>
      </c>
      <c r="B19435" s="33" t="s">
        <v>43281</v>
      </c>
      <c r="C19435" s="33" t="s">
        <v>43282</v>
      </c>
      <c r="D19435" s="33" t="s">
        <v>17</v>
      </c>
      <c r="E19435" s="33" t="s">
        <v>26</v>
      </c>
      <c r="F19435" s="33" t="s">
        <v>27</v>
      </c>
      <c r="G19435" s="33" t="s">
        <v>20</v>
      </c>
      <c r="H19435" s="35">
        <v>40</v>
      </c>
      <c r="I19435" s="33" t="s">
        <v>21</v>
      </c>
      <c r="J19435" s="42">
        <v>45593</v>
      </c>
      <c r="K19435" s="33" t="s">
        <v>22</v>
      </c>
    </row>
    <row r="19436" spans="1:11">
      <c r="A19436" s="30" t="s">
        <v>43283</v>
      </c>
      <c r="B19436" s="30" t="s">
        <v>43284</v>
      </c>
      <c r="C19436" s="30" t="s">
        <v>11320</v>
      </c>
      <c r="D19436" s="30" t="s">
        <v>17</v>
      </c>
      <c r="E19436" s="30" t="s">
        <v>31</v>
      </c>
      <c r="F19436" s="30" t="s">
        <v>32</v>
      </c>
      <c r="G19436" s="30" t="s">
        <v>140</v>
      </c>
      <c r="H19436" s="32">
        <v>66</v>
      </c>
      <c r="I19436" s="30" t="s">
        <v>51</v>
      </c>
      <c r="J19436" s="41">
        <v>45535</v>
      </c>
      <c r="K19436" s="30" t="s">
        <v>22</v>
      </c>
    </row>
    <row r="19437" spans="1:11">
      <c r="A19437" s="33" t="s">
        <v>43285</v>
      </c>
      <c r="B19437" s="33" t="s">
        <v>43286</v>
      </c>
      <c r="C19437" s="33" t="s">
        <v>8443</v>
      </c>
      <c r="D19437" s="33" t="s">
        <v>17</v>
      </c>
      <c r="E19437" s="33" t="s">
        <v>330</v>
      </c>
      <c r="F19437" s="33" t="s">
        <v>331</v>
      </c>
      <c r="G19437" s="33" t="s">
        <v>140</v>
      </c>
      <c r="H19437" s="35">
        <v>12</v>
      </c>
      <c r="I19437" s="33" t="s">
        <v>51</v>
      </c>
      <c r="J19437" s="42">
        <v>45638</v>
      </c>
      <c r="K19437" s="33" t="s">
        <v>22</v>
      </c>
    </row>
    <row r="19438" spans="1:11">
      <c r="A19438" s="30" t="s">
        <v>43287</v>
      </c>
      <c r="B19438" s="30" t="s">
        <v>43288</v>
      </c>
      <c r="C19438" s="30" t="s">
        <v>1112</v>
      </c>
      <c r="D19438" s="30" t="s">
        <v>17</v>
      </c>
      <c r="E19438" s="30" t="s">
        <v>26</v>
      </c>
      <c r="F19438" s="30" t="s">
        <v>27</v>
      </c>
      <c r="G19438" s="30" t="s">
        <v>20</v>
      </c>
      <c r="H19438" s="32">
        <v>74</v>
      </c>
      <c r="I19438" s="30" t="s">
        <v>21</v>
      </c>
      <c r="J19438" s="41">
        <v>45440</v>
      </c>
      <c r="K19438" s="30" t="s">
        <v>22</v>
      </c>
    </row>
    <row r="19439" spans="1:11">
      <c r="A19439" s="33" t="s">
        <v>43289</v>
      </c>
      <c r="B19439" s="33" t="s">
        <v>43290</v>
      </c>
      <c r="C19439" s="33" t="s">
        <v>8142</v>
      </c>
      <c r="D19439" s="33" t="s">
        <v>17</v>
      </c>
      <c r="E19439" s="33" t="s">
        <v>18</v>
      </c>
      <c r="F19439" s="33" t="s">
        <v>19</v>
      </c>
      <c r="G19439" s="33" t="s">
        <v>20</v>
      </c>
      <c r="H19439" s="35">
        <v>20</v>
      </c>
      <c r="I19439" s="33" t="s">
        <v>21</v>
      </c>
      <c r="J19439" s="42">
        <v>45454</v>
      </c>
      <c r="K19439" s="33" t="s">
        <v>22</v>
      </c>
    </row>
    <row r="19440" spans="1:11">
      <c r="A19440" s="30" t="s">
        <v>43291</v>
      </c>
      <c r="B19440" s="30" t="s">
        <v>43292</v>
      </c>
      <c r="C19440" s="30" t="s">
        <v>136</v>
      </c>
      <c r="D19440" s="30" t="s">
        <v>17</v>
      </c>
      <c r="E19440" s="30" t="s">
        <v>26</v>
      </c>
      <c r="F19440" s="30" t="s">
        <v>27</v>
      </c>
      <c r="G19440" s="30" t="s">
        <v>20</v>
      </c>
      <c r="H19440" s="32">
        <v>15</v>
      </c>
      <c r="I19440" s="30" t="s">
        <v>21</v>
      </c>
      <c r="J19440" s="41">
        <v>45575</v>
      </c>
      <c r="K19440" s="30" t="s">
        <v>22</v>
      </c>
    </row>
    <row r="19441" spans="1:11">
      <c r="A19441" s="33" t="s">
        <v>43293</v>
      </c>
      <c r="B19441" s="33" t="s">
        <v>43294</v>
      </c>
      <c r="C19441" s="33" t="s">
        <v>43295</v>
      </c>
      <c r="D19441" s="33" t="s">
        <v>17</v>
      </c>
      <c r="E19441" s="33" t="s">
        <v>330</v>
      </c>
      <c r="F19441" s="33" t="s">
        <v>331</v>
      </c>
      <c r="G19441" s="33" t="s">
        <v>20</v>
      </c>
      <c r="H19441" s="35">
        <v>30</v>
      </c>
      <c r="I19441" s="33" t="s">
        <v>21</v>
      </c>
      <c r="J19441" s="42">
        <v>45320</v>
      </c>
      <c r="K19441" s="33" t="s">
        <v>22</v>
      </c>
    </row>
    <row r="19442" spans="1:11">
      <c r="A19442" s="30" t="s">
        <v>43296</v>
      </c>
      <c r="B19442" s="30" t="s">
        <v>43297</v>
      </c>
      <c r="C19442" s="30" t="s">
        <v>804</v>
      </c>
      <c r="D19442" s="30" t="s">
        <v>17</v>
      </c>
      <c r="E19442" s="30" t="s">
        <v>31</v>
      </c>
      <c r="F19442" s="30" t="s">
        <v>32</v>
      </c>
      <c r="G19442" s="30" t="s">
        <v>140</v>
      </c>
      <c r="H19442" s="32">
        <v>72</v>
      </c>
      <c r="I19442" s="30" t="s">
        <v>51</v>
      </c>
      <c r="J19442" s="41">
        <v>45314</v>
      </c>
      <c r="K19442" s="30" t="s">
        <v>22</v>
      </c>
    </row>
    <row r="19443" spans="1:11">
      <c r="A19443" s="33" t="s">
        <v>43298</v>
      </c>
      <c r="B19443" s="33" t="s">
        <v>43299</v>
      </c>
      <c r="C19443" s="33" t="s">
        <v>1897</v>
      </c>
      <c r="D19443" s="33" t="s">
        <v>17</v>
      </c>
      <c r="E19443" s="33" t="s">
        <v>26</v>
      </c>
      <c r="F19443" s="33" t="s">
        <v>27</v>
      </c>
      <c r="G19443" s="33" t="s">
        <v>158</v>
      </c>
      <c r="H19443" s="35">
        <v>28</v>
      </c>
      <c r="I19443" s="33" t="s">
        <v>21</v>
      </c>
      <c r="J19443" s="42">
        <v>45404</v>
      </c>
      <c r="K19443" s="33" t="s">
        <v>22</v>
      </c>
    </row>
    <row r="19444" spans="1:11">
      <c r="A19444" s="30" t="s">
        <v>43300</v>
      </c>
      <c r="B19444" s="30" t="s">
        <v>43301</v>
      </c>
      <c r="C19444" s="30" t="s">
        <v>15917</v>
      </c>
      <c r="D19444" s="30" t="s">
        <v>17</v>
      </c>
      <c r="E19444" s="30" t="s">
        <v>26</v>
      </c>
      <c r="F19444" s="30" t="s">
        <v>27</v>
      </c>
      <c r="G19444" s="30" t="s">
        <v>20</v>
      </c>
      <c r="H19444" s="32">
        <v>62</v>
      </c>
      <c r="I19444" s="30" t="s">
        <v>21</v>
      </c>
      <c r="J19444" s="41">
        <v>45419</v>
      </c>
      <c r="K19444" s="30" t="s">
        <v>22</v>
      </c>
    </row>
    <row r="19445" spans="1:11">
      <c r="A19445" s="33" t="s">
        <v>43302</v>
      </c>
      <c r="B19445" s="33" t="s">
        <v>43303</v>
      </c>
      <c r="C19445" s="33" t="s">
        <v>43304</v>
      </c>
      <c r="D19445" s="33" t="s">
        <v>17</v>
      </c>
      <c r="E19445" s="33" t="s">
        <v>67</v>
      </c>
      <c r="F19445" s="33" t="s">
        <v>68</v>
      </c>
      <c r="G19445" s="33" t="s">
        <v>140</v>
      </c>
      <c r="H19445" s="35">
        <v>80</v>
      </c>
      <c r="I19445" s="33" t="s">
        <v>51</v>
      </c>
      <c r="J19445" s="42">
        <v>45642</v>
      </c>
      <c r="K19445" s="33" t="s">
        <v>22</v>
      </c>
    </row>
    <row r="19446" spans="1:11">
      <c r="A19446" s="30" t="s">
        <v>43305</v>
      </c>
      <c r="B19446" s="30" t="s">
        <v>43306</v>
      </c>
      <c r="C19446" s="30" t="s">
        <v>22992</v>
      </c>
      <c r="D19446" s="30" t="s">
        <v>17</v>
      </c>
      <c r="E19446" s="30" t="s">
        <v>18</v>
      </c>
      <c r="F19446" s="30" t="s">
        <v>19</v>
      </c>
      <c r="G19446" s="30" t="s">
        <v>106</v>
      </c>
      <c r="H19446" s="32">
        <v>8</v>
      </c>
      <c r="I19446" s="30" t="s">
        <v>21</v>
      </c>
      <c r="J19446" s="41">
        <v>45432</v>
      </c>
      <c r="K19446" s="30" t="s">
        <v>22</v>
      </c>
    </row>
    <row r="19447" spans="1:11">
      <c r="A19447" s="33" t="s">
        <v>43307</v>
      </c>
      <c r="B19447" s="33" t="s">
        <v>43308</v>
      </c>
      <c r="C19447" s="33" t="s">
        <v>190</v>
      </c>
      <c r="D19447" s="33" t="s">
        <v>17</v>
      </c>
      <c r="E19447" s="33" t="s">
        <v>26</v>
      </c>
      <c r="F19447" s="33" t="s">
        <v>27</v>
      </c>
      <c r="G19447" s="33" t="s">
        <v>20</v>
      </c>
      <c r="H19447" s="35">
        <v>16</v>
      </c>
      <c r="I19447" s="33" t="s">
        <v>21</v>
      </c>
      <c r="J19447" s="42">
        <v>45512</v>
      </c>
      <c r="K19447" s="33" t="s">
        <v>22</v>
      </c>
    </row>
    <row r="19448" spans="1:11">
      <c r="A19448" s="30" t="s">
        <v>43309</v>
      </c>
      <c r="B19448" s="30" t="s">
        <v>43310</v>
      </c>
      <c r="C19448" s="30" t="s">
        <v>570</v>
      </c>
      <c r="D19448" s="30" t="s">
        <v>17</v>
      </c>
      <c r="E19448" s="30" t="s">
        <v>26</v>
      </c>
      <c r="F19448" s="30" t="s">
        <v>27</v>
      </c>
      <c r="G19448" s="30" t="s">
        <v>20</v>
      </c>
      <c r="H19448" s="32">
        <v>198</v>
      </c>
      <c r="I19448" s="30" t="s">
        <v>21</v>
      </c>
      <c r="J19448" s="41">
        <v>45535</v>
      </c>
      <c r="K19448" s="30" t="s">
        <v>22</v>
      </c>
    </row>
    <row r="19449" spans="1:11">
      <c r="A19449" s="33" t="s">
        <v>43311</v>
      </c>
      <c r="B19449" s="33" t="s">
        <v>43312</v>
      </c>
      <c r="C19449" s="33" t="s">
        <v>1080</v>
      </c>
      <c r="D19449" s="33" t="s">
        <v>17</v>
      </c>
      <c r="E19449" s="33" t="s">
        <v>26</v>
      </c>
      <c r="F19449" s="33" t="s">
        <v>27</v>
      </c>
      <c r="G19449" s="33" t="s">
        <v>140</v>
      </c>
      <c r="H19449" s="35">
        <v>70</v>
      </c>
      <c r="I19449" s="33" t="s">
        <v>51</v>
      </c>
      <c r="J19449" s="42">
        <v>45521</v>
      </c>
      <c r="K19449" s="33" t="s">
        <v>22</v>
      </c>
    </row>
    <row r="19450" spans="1:11">
      <c r="A19450" s="30" t="s">
        <v>43313</v>
      </c>
      <c r="B19450" s="30" t="s">
        <v>43314</v>
      </c>
      <c r="C19450" s="30" t="s">
        <v>684</v>
      </c>
      <c r="D19450" s="30" t="s">
        <v>17</v>
      </c>
      <c r="E19450" s="30" t="s">
        <v>26</v>
      </c>
      <c r="F19450" s="30" t="s">
        <v>27</v>
      </c>
      <c r="G19450" s="30" t="s">
        <v>20</v>
      </c>
      <c r="H19450" s="32">
        <v>8</v>
      </c>
      <c r="I19450" s="30" t="s">
        <v>21</v>
      </c>
      <c r="J19450" s="41">
        <v>45324</v>
      </c>
      <c r="K19450" s="30" t="s">
        <v>22</v>
      </c>
    </row>
    <row r="19451" spans="1:11">
      <c r="A19451" s="33" t="s">
        <v>43315</v>
      </c>
      <c r="B19451" s="33" t="s">
        <v>43316</v>
      </c>
      <c r="C19451" s="33" t="s">
        <v>22801</v>
      </c>
      <c r="D19451" s="33" t="s">
        <v>17</v>
      </c>
      <c r="E19451" s="33" t="s">
        <v>26</v>
      </c>
      <c r="F19451" s="33" t="s">
        <v>27</v>
      </c>
      <c r="G19451" s="33" t="s">
        <v>7780</v>
      </c>
      <c r="H19451" s="35">
        <v>56</v>
      </c>
      <c r="I19451" s="33" t="s">
        <v>51</v>
      </c>
      <c r="J19451" s="42">
        <v>45610</v>
      </c>
      <c r="K19451" s="33" t="s">
        <v>22</v>
      </c>
    </row>
    <row r="19452" spans="1:11">
      <c r="A19452" s="30" t="s">
        <v>43317</v>
      </c>
      <c r="B19452" s="30" t="s">
        <v>43318</v>
      </c>
      <c r="C19452" s="30" t="s">
        <v>39753</v>
      </c>
      <c r="D19452" s="30" t="s">
        <v>17</v>
      </c>
      <c r="E19452" s="30" t="s">
        <v>26</v>
      </c>
      <c r="F19452" s="30" t="s">
        <v>27</v>
      </c>
      <c r="G19452" s="30" t="s">
        <v>158</v>
      </c>
      <c r="H19452" s="32">
        <v>96</v>
      </c>
      <c r="I19452" s="30" t="s">
        <v>21</v>
      </c>
      <c r="J19452" s="41">
        <v>45474</v>
      </c>
      <c r="K19452" s="30" t="s">
        <v>22</v>
      </c>
    </row>
    <row r="19453" spans="1:11">
      <c r="A19453" s="33" t="s">
        <v>43319</v>
      </c>
      <c r="B19453" s="33" t="s">
        <v>43320</v>
      </c>
      <c r="C19453" s="33" t="s">
        <v>443</v>
      </c>
      <c r="D19453" s="33" t="s">
        <v>17</v>
      </c>
      <c r="E19453" s="33" t="s">
        <v>18</v>
      </c>
      <c r="F19453" s="33" t="s">
        <v>19</v>
      </c>
      <c r="G19453" s="33" t="s">
        <v>140</v>
      </c>
      <c r="H19453" s="35">
        <v>8000</v>
      </c>
      <c r="I19453" s="33" t="s">
        <v>51</v>
      </c>
      <c r="J19453" s="42">
        <v>45639</v>
      </c>
      <c r="K19453" s="33" t="s">
        <v>22</v>
      </c>
    </row>
    <row r="19454" spans="1:11">
      <c r="A19454" s="30" t="s">
        <v>43321</v>
      </c>
      <c r="B19454" s="30" t="s">
        <v>43322</v>
      </c>
      <c r="C19454" s="30" t="s">
        <v>14597</v>
      </c>
      <c r="D19454" s="30" t="s">
        <v>17</v>
      </c>
      <c r="E19454" s="30" t="s">
        <v>45</v>
      </c>
      <c r="F19454" s="30" t="s">
        <v>46</v>
      </c>
      <c r="G19454" s="30" t="s">
        <v>112</v>
      </c>
      <c r="H19454" s="32">
        <v>0</v>
      </c>
      <c r="I19454" s="30" t="s">
        <v>21</v>
      </c>
      <c r="J19454" s="41">
        <v>45352</v>
      </c>
      <c r="K19454" s="30" t="s">
        <v>22</v>
      </c>
    </row>
    <row r="19455" spans="1:11">
      <c r="A19455" s="33" t="s">
        <v>43323</v>
      </c>
      <c r="B19455" s="33" t="s">
        <v>43324</v>
      </c>
      <c r="C19455" s="33" t="s">
        <v>39563</v>
      </c>
      <c r="D19455" s="33" t="s">
        <v>17</v>
      </c>
      <c r="E19455" s="33" t="s">
        <v>26</v>
      </c>
      <c r="F19455" s="33" t="s">
        <v>27</v>
      </c>
      <c r="G19455" s="33" t="s">
        <v>50</v>
      </c>
      <c r="H19455" s="35">
        <v>32</v>
      </c>
      <c r="I19455" s="33" t="s">
        <v>51</v>
      </c>
      <c r="J19455" s="42">
        <v>45335</v>
      </c>
      <c r="K19455" s="33" t="s">
        <v>22</v>
      </c>
    </row>
    <row r="19456" spans="1:11">
      <c r="A19456" s="30" t="s">
        <v>43325</v>
      </c>
      <c r="B19456" s="30" t="s">
        <v>43326</v>
      </c>
      <c r="C19456" s="30" t="s">
        <v>14664</v>
      </c>
      <c r="D19456" s="30" t="s">
        <v>17</v>
      </c>
      <c r="E19456" s="30" t="s">
        <v>31</v>
      </c>
      <c r="F19456" s="30" t="s">
        <v>32</v>
      </c>
      <c r="G19456" s="30" t="s">
        <v>20</v>
      </c>
      <c r="H19456" s="32">
        <v>432</v>
      </c>
      <c r="I19456" s="30" t="s">
        <v>21</v>
      </c>
      <c r="J19456" s="41">
        <v>45631</v>
      </c>
      <c r="K19456" s="30" t="s">
        <v>22</v>
      </c>
    </row>
    <row r="19457" spans="1:11">
      <c r="A19457" s="33" t="s">
        <v>43327</v>
      </c>
      <c r="B19457" s="33" t="s">
        <v>43328</v>
      </c>
      <c r="C19457" s="33" t="s">
        <v>1718</v>
      </c>
      <c r="D19457" s="33" t="s">
        <v>17</v>
      </c>
      <c r="E19457" s="33" t="s">
        <v>26</v>
      </c>
      <c r="F19457" s="33" t="s">
        <v>27</v>
      </c>
      <c r="G19457" s="33" t="s">
        <v>20</v>
      </c>
      <c r="H19457" s="35">
        <v>18</v>
      </c>
      <c r="I19457" s="33" t="s">
        <v>21</v>
      </c>
      <c r="J19457" s="42">
        <v>45441</v>
      </c>
      <c r="K19457" s="33" t="s">
        <v>22</v>
      </c>
    </row>
    <row r="19458" spans="1:11">
      <c r="A19458" s="30" t="s">
        <v>43329</v>
      </c>
      <c r="B19458" s="30" t="s">
        <v>43330</v>
      </c>
      <c r="C19458" s="30" t="s">
        <v>310</v>
      </c>
      <c r="D19458" s="30" t="s">
        <v>17</v>
      </c>
      <c r="E19458" s="30" t="s">
        <v>31</v>
      </c>
      <c r="F19458" s="30" t="s">
        <v>32</v>
      </c>
      <c r="G19458" s="30" t="s">
        <v>20</v>
      </c>
      <c r="H19458" s="32">
        <v>270</v>
      </c>
      <c r="I19458" s="30" t="s">
        <v>21</v>
      </c>
      <c r="J19458" s="41">
        <v>45432</v>
      </c>
      <c r="K19458" s="30" t="s">
        <v>22</v>
      </c>
    </row>
    <row r="19459" spans="1:11">
      <c r="A19459" s="33" t="s">
        <v>43331</v>
      </c>
      <c r="B19459" s="33" t="s">
        <v>43332</v>
      </c>
      <c r="C19459" s="33" t="s">
        <v>549</v>
      </c>
      <c r="D19459" s="33" t="s">
        <v>17</v>
      </c>
      <c r="E19459" s="33" t="s">
        <v>18</v>
      </c>
      <c r="F19459" s="33" t="s">
        <v>19</v>
      </c>
      <c r="G19459" s="33" t="s">
        <v>2613</v>
      </c>
      <c r="H19459" s="35">
        <v>12</v>
      </c>
      <c r="I19459" s="33" t="s">
        <v>51</v>
      </c>
      <c r="J19459" s="42">
        <v>45573</v>
      </c>
      <c r="K19459" s="33" t="s">
        <v>22</v>
      </c>
    </row>
    <row r="19460" spans="1:11">
      <c r="A19460" s="30" t="s">
        <v>43333</v>
      </c>
      <c r="B19460" s="30" t="s">
        <v>43334</v>
      </c>
      <c r="C19460" s="30" t="s">
        <v>647</v>
      </c>
      <c r="D19460" s="30" t="s">
        <v>17</v>
      </c>
      <c r="E19460" s="30" t="s">
        <v>18</v>
      </c>
      <c r="F19460" s="30" t="s">
        <v>19</v>
      </c>
      <c r="G19460" s="30" t="s">
        <v>140</v>
      </c>
      <c r="H19460" s="32">
        <v>1200</v>
      </c>
      <c r="I19460" s="30" t="s">
        <v>51</v>
      </c>
      <c r="J19460" s="41">
        <v>45448</v>
      </c>
      <c r="K19460" s="30" t="s">
        <v>22</v>
      </c>
    </row>
    <row r="19461" spans="1:11">
      <c r="A19461" s="33" t="s">
        <v>43335</v>
      </c>
      <c r="B19461" s="33" t="s">
        <v>43336</v>
      </c>
      <c r="C19461" s="33" t="s">
        <v>318</v>
      </c>
      <c r="D19461" s="33" t="s">
        <v>17</v>
      </c>
      <c r="E19461" s="33" t="s">
        <v>26</v>
      </c>
      <c r="F19461" s="33" t="s">
        <v>27</v>
      </c>
      <c r="G19461" s="33" t="s">
        <v>20</v>
      </c>
      <c r="H19461" s="35">
        <v>20</v>
      </c>
      <c r="I19461" s="33" t="s">
        <v>21</v>
      </c>
      <c r="J19461" s="42">
        <v>45314</v>
      </c>
      <c r="K19461" s="33" t="s">
        <v>22</v>
      </c>
    </row>
    <row r="19462" spans="1:11">
      <c r="A19462" s="30" t="s">
        <v>43337</v>
      </c>
      <c r="B19462" s="30" t="s">
        <v>43338</v>
      </c>
      <c r="C19462" s="30" t="s">
        <v>43339</v>
      </c>
      <c r="D19462" s="30" t="s">
        <v>17</v>
      </c>
      <c r="E19462" s="30" t="s">
        <v>330</v>
      </c>
      <c r="F19462" s="30" t="s">
        <v>331</v>
      </c>
      <c r="G19462" s="30" t="s">
        <v>140</v>
      </c>
      <c r="H19462" s="32">
        <v>50</v>
      </c>
      <c r="I19462" s="30" t="s">
        <v>51</v>
      </c>
      <c r="J19462" s="41">
        <v>45617</v>
      </c>
      <c r="K19462" s="30" t="s">
        <v>22</v>
      </c>
    </row>
    <row r="19463" spans="1:11">
      <c r="A19463" s="33" t="s">
        <v>43340</v>
      </c>
      <c r="B19463" s="33" t="s">
        <v>43341</v>
      </c>
      <c r="C19463" s="33" t="s">
        <v>190</v>
      </c>
      <c r="D19463" s="33" t="s">
        <v>17</v>
      </c>
      <c r="E19463" s="33" t="s">
        <v>67</v>
      </c>
      <c r="F19463" s="33" t="s">
        <v>68</v>
      </c>
      <c r="G19463" s="33" t="s">
        <v>140</v>
      </c>
      <c r="H19463" s="35">
        <v>60</v>
      </c>
      <c r="I19463" s="33" t="s">
        <v>51</v>
      </c>
      <c r="J19463" s="42">
        <v>45363</v>
      </c>
      <c r="K19463" s="33" t="s">
        <v>22</v>
      </c>
    </row>
    <row r="19464" spans="1:11">
      <c r="A19464" s="30" t="s">
        <v>43342</v>
      </c>
      <c r="B19464" s="30" t="s">
        <v>43343</v>
      </c>
      <c r="C19464" s="30" t="s">
        <v>27284</v>
      </c>
      <c r="D19464" s="30" t="s">
        <v>17</v>
      </c>
      <c r="E19464" s="30" t="s">
        <v>18</v>
      </c>
      <c r="F19464" s="30" t="s">
        <v>19</v>
      </c>
      <c r="G19464" s="30" t="s">
        <v>140</v>
      </c>
      <c r="H19464" s="32">
        <v>439</v>
      </c>
      <c r="I19464" s="30" t="s">
        <v>51</v>
      </c>
      <c r="J19464" s="41">
        <v>45383</v>
      </c>
      <c r="K19464" s="30" t="s">
        <v>22</v>
      </c>
    </row>
    <row r="19465" spans="1:11">
      <c r="A19465" s="33" t="s">
        <v>43344</v>
      </c>
      <c r="B19465" s="33" t="s">
        <v>43345</v>
      </c>
      <c r="C19465" s="33" t="s">
        <v>14816</v>
      </c>
      <c r="D19465" s="33" t="s">
        <v>17</v>
      </c>
      <c r="E19465" s="33" t="s">
        <v>31</v>
      </c>
      <c r="F19465" s="33" t="s">
        <v>32</v>
      </c>
      <c r="G19465" s="33" t="s">
        <v>20</v>
      </c>
      <c r="H19465" s="35">
        <v>181</v>
      </c>
      <c r="I19465" s="33" t="s">
        <v>21</v>
      </c>
      <c r="J19465" s="42">
        <v>45353</v>
      </c>
      <c r="K19465" s="33" t="s">
        <v>22</v>
      </c>
    </row>
    <row r="19466" spans="1:11">
      <c r="A19466" s="30" t="s">
        <v>43346</v>
      </c>
      <c r="B19466" s="30" t="s">
        <v>43347</v>
      </c>
      <c r="C19466" s="30" t="s">
        <v>43348</v>
      </c>
      <c r="D19466" s="30" t="s">
        <v>17</v>
      </c>
      <c r="E19466" s="30" t="s">
        <v>26</v>
      </c>
      <c r="F19466" s="30" t="s">
        <v>27</v>
      </c>
      <c r="G19466" s="30" t="s">
        <v>20</v>
      </c>
      <c r="H19466" s="32">
        <v>48</v>
      </c>
      <c r="I19466" s="30" t="s">
        <v>21</v>
      </c>
      <c r="J19466" s="41">
        <v>45380</v>
      </c>
      <c r="K19466" s="30" t="s">
        <v>22</v>
      </c>
    </row>
    <row r="19467" spans="1:11">
      <c r="A19467" s="33" t="s">
        <v>43349</v>
      </c>
      <c r="B19467" s="33" t="s">
        <v>43350</v>
      </c>
      <c r="C19467" s="33" t="s">
        <v>93</v>
      </c>
      <c r="D19467" s="33" t="s">
        <v>17</v>
      </c>
      <c r="E19467" s="33" t="s">
        <v>26</v>
      </c>
      <c r="F19467" s="33" t="s">
        <v>27</v>
      </c>
      <c r="G19467" s="33" t="s">
        <v>20</v>
      </c>
      <c r="H19467" s="35">
        <v>24</v>
      </c>
      <c r="I19467" s="33" t="s">
        <v>21</v>
      </c>
      <c r="J19467" s="42">
        <v>45296</v>
      </c>
      <c r="K19467" s="33" t="s">
        <v>22</v>
      </c>
    </row>
    <row r="19468" spans="1:11">
      <c r="A19468" s="30" t="s">
        <v>43351</v>
      </c>
      <c r="B19468" s="30" t="s">
        <v>43352</v>
      </c>
      <c r="C19468" s="30" t="s">
        <v>21185</v>
      </c>
      <c r="D19468" s="30" t="s">
        <v>17</v>
      </c>
      <c r="E19468" s="30" t="s">
        <v>26</v>
      </c>
      <c r="F19468" s="30" t="s">
        <v>27</v>
      </c>
      <c r="G19468" s="30" t="s">
        <v>158</v>
      </c>
      <c r="H19468" s="32">
        <v>9</v>
      </c>
      <c r="I19468" s="30" t="s">
        <v>21</v>
      </c>
      <c r="J19468" s="41">
        <v>45462</v>
      </c>
      <c r="K19468" s="30" t="s">
        <v>22</v>
      </c>
    </row>
    <row r="19469" spans="1:11">
      <c r="A19469" s="33" t="s">
        <v>43353</v>
      </c>
      <c r="B19469" s="33" t="s">
        <v>43354</v>
      </c>
      <c r="C19469" s="33" t="s">
        <v>684</v>
      </c>
      <c r="D19469" s="33" t="s">
        <v>17</v>
      </c>
      <c r="E19469" s="33" t="s">
        <v>26</v>
      </c>
      <c r="F19469" s="33" t="s">
        <v>27</v>
      </c>
      <c r="G19469" s="33" t="s">
        <v>20</v>
      </c>
      <c r="H19469" s="35">
        <v>102</v>
      </c>
      <c r="I19469" s="33" t="s">
        <v>21</v>
      </c>
      <c r="J19469" s="42">
        <v>45440</v>
      </c>
      <c r="K19469" s="33" t="s">
        <v>22</v>
      </c>
    </row>
    <row r="19470" spans="1:11">
      <c r="A19470" s="30" t="s">
        <v>43355</v>
      </c>
      <c r="B19470" s="30" t="s">
        <v>43356</v>
      </c>
      <c r="C19470" s="30" t="s">
        <v>2171</v>
      </c>
      <c r="D19470" s="30" t="s">
        <v>17</v>
      </c>
      <c r="E19470" s="30" t="s">
        <v>26</v>
      </c>
      <c r="F19470" s="30" t="s">
        <v>27</v>
      </c>
      <c r="G19470" s="30" t="s">
        <v>69</v>
      </c>
      <c r="H19470" s="32">
        <v>120</v>
      </c>
      <c r="I19470" s="30" t="s">
        <v>51</v>
      </c>
      <c r="J19470" s="41">
        <v>45341</v>
      </c>
      <c r="K19470" s="30" t="s">
        <v>22</v>
      </c>
    </row>
    <row r="19471" spans="1:11">
      <c r="A19471" s="33" t="s">
        <v>43357</v>
      </c>
      <c r="B19471" s="33" t="s">
        <v>43358</v>
      </c>
      <c r="C19471" s="33" t="s">
        <v>4348</v>
      </c>
      <c r="D19471" s="33" t="s">
        <v>17</v>
      </c>
      <c r="E19471" s="33" t="s">
        <v>31</v>
      </c>
      <c r="F19471" s="33" t="s">
        <v>32</v>
      </c>
      <c r="G19471" s="33" t="s">
        <v>140</v>
      </c>
      <c r="H19471" s="35">
        <v>20</v>
      </c>
      <c r="I19471" s="33" t="s">
        <v>51</v>
      </c>
      <c r="J19471" s="42">
        <v>45582</v>
      </c>
      <c r="K19471" s="33" t="s">
        <v>22</v>
      </c>
    </row>
    <row r="19472" spans="1:11">
      <c r="A19472" s="30" t="s">
        <v>43359</v>
      </c>
      <c r="B19472" s="30" t="s">
        <v>43360</v>
      </c>
      <c r="C19472" s="30" t="s">
        <v>43361</v>
      </c>
      <c r="D19472" s="30" t="s">
        <v>17</v>
      </c>
      <c r="E19472" s="30" t="s">
        <v>26</v>
      </c>
      <c r="F19472" s="30" t="s">
        <v>27</v>
      </c>
      <c r="G19472" s="30" t="s">
        <v>140</v>
      </c>
      <c r="H19472" s="32">
        <v>30</v>
      </c>
      <c r="I19472" s="30" t="s">
        <v>51</v>
      </c>
      <c r="J19472" s="41">
        <v>45462</v>
      </c>
      <c r="K19472" s="30" t="s">
        <v>22</v>
      </c>
    </row>
    <row r="19473" spans="1:11">
      <c r="A19473" s="33" t="s">
        <v>43362</v>
      </c>
      <c r="B19473" s="33" t="s">
        <v>43363</v>
      </c>
      <c r="C19473" s="33" t="s">
        <v>17068</v>
      </c>
      <c r="D19473" s="33" t="s">
        <v>17</v>
      </c>
      <c r="E19473" s="33" t="s">
        <v>67</v>
      </c>
      <c r="F19473" s="33" t="s">
        <v>68</v>
      </c>
      <c r="G19473" s="33" t="s">
        <v>140</v>
      </c>
      <c r="H19473" s="35">
        <v>51</v>
      </c>
      <c r="I19473" s="33" t="s">
        <v>51</v>
      </c>
      <c r="J19473" s="42">
        <v>45524</v>
      </c>
      <c r="K19473" s="33" t="s">
        <v>22</v>
      </c>
    </row>
    <row r="19474" spans="1:11">
      <c r="A19474" s="30" t="s">
        <v>43364</v>
      </c>
      <c r="B19474" s="30" t="s">
        <v>43365</v>
      </c>
      <c r="C19474" s="30" t="s">
        <v>15097</v>
      </c>
      <c r="D19474" s="30" t="s">
        <v>17</v>
      </c>
      <c r="E19474" s="30" t="s">
        <v>26</v>
      </c>
      <c r="F19474" s="30" t="s">
        <v>27</v>
      </c>
      <c r="G19474" s="30" t="s">
        <v>140</v>
      </c>
      <c r="H19474" s="32">
        <v>12</v>
      </c>
      <c r="I19474" s="30" t="s">
        <v>51</v>
      </c>
      <c r="J19474" s="41">
        <v>45632</v>
      </c>
      <c r="K19474" s="30" t="s">
        <v>22</v>
      </c>
    </row>
    <row r="19475" spans="1:11">
      <c r="A19475" s="33" t="s">
        <v>43366</v>
      </c>
      <c r="B19475" s="33" t="s">
        <v>43367</v>
      </c>
      <c r="C19475" s="33" t="s">
        <v>130</v>
      </c>
      <c r="D19475" s="33" t="s">
        <v>17</v>
      </c>
      <c r="E19475" s="33" t="s">
        <v>26</v>
      </c>
      <c r="F19475" s="33" t="s">
        <v>27</v>
      </c>
      <c r="G19475" s="33" t="s">
        <v>20</v>
      </c>
      <c r="H19475" s="35">
        <v>128</v>
      </c>
      <c r="I19475" s="33" t="s">
        <v>21</v>
      </c>
      <c r="J19475" s="42">
        <v>45485</v>
      </c>
      <c r="K19475" s="33" t="s">
        <v>22</v>
      </c>
    </row>
    <row r="19476" spans="1:11">
      <c r="A19476" s="30" t="s">
        <v>43368</v>
      </c>
      <c r="B19476" s="30" t="s">
        <v>43369</v>
      </c>
      <c r="C19476" s="30" t="s">
        <v>42543</v>
      </c>
      <c r="D19476" s="30" t="s">
        <v>17</v>
      </c>
      <c r="E19476" s="30" t="s">
        <v>45</v>
      </c>
      <c r="F19476" s="30" t="s">
        <v>46</v>
      </c>
      <c r="G19476" s="30" t="s">
        <v>7780</v>
      </c>
      <c r="H19476" s="32">
        <v>234</v>
      </c>
      <c r="I19476" s="30" t="s">
        <v>51</v>
      </c>
      <c r="J19476" s="41">
        <v>45656</v>
      </c>
      <c r="K19476" s="30" t="s">
        <v>22</v>
      </c>
    </row>
    <row r="19477" spans="1:11">
      <c r="A19477" s="33" t="s">
        <v>43370</v>
      </c>
      <c r="B19477" s="33" t="s">
        <v>43371</v>
      </c>
      <c r="C19477" s="33" t="s">
        <v>8069</v>
      </c>
      <c r="D19477" s="33" t="s">
        <v>17</v>
      </c>
      <c r="E19477" s="33" t="s">
        <v>26</v>
      </c>
      <c r="F19477" s="33" t="s">
        <v>27</v>
      </c>
      <c r="G19477" s="33" t="s">
        <v>140</v>
      </c>
      <c r="H19477" s="35">
        <v>54</v>
      </c>
      <c r="I19477" s="33" t="s">
        <v>51</v>
      </c>
      <c r="J19477" s="42">
        <v>45620</v>
      </c>
      <c r="K19477" s="33" t="s">
        <v>22</v>
      </c>
    </row>
    <row r="19478" spans="1:11">
      <c r="A19478" s="30" t="s">
        <v>43372</v>
      </c>
      <c r="B19478" s="30" t="s">
        <v>43373</v>
      </c>
      <c r="C19478" s="30" t="s">
        <v>190</v>
      </c>
      <c r="D19478" s="30" t="s">
        <v>17</v>
      </c>
      <c r="E19478" s="30" t="s">
        <v>18</v>
      </c>
      <c r="F19478" s="30" t="s">
        <v>19</v>
      </c>
      <c r="G19478" s="30" t="s">
        <v>140</v>
      </c>
      <c r="H19478" s="32">
        <v>240</v>
      </c>
      <c r="I19478" s="30" t="s">
        <v>51</v>
      </c>
      <c r="J19478" s="41">
        <v>45463</v>
      </c>
      <c r="K19478" s="30" t="s">
        <v>22</v>
      </c>
    </row>
    <row r="19479" spans="1:11">
      <c r="A19479" s="33" t="s">
        <v>43374</v>
      </c>
      <c r="B19479" s="33" t="s">
        <v>43375</v>
      </c>
      <c r="C19479" s="33" t="s">
        <v>1571</v>
      </c>
      <c r="D19479" s="33" t="s">
        <v>17</v>
      </c>
      <c r="E19479" s="33" t="s">
        <v>26</v>
      </c>
      <c r="F19479" s="33" t="s">
        <v>27</v>
      </c>
      <c r="G19479" s="33" t="s">
        <v>20</v>
      </c>
      <c r="H19479" s="35">
        <v>36</v>
      </c>
      <c r="I19479" s="33" t="s">
        <v>21</v>
      </c>
      <c r="J19479" s="42">
        <v>45373</v>
      </c>
      <c r="K19479" s="33" t="s">
        <v>22</v>
      </c>
    </row>
    <row r="19480" spans="1:11">
      <c r="A19480" s="30" t="s">
        <v>43376</v>
      </c>
      <c r="B19480" s="30" t="s">
        <v>43377</v>
      </c>
      <c r="C19480" s="30" t="s">
        <v>35404</v>
      </c>
      <c r="D19480" s="30" t="s">
        <v>17</v>
      </c>
      <c r="E19480" s="30" t="s">
        <v>26</v>
      </c>
      <c r="F19480" s="30" t="s">
        <v>27</v>
      </c>
      <c r="G19480" s="30" t="s">
        <v>158</v>
      </c>
      <c r="H19480" s="32">
        <v>6</v>
      </c>
      <c r="I19480" s="30" t="s">
        <v>21</v>
      </c>
      <c r="J19480" s="41">
        <v>45442</v>
      </c>
      <c r="K19480" s="30" t="s">
        <v>22</v>
      </c>
    </row>
    <row r="19481" spans="1:11">
      <c r="A19481" s="33" t="s">
        <v>43378</v>
      </c>
      <c r="B19481" s="33" t="s">
        <v>43379</v>
      </c>
      <c r="C19481" s="33" t="s">
        <v>554</v>
      </c>
      <c r="D19481" s="33" t="s">
        <v>17</v>
      </c>
      <c r="E19481" s="33" t="s">
        <v>31</v>
      </c>
      <c r="F19481" s="33" t="s">
        <v>32</v>
      </c>
      <c r="G19481" s="33" t="s">
        <v>158</v>
      </c>
      <c r="H19481" s="35">
        <v>105</v>
      </c>
      <c r="I19481" s="33" t="s">
        <v>21</v>
      </c>
      <c r="J19481" s="42">
        <v>45565</v>
      </c>
      <c r="K19481" s="33" t="s">
        <v>22</v>
      </c>
    </row>
    <row r="19482" spans="1:11">
      <c r="A19482" s="30" t="s">
        <v>43380</v>
      </c>
      <c r="B19482" s="30" t="s">
        <v>43381</v>
      </c>
      <c r="C19482" s="30" t="s">
        <v>36351</v>
      </c>
      <c r="D19482" s="30" t="s">
        <v>17</v>
      </c>
      <c r="E19482" s="30" t="s">
        <v>67</v>
      </c>
      <c r="F19482" s="30" t="s">
        <v>68</v>
      </c>
      <c r="G19482" s="30" t="s">
        <v>20</v>
      </c>
      <c r="H19482" s="32">
        <v>12</v>
      </c>
      <c r="I19482" s="30" t="s">
        <v>21</v>
      </c>
      <c r="J19482" s="41">
        <v>45313</v>
      </c>
      <c r="K19482" s="30" t="s">
        <v>22</v>
      </c>
    </row>
    <row r="19483" spans="1:11">
      <c r="A19483" s="33" t="s">
        <v>43382</v>
      </c>
      <c r="B19483" s="33" t="s">
        <v>43383</v>
      </c>
      <c r="C19483" s="33" t="s">
        <v>43384</v>
      </c>
      <c r="D19483" s="33" t="s">
        <v>17</v>
      </c>
      <c r="E19483" s="33" t="s">
        <v>31</v>
      </c>
      <c r="F19483" s="33" t="s">
        <v>32</v>
      </c>
      <c r="G19483" s="33" t="s">
        <v>140</v>
      </c>
      <c r="H19483" s="35">
        <v>72</v>
      </c>
      <c r="I19483" s="33" t="s">
        <v>51</v>
      </c>
      <c r="J19483" s="42">
        <v>45504</v>
      </c>
      <c r="K19483" s="33" t="s">
        <v>22</v>
      </c>
    </row>
    <row r="19484" spans="1:11">
      <c r="A19484" s="30" t="s">
        <v>43385</v>
      </c>
      <c r="B19484" s="30" t="s">
        <v>43386</v>
      </c>
      <c r="C19484" s="30" t="s">
        <v>1270</v>
      </c>
      <c r="D19484" s="30" t="s">
        <v>17</v>
      </c>
      <c r="E19484" s="30" t="s">
        <v>26</v>
      </c>
      <c r="F19484" s="30" t="s">
        <v>27</v>
      </c>
      <c r="G19484" s="30" t="s">
        <v>7780</v>
      </c>
      <c r="H19484" s="32">
        <v>350</v>
      </c>
      <c r="I19484" s="30" t="s">
        <v>51</v>
      </c>
      <c r="J19484" s="41">
        <v>45596</v>
      </c>
      <c r="K19484" s="30" t="s">
        <v>22</v>
      </c>
    </row>
    <row r="19485" spans="1:11">
      <c r="A19485" s="33" t="s">
        <v>43387</v>
      </c>
      <c r="B19485" s="33" t="s">
        <v>43388</v>
      </c>
      <c r="C19485" s="33" t="s">
        <v>25186</v>
      </c>
      <c r="D19485" s="33" t="s">
        <v>17</v>
      </c>
      <c r="E19485" s="33" t="s">
        <v>26</v>
      </c>
      <c r="F19485" s="33" t="s">
        <v>27</v>
      </c>
      <c r="G19485" s="33" t="s">
        <v>140</v>
      </c>
      <c r="H19485" s="35">
        <v>48</v>
      </c>
      <c r="I19485" s="33" t="s">
        <v>51</v>
      </c>
      <c r="J19485" s="42">
        <v>45657</v>
      </c>
      <c r="K19485" s="33" t="s">
        <v>22</v>
      </c>
    </row>
    <row r="19486" spans="1:11">
      <c r="A19486" s="30" t="s">
        <v>43389</v>
      </c>
      <c r="B19486" s="30" t="s">
        <v>43390</v>
      </c>
      <c r="C19486" s="30" t="s">
        <v>3296</v>
      </c>
      <c r="D19486" s="30" t="s">
        <v>17</v>
      </c>
      <c r="E19486" s="30" t="s">
        <v>18</v>
      </c>
      <c r="F19486" s="30" t="s">
        <v>19</v>
      </c>
      <c r="G19486" s="30" t="s">
        <v>20</v>
      </c>
      <c r="H19486" s="32">
        <v>467</v>
      </c>
      <c r="I19486" s="30" t="s">
        <v>21</v>
      </c>
      <c r="J19486" s="41">
        <v>45322</v>
      </c>
      <c r="K19486" s="30" t="s">
        <v>22</v>
      </c>
    </row>
    <row r="19487" spans="1:11">
      <c r="A19487" s="33" t="s">
        <v>43391</v>
      </c>
      <c r="B19487" s="33" t="s">
        <v>43392</v>
      </c>
      <c r="C19487" s="33" t="s">
        <v>136</v>
      </c>
      <c r="D19487" s="33" t="s">
        <v>17</v>
      </c>
      <c r="E19487" s="33" t="s">
        <v>18</v>
      </c>
      <c r="F19487" s="33" t="s">
        <v>19</v>
      </c>
      <c r="G19487" s="33" t="s">
        <v>158</v>
      </c>
      <c r="H19487" s="35">
        <v>17300</v>
      </c>
      <c r="I19487" s="33" t="s">
        <v>51</v>
      </c>
      <c r="J19487" s="42">
        <v>45356</v>
      </c>
      <c r="K19487" s="33" t="s">
        <v>22</v>
      </c>
    </row>
    <row r="19488" spans="1:11">
      <c r="A19488" s="30" t="s">
        <v>43393</v>
      </c>
      <c r="B19488" s="30" t="s">
        <v>43394</v>
      </c>
      <c r="C19488" s="30" t="s">
        <v>535</v>
      </c>
      <c r="D19488" s="30" t="s">
        <v>17</v>
      </c>
      <c r="E19488" s="30" t="s">
        <v>31</v>
      </c>
      <c r="F19488" s="30" t="s">
        <v>32</v>
      </c>
      <c r="G19488" s="30" t="s">
        <v>20</v>
      </c>
      <c r="H19488" s="32">
        <v>30</v>
      </c>
      <c r="I19488" s="30" t="s">
        <v>21</v>
      </c>
      <c r="J19488" s="41">
        <v>45365</v>
      </c>
      <c r="K19488" s="30" t="s">
        <v>22</v>
      </c>
    </row>
    <row r="19489" spans="1:11">
      <c r="A19489" s="33" t="s">
        <v>43395</v>
      </c>
      <c r="B19489" s="33" t="s">
        <v>43396</v>
      </c>
      <c r="C19489" s="33" t="s">
        <v>43397</v>
      </c>
      <c r="D19489" s="33" t="s">
        <v>17</v>
      </c>
      <c r="E19489" s="33" t="s">
        <v>67</v>
      </c>
      <c r="F19489" s="33" t="s">
        <v>68</v>
      </c>
      <c r="G19489" s="33" t="s">
        <v>140</v>
      </c>
      <c r="H19489" s="35">
        <v>39</v>
      </c>
      <c r="I19489" s="33" t="s">
        <v>51</v>
      </c>
      <c r="J19489" s="42">
        <v>45455</v>
      </c>
      <c r="K19489" s="33" t="s">
        <v>22</v>
      </c>
    </row>
    <row r="19490" spans="1:11">
      <c r="A19490" s="30" t="s">
        <v>43398</v>
      </c>
      <c r="B19490" s="30" t="s">
        <v>43399</v>
      </c>
      <c r="C19490" s="30" t="s">
        <v>14394</v>
      </c>
      <c r="D19490" s="30" t="s">
        <v>17</v>
      </c>
      <c r="E19490" s="30" t="s">
        <v>26</v>
      </c>
      <c r="F19490" s="30" t="s">
        <v>27</v>
      </c>
      <c r="G19490" s="30" t="s">
        <v>140</v>
      </c>
      <c r="H19490" s="32">
        <v>282</v>
      </c>
      <c r="I19490" s="30" t="s">
        <v>51</v>
      </c>
      <c r="J19490" s="41">
        <v>45386</v>
      </c>
      <c r="K19490" s="30" t="s">
        <v>22</v>
      </c>
    </row>
    <row r="19491" spans="1:11">
      <c r="A19491" s="33" t="s">
        <v>43400</v>
      </c>
      <c r="B19491" s="33" t="s">
        <v>43401</v>
      </c>
      <c r="C19491" s="33" t="s">
        <v>4668</v>
      </c>
      <c r="D19491" s="33" t="s">
        <v>17</v>
      </c>
      <c r="E19491" s="33" t="s">
        <v>67</v>
      </c>
      <c r="F19491" s="33" t="s">
        <v>68</v>
      </c>
      <c r="G19491" s="33" t="s">
        <v>50</v>
      </c>
      <c r="H19491" s="35">
        <v>70</v>
      </c>
      <c r="I19491" s="33" t="s">
        <v>51</v>
      </c>
      <c r="J19491" s="42">
        <v>45323</v>
      </c>
      <c r="K19491" s="33" t="s">
        <v>22</v>
      </c>
    </row>
    <row r="19492" spans="1:11">
      <c r="A19492" s="30" t="s">
        <v>43402</v>
      </c>
      <c r="B19492" s="30" t="s">
        <v>43403</v>
      </c>
      <c r="C19492" s="30" t="s">
        <v>136</v>
      </c>
      <c r="D19492" s="30" t="s">
        <v>17</v>
      </c>
      <c r="E19492" s="30" t="s">
        <v>31</v>
      </c>
      <c r="F19492" s="30" t="s">
        <v>32</v>
      </c>
      <c r="G19492" s="30" t="s">
        <v>20</v>
      </c>
      <c r="H19492" s="32">
        <v>288</v>
      </c>
      <c r="I19492" s="30" t="s">
        <v>21</v>
      </c>
      <c r="J19492" s="41">
        <v>45609</v>
      </c>
      <c r="K19492" s="30" t="s">
        <v>22</v>
      </c>
    </row>
    <row r="19493" spans="1:11">
      <c r="A19493" s="33" t="s">
        <v>43404</v>
      </c>
      <c r="B19493" s="33" t="s">
        <v>43405</v>
      </c>
      <c r="C19493" s="33" t="s">
        <v>25549</v>
      </c>
      <c r="D19493" s="33" t="s">
        <v>17</v>
      </c>
      <c r="E19493" s="33" t="s">
        <v>26</v>
      </c>
      <c r="F19493" s="33" t="s">
        <v>27</v>
      </c>
      <c r="G19493" s="33" t="s">
        <v>20</v>
      </c>
      <c r="H19493" s="35">
        <v>16</v>
      </c>
      <c r="I19493" s="33" t="s">
        <v>21</v>
      </c>
      <c r="J19493" s="42">
        <v>45490</v>
      </c>
      <c r="K19493" s="33" t="s">
        <v>22</v>
      </c>
    </row>
    <row r="19494" spans="1:11">
      <c r="A19494" s="30" t="s">
        <v>43406</v>
      </c>
      <c r="B19494" s="30" t="s">
        <v>43407</v>
      </c>
      <c r="C19494" s="30" t="s">
        <v>1908</v>
      </c>
      <c r="D19494" s="30" t="s">
        <v>17</v>
      </c>
      <c r="E19494" s="30" t="s">
        <v>31</v>
      </c>
      <c r="F19494" s="30" t="s">
        <v>32</v>
      </c>
      <c r="G19494" s="30" t="s">
        <v>20</v>
      </c>
      <c r="H19494" s="32">
        <v>60</v>
      </c>
      <c r="I19494" s="30" t="s">
        <v>21</v>
      </c>
      <c r="J19494" s="41">
        <v>45322</v>
      </c>
      <c r="K19494" s="30" t="s">
        <v>22</v>
      </c>
    </row>
    <row r="19495" spans="1:11">
      <c r="A19495" s="33" t="s">
        <v>43408</v>
      </c>
      <c r="B19495" s="33" t="s">
        <v>43409</v>
      </c>
      <c r="C19495" s="33" t="s">
        <v>644</v>
      </c>
      <c r="D19495" s="33" t="s">
        <v>17</v>
      </c>
      <c r="E19495" s="33" t="s">
        <v>31</v>
      </c>
      <c r="F19495" s="33" t="s">
        <v>32</v>
      </c>
      <c r="G19495" s="33" t="s">
        <v>140</v>
      </c>
      <c r="H19495" s="35">
        <v>116</v>
      </c>
      <c r="I19495" s="33" t="s">
        <v>51</v>
      </c>
      <c r="J19495" s="42">
        <v>45302</v>
      </c>
      <c r="K19495" s="33" t="s">
        <v>22</v>
      </c>
    </row>
    <row r="19496" spans="1:11">
      <c r="A19496" s="30" t="s">
        <v>43410</v>
      </c>
      <c r="B19496" s="30" t="s">
        <v>43411</v>
      </c>
      <c r="C19496" s="30" t="s">
        <v>39233</v>
      </c>
      <c r="D19496" s="30" t="s">
        <v>17</v>
      </c>
      <c r="E19496" s="30" t="s">
        <v>26</v>
      </c>
      <c r="F19496" s="30" t="s">
        <v>27</v>
      </c>
      <c r="G19496" s="30" t="s">
        <v>140</v>
      </c>
      <c r="H19496" s="32">
        <v>400</v>
      </c>
      <c r="I19496" s="30" t="s">
        <v>51</v>
      </c>
      <c r="J19496" s="41">
        <v>45519</v>
      </c>
      <c r="K19496" s="30" t="s">
        <v>22</v>
      </c>
    </row>
    <row r="19497" spans="1:11">
      <c r="A19497" s="33" t="s">
        <v>43412</v>
      </c>
      <c r="B19497" s="33" t="s">
        <v>43413</v>
      </c>
      <c r="C19497" s="33" t="s">
        <v>43414</v>
      </c>
      <c r="D19497" s="33" t="s">
        <v>17</v>
      </c>
      <c r="E19497" s="33" t="s">
        <v>26</v>
      </c>
      <c r="F19497" s="33" t="s">
        <v>27</v>
      </c>
      <c r="G19497" s="33" t="s">
        <v>20</v>
      </c>
      <c r="H19497" s="35">
        <v>92</v>
      </c>
      <c r="I19497" s="33" t="s">
        <v>21</v>
      </c>
      <c r="J19497" s="42">
        <v>45629</v>
      </c>
      <c r="K19497" s="33" t="s">
        <v>22</v>
      </c>
    </row>
    <row r="19498" spans="1:11">
      <c r="A19498" s="30" t="s">
        <v>43415</v>
      </c>
      <c r="B19498" s="30" t="s">
        <v>43416</v>
      </c>
      <c r="C19498" s="30" t="s">
        <v>109</v>
      </c>
      <c r="D19498" s="30" t="s">
        <v>17</v>
      </c>
      <c r="E19498" s="30" t="s">
        <v>212</v>
      </c>
      <c r="F19498" s="30" t="s">
        <v>213</v>
      </c>
      <c r="G19498" s="30" t="s">
        <v>140</v>
      </c>
      <c r="H19498" s="32">
        <v>36</v>
      </c>
      <c r="I19498" s="30" t="s">
        <v>51</v>
      </c>
      <c r="J19498" s="41">
        <v>45477</v>
      </c>
      <c r="K19498" s="30" t="s">
        <v>22</v>
      </c>
    </row>
    <row r="19499" spans="1:11">
      <c r="A19499" s="33" t="s">
        <v>43417</v>
      </c>
      <c r="B19499" s="33" t="s">
        <v>43418</v>
      </c>
      <c r="C19499" s="33" t="s">
        <v>190</v>
      </c>
      <c r="D19499" s="33" t="s">
        <v>17</v>
      </c>
      <c r="E19499" s="33" t="s">
        <v>26</v>
      </c>
      <c r="F19499" s="33" t="s">
        <v>27</v>
      </c>
      <c r="G19499" s="33" t="s">
        <v>20</v>
      </c>
      <c r="H19499" s="35">
        <v>14</v>
      </c>
      <c r="I19499" s="33" t="s">
        <v>21</v>
      </c>
      <c r="J19499" s="42">
        <v>45398</v>
      </c>
      <c r="K19499" s="33" t="s">
        <v>22</v>
      </c>
    </row>
    <row r="19500" spans="1:11">
      <c r="A19500" s="30" t="s">
        <v>43419</v>
      </c>
      <c r="B19500" s="30" t="s">
        <v>43420</v>
      </c>
      <c r="C19500" s="30" t="s">
        <v>4872</v>
      </c>
      <c r="D19500" s="30" t="s">
        <v>17</v>
      </c>
      <c r="E19500" s="30" t="s">
        <v>31</v>
      </c>
      <c r="F19500" s="30" t="s">
        <v>32</v>
      </c>
      <c r="G19500" s="30" t="s">
        <v>140</v>
      </c>
      <c r="H19500" s="32">
        <v>64</v>
      </c>
      <c r="I19500" s="30" t="s">
        <v>51</v>
      </c>
      <c r="J19500" s="41">
        <v>45581</v>
      </c>
      <c r="K19500" s="30" t="s">
        <v>22</v>
      </c>
    </row>
    <row r="19501" spans="1:11">
      <c r="A19501" s="33" t="s">
        <v>43421</v>
      </c>
      <c r="B19501" s="33" t="s">
        <v>43422</v>
      </c>
      <c r="C19501" s="33" t="s">
        <v>136</v>
      </c>
      <c r="D19501" s="33" t="s">
        <v>17</v>
      </c>
      <c r="E19501" s="33" t="s">
        <v>26</v>
      </c>
      <c r="F19501" s="33" t="s">
        <v>27</v>
      </c>
      <c r="G19501" s="33" t="s">
        <v>20</v>
      </c>
      <c r="H19501" s="35">
        <v>110</v>
      </c>
      <c r="I19501" s="33" t="s">
        <v>21</v>
      </c>
      <c r="J19501" s="42">
        <v>45604</v>
      </c>
      <c r="K19501" s="33" t="s">
        <v>22</v>
      </c>
    </row>
    <row r="19502" spans="1:11">
      <c r="A19502" s="30" t="s">
        <v>43423</v>
      </c>
      <c r="B19502" s="30" t="s">
        <v>43424</v>
      </c>
      <c r="C19502" s="30" t="s">
        <v>32699</v>
      </c>
      <c r="D19502" s="30" t="s">
        <v>17</v>
      </c>
      <c r="E19502" s="30" t="s">
        <v>67</v>
      </c>
      <c r="F19502" s="30" t="s">
        <v>68</v>
      </c>
      <c r="G19502" s="30" t="s">
        <v>20</v>
      </c>
      <c r="H19502" s="32">
        <v>150</v>
      </c>
      <c r="I19502" s="30" t="s">
        <v>21</v>
      </c>
      <c r="J19502" s="41">
        <v>45468</v>
      </c>
      <c r="K19502" s="30" t="s">
        <v>22</v>
      </c>
    </row>
    <row r="19503" spans="1:11">
      <c r="A19503" s="33" t="s">
        <v>43425</v>
      </c>
      <c r="B19503" s="33" t="s">
        <v>43426</v>
      </c>
      <c r="C19503" s="33" t="s">
        <v>4348</v>
      </c>
      <c r="D19503" s="33" t="s">
        <v>17</v>
      </c>
      <c r="E19503" s="33" t="s">
        <v>31</v>
      </c>
      <c r="F19503" s="33" t="s">
        <v>32</v>
      </c>
      <c r="G19503" s="33" t="s">
        <v>140</v>
      </c>
      <c r="H19503" s="35">
        <v>60</v>
      </c>
      <c r="I19503" s="33" t="s">
        <v>51</v>
      </c>
      <c r="J19503" s="42">
        <v>45603</v>
      </c>
      <c r="K19503" s="33" t="s">
        <v>22</v>
      </c>
    </row>
    <row r="19504" spans="1:11">
      <c r="A19504" s="30" t="s">
        <v>43427</v>
      </c>
      <c r="B19504" s="30" t="s">
        <v>43428</v>
      </c>
      <c r="C19504" s="30" t="s">
        <v>75</v>
      </c>
      <c r="D19504" s="30" t="s">
        <v>17</v>
      </c>
      <c r="E19504" s="30" t="s">
        <v>26</v>
      </c>
      <c r="F19504" s="30" t="s">
        <v>27</v>
      </c>
      <c r="G19504" s="30" t="s">
        <v>20</v>
      </c>
      <c r="H19504" s="32">
        <v>52</v>
      </c>
      <c r="I19504" s="30" t="s">
        <v>21</v>
      </c>
      <c r="J19504" s="41">
        <v>45572</v>
      </c>
      <c r="K19504" s="30" t="s">
        <v>22</v>
      </c>
    </row>
    <row r="19505" spans="1:11">
      <c r="A19505" s="33" t="s">
        <v>43429</v>
      </c>
      <c r="B19505" s="33" t="s">
        <v>43430</v>
      </c>
      <c r="C19505" s="33" t="s">
        <v>102</v>
      </c>
      <c r="D19505" s="33" t="s">
        <v>17</v>
      </c>
      <c r="E19505" s="33" t="s">
        <v>67</v>
      </c>
      <c r="F19505" s="33" t="s">
        <v>68</v>
      </c>
      <c r="G19505" s="33" t="s">
        <v>140</v>
      </c>
      <c r="H19505" s="35">
        <v>287</v>
      </c>
      <c r="I19505" s="33" t="s">
        <v>51</v>
      </c>
      <c r="J19505" s="42">
        <v>45404</v>
      </c>
      <c r="K19505" s="33" t="s">
        <v>22</v>
      </c>
    </row>
    <row r="19506" spans="1:11">
      <c r="A19506" s="30" t="s">
        <v>43431</v>
      </c>
      <c r="B19506" s="30" t="s">
        <v>43432</v>
      </c>
      <c r="C19506" s="30" t="s">
        <v>17131</v>
      </c>
      <c r="D19506" s="30" t="s">
        <v>17</v>
      </c>
      <c r="E19506" s="30" t="s">
        <v>45</v>
      </c>
      <c r="F19506" s="30" t="s">
        <v>46</v>
      </c>
      <c r="G19506" s="30" t="s">
        <v>140</v>
      </c>
      <c r="H19506" s="32">
        <v>455</v>
      </c>
      <c r="I19506" s="30" t="s">
        <v>51</v>
      </c>
      <c r="J19506" s="41">
        <v>45413</v>
      </c>
      <c r="K19506" s="30" t="s">
        <v>22</v>
      </c>
    </row>
    <row r="19507" spans="1:11">
      <c r="A19507" s="33" t="s">
        <v>43433</v>
      </c>
      <c r="B19507" s="33" t="s">
        <v>43434</v>
      </c>
      <c r="C19507" s="33" t="s">
        <v>16196</v>
      </c>
      <c r="D19507" s="33" t="s">
        <v>17</v>
      </c>
      <c r="E19507" s="33" t="s">
        <v>26</v>
      </c>
      <c r="F19507" s="33" t="s">
        <v>27</v>
      </c>
      <c r="G19507" s="33" t="s">
        <v>140</v>
      </c>
      <c r="H19507" s="35">
        <v>18</v>
      </c>
      <c r="I19507" s="33" t="s">
        <v>51</v>
      </c>
      <c r="J19507" s="42">
        <v>45626</v>
      </c>
      <c r="K19507" s="33" t="s">
        <v>22</v>
      </c>
    </row>
    <row r="19508" spans="1:11">
      <c r="A19508" s="30" t="s">
        <v>43435</v>
      </c>
      <c r="B19508" s="30" t="s">
        <v>43436</v>
      </c>
      <c r="C19508" s="30" t="s">
        <v>7094</v>
      </c>
      <c r="D19508" s="30" t="s">
        <v>17</v>
      </c>
      <c r="E19508" s="30" t="s">
        <v>18</v>
      </c>
      <c r="F19508" s="30" t="s">
        <v>19</v>
      </c>
      <c r="G19508" s="30" t="s">
        <v>7780</v>
      </c>
      <c r="H19508" s="32">
        <v>597</v>
      </c>
      <c r="I19508" s="30" t="s">
        <v>51</v>
      </c>
      <c r="J19508" s="41">
        <v>45323</v>
      </c>
      <c r="K19508" s="30" t="s">
        <v>22</v>
      </c>
    </row>
    <row r="19509" spans="1:11">
      <c r="A19509" s="33" t="s">
        <v>43437</v>
      </c>
      <c r="B19509" s="33" t="s">
        <v>43438</v>
      </c>
      <c r="C19509" s="33" t="s">
        <v>93</v>
      </c>
      <c r="D19509" s="33" t="s">
        <v>17</v>
      </c>
      <c r="E19509" s="33" t="s">
        <v>26</v>
      </c>
      <c r="F19509" s="33" t="s">
        <v>27</v>
      </c>
      <c r="G19509" s="33" t="s">
        <v>20</v>
      </c>
      <c r="H19509" s="35">
        <v>72</v>
      </c>
      <c r="I19509" s="33" t="s">
        <v>21</v>
      </c>
      <c r="J19509" s="42">
        <v>45645</v>
      </c>
      <c r="K19509" s="33" t="s">
        <v>22</v>
      </c>
    </row>
    <row r="19510" spans="1:11">
      <c r="A19510" s="30" t="s">
        <v>43439</v>
      </c>
      <c r="B19510" s="30" t="s">
        <v>43440</v>
      </c>
      <c r="C19510" s="30" t="s">
        <v>24734</v>
      </c>
      <c r="D19510" s="30" t="s">
        <v>17</v>
      </c>
      <c r="E19510" s="30" t="s">
        <v>26</v>
      </c>
      <c r="F19510" s="30" t="s">
        <v>27</v>
      </c>
      <c r="G19510" s="30" t="s">
        <v>50</v>
      </c>
      <c r="H19510" s="32">
        <v>12</v>
      </c>
      <c r="I19510" s="30" t="s">
        <v>51</v>
      </c>
      <c r="J19510" s="41">
        <v>45316</v>
      </c>
      <c r="K19510" s="30" t="s">
        <v>22</v>
      </c>
    </row>
    <row r="19511" spans="1:11">
      <c r="A19511" s="33" t="s">
        <v>43441</v>
      </c>
      <c r="B19511" s="33" t="s">
        <v>43442</v>
      </c>
      <c r="C19511" s="33" t="s">
        <v>1441</v>
      </c>
      <c r="D19511" s="33" t="s">
        <v>17</v>
      </c>
      <c r="E19511" s="33" t="s">
        <v>18</v>
      </c>
      <c r="F19511" s="33" t="s">
        <v>19</v>
      </c>
      <c r="G19511" s="33" t="s">
        <v>140</v>
      </c>
      <c r="H19511" s="35">
        <v>176</v>
      </c>
      <c r="I19511" s="33" t="s">
        <v>51</v>
      </c>
      <c r="J19511" s="42">
        <v>45449</v>
      </c>
      <c r="K19511" s="33" t="s">
        <v>22</v>
      </c>
    </row>
    <row r="19512" spans="1:11">
      <c r="A19512" s="30" t="s">
        <v>43443</v>
      </c>
      <c r="B19512" s="30" t="s">
        <v>43444</v>
      </c>
      <c r="C19512" s="30" t="s">
        <v>14483</v>
      </c>
      <c r="D19512" s="30" t="s">
        <v>17</v>
      </c>
      <c r="E19512" s="30" t="s">
        <v>18</v>
      </c>
      <c r="F19512" s="30" t="s">
        <v>19</v>
      </c>
      <c r="G19512" s="30" t="s">
        <v>158</v>
      </c>
      <c r="H19512" s="32">
        <v>211</v>
      </c>
      <c r="I19512" s="30" t="s">
        <v>21</v>
      </c>
      <c r="J19512" s="41">
        <v>45525</v>
      </c>
      <c r="K19512" s="30" t="s">
        <v>22</v>
      </c>
    </row>
    <row r="19513" spans="1:11">
      <c r="A19513" s="33" t="s">
        <v>43445</v>
      </c>
      <c r="B19513" s="33" t="s">
        <v>43446</v>
      </c>
      <c r="C19513" s="33" t="s">
        <v>190</v>
      </c>
      <c r="D19513" s="33" t="s">
        <v>17</v>
      </c>
      <c r="E19513" s="33" t="s">
        <v>31</v>
      </c>
      <c r="F19513" s="33" t="s">
        <v>32</v>
      </c>
      <c r="G19513" s="33" t="s">
        <v>20</v>
      </c>
      <c r="H19513" s="35">
        <v>324</v>
      </c>
      <c r="I19513" s="33" t="s">
        <v>21</v>
      </c>
      <c r="J19513" s="42">
        <v>45413</v>
      </c>
      <c r="K19513" s="33" t="s">
        <v>22</v>
      </c>
    </row>
    <row r="19514" spans="1:11">
      <c r="A19514" s="30" t="s">
        <v>43447</v>
      </c>
      <c r="B19514" s="30" t="s">
        <v>43448</v>
      </c>
      <c r="C19514" s="30" t="s">
        <v>1165</v>
      </c>
      <c r="D19514" s="30" t="s">
        <v>17</v>
      </c>
      <c r="E19514" s="30" t="s">
        <v>31</v>
      </c>
      <c r="F19514" s="30" t="s">
        <v>32</v>
      </c>
      <c r="G19514" s="30" t="s">
        <v>158</v>
      </c>
      <c r="H19514" s="32">
        <v>33</v>
      </c>
      <c r="I19514" s="30" t="s">
        <v>21</v>
      </c>
      <c r="J19514" s="41">
        <v>45534</v>
      </c>
      <c r="K19514" s="30" t="s">
        <v>22</v>
      </c>
    </row>
    <row r="19515" spans="1:11">
      <c r="A19515" s="33" t="s">
        <v>43449</v>
      </c>
      <c r="B19515" s="33" t="s">
        <v>43450</v>
      </c>
      <c r="C19515" s="33" t="s">
        <v>6097</v>
      </c>
      <c r="D19515" s="33" t="s">
        <v>17</v>
      </c>
      <c r="E19515" s="33" t="s">
        <v>31</v>
      </c>
      <c r="F19515" s="33" t="s">
        <v>32</v>
      </c>
      <c r="G19515" s="33" t="s">
        <v>158</v>
      </c>
      <c r="H19515" s="35">
        <v>880</v>
      </c>
      <c r="I19515" s="33" t="s">
        <v>51</v>
      </c>
      <c r="J19515" s="42">
        <v>45328</v>
      </c>
      <c r="K19515" s="33" t="s">
        <v>22</v>
      </c>
    </row>
    <row r="19516" spans="1:11">
      <c r="A19516" s="30" t="s">
        <v>43451</v>
      </c>
      <c r="B19516" s="30" t="s">
        <v>43452</v>
      </c>
      <c r="C19516" s="30" t="s">
        <v>3307</v>
      </c>
      <c r="D19516" s="30" t="s">
        <v>17</v>
      </c>
      <c r="E19516" s="30" t="s">
        <v>18</v>
      </c>
      <c r="F19516" s="30" t="s">
        <v>19</v>
      </c>
      <c r="G19516" s="30" t="s">
        <v>140</v>
      </c>
      <c r="H19516" s="32">
        <v>734</v>
      </c>
      <c r="I19516" s="30" t="s">
        <v>51</v>
      </c>
      <c r="J19516" s="41">
        <v>45504</v>
      </c>
      <c r="K19516" s="30" t="s">
        <v>22</v>
      </c>
    </row>
    <row r="19517" spans="1:11">
      <c r="A19517" s="33" t="s">
        <v>43453</v>
      </c>
      <c r="B19517" s="33" t="s">
        <v>43454</v>
      </c>
      <c r="C19517" s="33" t="s">
        <v>1003</v>
      </c>
      <c r="D19517" s="33" t="s">
        <v>17</v>
      </c>
      <c r="E19517" s="33" t="s">
        <v>67</v>
      </c>
      <c r="F19517" s="33" t="s">
        <v>68</v>
      </c>
      <c r="G19517" s="33" t="s">
        <v>140</v>
      </c>
      <c r="H19517" s="35">
        <v>265</v>
      </c>
      <c r="I19517" s="33" t="s">
        <v>51</v>
      </c>
      <c r="J19517" s="42">
        <v>45537</v>
      </c>
      <c r="K19517" s="33" t="s">
        <v>22</v>
      </c>
    </row>
    <row r="19518" spans="1:11">
      <c r="A19518" s="30" t="s">
        <v>43455</v>
      </c>
      <c r="B19518" s="30" t="s">
        <v>43456</v>
      </c>
      <c r="C19518" s="30" t="s">
        <v>43457</v>
      </c>
      <c r="D19518" s="30" t="s">
        <v>17</v>
      </c>
      <c r="E19518" s="30" t="s">
        <v>67</v>
      </c>
      <c r="F19518" s="30" t="s">
        <v>68</v>
      </c>
      <c r="G19518" s="30" t="s">
        <v>140</v>
      </c>
      <c r="H19518" s="32">
        <v>60</v>
      </c>
      <c r="I19518" s="30" t="s">
        <v>51</v>
      </c>
      <c r="J19518" s="41">
        <v>45418</v>
      </c>
      <c r="K19518" s="30" t="s">
        <v>22</v>
      </c>
    </row>
    <row r="19519" spans="1:11">
      <c r="A19519" s="33" t="s">
        <v>43458</v>
      </c>
      <c r="B19519" s="33" t="s">
        <v>43459</v>
      </c>
      <c r="C19519" s="33" t="s">
        <v>96</v>
      </c>
      <c r="D19519" s="33" t="s">
        <v>17</v>
      </c>
      <c r="E19519" s="33" t="s">
        <v>26</v>
      </c>
      <c r="F19519" s="33" t="s">
        <v>27</v>
      </c>
      <c r="G19519" s="33" t="s">
        <v>20</v>
      </c>
      <c r="H19519" s="35">
        <v>12</v>
      </c>
      <c r="I19519" s="33" t="s">
        <v>21</v>
      </c>
      <c r="J19519" s="42">
        <v>45349</v>
      </c>
      <c r="K19519" s="33" t="s">
        <v>22</v>
      </c>
    </row>
    <row r="19520" spans="1:11">
      <c r="A19520" s="30" t="s">
        <v>43460</v>
      </c>
      <c r="B19520" s="30" t="s">
        <v>43461</v>
      </c>
      <c r="C19520" s="30" t="s">
        <v>190</v>
      </c>
      <c r="D19520" s="30" t="s">
        <v>17</v>
      </c>
      <c r="E19520" s="30" t="s">
        <v>26</v>
      </c>
      <c r="F19520" s="30" t="s">
        <v>27</v>
      </c>
      <c r="G19520" s="30" t="s">
        <v>20</v>
      </c>
      <c r="H19520" s="32">
        <v>29</v>
      </c>
      <c r="I19520" s="30" t="s">
        <v>21</v>
      </c>
      <c r="J19520" s="41">
        <v>45635</v>
      </c>
      <c r="K19520" s="30" t="s">
        <v>22</v>
      </c>
    </row>
    <row r="19521" spans="1:11">
      <c r="A19521" s="33" t="s">
        <v>43462</v>
      </c>
      <c r="B19521" s="33" t="s">
        <v>43463</v>
      </c>
      <c r="C19521" s="33" t="s">
        <v>38106</v>
      </c>
      <c r="D19521" s="33" t="s">
        <v>17</v>
      </c>
      <c r="E19521" s="33" t="s">
        <v>26</v>
      </c>
      <c r="F19521" s="33" t="s">
        <v>27</v>
      </c>
      <c r="G19521" s="33" t="s">
        <v>140</v>
      </c>
      <c r="H19521" s="35">
        <v>36</v>
      </c>
      <c r="I19521" s="33" t="s">
        <v>51</v>
      </c>
      <c r="J19521" s="42">
        <v>45621</v>
      </c>
      <c r="K19521" s="33" t="s">
        <v>22</v>
      </c>
    </row>
    <row r="19522" spans="1:11">
      <c r="A19522" s="30" t="s">
        <v>43464</v>
      </c>
      <c r="B19522" s="30" t="s">
        <v>43465</v>
      </c>
      <c r="C19522" s="30" t="s">
        <v>14176</v>
      </c>
      <c r="D19522" s="30" t="s">
        <v>17</v>
      </c>
      <c r="E19522" s="30" t="s">
        <v>26</v>
      </c>
      <c r="F19522" s="30" t="s">
        <v>27</v>
      </c>
      <c r="G19522" s="30" t="s">
        <v>20</v>
      </c>
      <c r="H19522" s="32">
        <v>30</v>
      </c>
      <c r="I19522" s="30" t="s">
        <v>21</v>
      </c>
      <c r="J19522" s="41">
        <v>45327</v>
      </c>
      <c r="K19522" s="30" t="s">
        <v>22</v>
      </c>
    </row>
    <row r="19523" spans="1:11">
      <c r="A19523" s="33" t="s">
        <v>43466</v>
      </c>
      <c r="B19523" s="33" t="s">
        <v>43467</v>
      </c>
      <c r="C19523" s="33" t="s">
        <v>43468</v>
      </c>
      <c r="D19523" s="33" t="s">
        <v>17</v>
      </c>
      <c r="E19523" s="33" t="s">
        <v>31</v>
      </c>
      <c r="F19523" s="33" t="s">
        <v>32</v>
      </c>
      <c r="G19523" s="33" t="s">
        <v>20</v>
      </c>
      <c r="H19523" s="35">
        <v>122</v>
      </c>
      <c r="I19523" s="33" t="s">
        <v>21</v>
      </c>
      <c r="J19523" s="42">
        <v>45610</v>
      </c>
      <c r="K19523" s="33" t="s">
        <v>22</v>
      </c>
    </row>
    <row r="19524" spans="1:11">
      <c r="A19524" s="30" t="s">
        <v>43469</v>
      </c>
      <c r="B19524" s="30" t="s">
        <v>43470</v>
      </c>
      <c r="C19524" s="30" t="s">
        <v>96</v>
      </c>
      <c r="D19524" s="30" t="s">
        <v>17</v>
      </c>
      <c r="E19524" s="30" t="s">
        <v>26</v>
      </c>
      <c r="F19524" s="30" t="s">
        <v>27</v>
      </c>
      <c r="G19524" s="30" t="s">
        <v>20</v>
      </c>
      <c r="H19524" s="32">
        <v>40</v>
      </c>
      <c r="I19524" s="30" t="s">
        <v>21</v>
      </c>
      <c r="J19524" s="41">
        <v>45306</v>
      </c>
      <c r="K19524" s="30" t="s">
        <v>22</v>
      </c>
    </row>
    <row r="19525" spans="1:11">
      <c r="A19525" s="33" t="s">
        <v>43471</v>
      </c>
      <c r="B19525" s="33" t="s">
        <v>43472</v>
      </c>
      <c r="C19525" s="33" t="s">
        <v>43473</v>
      </c>
      <c r="D19525" s="33" t="s">
        <v>17</v>
      </c>
      <c r="E19525" s="33" t="s">
        <v>26</v>
      </c>
      <c r="F19525" s="33" t="s">
        <v>27</v>
      </c>
      <c r="G19525" s="33" t="s">
        <v>158</v>
      </c>
      <c r="H19525" s="35">
        <v>220</v>
      </c>
      <c r="I19525" s="33" t="s">
        <v>51</v>
      </c>
      <c r="J19525" s="42">
        <v>45517</v>
      </c>
      <c r="K19525" s="33" t="s">
        <v>22</v>
      </c>
    </row>
    <row r="19526" spans="1:11">
      <c r="A19526" s="30" t="s">
        <v>43474</v>
      </c>
      <c r="B19526" s="30" t="s">
        <v>43475</v>
      </c>
      <c r="C19526" s="30" t="s">
        <v>10028</v>
      </c>
      <c r="D19526" s="30" t="s">
        <v>17</v>
      </c>
      <c r="E19526" s="30" t="s">
        <v>31</v>
      </c>
      <c r="F19526" s="30" t="s">
        <v>32</v>
      </c>
      <c r="G19526" s="30" t="s">
        <v>20</v>
      </c>
      <c r="H19526" s="32">
        <v>93</v>
      </c>
      <c r="I19526" s="30" t="s">
        <v>21</v>
      </c>
      <c r="J19526" s="41">
        <v>45499</v>
      </c>
      <c r="K19526" s="30" t="s">
        <v>22</v>
      </c>
    </row>
    <row r="19527" spans="1:11">
      <c r="A19527" s="33" t="s">
        <v>43476</v>
      </c>
      <c r="B19527" s="33" t="s">
        <v>43477</v>
      </c>
      <c r="C19527" s="33" t="s">
        <v>93</v>
      </c>
      <c r="D19527" s="33" t="s">
        <v>17</v>
      </c>
      <c r="E19527" s="33" t="s">
        <v>18</v>
      </c>
      <c r="F19527" s="33" t="s">
        <v>19</v>
      </c>
      <c r="G19527" s="33" t="s">
        <v>158</v>
      </c>
      <c r="H19527" s="35">
        <v>99</v>
      </c>
      <c r="I19527" s="33" t="s">
        <v>21</v>
      </c>
      <c r="J19527" s="42">
        <v>45648</v>
      </c>
      <c r="K19527" s="33" t="s">
        <v>22</v>
      </c>
    </row>
    <row r="19528" spans="1:11">
      <c r="A19528" s="30" t="s">
        <v>43478</v>
      </c>
      <c r="B19528" s="30" t="s">
        <v>43479</v>
      </c>
      <c r="C19528" s="30" t="s">
        <v>4210</v>
      </c>
      <c r="D19528" s="30" t="s">
        <v>17</v>
      </c>
      <c r="E19528" s="30" t="s">
        <v>31</v>
      </c>
      <c r="F19528" s="30" t="s">
        <v>32</v>
      </c>
      <c r="G19528" s="30" t="s">
        <v>140</v>
      </c>
      <c r="H19528" s="32">
        <v>12</v>
      </c>
      <c r="I19528" s="30" t="s">
        <v>51</v>
      </c>
      <c r="J19528" s="41">
        <v>45519</v>
      </c>
      <c r="K19528" s="30" t="s">
        <v>22</v>
      </c>
    </row>
    <row r="19529" spans="1:11">
      <c r="A19529" s="33" t="s">
        <v>43480</v>
      </c>
      <c r="B19529" s="33" t="s">
        <v>43481</v>
      </c>
      <c r="C19529" s="33" t="s">
        <v>187</v>
      </c>
      <c r="D19529" s="33" t="s">
        <v>17</v>
      </c>
      <c r="E19529" s="33" t="s">
        <v>26</v>
      </c>
      <c r="F19529" s="33" t="s">
        <v>27</v>
      </c>
      <c r="G19529" s="33" t="s">
        <v>20</v>
      </c>
      <c r="H19529" s="35">
        <v>32</v>
      </c>
      <c r="I19529" s="33" t="s">
        <v>21</v>
      </c>
      <c r="J19529" s="42">
        <v>45577</v>
      </c>
      <c r="K19529" s="33" t="s">
        <v>22</v>
      </c>
    </row>
    <row r="19530" spans="1:11">
      <c r="A19530" s="30" t="s">
        <v>43482</v>
      </c>
      <c r="B19530" s="30" t="s">
        <v>43483</v>
      </c>
      <c r="C19530" s="30" t="s">
        <v>647</v>
      </c>
      <c r="D19530" s="30" t="s">
        <v>17</v>
      </c>
      <c r="E19530" s="30" t="s">
        <v>31</v>
      </c>
      <c r="F19530" s="30" t="s">
        <v>32</v>
      </c>
      <c r="G19530" s="30" t="s">
        <v>158</v>
      </c>
      <c r="H19530" s="32">
        <v>272</v>
      </c>
      <c r="I19530" s="30" t="s">
        <v>51</v>
      </c>
      <c r="J19530" s="41">
        <v>45392</v>
      </c>
      <c r="K19530" s="30" t="s">
        <v>22</v>
      </c>
    </row>
    <row r="19531" spans="1:11">
      <c r="A19531" s="33" t="s">
        <v>43484</v>
      </c>
      <c r="B19531" s="33" t="s">
        <v>43485</v>
      </c>
      <c r="C19531" s="33" t="s">
        <v>10046</v>
      </c>
      <c r="D19531" s="33" t="s">
        <v>17</v>
      </c>
      <c r="E19531" s="33" t="s">
        <v>31</v>
      </c>
      <c r="F19531" s="33" t="s">
        <v>32</v>
      </c>
      <c r="G19531" s="33" t="s">
        <v>50</v>
      </c>
      <c r="H19531" s="35">
        <v>50</v>
      </c>
      <c r="I19531" s="33" t="s">
        <v>51</v>
      </c>
      <c r="J19531" s="42">
        <v>45376</v>
      </c>
      <c r="K19531" s="33" t="s">
        <v>22</v>
      </c>
    </row>
    <row r="19532" spans="1:11">
      <c r="A19532" s="30" t="s">
        <v>43486</v>
      </c>
      <c r="B19532" s="30" t="s">
        <v>43487</v>
      </c>
      <c r="C19532" s="30" t="s">
        <v>1801</v>
      </c>
      <c r="D19532" s="30" t="s">
        <v>17</v>
      </c>
      <c r="E19532" s="30" t="s">
        <v>26</v>
      </c>
      <c r="F19532" s="30" t="s">
        <v>27</v>
      </c>
      <c r="G19532" s="30" t="s">
        <v>140</v>
      </c>
      <c r="H19532" s="32">
        <v>130</v>
      </c>
      <c r="I19532" s="30" t="s">
        <v>51</v>
      </c>
      <c r="J19532" s="41">
        <v>45632</v>
      </c>
      <c r="K19532" s="30" t="s">
        <v>22</v>
      </c>
    </row>
    <row r="19533" spans="1:11">
      <c r="A19533" s="33" t="s">
        <v>43488</v>
      </c>
      <c r="B19533" s="33" t="s">
        <v>43489</v>
      </c>
      <c r="C19533" s="33" t="s">
        <v>43490</v>
      </c>
      <c r="D19533" s="33" t="s">
        <v>17</v>
      </c>
      <c r="E19533" s="33" t="s">
        <v>212</v>
      </c>
      <c r="F19533" s="33" t="s">
        <v>213</v>
      </c>
      <c r="G19533" s="33" t="s">
        <v>20</v>
      </c>
      <c r="H19533" s="35">
        <v>235</v>
      </c>
      <c r="I19533" s="33" t="s">
        <v>21</v>
      </c>
      <c r="J19533" s="42">
        <v>45370</v>
      </c>
      <c r="K19533" s="33" t="s">
        <v>22</v>
      </c>
    </row>
    <row r="19534" spans="1:11">
      <c r="A19534" s="30" t="s">
        <v>43491</v>
      </c>
      <c r="B19534" s="30" t="s">
        <v>43492</v>
      </c>
      <c r="C19534" s="30" t="s">
        <v>4348</v>
      </c>
      <c r="D19534" s="30" t="s">
        <v>17</v>
      </c>
      <c r="E19534" s="30" t="s">
        <v>31</v>
      </c>
      <c r="F19534" s="30" t="s">
        <v>32</v>
      </c>
      <c r="G19534" s="30" t="s">
        <v>140</v>
      </c>
      <c r="H19534" s="32">
        <v>46</v>
      </c>
      <c r="I19534" s="30" t="s">
        <v>51</v>
      </c>
      <c r="J19534" s="41">
        <v>45450</v>
      </c>
      <c r="K19534" s="30" t="s">
        <v>22</v>
      </c>
    </row>
    <row r="19535" spans="1:11">
      <c r="A19535" s="33" t="s">
        <v>43493</v>
      </c>
      <c r="B19535" s="33" t="s">
        <v>43494</v>
      </c>
      <c r="C19535" s="33" t="s">
        <v>4854</v>
      </c>
      <c r="D19535" s="33" t="s">
        <v>17</v>
      </c>
      <c r="E19535" s="33" t="s">
        <v>31</v>
      </c>
      <c r="F19535" s="33" t="s">
        <v>32</v>
      </c>
      <c r="G19535" s="33" t="s">
        <v>158</v>
      </c>
      <c r="H19535" s="35">
        <v>140</v>
      </c>
      <c r="I19535" s="33" t="s">
        <v>51</v>
      </c>
      <c r="J19535" s="42">
        <v>45495</v>
      </c>
      <c r="K19535" s="33" t="s">
        <v>22</v>
      </c>
    </row>
    <row r="19536" spans="1:11">
      <c r="A19536" s="30" t="s">
        <v>43495</v>
      </c>
      <c r="B19536" s="30" t="s">
        <v>43496</v>
      </c>
      <c r="C19536" s="30" t="s">
        <v>96</v>
      </c>
      <c r="D19536" s="30" t="s">
        <v>17</v>
      </c>
      <c r="E19536" s="30" t="s">
        <v>26</v>
      </c>
      <c r="F19536" s="30" t="s">
        <v>27</v>
      </c>
      <c r="G19536" s="30" t="s">
        <v>20</v>
      </c>
      <c r="H19536" s="32">
        <v>12</v>
      </c>
      <c r="I19536" s="30" t="s">
        <v>21</v>
      </c>
      <c r="J19536" s="41">
        <v>45593</v>
      </c>
      <c r="K19536" s="30" t="s">
        <v>22</v>
      </c>
    </row>
    <row r="19537" spans="1:11">
      <c r="A19537" s="33" t="s">
        <v>43497</v>
      </c>
      <c r="B19537" s="33" t="s">
        <v>43498</v>
      </c>
      <c r="C19537" s="33" t="s">
        <v>102</v>
      </c>
      <c r="D19537" s="33" t="s">
        <v>17</v>
      </c>
      <c r="E19537" s="33" t="s">
        <v>18</v>
      </c>
      <c r="F19537" s="33" t="s">
        <v>19</v>
      </c>
      <c r="G19537" s="33" t="s">
        <v>140</v>
      </c>
      <c r="H19537" s="35">
        <v>700</v>
      </c>
      <c r="I19537" s="33" t="s">
        <v>51</v>
      </c>
      <c r="J19537" s="42">
        <v>45638</v>
      </c>
      <c r="K19537" s="33" t="s">
        <v>22</v>
      </c>
    </row>
    <row r="19538" spans="1:11">
      <c r="A19538" s="30" t="s">
        <v>43499</v>
      </c>
      <c r="B19538" s="30" t="s">
        <v>43500</v>
      </c>
      <c r="C19538" s="30" t="s">
        <v>27547</v>
      </c>
      <c r="D19538" s="30" t="s">
        <v>17</v>
      </c>
      <c r="E19538" s="30" t="s">
        <v>26</v>
      </c>
      <c r="F19538" s="30" t="s">
        <v>27</v>
      </c>
      <c r="G19538" s="30" t="s">
        <v>20</v>
      </c>
      <c r="H19538" s="32">
        <v>18</v>
      </c>
      <c r="I19538" s="30" t="s">
        <v>21</v>
      </c>
      <c r="J19538" s="41">
        <v>45446</v>
      </c>
      <c r="K19538" s="30" t="s">
        <v>22</v>
      </c>
    </row>
    <row r="19539" spans="1:11">
      <c r="A19539" s="33" t="s">
        <v>43501</v>
      </c>
      <c r="B19539" s="33" t="s">
        <v>43502</v>
      </c>
      <c r="C19539" s="33" t="s">
        <v>136</v>
      </c>
      <c r="D19539" s="33" t="s">
        <v>17</v>
      </c>
      <c r="E19539" s="33" t="s">
        <v>18</v>
      </c>
      <c r="F19539" s="33" t="s">
        <v>19</v>
      </c>
      <c r="G19539" s="33" t="s">
        <v>140</v>
      </c>
      <c r="H19539" s="35">
        <v>90</v>
      </c>
      <c r="I19539" s="33" t="s">
        <v>51</v>
      </c>
      <c r="J19539" s="42">
        <v>45364</v>
      </c>
      <c r="K19539" s="33" t="s">
        <v>22</v>
      </c>
    </row>
    <row r="19540" spans="1:11">
      <c r="A19540" s="30" t="s">
        <v>43503</v>
      </c>
      <c r="B19540" s="30" t="s">
        <v>43504</v>
      </c>
      <c r="C19540" s="30" t="s">
        <v>10009</v>
      </c>
      <c r="D19540" s="30" t="s">
        <v>17</v>
      </c>
      <c r="E19540" s="30" t="s">
        <v>18</v>
      </c>
      <c r="F19540" s="30" t="s">
        <v>19</v>
      </c>
      <c r="G19540" s="30" t="s">
        <v>20</v>
      </c>
      <c r="H19540" s="32">
        <v>401</v>
      </c>
      <c r="I19540" s="30" t="s">
        <v>21</v>
      </c>
      <c r="J19540" s="41">
        <v>45366</v>
      </c>
      <c r="K19540" s="30" t="s">
        <v>22</v>
      </c>
    </row>
    <row r="19541" spans="1:11">
      <c r="A19541" s="33" t="s">
        <v>43505</v>
      </c>
      <c r="B19541" s="33" t="s">
        <v>43506</v>
      </c>
      <c r="C19541" s="33" t="s">
        <v>43507</v>
      </c>
      <c r="D19541" s="33" t="s">
        <v>17</v>
      </c>
      <c r="E19541" s="33" t="s">
        <v>31</v>
      </c>
      <c r="F19541" s="33" t="s">
        <v>32</v>
      </c>
      <c r="G19541" s="33" t="s">
        <v>140</v>
      </c>
      <c r="H19541" s="35">
        <v>400</v>
      </c>
      <c r="I19541" s="33" t="s">
        <v>51</v>
      </c>
      <c r="J19541" s="42">
        <v>45597</v>
      </c>
      <c r="K19541" s="33" t="s">
        <v>22</v>
      </c>
    </row>
    <row r="19542" spans="1:11">
      <c r="A19542" s="30" t="s">
        <v>43508</v>
      </c>
      <c r="B19542" s="30" t="s">
        <v>43509</v>
      </c>
      <c r="C19542" s="30" t="s">
        <v>2500</v>
      </c>
      <c r="D19542" s="30" t="s">
        <v>17</v>
      </c>
      <c r="E19542" s="30" t="s">
        <v>67</v>
      </c>
      <c r="F19542" s="30" t="s">
        <v>68</v>
      </c>
      <c r="G19542" s="30" t="s">
        <v>140</v>
      </c>
      <c r="H19542" s="32">
        <v>120</v>
      </c>
      <c r="I19542" s="30" t="s">
        <v>51</v>
      </c>
      <c r="J19542" s="41">
        <v>45518</v>
      </c>
      <c r="K19542" s="30" t="s">
        <v>22</v>
      </c>
    </row>
    <row r="19543" spans="1:11">
      <c r="A19543" s="33" t="s">
        <v>43510</v>
      </c>
      <c r="B19543" s="33" t="s">
        <v>43511</v>
      </c>
      <c r="C19543" s="33" t="s">
        <v>13577</v>
      </c>
      <c r="D19543" s="33" t="s">
        <v>17</v>
      </c>
      <c r="E19543" s="33" t="s">
        <v>26</v>
      </c>
      <c r="F19543" s="33" t="s">
        <v>27</v>
      </c>
      <c r="G19543" s="33" t="s">
        <v>20</v>
      </c>
      <c r="H19543" s="35">
        <v>118</v>
      </c>
      <c r="I19543" s="33" t="s">
        <v>21</v>
      </c>
      <c r="J19543" s="42">
        <v>45587</v>
      </c>
      <c r="K19543" s="33" t="s">
        <v>22</v>
      </c>
    </row>
    <row r="19544" spans="1:11">
      <c r="A19544" s="30" t="s">
        <v>43512</v>
      </c>
      <c r="B19544" s="30" t="s">
        <v>43513</v>
      </c>
      <c r="C19544" s="30" t="s">
        <v>310</v>
      </c>
      <c r="D19544" s="30" t="s">
        <v>17</v>
      </c>
      <c r="E19544" s="30" t="s">
        <v>26</v>
      </c>
      <c r="F19544" s="30" t="s">
        <v>27</v>
      </c>
      <c r="G19544" s="30" t="s">
        <v>20</v>
      </c>
      <c r="H19544" s="32">
        <v>18</v>
      </c>
      <c r="I19544" s="30" t="s">
        <v>21</v>
      </c>
      <c r="J19544" s="41">
        <v>45628</v>
      </c>
      <c r="K19544" s="30" t="s">
        <v>22</v>
      </c>
    </row>
    <row r="19545" spans="1:11">
      <c r="A19545" s="33" t="s">
        <v>43514</v>
      </c>
      <c r="B19545" s="33" t="s">
        <v>43515</v>
      </c>
      <c r="C19545" s="33" t="s">
        <v>25944</v>
      </c>
      <c r="D19545" s="33" t="s">
        <v>17</v>
      </c>
      <c r="E19545" s="33" t="s">
        <v>45</v>
      </c>
      <c r="F19545" s="33" t="s">
        <v>46</v>
      </c>
      <c r="G19545" s="33" t="s">
        <v>158</v>
      </c>
      <c r="H19545" s="35">
        <v>60</v>
      </c>
      <c r="I19545" s="33" t="s">
        <v>51</v>
      </c>
      <c r="J19545" s="42">
        <v>45504</v>
      </c>
      <c r="K19545" s="33" t="s">
        <v>22</v>
      </c>
    </row>
    <row r="19546" spans="1:11">
      <c r="A19546" s="30" t="s">
        <v>43516</v>
      </c>
      <c r="B19546" s="30" t="s">
        <v>43517</v>
      </c>
      <c r="C19546" s="30" t="s">
        <v>187</v>
      </c>
      <c r="D19546" s="30" t="s">
        <v>17</v>
      </c>
      <c r="E19546" s="30" t="s">
        <v>26</v>
      </c>
      <c r="F19546" s="30" t="s">
        <v>27</v>
      </c>
      <c r="G19546" s="30" t="s">
        <v>20</v>
      </c>
      <c r="H19546" s="32">
        <v>27</v>
      </c>
      <c r="I19546" s="30" t="s">
        <v>21</v>
      </c>
      <c r="J19546" s="41">
        <v>45407</v>
      </c>
      <c r="K19546" s="30" t="s">
        <v>22</v>
      </c>
    </row>
    <row r="19547" spans="1:11">
      <c r="A19547" s="33" t="s">
        <v>43518</v>
      </c>
      <c r="B19547" s="33" t="s">
        <v>43519</v>
      </c>
      <c r="C19547" s="33" t="s">
        <v>93</v>
      </c>
      <c r="D19547" s="33" t="s">
        <v>17</v>
      </c>
      <c r="E19547" s="33" t="s">
        <v>31</v>
      </c>
      <c r="F19547" s="33" t="s">
        <v>32</v>
      </c>
      <c r="G19547" s="33" t="s">
        <v>158</v>
      </c>
      <c r="H19547" s="35">
        <v>156</v>
      </c>
      <c r="I19547" s="33" t="s">
        <v>21</v>
      </c>
      <c r="J19547" s="42">
        <v>45374</v>
      </c>
      <c r="K19547" s="33" t="s">
        <v>22</v>
      </c>
    </row>
    <row r="19548" spans="1:11">
      <c r="A19548" s="30" t="s">
        <v>43520</v>
      </c>
      <c r="B19548" s="30" t="s">
        <v>43521</v>
      </c>
      <c r="C19548" s="30" t="s">
        <v>3013</v>
      </c>
      <c r="D19548" s="30" t="s">
        <v>17</v>
      </c>
      <c r="E19548" s="30" t="s">
        <v>26</v>
      </c>
      <c r="F19548" s="30" t="s">
        <v>27</v>
      </c>
      <c r="G19548" s="30" t="s">
        <v>140</v>
      </c>
      <c r="H19548" s="32">
        <v>372</v>
      </c>
      <c r="I19548" s="30" t="s">
        <v>51</v>
      </c>
      <c r="J19548" s="41">
        <v>45372</v>
      </c>
      <c r="K19548" s="30" t="s">
        <v>22</v>
      </c>
    </row>
    <row r="19549" spans="1:11">
      <c r="A19549" s="33" t="s">
        <v>43522</v>
      </c>
      <c r="B19549" s="33" t="s">
        <v>43523</v>
      </c>
      <c r="C19549" s="33" t="s">
        <v>4793</v>
      </c>
      <c r="D19549" s="33" t="s">
        <v>17</v>
      </c>
      <c r="E19549" s="33" t="s">
        <v>31</v>
      </c>
      <c r="F19549" s="33" t="s">
        <v>32</v>
      </c>
      <c r="G19549" s="33" t="s">
        <v>140</v>
      </c>
      <c r="H19549" s="35">
        <v>39</v>
      </c>
      <c r="I19549" s="33" t="s">
        <v>51</v>
      </c>
      <c r="J19549" s="42">
        <v>45524</v>
      </c>
      <c r="K19549" s="33" t="s">
        <v>22</v>
      </c>
    </row>
    <row r="19550" spans="1:11">
      <c r="A19550" s="30" t="s">
        <v>43524</v>
      </c>
      <c r="B19550" s="30" t="s">
        <v>43525</v>
      </c>
      <c r="C19550" s="30" t="s">
        <v>96</v>
      </c>
      <c r="D19550" s="30" t="s">
        <v>17</v>
      </c>
      <c r="E19550" s="30" t="s">
        <v>18</v>
      </c>
      <c r="F19550" s="30" t="s">
        <v>19</v>
      </c>
      <c r="G19550" s="30" t="s">
        <v>20</v>
      </c>
      <c r="H19550" s="32">
        <v>681</v>
      </c>
      <c r="I19550" s="30" t="s">
        <v>21</v>
      </c>
      <c r="J19550" s="41">
        <v>45363</v>
      </c>
      <c r="K19550" s="30" t="s">
        <v>22</v>
      </c>
    </row>
    <row r="19551" spans="1:11">
      <c r="A19551" s="33" t="s">
        <v>43526</v>
      </c>
      <c r="B19551" s="33" t="s">
        <v>43527</v>
      </c>
      <c r="C19551" s="33" t="s">
        <v>3264</v>
      </c>
      <c r="D19551" s="33" t="s">
        <v>17</v>
      </c>
      <c r="E19551" s="33" t="s">
        <v>18</v>
      </c>
      <c r="F19551" s="33" t="s">
        <v>19</v>
      </c>
      <c r="G19551" s="33" t="s">
        <v>140</v>
      </c>
      <c r="H19551" s="35">
        <v>124</v>
      </c>
      <c r="I19551" s="33" t="s">
        <v>51</v>
      </c>
      <c r="J19551" s="42">
        <v>45412</v>
      </c>
      <c r="K19551" s="33" t="s">
        <v>22</v>
      </c>
    </row>
    <row r="19552" spans="1:11">
      <c r="A19552" s="30" t="s">
        <v>43528</v>
      </c>
      <c r="B19552" s="30" t="s">
        <v>43529</v>
      </c>
      <c r="C19552" s="30" t="s">
        <v>925</v>
      </c>
      <c r="D19552" s="30" t="s">
        <v>17</v>
      </c>
      <c r="E19552" s="30" t="s">
        <v>45</v>
      </c>
      <c r="F19552" s="30" t="s">
        <v>46</v>
      </c>
      <c r="G19552" s="30" t="s">
        <v>158</v>
      </c>
      <c r="H19552" s="32">
        <v>75</v>
      </c>
      <c r="I19552" s="30" t="s">
        <v>51</v>
      </c>
      <c r="J19552" s="41">
        <v>45616</v>
      </c>
      <c r="K19552" s="30" t="s">
        <v>22</v>
      </c>
    </row>
    <row r="19553" spans="1:11">
      <c r="A19553" s="33" t="s">
        <v>43530</v>
      </c>
      <c r="B19553" s="33" t="s">
        <v>43531</v>
      </c>
      <c r="C19553" s="33" t="s">
        <v>5125</v>
      </c>
      <c r="D19553" s="33" t="s">
        <v>17</v>
      </c>
      <c r="E19553" s="33" t="s">
        <v>18</v>
      </c>
      <c r="F19553" s="33" t="s">
        <v>19</v>
      </c>
      <c r="G19553" s="33" t="s">
        <v>158</v>
      </c>
      <c r="H19553" s="35">
        <v>9000</v>
      </c>
      <c r="I19553" s="33" t="s">
        <v>21</v>
      </c>
      <c r="J19553" s="42">
        <v>45484</v>
      </c>
      <c r="K19553" s="33" t="s">
        <v>22</v>
      </c>
    </row>
    <row r="19554" spans="1:11">
      <c r="A19554" s="30" t="s">
        <v>43532</v>
      </c>
      <c r="B19554" s="30" t="s">
        <v>43533</v>
      </c>
      <c r="C19554" s="30" t="s">
        <v>570</v>
      </c>
      <c r="D19554" s="30" t="s">
        <v>17</v>
      </c>
      <c r="E19554" s="30" t="s">
        <v>18</v>
      </c>
      <c r="F19554" s="30" t="s">
        <v>19</v>
      </c>
      <c r="G19554" s="30" t="s">
        <v>7780</v>
      </c>
      <c r="H19554" s="32">
        <v>654</v>
      </c>
      <c r="I19554" s="30" t="s">
        <v>51</v>
      </c>
      <c r="J19554" s="41">
        <v>45597</v>
      </c>
      <c r="K19554" s="30" t="s">
        <v>22</v>
      </c>
    </row>
    <row r="19555" spans="1:11">
      <c r="A19555" s="33" t="s">
        <v>43534</v>
      </c>
      <c r="B19555" s="33" t="s">
        <v>43535</v>
      </c>
      <c r="C19555" s="33" t="s">
        <v>38990</v>
      </c>
      <c r="D19555" s="33" t="s">
        <v>17</v>
      </c>
      <c r="E19555" s="33" t="s">
        <v>67</v>
      </c>
      <c r="F19555" s="33" t="s">
        <v>68</v>
      </c>
      <c r="G19555" s="33" t="s">
        <v>140</v>
      </c>
      <c r="H19555" s="35">
        <v>18</v>
      </c>
      <c r="I19555" s="33" t="s">
        <v>51</v>
      </c>
      <c r="J19555" s="42">
        <v>45498</v>
      </c>
      <c r="K19555" s="33" t="s">
        <v>22</v>
      </c>
    </row>
    <row r="19556" spans="1:11">
      <c r="A19556" s="30" t="s">
        <v>43536</v>
      </c>
      <c r="B19556" s="30" t="s">
        <v>43537</v>
      </c>
      <c r="C19556" s="30" t="s">
        <v>29225</v>
      </c>
      <c r="D19556" s="30" t="s">
        <v>17</v>
      </c>
      <c r="E19556" s="30" t="s">
        <v>26</v>
      </c>
      <c r="F19556" s="30" t="s">
        <v>27</v>
      </c>
      <c r="G19556" s="30" t="s">
        <v>158</v>
      </c>
      <c r="H19556" s="32">
        <v>275</v>
      </c>
      <c r="I19556" s="30" t="s">
        <v>51</v>
      </c>
      <c r="J19556" s="41">
        <v>45442</v>
      </c>
      <c r="K19556" s="30" t="s">
        <v>22</v>
      </c>
    </row>
    <row r="19557" spans="1:11">
      <c r="A19557" s="33" t="s">
        <v>43538</v>
      </c>
      <c r="B19557" s="33" t="s">
        <v>43539</v>
      </c>
      <c r="C19557" s="33" t="s">
        <v>96</v>
      </c>
      <c r="D19557" s="33" t="s">
        <v>17</v>
      </c>
      <c r="E19557" s="33" t="s">
        <v>26</v>
      </c>
      <c r="F19557" s="33" t="s">
        <v>27</v>
      </c>
      <c r="G19557" s="33" t="s">
        <v>20</v>
      </c>
      <c r="H19557" s="35">
        <v>12</v>
      </c>
      <c r="I19557" s="33" t="s">
        <v>21</v>
      </c>
      <c r="J19557" s="42">
        <v>45323</v>
      </c>
      <c r="K19557" s="33" t="s">
        <v>22</v>
      </c>
    </row>
    <row r="19558" spans="1:11">
      <c r="A19558" s="30" t="s">
        <v>43540</v>
      </c>
      <c r="B19558" s="30" t="s">
        <v>43541</v>
      </c>
      <c r="C19558" s="30" t="s">
        <v>43542</v>
      </c>
      <c r="D19558" s="30" t="s">
        <v>17</v>
      </c>
      <c r="E19558" s="30" t="s">
        <v>31</v>
      </c>
      <c r="F19558" s="30" t="s">
        <v>32</v>
      </c>
      <c r="G19558" s="30" t="s">
        <v>140</v>
      </c>
      <c r="H19558" s="32">
        <v>90</v>
      </c>
      <c r="I19558" s="30" t="s">
        <v>51</v>
      </c>
      <c r="J19558" s="41">
        <v>45454</v>
      </c>
      <c r="K19558" s="30" t="s">
        <v>22</v>
      </c>
    </row>
    <row r="19559" spans="1:11">
      <c r="A19559" s="33" t="s">
        <v>43543</v>
      </c>
      <c r="B19559" s="33" t="s">
        <v>43544</v>
      </c>
      <c r="C19559" s="33" t="s">
        <v>30945</v>
      </c>
      <c r="D19559" s="33" t="s">
        <v>17</v>
      </c>
      <c r="E19559" s="33" t="s">
        <v>31</v>
      </c>
      <c r="F19559" s="33" t="s">
        <v>32</v>
      </c>
      <c r="G19559" s="33" t="s">
        <v>140</v>
      </c>
      <c r="H19559" s="35">
        <v>127</v>
      </c>
      <c r="I19559" s="33" t="s">
        <v>51</v>
      </c>
      <c r="J19559" s="42">
        <v>45454</v>
      </c>
      <c r="K19559" s="33" t="s">
        <v>22</v>
      </c>
    </row>
    <row r="19560" spans="1:11">
      <c r="A19560" s="30" t="s">
        <v>43545</v>
      </c>
      <c r="B19560" s="30" t="s">
        <v>43546</v>
      </c>
      <c r="C19560" s="30" t="s">
        <v>43547</v>
      </c>
      <c r="D19560" s="30" t="s">
        <v>17</v>
      </c>
      <c r="E19560" s="30" t="s">
        <v>31</v>
      </c>
      <c r="F19560" s="30" t="s">
        <v>32</v>
      </c>
      <c r="G19560" s="30" t="s">
        <v>112</v>
      </c>
      <c r="H19560" s="32">
        <v>0</v>
      </c>
      <c r="I19560" s="30" t="s">
        <v>21</v>
      </c>
      <c r="J19560" s="41">
        <v>45629</v>
      </c>
      <c r="K19560" s="30" t="s">
        <v>22</v>
      </c>
    </row>
    <row r="19561" spans="1:11">
      <c r="A19561" s="33" t="s">
        <v>43548</v>
      </c>
      <c r="B19561" s="33" t="s">
        <v>43549</v>
      </c>
      <c r="C19561" s="33" t="s">
        <v>969</v>
      </c>
      <c r="D19561" s="33" t="s">
        <v>17</v>
      </c>
      <c r="E19561" s="33" t="s">
        <v>26</v>
      </c>
      <c r="F19561" s="33" t="s">
        <v>27</v>
      </c>
      <c r="G19561" s="33" t="s">
        <v>140</v>
      </c>
      <c r="H19561" s="35">
        <v>84</v>
      </c>
      <c r="I19561" s="33" t="s">
        <v>51</v>
      </c>
      <c r="J19561" s="42">
        <v>45518</v>
      </c>
      <c r="K19561" s="33" t="s">
        <v>22</v>
      </c>
    </row>
    <row r="19562" spans="1:11">
      <c r="A19562" s="30" t="s">
        <v>43550</v>
      </c>
      <c r="B19562" s="30" t="s">
        <v>43551</v>
      </c>
      <c r="C19562" s="30" t="s">
        <v>190</v>
      </c>
      <c r="D19562" s="30" t="s">
        <v>17</v>
      </c>
      <c r="E19562" s="30" t="s">
        <v>26</v>
      </c>
      <c r="F19562" s="30" t="s">
        <v>27</v>
      </c>
      <c r="G19562" s="30" t="s">
        <v>20</v>
      </c>
      <c r="H19562" s="32">
        <v>35</v>
      </c>
      <c r="I19562" s="30" t="s">
        <v>21</v>
      </c>
      <c r="J19562" s="41">
        <v>45598</v>
      </c>
      <c r="K19562" s="30" t="s">
        <v>22</v>
      </c>
    </row>
    <row r="19563" spans="1:11">
      <c r="A19563" s="33" t="s">
        <v>43552</v>
      </c>
      <c r="B19563" s="33" t="s">
        <v>43553</v>
      </c>
      <c r="C19563" s="33" t="s">
        <v>43554</v>
      </c>
      <c r="D19563" s="33" t="s">
        <v>17</v>
      </c>
      <c r="E19563" s="33" t="s">
        <v>26</v>
      </c>
      <c r="F19563" s="33" t="s">
        <v>27</v>
      </c>
      <c r="G19563" s="33" t="s">
        <v>50</v>
      </c>
      <c r="H19563" s="35">
        <v>18</v>
      </c>
      <c r="I19563" s="33" t="s">
        <v>51</v>
      </c>
      <c r="J19563" s="42">
        <v>45362</v>
      </c>
      <c r="K19563" s="33" t="s">
        <v>22</v>
      </c>
    </row>
    <row r="19564" spans="1:11">
      <c r="A19564" s="30" t="s">
        <v>43555</v>
      </c>
      <c r="B19564" s="30" t="s">
        <v>43556</v>
      </c>
      <c r="C19564" s="30" t="s">
        <v>2449</v>
      </c>
      <c r="D19564" s="30" t="s">
        <v>17</v>
      </c>
      <c r="E19564" s="30" t="s">
        <v>26</v>
      </c>
      <c r="F19564" s="30" t="s">
        <v>27</v>
      </c>
      <c r="G19564" s="30" t="s">
        <v>112</v>
      </c>
      <c r="H19564" s="32">
        <v>0</v>
      </c>
      <c r="I19564" s="30" t="s">
        <v>21</v>
      </c>
      <c r="J19564" s="41">
        <v>45488</v>
      </c>
      <c r="K19564" s="30" t="s">
        <v>22</v>
      </c>
    </row>
    <row r="19565" spans="1:11">
      <c r="A19565" s="33" t="s">
        <v>43557</v>
      </c>
      <c r="B19565" s="33" t="s">
        <v>43558</v>
      </c>
      <c r="C19565" s="33" t="s">
        <v>43559</v>
      </c>
      <c r="D19565" s="33" t="s">
        <v>17</v>
      </c>
      <c r="E19565" s="33" t="s">
        <v>26</v>
      </c>
      <c r="F19565" s="33" t="s">
        <v>27</v>
      </c>
      <c r="G19565" s="33" t="s">
        <v>140</v>
      </c>
      <c r="H19565" s="35">
        <v>24</v>
      </c>
      <c r="I19565" s="33" t="s">
        <v>51</v>
      </c>
      <c r="J19565" s="42">
        <v>45428</v>
      </c>
      <c r="K19565" s="33" t="s">
        <v>22</v>
      </c>
    </row>
    <row r="19566" spans="1:11">
      <c r="A19566" s="30" t="s">
        <v>43560</v>
      </c>
      <c r="B19566" s="30" t="s">
        <v>43561</v>
      </c>
      <c r="C19566" s="30" t="s">
        <v>647</v>
      </c>
      <c r="D19566" s="30" t="s">
        <v>17</v>
      </c>
      <c r="E19566" s="30" t="s">
        <v>26</v>
      </c>
      <c r="F19566" s="30" t="s">
        <v>27</v>
      </c>
      <c r="G19566" s="30" t="s">
        <v>20</v>
      </c>
      <c r="H19566" s="32">
        <v>14</v>
      </c>
      <c r="I19566" s="30" t="s">
        <v>21</v>
      </c>
      <c r="J19566" s="41">
        <v>45321</v>
      </c>
      <c r="K19566" s="30" t="s">
        <v>22</v>
      </c>
    </row>
    <row r="19567" spans="1:11">
      <c r="A19567" s="33" t="s">
        <v>43562</v>
      </c>
      <c r="B19567" s="33" t="s">
        <v>43563</v>
      </c>
      <c r="C19567" s="33" t="s">
        <v>10459</v>
      </c>
      <c r="D19567" s="33" t="s">
        <v>17</v>
      </c>
      <c r="E19567" s="33" t="s">
        <v>26</v>
      </c>
      <c r="F19567" s="33" t="s">
        <v>27</v>
      </c>
      <c r="G19567" s="33" t="s">
        <v>140</v>
      </c>
      <c r="H19567" s="35">
        <v>18</v>
      </c>
      <c r="I19567" s="33" t="s">
        <v>51</v>
      </c>
      <c r="J19567" s="42">
        <v>45441</v>
      </c>
      <c r="K19567" s="33" t="s">
        <v>22</v>
      </c>
    </row>
    <row r="19568" spans="1:11">
      <c r="A19568" s="30" t="s">
        <v>43564</v>
      </c>
      <c r="B19568" s="30" t="s">
        <v>43565</v>
      </c>
      <c r="C19568" s="30" t="s">
        <v>2772</v>
      </c>
      <c r="D19568" s="30" t="s">
        <v>17</v>
      </c>
      <c r="E19568" s="30" t="s">
        <v>18</v>
      </c>
      <c r="F19568" s="30" t="s">
        <v>19</v>
      </c>
      <c r="G19568" s="30" t="s">
        <v>158</v>
      </c>
      <c r="H19568" s="32">
        <v>140</v>
      </c>
      <c r="I19568" s="30" t="s">
        <v>51</v>
      </c>
      <c r="J19568" s="41">
        <v>45512</v>
      </c>
      <c r="K19568" s="30" t="s">
        <v>22</v>
      </c>
    </row>
    <row r="19569" spans="1:11">
      <c r="A19569" s="33" t="s">
        <v>43566</v>
      </c>
      <c r="B19569" s="33" t="s">
        <v>43567</v>
      </c>
      <c r="C19569" s="33" t="s">
        <v>38860</v>
      </c>
      <c r="D19569" s="33" t="s">
        <v>17</v>
      </c>
      <c r="E19569" s="33" t="s">
        <v>31</v>
      </c>
      <c r="F19569" s="33" t="s">
        <v>32</v>
      </c>
      <c r="G19569" s="33" t="s">
        <v>2613</v>
      </c>
      <c r="H19569" s="35">
        <v>660</v>
      </c>
      <c r="I19569" s="33" t="s">
        <v>51</v>
      </c>
      <c r="J19569" s="42">
        <v>45503</v>
      </c>
      <c r="K19569" s="33" t="s">
        <v>22</v>
      </c>
    </row>
    <row r="19570" spans="1:11">
      <c r="A19570" s="30" t="s">
        <v>43568</v>
      </c>
      <c r="B19570" s="30" t="s">
        <v>43569</v>
      </c>
      <c r="C19570" s="30" t="s">
        <v>1422</v>
      </c>
      <c r="D19570" s="30" t="s">
        <v>17</v>
      </c>
      <c r="E19570" s="30" t="s">
        <v>26</v>
      </c>
      <c r="F19570" s="30" t="s">
        <v>27</v>
      </c>
      <c r="G19570" s="30" t="s">
        <v>140</v>
      </c>
      <c r="H19570" s="32">
        <v>144</v>
      </c>
      <c r="I19570" s="30" t="s">
        <v>51</v>
      </c>
      <c r="J19570" s="41">
        <v>45421</v>
      </c>
      <c r="K19570" s="30" t="s">
        <v>22</v>
      </c>
    </row>
    <row r="19571" spans="1:11">
      <c r="A19571" s="33" t="s">
        <v>43570</v>
      </c>
      <c r="B19571" s="33" t="s">
        <v>43571</v>
      </c>
      <c r="C19571" s="33" t="s">
        <v>96</v>
      </c>
      <c r="D19571" s="33" t="s">
        <v>17</v>
      </c>
      <c r="E19571" s="33" t="s">
        <v>26</v>
      </c>
      <c r="F19571" s="33" t="s">
        <v>27</v>
      </c>
      <c r="G19571" s="33" t="s">
        <v>20</v>
      </c>
      <c r="H19571" s="35">
        <v>16</v>
      </c>
      <c r="I19571" s="33" t="s">
        <v>21</v>
      </c>
      <c r="J19571" s="42">
        <v>45649</v>
      </c>
      <c r="K19571" s="33" t="s">
        <v>22</v>
      </c>
    </row>
    <row r="19572" spans="1:11">
      <c r="A19572" s="30" t="s">
        <v>43572</v>
      </c>
      <c r="B19572" s="30" t="s">
        <v>43573</v>
      </c>
      <c r="C19572" s="30" t="s">
        <v>39591</v>
      </c>
      <c r="D19572" s="30" t="s">
        <v>17</v>
      </c>
      <c r="E19572" s="30" t="s">
        <v>330</v>
      </c>
      <c r="F19572" s="30" t="s">
        <v>331</v>
      </c>
      <c r="G19572" s="30" t="s">
        <v>7780</v>
      </c>
      <c r="H19572" s="32">
        <v>10</v>
      </c>
      <c r="I19572" s="30" t="s">
        <v>51</v>
      </c>
      <c r="J19572" s="41">
        <v>45621</v>
      </c>
      <c r="K19572" s="30" t="s">
        <v>22</v>
      </c>
    </row>
    <row r="19573" spans="1:11">
      <c r="A19573" s="33" t="s">
        <v>43574</v>
      </c>
      <c r="B19573" s="33" t="s">
        <v>43575</v>
      </c>
      <c r="C19573" s="33" t="s">
        <v>2171</v>
      </c>
      <c r="D19573" s="33" t="s">
        <v>17</v>
      </c>
      <c r="E19573" s="33" t="s">
        <v>31</v>
      </c>
      <c r="F19573" s="33" t="s">
        <v>32</v>
      </c>
      <c r="G19573" s="33" t="s">
        <v>158</v>
      </c>
      <c r="H19573" s="35">
        <v>135</v>
      </c>
      <c r="I19573" s="33" t="s">
        <v>51</v>
      </c>
      <c r="J19573" s="42">
        <v>45609</v>
      </c>
      <c r="K19573" s="33" t="s">
        <v>22</v>
      </c>
    </row>
    <row r="19574" spans="1:11">
      <c r="A19574" s="30" t="s">
        <v>43576</v>
      </c>
      <c r="B19574" s="30" t="s">
        <v>43577</v>
      </c>
      <c r="C19574" s="30" t="s">
        <v>343</v>
      </c>
      <c r="D19574" s="30" t="s">
        <v>17</v>
      </c>
      <c r="E19574" s="30" t="s">
        <v>26</v>
      </c>
      <c r="F19574" s="30" t="s">
        <v>27</v>
      </c>
      <c r="G19574" s="30" t="s">
        <v>20</v>
      </c>
      <c r="H19574" s="32">
        <v>322</v>
      </c>
      <c r="I19574" s="30" t="s">
        <v>21</v>
      </c>
      <c r="J19574" s="41">
        <v>45427</v>
      </c>
      <c r="K19574" s="30" t="s">
        <v>22</v>
      </c>
    </row>
    <row r="19575" spans="1:11">
      <c r="A19575" s="33" t="s">
        <v>43578</v>
      </c>
      <c r="B19575" s="33" t="s">
        <v>43579</v>
      </c>
      <c r="C19575" s="33" t="s">
        <v>161</v>
      </c>
      <c r="D19575" s="33" t="s">
        <v>17</v>
      </c>
      <c r="E19575" s="33" t="s">
        <v>18</v>
      </c>
      <c r="F19575" s="33" t="s">
        <v>19</v>
      </c>
      <c r="G19575" s="33" t="s">
        <v>20</v>
      </c>
      <c r="H19575" s="35">
        <v>315</v>
      </c>
      <c r="I19575" s="33" t="s">
        <v>21</v>
      </c>
      <c r="J19575" s="42">
        <v>45624</v>
      </c>
      <c r="K19575" s="33" t="s">
        <v>22</v>
      </c>
    </row>
    <row r="19576" spans="1:11">
      <c r="A19576" s="30" t="s">
        <v>43580</v>
      </c>
      <c r="B19576" s="30" t="s">
        <v>43581</v>
      </c>
      <c r="C19576" s="30" t="s">
        <v>8250</v>
      </c>
      <c r="D19576" s="30" t="s">
        <v>17</v>
      </c>
      <c r="E19576" s="30" t="s">
        <v>67</v>
      </c>
      <c r="F19576" s="30" t="s">
        <v>68</v>
      </c>
      <c r="G19576" s="30" t="s">
        <v>140</v>
      </c>
      <c r="H19576" s="32">
        <v>140</v>
      </c>
      <c r="I19576" s="30" t="s">
        <v>51</v>
      </c>
      <c r="J19576" s="41">
        <v>45587</v>
      </c>
      <c r="K19576" s="30" t="s">
        <v>22</v>
      </c>
    </row>
    <row r="19577" spans="1:11">
      <c r="A19577" s="33" t="s">
        <v>43582</v>
      </c>
      <c r="B19577" s="33" t="s">
        <v>43583</v>
      </c>
      <c r="C19577" s="33" t="s">
        <v>3243</v>
      </c>
      <c r="D19577" s="33" t="s">
        <v>17</v>
      </c>
      <c r="E19577" s="33" t="s">
        <v>26</v>
      </c>
      <c r="F19577" s="33" t="s">
        <v>27</v>
      </c>
      <c r="G19577" s="33" t="s">
        <v>140</v>
      </c>
      <c r="H19577" s="35">
        <v>196</v>
      </c>
      <c r="I19577" s="33" t="s">
        <v>51</v>
      </c>
      <c r="J19577" s="42">
        <v>45296</v>
      </c>
      <c r="K19577" s="33" t="s">
        <v>22</v>
      </c>
    </row>
    <row r="19578" spans="1:11">
      <c r="A19578" s="30" t="s">
        <v>43584</v>
      </c>
      <c r="B19578" s="30" t="s">
        <v>43585</v>
      </c>
      <c r="C19578" s="30" t="s">
        <v>684</v>
      </c>
      <c r="D19578" s="30" t="s">
        <v>17</v>
      </c>
      <c r="E19578" s="30" t="s">
        <v>26</v>
      </c>
      <c r="F19578" s="30" t="s">
        <v>27</v>
      </c>
      <c r="G19578" s="30" t="s">
        <v>20</v>
      </c>
      <c r="H19578" s="32">
        <v>35</v>
      </c>
      <c r="I19578" s="30" t="s">
        <v>21</v>
      </c>
      <c r="J19578" s="41">
        <v>45405</v>
      </c>
      <c r="K19578" s="30" t="s">
        <v>22</v>
      </c>
    </row>
    <row r="19579" spans="1:11">
      <c r="A19579" s="33" t="s">
        <v>43586</v>
      </c>
      <c r="B19579" s="33" t="s">
        <v>43587</v>
      </c>
      <c r="C19579" s="33" t="s">
        <v>203</v>
      </c>
      <c r="D19579" s="33" t="s">
        <v>17</v>
      </c>
      <c r="E19579" s="33" t="s">
        <v>31</v>
      </c>
      <c r="F19579" s="33" t="s">
        <v>32</v>
      </c>
      <c r="G19579" s="33" t="s">
        <v>112</v>
      </c>
      <c r="H19579" s="35">
        <v>0</v>
      </c>
      <c r="I19579" s="33" t="s">
        <v>21</v>
      </c>
      <c r="J19579" s="42">
        <v>45573</v>
      </c>
      <c r="K19579" s="33" t="s">
        <v>22</v>
      </c>
    </row>
    <row r="19580" spans="1:11">
      <c r="A19580" s="30" t="s">
        <v>43588</v>
      </c>
      <c r="B19580" s="30" t="s">
        <v>43589</v>
      </c>
      <c r="C19580" s="30" t="s">
        <v>11899</v>
      </c>
      <c r="D19580" s="30" t="s">
        <v>17</v>
      </c>
      <c r="E19580" s="30" t="s">
        <v>67</v>
      </c>
      <c r="F19580" s="30" t="s">
        <v>68</v>
      </c>
      <c r="G19580" s="30" t="s">
        <v>112</v>
      </c>
      <c r="H19580" s="32">
        <v>0</v>
      </c>
      <c r="I19580" s="30" t="s">
        <v>21</v>
      </c>
      <c r="J19580" s="41">
        <v>45575</v>
      </c>
      <c r="K19580" s="30" t="s">
        <v>22</v>
      </c>
    </row>
    <row r="19581" spans="1:11">
      <c r="A19581" s="33" t="s">
        <v>43590</v>
      </c>
      <c r="B19581" s="33" t="s">
        <v>43591</v>
      </c>
      <c r="C19581" s="33" t="s">
        <v>102</v>
      </c>
      <c r="D19581" s="33" t="s">
        <v>17</v>
      </c>
      <c r="E19581" s="33" t="s">
        <v>18</v>
      </c>
      <c r="F19581" s="33" t="s">
        <v>19</v>
      </c>
      <c r="G19581" s="33" t="s">
        <v>106</v>
      </c>
      <c r="H19581" s="35">
        <v>47</v>
      </c>
      <c r="I19581" s="33" t="s">
        <v>21</v>
      </c>
      <c r="J19581" s="42">
        <v>45554</v>
      </c>
      <c r="K19581" s="33" t="s">
        <v>22</v>
      </c>
    </row>
    <row r="19582" spans="1:11">
      <c r="A19582" s="30" t="s">
        <v>43592</v>
      </c>
      <c r="B19582" s="30" t="s">
        <v>43593</v>
      </c>
      <c r="C19582" s="30" t="s">
        <v>43594</v>
      </c>
      <c r="D19582" s="30" t="s">
        <v>17</v>
      </c>
      <c r="E19582" s="30" t="s">
        <v>26</v>
      </c>
      <c r="F19582" s="30" t="s">
        <v>27</v>
      </c>
      <c r="G19582" s="30" t="s">
        <v>50</v>
      </c>
      <c r="H19582" s="32">
        <v>10</v>
      </c>
      <c r="I19582" s="30" t="s">
        <v>51</v>
      </c>
      <c r="J19582" s="41">
        <v>45383</v>
      </c>
      <c r="K19582" s="30" t="s">
        <v>22</v>
      </c>
    </row>
    <row r="19583" spans="1:11">
      <c r="A19583" s="33" t="s">
        <v>43595</v>
      </c>
      <c r="B19583" s="33" t="s">
        <v>43596</v>
      </c>
      <c r="C19583" s="33" t="s">
        <v>16104</v>
      </c>
      <c r="D19583" s="33" t="s">
        <v>17</v>
      </c>
      <c r="E19583" s="33" t="s">
        <v>31</v>
      </c>
      <c r="F19583" s="33" t="s">
        <v>32</v>
      </c>
      <c r="G19583" s="33" t="s">
        <v>50</v>
      </c>
      <c r="H19583" s="35">
        <v>13</v>
      </c>
      <c r="I19583" s="33" t="s">
        <v>51</v>
      </c>
      <c r="J19583" s="42">
        <v>45382</v>
      </c>
      <c r="K19583" s="33" t="s">
        <v>22</v>
      </c>
    </row>
    <row r="19584" spans="1:11">
      <c r="A19584" s="30" t="s">
        <v>43597</v>
      </c>
      <c r="B19584" s="30" t="s">
        <v>43598</v>
      </c>
      <c r="C19584" s="30" t="s">
        <v>43599</v>
      </c>
      <c r="D19584" s="30" t="s">
        <v>17</v>
      </c>
      <c r="E19584" s="30" t="s">
        <v>31</v>
      </c>
      <c r="F19584" s="30" t="s">
        <v>32</v>
      </c>
      <c r="G19584" s="30" t="s">
        <v>158</v>
      </c>
      <c r="H19584" s="32">
        <v>65</v>
      </c>
      <c r="I19584" s="30" t="s">
        <v>21</v>
      </c>
      <c r="J19584" s="41">
        <v>45345</v>
      </c>
      <c r="K19584" s="30" t="s">
        <v>22</v>
      </c>
    </row>
    <row r="19585" spans="1:11">
      <c r="A19585" s="33" t="s">
        <v>43600</v>
      </c>
      <c r="B19585" s="33" t="s">
        <v>43601</v>
      </c>
      <c r="C19585" s="33" t="s">
        <v>2618</v>
      </c>
      <c r="D19585" s="33" t="s">
        <v>17</v>
      </c>
      <c r="E19585" s="33" t="s">
        <v>31</v>
      </c>
      <c r="F19585" s="33" t="s">
        <v>32</v>
      </c>
      <c r="G19585" s="33" t="s">
        <v>112</v>
      </c>
      <c r="H19585" s="35">
        <v>0</v>
      </c>
      <c r="I19585" s="33" t="s">
        <v>21</v>
      </c>
      <c r="J19585" s="42">
        <v>45520</v>
      </c>
      <c r="K19585" s="33" t="s">
        <v>22</v>
      </c>
    </row>
    <row r="19586" spans="1:11">
      <c r="A19586" s="30" t="s">
        <v>43602</v>
      </c>
      <c r="B19586" s="30" t="s">
        <v>43603</v>
      </c>
      <c r="C19586" s="30" t="s">
        <v>96</v>
      </c>
      <c r="D19586" s="30" t="s">
        <v>17</v>
      </c>
      <c r="E19586" s="30" t="s">
        <v>26</v>
      </c>
      <c r="F19586" s="30" t="s">
        <v>27</v>
      </c>
      <c r="G19586" s="30" t="s">
        <v>20</v>
      </c>
      <c r="H19586" s="32">
        <v>20</v>
      </c>
      <c r="I19586" s="30" t="s">
        <v>21</v>
      </c>
      <c r="J19586" s="41">
        <v>45618</v>
      </c>
      <c r="K19586" s="30" t="s">
        <v>22</v>
      </c>
    </row>
    <row r="19587" spans="1:11">
      <c r="A19587" s="33" t="s">
        <v>43604</v>
      </c>
      <c r="B19587" s="33" t="s">
        <v>43605</v>
      </c>
      <c r="C19587" s="33" t="s">
        <v>1733</v>
      </c>
      <c r="D19587" s="33" t="s">
        <v>17</v>
      </c>
      <c r="E19587" s="33" t="s">
        <v>67</v>
      </c>
      <c r="F19587" s="33" t="s">
        <v>68</v>
      </c>
      <c r="G19587" s="33" t="s">
        <v>140</v>
      </c>
      <c r="H19587" s="35">
        <v>255</v>
      </c>
      <c r="I19587" s="33" t="s">
        <v>51</v>
      </c>
      <c r="J19587" s="42">
        <v>45588</v>
      </c>
      <c r="K19587" s="33" t="s">
        <v>22</v>
      </c>
    </row>
    <row r="19588" spans="1:11">
      <c r="A19588" s="30" t="s">
        <v>43606</v>
      </c>
      <c r="B19588" s="30" t="s">
        <v>43607</v>
      </c>
      <c r="C19588" s="30" t="s">
        <v>6735</v>
      </c>
      <c r="D19588" s="30" t="s">
        <v>17</v>
      </c>
      <c r="E19588" s="30" t="s">
        <v>26</v>
      </c>
      <c r="F19588" s="30" t="s">
        <v>27</v>
      </c>
      <c r="G19588" s="30" t="s">
        <v>158</v>
      </c>
      <c r="H19588" s="32">
        <v>175</v>
      </c>
      <c r="I19588" s="30" t="s">
        <v>51</v>
      </c>
      <c r="J19588" s="41">
        <v>45398</v>
      </c>
      <c r="K19588" s="30" t="s">
        <v>22</v>
      </c>
    </row>
    <row r="19589" spans="1:11">
      <c r="A19589" s="33" t="s">
        <v>43608</v>
      </c>
      <c r="B19589" s="33" t="s">
        <v>43609</v>
      </c>
      <c r="C19589" s="33" t="s">
        <v>7237</v>
      </c>
      <c r="D19589" s="33" t="s">
        <v>17</v>
      </c>
      <c r="E19589" s="33" t="s">
        <v>67</v>
      </c>
      <c r="F19589" s="33" t="s">
        <v>68</v>
      </c>
      <c r="G19589" s="33" t="s">
        <v>140</v>
      </c>
      <c r="H19589" s="35">
        <v>10</v>
      </c>
      <c r="I19589" s="33" t="s">
        <v>51</v>
      </c>
      <c r="J19589" s="42">
        <v>45601</v>
      </c>
      <c r="K19589" s="33" t="s">
        <v>22</v>
      </c>
    </row>
    <row r="19590" spans="1:11">
      <c r="A19590" s="30" t="s">
        <v>43610</v>
      </c>
      <c r="B19590" s="30" t="s">
        <v>43611</v>
      </c>
      <c r="C19590" s="30" t="s">
        <v>647</v>
      </c>
      <c r="D19590" s="30" t="s">
        <v>17</v>
      </c>
      <c r="E19590" s="30" t="s">
        <v>26</v>
      </c>
      <c r="F19590" s="30" t="s">
        <v>27</v>
      </c>
      <c r="G19590" s="30" t="s">
        <v>20</v>
      </c>
      <c r="H19590" s="32">
        <v>8</v>
      </c>
      <c r="I19590" s="30" t="s">
        <v>21</v>
      </c>
      <c r="J19590" s="41">
        <v>45469</v>
      </c>
      <c r="K19590" s="30" t="s">
        <v>22</v>
      </c>
    </row>
    <row r="19591" spans="1:11">
      <c r="A19591" s="33" t="s">
        <v>43612</v>
      </c>
      <c r="B19591" s="33" t="s">
        <v>43613</v>
      </c>
      <c r="C19591" s="33" t="s">
        <v>43614</v>
      </c>
      <c r="D19591" s="33" t="s">
        <v>17</v>
      </c>
      <c r="E19591" s="33" t="s">
        <v>26</v>
      </c>
      <c r="F19591" s="33" t="s">
        <v>27</v>
      </c>
      <c r="G19591" s="33" t="s">
        <v>50</v>
      </c>
      <c r="H19591" s="35">
        <v>36</v>
      </c>
      <c r="I19591" s="33" t="s">
        <v>51</v>
      </c>
      <c r="J19591" s="42">
        <v>45488</v>
      </c>
      <c r="K19591" s="33" t="s">
        <v>22</v>
      </c>
    </row>
    <row r="19592" spans="1:11">
      <c r="A19592" s="30" t="s">
        <v>43615</v>
      </c>
      <c r="B19592" s="30" t="s">
        <v>43616</v>
      </c>
      <c r="C19592" s="30" t="s">
        <v>1764</v>
      </c>
      <c r="D19592" s="30" t="s">
        <v>17</v>
      </c>
      <c r="E19592" s="30" t="s">
        <v>18</v>
      </c>
      <c r="F19592" s="30" t="s">
        <v>19</v>
      </c>
      <c r="G19592" s="30" t="s">
        <v>20</v>
      </c>
      <c r="H19592" s="32">
        <v>87</v>
      </c>
      <c r="I19592" s="30" t="s">
        <v>21</v>
      </c>
      <c r="J19592" s="41">
        <v>45573</v>
      </c>
      <c r="K19592" s="30" t="s">
        <v>22</v>
      </c>
    </row>
    <row r="19593" spans="1:11">
      <c r="A19593" s="33" t="s">
        <v>43617</v>
      </c>
      <c r="B19593" s="33" t="s">
        <v>43618</v>
      </c>
      <c r="C19593" s="33" t="s">
        <v>21185</v>
      </c>
      <c r="D19593" s="33" t="s">
        <v>17</v>
      </c>
      <c r="E19593" s="33" t="s">
        <v>26</v>
      </c>
      <c r="F19593" s="33" t="s">
        <v>27</v>
      </c>
      <c r="G19593" s="33" t="s">
        <v>140</v>
      </c>
      <c r="H19593" s="35">
        <v>150</v>
      </c>
      <c r="I19593" s="33" t="s">
        <v>51</v>
      </c>
      <c r="J19593" s="42">
        <v>45323</v>
      </c>
      <c r="K19593" s="33" t="s">
        <v>22</v>
      </c>
    </row>
    <row r="19594" spans="1:11">
      <c r="A19594" s="30" t="s">
        <v>43619</v>
      </c>
      <c r="B19594" s="30" t="s">
        <v>43620</v>
      </c>
      <c r="C19594" s="30" t="s">
        <v>21185</v>
      </c>
      <c r="D19594" s="30" t="s">
        <v>17</v>
      </c>
      <c r="E19594" s="30" t="s">
        <v>26</v>
      </c>
      <c r="F19594" s="30" t="s">
        <v>27</v>
      </c>
      <c r="G19594" s="30" t="s">
        <v>7780</v>
      </c>
      <c r="H19594" s="32">
        <v>20</v>
      </c>
      <c r="I19594" s="30" t="s">
        <v>51</v>
      </c>
      <c r="J19594" s="41">
        <v>45536</v>
      </c>
      <c r="K19594" s="30" t="s">
        <v>22</v>
      </c>
    </row>
    <row r="19595" spans="1:11">
      <c r="A19595" s="33" t="s">
        <v>43621</v>
      </c>
      <c r="B19595" s="33" t="s">
        <v>43622</v>
      </c>
      <c r="C19595" s="33" t="s">
        <v>39093</v>
      </c>
      <c r="D19595" s="33" t="s">
        <v>17</v>
      </c>
      <c r="E19595" s="33" t="s">
        <v>31</v>
      </c>
      <c r="F19595" s="33" t="s">
        <v>32</v>
      </c>
      <c r="G19595" s="33" t="s">
        <v>20</v>
      </c>
      <c r="H19595" s="35">
        <v>143</v>
      </c>
      <c r="I19595" s="33" t="s">
        <v>21</v>
      </c>
      <c r="J19595" s="42">
        <v>45427</v>
      </c>
      <c r="K19595" s="33" t="s">
        <v>22</v>
      </c>
    </row>
    <row r="19596" spans="1:11">
      <c r="A19596" s="30" t="s">
        <v>43623</v>
      </c>
      <c r="B19596" s="30" t="s">
        <v>43624</v>
      </c>
      <c r="C19596" s="30" t="s">
        <v>231</v>
      </c>
      <c r="D19596" s="30" t="s">
        <v>17</v>
      </c>
      <c r="E19596" s="30" t="s">
        <v>26</v>
      </c>
      <c r="F19596" s="30" t="s">
        <v>27</v>
      </c>
      <c r="G19596" s="30" t="s">
        <v>20</v>
      </c>
      <c r="H19596" s="32">
        <v>14</v>
      </c>
      <c r="I19596" s="30" t="s">
        <v>21</v>
      </c>
      <c r="J19596" s="41">
        <v>45604</v>
      </c>
      <c r="K19596" s="30" t="s">
        <v>22</v>
      </c>
    </row>
    <row r="19597" spans="1:11">
      <c r="A19597" s="33" t="s">
        <v>43625</v>
      </c>
      <c r="B19597" s="33" t="s">
        <v>43626</v>
      </c>
      <c r="C19597" s="33" t="s">
        <v>3673</v>
      </c>
      <c r="D19597" s="33" t="s">
        <v>17</v>
      </c>
      <c r="E19597" s="33" t="s">
        <v>26</v>
      </c>
      <c r="F19597" s="33" t="s">
        <v>27</v>
      </c>
      <c r="G19597" s="33" t="s">
        <v>20</v>
      </c>
      <c r="H19597" s="35">
        <v>30</v>
      </c>
      <c r="I19597" s="33" t="s">
        <v>21</v>
      </c>
      <c r="J19597" s="42">
        <v>45404</v>
      </c>
      <c r="K19597" s="33" t="s">
        <v>22</v>
      </c>
    </row>
    <row r="19598" spans="1:11">
      <c r="A19598" s="30" t="s">
        <v>43627</v>
      </c>
      <c r="B19598" s="30" t="s">
        <v>43628</v>
      </c>
      <c r="C19598" s="30" t="s">
        <v>969</v>
      </c>
      <c r="D19598" s="30" t="s">
        <v>17</v>
      </c>
      <c r="E19598" s="30" t="s">
        <v>18</v>
      </c>
      <c r="F19598" s="30" t="s">
        <v>19</v>
      </c>
      <c r="G19598" s="30" t="s">
        <v>140</v>
      </c>
      <c r="H19598" s="32">
        <v>520</v>
      </c>
      <c r="I19598" s="30" t="s">
        <v>51</v>
      </c>
      <c r="J19598" s="41">
        <v>45642</v>
      </c>
      <c r="K19598" s="30" t="s">
        <v>22</v>
      </c>
    </row>
    <row r="19599" spans="1:11">
      <c r="A19599" s="33" t="s">
        <v>43629</v>
      </c>
      <c r="B19599" s="33" t="s">
        <v>43630</v>
      </c>
      <c r="C19599" s="33" t="s">
        <v>549</v>
      </c>
      <c r="D19599" s="33" t="s">
        <v>17</v>
      </c>
      <c r="E19599" s="33" t="s">
        <v>18</v>
      </c>
      <c r="F19599" s="33" t="s">
        <v>19</v>
      </c>
      <c r="G19599" s="33" t="s">
        <v>2613</v>
      </c>
      <c r="H19599" s="35">
        <v>8</v>
      </c>
      <c r="I19599" s="33" t="s">
        <v>51</v>
      </c>
      <c r="J19599" s="42">
        <v>45615</v>
      </c>
      <c r="K19599" s="33" t="s">
        <v>22</v>
      </c>
    </row>
    <row r="19600" spans="1:11">
      <c r="A19600" s="30" t="s">
        <v>43631</v>
      </c>
      <c r="B19600" s="30" t="s">
        <v>43632</v>
      </c>
      <c r="C19600" s="30" t="s">
        <v>43633</v>
      </c>
      <c r="D19600" s="30" t="s">
        <v>17</v>
      </c>
      <c r="E19600" s="30" t="s">
        <v>18</v>
      </c>
      <c r="F19600" s="30" t="s">
        <v>19</v>
      </c>
      <c r="G19600" s="30" t="s">
        <v>158</v>
      </c>
      <c r="H19600" s="32">
        <v>333</v>
      </c>
      <c r="I19600" s="30" t="s">
        <v>51</v>
      </c>
      <c r="J19600" s="41">
        <v>45471</v>
      </c>
      <c r="K19600" s="30" t="s">
        <v>22</v>
      </c>
    </row>
    <row r="19601" spans="1:11">
      <c r="A19601" s="33" t="s">
        <v>43634</v>
      </c>
      <c r="B19601" s="33" t="s">
        <v>43635</v>
      </c>
      <c r="C19601" s="33" t="s">
        <v>93</v>
      </c>
      <c r="D19601" s="33" t="s">
        <v>17</v>
      </c>
      <c r="E19601" s="33" t="s">
        <v>18</v>
      </c>
      <c r="F19601" s="33" t="s">
        <v>19</v>
      </c>
      <c r="G19601" s="33" t="s">
        <v>140</v>
      </c>
      <c r="H19601" s="35">
        <v>170</v>
      </c>
      <c r="I19601" s="33" t="s">
        <v>51</v>
      </c>
      <c r="J19601" s="42">
        <v>45509</v>
      </c>
      <c r="K19601" s="33" t="s">
        <v>22</v>
      </c>
    </row>
    <row r="19602" spans="1:11">
      <c r="A19602" s="30" t="s">
        <v>43636</v>
      </c>
      <c r="B19602" s="30" t="s">
        <v>43637</v>
      </c>
      <c r="C19602" s="30" t="s">
        <v>33111</v>
      </c>
      <c r="D19602" s="30" t="s">
        <v>17</v>
      </c>
      <c r="E19602" s="30" t="s">
        <v>31</v>
      </c>
      <c r="F19602" s="30" t="s">
        <v>32</v>
      </c>
      <c r="G19602" s="30" t="s">
        <v>20</v>
      </c>
      <c r="H19602" s="32">
        <v>25</v>
      </c>
      <c r="I19602" s="30" t="s">
        <v>21</v>
      </c>
      <c r="J19602" s="41">
        <v>45657</v>
      </c>
      <c r="K19602" s="30" t="s">
        <v>22</v>
      </c>
    </row>
    <row r="19603" spans="1:11">
      <c r="A19603" s="33" t="s">
        <v>43638</v>
      </c>
      <c r="B19603" s="33" t="s">
        <v>43639</v>
      </c>
      <c r="C19603" s="33" t="s">
        <v>22573</v>
      </c>
      <c r="D19603" s="33" t="s">
        <v>17</v>
      </c>
      <c r="E19603" s="33" t="s">
        <v>67</v>
      </c>
      <c r="F19603" s="33" t="s">
        <v>68</v>
      </c>
      <c r="G19603" s="33" t="s">
        <v>140</v>
      </c>
      <c r="H19603" s="35">
        <v>360</v>
      </c>
      <c r="I19603" s="33" t="s">
        <v>51</v>
      </c>
      <c r="J19603" s="42">
        <v>45538</v>
      </c>
      <c r="K19603" s="33" t="s">
        <v>22</v>
      </c>
    </row>
    <row r="19604" spans="1:11">
      <c r="A19604" s="30" t="s">
        <v>43640</v>
      </c>
      <c r="B19604" s="30" t="s">
        <v>43641</v>
      </c>
      <c r="C19604" s="30" t="s">
        <v>41233</v>
      </c>
      <c r="D19604" s="30" t="s">
        <v>17</v>
      </c>
      <c r="E19604" s="30" t="s">
        <v>67</v>
      </c>
      <c r="F19604" s="30" t="s">
        <v>68</v>
      </c>
      <c r="G19604" s="30" t="s">
        <v>20</v>
      </c>
      <c r="H19604" s="32">
        <v>38</v>
      </c>
      <c r="I19604" s="30" t="s">
        <v>21</v>
      </c>
      <c r="J19604" s="41">
        <v>45482</v>
      </c>
      <c r="K19604" s="30" t="s">
        <v>22</v>
      </c>
    </row>
    <row r="19605" spans="1:11">
      <c r="A19605" s="33" t="s">
        <v>43642</v>
      </c>
      <c r="B19605" s="33" t="s">
        <v>43643</v>
      </c>
      <c r="C19605" s="33" t="s">
        <v>5158</v>
      </c>
      <c r="D19605" s="33" t="s">
        <v>17</v>
      </c>
      <c r="E19605" s="33" t="s">
        <v>67</v>
      </c>
      <c r="F19605" s="33" t="s">
        <v>68</v>
      </c>
      <c r="G19605" s="33" t="s">
        <v>140</v>
      </c>
      <c r="H19605" s="35">
        <v>24</v>
      </c>
      <c r="I19605" s="33" t="s">
        <v>51</v>
      </c>
      <c r="J19605" s="42">
        <v>45574</v>
      </c>
      <c r="K19605" s="33" t="s">
        <v>22</v>
      </c>
    </row>
    <row r="19606" spans="1:11">
      <c r="A19606" s="30" t="s">
        <v>43644</v>
      </c>
      <c r="B19606" s="30" t="s">
        <v>43645</v>
      </c>
      <c r="C19606" s="30" t="s">
        <v>647</v>
      </c>
      <c r="D19606" s="30" t="s">
        <v>17</v>
      </c>
      <c r="E19606" s="30" t="s">
        <v>67</v>
      </c>
      <c r="F19606" s="30" t="s">
        <v>68</v>
      </c>
      <c r="G19606" s="30" t="s">
        <v>140</v>
      </c>
      <c r="H19606" s="32">
        <v>160</v>
      </c>
      <c r="I19606" s="30" t="s">
        <v>51</v>
      </c>
      <c r="J19606" s="41">
        <v>45555</v>
      </c>
      <c r="K19606" s="30" t="s">
        <v>22</v>
      </c>
    </row>
    <row r="19607" spans="1:11">
      <c r="A19607" s="33" t="s">
        <v>43646</v>
      </c>
      <c r="B19607" s="33" t="s">
        <v>43647</v>
      </c>
      <c r="C19607" s="33" t="s">
        <v>21347</v>
      </c>
      <c r="D19607" s="33" t="s">
        <v>17</v>
      </c>
      <c r="E19607" s="33" t="s">
        <v>31</v>
      </c>
      <c r="F19607" s="33" t="s">
        <v>32</v>
      </c>
      <c r="G19607" s="33" t="s">
        <v>20</v>
      </c>
      <c r="H19607" s="35">
        <v>73</v>
      </c>
      <c r="I19607" s="33" t="s">
        <v>21</v>
      </c>
      <c r="J19607" s="42">
        <v>45359</v>
      </c>
      <c r="K19607" s="33" t="s">
        <v>22</v>
      </c>
    </row>
    <row r="19608" spans="1:11">
      <c r="A19608" s="30" t="s">
        <v>43648</v>
      </c>
      <c r="B19608" s="30" t="s">
        <v>43649</v>
      </c>
      <c r="C19608" s="30" t="s">
        <v>43650</v>
      </c>
      <c r="D19608" s="30" t="s">
        <v>17</v>
      </c>
      <c r="E19608" s="30" t="s">
        <v>26</v>
      </c>
      <c r="F19608" s="30" t="s">
        <v>27</v>
      </c>
      <c r="G19608" s="30" t="s">
        <v>7780</v>
      </c>
      <c r="H19608" s="32">
        <v>112</v>
      </c>
      <c r="I19608" s="30" t="s">
        <v>51</v>
      </c>
      <c r="J19608" s="41">
        <v>45597</v>
      </c>
      <c r="K19608" s="30" t="s">
        <v>22</v>
      </c>
    </row>
    <row r="19609" spans="1:11">
      <c r="A19609" s="33" t="s">
        <v>43651</v>
      </c>
      <c r="B19609" s="33" t="s">
        <v>43652</v>
      </c>
      <c r="C19609" s="33" t="s">
        <v>1090</v>
      </c>
      <c r="D19609" s="33" t="s">
        <v>17</v>
      </c>
      <c r="E19609" s="33" t="s">
        <v>31</v>
      </c>
      <c r="F19609" s="33" t="s">
        <v>32</v>
      </c>
      <c r="G19609" s="33" t="s">
        <v>140</v>
      </c>
      <c r="H19609" s="35">
        <v>90</v>
      </c>
      <c r="I19609" s="33" t="s">
        <v>51</v>
      </c>
      <c r="J19609" s="42">
        <v>45503</v>
      </c>
      <c r="K19609" s="33" t="s">
        <v>22</v>
      </c>
    </row>
    <row r="19610" spans="1:11">
      <c r="A19610" s="30" t="s">
        <v>43653</v>
      </c>
      <c r="B19610" s="30" t="s">
        <v>43654</v>
      </c>
      <c r="C19610" s="30" t="s">
        <v>801</v>
      </c>
      <c r="D19610" s="30" t="s">
        <v>17</v>
      </c>
      <c r="E19610" s="30" t="s">
        <v>26</v>
      </c>
      <c r="F19610" s="30" t="s">
        <v>27</v>
      </c>
      <c r="G19610" s="30" t="s">
        <v>20</v>
      </c>
      <c r="H19610" s="32">
        <v>69</v>
      </c>
      <c r="I19610" s="30" t="s">
        <v>21</v>
      </c>
      <c r="J19610" s="41">
        <v>45533</v>
      </c>
      <c r="K19610" s="30" t="s">
        <v>22</v>
      </c>
    </row>
    <row r="19611" spans="1:11">
      <c r="A19611" s="33" t="s">
        <v>43655</v>
      </c>
      <c r="B19611" s="33" t="s">
        <v>43656</v>
      </c>
      <c r="C19611" s="33" t="s">
        <v>969</v>
      </c>
      <c r="D19611" s="33" t="s">
        <v>17</v>
      </c>
      <c r="E19611" s="33" t="s">
        <v>26</v>
      </c>
      <c r="F19611" s="33" t="s">
        <v>27</v>
      </c>
      <c r="G19611" s="33" t="s">
        <v>140</v>
      </c>
      <c r="H19611" s="35">
        <v>142</v>
      </c>
      <c r="I19611" s="33" t="s">
        <v>51</v>
      </c>
      <c r="J19611" s="42">
        <v>45537</v>
      </c>
      <c r="K19611" s="33" t="s">
        <v>22</v>
      </c>
    </row>
    <row r="19612" spans="1:11">
      <c r="A19612" s="30" t="s">
        <v>43657</v>
      </c>
      <c r="B19612" s="30" t="s">
        <v>43658</v>
      </c>
      <c r="C19612" s="30" t="s">
        <v>25378</v>
      </c>
      <c r="D19612" s="30" t="s">
        <v>17</v>
      </c>
      <c r="E19612" s="30" t="s">
        <v>26</v>
      </c>
      <c r="F19612" s="30" t="s">
        <v>27</v>
      </c>
      <c r="G19612" s="30" t="s">
        <v>20</v>
      </c>
      <c r="H19612" s="32">
        <v>16</v>
      </c>
      <c r="I19612" s="30" t="s">
        <v>21</v>
      </c>
      <c r="J19612" s="41">
        <v>45365</v>
      </c>
      <c r="K19612" s="30" t="s">
        <v>22</v>
      </c>
    </row>
    <row r="19613" spans="1:11">
      <c r="A19613" s="33" t="s">
        <v>43659</v>
      </c>
      <c r="B19613" s="33" t="s">
        <v>43660</v>
      </c>
      <c r="C19613" s="33" t="s">
        <v>3655</v>
      </c>
      <c r="D19613" s="33" t="s">
        <v>17</v>
      </c>
      <c r="E19613" s="33" t="s">
        <v>26</v>
      </c>
      <c r="F19613" s="33" t="s">
        <v>27</v>
      </c>
      <c r="G19613" s="33" t="s">
        <v>20</v>
      </c>
      <c r="H19613" s="35">
        <v>102</v>
      </c>
      <c r="I19613" s="33" t="s">
        <v>21</v>
      </c>
      <c r="J19613" s="42">
        <v>45474</v>
      </c>
      <c r="K19613" s="33" t="s">
        <v>22</v>
      </c>
    </row>
    <row r="19614" spans="1:11">
      <c r="A19614" s="30" t="s">
        <v>43661</v>
      </c>
      <c r="B19614" s="30" t="s">
        <v>43662</v>
      </c>
      <c r="C19614" s="30" t="s">
        <v>1305</v>
      </c>
      <c r="D19614" s="30" t="s">
        <v>17</v>
      </c>
      <c r="E19614" s="30" t="s">
        <v>31</v>
      </c>
      <c r="F19614" s="30" t="s">
        <v>32</v>
      </c>
      <c r="G19614" s="30" t="s">
        <v>106</v>
      </c>
      <c r="H19614" s="32">
        <v>10</v>
      </c>
      <c r="I19614" s="30" t="s">
        <v>21</v>
      </c>
      <c r="J19614" s="41">
        <v>45618</v>
      </c>
      <c r="K19614" s="30" t="s">
        <v>22</v>
      </c>
    </row>
    <row r="19615" spans="1:11">
      <c r="A19615" s="33" t="s">
        <v>43663</v>
      </c>
      <c r="B19615" s="33" t="s">
        <v>43664</v>
      </c>
      <c r="C19615" s="33" t="s">
        <v>43665</v>
      </c>
      <c r="D19615" s="33" t="s">
        <v>17</v>
      </c>
      <c r="E19615" s="33" t="s">
        <v>26</v>
      </c>
      <c r="F19615" s="33" t="s">
        <v>27</v>
      </c>
      <c r="G19615" s="33" t="s">
        <v>140</v>
      </c>
      <c r="H19615" s="35">
        <v>220</v>
      </c>
      <c r="I19615" s="33" t="s">
        <v>51</v>
      </c>
      <c r="J19615" s="42">
        <v>45518</v>
      </c>
      <c r="K19615" s="33" t="s">
        <v>22</v>
      </c>
    </row>
    <row r="19616" spans="1:11">
      <c r="A19616" s="30" t="s">
        <v>43666</v>
      </c>
      <c r="B19616" s="30" t="s">
        <v>43667</v>
      </c>
      <c r="C19616" s="30" t="s">
        <v>4087</v>
      </c>
      <c r="D19616" s="30" t="s">
        <v>17</v>
      </c>
      <c r="E19616" s="30" t="s">
        <v>18</v>
      </c>
      <c r="F19616" s="30" t="s">
        <v>19</v>
      </c>
      <c r="G19616" s="30" t="s">
        <v>112</v>
      </c>
      <c r="H19616" s="32">
        <v>0</v>
      </c>
      <c r="I19616" s="30" t="s">
        <v>21</v>
      </c>
      <c r="J19616" s="41">
        <v>45505</v>
      </c>
      <c r="K19616" s="30" t="s">
        <v>22</v>
      </c>
    </row>
    <row r="19617" spans="1:11">
      <c r="A19617" s="33" t="s">
        <v>43668</v>
      </c>
      <c r="B19617" s="33" t="s">
        <v>43669</v>
      </c>
      <c r="C19617" s="33" t="s">
        <v>12464</v>
      </c>
      <c r="D19617" s="33" t="s">
        <v>17</v>
      </c>
      <c r="E19617" s="33" t="s">
        <v>31</v>
      </c>
      <c r="F19617" s="33" t="s">
        <v>32</v>
      </c>
      <c r="G19617" s="33" t="s">
        <v>140</v>
      </c>
      <c r="H19617" s="35">
        <v>17</v>
      </c>
      <c r="I19617" s="33" t="s">
        <v>51</v>
      </c>
      <c r="J19617" s="42">
        <v>45337</v>
      </c>
      <c r="K19617" s="33" t="s">
        <v>22</v>
      </c>
    </row>
    <row r="19618" spans="1:11">
      <c r="A19618" s="30" t="s">
        <v>43670</v>
      </c>
      <c r="B19618" s="30" t="s">
        <v>43671</v>
      </c>
      <c r="C19618" s="30" t="s">
        <v>33010</v>
      </c>
      <c r="D19618" s="30" t="s">
        <v>17</v>
      </c>
      <c r="E19618" s="30" t="s">
        <v>26</v>
      </c>
      <c r="F19618" s="30" t="s">
        <v>27</v>
      </c>
      <c r="G19618" s="30" t="s">
        <v>50</v>
      </c>
      <c r="H19618" s="32">
        <v>72</v>
      </c>
      <c r="I19618" s="30" t="s">
        <v>51</v>
      </c>
      <c r="J19618" s="41">
        <v>45432</v>
      </c>
      <c r="K19618" s="30" t="s">
        <v>22</v>
      </c>
    </row>
    <row r="19619" spans="1:11">
      <c r="A19619" s="33" t="s">
        <v>43672</v>
      </c>
      <c r="B19619" s="33" t="s">
        <v>43673</v>
      </c>
      <c r="C19619" s="33" t="s">
        <v>480</v>
      </c>
      <c r="D19619" s="33" t="s">
        <v>17</v>
      </c>
      <c r="E19619" s="33" t="s">
        <v>45</v>
      </c>
      <c r="F19619" s="33" t="s">
        <v>46</v>
      </c>
      <c r="G19619" s="33" t="s">
        <v>50</v>
      </c>
      <c r="H19619" s="35">
        <v>156</v>
      </c>
      <c r="I19619" s="33" t="s">
        <v>51</v>
      </c>
      <c r="J19619" s="42">
        <v>45421</v>
      </c>
      <c r="K19619" s="33" t="s">
        <v>22</v>
      </c>
    </row>
    <row r="19620" spans="1:11">
      <c r="A19620" s="30" t="s">
        <v>43674</v>
      </c>
      <c r="B19620" s="30" t="s">
        <v>43675</v>
      </c>
      <c r="C19620" s="30" t="s">
        <v>9760</v>
      </c>
      <c r="D19620" s="30" t="s">
        <v>17</v>
      </c>
      <c r="E19620" s="30" t="s">
        <v>26</v>
      </c>
      <c r="F19620" s="30" t="s">
        <v>27</v>
      </c>
      <c r="G19620" s="30" t="s">
        <v>106</v>
      </c>
      <c r="H19620" s="32">
        <v>23</v>
      </c>
      <c r="I19620" s="30" t="s">
        <v>21</v>
      </c>
      <c r="J19620" s="41">
        <v>45345</v>
      </c>
      <c r="K19620" s="30" t="s">
        <v>22</v>
      </c>
    </row>
    <row r="19621" spans="1:11">
      <c r="A19621" s="33" t="s">
        <v>43676</v>
      </c>
      <c r="B19621" s="33" t="s">
        <v>43677</v>
      </c>
      <c r="C19621" s="33" t="s">
        <v>644</v>
      </c>
      <c r="D19621" s="33" t="s">
        <v>17</v>
      </c>
      <c r="E19621" s="33" t="s">
        <v>45</v>
      </c>
      <c r="F19621" s="33" t="s">
        <v>46</v>
      </c>
      <c r="G19621" s="33" t="s">
        <v>140</v>
      </c>
      <c r="H19621" s="35">
        <v>90</v>
      </c>
      <c r="I19621" s="33" t="s">
        <v>51</v>
      </c>
      <c r="J19621" s="42">
        <v>45344</v>
      </c>
      <c r="K19621" s="33" t="s">
        <v>22</v>
      </c>
    </row>
    <row r="19622" spans="1:11">
      <c r="A19622" s="30" t="s">
        <v>43678</v>
      </c>
      <c r="B19622" s="30" t="s">
        <v>43679</v>
      </c>
      <c r="C19622" s="30" t="s">
        <v>517</v>
      </c>
      <c r="D19622" s="30" t="s">
        <v>17</v>
      </c>
      <c r="E19622" s="30" t="s">
        <v>18</v>
      </c>
      <c r="F19622" s="30" t="s">
        <v>19</v>
      </c>
      <c r="G19622" s="30" t="s">
        <v>20</v>
      </c>
      <c r="H19622" s="32">
        <v>502</v>
      </c>
      <c r="I19622" s="30" t="s">
        <v>21</v>
      </c>
      <c r="J19622" s="41">
        <v>45337</v>
      </c>
      <c r="K19622" s="30" t="s">
        <v>22</v>
      </c>
    </row>
    <row r="19623" spans="1:11">
      <c r="A19623" s="33" t="s">
        <v>43680</v>
      </c>
      <c r="B19623" s="33" t="s">
        <v>43681</v>
      </c>
      <c r="C19623" s="33" t="s">
        <v>43682</v>
      </c>
      <c r="D19623" s="33" t="s">
        <v>17</v>
      </c>
      <c r="E19623" s="33" t="s">
        <v>26</v>
      </c>
      <c r="F19623" s="33" t="s">
        <v>27</v>
      </c>
      <c r="G19623" s="33" t="s">
        <v>7780</v>
      </c>
      <c r="H19623" s="35">
        <v>8</v>
      </c>
      <c r="I19623" s="33" t="s">
        <v>51</v>
      </c>
      <c r="J19623" s="42">
        <v>45536</v>
      </c>
      <c r="K19623" s="33" t="s">
        <v>22</v>
      </c>
    </row>
    <row r="19624" spans="1:11">
      <c r="A19624" s="30" t="s">
        <v>43683</v>
      </c>
      <c r="B19624" s="30" t="s">
        <v>43684</v>
      </c>
      <c r="C19624" s="30" t="s">
        <v>13241</v>
      </c>
      <c r="D19624" s="30" t="s">
        <v>17</v>
      </c>
      <c r="E19624" s="30" t="s">
        <v>26</v>
      </c>
      <c r="F19624" s="30" t="s">
        <v>27</v>
      </c>
      <c r="G19624" s="30" t="s">
        <v>20</v>
      </c>
      <c r="H19624" s="32">
        <v>5</v>
      </c>
      <c r="I19624" s="30" t="s">
        <v>21</v>
      </c>
      <c r="J19624" s="41">
        <v>45649</v>
      </c>
      <c r="K19624" s="30" t="s">
        <v>22</v>
      </c>
    </row>
    <row r="19625" spans="1:11">
      <c r="A19625" s="33" t="s">
        <v>43685</v>
      </c>
      <c r="B19625" s="33" t="s">
        <v>43686</v>
      </c>
      <c r="C19625" s="33" t="s">
        <v>847</v>
      </c>
      <c r="D19625" s="33" t="s">
        <v>17</v>
      </c>
      <c r="E19625" s="33" t="s">
        <v>330</v>
      </c>
      <c r="F19625" s="33" t="s">
        <v>331</v>
      </c>
      <c r="G19625" s="33" t="s">
        <v>50</v>
      </c>
      <c r="H19625" s="35">
        <v>10</v>
      </c>
      <c r="I19625" s="33" t="s">
        <v>51</v>
      </c>
      <c r="J19625" s="42">
        <v>45426</v>
      </c>
      <c r="K19625" s="33" t="s">
        <v>22</v>
      </c>
    </row>
    <row r="19626" spans="1:11">
      <c r="A19626" s="30" t="s">
        <v>43687</v>
      </c>
      <c r="B19626" s="30" t="s">
        <v>43688</v>
      </c>
      <c r="C19626" s="30" t="s">
        <v>39563</v>
      </c>
      <c r="D19626" s="30" t="s">
        <v>17</v>
      </c>
      <c r="E19626" s="30" t="s">
        <v>26</v>
      </c>
      <c r="F19626" s="30" t="s">
        <v>27</v>
      </c>
      <c r="G19626" s="30" t="s">
        <v>50</v>
      </c>
      <c r="H19626" s="32">
        <v>40</v>
      </c>
      <c r="I19626" s="30" t="s">
        <v>51</v>
      </c>
      <c r="J19626" s="41">
        <v>45566</v>
      </c>
      <c r="K19626" s="30" t="s">
        <v>22</v>
      </c>
    </row>
    <row r="19627" spans="1:11">
      <c r="A19627" s="33" t="s">
        <v>43689</v>
      </c>
      <c r="B19627" s="33" t="s">
        <v>43690</v>
      </c>
      <c r="C19627" s="33" t="s">
        <v>109</v>
      </c>
      <c r="D19627" s="33" t="s">
        <v>17</v>
      </c>
      <c r="E19627" s="33" t="s">
        <v>212</v>
      </c>
      <c r="F19627" s="33" t="s">
        <v>213</v>
      </c>
      <c r="G19627" s="33" t="s">
        <v>20</v>
      </c>
      <c r="H19627" s="35">
        <v>402</v>
      </c>
      <c r="I19627" s="33" t="s">
        <v>21</v>
      </c>
      <c r="J19627" s="42">
        <v>45464</v>
      </c>
      <c r="K19627" s="33" t="s">
        <v>22</v>
      </c>
    </row>
    <row r="19628" spans="1:11">
      <c r="A19628" s="30" t="s">
        <v>43691</v>
      </c>
      <c r="B19628" s="30" t="s">
        <v>43692</v>
      </c>
      <c r="C19628" s="30" t="s">
        <v>969</v>
      </c>
      <c r="D19628" s="30" t="s">
        <v>17</v>
      </c>
      <c r="E19628" s="30" t="s">
        <v>67</v>
      </c>
      <c r="F19628" s="30" t="s">
        <v>68</v>
      </c>
      <c r="G19628" s="30" t="s">
        <v>158</v>
      </c>
      <c r="H19628" s="32">
        <v>14</v>
      </c>
      <c r="I19628" s="30" t="s">
        <v>21</v>
      </c>
      <c r="J19628" s="41">
        <v>45639</v>
      </c>
      <c r="K19628" s="30" t="s">
        <v>22</v>
      </c>
    </row>
    <row r="19629" spans="1:11">
      <c r="A19629" s="33" t="s">
        <v>43693</v>
      </c>
      <c r="B19629" s="33" t="s">
        <v>43694</v>
      </c>
      <c r="C19629" s="33" t="s">
        <v>24734</v>
      </c>
      <c r="D19629" s="33" t="s">
        <v>17</v>
      </c>
      <c r="E19629" s="33" t="s">
        <v>26</v>
      </c>
      <c r="F19629" s="33" t="s">
        <v>27</v>
      </c>
      <c r="G19629" s="33" t="s">
        <v>7780</v>
      </c>
      <c r="H19629" s="35">
        <v>15</v>
      </c>
      <c r="I19629" s="33" t="s">
        <v>51</v>
      </c>
      <c r="J19629" s="42">
        <v>45473</v>
      </c>
      <c r="K19629" s="33" t="s">
        <v>22</v>
      </c>
    </row>
    <row r="19630" spans="1:11">
      <c r="A19630" s="30" t="s">
        <v>43695</v>
      </c>
      <c r="B19630" s="30" t="s">
        <v>43696</v>
      </c>
      <c r="C19630" s="30" t="s">
        <v>37678</v>
      </c>
      <c r="D19630" s="30" t="s">
        <v>17</v>
      </c>
      <c r="E19630" s="30" t="s">
        <v>67</v>
      </c>
      <c r="F19630" s="30" t="s">
        <v>68</v>
      </c>
      <c r="G19630" s="30" t="s">
        <v>106</v>
      </c>
      <c r="H19630" s="32">
        <v>6</v>
      </c>
      <c r="I19630" s="30" t="s">
        <v>21</v>
      </c>
      <c r="J19630" s="41">
        <v>45301</v>
      </c>
      <c r="K19630" s="30" t="s">
        <v>22</v>
      </c>
    </row>
    <row r="19631" spans="1:11">
      <c r="A19631" s="33" t="s">
        <v>43697</v>
      </c>
      <c r="B19631" s="33" t="s">
        <v>43698</v>
      </c>
      <c r="C19631" s="33" t="s">
        <v>231</v>
      </c>
      <c r="D19631" s="33" t="s">
        <v>17</v>
      </c>
      <c r="E19631" s="33" t="s">
        <v>26</v>
      </c>
      <c r="F19631" s="33" t="s">
        <v>27</v>
      </c>
      <c r="G19631" s="33" t="s">
        <v>20</v>
      </c>
      <c r="H19631" s="35">
        <v>18</v>
      </c>
      <c r="I19631" s="33" t="s">
        <v>21</v>
      </c>
      <c r="J19631" s="42">
        <v>45427</v>
      </c>
      <c r="K19631" s="33" t="s">
        <v>22</v>
      </c>
    </row>
    <row r="19632" spans="1:11">
      <c r="A19632" s="30" t="s">
        <v>43699</v>
      </c>
      <c r="B19632" s="30" t="s">
        <v>43700</v>
      </c>
      <c r="C19632" s="30" t="s">
        <v>41865</v>
      </c>
      <c r="D19632" s="30" t="s">
        <v>17</v>
      </c>
      <c r="E19632" s="30" t="s">
        <v>26</v>
      </c>
      <c r="F19632" s="30" t="s">
        <v>27</v>
      </c>
      <c r="G19632" s="30" t="s">
        <v>140</v>
      </c>
      <c r="H19632" s="32">
        <v>44</v>
      </c>
      <c r="I19632" s="30" t="s">
        <v>51</v>
      </c>
      <c r="J19632" s="41">
        <v>45309</v>
      </c>
      <c r="K19632" s="30" t="s">
        <v>22</v>
      </c>
    </row>
    <row r="19633" spans="1:11">
      <c r="A19633" s="33" t="s">
        <v>43701</v>
      </c>
      <c r="B19633" s="33" t="s">
        <v>43702</v>
      </c>
      <c r="C19633" s="33" t="s">
        <v>329</v>
      </c>
      <c r="D19633" s="33" t="s">
        <v>17</v>
      </c>
      <c r="E19633" s="33" t="s">
        <v>67</v>
      </c>
      <c r="F19633" s="33" t="s">
        <v>68</v>
      </c>
      <c r="G19633" s="33" t="s">
        <v>140</v>
      </c>
      <c r="H19633" s="35">
        <v>480</v>
      </c>
      <c r="I19633" s="33" t="s">
        <v>51</v>
      </c>
      <c r="J19633" s="42">
        <v>45645</v>
      </c>
      <c r="K19633" s="33" t="s">
        <v>22</v>
      </c>
    </row>
    <row r="19634" spans="1:11">
      <c r="A19634" s="30" t="s">
        <v>43703</v>
      </c>
      <c r="B19634" s="30" t="s">
        <v>43704</v>
      </c>
      <c r="C19634" s="30" t="s">
        <v>1112</v>
      </c>
      <c r="D19634" s="30" t="s">
        <v>17</v>
      </c>
      <c r="E19634" s="30" t="s">
        <v>18</v>
      </c>
      <c r="F19634" s="30" t="s">
        <v>19</v>
      </c>
      <c r="G19634" s="30" t="s">
        <v>20</v>
      </c>
      <c r="H19634" s="32">
        <v>310</v>
      </c>
      <c r="I19634" s="30" t="s">
        <v>21</v>
      </c>
      <c r="J19634" s="41">
        <v>45618</v>
      </c>
      <c r="K19634" s="30" t="s">
        <v>22</v>
      </c>
    </row>
    <row r="19635" spans="1:11">
      <c r="A19635" s="33" t="s">
        <v>43705</v>
      </c>
      <c r="B19635" s="33" t="s">
        <v>43706</v>
      </c>
      <c r="C19635" s="33" t="s">
        <v>14094</v>
      </c>
      <c r="D19635" s="33" t="s">
        <v>17</v>
      </c>
      <c r="E19635" s="33" t="s">
        <v>26</v>
      </c>
      <c r="F19635" s="33" t="s">
        <v>27</v>
      </c>
      <c r="G19635" s="33" t="s">
        <v>140</v>
      </c>
      <c r="H19635" s="35">
        <v>75</v>
      </c>
      <c r="I19635" s="33" t="s">
        <v>51</v>
      </c>
      <c r="J19635" s="42">
        <v>45427</v>
      </c>
      <c r="K19635" s="33" t="s">
        <v>22</v>
      </c>
    </row>
    <row r="19636" spans="1:11">
      <c r="A19636" s="30" t="s">
        <v>43707</v>
      </c>
      <c r="B19636" s="30" t="s">
        <v>43708</v>
      </c>
      <c r="C19636" s="30" t="s">
        <v>109</v>
      </c>
      <c r="D19636" s="30" t="s">
        <v>17</v>
      </c>
      <c r="E19636" s="30" t="s">
        <v>18</v>
      </c>
      <c r="F19636" s="30" t="s">
        <v>19</v>
      </c>
      <c r="G19636" s="30" t="s">
        <v>140</v>
      </c>
      <c r="H19636" s="32">
        <v>146</v>
      </c>
      <c r="I19636" s="30" t="s">
        <v>51</v>
      </c>
      <c r="J19636" s="41">
        <v>45504</v>
      </c>
      <c r="K19636" s="30" t="s">
        <v>22</v>
      </c>
    </row>
    <row r="19637" spans="1:11">
      <c r="A19637" s="33" t="s">
        <v>43709</v>
      </c>
      <c r="B19637" s="33" t="s">
        <v>43710</v>
      </c>
      <c r="C19637" s="33" t="s">
        <v>5050</v>
      </c>
      <c r="D19637" s="33" t="s">
        <v>17</v>
      </c>
      <c r="E19637" s="33" t="s">
        <v>26</v>
      </c>
      <c r="F19637" s="33" t="s">
        <v>27</v>
      </c>
      <c r="G19637" s="33" t="s">
        <v>20</v>
      </c>
      <c r="H19637" s="35">
        <v>60</v>
      </c>
      <c r="I19637" s="33" t="s">
        <v>21</v>
      </c>
      <c r="J19637" s="42">
        <v>45464</v>
      </c>
      <c r="K19637" s="33" t="s">
        <v>22</v>
      </c>
    </row>
    <row r="19638" spans="1:11">
      <c r="A19638" s="30" t="s">
        <v>43711</v>
      </c>
      <c r="B19638" s="30" t="s">
        <v>43712</v>
      </c>
      <c r="C19638" s="30" t="s">
        <v>190</v>
      </c>
      <c r="D19638" s="30" t="s">
        <v>17</v>
      </c>
      <c r="E19638" s="30" t="s">
        <v>31</v>
      </c>
      <c r="F19638" s="30" t="s">
        <v>32</v>
      </c>
      <c r="G19638" s="30" t="s">
        <v>20</v>
      </c>
      <c r="H19638" s="32">
        <v>375</v>
      </c>
      <c r="I19638" s="30" t="s">
        <v>21</v>
      </c>
      <c r="J19638" s="41">
        <v>45447</v>
      </c>
      <c r="K19638" s="30" t="s">
        <v>22</v>
      </c>
    </row>
    <row r="19639" spans="1:11">
      <c r="A19639" s="33" t="s">
        <v>43713</v>
      </c>
      <c r="B19639" s="33" t="s">
        <v>43714</v>
      </c>
      <c r="C19639" s="33" t="s">
        <v>310</v>
      </c>
      <c r="D19639" s="33" t="s">
        <v>17</v>
      </c>
      <c r="E19639" s="33" t="s">
        <v>26</v>
      </c>
      <c r="F19639" s="33" t="s">
        <v>27</v>
      </c>
      <c r="G19639" s="33" t="s">
        <v>20</v>
      </c>
      <c r="H19639" s="35">
        <v>38</v>
      </c>
      <c r="I19639" s="33" t="s">
        <v>21</v>
      </c>
      <c r="J19639" s="42">
        <v>45545</v>
      </c>
      <c r="K19639" s="33" t="s">
        <v>22</v>
      </c>
    </row>
    <row r="19640" spans="1:11">
      <c r="A19640" s="30" t="s">
        <v>43715</v>
      </c>
      <c r="B19640" s="30" t="s">
        <v>43716</v>
      </c>
      <c r="C19640" s="30" t="s">
        <v>5251</v>
      </c>
      <c r="D19640" s="30" t="s">
        <v>17</v>
      </c>
      <c r="E19640" s="30" t="s">
        <v>31</v>
      </c>
      <c r="F19640" s="30" t="s">
        <v>32</v>
      </c>
      <c r="G19640" s="30" t="s">
        <v>158</v>
      </c>
      <c r="H19640" s="32">
        <v>225</v>
      </c>
      <c r="I19640" s="30" t="s">
        <v>51</v>
      </c>
      <c r="J19640" s="41">
        <v>45646</v>
      </c>
      <c r="K19640" s="30" t="s">
        <v>22</v>
      </c>
    </row>
    <row r="19641" spans="1:11">
      <c r="A19641" s="33" t="s">
        <v>43717</v>
      </c>
      <c r="B19641" s="33" t="s">
        <v>43718</v>
      </c>
      <c r="C19641" s="33" t="s">
        <v>450</v>
      </c>
      <c r="D19641" s="33" t="s">
        <v>17</v>
      </c>
      <c r="E19641" s="33" t="s">
        <v>18</v>
      </c>
      <c r="F19641" s="33" t="s">
        <v>19</v>
      </c>
      <c r="G19641" s="33" t="s">
        <v>20</v>
      </c>
      <c r="H19641" s="35">
        <v>18</v>
      </c>
      <c r="I19641" s="33" t="s">
        <v>21</v>
      </c>
      <c r="J19641" s="42">
        <v>45575</v>
      </c>
      <c r="K19641" s="33" t="s">
        <v>22</v>
      </c>
    </row>
    <row r="19642" spans="1:11">
      <c r="A19642" s="30" t="s">
        <v>43719</v>
      </c>
      <c r="B19642" s="30" t="s">
        <v>43720</v>
      </c>
      <c r="C19642" s="30" t="s">
        <v>22597</v>
      </c>
      <c r="D19642" s="30" t="s">
        <v>17</v>
      </c>
      <c r="E19642" s="30" t="s">
        <v>18</v>
      </c>
      <c r="F19642" s="30" t="s">
        <v>19</v>
      </c>
      <c r="G19642" s="30" t="s">
        <v>20</v>
      </c>
      <c r="H19642" s="32">
        <v>862</v>
      </c>
      <c r="I19642" s="30" t="s">
        <v>21</v>
      </c>
      <c r="J19642" s="41">
        <v>45524</v>
      </c>
      <c r="K19642" s="30" t="s">
        <v>22</v>
      </c>
    </row>
    <row r="19643" spans="1:11">
      <c r="A19643" s="33" t="s">
        <v>43721</v>
      </c>
      <c r="B19643" s="33" t="s">
        <v>43722</v>
      </c>
      <c r="C19643" s="33" t="s">
        <v>2549</v>
      </c>
      <c r="D19643" s="33" t="s">
        <v>17</v>
      </c>
      <c r="E19643" s="33" t="s">
        <v>31</v>
      </c>
      <c r="F19643" s="33" t="s">
        <v>32</v>
      </c>
      <c r="G19643" s="33" t="s">
        <v>20</v>
      </c>
      <c r="H19643" s="35">
        <v>90</v>
      </c>
      <c r="I19643" s="33" t="s">
        <v>21</v>
      </c>
      <c r="J19643" s="42">
        <v>45538</v>
      </c>
      <c r="K19643" s="33" t="s">
        <v>22</v>
      </c>
    </row>
    <row r="19644" spans="1:11">
      <c r="A19644" s="30" t="s">
        <v>43723</v>
      </c>
      <c r="B19644" s="30" t="s">
        <v>43724</v>
      </c>
      <c r="C19644" s="30" t="s">
        <v>21752</v>
      </c>
      <c r="D19644" s="30" t="s">
        <v>17</v>
      </c>
      <c r="E19644" s="30" t="s">
        <v>31</v>
      </c>
      <c r="F19644" s="30" t="s">
        <v>32</v>
      </c>
      <c r="G19644" s="30" t="s">
        <v>158</v>
      </c>
      <c r="H19644" s="32">
        <v>80</v>
      </c>
      <c r="I19644" s="30" t="s">
        <v>51</v>
      </c>
      <c r="J19644" s="41">
        <v>45590</v>
      </c>
      <c r="K19644" s="30" t="s">
        <v>22</v>
      </c>
    </row>
    <row r="19645" spans="1:11">
      <c r="A19645" s="33" t="s">
        <v>43725</v>
      </c>
      <c r="B19645" s="33" t="s">
        <v>43726</v>
      </c>
      <c r="C19645" s="33" t="s">
        <v>736</v>
      </c>
      <c r="D19645" s="33" t="s">
        <v>17</v>
      </c>
      <c r="E19645" s="33" t="s">
        <v>31</v>
      </c>
      <c r="F19645" s="33" t="s">
        <v>32</v>
      </c>
      <c r="G19645" s="33" t="s">
        <v>140</v>
      </c>
      <c r="H19645" s="35">
        <v>240</v>
      </c>
      <c r="I19645" s="33" t="s">
        <v>51</v>
      </c>
      <c r="J19645" s="42">
        <v>45643</v>
      </c>
      <c r="K19645" s="33" t="s">
        <v>22</v>
      </c>
    </row>
    <row r="19646" spans="1:11">
      <c r="A19646" s="30" t="s">
        <v>43727</v>
      </c>
      <c r="B19646" s="30" t="s">
        <v>43728</v>
      </c>
      <c r="C19646" s="30" t="s">
        <v>17868</v>
      </c>
      <c r="D19646" s="30" t="s">
        <v>17</v>
      </c>
      <c r="E19646" s="30" t="s">
        <v>18</v>
      </c>
      <c r="F19646" s="30" t="s">
        <v>19</v>
      </c>
      <c r="G19646" s="30" t="s">
        <v>20</v>
      </c>
      <c r="H19646" s="32">
        <v>370</v>
      </c>
      <c r="I19646" s="30" t="s">
        <v>21</v>
      </c>
      <c r="J19646" s="41">
        <v>45510</v>
      </c>
      <c r="K19646" s="30" t="s">
        <v>22</v>
      </c>
    </row>
    <row r="19647" spans="1:11">
      <c r="A19647" s="33" t="s">
        <v>43729</v>
      </c>
      <c r="B19647" s="33" t="s">
        <v>43730</v>
      </c>
      <c r="C19647" s="33" t="s">
        <v>39305</v>
      </c>
      <c r="D19647" s="33" t="s">
        <v>17</v>
      </c>
      <c r="E19647" s="33" t="s">
        <v>212</v>
      </c>
      <c r="F19647" s="33" t="s">
        <v>213</v>
      </c>
      <c r="G19647" s="33" t="s">
        <v>20</v>
      </c>
      <c r="H19647" s="35">
        <v>105</v>
      </c>
      <c r="I19647" s="33" t="s">
        <v>21</v>
      </c>
      <c r="J19647" s="42">
        <v>45569</v>
      </c>
      <c r="K19647" s="33" t="s">
        <v>22</v>
      </c>
    </row>
    <row r="19648" spans="1:11">
      <c r="A19648" s="30" t="s">
        <v>43731</v>
      </c>
      <c r="B19648" s="30" t="s">
        <v>43732</v>
      </c>
      <c r="C19648" s="30" t="s">
        <v>2472</v>
      </c>
      <c r="D19648" s="30" t="s">
        <v>17</v>
      </c>
      <c r="E19648" s="30" t="s">
        <v>26</v>
      </c>
      <c r="F19648" s="30" t="s">
        <v>27</v>
      </c>
      <c r="G19648" s="30" t="s">
        <v>158</v>
      </c>
      <c r="H19648" s="32">
        <v>52</v>
      </c>
      <c r="I19648" s="30" t="s">
        <v>51</v>
      </c>
      <c r="J19648" s="41">
        <v>45596</v>
      </c>
      <c r="K19648" s="30" t="s">
        <v>22</v>
      </c>
    </row>
    <row r="19649" spans="1:11">
      <c r="A19649" s="33" t="s">
        <v>43733</v>
      </c>
      <c r="B19649" s="33" t="s">
        <v>43734</v>
      </c>
      <c r="C19649" s="33" t="s">
        <v>75</v>
      </c>
      <c r="D19649" s="33" t="s">
        <v>17</v>
      </c>
      <c r="E19649" s="33" t="s">
        <v>31</v>
      </c>
      <c r="F19649" s="33" t="s">
        <v>32</v>
      </c>
      <c r="G19649" s="33" t="s">
        <v>158</v>
      </c>
      <c r="H19649" s="35">
        <v>310</v>
      </c>
      <c r="I19649" s="33" t="s">
        <v>51</v>
      </c>
      <c r="J19649" s="42">
        <v>45371</v>
      </c>
      <c r="K19649" s="33" t="s">
        <v>22</v>
      </c>
    </row>
    <row r="19650" spans="1:11">
      <c r="A19650" s="30" t="s">
        <v>43735</v>
      </c>
      <c r="B19650" s="30" t="s">
        <v>43736</v>
      </c>
      <c r="C19650" s="30" t="s">
        <v>2313</v>
      </c>
      <c r="D19650" s="30" t="s">
        <v>17</v>
      </c>
      <c r="E19650" s="30" t="s">
        <v>31</v>
      </c>
      <c r="F19650" s="30" t="s">
        <v>32</v>
      </c>
      <c r="G19650" s="30" t="s">
        <v>106</v>
      </c>
      <c r="H19650" s="32">
        <v>79</v>
      </c>
      <c r="I19650" s="30" t="s">
        <v>21</v>
      </c>
      <c r="J19650" s="41">
        <v>45413</v>
      </c>
      <c r="K19650" s="30" t="s">
        <v>22</v>
      </c>
    </row>
    <row r="19651" spans="1:11">
      <c r="A19651" s="33" t="s">
        <v>43737</v>
      </c>
      <c r="B19651" s="33" t="s">
        <v>43738</v>
      </c>
      <c r="C19651" s="33" t="s">
        <v>8350</v>
      </c>
      <c r="D19651" s="33" t="s">
        <v>17</v>
      </c>
      <c r="E19651" s="33" t="s">
        <v>31</v>
      </c>
      <c r="F19651" s="33" t="s">
        <v>32</v>
      </c>
      <c r="G19651" s="33" t="s">
        <v>140</v>
      </c>
      <c r="H19651" s="35">
        <v>70</v>
      </c>
      <c r="I19651" s="33" t="s">
        <v>51</v>
      </c>
      <c r="J19651" s="42">
        <v>45505</v>
      </c>
      <c r="K19651" s="33" t="s">
        <v>22</v>
      </c>
    </row>
    <row r="19652" spans="1:11">
      <c r="A19652" s="30" t="s">
        <v>43739</v>
      </c>
      <c r="B19652" s="30" t="s">
        <v>43740</v>
      </c>
      <c r="C19652" s="30" t="s">
        <v>3914</v>
      </c>
      <c r="D19652" s="30" t="s">
        <v>17</v>
      </c>
      <c r="E19652" s="30" t="s">
        <v>67</v>
      </c>
      <c r="F19652" s="30" t="s">
        <v>68</v>
      </c>
      <c r="G19652" s="30" t="s">
        <v>112</v>
      </c>
      <c r="H19652" s="32">
        <v>0</v>
      </c>
      <c r="I19652" s="30" t="s">
        <v>21</v>
      </c>
      <c r="J19652" s="41">
        <v>45627</v>
      </c>
      <c r="K19652" s="30" t="s">
        <v>22</v>
      </c>
    </row>
    <row r="19653" spans="1:11">
      <c r="A19653" s="33" t="s">
        <v>43741</v>
      </c>
      <c r="B19653" s="33" t="s">
        <v>43742</v>
      </c>
      <c r="C19653" s="33" t="s">
        <v>3407</v>
      </c>
      <c r="D19653" s="33" t="s">
        <v>17</v>
      </c>
      <c r="E19653" s="33" t="s">
        <v>18</v>
      </c>
      <c r="F19653" s="33" t="s">
        <v>19</v>
      </c>
      <c r="G19653" s="33" t="s">
        <v>20</v>
      </c>
      <c r="H19653" s="35">
        <v>818</v>
      </c>
      <c r="I19653" s="33" t="s">
        <v>21</v>
      </c>
      <c r="J19653" s="42">
        <v>45469</v>
      </c>
      <c r="K19653" s="33" t="s">
        <v>22</v>
      </c>
    </row>
    <row r="19654" spans="1:11">
      <c r="A19654" s="30" t="s">
        <v>43743</v>
      </c>
      <c r="B19654" s="30" t="s">
        <v>43744</v>
      </c>
      <c r="C19654" s="30" t="s">
        <v>13241</v>
      </c>
      <c r="D19654" s="30" t="s">
        <v>17</v>
      </c>
      <c r="E19654" s="30" t="s">
        <v>67</v>
      </c>
      <c r="F19654" s="30" t="s">
        <v>68</v>
      </c>
      <c r="G19654" s="30" t="s">
        <v>140</v>
      </c>
      <c r="H19654" s="32">
        <v>248</v>
      </c>
      <c r="I19654" s="30" t="s">
        <v>51</v>
      </c>
      <c r="J19654" s="41">
        <v>45503</v>
      </c>
      <c r="K19654" s="30" t="s">
        <v>22</v>
      </c>
    </row>
    <row r="19655" spans="1:11">
      <c r="A19655" s="33" t="s">
        <v>43745</v>
      </c>
      <c r="B19655" s="33" t="s">
        <v>43746</v>
      </c>
      <c r="C19655" s="33" t="s">
        <v>3480</v>
      </c>
      <c r="D19655" s="33" t="s">
        <v>17</v>
      </c>
      <c r="E19655" s="33" t="s">
        <v>31</v>
      </c>
      <c r="F19655" s="33" t="s">
        <v>32</v>
      </c>
      <c r="G19655" s="33" t="s">
        <v>50</v>
      </c>
      <c r="H19655" s="35">
        <v>142</v>
      </c>
      <c r="I19655" s="33" t="s">
        <v>51</v>
      </c>
      <c r="J19655" s="42">
        <v>45292</v>
      </c>
      <c r="K19655" s="33" t="s">
        <v>22</v>
      </c>
    </row>
    <row r="19656" spans="1:11">
      <c r="A19656" s="30" t="s">
        <v>43747</v>
      </c>
      <c r="B19656" s="30" t="s">
        <v>43748</v>
      </c>
      <c r="C19656" s="30" t="s">
        <v>9487</v>
      </c>
      <c r="D19656" s="30" t="s">
        <v>17</v>
      </c>
      <c r="E19656" s="30" t="s">
        <v>18</v>
      </c>
      <c r="F19656" s="30" t="s">
        <v>19</v>
      </c>
      <c r="G19656" s="30" t="s">
        <v>158</v>
      </c>
      <c r="H19656" s="32">
        <v>238</v>
      </c>
      <c r="I19656" s="30" t="s">
        <v>21</v>
      </c>
      <c r="J19656" s="41">
        <v>45379</v>
      </c>
      <c r="K19656" s="30" t="s">
        <v>22</v>
      </c>
    </row>
    <row r="19657" spans="1:11">
      <c r="A19657" s="33" t="s">
        <v>43749</v>
      </c>
      <c r="B19657" s="33" t="s">
        <v>43750</v>
      </c>
      <c r="C19657" s="33" t="s">
        <v>187</v>
      </c>
      <c r="D19657" s="33" t="s">
        <v>17</v>
      </c>
      <c r="E19657" s="33" t="s">
        <v>26</v>
      </c>
      <c r="F19657" s="33" t="s">
        <v>27</v>
      </c>
      <c r="G19657" s="33" t="s">
        <v>20</v>
      </c>
      <c r="H19657" s="35">
        <v>48</v>
      </c>
      <c r="I19657" s="33" t="s">
        <v>21</v>
      </c>
      <c r="J19657" s="42">
        <v>45497</v>
      </c>
      <c r="K19657" s="33" t="s">
        <v>22</v>
      </c>
    </row>
    <row r="19658" spans="1:11">
      <c r="A19658" s="30" t="s">
        <v>43751</v>
      </c>
      <c r="B19658" s="30" t="s">
        <v>43752</v>
      </c>
      <c r="C19658" s="30" t="s">
        <v>20427</v>
      </c>
      <c r="D19658" s="30" t="s">
        <v>17</v>
      </c>
      <c r="E19658" s="30" t="s">
        <v>26</v>
      </c>
      <c r="F19658" s="30" t="s">
        <v>27</v>
      </c>
      <c r="G19658" s="30" t="s">
        <v>20</v>
      </c>
      <c r="H19658" s="32">
        <v>48</v>
      </c>
      <c r="I19658" s="30" t="s">
        <v>21</v>
      </c>
      <c r="J19658" s="41">
        <v>45471</v>
      </c>
      <c r="K19658" s="30" t="s">
        <v>22</v>
      </c>
    </row>
    <row r="19659" spans="1:11">
      <c r="A19659" s="33" t="s">
        <v>43753</v>
      </c>
      <c r="B19659" s="33" t="s">
        <v>43754</v>
      </c>
      <c r="C19659" s="33" t="s">
        <v>43755</v>
      </c>
      <c r="D19659" s="33" t="s">
        <v>17</v>
      </c>
      <c r="E19659" s="33" t="s">
        <v>26</v>
      </c>
      <c r="F19659" s="33" t="s">
        <v>27</v>
      </c>
      <c r="G19659" s="33" t="s">
        <v>50</v>
      </c>
      <c r="H19659" s="35">
        <v>92</v>
      </c>
      <c r="I19659" s="33" t="s">
        <v>51</v>
      </c>
      <c r="J19659" s="42">
        <v>45309</v>
      </c>
      <c r="K19659" s="33" t="s">
        <v>22</v>
      </c>
    </row>
    <row r="19660" spans="1:11">
      <c r="A19660" s="30" t="s">
        <v>43756</v>
      </c>
      <c r="B19660" s="30" t="s">
        <v>43757</v>
      </c>
      <c r="C19660" s="30" t="s">
        <v>5050</v>
      </c>
      <c r="D19660" s="30" t="s">
        <v>17</v>
      </c>
      <c r="E19660" s="30" t="s">
        <v>18</v>
      </c>
      <c r="F19660" s="30" t="s">
        <v>19</v>
      </c>
      <c r="G19660" s="30" t="s">
        <v>140</v>
      </c>
      <c r="H19660" s="32">
        <v>60</v>
      </c>
      <c r="I19660" s="30" t="s">
        <v>51</v>
      </c>
      <c r="J19660" s="41">
        <v>45630</v>
      </c>
      <c r="K19660" s="30" t="s">
        <v>22</v>
      </c>
    </row>
    <row r="19661" spans="1:11">
      <c r="A19661" s="33" t="s">
        <v>43758</v>
      </c>
      <c r="B19661" s="33" t="s">
        <v>43759</v>
      </c>
      <c r="C19661" s="33" t="s">
        <v>3439</v>
      </c>
      <c r="D19661" s="33" t="s">
        <v>17</v>
      </c>
      <c r="E19661" s="33" t="s">
        <v>18</v>
      </c>
      <c r="F19661" s="33" t="s">
        <v>19</v>
      </c>
      <c r="G19661" s="33" t="s">
        <v>140</v>
      </c>
      <c r="H19661" s="35">
        <v>300</v>
      </c>
      <c r="I19661" s="33" t="s">
        <v>51</v>
      </c>
      <c r="J19661" s="42">
        <v>45615</v>
      </c>
      <c r="K19661" s="33" t="s">
        <v>22</v>
      </c>
    </row>
    <row r="19662" spans="1:11">
      <c r="A19662" s="30" t="s">
        <v>43760</v>
      </c>
      <c r="B19662" s="30" t="s">
        <v>43761</v>
      </c>
      <c r="C19662" s="30" t="s">
        <v>2472</v>
      </c>
      <c r="D19662" s="30" t="s">
        <v>17</v>
      </c>
      <c r="E19662" s="30" t="s">
        <v>67</v>
      </c>
      <c r="F19662" s="30" t="s">
        <v>68</v>
      </c>
      <c r="G19662" s="30" t="s">
        <v>112</v>
      </c>
      <c r="H19662" s="32">
        <v>0</v>
      </c>
      <c r="I19662" s="30" t="s">
        <v>21</v>
      </c>
      <c r="J19662" s="41">
        <v>45380</v>
      </c>
      <c r="K19662" s="30" t="s">
        <v>22</v>
      </c>
    </row>
    <row r="19663" spans="1:11">
      <c r="A19663" s="33" t="s">
        <v>43762</v>
      </c>
      <c r="B19663" s="33" t="s">
        <v>43763</v>
      </c>
      <c r="C19663" s="33" t="s">
        <v>21924</v>
      </c>
      <c r="D19663" s="33" t="s">
        <v>17</v>
      </c>
      <c r="E19663" s="33" t="s">
        <v>31</v>
      </c>
      <c r="F19663" s="33" t="s">
        <v>32</v>
      </c>
      <c r="G19663" s="33" t="s">
        <v>158</v>
      </c>
      <c r="H19663" s="35">
        <v>164</v>
      </c>
      <c r="I19663" s="33" t="s">
        <v>21</v>
      </c>
      <c r="J19663" s="42">
        <v>45545</v>
      </c>
      <c r="K19663" s="33" t="s">
        <v>22</v>
      </c>
    </row>
    <row r="19664" spans="1:11">
      <c r="A19664" s="30" t="s">
        <v>43764</v>
      </c>
      <c r="B19664" s="30" t="s">
        <v>43765</v>
      </c>
      <c r="C19664" s="30" t="s">
        <v>36731</v>
      </c>
      <c r="D19664" s="30" t="s">
        <v>17</v>
      </c>
      <c r="E19664" s="30" t="s">
        <v>31</v>
      </c>
      <c r="F19664" s="30" t="s">
        <v>32</v>
      </c>
      <c r="G19664" s="30" t="s">
        <v>140</v>
      </c>
      <c r="H19664" s="32">
        <v>24</v>
      </c>
      <c r="I19664" s="30" t="s">
        <v>51</v>
      </c>
      <c r="J19664" s="41">
        <v>45636</v>
      </c>
      <c r="K19664" s="30" t="s">
        <v>22</v>
      </c>
    </row>
    <row r="19665" spans="1:11">
      <c r="A19665" s="33" t="s">
        <v>43766</v>
      </c>
      <c r="B19665" s="33" t="s">
        <v>43767</v>
      </c>
      <c r="C19665" s="33" t="s">
        <v>43768</v>
      </c>
      <c r="D19665" s="33" t="s">
        <v>17</v>
      </c>
      <c r="E19665" s="33" t="s">
        <v>31</v>
      </c>
      <c r="F19665" s="33" t="s">
        <v>32</v>
      </c>
      <c r="G19665" s="33" t="s">
        <v>158</v>
      </c>
      <c r="H19665" s="35">
        <v>375</v>
      </c>
      <c r="I19665" s="33" t="s">
        <v>51</v>
      </c>
      <c r="J19665" s="42">
        <v>45385</v>
      </c>
      <c r="K19665" s="33" t="s">
        <v>22</v>
      </c>
    </row>
    <row r="19666" spans="1:11">
      <c r="A19666" s="30" t="s">
        <v>43769</v>
      </c>
      <c r="B19666" s="30" t="s">
        <v>43770</v>
      </c>
      <c r="C19666" s="30" t="s">
        <v>969</v>
      </c>
      <c r="D19666" s="30" t="s">
        <v>17</v>
      </c>
      <c r="E19666" s="30" t="s">
        <v>26</v>
      </c>
      <c r="F19666" s="30" t="s">
        <v>27</v>
      </c>
      <c r="G19666" s="30" t="s">
        <v>158</v>
      </c>
      <c r="H19666" s="32">
        <v>213</v>
      </c>
      <c r="I19666" s="30" t="s">
        <v>21</v>
      </c>
      <c r="J19666" s="41">
        <v>45565</v>
      </c>
      <c r="K19666" s="30" t="s">
        <v>22</v>
      </c>
    </row>
    <row r="19667" spans="1:11">
      <c r="A19667" s="33" t="s">
        <v>43771</v>
      </c>
      <c r="B19667" s="33" t="s">
        <v>43772</v>
      </c>
      <c r="C19667" s="33" t="s">
        <v>43773</v>
      </c>
      <c r="D19667" s="33" t="s">
        <v>17</v>
      </c>
      <c r="E19667" s="33" t="s">
        <v>26</v>
      </c>
      <c r="F19667" s="33" t="s">
        <v>27</v>
      </c>
      <c r="G19667" s="33" t="s">
        <v>7780</v>
      </c>
      <c r="H19667" s="35">
        <v>17</v>
      </c>
      <c r="I19667" s="33" t="s">
        <v>51</v>
      </c>
      <c r="J19667" s="42">
        <v>45536</v>
      </c>
      <c r="K19667" s="33" t="s">
        <v>22</v>
      </c>
    </row>
    <row r="19668" spans="1:11">
      <c r="A19668" s="30" t="s">
        <v>43774</v>
      </c>
      <c r="B19668" s="30" t="s">
        <v>43775</v>
      </c>
      <c r="C19668" s="30" t="s">
        <v>43776</v>
      </c>
      <c r="D19668" s="30" t="s">
        <v>17</v>
      </c>
      <c r="E19668" s="30" t="s">
        <v>31</v>
      </c>
      <c r="F19668" s="30" t="s">
        <v>32</v>
      </c>
      <c r="G19668" s="30" t="s">
        <v>140</v>
      </c>
      <c r="H19668" s="32">
        <v>12</v>
      </c>
      <c r="I19668" s="30" t="s">
        <v>51</v>
      </c>
      <c r="J19668" s="41">
        <v>45594</v>
      </c>
      <c r="K19668" s="30" t="s">
        <v>22</v>
      </c>
    </row>
    <row r="19669" spans="1:11">
      <c r="A19669" s="33" t="s">
        <v>43777</v>
      </c>
      <c r="B19669" s="33" t="s">
        <v>43778</v>
      </c>
      <c r="C19669" s="33" t="s">
        <v>15585</v>
      </c>
      <c r="D19669" s="33" t="s">
        <v>17</v>
      </c>
      <c r="E19669" s="33" t="s">
        <v>26</v>
      </c>
      <c r="F19669" s="33" t="s">
        <v>27</v>
      </c>
      <c r="G19669" s="33" t="s">
        <v>20</v>
      </c>
      <c r="H19669" s="35">
        <v>32</v>
      </c>
      <c r="I19669" s="33" t="s">
        <v>21</v>
      </c>
      <c r="J19669" s="42">
        <v>45350</v>
      </c>
      <c r="K19669" s="33" t="s">
        <v>22</v>
      </c>
    </row>
    <row r="19670" spans="1:11">
      <c r="A19670" s="30" t="s">
        <v>43779</v>
      </c>
      <c r="B19670" s="30" t="s">
        <v>43780</v>
      </c>
      <c r="C19670" s="30" t="s">
        <v>1003</v>
      </c>
      <c r="D19670" s="30" t="s">
        <v>17</v>
      </c>
      <c r="E19670" s="30" t="s">
        <v>67</v>
      </c>
      <c r="F19670" s="30" t="s">
        <v>68</v>
      </c>
      <c r="G19670" s="30" t="s">
        <v>140</v>
      </c>
      <c r="H19670" s="32">
        <v>78</v>
      </c>
      <c r="I19670" s="30" t="s">
        <v>51</v>
      </c>
      <c r="J19670" s="41">
        <v>45533</v>
      </c>
      <c r="K19670" s="30" t="s">
        <v>22</v>
      </c>
    </row>
    <row r="19671" spans="1:11">
      <c r="A19671" s="33" t="s">
        <v>43781</v>
      </c>
      <c r="B19671" s="33" t="s">
        <v>43782</v>
      </c>
      <c r="C19671" s="33" t="s">
        <v>109</v>
      </c>
      <c r="D19671" s="33" t="s">
        <v>17</v>
      </c>
      <c r="E19671" s="33" t="s">
        <v>31</v>
      </c>
      <c r="F19671" s="33" t="s">
        <v>32</v>
      </c>
      <c r="G19671" s="33" t="s">
        <v>140</v>
      </c>
      <c r="H19671" s="35">
        <v>502</v>
      </c>
      <c r="I19671" s="33" t="s">
        <v>51</v>
      </c>
      <c r="J19671" s="42">
        <v>45358</v>
      </c>
      <c r="K19671" s="33" t="s">
        <v>22</v>
      </c>
    </row>
    <row r="19672" spans="1:11">
      <c r="A19672" s="30" t="s">
        <v>43783</v>
      </c>
      <c r="B19672" s="30" t="s">
        <v>43784</v>
      </c>
      <c r="C19672" s="30" t="s">
        <v>8151</v>
      </c>
      <c r="D19672" s="30" t="s">
        <v>17</v>
      </c>
      <c r="E19672" s="30" t="s">
        <v>18</v>
      </c>
      <c r="F19672" s="30" t="s">
        <v>19</v>
      </c>
      <c r="G19672" s="30" t="s">
        <v>140</v>
      </c>
      <c r="H19672" s="32">
        <v>100</v>
      </c>
      <c r="I19672" s="30" t="s">
        <v>51</v>
      </c>
      <c r="J19672" s="41">
        <v>45300</v>
      </c>
      <c r="K19672" s="30" t="s">
        <v>22</v>
      </c>
    </row>
    <row r="19673" spans="1:11">
      <c r="A19673" s="33" t="s">
        <v>43785</v>
      </c>
      <c r="B19673" s="33" t="s">
        <v>43786</v>
      </c>
      <c r="C19673" s="33" t="s">
        <v>17410</v>
      </c>
      <c r="D19673" s="33" t="s">
        <v>17</v>
      </c>
      <c r="E19673" s="33" t="s">
        <v>26</v>
      </c>
      <c r="F19673" s="33" t="s">
        <v>27</v>
      </c>
      <c r="G19673" s="33" t="s">
        <v>50</v>
      </c>
      <c r="H19673" s="35">
        <v>55</v>
      </c>
      <c r="I19673" s="33" t="s">
        <v>51</v>
      </c>
      <c r="J19673" s="42">
        <v>45383</v>
      </c>
      <c r="K19673" s="33" t="s">
        <v>22</v>
      </c>
    </row>
    <row r="19674" spans="1:11">
      <c r="A19674" s="30" t="s">
        <v>43787</v>
      </c>
      <c r="B19674" s="30" t="s">
        <v>43788</v>
      </c>
      <c r="C19674" s="30" t="s">
        <v>203</v>
      </c>
      <c r="D19674" s="30" t="s">
        <v>17</v>
      </c>
      <c r="E19674" s="30" t="s">
        <v>18</v>
      </c>
      <c r="F19674" s="30" t="s">
        <v>19</v>
      </c>
      <c r="G19674" s="30" t="s">
        <v>140</v>
      </c>
      <c r="H19674" s="32">
        <v>18</v>
      </c>
      <c r="I19674" s="30" t="s">
        <v>51</v>
      </c>
      <c r="J19674" s="41">
        <v>45427</v>
      </c>
      <c r="K19674" s="30" t="s">
        <v>22</v>
      </c>
    </row>
    <row r="19675" spans="1:11">
      <c r="A19675" s="33" t="s">
        <v>43789</v>
      </c>
      <c r="B19675" s="33" t="s">
        <v>43790</v>
      </c>
      <c r="C19675" s="33" t="s">
        <v>75</v>
      </c>
      <c r="D19675" s="33" t="s">
        <v>17</v>
      </c>
      <c r="E19675" s="33" t="s">
        <v>26</v>
      </c>
      <c r="F19675" s="33" t="s">
        <v>27</v>
      </c>
      <c r="G19675" s="33" t="s">
        <v>106</v>
      </c>
      <c r="H19675" s="35">
        <v>2</v>
      </c>
      <c r="I19675" s="33" t="s">
        <v>21</v>
      </c>
      <c r="J19675" s="42">
        <v>45485</v>
      </c>
      <c r="K19675" s="33" t="s">
        <v>22</v>
      </c>
    </row>
    <row r="19676" spans="1:11">
      <c r="A19676" s="30" t="s">
        <v>43791</v>
      </c>
      <c r="B19676" s="30" t="s">
        <v>43792</v>
      </c>
      <c r="C19676" s="30" t="s">
        <v>38</v>
      </c>
      <c r="D19676" s="30" t="s">
        <v>17</v>
      </c>
      <c r="E19676" s="30" t="s">
        <v>26</v>
      </c>
      <c r="F19676" s="30" t="s">
        <v>27</v>
      </c>
      <c r="G19676" s="30" t="s">
        <v>158</v>
      </c>
      <c r="H19676" s="32">
        <v>16</v>
      </c>
      <c r="I19676" s="30" t="s">
        <v>21</v>
      </c>
      <c r="J19676" s="41">
        <v>45468</v>
      </c>
      <c r="K19676" s="30" t="s">
        <v>22</v>
      </c>
    </row>
    <row r="19677" spans="1:11">
      <c r="A19677" s="33" t="s">
        <v>43793</v>
      </c>
      <c r="B19677" s="33" t="s">
        <v>43794</v>
      </c>
      <c r="C19677" s="33" t="s">
        <v>310</v>
      </c>
      <c r="D19677" s="33" t="s">
        <v>17</v>
      </c>
      <c r="E19677" s="33" t="s">
        <v>31</v>
      </c>
      <c r="F19677" s="33" t="s">
        <v>32</v>
      </c>
      <c r="G19677" s="33" t="s">
        <v>20</v>
      </c>
      <c r="H19677" s="35">
        <v>626</v>
      </c>
      <c r="I19677" s="33" t="s">
        <v>21</v>
      </c>
      <c r="J19677" s="42">
        <v>45383</v>
      </c>
      <c r="K19677" s="33" t="s">
        <v>22</v>
      </c>
    </row>
    <row r="19678" spans="1:11">
      <c r="A19678" s="30" t="s">
        <v>43795</v>
      </c>
      <c r="B19678" s="30" t="s">
        <v>43796</v>
      </c>
      <c r="C19678" s="30" t="s">
        <v>450</v>
      </c>
      <c r="D19678" s="30" t="s">
        <v>17</v>
      </c>
      <c r="E19678" s="30" t="s">
        <v>18</v>
      </c>
      <c r="F19678" s="30" t="s">
        <v>19</v>
      </c>
      <c r="G19678" s="30" t="s">
        <v>158</v>
      </c>
      <c r="H19678" s="32">
        <v>43</v>
      </c>
      <c r="I19678" s="30" t="s">
        <v>21</v>
      </c>
      <c r="J19678" s="41">
        <v>45384</v>
      </c>
      <c r="K19678" s="30" t="s">
        <v>22</v>
      </c>
    </row>
    <row r="19679" spans="1:11">
      <c r="A19679" s="33" t="s">
        <v>43797</v>
      </c>
      <c r="B19679" s="33" t="s">
        <v>43798</v>
      </c>
      <c r="C19679" s="33" t="s">
        <v>1571</v>
      </c>
      <c r="D19679" s="33" t="s">
        <v>17</v>
      </c>
      <c r="E19679" s="33" t="s">
        <v>26</v>
      </c>
      <c r="F19679" s="33" t="s">
        <v>27</v>
      </c>
      <c r="G19679" s="33" t="s">
        <v>20</v>
      </c>
      <c r="H19679" s="35">
        <v>40</v>
      </c>
      <c r="I19679" s="33" t="s">
        <v>21</v>
      </c>
      <c r="J19679" s="42">
        <v>45345</v>
      </c>
      <c r="K19679" s="33" t="s">
        <v>22</v>
      </c>
    </row>
    <row r="19680" spans="1:11">
      <c r="A19680" s="30" t="s">
        <v>43799</v>
      </c>
      <c r="B19680" s="30" t="s">
        <v>43800</v>
      </c>
      <c r="C19680" s="30" t="s">
        <v>11476</v>
      </c>
      <c r="D19680" s="30" t="s">
        <v>17</v>
      </c>
      <c r="E19680" s="30" t="s">
        <v>26</v>
      </c>
      <c r="F19680" s="30" t="s">
        <v>27</v>
      </c>
      <c r="G19680" s="30" t="s">
        <v>50</v>
      </c>
      <c r="H19680" s="32">
        <v>50</v>
      </c>
      <c r="I19680" s="30" t="s">
        <v>51</v>
      </c>
      <c r="J19680" s="41">
        <v>45345</v>
      </c>
      <c r="K19680" s="30" t="s">
        <v>22</v>
      </c>
    </row>
    <row r="19681" spans="1:11">
      <c r="A19681" s="33" t="s">
        <v>43801</v>
      </c>
      <c r="B19681" s="33" t="s">
        <v>43802</v>
      </c>
      <c r="C19681" s="33" t="s">
        <v>96</v>
      </c>
      <c r="D19681" s="33" t="s">
        <v>17</v>
      </c>
      <c r="E19681" s="33" t="s">
        <v>26</v>
      </c>
      <c r="F19681" s="33" t="s">
        <v>27</v>
      </c>
      <c r="G19681" s="33" t="s">
        <v>20</v>
      </c>
      <c r="H19681" s="35">
        <v>23</v>
      </c>
      <c r="I19681" s="33" t="s">
        <v>21</v>
      </c>
      <c r="J19681" s="42">
        <v>45527</v>
      </c>
      <c r="K19681" s="33" t="s">
        <v>22</v>
      </c>
    </row>
    <row r="19682" spans="1:11">
      <c r="A19682" s="30" t="s">
        <v>43803</v>
      </c>
      <c r="B19682" s="30" t="s">
        <v>43804</v>
      </c>
      <c r="C19682" s="30" t="s">
        <v>6470</v>
      </c>
      <c r="D19682" s="30" t="s">
        <v>17</v>
      </c>
      <c r="E19682" s="30" t="s">
        <v>26</v>
      </c>
      <c r="F19682" s="30" t="s">
        <v>27</v>
      </c>
      <c r="G19682" s="30" t="s">
        <v>20</v>
      </c>
      <c r="H19682" s="32">
        <v>133</v>
      </c>
      <c r="I19682" s="30" t="s">
        <v>21</v>
      </c>
      <c r="J19682" s="41">
        <v>45652</v>
      </c>
      <c r="K19682" s="30" t="s">
        <v>22</v>
      </c>
    </row>
    <row r="19683" spans="1:11">
      <c r="A19683" s="33" t="s">
        <v>43805</v>
      </c>
      <c r="B19683" s="33" t="s">
        <v>43806</v>
      </c>
      <c r="C19683" s="33" t="s">
        <v>38495</v>
      </c>
      <c r="D19683" s="33" t="s">
        <v>17</v>
      </c>
      <c r="E19683" s="33" t="s">
        <v>26</v>
      </c>
      <c r="F19683" s="33" t="s">
        <v>27</v>
      </c>
      <c r="G19683" s="33" t="s">
        <v>20</v>
      </c>
      <c r="H19683" s="35">
        <v>24</v>
      </c>
      <c r="I19683" s="33" t="s">
        <v>21</v>
      </c>
      <c r="J19683" s="42">
        <v>45589</v>
      </c>
      <c r="K19683" s="33" t="s">
        <v>22</v>
      </c>
    </row>
    <row r="19684" spans="1:11">
      <c r="A19684" s="30" t="s">
        <v>43807</v>
      </c>
      <c r="B19684" s="30" t="s">
        <v>43808</v>
      </c>
      <c r="C19684" s="30" t="s">
        <v>7020</v>
      </c>
      <c r="D19684" s="30" t="s">
        <v>17</v>
      </c>
      <c r="E19684" s="30" t="s">
        <v>31</v>
      </c>
      <c r="F19684" s="30" t="s">
        <v>32</v>
      </c>
      <c r="G19684" s="30" t="s">
        <v>158</v>
      </c>
      <c r="H19684" s="32">
        <v>378</v>
      </c>
      <c r="I19684" s="30" t="s">
        <v>21</v>
      </c>
      <c r="J19684" s="41">
        <v>45635</v>
      </c>
      <c r="K19684" s="30" t="s">
        <v>22</v>
      </c>
    </row>
    <row r="19685" spans="1:11">
      <c r="A19685" s="33" t="s">
        <v>43809</v>
      </c>
      <c r="B19685" s="33" t="s">
        <v>43810</v>
      </c>
      <c r="C19685" s="33" t="s">
        <v>11984</v>
      </c>
      <c r="D19685" s="33" t="s">
        <v>17</v>
      </c>
      <c r="E19685" s="33" t="s">
        <v>31</v>
      </c>
      <c r="F19685" s="33" t="s">
        <v>32</v>
      </c>
      <c r="G19685" s="33" t="s">
        <v>7780</v>
      </c>
      <c r="H19685" s="35">
        <v>32</v>
      </c>
      <c r="I19685" s="33" t="s">
        <v>51</v>
      </c>
      <c r="J19685" s="42">
        <v>45536</v>
      </c>
      <c r="K19685" s="33" t="s">
        <v>22</v>
      </c>
    </row>
    <row r="19686" spans="1:11">
      <c r="A19686" s="30" t="s">
        <v>43811</v>
      </c>
      <c r="B19686" s="30" t="s">
        <v>43812</v>
      </c>
      <c r="C19686" s="30" t="s">
        <v>43813</v>
      </c>
      <c r="D19686" s="30" t="s">
        <v>17</v>
      </c>
      <c r="E19686" s="30" t="s">
        <v>330</v>
      </c>
      <c r="F19686" s="30" t="s">
        <v>331</v>
      </c>
      <c r="G19686" s="30" t="s">
        <v>50</v>
      </c>
      <c r="H19686" s="32">
        <v>10</v>
      </c>
      <c r="I19686" s="30" t="s">
        <v>51</v>
      </c>
      <c r="J19686" s="41">
        <v>45317</v>
      </c>
      <c r="K19686" s="30" t="s">
        <v>22</v>
      </c>
    </row>
    <row r="19687" spans="1:11">
      <c r="A19687" s="33" t="s">
        <v>43814</v>
      </c>
      <c r="B19687" s="33" t="s">
        <v>43815</v>
      </c>
      <c r="C19687" s="33" t="s">
        <v>34078</v>
      </c>
      <c r="D19687" s="33" t="s">
        <v>17</v>
      </c>
      <c r="E19687" s="33" t="s">
        <v>26</v>
      </c>
      <c r="F19687" s="33" t="s">
        <v>27</v>
      </c>
      <c r="G19687" s="33" t="s">
        <v>20</v>
      </c>
      <c r="H19687" s="35">
        <v>72</v>
      </c>
      <c r="I19687" s="33" t="s">
        <v>21</v>
      </c>
      <c r="J19687" s="42">
        <v>45422</v>
      </c>
      <c r="K19687" s="33" t="s">
        <v>22</v>
      </c>
    </row>
    <row r="19688" spans="1:11">
      <c r="A19688" s="30" t="s">
        <v>43816</v>
      </c>
      <c r="B19688" s="30" t="s">
        <v>43817</v>
      </c>
      <c r="C19688" s="30" t="s">
        <v>16196</v>
      </c>
      <c r="D19688" s="30" t="s">
        <v>17</v>
      </c>
      <c r="E19688" s="30" t="s">
        <v>26</v>
      </c>
      <c r="F19688" s="30" t="s">
        <v>27</v>
      </c>
      <c r="G19688" s="30" t="s">
        <v>20</v>
      </c>
      <c r="H19688" s="32">
        <v>32</v>
      </c>
      <c r="I19688" s="30" t="s">
        <v>21</v>
      </c>
      <c r="J19688" s="41">
        <v>45524</v>
      </c>
      <c r="K19688" s="30" t="s">
        <v>22</v>
      </c>
    </row>
    <row r="19689" spans="1:11">
      <c r="A19689" s="33" t="s">
        <v>43818</v>
      </c>
      <c r="B19689" s="33" t="s">
        <v>43819</v>
      </c>
      <c r="C19689" s="33" t="s">
        <v>310</v>
      </c>
      <c r="D19689" s="33" t="s">
        <v>17</v>
      </c>
      <c r="E19689" s="33" t="s">
        <v>18</v>
      </c>
      <c r="F19689" s="33" t="s">
        <v>19</v>
      </c>
      <c r="G19689" s="33" t="s">
        <v>112</v>
      </c>
      <c r="H19689" s="35">
        <v>0</v>
      </c>
      <c r="I19689" s="33" t="s">
        <v>21</v>
      </c>
      <c r="J19689" s="42">
        <v>45317</v>
      </c>
      <c r="K19689" s="33" t="s">
        <v>22</v>
      </c>
    </row>
    <row r="19690" spans="1:11">
      <c r="A19690" s="30" t="s">
        <v>43820</v>
      </c>
      <c r="B19690" s="30" t="s">
        <v>43821</v>
      </c>
      <c r="C19690" s="30" t="s">
        <v>1042</v>
      </c>
      <c r="D19690" s="30" t="s">
        <v>17</v>
      </c>
      <c r="E19690" s="30" t="s">
        <v>18</v>
      </c>
      <c r="F19690" s="30" t="s">
        <v>19</v>
      </c>
      <c r="G19690" s="30" t="s">
        <v>20</v>
      </c>
      <c r="H19690" s="32">
        <v>116</v>
      </c>
      <c r="I19690" s="30" t="s">
        <v>21</v>
      </c>
      <c r="J19690" s="41">
        <v>45467</v>
      </c>
      <c r="K19690" s="30" t="s">
        <v>22</v>
      </c>
    </row>
    <row r="19691" spans="1:11">
      <c r="A19691" s="33" t="s">
        <v>43822</v>
      </c>
      <c r="B19691" s="33" t="s">
        <v>43823</v>
      </c>
      <c r="C19691" s="33" t="s">
        <v>43824</v>
      </c>
      <c r="D19691" s="33" t="s">
        <v>17</v>
      </c>
      <c r="E19691" s="33" t="s">
        <v>330</v>
      </c>
      <c r="F19691" s="33" t="s">
        <v>331</v>
      </c>
      <c r="G19691" s="33" t="s">
        <v>20</v>
      </c>
      <c r="H19691" s="35">
        <v>8</v>
      </c>
      <c r="I19691" s="33" t="s">
        <v>21</v>
      </c>
      <c r="J19691" s="42">
        <v>45411</v>
      </c>
      <c r="K19691" s="33" t="s">
        <v>22</v>
      </c>
    </row>
    <row r="19692" spans="1:11">
      <c r="A19692" s="30" t="s">
        <v>43825</v>
      </c>
      <c r="B19692" s="30" t="s">
        <v>43826</v>
      </c>
      <c r="C19692" s="30" t="s">
        <v>326</v>
      </c>
      <c r="D19692" s="30" t="s">
        <v>17</v>
      </c>
      <c r="E19692" s="30" t="s">
        <v>31</v>
      </c>
      <c r="F19692" s="30" t="s">
        <v>32</v>
      </c>
      <c r="G19692" s="30" t="s">
        <v>158</v>
      </c>
      <c r="H19692" s="32">
        <v>34</v>
      </c>
      <c r="I19692" s="30" t="s">
        <v>51</v>
      </c>
      <c r="J19692" s="41">
        <v>45511</v>
      </c>
      <c r="K19692" s="30" t="s">
        <v>22</v>
      </c>
    </row>
    <row r="19693" spans="1:11">
      <c r="A19693" s="33" t="s">
        <v>43827</v>
      </c>
      <c r="B19693" s="33" t="s">
        <v>43828</v>
      </c>
      <c r="C19693" s="33" t="s">
        <v>3655</v>
      </c>
      <c r="D19693" s="33" t="s">
        <v>17</v>
      </c>
      <c r="E19693" s="33" t="s">
        <v>67</v>
      </c>
      <c r="F19693" s="33" t="s">
        <v>68</v>
      </c>
      <c r="G19693" s="33" t="s">
        <v>20</v>
      </c>
      <c r="H19693" s="35">
        <v>1353</v>
      </c>
      <c r="I19693" s="33" t="s">
        <v>21</v>
      </c>
      <c r="J19693" s="42">
        <v>45607</v>
      </c>
      <c r="K19693" s="33" t="s">
        <v>22</v>
      </c>
    </row>
    <row r="19694" spans="1:11">
      <c r="A19694" s="30" t="s">
        <v>43829</v>
      </c>
      <c r="B19694" s="30" t="s">
        <v>43830</v>
      </c>
      <c r="C19694" s="30" t="s">
        <v>1801</v>
      </c>
      <c r="D19694" s="30" t="s">
        <v>17</v>
      </c>
      <c r="E19694" s="30" t="s">
        <v>26</v>
      </c>
      <c r="F19694" s="30" t="s">
        <v>27</v>
      </c>
      <c r="G19694" s="30" t="s">
        <v>140</v>
      </c>
      <c r="H19694" s="32">
        <v>152</v>
      </c>
      <c r="I19694" s="30" t="s">
        <v>51</v>
      </c>
      <c r="J19694" s="41">
        <v>45314</v>
      </c>
      <c r="K19694" s="30" t="s">
        <v>22</v>
      </c>
    </row>
    <row r="19695" spans="1:11">
      <c r="A19695" s="33" t="s">
        <v>43831</v>
      </c>
      <c r="B19695" s="33" t="s">
        <v>43832</v>
      </c>
      <c r="C19695" s="33" t="s">
        <v>24475</v>
      </c>
      <c r="D19695" s="33" t="s">
        <v>17</v>
      </c>
      <c r="E19695" s="33" t="s">
        <v>26</v>
      </c>
      <c r="F19695" s="33" t="s">
        <v>27</v>
      </c>
      <c r="G19695" s="33" t="s">
        <v>7780</v>
      </c>
      <c r="H19695" s="35">
        <v>48</v>
      </c>
      <c r="I19695" s="33" t="s">
        <v>51</v>
      </c>
      <c r="J19695" s="42">
        <v>45352</v>
      </c>
      <c r="K19695" s="33" t="s">
        <v>22</v>
      </c>
    </row>
    <row r="19696" spans="1:11">
      <c r="A19696" s="30" t="s">
        <v>43833</v>
      </c>
      <c r="B19696" s="30" t="s">
        <v>43834</v>
      </c>
      <c r="C19696" s="30" t="s">
        <v>43835</v>
      </c>
      <c r="D19696" s="30" t="s">
        <v>17</v>
      </c>
      <c r="E19696" s="30" t="s">
        <v>45</v>
      </c>
      <c r="F19696" s="30" t="s">
        <v>46</v>
      </c>
      <c r="G19696" s="30" t="s">
        <v>158</v>
      </c>
      <c r="H19696" s="32">
        <v>92</v>
      </c>
      <c r="I19696" s="30" t="s">
        <v>51</v>
      </c>
      <c r="J19696" s="41">
        <v>45590</v>
      </c>
      <c r="K19696" s="30" t="s">
        <v>22</v>
      </c>
    </row>
    <row r="19697" spans="1:11">
      <c r="A19697" s="33" t="s">
        <v>43836</v>
      </c>
      <c r="B19697" s="33" t="s">
        <v>43837</v>
      </c>
      <c r="C19697" s="33" t="s">
        <v>124</v>
      </c>
      <c r="D19697" s="33" t="s">
        <v>17</v>
      </c>
      <c r="E19697" s="33" t="s">
        <v>31</v>
      </c>
      <c r="F19697" s="33" t="s">
        <v>32</v>
      </c>
      <c r="G19697" s="33" t="s">
        <v>2613</v>
      </c>
      <c r="H19697" s="35">
        <v>219</v>
      </c>
      <c r="I19697" s="33" t="s">
        <v>51</v>
      </c>
      <c r="J19697" s="42">
        <v>45587</v>
      </c>
      <c r="K19697" s="33" t="s">
        <v>22</v>
      </c>
    </row>
    <row r="19698" spans="1:11">
      <c r="A19698" s="30" t="s">
        <v>43838</v>
      </c>
      <c r="B19698" s="30" t="s">
        <v>43839</v>
      </c>
      <c r="C19698" s="30" t="s">
        <v>2208</v>
      </c>
      <c r="D19698" s="30" t="s">
        <v>17</v>
      </c>
      <c r="E19698" s="30" t="s">
        <v>18</v>
      </c>
      <c r="F19698" s="30" t="s">
        <v>19</v>
      </c>
      <c r="G19698" s="30" t="s">
        <v>140</v>
      </c>
      <c r="H19698" s="32">
        <v>180</v>
      </c>
      <c r="I19698" s="30" t="s">
        <v>51</v>
      </c>
      <c r="J19698" s="41">
        <v>45351</v>
      </c>
      <c r="K19698" s="30" t="s">
        <v>22</v>
      </c>
    </row>
    <row r="19699" spans="1:11">
      <c r="A19699" s="33" t="s">
        <v>43840</v>
      </c>
      <c r="B19699" s="33" t="s">
        <v>43841</v>
      </c>
      <c r="C19699" s="33" t="s">
        <v>801</v>
      </c>
      <c r="D19699" s="33" t="s">
        <v>17</v>
      </c>
      <c r="E19699" s="33" t="s">
        <v>26</v>
      </c>
      <c r="F19699" s="33" t="s">
        <v>27</v>
      </c>
      <c r="G19699" s="33" t="s">
        <v>20</v>
      </c>
      <c r="H19699" s="35">
        <v>8</v>
      </c>
      <c r="I19699" s="33" t="s">
        <v>21</v>
      </c>
      <c r="J19699" s="42">
        <v>45390</v>
      </c>
      <c r="K19699" s="33" t="s">
        <v>22</v>
      </c>
    </row>
    <row r="19700" spans="1:11">
      <c r="A19700" s="30" t="s">
        <v>43842</v>
      </c>
      <c r="B19700" s="30" t="s">
        <v>43843</v>
      </c>
      <c r="C19700" s="30" t="s">
        <v>35704</v>
      </c>
      <c r="D19700" s="30" t="s">
        <v>17</v>
      </c>
      <c r="E19700" s="30" t="s">
        <v>31</v>
      </c>
      <c r="F19700" s="30" t="s">
        <v>32</v>
      </c>
      <c r="G19700" s="30" t="s">
        <v>140</v>
      </c>
      <c r="H19700" s="32">
        <v>84</v>
      </c>
      <c r="I19700" s="30" t="s">
        <v>51</v>
      </c>
      <c r="J19700" s="41">
        <v>45428</v>
      </c>
      <c r="K19700" s="30" t="s">
        <v>22</v>
      </c>
    </row>
    <row r="19701" spans="1:11">
      <c r="A19701" s="33" t="s">
        <v>43844</v>
      </c>
      <c r="B19701" s="33" t="s">
        <v>43845</v>
      </c>
      <c r="C19701" s="33" t="s">
        <v>13574</v>
      </c>
      <c r="D19701" s="33" t="s">
        <v>17</v>
      </c>
      <c r="E19701" s="33" t="s">
        <v>31</v>
      </c>
      <c r="F19701" s="33" t="s">
        <v>32</v>
      </c>
      <c r="G19701" s="33" t="s">
        <v>20</v>
      </c>
      <c r="H19701" s="35">
        <v>24</v>
      </c>
      <c r="I19701" s="33" t="s">
        <v>21</v>
      </c>
      <c r="J19701" s="42">
        <v>45395</v>
      </c>
      <c r="K19701" s="33" t="s">
        <v>22</v>
      </c>
    </row>
    <row r="19702" spans="1:11">
      <c r="A19702" s="30" t="s">
        <v>43846</v>
      </c>
      <c r="B19702" s="30" t="s">
        <v>43847</v>
      </c>
      <c r="C19702" s="30" t="s">
        <v>43848</v>
      </c>
      <c r="D19702" s="30" t="s">
        <v>17</v>
      </c>
      <c r="E19702" s="30" t="s">
        <v>26</v>
      </c>
      <c r="F19702" s="30" t="s">
        <v>27</v>
      </c>
      <c r="G19702" s="30" t="s">
        <v>20</v>
      </c>
      <c r="H19702" s="32">
        <v>468</v>
      </c>
      <c r="I19702" s="30" t="s">
        <v>21</v>
      </c>
      <c r="J19702" s="41">
        <v>45651</v>
      </c>
      <c r="K19702" s="30" t="s">
        <v>22</v>
      </c>
    </row>
    <row r="19703" spans="1:11">
      <c r="A19703" s="33" t="s">
        <v>43849</v>
      </c>
      <c r="B19703" s="33" t="s">
        <v>43850</v>
      </c>
      <c r="C19703" s="33" t="s">
        <v>43851</v>
      </c>
      <c r="D19703" s="33" t="s">
        <v>17</v>
      </c>
      <c r="E19703" s="33" t="s">
        <v>26</v>
      </c>
      <c r="F19703" s="33" t="s">
        <v>27</v>
      </c>
      <c r="G19703" s="33" t="s">
        <v>140</v>
      </c>
      <c r="H19703" s="35">
        <v>31</v>
      </c>
      <c r="I19703" s="33" t="s">
        <v>51</v>
      </c>
      <c r="J19703" s="42">
        <v>45422</v>
      </c>
      <c r="K19703" s="33" t="s">
        <v>22</v>
      </c>
    </row>
    <row r="19704" spans="1:11">
      <c r="A19704" s="30" t="s">
        <v>43852</v>
      </c>
      <c r="B19704" s="30" t="s">
        <v>43853</v>
      </c>
      <c r="C19704" s="30" t="s">
        <v>10079</v>
      </c>
      <c r="D19704" s="30" t="s">
        <v>17</v>
      </c>
      <c r="E19704" s="30" t="s">
        <v>26</v>
      </c>
      <c r="F19704" s="30" t="s">
        <v>27</v>
      </c>
      <c r="G19704" s="30" t="s">
        <v>2613</v>
      </c>
      <c r="H19704" s="32">
        <v>64</v>
      </c>
      <c r="I19704" s="30" t="s">
        <v>51</v>
      </c>
      <c r="J19704" s="41">
        <v>45547</v>
      </c>
      <c r="K19704" s="30" t="s">
        <v>22</v>
      </c>
    </row>
    <row r="19705" spans="1:11">
      <c r="A19705" s="33" t="s">
        <v>43854</v>
      </c>
      <c r="B19705" s="33" t="s">
        <v>43855</v>
      </c>
      <c r="C19705" s="33" t="s">
        <v>28085</v>
      </c>
      <c r="D19705" s="33" t="s">
        <v>17</v>
      </c>
      <c r="E19705" s="33" t="s">
        <v>212</v>
      </c>
      <c r="F19705" s="33" t="s">
        <v>213</v>
      </c>
      <c r="G19705" s="33" t="s">
        <v>50</v>
      </c>
      <c r="H19705" s="35">
        <v>150</v>
      </c>
      <c r="I19705" s="33" t="s">
        <v>51</v>
      </c>
      <c r="J19705" s="42">
        <v>45412</v>
      </c>
      <c r="K19705" s="33" t="s">
        <v>22</v>
      </c>
    </row>
    <row r="19706" spans="1:11">
      <c r="A19706" s="30" t="s">
        <v>43856</v>
      </c>
      <c r="B19706" s="30" t="s">
        <v>43857</v>
      </c>
      <c r="C19706" s="30" t="s">
        <v>2017</v>
      </c>
      <c r="D19706" s="30" t="s">
        <v>17</v>
      </c>
      <c r="E19706" s="30" t="s">
        <v>26</v>
      </c>
      <c r="F19706" s="30" t="s">
        <v>27</v>
      </c>
      <c r="G19706" s="30" t="s">
        <v>20</v>
      </c>
      <c r="H19706" s="32">
        <v>1000</v>
      </c>
      <c r="I19706" s="30" t="s">
        <v>21</v>
      </c>
      <c r="J19706" s="41">
        <v>45463</v>
      </c>
      <c r="K19706" s="30" t="s">
        <v>22</v>
      </c>
    </row>
    <row r="19707" spans="1:11">
      <c r="A19707" s="33" t="s">
        <v>43858</v>
      </c>
      <c r="B19707" s="33" t="s">
        <v>43859</v>
      </c>
      <c r="C19707" s="33" t="s">
        <v>231</v>
      </c>
      <c r="D19707" s="33" t="s">
        <v>17</v>
      </c>
      <c r="E19707" s="33" t="s">
        <v>26</v>
      </c>
      <c r="F19707" s="33" t="s">
        <v>27</v>
      </c>
      <c r="G19707" s="33" t="s">
        <v>20</v>
      </c>
      <c r="H19707" s="35">
        <v>125</v>
      </c>
      <c r="I19707" s="33" t="s">
        <v>21</v>
      </c>
      <c r="J19707" s="42">
        <v>45453</v>
      </c>
      <c r="K19707" s="33" t="s">
        <v>22</v>
      </c>
    </row>
    <row r="19708" spans="1:11">
      <c r="A19708" s="30" t="s">
        <v>43860</v>
      </c>
      <c r="B19708" s="30" t="s">
        <v>43861</v>
      </c>
      <c r="C19708" s="30" t="s">
        <v>14816</v>
      </c>
      <c r="D19708" s="30" t="s">
        <v>17</v>
      </c>
      <c r="E19708" s="30" t="s">
        <v>18</v>
      </c>
      <c r="F19708" s="30" t="s">
        <v>19</v>
      </c>
      <c r="G19708" s="30" t="s">
        <v>20</v>
      </c>
      <c r="H19708" s="32">
        <v>284</v>
      </c>
      <c r="I19708" s="30" t="s">
        <v>21</v>
      </c>
      <c r="J19708" s="41">
        <v>45560</v>
      </c>
      <c r="K19708" s="30" t="s">
        <v>22</v>
      </c>
    </row>
    <row r="19709" spans="1:11">
      <c r="A19709" s="33" t="s">
        <v>43862</v>
      </c>
      <c r="B19709" s="33" t="s">
        <v>43863</v>
      </c>
      <c r="C19709" s="33" t="s">
        <v>23051</v>
      </c>
      <c r="D19709" s="33" t="s">
        <v>17</v>
      </c>
      <c r="E19709" s="33" t="s">
        <v>26</v>
      </c>
      <c r="F19709" s="33" t="s">
        <v>27</v>
      </c>
      <c r="G19709" s="33" t="s">
        <v>140</v>
      </c>
      <c r="H19709" s="35">
        <v>25</v>
      </c>
      <c r="I19709" s="33" t="s">
        <v>51</v>
      </c>
      <c r="J19709" s="42">
        <v>45394</v>
      </c>
      <c r="K19709" s="33" t="s">
        <v>22</v>
      </c>
    </row>
    <row r="19710" spans="1:11">
      <c r="A19710" s="30" t="s">
        <v>43864</v>
      </c>
      <c r="B19710" s="30" t="s">
        <v>43865</v>
      </c>
      <c r="C19710" s="30" t="s">
        <v>136</v>
      </c>
      <c r="D19710" s="30" t="s">
        <v>17</v>
      </c>
      <c r="E19710" s="30" t="s">
        <v>31</v>
      </c>
      <c r="F19710" s="30" t="s">
        <v>32</v>
      </c>
      <c r="G19710" s="30" t="s">
        <v>112</v>
      </c>
      <c r="H19710" s="32">
        <v>0</v>
      </c>
      <c r="I19710" s="30" t="s">
        <v>21</v>
      </c>
      <c r="J19710" s="41">
        <v>45574</v>
      </c>
      <c r="K19710" s="30" t="s">
        <v>22</v>
      </c>
    </row>
    <row r="19711" spans="1:11">
      <c r="A19711" s="33" t="s">
        <v>43866</v>
      </c>
      <c r="B19711" s="33" t="s">
        <v>43867</v>
      </c>
      <c r="C19711" s="33" t="s">
        <v>318</v>
      </c>
      <c r="D19711" s="33" t="s">
        <v>17</v>
      </c>
      <c r="E19711" s="33" t="s">
        <v>26</v>
      </c>
      <c r="F19711" s="33" t="s">
        <v>27</v>
      </c>
      <c r="G19711" s="33" t="s">
        <v>158</v>
      </c>
      <c r="H19711" s="35">
        <v>49</v>
      </c>
      <c r="I19711" s="33" t="s">
        <v>21</v>
      </c>
      <c r="J19711" s="42">
        <v>45552</v>
      </c>
      <c r="K19711" s="33" t="s">
        <v>22</v>
      </c>
    </row>
    <row r="19712" spans="1:11">
      <c r="A19712" s="30" t="s">
        <v>43868</v>
      </c>
      <c r="B19712" s="30" t="s">
        <v>43869</v>
      </c>
      <c r="C19712" s="30" t="s">
        <v>31562</v>
      </c>
      <c r="D19712" s="30" t="s">
        <v>17</v>
      </c>
      <c r="E19712" s="30" t="s">
        <v>31</v>
      </c>
      <c r="F19712" s="30" t="s">
        <v>32</v>
      </c>
      <c r="G19712" s="30" t="s">
        <v>7780</v>
      </c>
      <c r="H19712" s="32">
        <v>176</v>
      </c>
      <c r="I19712" s="30" t="s">
        <v>51</v>
      </c>
      <c r="J19712" s="41">
        <v>45595</v>
      </c>
      <c r="K19712" s="30" t="s">
        <v>22</v>
      </c>
    </row>
    <row r="19713" spans="1:11">
      <c r="A19713" s="33" t="s">
        <v>43870</v>
      </c>
      <c r="B19713" s="33" t="s">
        <v>43871</v>
      </c>
      <c r="C19713" s="33" t="s">
        <v>124</v>
      </c>
      <c r="D19713" s="33" t="s">
        <v>17</v>
      </c>
      <c r="E19713" s="33" t="s">
        <v>18</v>
      </c>
      <c r="F19713" s="33" t="s">
        <v>19</v>
      </c>
      <c r="G19713" s="33" t="s">
        <v>140</v>
      </c>
      <c r="H19713" s="35">
        <v>669</v>
      </c>
      <c r="I19713" s="33" t="s">
        <v>51</v>
      </c>
      <c r="J19713" s="42">
        <v>45565</v>
      </c>
      <c r="K19713" s="33" t="s">
        <v>22</v>
      </c>
    </row>
    <row r="19714" spans="1:11">
      <c r="A19714" s="30" t="s">
        <v>43872</v>
      </c>
      <c r="B19714" s="30" t="s">
        <v>43873</v>
      </c>
      <c r="C19714" s="30" t="s">
        <v>130</v>
      </c>
      <c r="D19714" s="30" t="s">
        <v>17</v>
      </c>
      <c r="E19714" s="30" t="s">
        <v>26</v>
      </c>
      <c r="F19714" s="30" t="s">
        <v>27</v>
      </c>
      <c r="G19714" s="30" t="s">
        <v>20</v>
      </c>
      <c r="H19714" s="32">
        <v>71</v>
      </c>
      <c r="I19714" s="30" t="s">
        <v>21</v>
      </c>
      <c r="J19714" s="41">
        <v>45462</v>
      </c>
      <c r="K19714" s="30" t="s">
        <v>22</v>
      </c>
    </row>
    <row r="19715" spans="1:11">
      <c r="A19715" s="33" t="s">
        <v>43874</v>
      </c>
      <c r="B19715" s="33" t="s">
        <v>43875</v>
      </c>
      <c r="C19715" s="33" t="s">
        <v>3429</v>
      </c>
      <c r="D19715" s="33" t="s">
        <v>17</v>
      </c>
      <c r="E19715" s="33" t="s">
        <v>26</v>
      </c>
      <c r="F19715" s="33" t="s">
        <v>27</v>
      </c>
      <c r="G19715" s="33" t="s">
        <v>20</v>
      </c>
      <c r="H19715" s="35">
        <v>42</v>
      </c>
      <c r="I19715" s="33" t="s">
        <v>21</v>
      </c>
      <c r="J19715" s="42">
        <v>45479</v>
      </c>
      <c r="K19715" s="33" t="s">
        <v>22</v>
      </c>
    </row>
    <row r="19716" spans="1:11">
      <c r="A19716" s="30" t="s">
        <v>43876</v>
      </c>
      <c r="B19716" s="30" t="s">
        <v>43877</v>
      </c>
      <c r="C19716" s="30" t="s">
        <v>190</v>
      </c>
      <c r="D19716" s="30" t="s">
        <v>17</v>
      </c>
      <c r="E19716" s="30" t="s">
        <v>26</v>
      </c>
      <c r="F19716" s="30" t="s">
        <v>27</v>
      </c>
      <c r="G19716" s="30" t="s">
        <v>20</v>
      </c>
      <c r="H19716" s="32">
        <v>9</v>
      </c>
      <c r="I19716" s="30" t="s">
        <v>21</v>
      </c>
      <c r="J19716" s="41">
        <v>45581</v>
      </c>
      <c r="K19716" s="30" t="s">
        <v>22</v>
      </c>
    </row>
    <row r="19717" spans="1:11">
      <c r="A19717" s="33" t="s">
        <v>43878</v>
      </c>
      <c r="B19717" s="33" t="s">
        <v>43879</v>
      </c>
      <c r="C19717" s="33" t="s">
        <v>11899</v>
      </c>
      <c r="D19717" s="33" t="s">
        <v>17</v>
      </c>
      <c r="E19717" s="33" t="s">
        <v>18</v>
      </c>
      <c r="F19717" s="33" t="s">
        <v>19</v>
      </c>
      <c r="G19717" s="33" t="s">
        <v>140</v>
      </c>
      <c r="H19717" s="35">
        <v>590</v>
      </c>
      <c r="I19717" s="33" t="s">
        <v>51</v>
      </c>
      <c r="J19717" s="42">
        <v>45593</v>
      </c>
      <c r="K19717" s="33" t="s">
        <v>22</v>
      </c>
    </row>
    <row r="19718" spans="1:11">
      <c r="A19718" s="30" t="s">
        <v>43880</v>
      </c>
      <c r="B19718" s="30" t="s">
        <v>43881</v>
      </c>
      <c r="C19718" s="30" t="s">
        <v>40436</v>
      </c>
      <c r="D19718" s="30" t="s">
        <v>17</v>
      </c>
      <c r="E19718" s="30" t="s">
        <v>31</v>
      </c>
      <c r="F19718" s="30" t="s">
        <v>32</v>
      </c>
      <c r="G19718" s="30" t="s">
        <v>20</v>
      </c>
      <c r="H19718" s="32">
        <v>40</v>
      </c>
      <c r="I19718" s="30" t="s">
        <v>21</v>
      </c>
      <c r="J19718" s="41">
        <v>45545</v>
      </c>
      <c r="K19718" s="30" t="s">
        <v>22</v>
      </c>
    </row>
    <row r="19719" spans="1:11">
      <c r="A19719" s="33" t="s">
        <v>43882</v>
      </c>
      <c r="B19719" s="33" t="s">
        <v>43883</v>
      </c>
      <c r="C19719" s="33" t="s">
        <v>647</v>
      </c>
      <c r="D19719" s="33" t="s">
        <v>17</v>
      </c>
      <c r="E19719" s="33" t="s">
        <v>67</v>
      </c>
      <c r="F19719" s="33" t="s">
        <v>68</v>
      </c>
      <c r="G19719" s="33" t="s">
        <v>158</v>
      </c>
      <c r="H19719" s="35">
        <v>38</v>
      </c>
      <c r="I19719" s="33" t="s">
        <v>51</v>
      </c>
      <c r="J19719" s="42">
        <v>45490</v>
      </c>
      <c r="K19719" s="33" t="s">
        <v>22</v>
      </c>
    </row>
    <row r="19720" spans="1:11">
      <c r="A19720" s="30" t="s">
        <v>43884</v>
      </c>
      <c r="B19720" s="30" t="s">
        <v>43885</v>
      </c>
      <c r="C19720" s="30" t="s">
        <v>647</v>
      </c>
      <c r="D19720" s="30" t="s">
        <v>17</v>
      </c>
      <c r="E19720" s="30" t="s">
        <v>67</v>
      </c>
      <c r="F19720" s="30" t="s">
        <v>68</v>
      </c>
      <c r="G19720" s="30" t="s">
        <v>140</v>
      </c>
      <c r="H19720" s="32">
        <v>220</v>
      </c>
      <c r="I19720" s="30" t="s">
        <v>51</v>
      </c>
      <c r="J19720" s="41">
        <v>45463</v>
      </c>
      <c r="K19720" s="30" t="s">
        <v>22</v>
      </c>
    </row>
    <row r="19721" spans="1:11">
      <c r="A19721" s="33" t="s">
        <v>43886</v>
      </c>
      <c r="B19721" s="33" t="s">
        <v>43887</v>
      </c>
      <c r="C19721" s="33" t="s">
        <v>2500</v>
      </c>
      <c r="D19721" s="33" t="s">
        <v>17</v>
      </c>
      <c r="E19721" s="33" t="s">
        <v>67</v>
      </c>
      <c r="F19721" s="33" t="s">
        <v>68</v>
      </c>
      <c r="G19721" s="33" t="s">
        <v>140</v>
      </c>
      <c r="H19721" s="35">
        <v>25</v>
      </c>
      <c r="I19721" s="33" t="s">
        <v>51</v>
      </c>
      <c r="J19721" s="42">
        <v>45644</v>
      </c>
      <c r="K19721" s="33" t="s">
        <v>22</v>
      </c>
    </row>
    <row r="19722" spans="1:11">
      <c r="A19722" s="30" t="s">
        <v>43888</v>
      </c>
      <c r="B19722" s="30" t="s">
        <v>43889</v>
      </c>
      <c r="C19722" s="30" t="s">
        <v>3655</v>
      </c>
      <c r="D19722" s="30" t="s">
        <v>17</v>
      </c>
      <c r="E19722" s="30" t="s">
        <v>31</v>
      </c>
      <c r="F19722" s="30" t="s">
        <v>32</v>
      </c>
      <c r="G19722" s="30" t="s">
        <v>158</v>
      </c>
      <c r="H19722" s="32">
        <v>83</v>
      </c>
      <c r="I19722" s="30" t="s">
        <v>21</v>
      </c>
      <c r="J19722" s="41">
        <v>45530</v>
      </c>
      <c r="K19722" s="30" t="s">
        <v>22</v>
      </c>
    </row>
    <row r="19723" spans="1:11">
      <c r="A19723" s="33" t="s">
        <v>43890</v>
      </c>
      <c r="B19723" s="33" t="s">
        <v>24308</v>
      </c>
      <c r="C19723" s="33" t="s">
        <v>16002</v>
      </c>
      <c r="D19723" s="33" t="s">
        <v>17</v>
      </c>
      <c r="E19723" s="33" t="s">
        <v>26</v>
      </c>
      <c r="F19723" s="33" t="s">
        <v>27</v>
      </c>
      <c r="G19723" s="33" t="s">
        <v>50</v>
      </c>
      <c r="H19723" s="35">
        <v>50</v>
      </c>
      <c r="I19723" s="33" t="s">
        <v>51</v>
      </c>
      <c r="J19723" s="42">
        <v>45626</v>
      </c>
      <c r="K19723" s="33" t="s">
        <v>22</v>
      </c>
    </row>
    <row r="19724" spans="1:11">
      <c r="A19724" s="30" t="s">
        <v>43891</v>
      </c>
      <c r="B19724" s="30" t="s">
        <v>43892</v>
      </c>
      <c r="C19724" s="30" t="s">
        <v>6442</v>
      </c>
      <c r="D19724" s="30" t="s">
        <v>17</v>
      </c>
      <c r="E19724" s="30" t="s">
        <v>26</v>
      </c>
      <c r="F19724" s="30" t="s">
        <v>27</v>
      </c>
      <c r="G19724" s="30" t="s">
        <v>106</v>
      </c>
      <c r="H19724" s="32">
        <v>9</v>
      </c>
      <c r="I19724" s="30" t="s">
        <v>21</v>
      </c>
      <c r="J19724" s="41">
        <v>45582</v>
      </c>
      <c r="K19724" s="30" t="s">
        <v>22</v>
      </c>
    </row>
    <row r="19725" spans="1:11">
      <c r="A19725" s="33" t="s">
        <v>43893</v>
      </c>
      <c r="B19725" s="33" t="s">
        <v>43894</v>
      </c>
      <c r="C19725" s="33" t="s">
        <v>969</v>
      </c>
      <c r="D19725" s="33" t="s">
        <v>17</v>
      </c>
      <c r="E19725" s="33" t="s">
        <v>67</v>
      </c>
      <c r="F19725" s="33" t="s">
        <v>68</v>
      </c>
      <c r="G19725" s="33" t="s">
        <v>140</v>
      </c>
      <c r="H19725" s="35">
        <v>448</v>
      </c>
      <c r="I19725" s="33" t="s">
        <v>51</v>
      </c>
      <c r="J19725" s="42">
        <v>45615</v>
      </c>
      <c r="K19725" s="33" t="s">
        <v>22</v>
      </c>
    </row>
    <row r="19726" spans="1:11">
      <c r="A19726" s="30" t="s">
        <v>43895</v>
      </c>
      <c r="B19726" s="30" t="s">
        <v>43896</v>
      </c>
      <c r="C19726" s="30" t="s">
        <v>25186</v>
      </c>
      <c r="D19726" s="30" t="s">
        <v>17</v>
      </c>
      <c r="E19726" s="30" t="s">
        <v>26</v>
      </c>
      <c r="F19726" s="30" t="s">
        <v>27</v>
      </c>
      <c r="G19726" s="30" t="s">
        <v>7780</v>
      </c>
      <c r="H19726" s="32">
        <v>72</v>
      </c>
      <c r="I19726" s="30" t="s">
        <v>51</v>
      </c>
      <c r="J19726" s="41">
        <v>45501</v>
      </c>
      <c r="K19726" s="30" t="s">
        <v>22</v>
      </c>
    </row>
    <row r="19727" spans="1:11">
      <c r="A19727" s="33" t="s">
        <v>43897</v>
      </c>
      <c r="B19727" s="33" t="s">
        <v>43898</v>
      </c>
      <c r="C19727" s="33" t="s">
        <v>43899</v>
      </c>
      <c r="D19727" s="33" t="s">
        <v>17</v>
      </c>
      <c r="E19727" s="33" t="s">
        <v>18</v>
      </c>
      <c r="F19727" s="33" t="s">
        <v>19</v>
      </c>
      <c r="G19727" s="33" t="s">
        <v>20</v>
      </c>
      <c r="H19727" s="35">
        <v>40</v>
      </c>
      <c r="I19727" s="33" t="s">
        <v>21</v>
      </c>
      <c r="J19727" s="42">
        <v>45366</v>
      </c>
      <c r="K19727" s="33" t="s">
        <v>22</v>
      </c>
    </row>
    <row r="19728" spans="1:11">
      <c r="A19728" s="30" t="s">
        <v>43900</v>
      </c>
      <c r="B19728" s="30" t="s">
        <v>43901</v>
      </c>
      <c r="C19728" s="30" t="s">
        <v>43902</v>
      </c>
      <c r="D19728" s="30" t="s">
        <v>17</v>
      </c>
      <c r="E19728" s="30" t="s">
        <v>26</v>
      </c>
      <c r="F19728" s="30" t="s">
        <v>27</v>
      </c>
      <c r="G19728" s="30" t="s">
        <v>140</v>
      </c>
      <c r="H19728" s="32">
        <v>50</v>
      </c>
      <c r="I19728" s="30" t="s">
        <v>51</v>
      </c>
      <c r="J19728" s="41">
        <v>45656</v>
      </c>
      <c r="K19728" s="30" t="s">
        <v>22</v>
      </c>
    </row>
    <row r="19729" spans="1:11">
      <c r="A19729" s="33" t="s">
        <v>43903</v>
      </c>
      <c r="B19729" s="33" t="s">
        <v>43904</v>
      </c>
      <c r="C19729" s="33" t="s">
        <v>130</v>
      </c>
      <c r="D19729" s="33" t="s">
        <v>17</v>
      </c>
      <c r="E19729" s="33" t="s">
        <v>31</v>
      </c>
      <c r="F19729" s="33" t="s">
        <v>32</v>
      </c>
      <c r="G19729" s="33" t="s">
        <v>158</v>
      </c>
      <c r="H19729" s="35">
        <v>130</v>
      </c>
      <c r="I19729" s="33" t="s">
        <v>21</v>
      </c>
      <c r="J19729" s="42">
        <v>45576</v>
      </c>
      <c r="K19729" s="33" t="s">
        <v>22</v>
      </c>
    </row>
    <row r="19730" spans="1:11">
      <c r="A19730" s="30" t="s">
        <v>43905</v>
      </c>
      <c r="B19730" s="30" t="s">
        <v>43906</v>
      </c>
      <c r="C19730" s="30" t="s">
        <v>136</v>
      </c>
      <c r="D19730" s="30" t="s">
        <v>17</v>
      </c>
      <c r="E19730" s="30" t="s">
        <v>18</v>
      </c>
      <c r="F19730" s="30" t="s">
        <v>19</v>
      </c>
      <c r="G19730" s="30" t="s">
        <v>140</v>
      </c>
      <c r="H19730" s="32">
        <v>510</v>
      </c>
      <c r="I19730" s="30" t="s">
        <v>51</v>
      </c>
      <c r="J19730" s="41">
        <v>45411</v>
      </c>
      <c r="K19730" s="30" t="s">
        <v>22</v>
      </c>
    </row>
    <row r="19731" spans="1:11">
      <c r="A19731" s="33" t="s">
        <v>43907</v>
      </c>
      <c r="B19731" s="33" t="s">
        <v>43908</v>
      </c>
      <c r="C19731" s="33" t="s">
        <v>1003</v>
      </c>
      <c r="D19731" s="33" t="s">
        <v>17</v>
      </c>
      <c r="E19731" s="33" t="s">
        <v>31</v>
      </c>
      <c r="F19731" s="33" t="s">
        <v>32</v>
      </c>
      <c r="G19731" s="33" t="s">
        <v>50</v>
      </c>
      <c r="H19731" s="35">
        <v>120</v>
      </c>
      <c r="I19731" s="33" t="s">
        <v>51</v>
      </c>
      <c r="J19731" s="42">
        <v>45383</v>
      </c>
      <c r="K19731" s="33" t="s">
        <v>22</v>
      </c>
    </row>
    <row r="19732" spans="1:11">
      <c r="A19732" s="30" t="s">
        <v>43909</v>
      </c>
      <c r="B19732" s="30" t="s">
        <v>43910</v>
      </c>
      <c r="C19732" s="30" t="s">
        <v>9443</v>
      </c>
      <c r="D19732" s="30" t="s">
        <v>17</v>
      </c>
      <c r="E19732" s="30" t="s">
        <v>45</v>
      </c>
      <c r="F19732" s="30" t="s">
        <v>46</v>
      </c>
      <c r="G19732" s="30" t="s">
        <v>20</v>
      </c>
      <c r="H19732" s="32">
        <v>155</v>
      </c>
      <c r="I19732" s="30" t="s">
        <v>21</v>
      </c>
      <c r="J19732" s="41">
        <v>45439</v>
      </c>
      <c r="K19732" s="30" t="s">
        <v>22</v>
      </c>
    </row>
    <row r="19733" spans="1:11">
      <c r="A19733" s="33" t="s">
        <v>43911</v>
      </c>
      <c r="B19733" s="33" t="s">
        <v>43912</v>
      </c>
      <c r="C19733" s="33" t="s">
        <v>6955</v>
      </c>
      <c r="D19733" s="33" t="s">
        <v>17</v>
      </c>
      <c r="E19733" s="33" t="s">
        <v>212</v>
      </c>
      <c r="F19733" s="33" t="s">
        <v>213</v>
      </c>
      <c r="G19733" s="33" t="s">
        <v>20</v>
      </c>
      <c r="H19733" s="35">
        <v>244</v>
      </c>
      <c r="I19733" s="33" t="s">
        <v>21</v>
      </c>
      <c r="J19733" s="42">
        <v>45630</v>
      </c>
      <c r="K19733" s="33" t="s">
        <v>22</v>
      </c>
    </row>
    <row r="19734" spans="1:11">
      <c r="A19734" s="30" t="s">
        <v>43913</v>
      </c>
      <c r="B19734" s="30" t="s">
        <v>43914</v>
      </c>
      <c r="C19734" s="30" t="s">
        <v>136</v>
      </c>
      <c r="D19734" s="30" t="s">
        <v>17</v>
      </c>
      <c r="E19734" s="30" t="s">
        <v>18</v>
      </c>
      <c r="F19734" s="30" t="s">
        <v>19</v>
      </c>
      <c r="G19734" s="30" t="s">
        <v>158</v>
      </c>
      <c r="H19734" s="32">
        <v>600</v>
      </c>
      <c r="I19734" s="30" t="s">
        <v>51</v>
      </c>
      <c r="J19734" s="41">
        <v>45587</v>
      </c>
      <c r="K19734" s="30" t="s">
        <v>22</v>
      </c>
    </row>
    <row r="19735" spans="1:11">
      <c r="A19735" s="33" t="s">
        <v>43915</v>
      </c>
      <c r="B19735" s="33" t="s">
        <v>43916</v>
      </c>
      <c r="C19735" s="33" t="s">
        <v>109</v>
      </c>
      <c r="D19735" s="33" t="s">
        <v>17</v>
      </c>
      <c r="E19735" s="33" t="s">
        <v>26</v>
      </c>
      <c r="F19735" s="33" t="s">
        <v>27</v>
      </c>
      <c r="G19735" s="33" t="s">
        <v>158</v>
      </c>
      <c r="H19735" s="35">
        <v>54</v>
      </c>
      <c r="I19735" s="33" t="s">
        <v>51</v>
      </c>
      <c r="J19735" s="42">
        <v>45573</v>
      </c>
      <c r="K19735" s="33" t="s">
        <v>22</v>
      </c>
    </row>
    <row r="19736" spans="1:11">
      <c r="A19736" s="30" t="s">
        <v>43917</v>
      </c>
      <c r="B19736" s="30" t="s">
        <v>43918</v>
      </c>
      <c r="C19736" s="30" t="s">
        <v>4348</v>
      </c>
      <c r="D19736" s="30" t="s">
        <v>17</v>
      </c>
      <c r="E19736" s="30" t="s">
        <v>18</v>
      </c>
      <c r="F19736" s="30" t="s">
        <v>19</v>
      </c>
      <c r="G19736" s="30" t="s">
        <v>158</v>
      </c>
      <c r="H19736" s="32">
        <v>418</v>
      </c>
      <c r="I19736" s="30" t="s">
        <v>21</v>
      </c>
      <c r="J19736" s="41">
        <v>45464</v>
      </c>
      <c r="K19736" s="30" t="s">
        <v>22</v>
      </c>
    </row>
    <row r="19737" spans="1:11">
      <c r="A19737" s="33" t="s">
        <v>43919</v>
      </c>
      <c r="B19737" s="33" t="s">
        <v>43920</v>
      </c>
      <c r="C19737" s="33" t="s">
        <v>157</v>
      </c>
      <c r="D19737" s="33" t="s">
        <v>17</v>
      </c>
      <c r="E19737" s="33" t="s">
        <v>31</v>
      </c>
      <c r="F19737" s="33" t="s">
        <v>32</v>
      </c>
      <c r="G19737" s="33" t="s">
        <v>140</v>
      </c>
      <c r="H19737" s="35">
        <v>268</v>
      </c>
      <c r="I19737" s="33" t="s">
        <v>51</v>
      </c>
      <c r="J19737" s="42">
        <v>45356</v>
      </c>
      <c r="K19737" s="33" t="s">
        <v>22</v>
      </c>
    </row>
    <row r="19738" spans="1:11">
      <c r="A19738" s="30" t="s">
        <v>43921</v>
      </c>
      <c r="B19738" s="30" t="s">
        <v>43922</v>
      </c>
      <c r="C19738" s="30" t="s">
        <v>38028</v>
      </c>
      <c r="D19738" s="30" t="s">
        <v>17</v>
      </c>
      <c r="E19738" s="30" t="s">
        <v>212</v>
      </c>
      <c r="F19738" s="30" t="s">
        <v>213</v>
      </c>
      <c r="G19738" s="30" t="s">
        <v>20</v>
      </c>
      <c r="H19738" s="32">
        <v>408</v>
      </c>
      <c r="I19738" s="30" t="s">
        <v>21</v>
      </c>
      <c r="J19738" s="41">
        <v>45353</v>
      </c>
      <c r="K19738" s="30" t="s">
        <v>22</v>
      </c>
    </row>
    <row r="19739" spans="1:11">
      <c r="A19739" s="33" t="s">
        <v>43923</v>
      </c>
      <c r="B19739" s="33" t="s">
        <v>43924</v>
      </c>
      <c r="C19739" s="33" t="s">
        <v>21340</v>
      </c>
      <c r="D19739" s="33" t="s">
        <v>17</v>
      </c>
      <c r="E19739" s="33" t="s">
        <v>26</v>
      </c>
      <c r="F19739" s="33" t="s">
        <v>27</v>
      </c>
      <c r="G19739" s="33" t="s">
        <v>140</v>
      </c>
      <c r="H19739" s="35">
        <v>36</v>
      </c>
      <c r="I19739" s="33" t="s">
        <v>51</v>
      </c>
      <c r="J19739" s="42">
        <v>45506</v>
      </c>
      <c r="K19739" s="33" t="s">
        <v>22</v>
      </c>
    </row>
    <row r="19740" spans="1:11">
      <c r="A19740" s="30" t="s">
        <v>43925</v>
      </c>
      <c r="B19740" s="30" t="s">
        <v>43926</v>
      </c>
      <c r="C19740" s="30" t="s">
        <v>647</v>
      </c>
      <c r="D19740" s="30" t="s">
        <v>17</v>
      </c>
      <c r="E19740" s="30" t="s">
        <v>67</v>
      </c>
      <c r="F19740" s="30" t="s">
        <v>68</v>
      </c>
      <c r="G19740" s="30" t="s">
        <v>158</v>
      </c>
      <c r="H19740" s="32">
        <v>230</v>
      </c>
      <c r="I19740" s="30" t="s">
        <v>51</v>
      </c>
      <c r="J19740" s="41">
        <v>45379</v>
      </c>
      <c r="K19740" s="30" t="s">
        <v>22</v>
      </c>
    </row>
    <row r="19741" spans="1:11">
      <c r="A19741" s="33" t="s">
        <v>43927</v>
      </c>
      <c r="B19741" s="33" t="s">
        <v>43928</v>
      </c>
      <c r="C19741" s="33" t="s">
        <v>310</v>
      </c>
      <c r="D19741" s="33" t="s">
        <v>17</v>
      </c>
      <c r="E19741" s="33" t="s">
        <v>26</v>
      </c>
      <c r="F19741" s="33" t="s">
        <v>27</v>
      </c>
      <c r="G19741" s="33" t="s">
        <v>20</v>
      </c>
      <c r="H19741" s="35">
        <v>73</v>
      </c>
      <c r="I19741" s="33" t="s">
        <v>21</v>
      </c>
      <c r="J19741" s="42">
        <v>45513</v>
      </c>
      <c r="K19741" s="33" t="s">
        <v>22</v>
      </c>
    </row>
    <row r="19742" spans="1:11">
      <c r="A19742" s="30" t="s">
        <v>43929</v>
      </c>
      <c r="B19742" s="30" t="s">
        <v>43930</v>
      </c>
      <c r="C19742" s="30" t="s">
        <v>10425</v>
      </c>
      <c r="D19742" s="30" t="s">
        <v>17</v>
      </c>
      <c r="E19742" s="30" t="s">
        <v>26</v>
      </c>
      <c r="F19742" s="30" t="s">
        <v>27</v>
      </c>
      <c r="G19742" s="30" t="s">
        <v>106</v>
      </c>
      <c r="H19742" s="32">
        <v>4</v>
      </c>
      <c r="I19742" s="30" t="s">
        <v>21</v>
      </c>
      <c r="J19742" s="41">
        <v>45462</v>
      </c>
      <c r="K19742" s="30" t="s">
        <v>22</v>
      </c>
    </row>
    <row r="19743" spans="1:11">
      <c r="A19743" s="33" t="s">
        <v>43931</v>
      </c>
      <c r="B19743" s="33" t="s">
        <v>43932</v>
      </c>
      <c r="C19743" s="33" t="s">
        <v>44</v>
      </c>
      <c r="D19743" s="33" t="s">
        <v>17</v>
      </c>
      <c r="E19743" s="33" t="s">
        <v>31</v>
      </c>
      <c r="F19743" s="33" t="s">
        <v>32</v>
      </c>
      <c r="G19743" s="33" t="s">
        <v>106</v>
      </c>
      <c r="H19743" s="35">
        <v>89</v>
      </c>
      <c r="I19743" s="33" t="s">
        <v>21</v>
      </c>
      <c r="J19743" s="42">
        <v>45393</v>
      </c>
      <c r="K19743" s="33" t="s">
        <v>22</v>
      </c>
    </row>
    <row r="19744" spans="1:11">
      <c r="A19744" s="30" t="s">
        <v>43933</v>
      </c>
      <c r="B19744" s="30" t="s">
        <v>43934</v>
      </c>
      <c r="C19744" s="30" t="s">
        <v>310</v>
      </c>
      <c r="D19744" s="30" t="s">
        <v>17</v>
      </c>
      <c r="E19744" s="30" t="s">
        <v>26</v>
      </c>
      <c r="F19744" s="30" t="s">
        <v>27</v>
      </c>
      <c r="G19744" s="30" t="s">
        <v>20</v>
      </c>
      <c r="H19744" s="32">
        <v>100</v>
      </c>
      <c r="I19744" s="30" t="s">
        <v>21</v>
      </c>
      <c r="J19744" s="41">
        <v>45644</v>
      </c>
      <c r="K19744" s="30" t="s">
        <v>22</v>
      </c>
    </row>
    <row r="19745" spans="1:11">
      <c r="A19745" s="33" t="s">
        <v>43935</v>
      </c>
      <c r="B19745" s="33" t="s">
        <v>43936</v>
      </c>
      <c r="C19745" s="33" t="s">
        <v>20773</v>
      </c>
      <c r="D19745" s="33" t="s">
        <v>17</v>
      </c>
      <c r="E19745" s="33" t="s">
        <v>18</v>
      </c>
      <c r="F19745" s="33" t="s">
        <v>19</v>
      </c>
      <c r="G19745" s="33" t="s">
        <v>140</v>
      </c>
      <c r="H19745" s="35">
        <v>66</v>
      </c>
      <c r="I19745" s="33" t="s">
        <v>51</v>
      </c>
      <c r="J19745" s="42">
        <v>45534</v>
      </c>
      <c r="K19745" s="33" t="s">
        <v>22</v>
      </c>
    </row>
    <row r="19746" spans="1:11">
      <c r="A19746" s="30" t="s">
        <v>43937</v>
      </c>
      <c r="B19746" s="30" t="s">
        <v>43938</v>
      </c>
      <c r="C19746" s="30" t="s">
        <v>1775</v>
      </c>
      <c r="D19746" s="30" t="s">
        <v>17</v>
      </c>
      <c r="E19746" s="30" t="s">
        <v>26</v>
      </c>
      <c r="F19746" s="30" t="s">
        <v>27</v>
      </c>
      <c r="G19746" s="30" t="s">
        <v>20</v>
      </c>
      <c r="H19746" s="32">
        <v>100</v>
      </c>
      <c r="I19746" s="30" t="s">
        <v>21</v>
      </c>
      <c r="J19746" s="41">
        <v>45646</v>
      </c>
      <c r="K19746" s="30" t="s">
        <v>22</v>
      </c>
    </row>
    <row r="19747" spans="1:11">
      <c r="A19747" s="33" t="s">
        <v>43939</v>
      </c>
      <c r="B19747" s="33" t="s">
        <v>43940</v>
      </c>
      <c r="C19747" s="33" t="s">
        <v>7072</v>
      </c>
      <c r="D19747" s="33" t="s">
        <v>17</v>
      </c>
      <c r="E19747" s="33" t="s">
        <v>26</v>
      </c>
      <c r="F19747" s="33" t="s">
        <v>27</v>
      </c>
      <c r="G19747" s="33" t="s">
        <v>140</v>
      </c>
      <c r="H19747" s="35">
        <v>150</v>
      </c>
      <c r="I19747" s="33" t="s">
        <v>51</v>
      </c>
      <c r="J19747" s="42">
        <v>45477</v>
      </c>
      <c r="K19747" s="33" t="s">
        <v>22</v>
      </c>
    </row>
    <row r="19748" spans="1:11">
      <c r="A19748" s="30" t="s">
        <v>43941</v>
      </c>
      <c r="B19748" s="30" t="s">
        <v>43942</v>
      </c>
      <c r="C19748" s="30" t="s">
        <v>450</v>
      </c>
      <c r="D19748" s="30" t="s">
        <v>17</v>
      </c>
      <c r="E19748" s="30" t="s">
        <v>18</v>
      </c>
      <c r="F19748" s="30" t="s">
        <v>19</v>
      </c>
      <c r="G19748" s="30" t="s">
        <v>158</v>
      </c>
      <c r="H19748" s="32">
        <v>1181</v>
      </c>
      <c r="I19748" s="30" t="s">
        <v>21</v>
      </c>
      <c r="J19748" s="41">
        <v>45302</v>
      </c>
      <c r="K19748" s="30" t="s">
        <v>22</v>
      </c>
    </row>
    <row r="19749" spans="1:11">
      <c r="A19749" s="33" t="s">
        <v>43943</v>
      </c>
      <c r="B19749" s="33" t="s">
        <v>43944</v>
      </c>
      <c r="C19749" s="33" t="s">
        <v>154</v>
      </c>
      <c r="D19749" s="33" t="s">
        <v>17</v>
      </c>
      <c r="E19749" s="33" t="s">
        <v>26</v>
      </c>
      <c r="F19749" s="33" t="s">
        <v>27</v>
      </c>
      <c r="G19749" s="33" t="s">
        <v>158</v>
      </c>
      <c r="H19749" s="35">
        <v>103</v>
      </c>
      <c r="I19749" s="33" t="s">
        <v>21</v>
      </c>
      <c r="J19749" s="42">
        <v>45362</v>
      </c>
      <c r="K19749" s="33" t="s">
        <v>22</v>
      </c>
    </row>
    <row r="19750" spans="1:11">
      <c r="A19750" s="30" t="s">
        <v>43945</v>
      </c>
      <c r="B19750" s="30" t="s">
        <v>43946</v>
      </c>
      <c r="C19750" s="30" t="s">
        <v>130</v>
      </c>
      <c r="D19750" s="30" t="s">
        <v>17</v>
      </c>
      <c r="E19750" s="30" t="s">
        <v>26</v>
      </c>
      <c r="F19750" s="30" t="s">
        <v>27</v>
      </c>
      <c r="G19750" s="30" t="s">
        <v>20</v>
      </c>
      <c r="H19750" s="32">
        <v>24</v>
      </c>
      <c r="I19750" s="30" t="s">
        <v>21</v>
      </c>
      <c r="J19750" s="41">
        <v>45377</v>
      </c>
      <c r="K19750" s="30" t="s">
        <v>22</v>
      </c>
    </row>
    <row r="19751" spans="1:11">
      <c r="A19751" s="33" t="s">
        <v>43947</v>
      </c>
      <c r="B19751" s="33" t="s">
        <v>43948</v>
      </c>
      <c r="C19751" s="33" t="s">
        <v>72</v>
      </c>
      <c r="D19751" s="33" t="s">
        <v>17</v>
      </c>
      <c r="E19751" s="33" t="s">
        <v>26</v>
      </c>
      <c r="F19751" s="33" t="s">
        <v>27</v>
      </c>
      <c r="G19751" s="33" t="s">
        <v>20</v>
      </c>
      <c r="H19751" s="35">
        <v>40</v>
      </c>
      <c r="I19751" s="33" t="s">
        <v>21</v>
      </c>
      <c r="J19751" s="42">
        <v>45464</v>
      </c>
      <c r="K19751" s="33" t="s">
        <v>22</v>
      </c>
    </row>
    <row r="19752" spans="1:11">
      <c r="A19752" s="30" t="s">
        <v>43949</v>
      </c>
      <c r="B19752" s="30" t="s">
        <v>43950</v>
      </c>
      <c r="C19752" s="30" t="s">
        <v>124</v>
      </c>
      <c r="D19752" s="30" t="s">
        <v>17</v>
      </c>
      <c r="E19752" s="30" t="s">
        <v>18</v>
      </c>
      <c r="F19752" s="30" t="s">
        <v>19</v>
      </c>
      <c r="G19752" s="30" t="s">
        <v>20</v>
      </c>
      <c r="H19752" s="32">
        <v>190</v>
      </c>
      <c r="I19752" s="30" t="s">
        <v>21</v>
      </c>
      <c r="J19752" s="41">
        <v>45389</v>
      </c>
      <c r="K19752" s="30" t="s">
        <v>22</v>
      </c>
    </row>
    <row r="19753" spans="1:11">
      <c r="A19753" s="33" t="s">
        <v>43951</v>
      </c>
      <c r="B19753" s="33" t="s">
        <v>43952</v>
      </c>
      <c r="C19753" s="33" t="s">
        <v>3610</v>
      </c>
      <c r="D19753" s="33" t="s">
        <v>17</v>
      </c>
      <c r="E19753" s="33" t="s">
        <v>26</v>
      </c>
      <c r="F19753" s="33" t="s">
        <v>27</v>
      </c>
      <c r="G19753" s="33" t="s">
        <v>20</v>
      </c>
      <c r="H19753" s="35">
        <v>84</v>
      </c>
      <c r="I19753" s="33" t="s">
        <v>21</v>
      </c>
      <c r="J19753" s="42">
        <v>45495</v>
      </c>
      <c r="K19753" s="33" t="s">
        <v>22</v>
      </c>
    </row>
    <row r="19754" spans="1:11">
      <c r="A19754" s="30" t="s">
        <v>43953</v>
      </c>
      <c r="B19754" s="30" t="s">
        <v>43954</v>
      </c>
      <c r="C19754" s="30" t="s">
        <v>1267</v>
      </c>
      <c r="D19754" s="30" t="s">
        <v>17</v>
      </c>
      <c r="E19754" s="30" t="s">
        <v>26</v>
      </c>
      <c r="F19754" s="30" t="s">
        <v>27</v>
      </c>
      <c r="G19754" s="30" t="s">
        <v>158</v>
      </c>
      <c r="H19754" s="32">
        <v>91</v>
      </c>
      <c r="I19754" s="30" t="s">
        <v>51</v>
      </c>
      <c r="J19754" s="41">
        <v>45310</v>
      </c>
      <c r="K19754" s="30" t="s">
        <v>22</v>
      </c>
    </row>
    <row r="19755" spans="1:11">
      <c r="A19755" s="33" t="s">
        <v>43955</v>
      </c>
      <c r="B19755" s="33" t="s">
        <v>43956</v>
      </c>
      <c r="C19755" s="33" t="s">
        <v>969</v>
      </c>
      <c r="D19755" s="33" t="s">
        <v>17</v>
      </c>
      <c r="E19755" s="33" t="s">
        <v>67</v>
      </c>
      <c r="F19755" s="33" t="s">
        <v>68</v>
      </c>
      <c r="G19755" s="33" t="s">
        <v>20</v>
      </c>
      <c r="H19755" s="35">
        <v>991</v>
      </c>
      <c r="I19755" s="33" t="s">
        <v>21</v>
      </c>
      <c r="J19755" s="42">
        <v>45400</v>
      </c>
      <c r="K19755" s="33" t="s">
        <v>22</v>
      </c>
    </row>
    <row r="19756" spans="1:11">
      <c r="A19756" s="30" t="s">
        <v>43957</v>
      </c>
      <c r="B19756" s="30" t="s">
        <v>43958</v>
      </c>
      <c r="C19756" s="30" t="s">
        <v>1727</v>
      </c>
      <c r="D19756" s="30" t="s">
        <v>17</v>
      </c>
      <c r="E19756" s="30" t="s">
        <v>26</v>
      </c>
      <c r="F19756" s="30" t="s">
        <v>27</v>
      </c>
      <c r="G19756" s="30" t="s">
        <v>140</v>
      </c>
      <c r="H19756" s="32">
        <v>12</v>
      </c>
      <c r="I19756" s="30" t="s">
        <v>51</v>
      </c>
      <c r="J19756" s="41">
        <v>45527</v>
      </c>
      <c r="K19756" s="30" t="s">
        <v>22</v>
      </c>
    </row>
    <row r="19757" spans="1:11">
      <c r="A19757" s="33" t="s">
        <v>43959</v>
      </c>
      <c r="B19757" s="33" t="s">
        <v>43960</v>
      </c>
      <c r="C19757" s="33" t="s">
        <v>13986</v>
      </c>
      <c r="D19757" s="33" t="s">
        <v>17</v>
      </c>
      <c r="E19757" s="33" t="s">
        <v>26</v>
      </c>
      <c r="F19757" s="33" t="s">
        <v>27</v>
      </c>
      <c r="G19757" s="33" t="s">
        <v>2613</v>
      </c>
      <c r="H19757" s="35">
        <v>12</v>
      </c>
      <c r="I19757" s="33" t="s">
        <v>51</v>
      </c>
      <c r="J19757" s="42">
        <v>45292</v>
      </c>
      <c r="K19757" s="33" t="s">
        <v>22</v>
      </c>
    </row>
    <row r="19758" spans="1:11">
      <c r="A19758" s="30" t="s">
        <v>43961</v>
      </c>
      <c r="B19758" s="30" t="s">
        <v>43962</v>
      </c>
      <c r="C19758" s="30" t="s">
        <v>3775</v>
      </c>
      <c r="D19758" s="30" t="s">
        <v>17</v>
      </c>
      <c r="E19758" s="30" t="s">
        <v>26</v>
      </c>
      <c r="F19758" s="30" t="s">
        <v>27</v>
      </c>
      <c r="G19758" s="30" t="s">
        <v>20</v>
      </c>
      <c r="H19758" s="32">
        <v>40</v>
      </c>
      <c r="I19758" s="30" t="s">
        <v>21</v>
      </c>
      <c r="J19758" s="41">
        <v>45601</v>
      </c>
      <c r="K19758" s="30" t="s">
        <v>22</v>
      </c>
    </row>
    <row r="19759" spans="1:11">
      <c r="A19759" s="33" t="s">
        <v>43963</v>
      </c>
      <c r="B19759" s="33" t="s">
        <v>43964</v>
      </c>
      <c r="C19759" s="33" t="s">
        <v>44</v>
      </c>
      <c r="D19759" s="33" t="s">
        <v>17</v>
      </c>
      <c r="E19759" s="33" t="s">
        <v>18</v>
      </c>
      <c r="F19759" s="33" t="s">
        <v>19</v>
      </c>
      <c r="G19759" s="33" t="s">
        <v>158</v>
      </c>
      <c r="H19759" s="35">
        <v>1118</v>
      </c>
      <c r="I19759" s="33" t="s">
        <v>21</v>
      </c>
      <c r="J19759" s="42">
        <v>45497</v>
      </c>
      <c r="K19759" s="33" t="s">
        <v>22</v>
      </c>
    </row>
    <row r="19760" spans="1:11">
      <c r="A19760" s="30" t="s">
        <v>43965</v>
      </c>
      <c r="B19760" s="30" t="s">
        <v>43966</v>
      </c>
      <c r="C19760" s="30" t="s">
        <v>25007</v>
      </c>
      <c r="D19760" s="30" t="s">
        <v>17</v>
      </c>
      <c r="E19760" s="30" t="s">
        <v>67</v>
      </c>
      <c r="F19760" s="30" t="s">
        <v>68</v>
      </c>
      <c r="G19760" s="30" t="s">
        <v>106</v>
      </c>
      <c r="H19760" s="32">
        <v>23</v>
      </c>
      <c r="I19760" s="30" t="s">
        <v>21</v>
      </c>
      <c r="J19760" s="41">
        <v>45355</v>
      </c>
      <c r="K19760" s="30" t="s">
        <v>22</v>
      </c>
    </row>
    <row r="19761" spans="1:11">
      <c r="A19761" s="33" t="s">
        <v>43967</v>
      </c>
      <c r="B19761" s="33" t="s">
        <v>43968</v>
      </c>
      <c r="C19761" s="33" t="s">
        <v>43969</v>
      </c>
      <c r="D19761" s="33" t="s">
        <v>17</v>
      </c>
      <c r="E19761" s="33" t="s">
        <v>26</v>
      </c>
      <c r="F19761" s="33" t="s">
        <v>27</v>
      </c>
      <c r="G19761" s="33" t="s">
        <v>158</v>
      </c>
      <c r="H19761" s="35">
        <v>58</v>
      </c>
      <c r="I19761" s="33" t="s">
        <v>21</v>
      </c>
      <c r="J19761" s="42">
        <v>45505</v>
      </c>
      <c r="K19761" s="33" t="s">
        <v>22</v>
      </c>
    </row>
    <row r="19762" spans="1:11">
      <c r="A19762" s="30" t="s">
        <v>43970</v>
      </c>
      <c r="B19762" s="30" t="s">
        <v>43971</v>
      </c>
      <c r="C19762" s="30" t="s">
        <v>190</v>
      </c>
      <c r="D19762" s="30" t="s">
        <v>17</v>
      </c>
      <c r="E19762" s="30" t="s">
        <v>31</v>
      </c>
      <c r="F19762" s="30" t="s">
        <v>32</v>
      </c>
      <c r="G19762" s="30" t="s">
        <v>20</v>
      </c>
      <c r="H19762" s="32">
        <v>48</v>
      </c>
      <c r="I19762" s="30" t="s">
        <v>21</v>
      </c>
      <c r="J19762" s="41">
        <v>45453</v>
      </c>
      <c r="K19762" s="30" t="s">
        <v>22</v>
      </c>
    </row>
    <row r="19763" spans="1:11">
      <c r="A19763" s="33" t="s">
        <v>43972</v>
      </c>
      <c r="B19763" s="33" t="s">
        <v>43973</v>
      </c>
      <c r="C19763" s="33" t="s">
        <v>11703</v>
      </c>
      <c r="D19763" s="33" t="s">
        <v>17</v>
      </c>
      <c r="E19763" s="33" t="s">
        <v>26</v>
      </c>
      <c r="F19763" s="33" t="s">
        <v>27</v>
      </c>
      <c r="G19763" s="33" t="s">
        <v>140</v>
      </c>
      <c r="H19763" s="35">
        <v>80</v>
      </c>
      <c r="I19763" s="33" t="s">
        <v>51</v>
      </c>
      <c r="J19763" s="42">
        <v>45411</v>
      </c>
      <c r="K19763" s="33" t="s">
        <v>22</v>
      </c>
    </row>
    <row r="19764" spans="1:11">
      <c r="A19764" s="30" t="s">
        <v>43974</v>
      </c>
      <c r="B19764" s="30" t="s">
        <v>43975</v>
      </c>
      <c r="C19764" s="30" t="s">
        <v>18066</v>
      </c>
      <c r="D19764" s="30" t="s">
        <v>17</v>
      </c>
      <c r="E19764" s="30" t="s">
        <v>67</v>
      </c>
      <c r="F19764" s="30" t="s">
        <v>68</v>
      </c>
      <c r="G19764" s="30" t="s">
        <v>20</v>
      </c>
      <c r="H19764" s="32">
        <v>63</v>
      </c>
      <c r="I19764" s="30" t="s">
        <v>21</v>
      </c>
      <c r="J19764" s="41">
        <v>45474</v>
      </c>
      <c r="K19764" s="30" t="s">
        <v>22</v>
      </c>
    </row>
    <row r="19765" spans="1:11">
      <c r="A19765" s="33" t="s">
        <v>43976</v>
      </c>
      <c r="B19765" s="33" t="s">
        <v>43977</v>
      </c>
      <c r="C19765" s="33" t="s">
        <v>644</v>
      </c>
      <c r="D19765" s="33" t="s">
        <v>17</v>
      </c>
      <c r="E19765" s="33" t="s">
        <v>31</v>
      </c>
      <c r="F19765" s="33" t="s">
        <v>32</v>
      </c>
      <c r="G19765" s="33" t="s">
        <v>140</v>
      </c>
      <c r="H19765" s="35">
        <v>79</v>
      </c>
      <c r="I19765" s="33" t="s">
        <v>51</v>
      </c>
      <c r="J19765" s="42">
        <v>45411</v>
      </c>
      <c r="K19765" s="33" t="s">
        <v>22</v>
      </c>
    </row>
    <row r="19766" spans="1:11">
      <c r="A19766" s="30" t="s">
        <v>43978</v>
      </c>
      <c r="B19766" s="30" t="s">
        <v>43979</v>
      </c>
      <c r="C19766" s="30" t="s">
        <v>3514</v>
      </c>
      <c r="D19766" s="30" t="s">
        <v>17</v>
      </c>
      <c r="E19766" s="30" t="s">
        <v>26</v>
      </c>
      <c r="F19766" s="30" t="s">
        <v>27</v>
      </c>
      <c r="G19766" s="30" t="s">
        <v>20</v>
      </c>
      <c r="H19766" s="32">
        <v>10</v>
      </c>
      <c r="I19766" s="30" t="s">
        <v>21</v>
      </c>
      <c r="J19766" s="41">
        <v>45566</v>
      </c>
      <c r="K19766" s="30" t="s">
        <v>22</v>
      </c>
    </row>
    <row r="19767" spans="1:11">
      <c r="A19767" s="33" t="s">
        <v>43980</v>
      </c>
      <c r="B19767" s="33" t="s">
        <v>43981</v>
      </c>
      <c r="C19767" s="33" t="s">
        <v>109</v>
      </c>
      <c r="D19767" s="33" t="s">
        <v>17</v>
      </c>
      <c r="E19767" s="33" t="s">
        <v>31</v>
      </c>
      <c r="F19767" s="33" t="s">
        <v>32</v>
      </c>
      <c r="G19767" s="33" t="s">
        <v>20</v>
      </c>
      <c r="H19767" s="35">
        <v>60</v>
      </c>
      <c r="I19767" s="33" t="s">
        <v>21</v>
      </c>
      <c r="J19767" s="42">
        <v>45314</v>
      </c>
      <c r="K19767" s="33" t="s">
        <v>22</v>
      </c>
    </row>
    <row r="19768" spans="1:11">
      <c r="A19768" s="30" t="s">
        <v>43982</v>
      </c>
      <c r="B19768" s="30" t="s">
        <v>43983</v>
      </c>
      <c r="C19768" s="30" t="s">
        <v>43984</v>
      </c>
      <c r="D19768" s="30" t="s">
        <v>17</v>
      </c>
      <c r="E19768" s="30" t="s">
        <v>26</v>
      </c>
      <c r="F19768" s="30" t="s">
        <v>27</v>
      </c>
      <c r="G19768" s="30" t="s">
        <v>20</v>
      </c>
      <c r="H19768" s="32">
        <v>24</v>
      </c>
      <c r="I19768" s="30" t="s">
        <v>21</v>
      </c>
      <c r="J19768" s="41">
        <v>45406</v>
      </c>
      <c r="K19768" s="30" t="s">
        <v>22</v>
      </c>
    </row>
    <row r="19769" spans="1:11">
      <c r="A19769" s="33" t="s">
        <v>43985</v>
      </c>
      <c r="B19769" s="33" t="s">
        <v>43986</v>
      </c>
      <c r="C19769" s="33" t="s">
        <v>925</v>
      </c>
      <c r="D19769" s="33" t="s">
        <v>17</v>
      </c>
      <c r="E19769" s="33" t="s">
        <v>31</v>
      </c>
      <c r="F19769" s="33" t="s">
        <v>32</v>
      </c>
      <c r="G19769" s="33" t="s">
        <v>158</v>
      </c>
      <c r="H19769" s="35">
        <v>268</v>
      </c>
      <c r="I19769" s="33" t="s">
        <v>21</v>
      </c>
      <c r="J19769" s="42">
        <v>45572</v>
      </c>
      <c r="K19769" s="33" t="s">
        <v>22</v>
      </c>
    </row>
    <row r="19770" spans="1:11">
      <c r="A19770" s="30" t="s">
        <v>43987</v>
      </c>
      <c r="B19770" s="30" t="s">
        <v>43988</v>
      </c>
      <c r="C19770" s="30" t="s">
        <v>310</v>
      </c>
      <c r="D19770" s="30" t="s">
        <v>17</v>
      </c>
      <c r="E19770" s="30" t="s">
        <v>26</v>
      </c>
      <c r="F19770" s="30" t="s">
        <v>27</v>
      </c>
      <c r="G19770" s="30" t="s">
        <v>20</v>
      </c>
      <c r="H19770" s="32">
        <v>164</v>
      </c>
      <c r="I19770" s="30" t="s">
        <v>21</v>
      </c>
      <c r="J19770" s="41">
        <v>45337</v>
      </c>
      <c r="K19770" s="30" t="s">
        <v>22</v>
      </c>
    </row>
    <row r="19771" spans="1:11">
      <c r="A19771" s="33" t="s">
        <v>43989</v>
      </c>
      <c r="B19771" s="33" t="s">
        <v>43990</v>
      </c>
      <c r="C19771" s="33" t="s">
        <v>2313</v>
      </c>
      <c r="D19771" s="33" t="s">
        <v>17</v>
      </c>
      <c r="E19771" s="33" t="s">
        <v>26</v>
      </c>
      <c r="F19771" s="33" t="s">
        <v>27</v>
      </c>
      <c r="G19771" s="33" t="s">
        <v>20</v>
      </c>
      <c r="H19771" s="35">
        <v>19</v>
      </c>
      <c r="I19771" s="33" t="s">
        <v>21</v>
      </c>
      <c r="J19771" s="42">
        <v>45602</v>
      </c>
      <c r="K19771" s="33" t="s">
        <v>22</v>
      </c>
    </row>
    <row r="19772" spans="1:11">
      <c r="A19772" s="30" t="s">
        <v>43991</v>
      </c>
      <c r="B19772" s="30" t="s">
        <v>43992</v>
      </c>
      <c r="C19772" s="30" t="s">
        <v>318</v>
      </c>
      <c r="D19772" s="30" t="s">
        <v>17</v>
      </c>
      <c r="E19772" s="30" t="s">
        <v>26</v>
      </c>
      <c r="F19772" s="30" t="s">
        <v>27</v>
      </c>
      <c r="G19772" s="30" t="s">
        <v>20</v>
      </c>
      <c r="H19772" s="32">
        <v>120</v>
      </c>
      <c r="I19772" s="30" t="s">
        <v>21</v>
      </c>
      <c r="J19772" s="41">
        <v>45524</v>
      </c>
      <c r="K19772" s="30" t="s">
        <v>22</v>
      </c>
    </row>
    <row r="19773" spans="1:11">
      <c r="A19773" s="33" t="s">
        <v>43993</v>
      </c>
      <c r="B19773" s="33" t="s">
        <v>43994</v>
      </c>
      <c r="C19773" s="33" t="s">
        <v>15622</v>
      </c>
      <c r="D19773" s="33" t="s">
        <v>17</v>
      </c>
      <c r="E19773" s="33" t="s">
        <v>67</v>
      </c>
      <c r="F19773" s="33" t="s">
        <v>68</v>
      </c>
      <c r="G19773" s="33" t="s">
        <v>158</v>
      </c>
      <c r="H19773" s="35">
        <v>102</v>
      </c>
      <c r="I19773" s="33" t="s">
        <v>21</v>
      </c>
      <c r="J19773" s="42">
        <v>45511</v>
      </c>
      <c r="K19773" s="33" t="s">
        <v>22</v>
      </c>
    </row>
    <row r="19774" spans="1:11">
      <c r="A19774" s="30" t="s">
        <v>43995</v>
      </c>
      <c r="B19774" s="30" t="s">
        <v>43996</v>
      </c>
      <c r="C19774" s="30" t="s">
        <v>43997</v>
      </c>
      <c r="D19774" s="30" t="s">
        <v>17</v>
      </c>
      <c r="E19774" s="30" t="s">
        <v>45</v>
      </c>
      <c r="F19774" s="30" t="s">
        <v>46</v>
      </c>
      <c r="G19774" s="30" t="s">
        <v>158</v>
      </c>
      <c r="H19774" s="32">
        <v>636</v>
      </c>
      <c r="I19774" s="30" t="s">
        <v>51</v>
      </c>
      <c r="J19774" s="41">
        <v>45404</v>
      </c>
      <c r="K19774" s="30" t="s">
        <v>22</v>
      </c>
    </row>
    <row r="19775" spans="1:11">
      <c r="A19775" s="33" t="s">
        <v>43998</v>
      </c>
      <c r="B19775" s="33" t="s">
        <v>43999</v>
      </c>
      <c r="C19775" s="33" t="s">
        <v>16052</v>
      </c>
      <c r="D19775" s="33" t="s">
        <v>17</v>
      </c>
      <c r="E19775" s="33" t="s">
        <v>26</v>
      </c>
      <c r="F19775" s="33" t="s">
        <v>27</v>
      </c>
      <c r="G19775" s="33" t="s">
        <v>20</v>
      </c>
      <c r="H19775" s="35">
        <v>14</v>
      </c>
      <c r="I19775" s="33" t="s">
        <v>21</v>
      </c>
      <c r="J19775" s="42">
        <v>45328</v>
      </c>
      <c r="K19775" s="33" t="s">
        <v>22</v>
      </c>
    </row>
    <row r="19776" spans="1:11">
      <c r="A19776" s="30" t="s">
        <v>44000</v>
      </c>
      <c r="B19776" s="30" t="s">
        <v>44001</v>
      </c>
      <c r="C19776" s="30" t="s">
        <v>6097</v>
      </c>
      <c r="D19776" s="30" t="s">
        <v>17</v>
      </c>
      <c r="E19776" s="30" t="s">
        <v>31</v>
      </c>
      <c r="F19776" s="30" t="s">
        <v>32</v>
      </c>
      <c r="G19776" s="30" t="s">
        <v>140</v>
      </c>
      <c r="H19776" s="32">
        <v>66</v>
      </c>
      <c r="I19776" s="30" t="s">
        <v>51</v>
      </c>
      <c r="J19776" s="41">
        <v>45568</v>
      </c>
      <c r="K19776" s="30" t="s">
        <v>22</v>
      </c>
    </row>
    <row r="19777" spans="1:11">
      <c r="A19777" s="33" t="s">
        <v>44002</v>
      </c>
      <c r="B19777" s="33" t="s">
        <v>44003</v>
      </c>
      <c r="C19777" s="33" t="s">
        <v>2490</v>
      </c>
      <c r="D19777" s="33" t="s">
        <v>17</v>
      </c>
      <c r="E19777" s="33" t="s">
        <v>18</v>
      </c>
      <c r="F19777" s="33" t="s">
        <v>19</v>
      </c>
      <c r="G19777" s="33" t="s">
        <v>140</v>
      </c>
      <c r="H19777" s="35">
        <v>686</v>
      </c>
      <c r="I19777" s="33" t="s">
        <v>51</v>
      </c>
      <c r="J19777" s="42">
        <v>45354</v>
      </c>
      <c r="K19777" s="33" t="s">
        <v>22</v>
      </c>
    </row>
    <row r="19778" spans="1:11">
      <c r="A19778" s="30" t="s">
        <v>44004</v>
      </c>
      <c r="B19778" s="30" t="s">
        <v>44005</v>
      </c>
      <c r="C19778" s="30" t="s">
        <v>3439</v>
      </c>
      <c r="D19778" s="30" t="s">
        <v>17</v>
      </c>
      <c r="E19778" s="30" t="s">
        <v>18</v>
      </c>
      <c r="F19778" s="30" t="s">
        <v>19</v>
      </c>
      <c r="G19778" s="30" t="s">
        <v>140</v>
      </c>
      <c r="H19778" s="32">
        <v>380</v>
      </c>
      <c r="I19778" s="30" t="s">
        <v>51</v>
      </c>
      <c r="J19778" s="41">
        <v>45561</v>
      </c>
      <c r="K19778" s="30" t="s">
        <v>22</v>
      </c>
    </row>
    <row r="19779" spans="1:11">
      <c r="A19779" s="33" t="s">
        <v>44006</v>
      </c>
      <c r="B19779" s="33" t="s">
        <v>44007</v>
      </c>
      <c r="C19779" s="33" t="s">
        <v>5158</v>
      </c>
      <c r="D19779" s="33" t="s">
        <v>17</v>
      </c>
      <c r="E19779" s="33" t="s">
        <v>26</v>
      </c>
      <c r="F19779" s="33" t="s">
        <v>27</v>
      </c>
      <c r="G19779" s="33" t="s">
        <v>140</v>
      </c>
      <c r="H19779" s="35">
        <v>101</v>
      </c>
      <c r="I19779" s="33" t="s">
        <v>51</v>
      </c>
      <c r="J19779" s="42">
        <v>45309</v>
      </c>
      <c r="K19779" s="33" t="s">
        <v>22</v>
      </c>
    </row>
    <row r="19780" spans="1:11">
      <c r="A19780" s="30" t="s">
        <v>44008</v>
      </c>
      <c r="B19780" s="30" t="s">
        <v>44009</v>
      </c>
      <c r="C19780" s="30" t="s">
        <v>44</v>
      </c>
      <c r="D19780" s="30" t="s">
        <v>17</v>
      </c>
      <c r="E19780" s="30" t="s">
        <v>31</v>
      </c>
      <c r="F19780" s="30" t="s">
        <v>32</v>
      </c>
      <c r="G19780" s="30" t="s">
        <v>158</v>
      </c>
      <c r="H19780" s="32">
        <v>1005</v>
      </c>
      <c r="I19780" s="30" t="s">
        <v>21</v>
      </c>
      <c r="J19780" s="41">
        <v>45364</v>
      </c>
      <c r="K19780" s="30" t="s">
        <v>22</v>
      </c>
    </row>
    <row r="19781" spans="1:11">
      <c r="A19781" s="33" t="s">
        <v>44010</v>
      </c>
      <c r="B19781" s="33" t="s">
        <v>44011</v>
      </c>
      <c r="C19781" s="33" t="s">
        <v>647</v>
      </c>
      <c r="D19781" s="33" t="s">
        <v>17</v>
      </c>
      <c r="E19781" s="33" t="s">
        <v>26</v>
      </c>
      <c r="F19781" s="33" t="s">
        <v>27</v>
      </c>
      <c r="G19781" s="33" t="s">
        <v>20</v>
      </c>
      <c r="H19781" s="35">
        <v>65</v>
      </c>
      <c r="I19781" s="33" t="s">
        <v>21</v>
      </c>
      <c r="J19781" s="42">
        <v>45560</v>
      </c>
      <c r="K19781" s="33" t="s">
        <v>22</v>
      </c>
    </row>
    <row r="19782" spans="1:11">
      <c r="A19782" s="30" t="s">
        <v>44012</v>
      </c>
      <c r="B19782" s="30" t="s">
        <v>44013</v>
      </c>
      <c r="C19782" s="30" t="s">
        <v>22933</v>
      </c>
      <c r="D19782" s="30" t="s">
        <v>17</v>
      </c>
      <c r="E19782" s="30" t="s">
        <v>26</v>
      </c>
      <c r="F19782" s="30" t="s">
        <v>27</v>
      </c>
      <c r="G19782" s="30" t="s">
        <v>112</v>
      </c>
      <c r="H19782" s="32">
        <v>0</v>
      </c>
      <c r="I19782" s="30" t="s">
        <v>21</v>
      </c>
      <c r="J19782" s="41">
        <v>45627</v>
      </c>
      <c r="K19782" s="30" t="s">
        <v>22</v>
      </c>
    </row>
    <row r="19783" spans="1:11">
      <c r="A19783" s="33" t="s">
        <v>44014</v>
      </c>
      <c r="B19783" s="33" t="s">
        <v>44015</v>
      </c>
      <c r="C19783" s="33" t="s">
        <v>2618</v>
      </c>
      <c r="D19783" s="33" t="s">
        <v>17</v>
      </c>
      <c r="E19783" s="33" t="s">
        <v>26</v>
      </c>
      <c r="F19783" s="33" t="s">
        <v>27</v>
      </c>
      <c r="G19783" s="33" t="s">
        <v>106</v>
      </c>
      <c r="H19783" s="35">
        <v>3</v>
      </c>
      <c r="I19783" s="33" t="s">
        <v>21</v>
      </c>
      <c r="J19783" s="42">
        <v>45573</v>
      </c>
      <c r="K19783" s="33" t="s">
        <v>22</v>
      </c>
    </row>
    <row r="19784" spans="1:11">
      <c r="A19784" s="30" t="s">
        <v>44016</v>
      </c>
      <c r="B19784" s="30" t="s">
        <v>44017</v>
      </c>
      <c r="C19784" s="30" t="s">
        <v>6585</v>
      </c>
      <c r="D19784" s="30" t="s">
        <v>17</v>
      </c>
      <c r="E19784" s="30" t="s">
        <v>26</v>
      </c>
      <c r="F19784" s="30" t="s">
        <v>27</v>
      </c>
      <c r="G19784" s="30" t="s">
        <v>20</v>
      </c>
      <c r="H19784" s="32">
        <v>45</v>
      </c>
      <c r="I19784" s="30" t="s">
        <v>21</v>
      </c>
      <c r="J19784" s="41">
        <v>45309</v>
      </c>
      <c r="K19784" s="30" t="s">
        <v>22</v>
      </c>
    </row>
    <row r="19785" spans="1:11">
      <c r="A19785" s="33" t="s">
        <v>44018</v>
      </c>
      <c r="B19785" s="33" t="s">
        <v>44019</v>
      </c>
      <c r="C19785" s="33" t="s">
        <v>3650</v>
      </c>
      <c r="D19785" s="33" t="s">
        <v>17</v>
      </c>
      <c r="E19785" s="33" t="s">
        <v>31</v>
      </c>
      <c r="F19785" s="33" t="s">
        <v>32</v>
      </c>
      <c r="G19785" s="33" t="s">
        <v>140</v>
      </c>
      <c r="H19785" s="35">
        <v>48</v>
      </c>
      <c r="I19785" s="33" t="s">
        <v>51</v>
      </c>
      <c r="J19785" s="42">
        <v>45303</v>
      </c>
      <c r="K19785" s="33" t="s">
        <v>22</v>
      </c>
    </row>
    <row r="19786" spans="1:11">
      <c r="A19786" s="30" t="s">
        <v>44020</v>
      </c>
      <c r="B19786" s="30" t="s">
        <v>44021</v>
      </c>
      <c r="C19786" s="30" t="s">
        <v>3451</v>
      </c>
      <c r="D19786" s="30" t="s">
        <v>17</v>
      </c>
      <c r="E19786" s="30" t="s">
        <v>26</v>
      </c>
      <c r="F19786" s="30" t="s">
        <v>27</v>
      </c>
      <c r="G19786" s="30" t="s">
        <v>140</v>
      </c>
      <c r="H19786" s="32">
        <v>24</v>
      </c>
      <c r="I19786" s="30" t="s">
        <v>51</v>
      </c>
      <c r="J19786" s="41">
        <v>45420</v>
      </c>
      <c r="K19786" s="30" t="s">
        <v>22</v>
      </c>
    </row>
    <row r="19787" spans="1:11">
      <c r="A19787" s="33" t="s">
        <v>44022</v>
      </c>
      <c r="B19787" s="33" t="s">
        <v>44023</v>
      </c>
      <c r="C19787" s="33" t="s">
        <v>44024</v>
      </c>
      <c r="D19787" s="33" t="s">
        <v>17</v>
      </c>
      <c r="E19787" s="33" t="s">
        <v>31</v>
      </c>
      <c r="F19787" s="33" t="s">
        <v>32</v>
      </c>
      <c r="G19787" s="33" t="s">
        <v>112</v>
      </c>
      <c r="H19787" s="35">
        <v>0</v>
      </c>
      <c r="I19787" s="33" t="s">
        <v>21</v>
      </c>
      <c r="J19787" s="42">
        <v>45323</v>
      </c>
      <c r="K19787" s="33" t="s">
        <v>22</v>
      </c>
    </row>
    <row r="19788" spans="1:11">
      <c r="A19788" s="30" t="s">
        <v>44025</v>
      </c>
      <c r="B19788" s="30" t="s">
        <v>44026</v>
      </c>
      <c r="C19788" s="30" t="s">
        <v>149</v>
      </c>
      <c r="D19788" s="30" t="s">
        <v>17</v>
      </c>
      <c r="E19788" s="30" t="s">
        <v>212</v>
      </c>
      <c r="F19788" s="30" t="s">
        <v>213</v>
      </c>
      <c r="G19788" s="30" t="s">
        <v>50</v>
      </c>
      <c r="H19788" s="32">
        <v>240</v>
      </c>
      <c r="I19788" s="30" t="s">
        <v>51</v>
      </c>
      <c r="J19788" s="41">
        <v>45292</v>
      </c>
      <c r="K19788" s="30" t="s">
        <v>22</v>
      </c>
    </row>
    <row r="19789" spans="1:11">
      <c r="A19789" s="33" t="s">
        <v>44027</v>
      </c>
      <c r="B19789" s="33" t="s">
        <v>44028</v>
      </c>
      <c r="C19789" s="33" t="s">
        <v>1583</v>
      </c>
      <c r="D19789" s="33" t="s">
        <v>17</v>
      </c>
      <c r="E19789" s="33" t="s">
        <v>26</v>
      </c>
      <c r="F19789" s="33" t="s">
        <v>27</v>
      </c>
      <c r="G19789" s="33" t="s">
        <v>106</v>
      </c>
      <c r="H19789" s="35">
        <v>19</v>
      </c>
      <c r="I19789" s="33" t="s">
        <v>21</v>
      </c>
      <c r="J19789" s="42">
        <v>45506</v>
      </c>
      <c r="K19789" s="33" t="s">
        <v>22</v>
      </c>
    </row>
    <row r="19790" spans="1:11">
      <c r="A19790" s="30" t="s">
        <v>44029</v>
      </c>
      <c r="B19790" s="30" t="s">
        <v>44030</v>
      </c>
      <c r="C19790" s="30" t="s">
        <v>60</v>
      </c>
      <c r="D19790" s="30" t="s">
        <v>17</v>
      </c>
      <c r="E19790" s="30" t="s">
        <v>26</v>
      </c>
      <c r="F19790" s="30" t="s">
        <v>27</v>
      </c>
      <c r="G19790" s="30" t="s">
        <v>20</v>
      </c>
      <c r="H19790" s="32">
        <v>15</v>
      </c>
      <c r="I19790" s="30" t="s">
        <v>21</v>
      </c>
      <c r="J19790" s="41">
        <v>45384</v>
      </c>
      <c r="K19790" s="30" t="s">
        <v>22</v>
      </c>
    </row>
    <row r="19791" spans="1:11">
      <c r="A19791" s="33" t="s">
        <v>44031</v>
      </c>
      <c r="B19791" s="33" t="s">
        <v>44032</v>
      </c>
      <c r="C19791" s="33" t="s">
        <v>5246</v>
      </c>
      <c r="D19791" s="33" t="s">
        <v>17</v>
      </c>
      <c r="E19791" s="33" t="s">
        <v>26</v>
      </c>
      <c r="F19791" s="33" t="s">
        <v>27</v>
      </c>
      <c r="G19791" s="33" t="s">
        <v>20</v>
      </c>
      <c r="H19791" s="35">
        <v>48</v>
      </c>
      <c r="I19791" s="33" t="s">
        <v>21</v>
      </c>
      <c r="J19791" s="42">
        <v>45503</v>
      </c>
      <c r="K19791" s="33" t="s">
        <v>22</v>
      </c>
    </row>
    <row r="19792" spans="1:11">
      <c r="A19792" s="30" t="s">
        <v>44033</v>
      </c>
      <c r="B19792" s="30" t="s">
        <v>44034</v>
      </c>
      <c r="C19792" s="30" t="s">
        <v>187</v>
      </c>
      <c r="D19792" s="30" t="s">
        <v>17</v>
      </c>
      <c r="E19792" s="30" t="s">
        <v>26</v>
      </c>
      <c r="F19792" s="30" t="s">
        <v>27</v>
      </c>
      <c r="G19792" s="30" t="s">
        <v>50</v>
      </c>
      <c r="H19792" s="32">
        <v>39</v>
      </c>
      <c r="I19792" s="30" t="s">
        <v>21</v>
      </c>
      <c r="J19792" s="41">
        <v>45350</v>
      </c>
      <c r="K19792" s="30" t="s">
        <v>22</v>
      </c>
    </row>
    <row r="19793" spans="1:11">
      <c r="A19793" s="33" t="s">
        <v>44035</v>
      </c>
      <c r="B19793" s="33" t="s">
        <v>44036</v>
      </c>
      <c r="C19793" s="33" t="s">
        <v>25928</v>
      </c>
      <c r="D19793" s="33" t="s">
        <v>17</v>
      </c>
      <c r="E19793" s="33" t="s">
        <v>26</v>
      </c>
      <c r="F19793" s="33" t="s">
        <v>27</v>
      </c>
      <c r="G19793" s="33" t="s">
        <v>20</v>
      </c>
      <c r="H19793" s="35">
        <v>49</v>
      </c>
      <c r="I19793" s="33" t="s">
        <v>21</v>
      </c>
      <c r="J19793" s="42">
        <v>45315</v>
      </c>
      <c r="K19793" s="33" t="s">
        <v>22</v>
      </c>
    </row>
    <row r="19794" spans="1:11">
      <c r="A19794" s="30" t="s">
        <v>44037</v>
      </c>
      <c r="B19794" s="30" t="s">
        <v>44038</v>
      </c>
      <c r="C19794" s="30" t="s">
        <v>60</v>
      </c>
      <c r="D19794" s="30" t="s">
        <v>17</v>
      </c>
      <c r="E19794" s="30" t="s">
        <v>67</v>
      </c>
      <c r="F19794" s="30" t="s">
        <v>68</v>
      </c>
      <c r="G19794" s="30" t="s">
        <v>140</v>
      </c>
      <c r="H19794" s="32">
        <v>52</v>
      </c>
      <c r="I19794" s="30" t="s">
        <v>51</v>
      </c>
      <c r="J19794" s="41">
        <v>45342</v>
      </c>
      <c r="K19794" s="30" t="s">
        <v>22</v>
      </c>
    </row>
    <row r="19795" spans="1:11">
      <c r="A19795" s="33" t="s">
        <v>44039</v>
      </c>
      <c r="B19795" s="33" t="s">
        <v>44040</v>
      </c>
      <c r="C19795" s="33" t="s">
        <v>49</v>
      </c>
      <c r="D19795" s="33" t="s">
        <v>17</v>
      </c>
      <c r="E19795" s="33" t="s">
        <v>18</v>
      </c>
      <c r="F19795" s="33" t="s">
        <v>19</v>
      </c>
      <c r="G19795" s="33" t="s">
        <v>140</v>
      </c>
      <c r="H19795" s="35">
        <v>440</v>
      </c>
      <c r="I19795" s="33" t="s">
        <v>51</v>
      </c>
      <c r="J19795" s="42">
        <v>45624</v>
      </c>
      <c r="K19795" s="33" t="s">
        <v>22</v>
      </c>
    </row>
    <row r="19796" spans="1:11">
      <c r="A19796" s="30" t="s">
        <v>44041</v>
      </c>
      <c r="B19796" s="30" t="s">
        <v>44042</v>
      </c>
      <c r="C19796" s="30" t="s">
        <v>41535</v>
      </c>
      <c r="D19796" s="30" t="s">
        <v>17</v>
      </c>
      <c r="E19796" s="30" t="s">
        <v>26</v>
      </c>
      <c r="F19796" s="30" t="s">
        <v>27</v>
      </c>
      <c r="G19796" s="30" t="s">
        <v>158</v>
      </c>
      <c r="H19796" s="32">
        <v>240</v>
      </c>
      <c r="I19796" s="30" t="s">
        <v>51</v>
      </c>
      <c r="J19796" s="41">
        <v>45442</v>
      </c>
      <c r="K19796" s="30" t="s">
        <v>22</v>
      </c>
    </row>
    <row r="19797" spans="1:11">
      <c r="A19797" s="33" t="s">
        <v>44043</v>
      </c>
      <c r="B19797" s="33" t="s">
        <v>44044</v>
      </c>
      <c r="C19797" s="33" t="s">
        <v>34697</v>
      </c>
      <c r="D19797" s="33" t="s">
        <v>17</v>
      </c>
      <c r="E19797" s="33" t="s">
        <v>26</v>
      </c>
      <c r="F19797" s="33" t="s">
        <v>27</v>
      </c>
      <c r="G19797" s="33" t="s">
        <v>20</v>
      </c>
      <c r="H19797" s="35">
        <v>24</v>
      </c>
      <c r="I19797" s="33" t="s">
        <v>21</v>
      </c>
      <c r="J19797" s="42">
        <v>45476</v>
      </c>
      <c r="K19797" s="33" t="s">
        <v>22</v>
      </c>
    </row>
    <row r="19798" spans="1:11">
      <c r="A19798" s="30" t="s">
        <v>44045</v>
      </c>
      <c r="B19798" s="30" t="s">
        <v>44046</v>
      </c>
      <c r="C19798" s="30" t="s">
        <v>426</v>
      </c>
      <c r="D19798" s="30" t="s">
        <v>17</v>
      </c>
      <c r="E19798" s="30" t="s">
        <v>18</v>
      </c>
      <c r="F19798" s="30" t="s">
        <v>19</v>
      </c>
      <c r="G19798" s="30" t="s">
        <v>140</v>
      </c>
      <c r="H19798" s="32">
        <v>285</v>
      </c>
      <c r="I19798" s="30" t="s">
        <v>51</v>
      </c>
      <c r="J19798" s="41">
        <v>45327</v>
      </c>
      <c r="K19798" s="30" t="s">
        <v>22</v>
      </c>
    </row>
    <row r="19799" spans="1:11">
      <c r="A19799" s="33" t="s">
        <v>44047</v>
      </c>
      <c r="B19799" s="33" t="s">
        <v>44048</v>
      </c>
      <c r="C19799" s="33" t="s">
        <v>44049</v>
      </c>
      <c r="D19799" s="33" t="s">
        <v>17</v>
      </c>
      <c r="E19799" s="33" t="s">
        <v>26</v>
      </c>
      <c r="F19799" s="33" t="s">
        <v>27</v>
      </c>
      <c r="G19799" s="33" t="s">
        <v>140</v>
      </c>
      <c r="H19799" s="35">
        <v>12</v>
      </c>
      <c r="I19799" s="33" t="s">
        <v>51</v>
      </c>
      <c r="J19799" s="42">
        <v>45582</v>
      </c>
      <c r="K19799" s="33" t="s">
        <v>22</v>
      </c>
    </row>
    <row r="19800" spans="1:11">
      <c r="A19800" s="30" t="s">
        <v>44050</v>
      </c>
      <c r="B19800" s="30" t="s">
        <v>44051</v>
      </c>
      <c r="C19800" s="30" t="s">
        <v>37922</v>
      </c>
      <c r="D19800" s="30" t="s">
        <v>17</v>
      </c>
      <c r="E19800" s="30" t="s">
        <v>26</v>
      </c>
      <c r="F19800" s="30" t="s">
        <v>27</v>
      </c>
      <c r="G19800" s="30" t="s">
        <v>140</v>
      </c>
      <c r="H19800" s="32">
        <v>144</v>
      </c>
      <c r="I19800" s="30" t="s">
        <v>51</v>
      </c>
      <c r="J19800" s="41">
        <v>45313</v>
      </c>
      <c r="K19800" s="30" t="s">
        <v>22</v>
      </c>
    </row>
    <row r="19801" spans="1:11">
      <c r="A19801" s="33" t="s">
        <v>44052</v>
      </c>
      <c r="B19801" s="33" t="s">
        <v>44053</v>
      </c>
      <c r="C19801" s="33" t="s">
        <v>19814</v>
      </c>
      <c r="D19801" s="33" t="s">
        <v>17</v>
      </c>
      <c r="E19801" s="33" t="s">
        <v>26</v>
      </c>
      <c r="F19801" s="33" t="s">
        <v>27</v>
      </c>
      <c r="G19801" s="33" t="s">
        <v>50</v>
      </c>
      <c r="H19801" s="35">
        <v>54</v>
      </c>
      <c r="I19801" s="33" t="s">
        <v>51</v>
      </c>
      <c r="J19801" s="42">
        <v>45365</v>
      </c>
      <c r="K19801" s="33" t="s">
        <v>22</v>
      </c>
    </row>
    <row r="19802" spans="1:11">
      <c r="A19802" s="30" t="s">
        <v>44054</v>
      </c>
      <c r="B19802" s="30" t="s">
        <v>44055</v>
      </c>
      <c r="C19802" s="30" t="s">
        <v>16425</v>
      </c>
      <c r="D19802" s="30" t="s">
        <v>17</v>
      </c>
      <c r="E19802" s="30" t="s">
        <v>31</v>
      </c>
      <c r="F19802" s="30" t="s">
        <v>32</v>
      </c>
      <c r="G19802" s="30" t="s">
        <v>20</v>
      </c>
      <c r="H19802" s="32">
        <v>280</v>
      </c>
      <c r="I19802" s="30" t="s">
        <v>21</v>
      </c>
      <c r="J19802" s="41">
        <v>45644</v>
      </c>
      <c r="K19802" s="30" t="s">
        <v>22</v>
      </c>
    </row>
    <row r="19803" spans="1:11">
      <c r="A19803" s="33" t="s">
        <v>44056</v>
      </c>
      <c r="B19803" s="33" t="s">
        <v>44057</v>
      </c>
      <c r="C19803" s="33" t="s">
        <v>42074</v>
      </c>
      <c r="D19803" s="33" t="s">
        <v>17</v>
      </c>
      <c r="E19803" s="33" t="s">
        <v>26</v>
      </c>
      <c r="F19803" s="33" t="s">
        <v>27</v>
      </c>
      <c r="G19803" s="33" t="s">
        <v>140</v>
      </c>
      <c r="H19803" s="35">
        <v>6</v>
      </c>
      <c r="I19803" s="33" t="s">
        <v>51</v>
      </c>
      <c r="J19803" s="42">
        <v>45527</v>
      </c>
      <c r="K19803" s="33" t="s">
        <v>22</v>
      </c>
    </row>
    <row r="19804" spans="1:11">
      <c r="A19804" s="30" t="s">
        <v>44058</v>
      </c>
      <c r="B19804" s="30" t="s">
        <v>44059</v>
      </c>
      <c r="C19804" s="30" t="s">
        <v>6205</v>
      </c>
      <c r="D19804" s="30" t="s">
        <v>17</v>
      </c>
      <c r="E19804" s="30" t="s">
        <v>18</v>
      </c>
      <c r="F19804" s="30" t="s">
        <v>19</v>
      </c>
      <c r="G19804" s="30" t="s">
        <v>140</v>
      </c>
      <c r="H19804" s="32">
        <v>3080</v>
      </c>
      <c r="I19804" s="30" t="s">
        <v>51</v>
      </c>
      <c r="J19804" s="41">
        <v>45588</v>
      </c>
      <c r="K19804" s="30" t="s">
        <v>22</v>
      </c>
    </row>
    <row r="19805" spans="1:11">
      <c r="A19805" s="33" t="s">
        <v>44060</v>
      </c>
      <c r="B19805" s="33" t="s">
        <v>44061</v>
      </c>
      <c r="C19805" s="33" t="s">
        <v>44062</v>
      </c>
      <c r="D19805" s="33" t="s">
        <v>17</v>
      </c>
      <c r="E19805" s="33" t="s">
        <v>26</v>
      </c>
      <c r="F19805" s="33" t="s">
        <v>27</v>
      </c>
      <c r="G19805" s="33" t="s">
        <v>2613</v>
      </c>
      <c r="H19805" s="35">
        <v>9</v>
      </c>
      <c r="I19805" s="33" t="s">
        <v>51</v>
      </c>
      <c r="J19805" s="42">
        <v>45314</v>
      </c>
      <c r="K19805" s="33" t="s">
        <v>22</v>
      </c>
    </row>
    <row r="19806" spans="1:11">
      <c r="A19806" s="30" t="s">
        <v>44063</v>
      </c>
      <c r="B19806" s="30" t="s">
        <v>44064</v>
      </c>
      <c r="C19806" s="30" t="s">
        <v>27241</v>
      </c>
      <c r="D19806" s="30" t="s">
        <v>17</v>
      </c>
      <c r="E19806" s="30" t="s">
        <v>26</v>
      </c>
      <c r="F19806" s="30" t="s">
        <v>27</v>
      </c>
      <c r="G19806" s="30" t="s">
        <v>50</v>
      </c>
      <c r="H19806" s="32">
        <v>48</v>
      </c>
      <c r="I19806" s="30" t="s">
        <v>51</v>
      </c>
      <c r="J19806" s="41">
        <v>45352</v>
      </c>
      <c r="K19806" s="30" t="s">
        <v>22</v>
      </c>
    </row>
    <row r="19807" spans="1:11">
      <c r="A19807" s="33" t="s">
        <v>44065</v>
      </c>
      <c r="B19807" s="33" t="s">
        <v>44066</v>
      </c>
      <c r="C19807" s="33" t="s">
        <v>2508</v>
      </c>
      <c r="D19807" s="33" t="s">
        <v>17</v>
      </c>
      <c r="E19807" s="33" t="s">
        <v>31</v>
      </c>
      <c r="F19807" s="33" t="s">
        <v>32</v>
      </c>
      <c r="G19807" s="33" t="s">
        <v>158</v>
      </c>
      <c r="H19807" s="35">
        <v>72</v>
      </c>
      <c r="I19807" s="33" t="s">
        <v>21</v>
      </c>
      <c r="J19807" s="42">
        <v>45497</v>
      </c>
      <c r="K19807" s="33" t="s">
        <v>22</v>
      </c>
    </row>
    <row r="19808" spans="1:11">
      <c r="A19808" s="30" t="s">
        <v>44067</v>
      </c>
      <c r="B19808" s="30" t="s">
        <v>44068</v>
      </c>
      <c r="C19808" s="30" t="s">
        <v>136</v>
      </c>
      <c r="D19808" s="30" t="s">
        <v>17</v>
      </c>
      <c r="E19808" s="30" t="s">
        <v>212</v>
      </c>
      <c r="F19808" s="30" t="s">
        <v>213</v>
      </c>
      <c r="G19808" s="30" t="s">
        <v>20</v>
      </c>
      <c r="H19808" s="32">
        <v>150</v>
      </c>
      <c r="I19808" s="30" t="s">
        <v>21</v>
      </c>
      <c r="J19808" s="41">
        <v>45400</v>
      </c>
      <c r="K19808" s="30" t="s">
        <v>22</v>
      </c>
    </row>
    <row r="19809" spans="1:11">
      <c r="A19809" s="33" t="s">
        <v>44069</v>
      </c>
      <c r="B19809" s="33" t="s">
        <v>44070</v>
      </c>
      <c r="C19809" s="33" t="s">
        <v>44071</v>
      </c>
      <c r="D19809" s="33" t="s">
        <v>17</v>
      </c>
      <c r="E19809" s="33" t="s">
        <v>67</v>
      </c>
      <c r="F19809" s="33" t="s">
        <v>68</v>
      </c>
      <c r="G19809" s="33" t="s">
        <v>140</v>
      </c>
      <c r="H19809" s="35">
        <v>54</v>
      </c>
      <c r="I19809" s="33" t="s">
        <v>51</v>
      </c>
      <c r="J19809" s="42">
        <v>45447</v>
      </c>
      <c r="K19809" s="33" t="s">
        <v>22</v>
      </c>
    </row>
    <row r="19810" spans="1:11">
      <c r="A19810" s="30" t="s">
        <v>44072</v>
      </c>
      <c r="B19810" s="30" t="s">
        <v>44073</v>
      </c>
      <c r="C19810" s="30" t="s">
        <v>1278</v>
      </c>
      <c r="D19810" s="30" t="s">
        <v>17</v>
      </c>
      <c r="E19810" s="30" t="s">
        <v>26</v>
      </c>
      <c r="F19810" s="30" t="s">
        <v>27</v>
      </c>
      <c r="G19810" s="30" t="s">
        <v>20</v>
      </c>
      <c r="H19810" s="32">
        <v>150</v>
      </c>
      <c r="I19810" s="30" t="s">
        <v>21</v>
      </c>
      <c r="J19810" s="41">
        <v>45376</v>
      </c>
      <c r="K19810" s="30" t="s">
        <v>22</v>
      </c>
    </row>
    <row r="19811" spans="1:11">
      <c r="A19811" s="33" t="s">
        <v>44074</v>
      </c>
      <c r="B19811" s="33" t="s">
        <v>44075</v>
      </c>
      <c r="C19811" s="33" t="s">
        <v>57</v>
      </c>
      <c r="D19811" s="33" t="s">
        <v>17</v>
      </c>
      <c r="E19811" s="33" t="s">
        <v>18</v>
      </c>
      <c r="F19811" s="33" t="s">
        <v>19</v>
      </c>
      <c r="G19811" s="33" t="s">
        <v>20</v>
      </c>
      <c r="H19811" s="35">
        <v>461</v>
      </c>
      <c r="I19811" s="33" t="s">
        <v>21</v>
      </c>
      <c r="J19811" s="42">
        <v>45328</v>
      </c>
      <c r="K19811" s="33" t="s">
        <v>22</v>
      </c>
    </row>
    <row r="19812" spans="1:11">
      <c r="A19812" s="30" t="s">
        <v>44076</v>
      </c>
      <c r="B19812" s="30" t="s">
        <v>44077</v>
      </c>
      <c r="C19812" s="30" t="s">
        <v>190</v>
      </c>
      <c r="D19812" s="30" t="s">
        <v>17</v>
      </c>
      <c r="E19812" s="30" t="s">
        <v>26</v>
      </c>
      <c r="F19812" s="30" t="s">
        <v>27</v>
      </c>
      <c r="G19812" s="30" t="s">
        <v>20</v>
      </c>
      <c r="H19812" s="32">
        <v>10</v>
      </c>
      <c r="I19812" s="30" t="s">
        <v>21</v>
      </c>
      <c r="J19812" s="41">
        <v>45586</v>
      </c>
      <c r="K19812" s="30" t="s">
        <v>22</v>
      </c>
    </row>
    <row r="19813" spans="1:11">
      <c r="A19813" s="33" t="s">
        <v>44078</v>
      </c>
      <c r="B19813" s="33" t="s">
        <v>44079</v>
      </c>
      <c r="C19813" s="33" t="s">
        <v>1801</v>
      </c>
      <c r="D19813" s="33" t="s">
        <v>17</v>
      </c>
      <c r="E19813" s="33" t="s">
        <v>18</v>
      </c>
      <c r="F19813" s="33" t="s">
        <v>19</v>
      </c>
      <c r="G19813" s="33" t="s">
        <v>140</v>
      </c>
      <c r="H19813" s="35">
        <v>460</v>
      </c>
      <c r="I19813" s="33" t="s">
        <v>51</v>
      </c>
      <c r="J19813" s="42">
        <v>45610</v>
      </c>
      <c r="K19813" s="33" t="s">
        <v>22</v>
      </c>
    </row>
    <row r="19814" spans="1:11">
      <c r="A19814" s="30" t="s">
        <v>44080</v>
      </c>
      <c r="B19814" s="30" t="s">
        <v>44081</v>
      </c>
      <c r="C19814" s="30" t="s">
        <v>4260</v>
      </c>
      <c r="D19814" s="30" t="s">
        <v>17</v>
      </c>
      <c r="E19814" s="30" t="s">
        <v>18</v>
      </c>
      <c r="F19814" s="30" t="s">
        <v>19</v>
      </c>
      <c r="G19814" s="30" t="s">
        <v>140</v>
      </c>
      <c r="H19814" s="32">
        <v>70</v>
      </c>
      <c r="I19814" s="30" t="s">
        <v>51</v>
      </c>
      <c r="J19814" s="41">
        <v>45607</v>
      </c>
      <c r="K19814" s="30" t="s">
        <v>22</v>
      </c>
    </row>
    <row r="19815" spans="1:11">
      <c r="A19815" s="33" t="s">
        <v>44082</v>
      </c>
      <c r="B19815" s="33" t="s">
        <v>44083</v>
      </c>
      <c r="C19815" s="33" t="s">
        <v>190</v>
      </c>
      <c r="D19815" s="33" t="s">
        <v>17</v>
      </c>
      <c r="E19815" s="33" t="s">
        <v>26</v>
      </c>
      <c r="F19815" s="33" t="s">
        <v>27</v>
      </c>
      <c r="G19815" s="33" t="s">
        <v>20</v>
      </c>
      <c r="H19815" s="35">
        <v>8</v>
      </c>
      <c r="I19815" s="33" t="s">
        <v>21</v>
      </c>
      <c r="J19815" s="42">
        <v>45338</v>
      </c>
      <c r="K19815" s="33" t="s">
        <v>22</v>
      </c>
    </row>
    <row r="19816" spans="1:11">
      <c r="A19816" s="30" t="s">
        <v>44084</v>
      </c>
      <c r="B19816" s="30" t="s">
        <v>44085</v>
      </c>
      <c r="C19816" s="30" t="s">
        <v>8247</v>
      </c>
      <c r="D19816" s="30" t="s">
        <v>17</v>
      </c>
      <c r="E19816" s="30" t="s">
        <v>31</v>
      </c>
      <c r="F19816" s="30" t="s">
        <v>32</v>
      </c>
      <c r="G19816" s="30" t="s">
        <v>140</v>
      </c>
      <c r="H19816" s="32">
        <v>85</v>
      </c>
      <c r="I19816" s="30" t="s">
        <v>51</v>
      </c>
      <c r="J19816" s="41">
        <v>45316</v>
      </c>
      <c r="K19816" s="30" t="s">
        <v>22</v>
      </c>
    </row>
    <row r="19817" spans="1:11">
      <c r="A19817" s="33" t="s">
        <v>44086</v>
      </c>
      <c r="B19817" s="33" t="s">
        <v>44087</v>
      </c>
      <c r="C19817" s="33" t="s">
        <v>96</v>
      </c>
      <c r="D19817" s="33" t="s">
        <v>17</v>
      </c>
      <c r="E19817" s="33" t="s">
        <v>18</v>
      </c>
      <c r="F19817" s="33" t="s">
        <v>19</v>
      </c>
      <c r="G19817" s="33" t="s">
        <v>20</v>
      </c>
      <c r="H19817" s="35">
        <v>378</v>
      </c>
      <c r="I19817" s="33" t="s">
        <v>21</v>
      </c>
      <c r="J19817" s="42">
        <v>45572</v>
      </c>
      <c r="K19817" s="33" t="s">
        <v>22</v>
      </c>
    </row>
    <row r="19818" spans="1:11">
      <c r="A19818" s="30" t="s">
        <v>44088</v>
      </c>
      <c r="B19818" s="30" t="s">
        <v>44089</v>
      </c>
      <c r="C19818" s="30" t="s">
        <v>1112</v>
      </c>
      <c r="D19818" s="30" t="s">
        <v>17</v>
      </c>
      <c r="E19818" s="30" t="s">
        <v>26</v>
      </c>
      <c r="F19818" s="30" t="s">
        <v>27</v>
      </c>
      <c r="G19818" s="30" t="s">
        <v>20</v>
      </c>
      <c r="H19818" s="32">
        <v>37</v>
      </c>
      <c r="I19818" s="30" t="s">
        <v>21</v>
      </c>
      <c r="J19818" s="41">
        <v>45414</v>
      </c>
      <c r="K19818" s="30" t="s">
        <v>22</v>
      </c>
    </row>
    <row r="19819" spans="1:11">
      <c r="A19819" s="33" t="s">
        <v>44090</v>
      </c>
      <c r="B19819" s="33" t="s">
        <v>44091</v>
      </c>
      <c r="C19819" s="33" t="s">
        <v>753</v>
      </c>
      <c r="D19819" s="33" t="s">
        <v>17</v>
      </c>
      <c r="E19819" s="33" t="s">
        <v>26</v>
      </c>
      <c r="F19819" s="33" t="s">
        <v>27</v>
      </c>
      <c r="G19819" s="33" t="s">
        <v>20</v>
      </c>
      <c r="H19819" s="35">
        <v>29</v>
      </c>
      <c r="I19819" s="33" t="s">
        <v>21</v>
      </c>
      <c r="J19819" s="42">
        <v>45532</v>
      </c>
      <c r="K19819" s="33" t="s">
        <v>22</v>
      </c>
    </row>
    <row r="19820" spans="1:11">
      <c r="A19820" s="30" t="s">
        <v>44092</v>
      </c>
      <c r="B19820" s="30" t="s">
        <v>44093</v>
      </c>
      <c r="C19820" s="30" t="s">
        <v>4108</v>
      </c>
      <c r="D19820" s="30" t="s">
        <v>17</v>
      </c>
      <c r="E19820" s="30" t="s">
        <v>31</v>
      </c>
      <c r="F19820" s="30" t="s">
        <v>32</v>
      </c>
      <c r="G19820" s="30" t="s">
        <v>140</v>
      </c>
      <c r="H19820" s="32">
        <v>200</v>
      </c>
      <c r="I19820" s="30" t="s">
        <v>51</v>
      </c>
      <c r="J19820" s="41">
        <v>45567</v>
      </c>
      <c r="K19820" s="30" t="s">
        <v>22</v>
      </c>
    </row>
    <row r="19821" spans="1:11">
      <c r="A19821" s="33" t="s">
        <v>44094</v>
      </c>
      <c r="B19821" s="33" t="s">
        <v>44095</v>
      </c>
      <c r="C19821" s="33" t="s">
        <v>969</v>
      </c>
      <c r="D19821" s="33" t="s">
        <v>17</v>
      </c>
      <c r="E19821" s="33" t="s">
        <v>18</v>
      </c>
      <c r="F19821" s="33" t="s">
        <v>19</v>
      </c>
      <c r="G19821" s="33" t="s">
        <v>158</v>
      </c>
      <c r="H19821" s="35">
        <v>88</v>
      </c>
      <c r="I19821" s="33" t="s">
        <v>21</v>
      </c>
      <c r="J19821" s="42">
        <v>45453</v>
      </c>
      <c r="K19821" s="33" t="s">
        <v>22</v>
      </c>
    </row>
    <row r="19822" spans="1:11">
      <c r="A19822" s="30" t="s">
        <v>44096</v>
      </c>
      <c r="B19822" s="30" t="s">
        <v>44097</v>
      </c>
      <c r="C19822" s="30" t="s">
        <v>102</v>
      </c>
      <c r="D19822" s="30" t="s">
        <v>17</v>
      </c>
      <c r="E19822" s="30" t="s">
        <v>26</v>
      </c>
      <c r="F19822" s="30" t="s">
        <v>27</v>
      </c>
      <c r="G19822" s="30" t="s">
        <v>158</v>
      </c>
      <c r="H19822" s="32">
        <v>58</v>
      </c>
      <c r="I19822" s="30" t="s">
        <v>21</v>
      </c>
      <c r="J19822" s="41">
        <v>45440</v>
      </c>
      <c r="K19822" s="30" t="s">
        <v>22</v>
      </c>
    </row>
    <row r="19823" spans="1:11">
      <c r="A19823" s="33" t="s">
        <v>44098</v>
      </c>
      <c r="B19823" s="33" t="s">
        <v>44099</v>
      </c>
      <c r="C19823" s="33" t="s">
        <v>2660</v>
      </c>
      <c r="D19823" s="33" t="s">
        <v>17</v>
      </c>
      <c r="E19823" s="33" t="s">
        <v>26</v>
      </c>
      <c r="F19823" s="33" t="s">
        <v>27</v>
      </c>
      <c r="G19823" s="33" t="s">
        <v>20</v>
      </c>
      <c r="H19823" s="35">
        <v>34</v>
      </c>
      <c r="I19823" s="33" t="s">
        <v>21</v>
      </c>
      <c r="J19823" s="42">
        <v>45600</v>
      </c>
      <c r="K19823" s="33" t="s">
        <v>22</v>
      </c>
    </row>
    <row r="19824" spans="1:11">
      <c r="A19824" s="30" t="s">
        <v>44100</v>
      </c>
      <c r="B19824" s="30" t="s">
        <v>44101</v>
      </c>
      <c r="C19824" s="30" t="s">
        <v>36080</v>
      </c>
      <c r="D19824" s="30" t="s">
        <v>17</v>
      </c>
      <c r="E19824" s="30" t="s">
        <v>31</v>
      </c>
      <c r="F19824" s="30" t="s">
        <v>32</v>
      </c>
      <c r="G19824" s="30" t="s">
        <v>20</v>
      </c>
      <c r="H19824" s="32">
        <v>44</v>
      </c>
      <c r="I19824" s="30" t="s">
        <v>21</v>
      </c>
      <c r="J19824" s="41">
        <v>45357</v>
      </c>
      <c r="K19824" s="30" t="s">
        <v>22</v>
      </c>
    </row>
    <row r="19825" spans="1:11">
      <c r="A19825" s="33" t="s">
        <v>44102</v>
      </c>
      <c r="B19825" s="33" t="s">
        <v>44103</v>
      </c>
      <c r="C19825" s="33" t="s">
        <v>109</v>
      </c>
      <c r="D19825" s="33" t="s">
        <v>17</v>
      </c>
      <c r="E19825" s="33" t="s">
        <v>18</v>
      </c>
      <c r="F19825" s="33" t="s">
        <v>19</v>
      </c>
      <c r="G19825" s="33" t="s">
        <v>140</v>
      </c>
      <c r="H19825" s="35">
        <v>65</v>
      </c>
      <c r="I19825" s="33" t="s">
        <v>51</v>
      </c>
      <c r="J19825" s="42">
        <v>45420</v>
      </c>
      <c r="K19825" s="33" t="s">
        <v>22</v>
      </c>
    </row>
    <row r="19826" spans="1:11">
      <c r="A19826" s="30" t="s">
        <v>44104</v>
      </c>
      <c r="B19826" s="30" t="s">
        <v>44105</v>
      </c>
      <c r="C19826" s="30" t="s">
        <v>231</v>
      </c>
      <c r="D19826" s="30" t="s">
        <v>17</v>
      </c>
      <c r="E19826" s="30" t="s">
        <v>26</v>
      </c>
      <c r="F19826" s="30" t="s">
        <v>27</v>
      </c>
      <c r="G19826" s="30" t="s">
        <v>20</v>
      </c>
      <c r="H19826" s="32">
        <v>28</v>
      </c>
      <c r="I19826" s="30" t="s">
        <v>21</v>
      </c>
      <c r="J19826" s="41">
        <v>45475</v>
      </c>
      <c r="K19826" s="30" t="s">
        <v>22</v>
      </c>
    </row>
    <row r="19827" spans="1:11">
      <c r="A19827" s="33" t="s">
        <v>44106</v>
      </c>
      <c r="B19827" s="33" t="s">
        <v>44107</v>
      </c>
      <c r="C19827" s="33" t="s">
        <v>44108</v>
      </c>
      <c r="D19827" s="33" t="s">
        <v>17</v>
      </c>
      <c r="E19827" s="33" t="s">
        <v>26</v>
      </c>
      <c r="F19827" s="33" t="s">
        <v>27</v>
      </c>
      <c r="G19827" s="33" t="s">
        <v>20</v>
      </c>
      <c r="H19827" s="35">
        <v>39</v>
      </c>
      <c r="I19827" s="33" t="s">
        <v>21</v>
      </c>
      <c r="J19827" s="42">
        <v>45624</v>
      </c>
      <c r="K19827" s="33" t="s">
        <v>22</v>
      </c>
    </row>
    <row r="19828" spans="1:11">
      <c r="A19828" s="30" t="s">
        <v>44109</v>
      </c>
      <c r="B19828" s="30" t="s">
        <v>44110</v>
      </c>
      <c r="C19828" s="30" t="s">
        <v>93</v>
      </c>
      <c r="D19828" s="30" t="s">
        <v>17</v>
      </c>
      <c r="E19828" s="30" t="s">
        <v>45</v>
      </c>
      <c r="F19828" s="30" t="s">
        <v>46</v>
      </c>
      <c r="G19828" s="30" t="s">
        <v>20</v>
      </c>
      <c r="H19828" s="32">
        <v>135</v>
      </c>
      <c r="I19828" s="30" t="s">
        <v>21</v>
      </c>
      <c r="J19828" s="41">
        <v>45491</v>
      </c>
      <c r="K19828" s="30" t="s">
        <v>22</v>
      </c>
    </row>
    <row r="19829" spans="1:11">
      <c r="A19829" s="33" t="s">
        <v>44111</v>
      </c>
      <c r="B19829" s="33" t="s">
        <v>44112</v>
      </c>
      <c r="C19829" s="33" t="s">
        <v>3013</v>
      </c>
      <c r="D19829" s="33" t="s">
        <v>17</v>
      </c>
      <c r="E19829" s="33" t="s">
        <v>31</v>
      </c>
      <c r="F19829" s="33" t="s">
        <v>32</v>
      </c>
      <c r="G19829" s="33" t="s">
        <v>20</v>
      </c>
      <c r="H19829" s="35">
        <v>22</v>
      </c>
      <c r="I19829" s="33" t="s">
        <v>21</v>
      </c>
      <c r="J19829" s="42">
        <v>45329</v>
      </c>
      <c r="K19829" s="33" t="s">
        <v>22</v>
      </c>
    </row>
    <row r="19830" spans="1:11">
      <c r="A19830" s="30" t="s">
        <v>44113</v>
      </c>
      <c r="B19830" s="30" t="s">
        <v>44114</v>
      </c>
      <c r="C19830" s="30" t="s">
        <v>5246</v>
      </c>
      <c r="D19830" s="30" t="s">
        <v>17</v>
      </c>
      <c r="E19830" s="30" t="s">
        <v>26</v>
      </c>
      <c r="F19830" s="30" t="s">
        <v>27</v>
      </c>
      <c r="G19830" s="30" t="s">
        <v>140</v>
      </c>
      <c r="H19830" s="32">
        <v>24</v>
      </c>
      <c r="I19830" s="30" t="s">
        <v>51</v>
      </c>
      <c r="J19830" s="41">
        <v>45530</v>
      </c>
      <c r="K19830" s="30" t="s">
        <v>22</v>
      </c>
    </row>
    <row r="19831" spans="1:11">
      <c r="A19831" s="33" t="s">
        <v>44115</v>
      </c>
      <c r="B19831" s="33" t="s">
        <v>44116</v>
      </c>
      <c r="C19831" s="33" t="s">
        <v>136</v>
      </c>
      <c r="D19831" s="33" t="s">
        <v>17</v>
      </c>
      <c r="E19831" s="33" t="s">
        <v>26</v>
      </c>
      <c r="F19831" s="33" t="s">
        <v>27</v>
      </c>
      <c r="G19831" s="33" t="s">
        <v>106</v>
      </c>
      <c r="H19831" s="35">
        <v>10</v>
      </c>
      <c r="I19831" s="33" t="s">
        <v>21</v>
      </c>
      <c r="J19831" s="42">
        <v>45303</v>
      </c>
      <c r="K19831" s="33" t="s">
        <v>22</v>
      </c>
    </row>
    <row r="19832" spans="1:11">
      <c r="A19832" s="30" t="s">
        <v>44117</v>
      </c>
      <c r="B19832" s="30" t="s">
        <v>44118</v>
      </c>
      <c r="C19832" s="30" t="s">
        <v>29982</v>
      </c>
      <c r="D19832" s="30" t="s">
        <v>17</v>
      </c>
      <c r="E19832" s="30" t="s">
        <v>18</v>
      </c>
      <c r="F19832" s="30" t="s">
        <v>19</v>
      </c>
      <c r="G19832" s="30" t="s">
        <v>7780</v>
      </c>
      <c r="H19832" s="32">
        <v>376</v>
      </c>
      <c r="I19832" s="30" t="s">
        <v>51</v>
      </c>
      <c r="J19832" s="41">
        <v>45566</v>
      </c>
      <c r="K19832" s="30" t="s">
        <v>22</v>
      </c>
    </row>
    <row r="19833" spans="1:11">
      <c r="A19833" s="33" t="s">
        <v>44119</v>
      </c>
      <c r="B19833" s="33" t="s">
        <v>44120</v>
      </c>
      <c r="C19833" s="33" t="s">
        <v>1504</v>
      </c>
      <c r="D19833" s="33" t="s">
        <v>17</v>
      </c>
      <c r="E19833" s="33" t="s">
        <v>18</v>
      </c>
      <c r="F19833" s="33" t="s">
        <v>19</v>
      </c>
      <c r="G19833" s="33" t="s">
        <v>140</v>
      </c>
      <c r="H19833" s="35">
        <v>278</v>
      </c>
      <c r="I19833" s="33" t="s">
        <v>51</v>
      </c>
      <c r="J19833" s="42">
        <v>45612</v>
      </c>
      <c r="K19833" s="33" t="s">
        <v>22</v>
      </c>
    </row>
    <row r="19834" spans="1:11">
      <c r="A19834" s="30" t="s">
        <v>44121</v>
      </c>
      <c r="B19834" s="30" t="s">
        <v>44122</v>
      </c>
      <c r="C19834" s="30" t="s">
        <v>399</v>
      </c>
      <c r="D19834" s="30" t="s">
        <v>17</v>
      </c>
      <c r="E19834" s="30" t="s">
        <v>26</v>
      </c>
      <c r="F19834" s="30" t="s">
        <v>27</v>
      </c>
      <c r="G19834" s="30" t="s">
        <v>20</v>
      </c>
      <c r="H19834" s="32">
        <v>8</v>
      </c>
      <c r="I19834" s="30" t="s">
        <v>21</v>
      </c>
      <c r="J19834" s="41">
        <v>45313</v>
      </c>
      <c r="K19834" s="30" t="s">
        <v>22</v>
      </c>
    </row>
    <row r="19835" spans="1:11">
      <c r="A19835" s="33" t="s">
        <v>44123</v>
      </c>
      <c r="B19835" s="33" t="s">
        <v>44124</v>
      </c>
      <c r="C19835" s="33" t="s">
        <v>14835</v>
      </c>
      <c r="D19835" s="33" t="s">
        <v>17</v>
      </c>
      <c r="E19835" s="33" t="s">
        <v>26</v>
      </c>
      <c r="F19835" s="33" t="s">
        <v>27</v>
      </c>
      <c r="G19835" s="33" t="s">
        <v>140</v>
      </c>
      <c r="H19835" s="35">
        <v>126</v>
      </c>
      <c r="I19835" s="33" t="s">
        <v>51</v>
      </c>
      <c r="J19835" s="42">
        <v>45392</v>
      </c>
      <c r="K19835" s="33" t="s">
        <v>22</v>
      </c>
    </row>
    <row r="19836" spans="1:11">
      <c r="A19836" s="30" t="s">
        <v>44125</v>
      </c>
      <c r="B19836" s="30" t="s">
        <v>44126</v>
      </c>
      <c r="C19836" s="30" t="s">
        <v>4233</v>
      </c>
      <c r="D19836" s="30" t="s">
        <v>17</v>
      </c>
      <c r="E19836" s="30" t="s">
        <v>67</v>
      </c>
      <c r="F19836" s="30" t="s">
        <v>68</v>
      </c>
      <c r="G19836" s="30" t="s">
        <v>140</v>
      </c>
      <c r="H19836" s="32">
        <v>60</v>
      </c>
      <c r="I19836" s="30" t="s">
        <v>51</v>
      </c>
      <c r="J19836" s="41">
        <v>45536</v>
      </c>
      <c r="K19836" s="30" t="s">
        <v>22</v>
      </c>
    </row>
    <row r="19837" spans="1:11">
      <c r="A19837" s="33" t="s">
        <v>44127</v>
      </c>
      <c r="B19837" s="33" t="s">
        <v>44128</v>
      </c>
      <c r="C19837" s="33" t="s">
        <v>9104</v>
      </c>
      <c r="D19837" s="33" t="s">
        <v>17</v>
      </c>
      <c r="E19837" s="33" t="s">
        <v>26</v>
      </c>
      <c r="F19837" s="33" t="s">
        <v>27</v>
      </c>
      <c r="G19837" s="33" t="s">
        <v>20</v>
      </c>
      <c r="H19837" s="35">
        <v>21</v>
      </c>
      <c r="I19837" s="33" t="s">
        <v>21</v>
      </c>
      <c r="J19837" s="42">
        <v>45397</v>
      </c>
      <c r="K19837" s="33" t="s">
        <v>22</v>
      </c>
    </row>
    <row r="19838" spans="1:11">
      <c r="A19838" s="30" t="s">
        <v>44129</v>
      </c>
      <c r="B19838" s="30" t="s">
        <v>44130</v>
      </c>
      <c r="C19838" s="30" t="s">
        <v>44131</v>
      </c>
      <c r="D19838" s="30" t="s">
        <v>17</v>
      </c>
      <c r="E19838" s="30" t="s">
        <v>26</v>
      </c>
      <c r="F19838" s="30" t="s">
        <v>27</v>
      </c>
      <c r="G19838" s="30" t="s">
        <v>20</v>
      </c>
      <c r="H19838" s="32">
        <v>28</v>
      </c>
      <c r="I19838" s="30" t="s">
        <v>21</v>
      </c>
      <c r="J19838" s="41">
        <v>45600</v>
      </c>
      <c r="K19838" s="30" t="s">
        <v>22</v>
      </c>
    </row>
    <row r="19839" spans="1:11">
      <c r="A19839" s="33" t="s">
        <v>44132</v>
      </c>
      <c r="B19839" s="33" t="s">
        <v>44133</v>
      </c>
      <c r="C19839" s="33" t="s">
        <v>231</v>
      </c>
      <c r="D19839" s="33" t="s">
        <v>17</v>
      </c>
      <c r="E19839" s="33" t="s">
        <v>26</v>
      </c>
      <c r="F19839" s="33" t="s">
        <v>27</v>
      </c>
      <c r="G19839" s="33" t="s">
        <v>106</v>
      </c>
      <c r="H19839" s="35">
        <v>4</v>
      </c>
      <c r="I19839" s="33" t="s">
        <v>21</v>
      </c>
      <c r="J19839" s="42">
        <v>45415</v>
      </c>
      <c r="K19839" s="33" t="s">
        <v>22</v>
      </c>
    </row>
    <row r="19840" spans="1:11">
      <c r="A19840" s="30" t="s">
        <v>44134</v>
      </c>
      <c r="B19840" s="30" t="s">
        <v>44135</v>
      </c>
      <c r="C19840" s="30" t="s">
        <v>407</v>
      </c>
      <c r="D19840" s="30" t="s">
        <v>17</v>
      </c>
      <c r="E19840" s="30" t="s">
        <v>26</v>
      </c>
      <c r="F19840" s="30" t="s">
        <v>27</v>
      </c>
      <c r="G19840" s="30" t="s">
        <v>140</v>
      </c>
      <c r="H19840" s="32">
        <v>76</v>
      </c>
      <c r="I19840" s="30" t="s">
        <v>51</v>
      </c>
      <c r="J19840" s="41">
        <v>45448</v>
      </c>
      <c r="K19840" s="30" t="s">
        <v>22</v>
      </c>
    </row>
    <row r="19841" spans="1:11">
      <c r="A19841" s="33" t="s">
        <v>44136</v>
      </c>
      <c r="B19841" s="33" t="s">
        <v>44137</v>
      </c>
      <c r="C19841" s="33" t="s">
        <v>318</v>
      </c>
      <c r="D19841" s="33" t="s">
        <v>17</v>
      </c>
      <c r="E19841" s="33" t="s">
        <v>18</v>
      </c>
      <c r="F19841" s="33" t="s">
        <v>19</v>
      </c>
      <c r="G19841" s="33" t="s">
        <v>158</v>
      </c>
      <c r="H19841" s="35">
        <v>707</v>
      </c>
      <c r="I19841" s="33" t="s">
        <v>21</v>
      </c>
      <c r="J19841" s="42">
        <v>45635</v>
      </c>
      <c r="K19841" s="33" t="s">
        <v>22</v>
      </c>
    </row>
    <row r="19842" spans="1:11">
      <c r="A19842" s="30" t="s">
        <v>44138</v>
      </c>
      <c r="B19842" s="30" t="s">
        <v>44139</v>
      </c>
      <c r="C19842" s="30" t="s">
        <v>34287</v>
      </c>
      <c r="D19842" s="30" t="s">
        <v>17</v>
      </c>
      <c r="E19842" s="30" t="s">
        <v>26</v>
      </c>
      <c r="F19842" s="30" t="s">
        <v>27</v>
      </c>
      <c r="G19842" s="30" t="s">
        <v>20</v>
      </c>
      <c r="H19842" s="32">
        <v>7</v>
      </c>
      <c r="I19842" s="30" t="s">
        <v>21</v>
      </c>
      <c r="J19842" s="41">
        <v>45555</v>
      </c>
      <c r="K19842" s="30" t="s">
        <v>22</v>
      </c>
    </row>
    <row r="19843" spans="1:11">
      <c r="A19843" s="33" t="s">
        <v>44140</v>
      </c>
      <c r="B19843" s="33" t="s">
        <v>44141</v>
      </c>
      <c r="C19843" s="33" t="s">
        <v>647</v>
      </c>
      <c r="D19843" s="33" t="s">
        <v>17</v>
      </c>
      <c r="E19843" s="33" t="s">
        <v>18</v>
      </c>
      <c r="F19843" s="33" t="s">
        <v>19</v>
      </c>
      <c r="G19843" s="33" t="s">
        <v>140</v>
      </c>
      <c r="H19843" s="35">
        <v>1200</v>
      </c>
      <c r="I19843" s="33" t="s">
        <v>51</v>
      </c>
      <c r="J19843" s="42">
        <v>45396</v>
      </c>
      <c r="K19843" s="33" t="s">
        <v>22</v>
      </c>
    </row>
    <row r="19844" spans="1:11">
      <c r="A19844" s="30" t="s">
        <v>44142</v>
      </c>
      <c r="B19844" s="30" t="s">
        <v>44143</v>
      </c>
      <c r="C19844" s="30" t="s">
        <v>149</v>
      </c>
      <c r="D19844" s="30" t="s">
        <v>17</v>
      </c>
      <c r="E19844" s="30" t="s">
        <v>18</v>
      </c>
      <c r="F19844" s="30" t="s">
        <v>19</v>
      </c>
      <c r="G19844" s="30" t="s">
        <v>20</v>
      </c>
      <c r="H19844" s="32">
        <v>69</v>
      </c>
      <c r="I19844" s="30" t="s">
        <v>21</v>
      </c>
      <c r="J19844" s="41">
        <v>45344</v>
      </c>
      <c r="K19844" s="30" t="s">
        <v>22</v>
      </c>
    </row>
    <row r="19845" spans="1:11">
      <c r="A19845" s="33" t="s">
        <v>44144</v>
      </c>
      <c r="B19845" s="33" t="s">
        <v>44145</v>
      </c>
      <c r="C19845" s="33" t="s">
        <v>2472</v>
      </c>
      <c r="D19845" s="33" t="s">
        <v>17</v>
      </c>
      <c r="E19845" s="33" t="s">
        <v>18</v>
      </c>
      <c r="F19845" s="33" t="s">
        <v>19</v>
      </c>
      <c r="G19845" s="33" t="s">
        <v>20</v>
      </c>
      <c r="H19845" s="35">
        <v>2457</v>
      </c>
      <c r="I19845" s="33" t="s">
        <v>21</v>
      </c>
      <c r="J19845" s="42">
        <v>45614</v>
      </c>
      <c r="K19845" s="33" t="s">
        <v>22</v>
      </c>
    </row>
    <row r="19846" spans="1:11">
      <c r="A19846" s="30" t="s">
        <v>44146</v>
      </c>
      <c r="B19846" s="30" t="s">
        <v>44147</v>
      </c>
      <c r="C19846" s="30" t="s">
        <v>32821</v>
      </c>
      <c r="D19846" s="30" t="s">
        <v>17</v>
      </c>
      <c r="E19846" s="30" t="s">
        <v>31</v>
      </c>
      <c r="F19846" s="30" t="s">
        <v>32</v>
      </c>
      <c r="G19846" s="30" t="s">
        <v>158</v>
      </c>
      <c r="H19846" s="32">
        <v>24</v>
      </c>
      <c r="I19846" s="30" t="s">
        <v>21</v>
      </c>
      <c r="J19846" s="41">
        <v>45502</v>
      </c>
      <c r="K19846" s="30" t="s">
        <v>22</v>
      </c>
    </row>
    <row r="19847" spans="1:11">
      <c r="A19847" s="33" t="s">
        <v>44148</v>
      </c>
      <c r="B19847" s="33" t="s">
        <v>44149</v>
      </c>
      <c r="C19847" s="33" t="s">
        <v>20064</v>
      </c>
      <c r="D19847" s="33" t="s">
        <v>17</v>
      </c>
      <c r="E19847" s="33" t="s">
        <v>45</v>
      </c>
      <c r="F19847" s="33" t="s">
        <v>46</v>
      </c>
      <c r="G19847" s="33" t="s">
        <v>140</v>
      </c>
      <c r="H19847" s="35">
        <v>375</v>
      </c>
      <c r="I19847" s="33" t="s">
        <v>51</v>
      </c>
      <c r="J19847" s="42">
        <v>45533</v>
      </c>
      <c r="K19847" s="33" t="s">
        <v>22</v>
      </c>
    </row>
    <row r="19848" spans="1:11">
      <c r="A19848" s="30" t="s">
        <v>44150</v>
      </c>
      <c r="B19848" s="30" t="s">
        <v>44151</v>
      </c>
      <c r="C19848" s="30" t="s">
        <v>27689</v>
      </c>
      <c r="D19848" s="30" t="s">
        <v>17</v>
      </c>
      <c r="E19848" s="30" t="s">
        <v>18</v>
      </c>
      <c r="F19848" s="30" t="s">
        <v>19</v>
      </c>
      <c r="G19848" s="30" t="s">
        <v>140</v>
      </c>
      <c r="H19848" s="32">
        <v>72</v>
      </c>
      <c r="I19848" s="30" t="s">
        <v>51</v>
      </c>
      <c r="J19848" s="41">
        <v>45538</v>
      </c>
      <c r="K19848" s="30" t="s">
        <v>22</v>
      </c>
    </row>
    <row r="19849" spans="1:11">
      <c r="A19849" s="33" t="s">
        <v>44152</v>
      </c>
      <c r="B19849" s="33" t="s">
        <v>44153</v>
      </c>
      <c r="C19849" s="33" t="s">
        <v>715</v>
      </c>
      <c r="D19849" s="33" t="s">
        <v>17</v>
      </c>
      <c r="E19849" s="33" t="s">
        <v>18</v>
      </c>
      <c r="F19849" s="33" t="s">
        <v>19</v>
      </c>
      <c r="G19849" s="33" t="s">
        <v>20</v>
      </c>
      <c r="H19849" s="35">
        <v>95</v>
      </c>
      <c r="I19849" s="33" t="s">
        <v>21</v>
      </c>
      <c r="J19849" s="42">
        <v>45370</v>
      </c>
      <c r="K19849" s="33" t="s">
        <v>22</v>
      </c>
    </row>
    <row r="19850" spans="1:11">
      <c r="A19850" s="30" t="s">
        <v>44154</v>
      </c>
      <c r="B19850" s="30" t="s">
        <v>44155</v>
      </c>
      <c r="C19850" s="30" t="s">
        <v>310</v>
      </c>
      <c r="D19850" s="30" t="s">
        <v>17</v>
      </c>
      <c r="E19850" s="30" t="s">
        <v>26</v>
      </c>
      <c r="F19850" s="30" t="s">
        <v>27</v>
      </c>
      <c r="G19850" s="30" t="s">
        <v>20</v>
      </c>
      <c r="H19850" s="32">
        <v>117</v>
      </c>
      <c r="I19850" s="30" t="s">
        <v>21</v>
      </c>
      <c r="J19850" s="41">
        <v>45608</v>
      </c>
      <c r="K19850" s="30" t="s">
        <v>22</v>
      </c>
    </row>
    <row r="19851" spans="1:11">
      <c r="A19851" s="33" t="s">
        <v>44156</v>
      </c>
      <c r="B19851" s="33" t="s">
        <v>44157</v>
      </c>
      <c r="C19851" s="33" t="s">
        <v>149</v>
      </c>
      <c r="D19851" s="33" t="s">
        <v>17</v>
      </c>
      <c r="E19851" s="33" t="s">
        <v>67</v>
      </c>
      <c r="F19851" s="33" t="s">
        <v>68</v>
      </c>
      <c r="G19851" s="33" t="s">
        <v>140</v>
      </c>
      <c r="H19851" s="35">
        <v>528</v>
      </c>
      <c r="I19851" s="33" t="s">
        <v>51</v>
      </c>
      <c r="J19851" s="42">
        <v>45516</v>
      </c>
      <c r="K19851" s="33" t="s">
        <v>22</v>
      </c>
    </row>
    <row r="19852" spans="1:11">
      <c r="A19852" s="30" t="s">
        <v>44158</v>
      </c>
      <c r="B19852" s="30" t="s">
        <v>44159</v>
      </c>
      <c r="C19852" s="30" t="s">
        <v>21136</v>
      </c>
      <c r="D19852" s="30" t="s">
        <v>17</v>
      </c>
      <c r="E19852" s="30" t="s">
        <v>26</v>
      </c>
      <c r="F19852" s="30" t="s">
        <v>27</v>
      </c>
      <c r="G19852" s="30" t="s">
        <v>20</v>
      </c>
      <c r="H19852" s="32">
        <v>40</v>
      </c>
      <c r="I19852" s="30" t="s">
        <v>21</v>
      </c>
      <c r="J19852" s="41">
        <v>45308</v>
      </c>
      <c r="K19852" s="30" t="s">
        <v>22</v>
      </c>
    </row>
    <row r="19853" spans="1:11">
      <c r="A19853" s="33" t="s">
        <v>44160</v>
      </c>
      <c r="B19853" s="33" t="s">
        <v>44161</v>
      </c>
      <c r="C19853" s="33" t="s">
        <v>43361</v>
      </c>
      <c r="D19853" s="33" t="s">
        <v>17</v>
      </c>
      <c r="E19853" s="33" t="s">
        <v>26</v>
      </c>
      <c r="F19853" s="33" t="s">
        <v>27</v>
      </c>
      <c r="G19853" s="33" t="s">
        <v>140</v>
      </c>
      <c r="H19853" s="35">
        <v>12</v>
      </c>
      <c r="I19853" s="33" t="s">
        <v>51</v>
      </c>
      <c r="J19853" s="42">
        <v>45483</v>
      </c>
      <c r="K19853" s="33" t="s">
        <v>22</v>
      </c>
    </row>
    <row r="19854" spans="1:11">
      <c r="A19854" s="30" t="s">
        <v>44162</v>
      </c>
      <c r="B19854" s="30" t="s">
        <v>44163</v>
      </c>
      <c r="C19854" s="30" t="s">
        <v>44164</v>
      </c>
      <c r="D19854" s="30" t="s">
        <v>17</v>
      </c>
      <c r="E19854" s="30" t="s">
        <v>18</v>
      </c>
      <c r="F19854" s="30" t="s">
        <v>19</v>
      </c>
      <c r="G19854" s="30" t="s">
        <v>140</v>
      </c>
      <c r="H19854" s="32">
        <v>240</v>
      </c>
      <c r="I19854" s="30" t="s">
        <v>51</v>
      </c>
      <c r="J19854" s="41">
        <v>45401</v>
      </c>
      <c r="K19854" s="30" t="s">
        <v>22</v>
      </c>
    </row>
    <row r="19855" spans="1:11">
      <c r="A19855" s="33" t="s">
        <v>44165</v>
      </c>
      <c r="B19855" s="33" t="s">
        <v>44166</v>
      </c>
      <c r="C19855" s="33" t="s">
        <v>2313</v>
      </c>
      <c r="D19855" s="33" t="s">
        <v>17</v>
      </c>
      <c r="E19855" s="33" t="s">
        <v>26</v>
      </c>
      <c r="F19855" s="33" t="s">
        <v>27</v>
      </c>
      <c r="G19855" s="33" t="s">
        <v>112</v>
      </c>
      <c r="H19855" s="35">
        <v>0</v>
      </c>
      <c r="I19855" s="33" t="s">
        <v>21</v>
      </c>
      <c r="J19855" s="42">
        <v>45565</v>
      </c>
      <c r="K19855" s="33" t="s">
        <v>22</v>
      </c>
    </row>
    <row r="19856" spans="1:11">
      <c r="A19856" s="30" t="s">
        <v>44167</v>
      </c>
      <c r="B19856" s="30" t="s">
        <v>44168</v>
      </c>
      <c r="C19856" s="30" t="s">
        <v>44169</v>
      </c>
      <c r="D19856" s="30" t="s">
        <v>17</v>
      </c>
      <c r="E19856" s="30" t="s">
        <v>67</v>
      </c>
      <c r="F19856" s="30" t="s">
        <v>68</v>
      </c>
      <c r="G19856" s="30" t="s">
        <v>140</v>
      </c>
      <c r="H19856" s="32">
        <v>50</v>
      </c>
      <c r="I19856" s="30" t="s">
        <v>51</v>
      </c>
      <c r="J19856" s="41">
        <v>45562</v>
      </c>
      <c r="K19856" s="30" t="s">
        <v>22</v>
      </c>
    </row>
    <row r="19857" spans="1:11">
      <c r="A19857" s="33" t="s">
        <v>44170</v>
      </c>
      <c r="B19857" s="33" t="s">
        <v>44171</v>
      </c>
      <c r="C19857" s="33" t="s">
        <v>2842</v>
      </c>
      <c r="D19857" s="33" t="s">
        <v>17</v>
      </c>
      <c r="E19857" s="33" t="s">
        <v>18</v>
      </c>
      <c r="F19857" s="33" t="s">
        <v>19</v>
      </c>
      <c r="G19857" s="33" t="s">
        <v>140</v>
      </c>
      <c r="H19857" s="35">
        <v>350</v>
      </c>
      <c r="I19857" s="33" t="s">
        <v>51</v>
      </c>
      <c r="J19857" s="42">
        <v>45462</v>
      </c>
      <c r="K19857" s="33" t="s">
        <v>22</v>
      </c>
    </row>
    <row r="19858" spans="1:11">
      <c r="A19858" s="30" t="s">
        <v>44172</v>
      </c>
      <c r="B19858" s="30" t="s">
        <v>44173</v>
      </c>
      <c r="C19858" s="30" t="s">
        <v>6248</v>
      </c>
      <c r="D19858" s="30" t="s">
        <v>17</v>
      </c>
      <c r="E19858" s="30" t="s">
        <v>45</v>
      </c>
      <c r="F19858" s="30" t="s">
        <v>46</v>
      </c>
      <c r="G19858" s="30" t="s">
        <v>140</v>
      </c>
      <c r="H19858" s="32">
        <v>55</v>
      </c>
      <c r="I19858" s="30" t="s">
        <v>51</v>
      </c>
      <c r="J19858" s="41">
        <v>45441</v>
      </c>
      <c r="K19858" s="30" t="s">
        <v>22</v>
      </c>
    </row>
    <row r="19859" spans="1:11">
      <c r="A19859" s="33" t="s">
        <v>44174</v>
      </c>
      <c r="B19859" s="33" t="s">
        <v>44175</v>
      </c>
      <c r="C19859" s="33" t="s">
        <v>231</v>
      </c>
      <c r="D19859" s="33" t="s">
        <v>17</v>
      </c>
      <c r="E19859" s="33" t="s">
        <v>26</v>
      </c>
      <c r="F19859" s="33" t="s">
        <v>27</v>
      </c>
      <c r="G19859" s="33" t="s">
        <v>20</v>
      </c>
      <c r="H19859" s="35">
        <v>40</v>
      </c>
      <c r="I19859" s="33" t="s">
        <v>21</v>
      </c>
      <c r="J19859" s="42">
        <v>45391</v>
      </c>
      <c r="K19859" s="33" t="s">
        <v>22</v>
      </c>
    </row>
    <row r="19860" spans="1:11">
      <c r="A19860" s="30" t="s">
        <v>44176</v>
      </c>
      <c r="B19860" s="30" t="s">
        <v>44177</v>
      </c>
      <c r="C19860" s="30" t="s">
        <v>5246</v>
      </c>
      <c r="D19860" s="30" t="s">
        <v>17</v>
      </c>
      <c r="E19860" s="30" t="s">
        <v>31</v>
      </c>
      <c r="F19860" s="30" t="s">
        <v>32</v>
      </c>
      <c r="G19860" s="30" t="s">
        <v>140</v>
      </c>
      <c r="H19860" s="32">
        <v>270</v>
      </c>
      <c r="I19860" s="30" t="s">
        <v>51</v>
      </c>
      <c r="J19860" s="41">
        <v>45343</v>
      </c>
      <c r="K19860" s="30" t="s">
        <v>22</v>
      </c>
    </row>
    <row r="19861" spans="1:11">
      <c r="A19861" s="33" t="s">
        <v>44178</v>
      </c>
      <c r="B19861" s="33" t="s">
        <v>44179</v>
      </c>
      <c r="C19861" s="33" t="s">
        <v>8374</v>
      </c>
      <c r="D19861" s="33" t="s">
        <v>17</v>
      </c>
      <c r="E19861" s="33" t="s">
        <v>45</v>
      </c>
      <c r="F19861" s="33" t="s">
        <v>46</v>
      </c>
      <c r="G19861" s="33" t="s">
        <v>140</v>
      </c>
      <c r="H19861" s="35">
        <v>166</v>
      </c>
      <c r="I19861" s="33" t="s">
        <v>51</v>
      </c>
      <c r="J19861" s="42">
        <v>45397</v>
      </c>
      <c r="K19861" s="33" t="s">
        <v>22</v>
      </c>
    </row>
    <row r="19862" spans="1:11">
      <c r="A19862" s="30" t="s">
        <v>44180</v>
      </c>
      <c r="B19862" s="30" t="s">
        <v>44181</v>
      </c>
      <c r="C19862" s="30" t="s">
        <v>38860</v>
      </c>
      <c r="D19862" s="30" t="s">
        <v>17</v>
      </c>
      <c r="E19862" s="30" t="s">
        <v>31</v>
      </c>
      <c r="F19862" s="30" t="s">
        <v>32</v>
      </c>
      <c r="G19862" s="30" t="s">
        <v>106</v>
      </c>
      <c r="H19862" s="32">
        <v>94</v>
      </c>
      <c r="I19862" s="30" t="s">
        <v>21</v>
      </c>
      <c r="J19862" s="41">
        <v>45467</v>
      </c>
      <c r="K19862" s="30" t="s">
        <v>22</v>
      </c>
    </row>
    <row r="19863" spans="1:11">
      <c r="A19863" s="33" t="s">
        <v>44182</v>
      </c>
      <c r="B19863" s="33" t="s">
        <v>44183</v>
      </c>
      <c r="C19863" s="33" t="s">
        <v>3429</v>
      </c>
      <c r="D19863" s="33" t="s">
        <v>17</v>
      </c>
      <c r="E19863" s="33" t="s">
        <v>26</v>
      </c>
      <c r="F19863" s="33" t="s">
        <v>27</v>
      </c>
      <c r="G19863" s="33" t="s">
        <v>20</v>
      </c>
      <c r="H19863" s="35">
        <v>30</v>
      </c>
      <c r="I19863" s="33" t="s">
        <v>21</v>
      </c>
      <c r="J19863" s="42">
        <v>45426</v>
      </c>
      <c r="K19863" s="33" t="s">
        <v>22</v>
      </c>
    </row>
    <row r="19864" spans="1:11">
      <c r="A19864" s="30" t="s">
        <v>44184</v>
      </c>
      <c r="B19864" s="30" t="s">
        <v>44185</v>
      </c>
      <c r="C19864" s="30" t="s">
        <v>93</v>
      </c>
      <c r="D19864" s="30" t="s">
        <v>17</v>
      </c>
      <c r="E19864" s="30" t="s">
        <v>18</v>
      </c>
      <c r="F19864" s="30" t="s">
        <v>19</v>
      </c>
      <c r="G19864" s="30" t="s">
        <v>112</v>
      </c>
      <c r="H19864" s="32">
        <v>0</v>
      </c>
      <c r="I19864" s="30" t="s">
        <v>21</v>
      </c>
      <c r="J19864" s="41">
        <v>45443</v>
      </c>
      <c r="K19864" s="30" t="s">
        <v>22</v>
      </c>
    </row>
    <row r="19865" spans="1:11">
      <c r="A19865" s="33" t="s">
        <v>44186</v>
      </c>
      <c r="B19865" s="33" t="s">
        <v>44187</v>
      </c>
      <c r="C19865" s="33" t="s">
        <v>34000</v>
      </c>
      <c r="D19865" s="33" t="s">
        <v>17</v>
      </c>
      <c r="E19865" s="33" t="s">
        <v>67</v>
      </c>
      <c r="F19865" s="33" t="s">
        <v>68</v>
      </c>
      <c r="G19865" s="33" t="s">
        <v>140</v>
      </c>
      <c r="H19865" s="35">
        <v>45</v>
      </c>
      <c r="I19865" s="33" t="s">
        <v>51</v>
      </c>
      <c r="J19865" s="42">
        <v>45433</v>
      </c>
      <c r="K19865" s="33" t="s">
        <v>22</v>
      </c>
    </row>
    <row r="19866" spans="1:11">
      <c r="A19866" s="30" t="s">
        <v>44188</v>
      </c>
      <c r="B19866" s="30" t="s">
        <v>44189</v>
      </c>
      <c r="C19866" s="30" t="s">
        <v>3826</v>
      </c>
      <c r="D19866" s="30" t="s">
        <v>17</v>
      </c>
      <c r="E19866" s="30" t="s">
        <v>31</v>
      </c>
      <c r="F19866" s="30" t="s">
        <v>32</v>
      </c>
      <c r="G19866" s="30" t="s">
        <v>20</v>
      </c>
      <c r="H19866" s="32">
        <v>67</v>
      </c>
      <c r="I19866" s="30" t="s">
        <v>21</v>
      </c>
      <c r="J19866" s="41">
        <v>45456</v>
      </c>
      <c r="K19866" s="30" t="s">
        <v>22</v>
      </c>
    </row>
    <row r="19867" spans="1:11">
      <c r="A19867" s="33" t="s">
        <v>44190</v>
      </c>
      <c r="B19867" s="33" t="s">
        <v>44191</v>
      </c>
      <c r="C19867" s="33" t="s">
        <v>647</v>
      </c>
      <c r="D19867" s="33" t="s">
        <v>17</v>
      </c>
      <c r="E19867" s="33" t="s">
        <v>31</v>
      </c>
      <c r="F19867" s="33" t="s">
        <v>32</v>
      </c>
      <c r="G19867" s="33" t="s">
        <v>158</v>
      </c>
      <c r="H19867" s="35">
        <v>66</v>
      </c>
      <c r="I19867" s="33" t="s">
        <v>51</v>
      </c>
      <c r="J19867" s="42">
        <v>45579</v>
      </c>
      <c r="K19867" s="33" t="s">
        <v>22</v>
      </c>
    </row>
    <row r="19868" spans="1:11">
      <c r="A19868" s="30" t="s">
        <v>44192</v>
      </c>
      <c r="B19868" s="30" t="s">
        <v>44193</v>
      </c>
      <c r="C19868" s="30" t="s">
        <v>39973</v>
      </c>
      <c r="D19868" s="30" t="s">
        <v>17</v>
      </c>
      <c r="E19868" s="30" t="s">
        <v>330</v>
      </c>
      <c r="F19868" s="30" t="s">
        <v>331</v>
      </c>
      <c r="G19868" s="30" t="s">
        <v>7780</v>
      </c>
      <c r="H19868" s="32">
        <v>20</v>
      </c>
      <c r="I19868" s="30" t="s">
        <v>51</v>
      </c>
      <c r="J19868" s="41">
        <v>45646</v>
      </c>
      <c r="K19868" s="30" t="s">
        <v>22</v>
      </c>
    </row>
    <row r="19869" spans="1:11">
      <c r="A19869" s="33" t="s">
        <v>44194</v>
      </c>
      <c r="B19869" s="33" t="s">
        <v>44195</v>
      </c>
      <c r="C19869" s="33" t="s">
        <v>1024</v>
      </c>
      <c r="D19869" s="33" t="s">
        <v>17</v>
      </c>
      <c r="E19869" s="33" t="s">
        <v>26</v>
      </c>
      <c r="F19869" s="33" t="s">
        <v>27</v>
      </c>
      <c r="G19869" s="33" t="s">
        <v>20</v>
      </c>
      <c r="H19869" s="35">
        <v>30</v>
      </c>
      <c r="I19869" s="33" t="s">
        <v>21</v>
      </c>
      <c r="J19869" s="42">
        <v>45649</v>
      </c>
      <c r="K19869" s="33" t="s">
        <v>22</v>
      </c>
    </row>
    <row r="19870" spans="1:11">
      <c r="A19870" s="30" t="s">
        <v>44196</v>
      </c>
      <c r="B19870" s="30" t="s">
        <v>44197</v>
      </c>
      <c r="C19870" s="30" t="s">
        <v>1090</v>
      </c>
      <c r="D19870" s="30" t="s">
        <v>17</v>
      </c>
      <c r="E19870" s="30" t="s">
        <v>18</v>
      </c>
      <c r="F19870" s="30" t="s">
        <v>19</v>
      </c>
      <c r="G19870" s="30" t="s">
        <v>7780</v>
      </c>
      <c r="H19870" s="32">
        <v>142</v>
      </c>
      <c r="I19870" s="30" t="s">
        <v>51</v>
      </c>
      <c r="J19870" s="41">
        <v>45516</v>
      </c>
      <c r="K19870" s="30" t="s">
        <v>22</v>
      </c>
    </row>
    <row r="19871" spans="1:11">
      <c r="A19871" s="33" t="s">
        <v>44198</v>
      </c>
      <c r="B19871" s="33" t="s">
        <v>44199</v>
      </c>
      <c r="C19871" s="33" t="s">
        <v>450</v>
      </c>
      <c r="D19871" s="33" t="s">
        <v>17</v>
      </c>
      <c r="E19871" s="33" t="s">
        <v>18</v>
      </c>
      <c r="F19871" s="33" t="s">
        <v>19</v>
      </c>
      <c r="G19871" s="33" t="s">
        <v>158</v>
      </c>
      <c r="H19871" s="35">
        <v>579</v>
      </c>
      <c r="I19871" s="33" t="s">
        <v>21</v>
      </c>
      <c r="J19871" s="42">
        <v>45380</v>
      </c>
      <c r="K19871" s="33" t="s">
        <v>22</v>
      </c>
    </row>
    <row r="19872" spans="1:11">
      <c r="A19872" s="30" t="s">
        <v>44200</v>
      </c>
      <c r="B19872" s="30" t="s">
        <v>44201</v>
      </c>
      <c r="C19872" s="30" t="s">
        <v>16002</v>
      </c>
      <c r="D19872" s="30" t="s">
        <v>17</v>
      </c>
      <c r="E19872" s="30" t="s">
        <v>18</v>
      </c>
      <c r="F19872" s="30" t="s">
        <v>19</v>
      </c>
      <c r="G19872" s="30" t="s">
        <v>140</v>
      </c>
      <c r="H19872" s="32">
        <v>416</v>
      </c>
      <c r="I19872" s="30" t="s">
        <v>51</v>
      </c>
      <c r="J19872" s="41">
        <v>45496</v>
      </c>
      <c r="K19872" s="30" t="s">
        <v>22</v>
      </c>
    </row>
    <row r="19873" spans="1:11">
      <c r="A19873" s="33" t="s">
        <v>44202</v>
      </c>
      <c r="B19873" s="33" t="s">
        <v>44203</v>
      </c>
      <c r="C19873" s="33" t="s">
        <v>118</v>
      </c>
      <c r="D19873" s="33" t="s">
        <v>17</v>
      </c>
      <c r="E19873" s="33" t="s">
        <v>31</v>
      </c>
      <c r="F19873" s="33" t="s">
        <v>32</v>
      </c>
      <c r="G19873" s="33" t="s">
        <v>20</v>
      </c>
      <c r="H19873" s="35">
        <v>1222</v>
      </c>
      <c r="I19873" s="33" t="s">
        <v>21</v>
      </c>
      <c r="J19873" s="42">
        <v>45512</v>
      </c>
      <c r="K19873" s="33" t="s">
        <v>22</v>
      </c>
    </row>
    <row r="19874" spans="1:11">
      <c r="A19874" s="30" t="s">
        <v>44204</v>
      </c>
      <c r="B19874" s="30" t="s">
        <v>44205</v>
      </c>
      <c r="C19874" s="30" t="s">
        <v>44206</v>
      </c>
      <c r="D19874" s="30" t="s">
        <v>17</v>
      </c>
      <c r="E19874" s="30" t="s">
        <v>31</v>
      </c>
      <c r="F19874" s="30" t="s">
        <v>32</v>
      </c>
      <c r="G19874" s="30" t="s">
        <v>50</v>
      </c>
      <c r="H19874" s="32">
        <v>240</v>
      </c>
      <c r="I19874" s="30" t="s">
        <v>51</v>
      </c>
      <c r="J19874" s="41">
        <v>45407</v>
      </c>
      <c r="K19874" s="30" t="s">
        <v>22</v>
      </c>
    </row>
    <row r="19875" spans="1:11">
      <c r="A19875" s="33" t="s">
        <v>44207</v>
      </c>
      <c r="B19875" s="33" t="s">
        <v>44208</v>
      </c>
      <c r="C19875" s="33" t="s">
        <v>2709</v>
      </c>
      <c r="D19875" s="33" t="s">
        <v>17</v>
      </c>
      <c r="E19875" s="33" t="s">
        <v>330</v>
      </c>
      <c r="F19875" s="33" t="s">
        <v>331</v>
      </c>
      <c r="G19875" s="33" t="s">
        <v>50</v>
      </c>
      <c r="H19875" s="35">
        <v>190</v>
      </c>
      <c r="I19875" s="33" t="s">
        <v>51</v>
      </c>
      <c r="J19875" s="42">
        <v>45392</v>
      </c>
      <c r="K19875" s="33" t="s">
        <v>22</v>
      </c>
    </row>
    <row r="19876" spans="1:11">
      <c r="A19876" s="30" t="s">
        <v>44209</v>
      </c>
      <c r="B19876" s="30" t="s">
        <v>44210</v>
      </c>
      <c r="C19876" s="30" t="s">
        <v>25976</v>
      </c>
      <c r="D19876" s="30" t="s">
        <v>17</v>
      </c>
      <c r="E19876" s="30" t="s">
        <v>45</v>
      </c>
      <c r="F19876" s="30" t="s">
        <v>46</v>
      </c>
      <c r="G19876" s="30" t="s">
        <v>140</v>
      </c>
      <c r="H19876" s="32">
        <v>104</v>
      </c>
      <c r="I19876" s="30" t="s">
        <v>51</v>
      </c>
      <c r="J19876" s="41">
        <v>45474</v>
      </c>
      <c r="K19876" s="30" t="s">
        <v>22</v>
      </c>
    </row>
    <row r="19877" spans="1:11">
      <c r="A19877" s="33" t="s">
        <v>44211</v>
      </c>
      <c r="B19877" s="33" t="s">
        <v>44212</v>
      </c>
      <c r="C19877" s="33" t="s">
        <v>23090</v>
      </c>
      <c r="D19877" s="33" t="s">
        <v>17</v>
      </c>
      <c r="E19877" s="33" t="s">
        <v>67</v>
      </c>
      <c r="F19877" s="33" t="s">
        <v>68</v>
      </c>
      <c r="G19877" s="33" t="s">
        <v>50</v>
      </c>
      <c r="H19877" s="35">
        <v>84</v>
      </c>
      <c r="I19877" s="33" t="s">
        <v>21</v>
      </c>
      <c r="J19877" s="42">
        <v>45320</v>
      </c>
      <c r="K19877" s="33" t="s">
        <v>22</v>
      </c>
    </row>
    <row r="19878" spans="1:11">
      <c r="A19878" s="30" t="s">
        <v>44213</v>
      </c>
      <c r="B19878" s="30" t="s">
        <v>44214</v>
      </c>
      <c r="C19878" s="30" t="s">
        <v>6325</v>
      </c>
      <c r="D19878" s="30" t="s">
        <v>17</v>
      </c>
      <c r="E19878" s="30" t="s">
        <v>31</v>
      </c>
      <c r="F19878" s="30" t="s">
        <v>32</v>
      </c>
      <c r="G19878" s="30" t="s">
        <v>2613</v>
      </c>
      <c r="H19878" s="32">
        <v>252</v>
      </c>
      <c r="I19878" s="30" t="s">
        <v>51</v>
      </c>
      <c r="J19878" s="41">
        <v>45631</v>
      </c>
      <c r="K19878" s="30" t="s">
        <v>22</v>
      </c>
    </row>
    <row r="19879" spans="1:11">
      <c r="A19879" s="33" t="s">
        <v>44215</v>
      </c>
      <c r="B19879" s="33" t="s">
        <v>44216</v>
      </c>
      <c r="C19879" s="33" t="s">
        <v>42964</v>
      </c>
      <c r="D19879" s="33" t="s">
        <v>17</v>
      </c>
      <c r="E19879" s="33" t="s">
        <v>26</v>
      </c>
      <c r="F19879" s="33" t="s">
        <v>27</v>
      </c>
      <c r="G19879" s="33" t="s">
        <v>158</v>
      </c>
      <c r="H19879" s="35">
        <v>41</v>
      </c>
      <c r="I19879" s="33" t="s">
        <v>21</v>
      </c>
      <c r="J19879" s="42">
        <v>45532</v>
      </c>
      <c r="K19879" s="33" t="s">
        <v>22</v>
      </c>
    </row>
    <row r="19880" spans="1:11">
      <c r="A19880" s="30" t="s">
        <v>44217</v>
      </c>
      <c r="B19880" s="30" t="s">
        <v>44218</v>
      </c>
      <c r="C19880" s="30" t="s">
        <v>44219</v>
      </c>
      <c r="D19880" s="30" t="s">
        <v>17</v>
      </c>
      <c r="E19880" s="30" t="s">
        <v>26</v>
      </c>
      <c r="F19880" s="30" t="s">
        <v>27</v>
      </c>
      <c r="G19880" s="30" t="s">
        <v>7780</v>
      </c>
      <c r="H19880" s="32">
        <v>30</v>
      </c>
      <c r="I19880" s="30" t="s">
        <v>51</v>
      </c>
      <c r="J19880" s="41">
        <v>45627</v>
      </c>
      <c r="K19880" s="30" t="s">
        <v>22</v>
      </c>
    </row>
    <row r="19881" spans="1:11">
      <c r="A19881" s="33" t="s">
        <v>44220</v>
      </c>
      <c r="B19881" s="33" t="s">
        <v>44221</v>
      </c>
      <c r="C19881" s="33" t="s">
        <v>1219</v>
      </c>
      <c r="D19881" s="33" t="s">
        <v>17</v>
      </c>
      <c r="E19881" s="33" t="s">
        <v>18</v>
      </c>
      <c r="F19881" s="33" t="s">
        <v>19</v>
      </c>
      <c r="G19881" s="33" t="s">
        <v>140</v>
      </c>
      <c r="H19881" s="35">
        <v>218</v>
      </c>
      <c r="I19881" s="33" t="s">
        <v>51</v>
      </c>
      <c r="J19881" s="42">
        <v>45425</v>
      </c>
      <c r="K19881" s="33" t="s">
        <v>22</v>
      </c>
    </row>
    <row r="19882" spans="1:11">
      <c r="A19882" s="30" t="s">
        <v>44222</v>
      </c>
      <c r="B19882" s="30" t="s">
        <v>44223</v>
      </c>
      <c r="C19882" s="30" t="s">
        <v>2842</v>
      </c>
      <c r="D19882" s="30" t="s">
        <v>17</v>
      </c>
      <c r="E19882" s="30" t="s">
        <v>18</v>
      </c>
      <c r="F19882" s="30" t="s">
        <v>19</v>
      </c>
      <c r="G19882" s="30" t="s">
        <v>140</v>
      </c>
      <c r="H19882" s="32">
        <v>160</v>
      </c>
      <c r="I19882" s="30" t="s">
        <v>51</v>
      </c>
      <c r="J19882" s="41">
        <v>45632</v>
      </c>
      <c r="K19882" s="30" t="s">
        <v>22</v>
      </c>
    </row>
    <row r="19883" spans="1:11">
      <c r="A19883" s="33" t="s">
        <v>44224</v>
      </c>
      <c r="B19883" s="33" t="s">
        <v>44225</v>
      </c>
      <c r="C19883" s="33" t="s">
        <v>44226</v>
      </c>
      <c r="D19883" s="33" t="s">
        <v>17</v>
      </c>
      <c r="E19883" s="33" t="s">
        <v>26</v>
      </c>
      <c r="F19883" s="33" t="s">
        <v>27</v>
      </c>
      <c r="G19883" s="33" t="s">
        <v>50</v>
      </c>
      <c r="H19883" s="35">
        <v>27</v>
      </c>
      <c r="I19883" s="33" t="s">
        <v>51</v>
      </c>
      <c r="J19883" s="42">
        <v>45292</v>
      </c>
      <c r="K19883" s="33" t="s">
        <v>22</v>
      </c>
    </row>
    <row r="19884" spans="1:11">
      <c r="A19884" s="30" t="s">
        <v>44227</v>
      </c>
      <c r="B19884" s="30" t="s">
        <v>44228</v>
      </c>
      <c r="C19884" s="30" t="s">
        <v>24130</v>
      </c>
      <c r="D19884" s="30" t="s">
        <v>17</v>
      </c>
      <c r="E19884" s="30" t="s">
        <v>67</v>
      </c>
      <c r="F19884" s="30" t="s">
        <v>68</v>
      </c>
      <c r="G19884" s="30" t="s">
        <v>140</v>
      </c>
      <c r="H19884" s="32">
        <v>10</v>
      </c>
      <c r="I19884" s="30" t="s">
        <v>51</v>
      </c>
      <c r="J19884" s="41">
        <v>45610</v>
      </c>
      <c r="K19884" s="30" t="s">
        <v>22</v>
      </c>
    </row>
    <row r="19885" spans="1:11">
      <c r="A19885" s="33" t="s">
        <v>44229</v>
      </c>
      <c r="B19885" s="33" t="s">
        <v>44230</v>
      </c>
      <c r="C19885" s="33" t="s">
        <v>1598</v>
      </c>
      <c r="D19885" s="33" t="s">
        <v>17</v>
      </c>
      <c r="E19885" s="33" t="s">
        <v>67</v>
      </c>
      <c r="F19885" s="33" t="s">
        <v>68</v>
      </c>
      <c r="G19885" s="33" t="s">
        <v>106</v>
      </c>
      <c r="H19885" s="35">
        <v>5</v>
      </c>
      <c r="I19885" s="33" t="s">
        <v>21</v>
      </c>
      <c r="J19885" s="42">
        <v>45523</v>
      </c>
      <c r="K19885" s="33" t="s">
        <v>22</v>
      </c>
    </row>
    <row r="19886" spans="1:11">
      <c r="A19886" s="30" t="s">
        <v>44231</v>
      </c>
      <c r="B19886" s="30" t="s">
        <v>44232</v>
      </c>
      <c r="C19886" s="30" t="s">
        <v>44233</v>
      </c>
      <c r="D19886" s="30" t="s">
        <v>17</v>
      </c>
      <c r="E19886" s="30" t="s">
        <v>26</v>
      </c>
      <c r="F19886" s="30" t="s">
        <v>27</v>
      </c>
      <c r="G19886" s="30" t="s">
        <v>140</v>
      </c>
      <c r="H19886" s="32">
        <v>21</v>
      </c>
      <c r="I19886" s="30" t="s">
        <v>51</v>
      </c>
      <c r="J19886" s="41">
        <v>45644</v>
      </c>
      <c r="K19886" s="30" t="s">
        <v>22</v>
      </c>
    </row>
    <row r="19887" spans="1:11">
      <c r="A19887" s="33" t="s">
        <v>44234</v>
      </c>
      <c r="B19887" s="33" t="s">
        <v>44235</v>
      </c>
      <c r="C19887" s="33" t="s">
        <v>109</v>
      </c>
      <c r="D19887" s="33" t="s">
        <v>17</v>
      </c>
      <c r="E19887" s="33" t="s">
        <v>18</v>
      </c>
      <c r="F19887" s="33" t="s">
        <v>19</v>
      </c>
      <c r="G19887" s="33" t="s">
        <v>140</v>
      </c>
      <c r="H19887" s="35">
        <v>1400</v>
      </c>
      <c r="I19887" s="33" t="s">
        <v>51</v>
      </c>
      <c r="J19887" s="42">
        <v>45350</v>
      </c>
      <c r="K19887" s="33" t="s">
        <v>22</v>
      </c>
    </row>
    <row r="19888" spans="1:11">
      <c r="A19888" s="30" t="s">
        <v>44236</v>
      </c>
      <c r="B19888" s="30" t="s">
        <v>44237</v>
      </c>
      <c r="C19888" s="30" t="s">
        <v>6127</v>
      </c>
      <c r="D19888" s="30" t="s">
        <v>17</v>
      </c>
      <c r="E19888" s="30" t="s">
        <v>26</v>
      </c>
      <c r="F19888" s="30" t="s">
        <v>27</v>
      </c>
      <c r="G19888" s="30" t="s">
        <v>20</v>
      </c>
      <c r="H19888" s="32">
        <v>42</v>
      </c>
      <c r="I19888" s="30" t="s">
        <v>21</v>
      </c>
      <c r="J19888" s="41">
        <v>45601</v>
      </c>
      <c r="K19888" s="30" t="s">
        <v>22</v>
      </c>
    </row>
    <row r="19889" spans="1:11">
      <c r="A19889" s="33" t="s">
        <v>44238</v>
      </c>
      <c r="B19889" s="33" t="s">
        <v>44239</v>
      </c>
      <c r="C19889" s="33" t="s">
        <v>21256</v>
      </c>
      <c r="D19889" s="33" t="s">
        <v>17</v>
      </c>
      <c r="E19889" s="33" t="s">
        <v>26</v>
      </c>
      <c r="F19889" s="33" t="s">
        <v>27</v>
      </c>
      <c r="G19889" s="33" t="s">
        <v>20</v>
      </c>
      <c r="H19889" s="35">
        <v>83</v>
      </c>
      <c r="I19889" s="33" t="s">
        <v>21</v>
      </c>
      <c r="J19889" s="42">
        <v>45341</v>
      </c>
      <c r="K19889" s="33" t="s">
        <v>22</v>
      </c>
    </row>
    <row r="19890" spans="1:11">
      <c r="A19890" s="30" t="s">
        <v>44240</v>
      </c>
      <c r="B19890" s="30" t="s">
        <v>44241</v>
      </c>
      <c r="C19890" s="30" t="s">
        <v>37733</v>
      </c>
      <c r="D19890" s="30" t="s">
        <v>17</v>
      </c>
      <c r="E19890" s="30" t="s">
        <v>26</v>
      </c>
      <c r="F19890" s="30" t="s">
        <v>27</v>
      </c>
      <c r="G19890" s="30" t="s">
        <v>158</v>
      </c>
      <c r="H19890" s="32">
        <v>40</v>
      </c>
      <c r="I19890" s="30" t="s">
        <v>51</v>
      </c>
      <c r="J19890" s="41">
        <v>45449</v>
      </c>
      <c r="K19890" s="30" t="s">
        <v>22</v>
      </c>
    </row>
    <row r="19891" spans="1:11">
      <c r="A19891" s="33" t="s">
        <v>44242</v>
      </c>
      <c r="B19891" s="33" t="s">
        <v>44243</v>
      </c>
      <c r="C19891" s="33" t="s">
        <v>969</v>
      </c>
      <c r="D19891" s="33" t="s">
        <v>17</v>
      </c>
      <c r="E19891" s="33" t="s">
        <v>31</v>
      </c>
      <c r="F19891" s="33" t="s">
        <v>32</v>
      </c>
      <c r="G19891" s="33" t="s">
        <v>158</v>
      </c>
      <c r="H19891" s="35">
        <v>41</v>
      </c>
      <c r="I19891" s="33" t="s">
        <v>21</v>
      </c>
      <c r="J19891" s="42">
        <v>45419</v>
      </c>
      <c r="K19891" s="33" t="s">
        <v>22</v>
      </c>
    </row>
    <row r="19892" spans="1:11">
      <c r="A19892" s="30" t="s">
        <v>44244</v>
      </c>
      <c r="B19892" s="30" t="s">
        <v>44245</v>
      </c>
      <c r="C19892" s="30" t="s">
        <v>1396</v>
      </c>
      <c r="D19892" s="30" t="s">
        <v>17</v>
      </c>
      <c r="E19892" s="30" t="s">
        <v>18</v>
      </c>
      <c r="F19892" s="30" t="s">
        <v>19</v>
      </c>
      <c r="G19892" s="30" t="s">
        <v>112</v>
      </c>
      <c r="H19892" s="32">
        <v>0</v>
      </c>
      <c r="I19892" s="30" t="s">
        <v>21</v>
      </c>
      <c r="J19892" s="41">
        <v>45364</v>
      </c>
      <c r="K19892" s="30" t="s">
        <v>22</v>
      </c>
    </row>
    <row r="19893" spans="1:11">
      <c r="A19893" s="33" t="s">
        <v>44246</v>
      </c>
      <c r="B19893" s="33" t="s">
        <v>44247</v>
      </c>
      <c r="C19893" s="33" t="s">
        <v>178</v>
      </c>
      <c r="D19893" s="33" t="s">
        <v>17</v>
      </c>
      <c r="E19893" s="33" t="s">
        <v>67</v>
      </c>
      <c r="F19893" s="33" t="s">
        <v>68</v>
      </c>
      <c r="G19893" s="33" t="s">
        <v>158</v>
      </c>
      <c r="H19893" s="35">
        <v>11</v>
      </c>
      <c r="I19893" s="33" t="s">
        <v>21</v>
      </c>
      <c r="J19893" s="42">
        <v>45614</v>
      </c>
      <c r="K19893" s="33" t="s">
        <v>22</v>
      </c>
    </row>
    <row r="19894" spans="1:11">
      <c r="A19894" s="30" t="s">
        <v>44248</v>
      </c>
      <c r="B19894" s="30" t="s">
        <v>44249</v>
      </c>
      <c r="C19894" s="30" t="s">
        <v>647</v>
      </c>
      <c r="D19894" s="30" t="s">
        <v>17</v>
      </c>
      <c r="E19894" s="30" t="s">
        <v>26</v>
      </c>
      <c r="F19894" s="30" t="s">
        <v>27</v>
      </c>
      <c r="G19894" s="30" t="s">
        <v>20</v>
      </c>
      <c r="H19894" s="32">
        <v>24</v>
      </c>
      <c r="I19894" s="30" t="s">
        <v>21</v>
      </c>
      <c r="J19894" s="41">
        <v>45572</v>
      </c>
      <c r="K19894" s="30" t="s">
        <v>22</v>
      </c>
    </row>
    <row r="19895" spans="1:11">
      <c r="A19895" s="33" t="s">
        <v>44250</v>
      </c>
      <c r="B19895" s="33" t="s">
        <v>44251</v>
      </c>
      <c r="C19895" s="33" t="s">
        <v>4176</v>
      </c>
      <c r="D19895" s="33" t="s">
        <v>17</v>
      </c>
      <c r="E19895" s="33" t="s">
        <v>18</v>
      </c>
      <c r="F19895" s="33" t="s">
        <v>19</v>
      </c>
      <c r="G19895" s="33" t="s">
        <v>20</v>
      </c>
      <c r="H19895" s="35">
        <v>200</v>
      </c>
      <c r="I19895" s="33" t="s">
        <v>21</v>
      </c>
      <c r="J19895" s="42">
        <v>45383</v>
      </c>
      <c r="K19895" s="33" t="s">
        <v>22</v>
      </c>
    </row>
    <row r="19896" spans="1:11">
      <c r="A19896" s="30" t="s">
        <v>44252</v>
      </c>
      <c r="B19896" s="30" t="s">
        <v>44253</v>
      </c>
      <c r="C19896" s="30" t="s">
        <v>40898</v>
      </c>
      <c r="D19896" s="30" t="s">
        <v>17</v>
      </c>
      <c r="E19896" s="30" t="s">
        <v>26</v>
      </c>
      <c r="F19896" s="30" t="s">
        <v>27</v>
      </c>
      <c r="G19896" s="30" t="s">
        <v>20</v>
      </c>
      <c r="H19896" s="32">
        <v>78</v>
      </c>
      <c r="I19896" s="30" t="s">
        <v>21</v>
      </c>
      <c r="J19896" s="41">
        <v>45483</v>
      </c>
      <c r="K19896" s="30" t="s">
        <v>22</v>
      </c>
    </row>
    <row r="19897" spans="1:11">
      <c r="A19897" s="33" t="s">
        <v>44254</v>
      </c>
      <c r="B19897" s="33" t="s">
        <v>44255</v>
      </c>
      <c r="C19897" s="33" t="s">
        <v>44256</v>
      </c>
      <c r="D19897" s="33" t="s">
        <v>17</v>
      </c>
      <c r="E19897" s="33" t="s">
        <v>330</v>
      </c>
      <c r="F19897" s="33" t="s">
        <v>331</v>
      </c>
      <c r="G19897" s="33" t="s">
        <v>158</v>
      </c>
      <c r="H19897" s="35">
        <v>24</v>
      </c>
      <c r="I19897" s="33" t="s">
        <v>21</v>
      </c>
      <c r="J19897" s="42">
        <v>45363</v>
      </c>
      <c r="K19897" s="33" t="s">
        <v>22</v>
      </c>
    </row>
    <row r="19898" spans="1:11">
      <c r="A19898" s="30" t="s">
        <v>44257</v>
      </c>
      <c r="B19898" s="30" t="s">
        <v>44258</v>
      </c>
      <c r="C19898" s="30" t="s">
        <v>2842</v>
      </c>
      <c r="D19898" s="30" t="s">
        <v>17</v>
      </c>
      <c r="E19898" s="30" t="s">
        <v>26</v>
      </c>
      <c r="F19898" s="30" t="s">
        <v>27</v>
      </c>
      <c r="G19898" s="30" t="s">
        <v>20</v>
      </c>
      <c r="H19898" s="32">
        <v>52</v>
      </c>
      <c r="I19898" s="30" t="s">
        <v>21</v>
      </c>
      <c r="J19898" s="41">
        <v>45527</v>
      </c>
      <c r="K19898" s="30" t="s">
        <v>22</v>
      </c>
    </row>
    <row r="19899" spans="1:11">
      <c r="A19899" s="33" t="s">
        <v>44259</v>
      </c>
      <c r="B19899" s="33" t="s">
        <v>44260</v>
      </c>
      <c r="C19899" s="33" t="s">
        <v>22083</v>
      </c>
      <c r="D19899" s="33" t="s">
        <v>17</v>
      </c>
      <c r="E19899" s="33" t="s">
        <v>26</v>
      </c>
      <c r="F19899" s="33" t="s">
        <v>27</v>
      </c>
      <c r="G19899" s="33" t="s">
        <v>20</v>
      </c>
      <c r="H19899" s="35">
        <v>24</v>
      </c>
      <c r="I19899" s="33" t="s">
        <v>21</v>
      </c>
      <c r="J19899" s="42">
        <v>45572</v>
      </c>
      <c r="K19899" s="33" t="s">
        <v>22</v>
      </c>
    </row>
    <row r="19900" spans="1:11">
      <c r="A19900" s="30" t="s">
        <v>44261</v>
      </c>
      <c r="B19900" s="30" t="s">
        <v>44262</v>
      </c>
      <c r="C19900" s="30" t="s">
        <v>3429</v>
      </c>
      <c r="D19900" s="30" t="s">
        <v>17</v>
      </c>
      <c r="E19900" s="30" t="s">
        <v>26</v>
      </c>
      <c r="F19900" s="30" t="s">
        <v>27</v>
      </c>
      <c r="G19900" s="30" t="s">
        <v>20</v>
      </c>
      <c r="H19900" s="32">
        <v>40</v>
      </c>
      <c r="I19900" s="30" t="s">
        <v>21</v>
      </c>
      <c r="J19900" s="41">
        <v>45649</v>
      </c>
      <c r="K19900" s="30" t="s">
        <v>22</v>
      </c>
    </row>
    <row r="19901" spans="1:11">
      <c r="A19901" s="33" t="s">
        <v>44263</v>
      </c>
      <c r="B19901" s="33" t="s">
        <v>44264</v>
      </c>
      <c r="C19901" s="33" t="s">
        <v>35973</v>
      </c>
      <c r="D19901" s="33" t="s">
        <v>17</v>
      </c>
      <c r="E19901" s="33" t="s">
        <v>67</v>
      </c>
      <c r="F19901" s="33" t="s">
        <v>68</v>
      </c>
      <c r="G19901" s="33" t="s">
        <v>20</v>
      </c>
      <c r="H19901" s="35">
        <v>24</v>
      </c>
      <c r="I19901" s="33" t="s">
        <v>21</v>
      </c>
      <c r="J19901" s="42">
        <v>45447</v>
      </c>
      <c r="K19901" s="33" t="s">
        <v>22</v>
      </c>
    </row>
    <row r="19902" spans="1:11">
      <c r="A19902" s="30" t="s">
        <v>44265</v>
      </c>
      <c r="B19902" s="30" t="s">
        <v>44266</v>
      </c>
      <c r="C19902" s="30" t="s">
        <v>96</v>
      </c>
      <c r="D19902" s="30" t="s">
        <v>17</v>
      </c>
      <c r="E19902" s="30" t="s">
        <v>26</v>
      </c>
      <c r="F19902" s="30" t="s">
        <v>27</v>
      </c>
      <c r="G19902" s="30" t="s">
        <v>20</v>
      </c>
      <c r="H19902" s="32">
        <v>6</v>
      </c>
      <c r="I19902" s="30" t="s">
        <v>21</v>
      </c>
      <c r="J19902" s="41">
        <v>45425</v>
      </c>
      <c r="K19902" s="30" t="s">
        <v>22</v>
      </c>
    </row>
    <row r="19903" spans="1:11">
      <c r="A19903" s="33" t="s">
        <v>44267</v>
      </c>
      <c r="B19903" s="33" t="s">
        <v>44268</v>
      </c>
      <c r="C19903" s="33" t="s">
        <v>26391</v>
      </c>
      <c r="D19903" s="33" t="s">
        <v>17</v>
      </c>
      <c r="E19903" s="33" t="s">
        <v>67</v>
      </c>
      <c r="F19903" s="33" t="s">
        <v>68</v>
      </c>
      <c r="G19903" s="33" t="s">
        <v>50</v>
      </c>
      <c r="H19903" s="35">
        <v>29</v>
      </c>
      <c r="I19903" s="33" t="s">
        <v>51</v>
      </c>
      <c r="J19903" s="42">
        <v>45302</v>
      </c>
      <c r="K19903" s="33" t="s">
        <v>22</v>
      </c>
    </row>
    <row r="19904" spans="1:11">
      <c r="A19904" s="30" t="s">
        <v>44269</v>
      </c>
      <c r="B19904" s="30" t="s">
        <v>44270</v>
      </c>
      <c r="C19904" s="30" t="s">
        <v>44271</v>
      </c>
      <c r="D19904" s="30" t="s">
        <v>17</v>
      </c>
      <c r="E19904" s="30" t="s">
        <v>26</v>
      </c>
      <c r="F19904" s="30" t="s">
        <v>27</v>
      </c>
      <c r="G19904" s="30" t="s">
        <v>140</v>
      </c>
      <c r="H19904" s="32">
        <v>94</v>
      </c>
      <c r="I19904" s="30" t="s">
        <v>51</v>
      </c>
      <c r="J19904" s="41">
        <v>45657</v>
      </c>
      <c r="K19904" s="30" t="s">
        <v>22</v>
      </c>
    </row>
    <row r="19905" spans="1:11">
      <c r="A19905" s="33" t="s">
        <v>44272</v>
      </c>
      <c r="B19905" s="33" t="s">
        <v>44273</v>
      </c>
      <c r="C19905" s="33" t="s">
        <v>93</v>
      </c>
      <c r="D19905" s="33" t="s">
        <v>17</v>
      </c>
      <c r="E19905" s="33" t="s">
        <v>26</v>
      </c>
      <c r="F19905" s="33" t="s">
        <v>27</v>
      </c>
      <c r="G19905" s="33" t="s">
        <v>20</v>
      </c>
      <c r="H19905" s="35">
        <v>8</v>
      </c>
      <c r="I19905" s="33" t="s">
        <v>21</v>
      </c>
      <c r="J19905" s="42">
        <v>45343</v>
      </c>
      <c r="K19905" s="33" t="s">
        <v>22</v>
      </c>
    </row>
    <row r="19906" spans="1:11">
      <c r="A19906" s="30" t="s">
        <v>44274</v>
      </c>
      <c r="B19906" s="30" t="s">
        <v>44275</v>
      </c>
      <c r="C19906" s="30" t="s">
        <v>795</v>
      </c>
      <c r="D19906" s="30" t="s">
        <v>17</v>
      </c>
      <c r="E19906" s="30" t="s">
        <v>26</v>
      </c>
      <c r="F19906" s="30" t="s">
        <v>27</v>
      </c>
      <c r="G19906" s="30" t="s">
        <v>106</v>
      </c>
      <c r="H19906" s="32">
        <v>23</v>
      </c>
      <c r="I19906" s="30" t="s">
        <v>21</v>
      </c>
      <c r="J19906" s="41">
        <v>45532</v>
      </c>
      <c r="K19906" s="30" t="s">
        <v>22</v>
      </c>
    </row>
    <row r="19907" spans="1:11">
      <c r="A19907" s="33" t="s">
        <v>44276</v>
      </c>
      <c r="B19907" s="33" t="s">
        <v>44277</v>
      </c>
      <c r="C19907" s="33" t="s">
        <v>7072</v>
      </c>
      <c r="D19907" s="33" t="s">
        <v>17</v>
      </c>
      <c r="E19907" s="33" t="s">
        <v>18</v>
      </c>
      <c r="F19907" s="33" t="s">
        <v>19</v>
      </c>
      <c r="G19907" s="33" t="s">
        <v>158</v>
      </c>
      <c r="H19907" s="35">
        <v>406</v>
      </c>
      <c r="I19907" s="33" t="s">
        <v>51</v>
      </c>
      <c r="J19907" s="42">
        <v>45450</v>
      </c>
      <c r="K19907" s="33" t="s">
        <v>22</v>
      </c>
    </row>
    <row r="19908" spans="1:11">
      <c r="A19908" s="30" t="s">
        <v>44278</v>
      </c>
      <c r="B19908" s="30" t="s">
        <v>44279</v>
      </c>
      <c r="C19908" s="30" t="s">
        <v>549</v>
      </c>
      <c r="D19908" s="30" t="s">
        <v>17</v>
      </c>
      <c r="E19908" s="30" t="s">
        <v>26</v>
      </c>
      <c r="F19908" s="30" t="s">
        <v>27</v>
      </c>
      <c r="G19908" s="30" t="s">
        <v>20</v>
      </c>
      <c r="H19908" s="32">
        <v>18</v>
      </c>
      <c r="I19908" s="30" t="s">
        <v>21</v>
      </c>
      <c r="J19908" s="41">
        <v>45541</v>
      </c>
      <c r="K19908" s="30" t="s">
        <v>22</v>
      </c>
    </row>
    <row r="19909" spans="1:11">
      <c r="A19909" s="33" t="s">
        <v>44280</v>
      </c>
      <c r="B19909" s="33" t="s">
        <v>44281</v>
      </c>
      <c r="C19909" s="33" t="s">
        <v>5246</v>
      </c>
      <c r="D19909" s="33" t="s">
        <v>17</v>
      </c>
      <c r="E19909" s="33" t="s">
        <v>26</v>
      </c>
      <c r="F19909" s="33" t="s">
        <v>27</v>
      </c>
      <c r="G19909" s="33" t="s">
        <v>20</v>
      </c>
      <c r="H19909" s="35">
        <v>32</v>
      </c>
      <c r="I19909" s="33" t="s">
        <v>21</v>
      </c>
      <c r="J19909" s="42">
        <v>45546</v>
      </c>
      <c r="K19909" s="33" t="s">
        <v>22</v>
      </c>
    </row>
    <row r="19910" spans="1:11">
      <c r="A19910" s="30" t="s">
        <v>44282</v>
      </c>
      <c r="B19910" s="30" t="s">
        <v>44283</v>
      </c>
      <c r="C19910" s="30" t="s">
        <v>15741</v>
      </c>
      <c r="D19910" s="30" t="s">
        <v>17</v>
      </c>
      <c r="E19910" s="30" t="s">
        <v>18</v>
      </c>
      <c r="F19910" s="30" t="s">
        <v>19</v>
      </c>
      <c r="G19910" s="30" t="s">
        <v>7780</v>
      </c>
      <c r="H19910" s="32">
        <v>280</v>
      </c>
      <c r="I19910" s="30" t="s">
        <v>51</v>
      </c>
      <c r="J19910" s="41">
        <v>45505</v>
      </c>
      <c r="K19910" s="30" t="s">
        <v>22</v>
      </c>
    </row>
    <row r="19911" spans="1:11">
      <c r="A19911" s="33" t="s">
        <v>44284</v>
      </c>
      <c r="B19911" s="33" t="s">
        <v>44285</v>
      </c>
      <c r="C19911" s="33" t="s">
        <v>6151</v>
      </c>
      <c r="D19911" s="33" t="s">
        <v>17</v>
      </c>
      <c r="E19911" s="33" t="s">
        <v>26</v>
      </c>
      <c r="F19911" s="33" t="s">
        <v>27</v>
      </c>
      <c r="G19911" s="33" t="s">
        <v>106</v>
      </c>
      <c r="H19911" s="35">
        <v>2</v>
      </c>
      <c r="I19911" s="33" t="s">
        <v>21</v>
      </c>
      <c r="J19911" s="42">
        <v>45441</v>
      </c>
      <c r="K19911" s="33" t="s">
        <v>22</v>
      </c>
    </row>
    <row r="19912" spans="1:11">
      <c r="A19912" s="30" t="s">
        <v>44286</v>
      </c>
      <c r="B19912" s="30" t="s">
        <v>44287</v>
      </c>
      <c r="C19912" s="30" t="s">
        <v>44288</v>
      </c>
      <c r="D19912" s="30" t="s">
        <v>17</v>
      </c>
      <c r="E19912" s="30" t="s">
        <v>26</v>
      </c>
      <c r="F19912" s="30" t="s">
        <v>27</v>
      </c>
      <c r="G19912" s="30" t="s">
        <v>140</v>
      </c>
      <c r="H19912" s="32">
        <v>400</v>
      </c>
      <c r="I19912" s="30" t="s">
        <v>51</v>
      </c>
      <c r="J19912" s="41">
        <v>45345</v>
      </c>
      <c r="K19912" s="30" t="s">
        <v>22</v>
      </c>
    </row>
    <row r="19913" spans="1:11">
      <c r="A19913" s="33" t="s">
        <v>44289</v>
      </c>
      <c r="B19913" s="33" t="s">
        <v>44290</v>
      </c>
      <c r="C19913" s="33" t="s">
        <v>925</v>
      </c>
      <c r="D19913" s="33" t="s">
        <v>17</v>
      </c>
      <c r="E19913" s="33" t="s">
        <v>212</v>
      </c>
      <c r="F19913" s="33" t="s">
        <v>213</v>
      </c>
      <c r="G19913" s="33" t="s">
        <v>140</v>
      </c>
      <c r="H19913" s="35">
        <v>350</v>
      </c>
      <c r="I19913" s="33" t="s">
        <v>51</v>
      </c>
      <c r="J19913" s="42">
        <v>45531</v>
      </c>
      <c r="K19913" s="33" t="s">
        <v>22</v>
      </c>
    </row>
    <row r="19914" spans="1:11">
      <c r="A19914" s="30" t="s">
        <v>44291</v>
      </c>
      <c r="B19914" s="30" t="s">
        <v>44292</v>
      </c>
      <c r="C19914" s="30" t="s">
        <v>1090</v>
      </c>
      <c r="D19914" s="30" t="s">
        <v>17</v>
      </c>
      <c r="E19914" s="30" t="s">
        <v>26</v>
      </c>
      <c r="F19914" s="30" t="s">
        <v>27</v>
      </c>
      <c r="G19914" s="30" t="s">
        <v>7780</v>
      </c>
      <c r="H19914" s="32">
        <v>50</v>
      </c>
      <c r="I19914" s="30" t="s">
        <v>51</v>
      </c>
      <c r="J19914" s="41">
        <v>45652</v>
      </c>
      <c r="K19914" s="30" t="s">
        <v>22</v>
      </c>
    </row>
    <row r="19915" spans="1:11">
      <c r="A19915" s="33" t="s">
        <v>44293</v>
      </c>
      <c r="B19915" s="33" t="s">
        <v>44294</v>
      </c>
      <c r="C19915" s="33" t="s">
        <v>109</v>
      </c>
      <c r="D19915" s="33" t="s">
        <v>17</v>
      </c>
      <c r="E19915" s="33" t="s">
        <v>31</v>
      </c>
      <c r="F19915" s="33" t="s">
        <v>32</v>
      </c>
      <c r="G19915" s="33" t="s">
        <v>158</v>
      </c>
      <c r="H19915" s="35">
        <v>49</v>
      </c>
      <c r="I19915" s="33" t="s">
        <v>21</v>
      </c>
      <c r="J19915" s="42">
        <v>45294</v>
      </c>
      <c r="K19915" s="33" t="s">
        <v>22</v>
      </c>
    </row>
    <row r="19916" spans="1:11">
      <c r="A19916" s="30" t="s">
        <v>44295</v>
      </c>
      <c r="B19916" s="30" t="s">
        <v>44296</v>
      </c>
      <c r="C19916" s="30" t="s">
        <v>318</v>
      </c>
      <c r="D19916" s="30" t="s">
        <v>17</v>
      </c>
      <c r="E19916" s="30" t="s">
        <v>26</v>
      </c>
      <c r="F19916" s="30" t="s">
        <v>27</v>
      </c>
      <c r="G19916" s="30" t="s">
        <v>158</v>
      </c>
      <c r="H19916" s="32">
        <v>77</v>
      </c>
      <c r="I19916" s="30" t="s">
        <v>21</v>
      </c>
      <c r="J19916" s="41">
        <v>45358</v>
      </c>
      <c r="K19916" s="30" t="s">
        <v>22</v>
      </c>
    </row>
    <row r="19917" spans="1:11">
      <c r="A19917" s="33" t="s">
        <v>44297</v>
      </c>
      <c r="B19917" s="33" t="s">
        <v>44298</v>
      </c>
      <c r="C19917" s="33" t="s">
        <v>1598</v>
      </c>
      <c r="D19917" s="33" t="s">
        <v>17</v>
      </c>
      <c r="E19917" s="33" t="s">
        <v>26</v>
      </c>
      <c r="F19917" s="33" t="s">
        <v>27</v>
      </c>
      <c r="G19917" s="33" t="s">
        <v>140</v>
      </c>
      <c r="H19917" s="35">
        <v>556</v>
      </c>
      <c r="I19917" s="33" t="s">
        <v>51</v>
      </c>
      <c r="J19917" s="42">
        <v>45458</v>
      </c>
      <c r="K19917" s="33" t="s">
        <v>22</v>
      </c>
    </row>
    <row r="19918" spans="1:11">
      <c r="A19918" s="30" t="s">
        <v>44299</v>
      </c>
      <c r="B19918" s="30" t="s">
        <v>44300</v>
      </c>
      <c r="C19918" s="30" t="s">
        <v>15585</v>
      </c>
      <c r="D19918" s="30" t="s">
        <v>17</v>
      </c>
      <c r="E19918" s="30" t="s">
        <v>26</v>
      </c>
      <c r="F19918" s="30" t="s">
        <v>27</v>
      </c>
      <c r="G19918" s="30" t="s">
        <v>20</v>
      </c>
      <c r="H19918" s="32">
        <v>48</v>
      </c>
      <c r="I19918" s="30" t="s">
        <v>21</v>
      </c>
      <c r="J19918" s="41">
        <v>45519</v>
      </c>
      <c r="K19918" s="30" t="s">
        <v>22</v>
      </c>
    </row>
    <row r="19919" spans="1:11">
      <c r="A19919" s="33" t="s">
        <v>44301</v>
      </c>
      <c r="B19919" s="33" t="s">
        <v>44302</v>
      </c>
      <c r="C19919" s="33" t="s">
        <v>647</v>
      </c>
      <c r="D19919" s="33" t="s">
        <v>17</v>
      </c>
      <c r="E19919" s="33" t="s">
        <v>45</v>
      </c>
      <c r="F19919" s="33" t="s">
        <v>46</v>
      </c>
      <c r="G19919" s="33" t="s">
        <v>106</v>
      </c>
      <c r="H19919" s="35">
        <v>46</v>
      </c>
      <c r="I19919" s="33" t="s">
        <v>21</v>
      </c>
      <c r="J19919" s="42">
        <v>45400</v>
      </c>
      <c r="K19919" s="33" t="s">
        <v>22</v>
      </c>
    </row>
    <row r="19920" spans="1:11">
      <c r="A19920" s="30" t="s">
        <v>44303</v>
      </c>
      <c r="B19920" s="30" t="s">
        <v>44304</v>
      </c>
      <c r="C19920" s="30" t="s">
        <v>96</v>
      </c>
      <c r="D19920" s="30" t="s">
        <v>17</v>
      </c>
      <c r="E19920" s="30" t="s">
        <v>26</v>
      </c>
      <c r="F19920" s="30" t="s">
        <v>27</v>
      </c>
      <c r="G19920" s="30" t="s">
        <v>20</v>
      </c>
      <c r="H19920" s="32">
        <v>52</v>
      </c>
      <c r="I19920" s="30" t="s">
        <v>21</v>
      </c>
      <c r="J19920" s="41">
        <v>45618</v>
      </c>
      <c r="K19920" s="30" t="s">
        <v>22</v>
      </c>
    </row>
    <row r="19921" spans="1:11">
      <c r="A19921" s="33" t="s">
        <v>44305</v>
      </c>
      <c r="B19921" s="33" t="s">
        <v>44306</v>
      </c>
      <c r="C19921" s="33" t="s">
        <v>7787</v>
      </c>
      <c r="D19921" s="33" t="s">
        <v>17</v>
      </c>
      <c r="E19921" s="33" t="s">
        <v>31</v>
      </c>
      <c r="F19921" s="33" t="s">
        <v>32</v>
      </c>
      <c r="G19921" s="33" t="s">
        <v>20</v>
      </c>
      <c r="H19921" s="35">
        <v>300</v>
      </c>
      <c r="I19921" s="33" t="s">
        <v>21</v>
      </c>
      <c r="J19921" s="42">
        <v>45453</v>
      </c>
      <c r="K19921" s="33" t="s">
        <v>22</v>
      </c>
    </row>
    <row r="19922" spans="1:11">
      <c r="A19922" s="30" t="s">
        <v>44307</v>
      </c>
      <c r="B19922" s="30" t="s">
        <v>44308</v>
      </c>
      <c r="C19922" s="30" t="s">
        <v>6489</v>
      </c>
      <c r="D19922" s="30" t="s">
        <v>17</v>
      </c>
      <c r="E19922" s="30" t="s">
        <v>67</v>
      </c>
      <c r="F19922" s="30" t="s">
        <v>68</v>
      </c>
      <c r="G19922" s="30" t="s">
        <v>7780</v>
      </c>
      <c r="H19922" s="32">
        <v>166</v>
      </c>
      <c r="I19922" s="30" t="s">
        <v>51</v>
      </c>
      <c r="J19922" s="41">
        <v>45397</v>
      </c>
      <c r="K19922" s="30" t="s">
        <v>22</v>
      </c>
    </row>
    <row r="19923" spans="1:11">
      <c r="A19923" s="33" t="s">
        <v>44309</v>
      </c>
      <c r="B19923" s="33" t="s">
        <v>44310</v>
      </c>
      <c r="C19923" s="33" t="s">
        <v>1080</v>
      </c>
      <c r="D19923" s="33" t="s">
        <v>17</v>
      </c>
      <c r="E19923" s="33" t="s">
        <v>26</v>
      </c>
      <c r="F19923" s="33" t="s">
        <v>27</v>
      </c>
      <c r="G19923" s="33" t="s">
        <v>7780</v>
      </c>
      <c r="H19923" s="35">
        <v>48</v>
      </c>
      <c r="I19923" s="33" t="s">
        <v>51</v>
      </c>
      <c r="J19923" s="42">
        <v>45601</v>
      </c>
      <c r="K19923" s="33" t="s">
        <v>22</v>
      </c>
    </row>
    <row r="19924" spans="1:11">
      <c r="A19924" s="30" t="s">
        <v>44311</v>
      </c>
      <c r="B19924" s="30" t="s">
        <v>44312</v>
      </c>
      <c r="C19924" s="30" t="s">
        <v>41297</v>
      </c>
      <c r="D19924" s="30" t="s">
        <v>17</v>
      </c>
      <c r="E19924" s="30" t="s">
        <v>26</v>
      </c>
      <c r="F19924" s="30" t="s">
        <v>27</v>
      </c>
      <c r="G19924" s="30" t="s">
        <v>20</v>
      </c>
      <c r="H19924" s="32">
        <v>48</v>
      </c>
      <c r="I19924" s="30" t="s">
        <v>21</v>
      </c>
      <c r="J19924" s="41">
        <v>45534</v>
      </c>
      <c r="K19924" s="30" t="s">
        <v>22</v>
      </c>
    </row>
    <row r="19925" spans="1:11">
      <c r="A19925" s="33" t="s">
        <v>44313</v>
      </c>
      <c r="B19925" s="33" t="s">
        <v>44314</v>
      </c>
      <c r="C19925" s="33" t="s">
        <v>44315</v>
      </c>
      <c r="D19925" s="33" t="s">
        <v>17</v>
      </c>
      <c r="E19925" s="33" t="s">
        <v>26</v>
      </c>
      <c r="F19925" s="33" t="s">
        <v>27</v>
      </c>
      <c r="G19925" s="33" t="s">
        <v>140</v>
      </c>
      <c r="H19925" s="35">
        <v>34</v>
      </c>
      <c r="I19925" s="33" t="s">
        <v>51</v>
      </c>
      <c r="J19925" s="42">
        <v>45337</v>
      </c>
      <c r="K19925" s="33" t="s">
        <v>22</v>
      </c>
    </row>
    <row r="19926" spans="1:11">
      <c r="A19926" s="30" t="s">
        <v>44316</v>
      </c>
      <c r="B19926" s="30" t="s">
        <v>44317</v>
      </c>
      <c r="C19926" s="30" t="s">
        <v>187</v>
      </c>
      <c r="D19926" s="30" t="s">
        <v>17</v>
      </c>
      <c r="E19926" s="30" t="s">
        <v>26</v>
      </c>
      <c r="F19926" s="30" t="s">
        <v>27</v>
      </c>
      <c r="G19926" s="30" t="s">
        <v>50</v>
      </c>
      <c r="H19926" s="32">
        <v>75</v>
      </c>
      <c r="I19926" s="30" t="s">
        <v>51</v>
      </c>
      <c r="J19926" s="41">
        <v>45304</v>
      </c>
      <c r="K19926" s="30" t="s">
        <v>22</v>
      </c>
    </row>
    <row r="19927" spans="1:11">
      <c r="A19927" s="33" t="s">
        <v>44318</v>
      </c>
      <c r="B19927" s="33" t="s">
        <v>44319</v>
      </c>
      <c r="C19927" s="33" t="s">
        <v>25186</v>
      </c>
      <c r="D19927" s="33" t="s">
        <v>17</v>
      </c>
      <c r="E19927" s="33" t="s">
        <v>26</v>
      </c>
      <c r="F19927" s="33" t="s">
        <v>27</v>
      </c>
      <c r="G19927" s="33" t="s">
        <v>140</v>
      </c>
      <c r="H19927" s="35">
        <v>10</v>
      </c>
      <c r="I19927" s="33" t="s">
        <v>51</v>
      </c>
      <c r="J19927" s="42">
        <v>45531</v>
      </c>
      <c r="K19927" s="33" t="s">
        <v>22</v>
      </c>
    </row>
    <row r="19928" spans="1:11">
      <c r="A19928" s="30" t="s">
        <v>44320</v>
      </c>
      <c r="B19928" s="30" t="s">
        <v>44321</v>
      </c>
      <c r="C19928" s="30" t="s">
        <v>7900</v>
      </c>
      <c r="D19928" s="30" t="s">
        <v>17</v>
      </c>
      <c r="E19928" s="30" t="s">
        <v>26</v>
      </c>
      <c r="F19928" s="30" t="s">
        <v>27</v>
      </c>
      <c r="G19928" s="30" t="s">
        <v>20</v>
      </c>
      <c r="H19928" s="32">
        <v>47</v>
      </c>
      <c r="I19928" s="30" t="s">
        <v>21</v>
      </c>
      <c r="J19928" s="41">
        <v>45537</v>
      </c>
      <c r="K19928" s="30" t="s">
        <v>22</v>
      </c>
    </row>
    <row r="19929" spans="1:11">
      <c r="A19929" s="33" t="s">
        <v>44322</v>
      </c>
      <c r="B19929" s="33" t="s">
        <v>44323</v>
      </c>
      <c r="C19929" s="33" t="s">
        <v>30604</v>
      </c>
      <c r="D19929" s="33" t="s">
        <v>17</v>
      </c>
      <c r="E19929" s="33" t="s">
        <v>45</v>
      </c>
      <c r="F19929" s="33" t="s">
        <v>46</v>
      </c>
      <c r="G19929" s="33" t="s">
        <v>158</v>
      </c>
      <c r="H19929" s="35">
        <v>560</v>
      </c>
      <c r="I19929" s="33" t="s">
        <v>51</v>
      </c>
      <c r="J19929" s="42">
        <v>45414</v>
      </c>
      <c r="K19929" s="33" t="s">
        <v>22</v>
      </c>
    </row>
    <row r="19930" spans="1:11">
      <c r="A19930" s="30" t="s">
        <v>44324</v>
      </c>
      <c r="B19930" s="30" t="s">
        <v>44325</v>
      </c>
      <c r="C19930" s="30" t="s">
        <v>203</v>
      </c>
      <c r="D19930" s="30" t="s">
        <v>17</v>
      </c>
      <c r="E19930" s="30" t="s">
        <v>18</v>
      </c>
      <c r="F19930" s="30" t="s">
        <v>19</v>
      </c>
      <c r="G19930" s="30" t="s">
        <v>158</v>
      </c>
      <c r="H19930" s="32">
        <v>138</v>
      </c>
      <c r="I19930" s="30" t="s">
        <v>21</v>
      </c>
      <c r="J19930" s="41">
        <v>45621</v>
      </c>
      <c r="K19930" s="30" t="s">
        <v>22</v>
      </c>
    </row>
    <row r="19931" spans="1:11">
      <c r="A19931" s="33" t="s">
        <v>44326</v>
      </c>
      <c r="B19931" s="33" t="s">
        <v>44327</v>
      </c>
      <c r="C19931" s="33" t="s">
        <v>6215</v>
      </c>
      <c r="D19931" s="33" t="s">
        <v>17</v>
      </c>
      <c r="E19931" s="33" t="s">
        <v>18</v>
      </c>
      <c r="F19931" s="33" t="s">
        <v>19</v>
      </c>
      <c r="G19931" s="33" t="s">
        <v>140</v>
      </c>
      <c r="H19931" s="35">
        <v>486</v>
      </c>
      <c r="I19931" s="33" t="s">
        <v>51</v>
      </c>
      <c r="J19931" s="42">
        <v>45435</v>
      </c>
      <c r="K19931" s="33" t="s">
        <v>22</v>
      </c>
    </row>
    <row r="19932" spans="1:11">
      <c r="A19932" s="30" t="s">
        <v>44328</v>
      </c>
      <c r="B19932" s="30" t="s">
        <v>44329</v>
      </c>
      <c r="C19932" s="30" t="s">
        <v>41065</v>
      </c>
      <c r="D19932" s="30" t="s">
        <v>17</v>
      </c>
      <c r="E19932" s="30" t="s">
        <v>26</v>
      </c>
      <c r="F19932" s="30" t="s">
        <v>27</v>
      </c>
      <c r="G19932" s="30" t="s">
        <v>20</v>
      </c>
      <c r="H19932" s="32">
        <v>41</v>
      </c>
      <c r="I19932" s="30" t="s">
        <v>21</v>
      </c>
      <c r="J19932" s="41">
        <v>45579</v>
      </c>
      <c r="K19932" s="30" t="s">
        <v>22</v>
      </c>
    </row>
    <row r="19933" spans="1:11">
      <c r="A19933" s="33" t="s">
        <v>44330</v>
      </c>
      <c r="B19933" s="33" t="s">
        <v>44331</v>
      </c>
      <c r="C19933" s="33" t="s">
        <v>39950</v>
      </c>
      <c r="D19933" s="33" t="s">
        <v>17</v>
      </c>
      <c r="E19933" s="33" t="s">
        <v>67</v>
      </c>
      <c r="F19933" s="33" t="s">
        <v>68</v>
      </c>
      <c r="G19933" s="33" t="s">
        <v>140</v>
      </c>
      <c r="H19933" s="35">
        <v>10</v>
      </c>
      <c r="I19933" s="33" t="s">
        <v>51</v>
      </c>
      <c r="J19933" s="42">
        <v>45587</v>
      </c>
      <c r="K19933" s="33" t="s">
        <v>22</v>
      </c>
    </row>
    <row r="19934" spans="1:11">
      <c r="A19934" s="30" t="s">
        <v>44332</v>
      </c>
      <c r="B19934" s="30" t="s">
        <v>44333</v>
      </c>
      <c r="C19934" s="30" t="s">
        <v>29009</v>
      </c>
      <c r="D19934" s="30" t="s">
        <v>17</v>
      </c>
      <c r="E19934" s="30" t="s">
        <v>31</v>
      </c>
      <c r="F19934" s="30" t="s">
        <v>32</v>
      </c>
      <c r="G19934" s="30" t="s">
        <v>20</v>
      </c>
      <c r="H19934" s="32">
        <v>81</v>
      </c>
      <c r="I19934" s="30" t="s">
        <v>21</v>
      </c>
      <c r="J19934" s="41">
        <v>45334</v>
      </c>
      <c r="K19934" s="30" t="s">
        <v>22</v>
      </c>
    </row>
    <row r="19935" spans="1:11">
      <c r="A19935" s="33" t="s">
        <v>44334</v>
      </c>
      <c r="B19935" s="33" t="s">
        <v>44335</v>
      </c>
      <c r="C19935" s="33" t="s">
        <v>6827</v>
      </c>
      <c r="D19935" s="33" t="s">
        <v>17</v>
      </c>
      <c r="E19935" s="33" t="s">
        <v>26</v>
      </c>
      <c r="F19935" s="33" t="s">
        <v>27</v>
      </c>
      <c r="G19935" s="33" t="s">
        <v>140</v>
      </c>
      <c r="H19935" s="35">
        <v>70</v>
      </c>
      <c r="I19935" s="33" t="s">
        <v>51</v>
      </c>
      <c r="J19935" s="42">
        <v>45509</v>
      </c>
      <c r="K19935" s="33" t="s">
        <v>22</v>
      </c>
    </row>
    <row r="19936" spans="1:11">
      <c r="A19936" s="30" t="s">
        <v>44336</v>
      </c>
      <c r="B19936" s="30" t="s">
        <v>44337</v>
      </c>
      <c r="C19936" s="30" t="s">
        <v>647</v>
      </c>
      <c r="D19936" s="30" t="s">
        <v>17</v>
      </c>
      <c r="E19936" s="30" t="s">
        <v>31</v>
      </c>
      <c r="F19936" s="30" t="s">
        <v>32</v>
      </c>
      <c r="G19936" s="30" t="s">
        <v>158</v>
      </c>
      <c r="H19936" s="32">
        <v>80</v>
      </c>
      <c r="I19936" s="30" t="s">
        <v>51</v>
      </c>
      <c r="J19936" s="41">
        <v>45485</v>
      </c>
      <c r="K19936" s="30" t="s">
        <v>22</v>
      </c>
    </row>
    <row r="19937" spans="1:11">
      <c r="A19937" s="33" t="s">
        <v>44338</v>
      </c>
      <c r="B19937" s="33" t="s">
        <v>44339</v>
      </c>
      <c r="C19937" s="33" t="s">
        <v>2562</v>
      </c>
      <c r="D19937" s="33" t="s">
        <v>17</v>
      </c>
      <c r="E19937" s="33" t="s">
        <v>31</v>
      </c>
      <c r="F19937" s="33" t="s">
        <v>32</v>
      </c>
      <c r="G19937" s="33" t="s">
        <v>140</v>
      </c>
      <c r="H19937" s="35">
        <v>120</v>
      </c>
      <c r="I19937" s="33" t="s">
        <v>51</v>
      </c>
      <c r="J19937" s="42">
        <v>45565</v>
      </c>
      <c r="K19937" s="33" t="s">
        <v>22</v>
      </c>
    </row>
    <row r="19938" spans="1:11">
      <c r="A19938" s="30" t="s">
        <v>44340</v>
      </c>
      <c r="B19938" s="30" t="s">
        <v>44341</v>
      </c>
      <c r="C19938" s="30" t="s">
        <v>8443</v>
      </c>
      <c r="D19938" s="30" t="s">
        <v>17</v>
      </c>
      <c r="E19938" s="30" t="s">
        <v>330</v>
      </c>
      <c r="F19938" s="30" t="s">
        <v>331</v>
      </c>
      <c r="G19938" s="30" t="s">
        <v>140</v>
      </c>
      <c r="H19938" s="32">
        <v>20</v>
      </c>
      <c r="I19938" s="30" t="s">
        <v>51</v>
      </c>
      <c r="J19938" s="41">
        <v>45358</v>
      </c>
      <c r="K19938" s="30" t="s">
        <v>22</v>
      </c>
    </row>
    <row r="19939" spans="1:11">
      <c r="A19939" s="33" t="s">
        <v>44342</v>
      </c>
      <c r="B19939" s="33" t="s">
        <v>44343</v>
      </c>
      <c r="C19939" s="33" t="s">
        <v>1826</v>
      </c>
      <c r="D19939" s="33" t="s">
        <v>17</v>
      </c>
      <c r="E19939" s="33" t="s">
        <v>31</v>
      </c>
      <c r="F19939" s="33" t="s">
        <v>32</v>
      </c>
      <c r="G19939" s="33" t="s">
        <v>140</v>
      </c>
      <c r="H19939" s="35">
        <v>216</v>
      </c>
      <c r="I19939" s="33" t="s">
        <v>51</v>
      </c>
      <c r="J19939" s="42">
        <v>45656</v>
      </c>
      <c r="K19939" s="33" t="s">
        <v>22</v>
      </c>
    </row>
    <row r="19940" spans="1:11">
      <c r="A19940" s="30" t="s">
        <v>44344</v>
      </c>
      <c r="B19940" s="30" t="s">
        <v>44345</v>
      </c>
      <c r="C19940" s="30" t="s">
        <v>109</v>
      </c>
      <c r="D19940" s="30" t="s">
        <v>17</v>
      </c>
      <c r="E19940" s="30" t="s">
        <v>31</v>
      </c>
      <c r="F19940" s="30" t="s">
        <v>32</v>
      </c>
      <c r="G19940" s="30" t="s">
        <v>158</v>
      </c>
      <c r="H19940" s="32">
        <v>23</v>
      </c>
      <c r="I19940" s="30" t="s">
        <v>21</v>
      </c>
      <c r="J19940" s="41">
        <v>45386</v>
      </c>
      <c r="K19940" s="30" t="s">
        <v>22</v>
      </c>
    </row>
    <row r="19941" spans="1:11">
      <c r="A19941" s="33" t="s">
        <v>44346</v>
      </c>
      <c r="B19941" s="33" t="s">
        <v>44347</v>
      </c>
      <c r="C19941" s="33" t="s">
        <v>647</v>
      </c>
      <c r="D19941" s="33" t="s">
        <v>17</v>
      </c>
      <c r="E19941" s="33" t="s">
        <v>26</v>
      </c>
      <c r="F19941" s="33" t="s">
        <v>27</v>
      </c>
      <c r="G19941" s="33" t="s">
        <v>20</v>
      </c>
      <c r="H19941" s="35">
        <v>34</v>
      </c>
      <c r="I19941" s="33" t="s">
        <v>21</v>
      </c>
      <c r="J19941" s="42">
        <v>45390</v>
      </c>
      <c r="K19941" s="33" t="s">
        <v>22</v>
      </c>
    </row>
    <row r="19942" spans="1:11">
      <c r="A19942" s="30" t="s">
        <v>44348</v>
      </c>
      <c r="B19942" s="30" t="s">
        <v>44349</v>
      </c>
      <c r="C19942" s="30" t="s">
        <v>44350</v>
      </c>
      <c r="D19942" s="30" t="s">
        <v>17</v>
      </c>
      <c r="E19942" s="30" t="s">
        <v>31</v>
      </c>
      <c r="F19942" s="30" t="s">
        <v>32</v>
      </c>
      <c r="G19942" s="30" t="s">
        <v>158</v>
      </c>
      <c r="H19942" s="32">
        <v>273</v>
      </c>
      <c r="I19942" s="30" t="s">
        <v>51</v>
      </c>
      <c r="J19942" s="41">
        <v>45499</v>
      </c>
      <c r="K19942" s="30" t="s">
        <v>22</v>
      </c>
    </row>
    <row r="19943" spans="1:11">
      <c r="A19943" s="33" t="s">
        <v>44351</v>
      </c>
      <c r="B19943" s="33" t="s">
        <v>44352</v>
      </c>
      <c r="C19943" s="33" t="s">
        <v>26089</v>
      </c>
      <c r="D19943" s="33" t="s">
        <v>17</v>
      </c>
      <c r="E19943" s="33" t="s">
        <v>26</v>
      </c>
      <c r="F19943" s="33" t="s">
        <v>27</v>
      </c>
      <c r="G19943" s="33" t="s">
        <v>50</v>
      </c>
      <c r="H19943" s="35">
        <v>56</v>
      </c>
      <c r="I19943" s="33" t="s">
        <v>51</v>
      </c>
      <c r="J19943" s="42">
        <v>45294</v>
      </c>
      <c r="K19943" s="33" t="s">
        <v>22</v>
      </c>
    </row>
    <row r="19944" spans="1:11">
      <c r="A19944" s="30" t="s">
        <v>44353</v>
      </c>
      <c r="B19944" s="30" t="s">
        <v>44354</v>
      </c>
      <c r="C19944" s="30" t="s">
        <v>1813</v>
      </c>
      <c r="D19944" s="30" t="s">
        <v>17</v>
      </c>
      <c r="E19944" s="30" t="s">
        <v>18</v>
      </c>
      <c r="F19944" s="30" t="s">
        <v>19</v>
      </c>
      <c r="G19944" s="30" t="s">
        <v>50</v>
      </c>
      <c r="H19944" s="32">
        <v>120</v>
      </c>
      <c r="I19944" s="30" t="s">
        <v>51</v>
      </c>
      <c r="J19944" s="41">
        <v>45451</v>
      </c>
      <c r="K19944" s="30" t="s">
        <v>22</v>
      </c>
    </row>
    <row r="19945" spans="1:11">
      <c r="A19945" s="33" t="s">
        <v>44355</v>
      </c>
      <c r="B19945" s="33" t="s">
        <v>44356</v>
      </c>
      <c r="C19945" s="33" t="s">
        <v>1770</v>
      </c>
      <c r="D19945" s="33" t="s">
        <v>17</v>
      </c>
      <c r="E19945" s="33" t="s">
        <v>26</v>
      </c>
      <c r="F19945" s="33" t="s">
        <v>27</v>
      </c>
      <c r="G19945" s="33" t="s">
        <v>20</v>
      </c>
      <c r="H19945" s="35">
        <v>8</v>
      </c>
      <c r="I19945" s="33" t="s">
        <v>21</v>
      </c>
      <c r="J19945" s="42">
        <v>45629</v>
      </c>
      <c r="K19945" s="33" t="s">
        <v>22</v>
      </c>
    </row>
    <row r="19946" spans="1:11">
      <c r="A19946" s="30" t="s">
        <v>44357</v>
      </c>
      <c r="B19946" s="30" t="s">
        <v>44358</v>
      </c>
      <c r="C19946" s="30" t="s">
        <v>25186</v>
      </c>
      <c r="D19946" s="30" t="s">
        <v>17</v>
      </c>
      <c r="E19946" s="30" t="s">
        <v>18</v>
      </c>
      <c r="F19946" s="30" t="s">
        <v>19</v>
      </c>
      <c r="G19946" s="30" t="s">
        <v>20</v>
      </c>
      <c r="H19946" s="32">
        <v>190</v>
      </c>
      <c r="I19946" s="30" t="s">
        <v>21</v>
      </c>
      <c r="J19946" s="41">
        <v>45610</v>
      </c>
      <c r="K19946" s="30" t="s">
        <v>22</v>
      </c>
    </row>
    <row r="19947" spans="1:11">
      <c r="A19947" s="33" t="s">
        <v>44359</v>
      </c>
      <c r="B19947" s="33" t="s">
        <v>44360</v>
      </c>
      <c r="C19947" s="33" t="s">
        <v>18998</v>
      </c>
      <c r="D19947" s="33" t="s">
        <v>17</v>
      </c>
      <c r="E19947" s="33" t="s">
        <v>26</v>
      </c>
      <c r="F19947" s="33" t="s">
        <v>27</v>
      </c>
      <c r="G19947" s="33" t="s">
        <v>20</v>
      </c>
      <c r="H19947" s="35">
        <v>29</v>
      </c>
      <c r="I19947" s="33" t="s">
        <v>21</v>
      </c>
      <c r="J19947" s="42">
        <v>45550</v>
      </c>
      <c r="K19947" s="33" t="s">
        <v>22</v>
      </c>
    </row>
    <row r="19948" spans="1:11">
      <c r="A19948" s="30" t="s">
        <v>44361</v>
      </c>
      <c r="B19948" s="30" t="s">
        <v>44362</v>
      </c>
      <c r="C19948" s="30" t="s">
        <v>19435</v>
      </c>
      <c r="D19948" s="30" t="s">
        <v>17</v>
      </c>
      <c r="E19948" s="30" t="s">
        <v>45</v>
      </c>
      <c r="F19948" s="30" t="s">
        <v>46</v>
      </c>
      <c r="G19948" s="30" t="s">
        <v>140</v>
      </c>
      <c r="H19948" s="32">
        <v>33</v>
      </c>
      <c r="I19948" s="30" t="s">
        <v>51</v>
      </c>
      <c r="J19948" s="41">
        <v>45537</v>
      </c>
      <c r="K19948" s="30" t="s">
        <v>22</v>
      </c>
    </row>
    <row r="19949" spans="1:11">
      <c r="A19949" s="33" t="s">
        <v>44363</v>
      </c>
      <c r="B19949" s="33" t="s">
        <v>44364</v>
      </c>
      <c r="C19949" s="33" t="s">
        <v>5084</v>
      </c>
      <c r="D19949" s="33" t="s">
        <v>17</v>
      </c>
      <c r="E19949" s="33" t="s">
        <v>31</v>
      </c>
      <c r="F19949" s="33" t="s">
        <v>32</v>
      </c>
      <c r="G19949" s="33" t="s">
        <v>50</v>
      </c>
      <c r="H19949" s="35">
        <v>144</v>
      </c>
      <c r="I19949" s="33" t="s">
        <v>51</v>
      </c>
      <c r="J19949" s="42">
        <v>45439</v>
      </c>
      <c r="K19949" s="33" t="s">
        <v>22</v>
      </c>
    </row>
    <row r="19950" spans="1:11">
      <c r="A19950" s="30" t="s">
        <v>44365</v>
      </c>
      <c r="B19950" s="30" t="s">
        <v>44366</v>
      </c>
      <c r="C19950" s="30" t="s">
        <v>957</v>
      </c>
      <c r="D19950" s="30" t="s">
        <v>17</v>
      </c>
      <c r="E19950" s="30" t="s">
        <v>26</v>
      </c>
      <c r="F19950" s="30" t="s">
        <v>27</v>
      </c>
      <c r="G19950" s="30" t="s">
        <v>20</v>
      </c>
      <c r="H19950" s="32">
        <v>21</v>
      </c>
      <c r="I19950" s="30" t="s">
        <v>21</v>
      </c>
      <c r="J19950" s="41">
        <v>45443</v>
      </c>
      <c r="K19950" s="30" t="s">
        <v>22</v>
      </c>
    </row>
    <row r="19951" spans="1:11">
      <c r="A19951" s="33" t="s">
        <v>44367</v>
      </c>
      <c r="B19951" s="33" t="s">
        <v>44368</v>
      </c>
      <c r="C19951" s="33" t="s">
        <v>18410</v>
      </c>
      <c r="D19951" s="33" t="s">
        <v>17</v>
      </c>
      <c r="E19951" s="33" t="s">
        <v>31</v>
      </c>
      <c r="F19951" s="33" t="s">
        <v>32</v>
      </c>
      <c r="G19951" s="33" t="s">
        <v>50</v>
      </c>
      <c r="H19951" s="35">
        <v>40</v>
      </c>
      <c r="I19951" s="33" t="s">
        <v>51</v>
      </c>
      <c r="J19951" s="42">
        <v>45505</v>
      </c>
      <c r="K19951" s="33" t="s">
        <v>22</v>
      </c>
    </row>
    <row r="19952" spans="1:11">
      <c r="A19952" s="30" t="s">
        <v>44369</v>
      </c>
      <c r="B19952" s="30" t="s">
        <v>44370</v>
      </c>
      <c r="C19952" s="30" t="s">
        <v>44371</v>
      </c>
      <c r="D19952" s="30" t="s">
        <v>17</v>
      </c>
      <c r="E19952" s="30" t="s">
        <v>26</v>
      </c>
      <c r="F19952" s="30" t="s">
        <v>27</v>
      </c>
      <c r="G19952" s="30" t="s">
        <v>140</v>
      </c>
      <c r="H19952" s="32">
        <v>350</v>
      </c>
      <c r="I19952" s="30" t="s">
        <v>51</v>
      </c>
      <c r="J19952" s="41">
        <v>45434</v>
      </c>
      <c r="K19952" s="30" t="s">
        <v>22</v>
      </c>
    </row>
    <row r="19953" spans="1:11">
      <c r="A19953" s="33" t="s">
        <v>44372</v>
      </c>
      <c r="B19953" s="33" t="s">
        <v>44373</v>
      </c>
      <c r="C19953" s="33" t="s">
        <v>2972</v>
      </c>
      <c r="D19953" s="33" t="s">
        <v>17</v>
      </c>
      <c r="E19953" s="33" t="s">
        <v>67</v>
      </c>
      <c r="F19953" s="33" t="s">
        <v>68</v>
      </c>
      <c r="G19953" s="33" t="s">
        <v>140</v>
      </c>
      <c r="H19953" s="35">
        <v>600</v>
      </c>
      <c r="I19953" s="33" t="s">
        <v>51</v>
      </c>
      <c r="J19953" s="42">
        <v>45301</v>
      </c>
      <c r="K19953" s="33" t="s">
        <v>22</v>
      </c>
    </row>
    <row r="19954" spans="1:11">
      <c r="A19954" s="30" t="s">
        <v>44374</v>
      </c>
      <c r="B19954" s="30" t="s">
        <v>44375</v>
      </c>
      <c r="C19954" s="30" t="s">
        <v>3757</v>
      </c>
      <c r="D19954" s="30" t="s">
        <v>17</v>
      </c>
      <c r="E19954" s="30" t="s">
        <v>18</v>
      </c>
      <c r="F19954" s="30" t="s">
        <v>19</v>
      </c>
      <c r="G19954" s="30" t="s">
        <v>20</v>
      </c>
      <c r="H19954" s="32">
        <v>248</v>
      </c>
      <c r="I19954" s="30" t="s">
        <v>21</v>
      </c>
      <c r="J19954" s="41">
        <v>45562</v>
      </c>
      <c r="K19954" s="30" t="s">
        <v>22</v>
      </c>
    </row>
    <row r="19955" spans="1:11">
      <c r="A19955" s="33" t="s">
        <v>44376</v>
      </c>
      <c r="B19955" s="33" t="s">
        <v>44377</v>
      </c>
      <c r="C19955" s="33" t="s">
        <v>524</v>
      </c>
      <c r="D19955" s="33" t="s">
        <v>17</v>
      </c>
      <c r="E19955" s="33" t="s">
        <v>26</v>
      </c>
      <c r="F19955" s="33" t="s">
        <v>27</v>
      </c>
      <c r="G19955" s="33" t="s">
        <v>20</v>
      </c>
      <c r="H19955" s="35">
        <v>72</v>
      </c>
      <c r="I19955" s="33" t="s">
        <v>21</v>
      </c>
      <c r="J19955" s="42">
        <v>45488</v>
      </c>
      <c r="K19955" s="33" t="s">
        <v>22</v>
      </c>
    </row>
    <row r="19956" spans="1:11">
      <c r="A19956" s="30" t="s">
        <v>44378</v>
      </c>
      <c r="B19956" s="30" t="s">
        <v>44379</v>
      </c>
      <c r="C19956" s="30" t="s">
        <v>37244</v>
      </c>
      <c r="D19956" s="30" t="s">
        <v>17</v>
      </c>
      <c r="E19956" s="30" t="s">
        <v>31</v>
      </c>
      <c r="F19956" s="30" t="s">
        <v>32</v>
      </c>
      <c r="G19956" s="30" t="s">
        <v>158</v>
      </c>
      <c r="H19956" s="32">
        <v>86</v>
      </c>
      <c r="I19956" s="30" t="s">
        <v>21</v>
      </c>
      <c r="J19956" s="41">
        <v>45483</v>
      </c>
      <c r="K19956" s="30" t="s">
        <v>22</v>
      </c>
    </row>
    <row r="19957" spans="1:11">
      <c r="A19957" s="33" t="s">
        <v>44380</v>
      </c>
      <c r="B19957" s="33" t="s">
        <v>44381</v>
      </c>
      <c r="C19957" s="33" t="s">
        <v>969</v>
      </c>
      <c r="D19957" s="33" t="s">
        <v>17</v>
      </c>
      <c r="E19957" s="33" t="s">
        <v>26</v>
      </c>
      <c r="F19957" s="33" t="s">
        <v>27</v>
      </c>
      <c r="G19957" s="33" t="s">
        <v>20</v>
      </c>
      <c r="H19957" s="35">
        <v>20</v>
      </c>
      <c r="I19957" s="33" t="s">
        <v>21</v>
      </c>
      <c r="J19957" s="42">
        <v>45565</v>
      </c>
      <c r="K19957" s="33" t="s">
        <v>22</v>
      </c>
    </row>
    <row r="19958" spans="1:11">
      <c r="A19958" s="30" t="s">
        <v>44382</v>
      </c>
      <c r="B19958" s="30" t="s">
        <v>44383</v>
      </c>
      <c r="C19958" s="30" t="s">
        <v>1136</v>
      </c>
      <c r="D19958" s="30" t="s">
        <v>17</v>
      </c>
      <c r="E19958" s="30" t="s">
        <v>67</v>
      </c>
      <c r="F19958" s="30" t="s">
        <v>68</v>
      </c>
      <c r="G19958" s="30" t="s">
        <v>20</v>
      </c>
      <c r="H19958" s="32">
        <v>910</v>
      </c>
      <c r="I19958" s="30" t="s">
        <v>21</v>
      </c>
      <c r="J19958" s="41">
        <v>45383</v>
      </c>
      <c r="K19958" s="30" t="s">
        <v>22</v>
      </c>
    </row>
    <row r="19959" spans="1:11">
      <c r="A19959" s="33" t="s">
        <v>44384</v>
      </c>
      <c r="B19959" s="33" t="s">
        <v>44385</v>
      </c>
      <c r="C19959" s="33" t="s">
        <v>3167</v>
      </c>
      <c r="D19959" s="33" t="s">
        <v>17</v>
      </c>
      <c r="E19959" s="33" t="s">
        <v>26</v>
      </c>
      <c r="F19959" s="33" t="s">
        <v>27</v>
      </c>
      <c r="G19959" s="33" t="s">
        <v>50</v>
      </c>
      <c r="H19959" s="35">
        <v>18</v>
      </c>
      <c r="I19959" s="33" t="s">
        <v>51</v>
      </c>
      <c r="J19959" s="42">
        <v>45292</v>
      </c>
      <c r="K19959" s="33" t="s">
        <v>22</v>
      </c>
    </row>
    <row r="19960" spans="1:11">
      <c r="A19960" s="30" t="s">
        <v>44386</v>
      </c>
      <c r="B19960" s="30" t="s">
        <v>44387</v>
      </c>
      <c r="C19960" s="30" t="s">
        <v>44388</v>
      </c>
      <c r="D19960" s="30" t="s">
        <v>17</v>
      </c>
      <c r="E19960" s="30" t="s">
        <v>26</v>
      </c>
      <c r="F19960" s="30" t="s">
        <v>27</v>
      </c>
      <c r="G19960" s="30" t="s">
        <v>140</v>
      </c>
      <c r="H19960" s="32">
        <v>10</v>
      </c>
      <c r="I19960" s="30" t="s">
        <v>51</v>
      </c>
      <c r="J19960" s="41">
        <v>45606</v>
      </c>
      <c r="K19960" s="30" t="s">
        <v>22</v>
      </c>
    </row>
    <row r="19961" spans="1:11">
      <c r="A19961" s="33" t="s">
        <v>44389</v>
      </c>
      <c r="B19961" s="33" t="s">
        <v>44390</v>
      </c>
      <c r="C19961" s="33" t="s">
        <v>7072</v>
      </c>
      <c r="D19961" s="33" t="s">
        <v>17</v>
      </c>
      <c r="E19961" s="33" t="s">
        <v>26</v>
      </c>
      <c r="F19961" s="33" t="s">
        <v>27</v>
      </c>
      <c r="G19961" s="33" t="s">
        <v>140</v>
      </c>
      <c r="H19961" s="35">
        <v>138</v>
      </c>
      <c r="I19961" s="33" t="s">
        <v>51</v>
      </c>
      <c r="J19961" s="42">
        <v>45643</v>
      </c>
      <c r="K19961" s="33" t="s">
        <v>22</v>
      </c>
    </row>
    <row r="19962" spans="1:11">
      <c r="A19962" s="30" t="s">
        <v>44391</v>
      </c>
      <c r="B19962" s="30" t="s">
        <v>44392</v>
      </c>
      <c r="C19962" s="30" t="s">
        <v>157</v>
      </c>
      <c r="D19962" s="30" t="s">
        <v>17</v>
      </c>
      <c r="E19962" s="30" t="s">
        <v>212</v>
      </c>
      <c r="F19962" s="30" t="s">
        <v>213</v>
      </c>
      <c r="G19962" s="30" t="s">
        <v>140</v>
      </c>
      <c r="H19962" s="32">
        <v>65</v>
      </c>
      <c r="I19962" s="30" t="s">
        <v>51</v>
      </c>
      <c r="J19962" s="41">
        <v>45455</v>
      </c>
      <c r="K19962" s="30" t="s">
        <v>22</v>
      </c>
    </row>
    <row r="19963" spans="1:11">
      <c r="A19963" s="33" t="s">
        <v>44393</v>
      </c>
      <c r="B19963" s="33" t="s">
        <v>44394</v>
      </c>
      <c r="C19963" s="33" t="s">
        <v>1210</v>
      </c>
      <c r="D19963" s="33" t="s">
        <v>17</v>
      </c>
      <c r="E19963" s="33" t="s">
        <v>26</v>
      </c>
      <c r="F19963" s="33" t="s">
        <v>27</v>
      </c>
      <c r="G19963" s="33" t="s">
        <v>158</v>
      </c>
      <c r="H19963" s="35">
        <v>20</v>
      </c>
      <c r="I19963" s="33" t="s">
        <v>51</v>
      </c>
      <c r="J19963" s="42">
        <v>45429</v>
      </c>
      <c r="K19963" s="33" t="s">
        <v>22</v>
      </c>
    </row>
    <row r="19964" spans="1:11">
      <c r="A19964" s="30" t="s">
        <v>44395</v>
      </c>
      <c r="B19964" s="30" t="s">
        <v>44396</v>
      </c>
      <c r="C19964" s="30" t="s">
        <v>3392</v>
      </c>
      <c r="D19964" s="30" t="s">
        <v>17</v>
      </c>
      <c r="E19964" s="30" t="s">
        <v>31</v>
      </c>
      <c r="F19964" s="30" t="s">
        <v>32</v>
      </c>
      <c r="G19964" s="30" t="s">
        <v>140</v>
      </c>
      <c r="H19964" s="32">
        <v>51</v>
      </c>
      <c r="I19964" s="30" t="s">
        <v>51</v>
      </c>
      <c r="J19964" s="41">
        <v>45398</v>
      </c>
      <c r="K19964" s="30" t="s">
        <v>22</v>
      </c>
    </row>
    <row r="19965" spans="1:11">
      <c r="A19965" s="33" t="s">
        <v>44397</v>
      </c>
      <c r="B19965" s="33" t="s">
        <v>44398</v>
      </c>
      <c r="C19965" s="33" t="s">
        <v>20739</v>
      </c>
      <c r="D19965" s="33" t="s">
        <v>17</v>
      </c>
      <c r="E19965" s="33" t="s">
        <v>31</v>
      </c>
      <c r="F19965" s="33" t="s">
        <v>32</v>
      </c>
      <c r="G19965" s="33" t="s">
        <v>106</v>
      </c>
      <c r="H19965" s="35">
        <v>3</v>
      </c>
      <c r="I19965" s="33" t="s">
        <v>21</v>
      </c>
      <c r="J19965" s="42">
        <v>45579</v>
      </c>
      <c r="K19965" s="33" t="s">
        <v>22</v>
      </c>
    </row>
    <row r="19966" spans="1:11">
      <c r="A19966" s="30" t="s">
        <v>44399</v>
      </c>
      <c r="B19966" s="30" t="s">
        <v>44400</v>
      </c>
      <c r="C19966" s="30" t="s">
        <v>44401</v>
      </c>
      <c r="D19966" s="30" t="s">
        <v>17</v>
      </c>
      <c r="E19966" s="30" t="s">
        <v>212</v>
      </c>
      <c r="F19966" s="30" t="s">
        <v>213</v>
      </c>
      <c r="G19966" s="30" t="s">
        <v>140</v>
      </c>
      <c r="H19966" s="32">
        <v>48</v>
      </c>
      <c r="I19966" s="30" t="s">
        <v>51</v>
      </c>
      <c r="J19966" s="41">
        <v>45602</v>
      </c>
      <c r="K19966" s="30" t="s">
        <v>22</v>
      </c>
    </row>
    <row r="19967" spans="1:11">
      <c r="A19967" s="33" t="s">
        <v>44402</v>
      </c>
      <c r="B19967" s="33" t="s">
        <v>44403</v>
      </c>
      <c r="C19967" s="33" t="s">
        <v>44404</v>
      </c>
      <c r="D19967" s="33" t="s">
        <v>17</v>
      </c>
      <c r="E19967" s="33" t="s">
        <v>26</v>
      </c>
      <c r="F19967" s="33" t="s">
        <v>27</v>
      </c>
      <c r="G19967" s="33" t="s">
        <v>140</v>
      </c>
      <c r="H19967" s="35">
        <v>170</v>
      </c>
      <c r="I19967" s="33" t="s">
        <v>51</v>
      </c>
      <c r="J19967" s="42">
        <v>45462</v>
      </c>
      <c r="K19967" s="33" t="s">
        <v>22</v>
      </c>
    </row>
    <row r="19968" spans="1:11">
      <c r="A19968" s="30" t="s">
        <v>44405</v>
      </c>
      <c r="B19968" s="30" t="s">
        <v>44406</v>
      </c>
      <c r="C19968" s="30" t="s">
        <v>795</v>
      </c>
      <c r="D19968" s="30" t="s">
        <v>17</v>
      </c>
      <c r="E19968" s="30" t="s">
        <v>18</v>
      </c>
      <c r="F19968" s="30" t="s">
        <v>19</v>
      </c>
      <c r="G19968" s="30" t="s">
        <v>158</v>
      </c>
      <c r="H19968" s="32">
        <v>191</v>
      </c>
      <c r="I19968" s="30" t="s">
        <v>21</v>
      </c>
      <c r="J19968" s="41">
        <v>45621</v>
      </c>
      <c r="K19968" s="30" t="s">
        <v>22</v>
      </c>
    </row>
    <row r="19969" spans="1:11">
      <c r="A19969" s="33" t="s">
        <v>44407</v>
      </c>
      <c r="B19969" s="33" t="s">
        <v>44408</v>
      </c>
      <c r="C19969" s="33" t="s">
        <v>44409</v>
      </c>
      <c r="D19969" s="33" t="s">
        <v>17</v>
      </c>
      <c r="E19969" s="33" t="s">
        <v>45</v>
      </c>
      <c r="F19969" s="33" t="s">
        <v>46</v>
      </c>
      <c r="G19969" s="33" t="s">
        <v>140</v>
      </c>
      <c r="H19969" s="35">
        <v>40</v>
      </c>
      <c r="I19969" s="33" t="s">
        <v>51</v>
      </c>
      <c r="J19969" s="42">
        <v>45603</v>
      </c>
      <c r="K19969" s="33" t="s">
        <v>22</v>
      </c>
    </row>
    <row r="19970" spans="1:11">
      <c r="A19970" s="30" t="s">
        <v>44410</v>
      </c>
      <c r="B19970" s="30" t="s">
        <v>44411</v>
      </c>
      <c r="C19970" s="30" t="s">
        <v>154</v>
      </c>
      <c r="D19970" s="30" t="s">
        <v>17</v>
      </c>
      <c r="E19970" s="30" t="s">
        <v>26</v>
      </c>
      <c r="F19970" s="30" t="s">
        <v>27</v>
      </c>
      <c r="G19970" s="30" t="s">
        <v>106</v>
      </c>
      <c r="H19970" s="32">
        <v>35</v>
      </c>
      <c r="I19970" s="30" t="s">
        <v>21</v>
      </c>
      <c r="J19970" s="41">
        <v>45546</v>
      </c>
      <c r="K19970" s="30" t="s">
        <v>22</v>
      </c>
    </row>
    <row r="19971" spans="1:11">
      <c r="A19971" s="33" t="s">
        <v>44412</v>
      </c>
      <c r="B19971" s="33" t="s">
        <v>44413</v>
      </c>
      <c r="C19971" s="33" t="s">
        <v>203</v>
      </c>
      <c r="D19971" s="33" t="s">
        <v>17</v>
      </c>
      <c r="E19971" s="33" t="s">
        <v>31</v>
      </c>
      <c r="F19971" s="33" t="s">
        <v>32</v>
      </c>
      <c r="G19971" s="33" t="s">
        <v>106</v>
      </c>
      <c r="H19971" s="35">
        <v>166</v>
      </c>
      <c r="I19971" s="33" t="s">
        <v>21</v>
      </c>
      <c r="J19971" s="42">
        <v>45449</v>
      </c>
      <c r="K19971" s="33" t="s">
        <v>22</v>
      </c>
    </row>
    <row r="19972" spans="1:11">
      <c r="A19972" s="30" t="s">
        <v>44414</v>
      </c>
      <c r="B19972" s="30" t="s">
        <v>44415</v>
      </c>
      <c r="C19972" s="30" t="s">
        <v>17636</v>
      </c>
      <c r="D19972" s="30" t="s">
        <v>17</v>
      </c>
      <c r="E19972" s="30" t="s">
        <v>18</v>
      </c>
      <c r="F19972" s="30" t="s">
        <v>19</v>
      </c>
      <c r="G19972" s="30" t="s">
        <v>7780</v>
      </c>
      <c r="H19972" s="32">
        <v>4950</v>
      </c>
      <c r="I19972" s="30" t="s">
        <v>51</v>
      </c>
      <c r="J19972" s="41">
        <v>45656</v>
      </c>
      <c r="K19972" s="30" t="s">
        <v>22</v>
      </c>
    </row>
    <row r="19973" spans="1:11">
      <c r="A19973" s="33" t="s">
        <v>44416</v>
      </c>
      <c r="B19973" s="33" t="s">
        <v>44417</v>
      </c>
      <c r="C19973" s="33" t="s">
        <v>20032</v>
      </c>
      <c r="D19973" s="33" t="s">
        <v>17</v>
      </c>
      <c r="E19973" s="33" t="s">
        <v>26</v>
      </c>
      <c r="F19973" s="33" t="s">
        <v>27</v>
      </c>
      <c r="G19973" s="33" t="s">
        <v>50</v>
      </c>
      <c r="H19973" s="35">
        <v>44</v>
      </c>
      <c r="I19973" s="33" t="s">
        <v>51</v>
      </c>
      <c r="J19973" s="42">
        <v>45418</v>
      </c>
      <c r="K19973" s="33" t="s">
        <v>22</v>
      </c>
    </row>
    <row r="19974" spans="1:11">
      <c r="A19974" s="30" t="s">
        <v>44418</v>
      </c>
      <c r="B19974" s="30" t="s">
        <v>44419</v>
      </c>
      <c r="C19974" s="30" t="s">
        <v>31562</v>
      </c>
      <c r="D19974" s="30" t="s">
        <v>17</v>
      </c>
      <c r="E19974" s="30" t="s">
        <v>18</v>
      </c>
      <c r="F19974" s="30" t="s">
        <v>19</v>
      </c>
      <c r="G19974" s="30" t="s">
        <v>140</v>
      </c>
      <c r="H19974" s="32">
        <v>460</v>
      </c>
      <c r="I19974" s="30" t="s">
        <v>51</v>
      </c>
      <c r="J19974" s="41">
        <v>45477</v>
      </c>
      <c r="K19974" s="30" t="s">
        <v>22</v>
      </c>
    </row>
    <row r="19975" spans="1:11">
      <c r="A19975" s="33" t="s">
        <v>44420</v>
      </c>
      <c r="B19975" s="33" t="s">
        <v>44421</v>
      </c>
      <c r="C19975" s="33" t="s">
        <v>26943</v>
      </c>
      <c r="D19975" s="33" t="s">
        <v>17</v>
      </c>
      <c r="E19975" s="33" t="s">
        <v>18</v>
      </c>
      <c r="F19975" s="33" t="s">
        <v>19</v>
      </c>
      <c r="G19975" s="33" t="s">
        <v>140</v>
      </c>
      <c r="H19975" s="35">
        <v>180</v>
      </c>
      <c r="I19975" s="33" t="s">
        <v>51</v>
      </c>
      <c r="J19975" s="42">
        <v>45587</v>
      </c>
      <c r="K19975" s="33" t="s">
        <v>22</v>
      </c>
    </row>
    <row r="19976" spans="1:11">
      <c r="A19976" s="30" t="s">
        <v>44422</v>
      </c>
      <c r="B19976" s="30" t="s">
        <v>44423</v>
      </c>
      <c r="C19976" s="30" t="s">
        <v>891</v>
      </c>
      <c r="D19976" s="30" t="s">
        <v>17</v>
      </c>
      <c r="E19976" s="30" t="s">
        <v>31</v>
      </c>
      <c r="F19976" s="30" t="s">
        <v>32</v>
      </c>
      <c r="G19976" s="30" t="s">
        <v>158</v>
      </c>
      <c r="H19976" s="32">
        <v>90</v>
      </c>
      <c r="I19976" s="30" t="s">
        <v>51</v>
      </c>
      <c r="J19976" s="41">
        <v>45434</v>
      </c>
      <c r="K19976" s="30" t="s">
        <v>22</v>
      </c>
    </row>
    <row r="19977" spans="1:11">
      <c r="A19977" s="33" t="s">
        <v>44424</v>
      </c>
      <c r="B19977" s="33" t="s">
        <v>44425</v>
      </c>
      <c r="C19977" s="33" t="s">
        <v>44426</v>
      </c>
      <c r="D19977" s="33" t="s">
        <v>17</v>
      </c>
      <c r="E19977" s="33" t="s">
        <v>26</v>
      </c>
      <c r="F19977" s="33" t="s">
        <v>27</v>
      </c>
      <c r="G19977" s="33" t="s">
        <v>20</v>
      </c>
      <c r="H19977" s="35">
        <v>24</v>
      </c>
      <c r="I19977" s="33" t="s">
        <v>21</v>
      </c>
      <c r="J19977" s="42">
        <v>45646</v>
      </c>
      <c r="K19977" s="33" t="s">
        <v>22</v>
      </c>
    </row>
    <row r="19978" spans="1:11">
      <c r="A19978" s="30" t="s">
        <v>44427</v>
      </c>
      <c r="B19978" s="30" t="s">
        <v>44428</v>
      </c>
      <c r="C19978" s="30" t="s">
        <v>124</v>
      </c>
      <c r="D19978" s="30" t="s">
        <v>17</v>
      </c>
      <c r="E19978" s="30" t="s">
        <v>26</v>
      </c>
      <c r="F19978" s="30" t="s">
        <v>27</v>
      </c>
      <c r="G19978" s="30" t="s">
        <v>140</v>
      </c>
      <c r="H19978" s="32">
        <v>90</v>
      </c>
      <c r="I19978" s="30" t="s">
        <v>51</v>
      </c>
      <c r="J19978" s="41">
        <v>45644</v>
      </c>
      <c r="K19978" s="30" t="s">
        <v>22</v>
      </c>
    </row>
    <row r="19979" spans="1:11">
      <c r="A19979" s="33" t="s">
        <v>44429</v>
      </c>
      <c r="B19979" s="33" t="s">
        <v>44430</v>
      </c>
      <c r="C19979" s="33" t="s">
        <v>310</v>
      </c>
      <c r="D19979" s="33" t="s">
        <v>17</v>
      </c>
      <c r="E19979" s="33" t="s">
        <v>26</v>
      </c>
      <c r="F19979" s="33" t="s">
        <v>27</v>
      </c>
      <c r="G19979" s="33" t="s">
        <v>20</v>
      </c>
      <c r="H19979" s="35">
        <v>48</v>
      </c>
      <c r="I19979" s="33" t="s">
        <v>21</v>
      </c>
      <c r="J19979" s="42">
        <v>45432</v>
      </c>
      <c r="K19979" s="33" t="s">
        <v>22</v>
      </c>
    </row>
    <row r="19980" spans="1:11">
      <c r="A19980" s="30" t="s">
        <v>44431</v>
      </c>
      <c r="B19980" s="30" t="s">
        <v>44432</v>
      </c>
      <c r="C19980" s="30" t="s">
        <v>1604</v>
      </c>
      <c r="D19980" s="30" t="s">
        <v>17</v>
      </c>
      <c r="E19980" s="30" t="s">
        <v>26</v>
      </c>
      <c r="F19980" s="30" t="s">
        <v>27</v>
      </c>
      <c r="G19980" s="30" t="s">
        <v>140</v>
      </c>
      <c r="H19980" s="32">
        <v>10</v>
      </c>
      <c r="I19980" s="30" t="s">
        <v>51</v>
      </c>
      <c r="J19980" s="41">
        <v>45539</v>
      </c>
      <c r="K19980" s="30" t="s">
        <v>22</v>
      </c>
    </row>
    <row r="19981" spans="1:11">
      <c r="A19981" s="33" t="s">
        <v>44433</v>
      </c>
      <c r="B19981" s="33" t="s">
        <v>44434</v>
      </c>
      <c r="C19981" s="33" t="s">
        <v>13036</v>
      </c>
      <c r="D19981" s="33" t="s">
        <v>17</v>
      </c>
      <c r="E19981" s="33" t="s">
        <v>31</v>
      </c>
      <c r="F19981" s="33" t="s">
        <v>32</v>
      </c>
      <c r="G19981" s="33" t="s">
        <v>140</v>
      </c>
      <c r="H19981" s="35">
        <v>200</v>
      </c>
      <c r="I19981" s="33" t="s">
        <v>51</v>
      </c>
      <c r="J19981" s="42">
        <v>45601</v>
      </c>
      <c r="K19981" s="33" t="s">
        <v>22</v>
      </c>
    </row>
    <row r="19982" spans="1:11">
      <c r="A19982" s="30" t="s">
        <v>44435</v>
      </c>
      <c r="B19982" s="30" t="s">
        <v>44436</v>
      </c>
      <c r="C19982" s="30" t="s">
        <v>1498</v>
      </c>
      <c r="D19982" s="30" t="s">
        <v>17</v>
      </c>
      <c r="E19982" s="30" t="s">
        <v>18</v>
      </c>
      <c r="F19982" s="30" t="s">
        <v>19</v>
      </c>
      <c r="G19982" s="30" t="s">
        <v>20</v>
      </c>
      <c r="H19982" s="32">
        <v>606</v>
      </c>
      <c r="I19982" s="30" t="s">
        <v>21</v>
      </c>
      <c r="J19982" s="41">
        <v>45531</v>
      </c>
      <c r="K19982" s="30" t="s">
        <v>22</v>
      </c>
    </row>
    <row r="19983" spans="1:11">
      <c r="A19983" s="33" t="s">
        <v>44437</v>
      </c>
      <c r="B19983" s="33" t="s">
        <v>44438</v>
      </c>
      <c r="C19983" s="33" t="s">
        <v>1237</v>
      </c>
      <c r="D19983" s="33" t="s">
        <v>17</v>
      </c>
      <c r="E19983" s="33" t="s">
        <v>31</v>
      </c>
      <c r="F19983" s="33" t="s">
        <v>32</v>
      </c>
      <c r="G19983" s="33" t="s">
        <v>140</v>
      </c>
      <c r="H19983" s="35">
        <v>200</v>
      </c>
      <c r="I19983" s="33" t="s">
        <v>51</v>
      </c>
      <c r="J19983" s="42">
        <v>45565</v>
      </c>
      <c r="K19983" s="33" t="s">
        <v>22</v>
      </c>
    </row>
    <row r="19984" spans="1:11">
      <c r="A19984" s="30" t="s">
        <v>44439</v>
      </c>
      <c r="B19984" s="30" t="s">
        <v>44440</v>
      </c>
      <c r="C19984" s="30" t="s">
        <v>252</v>
      </c>
      <c r="D19984" s="30" t="s">
        <v>17</v>
      </c>
      <c r="E19984" s="30" t="s">
        <v>67</v>
      </c>
      <c r="F19984" s="30" t="s">
        <v>68</v>
      </c>
      <c r="G19984" s="30" t="s">
        <v>7780</v>
      </c>
      <c r="H19984" s="32">
        <v>180</v>
      </c>
      <c r="I19984" s="30" t="s">
        <v>51</v>
      </c>
      <c r="J19984" s="41">
        <v>45411</v>
      </c>
      <c r="K19984" s="30" t="s">
        <v>22</v>
      </c>
    </row>
    <row r="19985" spans="1:11">
      <c r="A19985" s="33" t="s">
        <v>44441</v>
      </c>
      <c r="B19985" s="33" t="s">
        <v>44442</v>
      </c>
      <c r="C19985" s="33" t="s">
        <v>2153</v>
      </c>
      <c r="D19985" s="33" t="s">
        <v>17</v>
      </c>
      <c r="E19985" s="33" t="s">
        <v>26</v>
      </c>
      <c r="F19985" s="33" t="s">
        <v>27</v>
      </c>
      <c r="G19985" s="33" t="s">
        <v>20</v>
      </c>
      <c r="H19985" s="35">
        <v>32</v>
      </c>
      <c r="I19985" s="33" t="s">
        <v>21</v>
      </c>
      <c r="J19985" s="42">
        <v>45534</v>
      </c>
      <c r="K19985" s="33" t="s">
        <v>22</v>
      </c>
    </row>
    <row r="19986" spans="1:11">
      <c r="A19986" s="30" t="s">
        <v>44443</v>
      </c>
      <c r="B19986" s="30" t="s">
        <v>44444</v>
      </c>
      <c r="C19986" s="30" t="s">
        <v>2054</v>
      </c>
      <c r="D19986" s="30" t="s">
        <v>17</v>
      </c>
      <c r="E19986" s="30" t="s">
        <v>18</v>
      </c>
      <c r="F19986" s="30" t="s">
        <v>19</v>
      </c>
      <c r="G19986" s="30" t="s">
        <v>140</v>
      </c>
      <c r="H19986" s="32">
        <v>56</v>
      </c>
      <c r="I19986" s="30" t="s">
        <v>51</v>
      </c>
      <c r="J19986" s="41">
        <v>45355</v>
      </c>
      <c r="K19986" s="30" t="s">
        <v>22</v>
      </c>
    </row>
    <row r="19987" spans="1:11">
      <c r="A19987" s="33" t="s">
        <v>44445</v>
      </c>
      <c r="B19987" s="33" t="s">
        <v>44446</v>
      </c>
      <c r="C19987" s="33" t="s">
        <v>5319</v>
      </c>
      <c r="D19987" s="33" t="s">
        <v>17</v>
      </c>
      <c r="E19987" s="33" t="s">
        <v>31</v>
      </c>
      <c r="F19987" s="33" t="s">
        <v>32</v>
      </c>
      <c r="G19987" s="33" t="s">
        <v>140</v>
      </c>
      <c r="H19987" s="35">
        <v>600</v>
      </c>
      <c r="I19987" s="33" t="s">
        <v>51</v>
      </c>
      <c r="J19987" s="42">
        <v>45568</v>
      </c>
      <c r="K19987" s="33" t="s">
        <v>22</v>
      </c>
    </row>
    <row r="19988" spans="1:11">
      <c r="A19988" s="30" t="s">
        <v>44447</v>
      </c>
      <c r="B19988" s="30" t="s">
        <v>44448</v>
      </c>
      <c r="C19988" s="30" t="s">
        <v>41065</v>
      </c>
      <c r="D19988" s="30" t="s">
        <v>17</v>
      </c>
      <c r="E19988" s="30" t="s">
        <v>45</v>
      </c>
      <c r="F19988" s="30" t="s">
        <v>46</v>
      </c>
      <c r="G19988" s="30" t="s">
        <v>7780</v>
      </c>
      <c r="H19988" s="32">
        <v>401</v>
      </c>
      <c r="I19988" s="30" t="s">
        <v>51</v>
      </c>
      <c r="J19988" s="41">
        <v>45352</v>
      </c>
      <c r="K19988" s="30" t="s">
        <v>22</v>
      </c>
    </row>
    <row r="19989" spans="1:11">
      <c r="A19989" s="33" t="s">
        <v>44449</v>
      </c>
      <c r="B19989" s="33" t="s">
        <v>44450</v>
      </c>
      <c r="C19989" s="33" t="s">
        <v>3914</v>
      </c>
      <c r="D19989" s="33" t="s">
        <v>17</v>
      </c>
      <c r="E19989" s="33" t="s">
        <v>67</v>
      </c>
      <c r="F19989" s="33" t="s">
        <v>68</v>
      </c>
      <c r="G19989" s="33" t="s">
        <v>112</v>
      </c>
      <c r="H19989" s="35">
        <v>0</v>
      </c>
      <c r="I19989" s="33" t="s">
        <v>21</v>
      </c>
      <c r="J19989" s="42">
        <v>45597</v>
      </c>
      <c r="K19989" s="33" t="s">
        <v>22</v>
      </c>
    </row>
    <row r="19990" spans="1:11">
      <c r="A19990" s="30" t="s">
        <v>44451</v>
      </c>
      <c r="B19990" s="30" t="s">
        <v>44452</v>
      </c>
      <c r="C19990" s="30" t="s">
        <v>109</v>
      </c>
      <c r="D19990" s="30" t="s">
        <v>17</v>
      </c>
      <c r="E19990" s="30" t="s">
        <v>31</v>
      </c>
      <c r="F19990" s="30" t="s">
        <v>32</v>
      </c>
      <c r="G19990" s="30" t="s">
        <v>158</v>
      </c>
      <c r="H19990" s="32">
        <v>21</v>
      </c>
      <c r="I19990" s="30" t="s">
        <v>21</v>
      </c>
      <c r="J19990" s="41">
        <v>45643</v>
      </c>
      <c r="K19990" s="30" t="s">
        <v>22</v>
      </c>
    </row>
    <row r="19991" spans="1:11">
      <c r="A19991" s="33" t="s">
        <v>44453</v>
      </c>
      <c r="B19991" s="33" t="s">
        <v>44454</v>
      </c>
      <c r="C19991" s="33" t="s">
        <v>15795</v>
      </c>
      <c r="D19991" s="33" t="s">
        <v>17</v>
      </c>
      <c r="E19991" s="33" t="s">
        <v>18</v>
      </c>
      <c r="F19991" s="33" t="s">
        <v>19</v>
      </c>
      <c r="G19991" s="33" t="s">
        <v>20</v>
      </c>
      <c r="H19991" s="35">
        <v>632</v>
      </c>
      <c r="I19991" s="33" t="s">
        <v>21</v>
      </c>
      <c r="J19991" s="42">
        <v>45390</v>
      </c>
      <c r="K19991" s="33" t="s">
        <v>22</v>
      </c>
    </row>
    <row r="19992" spans="1:11">
      <c r="A19992" s="30" t="s">
        <v>44455</v>
      </c>
      <c r="B19992" s="30" t="s">
        <v>44456</v>
      </c>
      <c r="C19992" s="30" t="s">
        <v>109</v>
      </c>
      <c r="D19992" s="30" t="s">
        <v>17</v>
      </c>
      <c r="E19992" s="30" t="s">
        <v>67</v>
      </c>
      <c r="F19992" s="30" t="s">
        <v>68</v>
      </c>
      <c r="G19992" s="30" t="s">
        <v>140</v>
      </c>
      <c r="H19992" s="32">
        <v>161</v>
      </c>
      <c r="I19992" s="30" t="s">
        <v>51</v>
      </c>
      <c r="J19992" s="41">
        <v>45519</v>
      </c>
      <c r="K19992" s="30" t="s">
        <v>22</v>
      </c>
    </row>
    <row r="19993" spans="1:11">
      <c r="A19993" s="33" t="s">
        <v>44457</v>
      </c>
      <c r="B19993" s="33" t="s">
        <v>44458</v>
      </c>
      <c r="C19993" s="33" t="s">
        <v>29050</v>
      </c>
      <c r="D19993" s="33" t="s">
        <v>17</v>
      </c>
      <c r="E19993" s="33" t="s">
        <v>18</v>
      </c>
      <c r="F19993" s="33" t="s">
        <v>19</v>
      </c>
      <c r="G19993" s="33" t="s">
        <v>7780</v>
      </c>
      <c r="H19993" s="35">
        <v>370</v>
      </c>
      <c r="I19993" s="33" t="s">
        <v>51</v>
      </c>
      <c r="J19993" s="42">
        <v>45595</v>
      </c>
      <c r="K19993" s="33" t="s">
        <v>22</v>
      </c>
    </row>
    <row r="19994" spans="1:11">
      <c r="A19994" s="30" t="s">
        <v>44459</v>
      </c>
      <c r="B19994" s="30" t="s">
        <v>44460</v>
      </c>
      <c r="C19994" s="30" t="s">
        <v>8271</v>
      </c>
      <c r="D19994" s="30" t="s">
        <v>17</v>
      </c>
      <c r="E19994" s="30" t="s">
        <v>26</v>
      </c>
      <c r="F19994" s="30" t="s">
        <v>27</v>
      </c>
      <c r="G19994" s="30" t="s">
        <v>106</v>
      </c>
      <c r="H19994" s="32">
        <v>9</v>
      </c>
      <c r="I19994" s="30" t="s">
        <v>21</v>
      </c>
      <c r="J19994" s="41">
        <v>45638</v>
      </c>
      <c r="K19994" s="30" t="s">
        <v>22</v>
      </c>
    </row>
    <row r="19995" spans="1:11">
      <c r="A19995" s="33" t="s">
        <v>44461</v>
      </c>
      <c r="B19995" s="33" t="s">
        <v>44462</v>
      </c>
      <c r="C19995" s="33" t="s">
        <v>24478</v>
      </c>
      <c r="D19995" s="33" t="s">
        <v>17</v>
      </c>
      <c r="E19995" s="33" t="s">
        <v>31</v>
      </c>
      <c r="F19995" s="33" t="s">
        <v>32</v>
      </c>
      <c r="G19995" s="33" t="s">
        <v>158</v>
      </c>
      <c r="H19995" s="35">
        <v>25</v>
      </c>
      <c r="I19995" s="33" t="s">
        <v>21</v>
      </c>
      <c r="J19995" s="42">
        <v>45551</v>
      </c>
      <c r="K19995" s="33" t="s">
        <v>22</v>
      </c>
    </row>
    <row r="19996" spans="1:11">
      <c r="A19996" s="30" t="s">
        <v>44463</v>
      </c>
      <c r="B19996" s="30" t="s">
        <v>44464</v>
      </c>
      <c r="C19996" s="30" t="s">
        <v>30271</v>
      </c>
      <c r="D19996" s="30" t="s">
        <v>17</v>
      </c>
      <c r="E19996" s="30" t="s">
        <v>330</v>
      </c>
      <c r="F19996" s="30" t="s">
        <v>331</v>
      </c>
      <c r="G19996" s="30" t="s">
        <v>7780</v>
      </c>
      <c r="H19996" s="32">
        <v>16</v>
      </c>
      <c r="I19996" s="30" t="s">
        <v>51</v>
      </c>
      <c r="J19996" s="41">
        <v>45626</v>
      </c>
      <c r="K19996" s="30" t="s">
        <v>22</v>
      </c>
    </row>
    <row r="19997" spans="1:11">
      <c r="A19997" s="33" t="s">
        <v>44465</v>
      </c>
      <c r="B19997" s="33" t="s">
        <v>44466</v>
      </c>
      <c r="C19997" s="33" t="s">
        <v>29833</v>
      </c>
      <c r="D19997" s="33" t="s">
        <v>17</v>
      </c>
      <c r="E19997" s="33" t="s">
        <v>18</v>
      </c>
      <c r="F19997" s="33" t="s">
        <v>19</v>
      </c>
      <c r="G19997" s="33" t="s">
        <v>140</v>
      </c>
      <c r="H19997" s="35">
        <v>537</v>
      </c>
      <c r="I19997" s="33" t="s">
        <v>51</v>
      </c>
      <c r="J19997" s="42">
        <v>45625</v>
      </c>
      <c r="K19997" s="33" t="s">
        <v>22</v>
      </c>
    </row>
    <row r="19998" spans="1:11">
      <c r="A19998" s="30" t="s">
        <v>44467</v>
      </c>
      <c r="B19998" s="30" t="s">
        <v>44468</v>
      </c>
      <c r="C19998" s="30" t="s">
        <v>2289</v>
      </c>
      <c r="D19998" s="30" t="s">
        <v>17</v>
      </c>
      <c r="E19998" s="30" t="s">
        <v>18</v>
      </c>
      <c r="F19998" s="30" t="s">
        <v>19</v>
      </c>
      <c r="G19998" s="30" t="s">
        <v>158</v>
      </c>
      <c r="H19998" s="32">
        <v>659</v>
      </c>
      <c r="I19998" s="30" t="s">
        <v>21</v>
      </c>
      <c r="J19998" s="41">
        <v>45503</v>
      </c>
      <c r="K19998" s="30" t="s">
        <v>22</v>
      </c>
    </row>
    <row r="19999" spans="1:11">
      <c r="A19999" s="33" t="s">
        <v>44469</v>
      </c>
      <c r="B19999" s="33" t="s">
        <v>44470</v>
      </c>
      <c r="C19999" s="33" t="s">
        <v>7488</v>
      </c>
      <c r="D19999" s="33" t="s">
        <v>17</v>
      </c>
      <c r="E19999" s="33" t="s">
        <v>26</v>
      </c>
      <c r="F19999" s="33" t="s">
        <v>27</v>
      </c>
      <c r="G19999" s="33" t="s">
        <v>20</v>
      </c>
      <c r="H19999" s="35">
        <v>82</v>
      </c>
      <c r="I19999" s="33" t="s">
        <v>21</v>
      </c>
      <c r="J19999" s="42">
        <v>45398</v>
      </c>
      <c r="K19999" s="33" t="s">
        <v>22</v>
      </c>
    </row>
    <row r="20000" spans="1:11">
      <c r="A20000" s="30" t="s">
        <v>44471</v>
      </c>
      <c r="B20000" s="30" t="s">
        <v>44472</v>
      </c>
      <c r="C20000" s="30" t="s">
        <v>16557</v>
      </c>
      <c r="D20000" s="30" t="s">
        <v>17</v>
      </c>
      <c r="E20000" s="30" t="s">
        <v>18</v>
      </c>
      <c r="F20000" s="30" t="s">
        <v>19</v>
      </c>
      <c r="G20000" s="30" t="s">
        <v>140</v>
      </c>
      <c r="H20000" s="32">
        <v>380</v>
      </c>
      <c r="I20000" s="30" t="s">
        <v>51</v>
      </c>
      <c r="J20000" s="41">
        <v>45456</v>
      </c>
      <c r="K20000" s="30" t="s">
        <v>22</v>
      </c>
    </row>
    <row r="20001" spans="1:11">
      <c r="A20001" s="33" t="s">
        <v>44473</v>
      </c>
      <c r="B20001" s="33" t="s">
        <v>44474</v>
      </c>
      <c r="C20001" s="33" t="s">
        <v>42626</v>
      </c>
      <c r="D20001" s="33" t="s">
        <v>17</v>
      </c>
      <c r="E20001" s="33" t="s">
        <v>26</v>
      </c>
      <c r="F20001" s="33" t="s">
        <v>27</v>
      </c>
      <c r="G20001" s="33" t="s">
        <v>140</v>
      </c>
      <c r="H20001" s="35">
        <v>100</v>
      </c>
      <c r="I20001" s="33" t="s">
        <v>51</v>
      </c>
      <c r="J20001" s="42">
        <v>45324</v>
      </c>
      <c r="K20001" s="33" t="s">
        <v>22</v>
      </c>
    </row>
    <row r="20002" spans="1:11">
      <c r="A20002" s="30" t="s">
        <v>44475</v>
      </c>
      <c r="B20002" s="30" t="s">
        <v>44476</v>
      </c>
      <c r="C20002" s="30" t="s">
        <v>2839</v>
      </c>
      <c r="D20002" s="30" t="s">
        <v>17</v>
      </c>
      <c r="E20002" s="30" t="s">
        <v>26</v>
      </c>
      <c r="F20002" s="30" t="s">
        <v>27</v>
      </c>
      <c r="G20002" s="30" t="s">
        <v>2613</v>
      </c>
      <c r="H20002" s="32">
        <v>48</v>
      </c>
      <c r="I20002" s="30" t="s">
        <v>51</v>
      </c>
      <c r="J20002" s="41">
        <v>45574</v>
      </c>
      <c r="K20002" s="30" t="s">
        <v>22</v>
      </c>
    </row>
    <row r="20003" spans="1:11">
      <c r="A20003" s="33" t="s">
        <v>44477</v>
      </c>
      <c r="B20003" s="33" t="s">
        <v>44478</v>
      </c>
      <c r="C20003" s="33" t="s">
        <v>22169</v>
      </c>
      <c r="D20003" s="33" t="s">
        <v>17</v>
      </c>
      <c r="E20003" s="33" t="s">
        <v>26</v>
      </c>
      <c r="F20003" s="33" t="s">
        <v>27</v>
      </c>
      <c r="G20003" s="33" t="s">
        <v>140</v>
      </c>
      <c r="H20003" s="35">
        <v>81</v>
      </c>
      <c r="I20003" s="33" t="s">
        <v>51</v>
      </c>
      <c r="J20003" s="42">
        <v>45385</v>
      </c>
      <c r="K20003" s="33" t="s">
        <v>22</v>
      </c>
    </row>
    <row r="20004" spans="1:11">
      <c r="A20004" s="30" t="s">
        <v>44479</v>
      </c>
      <c r="B20004" s="30" t="s">
        <v>44480</v>
      </c>
      <c r="C20004" s="30" t="s">
        <v>3013</v>
      </c>
      <c r="D20004" s="30" t="s">
        <v>17</v>
      </c>
      <c r="E20004" s="30" t="s">
        <v>26</v>
      </c>
      <c r="F20004" s="30" t="s">
        <v>27</v>
      </c>
      <c r="G20004" s="30" t="s">
        <v>158</v>
      </c>
      <c r="H20004" s="32">
        <v>102</v>
      </c>
      <c r="I20004" s="30" t="s">
        <v>51</v>
      </c>
      <c r="J20004" s="41">
        <v>45567</v>
      </c>
      <c r="K20004" s="30" t="s">
        <v>22</v>
      </c>
    </row>
    <row r="20005" spans="1:11">
      <c r="A20005" s="33" t="s">
        <v>44481</v>
      </c>
      <c r="B20005" s="33" t="s">
        <v>44482</v>
      </c>
      <c r="C20005" s="33" t="s">
        <v>203</v>
      </c>
      <c r="D20005" s="33" t="s">
        <v>17</v>
      </c>
      <c r="E20005" s="33" t="s">
        <v>18</v>
      </c>
      <c r="F20005" s="33" t="s">
        <v>19</v>
      </c>
      <c r="G20005" s="33" t="s">
        <v>20</v>
      </c>
      <c r="H20005" s="35">
        <v>643</v>
      </c>
      <c r="I20005" s="33" t="s">
        <v>21</v>
      </c>
      <c r="J20005" s="42">
        <v>45309</v>
      </c>
      <c r="K20005" s="33" t="s">
        <v>22</v>
      </c>
    </row>
    <row r="20006" spans="1:11">
      <c r="A20006" s="30" t="s">
        <v>44483</v>
      </c>
      <c r="B20006" s="30" t="s">
        <v>44484</v>
      </c>
      <c r="C20006" s="30" t="s">
        <v>730</v>
      </c>
      <c r="D20006" s="30" t="s">
        <v>17</v>
      </c>
      <c r="E20006" s="30" t="s">
        <v>31</v>
      </c>
      <c r="F20006" s="30" t="s">
        <v>32</v>
      </c>
      <c r="G20006" s="30" t="s">
        <v>158</v>
      </c>
      <c r="H20006" s="32">
        <v>5485</v>
      </c>
      <c r="I20006" s="30" t="s">
        <v>51</v>
      </c>
      <c r="J20006" s="41">
        <v>45573</v>
      </c>
      <c r="K20006" s="30" t="s">
        <v>22</v>
      </c>
    </row>
    <row r="20007" spans="1:11">
      <c r="A20007" s="33" t="s">
        <v>44485</v>
      </c>
      <c r="B20007" s="33" t="s">
        <v>44486</v>
      </c>
      <c r="C20007" s="33" t="s">
        <v>647</v>
      </c>
      <c r="D20007" s="33" t="s">
        <v>17</v>
      </c>
      <c r="E20007" s="33" t="s">
        <v>26</v>
      </c>
      <c r="F20007" s="33" t="s">
        <v>27</v>
      </c>
      <c r="G20007" s="33" t="s">
        <v>158</v>
      </c>
      <c r="H20007" s="35">
        <v>72</v>
      </c>
      <c r="I20007" s="33" t="s">
        <v>51</v>
      </c>
      <c r="J20007" s="42">
        <v>45646</v>
      </c>
      <c r="K20007" s="33" t="s">
        <v>22</v>
      </c>
    </row>
    <row r="20008" spans="1:11">
      <c r="A20008" s="30" t="s">
        <v>44487</v>
      </c>
      <c r="B20008" s="30" t="s">
        <v>44488</v>
      </c>
      <c r="C20008" s="30" t="s">
        <v>136</v>
      </c>
      <c r="D20008" s="30" t="s">
        <v>17</v>
      </c>
      <c r="E20008" s="30" t="s">
        <v>26</v>
      </c>
      <c r="F20008" s="30" t="s">
        <v>27</v>
      </c>
      <c r="G20008" s="30" t="s">
        <v>20</v>
      </c>
      <c r="H20008" s="32">
        <v>86</v>
      </c>
      <c r="I20008" s="30" t="s">
        <v>21</v>
      </c>
      <c r="J20008" s="41">
        <v>45639</v>
      </c>
      <c r="K20008" s="30" t="s">
        <v>22</v>
      </c>
    </row>
    <row r="20009" spans="1:11">
      <c r="A20009" s="33" t="s">
        <v>44489</v>
      </c>
      <c r="B20009" s="33" t="s">
        <v>44490</v>
      </c>
      <c r="C20009" s="33" t="s">
        <v>44491</v>
      </c>
      <c r="D20009" s="33" t="s">
        <v>17</v>
      </c>
      <c r="E20009" s="33" t="s">
        <v>67</v>
      </c>
      <c r="F20009" s="33" t="s">
        <v>68</v>
      </c>
      <c r="G20009" s="33" t="s">
        <v>140</v>
      </c>
      <c r="H20009" s="35">
        <v>144</v>
      </c>
      <c r="I20009" s="33" t="s">
        <v>51</v>
      </c>
      <c r="J20009" s="42">
        <v>45544</v>
      </c>
      <c r="K20009" s="33" t="s">
        <v>22</v>
      </c>
    </row>
    <row r="20010" spans="1:11">
      <c r="A20010" s="30" t="s">
        <v>44492</v>
      </c>
      <c r="B20010" s="30" t="s">
        <v>44493</v>
      </c>
      <c r="C20010" s="30" t="s">
        <v>1391</v>
      </c>
      <c r="D20010" s="30" t="s">
        <v>17</v>
      </c>
      <c r="E20010" s="30" t="s">
        <v>45</v>
      </c>
      <c r="F20010" s="30" t="s">
        <v>46</v>
      </c>
      <c r="G20010" s="30" t="s">
        <v>112</v>
      </c>
      <c r="H20010" s="32">
        <v>0</v>
      </c>
      <c r="I20010" s="30" t="s">
        <v>21</v>
      </c>
      <c r="J20010" s="41">
        <v>45597</v>
      </c>
      <c r="K20010" s="30" t="s">
        <v>22</v>
      </c>
    </row>
    <row r="20011" spans="1:11">
      <c r="A20011" s="33" t="s">
        <v>44494</v>
      </c>
      <c r="B20011" s="33" t="s">
        <v>44495</v>
      </c>
      <c r="C20011" s="33" t="s">
        <v>15718</v>
      </c>
      <c r="D20011" s="33" t="s">
        <v>17</v>
      </c>
      <c r="E20011" s="33" t="s">
        <v>26</v>
      </c>
      <c r="F20011" s="33" t="s">
        <v>27</v>
      </c>
      <c r="G20011" s="33" t="s">
        <v>20</v>
      </c>
      <c r="H20011" s="35">
        <v>225</v>
      </c>
      <c r="I20011" s="33" t="s">
        <v>21</v>
      </c>
      <c r="J20011" s="42">
        <v>45448</v>
      </c>
      <c r="K20011" s="33" t="s">
        <v>22</v>
      </c>
    </row>
    <row r="20012" spans="1:11">
      <c r="A20012" s="30" t="s">
        <v>44496</v>
      </c>
      <c r="B20012" s="30" t="s">
        <v>44497</v>
      </c>
      <c r="C20012" s="30" t="s">
        <v>14457</v>
      </c>
      <c r="D20012" s="30" t="s">
        <v>17</v>
      </c>
      <c r="E20012" s="30" t="s">
        <v>18</v>
      </c>
      <c r="F20012" s="30" t="s">
        <v>19</v>
      </c>
      <c r="G20012" s="30" t="s">
        <v>158</v>
      </c>
      <c r="H20012" s="32">
        <v>500</v>
      </c>
      <c r="I20012" s="30" t="s">
        <v>21</v>
      </c>
      <c r="J20012" s="41">
        <v>45581</v>
      </c>
      <c r="K20012" s="30" t="s">
        <v>22</v>
      </c>
    </row>
    <row r="20013" spans="1:11">
      <c r="A20013" s="33" t="s">
        <v>44498</v>
      </c>
      <c r="B20013" s="33" t="s">
        <v>44499</v>
      </c>
      <c r="C20013" s="33" t="s">
        <v>29541</v>
      </c>
      <c r="D20013" s="33" t="s">
        <v>17</v>
      </c>
      <c r="E20013" s="33" t="s">
        <v>26</v>
      </c>
      <c r="F20013" s="33" t="s">
        <v>27</v>
      </c>
      <c r="G20013" s="33" t="s">
        <v>140</v>
      </c>
      <c r="H20013" s="35">
        <v>156</v>
      </c>
      <c r="I20013" s="33" t="s">
        <v>51</v>
      </c>
      <c r="J20013" s="42">
        <v>45483</v>
      </c>
      <c r="K20013" s="33" t="s">
        <v>22</v>
      </c>
    </row>
    <row r="20014" spans="1:11">
      <c r="A20014" s="30" t="s">
        <v>44500</v>
      </c>
      <c r="B20014" s="30" t="s">
        <v>44501</v>
      </c>
      <c r="C20014" s="30" t="s">
        <v>318</v>
      </c>
      <c r="D20014" s="30" t="s">
        <v>17</v>
      </c>
      <c r="E20014" s="30" t="s">
        <v>212</v>
      </c>
      <c r="F20014" s="30" t="s">
        <v>213</v>
      </c>
      <c r="G20014" s="30" t="s">
        <v>140</v>
      </c>
      <c r="H20014" s="32">
        <v>300</v>
      </c>
      <c r="I20014" s="30" t="s">
        <v>51</v>
      </c>
      <c r="J20014" s="41">
        <v>45329</v>
      </c>
      <c r="K20014" s="30" t="s">
        <v>22</v>
      </c>
    </row>
    <row r="20015" spans="1:11">
      <c r="A20015" s="33" t="s">
        <v>44502</v>
      </c>
      <c r="B20015" s="33" t="s">
        <v>44503</v>
      </c>
      <c r="C20015" s="33" t="s">
        <v>30118</v>
      </c>
      <c r="D20015" s="33" t="s">
        <v>17</v>
      </c>
      <c r="E20015" s="33" t="s">
        <v>26</v>
      </c>
      <c r="F20015" s="33" t="s">
        <v>27</v>
      </c>
      <c r="G20015" s="33" t="s">
        <v>140</v>
      </c>
      <c r="H20015" s="35">
        <v>30</v>
      </c>
      <c r="I20015" s="33" t="s">
        <v>51</v>
      </c>
      <c r="J20015" s="42">
        <v>45364</v>
      </c>
      <c r="K20015" s="33" t="s">
        <v>22</v>
      </c>
    </row>
    <row r="20016" spans="1:11">
      <c r="A20016" s="30" t="s">
        <v>44504</v>
      </c>
      <c r="B20016" s="30" t="s">
        <v>44505</v>
      </c>
      <c r="C20016" s="30" t="s">
        <v>17501</v>
      </c>
      <c r="D20016" s="30" t="s">
        <v>17</v>
      </c>
      <c r="E20016" s="30" t="s">
        <v>26</v>
      </c>
      <c r="F20016" s="30" t="s">
        <v>27</v>
      </c>
      <c r="G20016" s="30" t="s">
        <v>20</v>
      </c>
      <c r="H20016" s="32">
        <v>49</v>
      </c>
      <c r="I20016" s="30" t="s">
        <v>21</v>
      </c>
      <c r="J20016" s="41">
        <v>45489</v>
      </c>
      <c r="K20016" s="30" t="s">
        <v>22</v>
      </c>
    </row>
    <row r="20017" spans="1:11">
      <c r="A20017" s="33" t="s">
        <v>44506</v>
      </c>
      <c r="B20017" s="33" t="s">
        <v>44507</v>
      </c>
      <c r="C20017" s="33" t="s">
        <v>22062</v>
      </c>
      <c r="D20017" s="33" t="s">
        <v>17</v>
      </c>
      <c r="E20017" s="33" t="s">
        <v>67</v>
      </c>
      <c r="F20017" s="33" t="s">
        <v>68</v>
      </c>
      <c r="G20017" s="33" t="s">
        <v>106</v>
      </c>
      <c r="H20017" s="35">
        <v>24</v>
      </c>
      <c r="I20017" s="33" t="s">
        <v>21</v>
      </c>
      <c r="J20017" s="42">
        <v>45630</v>
      </c>
      <c r="K20017" s="33" t="s">
        <v>22</v>
      </c>
    </row>
    <row r="20018" spans="1:11">
      <c r="A20018" s="30" t="s">
        <v>44508</v>
      </c>
      <c r="B20018" s="30" t="s">
        <v>44509</v>
      </c>
      <c r="C20018" s="30" t="s">
        <v>1270</v>
      </c>
      <c r="D20018" s="30" t="s">
        <v>17</v>
      </c>
      <c r="E20018" s="30" t="s">
        <v>18</v>
      </c>
      <c r="F20018" s="30" t="s">
        <v>19</v>
      </c>
      <c r="G20018" s="30" t="s">
        <v>20</v>
      </c>
      <c r="H20018" s="32">
        <v>192</v>
      </c>
      <c r="I20018" s="30" t="s">
        <v>21</v>
      </c>
      <c r="J20018" s="41">
        <v>45517</v>
      </c>
      <c r="K20018" s="30" t="s">
        <v>22</v>
      </c>
    </row>
    <row r="20019" spans="1:11">
      <c r="A20019" s="33" t="s">
        <v>44510</v>
      </c>
      <c r="B20019" s="33" t="s">
        <v>44511</v>
      </c>
      <c r="C20019" s="33" t="s">
        <v>109</v>
      </c>
      <c r="D20019" s="33" t="s">
        <v>17</v>
      </c>
      <c r="E20019" s="33" t="s">
        <v>18</v>
      </c>
      <c r="F20019" s="33" t="s">
        <v>19</v>
      </c>
      <c r="G20019" s="33" t="s">
        <v>20</v>
      </c>
      <c r="H20019" s="35">
        <v>422</v>
      </c>
      <c r="I20019" s="33" t="s">
        <v>21</v>
      </c>
      <c r="J20019" s="42">
        <v>45406</v>
      </c>
      <c r="K20019" s="33" t="s">
        <v>22</v>
      </c>
    </row>
    <row r="20020" spans="1:11">
      <c r="A20020" s="30" t="s">
        <v>44512</v>
      </c>
      <c r="B20020" s="30" t="s">
        <v>44513</v>
      </c>
      <c r="C20020" s="30" t="s">
        <v>44514</v>
      </c>
      <c r="D20020" s="30" t="s">
        <v>17</v>
      </c>
      <c r="E20020" s="30" t="s">
        <v>18</v>
      </c>
      <c r="F20020" s="30" t="s">
        <v>19</v>
      </c>
      <c r="G20020" s="30" t="s">
        <v>140</v>
      </c>
      <c r="H20020" s="32">
        <v>540</v>
      </c>
      <c r="I20020" s="30" t="s">
        <v>51</v>
      </c>
      <c r="J20020" s="41">
        <v>45406</v>
      </c>
      <c r="K20020" s="30" t="s">
        <v>22</v>
      </c>
    </row>
    <row r="20021" spans="1:11">
      <c r="A20021" s="33" t="s">
        <v>44515</v>
      </c>
      <c r="B20021" s="33" t="s">
        <v>44516</v>
      </c>
      <c r="C20021" s="33" t="s">
        <v>136</v>
      </c>
      <c r="D20021" s="33" t="s">
        <v>17</v>
      </c>
      <c r="E20021" s="33" t="s">
        <v>18</v>
      </c>
      <c r="F20021" s="33" t="s">
        <v>19</v>
      </c>
      <c r="G20021" s="33" t="s">
        <v>20</v>
      </c>
      <c r="H20021" s="35">
        <v>279</v>
      </c>
      <c r="I20021" s="33" t="s">
        <v>21</v>
      </c>
      <c r="J20021" s="42">
        <v>45559</v>
      </c>
      <c r="K20021" s="33" t="s">
        <v>22</v>
      </c>
    </row>
    <row r="20022" spans="1:11">
      <c r="A20022" s="30" t="s">
        <v>44517</v>
      </c>
      <c r="B20022" s="30" t="s">
        <v>44518</v>
      </c>
      <c r="C20022" s="30" t="s">
        <v>9825</v>
      </c>
      <c r="D20022" s="30" t="s">
        <v>17</v>
      </c>
      <c r="E20022" s="30" t="s">
        <v>26</v>
      </c>
      <c r="F20022" s="30" t="s">
        <v>27</v>
      </c>
      <c r="G20022" s="30" t="s">
        <v>20</v>
      </c>
      <c r="H20022" s="32">
        <v>36</v>
      </c>
      <c r="I20022" s="30" t="s">
        <v>21</v>
      </c>
      <c r="J20022" s="41">
        <v>45646</v>
      </c>
      <c r="K20022" s="30" t="s">
        <v>22</v>
      </c>
    </row>
    <row r="20023" spans="1:11">
      <c r="A20023" s="33" t="s">
        <v>44519</v>
      </c>
      <c r="B20023" s="33" t="s">
        <v>44520</v>
      </c>
      <c r="C20023" s="33" t="s">
        <v>263</v>
      </c>
      <c r="D20023" s="33" t="s">
        <v>17</v>
      </c>
      <c r="E20023" s="33" t="s">
        <v>31</v>
      </c>
      <c r="F20023" s="33" t="s">
        <v>32</v>
      </c>
      <c r="G20023" s="33" t="s">
        <v>140</v>
      </c>
      <c r="H20023" s="35">
        <v>240</v>
      </c>
      <c r="I20023" s="33" t="s">
        <v>51</v>
      </c>
      <c r="J20023" s="42">
        <v>45359</v>
      </c>
      <c r="K20023" s="33" t="s">
        <v>22</v>
      </c>
    </row>
    <row r="20024" spans="1:11">
      <c r="A20024" s="30" t="s">
        <v>44521</v>
      </c>
      <c r="B20024" s="30" t="s">
        <v>44522</v>
      </c>
      <c r="C20024" s="30" t="s">
        <v>39563</v>
      </c>
      <c r="D20024" s="30" t="s">
        <v>17</v>
      </c>
      <c r="E20024" s="30" t="s">
        <v>26</v>
      </c>
      <c r="F20024" s="30" t="s">
        <v>27</v>
      </c>
      <c r="G20024" s="30" t="s">
        <v>50</v>
      </c>
      <c r="H20024" s="32">
        <v>46</v>
      </c>
      <c r="I20024" s="30" t="s">
        <v>51</v>
      </c>
      <c r="J20024" s="41">
        <v>45482</v>
      </c>
      <c r="K20024" s="30" t="s">
        <v>22</v>
      </c>
    </row>
    <row r="20025" spans="1:11">
      <c r="A20025" s="33" t="s">
        <v>44523</v>
      </c>
      <c r="B20025" s="33" t="s">
        <v>44524</v>
      </c>
      <c r="C20025" s="33" t="s">
        <v>75</v>
      </c>
      <c r="D20025" s="33" t="s">
        <v>17</v>
      </c>
      <c r="E20025" s="33" t="s">
        <v>26</v>
      </c>
      <c r="F20025" s="33" t="s">
        <v>27</v>
      </c>
      <c r="G20025" s="33" t="s">
        <v>20</v>
      </c>
      <c r="H20025" s="35">
        <v>37</v>
      </c>
      <c r="I20025" s="33" t="s">
        <v>21</v>
      </c>
      <c r="J20025" s="42">
        <v>45453</v>
      </c>
      <c r="K20025" s="33" t="s">
        <v>22</v>
      </c>
    </row>
    <row r="20026" spans="1:11">
      <c r="A20026" s="30" t="s">
        <v>44525</v>
      </c>
      <c r="B20026" s="30" t="s">
        <v>44526</v>
      </c>
      <c r="C20026" s="30" t="s">
        <v>3459</v>
      </c>
      <c r="D20026" s="30" t="s">
        <v>17</v>
      </c>
      <c r="E20026" s="30" t="s">
        <v>26</v>
      </c>
      <c r="F20026" s="30" t="s">
        <v>27</v>
      </c>
      <c r="G20026" s="30" t="s">
        <v>158</v>
      </c>
      <c r="H20026" s="32">
        <v>256</v>
      </c>
      <c r="I20026" s="30" t="s">
        <v>51</v>
      </c>
      <c r="J20026" s="41">
        <v>45463</v>
      </c>
      <c r="K20026" s="30" t="s">
        <v>22</v>
      </c>
    </row>
    <row r="20027" spans="1:11">
      <c r="A20027" s="33" t="s">
        <v>44527</v>
      </c>
      <c r="B20027" s="33" t="s">
        <v>44528</v>
      </c>
      <c r="C20027" s="33" t="s">
        <v>109</v>
      </c>
      <c r="D20027" s="33" t="s">
        <v>17</v>
      </c>
      <c r="E20027" s="33" t="s">
        <v>26</v>
      </c>
      <c r="F20027" s="33" t="s">
        <v>27</v>
      </c>
      <c r="G20027" s="33" t="s">
        <v>106</v>
      </c>
      <c r="H20027" s="35">
        <v>4</v>
      </c>
      <c r="I20027" s="33" t="s">
        <v>21</v>
      </c>
      <c r="J20027" s="42">
        <v>45543</v>
      </c>
      <c r="K20027" s="33" t="s">
        <v>22</v>
      </c>
    </row>
    <row r="20028" spans="1:11">
      <c r="A20028" s="30" t="s">
        <v>44529</v>
      </c>
      <c r="B20028" s="30" t="s">
        <v>44530</v>
      </c>
      <c r="C20028" s="30" t="s">
        <v>44531</v>
      </c>
      <c r="D20028" s="30" t="s">
        <v>17</v>
      </c>
      <c r="E20028" s="30" t="s">
        <v>212</v>
      </c>
      <c r="F20028" s="30" t="s">
        <v>213</v>
      </c>
      <c r="G20028" s="30" t="s">
        <v>20</v>
      </c>
      <c r="H20028" s="32">
        <v>42</v>
      </c>
      <c r="I20028" s="30" t="s">
        <v>21</v>
      </c>
      <c r="J20028" s="41">
        <v>45555</v>
      </c>
      <c r="K20028" s="30" t="s">
        <v>22</v>
      </c>
    </row>
    <row r="20029" spans="1:11">
      <c r="A20029" s="33" t="s">
        <v>44532</v>
      </c>
      <c r="B20029" s="33" t="s">
        <v>44533</v>
      </c>
      <c r="C20029" s="33" t="s">
        <v>25358</v>
      </c>
      <c r="D20029" s="33" t="s">
        <v>17</v>
      </c>
      <c r="E20029" s="33" t="s">
        <v>26</v>
      </c>
      <c r="F20029" s="33" t="s">
        <v>27</v>
      </c>
      <c r="G20029" s="33" t="s">
        <v>20</v>
      </c>
      <c r="H20029" s="35">
        <v>108</v>
      </c>
      <c r="I20029" s="33" t="s">
        <v>21</v>
      </c>
      <c r="J20029" s="42">
        <v>45511</v>
      </c>
      <c r="K20029" s="33" t="s">
        <v>22</v>
      </c>
    </row>
    <row r="20030" spans="1:11">
      <c r="A20030" s="30" t="s">
        <v>44534</v>
      </c>
      <c r="B20030" s="30" t="s">
        <v>44535</v>
      </c>
      <c r="C20030" s="30" t="s">
        <v>9688</v>
      </c>
      <c r="D20030" s="30" t="s">
        <v>17</v>
      </c>
      <c r="E20030" s="30" t="s">
        <v>26</v>
      </c>
      <c r="F20030" s="30" t="s">
        <v>27</v>
      </c>
      <c r="G20030" s="30" t="s">
        <v>20</v>
      </c>
      <c r="H20030" s="32">
        <v>24</v>
      </c>
      <c r="I20030" s="30" t="s">
        <v>21</v>
      </c>
      <c r="J20030" s="41">
        <v>45373</v>
      </c>
      <c r="K20030" s="30" t="s">
        <v>22</v>
      </c>
    </row>
    <row r="20031" spans="1:11">
      <c r="A20031" s="33" t="s">
        <v>44536</v>
      </c>
      <c r="B20031" s="33" t="s">
        <v>44537</v>
      </c>
      <c r="C20031" s="33" t="s">
        <v>1042</v>
      </c>
      <c r="D20031" s="33" t="s">
        <v>17</v>
      </c>
      <c r="E20031" s="33" t="s">
        <v>18</v>
      </c>
      <c r="F20031" s="33" t="s">
        <v>19</v>
      </c>
      <c r="G20031" s="33" t="s">
        <v>20</v>
      </c>
      <c r="H20031" s="35">
        <v>421</v>
      </c>
      <c r="I20031" s="33" t="s">
        <v>21</v>
      </c>
      <c r="J20031" s="42">
        <v>45411</v>
      </c>
      <c r="K20031" s="33" t="s">
        <v>22</v>
      </c>
    </row>
    <row r="20032" spans="1:11">
      <c r="A20032" s="30" t="s">
        <v>44538</v>
      </c>
      <c r="B20032" s="30" t="s">
        <v>44539</v>
      </c>
      <c r="C20032" s="30" t="s">
        <v>44540</v>
      </c>
      <c r="D20032" s="30" t="s">
        <v>17</v>
      </c>
      <c r="E20032" s="30" t="s">
        <v>67</v>
      </c>
      <c r="F20032" s="30" t="s">
        <v>68</v>
      </c>
      <c r="G20032" s="30" t="s">
        <v>140</v>
      </c>
      <c r="H20032" s="32">
        <v>68</v>
      </c>
      <c r="I20032" s="30" t="s">
        <v>51</v>
      </c>
      <c r="J20032" s="41">
        <v>45345</v>
      </c>
      <c r="K20032" s="30" t="s">
        <v>22</v>
      </c>
    </row>
    <row r="20033" spans="1:11">
      <c r="A20033" s="33" t="s">
        <v>44541</v>
      </c>
      <c r="B20033" s="33" t="s">
        <v>44542</v>
      </c>
      <c r="C20033" s="33" t="s">
        <v>17629</v>
      </c>
      <c r="D20033" s="33" t="s">
        <v>17</v>
      </c>
      <c r="E20033" s="33" t="s">
        <v>31</v>
      </c>
      <c r="F20033" s="33" t="s">
        <v>32</v>
      </c>
      <c r="G20033" s="33" t="s">
        <v>140</v>
      </c>
      <c r="H20033" s="35">
        <v>81</v>
      </c>
      <c r="I20033" s="33" t="s">
        <v>51</v>
      </c>
      <c r="J20033" s="42">
        <v>45641</v>
      </c>
      <c r="K20033" s="33" t="s">
        <v>22</v>
      </c>
    </row>
    <row r="20034" spans="1:11">
      <c r="A20034" s="30" t="s">
        <v>44543</v>
      </c>
      <c r="B20034" s="30" t="s">
        <v>44544</v>
      </c>
      <c r="C20034" s="30" t="s">
        <v>23746</v>
      </c>
      <c r="D20034" s="30" t="s">
        <v>17</v>
      </c>
      <c r="E20034" s="30" t="s">
        <v>67</v>
      </c>
      <c r="F20034" s="30" t="s">
        <v>68</v>
      </c>
      <c r="G20034" s="30" t="s">
        <v>158</v>
      </c>
      <c r="H20034" s="32">
        <v>32</v>
      </c>
      <c r="I20034" s="30" t="s">
        <v>51</v>
      </c>
      <c r="J20034" s="41">
        <v>45406</v>
      </c>
      <c r="K20034" s="30" t="s">
        <v>22</v>
      </c>
    </row>
    <row r="20035" spans="1:11">
      <c r="A20035" s="33" t="s">
        <v>44545</v>
      </c>
      <c r="B20035" s="33" t="s">
        <v>44546</v>
      </c>
      <c r="C20035" s="33" t="s">
        <v>698</v>
      </c>
      <c r="D20035" s="33" t="s">
        <v>17</v>
      </c>
      <c r="E20035" s="33" t="s">
        <v>31</v>
      </c>
      <c r="F20035" s="33" t="s">
        <v>32</v>
      </c>
      <c r="G20035" s="33" t="s">
        <v>50</v>
      </c>
      <c r="H20035" s="35">
        <v>102</v>
      </c>
      <c r="I20035" s="33" t="s">
        <v>51</v>
      </c>
      <c r="J20035" s="42">
        <v>45292</v>
      </c>
      <c r="K20035" s="33" t="s">
        <v>22</v>
      </c>
    </row>
    <row r="20036" spans="1:11">
      <c r="A20036" s="30" t="s">
        <v>44547</v>
      </c>
      <c r="B20036" s="30" t="s">
        <v>44548</v>
      </c>
      <c r="C20036" s="30" t="s">
        <v>136</v>
      </c>
      <c r="D20036" s="30" t="s">
        <v>17</v>
      </c>
      <c r="E20036" s="30" t="s">
        <v>31</v>
      </c>
      <c r="F20036" s="30" t="s">
        <v>32</v>
      </c>
      <c r="G20036" s="30" t="s">
        <v>158</v>
      </c>
      <c r="H20036" s="32">
        <v>252</v>
      </c>
      <c r="I20036" s="30" t="s">
        <v>21</v>
      </c>
      <c r="J20036" s="41">
        <v>45586</v>
      </c>
      <c r="K20036" s="30" t="s">
        <v>22</v>
      </c>
    </row>
    <row r="20037" spans="1:11">
      <c r="A20037" s="33" t="s">
        <v>44549</v>
      </c>
      <c r="B20037" s="33" t="s">
        <v>44550</v>
      </c>
      <c r="C20037" s="33" t="s">
        <v>969</v>
      </c>
      <c r="D20037" s="33" t="s">
        <v>17</v>
      </c>
      <c r="E20037" s="33" t="s">
        <v>18</v>
      </c>
      <c r="F20037" s="33" t="s">
        <v>19</v>
      </c>
      <c r="G20037" s="33" t="s">
        <v>20</v>
      </c>
      <c r="H20037" s="35">
        <v>400</v>
      </c>
      <c r="I20037" s="33" t="s">
        <v>21</v>
      </c>
      <c r="J20037" s="42">
        <v>45373</v>
      </c>
      <c r="K20037" s="33" t="s">
        <v>22</v>
      </c>
    </row>
    <row r="20038" spans="1:11">
      <c r="A20038" s="30" t="s">
        <v>44551</v>
      </c>
      <c r="B20038" s="30" t="s">
        <v>44552</v>
      </c>
      <c r="C20038" s="30" t="s">
        <v>44</v>
      </c>
      <c r="D20038" s="30" t="s">
        <v>17</v>
      </c>
      <c r="E20038" s="30" t="s">
        <v>18</v>
      </c>
      <c r="F20038" s="30" t="s">
        <v>19</v>
      </c>
      <c r="G20038" s="30" t="s">
        <v>20</v>
      </c>
      <c r="H20038" s="32">
        <v>54</v>
      </c>
      <c r="I20038" s="30" t="s">
        <v>21</v>
      </c>
      <c r="J20038" s="41">
        <v>45615</v>
      </c>
      <c r="K20038" s="30" t="s">
        <v>22</v>
      </c>
    </row>
    <row r="20039" spans="1:11">
      <c r="A20039" s="33" t="s">
        <v>44553</v>
      </c>
      <c r="B20039" s="33" t="s">
        <v>44554</v>
      </c>
      <c r="C20039" s="33" t="s">
        <v>5251</v>
      </c>
      <c r="D20039" s="33" t="s">
        <v>17</v>
      </c>
      <c r="E20039" s="33" t="s">
        <v>31</v>
      </c>
      <c r="F20039" s="33" t="s">
        <v>32</v>
      </c>
      <c r="G20039" s="33" t="s">
        <v>140</v>
      </c>
      <c r="H20039" s="35">
        <v>80</v>
      </c>
      <c r="I20039" s="33" t="s">
        <v>51</v>
      </c>
      <c r="J20039" s="42">
        <v>45575</v>
      </c>
      <c r="K20039" s="33" t="s">
        <v>22</v>
      </c>
    </row>
    <row r="20040" spans="1:11">
      <c r="A20040" s="30" t="s">
        <v>44555</v>
      </c>
      <c r="B20040" s="30" t="s">
        <v>44556</v>
      </c>
      <c r="C20040" s="30" t="s">
        <v>203</v>
      </c>
      <c r="D20040" s="30" t="s">
        <v>17</v>
      </c>
      <c r="E20040" s="30" t="s">
        <v>18</v>
      </c>
      <c r="F20040" s="30" t="s">
        <v>19</v>
      </c>
      <c r="G20040" s="30" t="s">
        <v>140</v>
      </c>
      <c r="H20040" s="32">
        <v>140</v>
      </c>
      <c r="I20040" s="30" t="s">
        <v>51</v>
      </c>
      <c r="J20040" s="41">
        <v>45485</v>
      </c>
      <c r="K20040" s="30" t="s">
        <v>22</v>
      </c>
    </row>
    <row r="20041" spans="1:11">
      <c r="A20041" s="33" t="s">
        <v>44557</v>
      </c>
      <c r="B20041" s="33" t="s">
        <v>44558</v>
      </c>
      <c r="C20041" s="33" t="s">
        <v>36785</v>
      </c>
      <c r="D20041" s="33" t="s">
        <v>17</v>
      </c>
      <c r="E20041" s="33" t="s">
        <v>26</v>
      </c>
      <c r="F20041" s="33" t="s">
        <v>27</v>
      </c>
      <c r="G20041" s="33" t="s">
        <v>20</v>
      </c>
      <c r="H20041" s="35">
        <v>104</v>
      </c>
      <c r="I20041" s="33" t="s">
        <v>21</v>
      </c>
      <c r="J20041" s="42">
        <v>45433</v>
      </c>
      <c r="K20041" s="33" t="s">
        <v>22</v>
      </c>
    </row>
    <row r="20042" spans="1:11">
      <c r="A20042" s="30" t="s">
        <v>44559</v>
      </c>
      <c r="B20042" s="30" t="s">
        <v>44560</v>
      </c>
      <c r="C20042" s="30" t="s">
        <v>136</v>
      </c>
      <c r="D20042" s="30" t="s">
        <v>17</v>
      </c>
      <c r="E20042" s="30" t="s">
        <v>18</v>
      </c>
      <c r="F20042" s="30" t="s">
        <v>19</v>
      </c>
      <c r="G20042" s="30" t="s">
        <v>158</v>
      </c>
      <c r="H20042" s="32">
        <v>1250</v>
      </c>
      <c r="I20042" s="30" t="s">
        <v>51</v>
      </c>
      <c r="J20042" s="41">
        <v>45343</v>
      </c>
      <c r="K20042" s="30" t="s">
        <v>22</v>
      </c>
    </row>
    <row r="20043" spans="1:11">
      <c r="A20043" s="33" t="s">
        <v>44561</v>
      </c>
      <c r="B20043" s="33" t="s">
        <v>44562</v>
      </c>
      <c r="C20043" s="33" t="s">
        <v>43594</v>
      </c>
      <c r="D20043" s="33" t="s">
        <v>17</v>
      </c>
      <c r="E20043" s="33" t="s">
        <v>26</v>
      </c>
      <c r="F20043" s="33" t="s">
        <v>27</v>
      </c>
      <c r="G20043" s="33" t="s">
        <v>50</v>
      </c>
      <c r="H20043" s="35">
        <v>10</v>
      </c>
      <c r="I20043" s="33" t="s">
        <v>51</v>
      </c>
      <c r="J20043" s="42">
        <v>45383</v>
      </c>
      <c r="K20043" s="33" t="s">
        <v>22</v>
      </c>
    </row>
    <row r="20044" spans="1:11">
      <c r="A20044" s="30" t="s">
        <v>44563</v>
      </c>
      <c r="B20044" s="30" t="s">
        <v>44564</v>
      </c>
      <c r="C20044" s="30" t="s">
        <v>25654</v>
      </c>
      <c r="D20044" s="30" t="s">
        <v>17</v>
      </c>
      <c r="E20044" s="30" t="s">
        <v>31</v>
      </c>
      <c r="F20044" s="30" t="s">
        <v>32</v>
      </c>
      <c r="G20044" s="30" t="s">
        <v>158</v>
      </c>
      <c r="H20044" s="32">
        <v>55</v>
      </c>
      <c r="I20044" s="30" t="s">
        <v>51</v>
      </c>
      <c r="J20044" s="41">
        <v>45645</v>
      </c>
      <c r="K20044" s="30" t="s">
        <v>22</v>
      </c>
    </row>
    <row r="20045" spans="1:11">
      <c r="A20045" s="33" t="s">
        <v>44565</v>
      </c>
      <c r="B20045" s="33" t="s">
        <v>44566</v>
      </c>
      <c r="C20045" s="33" t="s">
        <v>33021</v>
      </c>
      <c r="D20045" s="33" t="s">
        <v>17</v>
      </c>
      <c r="E20045" s="33" t="s">
        <v>26</v>
      </c>
      <c r="F20045" s="33" t="s">
        <v>27</v>
      </c>
      <c r="G20045" s="33" t="s">
        <v>20</v>
      </c>
      <c r="H20045" s="35">
        <v>28</v>
      </c>
      <c r="I20045" s="33" t="s">
        <v>21</v>
      </c>
      <c r="J20045" s="42">
        <v>45406</v>
      </c>
      <c r="K20045" s="33" t="s">
        <v>22</v>
      </c>
    </row>
    <row r="20046" spans="1:11">
      <c r="A20046" s="30" t="s">
        <v>44567</v>
      </c>
      <c r="B20046" s="30" t="s">
        <v>44568</v>
      </c>
      <c r="C20046" s="30" t="s">
        <v>718</v>
      </c>
      <c r="D20046" s="30" t="s">
        <v>17</v>
      </c>
      <c r="E20046" s="30" t="s">
        <v>31</v>
      </c>
      <c r="F20046" s="30" t="s">
        <v>32</v>
      </c>
      <c r="G20046" s="30" t="s">
        <v>140</v>
      </c>
      <c r="H20046" s="32">
        <v>150</v>
      </c>
      <c r="I20046" s="30" t="s">
        <v>51</v>
      </c>
      <c r="J20046" s="41">
        <v>45583</v>
      </c>
      <c r="K20046" s="30" t="s">
        <v>22</v>
      </c>
    </row>
    <row r="20047" spans="1:11">
      <c r="A20047" s="33" t="s">
        <v>44569</v>
      </c>
      <c r="B20047" s="33" t="s">
        <v>44570</v>
      </c>
      <c r="C20047" s="33" t="s">
        <v>10359</v>
      </c>
      <c r="D20047" s="33" t="s">
        <v>17</v>
      </c>
      <c r="E20047" s="33" t="s">
        <v>31</v>
      </c>
      <c r="F20047" s="33" t="s">
        <v>32</v>
      </c>
      <c r="G20047" s="33" t="s">
        <v>140</v>
      </c>
      <c r="H20047" s="35">
        <v>48</v>
      </c>
      <c r="I20047" s="33" t="s">
        <v>51</v>
      </c>
      <c r="J20047" s="42">
        <v>45617</v>
      </c>
      <c r="K20047" s="33" t="s">
        <v>22</v>
      </c>
    </row>
    <row r="20048" spans="1:11">
      <c r="A20048" s="30" t="s">
        <v>44571</v>
      </c>
      <c r="B20048" s="30" t="s">
        <v>44572</v>
      </c>
      <c r="C20048" s="30" t="s">
        <v>37776</v>
      </c>
      <c r="D20048" s="30" t="s">
        <v>17</v>
      </c>
      <c r="E20048" s="30" t="s">
        <v>67</v>
      </c>
      <c r="F20048" s="30" t="s">
        <v>68</v>
      </c>
      <c r="G20048" s="30" t="s">
        <v>7780</v>
      </c>
      <c r="H20048" s="32">
        <v>96</v>
      </c>
      <c r="I20048" s="30" t="s">
        <v>51</v>
      </c>
      <c r="J20048" s="41">
        <v>45545</v>
      </c>
      <c r="K20048" s="30" t="s">
        <v>22</v>
      </c>
    </row>
    <row r="20049" spans="1:11">
      <c r="A20049" s="33" t="s">
        <v>44573</v>
      </c>
      <c r="B20049" s="33" t="s">
        <v>44574</v>
      </c>
      <c r="C20049" s="33" t="s">
        <v>39563</v>
      </c>
      <c r="D20049" s="33" t="s">
        <v>17</v>
      </c>
      <c r="E20049" s="33" t="s">
        <v>26</v>
      </c>
      <c r="F20049" s="33" t="s">
        <v>27</v>
      </c>
      <c r="G20049" s="33" t="s">
        <v>50</v>
      </c>
      <c r="H20049" s="35">
        <v>26</v>
      </c>
      <c r="I20049" s="33" t="s">
        <v>51</v>
      </c>
      <c r="J20049" s="42">
        <v>45349</v>
      </c>
      <c r="K20049" s="33" t="s">
        <v>22</v>
      </c>
    </row>
    <row r="20050" spans="1:11">
      <c r="A20050" s="30" t="s">
        <v>44575</v>
      </c>
      <c r="B20050" s="30" t="s">
        <v>44576</v>
      </c>
      <c r="C20050" s="30" t="s">
        <v>25186</v>
      </c>
      <c r="D20050" s="30" t="s">
        <v>17</v>
      </c>
      <c r="E20050" s="30" t="s">
        <v>26</v>
      </c>
      <c r="F20050" s="30" t="s">
        <v>27</v>
      </c>
      <c r="G20050" s="30" t="s">
        <v>7780</v>
      </c>
      <c r="H20050" s="32">
        <v>33</v>
      </c>
      <c r="I20050" s="30" t="s">
        <v>51</v>
      </c>
      <c r="J20050" s="41">
        <v>45566</v>
      </c>
      <c r="K20050" s="30" t="s">
        <v>22</v>
      </c>
    </row>
    <row r="20051" spans="1:11">
      <c r="A20051" s="33" t="s">
        <v>44577</v>
      </c>
      <c r="B20051" s="33" t="s">
        <v>44578</v>
      </c>
      <c r="C20051" s="33" t="s">
        <v>25546</v>
      </c>
      <c r="D20051" s="33" t="s">
        <v>17</v>
      </c>
      <c r="E20051" s="33" t="s">
        <v>67</v>
      </c>
      <c r="F20051" s="33" t="s">
        <v>68</v>
      </c>
      <c r="G20051" s="33" t="s">
        <v>140</v>
      </c>
      <c r="H20051" s="35">
        <v>15</v>
      </c>
      <c r="I20051" s="33" t="s">
        <v>51</v>
      </c>
      <c r="J20051" s="42">
        <v>45526</v>
      </c>
      <c r="K20051" s="33" t="s">
        <v>22</v>
      </c>
    </row>
    <row r="20052" spans="1:11">
      <c r="A20052" s="30" t="s">
        <v>44579</v>
      </c>
      <c r="B20052" s="30" t="s">
        <v>44580</v>
      </c>
      <c r="C20052" s="30" t="s">
        <v>1718</v>
      </c>
      <c r="D20052" s="30" t="s">
        <v>17</v>
      </c>
      <c r="E20052" s="30" t="s">
        <v>18</v>
      </c>
      <c r="F20052" s="30" t="s">
        <v>19</v>
      </c>
      <c r="G20052" s="30" t="s">
        <v>106</v>
      </c>
      <c r="H20052" s="32">
        <v>301</v>
      </c>
      <c r="I20052" s="30" t="s">
        <v>21</v>
      </c>
      <c r="J20052" s="41">
        <v>45558</v>
      </c>
      <c r="K20052" s="30" t="s">
        <v>22</v>
      </c>
    </row>
    <row r="20053" spans="1:11">
      <c r="A20053" s="33" t="s">
        <v>44581</v>
      </c>
      <c r="B20053" s="33" t="s">
        <v>44582</v>
      </c>
      <c r="C20053" s="33" t="s">
        <v>93</v>
      </c>
      <c r="D20053" s="33" t="s">
        <v>17</v>
      </c>
      <c r="E20053" s="33" t="s">
        <v>45</v>
      </c>
      <c r="F20053" s="33" t="s">
        <v>46</v>
      </c>
      <c r="G20053" s="33" t="s">
        <v>140</v>
      </c>
      <c r="H20053" s="35">
        <v>2800</v>
      </c>
      <c r="I20053" s="33" t="s">
        <v>51</v>
      </c>
      <c r="J20053" s="42">
        <v>45408</v>
      </c>
      <c r="K20053" s="33" t="s">
        <v>22</v>
      </c>
    </row>
    <row r="20054" spans="1:11">
      <c r="A20054" s="30" t="s">
        <v>44583</v>
      </c>
      <c r="B20054" s="30" t="s">
        <v>44584</v>
      </c>
      <c r="C20054" s="30" t="s">
        <v>1003</v>
      </c>
      <c r="D20054" s="30" t="s">
        <v>17</v>
      </c>
      <c r="E20054" s="30" t="s">
        <v>26</v>
      </c>
      <c r="F20054" s="30" t="s">
        <v>27</v>
      </c>
      <c r="G20054" s="30" t="s">
        <v>50</v>
      </c>
      <c r="H20054" s="32">
        <v>26</v>
      </c>
      <c r="I20054" s="30" t="s">
        <v>51</v>
      </c>
      <c r="J20054" s="41">
        <v>45474</v>
      </c>
      <c r="K20054" s="30" t="s">
        <v>22</v>
      </c>
    </row>
    <row r="20055" spans="1:11">
      <c r="A20055" s="33" t="s">
        <v>44585</v>
      </c>
      <c r="B20055" s="33" t="s">
        <v>44586</v>
      </c>
      <c r="C20055" s="33" t="s">
        <v>35935</v>
      </c>
      <c r="D20055" s="33" t="s">
        <v>17</v>
      </c>
      <c r="E20055" s="33" t="s">
        <v>26</v>
      </c>
      <c r="F20055" s="33" t="s">
        <v>27</v>
      </c>
      <c r="G20055" s="33" t="s">
        <v>140</v>
      </c>
      <c r="H20055" s="35">
        <v>120</v>
      </c>
      <c r="I20055" s="33" t="s">
        <v>51</v>
      </c>
      <c r="J20055" s="42">
        <v>45379</v>
      </c>
      <c r="K20055" s="33" t="s">
        <v>22</v>
      </c>
    </row>
    <row r="20056" spans="1:11">
      <c r="A20056" s="30" t="s">
        <v>44587</v>
      </c>
      <c r="B20056" s="30" t="s">
        <v>44588</v>
      </c>
      <c r="C20056" s="30" t="s">
        <v>20739</v>
      </c>
      <c r="D20056" s="30" t="s">
        <v>17</v>
      </c>
      <c r="E20056" s="30" t="s">
        <v>31</v>
      </c>
      <c r="F20056" s="30" t="s">
        <v>32</v>
      </c>
      <c r="G20056" s="30" t="s">
        <v>106</v>
      </c>
      <c r="H20056" s="32">
        <v>18</v>
      </c>
      <c r="I20056" s="30" t="s">
        <v>21</v>
      </c>
      <c r="J20056" s="41">
        <v>45306</v>
      </c>
      <c r="K20056" s="30" t="s">
        <v>22</v>
      </c>
    </row>
    <row r="20057" spans="1:11">
      <c r="A20057" s="33" t="s">
        <v>44589</v>
      </c>
      <c r="B20057" s="33" t="s">
        <v>44590</v>
      </c>
      <c r="C20057" s="33" t="s">
        <v>1350</v>
      </c>
      <c r="D20057" s="33" t="s">
        <v>17</v>
      </c>
      <c r="E20057" s="33" t="s">
        <v>26</v>
      </c>
      <c r="F20057" s="33" t="s">
        <v>27</v>
      </c>
      <c r="G20057" s="33" t="s">
        <v>140</v>
      </c>
      <c r="H20057" s="35">
        <v>140</v>
      </c>
      <c r="I20057" s="33" t="s">
        <v>51</v>
      </c>
      <c r="J20057" s="42">
        <v>45412</v>
      </c>
      <c r="K20057" s="33" t="s">
        <v>22</v>
      </c>
    </row>
    <row r="20058" spans="1:11">
      <c r="A20058" s="30" t="s">
        <v>44591</v>
      </c>
      <c r="B20058" s="30" t="s">
        <v>44592</v>
      </c>
      <c r="C20058" s="30" t="s">
        <v>13021</v>
      </c>
      <c r="D20058" s="30" t="s">
        <v>17</v>
      </c>
      <c r="E20058" s="30" t="s">
        <v>18</v>
      </c>
      <c r="F20058" s="30" t="s">
        <v>19</v>
      </c>
      <c r="G20058" s="30" t="s">
        <v>140</v>
      </c>
      <c r="H20058" s="32">
        <v>600</v>
      </c>
      <c r="I20058" s="30" t="s">
        <v>51</v>
      </c>
      <c r="J20058" s="41">
        <v>45468</v>
      </c>
      <c r="K20058" s="30" t="s">
        <v>22</v>
      </c>
    </row>
    <row r="20059" spans="1:11">
      <c r="A20059" s="33" t="s">
        <v>44593</v>
      </c>
      <c r="B20059" s="33" t="s">
        <v>44594</v>
      </c>
      <c r="C20059" s="33" t="s">
        <v>118</v>
      </c>
      <c r="D20059" s="33" t="s">
        <v>17</v>
      </c>
      <c r="E20059" s="33" t="s">
        <v>26</v>
      </c>
      <c r="F20059" s="33" t="s">
        <v>27</v>
      </c>
      <c r="G20059" s="33" t="s">
        <v>20</v>
      </c>
      <c r="H20059" s="35">
        <v>19</v>
      </c>
      <c r="I20059" s="33" t="s">
        <v>21</v>
      </c>
      <c r="J20059" s="42">
        <v>45474</v>
      </c>
      <c r="K20059" s="33" t="s">
        <v>22</v>
      </c>
    </row>
    <row r="20060" spans="1:11">
      <c r="A20060" s="30" t="s">
        <v>44595</v>
      </c>
      <c r="B20060" s="30" t="s">
        <v>44596</v>
      </c>
      <c r="C20060" s="30" t="s">
        <v>13431</v>
      </c>
      <c r="D20060" s="30" t="s">
        <v>17</v>
      </c>
      <c r="E20060" s="30" t="s">
        <v>330</v>
      </c>
      <c r="F20060" s="30" t="s">
        <v>331</v>
      </c>
      <c r="G20060" s="30" t="s">
        <v>2613</v>
      </c>
      <c r="H20060" s="32">
        <v>5</v>
      </c>
      <c r="I20060" s="30" t="s">
        <v>51</v>
      </c>
      <c r="J20060" s="41">
        <v>45456</v>
      </c>
      <c r="K20060" s="30" t="s">
        <v>22</v>
      </c>
    </row>
    <row r="20061" spans="1:11">
      <c r="A20061" s="33" t="s">
        <v>44597</v>
      </c>
      <c r="B20061" s="33" t="s">
        <v>44598</v>
      </c>
      <c r="C20061" s="33" t="s">
        <v>17650</v>
      </c>
      <c r="D20061" s="33" t="s">
        <v>17</v>
      </c>
      <c r="E20061" s="33" t="s">
        <v>26</v>
      </c>
      <c r="F20061" s="33" t="s">
        <v>27</v>
      </c>
      <c r="G20061" s="33" t="s">
        <v>106</v>
      </c>
      <c r="H20061" s="35">
        <v>16</v>
      </c>
      <c r="I20061" s="33" t="s">
        <v>21</v>
      </c>
      <c r="J20061" s="42">
        <v>45357</v>
      </c>
      <c r="K20061" s="33" t="s">
        <v>22</v>
      </c>
    </row>
    <row r="20062" spans="1:11">
      <c r="A20062" s="30" t="s">
        <v>44599</v>
      </c>
      <c r="B20062" s="30" t="s">
        <v>44600</v>
      </c>
      <c r="C20062" s="30" t="s">
        <v>21961</v>
      </c>
      <c r="D20062" s="30" t="s">
        <v>17</v>
      </c>
      <c r="E20062" s="30" t="s">
        <v>67</v>
      </c>
      <c r="F20062" s="30" t="s">
        <v>68</v>
      </c>
      <c r="G20062" s="30" t="s">
        <v>140</v>
      </c>
      <c r="H20062" s="32">
        <v>60</v>
      </c>
      <c r="I20062" s="30" t="s">
        <v>51</v>
      </c>
      <c r="J20062" s="41">
        <v>45546</v>
      </c>
      <c r="K20062" s="30" t="s">
        <v>22</v>
      </c>
    </row>
    <row r="20063" spans="1:11">
      <c r="A20063" s="33" t="s">
        <v>44601</v>
      </c>
      <c r="B20063" s="33" t="s">
        <v>44602</v>
      </c>
      <c r="C20063" s="33" t="s">
        <v>96</v>
      </c>
      <c r="D20063" s="33" t="s">
        <v>17</v>
      </c>
      <c r="E20063" s="33" t="s">
        <v>18</v>
      </c>
      <c r="F20063" s="33" t="s">
        <v>19</v>
      </c>
      <c r="G20063" s="33" t="s">
        <v>158</v>
      </c>
      <c r="H20063" s="35">
        <v>394</v>
      </c>
      <c r="I20063" s="33" t="s">
        <v>21</v>
      </c>
      <c r="J20063" s="42">
        <v>45310</v>
      </c>
      <c r="K20063" s="33" t="s">
        <v>22</v>
      </c>
    </row>
    <row r="20064" spans="1:11">
      <c r="A20064" s="30" t="s">
        <v>44603</v>
      </c>
      <c r="B20064" s="30" t="s">
        <v>44604</v>
      </c>
      <c r="C20064" s="30" t="s">
        <v>17990</v>
      </c>
      <c r="D20064" s="30" t="s">
        <v>17</v>
      </c>
      <c r="E20064" s="30" t="s">
        <v>18</v>
      </c>
      <c r="F20064" s="30" t="s">
        <v>19</v>
      </c>
      <c r="G20064" s="30" t="s">
        <v>140</v>
      </c>
      <c r="H20064" s="32">
        <v>131</v>
      </c>
      <c r="I20064" s="30" t="s">
        <v>51</v>
      </c>
      <c r="J20064" s="41">
        <v>45645</v>
      </c>
      <c r="K20064" s="30" t="s">
        <v>22</v>
      </c>
    </row>
    <row r="20065" spans="1:11">
      <c r="A20065" s="33" t="s">
        <v>44605</v>
      </c>
      <c r="B20065" s="33" t="s">
        <v>44606</v>
      </c>
      <c r="C20065" s="33" t="s">
        <v>118</v>
      </c>
      <c r="D20065" s="33" t="s">
        <v>17</v>
      </c>
      <c r="E20065" s="33" t="s">
        <v>26</v>
      </c>
      <c r="F20065" s="33" t="s">
        <v>27</v>
      </c>
      <c r="G20065" s="33" t="s">
        <v>20</v>
      </c>
      <c r="H20065" s="35">
        <v>39</v>
      </c>
      <c r="I20065" s="33" t="s">
        <v>21</v>
      </c>
      <c r="J20065" s="42">
        <v>45553</v>
      </c>
      <c r="K20065" s="33" t="s">
        <v>22</v>
      </c>
    </row>
    <row r="20066" spans="1:11">
      <c r="A20066" s="30" t="s">
        <v>44607</v>
      </c>
      <c r="B20066" s="30" t="s">
        <v>44608</v>
      </c>
      <c r="C20066" s="30" t="s">
        <v>4348</v>
      </c>
      <c r="D20066" s="30" t="s">
        <v>17</v>
      </c>
      <c r="E20066" s="30" t="s">
        <v>26</v>
      </c>
      <c r="F20066" s="30" t="s">
        <v>27</v>
      </c>
      <c r="G20066" s="30" t="s">
        <v>140</v>
      </c>
      <c r="H20066" s="32">
        <v>21</v>
      </c>
      <c r="I20066" s="30" t="s">
        <v>51</v>
      </c>
      <c r="J20066" s="41">
        <v>45470</v>
      </c>
      <c r="K20066" s="30" t="s">
        <v>22</v>
      </c>
    </row>
    <row r="20067" spans="1:11">
      <c r="A20067" s="33" t="s">
        <v>44609</v>
      </c>
      <c r="B20067" s="33" t="s">
        <v>44610</v>
      </c>
      <c r="C20067" s="33" t="s">
        <v>222</v>
      </c>
      <c r="D20067" s="33" t="s">
        <v>17</v>
      </c>
      <c r="E20067" s="33" t="s">
        <v>26</v>
      </c>
      <c r="F20067" s="33" t="s">
        <v>27</v>
      </c>
      <c r="G20067" s="33" t="s">
        <v>20</v>
      </c>
      <c r="H20067" s="35">
        <v>32</v>
      </c>
      <c r="I20067" s="33" t="s">
        <v>21</v>
      </c>
      <c r="J20067" s="42">
        <v>45594</v>
      </c>
      <c r="K20067" s="33" t="s">
        <v>22</v>
      </c>
    </row>
    <row r="20068" spans="1:11">
      <c r="A20068" s="30" t="s">
        <v>44611</v>
      </c>
      <c r="B20068" s="30" t="s">
        <v>44612</v>
      </c>
      <c r="C20068" s="30" t="s">
        <v>40318</v>
      </c>
      <c r="D20068" s="30" t="s">
        <v>17</v>
      </c>
      <c r="E20068" s="30" t="s">
        <v>26</v>
      </c>
      <c r="F20068" s="30" t="s">
        <v>27</v>
      </c>
      <c r="G20068" s="30" t="s">
        <v>50</v>
      </c>
      <c r="H20068" s="32">
        <v>44</v>
      </c>
      <c r="I20068" s="30" t="s">
        <v>51</v>
      </c>
      <c r="J20068" s="41">
        <v>45530</v>
      </c>
      <c r="K20068" s="30" t="s">
        <v>22</v>
      </c>
    </row>
    <row r="20069" spans="1:11">
      <c r="A20069" s="33" t="s">
        <v>44613</v>
      </c>
      <c r="B20069" s="33" t="s">
        <v>44614</v>
      </c>
      <c r="C20069" s="33" t="s">
        <v>222</v>
      </c>
      <c r="D20069" s="33" t="s">
        <v>17</v>
      </c>
      <c r="E20069" s="33" t="s">
        <v>26</v>
      </c>
      <c r="F20069" s="33" t="s">
        <v>27</v>
      </c>
      <c r="G20069" s="33" t="s">
        <v>140</v>
      </c>
      <c r="H20069" s="35">
        <v>210</v>
      </c>
      <c r="I20069" s="33" t="s">
        <v>51</v>
      </c>
      <c r="J20069" s="42">
        <v>45338</v>
      </c>
      <c r="K20069" s="33" t="s">
        <v>22</v>
      </c>
    </row>
    <row r="20070" spans="1:11">
      <c r="A20070" s="30" t="s">
        <v>44615</v>
      </c>
      <c r="B20070" s="30" t="s">
        <v>44616</v>
      </c>
      <c r="C20070" s="30" t="s">
        <v>6473</v>
      </c>
      <c r="D20070" s="30" t="s">
        <v>17</v>
      </c>
      <c r="E20070" s="30" t="s">
        <v>31</v>
      </c>
      <c r="F20070" s="30" t="s">
        <v>32</v>
      </c>
      <c r="G20070" s="30" t="s">
        <v>140</v>
      </c>
      <c r="H20070" s="32">
        <v>39</v>
      </c>
      <c r="I20070" s="30" t="s">
        <v>51</v>
      </c>
      <c r="J20070" s="41">
        <v>45463</v>
      </c>
      <c r="K20070" s="30" t="s">
        <v>22</v>
      </c>
    </row>
    <row r="20071" spans="1:11">
      <c r="A20071" s="33" t="s">
        <v>44617</v>
      </c>
      <c r="B20071" s="33" t="s">
        <v>44618</v>
      </c>
      <c r="C20071" s="33" t="s">
        <v>23074</v>
      </c>
      <c r="D20071" s="33" t="s">
        <v>17</v>
      </c>
      <c r="E20071" s="33" t="s">
        <v>26</v>
      </c>
      <c r="F20071" s="33" t="s">
        <v>27</v>
      </c>
      <c r="G20071" s="33" t="s">
        <v>20</v>
      </c>
      <c r="H20071" s="35">
        <v>48</v>
      </c>
      <c r="I20071" s="33" t="s">
        <v>21</v>
      </c>
      <c r="J20071" s="42">
        <v>45600</v>
      </c>
      <c r="K20071" s="33" t="s">
        <v>22</v>
      </c>
    </row>
    <row r="20072" spans="1:11">
      <c r="A20072" s="30" t="s">
        <v>44619</v>
      </c>
      <c r="B20072" s="30" t="s">
        <v>44620</v>
      </c>
      <c r="C20072" s="30" t="s">
        <v>44</v>
      </c>
      <c r="D20072" s="30" t="s">
        <v>17</v>
      </c>
      <c r="E20072" s="30" t="s">
        <v>31</v>
      </c>
      <c r="F20072" s="30" t="s">
        <v>32</v>
      </c>
      <c r="G20072" s="30" t="s">
        <v>158</v>
      </c>
      <c r="H20072" s="32">
        <v>40</v>
      </c>
      <c r="I20072" s="30" t="s">
        <v>21</v>
      </c>
      <c r="J20072" s="41">
        <v>45321</v>
      </c>
      <c r="K20072" s="30" t="s">
        <v>22</v>
      </c>
    </row>
    <row r="20073" spans="1:11">
      <c r="A20073" s="33" t="s">
        <v>44621</v>
      </c>
      <c r="B20073" s="33" t="s">
        <v>44622</v>
      </c>
      <c r="C20073" s="33" t="s">
        <v>9728</v>
      </c>
      <c r="D20073" s="33" t="s">
        <v>17</v>
      </c>
      <c r="E20073" s="33" t="s">
        <v>67</v>
      </c>
      <c r="F20073" s="33" t="s">
        <v>68</v>
      </c>
      <c r="G20073" s="33" t="s">
        <v>7780</v>
      </c>
      <c r="H20073" s="35">
        <v>168</v>
      </c>
      <c r="I20073" s="33" t="s">
        <v>51</v>
      </c>
      <c r="J20073" s="42">
        <v>45321</v>
      </c>
      <c r="K20073" s="33" t="s">
        <v>22</v>
      </c>
    </row>
    <row r="20074" spans="1:11">
      <c r="A20074" s="30" t="s">
        <v>44623</v>
      </c>
      <c r="B20074" s="30" t="s">
        <v>44624</v>
      </c>
      <c r="C20074" s="30" t="s">
        <v>647</v>
      </c>
      <c r="D20074" s="30" t="s">
        <v>17</v>
      </c>
      <c r="E20074" s="30" t="s">
        <v>18</v>
      </c>
      <c r="F20074" s="30" t="s">
        <v>19</v>
      </c>
      <c r="G20074" s="30" t="s">
        <v>140</v>
      </c>
      <c r="H20074" s="32">
        <v>1530</v>
      </c>
      <c r="I20074" s="30" t="s">
        <v>51</v>
      </c>
      <c r="J20074" s="41">
        <v>45467</v>
      </c>
      <c r="K20074" s="30" t="s">
        <v>22</v>
      </c>
    </row>
    <row r="20075" spans="1:11">
      <c r="A20075" s="33" t="s">
        <v>44625</v>
      </c>
      <c r="B20075" s="33" t="s">
        <v>44626</v>
      </c>
      <c r="C20075" s="33" t="s">
        <v>6071</v>
      </c>
      <c r="D20075" s="33" t="s">
        <v>17</v>
      </c>
      <c r="E20075" s="33" t="s">
        <v>67</v>
      </c>
      <c r="F20075" s="33" t="s">
        <v>68</v>
      </c>
      <c r="G20075" s="33" t="s">
        <v>140</v>
      </c>
      <c r="H20075" s="35">
        <v>260</v>
      </c>
      <c r="I20075" s="33" t="s">
        <v>51</v>
      </c>
      <c r="J20075" s="42">
        <v>45435</v>
      </c>
      <c r="K20075" s="33" t="s">
        <v>22</v>
      </c>
    </row>
    <row r="20076" spans="1:11">
      <c r="A20076" s="30" t="s">
        <v>44627</v>
      </c>
      <c r="B20076" s="30" t="s">
        <v>44628</v>
      </c>
      <c r="C20076" s="30" t="s">
        <v>2196</v>
      </c>
      <c r="D20076" s="30" t="s">
        <v>17</v>
      </c>
      <c r="E20076" s="30" t="s">
        <v>26</v>
      </c>
      <c r="F20076" s="30" t="s">
        <v>27</v>
      </c>
      <c r="G20076" s="30" t="s">
        <v>112</v>
      </c>
      <c r="H20076" s="32">
        <v>0</v>
      </c>
      <c r="I20076" s="30" t="s">
        <v>21</v>
      </c>
      <c r="J20076" s="41">
        <v>45384</v>
      </c>
      <c r="K20076" s="30" t="s">
        <v>22</v>
      </c>
    </row>
    <row r="20077" spans="1:11">
      <c r="A20077" s="33" t="s">
        <v>44629</v>
      </c>
      <c r="B20077" s="33" t="s">
        <v>44630</v>
      </c>
      <c r="C20077" s="33" t="s">
        <v>44631</v>
      </c>
      <c r="D20077" s="33" t="s">
        <v>17</v>
      </c>
      <c r="E20077" s="33" t="s">
        <v>18</v>
      </c>
      <c r="F20077" s="33" t="s">
        <v>19</v>
      </c>
      <c r="G20077" s="33" t="s">
        <v>106</v>
      </c>
      <c r="H20077" s="35">
        <v>2</v>
      </c>
      <c r="I20077" s="33" t="s">
        <v>21</v>
      </c>
      <c r="J20077" s="42">
        <v>45450</v>
      </c>
      <c r="K20077" s="33" t="s">
        <v>22</v>
      </c>
    </row>
    <row r="20078" spans="1:11">
      <c r="A20078" s="30" t="s">
        <v>44632</v>
      </c>
      <c r="B20078" s="30" t="s">
        <v>44633</v>
      </c>
      <c r="C20078" s="30" t="s">
        <v>44634</v>
      </c>
      <c r="D20078" s="30" t="s">
        <v>17</v>
      </c>
      <c r="E20078" s="30" t="s">
        <v>31</v>
      </c>
      <c r="F20078" s="30" t="s">
        <v>32</v>
      </c>
      <c r="G20078" s="30" t="s">
        <v>140</v>
      </c>
      <c r="H20078" s="32">
        <v>15</v>
      </c>
      <c r="I20078" s="30" t="s">
        <v>51</v>
      </c>
      <c r="J20078" s="41">
        <v>45642</v>
      </c>
      <c r="K20078" s="30" t="s">
        <v>22</v>
      </c>
    </row>
    <row r="20079" spans="1:11">
      <c r="A20079" s="33" t="s">
        <v>44635</v>
      </c>
      <c r="B20079" s="33" t="s">
        <v>44636</v>
      </c>
      <c r="C20079" s="33" t="s">
        <v>15460</v>
      </c>
      <c r="D20079" s="33" t="s">
        <v>17</v>
      </c>
      <c r="E20079" s="33" t="s">
        <v>26</v>
      </c>
      <c r="F20079" s="33" t="s">
        <v>27</v>
      </c>
      <c r="G20079" s="33" t="s">
        <v>140</v>
      </c>
      <c r="H20079" s="35">
        <v>77</v>
      </c>
      <c r="I20079" s="33" t="s">
        <v>51</v>
      </c>
      <c r="J20079" s="42">
        <v>45594</v>
      </c>
      <c r="K20079" s="33" t="s">
        <v>22</v>
      </c>
    </row>
    <row r="20080" spans="1:11">
      <c r="A20080" s="30" t="s">
        <v>44637</v>
      </c>
      <c r="B20080" s="30" t="s">
        <v>44638</v>
      </c>
      <c r="C20080" s="30" t="s">
        <v>25344</v>
      </c>
      <c r="D20080" s="30" t="s">
        <v>17</v>
      </c>
      <c r="E20080" s="30" t="s">
        <v>18</v>
      </c>
      <c r="F20080" s="30" t="s">
        <v>19</v>
      </c>
      <c r="G20080" s="30" t="s">
        <v>158</v>
      </c>
      <c r="H20080" s="32">
        <v>57</v>
      </c>
      <c r="I20080" s="30" t="s">
        <v>21</v>
      </c>
      <c r="J20080" s="41">
        <v>45583</v>
      </c>
      <c r="K20080" s="30" t="s">
        <v>22</v>
      </c>
    </row>
    <row r="20081" spans="1:11">
      <c r="A20081" s="33" t="s">
        <v>44639</v>
      </c>
      <c r="B20081" s="33" t="s">
        <v>44640</v>
      </c>
      <c r="C20081" s="33" t="s">
        <v>190</v>
      </c>
      <c r="D20081" s="33" t="s">
        <v>17</v>
      </c>
      <c r="E20081" s="33" t="s">
        <v>18</v>
      </c>
      <c r="F20081" s="33" t="s">
        <v>19</v>
      </c>
      <c r="G20081" s="33" t="s">
        <v>158</v>
      </c>
      <c r="H20081" s="35">
        <v>45</v>
      </c>
      <c r="I20081" s="33" t="s">
        <v>21</v>
      </c>
      <c r="J20081" s="42">
        <v>45656</v>
      </c>
      <c r="K20081" s="33" t="s">
        <v>22</v>
      </c>
    </row>
    <row r="20082" spans="1:11">
      <c r="A20082" s="30" t="s">
        <v>44641</v>
      </c>
      <c r="B20082" s="30" t="s">
        <v>44642</v>
      </c>
      <c r="C20082" s="30" t="s">
        <v>21136</v>
      </c>
      <c r="D20082" s="30" t="s">
        <v>17</v>
      </c>
      <c r="E20082" s="30" t="s">
        <v>26</v>
      </c>
      <c r="F20082" s="30" t="s">
        <v>27</v>
      </c>
      <c r="G20082" s="30" t="s">
        <v>20</v>
      </c>
      <c r="H20082" s="32">
        <v>34</v>
      </c>
      <c r="I20082" s="30" t="s">
        <v>21</v>
      </c>
      <c r="J20082" s="41">
        <v>45397</v>
      </c>
      <c r="K20082" s="30" t="s">
        <v>22</v>
      </c>
    </row>
    <row r="20083" spans="1:11">
      <c r="A20083" s="33" t="s">
        <v>44643</v>
      </c>
      <c r="B20083" s="33" t="s">
        <v>44644</v>
      </c>
      <c r="C20083" s="33" t="s">
        <v>698</v>
      </c>
      <c r="D20083" s="33" t="s">
        <v>17</v>
      </c>
      <c r="E20083" s="33" t="s">
        <v>18</v>
      </c>
      <c r="F20083" s="33" t="s">
        <v>19</v>
      </c>
      <c r="G20083" s="33" t="s">
        <v>7780</v>
      </c>
      <c r="H20083" s="35">
        <v>398</v>
      </c>
      <c r="I20083" s="33" t="s">
        <v>51</v>
      </c>
      <c r="J20083" s="42">
        <v>45408</v>
      </c>
      <c r="K20083" s="33" t="s">
        <v>22</v>
      </c>
    </row>
    <row r="20084" spans="1:11">
      <c r="A20084" s="30" t="s">
        <v>44645</v>
      </c>
      <c r="B20084" s="30" t="s">
        <v>44646</v>
      </c>
      <c r="C20084" s="30" t="s">
        <v>535</v>
      </c>
      <c r="D20084" s="30" t="s">
        <v>17</v>
      </c>
      <c r="E20084" s="30" t="s">
        <v>26</v>
      </c>
      <c r="F20084" s="30" t="s">
        <v>27</v>
      </c>
      <c r="G20084" s="30" t="s">
        <v>20</v>
      </c>
      <c r="H20084" s="32">
        <v>99</v>
      </c>
      <c r="I20084" s="30" t="s">
        <v>21</v>
      </c>
      <c r="J20084" s="41">
        <v>45617</v>
      </c>
      <c r="K20084" s="30" t="s">
        <v>22</v>
      </c>
    </row>
    <row r="20085" spans="1:11">
      <c r="A20085" s="33" t="s">
        <v>44647</v>
      </c>
      <c r="B20085" s="33" t="s">
        <v>44648</v>
      </c>
      <c r="C20085" s="33" t="s">
        <v>1857</v>
      </c>
      <c r="D20085" s="33" t="s">
        <v>17</v>
      </c>
      <c r="E20085" s="33" t="s">
        <v>26</v>
      </c>
      <c r="F20085" s="33" t="s">
        <v>27</v>
      </c>
      <c r="G20085" s="33" t="s">
        <v>50</v>
      </c>
      <c r="H20085" s="35">
        <v>12</v>
      </c>
      <c r="I20085" s="33" t="s">
        <v>51</v>
      </c>
      <c r="J20085" s="42">
        <v>45306</v>
      </c>
      <c r="K20085" s="33" t="s">
        <v>22</v>
      </c>
    </row>
    <row r="20086" spans="1:11">
      <c r="A20086" s="30" t="s">
        <v>44649</v>
      </c>
      <c r="B20086" s="30" t="s">
        <v>44650</v>
      </c>
      <c r="C20086" s="30" t="s">
        <v>3164</v>
      </c>
      <c r="D20086" s="30" t="s">
        <v>17</v>
      </c>
      <c r="E20086" s="30" t="s">
        <v>18</v>
      </c>
      <c r="F20086" s="30" t="s">
        <v>19</v>
      </c>
      <c r="G20086" s="30" t="s">
        <v>20</v>
      </c>
      <c r="H20086" s="32">
        <v>392</v>
      </c>
      <c r="I20086" s="30" t="s">
        <v>21</v>
      </c>
      <c r="J20086" s="41">
        <v>45582</v>
      </c>
      <c r="K20086" s="30" t="s">
        <v>22</v>
      </c>
    </row>
    <row r="20087" spans="1:11">
      <c r="A20087" s="33" t="s">
        <v>44651</v>
      </c>
      <c r="B20087" s="33" t="s">
        <v>44652</v>
      </c>
      <c r="C20087" s="33" t="s">
        <v>2313</v>
      </c>
      <c r="D20087" s="33" t="s">
        <v>17</v>
      </c>
      <c r="E20087" s="33" t="s">
        <v>26</v>
      </c>
      <c r="F20087" s="33" t="s">
        <v>27</v>
      </c>
      <c r="G20087" s="33" t="s">
        <v>20</v>
      </c>
      <c r="H20087" s="35">
        <v>10</v>
      </c>
      <c r="I20087" s="33" t="s">
        <v>21</v>
      </c>
      <c r="J20087" s="42">
        <v>45299</v>
      </c>
      <c r="K20087" s="33" t="s">
        <v>22</v>
      </c>
    </row>
    <row r="20088" spans="1:11">
      <c r="A20088" s="30" t="s">
        <v>44653</v>
      </c>
      <c r="B20088" s="30" t="s">
        <v>44654</v>
      </c>
      <c r="C20088" s="30" t="s">
        <v>2719</v>
      </c>
      <c r="D20088" s="30" t="s">
        <v>17</v>
      </c>
      <c r="E20088" s="30" t="s">
        <v>18</v>
      </c>
      <c r="F20088" s="30" t="s">
        <v>19</v>
      </c>
      <c r="G20088" s="30" t="s">
        <v>20</v>
      </c>
      <c r="H20088" s="32">
        <v>255</v>
      </c>
      <c r="I20088" s="30" t="s">
        <v>21</v>
      </c>
      <c r="J20088" s="41">
        <v>45413</v>
      </c>
      <c r="K20088" s="30" t="s">
        <v>22</v>
      </c>
    </row>
    <row r="20089" spans="1:11">
      <c r="A20089" s="33" t="s">
        <v>44655</v>
      </c>
      <c r="B20089" s="33" t="s">
        <v>44656</v>
      </c>
      <c r="C20089" s="33" t="s">
        <v>37870</v>
      </c>
      <c r="D20089" s="33" t="s">
        <v>17</v>
      </c>
      <c r="E20089" s="33" t="s">
        <v>31</v>
      </c>
      <c r="F20089" s="33" t="s">
        <v>32</v>
      </c>
      <c r="G20089" s="33" t="s">
        <v>50</v>
      </c>
      <c r="H20089" s="35">
        <v>1200</v>
      </c>
      <c r="I20089" s="33" t="s">
        <v>51</v>
      </c>
      <c r="J20089" s="42">
        <v>45371</v>
      </c>
      <c r="K20089" s="33" t="s">
        <v>22</v>
      </c>
    </row>
    <row r="20090" spans="1:11">
      <c r="A20090" s="30" t="s">
        <v>44657</v>
      </c>
      <c r="B20090" s="30" t="s">
        <v>44658</v>
      </c>
      <c r="C20090" s="30" t="s">
        <v>2612</v>
      </c>
      <c r="D20090" s="30" t="s">
        <v>17</v>
      </c>
      <c r="E20090" s="30" t="s">
        <v>18</v>
      </c>
      <c r="F20090" s="30" t="s">
        <v>19</v>
      </c>
      <c r="G20090" s="30" t="s">
        <v>2613</v>
      </c>
      <c r="H20090" s="32">
        <v>255</v>
      </c>
      <c r="I20090" s="30" t="s">
        <v>51</v>
      </c>
      <c r="J20090" s="41">
        <v>45504</v>
      </c>
      <c r="K20090" s="30" t="s">
        <v>22</v>
      </c>
    </row>
    <row r="20091" spans="1:11">
      <c r="A20091" s="33" t="s">
        <v>44659</v>
      </c>
      <c r="B20091" s="33" t="s">
        <v>44660</v>
      </c>
      <c r="C20091" s="33" t="s">
        <v>43348</v>
      </c>
      <c r="D20091" s="33" t="s">
        <v>17</v>
      </c>
      <c r="E20091" s="33" t="s">
        <v>26</v>
      </c>
      <c r="F20091" s="33" t="s">
        <v>27</v>
      </c>
      <c r="G20091" s="33" t="s">
        <v>20</v>
      </c>
      <c r="H20091" s="35">
        <v>40</v>
      </c>
      <c r="I20091" s="33" t="s">
        <v>21</v>
      </c>
      <c r="J20091" s="42">
        <v>45314</v>
      </c>
      <c r="K20091" s="33" t="s">
        <v>22</v>
      </c>
    </row>
    <row r="20092" spans="1:11">
      <c r="A20092" s="30" t="s">
        <v>44661</v>
      </c>
      <c r="B20092" s="30" t="s">
        <v>44662</v>
      </c>
      <c r="C20092" s="30" t="s">
        <v>1090</v>
      </c>
      <c r="D20092" s="30" t="s">
        <v>17</v>
      </c>
      <c r="E20092" s="30" t="s">
        <v>26</v>
      </c>
      <c r="F20092" s="30" t="s">
        <v>27</v>
      </c>
      <c r="G20092" s="30" t="s">
        <v>20</v>
      </c>
      <c r="H20092" s="32">
        <v>18</v>
      </c>
      <c r="I20092" s="30" t="s">
        <v>21</v>
      </c>
      <c r="J20092" s="41">
        <v>45442</v>
      </c>
      <c r="K20092" s="30" t="s">
        <v>22</v>
      </c>
    </row>
    <row r="20093" spans="1:11">
      <c r="A20093" s="33" t="s">
        <v>44663</v>
      </c>
      <c r="B20093" s="33" t="s">
        <v>44664</v>
      </c>
      <c r="C20093" s="33" t="s">
        <v>4596</v>
      </c>
      <c r="D20093" s="33" t="s">
        <v>17</v>
      </c>
      <c r="E20093" s="33" t="s">
        <v>26</v>
      </c>
      <c r="F20093" s="33" t="s">
        <v>27</v>
      </c>
      <c r="G20093" s="33" t="s">
        <v>20</v>
      </c>
      <c r="H20093" s="35">
        <v>40</v>
      </c>
      <c r="I20093" s="33" t="s">
        <v>21</v>
      </c>
      <c r="J20093" s="42">
        <v>45422</v>
      </c>
      <c r="K20093" s="33" t="s">
        <v>22</v>
      </c>
    </row>
    <row r="20094" spans="1:11">
      <c r="A20094" s="30" t="s">
        <v>44665</v>
      </c>
      <c r="B20094" s="30" t="s">
        <v>44666</v>
      </c>
      <c r="C20094" s="30" t="s">
        <v>30622</v>
      </c>
      <c r="D20094" s="30" t="s">
        <v>17</v>
      </c>
      <c r="E20094" s="30" t="s">
        <v>26</v>
      </c>
      <c r="F20094" s="30" t="s">
        <v>27</v>
      </c>
      <c r="G20094" s="30" t="s">
        <v>20</v>
      </c>
      <c r="H20094" s="32">
        <v>9</v>
      </c>
      <c r="I20094" s="30" t="s">
        <v>21</v>
      </c>
      <c r="J20094" s="41">
        <v>45400</v>
      </c>
      <c r="K20094" s="30" t="s">
        <v>22</v>
      </c>
    </row>
    <row r="20095" spans="1:11">
      <c r="A20095" s="33" t="s">
        <v>44667</v>
      </c>
      <c r="B20095" s="33" t="s">
        <v>44668</v>
      </c>
      <c r="C20095" s="33" t="s">
        <v>12112</v>
      </c>
      <c r="D20095" s="33" t="s">
        <v>17</v>
      </c>
      <c r="E20095" s="33" t="s">
        <v>26</v>
      </c>
      <c r="F20095" s="33" t="s">
        <v>27</v>
      </c>
      <c r="G20095" s="33" t="s">
        <v>20</v>
      </c>
      <c r="H20095" s="35">
        <v>30</v>
      </c>
      <c r="I20095" s="33" t="s">
        <v>21</v>
      </c>
      <c r="J20095" s="42">
        <v>45589</v>
      </c>
      <c r="K20095" s="33" t="s">
        <v>22</v>
      </c>
    </row>
    <row r="20096" spans="1:11">
      <c r="A20096" s="30" t="s">
        <v>44669</v>
      </c>
      <c r="B20096" s="30" t="s">
        <v>44670</v>
      </c>
      <c r="C20096" s="30" t="s">
        <v>13241</v>
      </c>
      <c r="D20096" s="30" t="s">
        <v>17</v>
      </c>
      <c r="E20096" s="30" t="s">
        <v>67</v>
      </c>
      <c r="F20096" s="30" t="s">
        <v>68</v>
      </c>
      <c r="G20096" s="30" t="s">
        <v>140</v>
      </c>
      <c r="H20096" s="32">
        <v>88</v>
      </c>
      <c r="I20096" s="30" t="s">
        <v>51</v>
      </c>
      <c r="J20096" s="41">
        <v>45455</v>
      </c>
      <c r="K20096" s="30" t="s">
        <v>22</v>
      </c>
    </row>
    <row r="20097" spans="1:11">
      <c r="A20097" s="33" t="s">
        <v>44671</v>
      </c>
      <c r="B20097" s="33" t="s">
        <v>44672</v>
      </c>
      <c r="C20097" s="33" t="s">
        <v>30672</v>
      </c>
      <c r="D20097" s="33" t="s">
        <v>17</v>
      </c>
      <c r="E20097" s="33" t="s">
        <v>67</v>
      </c>
      <c r="F20097" s="33" t="s">
        <v>68</v>
      </c>
      <c r="G20097" s="33" t="s">
        <v>140</v>
      </c>
      <c r="H20097" s="35">
        <v>96</v>
      </c>
      <c r="I20097" s="33" t="s">
        <v>51</v>
      </c>
      <c r="J20097" s="42">
        <v>45322</v>
      </c>
      <c r="K20097" s="33" t="s">
        <v>22</v>
      </c>
    </row>
    <row r="20098" spans="1:11">
      <c r="A20098" s="30" t="s">
        <v>44673</v>
      </c>
      <c r="B20098" s="30" t="s">
        <v>44674</v>
      </c>
      <c r="C20098" s="30" t="s">
        <v>32910</v>
      </c>
      <c r="D20098" s="30" t="s">
        <v>17</v>
      </c>
      <c r="E20098" s="30" t="s">
        <v>31</v>
      </c>
      <c r="F20098" s="30" t="s">
        <v>32</v>
      </c>
      <c r="G20098" s="30" t="s">
        <v>112</v>
      </c>
      <c r="H20098" s="32">
        <v>0</v>
      </c>
      <c r="I20098" s="30" t="s">
        <v>21</v>
      </c>
      <c r="J20098" s="41">
        <v>45443</v>
      </c>
      <c r="K20098" s="30" t="s">
        <v>22</v>
      </c>
    </row>
    <row r="20099" spans="1:11">
      <c r="A20099" s="33" t="s">
        <v>44675</v>
      </c>
      <c r="B20099" s="33" t="s">
        <v>44676</v>
      </c>
      <c r="C20099" s="33" t="s">
        <v>157</v>
      </c>
      <c r="D20099" s="33" t="s">
        <v>17</v>
      </c>
      <c r="E20099" s="33" t="s">
        <v>18</v>
      </c>
      <c r="F20099" s="33" t="s">
        <v>19</v>
      </c>
      <c r="G20099" s="33" t="s">
        <v>140</v>
      </c>
      <c r="H20099" s="35">
        <v>20</v>
      </c>
      <c r="I20099" s="33" t="s">
        <v>51</v>
      </c>
      <c r="J20099" s="42">
        <v>45642</v>
      </c>
      <c r="K20099" s="33" t="s">
        <v>22</v>
      </c>
    </row>
    <row r="20100" spans="1:11">
      <c r="A20100" s="30" t="s">
        <v>44677</v>
      </c>
      <c r="B20100" s="30" t="s">
        <v>44678</v>
      </c>
      <c r="C20100" s="30" t="s">
        <v>37762</v>
      </c>
      <c r="D20100" s="30" t="s">
        <v>17</v>
      </c>
      <c r="E20100" s="30" t="s">
        <v>26</v>
      </c>
      <c r="F20100" s="30" t="s">
        <v>27</v>
      </c>
      <c r="G20100" s="30" t="s">
        <v>158</v>
      </c>
      <c r="H20100" s="32">
        <v>30</v>
      </c>
      <c r="I20100" s="30" t="s">
        <v>51</v>
      </c>
      <c r="J20100" s="41">
        <v>45442</v>
      </c>
      <c r="K20100" s="30" t="s">
        <v>22</v>
      </c>
    </row>
    <row r="20101" spans="1:11">
      <c r="A20101" s="33" t="s">
        <v>44679</v>
      </c>
      <c r="B20101" s="33" t="s">
        <v>44680</v>
      </c>
      <c r="C20101" s="33" t="s">
        <v>9234</v>
      </c>
      <c r="D20101" s="33" t="s">
        <v>17</v>
      </c>
      <c r="E20101" s="33" t="s">
        <v>26</v>
      </c>
      <c r="F20101" s="33" t="s">
        <v>27</v>
      </c>
      <c r="G20101" s="33" t="s">
        <v>20</v>
      </c>
      <c r="H20101" s="35">
        <v>56</v>
      </c>
      <c r="I20101" s="33" t="s">
        <v>21</v>
      </c>
      <c r="J20101" s="42">
        <v>45513</v>
      </c>
      <c r="K20101" s="33" t="s">
        <v>22</v>
      </c>
    </row>
    <row r="20102" spans="1:11">
      <c r="A20102" s="30" t="s">
        <v>44681</v>
      </c>
      <c r="B20102" s="30" t="s">
        <v>44682</v>
      </c>
      <c r="C20102" s="30" t="s">
        <v>11239</v>
      </c>
      <c r="D20102" s="30" t="s">
        <v>17</v>
      </c>
      <c r="E20102" s="30" t="s">
        <v>31</v>
      </c>
      <c r="F20102" s="30" t="s">
        <v>32</v>
      </c>
      <c r="G20102" s="30" t="s">
        <v>158</v>
      </c>
      <c r="H20102" s="32">
        <v>60</v>
      </c>
      <c r="I20102" s="30" t="s">
        <v>51</v>
      </c>
      <c r="J20102" s="41">
        <v>45408</v>
      </c>
      <c r="K20102" s="30" t="s">
        <v>22</v>
      </c>
    </row>
    <row r="20103" spans="1:11">
      <c r="A20103" s="33" t="s">
        <v>44683</v>
      </c>
      <c r="B20103" s="33" t="s">
        <v>44684</v>
      </c>
      <c r="C20103" s="33" t="s">
        <v>310</v>
      </c>
      <c r="D20103" s="33" t="s">
        <v>17</v>
      </c>
      <c r="E20103" s="33" t="s">
        <v>26</v>
      </c>
      <c r="F20103" s="33" t="s">
        <v>27</v>
      </c>
      <c r="G20103" s="33" t="s">
        <v>20</v>
      </c>
      <c r="H20103" s="35">
        <v>24</v>
      </c>
      <c r="I20103" s="33" t="s">
        <v>21</v>
      </c>
      <c r="J20103" s="42">
        <v>45530</v>
      </c>
      <c r="K20103" s="33" t="s">
        <v>22</v>
      </c>
    </row>
    <row r="20104" spans="1:11">
      <c r="A20104" s="30" t="s">
        <v>44685</v>
      </c>
      <c r="B20104" s="30" t="s">
        <v>44686</v>
      </c>
      <c r="C20104" s="30" t="s">
        <v>1267</v>
      </c>
      <c r="D20104" s="30" t="s">
        <v>17</v>
      </c>
      <c r="E20104" s="30" t="s">
        <v>18</v>
      </c>
      <c r="F20104" s="30" t="s">
        <v>19</v>
      </c>
      <c r="G20104" s="30" t="s">
        <v>158</v>
      </c>
      <c r="H20104" s="32">
        <v>610</v>
      </c>
      <c r="I20104" s="30" t="s">
        <v>51</v>
      </c>
      <c r="J20104" s="41">
        <v>45639</v>
      </c>
      <c r="K20104" s="30" t="s">
        <v>22</v>
      </c>
    </row>
    <row r="20105" spans="1:11">
      <c r="A20105" s="33" t="s">
        <v>44687</v>
      </c>
      <c r="B20105" s="33" t="s">
        <v>44688</v>
      </c>
      <c r="C20105" s="33" t="s">
        <v>44689</v>
      </c>
      <c r="D20105" s="33" t="s">
        <v>17</v>
      </c>
      <c r="E20105" s="33" t="s">
        <v>31</v>
      </c>
      <c r="F20105" s="33" t="s">
        <v>32</v>
      </c>
      <c r="G20105" s="33" t="s">
        <v>20</v>
      </c>
      <c r="H20105" s="35">
        <v>30</v>
      </c>
      <c r="I20105" s="33" t="s">
        <v>21</v>
      </c>
      <c r="J20105" s="42">
        <v>45532</v>
      </c>
      <c r="K20105" s="33" t="s">
        <v>22</v>
      </c>
    </row>
    <row r="20106" spans="1:11">
      <c r="A20106" s="30" t="s">
        <v>44690</v>
      </c>
      <c r="B20106" s="30" t="s">
        <v>44691</v>
      </c>
      <c r="C20106" s="30" t="s">
        <v>44692</v>
      </c>
      <c r="D20106" s="30" t="s">
        <v>17</v>
      </c>
      <c r="E20106" s="30" t="s">
        <v>26</v>
      </c>
      <c r="F20106" s="30" t="s">
        <v>27</v>
      </c>
      <c r="G20106" s="30" t="s">
        <v>20</v>
      </c>
      <c r="H20106" s="32">
        <v>28</v>
      </c>
      <c r="I20106" s="30" t="s">
        <v>21</v>
      </c>
      <c r="J20106" s="41">
        <v>45486</v>
      </c>
      <c r="K20106" s="30" t="s">
        <v>22</v>
      </c>
    </row>
    <row r="20107" spans="1:11">
      <c r="A20107" s="33" t="s">
        <v>44693</v>
      </c>
      <c r="B20107" s="33" t="s">
        <v>44694</v>
      </c>
      <c r="C20107" s="33" t="s">
        <v>4176</v>
      </c>
      <c r="D20107" s="33" t="s">
        <v>17</v>
      </c>
      <c r="E20107" s="33" t="s">
        <v>18</v>
      </c>
      <c r="F20107" s="33" t="s">
        <v>19</v>
      </c>
      <c r="G20107" s="33" t="s">
        <v>20</v>
      </c>
      <c r="H20107" s="35">
        <v>569</v>
      </c>
      <c r="I20107" s="33" t="s">
        <v>21</v>
      </c>
      <c r="J20107" s="42">
        <v>45519</v>
      </c>
      <c r="K20107" s="33" t="s">
        <v>22</v>
      </c>
    </row>
    <row r="20108" spans="1:11">
      <c r="A20108" s="30" t="s">
        <v>44695</v>
      </c>
      <c r="B20108" s="30" t="s">
        <v>44696</v>
      </c>
      <c r="C20108" s="30" t="s">
        <v>187</v>
      </c>
      <c r="D20108" s="30" t="s">
        <v>17</v>
      </c>
      <c r="E20108" s="30" t="s">
        <v>26</v>
      </c>
      <c r="F20108" s="30" t="s">
        <v>27</v>
      </c>
      <c r="G20108" s="30" t="s">
        <v>140</v>
      </c>
      <c r="H20108" s="32">
        <v>150</v>
      </c>
      <c r="I20108" s="30" t="s">
        <v>51</v>
      </c>
      <c r="J20108" s="41">
        <v>45635</v>
      </c>
      <c r="K20108" s="30" t="s">
        <v>22</v>
      </c>
    </row>
    <row r="20109" spans="1:11">
      <c r="A20109" s="33" t="s">
        <v>44697</v>
      </c>
      <c r="B20109" s="33" t="s">
        <v>44698</v>
      </c>
      <c r="C20109" s="33" t="s">
        <v>20739</v>
      </c>
      <c r="D20109" s="33" t="s">
        <v>17</v>
      </c>
      <c r="E20109" s="33" t="s">
        <v>67</v>
      </c>
      <c r="F20109" s="33" t="s">
        <v>68</v>
      </c>
      <c r="G20109" s="33" t="s">
        <v>140</v>
      </c>
      <c r="H20109" s="35">
        <v>170</v>
      </c>
      <c r="I20109" s="33" t="s">
        <v>51</v>
      </c>
      <c r="J20109" s="42">
        <v>45617</v>
      </c>
      <c r="K20109" s="33" t="s">
        <v>22</v>
      </c>
    </row>
    <row r="20110" spans="1:11">
      <c r="A20110" s="30" t="s">
        <v>44699</v>
      </c>
      <c r="B20110" s="30" t="s">
        <v>44700</v>
      </c>
      <c r="C20110" s="30" t="s">
        <v>187</v>
      </c>
      <c r="D20110" s="30" t="s">
        <v>17</v>
      </c>
      <c r="E20110" s="30" t="s">
        <v>26</v>
      </c>
      <c r="F20110" s="30" t="s">
        <v>27</v>
      </c>
      <c r="G20110" s="30" t="s">
        <v>50</v>
      </c>
      <c r="H20110" s="32">
        <v>72</v>
      </c>
      <c r="I20110" s="30" t="s">
        <v>51</v>
      </c>
      <c r="J20110" s="41">
        <v>45629</v>
      </c>
      <c r="K20110" s="30" t="s">
        <v>22</v>
      </c>
    </row>
    <row r="20111" spans="1:11">
      <c r="A20111" s="33" t="s">
        <v>44701</v>
      </c>
      <c r="B20111" s="33" t="s">
        <v>44702</v>
      </c>
      <c r="C20111" s="33" t="s">
        <v>33863</v>
      </c>
      <c r="D20111" s="33" t="s">
        <v>17</v>
      </c>
      <c r="E20111" s="33" t="s">
        <v>26</v>
      </c>
      <c r="F20111" s="33" t="s">
        <v>27</v>
      </c>
      <c r="G20111" s="33" t="s">
        <v>112</v>
      </c>
      <c r="H20111" s="35">
        <v>0</v>
      </c>
      <c r="I20111" s="33" t="s">
        <v>21</v>
      </c>
      <c r="J20111" s="42">
        <v>45413</v>
      </c>
      <c r="K20111" s="33" t="s">
        <v>22</v>
      </c>
    </row>
    <row r="20112" spans="1:11">
      <c r="A20112" s="30" t="s">
        <v>44703</v>
      </c>
      <c r="B20112" s="30" t="s">
        <v>44704</v>
      </c>
      <c r="C20112" s="30" t="s">
        <v>222</v>
      </c>
      <c r="D20112" s="30" t="s">
        <v>17</v>
      </c>
      <c r="E20112" s="30" t="s">
        <v>26</v>
      </c>
      <c r="F20112" s="30" t="s">
        <v>27</v>
      </c>
      <c r="G20112" s="30" t="s">
        <v>20</v>
      </c>
      <c r="H20112" s="32">
        <v>70</v>
      </c>
      <c r="I20112" s="30" t="s">
        <v>21</v>
      </c>
      <c r="J20112" s="41">
        <v>45589</v>
      </c>
      <c r="K20112" s="30" t="s">
        <v>22</v>
      </c>
    </row>
    <row r="20113" spans="1:11">
      <c r="A20113" s="33" t="s">
        <v>44705</v>
      </c>
      <c r="B20113" s="33" t="s">
        <v>44706</v>
      </c>
      <c r="C20113" s="33" t="s">
        <v>19745</v>
      </c>
      <c r="D20113" s="33" t="s">
        <v>17</v>
      </c>
      <c r="E20113" s="33" t="s">
        <v>18</v>
      </c>
      <c r="F20113" s="33" t="s">
        <v>19</v>
      </c>
      <c r="G20113" s="33" t="s">
        <v>140</v>
      </c>
      <c r="H20113" s="35">
        <v>180</v>
      </c>
      <c r="I20113" s="33" t="s">
        <v>51</v>
      </c>
      <c r="J20113" s="42">
        <v>45490</v>
      </c>
      <c r="K20113" s="33" t="s">
        <v>22</v>
      </c>
    </row>
    <row r="20114" spans="1:11">
      <c r="A20114" s="30" t="s">
        <v>44707</v>
      </c>
      <c r="B20114" s="30" t="s">
        <v>44708</v>
      </c>
      <c r="C20114" s="30" t="s">
        <v>37209</v>
      </c>
      <c r="D20114" s="30" t="s">
        <v>17</v>
      </c>
      <c r="E20114" s="30" t="s">
        <v>26</v>
      </c>
      <c r="F20114" s="30" t="s">
        <v>27</v>
      </c>
      <c r="G20114" s="30" t="s">
        <v>140</v>
      </c>
      <c r="H20114" s="32">
        <v>68</v>
      </c>
      <c r="I20114" s="30" t="s">
        <v>51</v>
      </c>
      <c r="J20114" s="41">
        <v>45656</v>
      </c>
      <c r="K20114" s="30" t="s">
        <v>22</v>
      </c>
    </row>
    <row r="20115" spans="1:11">
      <c r="A20115" s="33" t="s">
        <v>44709</v>
      </c>
      <c r="B20115" s="33" t="s">
        <v>44710</v>
      </c>
      <c r="C20115" s="33" t="s">
        <v>60</v>
      </c>
      <c r="D20115" s="33" t="s">
        <v>17</v>
      </c>
      <c r="E20115" s="33" t="s">
        <v>26</v>
      </c>
      <c r="F20115" s="33" t="s">
        <v>27</v>
      </c>
      <c r="G20115" s="33" t="s">
        <v>20</v>
      </c>
      <c r="H20115" s="35">
        <v>36</v>
      </c>
      <c r="I20115" s="33" t="s">
        <v>21</v>
      </c>
      <c r="J20115" s="42">
        <v>45506</v>
      </c>
      <c r="K20115" s="33" t="s">
        <v>22</v>
      </c>
    </row>
    <row r="20116" spans="1:11">
      <c r="A20116" s="30" t="s">
        <v>44711</v>
      </c>
      <c r="B20116" s="30" t="s">
        <v>44712</v>
      </c>
      <c r="C20116" s="30" t="s">
        <v>1808</v>
      </c>
      <c r="D20116" s="30" t="s">
        <v>17</v>
      </c>
      <c r="E20116" s="30" t="s">
        <v>67</v>
      </c>
      <c r="F20116" s="30" t="s">
        <v>68</v>
      </c>
      <c r="G20116" s="30" t="s">
        <v>140</v>
      </c>
      <c r="H20116" s="32">
        <v>180</v>
      </c>
      <c r="I20116" s="30" t="s">
        <v>51</v>
      </c>
      <c r="J20116" s="41">
        <v>45293</v>
      </c>
      <c r="K20116" s="30" t="s">
        <v>22</v>
      </c>
    </row>
    <row r="20117" spans="1:11">
      <c r="A20117" s="33" t="s">
        <v>44713</v>
      </c>
      <c r="B20117" s="33" t="s">
        <v>44714</v>
      </c>
      <c r="C20117" s="33" t="s">
        <v>510</v>
      </c>
      <c r="D20117" s="33" t="s">
        <v>17</v>
      </c>
      <c r="E20117" s="33" t="s">
        <v>330</v>
      </c>
      <c r="F20117" s="33" t="s">
        <v>331</v>
      </c>
      <c r="G20117" s="33" t="s">
        <v>140</v>
      </c>
      <c r="H20117" s="35">
        <v>111</v>
      </c>
      <c r="I20117" s="33" t="s">
        <v>51</v>
      </c>
      <c r="J20117" s="42">
        <v>45440</v>
      </c>
      <c r="K20117" s="33" t="s">
        <v>22</v>
      </c>
    </row>
    <row r="20118" spans="1:11">
      <c r="A20118" s="30" t="s">
        <v>44715</v>
      </c>
      <c r="B20118" s="30" t="s">
        <v>44716</v>
      </c>
      <c r="C20118" s="30" t="s">
        <v>310</v>
      </c>
      <c r="D20118" s="30" t="s">
        <v>17</v>
      </c>
      <c r="E20118" s="30" t="s">
        <v>18</v>
      </c>
      <c r="F20118" s="30" t="s">
        <v>19</v>
      </c>
      <c r="G20118" s="30" t="s">
        <v>20</v>
      </c>
      <c r="H20118" s="32">
        <v>412</v>
      </c>
      <c r="I20118" s="30" t="s">
        <v>21</v>
      </c>
      <c r="J20118" s="41">
        <v>45401</v>
      </c>
      <c r="K20118" s="30" t="s">
        <v>22</v>
      </c>
    </row>
    <row r="20119" spans="1:11">
      <c r="A20119" s="33" t="s">
        <v>44717</v>
      </c>
      <c r="B20119" s="33" t="s">
        <v>44718</v>
      </c>
      <c r="C20119" s="33" t="s">
        <v>1908</v>
      </c>
      <c r="D20119" s="33" t="s">
        <v>17</v>
      </c>
      <c r="E20119" s="33" t="s">
        <v>18</v>
      </c>
      <c r="F20119" s="33" t="s">
        <v>19</v>
      </c>
      <c r="G20119" s="33" t="s">
        <v>20</v>
      </c>
      <c r="H20119" s="35">
        <v>472</v>
      </c>
      <c r="I20119" s="33" t="s">
        <v>21</v>
      </c>
      <c r="J20119" s="42">
        <v>45394</v>
      </c>
      <c r="K20119" s="33" t="s">
        <v>22</v>
      </c>
    </row>
    <row r="20120" spans="1:11">
      <c r="A20120" s="30" t="s">
        <v>44719</v>
      </c>
      <c r="B20120" s="30" t="s">
        <v>44720</v>
      </c>
      <c r="C20120" s="30" t="s">
        <v>29479</v>
      </c>
      <c r="D20120" s="30" t="s">
        <v>17</v>
      </c>
      <c r="E20120" s="30" t="s">
        <v>18</v>
      </c>
      <c r="F20120" s="30" t="s">
        <v>19</v>
      </c>
      <c r="G20120" s="30" t="s">
        <v>158</v>
      </c>
      <c r="H20120" s="32">
        <v>25000</v>
      </c>
      <c r="I20120" s="30" t="s">
        <v>51</v>
      </c>
      <c r="J20120" s="41">
        <v>45486</v>
      </c>
      <c r="K20120" s="30" t="s">
        <v>22</v>
      </c>
    </row>
    <row r="20121" spans="1:11">
      <c r="A20121" s="33" t="s">
        <v>44721</v>
      </c>
      <c r="B20121" s="33" t="s">
        <v>44722</v>
      </c>
      <c r="C20121" s="33" t="s">
        <v>35593</v>
      </c>
      <c r="D20121" s="33" t="s">
        <v>17</v>
      </c>
      <c r="E20121" s="33" t="s">
        <v>18</v>
      </c>
      <c r="F20121" s="33" t="s">
        <v>19</v>
      </c>
      <c r="G20121" s="33" t="s">
        <v>50</v>
      </c>
      <c r="H20121" s="35">
        <v>478</v>
      </c>
      <c r="I20121" s="33" t="s">
        <v>51</v>
      </c>
      <c r="J20121" s="42">
        <v>45383</v>
      </c>
      <c r="K20121" s="33" t="s">
        <v>22</v>
      </c>
    </row>
    <row r="20122" spans="1:11">
      <c r="A20122" s="30" t="s">
        <v>44723</v>
      </c>
      <c r="B20122" s="30" t="s">
        <v>44724</v>
      </c>
      <c r="C20122" s="30" t="s">
        <v>14483</v>
      </c>
      <c r="D20122" s="30" t="s">
        <v>17</v>
      </c>
      <c r="E20122" s="30" t="s">
        <v>31</v>
      </c>
      <c r="F20122" s="30" t="s">
        <v>32</v>
      </c>
      <c r="G20122" s="30" t="s">
        <v>20</v>
      </c>
      <c r="H20122" s="32">
        <v>129</v>
      </c>
      <c r="I20122" s="30" t="s">
        <v>21</v>
      </c>
      <c r="J20122" s="41">
        <v>45579</v>
      </c>
      <c r="K20122" s="30" t="s">
        <v>22</v>
      </c>
    </row>
    <row r="20123" spans="1:11">
      <c r="A20123" s="33" t="s">
        <v>44725</v>
      </c>
      <c r="B20123" s="33" t="s">
        <v>44726</v>
      </c>
      <c r="C20123" s="33" t="s">
        <v>44727</v>
      </c>
      <c r="D20123" s="33" t="s">
        <v>17</v>
      </c>
      <c r="E20123" s="33" t="s">
        <v>26</v>
      </c>
      <c r="F20123" s="33" t="s">
        <v>27</v>
      </c>
      <c r="G20123" s="33" t="s">
        <v>20</v>
      </c>
      <c r="H20123" s="35">
        <v>15</v>
      </c>
      <c r="I20123" s="33" t="s">
        <v>21</v>
      </c>
      <c r="J20123" s="42">
        <v>45617</v>
      </c>
      <c r="K20123" s="33" t="s">
        <v>22</v>
      </c>
    </row>
    <row r="20124" spans="1:11">
      <c r="A20124" s="30" t="s">
        <v>44728</v>
      </c>
      <c r="B20124" s="30" t="s">
        <v>44729</v>
      </c>
      <c r="C20124" s="30" t="s">
        <v>44730</v>
      </c>
      <c r="D20124" s="30" t="s">
        <v>17</v>
      </c>
      <c r="E20124" s="30" t="s">
        <v>26</v>
      </c>
      <c r="F20124" s="30" t="s">
        <v>27</v>
      </c>
      <c r="G20124" s="30" t="s">
        <v>140</v>
      </c>
      <c r="H20124" s="32">
        <v>76</v>
      </c>
      <c r="I20124" s="30" t="s">
        <v>51</v>
      </c>
      <c r="J20124" s="41">
        <v>45412</v>
      </c>
      <c r="K20124" s="30" t="s">
        <v>22</v>
      </c>
    </row>
    <row r="20125" spans="1:11">
      <c r="A20125" s="33" t="s">
        <v>44731</v>
      </c>
      <c r="B20125" s="33" t="s">
        <v>44732</v>
      </c>
      <c r="C20125" s="33" t="s">
        <v>44733</v>
      </c>
      <c r="D20125" s="33" t="s">
        <v>17</v>
      </c>
      <c r="E20125" s="33" t="s">
        <v>31</v>
      </c>
      <c r="F20125" s="33" t="s">
        <v>32</v>
      </c>
      <c r="G20125" s="33" t="s">
        <v>158</v>
      </c>
      <c r="H20125" s="35">
        <v>145</v>
      </c>
      <c r="I20125" s="33" t="s">
        <v>21</v>
      </c>
      <c r="J20125" s="42">
        <v>45350</v>
      </c>
      <c r="K20125" s="33" t="s">
        <v>22</v>
      </c>
    </row>
    <row r="20126" spans="1:11">
      <c r="A20126" s="30" t="s">
        <v>44734</v>
      </c>
      <c r="B20126" s="30" t="s">
        <v>44735</v>
      </c>
      <c r="C20126" s="30" t="s">
        <v>60</v>
      </c>
      <c r="D20126" s="30" t="s">
        <v>17</v>
      </c>
      <c r="E20126" s="30" t="s">
        <v>31</v>
      </c>
      <c r="F20126" s="30" t="s">
        <v>32</v>
      </c>
      <c r="G20126" s="30" t="s">
        <v>140</v>
      </c>
      <c r="H20126" s="32">
        <v>300</v>
      </c>
      <c r="I20126" s="30" t="s">
        <v>51</v>
      </c>
      <c r="J20126" s="41">
        <v>45583</v>
      </c>
      <c r="K20126" s="30" t="s">
        <v>22</v>
      </c>
    </row>
    <row r="20127" spans="1:11">
      <c r="A20127" s="33" t="s">
        <v>44736</v>
      </c>
      <c r="B20127" s="33" t="s">
        <v>44737</v>
      </c>
      <c r="C20127" s="33" t="s">
        <v>32043</v>
      </c>
      <c r="D20127" s="33" t="s">
        <v>17</v>
      </c>
      <c r="E20127" s="33" t="s">
        <v>31</v>
      </c>
      <c r="F20127" s="33" t="s">
        <v>32</v>
      </c>
      <c r="G20127" s="33" t="s">
        <v>158</v>
      </c>
      <c r="H20127" s="35">
        <v>215</v>
      </c>
      <c r="I20127" s="33" t="s">
        <v>21</v>
      </c>
      <c r="J20127" s="42">
        <v>45505</v>
      </c>
      <c r="K20127" s="33" t="s">
        <v>22</v>
      </c>
    </row>
    <row r="20128" spans="1:11">
      <c r="A20128" s="30" t="s">
        <v>44738</v>
      </c>
      <c r="B20128" s="30" t="s">
        <v>44739</v>
      </c>
      <c r="C20128" s="30" t="s">
        <v>44740</v>
      </c>
      <c r="D20128" s="30" t="s">
        <v>17</v>
      </c>
      <c r="E20128" s="30" t="s">
        <v>26</v>
      </c>
      <c r="F20128" s="30" t="s">
        <v>27</v>
      </c>
      <c r="G20128" s="30" t="s">
        <v>20</v>
      </c>
      <c r="H20128" s="32">
        <v>32</v>
      </c>
      <c r="I20128" s="30" t="s">
        <v>21</v>
      </c>
      <c r="J20128" s="41">
        <v>45414</v>
      </c>
      <c r="K20128" s="30" t="s">
        <v>22</v>
      </c>
    </row>
    <row r="20129" spans="1:11">
      <c r="A20129" s="33" t="s">
        <v>44741</v>
      </c>
      <c r="B20129" s="33" t="s">
        <v>44742</v>
      </c>
      <c r="C20129" s="33" t="s">
        <v>60</v>
      </c>
      <c r="D20129" s="33" t="s">
        <v>17</v>
      </c>
      <c r="E20129" s="33" t="s">
        <v>26</v>
      </c>
      <c r="F20129" s="33" t="s">
        <v>27</v>
      </c>
      <c r="G20129" s="33" t="s">
        <v>20</v>
      </c>
      <c r="H20129" s="35">
        <v>24</v>
      </c>
      <c r="I20129" s="33" t="s">
        <v>21</v>
      </c>
      <c r="J20129" s="42">
        <v>45499</v>
      </c>
      <c r="K20129" s="33" t="s">
        <v>22</v>
      </c>
    </row>
    <row r="20130" spans="1:11">
      <c r="A20130" s="30" t="s">
        <v>44743</v>
      </c>
      <c r="B20130" s="30" t="s">
        <v>44744</v>
      </c>
      <c r="C20130" s="30" t="s">
        <v>136</v>
      </c>
      <c r="D20130" s="30" t="s">
        <v>17</v>
      </c>
      <c r="E20130" s="30" t="s">
        <v>31</v>
      </c>
      <c r="F20130" s="30" t="s">
        <v>32</v>
      </c>
      <c r="G20130" s="30" t="s">
        <v>20</v>
      </c>
      <c r="H20130" s="32">
        <v>392</v>
      </c>
      <c r="I20130" s="30" t="s">
        <v>21</v>
      </c>
      <c r="J20130" s="41">
        <v>45406</v>
      </c>
      <c r="K20130" s="30" t="s">
        <v>22</v>
      </c>
    </row>
    <row r="20131" spans="1:11">
      <c r="A20131" s="33" t="s">
        <v>44745</v>
      </c>
      <c r="B20131" s="33" t="s">
        <v>44746</v>
      </c>
      <c r="C20131" s="33" t="s">
        <v>25378</v>
      </c>
      <c r="D20131" s="33" t="s">
        <v>17</v>
      </c>
      <c r="E20131" s="33" t="s">
        <v>26</v>
      </c>
      <c r="F20131" s="33" t="s">
        <v>27</v>
      </c>
      <c r="G20131" s="33" t="s">
        <v>20</v>
      </c>
      <c r="H20131" s="35">
        <v>16</v>
      </c>
      <c r="I20131" s="33" t="s">
        <v>21</v>
      </c>
      <c r="J20131" s="42">
        <v>45489</v>
      </c>
      <c r="K20131" s="33" t="s">
        <v>22</v>
      </c>
    </row>
    <row r="20132" spans="1:11">
      <c r="A20132" s="30" t="s">
        <v>44747</v>
      </c>
      <c r="B20132" s="30" t="s">
        <v>44748</v>
      </c>
      <c r="C20132" s="30" t="s">
        <v>6944</v>
      </c>
      <c r="D20132" s="30" t="s">
        <v>17</v>
      </c>
      <c r="E20132" s="30" t="s">
        <v>31</v>
      </c>
      <c r="F20132" s="30" t="s">
        <v>32</v>
      </c>
      <c r="G20132" s="30" t="s">
        <v>140</v>
      </c>
      <c r="H20132" s="32">
        <v>114</v>
      </c>
      <c r="I20132" s="30" t="s">
        <v>51</v>
      </c>
      <c r="J20132" s="41">
        <v>45458</v>
      </c>
      <c r="K20132" s="30" t="s">
        <v>22</v>
      </c>
    </row>
    <row r="20133" spans="1:11">
      <c r="A20133" s="33" t="s">
        <v>44749</v>
      </c>
      <c r="B20133" s="33" t="s">
        <v>44750</v>
      </c>
      <c r="C20133" s="33" t="s">
        <v>4306</v>
      </c>
      <c r="D20133" s="33" t="s">
        <v>17</v>
      </c>
      <c r="E20133" s="33" t="s">
        <v>67</v>
      </c>
      <c r="F20133" s="33" t="s">
        <v>68</v>
      </c>
      <c r="G20133" s="33" t="s">
        <v>158</v>
      </c>
      <c r="H20133" s="35">
        <v>24</v>
      </c>
      <c r="I20133" s="33" t="s">
        <v>51</v>
      </c>
      <c r="J20133" s="42">
        <v>45492</v>
      </c>
      <c r="K20133" s="33" t="s">
        <v>22</v>
      </c>
    </row>
    <row r="20134" spans="1:11">
      <c r="A20134" s="30" t="s">
        <v>44751</v>
      </c>
      <c r="B20134" s="30" t="s">
        <v>44752</v>
      </c>
      <c r="C20134" s="30" t="s">
        <v>44753</v>
      </c>
      <c r="D20134" s="30" t="s">
        <v>17</v>
      </c>
      <c r="E20134" s="30" t="s">
        <v>31</v>
      </c>
      <c r="F20134" s="30" t="s">
        <v>32</v>
      </c>
      <c r="G20134" s="30" t="s">
        <v>112</v>
      </c>
      <c r="H20134" s="32">
        <v>0</v>
      </c>
      <c r="I20134" s="30" t="s">
        <v>21</v>
      </c>
      <c r="J20134" s="41">
        <v>45292</v>
      </c>
      <c r="K20134" s="30" t="s">
        <v>22</v>
      </c>
    </row>
    <row r="20135" spans="1:11">
      <c r="A20135" s="33" t="s">
        <v>44754</v>
      </c>
      <c r="B20135" s="33" t="s">
        <v>44755</v>
      </c>
      <c r="C20135" s="33" t="s">
        <v>13036</v>
      </c>
      <c r="D20135" s="33" t="s">
        <v>17</v>
      </c>
      <c r="E20135" s="33" t="s">
        <v>31</v>
      </c>
      <c r="F20135" s="33" t="s">
        <v>32</v>
      </c>
      <c r="G20135" s="33" t="s">
        <v>140</v>
      </c>
      <c r="H20135" s="35">
        <v>60</v>
      </c>
      <c r="I20135" s="33" t="s">
        <v>51</v>
      </c>
      <c r="J20135" s="42">
        <v>45638</v>
      </c>
      <c r="K20135" s="33" t="s">
        <v>22</v>
      </c>
    </row>
    <row r="20136" spans="1:11">
      <c r="A20136" s="30" t="s">
        <v>44756</v>
      </c>
      <c r="B20136" s="30" t="s">
        <v>44757</v>
      </c>
      <c r="C20136" s="30" t="s">
        <v>1956</v>
      </c>
      <c r="D20136" s="30" t="s">
        <v>17</v>
      </c>
      <c r="E20136" s="30" t="s">
        <v>31</v>
      </c>
      <c r="F20136" s="30" t="s">
        <v>32</v>
      </c>
      <c r="G20136" s="30" t="s">
        <v>140</v>
      </c>
      <c r="H20136" s="32">
        <v>88</v>
      </c>
      <c r="I20136" s="30" t="s">
        <v>51</v>
      </c>
      <c r="J20136" s="41">
        <v>45624</v>
      </c>
      <c r="K20136" s="30" t="s">
        <v>22</v>
      </c>
    </row>
    <row r="20137" spans="1:11">
      <c r="A20137" s="33" t="s">
        <v>44758</v>
      </c>
      <c r="B20137" s="33" t="s">
        <v>44759</v>
      </c>
      <c r="C20137" s="33" t="s">
        <v>203</v>
      </c>
      <c r="D20137" s="33" t="s">
        <v>17</v>
      </c>
      <c r="E20137" s="33" t="s">
        <v>212</v>
      </c>
      <c r="F20137" s="33" t="s">
        <v>213</v>
      </c>
      <c r="G20137" s="33" t="s">
        <v>20</v>
      </c>
      <c r="H20137" s="35">
        <v>6</v>
      </c>
      <c r="I20137" s="33" t="s">
        <v>21</v>
      </c>
      <c r="J20137" s="42">
        <v>45630</v>
      </c>
      <c r="K20137" s="33" t="s">
        <v>22</v>
      </c>
    </row>
    <row r="20138" spans="1:11">
      <c r="A20138" s="30" t="s">
        <v>44760</v>
      </c>
      <c r="B20138" s="30" t="s">
        <v>44761</v>
      </c>
      <c r="C20138" s="30" t="s">
        <v>2490</v>
      </c>
      <c r="D20138" s="30" t="s">
        <v>17</v>
      </c>
      <c r="E20138" s="30" t="s">
        <v>31</v>
      </c>
      <c r="F20138" s="30" t="s">
        <v>32</v>
      </c>
      <c r="G20138" s="30" t="s">
        <v>158</v>
      </c>
      <c r="H20138" s="32">
        <v>90</v>
      </c>
      <c r="I20138" s="30" t="s">
        <v>51</v>
      </c>
      <c r="J20138" s="41">
        <v>45574</v>
      </c>
      <c r="K20138" s="30" t="s">
        <v>22</v>
      </c>
    </row>
    <row r="20139" spans="1:11">
      <c r="A20139" s="33" t="s">
        <v>44762</v>
      </c>
      <c r="B20139" s="33" t="s">
        <v>44763</v>
      </c>
      <c r="C20139" s="33" t="s">
        <v>1210</v>
      </c>
      <c r="D20139" s="33" t="s">
        <v>17</v>
      </c>
      <c r="E20139" s="33" t="s">
        <v>26</v>
      </c>
      <c r="F20139" s="33" t="s">
        <v>27</v>
      </c>
      <c r="G20139" s="33" t="s">
        <v>158</v>
      </c>
      <c r="H20139" s="35">
        <v>31</v>
      </c>
      <c r="I20139" s="33" t="s">
        <v>51</v>
      </c>
      <c r="J20139" s="42">
        <v>45419</v>
      </c>
      <c r="K20139" s="33" t="s">
        <v>22</v>
      </c>
    </row>
    <row r="20140" spans="1:11">
      <c r="A20140" s="30" t="s">
        <v>44764</v>
      </c>
      <c r="B20140" s="30" t="s">
        <v>44765</v>
      </c>
      <c r="C20140" s="30" t="s">
        <v>21312</v>
      </c>
      <c r="D20140" s="30" t="s">
        <v>17</v>
      </c>
      <c r="E20140" s="30" t="s">
        <v>31</v>
      </c>
      <c r="F20140" s="30" t="s">
        <v>32</v>
      </c>
      <c r="G20140" s="30" t="s">
        <v>50</v>
      </c>
      <c r="H20140" s="32">
        <v>30</v>
      </c>
      <c r="I20140" s="30" t="s">
        <v>51</v>
      </c>
      <c r="J20140" s="41">
        <v>45412</v>
      </c>
      <c r="K20140" s="30" t="s">
        <v>22</v>
      </c>
    </row>
    <row r="20141" spans="1:11">
      <c r="A20141" s="33" t="s">
        <v>44766</v>
      </c>
      <c r="B20141" s="33" t="s">
        <v>44767</v>
      </c>
      <c r="C20141" s="33" t="s">
        <v>13281</v>
      </c>
      <c r="D20141" s="33" t="s">
        <v>17</v>
      </c>
      <c r="E20141" s="33" t="s">
        <v>26</v>
      </c>
      <c r="F20141" s="33" t="s">
        <v>27</v>
      </c>
      <c r="G20141" s="33" t="s">
        <v>158</v>
      </c>
      <c r="H20141" s="35">
        <v>51</v>
      </c>
      <c r="I20141" s="33" t="s">
        <v>51</v>
      </c>
      <c r="J20141" s="42">
        <v>45385</v>
      </c>
      <c r="K20141" s="33" t="s">
        <v>22</v>
      </c>
    </row>
    <row r="20142" spans="1:11">
      <c r="A20142" s="30" t="s">
        <v>44768</v>
      </c>
      <c r="B20142" s="30" t="s">
        <v>44769</v>
      </c>
      <c r="C20142" s="30" t="s">
        <v>5040</v>
      </c>
      <c r="D20142" s="30" t="s">
        <v>17</v>
      </c>
      <c r="E20142" s="30" t="s">
        <v>18</v>
      </c>
      <c r="F20142" s="30" t="s">
        <v>19</v>
      </c>
      <c r="G20142" s="30" t="s">
        <v>20</v>
      </c>
      <c r="H20142" s="32">
        <v>642</v>
      </c>
      <c r="I20142" s="30" t="s">
        <v>21</v>
      </c>
      <c r="J20142" s="41">
        <v>45351</v>
      </c>
      <c r="K20142" s="30" t="s">
        <v>22</v>
      </c>
    </row>
    <row r="20143" spans="1:11">
      <c r="A20143" s="33" t="s">
        <v>44770</v>
      </c>
      <c r="B20143" s="33" t="s">
        <v>44771</v>
      </c>
      <c r="C20143" s="33" t="s">
        <v>136</v>
      </c>
      <c r="D20143" s="33" t="s">
        <v>17</v>
      </c>
      <c r="E20143" s="33" t="s">
        <v>31</v>
      </c>
      <c r="F20143" s="33" t="s">
        <v>32</v>
      </c>
      <c r="G20143" s="33" t="s">
        <v>20</v>
      </c>
      <c r="H20143" s="35">
        <v>263</v>
      </c>
      <c r="I20143" s="33" t="s">
        <v>21</v>
      </c>
      <c r="J20143" s="42">
        <v>45327</v>
      </c>
      <c r="K20143" s="33" t="s">
        <v>22</v>
      </c>
    </row>
    <row r="20144" spans="1:11">
      <c r="A20144" s="30" t="s">
        <v>44772</v>
      </c>
      <c r="B20144" s="30" t="s">
        <v>44773</v>
      </c>
      <c r="C20144" s="30" t="s">
        <v>10183</v>
      </c>
      <c r="D20144" s="30" t="s">
        <v>17</v>
      </c>
      <c r="E20144" s="30" t="s">
        <v>26</v>
      </c>
      <c r="F20144" s="30" t="s">
        <v>27</v>
      </c>
      <c r="G20144" s="30" t="s">
        <v>140</v>
      </c>
      <c r="H20144" s="32">
        <v>240</v>
      </c>
      <c r="I20144" s="30" t="s">
        <v>51</v>
      </c>
      <c r="J20144" s="41">
        <v>45590</v>
      </c>
      <c r="K20144" s="30" t="s">
        <v>22</v>
      </c>
    </row>
    <row r="20145" spans="1:11">
      <c r="A20145" s="33" t="s">
        <v>44774</v>
      </c>
      <c r="B20145" s="33" t="s">
        <v>44775</v>
      </c>
      <c r="C20145" s="33" t="s">
        <v>21232</v>
      </c>
      <c r="D20145" s="33" t="s">
        <v>17</v>
      </c>
      <c r="E20145" s="33" t="s">
        <v>18</v>
      </c>
      <c r="F20145" s="33" t="s">
        <v>19</v>
      </c>
      <c r="G20145" s="33" t="s">
        <v>20</v>
      </c>
      <c r="H20145" s="35">
        <v>422</v>
      </c>
      <c r="I20145" s="33" t="s">
        <v>21</v>
      </c>
      <c r="J20145" s="42">
        <v>45427</v>
      </c>
      <c r="K20145" s="33" t="s">
        <v>22</v>
      </c>
    </row>
    <row r="20146" spans="1:11">
      <c r="A20146" s="30" t="s">
        <v>44776</v>
      </c>
      <c r="B20146" s="30" t="s">
        <v>44777</v>
      </c>
      <c r="C20146" s="30" t="s">
        <v>3315</v>
      </c>
      <c r="D20146" s="30" t="s">
        <v>17</v>
      </c>
      <c r="E20146" s="30" t="s">
        <v>26</v>
      </c>
      <c r="F20146" s="30" t="s">
        <v>27</v>
      </c>
      <c r="G20146" s="30" t="s">
        <v>140</v>
      </c>
      <c r="H20146" s="32">
        <v>90</v>
      </c>
      <c r="I20146" s="30" t="s">
        <v>51</v>
      </c>
      <c r="J20146" s="41">
        <v>45456</v>
      </c>
      <c r="K20146" s="30" t="s">
        <v>22</v>
      </c>
    </row>
    <row r="20147" spans="1:11">
      <c r="A20147" s="33" t="s">
        <v>44778</v>
      </c>
      <c r="B20147" s="33" t="s">
        <v>44779</v>
      </c>
      <c r="C20147" s="33" t="s">
        <v>118</v>
      </c>
      <c r="D20147" s="33" t="s">
        <v>17</v>
      </c>
      <c r="E20147" s="33" t="s">
        <v>26</v>
      </c>
      <c r="F20147" s="33" t="s">
        <v>27</v>
      </c>
      <c r="G20147" s="33" t="s">
        <v>20</v>
      </c>
      <c r="H20147" s="35">
        <v>30</v>
      </c>
      <c r="I20147" s="33" t="s">
        <v>21</v>
      </c>
      <c r="J20147" s="42">
        <v>45392</v>
      </c>
      <c r="K20147" s="33" t="s">
        <v>22</v>
      </c>
    </row>
    <row r="20148" spans="1:11">
      <c r="A20148" s="30" t="s">
        <v>44780</v>
      </c>
      <c r="B20148" s="30" t="s">
        <v>44781</v>
      </c>
      <c r="C20148" s="30" t="s">
        <v>118</v>
      </c>
      <c r="D20148" s="30" t="s">
        <v>17</v>
      </c>
      <c r="E20148" s="30" t="s">
        <v>26</v>
      </c>
      <c r="F20148" s="30" t="s">
        <v>27</v>
      </c>
      <c r="G20148" s="30" t="s">
        <v>140</v>
      </c>
      <c r="H20148" s="32">
        <v>104</v>
      </c>
      <c r="I20148" s="30" t="s">
        <v>51</v>
      </c>
      <c r="J20148" s="41">
        <v>45604</v>
      </c>
      <c r="K20148" s="30" t="s">
        <v>22</v>
      </c>
    </row>
    <row r="20149" spans="1:11">
      <c r="A20149" s="33" t="s">
        <v>44782</v>
      </c>
      <c r="B20149" s="33" t="s">
        <v>44783</v>
      </c>
      <c r="C20149" s="33" t="s">
        <v>231</v>
      </c>
      <c r="D20149" s="33" t="s">
        <v>17</v>
      </c>
      <c r="E20149" s="33" t="s">
        <v>26</v>
      </c>
      <c r="F20149" s="33" t="s">
        <v>27</v>
      </c>
      <c r="G20149" s="33" t="s">
        <v>20</v>
      </c>
      <c r="H20149" s="35">
        <v>23</v>
      </c>
      <c r="I20149" s="33" t="s">
        <v>21</v>
      </c>
      <c r="J20149" s="42">
        <v>45412</v>
      </c>
      <c r="K20149" s="33" t="s">
        <v>22</v>
      </c>
    </row>
    <row r="20150" spans="1:11">
      <c r="A20150" s="30" t="s">
        <v>44784</v>
      </c>
      <c r="B20150" s="30" t="s">
        <v>44785</v>
      </c>
      <c r="C20150" s="30" t="s">
        <v>1801</v>
      </c>
      <c r="D20150" s="30" t="s">
        <v>17</v>
      </c>
      <c r="E20150" s="30" t="s">
        <v>26</v>
      </c>
      <c r="F20150" s="30" t="s">
        <v>27</v>
      </c>
      <c r="G20150" s="30" t="s">
        <v>106</v>
      </c>
      <c r="H20150" s="32">
        <v>13</v>
      </c>
      <c r="I20150" s="30" t="s">
        <v>21</v>
      </c>
      <c r="J20150" s="41">
        <v>45370</v>
      </c>
      <c r="K20150" s="30" t="s">
        <v>22</v>
      </c>
    </row>
    <row r="20151" spans="1:11">
      <c r="A20151" s="33" t="s">
        <v>44786</v>
      </c>
      <c r="B20151" s="33" t="s">
        <v>44787</v>
      </c>
      <c r="C20151" s="33" t="s">
        <v>1151</v>
      </c>
      <c r="D20151" s="33" t="s">
        <v>17</v>
      </c>
      <c r="E20151" s="33" t="s">
        <v>18</v>
      </c>
      <c r="F20151" s="33" t="s">
        <v>19</v>
      </c>
      <c r="G20151" s="33" t="s">
        <v>158</v>
      </c>
      <c r="H20151" s="35">
        <v>446</v>
      </c>
      <c r="I20151" s="33" t="s">
        <v>21</v>
      </c>
      <c r="J20151" s="42">
        <v>45495</v>
      </c>
      <c r="K20151" s="33" t="s">
        <v>22</v>
      </c>
    </row>
    <row r="20152" spans="1:11">
      <c r="A20152" s="30" t="s">
        <v>44788</v>
      </c>
      <c r="B20152" s="30" t="s">
        <v>44789</v>
      </c>
      <c r="C20152" s="30" t="s">
        <v>96</v>
      </c>
      <c r="D20152" s="30" t="s">
        <v>17</v>
      </c>
      <c r="E20152" s="30" t="s">
        <v>26</v>
      </c>
      <c r="F20152" s="30" t="s">
        <v>27</v>
      </c>
      <c r="G20152" s="30" t="s">
        <v>20</v>
      </c>
      <c r="H20152" s="32">
        <v>35</v>
      </c>
      <c r="I20152" s="30" t="s">
        <v>21</v>
      </c>
      <c r="J20152" s="41">
        <v>45476</v>
      </c>
      <c r="K20152" s="30" t="s">
        <v>22</v>
      </c>
    </row>
    <row r="20153" spans="1:11">
      <c r="A20153" s="33" t="s">
        <v>44790</v>
      </c>
      <c r="B20153" s="33" t="s">
        <v>44791</v>
      </c>
      <c r="C20153" s="33" t="s">
        <v>20064</v>
      </c>
      <c r="D20153" s="33" t="s">
        <v>17</v>
      </c>
      <c r="E20153" s="33" t="s">
        <v>330</v>
      </c>
      <c r="F20153" s="33" t="s">
        <v>331</v>
      </c>
      <c r="G20153" s="33" t="s">
        <v>140</v>
      </c>
      <c r="H20153" s="35">
        <v>12</v>
      </c>
      <c r="I20153" s="33" t="s">
        <v>51</v>
      </c>
      <c r="J20153" s="42">
        <v>45630</v>
      </c>
      <c r="K20153" s="33" t="s">
        <v>22</v>
      </c>
    </row>
    <row r="20154" spans="1:11">
      <c r="A20154" s="30" t="s">
        <v>44792</v>
      </c>
      <c r="B20154" s="30" t="s">
        <v>44793</v>
      </c>
      <c r="C20154" s="30" t="s">
        <v>44</v>
      </c>
      <c r="D20154" s="30" t="s">
        <v>17</v>
      </c>
      <c r="E20154" s="30" t="s">
        <v>67</v>
      </c>
      <c r="F20154" s="30" t="s">
        <v>68</v>
      </c>
      <c r="G20154" s="30" t="s">
        <v>140</v>
      </c>
      <c r="H20154" s="32">
        <v>130</v>
      </c>
      <c r="I20154" s="30" t="s">
        <v>51</v>
      </c>
      <c r="J20154" s="41">
        <v>45546</v>
      </c>
      <c r="K20154" s="30" t="s">
        <v>22</v>
      </c>
    </row>
    <row r="20155" spans="1:11">
      <c r="A20155" s="33" t="s">
        <v>44794</v>
      </c>
      <c r="B20155" s="33" t="s">
        <v>44795</v>
      </c>
      <c r="C20155" s="33" t="s">
        <v>1270</v>
      </c>
      <c r="D20155" s="33" t="s">
        <v>17</v>
      </c>
      <c r="E20155" s="33" t="s">
        <v>26</v>
      </c>
      <c r="F20155" s="33" t="s">
        <v>27</v>
      </c>
      <c r="G20155" s="33" t="s">
        <v>50</v>
      </c>
      <c r="H20155" s="35">
        <v>80</v>
      </c>
      <c r="I20155" s="33" t="s">
        <v>51</v>
      </c>
      <c r="J20155" s="42">
        <v>45352</v>
      </c>
      <c r="K20155" s="33" t="s">
        <v>22</v>
      </c>
    </row>
    <row r="20156" spans="1:11">
      <c r="A20156" s="30" t="s">
        <v>44796</v>
      </c>
      <c r="B20156" s="30" t="s">
        <v>44797</v>
      </c>
      <c r="C20156" s="30" t="s">
        <v>387</v>
      </c>
      <c r="D20156" s="30" t="s">
        <v>17</v>
      </c>
      <c r="E20156" s="30" t="s">
        <v>26</v>
      </c>
      <c r="F20156" s="30" t="s">
        <v>27</v>
      </c>
      <c r="G20156" s="30" t="s">
        <v>20</v>
      </c>
      <c r="H20156" s="32">
        <v>8</v>
      </c>
      <c r="I20156" s="30" t="s">
        <v>21</v>
      </c>
      <c r="J20156" s="41">
        <v>45392</v>
      </c>
      <c r="K20156" s="30" t="s">
        <v>22</v>
      </c>
    </row>
    <row r="20157" spans="1:11">
      <c r="A20157" s="33" t="s">
        <v>44798</v>
      </c>
      <c r="B20157" s="33" t="s">
        <v>44799</v>
      </c>
      <c r="C20157" s="33" t="s">
        <v>170</v>
      </c>
      <c r="D20157" s="33" t="s">
        <v>17</v>
      </c>
      <c r="E20157" s="33" t="s">
        <v>212</v>
      </c>
      <c r="F20157" s="33" t="s">
        <v>213</v>
      </c>
      <c r="G20157" s="33" t="s">
        <v>158</v>
      </c>
      <c r="H20157" s="35">
        <v>49</v>
      </c>
      <c r="I20157" s="33" t="s">
        <v>21</v>
      </c>
      <c r="J20157" s="42">
        <v>45579</v>
      </c>
      <c r="K20157" s="33" t="s">
        <v>22</v>
      </c>
    </row>
    <row r="20158" spans="1:11">
      <c r="A20158" s="30" t="s">
        <v>44800</v>
      </c>
      <c r="B20158" s="30" t="s">
        <v>44801</v>
      </c>
      <c r="C20158" s="30" t="s">
        <v>44802</v>
      </c>
      <c r="D20158" s="30" t="s">
        <v>17</v>
      </c>
      <c r="E20158" s="30" t="s">
        <v>67</v>
      </c>
      <c r="F20158" s="30" t="s">
        <v>68</v>
      </c>
      <c r="G20158" s="30" t="s">
        <v>20</v>
      </c>
      <c r="H20158" s="32">
        <v>50</v>
      </c>
      <c r="I20158" s="30" t="s">
        <v>21</v>
      </c>
      <c r="J20158" s="41">
        <v>45502</v>
      </c>
      <c r="K20158" s="30" t="s">
        <v>22</v>
      </c>
    </row>
    <row r="20159" spans="1:11">
      <c r="A20159" s="33" t="s">
        <v>44803</v>
      </c>
      <c r="B20159" s="33" t="s">
        <v>44804</v>
      </c>
      <c r="C20159" s="33" t="s">
        <v>28283</v>
      </c>
      <c r="D20159" s="33" t="s">
        <v>17</v>
      </c>
      <c r="E20159" s="33" t="s">
        <v>26</v>
      </c>
      <c r="F20159" s="33" t="s">
        <v>27</v>
      </c>
      <c r="G20159" s="33" t="s">
        <v>20</v>
      </c>
      <c r="H20159" s="35">
        <v>32</v>
      </c>
      <c r="I20159" s="33" t="s">
        <v>21</v>
      </c>
      <c r="J20159" s="42">
        <v>45302</v>
      </c>
      <c r="K20159" s="33" t="s">
        <v>22</v>
      </c>
    </row>
    <row r="20160" spans="1:11">
      <c r="A20160" s="30" t="s">
        <v>44805</v>
      </c>
      <c r="B20160" s="30" t="s">
        <v>44806</v>
      </c>
      <c r="C20160" s="30" t="s">
        <v>20773</v>
      </c>
      <c r="D20160" s="30" t="s">
        <v>17</v>
      </c>
      <c r="E20160" s="30" t="s">
        <v>18</v>
      </c>
      <c r="F20160" s="30" t="s">
        <v>19</v>
      </c>
      <c r="G20160" s="30" t="s">
        <v>7780</v>
      </c>
      <c r="H20160" s="32">
        <v>810</v>
      </c>
      <c r="I20160" s="30" t="s">
        <v>51</v>
      </c>
      <c r="J20160" s="41">
        <v>45656</v>
      </c>
      <c r="K20160" s="30" t="s">
        <v>22</v>
      </c>
    </row>
    <row r="20161" spans="1:11">
      <c r="A20161" s="33" t="s">
        <v>44807</v>
      </c>
      <c r="B20161" s="33" t="s">
        <v>44808</v>
      </c>
      <c r="C20161" s="33" t="s">
        <v>44809</v>
      </c>
      <c r="D20161" s="33" t="s">
        <v>17</v>
      </c>
      <c r="E20161" s="33" t="s">
        <v>26</v>
      </c>
      <c r="F20161" s="33" t="s">
        <v>27</v>
      </c>
      <c r="G20161" s="33" t="s">
        <v>106</v>
      </c>
      <c r="H20161" s="35">
        <v>49</v>
      </c>
      <c r="I20161" s="33" t="s">
        <v>21</v>
      </c>
      <c r="J20161" s="42">
        <v>45579</v>
      </c>
      <c r="K20161" s="33" t="s">
        <v>22</v>
      </c>
    </row>
    <row r="20162" spans="1:11">
      <c r="A20162" s="30" t="s">
        <v>44810</v>
      </c>
      <c r="B20162" s="30" t="s">
        <v>44811</v>
      </c>
      <c r="C20162" s="30" t="s">
        <v>30640</v>
      </c>
      <c r="D20162" s="30" t="s">
        <v>17</v>
      </c>
      <c r="E20162" s="30" t="s">
        <v>26</v>
      </c>
      <c r="F20162" s="30" t="s">
        <v>27</v>
      </c>
      <c r="G20162" s="30" t="s">
        <v>20</v>
      </c>
      <c r="H20162" s="32">
        <v>48</v>
      </c>
      <c r="I20162" s="30" t="s">
        <v>21</v>
      </c>
      <c r="J20162" s="41">
        <v>45618</v>
      </c>
      <c r="K20162" s="30" t="s">
        <v>22</v>
      </c>
    </row>
    <row r="20163" spans="1:11">
      <c r="A20163" s="33" t="s">
        <v>44812</v>
      </c>
      <c r="B20163" s="33" t="s">
        <v>44813</v>
      </c>
      <c r="C20163" s="33" t="s">
        <v>33886</v>
      </c>
      <c r="D20163" s="33" t="s">
        <v>17</v>
      </c>
      <c r="E20163" s="33" t="s">
        <v>26</v>
      </c>
      <c r="F20163" s="33" t="s">
        <v>27</v>
      </c>
      <c r="G20163" s="33" t="s">
        <v>20</v>
      </c>
      <c r="H20163" s="35">
        <v>40</v>
      </c>
      <c r="I20163" s="33" t="s">
        <v>21</v>
      </c>
      <c r="J20163" s="42">
        <v>45590</v>
      </c>
      <c r="K20163" s="33" t="s">
        <v>22</v>
      </c>
    </row>
    <row r="20164" spans="1:11">
      <c r="A20164" s="30" t="s">
        <v>44814</v>
      </c>
      <c r="B20164" s="30" t="s">
        <v>44815</v>
      </c>
      <c r="C20164" s="30" t="s">
        <v>37244</v>
      </c>
      <c r="D20164" s="30" t="s">
        <v>17</v>
      </c>
      <c r="E20164" s="30" t="s">
        <v>31</v>
      </c>
      <c r="F20164" s="30" t="s">
        <v>32</v>
      </c>
      <c r="G20164" s="30" t="s">
        <v>158</v>
      </c>
      <c r="H20164" s="32">
        <v>105</v>
      </c>
      <c r="I20164" s="30" t="s">
        <v>21</v>
      </c>
      <c r="J20164" s="41">
        <v>45639</v>
      </c>
      <c r="K20164" s="30" t="s">
        <v>22</v>
      </c>
    </row>
    <row r="20165" spans="1:11">
      <c r="A20165" s="33" t="s">
        <v>44816</v>
      </c>
      <c r="B20165" s="33" t="s">
        <v>44817</v>
      </c>
      <c r="C20165" s="33" t="s">
        <v>6610</v>
      </c>
      <c r="D20165" s="33" t="s">
        <v>17</v>
      </c>
      <c r="E20165" s="33" t="s">
        <v>26</v>
      </c>
      <c r="F20165" s="33" t="s">
        <v>27</v>
      </c>
      <c r="G20165" s="33" t="s">
        <v>158</v>
      </c>
      <c r="H20165" s="35">
        <v>6</v>
      </c>
      <c r="I20165" s="33" t="s">
        <v>51</v>
      </c>
      <c r="J20165" s="42">
        <v>45587</v>
      </c>
      <c r="K20165" s="33" t="s">
        <v>22</v>
      </c>
    </row>
    <row r="20166" spans="1:11">
      <c r="A20166" s="30" t="s">
        <v>44818</v>
      </c>
      <c r="B20166" s="30" t="s">
        <v>44819</v>
      </c>
      <c r="C20166" s="30" t="s">
        <v>44820</v>
      </c>
      <c r="D20166" s="30" t="s">
        <v>17</v>
      </c>
      <c r="E20166" s="30" t="s">
        <v>67</v>
      </c>
      <c r="F20166" s="30" t="s">
        <v>68</v>
      </c>
      <c r="G20166" s="30" t="s">
        <v>7780</v>
      </c>
      <c r="H20166" s="32">
        <v>39</v>
      </c>
      <c r="I20166" s="30" t="s">
        <v>51</v>
      </c>
      <c r="J20166" s="41">
        <v>45352</v>
      </c>
      <c r="K20166" s="30" t="s">
        <v>22</v>
      </c>
    </row>
    <row r="20167" spans="1:11">
      <c r="A20167" s="33" t="s">
        <v>44821</v>
      </c>
      <c r="B20167" s="33" t="s">
        <v>44822</v>
      </c>
      <c r="C20167" s="33" t="s">
        <v>969</v>
      </c>
      <c r="D20167" s="33" t="s">
        <v>17</v>
      </c>
      <c r="E20167" s="33" t="s">
        <v>18</v>
      </c>
      <c r="F20167" s="33" t="s">
        <v>19</v>
      </c>
      <c r="G20167" s="33" t="s">
        <v>140</v>
      </c>
      <c r="H20167" s="35">
        <v>750</v>
      </c>
      <c r="I20167" s="33" t="s">
        <v>51</v>
      </c>
      <c r="J20167" s="42">
        <v>45622</v>
      </c>
      <c r="K20167" s="33" t="s">
        <v>22</v>
      </c>
    </row>
    <row r="20168" spans="1:11">
      <c r="A20168" s="30" t="s">
        <v>44823</v>
      </c>
      <c r="B20168" s="30" t="s">
        <v>44824</v>
      </c>
      <c r="C20168" s="30" t="s">
        <v>44825</v>
      </c>
      <c r="D20168" s="30" t="s">
        <v>17</v>
      </c>
      <c r="E20168" s="30" t="s">
        <v>212</v>
      </c>
      <c r="F20168" s="30" t="s">
        <v>213</v>
      </c>
      <c r="G20168" s="30" t="s">
        <v>140</v>
      </c>
      <c r="H20168" s="32">
        <v>340</v>
      </c>
      <c r="I20168" s="30" t="s">
        <v>51</v>
      </c>
      <c r="J20168" s="41">
        <v>45632</v>
      </c>
      <c r="K20168" s="30" t="s">
        <v>22</v>
      </c>
    </row>
    <row r="20169" spans="1:11">
      <c r="A20169" s="33" t="s">
        <v>44826</v>
      </c>
      <c r="B20169" s="33" t="s">
        <v>44827</v>
      </c>
      <c r="C20169" s="33" t="s">
        <v>6248</v>
      </c>
      <c r="D20169" s="33" t="s">
        <v>17</v>
      </c>
      <c r="E20169" s="33" t="s">
        <v>18</v>
      </c>
      <c r="F20169" s="33" t="s">
        <v>19</v>
      </c>
      <c r="G20169" s="33" t="s">
        <v>140</v>
      </c>
      <c r="H20169" s="35">
        <v>1800</v>
      </c>
      <c r="I20169" s="33" t="s">
        <v>51</v>
      </c>
      <c r="J20169" s="42">
        <v>45645</v>
      </c>
      <c r="K20169" s="33" t="s">
        <v>22</v>
      </c>
    </row>
    <row r="20170" spans="1:11">
      <c r="A20170" s="30" t="s">
        <v>44828</v>
      </c>
      <c r="B20170" s="30" t="s">
        <v>44829</v>
      </c>
      <c r="C20170" s="30" t="s">
        <v>11363</v>
      </c>
      <c r="D20170" s="30" t="s">
        <v>17</v>
      </c>
      <c r="E20170" s="30" t="s">
        <v>31</v>
      </c>
      <c r="F20170" s="30" t="s">
        <v>32</v>
      </c>
      <c r="G20170" s="30" t="s">
        <v>158</v>
      </c>
      <c r="H20170" s="32">
        <v>70</v>
      </c>
      <c r="I20170" s="30" t="s">
        <v>51</v>
      </c>
      <c r="J20170" s="41">
        <v>45328</v>
      </c>
      <c r="K20170" s="30" t="s">
        <v>22</v>
      </c>
    </row>
    <row r="20171" spans="1:11">
      <c r="A20171" s="33" t="s">
        <v>44830</v>
      </c>
      <c r="B20171" s="33" t="s">
        <v>44831</v>
      </c>
      <c r="C20171" s="33" t="s">
        <v>787</v>
      </c>
      <c r="D20171" s="33" t="s">
        <v>17</v>
      </c>
      <c r="E20171" s="33" t="s">
        <v>18</v>
      </c>
      <c r="F20171" s="33" t="s">
        <v>19</v>
      </c>
      <c r="G20171" s="33" t="s">
        <v>140</v>
      </c>
      <c r="H20171" s="35">
        <v>552</v>
      </c>
      <c r="I20171" s="33" t="s">
        <v>51</v>
      </c>
      <c r="J20171" s="42">
        <v>45610</v>
      </c>
      <c r="K20171" s="33" t="s">
        <v>22</v>
      </c>
    </row>
    <row r="20172" spans="1:11">
      <c r="A20172" s="30" t="s">
        <v>44832</v>
      </c>
      <c r="B20172" s="30" t="s">
        <v>44833</v>
      </c>
      <c r="C20172" s="30" t="s">
        <v>426</v>
      </c>
      <c r="D20172" s="30" t="s">
        <v>17</v>
      </c>
      <c r="E20172" s="30" t="s">
        <v>26</v>
      </c>
      <c r="F20172" s="30" t="s">
        <v>27</v>
      </c>
      <c r="G20172" s="30" t="s">
        <v>140</v>
      </c>
      <c r="H20172" s="32">
        <v>50</v>
      </c>
      <c r="I20172" s="30" t="s">
        <v>51</v>
      </c>
      <c r="J20172" s="41">
        <v>45643</v>
      </c>
      <c r="K20172" s="30" t="s">
        <v>22</v>
      </c>
    </row>
    <row r="20173" spans="1:11">
      <c r="A20173" s="33" t="s">
        <v>44834</v>
      </c>
      <c r="B20173" s="33" t="s">
        <v>44835</v>
      </c>
      <c r="C20173" s="33" t="s">
        <v>1077</v>
      </c>
      <c r="D20173" s="33" t="s">
        <v>17</v>
      </c>
      <c r="E20173" s="33" t="s">
        <v>18</v>
      </c>
      <c r="F20173" s="33" t="s">
        <v>19</v>
      </c>
      <c r="G20173" s="33" t="s">
        <v>158</v>
      </c>
      <c r="H20173" s="35">
        <v>392</v>
      </c>
      <c r="I20173" s="33" t="s">
        <v>51</v>
      </c>
      <c r="J20173" s="42">
        <v>45461</v>
      </c>
      <c r="K20173" s="33" t="s">
        <v>22</v>
      </c>
    </row>
    <row r="20174" spans="1:11">
      <c r="A20174" s="30" t="s">
        <v>44836</v>
      </c>
      <c r="B20174" s="30" t="s">
        <v>44837</v>
      </c>
      <c r="C20174" s="30" t="s">
        <v>102</v>
      </c>
      <c r="D20174" s="30" t="s">
        <v>17</v>
      </c>
      <c r="E20174" s="30" t="s">
        <v>31</v>
      </c>
      <c r="F20174" s="30" t="s">
        <v>32</v>
      </c>
      <c r="G20174" s="30" t="s">
        <v>140</v>
      </c>
      <c r="H20174" s="32">
        <v>320</v>
      </c>
      <c r="I20174" s="30" t="s">
        <v>51</v>
      </c>
      <c r="J20174" s="41">
        <v>45442</v>
      </c>
      <c r="K20174" s="30" t="s">
        <v>22</v>
      </c>
    </row>
    <row r="20175" spans="1:11">
      <c r="A20175" s="33" t="s">
        <v>44838</v>
      </c>
      <c r="B20175" s="33" t="s">
        <v>44839</v>
      </c>
      <c r="C20175" s="33" t="s">
        <v>42561</v>
      </c>
      <c r="D20175" s="33" t="s">
        <v>17</v>
      </c>
      <c r="E20175" s="33" t="s">
        <v>18</v>
      </c>
      <c r="F20175" s="33" t="s">
        <v>19</v>
      </c>
      <c r="G20175" s="33" t="s">
        <v>158</v>
      </c>
      <c r="H20175" s="35">
        <v>630</v>
      </c>
      <c r="I20175" s="33" t="s">
        <v>51</v>
      </c>
      <c r="J20175" s="42">
        <v>45656</v>
      </c>
      <c r="K20175" s="33" t="s">
        <v>22</v>
      </c>
    </row>
    <row r="20176" spans="1:11">
      <c r="A20176" s="30" t="s">
        <v>44840</v>
      </c>
      <c r="B20176" s="30" t="s">
        <v>44841</v>
      </c>
      <c r="C20176" s="30" t="s">
        <v>5845</v>
      </c>
      <c r="D20176" s="30" t="s">
        <v>17</v>
      </c>
      <c r="E20176" s="30" t="s">
        <v>26</v>
      </c>
      <c r="F20176" s="30" t="s">
        <v>27</v>
      </c>
      <c r="G20176" s="30" t="s">
        <v>20</v>
      </c>
      <c r="H20176" s="32">
        <v>8</v>
      </c>
      <c r="I20176" s="30" t="s">
        <v>21</v>
      </c>
      <c r="J20176" s="41">
        <v>45441</v>
      </c>
      <c r="K20176" s="30" t="s">
        <v>22</v>
      </c>
    </row>
    <row r="20177" spans="1:11">
      <c r="A20177" s="33" t="s">
        <v>44842</v>
      </c>
      <c r="B20177" s="33" t="s">
        <v>44843</v>
      </c>
      <c r="C20177" s="33" t="s">
        <v>21691</v>
      </c>
      <c r="D20177" s="33" t="s">
        <v>17</v>
      </c>
      <c r="E20177" s="33" t="s">
        <v>26</v>
      </c>
      <c r="F20177" s="33" t="s">
        <v>27</v>
      </c>
      <c r="G20177" s="33" t="s">
        <v>20</v>
      </c>
      <c r="H20177" s="35">
        <v>40</v>
      </c>
      <c r="I20177" s="33" t="s">
        <v>21</v>
      </c>
      <c r="J20177" s="42">
        <v>45456</v>
      </c>
      <c r="K20177" s="33" t="s">
        <v>22</v>
      </c>
    </row>
    <row r="20178" spans="1:11">
      <c r="A20178" s="30" t="s">
        <v>44844</v>
      </c>
      <c r="B20178" s="30" t="s">
        <v>44845</v>
      </c>
      <c r="C20178" s="30" t="s">
        <v>326</v>
      </c>
      <c r="D20178" s="30" t="s">
        <v>17</v>
      </c>
      <c r="E20178" s="30" t="s">
        <v>31</v>
      </c>
      <c r="F20178" s="30" t="s">
        <v>32</v>
      </c>
      <c r="G20178" s="30" t="s">
        <v>140</v>
      </c>
      <c r="H20178" s="32">
        <v>20</v>
      </c>
      <c r="I20178" s="30" t="s">
        <v>51</v>
      </c>
      <c r="J20178" s="41">
        <v>45602</v>
      </c>
      <c r="K20178" s="30" t="s">
        <v>22</v>
      </c>
    </row>
    <row r="20179" spans="1:11">
      <c r="A20179" s="33" t="s">
        <v>44846</v>
      </c>
      <c r="B20179" s="33" t="s">
        <v>44847</v>
      </c>
      <c r="C20179" s="33" t="s">
        <v>969</v>
      </c>
      <c r="D20179" s="33" t="s">
        <v>17</v>
      </c>
      <c r="E20179" s="33" t="s">
        <v>31</v>
      </c>
      <c r="F20179" s="33" t="s">
        <v>32</v>
      </c>
      <c r="G20179" s="33" t="s">
        <v>20</v>
      </c>
      <c r="H20179" s="35">
        <v>61</v>
      </c>
      <c r="I20179" s="33" t="s">
        <v>21</v>
      </c>
      <c r="J20179" s="42">
        <v>45313</v>
      </c>
      <c r="K20179" s="33" t="s">
        <v>22</v>
      </c>
    </row>
    <row r="20180" spans="1:11">
      <c r="A20180" s="30" t="s">
        <v>44848</v>
      </c>
      <c r="B20180" s="30" t="s">
        <v>44849</v>
      </c>
      <c r="C20180" s="30" t="s">
        <v>7449</v>
      </c>
      <c r="D20180" s="30" t="s">
        <v>17</v>
      </c>
      <c r="E20180" s="30" t="s">
        <v>31</v>
      </c>
      <c r="F20180" s="30" t="s">
        <v>32</v>
      </c>
      <c r="G20180" s="30" t="s">
        <v>158</v>
      </c>
      <c r="H20180" s="32">
        <v>25</v>
      </c>
      <c r="I20180" s="30" t="s">
        <v>21</v>
      </c>
      <c r="J20180" s="41">
        <v>45369</v>
      </c>
      <c r="K20180" s="30" t="s">
        <v>22</v>
      </c>
    </row>
    <row r="20181" spans="1:11">
      <c r="A20181" s="33" t="s">
        <v>44850</v>
      </c>
      <c r="B20181" s="33" t="s">
        <v>44851</v>
      </c>
      <c r="C20181" s="33" t="s">
        <v>231</v>
      </c>
      <c r="D20181" s="33" t="s">
        <v>17</v>
      </c>
      <c r="E20181" s="33" t="s">
        <v>26</v>
      </c>
      <c r="F20181" s="33" t="s">
        <v>27</v>
      </c>
      <c r="G20181" s="33" t="s">
        <v>20</v>
      </c>
      <c r="H20181" s="35">
        <v>24</v>
      </c>
      <c r="I20181" s="33" t="s">
        <v>21</v>
      </c>
      <c r="J20181" s="42">
        <v>45595</v>
      </c>
      <c r="K20181" s="33" t="s">
        <v>22</v>
      </c>
    </row>
    <row r="20182" spans="1:11">
      <c r="A20182" s="30" t="s">
        <v>44852</v>
      </c>
      <c r="B20182" s="30" t="s">
        <v>44853</v>
      </c>
      <c r="C20182" s="30" t="s">
        <v>23241</v>
      </c>
      <c r="D20182" s="30" t="s">
        <v>17</v>
      </c>
      <c r="E20182" s="30" t="s">
        <v>18</v>
      </c>
      <c r="F20182" s="30" t="s">
        <v>19</v>
      </c>
      <c r="G20182" s="30" t="s">
        <v>50</v>
      </c>
      <c r="H20182" s="32">
        <v>1004</v>
      </c>
      <c r="I20182" s="30" t="s">
        <v>51</v>
      </c>
      <c r="J20182" s="41">
        <v>45292</v>
      </c>
      <c r="K20182" s="30" t="s">
        <v>22</v>
      </c>
    </row>
    <row r="20183" spans="1:11">
      <c r="A20183" s="33" t="s">
        <v>44854</v>
      </c>
      <c r="B20183" s="33" t="s">
        <v>44855</v>
      </c>
      <c r="C20183" s="33" t="s">
        <v>25186</v>
      </c>
      <c r="D20183" s="33" t="s">
        <v>17</v>
      </c>
      <c r="E20183" s="33" t="s">
        <v>26</v>
      </c>
      <c r="F20183" s="33" t="s">
        <v>27</v>
      </c>
      <c r="G20183" s="33" t="s">
        <v>20</v>
      </c>
      <c r="H20183" s="35">
        <v>65</v>
      </c>
      <c r="I20183" s="33" t="s">
        <v>21</v>
      </c>
      <c r="J20183" s="42">
        <v>45370</v>
      </c>
      <c r="K20183" s="33" t="s">
        <v>22</v>
      </c>
    </row>
    <row r="20184" spans="1:11">
      <c r="A20184" s="30" t="s">
        <v>44856</v>
      </c>
      <c r="B20184" s="30" t="s">
        <v>44857</v>
      </c>
      <c r="C20184" s="30" t="s">
        <v>118</v>
      </c>
      <c r="D20184" s="30" t="s">
        <v>17</v>
      </c>
      <c r="E20184" s="30" t="s">
        <v>212</v>
      </c>
      <c r="F20184" s="30" t="s">
        <v>213</v>
      </c>
      <c r="G20184" s="30" t="s">
        <v>20</v>
      </c>
      <c r="H20184" s="32">
        <v>51</v>
      </c>
      <c r="I20184" s="30" t="s">
        <v>21</v>
      </c>
      <c r="J20184" s="41">
        <v>45537</v>
      </c>
      <c r="K20184" s="30" t="s">
        <v>22</v>
      </c>
    </row>
    <row r="20185" spans="1:11">
      <c r="A20185" s="33" t="s">
        <v>44858</v>
      </c>
      <c r="B20185" s="33" t="s">
        <v>44859</v>
      </c>
      <c r="C20185" s="33" t="s">
        <v>96</v>
      </c>
      <c r="D20185" s="33" t="s">
        <v>17</v>
      </c>
      <c r="E20185" s="33" t="s">
        <v>26</v>
      </c>
      <c r="F20185" s="33" t="s">
        <v>27</v>
      </c>
      <c r="G20185" s="33" t="s">
        <v>20</v>
      </c>
      <c r="H20185" s="35">
        <v>25</v>
      </c>
      <c r="I20185" s="33" t="s">
        <v>21</v>
      </c>
      <c r="J20185" s="42">
        <v>45629</v>
      </c>
      <c r="K20185" s="33" t="s">
        <v>22</v>
      </c>
    </row>
    <row r="20186" spans="1:11">
      <c r="A20186" s="30" t="s">
        <v>44860</v>
      </c>
      <c r="B20186" s="30" t="s">
        <v>44861</v>
      </c>
      <c r="C20186" s="30" t="s">
        <v>429</v>
      </c>
      <c r="D20186" s="30" t="s">
        <v>17</v>
      </c>
      <c r="E20186" s="30" t="s">
        <v>18</v>
      </c>
      <c r="F20186" s="30" t="s">
        <v>19</v>
      </c>
      <c r="G20186" s="30" t="s">
        <v>140</v>
      </c>
      <c r="H20186" s="32">
        <v>264</v>
      </c>
      <c r="I20186" s="30" t="s">
        <v>51</v>
      </c>
      <c r="J20186" s="41">
        <v>45468</v>
      </c>
      <c r="K20186" s="30" t="s">
        <v>22</v>
      </c>
    </row>
    <row r="20187" spans="1:11">
      <c r="A20187" s="33" t="s">
        <v>44862</v>
      </c>
      <c r="B20187" s="33" t="s">
        <v>44863</v>
      </c>
      <c r="C20187" s="33" t="s">
        <v>187</v>
      </c>
      <c r="D20187" s="33" t="s">
        <v>17</v>
      </c>
      <c r="E20187" s="33" t="s">
        <v>26</v>
      </c>
      <c r="F20187" s="33" t="s">
        <v>27</v>
      </c>
      <c r="G20187" s="33" t="s">
        <v>50</v>
      </c>
      <c r="H20187" s="35">
        <v>186</v>
      </c>
      <c r="I20187" s="33" t="s">
        <v>21</v>
      </c>
      <c r="J20187" s="42">
        <v>45453</v>
      </c>
      <c r="K20187" s="33" t="s">
        <v>22</v>
      </c>
    </row>
    <row r="20188" spans="1:11">
      <c r="A20188" s="30" t="s">
        <v>44864</v>
      </c>
      <c r="B20188" s="30" t="s">
        <v>44865</v>
      </c>
      <c r="C20188" s="30" t="s">
        <v>2739</v>
      </c>
      <c r="D20188" s="30" t="s">
        <v>17</v>
      </c>
      <c r="E20188" s="30" t="s">
        <v>26</v>
      </c>
      <c r="F20188" s="30" t="s">
        <v>27</v>
      </c>
      <c r="G20188" s="30" t="s">
        <v>20</v>
      </c>
      <c r="H20188" s="32">
        <v>24</v>
      </c>
      <c r="I20188" s="30" t="s">
        <v>21</v>
      </c>
      <c r="J20188" s="41">
        <v>45617</v>
      </c>
      <c r="K20188" s="30" t="s">
        <v>22</v>
      </c>
    </row>
    <row r="20189" spans="1:11">
      <c r="A20189" s="33" t="s">
        <v>44866</v>
      </c>
      <c r="B20189" s="33" t="s">
        <v>44867</v>
      </c>
      <c r="C20189" s="33" t="s">
        <v>44868</v>
      </c>
      <c r="D20189" s="33" t="s">
        <v>17</v>
      </c>
      <c r="E20189" s="33" t="s">
        <v>67</v>
      </c>
      <c r="F20189" s="33" t="s">
        <v>68</v>
      </c>
      <c r="G20189" s="33" t="s">
        <v>140</v>
      </c>
      <c r="H20189" s="35">
        <v>44</v>
      </c>
      <c r="I20189" s="33" t="s">
        <v>51</v>
      </c>
      <c r="J20189" s="42">
        <v>45559</v>
      </c>
      <c r="K20189" s="33" t="s">
        <v>22</v>
      </c>
    </row>
    <row r="20190" spans="1:11">
      <c r="A20190" s="30" t="s">
        <v>44869</v>
      </c>
      <c r="B20190" s="30" t="s">
        <v>44870</v>
      </c>
      <c r="C20190" s="30" t="s">
        <v>429</v>
      </c>
      <c r="D20190" s="30" t="s">
        <v>17</v>
      </c>
      <c r="E20190" s="30" t="s">
        <v>26</v>
      </c>
      <c r="F20190" s="30" t="s">
        <v>27</v>
      </c>
      <c r="G20190" s="30" t="s">
        <v>20</v>
      </c>
      <c r="H20190" s="32">
        <v>12</v>
      </c>
      <c r="I20190" s="30" t="s">
        <v>21</v>
      </c>
      <c r="J20190" s="41">
        <v>45376</v>
      </c>
      <c r="K20190" s="30" t="s">
        <v>22</v>
      </c>
    </row>
    <row r="20191" spans="1:11">
      <c r="A20191" s="33" t="s">
        <v>44871</v>
      </c>
      <c r="B20191" s="33" t="s">
        <v>44872</v>
      </c>
      <c r="C20191" s="33" t="s">
        <v>44873</v>
      </c>
      <c r="D20191" s="33" t="s">
        <v>17</v>
      </c>
      <c r="E20191" s="33" t="s">
        <v>26</v>
      </c>
      <c r="F20191" s="33" t="s">
        <v>27</v>
      </c>
      <c r="G20191" s="33" t="s">
        <v>7780</v>
      </c>
      <c r="H20191" s="35">
        <v>46</v>
      </c>
      <c r="I20191" s="33" t="s">
        <v>51</v>
      </c>
      <c r="J20191" s="42">
        <v>45474</v>
      </c>
      <c r="K20191" s="33" t="s">
        <v>22</v>
      </c>
    </row>
    <row r="20192" spans="1:11">
      <c r="A20192" s="30" t="s">
        <v>44874</v>
      </c>
      <c r="B20192" s="30" t="s">
        <v>44875</v>
      </c>
      <c r="C20192" s="30" t="s">
        <v>136</v>
      </c>
      <c r="D20192" s="30" t="s">
        <v>17</v>
      </c>
      <c r="E20192" s="30" t="s">
        <v>26</v>
      </c>
      <c r="F20192" s="30" t="s">
        <v>27</v>
      </c>
      <c r="G20192" s="30" t="s">
        <v>20</v>
      </c>
      <c r="H20192" s="32">
        <v>128</v>
      </c>
      <c r="I20192" s="30" t="s">
        <v>21</v>
      </c>
      <c r="J20192" s="41">
        <v>45397</v>
      </c>
      <c r="K20192" s="30" t="s">
        <v>22</v>
      </c>
    </row>
    <row r="20193" spans="1:11">
      <c r="A20193" s="33" t="s">
        <v>44876</v>
      </c>
      <c r="B20193" s="33" t="s">
        <v>44877</v>
      </c>
      <c r="C20193" s="33" t="s">
        <v>13241</v>
      </c>
      <c r="D20193" s="33" t="s">
        <v>17</v>
      </c>
      <c r="E20193" s="33" t="s">
        <v>26</v>
      </c>
      <c r="F20193" s="33" t="s">
        <v>27</v>
      </c>
      <c r="G20193" s="33" t="s">
        <v>140</v>
      </c>
      <c r="H20193" s="35">
        <v>924</v>
      </c>
      <c r="I20193" s="33" t="s">
        <v>51</v>
      </c>
      <c r="J20193" s="42">
        <v>45441</v>
      </c>
      <c r="K20193" s="33" t="s">
        <v>22</v>
      </c>
    </row>
    <row r="20194" spans="1:11">
      <c r="A20194" s="30" t="s">
        <v>44878</v>
      </c>
      <c r="B20194" s="30" t="s">
        <v>44879</v>
      </c>
      <c r="C20194" s="30" t="s">
        <v>14483</v>
      </c>
      <c r="D20194" s="30" t="s">
        <v>17</v>
      </c>
      <c r="E20194" s="30" t="s">
        <v>26</v>
      </c>
      <c r="F20194" s="30" t="s">
        <v>27</v>
      </c>
      <c r="G20194" s="30" t="s">
        <v>20</v>
      </c>
      <c r="H20194" s="32">
        <v>110</v>
      </c>
      <c r="I20194" s="30" t="s">
        <v>21</v>
      </c>
      <c r="J20194" s="41">
        <v>45294</v>
      </c>
      <c r="K20194" s="30" t="s">
        <v>22</v>
      </c>
    </row>
    <row r="20195" spans="1:11">
      <c r="A20195" s="33" t="s">
        <v>44880</v>
      </c>
      <c r="B20195" s="33" t="s">
        <v>44881</v>
      </c>
      <c r="C20195" s="33" t="s">
        <v>647</v>
      </c>
      <c r="D20195" s="33" t="s">
        <v>17</v>
      </c>
      <c r="E20195" s="33" t="s">
        <v>18</v>
      </c>
      <c r="F20195" s="33" t="s">
        <v>19</v>
      </c>
      <c r="G20195" s="33" t="s">
        <v>140</v>
      </c>
      <c r="H20195" s="35">
        <v>3082</v>
      </c>
      <c r="I20195" s="33" t="s">
        <v>51</v>
      </c>
      <c r="J20195" s="42">
        <v>45628</v>
      </c>
      <c r="K20195" s="33" t="s">
        <v>22</v>
      </c>
    </row>
    <row r="20196" spans="1:11">
      <c r="A20196" s="30" t="s">
        <v>44882</v>
      </c>
      <c r="B20196" s="30" t="s">
        <v>44883</v>
      </c>
      <c r="C20196" s="30" t="s">
        <v>37584</v>
      </c>
      <c r="D20196" s="30" t="s">
        <v>17</v>
      </c>
      <c r="E20196" s="30" t="s">
        <v>330</v>
      </c>
      <c r="F20196" s="30" t="s">
        <v>331</v>
      </c>
      <c r="G20196" s="30" t="s">
        <v>20</v>
      </c>
      <c r="H20196" s="32">
        <v>20</v>
      </c>
      <c r="I20196" s="30" t="s">
        <v>21</v>
      </c>
      <c r="J20196" s="41">
        <v>45572</v>
      </c>
      <c r="K20196" s="30" t="s">
        <v>22</v>
      </c>
    </row>
    <row r="20197" spans="1:11">
      <c r="A20197" s="33" t="s">
        <v>44884</v>
      </c>
      <c r="B20197" s="33" t="s">
        <v>44885</v>
      </c>
      <c r="C20197" s="33" t="s">
        <v>2927</v>
      </c>
      <c r="D20197" s="33" t="s">
        <v>17</v>
      </c>
      <c r="E20197" s="33" t="s">
        <v>26</v>
      </c>
      <c r="F20197" s="33" t="s">
        <v>27</v>
      </c>
      <c r="G20197" s="33" t="s">
        <v>140</v>
      </c>
      <c r="H20197" s="35">
        <v>78</v>
      </c>
      <c r="I20197" s="33" t="s">
        <v>51</v>
      </c>
      <c r="J20197" s="42">
        <v>45561</v>
      </c>
      <c r="K20197" s="33" t="s">
        <v>22</v>
      </c>
    </row>
    <row r="20198" spans="1:11">
      <c r="A20198" s="30" t="s">
        <v>44886</v>
      </c>
      <c r="B20198" s="30" t="s">
        <v>44887</v>
      </c>
      <c r="C20198" s="30" t="s">
        <v>17825</v>
      </c>
      <c r="D20198" s="30" t="s">
        <v>17</v>
      </c>
      <c r="E20198" s="30" t="s">
        <v>31</v>
      </c>
      <c r="F20198" s="30" t="s">
        <v>32</v>
      </c>
      <c r="G20198" s="30" t="s">
        <v>140</v>
      </c>
      <c r="H20198" s="32">
        <v>73</v>
      </c>
      <c r="I20198" s="30" t="s">
        <v>51</v>
      </c>
      <c r="J20198" s="41">
        <v>45536</v>
      </c>
      <c r="K20198" s="30" t="s">
        <v>22</v>
      </c>
    </row>
    <row r="20199" spans="1:11">
      <c r="A20199" s="33" t="s">
        <v>44888</v>
      </c>
      <c r="B20199" s="33" t="s">
        <v>44889</v>
      </c>
      <c r="C20199" s="33" t="s">
        <v>190</v>
      </c>
      <c r="D20199" s="33" t="s">
        <v>17</v>
      </c>
      <c r="E20199" s="33" t="s">
        <v>67</v>
      </c>
      <c r="F20199" s="33" t="s">
        <v>68</v>
      </c>
      <c r="G20199" s="33" t="s">
        <v>140</v>
      </c>
      <c r="H20199" s="35">
        <v>231</v>
      </c>
      <c r="I20199" s="33" t="s">
        <v>51</v>
      </c>
      <c r="J20199" s="42">
        <v>45656</v>
      </c>
      <c r="K20199" s="33" t="s">
        <v>22</v>
      </c>
    </row>
    <row r="20200" spans="1:11">
      <c r="A20200" s="30" t="s">
        <v>44890</v>
      </c>
      <c r="B20200" s="30" t="s">
        <v>44891</v>
      </c>
      <c r="C20200" s="30" t="s">
        <v>39828</v>
      </c>
      <c r="D20200" s="30" t="s">
        <v>17</v>
      </c>
      <c r="E20200" s="30" t="s">
        <v>26</v>
      </c>
      <c r="F20200" s="30" t="s">
        <v>27</v>
      </c>
      <c r="G20200" s="30" t="s">
        <v>140</v>
      </c>
      <c r="H20200" s="32">
        <v>76</v>
      </c>
      <c r="I20200" s="30" t="s">
        <v>51</v>
      </c>
      <c r="J20200" s="41">
        <v>45349</v>
      </c>
      <c r="K20200" s="30" t="s">
        <v>22</v>
      </c>
    </row>
    <row r="20201" spans="1:11">
      <c r="A20201" s="33" t="s">
        <v>44892</v>
      </c>
      <c r="B20201" s="33" t="s">
        <v>44893</v>
      </c>
      <c r="C20201" s="33" t="s">
        <v>44894</v>
      </c>
      <c r="D20201" s="33" t="s">
        <v>17</v>
      </c>
      <c r="E20201" s="33" t="s">
        <v>26</v>
      </c>
      <c r="F20201" s="33" t="s">
        <v>27</v>
      </c>
      <c r="G20201" s="33" t="s">
        <v>7780</v>
      </c>
      <c r="H20201" s="35">
        <v>7</v>
      </c>
      <c r="I20201" s="33" t="s">
        <v>51</v>
      </c>
      <c r="J20201" s="42">
        <v>45536</v>
      </c>
      <c r="K20201" s="33" t="s">
        <v>22</v>
      </c>
    </row>
    <row r="20202" spans="1:11">
      <c r="A20202" s="30" t="s">
        <v>44895</v>
      </c>
      <c r="B20202" s="30" t="s">
        <v>44896</v>
      </c>
      <c r="C20202" s="30" t="s">
        <v>647</v>
      </c>
      <c r="D20202" s="30" t="s">
        <v>17</v>
      </c>
      <c r="E20202" s="30" t="s">
        <v>18</v>
      </c>
      <c r="F20202" s="30" t="s">
        <v>19</v>
      </c>
      <c r="G20202" s="30" t="s">
        <v>140</v>
      </c>
      <c r="H20202" s="32">
        <v>1380</v>
      </c>
      <c r="I20202" s="30" t="s">
        <v>51</v>
      </c>
      <c r="J20202" s="41">
        <v>45621</v>
      </c>
      <c r="K20202" s="30" t="s">
        <v>22</v>
      </c>
    </row>
    <row r="20203" spans="1:11">
      <c r="A20203" s="33" t="s">
        <v>44897</v>
      </c>
      <c r="B20203" s="33" t="s">
        <v>44898</v>
      </c>
      <c r="C20203" s="33" t="s">
        <v>9255</v>
      </c>
      <c r="D20203" s="33" t="s">
        <v>17</v>
      </c>
      <c r="E20203" s="33" t="s">
        <v>31</v>
      </c>
      <c r="F20203" s="33" t="s">
        <v>32</v>
      </c>
      <c r="G20203" s="33" t="s">
        <v>140</v>
      </c>
      <c r="H20203" s="35">
        <v>12</v>
      </c>
      <c r="I20203" s="33" t="s">
        <v>51</v>
      </c>
      <c r="J20203" s="42">
        <v>45504</v>
      </c>
      <c r="K20203" s="33" t="s">
        <v>22</v>
      </c>
    </row>
    <row r="20204" spans="1:11">
      <c r="A20204" s="30" t="s">
        <v>44899</v>
      </c>
      <c r="B20204" s="30" t="s">
        <v>44900</v>
      </c>
      <c r="C20204" s="30" t="s">
        <v>2753</v>
      </c>
      <c r="D20204" s="30" t="s">
        <v>17</v>
      </c>
      <c r="E20204" s="30" t="s">
        <v>26</v>
      </c>
      <c r="F20204" s="30" t="s">
        <v>27</v>
      </c>
      <c r="G20204" s="30" t="s">
        <v>140</v>
      </c>
      <c r="H20204" s="32">
        <v>168</v>
      </c>
      <c r="I20204" s="30" t="s">
        <v>51</v>
      </c>
      <c r="J20204" s="41">
        <v>45635</v>
      </c>
      <c r="K20204" s="30" t="s">
        <v>22</v>
      </c>
    </row>
    <row r="20205" spans="1:11">
      <c r="A20205" s="33" t="s">
        <v>44901</v>
      </c>
      <c r="B20205" s="33" t="s">
        <v>44902</v>
      </c>
      <c r="C20205" s="33" t="s">
        <v>4348</v>
      </c>
      <c r="D20205" s="33" t="s">
        <v>17</v>
      </c>
      <c r="E20205" s="33" t="s">
        <v>31</v>
      </c>
      <c r="F20205" s="33" t="s">
        <v>32</v>
      </c>
      <c r="G20205" s="33" t="s">
        <v>158</v>
      </c>
      <c r="H20205" s="35">
        <v>83</v>
      </c>
      <c r="I20205" s="33" t="s">
        <v>21</v>
      </c>
      <c r="J20205" s="42">
        <v>45462</v>
      </c>
      <c r="K20205" s="33" t="s">
        <v>22</v>
      </c>
    </row>
    <row r="20206" spans="1:11">
      <c r="A20206" s="30" t="s">
        <v>44903</v>
      </c>
      <c r="B20206" s="30" t="s">
        <v>44904</v>
      </c>
      <c r="C20206" s="30" t="s">
        <v>44905</v>
      </c>
      <c r="D20206" s="30" t="s">
        <v>17</v>
      </c>
      <c r="E20206" s="30" t="s">
        <v>31</v>
      </c>
      <c r="F20206" s="30" t="s">
        <v>32</v>
      </c>
      <c r="G20206" s="30" t="s">
        <v>158</v>
      </c>
      <c r="H20206" s="32">
        <v>40</v>
      </c>
      <c r="I20206" s="30" t="s">
        <v>51</v>
      </c>
      <c r="J20206" s="41">
        <v>45383</v>
      </c>
      <c r="K20206" s="30" t="s">
        <v>22</v>
      </c>
    </row>
    <row r="20207" spans="1:11">
      <c r="A20207" s="33" t="s">
        <v>44906</v>
      </c>
      <c r="B20207" s="33" t="s">
        <v>44907</v>
      </c>
      <c r="C20207" s="33" t="s">
        <v>22614</v>
      </c>
      <c r="D20207" s="33" t="s">
        <v>17</v>
      </c>
      <c r="E20207" s="33" t="s">
        <v>67</v>
      </c>
      <c r="F20207" s="33" t="s">
        <v>68</v>
      </c>
      <c r="G20207" s="33" t="s">
        <v>158</v>
      </c>
      <c r="H20207" s="35">
        <v>16</v>
      </c>
      <c r="I20207" s="33" t="s">
        <v>21</v>
      </c>
      <c r="J20207" s="42">
        <v>45492</v>
      </c>
      <c r="K20207" s="33" t="s">
        <v>22</v>
      </c>
    </row>
    <row r="20208" spans="1:11">
      <c r="A20208" s="30" t="s">
        <v>44908</v>
      </c>
      <c r="B20208" s="30" t="s">
        <v>44909</v>
      </c>
      <c r="C20208" s="30" t="s">
        <v>7765</v>
      </c>
      <c r="D20208" s="30" t="s">
        <v>17</v>
      </c>
      <c r="E20208" s="30" t="s">
        <v>26</v>
      </c>
      <c r="F20208" s="30" t="s">
        <v>27</v>
      </c>
      <c r="G20208" s="30" t="s">
        <v>20</v>
      </c>
      <c r="H20208" s="32">
        <v>53</v>
      </c>
      <c r="I20208" s="30" t="s">
        <v>21</v>
      </c>
      <c r="J20208" s="41">
        <v>45321</v>
      </c>
      <c r="K20208" s="30" t="s">
        <v>22</v>
      </c>
    </row>
    <row r="20209" spans="1:11">
      <c r="A20209" s="33" t="s">
        <v>44910</v>
      </c>
      <c r="B20209" s="33" t="s">
        <v>44911</v>
      </c>
      <c r="C20209" s="33" t="s">
        <v>60</v>
      </c>
      <c r="D20209" s="33" t="s">
        <v>17</v>
      </c>
      <c r="E20209" s="33" t="s">
        <v>26</v>
      </c>
      <c r="F20209" s="33" t="s">
        <v>27</v>
      </c>
      <c r="G20209" s="33" t="s">
        <v>20</v>
      </c>
      <c r="H20209" s="35">
        <v>34</v>
      </c>
      <c r="I20209" s="33" t="s">
        <v>21</v>
      </c>
      <c r="J20209" s="42">
        <v>45364</v>
      </c>
      <c r="K20209" s="33" t="s">
        <v>22</v>
      </c>
    </row>
    <row r="20210" spans="1:11">
      <c r="A20210" s="30" t="s">
        <v>44912</v>
      </c>
      <c r="B20210" s="30" t="s">
        <v>44913</v>
      </c>
      <c r="C20210" s="30" t="s">
        <v>102</v>
      </c>
      <c r="D20210" s="30" t="s">
        <v>17</v>
      </c>
      <c r="E20210" s="30" t="s">
        <v>26</v>
      </c>
      <c r="F20210" s="30" t="s">
        <v>27</v>
      </c>
      <c r="G20210" s="30" t="s">
        <v>158</v>
      </c>
      <c r="H20210" s="32">
        <v>19</v>
      </c>
      <c r="I20210" s="30" t="s">
        <v>21</v>
      </c>
      <c r="J20210" s="41">
        <v>45587</v>
      </c>
      <c r="K20210" s="30" t="s">
        <v>22</v>
      </c>
    </row>
    <row r="20211" spans="1:11">
      <c r="A20211" s="33" t="s">
        <v>44914</v>
      </c>
      <c r="B20211" s="33" t="s">
        <v>44915</v>
      </c>
      <c r="C20211" s="33" t="s">
        <v>109</v>
      </c>
      <c r="D20211" s="33" t="s">
        <v>17</v>
      </c>
      <c r="E20211" s="33" t="s">
        <v>26</v>
      </c>
      <c r="F20211" s="33" t="s">
        <v>27</v>
      </c>
      <c r="G20211" s="33" t="s">
        <v>112</v>
      </c>
      <c r="H20211" s="35">
        <v>0</v>
      </c>
      <c r="I20211" s="33" t="s">
        <v>21</v>
      </c>
      <c r="J20211" s="42">
        <v>45621</v>
      </c>
      <c r="K20211" s="33" t="s">
        <v>22</v>
      </c>
    </row>
    <row r="20212" spans="1:11">
      <c r="A20212" s="30" t="s">
        <v>44916</v>
      </c>
      <c r="B20212" s="30" t="s">
        <v>44917</v>
      </c>
      <c r="C20212" s="30" t="s">
        <v>15622</v>
      </c>
      <c r="D20212" s="30" t="s">
        <v>17</v>
      </c>
      <c r="E20212" s="30" t="s">
        <v>18</v>
      </c>
      <c r="F20212" s="30" t="s">
        <v>19</v>
      </c>
      <c r="G20212" s="30" t="s">
        <v>140</v>
      </c>
      <c r="H20212" s="32">
        <v>136</v>
      </c>
      <c r="I20212" s="30" t="s">
        <v>51</v>
      </c>
      <c r="J20212" s="41">
        <v>45482</v>
      </c>
      <c r="K20212" s="30" t="s">
        <v>22</v>
      </c>
    </row>
    <row r="20213" spans="1:11">
      <c r="A20213" s="33" t="s">
        <v>44918</v>
      </c>
      <c r="B20213" s="33" t="s">
        <v>44919</v>
      </c>
      <c r="C20213" s="33" t="s">
        <v>18780</v>
      </c>
      <c r="D20213" s="33" t="s">
        <v>17</v>
      </c>
      <c r="E20213" s="33" t="s">
        <v>31</v>
      </c>
      <c r="F20213" s="33" t="s">
        <v>32</v>
      </c>
      <c r="G20213" s="33" t="s">
        <v>20</v>
      </c>
      <c r="H20213" s="35">
        <v>60</v>
      </c>
      <c r="I20213" s="33" t="s">
        <v>21</v>
      </c>
      <c r="J20213" s="42">
        <v>45485</v>
      </c>
      <c r="K20213" s="33" t="s">
        <v>22</v>
      </c>
    </row>
    <row r="20214" spans="1:11">
      <c r="A20214" s="30" t="s">
        <v>44920</v>
      </c>
      <c r="B20214" s="30" t="s">
        <v>44921</v>
      </c>
      <c r="C20214" s="30" t="s">
        <v>647</v>
      </c>
      <c r="D20214" s="30" t="s">
        <v>17</v>
      </c>
      <c r="E20214" s="30" t="s">
        <v>26</v>
      </c>
      <c r="F20214" s="30" t="s">
        <v>27</v>
      </c>
      <c r="G20214" s="30" t="s">
        <v>140</v>
      </c>
      <c r="H20214" s="32">
        <v>32</v>
      </c>
      <c r="I20214" s="30" t="s">
        <v>51</v>
      </c>
      <c r="J20214" s="41">
        <v>45497</v>
      </c>
      <c r="K20214" s="30" t="s">
        <v>22</v>
      </c>
    </row>
    <row r="20215" spans="1:11">
      <c r="A20215" s="33" t="s">
        <v>44922</v>
      </c>
      <c r="B20215" s="33" t="s">
        <v>44923</v>
      </c>
      <c r="C20215" s="33" t="s">
        <v>969</v>
      </c>
      <c r="D20215" s="33" t="s">
        <v>17</v>
      </c>
      <c r="E20215" s="33" t="s">
        <v>18</v>
      </c>
      <c r="F20215" s="33" t="s">
        <v>19</v>
      </c>
      <c r="G20215" s="33" t="s">
        <v>20</v>
      </c>
      <c r="H20215" s="35">
        <v>1459</v>
      </c>
      <c r="I20215" s="33" t="s">
        <v>21</v>
      </c>
      <c r="J20215" s="42">
        <v>45411</v>
      </c>
      <c r="K20215" s="33" t="s">
        <v>22</v>
      </c>
    </row>
    <row r="20216" spans="1:11">
      <c r="A20216" s="30" t="s">
        <v>44924</v>
      </c>
      <c r="B20216" s="30" t="s">
        <v>44925</v>
      </c>
      <c r="C20216" s="30" t="s">
        <v>44926</v>
      </c>
      <c r="D20216" s="30" t="s">
        <v>17</v>
      </c>
      <c r="E20216" s="30" t="s">
        <v>26</v>
      </c>
      <c r="F20216" s="30" t="s">
        <v>27</v>
      </c>
      <c r="G20216" s="30" t="s">
        <v>20</v>
      </c>
      <c r="H20216" s="32">
        <v>72</v>
      </c>
      <c r="I20216" s="30" t="s">
        <v>21</v>
      </c>
      <c r="J20216" s="41">
        <v>45484</v>
      </c>
      <c r="K20216" s="30" t="s">
        <v>22</v>
      </c>
    </row>
    <row r="20217" spans="1:11">
      <c r="A20217" s="33" t="s">
        <v>44927</v>
      </c>
      <c r="B20217" s="33" t="s">
        <v>44928</v>
      </c>
      <c r="C20217" s="33" t="s">
        <v>10669</v>
      </c>
      <c r="D20217" s="33" t="s">
        <v>17</v>
      </c>
      <c r="E20217" s="33" t="s">
        <v>45</v>
      </c>
      <c r="F20217" s="33" t="s">
        <v>46</v>
      </c>
      <c r="G20217" s="33" t="s">
        <v>112</v>
      </c>
      <c r="H20217" s="35">
        <v>0</v>
      </c>
      <c r="I20217" s="33" t="s">
        <v>21</v>
      </c>
      <c r="J20217" s="42">
        <v>45627</v>
      </c>
      <c r="K20217" s="33" t="s">
        <v>22</v>
      </c>
    </row>
    <row r="20218" spans="1:11">
      <c r="A20218" s="30" t="s">
        <v>44929</v>
      </c>
      <c r="B20218" s="30" t="s">
        <v>44930</v>
      </c>
      <c r="C20218" s="30" t="s">
        <v>60</v>
      </c>
      <c r="D20218" s="30" t="s">
        <v>17</v>
      </c>
      <c r="E20218" s="30" t="s">
        <v>31</v>
      </c>
      <c r="F20218" s="30" t="s">
        <v>32</v>
      </c>
      <c r="G20218" s="30" t="s">
        <v>20</v>
      </c>
      <c r="H20218" s="32">
        <v>367</v>
      </c>
      <c r="I20218" s="30" t="s">
        <v>21</v>
      </c>
      <c r="J20218" s="41">
        <v>45594</v>
      </c>
      <c r="K20218" s="30" t="s">
        <v>22</v>
      </c>
    </row>
    <row r="20219" spans="1:11">
      <c r="A20219" s="33" t="s">
        <v>44931</v>
      </c>
      <c r="B20219" s="33" t="s">
        <v>44932</v>
      </c>
      <c r="C20219" s="33" t="s">
        <v>1733</v>
      </c>
      <c r="D20219" s="33" t="s">
        <v>17</v>
      </c>
      <c r="E20219" s="33" t="s">
        <v>31</v>
      </c>
      <c r="F20219" s="33" t="s">
        <v>32</v>
      </c>
      <c r="G20219" s="33" t="s">
        <v>158</v>
      </c>
      <c r="H20219" s="35">
        <v>282</v>
      </c>
      <c r="I20219" s="33" t="s">
        <v>51</v>
      </c>
      <c r="J20219" s="42">
        <v>45379</v>
      </c>
      <c r="K20219" s="33" t="s">
        <v>22</v>
      </c>
    </row>
    <row r="20220" spans="1:11">
      <c r="A20220" s="30" t="s">
        <v>44933</v>
      </c>
      <c r="B20220" s="30" t="s">
        <v>44934</v>
      </c>
      <c r="C20220" s="30" t="s">
        <v>57</v>
      </c>
      <c r="D20220" s="30" t="s">
        <v>17</v>
      </c>
      <c r="E20220" s="30" t="s">
        <v>18</v>
      </c>
      <c r="F20220" s="30" t="s">
        <v>19</v>
      </c>
      <c r="G20220" s="30" t="s">
        <v>7780</v>
      </c>
      <c r="H20220" s="32">
        <v>348</v>
      </c>
      <c r="I20220" s="30" t="s">
        <v>51</v>
      </c>
      <c r="J20220" s="41">
        <v>45558</v>
      </c>
      <c r="K20220" s="30" t="s">
        <v>22</v>
      </c>
    </row>
    <row r="20221" spans="1:11">
      <c r="A20221" s="33" t="s">
        <v>44935</v>
      </c>
      <c r="B20221" s="33" t="s">
        <v>44936</v>
      </c>
      <c r="C20221" s="33" t="s">
        <v>178</v>
      </c>
      <c r="D20221" s="33" t="s">
        <v>17</v>
      </c>
      <c r="E20221" s="33" t="s">
        <v>31</v>
      </c>
      <c r="F20221" s="33" t="s">
        <v>32</v>
      </c>
      <c r="G20221" s="33" t="s">
        <v>158</v>
      </c>
      <c r="H20221" s="35">
        <v>256</v>
      </c>
      <c r="I20221" s="33" t="s">
        <v>21</v>
      </c>
      <c r="J20221" s="42">
        <v>45414</v>
      </c>
      <c r="K20221" s="33" t="s">
        <v>22</v>
      </c>
    </row>
    <row r="20222" spans="1:11">
      <c r="A20222" s="30" t="s">
        <v>44937</v>
      </c>
      <c r="B20222" s="30" t="s">
        <v>44938</v>
      </c>
      <c r="C20222" s="30" t="s">
        <v>1270</v>
      </c>
      <c r="D20222" s="30" t="s">
        <v>17</v>
      </c>
      <c r="E20222" s="30" t="s">
        <v>26</v>
      </c>
      <c r="F20222" s="30" t="s">
        <v>27</v>
      </c>
      <c r="G20222" s="30" t="s">
        <v>140</v>
      </c>
      <c r="H20222" s="32">
        <v>20</v>
      </c>
      <c r="I20222" s="30" t="s">
        <v>51</v>
      </c>
      <c r="J20222" s="41">
        <v>45631</v>
      </c>
      <c r="K20222" s="30" t="s">
        <v>22</v>
      </c>
    </row>
    <row r="20223" spans="1:11">
      <c r="A20223" s="33" t="s">
        <v>44939</v>
      </c>
      <c r="B20223" s="33" t="s">
        <v>44940</v>
      </c>
      <c r="C20223" s="33" t="s">
        <v>9190</v>
      </c>
      <c r="D20223" s="33" t="s">
        <v>17</v>
      </c>
      <c r="E20223" s="33" t="s">
        <v>31</v>
      </c>
      <c r="F20223" s="33" t="s">
        <v>32</v>
      </c>
      <c r="G20223" s="33" t="s">
        <v>158</v>
      </c>
      <c r="H20223" s="35">
        <v>108</v>
      </c>
      <c r="I20223" s="33" t="s">
        <v>51</v>
      </c>
      <c r="J20223" s="42">
        <v>45509</v>
      </c>
      <c r="K20223" s="33" t="s">
        <v>22</v>
      </c>
    </row>
    <row r="20224" spans="1:11">
      <c r="A20224" s="30" t="s">
        <v>44941</v>
      </c>
      <c r="B20224" s="30" t="s">
        <v>44942</v>
      </c>
      <c r="C20224" s="30" t="s">
        <v>44</v>
      </c>
      <c r="D20224" s="30" t="s">
        <v>17</v>
      </c>
      <c r="E20224" s="30" t="s">
        <v>31</v>
      </c>
      <c r="F20224" s="30" t="s">
        <v>32</v>
      </c>
      <c r="G20224" s="30" t="s">
        <v>20</v>
      </c>
      <c r="H20224" s="32">
        <v>195</v>
      </c>
      <c r="I20224" s="30" t="s">
        <v>21</v>
      </c>
      <c r="J20224" s="41">
        <v>45555</v>
      </c>
      <c r="K20224" s="30" t="s">
        <v>22</v>
      </c>
    </row>
    <row r="20225" spans="1:11">
      <c r="A20225" s="33" t="s">
        <v>44943</v>
      </c>
      <c r="B20225" s="33" t="s">
        <v>44944</v>
      </c>
      <c r="C20225" s="33" t="s">
        <v>9297</v>
      </c>
      <c r="D20225" s="33" t="s">
        <v>17</v>
      </c>
      <c r="E20225" s="33" t="s">
        <v>67</v>
      </c>
      <c r="F20225" s="33" t="s">
        <v>68</v>
      </c>
      <c r="G20225" s="33" t="s">
        <v>158</v>
      </c>
      <c r="H20225" s="35">
        <v>20</v>
      </c>
      <c r="I20225" s="33" t="s">
        <v>51</v>
      </c>
      <c r="J20225" s="42">
        <v>45553</v>
      </c>
      <c r="K20225" s="33" t="s">
        <v>22</v>
      </c>
    </row>
    <row r="20226" spans="1:11">
      <c r="A20226" s="30" t="s">
        <v>44945</v>
      </c>
      <c r="B20226" s="30" t="s">
        <v>44946</v>
      </c>
      <c r="C20226" s="30" t="s">
        <v>4348</v>
      </c>
      <c r="D20226" s="30" t="s">
        <v>17</v>
      </c>
      <c r="E20226" s="30" t="s">
        <v>26</v>
      </c>
      <c r="F20226" s="30" t="s">
        <v>27</v>
      </c>
      <c r="G20226" s="30" t="s">
        <v>140</v>
      </c>
      <c r="H20226" s="32">
        <v>20</v>
      </c>
      <c r="I20226" s="30" t="s">
        <v>51</v>
      </c>
      <c r="J20226" s="41">
        <v>45497</v>
      </c>
      <c r="K20226" s="30" t="s">
        <v>22</v>
      </c>
    </row>
    <row r="20227" spans="1:11">
      <c r="A20227" s="33" t="s">
        <v>44947</v>
      </c>
      <c r="B20227" s="33" t="s">
        <v>44948</v>
      </c>
      <c r="C20227" s="33" t="s">
        <v>124</v>
      </c>
      <c r="D20227" s="33" t="s">
        <v>17</v>
      </c>
      <c r="E20227" s="33" t="s">
        <v>31</v>
      </c>
      <c r="F20227" s="33" t="s">
        <v>32</v>
      </c>
      <c r="G20227" s="33" t="s">
        <v>20</v>
      </c>
      <c r="H20227" s="35">
        <v>186</v>
      </c>
      <c r="I20227" s="33" t="s">
        <v>21</v>
      </c>
      <c r="J20227" s="42">
        <v>45296</v>
      </c>
      <c r="K20227" s="33" t="s">
        <v>22</v>
      </c>
    </row>
    <row r="20228" spans="1:11">
      <c r="A20228" s="30" t="s">
        <v>44949</v>
      </c>
      <c r="B20228" s="30" t="s">
        <v>44950</v>
      </c>
      <c r="C20228" s="30" t="s">
        <v>187</v>
      </c>
      <c r="D20228" s="30" t="s">
        <v>17</v>
      </c>
      <c r="E20228" s="30" t="s">
        <v>18</v>
      </c>
      <c r="F20228" s="30" t="s">
        <v>19</v>
      </c>
      <c r="G20228" s="30" t="s">
        <v>140</v>
      </c>
      <c r="H20228" s="32">
        <v>182</v>
      </c>
      <c r="I20228" s="30" t="s">
        <v>51</v>
      </c>
      <c r="J20228" s="41">
        <v>45616</v>
      </c>
      <c r="K20228" s="30" t="s">
        <v>22</v>
      </c>
    </row>
    <row r="20229" spans="1:11">
      <c r="A20229" s="33" t="s">
        <v>44951</v>
      </c>
      <c r="B20229" s="33" t="s">
        <v>44952</v>
      </c>
      <c r="C20229" s="33" t="s">
        <v>5251</v>
      </c>
      <c r="D20229" s="33" t="s">
        <v>17</v>
      </c>
      <c r="E20229" s="33" t="s">
        <v>26</v>
      </c>
      <c r="F20229" s="33" t="s">
        <v>27</v>
      </c>
      <c r="G20229" s="33" t="s">
        <v>50</v>
      </c>
      <c r="H20229" s="35">
        <v>60</v>
      </c>
      <c r="I20229" s="33" t="s">
        <v>51</v>
      </c>
      <c r="J20229" s="42">
        <v>45505</v>
      </c>
      <c r="K20229" s="33" t="s">
        <v>22</v>
      </c>
    </row>
    <row r="20230" spans="1:11">
      <c r="A20230" s="30" t="s">
        <v>44953</v>
      </c>
      <c r="B20230" s="30" t="s">
        <v>44954</v>
      </c>
      <c r="C20230" s="30" t="s">
        <v>44955</v>
      </c>
      <c r="D20230" s="30" t="s">
        <v>17</v>
      </c>
      <c r="E20230" s="30" t="s">
        <v>26</v>
      </c>
      <c r="F20230" s="30" t="s">
        <v>27</v>
      </c>
      <c r="G20230" s="30" t="s">
        <v>158</v>
      </c>
      <c r="H20230" s="32">
        <v>22</v>
      </c>
      <c r="I20230" s="30" t="s">
        <v>21</v>
      </c>
      <c r="J20230" s="41">
        <v>45299</v>
      </c>
      <c r="K20230" s="30" t="s">
        <v>22</v>
      </c>
    </row>
    <row r="20231" spans="1:11">
      <c r="A20231" s="33" t="s">
        <v>44956</v>
      </c>
      <c r="B20231" s="33" t="s">
        <v>44957</v>
      </c>
      <c r="C20231" s="33" t="s">
        <v>12195</v>
      </c>
      <c r="D20231" s="33" t="s">
        <v>17</v>
      </c>
      <c r="E20231" s="33" t="s">
        <v>31</v>
      </c>
      <c r="F20231" s="33" t="s">
        <v>32</v>
      </c>
      <c r="G20231" s="33" t="s">
        <v>20</v>
      </c>
      <c r="H20231" s="35">
        <v>24</v>
      </c>
      <c r="I20231" s="33" t="s">
        <v>21</v>
      </c>
      <c r="J20231" s="42">
        <v>45458</v>
      </c>
      <c r="K20231" s="33" t="s">
        <v>22</v>
      </c>
    </row>
    <row r="20232" spans="1:11">
      <c r="A20232" s="30" t="s">
        <v>44958</v>
      </c>
      <c r="B20232" s="30" t="s">
        <v>44959</v>
      </c>
      <c r="C20232" s="30" t="s">
        <v>1517</v>
      </c>
      <c r="D20232" s="30" t="s">
        <v>17</v>
      </c>
      <c r="E20232" s="30" t="s">
        <v>18</v>
      </c>
      <c r="F20232" s="30" t="s">
        <v>19</v>
      </c>
      <c r="G20232" s="30" t="s">
        <v>20</v>
      </c>
      <c r="H20232" s="32">
        <v>560</v>
      </c>
      <c r="I20232" s="30" t="s">
        <v>21</v>
      </c>
      <c r="J20232" s="41">
        <v>45643</v>
      </c>
      <c r="K20232" s="30" t="s">
        <v>22</v>
      </c>
    </row>
    <row r="20233" spans="1:11">
      <c r="A20233" s="33" t="s">
        <v>44960</v>
      </c>
      <c r="B20233" s="33" t="s">
        <v>44961</v>
      </c>
      <c r="C20233" s="33" t="s">
        <v>29352</v>
      </c>
      <c r="D20233" s="33" t="s">
        <v>17</v>
      </c>
      <c r="E20233" s="33" t="s">
        <v>18</v>
      </c>
      <c r="F20233" s="33" t="s">
        <v>19</v>
      </c>
      <c r="G20233" s="33" t="s">
        <v>7780</v>
      </c>
      <c r="H20233" s="35">
        <v>42</v>
      </c>
      <c r="I20233" s="33" t="s">
        <v>51</v>
      </c>
      <c r="J20233" s="42">
        <v>45505</v>
      </c>
      <c r="K20233" s="33" t="s">
        <v>22</v>
      </c>
    </row>
    <row r="20234" spans="1:11">
      <c r="A20234" s="30" t="s">
        <v>44962</v>
      </c>
      <c r="B20234" s="30" t="s">
        <v>44963</v>
      </c>
      <c r="C20234" s="30" t="s">
        <v>44964</v>
      </c>
      <c r="D20234" s="30" t="s">
        <v>17</v>
      </c>
      <c r="E20234" s="30" t="s">
        <v>31</v>
      </c>
      <c r="F20234" s="30" t="s">
        <v>32</v>
      </c>
      <c r="G20234" s="30" t="s">
        <v>50</v>
      </c>
      <c r="H20234" s="32">
        <v>100</v>
      </c>
      <c r="I20234" s="30" t="s">
        <v>51</v>
      </c>
      <c r="J20234" s="41">
        <v>45292</v>
      </c>
      <c r="K20234" s="30" t="s">
        <v>22</v>
      </c>
    </row>
    <row r="20235" spans="1:11">
      <c r="A20235" s="33" t="s">
        <v>44965</v>
      </c>
      <c r="B20235" s="33" t="s">
        <v>44966</v>
      </c>
      <c r="C20235" s="33" t="s">
        <v>44</v>
      </c>
      <c r="D20235" s="33" t="s">
        <v>17</v>
      </c>
      <c r="E20235" s="33" t="s">
        <v>26</v>
      </c>
      <c r="F20235" s="33" t="s">
        <v>27</v>
      </c>
      <c r="G20235" s="33" t="s">
        <v>140</v>
      </c>
      <c r="H20235" s="35">
        <v>90</v>
      </c>
      <c r="I20235" s="33" t="s">
        <v>51</v>
      </c>
      <c r="J20235" s="42">
        <v>45510</v>
      </c>
      <c r="K20235" s="33" t="s">
        <v>22</v>
      </c>
    </row>
    <row r="20236" spans="1:11">
      <c r="A20236" s="30" t="s">
        <v>44967</v>
      </c>
      <c r="B20236" s="30" t="s">
        <v>44968</v>
      </c>
      <c r="C20236" s="30" t="s">
        <v>8231</v>
      </c>
      <c r="D20236" s="30" t="s">
        <v>17</v>
      </c>
      <c r="E20236" s="30" t="s">
        <v>26</v>
      </c>
      <c r="F20236" s="30" t="s">
        <v>27</v>
      </c>
      <c r="G20236" s="30" t="s">
        <v>158</v>
      </c>
      <c r="H20236" s="32">
        <v>40</v>
      </c>
      <c r="I20236" s="30" t="s">
        <v>21</v>
      </c>
      <c r="J20236" s="41">
        <v>45431</v>
      </c>
      <c r="K20236" s="30" t="s">
        <v>22</v>
      </c>
    </row>
    <row r="20237" spans="1:11">
      <c r="A20237" s="33" t="s">
        <v>44969</v>
      </c>
      <c r="B20237" s="33" t="s">
        <v>44970</v>
      </c>
      <c r="C20237" s="33" t="s">
        <v>26388</v>
      </c>
      <c r="D20237" s="33" t="s">
        <v>17</v>
      </c>
      <c r="E20237" s="33" t="s">
        <v>330</v>
      </c>
      <c r="F20237" s="33" t="s">
        <v>331</v>
      </c>
      <c r="G20237" s="33" t="s">
        <v>7780</v>
      </c>
      <c r="H20237" s="35">
        <v>72</v>
      </c>
      <c r="I20237" s="33" t="s">
        <v>51</v>
      </c>
      <c r="J20237" s="42">
        <v>45366</v>
      </c>
      <c r="K20237" s="33" t="s">
        <v>22</v>
      </c>
    </row>
    <row r="20238" spans="1:11">
      <c r="A20238" s="30" t="s">
        <v>44971</v>
      </c>
      <c r="B20238" s="30" t="s">
        <v>44972</v>
      </c>
      <c r="C20238" s="30" t="s">
        <v>96</v>
      </c>
      <c r="D20238" s="30" t="s">
        <v>17</v>
      </c>
      <c r="E20238" s="30" t="s">
        <v>67</v>
      </c>
      <c r="F20238" s="30" t="s">
        <v>68</v>
      </c>
      <c r="G20238" s="30" t="s">
        <v>158</v>
      </c>
      <c r="H20238" s="32">
        <v>71</v>
      </c>
      <c r="I20238" s="30" t="s">
        <v>21</v>
      </c>
      <c r="J20238" s="41">
        <v>45341</v>
      </c>
      <c r="K20238" s="30" t="s">
        <v>22</v>
      </c>
    </row>
    <row r="20239" spans="1:11">
      <c r="A20239" s="33" t="s">
        <v>44973</v>
      </c>
      <c r="B20239" s="33" t="s">
        <v>44974</v>
      </c>
      <c r="C20239" s="33" t="s">
        <v>2807</v>
      </c>
      <c r="D20239" s="33" t="s">
        <v>17</v>
      </c>
      <c r="E20239" s="33" t="s">
        <v>18</v>
      </c>
      <c r="F20239" s="33" t="s">
        <v>19</v>
      </c>
      <c r="G20239" s="33" t="s">
        <v>106</v>
      </c>
      <c r="H20239" s="35">
        <v>16</v>
      </c>
      <c r="I20239" s="33" t="s">
        <v>21</v>
      </c>
      <c r="J20239" s="42">
        <v>45532</v>
      </c>
      <c r="K20239" s="33" t="s">
        <v>22</v>
      </c>
    </row>
    <row r="20240" spans="1:11">
      <c r="A20240" s="30" t="s">
        <v>44975</v>
      </c>
      <c r="B20240" s="30" t="s">
        <v>44976</v>
      </c>
      <c r="C20240" s="30" t="s">
        <v>374</v>
      </c>
      <c r="D20240" s="30" t="s">
        <v>17</v>
      </c>
      <c r="E20240" s="30" t="s">
        <v>31</v>
      </c>
      <c r="F20240" s="30" t="s">
        <v>32</v>
      </c>
      <c r="G20240" s="30" t="s">
        <v>158</v>
      </c>
      <c r="H20240" s="32">
        <v>200</v>
      </c>
      <c r="I20240" s="30" t="s">
        <v>51</v>
      </c>
      <c r="J20240" s="41">
        <v>45338</v>
      </c>
      <c r="K20240" s="30" t="s">
        <v>22</v>
      </c>
    </row>
    <row r="20241" spans="1:11">
      <c r="A20241" s="33" t="s">
        <v>44977</v>
      </c>
      <c r="B20241" s="33" t="s">
        <v>44978</v>
      </c>
      <c r="C20241" s="33" t="s">
        <v>2609</v>
      </c>
      <c r="D20241" s="33" t="s">
        <v>17</v>
      </c>
      <c r="E20241" s="33" t="s">
        <v>212</v>
      </c>
      <c r="F20241" s="33" t="s">
        <v>213</v>
      </c>
      <c r="G20241" s="33" t="s">
        <v>112</v>
      </c>
      <c r="H20241" s="35">
        <v>0</v>
      </c>
      <c r="I20241" s="33" t="s">
        <v>21</v>
      </c>
      <c r="J20241" s="42">
        <v>45408</v>
      </c>
      <c r="K20241" s="33" t="s">
        <v>22</v>
      </c>
    </row>
    <row r="20242" spans="1:11">
      <c r="A20242" s="30" t="s">
        <v>44979</v>
      </c>
      <c r="B20242" s="30" t="s">
        <v>44980</v>
      </c>
      <c r="C20242" s="30" t="s">
        <v>60</v>
      </c>
      <c r="D20242" s="30" t="s">
        <v>17</v>
      </c>
      <c r="E20242" s="30" t="s">
        <v>26</v>
      </c>
      <c r="F20242" s="30" t="s">
        <v>27</v>
      </c>
      <c r="G20242" s="30" t="s">
        <v>20</v>
      </c>
      <c r="H20242" s="32">
        <v>92</v>
      </c>
      <c r="I20242" s="30" t="s">
        <v>21</v>
      </c>
      <c r="J20242" s="41">
        <v>45433</v>
      </c>
      <c r="K20242" s="30" t="s">
        <v>22</v>
      </c>
    </row>
    <row r="20243" spans="1:11">
      <c r="A20243" s="33" t="s">
        <v>44981</v>
      </c>
      <c r="B20243" s="33" t="s">
        <v>44982</v>
      </c>
      <c r="C20243" s="33" t="s">
        <v>231</v>
      </c>
      <c r="D20243" s="33" t="s">
        <v>17</v>
      </c>
      <c r="E20243" s="33" t="s">
        <v>26</v>
      </c>
      <c r="F20243" s="33" t="s">
        <v>27</v>
      </c>
      <c r="G20243" s="33" t="s">
        <v>20</v>
      </c>
      <c r="H20243" s="35">
        <v>15</v>
      </c>
      <c r="I20243" s="33" t="s">
        <v>21</v>
      </c>
      <c r="J20243" s="42">
        <v>45580</v>
      </c>
      <c r="K20243" s="33" t="s">
        <v>22</v>
      </c>
    </row>
    <row r="20244" spans="1:11">
      <c r="A20244" s="30" t="s">
        <v>44983</v>
      </c>
      <c r="B20244" s="30" t="s">
        <v>44984</v>
      </c>
      <c r="C20244" s="30" t="s">
        <v>26164</v>
      </c>
      <c r="D20244" s="30" t="s">
        <v>17</v>
      </c>
      <c r="E20244" s="30" t="s">
        <v>31</v>
      </c>
      <c r="F20244" s="30" t="s">
        <v>32</v>
      </c>
      <c r="G20244" s="30" t="s">
        <v>140</v>
      </c>
      <c r="H20244" s="32">
        <v>120</v>
      </c>
      <c r="I20244" s="30" t="s">
        <v>51</v>
      </c>
      <c r="J20244" s="41">
        <v>45474</v>
      </c>
      <c r="K20244" s="30" t="s">
        <v>22</v>
      </c>
    </row>
    <row r="20245" spans="1:11">
      <c r="A20245" s="33" t="s">
        <v>44985</v>
      </c>
      <c r="B20245" s="33" t="s">
        <v>44986</v>
      </c>
      <c r="C20245" s="33" t="s">
        <v>14864</v>
      </c>
      <c r="D20245" s="33" t="s">
        <v>17</v>
      </c>
      <c r="E20245" s="33" t="s">
        <v>67</v>
      </c>
      <c r="F20245" s="33" t="s">
        <v>68</v>
      </c>
      <c r="G20245" s="33" t="s">
        <v>140</v>
      </c>
      <c r="H20245" s="35">
        <v>138</v>
      </c>
      <c r="I20245" s="33" t="s">
        <v>51</v>
      </c>
      <c r="J20245" s="42">
        <v>45310</v>
      </c>
      <c r="K20245" s="33" t="s">
        <v>22</v>
      </c>
    </row>
    <row r="20246" spans="1:11">
      <c r="A20246" s="30" t="s">
        <v>44987</v>
      </c>
      <c r="B20246" s="30" t="s">
        <v>44988</v>
      </c>
      <c r="C20246" s="30" t="s">
        <v>149</v>
      </c>
      <c r="D20246" s="30" t="s">
        <v>17</v>
      </c>
      <c r="E20246" s="30" t="s">
        <v>18</v>
      </c>
      <c r="F20246" s="30" t="s">
        <v>19</v>
      </c>
      <c r="G20246" s="30" t="s">
        <v>50</v>
      </c>
      <c r="H20246" s="32">
        <v>434</v>
      </c>
      <c r="I20246" s="30" t="s">
        <v>51</v>
      </c>
      <c r="J20246" s="41">
        <v>45444</v>
      </c>
      <c r="K20246" s="30" t="s">
        <v>22</v>
      </c>
    </row>
    <row r="20247" spans="1:11">
      <c r="A20247" s="33" t="s">
        <v>44989</v>
      </c>
      <c r="B20247" s="33" t="s">
        <v>44990</v>
      </c>
      <c r="C20247" s="33" t="s">
        <v>44991</v>
      </c>
      <c r="D20247" s="33" t="s">
        <v>17</v>
      </c>
      <c r="E20247" s="33" t="s">
        <v>26</v>
      </c>
      <c r="F20247" s="33" t="s">
        <v>27</v>
      </c>
      <c r="G20247" s="33" t="s">
        <v>140</v>
      </c>
      <c r="H20247" s="35">
        <v>48</v>
      </c>
      <c r="I20247" s="33" t="s">
        <v>51</v>
      </c>
      <c r="J20247" s="42">
        <v>45351</v>
      </c>
      <c r="K20247" s="33" t="s">
        <v>22</v>
      </c>
    </row>
    <row r="20248" spans="1:11">
      <c r="A20248" s="30" t="s">
        <v>44992</v>
      </c>
      <c r="B20248" s="30" t="s">
        <v>44993</v>
      </c>
      <c r="C20248" s="30" t="s">
        <v>24837</v>
      </c>
      <c r="D20248" s="30" t="s">
        <v>17</v>
      </c>
      <c r="E20248" s="30" t="s">
        <v>330</v>
      </c>
      <c r="F20248" s="30" t="s">
        <v>331</v>
      </c>
      <c r="G20248" s="30" t="s">
        <v>112</v>
      </c>
      <c r="H20248" s="32">
        <v>0</v>
      </c>
      <c r="I20248" s="30" t="s">
        <v>21</v>
      </c>
      <c r="J20248" s="41">
        <v>45626</v>
      </c>
      <c r="K20248" s="30" t="s">
        <v>22</v>
      </c>
    </row>
    <row r="20249" spans="1:11">
      <c r="A20249" s="33" t="s">
        <v>44994</v>
      </c>
      <c r="B20249" s="33" t="s">
        <v>44995</v>
      </c>
      <c r="C20249" s="33" t="s">
        <v>718</v>
      </c>
      <c r="D20249" s="33" t="s">
        <v>17</v>
      </c>
      <c r="E20249" s="33" t="s">
        <v>31</v>
      </c>
      <c r="F20249" s="33" t="s">
        <v>32</v>
      </c>
      <c r="G20249" s="33" t="s">
        <v>7780</v>
      </c>
      <c r="H20249" s="35">
        <v>120</v>
      </c>
      <c r="I20249" s="33" t="s">
        <v>51</v>
      </c>
      <c r="J20249" s="42">
        <v>45627</v>
      </c>
      <c r="K20249" s="33" t="s">
        <v>22</v>
      </c>
    </row>
    <row r="20250" spans="1:11">
      <c r="A20250" s="30" t="s">
        <v>44996</v>
      </c>
      <c r="B20250" s="30" t="s">
        <v>44997</v>
      </c>
      <c r="C20250" s="30" t="s">
        <v>44998</v>
      </c>
      <c r="D20250" s="30" t="s">
        <v>17</v>
      </c>
      <c r="E20250" s="30" t="s">
        <v>45</v>
      </c>
      <c r="F20250" s="30" t="s">
        <v>46</v>
      </c>
      <c r="G20250" s="30" t="s">
        <v>20</v>
      </c>
      <c r="H20250" s="32">
        <v>139</v>
      </c>
      <c r="I20250" s="30" t="s">
        <v>21</v>
      </c>
      <c r="J20250" s="41">
        <v>45621</v>
      </c>
      <c r="K20250" s="30" t="s">
        <v>22</v>
      </c>
    </row>
    <row r="20251" spans="1:11">
      <c r="A20251" s="33" t="s">
        <v>44999</v>
      </c>
      <c r="B20251" s="33" t="s">
        <v>45000</v>
      </c>
      <c r="C20251" s="33" t="s">
        <v>15718</v>
      </c>
      <c r="D20251" s="33" t="s">
        <v>17</v>
      </c>
      <c r="E20251" s="33" t="s">
        <v>31</v>
      </c>
      <c r="F20251" s="33" t="s">
        <v>32</v>
      </c>
      <c r="G20251" s="33" t="s">
        <v>2613</v>
      </c>
      <c r="H20251" s="35">
        <v>94</v>
      </c>
      <c r="I20251" s="33" t="s">
        <v>51</v>
      </c>
      <c r="J20251" s="42">
        <v>45352</v>
      </c>
      <c r="K20251" s="33" t="s">
        <v>22</v>
      </c>
    </row>
    <row r="20252" spans="1:11">
      <c r="A20252" s="30" t="s">
        <v>45001</v>
      </c>
      <c r="B20252" s="30" t="s">
        <v>45002</v>
      </c>
      <c r="C20252" s="30" t="s">
        <v>231</v>
      </c>
      <c r="D20252" s="30" t="s">
        <v>17</v>
      </c>
      <c r="E20252" s="30" t="s">
        <v>31</v>
      </c>
      <c r="F20252" s="30" t="s">
        <v>32</v>
      </c>
      <c r="G20252" s="30" t="s">
        <v>20</v>
      </c>
      <c r="H20252" s="32">
        <v>322</v>
      </c>
      <c r="I20252" s="30" t="s">
        <v>21</v>
      </c>
      <c r="J20252" s="41">
        <v>45540</v>
      </c>
      <c r="K20252" s="30" t="s">
        <v>22</v>
      </c>
    </row>
    <row r="20253" spans="1:11">
      <c r="A20253" s="33" t="s">
        <v>45003</v>
      </c>
      <c r="B20253" s="33" t="s">
        <v>45004</v>
      </c>
      <c r="C20253" s="33" t="s">
        <v>969</v>
      </c>
      <c r="D20253" s="33" t="s">
        <v>17</v>
      </c>
      <c r="E20253" s="33" t="s">
        <v>18</v>
      </c>
      <c r="F20253" s="33" t="s">
        <v>19</v>
      </c>
      <c r="G20253" s="33" t="s">
        <v>20</v>
      </c>
      <c r="H20253" s="35">
        <v>841</v>
      </c>
      <c r="I20253" s="33" t="s">
        <v>21</v>
      </c>
      <c r="J20253" s="42">
        <v>45411</v>
      </c>
      <c r="K20253" s="33" t="s">
        <v>22</v>
      </c>
    </row>
    <row r="20254" spans="1:11">
      <c r="A20254" s="30" t="s">
        <v>45005</v>
      </c>
      <c r="B20254" s="30" t="s">
        <v>45006</v>
      </c>
      <c r="C20254" s="30" t="s">
        <v>35935</v>
      </c>
      <c r="D20254" s="30" t="s">
        <v>17</v>
      </c>
      <c r="E20254" s="30" t="s">
        <v>26</v>
      </c>
      <c r="F20254" s="30" t="s">
        <v>27</v>
      </c>
      <c r="G20254" s="30" t="s">
        <v>140</v>
      </c>
      <c r="H20254" s="32">
        <v>187</v>
      </c>
      <c r="I20254" s="30" t="s">
        <v>51</v>
      </c>
      <c r="J20254" s="41">
        <v>45314</v>
      </c>
      <c r="K20254" s="30" t="s">
        <v>22</v>
      </c>
    </row>
    <row r="20255" spans="1:11">
      <c r="A20255" s="33" t="s">
        <v>45007</v>
      </c>
      <c r="B20255" s="33" t="s">
        <v>45008</v>
      </c>
      <c r="C20255" s="33" t="s">
        <v>32824</v>
      </c>
      <c r="D20255" s="33" t="s">
        <v>17</v>
      </c>
      <c r="E20255" s="33" t="s">
        <v>31</v>
      </c>
      <c r="F20255" s="33" t="s">
        <v>32</v>
      </c>
      <c r="G20255" s="33" t="s">
        <v>7780</v>
      </c>
      <c r="H20255" s="35">
        <v>60</v>
      </c>
      <c r="I20255" s="33" t="s">
        <v>51</v>
      </c>
      <c r="J20255" s="42">
        <v>45514</v>
      </c>
      <c r="K20255" s="33" t="s">
        <v>22</v>
      </c>
    </row>
    <row r="20256" spans="1:11">
      <c r="A20256" s="30" t="s">
        <v>45009</v>
      </c>
      <c r="B20256" s="30" t="s">
        <v>45010</v>
      </c>
      <c r="C20256" s="30" t="s">
        <v>2719</v>
      </c>
      <c r="D20256" s="30" t="s">
        <v>17</v>
      </c>
      <c r="E20256" s="30" t="s">
        <v>18</v>
      </c>
      <c r="F20256" s="30" t="s">
        <v>19</v>
      </c>
      <c r="G20256" s="30" t="s">
        <v>158</v>
      </c>
      <c r="H20256" s="32">
        <v>675</v>
      </c>
      <c r="I20256" s="30" t="s">
        <v>51</v>
      </c>
      <c r="J20256" s="41">
        <v>45527</v>
      </c>
      <c r="K20256" s="30" t="s">
        <v>22</v>
      </c>
    </row>
    <row r="20257" spans="1:11">
      <c r="A20257" s="33" t="s">
        <v>45011</v>
      </c>
      <c r="B20257" s="33" t="s">
        <v>45012</v>
      </c>
      <c r="C20257" s="33" t="s">
        <v>22336</v>
      </c>
      <c r="D20257" s="33" t="s">
        <v>17</v>
      </c>
      <c r="E20257" s="33" t="s">
        <v>18</v>
      </c>
      <c r="F20257" s="33" t="s">
        <v>19</v>
      </c>
      <c r="G20257" s="33" t="s">
        <v>20</v>
      </c>
      <c r="H20257" s="35">
        <v>45</v>
      </c>
      <c r="I20257" s="33" t="s">
        <v>21</v>
      </c>
      <c r="J20257" s="42">
        <v>45379</v>
      </c>
      <c r="K20257" s="33" t="s">
        <v>22</v>
      </c>
    </row>
    <row r="20258" spans="1:11">
      <c r="A20258" s="30" t="s">
        <v>45013</v>
      </c>
      <c r="B20258" s="30" t="s">
        <v>45014</v>
      </c>
      <c r="C20258" s="30" t="s">
        <v>25976</v>
      </c>
      <c r="D20258" s="30" t="s">
        <v>17</v>
      </c>
      <c r="E20258" s="30" t="s">
        <v>45</v>
      </c>
      <c r="F20258" s="30" t="s">
        <v>46</v>
      </c>
      <c r="G20258" s="30" t="s">
        <v>140</v>
      </c>
      <c r="H20258" s="32">
        <v>216</v>
      </c>
      <c r="I20258" s="30" t="s">
        <v>51</v>
      </c>
      <c r="J20258" s="41">
        <v>45503</v>
      </c>
      <c r="K20258" s="30" t="s">
        <v>22</v>
      </c>
    </row>
    <row r="20259" spans="1:11">
      <c r="A20259" s="33" t="s">
        <v>45015</v>
      </c>
      <c r="B20259" s="33" t="s">
        <v>45016</v>
      </c>
      <c r="C20259" s="33" t="s">
        <v>510</v>
      </c>
      <c r="D20259" s="33" t="s">
        <v>17</v>
      </c>
      <c r="E20259" s="33" t="s">
        <v>31</v>
      </c>
      <c r="F20259" s="33" t="s">
        <v>32</v>
      </c>
      <c r="G20259" s="33" t="s">
        <v>140</v>
      </c>
      <c r="H20259" s="35">
        <v>60</v>
      </c>
      <c r="I20259" s="33" t="s">
        <v>51</v>
      </c>
      <c r="J20259" s="42">
        <v>45490</v>
      </c>
      <c r="K20259" s="33" t="s">
        <v>22</v>
      </c>
    </row>
    <row r="20260" spans="1:11">
      <c r="A20260" s="30" t="s">
        <v>45017</v>
      </c>
      <c r="B20260" s="30" t="s">
        <v>45018</v>
      </c>
      <c r="C20260" s="30" t="s">
        <v>18774</v>
      </c>
      <c r="D20260" s="30" t="s">
        <v>17</v>
      </c>
      <c r="E20260" s="30" t="s">
        <v>26</v>
      </c>
      <c r="F20260" s="30" t="s">
        <v>27</v>
      </c>
      <c r="G20260" s="30" t="s">
        <v>158</v>
      </c>
      <c r="H20260" s="32">
        <v>12</v>
      </c>
      <c r="I20260" s="30" t="s">
        <v>51</v>
      </c>
      <c r="J20260" s="41">
        <v>45323</v>
      </c>
      <c r="K20260" s="30" t="s">
        <v>22</v>
      </c>
    </row>
    <row r="20261" spans="1:11">
      <c r="A20261" s="33" t="s">
        <v>45019</v>
      </c>
      <c r="B20261" s="33" t="s">
        <v>45020</v>
      </c>
      <c r="C20261" s="33" t="s">
        <v>410</v>
      </c>
      <c r="D20261" s="33" t="s">
        <v>17</v>
      </c>
      <c r="E20261" s="33" t="s">
        <v>45</v>
      </c>
      <c r="F20261" s="33" t="s">
        <v>46</v>
      </c>
      <c r="G20261" s="33" t="s">
        <v>112</v>
      </c>
      <c r="H20261" s="35">
        <v>0</v>
      </c>
      <c r="I20261" s="33" t="s">
        <v>21</v>
      </c>
      <c r="J20261" s="42">
        <v>45586</v>
      </c>
      <c r="K20261" s="33" t="s">
        <v>22</v>
      </c>
    </row>
    <row r="20262" spans="1:11">
      <c r="A20262" s="30" t="s">
        <v>45021</v>
      </c>
      <c r="B20262" s="30" t="s">
        <v>45022</v>
      </c>
      <c r="C20262" s="30" t="s">
        <v>6442</v>
      </c>
      <c r="D20262" s="30" t="s">
        <v>17</v>
      </c>
      <c r="E20262" s="30" t="s">
        <v>26</v>
      </c>
      <c r="F20262" s="30" t="s">
        <v>27</v>
      </c>
      <c r="G20262" s="30" t="s">
        <v>140</v>
      </c>
      <c r="H20262" s="32">
        <v>429</v>
      </c>
      <c r="I20262" s="30" t="s">
        <v>51</v>
      </c>
      <c r="J20262" s="41">
        <v>45385</v>
      </c>
      <c r="K20262" s="30" t="s">
        <v>22</v>
      </c>
    </row>
    <row r="20263" spans="1:11">
      <c r="A20263" s="33" t="s">
        <v>45023</v>
      </c>
      <c r="B20263" s="33" t="s">
        <v>45024</v>
      </c>
      <c r="C20263" s="33" t="s">
        <v>45025</v>
      </c>
      <c r="D20263" s="33" t="s">
        <v>17</v>
      </c>
      <c r="E20263" s="33" t="s">
        <v>18</v>
      </c>
      <c r="F20263" s="33" t="s">
        <v>19</v>
      </c>
      <c r="G20263" s="33" t="s">
        <v>7780</v>
      </c>
      <c r="H20263" s="35">
        <v>144</v>
      </c>
      <c r="I20263" s="33" t="s">
        <v>51</v>
      </c>
      <c r="J20263" s="42">
        <v>45580</v>
      </c>
      <c r="K20263" s="33" t="s">
        <v>22</v>
      </c>
    </row>
    <row r="20264" spans="1:11">
      <c r="A20264" s="30" t="s">
        <v>45026</v>
      </c>
      <c r="B20264" s="30" t="s">
        <v>45027</v>
      </c>
      <c r="C20264" s="30" t="s">
        <v>3384</v>
      </c>
      <c r="D20264" s="30" t="s">
        <v>17</v>
      </c>
      <c r="E20264" s="30" t="s">
        <v>67</v>
      </c>
      <c r="F20264" s="30" t="s">
        <v>68</v>
      </c>
      <c r="G20264" s="30" t="s">
        <v>158</v>
      </c>
      <c r="H20264" s="32">
        <v>12</v>
      </c>
      <c r="I20264" s="30" t="s">
        <v>51</v>
      </c>
      <c r="J20264" s="41">
        <v>45643</v>
      </c>
      <c r="K20264" s="30" t="s">
        <v>22</v>
      </c>
    </row>
    <row r="20265" spans="1:11">
      <c r="A20265" s="33" t="s">
        <v>45028</v>
      </c>
      <c r="B20265" s="33" t="s">
        <v>45029</v>
      </c>
      <c r="C20265" s="33" t="s">
        <v>118</v>
      </c>
      <c r="D20265" s="33" t="s">
        <v>17</v>
      </c>
      <c r="E20265" s="33" t="s">
        <v>26</v>
      </c>
      <c r="F20265" s="33" t="s">
        <v>27</v>
      </c>
      <c r="G20265" s="33" t="s">
        <v>140</v>
      </c>
      <c r="H20265" s="35">
        <v>198</v>
      </c>
      <c r="I20265" s="33" t="s">
        <v>51</v>
      </c>
      <c r="J20265" s="42">
        <v>45358</v>
      </c>
      <c r="K20265" s="33" t="s">
        <v>22</v>
      </c>
    </row>
    <row r="20266" spans="1:11">
      <c r="A20266" s="30" t="s">
        <v>45030</v>
      </c>
      <c r="B20266" s="30" t="s">
        <v>45031</v>
      </c>
      <c r="C20266" s="30" t="s">
        <v>44371</v>
      </c>
      <c r="D20266" s="30" t="s">
        <v>17</v>
      </c>
      <c r="E20266" s="30" t="s">
        <v>26</v>
      </c>
      <c r="F20266" s="30" t="s">
        <v>27</v>
      </c>
      <c r="G20266" s="30" t="s">
        <v>140</v>
      </c>
      <c r="H20266" s="32">
        <v>392</v>
      </c>
      <c r="I20266" s="30" t="s">
        <v>51</v>
      </c>
      <c r="J20266" s="41">
        <v>45594</v>
      </c>
      <c r="K20266" s="30" t="s">
        <v>22</v>
      </c>
    </row>
    <row r="20267" spans="1:11">
      <c r="A20267" s="33" t="s">
        <v>45032</v>
      </c>
      <c r="B20267" s="33" t="s">
        <v>45033</v>
      </c>
      <c r="C20267" s="33" t="s">
        <v>27354</v>
      </c>
      <c r="D20267" s="33" t="s">
        <v>17</v>
      </c>
      <c r="E20267" s="33" t="s">
        <v>26</v>
      </c>
      <c r="F20267" s="33" t="s">
        <v>27</v>
      </c>
      <c r="G20267" s="33" t="s">
        <v>7780</v>
      </c>
      <c r="H20267" s="35">
        <v>24</v>
      </c>
      <c r="I20267" s="33" t="s">
        <v>51</v>
      </c>
      <c r="J20267" s="42">
        <v>45397</v>
      </c>
      <c r="K20267" s="33" t="s">
        <v>22</v>
      </c>
    </row>
    <row r="20268" spans="1:11">
      <c r="A20268" s="30" t="s">
        <v>45034</v>
      </c>
      <c r="B20268" s="30" t="s">
        <v>45035</v>
      </c>
      <c r="C20268" s="30" t="s">
        <v>102</v>
      </c>
      <c r="D20268" s="30" t="s">
        <v>17</v>
      </c>
      <c r="E20268" s="30" t="s">
        <v>18</v>
      </c>
      <c r="F20268" s="30" t="s">
        <v>19</v>
      </c>
      <c r="G20268" s="30" t="s">
        <v>158</v>
      </c>
      <c r="H20268" s="32">
        <v>655</v>
      </c>
      <c r="I20268" s="30" t="s">
        <v>21</v>
      </c>
      <c r="J20268" s="41">
        <v>45630</v>
      </c>
      <c r="K20268" s="30" t="s">
        <v>22</v>
      </c>
    </row>
    <row r="20269" spans="1:11">
      <c r="A20269" s="33" t="s">
        <v>45036</v>
      </c>
      <c r="B20269" s="33" t="s">
        <v>45037</v>
      </c>
      <c r="C20269" s="33" t="s">
        <v>318</v>
      </c>
      <c r="D20269" s="33" t="s">
        <v>17</v>
      </c>
      <c r="E20269" s="33" t="s">
        <v>26</v>
      </c>
      <c r="F20269" s="33" t="s">
        <v>27</v>
      </c>
      <c r="G20269" s="33" t="s">
        <v>158</v>
      </c>
      <c r="H20269" s="35">
        <v>120</v>
      </c>
      <c r="I20269" s="33" t="s">
        <v>21</v>
      </c>
      <c r="J20269" s="42">
        <v>45441</v>
      </c>
      <c r="K20269" s="33" t="s">
        <v>22</v>
      </c>
    </row>
    <row r="20270" spans="1:11">
      <c r="A20270" s="30" t="s">
        <v>45038</v>
      </c>
      <c r="B20270" s="30" t="s">
        <v>45039</v>
      </c>
      <c r="C20270" s="30" t="s">
        <v>8151</v>
      </c>
      <c r="D20270" s="30" t="s">
        <v>17</v>
      </c>
      <c r="E20270" s="30" t="s">
        <v>31</v>
      </c>
      <c r="F20270" s="30" t="s">
        <v>32</v>
      </c>
      <c r="G20270" s="30" t="s">
        <v>50</v>
      </c>
      <c r="H20270" s="32">
        <v>40</v>
      </c>
      <c r="I20270" s="30" t="s">
        <v>51</v>
      </c>
      <c r="J20270" s="41">
        <v>45351</v>
      </c>
      <c r="K20270" s="30" t="s">
        <v>22</v>
      </c>
    </row>
    <row r="20271" spans="1:11">
      <c r="A20271" s="33" t="s">
        <v>45040</v>
      </c>
      <c r="B20271" s="33" t="s">
        <v>45041</v>
      </c>
      <c r="C20271" s="33" t="s">
        <v>1151</v>
      </c>
      <c r="D20271" s="33" t="s">
        <v>17</v>
      </c>
      <c r="E20271" s="33" t="s">
        <v>26</v>
      </c>
      <c r="F20271" s="33" t="s">
        <v>27</v>
      </c>
      <c r="G20271" s="33" t="s">
        <v>20</v>
      </c>
      <c r="H20271" s="35">
        <v>49</v>
      </c>
      <c r="I20271" s="33" t="s">
        <v>21</v>
      </c>
      <c r="J20271" s="42">
        <v>45387</v>
      </c>
      <c r="K20271" s="33" t="s">
        <v>22</v>
      </c>
    </row>
    <row r="20272" spans="1:11">
      <c r="A20272" s="30" t="s">
        <v>45042</v>
      </c>
      <c r="B20272" s="30" t="s">
        <v>45043</v>
      </c>
      <c r="C20272" s="30" t="s">
        <v>30640</v>
      </c>
      <c r="D20272" s="30" t="s">
        <v>17</v>
      </c>
      <c r="E20272" s="30" t="s">
        <v>67</v>
      </c>
      <c r="F20272" s="30" t="s">
        <v>68</v>
      </c>
      <c r="G20272" s="30" t="s">
        <v>140</v>
      </c>
      <c r="H20272" s="32">
        <v>115</v>
      </c>
      <c r="I20272" s="30" t="s">
        <v>51</v>
      </c>
      <c r="J20272" s="41">
        <v>45623</v>
      </c>
      <c r="K20272" s="30" t="s">
        <v>22</v>
      </c>
    </row>
    <row r="20273" spans="1:11">
      <c r="A20273" s="33" t="s">
        <v>45044</v>
      </c>
      <c r="B20273" s="33" t="s">
        <v>45045</v>
      </c>
      <c r="C20273" s="33" t="s">
        <v>5452</v>
      </c>
      <c r="D20273" s="33" t="s">
        <v>17</v>
      </c>
      <c r="E20273" s="33" t="s">
        <v>31</v>
      </c>
      <c r="F20273" s="33" t="s">
        <v>32</v>
      </c>
      <c r="G20273" s="33" t="s">
        <v>140</v>
      </c>
      <c r="H20273" s="35">
        <v>84</v>
      </c>
      <c r="I20273" s="33" t="s">
        <v>51</v>
      </c>
      <c r="J20273" s="42">
        <v>45556</v>
      </c>
      <c r="K20273" s="33" t="s">
        <v>22</v>
      </c>
    </row>
    <row r="20274" spans="1:11">
      <c r="A20274" s="30" t="s">
        <v>45046</v>
      </c>
      <c r="B20274" s="30" t="s">
        <v>45047</v>
      </c>
      <c r="C20274" s="30" t="s">
        <v>1003</v>
      </c>
      <c r="D20274" s="30" t="s">
        <v>17</v>
      </c>
      <c r="E20274" s="30" t="s">
        <v>31</v>
      </c>
      <c r="F20274" s="30" t="s">
        <v>32</v>
      </c>
      <c r="G20274" s="30" t="s">
        <v>140</v>
      </c>
      <c r="H20274" s="32">
        <v>90</v>
      </c>
      <c r="I20274" s="30" t="s">
        <v>51</v>
      </c>
      <c r="J20274" s="41">
        <v>45589</v>
      </c>
      <c r="K20274" s="30" t="s">
        <v>22</v>
      </c>
    </row>
    <row r="20275" spans="1:11">
      <c r="A20275" s="33" t="s">
        <v>45048</v>
      </c>
      <c r="B20275" s="33" t="s">
        <v>45049</v>
      </c>
      <c r="C20275" s="33" t="s">
        <v>45050</v>
      </c>
      <c r="D20275" s="33" t="s">
        <v>17</v>
      </c>
      <c r="E20275" s="33" t="s">
        <v>26</v>
      </c>
      <c r="F20275" s="33" t="s">
        <v>27</v>
      </c>
      <c r="G20275" s="33" t="s">
        <v>140</v>
      </c>
      <c r="H20275" s="35">
        <v>80</v>
      </c>
      <c r="I20275" s="33" t="s">
        <v>51</v>
      </c>
      <c r="J20275" s="42">
        <v>45495</v>
      </c>
      <c r="K20275" s="33" t="s">
        <v>22</v>
      </c>
    </row>
    <row r="20276" spans="1:11">
      <c r="A20276" s="30" t="s">
        <v>45051</v>
      </c>
      <c r="B20276" s="30" t="s">
        <v>45052</v>
      </c>
      <c r="C20276" s="30" t="s">
        <v>19435</v>
      </c>
      <c r="D20276" s="30" t="s">
        <v>17</v>
      </c>
      <c r="E20276" s="30" t="s">
        <v>26</v>
      </c>
      <c r="F20276" s="30" t="s">
        <v>27</v>
      </c>
      <c r="G20276" s="30" t="s">
        <v>140</v>
      </c>
      <c r="H20276" s="32">
        <v>60</v>
      </c>
      <c r="I20276" s="30" t="s">
        <v>51</v>
      </c>
      <c r="J20276" s="41">
        <v>45632</v>
      </c>
      <c r="K20276" s="30" t="s">
        <v>22</v>
      </c>
    </row>
    <row r="20277" spans="1:11">
      <c r="A20277" s="33" t="s">
        <v>45053</v>
      </c>
      <c r="B20277" s="33" t="s">
        <v>45054</v>
      </c>
      <c r="C20277" s="33" t="s">
        <v>45055</v>
      </c>
      <c r="D20277" s="33" t="s">
        <v>17</v>
      </c>
      <c r="E20277" s="33" t="s">
        <v>26</v>
      </c>
      <c r="F20277" s="33" t="s">
        <v>27</v>
      </c>
      <c r="G20277" s="33" t="s">
        <v>20</v>
      </c>
      <c r="H20277" s="35">
        <v>267</v>
      </c>
      <c r="I20277" s="33" t="s">
        <v>21</v>
      </c>
      <c r="J20277" s="42">
        <v>45504</v>
      </c>
      <c r="K20277" s="33" t="s">
        <v>22</v>
      </c>
    </row>
    <row r="20278" spans="1:11">
      <c r="A20278" s="30" t="s">
        <v>45056</v>
      </c>
      <c r="B20278" s="30" t="s">
        <v>45057</v>
      </c>
      <c r="C20278" s="30" t="s">
        <v>2562</v>
      </c>
      <c r="D20278" s="30" t="s">
        <v>17</v>
      </c>
      <c r="E20278" s="30" t="s">
        <v>18</v>
      </c>
      <c r="F20278" s="30" t="s">
        <v>19</v>
      </c>
      <c r="G20278" s="30" t="s">
        <v>20</v>
      </c>
      <c r="H20278" s="32">
        <v>200</v>
      </c>
      <c r="I20278" s="30" t="s">
        <v>21</v>
      </c>
      <c r="J20278" s="41">
        <v>45468</v>
      </c>
      <c r="K20278" s="30" t="s">
        <v>22</v>
      </c>
    </row>
    <row r="20279" spans="1:11">
      <c r="A20279" s="33" t="s">
        <v>45058</v>
      </c>
      <c r="B20279" s="33" t="s">
        <v>45059</v>
      </c>
      <c r="C20279" s="33" t="s">
        <v>990</v>
      </c>
      <c r="D20279" s="33" t="s">
        <v>17</v>
      </c>
      <c r="E20279" s="33" t="s">
        <v>26</v>
      </c>
      <c r="F20279" s="33" t="s">
        <v>27</v>
      </c>
      <c r="G20279" s="33" t="s">
        <v>20</v>
      </c>
      <c r="H20279" s="35">
        <v>106</v>
      </c>
      <c r="I20279" s="33" t="s">
        <v>21</v>
      </c>
      <c r="J20279" s="42">
        <v>45379</v>
      </c>
      <c r="K20279" s="33" t="s">
        <v>22</v>
      </c>
    </row>
    <row r="20280" spans="1:11">
      <c r="A20280" s="30" t="s">
        <v>45060</v>
      </c>
      <c r="B20280" s="30" t="s">
        <v>45061</v>
      </c>
      <c r="C20280" s="30" t="s">
        <v>45062</v>
      </c>
      <c r="D20280" s="30" t="s">
        <v>17</v>
      </c>
      <c r="E20280" s="30" t="s">
        <v>18</v>
      </c>
      <c r="F20280" s="30" t="s">
        <v>19</v>
      </c>
      <c r="G20280" s="30" t="s">
        <v>140</v>
      </c>
      <c r="H20280" s="32">
        <v>84</v>
      </c>
      <c r="I20280" s="30" t="s">
        <v>51</v>
      </c>
      <c r="J20280" s="41">
        <v>45444</v>
      </c>
      <c r="K20280" s="30" t="s">
        <v>22</v>
      </c>
    </row>
    <row r="20281" spans="1:11">
      <c r="A20281" s="33" t="s">
        <v>45063</v>
      </c>
      <c r="B20281" s="33" t="s">
        <v>45064</v>
      </c>
      <c r="C20281" s="33" t="s">
        <v>1571</v>
      </c>
      <c r="D20281" s="33" t="s">
        <v>17</v>
      </c>
      <c r="E20281" s="33" t="s">
        <v>31</v>
      </c>
      <c r="F20281" s="33" t="s">
        <v>32</v>
      </c>
      <c r="G20281" s="33" t="s">
        <v>140</v>
      </c>
      <c r="H20281" s="35">
        <v>202</v>
      </c>
      <c r="I20281" s="33" t="s">
        <v>51</v>
      </c>
      <c r="J20281" s="42">
        <v>45609</v>
      </c>
      <c r="K20281" s="33" t="s">
        <v>22</v>
      </c>
    </row>
    <row r="20282" spans="1:11">
      <c r="A20282" s="30" t="s">
        <v>45065</v>
      </c>
      <c r="B20282" s="30" t="s">
        <v>45066</v>
      </c>
      <c r="C20282" s="30" t="s">
        <v>647</v>
      </c>
      <c r="D20282" s="30" t="s">
        <v>17</v>
      </c>
      <c r="E20282" s="30" t="s">
        <v>26</v>
      </c>
      <c r="F20282" s="30" t="s">
        <v>27</v>
      </c>
      <c r="G20282" s="30" t="s">
        <v>20</v>
      </c>
      <c r="H20282" s="32">
        <v>24</v>
      </c>
      <c r="I20282" s="30" t="s">
        <v>21</v>
      </c>
      <c r="J20282" s="41">
        <v>45314</v>
      </c>
      <c r="K20282" s="30" t="s">
        <v>22</v>
      </c>
    </row>
    <row r="20283" spans="1:11">
      <c r="A20283" s="33" t="s">
        <v>45067</v>
      </c>
      <c r="B20283" s="33" t="s">
        <v>45068</v>
      </c>
      <c r="C20283" s="33" t="s">
        <v>17636</v>
      </c>
      <c r="D20283" s="33" t="s">
        <v>17</v>
      </c>
      <c r="E20283" s="33" t="s">
        <v>67</v>
      </c>
      <c r="F20283" s="33" t="s">
        <v>68</v>
      </c>
      <c r="G20283" s="33" t="s">
        <v>112</v>
      </c>
      <c r="H20283" s="35">
        <v>0</v>
      </c>
      <c r="I20283" s="33" t="s">
        <v>21</v>
      </c>
      <c r="J20283" s="42">
        <v>45474</v>
      </c>
      <c r="K20283" s="33" t="s">
        <v>22</v>
      </c>
    </row>
    <row r="20284" spans="1:11">
      <c r="A20284" s="30" t="s">
        <v>45069</v>
      </c>
      <c r="B20284" s="30" t="s">
        <v>45070</v>
      </c>
      <c r="C20284" s="30" t="s">
        <v>45071</v>
      </c>
      <c r="D20284" s="30" t="s">
        <v>17</v>
      </c>
      <c r="E20284" s="30" t="s">
        <v>26</v>
      </c>
      <c r="F20284" s="30" t="s">
        <v>27</v>
      </c>
      <c r="G20284" s="30" t="s">
        <v>140</v>
      </c>
      <c r="H20284" s="32">
        <v>56</v>
      </c>
      <c r="I20284" s="30" t="s">
        <v>51</v>
      </c>
      <c r="J20284" s="41">
        <v>45392</v>
      </c>
      <c r="K20284" s="30" t="s">
        <v>22</v>
      </c>
    </row>
    <row r="20285" spans="1:11">
      <c r="A20285" s="33" t="s">
        <v>45072</v>
      </c>
      <c r="B20285" s="33" t="s">
        <v>45073</v>
      </c>
      <c r="C20285" s="33" t="s">
        <v>136</v>
      </c>
      <c r="D20285" s="33" t="s">
        <v>17</v>
      </c>
      <c r="E20285" s="33" t="s">
        <v>31</v>
      </c>
      <c r="F20285" s="33" t="s">
        <v>32</v>
      </c>
      <c r="G20285" s="33" t="s">
        <v>20</v>
      </c>
      <c r="H20285" s="35">
        <v>304</v>
      </c>
      <c r="I20285" s="33" t="s">
        <v>21</v>
      </c>
      <c r="J20285" s="42">
        <v>45530</v>
      </c>
      <c r="K20285" s="33" t="s">
        <v>22</v>
      </c>
    </row>
    <row r="20286" spans="1:11">
      <c r="A20286" s="30" t="s">
        <v>45074</v>
      </c>
      <c r="B20286" s="30" t="s">
        <v>45075</v>
      </c>
      <c r="C20286" s="30" t="s">
        <v>1908</v>
      </c>
      <c r="D20286" s="30" t="s">
        <v>17</v>
      </c>
      <c r="E20286" s="30" t="s">
        <v>26</v>
      </c>
      <c r="F20286" s="30" t="s">
        <v>27</v>
      </c>
      <c r="G20286" s="30" t="s">
        <v>20</v>
      </c>
      <c r="H20286" s="32">
        <v>49</v>
      </c>
      <c r="I20286" s="30" t="s">
        <v>21</v>
      </c>
      <c r="J20286" s="41">
        <v>45349</v>
      </c>
      <c r="K20286" s="30" t="s">
        <v>22</v>
      </c>
    </row>
    <row r="20287" spans="1:11">
      <c r="A20287" s="33" t="s">
        <v>45076</v>
      </c>
      <c r="B20287" s="33" t="s">
        <v>45077</v>
      </c>
      <c r="C20287" s="33" t="s">
        <v>93</v>
      </c>
      <c r="D20287" s="33" t="s">
        <v>17</v>
      </c>
      <c r="E20287" s="33" t="s">
        <v>26</v>
      </c>
      <c r="F20287" s="33" t="s">
        <v>27</v>
      </c>
      <c r="G20287" s="33" t="s">
        <v>20</v>
      </c>
      <c r="H20287" s="35">
        <v>53</v>
      </c>
      <c r="I20287" s="33" t="s">
        <v>21</v>
      </c>
      <c r="J20287" s="42">
        <v>45421</v>
      </c>
      <c r="K20287" s="33" t="s">
        <v>22</v>
      </c>
    </row>
    <row r="20288" spans="1:11">
      <c r="A20288" s="30" t="s">
        <v>45078</v>
      </c>
      <c r="B20288" s="30" t="s">
        <v>45079</v>
      </c>
      <c r="C20288" s="30" t="s">
        <v>1295</v>
      </c>
      <c r="D20288" s="30" t="s">
        <v>17</v>
      </c>
      <c r="E20288" s="30" t="s">
        <v>45</v>
      </c>
      <c r="F20288" s="30" t="s">
        <v>46</v>
      </c>
      <c r="G20288" s="30" t="s">
        <v>2613</v>
      </c>
      <c r="H20288" s="32">
        <v>15</v>
      </c>
      <c r="I20288" s="30" t="s">
        <v>51</v>
      </c>
      <c r="J20288" s="41">
        <v>45566</v>
      </c>
      <c r="K20288" s="30" t="s">
        <v>22</v>
      </c>
    </row>
    <row r="20289" spans="1:11">
      <c r="A20289" s="33" t="s">
        <v>45080</v>
      </c>
      <c r="B20289" s="33" t="s">
        <v>45081</v>
      </c>
      <c r="C20289" s="33" t="s">
        <v>45082</v>
      </c>
      <c r="D20289" s="33" t="s">
        <v>17</v>
      </c>
      <c r="E20289" s="33" t="s">
        <v>26</v>
      </c>
      <c r="F20289" s="33" t="s">
        <v>27</v>
      </c>
      <c r="G20289" s="33" t="s">
        <v>106</v>
      </c>
      <c r="H20289" s="35">
        <v>1</v>
      </c>
      <c r="I20289" s="33" t="s">
        <v>21</v>
      </c>
      <c r="J20289" s="42">
        <v>45541</v>
      </c>
      <c r="K20289" s="33" t="s">
        <v>22</v>
      </c>
    </row>
    <row r="20290" spans="1:11">
      <c r="A20290" s="30" t="s">
        <v>45083</v>
      </c>
      <c r="B20290" s="30" t="s">
        <v>45084</v>
      </c>
      <c r="C20290" s="30" t="s">
        <v>45085</v>
      </c>
      <c r="D20290" s="30" t="s">
        <v>17</v>
      </c>
      <c r="E20290" s="30" t="s">
        <v>18</v>
      </c>
      <c r="F20290" s="30" t="s">
        <v>19</v>
      </c>
      <c r="G20290" s="30" t="s">
        <v>20</v>
      </c>
      <c r="H20290" s="32">
        <v>427</v>
      </c>
      <c r="I20290" s="30" t="s">
        <v>21</v>
      </c>
      <c r="J20290" s="41">
        <v>45656</v>
      </c>
      <c r="K20290" s="30" t="s">
        <v>22</v>
      </c>
    </row>
    <row r="20291" spans="1:11">
      <c r="A20291" s="33" t="s">
        <v>45086</v>
      </c>
      <c r="B20291" s="33" t="s">
        <v>45087</v>
      </c>
      <c r="C20291" s="33" t="s">
        <v>698</v>
      </c>
      <c r="D20291" s="33" t="s">
        <v>17</v>
      </c>
      <c r="E20291" s="33" t="s">
        <v>67</v>
      </c>
      <c r="F20291" s="33" t="s">
        <v>68</v>
      </c>
      <c r="G20291" s="33" t="s">
        <v>140</v>
      </c>
      <c r="H20291" s="35">
        <v>307</v>
      </c>
      <c r="I20291" s="33" t="s">
        <v>51</v>
      </c>
      <c r="J20291" s="42">
        <v>45427</v>
      </c>
      <c r="K20291" s="33" t="s">
        <v>22</v>
      </c>
    </row>
    <row r="20292" spans="1:11">
      <c r="A20292" s="30" t="s">
        <v>45088</v>
      </c>
      <c r="B20292" s="30" t="s">
        <v>45089</v>
      </c>
      <c r="C20292" s="30" t="s">
        <v>20032</v>
      </c>
      <c r="D20292" s="30" t="s">
        <v>17</v>
      </c>
      <c r="E20292" s="30" t="s">
        <v>26</v>
      </c>
      <c r="F20292" s="30" t="s">
        <v>27</v>
      </c>
      <c r="G20292" s="30" t="s">
        <v>20</v>
      </c>
      <c r="H20292" s="32">
        <v>49</v>
      </c>
      <c r="I20292" s="30" t="s">
        <v>21</v>
      </c>
      <c r="J20292" s="41">
        <v>45456</v>
      </c>
      <c r="K20292" s="30" t="s">
        <v>22</v>
      </c>
    </row>
    <row r="20293" spans="1:11">
      <c r="A20293" s="33" t="s">
        <v>45090</v>
      </c>
      <c r="B20293" s="33" t="s">
        <v>45091</v>
      </c>
      <c r="C20293" s="33" t="s">
        <v>115</v>
      </c>
      <c r="D20293" s="33" t="s">
        <v>17</v>
      </c>
      <c r="E20293" s="33" t="s">
        <v>18</v>
      </c>
      <c r="F20293" s="33" t="s">
        <v>19</v>
      </c>
      <c r="G20293" s="33" t="s">
        <v>158</v>
      </c>
      <c r="H20293" s="35">
        <v>21</v>
      </c>
      <c r="I20293" s="33" t="s">
        <v>21</v>
      </c>
      <c r="J20293" s="42">
        <v>45503</v>
      </c>
      <c r="K20293" s="33" t="s">
        <v>22</v>
      </c>
    </row>
    <row r="20294" spans="1:11">
      <c r="A20294" s="30" t="s">
        <v>45092</v>
      </c>
      <c r="B20294" s="30" t="s">
        <v>45093</v>
      </c>
      <c r="C20294" s="30" t="s">
        <v>45094</v>
      </c>
      <c r="D20294" s="30" t="s">
        <v>17</v>
      </c>
      <c r="E20294" s="30" t="s">
        <v>212</v>
      </c>
      <c r="F20294" s="30" t="s">
        <v>213</v>
      </c>
      <c r="G20294" s="30" t="s">
        <v>140</v>
      </c>
      <c r="H20294" s="32">
        <v>60</v>
      </c>
      <c r="I20294" s="30" t="s">
        <v>51</v>
      </c>
      <c r="J20294" s="41">
        <v>45582</v>
      </c>
      <c r="K20294" s="30" t="s">
        <v>22</v>
      </c>
    </row>
    <row r="20295" spans="1:11">
      <c r="A20295" s="33" t="s">
        <v>45095</v>
      </c>
      <c r="B20295" s="33" t="s">
        <v>45096</v>
      </c>
      <c r="C20295" s="33" t="s">
        <v>450</v>
      </c>
      <c r="D20295" s="33" t="s">
        <v>17</v>
      </c>
      <c r="E20295" s="33" t="s">
        <v>26</v>
      </c>
      <c r="F20295" s="33" t="s">
        <v>27</v>
      </c>
      <c r="G20295" s="33" t="s">
        <v>20</v>
      </c>
      <c r="H20295" s="35">
        <v>8</v>
      </c>
      <c r="I20295" s="33" t="s">
        <v>21</v>
      </c>
      <c r="J20295" s="42">
        <v>45593</v>
      </c>
      <c r="K20295" s="33" t="s">
        <v>22</v>
      </c>
    </row>
    <row r="20296" spans="1:11">
      <c r="A20296" s="30" t="s">
        <v>45097</v>
      </c>
      <c r="B20296" s="30" t="s">
        <v>45098</v>
      </c>
      <c r="C20296" s="30" t="s">
        <v>45099</v>
      </c>
      <c r="D20296" s="30" t="s">
        <v>17</v>
      </c>
      <c r="E20296" s="30" t="s">
        <v>67</v>
      </c>
      <c r="F20296" s="30" t="s">
        <v>68</v>
      </c>
      <c r="G20296" s="30" t="s">
        <v>140</v>
      </c>
      <c r="H20296" s="32">
        <v>30</v>
      </c>
      <c r="I20296" s="30" t="s">
        <v>51</v>
      </c>
      <c r="J20296" s="41">
        <v>45600</v>
      </c>
      <c r="K20296" s="30" t="s">
        <v>22</v>
      </c>
    </row>
    <row r="20297" spans="1:11">
      <c r="A20297" s="33" t="s">
        <v>45100</v>
      </c>
      <c r="B20297" s="33" t="s">
        <v>45101</v>
      </c>
      <c r="C20297" s="33" t="s">
        <v>13241</v>
      </c>
      <c r="D20297" s="33" t="s">
        <v>17</v>
      </c>
      <c r="E20297" s="33" t="s">
        <v>67</v>
      </c>
      <c r="F20297" s="33" t="s">
        <v>68</v>
      </c>
      <c r="G20297" s="33" t="s">
        <v>140</v>
      </c>
      <c r="H20297" s="35">
        <v>90</v>
      </c>
      <c r="I20297" s="33" t="s">
        <v>51</v>
      </c>
      <c r="J20297" s="42">
        <v>45600</v>
      </c>
      <c r="K20297" s="33" t="s">
        <v>22</v>
      </c>
    </row>
    <row r="20298" spans="1:11">
      <c r="A20298" s="30" t="s">
        <v>45102</v>
      </c>
      <c r="B20298" s="30" t="s">
        <v>45103</v>
      </c>
      <c r="C20298" s="30" t="s">
        <v>1905</v>
      </c>
      <c r="D20298" s="30" t="s">
        <v>17</v>
      </c>
      <c r="E20298" s="30" t="s">
        <v>18</v>
      </c>
      <c r="F20298" s="30" t="s">
        <v>19</v>
      </c>
      <c r="G20298" s="30" t="s">
        <v>50</v>
      </c>
      <c r="H20298" s="32">
        <v>500</v>
      </c>
      <c r="I20298" s="30" t="s">
        <v>51</v>
      </c>
      <c r="J20298" s="41">
        <v>45440</v>
      </c>
      <c r="K20298" s="30" t="s">
        <v>22</v>
      </c>
    </row>
    <row r="20299" spans="1:11">
      <c r="A20299" s="33" t="s">
        <v>45104</v>
      </c>
      <c r="B20299" s="33" t="s">
        <v>45105</v>
      </c>
      <c r="C20299" s="33" t="s">
        <v>23340</v>
      </c>
      <c r="D20299" s="33" t="s">
        <v>17</v>
      </c>
      <c r="E20299" s="33" t="s">
        <v>31</v>
      </c>
      <c r="F20299" s="33" t="s">
        <v>32</v>
      </c>
      <c r="G20299" s="33" t="s">
        <v>20</v>
      </c>
      <c r="H20299" s="35">
        <v>156</v>
      </c>
      <c r="I20299" s="33" t="s">
        <v>21</v>
      </c>
      <c r="J20299" s="42">
        <v>45377</v>
      </c>
      <c r="K20299" s="33" t="s">
        <v>22</v>
      </c>
    </row>
    <row r="20300" spans="1:11">
      <c r="A20300" s="30" t="s">
        <v>45106</v>
      </c>
      <c r="B20300" s="30" t="s">
        <v>45107</v>
      </c>
      <c r="C20300" s="30" t="s">
        <v>1090</v>
      </c>
      <c r="D20300" s="30" t="s">
        <v>17</v>
      </c>
      <c r="E20300" s="30" t="s">
        <v>18</v>
      </c>
      <c r="F20300" s="30" t="s">
        <v>19</v>
      </c>
      <c r="G20300" s="30" t="s">
        <v>140</v>
      </c>
      <c r="H20300" s="32">
        <v>630</v>
      </c>
      <c r="I20300" s="30" t="s">
        <v>51</v>
      </c>
      <c r="J20300" s="41">
        <v>45349</v>
      </c>
      <c r="K20300" s="30" t="s">
        <v>22</v>
      </c>
    </row>
    <row r="20301" spans="1:11">
      <c r="A20301" s="33" t="s">
        <v>45108</v>
      </c>
      <c r="B20301" s="33" t="s">
        <v>45109</v>
      </c>
      <c r="C20301" s="33" t="s">
        <v>10259</v>
      </c>
      <c r="D20301" s="33" t="s">
        <v>17</v>
      </c>
      <c r="E20301" s="33" t="s">
        <v>31</v>
      </c>
      <c r="F20301" s="33" t="s">
        <v>32</v>
      </c>
      <c r="G20301" s="33" t="s">
        <v>140</v>
      </c>
      <c r="H20301" s="35">
        <v>106</v>
      </c>
      <c r="I20301" s="33" t="s">
        <v>51</v>
      </c>
      <c r="J20301" s="42">
        <v>45627</v>
      </c>
      <c r="K20301" s="33" t="s">
        <v>22</v>
      </c>
    </row>
    <row r="20302" spans="1:11">
      <c r="A20302" s="30" t="s">
        <v>45110</v>
      </c>
      <c r="B20302" s="30" t="s">
        <v>45111</v>
      </c>
      <c r="C20302" s="30" t="s">
        <v>44</v>
      </c>
      <c r="D20302" s="30" t="s">
        <v>17</v>
      </c>
      <c r="E20302" s="30" t="s">
        <v>18</v>
      </c>
      <c r="F20302" s="30" t="s">
        <v>19</v>
      </c>
      <c r="G20302" s="30" t="s">
        <v>20</v>
      </c>
      <c r="H20302" s="32">
        <v>35</v>
      </c>
      <c r="I20302" s="30" t="s">
        <v>21</v>
      </c>
      <c r="J20302" s="41">
        <v>45397</v>
      </c>
      <c r="K20302" s="30" t="s">
        <v>22</v>
      </c>
    </row>
    <row r="20303" spans="1:11">
      <c r="A20303" s="33" t="s">
        <v>45112</v>
      </c>
      <c r="B20303" s="33" t="s">
        <v>45113</v>
      </c>
      <c r="C20303" s="33" t="s">
        <v>20352</v>
      </c>
      <c r="D20303" s="33" t="s">
        <v>17</v>
      </c>
      <c r="E20303" s="33" t="s">
        <v>31</v>
      </c>
      <c r="F20303" s="33" t="s">
        <v>32</v>
      </c>
      <c r="G20303" s="33" t="s">
        <v>69</v>
      </c>
      <c r="H20303" s="35">
        <v>240</v>
      </c>
      <c r="I20303" s="33" t="s">
        <v>51</v>
      </c>
      <c r="J20303" s="42">
        <v>45594</v>
      </c>
      <c r="K20303" s="33" t="s">
        <v>22</v>
      </c>
    </row>
    <row r="20304" spans="1:11">
      <c r="A20304" s="30" t="s">
        <v>45114</v>
      </c>
      <c r="B20304" s="30" t="s">
        <v>45115</v>
      </c>
      <c r="C20304" s="30" t="s">
        <v>6643</v>
      </c>
      <c r="D20304" s="30" t="s">
        <v>17</v>
      </c>
      <c r="E20304" s="30" t="s">
        <v>26</v>
      </c>
      <c r="F20304" s="30" t="s">
        <v>27</v>
      </c>
      <c r="G20304" s="30" t="s">
        <v>140</v>
      </c>
      <c r="H20304" s="32">
        <v>80</v>
      </c>
      <c r="I20304" s="30" t="s">
        <v>51</v>
      </c>
      <c r="J20304" s="41">
        <v>45294</v>
      </c>
      <c r="K20304" s="30" t="s">
        <v>22</v>
      </c>
    </row>
    <row r="20305" spans="1:11">
      <c r="A20305" s="33" t="s">
        <v>45116</v>
      </c>
      <c r="B20305" s="33" t="s">
        <v>45117</v>
      </c>
      <c r="C20305" s="33" t="s">
        <v>25549</v>
      </c>
      <c r="D20305" s="33" t="s">
        <v>17</v>
      </c>
      <c r="E20305" s="33" t="s">
        <v>18</v>
      </c>
      <c r="F20305" s="33" t="s">
        <v>19</v>
      </c>
      <c r="G20305" s="33" t="s">
        <v>20</v>
      </c>
      <c r="H20305" s="35">
        <v>76</v>
      </c>
      <c r="I20305" s="33" t="s">
        <v>21</v>
      </c>
      <c r="J20305" s="42">
        <v>45590</v>
      </c>
      <c r="K20305" s="33" t="s">
        <v>22</v>
      </c>
    </row>
    <row r="20306" spans="1:11">
      <c r="A20306" s="30" t="s">
        <v>45118</v>
      </c>
      <c r="B20306" s="30" t="s">
        <v>45119</v>
      </c>
      <c r="C20306" s="30" t="s">
        <v>4622</v>
      </c>
      <c r="D20306" s="30" t="s">
        <v>17</v>
      </c>
      <c r="E20306" s="30" t="s">
        <v>31</v>
      </c>
      <c r="F20306" s="30" t="s">
        <v>32</v>
      </c>
      <c r="G20306" s="30" t="s">
        <v>158</v>
      </c>
      <c r="H20306" s="32">
        <v>46</v>
      </c>
      <c r="I20306" s="30" t="s">
        <v>21</v>
      </c>
      <c r="J20306" s="41">
        <v>45329</v>
      </c>
      <c r="K20306" s="30" t="s">
        <v>22</v>
      </c>
    </row>
    <row r="20307" spans="1:11">
      <c r="A20307" s="33" t="s">
        <v>45120</v>
      </c>
      <c r="B20307" s="33" t="s">
        <v>45121</v>
      </c>
      <c r="C20307" s="33" t="s">
        <v>45122</v>
      </c>
      <c r="D20307" s="33" t="s">
        <v>17</v>
      </c>
      <c r="E20307" s="33" t="s">
        <v>18</v>
      </c>
      <c r="F20307" s="33" t="s">
        <v>19</v>
      </c>
      <c r="G20307" s="33" t="s">
        <v>140</v>
      </c>
      <c r="H20307" s="35">
        <v>230</v>
      </c>
      <c r="I20307" s="33" t="s">
        <v>51</v>
      </c>
      <c r="J20307" s="42">
        <v>45301</v>
      </c>
      <c r="K20307" s="33" t="s">
        <v>22</v>
      </c>
    </row>
    <row r="20308" spans="1:11">
      <c r="A20308" s="30" t="s">
        <v>45123</v>
      </c>
      <c r="B20308" s="30" t="s">
        <v>45124</v>
      </c>
      <c r="C20308" s="30" t="s">
        <v>1764</v>
      </c>
      <c r="D20308" s="30" t="s">
        <v>17</v>
      </c>
      <c r="E20308" s="30" t="s">
        <v>18</v>
      </c>
      <c r="F20308" s="30" t="s">
        <v>19</v>
      </c>
      <c r="G20308" s="30" t="s">
        <v>20</v>
      </c>
      <c r="H20308" s="32">
        <v>80</v>
      </c>
      <c r="I20308" s="30" t="s">
        <v>21</v>
      </c>
      <c r="J20308" s="41">
        <v>45558</v>
      </c>
      <c r="K20308" s="30" t="s">
        <v>22</v>
      </c>
    </row>
    <row r="20309" spans="1:11">
      <c r="A20309" s="33" t="s">
        <v>45125</v>
      </c>
      <c r="B20309" s="33" t="s">
        <v>45126</v>
      </c>
      <c r="C20309" s="33" t="s">
        <v>15421</v>
      </c>
      <c r="D20309" s="33" t="s">
        <v>17</v>
      </c>
      <c r="E20309" s="33" t="s">
        <v>67</v>
      </c>
      <c r="F20309" s="33" t="s">
        <v>68</v>
      </c>
      <c r="G20309" s="33" t="s">
        <v>140</v>
      </c>
      <c r="H20309" s="35">
        <v>54</v>
      </c>
      <c r="I20309" s="33" t="s">
        <v>51</v>
      </c>
      <c r="J20309" s="42">
        <v>45482</v>
      </c>
      <c r="K20309" s="33" t="s">
        <v>22</v>
      </c>
    </row>
    <row r="20310" spans="1:11">
      <c r="A20310" s="30" t="s">
        <v>45127</v>
      </c>
      <c r="B20310" s="30" t="s">
        <v>45128</v>
      </c>
      <c r="C20310" s="30" t="s">
        <v>11001</v>
      </c>
      <c r="D20310" s="30" t="s">
        <v>17</v>
      </c>
      <c r="E20310" s="30" t="s">
        <v>18</v>
      </c>
      <c r="F20310" s="30" t="s">
        <v>19</v>
      </c>
      <c r="G20310" s="30" t="s">
        <v>140</v>
      </c>
      <c r="H20310" s="32">
        <v>356</v>
      </c>
      <c r="I20310" s="30" t="s">
        <v>51</v>
      </c>
      <c r="J20310" s="41">
        <v>45631</v>
      </c>
      <c r="K20310" s="30" t="s">
        <v>22</v>
      </c>
    </row>
    <row r="20311" spans="1:11">
      <c r="A20311" s="33" t="s">
        <v>45129</v>
      </c>
      <c r="B20311" s="33" t="s">
        <v>45130</v>
      </c>
      <c r="C20311" s="33" t="s">
        <v>190</v>
      </c>
      <c r="D20311" s="33" t="s">
        <v>17</v>
      </c>
      <c r="E20311" s="33" t="s">
        <v>18</v>
      </c>
      <c r="F20311" s="33" t="s">
        <v>19</v>
      </c>
      <c r="G20311" s="33" t="s">
        <v>140</v>
      </c>
      <c r="H20311" s="35">
        <v>1160</v>
      </c>
      <c r="I20311" s="33" t="s">
        <v>51</v>
      </c>
      <c r="J20311" s="42">
        <v>45614</v>
      </c>
      <c r="K20311" s="33" t="s">
        <v>22</v>
      </c>
    </row>
    <row r="20312" spans="1:11">
      <c r="A20312" s="30" t="s">
        <v>45131</v>
      </c>
      <c r="B20312" s="30" t="s">
        <v>45132</v>
      </c>
      <c r="C20312" s="30" t="s">
        <v>7449</v>
      </c>
      <c r="D20312" s="30" t="s">
        <v>17</v>
      </c>
      <c r="E20312" s="30" t="s">
        <v>18</v>
      </c>
      <c r="F20312" s="30" t="s">
        <v>19</v>
      </c>
      <c r="G20312" s="30" t="s">
        <v>158</v>
      </c>
      <c r="H20312" s="32">
        <v>452</v>
      </c>
      <c r="I20312" s="30" t="s">
        <v>21</v>
      </c>
      <c r="J20312" s="41">
        <v>45527</v>
      </c>
      <c r="K20312" s="30" t="s">
        <v>22</v>
      </c>
    </row>
    <row r="20313" spans="1:11">
      <c r="A20313" s="33" t="s">
        <v>45133</v>
      </c>
      <c r="B20313" s="33" t="s">
        <v>45134</v>
      </c>
      <c r="C20313" s="33" t="s">
        <v>28438</v>
      </c>
      <c r="D20313" s="33" t="s">
        <v>17</v>
      </c>
      <c r="E20313" s="33" t="s">
        <v>31</v>
      </c>
      <c r="F20313" s="33" t="s">
        <v>32</v>
      </c>
      <c r="G20313" s="33" t="s">
        <v>140</v>
      </c>
      <c r="H20313" s="35">
        <v>30</v>
      </c>
      <c r="I20313" s="33" t="s">
        <v>51</v>
      </c>
      <c r="J20313" s="42">
        <v>45516</v>
      </c>
      <c r="K20313" s="33" t="s">
        <v>22</v>
      </c>
    </row>
    <row r="20314" spans="1:11">
      <c r="A20314" s="30" t="s">
        <v>45135</v>
      </c>
      <c r="B20314" s="30" t="s">
        <v>45136</v>
      </c>
      <c r="C20314" s="30" t="s">
        <v>1003</v>
      </c>
      <c r="D20314" s="30" t="s">
        <v>17</v>
      </c>
      <c r="E20314" s="30" t="s">
        <v>67</v>
      </c>
      <c r="F20314" s="30" t="s">
        <v>68</v>
      </c>
      <c r="G20314" s="30" t="s">
        <v>50</v>
      </c>
      <c r="H20314" s="32">
        <v>48</v>
      </c>
      <c r="I20314" s="30" t="s">
        <v>51</v>
      </c>
      <c r="J20314" s="41">
        <v>45378</v>
      </c>
      <c r="K20314" s="30" t="s">
        <v>22</v>
      </c>
    </row>
    <row r="20315" spans="1:11">
      <c r="A20315" s="33" t="s">
        <v>45137</v>
      </c>
      <c r="B20315" s="33" t="s">
        <v>45138</v>
      </c>
      <c r="C20315" s="33" t="s">
        <v>149</v>
      </c>
      <c r="D20315" s="33" t="s">
        <v>17</v>
      </c>
      <c r="E20315" s="33" t="s">
        <v>26</v>
      </c>
      <c r="F20315" s="33" t="s">
        <v>27</v>
      </c>
      <c r="G20315" s="33" t="s">
        <v>7780</v>
      </c>
      <c r="H20315" s="35">
        <v>100</v>
      </c>
      <c r="I20315" s="33" t="s">
        <v>51</v>
      </c>
      <c r="J20315" s="42">
        <v>45565</v>
      </c>
      <c r="K20315" s="33" t="s">
        <v>22</v>
      </c>
    </row>
    <row r="20316" spans="1:11">
      <c r="A20316" s="30" t="s">
        <v>45139</v>
      </c>
      <c r="B20316" s="30" t="s">
        <v>45140</v>
      </c>
      <c r="C20316" s="30" t="s">
        <v>2220</v>
      </c>
      <c r="D20316" s="30" t="s">
        <v>17</v>
      </c>
      <c r="E20316" s="30" t="s">
        <v>18</v>
      </c>
      <c r="F20316" s="30" t="s">
        <v>19</v>
      </c>
      <c r="G20316" s="30" t="s">
        <v>2613</v>
      </c>
      <c r="H20316" s="32">
        <v>160</v>
      </c>
      <c r="I20316" s="30" t="s">
        <v>51</v>
      </c>
      <c r="J20316" s="41">
        <v>45362</v>
      </c>
      <c r="K20316" s="30" t="s">
        <v>22</v>
      </c>
    </row>
    <row r="20317" spans="1:11">
      <c r="A20317" s="33" t="s">
        <v>45141</v>
      </c>
      <c r="B20317" s="33" t="s">
        <v>45142</v>
      </c>
      <c r="C20317" s="33" t="s">
        <v>26196</v>
      </c>
      <c r="D20317" s="33" t="s">
        <v>17</v>
      </c>
      <c r="E20317" s="33" t="s">
        <v>31</v>
      </c>
      <c r="F20317" s="33" t="s">
        <v>32</v>
      </c>
      <c r="G20317" s="33" t="s">
        <v>158</v>
      </c>
      <c r="H20317" s="35">
        <v>50</v>
      </c>
      <c r="I20317" s="33" t="s">
        <v>51</v>
      </c>
      <c r="J20317" s="42">
        <v>45315</v>
      </c>
      <c r="K20317" s="33" t="s">
        <v>22</v>
      </c>
    </row>
    <row r="20318" spans="1:11">
      <c r="A20318" s="30" t="s">
        <v>45143</v>
      </c>
      <c r="B20318" s="30" t="s">
        <v>45144</v>
      </c>
      <c r="C20318" s="30" t="s">
        <v>20773</v>
      </c>
      <c r="D20318" s="30" t="s">
        <v>17</v>
      </c>
      <c r="E20318" s="30" t="s">
        <v>26</v>
      </c>
      <c r="F20318" s="30" t="s">
        <v>27</v>
      </c>
      <c r="G20318" s="30" t="s">
        <v>20</v>
      </c>
      <c r="H20318" s="32">
        <v>24</v>
      </c>
      <c r="I20318" s="30" t="s">
        <v>21</v>
      </c>
      <c r="J20318" s="41">
        <v>45555</v>
      </c>
      <c r="K20318" s="30" t="s">
        <v>22</v>
      </c>
    </row>
    <row r="20319" spans="1:11">
      <c r="A20319" s="33" t="s">
        <v>45145</v>
      </c>
      <c r="B20319" s="33" t="s">
        <v>45146</v>
      </c>
      <c r="C20319" s="33" t="s">
        <v>14176</v>
      </c>
      <c r="D20319" s="33" t="s">
        <v>17</v>
      </c>
      <c r="E20319" s="33" t="s">
        <v>26</v>
      </c>
      <c r="F20319" s="33" t="s">
        <v>27</v>
      </c>
      <c r="G20319" s="33" t="s">
        <v>20</v>
      </c>
      <c r="H20319" s="35">
        <v>94</v>
      </c>
      <c r="I20319" s="33" t="s">
        <v>21</v>
      </c>
      <c r="J20319" s="42">
        <v>45566</v>
      </c>
      <c r="K20319" s="33" t="s">
        <v>22</v>
      </c>
    </row>
    <row r="20320" spans="1:11">
      <c r="A20320" s="30" t="s">
        <v>45147</v>
      </c>
      <c r="B20320" s="30" t="s">
        <v>45148</v>
      </c>
      <c r="C20320" s="30" t="s">
        <v>32630</v>
      </c>
      <c r="D20320" s="30" t="s">
        <v>17</v>
      </c>
      <c r="E20320" s="30" t="s">
        <v>31</v>
      </c>
      <c r="F20320" s="30" t="s">
        <v>32</v>
      </c>
      <c r="G20320" s="30" t="s">
        <v>20</v>
      </c>
      <c r="H20320" s="32">
        <v>24</v>
      </c>
      <c r="I20320" s="30" t="s">
        <v>21</v>
      </c>
      <c r="J20320" s="41">
        <v>45315</v>
      </c>
      <c r="K20320" s="30" t="s">
        <v>22</v>
      </c>
    </row>
    <row r="20321" spans="1:11">
      <c r="A20321" s="33" t="s">
        <v>45149</v>
      </c>
      <c r="B20321" s="33" t="s">
        <v>45150</v>
      </c>
      <c r="C20321" s="33" t="s">
        <v>6716</v>
      </c>
      <c r="D20321" s="33" t="s">
        <v>17</v>
      </c>
      <c r="E20321" s="33" t="s">
        <v>67</v>
      </c>
      <c r="F20321" s="33" t="s">
        <v>68</v>
      </c>
      <c r="G20321" s="33" t="s">
        <v>140</v>
      </c>
      <c r="H20321" s="35">
        <v>240</v>
      </c>
      <c r="I20321" s="33" t="s">
        <v>51</v>
      </c>
      <c r="J20321" s="42">
        <v>45600</v>
      </c>
      <c r="K20321" s="33" t="s">
        <v>22</v>
      </c>
    </row>
    <row r="20322" spans="1:11">
      <c r="A20322" s="30" t="s">
        <v>45151</v>
      </c>
      <c r="B20322" s="30" t="s">
        <v>45152</v>
      </c>
      <c r="C20322" s="30" t="s">
        <v>190</v>
      </c>
      <c r="D20322" s="30" t="s">
        <v>17</v>
      </c>
      <c r="E20322" s="30" t="s">
        <v>31</v>
      </c>
      <c r="F20322" s="30" t="s">
        <v>32</v>
      </c>
      <c r="G20322" s="30" t="s">
        <v>20</v>
      </c>
      <c r="H20322" s="32">
        <v>40</v>
      </c>
      <c r="I20322" s="30" t="s">
        <v>21</v>
      </c>
      <c r="J20322" s="41">
        <v>45632</v>
      </c>
      <c r="K20322" s="30" t="s">
        <v>22</v>
      </c>
    </row>
    <row r="20323" spans="1:11">
      <c r="A20323" s="33" t="s">
        <v>45153</v>
      </c>
      <c r="B20323" s="33" t="s">
        <v>45154</v>
      </c>
      <c r="C20323" s="33" t="s">
        <v>1219</v>
      </c>
      <c r="D20323" s="33" t="s">
        <v>17</v>
      </c>
      <c r="E20323" s="33" t="s">
        <v>31</v>
      </c>
      <c r="F20323" s="33" t="s">
        <v>32</v>
      </c>
      <c r="G20323" s="33" t="s">
        <v>140</v>
      </c>
      <c r="H20323" s="35">
        <v>155</v>
      </c>
      <c r="I20323" s="33" t="s">
        <v>51</v>
      </c>
      <c r="J20323" s="42">
        <v>45411</v>
      </c>
      <c r="K20323" s="33" t="s">
        <v>22</v>
      </c>
    </row>
    <row r="20324" spans="1:11">
      <c r="A20324" s="30" t="s">
        <v>45155</v>
      </c>
      <c r="B20324" s="30" t="s">
        <v>45156</v>
      </c>
      <c r="C20324" s="30" t="s">
        <v>11899</v>
      </c>
      <c r="D20324" s="30" t="s">
        <v>17</v>
      </c>
      <c r="E20324" s="30" t="s">
        <v>45</v>
      </c>
      <c r="F20324" s="30" t="s">
        <v>46</v>
      </c>
      <c r="G20324" s="30" t="s">
        <v>50</v>
      </c>
      <c r="H20324" s="32">
        <v>520</v>
      </c>
      <c r="I20324" s="30" t="s">
        <v>51</v>
      </c>
      <c r="J20324" s="41">
        <v>45337</v>
      </c>
      <c r="K20324" s="30" t="s">
        <v>22</v>
      </c>
    </row>
    <row r="20325" spans="1:11">
      <c r="A20325" s="33" t="s">
        <v>45157</v>
      </c>
      <c r="B20325" s="33" t="s">
        <v>45158</v>
      </c>
      <c r="C20325" s="33" t="s">
        <v>13877</v>
      </c>
      <c r="D20325" s="33" t="s">
        <v>17</v>
      </c>
      <c r="E20325" s="33" t="s">
        <v>31</v>
      </c>
      <c r="F20325" s="33" t="s">
        <v>32</v>
      </c>
      <c r="G20325" s="33" t="s">
        <v>106</v>
      </c>
      <c r="H20325" s="35">
        <v>123</v>
      </c>
      <c r="I20325" s="33" t="s">
        <v>21</v>
      </c>
      <c r="J20325" s="42">
        <v>45581</v>
      </c>
      <c r="K20325" s="33" t="s">
        <v>22</v>
      </c>
    </row>
    <row r="20326" spans="1:11">
      <c r="A20326" s="30" t="s">
        <v>45159</v>
      </c>
      <c r="B20326" s="30" t="s">
        <v>45160</v>
      </c>
      <c r="C20326" s="30" t="s">
        <v>3775</v>
      </c>
      <c r="D20326" s="30" t="s">
        <v>17</v>
      </c>
      <c r="E20326" s="30" t="s">
        <v>26</v>
      </c>
      <c r="F20326" s="30" t="s">
        <v>27</v>
      </c>
      <c r="G20326" s="30" t="s">
        <v>20</v>
      </c>
      <c r="H20326" s="32">
        <v>52</v>
      </c>
      <c r="I20326" s="30" t="s">
        <v>21</v>
      </c>
      <c r="J20326" s="41">
        <v>45336</v>
      </c>
      <c r="K20326" s="30" t="s">
        <v>22</v>
      </c>
    </row>
    <row r="20327" spans="1:11">
      <c r="A20327" s="33" t="s">
        <v>45161</v>
      </c>
      <c r="B20327" s="33" t="s">
        <v>45162</v>
      </c>
      <c r="C20327" s="33" t="s">
        <v>7736</v>
      </c>
      <c r="D20327" s="33" t="s">
        <v>17</v>
      </c>
      <c r="E20327" s="33" t="s">
        <v>31</v>
      </c>
      <c r="F20327" s="33" t="s">
        <v>32</v>
      </c>
      <c r="G20327" s="33" t="s">
        <v>20</v>
      </c>
      <c r="H20327" s="35">
        <v>99</v>
      </c>
      <c r="I20327" s="33" t="s">
        <v>21</v>
      </c>
      <c r="J20327" s="42">
        <v>45495</v>
      </c>
      <c r="K20327" s="33" t="s">
        <v>22</v>
      </c>
    </row>
    <row r="20328" spans="1:11">
      <c r="A20328" s="30" t="s">
        <v>45163</v>
      </c>
      <c r="B20328" s="30" t="s">
        <v>45164</v>
      </c>
      <c r="C20328" s="30" t="s">
        <v>7280</v>
      </c>
      <c r="D20328" s="30" t="s">
        <v>17</v>
      </c>
      <c r="E20328" s="30" t="s">
        <v>31</v>
      </c>
      <c r="F20328" s="30" t="s">
        <v>32</v>
      </c>
      <c r="G20328" s="30" t="s">
        <v>140</v>
      </c>
      <c r="H20328" s="32">
        <v>240</v>
      </c>
      <c r="I20328" s="30" t="s">
        <v>51</v>
      </c>
      <c r="J20328" s="41">
        <v>45566</v>
      </c>
      <c r="K20328" s="30" t="s">
        <v>22</v>
      </c>
    </row>
    <row r="20329" spans="1:11">
      <c r="A20329" s="33" t="s">
        <v>45165</v>
      </c>
      <c r="B20329" s="33" t="s">
        <v>45166</v>
      </c>
      <c r="C20329" s="33" t="s">
        <v>7629</v>
      </c>
      <c r="D20329" s="33" t="s">
        <v>17</v>
      </c>
      <c r="E20329" s="33" t="s">
        <v>31</v>
      </c>
      <c r="F20329" s="33" t="s">
        <v>32</v>
      </c>
      <c r="G20329" s="33" t="s">
        <v>140</v>
      </c>
      <c r="H20329" s="35">
        <v>53</v>
      </c>
      <c r="I20329" s="33" t="s">
        <v>51</v>
      </c>
      <c r="J20329" s="42">
        <v>45614</v>
      </c>
      <c r="K20329" s="33" t="s">
        <v>22</v>
      </c>
    </row>
    <row r="20330" spans="1:11">
      <c r="A20330" s="30" t="s">
        <v>45167</v>
      </c>
      <c r="B20330" s="30" t="s">
        <v>45168</v>
      </c>
      <c r="C20330" s="30" t="s">
        <v>231</v>
      </c>
      <c r="D20330" s="30" t="s">
        <v>17</v>
      </c>
      <c r="E20330" s="30" t="s">
        <v>26</v>
      </c>
      <c r="F20330" s="30" t="s">
        <v>27</v>
      </c>
      <c r="G20330" s="30" t="s">
        <v>20</v>
      </c>
      <c r="H20330" s="32">
        <v>63</v>
      </c>
      <c r="I20330" s="30" t="s">
        <v>21</v>
      </c>
      <c r="J20330" s="41">
        <v>45481</v>
      </c>
      <c r="K20330" s="30" t="s">
        <v>22</v>
      </c>
    </row>
    <row r="20331" spans="1:11">
      <c r="A20331" s="33" t="s">
        <v>45169</v>
      </c>
      <c r="B20331" s="33" t="s">
        <v>45170</v>
      </c>
      <c r="C20331" s="33" t="s">
        <v>25976</v>
      </c>
      <c r="D20331" s="33" t="s">
        <v>17</v>
      </c>
      <c r="E20331" s="33" t="s">
        <v>45</v>
      </c>
      <c r="F20331" s="33" t="s">
        <v>46</v>
      </c>
      <c r="G20331" s="33" t="s">
        <v>140</v>
      </c>
      <c r="H20331" s="35">
        <v>132</v>
      </c>
      <c r="I20331" s="33" t="s">
        <v>51</v>
      </c>
      <c r="J20331" s="42">
        <v>45490</v>
      </c>
      <c r="K20331" s="33" t="s">
        <v>22</v>
      </c>
    </row>
    <row r="20332" spans="1:11">
      <c r="A20332" s="30" t="s">
        <v>45171</v>
      </c>
      <c r="B20332" s="30" t="s">
        <v>45172</v>
      </c>
      <c r="C20332" s="30" t="s">
        <v>252</v>
      </c>
      <c r="D20332" s="30" t="s">
        <v>17</v>
      </c>
      <c r="E20332" s="30" t="s">
        <v>67</v>
      </c>
      <c r="F20332" s="30" t="s">
        <v>68</v>
      </c>
      <c r="G20332" s="30" t="s">
        <v>7780</v>
      </c>
      <c r="H20332" s="32">
        <v>294</v>
      </c>
      <c r="I20332" s="30" t="s">
        <v>51</v>
      </c>
      <c r="J20332" s="41">
        <v>45545</v>
      </c>
      <c r="K20332" s="30" t="s">
        <v>22</v>
      </c>
    </row>
    <row r="20333" spans="1:11">
      <c r="A20333" s="33" t="s">
        <v>45173</v>
      </c>
      <c r="B20333" s="33" t="s">
        <v>45174</v>
      </c>
      <c r="C20333" s="33" t="s">
        <v>3451</v>
      </c>
      <c r="D20333" s="33" t="s">
        <v>17</v>
      </c>
      <c r="E20333" s="33" t="s">
        <v>26</v>
      </c>
      <c r="F20333" s="33" t="s">
        <v>27</v>
      </c>
      <c r="G20333" s="33" t="s">
        <v>20</v>
      </c>
      <c r="H20333" s="35">
        <v>16</v>
      </c>
      <c r="I20333" s="33" t="s">
        <v>21</v>
      </c>
      <c r="J20333" s="42">
        <v>45476</v>
      </c>
      <c r="K20333" s="33" t="s">
        <v>22</v>
      </c>
    </row>
    <row r="20334" spans="1:11">
      <c r="A20334" s="30" t="s">
        <v>45175</v>
      </c>
      <c r="B20334" s="30" t="s">
        <v>45176</v>
      </c>
      <c r="C20334" s="30" t="s">
        <v>190</v>
      </c>
      <c r="D20334" s="30" t="s">
        <v>17</v>
      </c>
      <c r="E20334" s="30" t="s">
        <v>18</v>
      </c>
      <c r="F20334" s="30" t="s">
        <v>19</v>
      </c>
      <c r="G20334" s="30" t="s">
        <v>158</v>
      </c>
      <c r="H20334" s="32">
        <v>306</v>
      </c>
      <c r="I20334" s="30" t="s">
        <v>21</v>
      </c>
      <c r="J20334" s="41">
        <v>45472</v>
      </c>
      <c r="K20334" s="30" t="s">
        <v>22</v>
      </c>
    </row>
    <row r="20335" spans="1:11">
      <c r="A20335" s="33" t="s">
        <v>45177</v>
      </c>
      <c r="B20335" s="33" t="s">
        <v>45178</v>
      </c>
      <c r="C20335" s="33" t="s">
        <v>21232</v>
      </c>
      <c r="D20335" s="33" t="s">
        <v>17</v>
      </c>
      <c r="E20335" s="33" t="s">
        <v>18</v>
      </c>
      <c r="F20335" s="33" t="s">
        <v>19</v>
      </c>
      <c r="G20335" s="33" t="s">
        <v>140</v>
      </c>
      <c r="H20335" s="35">
        <v>600</v>
      </c>
      <c r="I20335" s="33" t="s">
        <v>51</v>
      </c>
      <c r="J20335" s="42">
        <v>45580</v>
      </c>
      <c r="K20335" s="33" t="s">
        <v>22</v>
      </c>
    </row>
    <row r="20336" spans="1:11">
      <c r="A20336" s="30" t="s">
        <v>45179</v>
      </c>
      <c r="B20336" s="30" t="s">
        <v>45180</v>
      </c>
      <c r="C20336" s="30" t="s">
        <v>41025</v>
      </c>
      <c r="D20336" s="30" t="s">
        <v>17</v>
      </c>
      <c r="E20336" s="30" t="s">
        <v>26</v>
      </c>
      <c r="F20336" s="30" t="s">
        <v>27</v>
      </c>
      <c r="G20336" s="30" t="s">
        <v>106</v>
      </c>
      <c r="H20336" s="32">
        <v>32</v>
      </c>
      <c r="I20336" s="30" t="s">
        <v>21</v>
      </c>
      <c r="J20336" s="41">
        <v>45565</v>
      </c>
      <c r="K20336" s="30" t="s">
        <v>22</v>
      </c>
    </row>
    <row r="20337" spans="1:11">
      <c r="A20337" s="33" t="s">
        <v>45181</v>
      </c>
      <c r="B20337" s="33" t="s">
        <v>45182</v>
      </c>
      <c r="C20337" s="33" t="s">
        <v>157</v>
      </c>
      <c r="D20337" s="33" t="s">
        <v>17</v>
      </c>
      <c r="E20337" s="33" t="s">
        <v>18</v>
      </c>
      <c r="F20337" s="33" t="s">
        <v>19</v>
      </c>
      <c r="G20337" s="33" t="s">
        <v>158</v>
      </c>
      <c r="H20337" s="35">
        <v>53</v>
      </c>
      <c r="I20337" s="33" t="s">
        <v>21</v>
      </c>
      <c r="J20337" s="42">
        <v>45600</v>
      </c>
      <c r="K20337" s="33" t="s">
        <v>22</v>
      </c>
    </row>
    <row r="20338" spans="1:11">
      <c r="A20338" s="30" t="s">
        <v>45183</v>
      </c>
      <c r="B20338" s="30" t="s">
        <v>45184</v>
      </c>
      <c r="C20338" s="30" t="s">
        <v>96</v>
      </c>
      <c r="D20338" s="30" t="s">
        <v>17</v>
      </c>
      <c r="E20338" s="30" t="s">
        <v>67</v>
      </c>
      <c r="F20338" s="30" t="s">
        <v>68</v>
      </c>
      <c r="G20338" s="30" t="s">
        <v>20</v>
      </c>
      <c r="H20338" s="32">
        <v>1202</v>
      </c>
      <c r="I20338" s="30" t="s">
        <v>21</v>
      </c>
      <c r="J20338" s="41">
        <v>45435</v>
      </c>
      <c r="K20338" s="30" t="s">
        <v>22</v>
      </c>
    </row>
    <row r="20339" spans="1:11">
      <c r="A20339" s="33" t="s">
        <v>45185</v>
      </c>
      <c r="B20339" s="33" t="s">
        <v>45186</v>
      </c>
      <c r="C20339" s="33" t="s">
        <v>231</v>
      </c>
      <c r="D20339" s="33" t="s">
        <v>17</v>
      </c>
      <c r="E20339" s="33" t="s">
        <v>26</v>
      </c>
      <c r="F20339" s="33" t="s">
        <v>27</v>
      </c>
      <c r="G20339" s="33" t="s">
        <v>20</v>
      </c>
      <c r="H20339" s="35">
        <v>36</v>
      </c>
      <c r="I20339" s="33" t="s">
        <v>21</v>
      </c>
      <c r="J20339" s="42">
        <v>45401</v>
      </c>
      <c r="K20339" s="33" t="s">
        <v>22</v>
      </c>
    </row>
    <row r="20340" spans="1:11">
      <c r="A20340" s="30" t="s">
        <v>45187</v>
      </c>
      <c r="B20340" s="30" t="s">
        <v>45188</v>
      </c>
      <c r="C20340" s="30" t="s">
        <v>2313</v>
      </c>
      <c r="D20340" s="30" t="s">
        <v>17</v>
      </c>
      <c r="E20340" s="30" t="s">
        <v>26</v>
      </c>
      <c r="F20340" s="30" t="s">
        <v>27</v>
      </c>
      <c r="G20340" s="30" t="s">
        <v>140</v>
      </c>
      <c r="H20340" s="32">
        <v>128</v>
      </c>
      <c r="I20340" s="30" t="s">
        <v>51</v>
      </c>
      <c r="J20340" s="41">
        <v>45614</v>
      </c>
      <c r="K20340" s="30" t="s">
        <v>22</v>
      </c>
    </row>
    <row r="20341" spans="1:11">
      <c r="A20341" s="33" t="s">
        <v>45189</v>
      </c>
      <c r="B20341" s="33" t="s">
        <v>45190</v>
      </c>
      <c r="C20341" s="33" t="s">
        <v>41297</v>
      </c>
      <c r="D20341" s="33" t="s">
        <v>17</v>
      </c>
      <c r="E20341" s="33" t="s">
        <v>26</v>
      </c>
      <c r="F20341" s="33" t="s">
        <v>27</v>
      </c>
      <c r="G20341" s="33" t="s">
        <v>20</v>
      </c>
      <c r="H20341" s="35">
        <v>16</v>
      </c>
      <c r="I20341" s="33" t="s">
        <v>21</v>
      </c>
      <c r="J20341" s="42">
        <v>45491</v>
      </c>
      <c r="K20341" s="33" t="s">
        <v>22</v>
      </c>
    </row>
    <row r="20342" spans="1:11">
      <c r="A20342" s="30" t="s">
        <v>45191</v>
      </c>
      <c r="B20342" s="30" t="s">
        <v>45192</v>
      </c>
      <c r="C20342" s="30" t="s">
        <v>34865</v>
      </c>
      <c r="D20342" s="30" t="s">
        <v>17</v>
      </c>
      <c r="E20342" s="30" t="s">
        <v>18</v>
      </c>
      <c r="F20342" s="30" t="s">
        <v>19</v>
      </c>
      <c r="G20342" s="30" t="s">
        <v>140</v>
      </c>
      <c r="H20342" s="32">
        <v>570</v>
      </c>
      <c r="I20342" s="30" t="s">
        <v>51</v>
      </c>
      <c r="J20342" s="41">
        <v>45524</v>
      </c>
      <c r="K20342" s="30" t="s">
        <v>22</v>
      </c>
    </row>
    <row r="20343" spans="1:11">
      <c r="A20343" s="33" t="s">
        <v>45193</v>
      </c>
      <c r="B20343" s="33" t="s">
        <v>45194</v>
      </c>
      <c r="C20343" s="33" t="s">
        <v>102</v>
      </c>
      <c r="D20343" s="33" t="s">
        <v>17</v>
      </c>
      <c r="E20343" s="33" t="s">
        <v>18</v>
      </c>
      <c r="F20343" s="33" t="s">
        <v>19</v>
      </c>
      <c r="G20343" s="33" t="s">
        <v>140</v>
      </c>
      <c r="H20343" s="35">
        <v>120</v>
      </c>
      <c r="I20343" s="33" t="s">
        <v>51</v>
      </c>
      <c r="J20343" s="42">
        <v>45364</v>
      </c>
      <c r="K20343" s="33" t="s">
        <v>22</v>
      </c>
    </row>
    <row r="20344" spans="1:11">
      <c r="A20344" s="30" t="s">
        <v>45195</v>
      </c>
      <c r="B20344" s="30" t="s">
        <v>45196</v>
      </c>
      <c r="C20344" s="30" t="s">
        <v>3004</v>
      </c>
      <c r="D20344" s="30" t="s">
        <v>17</v>
      </c>
      <c r="E20344" s="30" t="s">
        <v>31</v>
      </c>
      <c r="F20344" s="30" t="s">
        <v>32</v>
      </c>
      <c r="G20344" s="30" t="s">
        <v>112</v>
      </c>
      <c r="H20344" s="32">
        <v>0</v>
      </c>
      <c r="I20344" s="30" t="s">
        <v>21</v>
      </c>
      <c r="J20344" s="41">
        <v>45413</v>
      </c>
      <c r="K20344" s="30" t="s">
        <v>22</v>
      </c>
    </row>
    <row r="20345" spans="1:11">
      <c r="A20345" s="33" t="s">
        <v>45197</v>
      </c>
      <c r="B20345" s="33" t="s">
        <v>45198</v>
      </c>
      <c r="C20345" s="33" t="s">
        <v>329</v>
      </c>
      <c r="D20345" s="33" t="s">
        <v>17</v>
      </c>
      <c r="E20345" s="33" t="s">
        <v>18</v>
      </c>
      <c r="F20345" s="33" t="s">
        <v>19</v>
      </c>
      <c r="G20345" s="33" t="s">
        <v>158</v>
      </c>
      <c r="H20345" s="35">
        <v>1480</v>
      </c>
      <c r="I20345" s="33" t="s">
        <v>21</v>
      </c>
      <c r="J20345" s="42">
        <v>45371</v>
      </c>
      <c r="K20345" s="33" t="s">
        <v>22</v>
      </c>
    </row>
    <row r="20346" spans="1:11">
      <c r="A20346" s="30" t="s">
        <v>45199</v>
      </c>
      <c r="B20346" s="30" t="s">
        <v>45200</v>
      </c>
      <c r="C20346" s="30" t="s">
        <v>44</v>
      </c>
      <c r="D20346" s="30" t="s">
        <v>17</v>
      </c>
      <c r="E20346" s="30" t="s">
        <v>67</v>
      </c>
      <c r="F20346" s="30" t="s">
        <v>68</v>
      </c>
      <c r="G20346" s="30" t="s">
        <v>140</v>
      </c>
      <c r="H20346" s="32">
        <v>220</v>
      </c>
      <c r="I20346" s="30" t="s">
        <v>51</v>
      </c>
      <c r="J20346" s="41">
        <v>45511</v>
      </c>
      <c r="K20346" s="30" t="s">
        <v>22</v>
      </c>
    </row>
    <row r="20347" spans="1:11">
      <c r="A20347" s="33" t="s">
        <v>45201</v>
      </c>
      <c r="B20347" s="33" t="s">
        <v>45202</v>
      </c>
      <c r="C20347" s="33" t="s">
        <v>684</v>
      </c>
      <c r="D20347" s="33" t="s">
        <v>17</v>
      </c>
      <c r="E20347" s="33" t="s">
        <v>26</v>
      </c>
      <c r="F20347" s="33" t="s">
        <v>27</v>
      </c>
      <c r="G20347" s="33" t="s">
        <v>20</v>
      </c>
      <c r="H20347" s="35">
        <v>32</v>
      </c>
      <c r="I20347" s="33" t="s">
        <v>21</v>
      </c>
      <c r="J20347" s="42">
        <v>45369</v>
      </c>
      <c r="K20347" s="33" t="s">
        <v>22</v>
      </c>
    </row>
    <row r="20348" spans="1:11">
      <c r="A20348" s="30" t="s">
        <v>45203</v>
      </c>
      <c r="B20348" s="30" t="s">
        <v>45204</v>
      </c>
      <c r="C20348" s="30" t="s">
        <v>4383</v>
      </c>
      <c r="D20348" s="30" t="s">
        <v>17</v>
      </c>
      <c r="E20348" s="30" t="s">
        <v>31</v>
      </c>
      <c r="F20348" s="30" t="s">
        <v>32</v>
      </c>
      <c r="G20348" s="30" t="s">
        <v>158</v>
      </c>
      <c r="H20348" s="32">
        <v>375</v>
      </c>
      <c r="I20348" s="30" t="s">
        <v>51</v>
      </c>
      <c r="J20348" s="41">
        <v>45315</v>
      </c>
      <c r="K20348" s="30" t="s">
        <v>22</v>
      </c>
    </row>
    <row r="20349" spans="1:11">
      <c r="A20349" s="33" t="s">
        <v>45205</v>
      </c>
      <c r="B20349" s="33" t="s">
        <v>45206</v>
      </c>
      <c r="C20349" s="33" t="s">
        <v>190</v>
      </c>
      <c r="D20349" s="33" t="s">
        <v>17</v>
      </c>
      <c r="E20349" s="33" t="s">
        <v>26</v>
      </c>
      <c r="F20349" s="33" t="s">
        <v>27</v>
      </c>
      <c r="G20349" s="33" t="s">
        <v>158</v>
      </c>
      <c r="H20349" s="35">
        <v>98</v>
      </c>
      <c r="I20349" s="33" t="s">
        <v>21</v>
      </c>
      <c r="J20349" s="42">
        <v>45307</v>
      </c>
      <c r="K20349" s="33" t="s">
        <v>22</v>
      </c>
    </row>
    <row r="20350" spans="1:11">
      <c r="A20350" s="30" t="s">
        <v>45207</v>
      </c>
      <c r="B20350" s="30" t="s">
        <v>45208</v>
      </c>
      <c r="C20350" s="30" t="s">
        <v>25632</v>
      </c>
      <c r="D20350" s="30" t="s">
        <v>17</v>
      </c>
      <c r="E20350" s="30" t="s">
        <v>67</v>
      </c>
      <c r="F20350" s="30" t="s">
        <v>68</v>
      </c>
      <c r="G20350" s="30" t="s">
        <v>158</v>
      </c>
      <c r="H20350" s="32">
        <v>39</v>
      </c>
      <c r="I20350" s="30" t="s">
        <v>51</v>
      </c>
      <c r="J20350" s="41">
        <v>45537</v>
      </c>
      <c r="K20350" s="30" t="s">
        <v>22</v>
      </c>
    </row>
    <row r="20351" spans="1:11">
      <c r="A20351" s="33" t="s">
        <v>45209</v>
      </c>
      <c r="B20351" s="33" t="s">
        <v>45210</v>
      </c>
      <c r="C20351" s="33" t="s">
        <v>985</v>
      </c>
      <c r="D20351" s="33" t="s">
        <v>17</v>
      </c>
      <c r="E20351" s="33" t="s">
        <v>26</v>
      </c>
      <c r="F20351" s="33" t="s">
        <v>27</v>
      </c>
      <c r="G20351" s="33" t="s">
        <v>20</v>
      </c>
      <c r="H20351" s="35">
        <v>28</v>
      </c>
      <c r="I20351" s="33" t="s">
        <v>21</v>
      </c>
      <c r="J20351" s="42">
        <v>45397</v>
      </c>
      <c r="K20351" s="33" t="s">
        <v>22</v>
      </c>
    </row>
    <row r="20352" spans="1:11">
      <c r="A20352" s="30" t="s">
        <v>45211</v>
      </c>
      <c r="B20352" s="30" t="s">
        <v>45212</v>
      </c>
      <c r="C20352" s="30" t="s">
        <v>787</v>
      </c>
      <c r="D20352" s="30" t="s">
        <v>17</v>
      </c>
      <c r="E20352" s="30" t="s">
        <v>26</v>
      </c>
      <c r="F20352" s="30" t="s">
        <v>27</v>
      </c>
      <c r="G20352" s="30" t="s">
        <v>140</v>
      </c>
      <c r="H20352" s="32">
        <v>266</v>
      </c>
      <c r="I20352" s="30" t="s">
        <v>51</v>
      </c>
      <c r="J20352" s="41">
        <v>45644</v>
      </c>
      <c r="K20352" s="30" t="s">
        <v>22</v>
      </c>
    </row>
    <row r="20353" spans="1:11">
      <c r="A20353" s="33" t="s">
        <v>45213</v>
      </c>
      <c r="B20353" s="33" t="s">
        <v>45214</v>
      </c>
      <c r="C20353" s="33" t="s">
        <v>136</v>
      </c>
      <c r="D20353" s="33" t="s">
        <v>17</v>
      </c>
      <c r="E20353" s="33" t="s">
        <v>26</v>
      </c>
      <c r="F20353" s="33" t="s">
        <v>27</v>
      </c>
      <c r="G20353" s="33" t="s">
        <v>20</v>
      </c>
      <c r="H20353" s="35">
        <v>16</v>
      </c>
      <c r="I20353" s="33" t="s">
        <v>21</v>
      </c>
      <c r="J20353" s="42">
        <v>45356</v>
      </c>
      <c r="K20353" s="33" t="s">
        <v>22</v>
      </c>
    </row>
    <row r="20354" spans="1:11">
      <c r="A20354" s="30" t="s">
        <v>45215</v>
      </c>
      <c r="B20354" s="30" t="s">
        <v>45216</v>
      </c>
      <c r="C20354" s="30" t="s">
        <v>26837</v>
      </c>
      <c r="D20354" s="30" t="s">
        <v>17</v>
      </c>
      <c r="E20354" s="30" t="s">
        <v>330</v>
      </c>
      <c r="F20354" s="30" t="s">
        <v>331</v>
      </c>
      <c r="G20354" s="30" t="s">
        <v>50</v>
      </c>
      <c r="H20354" s="32">
        <v>9</v>
      </c>
      <c r="I20354" s="30" t="s">
        <v>51</v>
      </c>
      <c r="J20354" s="41">
        <v>45474</v>
      </c>
      <c r="K20354" s="30" t="s">
        <v>22</v>
      </c>
    </row>
    <row r="20355" spans="1:11">
      <c r="A20355" s="33" t="s">
        <v>45217</v>
      </c>
      <c r="B20355" s="33" t="s">
        <v>45218</v>
      </c>
      <c r="C20355" s="33" t="s">
        <v>647</v>
      </c>
      <c r="D20355" s="33" t="s">
        <v>17</v>
      </c>
      <c r="E20355" s="33" t="s">
        <v>67</v>
      </c>
      <c r="F20355" s="33" t="s">
        <v>68</v>
      </c>
      <c r="G20355" s="33" t="s">
        <v>140</v>
      </c>
      <c r="H20355" s="35">
        <v>32</v>
      </c>
      <c r="I20355" s="33" t="s">
        <v>51</v>
      </c>
      <c r="J20355" s="42">
        <v>45646</v>
      </c>
      <c r="K20355" s="33" t="s">
        <v>22</v>
      </c>
    </row>
    <row r="20356" spans="1:11">
      <c r="A20356" s="30" t="s">
        <v>45219</v>
      </c>
      <c r="B20356" s="30" t="s">
        <v>45220</v>
      </c>
      <c r="C20356" s="30" t="s">
        <v>1764</v>
      </c>
      <c r="D20356" s="30" t="s">
        <v>17</v>
      </c>
      <c r="E20356" s="30" t="s">
        <v>18</v>
      </c>
      <c r="F20356" s="30" t="s">
        <v>19</v>
      </c>
      <c r="G20356" s="30" t="s">
        <v>20</v>
      </c>
      <c r="H20356" s="32">
        <v>20</v>
      </c>
      <c r="I20356" s="30" t="s">
        <v>21</v>
      </c>
      <c r="J20356" s="41">
        <v>45497</v>
      </c>
      <c r="K20356" s="30" t="s">
        <v>22</v>
      </c>
    </row>
    <row r="20357" spans="1:11">
      <c r="A20357" s="33" t="s">
        <v>45221</v>
      </c>
      <c r="B20357" s="33" t="s">
        <v>45222</v>
      </c>
      <c r="C20357" s="33" t="s">
        <v>25041</v>
      </c>
      <c r="D20357" s="33" t="s">
        <v>17</v>
      </c>
      <c r="E20357" s="33" t="s">
        <v>31</v>
      </c>
      <c r="F20357" s="33" t="s">
        <v>32</v>
      </c>
      <c r="G20357" s="33" t="s">
        <v>20</v>
      </c>
      <c r="H20357" s="35">
        <v>38</v>
      </c>
      <c r="I20357" s="33" t="s">
        <v>21</v>
      </c>
      <c r="J20357" s="42">
        <v>45635</v>
      </c>
      <c r="K20357" s="33" t="s">
        <v>22</v>
      </c>
    </row>
    <row r="20358" spans="1:11">
      <c r="A20358" s="30" t="s">
        <v>45223</v>
      </c>
      <c r="B20358" s="30" t="s">
        <v>45224</v>
      </c>
      <c r="C20358" s="30" t="s">
        <v>96</v>
      </c>
      <c r="D20358" s="30" t="s">
        <v>17</v>
      </c>
      <c r="E20358" s="30" t="s">
        <v>26</v>
      </c>
      <c r="F20358" s="30" t="s">
        <v>27</v>
      </c>
      <c r="G20358" s="30" t="s">
        <v>20</v>
      </c>
      <c r="H20358" s="32">
        <v>52</v>
      </c>
      <c r="I20358" s="30" t="s">
        <v>21</v>
      </c>
      <c r="J20358" s="41">
        <v>45384</v>
      </c>
      <c r="K20358" s="30" t="s">
        <v>22</v>
      </c>
    </row>
    <row r="20359" spans="1:11">
      <c r="A20359" s="33" t="s">
        <v>45225</v>
      </c>
      <c r="B20359" s="33" t="s">
        <v>45226</v>
      </c>
      <c r="C20359" s="33" t="s">
        <v>6442</v>
      </c>
      <c r="D20359" s="33" t="s">
        <v>17</v>
      </c>
      <c r="E20359" s="33" t="s">
        <v>26</v>
      </c>
      <c r="F20359" s="33" t="s">
        <v>27</v>
      </c>
      <c r="G20359" s="33" t="s">
        <v>140</v>
      </c>
      <c r="H20359" s="35">
        <v>396</v>
      </c>
      <c r="I20359" s="33" t="s">
        <v>51</v>
      </c>
      <c r="J20359" s="42">
        <v>45510</v>
      </c>
      <c r="K20359" s="33" t="s">
        <v>22</v>
      </c>
    </row>
    <row r="20360" spans="1:11">
      <c r="A20360" s="30" t="s">
        <v>45227</v>
      </c>
      <c r="B20360" s="30" t="s">
        <v>45228</v>
      </c>
      <c r="C20360" s="30" t="s">
        <v>31374</v>
      </c>
      <c r="D20360" s="30" t="s">
        <v>17</v>
      </c>
      <c r="E20360" s="30" t="s">
        <v>31</v>
      </c>
      <c r="F20360" s="30" t="s">
        <v>32</v>
      </c>
      <c r="G20360" s="30" t="s">
        <v>158</v>
      </c>
      <c r="H20360" s="32">
        <v>22</v>
      </c>
      <c r="I20360" s="30" t="s">
        <v>21</v>
      </c>
      <c r="J20360" s="41">
        <v>45499</v>
      </c>
      <c r="K20360" s="30" t="s">
        <v>22</v>
      </c>
    </row>
    <row r="20361" spans="1:11">
      <c r="A20361" s="33" t="s">
        <v>45229</v>
      </c>
      <c r="B20361" s="33" t="s">
        <v>45230</v>
      </c>
      <c r="C20361" s="33" t="s">
        <v>22655</v>
      </c>
      <c r="D20361" s="33" t="s">
        <v>17</v>
      </c>
      <c r="E20361" s="33" t="s">
        <v>67</v>
      </c>
      <c r="F20361" s="33" t="s">
        <v>68</v>
      </c>
      <c r="G20361" s="33" t="s">
        <v>158</v>
      </c>
      <c r="H20361" s="35">
        <v>12</v>
      </c>
      <c r="I20361" s="33" t="s">
        <v>51</v>
      </c>
      <c r="J20361" s="42">
        <v>45464</v>
      </c>
      <c r="K20361" s="33" t="s">
        <v>22</v>
      </c>
    </row>
    <row r="20362" spans="1:11">
      <c r="A20362" s="30" t="s">
        <v>45231</v>
      </c>
      <c r="B20362" s="30" t="s">
        <v>45232</v>
      </c>
      <c r="C20362" s="30" t="s">
        <v>44</v>
      </c>
      <c r="D20362" s="30" t="s">
        <v>17</v>
      </c>
      <c r="E20362" s="30" t="s">
        <v>31</v>
      </c>
      <c r="F20362" s="30" t="s">
        <v>32</v>
      </c>
      <c r="G20362" s="30" t="s">
        <v>20</v>
      </c>
      <c r="H20362" s="32">
        <v>179</v>
      </c>
      <c r="I20362" s="30" t="s">
        <v>21</v>
      </c>
      <c r="J20362" s="41">
        <v>45470</v>
      </c>
      <c r="K20362" s="30" t="s">
        <v>22</v>
      </c>
    </row>
    <row r="20363" spans="1:11">
      <c r="A20363" s="33" t="s">
        <v>45233</v>
      </c>
      <c r="B20363" s="33" t="s">
        <v>45234</v>
      </c>
      <c r="C20363" s="33" t="s">
        <v>10589</v>
      </c>
      <c r="D20363" s="33" t="s">
        <v>17</v>
      </c>
      <c r="E20363" s="33" t="s">
        <v>212</v>
      </c>
      <c r="F20363" s="33" t="s">
        <v>213</v>
      </c>
      <c r="G20363" s="33" t="s">
        <v>140</v>
      </c>
      <c r="H20363" s="35">
        <v>60</v>
      </c>
      <c r="I20363" s="33" t="s">
        <v>51</v>
      </c>
      <c r="J20363" s="42">
        <v>45624</v>
      </c>
      <c r="K20363" s="33" t="s">
        <v>22</v>
      </c>
    </row>
    <row r="20364" spans="1:11">
      <c r="A20364" s="30" t="s">
        <v>45235</v>
      </c>
      <c r="B20364" s="30" t="s">
        <v>45236</v>
      </c>
      <c r="C20364" s="30" t="s">
        <v>644</v>
      </c>
      <c r="D20364" s="30" t="s">
        <v>17</v>
      </c>
      <c r="E20364" s="30" t="s">
        <v>31</v>
      </c>
      <c r="F20364" s="30" t="s">
        <v>32</v>
      </c>
      <c r="G20364" s="30" t="s">
        <v>50</v>
      </c>
      <c r="H20364" s="32">
        <v>40</v>
      </c>
      <c r="I20364" s="30" t="s">
        <v>51</v>
      </c>
      <c r="J20364" s="41">
        <v>45390</v>
      </c>
      <c r="K20364" s="30" t="s">
        <v>22</v>
      </c>
    </row>
    <row r="20365" spans="1:11">
      <c r="A20365" s="33" t="s">
        <v>45237</v>
      </c>
      <c r="B20365" s="33" t="s">
        <v>45238</v>
      </c>
      <c r="C20365" s="33" t="s">
        <v>1112</v>
      </c>
      <c r="D20365" s="33" t="s">
        <v>17</v>
      </c>
      <c r="E20365" s="33" t="s">
        <v>26</v>
      </c>
      <c r="F20365" s="33" t="s">
        <v>27</v>
      </c>
      <c r="G20365" s="33" t="s">
        <v>20</v>
      </c>
      <c r="H20365" s="35">
        <v>66</v>
      </c>
      <c r="I20365" s="33" t="s">
        <v>21</v>
      </c>
      <c r="J20365" s="42">
        <v>45536</v>
      </c>
      <c r="K20365" s="33" t="s">
        <v>22</v>
      </c>
    </row>
    <row r="20366" spans="1:11">
      <c r="A20366" s="30" t="s">
        <v>45239</v>
      </c>
      <c r="B20366" s="30" t="s">
        <v>45240</v>
      </c>
      <c r="C20366" s="30" t="s">
        <v>1024</v>
      </c>
      <c r="D20366" s="30" t="s">
        <v>17</v>
      </c>
      <c r="E20366" s="30" t="s">
        <v>26</v>
      </c>
      <c r="F20366" s="30" t="s">
        <v>27</v>
      </c>
      <c r="G20366" s="30" t="s">
        <v>140</v>
      </c>
      <c r="H20366" s="32">
        <v>124</v>
      </c>
      <c r="I20366" s="30" t="s">
        <v>51</v>
      </c>
      <c r="J20366" s="41">
        <v>45608</v>
      </c>
      <c r="K20366" s="30" t="s">
        <v>22</v>
      </c>
    </row>
    <row r="20367" spans="1:11">
      <c r="A20367" s="33" t="s">
        <v>45241</v>
      </c>
      <c r="B20367" s="33" t="s">
        <v>45242</v>
      </c>
      <c r="C20367" s="33" t="s">
        <v>93</v>
      </c>
      <c r="D20367" s="33" t="s">
        <v>17</v>
      </c>
      <c r="E20367" s="33" t="s">
        <v>18</v>
      </c>
      <c r="F20367" s="33" t="s">
        <v>19</v>
      </c>
      <c r="G20367" s="33" t="s">
        <v>140</v>
      </c>
      <c r="H20367" s="35">
        <v>380</v>
      </c>
      <c r="I20367" s="33" t="s">
        <v>51</v>
      </c>
      <c r="J20367" s="42">
        <v>45431</v>
      </c>
      <c r="K20367" s="33" t="s">
        <v>22</v>
      </c>
    </row>
    <row r="20368" spans="1:11">
      <c r="A20368" s="30" t="s">
        <v>45243</v>
      </c>
      <c r="B20368" s="30" t="s">
        <v>45244</v>
      </c>
      <c r="C20368" s="30" t="s">
        <v>57</v>
      </c>
      <c r="D20368" s="30" t="s">
        <v>17</v>
      </c>
      <c r="E20368" s="30" t="s">
        <v>26</v>
      </c>
      <c r="F20368" s="30" t="s">
        <v>27</v>
      </c>
      <c r="G20368" s="30" t="s">
        <v>50</v>
      </c>
      <c r="H20368" s="32">
        <v>40</v>
      </c>
      <c r="I20368" s="30" t="s">
        <v>51</v>
      </c>
      <c r="J20368" s="41">
        <v>45474</v>
      </c>
      <c r="K20368" s="30" t="s">
        <v>22</v>
      </c>
    </row>
    <row r="20369" spans="1:11">
      <c r="A20369" s="33" t="s">
        <v>45245</v>
      </c>
      <c r="B20369" s="33" t="s">
        <v>45246</v>
      </c>
      <c r="C20369" s="33" t="s">
        <v>45247</v>
      </c>
      <c r="D20369" s="33" t="s">
        <v>17</v>
      </c>
      <c r="E20369" s="33" t="s">
        <v>45</v>
      </c>
      <c r="F20369" s="33" t="s">
        <v>46</v>
      </c>
      <c r="G20369" s="33" t="s">
        <v>106</v>
      </c>
      <c r="H20369" s="35">
        <v>2</v>
      </c>
      <c r="I20369" s="33" t="s">
        <v>21</v>
      </c>
      <c r="J20369" s="42">
        <v>45473</v>
      </c>
      <c r="K20369" s="33" t="s">
        <v>22</v>
      </c>
    </row>
    <row r="20370" spans="1:11">
      <c r="A20370" s="30" t="s">
        <v>45248</v>
      </c>
      <c r="B20370" s="30" t="s">
        <v>45249</v>
      </c>
      <c r="C20370" s="30" t="s">
        <v>42477</v>
      </c>
      <c r="D20370" s="30" t="s">
        <v>17</v>
      </c>
      <c r="E20370" s="30" t="s">
        <v>26</v>
      </c>
      <c r="F20370" s="30" t="s">
        <v>27</v>
      </c>
      <c r="G20370" s="30" t="s">
        <v>2613</v>
      </c>
      <c r="H20370" s="32">
        <v>96</v>
      </c>
      <c r="I20370" s="30" t="s">
        <v>51</v>
      </c>
      <c r="J20370" s="41">
        <v>45326</v>
      </c>
      <c r="K20370" s="30" t="s">
        <v>22</v>
      </c>
    </row>
    <row r="20371" spans="1:11">
      <c r="A20371" s="33" t="s">
        <v>45250</v>
      </c>
      <c r="B20371" s="33" t="s">
        <v>45251</v>
      </c>
      <c r="C20371" s="33" t="s">
        <v>310</v>
      </c>
      <c r="D20371" s="33" t="s">
        <v>17</v>
      </c>
      <c r="E20371" s="33" t="s">
        <v>26</v>
      </c>
      <c r="F20371" s="33" t="s">
        <v>27</v>
      </c>
      <c r="G20371" s="33" t="s">
        <v>20</v>
      </c>
      <c r="H20371" s="35">
        <v>158</v>
      </c>
      <c r="I20371" s="33" t="s">
        <v>21</v>
      </c>
      <c r="J20371" s="42">
        <v>45418</v>
      </c>
      <c r="K20371" s="33" t="s">
        <v>22</v>
      </c>
    </row>
    <row r="20372" spans="1:11">
      <c r="A20372" s="30" t="s">
        <v>45252</v>
      </c>
      <c r="B20372" s="30" t="s">
        <v>45253</v>
      </c>
      <c r="C20372" s="30" t="s">
        <v>647</v>
      </c>
      <c r="D20372" s="30" t="s">
        <v>17</v>
      </c>
      <c r="E20372" s="30" t="s">
        <v>18</v>
      </c>
      <c r="F20372" s="30" t="s">
        <v>19</v>
      </c>
      <c r="G20372" s="30" t="s">
        <v>158</v>
      </c>
      <c r="H20372" s="32">
        <v>686</v>
      </c>
      <c r="I20372" s="30" t="s">
        <v>51</v>
      </c>
      <c r="J20372" s="41">
        <v>45497</v>
      </c>
      <c r="K20372" s="30" t="s">
        <v>22</v>
      </c>
    </row>
    <row r="20373" spans="1:11">
      <c r="A20373" s="33" t="s">
        <v>45254</v>
      </c>
      <c r="B20373" s="33" t="s">
        <v>45255</v>
      </c>
      <c r="C20373" s="33" t="s">
        <v>45256</v>
      </c>
      <c r="D20373" s="33" t="s">
        <v>17</v>
      </c>
      <c r="E20373" s="33" t="s">
        <v>26</v>
      </c>
      <c r="F20373" s="33" t="s">
        <v>27</v>
      </c>
      <c r="G20373" s="33" t="s">
        <v>140</v>
      </c>
      <c r="H20373" s="35">
        <v>26</v>
      </c>
      <c r="I20373" s="33" t="s">
        <v>51</v>
      </c>
      <c r="J20373" s="42">
        <v>45454</v>
      </c>
      <c r="K20373" s="33" t="s">
        <v>22</v>
      </c>
    </row>
    <row r="20374" spans="1:11">
      <c r="A20374" s="30" t="s">
        <v>45257</v>
      </c>
      <c r="B20374" s="30" t="s">
        <v>45258</v>
      </c>
      <c r="C20374" s="30" t="s">
        <v>17877</v>
      </c>
      <c r="D20374" s="30" t="s">
        <v>17</v>
      </c>
      <c r="E20374" s="30" t="s">
        <v>26</v>
      </c>
      <c r="F20374" s="30" t="s">
        <v>27</v>
      </c>
      <c r="G20374" s="30" t="s">
        <v>140</v>
      </c>
      <c r="H20374" s="32">
        <v>250</v>
      </c>
      <c r="I20374" s="30" t="s">
        <v>51</v>
      </c>
      <c r="J20374" s="41">
        <v>45357</v>
      </c>
      <c r="K20374" s="30" t="s">
        <v>22</v>
      </c>
    </row>
    <row r="20375" spans="1:11">
      <c r="A20375" s="33" t="s">
        <v>45259</v>
      </c>
      <c r="B20375" s="33" t="s">
        <v>45260</v>
      </c>
      <c r="C20375" s="33" t="s">
        <v>13241</v>
      </c>
      <c r="D20375" s="33" t="s">
        <v>17</v>
      </c>
      <c r="E20375" s="33" t="s">
        <v>18</v>
      </c>
      <c r="F20375" s="33" t="s">
        <v>19</v>
      </c>
      <c r="G20375" s="33" t="s">
        <v>20</v>
      </c>
      <c r="H20375" s="35">
        <v>498</v>
      </c>
      <c r="I20375" s="33" t="s">
        <v>21</v>
      </c>
      <c r="J20375" s="42">
        <v>45457</v>
      </c>
      <c r="K20375" s="33" t="s">
        <v>22</v>
      </c>
    </row>
    <row r="20376" spans="1:11">
      <c r="A20376" s="30" t="s">
        <v>45261</v>
      </c>
      <c r="B20376" s="30" t="s">
        <v>45262</v>
      </c>
      <c r="C20376" s="30" t="s">
        <v>93</v>
      </c>
      <c r="D20376" s="30" t="s">
        <v>17</v>
      </c>
      <c r="E20376" s="30" t="s">
        <v>31</v>
      </c>
      <c r="F20376" s="30" t="s">
        <v>32</v>
      </c>
      <c r="G20376" s="30" t="s">
        <v>140</v>
      </c>
      <c r="H20376" s="32">
        <v>488</v>
      </c>
      <c r="I20376" s="30" t="s">
        <v>51</v>
      </c>
      <c r="J20376" s="41">
        <v>45572</v>
      </c>
      <c r="K20376" s="30" t="s">
        <v>22</v>
      </c>
    </row>
    <row r="20377" spans="1:11">
      <c r="A20377" s="33" t="s">
        <v>45263</v>
      </c>
      <c r="B20377" s="33" t="s">
        <v>45264</v>
      </c>
      <c r="C20377" s="33" t="s">
        <v>7094</v>
      </c>
      <c r="D20377" s="33" t="s">
        <v>17</v>
      </c>
      <c r="E20377" s="33" t="s">
        <v>18</v>
      </c>
      <c r="F20377" s="33" t="s">
        <v>19</v>
      </c>
      <c r="G20377" s="33" t="s">
        <v>50</v>
      </c>
      <c r="H20377" s="35">
        <v>514</v>
      </c>
      <c r="I20377" s="33" t="s">
        <v>51</v>
      </c>
      <c r="J20377" s="42">
        <v>45536</v>
      </c>
      <c r="K20377" s="33" t="s">
        <v>22</v>
      </c>
    </row>
    <row r="20378" spans="1:11">
      <c r="A20378" s="30" t="s">
        <v>45265</v>
      </c>
      <c r="B20378" s="30" t="s">
        <v>45266</v>
      </c>
      <c r="C20378" s="30" t="s">
        <v>17501</v>
      </c>
      <c r="D20378" s="30" t="s">
        <v>17</v>
      </c>
      <c r="E20378" s="30" t="s">
        <v>26</v>
      </c>
      <c r="F20378" s="30" t="s">
        <v>27</v>
      </c>
      <c r="G20378" s="30" t="s">
        <v>20</v>
      </c>
      <c r="H20378" s="32">
        <v>24</v>
      </c>
      <c r="I20378" s="30" t="s">
        <v>21</v>
      </c>
      <c r="J20378" s="41">
        <v>45527</v>
      </c>
      <c r="K20378" s="30" t="s">
        <v>22</v>
      </c>
    </row>
    <row r="20379" spans="1:11">
      <c r="A20379" s="33" t="s">
        <v>45267</v>
      </c>
      <c r="B20379" s="33" t="s">
        <v>45268</v>
      </c>
      <c r="C20379" s="33" t="s">
        <v>21185</v>
      </c>
      <c r="D20379" s="33" t="s">
        <v>17</v>
      </c>
      <c r="E20379" s="33" t="s">
        <v>31</v>
      </c>
      <c r="F20379" s="33" t="s">
        <v>32</v>
      </c>
      <c r="G20379" s="33" t="s">
        <v>140</v>
      </c>
      <c r="H20379" s="35">
        <v>80</v>
      </c>
      <c r="I20379" s="33" t="s">
        <v>51</v>
      </c>
      <c r="J20379" s="42">
        <v>45370</v>
      </c>
      <c r="K20379" s="33" t="s">
        <v>22</v>
      </c>
    </row>
    <row r="20380" spans="1:11">
      <c r="A20380" s="30" t="s">
        <v>45269</v>
      </c>
      <c r="B20380" s="30" t="s">
        <v>45270</v>
      </c>
      <c r="C20380" s="30" t="s">
        <v>6962</v>
      </c>
      <c r="D20380" s="30" t="s">
        <v>17</v>
      </c>
      <c r="E20380" s="30" t="s">
        <v>26</v>
      </c>
      <c r="F20380" s="30" t="s">
        <v>27</v>
      </c>
      <c r="G20380" s="30" t="s">
        <v>20</v>
      </c>
      <c r="H20380" s="32">
        <v>14</v>
      </c>
      <c r="I20380" s="30" t="s">
        <v>21</v>
      </c>
      <c r="J20380" s="41">
        <v>45482</v>
      </c>
      <c r="K20380" s="30" t="s">
        <v>22</v>
      </c>
    </row>
    <row r="20381" spans="1:11">
      <c r="A20381" s="33" t="s">
        <v>45271</v>
      </c>
      <c r="B20381" s="33" t="s">
        <v>45272</v>
      </c>
      <c r="C20381" s="33" t="s">
        <v>190</v>
      </c>
      <c r="D20381" s="33" t="s">
        <v>17</v>
      </c>
      <c r="E20381" s="33" t="s">
        <v>26</v>
      </c>
      <c r="F20381" s="33" t="s">
        <v>27</v>
      </c>
      <c r="G20381" s="33" t="s">
        <v>20</v>
      </c>
      <c r="H20381" s="35">
        <v>16</v>
      </c>
      <c r="I20381" s="33" t="s">
        <v>21</v>
      </c>
      <c r="J20381" s="42">
        <v>45596</v>
      </c>
      <c r="K20381" s="33" t="s">
        <v>22</v>
      </c>
    </row>
    <row r="20382" spans="1:11">
      <c r="A20382" s="30" t="s">
        <v>45273</v>
      </c>
      <c r="B20382" s="30" t="s">
        <v>45274</v>
      </c>
      <c r="C20382" s="30" t="s">
        <v>1555</v>
      </c>
      <c r="D20382" s="30" t="s">
        <v>17</v>
      </c>
      <c r="E20382" s="30" t="s">
        <v>31</v>
      </c>
      <c r="F20382" s="30" t="s">
        <v>32</v>
      </c>
      <c r="G20382" s="30" t="s">
        <v>158</v>
      </c>
      <c r="H20382" s="32">
        <v>71</v>
      </c>
      <c r="I20382" s="30" t="s">
        <v>21</v>
      </c>
      <c r="J20382" s="41">
        <v>45366</v>
      </c>
      <c r="K20382" s="30" t="s">
        <v>22</v>
      </c>
    </row>
    <row r="20383" spans="1:11">
      <c r="A20383" s="33" t="s">
        <v>45275</v>
      </c>
      <c r="B20383" s="33" t="s">
        <v>45276</v>
      </c>
      <c r="C20383" s="33" t="s">
        <v>684</v>
      </c>
      <c r="D20383" s="33" t="s">
        <v>17</v>
      </c>
      <c r="E20383" s="33" t="s">
        <v>26</v>
      </c>
      <c r="F20383" s="33" t="s">
        <v>27</v>
      </c>
      <c r="G20383" s="33" t="s">
        <v>20</v>
      </c>
      <c r="H20383" s="35">
        <v>24</v>
      </c>
      <c r="I20383" s="33" t="s">
        <v>21</v>
      </c>
      <c r="J20383" s="42">
        <v>45442</v>
      </c>
      <c r="K20383" s="33" t="s">
        <v>22</v>
      </c>
    </row>
    <row r="20384" spans="1:11">
      <c r="A20384" s="30" t="s">
        <v>45277</v>
      </c>
      <c r="B20384" s="30" t="s">
        <v>45278</v>
      </c>
      <c r="C20384" s="30" t="s">
        <v>45279</v>
      </c>
      <c r="D20384" s="30" t="s">
        <v>17</v>
      </c>
      <c r="E20384" s="30" t="s">
        <v>330</v>
      </c>
      <c r="F20384" s="30" t="s">
        <v>331</v>
      </c>
      <c r="G20384" s="30" t="s">
        <v>140</v>
      </c>
      <c r="H20384" s="32">
        <v>88</v>
      </c>
      <c r="I20384" s="30" t="s">
        <v>51</v>
      </c>
      <c r="J20384" s="41">
        <v>45505</v>
      </c>
      <c r="K20384" s="30" t="s">
        <v>22</v>
      </c>
    </row>
    <row r="20385" spans="1:11">
      <c r="A20385" s="33" t="s">
        <v>45280</v>
      </c>
      <c r="B20385" s="33" t="s">
        <v>45281</v>
      </c>
      <c r="C20385" s="33" t="s">
        <v>22650</v>
      </c>
      <c r="D20385" s="33" t="s">
        <v>17</v>
      </c>
      <c r="E20385" s="33" t="s">
        <v>67</v>
      </c>
      <c r="F20385" s="33" t="s">
        <v>68</v>
      </c>
      <c r="G20385" s="33" t="s">
        <v>140</v>
      </c>
      <c r="H20385" s="35">
        <v>24</v>
      </c>
      <c r="I20385" s="33" t="s">
        <v>51</v>
      </c>
      <c r="J20385" s="42">
        <v>45492</v>
      </c>
      <c r="K20385" s="33" t="s">
        <v>22</v>
      </c>
    </row>
    <row r="20386" spans="1:11">
      <c r="A20386" s="30" t="s">
        <v>45282</v>
      </c>
      <c r="B20386" s="30" t="s">
        <v>45283</v>
      </c>
      <c r="C20386" s="30" t="s">
        <v>231</v>
      </c>
      <c r="D20386" s="30" t="s">
        <v>17</v>
      </c>
      <c r="E20386" s="30" t="s">
        <v>31</v>
      </c>
      <c r="F20386" s="30" t="s">
        <v>32</v>
      </c>
      <c r="G20386" s="30" t="s">
        <v>106</v>
      </c>
      <c r="H20386" s="32">
        <v>85</v>
      </c>
      <c r="I20386" s="30" t="s">
        <v>21</v>
      </c>
      <c r="J20386" s="41">
        <v>45532</v>
      </c>
      <c r="K20386" s="30" t="s">
        <v>22</v>
      </c>
    </row>
    <row r="20387" spans="1:11">
      <c r="A20387" s="33" t="s">
        <v>45284</v>
      </c>
      <c r="B20387" s="33" t="s">
        <v>45285</v>
      </c>
      <c r="C20387" s="33" t="s">
        <v>136</v>
      </c>
      <c r="D20387" s="33" t="s">
        <v>17</v>
      </c>
      <c r="E20387" s="33" t="s">
        <v>26</v>
      </c>
      <c r="F20387" s="33" t="s">
        <v>27</v>
      </c>
      <c r="G20387" s="33" t="s">
        <v>140</v>
      </c>
      <c r="H20387" s="35">
        <v>420</v>
      </c>
      <c r="I20387" s="33" t="s">
        <v>51</v>
      </c>
      <c r="J20387" s="42">
        <v>45474</v>
      </c>
      <c r="K20387" s="33" t="s">
        <v>22</v>
      </c>
    </row>
    <row r="20388" spans="1:11">
      <c r="A20388" s="30" t="s">
        <v>45286</v>
      </c>
      <c r="B20388" s="30" t="s">
        <v>45287</v>
      </c>
      <c r="C20388" s="30" t="s">
        <v>11366</v>
      </c>
      <c r="D20388" s="30" t="s">
        <v>17</v>
      </c>
      <c r="E20388" s="30" t="s">
        <v>26</v>
      </c>
      <c r="F20388" s="30" t="s">
        <v>27</v>
      </c>
      <c r="G20388" s="30" t="s">
        <v>106</v>
      </c>
      <c r="H20388" s="32">
        <v>310</v>
      </c>
      <c r="I20388" s="30" t="s">
        <v>21</v>
      </c>
      <c r="J20388" s="41">
        <v>45457</v>
      </c>
      <c r="K20388" s="30" t="s">
        <v>22</v>
      </c>
    </row>
    <row r="20389" spans="1:11">
      <c r="A20389" s="33" t="s">
        <v>45288</v>
      </c>
      <c r="B20389" s="33" t="s">
        <v>45289</v>
      </c>
      <c r="C20389" s="33" t="s">
        <v>178</v>
      </c>
      <c r="D20389" s="33" t="s">
        <v>17</v>
      </c>
      <c r="E20389" s="33" t="s">
        <v>18</v>
      </c>
      <c r="F20389" s="33" t="s">
        <v>19</v>
      </c>
      <c r="G20389" s="33" t="s">
        <v>158</v>
      </c>
      <c r="H20389" s="35">
        <v>338</v>
      </c>
      <c r="I20389" s="33" t="s">
        <v>21</v>
      </c>
      <c r="J20389" s="42">
        <v>45558</v>
      </c>
      <c r="K20389" s="33" t="s">
        <v>22</v>
      </c>
    </row>
    <row r="20390" spans="1:11">
      <c r="A20390" s="30" t="s">
        <v>45290</v>
      </c>
      <c r="B20390" s="30" t="s">
        <v>45291</v>
      </c>
      <c r="C20390" s="30" t="s">
        <v>21354</v>
      </c>
      <c r="D20390" s="30" t="s">
        <v>17</v>
      </c>
      <c r="E20390" s="30" t="s">
        <v>67</v>
      </c>
      <c r="F20390" s="30" t="s">
        <v>68</v>
      </c>
      <c r="G20390" s="30" t="s">
        <v>7780</v>
      </c>
      <c r="H20390" s="32">
        <v>66</v>
      </c>
      <c r="I20390" s="30" t="s">
        <v>51</v>
      </c>
      <c r="J20390" s="41">
        <v>45566</v>
      </c>
      <c r="K20390" s="30" t="s">
        <v>22</v>
      </c>
    </row>
    <row r="20391" spans="1:11">
      <c r="A20391" s="33" t="s">
        <v>45292</v>
      </c>
      <c r="B20391" s="33" t="s">
        <v>45293</v>
      </c>
      <c r="C20391" s="33" t="s">
        <v>37411</v>
      </c>
      <c r="D20391" s="33" t="s">
        <v>17</v>
      </c>
      <c r="E20391" s="33" t="s">
        <v>31</v>
      </c>
      <c r="F20391" s="33" t="s">
        <v>32</v>
      </c>
      <c r="G20391" s="33" t="s">
        <v>7780</v>
      </c>
      <c r="H20391" s="35">
        <v>300</v>
      </c>
      <c r="I20391" s="33" t="s">
        <v>51</v>
      </c>
      <c r="J20391" s="42">
        <v>45558</v>
      </c>
      <c r="K20391" s="33" t="s">
        <v>22</v>
      </c>
    </row>
    <row r="20392" spans="1:11">
      <c r="A20392" s="30" t="s">
        <v>45294</v>
      </c>
      <c r="B20392" s="30" t="s">
        <v>45295</v>
      </c>
      <c r="C20392" s="30" t="s">
        <v>22019</v>
      </c>
      <c r="D20392" s="30" t="s">
        <v>17</v>
      </c>
      <c r="E20392" s="30" t="s">
        <v>18</v>
      </c>
      <c r="F20392" s="30" t="s">
        <v>19</v>
      </c>
      <c r="G20392" s="30" t="s">
        <v>140</v>
      </c>
      <c r="H20392" s="32">
        <v>320</v>
      </c>
      <c r="I20392" s="30" t="s">
        <v>51</v>
      </c>
      <c r="J20392" s="41">
        <v>45607</v>
      </c>
      <c r="K20392" s="30" t="s">
        <v>22</v>
      </c>
    </row>
    <row r="20393" spans="1:11">
      <c r="A20393" s="33" t="s">
        <v>45296</v>
      </c>
      <c r="B20393" s="33" t="s">
        <v>45297</v>
      </c>
      <c r="C20393" s="33" t="s">
        <v>45298</v>
      </c>
      <c r="D20393" s="33" t="s">
        <v>17</v>
      </c>
      <c r="E20393" s="33" t="s">
        <v>26</v>
      </c>
      <c r="F20393" s="33" t="s">
        <v>27</v>
      </c>
      <c r="G20393" s="33" t="s">
        <v>158</v>
      </c>
      <c r="H20393" s="35">
        <v>120</v>
      </c>
      <c r="I20393" s="33" t="s">
        <v>51</v>
      </c>
      <c r="J20393" s="42">
        <v>45327</v>
      </c>
      <c r="K20393" s="33" t="s">
        <v>22</v>
      </c>
    </row>
    <row r="20394" spans="1:11">
      <c r="A20394" s="30" t="s">
        <v>45299</v>
      </c>
      <c r="B20394" s="30" t="s">
        <v>45300</v>
      </c>
      <c r="C20394" s="30" t="s">
        <v>149</v>
      </c>
      <c r="D20394" s="30" t="s">
        <v>17</v>
      </c>
      <c r="E20394" s="30" t="s">
        <v>26</v>
      </c>
      <c r="F20394" s="30" t="s">
        <v>27</v>
      </c>
      <c r="G20394" s="30" t="s">
        <v>50</v>
      </c>
      <c r="H20394" s="32">
        <v>30</v>
      </c>
      <c r="I20394" s="30" t="s">
        <v>51</v>
      </c>
      <c r="J20394" s="41">
        <v>45413</v>
      </c>
      <c r="K20394" s="30" t="s">
        <v>22</v>
      </c>
    </row>
    <row r="20395" spans="1:11">
      <c r="A20395" s="33" t="s">
        <v>45301</v>
      </c>
      <c r="B20395" s="33" t="s">
        <v>45302</v>
      </c>
      <c r="C20395" s="33" t="s">
        <v>45303</v>
      </c>
      <c r="D20395" s="33" t="s">
        <v>17</v>
      </c>
      <c r="E20395" s="33" t="s">
        <v>26</v>
      </c>
      <c r="F20395" s="33" t="s">
        <v>27</v>
      </c>
      <c r="G20395" s="33" t="s">
        <v>50</v>
      </c>
      <c r="H20395" s="35">
        <v>35</v>
      </c>
      <c r="I20395" s="33" t="s">
        <v>51</v>
      </c>
      <c r="J20395" s="42">
        <v>45419</v>
      </c>
      <c r="K20395" s="33" t="s">
        <v>22</v>
      </c>
    </row>
    <row r="20396" spans="1:11">
      <c r="A20396" s="30" t="s">
        <v>45304</v>
      </c>
      <c r="B20396" s="30" t="s">
        <v>45305</v>
      </c>
      <c r="C20396" s="30" t="s">
        <v>3660</v>
      </c>
      <c r="D20396" s="30" t="s">
        <v>17</v>
      </c>
      <c r="E20396" s="30" t="s">
        <v>18</v>
      </c>
      <c r="F20396" s="30" t="s">
        <v>19</v>
      </c>
      <c r="G20396" s="30" t="s">
        <v>158</v>
      </c>
      <c r="H20396" s="32">
        <v>400</v>
      </c>
      <c r="I20396" s="30" t="s">
        <v>51</v>
      </c>
      <c r="J20396" s="41">
        <v>45623</v>
      </c>
      <c r="K20396" s="30" t="s">
        <v>22</v>
      </c>
    </row>
    <row r="20397" spans="1:11">
      <c r="A20397" s="33" t="s">
        <v>45306</v>
      </c>
      <c r="B20397" s="33" t="s">
        <v>45307</v>
      </c>
      <c r="C20397" s="33" t="s">
        <v>29022</v>
      </c>
      <c r="D20397" s="33" t="s">
        <v>17</v>
      </c>
      <c r="E20397" s="33" t="s">
        <v>26</v>
      </c>
      <c r="F20397" s="33" t="s">
        <v>27</v>
      </c>
      <c r="G20397" s="33" t="s">
        <v>140</v>
      </c>
      <c r="H20397" s="35">
        <v>36</v>
      </c>
      <c r="I20397" s="33" t="s">
        <v>51</v>
      </c>
      <c r="J20397" s="42">
        <v>45595</v>
      </c>
      <c r="K20397" s="33" t="s">
        <v>22</v>
      </c>
    </row>
    <row r="20398" spans="1:11">
      <c r="A20398" s="30" t="s">
        <v>45308</v>
      </c>
      <c r="B20398" s="30" t="s">
        <v>45309</v>
      </c>
      <c r="C20398" s="30" t="s">
        <v>30640</v>
      </c>
      <c r="D20398" s="30" t="s">
        <v>17</v>
      </c>
      <c r="E20398" s="30" t="s">
        <v>67</v>
      </c>
      <c r="F20398" s="30" t="s">
        <v>68</v>
      </c>
      <c r="G20398" s="30" t="s">
        <v>140</v>
      </c>
      <c r="H20398" s="32">
        <v>257</v>
      </c>
      <c r="I20398" s="30" t="s">
        <v>51</v>
      </c>
      <c r="J20398" s="41">
        <v>45326</v>
      </c>
      <c r="K20398" s="30" t="s">
        <v>22</v>
      </c>
    </row>
    <row r="20399" spans="1:11">
      <c r="A20399" s="33" t="s">
        <v>45310</v>
      </c>
      <c r="B20399" s="33" t="s">
        <v>45311</v>
      </c>
      <c r="C20399" s="33" t="s">
        <v>21439</v>
      </c>
      <c r="D20399" s="33" t="s">
        <v>17</v>
      </c>
      <c r="E20399" s="33" t="s">
        <v>26</v>
      </c>
      <c r="F20399" s="33" t="s">
        <v>27</v>
      </c>
      <c r="G20399" s="33" t="s">
        <v>50</v>
      </c>
      <c r="H20399" s="35">
        <v>64</v>
      </c>
      <c r="I20399" s="33" t="s">
        <v>51</v>
      </c>
      <c r="J20399" s="42">
        <v>45444</v>
      </c>
      <c r="K20399" s="33" t="s">
        <v>22</v>
      </c>
    </row>
    <row r="20400" spans="1:11">
      <c r="A20400" s="30" t="s">
        <v>45312</v>
      </c>
      <c r="B20400" s="30" t="s">
        <v>45313</v>
      </c>
      <c r="C20400" s="30" t="s">
        <v>1210</v>
      </c>
      <c r="D20400" s="30" t="s">
        <v>17</v>
      </c>
      <c r="E20400" s="30" t="s">
        <v>31</v>
      </c>
      <c r="F20400" s="30" t="s">
        <v>32</v>
      </c>
      <c r="G20400" s="30" t="s">
        <v>140</v>
      </c>
      <c r="H20400" s="32">
        <v>23</v>
      </c>
      <c r="I20400" s="30" t="s">
        <v>51</v>
      </c>
      <c r="J20400" s="41">
        <v>45621</v>
      </c>
      <c r="K20400" s="30" t="s">
        <v>22</v>
      </c>
    </row>
    <row r="20401" spans="1:11">
      <c r="A20401" s="33" t="s">
        <v>45314</v>
      </c>
      <c r="B20401" s="33" t="s">
        <v>45315</v>
      </c>
      <c r="C20401" s="33" t="s">
        <v>5084</v>
      </c>
      <c r="D20401" s="33" t="s">
        <v>17</v>
      </c>
      <c r="E20401" s="33" t="s">
        <v>18</v>
      </c>
      <c r="F20401" s="33" t="s">
        <v>19</v>
      </c>
      <c r="G20401" s="33" t="s">
        <v>50</v>
      </c>
      <c r="H20401" s="35">
        <v>330</v>
      </c>
      <c r="I20401" s="33" t="s">
        <v>51</v>
      </c>
      <c r="J20401" s="42">
        <v>45473</v>
      </c>
      <c r="K20401" s="33" t="s">
        <v>22</v>
      </c>
    </row>
    <row r="20402" spans="1:11">
      <c r="A20402" s="30" t="s">
        <v>45316</v>
      </c>
      <c r="B20402" s="30" t="s">
        <v>45317</v>
      </c>
      <c r="C20402" s="30" t="s">
        <v>14253</v>
      </c>
      <c r="D20402" s="30" t="s">
        <v>17</v>
      </c>
      <c r="E20402" s="30" t="s">
        <v>26</v>
      </c>
      <c r="F20402" s="30" t="s">
        <v>27</v>
      </c>
      <c r="G20402" s="30" t="s">
        <v>158</v>
      </c>
      <c r="H20402" s="32">
        <v>30</v>
      </c>
      <c r="I20402" s="30" t="s">
        <v>51</v>
      </c>
      <c r="J20402" s="41">
        <v>45538</v>
      </c>
      <c r="K20402" s="30" t="s">
        <v>22</v>
      </c>
    </row>
    <row r="20403" spans="1:11">
      <c r="A20403" s="33" t="s">
        <v>45318</v>
      </c>
      <c r="B20403" s="33" t="s">
        <v>45319</v>
      </c>
      <c r="C20403" s="33" t="s">
        <v>12443</v>
      </c>
      <c r="D20403" s="33" t="s">
        <v>17</v>
      </c>
      <c r="E20403" s="33" t="s">
        <v>26</v>
      </c>
      <c r="F20403" s="33" t="s">
        <v>27</v>
      </c>
      <c r="G20403" s="33" t="s">
        <v>140</v>
      </c>
      <c r="H20403" s="35">
        <v>12</v>
      </c>
      <c r="I20403" s="33" t="s">
        <v>51</v>
      </c>
      <c r="J20403" s="42">
        <v>45573</v>
      </c>
      <c r="K20403" s="33" t="s">
        <v>22</v>
      </c>
    </row>
    <row r="20404" spans="1:11">
      <c r="A20404" s="30" t="s">
        <v>45320</v>
      </c>
      <c r="B20404" s="30" t="s">
        <v>45321</v>
      </c>
      <c r="C20404" s="30" t="s">
        <v>18291</v>
      </c>
      <c r="D20404" s="30" t="s">
        <v>17</v>
      </c>
      <c r="E20404" s="30" t="s">
        <v>31</v>
      </c>
      <c r="F20404" s="30" t="s">
        <v>32</v>
      </c>
      <c r="G20404" s="30" t="s">
        <v>158</v>
      </c>
      <c r="H20404" s="32">
        <v>110</v>
      </c>
      <c r="I20404" s="30" t="s">
        <v>21</v>
      </c>
      <c r="J20404" s="41">
        <v>45356</v>
      </c>
      <c r="K20404" s="30" t="s">
        <v>22</v>
      </c>
    </row>
    <row r="20405" spans="1:11">
      <c r="A20405" s="33" t="s">
        <v>45322</v>
      </c>
      <c r="B20405" s="33" t="s">
        <v>45323</v>
      </c>
      <c r="C20405" s="33" t="s">
        <v>45324</v>
      </c>
      <c r="D20405" s="33" t="s">
        <v>17</v>
      </c>
      <c r="E20405" s="33" t="s">
        <v>26</v>
      </c>
      <c r="F20405" s="33" t="s">
        <v>27</v>
      </c>
      <c r="G20405" s="33" t="s">
        <v>158</v>
      </c>
      <c r="H20405" s="35">
        <v>160</v>
      </c>
      <c r="I20405" s="33" t="s">
        <v>51</v>
      </c>
      <c r="J20405" s="42">
        <v>45391</v>
      </c>
      <c r="K20405" s="33" t="s">
        <v>22</v>
      </c>
    </row>
    <row r="20406" spans="1:11">
      <c r="A20406" s="30" t="s">
        <v>45325</v>
      </c>
      <c r="B20406" s="30" t="s">
        <v>45326</v>
      </c>
      <c r="C20406" s="30" t="s">
        <v>17608</v>
      </c>
      <c r="D20406" s="30" t="s">
        <v>17</v>
      </c>
      <c r="E20406" s="30" t="s">
        <v>18</v>
      </c>
      <c r="F20406" s="30" t="s">
        <v>19</v>
      </c>
      <c r="G20406" s="30" t="s">
        <v>20</v>
      </c>
      <c r="H20406" s="32">
        <v>224</v>
      </c>
      <c r="I20406" s="30" t="s">
        <v>21</v>
      </c>
      <c r="J20406" s="41">
        <v>45320</v>
      </c>
      <c r="K20406" s="30" t="s">
        <v>22</v>
      </c>
    </row>
    <row r="20407" spans="1:11">
      <c r="A20407" s="33" t="s">
        <v>45327</v>
      </c>
      <c r="B20407" s="33" t="s">
        <v>45328</v>
      </c>
      <c r="C20407" s="33" t="s">
        <v>10300</v>
      </c>
      <c r="D20407" s="33" t="s">
        <v>17</v>
      </c>
      <c r="E20407" s="33" t="s">
        <v>26</v>
      </c>
      <c r="F20407" s="33" t="s">
        <v>27</v>
      </c>
      <c r="G20407" s="33" t="s">
        <v>20</v>
      </c>
      <c r="H20407" s="35">
        <v>28</v>
      </c>
      <c r="I20407" s="33" t="s">
        <v>21</v>
      </c>
      <c r="J20407" s="42">
        <v>45349</v>
      </c>
      <c r="K20407" s="33" t="s">
        <v>22</v>
      </c>
    </row>
    <row r="20408" spans="1:11">
      <c r="A20408" s="30" t="s">
        <v>45329</v>
      </c>
      <c r="B20408" s="30" t="s">
        <v>45330</v>
      </c>
      <c r="C20408" s="30" t="s">
        <v>118</v>
      </c>
      <c r="D20408" s="30" t="s">
        <v>17</v>
      </c>
      <c r="E20408" s="30" t="s">
        <v>31</v>
      </c>
      <c r="F20408" s="30" t="s">
        <v>32</v>
      </c>
      <c r="G20408" s="30" t="s">
        <v>158</v>
      </c>
      <c r="H20408" s="32">
        <v>13</v>
      </c>
      <c r="I20408" s="30" t="s">
        <v>51</v>
      </c>
      <c r="J20408" s="41">
        <v>45315</v>
      </c>
      <c r="K20408" s="30" t="s">
        <v>22</v>
      </c>
    </row>
    <row r="20409" spans="1:11">
      <c r="A20409" s="33" t="s">
        <v>45331</v>
      </c>
      <c r="B20409" s="33" t="s">
        <v>45332</v>
      </c>
      <c r="C20409" s="33" t="s">
        <v>3655</v>
      </c>
      <c r="D20409" s="33" t="s">
        <v>17</v>
      </c>
      <c r="E20409" s="33" t="s">
        <v>67</v>
      </c>
      <c r="F20409" s="33" t="s">
        <v>68</v>
      </c>
      <c r="G20409" s="33" t="s">
        <v>106</v>
      </c>
      <c r="H20409" s="35">
        <v>1</v>
      </c>
      <c r="I20409" s="33" t="s">
        <v>21</v>
      </c>
      <c r="J20409" s="42">
        <v>45378</v>
      </c>
      <c r="K20409" s="33" t="s">
        <v>22</v>
      </c>
    </row>
    <row r="20410" spans="1:11">
      <c r="A20410" s="30" t="s">
        <v>45333</v>
      </c>
      <c r="B20410" s="30" t="s">
        <v>45334</v>
      </c>
      <c r="C20410" s="30" t="s">
        <v>93</v>
      </c>
      <c r="D20410" s="30" t="s">
        <v>17</v>
      </c>
      <c r="E20410" s="30" t="s">
        <v>18</v>
      </c>
      <c r="F20410" s="30" t="s">
        <v>19</v>
      </c>
      <c r="G20410" s="30" t="s">
        <v>20</v>
      </c>
      <c r="H20410" s="32">
        <v>161</v>
      </c>
      <c r="I20410" s="30" t="s">
        <v>21</v>
      </c>
      <c r="J20410" s="41">
        <v>45380</v>
      </c>
      <c r="K20410" s="30" t="s">
        <v>22</v>
      </c>
    </row>
    <row r="20411" spans="1:11">
      <c r="A20411" s="33" t="s">
        <v>45335</v>
      </c>
      <c r="B20411" s="33" t="s">
        <v>45336</v>
      </c>
      <c r="C20411" s="33" t="s">
        <v>45337</v>
      </c>
      <c r="D20411" s="33" t="s">
        <v>17</v>
      </c>
      <c r="E20411" s="33" t="s">
        <v>26</v>
      </c>
      <c r="F20411" s="33" t="s">
        <v>27</v>
      </c>
      <c r="G20411" s="33" t="s">
        <v>20</v>
      </c>
      <c r="H20411" s="35">
        <v>16</v>
      </c>
      <c r="I20411" s="33" t="s">
        <v>21</v>
      </c>
      <c r="J20411" s="42">
        <v>45563</v>
      </c>
      <c r="K20411" s="33" t="s">
        <v>22</v>
      </c>
    </row>
    <row r="20412" spans="1:11">
      <c r="A20412" s="30" t="s">
        <v>45338</v>
      </c>
      <c r="B20412" s="30" t="s">
        <v>45339</v>
      </c>
      <c r="C20412" s="30" t="s">
        <v>187</v>
      </c>
      <c r="D20412" s="30" t="s">
        <v>17</v>
      </c>
      <c r="E20412" s="30" t="s">
        <v>67</v>
      </c>
      <c r="F20412" s="30" t="s">
        <v>68</v>
      </c>
      <c r="G20412" s="30" t="s">
        <v>7780</v>
      </c>
      <c r="H20412" s="32">
        <v>162</v>
      </c>
      <c r="I20412" s="30" t="s">
        <v>51</v>
      </c>
      <c r="J20412" s="41">
        <v>45444</v>
      </c>
      <c r="K20412" s="30" t="s">
        <v>22</v>
      </c>
    </row>
    <row r="20413" spans="1:11">
      <c r="A20413" s="33" t="s">
        <v>45340</v>
      </c>
      <c r="B20413" s="33" t="s">
        <v>45341</v>
      </c>
      <c r="C20413" s="33" t="s">
        <v>29479</v>
      </c>
      <c r="D20413" s="33" t="s">
        <v>17</v>
      </c>
      <c r="E20413" s="33" t="s">
        <v>67</v>
      </c>
      <c r="F20413" s="33" t="s">
        <v>68</v>
      </c>
      <c r="G20413" s="33" t="s">
        <v>158</v>
      </c>
      <c r="H20413" s="35">
        <v>522</v>
      </c>
      <c r="I20413" s="33" t="s">
        <v>51</v>
      </c>
      <c r="J20413" s="42">
        <v>45609</v>
      </c>
      <c r="K20413" s="33" t="s">
        <v>22</v>
      </c>
    </row>
    <row r="20414" spans="1:11">
      <c r="A20414" s="30" t="s">
        <v>45342</v>
      </c>
      <c r="B20414" s="30" t="s">
        <v>45343</v>
      </c>
      <c r="C20414" s="30" t="s">
        <v>2807</v>
      </c>
      <c r="D20414" s="30" t="s">
        <v>17</v>
      </c>
      <c r="E20414" s="30" t="s">
        <v>18</v>
      </c>
      <c r="F20414" s="30" t="s">
        <v>19</v>
      </c>
      <c r="G20414" s="30" t="s">
        <v>140</v>
      </c>
      <c r="H20414" s="32">
        <v>35</v>
      </c>
      <c r="I20414" s="30" t="s">
        <v>51</v>
      </c>
      <c r="J20414" s="41">
        <v>45321</v>
      </c>
      <c r="K20414" s="30" t="s">
        <v>22</v>
      </c>
    </row>
    <row r="20415" spans="1:11">
      <c r="A20415" s="33" t="s">
        <v>45344</v>
      </c>
      <c r="B20415" s="33" t="s">
        <v>45345</v>
      </c>
      <c r="C20415" s="33" t="s">
        <v>45346</v>
      </c>
      <c r="D20415" s="33" t="s">
        <v>17</v>
      </c>
      <c r="E20415" s="33" t="s">
        <v>67</v>
      </c>
      <c r="F20415" s="33" t="s">
        <v>68</v>
      </c>
      <c r="G20415" s="33" t="s">
        <v>158</v>
      </c>
      <c r="H20415" s="35">
        <v>100</v>
      </c>
      <c r="I20415" s="33" t="s">
        <v>51</v>
      </c>
      <c r="J20415" s="42">
        <v>45357</v>
      </c>
      <c r="K20415" s="33" t="s">
        <v>22</v>
      </c>
    </row>
    <row r="20416" spans="1:11">
      <c r="A20416" s="30" t="s">
        <v>45347</v>
      </c>
      <c r="B20416" s="30" t="s">
        <v>45348</v>
      </c>
      <c r="C20416" s="30" t="s">
        <v>5805</v>
      </c>
      <c r="D20416" s="30" t="s">
        <v>17</v>
      </c>
      <c r="E20416" s="30" t="s">
        <v>31</v>
      </c>
      <c r="F20416" s="30" t="s">
        <v>32</v>
      </c>
      <c r="G20416" s="30" t="s">
        <v>158</v>
      </c>
      <c r="H20416" s="32">
        <v>131</v>
      </c>
      <c r="I20416" s="30" t="s">
        <v>21</v>
      </c>
      <c r="J20416" s="41">
        <v>45644</v>
      </c>
      <c r="K20416" s="30" t="s">
        <v>22</v>
      </c>
    </row>
    <row r="20417" spans="1:11">
      <c r="A20417" s="33" t="s">
        <v>45349</v>
      </c>
      <c r="B20417" s="33" t="s">
        <v>45350</v>
      </c>
      <c r="C20417" s="33" t="s">
        <v>5040</v>
      </c>
      <c r="D20417" s="33" t="s">
        <v>17</v>
      </c>
      <c r="E20417" s="33" t="s">
        <v>212</v>
      </c>
      <c r="F20417" s="33" t="s">
        <v>213</v>
      </c>
      <c r="G20417" s="33" t="s">
        <v>20</v>
      </c>
      <c r="H20417" s="35">
        <v>412</v>
      </c>
      <c r="I20417" s="33" t="s">
        <v>21</v>
      </c>
      <c r="J20417" s="42">
        <v>45556</v>
      </c>
      <c r="K20417" s="33" t="s">
        <v>22</v>
      </c>
    </row>
    <row r="20418" spans="1:11">
      <c r="A20418" s="30" t="s">
        <v>45351</v>
      </c>
      <c r="B20418" s="30" t="s">
        <v>45352</v>
      </c>
      <c r="C20418" s="30" t="s">
        <v>109</v>
      </c>
      <c r="D20418" s="30" t="s">
        <v>17</v>
      </c>
      <c r="E20418" s="30" t="s">
        <v>67</v>
      </c>
      <c r="F20418" s="30" t="s">
        <v>68</v>
      </c>
      <c r="G20418" s="30" t="s">
        <v>140</v>
      </c>
      <c r="H20418" s="32">
        <v>28</v>
      </c>
      <c r="I20418" s="30" t="s">
        <v>51</v>
      </c>
      <c r="J20418" s="41">
        <v>45638</v>
      </c>
      <c r="K20418" s="30" t="s">
        <v>22</v>
      </c>
    </row>
    <row r="20419" spans="1:11">
      <c r="A20419" s="33" t="s">
        <v>45353</v>
      </c>
      <c r="B20419" s="33" t="s">
        <v>45354</v>
      </c>
      <c r="C20419" s="33" t="s">
        <v>11366</v>
      </c>
      <c r="D20419" s="33" t="s">
        <v>17</v>
      </c>
      <c r="E20419" s="33" t="s">
        <v>26</v>
      </c>
      <c r="F20419" s="33" t="s">
        <v>27</v>
      </c>
      <c r="G20419" s="33" t="s">
        <v>20</v>
      </c>
      <c r="H20419" s="35">
        <v>49</v>
      </c>
      <c r="I20419" s="33" t="s">
        <v>21</v>
      </c>
      <c r="J20419" s="42">
        <v>45342</v>
      </c>
      <c r="K20419" s="33" t="s">
        <v>22</v>
      </c>
    </row>
    <row r="20420" spans="1:11">
      <c r="A20420" s="30" t="s">
        <v>45355</v>
      </c>
      <c r="B20420" s="30" t="s">
        <v>45356</v>
      </c>
      <c r="C20420" s="30" t="s">
        <v>8653</v>
      </c>
      <c r="D20420" s="30" t="s">
        <v>17</v>
      </c>
      <c r="E20420" s="30" t="s">
        <v>18</v>
      </c>
      <c r="F20420" s="30" t="s">
        <v>19</v>
      </c>
      <c r="G20420" s="30" t="s">
        <v>140</v>
      </c>
      <c r="H20420" s="32">
        <v>364</v>
      </c>
      <c r="I20420" s="30" t="s">
        <v>51</v>
      </c>
      <c r="J20420" s="41">
        <v>45587</v>
      </c>
      <c r="K20420" s="30" t="s">
        <v>22</v>
      </c>
    </row>
    <row r="20421" spans="1:11">
      <c r="A20421" s="33" t="s">
        <v>45357</v>
      </c>
      <c r="B20421" s="33" t="s">
        <v>45358</v>
      </c>
      <c r="C20421" s="33" t="s">
        <v>6127</v>
      </c>
      <c r="D20421" s="33" t="s">
        <v>17</v>
      </c>
      <c r="E20421" s="33" t="s">
        <v>26</v>
      </c>
      <c r="F20421" s="33" t="s">
        <v>27</v>
      </c>
      <c r="G20421" s="33" t="s">
        <v>140</v>
      </c>
      <c r="H20421" s="35">
        <v>66</v>
      </c>
      <c r="I20421" s="33" t="s">
        <v>51</v>
      </c>
      <c r="J20421" s="42">
        <v>45579</v>
      </c>
      <c r="K20421" s="33" t="s">
        <v>22</v>
      </c>
    </row>
    <row r="20422" spans="1:11">
      <c r="A20422" s="30" t="s">
        <v>45359</v>
      </c>
      <c r="B20422" s="30" t="s">
        <v>45360</v>
      </c>
      <c r="C20422" s="30" t="s">
        <v>45361</v>
      </c>
      <c r="D20422" s="30" t="s">
        <v>17</v>
      </c>
      <c r="E20422" s="30" t="s">
        <v>18</v>
      </c>
      <c r="F20422" s="30" t="s">
        <v>19</v>
      </c>
      <c r="G20422" s="30" t="s">
        <v>50</v>
      </c>
      <c r="H20422" s="32">
        <v>102</v>
      </c>
      <c r="I20422" s="30" t="s">
        <v>51</v>
      </c>
      <c r="J20422" s="41">
        <v>45565</v>
      </c>
      <c r="K20422" s="30" t="s">
        <v>22</v>
      </c>
    </row>
    <row r="20423" spans="1:11">
      <c r="A20423" s="33" t="s">
        <v>45362</v>
      </c>
      <c r="B20423" s="33" t="s">
        <v>45363</v>
      </c>
      <c r="C20423" s="33" t="s">
        <v>36356</v>
      </c>
      <c r="D20423" s="33" t="s">
        <v>17</v>
      </c>
      <c r="E20423" s="33" t="s">
        <v>26</v>
      </c>
      <c r="F20423" s="33" t="s">
        <v>27</v>
      </c>
      <c r="G20423" s="33" t="s">
        <v>140</v>
      </c>
      <c r="H20423" s="35">
        <v>50</v>
      </c>
      <c r="I20423" s="33" t="s">
        <v>51</v>
      </c>
      <c r="J20423" s="42">
        <v>45474</v>
      </c>
      <c r="K20423" s="33" t="s">
        <v>22</v>
      </c>
    </row>
    <row r="20424" spans="1:11">
      <c r="A20424" s="30" t="s">
        <v>45364</v>
      </c>
      <c r="B20424" s="30" t="s">
        <v>45365</v>
      </c>
      <c r="C20424" s="30" t="s">
        <v>45366</v>
      </c>
      <c r="D20424" s="30" t="s">
        <v>17</v>
      </c>
      <c r="E20424" s="30" t="s">
        <v>67</v>
      </c>
      <c r="F20424" s="30" t="s">
        <v>68</v>
      </c>
      <c r="G20424" s="30" t="s">
        <v>20</v>
      </c>
      <c r="H20424" s="32">
        <v>12</v>
      </c>
      <c r="I20424" s="30" t="s">
        <v>21</v>
      </c>
      <c r="J20424" s="41">
        <v>45517</v>
      </c>
      <c r="K20424" s="30" t="s">
        <v>22</v>
      </c>
    </row>
    <row r="20425" spans="1:11">
      <c r="A20425" s="33" t="s">
        <v>45367</v>
      </c>
      <c r="B20425" s="33" t="s">
        <v>45368</v>
      </c>
      <c r="C20425" s="33" t="s">
        <v>1165</v>
      </c>
      <c r="D20425" s="33" t="s">
        <v>17</v>
      </c>
      <c r="E20425" s="33" t="s">
        <v>18</v>
      </c>
      <c r="F20425" s="33" t="s">
        <v>19</v>
      </c>
      <c r="G20425" s="33" t="s">
        <v>158</v>
      </c>
      <c r="H20425" s="35">
        <v>119</v>
      </c>
      <c r="I20425" s="33" t="s">
        <v>21</v>
      </c>
      <c r="J20425" s="42">
        <v>45398</v>
      </c>
      <c r="K20425" s="33" t="s">
        <v>22</v>
      </c>
    </row>
    <row r="20426" spans="1:11">
      <c r="A20426" s="30" t="s">
        <v>45369</v>
      </c>
      <c r="B20426" s="30" t="s">
        <v>45370</v>
      </c>
      <c r="C20426" s="30" t="s">
        <v>45371</v>
      </c>
      <c r="D20426" s="30" t="s">
        <v>17</v>
      </c>
      <c r="E20426" s="30" t="s">
        <v>31</v>
      </c>
      <c r="F20426" s="30" t="s">
        <v>32</v>
      </c>
      <c r="G20426" s="30" t="s">
        <v>140</v>
      </c>
      <c r="H20426" s="32">
        <v>20</v>
      </c>
      <c r="I20426" s="30" t="s">
        <v>51</v>
      </c>
      <c r="J20426" s="41">
        <v>45611</v>
      </c>
      <c r="K20426" s="30" t="s">
        <v>22</v>
      </c>
    </row>
    <row r="20427" spans="1:11">
      <c r="A20427" s="33" t="s">
        <v>45372</v>
      </c>
      <c r="B20427" s="33" t="s">
        <v>45373</v>
      </c>
      <c r="C20427" s="33" t="s">
        <v>45374</v>
      </c>
      <c r="D20427" s="33" t="s">
        <v>17</v>
      </c>
      <c r="E20427" s="33" t="s">
        <v>31</v>
      </c>
      <c r="F20427" s="33" t="s">
        <v>32</v>
      </c>
      <c r="G20427" s="33" t="s">
        <v>20</v>
      </c>
      <c r="H20427" s="35">
        <v>100</v>
      </c>
      <c r="I20427" s="33" t="s">
        <v>21</v>
      </c>
      <c r="J20427" s="42">
        <v>45590</v>
      </c>
      <c r="K20427" s="33" t="s">
        <v>22</v>
      </c>
    </row>
    <row r="20428" spans="1:11">
      <c r="A20428" s="30" t="s">
        <v>45375</v>
      </c>
      <c r="B20428" s="30" t="s">
        <v>45376</v>
      </c>
      <c r="C20428" s="30" t="s">
        <v>45377</v>
      </c>
      <c r="D20428" s="30" t="s">
        <v>17</v>
      </c>
      <c r="E20428" s="30" t="s">
        <v>45</v>
      </c>
      <c r="F20428" s="30" t="s">
        <v>46</v>
      </c>
      <c r="G20428" s="30" t="s">
        <v>7780</v>
      </c>
      <c r="H20428" s="32">
        <v>10</v>
      </c>
      <c r="I20428" s="30" t="s">
        <v>51</v>
      </c>
      <c r="J20428" s="41">
        <v>45566</v>
      </c>
      <c r="K20428" s="30" t="s">
        <v>22</v>
      </c>
    </row>
    <row r="20429" spans="1:11">
      <c r="A20429" s="33" t="s">
        <v>45378</v>
      </c>
      <c r="B20429" s="33" t="s">
        <v>45379</v>
      </c>
      <c r="C20429" s="33" t="s">
        <v>39563</v>
      </c>
      <c r="D20429" s="33" t="s">
        <v>17</v>
      </c>
      <c r="E20429" s="33" t="s">
        <v>26</v>
      </c>
      <c r="F20429" s="33" t="s">
        <v>27</v>
      </c>
      <c r="G20429" s="33" t="s">
        <v>50</v>
      </c>
      <c r="H20429" s="35">
        <v>32</v>
      </c>
      <c r="I20429" s="33" t="s">
        <v>51</v>
      </c>
      <c r="J20429" s="42">
        <v>45489</v>
      </c>
      <c r="K20429" s="33" t="s">
        <v>22</v>
      </c>
    </row>
    <row r="20430" spans="1:11">
      <c r="A20430" s="30" t="s">
        <v>45380</v>
      </c>
      <c r="B20430" s="30" t="s">
        <v>45381</v>
      </c>
      <c r="C20430" s="30" t="s">
        <v>7153</v>
      </c>
      <c r="D20430" s="30" t="s">
        <v>17</v>
      </c>
      <c r="E20430" s="30" t="s">
        <v>26</v>
      </c>
      <c r="F20430" s="30" t="s">
        <v>27</v>
      </c>
      <c r="G20430" s="30" t="s">
        <v>20</v>
      </c>
      <c r="H20430" s="32">
        <v>80</v>
      </c>
      <c r="I20430" s="30" t="s">
        <v>21</v>
      </c>
      <c r="J20430" s="41">
        <v>45406</v>
      </c>
      <c r="K20430" s="30" t="s">
        <v>22</v>
      </c>
    </row>
    <row r="20431" spans="1:11">
      <c r="A20431" s="33" t="s">
        <v>45382</v>
      </c>
      <c r="B20431" s="33" t="s">
        <v>45383</v>
      </c>
      <c r="C20431" s="33" t="s">
        <v>118</v>
      </c>
      <c r="D20431" s="33" t="s">
        <v>17</v>
      </c>
      <c r="E20431" s="33" t="s">
        <v>18</v>
      </c>
      <c r="F20431" s="33" t="s">
        <v>19</v>
      </c>
      <c r="G20431" s="33" t="s">
        <v>20</v>
      </c>
      <c r="H20431" s="35">
        <v>241</v>
      </c>
      <c r="I20431" s="33" t="s">
        <v>21</v>
      </c>
      <c r="J20431" s="42">
        <v>45348</v>
      </c>
      <c r="K20431" s="33" t="s">
        <v>22</v>
      </c>
    </row>
    <row r="20432" spans="1:11">
      <c r="A20432" s="30" t="s">
        <v>45384</v>
      </c>
      <c r="B20432" s="30" t="s">
        <v>45385</v>
      </c>
      <c r="C20432" s="30" t="s">
        <v>647</v>
      </c>
      <c r="D20432" s="30" t="s">
        <v>17</v>
      </c>
      <c r="E20432" s="30" t="s">
        <v>26</v>
      </c>
      <c r="F20432" s="30" t="s">
        <v>27</v>
      </c>
      <c r="G20432" s="30" t="s">
        <v>20</v>
      </c>
      <c r="H20432" s="32">
        <v>38</v>
      </c>
      <c r="I20432" s="30" t="s">
        <v>21</v>
      </c>
      <c r="J20432" s="41">
        <v>45313</v>
      </c>
      <c r="K20432" s="30" t="s">
        <v>22</v>
      </c>
    </row>
    <row r="20433" spans="1:11">
      <c r="A20433" s="33" t="s">
        <v>45386</v>
      </c>
      <c r="B20433" s="33" t="s">
        <v>45387</v>
      </c>
      <c r="C20433" s="33" t="s">
        <v>22232</v>
      </c>
      <c r="D20433" s="33" t="s">
        <v>17</v>
      </c>
      <c r="E20433" s="33" t="s">
        <v>31</v>
      </c>
      <c r="F20433" s="33" t="s">
        <v>32</v>
      </c>
      <c r="G20433" s="33" t="s">
        <v>112</v>
      </c>
      <c r="H20433" s="35">
        <v>0</v>
      </c>
      <c r="I20433" s="33" t="s">
        <v>21</v>
      </c>
      <c r="J20433" s="42">
        <v>45412</v>
      </c>
      <c r="K20433" s="33" t="s">
        <v>22</v>
      </c>
    </row>
    <row r="20434" spans="1:11">
      <c r="A20434" s="30" t="s">
        <v>45388</v>
      </c>
      <c r="B20434" s="30" t="s">
        <v>45389</v>
      </c>
      <c r="C20434" s="30" t="s">
        <v>11599</v>
      </c>
      <c r="D20434" s="30" t="s">
        <v>17</v>
      </c>
      <c r="E20434" s="30" t="s">
        <v>212</v>
      </c>
      <c r="F20434" s="30" t="s">
        <v>213</v>
      </c>
      <c r="G20434" s="30" t="s">
        <v>20</v>
      </c>
      <c r="H20434" s="32">
        <v>89</v>
      </c>
      <c r="I20434" s="30" t="s">
        <v>21</v>
      </c>
      <c r="J20434" s="41">
        <v>45464</v>
      </c>
      <c r="K20434" s="30" t="s">
        <v>22</v>
      </c>
    </row>
    <row r="20435" spans="1:11">
      <c r="A20435" s="33" t="s">
        <v>45390</v>
      </c>
      <c r="B20435" s="33" t="s">
        <v>45391</v>
      </c>
      <c r="C20435" s="33" t="s">
        <v>222</v>
      </c>
      <c r="D20435" s="33" t="s">
        <v>17</v>
      </c>
      <c r="E20435" s="33" t="s">
        <v>26</v>
      </c>
      <c r="F20435" s="33" t="s">
        <v>27</v>
      </c>
      <c r="G20435" s="33" t="s">
        <v>140</v>
      </c>
      <c r="H20435" s="35">
        <v>12</v>
      </c>
      <c r="I20435" s="33" t="s">
        <v>51</v>
      </c>
      <c r="J20435" s="42">
        <v>45565</v>
      </c>
      <c r="K20435" s="33" t="s">
        <v>22</v>
      </c>
    </row>
    <row r="20436" spans="1:11">
      <c r="A20436" s="30" t="s">
        <v>45392</v>
      </c>
      <c r="B20436" s="30" t="s">
        <v>45393</v>
      </c>
      <c r="C20436" s="30" t="s">
        <v>37040</v>
      </c>
      <c r="D20436" s="30" t="s">
        <v>17</v>
      </c>
      <c r="E20436" s="30" t="s">
        <v>31</v>
      </c>
      <c r="F20436" s="30" t="s">
        <v>32</v>
      </c>
      <c r="G20436" s="30" t="s">
        <v>7780</v>
      </c>
      <c r="H20436" s="32">
        <v>30</v>
      </c>
      <c r="I20436" s="30" t="s">
        <v>51</v>
      </c>
      <c r="J20436" s="41">
        <v>45597</v>
      </c>
      <c r="K20436" s="30" t="s">
        <v>22</v>
      </c>
    </row>
    <row r="20437" spans="1:11">
      <c r="A20437" s="33" t="s">
        <v>45394</v>
      </c>
      <c r="B20437" s="33" t="s">
        <v>45395</v>
      </c>
      <c r="C20437" s="33" t="s">
        <v>3757</v>
      </c>
      <c r="D20437" s="33" t="s">
        <v>17</v>
      </c>
      <c r="E20437" s="33" t="s">
        <v>26</v>
      </c>
      <c r="F20437" s="33" t="s">
        <v>27</v>
      </c>
      <c r="G20437" s="33" t="s">
        <v>50</v>
      </c>
      <c r="H20437" s="35">
        <v>18</v>
      </c>
      <c r="I20437" s="33" t="s">
        <v>51</v>
      </c>
      <c r="J20437" s="42">
        <v>45391</v>
      </c>
      <c r="K20437" s="33" t="s">
        <v>22</v>
      </c>
    </row>
    <row r="20438" spans="1:11">
      <c r="A20438" s="30" t="s">
        <v>45396</v>
      </c>
      <c r="B20438" s="30" t="s">
        <v>45397</v>
      </c>
      <c r="C20438" s="30" t="s">
        <v>26581</v>
      </c>
      <c r="D20438" s="30" t="s">
        <v>17</v>
      </c>
      <c r="E20438" s="30" t="s">
        <v>31</v>
      </c>
      <c r="F20438" s="30" t="s">
        <v>32</v>
      </c>
      <c r="G20438" s="30" t="s">
        <v>140</v>
      </c>
      <c r="H20438" s="32">
        <v>25</v>
      </c>
      <c r="I20438" s="30" t="s">
        <v>51</v>
      </c>
      <c r="J20438" s="41">
        <v>45482</v>
      </c>
      <c r="K20438" s="30" t="s">
        <v>22</v>
      </c>
    </row>
    <row r="20439" spans="1:11">
      <c r="A20439" s="33" t="s">
        <v>45398</v>
      </c>
      <c r="B20439" s="33" t="s">
        <v>45399</v>
      </c>
      <c r="C20439" s="33" t="s">
        <v>1607</v>
      </c>
      <c r="D20439" s="33" t="s">
        <v>17</v>
      </c>
      <c r="E20439" s="33" t="s">
        <v>18</v>
      </c>
      <c r="F20439" s="33" t="s">
        <v>19</v>
      </c>
      <c r="G20439" s="33" t="s">
        <v>20</v>
      </c>
      <c r="H20439" s="35">
        <v>74</v>
      </c>
      <c r="I20439" s="33" t="s">
        <v>21</v>
      </c>
      <c r="J20439" s="42">
        <v>45435</v>
      </c>
      <c r="K20439" s="33" t="s">
        <v>22</v>
      </c>
    </row>
    <row r="20440" spans="1:11">
      <c r="A20440" s="30" t="s">
        <v>45400</v>
      </c>
      <c r="B20440" s="30" t="s">
        <v>45401</v>
      </c>
      <c r="C20440" s="30" t="s">
        <v>190</v>
      </c>
      <c r="D20440" s="30" t="s">
        <v>17</v>
      </c>
      <c r="E20440" s="30" t="s">
        <v>26</v>
      </c>
      <c r="F20440" s="30" t="s">
        <v>27</v>
      </c>
      <c r="G20440" s="30" t="s">
        <v>20</v>
      </c>
      <c r="H20440" s="32">
        <v>12</v>
      </c>
      <c r="I20440" s="30" t="s">
        <v>21</v>
      </c>
      <c r="J20440" s="41">
        <v>45510</v>
      </c>
      <c r="K20440" s="30" t="s">
        <v>22</v>
      </c>
    </row>
    <row r="20441" spans="1:11">
      <c r="A20441" s="33" t="s">
        <v>45402</v>
      </c>
      <c r="B20441" s="33" t="s">
        <v>45403</v>
      </c>
      <c r="C20441" s="33" t="s">
        <v>9565</v>
      </c>
      <c r="D20441" s="33" t="s">
        <v>17</v>
      </c>
      <c r="E20441" s="33" t="s">
        <v>31</v>
      </c>
      <c r="F20441" s="33" t="s">
        <v>32</v>
      </c>
      <c r="G20441" s="33" t="s">
        <v>106</v>
      </c>
      <c r="H20441" s="35">
        <v>205</v>
      </c>
      <c r="I20441" s="33" t="s">
        <v>21</v>
      </c>
      <c r="J20441" s="42">
        <v>45447</v>
      </c>
      <c r="K20441" s="33" t="s">
        <v>22</v>
      </c>
    </row>
    <row r="20442" spans="1:11">
      <c r="A20442" s="30" t="s">
        <v>45404</v>
      </c>
      <c r="B20442" s="30" t="s">
        <v>45405</v>
      </c>
      <c r="C20442" s="30" t="s">
        <v>190</v>
      </c>
      <c r="D20442" s="30" t="s">
        <v>17</v>
      </c>
      <c r="E20442" s="30" t="s">
        <v>18</v>
      </c>
      <c r="F20442" s="30" t="s">
        <v>19</v>
      </c>
      <c r="G20442" s="30" t="s">
        <v>20</v>
      </c>
      <c r="H20442" s="32">
        <v>218</v>
      </c>
      <c r="I20442" s="30" t="s">
        <v>21</v>
      </c>
      <c r="J20442" s="41">
        <v>45352</v>
      </c>
      <c r="K20442" s="30" t="s">
        <v>22</v>
      </c>
    </row>
    <row r="20443" spans="1:11">
      <c r="A20443" s="33" t="s">
        <v>45406</v>
      </c>
      <c r="B20443" s="33" t="s">
        <v>45407</v>
      </c>
      <c r="C20443" s="33" t="s">
        <v>42474</v>
      </c>
      <c r="D20443" s="33" t="s">
        <v>17</v>
      </c>
      <c r="E20443" s="33" t="s">
        <v>67</v>
      </c>
      <c r="F20443" s="33" t="s">
        <v>68</v>
      </c>
      <c r="G20443" s="33" t="s">
        <v>2613</v>
      </c>
      <c r="H20443" s="35">
        <v>30</v>
      </c>
      <c r="I20443" s="33" t="s">
        <v>51</v>
      </c>
      <c r="J20443" s="42">
        <v>45622</v>
      </c>
      <c r="K20443" s="33" t="s">
        <v>22</v>
      </c>
    </row>
    <row r="20444" spans="1:11">
      <c r="A20444" s="30" t="s">
        <v>45408</v>
      </c>
      <c r="B20444" s="30" t="s">
        <v>45409</v>
      </c>
      <c r="C20444" s="30" t="s">
        <v>5276</v>
      </c>
      <c r="D20444" s="30" t="s">
        <v>17</v>
      </c>
      <c r="E20444" s="30" t="s">
        <v>330</v>
      </c>
      <c r="F20444" s="30" t="s">
        <v>331</v>
      </c>
      <c r="G20444" s="30" t="s">
        <v>20</v>
      </c>
      <c r="H20444" s="32">
        <v>36</v>
      </c>
      <c r="I20444" s="30" t="s">
        <v>21</v>
      </c>
      <c r="J20444" s="41">
        <v>45628</v>
      </c>
      <c r="K20444" s="30" t="s">
        <v>22</v>
      </c>
    </row>
    <row r="20445" spans="1:11">
      <c r="A20445" s="33" t="s">
        <v>45410</v>
      </c>
      <c r="B20445" s="33" t="s">
        <v>45411</v>
      </c>
      <c r="C20445" s="33" t="s">
        <v>5251</v>
      </c>
      <c r="D20445" s="33" t="s">
        <v>17</v>
      </c>
      <c r="E20445" s="33" t="s">
        <v>18</v>
      </c>
      <c r="F20445" s="33" t="s">
        <v>19</v>
      </c>
      <c r="G20445" s="33" t="s">
        <v>158</v>
      </c>
      <c r="H20445" s="35">
        <v>400</v>
      </c>
      <c r="I20445" s="33" t="s">
        <v>51</v>
      </c>
      <c r="J20445" s="42">
        <v>45558</v>
      </c>
      <c r="K20445" s="33" t="s">
        <v>22</v>
      </c>
    </row>
    <row r="20446" spans="1:11">
      <c r="A20446" s="30" t="s">
        <v>45412</v>
      </c>
      <c r="B20446" s="30" t="s">
        <v>45413</v>
      </c>
      <c r="C20446" s="30" t="s">
        <v>178</v>
      </c>
      <c r="D20446" s="30" t="s">
        <v>17</v>
      </c>
      <c r="E20446" s="30" t="s">
        <v>18</v>
      </c>
      <c r="F20446" s="30" t="s">
        <v>19</v>
      </c>
      <c r="G20446" s="30" t="s">
        <v>140</v>
      </c>
      <c r="H20446" s="32">
        <v>350</v>
      </c>
      <c r="I20446" s="30" t="s">
        <v>51</v>
      </c>
      <c r="J20446" s="41">
        <v>45637</v>
      </c>
      <c r="K20446" s="30" t="s">
        <v>22</v>
      </c>
    </row>
    <row r="20447" spans="1:11">
      <c r="A20447" s="33" t="s">
        <v>45414</v>
      </c>
      <c r="B20447" s="33" t="s">
        <v>45415</v>
      </c>
      <c r="C20447" s="33" t="s">
        <v>26837</v>
      </c>
      <c r="D20447" s="33" t="s">
        <v>17</v>
      </c>
      <c r="E20447" s="33" t="s">
        <v>330</v>
      </c>
      <c r="F20447" s="33" t="s">
        <v>331</v>
      </c>
      <c r="G20447" s="33" t="s">
        <v>140</v>
      </c>
      <c r="H20447" s="35">
        <v>9</v>
      </c>
      <c r="I20447" s="33" t="s">
        <v>51</v>
      </c>
      <c r="J20447" s="42">
        <v>45474</v>
      </c>
      <c r="K20447" s="33" t="s">
        <v>22</v>
      </c>
    </row>
    <row r="20448" spans="1:11">
      <c r="A20448" s="30" t="s">
        <v>45416</v>
      </c>
      <c r="B20448" s="30" t="s">
        <v>45417</v>
      </c>
      <c r="C20448" s="30" t="s">
        <v>647</v>
      </c>
      <c r="D20448" s="30" t="s">
        <v>17</v>
      </c>
      <c r="E20448" s="30" t="s">
        <v>26</v>
      </c>
      <c r="F20448" s="30" t="s">
        <v>27</v>
      </c>
      <c r="G20448" s="30" t="s">
        <v>20</v>
      </c>
      <c r="H20448" s="32">
        <v>37</v>
      </c>
      <c r="I20448" s="30" t="s">
        <v>21</v>
      </c>
      <c r="J20448" s="41">
        <v>45405</v>
      </c>
      <c r="K20448" s="30" t="s">
        <v>22</v>
      </c>
    </row>
    <row r="20449" spans="1:11">
      <c r="A20449" s="33" t="s">
        <v>45418</v>
      </c>
      <c r="B20449" s="33" t="s">
        <v>45419</v>
      </c>
      <c r="C20449" s="33" t="s">
        <v>41164</v>
      </c>
      <c r="D20449" s="33" t="s">
        <v>17</v>
      </c>
      <c r="E20449" s="33" t="s">
        <v>212</v>
      </c>
      <c r="F20449" s="33" t="s">
        <v>213</v>
      </c>
      <c r="G20449" s="33" t="s">
        <v>140</v>
      </c>
      <c r="H20449" s="35">
        <v>3</v>
      </c>
      <c r="I20449" s="33" t="s">
        <v>51</v>
      </c>
      <c r="J20449" s="42">
        <v>45292</v>
      </c>
      <c r="K20449" s="33" t="s">
        <v>22</v>
      </c>
    </row>
    <row r="20450" spans="1:11">
      <c r="A20450" s="30" t="s">
        <v>45420</v>
      </c>
      <c r="B20450" s="30" t="s">
        <v>45421</v>
      </c>
      <c r="C20450" s="30" t="s">
        <v>2972</v>
      </c>
      <c r="D20450" s="30" t="s">
        <v>17</v>
      </c>
      <c r="E20450" s="30" t="s">
        <v>26</v>
      </c>
      <c r="F20450" s="30" t="s">
        <v>27</v>
      </c>
      <c r="G20450" s="30" t="s">
        <v>140</v>
      </c>
      <c r="H20450" s="32">
        <v>140</v>
      </c>
      <c r="I20450" s="30" t="s">
        <v>51</v>
      </c>
      <c r="J20450" s="41">
        <v>45603</v>
      </c>
      <c r="K20450" s="30" t="s">
        <v>22</v>
      </c>
    </row>
    <row r="20451" spans="1:11">
      <c r="A20451" s="33" t="s">
        <v>45422</v>
      </c>
      <c r="B20451" s="33" t="s">
        <v>45423</v>
      </c>
      <c r="C20451" s="33" t="s">
        <v>38945</v>
      </c>
      <c r="D20451" s="33" t="s">
        <v>17</v>
      </c>
      <c r="E20451" s="33" t="s">
        <v>31</v>
      </c>
      <c r="F20451" s="33" t="s">
        <v>32</v>
      </c>
      <c r="G20451" s="33" t="s">
        <v>20</v>
      </c>
      <c r="H20451" s="35">
        <v>110</v>
      </c>
      <c r="I20451" s="33" t="s">
        <v>21</v>
      </c>
      <c r="J20451" s="42">
        <v>45631</v>
      </c>
      <c r="K20451" s="33" t="s">
        <v>22</v>
      </c>
    </row>
    <row r="20452" spans="1:11">
      <c r="A20452" s="30" t="s">
        <v>45424</v>
      </c>
      <c r="B20452" s="30" t="s">
        <v>45425</v>
      </c>
      <c r="C20452" s="30" t="s">
        <v>5845</v>
      </c>
      <c r="D20452" s="30" t="s">
        <v>17</v>
      </c>
      <c r="E20452" s="30" t="s">
        <v>26</v>
      </c>
      <c r="F20452" s="30" t="s">
        <v>27</v>
      </c>
      <c r="G20452" s="30" t="s">
        <v>20</v>
      </c>
      <c r="H20452" s="32">
        <v>8</v>
      </c>
      <c r="I20452" s="30" t="s">
        <v>21</v>
      </c>
      <c r="J20452" s="41">
        <v>45355</v>
      </c>
      <c r="K20452" s="30" t="s">
        <v>22</v>
      </c>
    </row>
    <row r="20453" spans="1:11">
      <c r="A20453" s="33" t="s">
        <v>45426</v>
      </c>
      <c r="B20453" s="33" t="s">
        <v>45427</v>
      </c>
      <c r="C20453" s="33" t="s">
        <v>102</v>
      </c>
      <c r="D20453" s="33" t="s">
        <v>17</v>
      </c>
      <c r="E20453" s="33" t="s">
        <v>26</v>
      </c>
      <c r="F20453" s="33" t="s">
        <v>27</v>
      </c>
      <c r="G20453" s="33" t="s">
        <v>20</v>
      </c>
      <c r="H20453" s="35">
        <v>35</v>
      </c>
      <c r="I20453" s="33" t="s">
        <v>21</v>
      </c>
      <c r="J20453" s="42">
        <v>45331</v>
      </c>
      <c r="K20453" s="33" t="s">
        <v>22</v>
      </c>
    </row>
    <row r="20454" spans="1:11">
      <c r="A20454" s="30" t="s">
        <v>45428</v>
      </c>
      <c r="B20454" s="30" t="s">
        <v>45429</v>
      </c>
      <c r="C20454" s="30" t="s">
        <v>2842</v>
      </c>
      <c r="D20454" s="30" t="s">
        <v>17</v>
      </c>
      <c r="E20454" s="30" t="s">
        <v>18</v>
      </c>
      <c r="F20454" s="30" t="s">
        <v>19</v>
      </c>
      <c r="G20454" s="30" t="s">
        <v>140</v>
      </c>
      <c r="H20454" s="32">
        <v>384</v>
      </c>
      <c r="I20454" s="30" t="s">
        <v>51</v>
      </c>
      <c r="J20454" s="41">
        <v>45426</v>
      </c>
      <c r="K20454" s="30" t="s">
        <v>22</v>
      </c>
    </row>
    <row r="20455" spans="1:11">
      <c r="A20455" s="33" t="s">
        <v>45430</v>
      </c>
      <c r="B20455" s="33" t="s">
        <v>45431</v>
      </c>
      <c r="C20455" s="33" t="s">
        <v>157</v>
      </c>
      <c r="D20455" s="33" t="s">
        <v>17</v>
      </c>
      <c r="E20455" s="33" t="s">
        <v>26</v>
      </c>
      <c r="F20455" s="33" t="s">
        <v>27</v>
      </c>
      <c r="G20455" s="33" t="s">
        <v>20</v>
      </c>
      <c r="H20455" s="35">
        <v>121</v>
      </c>
      <c r="I20455" s="33" t="s">
        <v>21</v>
      </c>
      <c r="J20455" s="42">
        <v>45597</v>
      </c>
      <c r="K20455" s="33" t="s">
        <v>22</v>
      </c>
    </row>
    <row r="20456" spans="1:11">
      <c r="A20456" s="30" t="s">
        <v>45432</v>
      </c>
      <c r="B20456" s="30" t="s">
        <v>45433</v>
      </c>
      <c r="C20456" s="30" t="s">
        <v>1428</v>
      </c>
      <c r="D20456" s="30" t="s">
        <v>17</v>
      </c>
      <c r="E20456" s="30" t="s">
        <v>31</v>
      </c>
      <c r="F20456" s="30" t="s">
        <v>32</v>
      </c>
      <c r="G20456" s="30" t="s">
        <v>7780</v>
      </c>
      <c r="H20456" s="32">
        <v>168</v>
      </c>
      <c r="I20456" s="30" t="s">
        <v>51</v>
      </c>
      <c r="J20456" s="41">
        <v>45474</v>
      </c>
      <c r="K20456" s="30" t="s">
        <v>22</v>
      </c>
    </row>
    <row r="20457" spans="1:11">
      <c r="A20457" s="33" t="s">
        <v>45434</v>
      </c>
      <c r="B20457" s="33" t="s">
        <v>45435</v>
      </c>
      <c r="C20457" s="33" t="s">
        <v>29416</v>
      </c>
      <c r="D20457" s="33" t="s">
        <v>17</v>
      </c>
      <c r="E20457" s="33" t="s">
        <v>67</v>
      </c>
      <c r="F20457" s="33" t="s">
        <v>68</v>
      </c>
      <c r="G20457" s="33" t="s">
        <v>20</v>
      </c>
      <c r="H20457" s="35">
        <v>20</v>
      </c>
      <c r="I20457" s="33" t="s">
        <v>21</v>
      </c>
      <c r="J20457" s="42">
        <v>45641</v>
      </c>
      <c r="K20457" s="33" t="s">
        <v>22</v>
      </c>
    </row>
    <row r="20458" spans="1:11">
      <c r="A20458" s="30" t="s">
        <v>45436</v>
      </c>
      <c r="B20458" s="30" t="s">
        <v>45437</v>
      </c>
      <c r="C20458" s="30" t="s">
        <v>310</v>
      </c>
      <c r="D20458" s="30" t="s">
        <v>17</v>
      </c>
      <c r="E20458" s="30" t="s">
        <v>26</v>
      </c>
      <c r="F20458" s="30" t="s">
        <v>27</v>
      </c>
      <c r="G20458" s="30" t="s">
        <v>20</v>
      </c>
      <c r="H20458" s="32">
        <v>44</v>
      </c>
      <c r="I20458" s="30" t="s">
        <v>21</v>
      </c>
      <c r="J20458" s="41">
        <v>45349</v>
      </c>
      <c r="K20458" s="30" t="s">
        <v>22</v>
      </c>
    </row>
    <row r="20459" spans="1:11">
      <c r="A20459" s="33" t="s">
        <v>45438</v>
      </c>
      <c r="B20459" s="33" t="s">
        <v>45439</v>
      </c>
      <c r="C20459" s="33" t="s">
        <v>252</v>
      </c>
      <c r="D20459" s="33" t="s">
        <v>17</v>
      </c>
      <c r="E20459" s="33" t="s">
        <v>18</v>
      </c>
      <c r="F20459" s="33" t="s">
        <v>19</v>
      </c>
      <c r="G20459" s="33" t="s">
        <v>140</v>
      </c>
      <c r="H20459" s="35">
        <v>506</v>
      </c>
      <c r="I20459" s="33" t="s">
        <v>51</v>
      </c>
      <c r="J20459" s="42">
        <v>45462</v>
      </c>
      <c r="K20459" s="33" t="s">
        <v>22</v>
      </c>
    </row>
    <row r="20460" spans="1:11">
      <c r="A20460" s="30" t="s">
        <v>45440</v>
      </c>
      <c r="B20460" s="30" t="s">
        <v>45441</v>
      </c>
      <c r="C20460" s="30" t="s">
        <v>31562</v>
      </c>
      <c r="D20460" s="30" t="s">
        <v>17</v>
      </c>
      <c r="E20460" s="30" t="s">
        <v>45</v>
      </c>
      <c r="F20460" s="30" t="s">
        <v>46</v>
      </c>
      <c r="G20460" s="30" t="s">
        <v>140</v>
      </c>
      <c r="H20460" s="32">
        <v>1080</v>
      </c>
      <c r="I20460" s="30" t="s">
        <v>51</v>
      </c>
      <c r="J20460" s="41">
        <v>45440</v>
      </c>
      <c r="K20460" s="30" t="s">
        <v>22</v>
      </c>
    </row>
    <row r="20461" spans="1:11">
      <c r="A20461" s="33" t="s">
        <v>45442</v>
      </c>
      <c r="B20461" s="33" t="s">
        <v>45443</v>
      </c>
      <c r="C20461" s="33" t="s">
        <v>14176</v>
      </c>
      <c r="D20461" s="33" t="s">
        <v>17</v>
      </c>
      <c r="E20461" s="33" t="s">
        <v>31</v>
      </c>
      <c r="F20461" s="33" t="s">
        <v>32</v>
      </c>
      <c r="G20461" s="33" t="s">
        <v>140</v>
      </c>
      <c r="H20461" s="35">
        <v>69</v>
      </c>
      <c r="I20461" s="33" t="s">
        <v>51</v>
      </c>
      <c r="J20461" s="42">
        <v>45628</v>
      </c>
      <c r="K20461" s="33" t="s">
        <v>22</v>
      </c>
    </row>
    <row r="20462" spans="1:11">
      <c r="A20462" s="30" t="s">
        <v>45444</v>
      </c>
      <c r="B20462" s="30" t="s">
        <v>45445</v>
      </c>
      <c r="C20462" s="30" t="s">
        <v>15097</v>
      </c>
      <c r="D20462" s="30" t="s">
        <v>17</v>
      </c>
      <c r="E20462" s="30" t="s">
        <v>26</v>
      </c>
      <c r="F20462" s="30" t="s">
        <v>27</v>
      </c>
      <c r="G20462" s="30" t="s">
        <v>106</v>
      </c>
      <c r="H20462" s="32">
        <v>2</v>
      </c>
      <c r="I20462" s="30" t="s">
        <v>21</v>
      </c>
      <c r="J20462" s="41">
        <v>45491</v>
      </c>
      <c r="K20462" s="30" t="s">
        <v>22</v>
      </c>
    </row>
    <row r="20463" spans="1:11">
      <c r="A20463" s="33" t="s">
        <v>45446</v>
      </c>
      <c r="B20463" s="33" t="s">
        <v>45447</v>
      </c>
      <c r="C20463" s="33" t="s">
        <v>1270</v>
      </c>
      <c r="D20463" s="33" t="s">
        <v>17</v>
      </c>
      <c r="E20463" s="33" t="s">
        <v>31</v>
      </c>
      <c r="F20463" s="33" t="s">
        <v>32</v>
      </c>
      <c r="G20463" s="33" t="s">
        <v>20</v>
      </c>
      <c r="H20463" s="35">
        <v>275</v>
      </c>
      <c r="I20463" s="33" t="s">
        <v>21</v>
      </c>
      <c r="J20463" s="42">
        <v>45328</v>
      </c>
      <c r="K20463" s="33" t="s">
        <v>22</v>
      </c>
    </row>
    <row r="20464" spans="1:11">
      <c r="A20464" s="30" t="s">
        <v>45448</v>
      </c>
      <c r="B20464" s="30" t="s">
        <v>45449</v>
      </c>
      <c r="C20464" s="30" t="s">
        <v>190</v>
      </c>
      <c r="D20464" s="30" t="s">
        <v>17</v>
      </c>
      <c r="E20464" s="30" t="s">
        <v>212</v>
      </c>
      <c r="F20464" s="30" t="s">
        <v>213</v>
      </c>
      <c r="G20464" s="30" t="s">
        <v>158</v>
      </c>
      <c r="H20464" s="32">
        <v>731</v>
      </c>
      <c r="I20464" s="30" t="s">
        <v>21</v>
      </c>
      <c r="J20464" s="41">
        <v>45527</v>
      </c>
      <c r="K20464" s="30" t="s">
        <v>22</v>
      </c>
    </row>
    <row r="20465" spans="1:11">
      <c r="A20465" s="33" t="s">
        <v>45450</v>
      </c>
      <c r="B20465" s="33" t="s">
        <v>45451</v>
      </c>
      <c r="C20465" s="33" t="s">
        <v>5636</v>
      </c>
      <c r="D20465" s="33" t="s">
        <v>17</v>
      </c>
      <c r="E20465" s="33" t="s">
        <v>31</v>
      </c>
      <c r="F20465" s="33" t="s">
        <v>32</v>
      </c>
      <c r="G20465" s="33" t="s">
        <v>20</v>
      </c>
      <c r="H20465" s="35">
        <v>156</v>
      </c>
      <c r="I20465" s="33" t="s">
        <v>21</v>
      </c>
      <c r="J20465" s="42">
        <v>45629</v>
      </c>
      <c r="K20465" s="33" t="s">
        <v>22</v>
      </c>
    </row>
    <row r="20466" spans="1:11">
      <c r="A20466" s="30" t="s">
        <v>45452</v>
      </c>
      <c r="B20466" s="30" t="s">
        <v>45453</v>
      </c>
      <c r="C20466" s="30" t="s">
        <v>25186</v>
      </c>
      <c r="D20466" s="30" t="s">
        <v>17</v>
      </c>
      <c r="E20466" s="30" t="s">
        <v>26</v>
      </c>
      <c r="F20466" s="30" t="s">
        <v>27</v>
      </c>
      <c r="G20466" s="30" t="s">
        <v>140</v>
      </c>
      <c r="H20466" s="32">
        <v>111</v>
      </c>
      <c r="I20466" s="30" t="s">
        <v>51</v>
      </c>
      <c r="J20466" s="41">
        <v>45516</v>
      </c>
      <c r="K20466" s="30" t="s">
        <v>22</v>
      </c>
    </row>
    <row r="20467" spans="1:11">
      <c r="A20467" s="33" t="s">
        <v>45454</v>
      </c>
      <c r="B20467" s="33" t="s">
        <v>45455</v>
      </c>
      <c r="C20467" s="33" t="s">
        <v>203</v>
      </c>
      <c r="D20467" s="33" t="s">
        <v>17</v>
      </c>
      <c r="E20467" s="33" t="s">
        <v>18</v>
      </c>
      <c r="F20467" s="33" t="s">
        <v>19</v>
      </c>
      <c r="G20467" s="33" t="s">
        <v>158</v>
      </c>
      <c r="H20467" s="35">
        <v>700</v>
      </c>
      <c r="I20467" s="33" t="s">
        <v>51</v>
      </c>
      <c r="J20467" s="42">
        <v>45302</v>
      </c>
      <c r="K20467" s="33" t="s">
        <v>22</v>
      </c>
    </row>
    <row r="20468" spans="1:11">
      <c r="A20468" s="30" t="s">
        <v>45456</v>
      </c>
      <c r="B20468" s="30" t="s">
        <v>45457</v>
      </c>
      <c r="C20468" s="30" t="s">
        <v>647</v>
      </c>
      <c r="D20468" s="30" t="s">
        <v>17</v>
      </c>
      <c r="E20468" s="30" t="s">
        <v>26</v>
      </c>
      <c r="F20468" s="30" t="s">
        <v>27</v>
      </c>
      <c r="G20468" s="30" t="s">
        <v>20</v>
      </c>
      <c r="H20468" s="32">
        <v>28</v>
      </c>
      <c r="I20468" s="30" t="s">
        <v>21</v>
      </c>
      <c r="J20468" s="41">
        <v>45481</v>
      </c>
      <c r="K20468" s="30" t="s">
        <v>22</v>
      </c>
    </row>
    <row r="20469" spans="1:11">
      <c r="A20469" s="33" t="s">
        <v>45458</v>
      </c>
      <c r="B20469" s="33" t="s">
        <v>45459</v>
      </c>
      <c r="C20469" s="33" t="s">
        <v>886</v>
      </c>
      <c r="D20469" s="33" t="s">
        <v>17</v>
      </c>
      <c r="E20469" s="33" t="s">
        <v>26</v>
      </c>
      <c r="F20469" s="33" t="s">
        <v>27</v>
      </c>
      <c r="G20469" s="33" t="s">
        <v>20</v>
      </c>
      <c r="H20469" s="35">
        <v>128</v>
      </c>
      <c r="I20469" s="33" t="s">
        <v>21</v>
      </c>
      <c r="J20469" s="42">
        <v>45611</v>
      </c>
      <c r="K20469" s="33" t="s">
        <v>22</v>
      </c>
    </row>
    <row r="20470" spans="1:11">
      <c r="A20470" s="30" t="s">
        <v>45460</v>
      </c>
      <c r="B20470" s="30" t="s">
        <v>45461</v>
      </c>
      <c r="C20470" s="30" t="s">
        <v>387</v>
      </c>
      <c r="D20470" s="30" t="s">
        <v>17</v>
      </c>
      <c r="E20470" s="30" t="s">
        <v>26</v>
      </c>
      <c r="F20470" s="30" t="s">
        <v>27</v>
      </c>
      <c r="G20470" s="30" t="s">
        <v>20</v>
      </c>
      <c r="H20470" s="32">
        <v>43</v>
      </c>
      <c r="I20470" s="30" t="s">
        <v>21</v>
      </c>
      <c r="J20470" s="41">
        <v>45548</v>
      </c>
      <c r="K20470" s="30" t="s">
        <v>22</v>
      </c>
    </row>
    <row r="20471" spans="1:11">
      <c r="A20471" s="33" t="s">
        <v>45462</v>
      </c>
      <c r="B20471" s="33" t="s">
        <v>45463</v>
      </c>
      <c r="C20471" s="33" t="s">
        <v>24907</v>
      </c>
      <c r="D20471" s="33" t="s">
        <v>17</v>
      </c>
      <c r="E20471" s="33" t="s">
        <v>330</v>
      </c>
      <c r="F20471" s="33" t="s">
        <v>331</v>
      </c>
      <c r="G20471" s="33" t="s">
        <v>140</v>
      </c>
      <c r="H20471" s="35">
        <v>10</v>
      </c>
      <c r="I20471" s="33" t="s">
        <v>51</v>
      </c>
      <c r="J20471" s="42">
        <v>45582</v>
      </c>
      <c r="K20471" s="33" t="s">
        <v>22</v>
      </c>
    </row>
    <row r="20472" spans="1:11">
      <c r="A20472" s="30" t="s">
        <v>45464</v>
      </c>
      <c r="B20472" s="30" t="s">
        <v>45465</v>
      </c>
      <c r="C20472" s="30" t="s">
        <v>231</v>
      </c>
      <c r="D20472" s="30" t="s">
        <v>17</v>
      </c>
      <c r="E20472" s="30" t="s">
        <v>18</v>
      </c>
      <c r="F20472" s="30" t="s">
        <v>19</v>
      </c>
      <c r="G20472" s="30" t="s">
        <v>140</v>
      </c>
      <c r="H20472" s="32">
        <v>1590</v>
      </c>
      <c r="I20472" s="30" t="s">
        <v>51</v>
      </c>
      <c r="J20472" s="41">
        <v>45603</v>
      </c>
      <c r="K20472" s="30" t="s">
        <v>22</v>
      </c>
    </row>
    <row r="20473" spans="1:11">
      <c r="A20473" s="33" t="s">
        <v>45466</v>
      </c>
      <c r="B20473" s="33" t="s">
        <v>45467</v>
      </c>
      <c r="C20473" s="33" t="s">
        <v>45468</v>
      </c>
      <c r="D20473" s="33" t="s">
        <v>17</v>
      </c>
      <c r="E20473" s="33" t="s">
        <v>31</v>
      </c>
      <c r="F20473" s="33" t="s">
        <v>32</v>
      </c>
      <c r="G20473" s="33" t="s">
        <v>140</v>
      </c>
      <c r="H20473" s="35">
        <v>150</v>
      </c>
      <c r="I20473" s="33" t="s">
        <v>51</v>
      </c>
      <c r="J20473" s="42">
        <v>45656</v>
      </c>
      <c r="K20473" s="33" t="s">
        <v>22</v>
      </c>
    </row>
    <row r="20474" spans="1:11">
      <c r="A20474" s="30" t="s">
        <v>45469</v>
      </c>
      <c r="B20474" s="30" t="s">
        <v>45470</v>
      </c>
      <c r="C20474" s="30" t="s">
        <v>12799</v>
      </c>
      <c r="D20474" s="30" t="s">
        <v>17</v>
      </c>
      <c r="E20474" s="30" t="s">
        <v>26</v>
      </c>
      <c r="F20474" s="30" t="s">
        <v>27</v>
      </c>
      <c r="G20474" s="30" t="s">
        <v>20</v>
      </c>
      <c r="H20474" s="32">
        <v>64</v>
      </c>
      <c r="I20474" s="30" t="s">
        <v>21</v>
      </c>
      <c r="J20474" s="41">
        <v>45398</v>
      </c>
      <c r="K20474" s="30" t="s">
        <v>22</v>
      </c>
    </row>
    <row r="20475" spans="1:11">
      <c r="A20475" s="33" t="s">
        <v>45471</v>
      </c>
      <c r="B20475" s="33" t="s">
        <v>45472</v>
      </c>
      <c r="C20475" s="33" t="s">
        <v>969</v>
      </c>
      <c r="D20475" s="33" t="s">
        <v>17</v>
      </c>
      <c r="E20475" s="33" t="s">
        <v>31</v>
      </c>
      <c r="F20475" s="33" t="s">
        <v>32</v>
      </c>
      <c r="G20475" s="33" t="s">
        <v>158</v>
      </c>
      <c r="H20475" s="35">
        <v>153</v>
      </c>
      <c r="I20475" s="33" t="s">
        <v>21</v>
      </c>
      <c r="J20475" s="42">
        <v>45552</v>
      </c>
      <c r="K20475" s="33" t="s">
        <v>22</v>
      </c>
    </row>
    <row r="20476" spans="1:11">
      <c r="A20476" s="30" t="s">
        <v>45473</v>
      </c>
      <c r="B20476" s="30" t="s">
        <v>45474</v>
      </c>
      <c r="C20476" s="30" t="s">
        <v>93</v>
      </c>
      <c r="D20476" s="30" t="s">
        <v>17</v>
      </c>
      <c r="E20476" s="30" t="s">
        <v>26</v>
      </c>
      <c r="F20476" s="30" t="s">
        <v>27</v>
      </c>
      <c r="G20476" s="30" t="s">
        <v>20</v>
      </c>
      <c r="H20476" s="32">
        <v>110</v>
      </c>
      <c r="I20476" s="30" t="s">
        <v>21</v>
      </c>
      <c r="J20476" s="41">
        <v>45607</v>
      </c>
      <c r="K20476" s="30" t="s">
        <v>22</v>
      </c>
    </row>
    <row r="20477" spans="1:11">
      <c r="A20477" s="33" t="s">
        <v>45475</v>
      </c>
      <c r="B20477" s="33" t="s">
        <v>45476</v>
      </c>
      <c r="C20477" s="33" t="s">
        <v>570</v>
      </c>
      <c r="D20477" s="33" t="s">
        <v>17</v>
      </c>
      <c r="E20477" s="33" t="s">
        <v>67</v>
      </c>
      <c r="F20477" s="33" t="s">
        <v>68</v>
      </c>
      <c r="G20477" s="33" t="s">
        <v>7780</v>
      </c>
      <c r="H20477" s="35">
        <v>60</v>
      </c>
      <c r="I20477" s="33" t="s">
        <v>51</v>
      </c>
      <c r="J20477" s="42">
        <v>45458</v>
      </c>
      <c r="K20477" s="33" t="s">
        <v>22</v>
      </c>
    </row>
    <row r="20478" spans="1:11">
      <c r="A20478" s="30" t="s">
        <v>45477</v>
      </c>
      <c r="B20478" s="30" t="s">
        <v>45478</v>
      </c>
      <c r="C20478" s="30" t="s">
        <v>4345</v>
      </c>
      <c r="D20478" s="30" t="s">
        <v>17</v>
      </c>
      <c r="E20478" s="30" t="s">
        <v>67</v>
      </c>
      <c r="F20478" s="30" t="s">
        <v>68</v>
      </c>
      <c r="G20478" s="30" t="s">
        <v>140</v>
      </c>
      <c r="H20478" s="32">
        <v>76</v>
      </c>
      <c r="I20478" s="30" t="s">
        <v>51</v>
      </c>
      <c r="J20478" s="41">
        <v>45295</v>
      </c>
      <c r="K20478" s="30" t="s">
        <v>22</v>
      </c>
    </row>
    <row r="20479" spans="1:11">
      <c r="A20479" s="33" t="s">
        <v>45479</v>
      </c>
      <c r="B20479" s="33" t="s">
        <v>45480</v>
      </c>
      <c r="C20479" s="33" t="s">
        <v>2461</v>
      </c>
      <c r="D20479" s="33" t="s">
        <v>17</v>
      </c>
      <c r="E20479" s="33" t="s">
        <v>212</v>
      </c>
      <c r="F20479" s="33" t="s">
        <v>213</v>
      </c>
      <c r="G20479" s="33" t="s">
        <v>50</v>
      </c>
      <c r="H20479" s="35">
        <v>196</v>
      </c>
      <c r="I20479" s="33" t="s">
        <v>51</v>
      </c>
      <c r="J20479" s="42">
        <v>45383</v>
      </c>
      <c r="K20479" s="33" t="s">
        <v>22</v>
      </c>
    </row>
    <row r="20480" spans="1:11">
      <c r="A20480" s="30" t="s">
        <v>45481</v>
      </c>
      <c r="B20480" s="30" t="s">
        <v>45482</v>
      </c>
      <c r="C20480" s="30" t="s">
        <v>45483</v>
      </c>
      <c r="D20480" s="30" t="s">
        <v>17</v>
      </c>
      <c r="E20480" s="30" t="s">
        <v>26</v>
      </c>
      <c r="F20480" s="30" t="s">
        <v>27</v>
      </c>
      <c r="G20480" s="30" t="s">
        <v>20</v>
      </c>
      <c r="H20480" s="32">
        <v>24</v>
      </c>
      <c r="I20480" s="30" t="s">
        <v>21</v>
      </c>
      <c r="J20480" s="41">
        <v>45645</v>
      </c>
      <c r="K20480" s="30" t="s">
        <v>22</v>
      </c>
    </row>
    <row r="20481" spans="1:11">
      <c r="A20481" s="33" t="s">
        <v>45484</v>
      </c>
      <c r="B20481" s="33" t="s">
        <v>45485</v>
      </c>
      <c r="C20481" s="33" t="s">
        <v>24106</v>
      </c>
      <c r="D20481" s="33" t="s">
        <v>17</v>
      </c>
      <c r="E20481" s="33" t="s">
        <v>31</v>
      </c>
      <c r="F20481" s="33" t="s">
        <v>32</v>
      </c>
      <c r="G20481" s="33" t="s">
        <v>158</v>
      </c>
      <c r="H20481" s="35">
        <v>20</v>
      </c>
      <c r="I20481" s="33" t="s">
        <v>51</v>
      </c>
      <c r="J20481" s="42">
        <v>45366</v>
      </c>
      <c r="K20481" s="33" t="s">
        <v>22</v>
      </c>
    </row>
    <row r="20482" spans="1:11">
      <c r="A20482" s="30" t="s">
        <v>45486</v>
      </c>
      <c r="B20482" s="30" t="s">
        <v>45487</v>
      </c>
      <c r="C20482" s="30" t="s">
        <v>222</v>
      </c>
      <c r="D20482" s="30" t="s">
        <v>17</v>
      </c>
      <c r="E20482" s="30" t="s">
        <v>31</v>
      </c>
      <c r="F20482" s="30" t="s">
        <v>32</v>
      </c>
      <c r="G20482" s="30" t="s">
        <v>140</v>
      </c>
      <c r="H20482" s="32">
        <v>740</v>
      </c>
      <c r="I20482" s="30" t="s">
        <v>51</v>
      </c>
      <c r="J20482" s="41">
        <v>45348</v>
      </c>
      <c r="K20482" s="30" t="s">
        <v>22</v>
      </c>
    </row>
    <row r="20483" spans="1:11">
      <c r="A20483" s="33" t="s">
        <v>45488</v>
      </c>
      <c r="B20483" s="33" t="s">
        <v>45489</v>
      </c>
      <c r="C20483" s="33" t="s">
        <v>969</v>
      </c>
      <c r="D20483" s="33" t="s">
        <v>17</v>
      </c>
      <c r="E20483" s="33" t="s">
        <v>212</v>
      </c>
      <c r="F20483" s="33" t="s">
        <v>213</v>
      </c>
      <c r="G20483" s="33" t="s">
        <v>140</v>
      </c>
      <c r="H20483" s="35">
        <v>350</v>
      </c>
      <c r="I20483" s="33" t="s">
        <v>51</v>
      </c>
      <c r="J20483" s="42">
        <v>45449</v>
      </c>
      <c r="K20483" s="33" t="s">
        <v>22</v>
      </c>
    </row>
    <row r="20484" spans="1:11">
      <c r="A20484" s="30" t="s">
        <v>45490</v>
      </c>
      <c r="B20484" s="30" t="s">
        <v>45491</v>
      </c>
      <c r="C20484" s="30" t="s">
        <v>15755</v>
      </c>
      <c r="D20484" s="30" t="s">
        <v>17</v>
      </c>
      <c r="E20484" s="30" t="s">
        <v>31</v>
      </c>
      <c r="F20484" s="30" t="s">
        <v>32</v>
      </c>
      <c r="G20484" s="30" t="s">
        <v>140</v>
      </c>
      <c r="H20484" s="32">
        <v>356</v>
      </c>
      <c r="I20484" s="30" t="s">
        <v>51</v>
      </c>
      <c r="J20484" s="41">
        <v>45453</v>
      </c>
      <c r="K20484" s="30" t="s">
        <v>22</v>
      </c>
    </row>
    <row r="20485" spans="1:11">
      <c r="A20485" s="33" t="s">
        <v>45492</v>
      </c>
      <c r="B20485" s="33" t="s">
        <v>45493</v>
      </c>
      <c r="C20485" s="33" t="s">
        <v>14049</v>
      </c>
      <c r="D20485" s="33" t="s">
        <v>17</v>
      </c>
      <c r="E20485" s="33" t="s">
        <v>18</v>
      </c>
      <c r="F20485" s="33" t="s">
        <v>19</v>
      </c>
      <c r="G20485" s="33" t="s">
        <v>158</v>
      </c>
      <c r="H20485" s="35">
        <v>120</v>
      </c>
      <c r="I20485" s="33" t="s">
        <v>21</v>
      </c>
      <c r="J20485" s="42">
        <v>45399</v>
      </c>
      <c r="K20485" s="33" t="s">
        <v>22</v>
      </c>
    </row>
    <row r="20486" spans="1:11">
      <c r="A20486" s="30" t="s">
        <v>45494</v>
      </c>
      <c r="B20486" s="30" t="s">
        <v>45495</v>
      </c>
      <c r="C20486" s="30" t="s">
        <v>6279</v>
      </c>
      <c r="D20486" s="30" t="s">
        <v>17</v>
      </c>
      <c r="E20486" s="30" t="s">
        <v>31</v>
      </c>
      <c r="F20486" s="30" t="s">
        <v>32</v>
      </c>
      <c r="G20486" s="30" t="s">
        <v>20</v>
      </c>
      <c r="H20486" s="32">
        <v>180</v>
      </c>
      <c r="I20486" s="30" t="s">
        <v>21</v>
      </c>
      <c r="J20486" s="41">
        <v>45644</v>
      </c>
      <c r="K20486" s="30" t="s">
        <v>22</v>
      </c>
    </row>
    <row r="20487" spans="1:11">
      <c r="A20487" s="33" t="s">
        <v>45496</v>
      </c>
      <c r="B20487" s="33" t="s">
        <v>45497</v>
      </c>
      <c r="C20487" s="33" t="s">
        <v>13335</v>
      </c>
      <c r="D20487" s="33" t="s">
        <v>17</v>
      </c>
      <c r="E20487" s="33" t="s">
        <v>31</v>
      </c>
      <c r="F20487" s="33" t="s">
        <v>32</v>
      </c>
      <c r="G20487" s="33" t="s">
        <v>20</v>
      </c>
      <c r="H20487" s="35">
        <v>62</v>
      </c>
      <c r="I20487" s="33" t="s">
        <v>21</v>
      </c>
      <c r="J20487" s="42">
        <v>45413</v>
      </c>
      <c r="K20487" s="33" t="s">
        <v>22</v>
      </c>
    </row>
    <row r="20488" spans="1:11">
      <c r="A20488" s="30" t="s">
        <v>45498</v>
      </c>
      <c r="B20488" s="30" t="s">
        <v>45499</v>
      </c>
      <c r="C20488" s="30" t="s">
        <v>190</v>
      </c>
      <c r="D20488" s="30" t="s">
        <v>17</v>
      </c>
      <c r="E20488" s="30" t="s">
        <v>26</v>
      </c>
      <c r="F20488" s="30" t="s">
        <v>27</v>
      </c>
      <c r="G20488" s="30" t="s">
        <v>106</v>
      </c>
      <c r="H20488" s="32">
        <v>17</v>
      </c>
      <c r="I20488" s="30" t="s">
        <v>21</v>
      </c>
      <c r="J20488" s="41">
        <v>45583</v>
      </c>
      <c r="K20488" s="30" t="s">
        <v>22</v>
      </c>
    </row>
    <row r="20489" spans="1:11">
      <c r="A20489" s="33" t="s">
        <v>45500</v>
      </c>
      <c r="B20489" s="33" t="s">
        <v>45501</v>
      </c>
      <c r="C20489" s="33" t="s">
        <v>34424</v>
      </c>
      <c r="D20489" s="33" t="s">
        <v>17</v>
      </c>
      <c r="E20489" s="33" t="s">
        <v>67</v>
      </c>
      <c r="F20489" s="33" t="s">
        <v>68</v>
      </c>
      <c r="G20489" s="33" t="s">
        <v>140</v>
      </c>
      <c r="H20489" s="35">
        <v>88</v>
      </c>
      <c r="I20489" s="33" t="s">
        <v>51</v>
      </c>
      <c r="J20489" s="42">
        <v>45546</v>
      </c>
      <c r="K20489" s="33" t="s">
        <v>22</v>
      </c>
    </row>
    <row r="20490" spans="1:11">
      <c r="A20490" s="30" t="s">
        <v>45502</v>
      </c>
      <c r="B20490" s="30" t="s">
        <v>45503</v>
      </c>
      <c r="C20490" s="30" t="s">
        <v>75</v>
      </c>
      <c r="D20490" s="30" t="s">
        <v>17</v>
      </c>
      <c r="E20490" s="30" t="s">
        <v>212</v>
      </c>
      <c r="F20490" s="30" t="s">
        <v>213</v>
      </c>
      <c r="G20490" s="30" t="s">
        <v>158</v>
      </c>
      <c r="H20490" s="32">
        <v>84</v>
      </c>
      <c r="I20490" s="30" t="s">
        <v>51</v>
      </c>
      <c r="J20490" s="41">
        <v>45427</v>
      </c>
      <c r="K20490" s="30" t="s">
        <v>22</v>
      </c>
    </row>
    <row r="20491" spans="1:11">
      <c r="A20491" s="33" t="s">
        <v>45504</v>
      </c>
      <c r="B20491" s="33" t="s">
        <v>45505</v>
      </c>
      <c r="C20491" s="33" t="s">
        <v>2461</v>
      </c>
      <c r="D20491" s="33" t="s">
        <v>17</v>
      </c>
      <c r="E20491" s="33" t="s">
        <v>18</v>
      </c>
      <c r="F20491" s="33" t="s">
        <v>19</v>
      </c>
      <c r="G20491" s="33" t="s">
        <v>7780</v>
      </c>
      <c r="H20491" s="35">
        <v>432</v>
      </c>
      <c r="I20491" s="33" t="s">
        <v>51</v>
      </c>
      <c r="J20491" s="42">
        <v>45536</v>
      </c>
      <c r="K20491" s="33" t="s">
        <v>22</v>
      </c>
    </row>
    <row r="20492" spans="1:11">
      <c r="A20492" s="30" t="s">
        <v>45506</v>
      </c>
      <c r="B20492" s="30" t="s">
        <v>45507</v>
      </c>
      <c r="C20492" s="30" t="s">
        <v>45508</v>
      </c>
      <c r="D20492" s="30" t="s">
        <v>17</v>
      </c>
      <c r="E20492" s="30" t="s">
        <v>26</v>
      </c>
      <c r="F20492" s="30" t="s">
        <v>27</v>
      </c>
      <c r="G20492" s="30" t="s">
        <v>140</v>
      </c>
      <c r="H20492" s="32">
        <v>42</v>
      </c>
      <c r="I20492" s="30" t="s">
        <v>51</v>
      </c>
      <c r="J20492" s="41">
        <v>45436</v>
      </c>
      <c r="K20492" s="30" t="s">
        <v>22</v>
      </c>
    </row>
    <row r="20493" spans="1:11">
      <c r="A20493" s="33" t="s">
        <v>45509</v>
      </c>
      <c r="B20493" s="33" t="s">
        <v>45510</v>
      </c>
      <c r="C20493" s="33" t="s">
        <v>570</v>
      </c>
      <c r="D20493" s="33" t="s">
        <v>17</v>
      </c>
      <c r="E20493" s="33" t="s">
        <v>26</v>
      </c>
      <c r="F20493" s="33" t="s">
        <v>27</v>
      </c>
      <c r="G20493" s="33" t="s">
        <v>7780</v>
      </c>
      <c r="H20493" s="35">
        <v>90</v>
      </c>
      <c r="I20493" s="33" t="s">
        <v>51</v>
      </c>
      <c r="J20493" s="42">
        <v>45534</v>
      </c>
      <c r="K20493" s="33" t="s">
        <v>22</v>
      </c>
    </row>
    <row r="20494" spans="1:11">
      <c r="A20494" s="30" t="s">
        <v>45511</v>
      </c>
      <c r="B20494" s="30" t="s">
        <v>45512</v>
      </c>
      <c r="C20494" s="30" t="s">
        <v>45513</v>
      </c>
      <c r="D20494" s="30" t="s">
        <v>17</v>
      </c>
      <c r="E20494" s="30" t="s">
        <v>26</v>
      </c>
      <c r="F20494" s="30" t="s">
        <v>27</v>
      </c>
      <c r="G20494" s="30" t="s">
        <v>20</v>
      </c>
      <c r="H20494" s="32">
        <v>101</v>
      </c>
      <c r="I20494" s="30" t="s">
        <v>21</v>
      </c>
      <c r="J20494" s="41">
        <v>45334</v>
      </c>
      <c r="K20494" s="30" t="s">
        <v>22</v>
      </c>
    </row>
    <row r="20495" spans="1:11">
      <c r="A20495" s="33" t="s">
        <v>45514</v>
      </c>
      <c r="B20495" s="33" t="s">
        <v>45515</v>
      </c>
      <c r="C20495" s="33" t="s">
        <v>1207</v>
      </c>
      <c r="D20495" s="33" t="s">
        <v>17</v>
      </c>
      <c r="E20495" s="33" t="s">
        <v>26</v>
      </c>
      <c r="F20495" s="33" t="s">
        <v>27</v>
      </c>
      <c r="G20495" s="33" t="s">
        <v>20</v>
      </c>
      <c r="H20495" s="35">
        <v>22</v>
      </c>
      <c r="I20495" s="33" t="s">
        <v>21</v>
      </c>
      <c r="J20495" s="42">
        <v>45475</v>
      </c>
      <c r="K20495" s="33" t="s">
        <v>22</v>
      </c>
    </row>
    <row r="20496" spans="1:11">
      <c r="A20496" s="30" t="s">
        <v>45516</v>
      </c>
      <c r="B20496" s="30" t="s">
        <v>45517</v>
      </c>
      <c r="C20496" s="30" t="s">
        <v>19841</v>
      </c>
      <c r="D20496" s="30" t="s">
        <v>17</v>
      </c>
      <c r="E20496" s="30" t="s">
        <v>26</v>
      </c>
      <c r="F20496" s="30" t="s">
        <v>27</v>
      </c>
      <c r="G20496" s="30" t="s">
        <v>20</v>
      </c>
      <c r="H20496" s="32">
        <v>16</v>
      </c>
      <c r="I20496" s="30" t="s">
        <v>21</v>
      </c>
      <c r="J20496" s="41">
        <v>45518</v>
      </c>
      <c r="K20496" s="30" t="s">
        <v>22</v>
      </c>
    </row>
    <row r="20497" spans="1:11">
      <c r="A20497" s="33" t="s">
        <v>45518</v>
      </c>
      <c r="B20497" s="33" t="s">
        <v>45519</v>
      </c>
      <c r="C20497" s="33" t="s">
        <v>45520</v>
      </c>
      <c r="D20497" s="33" t="s">
        <v>17</v>
      </c>
      <c r="E20497" s="33" t="s">
        <v>26</v>
      </c>
      <c r="F20497" s="33" t="s">
        <v>27</v>
      </c>
      <c r="G20497" s="33" t="s">
        <v>112</v>
      </c>
      <c r="H20497" s="35">
        <v>0</v>
      </c>
      <c r="I20497" s="33" t="s">
        <v>21</v>
      </c>
      <c r="J20497" s="42">
        <v>45292</v>
      </c>
      <c r="K20497" s="33" t="s">
        <v>22</v>
      </c>
    </row>
    <row r="20498" spans="1:11">
      <c r="A20498" s="30" t="s">
        <v>45521</v>
      </c>
      <c r="B20498" s="30" t="s">
        <v>45522</v>
      </c>
      <c r="C20498" s="30" t="s">
        <v>24907</v>
      </c>
      <c r="D20498" s="30" t="s">
        <v>17</v>
      </c>
      <c r="E20498" s="30" t="s">
        <v>330</v>
      </c>
      <c r="F20498" s="30" t="s">
        <v>331</v>
      </c>
      <c r="G20498" s="30" t="s">
        <v>140</v>
      </c>
      <c r="H20498" s="32">
        <v>10</v>
      </c>
      <c r="I20498" s="30" t="s">
        <v>51</v>
      </c>
      <c r="J20498" s="41">
        <v>45314</v>
      </c>
      <c r="K20498" s="30" t="s">
        <v>22</v>
      </c>
    </row>
    <row r="20499" spans="1:11">
      <c r="A20499" s="33" t="s">
        <v>45523</v>
      </c>
      <c r="B20499" s="33" t="s">
        <v>45524</v>
      </c>
      <c r="C20499" s="33" t="s">
        <v>45525</v>
      </c>
      <c r="D20499" s="33" t="s">
        <v>17</v>
      </c>
      <c r="E20499" s="33" t="s">
        <v>67</v>
      </c>
      <c r="F20499" s="33" t="s">
        <v>68</v>
      </c>
      <c r="G20499" s="33" t="s">
        <v>140</v>
      </c>
      <c r="H20499" s="35">
        <v>78</v>
      </c>
      <c r="I20499" s="33" t="s">
        <v>51</v>
      </c>
      <c r="J20499" s="42">
        <v>45555</v>
      </c>
      <c r="K20499" s="33" t="s">
        <v>22</v>
      </c>
    </row>
    <row r="20500" spans="1:11">
      <c r="A20500" s="30" t="s">
        <v>45526</v>
      </c>
      <c r="B20500" s="30" t="s">
        <v>45527</v>
      </c>
      <c r="C20500" s="30" t="s">
        <v>45528</v>
      </c>
      <c r="D20500" s="30" t="s">
        <v>17</v>
      </c>
      <c r="E20500" s="30" t="s">
        <v>67</v>
      </c>
      <c r="F20500" s="30" t="s">
        <v>68</v>
      </c>
      <c r="G20500" s="30" t="s">
        <v>140</v>
      </c>
      <c r="H20500" s="32">
        <v>403</v>
      </c>
      <c r="I20500" s="30" t="s">
        <v>51</v>
      </c>
      <c r="J20500" s="41">
        <v>45334</v>
      </c>
      <c r="K20500" s="30" t="s">
        <v>22</v>
      </c>
    </row>
    <row r="20501" spans="1:11">
      <c r="A20501" s="33" t="s">
        <v>45529</v>
      </c>
      <c r="B20501" s="33" t="s">
        <v>45530</v>
      </c>
      <c r="C20501" s="33" t="s">
        <v>37822</v>
      </c>
      <c r="D20501" s="33" t="s">
        <v>17</v>
      </c>
      <c r="E20501" s="33" t="s">
        <v>67</v>
      </c>
      <c r="F20501" s="33" t="s">
        <v>68</v>
      </c>
      <c r="G20501" s="33" t="s">
        <v>140</v>
      </c>
      <c r="H20501" s="35">
        <v>474</v>
      </c>
      <c r="I20501" s="33" t="s">
        <v>51</v>
      </c>
      <c r="J20501" s="42">
        <v>45385</v>
      </c>
      <c r="K20501" s="33" t="s">
        <v>22</v>
      </c>
    </row>
    <row r="20502" spans="1:11">
      <c r="A20502" s="30" t="s">
        <v>45531</v>
      </c>
      <c r="B20502" s="30" t="s">
        <v>45532</v>
      </c>
      <c r="C20502" s="30" t="s">
        <v>40072</v>
      </c>
      <c r="D20502" s="30" t="s">
        <v>17</v>
      </c>
      <c r="E20502" s="30" t="s">
        <v>67</v>
      </c>
      <c r="F20502" s="30" t="s">
        <v>68</v>
      </c>
      <c r="G20502" s="30" t="s">
        <v>20</v>
      </c>
      <c r="H20502" s="32">
        <v>20</v>
      </c>
      <c r="I20502" s="30" t="s">
        <v>21</v>
      </c>
      <c r="J20502" s="41">
        <v>45447</v>
      </c>
      <c r="K20502" s="30" t="s">
        <v>22</v>
      </c>
    </row>
    <row r="20503" spans="1:11">
      <c r="A20503" s="33" t="s">
        <v>45533</v>
      </c>
      <c r="B20503" s="33" t="s">
        <v>45534</v>
      </c>
      <c r="C20503" s="33" t="s">
        <v>18475</v>
      </c>
      <c r="D20503" s="33" t="s">
        <v>17</v>
      </c>
      <c r="E20503" s="33" t="s">
        <v>18</v>
      </c>
      <c r="F20503" s="33" t="s">
        <v>19</v>
      </c>
      <c r="G20503" s="33" t="s">
        <v>20</v>
      </c>
      <c r="H20503" s="35">
        <v>402</v>
      </c>
      <c r="I20503" s="33" t="s">
        <v>21</v>
      </c>
      <c r="J20503" s="42">
        <v>45455</v>
      </c>
      <c r="K20503" s="33" t="s">
        <v>22</v>
      </c>
    </row>
    <row r="20504" spans="1:11">
      <c r="A20504" s="30" t="s">
        <v>45535</v>
      </c>
      <c r="B20504" s="30" t="s">
        <v>45536</v>
      </c>
      <c r="C20504" s="30" t="s">
        <v>4056</v>
      </c>
      <c r="D20504" s="30" t="s">
        <v>17</v>
      </c>
      <c r="E20504" s="30" t="s">
        <v>26</v>
      </c>
      <c r="F20504" s="30" t="s">
        <v>27</v>
      </c>
      <c r="G20504" s="30" t="s">
        <v>20</v>
      </c>
      <c r="H20504" s="32">
        <v>16</v>
      </c>
      <c r="I20504" s="30" t="s">
        <v>21</v>
      </c>
      <c r="J20504" s="41">
        <v>45635</v>
      </c>
      <c r="K20504" s="30" t="s">
        <v>22</v>
      </c>
    </row>
    <row r="20505" spans="1:11">
      <c r="A20505" s="33" t="s">
        <v>45537</v>
      </c>
      <c r="B20505" s="33" t="s">
        <v>45538</v>
      </c>
      <c r="C20505" s="33" t="s">
        <v>45539</v>
      </c>
      <c r="D20505" s="33" t="s">
        <v>17</v>
      </c>
      <c r="E20505" s="33" t="s">
        <v>26</v>
      </c>
      <c r="F20505" s="33" t="s">
        <v>27</v>
      </c>
      <c r="G20505" s="33" t="s">
        <v>20</v>
      </c>
      <c r="H20505" s="35">
        <v>47</v>
      </c>
      <c r="I20505" s="33" t="s">
        <v>21</v>
      </c>
      <c r="J20505" s="42">
        <v>45607</v>
      </c>
      <c r="K20505" s="33" t="s">
        <v>22</v>
      </c>
    </row>
    <row r="20506" spans="1:11">
      <c r="A20506" s="30" t="s">
        <v>45540</v>
      </c>
      <c r="B20506" s="30" t="s">
        <v>45541</v>
      </c>
      <c r="C20506" s="30" t="s">
        <v>13495</v>
      </c>
      <c r="D20506" s="30" t="s">
        <v>17</v>
      </c>
      <c r="E20506" s="30" t="s">
        <v>31</v>
      </c>
      <c r="F20506" s="30" t="s">
        <v>32</v>
      </c>
      <c r="G20506" s="30" t="s">
        <v>20</v>
      </c>
      <c r="H20506" s="32">
        <v>59</v>
      </c>
      <c r="I20506" s="30" t="s">
        <v>21</v>
      </c>
      <c r="J20506" s="41">
        <v>45349</v>
      </c>
      <c r="K20506" s="30" t="s">
        <v>22</v>
      </c>
    </row>
    <row r="20507" spans="1:11">
      <c r="A20507" s="33" t="s">
        <v>45542</v>
      </c>
      <c r="B20507" s="33" t="s">
        <v>45543</v>
      </c>
      <c r="C20507" s="33" t="s">
        <v>2612</v>
      </c>
      <c r="D20507" s="33" t="s">
        <v>17</v>
      </c>
      <c r="E20507" s="33" t="s">
        <v>18</v>
      </c>
      <c r="F20507" s="33" t="s">
        <v>19</v>
      </c>
      <c r="G20507" s="33" t="s">
        <v>158</v>
      </c>
      <c r="H20507" s="35">
        <v>129</v>
      </c>
      <c r="I20507" s="33" t="s">
        <v>21</v>
      </c>
      <c r="J20507" s="42">
        <v>45629</v>
      </c>
      <c r="K20507" s="33" t="s">
        <v>22</v>
      </c>
    </row>
    <row r="20508" spans="1:11">
      <c r="A20508" s="30" t="s">
        <v>45544</v>
      </c>
      <c r="B20508" s="30" t="s">
        <v>45545</v>
      </c>
      <c r="C20508" s="30" t="s">
        <v>45546</v>
      </c>
      <c r="D20508" s="30" t="s">
        <v>17</v>
      </c>
      <c r="E20508" s="30" t="s">
        <v>45</v>
      </c>
      <c r="F20508" s="30" t="s">
        <v>46</v>
      </c>
      <c r="G20508" s="30" t="s">
        <v>140</v>
      </c>
      <c r="H20508" s="32">
        <v>336</v>
      </c>
      <c r="I20508" s="30" t="s">
        <v>51</v>
      </c>
      <c r="J20508" s="41">
        <v>45471</v>
      </c>
      <c r="K20508" s="30" t="s">
        <v>22</v>
      </c>
    </row>
    <row r="20509" spans="1:11">
      <c r="A20509" s="33" t="s">
        <v>45547</v>
      </c>
      <c r="B20509" s="33" t="s">
        <v>45548</v>
      </c>
      <c r="C20509" s="33" t="s">
        <v>190</v>
      </c>
      <c r="D20509" s="33" t="s">
        <v>17</v>
      </c>
      <c r="E20509" s="33" t="s">
        <v>67</v>
      </c>
      <c r="F20509" s="33" t="s">
        <v>68</v>
      </c>
      <c r="G20509" s="33" t="s">
        <v>20</v>
      </c>
      <c r="H20509" s="35">
        <v>56</v>
      </c>
      <c r="I20509" s="33" t="s">
        <v>21</v>
      </c>
      <c r="J20509" s="42">
        <v>45322</v>
      </c>
      <c r="K20509" s="33" t="s">
        <v>22</v>
      </c>
    </row>
    <row r="20510" spans="1:11">
      <c r="A20510" s="30" t="s">
        <v>45549</v>
      </c>
      <c r="B20510" s="30" t="s">
        <v>45550</v>
      </c>
      <c r="C20510" s="30" t="s">
        <v>1016</v>
      </c>
      <c r="D20510" s="30" t="s">
        <v>17</v>
      </c>
      <c r="E20510" s="30" t="s">
        <v>18</v>
      </c>
      <c r="F20510" s="30" t="s">
        <v>19</v>
      </c>
      <c r="G20510" s="30" t="s">
        <v>20</v>
      </c>
      <c r="H20510" s="32">
        <v>1514</v>
      </c>
      <c r="I20510" s="30" t="s">
        <v>21</v>
      </c>
      <c r="J20510" s="41">
        <v>45378</v>
      </c>
      <c r="K20510" s="30" t="s">
        <v>22</v>
      </c>
    </row>
    <row r="20511" spans="1:11">
      <c r="A20511" s="33" t="s">
        <v>45551</v>
      </c>
      <c r="B20511" s="33" t="s">
        <v>45552</v>
      </c>
      <c r="C20511" s="33" t="s">
        <v>109</v>
      </c>
      <c r="D20511" s="33" t="s">
        <v>17</v>
      </c>
      <c r="E20511" s="33" t="s">
        <v>26</v>
      </c>
      <c r="F20511" s="33" t="s">
        <v>27</v>
      </c>
      <c r="G20511" s="33" t="s">
        <v>140</v>
      </c>
      <c r="H20511" s="35">
        <v>106</v>
      </c>
      <c r="I20511" s="33" t="s">
        <v>51</v>
      </c>
      <c r="J20511" s="42">
        <v>45607</v>
      </c>
      <c r="K20511" s="33" t="s">
        <v>22</v>
      </c>
    </row>
    <row r="20512" spans="1:11">
      <c r="A20512" s="30" t="s">
        <v>45553</v>
      </c>
      <c r="B20512" s="30" t="s">
        <v>45554</v>
      </c>
      <c r="C20512" s="30" t="s">
        <v>35704</v>
      </c>
      <c r="D20512" s="30" t="s">
        <v>17</v>
      </c>
      <c r="E20512" s="30" t="s">
        <v>31</v>
      </c>
      <c r="F20512" s="30" t="s">
        <v>32</v>
      </c>
      <c r="G20512" s="30" t="s">
        <v>20</v>
      </c>
      <c r="H20512" s="32">
        <v>81</v>
      </c>
      <c r="I20512" s="30" t="s">
        <v>21</v>
      </c>
      <c r="J20512" s="41">
        <v>45565</v>
      </c>
      <c r="K20512" s="30" t="s">
        <v>22</v>
      </c>
    </row>
    <row r="20513" spans="1:11">
      <c r="A20513" s="33" t="s">
        <v>45555</v>
      </c>
      <c r="B20513" s="33" t="s">
        <v>45556</v>
      </c>
      <c r="C20513" s="33" t="s">
        <v>109</v>
      </c>
      <c r="D20513" s="33" t="s">
        <v>17</v>
      </c>
      <c r="E20513" s="33" t="s">
        <v>31</v>
      </c>
      <c r="F20513" s="33" t="s">
        <v>32</v>
      </c>
      <c r="G20513" s="33" t="s">
        <v>158</v>
      </c>
      <c r="H20513" s="35">
        <v>251</v>
      </c>
      <c r="I20513" s="33" t="s">
        <v>21</v>
      </c>
      <c r="J20513" s="42">
        <v>45582</v>
      </c>
      <c r="K20513" s="33" t="s">
        <v>22</v>
      </c>
    </row>
    <row r="20514" spans="1:11">
      <c r="A20514" s="30" t="s">
        <v>45557</v>
      </c>
      <c r="B20514" s="30" t="s">
        <v>45558</v>
      </c>
      <c r="C20514" s="30" t="s">
        <v>118</v>
      </c>
      <c r="D20514" s="30" t="s">
        <v>17</v>
      </c>
      <c r="E20514" s="30" t="s">
        <v>26</v>
      </c>
      <c r="F20514" s="30" t="s">
        <v>27</v>
      </c>
      <c r="G20514" s="30" t="s">
        <v>20</v>
      </c>
      <c r="H20514" s="32">
        <v>15</v>
      </c>
      <c r="I20514" s="30" t="s">
        <v>21</v>
      </c>
      <c r="J20514" s="41">
        <v>45399</v>
      </c>
      <c r="K20514" s="30" t="s">
        <v>22</v>
      </c>
    </row>
    <row r="20515" spans="1:11">
      <c r="A20515" s="33" t="s">
        <v>45559</v>
      </c>
      <c r="B20515" s="33" t="s">
        <v>45560</v>
      </c>
      <c r="C20515" s="33" t="s">
        <v>12667</v>
      </c>
      <c r="D20515" s="33" t="s">
        <v>17</v>
      </c>
      <c r="E20515" s="33" t="s">
        <v>67</v>
      </c>
      <c r="F20515" s="33" t="s">
        <v>68</v>
      </c>
      <c r="G20515" s="33" t="s">
        <v>20</v>
      </c>
      <c r="H20515" s="35">
        <v>46</v>
      </c>
      <c r="I20515" s="33" t="s">
        <v>21</v>
      </c>
      <c r="J20515" s="42">
        <v>45495</v>
      </c>
      <c r="K20515" s="33" t="s">
        <v>22</v>
      </c>
    </row>
    <row r="20516" spans="1:11">
      <c r="A20516" s="30" t="s">
        <v>45561</v>
      </c>
      <c r="B20516" s="30" t="s">
        <v>45562</v>
      </c>
      <c r="C20516" s="30" t="s">
        <v>795</v>
      </c>
      <c r="D20516" s="30" t="s">
        <v>17</v>
      </c>
      <c r="E20516" s="30" t="s">
        <v>18</v>
      </c>
      <c r="F20516" s="30" t="s">
        <v>19</v>
      </c>
      <c r="G20516" s="30" t="s">
        <v>140</v>
      </c>
      <c r="H20516" s="32">
        <v>1095</v>
      </c>
      <c r="I20516" s="30" t="s">
        <v>51</v>
      </c>
      <c r="J20516" s="41">
        <v>45327</v>
      </c>
      <c r="K20516" s="30" t="s">
        <v>22</v>
      </c>
    </row>
    <row r="20517" spans="1:11">
      <c r="A20517" s="33" t="s">
        <v>45563</v>
      </c>
      <c r="B20517" s="33" t="s">
        <v>45564</v>
      </c>
      <c r="C20517" s="33" t="s">
        <v>7581</v>
      </c>
      <c r="D20517" s="33" t="s">
        <v>17</v>
      </c>
      <c r="E20517" s="33" t="s">
        <v>31</v>
      </c>
      <c r="F20517" s="33" t="s">
        <v>32</v>
      </c>
      <c r="G20517" s="33" t="s">
        <v>20</v>
      </c>
      <c r="H20517" s="35">
        <v>18</v>
      </c>
      <c r="I20517" s="33" t="s">
        <v>21</v>
      </c>
      <c r="J20517" s="42">
        <v>45425</v>
      </c>
      <c r="K20517" s="33" t="s">
        <v>22</v>
      </c>
    </row>
    <row r="20518" spans="1:11">
      <c r="A20518" s="30" t="s">
        <v>45565</v>
      </c>
      <c r="B20518" s="30" t="s">
        <v>45566</v>
      </c>
      <c r="C20518" s="30" t="s">
        <v>187</v>
      </c>
      <c r="D20518" s="30" t="s">
        <v>17</v>
      </c>
      <c r="E20518" s="30" t="s">
        <v>18</v>
      </c>
      <c r="F20518" s="30" t="s">
        <v>19</v>
      </c>
      <c r="G20518" s="30" t="s">
        <v>140</v>
      </c>
      <c r="H20518" s="32">
        <v>522</v>
      </c>
      <c r="I20518" s="30" t="s">
        <v>51</v>
      </c>
      <c r="J20518" s="41">
        <v>45379</v>
      </c>
      <c r="K20518" s="30" t="s">
        <v>22</v>
      </c>
    </row>
    <row r="20519" spans="1:11">
      <c r="A20519" s="33" t="s">
        <v>45567</v>
      </c>
      <c r="B20519" s="33" t="s">
        <v>45568</v>
      </c>
      <c r="C20519" s="33" t="s">
        <v>894</v>
      </c>
      <c r="D20519" s="33" t="s">
        <v>17</v>
      </c>
      <c r="E20519" s="33" t="s">
        <v>330</v>
      </c>
      <c r="F20519" s="33" t="s">
        <v>331</v>
      </c>
      <c r="G20519" s="33" t="s">
        <v>20</v>
      </c>
      <c r="H20519" s="35">
        <v>20</v>
      </c>
      <c r="I20519" s="33" t="s">
        <v>21</v>
      </c>
      <c r="J20519" s="42">
        <v>45525</v>
      </c>
      <c r="K20519" s="33" t="s">
        <v>22</v>
      </c>
    </row>
    <row r="20520" spans="1:11">
      <c r="A20520" s="30" t="s">
        <v>45569</v>
      </c>
      <c r="B20520" s="30" t="s">
        <v>45570</v>
      </c>
      <c r="C20520" s="30" t="s">
        <v>203</v>
      </c>
      <c r="D20520" s="30" t="s">
        <v>17</v>
      </c>
      <c r="E20520" s="30" t="s">
        <v>67</v>
      </c>
      <c r="F20520" s="30" t="s">
        <v>68</v>
      </c>
      <c r="G20520" s="30" t="s">
        <v>20</v>
      </c>
      <c r="H20520" s="32">
        <v>980</v>
      </c>
      <c r="I20520" s="30" t="s">
        <v>21</v>
      </c>
      <c r="J20520" s="41">
        <v>45614</v>
      </c>
      <c r="K20520" s="30" t="s">
        <v>22</v>
      </c>
    </row>
    <row r="20521" spans="1:11">
      <c r="A20521" s="33" t="s">
        <v>45571</v>
      </c>
      <c r="B20521" s="33" t="s">
        <v>45572</v>
      </c>
      <c r="C20521" s="33" t="s">
        <v>1598</v>
      </c>
      <c r="D20521" s="33" t="s">
        <v>17</v>
      </c>
      <c r="E20521" s="33" t="s">
        <v>31</v>
      </c>
      <c r="F20521" s="33" t="s">
        <v>32</v>
      </c>
      <c r="G20521" s="33" t="s">
        <v>20</v>
      </c>
      <c r="H20521" s="35">
        <v>84</v>
      </c>
      <c r="I20521" s="33" t="s">
        <v>21</v>
      </c>
      <c r="J20521" s="42">
        <v>45483</v>
      </c>
      <c r="K20521" s="33" t="s">
        <v>22</v>
      </c>
    </row>
    <row r="20522" spans="1:11">
      <c r="A20522" s="30" t="s">
        <v>45573</v>
      </c>
      <c r="B20522" s="30" t="s">
        <v>45574</v>
      </c>
      <c r="C20522" s="30" t="s">
        <v>11407</v>
      </c>
      <c r="D20522" s="30" t="s">
        <v>17</v>
      </c>
      <c r="E20522" s="30" t="s">
        <v>31</v>
      </c>
      <c r="F20522" s="30" t="s">
        <v>32</v>
      </c>
      <c r="G20522" s="30" t="s">
        <v>158</v>
      </c>
      <c r="H20522" s="32">
        <v>55</v>
      </c>
      <c r="I20522" s="30" t="s">
        <v>21</v>
      </c>
      <c r="J20522" s="41">
        <v>45435</v>
      </c>
      <c r="K20522" s="30" t="s">
        <v>22</v>
      </c>
    </row>
    <row r="20523" spans="1:11">
      <c r="A20523" s="33" t="s">
        <v>45575</v>
      </c>
      <c r="B20523" s="33" t="s">
        <v>45576</v>
      </c>
      <c r="C20523" s="33" t="s">
        <v>124</v>
      </c>
      <c r="D20523" s="33" t="s">
        <v>17</v>
      </c>
      <c r="E20523" s="33" t="s">
        <v>26</v>
      </c>
      <c r="F20523" s="33" t="s">
        <v>27</v>
      </c>
      <c r="G20523" s="33" t="s">
        <v>20</v>
      </c>
      <c r="H20523" s="35">
        <v>82</v>
      </c>
      <c r="I20523" s="33" t="s">
        <v>21</v>
      </c>
      <c r="J20523" s="42">
        <v>45521</v>
      </c>
      <c r="K20523" s="33" t="s">
        <v>22</v>
      </c>
    </row>
    <row r="20524" spans="1:11">
      <c r="A20524" s="30" t="s">
        <v>45577</v>
      </c>
      <c r="B20524" s="30" t="s">
        <v>45578</v>
      </c>
      <c r="C20524" s="30" t="s">
        <v>26407</v>
      </c>
      <c r="D20524" s="30" t="s">
        <v>17</v>
      </c>
      <c r="E20524" s="30" t="s">
        <v>18</v>
      </c>
      <c r="F20524" s="30" t="s">
        <v>19</v>
      </c>
      <c r="G20524" s="30" t="s">
        <v>20</v>
      </c>
      <c r="H20524" s="32">
        <v>488</v>
      </c>
      <c r="I20524" s="30" t="s">
        <v>21</v>
      </c>
      <c r="J20524" s="41">
        <v>45370</v>
      </c>
      <c r="K20524" s="30" t="s">
        <v>22</v>
      </c>
    </row>
    <row r="20525" spans="1:11">
      <c r="A20525" s="33" t="s">
        <v>45579</v>
      </c>
      <c r="B20525" s="33" t="s">
        <v>45580</v>
      </c>
      <c r="C20525" s="33" t="s">
        <v>33686</v>
      </c>
      <c r="D20525" s="33" t="s">
        <v>17</v>
      </c>
      <c r="E20525" s="33" t="s">
        <v>31</v>
      </c>
      <c r="F20525" s="33" t="s">
        <v>32</v>
      </c>
      <c r="G20525" s="33" t="s">
        <v>158</v>
      </c>
      <c r="H20525" s="35">
        <v>30</v>
      </c>
      <c r="I20525" s="33" t="s">
        <v>51</v>
      </c>
      <c r="J20525" s="42">
        <v>45482</v>
      </c>
      <c r="K20525" s="33" t="s">
        <v>22</v>
      </c>
    </row>
    <row r="20526" spans="1:11">
      <c r="A20526" s="30" t="s">
        <v>45581</v>
      </c>
      <c r="B20526" s="30" t="s">
        <v>45582</v>
      </c>
      <c r="C20526" s="30" t="s">
        <v>647</v>
      </c>
      <c r="D20526" s="30" t="s">
        <v>17</v>
      </c>
      <c r="E20526" s="30" t="s">
        <v>18</v>
      </c>
      <c r="F20526" s="30" t="s">
        <v>19</v>
      </c>
      <c r="G20526" s="30" t="s">
        <v>140</v>
      </c>
      <c r="H20526" s="32">
        <v>600</v>
      </c>
      <c r="I20526" s="30" t="s">
        <v>51</v>
      </c>
      <c r="J20526" s="41">
        <v>45436</v>
      </c>
      <c r="K20526" s="30" t="s">
        <v>22</v>
      </c>
    </row>
    <row r="20527" spans="1:11">
      <c r="A20527" s="33" t="s">
        <v>45583</v>
      </c>
      <c r="B20527" s="33" t="s">
        <v>45584</v>
      </c>
      <c r="C20527" s="33" t="s">
        <v>157</v>
      </c>
      <c r="D20527" s="33" t="s">
        <v>17</v>
      </c>
      <c r="E20527" s="33" t="s">
        <v>18</v>
      </c>
      <c r="F20527" s="33" t="s">
        <v>19</v>
      </c>
      <c r="G20527" s="33" t="s">
        <v>20</v>
      </c>
      <c r="H20527" s="35">
        <v>480</v>
      </c>
      <c r="I20527" s="33" t="s">
        <v>21</v>
      </c>
      <c r="J20527" s="42">
        <v>45380</v>
      </c>
      <c r="K20527" s="33" t="s">
        <v>22</v>
      </c>
    </row>
    <row r="20528" spans="1:11">
      <c r="A20528" s="30" t="s">
        <v>45585</v>
      </c>
      <c r="B20528" s="30" t="s">
        <v>45586</v>
      </c>
      <c r="C20528" s="30" t="s">
        <v>29479</v>
      </c>
      <c r="D20528" s="30" t="s">
        <v>17</v>
      </c>
      <c r="E20528" s="30" t="s">
        <v>18</v>
      </c>
      <c r="F20528" s="30" t="s">
        <v>19</v>
      </c>
      <c r="G20528" s="30" t="s">
        <v>7780</v>
      </c>
      <c r="H20528" s="32">
        <v>1200</v>
      </c>
      <c r="I20528" s="30" t="s">
        <v>51</v>
      </c>
      <c r="J20528" s="41">
        <v>45635</v>
      </c>
      <c r="K20528" s="30" t="s">
        <v>22</v>
      </c>
    </row>
    <row r="20529" spans="1:11">
      <c r="A20529" s="33" t="s">
        <v>45587</v>
      </c>
      <c r="B20529" s="33" t="s">
        <v>45588</v>
      </c>
      <c r="C20529" s="33" t="s">
        <v>22999</v>
      </c>
      <c r="D20529" s="33" t="s">
        <v>17</v>
      </c>
      <c r="E20529" s="33" t="s">
        <v>31</v>
      </c>
      <c r="F20529" s="33" t="s">
        <v>32</v>
      </c>
      <c r="G20529" s="33" t="s">
        <v>140</v>
      </c>
      <c r="H20529" s="35">
        <v>190</v>
      </c>
      <c r="I20529" s="33" t="s">
        <v>51</v>
      </c>
      <c r="J20529" s="42">
        <v>45552</v>
      </c>
      <c r="K20529" s="33" t="s">
        <v>22</v>
      </c>
    </row>
    <row r="20530" spans="1:11">
      <c r="A20530" s="30" t="s">
        <v>45589</v>
      </c>
      <c r="B20530" s="30" t="s">
        <v>45590</v>
      </c>
      <c r="C20530" s="30" t="s">
        <v>36231</v>
      </c>
      <c r="D20530" s="30" t="s">
        <v>17</v>
      </c>
      <c r="E20530" s="30" t="s">
        <v>26</v>
      </c>
      <c r="F20530" s="30" t="s">
        <v>27</v>
      </c>
      <c r="G20530" s="30" t="s">
        <v>20</v>
      </c>
      <c r="H20530" s="32">
        <v>94</v>
      </c>
      <c r="I20530" s="30" t="s">
        <v>21</v>
      </c>
      <c r="J20530" s="41">
        <v>45624</v>
      </c>
      <c r="K20530" s="30" t="s">
        <v>22</v>
      </c>
    </row>
    <row r="20531" spans="1:11">
      <c r="A20531" s="33" t="s">
        <v>45591</v>
      </c>
      <c r="B20531" s="33" t="s">
        <v>45592</v>
      </c>
      <c r="C20531" s="33" t="s">
        <v>45593</v>
      </c>
      <c r="D20531" s="33" t="s">
        <v>17</v>
      </c>
      <c r="E20531" s="33" t="s">
        <v>26</v>
      </c>
      <c r="F20531" s="33" t="s">
        <v>27</v>
      </c>
      <c r="G20531" s="33" t="s">
        <v>106</v>
      </c>
      <c r="H20531" s="35">
        <v>10</v>
      </c>
      <c r="I20531" s="33" t="s">
        <v>21</v>
      </c>
      <c r="J20531" s="42">
        <v>45448</v>
      </c>
      <c r="K20531" s="33" t="s">
        <v>22</v>
      </c>
    </row>
    <row r="20532" spans="1:11">
      <c r="A20532" s="30" t="s">
        <v>45594</v>
      </c>
      <c r="B20532" s="30" t="s">
        <v>45595</v>
      </c>
      <c r="C20532" s="30" t="s">
        <v>178</v>
      </c>
      <c r="D20532" s="30" t="s">
        <v>17</v>
      </c>
      <c r="E20532" s="30" t="s">
        <v>26</v>
      </c>
      <c r="F20532" s="30" t="s">
        <v>27</v>
      </c>
      <c r="G20532" s="30" t="s">
        <v>20</v>
      </c>
      <c r="H20532" s="32">
        <v>48</v>
      </c>
      <c r="I20532" s="30" t="s">
        <v>21</v>
      </c>
      <c r="J20532" s="41">
        <v>45336</v>
      </c>
      <c r="K20532" s="30" t="s">
        <v>22</v>
      </c>
    </row>
    <row r="20533" spans="1:11">
      <c r="A20533" s="33" t="s">
        <v>45596</v>
      </c>
      <c r="B20533" s="33" t="s">
        <v>45597</v>
      </c>
      <c r="C20533" s="33" t="s">
        <v>1826</v>
      </c>
      <c r="D20533" s="33" t="s">
        <v>17</v>
      </c>
      <c r="E20533" s="33" t="s">
        <v>212</v>
      </c>
      <c r="F20533" s="33" t="s">
        <v>213</v>
      </c>
      <c r="G20533" s="33" t="s">
        <v>140</v>
      </c>
      <c r="H20533" s="35">
        <v>286</v>
      </c>
      <c r="I20533" s="33" t="s">
        <v>51</v>
      </c>
      <c r="J20533" s="42">
        <v>45370</v>
      </c>
      <c r="K20533" s="33" t="s">
        <v>22</v>
      </c>
    </row>
    <row r="20534" spans="1:11">
      <c r="A20534" s="30" t="s">
        <v>45598</v>
      </c>
      <c r="B20534" s="30" t="s">
        <v>45599</v>
      </c>
      <c r="C20534" s="30" t="s">
        <v>45600</v>
      </c>
      <c r="D20534" s="30" t="s">
        <v>17</v>
      </c>
      <c r="E20534" s="30" t="s">
        <v>26</v>
      </c>
      <c r="F20534" s="30" t="s">
        <v>27</v>
      </c>
      <c r="G20534" s="30" t="s">
        <v>106</v>
      </c>
      <c r="H20534" s="32">
        <v>35</v>
      </c>
      <c r="I20534" s="30" t="s">
        <v>21</v>
      </c>
      <c r="J20534" s="41">
        <v>45621</v>
      </c>
      <c r="K20534" s="30" t="s">
        <v>22</v>
      </c>
    </row>
    <row r="20535" spans="1:11">
      <c r="A20535" s="33" t="s">
        <v>45601</v>
      </c>
      <c r="B20535" s="33" t="s">
        <v>45602</v>
      </c>
      <c r="C20535" s="33" t="s">
        <v>2772</v>
      </c>
      <c r="D20535" s="33" t="s">
        <v>17</v>
      </c>
      <c r="E20535" s="33" t="s">
        <v>31</v>
      </c>
      <c r="F20535" s="33" t="s">
        <v>32</v>
      </c>
      <c r="G20535" s="33" t="s">
        <v>140</v>
      </c>
      <c r="H20535" s="35">
        <v>124</v>
      </c>
      <c r="I20535" s="33" t="s">
        <v>51</v>
      </c>
      <c r="J20535" s="42">
        <v>45488</v>
      </c>
      <c r="K20535" s="33" t="s">
        <v>22</v>
      </c>
    </row>
    <row r="20536" spans="1:11">
      <c r="A20536" s="30" t="s">
        <v>45603</v>
      </c>
      <c r="B20536" s="30" t="s">
        <v>45604</v>
      </c>
      <c r="C20536" s="30" t="s">
        <v>2511</v>
      </c>
      <c r="D20536" s="30" t="s">
        <v>17</v>
      </c>
      <c r="E20536" s="30" t="s">
        <v>31</v>
      </c>
      <c r="F20536" s="30" t="s">
        <v>32</v>
      </c>
      <c r="G20536" s="30" t="s">
        <v>20</v>
      </c>
      <c r="H20536" s="32">
        <v>210</v>
      </c>
      <c r="I20536" s="30" t="s">
        <v>21</v>
      </c>
      <c r="J20536" s="41">
        <v>45352</v>
      </c>
      <c r="K20536" s="30" t="s">
        <v>22</v>
      </c>
    </row>
    <row r="20537" spans="1:11">
      <c r="A20537" s="33" t="s">
        <v>45605</v>
      </c>
      <c r="B20537" s="33" t="s">
        <v>45606</v>
      </c>
      <c r="C20537" s="33" t="s">
        <v>5158</v>
      </c>
      <c r="D20537" s="33" t="s">
        <v>17</v>
      </c>
      <c r="E20537" s="33" t="s">
        <v>31</v>
      </c>
      <c r="F20537" s="33" t="s">
        <v>32</v>
      </c>
      <c r="G20537" s="33" t="s">
        <v>158</v>
      </c>
      <c r="H20537" s="35">
        <v>150</v>
      </c>
      <c r="I20537" s="33" t="s">
        <v>51</v>
      </c>
      <c r="J20537" s="42">
        <v>45300</v>
      </c>
      <c r="K20537" s="33" t="s">
        <v>22</v>
      </c>
    </row>
    <row r="20538" spans="1:11">
      <c r="A20538" s="30" t="s">
        <v>45607</v>
      </c>
      <c r="B20538" s="30" t="s">
        <v>31745</v>
      </c>
      <c r="C20538" s="30" t="s">
        <v>190</v>
      </c>
      <c r="D20538" s="30" t="s">
        <v>17</v>
      </c>
      <c r="E20538" s="30" t="s">
        <v>18</v>
      </c>
      <c r="F20538" s="30" t="s">
        <v>19</v>
      </c>
      <c r="G20538" s="30" t="s">
        <v>20</v>
      </c>
      <c r="H20538" s="32">
        <v>326</v>
      </c>
      <c r="I20538" s="30" t="s">
        <v>21</v>
      </c>
      <c r="J20538" s="41">
        <v>45390</v>
      </c>
      <c r="K20538" s="30" t="s">
        <v>22</v>
      </c>
    </row>
    <row r="20539" spans="1:11">
      <c r="A20539" s="33" t="s">
        <v>45608</v>
      </c>
      <c r="B20539" s="33" t="s">
        <v>45609</v>
      </c>
      <c r="C20539" s="33" t="s">
        <v>14292</v>
      </c>
      <c r="D20539" s="33" t="s">
        <v>17</v>
      </c>
      <c r="E20539" s="33" t="s">
        <v>31</v>
      </c>
      <c r="F20539" s="33" t="s">
        <v>32</v>
      </c>
      <c r="G20539" s="33" t="s">
        <v>112</v>
      </c>
      <c r="H20539" s="35">
        <v>0</v>
      </c>
      <c r="I20539" s="33" t="s">
        <v>21</v>
      </c>
      <c r="J20539" s="42">
        <v>45519</v>
      </c>
      <c r="K20539" s="33" t="s">
        <v>22</v>
      </c>
    </row>
    <row r="20540" spans="1:11">
      <c r="A20540" s="30" t="s">
        <v>45610</v>
      </c>
      <c r="B20540" s="30" t="s">
        <v>45611</v>
      </c>
      <c r="C20540" s="30" t="s">
        <v>310</v>
      </c>
      <c r="D20540" s="30" t="s">
        <v>17</v>
      </c>
      <c r="E20540" s="30" t="s">
        <v>26</v>
      </c>
      <c r="F20540" s="30" t="s">
        <v>27</v>
      </c>
      <c r="G20540" s="30" t="s">
        <v>20</v>
      </c>
      <c r="H20540" s="32">
        <v>134</v>
      </c>
      <c r="I20540" s="30" t="s">
        <v>21</v>
      </c>
      <c r="J20540" s="41">
        <v>45616</v>
      </c>
      <c r="K20540" s="30" t="s">
        <v>22</v>
      </c>
    </row>
    <row r="20541" spans="1:11">
      <c r="A20541" s="33" t="s">
        <v>45612</v>
      </c>
      <c r="B20541" s="33" t="s">
        <v>45613</v>
      </c>
      <c r="C20541" s="33" t="s">
        <v>38433</v>
      </c>
      <c r="D20541" s="33" t="s">
        <v>17</v>
      </c>
      <c r="E20541" s="33" t="s">
        <v>26</v>
      </c>
      <c r="F20541" s="33" t="s">
        <v>27</v>
      </c>
      <c r="G20541" s="33" t="s">
        <v>20</v>
      </c>
      <c r="H20541" s="35">
        <v>6</v>
      </c>
      <c r="I20541" s="33" t="s">
        <v>21</v>
      </c>
      <c r="J20541" s="42">
        <v>45456</v>
      </c>
      <c r="K20541" s="33" t="s">
        <v>22</v>
      </c>
    </row>
    <row r="20542" spans="1:11">
      <c r="A20542" s="30" t="s">
        <v>45614</v>
      </c>
      <c r="B20542" s="30" t="s">
        <v>45615</v>
      </c>
      <c r="C20542" s="30" t="s">
        <v>136</v>
      </c>
      <c r="D20542" s="30" t="s">
        <v>17</v>
      </c>
      <c r="E20542" s="30" t="s">
        <v>31</v>
      </c>
      <c r="F20542" s="30" t="s">
        <v>32</v>
      </c>
      <c r="G20542" s="30" t="s">
        <v>158</v>
      </c>
      <c r="H20542" s="32">
        <v>45</v>
      </c>
      <c r="I20542" s="30" t="s">
        <v>51</v>
      </c>
      <c r="J20542" s="41">
        <v>45590</v>
      </c>
      <c r="K20542" s="30" t="s">
        <v>22</v>
      </c>
    </row>
    <row r="20543" spans="1:11">
      <c r="A20543" s="33" t="s">
        <v>45616</v>
      </c>
      <c r="B20543" s="33" t="s">
        <v>45617</v>
      </c>
      <c r="C20543" s="33" t="s">
        <v>45618</v>
      </c>
      <c r="D20543" s="33" t="s">
        <v>17</v>
      </c>
      <c r="E20543" s="33" t="s">
        <v>31</v>
      </c>
      <c r="F20543" s="33" t="s">
        <v>32</v>
      </c>
      <c r="G20543" s="33" t="s">
        <v>140</v>
      </c>
      <c r="H20543" s="35">
        <v>80</v>
      </c>
      <c r="I20543" s="33" t="s">
        <v>51</v>
      </c>
      <c r="J20543" s="42">
        <v>45391</v>
      </c>
      <c r="K20543" s="33" t="s">
        <v>22</v>
      </c>
    </row>
    <row r="20544" spans="1:11">
      <c r="A20544" s="30" t="s">
        <v>45619</v>
      </c>
      <c r="B20544" s="30" t="s">
        <v>45620</v>
      </c>
      <c r="C20544" s="30" t="s">
        <v>41489</v>
      </c>
      <c r="D20544" s="30" t="s">
        <v>17</v>
      </c>
      <c r="E20544" s="30" t="s">
        <v>212</v>
      </c>
      <c r="F20544" s="30" t="s">
        <v>213</v>
      </c>
      <c r="G20544" s="30" t="s">
        <v>20</v>
      </c>
      <c r="H20544" s="32">
        <v>2024</v>
      </c>
      <c r="I20544" s="30" t="s">
        <v>21</v>
      </c>
      <c r="J20544" s="41">
        <v>45308</v>
      </c>
      <c r="K20544" s="30" t="s">
        <v>22</v>
      </c>
    </row>
    <row r="20545" spans="1:11">
      <c r="A20545" s="33" t="s">
        <v>45621</v>
      </c>
      <c r="B20545" s="33" t="s">
        <v>45622</v>
      </c>
      <c r="C20545" s="33" t="s">
        <v>310</v>
      </c>
      <c r="D20545" s="33" t="s">
        <v>17</v>
      </c>
      <c r="E20545" s="33" t="s">
        <v>18</v>
      </c>
      <c r="F20545" s="33" t="s">
        <v>19</v>
      </c>
      <c r="G20545" s="33" t="s">
        <v>20</v>
      </c>
      <c r="H20545" s="35">
        <v>300</v>
      </c>
      <c r="I20545" s="33" t="s">
        <v>21</v>
      </c>
      <c r="J20545" s="42">
        <v>45467</v>
      </c>
      <c r="K20545" s="33" t="s">
        <v>22</v>
      </c>
    </row>
    <row r="20546" spans="1:11">
      <c r="A20546" s="30" t="s">
        <v>45623</v>
      </c>
      <c r="B20546" s="30" t="s">
        <v>45624</v>
      </c>
      <c r="C20546" s="30" t="s">
        <v>1686</v>
      </c>
      <c r="D20546" s="30" t="s">
        <v>17</v>
      </c>
      <c r="E20546" s="30" t="s">
        <v>18</v>
      </c>
      <c r="F20546" s="30" t="s">
        <v>19</v>
      </c>
      <c r="G20546" s="30" t="s">
        <v>20</v>
      </c>
      <c r="H20546" s="32">
        <v>564</v>
      </c>
      <c r="I20546" s="30" t="s">
        <v>21</v>
      </c>
      <c r="J20546" s="41">
        <v>45350</v>
      </c>
      <c r="K20546" s="30" t="s">
        <v>22</v>
      </c>
    </row>
    <row r="20547" spans="1:11">
      <c r="A20547" s="33" t="s">
        <v>45625</v>
      </c>
      <c r="B20547" s="33" t="s">
        <v>45626</v>
      </c>
      <c r="C20547" s="33" t="s">
        <v>96</v>
      </c>
      <c r="D20547" s="33" t="s">
        <v>17</v>
      </c>
      <c r="E20547" s="33" t="s">
        <v>26</v>
      </c>
      <c r="F20547" s="33" t="s">
        <v>27</v>
      </c>
      <c r="G20547" s="33" t="s">
        <v>20</v>
      </c>
      <c r="H20547" s="35">
        <v>8</v>
      </c>
      <c r="I20547" s="33" t="s">
        <v>21</v>
      </c>
      <c r="J20547" s="42">
        <v>45412</v>
      </c>
      <c r="K20547" s="33" t="s">
        <v>22</v>
      </c>
    </row>
    <row r="20548" spans="1:11">
      <c r="A20548" s="30" t="s">
        <v>45627</v>
      </c>
      <c r="B20548" s="30" t="s">
        <v>45628</v>
      </c>
      <c r="C20548" s="30" t="s">
        <v>33764</v>
      </c>
      <c r="D20548" s="30" t="s">
        <v>17</v>
      </c>
      <c r="E20548" s="30" t="s">
        <v>26</v>
      </c>
      <c r="F20548" s="30" t="s">
        <v>27</v>
      </c>
      <c r="G20548" s="30" t="s">
        <v>140</v>
      </c>
      <c r="H20548" s="32">
        <v>78</v>
      </c>
      <c r="I20548" s="30" t="s">
        <v>51</v>
      </c>
      <c r="J20548" s="41">
        <v>45539</v>
      </c>
      <c r="K20548" s="30" t="s">
        <v>22</v>
      </c>
    </row>
    <row r="20549" spans="1:11">
      <c r="A20549" s="33" t="s">
        <v>45629</v>
      </c>
      <c r="B20549" s="33" t="s">
        <v>45630</v>
      </c>
      <c r="C20549" s="33" t="s">
        <v>7787</v>
      </c>
      <c r="D20549" s="33" t="s">
        <v>17</v>
      </c>
      <c r="E20549" s="33" t="s">
        <v>31</v>
      </c>
      <c r="F20549" s="33" t="s">
        <v>32</v>
      </c>
      <c r="G20549" s="33" t="s">
        <v>20</v>
      </c>
      <c r="H20549" s="35">
        <v>123</v>
      </c>
      <c r="I20549" s="33" t="s">
        <v>21</v>
      </c>
      <c r="J20549" s="42">
        <v>45552</v>
      </c>
      <c r="K20549" s="33" t="s">
        <v>22</v>
      </c>
    </row>
    <row r="20550" spans="1:11">
      <c r="A20550" s="30" t="s">
        <v>45631</v>
      </c>
      <c r="B20550" s="30" t="s">
        <v>45632</v>
      </c>
      <c r="C20550" s="30" t="s">
        <v>8222</v>
      </c>
      <c r="D20550" s="30" t="s">
        <v>17</v>
      </c>
      <c r="E20550" s="30" t="s">
        <v>26</v>
      </c>
      <c r="F20550" s="30" t="s">
        <v>27</v>
      </c>
      <c r="G20550" s="30" t="s">
        <v>20</v>
      </c>
      <c r="H20550" s="32">
        <v>6</v>
      </c>
      <c r="I20550" s="30" t="s">
        <v>21</v>
      </c>
      <c r="J20550" s="41">
        <v>45602</v>
      </c>
      <c r="K20550" s="30" t="s">
        <v>22</v>
      </c>
    </row>
    <row r="20551" spans="1:11">
      <c r="A20551" s="33" t="s">
        <v>45633</v>
      </c>
      <c r="B20551" s="33" t="s">
        <v>45634</v>
      </c>
      <c r="C20551" s="33" t="s">
        <v>969</v>
      </c>
      <c r="D20551" s="33" t="s">
        <v>17</v>
      </c>
      <c r="E20551" s="33" t="s">
        <v>31</v>
      </c>
      <c r="F20551" s="33" t="s">
        <v>32</v>
      </c>
      <c r="G20551" s="33" t="s">
        <v>158</v>
      </c>
      <c r="H20551" s="35">
        <v>283</v>
      </c>
      <c r="I20551" s="33" t="s">
        <v>21</v>
      </c>
      <c r="J20551" s="42">
        <v>45607</v>
      </c>
      <c r="K20551" s="33" t="s">
        <v>22</v>
      </c>
    </row>
    <row r="20552" spans="1:11">
      <c r="A20552" s="30" t="s">
        <v>45635</v>
      </c>
      <c r="B20552" s="30" t="s">
        <v>45636</v>
      </c>
      <c r="C20552" s="30" t="s">
        <v>5158</v>
      </c>
      <c r="D20552" s="30" t="s">
        <v>17</v>
      </c>
      <c r="E20552" s="30" t="s">
        <v>26</v>
      </c>
      <c r="F20552" s="30" t="s">
        <v>27</v>
      </c>
      <c r="G20552" s="30" t="s">
        <v>140</v>
      </c>
      <c r="H20552" s="32">
        <v>156</v>
      </c>
      <c r="I20552" s="30" t="s">
        <v>51</v>
      </c>
      <c r="J20552" s="41">
        <v>45575</v>
      </c>
      <c r="K20552" s="30" t="s">
        <v>22</v>
      </c>
    </row>
    <row r="20553" spans="1:11">
      <c r="A20553" s="33" t="s">
        <v>45637</v>
      </c>
      <c r="B20553" s="33" t="s">
        <v>45638</v>
      </c>
      <c r="C20553" s="33" t="s">
        <v>2849</v>
      </c>
      <c r="D20553" s="33" t="s">
        <v>17</v>
      </c>
      <c r="E20553" s="33" t="s">
        <v>26</v>
      </c>
      <c r="F20553" s="33" t="s">
        <v>27</v>
      </c>
      <c r="G20553" s="33" t="s">
        <v>7780</v>
      </c>
      <c r="H20553" s="35">
        <v>34</v>
      </c>
      <c r="I20553" s="33" t="s">
        <v>51</v>
      </c>
      <c r="J20553" s="42">
        <v>45505</v>
      </c>
      <c r="K20553" s="33" t="s">
        <v>22</v>
      </c>
    </row>
    <row r="20554" spans="1:11">
      <c r="A20554" s="30" t="s">
        <v>45639</v>
      </c>
      <c r="B20554" s="30" t="s">
        <v>45640</v>
      </c>
      <c r="C20554" s="30" t="s">
        <v>644</v>
      </c>
      <c r="D20554" s="30" t="s">
        <v>17</v>
      </c>
      <c r="E20554" s="30" t="s">
        <v>67</v>
      </c>
      <c r="F20554" s="30" t="s">
        <v>68</v>
      </c>
      <c r="G20554" s="30" t="s">
        <v>50</v>
      </c>
      <c r="H20554" s="32">
        <v>26</v>
      </c>
      <c r="I20554" s="30" t="s">
        <v>51</v>
      </c>
      <c r="J20554" s="41">
        <v>45383</v>
      </c>
      <c r="K20554" s="30" t="s">
        <v>22</v>
      </c>
    </row>
    <row r="20555" spans="1:11">
      <c r="A20555" s="33" t="s">
        <v>45641</v>
      </c>
      <c r="B20555" s="33" t="s">
        <v>45642</v>
      </c>
      <c r="C20555" s="33" t="s">
        <v>22482</v>
      </c>
      <c r="D20555" s="33" t="s">
        <v>17</v>
      </c>
      <c r="E20555" s="33" t="s">
        <v>67</v>
      </c>
      <c r="F20555" s="33" t="s">
        <v>68</v>
      </c>
      <c r="G20555" s="33" t="s">
        <v>158</v>
      </c>
      <c r="H20555" s="35">
        <v>117</v>
      </c>
      <c r="I20555" s="33" t="s">
        <v>51</v>
      </c>
      <c r="J20555" s="42">
        <v>45455</v>
      </c>
      <c r="K20555" s="33" t="s">
        <v>22</v>
      </c>
    </row>
    <row r="20556" spans="1:11">
      <c r="A20556" s="30" t="s">
        <v>45643</v>
      </c>
      <c r="B20556" s="30" t="s">
        <v>45644</v>
      </c>
      <c r="C20556" s="30" t="s">
        <v>21924</v>
      </c>
      <c r="D20556" s="30" t="s">
        <v>17</v>
      </c>
      <c r="E20556" s="30" t="s">
        <v>31</v>
      </c>
      <c r="F20556" s="30" t="s">
        <v>32</v>
      </c>
      <c r="G20556" s="30" t="s">
        <v>20</v>
      </c>
      <c r="H20556" s="32">
        <v>40</v>
      </c>
      <c r="I20556" s="30" t="s">
        <v>21</v>
      </c>
      <c r="J20556" s="41">
        <v>45404</v>
      </c>
      <c r="K20556" s="30" t="s">
        <v>22</v>
      </c>
    </row>
    <row r="20557" spans="1:11">
      <c r="A20557" s="33" t="s">
        <v>45645</v>
      </c>
      <c r="B20557" s="33" t="s">
        <v>45646</v>
      </c>
      <c r="C20557" s="33" t="s">
        <v>136</v>
      </c>
      <c r="D20557" s="33" t="s">
        <v>17</v>
      </c>
      <c r="E20557" s="33" t="s">
        <v>18</v>
      </c>
      <c r="F20557" s="33" t="s">
        <v>19</v>
      </c>
      <c r="G20557" s="33" t="s">
        <v>140</v>
      </c>
      <c r="H20557" s="35">
        <v>150</v>
      </c>
      <c r="I20557" s="33" t="s">
        <v>51</v>
      </c>
      <c r="J20557" s="42">
        <v>45614</v>
      </c>
      <c r="K20557" s="33" t="s">
        <v>22</v>
      </c>
    </row>
    <row r="20558" spans="1:11">
      <c r="A20558" s="30" t="s">
        <v>45647</v>
      </c>
      <c r="B20558" s="30" t="s">
        <v>45648</v>
      </c>
      <c r="C20558" s="30" t="s">
        <v>2900</v>
      </c>
      <c r="D20558" s="30" t="s">
        <v>17</v>
      </c>
      <c r="E20558" s="30" t="s">
        <v>31</v>
      </c>
      <c r="F20558" s="30" t="s">
        <v>32</v>
      </c>
      <c r="G20558" s="30" t="s">
        <v>50</v>
      </c>
      <c r="H20558" s="32">
        <v>60</v>
      </c>
      <c r="I20558" s="30" t="s">
        <v>51</v>
      </c>
      <c r="J20558" s="41">
        <v>45352</v>
      </c>
      <c r="K20558" s="30" t="s">
        <v>22</v>
      </c>
    </row>
    <row r="20559" spans="1:11">
      <c r="A20559" s="33" t="s">
        <v>45649</v>
      </c>
      <c r="B20559" s="33" t="s">
        <v>45650</v>
      </c>
      <c r="C20559" s="33" t="s">
        <v>9760</v>
      </c>
      <c r="D20559" s="33" t="s">
        <v>17</v>
      </c>
      <c r="E20559" s="33" t="s">
        <v>26</v>
      </c>
      <c r="F20559" s="33" t="s">
        <v>27</v>
      </c>
      <c r="G20559" s="33" t="s">
        <v>140</v>
      </c>
      <c r="H20559" s="35">
        <v>150</v>
      </c>
      <c r="I20559" s="33" t="s">
        <v>51</v>
      </c>
      <c r="J20559" s="42">
        <v>45554</v>
      </c>
      <c r="K20559" s="33" t="s">
        <v>22</v>
      </c>
    </row>
    <row r="20560" spans="1:11">
      <c r="A20560" s="30" t="s">
        <v>45651</v>
      </c>
      <c r="B20560" s="30" t="s">
        <v>45652</v>
      </c>
      <c r="C20560" s="30" t="s">
        <v>21185</v>
      </c>
      <c r="D20560" s="30" t="s">
        <v>17</v>
      </c>
      <c r="E20560" s="30" t="s">
        <v>31</v>
      </c>
      <c r="F20560" s="30" t="s">
        <v>32</v>
      </c>
      <c r="G20560" s="30" t="s">
        <v>140</v>
      </c>
      <c r="H20560" s="32">
        <v>204</v>
      </c>
      <c r="I20560" s="30" t="s">
        <v>51</v>
      </c>
      <c r="J20560" s="41">
        <v>45617</v>
      </c>
      <c r="K20560" s="30" t="s">
        <v>22</v>
      </c>
    </row>
    <row r="20561" spans="1:11">
      <c r="A20561" s="33" t="s">
        <v>45653</v>
      </c>
      <c r="B20561" s="33" t="s">
        <v>45654</v>
      </c>
      <c r="C20561" s="33" t="s">
        <v>118</v>
      </c>
      <c r="D20561" s="33" t="s">
        <v>17</v>
      </c>
      <c r="E20561" s="33" t="s">
        <v>26</v>
      </c>
      <c r="F20561" s="33" t="s">
        <v>27</v>
      </c>
      <c r="G20561" s="33" t="s">
        <v>20</v>
      </c>
      <c r="H20561" s="35">
        <v>24</v>
      </c>
      <c r="I20561" s="33" t="s">
        <v>21</v>
      </c>
      <c r="J20561" s="42">
        <v>45477</v>
      </c>
      <c r="K20561" s="33" t="s">
        <v>22</v>
      </c>
    </row>
    <row r="20562" spans="1:11">
      <c r="A20562" s="30" t="s">
        <v>45655</v>
      </c>
      <c r="B20562" s="30" t="s">
        <v>45656</v>
      </c>
      <c r="C20562" s="30" t="s">
        <v>11912</v>
      </c>
      <c r="D20562" s="30" t="s">
        <v>17</v>
      </c>
      <c r="E20562" s="30" t="s">
        <v>26</v>
      </c>
      <c r="F20562" s="30" t="s">
        <v>27</v>
      </c>
      <c r="G20562" s="30" t="s">
        <v>7780</v>
      </c>
      <c r="H20562" s="32">
        <v>72</v>
      </c>
      <c r="I20562" s="30" t="s">
        <v>51</v>
      </c>
      <c r="J20562" s="41">
        <v>45474</v>
      </c>
      <c r="K20562" s="30" t="s">
        <v>22</v>
      </c>
    </row>
    <row r="20563" spans="1:11">
      <c r="A20563" s="33" t="s">
        <v>45657</v>
      </c>
      <c r="B20563" s="33" t="s">
        <v>45658</v>
      </c>
      <c r="C20563" s="33" t="s">
        <v>136</v>
      </c>
      <c r="D20563" s="33" t="s">
        <v>17</v>
      </c>
      <c r="E20563" s="33" t="s">
        <v>18</v>
      </c>
      <c r="F20563" s="33" t="s">
        <v>19</v>
      </c>
      <c r="G20563" s="33" t="s">
        <v>140</v>
      </c>
      <c r="H20563" s="35">
        <v>300</v>
      </c>
      <c r="I20563" s="33" t="s">
        <v>51</v>
      </c>
      <c r="J20563" s="42">
        <v>45446</v>
      </c>
      <c r="K20563" s="33" t="s">
        <v>22</v>
      </c>
    </row>
    <row r="20564" spans="1:11">
      <c r="A20564" s="30" t="s">
        <v>45659</v>
      </c>
      <c r="B20564" s="30" t="s">
        <v>45660</v>
      </c>
      <c r="C20564" s="30" t="s">
        <v>5452</v>
      </c>
      <c r="D20564" s="30" t="s">
        <v>17</v>
      </c>
      <c r="E20564" s="30" t="s">
        <v>18</v>
      </c>
      <c r="F20564" s="30" t="s">
        <v>19</v>
      </c>
      <c r="G20564" s="30" t="s">
        <v>20</v>
      </c>
      <c r="H20564" s="32">
        <v>86</v>
      </c>
      <c r="I20564" s="30" t="s">
        <v>21</v>
      </c>
      <c r="J20564" s="41">
        <v>45462</v>
      </c>
      <c r="K20564" s="30" t="s">
        <v>22</v>
      </c>
    </row>
    <row r="20565" spans="1:11">
      <c r="A20565" s="33" t="s">
        <v>45661</v>
      </c>
      <c r="B20565" s="33" t="s">
        <v>45662</v>
      </c>
      <c r="C20565" s="33" t="s">
        <v>15482</v>
      </c>
      <c r="D20565" s="33" t="s">
        <v>17</v>
      </c>
      <c r="E20565" s="33" t="s">
        <v>67</v>
      </c>
      <c r="F20565" s="33" t="s">
        <v>68</v>
      </c>
      <c r="G20565" s="33" t="s">
        <v>20</v>
      </c>
      <c r="H20565" s="35">
        <v>28</v>
      </c>
      <c r="I20565" s="33" t="s">
        <v>21</v>
      </c>
      <c r="J20565" s="42">
        <v>45358</v>
      </c>
      <c r="K20565" s="33" t="s">
        <v>22</v>
      </c>
    </row>
    <row r="20566" spans="1:11">
      <c r="A20566" s="30" t="s">
        <v>45663</v>
      </c>
      <c r="B20566" s="30" t="s">
        <v>45664</v>
      </c>
      <c r="C20566" s="30" t="s">
        <v>10646</v>
      </c>
      <c r="D20566" s="30" t="s">
        <v>17</v>
      </c>
      <c r="E20566" s="30" t="s">
        <v>26</v>
      </c>
      <c r="F20566" s="30" t="s">
        <v>27</v>
      </c>
      <c r="G20566" s="30" t="s">
        <v>140</v>
      </c>
      <c r="H20566" s="32">
        <v>40</v>
      </c>
      <c r="I20566" s="30" t="s">
        <v>51</v>
      </c>
      <c r="J20566" s="41">
        <v>45440</v>
      </c>
      <c r="K20566" s="30" t="s">
        <v>22</v>
      </c>
    </row>
    <row r="20567" spans="1:11">
      <c r="A20567" s="33" t="s">
        <v>45665</v>
      </c>
      <c r="B20567" s="33" t="s">
        <v>45666</v>
      </c>
      <c r="C20567" s="33" t="s">
        <v>231</v>
      </c>
      <c r="D20567" s="33" t="s">
        <v>17</v>
      </c>
      <c r="E20567" s="33" t="s">
        <v>18</v>
      </c>
      <c r="F20567" s="33" t="s">
        <v>19</v>
      </c>
      <c r="G20567" s="33" t="s">
        <v>20</v>
      </c>
      <c r="H20567" s="35">
        <v>307</v>
      </c>
      <c r="I20567" s="33" t="s">
        <v>21</v>
      </c>
      <c r="J20567" s="42">
        <v>45328</v>
      </c>
      <c r="K20567" s="33" t="s">
        <v>22</v>
      </c>
    </row>
    <row r="20568" spans="1:11">
      <c r="A20568" s="30" t="s">
        <v>45667</v>
      </c>
      <c r="B20568" s="30" t="s">
        <v>45668</v>
      </c>
      <c r="C20568" s="30" t="s">
        <v>41065</v>
      </c>
      <c r="D20568" s="30" t="s">
        <v>17</v>
      </c>
      <c r="E20568" s="30" t="s">
        <v>31</v>
      </c>
      <c r="F20568" s="30" t="s">
        <v>32</v>
      </c>
      <c r="G20568" s="30" t="s">
        <v>50</v>
      </c>
      <c r="H20568" s="32">
        <v>56</v>
      </c>
      <c r="I20568" s="30" t="s">
        <v>21</v>
      </c>
      <c r="J20568" s="41">
        <v>45371</v>
      </c>
      <c r="K20568" s="30" t="s">
        <v>22</v>
      </c>
    </row>
    <row r="20569" spans="1:11">
      <c r="A20569" s="33" t="s">
        <v>45669</v>
      </c>
      <c r="B20569" s="33" t="s">
        <v>45670</v>
      </c>
      <c r="C20569" s="33" t="s">
        <v>203</v>
      </c>
      <c r="D20569" s="33" t="s">
        <v>17</v>
      </c>
      <c r="E20569" s="33" t="s">
        <v>26</v>
      </c>
      <c r="F20569" s="33" t="s">
        <v>27</v>
      </c>
      <c r="G20569" s="33" t="s">
        <v>20</v>
      </c>
      <c r="H20569" s="35">
        <v>23</v>
      </c>
      <c r="I20569" s="33" t="s">
        <v>21</v>
      </c>
      <c r="J20569" s="42">
        <v>45616</v>
      </c>
      <c r="K20569" s="33" t="s">
        <v>22</v>
      </c>
    </row>
    <row r="20570" spans="1:11">
      <c r="A20570" s="30" t="s">
        <v>45671</v>
      </c>
      <c r="B20570" s="30" t="s">
        <v>45672</v>
      </c>
      <c r="C20570" s="30" t="s">
        <v>14835</v>
      </c>
      <c r="D20570" s="30" t="s">
        <v>17</v>
      </c>
      <c r="E20570" s="30" t="s">
        <v>31</v>
      </c>
      <c r="F20570" s="30" t="s">
        <v>32</v>
      </c>
      <c r="G20570" s="30" t="s">
        <v>140</v>
      </c>
      <c r="H20570" s="32">
        <v>130</v>
      </c>
      <c r="I20570" s="30" t="s">
        <v>51</v>
      </c>
      <c r="J20570" s="41">
        <v>45632</v>
      </c>
      <c r="K20570" s="30" t="s">
        <v>22</v>
      </c>
    </row>
    <row r="20571" spans="1:11">
      <c r="A20571" s="33" t="s">
        <v>45673</v>
      </c>
      <c r="B20571" s="33" t="s">
        <v>45674</v>
      </c>
      <c r="C20571" s="33" t="s">
        <v>715</v>
      </c>
      <c r="D20571" s="33" t="s">
        <v>17</v>
      </c>
      <c r="E20571" s="33" t="s">
        <v>18</v>
      </c>
      <c r="F20571" s="33" t="s">
        <v>19</v>
      </c>
      <c r="G20571" s="33" t="s">
        <v>158</v>
      </c>
      <c r="H20571" s="35">
        <v>7</v>
      </c>
      <c r="I20571" s="33" t="s">
        <v>21</v>
      </c>
      <c r="J20571" s="42">
        <v>45350</v>
      </c>
      <c r="K20571" s="33" t="s">
        <v>22</v>
      </c>
    </row>
    <row r="20572" spans="1:11">
      <c r="A20572" s="30" t="s">
        <v>45675</v>
      </c>
      <c r="B20572" s="30" t="s">
        <v>45676</v>
      </c>
      <c r="C20572" s="30" t="s">
        <v>3833</v>
      </c>
      <c r="D20572" s="30" t="s">
        <v>17</v>
      </c>
      <c r="E20572" s="30" t="s">
        <v>26</v>
      </c>
      <c r="F20572" s="30" t="s">
        <v>27</v>
      </c>
      <c r="G20572" s="30" t="s">
        <v>140</v>
      </c>
      <c r="H20572" s="32">
        <v>24</v>
      </c>
      <c r="I20572" s="30" t="s">
        <v>51</v>
      </c>
      <c r="J20572" s="41">
        <v>45366</v>
      </c>
      <c r="K20572" s="30" t="s">
        <v>22</v>
      </c>
    </row>
    <row r="20573" spans="1:11">
      <c r="A20573" s="33" t="s">
        <v>45677</v>
      </c>
      <c r="B20573" s="33" t="s">
        <v>45678</v>
      </c>
      <c r="C20573" s="33" t="s">
        <v>136</v>
      </c>
      <c r="D20573" s="33" t="s">
        <v>17</v>
      </c>
      <c r="E20573" s="33" t="s">
        <v>18</v>
      </c>
      <c r="F20573" s="33" t="s">
        <v>19</v>
      </c>
      <c r="G20573" s="33" t="s">
        <v>20</v>
      </c>
      <c r="H20573" s="35">
        <v>537</v>
      </c>
      <c r="I20573" s="33" t="s">
        <v>21</v>
      </c>
      <c r="J20573" s="42">
        <v>45392</v>
      </c>
      <c r="K20573" s="33" t="s">
        <v>22</v>
      </c>
    </row>
    <row r="20574" spans="1:11">
      <c r="A20574" s="30" t="s">
        <v>45679</v>
      </c>
      <c r="B20574" s="30" t="s">
        <v>45680</v>
      </c>
      <c r="C20574" s="30" t="s">
        <v>31583</v>
      </c>
      <c r="D20574" s="30" t="s">
        <v>17</v>
      </c>
      <c r="E20574" s="30" t="s">
        <v>26</v>
      </c>
      <c r="F20574" s="30" t="s">
        <v>27</v>
      </c>
      <c r="G20574" s="30" t="s">
        <v>140</v>
      </c>
      <c r="H20574" s="32">
        <v>50</v>
      </c>
      <c r="I20574" s="30" t="s">
        <v>51</v>
      </c>
      <c r="J20574" s="41">
        <v>45596</v>
      </c>
      <c r="K20574" s="30" t="s">
        <v>22</v>
      </c>
    </row>
    <row r="20575" spans="1:11">
      <c r="A20575" s="33" t="s">
        <v>45681</v>
      </c>
      <c r="B20575" s="33" t="s">
        <v>45682</v>
      </c>
      <c r="C20575" s="33" t="s">
        <v>2382</v>
      </c>
      <c r="D20575" s="33" t="s">
        <v>17</v>
      </c>
      <c r="E20575" s="33" t="s">
        <v>67</v>
      </c>
      <c r="F20575" s="33" t="s">
        <v>68</v>
      </c>
      <c r="G20575" s="33" t="s">
        <v>140</v>
      </c>
      <c r="H20575" s="35">
        <v>144</v>
      </c>
      <c r="I20575" s="33" t="s">
        <v>51</v>
      </c>
      <c r="J20575" s="42">
        <v>45497</v>
      </c>
      <c r="K20575" s="33" t="s">
        <v>22</v>
      </c>
    </row>
    <row r="20576" spans="1:11">
      <c r="A20576" s="30" t="s">
        <v>45683</v>
      </c>
      <c r="B20576" s="30" t="s">
        <v>45684</v>
      </c>
      <c r="C20576" s="30" t="s">
        <v>4348</v>
      </c>
      <c r="D20576" s="30" t="s">
        <v>17</v>
      </c>
      <c r="E20576" s="30" t="s">
        <v>31</v>
      </c>
      <c r="F20576" s="30" t="s">
        <v>32</v>
      </c>
      <c r="G20576" s="30" t="s">
        <v>140</v>
      </c>
      <c r="H20576" s="32">
        <v>40</v>
      </c>
      <c r="I20576" s="30" t="s">
        <v>51</v>
      </c>
      <c r="J20576" s="41">
        <v>45504</v>
      </c>
      <c r="K20576" s="30" t="s">
        <v>22</v>
      </c>
    </row>
    <row r="20577" spans="1:11">
      <c r="A20577" s="33" t="s">
        <v>45685</v>
      </c>
      <c r="B20577" s="33" t="s">
        <v>45686</v>
      </c>
      <c r="C20577" s="33" t="s">
        <v>450</v>
      </c>
      <c r="D20577" s="33" t="s">
        <v>17</v>
      </c>
      <c r="E20577" s="33" t="s">
        <v>26</v>
      </c>
      <c r="F20577" s="33" t="s">
        <v>27</v>
      </c>
      <c r="G20577" s="33" t="s">
        <v>20</v>
      </c>
      <c r="H20577" s="35">
        <v>60</v>
      </c>
      <c r="I20577" s="33" t="s">
        <v>21</v>
      </c>
      <c r="J20577" s="42">
        <v>45301</v>
      </c>
      <c r="K20577" s="33" t="s">
        <v>22</v>
      </c>
    </row>
    <row r="20578" spans="1:11">
      <c r="A20578" s="30" t="s">
        <v>45687</v>
      </c>
      <c r="B20578" s="30" t="s">
        <v>45688</v>
      </c>
      <c r="C20578" s="30" t="s">
        <v>44108</v>
      </c>
      <c r="D20578" s="30" t="s">
        <v>17</v>
      </c>
      <c r="E20578" s="30" t="s">
        <v>26</v>
      </c>
      <c r="F20578" s="30" t="s">
        <v>27</v>
      </c>
      <c r="G20578" s="30" t="s">
        <v>106</v>
      </c>
      <c r="H20578" s="32">
        <v>5</v>
      </c>
      <c r="I20578" s="30" t="s">
        <v>21</v>
      </c>
      <c r="J20578" s="41">
        <v>45588</v>
      </c>
      <c r="K20578" s="30" t="s">
        <v>22</v>
      </c>
    </row>
    <row r="20579" spans="1:11">
      <c r="A20579" s="33" t="s">
        <v>45689</v>
      </c>
      <c r="B20579" s="33" t="s">
        <v>45690</v>
      </c>
      <c r="C20579" s="33" t="s">
        <v>45691</v>
      </c>
      <c r="D20579" s="33" t="s">
        <v>17</v>
      </c>
      <c r="E20579" s="33" t="s">
        <v>67</v>
      </c>
      <c r="F20579" s="33" t="s">
        <v>68</v>
      </c>
      <c r="G20579" s="33" t="s">
        <v>140</v>
      </c>
      <c r="H20579" s="35">
        <v>150</v>
      </c>
      <c r="I20579" s="33" t="s">
        <v>51</v>
      </c>
      <c r="J20579" s="42">
        <v>45448</v>
      </c>
      <c r="K20579" s="33" t="s">
        <v>22</v>
      </c>
    </row>
    <row r="20580" spans="1:11">
      <c r="A20580" s="30" t="s">
        <v>45692</v>
      </c>
      <c r="B20580" s="30" t="s">
        <v>45693</v>
      </c>
      <c r="C20580" s="30" t="s">
        <v>1136</v>
      </c>
      <c r="D20580" s="30" t="s">
        <v>17</v>
      </c>
      <c r="E20580" s="30" t="s">
        <v>67</v>
      </c>
      <c r="F20580" s="30" t="s">
        <v>68</v>
      </c>
      <c r="G20580" s="30" t="s">
        <v>158</v>
      </c>
      <c r="H20580" s="32">
        <v>750</v>
      </c>
      <c r="I20580" s="30" t="s">
        <v>51</v>
      </c>
      <c r="J20580" s="41">
        <v>45601</v>
      </c>
      <c r="K20580" s="30" t="s">
        <v>22</v>
      </c>
    </row>
    <row r="20581" spans="1:11">
      <c r="A20581" s="33" t="s">
        <v>45694</v>
      </c>
      <c r="B20581" s="33" t="s">
        <v>45695</v>
      </c>
      <c r="C20581" s="33" t="s">
        <v>231</v>
      </c>
      <c r="D20581" s="33" t="s">
        <v>17</v>
      </c>
      <c r="E20581" s="33" t="s">
        <v>18</v>
      </c>
      <c r="F20581" s="33" t="s">
        <v>19</v>
      </c>
      <c r="G20581" s="33" t="s">
        <v>20</v>
      </c>
      <c r="H20581" s="35">
        <v>274</v>
      </c>
      <c r="I20581" s="33" t="s">
        <v>21</v>
      </c>
      <c r="J20581" s="42">
        <v>45307</v>
      </c>
      <c r="K20581" s="33" t="s">
        <v>22</v>
      </c>
    </row>
    <row r="20582" spans="1:11">
      <c r="A20582" s="30" t="s">
        <v>45696</v>
      </c>
      <c r="B20582" s="30" t="s">
        <v>45697</v>
      </c>
      <c r="C20582" s="30" t="s">
        <v>40943</v>
      </c>
      <c r="D20582" s="30" t="s">
        <v>17</v>
      </c>
      <c r="E20582" s="30" t="s">
        <v>67</v>
      </c>
      <c r="F20582" s="30" t="s">
        <v>68</v>
      </c>
      <c r="G20582" s="30" t="s">
        <v>140</v>
      </c>
      <c r="H20582" s="32">
        <v>49</v>
      </c>
      <c r="I20582" s="30" t="s">
        <v>51</v>
      </c>
      <c r="J20582" s="41">
        <v>45383</v>
      </c>
      <c r="K20582" s="30" t="s">
        <v>22</v>
      </c>
    </row>
    <row r="20583" spans="1:11">
      <c r="A20583" s="33" t="s">
        <v>45698</v>
      </c>
      <c r="B20583" s="33" t="s">
        <v>45699</v>
      </c>
      <c r="C20583" s="33" t="s">
        <v>42164</v>
      </c>
      <c r="D20583" s="33" t="s">
        <v>17</v>
      </c>
      <c r="E20583" s="33" t="s">
        <v>31</v>
      </c>
      <c r="F20583" s="33" t="s">
        <v>32</v>
      </c>
      <c r="G20583" s="33" t="s">
        <v>20</v>
      </c>
      <c r="H20583" s="35">
        <v>59</v>
      </c>
      <c r="I20583" s="33" t="s">
        <v>21</v>
      </c>
      <c r="J20583" s="42">
        <v>45320</v>
      </c>
      <c r="K20583" s="33" t="s">
        <v>22</v>
      </c>
    </row>
    <row r="20584" spans="1:11">
      <c r="A20584" s="30" t="s">
        <v>45700</v>
      </c>
      <c r="B20584" s="30" t="s">
        <v>45701</v>
      </c>
      <c r="C20584" s="30" t="s">
        <v>149</v>
      </c>
      <c r="D20584" s="30" t="s">
        <v>17</v>
      </c>
      <c r="E20584" s="30" t="s">
        <v>26</v>
      </c>
      <c r="F20584" s="30" t="s">
        <v>27</v>
      </c>
      <c r="G20584" s="30" t="s">
        <v>20</v>
      </c>
      <c r="H20584" s="32">
        <v>24</v>
      </c>
      <c r="I20584" s="30" t="s">
        <v>21</v>
      </c>
      <c r="J20584" s="41">
        <v>45348</v>
      </c>
      <c r="K20584" s="30" t="s">
        <v>22</v>
      </c>
    </row>
    <row r="20585" spans="1:11">
      <c r="A20585" s="33" t="s">
        <v>45702</v>
      </c>
      <c r="B20585" s="33" t="s">
        <v>45703</v>
      </c>
      <c r="C20585" s="33" t="s">
        <v>38860</v>
      </c>
      <c r="D20585" s="33" t="s">
        <v>17</v>
      </c>
      <c r="E20585" s="33" t="s">
        <v>31</v>
      </c>
      <c r="F20585" s="33" t="s">
        <v>32</v>
      </c>
      <c r="G20585" s="33" t="s">
        <v>20</v>
      </c>
      <c r="H20585" s="35">
        <v>336</v>
      </c>
      <c r="I20585" s="33" t="s">
        <v>21</v>
      </c>
      <c r="J20585" s="42">
        <v>45440</v>
      </c>
      <c r="K20585" s="33" t="s">
        <v>22</v>
      </c>
    </row>
    <row r="20586" spans="1:11">
      <c r="A20586" s="30" t="s">
        <v>45704</v>
      </c>
      <c r="B20586" s="30" t="s">
        <v>45705</v>
      </c>
      <c r="C20586" s="30" t="s">
        <v>647</v>
      </c>
      <c r="D20586" s="30" t="s">
        <v>17</v>
      </c>
      <c r="E20586" s="30" t="s">
        <v>26</v>
      </c>
      <c r="F20586" s="30" t="s">
        <v>27</v>
      </c>
      <c r="G20586" s="30" t="s">
        <v>20</v>
      </c>
      <c r="H20586" s="32">
        <v>48</v>
      </c>
      <c r="I20586" s="30" t="s">
        <v>21</v>
      </c>
      <c r="J20586" s="41">
        <v>45456</v>
      </c>
      <c r="K20586" s="30" t="s">
        <v>22</v>
      </c>
    </row>
    <row r="20587" spans="1:11">
      <c r="A20587" s="33" t="s">
        <v>45706</v>
      </c>
      <c r="B20587" s="33" t="s">
        <v>45707</v>
      </c>
      <c r="C20587" s="33" t="s">
        <v>13050</v>
      </c>
      <c r="D20587" s="33" t="s">
        <v>17</v>
      </c>
      <c r="E20587" s="33" t="s">
        <v>67</v>
      </c>
      <c r="F20587" s="33" t="s">
        <v>68</v>
      </c>
      <c r="G20587" s="33" t="s">
        <v>140</v>
      </c>
      <c r="H20587" s="35">
        <v>48</v>
      </c>
      <c r="I20587" s="33" t="s">
        <v>51</v>
      </c>
      <c r="J20587" s="42">
        <v>45360</v>
      </c>
      <c r="K20587" s="33" t="s">
        <v>22</v>
      </c>
    </row>
    <row r="20588" spans="1:11">
      <c r="A20588" s="30" t="s">
        <v>45708</v>
      </c>
      <c r="B20588" s="30" t="s">
        <v>45709</v>
      </c>
      <c r="C20588" s="30" t="s">
        <v>157</v>
      </c>
      <c r="D20588" s="30" t="s">
        <v>17</v>
      </c>
      <c r="E20588" s="30" t="s">
        <v>67</v>
      </c>
      <c r="F20588" s="30" t="s">
        <v>68</v>
      </c>
      <c r="G20588" s="30" t="s">
        <v>158</v>
      </c>
      <c r="H20588" s="32">
        <v>28</v>
      </c>
      <c r="I20588" s="30" t="s">
        <v>21</v>
      </c>
      <c r="J20588" s="41">
        <v>45432</v>
      </c>
      <c r="K20588" s="30" t="s">
        <v>22</v>
      </c>
    </row>
    <row r="20589" spans="1:11">
      <c r="A20589" s="33" t="s">
        <v>45710</v>
      </c>
      <c r="B20589" s="33" t="s">
        <v>45711</v>
      </c>
      <c r="C20589" s="33" t="s">
        <v>684</v>
      </c>
      <c r="D20589" s="33" t="s">
        <v>17</v>
      </c>
      <c r="E20589" s="33" t="s">
        <v>26</v>
      </c>
      <c r="F20589" s="33" t="s">
        <v>27</v>
      </c>
      <c r="G20589" s="33" t="s">
        <v>20</v>
      </c>
      <c r="H20589" s="35">
        <v>26</v>
      </c>
      <c r="I20589" s="33" t="s">
        <v>21</v>
      </c>
      <c r="J20589" s="42">
        <v>45372</v>
      </c>
      <c r="K20589" s="33" t="s">
        <v>22</v>
      </c>
    </row>
    <row r="20590" spans="1:11">
      <c r="A20590" s="30" t="s">
        <v>45712</v>
      </c>
      <c r="B20590" s="30" t="s">
        <v>45713</v>
      </c>
      <c r="C20590" s="30" t="s">
        <v>187</v>
      </c>
      <c r="D20590" s="30" t="s">
        <v>17</v>
      </c>
      <c r="E20590" s="30" t="s">
        <v>26</v>
      </c>
      <c r="F20590" s="30" t="s">
        <v>27</v>
      </c>
      <c r="G20590" s="30" t="s">
        <v>140</v>
      </c>
      <c r="H20590" s="32">
        <v>140</v>
      </c>
      <c r="I20590" s="30" t="s">
        <v>51</v>
      </c>
      <c r="J20590" s="41">
        <v>45470</v>
      </c>
      <c r="K20590" s="30" t="s">
        <v>22</v>
      </c>
    </row>
    <row r="20591" spans="1:11">
      <c r="A20591" s="33" t="s">
        <v>45714</v>
      </c>
      <c r="B20591" s="33" t="s">
        <v>45715</v>
      </c>
      <c r="C20591" s="33" t="s">
        <v>96</v>
      </c>
      <c r="D20591" s="33" t="s">
        <v>17</v>
      </c>
      <c r="E20591" s="33" t="s">
        <v>18</v>
      </c>
      <c r="F20591" s="33" t="s">
        <v>19</v>
      </c>
      <c r="G20591" s="33" t="s">
        <v>140</v>
      </c>
      <c r="H20591" s="35">
        <v>492</v>
      </c>
      <c r="I20591" s="33" t="s">
        <v>51</v>
      </c>
      <c r="J20591" s="42">
        <v>45330</v>
      </c>
      <c r="K20591" s="33" t="s">
        <v>22</v>
      </c>
    </row>
    <row r="20592" spans="1:11">
      <c r="A20592" s="30" t="s">
        <v>45716</v>
      </c>
      <c r="B20592" s="30" t="s">
        <v>45717</v>
      </c>
      <c r="C20592" s="30" t="s">
        <v>2842</v>
      </c>
      <c r="D20592" s="30" t="s">
        <v>17</v>
      </c>
      <c r="E20592" s="30" t="s">
        <v>18</v>
      </c>
      <c r="F20592" s="30" t="s">
        <v>19</v>
      </c>
      <c r="G20592" s="30" t="s">
        <v>140</v>
      </c>
      <c r="H20592" s="32">
        <v>350</v>
      </c>
      <c r="I20592" s="30" t="s">
        <v>51</v>
      </c>
      <c r="J20592" s="41">
        <v>45490</v>
      </c>
      <c r="K20592" s="30" t="s">
        <v>22</v>
      </c>
    </row>
    <row r="20593" spans="1:11">
      <c r="A20593" s="33" t="s">
        <v>45718</v>
      </c>
      <c r="B20593" s="33" t="s">
        <v>45719</v>
      </c>
      <c r="C20593" s="33" t="s">
        <v>31562</v>
      </c>
      <c r="D20593" s="33" t="s">
        <v>17</v>
      </c>
      <c r="E20593" s="33" t="s">
        <v>31</v>
      </c>
      <c r="F20593" s="33" t="s">
        <v>32</v>
      </c>
      <c r="G20593" s="33" t="s">
        <v>7780</v>
      </c>
      <c r="H20593" s="35">
        <v>90</v>
      </c>
      <c r="I20593" s="33" t="s">
        <v>51</v>
      </c>
      <c r="J20593" s="42">
        <v>45597</v>
      </c>
      <c r="K20593" s="33" t="s">
        <v>22</v>
      </c>
    </row>
    <row r="20594" spans="1:11">
      <c r="A20594" s="30" t="s">
        <v>45720</v>
      </c>
      <c r="B20594" s="30" t="s">
        <v>45721</v>
      </c>
      <c r="C20594" s="30" t="s">
        <v>45722</v>
      </c>
      <c r="D20594" s="30" t="s">
        <v>17</v>
      </c>
      <c r="E20594" s="30" t="s">
        <v>26</v>
      </c>
      <c r="F20594" s="30" t="s">
        <v>27</v>
      </c>
      <c r="G20594" s="30" t="s">
        <v>20</v>
      </c>
      <c r="H20594" s="32">
        <v>49</v>
      </c>
      <c r="I20594" s="30" t="s">
        <v>21</v>
      </c>
      <c r="J20594" s="41">
        <v>45524</v>
      </c>
      <c r="K20594" s="30" t="s">
        <v>22</v>
      </c>
    </row>
    <row r="20595" spans="1:11">
      <c r="A20595" s="33" t="s">
        <v>45723</v>
      </c>
      <c r="B20595" s="33" t="s">
        <v>45724</v>
      </c>
      <c r="C20595" s="33" t="s">
        <v>15585</v>
      </c>
      <c r="D20595" s="33" t="s">
        <v>17</v>
      </c>
      <c r="E20595" s="33" t="s">
        <v>26</v>
      </c>
      <c r="F20595" s="33" t="s">
        <v>27</v>
      </c>
      <c r="G20595" s="33" t="s">
        <v>20</v>
      </c>
      <c r="H20595" s="35">
        <v>20</v>
      </c>
      <c r="I20595" s="33" t="s">
        <v>21</v>
      </c>
      <c r="J20595" s="42">
        <v>45601</v>
      </c>
      <c r="K20595" s="33" t="s">
        <v>22</v>
      </c>
    </row>
    <row r="20596" spans="1:11">
      <c r="A20596" s="30" t="s">
        <v>45725</v>
      </c>
      <c r="B20596" s="30" t="s">
        <v>45726</v>
      </c>
      <c r="C20596" s="30" t="s">
        <v>3013</v>
      </c>
      <c r="D20596" s="30" t="s">
        <v>17</v>
      </c>
      <c r="E20596" s="30" t="s">
        <v>26</v>
      </c>
      <c r="F20596" s="30" t="s">
        <v>27</v>
      </c>
      <c r="G20596" s="30" t="s">
        <v>20</v>
      </c>
      <c r="H20596" s="32">
        <v>60</v>
      </c>
      <c r="I20596" s="30" t="s">
        <v>21</v>
      </c>
      <c r="J20596" s="41">
        <v>45399</v>
      </c>
      <c r="K20596" s="30" t="s">
        <v>22</v>
      </c>
    </row>
    <row r="20597" spans="1:11">
      <c r="A20597" s="33" t="s">
        <v>45727</v>
      </c>
      <c r="B20597" s="33" t="s">
        <v>45728</v>
      </c>
      <c r="C20597" s="33" t="s">
        <v>715</v>
      </c>
      <c r="D20597" s="33" t="s">
        <v>17</v>
      </c>
      <c r="E20597" s="33" t="s">
        <v>26</v>
      </c>
      <c r="F20597" s="33" t="s">
        <v>27</v>
      </c>
      <c r="G20597" s="33" t="s">
        <v>112</v>
      </c>
      <c r="H20597" s="35">
        <v>0</v>
      </c>
      <c r="I20597" s="33" t="s">
        <v>21</v>
      </c>
      <c r="J20597" s="42">
        <v>45657</v>
      </c>
      <c r="K20597" s="33" t="s">
        <v>22</v>
      </c>
    </row>
    <row r="20598" spans="1:11">
      <c r="A20598" s="30" t="s">
        <v>45729</v>
      </c>
      <c r="B20598" s="30" t="s">
        <v>45730</v>
      </c>
      <c r="C20598" s="30" t="s">
        <v>12112</v>
      </c>
      <c r="D20598" s="30" t="s">
        <v>17</v>
      </c>
      <c r="E20598" s="30" t="s">
        <v>26</v>
      </c>
      <c r="F20598" s="30" t="s">
        <v>27</v>
      </c>
      <c r="G20598" s="30" t="s">
        <v>50</v>
      </c>
      <c r="H20598" s="32">
        <v>66</v>
      </c>
      <c r="I20598" s="30" t="s">
        <v>51</v>
      </c>
      <c r="J20598" s="41">
        <v>45476</v>
      </c>
      <c r="K20598" s="30" t="s">
        <v>22</v>
      </c>
    </row>
    <row r="20599" spans="1:11">
      <c r="A20599" s="33" t="s">
        <v>45731</v>
      </c>
      <c r="B20599" s="33" t="s">
        <v>45732</v>
      </c>
      <c r="C20599" s="33" t="s">
        <v>310</v>
      </c>
      <c r="D20599" s="33" t="s">
        <v>17</v>
      </c>
      <c r="E20599" s="33" t="s">
        <v>26</v>
      </c>
      <c r="F20599" s="33" t="s">
        <v>27</v>
      </c>
      <c r="G20599" s="33" t="s">
        <v>20</v>
      </c>
      <c r="H20599" s="35">
        <v>95</v>
      </c>
      <c r="I20599" s="33" t="s">
        <v>21</v>
      </c>
      <c r="J20599" s="42">
        <v>45558</v>
      </c>
      <c r="K20599" s="33" t="s">
        <v>22</v>
      </c>
    </row>
    <row r="20600" spans="1:11">
      <c r="A20600" s="30" t="s">
        <v>45733</v>
      </c>
      <c r="B20600" s="30" t="s">
        <v>45734</v>
      </c>
      <c r="C20600" s="30" t="s">
        <v>93</v>
      </c>
      <c r="D20600" s="30" t="s">
        <v>17</v>
      </c>
      <c r="E20600" s="30" t="s">
        <v>26</v>
      </c>
      <c r="F20600" s="30" t="s">
        <v>27</v>
      </c>
      <c r="G20600" s="30" t="s">
        <v>20</v>
      </c>
      <c r="H20600" s="32">
        <v>41</v>
      </c>
      <c r="I20600" s="30" t="s">
        <v>21</v>
      </c>
      <c r="J20600" s="41">
        <v>45320</v>
      </c>
      <c r="K20600" s="30" t="s">
        <v>22</v>
      </c>
    </row>
    <row r="20601" spans="1:11">
      <c r="A20601" s="33" t="s">
        <v>45735</v>
      </c>
      <c r="B20601" s="33" t="s">
        <v>45736</v>
      </c>
      <c r="C20601" s="33" t="s">
        <v>39727</v>
      </c>
      <c r="D20601" s="33" t="s">
        <v>17</v>
      </c>
      <c r="E20601" s="33" t="s">
        <v>67</v>
      </c>
      <c r="F20601" s="33" t="s">
        <v>68</v>
      </c>
      <c r="G20601" s="33" t="s">
        <v>158</v>
      </c>
      <c r="H20601" s="35">
        <v>20</v>
      </c>
      <c r="I20601" s="33" t="s">
        <v>51</v>
      </c>
      <c r="J20601" s="42">
        <v>45585</v>
      </c>
      <c r="K20601" s="33" t="s">
        <v>22</v>
      </c>
    </row>
    <row r="20602" spans="1:11">
      <c r="A20602" s="30" t="s">
        <v>45737</v>
      </c>
      <c r="B20602" s="30" t="s">
        <v>45738</v>
      </c>
      <c r="C20602" s="30" t="s">
        <v>45739</v>
      </c>
      <c r="D20602" s="30" t="s">
        <v>17</v>
      </c>
      <c r="E20602" s="30" t="s">
        <v>31</v>
      </c>
      <c r="F20602" s="30" t="s">
        <v>32</v>
      </c>
      <c r="G20602" s="30" t="s">
        <v>20</v>
      </c>
      <c r="H20602" s="32">
        <v>30</v>
      </c>
      <c r="I20602" s="30" t="s">
        <v>21</v>
      </c>
      <c r="J20602" s="41">
        <v>45575</v>
      </c>
      <c r="K20602" s="30" t="s">
        <v>22</v>
      </c>
    </row>
    <row r="20603" spans="1:11">
      <c r="A20603" s="33" t="s">
        <v>45740</v>
      </c>
      <c r="B20603" s="33" t="s">
        <v>45741</v>
      </c>
      <c r="C20603" s="33" t="s">
        <v>5093</v>
      </c>
      <c r="D20603" s="33" t="s">
        <v>17</v>
      </c>
      <c r="E20603" s="33" t="s">
        <v>31</v>
      </c>
      <c r="F20603" s="33" t="s">
        <v>32</v>
      </c>
      <c r="G20603" s="33" t="s">
        <v>20</v>
      </c>
      <c r="H20603" s="35">
        <v>24</v>
      </c>
      <c r="I20603" s="33" t="s">
        <v>21</v>
      </c>
      <c r="J20603" s="42">
        <v>45390</v>
      </c>
      <c r="K20603" s="33" t="s">
        <v>22</v>
      </c>
    </row>
    <row r="20604" spans="1:11">
      <c r="A20604" s="30" t="s">
        <v>45742</v>
      </c>
      <c r="B20604" s="30" t="s">
        <v>45743</v>
      </c>
      <c r="C20604" s="30" t="s">
        <v>157</v>
      </c>
      <c r="D20604" s="30" t="s">
        <v>17</v>
      </c>
      <c r="E20604" s="30" t="s">
        <v>18</v>
      </c>
      <c r="F20604" s="30" t="s">
        <v>19</v>
      </c>
      <c r="G20604" s="30" t="s">
        <v>158</v>
      </c>
      <c r="H20604" s="32">
        <v>2099</v>
      </c>
      <c r="I20604" s="30" t="s">
        <v>21</v>
      </c>
      <c r="J20604" s="41">
        <v>45539</v>
      </c>
      <c r="K20604" s="30" t="s">
        <v>22</v>
      </c>
    </row>
    <row r="20605" spans="1:11">
      <c r="A20605" s="33" t="s">
        <v>45744</v>
      </c>
      <c r="B20605" s="33" t="s">
        <v>45745</v>
      </c>
      <c r="C20605" s="33" t="s">
        <v>29805</v>
      </c>
      <c r="D20605" s="33" t="s">
        <v>17</v>
      </c>
      <c r="E20605" s="33" t="s">
        <v>26</v>
      </c>
      <c r="F20605" s="33" t="s">
        <v>27</v>
      </c>
      <c r="G20605" s="33" t="s">
        <v>20</v>
      </c>
      <c r="H20605" s="35">
        <v>25</v>
      </c>
      <c r="I20605" s="33" t="s">
        <v>21</v>
      </c>
      <c r="J20605" s="42">
        <v>45384</v>
      </c>
      <c r="K20605" s="33" t="s">
        <v>22</v>
      </c>
    </row>
    <row r="20606" spans="1:11">
      <c r="A20606" s="30" t="s">
        <v>45746</v>
      </c>
      <c r="B20606" s="30" t="s">
        <v>45747</v>
      </c>
      <c r="C20606" s="30" t="s">
        <v>45748</v>
      </c>
      <c r="D20606" s="30" t="s">
        <v>17</v>
      </c>
      <c r="E20606" s="30" t="s">
        <v>67</v>
      </c>
      <c r="F20606" s="30" t="s">
        <v>68</v>
      </c>
      <c r="G20606" s="30" t="s">
        <v>140</v>
      </c>
      <c r="H20606" s="32">
        <v>125</v>
      </c>
      <c r="I20606" s="30" t="s">
        <v>51</v>
      </c>
      <c r="J20606" s="41">
        <v>45342</v>
      </c>
      <c r="K20606" s="30" t="s">
        <v>22</v>
      </c>
    </row>
    <row r="20607" spans="1:11">
      <c r="A20607" s="33" t="s">
        <v>45749</v>
      </c>
      <c r="B20607" s="33" t="s">
        <v>45750</v>
      </c>
      <c r="C20607" s="33" t="s">
        <v>136</v>
      </c>
      <c r="D20607" s="33" t="s">
        <v>17</v>
      </c>
      <c r="E20607" s="33" t="s">
        <v>18</v>
      </c>
      <c r="F20607" s="33" t="s">
        <v>19</v>
      </c>
      <c r="G20607" s="33" t="s">
        <v>158</v>
      </c>
      <c r="H20607" s="35">
        <v>1400</v>
      </c>
      <c r="I20607" s="33" t="s">
        <v>51</v>
      </c>
      <c r="J20607" s="42">
        <v>45589</v>
      </c>
      <c r="K20607" s="33" t="s">
        <v>22</v>
      </c>
    </row>
    <row r="20608" spans="1:11">
      <c r="A20608" s="30" t="s">
        <v>45751</v>
      </c>
      <c r="B20608" s="30" t="s">
        <v>45752</v>
      </c>
      <c r="C20608" s="30" t="s">
        <v>23446</v>
      </c>
      <c r="D20608" s="30" t="s">
        <v>17</v>
      </c>
      <c r="E20608" s="30" t="s">
        <v>26</v>
      </c>
      <c r="F20608" s="30" t="s">
        <v>27</v>
      </c>
      <c r="G20608" s="30" t="s">
        <v>20</v>
      </c>
      <c r="H20608" s="32">
        <v>42</v>
      </c>
      <c r="I20608" s="30" t="s">
        <v>21</v>
      </c>
      <c r="J20608" s="41">
        <v>45621</v>
      </c>
      <c r="K20608" s="30" t="s">
        <v>22</v>
      </c>
    </row>
    <row r="20609" spans="1:11">
      <c r="A20609" s="33" t="s">
        <v>45753</v>
      </c>
      <c r="B20609" s="33" t="s">
        <v>45754</v>
      </c>
      <c r="C20609" s="33" t="s">
        <v>75</v>
      </c>
      <c r="D20609" s="33" t="s">
        <v>17</v>
      </c>
      <c r="E20609" s="33" t="s">
        <v>26</v>
      </c>
      <c r="F20609" s="33" t="s">
        <v>27</v>
      </c>
      <c r="G20609" s="33" t="s">
        <v>140</v>
      </c>
      <c r="H20609" s="35">
        <v>240</v>
      </c>
      <c r="I20609" s="33" t="s">
        <v>51</v>
      </c>
      <c r="J20609" s="42">
        <v>45541</v>
      </c>
      <c r="K20609" s="33" t="s">
        <v>22</v>
      </c>
    </row>
    <row r="20610" spans="1:11">
      <c r="A20610" s="30" t="s">
        <v>45755</v>
      </c>
      <c r="B20610" s="30" t="s">
        <v>45756</v>
      </c>
      <c r="C20610" s="30" t="s">
        <v>41436</v>
      </c>
      <c r="D20610" s="30" t="s">
        <v>17</v>
      </c>
      <c r="E20610" s="30" t="s">
        <v>26</v>
      </c>
      <c r="F20610" s="30" t="s">
        <v>27</v>
      </c>
      <c r="G20610" s="30" t="s">
        <v>140</v>
      </c>
      <c r="H20610" s="32">
        <v>24</v>
      </c>
      <c r="I20610" s="30" t="s">
        <v>51</v>
      </c>
      <c r="J20610" s="41">
        <v>45498</v>
      </c>
      <c r="K20610" s="30" t="s">
        <v>22</v>
      </c>
    </row>
    <row r="20611" spans="1:11">
      <c r="A20611" s="33" t="s">
        <v>45757</v>
      </c>
      <c r="B20611" s="33" t="s">
        <v>45758</v>
      </c>
      <c r="C20611" s="33" t="s">
        <v>2472</v>
      </c>
      <c r="D20611" s="33" t="s">
        <v>17</v>
      </c>
      <c r="E20611" s="33" t="s">
        <v>31</v>
      </c>
      <c r="F20611" s="33" t="s">
        <v>32</v>
      </c>
      <c r="G20611" s="33" t="s">
        <v>20</v>
      </c>
      <c r="H20611" s="35">
        <v>932</v>
      </c>
      <c r="I20611" s="33" t="s">
        <v>21</v>
      </c>
      <c r="J20611" s="42">
        <v>45488</v>
      </c>
      <c r="K20611" s="33" t="s">
        <v>22</v>
      </c>
    </row>
    <row r="20612" spans="1:11">
      <c r="A20612" s="30" t="s">
        <v>45759</v>
      </c>
      <c r="B20612" s="30" t="s">
        <v>45760</v>
      </c>
      <c r="C20612" s="30" t="s">
        <v>36095</v>
      </c>
      <c r="D20612" s="30" t="s">
        <v>17</v>
      </c>
      <c r="E20612" s="30" t="s">
        <v>31</v>
      </c>
      <c r="F20612" s="30" t="s">
        <v>32</v>
      </c>
      <c r="G20612" s="30" t="s">
        <v>140</v>
      </c>
      <c r="H20612" s="32">
        <v>100</v>
      </c>
      <c r="I20612" s="30" t="s">
        <v>51</v>
      </c>
      <c r="J20612" s="41">
        <v>45294</v>
      </c>
      <c r="K20612" s="30" t="s">
        <v>22</v>
      </c>
    </row>
    <row r="20613" spans="1:11">
      <c r="A20613" s="33" t="s">
        <v>45761</v>
      </c>
      <c r="B20613" s="33" t="s">
        <v>45762</v>
      </c>
      <c r="C20613" s="33" t="s">
        <v>31562</v>
      </c>
      <c r="D20613" s="33" t="s">
        <v>17</v>
      </c>
      <c r="E20613" s="33" t="s">
        <v>26</v>
      </c>
      <c r="F20613" s="33" t="s">
        <v>27</v>
      </c>
      <c r="G20613" s="33" t="s">
        <v>140</v>
      </c>
      <c r="H20613" s="35">
        <v>450</v>
      </c>
      <c r="I20613" s="33" t="s">
        <v>51</v>
      </c>
      <c r="J20613" s="42">
        <v>45595</v>
      </c>
      <c r="K20613" s="33" t="s">
        <v>22</v>
      </c>
    </row>
    <row r="20614" spans="1:11">
      <c r="A20614" s="30" t="s">
        <v>45763</v>
      </c>
      <c r="B20614" s="30" t="s">
        <v>45764</v>
      </c>
      <c r="C20614" s="30" t="s">
        <v>45765</v>
      </c>
      <c r="D20614" s="30" t="s">
        <v>17</v>
      </c>
      <c r="E20614" s="30" t="s">
        <v>18</v>
      </c>
      <c r="F20614" s="30" t="s">
        <v>19</v>
      </c>
      <c r="G20614" s="30" t="s">
        <v>112</v>
      </c>
      <c r="H20614" s="32">
        <v>0</v>
      </c>
      <c r="I20614" s="30" t="s">
        <v>21</v>
      </c>
      <c r="J20614" s="41">
        <v>45653</v>
      </c>
      <c r="K20614" s="30" t="s">
        <v>22</v>
      </c>
    </row>
    <row r="20615" spans="1:11">
      <c r="A20615" s="33" t="s">
        <v>45766</v>
      </c>
      <c r="B20615" s="33" t="s">
        <v>45767</v>
      </c>
      <c r="C20615" s="33" t="s">
        <v>130</v>
      </c>
      <c r="D20615" s="33" t="s">
        <v>17</v>
      </c>
      <c r="E20615" s="33" t="s">
        <v>18</v>
      </c>
      <c r="F20615" s="33" t="s">
        <v>19</v>
      </c>
      <c r="G20615" s="33" t="s">
        <v>20</v>
      </c>
      <c r="H20615" s="35">
        <v>241</v>
      </c>
      <c r="I20615" s="33" t="s">
        <v>21</v>
      </c>
      <c r="J20615" s="42">
        <v>45408</v>
      </c>
      <c r="K20615" s="33" t="s">
        <v>22</v>
      </c>
    </row>
    <row r="20616" spans="1:11">
      <c r="A20616" s="30" t="s">
        <v>45768</v>
      </c>
      <c r="B20616" s="30" t="s">
        <v>45769</v>
      </c>
      <c r="C20616" s="30" t="s">
        <v>17410</v>
      </c>
      <c r="D20616" s="30" t="s">
        <v>17</v>
      </c>
      <c r="E20616" s="30" t="s">
        <v>26</v>
      </c>
      <c r="F20616" s="30" t="s">
        <v>27</v>
      </c>
      <c r="G20616" s="30" t="s">
        <v>50</v>
      </c>
      <c r="H20616" s="32">
        <v>35</v>
      </c>
      <c r="I20616" s="30" t="s">
        <v>51</v>
      </c>
      <c r="J20616" s="41">
        <v>45412</v>
      </c>
      <c r="K20616" s="30" t="s">
        <v>22</v>
      </c>
    </row>
    <row r="20617" spans="1:11">
      <c r="A20617" s="33" t="s">
        <v>45770</v>
      </c>
      <c r="B20617" s="33" t="s">
        <v>45771</v>
      </c>
      <c r="C20617" s="33" t="s">
        <v>14643</v>
      </c>
      <c r="D20617" s="33" t="s">
        <v>17</v>
      </c>
      <c r="E20617" s="33" t="s">
        <v>67</v>
      </c>
      <c r="F20617" s="33" t="s">
        <v>68</v>
      </c>
      <c r="G20617" s="33" t="s">
        <v>140</v>
      </c>
      <c r="H20617" s="35">
        <v>154</v>
      </c>
      <c r="I20617" s="33" t="s">
        <v>51</v>
      </c>
      <c r="J20617" s="42">
        <v>45344</v>
      </c>
      <c r="K20617" s="33" t="s">
        <v>22</v>
      </c>
    </row>
    <row r="20618" spans="1:11">
      <c r="A20618" s="30" t="s">
        <v>45772</v>
      </c>
      <c r="B20618" s="30" t="s">
        <v>45773</v>
      </c>
      <c r="C20618" s="30" t="s">
        <v>231</v>
      </c>
      <c r="D20618" s="30" t="s">
        <v>17</v>
      </c>
      <c r="E20618" s="30" t="s">
        <v>26</v>
      </c>
      <c r="F20618" s="30" t="s">
        <v>27</v>
      </c>
      <c r="G20618" s="30" t="s">
        <v>20</v>
      </c>
      <c r="H20618" s="32">
        <v>38</v>
      </c>
      <c r="I20618" s="30" t="s">
        <v>21</v>
      </c>
      <c r="J20618" s="41">
        <v>45418</v>
      </c>
      <c r="K20618" s="30" t="s">
        <v>22</v>
      </c>
    </row>
    <row r="20619" spans="1:11">
      <c r="A20619" s="33" t="s">
        <v>45774</v>
      </c>
      <c r="B20619" s="33" t="s">
        <v>45775</v>
      </c>
      <c r="C20619" s="33" t="s">
        <v>15795</v>
      </c>
      <c r="D20619" s="33" t="s">
        <v>17</v>
      </c>
      <c r="E20619" s="33" t="s">
        <v>18</v>
      </c>
      <c r="F20619" s="33" t="s">
        <v>19</v>
      </c>
      <c r="G20619" s="33" t="s">
        <v>20</v>
      </c>
      <c r="H20619" s="35">
        <v>465</v>
      </c>
      <c r="I20619" s="33" t="s">
        <v>21</v>
      </c>
      <c r="J20619" s="42">
        <v>45397</v>
      </c>
      <c r="K20619" s="33" t="s">
        <v>22</v>
      </c>
    </row>
    <row r="20620" spans="1:11">
      <c r="A20620" s="30" t="s">
        <v>45776</v>
      </c>
      <c r="B20620" s="30" t="s">
        <v>45777</v>
      </c>
      <c r="C20620" s="30" t="s">
        <v>136</v>
      </c>
      <c r="D20620" s="30" t="s">
        <v>17</v>
      </c>
      <c r="E20620" s="30" t="s">
        <v>26</v>
      </c>
      <c r="F20620" s="30" t="s">
        <v>27</v>
      </c>
      <c r="G20620" s="30" t="s">
        <v>158</v>
      </c>
      <c r="H20620" s="32">
        <v>750</v>
      </c>
      <c r="I20620" s="30" t="s">
        <v>51</v>
      </c>
      <c r="J20620" s="41">
        <v>45586</v>
      </c>
      <c r="K20620" s="30" t="s">
        <v>22</v>
      </c>
    </row>
    <row r="20621" spans="1:11">
      <c r="A20621" s="33" t="s">
        <v>45778</v>
      </c>
      <c r="B20621" s="33" t="s">
        <v>45779</v>
      </c>
      <c r="C20621" s="33" t="s">
        <v>1598</v>
      </c>
      <c r="D20621" s="33" t="s">
        <v>17</v>
      </c>
      <c r="E20621" s="33" t="s">
        <v>18</v>
      </c>
      <c r="F20621" s="33" t="s">
        <v>19</v>
      </c>
      <c r="G20621" s="33" t="s">
        <v>158</v>
      </c>
      <c r="H20621" s="35">
        <v>464</v>
      </c>
      <c r="I20621" s="33" t="s">
        <v>21</v>
      </c>
      <c r="J20621" s="42">
        <v>45473</v>
      </c>
      <c r="K20621" s="33" t="s">
        <v>22</v>
      </c>
    </row>
    <row r="20622" spans="1:11">
      <c r="A20622" s="30" t="s">
        <v>45780</v>
      </c>
      <c r="B20622" s="30" t="s">
        <v>45781</v>
      </c>
      <c r="C20622" s="30" t="s">
        <v>154</v>
      </c>
      <c r="D20622" s="30" t="s">
        <v>17</v>
      </c>
      <c r="E20622" s="30" t="s">
        <v>26</v>
      </c>
      <c r="F20622" s="30" t="s">
        <v>27</v>
      </c>
      <c r="G20622" s="30" t="s">
        <v>20</v>
      </c>
      <c r="H20622" s="32">
        <v>30</v>
      </c>
      <c r="I20622" s="30" t="s">
        <v>21</v>
      </c>
      <c r="J20622" s="41">
        <v>45523</v>
      </c>
      <c r="K20622" s="30" t="s">
        <v>22</v>
      </c>
    </row>
    <row r="20623" spans="1:11">
      <c r="A20623" s="33" t="s">
        <v>45782</v>
      </c>
      <c r="B20623" s="33" t="s">
        <v>45783</v>
      </c>
      <c r="C20623" s="33" t="s">
        <v>35935</v>
      </c>
      <c r="D20623" s="33" t="s">
        <v>17</v>
      </c>
      <c r="E20623" s="33" t="s">
        <v>18</v>
      </c>
      <c r="F20623" s="33" t="s">
        <v>19</v>
      </c>
      <c r="G20623" s="33" t="s">
        <v>112</v>
      </c>
      <c r="H20623" s="35">
        <v>0</v>
      </c>
      <c r="I20623" s="33" t="s">
        <v>21</v>
      </c>
      <c r="J20623" s="42">
        <v>45307</v>
      </c>
      <c r="K20623" s="33" t="s">
        <v>22</v>
      </c>
    </row>
    <row r="20624" spans="1:11">
      <c r="A20624" s="30" t="s">
        <v>45784</v>
      </c>
      <c r="B20624" s="30" t="s">
        <v>45785</v>
      </c>
      <c r="C20624" s="30" t="s">
        <v>190</v>
      </c>
      <c r="D20624" s="30" t="s">
        <v>17</v>
      </c>
      <c r="E20624" s="30" t="s">
        <v>26</v>
      </c>
      <c r="F20624" s="30" t="s">
        <v>27</v>
      </c>
      <c r="G20624" s="30" t="s">
        <v>20</v>
      </c>
      <c r="H20624" s="32">
        <v>32</v>
      </c>
      <c r="I20624" s="30" t="s">
        <v>21</v>
      </c>
      <c r="J20624" s="41">
        <v>45391</v>
      </c>
      <c r="K20624" s="30" t="s">
        <v>22</v>
      </c>
    </row>
    <row r="20625" spans="1:11">
      <c r="A20625" s="33" t="s">
        <v>45786</v>
      </c>
      <c r="B20625" s="33" t="s">
        <v>45787</v>
      </c>
      <c r="C20625" s="33" t="s">
        <v>29084</v>
      </c>
      <c r="D20625" s="33" t="s">
        <v>17</v>
      </c>
      <c r="E20625" s="33" t="s">
        <v>67</v>
      </c>
      <c r="F20625" s="33" t="s">
        <v>68</v>
      </c>
      <c r="G20625" s="33" t="s">
        <v>20</v>
      </c>
      <c r="H20625" s="35">
        <v>43</v>
      </c>
      <c r="I20625" s="33" t="s">
        <v>21</v>
      </c>
      <c r="J20625" s="42">
        <v>45467</v>
      </c>
      <c r="K20625" s="33" t="s">
        <v>22</v>
      </c>
    </row>
    <row r="20626" spans="1:11">
      <c r="A20626" s="30" t="s">
        <v>45788</v>
      </c>
      <c r="B20626" s="30" t="s">
        <v>45789</v>
      </c>
      <c r="C20626" s="30" t="s">
        <v>96</v>
      </c>
      <c r="D20626" s="30" t="s">
        <v>17</v>
      </c>
      <c r="E20626" s="30" t="s">
        <v>31</v>
      </c>
      <c r="F20626" s="30" t="s">
        <v>32</v>
      </c>
      <c r="G20626" s="30" t="s">
        <v>20</v>
      </c>
      <c r="H20626" s="32">
        <v>263</v>
      </c>
      <c r="I20626" s="30" t="s">
        <v>21</v>
      </c>
      <c r="J20626" s="41">
        <v>45635</v>
      </c>
      <c r="K20626" s="30" t="s">
        <v>22</v>
      </c>
    </row>
    <row r="20627" spans="1:11">
      <c r="A20627" s="33" t="s">
        <v>45790</v>
      </c>
      <c r="B20627" s="33" t="s">
        <v>45791</v>
      </c>
      <c r="C20627" s="33" t="s">
        <v>17285</v>
      </c>
      <c r="D20627" s="33" t="s">
        <v>17</v>
      </c>
      <c r="E20627" s="33" t="s">
        <v>67</v>
      </c>
      <c r="F20627" s="33" t="s">
        <v>68</v>
      </c>
      <c r="G20627" s="33" t="s">
        <v>140</v>
      </c>
      <c r="H20627" s="35">
        <v>407</v>
      </c>
      <c r="I20627" s="33" t="s">
        <v>51</v>
      </c>
      <c r="J20627" s="42">
        <v>45482</v>
      </c>
      <c r="K20627" s="33" t="s">
        <v>22</v>
      </c>
    </row>
    <row r="20628" spans="1:11">
      <c r="A20628" s="30" t="s">
        <v>45792</v>
      </c>
      <c r="B20628" s="30" t="s">
        <v>45793</v>
      </c>
      <c r="C20628" s="30" t="s">
        <v>231</v>
      </c>
      <c r="D20628" s="30" t="s">
        <v>17</v>
      </c>
      <c r="E20628" s="30" t="s">
        <v>26</v>
      </c>
      <c r="F20628" s="30" t="s">
        <v>27</v>
      </c>
      <c r="G20628" s="30" t="s">
        <v>20</v>
      </c>
      <c r="H20628" s="32">
        <v>15</v>
      </c>
      <c r="I20628" s="30" t="s">
        <v>21</v>
      </c>
      <c r="J20628" s="41">
        <v>45609</v>
      </c>
      <c r="K20628" s="30" t="s">
        <v>22</v>
      </c>
    </row>
    <row r="20629" spans="1:11">
      <c r="A20629" s="33" t="s">
        <v>45794</v>
      </c>
      <c r="B20629" s="33" t="s">
        <v>45795</v>
      </c>
      <c r="C20629" s="33" t="s">
        <v>4064</v>
      </c>
      <c r="D20629" s="33" t="s">
        <v>17</v>
      </c>
      <c r="E20629" s="33" t="s">
        <v>18</v>
      </c>
      <c r="F20629" s="33" t="s">
        <v>19</v>
      </c>
      <c r="G20629" s="33" t="s">
        <v>158</v>
      </c>
      <c r="H20629" s="35">
        <v>344</v>
      </c>
      <c r="I20629" s="33" t="s">
        <v>21</v>
      </c>
      <c r="J20629" s="42">
        <v>45320</v>
      </c>
      <c r="K20629" s="33" t="s">
        <v>22</v>
      </c>
    </row>
    <row r="20630" spans="1:11">
      <c r="A20630" s="30" t="s">
        <v>45796</v>
      </c>
      <c r="B20630" s="30" t="s">
        <v>45797</v>
      </c>
      <c r="C20630" s="30" t="s">
        <v>3641</v>
      </c>
      <c r="D20630" s="30" t="s">
        <v>17</v>
      </c>
      <c r="E20630" s="30" t="s">
        <v>18</v>
      </c>
      <c r="F20630" s="30" t="s">
        <v>19</v>
      </c>
      <c r="G20630" s="30" t="s">
        <v>140</v>
      </c>
      <c r="H20630" s="32">
        <v>600</v>
      </c>
      <c r="I20630" s="30" t="s">
        <v>51</v>
      </c>
      <c r="J20630" s="41">
        <v>45446</v>
      </c>
      <c r="K20630" s="30" t="s">
        <v>22</v>
      </c>
    </row>
    <row r="20631" spans="1:11">
      <c r="A20631" s="33" t="s">
        <v>45798</v>
      </c>
      <c r="B20631" s="33" t="s">
        <v>45799</v>
      </c>
      <c r="C20631" s="33" t="s">
        <v>6470</v>
      </c>
      <c r="D20631" s="33" t="s">
        <v>17</v>
      </c>
      <c r="E20631" s="33" t="s">
        <v>26</v>
      </c>
      <c r="F20631" s="33" t="s">
        <v>27</v>
      </c>
      <c r="G20631" s="33" t="s">
        <v>20</v>
      </c>
      <c r="H20631" s="35">
        <v>78</v>
      </c>
      <c r="I20631" s="33" t="s">
        <v>21</v>
      </c>
      <c r="J20631" s="42">
        <v>45566</v>
      </c>
      <c r="K20631" s="33" t="s">
        <v>22</v>
      </c>
    </row>
    <row r="20632" spans="1:11">
      <c r="A20632" s="30" t="s">
        <v>45800</v>
      </c>
      <c r="B20632" s="30" t="s">
        <v>45801</v>
      </c>
      <c r="C20632" s="30" t="s">
        <v>1391</v>
      </c>
      <c r="D20632" s="30" t="s">
        <v>17</v>
      </c>
      <c r="E20632" s="30" t="s">
        <v>212</v>
      </c>
      <c r="F20632" s="30" t="s">
        <v>213</v>
      </c>
      <c r="G20632" s="30" t="s">
        <v>20</v>
      </c>
      <c r="H20632" s="32">
        <v>660</v>
      </c>
      <c r="I20632" s="30" t="s">
        <v>21</v>
      </c>
      <c r="J20632" s="41">
        <v>45554</v>
      </c>
      <c r="K20632" s="30" t="s">
        <v>22</v>
      </c>
    </row>
    <row r="20633" spans="1:11">
      <c r="A20633" s="33" t="s">
        <v>45802</v>
      </c>
      <c r="B20633" s="33" t="s">
        <v>45803</v>
      </c>
      <c r="C20633" s="33" t="s">
        <v>31578</v>
      </c>
      <c r="D20633" s="33" t="s">
        <v>17</v>
      </c>
      <c r="E20633" s="33" t="s">
        <v>31</v>
      </c>
      <c r="F20633" s="33" t="s">
        <v>32</v>
      </c>
      <c r="G20633" s="33" t="s">
        <v>20</v>
      </c>
      <c r="H20633" s="35">
        <v>165</v>
      </c>
      <c r="I20633" s="33" t="s">
        <v>21</v>
      </c>
      <c r="J20633" s="42">
        <v>45328</v>
      </c>
      <c r="K20633" s="33" t="s">
        <v>22</v>
      </c>
    </row>
    <row r="20634" spans="1:11">
      <c r="A20634" s="30" t="s">
        <v>45804</v>
      </c>
      <c r="B20634" s="30" t="s">
        <v>45805</v>
      </c>
      <c r="C20634" s="30" t="s">
        <v>26988</v>
      </c>
      <c r="D20634" s="30" t="s">
        <v>17</v>
      </c>
      <c r="E20634" s="30" t="s">
        <v>26</v>
      </c>
      <c r="F20634" s="30" t="s">
        <v>27</v>
      </c>
      <c r="G20634" s="30" t="s">
        <v>140</v>
      </c>
      <c r="H20634" s="32">
        <v>70</v>
      </c>
      <c r="I20634" s="30" t="s">
        <v>51</v>
      </c>
      <c r="J20634" s="41">
        <v>45506</v>
      </c>
      <c r="K20634" s="30" t="s">
        <v>22</v>
      </c>
    </row>
    <row r="20635" spans="1:11">
      <c r="A20635" s="33" t="s">
        <v>45806</v>
      </c>
      <c r="B20635" s="33" t="s">
        <v>45807</v>
      </c>
      <c r="C20635" s="33" t="s">
        <v>45808</v>
      </c>
      <c r="D20635" s="33" t="s">
        <v>17</v>
      </c>
      <c r="E20635" s="33" t="s">
        <v>67</v>
      </c>
      <c r="F20635" s="33" t="s">
        <v>68</v>
      </c>
      <c r="G20635" s="33" t="s">
        <v>106</v>
      </c>
      <c r="H20635" s="35">
        <v>19</v>
      </c>
      <c r="I20635" s="33" t="s">
        <v>21</v>
      </c>
      <c r="J20635" s="42">
        <v>45457</v>
      </c>
      <c r="K20635" s="33" t="s">
        <v>22</v>
      </c>
    </row>
    <row r="20636" spans="1:11">
      <c r="A20636" s="30" t="s">
        <v>45809</v>
      </c>
      <c r="B20636" s="30" t="s">
        <v>45810</v>
      </c>
      <c r="C20636" s="30" t="s">
        <v>21232</v>
      </c>
      <c r="D20636" s="30" t="s">
        <v>17</v>
      </c>
      <c r="E20636" s="30" t="s">
        <v>18</v>
      </c>
      <c r="F20636" s="30" t="s">
        <v>19</v>
      </c>
      <c r="G20636" s="30" t="s">
        <v>158</v>
      </c>
      <c r="H20636" s="32">
        <v>960</v>
      </c>
      <c r="I20636" s="30" t="s">
        <v>51</v>
      </c>
      <c r="J20636" s="41">
        <v>45580</v>
      </c>
      <c r="K20636" s="30" t="s">
        <v>22</v>
      </c>
    </row>
    <row r="20637" spans="1:11">
      <c r="A20637" s="33" t="s">
        <v>45811</v>
      </c>
      <c r="B20637" s="33" t="s">
        <v>45812</v>
      </c>
      <c r="C20637" s="33" t="s">
        <v>45813</v>
      </c>
      <c r="D20637" s="33" t="s">
        <v>17</v>
      </c>
      <c r="E20637" s="33" t="s">
        <v>26</v>
      </c>
      <c r="F20637" s="33" t="s">
        <v>27</v>
      </c>
      <c r="G20637" s="33" t="s">
        <v>20</v>
      </c>
      <c r="H20637" s="35">
        <v>48</v>
      </c>
      <c r="I20637" s="33" t="s">
        <v>21</v>
      </c>
      <c r="J20637" s="42">
        <v>45429</v>
      </c>
      <c r="K20637" s="33" t="s">
        <v>22</v>
      </c>
    </row>
    <row r="20638" spans="1:11">
      <c r="A20638" s="30" t="s">
        <v>45814</v>
      </c>
      <c r="B20638" s="30" t="s">
        <v>45815</v>
      </c>
      <c r="C20638" s="30" t="s">
        <v>11915</v>
      </c>
      <c r="D20638" s="30" t="s">
        <v>17</v>
      </c>
      <c r="E20638" s="30" t="s">
        <v>212</v>
      </c>
      <c r="F20638" s="30" t="s">
        <v>213</v>
      </c>
      <c r="G20638" s="30" t="s">
        <v>140</v>
      </c>
      <c r="H20638" s="32">
        <v>30</v>
      </c>
      <c r="I20638" s="30" t="s">
        <v>51</v>
      </c>
      <c r="J20638" s="41">
        <v>45484</v>
      </c>
      <c r="K20638" s="30" t="s">
        <v>22</v>
      </c>
    </row>
    <row r="20639" spans="1:11">
      <c r="A20639" s="33" t="s">
        <v>45816</v>
      </c>
      <c r="B20639" s="33" t="s">
        <v>45817</v>
      </c>
      <c r="C20639" s="33" t="s">
        <v>549</v>
      </c>
      <c r="D20639" s="33" t="s">
        <v>17</v>
      </c>
      <c r="E20639" s="33" t="s">
        <v>26</v>
      </c>
      <c r="F20639" s="33" t="s">
        <v>27</v>
      </c>
      <c r="G20639" s="33" t="s">
        <v>20</v>
      </c>
      <c r="H20639" s="35">
        <v>32</v>
      </c>
      <c r="I20639" s="33" t="s">
        <v>21</v>
      </c>
      <c r="J20639" s="42">
        <v>45632</v>
      </c>
      <c r="K20639" s="33" t="s">
        <v>22</v>
      </c>
    </row>
    <row r="20640" spans="1:11">
      <c r="A20640" s="30" t="s">
        <v>45818</v>
      </c>
      <c r="B20640" s="30" t="s">
        <v>45819</v>
      </c>
      <c r="C20640" s="30" t="s">
        <v>96</v>
      </c>
      <c r="D20640" s="30" t="s">
        <v>17</v>
      </c>
      <c r="E20640" s="30" t="s">
        <v>26</v>
      </c>
      <c r="F20640" s="30" t="s">
        <v>27</v>
      </c>
      <c r="G20640" s="30" t="s">
        <v>158</v>
      </c>
      <c r="H20640" s="32">
        <v>71</v>
      </c>
      <c r="I20640" s="30" t="s">
        <v>21</v>
      </c>
      <c r="J20640" s="41">
        <v>45623</v>
      </c>
      <c r="K20640" s="30" t="s">
        <v>22</v>
      </c>
    </row>
    <row r="20641" spans="1:11">
      <c r="A20641" s="33" t="s">
        <v>45820</v>
      </c>
      <c r="B20641" s="33" t="s">
        <v>45821</v>
      </c>
      <c r="C20641" s="33" t="s">
        <v>1764</v>
      </c>
      <c r="D20641" s="33" t="s">
        <v>17</v>
      </c>
      <c r="E20641" s="33" t="s">
        <v>18</v>
      </c>
      <c r="F20641" s="33" t="s">
        <v>19</v>
      </c>
      <c r="G20641" s="33" t="s">
        <v>20</v>
      </c>
      <c r="H20641" s="35">
        <v>86</v>
      </c>
      <c r="I20641" s="33" t="s">
        <v>21</v>
      </c>
      <c r="J20641" s="42">
        <v>45397</v>
      </c>
      <c r="K20641" s="33" t="s">
        <v>22</v>
      </c>
    </row>
    <row r="20642" spans="1:11">
      <c r="A20642" s="30" t="s">
        <v>45822</v>
      </c>
      <c r="B20642" s="30" t="s">
        <v>45823</v>
      </c>
      <c r="C20642" s="30" t="s">
        <v>96</v>
      </c>
      <c r="D20642" s="30" t="s">
        <v>17</v>
      </c>
      <c r="E20642" s="30" t="s">
        <v>18</v>
      </c>
      <c r="F20642" s="30" t="s">
        <v>19</v>
      </c>
      <c r="G20642" s="30" t="s">
        <v>158</v>
      </c>
      <c r="H20642" s="32">
        <v>600</v>
      </c>
      <c r="I20642" s="30" t="s">
        <v>51</v>
      </c>
      <c r="J20642" s="41">
        <v>45586</v>
      </c>
      <c r="K20642" s="30" t="s">
        <v>22</v>
      </c>
    </row>
    <row r="20643" spans="1:11">
      <c r="A20643" s="33" t="s">
        <v>45824</v>
      </c>
      <c r="B20643" s="33" t="s">
        <v>45825</v>
      </c>
      <c r="C20643" s="33" t="s">
        <v>3296</v>
      </c>
      <c r="D20643" s="33" t="s">
        <v>17</v>
      </c>
      <c r="E20643" s="33" t="s">
        <v>67</v>
      </c>
      <c r="F20643" s="33" t="s">
        <v>68</v>
      </c>
      <c r="G20643" s="33" t="s">
        <v>140</v>
      </c>
      <c r="H20643" s="35">
        <v>125</v>
      </c>
      <c r="I20643" s="33" t="s">
        <v>51</v>
      </c>
      <c r="J20643" s="42">
        <v>45400</v>
      </c>
      <c r="K20643" s="33" t="s">
        <v>22</v>
      </c>
    </row>
    <row r="20644" spans="1:11">
      <c r="A20644" s="30" t="s">
        <v>45826</v>
      </c>
      <c r="B20644" s="30" t="s">
        <v>45827</v>
      </c>
      <c r="C20644" s="30" t="s">
        <v>34100</v>
      </c>
      <c r="D20644" s="30" t="s">
        <v>17</v>
      </c>
      <c r="E20644" s="30" t="s">
        <v>67</v>
      </c>
      <c r="F20644" s="30" t="s">
        <v>68</v>
      </c>
      <c r="G20644" s="30" t="s">
        <v>140</v>
      </c>
      <c r="H20644" s="32">
        <v>21</v>
      </c>
      <c r="I20644" s="30" t="s">
        <v>51</v>
      </c>
      <c r="J20644" s="41">
        <v>45422</v>
      </c>
      <c r="K20644" s="30" t="s">
        <v>22</v>
      </c>
    </row>
    <row r="20645" spans="1:11">
      <c r="A20645" s="33" t="s">
        <v>45828</v>
      </c>
      <c r="B20645" s="33" t="s">
        <v>45829</v>
      </c>
      <c r="C20645" s="33" t="s">
        <v>25</v>
      </c>
      <c r="D20645" s="33" t="s">
        <v>17</v>
      </c>
      <c r="E20645" s="33" t="s">
        <v>18</v>
      </c>
      <c r="F20645" s="33" t="s">
        <v>19</v>
      </c>
      <c r="G20645" s="33" t="s">
        <v>158</v>
      </c>
      <c r="H20645" s="35">
        <v>102</v>
      </c>
      <c r="I20645" s="33" t="s">
        <v>21</v>
      </c>
      <c r="J20645" s="42">
        <v>45489</v>
      </c>
      <c r="K20645" s="33" t="s">
        <v>22</v>
      </c>
    </row>
    <row r="20646" spans="1:11">
      <c r="A20646" s="30" t="s">
        <v>45830</v>
      </c>
      <c r="B20646" s="30" t="s">
        <v>45831</v>
      </c>
      <c r="C20646" s="30" t="s">
        <v>252</v>
      </c>
      <c r="D20646" s="30" t="s">
        <v>17</v>
      </c>
      <c r="E20646" s="30" t="s">
        <v>26</v>
      </c>
      <c r="F20646" s="30" t="s">
        <v>27</v>
      </c>
      <c r="G20646" s="30" t="s">
        <v>7780</v>
      </c>
      <c r="H20646" s="32">
        <v>87</v>
      </c>
      <c r="I20646" s="30" t="s">
        <v>51</v>
      </c>
      <c r="J20646" s="41">
        <v>45627</v>
      </c>
      <c r="K20646" s="30" t="s">
        <v>22</v>
      </c>
    </row>
    <row r="20647" spans="1:11">
      <c r="A20647" s="33" t="s">
        <v>45832</v>
      </c>
      <c r="B20647" s="33" t="s">
        <v>45833</v>
      </c>
      <c r="C20647" s="33" t="s">
        <v>45834</v>
      </c>
      <c r="D20647" s="33" t="s">
        <v>17</v>
      </c>
      <c r="E20647" s="33" t="s">
        <v>67</v>
      </c>
      <c r="F20647" s="33" t="s">
        <v>68</v>
      </c>
      <c r="G20647" s="33" t="s">
        <v>140</v>
      </c>
      <c r="H20647" s="35">
        <v>100</v>
      </c>
      <c r="I20647" s="33" t="s">
        <v>51</v>
      </c>
      <c r="J20647" s="42">
        <v>45656</v>
      </c>
      <c r="K20647" s="33" t="s">
        <v>22</v>
      </c>
    </row>
    <row r="20648" spans="1:11">
      <c r="A20648" s="30" t="s">
        <v>45835</v>
      </c>
      <c r="B20648" s="30" t="s">
        <v>45836</v>
      </c>
      <c r="C20648" s="30" t="s">
        <v>45837</v>
      </c>
      <c r="D20648" s="30" t="s">
        <v>17</v>
      </c>
      <c r="E20648" s="30" t="s">
        <v>67</v>
      </c>
      <c r="F20648" s="30" t="s">
        <v>68</v>
      </c>
      <c r="G20648" s="30" t="s">
        <v>112</v>
      </c>
      <c r="H20648" s="32">
        <v>0</v>
      </c>
      <c r="I20648" s="30" t="s">
        <v>21</v>
      </c>
      <c r="J20648" s="41">
        <v>45323</v>
      </c>
      <c r="K20648" s="30" t="s">
        <v>22</v>
      </c>
    </row>
    <row r="20649" spans="1:11">
      <c r="A20649" s="33" t="s">
        <v>45838</v>
      </c>
      <c r="B20649" s="33" t="s">
        <v>45839</v>
      </c>
      <c r="C20649" s="33" t="s">
        <v>653</v>
      </c>
      <c r="D20649" s="33" t="s">
        <v>17</v>
      </c>
      <c r="E20649" s="33" t="s">
        <v>31</v>
      </c>
      <c r="F20649" s="33" t="s">
        <v>32</v>
      </c>
      <c r="G20649" s="33" t="s">
        <v>20</v>
      </c>
      <c r="H20649" s="35">
        <v>40</v>
      </c>
      <c r="I20649" s="33" t="s">
        <v>21</v>
      </c>
      <c r="J20649" s="42">
        <v>45432</v>
      </c>
      <c r="K20649" s="33" t="s">
        <v>22</v>
      </c>
    </row>
    <row r="20650" spans="1:11">
      <c r="A20650" s="30" t="s">
        <v>45840</v>
      </c>
      <c r="B20650" s="30" t="s">
        <v>45841</v>
      </c>
      <c r="C20650" s="30" t="s">
        <v>16448</v>
      </c>
      <c r="D20650" s="30" t="s">
        <v>17</v>
      </c>
      <c r="E20650" s="30" t="s">
        <v>26</v>
      </c>
      <c r="F20650" s="30" t="s">
        <v>27</v>
      </c>
      <c r="G20650" s="30" t="s">
        <v>20</v>
      </c>
      <c r="H20650" s="32">
        <v>11</v>
      </c>
      <c r="I20650" s="30" t="s">
        <v>21</v>
      </c>
      <c r="J20650" s="41">
        <v>45334</v>
      </c>
      <c r="K20650" s="30" t="s">
        <v>22</v>
      </c>
    </row>
    <row r="20651" spans="1:11">
      <c r="A20651" s="33" t="s">
        <v>45842</v>
      </c>
      <c r="B20651" s="33" t="s">
        <v>45843</v>
      </c>
      <c r="C20651" s="33" t="s">
        <v>45844</v>
      </c>
      <c r="D20651" s="33" t="s">
        <v>17</v>
      </c>
      <c r="E20651" s="33" t="s">
        <v>18</v>
      </c>
      <c r="F20651" s="33" t="s">
        <v>19</v>
      </c>
      <c r="G20651" s="33" t="s">
        <v>140</v>
      </c>
      <c r="H20651" s="35">
        <v>472</v>
      </c>
      <c r="I20651" s="33" t="s">
        <v>51</v>
      </c>
      <c r="J20651" s="42">
        <v>45366</v>
      </c>
      <c r="K20651" s="33" t="s">
        <v>22</v>
      </c>
    </row>
    <row r="20652" spans="1:11">
      <c r="A20652" s="30" t="s">
        <v>45845</v>
      </c>
      <c r="B20652" s="30" t="s">
        <v>45846</v>
      </c>
      <c r="C20652" s="30" t="s">
        <v>231</v>
      </c>
      <c r="D20652" s="30" t="s">
        <v>17</v>
      </c>
      <c r="E20652" s="30" t="s">
        <v>31</v>
      </c>
      <c r="F20652" s="30" t="s">
        <v>32</v>
      </c>
      <c r="G20652" s="30" t="s">
        <v>20</v>
      </c>
      <c r="H20652" s="32">
        <v>243</v>
      </c>
      <c r="I20652" s="30" t="s">
        <v>21</v>
      </c>
      <c r="J20652" s="41">
        <v>45378</v>
      </c>
      <c r="K20652" s="30" t="s">
        <v>22</v>
      </c>
    </row>
    <row r="20653" spans="1:11">
      <c r="A20653" s="33" t="s">
        <v>45847</v>
      </c>
      <c r="B20653" s="33" t="s">
        <v>45848</v>
      </c>
      <c r="C20653" s="33" t="s">
        <v>1428</v>
      </c>
      <c r="D20653" s="33" t="s">
        <v>17</v>
      </c>
      <c r="E20653" s="33" t="s">
        <v>67</v>
      </c>
      <c r="F20653" s="33" t="s">
        <v>68</v>
      </c>
      <c r="G20653" s="33" t="s">
        <v>7780</v>
      </c>
      <c r="H20653" s="35">
        <v>515</v>
      </c>
      <c r="I20653" s="33" t="s">
        <v>51</v>
      </c>
      <c r="J20653" s="42">
        <v>45412</v>
      </c>
      <c r="K20653" s="33" t="s">
        <v>22</v>
      </c>
    </row>
    <row r="20654" spans="1:11">
      <c r="A20654" s="30" t="s">
        <v>45849</v>
      </c>
      <c r="B20654" s="30" t="s">
        <v>45850</v>
      </c>
      <c r="C20654" s="30" t="s">
        <v>124</v>
      </c>
      <c r="D20654" s="30" t="s">
        <v>17</v>
      </c>
      <c r="E20654" s="30" t="s">
        <v>18</v>
      </c>
      <c r="F20654" s="30" t="s">
        <v>19</v>
      </c>
      <c r="G20654" s="30" t="s">
        <v>7780</v>
      </c>
      <c r="H20654" s="32">
        <v>408</v>
      </c>
      <c r="I20654" s="30" t="s">
        <v>51</v>
      </c>
      <c r="J20654" s="41">
        <v>45442</v>
      </c>
      <c r="K20654" s="30" t="s">
        <v>22</v>
      </c>
    </row>
    <row r="20655" spans="1:11">
      <c r="A20655" s="33" t="s">
        <v>45851</v>
      </c>
      <c r="B20655" s="33" t="s">
        <v>45852</v>
      </c>
      <c r="C20655" s="33" t="s">
        <v>32002</v>
      </c>
      <c r="D20655" s="33" t="s">
        <v>17</v>
      </c>
      <c r="E20655" s="33" t="s">
        <v>67</v>
      </c>
      <c r="F20655" s="33" t="s">
        <v>68</v>
      </c>
      <c r="G20655" s="33" t="s">
        <v>140</v>
      </c>
      <c r="H20655" s="35">
        <v>33</v>
      </c>
      <c r="I20655" s="33" t="s">
        <v>51</v>
      </c>
      <c r="J20655" s="42">
        <v>45609</v>
      </c>
      <c r="K20655" s="33" t="s">
        <v>22</v>
      </c>
    </row>
    <row r="20656" spans="1:11">
      <c r="A20656" s="30" t="s">
        <v>45853</v>
      </c>
      <c r="B20656" s="30" t="s">
        <v>45854</v>
      </c>
      <c r="C20656" s="30" t="s">
        <v>45855</v>
      </c>
      <c r="D20656" s="30" t="s">
        <v>17</v>
      </c>
      <c r="E20656" s="30" t="s">
        <v>31</v>
      </c>
      <c r="F20656" s="30" t="s">
        <v>32</v>
      </c>
      <c r="G20656" s="30" t="s">
        <v>158</v>
      </c>
      <c r="H20656" s="32">
        <v>135</v>
      </c>
      <c r="I20656" s="30" t="s">
        <v>21</v>
      </c>
      <c r="J20656" s="41">
        <v>45594</v>
      </c>
      <c r="K20656" s="30" t="s">
        <v>22</v>
      </c>
    </row>
    <row r="20657" spans="1:11">
      <c r="A20657" s="33" t="s">
        <v>45856</v>
      </c>
      <c r="B20657" s="33" t="s">
        <v>45857</v>
      </c>
      <c r="C20657" s="33" t="s">
        <v>41086</v>
      </c>
      <c r="D20657" s="33" t="s">
        <v>17</v>
      </c>
      <c r="E20657" s="33" t="s">
        <v>31</v>
      </c>
      <c r="F20657" s="33" t="s">
        <v>32</v>
      </c>
      <c r="G20657" s="33" t="s">
        <v>20</v>
      </c>
      <c r="H20657" s="35">
        <v>240</v>
      </c>
      <c r="I20657" s="33" t="s">
        <v>21</v>
      </c>
      <c r="J20657" s="42">
        <v>45517</v>
      </c>
      <c r="K20657" s="33" t="s">
        <v>22</v>
      </c>
    </row>
    <row r="20658" spans="1:11">
      <c r="A20658" s="30" t="s">
        <v>45858</v>
      </c>
      <c r="B20658" s="30" t="s">
        <v>45859</v>
      </c>
      <c r="C20658" s="30" t="s">
        <v>969</v>
      </c>
      <c r="D20658" s="30" t="s">
        <v>17</v>
      </c>
      <c r="E20658" s="30" t="s">
        <v>18</v>
      </c>
      <c r="F20658" s="30" t="s">
        <v>19</v>
      </c>
      <c r="G20658" s="30" t="s">
        <v>140</v>
      </c>
      <c r="H20658" s="32">
        <v>300</v>
      </c>
      <c r="I20658" s="30" t="s">
        <v>51</v>
      </c>
      <c r="J20658" s="41">
        <v>45609</v>
      </c>
      <c r="K20658" s="30" t="s">
        <v>22</v>
      </c>
    </row>
    <row r="20659" spans="1:11">
      <c r="A20659" s="33" t="s">
        <v>45860</v>
      </c>
      <c r="B20659" s="33" t="s">
        <v>45861</v>
      </c>
      <c r="C20659" s="33" t="s">
        <v>2807</v>
      </c>
      <c r="D20659" s="33" t="s">
        <v>17</v>
      </c>
      <c r="E20659" s="33" t="s">
        <v>18</v>
      </c>
      <c r="F20659" s="33" t="s">
        <v>19</v>
      </c>
      <c r="G20659" s="33" t="s">
        <v>158</v>
      </c>
      <c r="H20659" s="35">
        <v>23</v>
      </c>
      <c r="I20659" s="33" t="s">
        <v>51</v>
      </c>
      <c r="J20659" s="42">
        <v>45501</v>
      </c>
      <c r="K20659" s="33" t="s">
        <v>22</v>
      </c>
    </row>
    <row r="20660" spans="1:11">
      <c r="A20660" s="30" t="s">
        <v>45862</v>
      </c>
      <c r="B20660" s="30" t="s">
        <v>45863</v>
      </c>
      <c r="C20660" s="30" t="s">
        <v>11332</v>
      </c>
      <c r="D20660" s="30" t="s">
        <v>17</v>
      </c>
      <c r="E20660" s="30" t="s">
        <v>18</v>
      </c>
      <c r="F20660" s="30" t="s">
        <v>19</v>
      </c>
      <c r="G20660" s="30" t="s">
        <v>158</v>
      </c>
      <c r="H20660" s="32">
        <v>20</v>
      </c>
      <c r="I20660" s="30" t="s">
        <v>21</v>
      </c>
      <c r="J20660" s="41">
        <v>45572</v>
      </c>
      <c r="K20660" s="30" t="s">
        <v>22</v>
      </c>
    </row>
    <row r="20661" spans="1:11">
      <c r="A20661" s="33" t="s">
        <v>45864</v>
      </c>
      <c r="B20661" s="33" t="s">
        <v>45865</v>
      </c>
      <c r="C20661" s="33" t="s">
        <v>27241</v>
      </c>
      <c r="D20661" s="33" t="s">
        <v>17</v>
      </c>
      <c r="E20661" s="33" t="s">
        <v>31</v>
      </c>
      <c r="F20661" s="33" t="s">
        <v>32</v>
      </c>
      <c r="G20661" s="33" t="s">
        <v>20</v>
      </c>
      <c r="H20661" s="35">
        <v>44</v>
      </c>
      <c r="I20661" s="33" t="s">
        <v>21</v>
      </c>
      <c r="J20661" s="42">
        <v>45475</v>
      </c>
      <c r="K20661" s="33" t="s">
        <v>22</v>
      </c>
    </row>
    <row r="20662" spans="1:11">
      <c r="A20662" s="30" t="s">
        <v>45866</v>
      </c>
      <c r="B20662" s="30" t="s">
        <v>45867</v>
      </c>
      <c r="C20662" s="30" t="s">
        <v>102</v>
      </c>
      <c r="D20662" s="30" t="s">
        <v>17</v>
      </c>
      <c r="E20662" s="30" t="s">
        <v>26</v>
      </c>
      <c r="F20662" s="30" t="s">
        <v>27</v>
      </c>
      <c r="G20662" s="30" t="s">
        <v>158</v>
      </c>
      <c r="H20662" s="32">
        <v>17</v>
      </c>
      <c r="I20662" s="30" t="s">
        <v>21</v>
      </c>
      <c r="J20662" s="41">
        <v>45645</v>
      </c>
      <c r="K20662" s="30" t="s">
        <v>22</v>
      </c>
    </row>
    <row r="20663" spans="1:11">
      <c r="A20663" s="33" t="s">
        <v>45868</v>
      </c>
      <c r="B20663" s="33" t="s">
        <v>45869</v>
      </c>
      <c r="C20663" s="33" t="s">
        <v>157</v>
      </c>
      <c r="D20663" s="33" t="s">
        <v>17</v>
      </c>
      <c r="E20663" s="33" t="s">
        <v>26</v>
      </c>
      <c r="F20663" s="33" t="s">
        <v>27</v>
      </c>
      <c r="G20663" s="33" t="s">
        <v>20</v>
      </c>
      <c r="H20663" s="35">
        <v>20</v>
      </c>
      <c r="I20663" s="33" t="s">
        <v>21</v>
      </c>
      <c r="J20663" s="42">
        <v>45380</v>
      </c>
      <c r="K20663" s="33" t="s">
        <v>22</v>
      </c>
    </row>
    <row r="20664" spans="1:11">
      <c r="A20664" s="30" t="s">
        <v>45870</v>
      </c>
      <c r="B20664" s="30" t="s">
        <v>45871</v>
      </c>
      <c r="C20664" s="30" t="s">
        <v>41393</v>
      </c>
      <c r="D20664" s="30" t="s">
        <v>17</v>
      </c>
      <c r="E20664" s="30" t="s">
        <v>330</v>
      </c>
      <c r="F20664" s="30" t="s">
        <v>331</v>
      </c>
      <c r="G20664" s="30" t="s">
        <v>69</v>
      </c>
      <c r="H20664" s="32">
        <v>30</v>
      </c>
      <c r="I20664" s="30" t="s">
        <v>51</v>
      </c>
      <c r="J20664" s="41">
        <v>45588</v>
      </c>
      <c r="K20664" s="30" t="s">
        <v>22</v>
      </c>
    </row>
    <row r="20665" spans="1:11">
      <c r="A20665" s="33" t="s">
        <v>45872</v>
      </c>
      <c r="B20665" s="33" t="s">
        <v>45873</v>
      </c>
      <c r="C20665" s="33" t="s">
        <v>23475</v>
      </c>
      <c r="D20665" s="33" t="s">
        <v>17</v>
      </c>
      <c r="E20665" s="33" t="s">
        <v>67</v>
      </c>
      <c r="F20665" s="33" t="s">
        <v>68</v>
      </c>
      <c r="G20665" s="33" t="s">
        <v>140</v>
      </c>
      <c r="H20665" s="35">
        <v>306</v>
      </c>
      <c r="I20665" s="33" t="s">
        <v>51</v>
      </c>
      <c r="J20665" s="42">
        <v>45302</v>
      </c>
      <c r="K20665" s="33" t="s">
        <v>22</v>
      </c>
    </row>
    <row r="20666" spans="1:11">
      <c r="A20666" s="30" t="s">
        <v>45874</v>
      </c>
      <c r="B20666" s="30" t="s">
        <v>45875</v>
      </c>
      <c r="C20666" s="30" t="s">
        <v>10745</v>
      </c>
      <c r="D20666" s="30" t="s">
        <v>17</v>
      </c>
      <c r="E20666" s="30" t="s">
        <v>26</v>
      </c>
      <c r="F20666" s="30" t="s">
        <v>27</v>
      </c>
      <c r="G20666" s="30" t="s">
        <v>140</v>
      </c>
      <c r="H20666" s="32">
        <v>12</v>
      </c>
      <c r="I20666" s="30" t="s">
        <v>51</v>
      </c>
      <c r="J20666" s="41">
        <v>45567</v>
      </c>
      <c r="K20666" s="30" t="s">
        <v>22</v>
      </c>
    </row>
    <row r="20667" spans="1:11">
      <c r="A20667" s="33" t="s">
        <v>45876</v>
      </c>
      <c r="B20667" s="33" t="s">
        <v>45877</v>
      </c>
      <c r="C20667" s="33" t="s">
        <v>3243</v>
      </c>
      <c r="D20667" s="33" t="s">
        <v>17</v>
      </c>
      <c r="E20667" s="33" t="s">
        <v>26</v>
      </c>
      <c r="F20667" s="33" t="s">
        <v>27</v>
      </c>
      <c r="G20667" s="33" t="s">
        <v>140</v>
      </c>
      <c r="H20667" s="35">
        <v>156</v>
      </c>
      <c r="I20667" s="33" t="s">
        <v>51</v>
      </c>
      <c r="J20667" s="42">
        <v>45378</v>
      </c>
      <c r="K20667" s="33" t="s">
        <v>22</v>
      </c>
    </row>
    <row r="20668" spans="1:11">
      <c r="A20668" s="30" t="s">
        <v>45878</v>
      </c>
      <c r="B20668" s="30" t="s">
        <v>45879</v>
      </c>
      <c r="C20668" s="30" t="s">
        <v>1428</v>
      </c>
      <c r="D20668" s="30" t="s">
        <v>17</v>
      </c>
      <c r="E20668" s="30" t="s">
        <v>67</v>
      </c>
      <c r="F20668" s="30" t="s">
        <v>68</v>
      </c>
      <c r="G20668" s="30" t="s">
        <v>140</v>
      </c>
      <c r="H20668" s="32">
        <v>441</v>
      </c>
      <c r="I20668" s="30" t="s">
        <v>51</v>
      </c>
      <c r="J20668" s="41">
        <v>45575</v>
      </c>
      <c r="K20668" s="30" t="s">
        <v>22</v>
      </c>
    </row>
    <row r="20669" spans="1:11">
      <c r="A20669" s="33" t="s">
        <v>45880</v>
      </c>
      <c r="B20669" s="33" t="s">
        <v>45881</v>
      </c>
      <c r="C20669" s="33" t="s">
        <v>15107</v>
      </c>
      <c r="D20669" s="33" t="s">
        <v>17</v>
      </c>
      <c r="E20669" s="33" t="s">
        <v>26</v>
      </c>
      <c r="F20669" s="33" t="s">
        <v>27</v>
      </c>
      <c r="G20669" s="33" t="s">
        <v>140</v>
      </c>
      <c r="H20669" s="35">
        <v>20</v>
      </c>
      <c r="I20669" s="33" t="s">
        <v>51</v>
      </c>
      <c r="J20669" s="42">
        <v>45555</v>
      </c>
      <c r="K20669" s="33" t="s">
        <v>22</v>
      </c>
    </row>
    <row r="20670" spans="1:11">
      <c r="A20670" s="30" t="s">
        <v>45882</v>
      </c>
      <c r="B20670" s="30" t="s">
        <v>45883</v>
      </c>
      <c r="C20670" s="30" t="s">
        <v>11899</v>
      </c>
      <c r="D20670" s="30" t="s">
        <v>17</v>
      </c>
      <c r="E20670" s="30" t="s">
        <v>67</v>
      </c>
      <c r="F20670" s="30" t="s">
        <v>68</v>
      </c>
      <c r="G20670" s="30" t="s">
        <v>140</v>
      </c>
      <c r="H20670" s="32">
        <v>115</v>
      </c>
      <c r="I20670" s="30" t="s">
        <v>51</v>
      </c>
      <c r="J20670" s="41">
        <v>45636</v>
      </c>
      <c r="K20670" s="30" t="s">
        <v>22</v>
      </c>
    </row>
    <row r="20671" spans="1:11">
      <c r="A20671" s="33" t="s">
        <v>45884</v>
      </c>
      <c r="B20671" s="33" t="s">
        <v>45885</v>
      </c>
      <c r="C20671" s="33" t="s">
        <v>647</v>
      </c>
      <c r="D20671" s="33" t="s">
        <v>17</v>
      </c>
      <c r="E20671" s="33" t="s">
        <v>26</v>
      </c>
      <c r="F20671" s="33" t="s">
        <v>27</v>
      </c>
      <c r="G20671" s="33" t="s">
        <v>20</v>
      </c>
      <c r="H20671" s="35">
        <v>20</v>
      </c>
      <c r="I20671" s="33" t="s">
        <v>21</v>
      </c>
      <c r="J20671" s="42">
        <v>45586</v>
      </c>
      <c r="K20671" s="33" t="s">
        <v>22</v>
      </c>
    </row>
    <row r="20672" spans="1:11">
      <c r="A20672" s="30" t="s">
        <v>45886</v>
      </c>
      <c r="B20672" s="30" t="s">
        <v>45887</v>
      </c>
      <c r="C20672" s="30" t="s">
        <v>647</v>
      </c>
      <c r="D20672" s="30" t="s">
        <v>17</v>
      </c>
      <c r="E20672" s="30" t="s">
        <v>26</v>
      </c>
      <c r="F20672" s="30" t="s">
        <v>27</v>
      </c>
      <c r="G20672" s="30" t="s">
        <v>20</v>
      </c>
      <c r="H20672" s="32">
        <v>14</v>
      </c>
      <c r="I20672" s="30" t="s">
        <v>21</v>
      </c>
      <c r="J20672" s="41">
        <v>45644</v>
      </c>
      <c r="K20672" s="30" t="s">
        <v>22</v>
      </c>
    </row>
    <row r="20673" spans="1:11">
      <c r="A20673" s="33" t="s">
        <v>45888</v>
      </c>
      <c r="B20673" s="33" t="s">
        <v>45889</v>
      </c>
      <c r="C20673" s="33" t="s">
        <v>136</v>
      </c>
      <c r="D20673" s="33" t="s">
        <v>17</v>
      </c>
      <c r="E20673" s="33" t="s">
        <v>26</v>
      </c>
      <c r="F20673" s="33" t="s">
        <v>27</v>
      </c>
      <c r="G20673" s="33" t="s">
        <v>158</v>
      </c>
      <c r="H20673" s="35">
        <v>490</v>
      </c>
      <c r="I20673" s="33" t="s">
        <v>51</v>
      </c>
      <c r="J20673" s="42">
        <v>45356</v>
      </c>
      <c r="K20673" s="33" t="s">
        <v>22</v>
      </c>
    </row>
    <row r="20674" spans="1:11">
      <c r="A20674" s="30" t="s">
        <v>45890</v>
      </c>
      <c r="B20674" s="30" t="s">
        <v>45891</v>
      </c>
      <c r="C20674" s="30" t="s">
        <v>1305</v>
      </c>
      <c r="D20674" s="30" t="s">
        <v>17</v>
      </c>
      <c r="E20674" s="30" t="s">
        <v>18</v>
      </c>
      <c r="F20674" s="30" t="s">
        <v>19</v>
      </c>
      <c r="G20674" s="30" t="s">
        <v>20</v>
      </c>
      <c r="H20674" s="32">
        <v>92</v>
      </c>
      <c r="I20674" s="30" t="s">
        <v>21</v>
      </c>
      <c r="J20674" s="41">
        <v>45482</v>
      </c>
      <c r="K20674" s="30" t="s">
        <v>22</v>
      </c>
    </row>
    <row r="20675" spans="1:11">
      <c r="A20675" s="33" t="s">
        <v>45892</v>
      </c>
      <c r="B20675" s="33" t="s">
        <v>45893</v>
      </c>
      <c r="C20675" s="33" t="s">
        <v>5817</v>
      </c>
      <c r="D20675" s="33" t="s">
        <v>17</v>
      </c>
      <c r="E20675" s="33" t="s">
        <v>31</v>
      </c>
      <c r="F20675" s="33" t="s">
        <v>32</v>
      </c>
      <c r="G20675" s="33" t="s">
        <v>158</v>
      </c>
      <c r="H20675" s="35">
        <v>19</v>
      </c>
      <c r="I20675" s="33" t="s">
        <v>21</v>
      </c>
      <c r="J20675" s="42">
        <v>45623</v>
      </c>
      <c r="K20675" s="33" t="s">
        <v>22</v>
      </c>
    </row>
    <row r="20676" spans="1:11">
      <c r="A20676" s="30" t="s">
        <v>45894</v>
      </c>
      <c r="B20676" s="30" t="s">
        <v>45895</v>
      </c>
      <c r="C20676" s="30" t="s">
        <v>75</v>
      </c>
      <c r="D20676" s="30" t="s">
        <v>17</v>
      </c>
      <c r="E20676" s="30" t="s">
        <v>26</v>
      </c>
      <c r="F20676" s="30" t="s">
        <v>27</v>
      </c>
      <c r="G20676" s="30" t="s">
        <v>20</v>
      </c>
      <c r="H20676" s="32">
        <v>48</v>
      </c>
      <c r="I20676" s="30" t="s">
        <v>21</v>
      </c>
      <c r="J20676" s="41">
        <v>45638</v>
      </c>
      <c r="K20676" s="30" t="s">
        <v>22</v>
      </c>
    </row>
    <row r="20677" spans="1:11">
      <c r="A20677" s="33" t="s">
        <v>45896</v>
      </c>
      <c r="B20677" s="33" t="s">
        <v>45897</v>
      </c>
      <c r="C20677" s="33" t="s">
        <v>4133</v>
      </c>
      <c r="D20677" s="33" t="s">
        <v>17</v>
      </c>
      <c r="E20677" s="33" t="s">
        <v>26</v>
      </c>
      <c r="F20677" s="33" t="s">
        <v>27</v>
      </c>
      <c r="G20677" s="33" t="s">
        <v>140</v>
      </c>
      <c r="H20677" s="35">
        <v>121</v>
      </c>
      <c r="I20677" s="33" t="s">
        <v>51</v>
      </c>
      <c r="J20677" s="42">
        <v>45532</v>
      </c>
      <c r="K20677" s="33" t="s">
        <v>22</v>
      </c>
    </row>
    <row r="20678" spans="1:11">
      <c r="A20678" s="30" t="s">
        <v>45898</v>
      </c>
      <c r="B20678" s="30" t="s">
        <v>45899</v>
      </c>
      <c r="C20678" s="30" t="s">
        <v>6205</v>
      </c>
      <c r="D20678" s="30" t="s">
        <v>17</v>
      </c>
      <c r="E20678" s="30" t="s">
        <v>26</v>
      </c>
      <c r="F20678" s="30" t="s">
        <v>27</v>
      </c>
      <c r="G20678" s="30" t="s">
        <v>20</v>
      </c>
      <c r="H20678" s="32">
        <v>100</v>
      </c>
      <c r="I20678" s="30" t="s">
        <v>21</v>
      </c>
      <c r="J20678" s="41">
        <v>45378</v>
      </c>
      <c r="K20678" s="30" t="s">
        <v>22</v>
      </c>
    </row>
    <row r="20679" spans="1:11">
      <c r="A20679" s="33" t="s">
        <v>45900</v>
      </c>
      <c r="B20679" s="33" t="s">
        <v>45901</v>
      </c>
      <c r="C20679" s="33" t="s">
        <v>4727</v>
      </c>
      <c r="D20679" s="33" t="s">
        <v>17</v>
      </c>
      <c r="E20679" s="33" t="s">
        <v>26</v>
      </c>
      <c r="F20679" s="33" t="s">
        <v>27</v>
      </c>
      <c r="G20679" s="33" t="s">
        <v>106</v>
      </c>
      <c r="H20679" s="35">
        <v>13</v>
      </c>
      <c r="I20679" s="33" t="s">
        <v>21</v>
      </c>
      <c r="J20679" s="42">
        <v>45400</v>
      </c>
      <c r="K20679" s="33" t="s">
        <v>22</v>
      </c>
    </row>
    <row r="20680" spans="1:11">
      <c r="A20680" s="30" t="s">
        <v>45902</v>
      </c>
      <c r="B20680" s="30" t="s">
        <v>45903</v>
      </c>
      <c r="C20680" s="30" t="s">
        <v>15917</v>
      </c>
      <c r="D20680" s="30" t="s">
        <v>17</v>
      </c>
      <c r="E20680" s="30" t="s">
        <v>26</v>
      </c>
      <c r="F20680" s="30" t="s">
        <v>27</v>
      </c>
      <c r="G20680" s="30" t="s">
        <v>20</v>
      </c>
      <c r="H20680" s="32">
        <v>30</v>
      </c>
      <c r="I20680" s="30" t="s">
        <v>21</v>
      </c>
      <c r="J20680" s="41">
        <v>45620</v>
      </c>
      <c r="K20680" s="30" t="s">
        <v>22</v>
      </c>
    </row>
    <row r="20681" spans="1:11">
      <c r="A20681" s="33" t="s">
        <v>45904</v>
      </c>
      <c r="B20681" s="33" t="s">
        <v>45905</v>
      </c>
      <c r="C20681" s="33" t="s">
        <v>1151</v>
      </c>
      <c r="D20681" s="33" t="s">
        <v>17</v>
      </c>
      <c r="E20681" s="33" t="s">
        <v>26</v>
      </c>
      <c r="F20681" s="33" t="s">
        <v>27</v>
      </c>
      <c r="G20681" s="33" t="s">
        <v>158</v>
      </c>
      <c r="H20681" s="35">
        <v>39</v>
      </c>
      <c r="I20681" s="33" t="s">
        <v>21</v>
      </c>
      <c r="J20681" s="42">
        <v>45643</v>
      </c>
      <c r="K20681" s="33" t="s">
        <v>22</v>
      </c>
    </row>
    <row r="20682" spans="1:11">
      <c r="A20682" s="30" t="s">
        <v>45906</v>
      </c>
      <c r="B20682" s="30" t="s">
        <v>45907</v>
      </c>
      <c r="C20682" s="30" t="s">
        <v>25976</v>
      </c>
      <c r="D20682" s="30" t="s">
        <v>17</v>
      </c>
      <c r="E20682" s="30" t="s">
        <v>45</v>
      </c>
      <c r="F20682" s="30" t="s">
        <v>46</v>
      </c>
      <c r="G20682" s="30" t="s">
        <v>140</v>
      </c>
      <c r="H20682" s="32">
        <v>132</v>
      </c>
      <c r="I20682" s="30" t="s">
        <v>51</v>
      </c>
      <c r="J20682" s="41">
        <v>45485</v>
      </c>
      <c r="K20682" s="30" t="s">
        <v>22</v>
      </c>
    </row>
    <row r="20683" spans="1:11">
      <c r="A20683" s="33" t="s">
        <v>45908</v>
      </c>
      <c r="B20683" s="33" t="s">
        <v>45909</v>
      </c>
      <c r="C20683" s="33" t="s">
        <v>1042</v>
      </c>
      <c r="D20683" s="33" t="s">
        <v>17</v>
      </c>
      <c r="E20683" s="33" t="s">
        <v>18</v>
      </c>
      <c r="F20683" s="33" t="s">
        <v>19</v>
      </c>
      <c r="G20683" s="33" t="s">
        <v>20</v>
      </c>
      <c r="H20683" s="35">
        <v>132</v>
      </c>
      <c r="I20683" s="33" t="s">
        <v>21</v>
      </c>
      <c r="J20683" s="42">
        <v>45391</v>
      </c>
      <c r="K20683" s="33" t="s">
        <v>22</v>
      </c>
    </row>
    <row r="20684" spans="1:11">
      <c r="A20684" s="30" t="s">
        <v>45910</v>
      </c>
      <c r="B20684" s="30" t="s">
        <v>45911</v>
      </c>
      <c r="C20684" s="30" t="s">
        <v>45912</v>
      </c>
      <c r="D20684" s="30" t="s">
        <v>17</v>
      </c>
      <c r="E20684" s="30" t="s">
        <v>212</v>
      </c>
      <c r="F20684" s="30" t="s">
        <v>213</v>
      </c>
      <c r="G20684" s="30" t="s">
        <v>50</v>
      </c>
      <c r="H20684" s="32">
        <v>44</v>
      </c>
      <c r="I20684" s="30" t="s">
        <v>51</v>
      </c>
      <c r="J20684" s="41">
        <v>45449</v>
      </c>
      <c r="K20684" s="30" t="s">
        <v>22</v>
      </c>
    </row>
    <row r="20685" spans="1:11">
      <c r="A20685" s="33" t="s">
        <v>45913</v>
      </c>
      <c r="B20685" s="33" t="s">
        <v>45914</v>
      </c>
      <c r="C20685" s="33" t="s">
        <v>246</v>
      </c>
      <c r="D20685" s="33" t="s">
        <v>17</v>
      </c>
      <c r="E20685" s="33" t="s">
        <v>212</v>
      </c>
      <c r="F20685" s="33" t="s">
        <v>213</v>
      </c>
      <c r="G20685" s="33" t="s">
        <v>50</v>
      </c>
      <c r="H20685" s="35">
        <v>88</v>
      </c>
      <c r="I20685" s="33" t="s">
        <v>51</v>
      </c>
      <c r="J20685" s="42">
        <v>45412</v>
      </c>
      <c r="K20685" s="33" t="s">
        <v>22</v>
      </c>
    </row>
    <row r="20686" spans="1:11">
      <c r="A20686" s="30" t="s">
        <v>45915</v>
      </c>
      <c r="B20686" s="30" t="s">
        <v>45916</v>
      </c>
      <c r="C20686" s="30" t="s">
        <v>387</v>
      </c>
      <c r="D20686" s="30" t="s">
        <v>17</v>
      </c>
      <c r="E20686" s="30" t="s">
        <v>31</v>
      </c>
      <c r="F20686" s="30" t="s">
        <v>32</v>
      </c>
      <c r="G20686" s="30" t="s">
        <v>140</v>
      </c>
      <c r="H20686" s="32">
        <v>18</v>
      </c>
      <c r="I20686" s="30" t="s">
        <v>51</v>
      </c>
      <c r="J20686" s="41">
        <v>45462</v>
      </c>
      <c r="K20686" s="30" t="s">
        <v>22</v>
      </c>
    </row>
    <row r="20687" spans="1:11">
      <c r="A20687" s="33" t="s">
        <v>45917</v>
      </c>
      <c r="B20687" s="33" t="s">
        <v>45918</v>
      </c>
      <c r="C20687" s="33" t="s">
        <v>2822</v>
      </c>
      <c r="D20687" s="33" t="s">
        <v>17</v>
      </c>
      <c r="E20687" s="33" t="s">
        <v>31</v>
      </c>
      <c r="F20687" s="33" t="s">
        <v>32</v>
      </c>
      <c r="G20687" s="33" t="s">
        <v>20</v>
      </c>
      <c r="H20687" s="35">
        <v>14</v>
      </c>
      <c r="I20687" s="33" t="s">
        <v>21</v>
      </c>
      <c r="J20687" s="42">
        <v>45523</v>
      </c>
      <c r="K20687" s="33" t="s">
        <v>22</v>
      </c>
    </row>
    <row r="20688" spans="1:11">
      <c r="A20688" s="30" t="s">
        <v>45919</v>
      </c>
      <c r="B20688" s="30" t="s">
        <v>45920</v>
      </c>
      <c r="C20688" s="30" t="s">
        <v>44692</v>
      </c>
      <c r="D20688" s="30" t="s">
        <v>17</v>
      </c>
      <c r="E20688" s="30" t="s">
        <v>67</v>
      </c>
      <c r="F20688" s="30" t="s">
        <v>68</v>
      </c>
      <c r="G20688" s="30" t="s">
        <v>20</v>
      </c>
      <c r="H20688" s="32">
        <v>115</v>
      </c>
      <c r="I20688" s="30" t="s">
        <v>21</v>
      </c>
      <c r="J20688" s="41">
        <v>45551</v>
      </c>
      <c r="K20688" s="30" t="s">
        <v>22</v>
      </c>
    </row>
    <row r="20689" spans="1:11">
      <c r="A20689" s="33" t="s">
        <v>45921</v>
      </c>
      <c r="B20689" s="33" t="s">
        <v>45922</v>
      </c>
      <c r="C20689" s="33" t="s">
        <v>102</v>
      </c>
      <c r="D20689" s="33" t="s">
        <v>17</v>
      </c>
      <c r="E20689" s="33" t="s">
        <v>18</v>
      </c>
      <c r="F20689" s="33" t="s">
        <v>19</v>
      </c>
      <c r="G20689" s="33" t="s">
        <v>158</v>
      </c>
      <c r="H20689" s="35">
        <v>272</v>
      </c>
      <c r="I20689" s="33" t="s">
        <v>21</v>
      </c>
      <c r="J20689" s="42">
        <v>45391</v>
      </c>
      <c r="K20689" s="33" t="s">
        <v>22</v>
      </c>
    </row>
    <row r="20690" spans="1:11">
      <c r="A20690" s="30" t="s">
        <v>45923</v>
      </c>
      <c r="B20690" s="30" t="s">
        <v>45924</v>
      </c>
      <c r="C20690" s="30" t="s">
        <v>9114</v>
      </c>
      <c r="D20690" s="30" t="s">
        <v>17</v>
      </c>
      <c r="E20690" s="30" t="s">
        <v>26</v>
      </c>
      <c r="F20690" s="30" t="s">
        <v>27</v>
      </c>
      <c r="G20690" s="30" t="s">
        <v>20</v>
      </c>
      <c r="H20690" s="32">
        <v>18</v>
      </c>
      <c r="I20690" s="30" t="s">
        <v>21</v>
      </c>
      <c r="J20690" s="41">
        <v>45553</v>
      </c>
      <c r="K20690" s="30" t="s">
        <v>22</v>
      </c>
    </row>
    <row r="20691" spans="1:11">
      <c r="A20691" s="33" t="s">
        <v>45925</v>
      </c>
      <c r="B20691" s="33" t="s">
        <v>45926</v>
      </c>
      <c r="C20691" s="33" t="s">
        <v>6962</v>
      </c>
      <c r="D20691" s="33" t="s">
        <v>17</v>
      </c>
      <c r="E20691" s="33" t="s">
        <v>26</v>
      </c>
      <c r="F20691" s="33" t="s">
        <v>27</v>
      </c>
      <c r="G20691" s="33" t="s">
        <v>20</v>
      </c>
      <c r="H20691" s="35">
        <v>32</v>
      </c>
      <c r="I20691" s="33" t="s">
        <v>21</v>
      </c>
      <c r="J20691" s="42">
        <v>45324</v>
      </c>
      <c r="K20691" s="33" t="s">
        <v>22</v>
      </c>
    </row>
    <row r="20692" spans="1:11">
      <c r="A20692" s="30" t="s">
        <v>45927</v>
      </c>
      <c r="B20692" s="30" t="s">
        <v>45928</v>
      </c>
      <c r="C20692" s="30" t="s">
        <v>93</v>
      </c>
      <c r="D20692" s="30" t="s">
        <v>17</v>
      </c>
      <c r="E20692" s="30" t="s">
        <v>18</v>
      </c>
      <c r="F20692" s="30" t="s">
        <v>19</v>
      </c>
      <c r="G20692" s="30" t="s">
        <v>140</v>
      </c>
      <c r="H20692" s="32">
        <v>110</v>
      </c>
      <c r="I20692" s="30" t="s">
        <v>51</v>
      </c>
      <c r="J20692" s="41">
        <v>45512</v>
      </c>
      <c r="K20692" s="30" t="s">
        <v>22</v>
      </c>
    </row>
    <row r="20693" spans="1:11">
      <c r="A20693" s="33" t="s">
        <v>45929</v>
      </c>
      <c r="B20693" s="33" t="s">
        <v>45930</v>
      </c>
      <c r="C20693" s="33" t="s">
        <v>136</v>
      </c>
      <c r="D20693" s="33" t="s">
        <v>17</v>
      </c>
      <c r="E20693" s="33" t="s">
        <v>18</v>
      </c>
      <c r="F20693" s="33" t="s">
        <v>19</v>
      </c>
      <c r="G20693" s="33" t="s">
        <v>20</v>
      </c>
      <c r="H20693" s="35">
        <v>376</v>
      </c>
      <c r="I20693" s="33" t="s">
        <v>21</v>
      </c>
      <c r="J20693" s="42">
        <v>45548</v>
      </c>
      <c r="K20693" s="33" t="s">
        <v>22</v>
      </c>
    </row>
    <row r="20694" spans="1:11">
      <c r="A20694" s="30" t="s">
        <v>45931</v>
      </c>
      <c r="B20694" s="30" t="s">
        <v>30801</v>
      </c>
      <c r="C20694" s="30" t="s">
        <v>5251</v>
      </c>
      <c r="D20694" s="30" t="s">
        <v>17</v>
      </c>
      <c r="E20694" s="30" t="s">
        <v>18</v>
      </c>
      <c r="F20694" s="30" t="s">
        <v>19</v>
      </c>
      <c r="G20694" s="30" t="s">
        <v>158</v>
      </c>
      <c r="H20694" s="32">
        <v>243</v>
      </c>
      <c r="I20694" s="30" t="s">
        <v>21</v>
      </c>
      <c r="J20694" s="41">
        <v>45618</v>
      </c>
      <c r="K20694" s="30" t="s">
        <v>22</v>
      </c>
    </row>
    <row r="20695" spans="1:11">
      <c r="A20695" s="33" t="s">
        <v>45932</v>
      </c>
      <c r="B20695" s="33" t="s">
        <v>45933</v>
      </c>
      <c r="C20695" s="33" t="s">
        <v>6205</v>
      </c>
      <c r="D20695" s="33" t="s">
        <v>17</v>
      </c>
      <c r="E20695" s="33" t="s">
        <v>26</v>
      </c>
      <c r="F20695" s="33" t="s">
        <v>27</v>
      </c>
      <c r="G20695" s="33" t="s">
        <v>20</v>
      </c>
      <c r="H20695" s="35">
        <v>170</v>
      </c>
      <c r="I20695" s="33" t="s">
        <v>21</v>
      </c>
      <c r="J20695" s="42">
        <v>45464</v>
      </c>
      <c r="K20695" s="33" t="s">
        <v>22</v>
      </c>
    </row>
    <row r="20696" spans="1:11">
      <c r="A20696" s="30" t="s">
        <v>45934</v>
      </c>
      <c r="B20696" s="30" t="s">
        <v>45935</v>
      </c>
      <c r="C20696" s="30" t="s">
        <v>35404</v>
      </c>
      <c r="D20696" s="30" t="s">
        <v>17</v>
      </c>
      <c r="E20696" s="30" t="s">
        <v>31</v>
      </c>
      <c r="F20696" s="30" t="s">
        <v>32</v>
      </c>
      <c r="G20696" s="30" t="s">
        <v>50</v>
      </c>
      <c r="H20696" s="32">
        <v>250</v>
      </c>
      <c r="I20696" s="30" t="s">
        <v>51</v>
      </c>
      <c r="J20696" s="41">
        <v>45359</v>
      </c>
      <c r="K20696" s="30" t="s">
        <v>22</v>
      </c>
    </row>
    <row r="20697" spans="1:11">
      <c r="A20697" s="33" t="s">
        <v>45936</v>
      </c>
      <c r="B20697" s="33" t="s">
        <v>45937</v>
      </c>
      <c r="C20697" s="33" t="s">
        <v>29936</v>
      </c>
      <c r="D20697" s="33" t="s">
        <v>17</v>
      </c>
      <c r="E20697" s="33" t="s">
        <v>26</v>
      </c>
      <c r="F20697" s="33" t="s">
        <v>27</v>
      </c>
      <c r="G20697" s="33" t="s">
        <v>20</v>
      </c>
      <c r="H20697" s="35">
        <v>24</v>
      </c>
      <c r="I20697" s="33" t="s">
        <v>21</v>
      </c>
      <c r="J20697" s="42">
        <v>45603</v>
      </c>
      <c r="K20697" s="33" t="s">
        <v>22</v>
      </c>
    </row>
    <row r="20698" spans="1:11">
      <c r="A20698" s="30" t="s">
        <v>45938</v>
      </c>
      <c r="B20698" s="30" t="s">
        <v>45939</v>
      </c>
      <c r="C20698" s="30" t="s">
        <v>78</v>
      </c>
      <c r="D20698" s="30" t="s">
        <v>17</v>
      </c>
      <c r="E20698" s="30" t="s">
        <v>26</v>
      </c>
      <c r="F20698" s="30" t="s">
        <v>27</v>
      </c>
      <c r="G20698" s="30" t="s">
        <v>20</v>
      </c>
      <c r="H20698" s="32">
        <v>30</v>
      </c>
      <c r="I20698" s="30" t="s">
        <v>21</v>
      </c>
      <c r="J20698" s="41">
        <v>45602</v>
      </c>
      <c r="K20698" s="30" t="s">
        <v>22</v>
      </c>
    </row>
    <row r="20699" spans="1:11">
      <c r="A20699" s="33" t="s">
        <v>45940</v>
      </c>
      <c r="B20699" s="33" t="s">
        <v>45941</v>
      </c>
      <c r="C20699" s="33" t="s">
        <v>109</v>
      </c>
      <c r="D20699" s="33" t="s">
        <v>17</v>
      </c>
      <c r="E20699" s="33" t="s">
        <v>18</v>
      </c>
      <c r="F20699" s="33" t="s">
        <v>19</v>
      </c>
      <c r="G20699" s="33" t="s">
        <v>140</v>
      </c>
      <c r="H20699" s="35">
        <v>450</v>
      </c>
      <c r="I20699" s="33" t="s">
        <v>51</v>
      </c>
      <c r="J20699" s="42">
        <v>45363</v>
      </c>
      <c r="K20699" s="33" t="s">
        <v>22</v>
      </c>
    </row>
    <row r="20700" spans="1:11">
      <c r="A20700" s="30" t="s">
        <v>45942</v>
      </c>
      <c r="B20700" s="30" t="s">
        <v>45943</v>
      </c>
      <c r="C20700" s="30" t="s">
        <v>203</v>
      </c>
      <c r="D20700" s="30" t="s">
        <v>17</v>
      </c>
      <c r="E20700" s="30" t="s">
        <v>26</v>
      </c>
      <c r="F20700" s="30" t="s">
        <v>27</v>
      </c>
      <c r="G20700" s="30" t="s">
        <v>20</v>
      </c>
      <c r="H20700" s="32">
        <v>28</v>
      </c>
      <c r="I20700" s="30" t="s">
        <v>21</v>
      </c>
      <c r="J20700" s="41">
        <v>45376</v>
      </c>
      <c r="K20700" s="30" t="s">
        <v>22</v>
      </c>
    </row>
    <row r="20701" spans="1:11">
      <c r="A20701" s="33" t="s">
        <v>45944</v>
      </c>
      <c r="B20701" s="33" t="s">
        <v>45945</v>
      </c>
      <c r="C20701" s="33" t="s">
        <v>8554</v>
      </c>
      <c r="D20701" s="33" t="s">
        <v>17</v>
      </c>
      <c r="E20701" s="33" t="s">
        <v>18</v>
      </c>
      <c r="F20701" s="33" t="s">
        <v>19</v>
      </c>
      <c r="G20701" s="33" t="s">
        <v>50</v>
      </c>
      <c r="H20701" s="35">
        <v>450</v>
      </c>
      <c r="I20701" s="33" t="s">
        <v>51</v>
      </c>
      <c r="J20701" s="42">
        <v>45292</v>
      </c>
      <c r="K20701" s="33" t="s">
        <v>22</v>
      </c>
    </row>
    <row r="20702" spans="1:11">
      <c r="A20702" s="30" t="s">
        <v>45946</v>
      </c>
      <c r="B20702" s="30" t="s">
        <v>45947</v>
      </c>
      <c r="C20702" s="30" t="s">
        <v>22573</v>
      </c>
      <c r="D20702" s="30" t="s">
        <v>17</v>
      </c>
      <c r="E20702" s="30" t="s">
        <v>18</v>
      </c>
      <c r="F20702" s="30" t="s">
        <v>19</v>
      </c>
      <c r="G20702" s="30" t="s">
        <v>158</v>
      </c>
      <c r="H20702" s="32">
        <v>228</v>
      </c>
      <c r="I20702" s="30" t="s">
        <v>21</v>
      </c>
      <c r="J20702" s="41">
        <v>45320</v>
      </c>
      <c r="K20702" s="30" t="s">
        <v>22</v>
      </c>
    </row>
    <row r="20703" spans="1:11">
      <c r="A20703" s="33" t="s">
        <v>45948</v>
      </c>
      <c r="B20703" s="33" t="s">
        <v>45949</v>
      </c>
      <c r="C20703" s="33" t="s">
        <v>10674</v>
      </c>
      <c r="D20703" s="33" t="s">
        <v>17</v>
      </c>
      <c r="E20703" s="33" t="s">
        <v>212</v>
      </c>
      <c r="F20703" s="33" t="s">
        <v>213</v>
      </c>
      <c r="G20703" s="33" t="s">
        <v>158</v>
      </c>
      <c r="H20703" s="35">
        <v>110</v>
      </c>
      <c r="I20703" s="33" t="s">
        <v>21</v>
      </c>
      <c r="J20703" s="42">
        <v>45422</v>
      </c>
      <c r="K20703" s="33" t="s">
        <v>22</v>
      </c>
    </row>
    <row r="20704" spans="1:11">
      <c r="A20704" s="30" t="s">
        <v>45950</v>
      </c>
      <c r="B20704" s="30" t="s">
        <v>45951</v>
      </c>
      <c r="C20704" s="30" t="s">
        <v>45952</v>
      </c>
      <c r="D20704" s="30" t="s">
        <v>17</v>
      </c>
      <c r="E20704" s="30" t="s">
        <v>18</v>
      </c>
      <c r="F20704" s="30" t="s">
        <v>19</v>
      </c>
      <c r="G20704" s="30" t="s">
        <v>7780</v>
      </c>
      <c r="H20704" s="32">
        <v>310</v>
      </c>
      <c r="I20704" s="30" t="s">
        <v>51</v>
      </c>
      <c r="J20704" s="41">
        <v>45597</v>
      </c>
      <c r="K20704" s="30" t="s">
        <v>22</v>
      </c>
    </row>
    <row r="20705" spans="1:11">
      <c r="A20705" s="33" t="s">
        <v>45953</v>
      </c>
      <c r="B20705" s="33" t="s">
        <v>45954</v>
      </c>
      <c r="C20705" s="33" t="s">
        <v>2772</v>
      </c>
      <c r="D20705" s="33" t="s">
        <v>17</v>
      </c>
      <c r="E20705" s="33" t="s">
        <v>18</v>
      </c>
      <c r="F20705" s="33" t="s">
        <v>19</v>
      </c>
      <c r="G20705" s="33" t="s">
        <v>158</v>
      </c>
      <c r="H20705" s="35">
        <v>392</v>
      </c>
      <c r="I20705" s="33" t="s">
        <v>51</v>
      </c>
      <c r="J20705" s="42">
        <v>45372</v>
      </c>
      <c r="K20705" s="33" t="s">
        <v>22</v>
      </c>
    </row>
    <row r="20706" spans="1:11">
      <c r="A20706" s="30" t="s">
        <v>45955</v>
      </c>
      <c r="B20706" s="30" t="s">
        <v>45956</v>
      </c>
      <c r="C20706" s="30" t="s">
        <v>3775</v>
      </c>
      <c r="D20706" s="30" t="s">
        <v>17</v>
      </c>
      <c r="E20706" s="30" t="s">
        <v>26</v>
      </c>
      <c r="F20706" s="30" t="s">
        <v>27</v>
      </c>
      <c r="G20706" s="30" t="s">
        <v>20</v>
      </c>
      <c r="H20706" s="32">
        <v>28</v>
      </c>
      <c r="I20706" s="30" t="s">
        <v>21</v>
      </c>
      <c r="J20706" s="41">
        <v>45559</v>
      </c>
      <c r="K20706" s="30" t="s">
        <v>22</v>
      </c>
    </row>
    <row r="20707" spans="1:11">
      <c r="A20707" s="33" t="s">
        <v>45957</v>
      </c>
      <c r="B20707" s="33" t="s">
        <v>45958</v>
      </c>
      <c r="C20707" s="33" t="s">
        <v>1908</v>
      </c>
      <c r="D20707" s="33" t="s">
        <v>17</v>
      </c>
      <c r="E20707" s="33" t="s">
        <v>26</v>
      </c>
      <c r="F20707" s="33" t="s">
        <v>27</v>
      </c>
      <c r="G20707" s="33" t="s">
        <v>20</v>
      </c>
      <c r="H20707" s="35">
        <v>24</v>
      </c>
      <c r="I20707" s="33" t="s">
        <v>21</v>
      </c>
      <c r="J20707" s="42">
        <v>45378</v>
      </c>
      <c r="K20707" s="33" t="s">
        <v>22</v>
      </c>
    </row>
    <row r="20708" spans="1:11">
      <c r="A20708" s="30" t="s">
        <v>45959</v>
      </c>
      <c r="B20708" s="30" t="s">
        <v>45960</v>
      </c>
      <c r="C20708" s="30" t="s">
        <v>969</v>
      </c>
      <c r="D20708" s="30" t="s">
        <v>17</v>
      </c>
      <c r="E20708" s="30" t="s">
        <v>26</v>
      </c>
      <c r="F20708" s="30" t="s">
        <v>27</v>
      </c>
      <c r="G20708" s="30" t="s">
        <v>69</v>
      </c>
      <c r="H20708" s="32">
        <v>65</v>
      </c>
      <c r="I20708" s="30" t="s">
        <v>51</v>
      </c>
      <c r="J20708" s="41">
        <v>45303</v>
      </c>
      <c r="K20708" s="30" t="s">
        <v>22</v>
      </c>
    </row>
    <row r="20709" spans="1:11">
      <c r="A20709" s="33" t="s">
        <v>45961</v>
      </c>
      <c r="B20709" s="33" t="s">
        <v>45962</v>
      </c>
      <c r="C20709" s="33" t="s">
        <v>96</v>
      </c>
      <c r="D20709" s="33" t="s">
        <v>17</v>
      </c>
      <c r="E20709" s="33" t="s">
        <v>31</v>
      </c>
      <c r="F20709" s="33" t="s">
        <v>32</v>
      </c>
      <c r="G20709" s="33" t="s">
        <v>158</v>
      </c>
      <c r="H20709" s="35">
        <v>605</v>
      </c>
      <c r="I20709" s="33" t="s">
        <v>21</v>
      </c>
      <c r="J20709" s="42">
        <v>45498</v>
      </c>
      <c r="K20709" s="33" t="s">
        <v>22</v>
      </c>
    </row>
    <row r="20710" spans="1:11">
      <c r="A20710" s="30" t="s">
        <v>45963</v>
      </c>
      <c r="B20710" s="30" t="s">
        <v>45964</v>
      </c>
      <c r="C20710" s="30" t="s">
        <v>36231</v>
      </c>
      <c r="D20710" s="30" t="s">
        <v>17</v>
      </c>
      <c r="E20710" s="30" t="s">
        <v>31</v>
      </c>
      <c r="F20710" s="30" t="s">
        <v>32</v>
      </c>
      <c r="G20710" s="30" t="s">
        <v>20</v>
      </c>
      <c r="H20710" s="32">
        <v>303</v>
      </c>
      <c r="I20710" s="30" t="s">
        <v>21</v>
      </c>
      <c r="J20710" s="41">
        <v>45518</v>
      </c>
      <c r="K20710" s="30" t="s">
        <v>22</v>
      </c>
    </row>
    <row r="20711" spans="1:11">
      <c r="A20711" s="33" t="s">
        <v>45965</v>
      </c>
      <c r="B20711" s="33" t="s">
        <v>45966</v>
      </c>
      <c r="C20711" s="33" t="s">
        <v>969</v>
      </c>
      <c r="D20711" s="33" t="s">
        <v>17</v>
      </c>
      <c r="E20711" s="33" t="s">
        <v>18</v>
      </c>
      <c r="F20711" s="33" t="s">
        <v>19</v>
      </c>
      <c r="G20711" s="33" t="s">
        <v>140</v>
      </c>
      <c r="H20711" s="35">
        <v>440</v>
      </c>
      <c r="I20711" s="33" t="s">
        <v>51</v>
      </c>
      <c r="J20711" s="42">
        <v>45546</v>
      </c>
      <c r="K20711" s="33" t="s">
        <v>22</v>
      </c>
    </row>
    <row r="20712" spans="1:11">
      <c r="A20712" s="30" t="s">
        <v>45967</v>
      </c>
      <c r="B20712" s="30" t="s">
        <v>45968</v>
      </c>
      <c r="C20712" s="30" t="s">
        <v>1598</v>
      </c>
      <c r="D20712" s="30" t="s">
        <v>17</v>
      </c>
      <c r="E20712" s="30" t="s">
        <v>26</v>
      </c>
      <c r="F20712" s="30" t="s">
        <v>27</v>
      </c>
      <c r="G20712" s="30" t="s">
        <v>20</v>
      </c>
      <c r="H20712" s="32">
        <v>32</v>
      </c>
      <c r="I20712" s="30" t="s">
        <v>21</v>
      </c>
      <c r="J20712" s="41">
        <v>45432</v>
      </c>
      <c r="K20712" s="30" t="s">
        <v>22</v>
      </c>
    </row>
    <row r="20713" spans="1:11">
      <c r="A20713" s="33" t="s">
        <v>45969</v>
      </c>
      <c r="B20713" s="33" t="s">
        <v>45970</v>
      </c>
      <c r="C20713" s="33" t="s">
        <v>1219</v>
      </c>
      <c r="D20713" s="33" t="s">
        <v>17</v>
      </c>
      <c r="E20713" s="33" t="s">
        <v>26</v>
      </c>
      <c r="F20713" s="33" t="s">
        <v>27</v>
      </c>
      <c r="G20713" s="33" t="s">
        <v>140</v>
      </c>
      <c r="H20713" s="35">
        <v>190</v>
      </c>
      <c r="I20713" s="33" t="s">
        <v>51</v>
      </c>
      <c r="J20713" s="42">
        <v>45455</v>
      </c>
      <c r="K20713" s="33" t="s">
        <v>22</v>
      </c>
    </row>
    <row r="20714" spans="1:11">
      <c r="A20714" s="30" t="s">
        <v>45971</v>
      </c>
      <c r="B20714" s="30" t="s">
        <v>45972</v>
      </c>
      <c r="C20714" s="30" t="s">
        <v>28171</v>
      </c>
      <c r="D20714" s="30" t="s">
        <v>17</v>
      </c>
      <c r="E20714" s="30" t="s">
        <v>31</v>
      </c>
      <c r="F20714" s="30" t="s">
        <v>32</v>
      </c>
      <c r="G20714" s="30" t="s">
        <v>20</v>
      </c>
      <c r="H20714" s="32">
        <v>60</v>
      </c>
      <c r="I20714" s="30" t="s">
        <v>21</v>
      </c>
      <c r="J20714" s="41">
        <v>45612</v>
      </c>
      <c r="K20714" s="30" t="s">
        <v>22</v>
      </c>
    </row>
    <row r="20715" spans="1:11">
      <c r="A20715" s="33" t="s">
        <v>45973</v>
      </c>
      <c r="B20715" s="33" t="s">
        <v>45974</v>
      </c>
      <c r="C20715" s="33" t="s">
        <v>4260</v>
      </c>
      <c r="D20715" s="33" t="s">
        <v>17</v>
      </c>
      <c r="E20715" s="33" t="s">
        <v>18</v>
      </c>
      <c r="F20715" s="33" t="s">
        <v>19</v>
      </c>
      <c r="G20715" s="33" t="s">
        <v>140</v>
      </c>
      <c r="H20715" s="35">
        <v>231</v>
      </c>
      <c r="I20715" s="33" t="s">
        <v>51</v>
      </c>
      <c r="J20715" s="42">
        <v>45544</v>
      </c>
      <c r="K20715" s="33" t="s">
        <v>22</v>
      </c>
    </row>
    <row r="20716" spans="1:11">
      <c r="A20716" s="30" t="s">
        <v>45975</v>
      </c>
      <c r="B20716" s="30" t="s">
        <v>25574</v>
      </c>
      <c r="C20716" s="30" t="s">
        <v>8222</v>
      </c>
      <c r="D20716" s="30" t="s">
        <v>17</v>
      </c>
      <c r="E20716" s="30" t="s">
        <v>45</v>
      </c>
      <c r="F20716" s="30" t="s">
        <v>46</v>
      </c>
      <c r="G20716" s="30" t="s">
        <v>2613</v>
      </c>
      <c r="H20716" s="32">
        <v>360</v>
      </c>
      <c r="I20716" s="30" t="s">
        <v>51</v>
      </c>
      <c r="J20716" s="41">
        <v>45641</v>
      </c>
      <c r="K20716" s="30" t="s">
        <v>22</v>
      </c>
    </row>
    <row r="20717" spans="1:11">
      <c r="A20717" s="33" t="s">
        <v>45976</v>
      </c>
      <c r="B20717" s="33" t="s">
        <v>45977</v>
      </c>
      <c r="C20717" s="33" t="s">
        <v>4348</v>
      </c>
      <c r="D20717" s="33" t="s">
        <v>17</v>
      </c>
      <c r="E20717" s="33" t="s">
        <v>18</v>
      </c>
      <c r="F20717" s="33" t="s">
        <v>19</v>
      </c>
      <c r="G20717" s="33" t="s">
        <v>158</v>
      </c>
      <c r="H20717" s="35">
        <v>432</v>
      </c>
      <c r="I20717" s="33" t="s">
        <v>21</v>
      </c>
      <c r="J20717" s="42">
        <v>45434</v>
      </c>
      <c r="K20717" s="33" t="s">
        <v>22</v>
      </c>
    </row>
    <row r="20718" spans="1:11">
      <c r="A20718" s="30" t="s">
        <v>45978</v>
      </c>
      <c r="B20718" s="30" t="s">
        <v>45979</v>
      </c>
      <c r="C20718" s="30" t="s">
        <v>647</v>
      </c>
      <c r="D20718" s="30" t="s">
        <v>17</v>
      </c>
      <c r="E20718" s="30" t="s">
        <v>26</v>
      </c>
      <c r="F20718" s="30" t="s">
        <v>27</v>
      </c>
      <c r="G20718" s="30" t="s">
        <v>106</v>
      </c>
      <c r="H20718" s="32">
        <v>9</v>
      </c>
      <c r="I20718" s="30" t="s">
        <v>21</v>
      </c>
      <c r="J20718" s="41">
        <v>45315</v>
      </c>
      <c r="K20718" s="30" t="s">
        <v>22</v>
      </c>
    </row>
    <row r="20719" spans="1:11">
      <c r="A20719" s="33" t="s">
        <v>45980</v>
      </c>
      <c r="B20719" s="33" t="s">
        <v>45981</v>
      </c>
      <c r="C20719" s="33" t="s">
        <v>6085</v>
      </c>
      <c r="D20719" s="33" t="s">
        <v>17</v>
      </c>
      <c r="E20719" s="33" t="s">
        <v>18</v>
      </c>
      <c r="F20719" s="33" t="s">
        <v>19</v>
      </c>
      <c r="G20719" s="33" t="s">
        <v>20</v>
      </c>
      <c r="H20719" s="35">
        <v>189</v>
      </c>
      <c r="I20719" s="33" t="s">
        <v>21</v>
      </c>
      <c r="J20719" s="42">
        <v>45308</v>
      </c>
      <c r="K20719" s="33" t="s">
        <v>22</v>
      </c>
    </row>
    <row r="20720" spans="1:11">
      <c r="A20720" s="30" t="s">
        <v>45982</v>
      </c>
      <c r="B20720" s="30" t="s">
        <v>45983</v>
      </c>
      <c r="C20720" s="30" t="s">
        <v>102</v>
      </c>
      <c r="D20720" s="30" t="s">
        <v>17</v>
      </c>
      <c r="E20720" s="30" t="s">
        <v>31</v>
      </c>
      <c r="F20720" s="30" t="s">
        <v>32</v>
      </c>
      <c r="G20720" s="30" t="s">
        <v>140</v>
      </c>
      <c r="H20720" s="32">
        <v>210</v>
      </c>
      <c r="I20720" s="30" t="s">
        <v>51</v>
      </c>
      <c r="J20720" s="41">
        <v>45530</v>
      </c>
      <c r="K20720" s="30" t="s">
        <v>22</v>
      </c>
    </row>
    <row r="20721" spans="1:11">
      <c r="A20721" s="33" t="s">
        <v>45984</v>
      </c>
      <c r="B20721" s="33" t="s">
        <v>45985</v>
      </c>
      <c r="C20721" s="33" t="s">
        <v>14816</v>
      </c>
      <c r="D20721" s="33" t="s">
        <v>17</v>
      </c>
      <c r="E20721" s="33" t="s">
        <v>31</v>
      </c>
      <c r="F20721" s="33" t="s">
        <v>32</v>
      </c>
      <c r="G20721" s="33" t="s">
        <v>20</v>
      </c>
      <c r="H20721" s="35">
        <v>155</v>
      </c>
      <c r="I20721" s="33" t="s">
        <v>21</v>
      </c>
      <c r="J20721" s="42">
        <v>45429</v>
      </c>
      <c r="K20721" s="33" t="s">
        <v>22</v>
      </c>
    </row>
    <row r="20722" spans="1:11">
      <c r="A20722" s="30" t="s">
        <v>45986</v>
      </c>
      <c r="B20722" s="30" t="s">
        <v>45987</v>
      </c>
      <c r="C20722" s="30" t="s">
        <v>139</v>
      </c>
      <c r="D20722" s="30" t="s">
        <v>17</v>
      </c>
      <c r="E20722" s="30" t="s">
        <v>67</v>
      </c>
      <c r="F20722" s="30" t="s">
        <v>68</v>
      </c>
      <c r="G20722" s="30" t="s">
        <v>158</v>
      </c>
      <c r="H20722" s="32">
        <v>35</v>
      </c>
      <c r="I20722" s="30" t="s">
        <v>51</v>
      </c>
      <c r="J20722" s="41">
        <v>45637</v>
      </c>
      <c r="K20722" s="30" t="s">
        <v>22</v>
      </c>
    </row>
    <row r="20723" spans="1:11">
      <c r="A20723" s="33" t="s">
        <v>45988</v>
      </c>
      <c r="B20723" s="33" t="s">
        <v>45989</v>
      </c>
      <c r="C20723" s="33" t="s">
        <v>3001</v>
      </c>
      <c r="D20723" s="33" t="s">
        <v>17</v>
      </c>
      <c r="E20723" s="33" t="s">
        <v>26</v>
      </c>
      <c r="F20723" s="33" t="s">
        <v>27</v>
      </c>
      <c r="G20723" s="33" t="s">
        <v>140</v>
      </c>
      <c r="H20723" s="35">
        <v>167</v>
      </c>
      <c r="I20723" s="33" t="s">
        <v>51</v>
      </c>
      <c r="J20723" s="42">
        <v>45546</v>
      </c>
      <c r="K20723" s="33" t="s">
        <v>22</v>
      </c>
    </row>
    <row r="20724" spans="1:11">
      <c r="A20724" s="30" t="s">
        <v>45990</v>
      </c>
      <c r="B20724" s="30" t="s">
        <v>45991</v>
      </c>
      <c r="C20724" s="30" t="s">
        <v>203</v>
      </c>
      <c r="D20724" s="30" t="s">
        <v>17</v>
      </c>
      <c r="E20724" s="30" t="s">
        <v>26</v>
      </c>
      <c r="F20724" s="30" t="s">
        <v>27</v>
      </c>
      <c r="G20724" s="30" t="s">
        <v>140</v>
      </c>
      <c r="H20724" s="32">
        <v>87</v>
      </c>
      <c r="I20724" s="30" t="s">
        <v>51</v>
      </c>
      <c r="J20724" s="41">
        <v>45595</v>
      </c>
      <c r="K20724" s="30" t="s">
        <v>22</v>
      </c>
    </row>
    <row r="20725" spans="1:11">
      <c r="A20725" s="33" t="s">
        <v>45992</v>
      </c>
      <c r="B20725" s="33" t="s">
        <v>45993</v>
      </c>
      <c r="C20725" s="33" t="s">
        <v>30859</v>
      </c>
      <c r="D20725" s="33" t="s">
        <v>17</v>
      </c>
      <c r="E20725" s="33" t="s">
        <v>26</v>
      </c>
      <c r="F20725" s="33" t="s">
        <v>27</v>
      </c>
      <c r="G20725" s="33" t="s">
        <v>158</v>
      </c>
      <c r="H20725" s="35">
        <v>12</v>
      </c>
      <c r="I20725" s="33" t="s">
        <v>51</v>
      </c>
      <c r="J20725" s="42">
        <v>45545</v>
      </c>
      <c r="K20725" s="33" t="s">
        <v>22</v>
      </c>
    </row>
    <row r="20726" spans="1:11">
      <c r="A20726" s="30" t="s">
        <v>45994</v>
      </c>
      <c r="B20726" s="30" t="s">
        <v>45995</v>
      </c>
      <c r="C20726" s="30" t="s">
        <v>45996</v>
      </c>
      <c r="D20726" s="30" t="s">
        <v>17</v>
      </c>
      <c r="E20726" s="30" t="s">
        <v>67</v>
      </c>
      <c r="F20726" s="30" t="s">
        <v>68</v>
      </c>
      <c r="G20726" s="30" t="s">
        <v>50</v>
      </c>
      <c r="H20726" s="32">
        <v>12</v>
      </c>
      <c r="I20726" s="30" t="s">
        <v>51</v>
      </c>
      <c r="J20726" s="41">
        <v>45536</v>
      </c>
      <c r="K20726" s="30" t="s">
        <v>22</v>
      </c>
    </row>
    <row r="20727" spans="1:11">
      <c r="A20727" s="33" t="s">
        <v>45997</v>
      </c>
      <c r="B20727" s="33" t="s">
        <v>45998</v>
      </c>
      <c r="C20727" s="33" t="s">
        <v>25632</v>
      </c>
      <c r="D20727" s="33" t="s">
        <v>17</v>
      </c>
      <c r="E20727" s="33" t="s">
        <v>45</v>
      </c>
      <c r="F20727" s="33" t="s">
        <v>46</v>
      </c>
      <c r="G20727" s="33" t="s">
        <v>158</v>
      </c>
      <c r="H20727" s="35">
        <v>13</v>
      </c>
      <c r="I20727" s="33" t="s">
        <v>21</v>
      </c>
      <c r="J20727" s="42">
        <v>45475</v>
      </c>
      <c r="K20727" s="33" t="s">
        <v>22</v>
      </c>
    </row>
    <row r="20728" spans="1:11">
      <c r="A20728" s="30" t="s">
        <v>45999</v>
      </c>
      <c r="B20728" s="30" t="s">
        <v>46000</v>
      </c>
      <c r="C20728" s="30" t="s">
        <v>18347</v>
      </c>
      <c r="D20728" s="30" t="s">
        <v>17</v>
      </c>
      <c r="E20728" s="30" t="s">
        <v>26</v>
      </c>
      <c r="F20728" s="30" t="s">
        <v>27</v>
      </c>
      <c r="G20728" s="30" t="s">
        <v>140</v>
      </c>
      <c r="H20728" s="32">
        <v>78</v>
      </c>
      <c r="I20728" s="30" t="s">
        <v>51</v>
      </c>
      <c r="J20728" s="41">
        <v>45405</v>
      </c>
      <c r="K20728" s="30" t="s">
        <v>22</v>
      </c>
    </row>
    <row r="20729" spans="1:11">
      <c r="A20729" s="33" t="s">
        <v>46001</v>
      </c>
      <c r="B20729" s="33" t="s">
        <v>46002</v>
      </c>
      <c r="C20729" s="33" t="s">
        <v>647</v>
      </c>
      <c r="D20729" s="33" t="s">
        <v>17</v>
      </c>
      <c r="E20729" s="33" t="s">
        <v>26</v>
      </c>
      <c r="F20729" s="33" t="s">
        <v>27</v>
      </c>
      <c r="G20729" s="33" t="s">
        <v>20</v>
      </c>
      <c r="H20729" s="35">
        <v>36</v>
      </c>
      <c r="I20729" s="33" t="s">
        <v>21</v>
      </c>
      <c r="J20729" s="42">
        <v>45405</v>
      </c>
      <c r="K20729" s="33" t="s">
        <v>22</v>
      </c>
    </row>
    <row r="20730" spans="1:11">
      <c r="A20730" s="30" t="s">
        <v>46003</v>
      </c>
      <c r="B20730" s="30" t="s">
        <v>46004</v>
      </c>
      <c r="C20730" s="30" t="s">
        <v>136</v>
      </c>
      <c r="D20730" s="30" t="s">
        <v>17</v>
      </c>
      <c r="E20730" s="30" t="s">
        <v>31</v>
      </c>
      <c r="F20730" s="30" t="s">
        <v>32</v>
      </c>
      <c r="G20730" s="30" t="s">
        <v>158</v>
      </c>
      <c r="H20730" s="32">
        <v>350</v>
      </c>
      <c r="I20730" s="30" t="s">
        <v>51</v>
      </c>
      <c r="J20730" s="41">
        <v>45555</v>
      </c>
      <c r="K20730" s="30" t="s">
        <v>22</v>
      </c>
    </row>
    <row r="20731" spans="1:11">
      <c r="A20731" s="33" t="s">
        <v>46005</v>
      </c>
      <c r="B20731" s="33" t="s">
        <v>46006</v>
      </c>
      <c r="C20731" s="33" t="s">
        <v>7158</v>
      </c>
      <c r="D20731" s="33" t="s">
        <v>17</v>
      </c>
      <c r="E20731" s="33" t="s">
        <v>26</v>
      </c>
      <c r="F20731" s="33" t="s">
        <v>27</v>
      </c>
      <c r="G20731" s="33" t="s">
        <v>140</v>
      </c>
      <c r="H20731" s="35">
        <v>100</v>
      </c>
      <c r="I20731" s="33" t="s">
        <v>51</v>
      </c>
      <c r="J20731" s="42">
        <v>45413</v>
      </c>
      <c r="K20731" s="33" t="s">
        <v>22</v>
      </c>
    </row>
    <row r="20732" spans="1:11">
      <c r="A20732" s="30" t="s">
        <v>46007</v>
      </c>
      <c r="B20732" s="30" t="s">
        <v>46008</v>
      </c>
      <c r="C20732" s="30" t="s">
        <v>20619</v>
      </c>
      <c r="D20732" s="30" t="s">
        <v>17</v>
      </c>
      <c r="E20732" s="30" t="s">
        <v>18</v>
      </c>
      <c r="F20732" s="30" t="s">
        <v>19</v>
      </c>
      <c r="G20732" s="30" t="s">
        <v>50</v>
      </c>
      <c r="H20732" s="32">
        <v>60</v>
      </c>
      <c r="I20732" s="30" t="s">
        <v>51</v>
      </c>
      <c r="J20732" s="41">
        <v>45323</v>
      </c>
      <c r="K20732" s="30" t="s">
        <v>22</v>
      </c>
    </row>
    <row r="20733" spans="1:11">
      <c r="A20733" s="33" t="s">
        <v>46009</v>
      </c>
      <c r="B20733" s="33" t="s">
        <v>46010</v>
      </c>
      <c r="C20733" s="33" t="s">
        <v>36685</v>
      </c>
      <c r="D20733" s="33" t="s">
        <v>17</v>
      </c>
      <c r="E20733" s="33" t="s">
        <v>26</v>
      </c>
      <c r="F20733" s="33" t="s">
        <v>27</v>
      </c>
      <c r="G20733" s="33" t="s">
        <v>140</v>
      </c>
      <c r="H20733" s="35">
        <v>48</v>
      </c>
      <c r="I20733" s="33" t="s">
        <v>51</v>
      </c>
      <c r="J20733" s="42">
        <v>45641</v>
      </c>
      <c r="K20733" s="33" t="s">
        <v>22</v>
      </c>
    </row>
    <row r="20734" spans="1:11">
      <c r="A20734" s="30" t="s">
        <v>46011</v>
      </c>
      <c r="B20734" s="30" t="s">
        <v>46012</v>
      </c>
      <c r="C20734" s="30" t="s">
        <v>318</v>
      </c>
      <c r="D20734" s="30" t="s">
        <v>17</v>
      </c>
      <c r="E20734" s="30" t="s">
        <v>18</v>
      </c>
      <c r="F20734" s="30" t="s">
        <v>19</v>
      </c>
      <c r="G20734" s="30" t="s">
        <v>158</v>
      </c>
      <c r="H20734" s="32">
        <v>563</v>
      </c>
      <c r="I20734" s="30" t="s">
        <v>21</v>
      </c>
      <c r="J20734" s="41">
        <v>45448</v>
      </c>
      <c r="K20734" s="30" t="s">
        <v>22</v>
      </c>
    </row>
    <row r="20735" spans="1:11">
      <c r="A20735" s="33" t="s">
        <v>46013</v>
      </c>
      <c r="B20735" s="33" t="s">
        <v>46014</v>
      </c>
      <c r="C20735" s="33" t="s">
        <v>17725</v>
      </c>
      <c r="D20735" s="33" t="s">
        <v>17</v>
      </c>
      <c r="E20735" s="33" t="s">
        <v>18</v>
      </c>
      <c r="F20735" s="33" t="s">
        <v>19</v>
      </c>
      <c r="G20735" s="33" t="s">
        <v>140</v>
      </c>
      <c r="H20735" s="35">
        <v>70</v>
      </c>
      <c r="I20735" s="33" t="s">
        <v>51</v>
      </c>
      <c r="J20735" s="42">
        <v>45381</v>
      </c>
      <c r="K20735" s="33" t="s">
        <v>22</v>
      </c>
    </row>
    <row r="20736" spans="1:11">
      <c r="A20736" s="30" t="s">
        <v>46015</v>
      </c>
      <c r="B20736" s="30" t="s">
        <v>46016</v>
      </c>
      <c r="C20736" s="30" t="s">
        <v>10359</v>
      </c>
      <c r="D20736" s="30" t="s">
        <v>17</v>
      </c>
      <c r="E20736" s="30" t="s">
        <v>26</v>
      </c>
      <c r="F20736" s="30" t="s">
        <v>27</v>
      </c>
      <c r="G20736" s="30" t="s">
        <v>106</v>
      </c>
      <c r="H20736" s="32">
        <v>29</v>
      </c>
      <c r="I20736" s="30" t="s">
        <v>21</v>
      </c>
      <c r="J20736" s="41">
        <v>45426</v>
      </c>
      <c r="K20736" s="30" t="s">
        <v>22</v>
      </c>
    </row>
    <row r="20737" spans="1:11">
      <c r="A20737" s="33" t="s">
        <v>46017</v>
      </c>
      <c r="B20737" s="33" t="s">
        <v>46018</v>
      </c>
      <c r="C20737" s="33" t="s">
        <v>149</v>
      </c>
      <c r="D20737" s="33" t="s">
        <v>17</v>
      </c>
      <c r="E20737" s="33" t="s">
        <v>31</v>
      </c>
      <c r="F20737" s="33" t="s">
        <v>32</v>
      </c>
      <c r="G20737" s="33" t="s">
        <v>106</v>
      </c>
      <c r="H20737" s="35">
        <v>82</v>
      </c>
      <c r="I20737" s="33" t="s">
        <v>21</v>
      </c>
      <c r="J20737" s="42">
        <v>45306</v>
      </c>
      <c r="K20737" s="33" t="s">
        <v>22</v>
      </c>
    </row>
    <row r="20738" spans="1:11">
      <c r="A20738" s="30" t="s">
        <v>46019</v>
      </c>
      <c r="B20738" s="30" t="s">
        <v>46020</v>
      </c>
      <c r="C20738" s="30" t="s">
        <v>136</v>
      </c>
      <c r="D20738" s="30" t="s">
        <v>17</v>
      </c>
      <c r="E20738" s="30" t="s">
        <v>26</v>
      </c>
      <c r="F20738" s="30" t="s">
        <v>27</v>
      </c>
      <c r="G20738" s="30" t="s">
        <v>20</v>
      </c>
      <c r="H20738" s="32">
        <v>24</v>
      </c>
      <c r="I20738" s="30" t="s">
        <v>21</v>
      </c>
      <c r="J20738" s="41">
        <v>45379</v>
      </c>
      <c r="K20738" s="30" t="s">
        <v>22</v>
      </c>
    </row>
    <row r="20739" spans="1:11">
      <c r="A20739" s="33" t="s">
        <v>46021</v>
      </c>
      <c r="B20739" s="33" t="s">
        <v>46022</v>
      </c>
      <c r="C20739" s="33" t="s">
        <v>7094</v>
      </c>
      <c r="D20739" s="33" t="s">
        <v>17</v>
      </c>
      <c r="E20739" s="33" t="s">
        <v>18</v>
      </c>
      <c r="F20739" s="33" t="s">
        <v>19</v>
      </c>
      <c r="G20739" s="33" t="s">
        <v>140</v>
      </c>
      <c r="H20739" s="35">
        <v>480</v>
      </c>
      <c r="I20739" s="33" t="s">
        <v>51</v>
      </c>
      <c r="J20739" s="42">
        <v>45573</v>
      </c>
      <c r="K20739" s="33" t="s">
        <v>22</v>
      </c>
    </row>
    <row r="20740" spans="1:11">
      <c r="A20740" s="30" t="s">
        <v>46023</v>
      </c>
      <c r="B20740" s="30" t="s">
        <v>46024</v>
      </c>
      <c r="C20740" s="30" t="s">
        <v>647</v>
      </c>
      <c r="D20740" s="30" t="s">
        <v>17</v>
      </c>
      <c r="E20740" s="30" t="s">
        <v>26</v>
      </c>
      <c r="F20740" s="30" t="s">
        <v>27</v>
      </c>
      <c r="G20740" s="30" t="s">
        <v>20</v>
      </c>
      <c r="H20740" s="32">
        <v>16</v>
      </c>
      <c r="I20740" s="30" t="s">
        <v>21</v>
      </c>
      <c r="J20740" s="41">
        <v>45567</v>
      </c>
      <c r="K20740" s="30" t="s">
        <v>22</v>
      </c>
    </row>
    <row r="20741" spans="1:11">
      <c r="A20741" s="33" t="s">
        <v>46025</v>
      </c>
      <c r="B20741" s="33" t="s">
        <v>46026</v>
      </c>
      <c r="C20741" s="33" t="s">
        <v>46027</v>
      </c>
      <c r="D20741" s="33" t="s">
        <v>17</v>
      </c>
      <c r="E20741" s="33" t="s">
        <v>67</v>
      </c>
      <c r="F20741" s="33" t="s">
        <v>68</v>
      </c>
      <c r="G20741" s="33" t="s">
        <v>140</v>
      </c>
      <c r="H20741" s="35">
        <v>440</v>
      </c>
      <c r="I20741" s="33" t="s">
        <v>51</v>
      </c>
      <c r="J20741" s="42">
        <v>45411</v>
      </c>
      <c r="K20741" s="33" t="s">
        <v>22</v>
      </c>
    </row>
    <row r="20742" spans="1:11">
      <c r="A20742" s="30" t="s">
        <v>46028</v>
      </c>
      <c r="B20742" s="30" t="s">
        <v>46029</v>
      </c>
      <c r="C20742" s="30" t="s">
        <v>969</v>
      </c>
      <c r="D20742" s="30" t="s">
        <v>17</v>
      </c>
      <c r="E20742" s="30" t="s">
        <v>18</v>
      </c>
      <c r="F20742" s="30" t="s">
        <v>19</v>
      </c>
      <c r="G20742" s="30" t="s">
        <v>20</v>
      </c>
      <c r="H20742" s="32">
        <v>751</v>
      </c>
      <c r="I20742" s="30" t="s">
        <v>21</v>
      </c>
      <c r="J20742" s="41">
        <v>45566</v>
      </c>
      <c r="K20742" s="30" t="s">
        <v>22</v>
      </c>
    </row>
    <row r="20743" spans="1:11">
      <c r="A20743" s="33" t="s">
        <v>46030</v>
      </c>
      <c r="B20743" s="33" t="s">
        <v>46031</v>
      </c>
      <c r="C20743" s="33" t="s">
        <v>3013</v>
      </c>
      <c r="D20743" s="33" t="s">
        <v>17</v>
      </c>
      <c r="E20743" s="33" t="s">
        <v>26</v>
      </c>
      <c r="F20743" s="33" t="s">
        <v>27</v>
      </c>
      <c r="G20743" s="33" t="s">
        <v>140</v>
      </c>
      <c r="H20743" s="35">
        <v>168</v>
      </c>
      <c r="I20743" s="33" t="s">
        <v>51</v>
      </c>
      <c r="J20743" s="42">
        <v>45642</v>
      </c>
      <c r="K20743" s="33" t="s">
        <v>22</v>
      </c>
    </row>
    <row r="20744" spans="1:11">
      <c r="A20744" s="30" t="s">
        <v>46032</v>
      </c>
      <c r="B20744" s="30" t="s">
        <v>46033</v>
      </c>
      <c r="C20744" s="30" t="s">
        <v>21185</v>
      </c>
      <c r="D20744" s="30" t="s">
        <v>17</v>
      </c>
      <c r="E20744" s="30" t="s">
        <v>18</v>
      </c>
      <c r="F20744" s="30" t="s">
        <v>19</v>
      </c>
      <c r="G20744" s="30" t="s">
        <v>158</v>
      </c>
      <c r="H20744" s="32">
        <v>60</v>
      </c>
      <c r="I20744" s="30" t="s">
        <v>21</v>
      </c>
      <c r="J20744" s="41">
        <v>45608</v>
      </c>
      <c r="K20744" s="30" t="s">
        <v>22</v>
      </c>
    </row>
    <row r="20745" spans="1:11">
      <c r="A20745" s="33" t="s">
        <v>46034</v>
      </c>
      <c r="B20745" s="33" t="s">
        <v>46035</v>
      </c>
      <c r="C20745" s="33" t="s">
        <v>16469</v>
      </c>
      <c r="D20745" s="33" t="s">
        <v>17</v>
      </c>
      <c r="E20745" s="33" t="s">
        <v>26</v>
      </c>
      <c r="F20745" s="33" t="s">
        <v>27</v>
      </c>
      <c r="G20745" s="33" t="s">
        <v>7780</v>
      </c>
      <c r="H20745" s="35">
        <v>24</v>
      </c>
      <c r="I20745" s="33" t="s">
        <v>51</v>
      </c>
      <c r="J20745" s="42">
        <v>45566</v>
      </c>
      <c r="K20745" s="33" t="s">
        <v>22</v>
      </c>
    </row>
    <row r="20746" spans="1:11">
      <c r="A20746" s="30" t="s">
        <v>46036</v>
      </c>
      <c r="B20746" s="30" t="s">
        <v>46037</v>
      </c>
      <c r="C20746" s="30" t="s">
        <v>46038</v>
      </c>
      <c r="D20746" s="30" t="s">
        <v>17</v>
      </c>
      <c r="E20746" s="30" t="s">
        <v>31</v>
      </c>
      <c r="F20746" s="30" t="s">
        <v>32</v>
      </c>
      <c r="G20746" s="30" t="s">
        <v>158</v>
      </c>
      <c r="H20746" s="32">
        <v>15</v>
      </c>
      <c r="I20746" s="30" t="s">
        <v>51</v>
      </c>
      <c r="J20746" s="41">
        <v>45334</v>
      </c>
      <c r="K20746" s="30" t="s">
        <v>22</v>
      </c>
    </row>
    <row r="20747" spans="1:11">
      <c r="A20747" s="33" t="s">
        <v>46039</v>
      </c>
      <c r="B20747" s="33" t="s">
        <v>46040</v>
      </c>
      <c r="C20747" s="33" t="s">
        <v>14094</v>
      </c>
      <c r="D20747" s="33" t="s">
        <v>17</v>
      </c>
      <c r="E20747" s="33" t="s">
        <v>26</v>
      </c>
      <c r="F20747" s="33" t="s">
        <v>27</v>
      </c>
      <c r="G20747" s="33" t="s">
        <v>140</v>
      </c>
      <c r="H20747" s="35">
        <v>20</v>
      </c>
      <c r="I20747" s="33" t="s">
        <v>51</v>
      </c>
      <c r="J20747" s="42">
        <v>45327</v>
      </c>
      <c r="K20747" s="33" t="s">
        <v>22</v>
      </c>
    </row>
    <row r="20748" spans="1:11">
      <c r="A20748" s="30" t="s">
        <v>46041</v>
      </c>
      <c r="B20748" s="30" t="s">
        <v>46042</v>
      </c>
      <c r="C20748" s="30" t="s">
        <v>510</v>
      </c>
      <c r="D20748" s="30" t="s">
        <v>17</v>
      </c>
      <c r="E20748" s="30" t="s">
        <v>26</v>
      </c>
      <c r="F20748" s="30" t="s">
        <v>27</v>
      </c>
      <c r="G20748" s="30" t="s">
        <v>140</v>
      </c>
      <c r="H20748" s="32">
        <v>170</v>
      </c>
      <c r="I20748" s="30" t="s">
        <v>51</v>
      </c>
      <c r="J20748" s="41">
        <v>45510</v>
      </c>
      <c r="K20748" s="30" t="s">
        <v>22</v>
      </c>
    </row>
    <row r="20749" spans="1:11">
      <c r="A20749" s="33" t="s">
        <v>46043</v>
      </c>
      <c r="B20749" s="33" t="s">
        <v>46044</v>
      </c>
      <c r="C20749" s="33" t="s">
        <v>46045</v>
      </c>
      <c r="D20749" s="33" t="s">
        <v>17</v>
      </c>
      <c r="E20749" s="33" t="s">
        <v>26</v>
      </c>
      <c r="F20749" s="33" t="s">
        <v>27</v>
      </c>
      <c r="G20749" s="33" t="s">
        <v>20</v>
      </c>
      <c r="H20749" s="35">
        <v>11</v>
      </c>
      <c r="I20749" s="33" t="s">
        <v>21</v>
      </c>
      <c r="J20749" s="42">
        <v>45461</v>
      </c>
      <c r="K20749" s="33" t="s">
        <v>22</v>
      </c>
    </row>
    <row r="20750" spans="1:11">
      <c r="A20750" s="30" t="s">
        <v>46046</v>
      </c>
      <c r="B20750" s="30" t="s">
        <v>46047</v>
      </c>
      <c r="C20750" s="30" t="s">
        <v>1270</v>
      </c>
      <c r="D20750" s="30" t="s">
        <v>17</v>
      </c>
      <c r="E20750" s="30" t="s">
        <v>31</v>
      </c>
      <c r="F20750" s="30" t="s">
        <v>32</v>
      </c>
      <c r="G20750" s="30" t="s">
        <v>20</v>
      </c>
      <c r="H20750" s="32">
        <v>363</v>
      </c>
      <c r="I20750" s="30" t="s">
        <v>21</v>
      </c>
      <c r="J20750" s="41">
        <v>45435</v>
      </c>
      <c r="K20750" s="30" t="s">
        <v>22</v>
      </c>
    </row>
    <row r="20751" spans="1:11">
      <c r="A20751" s="33" t="s">
        <v>46048</v>
      </c>
      <c r="B20751" s="33" t="s">
        <v>46049</v>
      </c>
      <c r="C20751" s="33" t="s">
        <v>29506</v>
      </c>
      <c r="D20751" s="33" t="s">
        <v>17</v>
      </c>
      <c r="E20751" s="33" t="s">
        <v>26</v>
      </c>
      <c r="F20751" s="33" t="s">
        <v>27</v>
      </c>
      <c r="G20751" s="33" t="s">
        <v>20</v>
      </c>
      <c r="H20751" s="35">
        <v>48</v>
      </c>
      <c r="I20751" s="33" t="s">
        <v>21</v>
      </c>
      <c r="J20751" s="42">
        <v>45383</v>
      </c>
      <c r="K20751" s="33" t="s">
        <v>22</v>
      </c>
    </row>
    <row r="20752" spans="1:11">
      <c r="A20752" s="30" t="s">
        <v>46050</v>
      </c>
      <c r="B20752" s="30" t="s">
        <v>46051</v>
      </c>
      <c r="C20752" s="30" t="s">
        <v>60</v>
      </c>
      <c r="D20752" s="30" t="s">
        <v>17</v>
      </c>
      <c r="E20752" s="30" t="s">
        <v>26</v>
      </c>
      <c r="F20752" s="30" t="s">
        <v>27</v>
      </c>
      <c r="G20752" s="30" t="s">
        <v>20</v>
      </c>
      <c r="H20752" s="32">
        <v>10</v>
      </c>
      <c r="I20752" s="30" t="s">
        <v>21</v>
      </c>
      <c r="J20752" s="41">
        <v>45377</v>
      </c>
      <c r="K20752" s="30" t="s">
        <v>22</v>
      </c>
    </row>
    <row r="20753" spans="1:11">
      <c r="A20753" s="33" t="s">
        <v>46052</v>
      </c>
      <c r="B20753" s="33" t="s">
        <v>46053</v>
      </c>
      <c r="C20753" s="33" t="s">
        <v>429</v>
      </c>
      <c r="D20753" s="33" t="s">
        <v>17</v>
      </c>
      <c r="E20753" s="33" t="s">
        <v>26</v>
      </c>
      <c r="F20753" s="33" t="s">
        <v>27</v>
      </c>
      <c r="G20753" s="33" t="s">
        <v>158</v>
      </c>
      <c r="H20753" s="35">
        <v>12</v>
      </c>
      <c r="I20753" s="33" t="s">
        <v>21</v>
      </c>
      <c r="J20753" s="42">
        <v>45646</v>
      </c>
      <c r="K20753" s="33" t="s">
        <v>22</v>
      </c>
    </row>
    <row r="20754" spans="1:11">
      <c r="A20754" s="30" t="s">
        <v>46054</v>
      </c>
      <c r="B20754" s="30" t="s">
        <v>46055</v>
      </c>
      <c r="C20754" s="30" t="s">
        <v>3307</v>
      </c>
      <c r="D20754" s="30" t="s">
        <v>17</v>
      </c>
      <c r="E20754" s="30" t="s">
        <v>31</v>
      </c>
      <c r="F20754" s="30" t="s">
        <v>32</v>
      </c>
      <c r="G20754" s="30" t="s">
        <v>106</v>
      </c>
      <c r="H20754" s="32">
        <v>31</v>
      </c>
      <c r="I20754" s="30" t="s">
        <v>21</v>
      </c>
      <c r="J20754" s="41">
        <v>45579</v>
      </c>
      <c r="K20754" s="30" t="s">
        <v>22</v>
      </c>
    </row>
    <row r="20755" spans="1:11">
      <c r="A20755" s="33" t="s">
        <v>46056</v>
      </c>
      <c r="B20755" s="33" t="s">
        <v>46057</v>
      </c>
      <c r="C20755" s="33" t="s">
        <v>318</v>
      </c>
      <c r="D20755" s="33" t="s">
        <v>17</v>
      </c>
      <c r="E20755" s="33" t="s">
        <v>212</v>
      </c>
      <c r="F20755" s="33" t="s">
        <v>213</v>
      </c>
      <c r="G20755" s="33" t="s">
        <v>158</v>
      </c>
      <c r="H20755" s="35">
        <v>102</v>
      </c>
      <c r="I20755" s="33" t="s">
        <v>21</v>
      </c>
      <c r="J20755" s="42">
        <v>45510</v>
      </c>
      <c r="K20755" s="33" t="s">
        <v>22</v>
      </c>
    </row>
    <row r="20756" spans="1:11">
      <c r="A20756" s="30" t="s">
        <v>46058</v>
      </c>
      <c r="B20756" s="30" t="s">
        <v>46059</v>
      </c>
      <c r="C20756" s="30" t="s">
        <v>1133</v>
      </c>
      <c r="D20756" s="30" t="s">
        <v>17</v>
      </c>
      <c r="E20756" s="30" t="s">
        <v>26</v>
      </c>
      <c r="F20756" s="30" t="s">
        <v>27</v>
      </c>
      <c r="G20756" s="30" t="s">
        <v>140</v>
      </c>
      <c r="H20756" s="32">
        <v>180</v>
      </c>
      <c r="I20756" s="30" t="s">
        <v>51</v>
      </c>
      <c r="J20756" s="41">
        <v>45642</v>
      </c>
      <c r="K20756" s="30" t="s">
        <v>22</v>
      </c>
    </row>
    <row r="20757" spans="1:11">
      <c r="A20757" s="33" t="s">
        <v>46060</v>
      </c>
      <c r="B20757" s="33" t="s">
        <v>46061</v>
      </c>
      <c r="C20757" s="33" t="s">
        <v>149</v>
      </c>
      <c r="D20757" s="33" t="s">
        <v>17</v>
      </c>
      <c r="E20757" s="33" t="s">
        <v>31</v>
      </c>
      <c r="F20757" s="33" t="s">
        <v>32</v>
      </c>
      <c r="G20757" s="33" t="s">
        <v>50</v>
      </c>
      <c r="H20757" s="35">
        <v>65</v>
      </c>
      <c r="I20757" s="33" t="s">
        <v>51</v>
      </c>
      <c r="J20757" s="42">
        <v>45447</v>
      </c>
      <c r="K20757" s="33" t="s">
        <v>22</v>
      </c>
    </row>
    <row r="20758" spans="1:11">
      <c r="A20758" s="30" t="s">
        <v>46062</v>
      </c>
      <c r="B20758" s="30" t="s">
        <v>46063</v>
      </c>
      <c r="C20758" s="30" t="s">
        <v>1080</v>
      </c>
      <c r="D20758" s="30" t="s">
        <v>17</v>
      </c>
      <c r="E20758" s="30" t="s">
        <v>26</v>
      </c>
      <c r="F20758" s="30" t="s">
        <v>27</v>
      </c>
      <c r="G20758" s="30" t="s">
        <v>140</v>
      </c>
      <c r="H20758" s="32">
        <v>30</v>
      </c>
      <c r="I20758" s="30" t="s">
        <v>51</v>
      </c>
      <c r="J20758" s="41">
        <v>45654</v>
      </c>
      <c r="K20758" s="30" t="s">
        <v>22</v>
      </c>
    </row>
    <row r="20759" spans="1:11">
      <c r="A20759" s="33" t="s">
        <v>46064</v>
      </c>
      <c r="B20759" s="33" t="s">
        <v>46065</v>
      </c>
      <c r="C20759" s="33" t="s">
        <v>1042</v>
      </c>
      <c r="D20759" s="33" t="s">
        <v>17</v>
      </c>
      <c r="E20759" s="33" t="s">
        <v>31</v>
      </c>
      <c r="F20759" s="33" t="s">
        <v>32</v>
      </c>
      <c r="G20759" s="33" t="s">
        <v>20</v>
      </c>
      <c r="H20759" s="35">
        <v>4</v>
      </c>
      <c r="I20759" s="33" t="s">
        <v>21</v>
      </c>
      <c r="J20759" s="42">
        <v>45600</v>
      </c>
      <c r="K20759" s="33" t="s">
        <v>22</v>
      </c>
    </row>
    <row r="20760" spans="1:11">
      <c r="A20760" s="30" t="s">
        <v>46066</v>
      </c>
      <c r="B20760" s="30" t="s">
        <v>46067</v>
      </c>
      <c r="C20760" s="30" t="s">
        <v>2022</v>
      </c>
      <c r="D20760" s="30" t="s">
        <v>17</v>
      </c>
      <c r="E20760" s="30" t="s">
        <v>26</v>
      </c>
      <c r="F20760" s="30" t="s">
        <v>27</v>
      </c>
      <c r="G20760" s="30" t="s">
        <v>112</v>
      </c>
      <c r="H20760" s="32">
        <v>0</v>
      </c>
      <c r="I20760" s="30" t="s">
        <v>21</v>
      </c>
      <c r="J20760" s="41">
        <v>45365</v>
      </c>
      <c r="K20760" s="30" t="s">
        <v>22</v>
      </c>
    </row>
    <row r="20761" spans="1:11">
      <c r="A20761" s="33" t="s">
        <v>46068</v>
      </c>
      <c r="B20761" s="33" t="s">
        <v>46069</v>
      </c>
      <c r="C20761" s="33" t="s">
        <v>2323</v>
      </c>
      <c r="D20761" s="33" t="s">
        <v>17</v>
      </c>
      <c r="E20761" s="33" t="s">
        <v>18</v>
      </c>
      <c r="F20761" s="33" t="s">
        <v>19</v>
      </c>
      <c r="G20761" s="33" t="s">
        <v>140</v>
      </c>
      <c r="H20761" s="35">
        <v>490</v>
      </c>
      <c r="I20761" s="33" t="s">
        <v>51</v>
      </c>
      <c r="J20761" s="42">
        <v>45327</v>
      </c>
      <c r="K20761" s="33" t="s">
        <v>22</v>
      </c>
    </row>
    <row r="20762" spans="1:11">
      <c r="A20762" s="30" t="s">
        <v>46070</v>
      </c>
      <c r="B20762" s="30" t="s">
        <v>46071</v>
      </c>
      <c r="C20762" s="30" t="s">
        <v>13300</v>
      </c>
      <c r="D20762" s="30" t="s">
        <v>17</v>
      </c>
      <c r="E20762" s="30" t="s">
        <v>26</v>
      </c>
      <c r="F20762" s="30" t="s">
        <v>27</v>
      </c>
      <c r="G20762" s="30" t="s">
        <v>106</v>
      </c>
      <c r="H20762" s="32">
        <v>16</v>
      </c>
      <c r="I20762" s="30" t="s">
        <v>21</v>
      </c>
      <c r="J20762" s="41">
        <v>45474</v>
      </c>
      <c r="K20762" s="30" t="s">
        <v>22</v>
      </c>
    </row>
    <row r="20763" spans="1:11">
      <c r="A20763" s="33" t="s">
        <v>46072</v>
      </c>
      <c r="B20763" s="33" t="s">
        <v>46073</v>
      </c>
      <c r="C20763" s="33" t="s">
        <v>5117</v>
      </c>
      <c r="D20763" s="33" t="s">
        <v>17</v>
      </c>
      <c r="E20763" s="33" t="s">
        <v>26</v>
      </c>
      <c r="F20763" s="33" t="s">
        <v>27</v>
      </c>
      <c r="G20763" s="33" t="s">
        <v>140</v>
      </c>
      <c r="H20763" s="35">
        <v>124</v>
      </c>
      <c r="I20763" s="33" t="s">
        <v>51</v>
      </c>
      <c r="J20763" s="42">
        <v>45531</v>
      </c>
      <c r="K20763" s="33" t="s">
        <v>22</v>
      </c>
    </row>
    <row r="20764" spans="1:11">
      <c r="A20764" s="30" t="s">
        <v>46074</v>
      </c>
      <c r="B20764" s="30" t="s">
        <v>46075</v>
      </c>
      <c r="C20764" s="30" t="s">
        <v>2228</v>
      </c>
      <c r="D20764" s="30" t="s">
        <v>17</v>
      </c>
      <c r="E20764" s="30" t="s">
        <v>31</v>
      </c>
      <c r="F20764" s="30" t="s">
        <v>32</v>
      </c>
      <c r="G20764" s="30" t="s">
        <v>158</v>
      </c>
      <c r="H20764" s="32">
        <v>50</v>
      </c>
      <c r="I20764" s="30" t="s">
        <v>51</v>
      </c>
      <c r="J20764" s="41">
        <v>45396</v>
      </c>
      <c r="K20764" s="30" t="s">
        <v>22</v>
      </c>
    </row>
    <row r="20765" spans="1:11">
      <c r="A20765" s="33" t="s">
        <v>46076</v>
      </c>
      <c r="B20765" s="33" t="s">
        <v>46077</v>
      </c>
      <c r="C20765" s="33" t="s">
        <v>46078</v>
      </c>
      <c r="D20765" s="33" t="s">
        <v>17</v>
      </c>
      <c r="E20765" s="33" t="s">
        <v>18</v>
      </c>
      <c r="F20765" s="33" t="s">
        <v>19</v>
      </c>
      <c r="G20765" s="33" t="s">
        <v>158</v>
      </c>
      <c r="H20765" s="35">
        <v>552</v>
      </c>
      <c r="I20765" s="33" t="s">
        <v>51</v>
      </c>
      <c r="J20765" s="42">
        <v>45544</v>
      </c>
      <c r="K20765" s="33" t="s">
        <v>22</v>
      </c>
    </row>
    <row r="20766" spans="1:11">
      <c r="A20766" s="30" t="s">
        <v>46079</v>
      </c>
      <c r="B20766" s="30" t="s">
        <v>46080</v>
      </c>
      <c r="C20766" s="30" t="s">
        <v>46081</v>
      </c>
      <c r="D20766" s="30" t="s">
        <v>17</v>
      </c>
      <c r="E20766" s="30" t="s">
        <v>67</v>
      </c>
      <c r="F20766" s="30" t="s">
        <v>68</v>
      </c>
      <c r="G20766" s="30" t="s">
        <v>140</v>
      </c>
      <c r="H20766" s="32">
        <v>130</v>
      </c>
      <c r="I20766" s="30" t="s">
        <v>51</v>
      </c>
      <c r="J20766" s="41">
        <v>45460</v>
      </c>
      <c r="K20766" s="30" t="s">
        <v>22</v>
      </c>
    </row>
    <row r="20767" spans="1:11">
      <c r="A20767" s="33" t="s">
        <v>46082</v>
      </c>
      <c r="B20767" s="33" t="s">
        <v>46083</v>
      </c>
      <c r="C20767" s="33" t="s">
        <v>46084</v>
      </c>
      <c r="D20767" s="33" t="s">
        <v>17</v>
      </c>
      <c r="E20767" s="33" t="s">
        <v>31</v>
      </c>
      <c r="F20767" s="33" t="s">
        <v>32</v>
      </c>
      <c r="G20767" s="33" t="s">
        <v>140</v>
      </c>
      <c r="H20767" s="35">
        <v>168</v>
      </c>
      <c r="I20767" s="33" t="s">
        <v>51</v>
      </c>
      <c r="J20767" s="42">
        <v>45444</v>
      </c>
      <c r="K20767" s="33" t="s">
        <v>22</v>
      </c>
    </row>
    <row r="20768" spans="1:11">
      <c r="A20768" s="30" t="s">
        <v>46085</v>
      </c>
      <c r="B20768" s="30" t="s">
        <v>46086</v>
      </c>
      <c r="C20768" s="30" t="s">
        <v>57</v>
      </c>
      <c r="D20768" s="30" t="s">
        <v>17</v>
      </c>
      <c r="E20768" s="30" t="s">
        <v>18</v>
      </c>
      <c r="F20768" s="30" t="s">
        <v>19</v>
      </c>
      <c r="G20768" s="30" t="s">
        <v>20</v>
      </c>
      <c r="H20768" s="32">
        <v>215</v>
      </c>
      <c r="I20768" s="30" t="s">
        <v>21</v>
      </c>
      <c r="J20768" s="41">
        <v>45359</v>
      </c>
      <c r="K20768" s="30" t="s">
        <v>22</v>
      </c>
    </row>
    <row r="20769" spans="1:11">
      <c r="A20769" s="33" t="s">
        <v>46087</v>
      </c>
      <c r="B20769" s="33" t="s">
        <v>46088</v>
      </c>
      <c r="C20769" s="33" t="s">
        <v>190</v>
      </c>
      <c r="D20769" s="33" t="s">
        <v>17</v>
      </c>
      <c r="E20769" s="33" t="s">
        <v>31</v>
      </c>
      <c r="F20769" s="33" t="s">
        <v>32</v>
      </c>
      <c r="G20769" s="33" t="s">
        <v>20</v>
      </c>
      <c r="H20769" s="35">
        <v>537</v>
      </c>
      <c r="I20769" s="33" t="s">
        <v>21</v>
      </c>
      <c r="J20769" s="42">
        <v>45534</v>
      </c>
      <c r="K20769" s="33" t="s">
        <v>22</v>
      </c>
    </row>
    <row r="20770" spans="1:11">
      <c r="A20770" s="30" t="s">
        <v>46089</v>
      </c>
      <c r="B20770" s="30" t="s">
        <v>46090</v>
      </c>
      <c r="C20770" s="30" t="s">
        <v>136</v>
      </c>
      <c r="D20770" s="30" t="s">
        <v>17</v>
      </c>
      <c r="E20770" s="30" t="s">
        <v>26</v>
      </c>
      <c r="F20770" s="30" t="s">
        <v>27</v>
      </c>
      <c r="G20770" s="30" t="s">
        <v>20</v>
      </c>
      <c r="H20770" s="32">
        <v>46</v>
      </c>
      <c r="I20770" s="30" t="s">
        <v>21</v>
      </c>
      <c r="J20770" s="41">
        <v>45632</v>
      </c>
      <c r="K20770" s="30" t="s">
        <v>22</v>
      </c>
    </row>
    <row r="20771" spans="1:11">
      <c r="A20771" s="33" t="s">
        <v>46091</v>
      </c>
      <c r="B20771" s="33" t="s">
        <v>46092</v>
      </c>
      <c r="C20771" s="33" t="s">
        <v>190</v>
      </c>
      <c r="D20771" s="33" t="s">
        <v>17</v>
      </c>
      <c r="E20771" s="33" t="s">
        <v>18</v>
      </c>
      <c r="F20771" s="33" t="s">
        <v>19</v>
      </c>
      <c r="G20771" s="33" t="s">
        <v>140</v>
      </c>
      <c r="H20771" s="35">
        <v>440</v>
      </c>
      <c r="I20771" s="33" t="s">
        <v>51</v>
      </c>
      <c r="J20771" s="42">
        <v>45432</v>
      </c>
      <c r="K20771" s="33" t="s">
        <v>22</v>
      </c>
    </row>
    <row r="20772" spans="1:11">
      <c r="A20772" s="30" t="s">
        <v>46093</v>
      </c>
      <c r="B20772" s="30" t="s">
        <v>46094</v>
      </c>
      <c r="C20772" s="30" t="s">
        <v>715</v>
      </c>
      <c r="D20772" s="30" t="s">
        <v>17</v>
      </c>
      <c r="E20772" s="30" t="s">
        <v>18</v>
      </c>
      <c r="F20772" s="30" t="s">
        <v>19</v>
      </c>
      <c r="G20772" s="30" t="s">
        <v>158</v>
      </c>
      <c r="H20772" s="32">
        <v>982</v>
      </c>
      <c r="I20772" s="30" t="s">
        <v>21</v>
      </c>
      <c r="J20772" s="41">
        <v>45504</v>
      </c>
      <c r="K20772" s="30" t="s">
        <v>22</v>
      </c>
    </row>
    <row r="20773" spans="1:11">
      <c r="A20773" s="33" t="s">
        <v>46095</v>
      </c>
      <c r="B20773" s="33" t="s">
        <v>46096</v>
      </c>
      <c r="C20773" s="33" t="s">
        <v>698</v>
      </c>
      <c r="D20773" s="33" t="s">
        <v>17</v>
      </c>
      <c r="E20773" s="33" t="s">
        <v>26</v>
      </c>
      <c r="F20773" s="33" t="s">
        <v>27</v>
      </c>
      <c r="G20773" s="33" t="s">
        <v>2613</v>
      </c>
      <c r="H20773" s="35">
        <v>54</v>
      </c>
      <c r="I20773" s="33" t="s">
        <v>51</v>
      </c>
      <c r="J20773" s="42">
        <v>45496</v>
      </c>
      <c r="K20773" s="33" t="s">
        <v>22</v>
      </c>
    </row>
    <row r="20774" spans="1:11">
      <c r="A20774" s="30" t="s">
        <v>46097</v>
      </c>
      <c r="B20774" s="30" t="s">
        <v>46098</v>
      </c>
      <c r="C20774" s="30" t="s">
        <v>25549</v>
      </c>
      <c r="D20774" s="30" t="s">
        <v>17</v>
      </c>
      <c r="E20774" s="30" t="s">
        <v>26</v>
      </c>
      <c r="F20774" s="30" t="s">
        <v>27</v>
      </c>
      <c r="G20774" s="30" t="s">
        <v>20</v>
      </c>
      <c r="H20774" s="32">
        <v>6</v>
      </c>
      <c r="I20774" s="30" t="s">
        <v>21</v>
      </c>
      <c r="J20774" s="41">
        <v>45538</v>
      </c>
      <c r="K20774" s="30" t="s">
        <v>22</v>
      </c>
    </row>
    <row r="20775" spans="1:11">
      <c r="A20775" s="33" t="s">
        <v>46099</v>
      </c>
      <c r="B20775" s="33" t="s">
        <v>39830</v>
      </c>
      <c r="C20775" s="33" t="s">
        <v>46100</v>
      </c>
      <c r="D20775" s="33" t="s">
        <v>17</v>
      </c>
      <c r="E20775" s="33" t="s">
        <v>26</v>
      </c>
      <c r="F20775" s="33" t="s">
        <v>27</v>
      </c>
      <c r="G20775" s="33" t="s">
        <v>50</v>
      </c>
      <c r="H20775" s="35">
        <v>48</v>
      </c>
      <c r="I20775" s="33" t="s">
        <v>51</v>
      </c>
      <c r="J20775" s="42">
        <v>45292</v>
      </c>
      <c r="K20775" s="33" t="s">
        <v>22</v>
      </c>
    </row>
    <row r="20776" spans="1:11">
      <c r="A20776" s="30" t="s">
        <v>46101</v>
      </c>
      <c r="B20776" s="30" t="s">
        <v>46102</v>
      </c>
      <c r="C20776" s="30" t="s">
        <v>46103</v>
      </c>
      <c r="D20776" s="30" t="s">
        <v>17</v>
      </c>
      <c r="E20776" s="30" t="s">
        <v>31</v>
      </c>
      <c r="F20776" s="30" t="s">
        <v>32</v>
      </c>
      <c r="G20776" s="30" t="s">
        <v>20</v>
      </c>
      <c r="H20776" s="32">
        <v>209</v>
      </c>
      <c r="I20776" s="30" t="s">
        <v>21</v>
      </c>
      <c r="J20776" s="41">
        <v>45579</v>
      </c>
      <c r="K20776" s="30" t="s">
        <v>22</v>
      </c>
    </row>
    <row r="20777" spans="1:11">
      <c r="A20777" s="33" t="s">
        <v>46104</v>
      </c>
      <c r="B20777" s="33" t="s">
        <v>46105</v>
      </c>
      <c r="C20777" s="33" t="s">
        <v>1151</v>
      </c>
      <c r="D20777" s="33" t="s">
        <v>17</v>
      </c>
      <c r="E20777" s="33" t="s">
        <v>18</v>
      </c>
      <c r="F20777" s="33" t="s">
        <v>19</v>
      </c>
      <c r="G20777" s="33" t="s">
        <v>158</v>
      </c>
      <c r="H20777" s="35">
        <v>1456</v>
      </c>
      <c r="I20777" s="33" t="s">
        <v>21</v>
      </c>
      <c r="J20777" s="42">
        <v>45433</v>
      </c>
      <c r="K20777" s="33" t="s">
        <v>22</v>
      </c>
    </row>
    <row r="20778" spans="1:11">
      <c r="A20778" s="30" t="s">
        <v>46106</v>
      </c>
      <c r="B20778" s="30" t="s">
        <v>46107</v>
      </c>
      <c r="C20778" s="30" t="s">
        <v>190</v>
      </c>
      <c r="D20778" s="30" t="s">
        <v>17</v>
      </c>
      <c r="E20778" s="30" t="s">
        <v>18</v>
      </c>
      <c r="F20778" s="30" t="s">
        <v>19</v>
      </c>
      <c r="G20778" s="30" t="s">
        <v>158</v>
      </c>
      <c r="H20778" s="32">
        <v>594</v>
      </c>
      <c r="I20778" s="30" t="s">
        <v>21</v>
      </c>
      <c r="J20778" s="41">
        <v>45355</v>
      </c>
      <c r="K20778" s="30" t="s">
        <v>22</v>
      </c>
    </row>
    <row r="20779" spans="1:11">
      <c r="A20779" s="33" t="s">
        <v>46108</v>
      </c>
      <c r="B20779" s="33" t="s">
        <v>46109</v>
      </c>
      <c r="C20779" s="33" t="s">
        <v>190</v>
      </c>
      <c r="D20779" s="33" t="s">
        <v>17</v>
      </c>
      <c r="E20779" s="33" t="s">
        <v>31</v>
      </c>
      <c r="F20779" s="33" t="s">
        <v>32</v>
      </c>
      <c r="G20779" s="33" t="s">
        <v>20</v>
      </c>
      <c r="H20779" s="35">
        <v>262</v>
      </c>
      <c r="I20779" s="33" t="s">
        <v>21</v>
      </c>
      <c r="J20779" s="42">
        <v>45566</v>
      </c>
      <c r="K20779" s="33" t="s">
        <v>22</v>
      </c>
    </row>
    <row r="20780" spans="1:11">
      <c r="A20780" s="30" t="s">
        <v>46110</v>
      </c>
      <c r="B20780" s="30" t="s">
        <v>46111</v>
      </c>
      <c r="C20780" s="30" t="s">
        <v>695</v>
      </c>
      <c r="D20780" s="30" t="s">
        <v>17</v>
      </c>
      <c r="E20780" s="30" t="s">
        <v>31</v>
      </c>
      <c r="F20780" s="30" t="s">
        <v>32</v>
      </c>
      <c r="G20780" s="30" t="s">
        <v>158</v>
      </c>
      <c r="H20780" s="32">
        <v>55</v>
      </c>
      <c r="I20780" s="30" t="s">
        <v>21</v>
      </c>
      <c r="J20780" s="41">
        <v>45495</v>
      </c>
      <c r="K20780" s="30" t="s">
        <v>22</v>
      </c>
    </row>
    <row r="20781" spans="1:11">
      <c r="A20781" s="33" t="s">
        <v>46112</v>
      </c>
      <c r="B20781" s="33" t="s">
        <v>46113</v>
      </c>
      <c r="C20781" s="33" t="s">
        <v>39112</v>
      </c>
      <c r="D20781" s="33" t="s">
        <v>17</v>
      </c>
      <c r="E20781" s="33" t="s">
        <v>26</v>
      </c>
      <c r="F20781" s="33" t="s">
        <v>27</v>
      </c>
      <c r="G20781" s="33" t="s">
        <v>20</v>
      </c>
      <c r="H20781" s="35">
        <v>96</v>
      </c>
      <c r="I20781" s="33" t="s">
        <v>21</v>
      </c>
      <c r="J20781" s="42">
        <v>45449</v>
      </c>
      <c r="K20781" s="33" t="s">
        <v>22</v>
      </c>
    </row>
    <row r="20782" spans="1:11">
      <c r="A20782" s="30" t="s">
        <v>46114</v>
      </c>
      <c r="B20782" s="30" t="s">
        <v>46115</v>
      </c>
      <c r="C20782" s="30" t="s">
        <v>10311</v>
      </c>
      <c r="D20782" s="30" t="s">
        <v>17</v>
      </c>
      <c r="E20782" s="30" t="s">
        <v>18</v>
      </c>
      <c r="F20782" s="30" t="s">
        <v>19</v>
      </c>
      <c r="G20782" s="30" t="s">
        <v>140</v>
      </c>
      <c r="H20782" s="32">
        <v>354</v>
      </c>
      <c r="I20782" s="30" t="s">
        <v>51</v>
      </c>
      <c r="J20782" s="41">
        <v>45616</v>
      </c>
      <c r="K20782" s="30" t="s">
        <v>22</v>
      </c>
    </row>
    <row r="20783" spans="1:11">
      <c r="A20783" s="33" t="s">
        <v>46116</v>
      </c>
      <c r="B20783" s="33" t="s">
        <v>46117</v>
      </c>
      <c r="C20783" s="33" t="s">
        <v>187</v>
      </c>
      <c r="D20783" s="33" t="s">
        <v>17</v>
      </c>
      <c r="E20783" s="33" t="s">
        <v>26</v>
      </c>
      <c r="F20783" s="33" t="s">
        <v>27</v>
      </c>
      <c r="G20783" s="33" t="s">
        <v>50</v>
      </c>
      <c r="H20783" s="35">
        <v>8</v>
      </c>
      <c r="I20783" s="33" t="s">
        <v>51</v>
      </c>
      <c r="J20783" s="42">
        <v>45292</v>
      </c>
      <c r="K20783" s="33" t="s">
        <v>22</v>
      </c>
    </row>
    <row r="20784" spans="1:11">
      <c r="A20784" s="30" t="s">
        <v>46118</v>
      </c>
      <c r="B20784" s="30" t="s">
        <v>46119</v>
      </c>
      <c r="C20784" s="30" t="s">
        <v>1764</v>
      </c>
      <c r="D20784" s="30" t="s">
        <v>17</v>
      </c>
      <c r="E20784" s="30" t="s">
        <v>18</v>
      </c>
      <c r="F20784" s="30" t="s">
        <v>19</v>
      </c>
      <c r="G20784" s="30" t="s">
        <v>20</v>
      </c>
      <c r="H20784" s="32">
        <v>95</v>
      </c>
      <c r="I20784" s="30" t="s">
        <v>21</v>
      </c>
      <c r="J20784" s="41">
        <v>45404</v>
      </c>
      <c r="K20784" s="30" t="s">
        <v>22</v>
      </c>
    </row>
    <row r="20785" spans="1:11">
      <c r="A20785" s="33" t="s">
        <v>46120</v>
      </c>
      <c r="B20785" s="33" t="s">
        <v>46121</v>
      </c>
      <c r="C20785" s="33" t="s">
        <v>310</v>
      </c>
      <c r="D20785" s="33" t="s">
        <v>17</v>
      </c>
      <c r="E20785" s="33" t="s">
        <v>26</v>
      </c>
      <c r="F20785" s="33" t="s">
        <v>27</v>
      </c>
      <c r="G20785" s="33" t="s">
        <v>20</v>
      </c>
      <c r="H20785" s="35">
        <v>34</v>
      </c>
      <c r="I20785" s="33" t="s">
        <v>21</v>
      </c>
      <c r="J20785" s="42">
        <v>45349</v>
      </c>
      <c r="K20785" s="33" t="s">
        <v>22</v>
      </c>
    </row>
    <row r="20786" spans="1:11">
      <c r="A20786" s="30" t="s">
        <v>46122</v>
      </c>
      <c r="B20786" s="30" t="s">
        <v>46123</v>
      </c>
      <c r="C20786" s="30" t="s">
        <v>19803</v>
      </c>
      <c r="D20786" s="30" t="s">
        <v>17</v>
      </c>
      <c r="E20786" s="30" t="s">
        <v>18</v>
      </c>
      <c r="F20786" s="30" t="s">
        <v>19</v>
      </c>
      <c r="G20786" s="30" t="s">
        <v>20</v>
      </c>
      <c r="H20786" s="32">
        <v>465</v>
      </c>
      <c r="I20786" s="30" t="s">
        <v>21</v>
      </c>
      <c r="J20786" s="41">
        <v>45303</v>
      </c>
      <c r="K20786" s="30" t="s">
        <v>22</v>
      </c>
    </row>
    <row r="20787" spans="1:11">
      <c r="A20787" s="33" t="s">
        <v>46124</v>
      </c>
      <c r="B20787" s="33" t="s">
        <v>46125</v>
      </c>
      <c r="C20787" s="33" t="s">
        <v>136</v>
      </c>
      <c r="D20787" s="33" t="s">
        <v>17</v>
      </c>
      <c r="E20787" s="33" t="s">
        <v>18</v>
      </c>
      <c r="F20787" s="33" t="s">
        <v>19</v>
      </c>
      <c r="G20787" s="33" t="s">
        <v>158</v>
      </c>
      <c r="H20787" s="35">
        <v>10000</v>
      </c>
      <c r="I20787" s="33" t="s">
        <v>51</v>
      </c>
      <c r="J20787" s="42">
        <v>45412</v>
      </c>
      <c r="K20787" s="33" t="s">
        <v>22</v>
      </c>
    </row>
    <row r="20788" spans="1:11">
      <c r="A20788" s="30" t="s">
        <v>46126</v>
      </c>
      <c r="B20788" s="30" t="s">
        <v>46127</v>
      </c>
      <c r="C20788" s="30" t="s">
        <v>7900</v>
      </c>
      <c r="D20788" s="30" t="s">
        <v>17</v>
      </c>
      <c r="E20788" s="30" t="s">
        <v>26</v>
      </c>
      <c r="F20788" s="30" t="s">
        <v>27</v>
      </c>
      <c r="G20788" s="30" t="s">
        <v>20</v>
      </c>
      <c r="H20788" s="32">
        <v>57</v>
      </c>
      <c r="I20788" s="30" t="s">
        <v>21</v>
      </c>
      <c r="J20788" s="41">
        <v>45446</v>
      </c>
      <c r="K20788" s="30" t="s">
        <v>22</v>
      </c>
    </row>
    <row r="20789" spans="1:11">
      <c r="A20789" s="33" t="s">
        <v>46128</v>
      </c>
      <c r="B20789" s="33" t="s">
        <v>46129</v>
      </c>
      <c r="C20789" s="33" t="s">
        <v>46130</v>
      </c>
      <c r="D20789" s="33" t="s">
        <v>17</v>
      </c>
      <c r="E20789" s="33" t="s">
        <v>26</v>
      </c>
      <c r="F20789" s="33" t="s">
        <v>27</v>
      </c>
      <c r="G20789" s="33" t="s">
        <v>140</v>
      </c>
      <c r="H20789" s="35">
        <v>92</v>
      </c>
      <c r="I20789" s="33" t="s">
        <v>51</v>
      </c>
      <c r="J20789" s="42">
        <v>45587</v>
      </c>
      <c r="K20789" s="33" t="s">
        <v>22</v>
      </c>
    </row>
    <row r="20790" spans="1:11">
      <c r="A20790" s="30" t="s">
        <v>46131</v>
      </c>
      <c r="B20790" s="30" t="s">
        <v>46132</v>
      </c>
      <c r="C20790" s="30" t="s">
        <v>190</v>
      </c>
      <c r="D20790" s="30" t="s">
        <v>17</v>
      </c>
      <c r="E20790" s="30" t="s">
        <v>212</v>
      </c>
      <c r="F20790" s="30" t="s">
        <v>213</v>
      </c>
      <c r="G20790" s="30" t="s">
        <v>20</v>
      </c>
      <c r="H20790" s="32">
        <v>1000</v>
      </c>
      <c r="I20790" s="30" t="s">
        <v>21</v>
      </c>
      <c r="J20790" s="41">
        <v>45583</v>
      </c>
      <c r="K20790" s="30" t="s">
        <v>22</v>
      </c>
    </row>
    <row r="20791" spans="1:11">
      <c r="A20791" s="33" t="s">
        <v>46133</v>
      </c>
      <c r="B20791" s="33" t="s">
        <v>46134</v>
      </c>
      <c r="C20791" s="33" t="s">
        <v>510</v>
      </c>
      <c r="D20791" s="33" t="s">
        <v>17</v>
      </c>
      <c r="E20791" s="33" t="s">
        <v>67</v>
      </c>
      <c r="F20791" s="33" t="s">
        <v>68</v>
      </c>
      <c r="G20791" s="33" t="s">
        <v>140</v>
      </c>
      <c r="H20791" s="35">
        <v>68</v>
      </c>
      <c r="I20791" s="33" t="s">
        <v>51</v>
      </c>
      <c r="J20791" s="42">
        <v>45302</v>
      </c>
      <c r="K20791" s="33" t="s">
        <v>22</v>
      </c>
    </row>
    <row r="20792" spans="1:11">
      <c r="A20792" s="30" t="s">
        <v>46135</v>
      </c>
      <c r="B20792" s="30" t="s">
        <v>46136</v>
      </c>
      <c r="C20792" s="30" t="s">
        <v>2562</v>
      </c>
      <c r="D20792" s="30" t="s">
        <v>17</v>
      </c>
      <c r="E20792" s="30" t="s">
        <v>67</v>
      </c>
      <c r="F20792" s="30" t="s">
        <v>68</v>
      </c>
      <c r="G20792" s="30" t="s">
        <v>50</v>
      </c>
      <c r="H20792" s="32">
        <v>120</v>
      </c>
      <c r="I20792" s="30" t="s">
        <v>51</v>
      </c>
      <c r="J20792" s="41">
        <v>45350</v>
      </c>
      <c r="K20792" s="30" t="s">
        <v>22</v>
      </c>
    </row>
    <row r="20793" spans="1:11">
      <c r="A20793" s="33" t="s">
        <v>46137</v>
      </c>
      <c r="B20793" s="33" t="s">
        <v>46138</v>
      </c>
      <c r="C20793" s="33" t="s">
        <v>46139</v>
      </c>
      <c r="D20793" s="33" t="s">
        <v>17</v>
      </c>
      <c r="E20793" s="33" t="s">
        <v>31</v>
      </c>
      <c r="F20793" s="33" t="s">
        <v>32</v>
      </c>
      <c r="G20793" s="33" t="s">
        <v>112</v>
      </c>
      <c r="H20793" s="35">
        <v>0</v>
      </c>
      <c r="I20793" s="33" t="s">
        <v>21</v>
      </c>
      <c r="J20793" s="42">
        <v>45562</v>
      </c>
      <c r="K20793" s="33" t="s">
        <v>22</v>
      </c>
    </row>
    <row r="20794" spans="1:11">
      <c r="A20794" s="30" t="s">
        <v>46140</v>
      </c>
      <c r="B20794" s="30" t="s">
        <v>46141</v>
      </c>
      <c r="C20794" s="30" t="s">
        <v>149</v>
      </c>
      <c r="D20794" s="30" t="s">
        <v>17</v>
      </c>
      <c r="E20794" s="30" t="s">
        <v>18</v>
      </c>
      <c r="F20794" s="30" t="s">
        <v>19</v>
      </c>
      <c r="G20794" s="30" t="s">
        <v>140</v>
      </c>
      <c r="H20794" s="32">
        <v>360</v>
      </c>
      <c r="I20794" s="30" t="s">
        <v>51</v>
      </c>
      <c r="J20794" s="41">
        <v>45300</v>
      </c>
      <c r="K20794" s="30" t="s">
        <v>22</v>
      </c>
    </row>
    <row r="20795" spans="1:11">
      <c r="A20795" s="33" t="s">
        <v>46142</v>
      </c>
      <c r="B20795" s="33" t="s">
        <v>46143</v>
      </c>
      <c r="C20795" s="33" t="s">
        <v>187</v>
      </c>
      <c r="D20795" s="33" t="s">
        <v>17</v>
      </c>
      <c r="E20795" s="33" t="s">
        <v>18</v>
      </c>
      <c r="F20795" s="33" t="s">
        <v>19</v>
      </c>
      <c r="G20795" s="33" t="s">
        <v>7780</v>
      </c>
      <c r="H20795" s="35">
        <v>358</v>
      </c>
      <c r="I20795" s="33" t="s">
        <v>51</v>
      </c>
      <c r="J20795" s="42">
        <v>45536</v>
      </c>
      <c r="K20795" s="33" t="s">
        <v>22</v>
      </c>
    </row>
    <row r="20796" spans="1:11">
      <c r="A20796" s="30" t="s">
        <v>46144</v>
      </c>
      <c r="B20796" s="30" t="s">
        <v>46145</v>
      </c>
      <c r="C20796" s="30" t="s">
        <v>43267</v>
      </c>
      <c r="D20796" s="30" t="s">
        <v>17</v>
      </c>
      <c r="E20796" s="30" t="s">
        <v>31</v>
      </c>
      <c r="F20796" s="30" t="s">
        <v>32</v>
      </c>
      <c r="G20796" s="30" t="s">
        <v>112</v>
      </c>
      <c r="H20796" s="32">
        <v>0</v>
      </c>
      <c r="I20796" s="30" t="s">
        <v>21</v>
      </c>
      <c r="J20796" s="41">
        <v>45627</v>
      </c>
      <c r="K20796" s="30" t="s">
        <v>22</v>
      </c>
    </row>
    <row r="20797" spans="1:11">
      <c r="A20797" s="33" t="s">
        <v>46146</v>
      </c>
      <c r="B20797" s="33" t="s">
        <v>46147</v>
      </c>
      <c r="C20797" s="33" t="s">
        <v>4348</v>
      </c>
      <c r="D20797" s="33" t="s">
        <v>17</v>
      </c>
      <c r="E20797" s="33" t="s">
        <v>31</v>
      </c>
      <c r="F20797" s="33" t="s">
        <v>32</v>
      </c>
      <c r="G20797" s="33" t="s">
        <v>140</v>
      </c>
      <c r="H20797" s="35">
        <v>66</v>
      </c>
      <c r="I20797" s="33" t="s">
        <v>51</v>
      </c>
      <c r="J20797" s="42">
        <v>45456</v>
      </c>
      <c r="K20797" s="33" t="s">
        <v>22</v>
      </c>
    </row>
    <row r="20798" spans="1:11">
      <c r="A20798" s="30" t="s">
        <v>46148</v>
      </c>
      <c r="B20798" s="30" t="s">
        <v>46149</v>
      </c>
      <c r="C20798" s="30" t="s">
        <v>2753</v>
      </c>
      <c r="D20798" s="30" t="s">
        <v>17</v>
      </c>
      <c r="E20798" s="30" t="s">
        <v>26</v>
      </c>
      <c r="F20798" s="30" t="s">
        <v>27</v>
      </c>
      <c r="G20798" s="30" t="s">
        <v>106</v>
      </c>
      <c r="H20798" s="32">
        <v>42</v>
      </c>
      <c r="I20798" s="30" t="s">
        <v>21</v>
      </c>
      <c r="J20798" s="41">
        <v>45489</v>
      </c>
      <c r="K20798" s="30" t="s">
        <v>22</v>
      </c>
    </row>
    <row r="20799" spans="1:11">
      <c r="A20799" s="33" t="s">
        <v>46150</v>
      </c>
      <c r="B20799" s="33" t="s">
        <v>46151</v>
      </c>
      <c r="C20799" s="33" t="s">
        <v>3057</v>
      </c>
      <c r="D20799" s="33" t="s">
        <v>17</v>
      </c>
      <c r="E20799" s="33" t="s">
        <v>31</v>
      </c>
      <c r="F20799" s="33" t="s">
        <v>32</v>
      </c>
      <c r="G20799" s="33" t="s">
        <v>140</v>
      </c>
      <c r="H20799" s="35">
        <v>20</v>
      </c>
      <c r="I20799" s="33" t="s">
        <v>51</v>
      </c>
      <c r="J20799" s="42">
        <v>45349</v>
      </c>
      <c r="K20799" s="33" t="s">
        <v>22</v>
      </c>
    </row>
    <row r="20800" spans="1:11">
      <c r="A20800" s="30" t="s">
        <v>46152</v>
      </c>
      <c r="B20800" s="30" t="s">
        <v>46153</v>
      </c>
      <c r="C20800" s="30" t="s">
        <v>21241</v>
      </c>
      <c r="D20800" s="30" t="s">
        <v>17</v>
      </c>
      <c r="E20800" s="30" t="s">
        <v>31</v>
      </c>
      <c r="F20800" s="30" t="s">
        <v>32</v>
      </c>
      <c r="G20800" s="30" t="s">
        <v>20</v>
      </c>
      <c r="H20800" s="32">
        <v>5071</v>
      </c>
      <c r="I20800" s="30" t="s">
        <v>21</v>
      </c>
      <c r="J20800" s="41">
        <v>45555</v>
      </c>
      <c r="K20800" s="30" t="s">
        <v>22</v>
      </c>
    </row>
    <row r="20801" spans="1:11">
      <c r="A20801" s="33" t="s">
        <v>46154</v>
      </c>
      <c r="B20801" s="33" t="s">
        <v>46155</v>
      </c>
      <c r="C20801" s="33" t="s">
        <v>42408</v>
      </c>
      <c r="D20801" s="33" t="s">
        <v>17</v>
      </c>
      <c r="E20801" s="33" t="s">
        <v>67</v>
      </c>
      <c r="F20801" s="33" t="s">
        <v>68</v>
      </c>
      <c r="G20801" s="33" t="s">
        <v>112</v>
      </c>
      <c r="H20801" s="35">
        <v>0</v>
      </c>
      <c r="I20801" s="33" t="s">
        <v>21</v>
      </c>
      <c r="J20801" s="42">
        <v>45292</v>
      </c>
      <c r="K20801" s="33" t="s">
        <v>22</v>
      </c>
    </row>
    <row r="20802" spans="1:11">
      <c r="A20802" s="30" t="s">
        <v>46156</v>
      </c>
      <c r="B20802" s="30" t="s">
        <v>46157</v>
      </c>
      <c r="C20802" s="30" t="s">
        <v>216</v>
      </c>
      <c r="D20802" s="30" t="s">
        <v>17</v>
      </c>
      <c r="E20802" s="30" t="s">
        <v>18</v>
      </c>
      <c r="F20802" s="30" t="s">
        <v>19</v>
      </c>
      <c r="G20802" s="30" t="s">
        <v>106</v>
      </c>
      <c r="H20802" s="32">
        <v>162</v>
      </c>
      <c r="I20802" s="30" t="s">
        <v>21</v>
      </c>
      <c r="J20802" s="41">
        <v>45492</v>
      </c>
      <c r="K20802" s="30" t="s">
        <v>22</v>
      </c>
    </row>
    <row r="20803" spans="1:11">
      <c r="A20803" s="33" t="s">
        <v>46158</v>
      </c>
      <c r="B20803" s="33" t="s">
        <v>46159</v>
      </c>
      <c r="C20803" s="33" t="s">
        <v>41445</v>
      </c>
      <c r="D20803" s="33" t="s">
        <v>17</v>
      </c>
      <c r="E20803" s="33" t="s">
        <v>67</v>
      </c>
      <c r="F20803" s="33" t="s">
        <v>68</v>
      </c>
      <c r="G20803" s="33" t="s">
        <v>140</v>
      </c>
      <c r="H20803" s="35">
        <v>250</v>
      </c>
      <c r="I20803" s="33" t="s">
        <v>51</v>
      </c>
      <c r="J20803" s="42">
        <v>45455</v>
      </c>
      <c r="K20803" s="33" t="s">
        <v>22</v>
      </c>
    </row>
    <row r="20804" spans="1:11">
      <c r="A20804" s="30" t="s">
        <v>46160</v>
      </c>
      <c r="B20804" s="30" t="s">
        <v>46161</v>
      </c>
      <c r="C20804" s="30" t="s">
        <v>8374</v>
      </c>
      <c r="D20804" s="30" t="s">
        <v>17</v>
      </c>
      <c r="E20804" s="30" t="s">
        <v>26</v>
      </c>
      <c r="F20804" s="30" t="s">
        <v>27</v>
      </c>
      <c r="G20804" s="30" t="s">
        <v>158</v>
      </c>
      <c r="H20804" s="32">
        <v>18</v>
      </c>
      <c r="I20804" s="30" t="s">
        <v>51</v>
      </c>
      <c r="J20804" s="41">
        <v>45637</v>
      </c>
      <c r="K20804" s="30" t="s">
        <v>22</v>
      </c>
    </row>
    <row r="20805" spans="1:11">
      <c r="A20805" s="33" t="s">
        <v>46162</v>
      </c>
      <c r="B20805" s="33" t="s">
        <v>46163</v>
      </c>
      <c r="C20805" s="33" t="s">
        <v>16683</v>
      </c>
      <c r="D20805" s="33" t="s">
        <v>17</v>
      </c>
      <c r="E20805" s="33" t="s">
        <v>31</v>
      </c>
      <c r="F20805" s="33" t="s">
        <v>32</v>
      </c>
      <c r="G20805" s="33" t="s">
        <v>140</v>
      </c>
      <c r="H20805" s="35">
        <v>20</v>
      </c>
      <c r="I20805" s="33" t="s">
        <v>51</v>
      </c>
      <c r="J20805" s="42">
        <v>45606</v>
      </c>
      <c r="K20805" s="33" t="s">
        <v>22</v>
      </c>
    </row>
    <row r="20806" spans="1:11">
      <c r="A20806" s="30" t="s">
        <v>46164</v>
      </c>
      <c r="B20806" s="30" t="s">
        <v>46165</v>
      </c>
      <c r="C20806" s="30" t="s">
        <v>2739</v>
      </c>
      <c r="D20806" s="30" t="s">
        <v>17</v>
      </c>
      <c r="E20806" s="30" t="s">
        <v>18</v>
      </c>
      <c r="F20806" s="30" t="s">
        <v>19</v>
      </c>
      <c r="G20806" s="30" t="s">
        <v>140</v>
      </c>
      <c r="H20806" s="32">
        <v>274</v>
      </c>
      <c r="I20806" s="30" t="s">
        <v>51</v>
      </c>
      <c r="J20806" s="41">
        <v>45544</v>
      </c>
      <c r="K20806" s="30" t="s">
        <v>22</v>
      </c>
    </row>
    <row r="20807" spans="1:11">
      <c r="A20807" s="33" t="s">
        <v>46166</v>
      </c>
      <c r="B20807" s="33" t="s">
        <v>46167</v>
      </c>
      <c r="C20807" s="33" t="s">
        <v>3296</v>
      </c>
      <c r="D20807" s="33" t="s">
        <v>17</v>
      </c>
      <c r="E20807" s="33" t="s">
        <v>26</v>
      </c>
      <c r="F20807" s="33" t="s">
        <v>27</v>
      </c>
      <c r="G20807" s="33" t="s">
        <v>20</v>
      </c>
      <c r="H20807" s="35">
        <v>90</v>
      </c>
      <c r="I20807" s="33" t="s">
        <v>21</v>
      </c>
      <c r="J20807" s="42">
        <v>45439</v>
      </c>
      <c r="K20807" s="33" t="s">
        <v>22</v>
      </c>
    </row>
    <row r="20808" spans="1:11">
      <c r="A20808" s="30" t="s">
        <v>46168</v>
      </c>
      <c r="B20808" s="30" t="s">
        <v>46169</v>
      </c>
      <c r="C20808" s="30" t="s">
        <v>12295</v>
      </c>
      <c r="D20808" s="30" t="s">
        <v>17</v>
      </c>
      <c r="E20808" s="30" t="s">
        <v>18</v>
      </c>
      <c r="F20808" s="30" t="s">
        <v>19</v>
      </c>
      <c r="G20808" s="30" t="s">
        <v>106</v>
      </c>
      <c r="H20808" s="32">
        <v>68</v>
      </c>
      <c r="I20808" s="30" t="s">
        <v>21</v>
      </c>
      <c r="J20808" s="41">
        <v>45646</v>
      </c>
      <c r="K20808" s="30" t="s">
        <v>22</v>
      </c>
    </row>
    <row r="20809" spans="1:11">
      <c r="A20809" s="33" t="s">
        <v>46170</v>
      </c>
      <c r="B20809" s="33" t="s">
        <v>46171</v>
      </c>
      <c r="C20809" s="33" t="s">
        <v>23579</v>
      </c>
      <c r="D20809" s="33" t="s">
        <v>17</v>
      </c>
      <c r="E20809" s="33" t="s">
        <v>26</v>
      </c>
      <c r="F20809" s="33" t="s">
        <v>27</v>
      </c>
      <c r="G20809" s="33" t="s">
        <v>20</v>
      </c>
      <c r="H20809" s="35">
        <v>32</v>
      </c>
      <c r="I20809" s="33" t="s">
        <v>21</v>
      </c>
      <c r="J20809" s="42">
        <v>45530</v>
      </c>
      <c r="K20809" s="33" t="s">
        <v>22</v>
      </c>
    </row>
    <row r="20810" spans="1:11">
      <c r="A20810" s="30" t="s">
        <v>46172</v>
      </c>
      <c r="B20810" s="30" t="s">
        <v>46173</v>
      </c>
      <c r="C20810" s="30" t="s">
        <v>178</v>
      </c>
      <c r="D20810" s="30" t="s">
        <v>17</v>
      </c>
      <c r="E20810" s="30" t="s">
        <v>31</v>
      </c>
      <c r="F20810" s="30" t="s">
        <v>32</v>
      </c>
      <c r="G20810" s="30" t="s">
        <v>112</v>
      </c>
      <c r="H20810" s="32">
        <v>0</v>
      </c>
      <c r="I20810" s="30" t="s">
        <v>21</v>
      </c>
      <c r="J20810" s="41">
        <v>45626</v>
      </c>
      <c r="K20810" s="30" t="s">
        <v>22</v>
      </c>
    </row>
    <row r="20811" spans="1:11">
      <c r="A20811" s="33" t="s">
        <v>46174</v>
      </c>
      <c r="B20811" s="33" t="s">
        <v>46175</v>
      </c>
      <c r="C20811" s="33" t="s">
        <v>2449</v>
      </c>
      <c r="D20811" s="33" t="s">
        <v>17</v>
      </c>
      <c r="E20811" s="33" t="s">
        <v>31</v>
      </c>
      <c r="F20811" s="33" t="s">
        <v>32</v>
      </c>
      <c r="G20811" s="33" t="s">
        <v>20</v>
      </c>
      <c r="H20811" s="35">
        <v>74</v>
      </c>
      <c r="I20811" s="33" t="s">
        <v>21</v>
      </c>
      <c r="J20811" s="42">
        <v>45638</v>
      </c>
      <c r="K20811" s="33" t="s">
        <v>22</v>
      </c>
    </row>
    <row r="20812" spans="1:11">
      <c r="A20812" s="30" t="s">
        <v>46176</v>
      </c>
      <c r="B20812" s="30" t="s">
        <v>46177</v>
      </c>
      <c r="C20812" s="30" t="s">
        <v>33917</v>
      </c>
      <c r="D20812" s="30" t="s">
        <v>17</v>
      </c>
      <c r="E20812" s="30" t="s">
        <v>67</v>
      </c>
      <c r="F20812" s="30" t="s">
        <v>68</v>
      </c>
      <c r="G20812" s="30" t="s">
        <v>106</v>
      </c>
      <c r="H20812" s="32">
        <v>60</v>
      </c>
      <c r="I20812" s="30" t="s">
        <v>21</v>
      </c>
      <c r="J20812" s="41">
        <v>45427</v>
      </c>
      <c r="K20812" s="30" t="s">
        <v>22</v>
      </c>
    </row>
    <row r="20813" spans="1:11">
      <c r="A20813" s="33" t="s">
        <v>46178</v>
      </c>
      <c r="B20813" s="33" t="s">
        <v>46179</v>
      </c>
      <c r="C20813" s="33" t="s">
        <v>10046</v>
      </c>
      <c r="D20813" s="33" t="s">
        <v>17</v>
      </c>
      <c r="E20813" s="33" t="s">
        <v>31</v>
      </c>
      <c r="F20813" s="33" t="s">
        <v>32</v>
      </c>
      <c r="G20813" s="33" t="s">
        <v>140</v>
      </c>
      <c r="H20813" s="35">
        <v>138</v>
      </c>
      <c r="I20813" s="33" t="s">
        <v>51</v>
      </c>
      <c r="J20813" s="42">
        <v>45470</v>
      </c>
      <c r="K20813" s="33" t="s">
        <v>22</v>
      </c>
    </row>
    <row r="20814" spans="1:11">
      <c r="A20814" s="30" t="s">
        <v>46180</v>
      </c>
      <c r="B20814" s="30" t="s">
        <v>46181</v>
      </c>
      <c r="C20814" s="30" t="s">
        <v>1598</v>
      </c>
      <c r="D20814" s="30" t="s">
        <v>17</v>
      </c>
      <c r="E20814" s="30" t="s">
        <v>26</v>
      </c>
      <c r="F20814" s="30" t="s">
        <v>27</v>
      </c>
      <c r="G20814" s="30" t="s">
        <v>20</v>
      </c>
      <c r="H20814" s="32">
        <v>30</v>
      </c>
      <c r="I20814" s="30" t="s">
        <v>21</v>
      </c>
      <c r="J20814" s="41">
        <v>45487</v>
      </c>
      <c r="K20814" s="30" t="s">
        <v>22</v>
      </c>
    </row>
    <row r="20815" spans="1:11">
      <c r="A20815" s="33" t="s">
        <v>46182</v>
      </c>
      <c r="B20815" s="33" t="s">
        <v>46183</v>
      </c>
      <c r="C20815" s="33" t="s">
        <v>46184</v>
      </c>
      <c r="D20815" s="33" t="s">
        <v>17</v>
      </c>
      <c r="E20815" s="33" t="s">
        <v>26</v>
      </c>
      <c r="F20815" s="33" t="s">
        <v>27</v>
      </c>
      <c r="G20815" s="33" t="s">
        <v>140</v>
      </c>
      <c r="H20815" s="35">
        <v>100</v>
      </c>
      <c r="I20815" s="33" t="s">
        <v>51</v>
      </c>
      <c r="J20815" s="42">
        <v>45376</v>
      </c>
      <c r="K20815" s="33" t="s">
        <v>22</v>
      </c>
    </row>
    <row r="20816" spans="1:11">
      <c r="A20816" s="30" t="s">
        <v>46185</v>
      </c>
      <c r="B20816" s="30" t="s">
        <v>46186</v>
      </c>
      <c r="C20816" s="30" t="s">
        <v>46187</v>
      </c>
      <c r="D20816" s="30" t="s">
        <v>17</v>
      </c>
      <c r="E20816" s="30" t="s">
        <v>26</v>
      </c>
      <c r="F20816" s="30" t="s">
        <v>27</v>
      </c>
      <c r="G20816" s="30" t="s">
        <v>140</v>
      </c>
      <c r="H20816" s="32">
        <v>21</v>
      </c>
      <c r="I20816" s="30" t="s">
        <v>51</v>
      </c>
      <c r="J20816" s="41">
        <v>45646</v>
      </c>
      <c r="K20816" s="30" t="s">
        <v>22</v>
      </c>
    </row>
    <row r="20817" spans="1:11">
      <c r="A20817" s="33" t="s">
        <v>46188</v>
      </c>
      <c r="B20817" s="33" t="s">
        <v>46189</v>
      </c>
      <c r="C20817" s="33" t="s">
        <v>17663</v>
      </c>
      <c r="D20817" s="33" t="s">
        <v>17</v>
      </c>
      <c r="E20817" s="33" t="s">
        <v>18</v>
      </c>
      <c r="F20817" s="33" t="s">
        <v>19</v>
      </c>
      <c r="G20817" s="33" t="s">
        <v>20</v>
      </c>
      <c r="H20817" s="35">
        <v>231</v>
      </c>
      <c r="I20817" s="33" t="s">
        <v>21</v>
      </c>
      <c r="J20817" s="42">
        <v>45435</v>
      </c>
      <c r="K20817" s="33" t="s">
        <v>22</v>
      </c>
    </row>
    <row r="20818" spans="1:11">
      <c r="A20818" s="30" t="s">
        <v>46190</v>
      </c>
      <c r="B20818" s="30" t="s">
        <v>46191</v>
      </c>
      <c r="C20818" s="30" t="s">
        <v>39563</v>
      </c>
      <c r="D20818" s="30" t="s">
        <v>17</v>
      </c>
      <c r="E20818" s="30" t="s">
        <v>26</v>
      </c>
      <c r="F20818" s="30" t="s">
        <v>27</v>
      </c>
      <c r="G20818" s="30" t="s">
        <v>50</v>
      </c>
      <c r="H20818" s="32">
        <v>32</v>
      </c>
      <c r="I20818" s="30" t="s">
        <v>51</v>
      </c>
      <c r="J20818" s="41">
        <v>45356</v>
      </c>
      <c r="K20818" s="30" t="s">
        <v>22</v>
      </c>
    </row>
    <row r="20819" spans="1:11">
      <c r="A20819" s="33" t="s">
        <v>46192</v>
      </c>
      <c r="B20819" s="33" t="s">
        <v>46193</v>
      </c>
      <c r="C20819" s="33" t="s">
        <v>33504</v>
      </c>
      <c r="D20819" s="33" t="s">
        <v>17</v>
      </c>
      <c r="E20819" s="33" t="s">
        <v>31</v>
      </c>
      <c r="F20819" s="33" t="s">
        <v>32</v>
      </c>
      <c r="G20819" s="33" t="s">
        <v>140</v>
      </c>
      <c r="H20819" s="35">
        <v>96</v>
      </c>
      <c r="I20819" s="33" t="s">
        <v>51</v>
      </c>
      <c r="J20819" s="42">
        <v>45372</v>
      </c>
      <c r="K20819" s="33" t="s">
        <v>22</v>
      </c>
    </row>
    <row r="20820" spans="1:11">
      <c r="A20820" s="30" t="s">
        <v>46194</v>
      </c>
      <c r="B20820" s="30" t="s">
        <v>46195</v>
      </c>
      <c r="C20820" s="30" t="s">
        <v>28153</v>
      </c>
      <c r="D20820" s="30" t="s">
        <v>17</v>
      </c>
      <c r="E20820" s="30" t="s">
        <v>26</v>
      </c>
      <c r="F20820" s="30" t="s">
        <v>27</v>
      </c>
      <c r="G20820" s="30" t="s">
        <v>158</v>
      </c>
      <c r="H20820" s="32">
        <v>187</v>
      </c>
      <c r="I20820" s="30" t="s">
        <v>21</v>
      </c>
      <c r="J20820" s="41">
        <v>45399</v>
      </c>
      <c r="K20820" s="30" t="s">
        <v>22</v>
      </c>
    </row>
    <row r="20821" spans="1:11">
      <c r="A20821" s="33" t="s">
        <v>46196</v>
      </c>
      <c r="B20821" s="33" t="s">
        <v>46197</v>
      </c>
      <c r="C20821" s="33" t="s">
        <v>28495</v>
      </c>
      <c r="D20821" s="33" t="s">
        <v>17</v>
      </c>
      <c r="E20821" s="33" t="s">
        <v>31</v>
      </c>
      <c r="F20821" s="33" t="s">
        <v>32</v>
      </c>
      <c r="G20821" s="33" t="s">
        <v>140</v>
      </c>
      <c r="H20821" s="35">
        <v>25</v>
      </c>
      <c r="I20821" s="33" t="s">
        <v>51</v>
      </c>
      <c r="J20821" s="42">
        <v>45341</v>
      </c>
      <c r="K20821" s="33" t="s">
        <v>22</v>
      </c>
    </row>
    <row r="20822" spans="1:11">
      <c r="A20822" s="30" t="s">
        <v>46198</v>
      </c>
      <c r="B20822" s="30" t="s">
        <v>46199</v>
      </c>
      <c r="C20822" s="30" t="s">
        <v>93</v>
      </c>
      <c r="D20822" s="30" t="s">
        <v>17</v>
      </c>
      <c r="E20822" s="30" t="s">
        <v>45</v>
      </c>
      <c r="F20822" s="30" t="s">
        <v>46</v>
      </c>
      <c r="G20822" s="30" t="s">
        <v>140</v>
      </c>
      <c r="H20822" s="32">
        <v>840</v>
      </c>
      <c r="I20822" s="30" t="s">
        <v>51</v>
      </c>
      <c r="J20822" s="41">
        <v>45392</v>
      </c>
      <c r="K20822" s="30" t="s">
        <v>22</v>
      </c>
    </row>
    <row r="20823" spans="1:11">
      <c r="A20823" s="33" t="s">
        <v>46200</v>
      </c>
      <c r="B20823" s="33" t="s">
        <v>46201</v>
      </c>
      <c r="C20823" s="33" t="s">
        <v>46202</v>
      </c>
      <c r="D20823" s="33" t="s">
        <v>17</v>
      </c>
      <c r="E20823" s="33" t="s">
        <v>26</v>
      </c>
      <c r="F20823" s="33" t="s">
        <v>27</v>
      </c>
      <c r="G20823" s="33" t="s">
        <v>140</v>
      </c>
      <c r="H20823" s="35">
        <v>64</v>
      </c>
      <c r="I20823" s="33" t="s">
        <v>51</v>
      </c>
      <c r="J20823" s="42">
        <v>45489</v>
      </c>
      <c r="K20823" s="33" t="s">
        <v>22</v>
      </c>
    </row>
    <row r="20824" spans="1:11">
      <c r="A20824" s="30" t="s">
        <v>46203</v>
      </c>
      <c r="B20824" s="30" t="s">
        <v>46204</v>
      </c>
      <c r="C20824" s="30" t="s">
        <v>25186</v>
      </c>
      <c r="D20824" s="30" t="s">
        <v>17</v>
      </c>
      <c r="E20824" s="30" t="s">
        <v>26</v>
      </c>
      <c r="F20824" s="30" t="s">
        <v>27</v>
      </c>
      <c r="G20824" s="30" t="s">
        <v>7780</v>
      </c>
      <c r="H20824" s="32">
        <v>30</v>
      </c>
      <c r="I20824" s="30" t="s">
        <v>51</v>
      </c>
      <c r="J20824" s="41">
        <v>45566</v>
      </c>
      <c r="K20824" s="30" t="s">
        <v>22</v>
      </c>
    </row>
    <row r="20825" spans="1:11">
      <c r="A20825" s="33" t="s">
        <v>46205</v>
      </c>
      <c r="B20825" s="33" t="s">
        <v>46206</v>
      </c>
      <c r="C20825" s="33" t="s">
        <v>32134</v>
      </c>
      <c r="D20825" s="33" t="s">
        <v>17</v>
      </c>
      <c r="E20825" s="33" t="s">
        <v>31</v>
      </c>
      <c r="F20825" s="33" t="s">
        <v>32</v>
      </c>
      <c r="G20825" s="33" t="s">
        <v>140</v>
      </c>
      <c r="H20825" s="35">
        <v>550</v>
      </c>
      <c r="I20825" s="33" t="s">
        <v>51</v>
      </c>
      <c r="J20825" s="42">
        <v>45337</v>
      </c>
      <c r="K20825" s="33" t="s">
        <v>22</v>
      </c>
    </row>
    <row r="20826" spans="1:11">
      <c r="A20826" s="30" t="s">
        <v>46207</v>
      </c>
      <c r="B20826" s="30" t="s">
        <v>46208</v>
      </c>
      <c r="C20826" s="30" t="s">
        <v>9629</v>
      </c>
      <c r="D20826" s="30" t="s">
        <v>17</v>
      </c>
      <c r="E20826" s="30" t="s">
        <v>18</v>
      </c>
      <c r="F20826" s="30" t="s">
        <v>19</v>
      </c>
      <c r="G20826" s="30" t="s">
        <v>140</v>
      </c>
      <c r="H20826" s="32">
        <v>360</v>
      </c>
      <c r="I20826" s="30" t="s">
        <v>51</v>
      </c>
      <c r="J20826" s="41">
        <v>45454</v>
      </c>
      <c r="K20826" s="30" t="s">
        <v>22</v>
      </c>
    </row>
    <row r="20827" spans="1:11">
      <c r="A20827" s="33" t="s">
        <v>46209</v>
      </c>
      <c r="B20827" s="33" t="s">
        <v>46210</v>
      </c>
      <c r="C20827" s="33" t="s">
        <v>14483</v>
      </c>
      <c r="D20827" s="33" t="s">
        <v>17</v>
      </c>
      <c r="E20827" s="33" t="s">
        <v>26</v>
      </c>
      <c r="F20827" s="33" t="s">
        <v>27</v>
      </c>
      <c r="G20827" s="33" t="s">
        <v>20</v>
      </c>
      <c r="H20827" s="35">
        <v>87</v>
      </c>
      <c r="I20827" s="33" t="s">
        <v>21</v>
      </c>
      <c r="J20827" s="42">
        <v>45391</v>
      </c>
      <c r="K20827" s="33" t="s">
        <v>22</v>
      </c>
    </row>
    <row r="20828" spans="1:11">
      <c r="A20828" s="30" t="s">
        <v>46211</v>
      </c>
      <c r="B20828" s="30" t="s">
        <v>46212</v>
      </c>
      <c r="C20828" s="30" t="s">
        <v>517</v>
      </c>
      <c r="D20828" s="30" t="s">
        <v>17</v>
      </c>
      <c r="E20828" s="30" t="s">
        <v>18</v>
      </c>
      <c r="F20828" s="30" t="s">
        <v>19</v>
      </c>
      <c r="G20828" s="30" t="s">
        <v>50</v>
      </c>
      <c r="H20828" s="32">
        <v>280</v>
      </c>
      <c r="I20828" s="30" t="s">
        <v>51</v>
      </c>
      <c r="J20828" s="41">
        <v>45432</v>
      </c>
      <c r="K20828" s="30" t="s">
        <v>22</v>
      </c>
    </row>
    <row r="20829" spans="1:11">
      <c r="A20829" s="33" t="s">
        <v>46213</v>
      </c>
      <c r="B20829" s="33" t="s">
        <v>46214</v>
      </c>
      <c r="C20829" s="33" t="s">
        <v>969</v>
      </c>
      <c r="D20829" s="33" t="s">
        <v>17</v>
      </c>
      <c r="E20829" s="33" t="s">
        <v>26</v>
      </c>
      <c r="F20829" s="33" t="s">
        <v>27</v>
      </c>
      <c r="G20829" s="33" t="s">
        <v>20</v>
      </c>
      <c r="H20829" s="35">
        <v>46</v>
      </c>
      <c r="I20829" s="33" t="s">
        <v>21</v>
      </c>
      <c r="J20829" s="42">
        <v>45491</v>
      </c>
      <c r="K20829" s="33" t="s">
        <v>22</v>
      </c>
    </row>
    <row r="20830" spans="1:11">
      <c r="A20830" s="30" t="s">
        <v>46215</v>
      </c>
      <c r="B20830" s="30" t="s">
        <v>46216</v>
      </c>
      <c r="C20830" s="30" t="s">
        <v>231</v>
      </c>
      <c r="D20830" s="30" t="s">
        <v>17</v>
      </c>
      <c r="E20830" s="30" t="s">
        <v>26</v>
      </c>
      <c r="F20830" s="30" t="s">
        <v>27</v>
      </c>
      <c r="G20830" s="30" t="s">
        <v>140</v>
      </c>
      <c r="H20830" s="32">
        <v>12</v>
      </c>
      <c r="I20830" s="30" t="s">
        <v>51</v>
      </c>
      <c r="J20830" s="41">
        <v>45510</v>
      </c>
      <c r="K20830" s="30" t="s">
        <v>22</v>
      </c>
    </row>
    <row r="20831" spans="1:11">
      <c r="A20831" s="33" t="s">
        <v>46217</v>
      </c>
      <c r="B20831" s="33" t="s">
        <v>46218</v>
      </c>
      <c r="C20831" s="33" t="s">
        <v>32538</v>
      </c>
      <c r="D20831" s="33" t="s">
        <v>17</v>
      </c>
      <c r="E20831" s="33" t="s">
        <v>26</v>
      </c>
      <c r="F20831" s="33" t="s">
        <v>27</v>
      </c>
      <c r="G20831" s="33" t="s">
        <v>20</v>
      </c>
      <c r="H20831" s="35">
        <v>30</v>
      </c>
      <c r="I20831" s="33" t="s">
        <v>21</v>
      </c>
      <c r="J20831" s="42">
        <v>45299</v>
      </c>
      <c r="K20831" s="33" t="s">
        <v>22</v>
      </c>
    </row>
    <row r="20832" spans="1:11">
      <c r="A20832" s="30" t="s">
        <v>46219</v>
      </c>
      <c r="B20832" s="30" t="s">
        <v>46220</v>
      </c>
      <c r="C20832" s="30" t="s">
        <v>31586</v>
      </c>
      <c r="D20832" s="30" t="s">
        <v>17</v>
      </c>
      <c r="E20832" s="30" t="s">
        <v>26</v>
      </c>
      <c r="F20832" s="30" t="s">
        <v>27</v>
      </c>
      <c r="G20832" s="30" t="s">
        <v>140</v>
      </c>
      <c r="H20832" s="32">
        <v>52</v>
      </c>
      <c r="I20832" s="30" t="s">
        <v>51</v>
      </c>
      <c r="J20832" s="41">
        <v>45461</v>
      </c>
      <c r="K20832" s="30" t="s">
        <v>22</v>
      </c>
    </row>
    <row r="20833" spans="1:11">
      <c r="A20833" s="33" t="s">
        <v>46221</v>
      </c>
      <c r="B20833" s="33" t="s">
        <v>46222</v>
      </c>
      <c r="C20833" s="33" t="s">
        <v>15585</v>
      </c>
      <c r="D20833" s="33" t="s">
        <v>17</v>
      </c>
      <c r="E20833" s="33" t="s">
        <v>31</v>
      </c>
      <c r="F20833" s="33" t="s">
        <v>32</v>
      </c>
      <c r="G20833" s="33" t="s">
        <v>158</v>
      </c>
      <c r="H20833" s="35">
        <v>203</v>
      </c>
      <c r="I20833" s="33" t="s">
        <v>21</v>
      </c>
      <c r="J20833" s="42">
        <v>45418</v>
      </c>
      <c r="K20833" s="33" t="s">
        <v>22</v>
      </c>
    </row>
    <row r="20834" spans="1:11">
      <c r="A20834" s="30" t="s">
        <v>46223</v>
      </c>
      <c r="B20834" s="30" t="s">
        <v>46224</v>
      </c>
      <c r="C20834" s="30" t="s">
        <v>2839</v>
      </c>
      <c r="D20834" s="30" t="s">
        <v>17</v>
      </c>
      <c r="E20834" s="30" t="s">
        <v>67</v>
      </c>
      <c r="F20834" s="30" t="s">
        <v>68</v>
      </c>
      <c r="G20834" s="30" t="s">
        <v>140</v>
      </c>
      <c r="H20834" s="32">
        <v>132</v>
      </c>
      <c r="I20834" s="30" t="s">
        <v>51</v>
      </c>
      <c r="J20834" s="41">
        <v>45378</v>
      </c>
      <c r="K20834" s="30" t="s">
        <v>22</v>
      </c>
    </row>
    <row r="20835" spans="1:11">
      <c r="A20835" s="33" t="s">
        <v>46225</v>
      </c>
      <c r="B20835" s="33" t="s">
        <v>46226</v>
      </c>
      <c r="C20835" s="33" t="s">
        <v>33686</v>
      </c>
      <c r="D20835" s="33" t="s">
        <v>17</v>
      </c>
      <c r="E20835" s="33" t="s">
        <v>18</v>
      </c>
      <c r="F20835" s="33" t="s">
        <v>19</v>
      </c>
      <c r="G20835" s="33" t="s">
        <v>106</v>
      </c>
      <c r="H20835" s="35">
        <v>509</v>
      </c>
      <c r="I20835" s="33" t="s">
        <v>21</v>
      </c>
      <c r="J20835" s="42">
        <v>45455</v>
      </c>
      <c r="K20835" s="33" t="s">
        <v>22</v>
      </c>
    </row>
    <row r="20836" spans="1:11">
      <c r="A20836" s="30" t="s">
        <v>46227</v>
      </c>
      <c r="B20836" s="30" t="s">
        <v>46228</v>
      </c>
      <c r="C20836" s="30" t="s">
        <v>20240</v>
      </c>
      <c r="D20836" s="30" t="s">
        <v>17</v>
      </c>
      <c r="E20836" s="30" t="s">
        <v>26</v>
      </c>
      <c r="F20836" s="30" t="s">
        <v>27</v>
      </c>
      <c r="G20836" s="30" t="s">
        <v>50</v>
      </c>
      <c r="H20836" s="32">
        <v>10</v>
      </c>
      <c r="I20836" s="30" t="s">
        <v>51</v>
      </c>
      <c r="J20836" s="41">
        <v>45550</v>
      </c>
      <c r="K20836" s="30" t="s">
        <v>22</v>
      </c>
    </row>
    <row r="20837" spans="1:11">
      <c r="A20837" s="33" t="s">
        <v>46229</v>
      </c>
      <c r="B20837" s="33" t="s">
        <v>46230</v>
      </c>
      <c r="C20837" s="33" t="s">
        <v>7094</v>
      </c>
      <c r="D20837" s="33" t="s">
        <v>17</v>
      </c>
      <c r="E20837" s="33" t="s">
        <v>18</v>
      </c>
      <c r="F20837" s="33" t="s">
        <v>19</v>
      </c>
      <c r="G20837" s="33" t="s">
        <v>7780</v>
      </c>
      <c r="H20837" s="35">
        <v>232</v>
      </c>
      <c r="I20837" s="33" t="s">
        <v>51</v>
      </c>
      <c r="J20837" s="42">
        <v>45474</v>
      </c>
      <c r="K20837" s="33" t="s">
        <v>22</v>
      </c>
    </row>
    <row r="20838" spans="1:11">
      <c r="A20838" s="30" t="s">
        <v>46231</v>
      </c>
      <c r="B20838" s="30" t="s">
        <v>46232</v>
      </c>
      <c r="C20838" s="30" t="s">
        <v>190</v>
      </c>
      <c r="D20838" s="30" t="s">
        <v>17</v>
      </c>
      <c r="E20838" s="30" t="s">
        <v>26</v>
      </c>
      <c r="F20838" s="30" t="s">
        <v>27</v>
      </c>
      <c r="G20838" s="30" t="s">
        <v>20</v>
      </c>
      <c r="H20838" s="32">
        <v>46</v>
      </c>
      <c r="I20838" s="30" t="s">
        <v>21</v>
      </c>
      <c r="J20838" s="41">
        <v>45390</v>
      </c>
      <c r="K20838" s="30" t="s">
        <v>22</v>
      </c>
    </row>
    <row r="20839" spans="1:11">
      <c r="A20839" s="33" t="s">
        <v>46233</v>
      </c>
      <c r="B20839" s="33" t="s">
        <v>46234</v>
      </c>
      <c r="C20839" s="33" t="s">
        <v>187</v>
      </c>
      <c r="D20839" s="33" t="s">
        <v>17</v>
      </c>
      <c r="E20839" s="33" t="s">
        <v>31</v>
      </c>
      <c r="F20839" s="33" t="s">
        <v>32</v>
      </c>
      <c r="G20839" s="33" t="s">
        <v>7780</v>
      </c>
      <c r="H20839" s="35">
        <v>54</v>
      </c>
      <c r="I20839" s="33" t="s">
        <v>51</v>
      </c>
      <c r="J20839" s="42">
        <v>45474</v>
      </c>
      <c r="K20839" s="33" t="s">
        <v>22</v>
      </c>
    </row>
    <row r="20840" spans="1:11">
      <c r="A20840" s="30" t="s">
        <v>46235</v>
      </c>
      <c r="B20840" s="30" t="s">
        <v>46236</v>
      </c>
      <c r="C20840" s="30" t="s">
        <v>647</v>
      </c>
      <c r="D20840" s="30" t="s">
        <v>17</v>
      </c>
      <c r="E20840" s="30" t="s">
        <v>26</v>
      </c>
      <c r="F20840" s="30" t="s">
        <v>27</v>
      </c>
      <c r="G20840" s="30" t="s">
        <v>20</v>
      </c>
      <c r="H20840" s="32">
        <v>36</v>
      </c>
      <c r="I20840" s="30" t="s">
        <v>21</v>
      </c>
      <c r="J20840" s="41">
        <v>45383</v>
      </c>
      <c r="K20840" s="30" t="s">
        <v>22</v>
      </c>
    </row>
    <row r="20841" spans="1:11">
      <c r="A20841" s="33" t="s">
        <v>46237</v>
      </c>
      <c r="B20841" s="33" t="s">
        <v>46238</v>
      </c>
      <c r="C20841" s="33" t="s">
        <v>20032</v>
      </c>
      <c r="D20841" s="33" t="s">
        <v>17</v>
      </c>
      <c r="E20841" s="33" t="s">
        <v>26</v>
      </c>
      <c r="F20841" s="33" t="s">
        <v>27</v>
      </c>
      <c r="G20841" s="33" t="s">
        <v>20</v>
      </c>
      <c r="H20841" s="35">
        <v>27</v>
      </c>
      <c r="I20841" s="33" t="s">
        <v>21</v>
      </c>
      <c r="J20841" s="42">
        <v>45399</v>
      </c>
      <c r="K20841" s="33" t="s">
        <v>22</v>
      </c>
    </row>
    <row r="20842" spans="1:11">
      <c r="A20842" s="30" t="s">
        <v>46239</v>
      </c>
      <c r="B20842" s="30" t="s">
        <v>46240</v>
      </c>
      <c r="C20842" s="30" t="s">
        <v>1764</v>
      </c>
      <c r="D20842" s="30" t="s">
        <v>17</v>
      </c>
      <c r="E20842" s="30" t="s">
        <v>18</v>
      </c>
      <c r="F20842" s="30" t="s">
        <v>19</v>
      </c>
      <c r="G20842" s="30" t="s">
        <v>20</v>
      </c>
      <c r="H20842" s="32">
        <v>90</v>
      </c>
      <c r="I20842" s="30" t="s">
        <v>21</v>
      </c>
      <c r="J20842" s="41">
        <v>45357</v>
      </c>
      <c r="K20842" s="30" t="s">
        <v>22</v>
      </c>
    </row>
    <row r="20843" spans="1:11">
      <c r="A20843" s="33" t="s">
        <v>46241</v>
      </c>
      <c r="B20843" s="33" t="s">
        <v>46242</v>
      </c>
      <c r="C20843" s="33" t="s">
        <v>28153</v>
      </c>
      <c r="D20843" s="33" t="s">
        <v>17</v>
      </c>
      <c r="E20843" s="33" t="s">
        <v>18</v>
      </c>
      <c r="F20843" s="33" t="s">
        <v>19</v>
      </c>
      <c r="G20843" s="33" t="s">
        <v>140</v>
      </c>
      <c r="H20843" s="35">
        <v>400</v>
      </c>
      <c r="I20843" s="33" t="s">
        <v>51</v>
      </c>
      <c r="J20843" s="42">
        <v>45657</v>
      </c>
      <c r="K20843" s="33" t="s">
        <v>22</v>
      </c>
    </row>
    <row r="20844" spans="1:11">
      <c r="A20844" s="30" t="s">
        <v>46243</v>
      </c>
      <c r="B20844" s="30" t="s">
        <v>46244</v>
      </c>
      <c r="C20844" s="30" t="s">
        <v>109</v>
      </c>
      <c r="D20844" s="30" t="s">
        <v>17</v>
      </c>
      <c r="E20844" s="30" t="s">
        <v>67</v>
      </c>
      <c r="F20844" s="30" t="s">
        <v>68</v>
      </c>
      <c r="G20844" s="30" t="s">
        <v>140</v>
      </c>
      <c r="H20844" s="32">
        <v>232</v>
      </c>
      <c r="I20844" s="30" t="s">
        <v>51</v>
      </c>
      <c r="J20844" s="41">
        <v>45589</v>
      </c>
      <c r="K20844" s="30" t="s">
        <v>22</v>
      </c>
    </row>
    <row r="20845" spans="1:11">
      <c r="A20845" s="33" t="s">
        <v>46245</v>
      </c>
      <c r="B20845" s="33" t="s">
        <v>46246</v>
      </c>
      <c r="C20845" s="33" t="s">
        <v>6303</v>
      </c>
      <c r="D20845" s="33" t="s">
        <v>17</v>
      </c>
      <c r="E20845" s="33" t="s">
        <v>67</v>
      </c>
      <c r="F20845" s="33" t="s">
        <v>68</v>
      </c>
      <c r="G20845" s="33" t="s">
        <v>140</v>
      </c>
      <c r="H20845" s="35">
        <v>126</v>
      </c>
      <c r="I20845" s="33" t="s">
        <v>51</v>
      </c>
      <c r="J20845" s="42">
        <v>45527</v>
      </c>
      <c r="K20845" s="33" t="s">
        <v>22</v>
      </c>
    </row>
    <row r="20846" spans="1:11">
      <c r="A20846" s="30" t="s">
        <v>46247</v>
      </c>
      <c r="B20846" s="30" t="s">
        <v>46248</v>
      </c>
      <c r="C20846" s="30" t="s">
        <v>27299</v>
      </c>
      <c r="D20846" s="30" t="s">
        <v>17</v>
      </c>
      <c r="E20846" s="30" t="s">
        <v>26</v>
      </c>
      <c r="F20846" s="30" t="s">
        <v>27</v>
      </c>
      <c r="G20846" s="30" t="s">
        <v>140</v>
      </c>
      <c r="H20846" s="32">
        <v>24</v>
      </c>
      <c r="I20846" s="30" t="s">
        <v>51</v>
      </c>
      <c r="J20846" s="41">
        <v>45304</v>
      </c>
      <c r="K20846" s="30" t="s">
        <v>22</v>
      </c>
    </row>
    <row r="20847" spans="1:11">
      <c r="A20847" s="33" t="s">
        <v>46249</v>
      </c>
      <c r="B20847" s="33" t="s">
        <v>46250</v>
      </c>
      <c r="C20847" s="33" t="s">
        <v>46251</v>
      </c>
      <c r="D20847" s="33" t="s">
        <v>17</v>
      </c>
      <c r="E20847" s="33" t="s">
        <v>330</v>
      </c>
      <c r="F20847" s="33" t="s">
        <v>331</v>
      </c>
      <c r="G20847" s="33" t="s">
        <v>20</v>
      </c>
      <c r="H20847" s="35">
        <v>11</v>
      </c>
      <c r="I20847" s="33" t="s">
        <v>21</v>
      </c>
      <c r="J20847" s="42">
        <v>45517</v>
      </c>
      <c r="K20847" s="33" t="s">
        <v>22</v>
      </c>
    </row>
    <row r="20848" spans="1:11">
      <c r="A20848" s="30" t="s">
        <v>46252</v>
      </c>
      <c r="B20848" s="30" t="s">
        <v>46253</v>
      </c>
      <c r="C20848" s="30" t="s">
        <v>1969</v>
      </c>
      <c r="D20848" s="30" t="s">
        <v>17</v>
      </c>
      <c r="E20848" s="30" t="s">
        <v>26</v>
      </c>
      <c r="F20848" s="30" t="s">
        <v>27</v>
      </c>
      <c r="G20848" s="30" t="s">
        <v>20</v>
      </c>
      <c r="H20848" s="32">
        <v>56</v>
      </c>
      <c r="I20848" s="30" t="s">
        <v>21</v>
      </c>
      <c r="J20848" s="41">
        <v>45649</v>
      </c>
      <c r="K20848" s="30" t="s">
        <v>22</v>
      </c>
    </row>
    <row r="20849" spans="1:11">
      <c r="A20849" s="33" t="s">
        <v>46254</v>
      </c>
      <c r="B20849" s="33" t="s">
        <v>46255</v>
      </c>
      <c r="C20849" s="33" t="s">
        <v>990</v>
      </c>
      <c r="D20849" s="33" t="s">
        <v>17</v>
      </c>
      <c r="E20849" s="33" t="s">
        <v>31</v>
      </c>
      <c r="F20849" s="33" t="s">
        <v>32</v>
      </c>
      <c r="G20849" s="33" t="s">
        <v>140</v>
      </c>
      <c r="H20849" s="35">
        <v>350</v>
      </c>
      <c r="I20849" s="33" t="s">
        <v>51</v>
      </c>
      <c r="J20849" s="42">
        <v>45567</v>
      </c>
      <c r="K20849" s="33" t="s">
        <v>22</v>
      </c>
    </row>
    <row r="20850" spans="1:11">
      <c r="A20850" s="30" t="s">
        <v>46256</v>
      </c>
      <c r="B20850" s="30" t="s">
        <v>46257</v>
      </c>
      <c r="C20850" s="30" t="s">
        <v>5842</v>
      </c>
      <c r="D20850" s="30" t="s">
        <v>17</v>
      </c>
      <c r="E20850" s="30" t="s">
        <v>31</v>
      </c>
      <c r="F20850" s="30" t="s">
        <v>32</v>
      </c>
      <c r="G20850" s="30" t="s">
        <v>20</v>
      </c>
      <c r="H20850" s="32">
        <v>25</v>
      </c>
      <c r="I20850" s="30" t="s">
        <v>21</v>
      </c>
      <c r="J20850" s="41">
        <v>45369</v>
      </c>
      <c r="K20850" s="30" t="s">
        <v>22</v>
      </c>
    </row>
    <row r="20851" spans="1:11">
      <c r="A20851" s="33" t="s">
        <v>46258</v>
      </c>
      <c r="B20851" s="33" t="s">
        <v>46259</v>
      </c>
      <c r="C20851" s="33" t="s">
        <v>190</v>
      </c>
      <c r="D20851" s="33" t="s">
        <v>17</v>
      </c>
      <c r="E20851" s="33" t="s">
        <v>26</v>
      </c>
      <c r="F20851" s="33" t="s">
        <v>27</v>
      </c>
      <c r="G20851" s="33" t="s">
        <v>158</v>
      </c>
      <c r="H20851" s="35">
        <v>13</v>
      </c>
      <c r="I20851" s="33" t="s">
        <v>21</v>
      </c>
      <c r="J20851" s="42">
        <v>45504</v>
      </c>
      <c r="K20851" s="33" t="s">
        <v>22</v>
      </c>
    </row>
    <row r="20852" spans="1:11">
      <c r="A20852" s="30" t="s">
        <v>46260</v>
      </c>
      <c r="B20852" s="30" t="s">
        <v>46261</v>
      </c>
      <c r="C20852" s="30" t="s">
        <v>318</v>
      </c>
      <c r="D20852" s="30" t="s">
        <v>17</v>
      </c>
      <c r="E20852" s="30" t="s">
        <v>212</v>
      </c>
      <c r="F20852" s="30" t="s">
        <v>213</v>
      </c>
      <c r="G20852" s="30" t="s">
        <v>20</v>
      </c>
      <c r="H20852" s="32">
        <v>262</v>
      </c>
      <c r="I20852" s="30" t="s">
        <v>21</v>
      </c>
      <c r="J20852" s="41">
        <v>45369</v>
      </c>
      <c r="K20852" s="30" t="s">
        <v>22</v>
      </c>
    </row>
    <row r="20853" spans="1:11">
      <c r="A20853" s="33" t="s">
        <v>46262</v>
      </c>
      <c r="B20853" s="33" t="s">
        <v>46263</v>
      </c>
      <c r="C20853" s="33" t="s">
        <v>29833</v>
      </c>
      <c r="D20853" s="33" t="s">
        <v>17</v>
      </c>
      <c r="E20853" s="33" t="s">
        <v>18</v>
      </c>
      <c r="F20853" s="33" t="s">
        <v>19</v>
      </c>
      <c r="G20853" s="33" t="s">
        <v>140</v>
      </c>
      <c r="H20853" s="35">
        <v>207</v>
      </c>
      <c r="I20853" s="33" t="s">
        <v>51</v>
      </c>
      <c r="J20853" s="42">
        <v>45628</v>
      </c>
      <c r="K20853" s="33" t="s">
        <v>22</v>
      </c>
    </row>
    <row r="20854" spans="1:11">
      <c r="A20854" s="30" t="s">
        <v>46264</v>
      </c>
      <c r="B20854" s="30" t="s">
        <v>46265</v>
      </c>
      <c r="C20854" s="30" t="s">
        <v>774</v>
      </c>
      <c r="D20854" s="30" t="s">
        <v>17</v>
      </c>
      <c r="E20854" s="30" t="s">
        <v>18</v>
      </c>
      <c r="F20854" s="30" t="s">
        <v>19</v>
      </c>
      <c r="G20854" s="30" t="s">
        <v>158</v>
      </c>
      <c r="H20854" s="32">
        <v>150</v>
      </c>
      <c r="I20854" s="30" t="s">
        <v>51</v>
      </c>
      <c r="J20854" s="41">
        <v>45327</v>
      </c>
      <c r="K20854" s="30" t="s">
        <v>22</v>
      </c>
    </row>
    <row r="20855" spans="1:11">
      <c r="A20855" s="33" t="s">
        <v>46266</v>
      </c>
      <c r="B20855" s="33" t="s">
        <v>46267</v>
      </c>
      <c r="C20855" s="33" t="s">
        <v>16</v>
      </c>
      <c r="D20855" s="33" t="s">
        <v>17</v>
      </c>
      <c r="E20855" s="33" t="s">
        <v>31</v>
      </c>
      <c r="F20855" s="33" t="s">
        <v>32</v>
      </c>
      <c r="G20855" s="33" t="s">
        <v>158</v>
      </c>
      <c r="H20855" s="35">
        <v>150</v>
      </c>
      <c r="I20855" s="33" t="s">
        <v>51</v>
      </c>
      <c r="J20855" s="42">
        <v>45642</v>
      </c>
      <c r="K20855" s="33" t="s">
        <v>22</v>
      </c>
    </row>
    <row r="20856" spans="1:11">
      <c r="A20856" s="30" t="s">
        <v>46268</v>
      </c>
      <c r="B20856" s="30" t="s">
        <v>46269</v>
      </c>
      <c r="C20856" s="30" t="s">
        <v>990</v>
      </c>
      <c r="D20856" s="30" t="s">
        <v>17</v>
      </c>
      <c r="E20856" s="30" t="s">
        <v>26</v>
      </c>
      <c r="F20856" s="30" t="s">
        <v>27</v>
      </c>
      <c r="G20856" s="30" t="s">
        <v>20</v>
      </c>
      <c r="H20856" s="32">
        <v>24</v>
      </c>
      <c r="I20856" s="30" t="s">
        <v>21</v>
      </c>
      <c r="J20856" s="41">
        <v>45379</v>
      </c>
      <c r="K20856" s="30" t="s">
        <v>22</v>
      </c>
    </row>
    <row r="20857" spans="1:11">
      <c r="A20857" s="33" t="s">
        <v>46270</v>
      </c>
      <c r="B20857" s="33" t="s">
        <v>46271</v>
      </c>
      <c r="C20857" s="33" t="s">
        <v>24225</v>
      </c>
      <c r="D20857" s="33" t="s">
        <v>17</v>
      </c>
      <c r="E20857" s="33" t="s">
        <v>67</v>
      </c>
      <c r="F20857" s="33" t="s">
        <v>68</v>
      </c>
      <c r="G20857" s="33" t="s">
        <v>50</v>
      </c>
      <c r="H20857" s="35">
        <v>71</v>
      </c>
      <c r="I20857" s="33" t="s">
        <v>51</v>
      </c>
      <c r="J20857" s="42">
        <v>45470</v>
      </c>
      <c r="K20857" s="33" t="s">
        <v>22</v>
      </c>
    </row>
    <row r="20858" spans="1:11">
      <c r="A20858" s="30" t="s">
        <v>46272</v>
      </c>
      <c r="B20858" s="30" t="s">
        <v>46273</v>
      </c>
      <c r="C20858" s="30" t="s">
        <v>1767</v>
      </c>
      <c r="D20858" s="30" t="s">
        <v>17</v>
      </c>
      <c r="E20858" s="30" t="s">
        <v>31</v>
      </c>
      <c r="F20858" s="30" t="s">
        <v>32</v>
      </c>
      <c r="G20858" s="30" t="s">
        <v>20</v>
      </c>
      <c r="H20858" s="32">
        <v>10</v>
      </c>
      <c r="I20858" s="30" t="s">
        <v>21</v>
      </c>
      <c r="J20858" s="41">
        <v>45323</v>
      </c>
      <c r="K20858" s="30" t="s">
        <v>22</v>
      </c>
    </row>
    <row r="20859" spans="1:11">
      <c r="A20859" s="33" t="s">
        <v>46274</v>
      </c>
      <c r="B20859" s="33" t="s">
        <v>46275</v>
      </c>
      <c r="C20859" s="33" t="s">
        <v>8775</v>
      </c>
      <c r="D20859" s="33" t="s">
        <v>17</v>
      </c>
      <c r="E20859" s="33" t="s">
        <v>330</v>
      </c>
      <c r="F20859" s="33" t="s">
        <v>331</v>
      </c>
      <c r="G20859" s="33" t="s">
        <v>7780</v>
      </c>
      <c r="H20859" s="35">
        <v>10</v>
      </c>
      <c r="I20859" s="33" t="s">
        <v>51</v>
      </c>
      <c r="J20859" s="42">
        <v>45621</v>
      </c>
      <c r="K20859" s="33" t="s">
        <v>22</v>
      </c>
    </row>
    <row r="20860" spans="1:11">
      <c r="A20860" s="30" t="s">
        <v>46276</v>
      </c>
      <c r="B20860" s="30" t="s">
        <v>46277</v>
      </c>
      <c r="C20860" s="30" t="s">
        <v>46278</v>
      </c>
      <c r="D20860" s="30" t="s">
        <v>17</v>
      </c>
      <c r="E20860" s="30" t="s">
        <v>45</v>
      </c>
      <c r="F20860" s="30" t="s">
        <v>46</v>
      </c>
      <c r="G20860" s="30" t="s">
        <v>140</v>
      </c>
      <c r="H20860" s="32">
        <v>264</v>
      </c>
      <c r="I20860" s="30" t="s">
        <v>51</v>
      </c>
      <c r="J20860" s="41">
        <v>45351</v>
      </c>
      <c r="K20860" s="30" t="s">
        <v>22</v>
      </c>
    </row>
    <row r="20861" spans="1:11">
      <c r="A20861" s="33" t="s">
        <v>46279</v>
      </c>
      <c r="B20861" s="33" t="s">
        <v>46280</v>
      </c>
      <c r="C20861" s="33" t="s">
        <v>46281</v>
      </c>
      <c r="D20861" s="33" t="s">
        <v>17</v>
      </c>
      <c r="E20861" s="33" t="s">
        <v>18</v>
      </c>
      <c r="F20861" s="33" t="s">
        <v>19</v>
      </c>
      <c r="G20861" s="33" t="s">
        <v>158</v>
      </c>
      <c r="H20861" s="35">
        <v>279</v>
      </c>
      <c r="I20861" s="33" t="s">
        <v>51</v>
      </c>
      <c r="J20861" s="42">
        <v>45510</v>
      </c>
      <c r="K20861" s="33" t="s">
        <v>22</v>
      </c>
    </row>
    <row r="20862" spans="1:11">
      <c r="A20862" s="30" t="s">
        <v>46282</v>
      </c>
      <c r="B20862" s="30" t="s">
        <v>46283</v>
      </c>
      <c r="C20862" s="30" t="s">
        <v>190</v>
      </c>
      <c r="D20862" s="30" t="s">
        <v>17</v>
      </c>
      <c r="E20862" s="30" t="s">
        <v>26</v>
      </c>
      <c r="F20862" s="30" t="s">
        <v>27</v>
      </c>
      <c r="G20862" s="30" t="s">
        <v>20</v>
      </c>
      <c r="H20862" s="32">
        <v>84</v>
      </c>
      <c r="I20862" s="30" t="s">
        <v>21</v>
      </c>
      <c r="J20862" s="41">
        <v>45467</v>
      </c>
      <c r="K20862" s="30" t="s">
        <v>22</v>
      </c>
    </row>
    <row r="20863" spans="1:11">
      <c r="A20863" s="33" t="s">
        <v>46284</v>
      </c>
      <c r="B20863" s="33" t="s">
        <v>46285</v>
      </c>
      <c r="C20863" s="33" t="s">
        <v>118</v>
      </c>
      <c r="D20863" s="33" t="s">
        <v>17</v>
      </c>
      <c r="E20863" s="33" t="s">
        <v>18</v>
      </c>
      <c r="F20863" s="33" t="s">
        <v>19</v>
      </c>
      <c r="G20863" s="33" t="s">
        <v>20</v>
      </c>
      <c r="H20863" s="35">
        <v>333</v>
      </c>
      <c r="I20863" s="33" t="s">
        <v>21</v>
      </c>
      <c r="J20863" s="42">
        <v>45441</v>
      </c>
      <c r="K20863" s="33" t="s">
        <v>22</v>
      </c>
    </row>
    <row r="20864" spans="1:11">
      <c r="A20864" s="30" t="s">
        <v>46286</v>
      </c>
      <c r="B20864" s="30" t="s">
        <v>46287</v>
      </c>
      <c r="C20864" s="30" t="s">
        <v>3013</v>
      </c>
      <c r="D20864" s="30" t="s">
        <v>17</v>
      </c>
      <c r="E20864" s="30" t="s">
        <v>18</v>
      </c>
      <c r="F20864" s="30" t="s">
        <v>19</v>
      </c>
      <c r="G20864" s="30" t="s">
        <v>158</v>
      </c>
      <c r="H20864" s="32">
        <v>307</v>
      </c>
      <c r="I20864" s="30" t="s">
        <v>21</v>
      </c>
      <c r="J20864" s="41">
        <v>45343</v>
      </c>
      <c r="K20864" s="30" t="s">
        <v>22</v>
      </c>
    </row>
    <row r="20865" spans="1:11">
      <c r="A20865" s="33" t="s">
        <v>46288</v>
      </c>
      <c r="B20865" s="33" t="s">
        <v>46289</v>
      </c>
      <c r="C20865" s="33" t="s">
        <v>18463</v>
      </c>
      <c r="D20865" s="33" t="s">
        <v>17</v>
      </c>
      <c r="E20865" s="33" t="s">
        <v>18</v>
      </c>
      <c r="F20865" s="33" t="s">
        <v>19</v>
      </c>
      <c r="G20865" s="33" t="s">
        <v>140</v>
      </c>
      <c r="H20865" s="35">
        <v>277</v>
      </c>
      <c r="I20865" s="33" t="s">
        <v>51</v>
      </c>
      <c r="J20865" s="42">
        <v>45349</v>
      </c>
      <c r="K20865" s="33" t="s">
        <v>22</v>
      </c>
    </row>
    <row r="20866" spans="1:11">
      <c r="A20866" s="30" t="s">
        <v>46290</v>
      </c>
      <c r="B20866" s="30" t="s">
        <v>46291</v>
      </c>
      <c r="C20866" s="30" t="s">
        <v>19353</v>
      </c>
      <c r="D20866" s="30" t="s">
        <v>17</v>
      </c>
      <c r="E20866" s="30" t="s">
        <v>31</v>
      </c>
      <c r="F20866" s="30" t="s">
        <v>32</v>
      </c>
      <c r="G20866" s="30" t="s">
        <v>140</v>
      </c>
      <c r="H20866" s="32">
        <v>120</v>
      </c>
      <c r="I20866" s="30" t="s">
        <v>51</v>
      </c>
      <c r="J20866" s="41">
        <v>45613</v>
      </c>
      <c r="K20866" s="30" t="s">
        <v>22</v>
      </c>
    </row>
    <row r="20867" spans="1:11">
      <c r="A20867" s="33" t="s">
        <v>46292</v>
      </c>
      <c r="B20867" s="33" t="s">
        <v>46293</v>
      </c>
      <c r="C20867" s="33" t="s">
        <v>16391</v>
      </c>
      <c r="D20867" s="33" t="s">
        <v>17</v>
      </c>
      <c r="E20867" s="33" t="s">
        <v>26</v>
      </c>
      <c r="F20867" s="33" t="s">
        <v>27</v>
      </c>
      <c r="G20867" s="33" t="s">
        <v>140</v>
      </c>
      <c r="H20867" s="35">
        <v>90</v>
      </c>
      <c r="I20867" s="33" t="s">
        <v>51</v>
      </c>
      <c r="J20867" s="42">
        <v>45481</v>
      </c>
      <c r="K20867" s="33" t="s">
        <v>22</v>
      </c>
    </row>
    <row r="20868" spans="1:11">
      <c r="A20868" s="30" t="s">
        <v>46294</v>
      </c>
      <c r="B20868" s="30" t="s">
        <v>46295</v>
      </c>
      <c r="C20868" s="30" t="s">
        <v>318</v>
      </c>
      <c r="D20868" s="30" t="s">
        <v>17</v>
      </c>
      <c r="E20868" s="30" t="s">
        <v>18</v>
      </c>
      <c r="F20868" s="30" t="s">
        <v>19</v>
      </c>
      <c r="G20868" s="30" t="s">
        <v>158</v>
      </c>
      <c r="H20868" s="32">
        <v>315</v>
      </c>
      <c r="I20868" s="30" t="s">
        <v>21</v>
      </c>
      <c r="J20868" s="41">
        <v>45544</v>
      </c>
      <c r="K20868" s="30" t="s">
        <v>22</v>
      </c>
    </row>
    <row r="20869" spans="1:11">
      <c r="A20869" s="33" t="s">
        <v>46296</v>
      </c>
      <c r="B20869" s="33" t="s">
        <v>46297</v>
      </c>
      <c r="C20869" s="33" t="s">
        <v>2678</v>
      </c>
      <c r="D20869" s="33" t="s">
        <v>17</v>
      </c>
      <c r="E20869" s="33" t="s">
        <v>31</v>
      </c>
      <c r="F20869" s="33" t="s">
        <v>32</v>
      </c>
      <c r="G20869" s="33" t="s">
        <v>20</v>
      </c>
      <c r="H20869" s="35">
        <v>82</v>
      </c>
      <c r="I20869" s="33" t="s">
        <v>21</v>
      </c>
      <c r="J20869" s="42">
        <v>45320</v>
      </c>
      <c r="K20869" s="33" t="s">
        <v>22</v>
      </c>
    </row>
    <row r="20870" spans="1:11">
      <c r="A20870" s="30" t="s">
        <v>46298</v>
      </c>
      <c r="B20870" s="30" t="s">
        <v>46299</v>
      </c>
      <c r="C20870" s="30" t="s">
        <v>46300</v>
      </c>
      <c r="D20870" s="30" t="s">
        <v>17</v>
      </c>
      <c r="E20870" s="30" t="s">
        <v>26</v>
      </c>
      <c r="F20870" s="30" t="s">
        <v>27</v>
      </c>
      <c r="G20870" s="30" t="s">
        <v>140</v>
      </c>
      <c r="H20870" s="32">
        <v>36</v>
      </c>
      <c r="I20870" s="30" t="s">
        <v>51</v>
      </c>
      <c r="J20870" s="41">
        <v>45390</v>
      </c>
      <c r="K20870" s="30" t="s">
        <v>22</v>
      </c>
    </row>
    <row r="20871" spans="1:11">
      <c r="A20871" s="33" t="s">
        <v>46301</v>
      </c>
      <c r="B20871" s="33" t="s">
        <v>46302</v>
      </c>
      <c r="C20871" s="33" t="s">
        <v>32824</v>
      </c>
      <c r="D20871" s="33" t="s">
        <v>17</v>
      </c>
      <c r="E20871" s="33" t="s">
        <v>45</v>
      </c>
      <c r="F20871" s="33" t="s">
        <v>46</v>
      </c>
      <c r="G20871" s="33" t="s">
        <v>50</v>
      </c>
      <c r="H20871" s="35">
        <v>35</v>
      </c>
      <c r="I20871" s="33" t="s">
        <v>51</v>
      </c>
      <c r="J20871" s="42">
        <v>45381</v>
      </c>
      <c r="K20871" s="33" t="s">
        <v>22</v>
      </c>
    </row>
    <row r="20872" spans="1:11">
      <c r="A20872" s="30" t="s">
        <v>46303</v>
      </c>
      <c r="B20872" s="30" t="s">
        <v>46304</v>
      </c>
      <c r="C20872" s="30" t="s">
        <v>190</v>
      </c>
      <c r="D20872" s="30" t="s">
        <v>17</v>
      </c>
      <c r="E20872" s="30" t="s">
        <v>31</v>
      </c>
      <c r="F20872" s="30" t="s">
        <v>32</v>
      </c>
      <c r="G20872" s="30" t="s">
        <v>140</v>
      </c>
      <c r="H20872" s="32">
        <v>257</v>
      </c>
      <c r="I20872" s="30" t="s">
        <v>51</v>
      </c>
      <c r="J20872" s="41">
        <v>45526</v>
      </c>
      <c r="K20872" s="30" t="s">
        <v>22</v>
      </c>
    </row>
    <row r="20873" spans="1:11">
      <c r="A20873" s="33" t="s">
        <v>46305</v>
      </c>
      <c r="B20873" s="33" t="s">
        <v>46306</v>
      </c>
      <c r="C20873" s="33" t="s">
        <v>46307</v>
      </c>
      <c r="D20873" s="33" t="s">
        <v>17</v>
      </c>
      <c r="E20873" s="33" t="s">
        <v>67</v>
      </c>
      <c r="F20873" s="33" t="s">
        <v>68</v>
      </c>
      <c r="G20873" s="33" t="s">
        <v>106</v>
      </c>
      <c r="H20873" s="35">
        <v>5</v>
      </c>
      <c r="I20873" s="33" t="s">
        <v>21</v>
      </c>
      <c r="J20873" s="42">
        <v>45630</v>
      </c>
      <c r="K20873" s="33" t="s">
        <v>22</v>
      </c>
    </row>
    <row r="20874" spans="1:11">
      <c r="A20874" s="30" t="s">
        <v>46308</v>
      </c>
      <c r="B20874" s="30" t="s">
        <v>46309</v>
      </c>
      <c r="C20874" s="30" t="s">
        <v>109</v>
      </c>
      <c r="D20874" s="30" t="s">
        <v>17</v>
      </c>
      <c r="E20874" s="30" t="s">
        <v>212</v>
      </c>
      <c r="F20874" s="30" t="s">
        <v>213</v>
      </c>
      <c r="G20874" s="30" t="s">
        <v>20</v>
      </c>
      <c r="H20874" s="32">
        <v>85</v>
      </c>
      <c r="I20874" s="30" t="s">
        <v>21</v>
      </c>
      <c r="J20874" s="41">
        <v>45624</v>
      </c>
      <c r="K20874" s="30" t="s">
        <v>22</v>
      </c>
    </row>
    <row r="20875" spans="1:11">
      <c r="A20875" s="33" t="s">
        <v>46310</v>
      </c>
      <c r="B20875" s="33" t="s">
        <v>46311</v>
      </c>
      <c r="C20875" s="33" t="s">
        <v>43594</v>
      </c>
      <c r="D20875" s="33" t="s">
        <v>17</v>
      </c>
      <c r="E20875" s="33" t="s">
        <v>26</v>
      </c>
      <c r="F20875" s="33" t="s">
        <v>27</v>
      </c>
      <c r="G20875" s="33" t="s">
        <v>50</v>
      </c>
      <c r="H20875" s="35">
        <v>10</v>
      </c>
      <c r="I20875" s="33" t="s">
        <v>51</v>
      </c>
      <c r="J20875" s="42">
        <v>45383</v>
      </c>
      <c r="K20875" s="33" t="s">
        <v>22</v>
      </c>
    </row>
    <row r="20876" spans="1:11">
      <c r="A20876" s="30" t="s">
        <v>46312</v>
      </c>
      <c r="B20876" s="30" t="s">
        <v>46313</v>
      </c>
      <c r="C20876" s="30" t="s">
        <v>2972</v>
      </c>
      <c r="D20876" s="30" t="s">
        <v>17</v>
      </c>
      <c r="E20876" s="30" t="s">
        <v>18</v>
      </c>
      <c r="F20876" s="30" t="s">
        <v>19</v>
      </c>
      <c r="G20876" s="30" t="s">
        <v>140</v>
      </c>
      <c r="H20876" s="32">
        <v>680</v>
      </c>
      <c r="I20876" s="30" t="s">
        <v>51</v>
      </c>
      <c r="J20876" s="41">
        <v>45448</v>
      </c>
      <c r="K20876" s="30" t="s">
        <v>22</v>
      </c>
    </row>
    <row r="20877" spans="1:11">
      <c r="A20877" s="33" t="s">
        <v>46314</v>
      </c>
      <c r="B20877" s="33" t="s">
        <v>46315</v>
      </c>
      <c r="C20877" s="33" t="s">
        <v>4962</v>
      </c>
      <c r="D20877" s="33" t="s">
        <v>17</v>
      </c>
      <c r="E20877" s="33" t="s">
        <v>31</v>
      </c>
      <c r="F20877" s="33" t="s">
        <v>32</v>
      </c>
      <c r="G20877" s="33" t="s">
        <v>50</v>
      </c>
      <c r="H20877" s="35">
        <v>280</v>
      </c>
      <c r="I20877" s="33" t="s">
        <v>51</v>
      </c>
      <c r="J20877" s="42">
        <v>45383</v>
      </c>
      <c r="K20877" s="33" t="s">
        <v>22</v>
      </c>
    </row>
    <row r="20878" spans="1:11">
      <c r="A20878" s="30" t="s">
        <v>46316</v>
      </c>
      <c r="B20878" s="30" t="s">
        <v>46317</v>
      </c>
      <c r="C20878" s="30" t="s">
        <v>42467</v>
      </c>
      <c r="D20878" s="30" t="s">
        <v>17</v>
      </c>
      <c r="E20878" s="30" t="s">
        <v>67</v>
      </c>
      <c r="F20878" s="30" t="s">
        <v>68</v>
      </c>
      <c r="G20878" s="30" t="s">
        <v>140</v>
      </c>
      <c r="H20878" s="32">
        <v>156</v>
      </c>
      <c r="I20878" s="30" t="s">
        <v>51</v>
      </c>
      <c r="J20878" s="41">
        <v>45630</v>
      </c>
      <c r="K20878" s="30" t="s">
        <v>22</v>
      </c>
    </row>
    <row r="20879" spans="1:11">
      <c r="A20879" s="33" t="s">
        <v>46318</v>
      </c>
      <c r="B20879" s="33" t="s">
        <v>46319</v>
      </c>
      <c r="C20879" s="33" t="s">
        <v>30271</v>
      </c>
      <c r="D20879" s="33" t="s">
        <v>17</v>
      </c>
      <c r="E20879" s="33" t="s">
        <v>26</v>
      </c>
      <c r="F20879" s="33" t="s">
        <v>27</v>
      </c>
      <c r="G20879" s="33" t="s">
        <v>50</v>
      </c>
      <c r="H20879" s="35">
        <v>9</v>
      </c>
      <c r="I20879" s="33" t="s">
        <v>51</v>
      </c>
      <c r="J20879" s="42">
        <v>45477</v>
      </c>
      <c r="K20879" s="33" t="s">
        <v>22</v>
      </c>
    </row>
    <row r="20880" spans="1:11">
      <c r="A20880" s="30" t="s">
        <v>46320</v>
      </c>
      <c r="B20880" s="30" t="s">
        <v>46321</v>
      </c>
      <c r="C20880" s="30" t="s">
        <v>1981</v>
      </c>
      <c r="D20880" s="30" t="s">
        <v>17</v>
      </c>
      <c r="E20880" s="30" t="s">
        <v>45</v>
      </c>
      <c r="F20880" s="30" t="s">
        <v>46</v>
      </c>
      <c r="G20880" s="30" t="s">
        <v>140</v>
      </c>
      <c r="H20880" s="32">
        <v>280</v>
      </c>
      <c r="I20880" s="30" t="s">
        <v>51</v>
      </c>
      <c r="J20880" s="41">
        <v>45643</v>
      </c>
      <c r="K20880" s="30" t="s">
        <v>22</v>
      </c>
    </row>
    <row r="20881" spans="1:11">
      <c r="A20881" s="33" t="s">
        <v>46322</v>
      </c>
      <c r="B20881" s="33" t="s">
        <v>46323</v>
      </c>
      <c r="C20881" s="33" t="s">
        <v>25186</v>
      </c>
      <c r="D20881" s="33" t="s">
        <v>17</v>
      </c>
      <c r="E20881" s="33" t="s">
        <v>18</v>
      </c>
      <c r="F20881" s="33" t="s">
        <v>19</v>
      </c>
      <c r="G20881" s="33" t="s">
        <v>20</v>
      </c>
      <c r="H20881" s="35">
        <v>354</v>
      </c>
      <c r="I20881" s="33" t="s">
        <v>21</v>
      </c>
      <c r="J20881" s="42">
        <v>45617</v>
      </c>
      <c r="K20881" s="33" t="s">
        <v>22</v>
      </c>
    </row>
    <row r="20882" spans="1:11">
      <c r="A20882" s="30" t="s">
        <v>46324</v>
      </c>
      <c r="B20882" s="30" t="s">
        <v>46325</v>
      </c>
      <c r="C20882" s="30" t="s">
        <v>246</v>
      </c>
      <c r="D20882" s="30" t="s">
        <v>17</v>
      </c>
      <c r="E20882" s="30" t="s">
        <v>67</v>
      </c>
      <c r="F20882" s="30" t="s">
        <v>68</v>
      </c>
      <c r="G20882" s="30" t="s">
        <v>7780</v>
      </c>
      <c r="H20882" s="32">
        <v>120</v>
      </c>
      <c r="I20882" s="30" t="s">
        <v>51</v>
      </c>
      <c r="J20882" s="41">
        <v>45626</v>
      </c>
      <c r="K20882" s="30" t="s">
        <v>22</v>
      </c>
    </row>
    <row r="20883" spans="1:11">
      <c r="A20883" s="33" t="s">
        <v>46326</v>
      </c>
      <c r="B20883" s="33" t="s">
        <v>46327</v>
      </c>
      <c r="C20883" s="33" t="s">
        <v>46328</v>
      </c>
      <c r="D20883" s="33" t="s">
        <v>17</v>
      </c>
      <c r="E20883" s="33" t="s">
        <v>26</v>
      </c>
      <c r="F20883" s="33" t="s">
        <v>27</v>
      </c>
      <c r="G20883" s="33" t="s">
        <v>140</v>
      </c>
      <c r="H20883" s="35">
        <v>90</v>
      </c>
      <c r="I20883" s="33" t="s">
        <v>51</v>
      </c>
      <c r="J20883" s="42">
        <v>45461</v>
      </c>
      <c r="K20883" s="33" t="s">
        <v>22</v>
      </c>
    </row>
    <row r="20884" spans="1:11">
      <c r="A20884" s="30" t="s">
        <v>46329</v>
      </c>
      <c r="B20884" s="30" t="s">
        <v>46330</v>
      </c>
      <c r="C20884" s="30" t="s">
        <v>44</v>
      </c>
      <c r="D20884" s="30" t="s">
        <v>17</v>
      </c>
      <c r="E20884" s="30" t="s">
        <v>31</v>
      </c>
      <c r="F20884" s="30" t="s">
        <v>32</v>
      </c>
      <c r="G20884" s="30" t="s">
        <v>158</v>
      </c>
      <c r="H20884" s="32">
        <v>151</v>
      </c>
      <c r="I20884" s="30" t="s">
        <v>21</v>
      </c>
      <c r="J20884" s="41">
        <v>45553</v>
      </c>
      <c r="K20884" s="30" t="s">
        <v>22</v>
      </c>
    </row>
    <row r="20885" spans="1:11">
      <c r="A20885" s="33" t="s">
        <v>46331</v>
      </c>
      <c r="B20885" s="33" t="s">
        <v>46332</v>
      </c>
      <c r="C20885" s="33" t="s">
        <v>118</v>
      </c>
      <c r="D20885" s="33" t="s">
        <v>17</v>
      </c>
      <c r="E20885" s="33" t="s">
        <v>26</v>
      </c>
      <c r="F20885" s="33" t="s">
        <v>27</v>
      </c>
      <c r="G20885" s="33" t="s">
        <v>20</v>
      </c>
      <c r="H20885" s="35">
        <v>15</v>
      </c>
      <c r="I20885" s="33" t="s">
        <v>21</v>
      </c>
      <c r="J20885" s="42">
        <v>45376</v>
      </c>
      <c r="K20885" s="33" t="s">
        <v>22</v>
      </c>
    </row>
    <row r="20886" spans="1:11">
      <c r="A20886" s="30" t="s">
        <v>46333</v>
      </c>
      <c r="B20886" s="30" t="s">
        <v>46334</v>
      </c>
      <c r="C20886" s="30" t="s">
        <v>2540</v>
      </c>
      <c r="D20886" s="30" t="s">
        <v>17</v>
      </c>
      <c r="E20886" s="30" t="s">
        <v>18</v>
      </c>
      <c r="F20886" s="30" t="s">
        <v>19</v>
      </c>
      <c r="G20886" s="30" t="s">
        <v>140</v>
      </c>
      <c r="H20886" s="32">
        <v>24</v>
      </c>
      <c r="I20886" s="30" t="s">
        <v>51</v>
      </c>
      <c r="J20886" s="41">
        <v>45579</v>
      </c>
      <c r="K20886" s="30" t="s">
        <v>22</v>
      </c>
    </row>
    <row r="20887" spans="1:11">
      <c r="A20887" s="33" t="s">
        <v>46335</v>
      </c>
      <c r="B20887" s="33" t="s">
        <v>46336</v>
      </c>
      <c r="C20887" s="33" t="s">
        <v>1151</v>
      </c>
      <c r="D20887" s="33" t="s">
        <v>17</v>
      </c>
      <c r="E20887" s="33" t="s">
        <v>67</v>
      </c>
      <c r="F20887" s="33" t="s">
        <v>68</v>
      </c>
      <c r="G20887" s="33" t="s">
        <v>140</v>
      </c>
      <c r="H20887" s="35">
        <v>60</v>
      </c>
      <c r="I20887" s="33" t="s">
        <v>51</v>
      </c>
      <c r="J20887" s="42">
        <v>45344</v>
      </c>
      <c r="K20887" s="33" t="s">
        <v>22</v>
      </c>
    </row>
    <row r="20888" spans="1:11">
      <c r="A20888" s="30" t="s">
        <v>46337</v>
      </c>
      <c r="B20888" s="30" t="s">
        <v>46338</v>
      </c>
      <c r="C20888" s="30" t="s">
        <v>3243</v>
      </c>
      <c r="D20888" s="30" t="s">
        <v>17</v>
      </c>
      <c r="E20888" s="30" t="s">
        <v>26</v>
      </c>
      <c r="F20888" s="30" t="s">
        <v>27</v>
      </c>
      <c r="G20888" s="30" t="s">
        <v>20</v>
      </c>
      <c r="H20888" s="32">
        <v>112</v>
      </c>
      <c r="I20888" s="30" t="s">
        <v>21</v>
      </c>
      <c r="J20888" s="41">
        <v>45379</v>
      </c>
      <c r="K20888" s="30" t="s">
        <v>22</v>
      </c>
    </row>
    <row r="20889" spans="1:11">
      <c r="A20889" s="33" t="s">
        <v>46339</v>
      </c>
      <c r="B20889" s="33" t="s">
        <v>46340</v>
      </c>
      <c r="C20889" s="33" t="s">
        <v>5125</v>
      </c>
      <c r="D20889" s="33" t="s">
        <v>17</v>
      </c>
      <c r="E20889" s="33" t="s">
        <v>26</v>
      </c>
      <c r="F20889" s="33" t="s">
        <v>27</v>
      </c>
      <c r="G20889" s="33" t="s">
        <v>50</v>
      </c>
      <c r="H20889" s="35">
        <v>72</v>
      </c>
      <c r="I20889" s="33" t="s">
        <v>51</v>
      </c>
      <c r="J20889" s="42">
        <v>45507</v>
      </c>
      <c r="K20889" s="33" t="s">
        <v>22</v>
      </c>
    </row>
    <row r="20890" spans="1:11">
      <c r="A20890" s="30" t="s">
        <v>46341</v>
      </c>
      <c r="B20890" s="30" t="s">
        <v>46342</v>
      </c>
      <c r="C20890" s="30" t="s">
        <v>13033</v>
      </c>
      <c r="D20890" s="30" t="s">
        <v>17</v>
      </c>
      <c r="E20890" s="30" t="s">
        <v>18</v>
      </c>
      <c r="F20890" s="30" t="s">
        <v>19</v>
      </c>
      <c r="G20890" s="30" t="s">
        <v>20</v>
      </c>
      <c r="H20890" s="32">
        <v>428</v>
      </c>
      <c r="I20890" s="30" t="s">
        <v>21</v>
      </c>
      <c r="J20890" s="41">
        <v>45423</v>
      </c>
      <c r="K20890" s="30" t="s">
        <v>22</v>
      </c>
    </row>
    <row r="20891" spans="1:11">
      <c r="A20891" s="33" t="s">
        <v>46343</v>
      </c>
      <c r="B20891" s="33" t="s">
        <v>46344</v>
      </c>
      <c r="C20891" s="33" t="s">
        <v>951</v>
      </c>
      <c r="D20891" s="33" t="s">
        <v>17</v>
      </c>
      <c r="E20891" s="33" t="s">
        <v>26</v>
      </c>
      <c r="F20891" s="33" t="s">
        <v>27</v>
      </c>
      <c r="G20891" s="33" t="s">
        <v>20</v>
      </c>
      <c r="H20891" s="35">
        <v>6</v>
      </c>
      <c r="I20891" s="33" t="s">
        <v>21</v>
      </c>
      <c r="J20891" s="42">
        <v>45534</v>
      </c>
      <c r="K20891" s="33" t="s">
        <v>22</v>
      </c>
    </row>
    <row r="20892" spans="1:11">
      <c r="A20892" s="30" t="s">
        <v>46345</v>
      </c>
      <c r="B20892" s="30" t="s">
        <v>46346</v>
      </c>
      <c r="C20892" s="30" t="s">
        <v>46347</v>
      </c>
      <c r="D20892" s="30" t="s">
        <v>17</v>
      </c>
      <c r="E20892" s="30" t="s">
        <v>67</v>
      </c>
      <c r="F20892" s="30" t="s">
        <v>68</v>
      </c>
      <c r="G20892" s="30" t="s">
        <v>140</v>
      </c>
      <c r="H20892" s="32">
        <v>12</v>
      </c>
      <c r="I20892" s="30" t="s">
        <v>51</v>
      </c>
      <c r="J20892" s="41">
        <v>45498</v>
      </c>
      <c r="K20892" s="30" t="s">
        <v>22</v>
      </c>
    </row>
    <row r="20893" spans="1:11">
      <c r="A20893" s="33" t="s">
        <v>46348</v>
      </c>
      <c r="B20893" s="33" t="s">
        <v>46349</v>
      </c>
      <c r="C20893" s="33" t="s">
        <v>2208</v>
      </c>
      <c r="D20893" s="33" t="s">
        <v>17</v>
      </c>
      <c r="E20893" s="33" t="s">
        <v>26</v>
      </c>
      <c r="F20893" s="33" t="s">
        <v>27</v>
      </c>
      <c r="G20893" s="33" t="s">
        <v>20</v>
      </c>
      <c r="H20893" s="35">
        <v>34</v>
      </c>
      <c r="I20893" s="33" t="s">
        <v>21</v>
      </c>
      <c r="J20893" s="42">
        <v>45560</v>
      </c>
      <c r="K20893" s="33" t="s">
        <v>22</v>
      </c>
    </row>
    <row r="20894" spans="1:11">
      <c r="A20894" s="30" t="s">
        <v>46350</v>
      </c>
      <c r="B20894" s="30" t="s">
        <v>46351</v>
      </c>
      <c r="C20894" s="30" t="s">
        <v>39699</v>
      </c>
      <c r="D20894" s="30" t="s">
        <v>17</v>
      </c>
      <c r="E20894" s="30" t="s">
        <v>26</v>
      </c>
      <c r="F20894" s="30" t="s">
        <v>27</v>
      </c>
      <c r="G20894" s="30" t="s">
        <v>140</v>
      </c>
      <c r="H20894" s="32">
        <v>108</v>
      </c>
      <c r="I20894" s="30" t="s">
        <v>51</v>
      </c>
      <c r="J20894" s="41">
        <v>45436</v>
      </c>
      <c r="K20894" s="30" t="s">
        <v>22</v>
      </c>
    </row>
    <row r="20895" spans="1:11">
      <c r="A20895" s="33" t="s">
        <v>46352</v>
      </c>
      <c r="B20895" s="33" t="s">
        <v>46353</v>
      </c>
      <c r="C20895" s="33" t="s">
        <v>969</v>
      </c>
      <c r="D20895" s="33" t="s">
        <v>17</v>
      </c>
      <c r="E20895" s="33" t="s">
        <v>26</v>
      </c>
      <c r="F20895" s="33" t="s">
        <v>27</v>
      </c>
      <c r="G20895" s="33" t="s">
        <v>140</v>
      </c>
      <c r="H20895" s="35">
        <v>675</v>
      </c>
      <c r="I20895" s="33" t="s">
        <v>51</v>
      </c>
      <c r="J20895" s="42">
        <v>45475</v>
      </c>
      <c r="K20895" s="33" t="s">
        <v>22</v>
      </c>
    </row>
    <row r="20896" spans="1:11">
      <c r="A20896" s="30" t="s">
        <v>46354</v>
      </c>
      <c r="B20896" s="30" t="s">
        <v>46355</v>
      </c>
      <c r="C20896" s="30" t="s">
        <v>801</v>
      </c>
      <c r="D20896" s="30" t="s">
        <v>17</v>
      </c>
      <c r="E20896" s="30" t="s">
        <v>26</v>
      </c>
      <c r="F20896" s="30" t="s">
        <v>27</v>
      </c>
      <c r="G20896" s="30" t="s">
        <v>20</v>
      </c>
      <c r="H20896" s="32">
        <v>300</v>
      </c>
      <c r="I20896" s="30" t="s">
        <v>21</v>
      </c>
      <c r="J20896" s="41">
        <v>45293</v>
      </c>
      <c r="K20896" s="30" t="s">
        <v>22</v>
      </c>
    </row>
    <row r="20897" spans="1:11">
      <c r="A20897" s="33" t="s">
        <v>46356</v>
      </c>
      <c r="B20897" s="33" t="s">
        <v>46357</v>
      </c>
      <c r="C20897" s="33" t="s">
        <v>6625</v>
      </c>
      <c r="D20897" s="33" t="s">
        <v>17</v>
      </c>
      <c r="E20897" s="33" t="s">
        <v>31</v>
      </c>
      <c r="F20897" s="33" t="s">
        <v>32</v>
      </c>
      <c r="G20897" s="33" t="s">
        <v>140</v>
      </c>
      <c r="H20897" s="35">
        <v>114</v>
      </c>
      <c r="I20897" s="33" t="s">
        <v>51</v>
      </c>
      <c r="J20897" s="42">
        <v>45512</v>
      </c>
      <c r="K20897" s="33" t="s">
        <v>22</v>
      </c>
    </row>
    <row r="20898" spans="1:11">
      <c r="A20898" s="30" t="s">
        <v>46358</v>
      </c>
      <c r="B20898" s="30" t="s">
        <v>46359</v>
      </c>
      <c r="C20898" s="30" t="s">
        <v>46360</v>
      </c>
      <c r="D20898" s="30" t="s">
        <v>17</v>
      </c>
      <c r="E20898" s="30" t="s">
        <v>67</v>
      </c>
      <c r="F20898" s="30" t="s">
        <v>68</v>
      </c>
      <c r="G20898" s="30" t="s">
        <v>140</v>
      </c>
      <c r="H20898" s="32">
        <v>85</v>
      </c>
      <c r="I20898" s="30" t="s">
        <v>51</v>
      </c>
      <c r="J20898" s="41">
        <v>45335</v>
      </c>
      <c r="K20898" s="30" t="s">
        <v>22</v>
      </c>
    </row>
    <row r="20899" spans="1:11">
      <c r="A20899" s="33" t="s">
        <v>46361</v>
      </c>
      <c r="B20899" s="33" t="s">
        <v>46362</v>
      </c>
      <c r="C20899" s="33" t="s">
        <v>3489</v>
      </c>
      <c r="D20899" s="33" t="s">
        <v>17</v>
      </c>
      <c r="E20899" s="33" t="s">
        <v>67</v>
      </c>
      <c r="F20899" s="33" t="s">
        <v>68</v>
      </c>
      <c r="G20899" s="33" t="s">
        <v>158</v>
      </c>
      <c r="H20899" s="35">
        <v>18</v>
      </c>
      <c r="I20899" s="33" t="s">
        <v>21</v>
      </c>
      <c r="J20899" s="42">
        <v>45294</v>
      </c>
      <c r="K20899" s="33" t="s">
        <v>22</v>
      </c>
    </row>
    <row r="20900" spans="1:11">
      <c r="A20900" s="30" t="s">
        <v>46363</v>
      </c>
      <c r="B20900" s="30" t="s">
        <v>46364</v>
      </c>
      <c r="C20900" s="30" t="s">
        <v>96</v>
      </c>
      <c r="D20900" s="30" t="s">
        <v>17</v>
      </c>
      <c r="E20900" s="30" t="s">
        <v>26</v>
      </c>
      <c r="F20900" s="30" t="s">
        <v>27</v>
      </c>
      <c r="G20900" s="30" t="s">
        <v>20</v>
      </c>
      <c r="H20900" s="32">
        <v>31</v>
      </c>
      <c r="I20900" s="30" t="s">
        <v>21</v>
      </c>
      <c r="J20900" s="41">
        <v>45435</v>
      </c>
      <c r="K20900" s="30" t="s">
        <v>22</v>
      </c>
    </row>
    <row r="20901" spans="1:11">
      <c r="A20901" s="33" t="s">
        <v>46365</v>
      </c>
      <c r="B20901" s="33" t="s">
        <v>46366</v>
      </c>
      <c r="C20901" s="33" t="s">
        <v>587</v>
      </c>
      <c r="D20901" s="33" t="s">
        <v>17</v>
      </c>
      <c r="E20901" s="33" t="s">
        <v>67</v>
      </c>
      <c r="F20901" s="33" t="s">
        <v>68</v>
      </c>
      <c r="G20901" s="33" t="s">
        <v>158</v>
      </c>
      <c r="H20901" s="35">
        <v>466</v>
      </c>
      <c r="I20901" s="33" t="s">
        <v>51</v>
      </c>
      <c r="J20901" s="42">
        <v>45365</v>
      </c>
      <c r="K20901" s="33" t="s">
        <v>22</v>
      </c>
    </row>
    <row r="20902" spans="1:11">
      <c r="A20902" s="30" t="s">
        <v>46367</v>
      </c>
      <c r="B20902" s="30" t="s">
        <v>46368</v>
      </c>
      <c r="C20902" s="30" t="s">
        <v>9688</v>
      </c>
      <c r="D20902" s="30" t="s">
        <v>17</v>
      </c>
      <c r="E20902" s="30" t="s">
        <v>26</v>
      </c>
      <c r="F20902" s="30" t="s">
        <v>27</v>
      </c>
      <c r="G20902" s="30" t="s">
        <v>20</v>
      </c>
      <c r="H20902" s="32">
        <v>16</v>
      </c>
      <c r="I20902" s="30" t="s">
        <v>21</v>
      </c>
      <c r="J20902" s="41">
        <v>45446</v>
      </c>
      <c r="K20902" s="30" t="s">
        <v>22</v>
      </c>
    </row>
    <row r="20903" spans="1:11">
      <c r="A20903" s="33" t="s">
        <v>46369</v>
      </c>
      <c r="B20903" s="33" t="s">
        <v>46370</v>
      </c>
      <c r="C20903" s="33" t="s">
        <v>15434</v>
      </c>
      <c r="D20903" s="33" t="s">
        <v>17</v>
      </c>
      <c r="E20903" s="33" t="s">
        <v>31</v>
      </c>
      <c r="F20903" s="33" t="s">
        <v>32</v>
      </c>
      <c r="G20903" s="33" t="s">
        <v>20</v>
      </c>
      <c r="H20903" s="35">
        <v>117</v>
      </c>
      <c r="I20903" s="33" t="s">
        <v>21</v>
      </c>
      <c r="J20903" s="42">
        <v>45587</v>
      </c>
      <c r="K20903" s="33" t="s">
        <v>22</v>
      </c>
    </row>
    <row r="20904" spans="1:11">
      <c r="A20904" s="30" t="s">
        <v>46371</v>
      </c>
      <c r="B20904" s="30" t="s">
        <v>46372</v>
      </c>
      <c r="C20904" s="30" t="s">
        <v>2051</v>
      </c>
      <c r="D20904" s="30" t="s">
        <v>17</v>
      </c>
      <c r="E20904" s="30" t="s">
        <v>26</v>
      </c>
      <c r="F20904" s="30" t="s">
        <v>27</v>
      </c>
      <c r="G20904" s="30" t="s">
        <v>20</v>
      </c>
      <c r="H20904" s="32">
        <v>18</v>
      </c>
      <c r="I20904" s="30" t="s">
        <v>21</v>
      </c>
      <c r="J20904" s="41">
        <v>45458</v>
      </c>
      <c r="K20904" s="30" t="s">
        <v>22</v>
      </c>
    </row>
    <row r="20905" spans="1:11">
      <c r="A20905" s="33" t="s">
        <v>46373</v>
      </c>
      <c r="B20905" s="33" t="s">
        <v>46374</v>
      </c>
      <c r="C20905" s="33" t="s">
        <v>46375</v>
      </c>
      <c r="D20905" s="33" t="s">
        <v>17</v>
      </c>
      <c r="E20905" s="33" t="s">
        <v>26</v>
      </c>
      <c r="F20905" s="33" t="s">
        <v>27</v>
      </c>
      <c r="G20905" s="33" t="s">
        <v>140</v>
      </c>
      <c r="H20905" s="35">
        <v>128</v>
      </c>
      <c r="I20905" s="33" t="s">
        <v>51</v>
      </c>
      <c r="J20905" s="42">
        <v>45589</v>
      </c>
      <c r="K20905" s="33" t="s">
        <v>22</v>
      </c>
    </row>
    <row r="20906" spans="1:11">
      <c r="A20906" s="30" t="s">
        <v>46376</v>
      </c>
      <c r="B20906" s="30" t="s">
        <v>46377</v>
      </c>
      <c r="C20906" s="30" t="s">
        <v>42846</v>
      </c>
      <c r="D20906" s="30" t="s">
        <v>17</v>
      </c>
      <c r="E20906" s="30" t="s">
        <v>26</v>
      </c>
      <c r="F20906" s="30" t="s">
        <v>27</v>
      </c>
      <c r="G20906" s="30" t="s">
        <v>20</v>
      </c>
      <c r="H20906" s="32">
        <v>150</v>
      </c>
      <c r="I20906" s="30" t="s">
        <v>21</v>
      </c>
      <c r="J20906" s="41">
        <v>45478</v>
      </c>
      <c r="K20906" s="30" t="s">
        <v>22</v>
      </c>
    </row>
    <row r="20907" spans="1:11">
      <c r="A20907" s="33" t="s">
        <v>46378</v>
      </c>
      <c r="B20907" s="33" t="s">
        <v>46379</v>
      </c>
      <c r="C20907" s="33" t="s">
        <v>28178</v>
      </c>
      <c r="D20907" s="33" t="s">
        <v>17</v>
      </c>
      <c r="E20907" s="33" t="s">
        <v>67</v>
      </c>
      <c r="F20907" s="33" t="s">
        <v>68</v>
      </c>
      <c r="G20907" s="33" t="s">
        <v>158</v>
      </c>
      <c r="H20907" s="35">
        <v>600</v>
      </c>
      <c r="I20907" s="33" t="s">
        <v>21</v>
      </c>
      <c r="J20907" s="42">
        <v>45608</v>
      </c>
      <c r="K20907" s="33" t="s">
        <v>22</v>
      </c>
    </row>
    <row r="20908" spans="1:11">
      <c r="A20908" s="30" t="s">
        <v>46380</v>
      </c>
      <c r="B20908" s="30" t="s">
        <v>46381</v>
      </c>
      <c r="C20908" s="30" t="s">
        <v>379</v>
      </c>
      <c r="D20908" s="30" t="s">
        <v>17</v>
      </c>
      <c r="E20908" s="30" t="s">
        <v>26</v>
      </c>
      <c r="F20908" s="30" t="s">
        <v>27</v>
      </c>
      <c r="G20908" s="30" t="s">
        <v>7780</v>
      </c>
      <c r="H20908" s="32">
        <v>30</v>
      </c>
      <c r="I20908" s="30" t="s">
        <v>51</v>
      </c>
      <c r="J20908" s="41">
        <v>45444</v>
      </c>
      <c r="K20908" s="30" t="s">
        <v>22</v>
      </c>
    </row>
    <row r="20909" spans="1:11">
      <c r="A20909" s="33" t="s">
        <v>46382</v>
      </c>
      <c r="B20909" s="33" t="s">
        <v>46383</v>
      </c>
      <c r="C20909" s="33" t="s">
        <v>149</v>
      </c>
      <c r="D20909" s="33" t="s">
        <v>17</v>
      </c>
      <c r="E20909" s="33" t="s">
        <v>31</v>
      </c>
      <c r="F20909" s="33" t="s">
        <v>32</v>
      </c>
      <c r="G20909" s="33" t="s">
        <v>7780</v>
      </c>
      <c r="H20909" s="35">
        <v>78</v>
      </c>
      <c r="I20909" s="33" t="s">
        <v>51</v>
      </c>
      <c r="J20909" s="42">
        <v>45627</v>
      </c>
      <c r="K20909" s="33" t="s">
        <v>22</v>
      </c>
    </row>
    <row r="20910" spans="1:11">
      <c r="A20910" s="30" t="s">
        <v>46384</v>
      </c>
      <c r="B20910" s="30" t="s">
        <v>46385</v>
      </c>
      <c r="C20910" s="30" t="s">
        <v>8231</v>
      </c>
      <c r="D20910" s="30" t="s">
        <v>17</v>
      </c>
      <c r="E20910" s="30" t="s">
        <v>26</v>
      </c>
      <c r="F20910" s="30" t="s">
        <v>27</v>
      </c>
      <c r="G20910" s="30" t="s">
        <v>140</v>
      </c>
      <c r="H20910" s="32">
        <v>63</v>
      </c>
      <c r="I20910" s="30" t="s">
        <v>51</v>
      </c>
      <c r="J20910" s="41">
        <v>45467</v>
      </c>
      <c r="K20910" s="30" t="s">
        <v>22</v>
      </c>
    </row>
    <row r="20911" spans="1:11">
      <c r="A20911" s="33" t="s">
        <v>46386</v>
      </c>
      <c r="B20911" s="33" t="s">
        <v>46387</v>
      </c>
      <c r="C20911" s="33" t="s">
        <v>1003</v>
      </c>
      <c r="D20911" s="33" t="s">
        <v>17</v>
      </c>
      <c r="E20911" s="33" t="s">
        <v>31</v>
      </c>
      <c r="F20911" s="33" t="s">
        <v>32</v>
      </c>
      <c r="G20911" s="33" t="s">
        <v>50</v>
      </c>
      <c r="H20911" s="35">
        <v>60</v>
      </c>
      <c r="I20911" s="33" t="s">
        <v>51</v>
      </c>
      <c r="J20911" s="42">
        <v>45383</v>
      </c>
      <c r="K20911" s="33" t="s">
        <v>22</v>
      </c>
    </row>
    <row r="20912" spans="1:11">
      <c r="A20912" s="30" t="s">
        <v>46388</v>
      </c>
      <c r="B20912" s="30" t="s">
        <v>46389</v>
      </c>
      <c r="C20912" s="30" t="s">
        <v>9095</v>
      </c>
      <c r="D20912" s="30" t="s">
        <v>17</v>
      </c>
      <c r="E20912" s="30" t="s">
        <v>18</v>
      </c>
      <c r="F20912" s="30" t="s">
        <v>19</v>
      </c>
      <c r="G20912" s="30" t="s">
        <v>140</v>
      </c>
      <c r="H20912" s="32">
        <v>458</v>
      </c>
      <c r="I20912" s="30" t="s">
        <v>51</v>
      </c>
      <c r="J20912" s="41">
        <v>45568</v>
      </c>
      <c r="K20912" s="30" t="s">
        <v>22</v>
      </c>
    </row>
    <row r="20913" spans="1:11">
      <c r="A20913" s="33" t="s">
        <v>46390</v>
      </c>
      <c r="B20913" s="33" t="s">
        <v>46391</v>
      </c>
      <c r="C20913" s="33" t="s">
        <v>18511</v>
      </c>
      <c r="D20913" s="33" t="s">
        <v>17</v>
      </c>
      <c r="E20913" s="33" t="s">
        <v>330</v>
      </c>
      <c r="F20913" s="33" t="s">
        <v>331</v>
      </c>
      <c r="G20913" s="33" t="s">
        <v>7780</v>
      </c>
      <c r="H20913" s="35">
        <v>28</v>
      </c>
      <c r="I20913" s="33" t="s">
        <v>51</v>
      </c>
      <c r="J20913" s="42">
        <v>45585</v>
      </c>
      <c r="K20913" s="33" t="s">
        <v>22</v>
      </c>
    </row>
    <row r="20914" spans="1:11">
      <c r="A20914" s="30" t="s">
        <v>46392</v>
      </c>
      <c r="B20914" s="30" t="s">
        <v>46393</v>
      </c>
      <c r="C20914" s="30" t="s">
        <v>231</v>
      </c>
      <c r="D20914" s="30" t="s">
        <v>17</v>
      </c>
      <c r="E20914" s="30" t="s">
        <v>26</v>
      </c>
      <c r="F20914" s="30" t="s">
        <v>27</v>
      </c>
      <c r="G20914" s="30" t="s">
        <v>20</v>
      </c>
      <c r="H20914" s="32">
        <v>21</v>
      </c>
      <c r="I20914" s="30" t="s">
        <v>21</v>
      </c>
      <c r="J20914" s="41">
        <v>45338</v>
      </c>
      <c r="K20914" s="30" t="s">
        <v>22</v>
      </c>
    </row>
    <row r="20915" spans="1:11">
      <c r="A20915" s="33" t="s">
        <v>46394</v>
      </c>
      <c r="B20915" s="33" t="s">
        <v>46395</v>
      </c>
      <c r="C20915" s="33" t="s">
        <v>190</v>
      </c>
      <c r="D20915" s="33" t="s">
        <v>17</v>
      </c>
      <c r="E20915" s="33" t="s">
        <v>18</v>
      </c>
      <c r="F20915" s="33" t="s">
        <v>19</v>
      </c>
      <c r="G20915" s="33" t="s">
        <v>20</v>
      </c>
      <c r="H20915" s="35">
        <v>297</v>
      </c>
      <c r="I20915" s="33" t="s">
        <v>21</v>
      </c>
      <c r="J20915" s="42">
        <v>45302</v>
      </c>
      <c r="K20915" s="33" t="s">
        <v>22</v>
      </c>
    </row>
    <row r="20916" spans="1:11">
      <c r="A20916" s="30" t="s">
        <v>46396</v>
      </c>
      <c r="B20916" s="30" t="s">
        <v>39324</v>
      </c>
      <c r="C20916" s="30" t="s">
        <v>23495</v>
      </c>
      <c r="D20916" s="30" t="s">
        <v>17</v>
      </c>
      <c r="E20916" s="30" t="s">
        <v>18</v>
      </c>
      <c r="F20916" s="30" t="s">
        <v>19</v>
      </c>
      <c r="G20916" s="30" t="s">
        <v>20</v>
      </c>
      <c r="H20916" s="32">
        <v>518</v>
      </c>
      <c r="I20916" s="30" t="s">
        <v>21</v>
      </c>
      <c r="J20916" s="41">
        <v>45324</v>
      </c>
      <c r="K20916" s="30" t="s">
        <v>22</v>
      </c>
    </row>
    <row r="20917" spans="1:11">
      <c r="A20917" s="33" t="s">
        <v>46397</v>
      </c>
      <c r="B20917" s="33" t="s">
        <v>46398</v>
      </c>
      <c r="C20917" s="33" t="s">
        <v>190</v>
      </c>
      <c r="D20917" s="33" t="s">
        <v>17</v>
      </c>
      <c r="E20917" s="33" t="s">
        <v>31</v>
      </c>
      <c r="F20917" s="33" t="s">
        <v>32</v>
      </c>
      <c r="G20917" s="33" t="s">
        <v>20</v>
      </c>
      <c r="H20917" s="35">
        <v>310</v>
      </c>
      <c r="I20917" s="33" t="s">
        <v>21</v>
      </c>
      <c r="J20917" s="42">
        <v>45573</v>
      </c>
      <c r="K20917" s="33" t="s">
        <v>22</v>
      </c>
    </row>
    <row r="20918" spans="1:11">
      <c r="A20918" s="30" t="s">
        <v>46399</v>
      </c>
      <c r="B20918" s="30" t="s">
        <v>46400</v>
      </c>
      <c r="C20918" s="30" t="s">
        <v>969</v>
      </c>
      <c r="D20918" s="30" t="s">
        <v>17</v>
      </c>
      <c r="E20918" s="30" t="s">
        <v>26</v>
      </c>
      <c r="F20918" s="30" t="s">
        <v>27</v>
      </c>
      <c r="G20918" s="30" t="s">
        <v>140</v>
      </c>
      <c r="H20918" s="32">
        <v>845</v>
      </c>
      <c r="I20918" s="30" t="s">
        <v>51</v>
      </c>
      <c r="J20918" s="41">
        <v>45565</v>
      </c>
      <c r="K20918" s="30" t="s">
        <v>22</v>
      </c>
    </row>
    <row r="20919" spans="1:11">
      <c r="A20919" s="33" t="s">
        <v>46401</v>
      </c>
      <c r="B20919" s="33" t="s">
        <v>46402</v>
      </c>
      <c r="C20919" s="33" t="s">
        <v>25435</v>
      </c>
      <c r="D20919" s="33" t="s">
        <v>17</v>
      </c>
      <c r="E20919" s="33" t="s">
        <v>330</v>
      </c>
      <c r="F20919" s="33" t="s">
        <v>331</v>
      </c>
      <c r="G20919" s="33" t="s">
        <v>106</v>
      </c>
      <c r="H20919" s="35">
        <v>17</v>
      </c>
      <c r="I20919" s="33" t="s">
        <v>21</v>
      </c>
      <c r="J20919" s="42">
        <v>45596</v>
      </c>
      <c r="K20919" s="33" t="s">
        <v>22</v>
      </c>
    </row>
    <row r="20920" spans="1:11">
      <c r="A20920" s="30" t="s">
        <v>46403</v>
      </c>
      <c r="B20920" s="30" t="s">
        <v>46404</v>
      </c>
      <c r="C20920" s="30" t="s">
        <v>39582</v>
      </c>
      <c r="D20920" s="30" t="s">
        <v>17</v>
      </c>
      <c r="E20920" s="30" t="s">
        <v>26</v>
      </c>
      <c r="F20920" s="30" t="s">
        <v>27</v>
      </c>
      <c r="G20920" s="30" t="s">
        <v>20</v>
      </c>
      <c r="H20920" s="32">
        <v>40</v>
      </c>
      <c r="I20920" s="30" t="s">
        <v>21</v>
      </c>
      <c r="J20920" s="41">
        <v>45504</v>
      </c>
      <c r="K20920" s="30" t="s">
        <v>22</v>
      </c>
    </row>
    <row r="20921" spans="1:11">
      <c r="A20921" s="33" t="s">
        <v>46405</v>
      </c>
      <c r="B20921" s="33" t="s">
        <v>46406</v>
      </c>
      <c r="C20921" s="33" t="s">
        <v>2842</v>
      </c>
      <c r="D20921" s="33" t="s">
        <v>17</v>
      </c>
      <c r="E20921" s="33" t="s">
        <v>31</v>
      </c>
      <c r="F20921" s="33" t="s">
        <v>32</v>
      </c>
      <c r="G20921" s="33" t="s">
        <v>140</v>
      </c>
      <c r="H20921" s="35">
        <v>705</v>
      </c>
      <c r="I20921" s="33" t="s">
        <v>51</v>
      </c>
      <c r="J20921" s="42">
        <v>45509</v>
      </c>
      <c r="K20921" s="33" t="s">
        <v>22</v>
      </c>
    </row>
    <row r="20922" spans="1:11">
      <c r="A20922" s="30" t="s">
        <v>46407</v>
      </c>
      <c r="B20922" s="30" t="s">
        <v>46408</v>
      </c>
      <c r="C20922" s="30" t="s">
        <v>647</v>
      </c>
      <c r="D20922" s="30" t="s">
        <v>17</v>
      </c>
      <c r="E20922" s="30" t="s">
        <v>26</v>
      </c>
      <c r="F20922" s="30" t="s">
        <v>27</v>
      </c>
      <c r="G20922" s="30" t="s">
        <v>20</v>
      </c>
      <c r="H20922" s="32">
        <v>12</v>
      </c>
      <c r="I20922" s="30" t="s">
        <v>21</v>
      </c>
      <c r="J20922" s="41">
        <v>45484</v>
      </c>
      <c r="K20922" s="30" t="s">
        <v>22</v>
      </c>
    </row>
    <row r="20923" spans="1:11">
      <c r="A20923" s="33" t="s">
        <v>46409</v>
      </c>
      <c r="B20923" s="33" t="s">
        <v>46410</v>
      </c>
      <c r="C20923" s="33" t="s">
        <v>231</v>
      </c>
      <c r="D20923" s="33" t="s">
        <v>17</v>
      </c>
      <c r="E20923" s="33" t="s">
        <v>26</v>
      </c>
      <c r="F20923" s="33" t="s">
        <v>27</v>
      </c>
      <c r="G20923" s="33" t="s">
        <v>20</v>
      </c>
      <c r="H20923" s="35">
        <v>42</v>
      </c>
      <c r="I20923" s="33" t="s">
        <v>21</v>
      </c>
      <c r="J20923" s="42">
        <v>45427</v>
      </c>
      <c r="K20923" s="33" t="s">
        <v>22</v>
      </c>
    </row>
    <row r="20924" spans="1:11">
      <c r="A20924" s="30" t="s">
        <v>46411</v>
      </c>
      <c r="B20924" s="30" t="s">
        <v>46412</v>
      </c>
      <c r="C20924" s="30" t="s">
        <v>969</v>
      </c>
      <c r="D20924" s="30" t="s">
        <v>17</v>
      </c>
      <c r="E20924" s="30" t="s">
        <v>26</v>
      </c>
      <c r="F20924" s="30" t="s">
        <v>27</v>
      </c>
      <c r="G20924" s="30" t="s">
        <v>158</v>
      </c>
      <c r="H20924" s="32">
        <v>48</v>
      </c>
      <c r="I20924" s="30" t="s">
        <v>21</v>
      </c>
      <c r="J20924" s="41">
        <v>45614</v>
      </c>
      <c r="K20924" s="30" t="s">
        <v>22</v>
      </c>
    </row>
    <row r="20925" spans="1:11">
      <c r="A20925" s="33" t="s">
        <v>46413</v>
      </c>
      <c r="B20925" s="33" t="s">
        <v>46414</v>
      </c>
      <c r="C20925" s="33" t="s">
        <v>11767</v>
      </c>
      <c r="D20925" s="33" t="s">
        <v>17</v>
      </c>
      <c r="E20925" s="33" t="s">
        <v>18</v>
      </c>
      <c r="F20925" s="33" t="s">
        <v>19</v>
      </c>
      <c r="G20925" s="33" t="s">
        <v>158</v>
      </c>
      <c r="H20925" s="35">
        <v>250</v>
      </c>
      <c r="I20925" s="33" t="s">
        <v>51</v>
      </c>
      <c r="J20925" s="42">
        <v>45652</v>
      </c>
      <c r="K20925" s="33" t="s">
        <v>22</v>
      </c>
    </row>
    <row r="20926" spans="1:11">
      <c r="A20926" s="30" t="s">
        <v>46415</v>
      </c>
      <c r="B20926" s="30" t="s">
        <v>46416</v>
      </c>
      <c r="C20926" s="30" t="s">
        <v>310</v>
      </c>
      <c r="D20926" s="30" t="s">
        <v>17</v>
      </c>
      <c r="E20926" s="30" t="s">
        <v>18</v>
      </c>
      <c r="F20926" s="30" t="s">
        <v>19</v>
      </c>
      <c r="G20926" s="30" t="s">
        <v>20</v>
      </c>
      <c r="H20926" s="32">
        <v>485</v>
      </c>
      <c r="I20926" s="30" t="s">
        <v>21</v>
      </c>
      <c r="J20926" s="41">
        <v>45337</v>
      </c>
      <c r="K20926" s="30" t="s">
        <v>22</v>
      </c>
    </row>
    <row r="20927" spans="1:11">
      <c r="A20927" s="33" t="s">
        <v>46417</v>
      </c>
      <c r="B20927" s="33" t="s">
        <v>46418</v>
      </c>
      <c r="C20927" s="33" t="s">
        <v>149</v>
      </c>
      <c r="D20927" s="33" t="s">
        <v>17</v>
      </c>
      <c r="E20927" s="33" t="s">
        <v>18</v>
      </c>
      <c r="F20927" s="33" t="s">
        <v>19</v>
      </c>
      <c r="G20927" s="33" t="s">
        <v>158</v>
      </c>
      <c r="H20927" s="35">
        <v>137</v>
      </c>
      <c r="I20927" s="33" t="s">
        <v>21</v>
      </c>
      <c r="J20927" s="42">
        <v>45590</v>
      </c>
      <c r="K20927" s="33" t="s">
        <v>22</v>
      </c>
    </row>
    <row r="20928" spans="1:11">
      <c r="A20928" s="30" t="s">
        <v>46419</v>
      </c>
      <c r="B20928" s="30" t="s">
        <v>46420</v>
      </c>
      <c r="C20928" s="30" t="s">
        <v>96</v>
      </c>
      <c r="D20928" s="30" t="s">
        <v>17</v>
      </c>
      <c r="E20928" s="30" t="s">
        <v>18</v>
      </c>
      <c r="F20928" s="30" t="s">
        <v>19</v>
      </c>
      <c r="G20928" s="30" t="s">
        <v>140</v>
      </c>
      <c r="H20928" s="32">
        <v>200</v>
      </c>
      <c r="I20928" s="30" t="s">
        <v>51</v>
      </c>
      <c r="J20928" s="41">
        <v>45611</v>
      </c>
      <c r="K20928" s="30" t="s">
        <v>22</v>
      </c>
    </row>
    <row r="20929" spans="1:11">
      <c r="A20929" s="33" t="s">
        <v>46421</v>
      </c>
      <c r="B20929" s="33" t="s">
        <v>46422</v>
      </c>
      <c r="C20929" s="33" t="s">
        <v>136</v>
      </c>
      <c r="D20929" s="33" t="s">
        <v>17</v>
      </c>
      <c r="E20929" s="33" t="s">
        <v>26</v>
      </c>
      <c r="F20929" s="33" t="s">
        <v>27</v>
      </c>
      <c r="G20929" s="33" t="s">
        <v>20</v>
      </c>
      <c r="H20929" s="35">
        <v>140</v>
      </c>
      <c r="I20929" s="33" t="s">
        <v>21</v>
      </c>
      <c r="J20929" s="42">
        <v>45450</v>
      </c>
      <c r="K20929" s="33" t="s">
        <v>22</v>
      </c>
    </row>
    <row r="20930" spans="1:11">
      <c r="A20930" s="30" t="s">
        <v>46423</v>
      </c>
      <c r="B20930" s="30" t="s">
        <v>46424</v>
      </c>
      <c r="C20930" s="30" t="s">
        <v>310</v>
      </c>
      <c r="D20930" s="30" t="s">
        <v>17</v>
      </c>
      <c r="E20930" s="30" t="s">
        <v>18</v>
      </c>
      <c r="F20930" s="30" t="s">
        <v>19</v>
      </c>
      <c r="G20930" s="30" t="s">
        <v>140</v>
      </c>
      <c r="H20930" s="32">
        <v>10000</v>
      </c>
      <c r="I20930" s="30" t="s">
        <v>51</v>
      </c>
      <c r="J20930" s="41">
        <v>45468</v>
      </c>
      <c r="K20930" s="30" t="s">
        <v>22</v>
      </c>
    </row>
    <row r="20931" spans="1:11">
      <c r="A20931" s="33" t="s">
        <v>46425</v>
      </c>
      <c r="B20931" s="33" t="s">
        <v>46426</v>
      </c>
      <c r="C20931" s="33" t="s">
        <v>231</v>
      </c>
      <c r="D20931" s="33" t="s">
        <v>17</v>
      </c>
      <c r="E20931" s="33" t="s">
        <v>31</v>
      </c>
      <c r="F20931" s="33" t="s">
        <v>32</v>
      </c>
      <c r="G20931" s="33" t="s">
        <v>158</v>
      </c>
      <c r="H20931" s="35">
        <v>190</v>
      </c>
      <c r="I20931" s="33" t="s">
        <v>21</v>
      </c>
      <c r="J20931" s="42">
        <v>45427</v>
      </c>
      <c r="K20931" s="33" t="s">
        <v>22</v>
      </c>
    </row>
    <row r="20932" spans="1:11">
      <c r="A20932" s="30" t="s">
        <v>46427</v>
      </c>
      <c r="B20932" s="30" t="s">
        <v>46428</v>
      </c>
      <c r="C20932" s="30" t="s">
        <v>31562</v>
      </c>
      <c r="D20932" s="30" t="s">
        <v>17</v>
      </c>
      <c r="E20932" s="30" t="s">
        <v>31</v>
      </c>
      <c r="F20932" s="30" t="s">
        <v>32</v>
      </c>
      <c r="G20932" s="30" t="s">
        <v>112</v>
      </c>
      <c r="H20932" s="32">
        <v>0</v>
      </c>
      <c r="I20932" s="30" t="s">
        <v>21</v>
      </c>
      <c r="J20932" s="41">
        <v>45626</v>
      </c>
      <c r="K20932" s="30" t="s">
        <v>22</v>
      </c>
    </row>
    <row r="20933" spans="1:11">
      <c r="A20933" s="33" t="s">
        <v>46429</v>
      </c>
      <c r="B20933" s="33" t="s">
        <v>46430</v>
      </c>
      <c r="C20933" s="33" t="s">
        <v>1750</v>
      </c>
      <c r="D20933" s="33" t="s">
        <v>17</v>
      </c>
      <c r="E20933" s="33" t="s">
        <v>31</v>
      </c>
      <c r="F20933" s="33" t="s">
        <v>32</v>
      </c>
      <c r="G20933" s="33" t="s">
        <v>140</v>
      </c>
      <c r="H20933" s="35">
        <v>250</v>
      </c>
      <c r="I20933" s="33" t="s">
        <v>51</v>
      </c>
      <c r="J20933" s="42">
        <v>45461</v>
      </c>
      <c r="K20933" s="33" t="s">
        <v>22</v>
      </c>
    </row>
    <row r="20934" spans="1:11">
      <c r="A20934" s="30" t="s">
        <v>46431</v>
      </c>
      <c r="B20934" s="30" t="s">
        <v>46432</v>
      </c>
      <c r="C20934" s="30" t="s">
        <v>32569</v>
      </c>
      <c r="D20934" s="30" t="s">
        <v>17</v>
      </c>
      <c r="E20934" s="30" t="s">
        <v>26</v>
      </c>
      <c r="F20934" s="30" t="s">
        <v>27</v>
      </c>
      <c r="G20934" s="30" t="s">
        <v>158</v>
      </c>
      <c r="H20934" s="32">
        <v>6</v>
      </c>
      <c r="I20934" s="30" t="s">
        <v>51</v>
      </c>
      <c r="J20934" s="41">
        <v>45400</v>
      </c>
      <c r="K20934" s="30" t="s">
        <v>22</v>
      </c>
    </row>
    <row r="20935" spans="1:11">
      <c r="A20935" s="33" t="s">
        <v>46433</v>
      </c>
      <c r="B20935" s="33" t="s">
        <v>46434</v>
      </c>
      <c r="C20935" s="33" t="s">
        <v>190</v>
      </c>
      <c r="D20935" s="33" t="s">
        <v>17</v>
      </c>
      <c r="E20935" s="33" t="s">
        <v>31</v>
      </c>
      <c r="F20935" s="33" t="s">
        <v>32</v>
      </c>
      <c r="G20935" s="33" t="s">
        <v>158</v>
      </c>
      <c r="H20935" s="35">
        <v>24</v>
      </c>
      <c r="I20935" s="33" t="s">
        <v>21</v>
      </c>
      <c r="J20935" s="42">
        <v>45637</v>
      </c>
      <c r="K20935" s="33" t="s">
        <v>22</v>
      </c>
    </row>
    <row r="20936" spans="1:11">
      <c r="A20936" s="30" t="s">
        <v>46435</v>
      </c>
      <c r="B20936" s="30" t="s">
        <v>46436</v>
      </c>
      <c r="C20936" s="30" t="s">
        <v>12980</v>
      </c>
      <c r="D20936" s="30" t="s">
        <v>17</v>
      </c>
      <c r="E20936" s="30" t="s">
        <v>26</v>
      </c>
      <c r="F20936" s="30" t="s">
        <v>27</v>
      </c>
      <c r="G20936" s="30" t="s">
        <v>20</v>
      </c>
      <c r="H20936" s="32">
        <v>22</v>
      </c>
      <c r="I20936" s="30" t="s">
        <v>21</v>
      </c>
      <c r="J20936" s="41">
        <v>45607</v>
      </c>
      <c r="K20936" s="30" t="s">
        <v>22</v>
      </c>
    </row>
    <row r="20937" spans="1:11">
      <c r="A20937" s="33" t="s">
        <v>46437</v>
      </c>
      <c r="B20937" s="33" t="s">
        <v>46438</v>
      </c>
      <c r="C20937" s="33" t="s">
        <v>2472</v>
      </c>
      <c r="D20937" s="33" t="s">
        <v>17</v>
      </c>
      <c r="E20937" s="33" t="s">
        <v>212</v>
      </c>
      <c r="F20937" s="33" t="s">
        <v>213</v>
      </c>
      <c r="G20937" s="33" t="s">
        <v>140</v>
      </c>
      <c r="H20937" s="35">
        <v>1144</v>
      </c>
      <c r="I20937" s="33" t="s">
        <v>51</v>
      </c>
      <c r="J20937" s="42">
        <v>45544</v>
      </c>
      <c r="K20937" s="33" t="s">
        <v>22</v>
      </c>
    </row>
    <row r="20938" spans="1:11">
      <c r="A20938" s="30" t="s">
        <v>46439</v>
      </c>
      <c r="B20938" s="30" t="s">
        <v>46440</v>
      </c>
      <c r="C20938" s="30" t="s">
        <v>44689</v>
      </c>
      <c r="D20938" s="30" t="s">
        <v>17</v>
      </c>
      <c r="E20938" s="30" t="s">
        <v>31</v>
      </c>
      <c r="F20938" s="30" t="s">
        <v>32</v>
      </c>
      <c r="G20938" s="30" t="s">
        <v>158</v>
      </c>
      <c r="H20938" s="32">
        <v>14</v>
      </c>
      <c r="I20938" s="30" t="s">
        <v>21</v>
      </c>
      <c r="J20938" s="41">
        <v>45525</v>
      </c>
      <c r="K20938" s="30" t="s">
        <v>22</v>
      </c>
    </row>
    <row r="20939" spans="1:11">
      <c r="A20939" s="33" t="s">
        <v>46441</v>
      </c>
      <c r="B20939" s="33" t="s">
        <v>46442</v>
      </c>
      <c r="C20939" s="33" t="s">
        <v>5395</v>
      </c>
      <c r="D20939" s="33" t="s">
        <v>17</v>
      </c>
      <c r="E20939" s="33" t="s">
        <v>31</v>
      </c>
      <c r="F20939" s="33" t="s">
        <v>32</v>
      </c>
      <c r="G20939" s="33" t="s">
        <v>69</v>
      </c>
      <c r="H20939" s="35">
        <v>68</v>
      </c>
      <c r="I20939" s="33" t="s">
        <v>51</v>
      </c>
      <c r="J20939" s="42">
        <v>45473</v>
      </c>
      <c r="K20939" s="33" t="s">
        <v>22</v>
      </c>
    </row>
    <row r="20940" spans="1:11">
      <c r="A20940" s="30" t="s">
        <v>46443</v>
      </c>
      <c r="B20940" s="30" t="s">
        <v>46444</v>
      </c>
      <c r="C20940" s="30" t="s">
        <v>46445</v>
      </c>
      <c r="D20940" s="30" t="s">
        <v>17</v>
      </c>
      <c r="E20940" s="30" t="s">
        <v>26</v>
      </c>
      <c r="F20940" s="30" t="s">
        <v>27</v>
      </c>
      <c r="G20940" s="30" t="s">
        <v>140</v>
      </c>
      <c r="H20940" s="32">
        <v>263</v>
      </c>
      <c r="I20940" s="30" t="s">
        <v>51</v>
      </c>
      <c r="J20940" s="41">
        <v>45331</v>
      </c>
      <c r="K20940" s="30" t="s">
        <v>22</v>
      </c>
    </row>
    <row r="20941" spans="1:11">
      <c r="A20941" s="33" t="s">
        <v>46446</v>
      </c>
      <c r="B20941" s="33" t="s">
        <v>46447</v>
      </c>
      <c r="C20941" s="33" t="s">
        <v>450</v>
      </c>
      <c r="D20941" s="33" t="s">
        <v>17</v>
      </c>
      <c r="E20941" s="33" t="s">
        <v>18</v>
      </c>
      <c r="F20941" s="33" t="s">
        <v>19</v>
      </c>
      <c r="G20941" s="33" t="s">
        <v>140</v>
      </c>
      <c r="H20941" s="35">
        <v>12</v>
      </c>
      <c r="I20941" s="33" t="s">
        <v>51</v>
      </c>
      <c r="J20941" s="42">
        <v>45609</v>
      </c>
      <c r="K20941" s="33" t="s">
        <v>22</v>
      </c>
    </row>
    <row r="20942" spans="1:11">
      <c r="A20942" s="30" t="s">
        <v>46448</v>
      </c>
      <c r="B20942" s="30" t="s">
        <v>46449</v>
      </c>
      <c r="C20942" s="30" t="s">
        <v>549</v>
      </c>
      <c r="D20942" s="30" t="s">
        <v>17</v>
      </c>
      <c r="E20942" s="30" t="s">
        <v>18</v>
      </c>
      <c r="F20942" s="30" t="s">
        <v>19</v>
      </c>
      <c r="G20942" s="30" t="s">
        <v>20</v>
      </c>
      <c r="H20942" s="32">
        <v>31</v>
      </c>
      <c r="I20942" s="30" t="s">
        <v>21</v>
      </c>
      <c r="J20942" s="41">
        <v>45531</v>
      </c>
      <c r="K20942" s="30" t="s">
        <v>22</v>
      </c>
    </row>
    <row r="20943" spans="1:11">
      <c r="A20943" s="33" t="s">
        <v>46450</v>
      </c>
      <c r="B20943" s="33" t="s">
        <v>46451</v>
      </c>
      <c r="C20943" s="33" t="s">
        <v>136</v>
      </c>
      <c r="D20943" s="33" t="s">
        <v>17</v>
      </c>
      <c r="E20943" s="33" t="s">
        <v>26</v>
      </c>
      <c r="F20943" s="33" t="s">
        <v>27</v>
      </c>
      <c r="G20943" s="33" t="s">
        <v>20</v>
      </c>
      <c r="H20943" s="35">
        <v>12</v>
      </c>
      <c r="I20943" s="33" t="s">
        <v>21</v>
      </c>
      <c r="J20943" s="42">
        <v>45351</v>
      </c>
      <c r="K20943" s="33" t="s">
        <v>22</v>
      </c>
    </row>
    <row r="20944" spans="1:11">
      <c r="A20944" s="30" t="s">
        <v>46452</v>
      </c>
      <c r="B20944" s="30" t="s">
        <v>46453</v>
      </c>
      <c r="C20944" s="30" t="s">
        <v>40104</v>
      </c>
      <c r="D20944" s="30" t="s">
        <v>17</v>
      </c>
      <c r="E20944" s="30" t="s">
        <v>26</v>
      </c>
      <c r="F20944" s="30" t="s">
        <v>27</v>
      </c>
      <c r="G20944" s="30" t="s">
        <v>20</v>
      </c>
      <c r="H20944" s="32">
        <v>48</v>
      </c>
      <c r="I20944" s="30" t="s">
        <v>21</v>
      </c>
      <c r="J20944" s="41">
        <v>45411</v>
      </c>
      <c r="K20944" s="30" t="s">
        <v>22</v>
      </c>
    </row>
    <row r="20945" spans="1:11">
      <c r="A20945" s="33" t="s">
        <v>46454</v>
      </c>
      <c r="B20945" s="33" t="s">
        <v>46455</v>
      </c>
      <c r="C20945" s="33" t="s">
        <v>46456</v>
      </c>
      <c r="D20945" s="33" t="s">
        <v>17</v>
      </c>
      <c r="E20945" s="33" t="s">
        <v>31</v>
      </c>
      <c r="F20945" s="33" t="s">
        <v>32</v>
      </c>
      <c r="G20945" s="33" t="s">
        <v>106</v>
      </c>
      <c r="H20945" s="35">
        <v>30</v>
      </c>
      <c r="I20945" s="33" t="s">
        <v>21</v>
      </c>
      <c r="J20945" s="42">
        <v>45537</v>
      </c>
      <c r="K20945" s="33" t="s">
        <v>22</v>
      </c>
    </row>
    <row r="20946" spans="1:11">
      <c r="A20946" s="30" t="s">
        <v>46457</v>
      </c>
      <c r="B20946" s="30" t="s">
        <v>46458</v>
      </c>
      <c r="C20946" s="30" t="s">
        <v>31562</v>
      </c>
      <c r="D20946" s="30" t="s">
        <v>17</v>
      </c>
      <c r="E20946" s="30" t="s">
        <v>31</v>
      </c>
      <c r="F20946" s="30" t="s">
        <v>32</v>
      </c>
      <c r="G20946" s="30" t="s">
        <v>50</v>
      </c>
      <c r="H20946" s="32">
        <v>195</v>
      </c>
      <c r="I20946" s="30" t="s">
        <v>51</v>
      </c>
      <c r="J20946" s="41">
        <v>45442</v>
      </c>
      <c r="K20946" s="30" t="s">
        <v>22</v>
      </c>
    </row>
    <row r="20947" spans="1:11">
      <c r="A20947" s="33" t="s">
        <v>46459</v>
      </c>
      <c r="B20947" s="33" t="s">
        <v>46460</v>
      </c>
      <c r="C20947" s="33" t="s">
        <v>44</v>
      </c>
      <c r="D20947" s="33" t="s">
        <v>17</v>
      </c>
      <c r="E20947" s="33" t="s">
        <v>31</v>
      </c>
      <c r="F20947" s="33" t="s">
        <v>32</v>
      </c>
      <c r="G20947" s="33" t="s">
        <v>158</v>
      </c>
      <c r="H20947" s="35">
        <v>195</v>
      </c>
      <c r="I20947" s="33" t="s">
        <v>21</v>
      </c>
      <c r="J20947" s="42">
        <v>45489</v>
      </c>
      <c r="K20947" s="33" t="s">
        <v>22</v>
      </c>
    </row>
    <row r="20948" spans="1:11">
      <c r="A20948" s="30" t="s">
        <v>46461</v>
      </c>
      <c r="B20948" s="30" t="s">
        <v>46462</v>
      </c>
      <c r="C20948" s="30" t="s">
        <v>25233</v>
      </c>
      <c r="D20948" s="30" t="s">
        <v>17</v>
      </c>
      <c r="E20948" s="30" t="s">
        <v>18</v>
      </c>
      <c r="F20948" s="30" t="s">
        <v>19</v>
      </c>
      <c r="G20948" s="30" t="s">
        <v>20</v>
      </c>
      <c r="H20948" s="32">
        <v>3</v>
      </c>
      <c r="I20948" s="30" t="s">
        <v>21</v>
      </c>
      <c r="J20948" s="41">
        <v>45534</v>
      </c>
      <c r="K20948" s="30" t="s">
        <v>22</v>
      </c>
    </row>
    <row r="20949" spans="1:11">
      <c r="A20949" s="33" t="s">
        <v>46463</v>
      </c>
      <c r="B20949" s="33" t="s">
        <v>46464</v>
      </c>
      <c r="C20949" s="33" t="s">
        <v>1324</v>
      </c>
      <c r="D20949" s="33" t="s">
        <v>17</v>
      </c>
      <c r="E20949" s="33" t="s">
        <v>18</v>
      </c>
      <c r="F20949" s="33" t="s">
        <v>19</v>
      </c>
      <c r="G20949" s="33" t="s">
        <v>140</v>
      </c>
      <c r="H20949" s="35">
        <v>116</v>
      </c>
      <c r="I20949" s="33" t="s">
        <v>51</v>
      </c>
      <c r="J20949" s="42">
        <v>45621</v>
      </c>
      <c r="K20949" s="33" t="s">
        <v>22</v>
      </c>
    </row>
    <row r="20950" spans="1:11">
      <c r="A20950" s="30" t="s">
        <v>46465</v>
      </c>
      <c r="B20950" s="30" t="s">
        <v>46466</v>
      </c>
      <c r="C20950" s="30" t="s">
        <v>647</v>
      </c>
      <c r="D20950" s="30" t="s">
        <v>17</v>
      </c>
      <c r="E20950" s="30" t="s">
        <v>26</v>
      </c>
      <c r="F20950" s="30" t="s">
        <v>27</v>
      </c>
      <c r="G20950" s="30" t="s">
        <v>20</v>
      </c>
      <c r="H20950" s="32">
        <v>14</v>
      </c>
      <c r="I20950" s="30" t="s">
        <v>21</v>
      </c>
      <c r="J20950" s="41">
        <v>45456</v>
      </c>
      <c r="K20950" s="30" t="s">
        <v>22</v>
      </c>
    </row>
    <row r="20951" spans="1:11">
      <c r="A20951" s="33" t="s">
        <v>46467</v>
      </c>
      <c r="B20951" s="33" t="s">
        <v>46468</v>
      </c>
      <c r="C20951" s="33" t="s">
        <v>450</v>
      </c>
      <c r="D20951" s="33" t="s">
        <v>17</v>
      </c>
      <c r="E20951" s="33" t="s">
        <v>18</v>
      </c>
      <c r="F20951" s="33" t="s">
        <v>19</v>
      </c>
      <c r="G20951" s="33" t="s">
        <v>158</v>
      </c>
      <c r="H20951" s="35">
        <v>124</v>
      </c>
      <c r="I20951" s="33" t="s">
        <v>21</v>
      </c>
      <c r="J20951" s="42">
        <v>45294</v>
      </c>
      <c r="K20951" s="33" t="s">
        <v>22</v>
      </c>
    </row>
    <row r="20952" spans="1:11">
      <c r="A20952" s="30" t="s">
        <v>46469</v>
      </c>
      <c r="B20952" s="30" t="s">
        <v>46470</v>
      </c>
      <c r="C20952" s="30" t="s">
        <v>21546</v>
      </c>
      <c r="D20952" s="30" t="s">
        <v>17</v>
      </c>
      <c r="E20952" s="30" t="s">
        <v>31</v>
      </c>
      <c r="F20952" s="30" t="s">
        <v>32</v>
      </c>
      <c r="G20952" s="30" t="s">
        <v>20</v>
      </c>
      <c r="H20952" s="32">
        <v>75</v>
      </c>
      <c r="I20952" s="30" t="s">
        <v>21</v>
      </c>
      <c r="J20952" s="41">
        <v>45432</v>
      </c>
      <c r="K20952" s="30" t="s">
        <v>22</v>
      </c>
    </row>
    <row r="20953" spans="1:11">
      <c r="A20953" s="33" t="s">
        <v>46471</v>
      </c>
      <c r="B20953" s="33" t="s">
        <v>46472</v>
      </c>
      <c r="C20953" s="33" t="s">
        <v>46473</v>
      </c>
      <c r="D20953" s="33" t="s">
        <v>17</v>
      </c>
      <c r="E20953" s="33" t="s">
        <v>26</v>
      </c>
      <c r="F20953" s="33" t="s">
        <v>27</v>
      </c>
      <c r="G20953" s="33" t="s">
        <v>140</v>
      </c>
      <c r="H20953" s="35">
        <v>58</v>
      </c>
      <c r="I20953" s="33" t="s">
        <v>51</v>
      </c>
      <c r="J20953" s="42">
        <v>45589</v>
      </c>
      <c r="K20953" s="33" t="s">
        <v>22</v>
      </c>
    </row>
    <row r="20954" spans="1:11">
      <c r="A20954" s="30" t="s">
        <v>46474</v>
      </c>
      <c r="B20954" s="30" t="s">
        <v>46475</v>
      </c>
      <c r="C20954" s="30" t="s">
        <v>93</v>
      </c>
      <c r="D20954" s="30" t="s">
        <v>17</v>
      </c>
      <c r="E20954" s="30" t="s">
        <v>26</v>
      </c>
      <c r="F20954" s="30" t="s">
        <v>27</v>
      </c>
      <c r="G20954" s="30" t="s">
        <v>20</v>
      </c>
      <c r="H20954" s="32">
        <v>60</v>
      </c>
      <c r="I20954" s="30" t="s">
        <v>21</v>
      </c>
      <c r="J20954" s="41">
        <v>45425</v>
      </c>
      <c r="K20954" s="30" t="s">
        <v>22</v>
      </c>
    </row>
    <row r="20955" spans="1:11">
      <c r="A20955" s="33" t="s">
        <v>46476</v>
      </c>
      <c r="B20955" s="33" t="s">
        <v>46477</v>
      </c>
      <c r="C20955" s="33" t="s">
        <v>34199</v>
      </c>
      <c r="D20955" s="33" t="s">
        <v>17</v>
      </c>
      <c r="E20955" s="33" t="s">
        <v>26</v>
      </c>
      <c r="F20955" s="33" t="s">
        <v>27</v>
      </c>
      <c r="G20955" s="33" t="s">
        <v>140</v>
      </c>
      <c r="H20955" s="35">
        <v>18</v>
      </c>
      <c r="I20955" s="33" t="s">
        <v>51</v>
      </c>
      <c r="J20955" s="42">
        <v>45377</v>
      </c>
      <c r="K20955" s="33" t="s">
        <v>22</v>
      </c>
    </row>
    <row r="20956" spans="1:11">
      <c r="A20956" s="30" t="s">
        <v>46478</v>
      </c>
      <c r="B20956" s="30" t="s">
        <v>46479</v>
      </c>
      <c r="C20956" s="30" t="s">
        <v>14816</v>
      </c>
      <c r="D20956" s="30" t="s">
        <v>17</v>
      </c>
      <c r="E20956" s="30" t="s">
        <v>26</v>
      </c>
      <c r="F20956" s="30" t="s">
        <v>27</v>
      </c>
      <c r="G20956" s="30" t="s">
        <v>20</v>
      </c>
      <c r="H20956" s="32">
        <v>44</v>
      </c>
      <c r="I20956" s="30" t="s">
        <v>21</v>
      </c>
      <c r="J20956" s="41">
        <v>45582</v>
      </c>
      <c r="K20956" s="30" t="s">
        <v>22</v>
      </c>
    </row>
    <row r="20957" spans="1:11">
      <c r="A20957" s="33" t="s">
        <v>46480</v>
      </c>
      <c r="B20957" s="33" t="s">
        <v>46481</v>
      </c>
      <c r="C20957" s="33" t="s">
        <v>75</v>
      </c>
      <c r="D20957" s="33" t="s">
        <v>17</v>
      </c>
      <c r="E20957" s="33" t="s">
        <v>26</v>
      </c>
      <c r="F20957" s="33" t="s">
        <v>27</v>
      </c>
      <c r="G20957" s="33" t="s">
        <v>140</v>
      </c>
      <c r="H20957" s="35">
        <v>105</v>
      </c>
      <c r="I20957" s="33" t="s">
        <v>51</v>
      </c>
      <c r="J20957" s="42">
        <v>45441</v>
      </c>
      <c r="K20957" s="33" t="s">
        <v>22</v>
      </c>
    </row>
    <row r="20958" spans="1:11">
      <c r="A20958" s="30" t="s">
        <v>46482</v>
      </c>
      <c r="B20958" s="30" t="s">
        <v>46483</v>
      </c>
      <c r="C20958" s="30" t="s">
        <v>46484</v>
      </c>
      <c r="D20958" s="30" t="s">
        <v>17</v>
      </c>
      <c r="E20958" s="30" t="s">
        <v>26</v>
      </c>
      <c r="F20958" s="30" t="s">
        <v>27</v>
      </c>
      <c r="G20958" s="30" t="s">
        <v>20</v>
      </c>
      <c r="H20958" s="32">
        <v>12</v>
      </c>
      <c r="I20958" s="30" t="s">
        <v>21</v>
      </c>
      <c r="J20958" s="41">
        <v>45609</v>
      </c>
      <c r="K20958" s="30" t="s">
        <v>22</v>
      </c>
    </row>
    <row r="20959" spans="1:11">
      <c r="A20959" s="33" t="s">
        <v>46485</v>
      </c>
      <c r="B20959" s="33" t="s">
        <v>46486</v>
      </c>
      <c r="C20959" s="33" t="s">
        <v>44</v>
      </c>
      <c r="D20959" s="33" t="s">
        <v>17</v>
      </c>
      <c r="E20959" s="33" t="s">
        <v>18</v>
      </c>
      <c r="F20959" s="33" t="s">
        <v>19</v>
      </c>
      <c r="G20959" s="33" t="s">
        <v>140</v>
      </c>
      <c r="H20959" s="35">
        <v>560</v>
      </c>
      <c r="I20959" s="33" t="s">
        <v>51</v>
      </c>
      <c r="J20959" s="42">
        <v>45544</v>
      </c>
      <c r="K20959" s="33" t="s">
        <v>22</v>
      </c>
    </row>
    <row r="20960" spans="1:11">
      <c r="A20960" s="30" t="s">
        <v>46487</v>
      </c>
      <c r="B20960" s="30" t="s">
        <v>46488</v>
      </c>
      <c r="C20960" s="30" t="s">
        <v>187</v>
      </c>
      <c r="D20960" s="30" t="s">
        <v>17</v>
      </c>
      <c r="E20960" s="30" t="s">
        <v>31</v>
      </c>
      <c r="F20960" s="30" t="s">
        <v>32</v>
      </c>
      <c r="G20960" s="30" t="s">
        <v>140</v>
      </c>
      <c r="H20960" s="32">
        <v>120</v>
      </c>
      <c r="I20960" s="30" t="s">
        <v>51</v>
      </c>
      <c r="J20960" s="41">
        <v>45489</v>
      </c>
      <c r="K20960" s="30" t="s">
        <v>22</v>
      </c>
    </row>
    <row r="20961" spans="1:11">
      <c r="A20961" s="33" t="s">
        <v>46489</v>
      </c>
      <c r="B20961" s="33" t="s">
        <v>46490</v>
      </c>
      <c r="C20961" s="33" t="s">
        <v>8554</v>
      </c>
      <c r="D20961" s="33" t="s">
        <v>17</v>
      </c>
      <c r="E20961" s="33" t="s">
        <v>18</v>
      </c>
      <c r="F20961" s="33" t="s">
        <v>19</v>
      </c>
      <c r="G20961" s="33" t="s">
        <v>140</v>
      </c>
      <c r="H20961" s="35">
        <v>582</v>
      </c>
      <c r="I20961" s="33" t="s">
        <v>51</v>
      </c>
      <c r="J20961" s="42">
        <v>45538</v>
      </c>
      <c r="K20961" s="33" t="s">
        <v>22</v>
      </c>
    </row>
    <row r="20962" spans="1:11">
      <c r="A20962" s="30" t="s">
        <v>46491</v>
      </c>
      <c r="B20962" s="30" t="s">
        <v>46492</v>
      </c>
      <c r="C20962" s="30" t="s">
        <v>75</v>
      </c>
      <c r="D20962" s="30" t="s">
        <v>17</v>
      </c>
      <c r="E20962" s="30" t="s">
        <v>26</v>
      </c>
      <c r="F20962" s="30" t="s">
        <v>27</v>
      </c>
      <c r="G20962" s="30" t="s">
        <v>20</v>
      </c>
      <c r="H20962" s="32">
        <v>64</v>
      </c>
      <c r="I20962" s="30" t="s">
        <v>21</v>
      </c>
      <c r="J20962" s="41">
        <v>45357</v>
      </c>
      <c r="K20962" s="30" t="s">
        <v>22</v>
      </c>
    </row>
    <row r="20963" spans="1:11">
      <c r="A20963" s="33" t="s">
        <v>46493</v>
      </c>
      <c r="B20963" s="33" t="s">
        <v>46494</v>
      </c>
      <c r="C20963" s="33" t="s">
        <v>96</v>
      </c>
      <c r="D20963" s="33" t="s">
        <v>17</v>
      </c>
      <c r="E20963" s="33" t="s">
        <v>18</v>
      </c>
      <c r="F20963" s="33" t="s">
        <v>19</v>
      </c>
      <c r="G20963" s="33" t="s">
        <v>20</v>
      </c>
      <c r="H20963" s="35">
        <v>453</v>
      </c>
      <c r="I20963" s="33" t="s">
        <v>21</v>
      </c>
      <c r="J20963" s="42">
        <v>45467</v>
      </c>
      <c r="K20963" s="33" t="s">
        <v>22</v>
      </c>
    </row>
    <row r="20964" spans="1:11">
      <c r="A20964" s="30" t="s">
        <v>46495</v>
      </c>
      <c r="B20964" s="30" t="s">
        <v>46496</v>
      </c>
      <c r="C20964" s="30" t="s">
        <v>16107</v>
      </c>
      <c r="D20964" s="30" t="s">
        <v>17</v>
      </c>
      <c r="E20964" s="30" t="s">
        <v>26</v>
      </c>
      <c r="F20964" s="30" t="s">
        <v>27</v>
      </c>
      <c r="G20964" s="30" t="s">
        <v>140</v>
      </c>
      <c r="H20964" s="32">
        <v>10</v>
      </c>
      <c r="I20964" s="30" t="s">
        <v>51</v>
      </c>
      <c r="J20964" s="41">
        <v>45425</v>
      </c>
      <c r="K20964" s="30" t="s">
        <v>22</v>
      </c>
    </row>
    <row r="20965" spans="1:11">
      <c r="A20965" s="33" t="s">
        <v>46497</v>
      </c>
      <c r="B20965" s="33" t="s">
        <v>46498</v>
      </c>
      <c r="C20965" s="33" t="s">
        <v>102</v>
      </c>
      <c r="D20965" s="33" t="s">
        <v>17</v>
      </c>
      <c r="E20965" s="33" t="s">
        <v>31</v>
      </c>
      <c r="F20965" s="33" t="s">
        <v>32</v>
      </c>
      <c r="G20965" s="33" t="s">
        <v>158</v>
      </c>
      <c r="H20965" s="35">
        <v>11</v>
      </c>
      <c r="I20965" s="33" t="s">
        <v>21</v>
      </c>
      <c r="J20965" s="42">
        <v>45551</v>
      </c>
      <c r="K20965" s="33" t="s">
        <v>22</v>
      </c>
    </row>
    <row r="20966" spans="1:11">
      <c r="A20966" s="30" t="s">
        <v>46499</v>
      </c>
      <c r="B20966" s="30" t="s">
        <v>46500</v>
      </c>
      <c r="C20966" s="30" t="s">
        <v>8768</v>
      </c>
      <c r="D20966" s="30" t="s">
        <v>17</v>
      </c>
      <c r="E20966" s="30" t="s">
        <v>18</v>
      </c>
      <c r="F20966" s="30" t="s">
        <v>19</v>
      </c>
      <c r="G20966" s="30" t="s">
        <v>140</v>
      </c>
      <c r="H20966" s="32">
        <v>82</v>
      </c>
      <c r="I20966" s="30" t="s">
        <v>51</v>
      </c>
      <c r="J20966" s="41">
        <v>45602</v>
      </c>
      <c r="K20966" s="30" t="s">
        <v>22</v>
      </c>
    </row>
    <row r="20967" spans="1:11">
      <c r="A20967" s="33" t="s">
        <v>46501</v>
      </c>
      <c r="B20967" s="33" t="s">
        <v>46502</v>
      </c>
      <c r="C20967" s="33" t="s">
        <v>969</v>
      </c>
      <c r="D20967" s="33" t="s">
        <v>17</v>
      </c>
      <c r="E20967" s="33" t="s">
        <v>31</v>
      </c>
      <c r="F20967" s="33" t="s">
        <v>32</v>
      </c>
      <c r="G20967" s="33" t="s">
        <v>20</v>
      </c>
      <c r="H20967" s="35">
        <v>200</v>
      </c>
      <c r="I20967" s="33" t="s">
        <v>21</v>
      </c>
      <c r="J20967" s="42">
        <v>45609</v>
      </c>
      <c r="K20967" s="33" t="s">
        <v>22</v>
      </c>
    </row>
    <row r="20968" spans="1:11">
      <c r="A20968" s="30" t="s">
        <v>46503</v>
      </c>
      <c r="B20968" s="30" t="s">
        <v>46504</v>
      </c>
      <c r="C20968" s="30" t="s">
        <v>46505</v>
      </c>
      <c r="D20968" s="30" t="s">
        <v>17</v>
      </c>
      <c r="E20968" s="30" t="s">
        <v>67</v>
      </c>
      <c r="F20968" s="30" t="s">
        <v>68</v>
      </c>
      <c r="G20968" s="30" t="s">
        <v>140</v>
      </c>
      <c r="H20968" s="32">
        <v>15</v>
      </c>
      <c r="I20968" s="30" t="s">
        <v>51</v>
      </c>
      <c r="J20968" s="41">
        <v>45475</v>
      </c>
      <c r="K20968" s="30" t="s">
        <v>22</v>
      </c>
    </row>
    <row r="20969" spans="1:11">
      <c r="A20969" s="33" t="s">
        <v>46506</v>
      </c>
      <c r="B20969" s="33" t="s">
        <v>46507</v>
      </c>
      <c r="C20969" s="33" t="s">
        <v>30672</v>
      </c>
      <c r="D20969" s="33" t="s">
        <v>17</v>
      </c>
      <c r="E20969" s="33" t="s">
        <v>67</v>
      </c>
      <c r="F20969" s="33" t="s">
        <v>68</v>
      </c>
      <c r="G20969" s="33" t="s">
        <v>140</v>
      </c>
      <c r="H20969" s="35">
        <v>144</v>
      </c>
      <c r="I20969" s="33" t="s">
        <v>51</v>
      </c>
      <c r="J20969" s="42">
        <v>45419</v>
      </c>
      <c r="K20969" s="33" t="s">
        <v>22</v>
      </c>
    </row>
    <row r="20970" spans="1:11">
      <c r="A20970" s="30" t="s">
        <v>46508</v>
      </c>
      <c r="B20970" s="30" t="s">
        <v>46509</v>
      </c>
      <c r="C20970" s="30" t="s">
        <v>46510</v>
      </c>
      <c r="D20970" s="30" t="s">
        <v>17</v>
      </c>
      <c r="E20970" s="30" t="s">
        <v>26</v>
      </c>
      <c r="F20970" s="30" t="s">
        <v>27</v>
      </c>
      <c r="G20970" s="30" t="s">
        <v>140</v>
      </c>
      <c r="H20970" s="32">
        <v>123</v>
      </c>
      <c r="I20970" s="30" t="s">
        <v>51</v>
      </c>
      <c r="J20970" s="41">
        <v>45642</v>
      </c>
      <c r="K20970" s="30" t="s">
        <v>22</v>
      </c>
    </row>
    <row r="20971" spans="1:11">
      <c r="A20971" s="33" t="s">
        <v>46511</v>
      </c>
      <c r="B20971" s="33" t="s">
        <v>46512</v>
      </c>
      <c r="C20971" s="33" t="s">
        <v>15917</v>
      </c>
      <c r="D20971" s="33" t="s">
        <v>17</v>
      </c>
      <c r="E20971" s="33" t="s">
        <v>45</v>
      </c>
      <c r="F20971" s="33" t="s">
        <v>46</v>
      </c>
      <c r="G20971" s="33" t="s">
        <v>140</v>
      </c>
      <c r="H20971" s="35">
        <v>423</v>
      </c>
      <c r="I20971" s="33" t="s">
        <v>51</v>
      </c>
      <c r="J20971" s="42">
        <v>45554</v>
      </c>
      <c r="K20971" s="33" t="s">
        <v>22</v>
      </c>
    </row>
    <row r="20972" spans="1:11">
      <c r="A20972" s="30" t="s">
        <v>46513</v>
      </c>
      <c r="B20972" s="30" t="s">
        <v>46514</v>
      </c>
      <c r="C20972" s="30" t="s">
        <v>15741</v>
      </c>
      <c r="D20972" s="30" t="s">
        <v>17</v>
      </c>
      <c r="E20972" s="30" t="s">
        <v>26</v>
      </c>
      <c r="F20972" s="30" t="s">
        <v>27</v>
      </c>
      <c r="G20972" s="30" t="s">
        <v>7780</v>
      </c>
      <c r="H20972" s="32">
        <v>82</v>
      </c>
      <c r="I20972" s="30" t="s">
        <v>51</v>
      </c>
      <c r="J20972" s="41">
        <v>45505</v>
      </c>
      <c r="K20972" s="30" t="s">
        <v>22</v>
      </c>
    </row>
    <row r="20973" spans="1:11">
      <c r="A20973" s="33" t="s">
        <v>46515</v>
      </c>
      <c r="B20973" s="33" t="s">
        <v>46516</v>
      </c>
      <c r="C20973" s="33" t="s">
        <v>190</v>
      </c>
      <c r="D20973" s="33" t="s">
        <v>17</v>
      </c>
      <c r="E20973" s="33" t="s">
        <v>26</v>
      </c>
      <c r="F20973" s="33" t="s">
        <v>27</v>
      </c>
      <c r="G20973" s="33" t="s">
        <v>20</v>
      </c>
      <c r="H20973" s="35">
        <v>28</v>
      </c>
      <c r="I20973" s="33" t="s">
        <v>21</v>
      </c>
      <c r="J20973" s="42">
        <v>45509</v>
      </c>
      <c r="K20973" s="33" t="s">
        <v>22</v>
      </c>
    </row>
    <row r="20974" spans="1:11">
      <c r="A20974" s="30" t="s">
        <v>46517</v>
      </c>
      <c r="B20974" s="30" t="s">
        <v>46518</v>
      </c>
      <c r="C20974" s="30" t="s">
        <v>7900</v>
      </c>
      <c r="D20974" s="30" t="s">
        <v>17</v>
      </c>
      <c r="E20974" s="30" t="s">
        <v>18</v>
      </c>
      <c r="F20974" s="30" t="s">
        <v>19</v>
      </c>
      <c r="G20974" s="30" t="s">
        <v>140</v>
      </c>
      <c r="H20974" s="32">
        <v>162</v>
      </c>
      <c r="I20974" s="30" t="s">
        <v>51</v>
      </c>
      <c r="J20974" s="41">
        <v>45628</v>
      </c>
      <c r="K20974" s="30" t="s">
        <v>22</v>
      </c>
    </row>
    <row r="20975" spans="1:11">
      <c r="A20975" s="33" t="s">
        <v>46519</v>
      </c>
      <c r="B20975" s="33" t="s">
        <v>46520</v>
      </c>
      <c r="C20975" s="33" t="s">
        <v>6716</v>
      </c>
      <c r="D20975" s="33" t="s">
        <v>17</v>
      </c>
      <c r="E20975" s="33" t="s">
        <v>67</v>
      </c>
      <c r="F20975" s="33" t="s">
        <v>68</v>
      </c>
      <c r="G20975" s="33" t="s">
        <v>140</v>
      </c>
      <c r="H20975" s="35">
        <v>120</v>
      </c>
      <c r="I20975" s="33" t="s">
        <v>51</v>
      </c>
      <c r="J20975" s="42">
        <v>45456</v>
      </c>
      <c r="K20975" s="33" t="s">
        <v>22</v>
      </c>
    </row>
    <row r="20976" spans="1:11">
      <c r="A20976" s="30" t="s">
        <v>46521</v>
      </c>
      <c r="B20976" s="30" t="s">
        <v>46522</v>
      </c>
      <c r="C20976" s="30" t="s">
        <v>231</v>
      </c>
      <c r="D20976" s="30" t="s">
        <v>17</v>
      </c>
      <c r="E20976" s="30" t="s">
        <v>18</v>
      </c>
      <c r="F20976" s="30" t="s">
        <v>19</v>
      </c>
      <c r="G20976" s="30" t="s">
        <v>140</v>
      </c>
      <c r="H20976" s="32">
        <v>1800</v>
      </c>
      <c r="I20976" s="30" t="s">
        <v>51</v>
      </c>
      <c r="J20976" s="41">
        <v>45552</v>
      </c>
      <c r="K20976" s="30" t="s">
        <v>22</v>
      </c>
    </row>
    <row r="20977" spans="1:11">
      <c r="A20977" s="33" t="s">
        <v>46523</v>
      </c>
      <c r="B20977" s="33" t="s">
        <v>46524</v>
      </c>
      <c r="C20977" s="33" t="s">
        <v>252</v>
      </c>
      <c r="D20977" s="33" t="s">
        <v>17</v>
      </c>
      <c r="E20977" s="33" t="s">
        <v>31</v>
      </c>
      <c r="F20977" s="33" t="s">
        <v>32</v>
      </c>
      <c r="G20977" s="33" t="s">
        <v>20</v>
      </c>
      <c r="H20977" s="35">
        <v>450</v>
      </c>
      <c r="I20977" s="33" t="s">
        <v>21</v>
      </c>
      <c r="J20977" s="42">
        <v>45481</v>
      </c>
      <c r="K20977" s="33" t="s">
        <v>22</v>
      </c>
    </row>
    <row r="20978" spans="1:11">
      <c r="A20978" s="30" t="s">
        <v>46525</v>
      </c>
      <c r="B20978" s="30" t="s">
        <v>46526</v>
      </c>
      <c r="C20978" s="30" t="s">
        <v>2208</v>
      </c>
      <c r="D20978" s="30" t="s">
        <v>17</v>
      </c>
      <c r="E20978" s="30" t="s">
        <v>18</v>
      </c>
      <c r="F20978" s="30" t="s">
        <v>19</v>
      </c>
      <c r="G20978" s="30" t="s">
        <v>20</v>
      </c>
      <c r="H20978" s="32">
        <v>55</v>
      </c>
      <c r="I20978" s="30" t="s">
        <v>21</v>
      </c>
      <c r="J20978" s="41">
        <v>45440</v>
      </c>
      <c r="K20978" s="30" t="s">
        <v>22</v>
      </c>
    </row>
    <row r="20979" spans="1:11">
      <c r="A20979" s="33" t="s">
        <v>46527</v>
      </c>
      <c r="B20979" s="33" t="s">
        <v>46528</v>
      </c>
      <c r="C20979" s="33" t="s">
        <v>2609</v>
      </c>
      <c r="D20979" s="33" t="s">
        <v>17</v>
      </c>
      <c r="E20979" s="33" t="s">
        <v>31</v>
      </c>
      <c r="F20979" s="33" t="s">
        <v>32</v>
      </c>
      <c r="G20979" s="33" t="s">
        <v>20</v>
      </c>
      <c r="H20979" s="35">
        <v>317</v>
      </c>
      <c r="I20979" s="33" t="s">
        <v>21</v>
      </c>
      <c r="J20979" s="42">
        <v>45313</v>
      </c>
      <c r="K20979" s="33" t="s">
        <v>22</v>
      </c>
    </row>
    <row r="20980" spans="1:11">
      <c r="A20980" s="30" t="s">
        <v>46529</v>
      </c>
      <c r="B20980" s="30" t="s">
        <v>46530</v>
      </c>
      <c r="C20980" s="30" t="s">
        <v>46531</v>
      </c>
      <c r="D20980" s="30" t="s">
        <v>17</v>
      </c>
      <c r="E20980" s="30" t="s">
        <v>26</v>
      </c>
      <c r="F20980" s="30" t="s">
        <v>27</v>
      </c>
      <c r="G20980" s="30" t="s">
        <v>20</v>
      </c>
      <c r="H20980" s="32">
        <v>48</v>
      </c>
      <c r="I20980" s="30" t="s">
        <v>21</v>
      </c>
      <c r="J20980" s="41">
        <v>45302</v>
      </c>
      <c r="K20980" s="30" t="s">
        <v>22</v>
      </c>
    </row>
    <row r="20981" spans="1:11">
      <c r="A20981" s="33" t="s">
        <v>46532</v>
      </c>
      <c r="B20981" s="33" t="s">
        <v>46533</v>
      </c>
      <c r="C20981" s="33" t="s">
        <v>1278</v>
      </c>
      <c r="D20981" s="33" t="s">
        <v>17</v>
      </c>
      <c r="E20981" s="33" t="s">
        <v>18</v>
      </c>
      <c r="F20981" s="33" t="s">
        <v>19</v>
      </c>
      <c r="G20981" s="33" t="s">
        <v>112</v>
      </c>
      <c r="H20981" s="35">
        <v>0</v>
      </c>
      <c r="I20981" s="33" t="s">
        <v>21</v>
      </c>
      <c r="J20981" s="42">
        <v>45392</v>
      </c>
      <c r="K20981" s="33" t="s">
        <v>22</v>
      </c>
    </row>
    <row r="20982" spans="1:11">
      <c r="A20982" s="30" t="s">
        <v>46534</v>
      </c>
      <c r="B20982" s="30" t="s">
        <v>46535</v>
      </c>
      <c r="C20982" s="30" t="s">
        <v>38754</v>
      </c>
      <c r="D20982" s="30" t="s">
        <v>17</v>
      </c>
      <c r="E20982" s="30" t="s">
        <v>18</v>
      </c>
      <c r="F20982" s="30" t="s">
        <v>19</v>
      </c>
      <c r="G20982" s="30" t="s">
        <v>20</v>
      </c>
      <c r="H20982" s="32">
        <v>80</v>
      </c>
      <c r="I20982" s="30" t="s">
        <v>21</v>
      </c>
      <c r="J20982" s="41">
        <v>45573</v>
      </c>
      <c r="K20982" s="30" t="s">
        <v>22</v>
      </c>
    </row>
    <row r="20983" spans="1:11">
      <c r="A20983" s="33" t="s">
        <v>46536</v>
      </c>
      <c r="B20983" s="33" t="s">
        <v>46537</v>
      </c>
      <c r="C20983" s="33" t="s">
        <v>25101</v>
      </c>
      <c r="D20983" s="33" t="s">
        <v>17</v>
      </c>
      <c r="E20983" s="33" t="s">
        <v>67</v>
      </c>
      <c r="F20983" s="33" t="s">
        <v>68</v>
      </c>
      <c r="G20983" s="33" t="s">
        <v>106</v>
      </c>
      <c r="H20983" s="35">
        <v>1</v>
      </c>
      <c r="I20983" s="33" t="s">
        <v>21</v>
      </c>
      <c r="J20983" s="42">
        <v>45317</v>
      </c>
      <c r="K20983" s="33" t="s">
        <v>22</v>
      </c>
    </row>
    <row r="20984" spans="1:11">
      <c r="A20984" s="30" t="s">
        <v>46538</v>
      </c>
      <c r="B20984" s="30" t="s">
        <v>46539</v>
      </c>
      <c r="C20984" s="30" t="s">
        <v>5243</v>
      </c>
      <c r="D20984" s="30" t="s">
        <v>17</v>
      </c>
      <c r="E20984" s="30" t="s">
        <v>26</v>
      </c>
      <c r="F20984" s="30" t="s">
        <v>27</v>
      </c>
      <c r="G20984" s="30" t="s">
        <v>140</v>
      </c>
      <c r="H20984" s="32">
        <v>90</v>
      </c>
      <c r="I20984" s="30" t="s">
        <v>51</v>
      </c>
      <c r="J20984" s="41">
        <v>45464</v>
      </c>
      <c r="K20984" s="30" t="s">
        <v>22</v>
      </c>
    </row>
    <row r="20985" spans="1:11">
      <c r="A20985" s="33" t="s">
        <v>46540</v>
      </c>
      <c r="B20985" s="33" t="s">
        <v>46541</v>
      </c>
      <c r="C20985" s="33" t="s">
        <v>30542</v>
      </c>
      <c r="D20985" s="33" t="s">
        <v>17</v>
      </c>
      <c r="E20985" s="33" t="s">
        <v>26</v>
      </c>
      <c r="F20985" s="33" t="s">
        <v>27</v>
      </c>
      <c r="G20985" s="33" t="s">
        <v>140</v>
      </c>
      <c r="H20985" s="35">
        <v>24</v>
      </c>
      <c r="I20985" s="33" t="s">
        <v>51</v>
      </c>
      <c r="J20985" s="42">
        <v>45294</v>
      </c>
      <c r="K20985" s="33" t="s">
        <v>22</v>
      </c>
    </row>
    <row r="20986" spans="1:11">
      <c r="A20986" s="30" t="s">
        <v>46542</v>
      </c>
      <c r="B20986" s="30" t="s">
        <v>46543</v>
      </c>
      <c r="C20986" s="30" t="s">
        <v>75</v>
      </c>
      <c r="D20986" s="30" t="s">
        <v>17</v>
      </c>
      <c r="E20986" s="30" t="s">
        <v>26</v>
      </c>
      <c r="F20986" s="30" t="s">
        <v>27</v>
      </c>
      <c r="G20986" s="30" t="s">
        <v>20</v>
      </c>
      <c r="H20986" s="32">
        <v>18</v>
      </c>
      <c r="I20986" s="30" t="s">
        <v>21</v>
      </c>
      <c r="J20986" s="41">
        <v>45411</v>
      </c>
      <c r="K20986" s="30" t="s">
        <v>22</v>
      </c>
    </row>
    <row r="20987" spans="1:11">
      <c r="A20987" s="33" t="s">
        <v>46544</v>
      </c>
      <c r="B20987" s="33" t="s">
        <v>46545</v>
      </c>
      <c r="C20987" s="33" t="s">
        <v>231</v>
      </c>
      <c r="D20987" s="33" t="s">
        <v>17</v>
      </c>
      <c r="E20987" s="33" t="s">
        <v>31</v>
      </c>
      <c r="F20987" s="33" t="s">
        <v>32</v>
      </c>
      <c r="G20987" s="33" t="s">
        <v>20</v>
      </c>
      <c r="H20987" s="35">
        <v>22</v>
      </c>
      <c r="I20987" s="33" t="s">
        <v>21</v>
      </c>
      <c r="J20987" s="42">
        <v>45387</v>
      </c>
      <c r="K20987" s="33" t="s">
        <v>22</v>
      </c>
    </row>
    <row r="20988" spans="1:11">
      <c r="A20988" s="30" t="s">
        <v>46546</v>
      </c>
      <c r="B20988" s="30" t="s">
        <v>46547</v>
      </c>
      <c r="C20988" s="30" t="s">
        <v>1250</v>
      </c>
      <c r="D20988" s="30" t="s">
        <v>17</v>
      </c>
      <c r="E20988" s="30" t="s">
        <v>26</v>
      </c>
      <c r="F20988" s="30" t="s">
        <v>27</v>
      </c>
      <c r="G20988" s="30" t="s">
        <v>20</v>
      </c>
      <c r="H20988" s="32">
        <v>20</v>
      </c>
      <c r="I20988" s="30" t="s">
        <v>21</v>
      </c>
      <c r="J20988" s="41">
        <v>45447</v>
      </c>
      <c r="K20988" s="30" t="s">
        <v>22</v>
      </c>
    </row>
    <row r="20989" spans="1:11">
      <c r="A20989" s="33" t="s">
        <v>46548</v>
      </c>
      <c r="B20989" s="33" t="s">
        <v>46549</v>
      </c>
      <c r="C20989" s="33" t="s">
        <v>2753</v>
      </c>
      <c r="D20989" s="33" t="s">
        <v>17</v>
      </c>
      <c r="E20989" s="33" t="s">
        <v>26</v>
      </c>
      <c r="F20989" s="33" t="s">
        <v>27</v>
      </c>
      <c r="G20989" s="33" t="s">
        <v>20</v>
      </c>
      <c r="H20989" s="35">
        <v>33</v>
      </c>
      <c r="I20989" s="33" t="s">
        <v>21</v>
      </c>
      <c r="J20989" s="42">
        <v>45383</v>
      </c>
      <c r="K20989" s="33" t="s">
        <v>22</v>
      </c>
    </row>
    <row r="20990" spans="1:11">
      <c r="A20990" s="30" t="s">
        <v>46550</v>
      </c>
      <c r="B20990" s="30" t="s">
        <v>46551</v>
      </c>
      <c r="C20990" s="30" t="s">
        <v>4810</v>
      </c>
      <c r="D20990" s="30" t="s">
        <v>17</v>
      </c>
      <c r="E20990" s="30" t="s">
        <v>26</v>
      </c>
      <c r="F20990" s="30" t="s">
        <v>27</v>
      </c>
      <c r="G20990" s="30" t="s">
        <v>20</v>
      </c>
      <c r="H20990" s="32">
        <v>24</v>
      </c>
      <c r="I20990" s="30" t="s">
        <v>21</v>
      </c>
      <c r="J20990" s="41">
        <v>45517</v>
      </c>
      <c r="K20990" s="30" t="s">
        <v>22</v>
      </c>
    </row>
    <row r="20991" spans="1:11">
      <c r="A20991" s="33" t="s">
        <v>46552</v>
      </c>
      <c r="B20991" s="33" t="s">
        <v>46553</v>
      </c>
      <c r="C20991" s="33" t="s">
        <v>25298</v>
      </c>
      <c r="D20991" s="33" t="s">
        <v>17</v>
      </c>
      <c r="E20991" s="33" t="s">
        <v>67</v>
      </c>
      <c r="F20991" s="33" t="s">
        <v>68</v>
      </c>
      <c r="G20991" s="33" t="s">
        <v>140</v>
      </c>
      <c r="H20991" s="35">
        <v>54</v>
      </c>
      <c r="I20991" s="33" t="s">
        <v>51</v>
      </c>
      <c r="J20991" s="42">
        <v>45292</v>
      </c>
      <c r="K20991" s="33" t="s">
        <v>22</v>
      </c>
    </row>
    <row r="20992" spans="1:11">
      <c r="A20992" s="30" t="s">
        <v>46554</v>
      </c>
      <c r="B20992" s="30" t="s">
        <v>46555</v>
      </c>
      <c r="C20992" s="30" t="s">
        <v>157</v>
      </c>
      <c r="D20992" s="30" t="s">
        <v>17</v>
      </c>
      <c r="E20992" s="30" t="s">
        <v>18</v>
      </c>
      <c r="F20992" s="30" t="s">
        <v>19</v>
      </c>
      <c r="G20992" s="30" t="s">
        <v>20</v>
      </c>
      <c r="H20992" s="32">
        <v>105</v>
      </c>
      <c r="I20992" s="30" t="s">
        <v>21</v>
      </c>
      <c r="J20992" s="41">
        <v>45573</v>
      </c>
      <c r="K20992" s="30" t="s">
        <v>22</v>
      </c>
    </row>
    <row r="20993" spans="1:11">
      <c r="A20993" s="33" t="s">
        <v>46556</v>
      </c>
      <c r="B20993" s="33" t="s">
        <v>46557</v>
      </c>
      <c r="C20993" s="33" t="s">
        <v>925</v>
      </c>
      <c r="D20993" s="33" t="s">
        <v>17</v>
      </c>
      <c r="E20993" s="33" t="s">
        <v>31</v>
      </c>
      <c r="F20993" s="33" t="s">
        <v>32</v>
      </c>
      <c r="G20993" s="33" t="s">
        <v>106</v>
      </c>
      <c r="H20993" s="35">
        <v>150</v>
      </c>
      <c r="I20993" s="33" t="s">
        <v>21</v>
      </c>
      <c r="J20993" s="42">
        <v>45579</v>
      </c>
      <c r="K20993" s="33" t="s">
        <v>22</v>
      </c>
    </row>
    <row r="20994" spans="1:11">
      <c r="A20994" s="30" t="s">
        <v>46558</v>
      </c>
      <c r="B20994" s="30" t="s">
        <v>46559</v>
      </c>
      <c r="C20994" s="30" t="s">
        <v>46560</v>
      </c>
      <c r="D20994" s="30" t="s">
        <v>17</v>
      </c>
      <c r="E20994" s="30" t="s">
        <v>26</v>
      </c>
      <c r="F20994" s="30" t="s">
        <v>27</v>
      </c>
      <c r="G20994" s="30" t="s">
        <v>140</v>
      </c>
      <c r="H20994" s="32">
        <v>30</v>
      </c>
      <c r="I20994" s="30" t="s">
        <v>51</v>
      </c>
      <c r="J20994" s="41">
        <v>45617</v>
      </c>
      <c r="K20994" s="30" t="s">
        <v>22</v>
      </c>
    </row>
    <row r="20995" spans="1:11">
      <c r="A20995" s="33" t="s">
        <v>46561</v>
      </c>
      <c r="B20995" s="33" t="s">
        <v>46562</v>
      </c>
      <c r="C20995" s="33" t="s">
        <v>3429</v>
      </c>
      <c r="D20995" s="33" t="s">
        <v>17</v>
      </c>
      <c r="E20995" s="33" t="s">
        <v>26</v>
      </c>
      <c r="F20995" s="33" t="s">
        <v>27</v>
      </c>
      <c r="G20995" s="33" t="s">
        <v>20</v>
      </c>
      <c r="H20995" s="35">
        <v>32</v>
      </c>
      <c r="I20995" s="33" t="s">
        <v>21</v>
      </c>
      <c r="J20995" s="42">
        <v>45403</v>
      </c>
      <c r="K20995" s="33" t="s">
        <v>22</v>
      </c>
    </row>
    <row r="20996" spans="1:11">
      <c r="A20996" s="30" t="s">
        <v>46563</v>
      </c>
      <c r="B20996" s="30" t="s">
        <v>46564</v>
      </c>
      <c r="C20996" s="30" t="s">
        <v>45247</v>
      </c>
      <c r="D20996" s="30" t="s">
        <v>17</v>
      </c>
      <c r="E20996" s="30" t="s">
        <v>45</v>
      </c>
      <c r="F20996" s="30" t="s">
        <v>46</v>
      </c>
      <c r="G20996" s="30" t="s">
        <v>106</v>
      </c>
      <c r="H20996" s="32">
        <v>2</v>
      </c>
      <c r="I20996" s="30" t="s">
        <v>21</v>
      </c>
      <c r="J20996" s="41">
        <v>45473</v>
      </c>
      <c r="K20996" s="30" t="s">
        <v>22</v>
      </c>
    </row>
    <row r="20997" spans="1:11">
      <c r="A20997" s="33" t="s">
        <v>46565</v>
      </c>
      <c r="B20997" s="33" t="s">
        <v>46566</v>
      </c>
      <c r="C20997" s="33" t="s">
        <v>46567</v>
      </c>
      <c r="D20997" s="33" t="s">
        <v>17</v>
      </c>
      <c r="E20997" s="33" t="s">
        <v>26</v>
      </c>
      <c r="F20997" s="33" t="s">
        <v>27</v>
      </c>
      <c r="G20997" s="33" t="s">
        <v>158</v>
      </c>
      <c r="H20997" s="35">
        <v>10</v>
      </c>
      <c r="I20997" s="33" t="s">
        <v>51</v>
      </c>
      <c r="J20997" s="42">
        <v>45452</v>
      </c>
      <c r="K20997" s="33" t="s">
        <v>22</v>
      </c>
    </row>
    <row r="20998" spans="1:11">
      <c r="A20998" s="30" t="s">
        <v>46568</v>
      </c>
      <c r="B20998" s="30" t="s">
        <v>46569</v>
      </c>
      <c r="C20998" s="30" t="s">
        <v>329</v>
      </c>
      <c r="D20998" s="30" t="s">
        <v>17</v>
      </c>
      <c r="E20998" s="30" t="s">
        <v>26</v>
      </c>
      <c r="F20998" s="30" t="s">
        <v>27</v>
      </c>
      <c r="G20998" s="30" t="s">
        <v>158</v>
      </c>
      <c r="H20998" s="32">
        <v>160</v>
      </c>
      <c r="I20998" s="30" t="s">
        <v>21</v>
      </c>
      <c r="J20998" s="41">
        <v>45611</v>
      </c>
      <c r="K20998" s="30" t="s">
        <v>22</v>
      </c>
    </row>
    <row r="20999" spans="1:11">
      <c r="A20999" s="33" t="s">
        <v>46570</v>
      </c>
      <c r="B20999" s="33" t="s">
        <v>46571</v>
      </c>
      <c r="C20999" s="33" t="s">
        <v>44692</v>
      </c>
      <c r="D20999" s="33" t="s">
        <v>17</v>
      </c>
      <c r="E20999" s="33" t="s">
        <v>26</v>
      </c>
      <c r="F20999" s="33" t="s">
        <v>27</v>
      </c>
      <c r="G20999" s="33" t="s">
        <v>20</v>
      </c>
      <c r="H20999" s="35">
        <v>72</v>
      </c>
      <c r="I20999" s="33" t="s">
        <v>21</v>
      </c>
      <c r="J20999" s="42">
        <v>45530</v>
      </c>
      <c r="K20999" s="33" t="s">
        <v>22</v>
      </c>
    </row>
    <row r="21000" spans="1:11">
      <c r="A21000" s="30" t="s">
        <v>46572</v>
      </c>
      <c r="B21000" s="30" t="s">
        <v>46573</v>
      </c>
      <c r="C21000" s="30" t="s">
        <v>1090</v>
      </c>
      <c r="D21000" s="30" t="s">
        <v>17</v>
      </c>
      <c r="E21000" s="30" t="s">
        <v>31</v>
      </c>
      <c r="F21000" s="30" t="s">
        <v>32</v>
      </c>
      <c r="G21000" s="30" t="s">
        <v>7780</v>
      </c>
      <c r="H21000" s="32">
        <v>256</v>
      </c>
      <c r="I21000" s="30" t="s">
        <v>51</v>
      </c>
      <c r="J21000" s="41">
        <v>45474</v>
      </c>
      <c r="K21000" s="30" t="s">
        <v>22</v>
      </c>
    </row>
    <row r="21001" spans="1:11">
      <c r="A21001" s="33" t="s">
        <v>46574</v>
      </c>
      <c r="B21001" s="33" t="s">
        <v>46575</v>
      </c>
      <c r="C21001" s="33" t="s">
        <v>4267</v>
      </c>
      <c r="D21001" s="33" t="s">
        <v>17</v>
      </c>
      <c r="E21001" s="33" t="s">
        <v>26</v>
      </c>
      <c r="F21001" s="33" t="s">
        <v>27</v>
      </c>
      <c r="G21001" s="33" t="s">
        <v>112</v>
      </c>
      <c r="H21001" s="35">
        <v>0</v>
      </c>
      <c r="I21001" s="33" t="s">
        <v>21</v>
      </c>
      <c r="J21001" s="42">
        <v>45611</v>
      </c>
      <c r="K21001" s="33" t="s">
        <v>22</v>
      </c>
    </row>
    <row r="21002" spans="1:11">
      <c r="A21002" s="30" t="s">
        <v>46576</v>
      </c>
      <c r="B21002" s="30" t="s">
        <v>46577</v>
      </c>
      <c r="C21002" s="30" t="s">
        <v>32428</v>
      </c>
      <c r="D21002" s="30" t="s">
        <v>17</v>
      </c>
      <c r="E21002" s="30" t="s">
        <v>31</v>
      </c>
      <c r="F21002" s="30" t="s">
        <v>32</v>
      </c>
      <c r="G21002" s="30" t="s">
        <v>20</v>
      </c>
      <c r="H21002" s="32">
        <v>156</v>
      </c>
      <c r="I21002" s="30" t="s">
        <v>21</v>
      </c>
      <c r="J21002" s="41">
        <v>45604</v>
      </c>
      <c r="K21002" s="30" t="s">
        <v>22</v>
      </c>
    </row>
    <row r="21003" spans="1:11">
      <c r="A21003" s="33" t="s">
        <v>46578</v>
      </c>
      <c r="B21003" s="33" t="s">
        <v>46579</v>
      </c>
      <c r="C21003" s="33" t="s">
        <v>16002</v>
      </c>
      <c r="D21003" s="33" t="s">
        <v>17</v>
      </c>
      <c r="E21003" s="33" t="s">
        <v>18</v>
      </c>
      <c r="F21003" s="33" t="s">
        <v>19</v>
      </c>
      <c r="G21003" s="33" t="s">
        <v>20</v>
      </c>
      <c r="H21003" s="35">
        <v>260</v>
      </c>
      <c r="I21003" s="33" t="s">
        <v>21</v>
      </c>
      <c r="J21003" s="42">
        <v>45588</v>
      </c>
      <c r="K21003" s="33" t="s">
        <v>22</v>
      </c>
    </row>
    <row r="21004" spans="1:11">
      <c r="A21004" s="30" t="s">
        <v>46580</v>
      </c>
      <c r="B21004" s="30" t="s">
        <v>46581</v>
      </c>
      <c r="C21004" s="30" t="s">
        <v>7649</v>
      </c>
      <c r="D21004" s="30" t="s">
        <v>17</v>
      </c>
      <c r="E21004" s="30" t="s">
        <v>67</v>
      </c>
      <c r="F21004" s="30" t="s">
        <v>68</v>
      </c>
      <c r="G21004" s="30" t="s">
        <v>112</v>
      </c>
      <c r="H21004" s="32">
        <v>0</v>
      </c>
      <c r="I21004" s="30" t="s">
        <v>21</v>
      </c>
      <c r="J21004" s="41">
        <v>45616</v>
      </c>
      <c r="K21004" s="30" t="s">
        <v>22</v>
      </c>
    </row>
    <row r="21005" spans="1:11">
      <c r="A21005" s="33" t="s">
        <v>46582</v>
      </c>
      <c r="B21005" s="33" t="s">
        <v>46583</v>
      </c>
      <c r="C21005" s="33" t="s">
        <v>5805</v>
      </c>
      <c r="D21005" s="33" t="s">
        <v>17</v>
      </c>
      <c r="E21005" s="33" t="s">
        <v>31</v>
      </c>
      <c r="F21005" s="33" t="s">
        <v>32</v>
      </c>
      <c r="G21005" s="33" t="s">
        <v>158</v>
      </c>
      <c r="H21005" s="35">
        <v>140</v>
      </c>
      <c r="I21005" s="33" t="s">
        <v>21</v>
      </c>
      <c r="J21005" s="42">
        <v>45394</v>
      </c>
      <c r="K21005" s="33" t="s">
        <v>22</v>
      </c>
    </row>
    <row r="21006" spans="1:11">
      <c r="A21006" s="30" t="s">
        <v>46584</v>
      </c>
      <c r="B21006" s="30" t="s">
        <v>46585</v>
      </c>
      <c r="C21006" s="30" t="s">
        <v>20263</v>
      </c>
      <c r="D21006" s="30" t="s">
        <v>17</v>
      </c>
      <c r="E21006" s="30" t="s">
        <v>26</v>
      </c>
      <c r="F21006" s="30" t="s">
        <v>27</v>
      </c>
      <c r="G21006" s="30" t="s">
        <v>20</v>
      </c>
      <c r="H21006" s="32">
        <v>120</v>
      </c>
      <c r="I21006" s="30" t="s">
        <v>21</v>
      </c>
      <c r="J21006" s="41">
        <v>45317</v>
      </c>
      <c r="K21006" s="30" t="s">
        <v>22</v>
      </c>
    </row>
    <row r="21007" spans="1:11">
      <c r="A21007" s="33" t="s">
        <v>46586</v>
      </c>
      <c r="B21007" s="33" t="s">
        <v>46587</v>
      </c>
      <c r="C21007" s="33" t="s">
        <v>17990</v>
      </c>
      <c r="D21007" s="33" t="s">
        <v>17</v>
      </c>
      <c r="E21007" s="33" t="s">
        <v>18</v>
      </c>
      <c r="F21007" s="33" t="s">
        <v>19</v>
      </c>
      <c r="G21007" s="33" t="s">
        <v>158</v>
      </c>
      <c r="H21007" s="35">
        <v>95</v>
      </c>
      <c r="I21007" s="33" t="s">
        <v>51</v>
      </c>
      <c r="J21007" s="42">
        <v>45299</v>
      </c>
      <c r="K21007" s="33" t="s">
        <v>22</v>
      </c>
    </row>
    <row r="21008" spans="1:11">
      <c r="A21008" s="30" t="s">
        <v>46588</v>
      </c>
      <c r="B21008" s="30" t="s">
        <v>46589</v>
      </c>
      <c r="C21008" s="30" t="s">
        <v>644</v>
      </c>
      <c r="D21008" s="30" t="s">
        <v>17</v>
      </c>
      <c r="E21008" s="30" t="s">
        <v>67</v>
      </c>
      <c r="F21008" s="30" t="s">
        <v>68</v>
      </c>
      <c r="G21008" s="30" t="s">
        <v>140</v>
      </c>
      <c r="H21008" s="32">
        <v>24</v>
      </c>
      <c r="I21008" s="30" t="s">
        <v>51</v>
      </c>
      <c r="J21008" s="41">
        <v>45457</v>
      </c>
      <c r="K21008" s="30" t="s">
        <v>22</v>
      </c>
    </row>
    <row r="21009" spans="1:11">
      <c r="A21009" s="33" t="s">
        <v>46590</v>
      </c>
      <c r="B21009" s="33" t="s">
        <v>46591</v>
      </c>
      <c r="C21009" s="33" t="s">
        <v>2472</v>
      </c>
      <c r="D21009" s="33" t="s">
        <v>17</v>
      </c>
      <c r="E21009" s="33" t="s">
        <v>26</v>
      </c>
      <c r="F21009" s="33" t="s">
        <v>27</v>
      </c>
      <c r="G21009" s="33" t="s">
        <v>20</v>
      </c>
      <c r="H21009" s="35">
        <v>44</v>
      </c>
      <c r="I21009" s="33" t="s">
        <v>21</v>
      </c>
      <c r="J21009" s="42">
        <v>45338</v>
      </c>
      <c r="K21009" s="33" t="s">
        <v>22</v>
      </c>
    </row>
    <row r="21010" spans="1:11">
      <c r="A21010" s="30" t="s">
        <v>46592</v>
      </c>
      <c r="B21010" s="30" t="s">
        <v>46593</v>
      </c>
      <c r="C21010" s="30" t="s">
        <v>2313</v>
      </c>
      <c r="D21010" s="30" t="s">
        <v>17</v>
      </c>
      <c r="E21010" s="30" t="s">
        <v>31</v>
      </c>
      <c r="F21010" s="30" t="s">
        <v>32</v>
      </c>
      <c r="G21010" s="30" t="s">
        <v>158</v>
      </c>
      <c r="H21010" s="32">
        <v>30</v>
      </c>
      <c r="I21010" s="30" t="s">
        <v>21</v>
      </c>
      <c r="J21010" s="41">
        <v>45488</v>
      </c>
      <c r="K21010" s="30" t="s">
        <v>22</v>
      </c>
    </row>
    <row r="21011" spans="1:11">
      <c r="A21011" s="33" t="s">
        <v>46594</v>
      </c>
      <c r="B21011" s="33" t="s">
        <v>46595</v>
      </c>
      <c r="C21011" s="33" t="s">
        <v>647</v>
      </c>
      <c r="D21011" s="33" t="s">
        <v>17</v>
      </c>
      <c r="E21011" s="33" t="s">
        <v>26</v>
      </c>
      <c r="F21011" s="33" t="s">
        <v>27</v>
      </c>
      <c r="G21011" s="33" t="s">
        <v>20</v>
      </c>
      <c r="H21011" s="35">
        <v>20</v>
      </c>
      <c r="I21011" s="33" t="s">
        <v>21</v>
      </c>
      <c r="J21011" s="42">
        <v>45329</v>
      </c>
      <c r="K21011" s="33" t="s">
        <v>22</v>
      </c>
    </row>
    <row r="21012" spans="1:11">
      <c r="A21012" s="30" t="s">
        <v>46596</v>
      </c>
      <c r="B21012" s="30" t="s">
        <v>46597</v>
      </c>
      <c r="C21012" s="30" t="s">
        <v>46598</v>
      </c>
      <c r="D21012" s="30" t="s">
        <v>17</v>
      </c>
      <c r="E21012" s="30" t="s">
        <v>18</v>
      </c>
      <c r="F21012" s="30" t="s">
        <v>19</v>
      </c>
      <c r="G21012" s="30" t="s">
        <v>20</v>
      </c>
      <c r="H21012" s="32">
        <v>215</v>
      </c>
      <c r="I21012" s="30" t="s">
        <v>21</v>
      </c>
      <c r="J21012" s="41">
        <v>45495</v>
      </c>
      <c r="K21012" s="30" t="s">
        <v>22</v>
      </c>
    </row>
    <row r="21013" spans="1:11">
      <c r="A21013" s="33" t="s">
        <v>46599</v>
      </c>
      <c r="B21013" s="33" t="s">
        <v>46600</v>
      </c>
      <c r="C21013" s="33" t="s">
        <v>33154</v>
      </c>
      <c r="D21013" s="33" t="s">
        <v>17</v>
      </c>
      <c r="E21013" s="33" t="s">
        <v>31</v>
      </c>
      <c r="F21013" s="33" t="s">
        <v>32</v>
      </c>
      <c r="G21013" s="33" t="s">
        <v>158</v>
      </c>
      <c r="H21013" s="35">
        <v>70</v>
      </c>
      <c r="I21013" s="33" t="s">
        <v>51</v>
      </c>
      <c r="J21013" s="42">
        <v>45481</v>
      </c>
      <c r="K21013" s="33" t="s">
        <v>22</v>
      </c>
    </row>
    <row r="21014" spans="1:11">
      <c r="A21014" s="30" t="s">
        <v>46601</v>
      </c>
      <c r="B21014" s="30" t="s">
        <v>46602</v>
      </c>
      <c r="C21014" s="30" t="s">
        <v>46603</v>
      </c>
      <c r="D21014" s="30" t="s">
        <v>17</v>
      </c>
      <c r="E21014" s="30" t="s">
        <v>26</v>
      </c>
      <c r="F21014" s="30" t="s">
        <v>27</v>
      </c>
      <c r="G21014" s="30" t="s">
        <v>20</v>
      </c>
      <c r="H21014" s="32">
        <v>94</v>
      </c>
      <c r="I21014" s="30" t="s">
        <v>21</v>
      </c>
      <c r="J21014" s="41">
        <v>45642</v>
      </c>
      <c r="K21014" s="30" t="s">
        <v>22</v>
      </c>
    </row>
    <row r="21015" spans="1:11">
      <c r="A21015" s="33" t="s">
        <v>46604</v>
      </c>
      <c r="B21015" s="33" t="s">
        <v>46605</v>
      </c>
      <c r="C21015" s="33" t="s">
        <v>32777</v>
      </c>
      <c r="D21015" s="33" t="s">
        <v>17</v>
      </c>
      <c r="E21015" s="33" t="s">
        <v>26</v>
      </c>
      <c r="F21015" s="33" t="s">
        <v>27</v>
      </c>
      <c r="G21015" s="33" t="s">
        <v>20</v>
      </c>
      <c r="H21015" s="35">
        <v>25</v>
      </c>
      <c r="I21015" s="33" t="s">
        <v>21</v>
      </c>
      <c r="J21015" s="42">
        <v>45502</v>
      </c>
      <c r="K21015" s="33" t="s">
        <v>22</v>
      </c>
    </row>
    <row r="21016" spans="1:11">
      <c r="A21016" s="30" t="s">
        <v>46606</v>
      </c>
      <c r="B21016" s="30" t="s">
        <v>46607</v>
      </c>
      <c r="C21016" s="30" t="s">
        <v>11912</v>
      </c>
      <c r="D21016" s="30" t="s">
        <v>17</v>
      </c>
      <c r="E21016" s="30" t="s">
        <v>31</v>
      </c>
      <c r="F21016" s="30" t="s">
        <v>32</v>
      </c>
      <c r="G21016" s="30" t="s">
        <v>158</v>
      </c>
      <c r="H21016" s="32">
        <v>336</v>
      </c>
      <c r="I21016" s="30" t="s">
        <v>51</v>
      </c>
      <c r="J21016" s="41">
        <v>45645</v>
      </c>
      <c r="K21016" s="30" t="s">
        <v>22</v>
      </c>
    </row>
    <row r="21017" spans="1:11">
      <c r="A21017" s="33" t="s">
        <v>46608</v>
      </c>
      <c r="B21017" s="33" t="s">
        <v>46609</v>
      </c>
      <c r="C21017" s="33" t="s">
        <v>24582</v>
      </c>
      <c r="D21017" s="33" t="s">
        <v>17</v>
      </c>
      <c r="E21017" s="33" t="s">
        <v>18</v>
      </c>
      <c r="F21017" s="33" t="s">
        <v>19</v>
      </c>
      <c r="G21017" s="33" t="s">
        <v>20</v>
      </c>
      <c r="H21017" s="35">
        <v>4787</v>
      </c>
      <c r="I21017" s="33" t="s">
        <v>21</v>
      </c>
      <c r="J21017" s="42">
        <v>45653</v>
      </c>
      <c r="K21017" s="33" t="s">
        <v>22</v>
      </c>
    </row>
    <row r="21018" spans="1:11">
      <c r="A21018" s="30" t="s">
        <v>46610</v>
      </c>
      <c r="B21018" s="30" t="s">
        <v>46611</v>
      </c>
      <c r="C21018" s="30" t="s">
        <v>3775</v>
      </c>
      <c r="D21018" s="30" t="s">
        <v>17</v>
      </c>
      <c r="E21018" s="30" t="s">
        <v>26</v>
      </c>
      <c r="F21018" s="30" t="s">
        <v>27</v>
      </c>
      <c r="G21018" s="30" t="s">
        <v>20</v>
      </c>
      <c r="H21018" s="32">
        <v>40</v>
      </c>
      <c r="I21018" s="30" t="s">
        <v>21</v>
      </c>
      <c r="J21018" s="41">
        <v>45631</v>
      </c>
      <c r="K21018" s="30" t="s">
        <v>22</v>
      </c>
    </row>
    <row r="21019" spans="1:11">
      <c r="A21019" s="33" t="s">
        <v>46612</v>
      </c>
      <c r="B21019" s="33" t="s">
        <v>46613</v>
      </c>
      <c r="C21019" s="33" t="s">
        <v>1764</v>
      </c>
      <c r="D21019" s="33" t="s">
        <v>17</v>
      </c>
      <c r="E21019" s="33" t="s">
        <v>18</v>
      </c>
      <c r="F21019" s="33" t="s">
        <v>19</v>
      </c>
      <c r="G21019" s="33" t="s">
        <v>20</v>
      </c>
      <c r="H21019" s="35">
        <v>120</v>
      </c>
      <c r="I21019" s="33" t="s">
        <v>21</v>
      </c>
      <c r="J21019" s="42">
        <v>45551</v>
      </c>
      <c r="K21019" s="33" t="s">
        <v>22</v>
      </c>
    </row>
    <row r="21020" spans="1:11">
      <c r="A21020" s="30" t="s">
        <v>46614</v>
      </c>
      <c r="B21020" s="30" t="s">
        <v>46615</v>
      </c>
      <c r="C21020" s="30" t="s">
        <v>546</v>
      </c>
      <c r="D21020" s="30" t="s">
        <v>17</v>
      </c>
      <c r="E21020" s="30" t="s">
        <v>26</v>
      </c>
      <c r="F21020" s="30" t="s">
        <v>27</v>
      </c>
      <c r="G21020" s="30" t="s">
        <v>140</v>
      </c>
      <c r="H21020" s="32">
        <v>36</v>
      </c>
      <c r="I21020" s="30" t="s">
        <v>51</v>
      </c>
      <c r="J21020" s="41">
        <v>45609</v>
      </c>
      <c r="K21020" s="30" t="s">
        <v>22</v>
      </c>
    </row>
    <row r="21021" spans="1:11">
      <c r="A21021" s="33" t="s">
        <v>46616</v>
      </c>
      <c r="B21021" s="33" t="s">
        <v>46617</v>
      </c>
      <c r="C21021" s="33" t="s">
        <v>28382</v>
      </c>
      <c r="D21021" s="33" t="s">
        <v>17</v>
      </c>
      <c r="E21021" s="33" t="s">
        <v>26</v>
      </c>
      <c r="F21021" s="33" t="s">
        <v>27</v>
      </c>
      <c r="G21021" s="33" t="s">
        <v>158</v>
      </c>
      <c r="H21021" s="35">
        <v>30</v>
      </c>
      <c r="I21021" s="33" t="s">
        <v>51</v>
      </c>
      <c r="J21021" s="42">
        <v>45433</v>
      </c>
      <c r="K21021" s="33" t="s">
        <v>22</v>
      </c>
    </row>
    <row r="21022" spans="1:11">
      <c r="A21022" s="30" t="s">
        <v>46618</v>
      </c>
      <c r="B21022" s="30" t="s">
        <v>46619</v>
      </c>
      <c r="C21022" s="30" t="s">
        <v>38860</v>
      </c>
      <c r="D21022" s="30" t="s">
        <v>17</v>
      </c>
      <c r="E21022" s="30" t="s">
        <v>31</v>
      </c>
      <c r="F21022" s="30" t="s">
        <v>32</v>
      </c>
      <c r="G21022" s="30" t="s">
        <v>20</v>
      </c>
      <c r="H21022" s="32">
        <v>233</v>
      </c>
      <c r="I21022" s="30" t="s">
        <v>21</v>
      </c>
      <c r="J21022" s="41">
        <v>45505</v>
      </c>
      <c r="K21022" s="30" t="s">
        <v>22</v>
      </c>
    </row>
    <row r="21023" spans="1:11">
      <c r="A21023" s="33" t="s">
        <v>46620</v>
      </c>
      <c r="B21023" s="33" t="s">
        <v>46621</v>
      </c>
      <c r="C21023" s="33" t="s">
        <v>46622</v>
      </c>
      <c r="D21023" s="33" t="s">
        <v>17</v>
      </c>
      <c r="E21023" s="33" t="s">
        <v>26</v>
      </c>
      <c r="F21023" s="33" t="s">
        <v>27</v>
      </c>
      <c r="G21023" s="33" t="s">
        <v>20</v>
      </c>
      <c r="H21023" s="35">
        <v>40</v>
      </c>
      <c r="I21023" s="33" t="s">
        <v>21</v>
      </c>
      <c r="J21023" s="42">
        <v>45309</v>
      </c>
      <c r="K21023" s="33" t="s">
        <v>22</v>
      </c>
    </row>
    <row r="21024" spans="1:11">
      <c r="A21024" s="30" t="s">
        <v>46623</v>
      </c>
      <c r="B21024" s="30" t="s">
        <v>46624</v>
      </c>
      <c r="C21024" s="30" t="s">
        <v>190</v>
      </c>
      <c r="D21024" s="30" t="s">
        <v>17</v>
      </c>
      <c r="E21024" s="30" t="s">
        <v>31</v>
      </c>
      <c r="F21024" s="30" t="s">
        <v>32</v>
      </c>
      <c r="G21024" s="30" t="s">
        <v>20</v>
      </c>
      <c r="H21024" s="32">
        <v>202</v>
      </c>
      <c r="I21024" s="30" t="s">
        <v>21</v>
      </c>
      <c r="J21024" s="41">
        <v>45595</v>
      </c>
      <c r="K21024" s="30" t="s">
        <v>22</v>
      </c>
    </row>
    <row r="21025" spans="1:11">
      <c r="A21025" s="33" t="s">
        <v>46625</v>
      </c>
      <c r="B21025" s="33" t="s">
        <v>46626</v>
      </c>
      <c r="C21025" s="33" t="s">
        <v>46627</v>
      </c>
      <c r="D21025" s="33" t="s">
        <v>17</v>
      </c>
      <c r="E21025" s="33" t="s">
        <v>26</v>
      </c>
      <c r="F21025" s="33" t="s">
        <v>27</v>
      </c>
      <c r="G21025" s="33" t="s">
        <v>20</v>
      </c>
      <c r="H21025" s="35">
        <v>16</v>
      </c>
      <c r="I21025" s="33" t="s">
        <v>21</v>
      </c>
      <c r="J21025" s="42">
        <v>45467</v>
      </c>
      <c r="K21025" s="33" t="s">
        <v>22</v>
      </c>
    </row>
    <row r="21026" spans="1:11">
      <c r="A21026" s="30" t="s">
        <v>46628</v>
      </c>
      <c r="B21026" s="30" t="s">
        <v>46629</v>
      </c>
      <c r="C21026" s="30" t="s">
        <v>1003</v>
      </c>
      <c r="D21026" s="30" t="s">
        <v>17</v>
      </c>
      <c r="E21026" s="30" t="s">
        <v>67</v>
      </c>
      <c r="F21026" s="30" t="s">
        <v>68</v>
      </c>
      <c r="G21026" s="30" t="s">
        <v>140</v>
      </c>
      <c r="H21026" s="32">
        <v>93</v>
      </c>
      <c r="I21026" s="30" t="s">
        <v>51</v>
      </c>
      <c r="J21026" s="41">
        <v>45442</v>
      </c>
      <c r="K21026" s="30" t="s">
        <v>22</v>
      </c>
    </row>
    <row r="21027" spans="1:11">
      <c r="A21027" s="33" t="s">
        <v>46630</v>
      </c>
      <c r="B21027" s="33" t="s">
        <v>15393</v>
      </c>
      <c r="C21027" s="33" t="s">
        <v>1313</v>
      </c>
      <c r="D21027" s="33" t="s">
        <v>17</v>
      </c>
      <c r="E21027" s="33" t="s">
        <v>31</v>
      </c>
      <c r="F21027" s="33" t="s">
        <v>32</v>
      </c>
      <c r="G21027" s="33" t="s">
        <v>112</v>
      </c>
      <c r="H21027" s="35">
        <v>0</v>
      </c>
      <c r="I21027" s="33" t="s">
        <v>21</v>
      </c>
      <c r="J21027" s="42">
        <v>45323</v>
      </c>
      <c r="K21027" s="33" t="s">
        <v>22</v>
      </c>
    </row>
    <row r="21028" spans="1:11">
      <c r="A21028" s="30" t="s">
        <v>46631</v>
      </c>
      <c r="B21028" s="30" t="s">
        <v>46632</v>
      </c>
      <c r="C21028" s="30" t="s">
        <v>22989</v>
      </c>
      <c r="D21028" s="30" t="s">
        <v>17</v>
      </c>
      <c r="E21028" s="30" t="s">
        <v>18</v>
      </c>
      <c r="F21028" s="30" t="s">
        <v>19</v>
      </c>
      <c r="G21028" s="30" t="s">
        <v>112</v>
      </c>
      <c r="H21028" s="32">
        <v>0</v>
      </c>
      <c r="I21028" s="30" t="s">
        <v>21</v>
      </c>
      <c r="J21028" s="41">
        <v>45439</v>
      </c>
      <c r="K21028" s="30" t="s">
        <v>22</v>
      </c>
    </row>
    <row r="21029" spans="1:11">
      <c r="A21029" s="33" t="s">
        <v>46633</v>
      </c>
      <c r="B21029" s="33" t="s">
        <v>46634</v>
      </c>
      <c r="C21029" s="33" t="s">
        <v>11599</v>
      </c>
      <c r="D21029" s="33" t="s">
        <v>17</v>
      </c>
      <c r="E21029" s="33" t="s">
        <v>18</v>
      </c>
      <c r="F21029" s="33" t="s">
        <v>19</v>
      </c>
      <c r="G21029" s="33" t="s">
        <v>112</v>
      </c>
      <c r="H21029" s="35">
        <v>0</v>
      </c>
      <c r="I21029" s="33" t="s">
        <v>21</v>
      </c>
      <c r="J21029" s="42">
        <v>45627</v>
      </c>
      <c r="K21029" s="33" t="s">
        <v>22</v>
      </c>
    </row>
    <row r="21030" spans="1:11">
      <c r="A21030" s="30" t="s">
        <v>46635</v>
      </c>
      <c r="B21030" s="30" t="s">
        <v>46636</v>
      </c>
      <c r="C21030" s="30" t="s">
        <v>46637</v>
      </c>
      <c r="D21030" s="30" t="s">
        <v>17</v>
      </c>
      <c r="E21030" s="30" t="s">
        <v>26</v>
      </c>
      <c r="F21030" s="30" t="s">
        <v>27</v>
      </c>
      <c r="G21030" s="30" t="s">
        <v>140</v>
      </c>
      <c r="H21030" s="32">
        <v>100</v>
      </c>
      <c r="I21030" s="30" t="s">
        <v>51</v>
      </c>
      <c r="J21030" s="41">
        <v>45446</v>
      </c>
      <c r="K21030" s="30" t="s">
        <v>22</v>
      </c>
    </row>
    <row r="21031" spans="1:11">
      <c r="A21031" s="33" t="s">
        <v>46638</v>
      </c>
      <c r="B21031" s="33" t="s">
        <v>46639</v>
      </c>
      <c r="C21031" s="33" t="s">
        <v>701</v>
      </c>
      <c r="D21031" s="33" t="s">
        <v>17</v>
      </c>
      <c r="E21031" s="33" t="s">
        <v>18</v>
      </c>
      <c r="F21031" s="33" t="s">
        <v>19</v>
      </c>
      <c r="G21031" s="33" t="s">
        <v>158</v>
      </c>
      <c r="H21031" s="35">
        <v>6600</v>
      </c>
      <c r="I21031" s="33" t="s">
        <v>21</v>
      </c>
      <c r="J21031" s="42">
        <v>45500</v>
      </c>
      <c r="K21031" s="33" t="s">
        <v>22</v>
      </c>
    </row>
    <row r="21032" spans="1:11">
      <c r="A21032" s="30" t="s">
        <v>46640</v>
      </c>
      <c r="B21032" s="30" t="s">
        <v>46641</v>
      </c>
      <c r="C21032" s="30" t="s">
        <v>18821</v>
      </c>
      <c r="D21032" s="30" t="s">
        <v>17</v>
      </c>
      <c r="E21032" s="30" t="s">
        <v>31</v>
      </c>
      <c r="F21032" s="30" t="s">
        <v>32</v>
      </c>
      <c r="G21032" s="30" t="s">
        <v>7780</v>
      </c>
      <c r="H21032" s="32">
        <v>144</v>
      </c>
      <c r="I21032" s="30" t="s">
        <v>51</v>
      </c>
      <c r="J21032" s="41">
        <v>45413</v>
      </c>
      <c r="K21032" s="30" t="s">
        <v>22</v>
      </c>
    </row>
    <row r="21033" spans="1:11">
      <c r="A21033" s="33" t="s">
        <v>46642</v>
      </c>
      <c r="B21033" s="33" t="s">
        <v>46643</v>
      </c>
      <c r="C21033" s="33" t="s">
        <v>31562</v>
      </c>
      <c r="D21033" s="33" t="s">
        <v>17</v>
      </c>
      <c r="E21033" s="33" t="s">
        <v>31</v>
      </c>
      <c r="F21033" s="33" t="s">
        <v>32</v>
      </c>
      <c r="G21033" s="33" t="s">
        <v>140</v>
      </c>
      <c r="H21033" s="35">
        <v>120</v>
      </c>
      <c r="I21033" s="33" t="s">
        <v>51</v>
      </c>
      <c r="J21033" s="42">
        <v>45309</v>
      </c>
      <c r="K21033" s="33" t="s">
        <v>22</v>
      </c>
    </row>
    <row r="21034" spans="1:11">
      <c r="A21034" s="30" t="s">
        <v>46644</v>
      </c>
      <c r="B21034" s="30" t="s">
        <v>46645</v>
      </c>
      <c r="C21034" s="30" t="s">
        <v>2753</v>
      </c>
      <c r="D21034" s="30" t="s">
        <v>17</v>
      </c>
      <c r="E21034" s="30" t="s">
        <v>26</v>
      </c>
      <c r="F21034" s="30" t="s">
        <v>27</v>
      </c>
      <c r="G21034" s="30" t="s">
        <v>140</v>
      </c>
      <c r="H21034" s="32">
        <v>310</v>
      </c>
      <c r="I21034" s="30" t="s">
        <v>51</v>
      </c>
      <c r="J21034" s="41">
        <v>45568</v>
      </c>
      <c r="K21034" s="30" t="s">
        <v>22</v>
      </c>
    </row>
    <row r="21035" spans="1:11">
      <c r="A21035" s="33" t="s">
        <v>46646</v>
      </c>
      <c r="B21035" s="33" t="s">
        <v>46647</v>
      </c>
      <c r="C21035" s="33" t="s">
        <v>46648</v>
      </c>
      <c r="D21035" s="33" t="s">
        <v>17</v>
      </c>
      <c r="E21035" s="33" t="s">
        <v>330</v>
      </c>
      <c r="F21035" s="33" t="s">
        <v>331</v>
      </c>
      <c r="G21035" s="33" t="s">
        <v>20</v>
      </c>
      <c r="H21035" s="35">
        <v>8</v>
      </c>
      <c r="I21035" s="33" t="s">
        <v>21</v>
      </c>
      <c r="J21035" s="42">
        <v>45526</v>
      </c>
      <c r="K21035" s="33" t="s">
        <v>22</v>
      </c>
    </row>
    <row r="21036" spans="1:11">
      <c r="A21036" s="30" t="s">
        <v>46649</v>
      </c>
      <c r="B21036" s="30" t="s">
        <v>46650</v>
      </c>
      <c r="C21036" s="30" t="s">
        <v>23590</v>
      </c>
      <c r="D21036" s="30" t="s">
        <v>17</v>
      </c>
      <c r="E21036" s="30" t="s">
        <v>26</v>
      </c>
      <c r="F21036" s="30" t="s">
        <v>27</v>
      </c>
      <c r="G21036" s="30" t="s">
        <v>140</v>
      </c>
      <c r="H21036" s="32">
        <v>200</v>
      </c>
      <c r="I21036" s="30" t="s">
        <v>51</v>
      </c>
      <c r="J21036" s="41">
        <v>45491</v>
      </c>
      <c r="K21036" s="30" t="s">
        <v>22</v>
      </c>
    </row>
    <row r="21037" spans="1:11">
      <c r="A21037" s="33" t="s">
        <v>46651</v>
      </c>
      <c r="B21037" s="33" t="s">
        <v>46652</v>
      </c>
      <c r="C21037" s="33" t="s">
        <v>14816</v>
      </c>
      <c r="D21037" s="33" t="s">
        <v>17</v>
      </c>
      <c r="E21037" s="33" t="s">
        <v>26</v>
      </c>
      <c r="F21037" s="33" t="s">
        <v>27</v>
      </c>
      <c r="G21037" s="33" t="s">
        <v>20</v>
      </c>
      <c r="H21037" s="35">
        <v>24</v>
      </c>
      <c r="I21037" s="33" t="s">
        <v>21</v>
      </c>
      <c r="J21037" s="42">
        <v>45488</v>
      </c>
      <c r="K21037" s="33" t="s">
        <v>22</v>
      </c>
    </row>
    <row r="21038" spans="1:11">
      <c r="A21038" s="30" t="s">
        <v>46653</v>
      </c>
      <c r="B21038" s="30" t="s">
        <v>46654</v>
      </c>
      <c r="C21038" s="30" t="s">
        <v>455</v>
      </c>
      <c r="D21038" s="30" t="s">
        <v>17</v>
      </c>
      <c r="E21038" s="30" t="s">
        <v>31</v>
      </c>
      <c r="F21038" s="30" t="s">
        <v>32</v>
      </c>
      <c r="G21038" s="30" t="s">
        <v>20</v>
      </c>
      <c r="H21038" s="32">
        <v>35</v>
      </c>
      <c r="I21038" s="30" t="s">
        <v>21</v>
      </c>
      <c r="J21038" s="41">
        <v>45301</v>
      </c>
      <c r="K21038" s="30" t="s">
        <v>22</v>
      </c>
    </row>
    <row r="21039" spans="1:11">
      <c r="A21039" s="33" t="s">
        <v>46655</v>
      </c>
      <c r="B21039" s="33" t="s">
        <v>46656</v>
      </c>
      <c r="C21039" s="33" t="s">
        <v>42826</v>
      </c>
      <c r="D21039" s="33" t="s">
        <v>17</v>
      </c>
      <c r="E21039" s="33" t="s">
        <v>31</v>
      </c>
      <c r="F21039" s="33" t="s">
        <v>32</v>
      </c>
      <c r="G21039" s="33" t="s">
        <v>20</v>
      </c>
      <c r="H21039" s="35">
        <v>46</v>
      </c>
      <c r="I21039" s="33" t="s">
        <v>21</v>
      </c>
      <c r="J21039" s="42">
        <v>45323</v>
      </c>
      <c r="K21039" s="33" t="s">
        <v>22</v>
      </c>
    </row>
    <row r="21040" spans="1:11">
      <c r="A21040" s="30" t="s">
        <v>46657</v>
      </c>
      <c r="B21040" s="30" t="s">
        <v>46658</v>
      </c>
      <c r="C21040" s="30" t="s">
        <v>46659</v>
      </c>
      <c r="D21040" s="30" t="s">
        <v>17</v>
      </c>
      <c r="E21040" s="30" t="s">
        <v>26</v>
      </c>
      <c r="F21040" s="30" t="s">
        <v>27</v>
      </c>
      <c r="G21040" s="30" t="s">
        <v>7780</v>
      </c>
      <c r="H21040" s="32">
        <v>100</v>
      </c>
      <c r="I21040" s="30" t="s">
        <v>51</v>
      </c>
      <c r="J21040" s="41">
        <v>45597</v>
      </c>
      <c r="K21040" s="30" t="s">
        <v>22</v>
      </c>
    </row>
    <row r="21041" spans="1:11">
      <c r="A21041" s="33" t="s">
        <v>46660</v>
      </c>
      <c r="B21041" s="33" t="s">
        <v>46661</v>
      </c>
      <c r="C21041" s="33" t="s">
        <v>149</v>
      </c>
      <c r="D21041" s="33" t="s">
        <v>17</v>
      </c>
      <c r="E21041" s="33" t="s">
        <v>67</v>
      </c>
      <c r="F21041" s="33" t="s">
        <v>68</v>
      </c>
      <c r="G21041" s="33" t="s">
        <v>140</v>
      </c>
      <c r="H21041" s="35">
        <v>118</v>
      </c>
      <c r="I21041" s="33" t="s">
        <v>51</v>
      </c>
      <c r="J21041" s="42">
        <v>45513</v>
      </c>
      <c r="K21041" s="33" t="s">
        <v>22</v>
      </c>
    </row>
    <row r="21042" spans="1:11">
      <c r="A21042" s="30" t="s">
        <v>46662</v>
      </c>
      <c r="B21042" s="30" t="s">
        <v>46663</v>
      </c>
      <c r="C21042" s="30" t="s">
        <v>20132</v>
      </c>
      <c r="D21042" s="30" t="s">
        <v>17</v>
      </c>
      <c r="E21042" s="30" t="s">
        <v>26</v>
      </c>
      <c r="F21042" s="30" t="s">
        <v>27</v>
      </c>
      <c r="G21042" s="30" t="s">
        <v>20</v>
      </c>
      <c r="H21042" s="32">
        <v>25</v>
      </c>
      <c r="I21042" s="30" t="s">
        <v>21</v>
      </c>
      <c r="J21042" s="41">
        <v>45596</v>
      </c>
      <c r="K21042" s="30" t="s">
        <v>22</v>
      </c>
    </row>
    <row r="21043" spans="1:11">
      <c r="A21043" s="33" t="s">
        <v>46664</v>
      </c>
      <c r="B21043" s="33" t="s">
        <v>46665</v>
      </c>
      <c r="C21043" s="33" t="s">
        <v>329</v>
      </c>
      <c r="D21043" s="33" t="s">
        <v>17</v>
      </c>
      <c r="E21043" s="33" t="s">
        <v>18</v>
      </c>
      <c r="F21043" s="33" t="s">
        <v>19</v>
      </c>
      <c r="G21043" s="33" t="s">
        <v>20</v>
      </c>
      <c r="H21043" s="35">
        <v>1000</v>
      </c>
      <c r="I21043" s="33" t="s">
        <v>21</v>
      </c>
      <c r="J21043" s="42">
        <v>45371</v>
      </c>
      <c r="K21043" s="33" t="s">
        <v>22</v>
      </c>
    </row>
    <row r="21044" spans="1:11">
      <c r="A21044" s="30" t="s">
        <v>46666</v>
      </c>
      <c r="B21044" s="30" t="s">
        <v>46667</v>
      </c>
      <c r="C21044" s="30" t="s">
        <v>36731</v>
      </c>
      <c r="D21044" s="30" t="s">
        <v>17</v>
      </c>
      <c r="E21044" s="30" t="s">
        <v>31</v>
      </c>
      <c r="F21044" s="30" t="s">
        <v>32</v>
      </c>
      <c r="G21044" s="30" t="s">
        <v>112</v>
      </c>
      <c r="H21044" s="32">
        <v>0</v>
      </c>
      <c r="I21044" s="30" t="s">
        <v>21</v>
      </c>
      <c r="J21044" s="41">
        <v>45643</v>
      </c>
      <c r="K21044" s="30" t="s">
        <v>22</v>
      </c>
    </row>
    <row r="21045" spans="1:11">
      <c r="A21045" s="33" t="s">
        <v>46668</v>
      </c>
      <c r="B21045" s="33" t="s">
        <v>46669</v>
      </c>
      <c r="C21045" s="33" t="s">
        <v>149</v>
      </c>
      <c r="D21045" s="33" t="s">
        <v>17</v>
      </c>
      <c r="E21045" s="33" t="s">
        <v>18</v>
      </c>
      <c r="F21045" s="33" t="s">
        <v>19</v>
      </c>
      <c r="G21045" s="33" t="s">
        <v>140</v>
      </c>
      <c r="H21045" s="35">
        <v>300</v>
      </c>
      <c r="I21045" s="33" t="s">
        <v>51</v>
      </c>
      <c r="J21045" s="42">
        <v>45502</v>
      </c>
      <c r="K21045" s="33" t="s">
        <v>22</v>
      </c>
    </row>
    <row r="21046" spans="1:11">
      <c r="A21046" s="30" t="s">
        <v>46670</v>
      </c>
      <c r="B21046" s="30" t="s">
        <v>46671</v>
      </c>
      <c r="C21046" s="30" t="s">
        <v>5251</v>
      </c>
      <c r="D21046" s="30" t="s">
        <v>17</v>
      </c>
      <c r="E21046" s="30" t="s">
        <v>31</v>
      </c>
      <c r="F21046" s="30" t="s">
        <v>32</v>
      </c>
      <c r="G21046" s="30" t="s">
        <v>50</v>
      </c>
      <c r="H21046" s="32">
        <v>120</v>
      </c>
      <c r="I21046" s="30" t="s">
        <v>51</v>
      </c>
      <c r="J21046" s="41">
        <v>45427</v>
      </c>
      <c r="K21046" s="30" t="s">
        <v>22</v>
      </c>
    </row>
    <row r="21047" spans="1:11">
      <c r="A21047" s="33" t="s">
        <v>46672</v>
      </c>
      <c r="B21047" s="33" t="s">
        <v>46673</v>
      </c>
      <c r="C21047" s="33" t="s">
        <v>39563</v>
      </c>
      <c r="D21047" s="33" t="s">
        <v>17</v>
      </c>
      <c r="E21047" s="33" t="s">
        <v>26</v>
      </c>
      <c r="F21047" s="33" t="s">
        <v>27</v>
      </c>
      <c r="G21047" s="33" t="s">
        <v>50</v>
      </c>
      <c r="H21047" s="35">
        <v>36</v>
      </c>
      <c r="I21047" s="33" t="s">
        <v>51</v>
      </c>
      <c r="J21047" s="42">
        <v>45461</v>
      </c>
      <c r="K21047" s="33" t="s">
        <v>22</v>
      </c>
    </row>
    <row r="21048" spans="1:11">
      <c r="A21048" s="30" t="s">
        <v>46674</v>
      </c>
      <c r="B21048" s="30" t="s">
        <v>46675</v>
      </c>
      <c r="C21048" s="30" t="s">
        <v>5842</v>
      </c>
      <c r="D21048" s="30" t="s">
        <v>17</v>
      </c>
      <c r="E21048" s="30" t="s">
        <v>26</v>
      </c>
      <c r="F21048" s="30" t="s">
        <v>27</v>
      </c>
      <c r="G21048" s="30" t="s">
        <v>20</v>
      </c>
      <c r="H21048" s="32">
        <v>82</v>
      </c>
      <c r="I21048" s="30" t="s">
        <v>21</v>
      </c>
      <c r="J21048" s="41">
        <v>45585</v>
      </c>
      <c r="K21048" s="30" t="s">
        <v>22</v>
      </c>
    </row>
    <row r="21049" spans="1:11">
      <c r="A21049" s="33" t="s">
        <v>46676</v>
      </c>
      <c r="B21049" s="33" t="s">
        <v>46677</v>
      </c>
      <c r="C21049" s="33" t="s">
        <v>130</v>
      </c>
      <c r="D21049" s="33" t="s">
        <v>17</v>
      </c>
      <c r="E21049" s="33" t="s">
        <v>26</v>
      </c>
      <c r="F21049" s="33" t="s">
        <v>27</v>
      </c>
      <c r="G21049" s="33" t="s">
        <v>20</v>
      </c>
      <c r="H21049" s="35">
        <v>24</v>
      </c>
      <c r="I21049" s="33" t="s">
        <v>21</v>
      </c>
      <c r="J21049" s="42">
        <v>45419</v>
      </c>
      <c r="K21049" s="33" t="s">
        <v>22</v>
      </c>
    </row>
    <row r="21050" spans="1:11">
      <c r="A21050" s="30" t="s">
        <v>46678</v>
      </c>
      <c r="B21050" s="30" t="s">
        <v>46679</v>
      </c>
      <c r="C21050" s="30" t="s">
        <v>252</v>
      </c>
      <c r="D21050" s="30" t="s">
        <v>17</v>
      </c>
      <c r="E21050" s="30" t="s">
        <v>26</v>
      </c>
      <c r="F21050" s="30" t="s">
        <v>27</v>
      </c>
      <c r="G21050" s="30" t="s">
        <v>7780</v>
      </c>
      <c r="H21050" s="32">
        <v>180</v>
      </c>
      <c r="I21050" s="30" t="s">
        <v>51</v>
      </c>
      <c r="J21050" s="41">
        <v>45600</v>
      </c>
      <c r="K21050" s="30" t="s">
        <v>22</v>
      </c>
    </row>
    <row r="21051" spans="1:11">
      <c r="A21051" s="33" t="s">
        <v>46680</v>
      </c>
      <c r="B21051" s="33" t="s">
        <v>46681</v>
      </c>
      <c r="C21051" s="33" t="s">
        <v>22573</v>
      </c>
      <c r="D21051" s="33" t="s">
        <v>17</v>
      </c>
      <c r="E21051" s="33" t="s">
        <v>18</v>
      </c>
      <c r="F21051" s="33" t="s">
        <v>19</v>
      </c>
      <c r="G21051" s="33" t="s">
        <v>158</v>
      </c>
      <c r="H21051" s="35">
        <v>541</v>
      </c>
      <c r="I21051" s="33" t="s">
        <v>21</v>
      </c>
      <c r="J21051" s="42">
        <v>45309</v>
      </c>
      <c r="K21051" s="33" t="s">
        <v>22</v>
      </c>
    </row>
    <row r="21052" spans="1:11">
      <c r="A21052" s="30" t="s">
        <v>46682</v>
      </c>
      <c r="B21052" s="30" t="s">
        <v>46683</v>
      </c>
      <c r="C21052" s="30" t="s">
        <v>1598</v>
      </c>
      <c r="D21052" s="30" t="s">
        <v>17</v>
      </c>
      <c r="E21052" s="30" t="s">
        <v>18</v>
      </c>
      <c r="F21052" s="30" t="s">
        <v>19</v>
      </c>
      <c r="G21052" s="30" t="s">
        <v>158</v>
      </c>
      <c r="H21052" s="32">
        <v>506</v>
      </c>
      <c r="I21052" s="30" t="s">
        <v>21</v>
      </c>
      <c r="J21052" s="41">
        <v>45366</v>
      </c>
      <c r="K21052" s="30" t="s">
        <v>22</v>
      </c>
    </row>
    <row r="21053" spans="1:11">
      <c r="A21053" s="33" t="s">
        <v>46684</v>
      </c>
      <c r="B21053" s="33" t="s">
        <v>46685</v>
      </c>
      <c r="C21053" s="33" t="s">
        <v>109</v>
      </c>
      <c r="D21053" s="33" t="s">
        <v>17</v>
      </c>
      <c r="E21053" s="33" t="s">
        <v>26</v>
      </c>
      <c r="F21053" s="33" t="s">
        <v>27</v>
      </c>
      <c r="G21053" s="33" t="s">
        <v>158</v>
      </c>
      <c r="H21053" s="35">
        <v>42</v>
      </c>
      <c r="I21053" s="33" t="s">
        <v>21</v>
      </c>
      <c r="J21053" s="42">
        <v>45427</v>
      </c>
      <c r="K21053" s="33" t="s">
        <v>22</v>
      </c>
    </row>
    <row r="21054" spans="1:11">
      <c r="A21054" s="30" t="s">
        <v>46686</v>
      </c>
      <c r="B21054" s="30" t="s">
        <v>46687</v>
      </c>
      <c r="C21054" s="30" t="s">
        <v>190</v>
      </c>
      <c r="D21054" s="30" t="s">
        <v>17</v>
      </c>
      <c r="E21054" s="30" t="s">
        <v>18</v>
      </c>
      <c r="F21054" s="30" t="s">
        <v>19</v>
      </c>
      <c r="G21054" s="30" t="s">
        <v>140</v>
      </c>
      <c r="H21054" s="32">
        <v>5250</v>
      </c>
      <c r="I21054" s="30" t="s">
        <v>51</v>
      </c>
      <c r="J21054" s="41">
        <v>45343</v>
      </c>
      <c r="K21054" s="30" t="s">
        <v>22</v>
      </c>
    </row>
    <row r="21055" spans="1:11">
      <c r="A21055" s="33" t="s">
        <v>46688</v>
      </c>
      <c r="B21055" s="33" t="s">
        <v>46689</v>
      </c>
      <c r="C21055" s="33" t="s">
        <v>1661</v>
      </c>
      <c r="D21055" s="33" t="s">
        <v>17</v>
      </c>
      <c r="E21055" s="33" t="s">
        <v>31</v>
      </c>
      <c r="F21055" s="33" t="s">
        <v>32</v>
      </c>
      <c r="G21055" s="33" t="s">
        <v>140</v>
      </c>
      <c r="H21055" s="35">
        <v>27</v>
      </c>
      <c r="I21055" s="33" t="s">
        <v>51</v>
      </c>
      <c r="J21055" s="42">
        <v>45533</v>
      </c>
      <c r="K21055" s="33" t="s">
        <v>22</v>
      </c>
    </row>
    <row r="21056" spans="1:11">
      <c r="A21056" s="30" t="s">
        <v>46690</v>
      </c>
      <c r="B21056" s="30" t="s">
        <v>46691</v>
      </c>
      <c r="C21056" s="30" t="s">
        <v>1250</v>
      </c>
      <c r="D21056" s="30" t="s">
        <v>17</v>
      </c>
      <c r="E21056" s="30" t="s">
        <v>26</v>
      </c>
      <c r="F21056" s="30" t="s">
        <v>27</v>
      </c>
      <c r="G21056" s="30" t="s">
        <v>20</v>
      </c>
      <c r="H21056" s="32">
        <v>115</v>
      </c>
      <c r="I21056" s="30" t="s">
        <v>21</v>
      </c>
      <c r="J21056" s="41">
        <v>45442</v>
      </c>
      <c r="K21056" s="30" t="s">
        <v>22</v>
      </c>
    </row>
    <row r="21057" spans="1:11">
      <c r="A21057" s="33" t="s">
        <v>46692</v>
      </c>
      <c r="B21057" s="33" t="s">
        <v>46693</v>
      </c>
      <c r="C21057" s="33" t="s">
        <v>39711</v>
      </c>
      <c r="D21057" s="33" t="s">
        <v>17</v>
      </c>
      <c r="E21057" s="33" t="s">
        <v>26</v>
      </c>
      <c r="F21057" s="33" t="s">
        <v>27</v>
      </c>
      <c r="G21057" s="33" t="s">
        <v>20</v>
      </c>
      <c r="H21057" s="35">
        <v>24</v>
      </c>
      <c r="I21057" s="33" t="s">
        <v>21</v>
      </c>
      <c r="J21057" s="42">
        <v>45378</v>
      </c>
      <c r="K21057" s="33" t="s">
        <v>22</v>
      </c>
    </row>
    <row r="21058" spans="1:11">
      <c r="A21058" s="30" t="s">
        <v>46694</v>
      </c>
      <c r="B21058" s="30" t="s">
        <v>46695</v>
      </c>
      <c r="C21058" s="30" t="s">
        <v>46696</v>
      </c>
      <c r="D21058" s="30" t="s">
        <v>17</v>
      </c>
      <c r="E21058" s="30" t="s">
        <v>31</v>
      </c>
      <c r="F21058" s="30" t="s">
        <v>32</v>
      </c>
      <c r="G21058" s="30" t="s">
        <v>158</v>
      </c>
      <c r="H21058" s="32">
        <v>470</v>
      </c>
      <c r="I21058" s="30" t="s">
        <v>21</v>
      </c>
      <c r="J21058" s="41">
        <v>45411</v>
      </c>
      <c r="K21058" s="30" t="s">
        <v>22</v>
      </c>
    </row>
    <row r="21059" spans="1:11">
      <c r="A21059" s="33" t="s">
        <v>46697</v>
      </c>
      <c r="B21059" s="33" t="s">
        <v>46698</v>
      </c>
      <c r="C21059" s="33" t="s">
        <v>30640</v>
      </c>
      <c r="D21059" s="33" t="s">
        <v>17</v>
      </c>
      <c r="E21059" s="33" t="s">
        <v>26</v>
      </c>
      <c r="F21059" s="33" t="s">
        <v>27</v>
      </c>
      <c r="G21059" s="33" t="s">
        <v>20</v>
      </c>
      <c r="H21059" s="35">
        <v>48</v>
      </c>
      <c r="I21059" s="33" t="s">
        <v>21</v>
      </c>
      <c r="J21059" s="42">
        <v>45468</v>
      </c>
      <c r="K21059" s="33" t="s">
        <v>22</v>
      </c>
    </row>
    <row r="21060" spans="1:11">
      <c r="A21060" s="30" t="s">
        <v>46699</v>
      </c>
      <c r="B21060" s="30" t="s">
        <v>46700</v>
      </c>
      <c r="C21060" s="30" t="s">
        <v>27284</v>
      </c>
      <c r="D21060" s="30" t="s">
        <v>17</v>
      </c>
      <c r="E21060" s="30" t="s">
        <v>18</v>
      </c>
      <c r="F21060" s="30" t="s">
        <v>19</v>
      </c>
      <c r="G21060" s="30" t="s">
        <v>20</v>
      </c>
      <c r="H21060" s="32">
        <v>235</v>
      </c>
      <c r="I21060" s="30" t="s">
        <v>21</v>
      </c>
      <c r="J21060" s="41">
        <v>45383</v>
      </c>
      <c r="K21060" s="30" t="s">
        <v>22</v>
      </c>
    </row>
    <row r="21061" spans="1:11">
      <c r="A21061" s="33" t="s">
        <v>46701</v>
      </c>
      <c r="B21061" s="33" t="s">
        <v>46702</v>
      </c>
      <c r="C21061" s="33" t="s">
        <v>10359</v>
      </c>
      <c r="D21061" s="33" t="s">
        <v>17</v>
      </c>
      <c r="E21061" s="33" t="s">
        <v>67</v>
      </c>
      <c r="F21061" s="33" t="s">
        <v>68</v>
      </c>
      <c r="G21061" s="33" t="s">
        <v>140</v>
      </c>
      <c r="H21061" s="35">
        <v>120</v>
      </c>
      <c r="I21061" s="33" t="s">
        <v>51</v>
      </c>
      <c r="J21061" s="42">
        <v>45636</v>
      </c>
      <c r="K21061" s="33" t="s">
        <v>22</v>
      </c>
    </row>
    <row r="21062" spans="1:11">
      <c r="A21062" s="30" t="s">
        <v>46703</v>
      </c>
      <c r="B21062" s="30" t="s">
        <v>46704</v>
      </c>
      <c r="C21062" s="30" t="s">
        <v>8284</v>
      </c>
      <c r="D21062" s="30" t="s">
        <v>17</v>
      </c>
      <c r="E21062" s="30" t="s">
        <v>26</v>
      </c>
      <c r="F21062" s="30" t="s">
        <v>27</v>
      </c>
      <c r="G21062" s="30" t="s">
        <v>140</v>
      </c>
      <c r="H21062" s="32">
        <v>30</v>
      </c>
      <c r="I21062" s="30" t="s">
        <v>51</v>
      </c>
      <c r="J21062" s="41">
        <v>45526</v>
      </c>
      <c r="K21062" s="30" t="s">
        <v>22</v>
      </c>
    </row>
    <row r="21063" spans="1:11">
      <c r="A21063" s="33" t="s">
        <v>46705</v>
      </c>
      <c r="B21063" s="33" t="s">
        <v>46706</v>
      </c>
      <c r="C21063" s="33" t="s">
        <v>118</v>
      </c>
      <c r="D21063" s="33" t="s">
        <v>17</v>
      </c>
      <c r="E21063" s="33" t="s">
        <v>26</v>
      </c>
      <c r="F21063" s="33" t="s">
        <v>27</v>
      </c>
      <c r="G21063" s="33" t="s">
        <v>20</v>
      </c>
      <c r="H21063" s="35">
        <v>24</v>
      </c>
      <c r="I21063" s="33" t="s">
        <v>21</v>
      </c>
      <c r="J21063" s="42">
        <v>45429</v>
      </c>
      <c r="K21063" s="33" t="s">
        <v>22</v>
      </c>
    </row>
    <row r="21064" spans="1:11">
      <c r="A21064" s="30" t="s">
        <v>46707</v>
      </c>
      <c r="B21064" s="30" t="s">
        <v>46708</v>
      </c>
      <c r="C21064" s="30" t="s">
        <v>16391</v>
      </c>
      <c r="D21064" s="30" t="s">
        <v>17</v>
      </c>
      <c r="E21064" s="30" t="s">
        <v>26</v>
      </c>
      <c r="F21064" s="30" t="s">
        <v>27</v>
      </c>
      <c r="G21064" s="30" t="s">
        <v>20</v>
      </c>
      <c r="H21064" s="32">
        <v>76</v>
      </c>
      <c r="I21064" s="30" t="s">
        <v>21</v>
      </c>
      <c r="J21064" s="41">
        <v>45620</v>
      </c>
      <c r="K21064" s="30" t="s">
        <v>22</v>
      </c>
    </row>
    <row r="21065" spans="1:11">
      <c r="A21065" s="33" t="s">
        <v>46709</v>
      </c>
      <c r="B21065" s="33" t="s">
        <v>46710</v>
      </c>
      <c r="C21065" s="33" t="s">
        <v>5043</v>
      </c>
      <c r="D21065" s="33" t="s">
        <v>17</v>
      </c>
      <c r="E21065" s="33" t="s">
        <v>31</v>
      </c>
      <c r="F21065" s="33" t="s">
        <v>32</v>
      </c>
      <c r="G21065" s="33" t="s">
        <v>20</v>
      </c>
      <c r="H21065" s="35">
        <v>28</v>
      </c>
      <c r="I21065" s="33" t="s">
        <v>21</v>
      </c>
      <c r="J21065" s="42">
        <v>45484</v>
      </c>
      <c r="K21065" s="33" t="s">
        <v>22</v>
      </c>
    </row>
    <row r="21066" spans="1:11">
      <c r="A21066" s="30" t="s">
        <v>46711</v>
      </c>
      <c r="B21066" s="30" t="s">
        <v>46712</v>
      </c>
      <c r="C21066" s="30" t="s">
        <v>16199</v>
      </c>
      <c r="D21066" s="30" t="s">
        <v>17</v>
      </c>
      <c r="E21066" s="30" t="s">
        <v>212</v>
      </c>
      <c r="F21066" s="30" t="s">
        <v>213</v>
      </c>
      <c r="G21066" s="30" t="s">
        <v>158</v>
      </c>
      <c r="H21066" s="32">
        <v>50</v>
      </c>
      <c r="I21066" s="30" t="s">
        <v>51</v>
      </c>
      <c r="J21066" s="41">
        <v>45638</v>
      </c>
      <c r="K21066" s="30" t="s">
        <v>22</v>
      </c>
    </row>
    <row r="21067" spans="1:11">
      <c r="A21067" s="33" t="s">
        <v>46713</v>
      </c>
      <c r="B21067" s="33" t="s">
        <v>46714</v>
      </c>
      <c r="C21067" s="33" t="s">
        <v>9262</v>
      </c>
      <c r="D21067" s="33" t="s">
        <v>17</v>
      </c>
      <c r="E21067" s="33" t="s">
        <v>18</v>
      </c>
      <c r="F21067" s="33" t="s">
        <v>19</v>
      </c>
      <c r="G21067" s="33" t="s">
        <v>20</v>
      </c>
      <c r="H21067" s="35">
        <v>479</v>
      </c>
      <c r="I21067" s="33" t="s">
        <v>21</v>
      </c>
      <c r="J21067" s="42">
        <v>45440</v>
      </c>
      <c r="K21067" s="33" t="s">
        <v>22</v>
      </c>
    </row>
    <row r="21068" spans="1:11">
      <c r="A21068" s="30" t="s">
        <v>46715</v>
      </c>
      <c r="B21068" s="30" t="s">
        <v>46716</v>
      </c>
      <c r="C21068" s="30" t="s">
        <v>839</v>
      </c>
      <c r="D21068" s="30" t="s">
        <v>17</v>
      </c>
      <c r="E21068" s="30" t="s">
        <v>18</v>
      </c>
      <c r="F21068" s="30" t="s">
        <v>19</v>
      </c>
      <c r="G21068" s="30" t="s">
        <v>2613</v>
      </c>
      <c r="H21068" s="32">
        <v>100</v>
      </c>
      <c r="I21068" s="30" t="s">
        <v>51</v>
      </c>
      <c r="J21068" s="41">
        <v>45412</v>
      </c>
      <c r="K21068" s="30" t="s">
        <v>22</v>
      </c>
    </row>
    <row r="21069" spans="1:11">
      <c r="A21069" s="33" t="s">
        <v>46717</v>
      </c>
      <c r="B21069" s="33" t="s">
        <v>46718</v>
      </c>
      <c r="C21069" s="33" t="s">
        <v>310</v>
      </c>
      <c r="D21069" s="33" t="s">
        <v>17</v>
      </c>
      <c r="E21069" s="33" t="s">
        <v>26</v>
      </c>
      <c r="F21069" s="33" t="s">
        <v>27</v>
      </c>
      <c r="G21069" s="33" t="s">
        <v>20</v>
      </c>
      <c r="H21069" s="35">
        <v>90</v>
      </c>
      <c r="I21069" s="33" t="s">
        <v>21</v>
      </c>
      <c r="J21069" s="42">
        <v>45580</v>
      </c>
      <c r="K21069" s="33" t="s">
        <v>22</v>
      </c>
    </row>
    <row r="21070" spans="1:11">
      <c r="A21070" s="30" t="s">
        <v>46719</v>
      </c>
      <c r="B21070" s="30" t="s">
        <v>46720</v>
      </c>
      <c r="C21070" s="30" t="s">
        <v>252</v>
      </c>
      <c r="D21070" s="30" t="s">
        <v>17</v>
      </c>
      <c r="E21070" s="30" t="s">
        <v>18</v>
      </c>
      <c r="F21070" s="30" t="s">
        <v>19</v>
      </c>
      <c r="G21070" s="30" t="s">
        <v>140</v>
      </c>
      <c r="H21070" s="32">
        <v>510</v>
      </c>
      <c r="I21070" s="30" t="s">
        <v>51</v>
      </c>
      <c r="J21070" s="41">
        <v>45595</v>
      </c>
      <c r="K21070" s="30" t="s">
        <v>22</v>
      </c>
    </row>
    <row r="21071" spans="1:11">
      <c r="A21071" s="33" t="s">
        <v>46721</v>
      </c>
      <c r="B21071" s="33" t="s">
        <v>46722</v>
      </c>
      <c r="C21071" s="33" t="s">
        <v>46723</v>
      </c>
      <c r="D21071" s="33" t="s">
        <v>17</v>
      </c>
      <c r="E21071" s="33" t="s">
        <v>31</v>
      </c>
      <c r="F21071" s="33" t="s">
        <v>32</v>
      </c>
      <c r="G21071" s="33" t="s">
        <v>140</v>
      </c>
      <c r="H21071" s="35">
        <v>33</v>
      </c>
      <c r="I21071" s="33" t="s">
        <v>51</v>
      </c>
      <c r="J21071" s="42">
        <v>45621</v>
      </c>
      <c r="K21071" s="33" t="s">
        <v>22</v>
      </c>
    </row>
    <row r="21072" spans="1:11">
      <c r="A21072" s="30" t="s">
        <v>46724</v>
      </c>
      <c r="B21072" s="30" t="s">
        <v>46725</v>
      </c>
      <c r="C21072" s="30" t="s">
        <v>187</v>
      </c>
      <c r="D21072" s="30" t="s">
        <v>17</v>
      </c>
      <c r="E21072" s="30" t="s">
        <v>31</v>
      </c>
      <c r="F21072" s="30" t="s">
        <v>32</v>
      </c>
      <c r="G21072" s="30" t="s">
        <v>158</v>
      </c>
      <c r="H21072" s="32">
        <v>116</v>
      </c>
      <c r="I21072" s="30" t="s">
        <v>51</v>
      </c>
      <c r="J21072" s="41">
        <v>45630</v>
      </c>
      <c r="K21072" s="30" t="s">
        <v>22</v>
      </c>
    </row>
    <row r="21073" spans="1:11">
      <c r="A21073" s="33" t="s">
        <v>46726</v>
      </c>
      <c r="B21073" s="33" t="s">
        <v>46727</v>
      </c>
      <c r="C21073" s="33" t="s">
        <v>25976</v>
      </c>
      <c r="D21073" s="33" t="s">
        <v>17</v>
      </c>
      <c r="E21073" s="33" t="s">
        <v>31</v>
      </c>
      <c r="F21073" s="33" t="s">
        <v>32</v>
      </c>
      <c r="G21073" s="33" t="s">
        <v>140</v>
      </c>
      <c r="H21073" s="35">
        <v>90</v>
      </c>
      <c r="I21073" s="33" t="s">
        <v>51</v>
      </c>
      <c r="J21073" s="42">
        <v>45484</v>
      </c>
      <c r="K21073" s="33" t="s">
        <v>22</v>
      </c>
    </row>
    <row r="21074" spans="1:11">
      <c r="A21074" s="30" t="s">
        <v>46728</v>
      </c>
      <c r="B21074" s="30" t="s">
        <v>46729</v>
      </c>
      <c r="C21074" s="30" t="s">
        <v>23967</v>
      </c>
      <c r="D21074" s="30" t="s">
        <v>17</v>
      </c>
      <c r="E21074" s="30" t="s">
        <v>26</v>
      </c>
      <c r="F21074" s="30" t="s">
        <v>27</v>
      </c>
      <c r="G21074" s="30" t="s">
        <v>140</v>
      </c>
      <c r="H21074" s="32">
        <v>15</v>
      </c>
      <c r="I21074" s="30" t="s">
        <v>51</v>
      </c>
      <c r="J21074" s="41">
        <v>45439</v>
      </c>
      <c r="K21074" s="30" t="s">
        <v>22</v>
      </c>
    </row>
    <row r="21075" spans="1:11">
      <c r="A21075" s="33" t="s">
        <v>46730</v>
      </c>
      <c r="B21075" s="33" t="s">
        <v>46731</v>
      </c>
      <c r="C21075" s="33" t="s">
        <v>190</v>
      </c>
      <c r="D21075" s="33" t="s">
        <v>17</v>
      </c>
      <c r="E21075" s="33" t="s">
        <v>67</v>
      </c>
      <c r="F21075" s="33" t="s">
        <v>68</v>
      </c>
      <c r="G21075" s="33" t="s">
        <v>140</v>
      </c>
      <c r="H21075" s="35">
        <v>174</v>
      </c>
      <c r="I21075" s="33" t="s">
        <v>51</v>
      </c>
      <c r="J21075" s="42">
        <v>45553</v>
      </c>
      <c r="K21075" s="33" t="s">
        <v>22</v>
      </c>
    </row>
    <row r="21076" spans="1:11">
      <c r="A21076" s="30" t="s">
        <v>46732</v>
      </c>
      <c r="B21076" s="30" t="s">
        <v>46733</v>
      </c>
      <c r="C21076" s="30" t="s">
        <v>1770</v>
      </c>
      <c r="D21076" s="30" t="s">
        <v>17</v>
      </c>
      <c r="E21076" s="30" t="s">
        <v>31</v>
      </c>
      <c r="F21076" s="30" t="s">
        <v>32</v>
      </c>
      <c r="G21076" s="30" t="s">
        <v>158</v>
      </c>
      <c r="H21076" s="32">
        <v>100</v>
      </c>
      <c r="I21076" s="30" t="s">
        <v>51</v>
      </c>
      <c r="J21076" s="41">
        <v>45393</v>
      </c>
      <c r="K21076" s="30" t="s">
        <v>22</v>
      </c>
    </row>
    <row r="21077" spans="1:11">
      <c r="A21077" s="33" t="s">
        <v>46734</v>
      </c>
      <c r="B21077" s="33" t="s">
        <v>46735</v>
      </c>
      <c r="C21077" s="33" t="s">
        <v>130</v>
      </c>
      <c r="D21077" s="33" t="s">
        <v>17</v>
      </c>
      <c r="E21077" s="33" t="s">
        <v>26</v>
      </c>
      <c r="F21077" s="33" t="s">
        <v>27</v>
      </c>
      <c r="G21077" s="33" t="s">
        <v>20</v>
      </c>
      <c r="H21077" s="35">
        <v>137</v>
      </c>
      <c r="I21077" s="33" t="s">
        <v>21</v>
      </c>
      <c r="J21077" s="42">
        <v>45365</v>
      </c>
      <c r="K21077" s="33" t="s">
        <v>22</v>
      </c>
    </row>
    <row r="21078" spans="1:11">
      <c r="A21078" s="30" t="s">
        <v>46736</v>
      </c>
      <c r="B21078" s="30" t="s">
        <v>46737</v>
      </c>
      <c r="C21078" s="30" t="s">
        <v>16941</v>
      </c>
      <c r="D21078" s="30" t="s">
        <v>17</v>
      </c>
      <c r="E21078" s="30" t="s">
        <v>18</v>
      </c>
      <c r="F21078" s="30" t="s">
        <v>19</v>
      </c>
      <c r="G21078" s="30" t="s">
        <v>7780</v>
      </c>
      <c r="H21078" s="32">
        <v>394</v>
      </c>
      <c r="I21078" s="30" t="s">
        <v>51</v>
      </c>
      <c r="J21078" s="41">
        <v>45551</v>
      </c>
      <c r="K21078" s="30" t="s">
        <v>22</v>
      </c>
    </row>
    <row r="21079" spans="1:11">
      <c r="A21079" s="33" t="s">
        <v>46738</v>
      </c>
      <c r="B21079" s="33" t="s">
        <v>46739</v>
      </c>
      <c r="C21079" s="33" t="s">
        <v>10699</v>
      </c>
      <c r="D21079" s="33" t="s">
        <v>17</v>
      </c>
      <c r="E21079" s="33" t="s">
        <v>26</v>
      </c>
      <c r="F21079" s="33" t="s">
        <v>27</v>
      </c>
      <c r="G21079" s="33" t="s">
        <v>50</v>
      </c>
      <c r="H21079" s="35">
        <v>50</v>
      </c>
      <c r="I21079" s="33" t="s">
        <v>51</v>
      </c>
      <c r="J21079" s="42">
        <v>45300</v>
      </c>
      <c r="K21079" s="33" t="s">
        <v>22</v>
      </c>
    </row>
    <row r="21080" spans="1:11">
      <c r="A21080" s="30" t="s">
        <v>46740</v>
      </c>
      <c r="B21080" s="30" t="s">
        <v>46741</v>
      </c>
      <c r="C21080" s="30" t="s">
        <v>22217</v>
      </c>
      <c r="D21080" s="30" t="s">
        <v>17</v>
      </c>
      <c r="E21080" s="30" t="s">
        <v>26</v>
      </c>
      <c r="F21080" s="30" t="s">
        <v>27</v>
      </c>
      <c r="G21080" s="30" t="s">
        <v>50</v>
      </c>
      <c r="H21080" s="32">
        <v>200</v>
      </c>
      <c r="I21080" s="30" t="s">
        <v>51</v>
      </c>
      <c r="J21080" s="41">
        <v>45310</v>
      </c>
      <c r="K21080" s="30" t="s">
        <v>22</v>
      </c>
    </row>
    <row r="21081" spans="1:11">
      <c r="A21081" s="33" t="s">
        <v>46742</v>
      </c>
      <c r="B21081" s="33" t="s">
        <v>46743</v>
      </c>
      <c r="C21081" s="33" t="s">
        <v>587</v>
      </c>
      <c r="D21081" s="33" t="s">
        <v>17</v>
      </c>
      <c r="E21081" s="33" t="s">
        <v>18</v>
      </c>
      <c r="F21081" s="33" t="s">
        <v>19</v>
      </c>
      <c r="G21081" s="33" t="s">
        <v>140</v>
      </c>
      <c r="H21081" s="35">
        <v>194</v>
      </c>
      <c r="I21081" s="33" t="s">
        <v>51</v>
      </c>
      <c r="J21081" s="42">
        <v>45623</v>
      </c>
      <c r="K21081" s="33" t="s">
        <v>22</v>
      </c>
    </row>
    <row r="21082" spans="1:11">
      <c r="A21082" s="30" t="s">
        <v>46744</v>
      </c>
      <c r="B21082" s="30" t="s">
        <v>46745</v>
      </c>
      <c r="C21082" s="30" t="s">
        <v>46746</v>
      </c>
      <c r="D21082" s="30" t="s">
        <v>17</v>
      </c>
      <c r="E21082" s="30" t="s">
        <v>31</v>
      </c>
      <c r="F21082" s="30" t="s">
        <v>32</v>
      </c>
      <c r="G21082" s="30" t="s">
        <v>140</v>
      </c>
      <c r="H21082" s="32">
        <v>100</v>
      </c>
      <c r="I21082" s="30" t="s">
        <v>51</v>
      </c>
      <c r="J21082" s="41">
        <v>45650</v>
      </c>
      <c r="K21082" s="30" t="s">
        <v>22</v>
      </c>
    </row>
    <row r="21083" spans="1:11">
      <c r="A21083" s="33" t="s">
        <v>46747</v>
      </c>
      <c r="B21083" s="33" t="s">
        <v>46748</v>
      </c>
      <c r="C21083" s="33" t="s">
        <v>29150</v>
      </c>
      <c r="D21083" s="33" t="s">
        <v>17</v>
      </c>
      <c r="E21083" s="33" t="s">
        <v>330</v>
      </c>
      <c r="F21083" s="33" t="s">
        <v>331</v>
      </c>
      <c r="G21083" s="33" t="s">
        <v>140</v>
      </c>
      <c r="H21083" s="35">
        <v>12</v>
      </c>
      <c r="I21083" s="33" t="s">
        <v>51</v>
      </c>
      <c r="J21083" s="42">
        <v>45347</v>
      </c>
      <c r="K21083" s="33" t="s">
        <v>22</v>
      </c>
    </row>
    <row r="21084" spans="1:11">
      <c r="A21084" s="30" t="s">
        <v>46749</v>
      </c>
      <c r="B21084" s="30" t="s">
        <v>46750</v>
      </c>
      <c r="C21084" s="30" t="s">
        <v>46751</v>
      </c>
      <c r="D21084" s="30" t="s">
        <v>17</v>
      </c>
      <c r="E21084" s="30" t="s">
        <v>26</v>
      </c>
      <c r="F21084" s="30" t="s">
        <v>27</v>
      </c>
      <c r="G21084" s="30" t="s">
        <v>50</v>
      </c>
      <c r="H21084" s="32">
        <v>12</v>
      </c>
      <c r="I21084" s="30" t="s">
        <v>51</v>
      </c>
      <c r="J21084" s="41">
        <v>45292</v>
      </c>
      <c r="K21084" s="30" t="s">
        <v>22</v>
      </c>
    </row>
    <row r="21085" spans="1:11">
      <c r="A21085" s="33" t="s">
        <v>46752</v>
      </c>
      <c r="B21085" s="33" t="s">
        <v>46753</v>
      </c>
      <c r="C21085" s="33" t="s">
        <v>8421</v>
      </c>
      <c r="D21085" s="33" t="s">
        <v>17</v>
      </c>
      <c r="E21085" s="33" t="s">
        <v>212</v>
      </c>
      <c r="F21085" s="33" t="s">
        <v>213</v>
      </c>
      <c r="G21085" s="33" t="s">
        <v>20</v>
      </c>
      <c r="H21085" s="35">
        <v>30</v>
      </c>
      <c r="I21085" s="33" t="s">
        <v>21</v>
      </c>
      <c r="J21085" s="42">
        <v>45334</v>
      </c>
      <c r="K21085" s="33" t="s">
        <v>22</v>
      </c>
    </row>
    <row r="21086" spans="1:11">
      <c r="A21086" s="30" t="s">
        <v>46754</v>
      </c>
      <c r="B21086" s="30" t="s">
        <v>46755</v>
      </c>
      <c r="C21086" s="30" t="s">
        <v>190</v>
      </c>
      <c r="D21086" s="30" t="s">
        <v>17</v>
      </c>
      <c r="E21086" s="30" t="s">
        <v>31</v>
      </c>
      <c r="F21086" s="30" t="s">
        <v>32</v>
      </c>
      <c r="G21086" s="30" t="s">
        <v>158</v>
      </c>
      <c r="H21086" s="32">
        <v>142</v>
      </c>
      <c r="I21086" s="30" t="s">
        <v>21</v>
      </c>
      <c r="J21086" s="41">
        <v>45344</v>
      </c>
      <c r="K21086" s="30" t="s">
        <v>22</v>
      </c>
    </row>
    <row r="21087" spans="1:11">
      <c r="A21087" s="33" t="s">
        <v>46756</v>
      </c>
      <c r="B21087" s="33" t="s">
        <v>46757</v>
      </c>
      <c r="C21087" s="33" t="s">
        <v>22229</v>
      </c>
      <c r="D21087" s="33" t="s">
        <v>17</v>
      </c>
      <c r="E21087" s="33" t="s">
        <v>67</v>
      </c>
      <c r="F21087" s="33" t="s">
        <v>68</v>
      </c>
      <c r="G21087" s="33" t="s">
        <v>140</v>
      </c>
      <c r="H21087" s="35">
        <v>152</v>
      </c>
      <c r="I21087" s="33" t="s">
        <v>51</v>
      </c>
      <c r="J21087" s="42">
        <v>45604</v>
      </c>
      <c r="K21087" s="33" t="s">
        <v>22</v>
      </c>
    </row>
    <row r="21088" spans="1:11">
      <c r="A21088" s="30" t="s">
        <v>46758</v>
      </c>
      <c r="B21088" s="30" t="s">
        <v>46759</v>
      </c>
      <c r="C21088" s="30" t="s">
        <v>13877</v>
      </c>
      <c r="D21088" s="30" t="s">
        <v>17</v>
      </c>
      <c r="E21088" s="30" t="s">
        <v>26</v>
      </c>
      <c r="F21088" s="30" t="s">
        <v>27</v>
      </c>
      <c r="G21088" s="30" t="s">
        <v>20</v>
      </c>
      <c r="H21088" s="32">
        <v>50</v>
      </c>
      <c r="I21088" s="30" t="s">
        <v>21</v>
      </c>
      <c r="J21088" s="41">
        <v>45344</v>
      </c>
      <c r="K21088" s="30" t="s">
        <v>22</v>
      </c>
    </row>
    <row r="21089" spans="1:11">
      <c r="A21089" s="33" t="s">
        <v>46760</v>
      </c>
      <c r="B21089" s="33" t="s">
        <v>46761</v>
      </c>
      <c r="C21089" s="33" t="s">
        <v>222</v>
      </c>
      <c r="D21089" s="33" t="s">
        <v>17</v>
      </c>
      <c r="E21089" s="33" t="s">
        <v>31</v>
      </c>
      <c r="F21089" s="33" t="s">
        <v>32</v>
      </c>
      <c r="G21089" s="33" t="s">
        <v>140</v>
      </c>
      <c r="H21089" s="35">
        <v>520</v>
      </c>
      <c r="I21089" s="33" t="s">
        <v>51</v>
      </c>
      <c r="J21089" s="42">
        <v>45392</v>
      </c>
      <c r="K21089" s="33" t="s">
        <v>22</v>
      </c>
    </row>
    <row r="21090" spans="1:11">
      <c r="A21090" s="30" t="s">
        <v>46762</v>
      </c>
      <c r="B21090" s="30" t="s">
        <v>46763</v>
      </c>
      <c r="C21090" s="30" t="s">
        <v>231</v>
      </c>
      <c r="D21090" s="30" t="s">
        <v>17</v>
      </c>
      <c r="E21090" s="30" t="s">
        <v>26</v>
      </c>
      <c r="F21090" s="30" t="s">
        <v>27</v>
      </c>
      <c r="G21090" s="30" t="s">
        <v>106</v>
      </c>
      <c r="H21090" s="32">
        <v>8</v>
      </c>
      <c r="I21090" s="30" t="s">
        <v>21</v>
      </c>
      <c r="J21090" s="41">
        <v>45581</v>
      </c>
      <c r="K21090" s="30" t="s">
        <v>22</v>
      </c>
    </row>
    <row r="21091" spans="1:11">
      <c r="A21091" s="33" t="s">
        <v>46764</v>
      </c>
      <c r="B21091" s="33" t="s">
        <v>46765</v>
      </c>
      <c r="C21091" s="33" t="s">
        <v>28153</v>
      </c>
      <c r="D21091" s="33" t="s">
        <v>17</v>
      </c>
      <c r="E21091" s="33" t="s">
        <v>26</v>
      </c>
      <c r="F21091" s="33" t="s">
        <v>27</v>
      </c>
      <c r="G21091" s="33" t="s">
        <v>140</v>
      </c>
      <c r="H21091" s="35">
        <v>500</v>
      </c>
      <c r="I21091" s="33" t="s">
        <v>51</v>
      </c>
      <c r="J21091" s="42">
        <v>45413</v>
      </c>
      <c r="K21091" s="33" t="s">
        <v>22</v>
      </c>
    </row>
    <row r="21092" spans="1:11">
      <c r="A21092" s="30" t="s">
        <v>46766</v>
      </c>
      <c r="B21092" s="30" t="s">
        <v>46767</v>
      </c>
      <c r="C21092" s="30" t="s">
        <v>149</v>
      </c>
      <c r="D21092" s="30" t="s">
        <v>17</v>
      </c>
      <c r="E21092" s="30" t="s">
        <v>18</v>
      </c>
      <c r="F21092" s="30" t="s">
        <v>19</v>
      </c>
      <c r="G21092" s="30" t="s">
        <v>20</v>
      </c>
      <c r="H21092" s="32">
        <v>401</v>
      </c>
      <c r="I21092" s="30" t="s">
        <v>21</v>
      </c>
      <c r="J21092" s="41">
        <v>45412</v>
      </c>
      <c r="K21092" s="30" t="s">
        <v>22</v>
      </c>
    </row>
    <row r="21093" spans="1:11">
      <c r="A21093" s="33" t="s">
        <v>46768</v>
      </c>
      <c r="B21093" s="33" t="s">
        <v>46769</v>
      </c>
      <c r="C21093" s="33" t="s">
        <v>7374</v>
      </c>
      <c r="D21093" s="33" t="s">
        <v>17</v>
      </c>
      <c r="E21093" s="33" t="s">
        <v>18</v>
      </c>
      <c r="F21093" s="33" t="s">
        <v>19</v>
      </c>
      <c r="G21093" s="33" t="s">
        <v>140</v>
      </c>
      <c r="H21093" s="35">
        <v>500</v>
      </c>
      <c r="I21093" s="33" t="s">
        <v>51</v>
      </c>
      <c r="J21093" s="42">
        <v>45597</v>
      </c>
      <c r="K21093" s="33" t="s">
        <v>22</v>
      </c>
    </row>
    <row r="21094" spans="1:11">
      <c r="A21094" s="30" t="s">
        <v>46770</v>
      </c>
      <c r="B21094" s="30" t="s">
        <v>46771</v>
      </c>
      <c r="C21094" s="30" t="s">
        <v>6179</v>
      </c>
      <c r="D21094" s="30" t="s">
        <v>17</v>
      </c>
      <c r="E21094" s="30" t="s">
        <v>31</v>
      </c>
      <c r="F21094" s="30" t="s">
        <v>32</v>
      </c>
      <c r="G21094" s="30" t="s">
        <v>112</v>
      </c>
      <c r="H21094" s="32">
        <v>0</v>
      </c>
      <c r="I21094" s="30" t="s">
        <v>21</v>
      </c>
      <c r="J21094" s="41">
        <v>45292</v>
      </c>
      <c r="K21094" s="30" t="s">
        <v>22</v>
      </c>
    </row>
    <row r="21095" spans="1:11">
      <c r="A21095" s="33" t="s">
        <v>46772</v>
      </c>
      <c r="B21095" s="33" t="s">
        <v>46773</v>
      </c>
      <c r="C21095" s="33" t="s">
        <v>109</v>
      </c>
      <c r="D21095" s="33" t="s">
        <v>17</v>
      </c>
      <c r="E21095" s="33" t="s">
        <v>212</v>
      </c>
      <c r="F21095" s="33" t="s">
        <v>213</v>
      </c>
      <c r="G21095" s="33" t="s">
        <v>20</v>
      </c>
      <c r="H21095" s="35">
        <v>66</v>
      </c>
      <c r="I21095" s="33" t="s">
        <v>21</v>
      </c>
      <c r="J21095" s="42">
        <v>45637</v>
      </c>
      <c r="K21095" s="33" t="s">
        <v>22</v>
      </c>
    </row>
    <row r="21096" spans="1:11">
      <c r="A21096" s="30" t="s">
        <v>46774</v>
      </c>
      <c r="B21096" s="30" t="s">
        <v>46775</v>
      </c>
      <c r="C21096" s="30" t="s">
        <v>318</v>
      </c>
      <c r="D21096" s="30" t="s">
        <v>17</v>
      </c>
      <c r="E21096" s="30" t="s">
        <v>26</v>
      </c>
      <c r="F21096" s="30" t="s">
        <v>27</v>
      </c>
      <c r="G21096" s="30" t="s">
        <v>140</v>
      </c>
      <c r="H21096" s="32">
        <v>40</v>
      </c>
      <c r="I21096" s="30" t="s">
        <v>51</v>
      </c>
      <c r="J21096" s="41">
        <v>45621</v>
      </c>
      <c r="K21096" s="30" t="s">
        <v>22</v>
      </c>
    </row>
    <row r="21097" spans="1:11">
      <c r="A21097" s="33" t="s">
        <v>46776</v>
      </c>
      <c r="B21097" s="33" t="s">
        <v>46777</v>
      </c>
      <c r="C21097" s="33" t="s">
        <v>46778</v>
      </c>
      <c r="D21097" s="33" t="s">
        <v>17</v>
      </c>
      <c r="E21097" s="33" t="s">
        <v>212</v>
      </c>
      <c r="F21097" s="33" t="s">
        <v>213</v>
      </c>
      <c r="G21097" s="33" t="s">
        <v>140</v>
      </c>
      <c r="H21097" s="35">
        <v>204</v>
      </c>
      <c r="I21097" s="33" t="s">
        <v>51</v>
      </c>
      <c r="J21097" s="42">
        <v>45485</v>
      </c>
      <c r="K21097" s="33" t="s">
        <v>22</v>
      </c>
    </row>
    <row r="21098" spans="1:11">
      <c r="A21098" s="30" t="s">
        <v>46779</v>
      </c>
      <c r="B21098" s="30" t="s">
        <v>46780</v>
      </c>
      <c r="C21098" s="30" t="s">
        <v>190</v>
      </c>
      <c r="D21098" s="30" t="s">
        <v>17</v>
      </c>
      <c r="E21098" s="30" t="s">
        <v>26</v>
      </c>
      <c r="F21098" s="30" t="s">
        <v>27</v>
      </c>
      <c r="G21098" s="30" t="s">
        <v>20</v>
      </c>
      <c r="H21098" s="32">
        <v>28</v>
      </c>
      <c r="I21098" s="30" t="s">
        <v>21</v>
      </c>
      <c r="J21098" s="41">
        <v>45351</v>
      </c>
      <c r="K21098" s="30" t="s">
        <v>22</v>
      </c>
    </row>
    <row r="21099" spans="1:11">
      <c r="A21099" s="33" t="s">
        <v>46781</v>
      </c>
      <c r="B21099" s="33" t="s">
        <v>46782</v>
      </c>
      <c r="C21099" s="33" t="s">
        <v>990</v>
      </c>
      <c r="D21099" s="33" t="s">
        <v>17</v>
      </c>
      <c r="E21099" s="33" t="s">
        <v>26</v>
      </c>
      <c r="F21099" s="33" t="s">
        <v>27</v>
      </c>
      <c r="G21099" s="33" t="s">
        <v>140</v>
      </c>
      <c r="H21099" s="35">
        <v>240</v>
      </c>
      <c r="I21099" s="33" t="s">
        <v>51</v>
      </c>
      <c r="J21099" s="42">
        <v>45495</v>
      </c>
      <c r="K21099" s="33" t="s">
        <v>22</v>
      </c>
    </row>
    <row r="21100" spans="1:11">
      <c r="A21100" s="30" t="s">
        <v>46783</v>
      </c>
      <c r="B21100" s="30" t="s">
        <v>46784</v>
      </c>
      <c r="C21100" s="30" t="s">
        <v>1598</v>
      </c>
      <c r="D21100" s="30" t="s">
        <v>17</v>
      </c>
      <c r="E21100" s="30" t="s">
        <v>26</v>
      </c>
      <c r="F21100" s="30" t="s">
        <v>27</v>
      </c>
      <c r="G21100" s="30" t="s">
        <v>20</v>
      </c>
      <c r="H21100" s="32">
        <v>30</v>
      </c>
      <c r="I21100" s="30" t="s">
        <v>21</v>
      </c>
      <c r="J21100" s="41">
        <v>45356</v>
      </c>
      <c r="K21100" s="30" t="s">
        <v>22</v>
      </c>
    </row>
    <row r="21101" spans="1:11">
      <c r="A21101" s="33" t="s">
        <v>46785</v>
      </c>
      <c r="B21101" s="33" t="s">
        <v>46786</v>
      </c>
      <c r="C21101" s="33" t="s">
        <v>25989</v>
      </c>
      <c r="D21101" s="33" t="s">
        <v>17</v>
      </c>
      <c r="E21101" s="33" t="s">
        <v>26</v>
      </c>
      <c r="F21101" s="33" t="s">
        <v>27</v>
      </c>
      <c r="G21101" s="33" t="s">
        <v>158</v>
      </c>
      <c r="H21101" s="35">
        <v>840</v>
      </c>
      <c r="I21101" s="33" t="s">
        <v>51</v>
      </c>
      <c r="J21101" s="42">
        <v>45418</v>
      </c>
      <c r="K21101" s="33" t="s">
        <v>22</v>
      </c>
    </row>
    <row r="21102" spans="1:11">
      <c r="A21102" s="30" t="s">
        <v>46787</v>
      </c>
      <c r="B21102" s="30" t="s">
        <v>46788</v>
      </c>
      <c r="C21102" s="30" t="s">
        <v>647</v>
      </c>
      <c r="D21102" s="30" t="s">
        <v>17</v>
      </c>
      <c r="E21102" s="30" t="s">
        <v>26</v>
      </c>
      <c r="F21102" s="30" t="s">
        <v>27</v>
      </c>
      <c r="G21102" s="30" t="s">
        <v>20</v>
      </c>
      <c r="H21102" s="32">
        <v>12</v>
      </c>
      <c r="I21102" s="30" t="s">
        <v>21</v>
      </c>
      <c r="J21102" s="41">
        <v>45568</v>
      </c>
      <c r="K21102" s="30" t="s">
        <v>22</v>
      </c>
    </row>
    <row r="21103" spans="1:11">
      <c r="A21103" s="33" t="s">
        <v>46789</v>
      </c>
      <c r="B21103" s="33" t="s">
        <v>46790</v>
      </c>
      <c r="C21103" s="33" t="s">
        <v>4257</v>
      </c>
      <c r="D21103" s="33" t="s">
        <v>17</v>
      </c>
      <c r="E21103" s="33" t="s">
        <v>18</v>
      </c>
      <c r="F21103" s="33" t="s">
        <v>19</v>
      </c>
      <c r="G21103" s="33" t="s">
        <v>140</v>
      </c>
      <c r="H21103" s="35">
        <v>852</v>
      </c>
      <c r="I21103" s="33" t="s">
        <v>51</v>
      </c>
      <c r="J21103" s="42">
        <v>45432</v>
      </c>
      <c r="K21103" s="33" t="s">
        <v>22</v>
      </c>
    </row>
    <row r="21104" spans="1:11">
      <c r="A21104" s="30" t="s">
        <v>46791</v>
      </c>
      <c r="B21104" s="30" t="s">
        <v>46792</v>
      </c>
      <c r="C21104" s="30" t="s">
        <v>14181</v>
      </c>
      <c r="D21104" s="30" t="s">
        <v>17</v>
      </c>
      <c r="E21104" s="30" t="s">
        <v>26</v>
      </c>
      <c r="F21104" s="30" t="s">
        <v>27</v>
      </c>
      <c r="G21104" s="30" t="s">
        <v>20</v>
      </c>
      <c r="H21104" s="32">
        <v>66</v>
      </c>
      <c r="I21104" s="30" t="s">
        <v>21</v>
      </c>
      <c r="J21104" s="41">
        <v>45517</v>
      </c>
      <c r="K21104" s="30" t="s">
        <v>22</v>
      </c>
    </row>
    <row r="21105" spans="1:11">
      <c r="A21105" s="33" t="s">
        <v>46793</v>
      </c>
      <c r="B21105" s="33" t="s">
        <v>46794</v>
      </c>
      <c r="C21105" s="33" t="s">
        <v>93</v>
      </c>
      <c r="D21105" s="33" t="s">
        <v>17</v>
      </c>
      <c r="E21105" s="33" t="s">
        <v>26</v>
      </c>
      <c r="F21105" s="33" t="s">
        <v>27</v>
      </c>
      <c r="G21105" s="33" t="s">
        <v>20</v>
      </c>
      <c r="H21105" s="35">
        <v>25</v>
      </c>
      <c r="I21105" s="33" t="s">
        <v>21</v>
      </c>
      <c r="J21105" s="42">
        <v>45482</v>
      </c>
      <c r="K21105" s="33" t="s">
        <v>22</v>
      </c>
    </row>
    <row r="21106" spans="1:11">
      <c r="A21106" s="30" t="s">
        <v>46795</v>
      </c>
      <c r="B21106" s="30" t="s">
        <v>46796</v>
      </c>
      <c r="C21106" s="30" t="s">
        <v>5401</v>
      </c>
      <c r="D21106" s="30" t="s">
        <v>17</v>
      </c>
      <c r="E21106" s="30" t="s">
        <v>26</v>
      </c>
      <c r="F21106" s="30" t="s">
        <v>27</v>
      </c>
      <c r="G21106" s="30" t="s">
        <v>20</v>
      </c>
      <c r="H21106" s="32">
        <v>7</v>
      </c>
      <c r="I21106" s="30" t="s">
        <v>21</v>
      </c>
      <c r="J21106" s="41">
        <v>45352</v>
      </c>
      <c r="K21106" s="30" t="s">
        <v>22</v>
      </c>
    </row>
    <row r="21107" spans="1:11">
      <c r="A21107" s="33" t="s">
        <v>46797</v>
      </c>
      <c r="B21107" s="33" t="s">
        <v>46798</v>
      </c>
      <c r="C21107" s="33" t="s">
        <v>190</v>
      </c>
      <c r="D21107" s="33" t="s">
        <v>17</v>
      </c>
      <c r="E21107" s="33" t="s">
        <v>26</v>
      </c>
      <c r="F21107" s="33" t="s">
        <v>27</v>
      </c>
      <c r="G21107" s="33" t="s">
        <v>20</v>
      </c>
      <c r="H21107" s="35">
        <v>31</v>
      </c>
      <c r="I21107" s="33" t="s">
        <v>21</v>
      </c>
      <c r="J21107" s="42">
        <v>45519</v>
      </c>
      <c r="K21107" s="33" t="s">
        <v>22</v>
      </c>
    </row>
    <row r="21108" spans="1:11">
      <c r="A21108" s="30" t="s">
        <v>46799</v>
      </c>
      <c r="B21108" s="30" t="s">
        <v>46800</v>
      </c>
      <c r="C21108" s="30" t="s">
        <v>38754</v>
      </c>
      <c r="D21108" s="30" t="s">
        <v>17</v>
      </c>
      <c r="E21108" s="30" t="s">
        <v>18</v>
      </c>
      <c r="F21108" s="30" t="s">
        <v>19</v>
      </c>
      <c r="G21108" s="30" t="s">
        <v>20</v>
      </c>
      <c r="H21108" s="32">
        <v>159</v>
      </c>
      <c r="I21108" s="30" t="s">
        <v>21</v>
      </c>
      <c r="J21108" s="41">
        <v>45525</v>
      </c>
      <c r="K21108" s="30" t="s">
        <v>22</v>
      </c>
    </row>
    <row r="21109" spans="1:11">
      <c r="A21109" s="33" t="s">
        <v>46801</v>
      </c>
      <c r="B21109" s="33" t="s">
        <v>46802</v>
      </c>
      <c r="C21109" s="33" t="s">
        <v>7246</v>
      </c>
      <c r="D21109" s="33" t="s">
        <v>17</v>
      </c>
      <c r="E21109" s="33" t="s">
        <v>26</v>
      </c>
      <c r="F21109" s="33" t="s">
        <v>27</v>
      </c>
      <c r="G21109" s="33" t="s">
        <v>20</v>
      </c>
      <c r="H21109" s="35">
        <v>15</v>
      </c>
      <c r="I21109" s="33" t="s">
        <v>21</v>
      </c>
      <c r="J21109" s="42">
        <v>45419</v>
      </c>
      <c r="K21109" s="33" t="s">
        <v>22</v>
      </c>
    </row>
    <row r="21110" spans="1:11">
      <c r="A21110" s="30" t="s">
        <v>46803</v>
      </c>
      <c r="B21110" s="30" t="s">
        <v>46804</v>
      </c>
      <c r="C21110" s="30" t="s">
        <v>3278</v>
      </c>
      <c r="D21110" s="30" t="s">
        <v>17</v>
      </c>
      <c r="E21110" s="30" t="s">
        <v>26</v>
      </c>
      <c r="F21110" s="30" t="s">
        <v>27</v>
      </c>
      <c r="G21110" s="30" t="s">
        <v>20</v>
      </c>
      <c r="H21110" s="32">
        <v>100</v>
      </c>
      <c r="I21110" s="30" t="s">
        <v>21</v>
      </c>
      <c r="J21110" s="41">
        <v>45517</v>
      </c>
      <c r="K21110" s="30" t="s">
        <v>22</v>
      </c>
    </row>
    <row r="21111" spans="1:11">
      <c r="A21111" s="33" t="s">
        <v>46805</v>
      </c>
      <c r="B21111" s="33" t="s">
        <v>46806</v>
      </c>
      <c r="C21111" s="33" t="s">
        <v>969</v>
      </c>
      <c r="D21111" s="33" t="s">
        <v>17</v>
      </c>
      <c r="E21111" s="33" t="s">
        <v>26</v>
      </c>
      <c r="F21111" s="33" t="s">
        <v>27</v>
      </c>
      <c r="G21111" s="33" t="s">
        <v>20</v>
      </c>
      <c r="H21111" s="35">
        <v>20</v>
      </c>
      <c r="I21111" s="33" t="s">
        <v>21</v>
      </c>
      <c r="J21111" s="42">
        <v>45387</v>
      </c>
      <c r="K21111" s="33" t="s">
        <v>22</v>
      </c>
    </row>
    <row r="21112" spans="1:11">
      <c r="A21112" s="30" t="s">
        <v>46807</v>
      </c>
      <c r="B21112" s="30" t="s">
        <v>46808</v>
      </c>
      <c r="C21112" s="30" t="s">
        <v>39563</v>
      </c>
      <c r="D21112" s="30" t="s">
        <v>17</v>
      </c>
      <c r="E21112" s="30" t="s">
        <v>26</v>
      </c>
      <c r="F21112" s="30" t="s">
        <v>27</v>
      </c>
      <c r="G21112" s="30" t="s">
        <v>50</v>
      </c>
      <c r="H21112" s="32">
        <v>40</v>
      </c>
      <c r="I21112" s="30" t="s">
        <v>51</v>
      </c>
      <c r="J21112" s="41">
        <v>45418</v>
      </c>
      <c r="K21112" s="30" t="s">
        <v>22</v>
      </c>
    </row>
    <row r="21113" spans="1:11">
      <c r="A21113" s="33" t="s">
        <v>46809</v>
      </c>
      <c r="B21113" s="33" t="s">
        <v>46810</v>
      </c>
      <c r="C21113" s="33" t="s">
        <v>28153</v>
      </c>
      <c r="D21113" s="33" t="s">
        <v>17</v>
      </c>
      <c r="E21113" s="33" t="s">
        <v>31</v>
      </c>
      <c r="F21113" s="33" t="s">
        <v>32</v>
      </c>
      <c r="G21113" s="33" t="s">
        <v>140</v>
      </c>
      <c r="H21113" s="35">
        <v>180</v>
      </c>
      <c r="I21113" s="33" t="s">
        <v>51</v>
      </c>
      <c r="J21113" s="42">
        <v>45405</v>
      </c>
      <c r="K21113" s="33" t="s">
        <v>22</v>
      </c>
    </row>
    <row r="21114" spans="1:11">
      <c r="A21114" s="30" t="s">
        <v>46811</v>
      </c>
      <c r="B21114" s="30" t="s">
        <v>46812</v>
      </c>
      <c r="C21114" s="30" t="s">
        <v>28274</v>
      </c>
      <c r="D21114" s="30" t="s">
        <v>17</v>
      </c>
      <c r="E21114" s="30" t="s">
        <v>67</v>
      </c>
      <c r="F21114" s="30" t="s">
        <v>68</v>
      </c>
      <c r="G21114" s="30" t="s">
        <v>7780</v>
      </c>
      <c r="H21114" s="32">
        <v>44</v>
      </c>
      <c r="I21114" s="30" t="s">
        <v>51</v>
      </c>
      <c r="J21114" s="41">
        <v>45618</v>
      </c>
      <c r="K21114" s="30" t="s">
        <v>22</v>
      </c>
    </row>
    <row r="21115" spans="1:11">
      <c r="A21115" s="33" t="s">
        <v>46813</v>
      </c>
      <c r="B21115" s="33" t="s">
        <v>46814</v>
      </c>
      <c r="C21115" s="33" t="s">
        <v>20203</v>
      </c>
      <c r="D21115" s="33" t="s">
        <v>17</v>
      </c>
      <c r="E21115" s="33" t="s">
        <v>67</v>
      </c>
      <c r="F21115" s="33" t="s">
        <v>68</v>
      </c>
      <c r="G21115" s="33" t="s">
        <v>140</v>
      </c>
      <c r="H21115" s="35">
        <v>40</v>
      </c>
      <c r="I21115" s="33" t="s">
        <v>51</v>
      </c>
      <c r="J21115" s="42">
        <v>45365</v>
      </c>
      <c r="K21115" s="33" t="s">
        <v>22</v>
      </c>
    </row>
    <row r="21116" spans="1:11">
      <c r="A21116" s="30" t="s">
        <v>46815</v>
      </c>
      <c r="B21116" s="30" t="s">
        <v>46816</v>
      </c>
      <c r="C21116" s="30" t="s">
        <v>20839</v>
      </c>
      <c r="D21116" s="30" t="s">
        <v>17</v>
      </c>
      <c r="E21116" s="30" t="s">
        <v>31</v>
      </c>
      <c r="F21116" s="30" t="s">
        <v>32</v>
      </c>
      <c r="G21116" s="30" t="s">
        <v>20</v>
      </c>
      <c r="H21116" s="32">
        <v>8</v>
      </c>
      <c r="I21116" s="30" t="s">
        <v>21</v>
      </c>
      <c r="J21116" s="41">
        <v>45614</v>
      </c>
      <c r="K21116" s="30" t="s">
        <v>22</v>
      </c>
    </row>
    <row r="21117" spans="1:11">
      <c r="A21117" s="33" t="s">
        <v>46817</v>
      </c>
      <c r="B21117" s="33" t="s">
        <v>46818</v>
      </c>
      <c r="C21117" s="33" t="s">
        <v>109</v>
      </c>
      <c r="D21117" s="33" t="s">
        <v>17</v>
      </c>
      <c r="E21117" s="33" t="s">
        <v>31</v>
      </c>
      <c r="F21117" s="33" t="s">
        <v>32</v>
      </c>
      <c r="G21117" s="33" t="s">
        <v>140</v>
      </c>
      <c r="H21117" s="35">
        <v>179</v>
      </c>
      <c r="I21117" s="33" t="s">
        <v>51</v>
      </c>
      <c r="J21117" s="42">
        <v>45539</v>
      </c>
      <c r="K21117" s="33" t="s">
        <v>22</v>
      </c>
    </row>
    <row r="21118" spans="1:11">
      <c r="A21118" s="30" t="s">
        <v>46819</v>
      </c>
      <c r="B21118" s="30" t="s">
        <v>46820</v>
      </c>
      <c r="C21118" s="30" t="s">
        <v>5870</v>
      </c>
      <c r="D21118" s="30" t="s">
        <v>17</v>
      </c>
      <c r="E21118" s="30" t="s">
        <v>18</v>
      </c>
      <c r="F21118" s="30" t="s">
        <v>19</v>
      </c>
      <c r="G21118" s="30" t="s">
        <v>20</v>
      </c>
      <c r="H21118" s="32">
        <v>1557</v>
      </c>
      <c r="I21118" s="30" t="s">
        <v>21</v>
      </c>
      <c r="J21118" s="41">
        <v>45421</v>
      </c>
      <c r="K21118" s="30" t="s">
        <v>22</v>
      </c>
    </row>
    <row r="21119" spans="1:11">
      <c r="A21119" s="33" t="s">
        <v>46821</v>
      </c>
      <c r="B21119" s="33" t="s">
        <v>46822</v>
      </c>
      <c r="C21119" s="33" t="s">
        <v>75</v>
      </c>
      <c r="D21119" s="33" t="s">
        <v>17</v>
      </c>
      <c r="E21119" s="33" t="s">
        <v>26</v>
      </c>
      <c r="F21119" s="33" t="s">
        <v>27</v>
      </c>
      <c r="G21119" s="33" t="s">
        <v>20</v>
      </c>
      <c r="H21119" s="35">
        <v>20</v>
      </c>
      <c r="I21119" s="33" t="s">
        <v>21</v>
      </c>
      <c r="J21119" s="42">
        <v>45470</v>
      </c>
      <c r="K21119" s="33" t="s">
        <v>22</v>
      </c>
    </row>
    <row r="21120" spans="1:11">
      <c r="A21120" s="30" t="s">
        <v>46823</v>
      </c>
      <c r="B21120" s="30" t="s">
        <v>46824</v>
      </c>
      <c r="C21120" s="30" t="s">
        <v>184</v>
      </c>
      <c r="D21120" s="30" t="s">
        <v>17</v>
      </c>
      <c r="E21120" s="30" t="s">
        <v>18</v>
      </c>
      <c r="F21120" s="30" t="s">
        <v>19</v>
      </c>
      <c r="G21120" s="30" t="s">
        <v>7780</v>
      </c>
      <c r="H21120" s="32">
        <v>220</v>
      </c>
      <c r="I21120" s="30" t="s">
        <v>51</v>
      </c>
      <c r="J21120" s="41">
        <v>45413</v>
      </c>
      <c r="K21120" s="30" t="s">
        <v>22</v>
      </c>
    </row>
    <row r="21121" spans="1:11">
      <c r="A21121" s="33" t="s">
        <v>46825</v>
      </c>
      <c r="B21121" s="33" t="s">
        <v>46826</v>
      </c>
      <c r="C21121" s="33" t="s">
        <v>1136</v>
      </c>
      <c r="D21121" s="33" t="s">
        <v>17</v>
      </c>
      <c r="E21121" s="33" t="s">
        <v>26</v>
      </c>
      <c r="F21121" s="33" t="s">
        <v>27</v>
      </c>
      <c r="G21121" s="33" t="s">
        <v>20</v>
      </c>
      <c r="H21121" s="35">
        <v>400</v>
      </c>
      <c r="I21121" s="33" t="s">
        <v>21</v>
      </c>
      <c r="J21121" s="42">
        <v>45516</v>
      </c>
      <c r="K21121" s="33" t="s">
        <v>22</v>
      </c>
    </row>
    <row r="21122" spans="1:11">
      <c r="A21122" s="30" t="s">
        <v>46827</v>
      </c>
      <c r="B21122" s="30" t="s">
        <v>46828</v>
      </c>
      <c r="C21122" s="30" t="s">
        <v>46829</v>
      </c>
      <c r="D21122" s="30" t="s">
        <v>17</v>
      </c>
      <c r="E21122" s="30" t="s">
        <v>26</v>
      </c>
      <c r="F21122" s="30" t="s">
        <v>27</v>
      </c>
      <c r="G21122" s="30" t="s">
        <v>20</v>
      </c>
      <c r="H21122" s="32">
        <v>55</v>
      </c>
      <c r="I21122" s="30" t="s">
        <v>21</v>
      </c>
      <c r="J21122" s="41">
        <v>45463</v>
      </c>
      <c r="K21122" s="30" t="s">
        <v>22</v>
      </c>
    </row>
    <row r="21123" spans="1:11">
      <c r="A21123" s="33" t="s">
        <v>46830</v>
      </c>
      <c r="B21123" s="33" t="s">
        <v>46831</v>
      </c>
      <c r="C21123" s="33" t="s">
        <v>1048</v>
      </c>
      <c r="D21123" s="33" t="s">
        <v>17</v>
      </c>
      <c r="E21123" s="33" t="s">
        <v>26</v>
      </c>
      <c r="F21123" s="33" t="s">
        <v>27</v>
      </c>
      <c r="G21123" s="33" t="s">
        <v>20</v>
      </c>
      <c r="H21123" s="35">
        <v>64</v>
      </c>
      <c r="I21123" s="33" t="s">
        <v>21</v>
      </c>
      <c r="J21123" s="42">
        <v>45434</v>
      </c>
      <c r="K21123" s="33" t="s">
        <v>22</v>
      </c>
    </row>
    <row r="21124" spans="1:11">
      <c r="A21124" s="30" t="s">
        <v>46832</v>
      </c>
      <c r="B21124" s="30" t="s">
        <v>46833</v>
      </c>
      <c r="C21124" s="30" t="s">
        <v>46567</v>
      </c>
      <c r="D21124" s="30" t="s">
        <v>17</v>
      </c>
      <c r="E21124" s="30" t="s">
        <v>18</v>
      </c>
      <c r="F21124" s="30" t="s">
        <v>19</v>
      </c>
      <c r="G21124" s="30" t="s">
        <v>50</v>
      </c>
      <c r="H21124" s="32">
        <v>150</v>
      </c>
      <c r="I21124" s="30" t="s">
        <v>51</v>
      </c>
      <c r="J21124" s="41">
        <v>45444</v>
      </c>
      <c r="K21124" s="30" t="s">
        <v>22</v>
      </c>
    </row>
    <row r="21125" spans="1:11">
      <c r="A21125" s="33" t="s">
        <v>46834</v>
      </c>
      <c r="B21125" s="33" t="s">
        <v>46835</v>
      </c>
      <c r="C21125" s="33" t="s">
        <v>24001</v>
      </c>
      <c r="D21125" s="33" t="s">
        <v>17</v>
      </c>
      <c r="E21125" s="33" t="s">
        <v>26</v>
      </c>
      <c r="F21125" s="33" t="s">
        <v>27</v>
      </c>
      <c r="G21125" s="33" t="s">
        <v>20</v>
      </c>
      <c r="H21125" s="35">
        <v>12</v>
      </c>
      <c r="I21125" s="33" t="s">
        <v>21</v>
      </c>
      <c r="J21125" s="42">
        <v>45335</v>
      </c>
      <c r="K21125" s="33" t="s">
        <v>22</v>
      </c>
    </row>
    <row r="21126" spans="1:11">
      <c r="A21126" s="30" t="s">
        <v>46836</v>
      </c>
      <c r="B21126" s="30" t="s">
        <v>46837</v>
      </c>
      <c r="C21126" s="30" t="s">
        <v>60</v>
      </c>
      <c r="D21126" s="30" t="s">
        <v>17</v>
      </c>
      <c r="E21126" s="30" t="s">
        <v>26</v>
      </c>
      <c r="F21126" s="30" t="s">
        <v>27</v>
      </c>
      <c r="G21126" s="30" t="s">
        <v>20</v>
      </c>
      <c r="H21126" s="32">
        <v>31</v>
      </c>
      <c r="I21126" s="30" t="s">
        <v>21</v>
      </c>
      <c r="J21126" s="41">
        <v>45504</v>
      </c>
      <c r="K21126" s="30" t="s">
        <v>22</v>
      </c>
    </row>
    <row r="21127" spans="1:11">
      <c r="A21127" s="33" t="s">
        <v>46838</v>
      </c>
      <c r="B21127" s="33" t="s">
        <v>46839</v>
      </c>
      <c r="C21127" s="33" t="s">
        <v>1583</v>
      </c>
      <c r="D21127" s="33" t="s">
        <v>17</v>
      </c>
      <c r="E21127" s="33" t="s">
        <v>26</v>
      </c>
      <c r="F21127" s="33" t="s">
        <v>27</v>
      </c>
      <c r="G21127" s="33" t="s">
        <v>106</v>
      </c>
      <c r="H21127" s="35">
        <v>58</v>
      </c>
      <c r="I21127" s="33" t="s">
        <v>21</v>
      </c>
      <c r="J21127" s="42">
        <v>45440</v>
      </c>
      <c r="K21127" s="33" t="s">
        <v>22</v>
      </c>
    </row>
    <row r="21128" spans="1:11">
      <c r="A21128" s="30" t="s">
        <v>46840</v>
      </c>
      <c r="B21128" s="30" t="s">
        <v>46841</v>
      </c>
      <c r="C21128" s="30" t="s">
        <v>12688</v>
      </c>
      <c r="D21128" s="30" t="s">
        <v>17</v>
      </c>
      <c r="E21128" s="30" t="s">
        <v>31</v>
      </c>
      <c r="F21128" s="30" t="s">
        <v>32</v>
      </c>
      <c r="G21128" s="30" t="s">
        <v>158</v>
      </c>
      <c r="H21128" s="32">
        <v>120</v>
      </c>
      <c r="I21128" s="30" t="s">
        <v>51</v>
      </c>
      <c r="J21128" s="41">
        <v>45608</v>
      </c>
      <c r="K21128" s="30" t="s">
        <v>22</v>
      </c>
    </row>
    <row r="21129" spans="1:11">
      <c r="A21129" s="33" t="s">
        <v>46842</v>
      </c>
      <c r="B21129" s="33" t="s">
        <v>46843</v>
      </c>
      <c r="C21129" s="33" t="s">
        <v>149</v>
      </c>
      <c r="D21129" s="33" t="s">
        <v>17</v>
      </c>
      <c r="E21129" s="33" t="s">
        <v>26</v>
      </c>
      <c r="F21129" s="33" t="s">
        <v>27</v>
      </c>
      <c r="G21129" s="33" t="s">
        <v>20</v>
      </c>
      <c r="H21129" s="35">
        <v>16</v>
      </c>
      <c r="I21129" s="33" t="s">
        <v>21</v>
      </c>
      <c r="J21129" s="42">
        <v>45307</v>
      </c>
      <c r="K21129" s="33" t="s">
        <v>22</v>
      </c>
    </row>
    <row r="21130" spans="1:11">
      <c r="A21130" s="30" t="s">
        <v>46844</v>
      </c>
      <c r="B21130" s="30" t="s">
        <v>46845</v>
      </c>
      <c r="C21130" s="30" t="s">
        <v>46846</v>
      </c>
      <c r="D21130" s="30" t="s">
        <v>17</v>
      </c>
      <c r="E21130" s="30" t="s">
        <v>18</v>
      </c>
      <c r="F21130" s="30" t="s">
        <v>19</v>
      </c>
      <c r="G21130" s="30" t="s">
        <v>7780</v>
      </c>
      <c r="H21130" s="32">
        <v>374</v>
      </c>
      <c r="I21130" s="30" t="s">
        <v>51</v>
      </c>
      <c r="J21130" s="41">
        <v>45536</v>
      </c>
      <c r="K21130" s="30" t="s">
        <v>22</v>
      </c>
    </row>
    <row r="21131" spans="1:11">
      <c r="A21131" s="33" t="s">
        <v>46847</v>
      </c>
      <c r="B21131" s="33" t="s">
        <v>46848</v>
      </c>
      <c r="C21131" s="33" t="s">
        <v>10535</v>
      </c>
      <c r="D21131" s="33" t="s">
        <v>17</v>
      </c>
      <c r="E21131" s="33" t="s">
        <v>26</v>
      </c>
      <c r="F21131" s="33" t="s">
        <v>27</v>
      </c>
      <c r="G21131" s="33" t="s">
        <v>50</v>
      </c>
      <c r="H21131" s="35">
        <v>6</v>
      </c>
      <c r="I21131" s="33" t="s">
        <v>21</v>
      </c>
      <c r="J21131" s="42">
        <v>45299</v>
      </c>
      <c r="K21131" s="33" t="s">
        <v>22</v>
      </c>
    </row>
    <row r="21132" spans="1:11">
      <c r="A21132" s="30" t="s">
        <v>46849</v>
      </c>
      <c r="B21132" s="30" t="s">
        <v>46850</v>
      </c>
      <c r="C21132" s="30" t="s">
        <v>995</v>
      </c>
      <c r="D21132" s="30" t="s">
        <v>17</v>
      </c>
      <c r="E21132" s="30" t="s">
        <v>18</v>
      </c>
      <c r="F21132" s="30" t="s">
        <v>19</v>
      </c>
      <c r="G21132" s="30" t="s">
        <v>20</v>
      </c>
      <c r="H21132" s="32">
        <v>480</v>
      </c>
      <c r="I21132" s="30" t="s">
        <v>21</v>
      </c>
      <c r="J21132" s="41">
        <v>45314</v>
      </c>
      <c r="K21132" s="30" t="s">
        <v>22</v>
      </c>
    </row>
    <row r="21133" spans="1:11">
      <c r="A21133" s="33" t="s">
        <v>46851</v>
      </c>
      <c r="B21133" s="33" t="s">
        <v>46852</v>
      </c>
      <c r="C21133" s="33" t="s">
        <v>93</v>
      </c>
      <c r="D21133" s="33" t="s">
        <v>17</v>
      </c>
      <c r="E21133" s="33" t="s">
        <v>26</v>
      </c>
      <c r="F21133" s="33" t="s">
        <v>27</v>
      </c>
      <c r="G21133" s="33" t="s">
        <v>106</v>
      </c>
      <c r="H21133" s="35">
        <v>1</v>
      </c>
      <c r="I21133" s="33" t="s">
        <v>21</v>
      </c>
      <c r="J21133" s="42">
        <v>45303</v>
      </c>
      <c r="K21133" s="33" t="s">
        <v>22</v>
      </c>
    </row>
    <row r="21134" spans="1:11">
      <c r="A21134" s="30" t="s">
        <v>46853</v>
      </c>
      <c r="B21134" s="30" t="s">
        <v>46854</v>
      </c>
      <c r="C21134" s="30" t="s">
        <v>437</v>
      </c>
      <c r="D21134" s="30" t="s">
        <v>17</v>
      </c>
      <c r="E21134" s="30" t="s">
        <v>18</v>
      </c>
      <c r="F21134" s="30" t="s">
        <v>19</v>
      </c>
      <c r="G21134" s="30" t="s">
        <v>158</v>
      </c>
      <c r="H21134" s="32">
        <v>555</v>
      </c>
      <c r="I21134" s="30" t="s">
        <v>21</v>
      </c>
      <c r="J21134" s="41">
        <v>45363</v>
      </c>
      <c r="K21134" s="30" t="s">
        <v>22</v>
      </c>
    </row>
    <row r="21135" spans="1:11">
      <c r="A21135" s="33" t="s">
        <v>46855</v>
      </c>
      <c r="B21135" s="33" t="s">
        <v>46856</v>
      </c>
      <c r="C21135" s="33" t="s">
        <v>31103</v>
      </c>
      <c r="D21135" s="33" t="s">
        <v>17</v>
      </c>
      <c r="E21135" s="33" t="s">
        <v>18</v>
      </c>
      <c r="F21135" s="33" t="s">
        <v>19</v>
      </c>
      <c r="G21135" s="33" t="s">
        <v>140</v>
      </c>
      <c r="H21135" s="35">
        <v>20</v>
      </c>
      <c r="I21135" s="33" t="s">
        <v>51</v>
      </c>
      <c r="J21135" s="42">
        <v>45504</v>
      </c>
      <c r="K21135" s="33" t="s">
        <v>22</v>
      </c>
    </row>
    <row r="21136" spans="1:11">
      <c r="A21136" s="30" t="s">
        <v>46857</v>
      </c>
      <c r="B21136" s="30" t="s">
        <v>46858</v>
      </c>
      <c r="C21136" s="30" t="s">
        <v>3944</v>
      </c>
      <c r="D21136" s="30" t="s">
        <v>17</v>
      </c>
      <c r="E21136" s="30" t="s">
        <v>26</v>
      </c>
      <c r="F21136" s="30" t="s">
        <v>27</v>
      </c>
      <c r="G21136" s="30" t="s">
        <v>7780</v>
      </c>
      <c r="H21136" s="32">
        <v>24</v>
      </c>
      <c r="I21136" s="30" t="s">
        <v>51</v>
      </c>
      <c r="J21136" s="41">
        <v>45597</v>
      </c>
      <c r="K21136" s="30" t="s">
        <v>22</v>
      </c>
    </row>
    <row r="21137" spans="1:11">
      <c r="A21137" s="33" t="s">
        <v>46859</v>
      </c>
      <c r="B21137" s="33" t="s">
        <v>46860</v>
      </c>
      <c r="C21137" s="33" t="s">
        <v>46861</v>
      </c>
      <c r="D21137" s="33" t="s">
        <v>17</v>
      </c>
      <c r="E21137" s="33" t="s">
        <v>31</v>
      </c>
      <c r="F21137" s="33" t="s">
        <v>32</v>
      </c>
      <c r="G21137" s="33" t="s">
        <v>140</v>
      </c>
      <c r="H21137" s="35">
        <v>120</v>
      </c>
      <c r="I21137" s="33" t="s">
        <v>51</v>
      </c>
      <c r="J21137" s="42">
        <v>45565</v>
      </c>
      <c r="K21137" s="33" t="s">
        <v>22</v>
      </c>
    </row>
    <row r="21138" spans="1:11">
      <c r="A21138" s="30" t="s">
        <v>46862</v>
      </c>
      <c r="B21138" s="30" t="s">
        <v>46863</v>
      </c>
      <c r="C21138" s="30" t="s">
        <v>21009</v>
      </c>
      <c r="D21138" s="30" t="s">
        <v>17</v>
      </c>
      <c r="E21138" s="30" t="s">
        <v>26</v>
      </c>
      <c r="F21138" s="30" t="s">
        <v>27</v>
      </c>
      <c r="G21138" s="30" t="s">
        <v>140</v>
      </c>
      <c r="H21138" s="32">
        <v>24</v>
      </c>
      <c r="I21138" s="30" t="s">
        <v>51</v>
      </c>
      <c r="J21138" s="41">
        <v>45410</v>
      </c>
      <c r="K21138" s="30" t="s">
        <v>22</v>
      </c>
    </row>
    <row r="21139" spans="1:11">
      <c r="A21139" s="33" t="s">
        <v>46864</v>
      </c>
      <c r="B21139" s="33" t="s">
        <v>46865</v>
      </c>
      <c r="C21139" s="33" t="s">
        <v>3489</v>
      </c>
      <c r="D21139" s="33" t="s">
        <v>17</v>
      </c>
      <c r="E21139" s="33" t="s">
        <v>18</v>
      </c>
      <c r="F21139" s="33" t="s">
        <v>19</v>
      </c>
      <c r="G21139" s="33" t="s">
        <v>158</v>
      </c>
      <c r="H21139" s="35">
        <v>80</v>
      </c>
      <c r="I21139" s="33" t="s">
        <v>51</v>
      </c>
      <c r="J21139" s="42">
        <v>45460</v>
      </c>
      <c r="K21139" s="33" t="s">
        <v>22</v>
      </c>
    </row>
    <row r="21140" spans="1:11">
      <c r="A21140" s="30" t="s">
        <v>46866</v>
      </c>
      <c r="B21140" s="30" t="s">
        <v>46867</v>
      </c>
      <c r="C21140" s="30" t="s">
        <v>647</v>
      </c>
      <c r="D21140" s="30" t="s">
        <v>17</v>
      </c>
      <c r="E21140" s="30" t="s">
        <v>26</v>
      </c>
      <c r="F21140" s="30" t="s">
        <v>27</v>
      </c>
      <c r="G21140" s="30" t="s">
        <v>158</v>
      </c>
      <c r="H21140" s="32">
        <v>168</v>
      </c>
      <c r="I21140" s="30" t="s">
        <v>51</v>
      </c>
      <c r="J21140" s="41">
        <v>45487</v>
      </c>
      <c r="K21140" s="30" t="s">
        <v>22</v>
      </c>
    </row>
    <row r="21141" spans="1:11">
      <c r="A21141" s="33" t="s">
        <v>46868</v>
      </c>
      <c r="B21141" s="33" t="s">
        <v>46869</v>
      </c>
      <c r="C21141" s="33" t="s">
        <v>3978</v>
      </c>
      <c r="D21141" s="33" t="s">
        <v>17</v>
      </c>
      <c r="E21141" s="33" t="s">
        <v>31</v>
      </c>
      <c r="F21141" s="33" t="s">
        <v>32</v>
      </c>
      <c r="G21141" s="33" t="s">
        <v>158</v>
      </c>
      <c r="H21141" s="35">
        <v>15</v>
      </c>
      <c r="I21141" s="33" t="s">
        <v>51</v>
      </c>
      <c r="J21141" s="42">
        <v>45646</v>
      </c>
      <c r="K21141" s="33" t="s">
        <v>22</v>
      </c>
    </row>
    <row r="21142" spans="1:11">
      <c r="A21142" s="30" t="s">
        <v>46870</v>
      </c>
      <c r="B21142" s="30" t="s">
        <v>46871</v>
      </c>
      <c r="C21142" s="30" t="s">
        <v>925</v>
      </c>
      <c r="D21142" s="30" t="s">
        <v>17</v>
      </c>
      <c r="E21142" s="30" t="s">
        <v>18</v>
      </c>
      <c r="F21142" s="30" t="s">
        <v>19</v>
      </c>
      <c r="G21142" s="30" t="s">
        <v>158</v>
      </c>
      <c r="H21142" s="32">
        <v>577</v>
      </c>
      <c r="I21142" s="30" t="s">
        <v>21</v>
      </c>
      <c r="J21142" s="41">
        <v>45376</v>
      </c>
      <c r="K21142" s="30" t="s">
        <v>22</v>
      </c>
    </row>
    <row r="21143" spans="1:11">
      <c r="A21143" s="33" t="s">
        <v>46872</v>
      </c>
      <c r="B21143" s="33" t="s">
        <v>46873</v>
      </c>
      <c r="C21143" s="33" t="s">
        <v>1112</v>
      </c>
      <c r="D21143" s="33" t="s">
        <v>17</v>
      </c>
      <c r="E21143" s="33" t="s">
        <v>18</v>
      </c>
      <c r="F21143" s="33" t="s">
        <v>19</v>
      </c>
      <c r="G21143" s="33" t="s">
        <v>20</v>
      </c>
      <c r="H21143" s="35">
        <v>448</v>
      </c>
      <c r="I21143" s="33" t="s">
        <v>21</v>
      </c>
      <c r="J21143" s="42">
        <v>45294</v>
      </c>
      <c r="K21143" s="33" t="s">
        <v>22</v>
      </c>
    </row>
    <row r="21144" spans="1:11">
      <c r="A21144" s="30" t="s">
        <v>46874</v>
      </c>
      <c r="B21144" s="30" t="s">
        <v>46875</v>
      </c>
      <c r="C21144" s="30" t="s">
        <v>46876</v>
      </c>
      <c r="D21144" s="30" t="s">
        <v>17</v>
      </c>
      <c r="E21144" s="30" t="s">
        <v>26</v>
      </c>
      <c r="F21144" s="30" t="s">
        <v>27</v>
      </c>
      <c r="G21144" s="30" t="s">
        <v>106</v>
      </c>
      <c r="H21144" s="32">
        <v>37</v>
      </c>
      <c r="I21144" s="30" t="s">
        <v>21</v>
      </c>
      <c r="J21144" s="41">
        <v>45355</v>
      </c>
      <c r="K21144" s="30" t="s">
        <v>22</v>
      </c>
    </row>
    <row r="21145" spans="1:11">
      <c r="A21145" s="33" t="s">
        <v>46877</v>
      </c>
      <c r="B21145" s="33" t="s">
        <v>46878</v>
      </c>
      <c r="C21145" s="33" t="s">
        <v>21009</v>
      </c>
      <c r="D21145" s="33" t="s">
        <v>17</v>
      </c>
      <c r="E21145" s="33" t="s">
        <v>26</v>
      </c>
      <c r="F21145" s="33" t="s">
        <v>27</v>
      </c>
      <c r="G21145" s="33" t="s">
        <v>20</v>
      </c>
      <c r="H21145" s="35">
        <v>28</v>
      </c>
      <c r="I21145" s="33" t="s">
        <v>21</v>
      </c>
      <c r="J21145" s="42">
        <v>45550</v>
      </c>
      <c r="K21145" s="33" t="s">
        <v>22</v>
      </c>
    </row>
    <row r="21146" spans="1:11">
      <c r="A21146" s="30" t="s">
        <v>46879</v>
      </c>
      <c r="B21146" s="30" t="s">
        <v>46880</v>
      </c>
      <c r="C21146" s="30" t="s">
        <v>1080</v>
      </c>
      <c r="D21146" s="30" t="s">
        <v>17</v>
      </c>
      <c r="E21146" s="30" t="s">
        <v>26</v>
      </c>
      <c r="F21146" s="30" t="s">
        <v>27</v>
      </c>
      <c r="G21146" s="30" t="s">
        <v>50</v>
      </c>
      <c r="H21146" s="32">
        <v>72</v>
      </c>
      <c r="I21146" s="30" t="s">
        <v>51</v>
      </c>
      <c r="J21146" s="41">
        <v>45383</v>
      </c>
      <c r="K21146" s="30" t="s">
        <v>22</v>
      </c>
    </row>
    <row r="21147" spans="1:11">
      <c r="A21147" s="33" t="s">
        <v>46881</v>
      </c>
      <c r="B21147" s="33" t="s">
        <v>46882</v>
      </c>
      <c r="C21147" s="33" t="s">
        <v>46883</v>
      </c>
      <c r="D21147" s="33" t="s">
        <v>17</v>
      </c>
      <c r="E21147" s="33" t="s">
        <v>26</v>
      </c>
      <c r="F21147" s="33" t="s">
        <v>27</v>
      </c>
      <c r="G21147" s="33" t="s">
        <v>50</v>
      </c>
      <c r="H21147" s="35">
        <v>72</v>
      </c>
      <c r="I21147" s="33" t="s">
        <v>51</v>
      </c>
      <c r="J21147" s="42">
        <v>45484</v>
      </c>
      <c r="K21147" s="33" t="s">
        <v>22</v>
      </c>
    </row>
    <row r="21148" spans="1:11">
      <c r="A21148" s="30" t="s">
        <v>46884</v>
      </c>
      <c r="B21148" s="30" t="s">
        <v>46885</v>
      </c>
      <c r="C21148" s="30" t="s">
        <v>16002</v>
      </c>
      <c r="D21148" s="30" t="s">
        <v>17</v>
      </c>
      <c r="E21148" s="30" t="s">
        <v>26</v>
      </c>
      <c r="F21148" s="30" t="s">
        <v>27</v>
      </c>
      <c r="G21148" s="30" t="s">
        <v>50</v>
      </c>
      <c r="H21148" s="32">
        <v>60</v>
      </c>
      <c r="I21148" s="30" t="s">
        <v>21</v>
      </c>
      <c r="J21148" s="41">
        <v>45453</v>
      </c>
      <c r="K21148" s="30" t="s">
        <v>22</v>
      </c>
    </row>
    <row r="21149" spans="1:11">
      <c r="A21149" s="33" t="s">
        <v>46886</v>
      </c>
      <c r="B21149" s="33" t="s">
        <v>46887</v>
      </c>
      <c r="C21149" s="33" t="s">
        <v>46888</v>
      </c>
      <c r="D21149" s="33" t="s">
        <v>17</v>
      </c>
      <c r="E21149" s="33" t="s">
        <v>26</v>
      </c>
      <c r="F21149" s="33" t="s">
        <v>27</v>
      </c>
      <c r="G21149" s="33" t="s">
        <v>106</v>
      </c>
      <c r="H21149" s="35">
        <v>26</v>
      </c>
      <c r="I21149" s="33" t="s">
        <v>21</v>
      </c>
      <c r="J21149" s="42">
        <v>45474</v>
      </c>
      <c r="K21149" s="33" t="s">
        <v>22</v>
      </c>
    </row>
    <row r="21150" spans="1:11">
      <c r="A21150" s="30" t="s">
        <v>46889</v>
      </c>
      <c r="B21150" s="30" t="s">
        <v>46890</v>
      </c>
      <c r="C21150" s="30" t="s">
        <v>187</v>
      </c>
      <c r="D21150" s="30" t="s">
        <v>17</v>
      </c>
      <c r="E21150" s="30" t="s">
        <v>26</v>
      </c>
      <c r="F21150" s="30" t="s">
        <v>27</v>
      </c>
      <c r="G21150" s="30" t="s">
        <v>106</v>
      </c>
      <c r="H21150" s="32">
        <v>3</v>
      </c>
      <c r="I21150" s="30" t="s">
        <v>21</v>
      </c>
      <c r="J21150" s="41">
        <v>45436</v>
      </c>
      <c r="K21150" s="30" t="s">
        <v>22</v>
      </c>
    </row>
    <row r="21151" spans="1:11">
      <c r="A21151" s="33" t="s">
        <v>46891</v>
      </c>
      <c r="B21151" s="33" t="s">
        <v>46892</v>
      </c>
      <c r="C21151" s="33" t="s">
        <v>124</v>
      </c>
      <c r="D21151" s="33" t="s">
        <v>17</v>
      </c>
      <c r="E21151" s="33" t="s">
        <v>31</v>
      </c>
      <c r="F21151" s="33" t="s">
        <v>32</v>
      </c>
      <c r="G21151" s="33" t="s">
        <v>20</v>
      </c>
      <c r="H21151" s="35">
        <v>64</v>
      </c>
      <c r="I21151" s="33" t="s">
        <v>21</v>
      </c>
      <c r="J21151" s="42">
        <v>45306</v>
      </c>
      <c r="K21151" s="33" t="s">
        <v>22</v>
      </c>
    </row>
    <row r="21152" spans="1:11">
      <c r="A21152" s="30" t="s">
        <v>46893</v>
      </c>
      <c r="B21152" s="30" t="s">
        <v>46894</v>
      </c>
      <c r="C21152" s="30" t="s">
        <v>6955</v>
      </c>
      <c r="D21152" s="30" t="s">
        <v>17</v>
      </c>
      <c r="E21152" s="30" t="s">
        <v>212</v>
      </c>
      <c r="F21152" s="30" t="s">
        <v>213</v>
      </c>
      <c r="G21152" s="30" t="s">
        <v>20</v>
      </c>
      <c r="H21152" s="32">
        <v>90</v>
      </c>
      <c r="I21152" s="30" t="s">
        <v>21</v>
      </c>
      <c r="J21152" s="41">
        <v>45572</v>
      </c>
      <c r="K21152" s="30" t="s">
        <v>22</v>
      </c>
    </row>
    <row r="21153" spans="1:11">
      <c r="A21153" s="33" t="s">
        <v>46895</v>
      </c>
      <c r="B21153" s="33" t="s">
        <v>46896</v>
      </c>
      <c r="C21153" s="33" t="s">
        <v>10028</v>
      </c>
      <c r="D21153" s="33" t="s">
        <v>17</v>
      </c>
      <c r="E21153" s="33" t="s">
        <v>31</v>
      </c>
      <c r="F21153" s="33" t="s">
        <v>32</v>
      </c>
      <c r="G21153" s="33" t="s">
        <v>20</v>
      </c>
      <c r="H21153" s="35">
        <v>92</v>
      </c>
      <c r="I21153" s="33" t="s">
        <v>21</v>
      </c>
      <c r="J21153" s="42">
        <v>45375</v>
      </c>
      <c r="K21153" s="33" t="s">
        <v>22</v>
      </c>
    </row>
    <row r="21154" spans="1:11">
      <c r="A21154" s="30" t="s">
        <v>46897</v>
      </c>
      <c r="B21154" s="30" t="s">
        <v>46898</v>
      </c>
      <c r="C21154" s="30" t="s">
        <v>554</v>
      </c>
      <c r="D21154" s="30" t="s">
        <v>17</v>
      </c>
      <c r="E21154" s="30" t="s">
        <v>31</v>
      </c>
      <c r="F21154" s="30" t="s">
        <v>32</v>
      </c>
      <c r="G21154" s="30" t="s">
        <v>20</v>
      </c>
      <c r="H21154" s="32">
        <v>56</v>
      </c>
      <c r="I21154" s="30" t="s">
        <v>21</v>
      </c>
      <c r="J21154" s="41">
        <v>45392</v>
      </c>
      <c r="K21154" s="30" t="s">
        <v>22</v>
      </c>
    </row>
    <row r="21155" spans="1:11">
      <c r="A21155" s="33" t="s">
        <v>46899</v>
      </c>
      <c r="B21155" s="33" t="s">
        <v>46900</v>
      </c>
      <c r="C21155" s="33" t="s">
        <v>1136</v>
      </c>
      <c r="D21155" s="33" t="s">
        <v>17</v>
      </c>
      <c r="E21155" s="33" t="s">
        <v>18</v>
      </c>
      <c r="F21155" s="33" t="s">
        <v>19</v>
      </c>
      <c r="G21155" s="33" t="s">
        <v>20</v>
      </c>
      <c r="H21155" s="35">
        <v>1180</v>
      </c>
      <c r="I21155" s="33" t="s">
        <v>21</v>
      </c>
      <c r="J21155" s="42">
        <v>45600</v>
      </c>
      <c r="K21155" s="33" t="s">
        <v>22</v>
      </c>
    </row>
    <row r="21156" spans="1:11">
      <c r="A21156" s="30" t="s">
        <v>46901</v>
      </c>
      <c r="B21156" s="30" t="s">
        <v>46902</v>
      </c>
      <c r="C21156" s="30" t="s">
        <v>3676</v>
      </c>
      <c r="D21156" s="30" t="s">
        <v>17</v>
      </c>
      <c r="E21156" s="30" t="s">
        <v>31</v>
      </c>
      <c r="F21156" s="30" t="s">
        <v>32</v>
      </c>
      <c r="G21156" s="30" t="s">
        <v>2613</v>
      </c>
      <c r="H21156" s="32">
        <v>750</v>
      </c>
      <c r="I21156" s="30" t="s">
        <v>51</v>
      </c>
      <c r="J21156" s="41">
        <v>45627</v>
      </c>
      <c r="K21156" s="30" t="s">
        <v>22</v>
      </c>
    </row>
    <row r="21157" spans="1:11">
      <c r="A21157" s="33" t="s">
        <v>46903</v>
      </c>
      <c r="B21157" s="33" t="s">
        <v>46904</v>
      </c>
      <c r="C21157" s="33" t="s">
        <v>647</v>
      </c>
      <c r="D21157" s="33" t="s">
        <v>17</v>
      </c>
      <c r="E21157" s="33" t="s">
        <v>67</v>
      </c>
      <c r="F21157" s="33" t="s">
        <v>68</v>
      </c>
      <c r="G21157" s="33" t="s">
        <v>140</v>
      </c>
      <c r="H21157" s="35">
        <v>220</v>
      </c>
      <c r="I21157" s="33" t="s">
        <v>51</v>
      </c>
      <c r="J21157" s="42">
        <v>45432</v>
      </c>
      <c r="K21157" s="33" t="s">
        <v>22</v>
      </c>
    </row>
    <row r="21158" spans="1:11">
      <c r="A21158" s="30" t="s">
        <v>46905</v>
      </c>
      <c r="B21158" s="30" t="s">
        <v>46906</v>
      </c>
      <c r="C21158" s="30" t="s">
        <v>31108</v>
      </c>
      <c r="D21158" s="30" t="s">
        <v>17</v>
      </c>
      <c r="E21158" s="30" t="s">
        <v>26</v>
      </c>
      <c r="F21158" s="30" t="s">
        <v>27</v>
      </c>
      <c r="G21158" s="30" t="s">
        <v>140</v>
      </c>
      <c r="H21158" s="32">
        <v>148</v>
      </c>
      <c r="I21158" s="30" t="s">
        <v>51</v>
      </c>
      <c r="J21158" s="41">
        <v>45467</v>
      </c>
      <c r="K21158" s="30" t="s">
        <v>22</v>
      </c>
    </row>
    <row r="21159" spans="1:11">
      <c r="A21159" s="33" t="s">
        <v>46907</v>
      </c>
      <c r="B21159" s="33" t="s">
        <v>46908</v>
      </c>
      <c r="C21159" s="33" t="s">
        <v>57</v>
      </c>
      <c r="D21159" s="33" t="s">
        <v>17</v>
      </c>
      <c r="E21159" s="33" t="s">
        <v>26</v>
      </c>
      <c r="F21159" s="33" t="s">
        <v>27</v>
      </c>
      <c r="G21159" s="33" t="s">
        <v>7780</v>
      </c>
      <c r="H21159" s="35">
        <v>52</v>
      </c>
      <c r="I21159" s="33" t="s">
        <v>51</v>
      </c>
      <c r="J21159" s="42">
        <v>45566</v>
      </c>
      <c r="K21159" s="33" t="s">
        <v>22</v>
      </c>
    </row>
    <row r="21160" spans="1:11">
      <c r="A21160" s="30" t="s">
        <v>46909</v>
      </c>
      <c r="B21160" s="30" t="s">
        <v>46910</v>
      </c>
      <c r="C21160" s="30" t="s">
        <v>46911</v>
      </c>
      <c r="D21160" s="30" t="s">
        <v>17</v>
      </c>
      <c r="E21160" s="30" t="s">
        <v>26</v>
      </c>
      <c r="F21160" s="30" t="s">
        <v>27</v>
      </c>
      <c r="G21160" s="30" t="s">
        <v>140</v>
      </c>
      <c r="H21160" s="32">
        <v>28</v>
      </c>
      <c r="I21160" s="30" t="s">
        <v>51</v>
      </c>
      <c r="J21160" s="41">
        <v>45462</v>
      </c>
      <c r="K21160" s="30" t="s">
        <v>22</v>
      </c>
    </row>
    <row r="21161" spans="1:11">
      <c r="A21161" s="33" t="s">
        <v>46912</v>
      </c>
      <c r="B21161" s="33" t="s">
        <v>46913</v>
      </c>
      <c r="C21161" s="33" t="s">
        <v>21185</v>
      </c>
      <c r="D21161" s="33" t="s">
        <v>17</v>
      </c>
      <c r="E21161" s="33" t="s">
        <v>26</v>
      </c>
      <c r="F21161" s="33" t="s">
        <v>27</v>
      </c>
      <c r="G21161" s="33" t="s">
        <v>140</v>
      </c>
      <c r="H21161" s="35">
        <v>136</v>
      </c>
      <c r="I21161" s="33" t="s">
        <v>51</v>
      </c>
      <c r="J21161" s="42">
        <v>45624</v>
      </c>
      <c r="K21161" s="33" t="s">
        <v>22</v>
      </c>
    </row>
    <row r="21162" spans="1:11">
      <c r="A21162" s="30" t="s">
        <v>46914</v>
      </c>
      <c r="B21162" s="30" t="s">
        <v>46915</v>
      </c>
      <c r="C21162" s="30" t="s">
        <v>41108</v>
      </c>
      <c r="D21162" s="30" t="s">
        <v>17</v>
      </c>
      <c r="E21162" s="30" t="s">
        <v>212</v>
      </c>
      <c r="F21162" s="30" t="s">
        <v>213</v>
      </c>
      <c r="G21162" s="30" t="s">
        <v>140</v>
      </c>
      <c r="H21162" s="32">
        <v>24000</v>
      </c>
      <c r="I21162" s="30" t="s">
        <v>51</v>
      </c>
      <c r="J21162" s="41">
        <v>45526</v>
      </c>
      <c r="K21162" s="30" t="s">
        <v>22</v>
      </c>
    </row>
    <row r="21163" spans="1:11">
      <c r="A21163" s="33" t="s">
        <v>46916</v>
      </c>
      <c r="B21163" s="33" t="s">
        <v>46917</v>
      </c>
      <c r="C21163" s="33" t="s">
        <v>19167</v>
      </c>
      <c r="D21163" s="33" t="s">
        <v>17</v>
      </c>
      <c r="E21163" s="33" t="s">
        <v>330</v>
      </c>
      <c r="F21163" s="33" t="s">
        <v>331</v>
      </c>
      <c r="G21163" s="33" t="s">
        <v>50</v>
      </c>
      <c r="H21163" s="35">
        <v>40</v>
      </c>
      <c r="I21163" s="33" t="s">
        <v>51</v>
      </c>
      <c r="J21163" s="42">
        <v>45413</v>
      </c>
      <c r="K21163" s="33" t="s">
        <v>22</v>
      </c>
    </row>
    <row r="21164" spans="1:11">
      <c r="A21164" s="30" t="s">
        <v>46918</v>
      </c>
      <c r="B21164" s="30" t="s">
        <v>46919</v>
      </c>
      <c r="C21164" s="30" t="s">
        <v>2256</v>
      </c>
      <c r="D21164" s="30" t="s">
        <v>17</v>
      </c>
      <c r="E21164" s="30" t="s">
        <v>330</v>
      </c>
      <c r="F21164" s="30" t="s">
        <v>331</v>
      </c>
      <c r="G21164" s="30" t="s">
        <v>20</v>
      </c>
      <c r="H21164" s="32">
        <v>17</v>
      </c>
      <c r="I21164" s="30" t="s">
        <v>21</v>
      </c>
      <c r="J21164" s="41">
        <v>45434</v>
      </c>
      <c r="K21164" s="30" t="s">
        <v>22</v>
      </c>
    </row>
    <row r="21165" spans="1:11">
      <c r="A21165" s="33" t="s">
        <v>46920</v>
      </c>
      <c r="B21165" s="33" t="s">
        <v>46921</v>
      </c>
      <c r="C21165" s="33" t="s">
        <v>318</v>
      </c>
      <c r="D21165" s="33" t="s">
        <v>17</v>
      </c>
      <c r="E21165" s="33" t="s">
        <v>18</v>
      </c>
      <c r="F21165" s="33" t="s">
        <v>19</v>
      </c>
      <c r="G21165" s="33" t="s">
        <v>158</v>
      </c>
      <c r="H21165" s="35">
        <v>111</v>
      </c>
      <c r="I21165" s="33" t="s">
        <v>21</v>
      </c>
      <c r="J21165" s="42">
        <v>45404</v>
      </c>
      <c r="K21165" s="33" t="s">
        <v>22</v>
      </c>
    </row>
    <row r="21166" spans="1:11">
      <c r="A21166" s="30" t="s">
        <v>46922</v>
      </c>
      <c r="B21166" s="30" t="s">
        <v>46923</v>
      </c>
      <c r="C21166" s="30" t="s">
        <v>93</v>
      </c>
      <c r="D21166" s="30" t="s">
        <v>17</v>
      </c>
      <c r="E21166" s="30" t="s">
        <v>31</v>
      </c>
      <c r="F21166" s="30" t="s">
        <v>32</v>
      </c>
      <c r="G21166" s="30" t="s">
        <v>112</v>
      </c>
      <c r="H21166" s="32">
        <v>0</v>
      </c>
      <c r="I21166" s="30" t="s">
        <v>21</v>
      </c>
      <c r="J21166" s="41">
        <v>45419</v>
      </c>
      <c r="K21166" s="30" t="s">
        <v>22</v>
      </c>
    </row>
    <row r="21167" spans="1:11">
      <c r="A21167" s="33" t="s">
        <v>46924</v>
      </c>
      <c r="B21167" s="33" t="s">
        <v>46925</v>
      </c>
      <c r="C21167" s="33" t="s">
        <v>11899</v>
      </c>
      <c r="D21167" s="33" t="s">
        <v>17</v>
      </c>
      <c r="E21167" s="33" t="s">
        <v>18</v>
      </c>
      <c r="F21167" s="33" t="s">
        <v>19</v>
      </c>
      <c r="G21167" s="33" t="s">
        <v>140</v>
      </c>
      <c r="H21167" s="35">
        <v>200</v>
      </c>
      <c r="I21167" s="33" t="s">
        <v>51</v>
      </c>
      <c r="J21167" s="42">
        <v>45600</v>
      </c>
      <c r="K21167" s="33" t="s">
        <v>22</v>
      </c>
    </row>
    <row r="21168" spans="1:11">
      <c r="A21168" s="30" t="s">
        <v>46926</v>
      </c>
      <c r="B21168" s="30" t="s">
        <v>46927</v>
      </c>
      <c r="C21168" s="30" t="s">
        <v>2753</v>
      </c>
      <c r="D21168" s="30" t="s">
        <v>17</v>
      </c>
      <c r="E21168" s="30" t="s">
        <v>31</v>
      </c>
      <c r="F21168" s="30" t="s">
        <v>32</v>
      </c>
      <c r="G21168" s="30" t="s">
        <v>158</v>
      </c>
      <c r="H21168" s="32">
        <v>94</v>
      </c>
      <c r="I21168" s="30" t="s">
        <v>51</v>
      </c>
      <c r="J21168" s="41">
        <v>45610</v>
      </c>
      <c r="K21168" s="30" t="s">
        <v>22</v>
      </c>
    </row>
    <row r="21169" spans="1:11">
      <c r="A21169" s="33" t="s">
        <v>46928</v>
      </c>
      <c r="B21169" s="33" t="s">
        <v>46929</v>
      </c>
      <c r="C21169" s="33" t="s">
        <v>16196</v>
      </c>
      <c r="D21169" s="33" t="s">
        <v>17</v>
      </c>
      <c r="E21169" s="33" t="s">
        <v>26</v>
      </c>
      <c r="F21169" s="33" t="s">
        <v>27</v>
      </c>
      <c r="G21169" s="33" t="s">
        <v>20</v>
      </c>
      <c r="H21169" s="35">
        <v>8</v>
      </c>
      <c r="I21169" s="33" t="s">
        <v>21</v>
      </c>
      <c r="J21169" s="42">
        <v>45597</v>
      </c>
      <c r="K21169" s="33" t="s">
        <v>22</v>
      </c>
    </row>
    <row r="21170" spans="1:11">
      <c r="A21170" s="30" t="s">
        <v>46930</v>
      </c>
      <c r="B21170" s="30" t="s">
        <v>46931</v>
      </c>
      <c r="C21170" s="30" t="s">
        <v>7094</v>
      </c>
      <c r="D21170" s="30" t="s">
        <v>17</v>
      </c>
      <c r="E21170" s="30" t="s">
        <v>18</v>
      </c>
      <c r="F21170" s="30" t="s">
        <v>19</v>
      </c>
      <c r="G21170" s="30" t="s">
        <v>140</v>
      </c>
      <c r="H21170" s="32">
        <v>270</v>
      </c>
      <c r="I21170" s="30" t="s">
        <v>51</v>
      </c>
      <c r="J21170" s="41">
        <v>45614</v>
      </c>
      <c r="K21170" s="30" t="s">
        <v>22</v>
      </c>
    </row>
    <row r="21171" spans="1:11">
      <c r="A21171" s="33" t="s">
        <v>46932</v>
      </c>
      <c r="B21171" s="33" t="s">
        <v>46933</v>
      </c>
      <c r="C21171" s="33" t="s">
        <v>9728</v>
      </c>
      <c r="D21171" s="33" t="s">
        <v>17</v>
      </c>
      <c r="E21171" s="33" t="s">
        <v>31</v>
      </c>
      <c r="F21171" s="33" t="s">
        <v>32</v>
      </c>
      <c r="G21171" s="33" t="s">
        <v>140</v>
      </c>
      <c r="H21171" s="35">
        <v>138</v>
      </c>
      <c r="I21171" s="33" t="s">
        <v>51</v>
      </c>
      <c r="J21171" s="42">
        <v>45366</v>
      </c>
      <c r="K21171" s="33" t="s">
        <v>22</v>
      </c>
    </row>
    <row r="21172" spans="1:11">
      <c r="A21172" s="30" t="s">
        <v>46934</v>
      </c>
      <c r="B21172" s="30" t="s">
        <v>46935</v>
      </c>
      <c r="C21172" s="30" t="s">
        <v>10300</v>
      </c>
      <c r="D21172" s="30" t="s">
        <v>17</v>
      </c>
      <c r="E21172" s="30" t="s">
        <v>212</v>
      </c>
      <c r="F21172" s="30" t="s">
        <v>213</v>
      </c>
      <c r="G21172" s="30" t="s">
        <v>140</v>
      </c>
      <c r="H21172" s="32">
        <v>160</v>
      </c>
      <c r="I21172" s="30" t="s">
        <v>51</v>
      </c>
      <c r="J21172" s="41">
        <v>45315</v>
      </c>
      <c r="K21172" s="30" t="s">
        <v>22</v>
      </c>
    </row>
    <row r="21173" spans="1:11">
      <c r="A21173" s="33" t="s">
        <v>46936</v>
      </c>
      <c r="B21173" s="33" t="s">
        <v>46937</v>
      </c>
      <c r="C21173" s="33" t="s">
        <v>7369</v>
      </c>
      <c r="D21173" s="33" t="s">
        <v>17</v>
      </c>
      <c r="E21173" s="33" t="s">
        <v>26</v>
      </c>
      <c r="F21173" s="33" t="s">
        <v>27</v>
      </c>
      <c r="G21173" s="33" t="s">
        <v>20</v>
      </c>
      <c r="H21173" s="35">
        <v>57</v>
      </c>
      <c r="I21173" s="33" t="s">
        <v>21</v>
      </c>
      <c r="J21173" s="42">
        <v>45467</v>
      </c>
      <c r="K21173" s="33" t="s">
        <v>22</v>
      </c>
    </row>
    <row r="21174" spans="1:11">
      <c r="A21174" s="30" t="s">
        <v>46938</v>
      </c>
      <c r="B21174" s="30" t="s">
        <v>46939</v>
      </c>
      <c r="C21174" s="30" t="s">
        <v>190</v>
      </c>
      <c r="D21174" s="30" t="s">
        <v>17</v>
      </c>
      <c r="E21174" s="30" t="s">
        <v>31</v>
      </c>
      <c r="F21174" s="30" t="s">
        <v>32</v>
      </c>
      <c r="G21174" s="30" t="s">
        <v>140</v>
      </c>
      <c r="H21174" s="32">
        <v>180</v>
      </c>
      <c r="I21174" s="30" t="s">
        <v>51</v>
      </c>
      <c r="J21174" s="41">
        <v>45531</v>
      </c>
      <c r="K21174" s="30" t="s">
        <v>22</v>
      </c>
    </row>
    <row r="21175" spans="1:11">
      <c r="A21175" s="33" t="s">
        <v>46940</v>
      </c>
      <c r="B21175" s="33" t="s">
        <v>46941</v>
      </c>
      <c r="C21175" s="33" t="s">
        <v>3944</v>
      </c>
      <c r="D21175" s="33" t="s">
        <v>17</v>
      </c>
      <c r="E21175" s="33" t="s">
        <v>26</v>
      </c>
      <c r="F21175" s="33" t="s">
        <v>27</v>
      </c>
      <c r="G21175" s="33" t="s">
        <v>140</v>
      </c>
      <c r="H21175" s="35">
        <v>48</v>
      </c>
      <c r="I21175" s="33" t="s">
        <v>51</v>
      </c>
      <c r="J21175" s="42">
        <v>45638</v>
      </c>
      <c r="K21175" s="33" t="s">
        <v>22</v>
      </c>
    </row>
    <row r="21176" spans="1:11">
      <c r="A21176" s="30" t="s">
        <v>46942</v>
      </c>
      <c r="B21176" s="30" t="s">
        <v>46943</v>
      </c>
      <c r="C21176" s="30" t="s">
        <v>31187</v>
      </c>
      <c r="D21176" s="30" t="s">
        <v>17</v>
      </c>
      <c r="E21176" s="30" t="s">
        <v>26</v>
      </c>
      <c r="F21176" s="30" t="s">
        <v>27</v>
      </c>
      <c r="G21176" s="30" t="s">
        <v>50</v>
      </c>
      <c r="H21176" s="32">
        <v>66</v>
      </c>
      <c r="I21176" s="30" t="s">
        <v>51</v>
      </c>
      <c r="J21176" s="41">
        <v>45294</v>
      </c>
      <c r="K21176" s="30" t="s">
        <v>22</v>
      </c>
    </row>
    <row r="21177" spans="1:11">
      <c r="A21177" s="33" t="s">
        <v>46944</v>
      </c>
      <c r="B21177" s="33" t="s">
        <v>46945</v>
      </c>
      <c r="C21177" s="33" t="s">
        <v>43542</v>
      </c>
      <c r="D21177" s="33" t="s">
        <v>17</v>
      </c>
      <c r="E21177" s="33" t="s">
        <v>67</v>
      </c>
      <c r="F21177" s="33" t="s">
        <v>68</v>
      </c>
      <c r="G21177" s="33" t="s">
        <v>158</v>
      </c>
      <c r="H21177" s="35">
        <v>66</v>
      </c>
      <c r="I21177" s="33" t="s">
        <v>21</v>
      </c>
      <c r="J21177" s="42">
        <v>45446</v>
      </c>
      <c r="K21177" s="33" t="s">
        <v>22</v>
      </c>
    </row>
    <row r="21178" spans="1:11">
      <c r="A21178" s="30" t="s">
        <v>46946</v>
      </c>
      <c r="B21178" s="30" t="s">
        <v>46947</v>
      </c>
      <c r="C21178" s="30" t="s">
        <v>118</v>
      </c>
      <c r="D21178" s="30" t="s">
        <v>17</v>
      </c>
      <c r="E21178" s="30" t="s">
        <v>26</v>
      </c>
      <c r="F21178" s="30" t="s">
        <v>27</v>
      </c>
      <c r="G21178" s="30" t="s">
        <v>20</v>
      </c>
      <c r="H21178" s="32">
        <v>42</v>
      </c>
      <c r="I21178" s="30" t="s">
        <v>21</v>
      </c>
      <c r="J21178" s="41">
        <v>45496</v>
      </c>
      <c r="K21178" s="30" t="s">
        <v>22</v>
      </c>
    </row>
    <row r="21179" spans="1:11">
      <c r="A21179" s="33" t="s">
        <v>46948</v>
      </c>
      <c r="B21179" s="33" t="s">
        <v>46949</v>
      </c>
      <c r="C21179" s="33" t="s">
        <v>2975</v>
      </c>
      <c r="D21179" s="33" t="s">
        <v>17</v>
      </c>
      <c r="E21179" s="33" t="s">
        <v>26</v>
      </c>
      <c r="F21179" s="33" t="s">
        <v>27</v>
      </c>
      <c r="G21179" s="33" t="s">
        <v>112</v>
      </c>
      <c r="H21179" s="35">
        <v>0</v>
      </c>
      <c r="I21179" s="33" t="s">
        <v>21</v>
      </c>
      <c r="J21179" s="42">
        <v>45323</v>
      </c>
      <c r="K21179" s="33" t="s">
        <v>22</v>
      </c>
    </row>
    <row r="21180" spans="1:11">
      <c r="A21180" s="30" t="s">
        <v>46950</v>
      </c>
      <c r="B21180" s="30" t="s">
        <v>46951</v>
      </c>
      <c r="C21180" s="30" t="s">
        <v>109</v>
      </c>
      <c r="D21180" s="30" t="s">
        <v>17</v>
      </c>
      <c r="E21180" s="30" t="s">
        <v>18</v>
      </c>
      <c r="F21180" s="30" t="s">
        <v>19</v>
      </c>
      <c r="G21180" s="30" t="s">
        <v>140</v>
      </c>
      <c r="H21180" s="32">
        <v>50</v>
      </c>
      <c r="I21180" s="30" t="s">
        <v>51</v>
      </c>
      <c r="J21180" s="41">
        <v>45517</v>
      </c>
      <c r="K21180" s="30" t="s">
        <v>22</v>
      </c>
    </row>
    <row r="21181" spans="1:11">
      <c r="A21181" s="33" t="s">
        <v>46952</v>
      </c>
      <c r="B21181" s="33" t="s">
        <v>46953</v>
      </c>
      <c r="C21181" s="33" t="s">
        <v>38770</v>
      </c>
      <c r="D21181" s="33" t="s">
        <v>17</v>
      </c>
      <c r="E21181" s="33" t="s">
        <v>31</v>
      </c>
      <c r="F21181" s="33" t="s">
        <v>32</v>
      </c>
      <c r="G21181" s="33" t="s">
        <v>20</v>
      </c>
      <c r="H21181" s="35">
        <v>68</v>
      </c>
      <c r="I21181" s="33" t="s">
        <v>21</v>
      </c>
      <c r="J21181" s="42">
        <v>45562</v>
      </c>
      <c r="K21181" s="33" t="s">
        <v>22</v>
      </c>
    </row>
    <row r="21182" spans="1:11">
      <c r="A21182" s="30" t="s">
        <v>46954</v>
      </c>
      <c r="B21182" s="30" t="s">
        <v>46955</v>
      </c>
      <c r="C21182" s="30" t="s">
        <v>9454</v>
      </c>
      <c r="D21182" s="30" t="s">
        <v>17</v>
      </c>
      <c r="E21182" s="30" t="s">
        <v>31</v>
      </c>
      <c r="F21182" s="30" t="s">
        <v>32</v>
      </c>
      <c r="G21182" s="30" t="s">
        <v>140</v>
      </c>
      <c r="H21182" s="32">
        <v>228</v>
      </c>
      <c r="I21182" s="30" t="s">
        <v>51</v>
      </c>
      <c r="J21182" s="41">
        <v>45504</v>
      </c>
      <c r="K21182" s="30" t="s">
        <v>22</v>
      </c>
    </row>
    <row r="21183" spans="1:11">
      <c r="A21183" s="33" t="s">
        <v>46956</v>
      </c>
      <c r="B21183" s="33" t="s">
        <v>46957</v>
      </c>
      <c r="C21183" s="33" t="s">
        <v>190</v>
      </c>
      <c r="D21183" s="33" t="s">
        <v>17</v>
      </c>
      <c r="E21183" s="33" t="s">
        <v>212</v>
      </c>
      <c r="F21183" s="33" t="s">
        <v>213</v>
      </c>
      <c r="G21183" s="33" t="s">
        <v>20</v>
      </c>
      <c r="H21183" s="35">
        <v>101</v>
      </c>
      <c r="I21183" s="33" t="s">
        <v>21</v>
      </c>
      <c r="J21183" s="42">
        <v>45546</v>
      </c>
      <c r="K21183" s="33" t="s">
        <v>22</v>
      </c>
    </row>
    <row r="21184" spans="1:11">
      <c r="A21184" s="30" t="s">
        <v>46958</v>
      </c>
      <c r="B21184" s="30" t="s">
        <v>46959</v>
      </c>
      <c r="C21184" s="30" t="s">
        <v>387</v>
      </c>
      <c r="D21184" s="30" t="s">
        <v>17</v>
      </c>
      <c r="E21184" s="30" t="s">
        <v>18</v>
      </c>
      <c r="F21184" s="30" t="s">
        <v>19</v>
      </c>
      <c r="G21184" s="30" t="s">
        <v>158</v>
      </c>
      <c r="H21184" s="32">
        <v>401</v>
      </c>
      <c r="I21184" s="30" t="s">
        <v>21</v>
      </c>
      <c r="J21184" s="41">
        <v>45629</v>
      </c>
      <c r="K21184" s="30" t="s">
        <v>22</v>
      </c>
    </row>
    <row r="21185" spans="1:11">
      <c r="A21185" s="33" t="s">
        <v>46960</v>
      </c>
      <c r="B21185" s="33" t="s">
        <v>46961</v>
      </c>
      <c r="C21185" s="33" t="s">
        <v>6803</v>
      </c>
      <c r="D21185" s="33" t="s">
        <v>17</v>
      </c>
      <c r="E21185" s="33" t="s">
        <v>26</v>
      </c>
      <c r="F21185" s="33" t="s">
        <v>27</v>
      </c>
      <c r="G21185" s="33" t="s">
        <v>112</v>
      </c>
      <c r="H21185" s="35">
        <v>0</v>
      </c>
      <c r="I21185" s="33" t="s">
        <v>21</v>
      </c>
      <c r="J21185" s="42">
        <v>45604</v>
      </c>
      <c r="K21185" s="33" t="s">
        <v>22</v>
      </c>
    </row>
    <row r="21186" spans="1:11">
      <c r="A21186" s="30" t="s">
        <v>46962</v>
      </c>
      <c r="B21186" s="30" t="s">
        <v>46963</v>
      </c>
      <c r="C21186" s="30" t="s">
        <v>46964</v>
      </c>
      <c r="D21186" s="30" t="s">
        <v>17</v>
      </c>
      <c r="E21186" s="30" t="s">
        <v>67</v>
      </c>
      <c r="F21186" s="30" t="s">
        <v>68</v>
      </c>
      <c r="G21186" s="30" t="s">
        <v>112</v>
      </c>
      <c r="H21186" s="32">
        <v>0</v>
      </c>
      <c r="I21186" s="30" t="s">
        <v>21</v>
      </c>
      <c r="J21186" s="41">
        <v>45627</v>
      </c>
      <c r="K21186" s="30" t="s">
        <v>22</v>
      </c>
    </row>
    <row r="21187" spans="1:11">
      <c r="A21187" s="33" t="s">
        <v>46965</v>
      </c>
      <c r="B21187" s="33" t="s">
        <v>46966</v>
      </c>
      <c r="C21187" s="33" t="s">
        <v>8528</v>
      </c>
      <c r="D21187" s="33" t="s">
        <v>17</v>
      </c>
      <c r="E21187" s="33" t="s">
        <v>18</v>
      </c>
      <c r="F21187" s="33" t="s">
        <v>19</v>
      </c>
      <c r="G21187" s="33" t="s">
        <v>140</v>
      </c>
      <c r="H21187" s="35">
        <v>170</v>
      </c>
      <c r="I21187" s="33" t="s">
        <v>51</v>
      </c>
      <c r="J21187" s="42">
        <v>45442</v>
      </c>
      <c r="K21187" s="33" t="s">
        <v>22</v>
      </c>
    </row>
    <row r="21188" spans="1:11">
      <c r="A21188" s="30" t="s">
        <v>46967</v>
      </c>
      <c r="B21188" s="30" t="s">
        <v>46968</v>
      </c>
      <c r="C21188" s="30" t="s">
        <v>136</v>
      </c>
      <c r="D21188" s="30" t="s">
        <v>17</v>
      </c>
      <c r="E21188" s="30" t="s">
        <v>26</v>
      </c>
      <c r="F21188" s="30" t="s">
        <v>27</v>
      </c>
      <c r="G21188" s="30" t="s">
        <v>20</v>
      </c>
      <c r="H21188" s="32">
        <v>132</v>
      </c>
      <c r="I21188" s="30" t="s">
        <v>21</v>
      </c>
      <c r="J21188" s="41">
        <v>45520</v>
      </c>
      <c r="K21188" s="30" t="s">
        <v>22</v>
      </c>
    </row>
    <row r="21189" spans="1:11">
      <c r="A21189" s="33" t="s">
        <v>46969</v>
      </c>
      <c r="B21189" s="33" t="s">
        <v>46970</v>
      </c>
      <c r="C21189" s="33" t="s">
        <v>2490</v>
      </c>
      <c r="D21189" s="33" t="s">
        <v>17</v>
      </c>
      <c r="E21189" s="33" t="s">
        <v>26</v>
      </c>
      <c r="F21189" s="33" t="s">
        <v>27</v>
      </c>
      <c r="G21189" s="33" t="s">
        <v>50</v>
      </c>
      <c r="H21189" s="35">
        <v>60</v>
      </c>
      <c r="I21189" s="33" t="s">
        <v>51</v>
      </c>
      <c r="J21189" s="42">
        <v>45422</v>
      </c>
      <c r="K21189" s="33" t="s">
        <v>22</v>
      </c>
    </row>
    <row r="21190" spans="1:11">
      <c r="A21190" s="30" t="s">
        <v>46971</v>
      </c>
      <c r="B21190" s="30" t="s">
        <v>46972</v>
      </c>
      <c r="C21190" s="30" t="s">
        <v>2382</v>
      </c>
      <c r="D21190" s="30" t="s">
        <v>17</v>
      </c>
      <c r="E21190" s="30" t="s">
        <v>67</v>
      </c>
      <c r="F21190" s="30" t="s">
        <v>68</v>
      </c>
      <c r="G21190" s="30" t="s">
        <v>140</v>
      </c>
      <c r="H21190" s="32">
        <v>334</v>
      </c>
      <c r="I21190" s="30" t="s">
        <v>51</v>
      </c>
      <c r="J21190" s="41">
        <v>45618</v>
      </c>
      <c r="K21190" s="30" t="s">
        <v>22</v>
      </c>
    </row>
    <row r="21191" spans="1:11">
      <c r="A21191" s="33" t="s">
        <v>46973</v>
      </c>
      <c r="B21191" s="33" t="s">
        <v>46974</v>
      </c>
      <c r="C21191" s="33" t="s">
        <v>15718</v>
      </c>
      <c r="D21191" s="33" t="s">
        <v>17</v>
      </c>
      <c r="E21191" s="33" t="s">
        <v>26</v>
      </c>
      <c r="F21191" s="33" t="s">
        <v>27</v>
      </c>
      <c r="G21191" s="33" t="s">
        <v>20</v>
      </c>
      <c r="H21191" s="35">
        <v>114</v>
      </c>
      <c r="I21191" s="33" t="s">
        <v>21</v>
      </c>
      <c r="J21191" s="42">
        <v>45594</v>
      </c>
      <c r="K21191" s="33" t="s">
        <v>22</v>
      </c>
    </row>
    <row r="21192" spans="1:11">
      <c r="A21192" s="30" t="s">
        <v>46975</v>
      </c>
      <c r="B21192" s="30" t="s">
        <v>46976</v>
      </c>
      <c r="C21192" s="30" t="s">
        <v>46977</v>
      </c>
      <c r="D21192" s="30" t="s">
        <v>17</v>
      </c>
      <c r="E21192" s="30" t="s">
        <v>31</v>
      </c>
      <c r="F21192" s="30" t="s">
        <v>32</v>
      </c>
      <c r="G21192" s="30" t="s">
        <v>20</v>
      </c>
      <c r="H21192" s="32">
        <v>304</v>
      </c>
      <c r="I21192" s="30" t="s">
        <v>21</v>
      </c>
      <c r="J21192" s="41">
        <v>45337</v>
      </c>
      <c r="K21192" s="30" t="s">
        <v>22</v>
      </c>
    </row>
    <row r="21193" spans="1:11">
      <c r="A21193" s="33" t="s">
        <v>46978</v>
      </c>
      <c r="B21193" s="33" t="s">
        <v>46979</v>
      </c>
      <c r="C21193" s="33" t="s">
        <v>203</v>
      </c>
      <c r="D21193" s="33" t="s">
        <v>17</v>
      </c>
      <c r="E21193" s="33" t="s">
        <v>212</v>
      </c>
      <c r="F21193" s="33" t="s">
        <v>213</v>
      </c>
      <c r="G21193" s="33" t="s">
        <v>140</v>
      </c>
      <c r="H21193" s="35">
        <v>20</v>
      </c>
      <c r="I21193" s="33" t="s">
        <v>51</v>
      </c>
      <c r="J21193" s="42">
        <v>45352</v>
      </c>
      <c r="K21193" s="33" t="s">
        <v>22</v>
      </c>
    </row>
    <row r="21194" spans="1:11">
      <c r="A21194" s="30" t="s">
        <v>46980</v>
      </c>
      <c r="B21194" s="30" t="s">
        <v>46981</v>
      </c>
      <c r="C21194" s="30" t="s">
        <v>13508</v>
      </c>
      <c r="D21194" s="30" t="s">
        <v>17</v>
      </c>
      <c r="E21194" s="30" t="s">
        <v>18</v>
      </c>
      <c r="F21194" s="30" t="s">
        <v>19</v>
      </c>
      <c r="G21194" s="30" t="s">
        <v>140</v>
      </c>
      <c r="H21194" s="32">
        <v>360</v>
      </c>
      <c r="I21194" s="30" t="s">
        <v>51</v>
      </c>
      <c r="J21194" s="41">
        <v>45457</v>
      </c>
      <c r="K21194" s="30" t="s">
        <v>22</v>
      </c>
    </row>
    <row r="21195" spans="1:11">
      <c r="A21195" s="33" t="s">
        <v>46982</v>
      </c>
      <c r="B21195" s="33" t="s">
        <v>46983</v>
      </c>
      <c r="C21195" s="33" t="s">
        <v>10311</v>
      </c>
      <c r="D21195" s="33" t="s">
        <v>17</v>
      </c>
      <c r="E21195" s="33" t="s">
        <v>31</v>
      </c>
      <c r="F21195" s="33" t="s">
        <v>32</v>
      </c>
      <c r="G21195" s="33" t="s">
        <v>106</v>
      </c>
      <c r="H21195" s="35">
        <v>17</v>
      </c>
      <c r="I21195" s="33" t="s">
        <v>21</v>
      </c>
      <c r="J21195" s="42">
        <v>45645</v>
      </c>
      <c r="K21195" s="33" t="s">
        <v>22</v>
      </c>
    </row>
    <row r="21196" spans="1:11">
      <c r="A21196" s="30" t="s">
        <v>46984</v>
      </c>
      <c r="B21196" s="30" t="s">
        <v>46985</v>
      </c>
      <c r="C21196" s="30" t="s">
        <v>118</v>
      </c>
      <c r="D21196" s="30" t="s">
        <v>17</v>
      </c>
      <c r="E21196" s="30" t="s">
        <v>26</v>
      </c>
      <c r="F21196" s="30" t="s">
        <v>27</v>
      </c>
      <c r="G21196" s="30" t="s">
        <v>20</v>
      </c>
      <c r="H21196" s="32">
        <v>8</v>
      </c>
      <c r="I21196" s="30" t="s">
        <v>21</v>
      </c>
      <c r="J21196" s="41">
        <v>45316</v>
      </c>
      <c r="K21196" s="30" t="s">
        <v>22</v>
      </c>
    </row>
    <row r="21197" spans="1:11">
      <c r="A21197" s="33" t="s">
        <v>46986</v>
      </c>
      <c r="B21197" s="33" t="s">
        <v>46987</v>
      </c>
      <c r="C21197" s="33" t="s">
        <v>450</v>
      </c>
      <c r="D21197" s="33" t="s">
        <v>17</v>
      </c>
      <c r="E21197" s="33" t="s">
        <v>26</v>
      </c>
      <c r="F21197" s="33" t="s">
        <v>27</v>
      </c>
      <c r="G21197" s="33" t="s">
        <v>20</v>
      </c>
      <c r="H21197" s="35">
        <v>60</v>
      </c>
      <c r="I21197" s="33" t="s">
        <v>21</v>
      </c>
      <c r="J21197" s="42">
        <v>45308</v>
      </c>
      <c r="K21197" s="33" t="s">
        <v>22</v>
      </c>
    </row>
    <row r="21198" spans="1:11">
      <c r="A21198" s="30" t="s">
        <v>46988</v>
      </c>
      <c r="B21198" s="30" t="s">
        <v>46989</v>
      </c>
      <c r="C21198" s="30" t="s">
        <v>96</v>
      </c>
      <c r="D21198" s="30" t="s">
        <v>17</v>
      </c>
      <c r="E21198" s="30" t="s">
        <v>26</v>
      </c>
      <c r="F21198" s="30" t="s">
        <v>27</v>
      </c>
      <c r="G21198" s="30" t="s">
        <v>20</v>
      </c>
      <c r="H21198" s="32">
        <v>22</v>
      </c>
      <c r="I21198" s="30" t="s">
        <v>21</v>
      </c>
      <c r="J21198" s="41">
        <v>45646</v>
      </c>
      <c r="K21198" s="30" t="s">
        <v>22</v>
      </c>
    </row>
    <row r="21199" spans="1:11">
      <c r="A21199" s="33" t="s">
        <v>46990</v>
      </c>
      <c r="B21199" s="33" t="s">
        <v>46991</v>
      </c>
      <c r="C21199" s="33" t="s">
        <v>647</v>
      </c>
      <c r="D21199" s="33" t="s">
        <v>17</v>
      </c>
      <c r="E21199" s="33" t="s">
        <v>67</v>
      </c>
      <c r="F21199" s="33" t="s">
        <v>68</v>
      </c>
      <c r="G21199" s="33" t="s">
        <v>140</v>
      </c>
      <c r="H21199" s="35">
        <v>210</v>
      </c>
      <c r="I21199" s="33" t="s">
        <v>51</v>
      </c>
      <c r="J21199" s="42">
        <v>45511</v>
      </c>
      <c r="K21199" s="33" t="s">
        <v>22</v>
      </c>
    </row>
    <row r="21200" spans="1:11">
      <c r="A21200" s="30" t="s">
        <v>46992</v>
      </c>
      <c r="B21200" s="30" t="s">
        <v>46993</v>
      </c>
      <c r="C21200" s="30" t="s">
        <v>1165</v>
      </c>
      <c r="D21200" s="30" t="s">
        <v>17</v>
      </c>
      <c r="E21200" s="30" t="s">
        <v>212</v>
      </c>
      <c r="F21200" s="30" t="s">
        <v>213</v>
      </c>
      <c r="G21200" s="30" t="s">
        <v>20</v>
      </c>
      <c r="H21200" s="32">
        <v>23</v>
      </c>
      <c r="I21200" s="30" t="s">
        <v>21</v>
      </c>
      <c r="J21200" s="41">
        <v>45636</v>
      </c>
      <c r="K21200" s="30" t="s">
        <v>22</v>
      </c>
    </row>
    <row r="21201" spans="1:11">
      <c r="A21201" s="33" t="s">
        <v>46994</v>
      </c>
      <c r="B21201" s="33" t="s">
        <v>46995</v>
      </c>
      <c r="C21201" s="33" t="s">
        <v>2354</v>
      </c>
      <c r="D21201" s="33" t="s">
        <v>17</v>
      </c>
      <c r="E21201" s="33" t="s">
        <v>31</v>
      </c>
      <c r="F21201" s="33" t="s">
        <v>32</v>
      </c>
      <c r="G21201" s="33" t="s">
        <v>20</v>
      </c>
      <c r="H21201" s="35">
        <v>231</v>
      </c>
      <c r="I21201" s="33" t="s">
        <v>21</v>
      </c>
      <c r="J21201" s="42">
        <v>45294</v>
      </c>
      <c r="K21201" s="33" t="s">
        <v>22</v>
      </c>
    </row>
    <row r="21202" spans="1:11">
      <c r="A21202" s="30" t="s">
        <v>46996</v>
      </c>
      <c r="B21202" s="30" t="s">
        <v>46997</v>
      </c>
      <c r="C21202" s="30" t="s">
        <v>2228</v>
      </c>
      <c r="D21202" s="30" t="s">
        <v>17</v>
      </c>
      <c r="E21202" s="30" t="s">
        <v>67</v>
      </c>
      <c r="F21202" s="30" t="s">
        <v>68</v>
      </c>
      <c r="G21202" s="30" t="s">
        <v>140</v>
      </c>
      <c r="H21202" s="32">
        <v>144</v>
      </c>
      <c r="I21202" s="30" t="s">
        <v>51</v>
      </c>
      <c r="J21202" s="41">
        <v>45376</v>
      </c>
      <c r="K21202" s="30" t="s">
        <v>22</v>
      </c>
    </row>
    <row r="21203" spans="1:11">
      <c r="A21203" s="33" t="s">
        <v>46998</v>
      </c>
      <c r="B21203" s="33" t="s">
        <v>46999</v>
      </c>
      <c r="C21203" s="33" t="s">
        <v>36054</v>
      </c>
      <c r="D21203" s="33" t="s">
        <v>17</v>
      </c>
      <c r="E21203" s="33" t="s">
        <v>26</v>
      </c>
      <c r="F21203" s="33" t="s">
        <v>27</v>
      </c>
      <c r="G21203" s="33" t="s">
        <v>140</v>
      </c>
      <c r="H21203" s="35">
        <v>280</v>
      </c>
      <c r="I21203" s="33" t="s">
        <v>51</v>
      </c>
      <c r="J21203" s="42">
        <v>45316</v>
      </c>
      <c r="K21203" s="33" t="s">
        <v>22</v>
      </c>
    </row>
    <row r="21204" spans="1:11">
      <c r="A21204" s="30" t="s">
        <v>47000</v>
      </c>
      <c r="B21204" s="30" t="s">
        <v>47001</v>
      </c>
      <c r="C21204" s="30" t="s">
        <v>15434</v>
      </c>
      <c r="D21204" s="30" t="s">
        <v>17</v>
      </c>
      <c r="E21204" s="30" t="s">
        <v>26</v>
      </c>
      <c r="F21204" s="30" t="s">
        <v>27</v>
      </c>
      <c r="G21204" s="30" t="s">
        <v>20</v>
      </c>
      <c r="H21204" s="32">
        <v>48</v>
      </c>
      <c r="I21204" s="30" t="s">
        <v>21</v>
      </c>
      <c r="J21204" s="41">
        <v>45299</v>
      </c>
      <c r="K21204" s="30" t="s">
        <v>22</v>
      </c>
    </row>
    <row r="21205" spans="1:11">
      <c r="A21205" s="33" t="s">
        <v>47002</v>
      </c>
      <c r="B21205" s="33" t="s">
        <v>47003</v>
      </c>
      <c r="C21205" s="33" t="s">
        <v>231</v>
      </c>
      <c r="D21205" s="33" t="s">
        <v>17</v>
      </c>
      <c r="E21205" s="33" t="s">
        <v>26</v>
      </c>
      <c r="F21205" s="33" t="s">
        <v>27</v>
      </c>
      <c r="G21205" s="33" t="s">
        <v>158</v>
      </c>
      <c r="H21205" s="35">
        <v>20</v>
      </c>
      <c r="I21205" s="33" t="s">
        <v>51</v>
      </c>
      <c r="J21205" s="42">
        <v>45321</v>
      </c>
      <c r="K21205" s="33" t="s">
        <v>22</v>
      </c>
    </row>
    <row r="21206" spans="1:11">
      <c r="A21206" s="30" t="s">
        <v>47004</v>
      </c>
      <c r="B21206" s="30" t="s">
        <v>47005</v>
      </c>
      <c r="C21206" s="30" t="s">
        <v>13335</v>
      </c>
      <c r="D21206" s="30" t="s">
        <v>17</v>
      </c>
      <c r="E21206" s="30" t="s">
        <v>26</v>
      </c>
      <c r="F21206" s="30" t="s">
        <v>27</v>
      </c>
      <c r="G21206" s="30" t="s">
        <v>140</v>
      </c>
      <c r="H21206" s="32">
        <v>100</v>
      </c>
      <c r="I21206" s="30" t="s">
        <v>51</v>
      </c>
      <c r="J21206" s="41">
        <v>45447</v>
      </c>
      <c r="K21206" s="30" t="s">
        <v>22</v>
      </c>
    </row>
    <row r="21207" spans="1:11">
      <c r="A21207" s="33" t="s">
        <v>47006</v>
      </c>
      <c r="B21207" s="33" t="s">
        <v>47007</v>
      </c>
      <c r="C21207" s="33" t="s">
        <v>20029</v>
      </c>
      <c r="D21207" s="33" t="s">
        <v>17</v>
      </c>
      <c r="E21207" s="33" t="s">
        <v>26</v>
      </c>
      <c r="F21207" s="33" t="s">
        <v>27</v>
      </c>
      <c r="G21207" s="33" t="s">
        <v>140</v>
      </c>
      <c r="H21207" s="35">
        <v>9</v>
      </c>
      <c r="I21207" s="33" t="s">
        <v>51</v>
      </c>
      <c r="J21207" s="42">
        <v>45296</v>
      </c>
      <c r="K21207" s="33" t="s">
        <v>22</v>
      </c>
    </row>
    <row r="21208" spans="1:11">
      <c r="A21208" s="30" t="s">
        <v>47008</v>
      </c>
      <c r="B21208" s="30" t="s">
        <v>47009</v>
      </c>
      <c r="C21208" s="30" t="s">
        <v>31283</v>
      </c>
      <c r="D21208" s="30" t="s">
        <v>17</v>
      </c>
      <c r="E21208" s="30" t="s">
        <v>31</v>
      </c>
      <c r="F21208" s="30" t="s">
        <v>32</v>
      </c>
      <c r="G21208" s="30" t="s">
        <v>7780</v>
      </c>
      <c r="H21208" s="32">
        <v>20</v>
      </c>
      <c r="I21208" s="30" t="s">
        <v>51</v>
      </c>
      <c r="J21208" s="41">
        <v>45352</v>
      </c>
      <c r="K21208" s="30" t="s">
        <v>22</v>
      </c>
    </row>
    <row r="21209" spans="1:11">
      <c r="A21209" s="33" t="s">
        <v>47010</v>
      </c>
      <c r="B21209" s="33" t="s">
        <v>47011</v>
      </c>
      <c r="C21209" s="33" t="s">
        <v>2753</v>
      </c>
      <c r="D21209" s="33" t="s">
        <v>17</v>
      </c>
      <c r="E21209" s="33" t="s">
        <v>26</v>
      </c>
      <c r="F21209" s="33" t="s">
        <v>27</v>
      </c>
      <c r="G21209" s="33" t="s">
        <v>106</v>
      </c>
      <c r="H21209" s="35">
        <v>33</v>
      </c>
      <c r="I21209" s="33" t="s">
        <v>21</v>
      </c>
      <c r="J21209" s="42">
        <v>45631</v>
      </c>
      <c r="K21209" s="33" t="s">
        <v>22</v>
      </c>
    </row>
    <row r="21210" spans="1:11">
      <c r="A21210" s="30" t="s">
        <v>47012</v>
      </c>
      <c r="B21210" s="30" t="s">
        <v>47013</v>
      </c>
      <c r="C21210" s="30" t="s">
        <v>5043</v>
      </c>
      <c r="D21210" s="30" t="s">
        <v>17</v>
      </c>
      <c r="E21210" s="30" t="s">
        <v>18</v>
      </c>
      <c r="F21210" s="30" t="s">
        <v>19</v>
      </c>
      <c r="G21210" s="30" t="s">
        <v>2613</v>
      </c>
      <c r="H21210" s="32">
        <v>30</v>
      </c>
      <c r="I21210" s="30" t="s">
        <v>51</v>
      </c>
      <c r="J21210" s="41">
        <v>45586</v>
      </c>
      <c r="K21210" s="30" t="s">
        <v>22</v>
      </c>
    </row>
    <row r="21211" spans="1:11">
      <c r="A21211" s="33" t="s">
        <v>47014</v>
      </c>
      <c r="B21211" s="33" t="s">
        <v>47015</v>
      </c>
      <c r="C21211" s="33" t="s">
        <v>47016</v>
      </c>
      <c r="D21211" s="33" t="s">
        <v>17</v>
      </c>
      <c r="E21211" s="33" t="s">
        <v>18</v>
      </c>
      <c r="F21211" s="33" t="s">
        <v>19</v>
      </c>
      <c r="G21211" s="33" t="s">
        <v>140</v>
      </c>
      <c r="H21211" s="35">
        <v>75</v>
      </c>
      <c r="I21211" s="33" t="s">
        <v>51</v>
      </c>
      <c r="J21211" s="42">
        <v>45565</v>
      </c>
      <c r="K21211" s="33" t="s">
        <v>22</v>
      </c>
    </row>
    <row r="21212" spans="1:11">
      <c r="A21212" s="30" t="s">
        <v>47017</v>
      </c>
      <c r="B21212" s="30" t="s">
        <v>47018</v>
      </c>
      <c r="C21212" s="30" t="s">
        <v>549</v>
      </c>
      <c r="D21212" s="30" t="s">
        <v>17</v>
      </c>
      <c r="E21212" s="30" t="s">
        <v>26</v>
      </c>
      <c r="F21212" s="30" t="s">
        <v>27</v>
      </c>
      <c r="G21212" s="30" t="s">
        <v>20</v>
      </c>
      <c r="H21212" s="32">
        <v>40</v>
      </c>
      <c r="I21212" s="30" t="s">
        <v>21</v>
      </c>
      <c r="J21212" s="41">
        <v>45474</v>
      </c>
      <c r="K21212" s="30" t="s">
        <v>22</v>
      </c>
    </row>
    <row r="21213" spans="1:11">
      <c r="A21213" s="33" t="s">
        <v>47019</v>
      </c>
      <c r="B21213" s="33" t="s">
        <v>47020</v>
      </c>
      <c r="C21213" s="33" t="s">
        <v>5158</v>
      </c>
      <c r="D21213" s="33" t="s">
        <v>17</v>
      </c>
      <c r="E21213" s="33" t="s">
        <v>18</v>
      </c>
      <c r="F21213" s="33" t="s">
        <v>19</v>
      </c>
      <c r="G21213" s="33" t="s">
        <v>140</v>
      </c>
      <c r="H21213" s="35">
        <v>6</v>
      </c>
      <c r="I21213" s="33" t="s">
        <v>51</v>
      </c>
      <c r="J21213" s="42">
        <v>45627</v>
      </c>
      <c r="K21213" s="33" t="s">
        <v>22</v>
      </c>
    </row>
    <row r="21214" spans="1:11">
      <c r="A21214" s="30" t="s">
        <v>47021</v>
      </c>
      <c r="B21214" s="30" t="s">
        <v>47022</v>
      </c>
      <c r="C21214" s="30" t="s">
        <v>78</v>
      </c>
      <c r="D21214" s="30" t="s">
        <v>17</v>
      </c>
      <c r="E21214" s="30" t="s">
        <v>26</v>
      </c>
      <c r="F21214" s="30" t="s">
        <v>27</v>
      </c>
      <c r="G21214" s="30" t="s">
        <v>20</v>
      </c>
      <c r="H21214" s="32">
        <v>51</v>
      </c>
      <c r="I21214" s="30" t="s">
        <v>21</v>
      </c>
      <c r="J21214" s="41">
        <v>45373</v>
      </c>
      <c r="K21214" s="30" t="s">
        <v>22</v>
      </c>
    </row>
    <row r="21215" spans="1:11">
      <c r="A21215" s="33" t="s">
        <v>47023</v>
      </c>
      <c r="B21215" s="33" t="s">
        <v>47024</v>
      </c>
      <c r="C21215" s="33" t="s">
        <v>15924</v>
      </c>
      <c r="D21215" s="33" t="s">
        <v>17</v>
      </c>
      <c r="E21215" s="33" t="s">
        <v>31</v>
      </c>
      <c r="F21215" s="33" t="s">
        <v>32</v>
      </c>
      <c r="G21215" s="33" t="s">
        <v>158</v>
      </c>
      <c r="H21215" s="35">
        <v>121</v>
      </c>
      <c r="I21215" s="33" t="s">
        <v>21</v>
      </c>
      <c r="J21215" s="42">
        <v>45569</v>
      </c>
      <c r="K21215" s="33" t="s">
        <v>22</v>
      </c>
    </row>
    <row r="21216" spans="1:11">
      <c r="A21216" s="30" t="s">
        <v>47025</v>
      </c>
      <c r="B21216" s="30" t="s">
        <v>47026</v>
      </c>
      <c r="C21216" s="30" t="s">
        <v>34959</v>
      </c>
      <c r="D21216" s="30" t="s">
        <v>17</v>
      </c>
      <c r="E21216" s="30" t="s">
        <v>67</v>
      </c>
      <c r="F21216" s="30" t="s">
        <v>68</v>
      </c>
      <c r="G21216" s="30" t="s">
        <v>158</v>
      </c>
      <c r="H21216" s="32">
        <v>60</v>
      </c>
      <c r="I21216" s="30" t="s">
        <v>51</v>
      </c>
      <c r="J21216" s="41">
        <v>45328</v>
      </c>
      <c r="K21216" s="30" t="s">
        <v>22</v>
      </c>
    </row>
    <row r="21217" spans="1:11">
      <c r="A21217" s="33" t="s">
        <v>47027</v>
      </c>
      <c r="B21217" s="33" t="s">
        <v>47028</v>
      </c>
      <c r="C21217" s="33" t="s">
        <v>136</v>
      </c>
      <c r="D21217" s="33" t="s">
        <v>17</v>
      </c>
      <c r="E21217" s="33" t="s">
        <v>26</v>
      </c>
      <c r="F21217" s="33" t="s">
        <v>27</v>
      </c>
      <c r="G21217" s="33" t="s">
        <v>20</v>
      </c>
      <c r="H21217" s="35">
        <v>30</v>
      </c>
      <c r="I21217" s="33" t="s">
        <v>21</v>
      </c>
      <c r="J21217" s="42">
        <v>45303</v>
      </c>
      <c r="K21217" s="33" t="s">
        <v>22</v>
      </c>
    </row>
    <row r="21218" spans="1:11">
      <c r="A21218" s="30" t="s">
        <v>47029</v>
      </c>
      <c r="B21218" s="30" t="s">
        <v>47030</v>
      </c>
      <c r="C21218" s="30" t="s">
        <v>15585</v>
      </c>
      <c r="D21218" s="30" t="s">
        <v>17</v>
      </c>
      <c r="E21218" s="30" t="s">
        <v>31</v>
      </c>
      <c r="F21218" s="30" t="s">
        <v>32</v>
      </c>
      <c r="G21218" s="30" t="s">
        <v>140</v>
      </c>
      <c r="H21218" s="32">
        <v>369</v>
      </c>
      <c r="I21218" s="30" t="s">
        <v>51</v>
      </c>
      <c r="J21218" s="41">
        <v>45449</v>
      </c>
      <c r="K21218" s="30" t="s">
        <v>22</v>
      </c>
    </row>
    <row r="21219" spans="1:11">
      <c r="A21219" s="33" t="s">
        <v>47031</v>
      </c>
      <c r="B21219" s="33" t="s">
        <v>47032</v>
      </c>
      <c r="C21219" s="33" t="s">
        <v>231</v>
      </c>
      <c r="D21219" s="33" t="s">
        <v>17</v>
      </c>
      <c r="E21219" s="33" t="s">
        <v>26</v>
      </c>
      <c r="F21219" s="33" t="s">
        <v>27</v>
      </c>
      <c r="G21219" s="33" t="s">
        <v>20</v>
      </c>
      <c r="H21219" s="35">
        <v>64</v>
      </c>
      <c r="I21219" s="33" t="s">
        <v>21</v>
      </c>
      <c r="J21219" s="42">
        <v>45447</v>
      </c>
      <c r="K21219" s="33" t="s">
        <v>22</v>
      </c>
    </row>
    <row r="21220" spans="1:11">
      <c r="A21220" s="30" t="s">
        <v>47033</v>
      </c>
      <c r="B21220" s="30" t="s">
        <v>47034</v>
      </c>
      <c r="C21220" s="30" t="s">
        <v>96</v>
      </c>
      <c r="D21220" s="30" t="s">
        <v>17</v>
      </c>
      <c r="E21220" s="30" t="s">
        <v>26</v>
      </c>
      <c r="F21220" s="30" t="s">
        <v>27</v>
      </c>
      <c r="G21220" s="30" t="s">
        <v>20</v>
      </c>
      <c r="H21220" s="32">
        <v>82</v>
      </c>
      <c r="I21220" s="30" t="s">
        <v>21</v>
      </c>
      <c r="J21220" s="41">
        <v>45532</v>
      </c>
      <c r="K21220" s="30" t="s">
        <v>22</v>
      </c>
    </row>
    <row r="21221" spans="1:11">
      <c r="A21221" s="33" t="s">
        <v>47035</v>
      </c>
      <c r="B21221" s="33" t="s">
        <v>47036</v>
      </c>
      <c r="C21221" s="33" t="s">
        <v>329</v>
      </c>
      <c r="D21221" s="33" t="s">
        <v>17</v>
      </c>
      <c r="E21221" s="33" t="s">
        <v>45</v>
      </c>
      <c r="F21221" s="33" t="s">
        <v>46</v>
      </c>
      <c r="G21221" s="33" t="s">
        <v>158</v>
      </c>
      <c r="H21221" s="35">
        <v>1820</v>
      </c>
      <c r="I21221" s="33" t="s">
        <v>21</v>
      </c>
      <c r="J21221" s="42">
        <v>45646</v>
      </c>
      <c r="K21221" s="33" t="s">
        <v>22</v>
      </c>
    </row>
    <row r="21222" spans="1:11">
      <c r="A21222" s="30" t="s">
        <v>47037</v>
      </c>
      <c r="B21222" s="30" t="s">
        <v>47038</v>
      </c>
      <c r="C21222" s="30" t="s">
        <v>47039</v>
      </c>
      <c r="D21222" s="30" t="s">
        <v>17</v>
      </c>
      <c r="E21222" s="30" t="s">
        <v>26</v>
      </c>
      <c r="F21222" s="30" t="s">
        <v>27</v>
      </c>
      <c r="G21222" s="30" t="s">
        <v>140</v>
      </c>
      <c r="H21222" s="32">
        <v>76</v>
      </c>
      <c r="I21222" s="30" t="s">
        <v>51</v>
      </c>
      <c r="J21222" s="41">
        <v>45588</v>
      </c>
      <c r="K21222" s="30" t="s">
        <v>22</v>
      </c>
    </row>
    <row r="21223" spans="1:11">
      <c r="A21223" s="33" t="s">
        <v>47040</v>
      </c>
      <c r="B21223" s="33" t="s">
        <v>47041</v>
      </c>
      <c r="C21223" s="33" t="s">
        <v>1504</v>
      </c>
      <c r="D21223" s="33" t="s">
        <v>17</v>
      </c>
      <c r="E21223" s="33" t="s">
        <v>26</v>
      </c>
      <c r="F21223" s="33" t="s">
        <v>27</v>
      </c>
      <c r="G21223" s="33" t="s">
        <v>140</v>
      </c>
      <c r="H21223" s="35">
        <v>40</v>
      </c>
      <c r="I21223" s="33" t="s">
        <v>51</v>
      </c>
      <c r="J21223" s="42">
        <v>45656</v>
      </c>
      <c r="K21223" s="33" t="s">
        <v>22</v>
      </c>
    </row>
    <row r="21224" spans="1:11">
      <c r="A21224" s="30" t="s">
        <v>47042</v>
      </c>
      <c r="B21224" s="30" t="s">
        <v>47043</v>
      </c>
      <c r="C21224" s="30" t="s">
        <v>1981</v>
      </c>
      <c r="D21224" s="30" t="s">
        <v>17</v>
      </c>
      <c r="E21224" s="30" t="s">
        <v>18</v>
      </c>
      <c r="F21224" s="30" t="s">
        <v>19</v>
      </c>
      <c r="G21224" s="30" t="s">
        <v>140</v>
      </c>
      <c r="H21224" s="32">
        <v>400</v>
      </c>
      <c r="I21224" s="30" t="s">
        <v>51</v>
      </c>
      <c r="J21224" s="41">
        <v>45484</v>
      </c>
      <c r="K21224" s="30" t="s">
        <v>22</v>
      </c>
    </row>
    <row r="21225" spans="1:11">
      <c r="A21225" s="33" t="s">
        <v>47044</v>
      </c>
      <c r="B21225" s="33" t="s">
        <v>47045</v>
      </c>
      <c r="C21225" s="33" t="s">
        <v>17501</v>
      </c>
      <c r="D21225" s="33" t="s">
        <v>17</v>
      </c>
      <c r="E21225" s="33" t="s">
        <v>26</v>
      </c>
      <c r="F21225" s="33" t="s">
        <v>27</v>
      </c>
      <c r="G21225" s="33" t="s">
        <v>20</v>
      </c>
      <c r="H21225" s="35">
        <v>50</v>
      </c>
      <c r="I21225" s="33" t="s">
        <v>21</v>
      </c>
      <c r="J21225" s="42">
        <v>45385</v>
      </c>
      <c r="K21225" s="33" t="s">
        <v>22</v>
      </c>
    </row>
    <row r="21226" spans="1:11">
      <c r="A21226" s="30" t="s">
        <v>47046</v>
      </c>
      <c r="B21226" s="30" t="s">
        <v>47047</v>
      </c>
      <c r="C21226" s="30" t="s">
        <v>647</v>
      </c>
      <c r="D21226" s="30" t="s">
        <v>17</v>
      </c>
      <c r="E21226" s="30" t="s">
        <v>31</v>
      </c>
      <c r="F21226" s="30" t="s">
        <v>32</v>
      </c>
      <c r="G21226" s="30" t="s">
        <v>106</v>
      </c>
      <c r="H21226" s="32">
        <v>369</v>
      </c>
      <c r="I21226" s="30" t="s">
        <v>21</v>
      </c>
      <c r="J21226" s="41">
        <v>45642</v>
      </c>
      <c r="K21226" s="30" t="s">
        <v>22</v>
      </c>
    </row>
    <row r="21227" spans="1:11">
      <c r="A21227" s="33" t="s">
        <v>47048</v>
      </c>
      <c r="B21227" s="33" t="s">
        <v>47049</v>
      </c>
      <c r="C21227" s="33" t="s">
        <v>2562</v>
      </c>
      <c r="D21227" s="33" t="s">
        <v>17</v>
      </c>
      <c r="E21227" s="33" t="s">
        <v>31</v>
      </c>
      <c r="F21227" s="33" t="s">
        <v>32</v>
      </c>
      <c r="G21227" s="33" t="s">
        <v>158</v>
      </c>
      <c r="H21227" s="35">
        <v>62</v>
      </c>
      <c r="I21227" s="33" t="s">
        <v>21</v>
      </c>
      <c r="J21227" s="42">
        <v>45607</v>
      </c>
      <c r="K21227" s="33" t="s">
        <v>22</v>
      </c>
    </row>
    <row r="21228" spans="1:11">
      <c r="A21228" s="30" t="s">
        <v>47050</v>
      </c>
      <c r="B21228" s="30" t="s">
        <v>47051</v>
      </c>
      <c r="C21228" s="30" t="s">
        <v>47052</v>
      </c>
      <c r="D21228" s="30" t="s">
        <v>17</v>
      </c>
      <c r="E21228" s="30" t="s">
        <v>26</v>
      </c>
      <c r="F21228" s="30" t="s">
        <v>27</v>
      </c>
      <c r="G21228" s="30" t="s">
        <v>20</v>
      </c>
      <c r="H21228" s="32">
        <v>64</v>
      </c>
      <c r="I21228" s="30" t="s">
        <v>21</v>
      </c>
      <c r="J21228" s="41">
        <v>45554</v>
      </c>
      <c r="K21228" s="30" t="s">
        <v>22</v>
      </c>
    </row>
    <row r="21229" spans="1:11">
      <c r="A21229" s="33" t="s">
        <v>47053</v>
      </c>
      <c r="B21229" s="33" t="s">
        <v>47054</v>
      </c>
      <c r="C21229" s="33" t="s">
        <v>136</v>
      </c>
      <c r="D21229" s="33" t="s">
        <v>17</v>
      </c>
      <c r="E21229" s="33" t="s">
        <v>31</v>
      </c>
      <c r="F21229" s="33" t="s">
        <v>32</v>
      </c>
      <c r="G21229" s="33" t="s">
        <v>158</v>
      </c>
      <c r="H21229" s="35">
        <v>63</v>
      </c>
      <c r="I21229" s="33" t="s">
        <v>21</v>
      </c>
      <c r="J21229" s="42">
        <v>45370</v>
      </c>
      <c r="K21229" s="33" t="s">
        <v>22</v>
      </c>
    </row>
    <row r="21230" spans="1:11">
      <c r="A21230" s="30" t="s">
        <v>47055</v>
      </c>
      <c r="B21230" s="30" t="s">
        <v>47056</v>
      </c>
      <c r="C21230" s="30" t="s">
        <v>2017</v>
      </c>
      <c r="D21230" s="30" t="s">
        <v>17</v>
      </c>
      <c r="E21230" s="30" t="s">
        <v>26</v>
      </c>
      <c r="F21230" s="30" t="s">
        <v>27</v>
      </c>
      <c r="G21230" s="30" t="s">
        <v>20</v>
      </c>
      <c r="H21230" s="32">
        <v>382</v>
      </c>
      <c r="I21230" s="30" t="s">
        <v>21</v>
      </c>
      <c r="J21230" s="41">
        <v>45425</v>
      </c>
      <c r="K21230" s="30" t="s">
        <v>22</v>
      </c>
    </row>
    <row r="21231" spans="1:11">
      <c r="A21231" s="33" t="s">
        <v>47057</v>
      </c>
      <c r="B21231" s="33" t="s">
        <v>47058</v>
      </c>
      <c r="C21231" s="33" t="s">
        <v>2228</v>
      </c>
      <c r="D21231" s="33" t="s">
        <v>17</v>
      </c>
      <c r="E21231" s="33" t="s">
        <v>26</v>
      </c>
      <c r="F21231" s="33" t="s">
        <v>27</v>
      </c>
      <c r="G21231" s="33" t="s">
        <v>20</v>
      </c>
      <c r="H21231" s="35">
        <v>40</v>
      </c>
      <c r="I21231" s="33" t="s">
        <v>21</v>
      </c>
      <c r="J21231" s="42">
        <v>45369</v>
      </c>
      <c r="K21231" s="33" t="s">
        <v>22</v>
      </c>
    </row>
    <row r="21232" spans="1:11">
      <c r="A21232" s="30" t="s">
        <v>47059</v>
      </c>
      <c r="B21232" s="30" t="s">
        <v>47060</v>
      </c>
      <c r="C21232" s="30" t="s">
        <v>936</v>
      </c>
      <c r="D21232" s="30" t="s">
        <v>17</v>
      </c>
      <c r="E21232" s="30" t="s">
        <v>18</v>
      </c>
      <c r="F21232" s="30" t="s">
        <v>19</v>
      </c>
      <c r="G21232" s="30" t="s">
        <v>140</v>
      </c>
      <c r="H21232" s="32">
        <v>550</v>
      </c>
      <c r="I21232" s="30" t="s">
        <v>51</v>
      </c>
      <c r="J21232" s="41">
        <v>45517</v>
      </c>
      <c r="K21232" s="30" t="s">
        <v>22</v>
      </c>
    </row>
    <row r="21233" spans="1:11">
      <c r="A21233" s="33" t="s">
        <v>47061</v>
      </c>
      <c r="B21233" s="33" t="s">
        <v>47062</v>
      </c>
      <c r="C21233" s="33" t="s">
        <v>3934</v>
      </c>
      <c r="D21233" s="33" t="s">
        <v>17</v>
      </c>
      <c r="E21233" s="33" t="s">
        <v>45</v>
      </c>
      <c r="F21233" s="33" t="s">
        <v>46</v>
      </c>
      <c r="G21233" s="33" t="s">
        <v>140</v>
      </c>
      <c r="H21233" s="35">
        <v>230</v>
      </c>
      <c r="I21233" s="33" t="s">
        <v>51</v>
      </c>
      <c r="J21233" s="42">
        <v>45637</v>
      </c>
      <c r="K21233" s="33" t="s">
        <v>22</v>
      </c>
    </row>
    <row r="21234" spans="1:11">
      <c r="A21234" s="30" t="s">
        <v>47063</v>
      </c>
      <c r="B21234" s="30" t="s">
        <v>47064</v>
      </c>
      <c r="C21234" s="30" t="s">
        <v>93</v>
      </c>
      <c r="D21234" s="30" t="s">
        <v>17</v>
      </c>
      <c r="E21234" s="30" t="s">
        <v>26</v>
      </c>
      <c r="F21234" s="30" t="s">
        <v>27</v>
      </c>
      <c r="G21234" s="30" t="s">
        <v>158</v>
      </c>
      <c r="H21234" s="32">
        <v>152</v>
      </c>
      <c r="I21234" s="30" t="s">
        <v>21</v>
      </c>
      <c r="J21234" s="41">
        <v>45359</v>
      </c>
      <c r="K21234" s="30" t="s">
        <v>22</v>
      </c>
    </row>
    <row r="21235" spans="1:11">
      <c r="A21235" s="33" t="s">
        <v>47065</v>
      </c>
      <c r="B21235" s="33" t="s">
        <v>47066</v>
      </c>
      <c r="C21235" s="33" t="s">
        <v>34089</v>
      </c>
      <c r="D21235" s="33" t="s">
        <v>17</v>
      </c>
      <c r="E21235" s="33" t="s">
        <v>45</v>
      </c>
      <c r="F21235" s="33" t="s">
        <v>46</v>
      </c>
      <c r="G21235" s="33" t="s">
        <v>158</v>
      </c>
      <c r="H21235" s="35">
        <v>984</v>
      </c>
      <c r="I21235" s="33" t="s">
        <v>21</v>
      </c>
      <c r="J21235" s="42">
        <v>45511</v>
      </c>
      <c r="K21235" s="33" t="s">
        <v>22</v>
      </c>
    </row>
    <row r="21236" spans="1:11">
      <c r="A21236" s="30" t="s">
        <v>47067</v>
      </c>
      <c r="B21236" s="30" t="s">
        <v>47068</v>
      </c>
      <c r="C21236" s="30" t="s">
        <v>9688</v>
      </c>
      <c r="D21236" s="30" t="s">
        <v>17</v>
      </c>
      <c r="E21236" s="30" t="s">
        <v>26</v>
      </c>
      <c r="F21236" s="30" t="s">
        <v>27</v>
      </c>
      <c r="G21236" s="30" t="s">
        <v>20</v>
      </c>
      <c r="H21236" s="32">
        <v>27</v>
      </c>
      <c r="I21236" s="30" t="s">
        <v>21</v>
      </c>
      <c r="J21236" s="41">
        <v>45526</v>
      </c>
      <c r="K21236" s="30" t="s">
        <v>22</v>
      </c>
    </row>
    <row r="21237" spans="1:11">
      <c r="A21237" s="33" t="s">
        <v>47069</v>
      </c>
      <c r="B21237" s="33" t="s">
        <v>47070</v>
      </c>
      <c r="C21237" s="33" t="s">
        <v>14816</v>
      </c>
      <c r="D21237" s="33" t="s">
        <v>17</v>
      </c>
      <c r="E21237" s="33" t="s">
        <v>26</v>
      </c>
      <c r="F21237" s="33" t="s">
        <v>27</v>
      </c>
      <c r="G21237" s="33" t="s">
        <v>20</v>
      </c>
      <c r="H21237" s="35">
        <v>24</v>
      </c>
      <c r="I21237" s="33" t="s">
        <v>21</v>
      </c>
      <c r="J21237" s="42">
        <v>45575</v>
      </c>
      <c r="K21237" s="33" t="s">
        <v>22</v>
      </c>
    </row>
    <row r="21238" spans="1:11">
      <c r="A21238" s="30" t="s">
        <v>47071</v>
      </c>
      <c r="B21238" s="30" t="s">
        <v>47072</v>
      </c>
      <c r="C21238" s="30" t="s">
        <v>16597</v>
      </c>
      <c r="D21238" s="30" t="s">
        <v>17</v>
      </c>
      <c r="E21238" s="30" t="s">
        <v>18</v>
      </c>
      <c r="F21238" s="30" t="s">
        <v>19</v>
      </c>
      <c r="G21238" s="30" t="s">
        <v>20</v>
      </c>
      <c r="H21238" s="32">
        <v>367</v>
      </c>
      <c r="I21238" s="30" t="s">
        <v>21</v>
      </c>
      <c r="J21238" s="41">
        <v>45447</v>
      </c>
      <c r="K21238" s="30" t="s">
        <v>22</v>
      </c>
    </row>
    <row r="21239" spans="1:11">
      <c r="A21239" s="33" t="s">
        <v>47073</v>
      </c>
      <c r="B21239" s="33" t="s">
        <v>47074</v>
      </c>
      <c r="C21239" s="33" t="s">
        <v>136</v>
      </c>
      <c r="D21239" s="33" t="s">
        <v>17</v>
      </c>
      <c r="E21239" s="33" t="s">
        <v>18</v>
      </c>
      <c r="F21239" s="33" t="s">
        <v>19</v>
      </c>
      <c r="G21239" s="33" t="s">
        <v>20</v>
      </c>
      <c r="H21239" s="35">
        <v>55</v>
      </c>
      <c r="I21239" s="33" t="s">
        <v>21</v>
      </c>
      <c r="J21239" s="42">
        <v>45447</v>
      </c>
      <c r="K21239" s="33" t="s">
        <v>22</v>
      </c>
    </row>
    <row r="21240" spans="1:11">
      <c r="A21240" s="30" t="s">
        <v>47075</v>
      </c>
      <c r="B21240" s="30" t="s">
        <v>47076</v>
      </c>
      <c r="C21240" s="30" t="s">
        <v>47077</v>
      </c>
      <c r="D21240" s="30" t="s">
        <v>17</v>
      </c>
      <c r="E21240" s="30" t="s">
        <v>26</v>
      </c>
      <c r="F21240" s="30" t="s">
        <v>27</v>
      </c>
      <c r="G21240" s="30" t="s">
        <v>20</v>
      </c>
      <c r="H21240" s="32">
        <v>72</v>
      </c>
      <c r="I21240" s="30" t="s">
        <v>21</v>
      </c>
      <c r="J21240" s="41">
        <v>45356</v>
      </c>
      <c r="K21240" s="30" t="s">
        <v>22</v>
      </c>
    </row>
    <row r="21241" spans="1:11">
      <c r="A21241" s="33" t="s">
        <v>47078</v>
      </c>
      <c r="B21241" s="33" t="s">
        <v>47079</v>
      </c>
      <c r="C21241" s="33" t="s">
        <v>231</v>
      </c>
      <c r="D21241" s="33" t="s">
        <v>17</v>
      </c>
      <c r="E21241" s="33" t="s">
        <v>18</v>
      </c>
      <c r="F21241" s="33" t="s">
        <v>19</v>
      </c>
      <c r="G21241" s="33" t="s">
        <v>140</v>
      </c>
      <c r="H21241" s="35">
        <v>6000</v>
      </c>
      <c r="I21241" s="33" t="s">
        <v>51</v>
      </c>
      <c r="J21241" s="42">
        <v>45460</v>
      </c>
      <c r="K21241" s="33" t="s">
        <v>22</v>
      </c>
    </row>
    <row r="21242" spans="1:11">
      <c r="A21242" s="30" t="s">
        <v>47080</v>
      </c>
      <c r="B21242" s="30" t="s">
        <v>47081</v>
      </c>
      <c r="C21242" s="30" t="s">
        <v>4260</v>
      </c>
      <c r="D21242" s="30" t="s">
        <v>17</v>
      </c>
      <c r="E21242" s="30" t="s">
        <v>18</v>
      </c>
      <c r="F21242" s="30" t="s">
        <v>19</v>
      </c>
      <c r="G21242" s="30" t="s">
        <v>20</v>
      </c>
      <c r="H21242" s="32">
        <v>190</v>
      </c>
      <c r="I21242" s="30" t="s">
        <v>21</v>
      </c>
      <c r="J21242" s="41">
        <v>45408</v>
      </c>
      <c r="K21242" s="30" t="s">
        <v>22</v>
      </c>
    </row>
    <row r="21243" spans="1:11">
      <c r="A21243" s="33" t="s">
        <v>47082</v>
      </c>
      <c r="B21243" s="33" t="s">
        <v>47083</v>
      </c>
      <c r="C21243" s="33" t="s">
        <v>27939</v>
      </c>
      <c r="D21243" s="33" t="s">
        <v>17</v>
      </c>
      <c r="E21243" s="33" t="s">
        <v>67</v>
      </c>
      <c r="F21243" s="33" t="s">
        <v>68</v>
      </c>
      <c r="G21243" s="33" t="s">
        <v>140</v>
      </c>
      <c r="H21243" s="35">
        <v>30</v>
      </c>
      <c r="I21243" s="33" t="s">
        <v>51</v>
      </c>
      <c r="J21243" s="42">
        <v>45586</v>
      </c>
      <c r="K21243" s="33" t="s">
        <v>22</v>
      </c>
    </row>
    <row r="21244" spans="1:11">
      <c r="A21244" s="30" t="s">
        <v>47084</v>
      </c>
      <c r="B21244" s="30" t="s">
        <v>47085</v>
      </c>
      <c r="C21244" s="30" t="s">
        <v>27205</v>
      </c>
      <c r="D21244" s="30" t="s">
        <v>17</v>
      </c>
      <c r="E21244" s="30" t="s">
        <v>26</v>
      </c>
      <c r="F21244" s="30" t="s">
        <v>27</v>
      </c>
      <c r="G21244" s="30" t="s">
        <v>20</v>
      </c>
      <c r="H21244" s="32">
        <v>21</v>
      </c>
      <c r="I21244" s="30" t="s">
        <v>21</v>
      </c>
      <c r="J21244" s="41">
        <v>45406</v>
      </c>
      <c r="K21244" s="30" t="s">
        <v>22</v>
      </c>
    </row>
    <row r="21245" spans="1:11">
      <c r="A21245" s="33" t="s">
        <v>47086</v>
      </c>
      <c r="B21245" s="33" t="s">
        <v>47087</v>
      </c>
      <c r="C21245" s="33" t="s">
        <v>2472</v>
      </c>
      <c r="D21245" s="33" t="s">
        <v>17</v>
      </c>
      <c r="E21245" s="33" t="s">
        <v>18</v>
      </c>
      <c r="F21245" s="33" t="s">
        <v>19</v>
      </c>
      <c r="G21245" s="33" t="s">
        <v>158</v>
      </c>
      <c r="H21245" s="35">
        <v>37864</v>
      </c>
      <c r="I21245" s="33" t="s">
        <v>21</v>
      </c>
      <c r="J21245" s="42">
        <v>45559</v>
      </c>
      <c r="K21245" s="33" t="s">
        <v>22</v>
      </c>
    </row>
    <row r="21246" spans="1:11">
      <c r="A21246" s="30" t="s">
        <v>47088</v>
      </c>
      <c r="B21246" s="30" t="s">
        <v>47089</v>
      </c>
      <c r="C21246" s="30" t="s">
        <v>11599</v>
      </c>
      <c r="D21246" s="30" t="s">
        <v>17</v>
      </c>
      <c r="E21246" s="30" t="s">
        <v>18</v>
      </c>
      <c r="F21246" s="30" t="s">
        <v>19</v>
      </c>
      <c r="G21246" s="30" t="s">
        <v>20</v>
      </c>
      <c r="H21246" s="32">
        <v>180</v>
      </c>
      <c r="I21246" s="30" t="s">
        <v>21</v>
      </c>
      <c r="J21246" s="41">
        <v>45357</v>
      </c>
      <c r="K21246" s="30" t="s">
        <v>22</v>
      </c>
    </row>
    <row r="21247" spans="1:11">
      <c r="A21247" s="33" t="s">
        <v>47090</v>
      </c>
      <c r="B21247" s="33" t="s">
        <v>47091</v>
      </c>
      <c r="C21247" s="33" t="s">
        <v>3429</v>
      </c>
      <c r="D21247" s="33" t="s">
        <v>17</v>
      </c>
      <c r="E21247" s="33" t="s">
        <v>26</v>
      </c>
      <c r="F21247" s="33" t="s">
        <v>27</v>
      </c>
      <c r="G21247" s="33" t="s">
        <v>20</v>
      </c>
      <c r="H21247" s="35">
        <v>14</v>
      </c>
      <c r="I21247" s="33" t="s">
        <v>21</v>
      </c>
      <c r="J21247" s="42">
        <v>45630</v>
      </c>
      <c r="K21247" s="33" t="s">
        <v>22</v>
      </c>
    </row>
    <row r="21248" spans="1:11">
      <c r="A21248" s="30" t="s">
        <v>47092</v>
      </c>
      <c r="B21248" s="30" t="s">
        <v>47093</v>
      </c>
      <c r="C21248" s="30" t="s">
        <v>647</v>
      </c>
      <c r="D21248" s="30" t="s">
        <v>17</v>
      </c>
      <c r="E21248" s="30" t="s">
        <v>26</v>
      </c>
      <c r="F21248" s="30" t="s">
        <v>27</v>
      </c>
      <c r="G21248" s="30" t="s">
        <v>20</v>
      </c>
      <c r="H21248" s="32">
        <v>28</v>
      </c>
      <c r="I21248" s="30" t="s">
        <v>21</v>
      </c>
      <c r="J21248" s="41">
        <v>45432</v>
      </c>
      <c r="K21248" s="30" t="s">
        <v>22</v>
      </c>
    </row>
    <row r="21249" spans="1:11">
      <c r="A21249" s="33" t="s">
        <v>47094</v>
      </c>
      <c r="B21249" s="33" t="s">
        <v>47095</v>
      </c>
      <c r="C21249" s="33" t="s">
        <v>47096</v>
      </c>
      <c r="D21249" s="33" t="s">
        <v>17</v>
      </c>
      <c r="E21249" s="33" t="s">
        <v>31</v>
      </c>
      <c r="F21249" s="33" t="s">
        <v>32</v>
      </c>
      <c r="G21249" s="33" t="s">
        <v>50</v>
      </c>
      <c r="H21249" s="35">
        <v>60</v>
      </c>
      <c r="I21249" s="33" t="s">
        <v>51</v>
      </c>
      <c r="J21249" s="42">
        <v>45323</v>
      </c>
      <c r="K21249" s="33" t="s">
        <v>22</v>
      </c>
    </row>
    <row r="21250" spans="1:11">
      <c r="A21250" s="30" t="s">
        <v>47097</v>
      </c>
      <c r="B21250" s="30" t="s">
        <v>47098</v>
      </c>
      <c r="C21250" s="30" t="s">
        <v>3790</v>
      </c>
      <c r="D21250" s="30" t="s">
        <v>17</v>
      </c>
      <c r="E21250" s="30" t="s">
        <v>26</v>
      </c>
      <c r="F21250" s="30" t="s">
        <v>27</v>
      </c>
      <c r="G21250" s="30" t="s">
        <v>20</v>
      </c>
      <c r="H21250" s="32">
        <v>6</v>
      </c>
      <c r="I21250" s="30" t="s">
        <v>21</v>
      </c>
      <c r="J21250" s="41">
        <v>45495</v>
      </c>
      <c r="K21250" s="30" t="s">
        <v>22</v>
      </c>
    </row>
    <row r="21251" spans="1:11">
      <c r="A21251" s="33" t="s">
        <v>47099</v>
      </c>
      <c r="B21251" s="33" t="s">
        <v>47100</v>
      </c>
      <c r="C21251" s="33" t="s">
        <v>16148</v>
      </c>
      <c r="D21251" s="33" t="s">
        <v>17</v>
      </c>
      <c r="E21251" s="33" t="s">
        <v>26</v>
      </c>
      <c r="F21251" s="33" t="s">
        <v>27</v>
      </c>
      <c r="G21251" s="33" t="s">
        <v>140</v>
      </c>
      <c r="H21251" s="35">
        <v>64</v>
      </c>
      <c r="I21251" s="33" t="s">
        <v>51</v>
      </c>
      <c r="J21251" s="42">
        <v>45552</v>
      </c>
      <c r="K21251" s="33" t="s">
        <v>22</v>
      </c>
    </row>
    <row r="21252" spans="1:11">
      <c r="A21252" s="30" t="s">
        <v>47101</v>
      </c>
      <c r="B21252" s="30" t="s">
        <v>47102</v>
      </c>
      <c r="C21252" s="30" t="s">
        <v>93</v>
      </c>
      <c r="D21252" s="30" t="s">
        <v>17</v>
      </c>
      <c r="E21252" s="30" t="s">
        <v>26</v>
      </c>
      <c r="F21252" s="30" t="s">
        <v>27</v>
      </c>
      <c r="G21252" s="30" t="s">
        <v>20</v>
      </c>
      <c r="H21252" s="32">
        <v>231</v>
      </c>
      <c r="I21252" s="30" t="s">
        <v>21</v>
      </c>
      <c r="J21252" s="41">
        <v>45546</v>
      </c>
      <c r="K21252" s="30" t="s">
        <v>22</v>
      </c>
    </row>
    <row r="21253" spans="1:11">
      <c r="A21253" s="33" t="s">
        <v>47103</v>
      </c>
      <c r="B21253" s="33" t="s">
        <v>47104</v>
      </c>
      <c r="C21253" s="33" t="s">
        <v>11356</v>
      </c>
      <c r="D21253" s="33" t="s">
        <v>17</v>
      </c>
      <c r="E21253" s="33" t="s">
        <v>26</v>
      </c>
      <c r="F21253" s="33" t="s">
        <v>27</v>
      </c>
      <c r="G21253" s="33" t="s">
        <v>20</v>
      </c>
      <c r="H21253" s="35">
        <v>28</v>
      </c>
      <c r="I21253" s="33" t="s">
        <v>21</v>
      </c>
      <c r="J21253" s="42">
        <v>45468</v>
      </c>
      <c r="K21253" s="33" t="s">
        <v>22</v>
      </c>
    </row>
    <row r="21254" spans="1:11">
      <c r="A21254" s="30" t="s">
        <v>47105</v>
      </c>
      <c r="B21254" s="30" t="s">
        <v>47106</v>
      </c>
      <c r="C21254" s="30" t="s">
        <v>47107</v>
      </c>
      <c r="D21254" s="30" t="s">
        <v>17</v>
      </c>
      <c r="E21254" s="30" t="s">
        <v>67</v>
      </c>
      <c r="F21254" s="30" t="s">
        <v>68</v>
      </c>
      <c r="G21254" s="30" t="s">
        <v>140</v>
      </c>
      <c r="H21254" s="32">
        <v>18</v>
      </c>
      <c r="I21254" s="30" t="s">
        <v>51</v>
      </c>
      <c r="J21254" s="41">
        <v>45643</v>
      </c>
      <c r="K21254" s="30" t="s">
        <v>22</v>
      </c>
    </row>
    <row r="21255" spans="1:11">
      <c r="A21255" s="33" t="s">
        <v>47108</v>
      </c>
      <c r="B21255" s="33" t="s">
        <v>47109</v>
      </c>
      <c r="C21255" s="33" t="s">
        <v>190</v>
      </c>
      <c r="D21255" s="33" t="s">
        <v>17</v>
      </c>
      <c r="E21255" s="33" t="s">
        <v>31</v>
      </c>
      <c r="F21255" s="33" t="s">
        <v>32</v>
      </c>
      <c r="G21255" s="33" t="s">
        <v>20</v>
      </c>
      <c r="H21255" s="35">
        <v>36</v>
      </c>
      <c r="I21255" s="33" t="s">
        <v>21</v>
      </c>
      <c r="J21255" s="42">
        <v>45509</v>
      </c>
      <c r="K21255" s="33" t="s">
        <v>22</v>
      </c>
    </row>
    <row r="21256" spans="1:11">
      <c r="A21256" s="30" t="s">
        <v>47110</v>
      </c>
      <c r="B21256" s="30" t="s">
        <v>47111</v>
      </c>
      <c r="C21256" s="30" t="s">
        <v>1136</v>
      </c>
      <c r="D21256" s="30" t="s">
        <v>17</v>
      </c>
      <c r="E21256" s="30" t="s">
        <v>18</v>
      </c>
      <c r="F21256" s="30" t="s">
        <v>19</v>
      </c>
      <c r="G21256" s="30" t="s">
        <v>158</v>
      </c>
      <c r="H21256" s="32">
        <v>1714</v>
      </c>
      <c r="I21256" s="30" t="s">
        <v>21</v>
      </c>
      <c r="J21256" s="41">
        <v>45644</v>
      </c>
      <c r="K21256" s="30" t="s">
        <v>22</v>
      </c>
    </row>
    <row r="21257" spans="1:11">
      <c r="A21257" s="33" t="s">
        <v>47112</v>
      </c>
      <c r="B21257" s="33" t="s">
        <v>47113</v>
      </c>
      <c r="C21257" s="33" t="s">
        <v>11899</v>
      </c>
      <c r="D21257" s="33" t="s">
        <v>17</v>
      </c>
      <c r="E21257" s="33" t="s">
        <v>26</v>
      </c>
      <c r="F21257" s="33" t="s">
        <v>27</v>
      </c>
      <c r="G21257" s="33" t="s">
        <v>140</v>
      </c>
      <c r="H21257" s="35">
        <v>138</v>
      </c>
      <c r="I21257" s="33" t="s">
        <v>51</v>
      </c>
      <c r="J21257" s="42">
        <v>45511</v>
      </c>
      <c r="K21257" s="33" t="s">
        <v>22</v>
      </c>
    </row>
    <row r="21258" spans="1:11">
      <c r="A21258" s="30" t="s">
        <v>47114</v>
      </c>
      <c r="B21258" s="30" t="s">
        <v>47115</v>
      </c>
      <c r="C21258" s="30" t="s">
        <v>18296</v>
      </c>
      <c r="D21258" s="30" t="s">
        <v>17</v>
      </c>
      <c r="E21258" s="30" t="s">
        <v>67</v>
      </c>
      <c r="F21258" s="30" t="s">
        <v>68</v>
      </c>
      <c r="G21258" s="30" t="s">
        <v>140</v>
      </c>
      <c r="H21258" s="32">
        <v>343</v>
      </c>
      <c r="I21258" s="30" t="s">
        <v>51</v>
      </c>
      <c r="J21258" s="41">
        <v>45497</v>
      </c>
      <c r="K21258" s="30" t="s">
        <v>22</v>
      </c>
    </row>
    <row r="21259" spans="1:11">
      <c r="A21259" s="33" t="s">
        <v>47116</v>
      </c>
      <c r="B21259" s="33" t="s">
        <v>47117</v>
      </c>
      <c r="C21259" s="33" t="s">
        <v>11309</v>
      </c>
      <c r="D21259" s="33" t="s">
        <v>17</v>
      </c>
      <c r="E21259" s="33" t="s">
        <v>31</v>
      </c>
      <c r="F21259" s="33" t="s">
        <v>32</v>
      </c>
      <c r="G21259" s="33" t="s">
        <v>20</v>
      </c>
      <c r="H21259" s="35">
        <v>116</v>
      </c>
      <c r="I21259" s="33" t="s">
        <v>21</v>
      </c>
      <c r="J21259" s="42">
        <v>45471</v>
      </c>
      <c r="K21259" s="33" t="s">
        <v>22</v>
      </c>
    </row>
    <row r="21260" spans="1:11">
      <c r="A21260" s="30" t="s">
        <v>47118</v>
      </c>
      <c r="B21260" s="30" t="s">
        <v>47119</v>
      </c>
      <c r="C21260" s="30" t="s">
        <v>21136</v>
      </c>
      <c r="D21260" s="30" t="s">
        <v>17</v>
      </c>
      <c r="E21260" s="30" t="s">
        <v>26</v>
      </c>
      <c r="F21260" s="30" t="s">
        <v>27</v>
      </c>
      <c r="G21260" s="30" t="s">
        <v>140</v>
      </c>
      <c r="H21260" s="32">
        <v>60</v>
      </c>
      <c r="I21260" s="30" t="s">
        <v>51</v>
      </c>
      <c r="J21260" s="41">
        <v>45484</v>
      </c>
      <c r="K21260" s="30" t="s">
        <v>22</v>
      </c>
    </row>
    <row r="21261" spans="1:11">
      <c r="A21261" s="33" t="s">
        <v>47120</v>
      </c>
      <c r="B21261" s="33" t="s">
        <v>47121</v>
      </c>
      <c r="C21261" s="33" t="s">
        <v>12371</v>
      </c>
      <c r="D21261" s="33" t="s">
        <v>17</v>
      </c>
      <c r="E21261" s="33" t="s">
        <v>26</v>
      </c>
      <c r="F21261" s="33" t="s">
        <v>27</v>
      </c>
      <c r="G21261" s="33" t="s">
        <v>2613</v>
      </c>
      <c r="H21261" s="35">
        <v>180</v>
      </c>
      <c r="I21261" s="33" t="s">
        <v>51</v>
      </c>
      <c r="J21261" s="42">
        <v>45606</v>
      </c>
      <c r="K21261" s="33" t="s">
        <v>22</v>
      </c>
    </row>
    <row r="21262" spans="1:11">
      <c r="A21262" s="30" t="s">
        <v>47122</v>
      </c>
      <c r="B21262" s="30" t="s">
        <v>47123</v>
      </c>
      <c r="C21262" s="30" t="s">
        <v>4348</v>
      </c>
      <c r="D21262" s="30" t="s">
        <v>17</v>
      </c>
      <c r="E21262" s="30" t="s">
        <v>26</v>
      </c>
      <c r="F21262" s="30" t="s">
        <v>27</v>
      </c>
      <c r="G21262" s="30" t="s">
        <v>140</v>
      </c>
      <c r="H21262" s="32">
        <v>21</v>
      </c>
      <c r="I21262" s="30" t="s">
        <v>51</v>
      </c>
      <c r="J21262" s="41">
        <v>45530</v>
      </c>
      <c r="K21262" s="30" t="s">
        <v>22</v>
      </c>
    </row>
    <row r="21263" spans="1:11">
      <c r="A21263" s="33" t="s">
        <v>47124</v>
      </c>
      <c r="B21263" s="33" t="s">
        <v>47125</v>
      </c>
      <c r="C21263" s="33" t="s">
        <v>75</v>
      </c>
      <c r="D21263" s="33" t="s">
        <v>17</v>
      </c>
      <c r="E21263" s="33" t="s">
        <v>26</v>
      </c>
      <c r="F21263" s="33" t="s">
        <v>27</v>
      </c>
      <c r="G21263" s="33" t="s">
        <v>20</v>
      </c>
      <c r="H21263" s="35">
        <v>32</v>
      </c>
      <c r="I21263" s="33" t="s">
        <v>21</v>
      </c>
      <c r="J21263" s="42">
        <v>45530</v>
      </c>
      <c r="K21263" s="33" t="s">
        <v>22</v>
      </c>
    </row>
    <row r="21264" spans="1:11">
      <c r="A21264" s="30" t="s">
        <v>47126</v>
      </c>
      <c r="B21264" s="30" t="s">
        <v>47127</v>
      </c>
      <c r="C21264" s="30" t="s">
        <v>13050</v>
      </c>
      <c r="D21264" s="30" t="s">
        <v>17</v>
      </c>
      <c r="E21264" s="30" t="s">
        <v>45</v>
      </c>
      <c r="F21264" s="30" t="s">
        <v>46</v>
      </c>
      <c r="G21264" s="30" t="s">
        <v>140</v>
      </c>
      <c r="H21264" s="32">
        <v>574</v>
      </c>
      <c r="I21264" s="30" t="s">
        <v>51</v>
      </c>
      <c r="J21264" s="41">
        <v>45519</v>
      </c>
      <c r="K21264" s="30" t="s">
        <v>22</v>
      </c>
    </row>
    <row r="21265" spans="1:11">
      <c r="A21265" s="33" t="s">
        <v>47128</v>
      </c>
      <c r="B21265" s="33" t="s">
        <v>47129</v>
      </c>
      <c r="C21265" s="33" t="s">
        <v>969</v>
      </c>
      <c r="D21265" s="33" t="s">
        <v>17</v>
      </c>
      <c r="E21265" s="33" t="s">
        <v>31</v>
      </c>
      <c r="F21265" s="33" t="s">
        <v>32</v>
      </c>
      <c r="G21265" s="33" t="s">
        <v>20</v>
      </c>
      <c r="H21265" s="35">
        <v>845</v>
      </c>
      <c r="I21265" s="33" t="s">
        <v>21</v>
      </c>
      <c r="J21265" s="42">
        <v>45435</v>
      </c>
      <c r="K21265" s="33" t="s">
        <v>22</v>
      </c>
    </row>
    <row r="21266" spans="1:11">
      <c r="A21266" s="30" t="s">
        <v>47130</v>
      </c>
      <c r="B21266" s="30" t="s">
        <v>47131</v>
      </c>
      <c r="C21266" s="30" t="s">
        <v>75</v>
      </c>
      <c r="D21266" s="30" t="s">
        <v>17</v>
      </c>
      <c r="E21266" s="30" t="s">
        <v>212</v>
      </c>
      <c r="F21266" s="30" t="s">
        <v>213</v>
      </c>
      <c r="G21266" s="30" t="s">
        <v>20</v>
      </c>
      <c r="H21266" s="32">
        <v>8</v>
      </c>
      <c r="I21266" s="30" t="s">
        <v>21</v>
      </c>
      <c r="J21266" s="41">
        <v>45467</v>
      </c>
      <c r="K21266" s="30" t="s">
        <v>22</v>
      </c>
    </row>
    <row r="21267" spans="1:11">
      <c r="A21267" s="33" t="s">
        <v>47132</v>
      </c>
      <c r="B21267" s="33" t="s">
        <v>47133</v>
      </c>
      <c r="C21267" s="33" t="s">
        <v>647</v>
      </c>
      <c r="D21267" s="33" t="s">
        <v>17</v>
      </c>
      <c r="E21267" s="33" t="s">
        <v>26</v>
      </c>
      <c r="F21267" s="33" t="s">
        <v>27</v>
      </c>
      <c r="G21267" s="33" t="s">
        <v>158</v>
      </c>
      <c r="H21267" s="35">
        <v>72</v>
      </c>
      <c r="I21267" s="33" t="s">
        <v>51</v>
      </c>
      <c r="J21267" s="42">
        <v>45608</v>
      </c>
      <c r="K21267" s="33" t="s">
        <v>22</v>
      </c>
    </row>
    <row r="21268" spans="1:11">
      <c r="A21268" s="30" t="s">
        <v>47134</v>
      </c>
      <c r="B21268" s="30" t="s">
        <v>47135</v>
      </c>
      <c r="C21268" s="30" t="s">
        <v>47136</v>
      </c>
      <c r="D21268" s="30" t="s">
        <v>17</v>
      </c>
      <c r="E21268" s="30" t="s">
        <v>26</v>
      </c>
      <c r="F21268" s="30" t="s">
        <v>27</v>
      </c>
      <c r="G21268" s="30" t="s">
        <v>140</v>
      </c>
      <c r="H21268" s="32">
        <v>75</v>
      </c>
      <c r="I21268" s="30" t="s">
        <v>51</v>
      </c>
      <c r="J21268" s="41">
        <v>45292</v>
      </c>
      <c r="K21268" s="30" t="s">
        <v>22</v>
      </c>
    </row>
    <row r="21269" spans="1:11">
      <c r="A21269" s="33" t="s">
        <v>47137</v>
      </c>
      <c r="B21269" s="33" t="s">
        <v>47138</v>
      </c>
      <c r="C21269" s="33" t="s">
        <v>10774</v>
      </c>
      <c r="D21269" s="33" t="s">
        <v>17</v>
      </c>
      <c r="E21269" s="33" t="s">
        <v>67</v>
      </c>
      <c r="F21269" s="33" t="s">
        <v>68</v>
      </c>
      <c r="G21269" s="33" t="s">
        <v>140</v>
      </c>
      <c r="H21269" s="35">
        <v>29</v>
      </c>
      <c r="I21269" s="33" t="s">
        <v>51</v>
      </c>
      <c r="J21269" s="42">
        <v>45516</v>
      </c>
      <c r="K21269" s="33" t="s">
        <v>22</v>
      </c>
    </row>
    <row r="21270" spans="1:11">
      <c r="A21270" s="30" t="s">
        <v>47139</v>
      </c>
      <c r="B21270" s="30" t="s">
        <v>47140</v>
      </c>
      <c r="C21270" s="30" t="s">
        <v>1428</v>
      </c>
      <c r="D21270" s="30" t="s">
        <v>17</v>
      </c>
      <c r="E21270" s="30" t="s">
        <v>67</v>
      </c>
      <c r="F21270" s="30" t="s">
        <v>68</v>
      </c>
      <c r="G21270" s="30" t="s">
        <v>140</v>
      </c>
      <c r="H21270" s="32">
        <v>82</v>
      </c>
      <c r="I21270" s="30" t="s">
        <v>51</v>
      </c>
      <c r="J21270" s="41">
        <v>45622</v>
      </c>
      <c r="K21270" s="30" t="s">
        <v>22</v>
      </c>
    </row>
    <row r="21271" spans="1:11">
      <c r="A21271" s="33" t="s">
        <v>47141</v>
      </c>
      <c r="B21271" s="33" t="s">
        <v>47142</v>
      </c>
      <c r="C21271" s="33" t="s">
        <v>11366</v>
      </c>
      <c r="D21271" s="33" t="s">
        <v>17</v>
      </c>
      <c r="E21271" s="33" t="s">
        <v>212</v>
      </c>
      <c r="F21271" s="33" t="s">
        <v>213</v>
      </c>
      <c r="G21271" s="33" t="s">
        <v>112</v>
      </c>
      <c r="H21271" s="35">
        <v>0</v>
      </c>
      <c r="I21271" s="33" t="s">
        <v>21</v>
      </c>
      <c r="J21271" s="42">
        <v>45460</v>
      </c>
      <c r="K21271" s="33" t="s">
        <v>22</v>
      </c>
    </row>
    <row r="21272" spans="1:11">
      <c r="A21272" s="30" t="s">
        <v>47143</v>
      </c>
      <c r="B21272" s="30" t="s">
        <v>47144</v>
      </c>
      <c r="C21272" s="30" t="s">
        <v>21332</v>
      </c>
      <c r="D21272" s="30" t="s">
        <v>17</v>
      </c>
      <c r="E21272" s="30" t="s">
        <v>31</v>
      </c>
      <c r="F21272" s="30" t="s">
        <v>32</v>
      </c>
      <c r="G21272" s="30" t="s">
        <v>140</v>
      </c>
      <c r="H21272" s="32">
        <v>40</v>
      </c>
      <c r="I21272" s="30" t="s">
        <v>51</v>
      </c>
      <c r="J21272" s="41">
        <v>45638</v>
      </c>
      <c r="K21272" s="30" t="s">
        <v>22</v>
      </c>
    </row>
    <row r="21273" spans="1:11">
      <c r="A21273" s="33" t="s">
        <v>47145</v>
      </c>
      <c r="B21273" s="33" t="s">
        <v>47146</v>
      </c>
      <c r="C21273" s="33" t="s">
        <v>93</v>
      </c>
      <c r="D21273" s="33" t="s">
        <v>17</v>
      </c>
      <c r="E21273" s="33" t="s">
        <v>26</v>
      </c>
      <c r="F21273" s="33" t="s">
        <v>27</v>
      </c>
      <c r="G21273" s="33" t="s">
        <v>106</v>
      </c>
      <c r="H21273" s="35">
        <v>72</v>
      </c>
      <c r="I21273" s="33" t="s">
        <v>21</v>
      </c>
      <c r="J21273" s="42">
        <v>45539</v>
      </c>
      <c r="K21273" s="33" t="s">
        <v>22</v>
      </c>
    </row>
    <row r="21274" spans="1:11">
      <c r="A21274" s="30" t="s">
        <v>47147</v>
      </c>
      <c r="B21274" s="30" t="s">
        <v>47148</v>
      </c>
      <c r="C21274" s="30" t="s">
        <v>178</v>
      </c>
      <c r="D21274" s="30" t="s">
        <v>17</v>
      </c>
      <c r="E21274" s="30" t="s">
        <v>31</v>
      </c>
      <c r="F21274" s="30" t="s">
        <v>32</v>
      </c>
      <c r="G21274" s="30" t="s">
        <v>20</v>
      </c>
      <c r="H21274" s="32">
        <v>11</v>
      </c>
      <c r="I21274" s="30" t="s">
        <v>21</v>
      </c>
      <c r="J21274" s="41">
        <v>45408</v>
      </c>
      <c r="K21274" s="30" t="s">
        <v>22</v>
      </c>
    </row>
    <row r="21275" spans="1:11">
      <c r="A21275" s="33" t="s">
        <v>47149</v>
      </c>
      <c r="B21275" s="33" t="s">
        <v>47150</v>
      </c>
      <c r="C21275" s="33" t="s">
        <v>43599</v>
      </c>
      <c r="D21275" s="33" t="s">
        <v>17</v>
      </c>
      <c r="E21275" s="33" t="s">
        <v>31</v>
      </c>
      <c r="F21275" s="33" t="s">
        <v>32</v>
      </c>
      <c r="G21275" s="33" t="s">
        <v>140</v>
      </c>
      <c r="H21275" s="35">
        <v>36</v>
      </c>
      <c r="I21275" s="33" t="s">
        <v>51</v>
      </c>
      <c r="J21275" s="42">
        <v>45552</v>
      </c>
      <c r="K21275" s="33" t="s">
        <v>22</v>
      </c>
    </row>
    <row r="21276" spans="1:11">
      <c r="A21276" s="30" t="s">
        <v>47151</v>
      </c>
      <c r="B21276" s="30" t="s">
        <v>47152</v>
      </c>
      <c r="C21276" s="30" t="s">
        <v>43554</v>
      </c>
      <c r="D21276" s="30" t="s">
        <v>17</v>
      </c>
      <c r="E21276" s="30" t="s">
        <v>26</v>
      </c>
      <c r="F21276" s="30" t="s">
        <v>27</v>
      </c>
      <c r="G21276" s="30" t="s">
        <v>140</v>
      </c>
      <c r="H21276" s="32">
        <v>18</v>
      </c>
      <c r="I21276" s="30" t="s">
        <v>51</v>
      </c>
      <c r="J21276" s="41">
        <v>45340</v>
      </c>
      <c r="K21276" s="30" t="s">
        <v>22</v>
      </c>
    </row>
    <row r="21277" spans="1:11">
      <c r="A21277" s="33" t="s">
        <v>47153</v>
      </c>
      <c r="B21277" s="33" t="s">
        <v>47154</v>
      </c>
      <c r="C21277" s="33" t="s">
        <v>18514</v>
      </c>
      <c r="D21277" s="33" t="s">
        <v>17</v>
      </c>
      <c r="E21277" s="33" t="s">
        <v>18</v>
      </c>
      <c r="F21277" s="33" t="s">
        <v>19</v>
      </c>
      <c r="G21277" s="33" t="s">
        <v>140</v>
      </c>
      <c r="H21277" s="35">
        <v>226</v>
      </c>
      <c r="I21277" s="33" t="s">
        <v>51</v>
      </c>
      <c r="J21277" s="42">
        <v>45474</v>
      </c>
      <c r="K21277" s="33" t="s">
        <v>22</v>
      </c>
    </row>
    <row r="21278" spans="1:11">
      <c r="A21278" s="30" t="s">
        <v>47155</v>
      </c>
      <c r="B21278" s="30" t="s">
        <v>47156</v>
      </c>
      <c r="C21278" s="30" t="s">
        <v>22220</v>
      </c>
      <c r="D21278" s="30" t="s">
        <v>17</v>
      </c>
      <c r="E21278" s="30" t="s">
        <v>26</v>
      </c>
      <c r="F21278" s="30" t="s">
        <v>27</v>
      </c>
      <c r="G21278" s="30" t="s">
        <v>140</v>
      </c>
      <c r="H21278" s="32">
        <v>100</v>
      </c>
      <c r="I21278" s="30" t="s">
        <v>51</v>
      </c>
      <c r="J21278" s="41">
        <v>45573</v>
      </c>
      <c r="K21278" s="30" t="s">
        <v>22</v>
      </c>
    </row>
    <row r="21279" spans="1:11">
      <c r="A21279" s="33" t="s">
        <v>47157</v>
      </c>
      <c r="B21279" s="33" t="s">
        <v>47158</v>
      </c>
      <c r="C21279" s="33" t="s">
        <v>647</v>
      </c>
      <c r="D21279" s="33" t="s">
        <v>17</v>
      </c>
      <c r="E21279" s="33" t="s">
        <v>26</v>
      </c>
      <c r="F21279" s="33" t="s">
        <v>27</v>
      </c>
      <c r="G21279" s="33" t="s">
        <v>20</v>
      </c>
      <c r="H21279" s="35">
        <v>27</v>
      </c>
      <c r="I21279" s="33" t="s">
        <v>21</v>
      </c>
      <c r="J21279" s="42">
        <v>45618</v>
      </c>
      <c r="K21279" s="33" t="s">
        <v>22</v>
      </c>
    </row>
    <row r="21280" spans="1:11">
      <c r="A21280" s="30" t="s">
        <v>47159</v>
      </c>
      <c r="B21280" s="30" t="s">
        <v>47160</v>
      </c>
      <c r="C21280" s="30" t="s">
        <v>1764</v>
      </c>
      <c r="D21280" s="30" t="s">
        <v>17</v>
      </c>
      <c r="E21280" s="30" t="s">
        <v>18</v>
      </c>
      <c r="F21280" s="30" t="s">
        <v>19</v>
      </c>
      <c r="G21280" s="30" t="s">
        <v>20</v>
      </c>
      <c r="H21280" s="32">
        <v>90</v>
      </c>
      <c r="I21280" s="30" t="s">
        <v>21</v>
      </c>
      <c r="J21280" s="41">
        <v>45558</v>
      </c>
      <c r="K21280" s="30" t="s">
        <v>22</v>
      </c>
    </row>
    <row r="21281" spans="1:11">
      <c r="A21281" s="33" t="s">
        <v>47161</v>
      </c>
      <c r="B21281" s="33" t="s">
        <v>47162</v>
      </c>
      <c r="C21281" s="33" t="s">
        <v>11280</v>
      </c>
      <c r="D21281" s="33" t="s">
        <v>17</v>
      </c>
      <c r="E21281" s="33" t="s">
        <v>67</v>
      </c>
      <c r="F21281" s="33" t="s">
        <v>68</v>
      </c>
      <c r="G21281" s="33" t="s">
        <v>140</v>
      </c>
      <c r="H21281" s="35">
        <v>62</v>
      </c>
      <c r="I21281" s="33" t="s">
        <v>51</v>
      </c>
      <c r="J21281" s="42">
        <v>45421</v>
      </c>
      <c r="K21281" s="33" t="s">
        <v>22</v>
      </c>
    </row>
    <row r="21282" spans="1:11">
      <c r="A21282" s="30" t="s">
        <v>47163</v>
      </c>
      <c r="B21282" s="30" t="s">
        <v>47164</v>
      </c>
      <c r="C21282" s="30" t="s">
        <v>426</v>
      </c>
      <c r="D21282" s="30" t="s">
        <v>17</v>
      </c>
      <c r="E21282" s="30" t="s">
        <v>18</v>
      </c>
      <c r="F21282" s="30" t="s">
        <v>19</v>
      </c>
      <c r="G21282" s="30" t="s">
        <v>140</v>
      </c>
      <c r="H21282" s="32">
        <v>40</v>
      </c>
      <c r="I21282" s="30" t="s">
        <v>51</v>
      </c>
      <c r="J21282" s="41">
        <v>45607</v>
      </c>
      <c r="K21282" s="30" t="s">
        <v>22</v>
      </c>
    </row>
    <row r="21283" spans="1:11">
      <c r="A21283" s="33" t="s">
        <v>47165</v>
      </c>
      <c r="B21283" s="33" t="s">
        <v>47166</v>
      </c>
      <c r="C21283" s="33" t="s">
        <v>187</v>
      </c>
      <c r="D21283" s="33" t="s">
        <v>17</v>
      </c>
      <c r="E21283" s="33" t="s">
        <v>26</v>
      </c>
      <c r="F21283" s="33" t="s">
        <v>27</v>
      </c>
      <c r="G21283" s="33" t="s">
        <v>20</v>
      </c>
      <c r="H21283" s="35">
        <v>6</v>
      </c>
      <c r="I21283" s="33" t="s">
        <v>21</v>
      </c>
      <c r="J21283" s="42">
        <v>45369</v>
      </c>
      <c r="K21283" s="33" t="s">
        <v>22</v>
      </c>
    </row>
    <row r="21284" spans="1:11">
      <c r="A21284" s="30" t="s">
        <v>47167</v>
      </c>
      <c r="B21284" s="30" t="s">
        <v>47168</v>
      </c>
      <c r="C21284" s="30" t="s">
        <v>1415</v>
      </c>
      <c r="D21284" s="30" t="s">
        <v>17</v>
      </c>
      <c r="E21284" s="30" t="s">
        <v>45</v>
      </c>
      <c r="F21284" s="30" t="s">
        <v>46</v>
      </c>
      <c r="G21284" s="30" t="s">
        <v>7780</v>
      </c>
      <c r="H21284" s="32">
        <v>756</v>
      </c>
      <c r="I21284" s="30" t="s">
        <v>51</v>
      </c>
      <c r="J21284" s="41">
        <v>45580</v>
      </c>
      <c r="K21284" s="30" t="s">
        <v>22</v>
      </c>
    </row>
    <row r="21285" spans="1:11">
      <c r="A21285" s="33" t="s">
        <v>47169</v>
      </c>
      <c r="B21285" s="33" t="s">
        <v>47170</v>
      </c>
      <c r="C21285" s="33" t="s">
        <v>231</v>
      </c>
      <c r="D21285" s="33" t="s">
        <v>17</v>
      </c>
      <c r="E21285" s="33" t="s">
        <v>26</v>
      </c>
      <c r="F21285" s="33" t="s">
        <v>27</v>
      </c>
      <c r="G21285" s="33" t="s">
        <v>20</v>
      </c>
      <c r="H21285" s="35">
        <v>16</v>
      </c>
      <c r="I21285" s="33" t="s">
        <v>21</v>
      </c>
      <c r="J21285" s="42">
        <v>45503</v>
      </c>
      <c r="K21285" s="33" t="s">
        <v>22</v>
      </c>
    </row>
    <row r="21286" spans="1:11">
      <c r="A21286" s="30" t="s">
        <v>47171</v>
      </c>
      <c r="B21286" s="30" t="s">
        <v>47172</v>
      </c>
      <c r="C21286" s="30" t="s">
        <v>29833</v>
      </c>
      <c r="D21286" s="30" t="s">
        <v>17</v>
      </c>
      <c r="E21286" s="30" t="s">
        <v>26</v>
      </c>
      <c r="F21286" s="30" t="s">
        <v>27</v>
      </c>
      <c r="G21286" s="30" t="s">
        <v>20</v>
      </c>
      <c r="H21286" s="32">
        <v>30</v>
      </c>
      <c r="I21286" s="30" t="s">
        <v>21</v>
      </c>
      <c r="J21286" s="41">
        <v>45586</v>
      </c>
      <c r="K21286" s="30" t="s">
        <v>22</v>
      </c>
    </row>
    <row r="21287" spans="1:11">
      <c r="A21287" s="33" t="s">
        <v>47173</v>
      </c>
      <c r="B21287" s="33" t="s">
        <v>47174</v>
      </c>
      <c r="C21287" s="33" t="s">
        <v>47175</v>
      </c>
      <c r="D21287" s="33" t="s">
        <v>17</v>
      </c>
      <c r="E21287" s="33" t="s">
        <v>26</v>
      </c>
      <c r="F21287" s="33" t="s">
        <v>27</v>
      </c>
      <c r="G21287" s="33" t="s">
        <v>20</v>
      </c>
      <c r="H21287" s="35">
        <v>82</v>
      </c>
      <c r="I21287" s="33" t="s">
        <v>21</v>
      </c>
      <c r="J21287" s="42">
        <v>45394</v>
      </c>
      <c r="K21287" s="33" t="s">
        <v>22</v>
      </c>
    </row>
    <row r="21288" spans="1:11">
      <c r="A21288" s="30" t="s">
        <v>47176</v>
      </c>
      <c r="B21288" s="30" t="s">
        <v>47177</v>
      </c>
      <c r="C21288" s="30" t="s">
        <v>190</v>
      </c>
      <c r="D21288" s="30" t="s">
        <v>17</v>
      </c>
      <c r="E21288" s="30" t="s">
        <v>31</v>
      </c>
      <c r="F21288" s="30" t="s">
        <v>32</v>
      </c>
      <c r="G21288" s="30" t="s">
        <v>20</v>
      </c>
      <c r="H21288" s="32">
        <v>428</v>
      </c>
      <c r="I21288" s="30" t="s">
        <v>21</v>
      </c>
      <c r="J21288" s="41">
        <v>45310</v>
      </c>
      <c r="K21288" s="30" t="s">
        <v>22</v>
      </c>
    </row>
    <row r="21289" spans="1:11">
      <c r="A21289" s="33" t="s">
        <v>47178</v>
      </c>
      <c r="B21289" s="33" t="s">
        <v>47179</v>
      </c>
      <c r="C21289" s="33" t="s">
        <v>21488</v>
      </c>
      <c r="D21289" s="33" t="s">
        <v>17</v>
      </c>
      <c r="E21289" s="33" t="s">
        <v>212</v>
      </c>
      <c r="F21289" s="33" t="s">
        <v>213</v>
      </c>
      <c r="G21289" s="33" t="s">
        <v>20</v>
      </c>
      <c r="H21289" s="35">
        <v>118</v>
      </c>
      <c r="I21289" s="33" t="s">
        <v>21</v>
      </c>
      <c r="J21289" s="42">
        <v>45587</v>
      </c>
      <c r="K21289" s="33" t="s">
        <v>22</v>
      </c>
    </row>
    <row r="21290" spans="1:11">
      <c r="A21290" s="30" t="s">
        <v>47180</v>
      </c>
      <c r="B21290" s="30" t="s">
        <v>47181</v>
      </c>
      <c r="C21290" s="30" t="s">
        <v>6212</v>
      </c>
      <c r="D21290" s="30" t="s">
        <v>17</v>
      </c>
      <c r="E21290" s="30" t="s">
        <v>26</v>
      </c>
      <c r="F21290" s="30" t="s">
        <v>27</v>
      </c>
      <c r="G21290" s="30" t="s">
        <v>20</v>
      </c>
      <c r="H21290" s="32">
        <v>12</v>
      </c>
      <c r="I21290" s="30" t="s">
        <v>21</v>
      </c>
      <c r="J21290" s="41">
        <v>45379</v>
      </c>
      <c r="K21290" s="30" t="s">
        <v>22</v>
      </c>
    </row>
    <row r="21291" spans="1:11">
      <c r="A21291" s="33" t="s">
        <v>47182</v>
      </c>
      <c r="B21291" s="33" t="s">
        <v>47183</v>
      </c>
      <c r="C21291" s="33" t="s">
        <v>9114</v>
      </c>
      <c r="D21291" s="33" t="s">
        <v>17</v>
      </c>
      <c r="E21291" s="33" t="s">
        <v>26</v>
      </c>
      <c r="F21291" s="33" t="s">
        <v>27</v>
      </c>
      <c r="G21291" s="33" t="s">
        <v>20</v>
      </c>
      <c r="H21291" s="35">
        <v>12</v>
      </c>
      <c r="I21291" s="33" t="s">
        <v>21</v>
      </c>
      <c r="J21291" s="42">
        <v>45390</v>
      </c>
      <c r="K21291" s="33" t="s">
        <v>22</v>
      </c>
    </row>
    <row r="21292" spans="1:11">
      <c r="A21292" s="30" t="s">
        <v>47184</v>
      </c>
      <c r="B21292" s="30" t="s">
        <v>47185</v>
      </c>
      <c r="C21292" s="30" t="s">
        <v>15650</v>
      </c>
      <c r="D21292" s="30" t="s">
        <v>17</v>
      </c>
      <c r="E21292" s="30" t="s">
        <v>31</v>
      </c>
      <c r="F21292" s="30" t="s">
        <v>32</v>
      </c>
      <c r="G21292" s="30" t="s">
        <v>158</v>
      </c>
      <c r="H21292" s="32">
        <v>447</v>
      </c>
      <c r="I21292" s="30" t="s">
        <v>21</v>
      </c>
      <c r="J21292" s="41">
        <v>45617</v>
      </c>
      <c r="K21292" s="30" t="s">
        <v>22</v>
      </c>
    </row>
    <row r="21293" spans="1:11">
      <c r="A21293" s="33" t="s">
        <v>47186</v>
      </c>
      <c r="B21293" s="33" t="s">
        <v>47187</v>
      </c>
      <c r="C21293" s="33" t="s">
        <v>1090</v>
      </c>
      <c r="D21293" s="33" t="s">
        <v>17</v>
      </c>
      <c r="E21293" s="33" t="s">
        <v>31</v>
      </c>
      <c r="F21293" s="33" t="s">
        <v>32</v>
      </c>
      <c r="G21293" s="33" t="s">
        <v>158</v>
      </c>
      <c r="H21293" s="35">
        <v>78</v>
      </c>
      <c r="I21293" s="33" t="s">
        <v>21</v>
      </c>
      <c r="J21293" s="42">
        <v>45351</v>
      </c>
      <c r="K21293" s="33" t="s">
        <v>22</v>
      </c>
    </row>
    <row r="21294" spans="1:11">
      <c r="A21294" s="30" t="s">
        <v>47188</v>
      </c>
      <c r="B21294" s="30" t="s">
        <v>47189</v>
      </c>
      <c r="C21294" s="30" t="s">
        <v>10422</v>
      </c>
      <c r="D21294" s="30" t="s">
        <v>17</v>
      </c>
      <c r="E21294" s="30" t="s">
        <v>26</v>
      </c>
      <c r="F21294" s="30" t="s">
        <v>27</v>
      </c>
      <c r="G21294" s="30" t="s">
        <v>20</v>
      </c>
      <c r="H21294" s="32">
        <v>67</v>
      </c>
      <c r="I21294" s="30" t="s">
        <v>21</v>
      </c>
      <c r="J21294" s="41">
        <v>45495</v>
      </c>
      <c r="K21294" s="30" t="s">
        <v>22</v>
      </c>
    </row>
    <row r="21295" spans="1:11">
      <c r="A21295" s="33" t="s">
        <v>47190</v>
      </c>
      <c r="B21295" s="33" t="s">
        <v>47191</v>
      </c>
      <c r="C21295" s="33" t="s">
        <v>109</v>
      </c>
      <c r="D21295" s="33" t="s">
        <v>17</v>
      </c>
      <c r="E21295" s="33" t="s">
        <v>18</v>
      </c>
      <c r="F21295" s="33" t="s">
        <v>19</v>
      </c>
      <c r="G21295" s="33" t="s">
        <v>20</v>
      </c>
      <c r="H21295" s="35">
        <v>718</v>
      </c>
      <c r="I21295" s="33" t="s">
        <v>21</v>
      </c>
      <c r="J21295" s="42">
        <v>45390</v>
      </c>
      <c r="K21295" s="33" t="s">
        <v>22</v>
      </c>
    </row>
    <row r="21296" spans="1:11">
      <c r="A21296" s="30" t="s">
        <v>47192</v>
      </c>
      <c r="B21296" s="30" t="s">
        <v>47193</v>
      </c>
      <c r="C21296" s="30" t="s">
        <v>47194</v>
      </c>
      <c r="D21296" s="30" t="s">
        <v>17</v>
      </c>
      <c r="E21296" s="30" t="s">
        <v>67</v>
      </c>
      <c r="F21296" s="30" t="s">
        <v>68</v>
      </c>
      <c r="G21296" s="30" t="s">
        <v>140</v>
      </c>
      <c r="H21296" s="32">
        <v>100</v>
      </c>
      <c r="I21296" s="30" t="s">
        <v>51</v>
      </c>
      <c r="J21296" s="41">
        <v>45379</v>
      </c>
      <c r="K21296" s="30" t="s">
        <v>22</v>
      </c>
    </row>
    <row r="21297" spans="1:11">
      <c r="A21297" s="33" t="s">
        <v>47195</v>
      </c>
      <c r="B21297" s="33" t="s">
        <v>47196</v>
      </c>
      <c r="C21297" s="33" t="s">
        <v>109</v>
      </c>
      <c r="D21297" s="33" t="s">
        <v>17</v>
      </c>
      <c r="E21297" s="33" t="s">
        <v>31</v>
      </c>
      <c r="F21297" s="33" t="s">
        <v>32</v>
      </c>
      <c r="G21297" s="33" t="s">
        <v>140</v>
      </c>
      <c r="H21297" s="35">
        <v>108</v>
      </c>
      <c r="I21297" s="33" t="s">
        <v>51</v>
      </c>
      <c r="J21297" s="42">
        <v>45342</v>
      </c>
      <c r="K21297" s="33" t="s">
        <v>22</v>
      </c>
    </row>
    <row r="21298" spans="1:11">
      <c r="A21298" s="30" t="s">
        <v>47197</v>
      </c>
      <c r="B21298" s="30" t="s">
        <v>47198</v>
      </c>
      <c r="C21298" s="30" t="s">
        <v>47199</v>
      </c>
      <c r="D21298" s="30" t="s">
        <v>17</v>
      </c>
      <c r="E21298" s="30" t="s">
        <v>67</v>
      </c>
      <c r="F21298" s="30" t="s">
        <v>68</v>
      </c>
      <c r="G21298" s="30" t="s">
        <v>20</v>
      </c>
      <c r="H21298" s="32">
        <v>71</v>
      </c>
      <c r="I21298" s="30" t="s">
        <v>21</v>
      </c>
      <c r="J21298" s="41">
        <v>45383</v>
      </c>
      <c r="K21298" s="30" t="s">
        <v>22</v>
      </c>
    </row>
    <row r="21299" spans="1:11">
      <c r="A21299" s="33" t="s">
        <v>47200</v>
      </c>
      <c r="B21299" s="33" t="s">
        <v>47201</v>
      </c>
      <c r="C21299" s="33" t="s">
        <v>1136</v>
      </c>
      <c r="D21299" s="33" t="s">
        <v>17</v>
      </c>
      <c r="E21299" s="33" t="s">
        <v>18</v>
      </c>
      <c r="F21299" s="33" t="s">
        <v>19</v>
      </c>
      <c r="G21299" s="33" t="s">
        <v>20</v>
      </c>
      <c r="H21299" s="35">
        <v>447</v>
      </c>
      <c r="I21299" s="33" t="s">
        <v>21</v>
      </c>
      <c r="J21299" s="42">
        <v>45309</v>
      </c>
      <c r="K21299" s="33" t="s">
        <v>22</v>
      </c>
    </row>
    <row r="21300" spans="1:11">
      <c r="A21300" s="30" t="s">
        <v>47202</v>
      </c>
      <c r="B21300" s="30" t="s">
        <v>47203</v>
      </c>
      <c r="C21300" s="30" t="s">
        <v>4348</v>
      </c>
      <c r="D21300" s="30" t="s">
        <v>17</v>
      </c>
      <c r="E21300" s="30" t="s">
        <v>26</v>
      </c>
      <c r="F21300" s="30" t="s">
        <v>27</v>
      </c>
      <c r="G21300" s="30" t="s">
        <v>140</v>
      </c>
      <c r="H21300" s="32">
        <v>20</v>
      </c>
      <c r="I21300" s="30" t="s">
        <v>51</v>
      </c>
      <c r="J21300" s="41">
        <v>45528</v>
      </c>
      <c r="K21300" s="30" t="s">
        <v>22</v>
      </c>
    </row>
    <row r="21301" spans="1:11">
      <c r="A21301" s="33" t="s">
        <v>47204</v>
      </c>
      <c r="B21301" s="33" t="s">
        <v>47205</v>
      </c>
      <c r="C21301" s="33" t="s">
        <v>60</v>
      </c>
      <c r="D21301" s="33" t="s">
        <v>17</v>
      </c>
      <c r="E21301" s="33" t="s">
        <v>26</v>
      </c>
      <c r="F21301" s="33" t="s">
        <v>27</v>
      </c>
      <c r="G21301" s="33" t="s">
        <v>20</v>
      </c>
      <c r="H21301" s="35">
        <v>39</v>
      </c>
      <c r="I21301" s="33" t="s">
        <v>21</v>
      </c>
      <c r="J21301" s="42">
        <v>45295</v>
      </c>
      <c r="K21301" s="33" t="s">
        <v>22</v>
      </c>
    </row>
    <row r="21302" spans="1:11">
      <c r="A21302" s="30" t="s">
        <v>47206</v>
      </c>
      <c r="B21302" s="30" t="s">
        <v>47207</v>
      </c>
      <c r="C21302" s="30" t="s">
        <v>4348</v>
      </c>
      <c r="D21302" s="30" t="s">
        <v>17</v>
      </c>
      <c r="E21302" s="30" t="s">
        <v>18</v>
      </c>
      <c r="F21302" s="30" t="s">
        <v>19</v>
      </c>
      <c r="G21302" s="30" t="s">
        <v>158</v>
      </c>
      <c r="H21302" s="32">
        <v>274</v>
      </c>
      <c r="I21302" s="30" t="s">
        <v>21</v>
      </c>
      <c r="J21302" s="41">
        <v>45420</v>
      </c>
      <c r="K21302" s="30" t="s">
        <v>22</v>
      </c>
    </row>
    <row r="21303" spans="1:11">
      <c r="A21303" s="33" t="s">
        <v>47208</v>
      </c>
      <c r="B21303" s="33" t="s">
        <v>47209</v>
      </c>
      <c r="C21303" s="33" t="s">
        <v>14774</v>
      </c>
      <c r="D21303" s="33" t="s">
        <v>17</v>
      </c>
      <c r="E21303" s="33" t="s">
        <v>31</v>
      </c>
      <c r="F21303" s="33" t="s">
        <v>32</v>
      </c>
      <c r="G21303" s="33" t="s">
        <v>158</v>
      </c>
      <c r="H21303" s="35">
        <v>241</v>
      </c>
      <c r="I21303" s="33" t="s">
        <v>21</v>
      </c>
      <c r="J21303" s="42">
        <v>45496</v>
      </c>
      <c r="K21303" s="33" t="s">
        <v>22</v>
      </c>
    </row>
    <row r="21304" spans="1:11">
      <c r="A21304" s="30" t="s">
        <v>47210</v>
      </c>
      <c r="B21304" s="30" t="s">
        <v>47211</v>
      </c>
      <c r="C21304" s="30" t="s">
        <v>40104</v>
      </c>
      <c r="D21304" s="30" t="s">
        <v>17</v>
      </c>
      <c r="E21304" s="30" t="s">
        <v>31</v>
      </c>
      <c r="F21304" s="30" t="s">
        <v>32</v>
      </c>
      <c r="G21304" s="30" t="s">
        <v>140</v>
      </c>
      <c r="H21304" s="32">
        <v>171</v>
      </c>
      <c r="I21304" s="30" t="s">
        <v>51</v>
      </c>
      <c r="J21304" s="41">
        <v>45518</v>
      </c>
      <c r="K21304" s="30" t="s">
        <v>22</v>
      </c>
    </row>
    <row r="21305" spans="1:11">
      <c r="A21305" s="33" t="s">
        <v>47212</v>
      </c>
      <c r="B21305" s="33" t="s">
        <v>47213</v>
      </c>
      <c r="C21305" s="33" t="s">
        <v>19317</v>
      </c>
      <c r="D21305" s="33" t="s">
        <v>17</v>
      </c>
      <c r="E21305" s="33" t="s">
        <v>31</v>
      </c>
      <c r="F21305" s="33" t="s">
        <v>32</v>
      </c>
      <c r="G21305" s="33" t="s">
        <v>158</v>
      </c>
      <c r="H21305" s="35">
        <v>60</v>
      </c>
      <c r="I21305" s="33" t="s">
        <v>21</v>
      </c>
      <c r="J21305" s="42">
        <v>45596</v>
      </c>
      <c r="K21305" s="33" t="s">
        <v>22</v>
      </c>
    </row>
    <row r="21306" spans="1:11">
      <c r="A21306" s="30" t="s">
        <v>47214</v>
      </c>
      <c r="B21306" s="30" t="s">
        <v>47215</v>
      </c>
      <c r="C21306" s="30" t="s">
        <v>47216</v>
      </c>
      <c r="D21306" s="30" t="s">
        <v>17</v>
      </c>
      <c r="E21306" s="30" t="s">
        <v>26</v>
      </c>
      <c r="F21306" s="30" t="s">
        <v>27</v>
      </c>
      <c r="G21306" s="30" t="s">
        <v>140</v>
      </c>
      <c r="H21306" s="32">
        <v>9</v>
      </c>
      <c r="I21306" s="30" t="s">
        <v>51</v>
      </c>
      <c r="J21306" s="41">
        <v>45323</v>
      </c>
      <c r="K21306" s="30" t="s">
        <v>22</v>
      </c>
    </row>
    <row r="21307" spans="1:11">
      <c r="A21307" s="33" t="s">
        <v>47217</v>
      </c>
      <c r="B21307" s="33" t="s">
        <v>47218</v>
      </c>
      <c r="C21307" s="33" t="s">
        <v>39828</v>
      </c>
      <c r="D21307" s="33" t="s">
        <v>17</v>
      </c>
      <c r="E21307" s="33" t="s">
        <v>26</v>
      </c>
      <c r="F21307" s="33" t="s">
        <v>27</v>
      </c>
      <c r="G21307" s="33" t="s">
        <v>140</v>
      </c>
      <c r="H21307" s="35">
        <v>38</v>
      </c>
      <c r="I21307" s="33" t="s">
        <v>51</v>
      </c>
      <c r="J21307" s="42">
        <v>45621</v>
      </c>
      <c r="K21307" s="33" t="s">
        <v>22</v>
      </c>
    </row>
    <row r="21308" spans="1:11">
      <c r="A21308" s="30" t="s">
        <v>47219</v>
      </c>
      <c r="B21308" s="30" t="s">
        <v>47220</v>
      </c>
      <c r="C21308" s="30" t="s">
        <v>46637</v>
      </c>
      <c r="D21308" s="30" t="s">
        <v>17</v>
      </c>
      <c r="E21308" s="30" t="s">
        <v>26</v>
      </c>
      <c r="F21308" s="30" t="s">
        <v>27</v>
      </c>
      <c r="G21308" s="30" t="s">
        <v>158</v>
      </c>
      <c r="H21308" s="32">
        <v>13</v>
      </c>
      <c r="I21308" s="30" t="s">
        <v>21</v>
      </c>
      <c r="J21308" s="41">
        <v>45635</v>
      </c>
      <c r="K21308" s="30" t="s">
        <v>22</v>
      </c>
    </row>
    <row r="21309" spans="1:11">
      <c r="A21309" s="33" t="s">
        <v>47221</v>
      </c>
      <c r="B21309" s="33" t="s">
        <v>47222</v>
      </c>
      <c r="C21309" s="33" t="s">
        <v>136</v>
      </c>
      <c r="D21309" s="33" t="s">
        <v>17</v>
      </c>
      <c r="E21309" s="33" t="s">
        <v>26</v>
      </c>
      <c r="F21309" s="33" t="s">
        <v>27</v>
      </c>
      <c r="G21309" s="33" t="s">
        <v>20</v>
      </c>
      <c r="H21309" s="35">
        <v>96</v>
      </c>
      <c r="I21309" s="33" t="s">
        <v>21</v>
      </c>
      <c r="J21309" s="42">
        <v>45385</v>
      </c>
      <c r="K21309" s="33" t="s">
        <v>22</v>
      </c>
    </row>
    <row r="21310" spans="1:11">
      <c r="A21310" s="30" t="s">
        <v>47223</v>
      </c>
      <c r="B21310" s="30" t="s">
        <v>47224</v>
      </c>
      <c r="C21310" s="30" t="s">
        <v>47225</v>
      </c>
      <c r="D21310" s="30" t="s">
        <v>17</v>
      </c>
      <c r="E21310" s="30" t="s">
        <v>26</v>
      </c>
      <c r="F21310" s="30" t="s">
        <v>27</v>
      </c>
      <c r="G21310" s="30" t="s">
        <v>20</v>
      </c>
      <c r="H21310" s="32">
        <v>12</v>
      </c>
      <c r="I21310" s="30" t="s">
        <v>21</v>
      </c>
      <c r="J21310" s="41">
        <v>45602</v>
      </c>
      <c r="K21310" s="30" t="s">
        <v>22</v>
      </c>
    </row>
    <row r="21311" spans="1:11">
      <c r="A21311" s="33" t="s">
        <v>47226</v>
      </c>
      <c r="B21311" s="33" t="s">
        <v>47227</v>
      </c>
      <c r="C21311" s="33" t="s">
        <v>21185</v>
      </c>
      <c r="D21311" s="33" t="s">
        <v>17</v>
      </c>
      <c r="E21311" s="33" t="s">
        <v>26</v>
      </c>
      <c r="F21311" s="33" t="s">
        <v>27</v>
      </c>
      <c r="G21311" s="33" t="s">
        <v>20</v>
      </c>
      <c r="H21311" s="35">
        <v>96</v>
      </c>
      <c r="I21311" s="33" t="s">
        <v>21</v>
      </c>
      <c r="J21311" s="42">
        <v>45324</v>
      </c>
      <c r="K21311" s="33" t="s">
        <v>22</v>
      </c>
    </row>
    <row r="21312" spans="1:11">
      <c r="A21312" s="30" t="s">
        <v>47228</v>
      </c>
      <c r="B21312" s="30" t="s">
        <v>47229</v>
      </c>
      <c r="C21312" s="30" t="s">
        <v>28153</v>
      </c>
      <c r="D21312" s="30" t="s">
        <v>17</v>
      </c>
      <c r="E21312" s="30" t="s">
        <v>31</v>
      </c>
      <c r="F21312" s="30" t="s">
        <v>32</v>
      </c>
      <c r="G21312" s="30" t="s">
        <v>140</v>
      </c>
      <c r="H21312" s="32">
        <v>100</v>
      </c>
      <c r="I21312" s="30" t="s">
        <v>51</v>
      </c>
      <c r="J21312" s="41">
        <v>45344</v>
      </c>
      <c r="K21312" s="30" t="s">
        <v>22</v>
      </c>
    </row>
    <row r="21313" spans="1:11">
      <c r="A21313" s="33" t="s">
        <v>47230</v>
      </c>
      <c r="B21313" s="33" t="s">
        <v>47231</v>
      </c>
      <c r="C21313" s="33" t="s">
        <v>47232</v>
      </c>
      <c r="D21313" s="33" t="s">
        <v>17</v>
      </c>
      <c r="E21313" s="33" t="s">
        <v>26</v>
      </c>
      <c r="F21313" s="33" t="s">
        <v>27</v>
      </c>
      <c r="G21313" s="33" t="s">
        <v>20</v>
      </c>
      <c r="H21313" s="35">
        <v>10</v>
      </c>
      <c r="I21313" s="33" t="s">
        <v>21</v>
      </c>
      <c r="J21313" s="42">
        <v>45303</v>
      </c>
      <c r="K21313" s="33" t="s">
        <v>22</v>
      </c>
    </row>
    <row r="21314" spans="1:11">
      <c r="A21314" s="30" t="s">
        <v>47233</v>
      </c>
      <c r="B21314" s="30" t="s">
        <v>47234</v>
      </c>
      <c r="C21314" s="30" t="s">
        <v>157</v>
      </c>
      <c r="D21314" s="30" t="s">
        <v>17</v>
      </c>
      <c r="E21314" s="30" t="s">
        <v>18</v>
      </c>
      <c r="F21314" s="30" t="s">
        <v>19</v>
      </c>
      <c r="G21314" s="30" t="s">
        <v>158</v>
      </c>
      <c r="H21314" s="32">
        <v>18</v>
      </c>
      <c r="I21314" s="30" t="s">
        <v>21</v>
      </c>
      <c r="J21314" s="41">
        <v>45370</v>
      </c>
      <c r="K21314" s="30" t="s">
        <v>22</v>
      </c>
    </row>
    <row r="21315" spans="1:11">
      <c r="A21315" s="33" t="s">
        <v>47235</v>
      </c>
      <c r="B21315" s="33" t="s">
        <v>47236</v>
      </c>
      <c r="C21315" s="33" t="s">
        <v>22083</v>
      </c>
      <c r="D21315" s="33" t="s">
        <v>17</v>
      </c>
      <c r="E21315" s="33" t="s">
        <v>26</v>
      </c>
      <c r="F21315" s="33" t="s">
        <v>27</v>
      </c>
      <c r="G21315" s="33" t="s">
        <v>20</v>
      </c>
      <c r="H21315" s="35">
        <v>12</v>
      </c>
      <c r="I21315" s="33" t="s">
        <v>21</v>
      </c>
      <c r="J21315" s="42">
        <v>45607</v>
      </c>
      <c r="K21315" s="33" t="s">
        <v>22</v>
      </c>
    </row>
    <row r="21316" spans="1:11">
      <c r="A21316" s="30" t="s">
        <v>47237</v>
      </c>
      <c r="B21316" s="30" t="s">
        <v>47238</v>
      </c>
      <c r="C21316" s="30" t="s">
        <v>31197</v>
      </c>
      <c r="D21316" s="30" t="s">
        <v>17</v>
      </c>
      <c r="E21316" s="30" t="s">
        <v>26</v>
      </c>
      <c r="F21316" s="30" t="s">
        <v>27</v>
      </c>
      <c r="G21316" s="30" t="s">
        <v>140</v>
      </c>
      <c r="H21316" s="32">
        <v>58</v>
      </c>
      <c r="I21316" s="30" t="s">
        <v>51</v>
      </c>
      <c r="J21316" s="41">
        <v>45300</v>
      </c>
      <c r="K21316" s="30" t="s">
        <v>22</v>
      </c>
    </row>
    <row r="21317" spans="1:11">
      <c r="A21317" s="33" t="s">
        <v>47239</v>
      </c>
      <c r="B21317" s="33" t="s">
        <v>47240</v>
      </c>
      <c r="C21317" s="33" t="s">
        <v>47241</v>
      </c>
      <c r="D21317" s="33" t="s">
        <v>17</v>
      </c>
      <c r="E21317" s="33" t="s">
        <v>67</v>
      </c>
      <c r="F21317" s="33" t="s">
        <v>68</v>
      </c>
      <c r="G21317" s="33" t="s">
        <v>20</v>
      </c>
      <c r="H21317" s="35">
        <v>120</v>
      </c>
      <c r="I21317" s="33" t="s">
        <v>21</v>
      </c>
      <c r="J21317" s="42">
        <v>45383</v>
      </c>
      <c r="K21317" s="33" t="s">
        <v>22</v>
      </c>
    </row>
    <row r="21318" spans="1:11">
      <c r="A21318" s="30" t="s">
        <v>47242</v>
      </c>
      <c r="B21318" s="30" t="s">
        <v>47243</v>
      </c>
      <c r="C21318" s="30" t="s">
        <v>3258</v>
      </c>
      <c r="D21318" s="30" t="s">
        <v>17</v>
      </c>
      <c r="E21318" s="30" t="s">
        <v>212</v>
      </c>
      <c r="F21318" s="30" t="s">
        <v>213</v>
      </c>
      <c r="G21318" s="30" t="s">
        <v>20</v>
      </c>
      <c r="H21318" s="32">
        <v>97</v>
      </c>
      <c r="I21318" s="30" t="s">
        <v>21</v>
      </c>
      <c r="J21318" s="41">
        <v>45412</v>
      </c>
      <c r="K21318" s="30" t="s">
        <v>22</v>
      </c>
    </row>
    <row r="21319" spans="1:11">
      <c r="A21319" s="33" t="s">
        <v>47244</v>
      </c>
      <c r="B21319" s="33" t="s">
        <v>47245</v>
      </c>
      <c r="C21319" s="33" t="s">
        <v>25770</v>
      </c>
      <c r="D21319" s="33" t="s">
        <v>17</v>
      </c>
      <c r="E21319" s="33" t="s">
        <v>18</v>
      </c>
      <c r="F21319" s="33" t="s">
        <v>19</v>
      </c>
      <c r="G21319" s="33" t="s">
        <v>20</v>
      </c>
      <c r="H21319" s="35">
        <v>86</v>
      </c>
      <c r="I21319" s="33" t="s">
        <v>21</v>
      </c>
      <c r="J21319" s="42">
        <v>45371</v>
      </c>
      <c r="K21319" s="33" t="s">
        <v>22</v>
      </c>
    </row>
    <row r="21320" spans="1:11">
      <c r="A21320" s="30" t="s">
        <v>47246</v>
      </c>
      <c r="B21320" s="30" t="s">
        <v>47247</v>
      </c>
      <c r="C21320" s="30" t="s">
        <v>47248</v>
      </c>
      <c r="D21320" s="30" t="s">
        <v>17</v>
      </c>
      <c r="E21320" s="30" t="s">
        <v>31</v>
      </c>
      <c r="F21320" s="30" t="s">
        <v>32</v>
      </c>
      <c r="G21320" s="30" t="s">
        <v>158</v>
      </c>
      <c r="H21320" s="32">
        <v>45</v>
      </c>
      <c r="I21320" s="30" t="s">
        <v>51</v>
      </c>
      <c r="J21320" s="41">
        <v>45444</v>
      </c>
      <c r="K21320" s="30" t="s">
        <v>22</v>
      </c>
    </row>
    <row r="21321" spans="1:11">
      <c r="A21321" s="33" t="s">
        <v>47249</v>
      </c>
      <c r="B21321" s="33" t="s">
        <v>47250</v>
      </c>
      <c r="C21321" s="33" t="s">
        <v>310</v>
      </c>
      <c r="D21321" s="33" t="s">
        <v>17</v>
      </c>
      <c r="E21321" s="33" t="s">
        <v>18</v>
      </c>
      <c r="F21321" s="33" t="s">
        <v>19</v>
      </c>
      <c r="G21321" s="33" t="s">
        <v>20</v>
      </c>
      <c r="H21321" s="35">
        <v>274</v>
      </c>
      <c r="I21321" s="33" t="s">
        <v>21</v>
      </c>
      <c r="J21321" s="42">
        <v>45377</v>
      </c>
      <c r="K21321" s="33" t="s">
        <v>22</v>
      </c>
    </row>
    <row r="21322" spans="1:11">
      <c r="A21322" s="30" t="s">
        <v>47251</v>
      </c>
      <c r="B21322" s="30" t="s">
        <v>47252</v>
      </c>
      <c r="C21322" s="30" t="s">
        <v>102</v>
      </c>
      <c r="D21322" s="30" t="s">
        <v>17</v>
      </c>
      <c r="E21322" s="30" t="s">
        <v>330</v>
      </c>
      <c r="F21322" s="30" t="s">
        <v>331</v>
      </c>
      <c r="G21322" s="30" t="s">
        <v>20</v>
      </c>
      <c r="H21322" s="32">
        <v>32</v>
      </c>
      <c r="I21322" s="30" t="s">
        <v>21</v>
      </c>
      <c r="J21322" s="41">
        <v>45303</v>
      </c>
      <c r="K21322" s="30" t="s">
        <v>22</v>
      </c>
    </row>
    <row r="21323" spans="1:11">
      <c r="A21323" s="33" t="s">
        <v>47253</v>
      </c>
      <c r="B21323" s="33" t="s">
        <v>47254</v>
      </c>
      <c r="C21323" s="33" t="s">
        <v>2540</v>
      </c>
      <c r="D21323" s="33" t="s">
        <v>17</v>
      </c>
      <c r="E21323" s="33" t="s">
        <v>212</v>
      </c>
      <c r="F21323" s="33" t="s">
        <v>213</v>
      </c>
      <c r="G21323" s="33" t="s">
        <v>140</v>
      </c>
      <c r="H21323" s="35">
        <v>12</v>
      </c>
      <c r="I21323" s="33" t="s">
        <v>51</v>
      </c>
      <c r="J21323" s="42">
        <v>45330</v>
      </c>
      <c r="K21323" s="33" t="s">
        <v>22</v>
      </c>
    </row>
    <row r="21324" spans="1:11">
      <c r="A21324" s="30" t="s">
        <v>47255</v>
      </c>
      <c r="B21324" s="30" t="s">
        <v>47256</v>
      </c>
      <c r="C21324" s="30" t="s">
        <v>2629</v>
      </c>
      <c r="D21324" s="30" t="s">
        <v>17</v>
      </c>
      <c r="E21324" s="30" t="s">
        <v>18</v>
      </c>
      <c r="F21324" s="30" t="s">
        <v>19</v>
      </c>
      <c r="G21324" s="30" t="s">
        <v>140</v>
      </c>
      <c r="H21324" s="32">
        <v>500</v>
      </c>
      <c r="I21324" s="30" t="s">
        <v>51</v>
      </c>
      <c r="J21324" s="41">
        <v>45559</v>
      </c>
      <c r="K21324" s="30" t="s">
        <v>22</v>
      </c>
    </row>
    <row r="21325" spans="1:11">
      <c r="A21325" s="33" t="s">
        <v>47257</v>
      </c>
      <c r="B21325" s="33" t="s">
        <v>47258</v>
      </c>
      <c r="C21325" s="33" t="s">
        <v>47259</v>
      </c>
      <c r="D21325" s="33" t="s">
        <v>17</v>
      </c>
      <c r="E21325" s="33" t="s">
        <v>26</v>
      </c>
      <c r="F21325" s="33" t="s">
        <v>27</v>
      </c>
      <c r="G21325" s="33" t="s">
        <v>20</v>
      </c>
      <c r="H21325" s="35">
        <v>6</v>
      </c>
      <c r="I21325" s="33" t="s">
        <v>21</v>
      </c>
      <c r="J21325" s="42">
        <v>45351</v>
      </c>
      <c r="K21325" s="33" t="s">
        <v>22</v>
      </c>
    </row>
    <row r="21326" spans="1:11">
      <c r="A21326" s="30" t="s">
        <v>47260</v>
      </c>
      <c r="B21326" s="30" t="s">
        <v>47261</v>
      </c>
      <c r="C21326" s="30" t="s">
        <v>6473</v>
      </c>
      <c r="D21326" s="30" t="s">
        <v>17</v>
      </c>
      <c r="E21326" s="30" t="s">
        <v>26</v>
      </c>
      <c r="F21326" s="30" t="s">
        <v>27</v>
      </c>
      <c r="G21326" s="30" t="s">
        <v>140</v>
      </c>
      <c r="H21326" s="32">
        <v>30</v>
      </c>
      <c r="I21326" s="30" t="s">
        <v>51</v>
      </c>
      <c r="J21326" s="41">
        <v>45510</v>
      </c>
      <c r="K21326" s="30" t="s">
        <v>22</v>
      </c>
    </row>
    <row r="21327" spans="1:11">
      <c r="A21327" s="33" t="s">
        <v>47262</v>
      </c>
      <c r="B21327" s="33" t="s">
        <v>47263</v>
      </c>
      <c r="C21327" s="33" t="s">
        <v>11239</v>
      </c>
      <c r="D21327" s="33" t="s">
        <v>17</v>
      </c>
      <c r="E21327" s="33" t="s">
        <v>18</v>
      </c>
      <c r="F21327" s="33" t="s">
        <v>19</v>
      </c>
      <c r="G21327" s="33" t="s">
        <v>20</v>
      </c>
      <c r="H21327" s="35">
        <v>108</v>
      </c>
      <c r="I21327" s="33" t="s">
        <v>21</v>
      </c>
      <c r="J21327" s="42">
        <v>45310</v>
      </c>
      <c r="K21327" s="33" t="s">
        <v>22</v>
      </c>
    </row>
    <row r="21328" spans="1:11">
      <c r="A21328" s="30" t="s">
        <v>47264</v>
      </c>
      <c r="B21328" s="30" t="s">
        <v>47265</v>
      </c>
      <c r="C21328" s="30" t="s">
        <v>318</v>
      </c>
      <c r="D21328" s="30" t="s">
        <v>17</v>
      </c>
      <c r="E21328" s="30" t="s">
        <v>18</v>
      </c>
      <c r="F21328" s="30" t="s">
        <v>19</v>
      </c>
      <c r="G21328" s="30" t="s">
        <v>158</v>
      </c>
      <c r="H21328" s="32">
        <v>404</v>
      </c>
      <c r="I21328" s="30" t="s">
        <v>21</v>
      </c>
      <c r="J21328" s="41">
        <v>45342</v>
      </c>
      <c r="K21328" s="30" t="s">
        <v>22</v>
      </c>
    </row>
    <row r="21329" spans="1:11">
      <c r="A21329" s="33" t="s">
        <v>47266</v>
      </c>
      <c r="B21329" s="33" t="s">
        <v>47267</v>
      </c>
      <c r="C21329" s="33" t="s">
        <v>4348</v>
      </c>
      <c r="D21329" s="33" t="s">
        <v>17</v>
      </c>
      <c r="E21329" s="33" t="s">
        <v>18</v>
      </c>
      <c r="F21329" s="33" t="s">
        <v>19</v>
      </c>
      <c r="G21329" s="33" t="s">
        <v>158</v>
      </c>
      <c r="H21329" s="35">
        <v>497</v>
      </c>
      <c r="I21329" s="33" t="s">
        <v>21</v>
      </c>
      <c r="J21329" s="42">
        <v>45370</v>
      </c>
      <c r="K21329" s="33" t="s">
        <v>22</v>
      </c>
    </row>
    <row r="21330" spans="1:11">
      <c r="A21330" s="30" t="s">
        <v>47268</v>
      </c>
      <c r="B21330" s="30" t="s">
        <v>47269</v>
      </c>
      <c r="C21330" s="30" t="s">
        <v>33917</v>
      </c>
      <c r="D21330" s="30" t="s">
        <v>17</v>
      </c>
      <c r="E21330" s="30" t="s">
        <v>26</v>
      </c>
      <c r="F21330" s="30" t="s">
        <v>27</v>
      </c>
      <c r="G21330" s="30" t="s">
        <v>50</v>
      </c>
      <c r="H21330" s="32">
        <v>60</v>
      </c>
      <c r="I21330" s="30" t="s">
        <v>51</v>
      </c>
      <c r="J21330" s="41">
        <v>45362</v>
      </c>
      <c r="K21330" s="30" t="s">
        <v>22</v>
      </c>
    </row>
    <row r="21331" spans="1:11">
      <c r="A21331" s="33" t="s">
        <v>47270</v>
      </c>
      <c r="B21331" s="33" t="s">
        <v>47271</v>
      </c>
      <c r="C21331" s="33" t="s">
        <v>136</v>
      </c>
      <c r="D21331" s="33" t="s">
        <v>17</v>
      </c>
      <c r="E21331" s="33" t="s">
        <v>26</v>
      </c>
      <c r="F21331" s="33" t="s">
        <v>27</v>
      </c>
      <c r="G21331" s="33" t="s">
        <v>20</v>
      </c>
      <c r="H21331" s="35">
        <v>121</v>
      </c>
      <c r="I21331" s="33" t="s">
        <v>21</v>
      </c>
      <c r="J21331" s="42">
        <v>45628</v>
      </c>
      <c r="K21331" s="33" t="s">
        <v>22</v>
      </c>
    </row>
    <row r="21332" spans="1:11">
      <c r="A21332" s="30" t="s">
        <v>47272</v>
      </c>
      <c r="B21332" s="30" t="s">
        <v>47273</v>
      </c>
      <c r="C21332" s="30" t="s">
        <v>2866</v>
      </c>
      <c r="D21332" s="30" t="s">
        <v>17</v>
      </c>
      <c r="E21332" s="30" t="s">
        <v>26</v>
      </c>
      <c r="F21332" s="30" t="s">
        <v>27</v>
      </c>
      <c r="G21332" s="30" t="s">
        <v>140</v>
      </c>
      <c r="H21332" s="32">
        <v>72</v>
      </c>
      <c r="I21332" s="30" t="s">
        <v>51</v>
      </c>
      <c r="J21332" s="41">
        <v>45527</v>
      </c>
      <c r="K21332" s="30" t="s">
        <v>22</v>
      </c>
    </row>
    <row r="21333" spans="1:11">
      <c r="A21333" s="33" t="s">
        <v>47274</v>
      </c>
      <c r="B21333" s="33" t="s">
        <v>47275</v>
      </c>
      <c r="C21333" s="33" t="s">
        <v>2807</v>
      </c>
      <c r="D21333" s="33" t="s">
        <v>17</v>
      </c>
      <c r="E21333" s="33" t="s">
        <v>26</v>
      </c>
      <c r="F21333" s="33" t="s">
        <v>27</v>
      </c>
      <c r="G21333" s="33" t="s">
        <v>20</v>
      </c>
      <c r="H21333" s="35">
        <v>22</v>
      </c>
      <c r="I21333" s="33" t="s">
        <v>21</v>
      </c>
      <c r="J21333" s="42">
        <v>45618</v>
      </c>
      <c r="K21333" s="33" t="s">
        <v>22</v>
      </c>
    </row>
    <row r="21334" spans="1:11">
      <c r="A21334" s="30" t="s">
        <v>47276</v>
      </c>
      <c r="B21334" s="30" t="s">
        <v>47277</v>
      </c>
      <c r="C21334" s="30" t="s">
        <v>149</v>
      </c>
      <c r="D21334" s="30" t="s">
        <v>17</v>
      </c>
      <c r="E21334" s="30" t="s">
        <v>67</v>
      </c>
      <c r="F21334" s="30" t="s">
        <v>68</v>
      </c>
      <c r="G21334" s="30" t="s">
        <v>50</v>
      </c>
      <c r="H21334" s="32">
        <v>54</v>
      </c>
      <c r="I21334" s="30" t="s">
        <v>51</v>
      </c>
      <c r="J21334" s="41">
        <v>45366</v>
      </c>
      <c r="K21334" s="30" t="s">
        <v>22</v>
      </c>
    </row>
    <row r="21335" spans="1:11">
      <c r="A21335" s="33" t="s">
        <v>47278</v>
      </c>
      <c r="B21335" s="33" t="s">
        <v>47279</v>
      </c>
      <c r="C21335" s="33" t="s">
        <v>37518</v>
      </c>
      <c r="D21335" s="33" t="s">
        <v>17</v>
      </c>
      <c r="E21335" s="33" t="s">
        <v>31</v>
      </c>
      <c r="F21335" s="33" t="s">
        <v>32</v>
      </c>
      <c r="G21335" s="33" t="s">
        <v>140</v>
      </c>
      <c r="H21335" s="35">
        <v>50</v>
      </c>
      <c r="I21335" s="33" t="s">
        <v>51</v>
      </c>
      <c r="J21335" s="42">
        <v>45639</v>
      </c>
      <c r="K21335" s="33" t="s">
        <v>22</v>
      </c>
    </row>
    <row r="21336" spans="1:11">
      <c r="A21336" s="30" t="s">
        <v>47280</v>
      </c>
      <c r="B21336" s="30" t="s">
        <v>47281</v>
      </c>
      <c r="C21336" s="30" t="s">
        <v>216</v>
      </c>
      <c r="D21336" s="30" t="s">
        <v>17</v>
      </c>
      <c r="E21336" s="30" t="s">
        <v>67</v>
      </c>
      <c r="F21336" s="30" t="s">
        <v>68</v>
      </c>
      <c r="G21336" s="30" t="s">
        <v>158</v>
      </c>
      <c r="H21336" s="32">
        <v>112</v>
      </c>
      <c r="I21336" s="30" t="s">
        <v>51</v>
      </c>
      <c r="J21336" s="41">
        <v>45394</v>
      </c>
      <c r="K21336" s="30" t="s">
        <v>22</v>
      </c>
    </row>
    <row r="21337" spans="1:11">
      <c r="A21337" s="33" t="s">
        <v>47282</v>
      </c>
      <c r="B21337" s="33" t="s">
        <v>47283</v>
      </c>
      <c r="C21337" s="33" t="s">
        <v>31617</v>
      </c>
      <c r="D21337" s="33" t="s">
        <v>17</v>
      </c>
      <c r="E21337" s="33" t="s">
        <v>31</v>
      </c>
      <c r="F21337" s="33" t="s">
        <v>32</v>
      </c>
      <c r="G21337" s="33" t="s">
        <v>20</v>
      </c>
      <c r="H21337" s="35">
        <v>26</v>
      </c>
      <c r="I21337" s="33" t="s">
        <v>21</v>
      </c>
      <c r="J21337" s="42">
        <v>45581</v>
      </c>
      <c r="K21337" s="33" t="s">
        <v>22</v>
      </c>
    </row>
    <row r="21338" spans="1:11">
      <c r="A21338" s="30" t="s">
        <v>47284</v>
      </c>
      <c r="B21338" s="30" t="s">
        <v>47285</v>
      </c>
      <c r="C21338" s="30" t="s">
        <v>44</v>
      </c>
      <c r="D21338" s="30" t="s">
        <v>17</v>
      </c>
      <c r="E21338" s="30" t="s">
        <v>18</v>
      </c>
      <c r="F21338" s="30" t="s">
        <v>19</v>
      </c>
      <c r="G21338" s="30" t="s">
        <v>158</v>
      </c>
      <c r="H21338" s="32">
        <v>9</v>
      </c>
      <c r="I21338" s="30" t="s">
        <v>21</v>
      </c>
      <c r="J21338" s="41">
        <v>45642</v>
      </c>
      <c r="K21338" s="30" t="s">
        <v>22</v>
      </c>
    </row>
    <row r="21339" spans="1:11">
      <c r="A21339" s="33" t="s">
        <v>47286</v>
      </c>
      <c r="B21339" s="33" t="s">
        <v>47287</v>
      </c>
      <c r="C21339" s="33" t="s">
        <v>47288</v>
      </c>
      <c r="D21339" s="33" t="s">
        <v>17</v>
      </c>
      <c r="E21339" s="33" t="s">
        <v>26</v>
      </c>
      <c r="F21339" s="33" t="s">
        <v>27</v>
      </c>
      <c r="G21339" s="33" t="s">
        <v>20</v>
      </c>
      <c r="H21339" s="35">
        <v>156</v>
      </c>
      <c r="I21339" s="33" t="s">
        <v>21</v>
      </c>
      <c r="J21339" s="42">
        <v>45390</v>
      </c>
      <c r="K21339" s="33" t="s">
        <v>22</v>
      </c>
    </row>
    <row r="21340" spans="1:11">
      <c r="A21340" s="30" t="s">
        <v>47289</v>
      </c>
      <c r="B21340" s="30" t="s">
        <v>47290</v>
      </c>
      <c r="C21340" s="30" t="s">
        <v>310</v>
      </c>
      <c r="D21340" s="30" t="s">
        <v>17</v>
      </c>
      <c r="E21340" s="30" t="s">
        <v>26</v>
      </c>
      <c r="F21340" s="30" t="s">
        <v>27</v>
      </c>
      <c r="G21340" s="30" t="s">
        <v>20</v>
      </c>
      <c r="H21340" s="32">
        <v>30</v>
      </c>
      <c r="I21340" s="30" t="s">
        <v>21</v>
      </c>
      <c r="J21340" s="41">
        <v>45348</v>
      </c>
      <c r="K21340" s="30" t="s">
        <v>22</v>
      </c>
    </row>
    <row r="21341" spans="1:11">
      <c r="A21341" s="33" t="s">
        <v>47291</v>
      </c>
      <c r="B21341" s="33" t="s">
        <v>47292</v>
      </c>
      <c r="C21341" s="33" t="s">
        <v>44388</v>
      </c>
      <c r="D21341" s="33" t="s">
        <v>17</v>
      </c>
      <c r="E21341" s="33" t="s">
        <v>31</v>
      </c>
      <c r="F21341" s="33" t="s">
        <v>32</v>
      </c>
      <c r="G21341" s="33" t="s">
        <v>140</v>
      </c>
      <c r="H21341" s="35">
        <v>40</v>
      </c>
      <c r="I21341" s="33" t="s">
        <v>51</v>
      </c>
      <c r="J21341" s="42">
        <v>45621</v>
      </c>
      <c r="K21341" s="33" t="s">
        <v>22</v>
      </c>
    </row>
    <row r="21342" spans="1:11">
      <c r="A21342" s="30" t="s">
        <v>47293</v>
      </c>
      <c r="B21342" s="30" t="s">
        <v>47294</v>
      </c>
      <c r="C21342" s="30" t="s">
        <v>2562</v>
      </c>
      <c r="D21342" s="30" t="s">
        <v>17</v>
      </c>
      <c r="E21342" s="30" t="s">
        <v>26</v>
      </c>
      <c r="F21342" s="30" t="s">
        <v>27</v>
      </c>
      <c r="G21342" s="30" t="s">
        <v>20</v>
      </c>
      <c r="H21342" s="32">
        <v>110</v>
      </c>
      <c r="I21342" s="30" t="s">
        <v>21</v>
      </c>
      <c r="J21342" s="41">
        <v>45537</v>
      </c>
      <c r="K21342" s="30" t="s">
        <v>22</v>
      </c>
    </row>
    <row r="21343" spans="1:11">
      <c r="A21343" s="33" t="s">
        <v>47295</v>
      </c>
      <c r="B21343" s="33" t="s">
        <v>47296</v>
      </c>
      <c r="C21343" s="33" t="s">
        <v>6703</v>
      </c>
      <c r="D21343" s="33" t="s">
        <v>17</v>
      </c>
      <c r="E21343" s="33" t="s">
        <v>18</v>
      </c>
      <c r="F21343" s="33" t="s">
        <v>19</v>
      </c>
      <c r="G21343" s="33" t="s">
        <v>112</v>
      </c>
      <c r="H21343" s="35">
        <v>0</v>
      </c>
      <c r="I21343" s="33" t="s">
        <v>21</v>
      </c>
      <c r="J21343" s="42">
        <v>45550</v>
      </c>
      <c r="K21343" s="33" t="s">
        <v>22</v>
      </c>
    </row>
    <row r="21344" spans="1:11">
      <c r="A21344" s="30" t="s">
        <v>47297</v>
      </c>
      <c r="B21344" s="30" t="s">
        <v>47298</v>
      </c>
      <c r="C21344" s="30" t="s">
        <v>190</v>
      </c>
      <c r="D21344" s="30" t="s">
        <v>17</v>
      </c>
      <c r="E21344" s="30" t="s">
        <v>31</v>
      </c>
      <c r="F21344" s="30" t="s">
        <v>32</v>
      </c>
      <c r="G21344" s="30" t="s">
        <v>140</v>
      </c>
      <c r="H21344" s="32">
        <v>270</v>
      </c>
      <c r="I21344" s="30" t="s">
        <v>51</v>
      </c>
      <c r="J21344" s="41">
        <v>45623</v>
      </c>
      <c r="K21344" s="30" t="s">
        <v>22</v>
      </c>
    </row>
    <row r="21345" spans="1:11">
      <c r="A21345" s="33" t="s">
        <v>47299</v>
      </c>
      <c r="B21345" s="33" t="s">
        <v>47300</v>
      </c>
      <c r="C21345" s="33" t="s">
        <v>26952</v>
      </c>
      <c r="D21345" s="33" t="s">
        <v>17</v>
      </c>
      <c r="E21345" s="33" t="s">
        <v>18</v>
      </c>
      <c r="F21345" s="33" t="s">
        <v>19</v>
      </c>
      <c r="G21345" s="33" t="s">
        <v>158</v>
      </c>
      <c r="H21345" s="35">
        <v>780</v>
      </c>
      <c r="I21345" s="33" t="s">
        <v>51</v>
      </c>
      <c r="J21345" s="42">
        <v>45316</v>
      </c>
      <c r="K21345" s="33" t="s">
        <v>22</v>
      </c>
    </row>
    <row r="21346" spans="1:11">
      <c r="A21346" s="30" t="s">
        <v>47301</v>
      </c>
      <c r="B21346" s="30" t="s">
        <v>47302</v>
      </c>
      <c r="C21346" s="30" t="s">
        <v>109</v>
      </c>
      <c r="D21346" s="30" t="s">
        <v>17</v>
      </c>
      <c r="E21346" s="30" t="s">
        <v>67</v>
      </c>
      <c r="F21346" s="30" t="s">
        <v>68</v>
      </c>
      <c r="G21346" s="30" t="s">
        <v>158</v>
      </c>
      <c r="H21346" s="32">
        <v>20</v>
      </c>
      <c r="I21346" s="30" t="s">
        <v>21</v>
      </c>
      <c r="J21346" s="41">
        <v>45518</v>
      </c>
      <c r="K21346" s="30" t="s">
        <v>22</v>
      </c>
    </row>
    <row r="21347" spans="1:11">
      <c r="A21347" s="33" t="s">
        <v>47303</v>
      </c>
      <c r="B21347" s="33" t="s">
        <v>47304</v>
      </c>
      <c r="C21347" s="33" t="s">
        <v>15585</v>
      </c>
      <c r="D21347" s="33" t="s">
        <v>17</v>
      </c>
      <c r="E21347" s="33" t="s">
        <v>31</v>
      </c>
      <c r="F21347" s="33" t="s">
        <v>32</v>
      </c>
      <c r="G21347" s="33" t="s">
        <v>7780</v>
      </c>
      <c r="H21347" s="35">
        <v>108</v>
      </c>
      <c r="I21347" s="33" t="s">
        <v>51</v>
      </c>
      <c r="J21347" s="42">
        <v>45505</v>
      </c>
      <c r="K21347" s="33" t="s">
        <v>22</v>
      </c>
    </row>
    <row r="21348" spans="1:11">
      <c r="A21348" s="30" t="s">
        <v>47305</v>
      </c>
      <c r="B21348" s="30" t="s">
        <v>47306</v>
      </c>
      <c r="C21348" s="30" t="s">
        <v>11719</v>
      </c>
      <c r="D21348" s="30" t="s">
        <v>17</v>
      </c>
      <c r="E21348" s="30" t="s">
        <v>31</v>
      </c>
      <c r="F21348" s="30" t="s">
        <v>32</v>
      </c>
      <c r="G21348" s="30" t="s">
        <v>20</v>
      </c>
      <c r="H21348" s="32">
        <v>243</v>
      </c>
      <c r="I21348" s="30" t="s">
        <v>21</v>
      </c>
      <c r="J21348" s="41">
        <v>45630</v>
      </c>
      <c r="K21348" s="30" t="s">
        <v>22</v>
      </c>
    </row>
    <row r="21349" spans="1:11">
      <c r="A21349" s="33" t="s">
        <v>47307</v>
      </c>
      <c r="B21349" s="33" t="s">
        <v>47308</v>
      </c>
      <c r="C21349" s="33" t="s">
        <v>1571</v>
      </c>
      <c r="D21349" s="33" t="s">
        <v>17</v>
      </c>
      <c r="E21349" s="33" t="s">
        <v>26</v>
      </c>
      <c r="F21349" s="33" t="s">
        <v>27</v>
      </c>
      <c r="G21349" s="33" t="s">
        <v>140</v>
      </c>
      <c r="H21349" s="35">
        <v>164</v>
      </c>
      <c r="I21349" s="33" t="s">
        <v>51</v>
      </c>
      <c r="J21349" s="42">
        <v>45344</v>
      </c>
      <c r="K21349" s="33" t="s">
        <v>22</v>
      </c>
    </row>
    <row r="21350" spans="1:11">
      <c r="A21350" s="30" t="s">
        <v>47309</v>
      </c>
      <c r="B21350" s="30" t="s">
        <v>47310</v>
      </c>
      <c r="C21350" s="30" t="s">
        <v>1981</v>
      </c>
      <c r="D21350" s="30" t="s">
        <v>17</v>
      </c>
      <c r="E21350" s="30" t="s">
        <v>31</v>
      </c>
      <c r="F21350" s="30" t="s">
        <v>32</v>
      </c>
      <c r="G21350" s="30" t="s">
        <v>140</v>
      </c>
      <c r="H21350" s="32">
        <v>60</v>
      </c>
      <c r="I21350" s="30" t="s">
        <v>51</v>
      </c>
      <c r="J21350" s="41">
        <v>45505</v>
      </c>
      <c r="K21350" s="30" t="s">
        <v>22</v>
      </c>
    </row>
    <row r="21351" spans="1:11">
      <c r="A21351" s="33" t="s">
        <v>47311</v>
      </c>
      <c r="B21351" s="33" t="s">
        <v>47312</v>
      </c>
      <c r="C21351" s="33" t="s">
        <v>47313</v>
      </c>
      <c r="D21351" s="33" t="s">
        <v>17</v>
      </c>
      <c r="E21351" s="33" t="s">
        <v>330</v>
      </c>
      <c r="F21351" s="33" t="s">
        <v>331</v>
      </c>
      <c r="G21351" s="33" t="s">
        <v>20</v>
      </c>
      <c r="H21351" s="35">
        <v>35</v>
      </c>
      <c r="I21351" s="33" t="s">
        <v>21</v>
      </c>
      <c r="J21351" s="42">
        <v>45397</v>
      </c>
      <c r="K21351" s="33" t="s">
        <v>22</v>
      </c>
    </row>
    <row r="21352" spans="1:11">
      <c r="A21352" s="30" t="s">
        <v>47314</v>
      </c>
      <c r="B21352" s="30" t="s">
        <v>47315</v>
      </c>
      <c r="C21352" s="30" t="s">
        <v>647</v>
      </c>
      <c r="D21352" s="30" t="s">
        <v>17</v>
      </c>
      <c r="E21352" s="30" t="s">
        <v>18</v>
      </c>
      <c r="F21352" s="30" t="s">
        <v>19</v>
      </c>
      <c r="G21352" s="30" t="s">
        <v>140</v>
      </c>
      <c r="H21352" s="32">
        <v>400</v>
      </c>
      <c r="I21352" s="30" t="s">
        <v>51</v>
      </c>
      <c r="J21352" s="41">
        <v>45435</v>
      </c>
      <c r="K21352" s="30" t="s">
        <v>22</v>
      </c>
    </row>
    <row r="21353" spans="1:11">
      <c r="A21353" s="33" t="s">
        <v>47316</v>
      </c>
      <c r="B21353" s="33" t="s">
        <v>47317</v>
      </c>
      <c r="C21353" s="33" t="s">
        <v>31562</v>
      </c>
      <c r="D21353" s="33" t="s">
        <v>17</v>
      </c>
      <c r="E21353" s="33" t="s">
        <v>212</v>
      </c>
      <c r="F21353" s="33" t="s">
        <v>213</v>
      </c>
      <c r="G21353" s="33" t="s">
        <v>50</v>
      </c>
      <c r="H21353" s="35">
        <v>33</v>
      </c>
      <c r="I21353" s="33" t="s">
        <v>51</v>
      </c>
      <c r="J21353" s="42">
        <v>45347</v>
      </c>
      <c r="K21353" s="33" t="s">
        <v>22</v>
      </c>
    </row>
    <row r="21354" spans="1:11">
      <c r="A21354" s="30" t="s">
        <v>47318</v>
      </c>
      <c r="B21354" s="30" t="s">
        <v>47319</v>
      </c>
      <c r="C21354" s="30" t="s">
        <v>16391</v>
      </c>
      <c r="D21354" s="30" t="s">
        <v>17</v>
      </c>
      <c r="E21354" s="30" t="s">
        <v>26</v>
      </c>
      <c r="F21354" s="30" t="s">
        <v>27</v>
      </c>
      <c r="G21354" s="30" t="s">
        <v>20</v>
      </c>
      <c r="H21354" s="32">
        <v>6</v>
      </c>
      <c r="I21354" s="30" t="s">
        <v>21</v>
      </c>
      <c r="J21354" s="41">
        <v>45469</v>
      </c>
      <c r="K21354" s="30" t="s">
        <v>22</v>
      </c>
    </row>
    <row r="21355" spans="1:11">
      <c r="A21355" s="33" t="s">
        <v>47320</v>
      </c>
      <c r="B21355" s="33" t="s">
        <v>47321</v>
      </c>
      <c r="C21355" s="33" t="s">
        <v>570</v>
      </c>
      <c r="D21355" s="33" t="s">
        <v>17</v>
      </c>
      <c r="E21355" s="33" t="s">
        <v>45</v>
      </c>
      <c r="F21355" s="33" t="s">
        <v>46</v>
      </c>
      <c r="G21355" s="33" t="s">
        <v>140</v>
      </c>
      <c r="H21355" s="35">
        <v>235</v>
      </c>
      <c r="I21355" s="33" t="s">
        <v>51</v>
      </c>
      <c r="J21355" s="42">
        <v>45587</v>
      </c>
      <c r="K21355" s="33" t="s">
        <v>22</v>
      </c>
    </row>
    <row r="21356" spans="1:11">
      <c r="A21356" s="30" t="s">
        <v>47322</v>
      </c>
      <c r="B21356" s="30" t="s">
        <v>47323</v>
      </c>
      <c r="C21356" s="30" t="s">
        <v>14816</v>
      </c>
      <c r="D21356" s="30" t="s">
        <v>17</v>
      </c>
      <c r="E21356" s="30" t="s">
        <v>26</v>
      </c>
      <c r="F21356" s="30" t="s">
        <v>27</v>
      </c>
      <c r="G21356" s="30" t="s">
        <v>20</v>
      </c>
      <c r="H21356" s="32">
        <v>14</v>
      </c>
      <c r="I21356" s="30" t="s">
        <v>21</v>
      </c>
      <c r="J21356" s="41">
        <v>45408</v>
      </c>
      <c r="K21356" s="30" t="s">
        <v>22</v>
      </c>
    </row>
    <row r="21357" spans="1:11">
      <c r="A21357" s="33" t="s">
        <v>47324</v>
      </c>
      <c r="B21357" s="33" t="s">
        <v>47325</v>
      </c>
      <c r="C21357" s="33" t="s">
        <v>8231</v>
      </c>
      <c r="D21357" s="33" t="s">
        <v>17</v>
      </c>
      <c r="E21357" s="33" t="s">
        <v>26</v>
      </c>
      <c r="F21357" s="33" t="s">
        <v>27</v>
      </c>
      <c r="G21357" s="33" t="s">
        <v>140</v>
      </c>
      <c r="H21357" s="35">
        <v>81</v>
      </c>
      <c r="I21357" s="33" t="s">
        <v>51</v>
      </c>
      <c r="J21357" s="42">
        <v>45481</v>
      </c>
      <c r="K21357" s="33" t="s">
        <v>22</v>
      </c>
    </row>
    <row r="21358" spans="1:11">
      <c r="A21358" s="30" t="s">
        <v>47326</v>
      </c>
      <c r="B21358" s="30" t="s">
        <v>47327</v>
      </c>
      <c r="C21358" s="30" t="s">
        <v>39132</v>
      </c>
      <c r="D21358" s="30" t="s">
        <v>17</v>
      </c>
      <c r="E21358" s="30" t="s">
        <v>67</v>
      </c>
      <c r="F21358" s="30" t="s">
        <v>68</v>
      </c>
      <c r="G21358" s="30" t="s">
        <v>158</v>
      </c>
      <c r="H21358" s="32">
        <v>5</v>
      </c>
      <c r="I21358" s="30" t="s">
        <v>21</v>
      </c>
      <c r="J21358" s="41">
        <v>45421</v>
      </c>
      <c r="K21358" s="30" t="s">
        <v>22</v>
      </c>
    </row>
    <row r="21359" spans="1:11">
      <c r="A21359" s="33" t="s">
        <v>47328</v>
      </c>
      <c r="B21359" s="33" t="s">
        <v>47329</v>
      </c>
      <c r="C21359" s="33" t="s">
        <v>3429</v>
      </c>
      <c r="D21359" s="33" t="s">
        <v>17</v>
      </c>
      <c r="E21359" s="33" t="s">
        <v>26</v>
      </c>
      <c r="F21359" s="33" t="s">
        <v>27</v>
      </c>
      <c r="G21359" s="33" t="s">
        <v>20</v>
      </c>
      <c r="H21359" s="35">
        <v>30</v>
      </c>
      <c r="I21359" s="33" t="s">
        <v>21</v>
      </c>
      <c r="J21359" s="42">
        <v>45422</v>
      </c>
      <c r="K21359" s="33" t="s">
        <v>22</v>
      </c>
    </row>
    <row r="21360" spans="1:11">
      <c r="A21360" s="30" t="s">
        <v>47330</v>
      </c>
      <c r="B21360" s="30" t="s">
        <v>47331</v>
      </c>
      <c r="C21360" s="30" t="s">
        <v>118</v>
      </c>
      <c r="D21360" s="30" t="s">
        <v>17</v>
      </c>
      <c r="E21360" s="30" t="s">
        <v>26</v>
      </c>
      <c r="F21360" s="30" t="s">
        <v>27</v>
      </c>
      <c r="G21360" s="30" t="s">
        <v>20</v>
      </c>
      <c r="H21360" s="32">
        <v>236</v>
      </c>
      <c r="I21360" s="30" t="s">
        <v>21</v>
      </c>
      <c r="J21360" s="41">
        <v>45448</v>
      </c>
      <c r="K21360" s="30" t="s">
        <v>22</v>
      </c>
    </row>
    <row r="21361" spans="1:11">
      <c r="A21361" s="33" t="s">
        <v>47332</v>
      </c>
      <c r="B21361" s="33" t="s">
        <v>47333</v>
      </c>
      <c r="C21361" s="33" t="s">
        <v>93</v>
      </c>
      <c r="D21361" s="33" t="s">
        <v>17</v>
      </c>
      <c r="E21361" s="33" t="s">
        <v>212</v>
      </c>
      <c r="F21361" s="33" t="s">
        <v>213</v>
      </c>
      <c r="G21361" s="33" t="s">
        <v>20</v>
      </c>
      <c r="H21361" s="35">
        <v>100</v>
      </c>
      <c r="I21361" s="33" t="s">
        <v>21</v>
      </c>
      <c r="J21361" s="42">
        <v>45327</v>
      </c>
      <c r="K21361" s="33" t="s">
        <v>22</v>
      </c>
    </row>
    <row r="21362" spans="1:11">
      <c r="A21362" s="30" t="s">
        <v>47334</v>
      </c>
      <c r="B21362" s="30" t="s">
        <v>47335</v>
      </c>
      <c r="C21362" s="30" t="s">
        <v>684</v>
      </c>
      <c r="D21362" s="30" t="s">
        <v>17</v>
      </c>
      <c r="E21362" s="30" t="s">
        <v>18</v>
      </c>
      <c r="F21362" s="30" t="s">
        <v>19</v>
      </c>
      <c r="G21362" s="30" t="s">
        <v>158</v>
      </c>
      <c r="H21362" s="32">
        <v>850</v>
      </c>
      <c r="I21362" s="30" t="s">
        <v>51</v>
      </c>
      <c r="J21362" s="41">
        <v>45462</v>
      </c>
      <c r="K21362" s="30" t="s">
        <v>22</v>
      </c>
    </row>
    <row r="21363" spans="1:11">
      <c r="A21363" s="33" t="s">
        <v>47336</v>
      </c>
      <c r="B21363" s="33" t="s">
        <v>47337</v>
      </c>
      <c r="C21363" s="33" t="s">
        <v>149</v>
      </c>
      <c r="D21363" s="33" t="s">
        <v>17</v>
      </c>
      <c r="E21363" s="33" t="s">
        <v>31</v>
      </c>
      <c r="F21363" s="33" t="s">
        <v>32</v>
      </c>
      <c r="G21363" s="33" t="s">
        <v>7780</v>
      </c>
      <c r="H21363" s="35">
        <v>105</v>
      </c>
      <c r="I21363" s="33" t="s">
        <v>51</v>
      </c>
      <c r="J21363" s="42">
        <v>45383</v>
      </c>
      <c r="K21363" s="33" t="s">
        <v>22</v>
      </c>
    </row>
    <row r="21364" spans="1:11">
      <c r="A21364" s="30" t="s">
        <v>47338</v>
      </c>
      <c r="B21364" s="30" t="s">
        <v>47339</v>
      </c>
      <c r="C21364" s="30" t="s">
        <v>801</v>
      </c>
      <c r="D21364" s="30" t="s">
        <v>17</v>
      </c>
      <c r="E21364" s="30" t="s">
        <v>31</v>
      </c>
      <c r="F21364" s="30" t="s">
        <v>32</v>
      </c>
      <c r="G21364" s="30" t="s">
        <v>112</v>
      </c>
      <c r="H21364" s="32">
        <v>0</v>
      </c>
      <c r="I21364" s="30" t="s">
        <v>21</v>
      </c>
      <c r="J21364" s="41">
        <v>45380</v>
      </c>
      <c r="K21364" s="30" t="s">
        <v>22</v>
      </c>
    </row>
    <row r="21365" spans="1:11">
      <c r="A21365" s="33" t="s">
        <v>47340</v>
      </c>
      <c r="B21365" s="33" t="s">
        <v>47341</v>
      </c>
      <c r="C21365" s="33" t="s">
        <v>24291</v>
      </c>
      <c r="D21365" s="33" t="s">
        <v>17</v>
      </c>
      <c r="E21365" s="33" t="s">
        <v>67</v>
      </c>
      <c r="F21365" s="33" t="s">
        <v>68</v>
      </c>
      <c r="G21365" s="33" t="s">
        <v>158</v>
      </c>
      <c r="H21365" s="35">
        <v>10</v>
      </c>
      <c r="I21365" s="33" t="s">
        <v>51</v>
      </c>
      <c r="J21365" s="42">
        <v>45351</v>
      </c>
      <c r="K21365" s="33" t="s">
        <v>22</v>
      </c>
    </row>
    <row r="21366" spans="1:11">
      <c r="A21366" s="30" t="s">
        <v>47342</v>
      </c>
      <c r="B21366" s="30" t="s">
        <v>47343</v>
      </c>
      <c r="C21366" s="30" t="s">
        <v>5053</v>
      </c>
      <c r="D21366" s="30" t="s">
        <v>17</v>
      </c>
      <c r="E21366" s="30" t="s">
        <v>26</v>
      </c>
      <c r="F21366" s="30" t="s">
        <v>27</v>
      </c>
      <c r="G21366" s="30" t="s">
        <v>20</v>
      </c>
      <c r="H21366" s="32">
        <v>8</v>
      </c>
      <c r="I21366" s="30" t="s">
        <v>21</v>
      </c>
      <c r="J21366" s="41">
        <v>45329</v>
      </c>
      <c r="K21366" s="30" t="s">
        <v>22</v>
      </c>
    </row>
    <row r="21367" spans="1:11">
      <c r="A21367" s="33" t="s">
        <v>47344</v>
      </c>
      <c r="B21367" s="33" t="s">
        <v>47345</v>
      </c>
      <c r="C21367" s="33" t="s">
        <v>32569</v>
      </c>
      <c r="D21367" s="33" t="s">
        <v>17</v>
      </c>
      <c r="E21367" s="33" t="s">
        <v>26</v>
      </c>
      <c r="F21367" s="33" t="s">
        <v>27</v>
      </c>
      <c r="G21367" s="33" t="s">
        <v>158</v>
      </c>
      <c r="H21367" s="35">
        <v>7</v>
      </c>
      <c r="I21367" s="33" t="s">
        <v>51</v>
      </c>
      <c r="J21367" s="42">
        <v>45411</v>
      </c>
      <c r="K21367" s="33" t="s">
        <v>22</v>
      </c>
    </row>
    <row r="21368" spans="1:11">
      <c r="A21368" s="30" t="s">
        <v>47346</v>
      </c>
      <c r="B21368" s="30" t="s">
        <v>47347</v>
      </c>
      <c r="C21368" s="30" t="s">
        <v>5805</v>
      </c>
      <c r="D21368" s="30" t="s">
        <v>17</v>
      </c>
      <c r="E21368" s="30" t="s">
        <v>18</v>
      </c>
      <c r="F21368" s="30" t="s">
        <v>19</v>
      </c>
      <c r="G21368" s="30" t="s">
        <v>158</v>
      </c>
      <c r="H21368" s="32">
        <v>976</v>
      </c>
      <c r="I21368" s="30" t="s">
        <v>21</v>
      </c>
      <c r="J21368" s="41">
        <v>45492</v>
      </c>
      <c r="K21368" s="30" t="s">
        <v>22</v>
      </c>
    </row>
    <row r="21369" spans="1:11">
      <c r="A21369" s="33" t="s">
        <v>47348</v>
      </c>
      <c r="B21369" s="33" t="s">
        <v>47349</v>
      </c>
      <c r="C21369" s="33" t="s">
        <v>47350</v>
      </c>
      <c r="D21369" s="33" t="s">
        <v>17</v>
      </c>
      <c r="E21369" s="33" t="s">
        <v>31</v>
      </c>
      <c r="F21369" s="33" t="s">
        <v>32</v>
      </c>
      <c r="G21369" s="33" t="s">
        <v>140</v>
      </c>
      <c r="H21369" s="35">
        <v>75</v>
      </c>
      <c r="I21369" s="33" t="s">
        <v>51</v>
      </c>
      <c r="J21369" s="42">
        <v>45330</v>
      </c>
      <c r="K21369" s="33" t="s">
        <v>22</v>
      </c>
    </row>
    <row r="21370" spans="1:11">
      <c r="A21370" s="30" t="s">
        <v>47351</v>
      </c>
      <c r="B21370" s="30" t="s">
        <v>47352</v>
      </c>
      <c r="C21370" s="30" t="s">
        <v>231</v>
      </c>
      <c r="D21370" s="30" t="s">
        <v>17</v>
      </c>
      <c r="E21370" s="30" t="s">
        <v>18</v>
      </c>
      <c r="F21370" s="30" t="s">
        <v>19</v>
      </c>
      <c r="G21370" s="30" t="s">
        <v>158</v>
      </c>
      <c r="H21370" s="32">
        <v>428</v>
      </c>
      <c r="I21370" s="30" t="s">
        <v>21</v>
      </c>
      <c r="J21370" s="41">
        <v>45331</v>
      </c>
      <c r="K21370" s="30" t="s">
        <v>22</v>
      </c>
    </row>
    <row r="21371" spans="1:11">
      <c r="A21371" s="33" t="s">
        <v>47353</v>
      </c>
      <c r="B21371" s="33" t="s">
        <v>47354</v>
      </c>
      <c r="C21371" s="33" t="s">
        <v>2239</v>
      </c>
      <c r="D21371" s="33" t="s">
        <v>17</v>
      </c>
      <c r="E21371" s="33" t="s">
        <v>18</v>
      </c>
      <c r="F21371" s="33" t="s">
        <v>19</v>
      </c>
      <c r="G21371" s="33" t="s">
        <v>140</v>
      </c>
      <c r="H21371" s="35">
        <v>762</v>
      </c>
      <c r="I21371" s="33" t="s">
        <v>51</v>
      </c>
      <c r="J21371" s="42">
        <v>45436</v>
      </c>
      <c r="K21371" s="33" t="s">
        <v>22</v>
      </c>
    </row>
    <row r="21372" spans="1:11">
      <c r="A21372" s="30" t="s">
        <v>47355</v>
      </c>
      <c r="B21372" s="30" t="s">
        <v>47356</v>
      </c>
      <c r="C21372" s="30" t="s">
        <v>6442</v>
      </c>
      <c r="D21372" s="30" t="s">
        <v>17</v>
      </c>
      <c r="E21372" s="30" t="s">
        <v>26</v>
      </c>
      <c r="F21372" s="30" t="s">
        <v>27</v>
      </c>
      <c r="G21372" s="30" t="s">
        <v>106</v>
      </c>
      <c r="H21372" s="32">
        <v>25</v>
      </c>
      <c r="I21372" s="30" t="s">
        <v>21</v>
      </c>
      <c r="J21372" s="41">
        <v>45316</v>
      </c>
      <c r="K21372" s="30" t="s">
        <v>22</v>
      </c>
    </row>
    <row r="21373" spans="1:11">
      <c r="A21373" s="33" t="s">
        <v>47357</v>
      </c>
      <c r="B21373" s="33" t="s">
        <v>47358</v>
      </c>
      <c r="C21373" s="33" t="s">
        <v>318</v>
      </c>
      <c r="D21373" s="33" t="s">
        <v>17</v>
      </c>
      <c r="E21373" s="33" t="s">
        <v>26</v>
      </c>
      <c r="F21373" s="33" t="s">
        <v>27</v>
      </c>
      <c r="G21373" s="33" t="s">
        <v>140</v>
      </c>
      <c r="H21373" s="35">
        <v>80</v>
      </c>
      <c r="I21373" s="33" t="s">
        <v>51</v>
      </c>
      <c r="J21373" s="42">
        <v>45544</v>
      </c>
      <c r="K21373" s="33" t="s">
        <v>22</v>
      </c>
    </row>
    <row r="21374" spans="1:11">
      <c r="A21374" s="30" t="s">
        <v>47359</v>
      </c>
      <c r="B21374" s="30" t="s">
        <v>47360</v>
      </c>
      <c r="C21374" s="30" t="s">
        <v>16901</v>
      </c>
      <c r="D21374" s="30" t="s">
        <v>17</v>
      </c>
      <c r="E21374" s="30" t="s">
        <v>67</v>
      </c>
      <c r="F21374" s="30" t="s">
        <v>68</v>
      </c>
      <c r="G21374" s="30" t="s">
        <v>158</v>
      </c>
      <c r="H21374" s="32">
        <v>10</v>
      </c>
      <c r="I21374" s="30" t="s">
        <v>51</v>
      </c>
      <c r="J21374" s="41">
        <v>45582</v>
      </c>
      <c r="K21374" s="30" t="s">
        <v>22</v>
      </c>
    </row>
    <row r="21375" spans="1:11">
      <c r="A21375" s="33" t="s">
        <v>47361</v>
      </c>
      <c r="B21375" s="33" t="s">
        <v>47362</v>
      </c>
      <c r="C21375" s="33" t="s">
        <v>1136</v>
      </c>
      <c r="D21375" s="33" t="s">
        <v>17</v>
      </c>
      <c r="E21375" s="33" t="s">
        <v>26</v>
      </c>
      <c r="F21375" s="33" t="s">
        <v>27</v>
      </c>
      <c r="G21375" s="33" t="s">
        <v>20</v>
      </c>
      <c r="H21375" s="35">
        <v>558</v>
      </c>
      <c r="I21375" s="33" t="s">
        <v>21</v>
      </c>
      <c r="J21375" s="42">
        <v>45314</v>
      </c>
      <c r="K21375" s="33" t="s">
        <v>22</v>
      </c>
    </row>
    <row r="21376" spans="1:11">
      <c r="A21376" s="30" t="s">
        <v>47363</v>
      </c>
      <c r="B21376" s="30" t="s">
        <v>47364</v>
      </c>
      <c r="C21376" s="30" t="s">
        <v>10425</v>
      </c>
      <c r="D21376" s="30" t="s">
        <v>17</v>
      </c>
      <c r="E21376" s="30" t="s">
        <v>31</v>
      </c>
      <c r="F21376" s="30" t="s">
        <v>32</v>
      </c>
      <c r="G21376" s="30" t="s">
        <v>158</v>
      </c>
      <c r="H21376" s="32">
        <v>6</v>
      </c>
      <c r="I21376" s="30" t="s">
        <v>21</v>
      </c>
      <c r="J21376" s="41">
        <v>45334</v>
      </c>
      <c r="K21376" s="30" t="s">
        <v>22</v>
      </c>
    </row>
    <row r="21377" spans="1:11">
      <c r="A21377" s="33" t="s">
        <v>47365</v>
      </c>
      <c r="B21377" s="33" t="s">
        <v>47366</v>
      </c>
      <c r="C21377" s="33" t="s">
        <v>2753</v>
      </c>
      <c r="D21377" s="33" t="s">
        <v>17</v>
      </c>
      <c r="E21377" s="33" t="s">
        <v>26</v>
      </c>
      <c r="F21377" s="33" t="s">
        <v>27</v>
      </c>
      <c r="G21377" s="33" t="s">
        <v>20</v>
      </c>
      <c r="H21377" s="35">
        <v>63</v>
      </c>
      <c r="I21377" s="33" t="s">
        <v>21</v>
      </c>
      <c r="J21377" s="42">
        <v>45481</v>
      </c>
      <c r="K21377" s="33" t="s">
        <v>22</v>
      </c>
    </row>
    <row r="21378" spans="1:11">
      <c r="A21378" s="30" t="s">
        <v>47367</v>
      </c>
      <c r="B21378" s="30" t="s">
        <v>47368</v>
      </c>
      <c r="C21378" s="30" t="s">
        <v>93</v>
      </c>
      <c r="D21378" s="30" t="s">
        <v>17</v>
      </c>
      <c r="E21378" s="30" t="s">
        <v>18</v>
      </c>
      <c r="F21378" s="30" t="s">
        <v>19</v>
      </c>
      <c r="G21378" s="30" t="s">
        <v>158</v>
      </c>
      <c r="H21378" s="32">
        <v>1300</v>
      </c>
      <c r="I21378" s="30" t="s">
        <v>51</v>
      </c>
      <c r="J21378" s="41">
        <v>45376</v>
      </c>
      <c r="K21378" s="30" t="s">
        <v>22</v>
      </c>
    </row>
    <row r="21379" spans="1:11">
      <c r="A21379" s="33" t="s">
        <v>47369</v>
      </c>
      <c r="B21379" s="33" t="s">
        <v>47370</v>
      </c>
      <c r="C21379" s="33" t="s">
        <v>31562</v>
      </c>
      <c r="D21379" s="33" t="s">
        <v>17</v>
      </c>
      <c r="E21379" s="33" t="s">
        <v>18</v>
      </c>
      <c r="F21379" s="33" t="s">
        <v>19</v>
      </c>
      <c r="G21379" s="33" t="s">
        <v>7780</v>
      </c>
      <c r="H21379" s="35">
        <v>406</v>
      </c>
      <c r="I21379" s="33" t="s">
        <v>51</v>
      </c>
      <c r="J21379" s="42">
        <v>45565</v>
      </c>
      <c r="K21379" s="33" t="s">
        <v>22</v>
      </c>
    </row>
    <row r="21380" spans="1:11">
      <c r="A21380" s="30" t="s">
        <v>47371</v>
      </c>
      <c r="B21380" s="30" t="s">
        <v>47372</v>
      </c>
      <c r="C21380" s="30" t="s">
        <v>32149</v>
      </c>
      <c r="D21380" s="30" t="s">
        <v>17</v>
      </c>
      <c r="E21380" s="30" t="s">
        <v>31</v>
      </c>
      <c r="F21380" s="30" t="s">
        <v>32</v>
      </c>
      <c r="G21380" s="30" t="s">
        <v>20</v>
      </c>
      <c r="H21380" s="32">
        <v>33</v>
      </c>
      <c r="I21380" s="30" t="s">
        <v>21</v>
      </c>
      <c r="J21380" s="41">
        <v>45352</v>
      </c>
      <c r="K21380" s="30" t="s">
        <v>22</v>
      </c>
    </row>
    <row r="21381" spans="1:11">
      <c r="A21381" s="33" t="s">
        <v>47373</v>
      </c>
      <c r="B21381" s="33" t="s">
        <v>47374</v>
      </c>
      <c r="C21381" s="33" t="s">
        <v>3775</v>
      </c>
      <c r="D21381" s="33" t="s">
        <v>17</v>
      </c>
      <c r="E21381" s="33" t="s">
        <v>26</v>
      </c>
      <c r="F21381" s="33" t="s">
        <v>27</v>
      </c>
      <c r="G21381" s="33" t="s">
        <v>20</v>
      </c>
      <c r="H21381" s="35">
        <v>47</v>
      </c>
      <c r="I21381" s="33" t="s">
        <v>21</v>
      </c>
      <c r="J21381" s="42">
        <v>45353</v>
      </c>
      <c r="K21381" s="33" t="s">
        <v>22</v>
      </c>
    </row>
    <row r="21382" spans="1:11">
      <c r="A21382" s="30" t="s">
        <v>47375</v>
      </c>
      <c r="B21382" s="30" t="s">
        <v>47376</v>
      </c>
      <c r="C21382" s="30" t="s">
        <v>6903</v>
      </c>
      <c r="D21382" s="30" t="s">
        <v>17</v>
      </c>
      <c r="E21382" s="30" t="s">
        <v>31</v>
      </c>
      <c r="F21382" s="30" t="s">
        <v>32</v>
      </c>
      <c r="G21382" s="30" t="s">
        <v>158</v>
      </c>
      <c r="H21382" s="32">
        <v>150</v>
      </c>
      <c r="I21382" s="30" t="s">
        <v>51</v>
      </c>
      <c r="J21382" s="41">
        <v>45474</v>
      </c>
      <c r="K21382" s="30" t="s">
        <v>22</v>
      </c>
    </row>
    <row r="21383" spans="1:11">
      <c r="A21383" s="33" t="s">
        <v>47377</v>
      </c>
      <c r="B21383" s="33" t="s">
        <v>47378</v>
      </c>
      <c r="C21383" s="33" t="s">
        <v>47379</v>
      </c>
      <c r="D21383" s="33" t="s">
        <v>17</v>
      </c>
      <c r="E21383" s="33" t="s">
        <v>18</v>
      </c>
      <c r="F21383" s="33" t="s">
        <v>19</v>
      </c>
      <c r="G21383" s="33" t="s">
        <v>20</v>
      </c>
      <c r="H21383" s="35">
        <v>306</v>
      </c>
      <c r="I21383" s="33" t="s">
        <v>21</v>
      </c>
      <c r="J21383" s="42">
        <v>45544</v>
      </c>
      <c r="K21383" s="33" t="s">
        <v>22</v>
      </c>
    </row>
    <row r="21384" spans="1:11">
      <c r="A21384" s="30" t="s">
        <v>47380</v>
      </c>
      <c r="B21384" s="30" t="s">
        <v>47381</v>
      </c>
      <c r="C21384" s="30" t="s">
        <v>93</v>
      </c>
      <c r="D21384" s="30" t="s">
        <v>17</v>
      </c>
      <c r="E21384" s="30" t="s">
        <v>26</v>
      </c>
      <c r="F21384" s="30" t="s">
        <v>27</v>
      </c>
      <c r="G21384" s="30" t="s">
        <v>20</v>
      </c>
      <c r="H21384" s="32">
        <v>12</v>
      </c>
      <c r="I21384" s="30" t="s">
        <v>21</v>
      </c>
      <c r="J21384" s="41">
        <v>45467</v>
      </c>
      <c r="K21384" s="30" t="s">
        <v>22</v>
      </c>
    </row>
    <row r="21385" spans="1:11">
      <c r="A21385" s="33" t="s">
        <v>47382</v>
      </c>
      <c r="B21385" s="33" t="s">
        <v>47383</v>
      </c>
      <c r="C21385" s="33" t="s">
        <v>1165</v>
      </c>
      <c r="D21385" s="33" t="s">
        <v>17</v>
      </c>
      <c r="E21385" s="33" t="s">
        <v>18</v>
      </c>
      <c r="F21385" s="33" t="s">
        <v>19</v>
      </c>
      <c r="G21385" s="33" t="s">
        <v>106</v>
      </c>
      <c r="H21385" s="35">
        <v>102</v>
      </c>
      <c r="I21385" s="33" t="s">
        <v>21</v>
      </c>
      <c r="J21385" s="42">
        <v>45378</v>
      </c>
      <c r="K21385" s="33" t="s">
        <v>22</v>
      </c>
    </row>
    <row r="21386" spans="1:11">
      <c r="A21386" s="30" t="s">
        <v>47384</v>
      </c>
      <c r="B21386" s="30" t="s">
        <v>47385</v>
      </c>
      <c r="C21386" s="30" t="s">
        <v>7035</v>
      </c>
      <c r="D21386" s="30" t="s">
        <v>17</v>
      </c>
      <c r="E21386" s="30" t="s">
        <v>31</v>
      </c>
      <c r="F21386" s="30" t="s">
        <v>32</v>
      </c>
      <c r="G21386" s="30" t="s">
        <v>106</v>
      </c>
      <c r="H21386" s="32">
        <v>214</v>
      </c>
      <c r="I21386" s="30" t="s">
        <v>21</v>
      </c>
      <c r="J21386" s="41">
        <v>45642</v>
      </c>
      <c r="K21386" s="30" t="s">
        <v>22</v>
      </c>
    </row>
    <row r="21387" spans="1:11">
      <c r="A21387" s="33" t="s">
        <v>47386</v>
      </c>
      <c r="B21387" s="33" t="s">
        <v>47387</v>
      </c>
      <c r="C21387" s="33" t="s">
        <v>1136</v>
      </c>
      <c r="D21387" s="33" t="s">
        <v>17</v>
      </c>
      <c r="E21387" s="33" t="s">
        <v>18</v>
      </c>
      <c r="F21387" s="33" t="s">
        <v>19</v>
      </c>
      <c r="G21387" s="33" t="s">
        <v>20</v>
      </c>
      <c r="H21387" s="35">
        <v>840</v>
      </c>
      <c r="I21387" s="33" t="s">
        <v>21</v>
      </c>
      <c r="J21387" s="42">
        <v>45370</v>
      </c>
      <c r="K21387" s="33" t="s">
        <v>22</v>
      </c>
    </row>
    <row r="21388" spans="1:11">
      <c r="A21388" s="30" t="s">
        <v>47388</v>
      </c>
      <c r="B21388" s="30" t="s">
        <v>47389</v>
      </c>
      <c r="C21388" s="30" t="s">
        <v>44</v>
      </c>
      <c r="D21388" s="30" t="s">
        <v>17</v>
      </c>
      <c r="E21388" s="30" t="s">
        <v>18</v>
      </c>
      <c r="F21388" s="30" t="s">
        <v>19</v>
      </c>
      <c r="G21388" s="30" t="s">
        <v>20</v>
      </c>
      <c r="H21388" s="32">
        <v>64</v>
      </c>
      <c r="I21388" s="30" t="s">
        <v>21</v>
      </c>
      <c r="J21388" s="41">
        <v>45602</v>
      </c>
      <c r="K21388" s="30" t="s">
        <v>22</v>
      </c>
    </row>
    <row r="21389" spans="1:11">
      <c r="A21389" s="33" t="s">
        <v>47390</v>
      </c>
      <c r="B21389" s="33" t="s">
        <v>47391</v>
      </c>
      <c r="C21389" s="33" t="s">
        <v>30884</v>
      </c>
      <c r="D21389" s="33" t="s">
        <v>17</v>
      </c>
      <c r="E21389" s="33" t="s">
        <v>67</v>
      </c>
      <c r="F21389" s="33" t="s">
        <v>68</v>
      </c>
      <c r="G21389" s="33" t="s">
        <v>140</v>
      </c>
      <c r="H21389" s="35">
        <v>170</v>
      </c>
      <c r="I21389" s="33" t="s">
        <v>51</v>
      </c>
      <c r="J21389" s="42">
        <v>45642</v>
      </c>
      <c r="K21389" s="33" t="s">
        <v>22</v>
      </c>
    </row>
    <row r="21390" spans="1:11">
      <c r="A21390" s="30" t="s">
        <v>47392</v>
      </c>
      <c r="B21390" s="30" t="s">
        <v>47393</v>
      </c>
      <c r="C21390" s="30" t="s">
        <v>136</v>
      </c>
      <c r="D21390" s="30" t="s">
        <v>17</v>
      </c>
      <c r="E21390" s="30" t="s">
        <v>18</v>
      </c>
      <c r="F21390" s="30" t="s">
        <v>19</v>
      </c>
      <c r="G21390" s="30" t="s">
        <v>140</v>
      </c>
      <c r="H21390" s="32">
        <v>450</v>
      </c>
      <c r="I21390" s="30" t="s">
        <v>51</v>
      </c>
      <c r="J21390" s="41">
        <v>45408</v>
      </c>
      <c r="K21390" s="30" t="s">
        <v>22</v>
      </c>
    </row>
    <row r="21391" spans="1:11">
      <c r="A21391" s="33" t="s">
        <v>47394</v>
      </c>
      <c r="B21391" s="33" t="s">
        <v>47395</v>
      </c>
      <c r="C21391" s="33" t="s">
        <v>102</v>
      </c>
      <c r="D21391" s="33" t="s">
        <v>17</v>
      </c>
      <c r="E21391" s="33" t="s">
        <v>31</v>
      </c>
      <c r="F21391" s="33" t="s">
        <v>32</v>
      </c>
      <c r="G21391" s="33" t="s">
        <v>140</v>
      </c>
      <c r="H21391" s="35">
        <v>480</v>
      </c>
      <c r="I21391" s="33" t="s">
        <v>51</v>
      </c>
      <c r="J21391" s="42">
        <v>45642</v>
      </c>
      <c r="K21391" s="33" t="s">
        <v>22</v>
      </c>
    </row>
    <row r="21392" spans="1:11">
      <c r="A21392" s="30" t="s">
        <v>47396</v>
      </c>
      <c r="B21392" s="30" t="s">
        <v>47397</v>
      </c>
      <c r="C21392" s="30" t="s">
        <v>47398</v>
      </c>
      <c r="D21392" s="30" t="s">
        <v>17</v>
      </c>
      <c r="E21392" s="30" t="s">
        <v>18</v>
      </c>
      <c r="F21392" s="30" t="s">
        <v>19</v>
      </c>
      <c r="G21392" s="30" t="s">
        <v>140</v>
      </c>
      <c r="H21392" s="32">
        <v>15</v>
      </c>
      <c r="I21392" s="30" t="s">
        <v>51</v>
      </c>
      <c r="J21392" s="41">
        <v>45338</v>
      </c>
      <c r="K21392" s="30" t="s">
        <v>22</v>
      </c>
    </row>
    <row r="21393" spans="1:11">
      <c r="A21393" s="33" t="s">
        <v>47399</v>
      </c>
      <c r="B21393" s="33" t="s">
        <v>47400</v>
      </c>
      <c r="C21393" s="33" t="s">
        <v>44733</v>
      </c>
      <c r="D21393" s="33" t="s">
        <v>17</v>
      </c>
      <c r="E21393" s="33" t="s">
        <v>26</v>
      </c>
      <c r="F21393" s="33" t="s">
        <v>27</v>
      </c>
      <c r="G21393" s="33" t="s">
        <v>20</v>
      </c>
      <c r="H21393" s="35">
        <v>32</v>
      </c>
      <c r="I21393" s="33" t="s">
        <v>21</v>
      </c>
      <c r="J21393" s="42">
        <v>45467</v>
      </c>
      <c r="K21393" s="33" t="s">
        <v>22</v>
      </c>
    </row>
    <row r="21394" spans="1:11">
      <c r="A21394" s="30" t="s">
        <v>47401</v>
      </c>
      <c r="B21394" s="30" t="s">
        <v>47402</v>
      </c>
      <c r="C21394" s="30" t="s">
        <v>16964</v>
      </c>
      <c r="D21394" s="30" t="s">
        <v>17</v>
      </c>
      <c r="E21394" s="30" t="s">
        <v>26</v>
      </c>
      <c r="F21394" s="30" t="s">
        <v>27</v>
      </c>
      <c r="G21394" s="30" t="s">
        <v>20</v>
      </c>
      <c r="H21394" s="32">
        <v>72</v>
      </c>
      <c r="I21394" s="30" t="s">
        <v>21</v>
      </c>
      <c r="J21394" s="41">
        <v>45365</v>
      </c>
      <c r="K21394" s="30" t="s">
        <v>22</v>
      </c>
    </row>
    <row r="21395" spans="1:11">
      <c r="A21395" s="33" t="s">
        <v>47403</v>
      </c>
      <c r="B21395" s="33" t="s">
        <v>47404</v>
      </c>
      <c r="C21395" s="33" t="s">
        <v>37584</v>
      </c>
      <c r="D21395" s="33" t="s">
        <v>17</v>
      </c>
      <c r="E21395" s="33" t="s">
        <v>31</v>
      </c>
      <c r="F21395" s="33" t="s">
        <v>32</v>
      </c>
      <c r="G21395" s="33" t="s">
        <v>20</v>
      </c>
      <c r="H21395" s="35">
        <v>250</v>
      </c>
      <c r="I21395" s="33" t="s">
        <v>21</v>
      </c>
      <c r="J21395" s="42">
        <v>45645</v>
      </c>
      <c r="K21395" s="33" t="s">
        <v>22</v>
      </c>
    </row>
    <row r="21396" spans="1:11">
      <c r="A21396" s="30" t="s">
        <v>47405</v>
      </c>
      <c r="B21396" s="30" t="s">
        <v>47406</v>
      </c>
      <c r="C21396" s="30" t="s">
        <v>925</v>
      </c>
      <c r="D21396" s="30" t="s">
        <v>17</v>
      </c>
      <c r="E21396" s="30" t="s">
        <v>45</v>
      </c>
      <c r="F21396" s="30" t="s">
        <v>46</v>
      </c>
      <c r="G21396" s="30" t="s">
        <v>106</v>
      </c>
      <c r="H21396" s="32">
        <v>73</v>
      </c>
      <c r="I21396" s="30" t="s">
        <v>21</v>
      </c>
      <c r="J21396" s="41">
        <v>45586</v>
      </c>
      <c r="K21396" s="30" t="s">
        <v>22</v>
      </c>
    </row>
    <row r="21397" spans="1:11">
      <c r="A21397" s="33" t="s">
        <v>47407</v>
      </c>
      <c r="B21397" s="33" t="s">
        <v>47408</v>
      </c>
      <c r="C21397" s="33" t="s">
        <v>2490</v>
      </c>
      <c r="D21397" s="33" t="s">
        <v>17</v>
      </c>
      <c r="E21397" s="33" t="s">
        <v>212</v>
      </c>
      <c r="F21397" s="33" t="s">
        <v>213</v>
      </c>
      <c r="G21397" s="33" t="s">
        <v>7780</v>
      </c>
      <c r="H21397" s="35">
        <v>736</v>
      </c>
      <c r="I21397" s="33" t="s">
        <v>51</v>
      </c>
      <c r="J21397" s="42">
        <v>45442</v>
      </c>
      <c r="K21397" s="33" t="s">
        <v>22</v>
      </c>
    </row>
    <row r="21398" spans="1:11">
      <c r="A21398" s="30" t="s">
        <v>47409</v>
      </c>
      <c r="B21398" s="30" t="s">
        <v>47410</v>
      </c>
      <c r="C21398" s="30" t="s">
        <v>47411</v>
      </c>
      <c r="D21398" s="30" t="s">
        <v>17</v>
      </c>
      <c r="E21398" s="30" t="s">
        <v>26</v>
      </c>
      <c r="F21398" s="30" t="s">
        <v>27</v>
      </c>
      <c r="G21398" s="30" t="s">
        <v>20</v>
      </c>
      <c r="H21398" s="32">
        <v>243</v>
      </c>
      <c r="I21398" s="30" t="s">
        <v>21</v>
      </c>
      <c r="J21398" s="41">
        <v>45628</v>
      </c>
      <c r="K21398" s="30" t="s">
        <v>22</v>
      </c>
    </row>
    <row r="21399" spans="1:11">
      <c r="A21399" s="33" t="s">
        <v>47412</v>
      </c>
      <c r="B21399" s="33" t="s">
        <v>47413</v>
      </c>
      <c r="C21399" s="33" t="s">
        <v>203</v>
      </c>
      <c r="D21399" s="33" t="s">
        <v>17</v>
      </c>
      <c r="E21399" s="33" t="s">
        <v>67</v>
      </c>
      <c r="F21399" s="33" t="s">
        <v>68</v>
      </c>
      <c r="G21399" s="33" t="s">
        <v>106</v>
      </c>
      <c r="H21399" s="35">
        <v>7</v>
      </c>
      <c r="I21399" s="33" t="s">
        <v>21</v>
      </c>
      <c r="J21399" s="42">
        <v>45517</v>
      </c>
      <c r="K21399" s="33" t="s">
        <v>22</v>
      </c>
    </row>
    <row r="21400" spans="1:11">
      <c r="A21400" s="30" t="s">
        <v>47414</v>
      </c>
      <c r="B21400" s="30" t="s">
        <v>47415</v>
      </c>
      <c r="C21400" s="30" t="s">
        <v>1165</v>
      </c>
      <c r="D21400" s="30" t="s">
        <v>17</v>
      </c>
      <c r="E21400" s="30" t="s">
        <v>18</v>
      </c>
      <c r="F21400" s="30" t="s">
        <v>19</v>
      </c>
      <c r="G21400" s="30" t="s">
        <v>158</v>
      </c>
      <c r="H21400" s="32">
        <v>154</v>
      </c>
      <c r="I21400" s="30" t="s">
        <v>21</v>
      </c>
      <c r="J21400" s="41">
        <v>45644</v>
      </c>
      <c r="K21400" s="30" t="s">
        <v>22</v>
      </c>
    </row>
    <row r="21401" spans="1:11">
      <c r="A21401" s="33" t="s">
        <v>47416</v>
      </c>
      <c r="B21401" s="33" t="s">
        <v>47417</v>
      </c>
      <c r="C21401" s="33" t="s">
        <v>47418</v>
      </c>
      <c r="D21401" s="33" t="s">
        <v>17</v>
      </c>
      <c r="E21401" s="33" t="s">
        <v>212</v>
      </c>
      <c r="F21401" s="33" t="s">
        <v>213</v>
      </c>
      <c r="G21401" s="33" t="s">
        <v>7780</v>
      </c>
      <c r="H21401" s="35">
        <v>60</v>
      </c>
      <c r="I21401" s="33" t="s">
        <v>51</v>
      </c>
      <c r="J21401" s="42">
        <v>45611</v>
      </c>
      <c r="K21401" s="33" t="s">
        <v>22</v>
      </c>
    </row>
    <row r="21402" spans="1:11">
      <c r="A21402" s="30" t="s">
        <v>47419</v>
      </c>
      <c r="B21402" s="30" t="s">
        <v>47420</v>
      </c>
      <c r="C21402" s="30" t="s">
        <v>47421</v>
      </c>
      <c r="D21402" s="30" t="s">
        <v>17</v>
      </c>
      <c r="E21402" s="30" t="s">
        <v>26</v>
      </c>
      <c r="F21402" s="30" t="s">
        <v>27</v>
      </c>
      <c r="G21402" s="30" t="s">
        <v>140</v>
      </c>
      <c r="H21402" s="32">
        <v>100</v>
      </c>
      <c r="I21402" s="30" t="s">
        <v>51</v>
      </c>
      <c r="J21402" s="41">
        <v>45434</v>
      </c>
      <c r="K21402" s="30" t="s">
        <v>22</v>
      </c>
    </row>
    <row r="21403" spans="1:11">
      <c r="A21403" s="33" t="s">
        <v>47422</v>
      </c>
      <c r="B21403" s="33" t="s">
        <v>47423</v>
      </c>
      <c r="C21403" s="33" t="s">
        <v>647</v>
      </c>
      <c r="D21403" s="33" t="s">
        <v>17</v>
      </c>
      <c r="E21403" s="33" t="s">
        <v>26</v>
      </c>
      <c r="F21403" s="33" t="s">
        <v>27</v>
      </c>
      <c r="G21403" s="33" t="s">
        <v>20</v>
      </c>
      <c r="H21403" s="35">
        <v>36</v>
      </c>
      <c r="I21403" s="33" t="s">
        <v>21</v>
      </c>
      <c r="J21403" s="42">
        <v>45308</v>
      </c>
      <c r="K21403" s="33" t="s">
        <v>22</v>
      </c>
    </row>
    <row r="21404" spans="1:11">
      <c r="A21404" s="30" t="s">
        <v>47424</v>
      </c>
      <c r="B21404" s="30" t="s">
        <v>47425</v>
      </c>
      <c r="C21404" s="30" t="s">
        <v>1857</v>
      </c>
      <c r="D21404" s="30" t="s">
        <v>17</v>
      </c>
      <c r="E21404" s="30" t="s">
        <v>26</v>
      </c>
      <c r="F21404" s="30" t="s">
        <v>27</v>
      </c>
      <c r="G21404" s="30" t="s">
        <v>140</v>
      </c>
      <c r="H21404" s="32">
        <v>9</v>
      </c>
      <c r="I21404" s="30" t="s">
        <v>51</v>
      </c>
      <c r="J21404" s="41">
        <v>45641</v>
      </c>
      <c r="K21404" s="30" t="s">
        <v>22</v>
      </c>
    </row>
    <row r="21405" spans="1:11">
      <c r="A21405" s="33" t="s">
        <v>47426</v>
      </c>
      <c r="B21405" s="33" t="s">
        <v>47427</v>
      </c>
      <c r="C21405" s="33" t="s">
        <v>190</v>
      </c>
      <c r="D21405" s="33" t="s">
        <v>17</v>
      </c>
      <c r="E21405" s="33" t="s">
        <v>45</v>
      </c>
      <c r="F21405" s="33" t="s">
        <v>46</v>
      </c>
      <c r="G21405" s="33" t="s">
        <v>158</v>
      </c>
      <c r="H21405" s="35">
        <v>432</v>
      </c>
      <c r="I21405" s="33" t="s">
        <v>21</v>
      </c>
      <c r="J21405" s="42">
        <v>45632</v>
      </c>
      <c r="K21405" s="33" t="s">
        <v>22</v>
      </c>
    </row>
    <row r="21406" spans="1:11">
      <c r="A21406" s="30" t="s">
        <v>47428</v>
      </c>
      <c r="B21406" s="30" t="s">
        <v>47429</v>
      </c>
      <c r="C21406" s="30" t="s">
        <v>47430</v>
      </c>
      <c r="D21406" s="30" t="s">
        <v>17</v>
      </c>
      <c r="E21406" s="30" t="s">
        <v>67</v>
      </c>
      <c r="F21406" s="30" t="s">
        <v>68</v>
      </c>
      <c r="G21406" s="30" t="s">
        <v>140</v>
      </c>
      <c r="H21406" s="32">
        <v>12</v>
      </c>
      <c r="I21406" s="30" t="s">
        <v>51</v>
      </c>
      <c r="J21406" s="41">
        <v>45478</v>
      </c>
      <c r="K21406" s="30" t="s">
        <v>22</v>
      </c>
    </row>
    <row r="21407" spans="1:11">
      <c r="A21407" s="33" t="s">
        <v>47431</v>
      </c>
      <c r="B21407" s="33" t="s">
        <v>47432</v>
      </c>
      <c r="C21407" s="33" t="s">
        <v>231</v>
      </c>
      <c r="D21407" s="33" t="s">
        <v>17</v>
      </c>
      <c r="E21407" s="33" t="s">
        <v>26</v>
      </c>
      <c r="F21407" s="33" t="s">
        <v>27</v>
      </c>
      <c r="G21407" s="33" t="s">
        <v>20</v>
      </c>
      <c r="H21407" s="35">
        <v>46</v>
      </c>
      <c r="I21407" s="33" t="s">
        <v>21</v>
      </c>
      <c r="J21407" s="42">
        <v>45357</v>
      </c>
      <c r="K21407" s="33" t="s">
        <v>22</v>
      </c>
    </row>
    <row r="21408" spans="1:11">
      <c r="A21408" s="30" t="s">
        <v>47433</v>
      </c>
      <c r="B21408" s="30" t="s">
        <v>47434</v>
      </c>
      <c r="C21408" s="30" t="s">
        <v>14816</v>
      </c>
      <c r="D21408" s="30" t="s">
        <v>17</v>
      </c>
      <c r="E21408" s="30" t="s">
        <v>31</v>
      </c>
      <c r="F21408" s="30" t="s">
        <v>32</v>
      </c>
      <c r="G21408" s="30" t="s">
        <v>20</v>
      </c>
      <c r="H21408" s="32">
        <v>81</v>
      </c>
      <c r="I21408" s="30" t="s">
        <v>21</v>
      </c>
      <c r="J21408" s="41">
        <v>45616</v>
      </c>
      <c r="K21408" s="30" t="s">
        <v>22</v>
      </c>
    </row>
    <row r="21409" spans="1:11">
      <c r="A21409" s="33" t="s">
        <v>47435</v>
      </c>
      <c r="B21409" s="33" t="s">
        <v>47436</v>
      </c>
      <c r="C21409" s="33" t="s">
        <v>47437</v>
      </c>
      <c r="D21409" s="33" t="s">
        <v>17</v>
      </c>
      <c r="E21409" s="33" t="s">
        <v>26</v>
      </c>
      <c r="F21409" s="33" t="s">
        <v>27</v>
      </c>
      <c r="G21409" s="33" t="s">
        <v>20</v>
      </c>
      <c r="H21409" s="35">
        <v>112</v>
      </c>
      <c r="I21409" s="33" t="s">
        <v>21</v>
      </c>
      <c r="J21409" s="42">
        <v>45459</v>
      </c>
      <c r="K21409" s="33" t="s">
        <v>22</v>
      </c>
    </row>
    <row r="21410" spans="1:11">
      <c r="A21410" s="30" t="s">
        <v>47438</v>
      </c>
      <c r="B21410" s="30" t="s">
        <v>47439</v>
      </c>
      <c r="C21410" s="30" t="s">
        <v>7726</v>
      </c>
      <c r="D21410" s="30" t="s">
        <v>17</v>
      </c>
      <c r="E21410" s="30" t="s">
        <v>212</v>
      </c>
      <c r="F21410" s="30" t="s">
        <v>213</v>
      </c>
      <c r="G21410" s="30" t="s">
        <v>20</v>
      </c>
      <c r="H21410" s="32">
        <v>5</v>
      </c>
      <c r="I21410" s="30" t="s">
        <v>21</v>
      </c>
      <c r="J21410" s="41">
        <v>45562</v>
      </c>
      <c r="K21410" s="30" t="s">
        <v>22</v>
      </c>
    </row>
    <row r="21411" spans="1:11">
      <c r="A21411" s="33" t="s">
        <v>47440</v>
      </c>
      <c r="B21411" s="33" t="s">
        <v>47441</v>
      </c>
      <c r="C21411" s="33" t="s">
        <v>801</v>
      </c>
      <c r="D21411" s="33" t="s">
        <v>17</v>
      </c>
      <c r="E21411" s="33" t="s">
        <v>26</v>
      </c>
      <c r="F21411" s="33" t="s">
        <v>27</v>
      </c>
      <c r="G21411" s="33" t="s">
        <v>158</v>
      </c>
      <c r="H21411" s="35">
        <v>33</v>
      </c>
      <c r="I21411" s="33" t="s">
        <v>21</v>
      </c>
      <c r="J21411" s="42">
        <v>45474</v>
      </c>
      <c r="K21411" s="33" t="s">
        <v>22</v>
      </c>
    </row>
    <row r="21412" spans="1:11">
      <c r="A21412" s="30" t="s">
        <v>47442</v>
      </c>
      <c r="B21412" s="30" t="s">
        <v>47443</v>
      </c>
      <c r="C21412" s="30" t="s">
        <v>3594</v>
      </c>
      <c r="D21412" s="30" t="s">
        <v>17</v>
      </c>
      <c r="E21412" s="30" t="s">
        <v>26</v>
      </c>
      <c r="F21412" s="30" t="s">
        <v>27</v>
      </c>
      <c r="G21412" s="30" t="s">
        <v>20</v>
      </c>
      <c r="H21412" s="32">
        <v>88</v>
      </c>
      <c r="I21412" s="30" t="s">
        <v>21</v>
      </c>
      <c r="J21412" s="41">
        <v>45342</v>
      </c>
      <c r="K21412" s="30" t="s">
        <v>22</v>
      </c>
    </row>
    <row r="21413" spans="1:11">
      <c r="A21413" s="33" t="s">
        <v>47444</v>
      </c>
      <c r="B21413" s="33" t="s">
        <v>47445</v>
      </c>
      <c r="C21413" s="33" t="s">
        <v>13425</v>
      </c>
      <c r="D21413" s="33" t="s">
        <v>17</v>
      </c>
      <c r="E21413" s="33" t="s">
        <v>31</v>
      </c>
      <c r="F21413" s="33" t="s">
        <v>32</v>
      </c>
      <c r="G21413" s="33" t="s">
        <v>112</v>
      </c>
      <c r="H21413" s="35">
        <v>0</v>
      </c>
      <c r="I21413" s="33" t="s">
        <v>21</v>
      </c>
      <c r="J21413" s="42">
        <v>45536</v>
      </c>
      <c r="K21413" s="33" t="s">
        <v>22</v>
      </c>
    </row>
    <row r="21414" spans="1:11">
      <c r="A21414" s="30" t="s">
        <v>47446</v>
      </c>
      <c r="B21414" s="30" t="s">
        <v>47447</v>
      </c>
      <c r="C21414" s="30" t="s">
        <v>1016</v>
      </c>
      <c r="D21414" s="30" t="s">
        <v>17</v>
      </c>
      <c r="E21414" s="30" t="s">
        <v>31</v>
      </c>
      <c r="F21414" s="30" t="s">
        <v>32</v>
      </c>
      <c r="G21414" s="30" t="s">
        <v>140</v>
      </c>
      <c r="H21414" s="32">
        <v>33</v>
      </c>
      <c r="I21414" s="30" t="s">
        <v>51</v>
      </c>
      <c r="J21414" s="41">
        <v>45638</v>
      </c>
      <c r="K21414" s="30" t="s">
        <v>22</v>
      </c>
    </row>
    <row r="21415" spans="1:11">
      <c r="A21415" s="33" t="s">
        <v>47448</v>
      </c>
      <c r="B21415" s="33" t="s">
        <v>47449</v>
      </c>
      <c r="C21415" s="33" t="s">
        <v>102</v>
      </c>
      <c r="D21415" s="33" t="s">
        <v>17</v>
      </c>
      <c r="E21415" s="33" t="s">
        <v>18</v>
      </c>
      <c r="F21415" s="33" t="s">
        <v>19</v>
      </c>
      <c r="G21415" s="33" t="s">
        <v>140</v>
      </c>
      <c r="H21415" s="35">
        <v>752</v>
      </c>
      <c r="I21415" s="33" t="s">
        <v>51</v>
      </c>
      <c r="J21415" s="42">
        <v>45498</v>
      </c>
      <c r="K21415" s="33" t="s">
        <v>22</v>
      </c>
    </row>
    <row r="21416" spans="1:11">
      <c r="A21416" s="30" t="s">
        <v>47450</v>
      </c>
      <c r="B21416" s="30" t="s">
        <v>47451</v>
      </c>
      <c r="C21416" s="30" t="s">
        <v>379</v>
      </c>
      <c r="D21416" s="30" t="s">
        <v>17</v>
      </c>
      <c r="E21416" s="30" t="s">
        <v>18</v>
      </c>
      <c r="F21416" s="30" t="s">
        <v>19</v>
      </c>
      <c r="G21416" s="30" t="s">
        <v>140</v>
      </c>
      <c r="H21416" s="32">
        <v>550</v>
      </c>
      <c r="I21416" s="30" t="s">
        <v>51</v>
      </c>
      <c r="J21416" s="41">
        <v>45618</v>
      </c>
      <c r="K21416" s="30" t="s">
        <v>22</v>
      </c>
    </row>
    <row r="21417" spans="1:11">
      <c r="A21417" s="33" t="s">
        <v>47452</v>
      </c>
      <c r="B21417" s="33" t="s">
        <v>47453</v>
      </c>
      <c r="C21417" s="33" t="s">
        <v>231</v>
      </c>
      <c r="D21417" s="33" t="s">
        <v>17</v>
      </c>
      <c r="E21417" s="33" t="s">
        <v>26</v>
      </c>
      <c r="F21417" s="33" t="s">
        <v>27</v>
      </c>
      <c r="G21417" s="33" t="s">
        <v>20</v>
      </c>
      <c r="H21417" s="35">
        <v>110</v>
      </c>
      <c r="I21417" s="33" t="s">
        <v>21</v>
      </c>
      <c r="J21417" s="42">
        <v>45364</v>
      </c>
      <c r="K21417" s="33" t="s">
        <v>22</v>
      </c>
    </row>
    <row r="21418" spans="1:11">
      <c r="A21418" s="30" t="s">
        <v>47454</v>
      </c>
      <c r="B21418" s="30" t="s">
        <v>47455</v>
      </c>
      <c r="C21418" s="30" t="s">
        <v>231</v>
      </c>
      <c r="D21418" s="30" t="s">
        <v>17</v>
      </c>
      <c r="E21418" s="30" t="s">
        <v>31</v>
      </c>
      <c r="F21418" s="30" t="s">
        <v>32</v>
      </c>
      <c r="G21418" s="30" t="s">
        <v>158</v>
      </c>
      <c r="H21418" s="32">
        <v>90</v>
      </c>
      <c r="I21418" s="30" t="s">
        <v>21</v>
      </c>
      <c r="J21418" s="41">
        <v>45656</v>
      </c>
      <c r="K21418" s="30" t="s">
        <v>22</v>
      </c>
    </row>
    <row r="21419" spans="1:11">
      <c r="A21419" s="33" t="s">
        <v>47456</v>
      </c>
      <c r="B21419" s="33" t="s">
        <v>47457</v>
      </c>
      <c r="C21419" s="33" t="s">
        <v>310</v>
      </c>
      <c r="D21419" s="33" t="s">
        <v>17</v>
      </c>
      <c r="E21419" s="33" t="s">
        <v>31</v>
      </c>
      <c r="F21419" s="33" t="s">
        <v>32</v>
      </c>
      <c r="G21419" s="33" t="s">
        <v>158</v>
      </c>
      <c r="H21419" s="35">
        <v>80</v>
      </c>
      <c r="I21419" s="33" t="s">
        <v>51</v>
      </c>
      <c r="J21419" s="42">
        <v>45342</v>
      </c>
      <c r="K21419" s="33" t="s">
        <v>22</v>
      </c>
    </row>
    <row r="21420" spans="1:11">
      <c r="A21420" s="30" t="s">
        <v>47458</v>
      </c>
      <c r="B21420" s="30" t="s">
        <v>47459</v>
      </c>
      <c r="C21420" s="30" t="s">
        <v>13864</v>
      </c>
      <c r="D21420" s="30" t="s">
        <v>17</v>
      </c>
      <c r="E21420" s="30" t="s">
        <v>18</v>
      </c>
      <c r="F21420" s="30" t="s">
        <v>19</v>
      </c>
      <c r="G21420" s="30" t="s">
        <v>158</v>
      </c>
      <c r="H21420" s="32">
        <v>99</v>
      </c>
      <c r="I21420" s="30" t="s">
        <v>21</v>
      </c>
      <c r="J21420" s="41">
        <v>45533</v>
      </c>
      <c r="K21420" s="30" t="s">
        <v>22</v>
      </c>
    </row>
    <row r="21421" spans="1:11">
      <c r="A21421" s="33" t="s">
        <v>47460</v>
      </c>
      <c r="B21421" s="33" t="s">
        <v>47461</v>
      </c>
      <c r="C21421" s="33" t="s">
        <v>102</v>
      </c>
      <c r="D21421" s="33" t="s">
        <v>17</v>
      </c>
      <c r="E21421" s="33" t="s">
        <v>67</v>
      </c>
      <c r="F21421" s="33" t="s">
        <v>68</v>
      </c>
      <c r="G21421" s="33" t="s">
        <v>20</v>
      </c>
      <c r="H21421" s="35">
        <v>12</v>
      </c>
      <c r="I21421" s="33" t="s">
        <v>21</v>
      </c>
      <c r="J21421" s="42">
        <v>45496</v>
      </c>
      <c r="K21421" s="33" t="s">
        <v>22</v>
      </c>
    </row>
    <row r="21422" spans="1:11">
      <c r="A21422" s="30" t="s">
        <v>47462</v>
      </c>
      <c r="B21422" s="30" t="s">
        <v>47463</v>
      </c>
      <c r="C21422" s="30" t="s">
        <v>2220</v>
      </c>
      <c r="D21422" s="30" t="s">
        <v>17</v>
      </c>
      <c r="E21422" s="30" t="s">
        <v>18</v>
      </c>
      <c r="F21422" s="30" t="s">
        <v>19</v>
      </c>
      <c r="G21422" s="30" t="s">
        <v>2613</v>
      </c>
      <c r="H21422" s="32">
        <v>752</v>
      </c>
      <c r="I21422" s="30" t="s">
        <v>51</v>
      </c>
      <c r="J21422" s="41">
        <v>45405</v>
      </c>
      <c r="K21422" s="30" t="s">
        <v>22</v>
      </c>
    </row>
    <row r="21423" spans="1:11">
      <c r="A21423" s="33" t="s">
        <v>47464</v>
      </c>
      <c r="B21423" s="33" t="s">
        <v>47465</v>
      </c>
      <c r="C21423" s="33" t="s">
        <v>30312</v>
      </c>
      <c r="D21423" s="33" t="s">
        <v>17</v>
      </c>
      <c r="E21423" s="33" t="s">
        <v>31</v>
      </c>
      <c r="F21423" s="33" t="s">
        <v>32</v>
      </c>
      <c r="G21423" s="33" t="s">
        <v>50</v>
      </c>
      <c r="H21423" s="35">
        <v>30</v>
      </c>
      <c r="I21423" s="33" t="s">
        <v>51</v>
      </c>
      <c r="J21423" s="42">
        <v>45383</v>
      </c>
      <c r="K21423" s="33" t="s">
        <v>22</v>
      </c>
    </row>
    <row r="21424" spans="1:11">
      <c r="A21424" s="30" t="s">
        <v>47466</v>
      </c>
      <c r="B21424" s="30" t="s">
        <v>47467</v>
      </c>
      <c r="C21424" s="30" t="s">
        <v>102</v>
      </c>
      <c r="D21424" s="30" t="s">
        <v>17</v>
      </c>
      <c r="E21424" s="30" t="s">
        <v>18</v>
      </c>
      <c r="F21424" s="30" t="s">
        <v>19</v>
      </c>
      <c r="G21424" s="30" t="s">
        <v>158</v>
      </c>
      <c r="H21424" s="32">
        <v>731</v>
      </c>
      <c r="I21424" s="30" t="s">
        <v>21</v>
      </c>
      <c r="J21424" s="41">
        <v>45360</v>
      </c>
      <c r="K21424" s="30" t="s">
        <v>22</v>
      </c>
    </row>
    <row r="21425" spans="1:11">
      <c r="A21425" s="33" t="s">
        <v>47468</v>
      </c>
      <c r="B21425" s="33" t="s">
        <v>47469</v>
      </c>
      <c r="C21425" s="33" t="s">
        <v>2490</v>
      </c>
      <c r="D21425" s="33" t="s">
        <v>17</v>
      </c>
      <c r="E21425" s="33" t="s">
        <v>31</v>
      </c>
      <c r="F21425" s="33" t="s">
        <v>32</v>
      </c>
      <c r="G21425" s="33" t="s">
        <v>50</v>
      </c>
      <c r="H21425" s="35">
        <v>150</v>
      </c>
      <c r="I21425" s="33" t="s">
        <v>51</v>
      </c>
      <c r="J21425" s="42">
        <v>45317</v>
      </c>
      <c r="K21425" s="33" t="s">
        <v>22</v>
      </c>
    </row>
    <row r="21426" spans="1:11">
      <c r="A21426" s="30" t="s">
        <v>47470</v>
      </c>
      <c r="B21426" s="30" t="s">
        <v>47471</v>
      </c>
      <c r="C21426" s="30" t="s">
        <v>925</v>
      </c>
      <c r="D21426" s="30" t="s">
        <v>17</v>
      </c>
      <c r="E21426" s="30" t="s">
        <v>18</v>
      </c>
      <c r="F21426" s="30" t="s">
        <v>19</v>
      </c>
      <c r="G21426" s="30" t="s">
        <v>158</v>
      </c>
      <c r="H21426" s="32">
        <v>600</v>
      </c>
      <c r="I21426" s="30" t="s">
        <v>51</v>
      </c>
      <c r="J21426" s="41">
        <v>45573</v>
      </c>
      <c r="K21426" s="30" t="s">
        <v>22</v>
      </c>
    </row>
    <row r="21427" spans="1:11">
      <c r="A21427" s="33" t="s">
        <v>47472</v>
      </c>
      <c r="B21427" s="33" t="s">
        <v>47473</v>
      </c>
      <c r="C21427" s="33" t="s">
        <v>310</v>
      </c>
      <c r="D21427" s="33" t="s">
        <v>17</v>
      </c>
      <c r="E21427" s="33" t="s">
        <v>26</v>
      </c>
      <c r="F21427" s="33" t="s">
        <v>27</v>
      </c>
      <c r="G21427" s="33" t="s">
        <v>20</v>
      </c>
      <c r="H21427" s="35">
        <v>47</v>
      </c>
      <c r="I21427" s="33" t="s">
        <v>21</v>
      </c>
      <c r="J21427" s="42">
        <v>45491</v>
      </c>
      <c r="K21427" s="33" t="s">
        <v>22</v>
      </c>
    </row>
    <row r="21428" spans="1:11">
      <c r="A21428" s="30" t="s">
        <v>47474</v>
      </c>
      <c r="B21428" s="30" t="s">
        <v>47475</v>
      </c>
      <c r="C21428" s="30" t="s">
        <v>57</v>
      </c>
      <c r="D21428" s="30" t="s">
        <v>17</v>
      </c>
      <c r="E21428" s="30" t="s">
        <v>26</v>
      </c>
      <c r="F21428" s="30" t="s">
        <v>27</v>
      </c>
      <c r="G21428" s="30" t="s">
        <v>140</v>
      </c>
      <c r="H21428" s="32">
        <v>84</v>
      </c>
      <c r="I21428" s="30" t="s">
        <v>51</v>
      </c>
      <c r="J21428" s="41">
        <v>45636</v>
      </c>
      <c r="K21428" s="30" t="s">
        <v>22</v>
      </c>
    </row>
    <row r="21429" spans="1:11">
      <c r="A21429" s="33" t="s">
        <v>47476</v>
      </c>
      <c r="B21429" s="33" t="s">
        <v>47477</v>
      </c>
      <c r="C21429" s="33" t="s">
        <v>30601</v>
      </c>
      <c r="D21429" s="33" t="s">
        <v>17</v>
      </c>
      <c r="E21429" s="33" t="s">
        <v>26</v>
      </c>
      <c r="F21429" s="33" t="s">
        <v>27</v>
      </c>
      <c r="G21429" s="33" t="s">
        <v>50</v>
      </c>
      <c r="H21429" s="35">
        <v>27</v>
      </c>
      <c r="I21429" s="33" t="s">
        <v>51</v>
      </c>
      <c r="J21429" s="42">
        <v>45383</v>
      </c>
      <c r="K21429" s="33" t="s">
        <v>22</v>
      </c>
    </row>
    <row r="21430" spans="1:11">
      <c r="A21430" s="30" t="s">
        <v>47478</v>
      </c>
      <c r="B21430" s="30" t="s">
        <v>47479</v>
      </c>
      <c r="C21430" s="30" t="s">
        <v>5636</v>
      </c>
      <c r="D21430" s="30" t="s">
        <v>17</v>
      </c>
      <c r="E21430" s="30" t="s">
        <v>18</v>
      </c>
      <c r="F21430" s="30" t="s">
        <v>19</v>
      </c>
      <c r="G21430" s="30" t="s">
        <v>7780</v>
      </c>
      <c r="H21430" s="32">
        <v>120</v>
      </c>
      <c r="I21430" s="30" t="s">
        <v>51</v>
      </c>
      <c r="J21430" s="41">
        <v>45292</v>
      </c>
      <c r="K21430" s="30" t="s">
        <v>22</v>
      </c>
    </row>
    <row r="21431" spans="1:11">
      <c r="A21431" s="33" t="s">
        <v>47480</v>
      </c>
      <c r="B21431" s="33" t="s">
        <v>47481</v>
      </c>
      <c r="C21431" s="33" t="s">
        <v>13050</v>
      </c>
      <c r="D21431" s="33" t="s">
        <v>17</v>
      </c>
      <c r="E21431" s="33" t="s">
        <v>67</v>
      </c>
      <c r="F21431" s="33" t="s">
        <v>68</v>
      </c>
      <c r="G21431" s="33" t="s">
        <v>7780</v>
      </c>
      <c r="H21431" s="35">
        <v>236</v>
      </c>
      <c r="I21431" s="33" t="s">
        <v>51</v>
      </c>
      <c r="J21431" s="42">
        <v>45337</v>
      </c>
      <c r="K21431" s="33" t="s">
        <v>22</v>
      </c>
    </row>
    <row r="21432" spans="1:11">
      <c r="A21432" s="30" t="s">
        <v>47482</v>
      </c>
      <c r="B21432" s="30" t="s">
        <v>47483</v>
      </c>
      <c r="C21432" s="30" t="s">
        <v>15585</v>
      </c>
      <c r="D21432" s="30" t="s">
        <v>17</v>
      </c>
      <c r="E21432" s="30" t="s">
        <v>31</v>
      </c>
      <c r="F21432" s="30" t="s">
        <v>32</v>
      </c>
      <c r="G21432" s="30" t="s">
        <v>50</v>
      </c>
      <c r="H21432" s="32">
        <v>40</v>
      </c>
      <c r="I21432" s="30" t="s">
        <v>51</v>
      </c>
      <c r="J21432" s="41">
        <v>45409</v>
      </c>
      <c r="K21432" s="30" t="s">
        <v>22</v>
      </c>
    </row>
    <row r="21433" spans="1:11">
      <c r="A21433" s="33" t="s">
        <v>47484</v>
      </c>
      <c r="B21433" s="33" t="s">
        <v>47485</v>
      </c>
      <c r="C21433" s="33" t="s">
        <v>12536</v>
      </c>
      <c r="D21433" s="33" t="s">
        <v>17</v>
      </c>
      <c r="E21433" s="33" t="s">
        <v>31</v>
      </c>
      <c r="F21433" s="33" t="s">
        <v>32</v>
      </c>
      <c r="G21433" s="33" t="s">
        <v>140</v>
      </c>
      <c r="H21433" s="35">
        <v>142</v>
      </c>
      <c r="I21433" s="33" t="s">
        <v>51</v>
      </c>
      <c r="J21433" s="42">
        <v>45656</v>
      </c>
      <c r="K21433" s="33" t="s">
        <v>22</v>
      </c>
    </row>
    <row r="21434" spans="1:11">
      <c r="A21434" s="30" t="s">
        <v>47486</v>
      </c>
      <c r="B21434" s="30" t="s">
        <v>47487</v>
      </c>
      <c r="C21434" s="30" t="s">
        <v>4796</v>
      </c>
      <c r="D21434" s="30" t="s">
        <v>17</v>
      </c>
      <c r="E21434" s="30" t="s">
        <v>26</v>
      </c>
      <c r="F21434" s="30" t="s">
        <v>27</v>
      </c>
      <c r="G21434" s="30" t="s">
        <v>20</v>
      </c>
      <c r="H21434" s="32">
        <v>37</v>
      </c>
      <c r="I21434" s="30" t="s">
        <v>21</v>
      </c>
      <c r="J21434" s="41">
        <v>45321</v>
      </c>
      <c r="K21434" s="30" t="s">
        <v>22</v>
      </c>
    </row>
    <row r="21435" spans="1:11">
      <c r="A21435" s="33" t="s">
        <v>47488</v>
      </c>
      <c r="B21435" s="33" t="s">
        <v>47489</v>
      </c>
      <c r="C21435" s="33" t="s">
        <v>23400</v>
      </c>
      <c r="D21435" s="33" t="s">
        <v>17</v>
      </c>
      <c r="E21435" s="33" t="s">
        <v>26</v>
      </c>
      <c r="F21435" s="33" t="s">
        <v>27</v>
      </c>
      <c r="G21435" s="33" t="s">
        <v>158</v>
      </c>
      <c r="H21435" s="35">
        <v>81</v>
      </c>
      <c r="I21435" s="33" t="s">
        <v>21</v>
      </c>
      <c r="J21435" s="42">
        <v>45595</v>
      </c>
      <c r="K21435" s="33" t="s">
        <v>22</v>
      </c>
    </row>
    <row r="21436" spans="1:11">
      <c r="A21436" s="30" t="s">
        <v>47490</v>
      </c>
      <c r="B21436" s="30" t="s">
        <v>47491</v>
      </c>
      <c r="C21436" s="30" t="s">
        <v>2599</v>
      </c>
      <c r="D21436" s="30" t="s">
        <v>17</v>
      </c>
      <c r="E21436" s="30" t="s">
        <v>67</v>
      </c>
      <c r="F21436" s="30" t="s">
        <v>68</v>
      </c>
      <c r="G21436" s="30" t="s">
        <v>140</v>
      </c>
      <c r="H21436" s="32">
        <v>180</v>
      </c>
      <c r="I21436" s="30" t="s">
        <v>51</v>
      </c>
      <c r="J21436" s="41">
        <v>45377</v>
      </c>
      <c r="K21436" s="30" t="s">
        <v>22</v>
      </c>
    </row>
    <row r="21437" spans="1:11">
      <c r="A21437" s="33" t="s">
        <v>47492</v>
      </c>
      <c r="B21437" s="33" t="s">
        <v>47493</v>
      </c>
      <c r="C21437" s="33" t="s">
        <v>1270</v>
      </c>
      <c r="D21437" s="33" t="s">
        <v>17</v>
      </c>
      <c r="E21437" s="33" t="s">
        <v>31</v>
      </c>
      <c r="F21437" s="33" t="s">
        <v>32</v>
      </c>
      <c r="G21437" s="33" t="s">
        <v>50</v>
      </c>
      <c r="H21437" s="35">
        <v>276</v>
      </c>
      <c r="I21437" s="33" t="s">
        <v>51</v>
      </c>
      <c r="J21437" s="42">
        <v>45352</v>
      </c>
      <c r="K21437" s="33" t="s">
        <v>22</v>
      </c>
    </row>
    <row r="21438" spans="1:11">
      <c r="A21438" s="30" t="s">
        <v>47494</v>
      </c>
      <c r="B21438" s="30" t="s">
        <v>47495</v>
      </c>
      <c r="C21438" s="30" t="s">
        <v>1801</v>
      </c>
      <c r="D21438" s="30" t="s">
        <v>17</v>
      </c>
      <c r="E21438" s="30" t="s">
        <v>26</v>
      </c>
      <c r="F21438" s="30" t="s">
        <v>27</v>
      </c>
      <c r="G21438" s="30" t="s">
        <v>140</v>
      </c>
      <c r="H21438" s="32">
        <v>130</v>
      </c>
      <c r="I21438" s="30" t="s">
        <v>51</v>
      </c>
      <c r="J21438" s="41">
        <v>45436</v>
      </c>
      <c r="K21438" s="30" t="s">
        <v>22</v>
      </c>
    </row>
    <row r="21439" spans="1:11">
      <c r="A21439" s="33" t="s">
        <v>47496</v>
      </c>
      <c r="B21439" s="33" t="s">
        <v>47497</v>
      </c>
      <c r="C21439" s="33" t="s">
        <v>25186</v>
      </c>
      <c r="D21439" s="33" t="s">
        <v>17</v>
      </c>
      <c r="E21439" s="33" t="s">
        <v>31</v>
      </c>
      <c r="F21439" s="33" t="s">
        <v>32</v>
      </c>
      <c r="G21439" s="33" t="s">
        <v>50</v>
      </c>
      <c r="H21439" s="35">
        <v>180</v>
      </c>
      <c r="I21439" s="33" t="s">
        <v>51</v>
      </c>
      <c r="J21439" s="42">
        <v>45488</v>
      </c>
      <c r="K21439" s="33" t="s">
        <v>22</v>
      </c>
    </row>
    <row r="21440" spans="1:11">
      <c r="A21440" s="30" t="s">
        <v>47498</v>
      </c>
      <c r="B21440" s="30" t="s">
        <v>47499</v>
      </c>
      <c r="C21440" s="30" t="s">
        <v>11434</v>
      </c>
      <c r="D21440" s="30" t="s">
        <v>17</v>
      </c>
      <c r="E21440" s="30" t="s">
        <v>18</v>
      </c>
      <c r="F21440" s="30" t="s">
        <v>19</v>
      </c>
      <c r="G21440" s="30" t="s">
        <v>106</v>
      </c>
      <c r="H21440" s="32">
        <v>98</v>
      </c>
      <c r="I21440" s="30" t="s">
        <v>21</v>
      </c>
      <c r="J21440" s="41">
        <v>45596</v>
      </c>
      <c r="K21440" s="30" t="s">
        <v>22</v>
      </c>
    </row>
    <row r="21441" spans="1:11">
      <c r="A21441" s="33" t="s">
        <v>47500</v>
      </c>
      <c r="B21441" s="33" t="s">
        <v>47501</v>
      </c>
      <c r="C21441" s="33" t="s">
        <v>47502</v>
      </c>
      <c r="D21441" s="33" t="s">
        <v>17</v>
      </c>
      <c r="E21441" s="33" t="s">
        <v>18</v>
      </c>
      <c r="F21441" s="33" t="s">
        <v>19</v>
      </c>
      <c r="G21441" s="33" t="s">
        <v>140</v>
      </c>
      <c r="H21441" s="35">
        <v>70</v>
      </c>
      <c r="I21441" s="33" t="s">
        <v>51</v>
      </c>
      <c r="J21441" s="42">
        <v>45639</v>
      </c>
      <c r="K21441" s="33" t="s">
        <v>22</v>
      </c>
    </row>
    <row r="21442" spans="1:11">
      <c r="A21442" s="30" t="s">
        <v>47503</v>
      </c>
      <c r="B21442" s="30" t="s">
        <v>47504</v>
      </c>
      <c r="C21442" s="30" t="s">
        <v>47505</v>
      </c>
      <c r="D21442" s="30" t="s">
        <v>17</v>
      </c>
      <c r="E21442" s="30" t="s">
        <v>26</v>
      </c>
      <c r="F21442" s="30" t="s">
        <v>27</v>
      </c>
      <c r="G21442" s="30" t="s">
        <v>140</v>
      </c>
      <c r="H21442" s="32">
        <v>180</v>
      </c>
      <c r="I21442" s="30" t="s">
        <v>51</v>
      </c>
      <c r="J21442" s="41">
        <v>45617</v>
      </c>
      <c r="K21442" s="30" t="s">
        <v>22</v>
      </c>
    </row>
    <row r="21443" spans="1:11">
      <c r="A21443" s="33" t="s">
        <v>47506</v>
      </c>
      <c r="B21443" s="33" t="s">
        <v>47507</v>
      </c>
      <c r="C21443" s="33" t="s">
        <v>47508</v>
      </c>
      <c r="D21443" s="33" t="s">
        <v>17</v>
      </c>
      <c r="E21443" s="33" t="s">
        <v>67</v>
      </c>
      <c r="F21443" s="33" t="s">
        <v>68</v>
      </c>
      <c r="G21443" s="33" t="s">
        <v>7780</v>
      </c>
      <c r="H21443" s="35">
        <v>96</v>
      </c>
      <c r="I21443" s="33" t="s">
        <v>51</v>
      </c>
      <c r="J21443" s="42">
        <v>45502</v>
      </c>
      <c r="K21443" s="33" t="s">
        <v>22</v>
      </c>
    </row>
    <row r="21444" spans="1:11">
      <c r="A21444" s="30" t="s">
        <v>47509</v>
      </c>
      <c r="B21444" s="30" t="s">
        <v>47510</v>
      </c>
      <c r="C21444" s="30" t="s">
        <v>190</v>
      </c>
      <c r="D21444" s="30" t="s">
        <v>17</v>
      </c>
      <c r="E21444" s="30" t="s">
        <v>26</v>
      </c>
      <c r="F21444" s="30" t="s">
        <v>27</v>
      </c>
      <c r="G21444" s="30" t="s">
        <v>106</v>
      </c>
      <c r="H21444" s="32">
        <v>84</v>
      </c>
      <c r="I21444" s="30" t="s">
        <v>21</v>
      </c>
      <c r="J21444" s="41">
        <v>45383</v>
      </c>
      <c r="K21444" s="30" t="s">
        <v>22</v>
      </c>
    </row>
    <row r="21445" spans="1:11">
      <c r="A21445" s="33" t="s">
        <v>47511</v>
      </c>
      <c r="B21445" s="33" t="s">
        <v>47512</v>
      </c>
      <c r="C21445" s="33" t="s">
        <v>93</v>
      </c>
      <c r="D21445" s="33" t="s">
        <v>17</v>
      </c>
      <c r="E21445" s="33" t="s">
        <v>18</v>
      </c>
      <c r="F21445" s="33" t="s">
        <v>19</v>
      </c>
      <c r="G21445" s="33" t="s">
        <v>140</v>
      </c>
      <c r="H21445" s="35">
        <v>231</v>
      </c>
      <c r="I21445" s="33" t="s">
        <v>51</v>
      </c>
      <c r="J21445" s="42">
        <v>45642</v>
      </c>
      <c r="K21445" s="33" t="s">
        <v>22</v>
      </c>
    </row>
    <row r="21446" spans="1:11">
      <c r="A21446" s="30" t="s">
        <v>47513</v>
      </c>
      <c r="B21446" s="30" t="s">
        <v>47514</v>
      </c>
      <c r="C21446" s="30" t="s">
        <v>5870</v>
      </c>
      <c r="D21446" s="30" t="s">
        <v>17</v>
      </c>
      <c r="E21446" s="30" t="s">
        <v>26</v>
      </c>
      <c r="F21446" s="30" t="s">
        <v>27</v>
      </c>
      <c r="G21446" s="30" t="s">
        <v>20</v>
      </c>
      <c r="H21446" s="32">
        <v>240</v>
      </c>
      <c r="I21446" s="30" t="s">
        <v>21</v>
      </c>
      <c r="J21446" s="41">
        <v>45534</v>
      </c>
      <c r="K21446" s="30" t="s">
        <v>22</v>
      </c>
    </row>
    <row r="21447" spans="1:11">
      <c r="A21447" s="33" t="s">
        <v>47515</v>
      </c>
      <c r="B21447" s="33" t="s">
        <v>47516</v>
      </c>
      <c r="C21447" s="33" t="s">
        <v>231</v>
      </c>
      <c r="D21447" s="33" t="s">
        <v>17</v>
      </c>
      <c r="E21447" s="33" t="s">
        <v>67</v>
      </c>
      <c r="F21447" s="33" t="s">
        <v>68</v>
      </c>
      <c r="G21447" s="33" t="s">
        <v>106</v>
      </c>
      <c r="H21447" s="35">
        <v>5</v>
      </c>
      <c r="I21447" s="33" t="s">
        <v>21</v>
      </c>
      <c r="J21447" s="42">
        <v>45600</v>
      </c>
      <c r="K21447" s="33" t="s">
        <v>22</v>
      </c>
    </row>
    <row r="21448" spans="1:11">
      <c r="A21448" s="30" t="s">
        <v>47517</v>
      </c>
      <c r="B21448" s="30" t="s">
        <v>47518</v>
      </c>
      <c r="C21448" s="30" t="s">
        <v>34089</v>
      </c>
      <c r="D21448" s="30" t="s">
        <v>17</v>
      </c>
      <c r="E21448" s="30" t="s">
        <v>67</v>
      </c>
      <c r="F21448" s="30" t="s">
        <v>68</v>
      </c>
      <c r="G21448" s="30" t="s">
        <v>158</v>
      </c>
      <c r="H21448" s="32">
        <v>38</v>
      </c>
      <c r="I21448" s="30" t="s">
        <v>21</v>
      </c>
      <c r="J21448" s="41">
        <v>45608</v>
      </c>
      <c r="K21448" s="30" t="s">
        <v>22</v>
      </c>
    </row>
    <row r="21449" spans="1:11">
      <c r="A21449" s="33" t="s">
        <v>47519</v>
      </c>
      <c r="B21449" s="33" t="s">
        <v>47520</v>
      </c>
      <c r="C21449" s="33" t="s">
        <v>318</v>
      </c>
      <c r="D21449" s="33" t="s">
        <v>17</v>
      </c>
      <c r="E21449" s="33" t="s">
        <v>31</v>
      </c>
      <c r="F21449" s="33" t="s">
        <v>32</v>
      </c>
      <c r="G21449" s="33" t="s">
        <v>158</v>
      </c>
      <c r="H21449" s="35">
        <v>32</v>
      </c>
      <c r="I21449" s="33" t="s">
        <v>21</v>
      </c>
      <c r="J21449" s="42">
        <v>45531</v>
      </c>
      <c r="K21449" s="33" t="s">
        <v>22</v>
      </c>
    </row>
    <row r="21450" spans="1:11">
      <c r="A21450" s="30" t="s">
        <v>47521</v>
      </c>
      <c r="B21450" s="30" t="s">
        <v>47522</v>
      </c>
      <c r="C21450" s="30" t="s">
        <v>47523</v>
      </c>
      <c r="D21450" s="30" t="s">
        <v>17</v>
      </c>
      <c r="E21450" s="30" t="s">
        <v>18</v>
      </c>
      <c r="F21450" s="30" t="s">
        <v>19</v>
      </c>
      <c r="G21450" s="30" t="s">
        <v>69</v>
      </c>
      <c r="H21450" s="32">
        <v>234</v>
      </c>
      <c r="I21450" s="30" t="s">
        <v>51</v>
      </c>
      <c r="J21450" s="41">
        <v>45627</v>
      </c>
      <c r="K21450" s="30" t="s">
        <v>22</v>
      </c>
    </row>
    <row r="21451" spans="1:11">
      <c r="A21451" s="33" t="s">
        <v>47524</v>
      </c>
      <c r="B21451" s="33" t="s">
        <v>47525</v>
      </c>
      <c r="C21451" s="33" t="s">
        <v>231</v>
      </c>
      <c r="D21451" s="33" t="s">
        <v>17</v>
      </c>
      <c r="E21451" s="33" t="s">
        <v>26</v>
      </c>
      <c r="F21451" s="33" t="s">
        <v>27</v>
      </c>
      <c r="G21451" s="33" t="s">
        <v>20</v>
      </c>
      <c r="H21451" s="35">
        <v>56</v>
      </c>
      <c r="I21451" s="33" t="s">
        <v>21</v>
      </c>
      <c r="J21451" s="42">
        <v>45412</v>
      </c>
      <c r="K21451" s="33" t="s">
        <v>22</v>
      </c>
    </row>
    <row r="21452" spans="1:11">
      <c r="A21452" s="30" t="s">
        <v>47526</v>
      </c>
      <c r="B21452" s="30" t="s">
        <v>47527</v>
      </c>
      <c r="C21452" s="30" t="s">
        <v>1136</v>
      </c>
      <c r="D21452" s="30" t="s">
        <v>17</v>
      </c>
      <c r="E21452" s="30" t="s">
        <v>26</v>
      </c>
      <c r="F21452" s="30" t="s">
        <v>27</v>
      </c>
      <c r="G21452" s="30" t="s">
        <v>20</v>
      </c>
      <c r="H21452" s="32">
        <v>390</v>
      </c>
      <c r="I21452" s="30" t="s">
        <v>21</v>
      </c>
      <c r="J21452" s="41">
        <v>45552</v>
      </c>
      <c r="K21452" s="30" t="s">
        <v>22</v>
      </c>
    </row>
    <row r="21453" spans="1:11">
      <c r="A21453" s="33" t="s">
        <v>47528</v>
      </c>
      <c r="B21453" s="33" t="s">
        <v>47529</v>
      </c>
      <c r="C21453" s="33" t="s">
        <v>60</v>
      </c>
      <c r="D21453" s="33" t="s">
        <v>17</v>
      </c>
      <c r="E21453" s="33" t="s">
        <v>26</v>
      </c>
      <c r="F21453" s="33" t="s">
        <v>27</v>
      </c>
      <c r="G21453" s="33" t="s">
        <v>20</v>
      </c>
      <c r="H21453" s="35">
        <v>88</v>
      </c>
      <c r="I21453" s="33" t="s">
        <v>21</v>
      </c>
      <c r="J21453" s="42">
        <v>45421</v>
      </c>
      <c r="K21453" s="33" t="s">
        <v>22</v>
      </c>
    </row>
    <row r="21454" spans="1:11">
      <c r="A21454" s="30" t="s">
        <v>47530</v>
      </c>
      <c r="B21454" s="30" t="s">
        <v>47531</v>
      </c>
      <c r="C21454" s="30" t="s">
        <v>190</v>
      </c>
      <c r="D21454" s="30" t="s">
        <v>17</v>
      </c>
      <c r="E21454" s="30" t="s">
        <v>18</v>
      </c>
      <c r="F21454" s="30" t="s">
        <v>19</v>
      </c>
      <c r="G21454" s="30" t="s">
        <v>158</v>
      </c>
      <c r="H21454" s="32">
        <v>422</v>
      </c>
      <c r="I21454" s="30" t="s">
        <v>21</v>
      </c>
      <c r="J21454" s="41">
        <v>45495</v>
      </c>
      <c r="K21454" s="30" t="s">
        <v>22</v>
      </c>
    </row>
    <row r="21455" spans="1:11">
      <c r="A21455" s="33" t="s">
        <v>47532</v>
      </c>
      <c r="B21455" s="33" t="s">
        <v>47533</v>
      </c>
      <c r="C21455" s="33" t="s">
        <v>13241</v>
      </c>
      <c r="D21455" s="33" t="s">
        <v>17</v>
      </c>
      <c r="E21455" s="33" t="s">
        <v>67</v>
      </c>
      <c r="F21455" s="33" t="s">
        <v>68</v>
      </c>
      <c r="G21455" s="33" t="s">
        <v>140</v>
      </c>
      <c r="H21455" s="35">
        <v>201</v>
      </c>
      <c r="I21455" s="33" t="s">
        <v>51</v>
      </c>
      <c r="J21455" s="42">
        <v>45569</v>
      </c>
      <c r="K21455" s="33" t="s">
        <v>22</v>
      </c>
    </row>
    <row r="21456" spans="1:11">
      <c r="A21456" s="30" t="s">
        <v>47534</v>
      </c>
      <c r="B21456" s="30" t="s">
        <v>47535</v>
      </c>
      <c r="C21456" s="30" t="s">
        <v>37693</v>
      </c>
      <c r="D21456" s="30" t="s">
        <v>17</v>
      </c>
      <c r="E21456" s="30" t="s">
        <v>26</v>
      </c>
      <c r="F21456" s="30" t="s">
        <v>27</v>
      </c>
      <c r="G21456" s="30" t="s">
        <v>20</v>
      </c>
      <c r="H21456" s="32">
        <v>71</v>
      </c>
      <c r="I21456" s="30" t="s">
        <v>21</v>
      </c>
      <c r="J21456" s="41">
        <v>45428</v>
      </c>
      <c r="K21456" s="30" t="s">
        <v>22</v>
      </c>
    </row>
    <row r="21457" spans="1:11">
      <c r="A21457" s="33" t="s">
        <v>47536</v>
      </c>
      <c r="B21457" s="33" t="s">
        <v>47537</v>
      </c>
      <c r="C21457" s="33" t="s">
        <v>17663</v>
      </c>
      <c r="D21457" s="33" t="s">
        <v>17</v>
      </c>
      <c r="E21457" s="33" t="s">
        <v>18</v>
      </c>
      <c r="F21457" s="33" t="s">
        <v>19</v>
      </c>
      <c r="G21457" s="33" t="s">
        <v>20</v>
      </c>
      <c r="H21457" s="35">
        <v>143</v>
      </c>
      <c r="I21457" s="33" t="s">
        <v>21</v>
      </c>
      <c r="J21457" s="42">
        <v>45322</v>
      </c>
      <c r="K21457" s="33" t="s">
        <v>22</v>
      </c>
    </row>
    <row r="21458" spans="1:11">
      <c r="A21458" s="30" t="s">
        <v>47538</v>
      </c>
      <c r="B21458" s="30" t="s">
        <v>47539</v>
      </c>
      <c r="C21458" s="30" t="s">
        <v>109</v>
      </c>
      <c r="D21458" s="30" t="s">
        <v>17</v>
      </c>
      <c r="E21458" s="30" t="s">
        <v>31</v>
      </c>
      <c r="F21458" s="30" t="s">
        <v>32</v>
      </c>
      <c r="G21458" s="30" t="s">
        <v>158</v>
      </c>
      <c r="H21458" s="32">
        <v>155</v>
      </c>
      <c r="I21458" s="30" t="s">
        <v>21</v>
      </c>
      <c r="J21458" s="41">
        <v>45475</v>
      </c>
      <c r="K21458" s="30" t="s">
        <v>22</v>
      </c>
    </row>
    <row r="21459" spans="1:11">
      <c r="A21459" s="33" t="s">
        <v>47540</v>
      </c>
      <c r="B21459" s="33" t="s">
        <v>47541</v>
      </c>
      <c r="C21459" s="33" t="s">
        <v>6127</v>
      </c>
      <c r="D21459" s="33" t="s">
        <v>17</v>
      </c>
      <c r="E21459" s="33" t="s">
        <v>31</v>
      </c>
      <c r="F21459" s="33" t="s">
        <v>32</v>
      </c>
      <c r="G21459" s="33" t="s">
        <v>140</v>
      </c>
      <c r="H21459" s="35">
        <v>200</v>
      </c>
      <c r="I21459" s="33" t="s">
        <v>51</v>
      </c>
      <c r="J21459" s="42">
        <v>45429</v>
      </c>
      <c r="K21459" s="33" t="s">
        <v>22</v>
      </c>
    </row>
    <row r="21460" spans="1:11">
      <c r="A21460" s="30" t="s">
        <v>47542</v>
      </c>
      <c r="B21460" s="30" t="s">
        <v>47543</v>
      </c>
      <c r="C21460" s="30" t="s">
        <v>29416</v>
      </c>
      <c r="D21460" s="30" t="s">
        <v>17</v>
      </c>
      <c r="E21460" s="30" t="s">
        <v>67</v>
      </c>
      <c r="F21460" s="30" t="s">
        <v>68</v>
      </c>
      <c r="G21460" s="30" t="s">
        <v>20</v>
      </c>
      <c r="H21460" s="32">
        <v>40</v>
      </c>
      <c r="I21460" s="30" t="s">
        <v>21</v>
      </c>
      <c r="J21460" s="41">
        <v>45586</v>
      </c>
      <c r="K21460" s="30" t="s">
        <v>22</v>
      </c>
    </row>
    <row r="21461" spans="1:11">
      <c r="A21461" s="33" t="s">
        <v>47544</v>
      </c>
      <c r="B21461" s="33" t="s">
        <v>47545</v>
      </c>
      <c r="C21461" s="33" t="s">
        <v>6914</v>
      </c>
      <c r="D21461" s="33" t="s">
        <v>17</v>
      </c>
      <c r="E21461" s="33" t="s">
        <v>26</v>
      </c>
      <c r="F21461" s="33" t="s">
        <v>27</v>
      </c>
      <c r="G21461" s="33" t="s">
        <v>106</v>
      </c>
      <c r="H21461" s="35">
        <v>26</v>
      </c>
      <c r="I21461" s="33" t="s">
        <v>21</v>
      </c>
      <c r="J21461" s="42">
        <v>45552</v>
      </c>
      <c r="K21461" s="33" t="s">
        <v>22</v>
      </c>
    </row>
    <row r="21462" spans="1:11">
      <c r="A21462" s="30" t="s">
        <v>47546</v>
      </c>
      <c r="B21462" s="30" t="s">
        <v>47547</v>
      </c>
      <c r="C21462" s="30" t="s">
        <v>20283</v>
      </c>
      <c r="D21462" s="30" t="s">
        <v>17</v>
      </c>
      <c r="E21462" s="30" t="s">
        <v>18</v>
      </c>
      <c r="F21462" s="30" t="s">
        <v>19</v>
      </c>
      <c r="G21462" s="30" t="s">
        <v>20</v>
      </c>
      <c r="H21462" s="32">
        <v>252</v>
      </c>
      <c r="I21462" s="30" t="s">
        <v>21</v>
      </c>
      <c r="J21462" s="41">
        <v>45377</v>
      </c>
      <c r="K21462" s="30" t="s">
        <v>22</v>
      </c>
    </row>
    <row r="21463" spans="1:11">
      <c r="A21463" s="33" t="s">
        <v>47548</v>
      </c>
      <c r="B21463" s="33" t="s">
        <v>47549</v>
      </c>
      <c r="C21463" s="33" t="s">
        <v>25549</v>
      </c>
      <c r="D21463" s="33" t="s">
        <v>17</v>
      </c>
      <c r="E21463" s="33" t="s">
        <v>31</v>
      </c>
      <c r="F21463" s="33" t="s">
        <v>32</v>
      </c>
      <c r="G21463" s="33" t="s">
        <v>158</v>
      </c>
      <c r="H21463" s="35">
        <v>132</v>
      </c>
      <c r="I21463" s="33" t="s">
        <v>21</v>
      </c>
      <c r="J21463" s="42">
        <v>45328</v>
      </c>
      <c r="K21463" s="33" t="s">
        <v>22</v>
      </c>
    </row>
    <row r="21464" spans="1:11">
      <c r="A21464" s="30" t="s">
        <v>47550</v>
      </c>
      <c r="B21464" s="30" t="s">
        <v>47551</v>
      </c>
      <c r="C21464" s="30" t="s">
        <v>10330</v>
      </c>
      <c r="D21464" s="30" t="s">
        <v>17</v>
      </c>
      <c r="E21464" s="30" t="s">
        <v>31</v>
      </c>
      <c r="F21464" s="30" t="s">
        <v>32</v>
      </c>
      <c r="G21464" s="30" t="s">
        <v>20</v>
      </c>
      <c r="H21464" s="32">
        <v>171</v>
      </c>
      <c r="I21464" s="30" t="s">
        <v>21</v>
      </c>
      <c r="J21464" s="41">
        <v>45370</v>
      </c>
      <c r="K21464" s="30" t="s">
        <v>22</v>
      </c>
    </row>
    <row r="21465" spans="1:11">
      <c r="A21465" s="33" t="s">
        <v>47552</v>
      </c>
      <c r="B21465" s="33" t="s">
        <v>47553</v>
      </c>
      <c r="C21465" s="33" t="s">
        <v>17183</v>
      </c>
      <c r="D21465" s="33" t="s">
        <v>17</v>
      </c>
      <c r="E21465" s="33" t="s">
        <v>26</v>
      </c>
      <c r="F21465" s="33" t="s">
        <v>27</v>
      </c>
      <c r="G21465" s="33" t="s">
        <v>7780</v>
      </c>
      <c r="H21465" s="35">
        <v>30</v>
      </c>
      <c r="I21465" s="33" t="s">
        <v>51</v>
      </c>
      <c r="J21465" s="42">
        <v>45432</v>
      </c>
      <c r="K21465" s="33" t="s">
        <v>22</v>
      </c>
    </row>
    <row r="21466" spans="1:11">
      <c r="A21466" s="30" t="s">
        <v>47554</v>
      </c>
      <c r="B21466" s="30" t="s">
        <v>47555</v>
      </c>
      <c r="C21466" s="30" t="s">
        <v>2812</v>
      </c>
      <c r="D21466" s="30" t="s">
        <v>17</v>
      </c>
      <c r="E21466" s="30" t="s">
        <v>18</v>
      </c>
      <c r="F21466" s="30" t="s">
        <v>19</v>
      </c>
      <c r="G21466" s="30" t="s">
        <v>140</v>
      </c>
      <c r="H21466" s="32">
        <v>520</v>
      </c>
      <c r="I21466" s="30" t="s">
        <v>51</v>
      </c>
      <c r="J21466" s="41">
        <v>45505</v>
      </c>
      <c r="K21466" s="30" t="s">
        <v>22</v>
      </c>
    </row>
    <row r="21467" spans="1:11">
      <c r="A21467" s="33" t="s">
        <v>47556</v>
      </c>
      <c r="B21467" s="33" t="s">
        <v>47557</v>
      </c>
      <c r="C21467" s="33" t="s">
        <v>1928</v>
      </c>
      <c r="D21467" s="33" t="s">
        <v>17</v>
      </c>
      <c r="E21467" s="33" t="s">
        <v>31</v>
      </c>
      <c r="F21467" s="33" t="s">
        <v>32</v>
      </c>
      <c r="G21467" s="33" t="s">
        <v>140</v>
      </c>
      <c r="H21467" s="35">
        <v>600</v>
      </c>
      <c r="I21467" s="33" t="s">
        <v>51</v>
      </c>
      <c r="J21467" s="42">
        <v>45567</v>
      </c>
      <c r="K21467" s="33" t="s">
        <v>22</v>
      </c>
    </row>
    <row r="21468" spans="1:11">
      <c r="A21468" s="30" t="s">
        <v>47558</v>
      </c>
      <c r="B21468" s="30" t="s">
        <v>47559</v>
      </c>
      <c r="C21468" s="30" t="s">
        <v>1764</v>
      </c>
      <c r="D21468" s="30" t="s">
        <v>17</v>
      </c>
      <c r="E21468" s="30" t="s">
        <v>18</v>
      </c>
      <c r="F21468" s="30" t="s">
        <v>19</v>
      </c>
      <c r="G21468" s="30" t="s">
        <v>20</v>
      </c>
      <c r="H21468" s="32">
        <v>120</v>
      </c>
      <c r="I21468" s="30" t="s">
        <v>21</v>
      </c>
      <c r="J21468" s="41">
        <v>45552</v>
      </c>
      <c r="K21468" s="30" t="s">
        <v>22</v>
      </c>
    </row>
    <row r="21469" spans="1:11">
      <c r="A21469" s="33" t="s">
        <v>47560</v>
      </c>
      <c r="B21469" s="33" t="s">
        <v>47561</v>
      </c>
      <c r="C21469" s="33" t="s">
        <v>22258</v>
      </c>
      <c r="D21469" s="33" t="s">
        <v>17</v>
      </c>
      <c r="E21469" s="33" t="s">
        <v>31</v>
      </c>
      <c r="F21469" s="33" t="s">
        <v>32</v>
      </c>
      <c r="G21469" s="33" t="s">
        <v>140</v>
      </c>
      <c r="H21469" s="35">
        <v>50</v>
      </c>
      <c r="I21469" s="33" t="s">
        <v>51</v>
      </c>
      <c r="J21469" s="42">
        <v>45505</v>
      </c>
      <c r="K21469" s="33" t="s">
        <v>22</v>
      </c>
    </row>
    <row r="21470" spans="1:11">
      <c r="A21470" s="30" t="s">
        <v>47562</v>
      </c>
      <c r="B21470" s="30" t="s">
        <v>47563</v>
      </c>
      <c r="C21470" s="30" t="s">
        <v>21340</v>
      </c>
      <c r="D21470" s="30" t="s">
        <v>17</v>
      </c>
      <c r="E21470" s="30" t="s">
        <v>18</v>
      </c>
      <c r="F21470" s="30" t="s">
        <v>19</v>
      </c>
      <c r="G21470" s="30" t="s">
        <v>158</v>
      </c>
      <c r="H21470" s="32">
        <v>53</v>
      </c>
      <c r="I21470" s="30" t="s">
        <v>21</v>
      </c>
      <c r="J21470" s="41">
        <v>45300</v>
      </c>
      <c r="K21470" s="30" t="s">
        <v>22</v>
      </c>
    </row>
    <row r="21471" spans="1:11">
      <c r="A21471" s="33" t="s">
        <v>47564</v>
      </c>
      <c r="B21471" s="33" t="s">
        <v>47565</v>
      </c>
      <c r="C21471" s="33" t="s">
        <v>11840</v>
      </c>
      <c r="D21471" s="33" t="s">
        <v>17</v>
      </c>
      <c r="E21471" s="33" t="s">
        <v>26</v>
      </c>
      <c r="F21471" s="33" t="s">
        <v>27</v>
      </c>
      <c r="G21471" s="33" t="s">
        <v>140</v>
      </c>
      <c r="H21471" s="35">
        <v>67</v>
      </c>
      <c r="I21471" s="33" t="s">
        <v>51</v>
      </c>
      <c r="J21471" s="42">
        <v>45294</v>
      </c>
      <c r="K21471" s="33" t="s">
        <v>22</v>
      </c>
    </row>
    <row r="21472" spans="1:11">
      <c r="A21472" s="30" t="s">
        <v>47566</v>
      </c>
      <c r="B21472" s="30" t="s">
        <v>47567</v>
      </c>
      <c r="C21472" s="30" t="s">
        <v>29973</v>
      </c>
      <c r="D21472" s="30" t="s">
        <v>17</v>
      </c>
      <c r="E21472" s="30" t="s">
        <v>67</v>
      </c>
      <c r="F21472" s="30" t="s">
        <v>68</v>
      </c>
      <c r="G21472" s="30" t="s">
        <v>140</v>
      </c>
      <c r="H21472" s="32">
        <v>44</v>
      </c>
      <c r="I21472" s="30" t="s">
        <v>51</v>
      </c>
      <c r="J21472" s="41">
        <v>45471</v>
      </c>
      <c r="K21472" s="30" t="s">
        <v>22</v>
      </c>
    </row>
    <row r="21473" spans="1:11">
      <c r="A21473" s="33" t="s">
        <v>47568</v>
      </c>
      <c r="B21473" s="33" t="s">
        <v>47569</v>
      </c>
      <c r="C21473" s="33" t="s">
        <v>925</v>
      </c>
      <c r="D21473" s="33" t="s">
        <v>17</v>
      </c>
      <c r="E21473" s="33" t="s">
        <v>26</v>
      </c>
      <c r="F21473" s="33" t="s">
        <v>27</v>
      </c>
      <c r="G21473" s="33" t="s">
        <v>140</v>
      </c>
      <c r="H21473" s="35">
        <v>154</v>
      </c>
      <c r="I21473" s="33" t="s">
        <v>51</v>
      </c>
      <c r="J21473" s="42">
        <v>45499</v>
      </c>
      <c r="K21473" s="33" t="s">
        <v>22</v>
      </c>
    </row>
    <row r="21474" spans="1:11">
      <c r="A21474" s="30" t="s">
        <v>47570</v>
      </c>
      <c r="B21474" s="30" t="s">
        <v>47571</v>
      </c>
      <c r="C21474" s="30" t="s">
        <v>7072</v>
      </c>
      <c r="D21474" s="30" t="s">
        <v>17</v>
      </c>
      <c r="E21474" s="30" t="s">
        <v>18</v>
      </c>
      <c r="F21474" s="30" t="s">
        <v>19</v>
      </c>
      <c r="G21474" s="30" t="s">
        <v>140</v>
      </c>
      <c r="H21474" s="32">
        <v>524</v>
      </c>
      <c r="I21474" s="30" t="s">
        <v>51</v>
      </c>
      <c r="J21474" s="41">
        <v>45350</v>
      </c>
      <c r="K21474" s="30" t="s">
        <v>22</v>
      </c>
    </row>
    <row r="21475" spans="1:11">
      <c r="A21475" s="33" t="s">
        <v>47572</v>
      </c>
      <c r="B21475" s="33" t="s">
        <v>47573</v>
      </c>
      <c r="C21475" s="33" t="s">
        <v>3429</v>
      </c>
      <c r="D21475" s="33" t="s">
        <v>17</v>
      </c>
      <c r="E21475" s="33" t="s">
        <v>26</v>
      </c>
      <c r="F21475" s="33" t="s">
        <v>27</v>
      </c>
      <c r="G21475" s="33" t="s">
        <v>20</v>
      </c>
      <c r="H21475" s="35">
        <v>48</v>
      </c>
      <c r="I21475" s="33" t="s">
        <v>21</v>
      </c>
      <c r="J21475" s="42">
        <v>45654</v>
      </c>
      <c r="K21475" s="33" t="s">
        <v>22</v>
      </c>
    </row>
    <row r="21476" spans="1:11">
      <c r="A21476" s="30" t="s">
        <v>47574</v>
      </c>
      <c r="B21476" s="30" t="s">
        <v>47575</v>
      </c>
      <c r="C21476" s="30" t="s">
        <v>39161</v>
      </c>
      <c r="D21476" s="30" t="s">
        <v>17</v>
      </c>
      <c r="E21476" s="30" t="s">
        <v>18</v>
      </c>
      <c r="F21476" s="30" t="s">
        <v>19</v>
      </c>
      <c r="G21476" s="30" t="s">
        <v>106</v>
      </c>
      <c r="H21476" s="32">
        <v>101</v>
      </c>
      <c r="I21476" s="30" t="s">
        <v>21</v>
      </c>
      <c r="J21476" s="41">
        <v>45637</v>
      </c>
      <c r="K21476" s="30" t="s">
        <v>22</v>
      </c>
    </row>
    <row r="21477" spans="1:11">
      <c r="A21477" s="33" t="s">
        <v>47576</v>
      </c>
      <c r="B21477" s="33" t="s">
        <v>47577</v>
      </c>
      <c r="C21477" s="33" t="s">
        <v>2709</v>
      </c>
      <c r="D21477" s="33" t="s">
        <v>17</v>
      </c>
      <c r="E21477" s="33" t="s">
        <v>31</v>
      </c>
      <c r="F21477" s="33" t="s">
        <v>32</v>
      </c>
      <c r="G21477" s="33" t="s">
        <v>7780</v>
      </c>
      <c r="H21477" s="35">
        <v>120</v>
      </c>
      <c r="I21477" s="33" t="s">
        <v>51</v>
      </c>
      <c r="J21477" s="42">
        <v>45504</v>
      </c>
      <c r="K21477" s="33" t="s">
        <v>22</v>
      </c>
    </row>
    <row r="21478" spans="1:11">
      <c r="A21478" s="30" t="s">
        <v>47578</v>
      </c>
      <c r="B21478" s="30" t="s">
        <v>47579</v>
      </c>
      <c r="C21478" s="30" t="s">
        <v>687</v>
      </c>
      <c r="D21478" s="30" t="s">
        <v>17</v>
      </c>
      <c r="E21478" s="30" t="s">
        <v>31</v>
      </c>
      <c r="F21478" s="30" t="s">
        <v>32</v>
      </c>
      <c r="G21478" s="30" t="s">
        <v>20</v>
      </c>
      <c r="H21478" s="32">
        <v>253</v>
      </c>
      <c r="I21478" s="30" t="s">
        <v>21</v>
      </c>
      <c r="J21478" s="41">
        <v>45551</v>
      </c>
      <c r="K21478" s="30" t="s">
        <v>22</v>
      </c>
    </row>
    <row r="21479" spans="1:11">
      <c r="A21479" s="33" t="s">
        <v>47580</v>
      </c>
      <c r="B21479" s="33" t="s">
        <v>47581</v>
      </c>
      <c r="C21479" s="33" t="s">
        <v>5452</v>
      </c>
      <c r="D21479" s="33" t="s">
        <v>17</v>
      </c>
      <c r="E21479" s="33" t="s">
        <v>26</v>
      </c>
      <c r="F21479" s="33" t="s">
        <v>27</v>
      </c>
      <c r="G21479" s="33" t="s">
        <v>140</v>
      </c>
      <c r="H21479" s="35">
        <v>162</v>
      </c>
      <c r="I21479" s="33" t="s">
        <v>51</v>
      </c>
      <c r="J21479" s="42">
        <v>45476</v>
      </c>
      <c r="K21479" s="33" t="s">
        <v>22</v>
      </c>
    </row>
    <row r="21480" spans="1:11">
      <c r="A21480" s="30" t="s">
        <v>47582</v>
      </c>
      <c r="B21480" s="30" t="s">
        <v>47583</v>
      </c>
      <c r="C21480" s="30" t="s">
        <v>11366</v>
      </c>
      <c r="D21480" s="30" t="s">
        <v>17</v>
      </c>
      <c r="E21480" s="30" t="s">
        <v>26</v>
      </c>
      <c r="F21480" s="30" t="s">
        <v>27</v>
      </c>
      <c r="G21480" s="30" t="s">
        <v>20</v>
      </c>
      <c r="H21480" s="32">
        <v>24</v>
      </c>
      <c r="I21480" s="30" t="s">
        <v>21</v>
      </c>
      <c r="J21480" s="41">
        <v>45474</v>
      </c>
      <c r="K21480" s="30" t="s">
        <v>22</v>
      </c>
    </row>
    <row r="21481" spans="1:11">
      <c r="A21481" s="33" t="s">
        <v>47584</v>
      </c>
      <c r="B21481" s="33" t="s">
        <v>47585</v>
      </c>
      <c r="C21481" s="33" t="s">
        <v>93</v>
      </c>
      <c r="D21481" s="33" t="s">
        <v>17</v>
      </c>
      <c r="E21481" s="33" t="s">
        <v>18</v>
      </c>
      <c r="F21481" s="33" t="s">
        <v>19</v>
      </c>
      <c r="G21481" s="33" t="s">
        <v>158</v>
      </c>
      <c r="H21481" s="35">
        <v>1400</v>
      </c>
      <c r="I21481" s="33" t="s">
        <v>21</v>
      </c>
      <c r="J21481" s="42">
        <v>45470</v>
      </c>
      <c r="K21481" s="33" t="s">
        <v>22</v>
      </c>
    </row>
    <row r="21482" spans="1:11">
      <c r="A21482" s="30" t="s">
        <v>47586</v>
      </c>
      <c r="B21482" s="30" t="s">
        <v>47587</v>
      </c>
      <c r="C21482" s="30" t="s">
        <v>2866</v>
      </c>
      <c r="D21482" s="30" t="s">
        <v>17</v>
      </c>
      <c r="E21482" s="30" t="s">
        <v>26</v>
      </c>
      <c r="F21482" s="30" t="s">
        <v>27</v>
      </c>
      <c r="G21482" s="30" t="s">
        <v>112</v>
      </c>
      <c r="H21482" s="32">
        <v>0</v>
      </c>
      <c r="I21482" s="30" t="s">
        <v>21</v>
      </c>
      <c r="J21482" s="41">
        <v>45444</v>
      </c>
      <c r="K21482" s="30" t="s">
        <v>22</v>
      </c>
    </row>
    <row r="21483" spans="1:11">
      <c r="A21483" s="33" t="s">
        <v>47588</v>
      </c>
      <c r="B21483" s="33" t="s">
        <v>47589</v>
      </c>
      <c r="C21483" s="33" t="s">
        <v>310</v>
      </c>
      <c r="D21483" s="33" t="s">
        <v>17</v>
      </c>
      <c r="E21483" s="33" t="s">
        <v>26</v>
      </c>
      <c r="F21483" s="33" t="s">
        <v>27</v>
      </c>
      <c r="G21483" s="33" t="s">
        <v>20</v>
      </c>
      <c r="H21483" s="35">
        <v>133</v>
      </c>
      <c r="I21483" s="33" t="s">
        <v>21</v>
      </c>
      <c r="J21483" s="42">
        <v>45470</v>
      </c>
      <c r="K21483" s="33" t="s">
        <v>22</v>
      </c>
    </row>
    <row r="21484" spans="1:11">
      <c r="A21484" s="30" t="s">
        <v>47590</v>
      </c>
      <c r="B21484" s="30" t="s">
        <v>47591</v>
      </c>
      <c r="C21484" s="30" t="s">
        <v>27986</v>
      </c>
      <c r="D21484" s="30" t="s">
        <v>17</v>
      </c>
      <c r="E21484" s="30" t="s">
        <v>31</v>
      </c>
      <c r="F21484" s="30" t="s">
        <v>32</v>
      </c>
      <c r="G21484" s="30" t="s">
        <v>158</v>
      </c>
      <c r="H21484" s="32">
        <v>36</v>
      </c>
      <c r="I21484" s="30" t="s">
        <v>51</v>
      </c>
      <c r="J21484" s="41">
        <v>45422</v>
      </c>
      <c r="K21484" s="30" t="s">
        <v>22</v>
      </c>
    </row>
    <row r="21485" spans="1:11">
      <c r="A21485" s="33" t="s">
        <v>47592</v>
      </c>
      <c r="B21485" s="33" t="s">
        <v>47593</v>
      </c>
      <c r="C21485" s="33" t="s">
        <v>41509</v>
      </c>
      <c r="D21485" s="33" t="s">
        <v>17</v>
      </c>
      <c r="E21485" s="33" t="s">
        <v>18</v>
      </c>
      <c r="F21485" s="33" t="s">
        <v>19</v>
      </c>
      <c r="G21485" s="33" t="s">
        <v>112</v>
      </c>
      <c r="H21485" s="35">
        <v>0</v>
      </c>
      <c r="I21485" s="33" t="s">
        <v>21</v>
      </c>
      <c r="J21485" s="42">
        <v>45809</v>
      </c>
      <c r="K21485" s="33" t="s">
        <v>22</v>
      </c>
    </row>
    <row r="21486" spans="1:11">
      <c r="A21486" s="30" t="s">
        <v>47594</v>
      </c>
      <c r="B21486" s="30" t="s">
        <v>47595</v>
      </c>
      <c r="C21486" s="30" t="s">
        <v>847</v>
      </c>
      <c r="D21486" s="30" t="s">
        <v>17</v>
      </c>
      <c r="E21486" s="30" t="s">
        <v>31</v>
      </c>
      <c r="F21486" s="30" t="s">
        <v>32</v>
      </c>
      <c r="G21486" s="30" t="s">
        <v>140</v>
      </c>
      <c r="H21486" s="32">
        <v>100</v>
      </c>
      <c r="I21486" s="30" t="s">
        <v>51</v>
      </c>
      <c r="J21486" s="41">
        <v>45925</v>
      </c>
      <c r="K21486" s="30" t="s">
        <v>22</v>
      </c>
    </row>
    <row r="21487" spans="1:11">
      <c r="A21487" s="33" t="s">
        <v>47596</v>
      </c>
      <c r="B21487" s="33" t="s">
        <v>47597</v>
      </c>
      <c r="C21487" s="33" t="s">
        <v>12723</v>
      </c>
      <c r="D21487" s="33" t="s">
        <v>17</v>
      </c>
      <c r="E21487" s="33" t="s">
        <v>67</v>
      </c>
      <c r="F21487" s="33" t="s">
        <v>68</v>
      </c>
      <c r="G21487" s="33" t="s">
        <v>140</v>
      </c>
      <c r="H21487" s="35">
        <v>158</v>
      </c>
      <c r="I21487" s="33" t="s">
        <v>51</v>
      </c>
      <c r="J21487" s="42">
        <v>45995</v>
      </c>
      <c r="K21487" s="33" t="s">
        <v>22</v>
      </c>
    </row>
    <row r="21488" spans="1:11">
      <c r="A21488" s="30" t="s">
        <v>47598</v>
      </c>
      <c r="B21488" s="30" t="s">
        <v>47599</v>
      </c>
      <c r="C21488" s="30" t="s">
        <v>99</v>
      </c>
      <c r="D21488" s="30" t="s">
        <v>17</v>
      </c>
      <c r="E21488" s="30" t="s">
        <v>212</v>
      </c>
      <c r="F21488" s="30" t="s">
        <v>213</v>
      </c>
      <c r="G21488" s="30" t="s">
        <v>7780</v>
      </c>
      <c r="H21488" s="32">
        <v>120</v>
      </c>
      <c r="I21488" s="30" t="s">
        <v>51</v>
      </c>
      <c r="J21488" s="41">
        <v>45870</v>
      </c>
      <c r="K21488" s="30" t="s">
        <v>22</v>
      </c>
    </row>
    <row r="21489" spans="1:11">
      <c r="A21489" s="33" t="s">
        <v>47600</v>
      </c>
      <c r="B21489" s="33" t="s">
        <v>47601</v>
      </c>
      <c r="C21489" s="33" t="s">
        <v>4306</v>
      </c>
      <c r="D21489" s="33" t="s">
        <v>17</v>
      </c>
      <c r="E21489" s="33" t="s">
        <v>67</v>
      </c>
      <c r="F21489" s="33" t="s">
        <v>68</v>
      </c>
      <c r="G21489" s="33" t="s">
        <v>140</v>
      </c>
      <c r="H21489" s="35">
        <v>296</v>
      </c>
      <c r="I21489" s="33" t="s">
        <v>51</v>
      </c>
      <c r="J21489" s="42">
        <v>45688</v>
      </c>
      <c r="K21489" s="33" t="s">
        <v>22</v>
      </c>
    </row>
    <row r="21490" spans="1:11">
      <c r="A21490" s="30" t="s">
        <v>47602</v>
      </c>
      <c r="B21490" s="30" t="s">
        <v>47603</v>
      </c>
      <c r="C21490" s="30" t="s">
        <v>130</v>
      </c>
      <c r="D21490" s="30" t="s">
        <v>17</v>
      </c>
      <c r="E21490" s="30" t="s">
        <v>18</v>
      </c>
      <c r="F21490" s="30" t="s">
        <v>19</v>
      </c>
      <c r="G21490" s="30" t="s">
        <v>158</v>
      </c>
      <c r="H21490" s="32">
        <v>159</v>
      </c>
      <c r="I21490" s="30" t="s">
        <v>21</v>
      </c>
      <c r="J21490" s="41">
        <v>45825</v>
      </c>
      <c r="K21490" s="30" t="s">
        <v>22</v>
      </c>
    </row>
    <row r="21491" spans="1:11">
      <c r="A21491" s="33" t="s">
        <v>47604</v>
      </c>
      <c r="B21491" s="33" t="s">
        <v>47605</v>
      </c>
      <c r="C21491" s="33" t="s">
        <v>13335</v>
      </c>
      <c r="D21491" s="33" t="s">
        <v>17</v>
      </c>
      <c r="E21491" s="33" t="s">
        <v>31</v>
      </c>
      <c r="F21491" s="33" t="s">
        <v>32</v>
      </c>
      <c r="G21491" s="33" t="s">
        <v>140</v>
      </c>
      <c r="H21491" s="35">
        <v>48</v>
      </c>
      <c r="I21491" s="33" t="s">
        <v>51</v>
      </c>
      <c r="J21491" s="42">
        <v>45756</v>
      </c>
      <c r="K21491" s="33" t="s">
        <v>22</v>
      </c>
    </row>
    <row r="21492" spans="1:11">
      <c r="A21492" s="30" t="s">
        <v>47606</v>
      </c>
      <c r="B21492" s="30" t="s">
        <v>47607</v>
      </c>
      <c r="C21492" s="30" t="s">
        <v>24109</v>
      </c>
      <c r="D21492" s="30" t="s">
        <v>17</v>
      </c>
      <c r="E21492" s="30" t="s">
        <v>31</v>
      </c>
      <c r="F21492" s="30" t="s">
        <v>32</v>
      </c>
      <c r="G21492" s="30" t="s">
        <v>20</v>
      </c>
      <c r="H21492" s="32">
        <v>71</v>
      </c>
      <c r="I21492" s="30" t="s">
        <v>21</v>
      </c>
      <c r="J21492" s="41">
        <v>45701</v>
      </c>
      <c r="K21492" s="30" t="s">
        <v>22</v>
      </c>
    </row>
    <row r="21493" spans="1:11">
      <c r="A21493" s="33" t="s">
        <v>47608</v>
      </c>
      <c r="B21493" s="33" t="s">
        <v>47609</v>
      </c>
      <c r="C21493" s="33" t="s">
        <v>60</v>
      </c>
      <c r="D21493" s="33" t="s">
        <v>17</v>
      </c>
      <c r="E21493" s="33" t="s">
        <v>212</v>
      </c>
      <c r="F21493" s="33" t="s">
        <v>213</v>
      </c>
      <c r="G21493" s="33" t="s">
        <v>20</v>
      </c>
      <c r="H21493" s="35">
        <v>47</v>
      </c>
      <c r="I21493" s="33" t="s">
        <v>21</v>
      </c>
      <c r="J21493" s="42">
        <v>45743</v>
      </c>
      <c r="K21493" s="33" t="s">
        <v>22</v>
      </c>
    </row>
    <row r="21494" spans="1:11">
      <c r="A21494" s="30" t="s">
        <v>47610</v>
      </c>
      <c r="B21494" s="30" t="s">
        <v>47611</v>
      </c>
      <c r="C21494" s="30" t="s">
        <v>910</v>
      </c>
      <c r="D21494" s="30" t="s">
        <v>17</v>
      </c>
      <c r="E21494" s="30" t="s">
        <v>18</v>
      </c>
      <c r="F21494" s="30" t="s">
        <v>19</v>
      </c>
      <c r="G21494" s="30" t="s">
        <v>7780</v>
      </c>
      <c r="H21494" s="32">
        <v>45</v>
      </c>
      <c r="I21494" s="30" t="s">
        <v>51</v>
      </c>
      <c r="J21494" s="41">
        <v>45717</v>
      </c>
      <c r="K21494" s="30" t="s">
        <v>22</v>
      </c>
    </row>
    <row r="21495" spans="1:11">
      <c r="A21495" s="33" t="s">
        <v>47612</v>
      </c>
      <c r="B21495" s="33" t="s">
        <v>47613</v>
      </c>
      <c r="C21495" s="33" t="s">
        <v>3489</v>
      </c>
      <c r="D21495" s="33" t="s">
        <v>17</v>
      </c>
      <c r="E21495" s="33" t="s">
        <v>26</v>
      </c>
      <c r="F21495" s="33" t="s">
        <v>27</v>
      </c>
      <c r="G21495" s="33" t="s">
        <v>158</v>
      </c>
      <c r="H21495" s="35">
        <v>6</v>
      </c>
      <c r="I21495" s="33" t="s">
        <v>21</v>
      </c>
      <c r="J21495" s="42">
        <v>45709</v>
      </c>
      <c r="K21495" s="33" t="s">
        <v>22</v>
      </c>
    </row>
    <row r="21496" spans="1:11">
      <c r="A21496" s="30" t="s">
        <v>47614</v>
      </c>
      <c r="B21496" s="30" t="s">
        <v>47615</v>
      </c>
      <c r="C21496" s="30" t="s">
        <v>18181</v>
      </c>
      <c r="D21496" s="30" t="s">
        <v>17</v>
      </c>
      <c r="E21496" s="30" t="s">
        <v>31</v>
      </c>
      <c r="F21496" s="30" t="s">
        <v>32</v>
      </c>
      <c r="G21496" s="30" t="s">
        <v>112</v>
      </c>
      <c r="H21496" s="32">
        <v>0</v>
      </c>
      <c r="I21496" s="30" t="s">
        <v>21</v>
      </c>
      <c r="J21496" s="41">
        <v>45658</v>
      </c>
      <c r="K21496" s="30" t="s">
        <v>22</v>
      </c>
    </row>
    <row r="21497" spans="1:11">
      <c r="A21497" s="33" t="s">
        <v>47616</v>
      </c>
      <c r="B21497" s="33" t="s">
        <v>47617</v>
      </c>
      <c r="C21497" s="33" t="s">
        <v>96</v>
      </c>
      <c r="D21497" s="33" t="s">
        <v>17</v>
      </c>
      <c r="E21497" s="33" t="s">
        <v>26</v>
      </c>
      <c r="F21497" s="33" t="s">
        <v>27</v>
      </c>
      <c r="G21497" s="33" t="s">
        <v>20</v>
      </c>
      <c r="H21497" s="35">
        <v>14</v>
      </c>
      <c r="I21497" s="33" t="s">
        <v>21</v>
      </c>
      <c r="J21497" s="42">
        <v>45737</v>
      </c>
      <c r="K21497" s="33" t="s">
        <v>22</v>
      </c>
    </row>
    <row r="21498" spans="1:11">
      <c r="A21498" s="30" t="s">
        <v>47618</v>
      </c>
      <c r="B21498" s="30" t="s">
        <v>47619</v>
      </c>
      <c r="C21498" s="30" t="s">
        <v>46560</v>
      </c>
      <c r="D21498" s="30" t="s">
        <v>17</v>
      </c>
      <c r="E21498" s="30" t="s">
        <v>26</v>
      </c>
      <c r="F21498" s="30" t="s">
        <v>27</v>
      </c>
      <c r="G21498" s="30" t="s">
        <v>7780</v>
      </c>
      <c r="H21498" s="32">
        <v>105</v>
      </c>
      <c r="I21498" s="30" t="s">
        <v>51</v>
      </c>
      <c r="J21498" s="41">
        <v>45869</v>
      </c>
      <c r="K21498" s="30" t="s">
        <v>22</v>
      </c>
    </row>
    <row r="21499" spans="1:11">
      <c r="A21499" s="33" t="s">
        <v>47620</v>
      </c>
      <c r="B21499" s="33" t="s">
        <v>47621</v>
      </c>
      <c r="C21499" s="33" t="s">
        <v>27241</v>
      </c>
      <c r="D21499" s="33" t="s">
        <v>17</v>
      </c>
      <c r="E21499" s="33" t="s">
        <v>26</v>
      </c>
      <c r="F21499" s="33" t="s">
        <v>27</v>
      </c>
      <c r="G21499" s="33" t="s">
        <v>20</v>
      </c>
      <c r="H21499" s="35">
        <v>83</v>
      </c>
      <c r="I21499" s="33" t="s">
        <v>21</v>
      </c>
      <c r="J21499" s="42">
        <v>45875</v>
      </c>
      <c r="K21499" s="33" t="s">
        <v>22</v>
      </c>
    </row>
    <row r="21500" spans="1:11">
      <c r="A21500" s="30" t="s">
        <v>47622</v>
      </c>
      <c r="B21500" s="30" t="s">
        <v>47623</v>
      </c>
      <c r="C21500" s="30" t="s">
        <v>47437</v>
      </c>
      <c r="D21500" s="30" t="s">
        <v>17</v>
      </c>
      <c r="E21500" s="30" t="s">
        <v>26</v>
      </c>
      <c r="F21500" s="30" t="s">
        <v>27</v>
      </c>
      <c r="G21500" s="30" t="s">
        <v>158</v>
      </c>
      <c r="H21500" s="32">
        <v>16</v>
      </c>
      <c r="I21500" s="30" t="s">
        <v>21</v>
      </c>
      <c r="J21500" s="41">
        <v>45783</v>
      </c>
      <c r="K21500" s="30" t="s">
        <v>22</v>
      </c>
    </row>
    <row r="21501" spans="1:11">
      <c r="A21501" s="33" t="s">
        <v>47624</v>
      </c>
      <c r="B21501" s="33" t="s">
        <v>47625</v>
      </c>
      <c r="C21501" s="33" t="s">
        <v>39506</v>
      </c>
      <c r="D21501" s="33" t="s">
        <v>17</v>
      </c>
      <c r="E21501" s="33" t="s">
        <v>26</v>
      </c>
      <c r="F21501" s="33" t="s">
        <v>27</v>
      </c>
      <c r="G21501" s="33" t="s">
        <v>20</v>
      </c>
      <c r="H21501" s="35">
        <v>8</v>
      </c>
      <c r="I21501" s="33" t="s">
        <v>21</v>
      </c>
      <c r="J21501" s="42">
        <v>45888</v>
      </c>
      <c r="K21501" s="33" t="s">
        <v>22</v>
      </c>
    </row>
    <row r="21502" spans="1:11">
      <c r="A21502" s="30" t="s">
        <v>47626</v>
      </c>
      <c r="B21502" s="30" t="s">
        <v>47627</v>
      </c>
      <c r="C21502" s="30" t="s">
        <v>1441</v>
      </c>
      <c r="D21502" s="30" t="s">
        <v>17</v>
      </c>
      <c r="E21502" s="30" t="s">
        <v>26</v>
      </c>
      <c r="F21502" s="30" t="s">
        <v>27</v>
      </c>
      <c r="G21502" s="30" t="s">
        <v>140</v>
      </c>
      <c r="H21502" s="32">
        <v>48</v>
      </c>
      <c r="I21502" s="30" t="s">
        <v>51</v>
      </c>
      <c r="J21502" s="41">
        <v>45716</v>
      </c>
      <c r="K21502" s="30" t="s">
        <v>22</v>
      </c>
    </row>
    <row r="21503" spans="1:11">
      <c r="A21503" s="33" t="s">
        <v>47628</v>
      </c>
      <c r="B21503" s="33" t="s">
        <v>47629</v>
      </c>
      <c r="C21503" s="33" t="s">
        <v>3944</v>
      </c>
      <c r="D21503" s="33" t="s">
        <v>17</v>
      </c>
      <c r="E21503" s="33" t="s">
        <v>26</v>
      </c>
      <c r="F21503" s="33" t="s">
        <v>27</v>
      </c>
      <c r="G21503" s="33" t="s">
        <v>140</v>
      </c>
      <c r="H21503" s="35">
        <v>60</v>
      </c>
      <c r="I21503" s="33" t="s">
        <v>51</v>
      </c>
      <c r="J21503" s="42">
        <v>45785</v>
      </c>
      <c r="K21503" s="33" t="s">
        <v>22</v>
      </c>
    </row>
    <row r="21504" spans="1:11">
      <c r="A21504" s="30" t="s">
        <v>47630</v>
      </c>
      <c r="B21504" s="30" t="s">
        <v>47631</v>
      </c>
      <c r="C21504" s="30" t="s">
        <v>2709</v>
      </c>
      <c r="D21504" s="30" t="s">
        <v>17</v>
      </c>
      <c r="E21504" s="30" t="s">
        <v>18</v>
      </c>
      <c r="F21504" s="30" t="s">
        <v>19</v>
      </c>
      <c r="G21504" s="30" t="s">
        <v>7780</v>
      </c>
      <c r="H21504" s="32">
        <v>6680</v>
      </c>
      <c r="I21504" s="30" t="s">
        <v>51</v>
      </c>
      <c r="J21504" s="41">
        <v>45870</v>
      </c>
      <c r="K21504" s="30" t="s">
        <v>22</v>
      </c>
    </row>
    <row r="21505" spans="1:11">
      <c r="A21505" s="33" t="s">
        <v>47632</v>
      </c>
      <c r="B21505" s="33" t="s">
        <v>47633</v>
      </c>
      <c r="C21505" s="33" t="s">
        <v>29679</v>
      </c>
      <c r="D21505" s="33" t="s">
        <v>17</v>
      </c>
      <c r="E21505" s="33" t="s">
        <v>31</v>
      </c>
      <c r="F21505" s="33" t="s">
        <v>32</v>
      </c>
      <c r="G21505" s="33" t="s">
        <v>158</v>
      </c>
      <c r="H21505" s="35">
        <v>60</v>
      </c>
      <c r="I21505" s="33" t="s">
        <v>51</v>
      </c>
      <c r="J21505" s="42">
        <v>45966</v>
      </c>
      <c r="K21505" s="33" t="s">
        <v>22</v>
      </c>
    </row>
    <row r="21506" spans="1:11">
      <c r="A21506" s="30" t="s">
        <v>47634</v>
      </c>
      <c r="B21506" s="30" t="s">
        <v>47635</v>
      </c>
      <c r="C21506" s="30" t="s">
        <v>8052</v>
      </c>
      <c r="D21506" s="30" t="s">
        <v>17</v>
      </c>
      <c r="E21506" s="30" t="s">
        <v>26</v>
      </c>
      <c r="F21506" s="30" t="s">
        <v>27</v>
      </c>
      <c r="G21506" s="30" t="s">
        <v>158</v>
      </c>
      <c r="H21506" s="32">
        <v>24</v>
      </c>
      <c r="I21506" s="30" t="s">
        <v>21</v>
      </c>
      <c r="J21506" s="41">
        <v>45666</v>
      </c>
      <c r="K21506" s="30" t="s">
        <v>22</v>
      </c>
    </row>
    <row r="21507" spans="1:11">
      <c r="A21507" s="33" t="s">
        <v>47636</v>
      </c>
      <c r="B21507" s="33" t="s">
        <v>47637</v>
      </c>
      <c r="C21507" s="33" t="s">
        <v>1674</v>
      </c>
      <c r="D21507" s="33" t="s">
        <v>17</v>
      </c>
      <c r="E21507" s="33" t="s">
        <v>18</v>
      </c>
      <c r="F21507" s="33" t="s">
        <v>19</v>
      </c>
      <c r="G21507" s="33" t="s">
        <v>140</v>
      </c>
      <c r="H21507" s="35">
        <v>100</v>
      </c>
      <c r="I21507" s="33" t="s">
        <v>51</v>
      </c>
      <c r="J21507" s="42">
        <v>46013</v>
      </c>
      <c r="K21507" s="33" t="s">
        <v>22</v>
      </c>
    </row>
    <row r="21508" spans="1:11">
      <c r="A21508" s="30" t="s">
        <v>47638</v>
      </c>
      <c r="B21508" s="30" t="s">
        <v>47639</v>
      </c>
      <c r="C21508" s="30" t="s">
        <v>2446</v>
      </c>
      <c r="D21508" s="30" t="s">
        <v>17</v>
      </c>
      <c r="E21508" s="30" t="s">
        <v>31</v>
      </c>
      <c r="F21508" s="30" t="s">
        <v>32</v>
      </c>
      <c r="G21508" s="30" t="s">
        <v>112</v>
      </c>
      <c r="H21508" s="32">
        <v>0</v>
      </c>
      <c r="I21508" s="30" t="s">
        <v>21</v>
      </c>
      <c r="J21508" s="41">
        <v>45902</v>
      </c>
      <c r="K21508" s="30" t="s">
        <v>22</v>
      </c>
    </row>
    <row r="21509" spans="1:11">
      <c r="A21509" s="33" t="s">
        <v>47640</v>
      </c>
      <c r="B21509" s="33" t="s">
        <v>47641</v>
      </c>
      <c r="C21509" s="33" t="s">
        <v>29920</v>
      </c>
      <c r="D21509" s="33" t="s">
        <v>17</v>
      </c>
      <c r="E21509" s="33" t="s">
        <v>31</v>
      </c>
      <c r="F21509" s="33" t="s">
        <v>32</v>
      </c>
      <c r="G21509" s="33" t="s">
        <v>140</v>
      </c>
      <c r="H21509" s="35">
        <v>24</v>
      </c>
      <c r="I21509" s="33" t="s">
        <v>51</v>
      </c>
      <c r="J21509" s="42">
        <v>45910</v>
      </c>
      <c r="K21509" s="33" t="s">
        <v>22</v>
      </c>
    </row>
    <row r="21510" spans="1:11">
      <c r="A21510" s="30" t="s">
        <v>47642</v>
      </c>
      <c r="B21510" s="30" t="s">
        <v>47643</v>
      </c>
      <c r="C21510" s="30" t="s">
        <v>2220</v>
      </c>
      <c r="D21510" s="30" t="s">
        <v>17</v>
      </c>
      <c r="E21510" s="30" t="s">
        <v>31</v>
      </c>
      <c r="F21510" s="30" t="s">
        <v>32</v>
      </c>
      <c r="G21510" s="30" t="s">
        <v>140</v>
      </c>
      <c r="H21510" s="32">
        <v>153</v>
      </c>
      <c r="I21510" s="30" t="s">
        <v>51</v>
      </c>
      <c r="J21510" s="41">
        <v>45975</v>
      </c>
      <c r="K21510" s="30" t="s">
        <v>22</v>
      </c>
    </row>
    <row r="21511" spans="1:11">
      <c r="A21511" s="33" t="s">
        <v>47644</v>
      </c>
      <c r="B21511" s="33" t="s">
        <v>47645</v>
      </c>
      <c r="C21511" s="33" t="s">
        <v>5040</v>
      </c>
      <c r="D21511" s="33" t="s">
        <v>17</v>
      </c>
      <c r="E21511" s="33" t="s">
        <v>212</v>
      </c>
      <c r="F21511" s="33" t="s">
        <v>213</v>
      </c>
      <c r="G21511" s="33" t="s">
        <v>7780</v>
      </c>
      <c r="H21511" s="35">
        <v>720</v>
      </c>
      <c r="I21511" s="33" t="s">
        <v>51</v>
      </c>
      <c r="J21511" s="42">
        <v>45778</v>
      </c>
      <c r="K21511" s="33" t="s">
        <v>22</v>
      </c>
    </row>
    <row r="21512" spans="1:11">
      <c r="A21512" s="30" t="s">
        <v>47646</v>
      </c>
      <c r="B21512" s="30" t="s">
        <v>47647</v>
      </c>
      <c r="C21512" s="30" t="s">
        <v>102</v>
      </c>
      <c r="D21512" s="30" t="s">
        <v>17</v>
      </c>
      <c r="E21512" s="30" t="s">
        <v>18</v>
      </c>
      <c r="F21512" s="30" t="s">
        <v>19</v>
      </c>
      <c r="G21512" s="30" t="s">
        <v>140</v>
      </c>
      <c r="H21512" s="32">
        <v>800</v>
      </c>
      <c r="I21512" s="30" t="s">
        <v>51</v>
      </c>
      <c r="J21512" s="41">
        <v>46010</v>
      </c>
      <c r="K21512" s="30" t="s">
        <v>22</v>
      </c>
    </row>
    <row r="21513" spans="1:11">
      <c r="A21513" s="33" t="s">
        <v>47648</v>
      </c>
      <c r="B21513" s="33" t="s">
        <v>47649</v>
      </c>
      <c r="C21513" s="33" t="s">
        <v>1270</v>
      </c>
      <c r="D21513" s="33" t="s">
        <v>17</v>
      </c>
      <c r="E21513" s="33" t="s">
        <v>26</v>
      </c>
      <c r="F21513" s="33" t="s">
        <v>27</v>
      </c>
      <c r="G21513" s="33" t="s">
        <v>140</v>
      </c>
      <c r="H21513" s="35">
        <v>100</v>
      </c>
      <c r="I21513" s="33" t="s">
        <v>51</v>
      </c>
      <c r="J21513" s="42">
        <v>45793</v>
      </c>
      <c r="K21513" s="33" t="s">
        <v>22</v>
      </c>
    </row>
    <row r="21514" spans="1:11">
      <c r="A21514" s="30" t="s">
        <v>47650</v>
      </c>
      <c r="B21514" s="30" t="s">
        <v>47651</v>
      </c>
      <c r="C21514" s="30" t="s">
        <v>47652</v>
      </c>
      <c r="D21514" s="30" t="s">
        <v>17</v>
      </c>
      <c r="E21514" s="30" t="s">
        <v>26</v>
      </c>
      <c r="F21514" s="30" t="s">
        <v>27</v>
      </c>
      <c r="G21514" s="30" t="s">
        <v>140</v>
      </c>
      <c r="H21514" s="32">
        <v>60</v>
      </c>
      <c r="I21514" s="30" t="s">
        <v>51</v>
      </c>
      <c r="J21514" s="41">
        <v>45826</v>
      </c>
      <c r="K21514" s="30" t="s">
        <v>22</v>
      </c>
    </row>
    <row r="21515" spans="1:11">
      <c r="A21515" s="33" t="s">
        <v>47653</v>
      </c>
      <c r="B21515" s="33" t="s">
        <v>47654</v>
      </c>
      <c r="C21515" s="33" t="s">
        <v>47655</v>
      </c>
      <c r="D21515" s="33" t="s">
        <v>17</v>
      </c>
      <c r="E21515" s="33" t="s">
        <v>31</v>
      </c>
      <c r="F21515" s="33" t="s">
        <v>32</v>
      </c>
      <c r="G21515" s="33" t="s">
        <v>140</v>
      </c>
      <c r="H21515" s="35">
        <v>72</v>
      </c>
      <c r="I21515" s="33" t="s">
        <v>51</v>
      </c>
      <c r="J21515" s="42">
        <v>45741</v>
      </c>
      <c r="K21515" s="33" t="s">
        <v>22</v>
      </c>
    </row>
    <row r="21516" spans="1:11">
      <c r="A21516" s="30" t="s">
        <v>47656</v>
      </c>
      <c r="B21516" s="30" t="s">
        <v>47657</v>
      </c>
      <c r="C21516" s="30" t="s">
        <v>187</v>
      </c>
      <c r="D21516" s="30" t="s">
        <v>17</v>
      </c>
      <c r="E21516" s="30" t="s">
        <v>31</v>
      </c>
      <c r="F21516" s="30" t="s">
        <v>32</v>
      </c>
      <c r="G21516" s="30" t="s">
        <v>7780</v>
      </c>
      <c r="H21516" s="32">
        <v>320</v>
      </c>
      <c r="I21516" s="30" t="s">
        <v>51</v>
      </c>
      <c r="J21516" s="41">
        <v>45870</v>
      </c>
      <c r="K21516" s="30" t="s">
        <v>22</v>
      </c>
    </row>
    <row r="21517" spans="1:11">
      <c r="A21517" s="33" t="s">
        <v>47658</v>
      </c>
      <c r="B21517" s="33" t="s">
        <v>47659</v>
      </c>
      <c r="C21517" s="33" t="s">
        <v>1003</v>
      </c>
      <c r="D21517" s="33" t="s">
        <v>17</v>
      </c>
      <c r="E21517" s="33" t="s">
        <v>31</v>
      </c>
      <c r="F21517" s="33" t="s">
        <v>32</v>
      </c>
      <c r="G21517" s="33" t="s">
        <v>7780</v>
      </c>
      <c r="H21517" s="35">
        <v>60</v>
      </c>
      <c r="I21517" s="33" t="s">
        <v>51</v>
      </c>
      <c r="J21517" s="42">
        <v>45870</v>
      </c>
      <c r="K21517" s="33" t="s">
        <v>22</v>
      </c>
    </row>
    <row r="21518" spans="1:11">
      <c r="A21518" s="30" t="s">
        <v>47660</v>
      </c>
      <c r="B21518" s="30" t="s">
        <v>47661</v>
      </c>
      <c r="C21518" s="30" t="s">
        <v>47662</v>
      </c>
      <c r="D21518" s="30" t="s">
        <v>17</v>
      </c>
      <c r="E21518" s="30" t="s">
        <v>31</v>
      </c>
      <c r="F21518" s="30" t="s">
        <v>32</v>
      </c>
      <c r="G21518" s="30" t="s">
        <v>140</v>
      </c>
      <c r="H21518" s="32">
        <v>80</v>
      </c>
      <c r="I21518" s="30" t="s">
        <v>51</v>
      </c>
      <c r="J21518" s="41">
        <v>45790</v>
      </c>
      <c r="K21518" s="30" t="s">
        <v>22</v>
      </c>
    </row>
    <row r="21519" spans="1:11">
      <c r="A21519" s="33" t="s">
        <v>47663</v>
      </c>
      <c r="B21519" s="33" t="s">
        <v>47664</v>
      </c>
      <c r="C21519" s="33" t="s">
        <v>57</v>
      </c>
      <c r="D21519" s="33" t="s">
        <v>17</v>
      </c>
      <c r="E21519" s="33" t="s">
        <v>26</v>
      </c>
      <c r="F21519" s="33" t="s">
        <v>27</v>
      </c>
      <c r="G21519" s="33" t="s">
        <v>20</v>
      </c>
      <c r="H21519" s="35">
        <v>70</v>
      </c>
      <c r="I21519" s="33" t="s">
        <v>21</v>
      </c>
      <c r="J21519" s="42">
        <v>45975</v>
      </c>
      <c r="K21519" s="33" t="s">
        <v>22</v>
      </c>
    </row>
    <row r="21520" spans="1:11">
      <c r="A21520" s="30" t="s">
        <v>47665</v>
      </c>
      <c r="B21520" s="30" t="s">
        <v>47666</v>
      </c>
      <c r="C21520" s="30" t="s">
        <v>2261</v>
      </c>
      <c r="D21520" s="30" t="s">
        <v>17</v>
      </c>
      <c r="E21520" s="30" t="s">
        <v>31</v>
      </c>
      <c r="F21520" s="30" t="s">
        <v>32</v>
      </c>
      <c r="G21520" s="30" t="s">
        <v>158</v>
      </c>
      <c r="H21520" s="32">
        <v>150</v>
      </c>
      <c r="I21520" s="30" t="s">
        <v>51</v>
      </c>
      <c r="J21520" s="41">
        <v>45666</v>
      </c>
      <c r="K21520" s="30" t="s">
        <v>22</v>
      </c>
    </row>
    <row r="21521" spans="1:11">
      <c r="A21521" s="33" t="s">
        <v>47667</v>
      </c>
      <c r="B21521" s="33" t="s">
        <v>47668</v>
      </c>
      <c r="C21521" s="33" t="s">
        <v>93</v>
      </c>
      <c r="D21521" s="33" t="s">
        <v>17</v>
      </c>
      <c r="E21521" s="33" t="s">
        <v>31</v>
      </c>
      <c r="F21521" s="33" t="s">
        <v>32</v>
      </c>
      <c r="G21521" s="33" t="s">
        <v>140</v>
      </c>
      <c r="H21521" s="35">
        <v>120</v>
      </c>
      <c r="I21521" s="33" t="s">
        <v>51</v>
      </c>
      <c r="J21521" s="42">
        <v>45758</v>
      </c>
      <c r="K21521" s="33" t="s">
        <v>22</v>
      </c>
    </row>
    <row r="21522" spans="1:11">
      <c r="A21522" s="30" t="s">
        <v>47669</v>
      </c>
      <c r="B21522" s="30" t="s">
        <v>47670</v>
      </c>
      <c r="C21522" s="30" t="s">
        <v>23579</v>
      </c>
      <c r="D21522" s="30" t="s">
        <v>17</v>
      </c>
      <c r="E21522" s="30" t="s">
        <v>67</v>
      </c>
      <c r="F21522" s="30" t="s">
        <v>68</v>
      </c>
      <c r="G21522" s="30" t="s">
        <v>140</v>
      </c>
      <c r="H21522" s="32">
        <v>33</v>
      </c>
      <c r="I21522" s="30" t="s">
        <v>51</v>
      </c>
      <c r="J21522" s="41">
        <v>45750</v>
      </c>
      <c r="K21522" s="30" t="s">
        <v>22</v>
      </c>
    </row>
    <row r="21523" spans="1:11">
      <c r="A21523" s="33" t="s">
        <v>47671</v>
      </c>
      <c r="B21523" s="33" t="s">
        <v>47672</v>
      </c>
      <c r="C21523" s="33" t="s">
        <v>124</v>
      </c>
      <c r="D21523" s="33" t="s">
        <v>17</v>
      </c>
      <c r="E21523" s="33" t="s">
        <v>26</v>
      </c>
      <c r="F21523" s="33" t="s">
        <v>27</v>
      </c>
      <c r="G21523" s="33" t="s">
        <v>2613</v>
      </c>
      <c r="H21523" s="35">
        <v>24</v>
      </c>
      <c r="I21523" s="33" t="s">
        <v>51</v>
      </c>
      <c r="J21523" s="42">
        <v>45880</v>
      </c>
      <c r="K21523" s="33" t="s">
        <v>22</v>
      </c>
    </row>
    <row r="21524" spans="1:11">
      <c r="A21524" s="30" t="s">
        <v>47673</v>
      </c>
      <c r="B21524" s="30" t="s">
        <v>47674</v>
      </c>
      <c r="C21524" s="30" t="s">
        <v>14816</v>
      </c>
      <c r="D21524" s="30" t="s">
        <v>17</v>
      </c>
      <c r="E21524" s="30" t="s">
        <v>67</v>
      </c>
      <c r="F21524" s="30" t="s">
        <v>68</v>
      </c>
      <c r="G21524" s="30" t="s">
        <v>20</v>
      </c>
      <c r="H21524" s="32">
        <v>199</v>
      </c>
      <c r="I21524" s="30" t="s">
        <v>21</v>
      </c>
      <c r="J21524" s="41">
        <v>45727</v>
      </c>
      <c r="K21524" s="30" t="s">
        <v>22</v>
      </c>
    </row>
    <row r="21525" spans="1:11">
      <c r="A21525" s="33" t="s">
        <v>47675</v>
      </c>
      <c r="B21525" s="33" t="s">
        <v>47676</v>
      </c>
      <c r="C21525" s="33" t="s">
        <v>5246</v>
      </c>
      <c r="D21525" s="33" t="s">
        <v>17</v>
      </c>
      <c r="E21525" s="33" t="s">
        <v>18</v>
      </c>
      <c r="F21525" s="33" t="s">
        <v>19</v>
      </c>
      <c r="G21525" s="33" t="s">
        <v>158</v>
      </c>
      <c r="H21525" s="35">
        <v>119</v>
      </c>
      <c r="I21525" s="33" t="s">
        <v>51</v>
      </c>
      <c r="J21525" s="42">
        <v>45983</v>
      </c>
      <c r="K21525" s="33" t="s">
        <v>22</v>
      </c>
    </row>
    <row r="21526" spans="1:11">
      <c r="A21526" s="30" t="s">
        <v>47677</v>
      </c>
      <c r="B21526" s="30" t="s">
        <v>47678</v>
      </c>
      <c r="C21526" s="30" t="s">
        <v>96</v>
      </c>
      <c r="D21526" s="30" t="s">
        <v>17</v>
      </c>
      <c r="E21526" s="30" t="s">
        <v>26</v>
      </c>
      <c r="F21526" s="30" t="s">
        <v>27</v>
      </c>
      <c r="G21526" s="30" t="s">
        <v>140</v>
      </c>
      <c r="H21526" s="32">
        <v>16</v>
      </c>
      <c r="I21526" s="30" t="s">
        <v>51</v>
      </c>
      <c r="J21526" s="41">
        <v>45793</v>
      </c>
      <c r="K21526" s="30" t="s">
        <v>22</v>
      </c>
    </row>
    <row r="21527" spans="1:11">
      <c r="A21527" s="33" t="s">
        <v>47679</v>
      </c>
      <c r="B21527" s="33" t="s">
        <v>47680</v>
      </c>
      <c r="C21527" s="33" t="s">
        <v>11599</v>
      </c>
      <c r="D21527" s="33" t="s">
        <v>17</v>
      </c>
      <c r="E21527" s="33" t="s">
        <v>212</v>
      </c>
      <c r="F21527" s="33" t="s">
        <v>213</v>
      </c>
      <c r="G21527" s="33" t="s">
        <v>20</v>
      </c>
      <c r="H21527" s="35">
        <v>40</v>
      </c>
      <c r="I21527" s="33" t="s">
        <v>21</v>
      </c>
      <c r="J21527" s="42">
        <v>45720</v>
      </c>
      <c r="K21527" s="33" t="s">
        <v>22</v>
      </c>
    </row>
    <row r="21528" spans="1:11">
      <c r="A21528" s="30" t="s">
        <v>47681</v>
      </c>
      <c r="B21528" s="30" t="s">
        <v>47682</v>
      </c>
      <c r="C21528" s="30" t="s">
        <v>29095</v>
      </c>
      <c r="D21528" s="30" t="s">
        <v>17</v>
      </c>
      <c r="E21528" s="30" t="s">
        <v>26</v>
      </c>
      <c r="F21528" s="30" t="s">
        <v>27</v>
      </c>
      <c r="G21528" s="30" t="s">
        <v>7780</v>
      </c>
      <c r="H21528" s="32">
        <v>40</v>
      </c>
      <c r="I21528" s="30" t="s">
        <v>51</v>
      </c>
      <c r="J21528" s="41">
        <v>45838</v>
      </c>
      <c r="K21528" s="30" t="s">
        <v>22</v>
      </c>
    </row>
    <row r="21529" spans="1:11">
      <c r="A21529" s="33" t="s">
        <v>47683</v>
      </c>
      <c r="B21529" s="33" t="s">
        <v>47684</v>
      </c>
      <c r="C21529" s="33" t="s">
        <v>109</v>
      </c>
      <c r="D21529" s="33" t="s">
        <v>17</v>
      </c>
      <c r="E21529" s="33" t="s">
        <v>67</v>
      </c>
      <c r="F21529" s="33" t="s">
        <v>68</v>
      </c>
      <c r="G21529" s="33" t="s">
        <v>140</v>
      </c>
      <c r="H21529" s="35">
        <v>123</v>
      </c>
      <c r="I21529" s="33" t="s">
        <v>51</v>
      </c>
      <c r="J21529" s="42">
        <v>45996</v>
      </c>
      <c r="K21529" s="33" t="s">
        <v>22</v>
      </c>
    </row>
    <row r="21530" spans="1:11">
      <c r="A21530" s="30" t="s">
        <v>47685</v>
      </c>
      <c r="B21530" s="30" t="s">
        <v>47686</v>
      </c>
      <c r="C21530" s="30" t="s">
        <v>231</v>
      </c>
      <c r="D21530" s="30" t="s">
        <v>17</v>
      </c>
      <c r="E21530" s="30" t="s">
        <v>18</v>
      </c>
      <c r="F21530" s="30" t="s">
        <v>19</v>
      </c>
      <c r="G21530" s="30" t="s">
        <v>140</v>
      </c>
      <c r="H21530" s="32">
        <v>4200</v>
      </c>
      <c r="I21530" s="30" t="s">
        <v>51</v>
      </c>
      <c r="J21530" s="41">
        <v>45797</v>
      </c>
      <c r="K21530" s="30" t="s">
        <v>22</v>
      </c>
    </row>
    <row r="21531" spans="1:11">
      <c r="A21531" s="33" t="s">
        <v>47687</v>
      </c>
      <c r="B21531" s="33" t="s">
        <v>47688</v>
      </c>
      <c r="C21531" s="33" t="s">
        <v>2785</v>
      </c>
      <c r="D21531" s="33" t="s">
        <v>17</v>
      </c>
      <c r="E21531" s="33" t="s">
        <v>18</v>
      </c>
      <c r="F21531" s="33" t="s">
        <v>19</v>
      </c>
      <c r="G21531" s="33" t="s">
        <v>158</v>
      </c>
      <c r="H21531" s="35">
        <v>32</v>
      </c>
      <c r="I21531" s="33" t="s">
        <v>51</v>
      </c>
      <c r="J21531" s="42">
        <v>45743</v>
      </c>
      <c r="K21531" s="33" t="s">
        <v>22</v>
      </c>
    </row>
    <row r="21532" spans="1:11">
      <c r="A21532" s="30" t="s">
        <v>47689</v>
      </c>
      <c r="B21532" s="30" t="s">
        <v>47690</v>
      </c>
      <c r="C21532" s="30" t="s">
        <v>14816</v>
      </c>
      <c r="D21532" s="30" t="s">
        <v>17</v>
      </c>
      <c r="E21532" s="30" t="s">
        <v>26</v>
      </c>
      <c r="F21532" s="30" t="s">
        <v>27</v>
      </c>
      <c r="G21532" s="30" t="s">
        <v>20</v>
      </c>
      <c r="H21532" s="32">
        <v>82</v>
      </c>
      <c r="I21532" s="30" t="s">
        <v>21</v>
      </c>
      <c r="J21532" s="41">
        <v>45734</v>
      </c>
      <c r="K21532" s="30" t="s">
        <v>22</v>
      </c>
    </row>
    <row r="21533" spans="1:11">
      <c r="A21533" s="33" t="s">
        <v>47691</v>
      </c>
      <c r="B21533" s="33" t="s">
        <v>47692</v>
      </c>
      <c r="C21533" s="33" t="s">
        <v>33575</v>
      </c>
      <c r="D21533" s="33" t="s">
        <v>17</v>
      </c>
      <c r="E21533" s="33" t="s">
        <v>31</v>
      </c>
      <c r="F21533" s="33" t="s">
        <v>32</v>
      </c>
      <c r="G21533" s="33" t="s">
        <v>140</v>
      </c>
      <c r="H21533" s="35">
        <v>80</v>
      </c>
      <c r="I21533" s="33" t="s">
        <v>51</v>
      </c>
      <c r="J21533" s="42">
        <v>46003</v>
      </c>
      <c r="K21533" s="33" t="s">
        <v>22</v>
      </c>
    </row>
    <row r="21534" spans="1:11">
      <c r="A21534" s="30" t="s">
        <v>47693</v>
      </c>
      <c r="B21534" s="30" t="s">
        <v>47694</v>
      </c>
      <c r="C21534" s="30" t="s">
        <v>8979</v>
      </c>
      <c r="D21534" s="30" t="s">
        <v>17</v>
      </c>
      <c r="E21534" s="30" t="s">
        <v>18</v>
      </c>
      <c r="F21534" s="30" t="s">
        <v>19</v>
      </c>
      <c r="G21534" s="30" t="s">
        <v>140</v>
      </c>
      <c r="H21534" s="32">
        <v>308</v>
      </c>
      <c r="I21534" s="30" t="s">
        <v>51</v>
      </c>
      <c r="J21534" s="41">
        <v>46000</v>
      </c>
      <c r="K21534" s="30" t="s">
        <v>22</v>
      </c>
    </row>
    <row r="21535" spans="1:11">
      <c r="A21535" s="33" t="s">
        <v>47695</v>
      </c>
      <c r="B21535" s="33" t="s">
        <v>47696</v>
      </c>
      <c r="C21535" s="33" t="s">
        <v>47697</v>
      </c>
      <c r="D21535" s="33" t="s">
        <v>17</v>
      </c>
      <c r="E21535" s="33" t="s">
        <v>330</v>
      </c>
      <c r="F21535" s="33" t="s">
        <v>331</v>
      </c>
      <c r="G21535" s="33" t="s">
        <v>7780</v>
      </c>
      <c r="H21535" s="35">
        <v>46</v>
      </c>
      <c r="I21535" s="33" t="s">
        <v>51</v>
      </c>
      <c r="J21535" s="42">
        <v>45915</v>
      </c>
      <c r="K21535" s="33" t="s">
        <v>22</v>
      </c>
    </row>
    <row r="21536" spans="1:11">
      <c r="A21536" s="30" t="s">
        <v>47698</v>
      </c>
      <c r="B21536" s="30" t="s">
        <v>47699</v>
      </c>
      <c r="C21536" s="30" t="s">
        <v>130</v>
      </c>
      <c r="D21536" s="30" t="s">
        <v>17</v>
      </c>
      <c r="E21536" s="30" t="s">
        <v>26</v>
      </c>
      <c r="F21536" s="30" t="s">
        <v>27</v>
      </c>
      <c r="G21536" s="30" t="s">
        <v>20</v>
      </c>
      <c r="H21536" s="32">
        <v>48</v>
      </c>
      <c r="I21536" s="30" t="s">
        <v>21</v>
      </c>
      <c r="J21536" s="41">
        <v>45789</v>
      </c>
      <c r="K21536" s="30" t="s">
        <v>22</v>
      </c>
    </row>
    <row r="21537" spans="1:11">
      <c r="A21537" s="33" t="s">
        <v>47700</v>
      </c>
      <c r="B21537" s="33" t="s">
        <v>47701</v>
      </c>
      <c r="C21537" s="33" t="s">
        <v>6205</v>
      </c>
      <c r="D21537" s="33" t="s">
        <v>17</v>
      </c>
      <c r="E21537" s="33" t="s">
        <v>26</v>
      </c>
      <c r="F21537" s="33" t="s">
        <v>27</v>
      </c>
      <c r="G21537" s="33" t="s">
        <v>140</v>
      </c>
      <c r="H21537" s="35">
        <v>180</v>
      </c>
      <c r="I21537" s="33" t="s">
        <v>51</v>
      </c>
      <c r="J21537" s="42">
        <v>45785</v>
      </c>
      <c r="K21537" s="33" t="s">
        <v>22</v>
      </c>
    </row>
    <row r="21538" spans="1:11">
      <c r="A21538" s="30" t="s">
        <v>47702</v>
      </c>
      <c r="B21538" s="30" t="s">
        <v>47703</v>
      </c>
      <c r="C21538" s="30" t="s">
        <v>47704</v>
      </c>
      <c r="D21538" s="30" t="s">
        <v>17</v>
      </c>
      <c r="E21538" s="30" t="s">
        <v>26</v>
      </c>
      <c r="F21538" s="30" t="s">
        <v>27</v>
      </c>
      <c r="G21538" s="30" t="s">
        <v>140</v>
      </c>
      <c r="H21538" s="32">
        <v>68</v>
      </c>
      <c r="I21538" s="30" t="s">
        <v>51</v>
      </c>
      <c r="J21538" s="41">
        <v>45905</v>
      </c>
      <c r="K21538" s="30" t="s">
        <v>22</v>
      </c>
    </row>
    <row r="21539" spans="1:11">
      <c r="A21539" s="33" t="s">
        <v>47705</v>
      </c>
      <c r="B21539" s="33" t="s">
        <v>47706</v>
      </c>
      <c r="C21539" s="33" t="s">
        <v>899</v>
      </c>
      <c r="D21539" s="33" t="s">
        <v>17</v>
      </c>
      <c r="E21539" s="33" t="s">
        <v>26</v>
      </c>
      <c r="F21539" s="33" t="s">
        <v>27</v>
      </c>
      <c r="G21539" s="33" t="s">
        <v>140</v>
      </c>
      <c r="H21539" s="35">
        <v>126</v>
      </c>
      <c r="I21539" s="33" t="s">
        <v>51</v>
      </c>
      <c r="J21539" s="42">
        <v>45921</v>
      </c>
      <c r="K21539" s="33" t="s">
        <v>22</v>
      </c>
    </row>
    <row r="21540" spans="1:11">
      <c r="A21540" s="30" t="s">
        <v>47707</v>
      </c>
      <c r="B21540" s="30" t="s">
        <v>47708</v>
      </c>
      <c r="C21540" s="30" t="s">
        <v>47709</v>
      </c>
      <c r="D21540" s="30" t="s">
        <v>17</v>
      </c>
      <c r="E21540" s="30" t="s">
        <v>330</v>
      </c>
      <c r="F21540" s="30" t="s">
        <v>331</v>
      </c>
      <c r="G21540" s="30" t="s">
        <v>140</v>
      </c>
      <c r="H21540" s="32">
        <v>3</v>
      </c>
      <c r="I21540" s="30" t="s">
        <v>51</v>
      </c>
      <c r="J21540" s="41">
        <v>45911</v>
      </c>
      <c r="K21540" s="30" t="s">
        <v>22</v>
      </c>
    </row>
    <row r="21541" spans="1:11">
      <c r="A21541" s="33" t="s">
        <v>47710</v>
      </c>
      <c r="B21541" s="33" t="s">
        <v>47711</v>
      </c>
      <c r="C21541" s="33" t="s">
        <v>698</v>
      </c>
      <c r="D21541" s="33" t="s">
        <v>17</v>
      </c>
      <c r="E21541" s="33" t="s">
        <v>31</v>
      </c>
      <c r="F21541" s="33" t="s">
        <v>32</v>
      </c>
      <c r="G21541" s="33" t="s">
        <v>7780</v>
      </c>
      <c r="H21541" s="35">
        <v>156</v>
      </c>
      <c r="I21541" s="33" t="s">
        <v>51</v>
      </c>
      <c r="J21541" s="42">
        <v>45838</v>
      </c>
      <c r="K21541" s="33" t="s">
        <v>22</v>
      </c>
    </row>
    <row r="21542" spans="1:11">
      <c r="A21542" s="30" t="s">
        <v>47712</v>
      </c>
      <c r="B21542" s="30" t="s">
        <v>47713</v>
      </c>
      <c r="C21542" s="30" t="s">
        <v>252</v>
      </c>
      <c r="D21542" s="30" t="s">
        <v>17</v>
      </c>
      <c r="E21542" s="30" t="s">
        <v>31</v>
      </c>
      <c r="F21542" s="30" t="s">
        <v>32</v>
      </c>
      <c r="G21542" s="30" t="s">
        <v>140</v>
      </c>
      <c r="H21542" s="32">
        <v>100</v>
      </c>
      <c r="I21542" s="30" t="s">
        <v>51</v>
      </c>
      <c r="J21542" s="41">
        <v>45856</v>
      </c>
      <c r="K21542" s="30" t="s">
        <v>22</v>
      </c>
    </row>
    <row r="21543" spans="1:11">
      <c r="A21543" s="33" t="s">
        <v>47714</v>
      </c>
      <c r="B21543" s="33" t="s">
        <v>47715</v>
      </c>
      <c r="C21543" s="33" t="s">
        <v>1270</v>
      </c>
      <c r="D21543" s="33" t="s">
        <v>17</v>
      </c>
      <c r="E21543" s="33" t="s">
        <v>18</v>
      </c>
      <c r="F21543" s="33" t="s">
        <v>19</v>
      </c>
      <c r="G21543" s="33" t="s">
        <v>7780</v>
      </c>
      <c r="H21543" s="35">
        <v>546</v>
      </c>
      <c r="I21543" s="33" t="s">
        <v>51</v>
      </c>
      <c r="J21543" s="42">
        <v>45930</v>
      </c>
      <c r="K21543" s="33" t="s">
        <v>22</v>
      </c>
    </row>
    <row r="21544" spans="1:11">
      <c r="A21544" s="30" t="s">
        <v>47716</v>
      </c>
      <c r="B21544" s="30" t="s">
        <v>47717</v>
      </c>
      <c r="C21544" s="30" t="s">
        <v>136</v>
      </c>
      <c r="D21544" s="30" t="s">
        <v>17</v>
      </c>
      <c r="E21544" s="30" t="s">
        <v>31</v>
      </c>
      <c r="F21544" s="30" t="s">
        <v>32</v>
      </c>
      <c r="G21544" s="30" t="s">
        <v>140</v>
      </c>
      <c r="H21544" s="32">
        <v>240</v>
      </c>
      <c r="I21544" s="30" t="s">
        <v>51</v>
      </c>
      <c r="J21544" s="41">
        <v>45744</v>
      </c>
      <c r="K21544" s="30" t="s">
        <v>22</v>
      </c>
    </row>
    <row r="21545" spans="1:11">
      <c r="A21545" s="33" t="s">
        <v>47718</v>
      </c>
      <c r="B21545" s="33" t="s">
        <v>47719</v>
      </c>
      <c r="C21545" s="33" t="s">
        <v>3177</v>
      </c>
      <c r="D21545" s="33" t="s">
        <v>17</v>
      </c>
      <c r="E21545" s="33" t="s">
        <v>18</v>
      </c>
      <c r="F21545" s="33" t="s">
        <v>19</v>
      </c>
      <c r="G21545" s="33" t="s">
        <v>7780</v>
      </c>
      <c r="H21545" s="35">
        <v>152</v>
      </c>
      <c r="I21545" s="33" t="s">
        <v>51</v>
      </c>
      <c r="J21545" s="42">
        <v>45931</v>
      </c>
      <c r="K21545" s="33" t="s">
        <v>22</v>
      </c>
    </row>
    <row r="21546" spans="1:11">
      <c r="A21546" s="30" t="s">
        <v>47720</v>
      </c>
      <c r="B21546" s="30" t="s">
        <v>47721</v>
      </c>
      <c r="C21546" s="30" t="s">
        <v>47722</v>
      </c>
      <c r="D21546" s="30" t="s">
        <v>17</v>
      </c>
      <c r="E21546" s="30" t="s">
        <v>31</v>
      </c>
      <c r="F21546" s="30" t="s">
        <v>32</v>
      </c>
      <c r="G21546" s="30" t="s">
        <v>140</v>
      </c>
      <c r="H21546" s="32">
        <v>156</v>
      </c>
      <c r="I21546" s="30" t="s">
        <v>51</v>
      </c>
      <c r="J21546" s="41">
        <v>45930</v>
      </c>
      <c r="K21546" s="30" t="s">
        <v>22</v>
      </c>
    </row>
    <row r="21547" spans="1:11">
      <c r="A21547" s="33" t="s">
        <v>47723</v>
      </c>
      <c r="B21547" s="33" t="s">
        <v>47724</v>
      </c>
      <c r="C21547" s="33" t="s">
        <v>231</v>
      </c>
      <c r="D21547" s="33" t="s">
        <v>17</v>
      </c>
      <c r="E21547" s="33" t="s">
        <v>31</v>
      </c>
      <c r="F21547" s="33" t="s">
        <v>32</v>
      </c>
      <c r="G21547" s="33" t="s">
        <v>140</v>
      </c>
      <c r="H21547" s="35">
        <v>300</v>
      </c>
      <c r="I21547" s="33" t="s">
        <v>51</v>
      </c>
      <c r="J21547" s="42">
        <v>45813</v>
      </c>
      <c r="K21547" s="33" t="s">
        <v>22</v>
      </c>
    </row>
    <row r="21548" spans="1:11">
      <c r="A21548" s="30" t="s">
        <v>47725</v>
      </c>
      <c r="B21548" s="30" t="s">
        <v>47726</v>
      </c>
      <c r="C21548" s="30" t="s">
        <v>47727</v>
      </c>
      <c r="D21548" s="30" t="s">
        <v>17</v>
      </c>
      <c r="E21548" s="30" t="s">
        <v>330</v>
      </c>
      <c r="F21548" s="30" t="s">
        <v>331</v>
      </c>
      <c r="G21548" s="30" t="s">
        <v>7780</v>
      </c>
      <c r="H21548" s="32">
        <v>24</v>
      </c>
      <c r="I21548" s="30" t="s">
        <v>51</v>
      </c>
      <c r="J21548" s="41">
        <v>46001</v>
      </c>
      <c r="K21548" s="30" t="s">
        <v>22</v>
      </c>
    </row>
    <row r="21549" spans="1:11">
      <c r="A21549" s="33" t="s">
        <v>47728</v>
      </c>
      <c r="B21549" s="33" t="s">
        <v>47729</v>
      </c>
      <c r="C21549" s="33" t="s">
        <v>178</v>
      </c>
      <c r="D21549" s="33" t="s">
        <v>17</v>
      </c>
      <c r="E21549" s="33" t="s">
        <v>18</v>
      </c>
      <c r="F21549" s="33" t="s">
        <v>19</v>
      </c>
      <c r="G21549" s="33" t="s">
        <v>140</v>
      </c>
      <c r="H21549" s="35">
        <v>900</v>
      </c>
      <c r="I21549" s="33" t="s">
        <v>51</v>
      </c>
      <c r="J21549" s="42">
        <v>45985</v>
      </c>
      <c r="K21549" s="33" t="s">
        <v>22</v>
      </c>
    </row>
    <row r="21550" spans="1:11">
      <c r="A21550" s="30" t="s">
        <v>47730</v>
      </c>
      <c r="B21550" s="30" t="s">
        <v>47731</v>
      </c>
      <c r="C21550" s="30" t="s">
        <v>7246</v>
      </c>
      <c r="D21550" s="30" t="s">
        <v>17</v>
      </c>
      <c r="E21550" s="30" t="s">
        <v>31</v>
      </c>
      <c r="F21550" s="30" t="s">
        <v>32</v>
      </c>
      <c r="G21550" s="30" t="s">
        <v>158</v>
      </c>
      <c r="H21550" s="32">
        <v>95</v>
      </c>
      <c r="I21550" s="30" t="s">
        <v>21</v>
      </c>
      <c r="J21550" s="41">
        <v>45960</v>
      </c>
      <c r="K21550" s="30" t="s">
        <v>22</v>
      </c>
    </row>
    <row r="21551" spans="1:11">
      <c r="A21551" s="33" t="s">
        <v>47732</v>
      </c>
      <c r="B21551" s="33" t="s">
        <v>47733</v>
      </c>
      <c r="C21551" s="33" t="s">
        <v>60</v>
      </c>
      <c r="D21551" s="33" t="s">
        <v>17</v>
      </c>
      <c r="E21551" s="33" t="s">
        <v>31</v>
      </c>
      <c r="F21551" s="33" t="s">
        <v>32</v>
      </c>
      <c r="G21551" s="33" t="s">
        <v>158</v>
      </c>
      <c r="H21551" s="35">
        <v>42</v>
      </c>
      <c r="I21551" s="33" t="s">
        <v>21</v>
      </c>
      <c r="J21551" s="42">
        <v>45692</v>
      </c>
      <c r="K21551" s="33" t="s">
        <v>22</v>
      </c>
    </row>
    <row r="21552" spans="1:11">
      <c r="A21552" s="30" t="s">
        <v>47734</v>
      </c>
      <c r="B21552" s="30" t="s">
        <v>47735</v>
      </c>
      <c r="C21552" s="30" t="s">
        <v>93</v>
      </c>
      <c r="D21552" s="30" t="s">
        <v>17</v>
      </c>
      <c r="E21552" s="30" t="s">
        <v>26</v>
      </c>
      <c r="F21552" s="30" t="s">
        <v>27</v>
      </c>
      <c r="G21552" s="30" t="s">
        <v>20</v>
      </c>
      <c r="H21552" s="32">
        <v>32</v>
      </c>
      <c r="I21552" s="30" t="s">
        <v>21</v>
      </c>
      <c r="J21552" s="41">
        <v>45888</v>
      </c>
      <c r="K21552" s="30" t="s">
        <v>22</v>
      </c>
    </row>
    <row r="21553" spans="1:11">
      <c r="A21553" s="33" t="s">
        <v>47736</v>
      </c>
      <c r="B21553" s="33" t="s">
        <v>47737</v>
      </c>
      <c r="C21553" s="33" t="s">
        <v>109</v>
      </c>
      <c r="D21553" s="33" t="s">
        <v>17</v>
      </c>
      <c r="E21553" s="33" t="s">
        <v>31</v>
      </c>
      <c r="F21553" s="33" t="s">
        <v>32</v>
      </c>
      <c r="G21553" s="33" t="s">
        <v>140</v>
      </c>
      <c r="H21553" s="35">
        <v>150</v>
      </c>
      <c r="I21553" s="33" t="s">
        <v>51</v>
      </c>
      <c r="J21553" s="42">
        <v>45845</v>
      </c>
      <c r="K21553" s="33" t="s">
        <v>22</v>
      </c>
    </row>
    <row r="21554" spans="1:11">
      <c r="A21554" s="30" t="s">
        <v>47738</v>
      </c>
      <c r="B21554" s="30" t="s">
        <v>47739</v>
      </c>
      <c r="C21554" s="30" t="s">
        <v>15917</v>
      </c>
      <c r="D21554" s="30" t="s">
        <v>17</v>
      </c>
      <c r="E21554" s="30" t="s">
        <v>18</v>
      </c>
      <c r="F21554" s="30" t="s">
        <v>19</v>
      </c>
      <c r="G21554" s="30" t="s">
        <v>140</v>
      </c>
      <c r="H21554" s="32">
        <v>280</v>
      </c>
      <c r="I21554" s="30" t="s">
        <v>51</v>
      </c>
      <c r="J21554" s="41">
        <v>45897</v>
      </c>
      <c r="K21554" s="30" t="s">
        <v>22</v>
      </c>
    </row>
    <row r="21555" spans="1:11">
      <c r="A21555" s="33" t="s">
        <v>47740</v>
      </c>
      <c r="B21555" s="33" t="s">
        <v>47741</v>
      </c>
      <c r="C21555" s="33" t="s">
        <v>14176</v>
      </c>
      <c r="D21555" s="33" t="s">
        <v>17</v>
      </c>
      <c r="E21555" s="33" t="s">
        <v>31</v>
      </c>
      <c r="F21555" s="33" t="s">
        <v>32</v>
      </c>
      <c r="G21555" s="33" t="s">
        <v>140</v>
      </c>
      <c r="H21555" s="35">
        <v>100</v>
      </c>
      <c r="I21555" s="33" t="s">
        <v>51</v>
      </c>
      <c r="J21555" s="42">
        <v>45909</v>
      </c>
      <c r="K21555" s="33" t="s">
        <v>22</v>
      </c>
    </row>
    <row r="21556" spans="1:11">
      <c r="A21556" s="30" t="s">
        <v>47742</v>
      </c>
      <c r="B21556" s="30" t="s">
        <v>47743</v>
      </c>
      <c r="C21556" s="30" t="s">
        <v>178</v>
      </c>
      <c r="D21556" s="30" t="s">
        <v>17</v>
      </c>
      <c r="E21556" s="30" t="s">
        <v>26</v>
      </c>
      <c r="F21556" s="30" t="s">
        <v>27</v>
      </c>
      <c r="G21556" s="30" t="s">
        <v>112</v>
      </c>
      <c r="H21556" s="32">
        <v>0</v>
      </c>
      <c r="I21556" s="30" t="s">
        <v>21</v>
      </c>
      <c r="J21556" s="41">
        <v>45823</v>
      </c>
      <c r="K21556" s="30" t="s">
        <v>22</v>
      </c>
    </row>
    <row r="21557" spans="1:11">
      <c r="A21557" s="33" t="s">
        <v>47744</v>
      </c>
      <c r="B21557" s="33" t="s">
        <v>47745</v>
      </c>
      <c r="C21557" s="33" t="s">
        <v>23495</v>
      </c>
      <c r="D21557" s="33" t="s">
        <v>17</v>
      </c>
      <c r="E21557" s="33" t="s">
        <v>26</v>
      </c>
      <c r="F21557" s="33" t="s">
        <v>27</v>
      </c>
      <c r="G21557" s="33" t="s">
        <v>7780</v>
      </c>
      <c r="H21557" s="35">
        <v>172</v>
      </c>
      <c r="I21557" s="33" t="s">
        <v>51</v>
      </c>
      <c r="J21557" s="42">
        <v>45778</v>
      </c>
      <c r="K21557" s="33" t="s">
        <v>22</v>
      </c>
    </row>
    <row r="21558" spans="1:11">
      <c r="A21558" s="30" t="s">
        <v>47746</v>
      </c>
      <c r="B21558" s="30" t="s">
        <v>47747</v>
      </c>
      <c r="C21558" s="30" t="s">
        <v>109</v>
      </c>
      <c r="D21558" s="30" t="s">
        <v>17</v>
      </c>
      <c r="E21558" s="30" t="s">
        <v>31</v>
      </c>
      <c r="F21558" s="30" t="s">
        <v>32</v>
      </c>
      <c r="G21558" s="30" t="s">
        <v>158</v>
      </c>
      <c r="H21558" s="32">
        <v>233</v>
      </c>
      <c r="I21558" s="30" t="s">
        <v>21</v>
      </c>
      <c r="J21558" s="41">
        <v>45993</v>
      </c>
      <c r="K21558" s="30" t="s">
        <v>22</v>
      </c>
    </row>
    <row r="21559" spans="1:11">
      <c r="A21559" s="33" t="s">
        <v>47748</v>
      </c>
      <c r="B21559" s="33" t="s">
        <v>47749</v>
      </c>
      <c r="C21559" s="33" t="s">
        <v>3114</v>
      </c>
      <c r="D21559" s="33" t="s">
        <v>17</v>
      </c>
      <c r="E21559" s="33" t="s">
        <v>31</v>
      </c>
      <c r="F21559" s="33" t="s">
        <v>32</v>
      </c>
      <c r="G21559" s="33" t="s">
        <v>7780</v>
      </c>
      <c r="H21559" s="35">
        <v>38</v>
      </c>
      <c r="I21559" s="33" t="s">
        <v>51</v>
      </c>
      <c r="J21559" s="42">
        <v>45989</v>
      </c>
      <c r="K21559" s="33" t="s">
        <v>22</v>
      </c>
    </row>
    <row r="21560" spans="1:11">
      <c r="A21560" s="30" t="s">
        <v>47750</v>
      </c>
      <c r="B21560" s="30" t="s">
        <v>47751</v>
      </c>
      <c r="C21560" s="30" t="s">
        <v>47752</v>
      </c>
      <c r="D21560" s="30" t="s">
        <v>17</v>
      </c>
      <c r="E21560" s="30" t="s">
        <v>31</v>
      </c>
      <c r="F21560" s="30" t="s">
        <v>32</v>
      </c>
      <c r="G21560" s="30" t="s">
        <v>140</v>
      </c>
      <c r="H21560" s="32">
        <v>200</v>
      </c>
      <c r="I21560" s="30" t="s">
        <v>51</v>
      </c>
      <c r="J21560" s="41">
        <v>45818</v>
      </c>
      <c r="K21560" s="30" t="s">
        <v>22</v>
      </c>
    </row>
    <row r="21561" spans="1:11">
      <c r="A21561" s="33" t="s">
        <v>47753</v>
      </c>
      <c r="B21561" s="33" t="s">
        <v>47754</v>
      </c>
      <c r="C21561" s="33" t="s">
        <v>14816</v>
      </c>
      <c r="D21561" s="33" t="s">
        <v>17</v>
      </c>
      <c r="E21561" s="33" t="s">
        <v>31</v>
      </c>
      <c r="F21561" s="33" t="s">
        <v>32</v>
      </c>
      <c r="G21561" s="33" t="s">
        <v>140</v>
      </c>
      <c r="H21561" s="35">
        <v>300</v>
      </c>
      <c r="I21561" s="33" t="s">
        <v>51</v>
      </c>
      <c r="J21561" s="42">
        <v>45775</v>
      </c>
      <c r="K21561" s="33" t="s">
        <v>22</v>
      </c>
    </row>
    <row r="21562" spans="1:11">
      <c r="A21562" s="30" t="s">
        <v>47755</v>
      </c>
      <c r="B21562" s="30" t="s">
        <v>47756</v>
      </c>
      <c r="C21562" s="30" t="s">
        <v>5916</v>
      </c>
      <c r="D21562" s="30" t="s">
        <v>17</v>
      </c>
      <c r="E21562" s="30" t="s">
        <v>31</v>
      </c>
      <c r="F21562" s="30" t="s">
        <v>32</v>
      </c>
      <c r="G21562" s="30" t="s">
        <v>20</v>
      </c>
      <c r="H21562" s="32">
        <v>33</v>
      </c>
      <c r="I21562" s="30" t="s">
        <v>21</v>
      </c>
      <c r="J21562" s="41">
        <v>45827</v>
      </c>
      <c r="K21562" s="30" t="s">
        <v>22</v>
      </c>
    </row>
    <row r="21563" spans="1:11">
      <c r="A21563" s="33" t="s">
        <v>47757</v>
      </c>
      <c r="B21563" s="33" t="s">
        <v>47758</v>
      </c>
      <c r="C21563" s="33" t="s">
        <v>190</v>
      </c>
      <c r="D21563" s="33" t="s">
        <v>17</v>
      </c>
      <c r="E21563" s="33" t="s">
        <v>18</v>
      </c>
      <c r="F21563" s="33" t="s">
        <v>19</v>
      </c>
      <c r="G21563" s="33" t="s">
        <v>140</v>
      </c>
      <c r="H21563" s="35">
        <v>990</v>
      </c>
      <c r="I21563" s="33" t="s">
        <v>51</v>
      </c>
      <c r="J21563" s="42">
        <v>45741</v>
      </c>
      <c r="K21563" s="33" t="s">
        <v>22</v>
      </c>
    </row>
    <row r="21564" spans="1:11">
      <c r="A21564" s="30" t="s">
        <v>47759</v>
      </c>
      <c r="B21564" s="30" t="s">
        <v>47760</v>
      </c>
      <c r="C21564" s="30" t="s">
        <v>190</v>
      </c>
      <c r="D21564" s="30" t="s">
        <v>17</v>
      </c>
      <c r="E21564" s="30" t="s">
        <v>26</v>
      </c>
      <c r="F21564" s="30" t="s">
        <v>27</v>
      </c>
      <c r="G21564" s="30" t="s">
        <v>20</v>
      </c>
      <c r="H21564" s="32">
        <v>8</v>
      </c>
      <c r="I21564" s="30" t="s">
        <v>21</v>
      </c>
      <c r="J21564" s="41">
        <v>45797</v>
      </c>
      <c r="K21564" s="30" t="s">
        <v>22</v>
      </c>
    </row>
    <row r="21565" spans="1:11">
      <c r="A21565" s="33" t="s">
        <v>47761</v>
      </c>
      <c r="B21565" s="33" t="s">
        <v>47762</v>
      </c>
      <c r="C21565" s="33" t="s">
        <v>24097</v>
      </c>
      <c r="D21565" s="33" t="s">
        <v>17</v>
      </c>
      <c r="E21565" s="33" t="s">
        <v>26</v>
      </c>
      <c r="F21565" s="33" t="s">
        <v>27</v>
      </c>
      <c r="G21565" s="33" t="s">
        <v>7780</v>
      </c>
      <c r="H21565" s="35">
        <v>30</v>
      </c>
      <c r="I21565" s="33" t="s">
        <v>51</v>
      </c>
      <c r="J21565" s="42">
        <v>45992</v>
      </c>
      <c r="K21565" s="33" t="s">
        <v>22</v>
      </c>
    </row>
    <row r="21566" spans="1:11">
      <c r="A21566" s="30" t="s">
        <v>47763</v>
      </c>
      <c r="B21566" s="30" t="s">
        <v>47764</v>
      </c>
      <c r="C21566" s="30" t="s">
        <v>47765</v>
      </c>
      <c r="D21566" s="30" t="s">
        <v>17</v>
      </c>
      <c r="E21566" s="30" t="s">
        <v>45</v>
      </c>
      <c r="F21566" s="30" t="s">
        <v>46</v>
      </c>
      <c r="G21566" s="30" t="s">
        <v>140</v>
      </c>
      <c r="H21566" s="32">
        <v>210</v>
      </c>
      <c r="I21566" s="30" t="s">
        <v>51</v>
      </c>
      <c r="J21566" s="41">
        <v>45964</v>
      </c>
      <c r="K21566" s="30" t="s">
        <v>22</v>
      </c>
    </row>
    <row r="21567" spans="1:11">
      <c r="A21567" s="33" t="s">
        <v>47766</v>
      </c>
      <c r="B21567" s="33" t="s">
        <v>47767</v>
      </c>
      <c r="C21567" s="33" t="s">
        <v>10774</v>
      </c>
      <c r="D21567" s="33" t="s">
        <v>17</v>
      </c>
      <c r="E21567" s="33" t="s">
        <v>31</v>
      </c>
      <c r="F21567" s="33" t="s">
        <v>32</v>
      </c>
      <c r="G21567" s="33" t="s">
        <v>140</v>
      </c>
      <c r="H21567" s="35">
        <v>31</v>
      </c>
      <c r="I21567" s="33" t="s">
        <v>51</v>
      </c>
      <c r="J21567" s="42">
        <v>45873</v>
      </c>
      <c r="K21567" s="33" t="s">
        <v>22</v>
      </c>
    </row>
    <row r="21568" spans="1:11">
      <c r="A21568" s="30" t="s">
        <v>47768</v>
      </c>
      <c r="B21568" s="30" t="s">
        <v>47769</v>
      </c>
      <c r="C21568" s="30" t="s">
        <v>10433</v>
      </c>
      <c r="D21568" s="30" t="s">
        <v>17</v>
      </c>
      <c r="E21568" s="30" t="s">
        <v>18</v>
      </c>
      <c r="F21568" s="30" t="s">
        <v>19</v>
      </c>
      <c r="G21568" s="30" t="s">
        <v>158</v>
      </c>
      <c r="H21568" s="32">
        <v>252</v>
      </c>
      <c r="I21568" s="30" t="s">
        <v>51</v>
      </c>
      <c r="J21568" s="41">
        <v>45807</v>
      </c>
      <c r="K21568" s="30" t="s">
        <v>22</v>
      </c>
    </row>
    <row r="21569" spans="1:11">
      <c r="A21569" s="33" t="s">
        <v>47770</v>
      </c>
      <c r="B21569" s="33" t="s">
        <v>47771</v>
      </c>
      <c r="C21569" s="33" t="s">
        <v>647</v>
      </c>
      <c r="D21569" s="33" t="s">
        <v>17</v>
      </c>
      <c r="E21569" s="33" t="s">
        <v>26</v>
      </c>
      <c r="F21569" s="33" t="s">
        <v>27</v>
      </c>
      <c r="G21569" s="33" t="s">
        <v>20</v>
      </c>
      <c r="H21569" s="35">
        <v>18</v>
      </c>
      <c r="I21569" s="33" t="s">
        <v>21</v>
      </c>
      <c r="J21569" s="42">
        <v>45919</v>
      </c>
      <c r="K21569" s="33" t="s">
        <v>22</v>
      </c>
    </row>
    <row r="21570" spans="1:11">
      <c r="A21570" s="30" t="s">
        <v>47772</v>
      </c>
      <c r="B21570" s="30" t="s">
        <v>47773</v>
      </c>
      <c r="C21570" s="30" t="s">
        <v>8768</v>
      </c>
      <c r="D21570" s="30" t="s">
        <v>17</v>
      </c>
      <c r="E21570" s="30" t="s">
        <v>18</v>
      </c>
      <c r="F21570" s="30" t="s">
        <v>19</v>
      </c>
      <c r="G21570" s="30" t="s">
        <v>140</v>
      </c>
      <c r="H21570" s="32">
        <v>50</v>
      </c>
      <c r="I21570" s="30" t="s">
        <v>51</v>
      </c>
      <c r="J21570" s="41">
        <v>45963</v>
      </c>
      <c r="K21570" s="30" t="s">
        <v>22</v>
      </c>
    </row>
    <row r="21571" spans="1:11">
      <c r="A21571" s="33" t="s">
        <v>47774</v>
      </c>
      <c r="B21571" s="33" t="s">
        <v>47775</v>
      </c>
      <c r="C21571" s="33" t="s">
        <v>21340</v>
      </c>
      <c r="D21571" s="33" t="s">
        <v>17</v>
      </c>
      <c r="E21571" s="33" t="s">
        <v>67</v>
      </c>
      <c r="F21571" s="33" t="s">
        <v>68</v>
      </c>
      <c r="G21571" s="33" t="s">
        <v>140</v>
      </c>
      <c r="H21571" s="35">
        <v>12</v>
      </c>
      <c r="I21571" s="33" t="s">
        <v>51</v>
      </c>
      <c r="J21571" s="42">
        <v>45891</v>
      </c>
      <c r="K21571" s="33" t="s">
        <v>22</v>
      </c>
    </row>
    <row r="21572" spans="1:11">
      <c r="A21572" s="30" t="s">
        <v>47776</v>
      </c>
      <c r="B21572" s="30" t="s">
        <v>47777</v>
      </c>
      <c r="C21572" s="30" t="s">
        <v>25308</v>
      </c>
      <c r="D21572" s="30" t="s">
        <v>17</v>
      </c>
      <c r="E21572" s="30" t="s">
        <v>31</v>
      </c>
      <c r="F21572" s="30" t="s">
        <v>32</v>
      </c>
      <c r="G21572" s="30" t="s">
        <v>158</v>
      </c>
      <c r="H21572" s="32">
        <v>110</v>
      </c>
      <c r="I21572" s="30" t="s">
        <v>51</v>
      </c>
      <c r="J21572" s="41">
        <v>45769</v>
      </c>
      <c r="K21572" s="30" t="s">
        <v>22</v>
      </c>
    </row>
    <row r="21573" spans="1:11">
      <c r="A21573" s="33" t="s">
        <v>47778</v>
      </c>
      <c r="B21573" s="33" t="s">
        <v>47779</v>
      </c>
      <c r="C21573" s="33" t="s">
        <v>3540</v>
      </c>
      <c r="D21573" s="33" t="s">
        <v>17</v>
      </c>
      <c r="E21573" s="33" t="s">
        <v>330</v>
      </c>
      <c r="F21573" s="33" t="s">
        <v>331</v>
      </c>
      <c r="G21573" s="33" t="s">
        <v>158</v>
      </c>
      <c r="H21573" s="35">
        <v>60</v>
      </c>
      <c r="I21573" s="33" t="s">
        <v>51</v>
      </c>
      <c r="J21573" s="42">
        <v>45686</v>
      </c>
      <c r="K21573" s="33" t="s">
        <v>22</v>
      </c>
    </row>
    <row r="21574" spans="1:11">
      <c r="A21574" s="30" t="s">
        <v>47780</v>
      </c>
      <c r="B21574" s="30" t="s">
        <v>47781</v>
      </c>
      <c r="C21574" s="30" t="s">
        <v>21474</v>
      </c>
      <c r="D21574" s="30" t="s">
        <v>17</v>
      </c>
      <c r="E21574" s="30" t="s">
        <v>67</v>
      </c>
      <c r="F21574" s="30" t="s">
        <v>68</v>
      </c>
      <c r="G21574" s="30" t="s">
        <v>140</v>
      </c>
      <c r="H21574" s="32">
        <v>191</v>
      </c>
      <c r="I21574" s="30" t="s">
        <v>51</v>
      </c>
      <c r="J21574" s="41">
        <v>45740</v>
      </c>
      <c r="K21574" s="30" t="s">
        <v>22</v>
      </c>
    </row>
    <row r="21575" spans="1:11">
      <c r="A21575" s="33" t="s">
        <v>47782</v>
      </c>
      <c r="B21575" s="33" t="s">
        <v>47783</v>
      </c>
      <c r="C21575" s="33" t="s">
        <v>570</v>
      </c>
      <c r="D21575" s="33" t="s">
        <v>17</v>
      </c>
      <c r="E21575" s="33" t="s">
        <v>18</v>
      </c>
      <c r="F21575" s="33" t="s">
        <v>19</v>
      </c>
      <c r="G21575" s="33" t="s">
        <v>140</v>
      </c>
      <c r="H21575" s="35">
        <v>808</v>
      </c>
      <c r="I21575" s="33" t="s">
        <v>51</v>
      </c>
      <c r="J21575" s="42">
        <v>45672</v>
      </c>
      <c r="K21575" s="33" t="s">
        <v>22</v>
      </c>
    </row>
    <row r="21576" spans="1:11">
      <c r="A21576" s="30" t="s">
        <v>47784</v>
      </c>
      <c r="B21576" s="30" t="s">
        <v>47785</v>
      </c>
      <c r="C21576" s="30" t="s">
        <v>14816</v>
      </c>
      <c r="D21576" s="30" t="s">
        <v>17</v>
      </c>
      <c r="E21576" s="30" t="s">
        <v>31</v>
      </c>
      <c r="F21576" s="30" t="s">
        <v>32</v>
      </c>
      <c r="G21576" s="30" t="s">
        <v>140</v>
      </c>
      <c r="H21576" s="32">
        <v>84</v>
      </c>
      <c r="I21576" s="30" t="s">
        <v>51</v>
      </c>
      <c r="J21576" s="41">
        <v>45713</v>
      </c>
      <c r="K21576" s="30" t="s">
        <v>22</v>
      </c>
    </row>
    <row r="21577" spans="1:11">
      <c r="A21577" s="33" t="s">
        <v>47786</v>
      </c>
      <c r="B21577" s="33" t="s">
        <v>47787</v>
      </c>
      <c r="C21577" s="33" t="s">
        <v>925</v>
      </c>
      <c r="D21577" s="33" t="s">
        <v>17</v>
      </c>
      <c r="E21577" s="33" t="s">
        <v>26</v>
      </c>
      <c r="F21577" s="33" t="s">
        <v>27</v>
      </c>
      <c r="G21577" s="33" t="s">
        <v>158</v>
      </c>
      <c r="H21577" s="35">
        <v>16</v>
      </c>
      <c r="I21577" s="33" t="s">
        <v>51</v>
      </c>
      <c r="J21577" s="42">
        <v>45881</v>
      </c>
      <c r="K21577" s="33" t="s">
        <v>22</v>
      </c>
    </row>
    <row r="21578" spans="1:11">
      <c r="A21578" s="30" t="s">
        <v>47788</v>
      </c>
      <c r="B21578" s="30" t="s">
        <v>47789</v>
      </c>
      <c r="C21578" s="30" t="s">
        <v>27689</v>
      </c>
      <c r="D21578" s="30" t="s">
        <v>17</v>
      </c>
      <c r="E21578" s="30" t="s">
        <v>26</v>
      </c>
      <c r="F21578" s="30" t="s">
        <v>27</v>
      </c>
      <c r="G21578" s="30" t="s">
        <v>140</v>
      </c>
      <c r="H21578" s="32">
        <v>12</v>
      </c>
      <c r="I21578" s="30" t="s">
        <v>51</v>
      </c>
      <c r="J21578" s="41">
        <v>45723</v>
      </c>
      <c r="K21578" s="30" t="s">
        <v>22</v>
      </c>
    </row>
    <row r="21579" spans="1:11">
      <c r="A21579" s="33" t="s">
        <v>47790</v>
      </c>
      <c r="B21579" s="33" t="s">
        <v>47791</v>
      </c>
      <c r="C21579" s="33" t="s">
        <v>6955</v>
      </c>
      <c r="D21579" s="33" t="s">
        <v>17</v>
      </c>
      <c r="E21579" s="33" t="s">
        <v>26</v>
      </c>
      <c r="F21579" s="33" t="s">
        <v>27</v>
      </c>
      <c r="G21579" s="33" t="s">
        <v>20</v>
      </c>
      <c r="H21579" s="35">
        <v>50</v>
      </c>
      <c r="I21579" s="33" t="s">
        <v>21</v>
      </c>
      <c r="J21579" s="42">
        <v>46008</v>
      </c>
      <c r="K21579" s="33" t="s">
        <v>22</v>
      </c>
    </row>
    <row r="21580" spans="1:11">
      <c r="A21580" s="30" t="s">
        <v>47792</v>
      </c>
      <c r="B21580" s="30" t="s">
        <v>47793</v>
      </c>
      <c r="C21580" s="30" t="s">
        <v>5251</v>
      </c>
      <c r="D21580" s="30" t="s">
        <v>17</v>
      </c>
      <c r="E21580" s="30" t="s">
        <v>67</v>
      </c>
      <c r="F21580" s="30" t="s">
        <v>68</v>
      </c>
      <c r="G21580" s="30" t="s">
        <v>140</v>
      </c>
      <c r="H21580" s="32">
        <v>198</v>
      </c>
      <c r="I21580" s="30" t="s">
        <v>51</v>
      </c>
      <c r="J21580" s="41">
        <v>45924</v>
      </c>
      <c r="K21580" s="30" t="s">
        <v>22</v>
      </c>
    </row>
    <row r="21581" spans="1:11">
      <c r="A21581" s="33" t="s">
        <v>47794</v>
      </c>
      <c r="B21581" s="33" t="s">
        <v>47795</v>
      </c>
      <c r="C21581" s="33" t="s">
        <v>20363</v>
      </c>
      <c r="D21581" s="33" t="s">
        <v>17</v>
      </c>
      <c r="E21581" s="33" t="s">
        <v>31</v>
      </c>
      <c r="F21581" s="33" t="s">
        <v>32</v>
      </c>
      <c r="G21581" s="33" t="s">
        <v>140</v>
      </c>
      <c r="H21581" s="35">
        <v>90</v>
      </c>
      <c r="I21581" s="33" t="s">
        <v>51</v>
      </c>
      <c r="J21581" s="42">
        <v>45835</v>
      </c>
      <c r="K21581" s="33" t="s">
        <v>22</v>
      </c>
    </row>
    <row r="21582" spans="1:11">
      <c r="A21582" s="30" t="s">
        <v>47796</v>
      </c>
      <c r="B21582" s="30" t="s">
        <v>47797</v>
      </c>
      <c r="C21582" s="30" t="s">
        <v>16854</v>
      </c>
      <c r="D21582" s="30" t="s">
        <v>17</v>
      </c>
      <c r="E21582" s="30" t="s">
        <v>26</v>
      </c>
      <c r="F21582" s="30" t="s">
        <v>27</v>
      </c>
      <c r="G21582" s="30" t="s">
        <v>140</v>
      </c>
      <c r="H21582" s="32">
        <v>60</v>
      </c>
      <c r="I21582" s="30" t="s">
        <v>51</v>
      </c>
      <c r="J21582" s="41">
        <v>45986</v>
      </c>
      <c r="K21582" s="30" t="s">
        <v>22</v>
      </c>
    </row>
    <row r="21583" spans="1:11">
      <c r="A21583" s="33" t="s">
        <v>47798</v>
      </c>
      <c r="B21583" s="33" t="s">
        <v>47799</v>
      </c>
      <c r="C21583" s="33" t="s">
        <v>6892</v>
      </c>
      <c r="D21583" s="33" t="s">
        <v>17</v>
      </c>
      <c r="E21583" s="33" t="s">
        <v>18</v>
      </c>
      <c r="F21583" s="33" t="s">
        <v>19</v>
      </c>
      <c r="G21583" s="33" t="s">
        <v>158</v>
      </c>
      <c r="H21583" s="35">
        <v>60</v>
      </c>
      <c r="I21583" s="33" t="s">
        <v>51</v>
      </c>
      <c r="J21583" s="42">
        <v>45734</v>
      </c>
      <c r="K21583" s="33" t="s">
        <v>22</v>
      </c>
    </row>
    <row r="21584" spans="1:11">
      <c r="A21584" s="30" t="s">
        <v>47800</v>
      </c>
      <c r="B21584" s="30" t="s">
        <v>47801</v>
      </c>
      <c r="C21584" s="30" t="s">
        <v>47802</v>
      </c>
      <c r="D21584" s="30" t="s">
        <v>17</v>
      </c>
      <c r="E21584" s="30" t="s">
        <v>45</v>
      </c>
      <c r="F21584" s="30" t="s">
        <v>46</v>
      </c>
      <c r="G21584" s="30" t="s">
        <v>140</v>
      </c>
      <c r="H21584" s="32">
        <v>135</v>
      </c>
      <c r="I21584" s="30" t="s">
        <v>51</v>
      </c>
      <c r="J21584" s="41">
        <v>45875</v>
      </c>
      <c r="K21584" s="30" t="s">
        <v>22</v>
      </c>
    </row>
    <row r="21585" spans="1:11">
      <c r="A21585" s="33" t="s">
        <v>47803</v>
      </c>
      <c r="B21585" s="33" t="s">
        <v>47804</v>
      </c>
      <c r="C21585" s="33" t="s">
        <v>23340</v>
      </c>
      <c r="D21585" s="33" t="s">
        <v>17</v>
      </c>
      <c r="E21585" s="33" t="s">
        <v>67</v>
      </c>
      <c r="F21585" s="33" t="s">
        <v>68</v>
      </c>
      <c r="G21585" s="33" t="s">
        <v>140</v>
      </c>
      <c r="H21585" s="35">
        <v>200</v>
      </c>
      <c r="I21585" s="33" t="s">
        <v>51</v>
      </c>
      <c r="J21585" s="42">
        <v>45988</v>
      </c>
      <c r="K21585" s="33" t="s">
        <v>22</v>
      </c>
    </row>
    <row r="21586" spans="1:11">
      <c r="A21586" s="30" t="s">
        <v>47805</v>
      </c>
      <c r="B21586" s="30" t="s">
        <v>47806</v>
      </c>
      <c r="C21586" s="30" t="s">
        <v>1908</v>
      </c>
      <c r="D21586" s="30" t="s">
        <v>17</v>
      </c>
      <c r="E21586" s="30" t="s">
        <v>26</v>
      </c>
      <c r="F21586" s="30" t="s">
        <v>27</v>
      </c>
      <c r="G21586" s="30" t="s">
        <v>140</v>
      </c>
      <c r="H21586" s="32">
        <v>16</v>
      </c>
      <c r="I21586" s="30" t="s">
        <v>51</v>
      </c>
      <c r="J21586" s="41">
        <v>45989</v>
      </c>
      <c r="K21586" s="30" t="s">
        <v>22</v>
      </c>
    </row>
    <row r="21587" spans="1:11">
      <c r="A21587" s="33" t="s">
        <v>47807</v>
      </c>
      <c r="B21587" s="33" t="s">
        <v>47808</v>
      </c>
      <c r="C21587" s="33" t="s">
        <v>440</v>
      </c>
      <c r="D21587" s="33" t="s">
        <v>17</v>
      </c>
      <c r="E21587" s="33" t="s">
        <v>18</v>
      </c>
      <c r="F21587" s="33" t="s">
        <v>19</v>
      </c>
      <c r="G21587" s="33" t="s">
        <v>140</v>
      </c>
      <c r="H21587" s="35">
        <v>736</v>
      </c>
      <c r="I21587" s="33" t="s">
        <v>51</v>
      </c>
      <c r="J21587" s="42">
        <v>45749</v>
      </c>
      <c r="K21587" s="33" t="s">
        <v>22</v>
      </c>
    </row>
    <row r="21588" spans="1:11">
      <c r="A21588" s="30" t="s">
        <v>47809</v>
      </c>
      <c r="B21588" s="30" t="s">
        <v>47810</v>
      </c>
      <c r="C21588" s="30" t="s">
        <v>10199</v>
      </c>
      <c r="D21588" s="30" t="s">
        <v>17</v>
      </c>
      <c r="E21588" s="30" t="s">
        <v>18</v>
      </c>
      <c r="F21588" s="30" t="s">
        <v>19</v>
      </c>
      <c r="G21588" s="30" t="s">
        <v>7780</v>
      </c>
      <c r="H21588" s="32">
        <v>102</v>
      </c>
      <c r="I21588" s="30" t="s">
        <v>51</v>
      </c>
      <c r="J21588" s="41">
        <v>45838</v>
      </c>
      <c r="K21588" s="30" t="s">
        <v>22</v>
      </c>
    </row>
    <row r="21589" spans="1:11">
      <c r="A21589" s="33" t="s">
        <v>47811</v>
      </c>
      <c r="B21589" s="33" t="s">
        <v>47812</v>
      </c>
      <c r="C21589" s="33" t="s">
        <v>190</v>
      </c>
      <c r="D21589" s="33" t="s">
        <v>17</v>
      </c>
      <c r="E21589" s="33" t="s">
        <v>67</v>
      </c>
      <c r="F21589" s="33" t="s">
        <v>68</v>
      </c>
      <c r="G21589" s="33" t="s">
        <v>140</v>
      </c>
      <c r="H21589" s="35">
        <v>150</v>
      </c>
      <c r="I21589" s="33" t="s">
        <v>51</v>
      </c>
      <c r="J21589" s="42">
        <v>45768</v>
      </c>
      <c r="K21589" s="33" t="s">
        <v>22</v>
      </c>
    </row>
    <row r="21590" spans="1:11">
      <c r="A21590" s="30" t="s">
        <v>47813</v>
      </c>
      <c r="B21590" s="30" t="s">
        <v>47814</v>
      </c>
      <c r="C21590" s="30" t="s">
        <v>136</v>
      </c>
      <c r="D21590" s="30" t="s">
        <v>17</v>
      </c>
      <c r="E21590" s="30" t="s">
        <v>26</v>
      </c>
      <c r="F21590" s="30" t="s">
        <v>27</v>
      </c>
      <c r="G21590" s="30" t="s">
        <v>20</v>
      </c>
      <c r="H21590" s="32">
        <v>30</v>
      </c>
      <c r="I21590" s="30" t="s">
        <v>21</v>
      </c>
      <c r="J21590" s="41">
        <v>45691</v>
      </c>
      <c r="K21590" s="30" t="s">
        <v>22</v>
      </c>
    </row>
    <row r="21591" spans="1:11">
      <c r="A21591" s="33" t="s">
        <v>47815</v>
      </c>
      <c r="B21591" s="33" t="s">
        <v>47816</v>
      </c>
      <c r="C21591" s="33" t="s">
        <v>136</v>
      </c>
      <c r="D21591" s="33" t="s">
        <v>17</v>
      </c>
      <c r="E21591" s="33" t="s">
        <v>18</v>
      </c>
      <c r="F21591" s="33" t="s">
        <v>19</v>
      </c>
      <c r="G21591" s="33" t="s">
        <v>158</v>
      </c>
      <c r="H21591" s="35">
        <v>250</v>
      </c>
      <c r="I21591" s="33" t="s">
        <v>51</v>
      </c>
      <c r="J21591" s="42">
        <v>45978</v>
      </c>
      <c r="K21591" s="33" t="s">
        <v>22</v>
      </c>
    </row>
    <row r="21592" spans="1:11">
      <c r="A21592" s="30" t="s">
        <v>47817</v>
      </c>
      <c r="B21592" s="30" t="s">
        <v>47818</v>
      </c>
      <c r="C21592" s="30" t="s">
        <v>1350</v>
      </c>
      <c r="D21592" s="30" t="s">
        <v>17</v>
      </c>
      <c r="E21592" s="30" t="s">
        <v>31</v>
      </c>
      <c r="F21592" s="30" t="s">
        <v>32</v>
      </c>
      <c r="G21592" s="30" t="s">
        <v>7780</v>
      </c>
      <c r="H21592" s="32">
        <v>160</v>
      </c>
      <c r="I21592" s="30" t="s">
        <v>51</v>
      </c>
      <c r="J21592" s="41">
        <v>46001</v>
      </c>
      <c r="K21592" s="30" t="s">
        <v>22</v>
      </c>
    </row>
    <row r="21593" spans="1:11">
      <c r="A21593" s="33" t="s">
        <v>47819</v>
      </c>
      <c r="B21593" s="33" t="s">
        <v>47820</v>
      </c>
      <c r="C21593" s="33" t="s">
        <v>47821</v>
      </c>
      <c r="D21593" s="33" t="s">
        <v>17</v>
      </c>
      <c r="E21593" s="33" t="s">
        <v>26</v>
      </c>
      <c r="F21593" s="33" t="s">
        <v>27</v>
      </c>
      <c r="G21593" s="33" t="s">
        <v>140</v>
      </c>
      <c r="H21593" s="35">
        <v>226</v>
      </c>
      <c r="I21593" s="33" t="s">
        <v>51</v>
      </c>
      <c r="J21593" s="42">
        <v>46010</v>
      </c>
      <c r="K21593" s="33" t="s">
        <v>22</v>
      </c>
    </row>
    <row r="21594" spans="1:11">
      <c r="A21594" s="30" t="s">
        <v>47822</v>
      </c>
      <c r="B21594" s="30" t="s">
        <v>47823</v>
      </c>
      <c r="C21594" s="30" t="s">
        <v>5443</v>
      </c>
      <c r="D21594" s="30" t="s">
        <v>17</v>
      </c>
      <c r="E21594" s="30" t="s">
        <v>67</v>
      </c>
      <c r="F21594" s="30" t="s">
        <v>68</v>
      </c>
      <c r="G21594" s="30" t="s">
        <v>112</v>
      </c>
      <c r="H21594" s="32">
        <v>0</v>
      </c>
      <c r="I21594" s="30" t="s">
        <v>21</v>
      </c>
      <c r="J21594" s="41">
        <v>45901</v>
      </c>
      <c r="K21594" s="30" t="s">
        <v>22</v>
      </c>
    </row>
    <row r="21595" spans="1:11">
      <c r="A21595" s="33" t="s">
        <v>47824</v>
      </c>
      <c r="B21595" s="33" t="s">
        <v>47825</v>
      </c>
      <c r="C21595" s="33" t="s">
        <v>310</v>
      </c>
      <c r="D21595" s="33" t="s">
        <v>17</v>
      </c>
      <c r="E21595" s="33" t="s">
        <v>26</v>
      </c>
      <c r="F21595" s="33" t="s">
        <v>27</v>
      </c>
      <c r="G21595" s="33" t="s">
        <v>158</v>
      </c>
      <c r="H21595" s="35">
        <v>96</v>
      </c>
      <c r="I21595" s="33" t="s">
        <v>51</v>
      </c>
      <c r="J21595" s="42">
        <v>45839</v>
      </c>
      <c r="K21595" s="33" t="s">
        <v>22</v>
      </c>
    </row>
    <row r="21596" spans="1:11">
      <c r="A21596" s="30" t="s">
        <v>47826</v>
      </c>
      <c r="B21596" s="30" t="s">
        <v>47827</v>
      </c>
      <c r="C21596" s="30" t="s">
        <v>801</v>
      </c>
      <c r="D21596" s="30" t="s">
        <v>17</v>
      </c>
      <c r="E21596" s="30" t="s">
        <v>18</v>
      </c>
      <c r="F21596" s="30" t="s">
        <v>19</v>
      </c>
      <c r="G21596" s="30" t="s">
        <v>140</v>
      </c>
      <c r="H21596" s="32">
        <v>454</v>
      </c>
      <c r="I21596" s="30" t="s">
        <v>51</v>
      </c>
      <c r="J21596" s="41">
        <v>45785</v>
      </c>
      <c r="K21596" s="30" t="s">
        <v>22</v>
      </c>
    </row>
    <row r="21597" spans="1:11">
      <c r="A21597" s="33" t="s">
        <v>47828</v>
      </c>
      <c r="B21597" s="33" t="s">
        <v>47829</v>
      </c>
      <c r="C21597" s="33" t="s">
        <v>17877</v>
      </c>
      <c r="D21597" s="33" t="s">
        <v>17</v>
      </c>
      <c r="E21597" s="33" t="s">
        <v>26</v>
      </c>
      <c r="F21597" s="33" t="s">
        <v>27</v>
      </c>
      <c r="G21597" s="33" t="s">
        <v>140</v>
      </c>
      <c r="H21597" s="35">
        <v>124</v>
      </c>
      <c r="I21597" s="33" t="s">
        <v>51</v>
      </c>
      <c r="J21597" s="42">
        <v>45701</v>
      </c>
      <c r="K21597" s="33" t="s">
        <v>22</v>
      </c>
    </row>
    <row r="21598" spans="1:11">
      <c r="A21598" s="30" t="s">
        <v>47830</v>
      </c>
      <c r="B21598" s="30" t="s">
        <v>47831</v>
      </c>
      <c r="C21598" s="30" t="s">
        <v>5443</v>
      </c>
      <c r="D21598" s="30" t="s">
        <v>17</v>
      </c>
      <c r="E21598" s="30" t="s">
        <v>330</v>
      </c>
      <c r="F21598" s="30" t="s">
        <v>331</v>
      </c>
      <c r="G21598" s="30" t="s">
        <v>140</v>
      </c>
      <c r="H21598" s="32">
        <v>18</v>
      </c>
      <c r="I21598" s="30" t="s">
        <v>51</v>
      </c>
      <c r="J21598" s="41">
        <v>45717</v>
      </c>
      <c r="K21598" s="30" t="s">
        <v>22</v>
      </c>
    </row>
    <row r="21599" spans="1:11">
      <c r="A21599" s="33" t="s">
        <v>47832</v>
      </c>
      <c r="B21599" s="33" t="s">
        <v>47833</v>
      </c>
      <c r="C21599" s="33" t="s">
        <v>3258</v>
      </c>
      <c r="D21599" s="33" t="s">
        <v>17</v>
      </c>
      <c r="E21599" s="33" t="s">
        <v>31</v>
      </c>
      <c r="F21599" s="33" t="s">
        <v>32</v>
      </c>
      <c r="G21599" s="33" t="s">
        <v>20</v>
      </c>
      <c r="H21599" s="35">
        <v>443</v>
      </c>
      <c r="I21599" s="33" t="s">
        <v>21</v>
      </c>
      <c r="J21599" s="42">
        <v>45954</v>
      </c>
      <c r="K21599" s="33" t="s">
        <v>22</v>
      </c>
    </row>
    <row r="21600" spans="1:11">
      <c r="A21600" s="30" t="s">
        <v>47834</v>
      </c>
      <c r="B21600" s="30" t="s">
        <v>47835</v>
      </c>
      <c r="C21600" s="30" t="s">
        <v>21185</v>
      </c>
      <c r="D21600" s="30" t="s">
        <v>17</v>
      </c>
      <c r="E21600" s="30" t="s">
        <v>26</v>
      </c>
      <c r="F21600" s="30" t="s">
        <v>27</v>
      </c>
      <c r="G21600" s="30" t="s">
        <v>140</v>
      </c>
      <c r="H21600" s="32">
        <v>114</v>
      </c>
      <c r="I21600" s="30" t="s">
        <v>51</v>
      </c>
      <c r="J21600" s="41">
        <v>45870</v>
      </c>
      <c r="K21600" s="30" t="s">
        <v>22</v>
      </c>
    </row>
    <row r="21601" spans="1:11">
      <c r="A21601" s="33" t="s">
        <v>47836</v>
      </c>
      <c r="B21601" s="33" t="s">
        <v>47837</v>
      </c>
      <c r="C21601" s="33" t="s">
        <v>190</v>
      </c>
      <c r="D21601" s="33" t="s">
        <v>17</v>
      </c>
      <c r="E21601" s="33" t="s">
        <v>26</v>
      </c>
      <c r="F21601" s="33" t="s">
        <v>27</v>
      </c>
      <c r="G21601" s="33" t="s">
        <v>20</v>
      </c>
      <c r="H21601" s="35">
        <v>28</v>
      </c>
      <c r="I21601" s="33" t="s">
        <v>21</v>
      </c>
      <c r="J21601" s="42">
        <v>45769</v>
      </c>
      <c r="K21601" s="33" t="s">
        <v>22</v>
      </c>
    </row>
    <row r="21602" spans="1:11">
      <c r="A21602" s="30" t="s">
        <v>47838</v>
      </c>
      <c r="B21602" s="30" t="s">
        <v>43726</v>
      </c>
      <c r="C21602" s="30" t="s">
        <v>736</v>
      </c>
      <c r="D21602" s="30" t="s">
        <v>17</v>
      </c>
      <c r="E21602" s="30" t="s">
        <v>31</v>
      </c>
      <c r="F21602" s="30" t="s">
        <v>32</v>
      </c>
      <c r="G21602" s="30" t="s">
        <v>140</v>
      </c>
      <c r="H21602" s="32">
        <v>210</v>
      </c>
      <c r="I21602" s="30" t="s">
        <v>51</v>
      </c>
      <c r="J21602" s="41">
        <v>45827</v>
      </c>
      <c r="K21602" s="30" t="s">
        <v>22</v>
      </c>
    </row>
    <row r="21603" spans="1:11">
      <c r="A21603" s="33" t="s">
        <v>47839</v>
      </c>
      <c r="B21603" s="33" t="s">
        <v>47840</v>
      </c>
      <c r="C21603" s="33" t="s">
        <v>570</v>
      </c>
      <c r="D21603" s="33" t="s">
        <v>17</v>
      </c>
      <c r="E21603" s="33" t="s">
        <v>26</v>
      </c>
      <c r="F21603" s="33" t="s">
        <v>27</v>
      </c>
      <c r="G21603" s="33" t="s">
        <v>140</v>
      </c>
      <c r="H21603" s="35">
        <v>16</v>
      </c>
      <c r="I21603" s="33" t="s">
        <v>51</v>
      </c>
      <c r="J21603" s="42">
        <v>45913</v>
      </c>
      <c r="K21603" s="33" t="s">
        <v>22</v>
      </c>
    </row>
    <row r="21604" spans="1:11">
      <c r="A21604" s="30" t="s">
        <v>47841</v>
      </c>
      <c r="B21604" s="30" t="s">
        <v>47842</v>
      </c>
      <c r="C21604" s="30" t="s">
        <v>647</v>
      </c>
      <c r="D21604" s="30" t="s">
        <v>17</v>
      </c>
      <c r="E21604" s="30" t="s">
        <v>31</v>
      </c>
      <c r="F21604" s="30" t="s">
        <v>32</v>
      </c>
      <c r="G21604" s="30" t="s">
        <v>140</v>
      </c>
      <c r="H21604" s="32">
        <v>250</v>
      </c>
      <c r="I21604" s="30" t="s">
        <v>51</v>
      </c>
      <c r="J21604" s="41">
        <v>45880</v>
      </c>
      <c r="K21604" s="30" t="s">
        <v>22</v>
      </c>
    </row>
    <row r="21605" spans="1:11">
      <c r="A21605" s="33" t="s">
        <v>47843</v>
      </c>
      <c r="B21605" s="33" t="s">
        <v>47844</v>
      </c>
      <c r="C21605" s="33" t="s">
        <v>6622</v>
      </c>
      <c r="D21605" s="33" t="s">
        <v>17</v>
      </c>
      <c r="E21605" s="33" t="s">
        <v>18</v>
      </c>
      <c r="F21605" s="33" t="s">
        <v>19</v>
      </c>
      <c r="G21605" s="33" t="s">
        <v>7780</v>
      </c>
      <c r="H21605" s="35">
        <v>166</v>
      </c>
      <c r="I21605" s="33" t="s">
        <v>51</v>
      </c>
      <c r="J21605" s="42">
        <v>45748</v>
      </c>
      <c r="K21605" s="33" t="s">
        <v>22</v>
      </c>
    </row>
    <row r="21606" spans="1:11">
      <c r="A21606" s="30" t="s">
        <v>47845</v>
      </c>
      <c r="B21606" s="30" t="s">
        <v>47846</v>
      </c>
      <c r="C21606" s="30" t="s">
        <v>33031</v>
      </c>
      <c r="D21606" s="30" t="s">
        <v>17</v>
      </c>
      <c r="E21606" s="30" t="s">
        <v>26</v>
      </c>
      <c r="F21606" s="30" t="s">
        <v>27</v>
      </c>
      <c r="G21606" s="30" t="s">
        <v>140</v>
      </c>
      <c r="H21606" s="32">
        <v>96</v>
      </c>
      <c r="I21606" s="30" t="s">
        <v>51</v>
      </c>
      <c r="J21606" s="41">
        <v>45835</v>
      </c>
      <c r="K21606" s="30" t="s">
        <v>22</v>
      </c>
    </row>
    <row r="21607" spans="1:11">
      <c r="A21607" s="33" t="s">
        <v>47847</v>
      </c>
      <c r="B21607" s="33" t="s">
        <v>47848</v>
      </c>
      <c r="C21607" s="33" t="s">
        <v>45813</v>
      </c>
      <c r="D21607" s="33" t="s">
        <v>17</v>
      </c>
      <c r="E21607" s="33" t="s">
        <v>26</v>
      </c>
      <c r="F21607" s="33" t="s">
        <v>27</v>
      </c>
      <c r="G21607" s="33" t="s">
        <v>20</v>
      </c>
      <c r="H21607" s="35">
        <v>32</v>
      </c>
      <c r="I21607" s="33" t="s">
        <v>21</v>
      </c>
      <c r="J21607" s="42">
        <v>45965</v>
      </c>
      <c r="K21607" s="33" t="s">
        <v>22</v>
      </c>
    </row>
    <row r="21608" spans="1:11">
      <c r="A21608" s="30" t="s">
        <v>47849</v>
      </c>
      <c r="B21608" s="30" t="s">
        <v>47850</v>
      </c>
      <c r="C21608" s="30" t="s">
        <v>3429</v>
      </c>
      <c r="D21608" s="30" t="s">
        <v>17</v>
      </c>
      <c r="E21608" s="30" t="s">
        <v>26</v>
      </c>
      <c r="F21608" s="30" t="s">
        <v>27</v>
      </c>
      <c r="G21608" s="30" t="s">
        <v>20</v>
      </c>
      <c r="H21608" s="32">
        <v>36</v>
      </c>
      <c r="I21608" s="30" t="s">
        <v>21</v>
      </c>
      <c r="J21608" s="41">
        <v>45891</v>
      </c>
      <c r="K21608" s="30" t="s">
        <v>22</v>
      </c>
    </row>
    <row r="21609" spans="1:11">
      <c r="A21609" s="33" t="s">
        <v>47851</v>
      </c>
      <c r="B21609" s="33" t="s">
        <v>47852</v>
      </c>
      <c r="C21609" s="33" t="s">
        <v>154</v>
      </c>
      <c r="D21609" s="33" t="s">
        <v>17</v>
      </c>
      <c r="E21609" s="33" t="s">
        <v>26</v>
      </c>
      <c r="F21609" s="33" t="s">
        <v>27</v>
      </c>
      <c r="G21609" s="33" t="s">
        <v>20</v>
      </c>
      <c r="H21609" s="35">
        <v>8</v>
      </c>
      <c r="I21609" s="33" t="s">
        <v>21</v>
      </c>
      <c r="J21609" s="42">
        <v>45681</v>
      </c>
      <c r="K21609" s="33" t="s">
        <v>22</v>
      </c>
    </row>
    <row r="21610" spans="1:11">
      <c r="A21610" s="30" t="s">
        <v>47853</v>
      </c>
      <c r="B21610" s="30" t="s">
        <v>47854</v>
      </c>
      <c r="C21610" s="30" t="s">
        <v>2490</v>
      </c>
      <c r="D21610" s="30" t="s">
        <v>17</v>
      </c>
      <c r="E21610" s="30" t="s">
        <v>67</v>
      </c>
      <c r="F21610" s="30" t="s">
        <v>68</v>
      </c>
      <c r="G21610" s="30" t="s">
        <v>140</v>
      </c>
      <c r="H21610" s="32">
        <v>120</v>
      </c>
      <c r="I21610" s="30" t="s">
        <v>51</v>
      </c>
      <c r="J21610" s="41">
        <v>45671</v>
      </c>
      <c r="K21610" s="30" t="s">
        <v>22</v>
      </c>
    </row>
    <row r="21611" spans="1:11">
      <c r="A21611" s="33" t="s">
        <v>47855</v>
      </c>
      <c r="B21611" s="33" t="s">
        <v>47856</v>
      </c>
      <c r="C21611" s="33" t="s">
        <v>399</v>
      </c>
      <c r="D21611" s="33" t="s">
        <v>17</v>
      </c>
      <c r="E21611" s="33" t="s">
        <v>26</v>
      </c>
      <c r="F21611" s="33" t="s">
        <v>27</v>
      </c>
      <c r="G21611" s="33" t="s">
        <v>20</v>
      </c>
      <c r="H21611" s="35">
        <v>12</v>
      </c>
      <c r="I21611" s="33" t="s">
        <v>21</v>
      </c>
      <c r="J21611" s="42">
        <v>45723</v>
      </c>
      <c r="K21611" s="33" t="s">
        <v>22</v>
      </c>
    </row>
    <row r="21612" spans="1:11">
      <c r="A21612" s="30" t="s">
        <v>47857</v>
      </c>
      <c r="B21612" s="30" t="s">
        <v>47858</v>
      </c>
      <c r="C21612" s="30" t="s">
        <v>118</v>
      </c>
      <c r="D21612" s="30" t="s">
        <v>17</v>
      </c>
      <c r="E21612" s="30" t="s">
        <v>18</v>
      </c>
      <c r="F21612" s="30" t="s">
        <v>19</v>
      </c>
      <c r="G21612" s="30" t="s">
        <v>106</v>
      </c>
      <c r="H21612" s="32">
        <v>109</v>
      </c>
      <c r="I21612" s="30" t="s">
        <v>21</v>
      </c>
      <c r="J21612" s="41">
        <v>45985</v>
      </c>
      <c r="K21612" s="30" t="s">
        <v>22</v>
      </c>
    </row>
    <row r="21613" spans="1:11">
      <c r="A21613" s="33" t="s">
        <v>47859</v>
      </c>
      <c r="B21613" s="33" t="s">
        <v>47860</v>
      </c>
      <c r="C21613" s="33" t="s">
        <v>27391</v>
      </c>
      <c r="D21613" s="33" t="s">
        <v>17</v>
      </c>
      <c r="E21613" s="33" t="s">
        <v>26</v>
      </c>
      <c r="F21613" s="33" t="s">
        <v>27</v>
      </c>
      <c r="G21613" s="33" t="s">
        <v>112</v>
      </c>
      <c r="H21613" s="35">
        <v>0</v>
      </c>
      <c r="I21613" s="33" t="s">
        <v>21</v>
      </c>
      <c r="J21613" s="42">
        <v>45658</v>
      </c>
      <c r="K21613" s="33" t="s">
        <v>22</v>
      </c>
    </row>
    <row r="21614" spans="1:11">
      <c r="A21614" s="30" t="s">
        <v>47861</v>
      </c>
      <c r="B21614" s="30" t="s">
        <v>47862</v>
      </c>
      <c r="C21614" s="30" t="s">
        <v>310</v>
      </c>
      <c r="D21614" s="30" t="s">
        <v>17</v>
      </c>
      <c r="E21614" s="30" t="s">
        <v>26</v>
      </c>
      <c r="F21614" s="30" t="s">
        <v>27</v>
      </c>
      <c r="G21614" s="30" t="s">
        <v>20</v>
      </c>
      <c r="H21614" s="32">
        <v>37</v>
      </c>
      <c r="I21614" s="30" t="s">
        <v>21</v>
      </c>
      <c r="J21614" s="41">
        <v>45694</v>
      </c>
      <c r="K21614" s="30" t="s">
        <v>22</v>
      </c>
    </row>
    <row r="21615" spans="1:11">
      <c r="A21615" s="33" t="s">
        <v>47863</v>
      </c>
      <c r="B21615" s="33" t="s">
        <v>47864</v>
      </c>
      <c r="C21615" s="33" t="s">
        <v>8151</v>
      </c>
      <c r="D21615" s="33" t="s">
        <v>17</v>
      </c>
      <c r="E21615" s="33" t="s">
        <v>18</v>
      </c>
      <c r="F21615" s="33" t="s">
        <v>19</v>
      </c>
      <c r="G21615" s="33" t="s">
        <v>140</v>
      </c>
      <c r="H21615" s="35">
        <v>400</v>
      </c>
      <c r="I21615" s="33" t="s">
        <v>51</v>
      </c>
      <c r="J21615" s="42">
        <v>45791</v>
      </c>
      <c r="K21615" s="33" t="s">
        <v>22</v>
      </c>
    </row>
    <row r="21616" spans="1:11">
      <c r="A21616" s="30" t="s">
        <v>47865</v>
      </c>
      <c r="B21616" s="30" t="s">
        <v>47866</v>
      </c>
      <c r="C21616" s="30" t="s">
        <v>11047</v>
      </c>
      <c r="D21616" s="30" t="s">
        <v>17</v>
      </c>
      <c r="E21616" s="30" t="s">
        <v>26</v>
      </c>
      <c r="F21616" s="30" t="s">
        <v>27</v>
      </c>
      <c r="G21616" s="30" t="s">
        <v>20</v>
      </c>
      <c r="H21616" s="32">
        <v>6</v>
      </c>
      <c r="I21616" s="30" t="s">
        <v>21</v>
      </c>
      <c r="J21616" s="41">
        <v>45959</v>
      </c>
      <c r="K21616" s="30" t="s">
        <v>22</v>
      </c>
    </row>
    <row r="21617" spans="1:11">
      <c r="A21617" s="33" t="s">
        <v>47867</v>
      </c>
      <c r="B21617" s="33" t="s">
        <v>47868</v>
      </c>
      <c r="C21617" s="33" t="s">
        <v>75</v>
      </c>
      <c r="D21617" s="33" t="s">
        <v>17</v>
      </c>
      <c r="E21617" s="33" t="s">
        <v>26</v>
      </c>
      <c r="F21617" s="33" t="s">
        <v>27</v>
      </c>
      <c r="G21617" s="33" t="s">
        <v>140</v>
      </c>
      <c r="H21617" s="35">
        <v>8</v>
      </c>
      <c r="I21617" s="33" t="s">
        <v>51</v>
      </c>
      <c r="J21617" s="42">
        <v>45740</v>
      </c>
      <c r="K21617" s="33" t="s">
        <v>22</v>
      </c>
    </row>
    <row r="21618" spans="1:11">
      <c r="A21618" s="30" t="s">
        <v>47869</v>
      </c>
      <c r="B21618" s="30" t="s">
        <v>47870</v>
      </c>
      <c r="C21618" s="30" t="s">
        <v>1305</v>
      </c>
      <c r="D21618" s="30" t="s">
        <v>17</v>
      </c>
      <c r="E21618" s="30" t="s">
        <v>67</v>
      </c>
      <c r="F21618" s="30" t="s">
        <v>68</v>
      </c>
      <c r="G21618" s="30" t="s">
        <v>140</v>
      </c>
      <c r="H21618" s="32">
        <v>85</v>
      </c>
      <c r="I21618" s="30" t="s">
        <v>51</v>
      </c>
      <c r="J21618" s="41">
        <v>45730</v>
      </c>
      <c r="K21618" s="30" t="s">
        <v>22</v>
      </c>
    </row>
    <row r="21619" spans="1:11">
      <c r="A21619" s="33" t="s">
        <v>47871</v>
      </c>
      <c r="B21619" s="33" t="s">
        <v>47872</v>
      </c>
      <c r="C21619" s="33" t="s">
        <v>29936</v>
      </c>
      <c r="D21619" s="33" t="s">
        <v>17</v>
      </c>
      <c r="E21619" s="33" t="s">
        <v>31</v>
      </c>
      <c r="F21619" s="33" t="s">
        <v>32</v>
      </c>
      <c r="G21619" s="33" t="s">
        <v>140</v>
      </c>
      <c r="H21619" s="35">
        <v>35</v>
      </c>
      <c r="I21619" s="33" t="s">
        <v>51</v>
      </c>
      <c r="J21619" s="42">
        <v>45999</v>
      </c>
      <c r="K21619" s="33" t="s">
        <v>22</v>
      </c>
    </row>
    <row r="21620" spans="1:11">
      <c r="A21620" s="30" t="s">
        <v>47873</v>
      </c>
      <c r="B21620" s="30" t="s">
        <v>47874</v>
      </c>
      <c r="C21620" s="30" t="s">
        <v>93</v>
      </c>
      <c r="D21620" s="30" t="s">
        <v>17</v>
      </c>
      <c r="E21620" s="30" t="s">
        <v>31</v>
      </c>
      <c r="F21620" s="30" t="s">
        <v>32</v>
      </c>
      <c r="G21620" s="30" t="s">
        <v>140</v>
      </c>
      <c r="H21620" s="32">
        <v>150</v>
      </c>
      <c r="I21620" s="30" t="s">
        <v>51</v>
      </c>
      <c r="J21620" s="41">
        <v>45677</v>
      </c>
      <c r="K21620" s="30" t="s">
        <v>22</v>
      </c>
    </row>
    <row r="21621" spans="1:11">
      <c r="A21621" s="33" t="s">
        <v>47875</v>
      </c>
      <c r="B21621" s="33" t="s">
        <v>47876</v>
      </c>
      <c r="C21621" s="33" t="s">
        <v>1090</v>
      </c>
      <c r="D21621" s="33" t="s">
        <v>17</v>
      </c>
      <c r="E21621" s="33" t="s">
        <v>67</v>
      </c>
      <c r="F21621" s="33" t="s">
        <v>68</v>
      </c>
      <c r="G21621" s="33" t="s">
        <v>7780</v>
      </c>
      <c r="H21621" s="35">
        <v>116</v>
      </c>
      <c r="I21621" s="33" t="s">
        <v>51</v>
      </c>
      <c r="J21621" s="42">
        <v>46014</v>
      </c>
      <c r="K21621" s="33" t="s">
        <v>22</v>
      </c>
    </row>
    <row r="21622" spans="1:11">
      <c r="A21622" s="30" t="s">
        <v>47877</v>
      </c>
      <c r="B21622" s="30" t="s">
        <v>47878</v>
      </c>
      <c r="C21622" s="30" t="s">
        <v>847</v>
      </c>
      <c r="D21622" s="30" t="s">
        <v>17</v>
      </c>
      <c r="E21622" s="30" t="s">
        <v>330</v>
      </c>
      <c r="F21622" s="30" t="s">
        <v>331</v>
      </c>
      <c r="G21622" s="30" t="s">
        <v>7780</v>
      </c>
      <c r="H21622" s="32">
        <v>24</v>
      </c>
      <c r="I21622" s="30" t="s">
        <v>51</v>
      </c>
      <c r="J21622" s="41">
        <v>45809</v>
      </c>
      <c r="K21622" s="30" t="s">
        <v>22</v>
      </c>
    </row>
    <row r="21623" spans="1:11">
      <c r="A21623" s="33" t="s">
        <v>47879</v>
      </c>
      <c r="B21623" s="33" t="s">
        <v>47880</v>
      </c>
      <c r="C21623" s="33" t="s">
        <v>318</v>
      </c>
      <c r="D21623" s="33" t="s">
        <v>17</v>
      </c>
      <c r="E21623" s="33" t="s">
        <v>26</v>
      </c>
      <c r="F21623" s="33" t="s">
        <v>27</v>
      </c>
      <c r="G21623" s="33" t="s">
        <v>140</v>
      </c>
      <c r="H21623" s="35">
        <v>60</v>
      </c>
      <c r="I21623" s="33" t="s">
        <v>51</v>
      </c>
      <c r="J21623" s="42">
        <v>45937</v>
      </c>
      <c r="K21623" s="33" t="s">
        <v>22</v>
      </c>
    </row>
    <row r="21624" spans="1:11">
      <c r="A21624" s="30" t="s">
        <v>47881</v>
      </c>
      <c r="B21624" s="30" t="s">
        <v>47882</v>
      </c>
      <c r="C21624" s="30" t="s">
        <v>6379</v>
      </c>
      <c r="D21624" s="30" t="s">
        <v>17</v>
      </c>
      <c r="E21624" s="30" t="s">
        <v>18</v>
      </c>
      <c r="F21624" s="30" t="s">
        <v>19</v>
      </c>
      <c r="G21624" s="30" t="s">
        <v>140</v>
      </c>
      <c r="H21624" s="32">
        <v>200</v>
      </c>
      <c r="I21624" s="30" t="s">
        <v>51</v>
      </c>
      <c r="J21624" s="41">
        <v>45747</v>
      </c>
      <c r="K21624" s="30" t="s">
        <v>22</v>
      </c>
    </row>
    <row r="21625" spans="1:11">
      <c r="A21625" s="33" t="s">
        <v>47883</v>
      </c>
      <c r="B21625" s="33" t="s">
        <v>47884</v>
      </c>
      <c r="C21625" s="33" t="s">
        <v>7296</v>
      </c>
      <c r="D21625" s="33" t="s">
        <v>17</v>
      </c>
      <c r="E21625" s="33" t="s">
        <v>26</v>
      </c>
      <c r="F21625" s="33" t="s">
        <v>27</v>
      </c>
      <c r="G21625" s="33" t="s">
        <v>158</v>
      </c>
      <c r="H21625" s="35">
        <v>50</v>
      </c>
      <c r="I21625" s="33" t="s">
        <v>21</v>
      </c>
      <c r="J21625" s="42">
        <v>46000</v>
      </c>
      <c r="K21625" s="33" t="s">
        <v>22</v>
      </c>
    </row>
    <row r="21626" spans="1:11">
      <c r="A21626" s="30" t="s">
        <v>47885</v>
      </c>
      <c r="B21626" s="30" t="s">
        <v>47886</v>
      </c>
      <c r="C21626" s="30" t="s">
        <v>5652</v>
      </c>
      <c r="D21626" s="30" t="s">
        <v>17</v>
      </c>
      <c r="E21626" s="30" t="s">
        <v>18</v>
      </c>
      <c r="F21626" s="30" t="s">
        <v>19</v>
      </c>
      <c r="G21626" s="30" t="s">
        <v>140</v>
      </c>
      <c r="H21626" s="32">
        <v>180</v>
      </c>
      <c r="I21626" s="30" t="s">
        <v>51</v>
      </c>
      <c r="J21626" s="41">
        <v>45887</v>
      </c>
      <c r="K21626" s="30" t="s">
        <v>22</v>
      </c>
    </row>
    <row r="21627" spans="1:11">
      <c r="A21627" s="33" t="s">
        <v>47887</v>
      </c>
      <c r="B21627" s="33" t="s">
        <v>47888</v>
      </c>
      <c r="C21627" s="33" t="s">
        <v>40619</v>
      </c>
      <c r="D21627" s="33" t="s">
        <v>17</v>
      </c>
      <c r="E21627" s="33" t="s">
        <v>31</v>
      </c>
      <c r="F21627" s="33" t="s">
        <v>32</v>
      </c>
      <c r="G21627" s="33" t="s">
        <v>158</v>
      </c>
      <c r="H21627" s="35">
        <v>20</v>
      </c>
      <c r="I21627" s="33" t="s">
        <v>21</v>
      </c>
      <c r="J21627" s="42">
        <v>45877</v>
      </c>
      <c r="K21627" s="33" t="s">
        <v>22</v>
      </c>
    </row>
    <row r="21628" spans="1:11">
      <c r="A21628" s="30" t="s">
        <v>47889</v>
      </c>
      <c r="B21628" s="30" t="s">
        <v>47890</v>
      </c>
      <c r="C21628" s="30" t="s">
        <v>47891</v>
      </c>
      <c r="D21628" s="30" t="s">
        <v>17</v>
      </c>
      <c r="E21628" s="30" t="s">
        <v>67</v>
      </c>
      <c r="F21628" s="30" t="s">
        <v>68</v>
      </c>
      <c r="G21628" s="30" t="s">
        <v>140</v>
      </c>
      <c r="H21628" s="32">
        <v>150</v>
      </c>
      <c r="I21628" s="30" t="s">
        <v>51</v>
      </c>
      <c r="J21628" s="41">
        <v>45896</v>
      </c>
      <c r="K21628" s="30" t="s">
        <v>22</v>
      </c>
    </row>
    <row r="21629" spans="1:11">
      <c r="A21629" s="33" t="s">
        <v>47892</v>
      </c>
      <c r="B21629" s="33" t="s">
        <v>47893</v>
      </c>
      <c r="C21629" s="33" t="s">
        <v>647</v>
      </c>
      <c r="D21629" s="33" t="s">
        <v>17</v>
      </c>
      <c r="E21629" s="33" t="s">
        <v>31</v>
      </c>
      <c r="F21629" s="33" t="s">
        <v>32</v>
      </c>
      <c r="G21629" s="33" t="s">
        <v>140</v>
      </c>
      <c r="H21629" s="35">
        <v>150</v>
      </c>
      <c r="I21629" s="33" t="s">
        <v>51</v>
      </c>
      <c r="J21629" s="42">
        <v>45995</v>
      </c>
      <c r="K21629" s="33" t="s">
        <v>22</v>
      </c>
    </row>
    <row r="21630" spans="1:11">
      <c r="A21630" s="30" t="s">
        <v>47894</v>
      </c>
      <c r="B21630" s="30" t="s">
        <v>47895</v>
      </c>
      <c r="C21630" s="30" t="s">
        <v>47896</v>
      </c>
      <c r="D21630" s="30" t="s">
        <v>17</v>
      </c>
      <c r="E21630" s="30" t="s">
        <v>31</v>
      </c>
      <c r="F21630" s="30" t="s">
        <v>32</v>
      </c>
      <c r="G21630" s="30" t="s">
        <v>140</v>
      </c>
      <c r="H21630" s="32">
        <v>80</v>
      </c>
      <c r="I21630" s="30" t="s">
        <v>51</v>
      </c>
      <c r="J21630" s="41">
        <v>45694</v>
      </c>
      <c r="K21630" s="30" t="s">
        <v>22</v>
      </c>
    </row>
    <row r="21631" spans="1:11">
      <c r="A21631" s="33" t="s">
        <v>47897</v>
      </c>
      <c r="B21631" s="33" t="s">
        <v>47898</v>
      </c>
      <c r="C21631" s="33" t="s">
        <v>136</v>
      </c>
      <c r="D21631" s="33" t="s">
        <v>17</v>
      </c>
      <c r="E21631" s="33" t="s">
        <v>26</v>
      </c>
      <c r="F21631" s="33" t="s">
        <v>27</v>
      </c>
      <c r="G21631" s="33" t="s">
        <v>20</v>
      </c>
      <c r="H21631" s="35">
        <v>10</v>
      </c>
      <c r="I21631" s="33" t="s">
        <v>21</v>
      </c>
      <c r="J21631" s="42">
        <v>45954</v>
      </c>
      <c r="K21631" s="33" t="s">
        <v>22</v>
      </c>
    </row>
    <row r="21632" spans="1:11">
      <c r="A21632" s="30" t="s">
        <v>47899</v>
      </c>
      <c r="B21632" s="30" t="s">
        <v>47900</v>
      </c>
      <c r="C21632" s="30" t="s">
        <v>15917</v>
      </c>
      <c r="D21632" s="30" t="s">
        <v>17</v>
      </c>
      <c r="E21632" s="30" t="s">
        <v>31</v>
      </c>
      <c r="F21632" s="30" t="s">
        <v>32</v>
      </c>
      <c r="G21632" s="30" t="s">
        <v>140</v>
      </c>
      <c r="H21632" s="32">
        <v>100</v>
      </c>
      <c r="I21632" s="30" t="s">
        <v>51</v>
      </c>
      <c r="J21632" s="41">
        <v>45875</v>
      </c>
      <c r="K21632" s="30" t="s">
        <v>22</v>
      </c>
    </row>
    <row r="21633" spans="1:11">
      <c r="A21633" s="33" t="s">
        <v>47901</v>
      </c>
      <c r="B21633" s="33" t="s">
        <v>47902</v>
      </c>
      <c r="C21633" s="33" t="s">
        <v>231</v>
      </c>
      <c r="D21633" s="33" t="s">
        <v>17</v>
      </c>
      <c r="E21633" s="33" t="s">
        <v>18</v>
      </c>
      <c r="F21633" s="33" t="s">
        <v>19</v>
      </c>
      <c r="G21633" s="33" t="s">
        <v>140</v>
      </c>
      <c r="H21633" s="35">
        <v>120</v>
      </c>
      <c r="I21633" s="33" t="s">
        <v>51</v>
      </c>
      <c r="J21633" s="42">
        <v>46000</v>
      </c>
      <c r="K21633" s="33" t="s">
        <v>22</v>
      </c>
    </row>
    <row r="21634" spans="1:11">
      <c r="A21634" s="30" t="s">
        <v>47903</v>
      </c>
      <c r="B21634" s="30" t="s">
        <v>47904</v>
      </c>
      <c r="C21634" s="30" t="s">
        <v>2562</v>
      </c>
      <c r="D21634" s="30" t="s">
        <v>17</v>
      </c>
      <c r="E21634" s="30" t="s">
        <v>67</v>
      </c>
      <c r="F21634" s="30" t="s">
        <v>68</v>
      </c>
      <c r="G21634" s="30" t="s">
        <v>140</v>
      </c>
      <c r="H21634" s="32">
        <v>110</v>
      </c>
      <c r="I21634" s="30" t="s">
        <v>51</v>
      </c>
      <c r="J21634" s="41">
        <v>45741</v>
      </c>
      <c r="K21634" s="30" t="s">
        <v>22</v>
      </c>
    </row>
    <row r="21635" spans="1:11">
      <c r="A21635" s="33" t="s">
        <v>47905</v>
      </c>
      <c r="B21635" s="33" t="s">
        <v>47906</v>
      </c>
      <c r="C21635" s="33" t="s">
        <v>22229</v>
      </c>
      <c r="D21635" s="33" t="s">
        <v>17</v>
      </c>
      <c r="E21635" s="33" t="s">
        <v>31</v>
      </c>
      <c r="F21635" s="33" t="s">
        <v>32</v>
      </c>
      <c r="G21635" s="33" t="s">
        <v>140</v>
      </c>
      <c r="H21635" s="35">
        <v>60</v>
      </c>
      <c r="I21635" s="33" t="s">
        <v>51</v>
      </c>
      <c r="J21635" s="42">
        <v>45944</v>
      </c>
      <c r="K21635" s="33" t="s">
        <v>22</v>
      </c>
    </row>
    <row r="21636" spans="1:11">
      <c r="A21636" s="30" t="s">
        <v>47907</v>
      </c>
      <c r="B21636" s="30" t="s">
        <v>47908</v>
      </c>
      <c r="C21636" s="30" t="s">
        <v>47909</v>
      </c>
      <c r="D21636" s="30" t="s">
        <v>17</v>
      </c>
      <c r="E21636" s="30" t="s">
        <v>26</v>
      </c>
      <c r="F21636" s="30" t="s">
        <v>27</v>
      </c>
      <c r="G21636" s="30" t="s">
        <v>140</v>
      </c>
      <c r="H21636" s="32">
        <v>146</v>
      </c>
      <c r="I21636" s="30" t="s">
        <v>51</v>
      </c>
      <c r="J21636" s="41">
        <v>45680</v>
      </c>
      <c r="K21636" s="30" t="s">
        <v>22</v>
      </c>
    </row>
    <row r="21637" spans="1:11">
      <c r="A21637" s="33" t="s">
        <v>47910</v>
      </c>
      <c r="B21637" s="33" t="s">
        <v>47911</v>
      </c>
      <c r="C21637" s="33" t="s">
        <v>45483</v>
      </c>
      <c r="D21637" s="33" t="s">
        <v>17</v>
      </c>
      <c r="E21637" s="33" t="s">
        <v>31</v>
      </c>
      <c r="F21637" s="33" t="s">
        <v>32</v>
      </c>
      <c r="G21637" s="33" t="s">
        <v>158</v>
      </c>
      <c r="H21637" s="35">
        <v>80</v>
      </c>
      <c r="I21637" s="33" t="s">
        <v>51</v>
      </c>
      <c r="J21637" s="42">
        <v>45856</v>
      </c>
      <c r="K21637" s="33" t="s">
        <v>22</v>
      </c>
    </row>
    <row r="21638" spans="1:11">
      <c r="A21638" s="30" t="s">
        <v>47912</v>
      </c>
      <c r="B21638" s="30" t="s">
        <v>47913</v>
      </c>
      <c r="C21638" s="30" t="s">
        <v>2313</v>
      </c>
      <c r="D21638" s="30" t="s">
        <v>17</v>
      </c>
      <c r="E21638" s="30" t="s">
        <v>31</v>
      </c>
      <c r="F21638" s="30" t="s">
        <v>32</v>
      </c>
      <c r="G21638" s="30" t="s">
        <v>140</v>
      </c>
      <c r="H21638" s="32">
        <v>224</v>
      </c>
      <c r="I21638" s="30" t="s">
        <v>51</v>
      </c>
      <c r="J21638" s="41">
        <v>45929</v>
      </c>
      <c r="K21638" s="30" t="s">
        <v>22</v>
      </c>
    </row>
    <row r="21639" spans="1:11">
      <c r="A21639" s="33" t="s">
        <v>47914</v>
      </c>
      <c r="B21639" s="33" t="s">
        <v>47915</v>
      </c>
      <c r="C21639" s="33" t="s">
        <v>310</v>
      </c>
      <c r="D21639" s="33" t="s">
        <v>17</v>
      </c>
      <c r="E21639" s="33" t="s">
        <v>31</v>
      </c>
      <c r="F21639" s="33" t="s">
        <v>32</v>
      </c>
      <c r="G21639" s="33" t="s">
        <v>140</v>
      </c>
      <c r="H21639" s="35">
        <v>200</v>
      </c>
      <c r="I21639" s="33" t="s">
        <v>51</v>
      </c>
      <c r="J21639" s="42">
        <v>45838</v>
      </c>
      <c r="K21639" s="33" t="s">
        <v>22</v>
      </c>
    </row>
    <row r="21640" spans="1:11">
      <c r="A21640" s="30" t="s">
        <v>47916</v>
      </c>
      <c r="B21640" s="30" t="s">
        <v>47917</v>
      </c>
      <c r="C21640" s="30" t="s">
        <v>11899</v>
      </c>
      <c r="D21640" s="30" t="s">
        <v>17</v>
      </c>
      <c r="E21640" s="30" t="s">
        <v>67</v>
      </c>
      <c r="F21640" s="30" t="s">
        <v>68</v>
      </c>
      <c r="G21640" s="30" t="s">
        <v>140</v>
      </c>
      <c r="H21640" s="32">
        <v>400</v>
      </c>
      <c r="I21640" s="30" t="s">
        <v>51</v>
      </c>
      <c r="J21640" s="41">
        <v>45706</v>
      </c>
      <c r="K21640" s="30" t="s">
        <v>22</v>
      </c>
    </row>
    <row r="21641" spans="1:11">
      <c r="A21641" s="33" t="s">
        <v>47918</v>
      </c>
      <c r="B21641" s="33" t="s">
        <v>47919</v>
      </c>
      <c r="C21641" s="33" t="s">
        <v>12238</v>
      </c>
      <c r="D21641" s="33" t="s">
        <v>17</v>
      </c>
      <c r="E21641" s="33" t="s">
        <v>31</v>
      </c>
      <c r="F21641" s="33" t="s">
        <v>32</v>
      </c>
      <c r="G21641" s="33" t="s">
        <v>20</v>
      </c>
      <c r="H21641" s="35">
        <v>11</v>
      </c>
      <c r="I21641" s="33" t="s">
        <v>21</v>
      </c>
      <c r="J21641" s="42">
        <v>45820</v>
      </c>
      <c r="K21641" s="33" t="s">
        <v>22</v>
      </c>
    </row>
    <row r="21642" spans="1:11">
      <c r="A21642" s="30" t="s">
        <v>47920</v>
      </c>
      <c r="B21642" s="30" t="s">
        <v>47921</v>
      </c>
      <c r="C21642" s="30" t="s">
        <v>47922</v>
      </c>
      <c r="D21642" s="30" t="s">
        <v>17</v>
      </c>
      <c r="E21642" s="30" t="s">
        <v>26</v>
      </c>
      <c r="F21642" s="30" t="s">
        <v>27</v>
      </c>
      <c r="G21642" s="30" t="s">
        <v>158</v>
      </c>
      <c r="H21642" s="32">
        <v>72</v>
      </c>
      <c r="I21642" s="30" t="s">
        <v>51</v>
      </c>
      <c r="J21642" s="41">
        <v>45755</v>
      </c>
      <c r="K21642" s="30" t="s">
        <v>22</v>
      </c>
    </row>
    <row r="21643" spans="1:11">
      <c r="A21643" s="33" t="s">
        <v>47923</v>
      </c>
      <c r="B21643" s="33" t="s">
        <v>47924</v>
      </c>
      <c r="C21643" s="33" t="s">
        <v>41596</v>
      </c>
      <c r="D21643" s="33" t="s">
        <v>17</v>
      </c>
      <c r="E21643" s="33" t="s">
        <v>26</v>
      </c>
      <c r="F21643" s="33" t="s">
        <v>27</v>
      </c>
      <c r="G21643" s="33" t="s">
        <v>20</v>
      </c>
      <c r="H21643" s="35">
        <v>25</v>
      </c>
      <c r="I21643" s="33" t="s">
        <v>21</v>
      </c>
      <c r="J21643" s="42">
        <v>45896</v>
      </c>
      <c r="K21643" s="33" t="s">
        <v>22</v>
      </c>
    </row>
    <row r="21644" spans="1:11">
      <c r="A21644" s="30" t="s">
        <v>47925</v>
      </c>
      <c r="B21644" s="30" t="s">
        <v>47926</v>
      </c>
      <c r="C21644" s="30" t="s">
        <v>231</v>
      </c>
      <c r="D21644" s="30" t="s">
        <v>17</v>
      </c>
      <c r="E21644" s="30" t="s">
        <v>26</v>
      </c>
      <c r="F21644" s="30" t="s">
        <v>27</v>
      </c>
      <c r="G21644" s="30" t="s">
        <v>20</v>
      </c>
      <c r="H21644" s="32">
        <v>15</v>
      </c>
      <c r="I21644" s="30" t="s">
        <v>21</v>
      </c>
      <c r="J21644" s="41">
        <v>45840</v>
      </c>
      <c r="K21644" s="30" t="s">
        <v>22</v>
      </c>
    </row>
    <row r="21645" spans="1:11">
      <c r="A21645" s="33" t="s">
        <v>47927</v>
      </c>
      <c r="B21645" s="33" t="s">
        <v>47928</v>
      </c>
      <c r="C21645" s="33" t="s">
        <v>1313</v>
      </c>
      <c r="D21645" s="33" t="s">
        <v>17</v>
      </c>
      <c r="E21645" s="33" t="s">
        <v>31</v>
      </c>
      <c r="F21645" s="33" t="s">
        <v>32</v>
      </c>
      <c r="G21645" s="33" t="s">
        <v>69</v>
      </c>
      <c r="H21645" s="35">
        <v>120</v>
      </c>
      <c r="I21645" s="33" t="s">
        <v>51</v>
      </c>
      <c r="J21645" s="42">
        <v>45901</v>
      </c>
      <c r="K21645" s="33" t="s">
        <v>22</v>
      </c>
    </row>
    <row r="21646" spans="1:11">
      <c r="A21646" s="30" t="s">
        <v>47929</v>
      </c>
      <c r="B21646" s="30" t="s">
        <v>47930</v>
      </c>
      <c r="C21646" s="30" t="s">
        <v>203</v>
      </c>
      <c r="D21646" s="30" t="s">
        <v>17</v>
      </c>
      <c r="E21646" s="30" t="s">
        <v>18</v>
      </c>
      <c r="F21646" s="30" t="s">
        <v>19</v>
      </c>
      <c r="G21646" s="30" t="s">
        <v>158</v>
      </c>
      <c r="H21646" s="32">
        <v>580</v>
      </c>
      <c r="I21646" s="30" t="s">
        <v>21</v>
      </c>
      <c r="J21646" s="41">
        <v>45715</v>
      </c>
      <c r="K21646" s="30" t="s">
        <v>22</v>
      </c>
    </row>
    <row r="21647" spans="1:11">
      <c r="A21647" s="33" t="s">
        <v>47931</v>
      </c>
      <c r="B21647" s="33" t="s">
        <v>47932</v>
      </c>
      <c r="C21647" s="33" t="s">
        <v>11407</v>
      </c>
      <c r="D21647" s="33" t="s">
        <v>17</v>
      </c>
      <c r="E21647" s="33" t="s">
        <v>67</v>
      </c>
      <c r="F21647" s="33" t="s">
        <v>68</v>
      </c>
      <c r="G21647" s="33" t="s">
        <v>140</v>
      </c>
      <c r="H21647" s="35">
        <v>134</v>
      </c>
      <c r="I21647" s="33" t="s">
        <v>51</v>
      </c>
      <c r="J21647" s="42">
        <v>45807</v>
      </c>
      <c r="K21647" s="33" t="s">
        <v>22</v>
      </c>
    </row>
    <row r="21648" spans="1:11">
      <c r="A21648" s="30" t="s">
        <v>47933</v>
      </c>
      <c r="B21648" s="30" t="s">
        <v>47934</v>
      </c>
      <c r="C21648" s="30" t="s">
        <v>3451</v>
      </c>
      <c r="D21648" s="30" t="s">
        <v>17</v>
      </c>
      <c r="E21648" s="30" t="s">
        <v>26</v>
      </c>
      <c r="F21648" s="30" t="s">
        <v>27</v>
      </c>
      <c r="G21648" s="30" t="s">
        <v>140</v>
      </c>
      <c r="H21648" s="32">
        <v>12</v>
      </c>
      <c r="I21648" s="30" t="s">
        <v>51</v>
      </c>
      <c r="J21648" s="41">
        <v>45943</v>
      </c>
      <c r="K21648" s="30" t="s">
        <v>22</v>
      </c>
    </row>
    <row r="21649" spans="1:11">
      <c r="A21649" s="33" t="s">
        <v>47935</v>
      </c>
      <c r="B21649" s="33" t="s">
        <v>47936</v>
      </c>
      <c r="C21649" s="33" t="s">
        <v>40619</v>
      </c>
      <c r="D21649" s="33" t="s">
        <v>17</v>
      </c>
      <c r="E21649" s="33" t="s">
        <v>26</v>
      </c>
      <c r="F21649" s="33" t="s">
        <v>27</v>
      </c>
      <c r="G21649" s="33" t="s">
        <v>140</v>
      </c>
      <c r="H21649" s="35">
        <v>32</v>
      </c>
      <c r="I21649" s="33" t="s">
        <v>51</v>
      </c>
      <c r="J21649" s="42">
        <v>45784</v>
      </c>
      <c r="K21649" s="33" t="s">
        <v>22</v>
      </c>
    </row>
    <row r="21650" spans="1:11">
      <c r="A21650" s="30" t="s">
        <v>47937</v>
      </c>
      <c r="B21650" s="30" t="s">
        <v>47938</v>
      </c>
      <c r="C21650" s="30" t="s">
        <v>570</v>
      </c>
      <c r="D21650" s="30" t="s">
        <v>17</v>
      </c>
      <c r="E21650" s="30" t="s">
        <v>18</v>
      </c>
      <c r="F21650" s="30" t="s">
        <v>19</v>
      </c>
      <c r="G21650" s="30" t="s">
        <v>7780</v>
      </c>
      <c r="H21650" s="32">
        <v>282</v>
      </c>
      <c r="I21650" s="30" t="s">
        <v>51</v>
      </c>
      <c r="J21650" s="41">
        <v>45809</v>
      </c>
      <c r="K21650" s="30" t="s">
        <v>22</v>
      </c>
    </row>
    <row r="21651" spans="1:11">
      <c r="A21651" s="33" t="s">
        <v>47939</v>
      </c>
      <c r="B21651" s="33" t="s">
        <v>47940</v>
      </c>
      <c r="C21651" s="33" t="s">
        <v>130</v>
      </c>
      <c r="D21651" s="33" t="s">
        <v>17</v>
      </c>
      <c r="E21651" s="33" t="s">
        <v>67</v>
      </c>
      <c r="F21651" s="33" t="s">
        <v>68</v>
      </c>
      <c r="G21651" s="33" t="s">
        <v>158</v>
      </c>
      <c r="H21651" s="35">
        <v>9</v>
      </c>
      <c r="I21651" s="33" t="s">
        <v>21</v>
      </c>
      <c r="J21651" s="42">
        <v>45838</v>
      </c>
      <c r="K21651" s="33" t="s">
        <v>22</v>
      </c>
    </row>
    <row r="21652" spans="1:11">
      <c r="A21652" s="30" t="s">
        <v>47941</v>
      </c>
      <c r="B21652" s="30" t="s">
        <v>47942</v>
      </c>
      <c r="C21652" s="30" t="s">
        <v>3622</v>
      </c>
      <c r="D21652" s="30" t="s">
        <v>17</v>
      </c>
      <c r="E21652" s="30" t="s">
        <v>18</v>
      </c>
      <c r="F21652" s="30" t="s">
        <v>19</v>
      </c>
      <c r="G21652" s="30" t="s">
        <v>7780</v>
      </c>
      <c r="H21652" s="32">
        <v>207</v>
      </c>
      <c r="I21652" s="30" t="s">
        <v>51</v>
      </c>
      <c r="J21652" s="41">
        <v>45923</v>
      </c>
      <c r="K21652" s="30" t="s">
        <v>22</v>
      </c>
    </row>
    <row r="21653" spans="1:11">
      <c r="A21653" s="33" t="s">
        <v>47943</v>
      </c>
      <c r="B21653" s="33" t="s">
        <v>47944</v>
      </c>
      <c r="C21653" s="33" t="s">
        <v>178</v>
      </c>
      <c r="D21653" s="33" t="s">
        <v>17</v>
      </c>
      <c r="E21653" s="33" t="s">
        <v>18</v>
      </c>
      <c r="F21653" s="33" t="s">
        <v>19</v>
      </c>
      <c r="G21653" s="33" t="s">
        <v>140</v>
      </c>
      <c r="H21653" s="35">
        <v>800</v>
      </c>
      <c r="I21653" s="33" t="s">
        <v>51</v>
      </c>
      <c r="J21653" s="42">
        <v>45973</v>
      </c>
      <c r="K21653" s="33" t="s">
        <v>22</v>
      </c>
    </row>
    <row r="21654" spans="1:11">
      <c r="A21654" s="30" t="s">
        <v>47945</v>
      </c>
      <c r="B21654" s="30" t="s">
        <v>47946</v>
      </c>
      <c r="C21654" s="30" t="s">
        <v>44</v>
      </c>
      <c r="D21654" s="30" t="s">
        <v>17</v>
      </c>
      <c r="E21654" s="30" t="s">
        <v>18</v>
      </c>
      <c r="F21654" s="30" t="s">
        <v>19</v>
      </c>
      <c r="G21654" s="30" t="s">
        <v>140</v>
      </c>
      <c r="H21654" s="32">
        <v>369</v>
      </c>
      <c r="I21654" s="30" t="s">
        <v>51</v>
      </c>
      <c r="J21654" s="41">
        <v>45659</v>
      </c>
      <c r="K21654" s="30" t="s">
        <v>22</v>
      </c>
    </row>
    <row r="21655" spans="1:11">
      <c r="A21655" s="33" t="s">
        <v>47947</v>
      </c>
      <c r="B21655" s="33" t="s">
        <v>47948</v>
      </c>
      <c r="C21655" s="33" t="s">
        <v>187</v>
      </c>
      <c r="D21655" s="33" t="s">
        <v>17</v>
      </c>
      <c r="E21655" s="33" t="s">
        <v>31</v>
      </c>
      <c r="F21655" s="33" t="s">
        <v>32</v>
      </c>
      <c r="G21655" s="33" t="s">
        <v>20</v>
      </c>
      <c r="H21655" s="35">
        <v>195</v>
      </c>
      <c r="I21655" s="33" t="s">
        <v>21</v>
      </c>
      <c r="J21655" s="42">
        <v>46013</v>
      </c>
      <c r="K21655" s="33" t="s">
        <v>22</v>
      </c>
    </row>
    <row r="21656" spans="1:11">
      <c r="A21656" s="30" t="s">
        <v>47949</v>
      </c>
      <c r="B21656" s="30" t="s">
        <v>47950</v>
      </c>
      <c r="C21656" s="30" t="s">
        <v>25444</v>
      </c>
      <c r="D21656" s="30" t="s">
        <v>17</v>
      </c>
      <c r="E21656" s="30" t="s">
        <v>26</v>
      </c>
      <c r="F21656" s="30" t="s">
        <v>27</v>
      </c>
      <c r="G21656" s="30" t="s">
        <v>140</v>
      </c>
      <c r="H21656" s="32">
        <v>30</v>
      </c>
      <c r="I21656" s="30" t="s">
        <v>51</v>
      </c>
      <c r="J21656" s="41">
        <v>45957</v>
      </c>
      <c r="K21656" s="30" t="s">
        <v>22</v>
      </c>
    </row>
    <row r="21657" spans="1:11">
      <c r="A21657" s="33" t="s">
        <v>47951</v>
      </c>
      <c r="B21657" s="33" t="s">
        <v>47952</v>
      </c>
      <c r="C21657" s="33" t="s">
        <v>39112</v>
      </c>
      <c r="D21657" s="33" t="s">
        <v>17</v>
      </c>
      <c r="E21657" s="33" t="s">
        <v>26</v>
      </c>
      <c r="F21657" s="33" t="s">
        <v>27</v>
      </c>
      <c r="G21657" s="33" t="s">
        <v>158</v>
      </c>
      <c r="H21657" s="35">
        <v>59</v>
      </c>
      <c r="I21657" s="33" t="s">
        <v>21</v>
      </c>
      <c r="J21657" s="42">
        <v>45726</v>
      </c>
      <c r="K21657" s="33" t="s">
        <v>22</v>
      </c>
    </row>
    <row r="21658" spans="1:11">
      <c r="A21658" s="30" t="s">
        <v>47953</v>
      </c>
      <c r="B21658" s="30" t="s">
        <v>47954</v>
      </c>
      <c r="C21658" s="30" t="s">
        <v>203</v>
      </c>
      <c r="D21658" s="30" t="s">
        <v>17</v>
      </c>
      <c r="E21658" s="30" t="s">
        <v>18</v>
      </c>
      <c r="F21658" s="30" t="s">
        <v>19</v>
      </c>
      <c r="G21658" s="30" t="s">
        <v>140</v>
      </c>
      <c r="H21658" s="32">
        <v>90</v>
      </c>
      <c r="I21658" s="30" t="s">
        <v>51</v>
      </c>
      <c r="J21658" s="41">
        <v>45887</v>
      </c>
      <c r="K21658" s="30" t="s">
        <v>22</v>
      </c>
    </row>
    <row r="21659" spans="1:11">
      <c r="A21659" s="33" t="s">
        <v>47955</v>
      </c>
      <c r="B21659" s="33" t="s">
        <v>47956</v>
      </c>
      <c r="C21659" s="33" t="s">
        <v>1270</v>
      </c>
      <c r="D21659" s="33" t="s">
        <v>17</v>
      </c>
      <c r="E21659" s="33" t="s">
        <v>26</v>
      </c>
      <c r="F21659" s="33" t="s">
        <v>27</v>
      </c>
      <c r="G21659" s="33" t="s">
        <v>140</v>
      </c>
      <c r="H21659" s="35">
        <v>157</v>
      </c>
      <c r="I21659" s="33" t="s">
        <v>51</v>
      </c>
      <c r="J21659" s="42">
        <v>45784</v>
      </c>
      <c r="K21659" s="33" t="s">
        <v>22</v>
      </c>
    </row>
    <row r="21660" spans="1:11">
      <c r="A21660" s="30" t="s">
        <v>47957</v>
      </c>
      <c r="B21660" s="30" t="s">
        <v>47958</v>
      </c>
      <c r="C21660" s="30" t="s">
        <v>23737</v>
      </c>
      <c r="D21660" s="30" t="s">
        <v>17</v>
      </c>
      <c r="E21660" s="30" t="s">
        <v>18</v>
      </c>
      <c r="F21660" s="30" t="s">
        <v>19</v>
      </c>
      <c r="G21660" s="30" t="s">
        <v>140</v>
      </c>
      <c r="H21660" s="32">
        <v>60</v>
      </c>
      <c r="I21660" s="30" t="s">
        <v>51</v>
      </c>
      <c r="J21660" s="41">
        <v>45992</v>
      </c>
      <c r="K21660" s="30" t="s">
        <v>22</v>
      </c>
    </row>
    <row r="21661" spans="1:11">
      <c r="A21661" s="33" t="s">
        <v>47959</v>
      </c>
      <c r="B21661" s="33" t="s">
        <v>47960</v>
      </c>
      <c r="C21661" s="33" t="s">
        <v>44404</v>
      </c>
      <c r="D21661" s="33" t="s">
        <v>17</v>
      </c>
      <c r="E21661" s="33" t="s">
        <v>67</v>
      </c>
      <c r="F21661" s="33" t="s">
        <v>68</v>
      </c>
      <c r="G21661" s="33" t="s">
        <v>140</v>
      </c>
      <c r="H21661" s="35">
        <v>266</v>
      </c>
      <c r="I21661" s="33" t="s">
        <v>51</v>
      </c>
      <c r="J21661" s="42">
        <v>45666</v>
      </c>
      <c r="K21661" s="33" t="s">
        <v>22</v>
      </c>
    </row>
    <row r="21662" spans="1:11">
      <c r="A21662" s="30" t="s">
        <v>47961</v>
      </c>
      <c r="B21662" s="30" t="s">
        <v>47962</v>
      </c>
      <c r="C21662" s="30" t="s">
        <v>75</v>
      </c>
      <c r="D21662" s="30" t="s">
        <v>17</v>
      </c>
      <c r="E21662" s="30" t="s">
        <v>67</v>
      </c>
      <c r="F21662" s="30" t="s">
        <v>68</v>
      </c>
      <c r="G21662" s="30" t="s">
        <v>140</v>
      </c>
      <c r="H21662" s="32">
        <v>315</v>
      </c>
      <c r="I21662" s="30" t="s">
        <v>51</v>
      </c>
      <c r="J21662" s="41">
        <v>45945</v>
      </c>
      <c r="K21662" s="30" t="s">
        <v>22</v>
      </c>
    </row>
    <row r="21663" spans="1:11">
      <c r="A21663" s="33" t="s">
        <v>47963</v>
      </c>
      <c r="B21663" s="33" t="s">
        <v>47964</v>
      </c>
      <c r="C21663" s="33" t="s">
        <v>36127</v>
      </c>
      <c r="D21663" s="33" t="s">
        <v>17</v>
      </c>
      <c r="E21663" s="33" t="s">
        <v>18</v>
      </c>
      <c r="F21663" s="33" t="s">
        <v>19</v>
      </c>
      <c r="G21663" s="33" t="s">
        <v>140</v>
      </c>
      <c r="H21663" s="35">
        <v>416</v>
      </c>
      <c r="I21663" s="33" t="s">
        <v>51</v>
      </c>
      <c r="J21663" s="42">
        <v>45693</v>
      </c>
      <c r="K21663" s="33" t="s">
        <v>22</v>
      </c>
    </row>
    <row r="21664" spans="1:11">
      <c r="A21664" s="30" t="s">
        <v>47965</v>
      </c>
      <c r="B21664" s="30" t="s">
        <v>47966</v>
      </c>
      <c r="C21664" s="30" t="s">
        <v>647</v>
      </c>
      <c r="D21664" s="30" t="s">
        <v>17</v>
      </c>
      <c r="E21664" s="30" t="s">
        <v>26</v>
      </c>
      <c r="F21664" s="30" t="s">
        <v>27</v>
      </c>
      <c r="G21664" s="30" t="s">
        <v>20</v>
      </c>
      <c r="H21664" s="32">
        <v>24</v>
      </c>
      <c r="I21664" s="30" t="s">
        <v>21</v>
      </c>
      <c r="J21664" s="41">
        <v>45754</v>
      </c>
      <c r="K21664" s="30" t="s">
        <v>22</v>
      </c>
    </row>
    <row r="21665" spans="1:11">
      <c r="A21665" s="33" t="s">
        <v>47967</v>
      </c>
      <c r="B21665" s="33" t="s">
        <v>47968</v>
      </c>
      <c r="C21665" s="33" t="s">
        <v>1350</v>
      </c>
      <c r="D21665" s="33" t="s">
        <v>17</v>
      </c>
      <c r="E21665" s="33" t="s">
        <v>67</v>
      </c>
      <c r="F21665" s="33" t="s">
        <v>68</v>
      </c>
      <c r="G21665" s="33" t="s">
        <v>140</v>
      </c>
      <c r="H21665" s="35">
        <v>180</v>
      </c>
      <c r="I21665" s="33" t="s">
        <v>51</v>
      </c>
      <c r="J21665" s="42">
        <v>45809</v>
      </c>
      <c r="K21665" s="33" t="s">
        <v>22</v>
      </c>
    </row>
    <row r="21666" spans="1:11">
      <c r="A21666" s="30" t="s">
        <v>47969</v>
      </c>
      <c r="B21666" s="30" t="s">
        <v>47970</v>
      </c>
      <c r="C21666" s="30" t="s">
        <v>3307</v>
      </c>
      <c r="D21666" s="30" t="s">
        <v>17</v>
      </c>
      <c r="E21666" s="30" t="s">
        <v>18</v>
      </c>
      <c r="F21666" s="30" t="s">
        <v>19</v>
      </c>
      <c r="G21666" s="30" t="s">
        <v>140</v>
      </c>
      <c r="H21666" s="32">
        <v>741</v>
      </c>
      <c r="I21666" s="30" t="s">
        <v>51</v>
      </c>
      <c r="J21666" s="41">
        <v>45691</v>
      </c>
      <c r="K21666" s="30" t="s">
        <v>22</v>
      </c>
    </row>
    <row r="21667" spans="1:11">
      <c r="A21667" s="33" t="s">
        <v>47971</v>
      </c>
      <c r="B21667" s="33" t="s">
        <v>47972</v>
      </c>
      <c r="C21667" s="33" t="s">
        <v>801</v>
      </c>
      <c r="D21667" s="33" t="s">
        <v>17</v>
      </c>
      <c r="E21667" s="33" t="s">
        <v>18</v>
      </c>
      <c r="F21667" s="33" t="s">
        <v>19</v>
      </c>
      <c r="G21667" s="33" t="s">
        <v>140</v>
      </c>
      <c r="H21667" s="35">
        <v>180</v>
      </c>
      <c r="I21667" s="33" t="s">
        <v>51</v>
      </c>
      <c r="J21667" s="42">
        <v>45799</v>
      </c>
      <c r="K21667" s="33" t="s">
        <v>22</v>
      </c>
    </row>
    <row r="21668" spans="1:11">
      <c r="A21668" s="30" t="s">
        <v>47973</v>
      </c>
      <c r="B21668" s="30" t="s">
        <v>47974</v>
      </c>
      <c r="C21668" s="30" t="s">
        <v>21791</v>
      </c>
      <c r="D21668" s="30" t="s">
        <v>17</v>
      </c>
      <c r="E21668" s="30" t="s">
        <v>26</v>
      </c>
      <c r="F21668" s="30" t="s">
        <v>27</v>
      </c>
      <c r="G21668" s="30" t="s">
        <v>7780</v>
      </c>
      <c r="H21668" s="32">
        <v>6</v>
      </c>
      <c r="I21668" s="30" t="s">
        <v>51</v>
      </c>
      <c r="J21668" s="41">
        <v>45748</v>
      </c>
      <c r="K21668" s="30" t="s">
        <v>22</v>
      </c>
    </row>
    <row r="21669" spans="1:11">
      <c r="A21669" s="33" t="s">
        <v>47975</v>
      </c>
      <c r="B21669" s="33" t="s">
        <v>47976</v>
      </c>
      <c r="C21669" s="33" t="s">
        <v>12195</v>
      </c>
      <c r="D21669" s="33" t="s">
        <v>17</v>
      </c>
      <c r="E21669" s="33" t="s">
        <v>212</v>
      </c>
      <c r="F21669" s="33" t="s">
        <v>213</v>
      </c>
      <c r="G21669" s="33" t="s">
        <v>112</v>
      </c>
      <c r="H21669" s="35">
        <v>0</v>
      </c>
      <c r="I21669" s="33" t="s">
        <v>21</v>
      </c>
      <c r="J21669" s="42">
        <v>45672</v>
      </c>
      <c r="K21669" s="33" t="s">
        <v>22</v>
      </c>
    </row>
    <row r="21670" spans="1:11">
      <c r="A21670" s="30" t="s">
        <v>47977</v>
      </c>
      <c r="B21670" s="30" t="s">
        <v>47978</v>
      </c>
      <c r="C21670" s="30" t="s">
        <v>8768</v>
      </c>
      <c r="D21670" s="30" t="s">
        <v>17</v>
      </c>
      <c r="E21670" s="30" t="s">
        <v>18</v>
      </c>
      <c r="F21670" s="30" t="s">
        <v>19</v>
      </c>
      <c r="G21670" s="30" t="s">
        <v>140</v>
      </c>
      <c r="H21670" s="32">
        <v>204</v>
      </c>
      <c r="I21670" s="30" t="s">
        <v>51</v>
      </c>
      <c r="J21670" s="41">
        <v>45887</v>
      </c>
      <c r="K21670" s="30" t="s">
        <v>22</v>
      </c>
    </row>
    <row r="21671" spans="1:11">
      <c r="A21671" s="33" t="s">
        <v>47979</v>
      </c>
      <c r="B21671" s="33" t="s">
        <v>47980</v>
      </c>
      <c r="C21671" s="33" t="s">
        <v>3655</v>
      </c>
      <c r="D21671" s="33" t="s">
        <v>17</v>
      </c>
      <c r="E21671" s="33" t="s">
        <v>31</v>
      </c>
      <c r="F21671" s="33" t="s">
        <v>32</v>
      </c>
      <c r="G21671" s="33" t="s">
        <v>140</v>
      </c>
      <c r="H21671" s="35">
        <v>105</v>
      </c>
      <c r="I21671" s="33" t="s">
        <v>51</v>
      </c>
      <c r="J21671" s="42">
        <v>45995</v>
      </c>
      <c r="K21671" s="33" t="s">
        <v>22</v>
      </c>
    </row>
    <row r="21672" spans="1:11">
      <c r="A21672" s="30" t="s">
        <v>47981</v>
      </c>
      <c r="B21672" s="30" t="s">
        <v>47982</v>
      </c>
      <c r="C21672" s="30" t="s">
        <v>47983</v>
      </c>
      <c r="D21672" s="30" t="s">
        <v>17</v>
      </c>
      <c r="E21672" s="30" t="s">
        <v>31</v>
      </c>
      <c r="F21672" s="30" t="s">
        <v>32</v>
      </c>
      <c r="G21672" s="30" t="s">
        <v>106</v>
      </c>
      <c r="H21672" s="32">
        <v>1</v>
      </c>
      <c r="I21672" s="30" t="s">
        <v>21</v>
      </c>
      <c r="J21672" s="41">
        <v>45881</v>
      </c>
      <c r="K21672" s="30" t="s">
        <v>22</v>
      </c>
    </row>
    <row r="21673" spans="1:11">
      <c r="A21673" s="33" t="s">
        <v>47984</v>
      </c>
      <c r="B21673" s="33" t="s">
        <v>47985</v>
      </c>
      <c r="C21673" s="33" t="s">
        <v>16901</v>
      </c>
      <c r="D21673" s="33" t="s">
        <v>17</v>
      </c>
      <c r="E21673" s="33" t="s">
        <v>31</v>
      </c>
      <c r="F21673" s="33" t="s">
        <v>32</v>
      </c>
      <c r="G21673" s="33" t="s">
        <v>140</v>
      </c>
      <c r="H21673" s="35">
        <v>56</v>
      </c>
      <c r="I21673" s="33" t="s">
        <v>51</v>
      </c>
      <c r="J21673" s="42">
        <v>45884</v>
      </c>
      <c r="K21673" s="33" t="s">
        <v>22</v>
      </c>
    </row>
    <row r="21674" spans="1:11">
      <c r="A21674" s="30" t="s">
        <v>47986</v>
      </c>
      <c r="B21674" s="30" t="s">
        <v>47987</v>
      </c>
      <c r="C21674" s="30" t="s">
        <v>3429</v>
      </c>
      <c r="D21674" s="30" t="s">
        <v>17</v>
      </c>
      <c r="E21674" s="30" t="s">
        <v>26</v>
      </c>
      <c r="F21674" s="30" t="s">
        <v>27</v>
      </c>
      <c r="G21674" s="30" t="s">
        <v>20</v>
      </c>
      <c r="H21674" s="32">
        <v>36</v>
      </c>
      <c r="I21674" s="30" t="s">
        <v>21</v>
      </c>
      <c r="J21674" s="41">
        <v>45830</v>
      </c>
      <c r="K21674" s="30" t="s">
        <v>22</v>
      </c>
    </row>
    <row r="21675" spans="1:11">
      <c r="A21675" s="33" t="s">
        <v>47988</v>
      </c>
      <c r="B21675" s="33" t="s">
        <v>47989</v>
      </c>
      <c r="C21675" s="33" t="s">
        <v>15917</v>
      </c>
      <c r="D21675" s="33" t="s">
        <v>17</v>
      </c>
      <c r="E21675" s="33" t="s">
        <v>26</v>
      </c>
      <c r="F21675" s="33" t="s">
        <v>27</v>
      </c>
      <c r="G21675" s="33" t="s">
        <v>20</v>
      </c>
      <c r="H21675" s="35">
        <v>45</v>
      </c>
      <c r="I21675" s="33" t="s">
        <v>21</v>
      </c>
      <c r="J21675" s="42">
        <v>45705</v>
      </c>
      <c r="K21675" s="33" t="s">
        <v>22</v>
      </c>
    </row>
    <row r="21676" spans="1:11">
      <c r="A21676" s="30" t="s">
        <v>47990</v>
      </c>
      <c r="B21676" s="30" t="s">
        <v>47991</v>
      </c>
      <c r="C21676" s="30" t="s">
        <v>47992</v>
      </c>
      <c r="D21676" s="30" t="s">
        <v>17</v>
      </c>
      <c r="E21676" s="30" t="s">
        <v>67</v>
      </c>
      <c r="F21676" s="30" t="s">
        <v>68</v>
      </c>
      <c r="G21676" s="30" t="s">
        <v>7780</v>
      </c>
      <c r="H21676" s="32">
        <v>39</v>
      </c>
      <c r="I21676" s="30" t="s">
        <v>51</v>
      </c>
      <c r="J21676" s="41">
        <v>45992</v>
      </c>
      <c r="K21676" s="30" t="s">
        <v>22</v>
      </c>
    </row>
    <row r="21677" spans="1:11">
      <c r="A21677" s="33" t="s">
        <v>47993</v>
      </c>
      <c r="B21677" s="33" t="s">
        <v>47994</v>
      </c>
      <c r="C21677" s="33" t="s">
        <v>647</v>
      </c>
      <c r="D21677" s="33" t="s">
        <v>17</v>
      </c>
      <c r="E21677" s="33" t="s">
        <v>18</v>
      </c>
      <c r="F21677" s="33" t="s">
        <v>19</v>
      </c>
      <c r="G21677" s="33" t="s">
        <v>140</v>
      </c>
      <c r="H21677" s="35">
        <v>1046</v>
      </c>
      <c r="I21677" s="33" t="s">
        <v>51</v>
      </c>
      <c r="J21677" s="42">
        <v>45684</v>
      </c>
      <c r="K21677" s="33" t="s">
        <v>22</v>
      </c>
    </row>
    <row r="21678" spans="1:11">
      <c r="A21678" s="30" t="s">
        <v>47995</v>
      </c>
      <c r="B21678" s="30" t="s">
        <v>47996</v>
      </c>
      <c r="C21678" s="30" t="s">
        <v>33154</v>
      </c>
      <c r="D21678" s="30" t="s">
        <v>17</v>
      </c>
      <c r="E21678" s="30" t="s">
        <v>18</v>
      </c>
      <c r="F21678" s="30" t="s">
        <v>19</v>
      </c>
      <c r="G21678" s="30" t="s">
        <v>158</v>
      </c>
      <c r="H21678" s="32">
        <v>480</v>
      </c>
      <c r="I21678" s="30" t="s">
        <v>51</v>
      </c>
      <c r="J21678" s="41">
        <v>45727</v>
      </c>
      <c r="K21678" s="30" t="s">
        <v>22</v>
      </c>
    </row>
    <row r="21679" spans="1:11">
      <c r="A21679" s="33" t="s">
        <v>47997</v>
      </c>
      <c r="B21679" s="33" t="s">
        <v>47998</v>
      </c>
      <c r="C21679" s="33" t="s">
        <v>21788</v>
      </c>
      <c r="D21679" s="33" t="s">
        <v>17</v>
      </c>
      <c r="E21679" s="33" t="s">
        <v>330</v>
      </c>
      <c r="F21679" s="33" t="s">
        <v>331</v>
      </c>
      <c r="G21679" s="33" t="s">
        <v>140</v>
      </c>
      <c r="H21679" s="35">
        <v>10</v>
      </c>
      <c r="I21679" s="33" t="s">
        <v>51</v>
      </c>
      <c r="J21679" s="42">
        <v>45967</v>
      </c>
      <c r="K21679" s="33" t="s">
        <v>22</v>
      </c>
    </row>
    <row r="21680" spans="1:11">
      <c r="A21680" s="30" t="s">
        <v>47999</v>
      </c>
      <c r="B21680" s="30" t="s">
        <v>48000</v>
      </c>
      <c r="C21680" s="30" t="s">
        <v>48001</v>
      </c>
      <c r="D21680" s="30" t="s">
        <v>17</v>
      </c>
      <c r="E21680" s="30" t="s">
        <v>67</v>
      </c>
      <c r="F21680" s="30" t="s">
        <v>68</v>
      </c>
      <c r="G21680" s="30" t="s">
        <v>140</v>
      </c>
      <c r="H21680" s="32">
        <v>205</v>
      </c>
      <c r="I21680" s="30" t="s">
        <v>51</v>
      </c>
      <c r="J21680" s="41">
        <v>45923</v>
      </c>
      <c r="K21680" s="30" t="s">
        <v>22</v>
      </c>
    </row>
    <row r="21681" spans="1:11">
      <c r="A21681" s="33" t="s">
        <v>48002</v>
      </c>
      <c r="B21681" s="33" t="s">
        <v>48003</v>
      </c>
      <c r="C21681" s="33" t="s">
        <v>30667</v>
      </c>
      <c r="D21681" s="33" t="s">
        <v>17</v>
      </c>
      <c r="E21681" s="33" t="s">
        <v>67</v>
      </c>
      <c r="F21681" s="33" t="s">
        <v>68</v>
      </c>
      <c r="G21681" s="33" t="s">
        <v>7780</v>
      </c>
      <c r="H21681" s="35">
        <v>12</v>
      </c>
      <c r="I21681" s="33" t="s">
        <v>51</v>
      </c>
      <c r="J21681" s="42">
        <v>45658</v>
      </c>
      <c r="K21681" s="33" t="s">
        <v>22</v>
      </c>
    </row>
    <row r="21682" spans="1:11">
      <c r="A21682" s="30" t="s">
        <v>48004</v>
      </c>
      <c r="B21682" s="30" t="s">
        <v>48005</v>
      </c>
      <c r="C21682" s="30" t="s">
        <v>47704</v>
      </c>
      <c r="D21682" s="30" t="s">
        <v>17</v>
      </c>
      <c r="E21682" s="30" t="s">
        <v>26</v>
      </c>
      <c r="F21682" s="30" t="s">
        <v>27</v>
      </c>
      <c r="G21682" s="30" t="s">
        <v>140</v>
      </c>
      <c r="H21682" s="32">
        <v>63</v>
      </c>
      <c r="I21682" s="30" t="s">
        <v>51</v>
      </c>
      <c r="J21682" s="41">
        <v>45878</v>
      </c>
      <c r="K21682" s="30" t="s">
        <v>22</v>
      </c>
    </row>
    <row r="21683" spans="1:11">
      <c r="A21683" s="33" t="s">
        <v>48006</v>
      </c>
      <c r="B21683" s="33" t="s">
        <v>48007</v>
      </c>
      <c r="C21683" s="33" t="s">
        <v>35237</v>
      </c>
      <c r="D21683" s="33" t="s">
        <v>17</v>
      </c>
      <c r="E21683" s="33" t="s">
        <v>26</v>
      </c>
      <c r="F21683" s="33" t="s">
        <v>27</v>
      </c>
      <c r="G21683" s="33" t="s">
        <v>20</v>
      </c>
      <c r="H21683" s="35">
        <v>24</v>
      </c>
      <c r="I21683" s="33" t="s">
        <v>21</v>
      </c>
      <c r="J21683" s="42">
        <v>45839</v>
      </c>
      <c r="K21683" s="33" t="s">
        <v>22</v>
      </c>
    </row>
    <row r="21684" spans="1:11">
      <c r="A21684" s="30" t="s">
        <v>48008</v>
      </c>
      <c r="B21684" s="30" t="s">
        <v>48009</v>
      </c>
      <c r="C21684" s="30" t="s">
        <v>48010</v>
      </c>
      <c r="D21684" s="30" t="s">
        <v>17</v>
      </c>
      <c r="E21684" s="30" t="s">
        <v>26</v>
      </c>
      <c r="F21684" s="30" t="s">
        <v>27</v>
      </c>
      <c r="G21684" s="30" t="s">
        <v>7780</v>
      </c>
      <c r="H21684" s="32">
        <v>100</v>
      </c>
      <c r="I21684" s="30" t="s">
        <v>51</v>
      </c>
      <c r="J21684" s="41">
        <v>45809</v>
      </c>
      <c r="K21684" s="30" t="s">
        <v>22</v>
      </c>
    </row>
    <row r="21685" spans="1:11">
      <c r="A21685" s="33" t="s">
        <v>48011</v>
      </c>
      <c r="B21685" s="33" t="s">
        <v>48012</v>
      </c>
      <c r="C21685" s="33" t="s">
        <v>21426</v>
      </c>
      <c r="D21685" s="33" t="s">
        <v>17</v>
      </c>
      <c r="E21685" s="33" t="s">
        <v>31</v>
      </c>
      <c r="F21685" s="33" t="s">
        <v>32</v>
      </c>
      <c r="G21685" s="33" t="s">
        <v>140</v>
      </c>
      <c r="H21685" s="35">
        <v>25</v>
      </c>
      <c r="I21685" s="33" t="s">
        <v>51</v>
      </c>
      <c r="J21685" s="42">
        <v>45698</v>
      </c>
      <c r="K21685" s="33" t="s">
        <v>22</v>
      </c>
    </row>
    <row r="21686" spans="1:11">
      <c r="A21686" s="30" t="s">
        <v>48013</v>
      </c>
      <c r="B21686" s="30" t="s">
        <v>48014</v>
      </c>
      <c r="C21686" s="30" t="s">
        <v>2472</v>
      </c>
      <c r="D21686" s="30" t="s">
        <v>17</v>
      </c>
      <c r="E21686" s="30" t="s">
        <v>31</v>
      </c>
      <c r="F21686" s="30" t="s">
        <v>32</v>
      </c>
      <c r="G21686" s="30" t="s">
        <v>20</v>
      </c>
      <c r="H21686" s="32">
        <v>1320</v>
      </c>
      <c r="I21686" s="30" t="s">
        <v>21</v>
      </c>
      <c r="J21686" s="41">
        <v>45723</v>
      </c>
      <c r="K21686" s="30" t="s">
        <v>22</v>
      </c>
    </row>
    <row r="21687" spans="1:11">
      <c r="A21687" s="33" t="s">
        <v>48015</v>
      </c>
      <c r="B21687" s="33" t="s">
        <v>48016</v>
      </c>
      <c r="C21687" s="33" t="s">
        <v>37490</v>
      </c>
      <c r="D21687" s="33" t="s">
        <v>17</v>
      </c>
      <c r="E21687" s="33" t="s">
        <v>31</v>
      </c>
      <c r="F21687" s="33" t="s">
        <v>32</v>
      </c>
      <c r="G21687" s="33" t="s">
        <v>158</v>
      </c>
      <c r="H21687" s="35">
        <v>216</v>
      </c>
      <c r="I21687" s="33" t="s">
        <v>51</v>
      </c>
      <c r="J21687" s="42">
        <v>45838</v>
      </c>
      <c r="K21687" s="33" t="s">
        <v>22</v>
      </c>
    </row>
    <row r="21688" spans="1:11">
      <c r="A21688" s="30" t="s">
        <v>48017</v>
      </c>
      <c r="B21688" s="30" t="s">
        <v>48018</v>
      </c>
      <c r="C21688" s="30" t="s">
        <v>157</v>
      </c>
      <c r="D21688" s="30" t="s">
        <v>17</v>
      </c>
      <c r="E21688" s="30" t="s">
        <v>18</v>
      </c>
      <c r="F21688" s="30" t="s">
        <v>19</v>
      </c>
      <c r="G21688" s="30" t="s">
        <v>140</v>
      </c>
      <c r="H21688" s="32">
        <v>70</v>
      </c>
      <c r="I21688" s="30" t="s">
        <v>51</v>
      </c>
      <c r="J21688" s="41">
        <v>45957</v>
      </c>
      <c r="K21688" s="30" t="s">
        <v>22</v>
      </c>
    </row>
    <row r="21689" spans="1:11">
      <c r="A21689" s="33" t="s">
        <v>48019</v>
      </c>
      <c r="B21689" s="33" t="s">
        <v>48020</v>
      </c>
      <c r="C21689" s="33" t="s">
        <v>1428</v>
      </c>
      <c r="D21689" s="33" t="s">
        <v>17</v>
      </c>
      <c r="E21689" s="33" t="s">
        <v>67</v>
      </c>
      <c r="F21689" s="33" t="s">
        <v>68</v>
      </c>
      <c r="G21689" s="33" t="s">
        <v>7780</v>
      </c>
      <c r="H21689" s="35">
        <v>30</v>
      </c>
      <c r="I21689" s="33" t="s">
        <v>51</v>
      </c>
      <c r="J21689" s="42">
        <v>45866</v>
      </c>
      <c r="K21689" s="33" t="s">
        <v>22</v>
      </c>
    </row>
    <row r="21690" spans="1:11">
      <c r="A21690" s="30" t="s">
        <v>48021</v>
      </c>
      <c r="B21690" s="30" t="s">
        <v>48022</v>
      </c>
      <c r="C21690" s="30" t="s">
        <v>48023</v>
      </c>
      <c r="D21690" s="30" t="s">
        <v>17</v>
      </c>
      <c r="E21690" s="30" t="s">
        <v>26</v>
      </c>
      <c r="F21690" s="30" t="s">
        <v>27</v>
      </c>
      <c r="G21690" s="30" t="s">
        <v>140</v>
      </c>
      <c r="H21690" s="32">
        <v>12</v>
      </c>
      <c r="I21690" s="30" t="s">
        <v>51</v>
      </c>
      <c r="J21690" s="41">
        <v>45972</v>
      </c>
      <c r="K21690" s="30" t="s">
        <v>22</v>
      </c>
    </row>
    <row r="21691" spans="1:11">
      <c r="A21691" s="33" t="s">
        <v>48024</v>
      </c>
      <c r="B21691" s="33" t="s">
        <v>48025</v>
      </c>
      <c r="C21691" s="33" t="s">
        <v>31197</v>
      </c>
      <c r="D21691" s="33" t="s">
        <v>17</v>
      </c>
      <c r="E21691" s="33" t="s">
        <v>18</v>
      </c>
      <c r="F21691" s="33" t="s">
        <v>19</v>
      </c>
      <c r="G21691" s="33" t="s">
        <v>158</v>
      </c>
      <c r="H21691" s="35">
        <v>108</v>
      </c>
      <c r="I21691" s="33" t="s">
        <v>51</v>
      </c>
      <c r="J21691" s="42">
        <v>45762</v>
      </c>
      <c r="K21691" s="33" t="s">
        <v>22</v>
      </c>
    </row>
    <row r="21692" spans="1:11">
      <c r="A21692" s="30" t="s">
        <v>48026</v>
      </c>
      <c r="B21692" s="30" t="s">
        <v>48027</v>
      </c>
      <c r="C21692" s="30" t="s">
        <v>48028</v>
      </c>
      <c r="D21692" s="30" t="s">
        <v>17</v>
      </c>
      <c r="E21692" s="30" t="s">
        <v>67</v>
      </c>
      <c r="F21692" s="30" t="s">
        <v>68</v>
      </c>
      <c r="G21692" s="30" t="s">
        <v>140</v>
      </c>
      <c r="H21692" s="32">
        <v>320</v>
      </c>
      <c r="I21692" s="30" t="s">
        <v>51</v>
      </c>
      <c r="J21692" s="41">
        <v>45708</v>
      </c>
      <c r="K21692" s="30" t="s">
        <v>22</v>
      </c>
    </row>
    <row r="21693" spans="1:11">
      <c r="A21693" s="33" t="s">
        <v>48029</v>
      </c>
      <c r="B21693" s="33" t="s">
        <v>48030</v>
      </c>
      <c r="C21693" s="33" t="s">
        <v>15524</v>
      </c>
      <c r="D21693" s="33" t="s">
        <v>17</v>
      </c>
      <c r="E21693" s="33" t="s">
        <v>67</v>
      </c>
      <c r="F21693" s="33" t="s">
        <v>68</v>
      </c>
      <c r="G21693" s="33" t="s">
        <v>140</v>
      </c>
      <c r="H21693" s="35">
        <v>13</v>
      </c>
      <c r="I21693" s="33" t="s">
        <v>51</v>
      </c>
      <c r="J21693" s="42">
        <v>45818</v>
      </c>
      <c r="K21693" s="33" t="s">
        <v>22</v>
      </c>
    </row>
    <row r="21694" spans="1:11">
      <c r="A21694" s="30" t="s">
        <v>48031</v>
      </c>
      <c r="B21694" s="30" t="s">
        <v>48032</v>
      </c>
      <c r="C21694" s="30" t="s">
        <v>35237</v>
      </c>
      <c r="D21694" s="30" t="s">
        <v>17</v>
      </c>
      <c r="E21694" s="30" t="s">
        <v>26</v>
      </c>
      <c r="F21694" s="30" t="s">
        <v>27</v>
      </c>
      <c r="G21694" s="30" t="s">
        <v>20</v>
      </c>
      <c r="H21694" s="32">
        <v>16</v>
      </c>
      <c r="I21694" s="30" t="s">
        <v>21</v>
      </c>
      <c r="J21694" s="41">
        <v>46016</v>
      </c>
      <c r="K21694" s="30" t="s">
        <v>22</v>
      </c>
    </row>
    <row r="21695" spans="1:11">
      <c r="A21695" s="33" t="s">
        <v>48033</v>
      </c>
      <c r="B21695" s="33" t="s">
        <v>48034</v>
      </c>
      <c r="C21695" s="33" t="s">
        <v>29833</v>
      </c>
      <c r="D21695" s="33" t="s">
        <v>17</v>
      </c>
      <c r="E21695" s="33" t="s">
        <v>26</v>
      </c>
      <c r="F21695" s="33" t="s">
        <v>27</v>
      </c>
      <c r="G21695" s="33" t="s">
        <v>140</v>
      </c>
      <c r="H21695" s="35">
        <v>144</v>
      </c>
      <c r="I21695" s="33" t="s">
        <v>51</v>
      </c>
      <c r="J21695" s="42">
        <v>46014</v>
      </c>
      <c r="K21695" s="33" t="s">
        <v>22</v>
      </c>
    </row>
    <row r="21696" spans="1:11">
      <c r="A21696" s="30" t="s">
        <v>48035</v>
      </c>
      <c r="B21696" s="30" t="s">
        <v>48036</v>
      </c>
      <c r="C21696" s="30" t="s">
        <v>31197</v>
      </c>
      <c r="D21696" s="30" t="s">
        <v>17</v>
      </c>
      <c r="E21696" s="30" t="s">
        <v>26</v>
      </c>
      <c r="F21696" s="30" t="s">
        <v>27</v>
      </c>
      <c r="G21696" s="30" t="s">
        <v>140</v>
      </c>
      <c r="H21696" s="32">
        <v>132</v>
      </c>
      <c r="I21696" s="30" t="s">
        <v>51</v>
      </c>
      <c r="J21696" s="41">
        <v>45990</v>
      </c>
      <c r="K21696" s="30" t="s">
        <v>22</v>
      </c>
    </row>
    <row r="21697" spans="1:11">
      <c r="A21697" s="33" t="s">
        <v>48037</v>
      </c>
      <c r="B21697" s="33" t="s">
        <v>48038</v>
      </c>
      <c r="C21697" s="33" t="s">
        <v>4348</v>
      </c>
      <c r="D21697" s="33" t="s">
        <v>17</v>
      </c>
      <c r="E21697" s="33" t="s">
        <v>26</v>
      </c>
      <c r="F21697" s="33" t="s">
        <v>27</v>
      </c>
      <c r="G21697" s="33" t="s">
        <v>140</v>
      </c>
      <c r="H21697" s="35">
        <v>33</v>
      </c>
      <c r="I21697" s="33" t="s">
        <v>51</v>
      </c>
      <c r="J21697" s="42">
        <v>45972</v>
      </c>
      <c r="K21697" s="33" t="s">
        <v>22</v>
      </c>
    </row>
    <row r="21698" spans="1:11">
      <c r="A21698" s="30" t="s">
        <v>48039</v>
      </c>
      <c r="B21698" s="30" t="s">
        <v>48040</v>
      </c>
      <c r="C21698" s="30" t="s">
        <v>109</v>
      </c>
      <c r="D21698" s="30" t="s">
        <v>17</v>
      </c>
      <c r="E21698" s="30" t="s">
        <v>31</v>
      </c>
      <c r="F21698" s="30" t="s">
        <v>32</v>
      </c>
      <c r="G21698" s="30" t="s">
        <v>158</v>
      </c>
      <c r="H21698" s="32">
        <v>138</v>
      </c>
      <c r="I21698" s="30" t="s">
        <v>21</v>
      </c>
      <c r="J21698" s="41">
        <v>45841</v>
      </c>
      <c r="K21698" s="30" t="s">
        <v>22</v>
      </c>
    </row>
    <row r="21699" spans="1:11">
      <c r="A21699" s="33" t="s">
        <v>48041</v>
      </c>
      <c r="B21699" s="33" t="s">
        <v>48042</v>
      </c>
      <c r="C21699" s="33" t="s">
        <v>5050</v>
      </c>
      <c r="D21699" s="33" t="s">
        <v>17</v>
      </c>
      <c r="E21699" s="33" t="s">
        <v>67</v>
      </c>
      <c r="F21699" s="33" t="s">
        <v>68</v>
      </c>
      <c r="G21699" s="33" t="s">
        <v>140</v>
      </c>
      <c r="H21699" s="35">
        <v>80</v>
      </c>
      <c r="I21699" s="33" t="s">
        <v>51</v>
      </c>
      <c r="J21699" s="42">
        <v>45820</v>
      </c>
      <c r="K21699" s="33" t="s">
        <v>22</v>
      </c>
    </row>
    <row r="21700" spans="1:11">
      <c r="A21700" s="30" t="s">
        <v>48043</v>
      </c>
      <c r="B21700" s="30" t="s">
        <v>48044</v>
      </c>
      <c r="C21700" s="30" t="s">
        <v>38025</v>
      </c>
      <c r="D21700" s="30" t="s">
        <v>17</v>
      </c>
      <c r="E21700" s="30" t="s">
        <v>67</v>
      </c>
      <c r="F21700" s="30" t="s">
        <v>68</v>
      </c>
      <c r="G21700" s="30" t="s">
        <v>140</v>
      </c>
      <c r="H21700" s="32">
        <v>50</v>
      </c>
      <c r="I21700" s="30" t="s">
        <v>51</v>
      </c>
      <c r="J21700" s="41">
        <v>45740</v>
      </c>
      <c r="K21700" s="30" t="s">
        <v>22</v>
      </c>
    </row>
    <row r="21701" spans="1:11">
      <c r="A21701" s="33" t="s">
        <v>48045</v>
      </c>
      <c r="B21701" s="33" t="s">
        <v>48046</v>
      </c>
      <c r="C21701" s="33" t="s">
        <v>3489</v>
      </c>
      <c r="D21701" s="33" t="s">
        <v>17</v>
      </c>
      <c r="E21701" s="33" t="s">
        <v>31</v>
      </c>
      <c r="F21701" s="33" t="s">
        <v>32</v>
      </c>
      <c r="G21701" s="33" t="s">
        <v>140</v>
      </c>
      <c r="H21701" s="35">
        <v>60</v>
      </c>
      <c r="I21701" s="33" t="s">
        <v>51</v>
      </c>
      <c r="J21701" s="42">
        <v>45868</v>
      </c>
      <c r="K21701" s="33" t="s">
        <v>22</v>
      </c>
    </row>
    <row r="21702" spans="1:11">
      <c r="A21702" s="30" t="s">
        <v>48047</v>
      </c>
      <c r="B21702" s="30" t="s">
        <v>48048</v>
      </c>
      <c r="C21702" s="30" t="s">
        <v>109</v>
      </c>
      <c r="D21702" s="30" t="s">
        <v>17</v>
      </c>
      <c r="E21702" s="30" t="s">
        <v>67</v>
      </c>
      <c r="F21702" s="30" t="s">
        <v>68</v>
      </c>
      <c r="G21702" s="30" t="s">
        <v>140</v>
      </c>
      <c r="H21702" s="32">
        <v>30</v>
      </c>
      <c r="I21702" s="30" t="s">
        <v>51</v>
      </c>
      <c r="J21702" s="41">
        <v>45810</v>
      </c>
      <c r="K21702" s="30" t="s">
        <v>22</v>
      </c>
    </row>
    <row r="21703" spans="1:11">
      <c r="A21703" s="33" t="s">
        <v>48049</v>
      </c>
      <c r="B21703" s="33" t="s">
        <v>48050</v>
      </c>
      <c r="C21703" s="33" t="s">
        <v>1422</v>
      </c>
      <c r="D21703" s="33" t="s">
        <v>17</v>
      </c>
      <c r="E21703" s="33" t="s">
        <v>26</v>
      </c>
      <c r="F21703" s="33" t="s">
        <v>27</v>
      </c>
      <c r="G21703" s="33" t="s">
        <v>140</v>
      </c>
      <c r="H21703" s="35">
        <v>156</v>
      </c>
      <c r="I21703" s="33" t="s">
        <v>51</v>
      </c>
      <c r="J21703" s="42">
        <v>45824</v>
      </c>
      <c r="K21703" s="33" t="s">
        <v>22</v>
      </c>
    </row>
    <row r="21704" spans="1:11">
      <c r="A21704" s="30" t="s">
        <v>48051</v>
      </c>
      <c r="B21704" s="30" t="s">
        <v>48052</v>
      </c>
      <c r="C21704" s="30" t="s">
        <v>26737</v>
      </c>
      <c r="D21704" s="30" t="s">
        <v>17</v>
      </c>
      <c r="E21704" s="30" t="s">
        <v>18</v>
      </c>
      <c r="F21704" s="30" t="s">
        <v>19</v>
      </c>
      <c r="G21704" s="30" t="s">
        <v>140</v>
      </c>
      <c r="H21704" s="32">
        <v>480</v>
      </c>
      <c r="I21704" s="30" t="s">
        <v>51</v>
      </c>
      <c r="J21704" s="41">
        <v>46008</v>
      </c>
      <c r="K21704" s="30" t="s">
        <v>22</v>
      </c>
    </row>
    <row r="21705" spans="1:11">
      <c r="A21705" s="33" t="s">
        <v>48053</v>
      </c>
      <c r="B21705" s="33" t="s">
        <v>48054</v>
      </c>
      <c r="C21705" s="33" t="s">
        <v>3013</v>
      </c>
      <c r="D21705" s="33" t="s">
        <v>17</v>
      </c>
      <c r="E21705" s="33" t="s">
        <v>26</v>
      </c>
      <c r="F21705" s="33" t="s">
        <v>27</v>
      </c>
      <c r="G21705" s="33" t="s">
        <v>158</v>
      </c>
      <c r="H21705" s="35">
        <v>69</v>
      </c>
      <c r="I21705" s="33" t="s">
        <v>21</v>
      </c>
      <c r="J21705" s="42">
        <v>45674</v>
      </c>
      <c r="K21705" s="33" t="s">
        <v>22</v>
      </c>
    </row>
    <row r="21706" spans="1:11">
      <c r="A21706" s="30" t="s">
        <v>48055</v>
      </c>
      <c r="B21706" s="30" t="s">
        <v>48056</v>
      </c>
      <c r="C21706" s="30" t="s">
        <v>2922</v>
      </c>
      <c r="D21706" s="30" t="s">
        <v>17</v>
      </c>
      <c r="E21706" s="30" t="s">
        <v>18</v>
      </c>
      <c r="F21706" s="30" t="s">
        <v>19</v>
      </c>
      <c r="G21706" s="30" t="s">
        <v>140</v>
      </c>
      <c r="H21706" s="32">
        <v>480</v>
      </c>
      <c r="I21706" s="30" t="s">
        <v>51</v>
      </c>
      <c r="J21706" s="41">
        <v>45860</v>
      </c>
      <c r="K21706" s="30" t="s">
        <v>22</v>
      </c>
    </row>
    <row r="21707" spans="1:11">
      <c r="A21707" s="33" t="s">
        <v>48057</v>
      </c>
      <c r="B21707" s="33" t="s">
        <v>48058</v>
      </c>
      <c r="C21707" s="33" t="s">
        <v>190</v>
      </c>
      <c r="D21707" s="33" t="s">
        <v>17</v>
      </c>
      <c r="E21707" s="33" t="s">
        <v>18</v>
      </c>
      <c r="F21707" s="33" t="s">
        <v>19</v>
      </c>
      <c r="G21707" s="33" t="s">
        <v>140</v>
      </c>
      <c r="H21707" s="35">
        <v>830</v>
      </c>
      <c r="I21707" s="33" t="s">
        <v>51</v>
      </c>
      <c r="J21707" s="42">
        <v>45757</v>
      </c>
      <c r="K21707" s="33" t="s">
        <v>22</v>
      </c>
    </row>
    <row r="21708" spans="1:11">
      <c r="A21708" s="30" t="s">
        <v>48059</v>
      </c>
      <c r="B21708" s="30" t="s">
        <v>48060</v>
      </c>
      <c r="C21708" s="30" t="s">
        <v>635</v>
      </c>
      <c r="D21708" s="30" t="s">
        <v>17</v>
      </c>
      <c r="E21708" s="30" t="s">
        <v>67</v>
      </c>
      <c r="F21708" s="30" t="s">
        <v>68</v>
      </c>
      <c r="G21708" s="30" t="s">
        <v>140</v>
      </c>
      <c r="H21708" s="32">
        <v>166</v>
      </c>
      <c r="I21708" s="30" t="s">
        <v>51</v>
      </c>
      <c r="J21708" s="41">
        <v>45789</v>
      </c>
      <c r="K21708" s="30" t="s">
        <v>22</v>
      </c>
    </row>
    <row r="21709" spans="1:11">
      <c r="A21709" s="33" t="s">
        <v>48061</v>
      </c>
      <c r="B21709" s="33" t="s">
        <v>48062</v>
      </c>
      <c r="C21709" s="33" t="s">
        <v>6508</v>
      </c>
      <c r="D21709" s="33" t="s">
        <v>17</v>
      </c>
      <c r="E21709" s="33" t="s">
        <v>31</v>
      </c>
      <c r="F21709" s="33" t="s">
        <v>32</v>
      </c>
      <c r="G21709" s="33" t="s">
        <v>7780</v>
      </c>
      <c r="H21709" s="35">
        <v>24</v>
      </c>
      <c r="I21709" s="33" t="s">
        <v>51</v>
      </c>
      <c r="J21709" s="42">
        <v>45717</v>
      </c>
      <c r="K21709" s="33" t="s">
        <v>22</v>
      </c>
    </row>
    <row r="21710" spans="1:11">
      <c r="A21710" s="30" t="s">
        <v>48063</v>
      </c>
      <c r="B21710" s="30" t="s">
        <v>48064</v>
      </c>
      <c r="C21710" s="30" t="s">
        <v>44315</v>
      </c>
      <c r="D21710" s="30" t="s">
        <v>17</v>
      </c>
      <c r="E21710" s="30" t="s">
        <v>26</v>
      </c>
      <c r="F21710" s="30" t="s">
        <v>27</v>
      </c>
      <c r="G21710" s="30" t="s">
        <v>7780</v>
      </c>
      <c r="H21710" s="32">
        <v>44</v>
      </c>
      <c r="I21710" s="30" t="s">
        <v>51</v>
      </c>
      <c r="J21710" s="41">
        <v>45992</v>
      </c>
      <c r="K21710" s="30" t="s">
        <v>22</v>
      </c>
    </row>
    <row r="21711" spans="1:11">
      <c r="A21711" s="33" t="s">
        <v>48065</v>
      </c>
      <c r="B21711" s="33" t="s">
        <v>48066</v>
      </c>
      <c r="C21711" s="33" t="s">
        <v>684</v>
      </c>
      <c r="D21711" s="33" t="s">
        <v>17</v>
      </c>
      <c r="E21711" s="33" t="s">
        <v>31</v>
      </c>
      <c r="F21711" s="33" t="s">
        <v>32</v>
      </c>
      <c r="G21711" s="33" t="s">
        <v>140</v>
      </c>
      <c r="H21711" s="35">
        <v>120</v>
      </c>
      <c r="I21711" s="33" t="s">
        <v>51</v>
      </c>
      <c r="J21711" s="42">
        <v>45817</v>
      </c>
      <c r="K21711" s="33" t="s">
        <v>22</v>
      </c>
    </row>
    <row r="21712" spans="1:11">
      <c r="A21712" s="30" t="s">
        <v>48067</v>
      </c>
      <c r="B21712" s="30" t="s">
        <v>48068</v>
      </c>
      <c r="C21712" s="30" t="s">
        <v>48069</v>
      </c>
      <c r="D21712" s="30" t="s">
        <v>17</v>
      </c>
      <c r="E21712" s="30" t="s">
        <v>31</v>
      </c>
      <c r="F21712" s="30" t="s">
        <v>32</v>
      </c>
      <c r="G21712" s="30" t="s">
        <v>158</v>
      </c>
      <c r="H21712" s="32">
        <v>136</v>
      </c>
      <c r="I21712" s="30" t="s">
        <v>51</v>
      </c>
      <c r="J21712" s="41">
        <v>45862</v>
      </c>
      <c r="K21712" s="30" t="s">
        <v>22</v>
      </c>
    </row>
    <row r="21713" spans="1:11">
      <c r="A21713" s="33" t="s">
        <v>48070</v>
      </c>
      <c r="B21713" s="33" t="s">
        <v>48071</v>
      </c>
      <c r="C21713" s="33" t="s">
        <v>969</v>
      </c>
      <c r="D21713" s="33" t="s">
        <v>17</v>
      </c>
      <c r="E21713" s="33" t="s">
        <v>18</v>
      </c>
      <c r="F21713" s="33" t="s">
        <v>19</v>
      </c>
      <c r="G21713" s="33" t="s">
        <v>140</v>
      </c>
      <c r="H21713" s="35">
        <v>1200</v>
      </c>
      <c r="I21713" s="33" t="s">
        <v>51</v>
      </c>
      <c r="J21713" s="42">
        <v>45954</v>
      </c>
      <c r="K21713" s="33" t="s">
        <v>22</v>
      </c>
    </row>
    <row r="21714" spans="1:11">
      <c r="A21714" s="30" t="s">
        <v>48072</v>
      </c>
      <c r="B21714" s="30" t="s">
        <v>48073</v>
      </c>
      <c r="C21714" s="30" t="s">
        <v>310</v>
      </c>
      <c r="D21714" s="30" t="s">
        <v>17</v>
      </c>
      <c r="E21714" s="30" t="s">
        <v>31</v>
      </c>
      <c r="F21714" s="30" t="s">
        <v>32</v>
      </c>
      <c r="G21714" s="30" t="s">
        <v>158</v>
      </c>
      <c r="H21714" s="32">
        <v>142</v>
      </c>
      <c r="I21714" s="30" t="s">
        <v>21</v>
      </c>
      <c r="J21714" s="41">
        <v>45686</v>
      </c>
      <c r="K21714" s="30" t="s">
        <v>22</v>
      </c>
    </row>
    <row r="21715" spans="1:11">
      <c r="A21715" s="33" t="s">
        <v>48074</v>
      </c>
      <c r="B21715" s="33" t="s">
        <v>48075</v>
      </c>
      <c r="C21715" s="33" t="s">
        <v>5652</v>
      </c>
      <c r="D21715" s="33" t="s">
        <v>17</v>
      </c>
      <c r="E21715" s="33" t="s">
        <v>18</v>
      </c>
      <c r="F21715" s="33" t="s">
        <v>19</v>
      </c>
      <c r="G21715" s="33" t="s">
        <v>140</v>
      </c>
      <c r="H21715" s="35">
        <v>250</v>
      </c>
      <c r="I21715" s="33" t="s">
        <v>51</v>
      </c>
      <c r="J21715" s="42">
        <v>45931</v>
      </c>
      <c r="K21715" s="33" t="s">
        <v>22</v>
      </c>
    </row>
    <row r="21716" spans="1:11">
      <c r="A21716" s="30" t="s">
        <v>48076</v>
      </c>
      <c r="B21716" s="30" t="s">
        <v>48077</v>
      </c>
      <c r="C21716" s="30" t="s">
        <v>8653</v>
      </c>
      <c r="D21716" s="30" t="s">
        <v>17</v>
      </c>
      <c r="E21716" s="30" t="s">
        <v>26</v>
      </c>
      <c r="F21716" s="30" t="s">
        <v>27</v>
      </c>
      <c r="G21716" s="30" t="s">
        <v>140</v>
      </c>
      <c r="H21716" s="32">
        <v>96</v>
      </c>
      <c r="I21716" s="30" t="s">
        <v>51</v>
      </c>
      <c r="J21716" s="41">
        <v>45978</v>
      </c>
      <c r="K21716" s="30" t="s">
        <v>22</v>
      </c>
    </row>
    <row r="21717" spans="1:11">
      <c r="A21717" s="33" t="s">
        <v>48078</v>
      </c>
      <c r="B21717" s="33" t="s">
        <v>48079</v>
      </c>
      <c r="C21717" s="33" t="s">
        <v>29833</v>
      </c>
      <c r="D21717" s="33" t="s">
        <v>17</v>
      </c>
      <c r="E21717" s="33" t="s">
        <v>26</v>
      </c>
      <c r="F21717" s="33" t="s">
        <v>27</v>
      </c>
      <c r="G21717" s="33" t="s">
        <v>140</v>
      </c>
      <c r="H21717" s="35">
        <v>75</v>
      </c>
      <c r="I21717" s="33" t="s">
        <v>51</v>
      </c>
      <c r="J21717" s="42">
        <v>45951</v>
      </c>
      <c r="K21717" s="33" t="s">
        <v>22</v>
      </c>
    </row>
    <row r="21718" spans="1:11">
      <c r="A21718" s="30" t="s">
        <v>48080</v>
      </c>
      <c r="B21718" s="30" t="s">
        <v>48081</v>
      </c>
      <c r="C21718" s="30" t="s">
        <v>41159</v>
      </c>
      <c r="D21718" s="30" t="s">
        <v>17</v>
      </c>
      <c r="E21718" s="30" t="s">
        <v>26</v>
      </c>
      <c r="F21718" s="30" t="s">
        <v>27</v>
      </c>
      <c r="G21718" s="30" t="s">
        <v>7780</v>
      </c>
      <c r="H21718" s="32">
        <v>24</v>
      </c>
      <c r="I21718" s="30" t="s">
        <v>51</v>
      </c>
      <c r="J21718" s="41">
        <v>45962</v>
      </c>
      <c r="K21718" s="30" t="s">
        <v>22</v>
      </c>
    </row>
    <row r="21719" spans="1:11">
      <c r="A21719" s="33" t="s">
        <v>48082</v>
      </c>
      <c r="B21719" s="33" t="s">
        <v>48083</v>
      </c>
      <c r="C21719" s="33" t="s">
        <v>29824</v>
      </c>
      <c r="D21719" s="33" t="s">
        <v>17</v>
      </c>
      <c r="E21719" s="33" t="s">
        <v>18</v>
      </c>
      <c r="F21719" s="33" t="s">
        <v>19</v>
      </c>
      <c r="G21719" s="33" t="s">
        <v>140</v>
      </c>
      <c r="H21719" s="35">
        <v>60</v>
      </c>
      <c r="I21719" s="33" t="s">
        <v>51</v>
      </c>
      <c r="J21719" s="42">
        <v>45945</v>
      </c>
      <c r="K21719" s="33" t="s">
        <v>22</v>
      </c>
    </row>
    <row r="21720" spans="1:11">
      <c r="A21720" s="30" t="s">
        <v>48084</v>
      </c>
      <c r="B21720" s="30" t="s">
        <v>48085</v>
      </c>
      <c r="C21720" s="30" t="s">
        <v>6663</v>
      </c>
      <c r="D21720" s="30" t="s">
        <v>17</v>
      </c>
      <c r="E21720" s="30" t="s">
        <v>31</v>
      </c>
      <c r="F21720" s="30" t="s">
        <v>32</v>
      </c>
      <c r="G21720" s="30" t="s">
        <v>140</v>
      </c>
      <c r="H21720" s="32">
        <v>230</v>
      </c>
      <c r="I21720" s="30" t="s">
        <v>51</v>
      </c>
      <c r="J21720" s="41">
        <v>45819</v>
      </c>
      <c r="K21720" s="30" t="s">
        <v>22</v>
      </c>
    </row>
    <row r="21721" spans="1:11">
      <c r="A21721" s="33" t="s">
        <v>48086</v>
      </c>
      <c r="B21721" s="33" t="s">
        <v>48087</v>
      </c>
      <c r="C21721" s="33" t="s">
        <v>1598</v>
      </c>
      <c r="D21721" s="33" t="s">
        <v>17</v>
      </c>
      <c r="E21721" s="33" t="s">
        <v>67</v>
      </c>
      <c r="F21721" s="33" t="s">
        <v>68</v>
      </c>
      <c r="G21721" s="33" t="s">
        <v>158</v>
      </c>
      <c r="H21721" s="35">
        <v>98</v>
      </c>
      <c r="I21721" s="33" t="s">
        <v>21</v>
      </c>
      <c r="J21721" s="42">
        <v>45825</v>
      </c>
      <c r="K21721" s="33" t="s">
        <v>22</v>
      </c>
    </row>
    <row r="21722" spans="1:11">
      <c r="A21722" s="30" t="s">
        <v>48088</v>
      </c>
      <c r="B21722" s="30" t="s">
        <v>48089</v>
      </c>
      <c r="C21722" s="30" t="s">
        <v>12980</v>
      </c>
      <c r="D21722" s="30" t="s">
        <v>17</v>
      </c>
      <c r="E21722" s="30" t="s">
        <v>26</v>
      </c>
      <c r="F21722" s="30" t="s">
        <v>27</v>
      </c>
      <c r="G21722" s="30" t="s">
        <v>20</v>
      </c>
      <c r="H21722" s="32">
        <v>35</v>
      </c>
      <c r="I21722" s="30" t="s">
        <v>21</v>
      </c>
      <c r="J21722" s="41">
        <v>45723</v>
      </c>
      <c r="K21722" s="30" t="s">
        <v>22</v>
      </c>
    </row>
    <row r="21723" spans="1:11">
      <c r="A21723" s="33" t="s">
        <v>48090</v>
      </c>
      <c r="B21723" s="33" t="s">
        <v>48091</v>
      </c>
      <c r="C21723" s="33" t="s">
        <v>570</v>
      </c>
      <c r="D21723" s="33" t="s">
        <v>17</v>
      </c>
      <c r="E21723" s="33" t="s">
        <v>18</v>
      </c>
      <c r="F21723" s="33" t="s">
        <v>19</v>
      </c>
      <c r="G21723" s="33" t="s">
        <v>7780</v>
      </c>
      <c r="H21723" s="35">
        <v>284</v>
      </c>
      <c r="I21723" s="33" t="s">
        <v>51</v>
      </c>
      <c r="J21723" s="42">
        <v>45658</v>
      </c>
      <c r="K21723" s="33" t="s">
        <v>22</v>
      </c>
    </row>
    <row r="21724" spans="1:11">
      <c r="A21724" s="30" t="s">
        <v>48092</v>
      </c>
      <c r="B21724" s="30" t="s">
        <v>48093</v>
      </c>
      <c r="C21724" s="30" t="s">
        <v>27922</v>
      </c>
      <c r="D21724" s="30" t="s">
        <v>17</v>
      </c>
      <c r="E21724" s="30" t="s">
        <v>26</v>
      </c>
      <c r="F21724" s="30" t="s">
        <v>27</v>
      </c>
      <c r="G21724" s="30" t="s">
        <v>158</v>
      </c>
      <c r="H21724" s="32">
        <v>80</v>
      </c>
      <c r="I21724" s="30" t="s">
        <v>51</v>
      </c>
      <c r="J21724" s="41">
        <v>45953</v>
      </c>
      <c r="K21724" s="30" t="s">
        <v>22</v>
      </c>
    </row>
    <row r="21725" spans="1:11">
      <c r="A21725" s="33" t="s">
        <v>48094</v>
      </c>
      <c r="B21725" s="33" t="s">
        <v>48095</v>
      </c>
      <c r="C21725" s="33" t="s">
        <v>1048</v>
      </c>
      <c r="D21725" s="33" t="s">
        <v>17</v>
      </c>
      <c r="E21725" s="33" t="s">
        <v>26</v>
      </c>
      <c r="F21725" s="33" t="s">
        <v>27</v>
      </c>
      <c r="G21725" s="33" t="s">
        <v>20</v>
      </c>
      <c r="H21725" s="35">
        <v>120</v>
      </c>
      <c r="I21725" s="33" t="s">
        <v>21</v>
      </c>
      <c r="J21725" s="42">
        <v>45760</v>
      </c>
      <c r="K21725" s="33" t="s">
        <v>22</v>
      </c>
    </row>
    <row r="21726" spans="1:11">
      <c r="A21726" s="30" t="s">
        <v>48096</v>
      </c>
      <c r="B21726" s="30" t="s">
        <v>48097</v>
      </c>
      <c r="C21726" s="30" t="s">
        <v>30810</v>
      </c>
      <c r="D21726" s="30" t="s">
        <v>17</v>
      </c>
      <c r="E21726" s="30" t="s">
        <v>26</v>
      </c>
      <c r="F21726" s="30" t="s">
        <v>27</v>
      </c>
      <c r="G21726" s="30" t="s">
        <v>7780</v>
      </c>
      <c r="H21726" s="32">
        <v>20</v>
      </c>
      <c r="I21726" s="30" t="s">
        <v>51</v>
      </c>
      <c r="J21726" s="41">
        <v>45839</v>
      </c>
      <c r="K21726" s="30" t="s">
        <v>22</v>
      </c>
    </row>
    <row r="21727" spans="1:11">
      <c r="A21727" s="33" t="s">
        <v>48098</v>
      </c>
      <c r="B21727" s="33" t="s">
        <v>48099</v>
      </c>
      <c r="C21727" s="33" t="s">
        <v>1796</v>
      </c>
      <c r="D21727" s="33" t="s">
        <v>17</v>
      </c>
      <c r="E21727" s="33" t="s">
        <v>18</v>
      </c>
      <c r="F21727" s="33" t="s">
        <v>19</v>
      </c>
      <c r="G21727" s="33" t="s">
        <v>140</v>
      </c>
      <c r="H21727" s="35">
        <v>120</v>
      </c>
      <c r="I21727" s="33" t="s">
        <v>51</v>
      </c>
      <c r="J21727" s="42">
        <v>45757</v>
      </c>
      <c r="K21727" s="33" t="s">
        <v>22</v>
      </c>
    </row>
    <row r="21728" spans="1:11">
      <c r="A21728" s="30" t="s">
        <v>48100</v>
      </c>
      <c r="B21728" s="30" t="s">
        <v>48101</v>
      </c>
      <c r="C21728" s="30" t="s">
        <v>48102</v>
      </c>
      <c r="D21728" s="30" t="s">
        <v>17</v>
      </c>
      <c r="E21728" s="30" t="s">
        <v>31</v>
      </c>
      <c r="F21728" s="30" t="s">
        <v>32</v>
      </c>
      <c r="G21728" s="30" t="s">
        <v>7780</v>
      </c>
      <c r="H21728" s="32">
        <v>30</v>
      </c>
      <c r="I21728" s="30" t="s">
        <v>51</v>
      </c>
      <c r="J21728" s="41">
        <v>45839</v>
      </c>
      <c r="K21728" s="30" t="s">
        <v>22</v>
      </c>
    </row>
    <row r="21729" spans="1:11">
      <c r="A21729" s="33" t="s">
        <v>48103</v>
      </c>
      <c r="B21729" s="33" t="s">
        <v>48104</v>
      </c>
      <c r="C21729" s="33" t="s">
        <v>118</v>
      </c>
      <c r="D21729" s="33" t="s">
        <v>17</v>
      </c>
      <c r="E21729" s="33" t="s">
        <v>31</v>
      </c>
      <c r="F21729" s="33" t="s">
        <v>32</v>
      </c>
      <c r="G21729" s="33" t="s">
        <v>140</v>
      </c>
      <c r="H21729" s="35">
        <v>60</v>
      </c>
      <c r="I21729" s="33" t="s">
        <v>51</v>
      </c>
      <c r="J21729" s="42">
        <v>45980</v>
      </c>
      <c r="K21729" s="33" t="s">
        <v>22</v>
      </c>
    </row>
    <row r="21730" spans="1:11">
      <c r="A21730" s="30" t="s">
        <v>48105</v>
      </c>
      <c r="B21730" s="30" t="s">
        <v>48106</v>
      </c>
      <c r="C21730" s="30" t="s">
        <v>969</v>
      </c>
      <c r="D21730" s="30" t="s">
        <v>17</v>
      </c>
      <c r="E21730" s="30" t="s">
        <v>31</v>
      </c>
      <c r="F21730" s="30" t="s">
        <v>32</v>
      </c>
      <c r="G21730" s="30" t="s">
        <v>140</v>
      </c>
      <c r="H21730" s="32">
        <v>42</v>
      </c>
      <c r="I21730" s="30" t="s">
        <v>51</v>
      </c>
      <c r="J21730" s="41">
        <v>45756</v>
      </c>
      <c r="K21730" s="30" t="s">
        <v>22</v>
      </c>
    </row>
    <row r="21731" spans="1:11">
      <c r="A21731" s="33" t="s">
        <v>48107</v>
      </c>
      <c r="B21731" s="33" t="s">
        <v>48108</v>
      </c>
      <c r="C21731" s="33" t="s">
        <v>28382</v>
      </c>
      <c r="D21731" s="33" t="s">
        <v>17</v>
      </c>
      <c r="E21731" s="33" t="s">
        <v>31</v>
      </c>
      <c r="F21731" s="33" t="s">
        <v>32</v>
      </c>
      <c r="G21731" s="33" t="s">
        <v>140</v>
      </c>
      <c r="H21731" s="35">
        <v>125</v>
      </c>
      <c r="I21731" s="33" t="s">
        <v>51</v>
      </c>
      <c r="J21731" s="42">
        <v>45688</v>
      </c>
      <c r="K21731" s="33" t="s">
        <v>22</v>
      </c>
    </row>
    <row r="21732" spans="1:11">
      <c r="A21732" s="30" t="s">
        <v>48109</v>
      </c>
      <c r="B21732" s="30" t="s">
        <v>48110</v>
      </c>
      <c r="C21732" s="30" t="s">
        <v>48111</v>
      </c>
      <c r="D21732" s="30" t="s">
        <v>17</v>
      </c>
      <c r="E21732" s="30" t="s">
        <v>31</v>
      </c>
      <c r="F21732" s="30" t="s">
        <v>32</v>
      </c>
      <c r="G21732" s="30" t="s">
        <v>140</v>
      </c>
      <c r="H21732" s="32">
        <v>50</v>
      </c>
      <c r="I21732" s="30" t="s">
        <v>51</v>
      </c>
      <c r="J21732" s="41">
        <v>45959</v>
      </c>
      <c r="K21732" s="30" t="s">
        <v>22</v>
      </c>
    </row>
    <row r="21733" spans="1:11">
      <c r="A21733" s="33" t="s">
        <v>48112</v>
      </c>
      <c r="B21733" s="33" t="s">
        <v>48113</v>
      </c>
      <c r="C21733" s="33" t="s">
        <v>149</v>
      </c>
      <c r="D21733" s="33" t="s">
        <v>17</v>
      </c>
      <c r="E21733" s="33" t="s">
        <v>18</v>
      </c>
      <c r="F21733" s="33" t="s">
        <v>19</v>
      </c>
      <c r="G21733" s="33" t="s">
        <v>140</v>
      </c>
      <c r="H21733" s="35">
        <v>662</v>
      </c>
      <c r="I21733" s="33" t="s">
        <v>51</v>
      </c>
      <c r="J21733" s="42">
        <v>45993</v>
      </c>
      <c r="K21733" s="33" t="s">
        <v>22</v>
      </c>
    </row>
    <row r="21734" spans="1:11">
      <c r="A21734" s="30" t="s">
        <v>48114</v>
      </c>
      <c r="B21734" s="30" t="s">
        <v>48115</v>
      </c>
      <c r="C21734" s="30" t="s">
        <v>93</v>
      </c>
      <c r="D21734" s="30" t="s">
        <v>17</v>
      </c>
      <c r="E21734" s="30" t="s">
        <v>18</v>
      </c>
      <c r="F21734" s="30" t="s">
        <v>19</v>
      </c>
      <c r="G21734" s="30" t="s">
        <v>20</v>
      </c>
      <c r="H21734" s="32">
        <v>150</v>
      </c>
      <c r="I21734" s="30" t="s">
        <v>21</v>
      </c>
      <c r="J21734" s="41">
        <v>45679</v>
      </c>
      <c r="K21734" s="30" t="s">
        <v>22</v>
      </c>
    </row>
    <row r="21735" spans="1:11">
      <c r="A21735" s="33" t="s">
        <v>48116</v>
      </c>
      <c r="B21735" s="33" t="s">
        <v>48117</v>
      </c>
      <c r="C21735" s="33" t="s">
        <v>149</v>
      </c>
      <c r="D21735" s="33" t="s">
        <v>17</v>
      </c>
      <c r="E21735" s="33" t="s">
        <v>26</v>
      </c>
      <c r="F21735" s="33" t="s">
        <v>27</v>
      </c>
      <c r="G21735" s="33" t="s">
        <v>140</v>
      </c>
      <c r="H21735" s="35">
        <v>240</v>
      </c>
      <c r="I21735" s="33" t="s">
        <v>51</v>
      </c>
      <c r="J21735" s="42">
        <v>45679</v>
      </c>
      <c r="K21735" s="33" t="s">
        <v>22</v>
      </c>
    </row>
    <row r="21736" spans="1:11">
      <c r="A21736" s="30" t="s">
        <v>48118</v>
      </c>
      <c r="B21736" s="30" t="s">
        <v>48119</v>
      </c>
      <c r="C21736" s="30" t="s">
        <v>7965</v>
      </c>
      <c r="D21736" s="30" t="s">
        <v>17</v>
      </c>
      <c r="E21736" s="30" t="s">
        <v>26</v>
      </c>
      <c r="F21736" s="30" t="s">
        <v>27</v>
      </c>
      <c r="G21736" s="30" t="s">
        <v>140</v>
      </c>
      <c r="H21736" s="32">
        <v>40</v>
      </c>
      <c r="I21736" s="30" t="s">
        <v>51</v>
      </c>
      <c r="J21736" s="41">
        <v>45958</v>
      </c>
      <c r="K21736" s="30" t="s">
        <v>22</v>
      </c>
    </row>
    <row r="21737" spans="1:11">
      <c r="A21737" s="33" t="s">
        <v>48120</v>
      </c>
      <c r="B21737" s="33" t="s">
        <v>48121</v>
      </c>
      <c r="C21737" s="33" t="s">
        <v>48122</v>
      </c>
      <c r="D21737" s="33" t="s">
        <v>17</v>
      </c>
      <c r="E21737" s="33" t="s">
        <v>26</v>
      </c>
      <c r="F21737" s="33" t="s">
        <v>27</v>
      </c>
      <c r="G21737" s="33" t="s">
        <v>140</v>
      </c>
      <c r="H21737" s="35">
        <v>102</v>
      </c>
      <c r="I21737" s="33" t="s">
        <v>51</v>
      </c>
      <c r="J21737" s="42">
        <v>45747</v>
      </c>
      <c r="K21737" s="33" t="s">
        <v>22</v>
      </c>
    </row>
    <row r="21738" spans="1:11">
      <c r="A21738" s="30" t="s">
        <v>48123</v>
      </c>
      <c r="B21738" s="30" t="s">
        <v>48124</v>
      </c>
      <c r="C21738" s="30" t="s">
        <v>647</v>
      </c>
      <c r="D21738" s="30" t="s">
        <v>17</v>
      </c>
      <c r="E21738" s="30" t="s">
        <v>18</v>
      </c>
      <c r="F21738" s="30" t="s">
        <v>19</v>
      </c>
      <c r="G21738" s="30" t="s">
        <v>140</v>
      </c>
      <c r="H21738" s="32">
        <v>904</v>
      </c>
      <c r="I21738" s="30" t="s">
        <v>51</v>
      </c>
      <c r="J21738" s="41">
        <v>45987</v>
      </c>
      <c r="K21738" s="30" t="s">
        <v>22</v>
      </c>
    </row>
    <row r="21739" spans="1:11">
      <c r="A21739" s="33" t="s">
        <v>48125</v>
      </c>
      <c r="B21739" s="33" t="s">
        <v>48126</v>
      </c>
      <c r="C21739" s="33" t="s">
        <v>222</v>
      </c>
      <c r="D21739" s="33" t="s">
        <v>17</v>
      </c>
      <c r="E21739" s="33" t="s">
        <v>26</v>
      </c>
      <c r="F21739" s="33" t="s">
        <v>27</v>
      </c>
      <c r="G21739" s="33" t="s">
        <v>140</v>
      </c>
      <c r="H21739" s="35">
        <v>60</v>
      </c>
      <c r="I21739" s="33" t="s">
        <v>51</v>
      </c>
      <c r="J21739" s="42">
        <v>45994</v>
      </c>
      <c r="K21739" s="33" t="s">
        <v>22</v>
      </c>
    </row>
    <row r="21740" spans="1:11">
      <c r="A21740" s="30" t="s">
        <v>48127</v>
      </c>
      <c r="B21740" s="30" t="s">
        <v>48128</v>
      </c>
      <c r="C21740" s="30" t="s">
        <v>318</v>
      </c>
      <c r="D21740" s="30" t="s">
        <v>17</v>
      </c>
      <c r="E21740" s="30" t="s">
        <v>26</v>
      </c>
      <c r="F21740" s="30" t="s">
        <v>27</v>
      </c>
      <c r="G21740" s="30" t="s">
        <v>20</v>
      </c>
      <c r="H21740" s="32">
        <v>44</v>
      </c>
      <c r="I21740" s="30" t="s">
        <v>21</v>
      </c>
      <c r="J21740" s="41">
        <v>45727</v>
      </c>
      <c r="K21740" s="30" t="s">
        <v>22</v>
      </c>
    </row>
    <row r="21741" spans="1:11">
      <c r="A21741" s="33" t="s">
        <v>48129</v>
      </c>
      <c r="B21741" s="33" t="s">
        <v>48130</v>
      </c>
      <c r="C21741" s="33" t="s">
        <v>647</v>
      </c>
      <c r="D21741" s="33" t="s">
        <v>17</v>
      </c>
      <c r="E21741" s="33" t="s">
        <v>31</v>
      </c>
      <c r="F21741" s="33" t="s">
        <v>32</v>
      </c>
      <c r="G21741" s="33" t="s">
        <v>158</v>
      </c>
      <c r="H21741" s="35">
        <v>150</v>
      </c>
      <c r="I21741" s="33" t="s">
        <v>51</v>
      </c>
      <c r="J21741" s="42">
        <v>45761</v>
      </c>
      <c r="K21741" s="33" t="s">
        <v>22</v>
      </c>
    </row>
    <row r="21742" spans="1:11">
      <c r="A21742" s="30" t="s">
        <v>48131</v>
      </c>
      <c r="B21742" s="30" t="s">
        <v>48132</v>
      </c>
      <c r="C21742" s="30" t="s">
        <v>41095</v>
      </c>
      <c r="D21742" s="30" t="s">
        <v>17</v>
      </c>
      <c r="E21742" s="30" t="s">
        <v>31</v>
      </c>
      <c r="F21742" s="30" t="s">
        <v>32</v>
      </c>
      <c r="G21742" s="30" t="s">
        <v>140</v>
      </c>
      <c r="H21742" s="32">
        <v>80</v>
      </c>
      <c r="I21742" s="30" t="s">
        <v>51</v>
      </c>
      <c r="J21742" s="41">
        <v>45917</v>
      </c>
      <c r="K21742" s="30" t="s">
        <v>22</v>
      </c>
    </row>
    <row r="21743" spans="1:11">
      <c r="A21743" s="33" t="s">
        <v>48133</v>
      </c>
      <c r="B21743" s="33" t="s">
        <v>48134</v>
      </c>
      <c r="C21743" s="33" t="s">
        <v>698</v>
      </c>
      <c r="D21743" s="33" t="s">
        <v>17</v>
      </c>
      <c r="E21743" s="33" t="s">
        <v>67</v>
      </c>
      <c r="F21743" s="33" t="s">
        <v>68</v>
      </c>
      <c r="G21743" s="33" t="s">
        <v>140</v>
      </c>
      <c r="H21743" s="35">
        <v>436</v>
      </c>
      <c r="I21743" s="33" t="s">
        <v>51</v>
      </c>
      <c r="J21743" s="42">
        <v>45758</v>
      </c>
      <c r="K21743" s="33" t="s">
        <v>22</v>
      </c>
    </row>
    <row r="21744" spans="1:11">
      <c r="A21744" s="30" t="s">
        <v>48135</v>
      </c>
      <c r="B21744" s="30" t="s">
        <v>48136</v>
      </c>
      <c r="C21744" s="30" t="s">
        <v>136</v>
      </c>
      <c r="D21744" s="30" t="s">
        <v>17</v>
      </c>
      <c r="E21744" s="30" t="s">
        <v>26</v>
      </c>
      <c r="F21744" s="30" t="s">
        <v>27</v>
      </c>
      <c r="G21744" s="30" t="s">
        <v>20</v>
      </c>
      <c r="H21744" s="32">
        <v>30</v>
      </c>
      <c r="I21744" s="30" t="s">
        <v>21</v>
      </c>
      <c r="J21744" s="41">
        <v>45768</v>
      </c>
      <c r="K21744" s="30" t="s">
        <v>22</v>
      </c>
    </row>
    <row r="21745" spans="1:11">
      <c r="A21745" s="33" t="s">
        <v>48137</v>
      </c>
      <c r="B21745" s="33" t="s">
        <v>48138</v>
      </c>
      <c r="C21745" s="33" t="s">
        <v>48139</v>
      </c>
      <c r="D21745" s="33" t="s">
        <v>17</v>
      </c>
      <c r="E21745" s="33" t="s">
        <v>26</v>
      </c>
      <c r="F21745" s="33" t="s">
        <v>27</v>
      </c>
      <c r="G21745" s="33" t="s">
        <v>140</v>
      </c>
      <c r="H21745" s="35">
        <v>76</v>
      </c>
      <c r="I21745" s="33" t="s">
        <v>51</v>
      </c>
      <c r="J21745" s="42">
        <v>45888</v>
      </c>
      <c r="K21745" s="33" t="s">
        <v>22</v>
      </c>
    </row>
    <row r="21746" spans="1:11">
      <c r="A21746" s="30" t="s">
        <v>48140</v>
      </c>
      <c r="B21746" s="30" t="s">
        <v>48141</v>
      </c>
      <c r="C21746" s="30" t="s">
        <v>37584</v>
      </c>
      <c r="D21746" s="30" t="s">
        <v>17</v>
      </c>
      <c r="E21746" s="30" t="s">
        <v>31</v>
      </c>
      <c r="F21746" s="30" t="s">
        <v>32</v>
      </c>
      <c r="G21746" s="30" t="s">
        <v>20</v>
      </c>
      <c r="H21746" s="32">
        <v>343</v>
      </c>
      <c r="I21746" s="30" t="s">
        <v>21</v>
      </c>
      <c r="J21746" s="41">
        <v>45862</v>
      </c>
      <c r="K21746" s="30" t="s">
        <v>22</v>
      </c>
    </row>
    <row r="21747" spans="1:11">
      <c r="A21747" s="33" t="s">
        <v>48142</v>
      </c>
      <c r="B21747" s="33" t="s">
        <v>48143</v>
      </c>
      <c r="C21747" s="33" t="s">
        <v>124</v>
      </c>
      <c r="D21747" s="33" t="s">
        <v>17</v>
      </c>
      <c r="E21747" s="33" t="s">
        <v>26</v>
      </c>
      <c r="F21747" s="33" t="s">
        <v>27</v>
      </c>
      <c r="G21747" s="33" t="s">
        <v>7780</v>
      </c>
      <c r="H21747" s="35">
        <v>40</v>
      </c>
      <c r="I21747" s="33" t="s">
        <v>51</v>
      </c>
      <c r="J21747" s="42">
        <v>45778</v>
      </c>
      <c r="K21747" s="33" t="s">
        <v>22</v>
      </c>
    </row>
    <row r="21748" spans="1:11">
      <c r="A21748" s="30" t="s">
        <v>48144</v>
      </c>
      <c r="B21748" s="30" t="s">
        <v>48145</v>
      </c>
      <c r="C21748" s="30" t="s">
        <v>14307</v>
      </c>
      <c r="D21748" s="30" t="s">
        <v>17</v>
      </c>
      <c r="E21748" s="30" t="s">
        <v>31</v>
      </c>
      <c r="F21748" s="30" t="s">
        <v>32</v>
      </c>
      <c r="G21748" s="30" t="s">
        <v>20</v>
      </c>
      <c r="H21748" s="32">
        <v>75</v>
      </c>
      <c r="I21748" s="30" t="s">
        <v>21</v>
      </c>
      <c r="J21748" s="41">
        <v>45734</v>
      </c>
      <c r="K21748" s="30" t="s">
        <v>22</v>
      </c>
    </row>
    <row r="21749" spans="1:11">
      <c r="A21749" s="33" t="s">
        <v>48146</v>
      </c>
      <c r="B21749" s="33" t="s">
        <v>48147</v>
      </c>
      <c r="C21749" s="33" t="s">
        <v>102</v>
      </c>
      <c r="D21749" s="33" t="s">
        <v>17</v>
      </c>
      <c r="E21749" s="33" t="s">
        <v>18</v>
      </c>
      <c r="F21749" s="33" t="s">
        <v>19</v>
      </c>
      <c r="G21749" s="33" t="s">
        <v>140</v>
      </c>
      <c r="H21749" s="35">
        <v>750</v>
      </c>
      <c r="I21749" s="33" t="s">
        <v>51</v>
      </c>
      <c r="J21749" s="42">
        <v>45666</v>
      </c>
      <c r="K21749" s="33" t="s">
        <v>22</v>
      </c>
    </row>
    <row r="21750" spans="1:11">
      <c r="A21750" s="30" t="s">
        <v>48148</v>
      </c>
      <c r="B21750" s="30" t="s">
        <v>48149</v>
      </c>
      <c r="C21750" s="30" t="s">
        <v>774</v>
      </c>
      <c r="D21750" s="30" t="s">
        <v>17</v>
      </c>
      <c r="E21750" s="30" t="s">
        <v>31</v>
      </c>
      <c r="F21750" s="30" t="s">
        <v>32</v>
      </c>
      <c r="G21750" s="30" t="s">
        <v>106</v>
      </c>
      <c r="H21750" s="32">
        <v>1</v>
      </c>
      <c r="I21750" s="30" t="s">
        <v>21</v>
      </c>
      <c r="J21750" s="41">
        <v>45863</v>
      </c>
      <c r="K21750" s="30" t="s">
        <v>22</v>
      </c>
    </row>
    <row r="21751" spans="1:11">
      <c r="A21751" s="33" t="s">
        <v>48150</v>
      </c>
      <c r="B21751" s="33" t="s">
        <v>48151</v>
      </c>
      <c r="C21751" s="33" t="s">
        <v>40323</v>
      </c>
      <c r="D21751" s="33" t="s">
        <v>17</v>
      </c>
      <c r="E21751" s="33" t="s">
        <v>26</v>
      </c>
      <c r="F21751" s="33" t="s">
        <v>27</v>
      </c>
      <c r="G21751" s="33" t="s">
        <v>140</v>
      </c>
      <c r="H21751" s="35">
        <v>210</v>
      </c>
      <c r="I21751" s="33" t="s">
        <v>51</v>
      </c>
      <c r="J21751" s="42">
        <v>45982</v>
      </c>
      <c r="K21751" s="33" t="s">
        <v>22</v>
      </c>
    </row>
    <row r="21752" spans="1:11">
      <c r="A21752" s="30" t="s">
        <v>48152</v>
      </c>
      <c r="B21752" s="30" t="s">
        <v>48153</v>
      </c>
      <c r="C21752" s="30" t="s">
        <v>1219</v>
      </c>
      <c r="D21752" s="30" t="s">
        <v>17</v>
      </c>
      <c r="E21752" s="30" t="s">
        <v>67</v>
      </c>
      <c r="F21752" s="30" t="s">
        <v>68</v>
      </c>
      <c r="G21752" s="30" t="s">
        <v>140</v>
      </c>
      <c r="H21752" s="32">
        <v>150</v>
      </c>
      <c r="I21752" s="30" t="s">
        <v>51</v>
      </c>
      <c r="J21752" s="41">
        <v>45888</v>
      </c>
      <c r="K21752" s="30" t="s">
        <v>22</v>
      </c>
    </row>
    <row r="21753" spans="1:11">
      <c r="A21753" s="33" t="s">
        <v>48154</v>
      </c>
      <c r="B21753" s="33" t="s">
        <v>48155</v>
      </c>
      <c r="C21753" s="33" t="s">
        <v>136</v>
      </c>
      <c r="D21753" s="33" t="s">
        <v>17</v>
      </c>
      <c r="E21753" s="33" t="s">
        <v>26</v>
      </c>
      <c r="F21753" s="33" t="s">
        <v>27</v>
      </c>
      <c r="G21753" s="33" t="s">
        <v>20</v>
      </c>
      <c r="H21753" s="35">
        <v>144</v>
      </c>
      <c r="I21753" s="33" t="s">
        <v>21</v>
      </c>
      <c r="J21753" s="42">
        <v>45778</v>
      </c>
      <c r="K21753" s="33" t="s">
        <v>22</v>
      </c>
    </row>
    <row r="21754" spans="1:11">
      <c r="A21754" s="30" t="s">
        <v>48156</v>
      </c>
      <c r="B21754" s="30" t="s">
        <v>48157</v>
      </c>
      <c r="C21754" s="30" t="s">
        <v>18511</v>
      </c>
      <c r="D21754" s="30" t="s">
        <v>17</v>
      </c>
      <c r="E21754" s="30" t="s">
        <v>330</v>
      </c>
      <c r="F21754" s="30" t="s">
        <v>331</v>
      </c>
      <c r="G21754" s="30" t="s">
        <v>140</v>
      </c>
      <c r="H21754" s="32">
        <v>12</v>
      </c>
      <c r="I21754" s="30" t="s">
        <v>51</v>
      </c>
      <c r="J21754" s="41">
        <v>45962</v>
      </c>
      <c r="K21754" s="30" t="s">
        <v>22</v>
      </c>
    </row>
    <row r="21755" spans="1:11">
      <c r="A21755" s="33" t="s">
        <v>48158</v>
      </c>
      <c r="B21755" s="33" t="s">
        <v>48159</v>
      </c>
      <c r="C21755" s="33" t="s">
        <v>318</v>
      </c>
      <c r="D21755" s="33" t="s">
        <v>17</v>
      </c>
      <c r="E21755" s="33" t="s">
        <v>212</v>
      </c>
      <c r="F21755" s="33" t="s">
        <v>213</v>
      </c>
      <c r="G21755" s="33" t="s">
        <v>158</v>
      </c>
      <c r="H21755" s="35">
        <v>102</v>
      </c>
      <c r="I21755" s="33" t="s">
        <v>21</v>
      </c>
      <c r="J21755" s="42">
        <v>45801</v>
      </c>
      <c r="K21755" s="33" t="s">
        <v>22</v>
      </c>
    </row>
    <row r="21756" spans="1:11">
      <c r="A21756" s="30" t="s">
        <v>48160</v>
      </c>
      <c r="B21756" s="30" t="s">
        <v>48161</v>
      </c>
      <c r="C21756" s="30" t="s">
        <v>13241</v>
      </c>
      <c r="D21756" s="30" t="s">
        <v>17</v>
      </c>
      <c r="E21756" s="30" t="s">
        <v>31</v>
      </c>
      <c r="F21756" s="30" t="s">
        <v>32</v>
      </c>
      <c r="G21756" s="30" t="s">
        <v>140</v>
      </c>
      <c r="H21756" s="32">
        <v>400</v>
      </c>
      <c r="I21756" s="30" t="s">
        <v>51</v>
      </c>
      <c r="J21756" s="41">
        <v>45744</v>
      </c>
      <c r="K21756" s="30" t="s">
        <v>22</v>
      </c>
    </row>
    <row r="21757" spans="1:11">
      <c r="A21757" s="33" t="s">
        <v>48162</v>
      </c>
      <c r="B21757" s="33" t="s">
        <v>48163</v>
      </c>
      <c r="C21757" s="33" t="s">
        <v>16867</v>
      </c>
      <c r="D21757" s="33" t="s">
        <v>17</v>
      </c>
      <c r="E21757" s="33" t="s">
        <v>18</v>
      </c>
      <c r="F21757" s="33" t="s">
        <v>19</v>
      </c>
      <c r="G21757" s="33" t="s">
        <v>140</v>
      </c>
      <c r="H21757" s="35">
        <v>400</v>
      </c>
      <c r="I21757" s="33" t="s">
        <v>51</v>
      </c>
      <c r="J21757" s="42">
        <v>45846</v>
      </c>
      <c r="K21757" s="33" t="s">
        <v>22</v>
      </c>
    </row>
    <row r="21758" spans="1:11">
      <c r="A21758" s="30" t="s">
        <v>48164</v>
      </c>
      <c r="B21758" s="30" t="s">
        <v>48165</v>
      </c>
      <c r="C21758" s="30" t="s">
        <v>4348</v>
      </c>
      <c r="D21758" s="30" t="s">
        <v>17</v>
      </c>
      <c r="E21758" s="30" t="s">
        <v>26</v>
      </c>
      <c r="F21758" s="30" t="s">
        <v>27</v>
      </c>
      <c r="G21758" s="30" t="s">
        <v>140</v>
      </c>
      <c r="H21758" s="32">
        <v>31</v>
      </c>
      <c r="I21758" s="30" t="s">
        <v>51</v>
      </c>
      <c r="J21758" s="41">
        <v>45868</v>
      </c>
      <c r="K21758" s="30" t="s">
        <v>22</v>
      </c>
    </row>
    <row r="21759" spans="1:11">
      <c r="A21759" s="33" t="s">
        <v>48166</v>
      </c>
      <c r="B21759" s="33" t="s">
        <v>48167</v>
      </c>
      <c r="C21759" s="33" t="s">
        <v>4315</v>
      </c>
      <c r="D21759" s="33" t="s">
        <v>17</v>
      </c>
      <c r="E21759" s="33" t="s">
        <v>18</v>
      </c>
      <c r="F21759" s="33" t="s">
        <v>19</v>
      </c>
      <c r="G21759" s="33" t="s">
        <v>140</v>
      </c>
      <c r="H21759" s="35">
        <v>416</v>
      </c>
      <c r="I21759" s="33" t="s">
        <v>51</v>
      </c>
      <c r="J21759" s="42">
        <v>45663</v>
      </c>
      <c r="K21759" s="33" t="s">
        <v>22</v>
      </c>
    </row>
    <row r="21760" spans="1:11">
      <c r="A21760" s="30" t="s">
        <v>48168</v>
      </c>
      <c r="B21760" s="30" t="s">
        <v>48169</v>
      </c>
      <c r="C21760" s="30" t="s">
        <v>570</v>
      </c>
      <c r="D21760" s="30" t="s">
        <v>17</v>
      </c>
      <c r="E21760" s="30" t="s">
        <v>26</v>
      </c>
      <c r="F21760" s="30" t="s">
        <v>27</v>
      </c>
      <c r="G21760" s="30" t="s">
        <v>7780</v>
      </c>
      <c r="H21760" s="32">
        <v>256</v>
      </c>
      <c r="I21760" s="30" t="s">
        <v>51</v>
      </c>
      <c r="J21760" s="41">
        <v>45778</v>
      </c>
      <c r="K21760" s="30" t="s">
        <v>22</v>
      </c>
    </row>
    <row r="21761" spans="1:11">
      <c r="A21761" s="33" t="s">
        <v>48170</v>
      </c>
      <c r="B21761" s="33" t="s">
        <v>48171</v>
      </c>
      <c r="C21761" s="33" t="s">
        <v>1024</v>
      </c>
      <c r="D21761" s="33" t="s">
        <v>17</v>
      </c>
      <c r="E21761" s="33" t="s">
        <v>31</v>
      </c>
      <c r="F21761" s="33" t="s">
        <v>32</v>
      </c>
      <c r="G21761" s="33" t="s">
        <v>158</v>
      </c>
      <c r="H21761" s="35">
        <v>221</v>
      </c>
      <c r="I21761" s="33" t="s">
        <v>21</v>
      </c>
      <c r="J21761" s="42">
        <v>45769</v>
      </c>
      <c r="K21761" s="33" t="s">
        <v>22</v>
      </c>
    </row>
    <row r="21762" spans="1:11">
      <c r="A21762" s="30" t="s">
        <v>48172</v>
      </c>
      <c r="B21762" s="30" t="s">
        <v>48173</v>
      </c>
      <c r="C21762" s="30" t="s">
        <v>6422</v>
      </c>
      <c r="D21762" s="30" t="s">
        <v>17</v>
      </c>
      <c r="E21762" s="30" t="s">
        <v>31</v>
      </c>
      <c r="F21762" s="30" t="s">
        <v>32</v>
      </c>
      <c r="G21762" s="30" t="s">
        <v>20</v>
      </c>
      <c r="H21762" s="32">
        <v>85</v>
      </c>
      <c r="I21762" s="30" t="s">
        <v>21</v>
      </c>
      <c r="J21762" s="41">
        <v>45664</v>
      </c>
      <c r="K21762" s="30" t="s">
        <v>22</v>
      </c>
    </row>
    <row r="21763" spans="1:11">
      <c r="A21763" s="33" t="s">
        <v>48174</v>
      </c>
      <c r="B21763" s="33" t="s">
        <v>48175</v>
      </c>
      <c r="C21763" s="33" t="s">
        <v>48176</v>
      </c>
      <c r="D21763" s="33" t="s">
        <v>17</v>
      </c>
      <c r="E21763" s="33" t="s">
        <v>26</v>
      </c>
      <c r="F21763" s="33" t="s">
        <v>27</v>
      </c>
      <c r="G21763" s="33" t="s">
        <v>140</v>
      </c>
      <c r="H21763" s="35">
        <v>70</v>
      </c>
      <c r="I21763" s="33" t="s">
        <v>51</v>
      </c>
      <c r="J21763" s="42">
        <v>45727</v>
      </c>
      <c r="K21763" s="33" t="s">
        <v>22</v>
      </c>
    </row>
    <row r="21764" spans="1:11">
      <c r="A21764" s="30" t="s">
        <v>48177</v>
      </c>
      <c r="B21764" s="30" t="s">
        <v>48178</v>
      </c>
      <c r="C21764" s="30" t="s">
        <v>93</v>
      </c>
      <c r="D21764" s="30" t="s">
        <v>17</v>
      </c>
      <c r="E21764" s="30" t="s">
        <v>26</v>
      </c>
      <c r="F21764" s="30" t="s">
        <v>27</v>
      </c>
      <c r="G21764" s="30" t="s">
        <v>20</v>
      </c>
      <c r="H21764" s="32">
        <v>83</v>
      </c>
      <c r="I21764" s="30" t="s">
        <v>21</v>
      </c>
      <c r="J21764" s="41">
        <v>45742</v>
      </c>
      <c r="K21764" s="30" t="s">
        <v>22</v>
      </c>
    </row>
    <row r="21765" spans="1:11">
      <c r="A21765" s="33" t="s">
        <v>48179</v>
      </c>
      <c r="B21765" s="33" t="s">
        <v>48180</v>
      </c>
      <c r="C21765" s="33" t="s">
        <v>178</v>
      </c>
      <c r="D21765" s="33" t="s">
        <v>17</v>
      </c>
      <c r="E21765" s="33" t="s">
        <v>26</v>
      </c>
      <c r="F21765" s="33" t="s">
        <v>27</v>
      </c>
      <c r="G21765" s="33" t="s">
        <v>140</v>
      </c>
      <c r="H21765" s="35">
        <v>40</v>
      </c>
      <c r="I21765" s="33" t="s">
        <v>51</v>
      </c>
      <c r="J21765" s="42">
        <v>45812</v>
      </c>
      <c r="K21765" s="33" t="s">
        <v>22</v>
      </c>
    </row>
    <row r="21766" spans="1:11">
      <c r="A21766" s="30" t="s">
        <v>48181</v>
      </c>
      <c r="B21766" s="30" t="s">
        <v>48182</v>
      </c>
      <c r="C21766" s="30" t="s">
        <v>1683</v>
      </c>
      <c r="D21766" s="30" t="s">
        <v>17</v>
      </c>
      <c r="E21766" s="30" t="s">
        <v>18</v>
      </c>
      <c r="F21766" s="30" t="s">
        <v>19</v>
      </c>
      <c r="G21766" s="30" t="s">
        <v>112</v>
      </c>
      <c r="H21766" s="32">
        <v>0</v>
      </c>
      <c r="I21766" s="30" t="s">
        <v>21</v>
      </c>
      <c r="J21766" s="41">
        <v>45838</v>
      </c>
      <c r="K21766" s="30" t="s">
        <v>22</v>
      </c>
    </row>
    <row r="21767" spans="1:11">
      <c r="A21767" s="33" t="s">
        <v>48183</v>
      </c>
      <c r="B21767" s="33" t="s">
        <v>48184</v>
      </c>
      <c r="C21767" s="33" t="s">
        <v>102</v>
      </c>
      <c r="D21767" s="33" t="s">
        <v>17</v>
      </c>
      <c r="E21767" s="33" t="s">
        <v>45</v>
      </c>
      <c r="F21767" s="33" t="s">
        <v>46</v>
      </c>
      <c r="G21767" s="33" t="s">
        <v>140</v>
      </c>
      <c r="H21767" s="35">
        <v>1092</v>
      </c>
      <c r="I21767" s="33" t="s">
        <v>51</v>
      </c>
      <c r="J21767" s="42">
        <v>45933</v>
      </c>
      <c r="K21767" s="33" t="s">
        <v>22</v>
      </c>
    </row>
    <row r="21768" spans="1:11">
      <c r="A21768" s="30" t="s">
        <v>48185</v>
      </c>
      <c r="B21768" s="30" t="s">
        <v>48186</v>
      </c>
      <c r="C21768" s="30" t="s">
        <v>25268</v>
      </c>
      <c r="D21768" s="30" t="s">
        <v>17</v>
      </c>
      <c r="E21768" s="30" t="s">
        <v>330</v>
      </c>
      <c r="F21768" s="30" t="s">
        <v>331</v>
      </c>
      <c r="G21768" s="30" t="s">
        <v>140</v>
      </c>
      <c r="H21768" s="32">
        <v>30</v>
      </c>
      <c r="I21768" s="30" t="s">
        <v>51</v>
      </c>
      <c r="J21768" s="41">
        <v>46007</v>
      </c>
      <c r="K21768" s="30" t="s">
        <v>22</v>
      </c>
    </row>
    <row r="21769" spans="1:11">
      <c r="A21769" s="33" t="s">
        <v>48187</v>
      </c>
      <c r="B21769" s="33" t="s">
        <v>48188</v>
      </c>
      <c r="C21769" s="33" t="s">
        <v>21232</v>
      </c>
      <c r="D21769" s="33" t="s">
        <v>17</v>
      </c>
      <c r="E21769" s="33" t="s">
        <v>18</v>
      </c>
      <c r="F21769" s="33" t="s">
        <v>19</v>
      </c>
      <c r="G21769" s="33" t="s">
        <v>2613</v>
      </c>
      <c r="H21769" s="35">
        <v>835</v>
      </c>
      <c r="I21769" s="33" t="s">
        <v>51</v>
      </c>
      <c r="J21769" s="42">
        <v>45835</v>
      </c>
      <c r="K21769" s="33" t="s">
        <v>22</v>
      </c>
    </row>
    <row r="21770" spans="1:11">
      <c r="A21770" s="30" t="s">
        <v>48189</v>
      </c>
      <c r="B21770" s="30" t="s">
        <v>48190</v>
      </c>
      <c r="C21770" s="30" t="s">
        <v>4453</v>
      </c>
      <c r="D21770" s="30" t="s">
        <v>17</v>
      </c>
      <c r="E21770" s="30" t="s">
        <v>31</v>
      </c>
      <c r="F21770" s="30" t="s">
        <v>32</v>
      </c>
      <c r="G21770" s="30" t="s">
        <v>158</v>
      </c>
      <c r="H21770" s="32">
        <v>160</v>
      </c>
      <c r="I21770" s="30" t="s">
        <v>21</v>
      </c>
      <c r="J21770" s="41">
        <v>45877</v>
      </c>
      <c r="K21770" s="30" t="s">
        <v>22</v>
      </c>
    </row>
    <row r="21771" spans="1:11">
      <c r="A21771" s="33" t="s">
        <v>48191</v>
      </c>
      <c r="B21771" s="33" t="s">
        <v>48192</v>
      </c>
      <c r="C21771" s="33" t="s">
        <v>329</v>
      </c>
      <c r="D21771" s="33" t="s">
        <v>17</v>
      </c>
      <c r="E21771" s="33" t="s">
        <v>26</v>
      </c>
      <c r="F21771" s="33" t="s">
        <v>27</v>
      </c>
      <c r="G21771" s="33" t="s">
        <v>158</v>
      </c>
      <c r="H21771" s="35">
        <v>36</v>
      </c>
      <c r="I21771" s="33" t="s">
        <v>21</v>
      </c>
      <c r="J21771" s="42">
        <v>45974</v>
      </c>
      <c r="K21771" s="33" t="s">
        <v>22</v>
      </c>
    </row>
    <row r="21772" spans="1:11">
      <c r="A21772" s="30" t="s">
        <v>48193</v>
      </c>
      <c r="B21772" s="30" t="s">
        <v>48194</v>
      </c>
      <c r="C21772" s="30" t="s">
        <v>102</v>
      </c>
      <c r="D21772" s="30" t="s">
        <v>17</v>
      </c>
      <c r="E21772" s="30" t="s">
        <v>31</v>
      </c>
      <c r="F21772" s="30" t="s">
        <v>32</v>
      </c>
      <c r="G21772" s="30" t="s">
        <v>106</v>
      </c>
      <c r="H21772" s="32">
        <v>256</v>
      </c>
      <c r="I21772" s="30" t="s">
        <v>21</v>
      </c>
      <c r="J21772" s="41">
        <v>45714</v>
      </c>
      <c r="K21772" s="30" t="s">
        <v>22</v>
      </c>
    </row>
    <row r="21773" spans="1:11">
      <c r="A21773" s="33" t="s">
        <v>48195</v>
      </c>
      <c r="B21773" s="33" t="s">
        <v>48196</v>
      </c>
      <c r="C21773" s="33" t="s">
        <v>60</v>
      </c>
      <c r="D21773" s="33" t="s">
        <v>17</v>
      </c>
      <c r="E21773" s="33" t="s">
        <v>31</v>
      </c>
      <c r="F21773" s="33" t="s">
        <v>32</v>
      </c>
      <c r="G21773" s="33" t="s">
        <v>140</v>
      </c>
      <c r="H21773" s="35">
        <v>24</v>
      </c>
      <c r="I21773" s="33" t="s">
        <v>51</v>
      </c>
      <c r="J21773" s="42">
        <v>45980</v>
      </c>
      <c r="K21773" s="33" t="s">
        <v>22</v>
      </c>
    </row>
    <row r="21774" spans="1:11">
      <c r="A21774" s="30" t="s">
        <v>48197</v>
      </c>
      <c r="B21774" s="30" t="s">
        <v>48198</v>
      </c>
      <c r="C21774" s="30" t="s">
        <v>48199</v>
      </c>
      <c r="D21774" s="30" t="s">
        <v>17</v>
      </c>
      <c r="E21774" s="30" t="s">
        <v>26</v>
      </c>
      <c r="F21774" s="30" t="s">
        <v>27</v>
      </c>
      <c r="G21774" s="30" t="s">
        <v>140</v>
      </c>
      <c r="H21774" s="32">
        <v>56</v>
      </c>
      <c r="I21774" s="30" t="s">
        <v>51</v>
      </c>
      <c r="J21774" s="41">
        <v>45985</v>
      </c>
      <c r="K21774" s="30" t="s">
        <v>22</v>
      </c>
    </row>
    <row r="21775" spans="1:11">
      <c r="A21775" s="33" t="s">
        <v>48200</v>
      </c>
      <c r="B21775" s="33" t="s">
        <v>48201</v>
      </c>
      <c r="C21775" s="33" t="s">
        <v>190</v>
      </c>
      <c r="D21775" s="33" t="s">
        <v>17</v>
      </c>
      <c r="E21775" s="33" t="s">
        <v>26</v>
      </c>
      <c r="F21775" s="33" t="s">
        <v>27</v>
      </c>
      <c r="G21775" s="33" t="s">
        <v>140</v>
      </c>
      <c r="H21775" s="35">
        <v>21</v>
      </c>
      <c r="I21775" s="33" t="s">
        <v>51</v>
      </c>
      <c r="J21775" s="42">
        <v>45972</v>
      </c>
      <c r="K21775" s="33" t="s">
        <v>22</v>
      </c>
    </row>
    <row r="21776" spans="1:11">
      <c r="A21776" s="30" t="s">
        <v>48202</v>
      </c>
      <c r="B21776" s="30" t="s">
        <v>48203</v>
      </c>
      <c r="C21776" s="30" t="s">
        <v>3622</v>
      </c>
      <c r="D21776" s="30" t="s">
        <v>17</v>
      </c>
      <c r="E21776" s="30" t="s">
        <v>31</v>
      </c>
      <c r="F21776" s="30" t="s">
        <v>32</v>
      </c>
      <c r="G21776" s="30" t="s">
        <v>140</v>
      </c>
      <c r="H21776" s="32">
        <v>210</v>
      </c>
      <c r="I21776" s="30" t="s">
        <v>51</v>
      </c>
      <c r="J21776" s="41">
        <v>45747</v>
      </c>
      <c r="K21776" s="30" t="s">
        <v>22</v>
      </c>
    </row>
    <row r="21777" spans="1:11">
      <c r="A21777" s="33" t="s">
        <v>48204</v>
      </c>
      <c r="B21777" s="33" t="s">
        <v>48205</v>
      </c>
      <c r="C21777" s="33" t="s">
        <v>136</v>
      </c>
      <c r="D21777" s="33" t="s">
        <v>17</v>
      </c>
      <c r="E21777" s="33" t="s">
        <v>26</v>
      </c>
      <c r="F21777" s="33" t="s">
        <v>27</v>
      </c>
      <c r="G21777" s="33" t="s">
        <v>140</v>
      </c>
      <c r="H21777" s="35">
        <v>144</v>
      </c>
      <c r="I21777" s="33" t="s">
        <v>51</v>
      </c>
      <c r="J21777" s="42">
        <v>45897</v>
      </c>
      <c r="K21777" s="33" t="s">
        <v>22</v>
      </c>
    </row>
    <row r="21778" spans="1:11">
      <c r="A21778" s="30" t="s">
        <v>48206</v>
      </c>
      <c r="B21778" s="30" t="s">
        <v>48207</v>
      </c>
      <c r="C21778" s="30" t="s">
        <v>48208</v>
      </c>
      <c r="D21778" s="30" t="s">
        <v>17</v>
      </c>
      <c r="E21778" s="30" t="s">
        <v>26</v>
      </c>
      <c r="F21778" s="30" t="s">
        <v>27</v>
      </c>
      <c r="G21778" s="30" t="s">
        <v>20</v>
      </c>
      <c r="H21778" s="32">
        <v>72</v>
      </c>
      <c r="I21778" s="30" t="s">
        <v>21</v>
      </c>
      <c r="J21778" s="41">
        <v>45679</v>
      </c>
      <c r="K21778" s="30" t="s">
        <v>22</v>
      </c>
    </row>
    <row r="21779" spans="1:11">
      <c r="A21779" s="33" t="s">
        <v>48209</v>
      </c>
      <c r="B21779" s="33" t="s">
        <v>48210</v>
      </c>
      <c r="C21779" s="33" t="s">
        <v>535</v>
      </c>
      <c r="D21779" s="33" t="s">
        <v>17</v>
      </c>
      <c r="E21779" s="33" t="s">
        <v>31</v>
      </c>
      <c r="F21779" s="33" t="s">
        <v>32</v>
      </c>
      <c r="G21779" s="33" t="s">
        <v>140</v>
      </c>
      <c r="H21779" s="35">
        <v>192</v>
      </c>
      <c r="I21779" s="33" t="s">
        <v>51</v>
      </c>
      <c r="J21779" s="42">
        <v>46002</v>
      </c>
      <c r="K21779" s="33" t="s">
        <v>22</v>
      </c>
    </row>
    <row r="21780" spans="1:11">
      <c r="A21780" s="30" t="s">
        <v>48211</v>
      </c>
      <c r="B21780" s="30" t="s">
        <v>48212</v>
      </c>
      <c r="C21780" s="30" t="s">
        <v>1498</v>
      </c>
      <c r="D21780" s="30" t="s">
        <v>17</v>
      </c>
      <c r="E21780" s="30" t="s">
        <v>18</v>
      </c>
      <c r="F21780" s="30" t="s">
        <v>19</v>
      </c>
      <c r="G21780" s="30" t="s">
        <v>20</v>
      </c>
      <c r="H21780" s="32">
        <v>192</v>
      </c>
      <c r="I21780" s="30" t="s">
        <v>21</v>
      </c>
      <c r="J21780" s="41">
        <v>45660</v>
      </c>
      <c r="K21780" s="30" t="s">
        <v>22</v>
      </c>
    </row>
    <row r="21781" spans="1:11">
      <c r="A21781" s="33" t="s">
        <v>48213</v>
      </c>
      <c r="B21781" s="33" t="s">
        <v>48214</v>
      </c>
      <c r="C21781" s="33" t="s">
        <v>43457</v>
      </c>
      <c r="D21781" s="33" t="s">
        <v>17</v>
      </c>
      <c r="E21781" s="33" t="s">
        <v>18</v>
      </c>
      <c r="F21781" s="33" t="s">
        <v>19</v>
      </c>
      <c r="G21781" s="33" t="s">
        <v>140</v>
      </c>
      <c r="H21781" s="35">
        <v>80</v>
      </c>
      <c r="I21781" s="33" t="s">
        <v>51</v>
      </c>
      <c r="J21781" s="42">
        <v>45952</v>
      </c>
      <c r="K21781" s="33" t="s">
        <v>22</v>
      </c>
    </row>
    <row r="21782" spans="1:11">
      <c r="A21782" s="30" t="s">
        <v>48215</v>
      </c>
      <c r="B21782" s="30" t="s">
        <v>48216</v>
      </c>
      <c r="C21782" s="30" t="s">
        <v>13033</v>
      </c>
      <c r="D21782" s="30" t="s">
        <v>17</v>
      </c>
      <c r="E21782" s="30" t="s">
        <v>212</v>
      </c>
      <c r="F21782" s="30" t="s">
        <v>213</v>
      </c>
      <c r="G21782" s="30" t="s">
        <v>7780</v>
      </c>
      <c r="H21782" s="32">
        <v>9588</v>
      </c>
      <c r="I21782" s="30" t="s">
        <v>51</v>
      </c>
      <c r="J21782" s="41">
        <v>45901</v>
      </c>
      <c r="K21782" s="30" t="s">
        <v>22</v>
      </c>
    </row>
    <row r="21783" spans="1:11">
      <c r="A21783" s="33" t="s">
        <v>48217</v>
      </c>
      <c r="B21783" s="33" t="s">
        <v>48218</v>
      </c>
      <c r="C21783" s="33" t="s">
        <v>109</v>
      </c>
      <c r="D21783" s="33" t="s">
        <v>17</v>
      </c>
      <c r="E21783" s="33" t="s">
        <v>31</v>
      </c>
      <c r="F21783" s="33" t="s">
        <v>32</v>
      </c>
      <c r="G21783" s="33" t="s">
        <v>158</v>
      </c>
      <c r="H21783" s="35">
        <v>7</v>
      </c>
      <c r="I21783" s="33" t="s">
        <v>21</v>
      </c>
      <c r="J21783" s="42">
        <v>45911</v>
      </c>
      <c r="K21783" s="33" t="s">
        <v>22</v>
      </c>
    </row>
    <row r="21784" spans="1:11">
      <c r="A21784" s="30" t="s">
        <v>48219</v>
      </c>
      <c r="B21784" s="30" t="s">
        <v>48220</v>
      </c>
      <c r="C21784" s="30" t="s">
        <v>29352</v>
      </c>
      <c r="D21784" s="30" t="s">
        <v>17</v>
      </c>
      <c r="E21784" s="30" t="s">
        <v>18</v>
      </c>
      <c r="F21784" s="30" t="s">
        <v>19</v>
      </c>
      <c r="G21784" s="30" t="s">
        <v>140</v>
      </c>
      <c r="H21784" s="32">
        <v>406</v>
      </c>
      <c r="I21784" s="30" t="s">
        <v>51</v>
      </c>
      <c r="J21784" s="41">
        <v>45952</v>
      </c>
      <c r="K21784" s="30" t="s">
        <v>22</v>
      </c>
    </row>
    <row r="21785" spans="1:11">
      <c r="A21785" s="33" t="s">
        <v>48221</v>
      </c>
      <c r="B21785" s="33" t="s">
        <v>48222</v>
      </c>
      <c r="C21785" s="33" t="s">
        <v>157</v>
      </c>
      <c r="D21785" s="33" t="s">
        <v>17</v>
      </c>
      <c r="E21785" s="33" t="s">
        <v>31</v>
      </c>
      <c r="F21785" s="33" t="s">
        <v>32</v>
      </c>
      <c r="G21785" s="33" t="s">
        <v>140</v>
      </c>
      <c r="H21785" s="35">
        <v>88</v>
      </c>
      <c r="I21785" s="33" t="s">
        <v>51</v>
      </c>
      <c r="J21785" s="42">
        <v>45783</v>
      </c>
      <c r="K21785" s="33" t="s">
        <v>22</v>
      </c>
    </row>
    <row r="21786" spans="1:11">
      <c r="A21786" s="30" t="s">
        <v>48223</v>
      </c>
      <c r="B21786" s="30" t="s">
        <v>48224</v>
      </c>
      <c r="C21786" s="30" t="s">
        <v>48225</v>
      </c>
      <c r="D21786" s="30" t="s">
        <v>17</v>
      </c>
      <c r="E21786" s="30" t="s">
        <v>67</v>
      </c>
      <c r="F21786" s="30" t="s">
        <v>68</v>
      </c>
      <c r="G21786" s="30" t="s">
        <v>140</v>
      </c>
      <c r="H21786" s="32">
        <v>120</v>
      </c>
      <c r="I21786" s="30" t="s">
        <v>51</v>
      </c>
      <c r="J21786" s="41">
        <v>45695</v>
      </c>
      <c r="K21786" s="30" t="s">
        <v>22</v>
      </c>
    </row>
    <row r="21787" spans="1:11">
      <c r="A21787" s="33" t="s">
        <v>48226</v>
      </c>
      <c r="B21787" s="33" t="s">
        <v>48227</v>
      </c>
      <c r="C21787" s="33" t="s">
        <v>178</v>
      </c>
      <c r="D21787" s="33" t="s">
        <v>17</v>
      </c>
      <c r="E21787" s="33" t="s">
        <v>212</v>
      </c>
      <c r="F21787" s="33" t="s">
        <v>213</v>
      </c>
      <c r="G21787" s="33" t="s">
        <v>158</v>
      </c>
      <c r="H21787" s="35">
        <v>378</v>
      </c>
      <c r="I21787" s="33" t="s">
        <v>21</v>
      </c>
      <c r="J21787" s="42">
        <v>45847</v>
      </c>
      <c r="K21787" s="33" t="s">
        <v>22</v>
      </c>
    </row>
    <row r="21788" spans="1:11">
      <c r="A21788" s="30" t="s">
        <v>48228</v>
      </c>
      <c r="B21788" s="30" t="s">
        <v>48229</v>
      </c>
      <c r="C21788" s="30" t="s">
        <v>4315</v>
      </c>
      <c r="D21788" s="30" t="s">
        <v>17</v>
      </c>
      <c r="E21788" s="30" t="s">
        <v>26</v>
      </c>
      <c r="F21788" s="30" t="s">
        <v>27</v>
      </c>
      <c r="G21788" s="30" t="s">
        <v>7780</v>
      </c>
      <c r="H21788" s="32">
        <v>90</v>
      </c>
      <c r="I21788" s="30" t="s">
        <v>51</v>
      </c>
      <c r="J21788" s="41">
        <v>45813</v>
      </c>
      <c r="K21788" s="30" t="s">
        <v>22</v>
      </c>
    </row>
    <row r="21789" spans="1:11">
      <c r="A21789" s="33" t="s">
        <v>48230</v>
      </c>
      <c r="B21789" s="33" t="s">
        <v>48231</v>
      </c>
      <c r="C21789" s="33" t="s">
        <v>2334</v>
      </c>
      <c r="D21789" s="33" t="s">
        <v>17</v>
      </c>
      <c r="E21789" s="33" t="s">
        <v>45</v>
      </c>
      <c r="F21789" s="33" t="s">
        <v>46</v>
      </c>
      <c r="G21789" s="33" t="s">
        <v>2613</v>
      </c>
      <c r="H21789" s="35">
        <v>24</v>
      </c>
      <c r="I21789" s="33" t="s">
        <v>51</v>
      </c>
      <c r="J21789" s="42">
        <v>45769</v>
      </c>
      <c r="K21789" s="33" t="s">
        <v>22</v>
      </c>
    </row>
    <row r="21790" spans="1:11">
      <c r="A21790" s="30" t="s">
        <v>48232</v>
      </c>
      <c r="B21790" s="30" t="s">
        <v>48233</v>
      </c>
      <c r="C21790" s="30" t="s">
        <v>2812</v>
      </c>
      <c r="D21790" s="30" t="s">
        <v>17</v>
      </c>
      <c r="E21790" s="30" t="s">
        <v>18</v>
      </c>
      <c r="F21790" s="30" t="s">
        <v>19</v>
      </c>
      <c r="G21790" s="30" t="s">
        <v>2613</v>
      </c>
      <c r="H21790" s="32">
        <v>300</v>
      </c>
      <c r="I21790" s="30" t="s">
        <v>51</v>
      </c>
      <c r="J21790" s="41">
        <v>45708</v>
      </c>
      <c r="K21790" s="30" t="s">
        <v>22</v>
      </c>
    </row>
    <row r="21791" spans="1:11">
      <c r="A21791" s="33" t="s">
        <v>48234</v>
      </c>
      <c r="B21791" s="33" t="s">
        <v>48235</v>
      </c>
      <c r="C21791" s="33" t="s">
        <v>23333</v>
      </c>
      <c r="D21791" s="33" t="s">
        <v>17</v>
      </c>
      <c r="E21791" s="33" t="s">
        <v>18</v>
      </c>
      <c r="F21791" s="33" t="s">
        <v>19</v>
      </c>
      <c r="G21791" s="33" t="s">
        <v>140</v>
      </c>
      <c r="H21791" s="35">
        <v>150</v>
      </c>
      <c r="I21791" s="33" t="s">
        <v>51</v>
      </c>
      <c r="J21791" s="42">
        <v>45875</v>
      </c>
      <c r="K21791" s="33" t="s">
        <v>22</v>
      </c>
    </row>
    <row r="21792" spans="1:11">
      <c r="A21792" s="30" t="s">
        <v>48236</v>
      </c>
      <c r="B21792" s="30" t="s">
        <v>48237</v>
      </c>
      <c r="C21792" s="30" t="s">
        <v>48238</v>
      </c>
      <c r="D21792" s="30" t="s">
        <v>17</v>
      </c>
      <c r="E21792" s="30" t="s">
        <v>26</v>
      </c>
      <c r="F21792" s="30" t="s">
        <v>27</v>
      </c>
      <c r="G21792" s="30" t="s">
        <v>140</v>
      </c>
      <c r="H21792" s="32">
        <v>15</v>
      </c>
      <c r="I21792" s="30" t="s">
        <v>51</v>
      </c>
      <c r="J21792" s="41">
        <v>45883</v>
      </c>
      <c r="K21792" s="30" t="s">
        <v>22</v>
      </c>
    </row>
    <row r="21793" spans="1:11">
      <c r="A21793" s="33" t="s">
        <v>48239</v>
      </c>
      <c r="B21793" s="33" t="s">
        <v>48240</v>
      </c>
      <c r="C21793" s="33" t="s">
        <v>93</v>
      </c>
      <c r="D21793" s="33" t="s">
        <v>17</v>
      </c>
      <c r="E21793" s="33" t="s">
        <v>26</v>
      </c>
      <c r="F21793" s="33" t="s">
        <v>27</v>
      </c>
      <c r="G21793" s="33" t="s">
        <v>140</v>
      </c>
      <c r="H21793" s="35">
        <v>36</v>
      </c>
      <c r="I21793" s="33" t="s">
        <v>51</v>
      </c>
      <c r="J21793" s="42">
        <v>45895</v>
      </c>
      <c r="K21793" s="33" t="s">
        <v>22</v>
      </c>
    </row>
    <row r="21794" spans="1:11">
      <c r="A21794" s="30" t="s">
        <v>48241</v>
      </c>
      <c r="B21794" s="30" t="s">
        <v>48242</v>
      </c>
      <c r="C21794" s="30" t="s">
        <v>1003</v>
      </c>
      <c r="D21794" s="30" t="s">
        <v>17</v>
      </c>
      <c r="E21794" s="30" t="s">
        <v>67</v>
      </c>
      <c r="F21794" s="30" t="s">
        <v>68</v>
      </c>
      <c r="G21794" s="30" t="s">
        <v>140</v>
      </c>
      <c r="H21794" s="32">
        <v>350</v>
      </c>
      <c r="I21794" s="30" t="s">
        <v>51</v>
      </c>
      <c r="J21794" s="41">
        <v>45923</v>
      </c>
      <c r="K21794" s="30" t="s">
        <v>22</v>
      </c>
    </row>
    <row r="21795" spans="1:11">
      <c r="A21795" s="33" t="s">
        <v>48243</v>
      </c>
      <c r="B21795" s="33" t="s">
        <v>48244</v>
      </c>
      <c r="C21795" s="33" t="s">
        <v>15107</v>
      </c>
      <c r="D21795" s="33" t="s">
        <v>17</v>
      </c>
      <c r="E21795" s="33" t="s">
        <v>26</v>
      </c>
      <c r="F21795" s="33" t="s">
        <v>27</v>
      </c>
      <c r="G21795" s="33" t="s">
        <v>112</v>
      </c>
      <c r="H21795" s="35">
        <v>0</v>
      </c>
      <c r="I21795" s="33" t="s">
        <v>21</v>
      </c>
      <c r="J21795" s="42">
        <v>45720</v>
      </c>
      <c r="K21795" s="33" t="s">
        <v>22</v>
      </c>
    </row>
    <row r="21796" spans="1:11">
      <c r="A21796" s="30" t="s">
        <v>48245</v>
      </c>
      <c r="B21796" s="30" t="s">
        <v>48246</v>
      </c>
      <c r="C21796" s="30" t="s">
        <v>34377</v>
      </c>
      <c r="D21796" s="30" t="s">
        <v>17</v>
      </c>
      <c r="E21796" s="30" t="s">
        <v>31</v>
      </c>
      <c r="F21796" s="30" t="s">
        <v>32</v>
      </c>
      <c r="G21796" s="30" t="s">
        <v>158</v>
      </c>
      <c r="H21796" s="32">
        <v>71</v>
      </c>
      <c r="I21796" s="30" t="s">
        <v>21</v>
      </c>
      <c r="J21796" s="41">
        <v>45884</v>
      </c>
      <c r="K21796" s="30" t="s">
        <v>22</v>
      </c>
    </row>
    <row r="21797" spans="1:11">
      <c r="A21797" s="33" t="s">
        <v>48247</v>
      </c>
      <c r="B21797" s="33" t="s">
        <v>48248</v>
      </c>
      <c r="C21797" s="33" t="s">
        <v>379</v>
      </c>
      <c r="D21797" s="33" t="s">
        <v>17</v>
      </c>
      <c r="E21797" s="33" t="s">
        <v>26</v>
      </c>
      <c r="F21797" s="33" t="s">
        <v>27</v>
      </c>
      <c r="G21797" s="33" t="s">
        <v>140</v>
      </c>
      <c r="H21797" s="35">
        <v>246</v>
      </c>
      <c r="I21797" s="33" t="s">
        <v>51</v>
      </c>
      <c r="J21797" s="42">
        <v>45986</v>
      </c>
      <c r="K21797" s="33" t="s">
        <v>22</v>
      </c>
    </row>
    <row r="21798" spans="1:11">
      <c r="A21798" s="30" t="s">
        <v>48249</v>
      </c>
      <c r="B21798" s="30" t="s">
        <v>48250</v>
      </c>
      <c r="C21798" s="30" t="s">
        <v>647</v>
      </c>
      <c r="D21798" s="30" t="s">
        <v>17</v>
      </c>
      <c r="E21798" s="30" t="s">
        <v>26</v>
      </c>
      <c r="F21798" s="30" t="s">
        <v>27</v>
      </c>
      <c r="G21798" s="30" t="s">
        <v>20</v>
      </c>
      <c r="H21798" s="32">
        <v>40</v>
      </c>
      <c r="I21798" s="30" t="s">
        <v>21</v>
      </c>
      <c r="J21798" s="41">
        <v>45749</v>
      </c>
      <c r="K21798" s="30" t="s">
        <v>22</v>
      </c>
    </row>
    <row r="21799" spans="1:11">
      <c r="A21799" s="33" t="s">
        <v>48251</v>
      </c>
      <c r="B21799" s="33" t="s">
        <v>48252</v>
      </c>
      <c r="C21799" s="33" t="s">
        <v>7035</v>
      </c>
      <c r="D21799" s="33" t="s">
        <v>17</v>
      </c>
      <c r="E21799" s="33" t="s">
        <v>26</v>
      </c>
      <c r="F21799" s="33" t="s">
        <v>27</v>
      </c>
      <c r="G21799" s="33" t="s">
        <v>20</v>
      </c>
      <c r="H21799" s="35">
        <v>42</v>
      </c>
      <c r="I21799" s="33" t="s">
        <v>21</v>
      </c>
      <c r="J21799" s="42">
        <v>45888</v>
      </c>
      <c r="K21799" s="33" t="s">
        <v>22</v>
      </c>
    </row>
    <row r="21800" spans="1:11">
      <c r="A21800" s="30" t="s">
        <v>48253</v>
      </c>
      <c r="B21800" s="30" t="s">
        <v>48254</v>
      </c>
      <c r="C21800" s="30" t="s">
        <v>48255</v>
      </c>
      <c r="D21800" s="30" t="s">
        <v>17</v>
      </c>
      <c r="E21800" s="30" t="s">
        <v>31</v>
      </c>
      <c r="F21800" s="30" t="s">
        <v>32</v>
      </c>
      <c r="G21800" s="30" t="s">
        <v>140</v>
      </c>
      <c r="H21800" s="32">
        <v>63</v>
      </c>
      <c r="I21800" s="30" t="s">
        <v>51</v>
      </c>
      <c r="J21800" s="41">
        <v>45840</v>
      </c>
      <c r="K21800" s="30" t="s">
        <v>22</v>
      </c>
    </row>
    <row r="21801" spans="1:11">
      <c r="A21801" s="33" t="s">
        <v>48256</v>
      </c>
      <c r="B21801" s="33" t="s">
        <v>48257</v>
      </c>
      <c r="C21801" s="33" t="s">
        <v>14926</v>
      </c>
      <c r="D21801" s="33" t="s">
        <v>17</v>
      </c>
      <c r="E21801" s="33" t="s">
        <v>67</v>
      </c>
      <c r="F21801" s="33" t="s">
        <v>68</v>
      </c>
      <c r="G21801" s="33" t="s">
        <v>140</v>
      </c>
      <c r="H21801" s="35">
        <v>75</v>
      </c>
      <c r="I21801" s="33" t="s">
        <v>51</v>
      </c>
      <c r="J21801" s="42">
        <v>45660</v>
      </c>
      <c r="K21801" s="33" t="s">
        <v>22</v>
      </c>
    </row>
    <row r="21802" spans="1:11">
      <c r="A21802" s="30" t="s">
        <v>48258</v>
      </c>
      <c r="B21802" s="30" t="s">
        <v>48259</v>
      </c>
      <c r="C21802" s="30" t="s">
        <v>48260</v>
      </c>
      <c r="D21802" s="30" t="s">
        <v>17</v>
      </c>
      <c r="E21802" s="30" t="s">
        <v>31</v>
      </c>
      <c r="F21802" s="30" t="s">
        <v>32</v>
      </c>
      <c r="G21802" s="30" t="s">
        <v>140</v>
      </c>
      <c r="H21802" s="32">
        <v>64</v>
      </c>
      <c r="I21802" s="30" t="s">
        <v>51</v>
      </c>
      <c r="J21802" s="41">
        <v>45898</v>
      </c>
      <c r="K21802" s="30" t="s">
        <v>22</v>
      </c>
    </row>
    <row r="21803" spans="1:11">
      <c r="A21803" s="33" t="s">
        <v>48261</v>
      </c>
      <c r="B21803" s="33" t="s">
        <v>48262</v>
      </c>
      <c r="C21803" s="33" t="s">
        <v>44733</v>
      </c>
      <c r="D21803" s="33" t="s">
        <v>17</v>
      </c>
      <c r="E21803" s="33" t="s">
        <v>26</v>
      </c>
      <c r="F21803" s="33" t="s">
        <v>27</v>
      </c>
      <c r="G21803" s="33" t="s">
        <v>140</v>
      </c>
      <c r="H21803" s="35">
        <v>40</v>
      </c>
      <c r="I21803" s="33" t="s">
        <v>51</v>
      </c>
      <c r="J21803" s="42">
        <v>45838</v>
      </c>
      <c r="K21803" s="33" t="s">
        <v>22</v>
      </c>
    </row>
    <row r="21804" spans="1:11">
      <c r="A21804" s="30" t="s">
        <v>48263</v>
      </c>
      <c r="B21804" s="30" t="s">
        <v>48264</v>
      </c>
      <c r="C21804" s="30" t="s">
        <v>1210</v>
      </c>
      <c r="D21804" s="30" t="s">
        <v>17</v>
      </c>
      <c r="E21804" s="30" t="s">
        <v>31</v>
      </c>
      <c r="F21804" s="30" t="s">
        <v>32</v>
      </c>
      <c r="G21804" s="30" t="s">
        <v>140</v>
      </c>
      <c r="H21804" s="32">
        <v>144</v>
      </c>
      <c r="I21804" s="30" t="s">
        <v>51</v>
      </c>
      <c r="J21804" s="41">
        <v>45979</v>
      </c>
      <c r="K21804" s="30" t="s">
        <v>22</v>
      </c>
    </row>
    <row r="21805" spans="1:11">
      <c r="A21805" s="33" t="s">
        <v>48265</v>
      </c>
      <c r="B21805" s="33" t="s">
        <v>48266</v>
      </c>
      <c r="C21805" s="33" t="s">
        <v>399</v>
      </c>
      <c r="D21805" s="33" t="s">
        <v>17</v>
      </c>
      <c r="E21805" s="33" t="s">
        <v>26</v>
      </c>
      <c r="F21805" s="33" t="s">
        <v>27</v>
      </c>
      <c r="G21805" s="33" t="s">
        <v>140</v>
      </c>
      <c r="H21805" s="35">
        <v>30</v>
      </c>
      <c r="I21805" s="33" t="s">
        <v>51</v>
      </c>
      <c r="J21805" s="42">
        <v>45733</v>
      </c>
      <c r="K21805" s="33" t="s">
        <v>22</v>
      </c>
    </row>
    <row r="21806" spans="1:11">
      <c r="A21806" s="30" t="s">
        <v>48267</v>
      </c>
      <c r="B21806" s="30" t="s">
        <v>48268</v>
      </c>
      <c r="C21806" s="30" t="s">
        <v>47722</v>
      </c>
      <c r="D21806" s="30" t="s">
        <v>17</v>
      </c>
      <c r="E21806" s="30" t="s">
        <v>31</v>
      </c>
      <c r="F21806" s="30" t="s">
        <v>32</v>
      </c>
      <c r="G21806" s="30" t="s">
        <v>20</v>
      </c>
      <c r="H21806" s="32">
        <v>211</v>
      </c>
      <c r="I21806" s="30" t="s">
        <v>21</v>
      </c>
      <c r="J21806" s="41">
        <v>45738</v>
      </c>
      <c r="K21806" s="30" t="s">
        <v>22</v>
      </c>
    </row>
    <row r="21807" spans="1:11">
      <c r="A21807" s="33" t="s">
        <v>48269</v>
      </c>
      <c r="B21807" s="33" t="s">
        <v>48270</v>
      </c>
      <c r="C21807" s="33" t="s">
        <v>647</v>
      </c>
      <c r="D21807" s="33" t="s">
        <v>17</v>
      </c>
      <c r="E21807" s="33" t="s">
        <v>67</v>
      </c>
      <c r="F21807" s="33" t="s">
        <v>68</v>
      </c>
      <c r="G21807" s="33" t="s">
        <v>140</v>
      </c>
      <c r="H21807" s="35">
        <v>460</v>
      </c>
      <c r="I21807" s="33" t="s">
        <v>51</v>
      </c>
      <c r="J21807" s="42">
        <v>45762</v>
      </c>
      <c r="K21807" s="33" t="s">
        <v>22</v>
      </c>
    </row>
    <row r="21808" spans="1:11">
      <c r="A21808" s="30" t="s">
        <v>48271</v>
      </c>
      <c r="B21808" s="30" t="s">
        <v>48272</v>
      </c>
      <c r="C21808" s="30" t="s">
        <v>136</v>
      </c>
      <c r="D21808" s="30" t="s">
        <v>17</v>
      </c>
      <c r="E21808" s="30" t="s">
        <v>31</v>
      </c>
      <c r="F21808" s="30" t="s">
        <v>32</v>
      </c>
      <c r="G21808" s="30" t="s">
        <v>140</v>
      </c>
      <c r="H21808" s="32">
        <v>222</v>
      </c>
      <c r="I21808" s="30" t="s">
        <v>51</v>
      </c>
      <c r="J21808" s="41">
        <v>45964</v>
      </c>
      <c r="K21808" s="30" t="s">
        <v>22</v>
      </c>
    </row>
    <row r="21809" spans="1:11">
      <c r="A21809" s="33" t="s">
        <v>48273</v>
      </c>
      <c r="B21809" s="33" t="s">
        <v>48274</v>
      </c>
      <c r="C21809" s="33" t="s">
        <v>48275</v>
      </c>
      <c r="D21809" s="33" t="s">
        <v>17</v>
      </c>
      <c r="E21809" s="33" t="s">
        <v>67</v>
      </c>
      <c r="F21809" s="33" t="s">
        <v>68</v>
      </c>
      <c r="G21809" s="33" t="s">
        <v>140</v>
      </c>
      <c r="H21809" s="35">
        <v>27</v>
      </c>
      <c r="I21809" s="33" t="s">
        <v>51</v>
      </c>
      <c r="J21809" s="42">
        <v>45995</v>
      </c>
      <c r="K21809" s="33" t="s">
        <v>22</v>
      </c>
    </row>
    <row r="21810" spans="1:11">
      <c r="A21810" s="30" t="s">
        <v>48276</v>
      </c>
      <c r="B21810" s="30" t="s">
        <v>48277</v>
      </c>
      <c r="C21810" s="30" t="s">
        <v>14307</v>
      </c>
      <c r="D21810" s="30" t="s">
        <v>17</v>
      </c>
      <c r="E21810" s="30" t="s">
        <v>18</v>
      </c>
      <c r="F21810" s="30" t="s">
        <v>19</v>
      </c>
      <c r="G21810" s="30" t="s">
        <v>140</v>
      </c>
      <c r="H21810" s="32">
        <v>352</v>
      </c>
      <c r="I21810" s="30" t="s">
        <v>51</v>
      </c>
      <c r="J21810" s="41">
        <v>45898</v>
      </c>
      <c r="K21810" s="30" t="s">
        <v>22</v>
      </c>
    </row>
    <row r="21811" spans="1:11">
      <c r="A21811" s="33" t="s">
        <v>48278</v>
      </c>
      <c r="B21811" s="33" t="s">
        <v>48279</v>
      </c>
      <c r="C21811" s="33" t="s">
        <v>38987</v>
      </c>
      <c r="D21811" s="33" t="s">
        <v>17</v>
      </c>
      <c r="E21811" s="33" t="s">
        <v>31</v>
      </c>
      <c r="F21811" s="33" t="s">
        <v>32</v>
      </c>
      <c r="G21811" s="33" t="s">
        <v>140</v>
      </c>
      <c r="H21811" s="35">
        <v>30</v>
      </c>
      <c r="I21811" s="33" t="s">
        <v>51</v>
      </c>
      <c r="J21811" s="42">
        <v>45908</v>
      </c>
      <c r="K21811" s="33" t="s">
        <v>22</v>
      </c>
    </row>
    <row r="21812" spans="1:11">
      <c r="A21812" s="30" t="s">
        <v>48280</v>
      </c>
      <c r="B21812" s="30" t="s">
        <v>48281</v>
      </c>
      <c r="C21812" s="30" t="s">
        <v>8052</v>
      </c>
      <c r="D21812" s="30" t="s">
        <v>17</v>
      </c>
      <c r="E21812" s="30" t="s">
        <v>31</v>
      </c>
      <c r="F21812" s="30" t="s">
        <v>32</v>
      </c>
      <c r="G21812" s="30" t="s">
        <v>140</v>
      </c>
      <c r="H21812" s="32">
        <v>200</v>
      </c>
      <c r="I21812" s="30" t="s">
        <v>51</v>
      </c>
      <c r="J21812" s="41">
        <v>45853</v>
      </c>
      <c r="K21812" s="30" t="s">
        <v>22</v>
      </c>
    </row>
    <row r="21813" spans="1:11">
      <c r="A21813" s="33" t="s">
        <v>48282</v>
      </c>
      <c r="B21813" s="33" t="s">
        <v>48283</v>
      </c>
      <c r="C21813" s="33" t="s">
        <v>37302</v>
      </c>
      <c r="D21813" s="33" t="s">
        <v>17</v>
      </c>
      <c r="E21813" s="33" t="s">
        <v>18</v>
      </c>
      <c r="F21813" s="33" t="s">
        <v>19</v>
      </c>
      <c r="G21813" s="33" t="s">
        <v>158</v>
      </c>
      <c r="H21813" s="35">
        <v>250</v>
      </c>
      <c r="I21813" s="33" t="s">
        <v>51</v>
      </c>
      <c r="J21813" s="42">
        <v>45666</v>
      </c>
      <c r="K21813" s="33" t="s">
        <v>22</v>
      </c>
    </row>
    <row r="21814" spans="1:11">
      <c r="A21814" s="30" t="s">
        <v>48284</v>
      </c>
      <c r="B21814" s="30" t="s">
        <v>48285</v>
      </c>
      <c r="C21814" s="30" t="s">
        <v>36361</v>
      </c>
      <c r="D21814" s="30" t="s">
        <v>17</v>
      </c>
      <c r="E21814" s="30" t="s">
        <v>18</v>
      </c>
      <c r="F21814" s="30" t="s">
        <v>19</v>
      </c>
      <c r="G21814" s="30" t="s">
        <v>140</v>
      </c>
      <c r="H21814" s="32">
        <v>72</v>
      </c>
      <c r="I21814" s="30" t="s">
        <v>51</v>
      </c>
      <c r="J21814" s="41">
        <v>45838</v>
      </c>
      <c r="K21814" s="30" t="s">
        <v>22</v>
      </c>
    </row>
    <row r="21815" spans="1:11">
      <c r="A21815" s="33" t="s">
        <v>48286</v>
      </c>
      <c r="B21815" s="33" t="s">
        <v>48287</v>
      </c>
      <c r="C21815" s="33" t="s">
        <v>2228</v>
      </c>
      <c r="D21815" s="33" t="s">
        <v>17</v>
      </c>
      <c r="E21815" s="33" t="s">
        <v>31</v>
      </c>
      <c r="F21815" s="33" t="s">
        <v>32</v>
      </c>
      <c r="G21815" s="33" t="s">
        <v>140</v>
      </c>
      <c r="H21815" s="35">
        <v>60</v>
      </c>
      <c r="I21815" s="33" t="s">
        <v>51</v>
      </c>
      <c r="J21815" s="42">
        <v>45923</v>
      </c>
      <c r="K21815" s="33" t="s">
        <v>22</v>
      </c>
    </row>
    <row r="21816" spans="1:11">
      <c r="A21816" s="30" t="s">
        <v>48288</v>
      </c>
      <c r="B21816" s="30" t="s">
        <v>48289</v>
      </c>
      <c r="C21816" s="30" t="s">
        <v>9728</v>
      </c>
      <c r="D21816" s="30" t="s">
        <v>17</v>
      </c>
      <c r="E21816" s="30" t="s">
        <v>31</v>
      </c>
      <c r="F21816" s="30" t="s">
        <v>32</v>
      </c>
      <c r="G21816" s="30" t="s">
        <v>7780</v>
      </c>
      <c r="H21816" s="32">
        <v>56</v>
      </c>
      <c r="I21816" s="30" t="s">
        <v>51</v>
      </c>
      <c r="J21816" s="41">
        <v>45688</v>
      </c>
      <c r="K21816" s="30" t="s">
        <v>22</v>
      </c>
    </row>
    <row r="21817" spans="1:11">
      <c r="A21817" s="33" t="s">
        <v>48290</v>
      </c>
      <c r="B21817" s="33" t="s">
        <v>48291</v>
      </c>
      <c r="C21817" s="33" t="s">
        <v>14572</v>
      </c>
      <c r="D21817" s="33" t="s">
        <v>17</v>
      </c>
      <c r="E21817" s="33" t="s">
        <v>67</v>
      </c>
      <c r="F21817" s="33" t="s">
        <v>68</v>
      </c>
      <c r="G21817" s="33" t="s">
        <v>140</v>
      </c>
      <c r="H21817" s="35">
        <v>15</v>
      </c>
      <c r="I21817" s="33" t="s">
        <v>51</v>
      </c>
      <c r="J21817" s="42">
        <v>45874</v>
      </c>
      <c r="K21817" s="33" t="s">
        <v>22</v>
      </c>
    </row>
    <row r="21818" spans="1:11">
      <c r="A21818" s="30" t="s">
        <v>48292</v>
      </c>
      <c r="B21818" s="30" t="s">
        <v>48293</v>
      </c>
      <c r="C21818" s="30" t="s">
        <v>310</v>
      </c>
      <c r="D21818" s="30" t="s">
        <v>17</v>
      </c>
      <c r="E21818" s="30" t="s">
        <v>26</v>
      </c>
      <c r="F21818" s="30" t="s">
        <v>27</v>
      </c>
      <c r="G21818" s="30" t="s">
        <v>140</v>
      </c>
      <c r="H21818" s="32">
        <v>144</v>
      </c>
      <c r="I21818" s="30" t="s">
        <v>51</v>
      </c>
      <c r="J21818" s="41">
        <v>45820</v>
      </c>
      <c r="K21818" s="30" t="s">
        <v>22</v>
      </c>
    </row>
    <row r="21819" spans="1:11">
      <c r="A21819" s="33" t="s">
        <v>48294</v>
      </c>
      <c r="B21819" s="33" t="s">
        <v>48295</v>
      </c>
      <c r="C21819" s="33" t="s">
        <v>136</v>
      </c>
      <c r="D21819" s="33" t="s">
        <v>17</v>
      </c>
      <c r="E21819" s="33" t="s">
        <v>31</v>
      </c>
      <c r="F21819" s="33" t="s">
        <v>32</v>
      </c>
      <c r="G21819" s="33" t="s">
        <v>112</v>
      </c>
      <c r="H21819" s="35">
        <v>0</v>
      </c>
      <c r="I21819" s="33" t="s">
        <v>21</v>
      </c>
      <c r="J21819" s="42">
        <v>45800</v>
      </c>
      <c r="K21819" s="33" t="s">
        <v>22</v>
      </c>
    </row>
    <row r="21820" spans="1:11">
      <c r="A21820" s="30" t="s">
        <v>48296</v>
      </c>
      <c r="B21820" s="30" t="s">
        <v>48297</v>
      </c>
      <c r="C21820" s="30" t="s">
        <v>25186</v>
      </c>
      <c r="D21820" s="30" t="s">
        <v>17</v>
      </c>
      <c r="E21820" s="30" t="s">
        <v>31</v>
      </c>
      <c r="F21820" s="30" t="s">
        <v>32</v>
      </c>
      <c r="G21820" s="30" t="s">
        <v>140</v>
      </c>
      <c r="H21820" s="32">
        <v>240</v>
      </c>
      <c r="I21820" s="30" t="s">
        <v>51</v>
      </c>
      <c r="J21820" s="41">
        <v>45695</v>
      </c>
      <c r="K21820" s="30" t="s">
        <v>22</v>
      </c>
    </row>
    <row r="21821" spans="1:11">
      <c r="A21821" s="33" t="s">
        <v>48298</v>
      </c>
      <c r="B21821" s="33" t="s">
        <v>48299</v>
      </c>
      <c r="C21821" s="33" t="s">
        <v>4796</v>
      </c>
      <c r="D21821" s="33" t="s">
        <v>17</v>
      </c>
      <c r="E21821" s="33" t="s">
        <v>212</v>
      </c>
      <c r="F21821" s="33" t="s">
        <v>213</v>
      </c>
      <c r="G21821" s="33" t="s">
        <v>20</v>
      </c>
      <c r="H21821" s="35">
        <v>167</v>
      </c>
      <c r="I21821" s="33" t="s">
        <v>21</v>
      </c>
      <c r="J21821" s="42">
        <v>45800</v>
      </c>
      <c r="K21821" s="33" t="s">
        <v>22</v>
      </c>
    </row>
    <row r="21822" spans="1:11">
      <c r="A21822" s="30" t="s">
        <v>48300</v>
      </c>
      <c r="B21822" s="30" t="s">
        <v>48301</v>
      </c>
      <c r="C21822" s="30" t="s">
        <v>48302</v>
      </c>
      <c r="D21822" s="30" t="s">
        <v>17</v>
      </c>
      <c r="E21822" s="30" t="s">
        <v>26</v>
      </c>
      <c r="F21822" s="30" t="s">
        <v>27</v>
      </c>
      <c r="G21822" s="30" t="s">
        <v>140</v>
      </c>
      <c r="H21822" s="32">
        <v>26</v>
      </c>
      <c r="I21822" s="30" t="s">
        <v>51</v>
      </c>
      <c r="J21822" s="41">
        <v>45761</v>
      </c>
      <c r="K21822" s="30" t="s">
        <v>22</v>
      </c>
    </row>
    <row r="21823" spans="1:11">
      <c r="A21823" s="33" t="s">
        <v>48303</v>
      </c>
      <c r="B21823" s="33" t="s">
        <v>48304</v>
      </c>
      <c r="C21823" s="33" t="s">
        <v>36156</v>
      </c>
      <c r="D21823" s="33" t="s">
        <v>17</v>
      </c>
      <c r="E21823" s="33" t="s">
        <v>26</v>
      </c>
      <c r="F21823" s="33" t="s">
        <v>27</v>
      </c>
      <c r="G21823" s="33" t="s">
        <v>20</v>
      </c>
      <c r="H21823" s="35">
        <v>6</v>
      </c>
      <c r="I21823" s="33" t="s">
        <v>21</v>
      </c>
      <c r="J21823" s="42">
        <v>45707</v>
      </c>
      <c r="K21823" s="33" t="s">
        <v>22</v>
      </c>
    </row>
    <row r="21824" spans="1:11">
      <c r="A21824" s="30" t="s">
        <v>48305</v>
      </c>
      <c r="B21824" s="30" t="s">
        <v>48306</v>
      </c>
      <c r="C21824" s="30" t="s">
        <v>27379</v>
      </c>
      <c r="D21824" s="30" t="s">
        <v>17</v>
      </c>
      <c r="E21824" s="30" t="s">
        <v>67</v>
      </c>
      <c r="F21824" s="30" t="s">
        <v>68</v>
      </c>
      <c r="G21824" s="30" t="s">
        <v>69</v>
      </c>
      <c r="H21824" s="32">
        <v>60</v>
      </c>
      <c r="I21824" s="30" t="s">
        <v>51</v>
      </c>
      <c r="J21824" s="41">
        <v>46022</v>
      </c>
      <c r="K21824" s="30" t="s">
        <v>22</v>
      </c>
    </row>
    <row r="21825" spans="1:11">
      <c r="A21825" s="33" t="s">
        <v>48307</v>
      </c>
      <c r="B21825" s="33" t="s">
        <v>48308</v>
      </c>
      <c r="C21825" s="33" t="s">
        <v>96</v>
      </c>
      <c r="D21825" s="33" t="s">
        <v>17</v>
      </c>
      <c r="E21825" s="33" t="s">
        <v>26</v>
      </c>
      <c r="F21825" s="33" t="s">
        <v>27</v>
      </c>
      <c r="G21825" s="33" t="s">
        <v>140</v>
      </c>
      <c r="H21825" s="35">
        <v>24</v>
      </c>
      <c r="I21825" s="33" t="s">
        <v>51</v>
      </c>
      <c r="J21825" s="42">
        <v>45979</v>
      </c>
      <c r="K21825" s="33" t="s">
        <v>22</v>
      </c>
    </row>
    <row r="21826" spans="1:11">
      <c r="A21826" s="30" t="s">
        <v>48309</v>
      </c>
      <c r="B21826" s="30" t="s">
        <v>48310</v>
      </c>
      <c r="C21826" s="30" t="s">
        <v>22650</v>
      </c>
      <c r="D21826" s="30" t="s">
        <v>17</v>
      </c>
      <c r="E21826" s="30" t="s">
        <v>31</v>
      </c>
      <c r="F21826" s="30" t="s">
        <v>32</v>
      </c>
      <c r="G21826" s="30" t="s">
        <v>7780</v>
      </c>
      <c r="H21826" s="32">
        <v>60</v>
      </c>
      <c r="I21826" s="30" t="s">
        <v>51</v>
      </c>
      <c r="J21826" s="41">
        <v>45885</v>
      </c>
      <c r="K21826" s="30" t="s">
        <v>22</v>
      </c>
    </row>
    <row r="21827" spans="1:11">
      <c r="A21827" s="33" t="s">
        <v>48311</v>
      </c>
      <c r="B21827" s="33" t="s">
        <v>48312</v>
      </c>
      <c r="C21827" s="33" t="s">
        <v>8350</v>
      </c>
      <c r="D21827" s="33" t="s">
        <v>17</v>
      </c>
      <c r="E21827" s="33" t="s">
        <v>31</v>
      </c>
      <c r="F21827" s="33" t="s">
        <v>32</v>
      </c>
      <c r="G21827" s="33" t="s">
        <v>140</v>
      </c>
      <c r="H21827" s="35">
        <v>66</v>
      </c>
      <c r="I21827" s="33" t="s">
        <v>51</v>
      </c>
      <c r="J21827" s="42">
        <v>45754</v>
      </c>
      <c r="K21827" s="33" t="s">
        <v>22</v>
      </c>
    </row>
    <row r="21828" spans="1:11">
      <c r="A21828" s="30" t="s">
        <v>48313</v>
      </c>
      <c r="B21828" s="30" t="s">
        <v>48314</v>
      </c>
      <c r="C21828" s="30" t="s">
        <v>34310</v>
      </c>
      <c r="D21828" s="30" t="s">
        <v>17</v>
      </c>
      <c r="E21828" s="30" t="s">
        <v>26</v>
      </c>
      <c r="F21828" s="30" t="s">
        <v>27</v>
      </c>
      <c r="G21828" s="30" t="s">
        <v>20</v>
      </c>
      <c r="H21828" s="32">
        <v>28</v>
      </c>
      <c r="I21828" s="30" t="s">
        <v>21</v>
      </c>
      <c r="J21828" s="41">
        <v>45937</v>
      </c>
      <c r="K21828" s="30" t="s">
        <v>22</v>
      </c>
    </row>
    <row r="21829" spans="1:11">
      <c r="A21829" s="33" t="s">
        <v>48315</v>
      </c>
      <c r="B21829" s="33" t="s">
        <v>48316</v>
      </c>
      <c r="C21829" s="33" t="s">
        <v>37643</v>
      </c>
      <c r="D21829" s="33" t="s">
        <v>17</v>
      </c>
      <c r="E21829" s="33" t="s">
        <v>26</v>
      </c>
      <c r="F21829" s="33" t="s">
        <v>27</v>
      </c>
      <c r="G21829" s="33" t="s">
        <v>20</v>
      </c>
      <c r="H21829" s="35">
        <v>24</v>
      </c>
      <c r="I21829" s="33" t="s">
        <v>21</v>
      </c>
      <c r="J21829" s="42">
        <v>45797</v>
      </c>
      <c r="K21829" s="33" t="s">
        <v>22</v>
      </c>
    </row>
    <row r="21830" spans="1:11">
      <c r="A21830" s="30" t="s">
        <v>48317</v>
      </c>
      <c r="B21830" s="30" t="s">
        <v>48318</v>
      </c>
      <c r="C21830" s="30" t="s">
        <v>48319</v>
      </c>
      <c r="D21830" s="30" t="s">
        <v>17</v>
      </c>
      <c r="E21830" s="30" t="s">
        <v>67</v>
      </c>
      <c r="F21830" s="30" t="s">
        <v>68</v>
      </c>
      <c r="G21830" s="30" t="s">
        <v>140</v>
      </c>
      <c r="H21830" s="32">
        <v>12</v>
      </c>
      <c r="I21830" s="30" t="s">
        <v>51</v>
      </c>
      <c r="J21830" s="41">
        <v>46010</v>
      </c>
      <c r="K21830" s="30" t="s">
        <v>22</v>
      </c>
    </row>
    <row r="21831" spans="1:11">
      <c r="A21831" s="33" t="s">
        <v>48320</v>
      </c>
      <c r="B21831" s="33" t="s">
        <v>48321</v>
      </c>
      <c r="C21831" s="33" t="s">
        <v>96</v>
      </c>
      <c r="D21831" s="33" t="s">
        <v>17</v>
      </c>
      <c r="E21831" s="33" t="s">
        <v>26</v>
      </c>
      <c r="F21831" s="33" t="s">
        <v>27</v>
      </c>
      <c r="G21831" s="33" t="s">
        <v>140</v>
      </c>
      <c r="H21831" s="35">
        <v>76</v>
      </c>
      <c r="I21831" s="33" t="s">
        <v>51</v>
      </c>
      <c r="J21831" s="42">
        <v>46002</v>
      </c>
      <c r="K21831" s="33" t="s">
        <v>22</v>
      </c>
    </row>
    <row r="21832" spans="1:11">
      <c r="A21832" s="30" t="s">
        <v>48322</v>
      </c>
      <c r="B21832" s="30" t="s">
        <v>48323</v>
      </c>
      <c r="C21832" s="30" t="s">
        <v>21961</v>
      </c>
      <c r="D21832" s="30" t="s">
        <v>17</v>
      </c>
      <c r="E21832" s="30" t="s">
        <v>26</v>
      </c>
      <c r="F21832" s="30" t="s">
        <v>27</v>
      </c>
      <c r="G21832" s="30" t="s">
        <v>140</v>
      </c>
      <c r="H21832" s="32">
        <v>32</v>
      </c>
      <c r="I21832" s="30" t="s">
        <v>51</v>
      </c>
      <c r="J21832" s="41">
        <v>45838</v>
      </c>
      <c r="K21832" s="30" t="s">
        <v>22</v>
      </c>
    </row>
    <row r="21833" spans="1:11">
      <c r="A21833" s="33" t="s">
        <v>48324</v>
      </c>
      <c r="B21833" s="33" t="s">
        <v>48325</v>
      </c>
      <c r="C21833" s="33" t="s">
        <v>75</v>
      </c>
      <c r="D21833" s="33" t="s">
        <v>17</v>
      </c>
      <c r="E21833" s="33" t="s">
        <v>67</v>
      </c>
      <c r="F21833" s="33" t="s">
        <v>68</v>
      </c>
      <c r="G21833" s="33" t="s">
        <v>140</v>
      </c>
      <c r="H21833" s="35">
        <v>413</v>
      </c>
      <c r="I21833" s="33" t="s">
        <v>51</v>
      </c>
      <c r="J21833" s="42">
        <v>45705</v>
      </c>
      <c r="K21833" s="33" t="s">
        <v>22</v>
      </c>
    </row>
    <row r="21834" spans="1:11">
      <c r="A21834" s="30" t="s">
        <v>48326</v>
      </c>
      <c r="B21834" s="30" t="s">
        <v>48327</v>
      </c>
      <c r="C21834" s="30" t="s">
        <v>443</v>
      </c>
      <c r="D21834" s="30" t="s">
        <v>17</v>
      </c>
      <c r="E21834" s="30" t="s">
        <v>31</v>
      </c>
      <c r="F21834" s="30" t="s">
        <v>32</v>
      </c>
      <c r="G21834" s="30" t="s">
        <v>7780</v>
      </c>
      <c r="H21834" s="32">
        <v>120</v>
      </c>
      <c r="I21834" s="30" t="s">
        <v>51</v>
      </c>
      <c r="J21834" s="41">
        <v>45866</v>
      </c>
      <c r="K21834" s="30" t="s">
        <v>22</v>
      </c>
    </row>
    <row r="21835" spans="1:11">
      <c r="A21835" s="33" t="s">
        <v>48328</v>
      </c>
      <c r="B21835" s="33" t="s">
        <v>48329</v>
      </c>
      <c r="C21835" s="33" t="s">
        <v>15917</v>
      </c>
      <c r="D21835" s="33" t="s">
        <v>17</v>
      </c>
      <c r="E21835" s="33" t="s">
        <v>31</v>
      </c>
      <c r="F21835" s="33" t="s">
        <v>32</v>
      </c>
      <c r="G21835" s="33" t="s">
        <v>140</v>
      </c>
      <c r="H21835" s="35">
        <v>75</v>
      </c>
      <c r="I21835" s="33" t="s">
        <v>51</v>
      </c>
      <c r="J21835" s="42">
        <v>45968</v>
      </c>
      <c r="K21835" s="33" t="s">
        <v>22</v>
      </c>
    </row>
    <row r="21836" spans="1:11">
      <c r="A21836" s="30" t="s">
        <v>48330</v>
      </c>
      <c r="B21836" s="30" t="s">
        <v>48331</v>
      </c>
      <c r="C21836" s="30" t="s">
        <v>25186</v>
      </c>
      <c r="D21836" s="30" t="s">
        <v>17</v>
      </c>
      <c r="E21836" s="30" t="s">
        <v>18</v>
      </c>
      <c r="F21836" s="30" t="s">
        <v>19</v>
      </c>
      <c r="G21836" s="30" t="s">
        <v>7780</v>
      </c>
      <c r="H21836" s="32">
        <v>780</v>
      </c>
      <c r="I21836" s="30" t="s">
        <v>51</v>
      </c>
      <c r="J21836" s="41">
        <v>45744</v>
      </c>
      <c r="K21836" s="30" t="s">
        <v>22</v>
      </c>
    </row>
    <row r="21837" spans="1:11">
      <c r="A21837" s="33" t="s">
        <v>48332</v>
      </c>
      <c r="B21837" s="33" t="s">
        <v>48333</v>
      </c>
      <c r="C21837" s="33" t="s">
        <v>12112</v>
      </c>
      <c r="D21837" s="33" t="s">
        <v>17</v>
      </c>
      <c r="E21837" s="33" t="s">
        <v>26</v>
      </c>
      <c r="F21837" s="33" t="s">
        <v>27</v>
      </c>
      <c r="G21837" s="33" t="s">
        <v>20</v>
      </c>
      <c r="H21837" s="35">
        <v>44</v>
      </c>
      <c r="I21837" s="33" t="s">
        <v>21</v>
      </c>
      <c r="J21837" s="42">
        <v>45701</v>
      </c>
      <c r="K21837" s="33" t="s">
        <v>22</v>
      </c>
    </row>
    <row r="21838" spans="1:11">
      <c r="A21838" s="30" t="s">
        <v>48334</v>
      </c>
      <c r="B21838" s="30" t="s">
        <v>48335</v>
      </c>
      <c r="C21838" s="30" t="s">
        <v>9841</v>
      </c>
      <c r="D21838" s="30" t="s">
        <v>17</v>
      </c>
      <c r="E21838" s="30" t="s">
        <v>26</v>
      </c>
      <c r="F21838" s="30" t="s">
        <v>27</v>
      </c>
      <c r="G21838" s="30" t="s">
        <v>140</v>
      </c>
      <c r="H21838" s="32">
        <v>102</v>
      </c>
      <c r="I21838" s="30" t="s">
        <v>51</v>
      </c>
      <c r="J21838" s="41">
        <v>45701</v>
      </c>
      <c r="K21838" s="30" t="s">
        <v>22</v>
      </c>
    </row>
    <row r="21839" spans="1:11">
      <c r="A21839" s="33" t="s">
        <v>48336</v>
      </c>
      <c r="B21839" s="33" t="s">
        <v>48337</v>
      </c>
      <c r="C21839" s="33" t="s">
        <v>2839</v>
      </c>
      <c r="D21839" s="33" t="s">
        <v>17</v>
      </c>
      <c r="E21839" s="33" t="s">
        <v>31</v>
      </c>
      <c r="F21839" s="33" t="s">
        <v>32</v>
      </c>
      <c r="G21839" s="33" t="s">
        <v>7780</v>
      </c>
      <c r="H21839" s="35">
        <v>300</v>
      </c>
      <c r="I21839" s="33" t="s">
        <v>51</v>
      </c>
      <c r="J21839" s="42">
        <v>45962</v>
      </c>
      <c r="K21839" s="33" t="s">
        <v>22</v>
      </c>
    </row>
    <row r="21840" spans="1:11">
      <c r="A21840" s="30" t="s">
        <v>48338</v>
      </c>
      <c r="B21840" s="30" t="s">
        <v>48339</v>
      </c>
      <c r="C21840" s="30" t="s">
        <v>40879</v>
      </c>
      <c r="D21840" s="30" t="s">
        <v>17</v>
      </c>
      <c r="E21840" s="30" t="s">
        <v>212</v>
      </c>
      <c r="F21840" s="30" t="s">
        <v>213</v>
      </c>
      <c r="G21840" s="30" t="s">
        <v>140</v>
      </c>
      <c r="H21840" s="32">
        <v>300</v>
      </c>
      <c r="I21840" s="30" t="s">
        <v>51</v>
      </c>
      <c r="J21840" s="41">
        <v>45920</v>
      </c>
      <c r="K21840" s="30" t="s">
        <v>22</v>
      </c>
    </row>
    <row r="21841" spans="1:11">
      <c r="A21841" s="33" t="s">
        <v>48340</v>
      </c>
      <c r="B21841" s="33" t="s">
        <v>48341</v>
      </c>
      <c r="C21841" s="33" t="s">
        <v>93</v>
      </c>
      <c r="D21841" s="33" t="s">
        <v>17</v>
      </c>
      <c r="E21841" s="33" t="s">
        <v>31</v>
      </c>
      <c r="F21841" s="33" t="s">
        <v>32</v>
      </c>
      <c r="G21841" s="33" t="s">
        <v>140</v>
      </c>
      <c r="H21841" s="35">
        <v>315</v>
      </c>
      <c r="I21841" s="33" t="s">
        <v>51</v>
      </c>
      <c r="J21841" s="42">
        <v>45776</v>
      </c>
      <c r="K21841" s="33" t="s">
        <v>22</v>
      </c>
    </row>
    <row r="21842" spans="1:11">
      <c r="A21842" s="30" t="s">
        <v>48342</v>
      </c>
      <c r="B21842" s="30" t="s">
        <v>48343</v>
      </c>
      <c r="C21842" s="30" t="s">
        <v>14402</v>
      </c>
      <c r="D21842" s="30" t="s">
        <v>17</v>
      </c>
      <c r="E21842" s="30" t="s">
        <v>26</v>
      </c>
      <c r="F21842" s="30" t="s">
        <v>27</v>
      </c>
      <c r="G21842" s="30" t="s">
        <v>140</v>
      </c>
      <c r="H21842" s="32">
        <v>18</v>
      </c>
      <c r="I21842" s="30" t="s">
        <v>51</v>
      </c>
      <c r="J21842" s="41">
        <v>46009</v>
      </c>
      <c r="K21842" s="30" t="s">
        <v>22</v>
      </c>
    </row>
    <row r="21843" spans="1:11">
      <c r="A21843" s="33" t="s">
        <v>48344</v>
      </c>
      <c r="B21843" s="33" t="s">
        <v>48345</v>
      </c>
      <c r="C21843" s="33" t="s">
        <v>93</v>
      </c>
      <c r="D21843" s="33" t="s">
        <v>17</v>
      </c>
      <c r="E21843" s="33" t="s">
        <v>67</v>
      </c>
      <c r="F21843" s="33" t="s">
        <v>68</v>
      </c>
      <c r="G21843" s="33" t="s">
        <v>140</v>
      </c>
      <c r="H21843" s="35">
        <v>66</v>
      </c>
      <c r="I21843" s="33" t="s">
        <v>51</v>
      </c>
      <c r="J21843" s="42">
        <v>45882</v>
      </c>
      <c r="K21843" s="33" t="s">
        <v>22</v>
      </c>
    </row>
    <row r="21844" spans="1:11">
      <c r="A21844" s="30" t="s">
        <v>48346</v>
      </c>
      <c r="B21844" s="30" t="s">
        <v>48347</v>
      </c>
      <c r="C21844" s="30" t="s">
        <v>222</v>
      </c>
      <c r="D21844" s="30" t="s">
        <v>17</v>
      </c>
      <c r="E21844" s="30" t="s">
        <v>26</v>
      </c>
      <c r="F21844" s="30" t="s">
        <v>27</v>
      </c>
      <c r="G21844" s="30" t="s">
        <v>140</v>
      </c>
      <c r="H21844" s="32">
        <v>40</v>
      </c>
      <c r="I21844" s="30" t="s">
        <v>51</v>
      </c>
      <c r="J21844" s="41">
        <v>45965</v>
      </c>
      <c r="K21844" s="30" t="s">
        <v>22</v>
      </c>
    </row>
    <row r="21845" spans="1:11">
      <c r="A21845" s="33" t="s">
        <v>48348</v>
      </c>
      <c r="B21845" s="33" t="s">
        <v>48349</v>
      </c>
      <c r="C21845" s="33" t="s">
        <v>8231</v>
      </c>
      <c r="D21845" s="33" t="s">
        <v>17</v>
      </c>
      <c r="E21845" s="33" t="s">
        <v>18</v>
      </c>
      <c r="F21845" s="33" t="s">
        <v>19</v>
      </c>
      <c r="G21845" s="33" t="s">
        <v>7780</v>
      </c>
      <c r="H21845" s="35">
        <v>278</v>
      </c>
      <c r="I21845" s="33" t="s">
        <v>51</v>
      </c>
      <c r="J21845" s="42">
        <v>45792</v>
      </c>
      <c r="K21845" s="33" t="s">
        <v>22</v>
      </c>
    </row>
    <row r="21846" spans="1:11">
      <c r="A21846" s="30" t="s">
        <v>48350</v>
      </c>
      <c r="B21846" s="30" t="s">
        <v>48351</v>
      </c>
      <c r="C21846" s="30" t="s">
        <v>32244</v>
      </c>
      <c r="D21846" s="30" t="s">
        <v>17</v>
      </c>
      <c r="E21846" s="30" t="s">
        <v>18</v>
      </c>
      <c r="F21846" s="30" t="s">
        <v>19</v>
      </c>
      <c r="G21846" s="30" t="s">
        <v>140</v>
      </c>
      <c r="H21846" s="32">
        <v>400</v>
      </c>
      <c r="I21846" s="30" t="s">
        <v>51</v>
      </c>
      <c r="J21846" s="41">
        <v>45958</v>
      </c>
      <c r="K21846" s="30" t="s">
        <v>22</v>
      </c>
    </row>
    <row r="21847" spans="1:11">
      <c r="A21847" s="33" t="s">
        <v>48352</v>
      </c>
      <c r="B21847" s="33" t="s">
        <v>48353</v>
      </c>
      <c r="C21847" s="33" t="s">
        <v>8421</v>
      </c>
      <c r="D21847" s="33" t="s">
        <v>17</v>
      </c>
      <c r="E21847" s="33" t="s">
        <v>18</v>
      </c>
      <c r="F21847" s="33" t="s">
        <v>19</v>
      </c>
      <c r="G21847" s="33" t="s">
        <v>158</v>
      </c>
      <c r="H21847" s="35">
        <v>30</v>
      </c>
      <c r="I21847" s="33" t="s">
        <v>51</v>
      </c>
      <c r="J21847" s="42">
        <v>45861</v>
      </c>
      <c r="K21847" s="33" t="s">
        <v>22</v>
      </c>
    </row>
    <row r="21848" spans="1:11">
      <c r="A21848" s="30" t="s">
        <v>48354</v>
      </c>
      <c r="B21848" s="30" t="s">
        <v>48355</v>
      </c>
      <c r="C21848" s="30" t="s">
        <v>10757</v>
      </c>
      <c r="D21848" s="30" t="s">
        <v>17</v>
      </c>
      <c r="E21848" s="30" t="s">
        <v>18</v>
      </c>
      <c r="F21848" s="30" t="s">
        <v>19</v>
      </c>
      <c r="G21848" s="30" t="s">
        <v>158</v>
      </c>
      <c r="H21848" s="32">
        <v>200</v>
      </c>
      <c r="I21848" s="30" t="s">
        <v>51</v>
      </c>
      <c r="J21848" s="41">
        <v>45959</v>
      </c>
      <c r="K21848" s="30" t="s">
        <v>22</v>
      </c>
    </row>
    <row r="21849" spans="1:11">
      <c r="A21849" s="33" t="s">
        <v>48356</v>
      </c>
      <c r="B21849" s="33" t="s">
        <v>48357</v>
      </c>
      <c r="C21849" s="33" t="s">
        <v>429</v>
      </c>
      <c r="D21849" s="33" t="s">
        <v>17</v>
      </c>
      <c r="E21849" s="33" t="s">
        <v>26</v>
      </c>
      <c r="F21849" s="33" t="s">
        <v>27</v>
      </c>
      <c r="G21849" s="33" t="s">
        <v>20</v>
      </c>
      <c r="H21849" s="35">
        <v>24</v>
      </c>
      <c r="I21849" s="33" t="s">
        <v>21</v>
      </c>
      <c r="J21849" s="42">
        <v>45985</v>
      </c>
      <c r="K21849" s="33" t="s">
        <v>22</v>
      </c>
    </row>
    <row r="21850" spans="1:11">
      <c r="A21850" s="30" t="s">
        <v>48358</v>
      </c>
      <c r="B21850" s="30" t="s">
        <v>48359</v>
      </c>
      <c r="C21850" s="30" t="s">
        <v>4527</v>
      </c>
      <c r="D21850" s="30" t="s">
        <v>17</v>
      </c>
      <c r="E21850" s="30" t="s">
        <v>26</v>
      </c>
      <c r="F21850" s="30" t="s">
        <v>27</v>
      </c>
      <c r="G21850" s="30" t="s">
        <v>140</v>
      </c>
      <c r="H21850" s="32">
        <v>30</v>
      </c>
      <c r="I21850" s="30" t="s">
        <v>51</v>
      </c>
      <c r="J21850" s="41">
        <v>45754</v>
      </c>
      <c r="K21850" s="30" t="s">
        <v>22</v>
      </c>
    </row>
    <row r="21851" spans="1:11">
      <c r="A21851" s="33" t="s">
        <v>48360</v>
      </c>
      <c r="B21851" s="33" t="s">
        <v>48361</v>
      </c>
      <c r="C21851" s="33" t="s">
        <v>33931</v>
      </c>
      <c r="D21851" s="33" t="s">
        <v>17</v>
      </c>
      <c r="E21851" s="33" t="s">
        <v>26</v>
      </c>
      <c r="F21851" s="33" t="s">
        <v>27</v>
      </c>
      <c r="G21851" s="33" t="s">
        <v>140</v>
      </c>
      <c r="H21851" s="35">
        <v>120</v>
      </c>
      <c r="I21851" s="33" t="s">
        <v>51</v>
      </c>
      <c r="J21851" s="42">
        <v>45775</v>
      </c>
      <c r="K21851" s="33" t="s">
        <v>22</v>
      </c>
    </row>
    <row r="21852" spans="1:11">
      <c r="A21852" s="30" t="s">
        <v>48362</v>
      </c>
      <c r="B21852" s="30" t="s">
        <v>48363</v>
      </c>
      <c r="C21852" s="30" t="s">
        <v>4348</v>
      </c>
      <c r="D21852" s="30" t="s">
        <v>17</v>
      </c>
      <c r="E21852" s="30" t="s">
        <v>26</v>
      </c>
      <c r="F21852" s="30" t="s">
        <v>27</v>
      </c>
      <c r="G21852" s="30" t="s">
        <v>7780</v>
      </c>
      <c r="H21852" s="32">
        <v>20</v>
      </c>
      <c r="I21852" s="30" t="s">
        <v>51</v>
      </c>
      <c r="J21852" s="41">
        <v>45658</v>
      </c>
      <c r="K21852" s="30" t="s">
        <v>22</v>
      </c>
    </row>
    <row r="21853" spans="1:11">
      <c r="A21853" s="33" t="s">
        <v>48364</v>
      </c>
      <c r="B21853" s="33" t="s">
        <v>48365</v>
      </c>
      <c r="C21853" s="33" t="s">
        <v>14483</v>
      </c>
      <c r="D21853" s="33" t="s">
        <v>17</v>
      </c>
      <c r="E21853" s="33" t="s">
        <v>26</v>
      </c>
      <c r="F21853" s="33" t="s">
        <v>27</v>
      </c>
      <c r="G21853" s="33" t="s">
        <v>7780</v>
      </c>
      <c r="H21853" s="35">
        <v>30</v>
      </c>
      <c r="I21853" s="33" t="s">
        <v>51</v>
      </c>
      <c r="J21853" s="42">
        <v>45992</v>
      </c>
      <c r="K21853" s="33" t="s">
        <v>22</v>
      </c>
    </row>
    <row r="21854" spans="1:11">
      <c r="A21854" s="30" t="s">
        <v>48366</v>
      </c>
      <c r="B21854" s="30" t="s">
        <v>48367</v>
      </c>
      <c r="C21854" s="30" t="s">
        <v>647</v>
      </c>
      <c r="D21854" s="30" t="s">
        <v>17</v>
      </c>
      <c r="E21854" s="30" t="s">
        <v>26</v>
      </c>
      <c r="F21854" s="30" t="s">
        <v>27</v>
      </c>
      <c r="G21854" s="30" t="s">
        <v>140</v>
      </c>
      <c r="H21854" s="32">
        <v>58</v>
      </c>
      <c r="I21854" s="30" t="s">
        <v>51</v>
      </c>
      <c r="J21854" s="41">
        <v>45966</v>
      </c>
      <c r="K21854" s="30" t="s">
        <v>22</v>
      </c>
    </row>
    <row r="21855" spans="1:11">
      <c r="A21855" s="33" t="s">
        <v>48368</v>
      </c>
      <c r="B21855" s="33" t="s">
        <v>48369</v>
      </c>
      <c r="C21855" s="33" t="s">
        <v>2753</v>
      </c>
      <c r="D21855" s="33" t="s">
        <v>17</v>
      </c>
      <c r="E21855" s="33" t="s">
        <v>18</v>
      </c>
      <c r="F21855" s="33" t="s">
        <v>19</v>
      </c>
      <c r="G21855" s="33" t="s">
        <v>140</v>
      </c>
      <c r="H21855" s="35">
        <v>500</v>
      </c>
      <c r="I21855" s="33" t="s">
        <v>51</v>
      </c>
      <c r="J21855" s="42">
        <v>45904</v>
      </c>
      <c r="K21855" s="33" t="s">
        <v>22</v>
      </c>
    </row>
    <row r="21856" spans="1:11">
      <c r="A21856" s="30" t="s">
        <v>48370</v>
      </c>
      <c r="B21856" s="30" t="s">
        <v>48371</v>
      </c>
      <c r="C21856" s="30" t="s">
        <v>93</v>
      </c>
      <c r="D21856" s="30" t="s">
        <v>17</v>
      </c>
      <c r="E21856" s="30" t="s">
        <v>31</v>
      </c>
      <c r="F21856" s="30" t="s">
        <v>32</v>
      </c>
      <c r="G21856" s="30" t="s">
        <v>140</v>
      </c>
      <c r="H21856" s="32">
        <v>377</v>
      </c>
      <c r="I21856" s="30" t="s">
        <v>51</v>
      </c>
      <c r="J21856" s="41">
        <v>45868</v>
      </c>
      <c r="K21856" s="30" t="s">
        <v>22</v>
      </c>
    </row>
    <row r="21857" spans="1:11">
      <c r="A21857" s="33" t="s">
        <v>48372</v>
      </c>
      <c r="B21857" s="33" t="s">
        <v>48373</v>
      </c>
      <c r="C21857" s="33" t="s">
        <v>29095</v>
      </c>
      <c r="D21857" s="33" t="s">
        <v>17</v>
      </c>
      <c r="E21857" s="33" t="s">
        <v>31</v>
      </c>
      <c r="F21857" s="33" t="s">
        <v>32</v>
      </c>
      <c r="G21857" s="33" t="s">
        <v>140</v>
      </c>
      <c r="H21857" s="35">
        <v>40</v>
      </c>
      <c r="I21857" s="33" t="s">
        <v>51</v>
      </c>
      <c r="J21857" s="42">
        <v>46000</v>
      </c>
      <c r="K21857" s="33" t="s">
        <v>22</v>
      </c>
    </row>
    <row r="21858" spans="1:11">
      <c r="A21858" s="30" t="s">
        <v>48374</v>
      </c>
      <c r="B21858" s="30" t="s">
        <v>48375</v>
      </c>
      <c r="C21858" s="30" t="s">
        <v>39090</v>
      </c>
      <c r="D21858" s="30" t="s">
        <v>17</v>
      </c>
      <c r="E21858" s="30" t="s">
        <v>67</v>
      </c>
      <c r="F21858" s="30" t="s">
        <v>68</v>
      </c>
      <c r="G21858" s="30" t="s">
        <v>7780</v>
      </c>
      <c r="H21858" s="32">
        <v>12</v>
      </c>
      <c r="I21858" s="30" t="s">
        <v>51</v>
      </c>
      <c r="J21858" s="41">
        <v>45762</v>
      </c>
      <c r="K21858" s="30" t="s">
        <v>22</v>
      </c>
    </row>
    <row r="21859" spans="1:11">
      <c r="A21859" s="33" t="s">
        <v>48376</v>
      </c>
      <c r="B21859" s="33" t="s">
        <v>48377</v>
      </c>
      <c r="C21859" s="33" t="s">
        <v>31947</v>
      </c>
      <c r="D21859" s="33" t="s">
        <v>17</v>
      </c>
      <c r="E21859" s="33" t="s">
        <v>67</v>
      </c>
      <c r="F21859" s="33" t="s">
        <v>68</v>
      </c>
      <c r="G21859" s="33" t="s">
        <v>140</v>
      </c>
      <c r="H21859" s="35">
        <v>30</v>
      </c>
      <c r="I21859" s="33" t="s">
        <v>51</v>
      </c>
      <c r="J21859" s="42">
        <v>46007</v>
      </c>
      <c r="K21859" s="33" t="s">
        <v>22</v>
      </c>
    </row>
    <row r="21860" spans="1:11">
      <c r="A21860" s="30" t="s">
        <v>48378</v>
      </c>
      <c r="B21860" s="30" t="s">
        <v>48379</v>
      </c>
      <c r="C21860" s="30" t="s">
        <v>24294</v>
      </c>
      <c r="D21860" s="30" t="s">
        <v>17</v>
      </c>
      <c r="E21860" s="30" t="s">
        <v>31</v>
      </c>
      <c r="F21860" s="30" t="s">
        <v>32</v>
      </c>
      <c r="G21860" s="30" t="s">
        <v>140</v>
      </c>
      <c r="H21860" s="32">
        <v>80</v>
      </c>
      <c r="I21860" s="30" t="s">
        <v>51</v>
      </c>
      <c r="J21860" s="41">
        <v>46001</v>
      </c>
      <c r="K21860" s="30" t="s">
        <v>22</v>
      </c>
    </row>
    <row r="21861" spans="1:11">
      <c r="A21861" s="33" t="s">
        <v>48380</v>
      </c>
      <c r="B21861" s="33" t="s">
        <v>48381</v>
      </c>
      <c r="C21861" s="33" t="s">
        <v>14483</v>
      </c>
      <c r="D21861" s="33" t="s">
        <v>17</v>
      </c>
      <c r="E21861" s="33" t="s">
        <v>18</v>
      </c>
      <c r="F21861" s="33" t="s">
        <v>19</v>
      </c>
      <c r="G21861" s="33" t="s">
        <v>140</v>
      </c>
      <c r="H21861" s="35">
        <v>382</v>
      </c>
      <c r="I21861" s="33" t="s">
        <v>51</v>
      </c>
      <c r="J21861" s="42">
        <v>45912</v>
      </c>
      <c r="K21861" s="33" t="s">
        <v>22</v>
      </c>
    </row>
    <row r="21862" spans="1:11">
      <c r="A21862" s="30" t="s">
        <v>48382</v>
      </c>
      <c r="B21862" s="30" t="s">
        <v>48383</v>
      </c>
      <c r="C21862" s="30" t="s">
        <v>48384</v>
      </c>
      <c r="D21862" s="30" t="s">
        <v>17</v>
      </c>
      <c r="E21862" s="30" t="s">
        <v>18</v>
      </c>
      <c r="F21862" s="30" t="s">
        <v>19</v>
      </c>
      <c r="G21862" s="30" t="s">
        <v>7780</v>
      </c>
      <c r="H21862" s="32">
        <v>214</v>
      </c>
      <c r="I21862" s="30" t="s">
        <v>51</v>
      </c>
      <c r="J21862" s="41">
        <v>45931</v>
      </c>
      <c r="K21862" s="30" t="s">
        <v>22</v>
      </c>
    </row>
    <row r="21863" spans="1:11">
      <c r="A21863" s="33" t="s">
        <v>48385</v>
      </c>
      <c r="B21863" s="33" t="s">
        <v>48386</v>
      </c>
      <c r="C21863" s="33" t="s">
        <v>48387</v>
      </c>
      <c r="D21863" s="33" t="s">
        <v>17</v>
      </c>
      <c r="E21863" s="33" t="s">
        <v>330</v>
      </c>
      <c r="F21863" s="33" t="s">
        <v>331</v>
      </c>
      <c r="G21863" s="33" t="s">
        <v>112</v>
      </c>
      <c r="H21863" s="35">
        <v>0</v>
      </c>
      <c r="I21863" s="33" t="s">
        <v>21</v>
      </c>
      <c r="J21863" s="42">
        <v>45825</v>
      </c>
      <c r="K21863" s="33" t="s">
        <v>22</v>
      </c>
    </row>
    <row r="21864" spans="1:11">
      <c r="A21864" s="30" t="s">
        <v>48388</v>
      </c>
      <c r="B21864" s="30" t="s">
        <v>48389</v>
      </c>
      <c r="C21864" s="30" t="s">
        <v>48390</v>
      </c>
      <c r="D21864" s="30" t="s">
        <v>17</v>
      </c>
      <c r="E21864" s="30" t="s">
        <v>212</v>
      </c>
      <c r="F21864" s="30" t="s">
        <v>213</v>
      </c>
      <c r="G21864" s="30" t="s">
        <v>140</v>
      </c>
      <c r="H21864" s="32">
        <v>240</v>
      </c>
      <c r="I21864" s="30" t="s">
        <v>51</v>
      </c>
      <c r="J21864" s="41">
        <v>45951</v>
      </c>
      <c r="K21864" s="30" t="s">
        <v>22</v>
      </c>
    </row>
    <row r="21865" spans="1:11">
      <c r="A21865" s="33" t="s">
        <v>48391</v>
      </c>
      <c r="B21865" s="33" t="s">
        <v>48392</v>
      </c>
      <c r="C21865" s="33" t="s">
        <v>48393</v>
      </c>
      <c r="D21865" s="33" t="s">
        <v>17</v>
      </c>
      <c r="E21865" s="33" t="s">
        <v>67</v>
      </c>
      <c r="F21865" s="33" t="s">
        <v>68</v>
      </c>
      <c r="G21865" s="33" t="s">
        <v>140</v>
      </c>
      <c r="H21865" s="35">
        <v>32</v>
      </c>
      <c r="I21865" s="33" t="s">
        <v>51</v>
      </c>
      <c r="J21865" s="42">
        <v>45807</v>
      </c>
      <c r="K21865" s="33" t="s">
        <v>22</v>
      </c>
    </row>
    <row r="21866" spans="1:11">
      <c r="A21866" s="30" t="s">
        <v>48394</v>
      </c>
      <c r="B21866" s="30" t="s">
        <v>48395</v>
      </c>
      <c r="C21866" s="30" t="s">
        <v>4348</v>
      </c>
      <c r="D21866" s="30" t="s">
        <v>17</v>
      </c>
      <c r="E21866" s="30" t="s">
        <v>26</v>
      </c>
      <c r="F21866" s="30" t="s">
        <v>27</v>
      </c>
      <c r="G21866" s="30" t="s">
        <v>140</v>
      </c>
      <c r="H21866" s="32">
        <v>16</v>
      </c>
      <c r="I21866" s="30" t="s">
        <v>51</v>
      </c>
      <c r="J21866" s="41">
        <v>46001</v>
      </c>
      <c r="K21866" s="30" t="s">
        <v>22</v>
      </c>
    </row>
    <row r="21867" spans="1:11">
      <c r="A21867" s="33" t="s">
        <v>48396</v>
      </c>
      <c r="B21867" s="33" t="s">
        <v>48397</v>
      </c>
      <c r="C21867" s="33" t="s">
        <v>9490</v>
      </c>
      <c r="D21867" s="33" t="s">
        <v>17</v>
      </c>
      <c r="E21867" s="33" t="s">
        <v>26</v>
      </c>
      <c r="F21867" s="33" t="s">
        <v>27</v>
      </c>
      <c r="G21867" s="33" t="s">
        <v>140</v>
      </c>
      <c r="H21867" s="35">
        <v>32</v>
      </c>
      <c r="I21867" s="33" t="s">
        <v>51</v>
      </c>
      <c r="J21867" s="42">
        <v>45775</v>
      </c>
      <c r="K21867" s="33" t="s">
        <v>22</v>
      </c>
    </row>
    <row r="21868" spans="1:11">
      <c r="A21868" s="30" t="s">
        <v>48398</v>
      </c>
      <c r="B21868" s="30" t="s">
        <v>48399</v>
      </c>
      <c r="C21868" s="30" t="s">
        <v>1428</v>
      </c>
      <c r="D21868" s="30" t="s">
        <v>17</v>
      </c>
      <c r="E21868" s="30" t="s">
        <v>18</v>
      </c>
      <c r="F21868" s="30" t="s">
        <v>19</v>
      </c>
      <c r="G21868" s="30" t="s">
        <v>140</v>
      </c>
      <c r="H21868" s="32">
        <v>246</v>
      </c>
      <c r="I21868" s="30" t="s">
        <v>51</v>
      </c>
      <c r="J21868" s="41">
        <v>46021</v>
      </c>
      <c r="K21868" s="30" t="s">
        <v>22</v>
      </c>
    </row>
    <row r="21869" spans="1:11">
      <c r="A21869" s="33" t="s">
        <v>48400</v>
      </c>
      <c r="B21869" s="33" t="s">
        <v>48401</v>
      </c>
      <c r="C21869" s="33" t="s">
        <v>48402</v>
      </c>
      <c r="D21869" s="33" t="s">
        <v>17</v>
      </c>
      <c r="E21869" s="33" t="s">
        <v>67</v>
      </c>
      <c r="F21869" s="33" t="s">
        <v>68</v>
      </c>
      <c r="G21869" s="33" t="s">
        <v>140</v>
      </c>
      <c r="H21869" s="35">
        <v>12</v>
      </c>
      <c r="I21869" s="33" t="s">
        <v>51</v>
      </c>
      <c r="J21869" s="42">
        <v>45926</v>
      </c>
      <c r="K21869" s="33" t="s">
        <v>22</v>
      </c>
    </row>
    <row r="21870" spans="1:11">
      <c r="A21870" s="30" t="s">
        <v>48403</v>
      </c>
      <c r="B21870" s="30" t="s">
        <v>48404</v>
      </c>
      <c r="C21870" s="30" t="s">
        <v>47508</v>
      </c>
      <c r="D21870" s="30" t="s">
        <v>17</v>
      </c>
      <c r="E21870" s="30" t="s">
        <v>67</v>
      </c>
      <c r="F21870" s="30" t="s">
        <v>68</v>
      </c>
      <c r="G21870" s="30" t="s">
        <v>2613</v>
      </c>
      <c r="H21870" s="32">
        <v>102</v>
      </c>
      <c r="I21870" s="30" t="s">
        <v>51</v>
      </c>
      <c r="J21870" s="41">
        <v>45800</v>
      </c>
      <c r="K21870" s="30" t="s">
        <v>22</v>
      </c>
    </row>
    <row r="21871" spans="1:11">
      <c r="A21871" s="33" t="s">
        <v>48405</v>
      </c>
      <c r="B21871" s="33" t="s">
        <v>48406</v>
      </c>
      <c r="C21871" s="33" t="s">
        <v>11599</v>
      </c>
      <c r="D21871" s="33" t="s">
        <v>17</v>
      </c>
      <c r="E21871" s="33" t="s">
        <v>18</v>
      </c>
      <c r="F21871" s="33" t="s">
        <v>19</v>
      </c>
      <c r="G21871" s="33" t="s">
        <v>20</v>
      </c>
      <c r="H21871" s="35">
        <v>637</v>
      </c>
      <c r="I21871" s="33" t="s">
        <v>21</v>
      </c>
      <c r="J21871" s="42">
        <v>45744</v>
      </c>
      <c r="K21871" s="33" t="s">
        <v>22</v>
      </c>
    </row>
    <row r="21872" spans="1:11">
      <c r="A21872" s="30" t="s">
        <v>48407</v>
      </c>
      <c r="B21872" s="30" t="s">
        <v>48408</v>
      </c>
      <c r="C21872" s="30" t="s">
        <v>48409</v>
      </c>
      <c r="D21872" s="30" t="s">
        <v>17</v>
      </c>
      <c r="E21872" s="30" t="s">
        <v>31</v>
      </c>
      <c r="F21872" s="30" t="s">
        <v>32</v>
      </c>
      <c r="G21872" s="30" t="s">
        <v>140</v>
      </c>
      <c r="H21872" s="32">
        <v>30</v>
      </c>
      <c r="I21872" s="30" t="s">
        <v>51</v>
      </c>
      <c r="J21872" s="41">
        <v>45930</v>
      </c>
      <c r="K21872" s="30" t="s">
        <v>22</v>
      </c>
    </row>
    <row r="21873" spans="1:11">
      <c r="A21873" s="33" t="s">
        <v>48410</v>
      </c>
      <c r="B21873" s="33" t="s">
        <v>48411</v>
      </c>
      <c r="C21873" s="33" t="s">
        <v>26943</v>
      </c>
      <c r="D21873" s="33" t="s">
        <v>17</v>
      </c>
      <c r="E21873" s="33" t="s">
        <v>330</v>
      </c>
      <c r="F21873" s="33" t="s">
        <v>331</v>
      </c>
      <c r="G21873" s="33" t="s">
        <v>20</v>
      </c>
      <c r="H21873" s="35">
        <v>8</v>
      </c>
      <c r="I21873" s="33" t="s">
        <v>21</v>
      </c>
      <c r="J21873" s="42">
        <v>45733</v>
      </c>
      <c r="K21873" s="33" t="s">
        <v>22</v>
      </c>
    </row>
    <row r="21874" spans="1:11">
      <c r="A21874" s="30" t="s">
        <v>48412</v>
      </c>
      <c r="B21874" s="30" t="s">
        <v>48413</v>
      </c>
      <c r="C21874" s="30" t="s">
        <v>48414</v>
      </c>
      <c r="D21874" s="30" t="s">
        <v>17</v>
      </c>
      <c r="E21874" s="30" t="s">
        <v>26</v>
      </c>
      <c r="F21874" s="30" t="s">
        <v>27</v>
      </c>
      <c r="G21874" s="30" t="s">
        <v>140</v>
      </c>
      <c r="H21874" s="32">
        <v>100</v>
      </c>
      <c r="I21874" s="30" t="s">
        <v>51</v>
      </c>
      <c r="J21874" s="41">
        <v>45974</v>
      </c>
      <c r="K21874" s="30" t="s">
        <v>22</v>
      </c>
    </row>
    <row r="21875" spans="1:11">
      <c r="A21875" s="33" t="s">
        <v>48415</v>
      </c>
      <c r="B21875" s="33" t="s">
        <v>48416</v>
      </c>
      <c r="C21875" s="33" t="s">
        <v>5122</v>
      </c>
      <c r="D21875" s="33" t="s">
        <v>17</v>
      </c>
      <c r="E21875" s="33" t="s">
        <v>31</v>
      </c>
      <c r="F21875" s="33" t="s">
        <v>32</v>
      </c>
      <c r="G21875" s="33" t="s">
        <v>20</v>
      </c>
      <c r="H21875" s="35">
        <v>103</v>
      </c>
      <c r="I21875" s="33" t="s">
        <v>21</v>
      </c>
      <c r="J21875" s="42">
        <v>45964</v>
      </c>
      <c r="K21875" s="33" t="s">
        <v>22</v>
      </c>
    </row>
    <row r="21876" spans="1:11">
      <c r="A21876" s="30" t="s">
        <v>48417</v>
      </c>
      <c r="B21876" s="30" t="s">
        <v>48418</v>
      </c>
      <c r="C21876" s="30" t="s">
        <v>4348</v>
      </c>
      <c r="D21876" s="30" t="s">
        <v>17</v>
      </c>
      <c r="E21876" s="30" t="s">
        <v>18</v>
      </c>
      <c r="F21876" s="30" t="s">
        <v>19</v>
      </c>
      <c r="G21876" s="30" t="s">
        <v>140</v>
      </c>
      <c r="H21876" s="32">
        <v>1450</v>
      </c>
      <c r="I21876" s="30" t="s">
        <v>51</v>
      </c>
      <c r="J21876" s="41">
        <v>45811</v>
      </c>
      <c r="K21876" s="30" t="s">
        <v>22</v>
      </c>
    </row>
    <row r="21877" spans="1:11">
      <c r="A21877" s="33" t="s">
        <v>48419</v>
      </c>
      <c r="B21877" s="33" t="s">
        <v>48420</v>
      </c>
      <c r="C21877" s="33" t="s">
        <v>48421</v>
      </c>
      <c r="D21877" s="33" t="s">
        <v>17</v>
      </c>
      <c r="E21877" s="33" t="s">
        <v>212</v>
      </c>
      <c r="F21877" s="33" t="s">
        <v>213</v>
      </c>
      <c r="G21877" s="33" t="s">
        <v>140</v>
      </c>
      <c r="H21877" s="35">
        <v>10</v>
      </c>
      <c r="I21877" s="33" t="s">
        <v>51</v>
      </c>
      <c r="J21877" s="42">
        <v>45882</v>
      </c>
      <c r="K21877" s="33" t="s">
        <v>22</v>
      </c>
    </row>
    <row r="21878" spans="1:11">
      <c r="A21878" s="30" t="s">
        <v>48422</v>
      </c>
      <c r="B21878" s="30" t="s">
        <v>48423</v>
      </c>
      <c r="C21878" s="30" t="s">
        <v>48424</v>
      </c>
      <c r="D21878" s="30" t="s">
        <v>17</v>
      </c>
      <c r="E21878" s="30" t="s">
        <v>31</v>
      </c>
      <c r="F21878" s="30" t="s">
        <v>32</v>
      </c>
      <c r="G21878" s="30" t="s">
        <v>140</v>
      </c>
      <c r="H21878" s="32">
        <v>60</v>
      </c>
      <c r="I21878" s="30" t="s">
        <v>51</v>
      </c>
      <c r="J21878" s="41">
        <v>45958</v>
      </c>
      <c r="K21878" s="30" t="s">
        <v>22</v>
      </c>
    </row>
    <row r="21879" spans="1:11">
      <c r="A21879" s="33" t="s">
        <v>48425</v>
      </c>
      <c r="B21879" s="33" t="s">
        <v>48426</v>
      </c>
      <c r="C21879" s="33" t="s">
        <v>48427</v>
      </c>
      <c r="D21879" s="33" t="s">
        <v>17</v>
      </c>
      <c r="E21879" s="33" t="s">
        <v>67</v>
      </c>
      <c r="F21879" s="33" t="s">
        <v>68</v>
      </c>
      <c r="G21879" s="33" t="s">
        <v>112</v>
      </c>
      <c r="H21879" s="35">
        <v>0</v>
      </c>
      <c r="I21879" s="33" t="s">
        <v>21</v>
      </c>
      <c r="J21879" s="42">
        <v>45748</v>
      </c>
      <c r="K21879" s="33" t="s">
        <v>22</v>
      </c>
    </row>
    <row r="21880" spans="1:11">
      <c r="A21880" s="30" t="s">
        <v>48428</v>
      </c>
      <c r="B21880" s="30" t="s">
        <v>48429</v>
      </c>
      <c r="C21880" s="30" t="s">
        <v>48430</v>
      </c>
      <c r="D21880" s="30" t="s">
        <v>17</v>
      </c>
      <c r="E21880" s="30" t="s">
        <v>67</v>
      </c>
      <c r="F21880" s="30" t="s">
        <v>68</v>
      </c>
      <c r="G21880" s="30" t="s">
        <v>140</v>
      </c>
      <c r="H21880" s="32">
        <v>66</v>
      </c>
      <c r="I21880" s="30" t="s">
        <v>51</v>
      </c>
      <c r="J21880" s="41">
        <v>46013</v>
      </c>
      <c r="K21880" s="30" t="s">
        <v>22</v>
      </c>
    </row>
    <row r="21881" spans="1:11">
      <c r="A21881" s="33" t="s">
        <v>48431</v>
      </c>
      <c r="B21881" s="33" t="s">
        <v>48432</v>
      </c>
      <c r="C21881" s="33" t="s">
        <v>13434</v>
      </c>
      <c r="D21881" s="33" t="s">
        <v>17</v>
      </c>
      <c r="E21881" s="33" t="s">
        <v>26</v>
      </c>
      <c r="F21881" s="33" t="s">
        <v>27</v>
      </c>
      <c r="G21881" s="33" t="s">
        <v>106</v>
      </c>
      <c r="H21881" s="35">
        <v>3</v>
      </c>
      <c r="I21881" s="33" t="s">
        <v>21</v>
      </c>
      <c r="J21881" s="42">
        <v>45754</v>
      </c>
      <c r="K21881" s="33" t="s">
        <v>22</v>
      </c>
    </row>
    <row r="21882" spans="1:11">
      <c r="A21882" s="30" t="s">
        <v>48433</v>
      </c>
      <c r="B21882" s="30" t="s">
        <v>48434</v>
      </c>
      <c r="C21882" s="30" t="s">
        <v>8443</v>
      </c>
      <c r="D21882" s="30" t="s">
        <v>17</v>
      </c>
      <c r="E21882" s="30" t="s">
        <v>330</v>
      </c>
      <c r="F21882" s="30" t="s">
        <v>331</v>
      </c>
      <c r="G21882" s="30" t="s">
        <v>140</v>
      </c>
      <c r="H21882" s="32">
        <v>20</v>
      </c>
      <c r="I21882" s="30" t="s">
        <v>51</v>
      </c>
      <c r="J21882" s="41">
        <v>45901</v>
      </c>
      <c r="K21882" s="30" t="s">
        <v>22</v>
      </c>
    </row>
    <row r="21883" spans="1:11">
      <c r="A21883" s="33" t="s">
        <v>48435</v>
      </c>
      <c r="B21883" s="33" t="s">
        <v>48436</v>
      </c>
      <c r="C21883" s="33" t="s">
        <v>530</v>
      </c>
      <c r="D21883" s="33" t="s">
        <v>17</v>
      </c>
      <c r="E21883" s="33" t="s">
        <v>26</v>
      </c>
      <c r="F21883" s="33" t="s">
        <v>27</v>
      </c>
      <c r="G21883" s="33" t="s">
        <v>140</v>
      </c>
      <c r="H21883" s="35">
        <v>200</v>
      </c>
      <c r="I21883" s="33" t="s">
        <v>51</v>
      </c>
      <c r="J21883" s="42">
        <v>45664</v>
      </c>
      <c r="K21883" s="33" t="s">
        <v>22</v>
      </c>
    </row>
    <row r="21884" spans="1:11">
      <c r="A21884" s="30" t="s">
        <v>48437</v>
      </c>
      <c r="B21884" s="30" t="s">
        <v>48438</v>
      </c>
      <c r="C21884" s="30" t="s">
        <v>1764</v>
      </c>
      <c r="D21884" s="30" t="s">
        <v>17</v>
      </c>
      <c r="E21884" s="30" t="s">
        <v>212</v>
      </c>
      <c r="F21884" s="30" t="s">
        <v>213</v>
      </c>
      <c r="G21884" s="30" t="s">
        <v>20</v>
      </c>
      <c r="H21884" s="32">
        <v>228</v>
      </c>
      <c r="I21884" s="30" t="s">
        <v>21</v>
      </c>
      <c r="J21884" s="41">
        <v>45845</v>
      </c>
      <c r="K21884" s="30" t="s">
        <v>22</v>
      </c>
    </row>
    <row r="21885" spans="1:11">
      <c r="A21885" s="33" t="s">
        <v>48439</v>
      </c>
      <c r="B21885" s="33" t="s">
        <v>48440</v>
      </c>
      <c r="C21885" s="33" t="s">
        <v>48441</v>
      </c>
      <c r="D21885" s="33" t="s">
        <v>17</v>
      </c>
      <c r="E21885" s="33" t="s">
        <v>26</v>
      </c>
      <c r="F21885" s="33" t="s">
        <v>27</v>
      </c>
      <c r="G21885" s="33" t="s">
        <v>140</v>
      </c>
      <c r="H21885" s="35">
        <v>15</v>
      </c>
      <c r="I21885" s="33" t="s">
        <v>51</v>
      </c>
      <c r="J21885" s="42">
        <v>45863</v>
      </c>
      <c r="K21885" s="33" t="s">
        <v>22</v>
      </c>
    </row>
    <row r="21886" spans="1:11">
      <c r="A21886" s="30" t="s">
        <v>48442</v>
      </c>
      <c r="B21886" s="30" t="s">
        <v>48443</v>
      </c>
      <c r="C21886" s="30" t="s">
        <v>149</v>
      </c>
      <c r="D21886" s="30" t="s">
        <v>17</v>
      </c>
      <c r="E21886" s="30" t="s">
        <v>26</v>
      </c>
      <c r="F21886" s="30" t="s">
        <v>27</v>
      </c>
      <c r="G21886" s="30" t="s">
        <v>140</v>
      </c>
      <c r="H21886" s="32">
        <v>153</v>
      </c>
      <c r="I21886" s="30" t="s">
        <v>51</v>
      </c>
      <c r="J21886" s="41">
        <v>45916</v>
      </c>
      <c r="K21886" s="30" t="s">
        <v>22</v>
      </c>
    </row>
    <row r="21887" spans="1:11">
      <c r="A21887" s="33" t="s">
        <v>48444</v>
      </c>
      <c r="B21887" s="33" t="s">
        <v>48445</v>
      </c>
      <c r="C21887" s="33" t="s">
        <v>30640</v>
      </c>
      <c r="D21887" s="33" t="s">
        <v>17</v>
      </c>
      <c r="E21887" s="33" t="s">
        <v>26</v>
      </c>
      <c r="F21887" s="33" t="s">
        <v>27</v>
      </c>
      <c r="G21887" s="33" t="s">
        <v>20</v>
      </c>
      <c r="H21887" s="35">
        <v>84</v>
      </c>
      <c r="I21887" s="33" t="s">
        <v>21</v>
      </c>
      <c r="J21887" s="42">
        <v>45754</v>
      </c>
      <c r="K21887" s="33" t="s">
        <v>22</v>
      </c>
    </row>
    <row r="21888" spans="1:11">
      <c r="A21888" s="30" t="s">
        <v>48446</v>
      </c>
      <c r="B21888" s="30" t="s">
        <v>48447</v>
      </c>
      <c r="C21888" s="30" t="s">
        <v>24097</v>
      </c>
      <c r="D21888" s="30" t="s">
        <v>17</v>
      </c>
      <c r="E21888" s="30" t="s">
        <v>26</v>
      </c>
      <c r="F21888" s="30" t="s">
        <v>27</v>
      </c>
      <c r="G21888" s="30" t="s">
        <v>140</v>
      </c>
      <c r="H21888" s="32">
        <v>30</v>
      </c>
      <c r="I21888" s="30" t="s">
        <v>51</v>
      </c>
      <c r="J21888" s="41">
        <v>46010</v>
      </c>
      <c r="K21888" s="30" t="s">
        <v>22</v>
      </c>
    </row>
    <row r="21889" spans="1:11">
      <c r="A21889" s="33" t="s">
        <v>48448</v>
      </c>
      <c r="B21889" s="33" t="s">
        <v>48449</v>
      </c>
      <c r="C21889" s="33" t="s">
        <v>36685</v>
      </c>
      <c r="D21889" s="33" t="s">
        <v>17</v>
      </c>
      <c r="E21889" s="33" t="s">
        <v>26</v>
      </c>
      <c r="F21889" s="33" t="s">
        <v>27</v>
      </c>
      <c r="G21889" s="33" t="s">
        <v>140</v>
      </c>
      <c r="H21889" s="35">
        <v>48</v>
      </c>
      <c r="I21889" s="33" t="s">
        <v>51</v>
      </c>
      <c r="J21889" s="42">
        <v>45823</v>
      </c>
      <c r="K21889" s="33" t="s">
        <v>22</v>
      </c>
    </row>
    <row r="21890" spans="1:11">
      <c r="A21890" s="30" t="s">
        <v>48450</v>
      </c>
      <c r="B21890" s="30" t="s">
        <v>48451</v>
      </c>
      <c r="C21890" s="30" t="s">
        <v>1003</v>
      </c>
      <c r="D21890" s="30" t="s">
        <v>17</v>
      </c>
      <c r="E21890" s="30" t="s">
        <v>26</v>
      </c>
      <c r="F21890" s="30" t="s">
        <v>27</v>
      </c>
      <c r="G21890" s="30" t="s">
        <v>140</v>
      </c>
      <c r="H21890" s="32">
        <v>30</v>
      </c>
      <c r="I21890" s="30" t="s">
        <v>51</v>
      </c>
      <c r="J21890" s="41">
        <v>45747</v>
      </c>
      <c r="K21890" s="30" t="s">
        <v>22</v>
      </c>
    </row>
    <row r="21891" spans="1:11">
      <c r="A21891" s="33" t="s">
        <v>48452</v>
      </c>
      <c r="B21891" s="33" t="s">
        <v>48453</v>
      </c>
      <c r="C21891" s="33" t="s">
        <v>2012</v>
      </c>
      <c r="D21891" s="33" t="s">
        <v>17</v>
      </c>
      <c r="E21891" s="33" t="s">
        <v>18</v>
      </c>
      <c r="F21891" s="33" t="s">
        <v>19</v>
      </c>
      <c r="G21891" s="33" t="s">
        <v>2613</v>
      </c>
      <c r="H21891" s="35">
        <v>150</v>
      </c>
      <c r="I21891" s="33" t="s">
        <v>51</v>
      </c>
      <c r="J21891" s="42">
        <v>45889</v>
      </c>
      <c r="K21891" s="33" t="s">
        <v>22</v>
      </c>
    </row>
    <row r="21892" spans="1:11">
      <c r="A21892" s="30" t="s">
        <v>48454</v>
      </c>
      <c r="B21892" s="30" t="s">
        <v>48455</v>
      </c>
      <c r="C21892" s="30" t="s">
        <v>157</v>
      </c>
      <c r="D21892" s="30" t="s">
        <v>17</v>
      </c>
      <c r="E21892" s="30" t="s">
        <v>18</v>
      </c>
      <c r="F21892" s="30" t="s">
        <v>19</v>
      </c>
      <c r="G21892" s="30" t="s">
        <v>140</v>
      </c>
      <c r="H21892" s="32">
        <v>20</v>
      </c>
      <c r="I21892" s="30" t="s">
        <v>51</v>
      </c>
      <c r="J21892" s="41">
        <v>45943</v>
      </c>
      <c r="K21892" s="30" t="s">
        <v>22</v>
      </c>
    </row>
    <row r="21893" spans="1:11">
      <c r="A21893" s="33" t="s">
        <v>48456</v>
      </c>
      <c r="B21893" s="33" t="s">
        <v>48457</v>
      </c>
      <c r="C21893" s="33" t="s">
        <v>157</v>
      </c>
      <c r="D21893" s="33" t="s">
        <v>17</v>
      </c>
      <c r="E21893" s="33" t="s">
        <v>18</v>
      </c>
      <c r="F21893" s="33" t="s">
        <v>19</v>
      </c>
      <c r="G21893" s="33" t="s">
        <v>158</v>
      </c>
      <c r="H21893" s="35">
        <v>496</v>
      </c>
      <c r="I21893" s="33" t="s">
        <v>21</v>
      </c>
      <c r="J21893" s="42">
        <v>45968</v>
      </c>
      <c r="K21893" s="33" t="s">
        <v>22</v>
      </c>
    </row>
    <row r="21894" spans="1:11">
      <c r="A21894" s="30" t="s">
        <v>48458</v>
      </c>
      <c r="B21894" s="30" t="s">
        <v>48459</v>
      </c>
      <c r="C21894" s="30" t="s">
        <v>48460</v>
      </c>
      <c r="D21894" s="30" t="s">
        <v>17</v>
      </c>
      <c r="E21894" s="30" t="s">
        <v>31</v>
      </c>
      <c r="F21894" s="30" t="s">
        <v>32</v>
      </c>
      <c r="G21894" s="30" t="s">
        <v>140</v>
      </c>
      <c r="H21894" s="32">
        <v>45</v>
      </c>
      <c r="I21894" s="30" t="s">
        <v>51</v>
      </c>
      <c r="J21894" s="41">
        <v>45894</v>
      </c>
      <c r="K21894" s="30" t="s">
        <v>22</v>
      </c>
    </row>
    <row r="21895" spans="1:11">
      <c r="A21895" s="33" t="s">
        <v>48461</v>
      </c>
      <c r="B21895" s="33" t="s">
        <v>48462</v>
      </c>
      <c r="C21895" s="33" t="s">
        <v>48260</v>
      </c>
      <c r="D21895" s="33" t="s">
        <v>17</v>
      </c>
      <c r="E21895" s="33" t="s">
        <v>31</v>
      </c>
      <c r="F21895" s="33" t="s">
        <v>32</v>
      </c>
      <c r="G21895" s="33" t="s">
        <v>140</v>
      </c>
      <c r="H21895" s="35">
        <v>84</v>
      </c>
      <c r="I21895" s="33" t="s">
        <v>51</v>
      </c>
      <c r="J21895" s="42">
        <v>45903</v>
      </c>
      <c r="K21895" s="33" t="s">
        <v>22</v>
      </c>
    </row>
    <row r="21896" spans="1:11">
      <c r="A21896" s="30" t="s">
        <v>48463</v>
      </c>
      <c r="B21896" s="30" t="s">
        <v>48464</v>
      </c>
      <c r="C21896" s="30" t="s">
        <v>3278</v>
      </c>
      <c r="D21896" s="30" t="s">
        <v>17</v>
      </c>
      <c r="E21896" s="30" t="s">
        <v>26</v>
      </c>
      <c r="F21896" s="30" t="s">
        <v>27</v>
      </c>
      <c r="G21896" s="30" t="s">
        <v>158</v>
      </c>
      <c r="H21896" s="32">
        <v>36</v>
      </c>
      <c r="I21896" s="30" t="s">
        <v>51</v>
      </c>
      <c r="J21896" s="41">
        <v>45995</v>
      </c>
      <c r="K21896" s="30" t="s">
        <v>22</v>
      </c>
    </row>
    <row r="21897" spans="1:11">
      <c r="A21897" s="33" t="s">
        <v>48465</v>
      </c>
      <c r="B21897" s="33" t="s">
        <v>48466</v>
      </c>
      <c r="C21897" s="33" t="s">
        <v>2261</v>
      </c>
      <c r="D21897" s="33" t="s">
        <v>17</v>
      </c>
      <c r="E21897" s="33" t="s">
        <v>18</v>
      </c>
      <c r="F21897" s="33" t="s">
        <v>19</v>
      </c>
      <c r="G21897" s="33" t="s">
        <v>140</v>
      </c>
      <c r="H21897" s="35">
        <v>30</v>
      </c>
      <c r="I21897" s="33" t="s">
        <v>51</v>
      </c>
      <c r="J21897" s="42">
        <v>45982</v>
      </c>
      <c r="K21897" s="33" t="s">
        <v>22</v>
      </c>
    </row>
    <row r="21898" spans="1:11">
      <c r="A21898" s="30" t="s">
        <v>48467</v>
      </c>
      <c r="B21898" s="30" t="s">
        <v>48468</v>
      </c>
      <c r="C21898" s="30" t="s">
        <v>2839</v>
      </c>
      <c r="D21898" s="30" t="s">
        <v>17</v>
      </c>
      <c r="E21898" s="30" t="s">
        <v>31</v>
      </c>
      <c r="F21898" s="30" t="s">
        <v>32</v>
      </c>
      <c r="G21898" s="30" t="s">
        <v>140</v>
      </c>
      <c r="H21898" s="32">
        <v>240</v>
      </c>
      <c r="I21898" s="30" t="s">
        <v>51</v>
      </c>
      <c r="J21898" s="41">
        <v>45954</v>
      </c>
      <c r="K21898" s="30" t="s">
        <v>22</v>
      </c>
    </row>
    <row r="21899" spans="1:11">
      <c r="A21899" s="33" t="s">
        <v>48469</v>
      </c>
      <c r="B21899" s="33" t="s">
        <v>48470</v>
      </c>
      <c r="C21899" s="33" t="s">
        <v>32043</v>
      </c>
      <c r="D21899" s="33" t="s">
        <v>17</v>
      </c>
      <c r="E21899" s="33" t="s">
        <v>26</v>
      </c>
      <c r="F21899" s="33" t="s">
        <v>27</v>
      </c>
      <c r="G21899" s="33" t="s">
        <v>20</v>
      </c>
      <c r="H21899" s="35">
        <v>44</v>
      </c>
      <c r="I21899" s="33" t="s">
        <v>21</v>
      </c>
      <c r="J21899" s="42">
        <v>45700</v>
      </c>
      <c r="K21899" s="33" t="s">
        <v>22</v>
      </c>
    </row>
    <row r="21900" spans="1:11">
      <c r="A21900" s="30" t="s">
        <v>48471</v>
      </c>
      <c r="B21900" s="30" t="s">
        <v>48472</v>
      </c>
      <c r="C21900" s="30" t="s">
        <v>190</v>
      </c>
      <c r="D21900" s="30" t="s">
        <v>17</v>
      </c>
      <c r="E21900" s="30" t="s">
        <v>67</v>
      </c>
      <c r="F21900" s="30" t="s">
        <v>68</v>
      </c>
      <c r="G21900" s="30" t="s">
        <v>140</v>
      </c>
      <c r="H21900" s="32">
        <v>408</v>
      </c>
      <c r="I21900" s="30" t="s">
        <v>51</v>
      </c>
      <c r="J21900" s="41">
        <v>45687</v>
      </c>
      <c r="K21900" s="30" t="s">
        <v>22</v>
      </c>
    </row>
    <row r="21901" spans="1:11">
      <c r="A21901" s="33" t="s">
        <v>48473</v>
      </c>
      <c r="B21901" s="33" t="s">
        <v>48474</v>
      </c>
      <c r="C21901" s="33" t="s">
        <v>3013</v>
      </c>
      <c r="D21901" s="33" t="s">
        <v>17</v>
      </c>
      <c r="E21901" s="33" t="s">
        <v>26</v>
      </c>
      <c r="F21901" s="33" t="s">
        <v>27</v>
      </c>
      <c r="G21901" s="33" t="s">
        <v>158</v>
      </c>
      <c r="H21901" s="35">
        <v>130</v>
      </c>
      <c r="I21901" s="33" t="s">
        <v>51</v>
      </c>
      <c r="J21901" s="42">
        <v>45848</v>
      </c>
      <c r="K21901" s="33" t="s">
        <v>22</v>
      </c>
    </row>
    <row r="21902" spans="1:11">
      <c r="A21902" s="30" t="s">
        <v>48475</v>
      </c>
      <c r="B21902" s="30" t="s">
        <v>48476</v>
      </c>
      <c r="C21902" s="30" t="s">
        <v>42561</v>
      </c>
      <c r="D21902" s="30" t="s">
        <v>17</v>
      </c>
      <c r="E21902" s="30" t="s">
        <v>18</v>
      </c>
      <c r="F21902" s="30" t="s">
        <v>19</v>
      </c>
      <c r="G21902" s="30" t="s">
        <v>158</v>
      </c>
      <c r="H21902" s="32">
        <v>274</v>
      </c>
      <c r="I21902" s="30" t="s">
        <v>21</v>
      </c>
      <c r="J21902" s="41">
        <v>45673</v>
      </c>
      <c r="K21902" s="30" t="s">
        <v>22</v>
      </c>
    </row>
    <row r="21903" spans="1:11">
      <c r="A21903" s="33" t="s">
        <v>48477</v>
      </c>
      <c r="B21903" s="33" t="s">
        <v>48478</v>
      </c>
      <c r="C21903" s="33" t="s">
        <v>3296</v>
      </c>
      <c r="D21903" s="33" t="s">
        <v>17</v>
      </c>
      <c r="E21903" s="33" t="s">
        <v>31</v>
      </c>
      <c r="F21903" s="33" t="s">
        <v>32</v>
      </c>
      <c r="G21903" s="33" t="s">
        <v>7780</v>
      </c>
      <c r="H21903" s="35">
        <v>288</v>
      </c>
      <c r="I21903" s="33" t="s">
        <v>51</v>
      </c>
      <c r="J21903" s="42">
        <v>45962</v>
      </c>
      <c r="K21903" s="33" t="s">
        <v>22</v>
      </c>
    </row>
    <row r="21904" spans="1:11">
      <c r="A21904" s="30" t="s">
        <v>48479</v>
      </c>
      <c r="B21904" s="30" t="s">
        <v>48480</v>
      </c>
      <c r="C21904" s="30" t="s">
        <v>48481</v>
      </c>
      <c r="D21904" s="30" t="s">
        <v>17</v>
      </c>
      <c r="E21904" s="30" t="s">
        <v>31</v>
      </c>
      <c r="F21904" s="30" t="s">
        <v>32</v>
      </c>
      <c r="G21904" s="30" t="s">
        <v>140</v>
      </c>
      <c r="H21904" s="32">
        <v>46</v>
      </c>
      <c r="I21904" s="30" t="s">
        <v>51</v>
      </c>
      <c r="J21904" s="41">
        <v>45703</v>
      </c>
      <c r="K21904" s="30" t="s">
        <v>22</v>
      </c>
    </row>
    <row r="21905" spans="1:11">
      <c r="A21905" s="33" t="s">
        <v>48482</v>
      </c>
      <c r="B21905" s="33" t="s">
        <v>48483</v>
      </c>
      <c r="C21905" s="33" t="s">
        <v>157</v>
      </c>
      <c r="D21905" s="33" t="s">
        <v>17</v>
      </c>
      <c r="E21905" s="33" t="s">
        <v>212</v>
      </c>
      <c r="F21905" s="33" t="s">
        <v>213</v>
      </c>
      <c r="G21905" s="33" t="s">
        <v>140</v>
      </c>
      <c r="H21905" s="35">
        <v>78</v>
      </c>
      <c r="I21905" s="33" t="s">
        <v>51</v>
      </c>
      <c r="J21905" s="42">
        <v>45671</v>
      </c>
      <c r="K21905" s="33" t="s">
        <v>22</v>
      </c>
    </row>
    <row r="21906" spans="1:11">
      <c r="A21906" s="30" t="s">
        <v>48484</v>
      </c>
      <c r="B21906" s="30" t="s">
        <v>48485</v>
      </c>
      <c r="C21906" s="30" t="s">
        <v>5842</v>
      </c>
      <c r="D21906" s="30" t="s">
        <v>17</v>
      </c>
      <c r="E21906" s="30" t="s">
        <v>18</v>
      </c>
      <c r="F21906" s="30" t="s">
        <v>19</v>
      </c>
      <c r="G21906" s="30" t="s">
        <v>140</v>
      </c>
      <c r="H21906" s="32">
        <v>406</v>
      </c>
      <c r="I21906" s="30" t="s">
        <v>51</v>
      </c>
      <c r="J21906" s="41">
        <v>45961</v>
      </c>
      <c r="K21906" s="30" t="s">
        <v>22</v>
      </c>
    </row>
    <row r="21907" spans="1:11">
      <c r="A21907" s="33" t="s">
        <v>48486</v>
      </c>
      <c r="B21907" s="33" t="s">
        <v>48487</v>
      </c>
      <c r="C21907" s="33" t="s">
        <v>29882</v>
      </c>
      <c r="D21907" s="33" t="s">
        <v>17</v>
      </c>
      <c r="E21907" s="33" t="s">
        <v>31</v>
      </c>
      <c r="F21907" s="33" t="s">
        <v>32</v>
      </c>
      <c r="G21907" s="33" t="s">
        <v>140</v>
      </c>
      <c r="H21907" s="35">
        <v>480</v>
      </c>
      <c r="I21907" s="33" t="s">
        <v>51</v>
      </c>
      <c r="J21907" s="42">
        <v>45911</v>
      </c>
      <c r="K21907" s="33" t="s">
        <v>22</v>
      </c>
    </row>
    <row r="21908" spans="1:11">
      <c r="A21908" s="30" t="s">
        <v>48488</v>
      </c>
      <c r="B21908" s="30" t="s">
        <v>48489</v>
      </c>
      <c r="C21908" s="30" t="s">
        <v>1136</v>
      </c>
      <c r="D21908" s="30" t="s">
        <v>17</v>
      </c>
      <c r="E21908" s="30" t="s">
        <v>67</v>
      </c>
      <c r="F21908" s="30" t="s">
        <v>68</v>
      </c>
      <c r="G21908" s="30" t="s">
        <v>140</v>
      </c>
      <c r="H21908" s="32">
        <v>228</v>
      </c>
      <c r="I21908" s="30" t="s">
        <v>51</v>
      </c>
      <c r="J21908" s="41">
        <v>45841</v>
      </c>
      <c r="K21908" s="30" t="s">
        <v>22</v>
      </c>
    </row>
    <row r="21909" spans="1:11">
      <c r="A21909" s="33" t="s">
        <v>48490</v>
      </c>
      <c r="B21909" s="33" t="s">
        <v>48491</v>
      </c>
      <c r="C21909" s="33" t="s">
        <v>3655</v>
      </c>
      <c r="D21909" s="33" t="s">
        <v>17</v>
      </c>
      <c r="E21909" s="33" t="s">
        <v>31</v>
      </c>
      <c r="F21909" s="33" t="s">
        <v>32</v>
      </c>
      <c r="G21909" s="33" t="s">
        <v>140</v>
      </c>
      <c r="H21909" s="35">
        <v>60</v>
      </c>
      <c r="I21909" s="33" t="s">
        <v>51</v>
      </c>
      <c r="J21909" s="42">
        <v>45719</v>
      </c>
      <c r="K21909" s="33" t="s">
        <v>22</v>
      </c>
    </row>
    <row r="21910" spans="1:11">
      <c r="A21910" s="30" t="s">
        <v>48492</v>
      </c>
      <c r="B21910" s="30" t="s">
        <v>48493</v>
      </c>
      <c r="C21910" s="30" t="s">
        <v>18780</v>
      </c>
      <c r="D21910" s="30" t="s">
        <v>17</v>
      </c>
      <c r="E21910" s="30" t="s">
        <v>18</v>
      </c>
      <c r="F21910" s="30" t="s">
        <v>19</v>
      </c>
      <c r="G21910" s="30" t="s">
        <v>20</v>
      </c>
      <c r="H21910" s="32">
        <v>144</v>
      </c>
      <c r="I21910" s="30" t="s">
        <v>21</v>
      </c>
      <c r="J21910" s="41">
        <v>45834</v>
      </c>
      <c r="K21910" s="30" t="s">
        <v>22</v>
      </c>
    </row>
    <row r="21911" spans="1:11">
      <c r="A21911" s="33" t="s">
        <v>48494</v>
      </c>
      <c r="B21911" s="33" t="s">
        <v>48495</v>
      </c>
      <c r="C21911" s="33" t="s">
        <v>118</v>
      </c>
      <c r="D21911" s="33" t="s">
        <v>17</v>
      </c>
      <c r="E21911" s="33" t="s">
        <v>26</v>
      </c>
      <c r="F21911" s="33" t="s">
        <v>27</v>
      </c>
      <c r="G21911" s="33" t="s">
        <v>140</v>
      </c>
      <c r="H21911" s="35">
        <v>36</v>
      </c>
      <c r="I21911" s="33" t="s">
        <v>51</v>
      </c>
      <c r="J21911" s="42">
        <v>45728</v>
      </c>
      <c r="K21911" s="33" t="s">
        <v>22</v>
      </c>
    </row>
    <row r="21912" spans="1:11">
      <c r="A21912" s="30" t="s">
        <v>48496</v>
      </c>
      <c r="B21912" s="30" t="s">
        <v>48497</v>
      </c>
      <c r="C21912" s="30" t="s">
        <v>3655</v>
      </c>
      <c r="D21912" s="30" t="s">
        <v>17</v>
      </c>
      <c r="E21912" s="30" t="s">
        <v>31</v>
      </c>
      <c r="F21912" s="30" t="s">
        <v>32</v>
      </c>
      <c r="G21912" s="30" t="s">
        <v>112</v>
      </c>
      <c r="H21912" s="32">
        <v>0</v>
      </c>
      <c r="I21912" s="30" t="s">
        <v>21</v>
      </c>
      <c r="J21912" s="41">
        <v>45839</v>
      </c>
      <c r="K21912" s="30" t="s">
        <v>22</v>
      </c>
    </row>
    <row r="21913" spans="1:11">
      <c r="A21913" s="33" t="s">
        <v>48498</v>
      </c>
      <c r="B21913" s="33" t="s">
        <v>48499</v>
      </c>
      <c r="C21913" s="33" t="s">
        <v>5372</v>
      </c>
      <c r="D21913" s="33" t="s">
        <v>17</v>
      </c>
      <c r="E21913" s="33" t="s">
        <v>18</v>
      </c>
      <c r="F21913" s="33" t="s">
        <v>19</v>
      </c>
      <c r="G21913" s="33" t="s">
        <v>158</v>
      </c>
      <c r="H21913" s="35">
        <v>150</v>
      </c>
      <c r="I21913" s="33" t="s">
        <v>51</v>
      </c>
      <c r="J21913" s="42">
        <v>45868</v>
      </c>
      <c r="K21913" s="33" t="s">
        <v>22</v>
      </c>
    </row>
    <row r="21914" spans="1:11">
      <c r="A21914" s="30" t="s">
        <v>48500</v>
      </c>
      <c r="B21914" s="30" t="s">
        <v>48501</v>
      </c>
      <c r="C21914" s="30" t="s">
        <v>1003</v>
      </c>
      <c r="D21914" s="30" t="s">
        <v>17</v>
      </c>
      <c r="E21914" s="30" t="s">
        <v>67</v>
      </c>
      <c r="F21914" s="30" t="s">
        <v>68</v>
      </c>
      <c r="G21914" s="30" t="s">
        <v>140</v>
      </c>
      <c r="H21914" s="32">
        <v>120</v>
      </c>
      <c r="I21914" s="30" t="s">
        <v>51</v>
      </c>
      <c r="J21914" s="41">
        <v>45923</v>
      </c>
      <c r="K21914" s="30" t="s">
        <v>22</v>
      </c>
    </row>
    <row r="21915" spans="1:11">
      <c r="A21915" s="33" t="s">
        <v>48502</v>
      </c>
      <c r="B21915" s="33" t="s">
        <v>48503</v>
      </c>
      <c r="C21915" s="33" t="s">
        <v>19406</v>
      </c>
      <c r="D21915" s="33" t="s">
        <v>17</v>
      </c>
      <c r="E21915" s="33" t="s">
        <v>18</v>
      </c>
      <c r="F21915" s="33" t="s">
        <v>19</v>
      </c>
      <c r="G21915" s="33" t="s">
        <v>158</v>
      </c>
      <c r="H21915" s="35">
        <v>360</v>
      </c>
      <c r="I21915" s="33" t="s">
        <v>51</v>
      </c>
      <c r="J21915" s="42">
        <v>45847</v>
      </c>
      <c r="K21915" s="33" t="s">
        <v>22</v>
      </c>
    </row>
    <row r="21916" spans="1:11">
      <c r="A21916" s="30" t="s">
        <v>48504</v>
      </c>
      <c r="B21916" s="30" t="s">
        <v>48505</v>
      </c>
      <c r="C21916" s="30" t="s">
        <v>5050</v>
      </c>
      <c r="D21916" s="30" t="s">
        <v>17</v>
      </c>
      <c r="E21916" s="30" t="s">
        <v>18</v>
      </c>
      <c r="F21916" s="30" t="s">
        <v>19</v>
      </c>
      <c r="G21916" s="30" t="s">
        <v>20</v>
      </c>
      <c r="H21916" s="32">
        <v>286</v>
      </c>
      <c r="I21916" s="30" t="s">
        <v>21</v>
      </c>
      <c r="J21916" s="41">
        <v>45888</v>
      </c>
      <c r="K21916" s="30" t="s">
        <v>22</v>
      </c>
    </row>
    <row r="21917" spans="1:11">
      <c r="A21917" s="33" t="s">
        <v>48506</v>
      </c>
      <c r="B21917" s="33" t="s">
        <v>48507</v>
      </c>
      <c r="C21917" s="33" t="s">
        <v>190</v>
      </c>
      <c r="D21917" s="33" t="s">
        <v>17</v>
      </c>
      <c r="E21917" s="33" t="s">
        <v>31</v>
      </c>
      <c r="F21917" s="33" t="s">
        <v>32</v>
      </c>
      <c r="G21917" s="33" t="s">
        <v>158</v>
      </c>
      <c r="H21917" s="35">
        <v>33</v>
      </c>
      <c r="I21917" s="33" t="s">
        <v>21</v>
      </c>
      <c r="J21917" s="42">
        <v>45898</v>
      </c>
      <c r="K21917" s="33" t="s">
        <v>22</v>
      </c>
    </row>
    <row r="21918" spans="1:11">
      <c r="A21918" s="30" t="s">
        <v>48508</v>
      </c>
      <c r="B21918" s="30" t="s">
        <v>48509</v>
      </c>
      <c r="C21918" s="30" t="s">
        <v>1571</v>
      </c>
      <c r="D21918" s="30" t="s">
        <v>17</v>
      </c>
      <c r="E21918" s="30" t="s">
        <v>26</v>
      </c>
      <c r="F21918" s="30" t="s">
        <v>27</v>
      </c>
      <c r="G21918" s="30" t="s">
        <v>20</v>
      </c>
      <c r="H21918" s="32">
        <v>38</v>
      </c>
      <c r="I21918" s="30" t="s">
        <v>21</v>
      </c>
      <c r="J21918" s="41">
        <v>45790</v>
      </c>
      <c r="K21918" s="30" t="s">
        <v>22</v>
      </c>
    </row>
    <row r="21919" spans="1:11">
      <c r="A21919" s="33" t="s">
        <v>48510</v>
      </c>
      <c r="B21919" s="33" t="s">
        <v>48511</v>
      </c>
      <c r="C21919" s="33" t="s">
        <v>1270</v>
      </c>
      <c r="D21919" s="33" t="s">
        <v>17</v>
      </c>
      <c r="E21919" s="33" t="s">
        <v>67</v>
      </c>
      <c r="F21919" s="33" t="s">
        <v>68</v>
      </c>
      <c r="G21919" s="33" t="s">
        <v>140</v>
      </c>
      <c r="H21919" s="35">
        <v>104</v>
      </c>
      <c r="I21919" s="33" t="s">
        <v>51</v>
      </c>
      <c r="J21919" s="42">
        <v>45848</v>
      </c>
      <c r="K21919" s="33" t="s">
        <v>22</v>
      </c>
    </row>
    <row r="21920" spans="1:11">
      <c r="A21920" s="30" t="s">
        <v>48512</v>
      </c>
      <c r="B21920" s="30" t="s">
        <v>48513</v>
      </c>
      <c r="C21920" s="30" t="s">
        <v>48514</v>
      </c>
      <c r="D21920" s="30" t="s">
        <v>17</v>
      </c>
      <c r="E21920" s="30" t="s">
        <v>26</v>
      </c>
      <c r="F21920" s="30" t="s">
        <v>27</v>
      </c>
      <c r="G21920" s="30" t="s">
        <v>20</v>
      </c>
      <c r="H21920" s="32">
        <v>21</v>
      </c>
      <c r="I21920" s="30" t="s">
        <v>21</v>
      </c>
      <c r="J21920" s="41">
        <v>45849</v>
      </c>
      <c r="K21920" s="30" t="s">
        <v>22</v>
      </c>
    </row>
    <row r="21921" spans="1:11">
      <c r="A21921" s="33" t="s">
        <v>48515</v>
      </c>
      <c r="B21921" s="33" t="s">
        <v>48516</v>
      </c>
      <c r="C21921" s="33" t="s">
        <v>399</v>
      </c>
      <c r="D21921" s="33" t="s">
        <v>17</v>
      </c>
      <c r="E21921" s="33" t="s">
        <v>18</v>
      </c>
      <c r="F21921" s="33" t="s">
        <v>19</v>
      </c>
      <c r="G21921" s="33" t="s">
        <v>140</v>
      </c>
      <c r="H21921" s="35">
        <v>522</v>
      </c>
      <c r="I21921" s="33" t="s">
        <v>51</v>
      </c>
      <c r="J21921" s="42">
        <v>45716</v>
      </c>
      <c r="K21921" s="33" t="s">
        <v>22</v>
      </c>
    </row>
    <row r="21922" spans="1:11">
      <c r="A21922" s="30" t="s">
        <v>48517</v>
      </c>
      <c r="B21922" s="30" t="s">
        <v>48518</v>
      </c>
      <c r="C21922" s="30" t="s">
        <v>969</v>
      </c>
      <c r="D21922" s="30" t="s">
        <v>17</v>
      </c>
      <c r="E21922" s="30" t="s">
        <v>31</v>
      </c>
      <c r="F21922" s="30" t="s">
        <v>32</v>
      </c>
      <c r="G21922" s="30" t="s">
        <v>140</v>
      </c>
      <c r="H21922" s="32">
        <v>446</v>
      </c>
      <c r="I21922" s="30" t="s">
        <v>51</v>
      </c>
      <c r="J21922" s="41">
        <v>45960</v>
      </c>
      <c r="K21922" s="30" t="s">
        <v>22</v>
      </c>
    </row>
    <row r="21923" spans="1:11">
      <c r="A21923" s="33" t="s">
        <v>48519</v>
      </c>
      <c r="B21923" s="33" t="s">
        <v>48520</v>
      </c>
      <c r="C21923" s="33" t="s">
        <v>231</v>
      </c>
      <c r="D21923" s="33" t="s">
        <v>17</v>
      </c>
      <c r="E21923" s="33" t="s">
        <v>26</v>
      </c>
      <c r="F21923" s="33" t="s">
        <v>27</v>
      </c>
      <c r="G21923" s="33" t="s">
        <v>69</v>
      </c>
      <c r="H21923" s="35">
        <v>60</v>
      </c>
      <c r="I21923" s="33" t="s">
        <v>51</v>
      </c>
      <c r="J21923" s="42">
        <v>45684</v>
      </c>
      <c r="K21923" s="33" t="s">
        <v>22</v>
      </c>
    </row>
    <row r="21924" spans="1:11">
      <c r="A21924" s="30" t="s">
        <v>48521</v>
      </c>
      <c r="B21924" s="30" t="s">
        <v>48522</v>
      </c>
      <c r="C21924" s="30" t="s">
        <v>31000</v>
      </c>
      <c r="D21924" s="30" t="s">
        <v>17</v>
      </c>
      <c r="E21924" s="30" t="s">
        <v>67</v>
      </c>
      <c r="F21924" s="30" t="s">
        <v>68</v>
      </c>
      <c r="G21924" s="30" t="s">
        <v>158</v>
      </c>
      <c r="H21924" s="32">
        <v>159</v>
      </c>
      <c r="I21924" s="30" t="s">
        <v>51</v>
      </c>
      <c r="J21924" s="41">
        <v>45806</v>
      </c>
      <c r="K21924" s="30" t="s">
        <v>22</v>
      </c>
    </row>
    <row r="21925" spans="1:11">
      <c r="A21925" s="33" t="s">
        <v>48523</v>
      </c>
      <c r="B21925" s="33" t="s">
        <v>48524</v>
      </c>
      <c r="C21925" s="33" t="s">
        <v>5443</v>
      </c>
      <c r="D21925" s="33" t="s">
        <v>17</v>
      </c>
      <c r="E21925" s="33" t="s">
        <v>26</v>
      </c>
      <c r="F21925" s="33" t="s">
        <v>27</v>
      </c>
      <c r="G21925" s="33" t="s">
        <v>140</v>
      </c>
      <c r="H21925" s="35">
        <v>12</v>
      </c>
      <c r="I21925" s="33" t="s">
        <v>51</v>
      </c>
      <c r="J21925" s="42">
        <v>45717</v>
      </c>
      <c r="K21925" s="33" t="s">
        <v>22</v>
      </c>
    </row>
    <row r="21926" spans="1:11">
      <c r="A21926" s="30" t="s">
        <v>48525</v>
      </c>
      <c r="B21926" s="30" t="s">
        <v>48526</v>
      </c>
      <c r="C21926" s="30" t="s">
        <v>14816</v>
      </c>
      <c r="D21926" s="30" t="s">
        <v>17</v>
      </c>
      <c r="E21926" s="30" t="s">
        <v>26</v>
      </c>
      <c r="F21926" s="30" t="s">
        <v>27</v>
      </c>
      <c r="G21926" s="30" t="s">
        <v>20</v>
      </c>
      <c r="H21926" s="32">
        <v>38</v>
      </c>
      <c r="I21926" s="30" t="s">
        <v>21</v>
      </c>
      <c r="J21926" s="41">
        <v>46002</v>
      </c>
      <c r="K21926" s="30" t="s">
        <v>22</v>
      </c>
    </row>
    <row r="21927" spans="1:11">
      <c r="A21927" s="33" t="s">
        <v>48527</v>
      </c>
      <c r="B21927" s="33" t="s">
        <v>48528</v>
      </c>
      <c r="C21927" s="33" t="s">
        <v>2313</v>
      </c>
      <c r="D21927" s="33" t="s">
        <v>17</v>
      </c>
      <c r="E21927" s="33" t="s">
        <v>26</v>
      </c>
      <c r="F21927" s="33" t="s">
        <v>27</v>
      </c>
      <c r="G21927" s="33" t="s">
        <v>20</v>
      </c>
      <c r="H21927" s="35">
        <v>24</v>
      </c>
      <c r="I21927" s="33" t="s">
        <v>21</v>
      </c>
      <c r="J21927" s="42">
        <v>45982</v>
      </c>
      <c r="K21927" s="33" t="s">
        <v>22</v>
      </c>
    </row>
    <row r="21928" spans="1:11">
      <c r="A21928" s="30" t="s">
        <v>48529</v>
      </c>
      <c r="B21928" s="30" t="s">
        <v>48530</v>
      </c>
      <c r="C21928" s="30" t="s">
        <v>136</v>
      </c>
      <c r="D21928" s="30" t="s">
        <v>17</v>
      </c>
      <c r="E21928" s="30" t="s">
        <v>18</v>
      </c>
      <c r="F21928" s="30" t="s">
        <v>19</v>
      </c>
      <c r="G21928" s="30" t="s">
        <v>140</v>
      </c>
      <c r="H21928" s="32">
        <v>1100</v>
      </c>
      <c r="I21928" s="30" t="s">
        <v>51</v>
      </c>
      <c r="J21928" s="41">
        <v>45946</v>
      </c>
      <c r="K21928" s="30" t="s">
        <v>22</v>
      </c>
    </row>
    <row r="21929" spans="1:11">
      <c r="A21929" s="33" t="s">
        <v>48531</v>
      </c>
      <c r="B21929" s="33" t="s">
        <v>48532</v>
      </c>
      <c r="C21929" s="33" t="s">
        <v>14816</v>
      </c>
      <c r="D21929" s="33" t="s">
        <v>17</v>
      </c>
      <c r="E21929" s="33" t="s">
        <v>18</v>
      </c>
      <c r="F21929" s="33" t="s">
        <v>19</v>
      </c>
      <c r="G21929" s="33" t="s">
        <v>140</v>
      </c>
      <c r="H21929" s="35">
        <v>240</v>
      </c>
      <c r="I21929" s="33" t="s">
        <v>51</v>
      </c>
      <c r="J21929" s="42">
        <v>45861</v>
      </c>
      <c r="K21929" s="33" t="s">
        <v>22</v>
      </c>
    </row>
    <row r="21930" spans="1:11">
      <c r="A21930" s="30" t="s">
        <v>48533</v>
      </c>
      <c r="B21930" s="30" t="s">
        <v>48534</v>
      </c>
      <c r="C21930" s="30" t="s">
        <v>14483</v>
      </c>
      <c r="D21930" s="30" t="s">
        <v>17</v>
      </c>
      <c r="E21930" s="30" t="s">
        <v>26</v>
      </c>
      <c r="F21930" s="30" t="s">
        <v>27</v>
      </c>
      <c r="G21930" s="30" t="s">
        <v>140</v>
      </c>
      <c r="H21930" s="32">
        <v>170</v>
      </c>
      <c r="I21930" s="30" t="s">
        <v>51</v>
      </c>
      <c r="J21930" s="41">
        <v>46001</v>
      </c>
      <c r="K21930" s="30" t="s">
        <v>22</v>
      </c>
    </row>
    <row r="21931" spans="1:11">
      <c r="A21931" s="33" t="s">
        <v>48535</v>
      </c>
      <c r="B21931" s="33" t="s">
        <v>48536</v>
      </c>
      <c r="C21931" s="33" t="s">
        <v>17342</v>
      </c>
      <c r="D21931" s="33" t="s">
        <v>17</v>
      </c>
      <c r="E21931" s="33" t="s">
        <v>26</v>
      </c>
      <c r="F21931" s="33" t="s">
        <v>27</v>
      </c>
      <c r="G21931" s="33" t="s">
        <v>112</v>
      </c>
      <c r="H21931" s="35">
        <v>0</v>
      </c>
      <c r="I21931" s="33" t="s">
        <v>21</v>
      </c>
      <c r="J21931" s="42">
        <v>45992</v>
      </c>
      <c r="K21931" s="33" t="s">
        <v>22</v>
      </c>
    </row>
    <row r="21932" spans="1:11">
      <c r="A21932" s="30" t="s">
        <v>48537</v>
      </c>
      <c r="B21932" s="30" t="s">
        <v>48538</v>
      </c>
      <c r="C21932" s="30" t="s">
        <v>4348</v>
      </c>
      <c r="D21932" s="30" t="s">
        <v>17</v>
      </c>
      <c r="E21932" s="30" t="s">
        <v>26</v>
      </c>
      <c r="F21932" s="30" t="s">
        <v>27</v>
      </c>
      <c r="G21932" s="30" t="s">
        <v>140</v>
      </c>
      <c r="H21932" s="32">
        <v>45</v>
      </c>
      <c r="I21932" s="30" t="s">
        <v>51</v>
      </c>
      <c r="J21932" s="41">
        <v>45792</v>
      </c>
      <c r="K21932" s="30" t="s">
        <v>22</v>
      </c>
    </row>
    <row r="21933" spans="1:11">
      <c r="A21933" s="33" t="s">
        <v>48539</v>
      </c>
      <c r="B21933" s="33" t="s">
        <v>48540</v>
      </c>
      <c r="C21933" s="33" t="s">
        <v>4260</v>
      </c>
      <c r="D21933" s="33" t="s">
        <v>17</v>
      </c>
      <c r="E21933" s="33" t="s">
        <v>18</v>
      </c>
      <c r="F21933" s="33" t="s">
        <v>19</v>
      </c>
      <c r="G21933" s="33" t="s">
        <v>140</v>
      </c>
      <c r="H21933" s="35">
        <v>72</v>
      </c>
      <c r="I21933" s="33" t="s">
        <v>51</v>
      </c>
      <c r="J21933" s="42">
        <v>45684</v>
      </c>
      <c r="K21933" s="33" t="s">
        <v>22</v>
      </c>
    </row>
    <row r="21934" spans="1:11">
      <c r="A21934" s="30" t="s">
        <v>48541</v>
      </c>
      <c r="B21934" s="30" t="s">
        <v>48542</v>
      </c>
      <c r="C21934" s="30" t="s">
        <v>48543</v>
      </c>
      <c r="D21934" s="30" t="s">
        <v>17</v>
      </c>
      <c r="E21934" s="30" t="s">
        <v>26</v>
      </c>
      <c r="F21934" s="30" t="s">
        <v>27</v>
      </c>
      <c r="G21934" s="30" t="s">
        <v>7780</v>
      </c>
      <c r="H21934" s="32">
        <v>24</v>
      </c>
      <c r="I21934" s="30" t="s">
        <v>51</v>
      </c>
      <c r="J21934" s="41">
        <v>45848</v>
      </c>
      <c r="K21934" s="30" t="s">
        <v>22</v>
      </c>
    </row>
    <row r="21935" spans="1:11">
      <c r="A21935" s="33" t="s">
        <v>48544</v>
      </c>
      <c r="B21935" s="33" t="s">
        <v>48545</v>
      </c>
      <c r="C21935" s="33" t="s">
        <v>1598</v>
      </c>
      <c r="D21935" s="33" t="s">
        <v>17</v>
      </c>
      <c r="E21935" s="33" t="s">
        <v>18</v>
      </c>
      <c r="F21935" s="33" t="s">
        <v>19</v>
      </c>
      <c r="G21935" s="33" t="s">
        <v>140</v>
      </c>
      <c r="H21935" s="35">
        <v>450</v>
      </c>
      <c r="I21935" s="33" t="s">
        <v>51</v>
      </c>
      <c r="J21935" s="42">
        <v>45733</v>
      </c>
      <c r="K21935" s="33" t="s">
        <v>22</v>
      </c>
    </row>
    <row r="21936" spans="1:11">
      <c r="A21936" s="30" t="s">
        <v>48546</v>
      </c>
      <c r="B21936" s="30" t="s">
        <v>48547</v>
      </c>
      <c r="C21936" s="30" t="s">
        <v>48548</v>
      </c>
      <c r="D21936" s="30" t="s">
        <v>17</v>
      </c>
      <c r="E21936" s="30" t="s">
        <v>212</v>
      </c>
      <c r="F21936" s="30" t="s">
        <v>213</v>
      </c>
      <c r="G21936" s="30" t="s">
        <v>140</v>
      </c>
      <c r="H21936" s="32">
        <v>248</v>
      </c>
      <c r="I21936" s="30" t="s">
        <v>51</v>
      </c>
      <c r="J21936" s="41">
        <v>45883</v>
      </c>
      <c r="K21936" s="30" t="s">
        <v>22</v>
      </c>
    </row>
    <row r="21937" spans="1:11">
      <c r="A21937" s="33" t="s">
        <v>48549</v>
      </c>
      <c r="B21937" s="33" t="s">
        <v>48550</v>
      </c>
      <c r="C21937" s="33" t="s">
        <v>48551</v>
      </c>
      <c r="D21937" s="33" t="s">
        <v>17</v>
      </c>
      <c r="E21937" s="33" t="s">
        <v>67</v>
      </c>
      <c r="F21937" s="33" t="s">
        <v>68</v>
      </c>
      <c r="G21937" s="33" t="s">
        <v>140</v>
      </c>
      <c r="H21937" s="35">
        <v>90</v>
      </c>
      <c r="I21937" s="33" t="s">
        <v>51</v>
      </c>
      <c r="J21937" s="42">
        <v>45757</v>
      </c>
      <c r="K21937" s="33" t="s">
        <v>22</v>
      </c>
    </row>
    <row r="21938" spans="1:11">
      <c r="A21938" s="30" t="s">
        <v>48552</v>
      </c>
      <c r="B21938" s="30" t="s">
        <v>48553</v>
      </c>
      <c r="C21938" s="30" t="s">
        <v>157</v>
      </c>
      <c r="D21938" s="30" t="s">
        <v>17</v>
      </c>
      <c r="E21938" s="30" t="s">
        <v>45</v>
      </c>
      <c r="F21938" s="30" t="s">
        <v>46</v>
      </c>
      <c r="G21938" s="30" t="s">
        <v>20</v>
      </c>
      <c r="H21938" s="32">
        <v>187</v>
      </c>
      <c r="I21938" s="30" t="s">
        <v>21</v>
      </c>
      <c r="J21938" s="41">
        <v>45688</v>
      </c>
      <c r="K21938" s="30" t="s">
        <v>22</v>
      </c>
    </row>
    <row r="21939" spans="1:11">
      <c r="A21939" s="33" t="s">
        <v>48554</v>
      </c>
      <c r="B21939" s="33" t="s">
        <v>48555</v>
      </c>
      <c r="C21939" s="33" t="s">
        <v>1350</v>
      </c>
      <c r="D21939" s="33" t="s">
        <v>17</v>
      </c>
      <c r="E21939" s="33" t="s">
        <v>31</v>
      </c>
      <c r="F21939" s="33" t="s">
        <v>32</v>
      </c>
      <c r="G21939" s="33" t="s">
        <v>7780</v>
      </c>
      <c r="H21939" s="35">
        <v>220</v>
      </c>
      <c r="I21939" s="33" t="s">
        <v>51</v>
      </c>
      <c r="J21939" s="42">
        <v>45674</v>
      </c>
      <c r="K21939" s="33" t="s">
        <v>22</v>
      </c>
    </row>
    <row r="21940" spans="1:11">
      <c r="A21940" s="30" t="s">
        <v>48556</v>
      </c>
      <c r="B21940" s="30" t="s">
        <v>48557</v>
      </c>
      <c r="C21940" s="30" t="s">
        <v>96</v>
      </c>
      <c r="D21940" s="30" t="s">
        <v>17</v>
      </c>
      <c r="E21940" s="30" t="s">
        <v>26</v>
      </c>
      <c r="F21940" s="30" t="s">
        <v>27</v>
      </c>
      <c r="G21940" s="30" t="s">
        <v>112</v>
      </c>
      <c r="H21940" s="32">
        <v>0</v>
      </c>
      <c r="I21940" s="30" t="s">
        <v>21</v>
      </c>
      <c r="J21940" s="41">
        <v>45775</v>
      </c>
      <c r="K21940" s="30" t="s">
        <v>22</v>
      </c>
    </row>
    <row r="21941" spans="1:11">
      <c r="A21941" s="33" t="s">
        <v>48558</v>
      </c>
      <c r="B21941" s="33" t="s">
        <v>48559</v>
      </c>
      <c r="C21941" s="33" t="s">
        <v>39828</v>
      </c>
      <c r="D21941" s="33" t="s">
        <v>17</v>
      </c>
      <c r="E21941" s="33" t="s">
        <v>26</v>
      </c>
      <c r="F21941" s="33" t="s">
        <v>27</v>
      </c>
      <c r="G21941" s="33" t="s">
        <v>140</v>
      </c>
      <c r="H21941" s="35">
        <v>328</v>
      </c>
      <c r="I21941" s="33" t="s">
        <v>51</v>
      </c>
      <c r="J21941" s="42">
        <v>45957</v>
      </c>
      <c r="K21941" s="33" t="s">
        <v>22</v>
      </c>
    </row>
    <row r="21942" spans="1:11">
      <c r="A21942" s="30" t="s">
        <v>48560</v>
      </c>
      <c r="B21942" s="30" t="s">
        <v>48561</v>
      </c>
      <c r="C21942" s="30" t="s">
        <v>31562</v>
      </c>
      <c r="D21942" s="30" t="s">
        <v>17</v>
      </c>
      <c r="E21942" s="30" t="s">
        <v>26</v>
      </c>
      <c r="F21942" s="30" t="s">
        <v>27</v>
      </c>
      <c r="G21942" s="30" t="s">
        <v>20</v>
      </c>
      <c r="H21942" s="32">
        <v>18</v>
      </c>
      <c r="I21942" s="30" t="s">
        <v>21</v>
      </c>
      <c r="J21942" s="41">
        <v>45805</v>
      </c>
      <c r="K21942" s="30" t="s">
        <v>22</v>
      </c>
    </row>
    <row r="21943" spans="1:11">
      <c r="A21943" s="33" t="s">
        <v>48562</v>
      </c>
      <c r="B21943" s="33" t="s">
        <v>48563</v>
      </c>
      <c r="C21943" s="33" t="s">
        <v>40180</v>
      </c>
      <c r="D21943" s="33" t="s">
        <v>17</v>
      </c>
      <c r="E21943" s="33" t="s">
        <v>26</v>
      </c>
      <c r="F21943" s="33" t="s">
        <v>27</v>
      </c>
      <c r="G21943" s="33" t="s">
        <v>112</v>
      </c>
      <c r="H21943" s="35">
        <v>0</v>
      </c>
      <c r="I21943" s="33" t="s">
        <v>21</v>
      </c>
      <c r="J21943" s="42">
        <v>46006</v>
      </c>
      <c r="K21943" s="33" t="s">
        <v>22</v>
      </c>
    </row>
    <row r="21944" spans="1:11">
      <c r="A21944" s="30" t="s">
        <v>48564</v>
      </c>
      <c r="B21944" s="30" t="s">
        <v>48565</v>
      </c>
      <c r="C21944" s="30" t="s">
        <v>48566</v>
      </c>
      <c r="D21944" s="30" t="s">
        <v>17</v>
      </c>
      <c r="E21944" s="30" t="s">
        <v>26</v>
      </c>
      <c r="F21944" s="30" t="s">
        <v>27</v>
      </c>
      <c r="G21944" s="30" t="s">
        <v>140</v>
      </c>
      <c r="H21944" s="32">
        <v>32</v>
      </c>
      <c r="I21944" s="30" t="s">
        <v>51</v>
      </c>
      <c r="J21944" s="41">
        <v>45870</v>
      </c>
      <c r="K21944" s="30" t="s">
        <v>22</v>
      </c>
    </row>
    <row r="21945" spans="1:11">
      <c r="A21945" s="33" t="s">
        <v>48567</v>
      </c>
      <c r="B21945" s="33" t="s">
        <v>48568</v>
      </c>
      <c r="C21945" s="33" t="s">
        <v>252</v>
      </c>
      <c r="D21945" s="33" t="s">
        <v>17</v>
      </c>
      <c r="E21945" s="33" t="s">
        <v>67</v>
      </c>
      <c r="F21945" s="33" t="s">
        <v>68</v>
      </c>
      <c r="G21945" s="33" t="s">
        <v>158</v>
      </c>
      <c r="H21945" s="35">
        <v>110</v>
      </c>
      <c r="I21945" s="33" t="s">
        <v>51</v>
      </c>
      <c r="J21945" s="42">
        <v>45678</v>
      </c>
      <c r="K21945" s="33" t="s">
        <v>22</v>
      </c>
    </row>
    <row r="21946" spans="1:11">
      <c r="A21946" s="30" t="s">
        <v>48569</v>
      </c>
      <c r="B21946" s="30" t="s">
        <v>48570</v>
      </c>
      <c r="C21946" s="30" t="s">
        <v>11467</v>
      </c>
      <c r="D21946" s="30" t="s">
        <v>17</v>
      </c>
      <c r="E21946" s="30" t="s">
        <v>31</v>
      </c>
      <c r="F21946" s="30" t="s">
        <v>32</v>
      </c>
      <c r="G21946" s="30" t="s">
        <v>158</v>
      </c>
      <c r="H21946" s="32">
        <v>10</v>
      </c>
      <c r="I21946" s="30" t="s">
        <v>51</v>
      </c>
      <c r="J21946" s="41">
        <v>45910</v>
      </c>
      <c r="K21946" s="30" t="s">
        <v>22</v>
      </c>
    </row>
    <row r="21947" spans="1:11">
      <c r="A21947" s="33" t="s">
        <v>48571</v>
      </c>
      <c r="B21947" s="33" t="s">
        <v>48572</v>
      </c>
      <c r="C21947" s="33" t="s">
        <v>3429</v>
      </c>
      <c r="D21947" s="33" t="s">
        <v>17</v>
      </c>
      <c r="E21947" s="33" t="s">
        <v>26</v>
      </c>
      <c r="F21947" s="33" t="s">
        <v>27</v>
      </c>
      <c r="G21947" s="33" t="s">
        <v>20</v>
      </c>
      <c r="H21947" s="35">
        <v>48</v>
      </c>
      <c r="I21947" s="33" t="s">
        <v>21</v>
      </c>
      <c r="J21947" s="42">
        <v>45803</v>
      </c>
      <c r="K21947" s="33" t="s">
        <v>22</v>
      </c>
    </row>
    <row r="21948" spans="1:11">
      <c r="A21948" s="30" t="s">
        <v>48573</v>
      </c>
      <c r="B21948" s="30" t="s">
        <v>48574</v>
      </c>
      <c r="C21948" s="30" t="s">
        <v>3647</v>
      </c>
      <c r="D21948" s="30" t="s">
        <v>17</v>
      </c>
      <c r="E21948" s="30" t="s">
        <v>26</v>
      </c>
      <c r="F21948" s="30" t="s">
        <v>27</v>
      </c>
      <c r="G21948" s="30" t="s">
        <v>140</v>
      </c>
      <c r="H21948" s="32">
        <v>68</v>
      </c>
      <c r="I21948" s="30" t="s">
        <v>51</v>
      </c>
      <c r="J21948" s="41">
        <v>45915</v>
      </c>
      <c r="K21948" s="30" t="s">
        <v>22</v>
      </c>
    </row>
    <row r="21949" spans="1:11">
      <c r="A21949" s="33" t="s">
        <v>48575</v>
      </c>
      <c r="B21949" s="33" t="s">
        <v>48576</v>
      </c>
      <c r="C21949" s="33" t="s">
        <v>5246</v>
      </c>
      <c r="D21949" s="33" t="s">
        <v>17</v>
      </c>
      <c r="E21949" s="33" t="s">
        <v>18</v>
      </c>
      <c r="F21949" s="33" t="s">
        <v>19</v>
      </c>
      <c r="G21949" s="33" t="s">
        <v>158</v>
      </c>
      <c r="H21949" s="35">
        <v>157</v>
      </c>
      <c r="I21949" s="33" t="s">
        <v>21</v>
      </c>
      <c r="J21949" s="42">
        <v>45969</v>
      </c>
      <c r="K21949" s="33" t="s">
        <v>22</v>
      </c>
    </row>
    <row r="21950" spans="1:11">
      <c r="A21950" s="30" t="s">
        <v>48577</v>
      </c>
      <c r="B21950" s="30" t="s">
        <v>48578</v>
      </c>
      <c r="C21950" s="30" t="s">
        <v>25186</v>
      </c>
      <c r="D21950" s="30" t="s">
        <v>17</v>
      </c>
      <c r="E21950" s="30" t="s">
        <v>26</v>
      </c>
      <c r="F21950" s="30" t="s">
        <v>27</v>
      </c>
      <c r="G21950" s="30" t="s">
        <v>140</v>
      </c>
      <c r="H21950" s="32">
        <v>60</v>
      </c>
      <c r="I21950" s="30" t="s">
        <v>51</v>
      </c>
      <c r="J21950" s="41">
        <v>45880</v>
      </c>
      <c r="K21950" s="30" t="s">
        <v>22</v>
      </c>
    </row>
    <row r="21951" spans="1:11">
      <c r="A21951" s="33" t="s">
        <v>48579</v>
      </c>
      <c r="B21951" s="33" t="s">
        <v>48580</v>
      </c>
      <c r="C21951" s="33" t="s">
        <v>48581</v>
      </c>
      <c r="D21951" s="33" t="s">
        <v>17</v>
      </c>
      <c r="E21951" s="33" t="s">
        <v>26</v>
      </c>
      <c r="F21951" s="33" t="s">
        <v>27</v>
      </c>
      <c r="G21951" s="33" t="s">
        <v>20</v>
      </c>
      <c r="H21951" s="35">
        <v>86</v>
      </c>
      <c r="I21951" s="33" t="s">
        <v>21</v>
      </c>
      <c r="J21951" s="42">
        <v>45904</v>
      </c>
      <c r="K21951" s="33" t="s">
        <v>22</v>
      </c>
    </row>
    <row r="21952" spans="1:11">
      <c r="A21952" s="30" t="s">
        <v>48582</v>
      </c>
      <c r="B21952" s="30" t="s">
        <v>48583</v>
      </c>
      <c r="C21952" s="30" t="s">
        <v>48584</v>
      </c>
      <c r="D21952" s="30" t="s">
        <v>17</v>
      </c>
      <c r="E21952" s="30" t="s">
        <v>26</v>
      </c>
      <c r="F21952" s="30" t="s">
        <v>27</v>
      </c>
      <c r="G21952" s="30" t="s">
        <v>20</v>
      </c>
      <c r="H21952" s="32">
        <v>164</v>
      </c>
      <c r="I21952" s="30" t="s">
        <v>21</v>
      </c>
      <c r="J21952" s="41">
        <v>45700</v>
      </c>
      <c r="K21952" s="30" t="s">
        <v>22</v>
      </c>
    </row>
    <row r="21953" spans="1:11">
      <c r="A21953" s="33" t="s">
        <v>48585</v>
      </c>
      <c r="B21953" s="33" t="s">
        <v>48586</v>
      </c>
      <c r="C21953" s="33" t="s">
        <v>48587</v>
      </c>
      <c r="D21953" s="33" t="s">
        <v>17</v>
      </c>
      <c r="E21953" s="33" t="s">
        <v>26</v>
      </c>
      <c r="F21953" s="33" t="s">
        <v>27</v>
      </c>
      <c r="G21953" s="33" t="s">
        <v>140</v>
      </c>
      <c r="H21953" s="35">
        <v>36</v>
      </c>
      <c r="I21953" s="33" t="s">
        <v>51</v>
      </c>
      <c r="J21953" s="42">
        <v>45791</v>
      </c>
      <c r="K21953" s="33" t="s">
        <v>22</v>
      </c>
    </row>
    <row r="21954" spans="1:11">
      <c r="A21954" s="30" t="s">
        <v>48588</v>
      </c>
      <c r="B21954" s="30" t="s">
        <v>48589</v>
      </c>
      <c r="C21954" s="30" t="s">
        <v>48590</v>
      </c>
      <c r="D21954" s="30" t="s">
        <v>17</v>
      </c>
      <c r="E21954" s="30" t="s">
        <v>26</v>
      </c>
      <c r="F21954" s="30" t="s">
        <v>27</v>
      </c>
      <c r="G21954" s="30" t="s">
        <v>140</v>
      </c>
      <c r="H21954" s="32">
        <v>15</v>
      </c>
      <c r="I21954" s="30" t="s">
        <v>51</v>
      </c>
      <c r="J21954" s="41">
        <v>45931</v>
      </c>
      <c r="K21954" s="30" t="s">
        <v>22</v>
      </c>
    </row>
    <row r="21955" spans="1:11">
      <c r="A21955" s="33" t="s">
        <v>48591</v>
      </c>
      <c r="B21955" s="33" t="s">
        <v>48592</v>
      </c>
      <c r="C21955" s="33" t="s">
        <v>11899</v>
      </c>
      <c r="D21955" s="33" t="s">
        <v>17</v>
      </c>
      <c r="E21955" s="33" t="s">
        <v>212</v>
      </c>
      <c r="F21955" s="33" t="s">
        <v>213</v>
      </c>
      <c r="G21955" s="33" t="s">
        <v>7780</v>
      </c>
      <c r="H21955" s="35">
        <v>1564</v>
      </c>
      <c r="I21955" s="33" t="s">
        <v>51</v>
      </c>
      <c r="J21955" s="42">
        <v>45689</v>
      </c>
      <c r="K21955" s="33" t="s">
        <v>22</v>
      </c>
    </row>
    <row r="21956" spans="1:11">
      <c r="A21956" s="30" t="s">
        <v>48593</v>
      </c>
      <c r="B21956" s="30" t="s">
        <v>48594</v>
      </c>
      <c r="C21956" s="30" t="s">
        <v>21185</v>
      </c>
      <c r="D21956" s="30" t="s">
        <v>17</v>
      </c>
      <c r="E21956" s="30" t="s">
        <v>31</v>
      </c>
      <c r="F21956" s="30" t="s">
        <v>32</v>
      </c>
      <c r="G21956" s="30" t="s">
        <v>20</v>
      </c>
      <c r="H21956" s="32">
        <v>136</v>
      </c>
      <c r="I21956" s="30" t="s">
        <v>21</v>
      </c>
      <c r="J21956" s="41">
        <v>45869</v>
      </c>
      <c r="K21956" s="30" t="s">
        <v>22</v>
      </c>
    </row>
    <row r="21957" spans="1:11">
      <c r="A21957" s="33" t="s">
        <v>48595</v>
      </c>
      <c r="B21957" s="33" t="s">
        <v>48596</v>
      </c>
      <c r="C21957" s="33" t="s">
        <v>15585</v>
      </c>
      <c r="D21957" s="33" t="s">
        <v>17</v>
      </c>
      <c r="E21957" s="33" t="s">
        <v>18</v>
      </c>
      <c r="F21957" s="33" t="s">
        <v>19</v>
      </c>
      <c r="G21957" s="33" t="s">
        <v>158</v>
      </c>
      <c r="H21957" s="35">
        <v>572</v>
      </c>
      <c r="I21957" s="33" t="s">
        <v>21</v>
      </c>
      <c r="J21957" s="42">
        <v>46016</v>
      </c>
      <c r="K21957" s="33" t="s">
        <v>22</v>
      </c>
    </row>
    <row r="21958" spans="1:11">
      <c r="A21958" s="30" t="s">
        <v>48597</v>
      </c>
      <c r="B21958" s="30" t="s">
        <v>48598</v>
      </c>
      <c r="C21958" s="30" t="s">
        <v>25363</v>
      </c>
      <c r="D21958" s="30" t="s">
        <v>17</v>
      </c>
      <c r="E21958" s="30" t="s">
        <v>18</v>
      </c>
      <c r="F21958" s="30" t="s">
        <v>19</v>
      </c>
      <c r="G21958" s="30" t="s">
        <v>140</v>
      </c>
      <c r="H21958" s="32">
        <v>1784</v>
      </c>
      <c r="I21958" s="30" t="s">
        <v>51</v>
      </c>
      <c r="J21958" s="41">
        <v>45878</v>
      </c>
      <c r="K21958" s="30" t="s">
        <v>22</v>
      </c>
    </row>
    <row r="21959" spans="1:11">
      <c r="A21959" s="33" t="s">
        <v>48599</v>
      </c>
      <c r="B21959" s="33" t="s">
        <v>48600</v>
      </c>
      <c r="C21959" s="33" t="s">
        <v>399</v>
      </c>
      <c r="D21959" s="33" t="s">
        <v>17</v>
      </c>
      <c r="E21959" s="33" t="s">
        <v>18</v>
      </c>
      <c r="F21959" s="33" t="s">
        <v>19</v>
      </c>
      <c r="G21959" s="33" t="s">
        <v>20</v>
      </c>
      <c r="H21959" s="35">
        <v>315</v>
      </c>
      <c r="I21959" s="33" t="s">
        <v>21</v>
      </c>
      <c r="J21959" s="42">
        <v>45742</v>
      </c>
      <c r="K21959" s="33" t="s">
        <v>22</v>
      </c>
    </row>
    <row r="21960" spans="1:11">
      <c r="A21960" s="30" t="s">
        <v>48601</v>
      </c>
      <c r="B21960" s="30" t="s">
        <v>48602</v>
      </c>
      <c r="C21960" s="30" t="s">
        <v>102</v>
      </c>
      <c r="D21960" s="30" t="s">
        <v>17</v>
      </c>
      <c r="E21960" s="30" t="s">
        <v>26</v>
      </c>
      <c r="F21960" s="30" t="s">
        <v>27</v>
      </c>
      <c r="G21960" s="30" t="s">
        <v>158</v>
      </c>
      <c r="H21960" s="32">
        <v>64</v>
      </c>
      <c r="I21960" s="30" t="s">
        <v>21</v>
      </c>
      <c r="J21960" s="41">
        <v>45671</v>
      </c>
      <c r="K21960" s="30" t="s">
        <v>22</v>
      </c>
    </row>
    <row r="21961" spans="1:11">
      <c r="A21961" s="33" t="s">
        <v>48603</v>
      </c>
      <c r="B21961" s="33" t="s">
        <v>48604</v>
      </c>
      <c r="C21961" s="33" t="s">
        <v>17720</v>
      </c>
      <c r="D21961" s="33" t="s">
        <v>17</v>
      </c>
      <c r="E21961" s="33" t="s">
        <v>26</v>
      </c>
      <c r="F21961" s="33" t="s">
        <v>27</v>
      </c>
      <c r="G21961" s="33" t="s">
        <v>158</v>
      </c>
      <c r="H21961" s="35">
        <v>32</v>
      </c>
      <c r="I21961" s="33" t="s">
        <v>51</v>
      </c>
      <c r="J21961" s="42">
        <v>45895</v>
      </c>
      <c r="K21961" s="33" t="s">
        <v>22</v>
      </c>
    </row>
    <row r="21962" spans="1:11">
      <c r="A21962" s="30" t="s">
        <v>48605</v>
      </c>
      <c r="B21962" s="30" t="s">
        <v>48606</v>
      </c>
      <c r="C21962" s="30" t="s">
        <v>109</v>
      </c>
      <c r="D21962" s="30" t="s">
        <v>17</v>
      </c>
      <c r="E21962" s="30" t="s">
        <v>26</v>
      </c>
      <c r="F21962" s="30" t="s">
        <v>27</v>
      </c>
      <c r="G21962" s="30" t="s">
        <v>20</v>
      </c>
      <c r="H21962" s="32">
        <v>16</v>
      </c>
      <c r="I21962" s="30" t="s">
        <v>21</v>
      </c>
      <c r="J21962" s="41">
        <v>45861</v>
      </c>
      <c r="K21962" s="30" t="s">
        <v>22</v>
      </c>
    </row>
    <row r="21963" spans="1:11">
      <c r="A21963" s="33" t="s">
        <v>48607</v>
      </c>
      <c r="B21963" s="33" t="s">
        <v>48608</v>
      </c>
      <c r="C21963" s="33" t="s">
        <v>93</v>
      </c>
      <c r="D21963" s="33" t="s">
        <v>17</v>
      </c>
      <c r="E21963" s="33" t="s">
        <v>18</v>
      </c>
      <c r="F21963" s="33" t="s">
        <v>19</v>
      </c>
      <c r="G21963" s="33" t="s">
        <v>140</v>
      </c>
      <c r="H21963" s="35">
        <v>395</v>
      </c>
      <c r="I21963" s="33" t="s">
        <v>51</v>
      </c>
      <c r="J21963" s="42">
        <v>45954</v>
      </c>
      <c r="K21963" s="33" t="s">
        <v>22</v>
      </c>
    </row>
    <row r="21964" spans="1:11">
      <c r="A21964" s="30" t="s">
        <v>48609</v>
      </c>
      <c r="B21964" s="30" t="s">
        <v>48610</v>
      </c>
      <c r="C21964" s="30" t="s">
        <v>48611</v>
      </c>
      <c r="D21964" s="30" t="s">
        <v>17</v>
      </c>
      <c r="E21964" s="30" t="s">
        <v>67</v>
      </c>
      <c r="F21964" s="30" t="s">
        <v>68</v>
      </c>
      <c r="G21964" s="30" t="s">
        <v>2613</v>
      </c>
      <c r="H21964" s="32">
        <v>20</v>
      </c>
      <c r="I21964" s="30" t="s">
        <v>51</v>
      </c>
      <c r="J21964" s="41">
        <v>46014</v>
      </c>
      <c r="K21964" s="30" t="s">
        <v>22</v>
      </c>
    </row>
    <row r="21965" spans="1:11">
      <c r="A21965" s="33" t="s">
        <v>48612</v>
      </c>
      <c r="B21965" s="33" t="s">
        <v>48613</v>
      </c>
      <c r="C21965" s="33" t="s">
        <v>48614</v>
      </c>
      <c r="D21965" s="33" t="s">
        <v>17</v>
      </c>
      <c r="E21965" s="33" t="s">
        <v>31</v>
      </c>
      <c r="F21965" s="33" t="s">
        <v>32</v>
      </c>
      <c r="G21965" s="33" t="s">
        <v>158</v>
      </c>
      <c r="H21965" s="35">
        <v>16</v>
      </c>
      <c r="I21965" s="33" t="s">
        <v>21</v>
      </c>
      <c r="J21965" s="42">
        <v>45786</v>
      </c>
      <c r="K21965" s="33" t="s">
        <v>22</v>
      </c>
    </row>
    <row r="21966" spans="1:11">
      <c r="A21966" s="30" t="s">
        <v>48615</v>
      </c>
      <c r="B21966" s="30" t="s">
        <v>48616</v>
      </c>
      <c r="C21966" s="30" t="s">
        <v>2753</v>
      </c>
      <c r="D21966" s="30" t="s">
        <v>17</v>
      </c>
      <c r="E21966" s="30" t="s">
        <v>18</v>
      </c>
      <c r="F21966" s="30" t="s">
        <v>19</v>
      </c>
      <c r="G21966" s="30" t="s">
        <v>140</v>
      </c>
      <c r="H21966" s="32">
        <v>630</v>
      </c>
      <c r="I21966" s="30" t="s">
        <v>51</v>
      </c>
      <c r="J21966" s="41">
        <v>45819</v>
      </c>
      <c r="K21966" s="30" t="s">
        <v>22</v>
      </c>
    </row>
    <row r="21967" spans="1:11">
      <c r="A21967" s="33" t="s">
        <v>48617</v>
      </c>
      <c r="B21967" s="33" t="s">
        <v>48618</v>
      </c>
      <c r="C21967" s="33" t="s">
        <v>149</v>
      </c>
      <c r="D21967" s="33" t="s">
        <v>17</v>
      </c>
      <c r="E21967" s="33" t="s">
        <v>31</v>
      </c>
      <c r="F21967" s="33" t="s">
        <v>32</v>
      </c>
      <c r="G21967" s="33" t="s">
        <v>140</v>
      </c>
      <c r="H21967" s="35">
        <v>100</v>
      </c>
      <c r="I21967" s="33" t="s">
        <v>51</v>
      </c>
      <c r="J21967" s="42">
        <v>45750</v>
      </c>
      <c r="K21967" s="33" t="s">
        <v>22</v>
      </c>
    </row>
    <row r="21968" spans="1:11">
      <c r="A21968" s="30" t="s">
        <v>48619</v>
      </c>
      <c r="B21968" s="30" t="s">
        <v>48620</v>
      </c>
      <c r="C21968" s="30" t="s">
        <v>27241</v>
      </c>
      <c r="D21968" s="30" t="s">
        <v>17</v>
      </c>
      <c r="E21968" s="30" t="s">
        <v>26</v>
      </c>
      <c r="F21968" s="30" t="s">
        <v>27</v>
      </c>
      <c r="G21968" s="30" t="s">
        <v>20</v>
      </c>
      <c r="H21968" s="32">
        <v>72</v>
      </c>
      <c r="I21968" s="30" t="s">
        <v>21</v>
      </c>
      <c r="J21968" s="41">
        <v>45663</v>
      </c>
      <c r="K21968" s="30" t="s">
        <v>22</v>
      </c>
    </row>
    <row r="21969" spans="1:11">
      <c r="A21969" s="33" t="s">
        <v>48621</v>
      </c>
      <c r="B21969" s="33" t="s">
        <v>48622</v>
      </c>
      <c r="C21969" s="33" t="s">
        <v>1340</v>
      </c>
      <c r="D21969" s="33" t="s">
        <v>17</v>
      </c>
      <c r="E21969" s="33" t="s">
        <v>31</v>
      </c>
      <c r="F21969" s="33" t="s">
        <v>32</v>
      </c>
      <c r="G21969" s="33" t="s">
        <v>158</v>
      </c>
      <c r="H21969" s="35">
        <v>35</v>
      </c>
      <c r="I21969" s="33" t="s">
        <v>51</v>
      </c>
      <c r="J21969" s="42">
        <v>45897</v>
      </c>
      <c r="K21969" s="33" t="s">
        <v>22</v>
      </c>
    </row>
    <row r="21970" spans="1:11">
      <c r="A21970" s="30" t="s">
        <v>48623</v>
      </c>
      <c r="B21970" s="30" t="s">
        <v>48624</v>
      </c>
      <c r="C21970" s="30" t="s">
        <v>10031</v>
      </c>
      <c r="D21970" s="30" t="s">
        <v>17</v>
      </c>
      <c r="E21970" s="30" t="s">
        <v>18</v>
      </c>
      <c r="F21970" s="30" t="s">
        <v>19</v>
      </c>
      <c r="G21970" s="30" t="s">
        <v>140</v>
      </c>
      <c r="H21970" s="32">
        <v>216</v>
      </c>
      <c r="I21970" s="30" t="s">
        <v>51</v>
      </c>
      <c r="J21970" s="41">
        <v>45809</v>
      </c>
      <c r="K21970" s="30" t="s">
        <v>22</v>
      </c>
    </row>
    <row r="21971" spans="1:11">
      <c r="A21971" s="33" t="s">
        <v>48625</v>
      </c>
      <c r="B21971" s="33" t="s">
        <v>48626</v>
      </c>
      <c r="C21971" s="33" t="s">
        <v>2334</v>
      </c>
      <c r="D21971" s="33" t="s">
        <v>17</v>
      </c>
      <c r="E21971" s="33" t="s">
        <v>31</v>
      </c>
      <c r="F21971" s="33" t="s">
        <v>32</v>
      </c>
      <c r="G21971" s="33" t="s">
        <v>140</v>
      </c>
      <c r="H21971" s="35">
        <v>77</v>
      </c>
      <c r="I21971" s="33" t="s">
        <v>51</v>
      </c>
      <c r="J21971" s="42">
        <v>45980</v>
      </c>
      <c r="K21971" s="33" t="s">
        <v>22</v>
      </c>
    </row>
    <row r="21972" spans="1:11">
      <c r="A21972" s="30" t="s">
        <v>48627</v>
      </c>
      <c r="B21972" s="30" t="s">
        <v>48628</v>
      </c>
      <c r="C21972" s="30" t="s">
        <v>14790</v>
      </c>
      <c r="D21972" s="30" t="s">
        <v>17</v>
      </c>
      <c r="E21972" s="30" t="s">
        <v>26</v>
      </c>
      <c r="F21972" s="30" t="s">
        <v>27</v>
      </c>
      <c r="G21972" s="30" t="s">
        <v>20</v>
      </c>
      <c r="H21972" s="32">
        <v>40</v>
      </c>
      <c r="I21972" s="30" t="s">
        <v>21</v>
      </c>
      <c r="J21972" s="41">
        <v>45823</v>
      </c>
      <c r="K21972" s="30" t="s">
        <v>22</v>
      </c>
    </row>
    <row r="21973" spans="1:11">
      <c r="A21973" s="33" t="s">
        <v>48629</v>
      </c>
      <c r="B21973" s="33" t="s">
        <v>48630</v>
      </c>
      <c r="C21973" s="33" t="s">
        <v>318</v>
      </c>
      <c r="D21973" s="33" t="s">
        <v>17</v>
      </c>
      <c r="E21973" s="33" t="s">
        <v>18</v>
      </c>
      <c r="F21973" s="33" t="s">
        <v>19</v>
      </c>
      <c r="G21973" s="33" t="s">
        <v>140</v>
      </c>
      <c r="H21973" s="35">
        <v>250</v>
      </c>
      <c r="I21973" s="33" t="s">
        <v>51</v>
      </c>
      <c r="J21973" s="42">
        <v>46010</v>
      </c>
      <c r="K21973" s="33" t="s">
        <v>22</v>
      </c>
    </row>
    <row r="21974" spans="1:11">
      <c r="A21974" s="30" t="s">
        <v>48631</v>
      </c>
      <c r="B21974" s="30" t="s">
        <v>48632</v>
      </c>
      <c r="C21974" s="30" t="s">
        <v>379</v>
      </c>
      <c r="D21974" s="30" t="s">
        <v>17</v>
      </c>
      <c r="E21974" s="30" t="s">
        <v>31</v>
      </c>
      <c r="F21974" s="30" t="s">
        <v>32</v>
      </c>
      <c r="G21974" s="30" t="s">
        <v>140</v>
      </c>
      <c r="H21974" s="32">
        <v>167</v>
      </c>
      <c r="I21974" s="30" t="s">
        <v>51</v>
      </c>
      <c r="J21974" s="41">
        <v>45769</v>
      </c>
      <c r="K21974" s="30" t="s">
        <v>22</v>
      </c>
    </row>
    <row r="21975" spans="1:11">
      <c r="A21975" s="33" t="s">
        <v>48633</v>
      </c>
      <c r="B21975" s="33" t="s">
        <v>48634</v>
      </c>
      <c r="C21975" s="33" t="s">
        <v>17552</v>
      </c>
      <c r="D21975" s="33" t="s">
        <v>17</v>
      </c>
      <c r="E21975" s="33" t="s">
        <v>212</v>
      </c>
      <c r="F21975" s="33" t="s">
        <v>213</v>
      </c>
      <c r="G21975" s="33" t="s">
        <v>20</v>
      </c>
      <c r="H21975" s="35">
        <v>120</v>
      </c>
      <c r="I21975" s="33" t="s">
        <v>21</v>
      </c>
      <c r="J21975" s="42">
        <v>45914</v>
      </c>
      <c r="K21975" s="33" t="s">
        <v>22</v>
      </c>
    </row>
    <row r="21976" spans="1:11">
      <c r="A21976" s="30" t="s">
        <v>48635</v>
      </c>
      <c r="B21976" s="30" t="s">
        <v>48636</v>
      </c>
      <c r="C21976" s="30" t="s">
        <v>27986</v>
      </c>
      <c r="D21976" s="30" t="s">
        <v>17</v>
      </c>
      <c r="E21976" s="30" t="s">
        <v>18</v>
      </c>
      <c r="F21976" s="30" t="s">
        <v>19</v>
      </c>
      <c r="G21976" s="30" t="s">
        <v>140</v>
      </c>
      <c r="H21976" s="32">
        <v>330</v>
      </c>
      <c r="I21976" s="30" t="s">
        <v>51</v>
      </c>
      <c r="J21976" s="41">
        <v>46001</v>
      </c>
      <c r="K21976" s="30" t="s">
        <v>22</v>
      </c>
    </row>
    <row r="21977" spans="1:11">
      <c r="A21977" s="33" t="s">
        <v>48637</v>
      </c>
      <c r="B21977" s="33" t="s">
        <v>48638</v>
      </c>
      <c r="C21977" s="33" t="s">
        <v>787</v>
      </c>
      <c r="D21977" s="33" t="s">
        <v>17</v>
      </c>
      <c r="E21977" s="33" t="s">
        <v>26</v>
      </c>
      <c r="F21977" s="33" t="s">
        <v>27</v>
      </c>
      <c r="G21977" s="33" t="s">
        <v>7780</v>
      </c>
      <c r="H21977" s="35">
        <v>410</v>
      </c>
      <c r="I21977" s="33" t="s">
        <v>51</v>
      </c>
      <c r="J21977" s="42">
        <v>45870</v>
      </c>
      <c r="K21977" s="33" t="s">
        <v>22</v>
      </c>
    </row>
    <row r="21978" spans="1:11">
      <c r="A21978" s="30" t="s">
        <v>48639</v>
      </c>
      <c r="B21978" s="30" t="s">
        <v>48640</v>
      </c>
      <c r="C21978" s="30" t="s">
        <v>1210</v>
      </c>
      <c r="D21978" s="30" t="s">
        <v>17</v>
      </c>
      <c r="E21978" s="30" t="s">
        <v>26</v>
      </c>
      <c r="F21978" s="30" t="s">
        <v>27</v>
      </c>
      <c r="G21978" s="30" t="s">
        <v>140</v>
      </c>
      <c r="H21978" s="32">
        <v>60</v>
      </c>
      <c r="I21978" s="30" t="s">
        <v>51</v>
      </c>
      <c r="J21978" s="41">
        <v>45768</v>
      </c>
      <c r="K21978" s="30" t="s">
        <v>22</v>
      </c>
    </row>
    <row r="21979" spans="1:11">
      <c r="A21979" s="33" t="s">
        <v>48641</v>
      </c>
      <c r="B21979" s="33" t="s">
        <v>48642</v>
      </c>
      <c r="C21979" s="33" t="s">
        <v>7935</v>
      </c>
      <c r="D21979" s="33" t="s">
        <v>17</v>
      </c>
      <c r="E21979" s="33" t="s">
        <v>26</v>
      </c>
      <c r="F21979" s="33" t="s">
        <v>27</v>
      </c>
      <c r="G21979" s="33" t="s">
        <v>140</v>
      </c>
      <c r="H21979" s="35">
        <v>104</v>
      </c>
      <c r="I21979" s="33" t="s">
        <v>51</v>
      </c>
      <c r="J21979" s="42">
        <v>46021</v>
      </c>
      <c r="K21979" s="33" t="s">
        <v>22</v>
      </c>
    </row>
    <row r="21980" spans="1:11">
      <c r="A21980" s="30" t="s">
        <v>48643</v>
      </c>
      <c r="B21980" s="30" t="s">
        <v>48644</v>
      </c>
      <c r="C21980" s="30" t="s">
        <v>3775</v>
      </c>
      <c r="D21980" s="30" t="s">
        <v>17</v>
      </c>
      <c r="E21980" s="30" t="s">
        <v>26</v>
      </c>
      <c r="F21980" s="30" t="s">
        <v>27</v>
      </c>
      <c r="G21980" s="30" t="s">
        <v>140</v>
      </c>
      <c r="H21980" s="32">
        <v>20</v>
      </c>
      <c r="I21980" s="30" t="s">
        <v>51</v>
      </c>
      <c r="J21980" s="41">
        <v>45712</v>
      </c>
      <c r="K21980" s="30" t="s">
        <v>22</v>
      </c>
    </row>
    <row r="21981" spans="1:11">
      <c r="A21981" s="33" t="s">
        <v>48645</v>
      </c>
      <c r="B21981" s="33" t="s">
        <v>48646</v>
      </c>
      <c r="C21981" s="33" t="s">
        <v>535</v>
      </c>
      <c r="D21981" s="33" t="s">
        <v>17</v>
      </c>
      <c r="E21981" s="33" t="s">
        <v>31</v>
      </c>
      <c r="F21981" s="33" t="s">
        <v>32</v>
      </c>
      <c r="G21981" s="33" t="s">
        <v>140</v>
      </c>
      <c r="H21981" s="35">
        <v>45</v>
      </c>
      <c r="I21981" s="33" t="s">
        <v>51</v>
      </c>
      <c r="J21981" s="42">
        <v>45960</v>
      </c>
      <c r="K21981" s="33" t="s">
        <v>22</v>
      </c>
    </row>
    <row r="21982" spans="1:11">
      <c r="A21982" s="30" t="s">
        <v>48647</v>
      </c>
      <c r="B21982" s="30" t="s">
        <v>48648</v>
      </c>
      <c r="C21982" s="30" t="s">
        <v>379</v>
      </c>
      <c r="D21982" s="30" t="s">
        <v>17</v>
      </c>
      <c r="E21982" s="30" t="s">
        <v>26</v>
      </c>
      <c r="F21982" s="30" t="s">
        <v>27</v>
      </c>
      <c r="G21982" s="30" t="s">
        <v>140</v>
      </c>
      <c r="H21982" s="32">
        <v>174</v>
      </c>
      <c r="I21982" s="30" t="s">
        <v>51</v>
      </c>
      <c r="J21982" s="41">
        <v>45926</v>
      </c>
      <c r="K21982" s="30" t="s">
        <v>22</v>
      </c>
    </row>
    <row r="21983" spans="1:11">
      <c r="A21983" s="33" t="s">
        <v>48649</v>
      </c>
      <c r="B21983" s="33" t="s">
        <v>48650</v>
      </c>
      <c r="C21983" s="33" t="s">
        <v>4648</v>
      </c>
      <c r="D21983" s="33" t="s">
        <v>17</v>
      </c>
      <c r="E21983" s="33" t="s">
        <v>18</v>
      </c>
      <c r="F21983" s="33" t="s">
        <v>19</v>
      </c>
      <c r="G21983" s="33" t="s">
        <v>140</v>
      </c>
      <c r="H21983" s="35">
        <v>212</v>
      </c>
      <c r="I21983" s="33" t="s">
        <v>51</v>
      </c>
      <c r="J21983" s="42">
        <v>46020</v>
      </c>
      <c r="K21983" s="33" t="s">
        <v>22</v>
      </c>
    </row>
    <row r="21984" spans="1:11">
      <c r="A21984" s="30" t="s">
        <v>48651</v>
      </c>
      <c r="B21984" s="30" t="s">
        <v>48652</v>
      </c>
      <c r="C21984" s="30" t="s">
        <v>9374</v>
      </c>
      <c r="D21984" s="30" t="s">
        <v>17</v>
      </c>
      <c r="E21984" s="30" t="s">
        <v>31</v>
      </c>
      <c r="F21984" s="30" t="s">
        <v>32</v>
      </c>
      <c r="G21984" s="30" t="s">
        <v>140</v>
      </c>
      <c r="H21984" s="32">
        <v>180</v>
      </c>
      <c r="I21984" s="30" t="s">
        <v>51</v>
      </c>
      <c r="J21984" s="41">
        <v>45996</v>
      </c>
      <c r="K21984" s="30" t="s">
        <v>22</v>
      </c>
    </row>
    <row r="21985" spans="1:11">
      <c r="A21985" s="33" t="s">
        <v>48653</v>
      </c>
      <c r="B21985" s="33" t="s">
        <v>48654</v>
      </c>
      <c r="C21985" s="33" t="s">
        <v>570</v>
      </c>
      <c r="D21985" s="33" t="s">
        <v>17</v>
      </c>
      <c r="E21985" s="33" t="s">
        <v>18</v>
      </c>
      <c r="F21985" s="33" t="s">
        <v>19</v>
      </c>
      <c r="G21985" s="33" t="s">
        <v>7780</v>
      </c>
      <c r="H21985" s="35">
        <v>636</v>
      </c>
      <c r="I21985" s="33" t="s">
        <v>51</v>
      </c>
      <c r="J21985" s="42">
        <v>45689</v>
      </c>
      <c r="K21985" s="33" t="s">
        <v>22</v>
      </c>
    </row>
    <row r="21986" spans="1:11">
      <c r="A21986" s="30" t="s">
        <v>48655</v>
      </c>
      <c r="B21986" s="30" t="s">
        <v>48656</v>
      </c>
      <c r="C21986" s="30" t="s">
        <v>11984</v>
      </c>
      <c r="D21986" s="30" t="s">
        <v>17</v>
      </c>
      <c r="E21986" s="30" t="s">
        <v>31</v>
      </c>
      <c r="F21986" s="30" t="s">
        <v>32</v>
      </c>
      <c r="G21986" s="30" t="s">
        <v>7780</v>
      </c>
      <c r="H21986" s="32">
        <v>10</v>
      </c>
      <c r="I21986" s="30" t="s">
        <v>51</v>
      </c>
      <c r="J21986" s="41">
        <v>45839</v>
      </c>
      <c r="K21986" s="30" t="s">
        <v>22</v>
      </c>
    </row>
    <row r="21987" spans="1:11">
      <c r="A21987" s="33" t="s">
        <v>48657</v>
      </c>
      <c r="B21987" s="33" t="s">
        <v>48658</v>
      </c>
      <c r="C21987" s="33" t="s">
        <v>21185</v>
      </c>
      <c r="D21987" s="33" t="s">
        <v>17</v>
      </c>
      <c r="E21987" s="33" t="s">
        <v>18</v>
      </c>
      <c r="F21987" s="33" t="s">
        <v>19</v>
      </c>
      <c r="G21987" s="33" t="s">
        <v>140</v>
      </c>
      <c r="H21987" s="35">
        <v>642</v>
      </c>
      <c r="I21987" s="33" t="s">
        <v>51</v>
      </c>
      <c r="J21987" s="42">
        <v>45831</v>
      </c>
      <c r="K21987" s="33" t="s">
        <v>22</v>
      </c>
    </row>
    <row r="21988" spans="1:11">
      <c r="A21988" s="30" t="s">
        <v>48659</v>
      </c>
      <c r="B21988" s="30" t="s">
        <v>48660</v>
      </c>
      <c r="C21988" s="30" t="s">
        <v>12799</v>
      </c>
      <c r="D21988" s="30" t="s">
        <v>17</v>
      </c>
      <c r="E21988" s="30" t="s">
        <v>18</v>
      </c>
      <c r="F21988" s="30" t="s">
        <v>19</v>
      </c>
      <c r="G21988" s="30" t="s">
        <v>112</v>
      </c>
      <c r="H21988" s="32">
        <v>0</v>
      </c>
      <c r="I21988" s="30" t="s">
        <v>21</v>
      </c>
      <c r="J21988" s="41">
        <v>45809</v>
      </c>
      <c r="K21988" s="30" t="s">
        <v>22</v>
      </c>
    </row>
    <row r="21989" spans="1:11">
      <c r="A21989" s="33" t="s">
        <v>48661</v>
      </c>
      <c r="B21989" s="33" t="s">
        <v>48662</v>
      </c>
      <c r="C21989" s="33" t="s">
        <v>38754</v>
      </c>
      <c r="D21989" s="33" t="s">
        <v>17</v>
      </c>
      <c r="E21989" s="33" t="s">
        <v>18</v>
      </c>
      <c r="F21989" s="33" t="s">
        <v>19</v>
      </c>
      <c r="G21989" s="33" t="s">
        <v>20</v>
      </c>
      <c r="H21989" s="35">
        <v>55</v>
      </c>
      <c r="I21989" s="33" t="s">
        <v>21</v>
      </c>
      <c r="J21989" s="42">
        <v>45672</v>
      </c>
      <c r="K21989" s="33" t="s">
        <v>22</v>
      </c>
    </row>
    <row r="21990" spans="1:11">
      <c r="A21990" s="30" t="s">
        <v>48663</v>
      </c>
      <c r="B21990" s="30" t="s">
        <v>48664</v>
      </c>
      <c r="C21990" s="30" t="s">
        <v>27021</v>
      </c>
      <c r="D21990" s="30" t="s">
        <v>17</v>
      </c>
      <c r="E21990" s="30" t="s">
        <v>31</v>
      </c>
      <c r="F21990" s="30" t="s">
        <v>32</v>
      </c>
      <c r="G21990" s="30" t="s">
        <v>140</v>
      </c>
      <c r="H21990" s="32">
        <v>30</v>
      </c>
      <c r="I21990" s="30" t="s">
        <v>51</v>
      </c>
      <c r="J21990" s="41">
        <v>45684</v>
      </c>
      <c r="K21990" s="30" t="s">
        <v>22</v>
      </c>
    </row>
    <row r="21991" spans="1:11">
      <c r="A21991" s="33" t="s">
        <v>48665</v>
      </c>
      <c r="B21991" s="33" t="s">
        <v>48666</v>
      </c>
      <c r="C21991" s="33" t="s">
        <v>1801</v>
      </c>
      <c r="D21991" s="33" t="s">
        <v>17</v>
      </c>
      <c r="E21991" s="33" t="s">
        <v>26</v>
      </c>
      <c r="F21991" s="33" t="s">
        <v>27</v>
      </c>
      <c r="G21991" s="33" t="s">
        <v>140</v>
      </c>
      <c r="H21991" s="35">
        <v>50</v>
      </c>
      <c r="I21991" s="33" t="s">
        <v>51</v>
      </c>
      <c r="J21991" s="42">
        <v>45771</v>
      </c>
      <c r="K21991" s="33" t="s">
        <v>22</v>
      </c>
    </row>
    <row r="21992" spans="1:11">
      <c r="A21992" s="30" t="s">
        <v>48667</v>
      </c>
      <c r="B21992" s="30" t="s">
        <v>48668</v>
      </c>
      <c r="C21992" s="30" t="s">
        <v>3013</v>
      </c>
      <c r="D21992" s="30" t="s">
        <v>17</v>
      </c>
      <c r="E21992" s="30" t="s">
        <v>26</v>
      </c>
      <c r="F21992" s="30" t="s">
        <v>27</v>
      </c>
      <c r="G21992" s="30" t="s">
        <v>158</v>
      </c>
      <c r="H21992" s="32">
        <v>65</v>
      </c>
      <c r="I21992" s="30" t="s">
        <v>21</v>
      </c>
      <c r="J21992" s="41">
        <v>45769</v>
      </c>
      <c r="K21992" s="30" t="s">
        <v>22</v>
      </c>
    </row>
    <row r="21993" spans="1:11">
      <c r="A21993" s="33" t="s">
        <v>48669</v>
      </c>
      <c r="B21993" s="33" t="s">
        <v>48670</v>
      </c>
      <c r="C21993" s="33" t="s">
        <v>8151</v>
      </c>
      <c r="D21993" s="33" t="s">
        <v>17</v>
      </c>
      <c r="E21993" s="33" t="s">
        <v>18</v>
      </c>
      <c r="F21993" s="33" t="s">
        <v>19</v>
      </c>
      <c r="G21993" s="33" t="s">
        <v>140</v>
      </c>
      <c r="H21993" s="35">
        <v>420</v>
      </c>
      <c r="I21993" s="33" t="s">
        <v>51</v>
      </c>
      <c r="J21993" s="42">
        <v>45768</v>
      </c>
      <c r="K21993" s="33" t="s">
        <v>22</v>
      </c>
    </row>
    <row r="21994" spans="1:11">
      <c r="A21994" s="30" t="s">
        <v>48671</v>
      </c>
      <c r="B21994" s="30" t="s">
        <v>48672</v>
      </c>
      <c r="C21994" s="30" t="s">
        <v>736</v>
      </c>
      <c r="D21994" s="30" t="s">
        <v>17</v>
      </c>
      <c r="E21994" s="30" t="s">
        <v>31</v>
      </c>
      <c r="F21994" s="30" t="s">
        <v>32</v>
      </c>
      <c r="G21994" s="30" t="s">
        <v>158</v>
      </c>
      <c r="H21994" s="32">
        <v>56</v>
      </c>
      <c r="I21994" s="30" t="s">
        <v>51</v>
      </c>
      <c r="J21994" s="41">
        <v>45707</v>
      </c>
      <c r="K21994" s="30" t="s">
        <v>22</v>
      </c>
    </row>
    <row r="21995" spans="1:11">
      <c r="A21995" s="33" t="s">
        <v>48673</v>
      </c>
      <c r="B21995" s="33" t="s">
        <v>48674</v>
      </c>
      <c r="C21995" s="33" t="s">
        <v>990</v>
      </c>
      <c r="D21995" s="33" t="s">
        <v>17</v>
      </c>
      <c r="E21995" s="33" t="s">
        <v>31</v>
      </c>
      <c r="F21995" s="33" t="s">
        <v>32</v>
      </c>
      <c r="G21995" s="33" t="s">
        <v>140</v>
      </c>
      <c r="H21995" s="35">
        <v>200</v>
      </c>
      <c r="I21995" s="33" t="s">
        <v>51</v>
      </c>
      <c r="J21995" s="42">
        <v>45930</v>
      </c>
      <c r="K21995" s="33" t="s">
        <v>22</v>
      </c>
    </row>
    <row r="21996" spans="1:11">
      <c r="A21996" s="30" t="s">
        <v>48675</v>
      </c>
      <c r="B21996" s="30" t="s">
        <v>48676</v>
      </c>
      <c r="C21996" s="30" t="s">
        <v>3299</v>
      </c>
      <c r="D21996" s="30" t="s">
        <v>17</v>
      </c>
      <c r="E21996" s="30" t="s">
        <v>18</v>
      </c>
      <c r="F21996" s="30" t="s">
        <v>19</v>
      </c>
      <c r="G21996" s="30" t="s">
        <v>158</v>
      </c>
      <c r="H21996" s="32">
        <v>1800</v>
      </c>
      <c r="I21996" s="30" t="s">
        <v>21</v>
      </c>
      <c r="J21996" s="41">
        <v>45982</v>
      </c>
      <c r="K21996" s="30" t="s">
        <v>22</v>
      </c>
    </row>
    <row r="21997" spans="1:11">
      <c r="A21997" s="33" t="s">
        <v>48677</v>
      </c>
      <c r="B21997" s="33" t="s">
        <v>48678</v>
      </c>
      <c r="C21997" s="33" t="s">
        <v>3714</v>
      </c>
      <c r="D21997" s="33" t="s">
        <v>17</v>
      </c>
      <c r="E21997" s="33" t="s">
        <v>45</v>
      </c>
      <c r="F21997" s="33" t="s">
        <v>46</v>
      </c>
      <c r="G21997" s="33" t="s">
        <v>69</v>
      </c>
      <c r="H21997" s="35">
        <v>80</v>
      </c>
      <c r="I21997" s="33" t="s">
        <v>51</v>
      </c>
      <c r="J21997" s="42">
        <v>45992</v>
      </c>
      <c r="K21997" s="33" t="s">
        <v>22</v>
      </c>
    </row>
    <row r="21998" spans="1:11">
      <c r="A21998" s="30" t="s">
        <v>48679</v>
      </c>
      <c r="B21998" s="30" t="s">
        <v>48680</v>
      </c>
      <c r="C21998" s="30" t="s">
        <v>102</v>
      </c>
      <c r="D21998" s="30" t="s">
        <v>17</v>
      </c>
      <c r="E21998" s="30" t="s">
        <v>26</v>
      </c>
      <c r="F21998" s="30" t="s">
        <v>27</v>
      </c>
      <c r="G21998" s="30" t="s">
        <v>140</v>
      </c>
      <c r="H21998" s="32">
        <v>155</v>
      </c>
      <c r="I21998" s="30" t="s">
        <v>51</v>
      </c>
      <c r="J21998" s="41">
        <v>45737</v>
      </c>
      <c r="K21998" s="30" t="s">
        <v>22</v>
      </c>
    </row>
    <row r="21999" spans="1:11">
      <c r="A21999" s="33" t="s">
        <v>48681</v>
      </c>
      <c r="B21999" s="33" t="s">
        <v>48682</v>
      </c>
      <c r="C21999" s="33" t="s">
        <v>48683</v>
      </c>
      <c r="D21999" s="33" t="s">
        <v>17</v>
      </c>
      <c r="E21999" s="33" t="s">
        <v>67</v>
      </c>
      <c r="F21999" s="33" t="s">
        <v>68</v>
      </c>
      <c r="G21999" s="33" t="s">
        <v>140</v>
      </c>
      <c r="H21999" s="35">
        <v>80</v>
      </c>
      <c r="I21999" s="33" t="s">
        <v>51</v>
      </c>
      <c r="J21999" s="42">
        <v>45968</v>
      </c>
      <c r="K21999" s="33" t="s">
        <v>22</v>
      </c>
    </row>
    <row r="22000" spans="1:11">
      <c r="A22000" s="30" t="s">
        <v>48684</v>
      </c>
      <c r="B22000" s="30" t="s">
        <v>48685</v>
      </c>
      <c r="C22000" s="30" t="s">
        <v>190</v>
      </c>
      <c r="D22000" s="30" t="s">
        <v>17</v>
      </c>
      <c r="E22000" s="30" t="s">
        <v>26</v>
      </c>
      <c r="F22000" s="30" t="s">
        <v>27</v>
      </c>
      <c r="G22000" s="30" t="s">
        <v>20</v>
      </c>
      <c r="H22000" s="32">
        <v>51</v>
      </c>
      <c r="I22000" s="30" t="s">
        <v>21</v>
      </c>
      <c r="J22000" s="41">
        <v>45805</v>
      </c>
      <c r="K22000" s="30" t="s">
        <v>22</v>
      </c>
    </row>
    <row r="22001" spans="1:11">
      <c r="A22001" s="33" t="s">
        <v>48686</v>
      </c>
      <c r="B22001" s="33" t="s">
        <v>48687</v>
      </c>
      <c r="C22001" s="33" t="s">
        <v>5434</v>
      </c>
      <c r="D22001" s="33" t="s">
        <v>17</v>
      </c>
      <c r="E22001" s="33" t="s">
        <v>18</v>
      </c>
      <c r="F22001" s="33" t="s">
        <v>19</v>
      </c>
      <c r="G22001" s="33" t="s">
        <v>140</v>
      </c>
      <c r="H22001" s="35">
        <v>98</v>
      </c>
      <c r="I22001" s="33" t="s">
        <v>51</v>
      </c>
      <c r="J22001" s="42">
        <v>45698</v>
      </c>
      <c r="K22001" s="33" t="s">
        <v>22</v>
      </c>
    </row>
    <row r="22002" spans="1:11">
      <c r="A22002" s="30" t="s">
        <v>48688</v>
      </c>
      <c r="B22002" s="30" t="s">
        <v>48689</v>
      </c>
      <c r="C22002" s="30" t="s">
        <v>1219</v>
      </c>
      <c r="D22002" s="30" t="s">
        <v>17</v>
      </c>
      <c r="E22002" s="30" t="s">
        <v>26</v>
      </c>
      <c r="F22002" s="30" t="s">
        <v>27</v>
      </c>
      <c r="G22002" s="30" t="s">
        <v>140</v>
      </c>
      <c r="H22002" s="32">
        <v>140</v>
      </c>
      <c r="I22002" s="30" t="s">
        <v>51</v>
      </c>
      <c r="J22002" s="41">
        <v>45790</v>
      </c>
      <c r="K22002" s="30" t="s">
        <v>22</v>
      </c>
    </row>
    <row r="22003" spans="1:11">
      <c r="A22003" s="33" t="s">
        <v>48690</v>
      </c>
      <c r="B22003" s="33" t="s">
        <v>48691</v>
      </c>
      <c r="C22003" s="33" t="s">
        <v>13124</v>
      </c>
      <c r="D22003" s="33" t="s">
        <v>17</v>
      </c>
      <c r="E22003" s="33" t="s">
        <v>26</v>
      </c>
      <c r="F22003" s="33" t="s">
        <v>27</v>
      </c>
      <c r="G22003" s="33" t="s">
        <v>20</v>
      </c>
      <c r="H22003" s="35">
        <v>24</v>
      </c>
      <c r="I22003" s="33" t="s">
        <v>21</v>
      </c>
      <c r="J22003" s="42">
        <v>45806</v>
      </c>
      <c r="K22003" s="33" t="s">
        <v>22</v>
      </c>
    </row>
    <row r="22004" spans="1:11">
      <c r="A22004" s="30" t="s">
        <v>48692</v>
      </c>
      <c r="B22004" s="30" t="s">
        <v>48693</v>
      </c>
      <c r="C22004" s="30" t="s">
        <v>2849</v>
      </c>
      <c r="D22004" s="30" t="s">
        <v>17</v>
      </c>
      <c r="E22004" s="30" t="s">
        <v>26</v>
      </c>
      <c r="F22004" s="30" t="s">
        <v>27</v>
      </c>
      <c r="G22004" s="30" t="s">
        <v>7780</v>
      </c>
      <c r="H22004" s="32">
        <v>70</v>
      </c>
      <c r="I22004" s="30" t="s">
        <v>51</v>
      </c>
      <c r="J22004" s="41">
        <v>45870</v>
      </c>
      <c r="K22004" s="30" t="s">
        <v>22</v>
      </c>
    </row>
    <row r="22005" spans="1:11">
      <c r="A22005" s="33" t="s">
        <v>48694</v>
      </c>
      <c r="B22005" s="33" t="s">
        <v>48695</v>
      </c>
      <c r="C22005" s="33" t="s">
        <v>48696</v>
      </c>
      <c r="D22005" s="33" t="s">
        <v>17</v>
      </c>
      <c r="E22005" s="33" t="s">
        <v>26</v>
      </c>
      <c r="F22005" s="33" t="s">
        <v>27</v>
      </c>
      <c r="G22005" s="33" t="s">
        <v>7780</v>
      </c>
      <c r="H22005" s="35">
        <v>60</v>
      </c>
      <c r="I22005" s="33" t="s">
        <v>51</v>
      </c>
      <c r="J22005" s="42">
        <v>45672</v>
      </c>
      <c r="K22005" s="33" t="s">
        <v>22</v>
      </c>
    </row>
    <row r="22006" spans="1:11">
      <c r="A22006" s="30" t="s">
        <v>48697</v>
      </c>
      <c r="B22006" s="30" t="s">
        <v>48698</v>
      </c>
      <c r="C22006" s="30" t="s">
        <v>48699</v>
      </c>
      <c r="D22006" s="30" t="s">
        <v>17</v>
      </c>
      <c r="E22006" s="30" t="s">
        <v>26</v>
      </c>
      <c r="F22006" s="30" t="s">
        <v>27</v>
      </c>
      <c r="G22006" s="30" t="s">
        <v>140</v>
      </c>
      <c r="H22006" s="32">
        <v>74</v>
      </c>
      <c r="I22006" s="30" t="s">
        <v>51</v>
      </c>
      <c r="J22006" s="41">
        <v>45897</v>
      </c>
      <c r="K22006" s="30" t="s">
        <v>22</v>
      </c>
    </row>
    <row r="22007" spans="1:11">
      <c r="A22007" s="33" t="s">
        <v>48700</v>
      </c>
      <c r="B22007" s="33" t="s">
        <v>48701</v>
      </c>
      <c r="C22007" s="33" t="s">
        <v>93</v>
      </c>
      <c r="D22007" s="33" t="s">
        <v>17</v>
      </c>
      <c r="E22007" s="33" t="s">
        <v>18</v>
      </c>
      <c r="F22007" s="33" t="s">
        <v>19</v>
      </c>
      <c r="G22007" s="33" t="s">
        <v>158</v>
      </c>
      <c r="H22007" s="35">
        <v>261</v>
      </c>
      <c r="I22007" s="33" t="s">
        <v>21</v>
      </c>
      <c r="J22007" s="42">
        <v>46006</v>
      </c>
      <c r="K22007" s="33" t="s">
        <v>22</v>
      </c>
    </row>
    <row r="22008" spans="1:11">
      <c r="A22008" s="30" t="s">
        <v>48702</v>
      </c>
      <c r="B22008" s="30" t="s">
        <v>48703</v>
      </c>
      <c r="C22008" s="30" t="s">
        <v>35370</v>
      </c>
      <c r="D22008" s="30" t="s">
        <v>17</v>
      </c>
      <c r="E22008" s="30" t="s">
        <v>26</v>
      </c>
      <c r="F22008" s="30" t="s">
        <v>27</v>
      </c>
      <c r="G22008" s="30" t="s">
        <v>158</v>
      </c>
      <c r="H22008" s="32">
        <v>6</v>
      </c>
      <c r="I22008" s="30" t="s">
        <v>21</v>
      </c>
      <c r="J22008" s="41">
        <v>45694</v>
      </c>
      <c r="K22008" s="30" t="s">
        <v>22</v>
      </c>
    </row>
    <row r="22009" spans="1:11">
      <c r="A22009" s="33" t="s">
        <v>48704</v>
      </c>
      <c r="B22009" s="33" t="s">
        <v>48705</v>
      </c>
      <c r="C22009" s="33" t="s">
        <v>190</v>
      </c>
      <c r="D22009" s="33" t="s">
        <v>17</v>
      </c>
      <c r="E22009" s="33" t="s">
        <v>18</v>
      </c>
      <c r="F22009" s="33" t="s">
        <v>19</v>
      </c>
      <c r="G22009" s="33" t="s">
        <v>140</v>
      </c>
      <c r="H22009" s="35">
        <v>990</v>
      </c>
      <c r="I22009" s="33" t="s">
        <v>51</v>
      </c>
      <c r="J22009" s="42">
        <v>45734</v>
      </c>
      <c r="K22009" s="33" t="s">
        <v>22</v>
      </c>
    </row>
    <row r="22010" spans="1:11">
      <c r="A22010" s="30" t="s">
        <v>48706</v>
      </c>
      <c r="B22010" s="30" t="s">
        <v>48707</v>
      </c>
      <c r="C22010" s="30" t="s">
        <v>1154</v>
      </c>
      <c r="D22010" s="30" t="s">
        <v>17</v>
      </c>
      <c r="E22010" s="30" t="s">
        <v>18</v>
      </c>
      <c r="F22010" s="30" t="s">
        <v>19</v>
      </c>
      <c r="G22010" s="30" t="s">
        <v>20</v>
      </c>
      <c r="H22010" s="32">
        <v>567</v>
      </c>
      <c r="I22010" s="30" t="s">
        <v>21</v>
      </c>
      <c r="J22010" s="41">
        <v>45742</v>
      </c>
      <c r="K22010" s="30" t="s">
        <v>22</v>
      </c>
    </row>
    <row r="22011" spans="1:11">
      <c r="A22011" s="33" t="s">
        <v>48708</v>
      </c>
      <c r="B22011" s="33" t="s">
        <v>48709</v>
      </c>
      <c r="C22011" s="33" t="s">
        <v>149</v>
      </c>
      <c r="D22011" s="33" t="s">
        <v>17</v>
      </c>
      <c r="E22011" s="33" t="s">
        <v>26</v>
      </c>
      <c r="F22011" s="33" t="s">
        <v>27</v>
      </c>
      <c r="G22011" s="33" t="s">
        <v>20</v>
      </c>
      <c r="H22011" s="35">
        <v>14</v>
      </c>
      <c r="I22011" s="33" t="s">
        <v>21</v>
      </c>
      <c r="J22011" s="42">
        <v>45831</v>
      </c>
      <c r="K22011" s="33" t="s">
        <v>22</v>
      </c>
    </row>
    <row r="22012" spans="1:11">
      <c r="A22012" s="30" t="s">
        <v>48710</v>
      </c>
      <c r="B22012" s="30" t="s">
        <v>48711</v>
      </c>
      <c r="C22012" s="30" t="s">
        <v>109</v>
      </c>
      <c r="D22012" s="30" t="s">
        <v>17</v>
      </c>
      <c r="E22012" s="30" t="s">
        <v>26</v>
      </c>
      <c r="F22012" s="30" t="s">
        <v>27</v>
      </c>
      <c r="G22012" s="30" t="s">
        <v>140</v>
      </c>
      <c r="H22012" s="32">
        <v>180</v>
      </c>
      <c r="I22012" s="30" t="s">
        <v>51</v>
      </c>
      <c r="J22012" s="41">
        <v>45985</v>
      </c>
      <c r="K22012" s="30" t="s">
        <v>22</v>
      </c>
    </row>
    <row r="22013" spans="1:11">
      <c r="A22013" s="33" t="s">
        <v>48712</v>
      </c>
      <c r="B22013" s="33" t="s">
        <v>48713</v>
      </c>
      <c r="C22013" s="33" t="s">
        <v>715</v>
      </c>
      <c r="D22013" s="33" t="s">
        <v>17</v>
      </c>
      <c r="E22013" s="33" t="s">
        <v>18</v>
      </c>
      <c r="F22013" s="33" t="s">
        <v>19</v>
      </c>
      <c r="G22013" s="33" t="s">
        <v>140</v>
      </c>
      <c r="H22013" s="35">
        <v>500</v>
      </c>
      <c r="I22013" s="33" t="s">
        <v>51</v>
      </c>
      <c r="J22013" s="42">
        <v>45799</v>
      </c>
      <c r="K22013" s="33" t="s">
        <v>22</v>
      </c>
    </row>
    <row r="22014" spans="1:11">
      <c r="A22014" s="30" t="s">
        <v>48714</v>
      </c>
      <c r="B22014" s="30" t="s">
        <v>48715</v>
      </c>
      <c r="C22014" s="30" t="s">
        <v>48716</v>
      </c>
      <c r="D22014" s="30" t="s">
        <v>17</v>
      </c>
      <c r="E22014" s="30" t="s">
        <v>26</v>
      </c>
      <c r="F22014" s="30" t="s">
        <v>27</v>
      </c>
      <c r="G22014" s="30" t="s">
        <v>158</v>
      </c>
      <c r="H22014" s="32">
        <v>19</v>
      </c>
      <c r="I22014" s="30" t="s">
        <v>21</v>
      </c>
      <c r="J22014" s="41">
        <v>45855</v>
      </c>
      <c r="K22014" s="30" t="s">
        <v>22</v>
      </c>
    </row>
    <row r="22015" spans="1:11">
      <c r="A22015" s="33" t="s">
        <v>48717</v>
      </c>
      <c r="B22015" s="33" t="s">
        <v>48718</v>
      </c>
      <c r="C22015" s="33" t="s">
        <v>48719</v>
      </c>
      <c r="D22015" s="33" t="s">
        <v>17</v>
      </c>
      <c r="E22015" s="33" t="s">
        <v>26</v>
      </c>
      <c r="F22015" s="33" t="s">
        <v>27</v>
      </c>
      <c r="G22015" s="33" t="s">
        <v>140</v>
      </c>
      <c r="H22015" s="35">
        <v>78</v>
      </c>
      <c r="I22015" s="33" t="s">
        <v>51</v>
      </c>
      <c r="J22015" s="42">
        <v>45894</v>
      </c>
      <c r="K22015" s="33" t="s">
        <v>22</v>
      </c>
    </row>
    <row r="22016" spans="1:11">
      <c r="A22016" s="30" t="s">
        <v>48720</v>
      </c>
      <c r="B22016" s="30" t="s">
        <v>48721</v>
      </c>
      <c r="C22016" s="30" t="s">
        <v>102</v>
      </c>
      <c r="D22016" s="30" t="s">
        <v>17</v>
      </c>
      <c r="E22016" s="30" t="s">
        <v>26</v>
      </c>
      <c r="F22016" s="30" t="s">
        <v>27</v>
      </c>
      <c r="G22016" s="30" t="s">
        <v>140</v>
      </c>
      <c r="H22016" s="32">
        <v>380</v>
      </c>
      <c r="I22016" s="30" t="s">
        <v>51</v>
      </c>
      <c r="J22016" s="41">
        <v>45853</v>
      </c>
      <c r="K22016" s="30" t="s">
        <v>22</v>
      </c>
    </row>
    <row r="22017" spans="1:11">
      <c r="A22017" s="33" t="s">
        <v>48722</v>
      </c>
      <c r="B22017" s="33" t="s">
        <v>48723</v>
      </c>
      <c r="C22017" s="33" t="s">
        <v>647</v>
      </c>
      <c r="D22017" s="33" t="s">
        <v>17</v>
      </c>
      <c r="E22017" s="33" t="s">
        <v>18</v>
      </c>
      <c r="F22017" s="33" t="s">
        <v>19</v>
      </c>
      <c r="G22017" s="33" t="s">
        <v>140</v>
      </c>
      <c r="H22017" s="35">
        <v>770</v>
      </c>
      <c r="I22017" s="33" t="s">
        <v>51</v>
      </c>
      <c r="J22017" s="42">
        <v>45756</v>
      </c>
      <c r="K22017" s="33" t="s">
        <v>22</v>
      </c>
    </row>
    <row r="22018" spans="1:11">
      <c r="A22018" s="30" t="s">
        <v>48724</v>
      </c>
      <c r="B22018" s="30" t="s">
        <v>48725</v>
      </c>
      <c r="C22018" s="30" t="s">
        <v>48726</v>
      </c>
      <c r="D22018" s="30" t="s">
        <v>17</v>
      </c>
      <c r="E22018" s="30" t="s">
        <v>31</v>
      </c>
      <c r="F22018" s="30" t="s">
        <v>32</v>
      </c>
      <c r="G22018" s="30" t="s">
        <v>7780</v>
      </c>
      <c r="H22018" s="32">
        <v>24</v>
      </c>
      <c r="I22018" s="30" t="s">
        <v>51</v>
      </c>
      <c r="J22018" s="41">
        <v>45870</v>
      </c>
      <c r="K22018" s="30" t="s">
        <v>22</v>
      </c>
    </row>
    <row r="22019" spans="1:11">
      <c r="A22019" s="33" t="s">
        <v>48727</v>
      </c>
      <c r="B22019" s="33" t="s">
        <v>48728</v>
      </c>
      <c r="C22019" s="33" t="s">
        <v>1090</v>
      </c>
      <c r="D22019" s="33" t="s">
        <v>17</v>
      </c>
      <c r="E22019" s="33" t="s">
        <v>31</v>
      </c>
      <c r="F22019" s="33" t="s">
        <v>32</v>
      </c>
      <c r="G22019" s="33" t="s">
        <v>140</v>
      </c>
      <c r="H22019" s="35">
        <v>318</v>
      </c>
      <c r="I22019" s="33" t="s">
        <v>51</v>
      </c>
      <c r="J22019" s="42">
        <v>46009</v>
      </c>
      <c r="K22019" s="33" t="s">
        <v>22</v>
      </c>
    </row>
    <row r="22020" spans="1:11">
      <c r="A22020" s="30" t="s">
        <v>48729</v>
      </c>
      <c r="B22020" s="30" t="s">
        <v>48730</v>
      </c>
      <c r="C22020" s="30" t="s">
        <v>190</v>
      </c>
      <c r="D22020" s="30" t="s">
        <v>17</v>
      </c>
      <c r="E22020" s="30" t="s">
        <v>18</v>
      </c>
      <c r="F22020" s="30" t="s">
        <v>19</v>
      </c>
      <c r="G22020" s="30" t="s">
        <v>158</v>
      </c>
      <c r="H22020" s="32">
        <v>473</v>
      </c>
      <c r="I22020" s="30" t="s">
        <v>21</v>
      </c>
      <c r="J22020" s="41">
        <v>45818</v>
      </c>
      <c r="K22020" s="30" t="s">
        <v>22</v>
      </c>
    </row>
    <row r="22021" spans="1:11">
      <c r="A22021" s="33" t="s">
        <v>48731</v>
      </c>
      <c r="B22021" s="33" t="s">
        <v>48732</v>
      </c>
      <c r="C22021" s="33" t="s">
        <v>136</v>
      </c>
      <c r="D22021" s="33" t="s">
        <v>17</v>
      </c>
      <c r="E22021" s="33" t="s">
        <v>26</v>
      </c>
      <c r="F22021" s="33" t="s">
        <v>27</v>
      </c>
      <c r="G22021" s="33" t="s">
        <v>158</v>
      </c>
      <c r="H22021" s="35">
        <v>120</v>
      </c>
      <c r="I22021" s="33" t="s">
        <v>51</v>
      </c>
      <c r="J22021" s="42">
        <v>45957</v>
      </c>
      <c r="K22021" s="33" t="s">
        <v>22</v>
      </c>
    </row>
    <row r="22022" spans="1:11">
      <c r="A22022" s="30" t="s">
        <v>48733</v>
      </c>
      <c r="B22022" s="30" t="s">
        <v>48734</v>
      </c>
      <c r="C22022" s="30" t="s">
        <v>25041</v>
      </c>
      <c r="D22022" s="30" t="s">
        <v>17</v>
      </c>
      <c r="E22022" s="30" t="s">
        <v>26</v>
      </c>
      <c r="F22022" s="30" t="s">
        <v>27</v>
      </c>
      <c r="G22022" s="30" t="s">
        <v>20</v>
      </c>
      <c r="H22022" s="32">
        <v>10</v>
      </c>
      <c r="I22022" s="30" t="s">
        <v>21</v>
      </c>
      <c r="J22022" s="41">
        <v>45712</v>
      </c>
      <c r="K22022" s="30" t="s">
        <v>22</v>
      </c>
    </row>
    <row r="22023" spans="1:11">
      <c r="A22023" s="33" t="s">
        <v>48735</v>
      </c>
      <c r="B22023" s="33" t="s">
        <v>48736</v>
      </c>
      <c r="C22023" s="33" t="s">
        <v>130</v>
      </c>
      <c r="D22023" s="33" t="s">
        <v>17</v>
      </c>
      <c r="E22023" s="33" t="s">
        <v>18</v>
      </c>
      <c r="F22023" s="33" t="s">
        <v>19</v>
      </c>
      <c r="G22023" s="33" t="s">
        <v>140</v>
      </c>
      <c r="H22023" s="35">
        <v>250</v>
      </c>
      <c r="I22023" s="33" t="s">
        <v>51</v>
      </c>
      <c r="J22023" s="42">
        <v>45974</v>
      </c>
      <c r="K22023" s="33" t="s">
        <v>22</v>
      </c>
    </row>
    <row r="22024" spans="1:11">
      <c r="A22024" s="30" t="s">
        <v>48737</v>
      </c>
      <c r="B22024" s="30" t="s">
        <v>48738</v>
      </c>
      <c r="C22024" s="30" t="s">
        <v>1090</v>
      </c>
      <c r="D22024" s="30" t="s">
        <v>17</v>
      </c>
      <c r="E22024" s="30" t="s">
        <v>18</v>
      </c>
      <c r="F22024" s="30" t="s">
        <v>19</v>
      </c>
      <c r="G22024" s="30" t="s">
        <v>7780</v>
      </c>
      <c r="H22024" s="32">
        <v>20</v>
      </c>
      <c r="I22024" s="30" t="s">
        <v>51</v>
      </c>
      <c r="J22024" s="41">
        <v>45900</v>
      </c>
      <c r="K22024" s="30" t="s">
        <v>22</v>
      </c>
    </row>
    <row r="22025" spans="1:11">
      <c r="A22025" s="33" t="s">
        <v>48739</v>
      </c>
      <c r="B22025" s="33" t="s">
        <v>48740</v>
      </c>
      <c r="C22025" s="33" t="s">
        <v>698</v>
      </c>
      <c r="D22025" s="33" t="s">
        <v>17</v>
      </c>
      <c r="E22025" s="33" t="s">
        <v>67</v>
      </c>
      <c r="F22025" s="33" t="s">
        <v>68</v>
      </c>
      <c r="G22025" s="33" t="s">
        <v>140</v>
      </c>
      <c r="H22025" s="35">
        <v>48</v>
      </c>
      <c r="I22025" s="33" t="s">
        <v>51</v>
      </c>
      <c r="J22025" s="42">
        <v>45909</v>
      </c>
      <c r="K22025" s="33" t="s">
        <v>22</v>
      </c>
    </row>
    <row r="22026" spans="1:11">
      <c r="A22026" s="30" t="s">
        <v>48741</v>
      </c>
      <c r="B22026" s="30" t="s">
        <v>48742</v>
      </c>
      <c r="C22026" s="30" t="s">
        <v>93</v>
      </c>
      <c r="D22026" s="30" t="s">
        <v>17</v>
      </c>
      <c r="E22026" s="30" t="s">
        <v>18</v>
      </c>
      <c r="F22026" s="30" t="s">
        <v>19</v>
      </c>
      <c r="G22026" s="30" t="s">
        <v>158</v>
      </c>
      <c r="H22026" s="32">
        <v>468</v>
      </c>
      <c r="I22026" s="30" t="s">
        <v>21</v>
      </c>
      <c r="J22026" s="41">
        <v>45698</v>
      </c>
      <c r="K22026" s="30" t="s">
        <v>22</v>
      </c>
    </row>
    <row r="22027" spans="1:11">
      <c r="A22027" s="33" t="s">
        <v>48743</v>
      </c>
      <c r="B22027" s="33" t="s">
        <v>48744</v>
      </c>
      <c r="C22027" s="33" t="s">
        <v>48745</v>
      </c>
      <c r="D22027" s="33" t="s">
        <v>17</v>
      </c>
      <c r="E22027" s="33" t="s">
        <v>26</v>
      </c>
      <c r="F22027" s="33" t="s">
        <v>27</v>
      </c>
      <c r="G22027" s="33" t="s">
        <v>140</v>
      </c>
      <c r="H22027" s="35">
        <v>18</v>
      </c>
      <c r="I22027" s="33" t="s">
        <v>51</v>
      </c>
      <c r="J22027" s="42">
        <v>45873</v>
      </c>
      <c r="K22027" s="33" t="s">
        <v>22</v>
      </c>
    </row>
    <row r="22028" spans="1:11">
      <c r="A22028" s="30" t="s">
        <v>48746</v>
      </c>
      <c r="B22028" s="30" t="s">
        <v>48747</v>
      </c>
      <c r="C22028" s="30" t="s">
        <v>164</v>
      </c>
      <c r="D22028" s="30" t="s">
        <v>17</v>
      </c>
      <c r="E22028" s="30" t="s">
        <v>31</v>
      </c>
      <c r="F22028" s="30" t="s">
        <v>32</v>
      </c>
      <c r="G22028" s="30" t="s">
        <v>140</v>
      </c>
      <c r="H22028" s="32">
        <v>12</v>
      </c>
      <c r="I22028" s="30" t="s">
        <v>51</v>
      </c>
      <c r="J22028" s="41">
        <v>45968</v>
      </c>
      <c r="K22028" s="30" t="s">
        <v>22</v>
      </c>
    </row>
    <row r="22029" spans="1:11">
      <c r="A22029" s="33" t="s">
        <v>48748</v>
      </c>
      <c r="B22029" s="33" t="s">
        <v>48749</v>
      </c>
      <c r="C22029" s="33" t="s">
        <v>549</v>
      </c>
      <c r="D22029" s="33" t="s">
        <v>17</v>
      </c>
      <c r="E22029" s="33" t="s">
        <v>26</v>
      </c>
      <c r="F22029" s="33" t="s">
        <v>27</v>
      </c>
      <c r="G22029" s="33" t="s">
        <v>140</v>
      </c>
      <c r="H22029" s="35">
        <v>392</v>
      </c>
      <c r="I22029" s="33" t="s">
        <v>51</v>
      </c>
      <c r="J22029" s="42">
        <v>46001</v>
      </c>
      <c r="K22029" s="33" t="s">
        <v>22</v>
      </c>
    </row>
    <row r="22030" spans="1:11">
      <c r="A22030" s="30" t="s">
        <v>48750</v>
      </c>
      <c r="B22030" s="30" t="s">
        <v>48751</v>
      </c>
      <c r="C22030" s="30" t="s">
        <v>4345</v>
      </c>
      <c r="D22030" s="30" t="s">
        <v>17</v>
      </c>
      <c r="E22030" s="30" t="s">
        <v>18</v>
      </c>
      <c r="F22030" s="30" t="s">
        <v>19</v>
      </c>
      <c r="G22030" s="30" t="s">
        <v>140</v>
      </c>
      <c r="H22030" s="32">
        <v>158</v>
      </c>
      <c r="I22030" s="30" t="s">
        <v>51</v>
      </c>
      <c r="J22030" s="41">
        <v>45818</v>
      </c>
      <c r="K22030" s="30" t="s">
        <v>22</v>
      </c>
    </row>
    <row r="22031" spans="1:11">
      <c r="A22031" s="33" t="s">
        <v>48752</v>
      </c>
      <c r="B22031" s="33" t="s">
        <v>48753</v>
      </c>
      <c r="C22031" s="33" t="s">
        <v>379</v>
      </c>
      <c r="D22031" s="33" t="s">
        <v>17</v>
      </c>
      <c r="E22031" s="33" t="s">
        <v>67</v>
      </c>
      <c r="F22031" s="33" t="s">
        <v>68</v>
      </c>
      <c r="G22031" s="33" t="s">
        <v>140</v>
      </c>
      <c r="H22031" s="35">
        <v>105</v>
      </c>
      <c r="I22031" s="33" t="s">
        <v>51</v>
      </c>
      <c r="J22031" s="42">
        <v>45713</v>
      </c>
      <c r="K22031" s="33" t="s">
        <v>22</v>
      </c>
    </row>
    <row r="22032" spans="1:11">
      <c r="A22032" s="30" t="s">
        <v>48754</v>
      </c>
      <c r="B22032" s="30" t="s">
        <v>48755</v>
      </c>
      <c r="C22032" s="30" t="s">
        <v>1598</v>
      </c>
      <c r="D22032" s="30" t="s">
        <v>17</v>
      </c>
      <c r="E22032" s="30" t="s">
        <v>31</v>
      </c>
      <c r="F22032" s="30" t="s">
        <v>32</v>
      </c>
      <c r="G22032" s="30" t="s">
        <v>140</v>
      </c>
      <c r="H22032" s="32">
        <v>170</v>
      </c>
      <c r="I22032" s="30" t="s">
        <v>51</v>
      </c>
      <c r="J22032" s="41">
        <v>45895</v>
      </c>
      <c r="K22032" s="30" t="s">
        <v>22</v>
      </c>
    </row>
    <row r="22033" spans="1:11">
      <c r="A22033" s="33" t="s">
        <v>48756</v>
      </c>
      <c r="B22033" s="33" t="s">
        <v>48757</v>
      </c>
      <c r="C22033" s="33" t="s">
        <v>27241</v>
      </c>
      <c r="D22033" s="33" t="s">
        <v>17</v>
      </c>
      <c r="E22033" s="33" t="s">
        <v>18</v>
      </c>
      <c r="F22033" s="33" t="s">
        <v>19</v>
      </c>
      <c r="G22033" s="33" t="s">
        <v>20</v>
      </c>
      <c r="H22033" s="35">
        <v>1166</v>
      </c>
      <c r="I22033" s="33" t="s">
        <v>21</v>
      </c>
      <c r="J22033" s="42">
        <v>45732</v>
      </c>
      <c r="K22033" s="33" t="s">
        <v>22</v>
      </c>
    </row>
    <row r="22034" spans="1:11">
      <c r="A22034" s="30" t="s">
        <v>48758</v>
      </c>
      <c r="B22034" s="30" t="s">
        <v>48759</v>
      </c>
      <c r="C22034" s="30" t="s">
        <v>15917</v>
      </c>
      <c r="D22034" s="30" t="s">
        <v>17</v>
      </c>
      <c r="E22034" s="30" t="s">
        <v>31</v>
      </c>
      <c r="F22034" s="30" t="s">
        <v>32</v>
      </c>
      <c r="G22034" s="30" t="s">
        <v>140</v>
      </c>
      <c r="H22034" s="32">
        <v>75</v>
      </c>
      <c r="I22034" s="30" t="s">
        <v>51</v>
      </c>
      <c r="J22034" s="41">
        <v>46022</v>
      </c>
      <c r="K22034" s="30" t="s">
        <v>22</v>
      </c>
    </row>
    <row r="22035" spans="1:11">
      <c r="A22035" s="33" t="s">
        <v>48760</v>
      </c>
      <c r="B22035" s="33" t="s">
        <v>48761</v>
      </c>
      <c r="C22035" s="33" t="s">
        <v>19435</v>
      </c>
      <c r="D22035" s="33" t="s">
        <v>17</v>
      </c>
      <c r="E22035" s="33" t="s">
        <v>67</v>
      </c>
      <c r="F22035" s="33" t="s">
        <v>68</v>
      </c>
      <c r="G22035" s="33" t="s">
        <v>140</v>
      </c>
      <c r="H22035" s="35">
        <v>15</v>
      </c>
      <c r="I22035" s="33" t="s">
        <v>51</v>
      </c>
      <c r="J22035" s="42">
        <v>45735</v>
      </c>
      <c r="K22035" s="33" t="s">
        <v>22</v>
      </c>
    </row>
    <row r="22036" spans="1:11">
      <c r="A22036" s="30" t="s">
        <v>48762</v>
      </c>
      <c r="B22036" s="30" t="s">
        <v>48763</v>
      </c>
      <c r="C22036" s="30" t="s">
        <v>48764</v>
      </c>
      <c r="D22036" s="30" t="s">
        <v>17</v>
      </c>
      <c r="E22036" s="30" t="s">
        <v>26</v>
      </c>
      <c r="F22036" s="30" t="s">
        <v>27</v>
      </c>
      <c r="G22036" s="30" t="s">
        <v>20</v>
      </c>
      <c r="H22036" s="32">
        <v>26</v>
      </c>
      <c r="I22036" s="30" t="s">
        <v>21</v>
      </c>
      <c r="J22036" s="41">
        <v>45971</v>
      </c>
      <c r="K22036" s="30" t="s">
        <v>22</v>
      </c>
    </row>
    <row r="22037" spans="1:11">
      <c r="A22037" s="33" t="s">
        <v>48765</v>
      </c>
      <c r="B22037" s="33" t="s">
        <v>48766</v>
      </c>
      <c r="C22037" s="33" t="s">
        <v>715</v>
      </c>
      <c r="D22037" s="33" t="s">
        <v>17</v>
      </c>
      <c r="E22037" s="33" t="s">
        <v>212</v>
      </c>
      <c r="F22037" s="33" t="s">
        <v>213</v>
      </c>
      <c r="G22037" s="33" t="s">
        <v>140</v>
      </c>
      <c r="H22037" s="35">
        <v>100</v>
      </c>
      <c r="I22037" s="33" t="s">
        <v>51</v>
      </c>
      <c r="J22037" s="42">
        <v>45829</v>
      </c>
      <c r="K22037" s="33" t="s">
        <v>22</v>
      </c>
    </row>
    <row r="22038" spans="1:11">
      <c r="A22038" s="30" t="s">
        <v>48767</v>
      </c>
      <c r="B22038" s="30" t="s">
        <v>48768</v>
      </c>
      <c r="C22038" s="30" t="s">
        <v>969</v>
      </c>
      <c r="D22038" s="30" t="s">
        <v>17</v>
      </c>
      <c r="E22038" s="30" t="s">
        <v>31</v>
      </c>
      <c r="F22038" s="30" t="s">
        <v>32</v>
      </c>
      <c r="G22038" s="30" t="s">
        <v>20</v>
      </c>
      <c r="H22038" s="32">
        <v>776</v>
      </c>
      <c r="I22038" s="30" t="s">
        <v>21</v>
      </c>
      <c r="J22038" s="41">
        <v>45894</v>
      </c>
      <c r="K22038" s="30" t="s">
        <v>22</v>
      </c>
    </row>
    <row r="22039" spans="1:11">
      <c r="A22039" s="33" t="s">
        <v>48769</v>
      </c>
      <c r="B22039" s="33" t="s">
        <v>48770</v>
      </c>
      <c r="C22039" s="33" t="s">
        <v>1598</v>
      </c>
      <c r="D22039" s="33" t="s">
        <v>17</v>
      </c>
      <c r="E22039" s="33" t="s">
        <v>18</v>
      </c>
      <c r="F22039" s="33" t="s">
        <v>19</v>
      </c>
      <c r="G22039" s="33" t="s">
        <v>140</v>
      </c>
      <c r="H22039" s="35">
        <v>260</v>
      </c>
      <c r="I22039" s="33" t="s">
        <v>51</v>
      </c>
      <c r="J22039" s="42">
        <v>45820</v>
      </c>
      <c r="K22039" s="33" t="s">
        <v>22</v>
      </c>
    </row>
    <row r="22040" spans="1:11">
      <c r="A22040" s="30" t="s">
        <v>48771</v>
      </c>
      <c r="B22040" s="30" t="s">
        <v>48772</v>
      </c>
      <c r="C22040" s="30" t="s">
        <v>48773</v>
      </c>
      <c r="D22040" s="30" t="s">
        <v>17</v>
      </c>
      <c r="E22040" s="30" t="s">
        <v>26</v>
      </c>
      <c r="F22040" s="30" t="s">
        <v>27</v>
      </c>
      <c r="G22040" s="30" t="s">
        <v>140</v>
      </c>
      <c r="H22040" s="32">
        <v>60</v>
      </c>
      <c r="I22040" s="30" t="s">
        <v>51</v>
      </c>
      <c r="J22040" s="41">
        <v>45821</v>
      </c>
      <c r="K22040" s="30" t="s">
        <v>22</v>
      </c>
    </row>
    <row r="22041" spans="1:11">
      <c r="A22041" s="33" t="s">
        <v>48774</v>
      </c>
      <c r="B22041" s="33" t="s">
        <v>48775</v>
      </c>
      <c r="C22041" s="33" t="s">
        <v>1151</v>
      </c>
      <c r="D22041" s="33" t="s">
        <v>17</v>
      </c>
      <c r="E22041" s="33" t="s">
        <v>18</v>
      </c>
      <c r="F22041" s="33" t="s">
        <v>19</v>
      </c>
      <c r="G22041" s="33" t="s">
        <v>140</v>
      </c>
      <c r="H22041" s="35">
        <v>60</v>
      </c>
      <c r="I22041" s="33" t="s">
        <v>51</v>
      </c>
      <c r="J22041" s="42">
        <v>45825</v>
      </c>
      <c r="K22041" s="33" t="s">
        <v>22</v>
      </c>
    </row>
    <row r="22042" spans="1:11">
      <c r="A22042" s="30" t="s">
        <v>48776</v>
      </c>
      <c r="B22042" s="30" t="s">
        <v>48777</v>
      </c>
      <c r="C22042" s="30" t="s">
        <v>93</v>
      </c>
      <c r="D22042" s="30" t="s">
        <v>17</v>
      </c>
      <c r="E22042" s="30" t="s">
        <v>26</v>
      </c>
      <c r="F22042" s="30" t="s">
        <v>27</v>
      </c>
      <c r="G22042" s="30" t="s">
        <v>140</v>
      </c>
      <c r="H22042" s="32">
        <v>48</v>
      </c>
      <c r="I22042" s="30" t="s">
        <v>51</v>
      </c>
      <c r="J22042" s="41">
        <v>45957</v>
      </c>
      <c r="K22042" s="30" t="s">
        <v>22</v>
      </c>
    </row>
    <row r="22043" spans="1:11">
      <c r="A22043" s="33" t="s">
        <v>48778</v>
      </c>
      <c r="B22043" s="33" t="s">
        <v>48779</v>
      </c>
      <c r="C22043" s="33" t="s">
        <v>48780</v>
      </c>
      <c r="D22043" s="33" t="s">
        <v>17</v>
      </c>
      <c r="E22043" s="33" t="s">
        <v>26</v>
      </c>
      <c r="F22043" s="33" t="s">
        <v>27</v>
      </c>
      <c r="G22043" s="33" t="s">
        <v>20</v>
      </c>
      <c r="H22043" s="35">
        <v>40</v>
      </c>
      <c r="I22043" s="33" t="s">
        <v>21</v>
      </c>
      <c r="J22043" s="42">
        <v>45765</v>
      </c>
      <c r="K22043" s="33" t="s">
        <v>22</v>
      </c>
    </row>
    <row r="22044" spans="1:11">
      <c r="A22044" s="30" t="s">
        <v>48781</v>
      </c>
      <c r="B22044" s="30" t="s">
        <v>48782</v>
      </c>
      <c r="C22044" s="30" t="s">
        <v>157</v>
      </c>
      <c r="D22044" s="30" t="s">
        <v>17</v>
      </c>
      <c r="E22044" s="30" t="s">
        <v>26</v>
      </c>
      <c r="F22044" s="30" t="s">
        <v>27</v>
      </c>
      <c r="G22044" s="30" t="s">
        <v>20</v>
      </c>
      <c r="H22044" s="32">
        <v>64</v>
      </c>
      <c r="I22044" s="30" t="s">
        <v>21</v>
      </c>
      <c r="J22044" s="41">
        <v>45769</v>
      </c>
      <c r="K22044" s="30" t="s">
        <v>22</v>
      </c>
    </row>
    <row r="22045" spans="1:11">
      <c r="A22045" s="33" t="s">
        <v>48783</v>
      </c>
      <c r="B22045" s="33" t="s">
        <v>48784</v>
      </c>
      <c r="C22045" s="33" t="s">
        <v>203</v>
      </c>
      <c r="D22045" s="33" t="s">
        <v>17</v>
      </c>
      <c r="E22045" s="33" t="s">
        <v>31</v>
      </c>
      <c r="F22045" s="33" t="s">
        <v>32</v>
      </c>
      <c r="G22045" s="33" t="s">
        <v>140</v>
      </c>
      <c r="H22045" s="35">
        <v>37</v>
      </c>
      <c r="I22045" s="33" t="s">
        <v>51</v>
      </c>
      <c r="J22045" s="42">
        <v>45993</v>
      </c>
      <c r="K22045" s="33" t="s">
        <v>22</v>
      </c>
    </row>
    <row r="22046" spans="1:11">
      <c r="A22046" s="30" t="s">
        <v>48785</v>
      </c>
      <c r="B22046" s="30" t="s">
        <v>48786</v>
      </c>
      <c r="C22046" s="30" t="s">
        <v>187</v>
      </c>
      <c r="D22046" s="30" t="s">
        <v>17</v>
      </c>
      <c r="E22046" s="30" t="s">
        <v>67</v>
      </c>
      <c r="F22046" s="30" t="s">
        <v>68</v>
      </c>
      <c r="G22046" s="30" t="s">
        <v>140</v>
      </c>
      <c r="H22046" s="32">
        <v>90</v>
      </c>
      <c r="I22046" s="30" t="s">
        <v>51</v>
      </c>
      <c r="J22046" s="41">
        <v>45770</v>
      </c>
      <c r="K22046" s="30" t="s">
        <v>22</v>
      </c>
    </row>
    <row r="22047" spans="1:11">
      <c r="A22047" s="33" t="s">
        <v>48787</v>
      </c>
      <c r="B22047" s="33" t="s">
        <v>48788</v>
      </c>
      <c r="C22047" s="33" t="s">
        <v>450</v>
      </c>
      <c r="D22047" s="33" t="s">
        <v>17</v>
      </c>
      <c r="E22047" s="33" t="s">
        <v>18</v>
      </c>
      <c r="F22047" s="33" t="s">
        <v>19</v>
      </c>
      <c r="G22047" s="33" t="s">
        <v>158</v>
      </c>
      <c r="H22047" s="35">
        <v>21</v>
      </c>
      <c r="I22047" s="33" t="s">
        <v>21</v>
      </c>
      <c r="J22047" s="42">
        <v>45673</v>
      </c>
      <c r="K22047" s="33" t="s">
        <v>22</v>
      </c>
    </row>
    <row r="22048" spans="1:11">
      <c r="A22048" s="30" t="s">
        <v>48789</v>
      </c>
      <c r="B22048" s="30" t="s">
        <v>48790</v>
      </c>
      <c r="C22048" s="30" t="s">
        <v>10712</v>
      </c>
      <c r="D22048" s="30" t="s">
        <v>17</v>
      </c>
      <c r="E22048" s="30" t="s">
        <v>31</v>
      </c>
      <c r="F22048" s="30" t="s">
        <v>32</v>
      </c>
      <c r="G22048" s="30" t="s">
        <v>140</v>
      </c>
      <c r="H22048" s="32">
        <v>95</v>
      </c>
      <c r="I22048" s="30" t="s">
        <v>51</v>
      </c>
      <c r="J22048" s="41">
        <v>45845</v>
      </c>
      <c r="K22048" s="30" t="s">
        <v>22</v>
      </c>
    </row>
    <row r="22049" spans="1:11">
      <c r="A22049" s="33" t="s">
        <v>48791</v>
      </c>
      <c r="B22049" s="33" t="s">
        <v>48792</v>
      </c>
      <c r="C22049" s="33" t="s">
        <v>19656</v>
      </c>
      <c r="D22049" s="33" t="s">
        <v>17</v>
      </c>
      <c r="E22049" s="33" t="s">
        <v>26</v>
      </c>
      <c r="F22049" s="33" t="s">
        <v>27</v>
      </c>
      <c r="G22049" s="33" t="s">
        <v>140</v>
      </c>
      <c r="H22049" s="35">
        <v>46</v>
      </c>
      <c r="I22049" s="33" t="s">
        <v>51</v>
      </c>
      <c r="J22049" s="42">
        <v>45908</v>
      </c>
      <c r="K22049" s="33" t="s">
        <v>22</v>
      </c>
    </row>
    <row r="22050" spans="1:11">
      <c r="A22050" s="30" t="s">
        <v>48793</v>
      </c>
      <c r="B22050" s="30" t="s">
        <v>48794</v>
      </c>
      <c r="C22050" s="30" t="s">
        <v>2196</v>
      </c>
      <c r="D22050" s="30" t="s">
        <v>17</v>
      </c>
      <c r="E22050" s="30" t="s">
        <v>26</v>
      </c>
      <c r="F22050" s="30" t="s">
        <v>27</v>
      </c>
      <c r="G22050" s="30" t="s">
        <v>20</v>
      </c>
      <c r="H22050" s="32">
        <v>18</v>
      </c>
      <c r="I22050" s="30" t="s">
        <v>21</v>
      </c>
      <c r="J22050" s="41">
        <v>46002</v>
      </c>
      <c r="K22050" s="30" t="s">
        <v>22</v>
      </c>
    </row>
    <row r="22051" spans="1:11">
      <c r="A22051" s="33" t="s">
        <v>48795</v>
      </c>
      <c r="B22051" s="33" t="s">
        <v>48796</v>
      </c>
      <c r="C22051" s="33" t="s">
        <v>12036</v>
      </c>
      <c r="D22051" s="33" t="s">
        <v>17</v>
      </c>
      <c r="E22051" s="33" t="s">
        <v>45</v>
      </c>
      <c r="F22051" s="33" t="s">
        <v>46</v>
      </c>
      <c r="G22051" s="33" t="s">
        <v>158</v>
      </c>
      <c r="H22051" s="35">
        <v>600</v>
      </c>
      <c r="I22051" s="33" t="s">
        <v>51</v>
      </c>
      <c r="J22051" s="42">
        <v>45881</v>
      </c>
      <c r="K22051" s="33" t="s">
        <v>22</v>
      </c>
    </row>
    <row r="22052" spans="1:11">
      <c r="A22052" s="30" t="s">
        <v>48797</v>
      </c>
      <c r="B22052" s="30" t="s">
        <v>48798</v>
      </c>
      <c r="C22052" s="30" t="s">
        <v>93</v>
      </c>
      <c r="D22052" s="30" t="s">
        <v>17</v>
      </c>
      <c r="E22052" s="30" t="s">
        <v>18</v>
      </c>
      <c r="F22052" s="30" t="s">
        <v>19</v>
      </c>
      <c r="G22052" s="30" t="s">
        <v>140</v>
      </c>
      <c r="H22052" s="32">
        <v>130</v>
      </c>
      <c r="I22052" s="30" t="s">
        <v>51</v>
      </c>
      <c r="J22052" s="41">
        <v>45699</v>
      </c>
      <c r="K22052" s="30" t="s">
        <v>22</v>
      </c>
    </row>
    <row r="22053" spans="1:11">
      <c r="A22053" s="33" t="s">
        <v>48799</v>
      </c>
      <c r="B22053" s="33" t="s">
        <v>48800</v>
      </c>
      <c r="C22053" s="33" t="s">
        <v>22019</v>
      </c>
      <c r="D22053" s="33" t="s">
        <v>17</v>
      </c>
      <c r="E22053" s="33" t="s">
        <v>18</v>
      </c>
      <c r="F22053" s="33" t="s">
        <v>19</v>
      </c>
      <c r="G22053" s="33" t="s">
        <v>2613</v>
      </c>
      <c r="H22053" s="35">
        <v>324</v>
      </c>
      <c r="I22053" s="33" t="s">
        <v>51</v>
      </c>
      <c r="J22053" s="42">
        <v>45700</v>
      </c>
      <c r="K22053" s="33" t="s">
        <v>22</v>
      </c>
    </row>
    <row r="22054" spans="1:11">
      <c r="A22054" s="30" t="s">
        <v>48801</v>
      </c>
      <c r="B22054" s="30" t="s">
        <v>48802</v>
      </c>
      <c r="C22054" s="30" t="s">
        <v>14816</v>
      </c>
      <c r="D22054" s="30" t="s">
        <v>17</v>
      </c>
      <c r="E22054" s="30" t="s">
        <v>67</v>
      </c>
      <c r="F22054" s="30" t="s">
        <v>68</v>
      </c>
      <c r="G22054" s="30" t="s">
        <v>140</v>
      </c>
      <c r="H22054" s="32">
        <v>300</v>
      </c>
      <c r="I22054" s="30" t="s">
        <v>51</v>
      </c>
      <c r="J22054" s="41">
        <v>45678</v>
      </c>
      <c r="K22054" s="30" t="s">
        <v>22</v>
      </c>
    </row>
    <row r="22055" spans="1:11">
      <c r="A22055" s="33" t="s">
        <v>48803</v>
      </c>
      <c r="B22055" s="33" t="s">
        <v>48804</v>
      </c>
      <c r="C22055" s="33" t="s">
        <v>4366</v>
      </c>
      <c r="D22055" s="33" t="s">
        <v>17</v>
      </c>
      <c r="E22055" s="33" t="s">
        <v>31</v>
      </c>
      <c r="F22055" s="33" t="s">
        <v>32</v>
      </c>
      <c r="G22055" s="33" t="s">
        <v>140</v>
      </c>
      <c r="H22055" s="35">
        <v>100</v>
      </c>
      <c r="I22055" s="33" t="s">
        <v>51</v>
      </c>
      <c r="J22055" s="42">
        <v>45873</v>
      </c>
      <c r="K22055" s="33" t="s">
        <v>22</v>
      </c>
    </row>
    <row r="22056" spans="1:11">
      <c r="A22056" s="30" t="s">
        <v>48805</v>
      </c>
      <c r="B22056" s="30" t="s">
        <v>48806</v>
      </c>
      <c r="C22056" s="30" t="s">
        <v>1350</v>
      </c>
      <c r="D22056" s="30" t="s">
        <v>17</v>
      </c>
      <c r="E22056" s="30" t="s">
        <v>26</v>
      </c>
      <c r="F22056" s="30" t="s">
        <v>27</v>
      </c>
      <c r="G22056" s="30" t="s">
        <v>140</v>
      </c>
      <c r="H22056" s="32">
        <v>288</v>
      </c>
      <c r="I22056" s="30" t="s">
        <v>51</v>
      </c>
      <c r="J22056" s="41">
        <v>45749</v>
      </c>
      <c r="K22056" s="30" t="s">
        <v>22</v>
      </c>
    </row>
    <row r="22057" spans="1:11">
      <c r="A22057" s="33" t="s">
        <v>48807</v>
      </c>
      <c r="B22057" s="33" t="s">
        <v>48808</v>
      </c>
      <c r="C22057" s="33" t="s">
        <v>13721</v>
      </c>
      <c r="D22057" s="33" t="s">
        <v>17</v>
      </c>
      <c r="E22057" s="33" t="s">
        <v>31</v>
      </c>
      <c r="F22057" s="33" t="s">
        <v>32</v>
      </c>
      <c r="G22057" s="33" t="s">
        <v>7780</v>
      </c>
      <c r="H22057" s="35">
        <v>36</v>
      </c>
      <c r="I22057" s="33" t="s">
        <v>51</v>
      </c>
      <c r="J22057" s="42">
        <v>45992</v>
      </c>
      <c r="K22057" s="33" t="s">
        <v>22</v>
      </c>
    </row>
    <row r="22058" spans="1:11">
      <c r="A22058" s="30" t="s">
        <v>48809</v>
      </c>
      <c r="B22058" s="30" t="s">
        <v>48810</v>
      </c>
      <c r="C22058" s="30" t="s">
        <v>310</v>
      </c>
      <c r="D22058" s="30" t="s">
        <v>17</v>
      </c>
      <c r="E22058" s="30" t="s">
        <v>18</v>
      </c>
      <c r="F22058" s="30" t="s">
        <v>19</v>
      </c>
      <c r="G22058" s="30" t="s">
        <v>140</v>
      </c>
      <c r="H22058" s="32">
        <v>877</v>
      </c>
      <c r="I22058" s="30" t="s">
        <v>51</v>
      </c>
      <c r="J22058" s="41">
        <v>45880</v>
      </c>
      <c r="K22058" s="30" t="s">
        <v>22</v>
      </c>
    </row>
    <row r="22059" spans="1:11">
      <c r="A22059" s="33" t="s">
        <v>48811</v>
      </c>
      <c r="B22059" s="33" t="s">
        <v>48812</v>
      </c>
      <c r="C22059" s="33" t="s">
        <v>48813</v>
      </c>
      <c r="D22059" s="33" t="s">
        <v>17</v>
      </c>
      <c r="E22059" s="33" t="s">
        <v>26</v>
      </c>
      <c r="F22059" s="33" t="s">
        <v>27</v>
      </c>
      <c r="G22059" s="33" t="s">
        <v>158</v>
      </c>
      <c r="H22059" s="35">
        <v>34</v>
      </c>
      <c r="I22059" s="33" t="s">
        <v>21</v>
      </c>
      <c r="J22059" s="42">
        <v>45778</v>
      </c>
      <c r="K22059" s="33" t="s">
        <v>22</v>
      </c>
    </row>
    <row r="22060" spans="1:11">
      <c r="A22060" s="30" t="s">
        <v>48814</v>
      </c>
      <c r="B22060" s="30" t="s">
        <v>48815</v>
      </c>
      <c r="C22060" s="30" t="s">
        <v>13124</v>
      </c>
      <c r="D22060" s="30" t="s">
        <v>17</v>
      </c>
      <c r="E22060" s="30" t="s">
        <v>31</v>
      </c>
      <c r="F22060" s="30" t="s">
        <v>32</v>
      </c>
      <c r="G22060" s="30" t="s">
        <v>140</v>
      </c>
      <c r="H22060" s="32">
        <v>18</v>
      </c>
      <c r="I22060" s="30" t="s">
        <v>51</v>
      </c>
      <c r="J22060" s="41">
        <v>45659</v>
      </c>
      <c r="K22060" s="30" t="s">
        <v>22</v>
      </c>
    </row>
    <row r="22061" spans="1:11">
      <c r="A22061" s="33" t="s">
        <v>48816</v>
      </c>
      <c r="B22061" s="33" t="s">
        <v>48817</v>
      </c>
      <c r="C22061" s="33" t="s">
        <v>48818</v>
      </c>
      <c r="D22061" s="33" t="s">
        <v>17</v>
      </c>
      <c r="E22061" s="33" t="s">
        <v>31</v>
      </c>
      <c r="F22061" s="33" t="s">
        <v>32</v>
      </c>
      <c r="G22061" s="33" t="s">
        <v>140</v>
      </c>
      <c r="H22061" s="35">
        <v>40</v>
      </c>
      <c r="I22061" s="33" t="s">
        <v>51</v>
      </c>
      <c r="J22061" s="42">
        <v>45992</v>
      </c>
      <c r="K22061" s="33" t="s">
        <v>22</v>
      </c>
    </row>
    <row r="22062" spans="1:11">
      <c r="A22062" s="30" t="s">
        <v>48819</v>
      </c>
      <c r="B22062" s="30" t="s">
        <v>48820</v>
      </c>
      <c r="C22062" s="30" t="s">
        <v>136</v>
      </c>
      <c r="D22062" s="30" t="s">
        <v>17</v>
      </c>
      <c r="E22062" s="30" t="s">
        <v>212</v>
      </c>
      <c r="F22062" s="30" t="s">
        <v>213</v>
      </c>
      <c r="G22062" s="30" t="s">
        <v>140</v>
      </c>
      <c r="H22062" s="32">
        <v>200</v>
      </c>
      <c r="I22062" s="30" t="s">
        <v>51</v>
      </c>
      <c r="J22062" s="41">
        <v>45722</v>
      </c>
      <c r="K22062" s="30" t="s">
        <v>22</v>
      </c>
    </row>
    <row r="22063" spans="1:11">
      <c r="A22063" s="33" t="s">
        <v>48821</v>
      </c>
      <c r="B22063" s="33" t="s">
        <v>48822</v>
      </c>
      <c r="C22063" s="33" t="s">
        <v>109</v>
      </c>
      <c r="D22063" s="33" t="s">
        <v>17</v>
      </c>
      <c r="E22063" s="33" t="s">
        <v>18</v>
      </c>
      <c r="F22063" s="33" t="s">
        <v>19</v>
      </c>
      <c r="G22063" s="33" t="s">
        <v>140</v>
      </c>
      <c r="H22063" s="35">
        <v>240</v>
      </c>
      <c r="I22063" s="33" t="s">
        <v>51</v>
      </c>
      <c r="J22063" s="42">
        <v>45807</v>
      </c>
      <c r="K22063" s="33" t="s">
        <v>22</v>
      </c>
    </row>
    <row r="22064" spans="1:11">
      <c r="A22064" s="30" t="s">
        <v>48823</v>
      </c>
      <c r="B22064" s="30" t="s">
        <v>48824</v>
      </c>
      <c r="C22064" s="30" t="s">
        <v>48825</v>
      </c>
      <c r="D22064" s="30" t="s">
        <v>17</v>
      </c>
      <c r="E22064" s="30" t="s">
        <v>67</v>
      </c>
      <c r="F22064" s="30" t="s">
        <v>68</v>
      </c>
      <c r="G22064" s="30" t="s">
        <v>140</v>
      </c>
      <c r="H22064" s="32">
        <v>75</v>
      </c>
      <c r="I22064" s="30" t="s">
        <v>51</v>
      </c>
      <c r="J22064" s="41">
        <v>46021</v>
      </c>
      <c r="K22064" s="30" t="s">
        <v>22</v>
      </c>
    </row>
    <row r="22065" spans="1:11">
      <c r="A22065" s="33" t="s">
        <v>48826</v>
      </c>
      <c r="B22065" s="33" t="s">
        <v>48827</v>
      </c>
      <c r="C22065" s="33" t="s">
        <v>465</v>
      </c>
      <c r="D22065" s="33" t="s">
        <v>17</v>
      </c>
      <c r="E22065" s="33" t="s">
        <v>26</v>
      </c>
      <c r="F22065" s="33" t="s">
        <v>27</v>
      </c>
      <c r="G22065" s="33" t="s">
        <v>7780</v>
      </c>
      <c r="H22065" s="35">
        <v>40</v>
      </c>
      <c r="I22065" s="33" t="s">
        <v>51</v>
      </c>
      <c r="J22065" s="42">
        <v>45901</v>
      </c>
      <c r="K22065" s="33" t="s">
        <v>22</v>
      </c>
    </row>
    <row r="22066" spans="1:11">
      <c r="A22066" s="30" t="s">
        <v>48828</v>
      </c>
      <c r="B22066" s="30" t="s">
        <v>48829</v>
      </c>
      <c r="C22066" s="30" t="s">
        <v>4717</v>
      </c>
      <c r="D22066" s="30" t="s">
        <v>17</v>
      </c>
      <c r="E22066" s="30" t="s">
        <v>31</v>
      </c>
      <c r="F22066" s="30" t="s">
        <v>32</v>
      </c>
      <c r="G22066" s="30" t="s">
        <v>158</v>
      </c>
      <c r="H22066" s="32">
        <v>44</v>
      </c>
      <c r="I22066" s="30" t="s">
        <v>51</v>
      </c>
      <c r="J22066" s="41">
        <v>45887</v>
      </c>
      <c r="K22066" s="30" t="s">
        <v>22</v>
      </c>
    </row>
    <row r="22067" spans="1:11">
      <c r="A22067" s="33" t="s">
        <v>48830</v>
      </c>
      <c r="B22067" s="33" t="s">
        <v>48831</v>
      </c>
      <c r="C22067" s="33" t="s">
        <v>2323</v>
      </c>
      <c r="D22067" s="33" t="s">
        <v>17</v>
      </c>
      <c r="E22067" s="33" t="s">
        <v>31</v>
      </c>
      <c r="F22067" s="33" t="s">
        <v>32</v>
      </c>
      <c r="G22067" s="33" t="s">
        <v>140</v>
      </c>
      <c r="H22067" s="35">
        <v>60</v>
      </c>
      <c r="I22067" s="33" t="s">
        <v>51</v>
      </c>
      <c r="J22067" s="42">
        <v>46003</v>
      </c>
      <c r="K22067" s="33" t="s">
        <v>22</v>
      </c>
    </row>
    <row r="22068" spans="1:11">
      <c r="A22068" s="30" t="s">
        <v>48832</v>
      </c>
      <c r="B22068" s="30" t="s">
        <v>48833</v>
      </c>
      <c r="C22068" s="30" t="s">
        <v>25581</v>
      </c>
      <c r="D22068" s="30" t="s">
        <v>17</v>
      </c>
      <c r="E22068" s="30" t="s">
        <v>31</v>
      </c>
      <c r="F22068" s="30" t="s">
        <v>32</v>
      </c>
      <c r="G22068" s="30" t="s">
        <v>140</v>
      </c>
      <c r="H22068" s="32">
        <v>48</v>
      </c>
      <c r="I22068" s="30" t="s">
        <v>51</v>
      </c>
      <c r="J22068" s="41">
        <v>45717</v>
      </c>
      <c r="K22068" s="30" t="s">
        <v>22</v>
      </c>
    </row>
    <row r="22069" spans="1:11">
      <c r="A22069" s="33" t="s">
        <v>48834</v>
      </c>
      <c r="B22069" s="33" t="s">
        <v>48835</v>
      </c>
      <c r="C22069" s="33" t="s">
        <v>47704</v>
      </c>
      <c r="D22069" s="33" t="s">
        <v>17</v>
      </c>
      <c r="E22069" s="33" t="s">
        <v>26</v>
      </c>
      <c r="F22069" s="33" t="s">
        <v>27</v>
      </c>
      <c r="G22069" s="33" t="s">
        <v>140</v>
      </c>
      <c r="H22069" s="35">
        <v>237</v>
      </c>
      <c r="I22069" s="33" t="s">
        <v>51</v>
      </c>
      <c r="J22069" s="42">
        <v>45715</v>
      </c>
      <c r="K22069" s="33" t="s">
        <v>22</v>
      </c>
    </row>
    <row r="22070" spans="1:11">
      <c r="A22070" s="30" t="s">
        <v>48836</v>
      </c>
      <c r="B22070" s="30" t="s">
        <v>48837</v>
      </c>
      <c r="C22070" s="30" t="s">
        <v>2562</v>
      </c>
      <c r="D22070" s="30" t="s">
        <v>17</v>
      </c>
      <c r="E22070" s="30" t="s">
        <v>31</v>
      </c>
      <c r="F22070" s="30" t="s">
        <v>32</v>
      </c>
      <c r="G22070" s="30" t="s">
        <v>7780</v>
      </c>
      <c r="H22070" s="32">
        <v>204</v>
      </c>
      <c r="I22070" s="30" t="s">
        <v>51</v>
      </c>
      <c r="J22070" s="41">
        <v>45828</v>
      </c>
      <c r="K22070" s="30" t="s">
        <v>22</v>
      </c>
    </row>
    <row r="22071" spans="1:11">
      <c r="A22071" s="33" t="s">
        <v>48838</v>
      </c>
      <c r="B22071" s="33" t="s">
        <v>48839</v>
      </c>
      <c r="C22071" s="33" t="s">
        <v>1778</v>
      </c>
      <c r="D22071" s="33" t="s">
        <v>17</v>
      </c>
      <c r="E22071" s="33" t="s">
        <v>18</v>
      </c>
      <c r="F22071" s="33" t="s">
        <v>19</v>
      </c>
      <c r="G22071" s="33" t="s">
        <v>20</v>
      </c>
      <c r="H22071" s="35">
        <v>101</v>
      </c>
      <c r="I22071" s="33" t="s">
        <v>21</v>
      </c>
      <c r="J22071" s="42">
        <v>45663</v>
      </c>
      <c r="K22071" s="33" t="s">
        <v>22</v>
      </c>
    </row>
    <row r="22072" spans="1:11">
      <c r="A22072" s="30" t="s">
        <v>48840</v>
      </c>
      <c r="B22072" s="30" t="s">
        <v>48841</v>
      </c>
      <c r="C22072" s="30" t="s">
        <v>5757</v>
      </c>
      <c r="D22072" s="30" t="s">
        <v>17</v>
      </c>
      <c r="E22072" s="30" t="s">
        <v>31</v>
      </c>
      <c r="F22072" s="30" t="s">
        <v>32</v>
      </c>
      <c r="G22072" s="30" t="s">
        <v>140</v>
      </c>
      <c r="H22072" s="32">
        <v>200</v>
      </c>
      <c r="I22072" s="30" t="s">
        <v>51</v>
      </c>
      <c r="J22072" s="41">
        <v>45966</v>
      </c>
      <c r="K22072" s="30" t="s">
        <v>22</v>
      </c>
    </row>
    <row r="22073" spans="1:11">
      <c r="A22073" s="33" t="s">
        <v>48842</v>
      </c>
      <c r="B22073" s="33" t="s">
        <v>48843</v>
      </c>
      <c r="C22073" s="33" t="s">
        <v>10311</v>
      </c>
      <c r="D22073" s="33" t="s">
        <v>17</v>
      </c>
      <c r="E22073" s="33" t="s">
        <v>31</v>
      </c>
      <c r="F22073" s="33" t="s">
        <v>32</v>
      </c>
      <c r="G22073" s="33" t="s">
        <v>140</v>
      </c>
      <c r="H22073" s="35">
        <v>40</v>
      </c>
      <c r="I22073" s="33" t="s">
        <v>51</v>
      </c>
      <c r="J22073" s="42">
        <v>46009</v>
      </c>
      <c r="K22073" s="33" t="s">
        <v>22</v>
      </c>
    </row>
    <row r="22074" spans="1:11">
      <c r="A22074" s="30" t="s">
        <v>48844</v>
      </c>
      <c r="B22074" s="30" t="s">
        <v>48845</v>
      </c>
      <c r="C22074" s="30" t="s">
        <v>2772</v>
      </c>
      <c r="D22074" s="30" t="s">
        <v>17</v>
      </c>
      <c r="E22074" s="30" t="s">
        <v>31</v>
      </c>
      <c r="F22074" s="30" t="s">
        <v>32</v>
      </c>
      <c r="G22074" s="30" t="s">
        <v>140</v>
      </c>
      <c r="H22074" s="32">
        <v>204</v>
      </c>
      <c r="I22074" s="30" t="s">
        <v>51</v>
      </c>
      <c r="J22074" s="41">
        <v>45883</v>
      </c>
      <c r="K22074" s="30" t="s">
        <v>22</v>
      </c>
    </row>
    <row r="22075" spans="1:11">
      <c r="A22075" s="33" t="s">
        <v>48846</v>
      </c>
      <c r="B22075" s="33" t="s">
        <v>48847</v>
      </c>
      <c r="C22075" s="33" t="s">
        <v>12799</v>
      </c>
      <c r="D22075" s="33" t="s">
        <v>17</v>
      </c>
      <c r="E22075" s="33" t="s">
        <v>31</v>
      </c>
      <c r="F22075" s="33" t="s">
        <v>32</v>
      </c>
      <c r="G22075" s="33" t="s">
        <v>140</v>
      </c>
      <c r="H22075" s="35">
        <v>126</v>
      </c>
      <c r="I22075" s="33" t="s">
        <v>51</v>
      </c>
      <c r="J22075" s="42">
        <v>45717</v>
      </c>
      <c r="K22075" s="33" t="s">
        <v>22</v>
      </c>
    </row>
    <row r="22076" spans="1:11">
      <c r="A22076" s="30" t="s">
        <v>48848</v>
      </c>
      <c r="B22076" s="30" t="s">
        <v>48849</v>
      </c>
      <c r="C22076" s="30" t="s">
        <v>190</v>
      </c>
      <c r="D22076" s="30" t="s">
        <v>17</v>
      </c>
      <c r="E22076" s="30" t="s">
        <v>18</v>
      </c>
      <c r="F22076" s="30" t="s">
        <v>19</v>
      </c>
      <c r="G22076" s="30" t="s">
        <v>140</v>
      </c>
      <c r="H22076" s="32">
        <v>100</v>
      </c>
      <c r="I22076" s="30" t="s">
        <v>51</v>
      </c>
      <c r="J22076" s="41">
        <v>45960</v>
      </c>
      <c r="K22076" s="30" t="s">
        <v>22</v>
      </c>
    </row>
    <row r="22077" spans="1:11">
      <c r="A22077" s="33" t="s">
        <v>48850</v>
      </c>
      <c r="B22077" s="33" t="s">
        <v>48851</v>
      </c>
      <c r="C22077" s="33" t="s">
        <v>96</v>
      </c>
      <c r="D22077" s="33" t="s">
        <v>17</v>
      </c>
      <c r="E22077" s="33" t="s">
        <v>26</v>
      </c>
      <c r="F22077" s="33" t="s">
        <v>27</v>
      </c>
      <c r="G22077" s="33" t="s">
        <v>20</v>
      </c>
      <c r="H22077" s="35">
        <v>12</v>
      </c>
      <c r="I22077" s="33" t="s">
        <v>21</v>
      </c>
      <c r="J22077" s="42">
        <v>45946</v>
      </c>
      <c r="K22077" s="33" t="s">
        <v>22</v>
      </c>
    </row>
    <row r="22078" spans="1:11">
      <c r="A22078" s="30" t="s">
        <v>48852</v>
      </c>
      <c r="B22078" s="30" t="s">
        <v>48853</v>
      </c>
      <c r="C22078" s="30" t="s">
        <v>136</v>
      </c>
      <c r="D22078" s="30" t="s">
        <v>17</v>
      </c>
      <c r="E22078" s="30" t="s">
        <v>26</v>
      </c>
      <c r="F22078" s="30" t="s">
        <v>27</v>
      </c>
      <c r="G22078" s="30" t="s">
        <v>140</v>
      </c>
      <c r="H22078" s="32">
        <v>84</v>
      </c>
      <c r="I22078" s="30" t="s">
        <v>51</v>
      </c>
      <c r="J22078" s="41">
        <v>45979</v>
      </c>
      <c r="K22078" s="30" t="s">
        <v>22</v>
      </c>
    </row>
    <row r="22079" spans="1:11">
      <c r="A22079" s="33" t="s">
        <v>48854</v>
      </c>
      <c r="B22079" s="33" t="s">
        <v>48855</v>
      </c>
      <c r="C22079" s="33" t="s">
        <v>3013</v>
      </c>
      <c r="D22079" s="33" t="s">
        <v>17</v>
      </c>
      <c r="E22079" s="33" t="s">
        <v>26</v>
      </c>
      <c r="F22079" s="33" t="s">
        <v>27</v>
      </c>
      <c r="G22079" s="33" t="s">
        <v>20</v>
      </c>
      <c r="H22079" s="35">
        <v>126</v>
      </c>
      <c r="I22079" s="33" t="s">
        <v>21</v>
      </c>
      <c r="J22079" s="42">
        <v>45845</v>
      </c>
      <c r="K22079" s="33" t="s">
        <v>22</v>
      </c>
    </row>
    <row r="22080" spans="1:11">
      <c r="A22080" s="30" t="s">
        <v>48856</v>
      </c>
      <c r="B22080" s="30" t="s">
        <v>48857</v>
      </c>
      <c r="C22080" s="30" t="s">
        <v>21185</v>
      </c>
      <c r="D22080" s="30" t="s">
        <v>17</v>
      </c>
      <c r="E22080" s="30" t="s">
        <v>26</v>
      </c>
      <c r="F22080" s="30" t="s">
        <v>27</v>
      </c>
      <c r="G22080" s="30" t="s">
        <v>140</v>
      </c>
      <c r="H22080" s="32">
        <v>216</v>
      </c>
      <c r="I22080" s="30" t="s">
        <v>51</v>
      </c>
      <c r="J22080" s="41">
        <v>45853</v>
      </c>
      <c r="K22080" s="30" t="s">
        <v>22</v>
      </c>
    </row>
    <row r="22081" spans="1:11">
      <c r="A22081" s="33" t="s">
        <v>48858</v>
      </c>
      <c r="B22081" s="33" t="s">
        <v>48859</v>
      </c>
      <c r="C22081" s="33" t="s">
        <v>2313</v>
      </c>
      <c r="D22081" s="33" t="s">
        <v>17</v>
      </c>
      <c r="E22081" s="33" t="s">
        <v>31</v>
      </c>
      <c r="F22081" s="33" t="s">
        <v>32</v>
      </c>
      <c r="G22081" s="33" t="s">
        <v>106</v>
      </c>
      <c r="H22081" s="35">
        <v>67</v>
      </c>
      <c r="I22081" s="33" t="s">
        <v>21</v>
      </c>
      <c r="J22081" s="42">
        <v>45674</v>
      </c>
      <c r="K22081" s="33" t="s">
        <v>22</v>
      </c>
    </row>
    <row r="22082" spans="1:11">
      <c r="A22082" s="30" t="s">
        <v>48860</v>
      </c>
      <c r="B22082" s="30" t="s">
        <v>48861</v>
      </c>
      <c r="C22082" s="30" t="s">
        <v>75</v>
      </c>
      <c r="D22082" s="30" t="s">
        <v>17</v>
      </c>
      <c r="E22082" s="30" t="s">
        <v>26</v>
      </c>
      <c r="F22082" s="30" t="s">
        <v>27</v>
      </c>
      <c r="G22082" s="30" t="s">
        <v>140</v>
      </c>
      <c r="H22082" s="32">
        <v>24</v>
      </c>
      <c r="I22082" s="30" t="s">
        <v>51</v>
      </c>
      <c r="J22082" s="41">
        <v>46006</v>
      </c>
      <c r="K22082" s="30" t="s">
        <v>22</v>
      </c>
    </row>
    <row r="22083" spans="1:11">
      <c r="A22083" s="33" t="s">
        <v>48862</v>
      </c>
      <c r="B22083" s="33" t="s">
        <v>48863</v>
      </c>
      <c r="C22083" s="33" t="s">
        <v>25268</v>
      </c>
      <c r="D22083" s="33" t="s">
        <v>17</v>
      </c>
      <c r="E22083" s="33" t="s">
        <v>26</v>
      </c>
      <c r="F22083" s="33" t="s">
        <v>27</v>
      </c>
      <c r="G22083" s="33" t="s">
        <v>140</v>
      </c>
      <c r="H22083" s="35">
        <v>24</v>
      </c>
      <c r="I22083" s="33" t="s">
        <v>51</v>
      </c>
      <c r="J22083" s="42">
        <v>45936</v>
      </c>
      <c r="K22083" s="33" t="s">
        <v>22</v>
      </c>
    </row>
    <row r="22084" spans="1:11">
      <c r="A22084" s="30" t="s">
        <v>48864</v>
      </c>
      <c r="B22084" s="30" t="s">
        <v>48865</v>
      </c>
      <c r="C22084" s="30" t="s">
        <v>48866</v>
      </c>
      <c r="D22084" s="30" t="s">
        <v>17</v>
      </c>
      <c r="E22084" s="30" t="s">
        <v>26</v>
      </c>
      <c r="F22084" s="30" t="s">
        <v>27</v>
      </c>
      <c r="G22084" s="30" t="s">
        <v>140</v>
      </c>
      <c r="H22084" s="32">
        <v>10</v>
      </c>
      <c r="I22084" s="30" t="s">
        <v>51</v>
      </c>
      <c r="J22084" s="41">
        <v>46011</v>
      </c>
      <c r="K22084" s="30" t="s">
        <v>22</v>
      </c>
    </row>
    <row r="22085" spans="1:11">
      <c r="A22085" s="33" t="s">
        <v>48867</v>
      </c>
      <c r="B22085" s="33" t="s">
        <v>48868</v>
      </c>
      <c r="C22085" s="33" t="s">
        <v>1112</v>
      </c>
      <c r="D22085" s="33" t="s">
        <v>17</v>
      </c>
      <c r="E22085" s="33" t="s">
        <v>26</v>
      </c>
      <c r="F22085" s="33" t="s">
        <v>27</v>
      </c>
      <c r="G22085" s="33" t="s">
        <v>140</v>
      </c>
      <c r="H22085" s="35">
        <v>90</v>
      </c>
      <c r="I22085" s="33" t="s">
        <v>51</v>
      </c>
      <c r="J22085" s="42">
        <v>45967</v>
      </c>
      <c r="K22085" s="33" t="s">
        <v>22</v>
      </c>
    </row>
    <row r="22086" spans="1:11">
      <c r="A22086" s="30" t="s">
        <v>48869</v>
      </c>
      <c r="B22086" s="30" t="s">
        <v>48870</v>
      </c>
      <c r="C22086" s="30" t="s">
        <v>187</v>
      </c>
      <c r="D22086" s="30" t="s">
        <v>17</v>
      </c>
      <c r="E22086" s="30" t="s">
        <v>31</v>
      </c>
      <c r="F22086" s="30" t="s">
        <v>32</v>
      </c>
      <c r="G22086" s="30" t="s">
        <v>158</v>
      </c>
      <c r="H22086" s="32">
        <v>33</v>
      </c>
      <c r="I22086" s="30" t="s">
        <v>51</v>
      </c>
      <c r="J22086" s="41">
        <v>45708</v>
      </c>
      <c r="K22086" s="30" t="s">
        <v>22</v>
      </c>
    </row>
    <row r="22087" spans="1:11">
      <c r="A22087" s="33" t="s">
        <v>48871</v>
      </c>
      <c r="B22087" s="33" t="s">
        <v>48872</v>
      </c>
      <c r="C22087" s="33" t="s">
        <v>715</v>
      </c>
      <c r="D22087" s="33" t="s">
        <v>17</v>
      </c>
      <c r="E22087" s="33" t="s">
        <v>26</v>
      </c>
      <c r="F22087" s="33" t="s">
        <v>27</v>
      </c>
      <c r="G22087" s="33" t="s">
        <v>140</v>
      </c>
      <c r="H22087" s="35">
        <v>25</v>
      </c>
      <c r="I22087" s="33" t="s">
        <v>51</v>
      </c>
      <c r="J22087" s="42">
        <v>45946</v>
      </c>
      <c r="K22087" s="33" t="s">
        <v>22</v>
      </c>
    </row>
    <row r="22088" spans="1:11">
      <c r="A22088" s="30" t="s">
        <v>48873</v>
      </c>
      <c r="B22088" s="30" t="s">
        <v>48874</v>
      </c>
      <c r="C22088" s="30" t="s">
        <v>2313</v>
      </c>
      <c r="D22088" s="30" t="s">
        <v>17</v>
      </c>
      <c r="E22088" s="30" t="s">
        <v>26</v>
      </c>
      <c r="F22088" s="30" t="s">
        <v>27</v>
      </c>
      <c r="G22088" s="30" t="s">
        <v>20</v>
      </c>
      <c r="H22088" s="32">
        <v>31</v>
      </c>
      <c r="I22088" s="30" t="s">
        <v>21</v>
      </c>
      <c r="J22088" s="41">
        <v>45688</v>
      </c>
      <c r="K22088" s="30" t="s">
        <v>22</v>
      </c>
    </row>
    <row r="22089" spans="1:11">
      <c r="A22089" s="33" t="s">
        <v>48875</v>
      </c>
      <c r="B22089" s="33" t="s">
        <v>48876</v>
      </c>
      <c r="C22089" s="33" t="s">
        <v>647</v>
      </c>
      <c r="D22089" s="33" t="s">
        <v>17</v>
      </c>
      <c r="E22089" s="33" t="s">
        <v>26</v>
      </c>
      <c r="F22089" s="33" t="s">
        <v>27</v>
      </c>
      <c r="G22089" s="33" t="s">
        <v>20</v>
      </c>
      <c r="H22089" s="35">
        <v>30</v>
      </c>
      <c r="I22089" s="33" t="s">
        <v>21</v>
      </c>
      <c r="J22089" s="42">
        <v>46009</v>
      </c>
      <c r="K22089" s="33" t="s">
        <v>22</v>
      </c>
    </row>
    <row r="22090" spans="1:11">
      <c r="A22090" s="30" t="s">
        <v>48877</v>
      </c>
      <c r="B22090" s="30" t="s">
        <v>48878</v>
      </c>
      <c r="C22090" s="30" t="s">
        <v>3655</v>
      </c>
      <c r="D22090" s="30" t="s">
        <v>17</v>
      </c>
      <c r="E22090" s="30" t="s">
        <v>18</v>
      </c>
      <c r="F22090" s="30" t="s">
        <v>19</v>
      </c>
      <c r="G22090" s="30" t="s">
        <v>140</v>
      </c>
      <c r="H22090" s="32">
        <v>621</v>
      </c>
      <c r="I22090" s="30" t="s">
        <v>51</v>
      </c>
      <c r="J22090" s="41">
        <v>45691</v>
      </c>
      <c r="K22090" s="30" t="s">
        <v>22</v>
      </c>
    </row>
    <row r="22091" spans="1:11">
      <c r="A22091" s="33" t="s">
        <v>48879</v>
      </c>
      <c r="B22091" s="33" t="s">
        <v>48880</v>
      </c>
      <c r="C22091" s="33" t="s">
        <v>48881</v>
      </c>
      <c r="D22091" s="33" t="s">
        <v>17</v>
      </c>
      <c r="E22091" s="33" t="s">
        <v>31</v>
      </c>
      <c r="F22091" s="33" t="s">
        <v>32</v>
      </c>
      <c r="G22091" s="33" t="s">
        <v>20</v>
      </c>
      <c r="H22091" s="35">
        <v>169</v>
      </c>
      <c r="I22091" s="33" t="s">
        <v>21</v>
      </c>
      <c r="J22091" s="42">
        <v>45770</v>
      </c>
      <c r="K22091" s="33" t="s">
        <v>22</v>
      </c>
    </row>
    <row r="22092" spans="1:11">
      <c r="A22092" s="30" t="s">
        <v>48882</v>
      </c>
      <c r="B22092" s="30" t="s">
        <v>48883</v>
      </c>
      <c r="C22092" s="30" t="s">
        <v>38860</v>
      </c>
      <c r="D22092" s="30" t="s">
        <v>17</v>
      </c>
      <c r="E22092" s="30" t="s">
        <v>45</v>
      </c>
      <c r="F22092" s="30" t="s">
        <v>46</v>
      </c>
      <c r="G22092" s="30" t="s">
        <v>140</v>
      </c>
      <c r="H22092" s="32">
        <v>550</v>
      </c>
      <c r="I22092" s="30" t="s">
        <v>51</v>
      </c>
      <c r="J22092" s="41">
        <v>45805</v>
      </c>
      <c r="K22092" s="30" t="s">
        <v>22</v>
      </c>
    </row>
    <row r="22093" spans="1:11">
      <c r="A22093" s="33" t="s">
        <v>48884</v>
      </c>
      <c r="B22093" s="33" t="s">
        <v>48885</v>
      </c>
      <c r="C22093" s="33" t="s">
        <v>450</v>
      </c>
      <c r="D22093" s="33" t="s">
        <v>17</v>
      </c>
      <c r="E22093" s="33" t="s">
        <v>31</v>
      </c>
      <c r="F22093" s="33" t="s">
        <v>32</v>
      </c>
      <c r="G22093" s="33" t="s">
        <v>140</v>
      </c>
      <c r="H22093" s="35">
        <v>45</v>
      </c>
      <c r="I22093" s="33" t="s">
        <v>51</v>
      </c>
      <c r="J22093" s="42">
        <v>45723</v>
      </c>
      <c r="K22093" s="33" t="s">
        <v>22</v>
      </c>
    </row>
    <row r="22094" spans="1:11">
      <c r="A22094" s="30" t="s">
        <v>48886</v>
      </c>
      <c r="B22094" s="30" t="s">
        <v>48887</v>
      </c>
      <c r="C22094" s="30" t="s">
        <v>36724</v>
      </c>
      <c r="D22094" s="30" t="s">
        <v>17</v>
      </c>
      <c r="E22094" s="30" t="s">
        <v>31</v>
      </c>
      <c r="F22094" s="30" t="s">
        <v>32</v>
      </c>
      <c r="G22094" s="30" t="s">
        <v>140</v>
      </c>
      <c r="H22094" s="32">
        <v>72</v>
      </c>
      <c r="I22094" s="30" t="s">
        <v>51</v>
      </c>
      <c r="J22094" s="41">
        <v>45877</v>
      </c>
      <c r="K22094" s="30" t="s">
        <v>22</v>
      </c>
    </row>
    <row r="22095" spans="1:11">
      <c r="A22095" s="33" t="s">
        <v>48888</v>
      </c>
      <c r="B22095" s="33" t="s">
        <v>48889</v>
      </c>
      <c r="C22095" s="33" t="s">
        <v>5251</v>
      </c>
      <c r="D22095" s="33" t="s">
        <v>17</v>
      </c>
      <c r="E22095" s="33" t="s">
        <v>26</v>
      </c>
      <c r="F22095" s="33" t="s">
        <v>27</v>
      </c>
      <c r="G22095" s="33" t="s">
        <v>7780</v>
      </c>
      <c r="H22095" s="35">
        <v>180</v>
      </c>
      <c r="I22095" s="33" t="s">
        <v>51</v>
      </c>
      <c r="J22095" s="42">
        <v>45839</v>
      </c>
      <c r="K22095" s="33" t="s">
        <v>22</v>
      </c>
    </row>
    <row r="22096" spans="1:11">
      <c r="A22096" s="30" t="s">
        <v>48890</v>
      </c>
      <c r="B22096" s="30" t="s">
        <v>48891</v>
      </c>
      <c r="C22096" s="30" t="s">
        <v>6955</v>
      </c>
      <c r="D22096" s="30" t="s">
        <v>17</v>
      </c>
      <c r="E22096" s="30" t="s">
        <v>26</v>
      </c>
      <c r="F22096" s="30" t="s">
        <v>27</v>
      </c>
      <c r="G22096" s="30" t="s">
        <v>20</v>
      </c>
      <c r="H22096" s="32">
        <v>54</v>
      </c>
      <c r="I22096" s="30" t="s">
        <v>21</v>
      </c>
      <c r="J22096" s="41">
        <v>45688</v>
      </c>
      <c r="K22096" s="30" t="s">
        <v>22</v>
      </c>
    </row>
    <row r="22097" spans="1:11">
      <c r="A22097" s="33" t="s">
        <v>48892</v>
      </c>
      <c r="B22097" s="33" t="s">
        <v>48893</v>
      </c>
      <c r="C22097" s="33" t="s">
        <v>38860</v>
      </c>
      <c r="D22097" s="33" t="s">
        <v>17</v>
      </c>
      <c r="E22097" s="33" t="s">
        <v>26</v>
      </c>
      <c r="F22097" s="33" t="s">
        <v>27</v>
      </c>
      <c r="G22097" s="33" t="s">
        <v>140</v>
      </c>
      <c r="H22097" s="35">
        <v>140</v>
      </c>
      <c r="I22097" s="33" t="s">
        <v>51</v>
      </c>
      <c r="J22097" s="42">
        <v>45736</v>
      </c>
      <c r="K22097" s="33" t="s">
        <v>22</v>
      </c>
    </row>
    <row r="22098" spans="1:11">
      <c r="A22098" s="30" t="s">
        <v>48894</v>
      </c>
      <c r="B22098" s="30" t="s">
        <v>48895</v>
      </c>
      <c r="C22098" s="30" t="s">
        <v>36785</v>
      </c>
      <c r="D22098" s="30" t="s">
        <v>17</v>
      </c>
      <c r="E22098" s="30" t="s">
        <v>26</v>
      </c>
      <c r="F22098" s="30" t="s">
        <v>27</v>
      </c>
      <c r="G22098" s="30" t="s">
        <v>140</v>
      </c>
      <c r="H22098" s="32">
        <v>66</v>
      </c>
      <c r="I22098" s="30" t="s">
        <v>51</v>
      </c>
      <c r="J22098" s="41">
        <v>45755</v>
      </c>
      <c r="K22098" s="30" t="s">
        <v>22</v>
      </c>
    </row>
    <row r="22099" spans="1:11">
      <c r="A22099" s="33" t="s">
        <v>48896</v>
      </c>
      <c r="B22099" s="33" t="s">
        <v>48897</v>
      </c>
      <c r="C22099" s="33" t="s">
        <v>48898</v>
      </c>
      <c r="D22099" s="33" t="s">
        <v>17</v>
      </c>
      <c r="E22099" s="33" t="s">
        <v>26</v>
      </c>
      <c r="F22099" s="33" t="s">
        <v>27</v>
      </c>
      <c r="G22099" s="33" t="s">
        <v>140</v>
      </c>
      <c r="H22099" s="35">
        <v>30</v>
      </c>
      <c r="I22099" s="33" t="s">
        <v>51</v>
      </c>
      <c r="J22099" s="42">
        <v>46001</v>
      </c>
      <c r="K22099" s="33" t="s">
        <v>22</v>
      </c>
    </row>
    <row r="22100" spans="1:11">
      <c r="A22100" s="30" t="s">
        <v>48899</v>
      </c>
      <c r="B22100" s="30" t="s">
        <v>48900</v>
      </c>
      <c r="C22100" s="30" t="s">
        <v>203</v>
      </c>
      <c r="D22100" s="30" t="s">
        <v>17</v>
      </c>
      <c r="E22100" s="30" t="s">
        <v>26</v>
      </c>
      <c r="F22100" s="30" t="s">
        <v>27</v>
      </c>
      <c r="G22100" s="30" t="s">
        <v>20</v>
      </c>
      <c r="H22100" s="32">
        <v>240</v>
      </c>
      <c r="I22100" s="30" t="s">
        <v>21</v>
      </c>
      <c r="J22100" s="41">
        <v>45852</v>
      </c>
      <c r="K22100" s="30" t="s">
        <v>22</v>
      </c>
    </row>
    <row r="22101" spans="1:11">
      <c r="A22101" s="33" t="s">
        <v>48901</v>
      </c>
      <c r="B22101" s="33" t="s">
        <v>48902</v>
      </c>
      <c r="C22101" s="33" t="s">
        <v>891</v>
      </c>
      <c r="D22101" s="33" t="s">
        <v>17</v>
      </c>
      <c r="E22101" s="33" t="s">
        <v>26</v>
      </c>
      <c r="F22101" s="33" t="s">
        <v>27</v>
      </c>
      <c r="G22101" s="33" t="s">
        <v>20</v>
      </c>
      <c r="H22101" s="35">
        <v>20</v>
      </c>
      <c r="I22101" s="33" t="s">
        <v>21</v>
      </c>
      <c r="J22101" s="42">
        <v>45755</v>
      </c>
      <c r="K22101" s="33" t="s">
        <v>22</v>
      </c>
    </row>
    <row r="22102" spans="1:11">
      <c r="A22102" s="30" t="s">
        <v>48903</v>
      </c>
      <c r="B22102" s="30" t="s">
        <v>48904</v>
      </c>
      <c r="C22102" s="30" t="s">
        <v>15408</v>
      </c>
      <c r="D22102" s="30" t="s">
        <v>17</v>
      </c>
      <c r="E22102" s="30" t="s">
        <v>18</v>
      </c>
      <c r="F22102" s="30" t="s">
        <v>19</v>
      </c>
      <c r="G22102" s="30" t="s">
        <v>2613</v>
      </c>
      <c r="H22102" s="32">
        <v>460</v>
      </c>
      <c r="I22102" s="30" t="s">
        <v>51</v>
      </c>
      <c r="J22102" s="41">
        <v>45734</v>
      </c>
      <c r="K22102" s="30" t="s">
        <v>22</v>
      </c>
    </row>
    <row r="22103" spans="1:11">
      <c r="A22103" s="33" t="s">
        <v>48905</v>
      </c>
      <c r="B22103" s="33" t="s">
        <v>48906</v>
      </c>
      <c r="C22103" s="33" t="s">
        <v>2852</v>
      </c>
      <c r="D22103" s="33" t="s">
        <v>17</v>
      </c>
      <c r="E22103" s="33" t="s">
        <v>31</v>
      </c>
      <c r="F22103" s="33" t="s">
        <v>32</v>
      </c>
      <c r="G22103" s="33" t="s">
        <v>140</v>
      </c>
      <c r="H22103" s="35">
        <v>60</v>
      </c>
      <c r="I22103" s="33" t="s">
        <v>51</v>
      </c>
      <c r="J22103" s="42">
        <v>45983</v>
      </c>
      <c r="K22103" s="33" t="s">
        <v>22</v>
      </c>
    </row>
    <row r="22104" spans="1:11">
      <c r="A22104" s="30" t="s">
        <v>48907</v>
      </c>
      <c r="B22104" s="30" t="s">
        <v>48908</v>
      </c>
      <c r="C22104" s="30" t="s">
        <v>15585</v>
      </c>
      <c r="D22104" s="30" t="s">
        <v>17</v>
      </c>
      <c r="E22104" s="30" t="s">
        <v>31</v>
      </c>
      <c r="F22104" s="30" t="s">
        <v>32</v>
      </c>
      <c r="G22104" s="30" t="s">
        <v>140</v>
      </c>
      <c r="H22104" s="32">
        <v>153</v>
      </c>
      <c r="I22104" s="30" t="s">
        <v>51</v>
      </c>
      <c r="J22104" s="41">
        <v>46022</v>
      </c>
      <c r="K22104" s="30" t="s">
        <v>22</v>
      </c>
    </row>
    <row r="22105" spans="1:11">
      <c r="A22105" s="33" t="s">
        <v>48909</v>
      </c>
      <c r="B22105" s="33" t="s">
        <v>48910</v>
      </c>
      <c r="C22105" s="33" t="s">
        <v>1428</v>
      </c>
      <c r="D22105" s="33" t="s">
        <v>17</v>
      </c>
      <c r="E22105" s="33" t="s">
        <v>67</v>
      </c>
      <c r="F22105" s="33" t="s">
        <v>68</v>
      </c>
      <c r="G22105" s="33" t="s">
        <v>140</v>
      </c>
      <c r="H22105" s="35">
        <v>168</v>
      </c>
      <c r="I22105" s="33" t="s">
        <v>51</v>
      </c>
      <c r="J22105" s="42">
        <v>45689</v>
      </c>
      <c r="K22105" s="33" t="s">
        <v>22</v>
      </c>
    </row>
    <row r="22106" spans="1:11">
      <c r="A22106" s="30" t="s">
        <v>48911</v>
      </c>
      <c r="B22106" s="30" t="s">
        <v>48912</v>
      </c>
      <c r="C22106" s="30" t="s">
        <v>36215</v>
      </c>
      <c r="D22106" s="30" t="s">
        <v>17</v>
      </c>
      <c r="E22106" s="30" t="s">
        <v>26</v>
      </c>
      <c r="F22106" s="30" t="s">
        <v>27</v>
      </c>
      <c r="G22106" s="30" t="s">
        <v>140</v>
      </c>
      <c r="H22106" s="32">
        <v>50</v>
      </c>
      <c r="I22106" s="30" t="s">
        <v>51</v>
      </c>
      <c r="J22106" s="41">
        <v>45749</v>
      </c>
      <c r="K22106" s="30" t="s">
        <v>22</v>
      </c>
    </row>
    <row r="22107" spans="1:11">
      <c r="A22107" s="33" t="s">
        <v>48913</v>
      </c>
      <c r="B22107" s="33" t="s">
        <v>48914</v>
      </c>
      <c r="C22107" s="33" t="s">
        <v>28153</v>
      </c>
      <c r="D22107" s="33" t="s">
        <v>17</v>
      </c>
      <c r="E22107" s="33" t="s">
        <v>67</v>
      </c>
      <c r="F22107" s="33" t="s">
        <v>68</v>
      </c>
      <c r="G22107" s="33" t="s">
        <v>140</v>
      </c>
      <c r="H22107" s="35">
        <v>424</v>
      </c>
      <c r="I22107" s="33" t="s">
        <v>51</v>
      </c>
      <c r="J22107" s="42">
        <v>45922</v>
      </c>
      <c r="K22107" s="33" t="s">
        <v>22</v>
      </c>
    </row>
    <row r="22108" spans="1:11">
      <c r="A22108" s="30" t="s">
        <v>48915</v>
      </c>
      <c r="B22108" s="30" t="s">
        <v>48916</v>
      </c>
      <c r="C22108" s="30" t="s">
        <v>407</v>
      </c>
      <c r="D22108" s="30" t="s">
        <v>17</v>
      </c>
      <c r="E22108" s="30" t="s">
        <v>26</v>
      </c>
      <c r="F22108" s="30" t="s">
        <v>27</v>
      </c>
      <c r="G22108" s="30" t="s">
        <v>20</v>
      </c>
      <c r="H22108" s="32">
        <v>48</v>
      </c>
      <c r="I22108" s="30" t="s">
        <v>21</v>
      </c>
      <c r="J22108" s="41">
        <v>45670</v>
      </c>
      <c r="K22108" s="30" t="s">
        <v>22</v>
      </c>
    </row>
    <row r="22109" spans="1:11">
      <c r="A22109" s="33" t="s">
        <v>48917</v>
      </c>
      <c r="B22109" s="33" t="s">
        <v>48918</v>
      </c>
      <c r="C22109" s="33" t="s">
        <v>190</v>
      </c>
      <c r="D22109" s="33" t="s">
        <v>17</v>
      </c>
      <c r="E22109" s="33" t="s">
        <v>18</v>
      </c>
      <c r="F22109" s="33" t="s">
        <v>19</v>
      </c>
      <c r="G22109" s="33" t="s">
        <v>140</v>
      </c>
      <c r="H22109" s="35">
        <v>5000</v>
      </c>
      <c r="I22109" s="33" t="s">
        <v>51</v>
      </c>
      <c r="J22109" s="42">
        <v>45719</v>
      </c>
      <c r="K22109" s="33" t="s">
        <v>22</v>
      </c>
    </row>
    <row r="22110" spans="1:11">
      <c r="A22110" s="30" t="s">
        <v>48919</v>
      </c>
      <c r="B22110" s="30" t="s">
        <v>48920</v>
      </c>
      <c r="C22110" s="30" t="s">
        <v>136</v>
      </c>
      <c r="D22110" s="30" t="s">
        <v>17</v>
      </c>
      <c r="E22110" s="30" t="s">
        <v>31</v>
      </c>
      <c r="F22110" s="30" t="s">
        <v>32</v>
      </c>
      <c r="G22110" s="30" t="s">
        <v>140</v>
      </c>
      <c r="H22110" s="32">
        <v>531</v>
      </c>
      <c r="I22110" s="30" t="s">
        <v>51</v>
      </c>
      <c r="J22110" s="41">
        <v>45952</v>
      </c>
      <c r="K22110" s="30" t="s">
        <v>22</v>
      </c>
    </row>
    <row r="22111" spans="1:11">
      <c r="A22111" s="33" t="s">
        <v>48921</v>
      </c>
      <c r="B22111" s="33" t="s">
        <v>48922</v>
      </c>
      <c r="C22111" s="33" t="s">
        <v>5802</v>
      </c>
      <c r="D22111" s="33" t="s">
        <v>17</v>
      </c>
      <c r="E22111" s="33" t="s">
        <v>26</v>
      </c>
      <c r="F22111" s="33" t="s">
        <v>27</v>
      </c>
      <c r="G22111" s="33" t="s">
        <v>20</v>
      </c>
      <c r="H22111" s="35">
        <v>80</v>
      </c>
      <c r="I22111" s="33" t="s">
        <v>21</v>
      </c>
      <c r="J22111" s="42">
        <v>45707</v>
      </c>
      <c r="K22111" s="33" t="s">
        <v>22</v>
      </c>
    </row>
    <row r="22112" spans="1:11">
      <c r="A22112" s="30" t="s">
        <v>48923</v>
      </c>
      <c r="B22112" s="30" t="s">
        <v>48924</v>
      </c>
      <c r="C22112" s="30" t="s">
        <v>96</v>
      </c>
      <c r="D22112" s="30" t="s">
        <v>17</v>
      </c>
      <c r="E22112" s="30" t="s">
        <v>26</v>
      </c>
      <c r="F22112" s="30" t="s">
        <v>27</v>
      </c>
      <c r="G22112" s="30" t="s">
        <v>158</v>
      </c>
      <c r="H22112" s="32">
        <v>18</v>
      </c>
      <c r="I22112" s="30" t="s">
        <v>21</v>
      </c>
      <c r="J22112" s="41">
        <v>45964</v>
      </c>
      <c r="K22112" s="30" t="s">
        <v>22</v>
      </c>
    </row>
    <row r="22113" spans="1:11">
      <c r="A22113" s="33" t="s">
        <v>48925</v>
      </c>
      <c r="B22113" s="33" t="s">
        <v>48926</v>
      </c>
      <c r="C22113" s="33" t="s">
        <v>3270</v>
      </c>
      <c r="D22113" s="33" t="s">
        <v>17</v>
      </c>
      <c r="E22113" s="33" t="s">
        <v>26</v>
      </c>
      <c r="F22113" s="33" t="s">
        <v>27</v>
      </c>
      <c r="G22113" s="33" t="s">
        <v>140</v>
      </c>
      <c r="H22113" s="35">
        <v>113</v>
      </c>
      <c r="I22113" s="33" t="s">
        <v>51</v>
      </c>
      <c r="J22113" s="42">
        <v>45965</v>
      </c>
      <c r="K22113" s="33" t="s">
        <v>22</v>
      </c>
    </row>
    <row r="22114" spans="1:11">
      <c r="A22114" s="30" t="s">
        <v>48927</v>
      </c>
      <c r="B22114" s="30" t="s">
        <v>48928</v>
      </c>
      <c r="C22114" s="30" t="s">
        <v>25186</v>
      </c>
      <c r="D22114" s="30" t="s">
        <v>17</v>
      </c>
      <c r="E22114" s="30" t="s">
        <v>212</v>
      </c>
      <c r="F22114" s="30" t="s">
        <v>213</v>
      </c>
      <c r="G22114" s="30" t="s">
        <v>140</v>
      </c>
      <c r="H22114" s="32">
        <v>430</v>
      </c>
      <c r="I22114" s="30" t="s">
        <v>51</v>
      </c>
      <c r="J22114" s="41">
        <v>45745</v>
      </c>
      <c r="K22114" s="30" t="s">
        <v>22</v>
      </c>
    </row>
    <row r="22115" spans="1:11">
      <c r="A22115" s="33" t="s">
        <v>48929</v>
      </c>
      <c r="B22115" s="33" t="s">
        <v>48930</v>
      </c>
      <c r="C22115" s="33" t="s">
        <v>157</v>
      </c>
      <c r="D22115" s="33" t="s">
        <v>17</v>
      </c>
      <c r="E22115" s="33" t="s">
        <v>31</v>
      </c>
      <c r="F22115" s="33" t="s">
        <v>32</v>
      </c>
      <c r="G22115" s="33" t="s">
        <v>140</v>
      </c>
      <c r="H22115" s="35">
        <v>200</v>
      </c>
      <c r="I22115" s="33" t="s">
        <v>51</v>
      </c>
      <c r="J22115" s="42">
        <v>45964</v>
      </c>
      <c r="K22115" s="33" t="s">
        <v>22</v>
      </c>
    </row>
    <row r="22116" spans="1:11">
      <c r="A22116" s="30" t="s">
        <v>48931</v>
      </c>
      <c r="B22116" s="30" t="s">
        <v>48932</v>
      </c>
      <c r="C22116" s="30" t="s">
        <v>48933</v>
      </c>
      <c r="D22116" s="30" t="s">
        <v>17</v>
      </c>
      <c r="E22116" s="30" t="s">
        <v>18</v>
      </c>
      <c r="F22116" s="30" t="s">
        <v>19</v>
      </c>
      <c r="G22116" s="30" t="s">
        <v>20</v>
      </c>
      <c r="H22116" s="32">
        <v>150</v>
      </c>
      <c r="I22116" s="30" t="s">
        <v>21</v>
      </c>
      <c r="J22116" s="41">
        <v>45706</v>
      </c>
      <c r="K22116" s="30" t="s">
        <v>22</v>
      </c>
    </row>
    <row r="22117" spans="1:11">
      <c r="A22117" s="33" t="s">
        <v>48934</v>
      </c>
      <c r="B22117" s="33" t="s">
        <v>48935</v>
      </c>
      <c r="C22117" s="33" t="s">
        <v>549</v>
      </c>
      <c r="D22117" s="33" t="s">
        <v>17</v>
      </c>
      <c r="E22117" s="33" t="s">
        <v>31</v>
      </c>
      <c r="F22117" s="33" t="s">
        <v>32</v>
      </c>
      <c r="G22117" s="33" t="s">
        <v>140</v>
      </c>
      <c r="H22117" s="35">
        <v>160</v>
      </c>
      <c r="I22117" s="33" t="s">
        <v>51</v>
      </c>
      <c r="J22117" s="42">
        <v>46020</v>
      </c>
      <c r="K22117" s="33" t="s">
        <v>22</v>
      </c>
    </row>
    <row r="22118" spans="1:11">
      <c r="A22118" s="30" t="s">
        <v>48936</v>
      </c>
      <c r="B22118" s="30" t="s">
        <v>48937</v>
      </c>
      <c r="C22118" s="30" t="s">
        <v>190</v>
      </c>
      <c r="D22118" s="30" t="s">
        <v>17</v>
      </c>
      <c r="E22118" s="30" t="s">
        <v>26</v>
      </c>
      <c r="F22118" s="30" t="s">
        <v>27</v>
      </c>
      <c r="G22118" s="30" t="s">
        <v>140</v>
      </c>
      <c r="H22118" s="32">
        <v>24</v>
      </c>
      <c r="I22118" s="30" t="s">
        <v>51</v>
      </c>
      <c r="J22118" s="41">
        <v>46000</v>
      </c>
      <c r="K22118" s="30" t="s">
        <v>22</v>
      </c>
    </row>
    <row r="22119" spans="1:11">
      <c r="A22119" s="33" t="s">
        <v>48938</v>
      </c>
      <c r="B22119" s="33" t="s">
        <v>48939</v>
      </c>
      <c r="C22119" s="33" t="s">
        <v>31562</v>
      </c>
      <c r="D22119" s="33" t="s">
        <v>17</v>
      </c>
      <c r="E22119" s="33" t="s">
        <v>18</v>
      </c>
      <c r="F22119" s="33" t="s">
        <v>19</v>
      </c>
      <c r="G22119" s="33" t="s">
        <v>140</v>
      </c>
      <c r="H22119" s="35">
        <v>468</v>
      </c>
      <c r="I22119" s="33" t="s">
        <v>51</v>
      </c>
      <c r="J22119" s="42">
        <v>45729</v>
      </c>
      <c r="K22119" s="33" t="s">
        <v>22</v>
      </c>
    </row>
    <row r="22120" spans="1:11">
      <c r="A22120" s="30" t="s">
        <v>48940</v>
      </c>
      <c r="B22120" s="30" t="s">
        <v>48941</v>
      </c>
      <c r="C22120" s="30" t="s">
        <v>22597</v>
      </c>
      <c r="D22120" s="30" t="s">
        <v>17</v>
      </c>
      <c r="E22120" s="30" t="s">
        <v>18</v>
      </c>
      <c r="F22120" s="30" t="s">
        <v>19</v>
      </c>
      <c r="G22120" s="30" t="s">
        <v>158</v>
      </c>
      <c r="H22120" s="32">
        <v>1680</v>
      </c>
      <c r="I22120" s="30" t="s">
        <v>51</v>
      </c>
      <c r="J22120" s="41">
        <v>45665</v>
      </c>
      <c r="K22120" s="30" t="s">
        <v>22</v>
      </c>
    </row>
    <row r="22121" spans="1:11">
      <c r="A22121" s="33" t="s">
        <v>48942</v>
      </c>
      <c r="B22121" s="33" t="s">
        <v>48943</v>
      </c>
      <c r="C22121" s="33" t="s">
        <v>28136</v>
      </c>
      <c r="D22121" s="33" t="s">
        <v>17</v>
      </c>
      <c r="E22121" s="33" t="s">
        <v>26</v>
      </c>
      <c r="F22121" s="33" t="s">
        <v>27</v>
      </c>
      <c r="G22121" s="33" t="s">
        <v>158</v>
      </c>
      <c r="H22121" s="35">
        <v>6</v>
      </c>
      <c r="I22121" s="33" t="s">
        <v>51</v>
      </c>
      <c r="J22121" s="42">
        <v>45786</v>
      </c>
      <c r="K22121" s="33" t="s">
        <v>22</v>
      </c>
    </row>
    <row r="22122" spans="1:11">
      <c r="A22122" s="30" t="s">
        <v>48944</v>
      </c>
      <c r="B22122" s="30" t="s">
        <v>48945</v>
      </c>
      <c r="C22122" s="30" t="s">
        <v>96</v>
      </c>
      <c r="D22122" s="30" t="s">
        <v>17</v>
      </c>
      <c r="E22122" s="30" t="s">
        <v>26</v>
      </c>
      <c r="F22122" s="30" t="s">
        <v>27</v>
      </c>
      <c r="G22122" s="30" t="s">
        <v>20</v>
      </c>
      <c r="H22122" s="32">
        <v>12</v>
      </c>
      <c r="I22122" s="30" t="s">
        <v>21</v>
      </c>
      <c r="J22122" s="41">
        <v>45712</v>
      </c>
      <c r="K22122" s="30" t="s">
        <v>22</v>
      </c>
    </row>
    <row r="22123" spans="1:11">
      <c r="A22123" s="33" t="s">
        <v>48946</v>
      </c>
      <c r="B22123" s="33" t="s">
        <v>48947</v>
      </c>
      <c r="C22123" s="33" t="s">
        <v>7094</v>
      </c>
      <c r="D22123" s="33" t="s">
        <v>17</v>
      </c>
      <c r="E22123" s="33" t="s">
        <v>18</v>
      </c>
      <c r="F22123" s="33" t="s">
        <v>19</v>
      </c>
      <c r="G22123" s="33" t="s">
        <v>7780</v>
      </c>
      <c r="H22123" s="35">
        <v>252</v>
      </c>
      <c r="I22123" s="33" t="s">
        <v>51</v>
      </c>
      <c r="J22123" s="42">
        <v>45703</v>
      </c>
      <c r="K22123" s="33" t="s">
        <v>22</v>
      </c>
    </row>
    <row r="22124" spans="1:11">
      <c r="A22124" s="30" t="s">
        <v>48948</v>
      </c>
      <c r="B22124" s="30" t="s">
        <v>48949</v>
      </c>
      <c r="C22124" s="30" t="s">
        <v>130</v>
      </c>
      <c r="D22124" s="30" t="s">
        <v>17</v>
      </c>
      <c r="E22124" s="30" t="s">
        <v>31</v>
      </c>
      <c r="F22124" s="30" t="s">
        <v>32</v>
      </c>
      <c r="G22124" s="30" t="s">
        <v>140</v>
      </c>
      <c r="H22124" s="32">
        <v>160</v>
      </c>
      <c r="I22124" s="30" t="s">
        <v>51</v>
      </c>
      <c r="J22124" s="41">
        <v>45973</v>
      </c>
      <c r="K22124" s="30" t="s">
        <v>22</v>
      </c>
    </row>
    <row r="22125" spans="1:11">
      <c r="A22125" s="33" t="s">
        <v>48950</v>
      </c>
      <c r="B22125" s="33" t="s">
        <v>48951</v>
      </c>
      <c r="C22125" s="33" t="s">
        <v>30095</v>
      </c>
      <c r="D22125" s="33" t="s">
        <v>17</v>
      </c>
      <c r="E22125" s="33" t="s">
        <v>26</v>
      </c>
      <c r="F22125" s="33" t="s">
        <v>27</v>
      </c>
      <c r="G22125" s="33" t="s">
        <v>7780</v>
      </c>
      <c r="H22125" s="35">
        <v>15</v>
      </c>
      <c r="I22125" s="33" t="s">
        <v>51</v>
      </c>
      <c r="J22125" s="42">
        <v>45748</v>
      </c>
      <c r="K22125" s="33" t="s">
        <v>22</v>
      </c>
    </row>
    <row r="22126" spans="1:11">
      <c r="A22126" s="30" t="s">
        <v>48952</v>
      </c>
      <c r="B22126" s="30" t="s">
        <v>48953</v>
      </c>
      <c r="C22126" s="30" t="s">
        <v>36731</v>
      </c>
      <c r="D22126" s="30" t="s">
        <v>17</v>
      </c>
      <c r="E22126" s="30" t="s">
        <v>31</v>
      </c>
      <c r="F22126" s="30" t="s">
        <v>32</v>
      </c>
      <c r="G22126" s="30" t="s">
        <v>140</v>
      </c>
      <c r="H22126" s="32">
        <v>48</v>
      </c>
      <c r="I22126" s="30" t="s">
        <v>51</v>
      </c>
      <c r="J22126" s="41">
        <v>46014</v>
      </c>
      <c r="K22126" s="30" t="s">
        <v>22</v>
      </c>
    </row>
    <row r="22127" spans="1:11">
      <c r="A22127" s="33" t="s">
        <v>48954</v>
      </c>
      <c r="B22127" s="33" t="s">
        <v>48955</v>
      </c>
      <c r="C22127" s="33" t="s">
        <v>12036</v>
      </c>
      <c r="D22127" s="33" t="s">
        <v>17</v>
      </c>
      <c r="E22127" s="33" t="s">
        <v>45</v>
      </c>
      <c r="F22127" s="33" t="s">
        <v>46</v>
      </c>
      <c r="G22127" s="33" t="s">
        <v>158</v>
      </c>
      <c r="H22127" s="35">
        <v>600</v>
      </c>
      <c r="I22127" s="33" t="s">
        <v>51</v>
      </c>
      <c r="J22127" s="42">
        <v>45854</v>
      </c>
      <c r="K22127" s="33" t="s">
        <v>22</v>
      </c>
    </row>
    <row r="22128" spans="1:11">
      <c r="A22128" s="30" t="s">
        <v>48956</v>
      </c>
      <c r="B22128" s="30" t="s">
        <v>48957</v>
      </c>
      <c r="C22128" s="30" t="s">
        <v>48958</v>
      </c>
      <c r="D22128" s="30" t="s">
        <v>17</v>
      </c>
      <c r="E22128" s="30" t="s">
        <v>26</v>
      </c>
      <c r="F22128" s="30" t="s">
        <v>27</v>
      </c>
      <c r="G22128" s="30" t="s">
        <v>140</v>
      </c>
      <c r="H22128" s="32">
        <v>24</v>
      </c>
      <c r="I22128" s="30" t="s">
        <v>51</v>
      </c>
      <c r="J22128" s="41">
        <v>45706</v>
      </c>
      <c r="K22128" s="30" t="s">
        <v>22</v>
      </c>
    </row>
    <row r="22129" spans="1:11">
      <c r="A22129" s="33" t="s">
        <v>48959</v>
      </c>
      <c r="B22129" s="33" t="s">
        <v>48960</v>
      </c>
      <c r="C22129" s="33" t="s">
        <v>26361</v>
      </c>
      <c r="D22129" s="33" t="s">
        <v>17</v>
      </c>
      <c r="E22129" s="33" t="s">
        <v>26</v>
      </c>
      <c r="F22129" s="33" t="s">
        <v>27</v>
      </c>
      <c r="G22129" s="33" t="s">
        <v>140</v>
      </c>
      <c r="H22129" s="35">
        <v>92</v>
      </c>
      <c r="I22129" s="33" t="s">
        <v>51</v>
      </c>
      <c r="J22129" s="42">
        <v>45729</v>
      </c>
      <c r="K22129" s="33" t="s">
        <v>22</v>
      </c>
    </row>
    <row r="22130" spans="1:11">
      <c r="A22130" s="30" t="s">
        <v>48961</v>
      </c>
      <c r="B22130" s="30" t="s">
        <v>48962</v>
      </c>
      <c r="C22130" s="30" t="s">
        <v>48963</v>
      </c>
      <c r="D22130" s="30" t="s">
        <v>17</v>
      </c>
      <c r="E22130" s="30" t="s">
        <v>31</v>
      </c>
      <c r="F22130" s="30" t="s">
        <v>32</v>
      </c>
      <c r="G22130" s="30" t="s">
        <v>140</v>
      </c>
      <c r="H22130" s="32">
        <v>88</v>
      </c>
      <c r="I22130" s="30" t="s">
        <v>51</v>
      </c>
      <c r="J22130" s="41">
        <v>45867</v>
      </c>
      <c r="K22130" s="30" t="s">
        <v>22</v>
      </c>
    </row>
    <row r="22131" spans="1:11">
      <c r="A22131" s="33" t="s">
        <v>48964</v>
      </c>
      <c r="B22131" s="33" t="s">
        <v>48965</v>
      </c>
      <c r="C22131" s="33" t="s">
        <v>96</v>
      </c>
      <c r="D22131" s="33" t="s">
        <v>17</v>
      </c>
      <c r="E22131" s="33" t="s">
        <v>31</v>
      </c>
      <c r="F22131" s="33" t="s">
        <v>32</v>
      </c>
      <c r="G22131" s="33" t="s">
        <v>140</v>
      </c>
      <c r="H22131" s="35">
        <v>36</v>
      </c>
      <c r="I22131" s="33" t="s">
        <v>51</v>
      </c>
      <c r="J22131" s="42">
        <v>45971</v>
      </c>
      <c r="K22131" s="33" t="s">
        <v>22</v>
      </c>
    </row>
    <row r="22132" spans="1:11">
      <c r="A22132" s="30" t="s">
        <v>48966</v>
      </c>
      <c r="B22132" s="30" t="s">
        <v>48967</v>
      </c>
      <c r="C22132" s="30" t="s">
        <v>2618</v>
      </c>
      <c r="D22132" s="30" t="s">
        <v>17</v>
      </c>
      <c r="E22132" s="30" t="s">
        <v>26</v>
      </c>
      <c r="F22132" s="30" t="s">
        <v>27</v>
      </c>
      <c r="G22132" s="30" t="s">
        <v>20</v>
      </c>
      <c r="H22132" s="32">
        <v>55</v>
      </c>
      <c r="I22132" s="30" t="s">
        <v>21</v>
      </c>
      <c r="J22132" s="41">
        <v>45859</v>
      </c>
      <c r="K22132" s="30" t="s">
        <v>22</v>
      </c>
    </row>
    <row r="22133" spans="1:11">
      <c r="A22133" s="33" t="s">
        <v>48968</v>
      </c>
      <c r="B22133" s="33" t="s">
        <v>48969</v>
      </c>
      <c r="C22133" s="33" t="s">
        <v>22605</v>
      </c>
      <c r="D22133" s="33" t="s">
        <v>17</v>
      </c>
      <c r="E22133" s="33" t="s">
        <v>31</v>
      </c>
      <c r="F22133" s="33" t="s">
        <v>32</v>
      </c>
      <c r="G22133" s="33" t="s">
        <v>158</v>
      </c>
      <c r="H22133" s="35">
        <v>420</v>
      </c>
      <c r="I22133" s="33" t="s">
        <v>51</v>
      </c>
      <c r="J22133" s="42">
        <v>45915</v>
      </c>
      <c r="K22133" s="33" t="s">
        <v>22</v>
      </c>
    </row>
    <row r="22134" spans="1:11">
      <c r="A22134" s="30" t="s">
        <v>48970</v>
      </c>
      <c r="B22134" s="30" t="s">
        <v>48971</v>
      </c>
      <c r="C22134" s="30" t="s">
        <v>48972</v>
      </c>
      <c r="D22134" s="30" t="s">
        <v>17</v>
      </c>
      <c r="E22134" s="30" t="s">
        <v>18</v>
      </c>
      <c r="F22134" s="30" t="s">
        <v>19</v>
      </c>
      <c r="G22134" s="30" t="s">
        <v>140</v>
      </c>
      <c r="H22134" s="32">
        <v>230</v>
      </c>
      <c r="I22134" s="30" t="s">
        <v>51</v>
      </c>
      <c r="J22134" s="41">
        <v>45839</v>
      </c>
      <c r="K22134" s="30" t="s">
        <v>22</v>
      </c>
    </row>
    <row r="22135" spans="1:11">
      <c r="A22135" s="33" t="s">
        <v>48973</v>
      </c>
      <c r="B22135" s="33" t="s">
        <v>48974</v>
      </c>
      <c r="C22135" s="33" t="s">
        <v>379</v>
      </c>
      <c r="D22135" s="33" t="s">
        <v>17</v>
      </c>
      <c r="E22135" s="33" t="s">
        <v>31</v>
      </c>
      <c r="F22135" s="33" t="s">
        <v>32</v>
      </c>
      <c r="G22135" s="33" t="s">
        <v>140</v>
      </c>
      <c r="H22135" s="35">
        <v>90</v>
      </c>
      <c r="I22135" s="33" t="s">
        <v>51</v>
      </c>
      <c r="J22135" s="42">
        <v>45719</v>
      </c>
      <c r="K22135" s="33" t="s">
        <v>22</v>
      </c>
    </row>
    <row r="22136" spans="1:11">
      <c r="A22136" s="30" t="s">
        <v>48975</v>
      </c>
      <c r="B22136" s="30" t="s">
        <v>48976</v>
      </c>
      <c r="C22136" s="30" t="s">
        <v>1270</v>
      </c>
      <c r="D22136" s="30" t="s">
        <v>17</v>
      </c>
      <c r="E22136" s="30" t="s">
        <v>18</v>
      </c>
      <c r="F22136" s="30" t="s">
        <v>19</v>
      </c>
      <c r="G22136" s="30" t="s">
        <v>7780</v>
      </c>
      <c r="H22136" s="32">
        <v>204</v>
      </c>
      <c r="I22136" s="30" t="s">
        <v>51</v>
      </c>
      <c r="J22136" s="41">
        <v>45930</v>
      </c>
      <c r="K22136" s="30" t="s">
        <v>22</v>
      </c>
    </row>
    <row r="22137" spans="1:11">
      <c r="A22137" s="33" t="s">
        <v>48977</v>
      </c>
      <c r="B22137" s="33" t="s">
        <v>48978</v>
      </c>
      <c r="C22137" s="33" t="s">
        <v>21232</v>
      </c>
      <c r="D22137" s="33" t="s">
        <v>17</v>
      </c>
      <c r="E22137" s="33" t="s">
        <v>26</v>
      </c>
      <c r="F22137" s="33" t="s">
        <v>27</v>
      </c>
      <c r="G22137" s="33" t="s">
        <v>20</v>
      </c>
      <c r="H22137" s="35">
        <v>120</v>
      </c>
      <c r="I22137" s="33" t="s">
        <v>21</v>
      </c>
      <c r="J22137" s="42">
        <v>45813</v>
      </c>
      <c r="K22137" s="33" t="s">
        <v>22</v>
      </c>
    </row>
    <row r="22138" spans="1:11">
      <c r="A22138" s="30" t="s">
        <v>48979</v>
      </c>
      <c r="B22138" s="30" t="s">
        <v>48980</v>
      </c>
      <c r="C22138" s="30" t="s">
        <v>96</v>
      </c>
      <c r="D22138" s="30" t="s">
        <v>17</v>
      </c>
      <c r="E22138" s="30" t="s">
        <v>26</v>
      </c>
      <c r="F22138" s="30" t="s">
        <v>27</v>
      </c>
      <c r="G22138" s="30" t="s">
        <v>106</v>
      </c>
      <c r="H22138" s="32">
        <v>8</v>
      </c>
      <c r="I22138" s="30" t="s">
        <v>21</v>
      </c>
      <c r="J22138" s="41">
        <v>45783</v>
      </c>
      <c r="K22138" s="30" t="s">
        <v>22</v>
      </c>
    </row>
    <row r="22139" spans="1:11">
      <c r="A22139" s="33" t="s">
        <v>48981</v>
      </c>
      <c r="B22139" s="33" t="s">
        <v>48982</v>
      </c>
      <c r="C22139" s="33" t="s">
        <v>109</v>
      </c>
      <c r="D22139" s="33" t="s">
        <v>17</v>
      </c>
      <c r="E22139" s="33" t="s">
        <v>18</v>
      </c>
      <c r="F22139" s="33" t="s">
        <v>19</v>
      </c>
      <c r="G22139" s="33" t="s">
        <v>140</v>
      </c>
      <c r="H22139" s="35">
        <v>940</v>
      </c>
      <c r="I22139" s="33" t="s">
        <v>51</v>
      </c>
      <c r="J22139" s="42">
        <v>45839</v>
      </c>
      <c r="K22139" s="33" t="s">
        <v>22</v>
      </c>
    </row>
    <row r="22140" spans="1:11">
      <c r="A22140" s="30" t="s">
        <v>48983</v>
      </c>
      <c r="B22140" s="30" t="s">
        <v>48984</v>
      </c>
      <c r="C22140" s="30" t="s">
        <v>4348</v>
      </c>
      <c r="D22140" s="30" t="s">
        <v>17</v>
      </c>
      <c r="E22140" s="30" t="s">
        <v>31</v>
      </c>
      <c r="F22140" s="30" t="s">
        <v>32</v>
      </c>
      <c r="G22140" s="30" t="s">
        <v>140</v>
      </c>
      <c r="H22140" s="32">
        <v>96</v>
      </c>
      <c r="I22140" s="30" t="s">
        <v>51</v>
      </c>
      <c r="J22140" s="41">
        <v>45890</v>
      </c>
      <c r="K22140" s="30" t="s">
        <v>22</v>
      </c>
    </row>
    <row r="22141" spans="1:11">
      <c r="A22141" s="33" t="s">
        <v>48985</v>
      </c>
      <c r="B22141" s="33" t="s">
        <v>48986</v>
      </c>
      <c r="C22141" s="33" t="s">
        <v>15097</v>
      </c>
      <c r="D22141" s="33" t="s">
        <v>17</v>
      </c>
      <c r="E22141" s="33" t="s">
        <v>330</v>
      </c>
      <c r="F22141" s="33" t="s">
        <v>331</v>
      </c>
      <c r="G22141" s="33" t="s">
        <v>140</v>
      </c>
      <c r="H22141" s="35">
        <v>30</v>
      </c>
      <c r="I22141" s="33" t="s">
        <v>51</v>
      </c>
      <c r="J22141" s="42">
        <v>45958</v>
      </c>
      <c r="K22141" s="33" t="s">
        <v>22</v>
      </c>
    </row>
    <row r="22142" spans="1:11">
      <c r="A22142" s="30" t="s">
        <v>48987</v>
      </c>
      <c r="B22142" s="30" t="s">
        <v>48988</v>
      </c>
      <c r="C22142" s="30" t="s">
        <v>48989</v>
      </c>
      <c r="D22142" s="30" t="s">
        <v>17</v>
      </c>
      <c r="E22142" s="30" t="s">
        <v>26</v>
      </c>
      <c r="F22142" s="30" t="s">
        <v>27</v>
      </c>
      <c r="G22142" s="30" t="s">
        <v>7780</v>
      </c>
      <c r="H22142" s="32">
        <v>10</v>
      </c>
      <c r="I22142" s="30" t="s">
        <v>51</v>
      </c>
      <c r="J22142" s="41">
        <v>45901</v>
      </c>
      <c r="K22142" s="30" t="s">
        <v>22</v>
      </c>
    </row>
    <row r="22143" spans="1:11">
      <c r="A22143" s="33" t="s">
        <v>48990</v>
      </c>
      <c r="B22143" s="33" t="s">
        <v>48991</v>
      </c>
      <c r="C22143" s="33" t="s">
        <v>368</v>
      </c>
      <c r="D22143" s="33" t="s">
        <v>17</v>
      </c>
      <c r="E22143" s="33" t="s">
        <v>26</v>
      </c>
      <c r="F22143" s="33" t="s">
        <v>27</v>
      </c>
      <c r="G22143" s="33" t="s">
        <v>7780</v>
      </c>
      <c r="H22143" s="35">
        <v>50</v>
      </c>
      <c r="I22143" s="33" t="s">
        <v>51</v>
      </c>
      <c r="J22143" s="42">
        <v>45870</v>
      </c>
      <c r="K22143" s="33" t="s">
        <v>22</v>
      </c>
    </row>
    <row r="22144" spans="1:11">
      <c r="A22144" s="30" t="s">
        <v>48992</v>
      </c>
      <c r="B22144" s="30" t="s">
        <v>48993</v>
      </c>
      <c r="C22144" s="30" t="s">
        <v>48994</v>
      </c>
      <c r="D22144" s="30" t="s">
        <v>17</v>
      </c>
      <c r="E22144" s="30" t="s">
        <v>26</v>
      </c>
      <c r="F22144" s="30" t="s">
        <v>27</v>
      </c>
      <c r="G22144" s="30" t="s">
        <v>140</v>
      </c>
      <c r="H22144" s="32">
        <v>72</v>
      </c>
      <c r="I22144" s="30" t="s">
        <v>51</v>
      </c>
      <c r="J22144" s="41">
        <v>45936</v>
      </c>
      <c r="K22144" s="30" t="s">
        <v>22</v>
      </c>
    </row>
    <row r="22145" spans="1:11">
      <c r="A22145" s="33" t="s">
        <v>48995</v>
      </c>
      <c r="B22145" s="33" t="s">
        <v>48996</v>
      </c>
      <c r="C22145" s="33" t="s">
        <v>1674</v>
      </c>
      <c r="D22145" s="33" t="s">
        <v>17</v>
      </c>
      <c r="E22145" s="33" t="s">
        <v>18</v>
      </c>
      <c r="F22145" s="33" t="s">
        <v>19</v>
      </c>
      <c r="G22145" s="33" t="s">
        <v>140</v>
      </c>
      <c r="H22145" s="35">
        <v>180</v>
      </c>
      <c r="I22145" s="33" t="s">
        <v>51</v>
      </c>
      <c r="J22145" s="42">
        <v>45833</v>
      </c>
      <c r="K22145" s="33" t="s">
        <v>22</v>
      </c>
    </row>
    <row r="22146" spans="1:11">
      <c r="A22146" s="30" t="s">
        <v>48997</v>
      </c>
      <c r="B22146" s="30" t="s">
        <v>48998</v>
      </c>
      <c r="C22146" s="30" t="s">
        <v>2017</v>
      </c>
      <c r="D22146" s="30" t="s">
        <v>17</v>
      </c>
      <c r="E22146" s="30" t="s">
        <v>18</v>
      </c>
      <c r="F22146" s="30" t="s">
        <v>19</v>
      </c>
      <c r="G22146" s="30" t="s">
        <v>140</v>
      </c>
      <c r="H22146" s="32">
        <v>160</v>
      </c>
      <c r="I22146" s="30" t="s">
        <v>51</v>
      </c>
      <c r="J22146" s="41">
        <v>45980</v>
      </c>
      <c r="K22146" s="30" t="s">
        <v>22</v>
      </c>
    </row>
    <row r="22147" spans="1:11">
      <c r="A22147" s="33" t="s">
        <v>48999</v>
      </c>
      <c r="B22147" s="33" t="s">
        <v>49000</v>
      </c>
      <c r="C22147" s="33" t="s">
        <v>16964</v>
      </c>
      <c r="D22147" s="33" t="s">
        <v>17</v>
      </c>
      <c r="E22147" s="33" t="s">
        <v>31</v>
      </c>
      <c r="F22147" s="33" t="s">
        <v>32</v>
      </c>
      <c r="G22147" s="33" t="s">
        <v>140</v>
      </c>
      <c r="H22147" s="35">
        <v>240</v>
      </c>
      <c r="I22147" s="33" t="s">
        <v>51</v>
      </c>
      <c r="J22147" s="42">
        <v>45817</v>
      </c>
      <c r="K22147" s="33" t="s">
        <v>22</v>
      </c>
    </row>
    <row r="22148" spans="1:11">
      <c r="A22148" s="30" t="s">
        <v>49001</v>
      </c>
      <c r="B22148" s="30" t="s">
        <v>49002</v>
      </c>
      <c r="C22148" s="30" t="s">
        <v>178</v>
      </c>
      <c r="D22148" s="30" t="s">
        <v>17</v>
      </c>
      <c r="E22148" s="30" t="s">
        <v>31</v>
      </c>
      <c r="F22148" s="30" t="s">
        <v>32</v>
      </c>
      <c r="G22148" s="30" t="s">
        <v>140</v>
      </c>
      <c r="H22148" s="32">
        <v>60</v>
      </c>
      <c r="I22148" s="30" t="s">
        <v>51</v>
      </c>
      <c r="J22148" s="41">
        <v>45909</v>
      </c>
      <c r="K22148" s="30" t="s">
        <v>22</v>
      </c>
    </row>
    <row r="22149" spans="1:11">
      <c r="A22149" s="33" t="s">
        <v>49003</v>
      </c>
      <c r="B22149" s="33" t="s">
        <v>49004</v>
      </c>
      <c r="C22149" s="33" t="s">
        <v>24350</v>
      </c>
      <c r="D22149" s="33" t="s">
        <v>17</v>
      </c>
      <c r="E22149" s="33" t="s">
        <v>67</v>
      </c>
      <c r="F22149" s="33" t="s">
        <v>68</v>
      </c>
      <c r="G22149" s="33" t="s">
        <v>140</v>
      </c>
      <c r="H22149" s="35">
        <v>84</v>
      </c>
      <c r="I22149" s="33" t="s">
        <v>51</v>
      </c>
      <c r="J22149" s="42">
        <v>45763</v>
      </c>
      <c r="K22149" s="33" t="s">
        <v>22</v>
      </c>
    </row>
    <row r="22150" spans="1:11">
      <c r="A22150" s="30" t="s">
        <v>49005</v>
      </c>
      <c r="B22150" s="30" t="s">
        <v>49006</v>
      </c>
      <c r="C22150" s="30" t="s">
        <v>203</v>
      </c>
      <c r="D22150" s="30" t="s">
        <v>17</v>
      </c>
      <c r="E22150" s="30" t="s">
        <v>31</v>
      </c>
      <c r="F22150" s="30" t="s">
        <v>32</v>
      </c>
      <c r="G22150" s="30" t="s">
        <v>140</v>
      </c>
      <c r="H22150" s="32">
        <v>10</v>
      </c>
      <c r="I22150" s="30" t="s">
        <v>51</v>
      </c>
      <c r="J22150" s="41">
        <v>45863</v>
      </c>
      <c r="K22150" s="30" t="s">
        <v>22</v>
      </c>
    </row>
    <row r="22151" spans="1:11">
      <c r="A22151" s="33" t="s">
        <v>49007</v>
      </c>
      <c r="B22151" s="33" t="s">
        <v>49008</v>
      </c>
      <c r="C22151" s="33" t="s">
        <v>49009</v>
      </c>
      <c r="D22151" s="33" t="s">
        <v>17</v>
      </c>
      <c r="E22151" s="33" t="s">
        <v>67</v>
      </c>
      <c r="F22151" s="33" t="s">
        <v>68</v>
      </c>
      <c r="G22151" s="33" t="s">
        <v>2613</v>
      </c>
      <c r="H22151" s="35">
        <v>40</v>
      </c>
      <c r="I22151" s="33" t="s">
        <v>51</v>
      </c>
      <c r="J22151" s="42">
        <v>45700</v>
      </c>
      <c r="K22151" s="33" t="s">
        <v>22</v>
      </c>
    </row>
    <row r="22152" spans="1:11">
      <c r="A22152" s="30" t="s">
        <v>49010</v>
      </c>
      <c r="B22152" s="30" t="s">
        <v>49011</v>
      </c>
      <c r="C22152" s="30" t="s">
        <v>20075</v>
      </c>
      <c r="D22152" s="30" t="s">
        <v>17</v>
      </c>
      <c r="E22152" s="30" t="s">
        <v>31</v>
      </c>
      <c r="F22152" s="30" t="s">
        <v>32</v>
      </c>
      <c r="G22152" s="30" t="s">
        <v>140</v>
      </c>
      <c r="H22152" s="32">
        <v>100</v>
      </c>
      <c r="I22152" s="30" t="s">
        <v>51</v>
      </c>
      <c r="J22152" s="41">
        <v>45952</v>
      </c>
      <c r="K22152" s="30" t="s">
        <v>22</v>
      </c>
    </row>
    <row r="22153" spans="1:11">
      <c r="A22153" s="33" t="s">
        <v>49012</v>
      </c>
      <c r="B22153" s="33" t="s">
        <v>49013</v>
      </c>
      <c r="C22153" s="33" t="s">
        <v>49014</v>
      </c>
      <c r="D22153" s="33" t="s">
        <v>17</v>
      </c>
      <c r="E22153" s="33" t="s">
        <v>26</v>
      </c>
      <c r="F22153" s="33" t="s">
        <v>27</v>
      </c>
      <c r="G22153" s="33" t="s">
        <v>140</v>
      </c>
      <c r="H22153" s="35">
        <v>10</v>
      </c>
      <c r="I22153" s="33" t="s">
        <v>51</v>
      </c>
      <c r="J22153" s="42">
        <v>45818</v>
      </c>
      <c r="K22153" s="33" t="s">
        <v>22</v>
      </c>
    </row>
    <row r="22154" spans="1:11">
      <c r="A22154" s="30" t="s">
        <v>49015</v>
      </c>
      <c r="B22154" s="30" t="s">
        <v>49016</v>
      </c>
      <c r="C22154" s="30" t="s">
        <v>1270</v>
      </c>
      <c r="D22154" s="30" t="s">
        <v>17</v>
      </c>
      <c r="E22154" s="30" t="s">
        <v>26</v>
      </c>
      <c r="F22154" s="30" t="s">
        <v>27</v>
      </c>
      <c r="G22154" s="30" t="s">
        <v>140</v>
      </c>
      <c r="H22154" s="32">
        <v>144</v>
      </c>
      <c r="I22154" s="30" t="s">
        <v>51</v>
      </c>
      <c r="J22154" s="41">
        <v>45763</v>
      </c>
      <c r="K22154" s="30" t="s">
        <v>22</v>
      </c>
    </row>
    <row r="22155" spans="1:11">
      <c r="A22155" s="33" t="s">
        <v>49017</v>
      </c>
      <c r="B22155" s="33" t="s">
        <v>49018</v>
      </c>
      <c r="C22155" s="33" t="s">
        <v>2802</v>
      </c>
      <c r="D22155" s="33" t="s">
        <v>17</v>
      </c>
      <c r="E22155" s="33" t="s">
        <v>18</v>
      </c>
      <c r="F22155" s="33" t="s">
        <v>19</v>
      </c>
      <c r="G22155" s="33" t="s">
        <v>158</v>
      </c>
      <c r="H22155" s="35">
        <v>75</v>
      </c>
      <c r="I22155" s="33" t="s">
        <v>51</v>
      </c>
      <c r="J22155" s="42">
        <v>45776</v>
      </c>
      <c r="K22155" s="33" t="s">
        <v>22</v>
      </c>
    </row>
    <row r="22156" spans="1:11">
      <c r="A22156" s="30" t="s">
        <v>49019</v>
      </c>
      <c r="B22156" s="30" t="s">
        <v>49020</v>
      </c>
      <c r="C22156" s="30" t="s">
        <v>42561</v>
      </c>
      <c r="D22156" s="30" t="s">
        <v>17</v>
      </c>
      <c r="E22156" s="30" t="s">
        <v>26</v>
      </c>
      <c r="F22156" s="30" t="s">
        <v>27</v>
      </c>
      <c r="G22156" s="30" t="s">
        <v>20</v>
      </c>
      <c r="H22156" s="32">
        <v>6</v>
      </c>
      <c r="I22156" s="30" t="s">
        <v>21</v>
      </c>
      <c r="J22156" s="41">
        <v>45784</v>
      </c>
      <c r="K22156" s="30" t="s">
        <v>22</v>
      </c>
    </row>
    <row r="22157" spans="1:11">
      <c r="A22157" s="33" t="s">
        <v>49021</v>
      </c>
      <c r="B22157" s="33" t="s">
        <v>49022</v>
      </c>
      <c r="C22157" s="33" t="s">
        <v>136</v>
      </c>
      <c r="D22157" s="33" t="s">
        <v>17</v>
      </c>
      <c r="E22157" s="33" t="s">
        <v>31</v>
      </c>
      <c r="F22157" s="33" t="s">
        <v>32</v>
      </c>
      <c r="G22157" s="33" t="s">
        <v>106</v>
      </c>
      <c r="H22157" s="35">
        <v>1</v>
      </c>
      <c r="I22157" s="33" t="s">
        <v>21</v>
      </c>
      <c r="J22157" s="42">
        <v>45827</v>
      </c>
      <c r="K22157" s="33" t="s">
        <v>22</v>
      </c>
    </row>
    <row r="22158" spans="1:11">
      <c r="A22158" s="30" t="s">
        <v>49023</v>
      </c>
      <c r="B22158" s="30" t="s">
        <v>49024</v>
      </c>
      <c r="C22158" s="30" t="s">
        <v>178</v>
      </c>
      <c r="D22158" s="30" t="s">
        <v>17</v>
      </c>
      <c r="E22158" s="30" t="s">
        <v>18</v>
      </c>
      <c r="F22158" s="30" t="s">
        <v>19</v>
      </c>
      <c r="G22158" s="30" t="s">
        <v>140</v>
      </c>
      <c r="H22158" s="32">
        <v>425</v>
      </c>
      <c r="I22158" s="30" t="s">
        <v>51</v>
      </c>
      <c r="J22158" s="41">
        <v>45789</v>
      </c>
      <c r="K22158" s="30" t="s">
        <v>22</v>
      </c>
    </row>
    <row r="22159" spans="1:11">
      <c r="A22159" s="33" t="s">
        <v>49025</v>
      </c>
      <c r="B22159" s="33" t="s">
        <v>49026</v>
      </c>
      <c r="C22159" s="33" t="s">
        <v>49027</v>
      </c>
      <c r="D22159" s="33" t="s">
        <v>17</v>
      </c>
      <c r="E22159" s="33" t="s">
        <v>31</v>
      </c>
      <c r="F22159" s="33" t="s">
        <v>32</v>
      </c>
      <c r="G22159" s="33" t="s">
        <v>140</v>
      </c>
      <c r="H22159" s="35">
        <v>60</v>
      </c>
      <c r="I22159" s="33" t="s">
        <v>51</v>
      </c>
      <c r="J22159" s="42">
        <v>45677</v>
      </c>
      <c r="K22159" s="33" t="s">
        <v>22</v>
      </c>
    </row>
    <row r="22160" spans="1:11">
      <c r="A22160" s="30" t="s">
        <v>49028</v>
      </c>
      <c r="B22160" s="30" t="s">
        <v>49029</v>
      </c>
      <c r="C22160" s="30" t="s">
        <v>35973</v>
      </c>
      <c r="D22160" s="30" t="s">
        <v>17</v>
      </c>
      <c r="E22160" s="30" t="s">
        <v>18</v>
      </c>
      <c r="F22160" s="30" t="s">
        <v>19</v>
      </c>
      <c r="G22160" s="30" t="s">
        <v>140</v>
      </c>
      <c r="H22160" s="32">
        <v>500</v>
      </c>
      <c r="I22160" s="30" t="s">
        <v>51</v>
      </c>
      <c r="J22160" s="41">
        <v>45847</v>
      </c>
      <c r="K22160" s="30" t="s">
        <v>22</v>
      </c>
    </row>
    <row r="22161" spans="1:11">
      <c r="A22161" s="33" t="s">
        <v>49030</v>
      </c>
      <c r="B22161" s="33" t="s">
        <v>49031</v>
      </c>
      <c r="C22161" s="33" t="s">
        <v>517</v>
      </c>
      <c r="D22161" s="33" t="s">
        <v>17</v>
      </c>
      <c r="E22161" s="33" t="s">
        <v>26</v>
      </c>
      <c r="F22161" s="33" t="s">
        <v>27</v>
      </c>
      <c r="G22161" s="33" t="s">
        <v>7780</v>
      </c>
      <c r="H22161" s="35">
        <v>40</v>
      </c>
      <c r="I22161" s="33" t="s">
        <v>51</v>
      </c>
      <c r="J22161" s="42">
        <v>45778</v>
      </c>
      <c r="K22161" s="33" t="s">
        <v>22</v>
      </c>
    </row>
    <row r="22162" spans="1:11">
      <c r="A22162" s="30" t="s">
        <v>49032</v>
      </c>
      <c r="B22162" s="30" t="s">
        <v>49033</v>
      </c>
      <c r="C22162" s="30" t="s">
        <v>985</v>
      </c>
      <c r="D22162" s="30" t="s">
        <v>17</v>
      </c>
      <c r="E22162" s="30" t="s">
        <v>26</v>
      </c>
      <c r="F22162" s="30" t="s">
        <v>27</v>
      </c>
      <c r="G22162" s="30" t="s">
        <v>20</v>
      </c>
      <c r="H22162" s="32">
        <v>24</v>
      </c>
      <c r="I22162" s="30" t="s">
        <v>21</v>
      </c>
      <c r="J22162" s="41">
        <v>45995</v>
      </c>
      <c r="K22162" s="30" t="s">
        <v>22</v>
      </c>
    </row>
    <row r="22163" spans="1:11">
      <c r="A22163" s="33" t="s">
        <v>49034</v>
      </c>
      <c r="B22163" s="33" t="s">
        <v>49035</v>
      </c>
      <c r="C22163" s="33" t="s">
        <v>49036</v>
      </c>
      <c r="D22163" s="33" t="s">
        <v>17</v>
      </c>
      <c r="E22163" s="33" t="s">
        <v>67</v>
      </c>
      <c r="F22163" s="33" t="s">
        <v>68</v>
      </c>
      <c r="G22163" s="33" t="s">
        <v>140</v>
      </c>
      <c r="H22163" s="35">
        <v>44</v>
      </c>
      <c r="I22163" s="33" t="s">
        <v>51</v>
      </c>
      <c r="J22163" s="42">
        <v>45957</v>
      </c>
      <c r="K22163" s="33" t="s">
        <v>22</v>
      </c>
    </row>
    <row r="22164" spans="1:11">
      <c r="A22164" s="30" t="s">
        <v>49037</v>
      </c>
      <c r="B22164" s="30" t="s">
        <v>49038</v>
      </c>
      <c r="C22164" s="30" t="s">
        <v>985</v>
      </c>
      <c r="D22164" s="30" t="s">
        <v>17</v>
      </c>
      <c r="E22164" s="30" t="s">
        <v>18</v>
      </c>
      <c r="F22164" s="30" t="s">
        <v>19</v>
      </c>
      <c r="G22164" s="30" t="s">
        <v>158</v>
      </c>
      <c r="H22164" s="32">
        <v>880</v>
      </c>
      <c r="I22164" s="30" t="s">
        <v>51</v>
      </c>
      <c r="J22164" s="41">
        <v>45754</v>
      </c>
      <c r="K22164" s="30" t="s">
        <v>22</v>
      </c>
    </row>
    <row r="22165" spans="1:11">
      <c r="A22165" s="33" t="s">
        <v>49039</v>
      </c>
      <c r="B22165" s="33" t="s">
        <v>49040</v>
      </c>
      <c r="C22165" s="33" t="s">
        <v>109</v>
      </c>
      <c r="D22165" s="33" t="s">
        <v>17</v>
      </c>
      <c r="E22165" s="33" t="s">
        <v>26</v>
      </c>
      <c r="F22165" s="33" t="s">
        <v>27</v>
      </c>
      <c r="G22165" s="33" t="s">
        <v>140</v>
      </c>
      <c r="H22165" s="35">
        <v>28</v>
      </c>
      <c r="I22165" s="33" t="s">
        <v>51</v>
      </c>
      <c r="J22165" s="42">
        <v>45930</v>
      </c>
      <c r="K22165" s="33" t="s">
        <v>22</v>
      </c>
    </row>
    <row r="22166" spans="1:11">
      <c r="A22166" s="30" t="s">
        <v>49041</v>
      </c>
      <c r="B22166" s="30" t="s">
        <v>49042</v>
      </c>
      <c r="C22166" s="30" t="s">
        <v>49043</v>
      </c>
      <c r="D22166" s="30" t="s">
        <v>17</v>
      </c>
      <c r="E22166" s="30" t="s">
        <v>67</v>
      </c>
      <c r="F22166" s="30" t="s">
        <v>68</v>
      </c>
      <c r="G22166" s="30" t="s">
        <v>140</v>
      </c>
      <c r="H22166" s="32">
        <v>12</v>
      </c>
      <c r="I22166" s="30" t="s">
        <v>51</v>
      </c>
      <c r="J22166" s="41">
        <v>45974</v>
      </c>
      <c r="K22166" s="30" t="s">
        <v>22</v>
      </c>
    </row>
    <row r="22167" spans="1:11">
      <c r="A22167" s="33" t="s">
        <v>49044</v>
      </c>
      <c r="B22167" s="33" t="s">
        <v>49045</v>
      </c>
      <c r="C22167" s="33" t="s">
        <v>13241</v>
      </c>
      <c r="D22167" s="33" t="s">
        <v>17</v>
      </c>
      <c r="E22167" s="33" t="s">
        <v>26</v>
      </c>
      <c r="F22167" s="33" t="s">
        <v>27</v>
      </c>
      <c r="G22167" s="33" t="s">
        <v>140</v>
      </c>
      <c r="H22167" s="35">
        <v>80</v>
      </c>
      <c r="I22167" s="33" t="s">
        <v>51</v>
      </c>
      <c r="J22167" s="42">
        <v>46021</v>
      </c>
      <c r="K22167" s="33" t="s">
        <v>22</v>
      </c>
    </row>
    <row r="22168" spans="1:11">
      <c r="A22168" s="30" t="s">
        <v>49046</v>
      </c>
      <c r="B22168" s="30" t="s">
        <v>49047</v>
      </c>
      <c r="C22168" s="30" t="s">
        <v>1701</v>
      </c>
      <c r="D22168" s="30" t="s">
        <v>17</v>
      </c>
      <c r="E22168" s="30" t="s">
        <v>26</v>
      </c>
      <c r="F22168" s="30" t="s">
        <v>27</v>
      </c>
      <c r="G22168" s="30" t="s">
        <v>140</v>
      </c>
      <c r="H22168" s="32">
        <v>154</v>
      </c>
      <c r="I22168" s="30" t="s">
        <v>51</v>
      </c>
      <c r="J22168" s="41">
        <v>45748</v>
      </c>
      <c r="K22168" s="30" t="s">
        <v>22</v>
      </c>
    </row>
    <row r="22169" spans="1:11">
      <c r="A22169" s="33" t="s">
        <v>49048</v>
      </c>
      <c r="B22169" s="33" t="s">
        <v>49049</v>
      </c>
      <c r="C22169" s="33" t="s">
        <v>2323</v>
      </c>
      <c r="D22169" s="33" t="s">
        <v>17</v>
      </c>
      <c r="E22169" s="33" t="s">
        <v>26</v>
      </c>
      <c r="F22169" s="33" t="s">
        <v>27</v>
      </c>
      <c r="G22169" s="33" t="s">
        <v>7780</v>
      </c>
      <c r="H22169" s="35">
        <v>66</v>
      </c>
      <c r="I22169" s="33" t="s">
        <v>51</v>
      </c>
      <c r="J22169" s="42">
        <v>45870</v>
      </c>
      <c r="K22169" s="33" t="s">
        <v>22</v>
      </c>
    </row>
    <row r="22170" spans="1:11">
      <c r="A22170" s="30" t="s">
        <v>49050</v>
      </c>
      <c r="B22170" s="30" t="s">
        <v>49051</v>
      </c>
      <c r="C22170" s="30" t="s">
        <v>49052</v>
      </c>
      <c r="D22170" s="30" t="s">
        <v>17</v>
      </c>
      <c r="E22170" s="30" t="s">
        <v>45</v>
      </c>
      <c r="F22170" s="30" t="s">
        <v>46</v>
      </c>
      <c r="G22170" s="30" t="s">
        <v>7780</v>
      </c>
      <c r="H22170" s="32">
        <v>60</v>
      </c>
      <c r="I22170" s="30" t="s">
        <v>51</v>
      </c>
      <c r="J22170" s="41">
        <v>45809</v>
      </c>
      <c r="K22170" s="30" t="s">
        <v>22</v>
      </c>
    </row>
    <row r="22171" spans="1:11">
      <c r="A22171" s="33" t="s">
        <v>49053</v>
      </c>
      <c r="B22171" s="33" t="s">
        <v>49054</v>
      </c>
      <c r="C22171" s="33" t="s">
        <v>75</v>
      </c>
      <c r="D22171" s="33" t="s">
        <v>17</v>
      </c>
      <c r="E22171" s="33" t="s">
        <v>26</v>
      </c>
      <c r="F22171" s="33" t="s">
        <v>27</v>
      </c>
      <c r="G22171" s="33" t="s">
        <v>20</v>
      </c>
      <c r="H22171" s="35">
        <v>30</v>
      </c>
      <c r="I22171" s="33" t="s">
        <v>21</v>
      </c>
      <c r="J22171" s="42">
        <v>46022</v>
      </c>
      <c r="K22171" s="33" t="s">
        <v>22</v>
      </c>
    </row>
    <row r="22172" spans="1:11">
      <c r="A22172" s="30" t="s">
        <v>49055</v>
      </c>
      <c r="B22172" s="30" t="s">
        <v>49056</v>
      </c>
      <c r="C22172" s="30" t="s">
        <v>1908</v>
      </c>
      <c r="D22172" s="30" t="s">
        <v>17</v>
      </c>
      <c r="E22172" s="30" t="s">
        <v>31</v>
      </c>
      <c r="F22172" s="30" t="s">
        <v>32</v>
      </c>
      <c r="G22172" s="30" t="s">
        <v>140</v>
      </c>
      <c r="H22172" s="32">
        <v>400</v>
      </c>
      <c r="I22172" s="30" t="s">
        <v>51</v>
      </c>
      <c r="J22172" s="41">
        <v>45750</v>
      </c>
      <c r="K22172" s="30" t="s">
        <v>22</v>
      </c>
    </row>
    <row r="22173" spans="1:11">
      <c r="A22173" s="33" t="s">
        <v>49057</v>
      </c>
      <c r="B22173" s="33" t="s">
        <v>49058</v>
      </c>
      <c r="C22173" s="33" t="s">
        <v>7255</v>
      </c>
      <c r="D22173" s="33" t="s">
        <v>17</v>
      </c>
      <c r="E22173" s="33" t="s">
        <v>26</v>
      </c>
      <c r="F22173" s="33" t="s">
        <v>27</v>
      </c>
      <c r="G22173" s="33" t="s">
        <v>140</v>
      </c>
      <c r="H22173" s="35">
        <v>40</v>
      </c>
      <c r="I22173" s="33" t="s">
        <v>51</v>
      </c>
      <c r="J22173" s="42">
        <v>45824</v>
      </c>
      <c r="K22173" s="33" t="s">
        <v>22</v>
      </c>
    </row>
    <row r="22174" spans="1:11">
      <c r="A22174" s="30" t="s">
        <v>49059</v>
      </c>
      <c r="B22174" s="30" t="s">
        <v>49060</v>
      </c>
      <c r="C22174" s="30" t="s">
        <v>190</v>
      </c>
      <c r="D22174" s="30" t="s">
        <v>17</v>
      </c>
      <c r="E22174" s="30" t="s">
        <v>31</v>
      </c>
      <c r="F22174" s="30" t="s">
        <v>32</v>
      </c>
      <c r="G22174" s="30" t="s">
        <v>158</v>
      </c>
      <c r="H22174" s="32">
        <v>114</v>
      </c>
      <c r="I22174" s="30" t="s">
        <v>21</v>
      </c>
      <c r="J22174" s="41">
        <v>45874</v>
      </c>
      <c r="K22174" s="30" t="s">
        <v>22</v>
      </c>
    </row>
    <row r="22175" spans="1:11">
      <c r="A22175" s="33" t="s">
        <v>49061</v>
      </c>
      <c r="B22175" s="33" t="s">
        <v>49062</v>
      </c>
      <c r="C22175" s="33" t="s">
        <v>30456</v>
      </c>
      <c r="D22175" s="33" t="s">
        <v>17</v>
      </c>
      <c r="E22175" s="33" t="s">
        <v>26</v>
      </c>
      <c r="F22175" s="33" t="s">
        <v>27</v>
      </c>
      <c r="G22175" s="33" t="s">
        <v>140</v>
      </c>
      <c r="H22175" s="35">
        <v>32</v>
      </c>
      <c r="I22175" s="33" t="s">
        <v>51</v>
      </c>
      <c r="J22175" s="42">
        <v>45911</v>
      </c>
      <c r="K22175" s="33" t="s">
        <v>22</v>
      </c>
    </row>
    <row r="22176" spans="1:11">
      <c r="A22176" s="30" t="s">
        <v>49063</v>
      </c>
      <c r="B22176" s="30" t="s">
        <v>49064</v>
      </c>
      <c r="C22176" s="30" t="s">
        <v>2609</v>
      </c>
      <c r="D22176" s="30" t="s">
        <v>17</v>
      </c>
      <c r="E22176" s="30" t="s">
        <v>18</v>
      </c>
      <c r="F22176" s="30" t="s">
        <v>19</v>
      </c>
      <c r="G22176" s="30" t="s">
        <v>140</v>
      </c>
      <c r="H22176" s="32">
        <v>138</v>
      </c>
      <c r="I22176" s="30" t="s">
        <v>51</v>
      </c>
      <c r="J22176" s="41">
        <v>45992</v>
      </c>
      <c r="K22176" s="30" t="s">
        <v>22</v>
      </c>
    </row>
    <row r="22177" spans="1:11">
      <c r="A22177" s="33" t="s">
        <v>49065</v>
      </c>
      <c r="B22177" s="33" t="s">
        <v>49066</v>
      </c>
      <c r="C22177" s="33" t="s">
        <v>1165</v>
      </c>
      <c r="D22177" s="33" t="s">
        <v>17</v>
      </c>
      <c r="E22177" s="33" t="s">
        <v>18</v>
      </c>
      <c r="F22177" s="33" t="s">
        <v>19</v>
      </c>
      <c r="G22177" s="33" t="s">
        <v>140</v>
      </c>
      <c r="H22177" s="35">
        <v>218</v>
      </c>
      <c r="I22177" s="33" t="s">
        <v>51</v>
      </c>
      <c r="J22177" s="42">
        <v>45891</v>
      </c>
      <c r="K22177" s="33" t="s">
        <v>22</v>
      </c>
    </row>
    <row r="22178" spans="1:11">
      <c r="A22178" s="30" t="s">
        <v>49067</v>
      </c>
      <c r="B22178" s="30" t="s">
        <v>49068</v>
      </c>
      <c r="C22178" s="30" t="s">
        <v>310</v>
      </c>
      <c r="D22178" s="30" t="s">
        <v>17</v>
      </c>
      <c r="E22178" s="30" t="s">
        <v>18</v>
      </c>
      <c r="F22178" s="30" t="s">
        <v>19</v>
      </c>
      <c r="G22178" s="30" t="s">
        <v>140</v>
      </c>
      <c r="H22178" s="32">
        <v>1280</v>
      </c>
      <c r="I22178" s="30" t="s">
        <v>51</v>
      </c>
      <c r="J22178" s="41">
        <v>45932</v>
      </c>
      <c r="K22178" s="30" t="s">
        <v>22</v>
      </c>
    </row>
    <row r="22179" spans="1:11">
      <c r="A22179" s="33" t="s">
        <v>49069</v>
      </c>
      <c r="B22179" s="33" t="s">
        <v>49070</v>
      </c>
      <c r="C22179" s="33" t="s">
        <v>2228</v>
      </c>
      <c r="D22179" s="33" t="s">
        <v>17</v>
      </c>
      <c r="E22179" s="33" t="s">
        <v>18</v>
      </c>
      <c r="F22179" s="33" t="s">
        <v>19</v>
      </c>
      <c r="G22179" s="33" t="s">
        <v>140</v>
      </c>
      <c r="H22179" s="35">
        <v>390</v>
      </c>
      <c r="I22179" s="33" t="s">
        <v>51</v>
      </c>
      <c r="J22179" s="42">
        <v>45856</v>
      </c>
      <c r="K22179" s="33" t="s">
        <v>22</v>
      </c>
    </row>
    <row r="22180" spans="1:11">
      <c r="A22180" s="30" t="s">
        <v>49071</v>
      </c>
      <c r="B22180" s="30" t="s">
        <v>49072</v>
      </c>
      <c r="C22180" s="30" t="s">
        <v>32043</v>
      </c>
      <c r="D22180" s="30" t="s">
        <v>17</v>
      </c>
      <c r="E22180" s="30" t="s">
        <v>18</v>
      </c>
      <c r="F22180" s="30" t="s">
        <v>19</v>
      </c>
      <c r="G22180" s="30" t="s">
        <v>140</v>
      </c>
      <c r="H22180" s="32">
        <v>177</v>
      </c>
      <c r="I22180" s="30" t="s">
        <v>51</v>
      </c>
      <c r="J22180" s="41">
        <v>45968</v>
      </c>
      <c r="K22180" s="30" t="s">
        <v>22</v>
      </c>
    </row>
    <row r="22181" spans="1:11">
      <c r="A22181" s="33" t="s">
        <v>49073</v>
      </c>
      <c r="B22181" s="33" t="s">
        <v>49074</v>
      </c>
      <c r="C22181" s="33" t="s">
        <v>49075</v>
      </c>
      <c r="D22181" s="33" t="s">
        <v>17</v>
      </c>
      <c r="E22181" s="33" t="s">
        <v>26</v>
      </c>
      <c r="F22181" s="33" t="s">
        <v>27</v>
      </c>
      <c r="G22181" s="33" t="s">
        <v>7780</v>
      </c>
      <c r="H22181" s="35">
        <v>35</v>
      </c>
      <c r="I22181" s="33" t="s">
        <v>51</v>
      </c>
      <c r="J22181" s="42">
        <v>45658</v>
      </c>
      <c r="K22181" s="33" t="s">
        <v>22</v>
      </c>
    </row>
    <row r="22182" spans="1:11">
      <c r="A22182" s="30" t="s">
        <v>49076</v>
      </c>
      <c r="B22182" s="30" t="s">
        <v>49077</v>
      </c>
      <c r="C22182" s="30" t="s">
        <v>109</v>
      </c>
      <c r="D22182" s="30" t="s">
        <v>17</v>
      </c>
      <c r="E22182" s="30" t="s">
        <v>18</v>
      </c>
      <c r="F22182" s="30" t="s">
        <v>19</v>
      </c>
      <c r="G22182" s="30" t="s">
        <v>140</v>
      </c>
      <c r="H22182" s="32">
        <v>31</v>
      </c>
      <c r="I22182" s="30" t="s">
        <v>51</v>
      </c>
      <c r="J22182" s="41">
        <v>45988</v>
      </c>
      <c r="K22182" s="30" t="s">
        <v>22</v>
      </c>
    </row>
    <row r="22183" spans="1:11">
      <c r="A22183" s="33" t="s">
        <v>49078</v>
      </c>
      <c r="B22183" s="33" t="s">
        <v>49079</v>
      </c>
      <c r="C22183" s="33" t="s">
        <v>6663</v>
      </c>
      <c r="D22183" s="33" t="s">
        <v>17</v>
      </c>
      <c r="E22183" s="33" t="s">
        <v>26</v>
      </c>
      <c r="F22183" s="33" t="s">
        <v>27</v>
      </c>
      <c r="G22183" s="33" t="s">
        <v>140</v>
      </c>
      <c r="H22183" s="35">
        <v>112</v>
      </c>
      <c r="I22183" s="33" t="s">
        <v>51</v>
      </c>
      <c r="J22183" s="42">
        <v>46007</v>
      </c>
      <c r="K22183" s="33" t="s">
        <v>22</v>
      </c>
    </row>
    <row r="22184" spans="1:11">
      <c r="A22184" s="30" t="s">
        <v>49080</v>
      </c>
      <c r="B22184" s="30" t="s">
        <v>49081</v>
      </c>
      <c r="C22184" s="30" t="s">
        <v>25007</v>
      </c>
      <c r="D22184" s="30" t="s">
        <v>17</v>
      </c>
      <c r="E22184" s="30" t="s">
        <v>26</v>
      </c>
      <c r="F22184" s="30" t="s">
        <v>27</v>
      </c>
      <c r="G22184" s="30" t="s">
        <v>140</v>
      </c>
      <c r="H22184" s="32">
        <v>145</v>
      </c>
      <c r="I22184" s="30" t="s">
        <v>51</v>
      </c>
      <c r="J22184" s="41">
        <v>45681</v>
      </c>
      <c r="K22184" s="30" t="s">
        <v>22</v>
      </c>
    </row>
    <row r="22185" spans="1:11">
      <c r="A22185" s="33" t="s">
        <v>49082</v>
      </c>
      <c r="B22185" s="33" t="s">
        <v>49083</v>
      </c>
      <c r="C22185" s="33" t="s">
        <v>38555</v>
      </c>
      <c r="D22185" s="33" t="s">
        <v>17</v>
      </c>
      <c r="E22185" s="33" t="s">
        <v>26</v>
      </c>
      <c r="F22185" s="33" t="s">
        <v>27</v>
      </c>
      <c r="G22185" s="33" t="s">
        <v>140</v>
      </c>
      <c r="H22185" s="35">
        <v>208</v>
      </c>
      <c r="I22185" s="33" t="s">
        <v>51</v>
      </c>
      <c r="J22185" s="42">
        <v>45838</v>
      </c>
      <c r="K22185" s="33" t="s">
        <v>22</v>
      </c>
    </row>
    <row r="22186" spans="1:11">
      <c r="A22186" s="30" t="s">
        <v>49084</v>
      </c>
      <c r="B22186" s="30" t="s">
        <v>49085</v>
      </c>
      <c r="C22186" s="30" t="s">
        <v>49086</v>
      </c>
      <c r="D22186" s="30" t="s">
        <v>17</v>
      </c>
      <c r="E22186" s="30" t="s">
        <v>67</v>
      </c>
      <c r="F22186" s="30" t="s">
        <v>68</v>
      </c>
      <c r="G22186" s="30" t="s">
        <v>7780</v>
      </c>
      <c r="H22186" s="32">
        <v>115</v>
      </c>
      <c r="I22186" s="30" t="s">
        <v>51</v>
      </c>
      <c r="J22186" s="41">
        <v>45940</v>
      </c>
      <c r="K22186" s="30" t="s">
        <v>22</v>
      </c>
    </row>
    <row r="22187" spans="1:11">
      <c r="A22187" s="33" t="s">
        <v>49087</v>
      </c>
      <c r="B22187" s="33" t="s">
        <v>49088</v>
      </c>
      <c r="C22187" s="33" t="s">
        <v>136</v>
      </c>
      <c r="D22187" s="33" t="s">
        <v>17</v>
      </c>
      <c r="E22187" s="33" t="s">
        <v>26</v>
      </c>
      <c r="F22187" s="33" t="s">
        <v>27</v>
      </c>
      <c r="G22187" s="33" t="s">
        <v>20</v>
      </c>
      <c r="H22187" s="35">
        <v>16</v>
      </c>
      <c r="I22187" s="33" t="s">
        <v>21</v>
      </c>
      <c r="J22187" s="42">
        <v>45831</v>
      </c>
      <c r="K22187" s="33" t="s">
        <v>22</v>
      </c>
    </row>
    <row r="22188" spans="1:11">
      <c r="A22188" s="30" t="s">
        <v>49089</v>
      </c>
      <c r="B22188" s="30" t="s">
        <v>49090</v>
      </c>
      <c r="C22188" s="30" t="s">
        <v>644</v>
      </c>
      <c r="D22188" s="30" t="s">
        <v>17</v>
      </c>
      <c r="E22188" s="30" t="s">
        <v>31</v>
      </c>
      <c r="F22188" s="30" t="s">
        <v>32</v>
      </c>
      <c r="G22188" s="30" t="s">
        <v>140</v>
      </c>
      <c r="H22188" s="32">
        <v>80</v>
      </c>
      <c r="I22188" s="30" t="s">
        <v>51</v>
      </c>
      <c r="J22188" s="41">
        <v>45838</v>
      </c>
      <c r="K22188" s="30" t="s">
        <v>22</v>
      </c>
    </row>
    <row r="22189" spans="1:11">
      <c r="A22189" s="33" t="s">
        <v>49091</v>
      </c>
      <c r="B22189" s="33" t="s">
        <v>49092</v>
      </c>
      <c r="C22189" s="33" t="s">
        <v>9081</v>
      </c>
      <c r="D22189" s="33" t="s">
        <v>17</v>
      </c>
      <c r="E22189" s="33" t="s">
        <v>31</v>
      </c>
      <c r="F22189" s="33" t="s">
        <v>32</v>
      </c>
      <c r="G22189" s="33" t="s">
        <v>106</v>
      </c>
      <c r="H22189" s="35">
        <v>73</v>
      </c>
      <c r="I22189" s="33" t="s">
        <v>21</v>
      </c>
      <c r="J22189" s="42">
        <v>45659</v>
      </c>
      <c r="K22189" s="33" t="s">
        <v>22</v>
      </c>
    </row>
    <row r="22190" spans="1:11">
      <c r="A22190" s="30" t="s">
        <v>49093</v>
      </c>
      <c r="B22190" s="30" t="s">
        <v>49094</v>
      </c>
      <c r="C22190" s="30" t="s">
        <v>190</v>
      </c>
      <c r="D22190" s="30" t="s">
        <v>17</v>
      </c>
      <c r="E22190" s="30" t="s">
        <v>26</v>
      </c>
      <c r="F22190" s="30" t="s">
        <v>27</v>
      </c>
      <c r="G22190" s="30" t="s">
        <v>20</v>
      </c>
      <c r="H22190" s="32">
        <v>254</v>
      </c>
      <c r="I22190" s="30" t="s">
        <v>21</v>
      </c>
      <c r="J22190" s="41">
        <v>45754</v>
      </c>
      <c r="K22190" s="30" t="s">
        <v>22</v>
      </c>
    </row>
    <row r="22191" spans="1:11">
      <c r="A22191" s="33" t="s">
        <v>49095</v>
      </c>
      <c r="B22191" s="33" t="s">
        <v>49096</v>
      </c>
      <c r="C22191" s="33" t="s">
        <v>570</v>
      </c>
      <c r="D22191" s="33" t="s">
        <v>17</v>
      </c>
      <c r="E22191" s="33" t="s">
        <v>26</v>
      </c>
      <c r="F22191" s="33" t="s">
        <v>27</v>
      </c>
      <c r="G22191" s="33" t="s">
        <v>7780</v>
      </c>
      <c r="H22191" s="35">
        <v>108</v>
      </c>
      <c r="I22191" s="33" t="s">
        <v>51</v>
      </c>
      <c r="J22191" s="42">
        <v>45809</v>
      </c>
      <c r="K22191" s="33" t="s">
        <v>22</v>
      </c>
    </row>
    <row r="22192" spans="1:11">
      <c r="A22192" s="30" t="s">
        <v>49097</v>
      </c>
      <c r="B22192" s="30" t="s">
        <v>49098</v>
      </c>
      <c r="C22192" s="30" t="s">
        <v>23267</v>
      </c>
      <c r="D22192" s="30" t="s">
        <v>17</v>
      </c>
      <c r="E22192" s="30" t="s">
        <v>31</v>
      </c>
      <c r="F22192" s="30" t="s">
        <v>32</v>
      </c>
      <c r="G22192" s="30" t="s">
        <v>140</v>
      </c>
      <c r="H22192" s="32">
        <v>120</v>
      </c>
      <c r="I22192" s="30" t="s">
        <v>51</v>
      </c>
      <c r="J22192" s="41">
        <v>45775</v>
      </c>
      <c r="K22192" s="30" t="s">
        <v>22</v>
      </c>
    </row>
    <row r="22193" spans="1:11">
      <c r="A22193" s="33" t="s">
        <v>49099</v>
      </c>
      <c r="B22193" s="33" t="s">
        <v>49100</v>
      </c>
      <c r="C22193" s="33" t="s">
        <v>318</v>
      </c>
      <c r="D22193" s="33" t="s">
        <v>17</v>
      </c>
      <c r="E22193" s="33" t="s">
        <v>18</v>
      </c>
      <c r="F22193" s="33" t="s">
        <v>19</v>
      </c>
      <c r="G22193" s="33" t="s">
        <v>140</v>
      </c>
      <c r="H22193" s="35">
        <v>11000</v>
      </c>
      <c r="I22193" s="33" t="s">
        <v>51</v>
      </c>
      <c r="J22193" s="42">
        <v>45891</v>
      </c>
      <c r="K22193" s="33" t="s">
        <v>22</v>
      </c>
    </row>
    <row r="22194" spans="1:11">
      <c r="A22194" s="30" t="s">
        <v>49101</v>
      </c>
      <c r="B22194" s="30" t="s">
        <v>49102</v>
      </c>
      <c r="C22194" s="30" t="s">
        <v>14816</v>
      </c>
      <c r="D22194" s="30" t="s">
        <v>17</v>
      </c>
      <c r="E22194" s="30" t="s">
        <v>18</v>
      </c>
      <c r="F22194" s="30" t="s">
        <v>19</v>
      </c>
      <c r="G22194" s="30" t="s">
        <v>158</v>
      </c>
      <c r="H22194" s="32">
        <v>556</v>
      </c>
      <c r="I22194" s="30" t="s">
        <v>21</v>
      </c>
      <c r="J22194" s="41">
        <v>45756</v>
      </c>
      <c r="K22194" s="30" t="s">
        <v>22</v>
      </c>
    </row>
    <row r="22195" spans="1:11">
      <c r="A22195" s="33" t="s">
        <v>49103</v>
      </c>
      <c r="B22195" s="33" t="s">
        <v>49104</v>
      </c>
      <c r="C22195" s="33" t="s">
        <v>6127</v>
      </c>
      <c r="D22195" s="33" t="s">
        <v>17</v>
      </c>
      <c r="E22195" s="33" t="s">
        <v>67</v>
      </c>
      <c r="F22195" s="33" t="s">
        <v>68</v>
      </c>
      <c r="G22195" s="33" t="s">
        <v>140</v>
      </c>
      <c r="H22195" s="35">
        <v>144</v>
      </c>
      <c r="I22195" s="33" t="s">
        <v>51</v>
      </c>
      <c r="J22195" s="42">
        <v>45719</v>
      </c>
      <c r="K22195" s="33" t="s">
        <v>22</v>
      </c>
    </row>
    <row r="22196" spans="1:11">
      <c r="A22196" s="30" t="s">
        <v>49105</v>
      </c>
      <c r="B22196" s="30" t="s">
        <v>49106</v>
      </c>
      <c r="C22196" s="30" t="s">
        <v>48010</v>
      </c>
      <c r="D22196" s="30" t="s">
        <v>17</v>
      </c>
      <c r="E22196" s="30" t="s">
        <v>26</v>
      </c>
      <c r="F22196" s="30" t="s">
        <v>27</v>
      </c>
      <c r="G22196" s="30" t="s">
        <v>7780</v>
      </c>
      <c r="H22196" s="32">
        <v>30</v>
      </c>
      <c r="I22196" s="30" t="s">
        <v>51</v>
      </c>
      <c r="J22196" s="41">
        <v>45992</v>
      </c>
      <c r="K22196" s="30" t="s">
        <v>22</v>
      </c>
    </row>
    <row r="22197" spans="1:11">
      <c r="A22197" s="33" t="s">
        <v>49107</v>
      </c>
      <c r="B22197" s="33" t="s">
        <v>49108</v>
      </c>
      <c r="C22197" s="33" t="s">
        <v>75</v>
      </c>
      <c r="D22197" s="33" t="s">
        <v>17</v>
      </c>
      <c r="E22197" s="33" t="s">
        <v>212</v>
      </c>
      <c r="F22197" s="33" t="s">
        <v>213</v>
      </c>
      <c r="G22197" s="33" t="s">
        <v>158</v>
      </c>
      <c r="H22197" s="35">
        <v>50</v>
      </c>
      <c r="I22197" s="33" t="s">
        <v>51</v>
      </c>
      <c r="J22197" s="42">
        <v>45904</v>
      </c>
      <c r="K22197" s="33" t="s">
        <v>22</v>
      </c>
    </row>
    <row r="22198" spans="1:11">
      <c r="A22198" s="30" t="s">
        <v>49109</v>
      </c>
      <c r="B22198" s="30" t="s">
        <v>49110</v>
      </c>
      <c r="C22198" s="30" t="s">
        <v>3748</v>
      </c>
      <c r="D22198" s="30" t="s">
        <v>17</v>
      </c>
      <c r="E22198" s="30" t="s">
        <v>31</v>
      </c>
      <c r="F22198" s="30" t="s">
        <v>32</v>
      </c>
      <c r="G22198" s="30" t="s">
        <v>2613</v>
      </c>
      <c r="H22198" s="32">
        <v>155</v>
      </c>
      <c r="I22198" s="30" t="s">
        <v>51</v>
      </c>
      <c r="J22198" s="41">
        <v>45996</v>
      </c>
      <c r="K22198" s="30" t="s">
        <v>22</v>
      </c>
    </row>
    <row r="22199" spans="1:11">
      <c r="A22199" s="33" t="s">
        <v>49111</v>
      </c>
      <c r="B22199" s="33" t="s">
        <v>49112</v>
      </c>
      <c r="C22199" s="33" t="s">
        <v>136</v>
      </c>
      <c r="D22199" s="33" t="s">
        <v>17</v>
      </c>
      <c r="E22199" s="33" t="s">
        <v>18</v>
      </c>
      <c r="F22199" s="33" t="s">
        <v>19</v>
      </c>
      <c r="G22199" s="33" t="s">
        <v>158</v>
      </c>
      <c r="H22199" s="35">
        <v>487</v>
      </c>
      <c r="I22199" s="33" t="s">
        <v>51</v>
      </c>
      <c r="J22199" s="42">
        <v>45777</v>
      </c>
      <c r="K22199" s="33" t="s">
        <v>22</v>
      </c>
    </row>
    <row r="22200" spans="1:11">
      <c r="A22200" s="30" t="s">
        <v>49113</v>
      </c>
      <c r="B22200" s="30" t="s">
        <v>49114</v>
      </c>
      <c r="C22200" s="30" t="s">
        <v>11899</v>
      </c>
      <c r="D22200" s="30" t="s">
        <v>17</v>
      </c>
      <c r="E22200" s="30" t="s">
        <v>26</v>
      </c>
      <c r="F22200" s="30" t="s">
        <v>27</v>
      </c>
      <c r="G22200" s="30" t="s">
        <v>158</v>
      </c>
      <c r="H22200" s="32">
        <v>24</v>
      </c>
      <c r="I22200" s="30" t="s">
        <v>21</v>
      </c>
      <c r="J22200" s="41">
        <v>45824</v>
      </c>
      <c r="K22200" s="30" t="s">
        <v>22</v>
      </c>
    </row>
    <row r="22201" spans="1:11">
      <c r="A22201" s="33" t="s">
        <v>49115</v>
      </c>
      <c r="B22201" s="33" t="s">
        <v>49116</v>
      </c>
      <c r="C22201" s="33" t="s">
        <v>60</v>
      </c>
      <c r="D22201" s="33" t="s">
        <v>17</v>
      </c>
      <c r="E22201" s="33" t="s">
        <v>18</v>
      </c>
      <c r="F22201" s="33" t="s">
        <v>19</v>
      </c>
      <c r="G22201" s="33" t="s">
        <v>140</v>
      </c>
      <c r="H22201" s="35">
        <v>734</v>
      </c>
      <c r="I22201" s="33" t="s">
        <v>51</v>
      </c>
      <c r="J22201" s="42">
        <v>45982</v>
      </c>
      <c r="K22201" s="33" t="s">
        <v>22</v>
      </c>
    </row>
    <row r="22202" spans="1:11">
      <c r="A22202" s="30" t="s">
        <v>49117</v>
      </c>
      <c r="B22202" s="30" t="s">
        <v>49118</v>
      </c>
      <c r="C22202" s="30" t="s">
        <v>20147</v>
      </c>
      <c r="D22202" s="30" t="s">
        <v>17</v>
      </c>
      <c r="E22202" s="30" t="s">
        <v>26</v>
      </c>
      <c r="F22202" s="30" t="s">
        <v>27</v>
      </c>
      <c r="G22202" s="30" t="s">
        <v>158</v>
      </c>
      <c r="H22202" s="32">
        <v>40</v>
      </c>
      <c r="I22202" s="30" t="s">
        <v>51</v>
      </c>
      <c r="J22202" s="41">
        <v>45664</v>
      </c>
      <c r="K22202" s="30" t="s">
        <v>22</v>
      </c>
    </row>
    <row r="22203" spans="1:11">
      <c r="A22203" s="33" t="s">
        <v>49119</v>
      </c>
      <c r="B22203" s="33" t="s">
        <v>49120</v>
      </c>
      <c r="C22203" s="33" t="s">
        <v>231</v>
      </c>
      <c r="D22203" s="33" t="s">
        <v>17</v>
      </c>
      <c r="E22203" s="33" t="s">
        <v>26</v>
      </c>
      <c r="F22203" s="33" t="s">
        <v>27</v>
      </c>
      <c r="G22203" s="33" t="s">
        <v>158</v>
      </c>
      <c r="H22203" s="35">
        <v>16</v>
      </c>
      <c r="I22203" s="33" t="s">
        <v>21</v>
      </c>
      <c r="J22203" s="42">
        <v>45867</v>
      </c>
      <c r="K22203" s="33" t="s">
        <v>22</v>
      </c>
    </row>
    <row r="22204" spans="1:11">
      <c r="A22204" s="30" t="s">
        <v>49121</v>
      </c>
      <c r="B22204" s="30" t="s">
        <v>49122</v>
      </c>
      <c r="C22204" s="30" t="s">
        <v>14483</v>
      </c>
      <c r="D22204" s="30" t="s">
        <v>17</v>
      </c>
      <c r="E22204" s="30" t="s">
        <v>18</v>
      </c>
      <c r="F22204" s="30" t="s">
        <v>19</v>
      </c>
      <c r="G22204" s="30" t="s">
        <v>7780</v>
      </c>
      <c r="H22204" s="32">
        <v>96</v>
      </c>
      <c r="I22204" s="30" t="s">
        <v>51</v>
      </c>
      <c r="J22204" s="41">
        <v>45658</v>
      </c>
      <c r="K22204" s="30" t="s">
        <v>22</v>
      </c>
    </row>
    <row r="22205" spans="1:11">
      <c r="A22205" s="33" t="s">
        <v>49123</v>
      </c>
      <c r="B22205" s="33" t="s">
        <v>49124</v>
      </c>
      <c r="C22205" s="33" t="s">
        <v>49125</v>
      </c>
      <c r="D22205" s="33" t="s">
        <v>17</v>
      </c>
      <c r="E22205" s="33" t="s">
        <v>330</v>
      </c>
      <c r="F22205" s="33" t="s">
        <v>331</v>
      </c>
      <c r="G22205" s="33" t="s">
        <v>140</v>
      </c>
      <c r="H22205" s="35">
        <v>9</v>
      </c>
      <c r="I22205" s="33" t="s">
        <v>51</v>
      </c>
      <c r="J22205" s="42">
        <v>45875</v>
      </c>
      <c r="K22205" s="33" t="s">
        <v>22</v>
      </c>
    </row>
    <row r="22206" spans="1:11">
      <c r="A22206" s="30" t="s">
        <v>49126</v>
      </c>
      <c r="B22206" s="30" t="s">
        <v>49127</v>
      </c>
      <c r="C22206" s="30" t="s">
        <v>368</v>
      </c>
      <c r="D22206" s="30" t="s">
        <v>17</v>
      </c>
      <c r="E22206" s="30" t="s">
        <v>26</v>
      </c>
      <c r="F22206" s="30" t="s">
        <v>27</v>
      </c>
      <c r="G22206" s="30" t="s">
        <v>7780</v>
      </c>
      <c r="H22206" s="32">
        <v>32</v>
      </c>
      <c r="I22206" s="30" t="s">
        <v>51</v>
      </c>
      <c r="J22206" s="41">
        <v>45870</v>
      </c>
      <c r="K22206" s="30" t="s">
        <v>22</v>
      </c>
    </row>
    <row r="22207" spans="1:11">
      <c r="A22207" s="33" t="s">
        <v>49128</v>
      </c>
      <c r="B22207" s="33" t="s">
        <v>49129</v>
      </c>
      <c r="C22207" s="33" t="s">
        <v>154</v>
      </c>
      <c r="D22207" s="33" t="s">
        <v>17</v>
      </c>
      <c r="E22207" s="33" t="s">
        <v>26</v>
      </c>
      <c r="F22207" s="33" t="s">
        <v>27</v>
      </c>
      <c r="G22207" s="33" t="s">
        <v>20</v>
      </c>
      <c r="H22207" s="35">
        <v>37</v>
      </c>
      <c r="I22207" s="33" t="s">
        <v>21</v>
      </c>
      <c r="J22207" s="42">
        <v>45750</v>
      </c>
      <c r="K22207" s="33" t="s">
        <v>22</v>
      </c>
    </row>
    <row r="22208" spans="1:11">
      <c r="A22208" s="30" t="s">
        <v>49130</v>
      </c>
      <c r="B22208" s="30" t="s">
        <v>49131</v>
      </c>
      <c r="C22208" s="30" t="s">
        <v>1504</v>
      </c>
      <c r="D22208" s="30" t="s">
        <v>17</v>
      </c>
      <c r="E22208" s="30" t="s">
        <v>31</v>
      </c>
      <c r="F22208" s="30" t="s">
        <v>32</v>
      </c>
      <c r="G22208" s="30" t="s">
        <v>140</v>
      </c>
      <c r="H22208" s="32">
        <v>360</v>
      </c>
      <c r="I22208" s="30" t="s">
        <v>51</v>
      </c>
      <c r="J22208" s="41">
        <v>45853</v>
      </c>
      <c r="K22208" s="30" t="s">
        <v>22</v>
      </c>
    </row>
    <row r="22209" spans="1:11">
      <c r="A22209" s="33" t="s">
        <v>49132</v>
      </c>
      <c r="B22209" s="33" t="s">
        <v>49133</v>
      </c>
      <c r="C22209" s="33" t="s">
        <v>4450</v>
      </c>
      <c r="D22209" s="33" t="s">
        <v>17</v>
      </c>
      <c r="E22209" s="33" t="s">
        <v>45</v>
      </c>
      <c r="F22209" s="33" t="s">
        <v>46</v>
      </c>
      <c r="G22209" s="33" t="s">
        <v>140</v>
      </c>
      <c r="H22209" s="35">
        <v>312</v>
      </c>
      <c r="I22209" s="33" t="s">
        <v>51</v>
      </c>
      <c r="J22209" s="42">
        <v>45778</v>
      </c>
      <c r="K22209" s="33" t="s">
        <v>22</v>
      </c>
    </row>
    <row r="22210" spans="1:11">
      <c r="A22210" s="30" t="s">
        <v>49134</v>
      </c>
      <c r="B22210" s="30" t="s">
        <v>49135</v>
      </c>
      <c r="C22210" s="30" t="s">
        <v>517</v>
      </c>
      <c r="D22210" s="30" t="s">
        <v>17</v>
      </c>
      <c r="E22210" s="30" t="s">
        <v>18</v>
      </c>
      <c r="F22210" s="30" t="s">
        <v>19</v>
      </c>
      <c r="G22210" s="30" t="s">
        <v>7780</v>
      </c>
      <c r="H22210" s="32">
        <v>110</v>
      </c>
      <c r="I22210" s="30" t="s">
        <v>51</v>
      </c>
      <c r="J22210" s="41">
        <v>45689</v>
      </c>
      <c r="K22210" s="30" t="s">
        <v>22</v>
      </c>
    </row>
    <row r="22211" spans="1:11">
      <c r="A22211" s="33" t="s">
        <v>49136</v>
      </c>
      <c r="B22211" s="33" t="s">
        <v>49137</v>
      </c>
      <c r="C22211" s="33" t="s">
        <v>2725</v>
      </c>
      <c r="D22211" s="33" t="s">
        <v>17</v>
      </c>
      <c r="E22211" s="33" t="s">
        <v>212</v>
      </c>
      <c r="F22211" s="33" t="s">
        <v>213</v>
      </c>
      <c r="G22211" s="33" t="s">
        <v>140</v>
      </c>
      <c r="H22211" s="35">
        <v>500</v>
      </c>
      <c r="I22211" s="33" t="s">
        <v>51</v>
      </c>
      <c r="J22211" s="42">
        <v>45689</v>
      </c>
      <c r="K22211" s="33" t="s">
        <v>22</v>
      </c>
    </row>
    <row r="22212" spans="1:11">
      <c r="A22212" s="30" t="s">
        <v>49138</v>
      </c>
      <c r="B22212" s="30" t="s">
        <v>49139</v>
      </c>
      <c r="C22212" s="30" t="s">
        <v>33161</v>
      </c>
      <c r="D22212" s="30" t="s">
        <v>17</v>
      </c>
      <c r="E22212" s="30" t="s">
        <v>18</v>
      </c>
      <c r="F22212" s="30" t="s">
        <v>19</v>
      </c>
      <c r="G22212" s="30" t="s">
        <v>140</v>
      </c>
      <c r="H22212" s="32">
        <v>300</v>
      </c>
      <c r="I22212" s="30" t="s">
        <v>51</v>
      </c>
      <c r="J22212" s="41">
        <v>45931</v>
      </c>
      <c r="K22212" s="30" t="s">
        <v>22</v>
      </c>
    </row>
    <row r="22213" spans="1:11">
      <c r="A22213" s="33" t="s">
        <v>49140</v>
      </c>
      <c r="B22213" s="33" t="s">
        <v>49141</v>
      </c>
      <c r="C22213" s="33" t="s">
        <v>3462</v>
      </c>
      <c r="D22213" s="33" t="s">
        <v>17</v>
      </c>
      <c r="E22213" s="33" t="s">
        <v>26</v>
      </c>
      <c r="F22213" s="33" t="s">
        <v>27</v>
      </c>
      <c r="G22213" s="33" t="s">
        <v>140</v>
      </c>
      <c r="H22213" s="35">
        <v>52</v>
      </c>
      <c r="I22213" s="33" t="s">
        <v>51</v>
      </c>
      <c r="J22213" s="42">
        <v>45716</v>
      </c>
      <c r="K22213" s="33" t="s">
        <v>22</v>
      </c>
    </row>
    <row r="22214" spans="1:11">
      <c r="A22214" s="30" t="s">
        <v>49142</v>
      </c>
      <c r="B22214" s="30" t="s">
        <v>49143</v>
      </c>
      <c r="C22214" s="30" t="s">
        <v>18181</v>
      </c>
      <c r="D22214" s="30" t="s">
        <v>17</v>
      </c>
      <c r="E22214" s="30" t="s">
        <v>31</v>
      </c>
      <c r="F22214" s="30" t="s">
        <v>32</v>
      </c>
      <c r="G22214" s="30" t="s">
        <v>140</v>
      </c>
      <c r="H22214" s="32">
        <v>20</v>
      </c>
      <c r="I22214" s="30" t="s">
        <v>51</v>
      </c>
      <c r="J22214" s="41">
        <v>45966</v>
      </c>
      <c r="K22214" s="30" t="s">
        <v>22</v>
      </c>
    </row>
    <row r="22215" spans="1:11">
      <c r="A22215" s="33" t="s">
        <v>49144</v>
      </c>
      <c r="B22215" s="33" t="s">
        <v>49145</v>
      </c>
      <c r="C22215" s="33" t="s">
        <v>7965</v>
      </c>
      <c r="D22215" s="33" t="s">
        <v>17</v>
      </c>
      <c r="E22215" s="33" t="s">
        <v>31</v>
      </c>
      <c r="F22215" s="33" t="s">
        <v>32</v>
      </c>
      <c r="G22215" s="33" t="s">
        <v>106</v>
      </c>
      <c r="H22215" s="35">
        <v>10</v>
      </c>
      <c r="I22215" s="33" t="s">
        <v>21</v>
      </c>
      <c r="J22215" s="42">
        <v>45839</v>
      </c>
      <c r="K22215" s="33" t="s">
        <v>22</v>
      </c>
    </row>
    <row r="22216" spans="1:11">
      <c r="A22216" s="30" t="s">
        <v>49146</v>
      </c>
      <c r="B22216" s="30" t="s">
        <v>49147</v>
      </c>
      <c r="C22216" s="30" t="s">
        <v>46505</v>
      </c>
      <c r="D22216" s="30" t="s">
        <v>17</v>
      </c>
      <c r="E22216" s="30" t="s">
        <v>67</v>
      </c>
      <c r="F22216" s="30" t="s">
        <v>68</v>
      </c>
      <c r="G22216" s="30" t="s">
        <v>140</v>
      </c>
      <c r="H22216" s="32">
        <v>75</v>
      </c>
      <c r="I22216" s="30" t="s">
        <v>51</v>
      </c>
      <c r="J22216" s="41">
        <v>45929</v>
      </c>
      <c r="K22216" s="30" t="s">
        <v>22</v>
      </c>
    </row>
    <row r="22217" spans="1:11">
      <c r="A22217" s="33" t="s">
        <v>49148</v>
      </c>
      <c r="B22217" s="33" t="s">
        <v>49149</v>
      </c>
      <c r="C22217" s="33" t="s">
        <v>48745</v>
      </c>
      <c r="D22217" s="33" t="s">
        <v>17</v>
      </c>
      <c r="E22217" s="33" t="s">
        <v>26</v>
      </c>
      <c r="F22217" s="33" t="s">
        <v>27</v>
      </c>
      <c r="G22217" s="33" t="s">
        <v>20</v>
      </c>
      <c r="H22217" s="35">
        <v>7</v>
      </c>
      <c r="I22217" s="33" t="s">
        <v>21</v>
      </c>
      <c r="J22217" s="42">
        <v>45672</v>
      </c>
      <c r="K22217" s="33" t="s">
        <v>22</v>
      </c>
    </row>
    <row r="22218" spans="1:11">
      <c r="A22218" s="30" t="s">
        <v>49150</v>
      </c>
      <c r="B22218" s="30" t="s">
        <v>49151</v>
      </c>
      <c r="C22218" s="30" t="s">
        <v>14457</v>
      </c>
      <c r="D22218" s="30" t="s">
        <v>17</v>
      </c>
      <c r="E22218" s="30" t="s">
        <v>18</v>
      </c>
      <c r="F22218" s="30" t="s">
        <v>19</v>
      </c>
      <c r="G22218" s="30" t="s">
        <v>140</v>
      </c>
      <c r="H22218" s="32">
        <v>590</v>
      </c>
      <c r="I22218" s="30" t="s">
        <v>51</v>
      </c>
      <c r="J22218" s="41">
        <v>45783</v>
      </c>
      <c r="K22218" s="30" t="s">
        <v>22</v>
      </c>
    </row>
    <row r="22219" spans="1:11">
      <c r="A22219" s="33" t="s">
        <v>49152</v>
      </c>
      <c r="B22219" s="33" t="s">
        <v>49153</v>
      </c>
      <c r="C22219" s="33" t="s">
        <v>14816</v>
      </c>
      <c r="D22219" s="33" t="s">
        <v>17</v>
      </c>
      <c r="E22219" s="33" t="s">
        <v>31</v>
      </c>
      <c r="F22219" s="33" t="s">
        <v>32</v>
      </c>
      <c r="G22219" s="33" t="s">
        <v>140</v>
      </c>
      <c r="H22219" s="35">
        <v>225</v>
      </c>
      <c r="I22219" s="33" t="s">
        <v>51</v>
      </c>
      <c r="J22219" s="42">
        <v>45757</v>
      </c>
      <c r="K22219" s="33" t="s">
        <v>22</v>
      </c>
    </row>
    <row r="22220" spans="1:11">
      <c r="A22220" s="30" t="s">
        <v>49154</v>
      </c>
      <c r="B22220" s="30" t="s">
        <v>49155</v>
      </c>
      <c r="C22220" s="30" t="s">
        <v>27487</v>
      </c>
      <c r="D22220" s="30" t="s">
        <v>17</v>
      </c>
      <c r="E22220" s="30" t="s">
        <v>18</v>
      </c>
      <c r="F22220" s="30" t="s">
        <v>19</v>
      </c>
      <c r="G22220" s="30" t="s">
        <v>140</v>
      </c>
      <c r="H22220" s="32">
        <v>200</v>
      </c>
      <c r="I22220" s="30" t="s">
        <v>51</v>
      </c>
      <c r="J22220" s="41">
        <v>45975</v>
      </c>
      <c r="K22220" s="30" t="s">
        <v>22</v>
      </c>
    </row>
    <row r="22221" spans="1:11">
      <c r="A22221" s="33" t="s">
        <v>49156</v>
      </c>
      <c r="B22221" s="33" t="s">
        <v>49157</v>
      </c>
      <c r="C22221" s="33" t="s">
        <v>23400</v>
      </c>
      <c r="D22221" s="33" t="s">
        <v>17</v>
      </c>
      <c r="E22221" s="33" t="s">
        <v>26</v>
      </c>
      <c r="F22221" s="33" t="s">
        <v>27</v>
      </c>
      <c r="G22221" s="33" t="s">
        <v>140</v>
      </c>
      <c r="H22221" s="35">
        <v>96</v>
      </c>
      <c r="I22221" s="33" t="s">
        <v>51</v>
      </c>
      <c r="J22221" s="42">
        <v>45811</v>
      </c>
      <c r="K22221" s="33" t="s">
        <v>22</v>
      </c>
    </row>
    <row r="22222" spans="1:11">
      <c r="A22222" s="30" t="s">
        <v>49158</v>
      </c>
      <c r="B22222" s="30" t="s">
        <v>49159</v>
      </c>
      <c r="C22222" s="30" t="s">
        <v>647</v>
      </c>
      <c r="D22222" s="30" t="s">
        <v>17</v>
      </c>
      <c r="E22222" s="30" t="s">
        <v>31</v>
      </c>
      <c r="F22222" s="30" t="s">
        <v>32</v>
      </c>
      <c r="G22222" s="30" t="s">
        <v>140</v>
      </c>
      <c r="H22222" s="32">
        <v>594</v>
      </c>
      <c r="I22222" s="30" t="s">
        <v>51</v>
      </c>
      <c r="J22222" s="41">
        <v>45758</v>
      </c>
      <c r="K22222" s="30" t="s">
        <v>22</v>
      </c>
    </row>
    <row r="22223" spans="1:11">
      <c r="A22223" s="33" t="s">
        <v>49160</v>
      </c>
      <c r="B22223" s="33" t="s">
        <v>49161</v>
      </c>
      <c r="C22223" s="33" t="s">
        <v>49162</v>
      </c>
      <c r="D22223" s="33" t="s">
        <v>17</v>
      </c>
      <c r="E22223" s="33" t="s">
        <v>26</v>
      </c>
      <c r="F22223" s="33" t="s">
        <v>27</v>
      </c>
      <c r="G22223" s="33" t="s">
        <v>20</v>
      </c>
      <c r="H22223" s="35">
        <v>102</v>
      </c>
      <c r="I22223" s="33" t="s">
        <v>21</v>
      </c>
      <c r="J22223" s="42">
        <v>45806</v>
      </c>
      <c r="K22223" s="33" t="s">
        <v>22</v>
      </c>
    </row>
    <row r="22224" spans="1:11">
      <c r="A22224" s="30" t="s">
        <v>49163</v>
      </c>
      <c r="B22224" s="30" t="s">
        <v>49164</v>
      </c>
      <c r="C22224" s="30" t="s">
        <v>9095</v>
      </c>
      <c r="D22224" s="30" t="s">
        <v>17</v>
      </c>
      <c r="E22224" s="30" t="s">
        <v>18</v>
      </c>
      <c r="F22224" s="30" t="s">
        <v>19</v>
      </c>
      <c r="G22224" s="30" t="s">
        <v>140</v>
      </c>
      <c r="H22224" s="32">
        <v>632</v>
      </c>
      <c r="I22224" s="30" t="s">
        <v>51</v>
      </c>
      <c r="J22224" s="41">
        <v>46020</v>
      </c>
      <c r="K22224" s="30" t="s">
        <v>22</v>
      </c>
    </row>
    <row r="22225" spans="1:11">
      <c r="A22225" s="33" t="s">
        <v>49165</v>
      </c>
      <c r="B22225" s="33" t="s">
        <v>49166</v>
      </c>
      <c r="C22225" s="33" t="s">
        <v>2778</v>
      </c>
      <c r="D22225" s="33" t="s">
        <v>17</v>
      </c>
      <c r="E22225" s="33" t="s">
        <v>67</v>
      </c>
      <c r="F22225" s="33" t="s">
        <v>68</v>
      </c>
      <c r="G22225" s="33" t="s">
        <v>140</v>
      </c>
      <c r="H22225" s="35">
        <v>295</v>
      </c>
      <c r="I22225" s="33" t="s">
        <v>51</v>
      </c>
      <c r="J22225" s="42">
        <v>45832</v>
      </c>
      <c r="K22225" s="33" t="s">
        <v>22</v>
      </c>
    </row>
    <row r="22226" spans="1:11">
      <c r="A22226" s="30" t="s">
        <v>49167</v>
      </c>
      <c r="B22226" s="30" t="s">
        <v>49168</v>
      </c>
      <c r="C22226" s="30" t="s">
        <v>326</v>
      </c>
      <c r="D22226" s="30" t="s">
        <v>17</v>
      </c>
      <c r="E22226" s="30" t="s">
        <v>31</v>
      </c>
      <c r="F22226" s="30" t="s">
        <v>32</v>
      </c>
      <c r="G22226" s="30" t="s">
        <v>140</v>
      </c>
      <c r="H22226" s="32">
        <v>20</v>
      </c>
      <c r="I22226" s="30" t="s">
        <v>51</v>
      </c>
      <c r="J22226" s="41">
        <v>45975</v>
      </c>
      <c r="K22226" s="30" t="s">
        <v>22</v>
      </c>
    </row>
    <row r="22227" spans="1:11">
      <c r="A22227" s="33" t="s">
        <v>49169</v>
      </c>
      <c r="B22227" s="33" t="s">
        <v>49170</v>
      </c>
      <c r="C22227" s="33" t="s">
        <v>102</v>
      </c>
      <c r="D22227" s="33" t="s">
        <v>17</v>
      </c>
      <c r="E22227" s="33" t="s">
        <v>26</v>
      </c>
      <c r="F22227" s="33" t="s">
        <v>27</v>
      </c>
      <c r="G22227" s="33" t="s">
        <v>112</v>
      </c>
      <c r="H22227" s="35">
        <v>0</v>
      </c>
      <c r="I22227" s="33" t="s">
        <v>21</v>
      </c>
      <c r="J22227" s="42">
        <v>46017</v>
      </c>
      <c r="K22227" s="33" t="s">
        <v>22</v>
      </c>
    </row>
    <row r="22228" spans="1:11">
      <c r="A22228" s="30" t="s">
        <v>49171</v>
      </c>
      <c r="B22228" s="30" t="s">
        <v>49172</v>
      </c>
      <c r="C22228" s="30" t="s">
        <v>14577</v>
      </c>
      <c r="D22228" s="30" t="s">
        <v>17</v>
      </c>
      <c r="E22228" s="30" t="s">
        <v>26</v>
      </c>
      <c r="F22228" s="30" t="s">
        <v>27</v>
      </c>
      <c r="G22228" s="30" t="s">
        <v>7780</v>
      </c>
      <c r="H22228" s="32">
        <v>56</v>
      </c>
      <c r="I22228" s="30" t="s">
        <v>51</v>
      </c>
      <c r="J22228" s="41">
        <v>45814</v>
      </c>
      <c r="K22228" s="30" t="s">
        <v>22</v>
      </c>
    </row>
    <row r="22229" spans="1:11">
      <c r="A22229" s="33" t="s">
        <v>49173</v>
      </c>
      <c r="B22229" s="33" t="s">
        <v>49174</v>
      </c>
      <c r="C22229" s="33" t="s">
        <v>2839</v>
      </c>
      <c r="D22229" s="33" t="s">
        <v>17</v>
      </c>
      <c r="E22229" s="33" t="s">
        <v>31</v>
      </c>
      <c r="F22229" s="33" t="s">
        <v>32</v>
      </c>
      <c r="G22229" s="33" t="s">
        <v>7780</v>
      </c>
      <c r="H22229" s="35">
        <v>90</v>
      </c>
      <c r="I22229" s="33" t="s">
        <v>51</v>
      </c>
      <c r="J22229" s="42">
        <v>45839</v>
      </c>
      <c r="K22229" s="33" t="s">
        <v>22</v>
      </c>
    </row>
    <row r="22230" spans="1:11">
      <c r="A22230" s="30" t="s">
        <v>49175</v>
      </c>
      <c r="B22230" s="30" t="s">
        <v>49176</v>
      </c>
      <c r="C22230" s="30" t="s">
        <v>517</v>
      </c>
      <c r="D22230" s="30" t="s">
        <v>17</v>
      </c>
      <c r="E22230" s="30" t="s">
        <v>26</v>
      </c>
      <c r="F22230" s="30" t="s">
        <v>27</v>
      </c>
      <c r="G22230" s="30" t="s">
        <v>140</v>
      </c>
      <c r="H22230" s="32">
        <v>60</v>
      </c>
      <c r="I22230" s="30" t="s">
        <v>51</v>
      </c>
      <c r="J22230" s="41">
        <v>45726</v>
      </c>
      <c r="K22230" s="30" t="s">
        <v>22</v>
      </c>
    </row>
    <row r="22231" spans="1:11">
      <c r="A22231" s="33" t="s">
        <v>49177</v>
      </c>
      <c r="B22231" s="33" t="s">
        <v>49178</v>
      </c>
      <c r="C22231" s="33" t="s">
        <v>1598</v>
      </c>
      <c r="D22231" s="33" t="s">
        <v>17</v>
      </c>
      <c r="E22231" s="33" t="s">
        <v>31</v>
      </c>
      <c r="F22231" s="33" t="s">
        <v>32</v>
      </c>
      <c r="G22231" s="33" t="s">
        <v>7780</v>
      </c>
      <c r="H22231" s="35">
        <v>60</v>
      </c>
      <c r="I22231" s="33" t="s">
        <v>51</v>
      </c>
      <c r="J22231" s="42">
        <v>45900</v>
      </c>
      <c r="K22231" s="33" t="s">
        <v>22</v>
      </c>
    </row>
    <row r="22232" spans="1:11">
      <c r="A22232" s="30" t="s">
        <v>49179</v>
      </c>
      <c r="B22232" s="30" t="s">
        <v>49180</v>
      </c>
      <c r="C22232" s="30" t="s">
        <v>190</v>
      </c>
      <c r="D22232" s="30" t="s">
        <v>17</v>
      </c>
      <c r="E22232" s="30" t="s">
        <v>212</v>
      </c>
      <c r="F22232" s="30" t="s">
        <v>213</v>
      </c>
      <c r="G22232" s="30" t="s">
        <v>140</v>
      </c>
      <c r="H22232" s="32">
        <v>150</v>
      </c>
      <c r="I22232" s="30" t="s">
        <v>51</v>
      </c>
      <c r="J22232" s="41">
        <v>46010</v>
      </c>
      <c r="K22232" s="30" t="s">
        <v>22</v>
      </c>
    </row>
    <row r="22233" spans="1:11">
      <c r="A22233" s="33" t="s">
        <v>49181</v>
      </c>
      <c r="B22233" s="33" t="s">
        <v>49182</v>
      </c>
      <c r="C22233" s="33" t="s">
        <v>1908</v>
      </c>
      <c r="D22233" s="33" t="s">
        <v>17</v>
      </c>
      <c r="E22233" s="33" t="s">
        <v>26</v>
      </c>
      <c r="F22233" s="33" t="s">
        <v>27</v>
      </c>
      <c r="G22233" s="33" t="s">
        <v>20</v>
      </c>
      <c r="H22233" s="35">
        <v>18</v>
      </c>
      <c r="I22233" s="33" t="s">
        <v>21</v>
      </c>
      <c r="J22233" s="42">
        <v>45880</v>
      </c>
      <c r="K22233" s="33" t="s">
        <v>22</v>
      </c>
    </row>
    <row r="22234" spans="1:11">
      <c r="A22234" s="30" t="s">
        <v>49183</v>
      </c>
      <c r="B22234" s="30" t="s">
        <v>49184</v>
      </c>
      <c r="C22234" s="30" t="s">
        <v>231</v>
      </c>
      <c r="D22234" s="30" t="s">
        <v>17</v>
      </c>
      <c r="E22234" s="30" t="s">
        <v>26</v>
      </c>
      <c r="F22234" s="30" t="s">
        <v>27</v>
      </c>
      <c r="G22234" s="30" t="s">
        <v>20</v>
      </c>
      <c r="H22234" s="32">
        <v>30</v>
      </c>
      <c r="I22234" s="30" t="s">
        <v>21</v>
      </c>
      <c r="J22234" s="41">
        <v>45698</v>
      </c>
      <c r="K22234" s="30" t="s">
        <v>22</v>
      </c>
    </row>
    <row r="22235" spans="1:11">
      <c r="A22235" s="33" t="s">
        <v>49185</v>
      </c>
      <c r="B22235" s="33" t="s">
        <v>49186</v>
      </c>
      <c r="C22235" s="33" t="s">
        <v>3089</v>
      </c>
      <c r="D22235" s="33" t="s">
        <v>17</v>
      </c>
      <c r="E22235" s="33" t="s">
        <v>31</v>
      </c>
      <c r="F22235" s="33" t="s">
        <v>32</v>
      </c>
      <c r="G22235" s="33" t="s">
        <v>158</v>
      </c>
      <c r="H22235" s="35">
        <v>100</v>
      </c>
      <c r="I22235" s="33" t="s">
        <v>51</v>
      </c>
      <c r="J22235" s="42">
        <v>45926</v>
      </c>
      <c r="K22235" s="33" t="s">
        <v>22</v>
      </c>
    </row>
    <row r="22236" spans="1:11">
      <c r="A22236" s="30" t="s">
        <v>49187</v>
      </c>
      <c r="B22236" s="30" t="s">
        <v>49188</v>
      </c>
      <c r="C22236" s="30" t="s">
        <v>4796</v>
      </c>
      <c r="D22236" s="30" t="s">
        <v>17</v>
      </c>
      <c r="E22236" s="30" t="s">
        <v>18</v>
      </c>
      <c r="F22236" s="30" t="s">
        <v>19</v>
      </c>
      <c r="G22236" s="30" t="s">
        <v>140</v>
      </c>
      <c r="H22236" s="32">
        <v>134</v>
      </c>
      <c r="I22236" s="30" t="s">
        <v>51</v>
      </c>
      <c r="J22236" s="41">
        <v>45957</v>
      </c>
      <c r="K22236" s="30" t="s">
        <v>22</v>
      </c>
    </row>
    <row r="22237" spans="1:11">
      <c r="A22237" s="33" t="s">
        <v>49189</v>
      </c>
      <c r="B22237" s="33" t="s">
        <v>49190</v>
      </c>
      <c r="C22237" s="33" t="s">
        <v>28811</v>
      </c>
      <c r="D22237" s="33" t="s">
        <v>17</v>
      </c>
      <c r="E22237" s="33" t="s">
        <v>18</v>
      </c>
      <c r="F22237" s="33" t="s">
        <v>19</v>
      </c>
      <c r="G22237" s="33" t="s">
        <v>112</v>
      </c>
      <c r="H22237" s="35">
        <v>0</v>
      </c>
      <c r="I22237" s="33" t="s">
        <v>21</v>
      </c>
      <c r="J22237" s="42">
        <v>45658</v>
      </c>
      <c r="K22237" s="33" t="s">
        <v>22</v>
      </c>
    </row>
    <row r="22238" spans="1:11">
      <c r="A22238" s="30" t="s">
        <v>49191</v>
      </c>
      <c r="B22238" s="30" t="s">
        <v>49192</v>
      </c>
      <c r="C22238" s="30" t="s">
        <v>49193</v>
      </c>
      <c r="D22238" s="30" t="s">
        <v>17</v>
      </c>
      <c r="E22238" s="30" t="s">
        <v>45</v>
      </c>
      <c r="F22238" s="30" t="s">
        <v>46</v>
      </c>
      <c r="G22238" s="30" t="s">
        <v>7780</v>
      </c>
      <c r="H22238" s="32">
        <v>60</v>
      </c>
      <c r="I22238" s="30" t="s">
        <v>51</v>
      </c>
      <c r="J22238" s="41">
        <v>45748</v>
      </c>
      <c r="K22238" s="30" t="s">
        <v>22</v>
      </c>
    </row>
    <row r="22239" spans="1:11">
      <c r="A22239" s="33" t="s">
        <v>49194</v>
      </c>
      <c r="B22239" s="33" t="s">
        <v>49195</v>
      </c>
      <c r="C22239" s="33" t="s">
        <v>31194</v>
      </c>
      <c r="D22239" s="33" t="s">
        <v>17</v>
      </c>
      <c r="E22239" s="33" t="s">
        <v>67</v>
      </c>
      <c r="F22239" s="33" t="s">
        <v>68</v>
      </c>
      <c r="G22239" s="33" t="s">
        <v>140</v>
      </c>
      <c r="H22239" s="35">
        <v>198</v>
      </c>
      <c r="I22239" s="33" t="s">
        <v>51</v>
      </c>
      <c r="J22239" s="42">
        <v>45839</v>
      </c>
      <c r="K22239" s="33" t="s">
        <v>22</v>
      </c>
    </row>
    <row r="22240" spans="1:11">
      <c r="A22240" s="30" t="s">
        <v>49196</v>
      </c>
      <c r="B22240" s="30" t="s">
        <v>49197</v>
      </c>
      <c r="C22240" s="30" t="s">
        <v>22614</v>
      </c>
      <c r="D22240" s="30" t="s">
        <v>17</v>
      </c>
      <c r="E22240" s="30" t="s">
        <v>67</v>
      </c>
      <c r="F22240" s="30" t="s">
        <v>68</v>
      </c>
      <c r="G22240" s="30" t="s">
        <v>140</v>
      </c>
      <c r="H22240" s="32">
        <v>590</v>
      </c>
      <c r="I22240" s="30" t="s">
        <v>51</v>
      </c>
      <c r="J22240" s="41">
        <v>45905</v>
      </c>
      <c r="K22240" s="30" t="s">
        <v>22</v>
      </c>
    </row>
    <row r="22241" spans="1:11">
      <c r="A22241" s="33" t="s">
        <v>49198</v>
      </c>
      <c r="B22241" s="33" t="s">
        <v>49199</v>
      </c>
      <c r="C22241" s="33" t="s">
        <v>2244</v>
      </c>
      <c r="D22241" s="33" t="s">
        <v>17</v>
      </c>
      <c r="E22241" s="33" t="s">
        <v>26</v>
      </c>
      <c r="F22241" s="33" t="s">
        <v>27</v>
      </c>
      <c r="G22241" s="33" t="s">
        <v>158</v>
      </c>
      <c r="H22241" s="35">
        <v>12</v>
      </c>
      <c r="I22241" s="33" t="s">
        <v>51</v>
      </c>
      <c r="J22241" s="42">
        <v>45818</v>
      </c>
      <c r="K22241" s="33" t="s">
        <v>22</v>
      </c>
    </row>
    <row r="22242" spans="1:11">
      <c r="A22242" s="30" t="s">
        <v>49200</v>
      </c>
      <c r="B22242" s="30" t="s">
        <v>49201</v>
      </c>
      <c r="C22242" s="30" t="s">
        <v>570</v>
      </c>
      <c r="D22242" s="30" t="s">
        <v>17</v>
      </c>
      <c r="E22242" s="30" t="s">
        <v>18</v>
      </c>
      <c r="F22242" s="30" t="s">
        <v>19</v>
      </c>
      <c r="G22242" s="30" t="s">
        <v>7780</v>
      </c>
      <c r="H22242" s="32">
        <v>122</v>
      </c>
      <c r="I22242" s="30" t="s">
        <v>51</v>
      </c>
      <c r="J22242" s="41">
        <v>45901</v>
      </c>
      <c r="K22242" s="30" t="s">
        <v>22</v>
      </c>
    </row>
    <row r="22243" spans="1:11">
      <c r="A22243" s="33" t="s">
        <v>49202</v>
      </c>
      <c r="B22243" s="33" t="s">
        <v>49203</v>
      </c>
      <c r="C22243" s="33" t="s">
        <v>43824</v>
      </c>
      <c r="D22243" s="33" t="s">
        <v>17</v>
      </c>
      <c r="E22243" s="33" t="s">
        <v>330</v>
      </c>
      <c r="F22243" s="33" t="s">
        <v>331</v>
      </c>
      <c r="G22243" s="33" t="s">
        <v>140</v>
      </c>
      <c r="H22243" s="35">
        <v>12</v>
      </c>
      <c r="I22243" s="33" t="s">
        <v>51</v>
      </c>
      <c r="J22243" s="42">
        <v>45743</v>
      </c>
      <c r="K22243" s="33" t="s">
        <v>22</v>
      </c>
    </row>
    <row r="22244" spans="1:11">
      <c r="A22244" s="30" t="s">
        <v>49204</v>
      </c>
      <c r="B22244" s="30" t="s">
        <v>49205</v>
      </c>
      <c r="C22244" s="30" t="s">
        <v>93</v>
      </c>
      <c r="D22244" s="30" t="s">
        <v>17</v>
      </c>
      <c r="E22244" s="30" t="s">
        <v>26</v>
      </c>
      <c r="F22244" s="30" t="s">
        <v>27</v>
      </c>
      <c r="G22244" s="30" t="s">
        <v>140</v>
      </c>
      <c r="H22244" s="32">
        <v>66</v>
      </c>
      <c r="I22244" s="30" t="s">
        <v>51</v>
      </c>
      <c r="J22244" s="41">
        <v>46008</v>
      </c>
      <c r="K22244" s="30" t="s">
        <v>22</v>
      </c>
    </row>
    <row r="22245" spans="1:11">
      <c r="A22245" s="33" t="s">
        <v>49206</v>
      </c>
      <c r="B22245" s="33" t="s">
        <v>49207</v>
      </c>
      <c r="C22245" s="33" t="s">
        <v>49208</v>
      </c>
      <c r="D22245" s="33" t="s">
        <v>17</v>
      </c>
      <c r="E22245" s="33" t="s">
        <v>31</v>
      </c>
      <c r="F22245" s="33" t="s">
        <v>32</v>
      </c>
      <c r="G22245" s="33" t="s">
        <v>140</v>
      </c>
      <c r="H22245" s="35">
        <v>300</v>
      </c>
      <c r="I22245" s="33" t="s">
        <v>51</v>
      </c>
      <c r="J22245" s="42">
        <v>46007</v>
      </c>
      <c r="K22245" s="33" t="s">
        <v>22</v>
      </c>
    </row>
    <row r="22246" spans="1:11">
      <c r="A22246" s="30" t="s">
        <v>49209</v>
      </c>
      <c r="B22246" s="30" t="s">
        <v>49210</v>
      </c>
      <c r="C22246" s="30" t="s">
        <v>21802</v>
      </c>
      <c r="D22246" s="30" t="s">
        <v>17</v>
      </c>
      <c r="E22246" s="30" t="s">
        <v>31</v>
      </c>
      <c r="F22246" s="30" t="s">
        <v>32</v>
      </c>
      <c r="G22246" s="30" t="s">
        <v>140</v>
      </c>
      <c r="H22246" s="32">
        <v>35</v>
      </c>
      <c r="I22246" s="30" t="s">
        <v>51</v>
      </c>
      <c r="J22246" s="41">
        <v>45782</v>
      </c>
      <c r="K22246" s="30" t="s">
        <v>22</v>
      </c>
    </row>
    <row r="22247" spans="1:11">
      <c r="A22247" s="33" t="s">
        <v>49211</v>
      </c>
      <c r="B22247" s="33" t="s">
        <v>49212</v>
      </c>
      <c r="C22247" s="33" t="s">
        <v>969</v>
      </c>
      <c r="D22247" s="33" t="s">
        <v>17</v>
      </c>
      <c r="E22247" s="33" t="s">
        <v>31</v>
      </c>
      <c r="F22247" s="33" t="s">
        <v>32</v>
      </c>
      <c r="G22247" s="33" t="s">
        <v>140</v>
      </c>
      <c r="H22247" s="35">
        <v>30</v>
      </c>
      <c r="I22247" s="33" t="s">
        <v>51</v>
      </c>
      <c r="J22247" s="42">
        <v>45988</v>
      </c>
      <c r="K22247" s="33" t="s">
        <v>22</v>
      </c>
    </row>
    <row r="22248" spans="1:11">
      <c r="A22248" s="30" t="s">
        <v>49213</v>
      </c>
      <c r="B22248" s="30" t="s">
        <v>49214</v>
      </c>
      <c r="C22248" s="30" t="s">
        <v>49215</v>
      </c>
      <c r="D22248" s="30" t="s">
        <v>17</v>
      </c>
      <c r="E22248" s="30" t="s">
        <v>26</v>
      </c>
      <c r="F22248" s="30" t="s">
        <v>27</v>
      </c>
      <c r="G22248" s="30" t="s">
        <v>140</v>
      </c>
      <c r="H22248" s="32">
        <v>86</v>
      </c>
      <c r="I22248" s="30" t="s">
        <v>51</v>
      </c>
      <c r="J22248" s="41">
        <v>45827</v>
      </c>
      <c r="K22248" s="30" t="s">
        <v>22</v>
      </c>
    </row>
    <row r="22249" spans="1:11">
      <c r="A22249" s="33" t="s">
        <v>49216</v>
      </c>
      <c r="B22249" s="33" t="s">
        <v>49217</v>
      </c>
      <c r="C22249" s="33" t="s">
        <v>25044</v>
      </c>
      <c r="D22249" s="33" t="s">
        <v>17</v>
      </c>
      <c r="E22249" s="33" t="s">
        <v>31</v>
      </c>
      <c r="F22249" s="33" t="s">
        <v>32</v>
      </c>
      <c r="G22249" s="33" t="s">
        <v>140</v>
      </c>
      <c r="H22249" s="35">
        <v>240</v>
      </c>
      <c r="I22249" s="33" t="s">
        <v>51</v>
      </c>
      <c r="J22249" s="42">
        <v>45971</v>
      </c>
      <c r="K22249" s="33" t="s">
        <v>22</v>
      </c>
    </row>
    <row r="22250" spans="1:11">
      <c r="A22250" s="30" t="s">
        <v>49218</v>
      </c>
      <c r="B22250" s="30" t="s">
        <v>49219</v>
      </c>
      <c r="C22250" s="30" t="s">
        <v>15467</v>
      </c>
      <c r="D22250" s="30" t="s">
        <v>17</v>
      </c>
      <c r="E22250" s="30" t="s">
        <v>45</v>
      </c>
      <c r="F22250" s="30" t="s">
        <v>46</v>
      </c>
      <c r="G22250" s="30" t="s">
        <v>140</v>
      </c>
      <c r="H22250" s="32">
        <v>312</v>
      </c>
      <c r="I22250" s="30" t="s">
        <v>51</v>
      </c>
      <c r="J22250" s="41">
        <v>45728</v>
      </c>
      <c r="K22250" s="30" t="s">
        <v>22</v>
      </c>
    </row>
    <row r="22251" spans="1:11">
      <c r="A22251" s="33" t="s">
        <v>49220</v>
      </c>
      <c r="B22251" s="33" t="s">
        <v>49221</v>
      </c>
      <c r="C22251" s="33" t="s">
        <v>4453</v>
      </c>
      <c r="D22251" s="33" t="s">
        <v>17</v>
      </c>
      <c r="E22251" s="33" t="s">
        <v>31</v>
      </c>
      <c r="F22251" s="33" t="s">
        <v>32</v>
      </c>
      <c r="G22251" s="33" t="s">
        <v>158</v>
      </c>
      <c r="H22251" s="35">
        <v>160</v>
      </c>
      <c r="I22251" s="33" t="s">
        <v>51</v>
      </c>
      <c r="J22251" s="42">
        <v>45881</v>
      </c>
      <c r="K22251" s="33" t="s">
        <v>22</v>
      </c>
    </row>
    <row r="22252" spans="1:11">
      <c r="A22252" s="30" t="s">
        <v>49222</v>
      </c>
      <c r="B22252" s="30" t="s">
        <v>49223</v>
      </c>
      <c r="C22252" s="30" t="s">
        <v>252</v>
      </c>
      <c r="D22252" s="30" t="s">
        <v>17</v>
      </c>
      <c r="E22252" s="30" t="s">
        <v>26</v>
      </c>
      <c r="F22252" s="30" t="s">
        <v>27</v>
      </c>
      <c r="G22252" s="30" t="s">
        <v>158</v>
      </c>
      <c r="H22252" s="32">
        <v>108</v>
      </c>
      <c r="I22252" s="30" t="s">
        <v>51</v>
      </c>
      <c r="J22252" s="41">
        <v>46002</v>
      </c>
      <c r="K22252" s="30" t="s">
        <v>22</v>
      </c>
    </row>
    <row r="22253" spans="1:11">
      <c r="A22253" s="33" t="s">
        <v>49224</v>
      </c>
      <c r="B22253" s="33" t="s">
        <v>49225</v>
      </c>
      <c r="C22253" s="33" t="s">
        <v>647</v>
      </c>
      <c r="D22253" s="33" t="s">
        <v>17</v>
      </c>
      <c r="E22253" s="33" t="s">
        <v>26</v>
      </c>
      <c r="F22253" s="33" t="s">
        <v>27</v>
      </c>
      <c r="G22253" s="33" t="s">
        <v>20</v>
      </c>
      <c r="H22253" s="35">
        <v>60</v>
      </c>
      <c r="I22253" s="33" t="s">
        <v>21</v>
      </c>
      <c r="J22253" s="42">
        <v>45841</v>
      </c>
      <c r="K22253" s="33" t="s">
        <v>22</v>
      </c>
    </row>
    <row r="22254" spans="1:11">
      <c r="A22254" s="30" t="s">
        <v>49226</v>
      </c>
      <c r="B22254" s="30" t="s">
        <v>49227</v>
      </c>
      <c r="C22254" s="30" t="s">
        <v>49228</v>
      </c>
      <c r="D22254" s="30" t="s">
        <v>17</v>
      </c>
      <c r="E22254" s="30" t="s">
        <v>26</v>
      </c>
      <c r="F22254" s="30" t="s">
        <v>27</v>
      </c>
      <c r="G22254" s="30" t="s">
        <v>7780</v>
      </c>
      <c r="H22254" s="32">
        <v>12</v>
      </c>
      <c r="I22254" s="30" t="s">
        <v>51</v>
      </c>
      <c r="J22254" s="41">
        <v>45901</v>
      </c>
      <c r="K22254" s="30" t="s">
        <v>22</v>
      </c>
    </row>
    <row r="22255" spans="1:11">
      <c r="A22255" s="33" t="s">
        <v>49229</v>
      </c>
      <c r="B22255" s="33" t="s">
        <v>49230</v>
      </c>
      <c r="C22255" s="33" t="s">
        <v>20619</v>
      </c>
      <c r="D22255" s="33" t="s">
        <v>17</v>
      </c>
      <c r="E22255" s="33" t="s">
        <v>26</v>
      </c>
      <c r="F22255" s="33" t="s">
        <v>27</v>
      </c>
      <c r="G22255" s="33" t="s">
        <v>140</v>
      </c>
      <c r="H22255" s="35">
        <v>32</v>
      </c>
      <c r="I22255" s="33" t="s">
        <v>51</v>
      </c>
      <c r="J22255" s="42">
        <v>45896</v>
      </c>
      <c r="K22255" s="33" t="s">
        <v>22</v>
      </c>
    </row>
    <row r="22256" spans="1:11">
      <c r="A22256" s="30" t="s">
        <v>49231</v>
      </c>
      <c r="B22256" s="30" t="s">
        <v>49232</v>
      </c>
      <c r="C22256" s="30" t="s">
        <v>3944</v>
      </c>
      <c r="D22256" s="30" t="s">
        <v>17</v>
      </c>
      <c r="E22256" s="30" t="s">
        <v>26</v>
      </c>
      <c r="F22256" s="30" t="s">
        <v>27</v>
      </c>
      <c r="G22256" s="30" t="s">
        <v>140</v>
      </c>
      <c r="H22256" s="32">
        <v>15</v>
      </c>
      <c r="I22256" s="30" t="s">
        <v>51</v>
      </c>
      <c r="J22256" s="41">
        <v>45743</v>
      </c>
      <c r="K22256" s="30" t="s">
        <v>22</v>
      </c>
    </row>
    <row r="22257" spans="1:11">
      <c r="A22257" s="33" t="s">
        <v>49233</v>
      </c>
      <c r="B22257" s="33" t="s">
        <v>49234</v>
      </c>
      <c r="C22257" s="33" t="s">
        <v>570</v>
      </c>
      <c r="D22257" s="33" t="s">
        <v>17</v>
      </c>
      <c r="E22257" s="33" t="s">
        <v>18</v>
      </c>
      <c r="F22257" s="33" t="s">
        <v>19</v>
      </c>
      <c r="G22257" s="33" t="s">
        <v>7780</v>
      </c>
      <c r="H22257" s="35">
        <v>402</v>
      </c>
      <c r="I22257" s="33" t="s">
        <v>51</v>
      </c>
      <c r="J22257" s="42">
        <v>45778</v>
      </c>
      <c r="K22257" s="33" t="s">
        <v>22</v>
      </c>
    </row>
    <row r="22258" spans="1:11">
      <c r="A22258" s="30" t="s">
        <v>49235</v>
      </c>
      <c r="B22258" s="30" t="s">
        <v>49236</v>
      </c>
      <c r="C22258" s="30" t="s">
        <v>1090</v>
      </c>
      <c r="D22258" s="30" t="s">
        <v>17</v>
      </c>
      <c r="E22258" s="30" t="s">
        <v>45</v>
      </c>
      <c r="F22258" s="30" t="s">
        <v>46</v>
      </c>
      <c r="G22258" s="30" t="s">
        <v>140</v>
      </c>
      <c r="H22258" s="32">
        <v>298</v>
      </c>
      <c r="I22258" s="30" t="s">
        <v>51</v>
      </c>
      <c r="J22258" s="41">
        <v>45898</v>
      </c>
      <c r="K22258" s="30" t="s">
        <v>22</v>
      </c>
    </row>
    <row r="22259" spans="1:11">
      <c r="A22259" s="33" t="s">
        <v>49237</v>
      </c>
      <c r="B22259" s="33" t="s">
        <v>49238</v>
      </c>
      <c r="C22259" s="33" t="s">
        <v>75</v>
      </c>
      <c r="D22259" s="33" t="s">
        <v>17</v>
      </c>
      <c r="E22259" s="33" t="s">
        <v>18</v>
      </c>
      <c r="F22259" s="33" t="s">
        <v>19</v>
      </c>
      <c r="G22259" s="33" t="s">
        <v>140</v>
      </c>
      <c r="H22259" s="35">
        <v>60</v>
      </c>
      <c r="I22259" s="33" t="s">
        <v>51</v>
      </c>
      <c r="J22259" s="42">
        <v>45729</v>
      </c>
      <c r="K22259" s="33" t="s">
        <v>22</v>
      </c>
    </row>
    <row r="22260" spans="1:11">
      <c r="A22260" s="30" t="s">
        <v>49239</v>
      </c>
      <c r="B22260" s="30" t="s">
        <v>49240</v>
      </c>
      <c r="C22260" s="30" t="s">
        <v>3655</v>
      </c>
      <c r="D22260" s="30" t="s">
        <v>17</v>
      </c>
      <c r="E22260" s="30" t="s">
        <v>18</v>
      </c>
      <c r="F22260" s="30" t="s">
        <v>19</v>
      </c>
      <c r="G22260" s="30" t="s">
        <v>140</v>
      </c>
      <c r="H22260" s="32">
        <v>558</v>
      </c>
      <c r="I22260" s="30" t="s">
        <v>51</v>
      </c>
      <c r="J22260" s="41">
        <v>45960</v>
      </c>
      <c r="K22260" s="30" t="s">
        <v>22</v>
      </c>
    </row>
    <row r="22261" spans="1:11">
      <c r="A22261" s="33" t="s">
        <v>49241</v>
      </c>
      <c r="B22261" s="33" t="s">
        <v>49242</v>
      </c>
      <c r="C22261" s="33" t="s">
        <v>2264</v>
      </c>
      <c r="D22261" s="33" t="s">
        <v>17</v>
      </c>
      <c r="E22261" s="33" t="s">
        <v>26</v>
      </c>
      <c r="F22261" s="33" t="s">
        <v>27</v>
      </c>
      <c r="G22261" s="33" t="s">
        <v>112</v>
      </c>
      <c r="H22261" s="35">
        <v>0</v>
      </c>
      <c r="I22261" s="33" t="s">
        <v>21</v>
      </c>
      <c r="J22261" s="42">
        <v>45931</v>
      </c>
      <c r="K22261" s="33" t="s">
        <v>22</v>
      </c>
    </row>
    <row r="22262" spans="1:11">
      <c r="A22262" s="30" t="s">
        <v>49243</v>
      </c>
      <c r="B22262" s="30" t="s">
        <v>49244</v>
      </c>
      <c r="C22262" s="30" t="s">
        <v>96</v>
      </c>
      <c r="D22262" s="30" t="s">
        <v>17</v>
      </c>
      <c r="E22262" s="30" t="s">
        <v>18</v>
      </c>
      <c r="F22262" s="30" t="s">
        <v>19</v>
      </c>
      <c r="G22262" s="30" t="s">
        <v>140</v>
      </c>
      <c r="H22262" s="32">
        <v>680</v>
      </c>
      <c r="I22262" s="30" t="s">
        <v>51</v>
      </c>
      <c r="J22262" s="41">
        <v>45929</v>
      </c>
      <c r="K22262" s="30" t="s">
        <v>22</v>
      </c>
    </row>
    <row r="22263" spans="1:11">
      <c r="A22263" s="33" t="s">
        <v>49245</v>
      </c>
      <c r="B22263" s="33" t="s">
        <v>49246</v>
      </c>
      <c r="C22263" s="33" t="s">
        <v>8931</v>
      </c>
      <c r="D22263" s="33" t="s">
        <v>17</v>
      </c>
      <c r="E22263" s="33" t="s">
        <v>26</v>
      </c>
      <c r="F22263" s="33" t="s">
        <v>27</v>
      </c>
      <c r="G22263" s="33" t="s">
        <v>140</v>
      </c>
      <c r="H22263" s="35">
        <v>18</v>
      </c>
      <c r="I22263" s="33" t="s">
        <v>51</v>
      </c>
      <c r="J22263" s="42">
        <v>46014</v>
      </c>
      <c r="K22263" s="33" t="s">
        <v>22</v>
      </c>
    </row>
    <row r="22264" spans="1:11">
      <c r="A22264" s="30" t="s">
        <v>49247</v>
      </c>
      <c r="B22264" s="30" t="s">
        <v>49248</v>
      </c>
      <c r="C22264" s="30" t="s">
        <v>718</v>
      </c>
      <c r="D22264" s="30" t="s">
        <v>17</v>
      </c>
      <c r="E22264" s="30" t="s">
        <v>31</v>
      </c>
      <c r="F22264" s="30" t="s">
        <v>32</v>
      </c>
      <c r="G22264" s="30" t="s">
        <v>140</v>
      </c>
      <c r="H22264" s="32">
        <v>90</v>
      </c>
      <c r="I22264" s="30" t="s">
        <v>51</v>
      </c>
      <c r="J22264" s="41">
        <v>45840</v>
      </c>
      <c r="K22264" s="30" t="s">
        <v>22</v>
      </c>
    </row>
    <row r="22265" spans="1:11">
      <c r="A22265" s="33" t="s">
        <v>49249</v>
      </c>
      <c r="B22265" s="33" t="s">
        <v>49250</v>
      </c>
      <c r="C22265" s="33" t="s">
        <v>3407</v>
      </c>
      <c r="D22265" s="33" t="s">
        <v>17</v>
      </c>
      <c r="E22265" s="33" t="s">
        <v>31</v>
      </c>
      <c r="F22265" s="33" t="s">
        <v>32</v>
      </c>
      <c r="G22265" s="33" t="s">
        <v>158</v>
      </c>
      <c r="H22265" s="35">
        <v>15</v>
      </c>
      <c r="I22265" s="33" t="s">
        <v>51</v>
      </c>
      <c r="J22265" s="42">
        <v>45994</v>
      </c>
      <c r="K22265" s="33" t="s">
        <v>22</v>
      </c>
    </row>
    <row r="22266" spans="1:11">
      <c r="A22266" s="30" t="s">
        <v>49251</v>
      </c>
      <c r="B22266" s="30" t="s">
        <v>49252</v>
      </c>
      <c r="C22266" s="30" t="s">
        <v>39233</v>
      </c>
      <c r="D22266" s="30" t="s">
        <v>17</v>
      </c>
      <c r="E22266" s="30" t="s">
        <v>18</v>
      </c>
      <c r="F22266" s="30" t="s">
        <v>19</v>
      </c>
      <c r="G22266" s="30" t="s">
        <v>7780</v>
      </c>
      <c r="H22266" s="32">
        <v>412</v>
      </c>
      <c r="I22266" s="30" t="s">
        <v>51</v>
      </c>
      <c r="J22266" s="41">
        <v>45981</v>
      </c>
      <c r="K22266" s="30" t="s">
        <v>22</v>
      </c>
    </row>
    <row r="22267" spans="1:11">
      <c r="A22267" s="33" t="s">
        <v>49253</v>
      </c>
      <c r="B22267" s="33" t="s">
        <v>49254</v>
      </c>
      <c r="C22267" s="33" t="s">
        <v>31108</v>
      </c>
      <c r="D22267" s="33" t="s">
        <v>17</v>
      </c>
      <c r="E22267" s="33" t="s">
        <v>18</v>
      </c>
      <c r="F22267" s="33" t="s">
        <v>19</v>
      </c>
      <c r="G22267" s="33" t="s">
        <v>140</v>
      </c>
      <c r="H22267" s="35">
        <v>360</v>
      </c>
      <c r="I22267" s="33" t="s">
        <v>51</v>
      </c>
      <c r="J22267" s="42">
        <v>45702</v>
      </c>
      <c r="K22267" s="33" t="s">
        <v>22</v>
      </c>
    </row>
    <row r="22268" spans="1:11">
      <c r="A22268" s="30" t="s">
        <v>49255</v>
      </c>
      <c r="B22268" s="30" t="s">
        <v>49256</v>
      </c>
      <c r="C22268" s="30" t="s">
        <v>10646</v>
      </c>
      <c r="D22268" s="30" t="s">
        <v>17</v>
      </c>
      <c r="E22268" s="30" t="s">
        <v>26</v>
      </c>
      <c r="F22268" s="30" t="s">
        <v>27</v>
      </c>
      <c r="G22268" s="30" t="s">
        <v>140</v>
      </c>
      <c r="H22268" s="32">
        <v>24</v>
      </c>
      <c r="I22268" s="30" t="s">
        <v>51</v>
      </c>
      <c r="J22268" s="41">
        <v>46013</v>
      </c>
      <c r="K22268" s="30" t="s">
        <v>22</v>
      </c>
    </row>
    <row r="22269" spans="1:11">
      <c r="A22269" s="33" t="s">
        <v>49257</v>
      </c>
      <c r="B22269" s="33" t="s">
        <v>49258</v>
      </c>
      <c r="C22269" s="33" t="s">
        <v>644</v>
      </c>
      <c r="D22269" s="33" t="s">
        <v>17</v>
      </c>
      <c r="E22269" s="33" t="s">
        <v>67</v>
      </c>
      <c r="F22269" s="33" t="s">
        <v>68</v>
      </c>
      <c r="G22269" s="33" t="s">
        <v>140</v>
      </c>
      <c r="H22269" s="35">
        <v>312</v>
      </c>
      <c r="I22269" s="33" t="s">
        <v>51</v>
      </c>
      <c r="J22269" s="42">
        <v>45880</v>
      </c>
      <c r="K22269" s="33" t="s">
        <v>22</v>
      </c>
    </row>
    <row r="22270" spans="1:11">
      <c r="A22270" s="30" t="s">
        <v>49259</v>
      </c>
      <c r="B22270" s="30" t="s">
        <v>49260</v>
      </c>
      <c r="C22270" s="30" t="s">
        <v>18291</v>
      </c>
      <c r="D22270" s="30" t="s">
        <v>17</v>
      </c>
      <c r="E22270" s="30" t="s">
        <v>31</v>
      </c>
      <c r="F22270" s="30" t="s">
        <v>32</v>
      </c>
      <c r="G22270" s="30" t="s">
        <v>158</v>
      </c>
      <c r="H22270" s="32">
        <v>85</v>
      </c>
      <c r="I22270" s="30" t="s">
        <v>51</v>
      </c>
      <c r="J22270" s="41">
        <v>45714</v>
      </c>
      <c r="K22270" s="30" t="s">
        <v>22</v>
      </c>
    </row>
    <row r="22271" spans="1:11">
      <c r="A22271" s="33" t="s">
        <v>49261</v>
      </c>
      <c r="B22271" s="33" t="s">
        <v>49262</v>
      </c>
      <c r="C22271" s="33" t="s">
        <v>49263</v>
      </c>
      <c r="D22271" s="33" t="s">
        <v>17</v>
      </c>
      <c r="E22271" s="33" t="s">
        <v>67</v>
      </c>
      <c r="F22271" s="33" t="s">
        <v>68</v>
      </c>
      <c r="G22271" s="33" t="s">
        <v>158</v>
      </c>
      <c r="H22271" s="35">
        <v>55</v>
      </c>
      <c r="I22271" s="33" t="s">
        <v>51</v>
      </c>
      <c r="J22271" s="42">
        <v>45723</v>
      </c>
      <c r="K22271" s="33" t="s">
        <v>22</v>
      </c>
    </row>
    <row r="22272" spans="1:11">
      <c r="A22272" s="30" t="s">
        <v>49264</v>
      </c>
      <c r="B22272" s="30" t="s">
        <v>49265</v>
      </c>
      <c r="C22272" s="30" t="s">
        <v>374</v>
      </c>
      <c r="D22272" s="30" t="s">
        <v>17</v>
      </c>
      <c r="E22272" s="30" t="s">
        <v>26</v>
      </c>
      <c r="F22272" s="30" t="s">
        <v>27</v>
      </c>
      <c r="G22272" s="30" t="s">
        <v>20</v>
      </c>
      <c r="H22272" s="32">
        <v>160</v>
      </c>
      <c r="I22272" s="30" t="s">
        <v>21</v>
      </c>
      <c r="J22272" s="41">
        <v>45692</v>
      </c>
      <c r="K22272" s="30" t="s">
        <v>22</v>
      </c>
    </row>
    <row r="22273" spans="1:11">
      <c r="A22273" s="33" t="s">
        <v>49266</v>
      </c>
      <c r="B22273" s="33" t="s">
        <v>49267</v>
      </c>
      <c r="C22273" s="33" t="s">
        <v>7649</v>
      </c>
      <c r="D22273" s="33" t="s">
        <v>17</v>
      </c>
      <c r="E22273" s="33" t="s">
        <v>18</v>
      </c>
      <c r="F22273" s="33" t="s">
        <v>19</v>
      </c>
      <c r="G22273" s="33" t="s">
        <v>158</v>
      </c>
      <c r="H22273" s="35">
        <v>80</v>
      </c>
      <c r="I22273" s="33" t="s">
        <v>21</v>
      </c>
      <c r="J22273" s="42">
        <v>45672</v>
      </c>
      <c r="K22273" s="33" t="s">
        <v>22</v>
      </c>
    </row>
    <row r="22274" spans="1:11">
      <c r="A22274" s="30" t="s">
        <v>49268</v>
      </c>
      <c r="B22274" s="30" t="s">
        <v>49269</v>
      </c>
      <c r="C22274" s="30" t="s">
        <v>3243</v>
      </c>
      <c r="D22274" s="30" t="s">
        <v>17</v>
      </c>
      <c r="E22274" s="30" t="s">
        <v>26</v>
      </c>
      <c r="F22274" s="30" t="s">
        <v>27</v>
      </c>
      <c r="G22274" s="30" t="s">
        <v>140</v>
      </c>
      <c r="H22274" s="32">
        <v>102</v>
      </c>
      <c r="I22274" s="30" t="s">
        <v>51</v>
      </c>
      <c r="J22274" s="41">
        <v>45798</v>
      </c>
      <c r="K22274" s="30" t="s">
        <v>22</v>
      </c>
    </row>
    <row r="22275" spans="1:11">
      <c r="A22275" s="33" t="s">
        <v>49270</v>
      </c>
      <c r="B22275" s="33" t="s">
        <v>49271</v>
      </c>
      <c r="C22275" s="33" t="s">
        <v>49272</v>
      </c>
      <c r="D22275" s="33" t="s">
        <v>17</v>
      </c>
      <c r="E22275" s="33" t="s">
        <v>26</v>
      </c>
      <c r="F22275" s="33" t="s">
        <v>27</v>
      </c>
      <c r="G22275" s="33" t="s">
        <v>140</v>
      </c>
      <c r="H22275" s="35">
        <v>15</v>
      </c>
      <c r="I22275" s="33" t="s">
        <v>51</v>
      </c>
      <c r="J22275" s="42">
        <v>45916</v>
      </c>
      <c r="K22275" s="33" t="s">
        <v>22</v>
      </c>
    </row>
    <row r="22276" spans="1:11">
      <c r="A22276" s="30" t="s">
        <v>49273</v>
      </c>
      <c r="B22276" s="30" t="s">
        <v>49274</v>
      </c>
      <c r="C22276" s="30" t="s">
        <v>136</v>
      </c>
      <c r="D22276" s="30" t="s">
        <v>17</v>
      </c>
      <c r="E22276" s="30" t="s">
        <v>18</v>
      </c>
      <c r="F22276" s="30" t="s">
        <v>19</v>
      </c>
      <c r="G22276" s="30" t="s">
        <v>140</v>
      </c>
      <c r="H22276" s="32">
        <v>7140</v>
      </c>
      <c r="I22276" s="30" t="s">
        <v>51</v>
      </c>
      <c r="J22276" s="41">
        <v>45992</v>
      </c>
      <c r="K22276" s="30" t="s">
        <v>22</v>
      </c>
    </row>
    <row r="22277" spans="1:11">
      <c r="A22277" s="33" t="s">
        <v>49275</v>
      </c>
      <c r="B22277" s="33" t="s">
        <v>49276</v>
      </c>
      <c r="C22277" s="33" t="s">
        <v>2753</v>
      </c>
      <c r="D22277" s="33" t="s">
        <v>17</v>
      </c>
      <c r="E22277" s="33" t="s">
        <v>26</v>
      </c>
      <c r="F22277" s="33" t="s">
        <v>27</v>
      </c>
      <c r="G22277" s="33" t="s">
        <v>140</v>
      </c>
      <c r="H22277" s="35">
        <v>90</v>
      </c>
      <c r="I22277" s="33" t="s">
        <v>51</v>
      </c>
      <c r="J22277" s="42">
        <v>45734</v>
      </c>
      <c r="K22277" s="33" t="s">
        <v>22</v>
      </c>
    </row>
    <row r="22278" spans="1:11">
      <c r="A22278" s="30" t="s">
        <v>49277</v>
      </c>
      <c r="B22278" s="30" t="s">
        <v>49278</v>
      </c>
      <c r="C22278" s="30" t="s">
        <v>379</v>
      </c>
      <c r="D22278" s="30" t="s">
        <v>17</v>
      </c>
      <c r="E22278" s="30" t="s">
        <v>31</v>
      </c>
      <c r="F22278" s="30" t="s">
        <v>32</v>
      </c>
      <c r="G22278" s="30" t="s">
        <v>140</v>
      </c>
      <c r="H22278" s="32">
        <v>24</v>
      </c>
      <c r="I22278" s="30" t="s">
        <v>51</v>
      </c>
      <c r="J22278" s="41">
        <v>45874</v>
      </c>
      <c r="K22278" s="30" t="s">
        <v>22</v>
      </c>
    </row>
    <row r="22279" spans="1:11">
      <c r="A22279" s="33" t="s">
        <v>49279</v>
      </c>
      <c r="B22279" s="33" t="s">
        <v>49280</v>
      </c>
      <c r="C22279" s="33" t="s">
        <v>25</v>
      </c>
      <c r="D22279" s="33" t="s">
        <v>17</v>
      </c>
      <c r="E22279" s="33" t="s">
        <v>26</v>
      </c>
      <c r="F22279" s="33" t="s">
        <v>27</v>
      </c>
      <c r="G22279" s="33" t="s">
        <v>140</v>
      </c>
      <c r="H22279" s="35">
        <v>6</v>
      </c>
      <c r="I22279" s="33" t="s">
        <v>51</v>
      </c>
      <c r="J22279" s="42">
        <v>45874</v>
      </c>
      <c r="K22279" s="33" t="s">
        <v>22</v>
      </c>
    </row>
    <row r="22280" spans="1:11">
      <c r="A22280" s="30" t="s">
        <v>49281</v>
      </c>
      <c r="B22280" s="30" t="s">
        <v>49282</v>
      </c>
      <c r="C22280" s="30" t="s">
        <v>44</v>
      </c>
      <c r="D22280" s="30" t="s">
        <v>17</v>
      </c>
      <c r="E22280" s="30" t="s">
        <v>26</v>
      </c>
      <c r="F22280" s="30" t="s">
        <v>27</v>
      </c>
      <c r="G22280" s="30" t="s">
        <v>20</v>
      </c>
      <c r="H22280" s="32">
        <v>72</v>
      </c>
      <c r="I22280" s="30" t="s">
        <v>21</v>
      </c>
      <c r="J22280" s="41">
        <v>45720</v>
      </c>
      <c r="K22280" s="30" t="s">
        <v>22</v>
      </c>
    </row>
    <row r="22281" spans="1:11">
      <c r="A22281" s="33" t="s">
        <v>49283</v>
      </c>
      <c r="B22281" s="33" t="s">
        <v>49284</v>
      </c>
      <c r="C22281" s="33" t="s">
        <v>49285</v>
      </c>
      <c r="D22281" s="33" t="s">
        <v>17</v>
      </c>
      <c r="E22281" s="33" t="s">
        <v>26</v>
      </c>
      <c r="F22281" s="33" t="s">
        <v>27</v>
      </c>
      <c r="G22281" s="33" t="s">
        <v>106</v>
      </c>
      <c r="H22281" s="35">
        <v>3</v>
      </c>
      <c r="I22281" s="33" t="s">
        <v>21</v>
      </c>
      <c r="J22281" s="42">
        <v>45915</v>
      </c>
      <c r="K22281" s="33" t="s">
        <v>22</v>
      </c>
    </row>
    <row r="22282" spans="1:11">
      <c r="A22282" s="30" t="s">
        <v>49286</v>
      </c>
      <c r="B22282" s="30" t="s">
        <v>49287</v>
      </c>
      <c r="C22282" s="30" t="s">
        <v>787</v>
      </c>
      <c r="D22282" s="30" t="s">
        <v>17</v>
      </c>
      <c r="E22282" s="30" t="s">
        <v>18</v>
      </c>
      <c r="F22282" s="30" t="s">
        <v>19</v>
      </c>
      <c r="G22282" s="30" t="s">
        <v>140</v>
      </c>
      <c r="H22282" s="32">
        <v>383</v>
      </c>
      <c r="I22282" s="30" t="s">
        <v>51</v>
      </c>
      <c r="J22282" s="41">
        <v>45736</v>
      </c>
      <c r="K22282" s="30" t="s">
        <v>22</v>
      </c>
    </row>
    <row r="22283" spans="1:11">
      <c r="A22283" s="33" t="s">
        <v>49288</v>
      </c>
      <c r="B22283" s="33" t="s">
        <v>49289</v>
      </c>
      <c r="C22283" s="33" t="s">
        <v>136</v>
      </c>
      <c r="D22283" s="33" t="s">
        <v>17</v>
      </c>
      <c r="E22283" s="33" t="s">
        <v>18</v>
      </c>
      <c r="F22283" s="33" t="s">
        <v>19</v>
      </c>
      <c r="G22283" s="33" t="s">
        <v>140</v>
      </c>
      <c r="H22283" s="35">
        <v>1630</v>
      </c>
      <c r="I22283" s="33" t="s">
        <v>51</v>
      </c>
      <c r="J22283" s="42">
        <v>45952</v>
      </c>
      <c r="K22283" s="33" t="s">
        <v>22</v>
      </c>
    </row>
    <row r="22284" spans="1:11">
      <c r="A22284" s="30" t="s">
        <v>49290</v>
      </c>
      <c r="B22284" s="30" t="s">
        <v>49291</v>
      </c>
      <c r="C22284" s="30" t="s">
        <v>20619</v>
      </c>
      <c r="D22284" s="30" t="s">
        <v>17</v>
      </c>
      <c r="E22284" s="30" t="s">
        <v>26</v>
      </c>
      <c r="F22284" s="30" t="s">
        <v>27</v>
      </c>
      <c r="G22284" s="30" t="s">
        <v>20</v>
      </c>
      <c r="H22284" s="32">
        <v>24</v>
      </c>
      <c r="I22284" s="30" t="s">
        <v>21</v>
      </c>
      <c r="J22284" s="41">
        <v>45809</v>
      </c>
      <c r="K22284" s="30" t="s">
        <v>22</v>
      </c>
    </row>
    <row r="22285" spans="1:11">
      <c r="A22285" s="33" t="s">
        <v>49292</v>
      </c>
      <c r="B22285" s="33" t="s">
        <v>49293</v>
      </c>
      <c r="C22285" s="33" t="s">
        <v>49294</v>
      </c>
      <c r="D22285" s="33" t="s">
        <v>17</v>
      </c>
      <c r="E22285" s="33" t="s">
        <v>18</v>
      </c>
      <c r="F22285" s="33" t="s">
        <v>19</v>
      </c>
      <c r="G22285" s="33" t="s">
        <v>140</v>
      </c>
      <c r="H22285" s="35">
        <v>260</v>
      </c>
      <c r="I22285" s="33" t="s">
        <v>51</v>
      </c>
      <c r="J22285" s="42">
        <v>45944</v>
      </c>
      <c r="K22285" s="33" t="s">
        <v>22</v>
      </c>
    </row>
    <row r="22286" spans="1:11">
      <c r="A22286" s="30" t="s">
        <v>49295</v>
      </c>
      <c r="B22286" s="30" t="s">
        <v>49296</v>
      </c>
      <c r="C22286" s="30" t="s">
        <v>969</v>
      </c>
      <c r="D22286" s="30" t="s">
        <v>17</v>
      </c>
      <c r="E22286" s="30" t="s">
        <v>67</v>
      </c>
      <c r="F22286" s="30" t="s">
        <v>68</v>
      </c>
      <c r="G22286" s="30" t="s">
        <v>140</v>
      </c>
      <c r="H22286" s="32">
        <v>451</v>
      </c>
      <c r="I22286" s="30" t="s">
        <v>51</v>
      </c>
      <c r="J22286" s="41">
        <v>45819</v>
      </c>
      <c r="K22286" s="30" t="s">
        <v>22</v>
      </c>
    </row>
    <row r="22287" spans="1:11">
      <c r="A22287" s="33" t="s">
        <v>49297</v>
      </c>
      <c r="B22287" s="33" t="s">
        <v>49298</v>
      </c>
      <c r="C22287" s="33" t="s">
        <v>535</v>
      </c>
      <c r="D22287" s="33" t="s">
        <v>17</v>
      </c>
      <c r="E22287" s="33" t="s">
        <v>31</v>
      </c>
      <c r="F22287" s="33" t="s">
        <v>32</v>
      </c>
      <c r="G22287" s="33" t="s">
        <v>158</v>
      </c>
      <c r="H22287" s="35">
        <v>60</v>
      </c>
      <c r="I22287" s="33" t="s">
        <v>21</v>
      </c>
      <c r="J22287" s="42">
        <v>45749</v>
      </c>
      <c r="K22287" s="33" t="s">
        <v>22</v>
      </c>
    </row>
    <row r="22288" spans="1:11">
      <c r="A22288" s="30" t="s">
        <v>49299</v>
      </c>
      <c r="B22288" s="30" t="s">
        <v>49300</v>
      </c>
      <c r="C22288" s="30" t="s">
        <v>20321</v>
      </c>
      <c r="D22288" s="30" t="s">
        <v>17</v>
      </c>
      <c r="E22288" s="30" t="s">
        <v>26</v>
      </c>
      <c r="F22288" s="30" t="s">
        <v>27</v>
      </c>
      <c r="G22288" s="30" t="s">
        <v>20</v>
      </c>
      <c r="H22288" s="32">
        <v>26</v>
      </c>
      <c r="I22288" s="30" t="s">
        <v>21</v>
      </c>
      <c r="J22288" s="41">
        <v>45849</v>
      </c>
      <c r="K22288" s="30" t="s">
        <v>22</v>
      </c>
    </row>
    <row r="22289" spans="1:11">
      <c r="A22289" s="33" t="s">
        <v>49301</v>
      </c>
      <c r="B22289" s="33" t="s">
        <v>49302</v>
      </c>
      <c r="C22289" s="33" t="s">
        <v>2807</v>
      </c>
      <c r="D22289" s="33" t="s">
        <v>17</v>
      </c>
      <c r="E22289" s="33" t="s">
        <v>26</v>
      </c>
      <c r="F22289" s="33" t="s">
        <v>27</v>
      </c>
      <c r="G22289" s="33" t="s">
        <v>20</v>
      </c>
      <c r="H22289" s="35">
        <v>28</v>
      </c>
      <c r="I22289" s="33" t="s">
        <v>21</v>
      </c>
      <c r="J22289" s="42">
        <v>45804</v>
      </c>
      <c r="K22289" s="33" t="s">
        <v>22</v>
      </c>
    </row>
    <row r="22290" spans="1:11">
      <c r="A22290" s="30" t="s">
        <v>49303</v>
      </c>
      <c r="B22290" s="30" t="s">
        <v>49304</v>
      </c>
      <c r="C22290" s="30" t="s">
        <v>2017</v>
      </c>
      <c r="D22290" s="30" t="s">
        <v>17</v>
      </c>
      <c r="E22290" s="30" t="s">
        <v>18</v>
      </c>
      <c r="F22290" s="30" t="s">
        <v>19</v>
      </c>
      <c r="G22290" s="30" t="s">
        <v>140</v>
      </c>
      <c r="H22290" s="32">
        <v>260</v>
      </c>
      <c r="I22290" s="30" t="s">
        <v>51</v>
      </c>
      <c r="J22290" s="41">
        <v>45990</v>
      </c>
      <c r="K22290" s="30" t="s">
        <v>22</v>
      </c>
    </row>
    <row r="22291" spans="1:11">
      <c r="A22291" s="33" t="s">
        <v>49305</v>
      </c>
      <c r="B22291" s="33" t="s">
        <v>49306</v>
      </c>
      <c r="C22291" s="33" t="s">
        <v>252</v>
      </c>
      <c r="D22291" s="33" t="s">
        <v>17</v>
      </c>
      <c r="E22291" s="33" t="s">
        <v>67</v>
      </c>
      <c r="F22291" s="33" t="s">
        <v>68</v>
      </c>
      <c r="G22291" s="33" t="s">
        <v>140</v>
      </c>
      <c r="H22291" s="35">
        <v>280</v>
      </c>
      <c r="I22291" s="33" t="s">
        <v>51</v>
      </c>
      <c r="J22291" s="42">
        <v>45674</v>
      </c>
      <c r="K22291" s="33" t="s">
        <v>22</v>
      </c>
    </row>
    <row r="22292" spans="1:11">
      <c r="A22292" s="30" t="s">
        <v>49307</v>
      </c>
      <c r="B22292" s="30" t="s">
        <v>49308</v>
      </c>
      <c r="C22292" s="30" t="s">
        <v>49309</v>
      </c>
      <c r="D22292" s="30" t="s">
        <v>17</v>
      </c>
      <c r="E22292" s="30" t="s">
        <v>26</v>
      </c>
      <c r="F22292" s="30" t="s">
        <v>27</v>
      </c>
      <c r="G22292" s="30" t="s">
        <v>20</v>
      </c>
      <c r="H22292" s="32">
        <v>40</v>
      </c>
      <c r="I22292" s="30" t="s">
        <v>21</v>
      </c>
      <c r="J22292" s="41">
        <v>45678</v>
      </c>
      <c r="K22292" s="30" t="s">
        <v>22</v>
      </c>
    </row>
    <row r="22293" spans="1:11">
      <c r="A22293" s="33" t="s">
        <v>49310</v>
      </c>
      <c r="B22293" s="33" t="s">
        <v>49311</v>
      </c>
      <c r="C22293" s="33" t="s">
        <v>27217</v>
      </c>
      <c r="D22293" s="33" t="s">
        <v>17</v>
      </c>
      <c r="E22293" s="33" t="s">
        <v>67</v>
      </c>
      <c r="F22293" s="33" t="s">
        <v>68</v>
      </c>
      <c r="G22293" s="33" t="s">
        <v>7780</v>
      </c>
      <c r="H22293" s="35">
        <v>16</v>
      </c>
      <c r="I22293" s="33" t="s">
        <v>51</v>
      </c>
      <c r="J22293" s="42">
        <v>45717</v>
      </c>
      <c r="K22293" s="33" t="s">
        <v>22</v>
      </c>
    </row>
    <row r="22294" spans="1:11">
      <c r="A22294" s="30" t="s">
        <v>49312</v>
      </c>
      <c r="B22294" s="30" t="s">
        <v>49313</v>
      </c>
      <c r="C22294" s="30" t="s">
        <v>17285</v>
      </c>
      <c r="D22294" s="30" t="s">
        <v>17</v>
      </c>
      <c r="E22294" s="30" t="s">
        <v>31</v>
      </c>
      <c r="F22294" s="30" t="s">
        <v>32</v>
      </c>
      <c r="G22294" s="30" t="s">
        <v>112</v>
      </c>
      <c r="H22294" s="32">
        <v>0</v>
      </c>
      <c r="I22294" s="30" t="s">
        <v>21</v>
      </c>
      <c r="J22294" s="41">
        <v>45870</v>
      </c>
      <c r="K22294" s="30" t="s">
        <v>22</v>
      </c>
    </row>
    <row r="22295" spans="1:11">
      <c r="A22295" s="33" t="s">
        <v>49314</v>
      </c>
      <c r="B22295" s="33" t="s">
        <v>49315</v>
      </c>
      <c r="C22295" s="33" t="s">
        <v>8987</v>
      </c>
      <c r="D22295" s="33" t="s">
        <v>17</v>
      </c>
      <c r="E22295" s="33" t="s">
        <v>31</v>
      </c>
      <c r="F22295" s="33" t="s">
        <v>32</v>
      </c>
      <c r="G22295" s="33" t="s">
        <v>140</v>
      </c>
      <c r="H22295" s="35">
        <v>24</v>
      </c>
      <c r="I22295" s="33" t="s">
        <v>51</v>
      </c>
      <c r="J22295" s="42">
        <v>45943</v>
      </c>
      <c r="K22295" s="33" t="s">
        <v>22</v>
      </c>
    </row>
    <row r="22296" spans="1:11">
      <c r="A22296" s="30" t="s">
        <v>49316</v>
      </c>
      <c r="B22296" s="30" t="s">
        <v>49317</v>
      </c>
      <c r="C22296" s="30" t="s">
        <v>27046</v>
      </c>
      <c r="D22296" s="30" t="s">
        <v>17</v>
      </c>
      <c r="E22296" s="30" t="s">
        <v>26</v>
      </c>
      <c r="F22296" s="30" t="s">
        <v>27</v>
      </c>
      <c r="G22296" s="30" t="s">
        <v>140</v>
      </c>
      <c r="H22296" s="32">
        <v>24</v>
      </c>
      <c r="I22296" s="30" t="s">
        <v>51</v>
      </c>
      <c r="J22296" s="41">
        <v>45979</v>
      </c>
      <c r="K22296" s="30" t="s">
        <v>22</v>
      </c>
    </row>
    <row r="22297" spans="1:11">
      <c r="A22297" s="33" t="s">
        <v>49318</v>
      </c>
      <c r="B22297" s="33" t="s">
        <v>49319</v>
      </c>
      <c r="C22297" s="33" t="s">
        <v>49320</v>
      </c>
      <c r="D22297" s="33" t="s">
        <v>17</v>
      </c>
      <c r="E22297" s="33" t="s">
        <v>31</v>
      </c>
      <c r="F22297" s="33" t="s">
        <v>32</v>
      </c>
      <c r="G22297" s="33" t="s">
        <v>140</v>
      </c>
      <c r="H22297" s="35">
        <v>91</v>
      </c>
      <c r="I22297" s="33" t="s">
        <v>51</v>
      </c>
      <c r="J22297" s="42">
        <v>45806</v>
      </c>
      <c r="K22297" s="33" t="s">
        <v>22</v>
      </c>
    </row>
    <row r="22298" spans="1:11">
      <c r="A22298" s="30" t="s">
        <v>49321</v>
      </c>
      <c r="B22298" s="30" t="s">
        <v>49322</v>
      </c>
      <c r="C22298" s="30" t="s">
        <v>34199</v>
      </c>
      <c r="D22298" s="30" t="s">
        <v>17</v>
      </c>
      <c r="E22298" s="30" t="s">
        <v>26</v>
      </c>
      <c r="F22298" s="30" t="s">
        <v>27</v>
      </c>
      <c r="G22298" s="30" t="s">
        <v>140</v>
      </c>
      <c r="H22298" s="32">
        <v>40</v>
      </c>
      <c r="I22298" s="30" t="s">
        <v>51</v>
      </c>
      <c r="J22298" s="41">
        <v>45839</v>
      </c>
      <c r="K22298" s="30" t="s">
        <v>22</v>
      </c>
    </row>
    <row r="22299" spans="1:11">
      <c r="A22299" s="33" t="s">
        <v>49323</v>
      </c>
      <c r="B22299" s="33" t="s">
        <v>49324</v>
      </c>
      <c r="C22299" s="33" t="s">
        <v>231</v>
      </c>
      <c r="D22299" s="33" t="s">
        <v>17</v>
      </c>
      <c r="E22299" s="33" t="s">
        <v>26</v>
      </c>
      <c r="F22299" s="33" t="s">
        <v>27</v>
      </c>
      <c r="G22299" s="33" t="s">
        <v>20</v>
      </c>
      <c r="H22299" s="35">
        <v>20</v>
      </c>
      <c r="I22299" s="33" t="s">
        <v>21</v>
      </c>
      <c r="J22299" s="42">
        <v>45776</v>
      </c>
      <c r="K22299" s="33" t="s">
        <v>22</v>
      </c>
    </row>
    <row r="22300" spans="1:11">
      <c r="A22300" s="30" t="s">
        <v>49325</v>
      </c>
      <c r="B22300" s="30" t="s">
        <v>49326</v>
      </c>
      <c r="C22300" s="30" t="s">
        <v>39563</v>
      </c>
      <c r="D22300" s="30" t="s">
        <v>17</v>
      </c>
      <c r="E22300" s="30" t="s">
        <v>26</v>
      </c>
      <c r="F22300" s="30" t="s">
        <v>27</v>
      </c>
      <c r="G22300" s="30" t="s">
        <v>50</v>
      </c>
      <c r="H22300" s="32">
        <v>36</v>
      </c>
      <c r="I22300" s="30" t="s">
        <v>51</v>
      </c>
      <c r="J22300" s="41">
        <v>45692</v>
      </c>
      <c r="K22300" s="30" t="s">
        <v>22</v>
      </c>
    </row>
    <row r="22301" spans="1:11">
      <c r="A22301" s="33" t="s">
        <v>49327</v>
      </c>
      <c r="B22301" s="33" t="s">
        <v>49328</v>
      </c>
      <c r="C22301" s="33" t="s">
        <v>3507</v>
      </c>
      <c r="D22301" s="33" t="s">
        <v>17</v>
      </c>
      <c r="E22301" s="33" t="s">
        <v>31</v>
      </c>
      <c r="F22301" s="33" t="s">
        <v>32</v>
      </c>
      <c r="G22301" s="33" t="s">
        <v>140</v>
      </c>
      <c r="H22301" s="35">
        <v>45</v>
      </c>
      <c r="I22301" s="33" t="s">
        <v>51</v>
      </c>
      <c r="J22301" s="42">
        <v>45960</v>
      </c>
      <c r="K22301" s="33" t="s">
        <v>22</v>
      </c>
    </row>
    <row r="22302" spans="1:11">
      <c r="A22302" s="30" t="s">
        <v>49329</v>
      </c>
      <c r="B22302" s="30" t="s">
        <v>49330</v>
      </c>
      <c r="C22302" s="30" t="s">
        <v>96</v>
      </c>
      <c r="D22302" s="30" t="s">
        <v>17</v>
      </c>
      <c r="E22302" s="30" t="s">
        <v>26</v>
      </c>
      <c r="F22302" s="30" t="s">
        <v>27</v>
      </c>
      <c r="G22302" s="30" t="s">
        <v>140</v>
      </c>
      <c r="H22302" s="32">
        <v>310</v>
      </c>
      <c r="I22302" s="30" t="s">
        <v>51</v>
      </c>
      <c r="J22302" s="41">
        <v>45889</v>
      </c>
      <c r="K22302" s="30" t="s">
        <v>22</v>
      </c>
    </row>
    <row r="22303" spans="1:11">
      <c r="A22303" s="33" t="s">
        <v>49331</v>
      </c>
      <c r="B22303" s="33" t="s">
        <v>49332</v>
      </c>
      <c r="C22303" s="33" t="s">
        <v>6205</v>
      </c>
      <c r="D22303" s="33" t="s">
        <v>17</v>
      </c>
      <c r="E22303" s="33" t="s">
        <v>67</v>
      </c>
      <c r="F22303" s="33" t="s">
        <v>68</v>
      </c>
      <c r="G22303" s="33" t="s">
        <v>20</v>
      </c>
      <c r="H22303" s="35">
        <v>385</v>
      </c>
      <c r="I22303" s="33" t="s">
        <v>21</v>
      </c>
      <c r="J22303" s="42">
        <v>45826</v>
      </c>
      <c r="K22303" s="33" t="s">
        <v>22</v>
      </c>
    </row>
    <row r="22304" spans="1:11">
      <c r="A22304" s="30" t="s">
        <v>49333</v>
      </c>
      <c r="B22304" s="30" t="s">
        <v>49334</v>
      </c>
      <c r="C22304" s="30" t="s">
        <v>570</v>
      </c>
      <c r="D22304" s="30" t="s">
        <v>17</v>
      </c>
      <c r="E22304" s="30" t="s">
        <v>18</v>
      </c>
      <c r="F22304" s="30" t="s">
        <v>19</v>
      </c>
      <c r="G22304" s="30" t="s">
        <v>7780</v>
      </c>
      <c r="H22304" s="32">
        <v>636</v>
      </c>
      <c r="I22304" s="30" t="s">
        <v>51</v>
      </c>
      <c r="J22304" s="41">
        <v>46016</v>
      </c>
      <c r="K22304" s="30" t="s">
        <v>22</v>
      </c>
    </row>
    <row r="22305" spans="1:11">
      <c r="A22305" s="33" t="s">
        <v>49335</v>
      </c>
      <c r="B22305" s="33" t="s">
        <v>49336</v>
      </c>
      <c r="C22305" s="33" t="s">
        <v>1327</v>
      </c>
      <c r="D22305" s="33" t="s">
        <v>17</v>
      </c>
      <c r="E22305" s="33" t="s">
        <v>31</v>
      </c>
      <c r="F22305" s="33" t="s">
        <v>32</v>
      </c>
      <c r="G22305" s="33" t="s">
        <v>140</v>
      </c>
      <c r="H22305" s="35">
        <v>60</v>
      </c>
      <c r="I22305" s="33" t="s">
        <v>51</v>
      </c>
      <c r="J22305" s="42">
        <v>45828</v>
      </c>
      <c r="K22305" s="33" t="s">
        <v>22</v>
      </c>
    </row>
    <row r="22306" spans="1:11">
      <c r="A22306" s="30" t="s">
        <v>49337</v>
      </c>
      <c r="B22306" s="30" t="s">
        <v>49338</v>
      </c>
      <c r="C22306" s="30" t="s">
        <v>93</v>
      </c>
      <c r="D22306" s="30" t="s">
        <v>17</v>
      </c>
      <c r="E22306" s="30" t="s">
        <v>212</v>
      </c>
      <c r="F22306" s="30" t="s">
        <v>213</v>
      </c>
      <c r="G22306" s="30" t="s">
        <v>20</v>
      </c>
      <c r="H22306" s="32">
        <v>130</v>
      </c>
      <c r="I22306" s="30" t="s">
        <v>21</v>
      </c>
      <c r="J22306" s="41">
        <v>45673</v>
      </c>
      <c r="K22306" s="30" t="s">
        <v>22</v>
      </c>
    </row>
    <row r="22307" spans="1:11">
      <c r="A22307" s="33" t="s">
        <v>49339</v>
      </c>
      <c r="B22307" s="33" t="s">
        <v>49340</v>
      </c>
      <c r="C22307" s="33" t="s">
        <v>40879</v>
      </c>
      <c r="D22307" s="33" t="s">
        <v>17</v>
      </c>
      <c r="E22307" s="33" t="s">
        <v>212</v>
      </c>
      <c r="F22307" s="33" t="s">
        <v>213</v>
      </c>
      <c r="G22307" s="33" t="s">
        <v>140</v>
      </c>
      <c r="H22307" s="35">
        <v>300</v>
      </c>
      <c r="I22307" s="33" t="s">
        <v>51</v>
      </c>
      <c r="J22307" s="42">
        <v>45769</v>
      </c>
      <c r="K22307" s="33" t="s">
        <v>22</v>
      </c>
    </row>
    <row r="22308" spans="1:11">
      <c r="A22308" s="30" t="s">
        <v>49341</v>
      </c>
      <c r="B22308" s="30" t="s">
        <v>49342</v>
      </c>
      <c r="C22308" s="30" t="s">
        <v>49343</v>
      </c>
      <c r="D22308" s="30" t="s">
        <v>17</v>
      </c>
      <c r="E22308" s="30" t="s">
        <v>18</v>
      </c>
      <c r="F22308" s="30" t="s">
        <v>19</v>
      </c>
      <c r="G22308" s="30" t="s">
        <v>140</v>
      </c>
      <c r="H22308" s="32">
        <v>500</v>
      </c>
      <c r="I22308" s="30" t="s">
        <v>51</v>
      </c>
      <c r="J22308" s="41">
        <v>45870</v>
      </c>
      <c r="K22308" s="30" t="s">
        <v>22</v>
      </c>
    </row>
    <row r="22309" spans="1:11">
      <c r="A22309" s="33" t="s">
        <v>49344</v>
      </c>
      <c r="B22309" s="33" t="s">
        <v>49345</v>
      </c>
      <c r="C22309" s="33" t="s">
        <v>49346</v>
      </c>
      <c r="D22309" s="33" t="s">
        <v>17</v>
      </c>
      <c r="E22309" s="33" t="s">
        <v>26</v>
      </c>
      <c r="F22309" s="33" t="s">
        <v>27</v>
      </c>
      <c r="G22309" s="33" t="s">
        <v>140</v>
      </c>
      <c r="H22309" s="35">
        <v>160</v>
      </c>
      <c r="I22309" s="33" t="s">
        <v>51</v>
      </c>
      <c r="J22309" s="42">
        <v>45974</v>
      </c>
      <c r="K22309" s="33" t="s">
        <v>22</v>
      </c>
    </row>
    <row r="22310" spans="1:11">
      <c r="A22310" s="30" t="s">
        <v>49347</v>
      </c>
      <c r="B22310" s="30" t="s">
        <v>49348</v>
      </c>
      <c r="C22310" s="30" t="s">
        <v>31562</v>
      </c>
      <c r="D22310" s="30" t="s">
        <v>17</v>
      </c>
      <c r="E22310" s="30" t="s">
        <v>18</v>
      </c>
      <c r="F22310" s="30" t="s">
        <v>19</v>
      </c>
      <c r="G22310" s="30" t="s">
        <v>158</v>
      </c>
      <c r="H22310" s="32">
        <v>117</v>
      </c>
      <c r="I22310" s="30" t="s">
        <v>51</v>
      </c>
      <c r="J22310" s="41">
        <v>45772</v>
      </c>
      <c r="K22310" s="30" t="s">
        <v>22</v>
      </c>
    </row>
    <row r="22311" spans="1:11">
      <c r="A22311" s="33" t="s">
        <v>49349</v>
      </c>
      <c r="B22311" s="33" t="s">
        <v>49350</v>
      </c>
      <c r="C22311" s="33" t="s">
        <v>136</v>
      </c>
      <c r="D22311" s="33" t="s">
        <v>17</v>
      </c>
      <c r="E22311" s="33" t="s">
        <v>31</v>
      </c>
      <c r="F22311" s="33" t="s">
        <v>32</v>
      </c>
      <c r="G22311" s="33" t="s">
        <v>158</v>
      </c>
      <c r="H22311" s="35">
        <v>100</v>
      </c>
      <c r="I22311" s="33" t="s">
        <v>51</v>
      </c>
      <c r="J22311" s="42">
        <v>45943</v>
      </c>
      <c r="K22311" s="33" t="s">
        <v>22</v>
      </c>
    </row>
    <row r="22312" spans="1:11">
      <c r="A22312" s="30" t="s">
        <v>49351</v>
      </c>
      <c r="B22312" s="30" t="s">
        <v>49352</v>
      </c>
      <c r="C22312" s="30" t="s">
        <v>647</v>
      </c>
      <c r="D22312" s="30" t="s">
        <v>17</v>
      </c>
      <c r="E22312" s="30" t="s">
        <v>18</v>
      </c>
      <c r="F22312" s="30" t="s">
        <v>19</v>
      </c>
      <c r="G22312" s="30" t="s">
        <v>140</v>
      </c>
      <c r="H22312" s="32">
        <v>2400</v>
      </c>
      <c r="I22312" s="30" t="s">
        <v>51</v>
      </c>
      <c r="J22312" s="41">
        <v>45838</v>
      </c>
      <c r="K22312" s="30" t="s">
        <v>22</v>
      </c>
    </row>
    <row r="22313" spans="1:11">
      <c r="A22313" s="33" t="s">
        <v>49353</v>
      </c>
      <c r="B22313" s="33" t="s">
        <v>49354</v>
      </c>
      <c r="C22313" s="33" t="s">
        <v>1112</v>
      </c>
      <c r="D22313" s="33" t="s">
        <v>17</v>
      </c>
      <c r="E22313" s="33" t="s">
        <v>31</v>
      </c>
      <c r="F22313" s="33" t="s">
        <v>32</v>
      </c>
      <c r="G22313" s="33" t="s">
        <v>158</v>
      </c>
      <c r="H22313" s="35">
        <v>267</v>
      </c>
      <c r="I22313" s="33" t="s">
        <v>21</v>
      </c>
      <c r="J22313" s="42">
        <v>45993</v>
      </c>
      <c r="K22313" s="33" t="s">
        <v>22</v>
      </c>
    </row>
    <row r="22314" spans="1:11">
      <c r="A22314" s="30" t="s">
        <v>49355</v>
      </c>
      <c r="B22314" s="30" t="s">
        <v>49356</v>
      </c>
      <c r="C22314" s="30" t="s">
        <v>570</v>
      </c>
      <c r="D22314" s="30" t="s">
        <v>17</v>
      </c>
      <c r="E22314" s="30" t="s">
        <v>26</v>
      </c>
      <c r="F22314" s="30" t="s">
        <v>27</v>
      </c>
      <c r="G22314" s="30" t="s">
        <v>7780</v>
      </c>
      <c r="H22314" s="32">
        <v>48</v>
      </c>
      <c r="I22314" s="30" t="s">
        <v>51</v>
      </c>
      <c r="J22314" s="41">
        <v>45839</v>
      </c>
      <c r="K22314" s="30" t="s">
        <v>22</v>
      </c>
    </row>
    <row r="22315" spans="1:11">
      <c r="A22315" s="33" t="s">
        <v>49357</v>
      </c>
      <c r="B22315" s="33" t="s">
        <v>49358</v>
      </c>
      <c r="C22315" s="33" t="s">
        <v>49359</v>
      </c>
      <c r="D22315" s="33" t="s">
        <v>17</v>
      </c>
      <c r="E22315" s="33" t="s">
        <v>67</v>
      </c>
      <c r="F22315" s="33" t="s">
        <v>68</v>
      </c>
      <c r="G22315" s="33" t="s">
        <v>112</v>
      </c>
      <c r="H22315" s="35">
        <v>0</v>
      </c>
      <c r="I22315" s="33" t="s">
        <v>21</v>
      </c>
      <c r="J22315" s="42">
        <v>45887</v>
      </c>
      <c r="K22315" s="33" t="s">
        <v>22</v>
      </c>
    </row>
    <row r="22316" spans="1:11">
      <c r="A22316" s="30" t="s">
        <v>49360</v>
      </c>
      <c r="B22316" s="30" t="s">
        <v>49361</v>
      </c>
      <c r="C22316" s="30" t="s">
        <v>3489</v>
      </c>
      <c r="D22316" s="30" t="s">
        <v>17</v>
      </c>
      <c r="E22316" s="30" t="s">
        <v>212</v>
      </c>
      <c r="F22316" s="30" t="s">
        <v>213</v>
      </c>
      <c r="G22316" s="30" t="s">
        <v>158</v>
      </c>
      <c r="H22316" s="32">
        <v>9</v>
      </c>
      <c r="I22316" s="30" t="s">
        <v>21</v>
      </c>
      <c r="J22316" s="41">
        <v>45695</v>
      </c>
      <c r="K22316" s="30" t="s">
        <v>22</v>
      </c>
    </row>
    <row r="22317" spans="1:11">
      <c r="A22317" s="33" t="s">
        <v>49362</v>
      </c>
      <c r="B22317" s="33" t="s">
        <v>49363</v>
      </c>
      <c r="C22317" s="33" t="s">
        <v>39112</v>
      </c>
      <c r="D22317" s="33" t="s">
        <v>17</v>
      </c>
      <c r="E22317" s="33" t="s">
        <v>31</v>
      </c>
      <c r="F22317" s="33" t="s">
        <v>32</v>
      </c>
      <c r="G22317" s="33" t="s">
        <v>158</v>
      </c>
      <c r="H22317" s="35">
        <v>285</v>
      </c>
      <c r="I22317" s="33" t="s">
        <v>51</v>
      </c>
      <c r="J22317" s="42">
        <v>45890</v>
      </c>
      <c r="K22317" s="33" t="s">
        <v>22</v>
      </c>
    </row>
    <row r="22318" spans="1:11">
      <c r="A22318" s="30" t="s">
        <v>49364</v>
      </c>
      <c r="B22318" s="30" t="s">
        <v>49365</v>
      </c>
      <c r="C22318" s="30" t="s">
        <v>23340</v>
      </c>
      <c r="D22318" s="30" t="s">
        <v>17</v>
      </c>
      <c r="E22318" s="30" t="s">
        <v>67</v>
      </c>
      <c r="F22318" s="30" t="s">
        <v>68</v>
      </c>
      <c r="G22318" s="30" t="s">
        <v>140</v>
      </c>
      <c r="H22318" s="32">
        <v>116</v>
      </c>
      <c r="I22318" s="30" t="s">
        <v>51</v>
      </c>
      <c r="J22318" s="41">
        <v>45918</v>
      </c>
      <c r="K22318" s="30" t="s">
        <v>22</v>
      </c>
    </row>
    <row r="22319" spans="1:11">
      <c r="A22319" s="33" t="s">
        <v>49366</v>
      </c>
      <c r="B22319" s="33" t="s">
        <v>49367</v>
      </c>
      <c r="C22319" s="33" t="s">
        <v>14483</v>
      </c>
      <c r="D22319" s="33" t="s">
        <v>17</v>
      </c>
      <c r="E22319" s="33" t="s">
        <v>31</v>
      </c>
      <c r="F22319" s="33" t="s">
        <v>32</v>
      </c>
      <c r="G22319" s="33" t="s">
        <v>140</v>
      </c>
      <c r="H22319" s="35">
        <v>72</v>
      </c>
      <c r="I22319" s="33" t="s">
        <v>51</v>
      </c>
      <c r="J22319" s="42">
        <v>45972</v>
      </c>
      <c r="K22319" s="33" t="s">
        <v>22</v>
      </c>
    </row>
    <row r="22320" spans="1:11">
      <c r="A22320" s="30" t="s">
        <v>49368</v>
      </c>
      <c r="B22320" s="30" t="s">
        <v>49369</v>
      </c>
      <c r="C22320" s="30" t="s">
        <v>11899</v>
      </c>
      <c r="D22320" s="30" t="s">
        <v>17</v>
      </c>
      <c r="E22320" s="30" t="s">
        <v>18</v>
      </c>
      <c r="F22320" s="30" t="s">
        <v>19</v>
      </c>
      <c r="G22320" s="30" t="s">
        <v>7780</v>
      </c>
      <c r="H22320" s="32">
        <v>90</v>
      </c>
      <c r="I22320" s="30" t="s">
        <v>51</v>
      </c>
      <c r="J22320" s="41">
        <v>45689</v>
      </c>
      <c r="K22320" s="30" t="s">
        <v>22</v>
      </c>
    </row>
    <row r="22321" spans="1:11">
      <c r="A22321" s="33" t="s">
        <v>49370</v>
      </c>
      <c r="B22321" s="33" t="s">
        <v>49371</v>
      </c>
      <c r="C22321" s="33" t="s">
        <v>1598</v>
      </c>
      <c r="D22321" s="33" t="s">
        <v>17</v>
      </c>
      <c r="E22321" s="33" t="s">
        <v>18</v>
      </c>
      <c r="F22321" s="33" t="s">
        <v>19</v>
      </c>
      <c r="G22321" s="33" t="s">
        <v>140</v>
      </c>
      <c r="H22321" s="35">
        <v>180</v>
      </c>
      <c r="I22321" s="33" t="s">
        <v>51</v>
      </c>
      <c r="J22321" s="42">
        <v>46020</v>
      </c>
      <c r="K22321" s="33" t="s">
        <v>22</v>
      </c>
    </row>
    <row r="22322" spans="1:11">
      <c r="A22322" s="30" t="s">
        <v>49372</v>
      </c>
      <c r="B22322" s="30" t="s">
        <v>49373</v>
      </c>
      <c r="C22322" s="30" t="s">
        <v>49374</v>
      </c>
      <c r="D22322" s="30" t="s">
        <v>17</v>
      </c>
      <c r="E22322" s="30" t="s">
        <v>26</v>
      </c>
      <c r="F22322" s="30" t="s">
        <v>27</v>
      </c>
      <c r="G22322" s="30" t="s">
        <v>140</v>
      </c>
      <c r="H22322" s="32">
        <v>32</v>
      </c>
      <c r="I22322" s="30" t="s">
        <v>51</v>
      </c>
      <c r="J22322" s="41">
        <v>45869</v>
      </c>
      <c r="K22322" s="30" t="s">
        <v>22</v>
      </c>
    </row>
    <row r="22323" spans="1:11">
      <c r="A22323" s="33" t="s">
        <v>49375</v>
      </c>
      <c r="B22323" s="33" t="s">
        <v>49376</v>
      </c>
      <c r="C22323" s="33" t="s">
        <v>1857</v>
      </c>
      <c r="D22323" s="33" t="s">
        <v>17</v>
      </c>
      <c r="E22323" s="33" t="s">
        <v>26</v>
      </c>
      <c r="F22323" s="33" t="s">
        <v>27</v>
      </c>
      <c r="G22323" s="33" t="s">
        <v>7780</v>
      </c>
      <c r="H22323" s="35">
        <v>18</v>
      </c>
      <c r="I22323" s="33" t="s">
        <v>51</v>
      </c>
      <c r="J22323" s="42">
        <v>45708</v>
      </c>
      <c r="K22323" s="33" t="s">
        <v>22</v>
      </c>
    </row>
    <row r="22324" spans="1:11">
      <c r="A22324" s="30" t="s">
        <v>49377</v>
      </c>
      <c r="B22324" s="30" t="s">
        <v>49378</v>
      </c>
      <c r="C22324" s="30" t="s">
        <v>5125</v>
      </c>
      <c r="D22324" s="30" t="s">
        <v>17</v>
      </c>
      <c r="E22324" s="30" t="s">
        <v>31</v>
      </c>
      <c r="F22324" s="30" t="s">
        <v>32</v>
      </c>
      <c r="G22324" s="30" t="s">
        <v>140</v>
      </c>
      <c r="H22324" s="32">
        <v>330</v>
      </c>
      <c r="I22324" s="30" t="s">
        <v>51</v>
      </c>
      <c r="J22324" s="41">
        <v>45672</v>
      </c>
      <c r="K22324" s="30" t="s">
        <v>22</v>
      </c>
    </row>
    <row r="22325" spans="1:11">
      <c r="A22325" s="33" t="s">
        <v>49379</v>
      </c>
      <c r="B22325" s="33" t="s">
        <v>49380</v>
      </c>
      <c r="C22325" s="33" t="s">
        <v>32244</v>
      </c>
      <c r="D22325" s="33" t="s">
        <v>17</v>
      </c>
      <c r="E22325" s="33" t="s">
        <v>18</v>
      </c>
      <c r="F22325" s="33" t="s">
        <v>19</v>
      </c>
      <c r="G22325" s="33" t="s">
        <v>140</v>
      </c>
      <c r="H22325" s="35">
        <v>400</v>
      </c>
      <c r="I22325" s="33" t="s">
        <v>51</v>
      </c>
      <c r="J22325" s="42">
        <v>45945</v>
      </c>
      <c r="K22325" s="33" t="s">
        <v>22</v>
      </c>
    </row>
    <row r="22326" spans="1:11">
      <c r="A22326" s="30" t="s">
        <v>49381</v>
      </c>
      <c r="B22326" s="30" t="s">
        <v>49382</v>
      </c>
      <c r="C22326" s="30" t="s">
        <v>1270</v>
      </c>
      <c r="D22326" s="30" t="s">
        <v>17</v>
      </c>
      <c r="E22326" s="30" t="s">
        <v>26</v>
      </c>
      <c r="F22326" s="30" t="s">
        <v>27</v>
      </c>
      <c r="G22326" s="30" t="s">
        <v>140</v>
      </c>
      <c r="H22326" s="32">
        <v>230</v>
      </c>
      <c r="I22326" s="30" t="s">
        <v>51</v>
      </c>
      <c r="J22326" s="41">
        <v>45860</v>
      </c>
      <c r="K22326" s="30" t="s">
        <v>22</v>
      </c>
    </row>
    <row r="22327" spans="1:11">
      <c r="A22327" s="33" t="s">
        <v>49383</v>
      </c>
      <c r="B22327" s="33" t="s">
        <v>49384</v>
      </c>
      <c r="C22327" s="33" t="s">
        <v>136</v>
      </c>
      <c r="D22327" s="33" t="s">
        <v>17</v>
      </c>
      <c r="E22327" s="33" t="s">
        <v>18</v>
      </c>
      <c r="F22327" s="33" t="s">
        <v>19</v>
      </c>
      <c r="G22327" s="33" t="s">
        <v>140</v>
      </c>
      <c r="H22327" s="35">
        <v>55</v>
      </c>
      <c r="I22327" s="33" t="s">
        <v>51</v>
      </c>
      <c r="J22327" s="42">
        <v>45667</v>
      </c>
      <c r="K22327" s="33" t="s">
        <v>22</v>
      </c>
    </row>
    <row r="22328" spans="1:11">
      <c r="A22328" s="30" t="s">
        <v>49385</v>
      </c>
      <c r="B22328" s="30" t="s">
        <v>49386</v>
      </c>
      <c r="C22328" s="30" t="s">
        <v>1003</v>
      </c>
      <c r="D22328" s="30" t="s">
        <v>17</v>
      </c>
      <c r="E22328" s="30" t="s">
        <v>67</v>
      </c>
      <c r="F22328" s="30" t="s">
        <v>68</v>
      </c>
      <c r="G22328" s="30" t="s">
        <v>7780</v>
      </c>
      <c r="H22328" s="32">
        <v>153</v>
      </c>
      <c r="I22328" s="30" t="s">
        <v>51</v>
      </c>
      <c r="J22328" s="41">
        <v>45901</v>
      </c>
      <c r="K22328" s="30" t="s">
        <v>22</v>
      </c>
    </row>
    <row r="22329" spans="1:11">
      <c r="A22329" s="33" t="s">
        <v>49387</v>
      </c>
      <c r="B22329" s="33" t="s">
        <v>49388</v>
      </c>
      <c r="C22329" s="33" t="s">
        <v>49389</v>
      </c>
      <c r="D22329" s="33" t="s">
        <v>17</v>
      </c>
      <c r="E22329" s="33" t="s">
        <v>26</v>
      </c>
      <c r="F22329" s="33" t="s">
        <v>27</v>
      </c>
      <c r="G22329" s="33" t="s">
        <v>140</v>
      </c>
      <c r="H22329" s="35">
        <v>24</v>
      </c>
      <c r="I22329" s="33" t="s">
        <v>51</v>
      </c>
      <c r="J22329" s="42">
        <v>45993</v>
      </c>
      <c r="K22329" s="33" t="s">
        <v>22</v>
      </c>
    </row>
    <row r="22330" spans="1:11">
      <c r="A22330" s="30" t="s">
        <v>49390</v>
      </c>
      <c r="B22330" s="30" t="s">
        <v>49391</v>
      </c>
      <c r="C22330" s="30" t="s">
        <v>20032</v>
      </c>
      <c r="D22330" s="30" t="s">
        <v>17</v>
      </c>
      <c r="E22330" s="30" t="s">
        <v>31</v>
      </c>
      <c r="F22330" s="30" t="s">
        <v>32</v>
      </c>
      <c r="G22330" s="30" t="s">
        <v>140</v>
      </c>
      <c r="H22330" s="32">
        <v>276</v>
      </c>
      <c r="I22330" s="30" t="s">
        <v>51</v>
      </c>
      <c r="J22330" s="41">
        <v>45663</v>
      </c>
      <c r="K22330" s="30" t="s">
        <v>22</v>
      </c>
    </row>
    <row r="22331" spans="1:11">
      <c r="A22331" s="33" t="s">
        <v>49392</v>
      </c>
      <c r="B22331" s="33" t="s">
        <v>49393</v>
      </c>
      <c r="C22331" s="33" t="s">
        <v>1796</v>
      </c>
      <c r="D22331" s="33" t="s">
        <v>17</v>
      </c>
      <c r="E22331" s="33" t="s">
        <v>67</v>
      </c>
      <c r="F22331" s="33" t="s">
        <v>68</v>
      </c>
      <c r="G22331" s="33" t="s">
        <v>140</v>
      </c>
      <c r="H22331" s="35">
        <v>132</v>
      </c>
      <c r="I22331" s="33" t="s">
        <v>51</v>
      </c>
      <c r="J22331" s="42">
        <v>45758</v>
      </c>
      <c r="K22331" s="33" t="s">
        <v>22</v>
      </c>
    </row>
    <row r="22332" spans="1:11">
      <c r="A22332" s="30" t="s">
        <v>49394</v>
      </c>
      <c r="B22332" s="30" t="s">
        <v>49395</v>
      </c>
      <c r="C22332" s="30" t="s">
        <v>102</v>
      </c>
      <c r="D22332" s="30" t="s">
        <v>17</v>
      </c>
      <c r="E22332" s="30" t="s">
        <v>26</v>
      </c>
      <c r="F22332" s="30" t="s">
        <v>27</v>
      </c>
      <c r="G22332" s="30" t="s">
        <v>140</v>
      </c>
      <c r="H22332" s="32">
        <v>10</v>
      </c>
      <c r="I22332" s="30" t="s">
        <v>51</v>
      </c>
      <c r="J22332" s="41">
        <v>45979</v>
      </c>
      <c r="K22332" s="30" t="s">
        <v>22</v>
      </c>
    </row>
    <row r="22333" spans="1:11">
      <c r="A22333" s="33" t="s">
        <v>49396</v>
      </c>
      <c r="B22333" s="33" t="s">
        <v>49397</v>
      </c>
      <c r="C22333" s="33" t="s">
        <v>49398</v>
      </c>
      <c r="D22333" s="33" t="s">
        <v>17</v>
      </c>
      <c r="E22333" s="33" t="s">
        <v>31</v>
      </c>
      <c r="F22333" s="33" t="s">
        <v>32</v>
      </c>
      <c r="G22333" s="33" t="s">
        <v>140</v>
      </c>
      <c r="H22333" s="35">
        <v>115</v>
      </c>
      <c r="I22333" s="33" t="s">
        <v>51</v>
      </c>
      <c r="J22333" s="42">
        <v>45744</v>
      </c>
      <c r="K22333" s="33" t="s">
        <v>22</v>
      </c>
    </row>
    <row r="22334" spans="1:11">
      <c r="A22334" s="30" t="s">
        <v>49399</v>
      </c>
      <c r="B22334" s="30" t="s">
        <v>49400</v>
      </c>
      <c r="C22334" s="30" t="s">
        <v>570</v>
      </c>
      <c r="D22334" s="30" t="s">
        <v>17</v>
      </c>
      <c r="E22334" s="30" t="s">
        <v>18</v>
      </c>
      <c r="F22334" s="30" t="s">
        <v>19</v>
      </c>
      <c r="G22334" s="30" t="s">
        <v>140</v>
      </c>
      <c r="H22334" s="32">
        <v>352</v>
      </c>
      <c r="I22334" s="30" t="s">
        <v>51</v>
      </c>
      <c r="J22334" s="41">
        <v>45870</v>
      </c>
      <c r="K22334" s="30" t="s">
        <v>22</v>
      </c>
    </row>
    <row r="22335" spans="1:11">
      <c r="A22335" s="33" t="s">
        <v>49401</v>
      </c>
      <c r="B22335" s="33" t="s">
        <v>49402</v>
      </c>
      <c r="C22335" s="33" t="s">
        <v>42333</v>
      </c>
      <c r="D22335" s="33" t="s">
        <v>17</v>
      </c>
      <c r="E22335" s="33" t="s">
        <v>212</v>
      </c>
      <c r="F22335" s="33" t="s">
        <v>213</v>
      </c>
      <c r="G22335" s="33" t="s">
        <v>7780</v>
      </c>
      <c r="H22335" s="35">
        <v>60</v>
      </c>
      <c r="I22335" s="33" t="s">
        <v>51</v>
      </c>
      <c r="J22335" s="42">
        <v>45839</v>
      </c>
      <c r="K22335" s="33" t="s">
        <v>22</v>
      </c>
    </row>
    <row r="22336" spans="1:11">
      <c r="A22336" s="30" t="s">
        <v>49403</v>
      </c>
      <c r="B22336" s="30" t="s">
        <v>49404</v>
      </c>
      <c r="C22336" s="30" t="s">
        <v>118</v>
      </c>
      <c r="D22336" s="30" t="s">
        <v>17</v>
      </c>
      <c r="E22336" s="30" t="s">
        <v>26</v>
      </c>
      <c r="F22336" s="30" t="s">
        <v>27</v>
      </c>
      <c r="G22336" s="30" t="s">
        <v>20</v>
      </c>
      <c r="H22336" s="32">
        <v>18</v>
      </c>
      <c r="I22336" s="30" t="s">
        <v>21</v>
      </c>
      <c r="J22336" s="41">
        <v>45862</v>
      </c>
      <c r="K22336" s="30" t="s">
        <v>22</v>
      </c>
    </row>
    <row r="22337" spans="1:11">
      <c r="A22337" s="33" t="s">
        <v>49405</v>
      </c>
      <c r="B22337" s="33" t="s">
        <v>49406</v>
      </c>
      <c r="C22337" s="33" t="s">
        <v>570</v>
      </c>
      <c r="D22337" s="33" t="s">
        <v>17</v>
      </c>
      <c r="E22337" s="33" t="s">
        <v>18</v>
      </c>
      <c r="F22337" s="33" t="s">
        <v>19</v>
      </c>
      <c r="G22337" s="33" t="s">
        <v>7780</v>
      </c>
      <c r="H22337" s="35">
        <v>430</v>
      </c>
      <c r="I22337" s="33" t="s">
        <v>51</v>
      </c>
      <c r="J22337" s="42">
        <v>45839</v>
      </c>
      <c r="K22337" s="33" t="s">
        <v>22</v>
      </c>
    </row>
    <row r="22338" spans="1:11">
      <c r="A22338" s="30" t="s">
        <v>49407</v>
      </c>
      <c r="B22338" s="30" t="s">
        <v>49408</v>
      </c>
      <c r="C22338" s="30" t="s">
        <v>15221</v>
      </c>
      <c r="D22338" s="30" t="s">
        <v>17</v>
      </c>
      <c r="E22338" s="30" t="s">
        <v>18</v>
      </c>
      <c r="F22338" s="30" t="s">
        <v>19</v>
      </c>
      <c r="G22338" s="30" t="s">
        <v>140</v>
      </c>
      <c r="H22338" s="32">
        <v>500</v>
      </c>
      <c r="I22338" s="30" t="s">
        <v>51</v>
      </c>
      <c r="J22338" s="41">
        <v>45911</v>
      </c>
      <c r="K22338" s="30" t="s">
        <v>22</v>
      </c>
    </row>
    <row r="22339" spans="1:11">
      <c r="A22339" s="33" t="s">
        <v>49409</v>
      </c>
      <c r="B22339" s="33" t="s">
        <v>49410</v>
      </c>
      <c r="C22339" s="33" t="s">
        <v>3439</v>
      </c>
      <c r="D22339" s="33" t="s">
        <v>17</v>
      </c>
      <c r="E22339" s="33" t="s">
        <v>18</v>
      </c>
      <c r="F22339" s="33" t="s">
        <v>19</v>
      </c>
      <c r="G22339" s="33" t="s">
        <v>140</v>
      </c>
      <c r="H22339" s="35">
        <v>338</v>
      </c>
      <c r="I22339" s="33" t="s">
        <v>51</v>
      </c>
      <c r="J22339" s="42">
        <v>45805</v>
      </c>
      <c r="K22339" s="33" t="s">
        <v>22</v>
      </c>
    </row>
    <row r="22340" spans="1:11">
      <c r="A22340" s="30" t="s">
        <v>49411</v>
      </c>
      <c r="B22340" s="30" t="s">
        <v>49412</v>
      </c>
      <c r="C22340" s="30" t="s">
        <v>252</v>
      </c>
      <c r="D22340" s="30" t="s">
        <v>17</v>
      </c>
      <c r="E22340" s="30" t="s">
        <v>31</v>
      </c>
      <c r="F22340" s="30" t="s">
        <v>32</v>
      </c>
      <c r="G22340" s="30" t="s">
        <v>140</v>
      </c>
      <c r="H22340" s="32">
        <v>150</v>
      </c>
      <c r="I22340" s="30" t="s">
        <v>51</v>
      </c>
      <c r="J22340" s="41">
        <v>45705</v>
      </c>
      <c r="K22340" s="30" t="s">
        <v>22</v>
      </c>
    </row>
    <row r="22341" spans="1:11">
      <c r="A22341" s="33" t="s">
        <v>49413</v>
      </c>
      <c r="B22341" s="33" t="s">
        <v>49414</v>
      </c>
      <c r="C22341" s="33" t="s">
        <v>190</v>
      </c>
      <c r="D22341" s="33" t="s">
        <v>17</v>
      </c>
      <c r="E22341" s="33" t="s">
        <v>67</v>
      </c>
      <c r="F22341" s="33" t="s">
        <v>68</v>
      </c>
      <c r="G22341" s="33" t="s">
        <v>140</v>
      </c>
      <c r="H22341" s="35">
        <v>83</v>
      </c>
      <c r="I22341" s="33" t="s">
        <v>51</v>
      </c>
      <c r="J22341" s="42">
        <v>45973</v>
      </c>
      <c r="K22341" s="33" t="s">
        <v>22</v>
      </c>
    </row>
    <row r="22342" spans="1:11">
      <c r="A22342" s="30" t="s">
        <v>49415</v>
      </c>
      <c r="B22342" s="30" t="s">
        <v>49416</v>
      </c>
      <c r="C22342" s="30" t="s">
        <v>2807</v>
      </c>
      <c r="D22342" s="30" t="s">
        <v>17</v>
      </c>
      <c r="E22342" s="30" t="s">
        <v>18</v>
      </c>
      <c r="F22342" s="30" t="s">
        <v>19</v>
      </c>
      <c r="G22342" s="30" t="s">
        <v>140</v>
      </c>
      <c r="H22342" s="32">
        <v>20</v>
      </c>
      <c r="I22342" s="30" t="s">
        <v>51</v>
      </c>
      <c r="J22342" s="41">
        <v>45866</v>
      </c>
      <c r="K22342" s="30" t="s">
        <v>22</v>
      </c>
    </row>
    <row r="22343" spans="1:11">
      <c r="A22343" s="33" t="s">
        <v>49417</v>
      </c>
      <c r="B22343" s="33" t="s">
        <v>49418</v>
      </c>
      <c r="C22343" s="33" t="s">
        <v>11375</v>
      </c>
      <c r="D22343" s="33" t="s">
        <v>17</v>
      </c>
      <c r="E22343" s="33" t="s">
        <v>26</v>
      </c>
      <c r="F22343" s="33" t="s">
        <v>27</v>
      </c>
      <c r="G22343" s="33" t="s">
        <v>140</v>
      </c>
      <c r="H22343" s="35">
        <v>16</v>
      </c>
      <c r="I22343" s="33" t="s">
        <v>51</v>
      </c>
      <c r="J22343" s="42">
        <v>45991</v>
      </c>
      <c r="K22343" s="33" t="s">
        <v>22</v>
      </c>
    </row>
    <row r="22344" spans="1:11">
      <c r="A22344" s="30" t="s">
        <v>49419</v>
      </c>
      <c r="B22344" s="30" t="s">
        <v>49420</v>
      </c>
      <c r="C22344" s="30" t="s">
        <v>379</v>
      </c>
      <c r="D22344" s="30" t="s">
        <v>17</v>
      </c>
      <c r="E22344" s="30" t="s">
        <v>31</v>
      </c>
      <c r="F22344" s="30" t="s">
        <v>32</v>
      </c>
      <c r="G22344" s="30" t="s">
        <v>7780</v>
      </c>
      <c r="H22344" s="32">
        <v>100</v>
      </c>
      <c r="I22344" s="30" t="s">
        <v>51</v>
      </c>
      <c r="J22344" s="41">
        <v>46020</v>
      </c>
      <c r="K22344" s="30" t="s">
        <v>22</v>
      </c>
    </row>
    <row r="22345" spans="1:11">
      <c r="A22345" s="33" t="s">
        <v>49421</v>
      </c>
      <c r="B22345" s="33" t="s">
        <v>49422</v>
      </c>
      <c r="C22345" s="33" t="s">
        <v>49423</v>
      </c>
      <c r="D22345" s="33" t="s">
        <v>17</v>
      </c>
      <c r="E22345" s="33" t="s">
        <v>18</v>
      </c>
      <c r="F22345" s="33" t="s">
        <v>19</v>
      </c>
      <c r="G22345" s="33" t="s">
        <v>7780</v>
      </c>
      <c r="H22345" s="35">
        <v>44</v>
      </c>
      <c r="I22345" s="33" t="s">
        <v>51</v>
      </c>
      <c r="J22345" s="42">
        <v>45839</v>
      </c>
      <c r="K22345" s="33" t="s">
        <v>22</v>
      </c>
    </row>
    <row r="22346" spans="1:11">
      <c r="A22346" s="30" t="s">
        <v>49424</v>
      </c>
      <c r="B22346" s="30" t="s">
        <v>49425</v>
      </c>
      <c r="C22346" s="30" t="s">
        <v>203</v>
      </c>
      <c r="D22346" s="30" t="s">
        <v>17</v>
      </c>
      <c r="E22346" s="30" t="s">
        <v>18</v>
      </c>
      <c r="F22346" s="30" t="s">
        <v>19</v>
      </c>
      <c r="G22346" s="30" t="s">
        <v>140</v>
      </c>
      <c r="H22346" s="32">
        <v>980</v>
      </c>
      <c r="I22346" s="30" t="s">
        <v>51</v>
      </c>
      <c r="J22346" s="41">
        <v>45931</v>
      </c>
      <c r="K22346" s="30" t="s">
        <v>22</v>
      </c>
    </row>
    <row r="22347" spans="1:11">
      <c r="A22347" s="33" t="s">
        <v>49426</v>
      </c>
      <c r="B22347" s="33" t="s">
        <v>49427</v>
      </c>
      <c r="C22347" s="33" t="s">
        <v>96</v>
      </c>
      <c r="D22347" s="33" t="s">
        <v>17</v>
      </c>
      <c r="E22347" s="33" t="s">
        <v>31</v>
      </c>
      <c r="F22347" s="33" t="s">
        <v>32</v>
      </c>
      <c r="G22347" s="33" t="s">
        <v>140</v>
      </c>
      <c r="H22347" s="35">
        <v>252</v>
      </c>
      <c r="I22347" s="33" t="s">
        <v>51</v>
      </c>
      <c r="J22347" s="42">
        <v>45797</v>
      </c>
      <c r="K22347" s="33" t="s">
        <v>22</v>
      </c>
    </row>
    <row r="22348" spans="1:11">
      <c r="A22348" s="30" t="s">
        <v>49428</v>
      </c>
      <c r="B22348" s="30" t="s">
        <v>49429</v>
      </c>
      <c r="C22348" s="30" t="s">
        <v>847</v>
      </c>
      <c r="D22348" s="30" t="s">
        <v>17</v>
      </c>
      <c r="E22348" s="30" t="s">
        <v>330</v>
      </c>
      <c r="F22348" s="30" t="s">
        <v>331</v>
      </c>
      <c r="G22348" s="30" t="s">
        <v>140</v>
      </c>
      <c r="H22348" s="32">
        <v>19</v>
      </c>
      <c r="I22348" s="30" t="s">
        <v>51</v>
      </c>
      <c r="J22348" s="41">
        <v>45925</v>
      </c>
      <c r="K22348" s="30" t="s">
        <v>22</v>
      </c>
    </row>
    <row r="22349" spans="1:11">
      <c r="A22349" s="33" t="s">
        <v>49430</v>
      </c>
      <c r="B22349" s="33" t="s">
        <v>49431</v>
      </c>
      <c r="C22349" s="33" t="s">
        <v>1764</v>
      </c>
      <c r="D22349" s="33" t="s">
        <v>17</v>
      </c>
      <c r="E22349" s="33" t="s">
        <v>18</v>
      </c>
      <c r="F22349" s="33" t="s">
        <v>19</v>
      </c>
      <c r="G22349" s="33" t="s">
        <v>20</v>
      </c>
      <c r="H22349" s="35">
        <v>130</v>
      </c>
      <c r="I22349" s="33" t="s">
        <v>21</v>
      </c>
      <c r="J22349" s="42">
        <v>45944</v>
      </c>
      <c r="K22349" s="33" t="s">
        <v>22</v>
      </c>
    </row>
    <row r="22350" spans="1:11">
      <c r="A22350" s="30" t="s">
        <v>49432</v>
      </c>
      <c r="B22350" s="30" t="s">
        <v>49433</v>
      </c>
      <c r="C22350" s="30" t="s">
        <v>2220</v>
      </c>
      <c r="D22350" s="30" t="s">
        <v>17</v>
      </c>
      <c r="E22350" s="30" t="s">
        <v>18</v>
      </c>
      <c r="F22350" s="30" t="s">
        <v>19</v>
      </c>
      <c r="G22350" s="30" t="s">
        <v>2613</v>
      </c>
      <c r="H22350" s="32">
        <v>126</v>
      </c>
      <c r="I22350" s="30" t="s">
        <v>51</v>
      </c>
      <c r="J22350" s="41">
        <v>45975</v>
      </c>
      <c r="K22350" s="30" t="s">
        <v>22</v>
      </c>
    </row>
    <row r="22351" spans="1:11">
      <c r="A22351" s="33" t="s">
        <v>49434</v>
      </c>
      <c r="B22351" s="33" t="s">
        <v>49435</v>
      </c>
      <c r="C22351" s="33" t="s">
        <v>3555</v>
      </c>
      <c r="D22351" s="33" t="s">
        <v>17</v>
      </c>
      <c r="E22351" s="33" t="s">
        <v>31</v>
      </c>
      <c r="F22351" s="33" t="s">
        <v>32</v>
      </c>
      <c r="G22351" s="33" t="s">
        <v>140</v>
      </c>
      <c r="H22351" s="35">
        <v>100</v>
      </c>
      <c r="I22351" s="33" t="s">
        <v>51</v>
      </c>
      <c r="J22351" s="42">
        <v>45835</v>
      </c>
      <c r="K22351" s="33" t="s">
        <v>22</v>
      </c>
    </row>
    <row r="22352" spans="1:11">
      <c r="A22352" s="30" t="s">
        <v>49436</v>
      </c>
      <c r="B22352" s="30" t="s">
        <v>49437</v>
      </c>
      <c r="C22352" s="30" t="s">
        <v>1080</v>
      </c>
      <c r="D22352" s="30" t="s">
        <v>17</v>
      </c>
      <c r="E22352" s="30" t="s">
        <v>26</v>
      </c>
      <c r="F22352" s="30" t="s">
        <v>27</v>
      </c>
      <c r="G22352" s="30" t="s">
        <v>140</v>
      </c>
      <c r="H22352" s="32">
        <v>102</v>
      </c>
      <c r="I22352" s="30" t="s">
        <v>51</v>
      </c>
      <c r="J22352" s="41">
        <v>45952</v>
      </c>
      <c r="K22352" s="30" t="s">
        <v>22</v>
      </c>
    </row>
    <row r="22353" spans="1:11">
      <c r="A22353" s="33" t="s">
        <v>49438</v>
      </c>
      <c r="B22353" s="33" t="s">
        <v>49439</v>
      </c>
      <c r="C22353" s="33" t="s">
        <v>49440</v>
      </c>
      <c r="D22353" s="33" t="s">
        <v>17</v>
      </c>
      <c r="E22353" s="33" t="s">
        <v>31</v>
      </c>
      <c r="F22353" s="33" t="s">
        <v>32</v>
      </c>
      <c r="G22353" s="33" t="s">
        <v>158</v>
      </c>
      <c r="H22353" s="35">
        <v>206</v>
      </c>
      <c r="I22353" s="33" t="s">
        <v>21</v>
      </c>
      <c r="J22353" s="42">
        <v>45986</v>
      </c>
      <c r="K22353" s="33" t="s">
        <v>22</v>
      </c>
    </row>
    <row r="22354" spans="1:11">
      <c r="A22354" s="30" t="s">
        <v>49441</v>
      </c>
      <c r="B22354" s="30" t="s">
        <v>49442</v>
      </c>
      <c r="C22354" s="30" t="s">
        <v>4004</v>
      </c>
      <c r="D22354" s="30" t="s">
        <v>17</v>
      </c>
      <c r="E22354" s="30" t="s">
        <v>31</v>
      </c>
      <c r="F22354" s="30" t="s">
        <v>32</v>
      </c>
      <c r="G22354" s="30" t="s">
        <v>7780</v>
      </c>
      <c r="H22354" s="32">
        <v>39</v>
      </c>
      <c r="I22354" s="30" t="s">
        <v>51</v>
      </c>
      <c r="J22354" s="41">
        <v>45797</v>
      </c>
      <c r="K22354" s="30" t="s">
        <v>22</v>
      </c>
    </row>
    <row r="22355" spans="1:11">
      <c r="A22355" s="33" t="s">
        <v>49443</v>
      </c>
      <c r="B22355" s="33" t="s">
        <v>49444</v>
      </c>
      <c r="C22355" s="33" t="s">
        <v>801</v>
      </c>
      <c r="D22355" s="33" t="s">
        <v>17</v>
      </c>
      <c r="E22355" s="33" t="s">
        <v>26</v>
      </c>
      <c r="F22355" s="33" t="s">
        <v>27</v>
      </c>
      <c r="G22355" s="33" t="s">
        <v>20</v>
      </c>
      <c r="H22355" s="35">
        <v>70</v>
      </c>
      <c r="I22355" s="33" t="s">
        <v>21</v>
      </c>
      <c r="J22355" s="42">
        <v>46003</v>
      </c>
      <c r="K22355" s="33" t="s">
        <v>22</v>
      </c>
    </row>
    <row r="22356" spans="1:11">
      <c r="A22356" s="30" t="s">
        <v>49445</v>
      </c>
      <c r="B22356" s="30" t="s">
        <v>49446</v>
      </c>
      <c r="C22356" s="30" t="s">
        <v>32940</v>
      </c>
      <c r="D22356" s="30" t="s">
        <v>17</v>
      </c>
      <c r="E22356" s="30" t="s">
        <v>18</v>
      </c>
      <c r="F22356" s="30" t="s">
        <v>19</v>
      </c>
      <c r="G22356" s="30" t="s">
        <v>140</v>
      </c>
      <c r="H22356" s="32">
        <v>221</v>
      </c>
      <c r="I22356" s="30" t="s">
        <v>51</v>
      </c>
      <c r="J22356" s="41">
        <v>45757</v>
      </c>
      <c r="K22356" s="30" t="s">
        <v>22</v>
      </c>
    </row>
    <row r="22357" spans="1:11">
      <c r="A22357" s="33" t="s">
        <v>49447</v>
      </c>
      <c r="B22357" s="33" t="s">
        <v>49448</v>
      </c>
      <c r="C22357" s="33" t="s">
        <v>801</v>
      </c>
      <c r="D22357" s="33" t="s">
        <v>17</v>
      </c>
      <c r="E22357" s="33" t="s">
        <v>26</v>
      </c>
      <c r="F22357" s="33" t="s">
        <v>27</v>
      </c>
      <c r="G22357" s="33" t="s">
        <v>140</v>
      </c>
      <c r="H22357" s="35">
        <v>78</v>
      </c>
      <c r="I22357" s="33" t="s">
        <v>51</v>
      </c>
      <c r="J22357" s="42">
        <v>45898</v>
      </c>
      <c r="K22357" s="33" t="s">
        <v>22</v>
      </c>
    </row>
    <row r="22358" spans="1:11">
      <c r="A22358" s="30" t="s">
        <v>49449</v>
      </c>
      <c r="B22358" s="30" t="s">
        <v>49450</v>
      </c>
      <c r="C22358" s="30" t="s">
        <v>969</v>
      </c>
      <c r="D22358" s="30" t="s">
        <v>17</v>
      </c>
      <c r="E22358" s="30" t="s">
        <v>31</v>
      </c>
      <c r="F22358" s="30" t="s">
        <v>32</v>
      </c>
      <c r="G22358" s="30" t="s">
        <v>140</v>
      </c>
      <c r="H22358" s="32">
        <v>184</v>
      </c>
      <c r="I22358" s="30" t="s">
        <v>51</v>
      </c>
      <c r="J22358" s="41">
        <v>45875</v>
      </c>
      <c r="K22358" s="30" t="s">
        <v>22</v>
      </c>
    </row>
    <row r="22359" spans="1:11">
      <c r="A22359" s="33" t="s">
        <v>49451</v>
      </c>
      <c r="B22359" s="33" t="s">
        <v>49452</v>
      </c>
      <c r="C22359" s="33" t="s">
        <v>7094</v>
      </c>
      <c r="D22359" s="33" t="s">
        <v>17</v>
      </c>
      <c r="E22359" s="33" t="s">
        <v>18</v>
      </c>
      <c r="F22359" s="33" t="s">
        <v>19</v>
      </c>
      <c r="G22359" s="33" t="s">
        <v>7780</v>
      </c>
      <c r="H22359" s="35">
        <v>318</v>
      </c>
      <c r="I22359" s="33" t="s">
        <v>51</v>
      </c>
      <c r="J22359" s="42">
        <v>45703</v>
      </c>
      <c r="K22359" s="33" t="s">
        <v>22</v>
      </c>
    </row>
    <row r="22360" spans="1:11">
      <c r="A22360" s="30" t="s">
        <v>49453</v>
      </c>
      <c r="B22360" s="30" t="s">
        <v>49454</v>
      </c>
      <c r="C22360" s="30" t="s">
        <v>49455</v>
      </c>
      <c r="D22360" s="30" t="s">
        <v>17</v>
      </c>
      <c r="E22360" s="30" t="s">
        <v>26</v>
      </c>
      <c r="F22360" s="30" t="s">
        <v>27</v>
      </c>
      <c r="G22360" s="30" t="s">
        <v>140</v>
      </c>
      <c r="H22360" s="32">
        <v>18</v>
      </c>
      <c r="I22360" s="30" t="s">
        <v>51</v>
      </c>
      <c r="J22360" s="41">
        <v>45821</v>
      </c>
      <c r="K22360" s="30" t="s">
        <v>22</v>
      </c>
    </row>
    <row r="22361" spans="1:11">
      <c r="A22361" s="33" t="s">
        <v>49456</v>
      </c>
      <c r="B22361" s="33" t="s">
        <v>49457</v>
      </c>
      <c r="C22361" s="33" t="s">
        <v>49458</v>
      </c>
      <c r="D22361" s="33" t="s">
        <v>17</v>
      </c>
      <c r="E22361" s="33" t="s">
        <v>330</v>
      </c>
      <c r="F22361" s="33" t="s">
        <v>331</v>
      </c>
      <c r="G22361" s="33" t="s">
        <v>7780</v>
      </c>
      <c r="H22361" s="35">
        <v>42</v>
      </c>
      <c r="I22361" s="33" t="s">
        <v>51</v>
      </c>
      <c r="J22361" s="42">
        <v>45803</v>
      </c>
      <c r="K22361" s="33" t="s">
        <v>22</v>
      </c>
    </row>
    <row r="22362" spans="1:11">
      <c r="A22362" s="30" t="s">
        <v>49459</v>
      </c>
      <c r="B22362" s="30" t="s">
        <v>49460</v>
      </c>
      <c r="C22362" s="30" t="s">
        <v>24109</v>
      </c>
      <c r="D22362" s="30" t="s">
        <v>17</v>
      </c>
      <c r="E22362" s="30" t="s">
        <v>31</v>
      </c>
      <c r="F22362" s="30" t="s">
        <v>32</v>
      </c>
      <c r="G22362" s="30" t="s">
        <v>158</v>
      </c>
      <c r="H22362" s="32">
        <v>120</v>
      </c>
      <c r="I22362" s="30" t="s">
        <v>51</v>
      </c>
      <c r="J22362" s="41">
        <v>45895</v>
      </c>
      <c r="K22362" s="30" t="s">
        <v>22</v>
      </c>
    </row>
    <row r="22363" spans="1:11">
      <c r="A22363" s="33" t="s">
        <v>49461</v>
      </c>
      <c r="B22363" s="33" t="s">
        <v>49462</v>
      </c>
      <c r="C22363" s="33" t="s">
        <v>2196</v>
      </c>
      <c r="D22363" s="33" t="s">
        <v>17</v>
      </c>
      <c r="E22363" s="33" t="s">
        <v>26</v>
      </c>
      <c r="F22363" s="33" t="s">
        <v>27</v>
      </c>
      <c r="G22363" s="33" t="s">
        <v>20</v>
      </c>
      <c r="H22363" s="35">
        <v>40</v>
      </c>
      <c r="I22363" s="33" t="s">
        <v>21</v>
      </c>
      <c r="J22363" s="42">
        <v>45717</v>
      </c>
      <c r="K22363" s="33" t="s">
        <v>22</v>
      </c>
    </row>
    <row r="22364" spans="1:11">
      <c r="A22364" s="30" t="s">
        <v>49463</v>
      </c>
      <c r="B22364" s="30" t="s">
        <v>49464</v>
      </c>
      <c r="C22364" s="30" t="s">
        <v>1923</v>
      </c>
      <c r="D22364" s="30" t="s">
        <v>17</v>
      </c>
      <c r="E22364" s="30" t="s">
        <v>31</v>
      </c>
      <c r="F22364" s="30" t="s">
        <v>32</v>
      </c>
      <c r="G22364" s="30" t="s">
        <v>158</v>
      </c>
      <c r="H22364" s="32">
        <v>164</v>
      </c>
      <c r="I22364" s="30" t="s">
        <v>51</v>
      </c>
      <c r="J22364" s="41">
        <v>45743</v>
      </c>
      <c r="K22364" s="30" t="s">
        <v>22</v>
      </c>
    </row>
    <row r="22365" spans="1:11">
      <c r="A22365" s="33" t="s">
        <v>49465</v>
      </c>
      <c r="B22365" s="33" t="s">
        <v>49466</v>
      </c>
      <c r="C22365" s="33" t="s">
        <v>15097</v>
      </c>
      <c r="D22365" s="33" t="s">
        <v>17</v>
      </c>
      <c r="E22365" s="33" t="s">
        <v>330</v>
      </c>
      <c r="F22365" s="33" t="s">
        <v>331</v>
      </c>
      <c r="G22365" s="33" t="s">
        <v>140</v>
      </c>
      <c r="H22365" s="35">
        <v>36</v>
      </c>
      <c r="I22365" s="33" t="s">
        <v>51</v>
      </c>
      <c r="J22365" s="42">
        <v>46009</v>
      </c>
      <c r="K22365" s="33" t="s">
        <v>22</v>
      </c>
    </row>
    <row r="22366" spans="1:11">
      <c r="A22366" s="30" t="s">
        <v>49467</v>
      </c>
      <c r="B22366" s="30" t="s">
        <v>49468</v>
      </c>
      <c r="C22366" s="30" t="s">
        <v>48424</v>
      </c>
      <c r="D22366" s="30" t="s">
        <v>17</v>
      </c>
      <c r="E22366" s="30" t="s">
        <v>18</v>
      </c>
      <c r="F22366" s="30" t="s">
        <v>19</v>
      </c>
      <c r="G22366" s="30" t="s">
        <v>140</v>
      </c>
      <c r="H22366" s="32">
        <v>360</v>
      </c>
      <c r="I22366" s="30" t="s">
        <v>51</v>
      </c>
      <c r="J22366" s="41">
        <v>45715</v>
      </c>
      <c r="K22366" s="30" t="s">
        <v>22</v>
      </c>
    </row>
    <row r="22367" spans="1:11">
      <c r="A22367" s="33" t="s">
        <v>49469</v>
      </c>
      <c r="B22367" s="33" t="s">
        <v>49470</v>
      </c>
      <c r="C22367" s="33" t="s">
        <v>1674</v>
      </c>
      <c r="D22367" s="33" t="s">
        <v>17</v>
      </c>
      <c r="E22367" s="33" t="s">
        <v>45</v>
      </c>
      <c r="F22367" s="33" t="s">
        <v>46</v>
      </c>
      <c r="G22367" s="33" t="s">
        <v>140</v>
      </c>
      <c r="H22367" s="35">
        <v>630</v>
      </c>
      <c r="I22367" s="33" t="s">
        <v>51</v>
      </c>
      <c r="J22367" s="42">
        <v>45777</v>
      </c>
      <c r="K22367" s="33" t="s">
        <v>22</v>
      </c>
    </row>
    <row r="22368" spans="1:11">
      <c r="A22368" s="30" t="s">
        <v>49471</v>
      </c>
      <c r="B22368" s="30" t="s">
        <v>49472</v>
      </c>
      <c r="C22368" s="30" t="s">
        <v>14737</v>
      </c>
      <c r="D22368" s="30" t="s">
        <v>17</v>
      </c>
      <c r="E22368" s="30" t="s">
        <v>26</v>
      </c>
      <c r="F22368" s="30" t="s">
        <v>27</v>
      </c>
      <c r="G22368" s="30" t="s">
        <v>112</v>
      </c>
      <c r="H22368" s="32">
        <v>0</v>
      </c>
      <c r="I22368" s="30" t="s">
        <v>21</v>
      </c>
      <c r="J22368" s="41">
        <v>45992</v>
      </c>
      <c r="K22368" s="30" t="s">
        <v>22</v>
      </c>
    </row>
    <row r="22369" spans="1:11">
      <c r="A22369" s="33" t="s">
        <v>49473</v>
      </c>
      <c r="B22369" s="33" t="s">
        <v>49474</v>
      </c>
      <c r="C22369" s="33" t="s">
        <v>49475</v>
      </c>
      <c r="D22369" s="33" t="s">
        <v>17</v>
      </c>
      <c r="E22369" s="33" t="s">
        <v>18</v>
      </c>
      <c r="F22369" s="33" t="s">
        <v>19</v>
      </c>
      <c r="G22369" s="33" t="s">
        <v>140</v>
      </c>
      <c r="H22369" s="35">
        <v>320</v>
      </c>
      <c r="I22369" s="33" t="s">
        <v>51</v>
      </c>
      <c r="J22369" s="42">
        <v>46006</v>
      </c>
      <c r="K22369" s="33" t="s">
        <v>22</v>
      </c>
    </row>
    <row r="22370" spans="1:11">
      <c r="A22370" s="30" t="s">
        <v>49476</v>
      </c>
      <c r="B22370" s="30" t="s">
        <v>49477</v>
      </c>
      <c r="C22370" s="30" t="s">
        <v>124</v>
      </c>
      <c r="D22370" s="30" t="s">
        <v>17</v>
      </c>
      <c r="E22370" s="30" t="s">
        <v>212</v>
      </c>
      <c r="F22370" s="30" t="s">
        <v>213</v>
      </c>
      <c r="G22370" s="30" t="s">
        <v>140</v>
      </c>
      <c r="H22370" s="32">
        <v>40</v>
      </c>
      <c r="I22370" s="30" t="s">
        <v>51</v>
      </c>
      <c r="J22370" s="41">
        <v>45663</v>
      </c>
      <c r="K22370" s="30" t="s">
        <v>22</v>
      </c>
    </row>
    <row r="22371" spans="1:11">
      <c r="A22371" s="33" t="s">
        <v>49478</v>
      </c>
      <c r="B22371" s="33" t="s">
        <v>49479</v>
      </c>
      <c r="C22371" s="33" t="s">
        <v>925</v>
      </c>
      <c r="D22371" s="33" t="s">
        <v>17</v>
      </c>
      <c r="E22371" s="33" t="s">
        <v>26</v>
      </c>
      <c r="F22371" s="33" t="s">
        <v>27</v>
      </c>
      <c r="G22371" s="33" t="s">
        <v>20</v>
      </c>
      <c r="H22371" s="35">
        <v>27</v>
      </c>
      <c r="I22371" s="33" t="s">
        <v>21</v>
      </c>
      <c r="J22371" s="42">
        <v>45806</v>
      </c>
      <c r="K22371" s="33" t="s">
        <v>22</v>
      </c>
    </row>
    <row r="22372" spans="1:11">
      <c r="A22372" s="30" t="s">
        <v>49480</v>
      </c>
      <c r="B22372" s="30" t="s">
        <v>49481</v>
      </c>
      <c r="C22372" s="30" t="s">
        <v>43768</v>
      </c>
      <c r="D22372" s="30" t="s">
        <v>17</v>
      </c>
      <c r="E22372" s="30" t="s">
        <v>31</v>
      </c>
      <c r="F22372" s="30" t="s">
        <v>32</v>
      </c>
      <c r="G22372" s="30" t="s">
        <v>140</v>
      </c>
      <c r="H22372" s="32">
        <v>340</v>
      </c>
      <c r="I22372" s="30" t="s">
        <v>51</v>
      </c>
      <c r="J22372" s="41">
        <v>45764</v>
      </c>
      <c r="K22372" s="30" t="s">
        <v>22</v>
      </c>
    </row>
    <row r="22373" spans="1:11">
      <c r="A22373" s="33" t="s">
        <v>49482</v>
      </c>
      <c r="B22373" s="33" t="s">
        <v>49483</v>
      </c>
      <c r="C22373" s="33" t="s">
        <v>96</v>
      </c>
      <c r="D22373" s="33" t="s">
        <v>17</v>
      </c>
      <c r="E22373" s="33" t="s">
        <v>31</v>
      </c>
      <c r="F22373" s="33" t="s">
        <v>32</v>
      </c>
      <c r="G22373" s="33" t="s">
        <v>158</v>
      </c>
      <c r="H22373" s="35">
        <v>268</v>
      </c>
      <c r="I22373" s="33" t="s">
        <v>21</v>
      </c>
      <c r="J22373" s="42">
        <v>45754</v>
      </c>
      <c r="K22373" s="33" t="s">
        <v>22</v>
      </c>
    </row>
    <row r="22374" spans="1:11">
      <c r="A22374" s="30" t="s">
        <v>49484</v>
      </c>
      <c r="B22374" s="30" t="s">
        <v>49485</v>
      </c>
      <c r="C22374" s="30" t="s">
        <v>969</v>
      </c>
      <c r="D22374" s="30" t="s">
        <v>17</v>
      </c>
      <c r="E22374" s="30" t="s">
        <v>18</v>
      </c>
      <c r="F22374" s="30" t="s">
        <v>19</v>
      </c>
      <c r="G22374" s="30" t="s">
        <v>140</v>
      </c>
      <c r="H22374" s="32">
        <v>911</v>
      </c>
      <c r="I22374" s="30" t="s">
        <v>51</v>
      </c>
      <c r="J22374" s="41">
        <v>45764</v>
      </c>
      <c r="K22374" s="30" t="s">
        <v>22</v>
      </c>
    </row>
    <row r="22375" spans="1:11">
      <c r="A22375" s="33" t="s">
        <v>49486</v>
      </c>
      <c r="B22375" s="33" t="s">
        <v>49487</v>
      </c>
      <c r="C22375" s="33" t="s">
        <v>14933</v>
      </c>
      <c r="D22375" s="33" t="s">
        <v>17</v>
      </c>
      <c r="E22375" s="33" t="s">
        <v>31</v>
      </c>
      <c r="F22375" s="33" t="s">
        <v>32</v>
      </c>
      <c r="G22375" s="33" t="s">
        <v>158</v>
      </c>
      <c r="H22375" s="35">
        <v>203</v>
      </c>
      <c r="I22375" s="33" t="s">
        <v>21</v>
      </c>
      <c r="J22375" s="42">
        <v>45776</v>
      </c>
      <c r="K22375" s="33" t="s">
        <v>22</v>
      </c>
    </row>
    <row r="22376" spans="1:11">
      <c r="A22376" s="30" t="s">
        <v>49488</v>
      </c>
      <c r="B22376" s="30" t="s">
        <v>49489</v>
      </c>
      <c r="C22376" s="30" t="s">
        <v>1441</v>
      </c>
      <c r="D22376" s="30" t="s">
        <v>17</v>
      </c>
      <c r="E22376" s="30" t="s">
        <v>26</v>
      </c>
      <c r="F22376" s="30" t="s">
        <v>27</v>
      </c>
      <c r="G22376" s="30" t="s">
        <v>20</v>
      </c>
      <c r="H22376" s="32">
        <v>38</v>
      </c>
      <c r="I22376" s="30" t="s">
        <v>21</v>
      </c>
      <c r="J22376" s="41">
        <v>45706</v>
      </c>
      <c r="K22376" s="30" t="s">
        <v>22</v>
      </c>
    </row>
    <row r="22377" spans="1:11">
      <c r="A22377" s="33" t="s">
        <v>49490</v>
      </c>
      <c r="B22377" s="33" t="s">
        <v>49491</v>
      </c>
      <c r="C22377" s="33" t="s">
        <v>11899</v>
      </c>
      <c r="D22377" s="33" t="s">
        <v>17</v>
      </c>
      <c r="E22377" s="33" t="s">
        <v>26</v>
      </c>
      <c r="F22377" s="33" t="s">
        <v>27</v>
      </c>
      <c r="G22377" s="33" t="s">
        <v>140</v>
      </c>
      <c r="H22377" s="35">
        <v>200</v>
      </c>
      <c r="I22377" s="33" t="s">
        <v>51</v>
      </c>
      <c r="J22377" s="42">
        <v>45897</v>
      </c>
      <c r="K22377" s="33" t="s">
        <v>22</v>
      </c>
    </row>
    <row r="22378" spans="1:11">
      <c r="A22378" s="30" t="s">
        <v>49492</v>
      </c>
      <c r="B22378" s="30" t="s">
        <v>49493</v>
      </c>
      <c r="C22378" s="30" t="s">
        <v>3655</v>
      </c>
      <c r="D22378" s="30" t="s">
        <v>17</v>
      </c>
      <c r="E22378" s="30" t="s">
        <v>67</v>
      </c>
      <c r="F22378" s="30" t="s">
        <v>68</v>
      </c>
      <c r="G22378" s="30" t="s">
        <v>140</v>
      </c>
      <c r="H22378" s="32">
        <v>420</v>
      </c>
      <c r="I22378" s="30" t="s">
        <v>51</v>
      </c>
      <c r="J22378" s="41">
        <v>45922</v>
      </c>
      <c r="K22378" s="30" t="s">
        <v>22</v>
      </c>
    </row>
    <row r="22379" spans="1:11">
      <c r="A22379" s="33" t="s">
        <v>49494</v>
      </c>
      <c r="B22379" s="33" t="s">
        <v>49495</v>
      </c>
      <c r="C22379" s="33" t="s">
        <v>187</v>
      </c>
      <c r="D22379" s="33" t="s">
        <v>17</v>
      </c>
      <c r="E22379" s="33" t="s">
        <v>67</v>
      </c>
      <c r="F22379" s="33" t="s">
        <v>68</v>
      </c>
      <c r="G22379" s="33" t="s">
        <v>140</v>
      </c>
      <c r="H22379" s="35">
        <v>72</v>
      </c>
      <c r="I22379" s="33" t="s">
        <v>51</v>
      </c>
      <c r="J22379" s="42">
        <v>45758</v>
      </c>
      <c r="K22379" s="33" t="s">
        <v>22</v>
      </c>
    </row>
    <row r="22380" spans="1:11">
      <c r="A22380" s="30" t="s">
        <v>49496</v>
      </c>
      <c r="B22380" s="30" t="s">
        <v>49497</v>
      </c>
      <c r="C22380" s="30" t="s">
        <v>31562</v>
      </c>
      <c r="D22380" s="30" t="s">
        <v>17</v>
      </c>
      <c r="E22380" s="30" t="s">
        <v>26</v>
      </c>
      <c r="F22380" s="30" t="s">
        <v>27</v>
      </c>
      <c r="G22380" s="30" t="s">
        <v>140</v>
      </c>
      <c r="H22380" s="32">
        <v>475</v>
      </c>
      <c r="I22380" s="30" t="s">
        <v>51</v>
      </c>
      <c r="J22380" s="41">
        <v>45714</v>
      </c>
      <c r="K22380" s="30" t="s">
        <v>22</v>
      </c>
    </row>
    <row r="22381" spans="1:11">
      <c r="A22381" s="33" t="s">
        <v>49498</v>
      </c>
      <c r="B22381" s="33" t="s">
        <v>49499</v>
      </c>
      <c r="C22381" s="33" t="s">
        <v>21185</v>
      </c>
      <c r="D22381" s="33" t="s">
        <v>17</v>
      </c>
      <c r="E22381" s="33" t="s">
        <v>26</v>
      </c>
      <c r="F22381" s="33" t="s">
        <v>27</v>
      </c>
      <c r="G22381" s="33" t="s">
        <v>140</v>
      </c>
      <c r="H22381" s="35">
        <v>42</v>
      </c>
      <c r="I22381" s="33" t="s">
        <v>51</v>
      </c>
      <c r="J22381" s="42">
        <v>46000</v>
      </c>
      <c r="K22381" s="33" t="s">
        <v>22</v>
      </c>
    </row>
    <row r="22382" spans="1:11">
      <c r="A22382" s="30" t="s">
        <v>49500</v>
      </c>
      <c r="B22382" s="30" t="s">
        <v>49501</v>
      </c>
      <c r="C22382" s="30" t="s">
        <v>39233</v>
      </c>
      <c r="D22382" s="30" t="s">
        <v>17</v>
      </c>
      <c r="E22382" s="30" t="s">
        <v>26</v>
      </c>
      <c r="F22382" s="30" t="s">
        <v>27</v>
      </c>
      <c r="G22382" s="30" t="s">
        <v>140</v>
      </c>
      <c r="H22382" s="32">
        <v>132</v>
      </c>
      <c r="I22382" s="30" t="s">
        <v>51</v>
      </c>
      <c r="J22382" s="41">
        <v>45750</v>
      </c>
      <c r="K22382" s="30" t="s">
        <v>22</v>
      </c>
    </row>
    <row r="22383" spans="1:11">
      <c r="A22383" s="33" t="s">
        <v>49502</v>
      </c>
      <c r="B22383" s="33" t="s">
        <v>49503</v>
      </c>
      <c r="C22383" s="33" t="s">
        <v>190</v>
      </c>
      <c r="D22383" s="33" t="s">
        <v>17</v>
      </c>
      <c r="E22383" s="33" t="s">
        <v>26</v>
      </c>
      <c r="F22383" s="33" t="s">
        <v>27</v>
      </c>
      <c r="G22383" s="33" t="s">
        <v>140</v>
      </c>
      <c r="H22383" s="35">
        <v>72</v>
      </c>
      <c r="I22383" s="33" t="s">
        <v>51</v>
      </c>
      <c r="J22383" s="42">
        <v>45964</v>
      </c>
      <c r="K22383" s="33" t="s">
        <v>22</v>
      </c>
    </row>
    <row r="22384" spans="1:11">
      <c r="A22384" s="30" t="s">
        <v>49504</v>
      </c>
      <c r="B22384" s="30" t="s">
        <v>49505</v>
      </c>
      <c r="C22384" s="30" t="s">
        <v>8151</v>
      </c>
      <c r="D22384" s="30" t="s">
        <v>17</v>
      </c>
      <c r="E22384" s="30" t="s">
        <v>31</v>
      </c>
      <c r="F22384" s="30" t="s">
        <v>32</v>
      </c>
      <c r="G22384" s="30" t="s">
        <v>158</v>
      </c>
      <c r="H22384" s="32">
        <v>50</v>
      </c>
      <c r="I22384" s="30" t="s">
        <v>51</v>
      </c>
      <c r="J22384" s="41">
        <v>45782</v>
      </c>
      <c r="K22384" s="30" t="s">
        <v>22</v>
      </c>
    </row>
    <row r="22385" spans="1:11">
      <c r="A22385" s="33" t="s">
        <v>49506</v>
      </c>
      <c r="B22385" s="33" t="s">
        <v>49507</v>
      </c>
      <c r="C22385" s="33" t="s">
        <v>41498</v>
      </c>
      <c r="D22385" s="33" t="s">
        <v>17</v>
      </c>
      <c r="E22385" s="33" t="s">
        <v>67</v>
      </c>
      <c r="F22385" s="33" t="s">
        <v>68</v>
      </c>
      <c r="G22385" s="33" t="s">
        <v>140</v>
      </c>
      <c r="H22385" s="35">
        <v>90</v>
      </c>
      <c r="I22385" s="33" t="s">
        <v>51</v>
      </c>
      <c r="J22385" s="42">
        <v>45851</v>
      </c>
      <c r="K22385" s="33" t="s">
        <v>22</v>
      </c>
    </row>
    <row r="22386" spans="1:11">
      <c r="A22386" s="30" t="s">
        <v>49508</v>
      </c>
      <c r="B22386" s="30" t="s">
        <v>49509</v>
      </c>
      <c r="C22386" s="30" t="s">
        <v>11850</v>
      </c>
      <c r="D22386" s="30" t="s">
        <v>17</v>
      </c>
      <c r="E22386" s="30" t="s">
        <v>67</v>
      </c>
      <c r="F22386" s="30" t="s">
        <v>68</v>
      </c>
      <c r="G22386" s="30" t="s">
        <v>140</v>
      </c>
      <c r="H22386" s="32">
        <v>54</v>
      </c>
      <c r="I22386" s="30" t="s">
        <v>51</v>
      </c>
      <c r="J22386" s="41">
        <v>45726</v>
      </c>
      <c r="K22386" s="30" t="s">
        <v>22</v>
      </c>
    </row>
    <row r="22387" spans="1:11">
      <c r="A22387" s="33" t="s">
        <v>49510</v>
      </c>
      <c r="B22387" s="33" t="s">
        <v>49511</v>
      </c>
      <c r="C22387" s="33" t="s">
        <v>49512</v>
      </c>
      <c r="D22387" s="33" t="s">
        <v>17</v>
      </c>
      <c r="E22387" s="33" t="s">
        <v>31</v>
      </c>
      <c r="F22387" s="33" t="s">
        <v>32</v>
      </c>
      <c r="G22387" s="33" t="s">
        <v>140</v>
      </c>
      <c r="H22387" s="35">
        <v>80</v>
      </c>
      <c r="I22387" s="33" t="s">
        <v>51</v>
      </c>
      <c r="J22387" s="42">
        <v>45839</v>
      </c>
      <c r="K22387" s="33" t="s">
        <v>22</v>
      </c>
    </row>
    <row r="22388" spans="1:11">
      <c r="A22388" s="30" t="s">
        <v>49513</v>
      </c>
      <c r="B22388" s="30" t="s">
        <v>49514</v>
      </c>
      <c r="C22388" s="30" t="s">
        <v>5443</v>
      </c>
      <c r="D22388" s="30" t="s">
        <v>17</v>
      </c>
      <c r="E22388" s="30" t="s">
        <v>26</v>
      </c>
      <c r="F22388" s="30" t="s">
        <v>27</v>
      </c>
      <c r="G22388" s="30" t="s">
        <v>7780</v>
      </c>
      <c r="H22388" s="32">
        <v>12</v>
      </c>
      <c r="I22388" s="30" t="s">
        <v>51</v>
      </c>
      <c r="J22388" s="41">
        <v>46018</v>
      </c>
      <c r="K22388" s="30" t="s">
        <v>22</v>
      </c>
    </row>
    <row r="22389" spans="1:11">
      <c r="A22389" s="33" t="s">
        <v>49515</v>
      </c>
      <c r="B22389" s="33" t="s">
        <v>49516</v>
      </c>
      <c r="C22389" s="33" t="s">
        <v>698</v>
      </c>
      <c r="D22389" s="33" t="s">
        <v>17</v>
      </c>
      <c r="E22389" s="33" t="s">
        <v>26</v>
      </c>
      <c r="F22389" s="33" t="s">
        <v>27</v>
      </c>
      <c r="G22389" s="33" t="s">
        <v>140</v>
      </c>
      <c r="H22389" s="35">
        <v>200</v>
      </c>
      <c r="I22389" s="33" t="s">
        <v>51</v>
      </c>
      <c r="J22389" s="42">
        <v>45925</v>
      </c>
      <c r="K22389" s="33" t="s">
        <v>22</v>
      </c>
    </row>
    <row r="22390" spans="1:11">
      <c r="A22390" s="30" t="s">
        <v>49517</v>
      </c>
      <c r="B22390" s="30" t="s">
        <v>49518</v>
      </c>
      <c r="C22390" s="30" t="s">
        <v>12195</v>
      </c>
      <c r="D22390" s="30" t="s">
        <v>17</v>
      </c>
      <c r="E22390" s="30" t="s">
        <v>18</v>
      </c>
      <c r="F22390" s="30" t="s">
        <v>19</v>
      </c>
      <c r="G22390" s="30" t="s">
        <v>140</v>
      </c>
      <c r="H22390" s="32">
        <v>30</v>
      </c>
      <c r="I22390" s="30" t="s">
        <v>51</v>
      </c>
      <c r="J22390" s="41">
        <v>45992</v>
      </c>
      <c r="K22390" s="30" t="s">
        <v>22</v>
      </c>
    </row>
    <row r="22391" spans="1:11">
      <c r="A22391" s="33" t="s">
        <v>49519</v>
      </c>
      <c r="B22391" s="33" t="s">
        <v>49520</v>
      </c>
      <c r="C22391" s="33" t="s">
        <v>49521</v>
      </c>
      <c r="D22391" s="33" t="s">
        <v>17</v>
      </c>
      <c r="E22391" s="33" t="s">
        <v>26</v>
      </c>
      <c r="F22391" s="33" t="s">
        <v>27</v>
      </c>
      <c r="G22391" s="33" t="s">
        <v>140</v>
      </c>
      <c r="H22391" s="35">
        <v>16</v>
      </c>
      <c r="I22391" s="33" t="s">
        <v>51</v>
      </c>
      <c r="J22391" s="42">
        <v>45763</v>
      </c>
      <c r="K22391" s="33" t="s">
        <v>22</v>
      </c>
    </row>
    <row r="22392" spans="1:11">
      <c r="A22392" s="30" t="s">
        <v>49522</v>
      </c>
      <c r="B22392" s="30" t="s">
        <v>49523</v>
      </c>
      <c r="C22392" s="30" t="s">
        <v>426</v>
      </c>
      <c r="D22392" s="30" t="s">
        <v>17</v>
      </c>
      <c r="E22392" s="30" t="s">
        <v>18</v>
      </c>
      <c r="F22392" s="30" t="s">
        <v>19</v>
      </c>
      <c r="G22392" s="30" t="s">
        <v>140</v>
      </c>
      <c r="H22392" s="32">
        <v>490</v>
      </c>
      <c r="I22392" s="30" t="s">
        <v>51</v>
      </c>
      <c r="J22392" s="41">
        <v>45679</v>
      </c>
      <c r="K22392" s="30" t="s">
        <v>22</v>
      </c>
    </row>
    <row r="22393" spans="1:11">
      <c r="A22393" s="33" t="s">
        <v>49524</v>
      </c>
      <c r="B22393" s="33" t="s">
        <v>49525</v>
      </c>
      <c r="C22393" s="33" t="s">
        <v>15453</v>
      </c>
      <c r="D22393" s="33" t="s">
        <v>17</v>
      </c>
      <c r="E22393" s="33" t="s">
        <v>31</v>
      </c>
      <c r="F22393" s="33" t="s">
        <v>32</v>
      </c>
      <c r="G22393" s="33" t="s">
        <v>7780</v>
      </c>
      <c r="H22393" s="35">
        <v>10</v>
      </c>
      <c r="I22393" s="33" t="s">
        <v>51</v>
      </c>
      <c r="J22393" s="42">
        <v>46006</v>
      </c>
      <c r="K22393" s="33" t="s">
        <v>22</v>
      </c>
    </row>
    <row r="22394" spans="1:11">
      <c r="A22394" s="30" t="s">
        <v>49526</v>
      </c>
      <c r="B22394" s="30" t="s">
        <v>49527</v>
      </c>
      <c r="C22394" s="30" t="s">
        <v>16107</v>
      </c>
      <c r="D22394" s="30" t="s">
        <v>17</v>
      </c>
      <c r="E22394" s="30" t="s">
        <v>18</v>
      </c>
      <c r="F22394" s="30" t="s">
        <v>19</v>
      </c>
      <c r="G22394" s="30" t="s">
        <v>140</v>
      </c>
      <c r="H22394" s="32">
        <v>80</v>
      </c>
      <c r="I22394" s="30" t="s">
        <v>51</v>
      </c>
      <c r="J22394" s="41">
        <v>45929</v>
      </c>
      <c r="K22394" s="30" t="s">
        <v>22</v>
      </c>
    </row>
    <row r="22395" spans="1:11">
      <c r="A22395" s="33" t="s">
        <v>49528</v>
      </c>
      <c r="B22395" s="33" t="s">
        <v>49529</v>
      </c>
      <c r="C22395" s="33" t="s">
        <v>49530</v>
      </c>
      <c r="D22395" s="33" t="s">
        <v>17</v>
      </c>
      <c r="E22395" s="33" t="s">
        <v>26</v>
      </c>
      <c r="F22395" s="33" t="s">
        <v>27</v>
      </c>
      <c r="G22395" s="33" t="s">
        <v>140</v>
      </c>
      <c r="H22395" s="35">
        <v>15</v>
      </c>
      <c r="I22395" s="33" t="s">
        <v>51</v>
      </c>
      <c r="J22395" s="42">
        <v>45992</v>
      </c>
      <c r="K22395" s="33" t="s">
        <v>22</v>
      </c>
    </row>
    <row r="22396" spans="1:11">
      <c r="A22396" s="30" t="s">
        <v>49531</v>
      </c>
      <c r="B22396" s="30" t="s">
        <v>49532</v>
      </c>
      <c r="C22396" s="30" t="s">
        <v>49533</v>
      </c>
      <c r="D22396" s="30" t="s">
        <v>17</v>
      </c>
      <c r="E22396" s="30" t="s">
        <v>67</v>
      </c>
      <c r="F22396" s="30" t="s">
        <v>68</v>
      </c>
      <c r="G22396" s="30" t="s">
        <v>140</v>
      </c>
      <c r="H22396" s="32">
        <v>96</v>
      </c>
      <c r="I22396" s="30" t="s">
        <v>51</v>
      </c>
      <c r="J22396" s="41">
        <v>45965</v>
      </c>
      <c r="K22396" s="30" t="s">
        <v>22</v>
      </c>
    </row>
    <row r="22397" spans="1:11">
      <c r="A22397" s="33" t="s">
        <v>49534</v>
      </c>
      <c r="B22397" s="33" t="s">
        <v>49535</v>
      </c>
      <c r="C22397" s="33" t="s">
        <v>75</v>
      </c>
      <c r="D22397" s="33" t="s">
        <v>17</v>
      </c>
      <c r="E22397" s="33" t="s">
        <v>26</v>
      </c>
      <c r="F22397" s="33" t="s">
        <v>27</v>
      </c>
      <c r="G22397" s="33" t="s">
        <v>20</v>
      </c>
      <c r="H22397" s="35">
        <v>24</v>
      </c>
      <c r="I22397" s="33" t="s">
        <v>21</v>
      </c>
      <c r="J22397" s="42">
        <v>45776</v>
      </c>
      <c r="K22397" s="33" t="s">
        <v>22</v>
      </c>
    </row>
    <row r="22398" spans="1:11">
      <c r="A22398" s="30" t="s">
        <v>49536</v>
      </c>
      <c r="B22398" s="30" t="s">
        <v>49537</v>
      </c>
      <c r="C22398" s="30" t="s">
        <v>7051</v>
      </c>
      <c r="D22398" s="30" t="s">
        <v>17</v>
      </c>
      <c r="E22398" s="30" t="s">
        <v>26</v>
      </c>
      <c r="F22398" s="30" t="s">
        <v>27</v>
      </c>
      <c r="G22398" s="30" t="s">
        <v>140</v>
      </c>
      <c r="H22398" s="32">
        <v>40</v>
      </c>
      <c r="I22398" s="30" t="s">
        <v>51</v>
      </c>
      <c r="J22398" s="41">
        <v>45834</v>
      </c>
      <c r="K22398" s="30" t="s">
        <v>22</v>
      </c>
    </row>
    <row r="22399" spans="1:11">
      <c r="A22399" s="33" t="s">
        <v>49538</v>
      </c>
      <c r="B22399" s="33" t="s">
        <v>49539</v>
      </c>
      <c r="C22399" s="33" t="s">
        <v>49540</v>
      </c>
      <c r="D22399" s="33" t="s">
        <v>17</v>
      </c>
      <c r="E22399" s="33" t="s">
        <v>67</v>
      </c>
      <c r="F22399" s="33" t="s">
        <v>68</v>
      </c>
      <c r="G22399" s="33" t="s">
        <v>112</v>
      </c>
      <c r="H22399" s="35">
        <v>0</v>
      </c>
      <c r="I22399" s="33" t="s">
        <v>21</v>
      </c>
      <c r="J22399" s="42">
        <v>45931</v>
      </c>
      <c r="K22399" s="33" t="s">
        <v>22</v>
      </c>
    </row>
    <row r="22400" spans="1:11">
      <c r="A22400" s="30" t="s">
        <v>49541</v>
      </c>
      <c r="B22400" s="30" t="s">
        <v>49542</v>
      </c>
      <c r="C22400" s="30" t="s">
        <v>20240</v>
      </c>
      <c r="D22400" s="30" t="s">
        <v>17</v>
      </c>
      <c r="E22400" s="30" t="s">
        <v>18</v>
      </c>
      <c r="F22400" s="30" t="s">
        <v>19</v>
      </c>
      <c r="G22400" s="30" t="s">
        <v>7780</v>
      </c>
      <c r="H22400" s="32">
        <v>280</v>
      </c>
      <c r="I22400" s="30" t="s">
        <v>51</v>
      </c>
      <c r="J22400" s="41">
        <v>45839</v>
      </c>
      <c r="K22400" s="30" t="s">
        <v>22</v>
      </c>
    </row>
    <row r="22401" spans="1:11">
      <c r="A22401" s="33" t="s">
        <v>49543</v>
      </c>
      <c r="B22401" s="33" t="s">
        <v>49544</v>
      </c>
      <c r="C22401" s="33" t="s">
        <v>3655</v>
      </c>
      <c r="D22401" s="33" t="s">
        <v>17</v>
      </c>
      <c r="E22401" s="33" t="s">
        <v>18</v>
      </c>
      <c r="F22401" s="33" t="s">
        <v>19</v>
      </c>
      <c r="G22401" s="33" t="s">
        <v>20</v>
      </c>
      <c r="H22401" s="35">
        <v>774</v>
      </c>
      <c r="I22401" s="33" t="s">
        <v>21</v>
      </c>
      <c r="J22401" s="42">
        <v>45846</v>
      </c>
      <c r="K22401" s="33" t="s">
        <v>22</v>
      </c>
    </row>
    <row r="22402" spans="1:11">
      <c r="A22402" s="30" t="s">
        <v>49545</v>
      </c>
      <c r="B22402" s="30" t="s">
        <v>49546</v>
      </c>
      <c r="C22402" s="30" t="s">
        <v>178</v>
      </c>
      <c r="D22402" s="30" t="s">
        <v>17</v>
      </c>
      <c r="E22402" s="30" t="s">
        <v>26</v>
      </c>
      <c r="F22402" s="30" t="s">
        <v>27</v>
      </c>
      <c r="G22402" s="30" t="s">
        <v>140</v>
      </c>
      <c r="H22402" s="32">
        <v>128</v>
      </c>
      <c r="I22402" s="30" t="s">
        <v>51</v>
      </c>
      <c r="J22402" s="41">
        <v>46013</v>
      </c>
      <c r="K22402" s="30" t="s">
        <v>22</v>
      </c>
    </row>
    <row r="22403" spans="1:11">
      <c r="A22403" s="33" t="s">
        <v>49547</v>
      </c>
      <c r="B22403" s="33" t="s">
        <v>49548</v>
      </c>
      <c r="C22403" s="33" t="s">
        <v>8653</v>
      </c>
      <c r="D22403" s="33" t="s">
        <v>17</v>
      </c>
      <c r="E22403" s="33" t="s">
        <v>26</v>
      </c>
      <c r="F22403" s="33" t="s">
        <v>27</v>
      </c>
      <c r="G22403" s="33" t="s">
        <v>20</v>
      </c>
      <c r="H22403" s="35">
        <v>55</v>
      </c>
      <c r="I22403" s="33" t="s">
        <v>21</v>
      </c>
      <c r="J22403" s="42">
        <v>45692</v>
      </c>
      <c r="K22403" s="33" t="s">
        <v>22</v>
      </c>
    </row>
    <row r="22404" spans="1:11">
      <c r="A22404" s="30" t="s">
        <v>49549</v>
      </c>
      <c r="B22404" s="30" t="s">
        <v>49550</v>
      </c>
      <c r="C22404" s="30" t="s">
        <v>190</v>
      </c>
      <c r="D22404" s="30" t="s">
        <v>17</v>
      </c>
      <c r="E22404" s="30" t="s">
        <v>26</v>
      </c>
      <c r="F22404" s="30" t="s">
        <v>27</v>
      </c>
      <c r="G22404" s="30" t="s">
        <v>140</v>
      </c>
      <c r="H22404" s="32">
        <v>50</v>
      </c>
      <c r="I22404" s="30" t="s">
        <v>51</v>
      </c>
      <c r="J22404" s="41">
        <v>45812</v>
      </c>
      <c r="K22404" s="30" t="s">
        <v>22</v>
      </c>
    </row>
    <row r="22405" spans="1:11">
      <c r="A22405" s="33" t="s">
        <v>49551</v>
      </c>
      <c r="B22405" s="33" t="s">
        <v>49552</v>
      </c>
      <c r="C22405" s="33" t="s">
        <v>44</v>
      </c>
      <c r="D22405" s="33" t="s">
        <v>17</v>
      </c>
      <c r="E22405" s="33" t="s">
        <v>26</v>
      </c>
      <c r="F22405" s="33" t="s">
        <v>27</v>
      </c>
      <c r="G22405" s="33" t="s">
        <v>158</v>
      </c>
      <c r="H22405" s="35">
        <v>56</v>
      </c>
      <c r="I22405" s="33" t="s">
        <v>21</v>
      </c>
      <c r="J22405" s="42">
        <v>45722</v>
      </c>
      <c r="K22405" s="33" t="s">
        <v>22</v>
      </c>
    </row>
    <row r="22406" spans="1:11">
      <c r="A22406" s="30" t="s">
        <v>49553</v>
      </c>
      <c r="B22406" s="30" t="s">
        <v>49554</v>
      </c>
      <c r="C22406" s="30" t="s">
        <v>3459</v>
      </c>
      <c r="D22406" s="30" t="s">
        <v>17</v>
      </c>
      <c r="E22406" s="30" t="s">
        <v>67</v>
      </c>
      <c r="F22406" s="30" t="s">
        <v>68</v>
      </c>
      <c r="G22406" s="30" t="s">
        <v>140</v>
      </c>
      <c r="H22406" s="32">
        <v>32</v>
      </c>
      <c r="I22406" s="30" t="s">
        <v>51</v>
      </c>
      <c r="J22406" s="41">
        <v>45930</v>
      </c>
      <c r="K22406" s="30" t="s">
        <v>22</v>
      </c>
    </row>
    <row r="22407" spans="1:11">
      <c r="A22407" s="33" t="s">
        <v>49555</v>
      </c>
      <c r="B22407" s="33" t="s">
        <v>49556</v>
      </c>
      <c r="C22407" s="33" t="s">
        <v>718</v>
      </c>
      <c r="D22407" s="33" t="s">
        <v>17</v>
      </c>
      <c r="E22407" s="33" t="s">
        <v>18</v>
      </c>
      <c r="F22407" s="33" t="s">
        <v>19</v>
      </c>
      <c r="G22407" s="33" t="s">
        <v>2613</v>
      </c>
      <c r="H22407" s="35">
        <v>342</v>
      </c>
      <c r="I22407" s="33" t="s">
        <v>51</v>
      </c>
      <c r="J22407" s="42">
        <v>45693</v>
      </c>
      <c r="K22407" s="33" t="s">
        <v>22</v>
      </c>
    </row>
    <row r="22408" spans="1:11">
      <c r="A22408" s="30" t="s">
        <v>49557</v>
      </c>
      <c r="B22408" s="30" t="s">
        <v>49558</v>
      </c>
      <c r="C22408" s="30" t="s">
        <v>5312</v>
      </c>
      <c r="D22408" s="30" t="s">
        <v>17</v>
      </c>
      <c r="E22408" s="30" t="s">
        <v>26</v>
      </c>
      <c r="F22408" s="30" t="s">
        <v>27</v>
      </c>
      <c r="G22408" s="30" t="s">
        <v>20</v>
      </c>
      <c r="H22408" s="32">
        <v>21</v>
      </c>
      <c r="I22408" s="30" t="s">
        <v>21</v>
      </c>
      <c r="J22408" s="41">
        <v>45958</v>
      </c>
      <c r="K22408" s="30" t="s">
        <v>22</v>
      </c>
    </row>
    <row r="22409" spans="1:11">
      <c r="A22409" s="33" t="s">
        <v>49559</v>
      </c>
      <c r="B22409" s="33" t="s">
        <v>49560</v>
      </c>
      <c r="C22409" s="33" t="s">
        <v>3655</v>
      </c>
      <c r="D22409" s="33" t="s">
        <v>17</v>
      </c>
      <c r="E22409" s="33" t="s">
        <v>18</v>
      </c>
      <c r="F22409" s="33" t="s">
        <v>19</v>
      </c>
      <c r="G22409" s="33" t="s">
        <v>158</v>
      </c>
      <c r="H22409" s="35">
        <v>343</v>
      </c>
      <c r="I22409" s="33" t="s">
        <v>21</v>
      </c>
      <c r="J22409" s="42">
        <v>45960</v>
      </c>
      <c r="K22409" s="33" t="s">
        <v>22</v>
      </c>
    </row>
    <row r="22410" spans="1:11">
      <c r="A22410" s="30" t="s">
        <v>49561</v>
      </c>
      <c r="B22410" s="30" t="s">
        <v>49562</v>
      </c>
      <c r="C22410" s="30" t="s">
        <v>41803</v>
      </c>
      <c r="D22410" s="30" t="s">
        <v>17</v>
      </c>
      <c r="E22410" s="30" t="s">
        <v>31</v>
      </c>
      <c r="F22410" s="30" t="s">
        <v>32</v>
      </c>
      <c r="G22410" s="30" t="s">
        <v>140</v>
      </c>
      <c r="H22410" s="32">
        <v>40</v>
      </c>
      <c r="I22410" s="30" t="s">
        <v>51</v>
      </c>
      <c r="J22410" s="41">
        <v>45887</v>
      </c>
      <c r="K22410" s="30" t="s">
        <v>22</v>
      </c>
    </row>
    <row r="22411" spans="1:11">
      <c r="A22411" s="33" t="s">
        <v>49563</v>
      </c>
      <c r="B22411" s="33" t="s">
        <v>49564</v>
      </c>
      <c r="C22411" s="33" t="s">
        <v>21185</v>
      </c>
      <c r="D22411" s="33" t="s">
        <v>17</v>
      </c>
      <c r="E22411" s="33" t="s">
        <v>67</v>
      </c>
      <c r="F22411" s="33" t="s">
        <v>68</v>
      </c>
      <c r="G22411" s="33" t="s">
        <v>140</v>
      </c>
      <c r="H22411" s="35">
        <v>72</v>
      </c>
      <c r="I22411" s="33" t="s">
        <v>51</v>
      </c>
      <c r="J22411" s="42">
        <v>45868</v>
      </c>
      <c r="K22411" s="33" t="s">
        <v>22</v>
      </c>
    </row>
    <row r="22412" spans="1:11">
      <c r="A22412" s="30" t="s">
        <v>49565</v>
      </c>
      <c r="B22412" s="30" t="s">
        <v>49566</v>
      </c>
      <c r="C22412" s="30" t="s">
        <v>17663</v>
      </c>
      <c r="D22412" s="30" t="s">
        <v>17</v>
      </c>
      <c r="E22412" s="30" t="s">
        <v>18</v>
      </c>
      <c r="F22412" s="30" t="s">
        <v>19</v>
      </c>
      <c r="G22412" s="30" t="s">
        <v>158</v>
      </c>
      <c r="H22412" s="32">
        <v>320</v>
      </c>
      <c r="I22412" s="30" t="s">
        <v>21</v>
      </c>
      <c r="J22412" s="41">
        <v>45691</v>
      </c>
      <c r="K22412" s="30" t="s">
        <v>22</v>
      </c>
    </row>
    <row r="22413" spans="1:11">
      <c r="A22413" s="33" t="s">
        <v>49567</v>
      </c>
      <c r="B22413" s="33" t="s">
        <v>49568</v>
      </c>
      <c r="C22413" s="33" t="s">
        <v>49569</v>
      </c>
      <c r="D22413" s="33" t="s">
        <v>17</v>
      </c>
      <c r="E22413" s="33" t="s">
        <v>26</v>
      </c>
      <c r="F22413" s="33" t="s">
        <v>27</v>
      </c>
      <c r="G22413" s="33" t="s">
        <v>140</v>
      </c>
      <c r="H22413" s="35">
        <v>81</v>
      </c>
      <c r="I22413" s="33" t="s">
        <v>51</v>
      </c>
      <c r="J22413" s="42">
        <v>45939</v>
      </c>
      <c r="K22413" s="33" t="s">
        <v>22</v>
      </c>
    </row>
    <row r="22414" spans="1:11">
      <c r="A22414" s="30" t="s">
        <v>49570</v>
      </c>
      <c r="B22414" s="30" t="s">
        <v>49571</v>
      </c>
      <c r="C22414" s="30" t="s">
        <v>1498</v>
      </c>
      <c r="D22414" s="30" t="s">
        <v>17</v>
      </c>
      <c r="E22414" s="30" t="s">
        <v>18</v>
      </c>
      <c r="F22414" s="30" t="s">
        <v>19</v>
      </c>
      <c r="G22414" s="30" t="s">
        <v>140</v>
      </c>
      <c r="H22414" s="32">
        <v>171</v>
      </c>
      <c r="I22414" s="30" t="s">
        <v>51</v>
      </c>
      <c r="J22414" s="41">
        <v>45856</v>
      </c>
      <c r="K22414" s="30" t="s">
        <v>22</v>
      </c>
    </row>
    <row r="22415" spans="1:11">
      <c r="A22415" s="33" t="s">
        <v>49572</v>
      </c>
      <c r="B22415" s="33" t="s">
        <v>49573</v>
      </c>
      <c r="C22415" s="33" t="s">
        <v>3765</v>
      </c>
      <c r="D22415" s="33" t="s">
        <v>17</v>
      </c>
      <c r="E22415" s="33" t="s">
        <v>26</v>
      </c>
      <c r="F22415" s="33" t="s">
        <v>27</v>
      </c>
      <c r="G22415" s="33" t="s">
        <v>140</v>
      </c>
      <c r="H22415" s="35">
        <v>48</v>
      </c>
      <c r="I22415" s="33" t="s">
        <v>51</v>
      </c>
      <c r="J22415" s="42">
        <v>45931</v>
      </c>
      <c r="K22415" s="33" t="s">
        <v>22</v>
      </c>
    </row>
    <row r="22416" spans="1:11">
      <c r="A22416" s="30" t="s">
        <v>49574</v>
      </c>
      <c r="B22416" s="30" t="s">
        <v>49575</v>
      </c>
      <c r="C22416" s="30" t="s">
        <v>4218</v>
      </c>
      <c r="D22416" s="30" t="s">
        <v>17</v>
      </c>
      <c r="E22416" s="30" t="s">
        <v>26</v>
      </c>
      <c r="F22416" s="30" t="s">
        <v>27</v>
      </c>
      <c r="G22416" s="30" t="s">
        <v>140</v>
      </c>
      <c r="H22416" s="32">
        <v>170</v>
      </c>
      <c r="I22416" s="30" t="s">
        <v>51</v>
      </c>
      <c r="J22416" s="41">
        <v>45887</v>
      </c>
      <c r="K22416" s="30" t="s">
        <v>22</v>
      </c>
    </row>
    <row r="22417" spans="1:11">
      <c r="A22417" s="33" t="s">
        <v>49576</v>
      </c>
      <c r="B22417" s="33" t="s">
        <v>49577</v>
      </c>
      <c r="C22417" s="33" t="s">
        <v>49578</v>
      </c>
      <c r="D22417" s="33" t="s">
        <v>17</v>
      </c>
      <c r="E22417" s="33" t="s">
        <v>18</v>
      </c>
      <c r="F22417" s="33" t="s">
        <v>19</v>
      </c>
      <c r="G22417" s="33" t="s">
        <v>140</v>
      </c>
      <c r="H22417" s="35">
        <v>200</v>
      </c>
      <c r="I22417" s="33" t="s">
        <v>51</v>
      </c>
      <c r="J22417" s="42">
        <v>45791</v>
      </c>
      <c r="K22417" s="33" t="s">
        <v>22</v>
      </c>
    </row>
    <row r="22418" spans="1:11">
      <c r="A22418" s="30" t="s">
        <v>49579</v>
      </c>
      <c r="B22418" s="30" t="s">
        <v>49580</v>
      </c>
      <c r="C22418" s="30" t="s">
        <v>190</v>
      </c>
      <c r="D22418" s="30" t="s">
        <v>17</v>
      </c>
      <c r="E22418" s="30" t="s">
        <v>31</v>
      </c>
      <c r="F22418" s="30" t="s">
        <v>32</v>
      </c>
      <c r="G22418" s="30" t="s">
        <v>140</v>
      </c>
      <c r="H22418" s="32">
        <v>218</v>
      </c>
      <c r="I22418" s="30" t="s">
        <v>51</v>
      </c>
      <c r="J22418" s="41">
        <v>45996</v>
      </c>
      <c r="K22418" s="30" t="s">
        <v>22</v>
      </c>
    </row>
    <row r="22419" spans="1:11">
      <c r="A22419" s="33" t="s">
        <v>49581</v>
      </c>
      <c r="B22419" s="33" t="s">
        <v>49582</v>
      </c>
      <c r="C22419" s="33" t="s">
        <v>93</v>
      </c>
      <c r="D22419" s="33" t="s">
        <v>17</v>
      </c>
      <c r="E22419" s="33" t="s">
        <v>31</v>
      </c>
      <c r="F22419" s="33" t="s">
        <v>32</v>
      </c>
      <c r="G22419" s="33" t="s">
        <v>140</v>
      </c>
      <c r="H22419" s="35">
        <v>180</v>
      </c>
      <c r="I22419" s="33" t="s">
        <v>51</v>
      </c>
      <c r="J22419" s="42">
        <v>45986</v>
      </c>
      <c r="K22419" s="33" t="s">
        <v>22</v>
      </c>
    </row>
    <row r="22420" spans="1:11">
      <c r="A22420" s="30" t="s">
        <v>49583</v>
      </c>
      <c r="B22420" s="30" t="s">
        <v>49584</v>
      </c>
      <c r="C22420" s="30" t="s">
        <v>178</v>
      </c>
      <c r="D22420" s="30" t="s">
        <v>17</v>
      </c>
      <c r="E22420" s="30" t="s">
        <v>26</v>
      </c>
      <c r="F22420" s="30" t="s">
        <v>27</v>
      </c>
      <c r="G22420" s="30" t="s">
        <v>140</v>
      </c>
      <c r="H22420" s="32">
        <v>405</v>
      </c>
      <c r="I22420" s="30" t="s">
        <v>51</v>
      </c>
      <c r="J22420" s="41">
        <v>45777</v>
      </c>
      <c r="K22420" s="30" t="s">
        <v>22</v>
      </c>
    </row>
    <row r="22421" spans="1:11">
      <c r="A22421" s="33" t="s">
        <v>49585</v>
      </c>
      <c r="B22421" s="33" t="s">
        <v>49586</v>
      </c>
      <c r="C22421" s="33" t="s">
        <v>549</v>
      </c>
      <c r="D22421" s="33" t="s">
        <v>17</v>
      </c>
      <c r="E22421" s="33" t="s">
        <v>18</v>
      </c>
      <c r="F22421" s="33" t="s">
        <v>19</v>
      </c>
      <c r="G22421" s="33" t="s">
        <v>140</v>
      </c>
      <c r="H22421" s="35">
        <v>320</v>
      </c>
      <c r="I22421" s="33" t="s">
        <v>51</v>
      </c>
      <c r="J22421" s="42">
        <v>45975</v>
      </c>
      <c r="K22421" s="33" t="s">
        <v>22</v>
      </c>
    </row>
    <row r="22422" spans="1:11">
      <c r="A22422" s="30" t="s">
        <v>49587</v>
      </c>
      <c r="B22422" s="30" t="s">
        <v>49588</v>
      </c>
      <c r="C22422" s="30" t="s">
        <v>3655</v>
      </c>
      <c r="D22422" s="30" t="s">
        <v>17</v>
      </c>
      <c r="E22422" s="30" t="s">
        <v>67</v>
      </c>
      <c r="F22422" s="30" t="s">
        <v>68</v>
      </c>
      <c r="G22422" s="30" t="s">
        <v>20</v>
      </c>
      <c r="H22422" s="32">
        <v>2650</v>
      </c>
      <c r="I22422" s="30" t="s">
        <v>21</v>
      </c>
      <c r="J22422" s="41">
        <v>45698</v>
      </c>
      <c r="K22422" s="30" t="s">
        <v>22</v>
      </c>
    </row>
    <row r="22423" spans="1:11">
      <c r="A22423" s="33" t="s">
        <v>49589</v>
      </c>
      <c r="B22423" s="33" t="s">
        <v>49590</v>
      </c>
      <c r="C22423" s="33" t="s">
        <v>75</v>
      </c>
      <c r="D22423" s="33" t="s">
        <v>17</v>
      </c>
      <c r="E22423" s="33" t="s">
        <v>18</v>
      </c>
      <c r="F22423" s="33" t="s">
        <v>19</v>
      </c>
      <c r="G22423" s="33" t="s">
        <v>140</v>
      </c>
      <c r="H22423" s="35">
        <v>650</v>
      </c>
      <c r="I22423" s="33" t="s">
        <v>51</v>
      </c>
      <c r="J22423" s="42">
        <v>45993</v>
      </c>
      <c r="K22423" s="33" t="s">
        <v>22</v>
      </c>
    </row>
    <row r="22424" spans="1:11">
      <c r="A22424" s="30" t="s">
        <v>49591</v>
      </c>
      <c r="B22424" s="30" t="s">
        <v>49592</v>
      </c>
      <c r="C22424" s="30" t="s">
        <v>1598</v>
      </c>
      <c r="D22424" s="30" t="s">
        <v>17</v>
      </c>
      <c r="E22424" s="30" t="s">
        <v>18</v>
      </c>
      <c r="F22424" s="30" t="s">
        <v>19</v>
      </c>
      <c r="G22424" s="30" t="s">
        <v>140</v>
      </c>
      <c r="H22424" s="32">
        <v>111</v>
      </c>
      <c r="I22424" s="30" t="s">
        <v>51</v>
      </c>
      <c r="J22424" s="41">
        <v>45910</v>
      </c>
      <c r="K22424" s="30" t="s">
        <v>22</v>
      </c>
    </row>
    <row r="22425" spans="1:11">
      <c r="A22425" s="33" t="s">
        <v>49593</v>
      </c>
      <c r="B22425" s="33" t="s">
        <v>49594</v>
      </c>
      <c r="C22425" s="33" t="s">
        <v>2612</v>
      </c>
      <c r="D22425" s="33" t="s">
        <v>17</v>
      </c>
      <c r="E22425" s="33" t="s">
        <v>31</v>
      </c>
      <c r="F22425" s="33" t="s">
        <v>32</v>
      </c>
      <c r="G22425" s="33" t="s">
        <v>140</v>
      </c>
      <c r="H22425" s="35">
        <v>60</v>
      </c>
      <c r="I22425" s="33" t="s">
        <v>51</v>
      </c>
      <c r="J22425" s="42">
        <v>45943</v>
      </c>
      <c r="K22425" s="33" t="s">
        <v>22</v>
      </c>
    </row>
    <row r="22426" spans="1:11">
      <c r="A22426" s="30" t="s">
        <v>49595</v>
      </c>
      <c r="B22426" s="30" t="s">
        <v>49596</v>
      </c>
      <c r="C22426" s="30" t="s">
        <v>318</v>
      </c>
      <c r="D22426" s="30" t="s">
        <v>17</v>
      </c>
      <c r="E22426" s="30" t="s">
        <v>26</v>
      </c>
      <c r="F22426" s="30" t="s">
        <v>27</v>
      </c>
      <c r="G22426" s="30" t="s">
        <v>20</v>
      </c>
      <c r="H22426" s="32">
        <v>36</v>
      </c>
      <c r="I22426" s="30" t="s">
        <v>21</v>
      </c>
      <c r="J22426" s="41">
        <v>45730</v>
      </c>
      <c r="K22426" s="30" t="s">
        <v>22</v>
      </c>
    </row>
    <row r="22427" spans="1:11">
      <c r="A22427" s="33" t="s">
        <v>49597</v>
      </c>
      <c r="B22427" s="33" t="s">
        <v>49598</v>
      </c>
      <c r="C22427" s="33" t="s">
        <v>49599</v>
      </c>
      <c r="D22427" s="33" t="s">
        <v>17</v>
      </c>
      <c r="E22427" s="33" t="s">
        <v>31</v>
      </c>
      <c r="F22427" s="33" t="s">
        <v>32</v>
      </c>
      <c r="G22427" s="33" t="s">
        <v>112</v>
      </c>
      <c r="H22427" s="35">
        <v>0</v>
      </c>
      <c r="I22427" s="33" t="s">
        <v>21</v>
      </c>
      <c r="J22427" s="42">
        <v>45688</v>
      </c>
      <c r="K22427" s="33" t="s">
        <v>22</v>
      </c>
    </row>
    <row r="22428" spans="1:11">
      <c r="A22428" s="30" t="s">
        <v>49600</v>
      </c>
      <c r="B22428" s="30" t="s">
        <v>49601</v>
      </c>
      <c r="C22428" s="30" t="s">
        <v>231</v>
      </c>
      <c r="D22428" s="30" t="s">
        <v>17</v>
      </c>
      <c r="E22428" s="30" t="s">
        <v>26</v>
      </c>
      <c r="F22428" s="30" t="s">
        <v>27</v>
      </c>
      <c r="G22428" s="30" t="s">
        <v>106</v>
      </c>
      <c r="H22428" s="32">
        <v>7</v>
      </c>
      <c r="I22428" s="30" t="s">
        <v>21</v>
      </c>
      <c r="J22428" s="41">
        <v>45873</v>
      </c>
      <c r="K22428" s="30" t="s">
        <v>22</v>
      </c>
    </row>
    <row r="22429" spans="1:11">
      <c r="A22429" s="33" t="s">
        <v>49602</v>
      </c>
      <c r="B22429" s="33" t="s">
        <v>49603</v>
      </c>
      <c r="C22429" s="33" t="s">
        <v>187</v>
      </c>
      <c r="D22429" s="33" t="s">
        <v>17</v>
      </c>
      <c r="E22429" s="33" t="s">
        <v>26</v>
      </c>
      <c r="F22429" s="33" t="s">
        <v>27</v>
      </c>
      <c r="G22429" s="33" t="s">
        <v>7780</v>
      </c>
      <c r="H22429" s="35">
        <v>40</v>
      </c>
      <c r="I22429" s="33" t="s">
        <v>51</v>
      </c>
      <c r="J22429" s="42">
        <v>45992</v>
      </c>
      <c r="K22429" s="33" t="s">
        <v>22</v>
      </c>
    </row>
    <row r="22430" spans="1:11">
      <c r="A22430" s="30" t="s">
        <v>49604</v>
      </c>
      <c r="B22430" s="30" t="s">
        <v>49605</v>
      </c>
      <c r="C22430" s="30" t="s">
        <v>21185</v>
      </c>
      <c r="D22430" s="30" t="s">
        <v>17</v>
      </c>
      <c r="E22430" s="30" t="s">
        <v>26</v>
      </c>
      <c r="F22430" s="30" t="s">
        <v>27</v>
      </c>
      <c r="G22430" s="30" t="s">
        <v>140</v>
      </c>
      <c r="H22430" s="32">
        <v>135</v>
      </c>
      <c r="I22430" s="30" t="s">
        <v>51</v>
      </c>
      <c r="J22430" s="41">
        <v>45685</v>
      </c>
      <c r="K22430" s="30" t="s">
        <v>22</v>
      </c>
    </row>
    <row r="22431" spans="1:11">
      <c r="A22431" s="33" t="s">
        <v>49606</v>
      </c>
      <c r="B22431" s="33" t="s">
        <v>49607</v>
      </c>
      <c r="C22431" s="33" t="s">
        <v>149</v>
      </c>
      <c r="D22431" s="33" t="s">
        <v>17</v>
      </c>
      <c r="E22431" s="33" t="s">
        <v>26</v>
      </c>
      <c r="F22431" s="33" t="s">
        <v>27</v>
      </c>
      <c r="G22431" s="33" t="s">
        <v>20</v>
      </c>
      <c r="H22431" s="35">
        <v>36</v>
      </c>
      <c r="I22431" s="33" t="s">
        <v>21</v>
      </c>
      <c r="J22431" s="42">
        <v>45848</v>
      </c>
      <c r="K22431" s="33" t="s">
        <v>22</v>
      </c>
    </row>
    <row r="22432" spans="1:11">
      <c r="A22432" s="30" t="s">
        <v>49608</v>
      </c>
      <c r="B22432" s="30" t="s">
        <v>49609</v>
      </c>
      <c r="C22432" s="30" t="s">
        <v>35935</v>
      </c>
      <c r="D22432" s="30" t="s">
        <v>17</v>
      </c>
      <c r="E22432" s="30" t="s">
        <v>18</v>
      </c>
      <c r="F22432" s="30" t="s">
        <v>19</v>
      </c>
      <c r="G22432" s="30" t="s">
        <v>140</v>
      </c>
      <c r="H22432" s="32">
        <v>440</v>
      </c>
      <c r="I22432" s="30" t="s">
        <v>51</v>
      </c>
      <c r="J22432" s="41">
        <v>45728</v>
      </c>
      <c r="K22432" s="30" t="s">
        <v>22</v>
      </c>
    </row>
    <row r="22433" spans="1:11">
      <c r="A22433" s="33" t="s">
        <v>49610</v>
      </c>
      <c r="B22433" s="33" t="s">
        <v>49611</v>
      </c>
      <c r="C22433" s="33" t="s">
        <v>75</v>
      </c>
      <c r="D22433" s="33" t="s">
        <v>17</v>
      </c>
      <c r="E22433" s="33" t="s">
        <v>45</v>
      </c>
      <c r="F22433" s="33" t="s">
        <v>46</v>
      </c>
      <c r="G22433" s="33" t="s">
        <v>140</v>
      </c>
      <c r="H22433" s="35">
        <v>500</v>
      </c>
      <c r="I22433" s="33" t="s">
        <v>51</v>
      </c>
      <c r="J22433" s="42">
        <v>45966</v>
      </c>
      <c r="K22433" s="33" t="s">
        <v>22</v>
      </c>
    </row>
    <row r="22434" spans="1:11">
      <c r="A22434" s="30" t="s">
        <v>49612</v>
      </c>
      <c r="B22434" s="30" t="s">
        <v>49613</v>
      </c>
      <c r="C22434" s="30" t="s">
        <v>3057</v>
      </c>
      <c r="D22434" s="30" t="s">
        <v>17</v>
      </c>
      <c r="E22434" s="30" t="s">
        <v>18</v>
      </c>
      <c r="F22434" s="30" t="s">
        <v>19</v>
      </c>
      <c r="G22434" s="30" t="s">
        <v>140</v>
      </c>
      <c r="H22434" s="32">
        <v>424</v>
      </c>
      <c r="I22434" s="30" t="s">
        <v>51</v>
      </c>
      <c r="J22434" s="41">
        <v>45930</v>
      </c>
      <c r="K22434" s="30" t="s">
        <v>22</v>
      </c>
    </row>
    <row r="22435" spans="1:11">
      <c r="A22435" s="33" t="s">
        <v>49614</v>
      </c>
      <c r="B22435" s="33" t="s">
        <v>49615</v>
      </c>
      <c r="C22435" s="33" t="s">
        <v>93</v>
      </c>
      <c r="D22435" s="33" t="s">
        <v>17</v>
      </c>
      <c r="E22435" s="33" t="s">
        <v>26</v>
      </c>
      <c r="F22435" s="33" t="s">
        <v>27</v>
      </c>
      <c r="G22435" s="33" t="s">
        <v>20</v>
      </c>
      <c r="H22435" s="35">
        <v>59</v>
      </c>
      <c r="I22435" s="33" t="s">
        <v>21</v>
      </c>
      <c r="J22435" s="42">
        <v>45785</v>
      </c>
      <c r="K22435" s="33" t="s">
        <v>22</v>
      </c>
    </row>
    <row r="22436" spans="1:11">
      <c r="A22436" s="30" t="s">
        <v>49616</v>
      </c>
      <c r="B22436" s="30" t="s">
        <v>49617</v>
      </c>
      <c r="C22436" s="30" t="s">
        <v>32043</v>
      </c>
      <c r="D22436" s="30" t="s">
        <v>17</v>
      </c>
      <c r="E22436" s="30" t="s">
        <v>31</v>
      </c>
      <c r="F22436" s="30" t="s">
        <v>32</v>
      </c>
      <c r="G22436" s="30" t="s">
        <v>20</v>
      </c>
      <c r="H22436" s="32">
        <v>42</v>
      </c>
      <c r="I22436" s="30" t="s">
        <v>21</v>
      </c>
      <c r="J22436" s="41">
        <v>45860</v>
      </c>
      <c r="K22436" s="30" t="s">
        <v>22</v>
      </c>
    </row>
    <row r="22437" spans="1:11">
      <c r="A22437" s="33" t="s">
        <v>49618</v>
      </c>
      <c r="B22437" s="33" t="s">
        <v>49619</v>
      </c>
      <c r="C22437" s="33" t="s">
        <v>21241</v>
      </c>
      <c r="D22437" s="33" t="s">
        <v>17</v>
      </c>
      <c r="E22437" s="33" t="s">
        <v>31</v>
      </c>
      <c r="F22437" s="33" t="s">
        <v>32</v>
      </c>
      <c r="G22437" s="33" t="s">
        <v>158</v>
      </c>
      <c r="H22437" s="35">
        <v>400</v>
      </c>
      <c r="I22437" s="33" t="s">
        <v>51</v>
      </c>
      <c r="J22437" s="42">
        <v>45959</v>
      </c>
      <c r="K22437" s="33" t="s">
        <v>22</v>
      </c>
    </row>
    <row r="22438" spans="1:11">
      <c r="A22438" s="30" t="s">
        <v>49620</v>
      </c>
      <c r="B22438" s="30" t="s">
        <v>49621</v>
      </c>
      <c r="C22438" s="30" t="s">
        <v>190</v>
      </c>
      <c r="D22438" s="30" t="s">
        <v>17</v>
      </c>
      <c r="E22438" s="30" t="s">
        <v>26</v>
      </c>
      <c r="F22438" s="30" t="s">
        <v>27</v>
      </c>
      <c r="G22438" s="30" t="s">
        <v>20</v>
      </c>
      <c r="H22438" s="32">
        <v>35</v>
      </c>
      <c r="I22438" s="30" t="s">
        <v>21</v>
      </c>
      <c r="J22438" s="41">
        <v>45692</v>
      </c>
      <c r="K22438" s="30" t="s">
        <v>22</v>
      </c>
    </row>
    <row r="22439" spans="1:11">
      <c r="A22439" s="33" t="s">
        <v>49622</v>
      </c>
      <c r="B22439" s="33" t="s">
        <v>49623</v>
      </c>
      <c r="C22439" s="33" t="s">
        <v>10589</v>
      </c>
      <c r="D22439" s="33" t="s">
        <v>17</v>
      </c>
      <c r="E22439" s="33" t="s">
        <v>31</v>
      </c>
      <c r="F22439" s="33" t="s">
        <v>32</v>
      </c>
      <c r="G22439" s="33" t="s">
        <v>140</v>
      </c>
      <c r="H22439" s="35">
        <v>105</v>
      </c>
      <c r="I22439" s="33" t="s">
        <v>51</v>
      </c>
      <c r="J22439" s="42">
        <v>45805</v>
      </c>
      <c r="K22439" s="33" t="s">
        <v>22</v>
      </c>
    </row>
    <row r="22440" spans="1:11">
      <c r="A22440" s="30" t="s">
        <v>49624</v>
      </c>
      <c r="B22440" s="30" t="s">
        <v>49625</v>
      </c>
      <c r="C22440" s="30" t="s">
        <v>109</v>
      </c>
      <c r="D22440" s="30" t="s">
        <v>17</v>
      </c>
      <c r="E22440" s="30" t="s">
        <v>31</v>
      </c>
      <c r="F22440" s="30" t="s">
        <v>32</v>
      </c>
      <c r="G22440" s="30" t="s">
        <v>140</v>
      </c>
      <c r="H22440" s="32">
        <v>44</v>
      </c>
      <c r="I22440" s="30" t="s">
        <v>51</v>
      </c>
      <c r="J22440" s="41">
        <v>45799</v>
      </c>
      <c r="K22440" s="30" t="s">
        <v>22</v>
      </c>
    </row>
    <row r="22441" spans="1:11">
      <c r="A22441" s="33" t="s">
        <v>49626</v>
      </c>
      <c r="B22441" s="33" t="s">
        <v>49627</v>
      </c>
      <c r="C22441" s="33" t="s">
        <v>6803</v>
      </c>
      <c r="D22441" s="33" t="s">
        <v>17</v>
      </c>
      <c r="E22441" s="33" t="s">
        <v>67</v>
      </c>
      <c r="F22441" s="33" t="s">
        <v>68</v>
      </c>
      <c r="G22441" s="33" t="s">
        <v>140</v>
      </c>
      <c r="H22441" s="35">
        <v>9</v>
      </c>
      <c r="I22441" s="33" t="s">
        <v>51</v>
      </c>
      <c r="J22441" s="42">
        <v>46006</v>
      </c>
      <c r="K22441" s="33" t="s">
        <v>22</v>
      </c>
    </row>
    <row r="22442" spans="1:11">
      <c r="A22442" s="30" t="s">
        <v>49628</v>
      </c>
      <c r="B22442" s="30" t="s">
        <v>25354</v>
      </c>
      <c r="C22442" s="30" t="s">
        <v>25355</v>
      </c>
      <c r="D22442" s="30" t="s">
        <v>17</v>
      </c>
      <c r="E22442" s="30" t="s">
        <v>31</v>
      </c>
      <c r="F22442" s="30" t="s">
        <v>32</v>
      </c>
      <c r="G22442" s="30" t="s">
        <v>20</v>
      </c>
      <c r="H22442" s="32">
        <v>226</v>
      </c>
      <c r="I22442" s="30" t="s">
        <v>21</v>
      </c>
      <c r="J22442" s="41">
        <v>45691</v>
      </c>
      <c r="K22442" s="30" t="s">
        <v>22</v>
      </c>
    </row>
    <row r="22443" spans="1:11">
      <c r="A22443" s="33" t="s">
        <v>49629</v>
      </c>
      <c r="B22443" s="33" t="s">
        <v>49630</v>
      </c>
      <c r="C22443" s="33" t="s">
        <v>49631</v>
      </c>
      <c r="D22443" s="33" t="s">
        <v>17</v>
      </c>
      <c r="E22443" s="33" t="s">
        <v>67</v>
      </c>
      <c r="F22443" s="33" t="s">
        <v>68</v>
      </c>
      <c r="G22443" s="33" t="s">
        <v>140</v>
      </c>
      <c r="H22443" s="35">
        <v>54</v>
      </c>
      <c r="I22443" s="33" t="s">
        <v>51</v>
      </c>
      <c r="J22443" s="42">
        <v>45937</v>
      </c>
      <c r="K22443" s="33" t="s">
        <v>22</v>
      </c>
    </row>
    <row r="22444" spans="1:11">
      <c r="A22444" s="30" t="s">
        <v>49632</v>
      </c>
      <c r="B22444" s="30" t="s">
        <v>49633</v>
      </c>
      <c r="C22444" s="30" t="s">
        <v>21185</v>
      </c>
      <c r="D22444" s="30" t="s">
        <v>17</v>
      </c>
      <c r="E22444" s="30" t="s">
        <v>31</v>
      </c>
      <c r="F22444" s="30" t="s">
        <v>32</v>
      </c>
      <c r="G22444" s="30" t="s">
        <v>140</v>
      </c>
      <c r="H22444" s="32">
        <v>50</v>
      </c>
      <c r="I22444" s="30" t="s">
        <v>51</v>
      </c>
      <c r="J22444" s="41">
        <v>45765</v>
      </c>
      <c r="K22444" s="30" t="s">
        <v>22</v>
      </c>
    </row>
    <row r="22445" spans="1:11">
      <c r="A22445" s="33" t="s">
        <v>49634</v>
      </c>
      <c r="B22445" s="33" t="s">
        <v>49635</v>
      </c>
      <c r="C22445" s="33" t="s">
        <v>57</v>
      </c>
      <c r="D22445" s="33" t="s">
        <v>17</v>
      </c>
      <c r="E22445" s="33" t="s">
        <v>18</v>
      </c>
      <c r="F22445" s="33" t="s">
        <v>19</v>
      </c>
      <c r="G22445" s="33" t="s">
        <v>20</v>
      </c>
      <c r="H22445" s="35">
        <v>198</v>
      </c>
      <c r="I22445" s="33" t="s">
        <v>21</v>
      </c>
      <c r="J22445" s="42">
        <v>45712</v>
      </c>
      <c r="K22445" s="33" t="s">
        <v>22</v>
      </c>
    </row>
    <row r="22446" spans="1:11">
      <c r="A22446" s="30" t="s">
        <v>49636</v>
      </c>
      <c r="B22446" s="30" t="s">
        <v>49637</v>
      </c>
      <c r="C22446" s="30" t="s">
        <v>38860</v>
      </c>
      <c r="D22446" s="30" t="s">
        <v>17</v>
      </c>
      <c r="E22446" s="30" t="s">
        <v>26</v>
      </c>
      <c r="F22446" s="30" t="s">
        <v>27</v>
      </c>
      <c r="G22446" s="30" t="s">
        <v>140</v>
      </c>
      <c r="H22446" s="32">
        <v>15</v>
      </c>
      <c r="I22446" s="30" t="s">
        <v>51</v>
      </c>
      <c r="J22446" s="41">
        <v>45890</v>
      </c>
      <c r="K22446" s="30" t="s">
        <v>22</v>
      </c>
    </row>
    <row r="22447" spans="1:11">
      <c r="A22447" s="33" t="s">
        <v>49638</v>
      </c>
      <c r="B22447" s="33" t="s">
        <v>49639</v>
      </c>
      <c r="C22447" s="33" t="s">
        <v>93</v>
      </c>
      <c r="D22447" s="33" t="s">
        <v>17</v>
      </c>
      <c r="E22447" s="33" t="s">
        <v>31</v>
      </c>
      <c r="F22447" s="33" t="s">
        <v>32</v>
      </c>
      <c r="G22447" s="33" t="s">
        <v>140</v>
      </c>
      <c r="H22447" s="35">
        <v>195</v>
      </c>
      <c r="I22447" s="33" t="s">
        <v>51</v>
      </c>
      <c r="J22447" s="42">
        <v>46009</v>
      </c>
      <c r="K22447" s="33" t="s">
        <v>22</v>
      </c>
    </row>
    <row r="22448" spans="1:11">
      <c r="A22448" s="30" t="s">
        <v>49640</v>
      </c>
      <c r="B22448" s="30" t="s">
        <v>49641</v>
      </c>
      <c r="C22448" s="30" t="s">
        <v>969</v>
      </c>
      <c r="D22448" s="30" t="s">
        <v>17</v>
      </c>
      <c r="E22448" s="30" t="s">
        <v>26</v>
      </c>
      <c r="F22448" s="30" t="s">
        <v>27</v>
      </c>
      <c r="G22448" s="30" t="s">
        <v>20</v>
      </c>
      <c r="H22448" s="32">
        <v>30</v>
      </c>
      <c r="I22448" s="30" t="s">
        <v>21</v>
      </c>
      <c r="J22448" s="41">
        <v>45797</v>
      </c>
      <c r="K22448" s="30" t="s">
        <v>22</v>
      </c>
    </row>
    <row r="22449" spans="1:11">
      <c r="A22449" s="33" t="s">
        <v>49642</v>
      </c>
      <c r="B22449" s="33" t="s">
        <v>49643</v>
      </c>
      <c r="C22449" s="33" t="s">
        <v>124</v>
      </c>
      <c r="D22449" s="33" t="s">
        <v>17</v>
      </c>
      <c r="E22449" s="33" t="s">
        <v>31</v>
      </c>
      <c r="F22449" s="33" t="s">
        <v>32</v>
      </c>
      <c r="G22449" s="33" t="s">
        <v>7780</v>
      </c>
      <c r="H22449" s="35">
        <v>120</v>
      </c>
      <c r="I22449" s="33" t="s">
        <v>51</v>
      </c>
      <c r="J22449" s="42">
        <v>45835</v>
      </c>
      <c r="K22449" s="33" t="s">
        <v>22</v>
      </c>
    </row>
    <row r="22450" spans="1:11">
      <c r="A22450" s="30" t="s">
        <v>49644</v>
      </c>
      <c r="B22450" s="30" t="s">
        <v>49645</v>
      </c>
      <c r="C22450" s="30" t="s">
        <v>190</v>
      </c>
      <c r="D22450" s="30" t="s">
        <v>17</v>
      </c>
      <c r="E22450" s="30" t="s">
        <v>67</v>
      </c>
      <c r="F22450" s="30" t="s">
        <v>68</v>
      </c>
      <c r="G22450" s="30" t="s">
        <v>140</v>
      </c>
      <c r="H22450" s="32">
        <v>152</v>
      </c>
      <c r="I22450" s="30" t="s">
        <v>51</v>
      </c>
      <c r="J22450" s="41">
        <v>45985</v>
      </c>
      <c r="K22450" s="30" t="s">
        <v>22</v>
      </c>
    </row>
    <row r="22451" spans="1:11">
      <c r="A22451" s="33" t="s">
        <v>49646</v>
      </c>
      <c r="B22451" s="33" t="s">
        <v>49647</v>
      </c>
      <c r="C22451" s="33" t="s">
        <v>39828</v>
      </c>
      <c r="D22451" s="33" t="s">
        <v>17</v>
      </c>
      <c r="E22451" s="33" t="s">
        <v>26</v>
      </c>
      <c r="F22451" s="33" t="s">
        <v>27</v>
      </c>
      <c r="G22451" s="33" t="s">
        <v>140</v>
      </c>
      <c r="H22451" s="35">
        <v>252</v>
      </c>
      <c r="I22451" s="33" t="s">
        <v>51</v>
      </c>
      <c r="J22451" s="42">
        <v>45842</v>
      </c>
      <c r="K22451" s="33" t="s">
        <v>22</v>
      </c>
    </row>
    <row r="22452" spans="1:11">
      <c r="A22452" s="30" t="s">
        <v>49648</v>
      </c>
      <c r="B22452" s="30" t="s">
        <v>49649</v>
      </c>
      <c r="C22452" s="30" t="s">
        <v>1801</v>
      </c>
      <c r="D22452" s="30" t="s">
        <v>17</v>
      </c>
      <c r="E22452" s="30" t="s">
        <v>31</v>
      </c>
      <c r="F22452" s="30" t="s">
        <v>32</v>
      </c>
      <c r="G22452" s="30" t="s">
        <v>7780</v>
      </c>
      <c r="H22452" s="32">
        <v>184</v>
      </c>
      <c r="I22452" s="30" t="s">
        <v>51</v>
      </c>
      <c r="J22452" s="41">
        <v>45957</v>
      </c>
      <c r="K22452" s="30" t="s">
        <v>22</v>
      </c>
    </row>
    <row r="22453" spans="1:11">
      <c r="A22453" s="33" t="s">
        <v>49650</v>
      </c>
      <c r="B22453" s="33" t="s">
        <v>49651</v>
      </c>
      <c r="C22453" s="33" t="s">
        <v>1598</v>
      </c>
      <c r="D22453" s="33" t="s">
        <v>17</v>
      </c>
      <c r="E22453" s="33" t="s">
        <v>31</v>
      </c>
      <c r="F22453" s="33" t="s">
        <v>32</v>
      </c>
      <c r="G22453" s="33" t="s">
        <v>140</v>
      </c>
      <c r="H22453" s="35">
        <v>165</v>
      </c>
      <c r="I22453" s="33" t="s">
        <v>51</v>
      </c>
      <c r="J22453" s="42">
        <v>45839</v>
      </c>
      <c r="K22453" s="33" t="s">
        <v>22</v>
      </c>
    </row>
    <row r="22454" spans="1:11">
      <c r="A22454" s="30" t="s">
        <v>49652</v>
      </c>
      <c r="B22454" s="30" t="s">
        <v>49653</v>
      </c>
      <c r="C22454" s="30" t="s">
        <v>3655</v>
      </c>
      <c r="D22454" s="30" t="s">
        <v>17</v>
      </c>
      <c r="E22454" s="30" t="s">
        <v>26</v>
      </c>
      <c r="F22454" s="30" t="s">
        <v>27</v>
      </c>
      <c r="G22454" s="30" t="s">
        <v>140</v>
      </c>
      <c r="H22454" s="32">
        <v>39</v>
      </c>
      <c r="I22454" s="30" t="s">
        <v>51</v>
      </c>
      <c r="J22454" s="41">
        <v>45670</v>
      </c>
      <c r="K22454" s="30" t="s">
        <v>22</v>
      </c>
    </row>
    <row r="22455" spans="1:11">
      <c r="A22455" s="33" t="s">
        <v>49654</v>
      </c>
      <c r="B22455" s="33" t="s">
        <v>49655</v>
      </c>
      <c r="C22455" s="33" t="s">
        <v>190</v>
      </c>
      <c r="D22455" s="33" t="s">
        <v>17</v>
      </c>
      <c r="E22455" s="33" t="s">
        <v>18</v>
      </c>
      <c r="F22455" s="33" t="s">
        <v>19</v>
      </c>
      <c r="G22455" s="33" t="s">
        <v>158</v>
      </c>
      <c r="H22455" s="35">
        <v>1116</v>
      </c>
      <c r="I22455" s="33" t="s">
        <v>51</v>
      </c>
      <c r="J22455" s="42">
        <v>45866</v>
      </c>
      <c r="K22455" s="33" t="s">
        <v>22</v>
      </c>
    </row>
    <row r="22456" spans="1:11">
      <c r="A22456" s="30" t="s">
        <v>49656</v>
      </c>
      <c r="B22456" s="30" t="s">
        <v>49657</v>
      </c>
      <c r="C22456" s="30" t="s">
        <v>31562</v>
      </c>
      <c r="D22456" s="30" t="s">
        <v>17</v>
      </c>
      <c r="E22456" s="30" t="s">
        <v>26</v>
      </c>
      <c r="F22456" s="30" t="s">
        <v>27</v>
      </c>
      <c r="G22456" s="30" t="s">
        <v>140</v>
      </c>
      <c r="H22456" s="32">
        <v>18</v>
      </c>
      <c r="I22456" s="30" t="s">
        <v>51</v>
      </c>
      <c r="J22456" s="41">
        <v>45923</v>
      </c>
      <c r="K22456" s="30" t="s">
        <v>22</v>
      </c>
    </row>
    <row r="22457" spans="1:11">
      <c r="A22457" s="33" t="s">
        <v>49658</v>
      </c>
      <c r="B22457" s="33" t="s">
        <v>49659</v>
      </c>
      <c r="C22457" s="33" t="s">
        <v>11434</v>
      </c>
      <c r="D22457" s="33" t="s">
        <v>17</v>
      </c>
      <c r="E22457" s="33" t="s">
        <v>26</v>
      </c>
      <c r="F22457" s="33" t="s">
        <v>27</v>
      </c>
      <c r="G22457" s="33" t="s">
        <v>20</v>
      </c>
      <c r="H22457" s="35">
        <v>40</v>
      </c>
      <c r="I22457" s="33" t="s">
        <v>21</v>
      </c>
      <c r="J22457" s="42">
        <v>45708</v>
      </c>
      <c r="K22457" s="33" t="s">
        <v>22</v>
      </c>
    </row>
    <row r="22458" spans="1:11">
      <c r="A22458" s="30" t="s">
        <v>49660</v>
      </c>
      <c r="B22458" s="30" t="s">
        <v>49661</v>
      </c>
      <c r="C22458" s="30" t="s">
        <v>29973</v>
      </c>
      <c r="D22458" s="30" t="s">
        <v>17</v>
      </c>
      <c r="E22458" s="30" t="s">
        <v>26</v>
      </c>
      <c r="F22458" s="30" t="s">
        <v>27</v>
      </c>
      <c r="G22458" s="30" t="s">
        <v>158</v>
      </c>
      <c r="H22458" s="32">
        <v>9</v>
      </c>
      <c r="I22458" s="30" t="s">
        <v>51</v>
      </c>
      <c r="J22458" s="41">
        <v>45754</v>
      </c>
      <c r="K22458" s="30" t="s">
        <v>22</v>
      </c>
    </row>
    <row r="22459" spans="1:11">
      <c r="A22459" s="33" t="s">
        <v>49662</v>
      </c>
      <c r="B22459" s="33" t="s">
        <v>49663</v>
      </c>
      <c r="C22459" s="33" t="s">
        <v>982</v>
      </c>
      <c r="D22459" s="33" t="s">
        <v>17</v>
      </c>
      <c r="E22459" s="33" t="s">
        <v>31</v>
      </c>
      <c r="F22459" s="33" t="s">
        <v>32</v>
      </c>
      <c r="G22459" s="33" t="s">
        <v>140</v>
      </c>
      <c r="H22459" s="35">
        <v>44</v>
      </c>
      <c r="I22459" s="33" t="s">
        <v>51</v>
      </c>
      <c r="J22459" s="42">
        <v>45706</v>
      </c>
      <c r="K22459" s="33" t="s">
        <v>22</v>
      </c>
    </row>
    <row r="22460" spans="1:11">
      <c r="A22460" s="30" t="s">
        <v>49664</v>
      </c>
      <c r="B22460" s="30" t="s">
        <v>49665</v>
      </c>
      <c r="C22460" s="30" t="s">
        <v>222</v>
      </c>
      <c r="D22460" s="30" t="s">
        <v>17</v>
      </c>
      <c r="E22460" s="30" t="s">
        <v>18</v>
      </c>
      <c r="F22460" s="30" t="s">
        <v>19</v>
      </c>
      <c r="G22460" s="30" t="s">
        <v>140</v>
      </c>
      <c r="H22460" s="32">
        <v>686</v>
      </c>
      <c r="I22460" s="30" t="s">
        <v>51</v>
      </c>
      <c r="J22460" s="41">
        <v>45954</v>
      </c>
      <c r="K22460" s="30" t="s">
        <v>22</v>
      </c>
    </row>
    <row r="22461" spans="1:11">
      <c r="A22461" s="33" t="s">
        <v>49666</v>
      </c>
      <c r="B22461" s="33" t="s">
        <v>49667</v>
      </c>
      <c r="C22461" s="33" t="s">
        <v>96</v>
      </c>
      <c r="D22461" s="33" t="s">
        <v>17</v>
      </c>
      <c r="E22461" s="33" t="s">
        <v>26</v>
      </c>
      <c r="F22461" s="33" t="s">
        <v>27</v>
      </c>
      <c r="G22461" s="33" t="s">
        <v>140</v>
      </c>
      <c r="H22461" s="35">
        <v>72</v>
      </c>
      <c r="I22461" s="33" t="s">
        <v>51</v>
      </c>
      <c r="J22461" s="42">
        <v>45938</v>
      </c>
      <c r="K22461" s="33" t="s">
        <v>22</v>
      </c>
    </row>
    <row r="22462" spans="1:11">
      <c r="A22462" s="30" t="s">
        <v>49668</v>
      </c>
      <c r="B22462" s="30" t="s">
        <v>49669</v>
      </c>
      <c r="C22462" s="30" t="s">
        <v>11899</v>
      </c>
      <c r="D22462" s="30" t="s">
        <v>17</v>
      </c>
      <c r="E22462" s="30" t="s">
        <v>67</v>
      </c>
      <c r="F22462" s="30" t="s">
        <v>68</v>
      </c>
      <c r="G22462" s="30" t="s">
        <v>140</v>
      </c>
      <c r="H22462" s="32">
        <v>210</v>
      </c>
      <c r="I22462" s="30" t="s">
        <v>51</v>
      </c>
      <c r="J22462" s="41">
        <v>45849</v>
      </c>
      <c r="K22462" s="30" t="s">
        <v>22</v>
      </c>
    </row>
    <row r="22463" spans="1:11">
      <c r="A22463" s="33" t="s">
        <v>49670</v>
      </c>
      <c r="B22463" s="33" t="s">
        <v>49671</v>
      </c>
      <c r="C22463" s="33" t="s">
        <v>157</v>
      </c>
      <c r="D22463" s="33" t="s">
        <v>17</v>
      </c>
      <c r="E22463" s="33" t="s">
        <v>26</v>
      </c>
      <c r="F22463" s="33" t="s">
        <v>27</v>
      </c>
      <c r="G22463" s="33" t="s">
        <v>112</v>
      </c>
      <c r="H22463" s="35">
        <v>0</v>
      </c>
      <c r="I22463" s="33" t="s">
        <v>21</v>
      </c>
      <c r="J22463" s="42">
        <v>45823</v>
      </c>
      <c r="K22463" s="33" t="s">
        <v>22</v>
      </c>
    </row>
    <row r="22464" spans="1:11">
      <c r="A22464" s="30" t="s">
        <v>49672</v>
      </c>
      <c r="B22464" s="30" t="s">
        <v>49673</v>
      </c>
      <c r="C22464" s="30" t="s">
        <v>11248</v>
      </c>
      <c r="D22464" s="30" t="s">
        <v>17</v>
      </c>
      <c r="E22464" s="30" t="s">
        <v>31</v>
      </c>
      <c r="F22464" s="30" t="s">
        <v>32</v>
      </c>
      <c r="G22464" s="30" t="s">
        <v>140</v>
      </c>
      <c r="H22464" s="32">
        <v>30</v>
      </c>
      <c r="I22464" s="30" t="s">
        <v>51</v>
      </c>
      <c r="J22464" s="41">
        <v>45838</v>
      </c>
      <c r="K22464" s="30" t="s">
        <v>22</v>
      </c>
    </row>
    <row r="22465" spans="1:11">
      <c r="A22465" s="33" t="s">
        <v>49674</v>
      </c>
      <c r="B22465" s="33" t="s">
        <v>49675</v>
      </c>
      <c r="C22465" s="33" t="s">
        <v>4796</v>
      </c>
      <c r="D22465" s="33" t="s">
        <v>17</v>
      </c>
      <c r="E22465" s="33" t="s">
        <v>26</v>
      </c>
      <c r="F22465" s="33" t="s">
        <v>27</v>
      </c>
      <c r="G22465" s="33" t="s">
        <v>7780</v>
      </c>
      <c r="H22465" s="35">
        <v>32</v>
      </c>
      <c r="I22465" s="33" t="s">
        <v>51</v>
      </c>
      <c r="J22465" s="42">
        <v>46021</v>
      </c>
      <c r="K22465" s="33" t="s">
        <v>22</v>
      </c>
    </row>
    <row r="22466" spans="1:11">
      <c r="A22466" s="30" t="s">
        <v>49676</v>
      </c>
      <c r="B22466" s="30" t="s">
        <v>49677</v>
      </c>
      <c r="C22466" s="30" t="s">
        <v>49678</v>
      </c>
      <c r="D22466" s="30" t="s">
        <v>17</v>
      </c>
      <c r="E22466" s="30" t="s">
        <v>26</v>
      </c>
      <c r="F22466" s="30" t="s">
        <v>27</v>
      </c>
      <c r="G22466" s="30" t="s">
        <v>140</v>
      </c>
      <c r="H22466" s="32">
        <v>21</v>
      </c>
      <c r="I22466" s="30" t="s">
        <v>51</v>
      </c>
      <c r="J22466" s="41">
        <v>45936</v>
      </c>
      <c r="K22466" s="30" t="s">
        <v>22</v>
      </c>
    </row>
    <row r="22467" spans="1:11">
      <c r="A22467" s="33" t="s">
        <v>49679</v>
      </c>
      <c r="B22467" s="33" t="s">
        <v>49680</v>
      </c>
      <c r="C22467" s="33" t="s">
        <v>969</v>
      </c>
      <c r="D22467" s="33" t="s">
        <v>17</v>
      </c>
      <c r="E22467" s="33" t="s">
        <v>18</v>
      </c>
      <c r="F22467" s="33" t="s">
        <v>19</v>
      </c>
      <c r="G22467" s="33" t="s">
        <v>140</v>
      </c>
      <c r="H22467" s="35">
        <v>75</v>
      </c>
      <c r="I22467" s="33" t="s">
        <v>51</v>
      </c>
      <c r="J22467" s="42">
        <v>45982</v>
      </c>
      <c r="K22467" s="33" t="s">
        <v>22</v>
      </c>
    </row>
    <row r="22468" spans="1:11">
      <c r="A22468" s="30" t="s">
        <v>49681</v>
      </c>
      <c r="B22468" s="30" t="s">
        <v>49682</v>
      </c>
      <c r="C22468" s="30" t="s">
        <v>5084</v>
      </c>
      <c r="D22468" s="30" t="s">
        <v>17</v>
      </c>
      <c r="E22468" s="30" t="s">
        <v>18</v>
      </c>
      <c r="F22468" s="30" t="s">
        <v>19</v>
      </c>
      <c r="G22468" s="30" t="s">
        <v>158</v>
      </c>
      <c r="H22468" s="32">
        <v>815</v>
      </c>
      <c r="I22468" s="30" t="s">
        <v>51</v>
      </c>
      <c r="J22468" s="41">
        <v>45828</v>
      </c>
      <c r="K22468" s="30" t="s">
        <v>22</v>
      </c>
    </row>
    <row r="22469" spans="1:11">
      <c r="A22469" s="33" t="s">
        <v>49683</v>
      </c>
      <c r="B22469" s="33" t="s">
        <v>49684</v>
      </c>
      <c r="C22469" s="33" t="s">
        <v>26597</v>
      </c>
      <c r="D22469" s="33" t="s">
        <v>17</v>
      </c>
      <c r="E22469" s="33" t="s">
        <v>67</v>
      </c>
      <c r="F22469" s="33" t="s">
        <v>68</v>
      </c>
      <c r="G22469" s="33" t="s">
        <v>140</v>
      </c>
      <c r="H22469" s="35">
        <v>20</v>
      </c>
      <c r="I22469" s="33" t="s">
        <v>51</v>
      </c>
      <c r="J22469" s="42">
        <v>45809</v>
      </c>
      <c r="K22469" s="33" t="s">
        <v>22</v>
      </c>
    </row>
    <row r="22470" spans="1:11">
      <c r="A22470" s="30" t="s">
        <v>49685</v>
      </c>
      <c r="B22470" s="30" t="s">
        <v>49686</v>
      </c>
      <c r="C22470" s="30" t="s">
        <v>136</v>
      </c>
      <c r="D22470" s="30" t="s">
        <v>17</v>
      </c>
      <c r="E22470" s="30" t="s">
        <v>18</v>
      </c>
      <c r="F22470" s="30" t="s">
        <v>19</v>
      </c>
      <c r="G22470" s="30" t="s">
        <v>140</v>
      </c>
      <c r="H22470" s="32">
        <v>1205</v>
      </c>
      <c r="I22470" s="30" t="s">
        <v>51</v>
      </c>
      <c r="J22470" s="41">
        <v>45961</v>
      </c>
      <c r="K22470" s="30" t="s">
        <v>22</v>
      </c>
    </row>
    <row r="22471" spans="1:11">
      <c r="A22471" s="33" t="s">
        <v>49687</v>
      </c>
      <c r="B22471" s="33" t="s">
        <v>49688</v>
      </c>
      <c r="C22471" s="33" t="s">
        <v>2490</v>
      </c>
      <c r="D22471" s="33" t="s">
        <v>17</v>
      </c>
      <c r="E22471" s="33" t="s">
        <v>26</v>
      </c>
      <c r="F22471" s="33" t="s">
        <v>27</v>
      </c>
      <c r="G22471" s="33" t="s">
        <v>140</v>
      </c>
      <c r="H22471" s="35">
        <v>40</v>
      </c>
      <c r="I22471" s="33" t="s">
        <v>51</v>
      </c>
      <c r="J22471" s="42">
        <v>45889</v>
      </c>
      <c r="K22471" s="33" t="s">
        <v>22</v>
      </c>
    </row>
    <row r="22472" spans="1:11">
      <c r="A22472" s="30" t="s">
        <v>49689</v>
      </c>
      <c r="B22472" s="30" t="s">
        <v>49690</v>
      </c>
      <c r="C22472" s="30" t="s">
        <v>517</v>
      </c>
      <c r="D22472" s="30" t="s">
        <v>17</v>
      </c>
      <c r="E22472" s="30" t="s">
        <v>26</v>
      </c>
      <c r="F22472" s="30" t="s">
        <v>27</v>
      </c>
      <c r="G22472" s="30" t="s">
        <v>20</v>
      </c>
      <c r="H22472" s="32">
        <v>70</v>
      </c>
      <c r="I22472" s="30" t="s">
        <v>21</v>
      </c>
      <c r="J22472" s="41">
        <v>45850</v>
      </c>
      <c r="K22472" s="30" t="s">
        <v>22</v>
      </c>
    </row>
    <row r="22473" spans="1:11">
      <c r="A22473" s="33" t="s">
        <v>49691</v>
      </c>
      <c r="B22473" s="33" t="s">
        <v>49692</v>
      </c>
      <c r="C22473" s="33" t="s">
        <v>49693</v>
      </c>
      <c r="D22473" s="33" t="s">
        <v>17</v>
      </c>
      <c r="E22473" s="33" t="s">
        <v>26</v>
      </c>
      <c r="F22473" s="33" t="s">
        <v>27</v>
      </c>
      <c r="G22473" s="33" t="s">
        <v>140</v>
      </c>
      <c r="H22473" s="35">
        <v>60</v>
      </c>
      <c r="I22473" s="33" t="s">
        <v>51</v>
      </c>
      <c r="J22473" s="42">
        <v>45989</v>
      </c>
      <c r="K22473" s="33" t="s">
        <v>22</v>
      </c>
    </row>
    <row r="22474" spans="1:11">
      <c r="A22474" s="30" t="s">
        <v>49694</v>
      </c>
      <c r="B22474" s="30" t="s">
        <v>49695</v>
      </c>
      <c r="C22474" s="30" t="s">
        <v>450</v>
      </c>
      <c r="D22474" s="30" t="s">
        <v>17</v>
      </c>
      <c r="E22474" s="30" t="s">
        <v>212</v>
      </c>
      <c r="F22474" s="30" t="s">
        <v>213</v>
      </c>
      <c r="G22474" s="30" t="s">
        <v>140</v>
      </c>
      <c r="H22474" s="32">
        <v>200</v>
      </c>
      <c r="I22474" s="30" t="s">
        <v>51</v>
      </c>
      <c r="J22474" s="41">
        <v>45931</v>
      </c>
      <c r="K22474" s="30" t="s">
        <v>22</v>
      </c>
    </row>
    <row r="22475" spans="1:11">
      <c r="A22475" s="33" t="s">
        <v>49696</v>
      </c>
      <c r="B22475" s="33" t="s">
        <v>49697</v>
      </c>
      <c r="C22475" s="33" t="s">
        <v>49698</v>
      </c>
      <c r="D22475" s="33" t="s">
        <v>17</v>
      </c>
      <c r="E22475" s="33" t="s">
        <v>31</v>
      </c>
      <c r="F22475" s="33" t="s">
        <v>32</v>
      </c>
      <c r="G22475" s="33" t="s">
        <v>7780</v>
      </c>
      <c r="H22475" s="35">
        <v>20</v>
      </c>
      <c r="I22475" s="33" t="s">
        <v>51</v>
      </c>
      <c r="J22475" s="42">
        <v>45809</v>
      </c>
      <c r="K22475" s="33" t="s">
        <v>22</v>
      </c>
    </row>
    <row r="22476" spans="1:11">
      <c r="A22476" s="30" t="s">
        <v>49699</v>
      </c>
      <c r="B22476" s="30" t="s">
        <v>49700</v>
      </c>
      <c r="C22476" s="30" t="s">
        <v>3647</v>
      </c>
      <c r="D22476" s="30" t="s">
        <v>17</v>
      </c>
      <c r="E22476" s="30" t="s">
        <v>18</v>
      </c>
      <c r="F22476" s="30" t="s">
        <v>19</v>
      </c>
      <c r="G22476" s="30" t="s">
        <v>140</v>
      </c>
      <c r="H22476" s="32">
        <v>6</v>
      </c>
      <c r="I22476" s="30" t="s">
        <v>51</v>
      </c>
      <c r="J22476" s="41">
        <v>45765</v>
      </c>
      <c r="K22476" s="30" t="s">
        <v>22</v>
      </c>
    </row>
    <row r="22477" spans="1:11">
      <c r="A22477" s="33" t="s">
        <v>49701</v>
      </c>
      <c r="B22477" s="33" t="s">
        <v>49702</v>
      </c>
      <c r="C22477" s="33" t="s">
        <v>8653</v>
      </c>
      <c r="D22477" s="33" t="s">
        <v>17</v>
      </c>
      <c r="E22477" s="33" t="s">
        <v>18</v>
      </c>
      <c r="F22477" s="33" t="s">
        <v>19</v>
      </c>
      <c r="G22477" s="33" t="s">
        <v>7780</v>
      </c>
      <c r="H22477" s="35">
        <v>321</v>
      </c>
      <c r="I22477" s="33" t="s">
        <v>51</v>
      </c>
      <c r="J22477" s="42">
        <v>45902</v>
      </c>
      <c r="K22477" s="33" t="s">
        <v>22</v>
      </c>
    </row>
    <row r="22478" spans="1:11">
      <c r="A22478" s="30" t="s">
        <v>49703</v>
      </c>
      <c r="B22478" s="30" t="s">
        <v>49704</v>
      </c>
      <c r="C22478" s="30" t="s">
        <v>49705</v>
      </c>
      <c r="D22478" s="30" t="s">
        <v>17</v>
      </c>
      <c r="E22478" s="30" t="s">
        <v>26</v>
      </c>
      <c r="F22478" s="30" t="s">
        <v>27</v>
      </c>
      <c r="G22478" s="30" t="s">
        <v>140</v>
      </c>
      <c r="H22478" s="32">
        <v>15</v>
      </c>
      <c r="I22478" s="30" t="s">
        <v>51</v>
      </c>
      <c r="J22478" s="41">
        <v>45931</v>
      </c>
      <c r="K22478" s="30" t="s">
        <v>22</v>
      </c>
    </row>
    <row r="22479" spans="1:11">
      <c r="A22479" s="33" t="s">
        <v>49706</v>
      </c>
      <c r="B22479" s="33" t="s">
        <v>49707</v>
      </c>
      <c r="C22479" s="33" t="s">
        <v>190</v>
      </c>
      <c r="D22479" s="33" t="s">
        <v>17</v>
      </c>
      <c r="E22479" s="33" t="s">
        <v>26</v>
      </c>
      <c r="F22479" s="33" t="s">
        <v>27</v>
      </c>
      <c r="G22479" s="33" t="s">
        <v>158</v>
      </c>
      <c r="H22479" s="35">
        <v>7</v>
      </c>
      <c r="I22479" s="33" t="s">
        <v>21</v>
      </c>
      <c r="J22479" s="42">
        <v>45803</v>
      </c>
      <c r="K22479" s="33" t="s">
        <v>22</v>
      </c>
    </row>
    <row r="22480" spans="1:11">
      <c r="A22480" s="30" t="s">
        <v>49708</v>
      </c>
      <c r="B22480" s="30" t="s">
        <v>49709</v>
      </c>
      <c r="C22480" s="30" t="s">
        <v>1764</v>
      </c>
      <c r="D22480" s="30" t="s">
        <v>17</v>
      </c>
      <c r="E22480" s="30" t="s">
        <v>18</v>
      </c>
      <c r="F22480" s="30" t="s">
        <v>19</v>
      </c>
      <c r="G22480" s="30" t="s">
        <v>20</v>
      </c>
      <c r="H22480" s="32">
        <v>36</v>
      </c>
      <c r="I22480" s="30" t="s">
        <v>21</v>
      </c>
      <c r="J22480" s="41">
        <v>45729</v>
      </c>
      <c r="K22480" s="30" t="s">
        <v>22</v>
      </c>
    </row>
    <row r="22481" spans="1:11">
      <c r="A22481" s="33" t="s">
        <v>49710</v>
      </c>
      <c r="B22481" s="33" t="s">
        <v>49711</v>
      </c>
      <c r="C22481" s="33" t="s">
        <v>6379</v>
      </c>
      <c r="D22481" s="33" t="s">
        <v>17</v>
      </c>
      <c r="E22481" s="33" t="s">
        <v>18</v>
      </c>
      <c r="F22481" s="33" t="s">
        <v>19</v>
      </c>
      <c r="G22481" s="33" t="s">
        <v>140</v>
      </c>
      <c r="H22481" s="35">
        <v>284</v>
      </c>
      <c r="I22481" s="33" t="s">
        <v>51</v>
      </c>
      <c r="J22481" s="42">
        <v>45880</v>
      </c>
      <c r="K22481" s="33" t="s">
        <v>22</v>
      </c>
    </row>
    <row r="22482" spans="1:11">
      <c r="A22482" s="30" t="s">
        <v>49712</v>
      </c>
      <c r="B22482" s="30" t="s">
        <v>49713</v>
      </c>
      <c r="C22482" s="30" t="s">
        <v>38860</v>
      </c>
      <c r="D22482" s="30" t="s">
        <v>17</v>
      </c>
      <c r="E22482" s="30" t="s">
        <v>26</v>
      </c>
      <c r="F22482" s="30" t="s">
        <v>27</v>
      </c>
      <c r="G22482" s="30" t="s">
        <v>140</v>
      </c>
      <c r="H22482" s="32">
        <v>20</v>
      </c>
      <c r="I22482" s="30" t="s">
        <v>51</v>
      </c>
      <c r="J22482" s="41">
        <v>45868</v>
      </c>
      <c r="K22482" s="30" t="s">
        <v>22</v>
      </c>
    </row>
    <row r="22483" spans="1:11">
      <c r="A22483" s="33" t="s">
        <v>49714</v>
      </c>
      <c r="B22483" s="33" t="s">
        <v>49715</v>
      </c>
      <c r="C22483" s="33" t="s">
        <v>3934</v>
      </c>
      <c r="D22483" s="33" t="s">
        <v>17</v>
      </c>
      <c r="E22483" s="33" t="s">
        <v>26</v>
      </c>
      <c r="F22483" s="33" t="s">
        <v>27</v>
      </c>
      <c r="G22483" s="33" t="s">
        <v>7780</v>
      </c>
      <c r="H22483" s="35">
        <v>16</v>
      </c>
      <c r="I22483" s="33" t="s">
        <v>51</v>
      </c>
      <c r="J22483" s="42">
        <v>45740</v>
      </c>
      <c r="K22483" s="33" t="s">
        <v>22</v>
      </c>
    </row>
    <row r="22484" spans="1:11">
      <c r="A22484" s="30" t="s">
        <v>49716</v>
      </c>
      <c r="B22484" s="30" t="s">
        <v>49717</v>
      </c>
      <c r="C22484" s="30" t="s">
        <v>24734</v>
      </c>
      <c r="D22484" s="30" t="s">
        <v>17</v>
      </c>
      <c r="E22484" s="30" t="s">
        <v>67</v>
      </c>
      <c r="F22484" s="30" t="s">
        <v>68</v>
      </c>
      <c r="G22484" s="30" t="s">
        <v>7780</v>
      </c>
      <c r="H22484" s="32">
        <v>24</v>
      </c>
      <c r="I22484" s="30" t="s">
        <v>51</v>
      </c>
      <c r="J22484" s="41">
        <v>45775</v>
      </c>
      <c r="K22484" s="30" t="s">
        <v>22</v>
      </c>
    </row>
    <row r="22485" spans="1:11">
      <c r="A22485" s="33" t="s">
        <v>49718</v>
      </c>
      <c r="B22485" s="33" t="s">
        <v>49719</v>
      </c>
      <c r="C22485" s="33" t="s">
        <v>39349</v>
      </c>
      <c r="D22485" s="33" t="s">
        <v>17</v>
      </c>
      <c r="E22485" s="33" t="s">
        <v>31</v>
      </c>
      <c r="F22485" s="33" t="s">
        <v>32</v>
      </c>
      <c r="G22485" s="33" t="s">
        <v>140</v>
      </c>
      <c r="H22485" s="35">
        <v>78</v>
      </c>
      <c r="I22485" s="33" t="s">
        <v>51</v>
      </c>
      <c r="J22485" s="42">
        <v>45935</v>
      </c>
      <c r="K22485" s="33" t="s">
        <v>22</v>
      </c>
    </row>
    <row r="22486" spans="1:11">
      <c r="A22486" s="30" t="s">
        <v>49720</v>
      </c>
      <c r="B22486" s="30" t="s">
        <v>49721</v>
      </c>
      <c r="C22486" s="30" t="s">
        <v>15585</v>
      </c>
      <c r="D22486" s="30" t="s">
        <v>17</v>
      </c>
      <c r="E22486" s="30" t="s">
        <v>31</v>
      </c>
      <c r="F22486" s="30" t="s">
        <v>32</v>
      </c>
      <c r="G22486" s="30" t="s">
        <v>158</v>
      </c>
      <c r="H22486" s="32">
        <v>224</v>
      </c>
      <c r="I22486" s="30" t="s">
        <v>21</v>
      </c>
      <c r="J22486" s="41">
        <v>45881</v>
      </c>
      <c r="K22486" s="30" t="s">
        <v>22</v>
      </c>
    </row>
    <row r="22487" spans="1:11">
      <c r="A22487" s="33" t="s">
        <v>49722</v>
      </c>
      <c r="B22487" s="33" t="s">
        <v>49723</v>
      </c>
      <c r="C22487" s="33" t="s">
        <v>49724</v>
      </c>
      <c r="D22487" s="33" t="s">
        <v>17</v>
      </c>
      <c r="E22487" s="33" t="s">
        <v>31</v>
      </c>
      <c r="F22487" s="33" t="s">
        <v>32</v>
      </c>
      <c r="G22487" s="33" t="s">
        <v>140</v>
      </c>
      <c r="H22487" s="35">
        <v>360</v>
      </c>
      <c r="I22487" s="33" t="s">
        <v>51</v>
      </c>
      <c r="J22487" s="42">
        <v>45827</v>
      </c>
      <c r="K22487" s="33" t="s">
        <v>22</v>
      </c>
    </row>
    <row r="22488" spans="1:11">
      <c r="A22488" s="30" t="s">
        <v>49725</v>
      </c>
      <c r="B22488" s="30" t="s">
        <v>49726</v>
      </c>
      <c r="C22488" s="30" t="s">
        <v>28438</v>
      </c>
      <c r="D22488" s="30" t="s">
        <v>17</v>
      </c>
      <c r="E22488" s="30" t="s">
        <v>26</v>
      </c>
      <c r="F22488" s="30" t="s">
        <v>27</v>
      </c>
      <c r="G22488" s="30" t="s">
        <v>140</v>
      </c>
      <c r="H22488" s="32">
        <v>288</v>
      </c>
      <c r="I22488" s="30" t="s">
        <v>51</v>
      </c>
      <c r="J22488" s="41">
        <v>45950</v>
      </c>
      <c r="K22488" s="30" t="s">
        <v>22</v>
      </c>
    </row>
    <row r="22489" spans="1:11">
      <c r="A22489" s="33" t="s">
        <v>49727</v>
      </c>
      <c r="B22489" s="33" t="s">
        <v>49728</v>
      </c>
      <c r="C22489" s="33" t="s">
        <v>49729</v>
      </c>
      <c r="D22489" s="33" t="s">
        <v>17</v>
      </c>
      <c r="E22489" s="33" t="s">
        <v>26</v>
      </c>
      <c r="F22489" s="33" t="s">
        <v>27</v>
      </c>
      <c r="G22489" s="33" t="s">
        <v>140</v>
      </c>
      <c r="H22489" s="35">
        <v>76</v>
      </c>
      <c r="I22489" s="33" t="s">
        <v>51</v>
      </c>
      <c r="J22489" s="42">
        <v>45805</v>
      </c>
      <c r="K22489" s="33" t="s">
        <v>22</v>
      </c>
    </row>
    <row r="22490" spans="1:11">
      <c r="A22490" s="30" t="s">
        <v>49730</v>
      </c>
      <c r="B22490" s="30" t="s">
        <v>49731</v>
      </c>
      <c r="C22490" s="30" t="s">
        <v>29930</v>
      </c>
      <c r="D22490" s="30" t="s">
        <v>17</v>
      </c>
      <c r="E22490" s="30" t="s">
        <v>212</v>
      </c>
      <c r="F22490" s="30" t="s">
        <v>213</v>
      </c>
      <c r="G22490" s="30" t="s">
        <v>140</v>
      </c>
      <c r="H22490" s="32">
        <v>220</v>
      </c>
      <c r="I22490" s="30" t="s">
        <v>51</v>
      </c>
      <c r="J22490" s="41">
        <v>45700</v>
      </c>
      <c r="K22490" s="30" t="s">
        <v>22</v>
      </c>
    </row>
    <row r="22491" spans="1:11">
      <c r="A22491" s="33" t="s">
        <v>49732</v>
      </c>
      <c r="B22491" s="33" t="s">
        <v>49733</v>
      </c>
      <c r="C22491" s="33" t="s">
        <v>1778</v>
      </c>
      <c r="D22491" s="33" t="s">
        <v>17</v>
      </c>
      <c r="E22491" s="33" t="s">
        <v>31</v>
      </c>
      <c r="F22491" s="33" t="s">
        <v>32</v>
      </c>
      <c r="G22491" s="33" t="s">
        <v>20</v>
      </c>
      <c r="H22491" s="35">
        <v>62</v>
      </c>
      <c r="I22491" s="33" t="s">
        <v>21</v>
      </c>
      <c r="J22491" s="42">
        <v>45663</v>
      </c>
      <c r="K22491" s="33" t="s">
        <v>22</v>
      </c>
    </row>
    <row r="22492" spans="1:11">
      <c r="A22492" s="30" t="s">
        <v>49734</v>
      </c>
      <c r="B22492" s="30" t="s">
        <v>49735</v>
      </c>
      <c r="C22492" s="30" t="s">
        <v>28808</v>
      </c>
      <c r="D22492" s="30" t="s">
        <v>17</v>
      </c>
      <c r="E22492" s="30" t="s">
        <v>18</v>
      </c>
      <c r="F22492" s="30" t="s">
        <v>19</v>
      </c>
      <c r="G22492" s="30" t="s">
        <v>140</v>
      </c>
      <c r="H22492" s="32">
        <v>300</v>
      </c>
      <c r="I22492" s="30" t="s">
        <v>51</v>
      </c>
      <c r="J22492" s="41">
        <v>46008</v>
      </c>
      <c r="K22492" s="30" t="s">
        <v>22</v>
      </c>
    </row>
    <row r="22493" spans="1:11">
      <c r="A22493" s="33" t="s">
        <v>49736</v>
      </c>
      <c r="B22493" s="33" t="s">
        <v>49737</v>
      </c>
      <c r="C22493" s="33" t="s">
        <v>5636</v>
      </c>
      <c r="D22493" s="33" t="s">
        <v>17</v>
      </c>
      <c r="E22493" s="33" t="s">
        <v>26</v>
      </c>
      <c r="F22493" s="33" t="s">
        <v>27</v>
      </c>
      <c r="G22493" s="33" t="s">
        <v>140</v>
      </c>
      <c r="H22493" s="35">
        <v>40</v>
      </c>
      <c r="I22493" s="33" t="s">
        <v>51</v>
      </c>
      <c r="J22493" s="42">
        <v>46014</v>
      </c>
      <c r="K22493" s="33" t="s">
        <v>22</v>
      </c>
    </row>
    <row r="22494" spans="1:11">
      <c r="A22494" s="30" t="s">
        <v>49738</v>
      </c>
      <c r="B22494" s="30" t="s">
        <v>49739</v>
      </c>
      <c r="C22494" s="30" t="s">
        <v>22560</v>
      </c>
      <c r="D22494" s="30" t="s">
        <v>17</v>
      </c>
      <c r="E22494" s="30" t="s">
        <v>45</v>
      </c>
      <c r="F22494" s="30" t="s">
        <v>46</v>
      </c>
      <c r="G22494" s="30" t="s">
        <v>158</v>
      </c>
      <c r="H22494" s="32">
        <v>50</v>
      </c>
      <c r="I22494" s="30" t="s">
        <v>51</v>
      </c>
      <c r="J22494" s="41">
        <v>45847</v>
      </c>
      <c r="K22494" s="30" t="s">
        <v>22</v>
      </c>
    </row>
    <row r="22495" spans="1:11">
      <c r="A22495" s="33" t="s">
        <v>49740</v>
      </c>
      <c r="B22495" s="33" t="s">
        <v>49741</v>
      </c>
      <c r="C22495" s="33" t="s">
        <v>2017</v>
      </c>
      <c r="D22495" s="33" t="s">
        <v>17</v>
      </c>
      <c r="E22495" s="33" t="s">
        <v>18</v>
      </c>
      <c r="F22495" s="33" t="s">
        <v>19</v>
      </c>
      <c r="G22495" s="33" t="s">
        <v>140</v>
      </c>
      <c r="H22495" s="35">
        <v>355</v>
      </c>
      <c r="I22495" s="33" t="s">
        <v>51</v>
      </c>
      <c r="J22495" s="42">
        <v>45874</v>
      </c>
      <c r="K22495" s="33" t="s">
        <v>22</v>
      </c>
    </row>
    <row r="22496" spans="1:11">
      <c r="A22496" s="30" t="s">
        <v>49742</v>
      </c>
      <c r="B22496" s="30" t="s">
        <v>49743</v>
      </c>
      <c r="C22496" s="30" t="s">
        <v>49744</v>
      </c>
      <c r="D22496" s="30" t="s">
        <v>17</v>
      </c>
      <c r="E22496" s="30" t="s">
        <v>31</v>
      </c>
      <c r="F22496" s="30" t="s">
        <v>32</v>
      </c>
      <c r="G22496" s="30" t="s">
        <v>140</v>
      </c>
      <c r="H22496" s="32">
        <v>16</v>
      </c>
      <c r="I22496" s="30" t="s">
        <v>51</v>
      </c>
      <c r="J22496" s="41">
        <v>46003</v>
      </c>
      <c r="K22496" s="30" t="s">
        <v>22</v>
      </c>
    </row>
    <row r="22497" spans="1:11">
      <c r="A22497" s="33" t="s">
        <v>49745</v>
      </c>
      <c r="B22497" s="33" t="s">
        <v>49746</v>
      </c>
      <c r="C22497" s="33" t="s">
        <v>203</v>
      </c>
      <c r="D22497" s="33" t="s">
        <v>17</v>
      </c>
      <c r="E22497" s="33" t="s">
        <v>26</v>
      </c>
      <c r="F22497" s="33" t="s">
        <v>27</v>
      </c>
      <c r="G22497" s="33" t="s">
        <v>20</v>
      </c>
      <c r="H22497" s="35">
        <v>212</v>
      </c>
      <c r="I22497" s="33" t="s">
        <v>21</v>
      </c>
      <c r="J22497" s="42">
        <v>45894</v>
      </c>
      <c r="K22497" s="33" t="s">
        <v>22</v>
      </c>
    </row>
    <row r="22498" spans="1:11">
      <c r="A22498" s="30" t="s">
        <v>49747</v>
      </c>
      <c r="B22498" s="30" t="s">
        <v>49748</v>
      </c>
      <c r="C22498" s="30" t="s">
        <v>96</v>
      </c>
      <c r="D22498" s="30" t="s">
        <v>17</v>
      </c>
      <c r="E22498" s="30" t="s">
        <v>26</v>
      </c>
      <c r="F22498" s="30" t="s">
        <v>27</v>
      </c>
      <c r="G22498" s="30" t="s">
        <v>140</v>
      </c>
      <c r="H22498" s="32">
        <v>8</v>
      </c>
      <c r="I22498" s="30" t="s">
        <v>51</v>
      </c>
      <c r="J22498" s="41">
        <v>45876</v>
      </c>
      <c r="K22498" s="30" t="s">
        <v>22</v>
      </c>
    </row>
    <row r="22499" spans="1:11">
      <c r="A22499" s="33" t="s">
        <v>49749</v>
      </c>
      <c r="B22499" s="33" t="s">
        <v>49750</v>
      </c>
      <c r="C22499" s="33" t="s">
        <v>136</v>
      </c>
      <c r="D22499" s="33" t="s">
        <v>17</v>
      </c>
      <c r="E22499" s="33" t="s">
        <v>26</v>
      </c>
      <c r="F22499" s="33" t="s">
        <v>27</v>
      </c>
      <c r="G22499" s="33" t="s">
        <v>20</v>
      </c>
      <c r="H22499" s="35">
        <v>80</v>
      </c>
      <c r="I22499" s="33" t="s">
        <v>21</v>
      </c>
      <c r="J22499" s="42">
        <v>45814</v>
      </c>
      <c r="K22499" s="33" t="s">
        <v>22</v>
      </c>
    </row>
    <row r="22500" spans="1:11">
      <c r="A22500" s="30" t="s">
        <v>49751</v>
      </c>
      <c r="B22500" s="30" t="s">
        <v>49752</v>
      </c>
      <c r="C22500" s="30" t="s">
        <v>318</v>
      </c>
      <c r="D22500" s="30" t="s">
        <v>17</v>
      </c>
      <c r="E22500" s="30" t="s">
        <v>67</v>
      </c>
      <c r="F22500" s="30" t="s">
        <v>68</v>
      </c>
      <c r="G22500" s="30" t="s">
        <v>158</v>
      </c>
      <c r="H22500" s="32">
        <v>104</v>
      </c>
      <c r="I22500" s="30" t="s">
        <v>51</v>
      </c>
      <c r="J22500" s="41">
        <v>45999</v>
      </c>
      <c r="K22500" s="30" t="s">
        <v>22</v>
      </c>
    </row>
    <row r="22501" spans="1:11">
      <c r="A22501" s="33" t="s">
        <v>49753</v>
      </c>
      <c r="B22501" s="33" t="s">
        <v>49754</v>
      </c>
      <c r="C22501" s="33" t="s">
        <v>130</v>
      </c>
      <c r="D22501" s="33" t="s">
        <v>17</v>
      </c>
      <c r="E22501" s="33" t="s">
        <v>18</v>
      </c>
      <c r="F22501" s="33" t="s">
        <v>19</v>
      </c>
      <c r="G22501" s="33" t="s">
        <v>140</v>
      </c>
      <c r="H22501" s="35">
        <v>466</v>
      </c>
      <c r="I22501" s="33" t="s">
        <v>51</v>
      </c>
      <c r="J22501" s="42">
        <v>46000</v>
      </c>
      <c r="K22501" s="33" t="s">
        <v>22</v>
      </c>
    </row>
    <row r="22502" spans="1:11">
      <c r="A22502" s="30" t="s">
        <v>49755</v>
      </c>
      <c r="B22502" s="30" t="s">
        <v>49756</v>
      </c>
      <c r="C22502" s="30" t="s">
        <v>1165</v>
      </c>
      <c r="D22502" s="30" t="s">
        <v>17</v>
      </c>
      <c r="E22502" s="30" t="s">
        <v>31</v>
      </c>
      <c r="F22502" s="30" t="s">
        <v>32</v>
      </c>
      <c r="G22502" s="30" t="s">
        <v>140</v>
      </c>
      <c r="H22502" s="32">
        <v>60</v>
      </c>
      <c r="I22502" s="30" t="s">
        <v>51</v>
      </c>
      <c r="J22502" s="41">
        <v>46010</v>
      </c>
      <c r="K22502" s="30" t="s">
        <v>22</v>
      </c>
    </row>
    <row r="22503" spans="1:11">
      <c r="A22503" s="33" t="s">
        <v>49757</v>
      </c>
      <c r="B22503" s="33" t="s">
        <v>49758</v>
      </c>
      <c r="C22503" s="33" t="s">
        <v>27241</v>
      </c>
      <c r="D22503" s="33" t="s">
        <v>17</v>
      </c>
      <c r="E22503" s="33" t="s">
        <v>45</v>
      </c>
      <c r="F22503" s="33" t="s">
        <v>46</v>
      </c>
      <c r="G22503" s="33" t="s">
        <v>140</v>
      </c>
      <c r="H22503" s="35">
        <v>725</v>
      </c>
      <c r="I22503" s="33" t="s">
        <v>51</v>
      </c>
      <c r="J22503" s="42">
        <v>45695</v>
      </c>
      <c r="K22503" s="33" t="s">
        <v>22</v>
      </c>
    </row>
    <row r="22504" spans="1:11">
      <c r="A22504" s="30" t="s">
        <v>49759</v>
      </c>
      <c r="B22504" s="30" t="s">
        <v>49760</v>
      </c>
      <c r="C22504" s="30" t="s">
        <v>231</v>
      </c>
      <c r="D22504" s="30" t="s">
        <v>17</v>
      </c>
      <c r="E22504" s="30" t="s">
        <v>26</v>
      </c>
      <c r="F22504" s="30" t="s">
        <v>27</v>
      </c>
      <c r="G22504" s="30" t="s">
        <v>20</v>
      </c>
      <c r="H22504" s="32">
        <v>14</v>
      </c>
      <c r="I22504" s="30" t="s">
        <v>21</v>
      </c>
      <c r="J22504" s="41">
        <v>45804</v>
      </c>
      <c r="K22504" s="30" t="s">
        <v>22</v>
      </c>
    </row>
    <row r="22505" spans="1:11">
      <c r="A22505" s="33" t="s">
        <v>49761</v>
      </c>
      <c r="B22505" s="33" t="s">
        <v>49762</v>
      </c>
      <c r="C22505" s="33" t="s">
        <v>6282</v>
      </c>
      <c r="D22505" s="33" t="s">
        <v>17</v>
      </c>
      <c r="E22505" s="33" t="s">
        <v>31</v>
      </c>
      <c r="F22505" s="33" t="s">
        <v>32</v>
      </c>
      <c r="G22505" s="33" t="s">
        <v>140</v>
      </c>
      <c r="H22505" s="35">
        <v>30</v>
      </c>
      <c r="I22505" s="33" t="s">
        <v>51</v>
      </c>
      <c r="J22505" s="42">
        <v>45670</v>
      </c>
      <c r="K22505" s="33" t="s">
        <v>22</v>
      </c>
    </row>
    <row r="22506" spans="1:11">
      <c r="A22506" s="30" t="s">
        <v>49763</v>
      </c>
      <c r="B22506" s="30" t="s">
        <v>49764</v>
      </c>
      <c r="C22506" s="30" t="s">
        <v>3944</v>
      </c>
      <c r="D22506" s="30" t="s">
        <v>17</v>
      </c>
      <c r="E22506" s="30" t="s">
        <v>26</v>
      </c>
      <c r="F22506" s="30" t="s">
        <v>27</v>
      </c>
      <c r="G22506" s="30" t="s">
        <v>140</v>
      </c>
      <c r="H22506" s="32">
        <v>11</v>
      </c>
      <c r="I22506" s="30" t="s">
        <v>51</v>
      </c>
      <c r="J22506" s="41">
        <v>45901</v>
      </c>
      <c r="K22506" s="30" t="s">
        <v>22</v>
      </c>
    </row>
    <row r="22507" spans="1:11">
      <c r="A22507" s="33" t="s">
        <v>49765</v>
      </c>
      <c r="B22507" s="33" t="s">
        <v>49766</v>
      </c>
      <c r="C22507" s="33" t="s">
        <v>10974</v>
      </c>
      <c r="D22507" s="33" t="s">
        <v>17</v>
      </c>
      <c r="E22507" s="33" t="s">
        <v>67</v>
      </c>
      <c r="F22507" s="33" t="s">
        <v>68</v>
      </c>
      <c r="G22507" s="33" t="s">
        <v>140</v>
      </c>
      <c r="H22507" s="35">
        <v>50</v>
      </c>
      <c r="I22507" s="33" t="s">
        <v>51</v>
      </c>
      <c r="J22507" s="42">
        <v>45959</v>
      </c>
      <c r="K22507" s="33" t="s">
        <v>22</v>
      </c>
    </row>
    <row r="22508" spans="1:11">
      <c r="A22508" s="30" t="s">
        <v>49767</v>
      </c>
      <c r="B22508" s="30" t="s">
        <v>49768</v>
      </c>
      <c r="C22508" s="30" t="s">
        <v>25889</v>
      </c>
      <c r="D22508" s="30" t="s">
        <v>17</v>
      </c>
      <c r="E22508" s="30" t="s">
        <v>31</v>
      </c>
      <c r="F22508" s="30" t="s">
        <v>32</v>
      </c>
      <c r="G22508" s="30" t="s">
        <v>158</v>
      </c>
      <c r="H22508" s="32">
        <v>88</v>
      </c>
      <c r="I22508" s="30" t="s">
        <v>21</v>
      </c>
      <c r="J22508" s="41">
        <v>46007</v>
      </c>
      <c r="K22508" s="30" t="s">
        <v>22</v>
      </c>
    </row>
    <row r="22509" spans="1:11">
      <c r="A22509" s="33" t="s">
        <v>49769</v>
      </c>
      <c r="B22509" s="33" t="s">
        <v>49770</v>
      </c>
      <c r="C22509" s="33" t="s">
        <v>252</v>
      </c>
      <c r="D22509" s="33" t="s">
        <v>17</v>
      </c>
      <c r="E22509" s="33" t="s">
        <v>67</v>
      </c>
      <c r="F22509" s="33" t="s">
        <v>68</v>
      </c>
      <c r="G22509" s="33" t="s">
        <v>140</v>
      </c>
      <c r="H22509" s="35">
        <v>230</v>
      </c>
      <c r="I22509" s="33" t="s">
        <v>51</v>
      </c>
      <c r="J22509" s="42">
        <v>45798</v>
      </c>
      <c r="K22509" s="33" t="s">
        <v>22</v>
      </c>
    </row>
    <row r="22510" spans="1:11">
      <c r="A22510" s="30" t="s">
        <v>49771</v>
      </c>
      <c r="B22510" s="30" t="s">
        <v>49772</v>
      </c>
      <c r="C22510" s="30" t="s">
        <v>203</v>
      </c>
      <c r="D22510" s="30" t="s">
        <v>17</v>
      </c>
      <c r="E22510" s="30" t="s">
        <v>212</v>
      </c>
      <c r="F22510" s="30" t="s">
        <v>213</v>
      </c>
      <c r="G22510" s="30" t="s">
        <v>140</v>
      </c>
      <c r="H22510" s="32">
        <v>218</v>
      </c>
      <c r="I22510" s="30" t="s">
        <v>51</v>
      </c>
      <c r="J22510" s="41">
        <v>45922</v>
      </c>
      <c r="K22510" s="30" t="s">
        <v>22</v>
      </c>
    </row>
    <row r="22511" spans="1:11">
      <c r="A22511" s="33" t="s">
        <v>49773</v>
      </c>
      <c r="B22511" s="33" t="s">
        <v>49774</v>
      </c>
      <c r="C22511" s="33" t="s">
        <v>5395</v>
      </c>
      <c r="D22511" s="33" t="s">
        <v>17</v>
      </c>
      <c r="E22511" s="33" t="s">
        <v>67</v>
      </c>
      <c r="F22511" s="33" t="s">
        <v>68</v>
      </c>
      <c r="G22511" s="33" t="s">
        <v>7780</v>
      </c>
      <c r="H22511" s="35">
        <v>36</v>
      </c>
      <c r="I22511" s="33" t="s">
        <v>51</v>
      </c>
      <c r="J22511" s="42">
        <v>46006</v>
      </c>
      <c r="K22511" s="33" t="s">
        <v>22</v>
      </c>
    </row>
    <row r="22512" spans="1:11">
      <c r="A22512" s="30" t="s">
        <v>49775</v>
      </c>
      <c r="B22512" s="30" t="s">
        <v>49776</v>
      </c>
      <c r="C22512" s="30" t="s">
        <v>231</v>
      </c>
      <c r="D22512" s="30" t="s">
        <v>17</v>
      </c>
      <c r="E22512" s="30" t="s">
        <v>31</v>
      </c>
      <c r="F22512" s="30" t="s">
        <v>32</v>
      </c>
      <c r="G22512" s="30" t="s">
        <v>158</v>
      </c>
      <c r="H22512" s="32">
        <v>492</v>
      </c>
      <c r="I22512" s="30" t="s">
        <v>21</v>
      </c>
      <c r="J22512" s="41">
        <v>45856</v>
      </c>
      <c r="K22512" s="30" t="s">
        <v>22</v>
      </c>
    </row>
    <row r="22513" spans="1:11">
      <c r="A22513" s="33" t="s">
        <v>49777</v>
      </c>
      <c r="B22513" s="33" t="s">
        <v>49778</v>
      </c>
      <c r="C22513" s="33" t="s">
        <v>15097</v>
      </c>
      <c r="D22513" s="33" t="s">
        <v>17</v>
      </c>
      <c r="E22513" s="33" t="s">
        <v>330</v>
      </c>
      <c r="F22513" s="33" t="s">
        <v>331</v>
      </c>
      <c r="G22513" s="33" t="s">
        <v>140</v>
      </c>
      <c r="H22513" s="35">
        <v>22</v>
      </c>
      <c r="I22513" s="33" t="s">
        <v>51</v>
      </c>
      <c r="J22513" s="42">
        <v>45968</v>
      </c>
      <c r="K22513" s="33" t="s">
        <v>22</v>
      </c>
    </row>
    <row r="22514" spans="1:11">
      <c r="A22514" s="30" t="s">
        <v>49779</v>
      </c>
      <c r="B22514" s="30" t="s">
        <v>49780</v>
      </c>
      <c r="C22514" s="30" t="s">
        <v>49781</v>
      </c>
      <c r="D22514" s="30" t="s">
        <v>17</v>
      </c>
      <c r="E22514" s="30" t="s">
        <v>26</v>
      </c>
      <c r="F22514" s="30" t="s">
        <v>27</v>
      </c>
      <c r="G22514" s="30" t="s">
        <v>140</v>
      </c>
      <c r="H22514" s="32">
        <v>36</v>
      </c>
      <c r="I22514" s="30" t="s">
        <v>51</v>
      </c>
      <c r="J22514" s="41">
        <v>45826</v>
      </c>
      <c r="K22514" s="30" t="s">
        <v>22</v>
      </c>
    </row>
    <row r="22515" spans="1:11">
      <c r="A22515" s="33" t="s">
        <v>49782</v>
      </c>
      <c r="B22515" s="33" t="s">
        <v>49783</v>
      </c>
      <c r="C22515" s="33" t="s">
        <v>48745</v>
      </c>
      <c r="D22515" s="33" t="s">
        <v>17</v>
      </c>
      <c r="E22515" s="33" t="s">
        <v>26</v>
      </c>
      <c r="F22515" s="33" t="s">
        <v>27</v>
      </c>
      <c r="G22515" s="33" t="s">
        <v>140</v>
      </c>
      <c r="H22515" s="35">
        <v>18</v>
      </c>
      <c r="I22515" s="33" t="s">
        <v>51</v>
      </c>
      <c r="J22515" s="42">
        <v>45985</v>
      </c>
      <c r="K22515" s="33" t="s">
        <v>22</v>
      </c>
    </row>
    <row r="22516" spans="1:11">
      <c r="A22516" s="30" t="s">
        <v>49784</v>
      </c>
      <c r="B22516" s="30" t="s">
        <v>49785</v>
      </c>
      <c r="C22516" s="30" t="s">
        <v>24734</v>
      </c>
      <c r="D22516" s="30" t="s">
        <v>17</v>
      </c>
      <c r="E22516" s="30" t="s">
        <v>26</v>
      </c>
      <c r="F22516" s="30" t="s">
        <v>27</v>
      </c>
      <c r="G22516" s="30" t="s">
        <v>140</v>
      </c>
      <c r="H22516" s="32">
        <v>48</v>
      </c>
      <c r="I22516" s="30" t="s">
        <v>51</v>
      </c>
      <c r="J22516" s="41">
        <v>45814</v>
      </c>
      <c r="K22516" s="30" t="s">
        <v>22</v>
      </c>
    </row>
    <row r="22517" spans="1:11">
      <c r="A22517" s="33" t="s">
        <v>49786</v>
      </c>
      <c r="B22517" s="33" t="s">
        <v>49787</v>
      </c>
      <c r="C22517" s="33" t="s">
        <v>326</v>
      </c>
      <c r="D22517" s="33" t="s">
        <v>17</v>
      </c>
      <c r="E22517" s="33" t="s">
        <v>31</v>
      </c>
      <c r="F22517" s="33" t="s">
        <v>32</v>
      </c>
      <c r="G22517" s="33" t="s">
        <v>140</v>
      </c>
      <c r="H22517" s="35">
        <v>40</v>
      </c>
      <c r="I22517" s="33" t="s">
        <v>51</v>
      </c>
      <c r="J22517" s="42">
        <v>45904</v>
      </c>
      <c r="K22517" s="33" t="s">
        <v>22</v>
      </c>
    </row>
    <row r="22518" spans="1:11">
      <c r="A22518" s="30" t="s">
        <v>49788</v>
      </c>
      <c r="B22518" s="30" t="s">
        <v>49789</v>
      </c>
      <c r="C22518" s="30" t="s">
        <v>49790</v>
      </c>
      <c r="D22518" s="30" t="s">
        <v>17</v>
      </c>
      <c r="E22518" s="30" t="s">
        <v>67</v>
      </c>
      <c r="F22518" s="30" t="s">
        <v>68</v>
      </c>
      <c r="G22518" s="30" t="s">
        <v>140</v>
      </c>
      <c r="H22518" s="32">
        <v>24</v>
      </c>
      <c r="I22518" s="30" t="s">
        <v>51</v>
      </c>
      <c r="J22518" s="41">
        <v>45740</v>
      </c>
      <c r="K22518" s="30" t="s">
        <v>22</v>
      </c>
    </row>
    <row r="22519" spans="1:11">
      <c r="A22519" s="33" t="s">
        <v>49791</v>
      </c>
      <c r="B22519" s="33" t="s">
        <v>49792</v>
      </c>
      <c r="C22519" s="33" t="s">
        <v>1090</v>
      </c>
      <c r="D22519" s="33" t="s">
        <v>17</v>
      </c>
      <c r="E22519" s="33" t="s">
        <v>26</v>
      </c>
      <c r="F22519" s="33" t="s">
        <v>27</v>
      </c>
      <c r="G22519" s="33" t="s">
        <v>7780</v>
      </c>
      <c r="H22519" s="35">
        <v>382</v>
      </c>
      <c r="I22519" s="33" t="s">
        <v>51</v>
      </c>
      <c r="J22519" s="42">
        <v>45777</v>
      </c>
      <c r="K22519" s="33" t="s">
        <v>22</v>
      </c>
    </row>
    <row r="22520" spans="1:11">
      <c r="A22520" s="30" t="s">
        <v>49793</v>
      </c>
      <c r="B22520" s="30" t="s">
        <v>49794</v>
      </c>
      <c r="C22520" s="30" t="s">
        <v>48543</v>
      </c>
      <c r="D22520" s="30" t="s">
        <v>17</v>
      </c>
      <c r="E22520" s="30" t="s">
        <v>26</v>
      </c>
      <c r="F22520" s="30" t="s">
        <v>27</v>
      </c>
      <c r="G22520" s="30" t="s">
        <v>20</v>
      </c>
      <c r="H22520" s="32">
        <v>20</v>
      </c>
      <c r="I22520" s="30" t="s">
        <v>21</v>
      </c>
      <c r="J22520" s="41">
        <v>45692</v>
      </c>
      <c r="K22520" s="30" t="s">
        <v>22</v>
      </c>
    </row>
    <row r="22521" spans="1:11">
      <c r="A22521" s="33" t="s">
        <v>49795</v>
      </c>
      <c r="B22521" s="33" t="s">
        <v>49796</v>
      </c>
      <c r="C22521" s="33" t="s">
        <v>49797</v>
      </c>
      <c r="D22521" s="33" t="s">
        <v>17</v>
      </c>
      <c r="E22521" s="33" t="s">
        <v>31</v>
      </c>
      <c r="F22521" s="33" t="s">
        <v>32</v>
      </c>
      <c r="G22521" s="33" t="s">
        <v>158</v>
      </c>
      <c r="H22521" s="35">
        <v>150</v>
      </c>
      <c r="I22521" s="33" t="s">
        <v>51</v>
      </c>
      <c r="J22521" s="42">
        <v>45828</v>
      </c>
      <c r="K22521" s="33" t="s">
        <v>22</v>
      </c>
    </row>
    <row r="22522" spans="1:11">
      <c r="A22522" s="30" t="s">
        <v>49798</v>
      </c>
      <c r="B22522" s="30" t="s">
        <v>49799</v>
      </c>
      <c r="C22522" s="30" t="s">
        <v>969</v>
      </c>
      <c r="D22522" s="30" t="s">
        <v>17</v>
      </c>
      <c r="E22522" s="30" t="s">
        <v>31</v>
      </c>
      <c r="F22522" s="30" t="s">
        <v>32</v>
      </c>
      <c r="G22522" s="30" t="s">
        <v>140</v>
      </c>
      <c r="H22522" s="32">
        <v>120</v>
      </c>
      <c r="I22522" s="30" t="s">
        <v>51</v>
      </c>
      <c r="J22522" s="41">
        <v>45706</v>
      </c>
      <c r="K22522" s="30" t="s">
        <v>22</v>
      </c>
    </row>
    <row r="22523" spans="1:11">
      <c r="A22523" s="33" t="s">
        <v>49800</v>
      </c>
      <c r="B22523" s="33" t="s">
        <v>49801</v>
      </c>
      <c r="C22523" s="33" t="s">
        <v>6814</v>
      </c>
      <c r="D22523" s="33" t="s">
        <v>17</v>
      </c>
      <c r="E22523" s="33" t="s">
        <v>212</v>
      </c>
      <c r="F22523" s="33" t="s">
        <v>213</v>
      </c>
      <c r="G22523" s="33" t="s">
        <v>140</v>
      </c>
      <c r="H22523" s="35">
        <v>132</v>
      </c>
      <c r="I22523" s="33" t="s">
        <v>51</v>
      </c>
      <c r="J22523" s="42">
        <v>45670</v>
      </c>
      <c r="K22523" s="33" t="s">
        <v>22</v>
      </c>
    </row>
    <row r="22524" spans="1:11">
      <c r="A22524" s="30" t="s">
        <v>49802</v>
      </c>
      <c r="B22524" s="30" t="s">
        <v>49803</v>
      </c>
      <c r="C22524" s="30" t="s">
        <v>109</v>
      </c>
      <c r="D22524" s="30" t="s">
        <v>17</v>
      </c>
      <c r="E22524" s="30" t="s">
        <v>26</v>
      </c>
      <c r="F22524" s="30" t="s">
        <v>27</v>
      </c>
      <c r="G22524" s="30" t="s">
        <v>140</v>
      </c>
      <c r="H22524" s="32">
        <v>116</v>
      </c>
      <c r="I22524" s="30" t="s">
        <v>51</v>
      </c>
      <c r="J22524" s="41">
        <v>45946</v>
      </c>
      <c r="K22524" s="30" t="s">
        <v>22</v>
      </c>
    </row>
    <row r="22525" spans="1:11">
      <c r="A22525" s="33" t="s">
        <v>49804</v>
      </c>
      <c r="B22525" s="33" t="s">
        <v>49805</v>
      </c>
      <c r="C22525" s="33" t="s">
        <v>1764</v>
      </c>
      <c r="D22525" s="33" t="s">
        <v>17</v>
      </c>
      <c r="E22525" s="33" t="s">
        <v>18</v>
      </c>
      <c r="F22525" s="33" t="s">
        <v>19</v>
      </c>
      <c r="G22525" s="33" t="s">
        <v>20</v>
      </c>
      <c r="H22525" s="35">
        <v>80</v>
      </c>
      <c r="I22525" s="33" t="s">
        <v>21</v>
      </c>
      <c r="J22525" s="42">
        <v>45852</v>
      </c>
      <c r="K22525" s="33" t="s">
        <v>22</v>
      </c>
    </row>
    <row r="22526" spans="1:11">
      <c r="A22526" s="30" t="s">
        <v>49806</v>
      </c>
      <c r="B22526" s="30" t="s">
        <v>49807</v>
      </c>
      <c r="C22526" s="30" t="s">
        <v>1778</v>
      </c>
      <c r="D22526" s="30" t="s">
        <v>17</v>
      </c>
      <c r="E22526" s="30" t="s">
        <v>26</v>
      </c>
      <c r="F22526" s="30" t="s">
        <v>27</v>
      </c>
      <c r="G22526" s="30" t="s">
        <v>20</v>
      </c>
      <c r="H22526" s="32">
        <v>30</v>
      </c>
      <c r="I22526" s="30" t="s">
        <v>21</v>
      </c>
      <c r="J22526" s="41">
        <v>45727</v>
      </c>
      <c r="K22526" s="30" t="s">
        <v>22</v>
      </c>
    </row>
    <row r="22527" spans="1:11">
      <c r="A22527" s="33" t="s">
        <v>49808</v>
      </c>
      <c r="B22527" s="33" t="s">
        <v>49809</v>
      </c>
      <c r="C22527" s="33" t="s">
        <v>203</v>
      </c>
      <c r="D22527" s="33" t="s">
        <v>17</v>
      </c>
      <c r="E22527" s="33" t="s">
        <v>26</v>
      </c>
      <c r="F22527" s="33" t="s">
        <v>27</v>
      </c>
      <c r="G22527" s="33" t="s">
        <v>140</v>
      </c>
      <c r="H22527" s="35">
        <v>62</v>
      </c>
      <c r="I22527" s="33" t="s">
        <v>51</v>
      </c>
      <c r="J22527" s="42">
        <v>45743</v>
      </c>
      <c r="K22527" s="33" t="s">
        <v>22</v>
      </c>
    </row>
    <row r="22528" spans="1:11">
      <c r="A22528" s="30" t="s">
        <v>49810</v>
      </c>
      <c r="B22528" s="30" t="s">
        <v>49811</v>
      </c>
      <c r="C22528" s="30" t="s">
        <v>49812</v>
      </c>
      <c r="D22528" s="30" t="s">
        <v>17</v>
      </c>
      <c r="E22528" s="30" t="s">
        <v>26</v>
      </c>
      <c r="F22528" s="30" t="s">
        <v>27</v>
      </c>
      <c r="G22528" s="30" t="s">
        <v>20</v>
      </c>
      <c r="H22528" s="32">
        <v>44</v>
      </c>
      <c r="I22528" s="30" t="s">
        <v>21</v>
      </c>
      <c r="J22528" s="41">
        <v>45817</v>
      </c>
      <c r="K22528" s="30" t="s">
        <v>22</v>
      </c>
    </row>
    <row r="22529" spans="1:11">
      <c r="A22529" s="33" t="s">
        <v>49813</v>
      </c>
      <c r="B22529" s="33" t="s">
        <v>49814</v>
      </c>
      <c r="C22529" s="33" t="s">
        <v>45366</v>
      </c>
      <c r="D22529" s="33" t="s">
        <v>17</v>
      </c>
      <c r="E22529" s="33" t="s">
        <v>26</v>
      </c>
      <c r="F22529" s="33" t="s">
        <v>27</v>
      </c>
      <c r="G22529" s="33" t="s">
        <v>140</v>
      </c>
      <c r="H22529" s="35">
        <v>80</v>
      </c>
      <c r="I22529" s="33" t="s">
        <v>51</v>
      </c>
      <c r="J22529" s="42">
        <v>45726</v>
      </c>
      <c r="K22529" s="33" t="s">
        <v>22</v>
      </c>
    </row>
    <row r="22530" spans="1:11">
      <c r="A22530" s="30" t="s">
        <v>49815</v>
      </c>
      <c r="B22530" s="30" t="s">
        <v>49816</v>
      </c>
      <c r="C22530" s="30" t="s">
        <v>2129</v>
      </c>
      <c r="D22530" s="30" t="s">
        <v>17</v>
      </c>
      <c r="E22530" s="30" t="s">
        <v>31</v>
      </c>
      <c r="F22530" s="30" t="s">
        <v>32</v>
      </c>
      <c r="G22530" s="30" t="s">
        <v>140</v>
      </c>
      <c r="H22530" s="32">
        <v>190</v>
      </c>
      <c r="I22530" s="30" t="s">
        <v>51</v>
      </c>
      <c r="J22530" s="41">
        <v>45945</v>
      </c>
      <c r="K22530" s="30" t="s">
        <v>22</v>
      </c>
    </row>
    <row r="22531" spans="1:11">
      <c r="A22531" s="33" t="s">
        <v>49817</v>
      </c>
      <c r="B22531" s="33" t="s">
        <v>49818</v>
      </c>
      <c r="C22531" s="33" t="s">
        <v>44825</v>
      </c>
      <c r="D22531" s="33" t="s">
        <v>17</v>
      </c>
      <c r="E22531" s="33" t="s">
        <v>212</v>
      </c>
      <c r="F22531" s="33" t="s">
        <v>213</v>
      </c>
      <c r="G22531" s="33" t="s">
        <v>140</v>
      </c>
      <c r="H22531" s="35">
        <v>500</v>
      </c>
      <c r="I22531" s="33" t="s">
        <v>51</v>
      </c>
      <c r="J22531" s="42">
        <v>45797</v>
      </c>
      <c r="K22531" s="33" t="s">
        <v>22</v>
      </c>
    </row>
    <row r="22532" spans="1:11">
      <c r="A22532" s="30" t="s">
        <v>49819</v>
      </c>
      <c r="B22532" s="30" t="s">
        <v>49820</v>
      </c>
      <c r="C22532" s="30" t="s">
        <v>187</v>
      </c>
      <c r="D22532" s="30" t="s">
        <v>17</v>
      </c>
      <c r="E22532" s="30" t="s">
        <v>18</v>
      </c>
      <c r="F22532" s="30" t="s">
        <v>19</v>
      </c>
      <c r="G22532" s="30" t="s">
        <v>140</v>
      </c>
      <c r="H22532" s="32">
        <v>199</v>
      </c>
      <c r="I22532" s="30" t="s">
        <v>51</v>
      </c>
      <c r="J22532" s="41">
        <v>45777</v>
      </c>
      <c r="K22532" s="30" t="s">
        <v>22</v>
      </c>
    </row>
    <row r="22533" spans="1:11">
      <c r="A22533" s="33" t="s">
        <v>49821</v>
      </c>
      <c r="B22533" s="33" t="s">
        <v>49822</v>
      </c>
      <c r="C22533" s="33" t="s">
        <v>203</v>
      </c>
      <c r="D22533" s="33" t="s">
        <v>17</v>
      </c>
      <c r="E22533" s="33" t="s">
        <v>31</v>
      </c>
      <c r="F22533" s="33" t="s">
        <v>32</v>
      </c>
      <c r="G22533" s="33" t="s">
        <v>158</v>
      </c>
      <c r="H22533" s="35">
        <v>84</v>
      </c>
      <c r="I22533" s="33" t="s">
        <v>51</v>
      </c>
      <c r="J22533" s="42">
        <v>45716</v>
      </c>
      <c r="K22533" s="33" t="s">
        <v>22</v>
      </c>
    </row>
    <row r="22534" spans="1:11">
      <c r="A22534" s="30" t="s">
        <v>49823</v>
      </c>
      <c r="B22534" s="30" t="s">
        <v>49824</v>
      </c>
      <c r="C22534" s="30" t="s">
        <v>49825</v>
      </c>
      <c r="D22534" s="30" t="s">
        <v>17</v>
      </c>
      <c r="E22534" s="30" t="s">
        <v>31</v>
      </c>
      <c r="F22534" s="30" t="s">
        <v>32</v>
      </c>
      <c r="G22534" s="30" t="s">
        <v>140</v>
      </c>
      <c r="H22534" s="32">
        <v>70</v>
      </c>
      <c r="I22534" s="30" t="s">
        <v>51</v>
      </c>
      <c r="J22534" s="41">
        <v>45919</v>
      </c>
      <c r="K22534" s="30" t="s">
        <v>22</v>
      </c>
    </row>
    <row r="22535" spans="1:11">
      <c r="A22535" s="33" t="s">
        <v>49826</v>
      </c>
      <c r="B22535" s="33" t="s">
        <v>49827</v>
      </c>
      <c r="C22535" s="33" t="s">
        <v>190</v>
      </c>
      <c r="D22535" s="33" t="s">
        <v>17</v>
      </c>
      <c r="E22535" s="33" t="s">
        <v>18</v>
      </c>
      <c r="F22535" s="33" t="s">
        <v>19</v>
      </c>
      <c r="G22535" s="33" t="s">
        <v>140</v>
      </c>
      <c r="H22535" s="35">
        <v>400</v>
      </c>
      <c r="I22535" s="33" t="s">
        <v>51</v>
      </c>
      <c r="J22535" s="42">
        <v>45961</v>
      </c>
      <c r="K22535" s="33" t="s">
        <v>22</v>
      </c>
    </row>
    <row r="22536" spans="1:11">
      <c r="A22536" s="30" t="s">
        <v>49828</v>
      </c>
      <c r="B22536" s="30" t="s">
        <v>49829</v>
      </c>
      <c r="C22536" s="30" t="s">
        <v>698</v>
      </c>
      <c r="D22536" s="30" t="s">
        <v>17</v>
      </c>
      <c r="E22536" s="30" t="s">
        <v>45</v>
      </c>
      <c r="F22536" s="30" t="s">
        <v>46</v>
      </c>
      <c r="G22536" s="30" t="s">
        <v>7780</v>
      </c>
      <c r="H22536" s="32">
        <v>390</v>
      </c>
      <c r="I22536" s="30" t="s">
        <v>51</v>
      </c>
      <c r="J22536" s="41">
        <v>45748</v>
      </c>
      <c r="K22536" s="30" t="s">
        <v>22</v>
      </c>
    </row>
    <row r="22537" spans="1:11">
      <c r="A22537" s="33" t="s">
        <v>49830</v>
      </c>
      <c r="B22537" s="33" t="s">
        <v>49831</v>
      </c>
      <c r="C22537" s="33" t="s">
        <v>49832</v>
      </c>
      <c r="D22537" s="33" t="s">
        <v>17</v>
      </c>
      <c r="E22537" s="33" t="s">
        <v>31</v>
      </c>
      <c r="F22537" s="33" t="s">
        <v>32</v>
      </c>
      <c r="G22537" s="33" t="s">
        <v>140</v>
      </c>
      <c r="H22537" s="35">
        <v>32</v>
      </c>
      <c r="I22537" s="33" t="s">
        <v>51</v>
      </c>
      <c r="J22537" s="42">
        <v>45753</v>
      </c>
      <c r="K22537" s="33" t="s">
        <v>22</v>
      </c>
    </row>
    <row r="22538" spans="1:11">
      <c r="A22538" s="30" t="s">
        <v>49833</v>
      </c>
      <c r="B22538" s="30" t="s">
        <v>49834</v>
      </c>
      <c r="C22538" s="30" t="s">
        <v>49835</v>
      </c>
      <c r="D22538" s="30" t="s">
        <v>17</v>
      </c>
      <c r="E22538" s="30" t="s">
        <v>26</v>
      </c>
      <c r="F22538" s="30" t="s">
        <v>27</v>
      </c>
      <c r="G22538" s="30" t="s">
        <v>158</v>
      </c>
      <c r="H22538" s="32">
        <v>12</v>
      </c>
      <c r="I22538" s="30" t="s">
        <v>51</v>
      </c>
      <c r="J22538" s="41">
        <v>45717</v>
      </c>
      <c r="K22538" s="30" t="s">
        <v>22</v>
      </c>
    </row>
    <row r="22539" spans="1:11">
      <c r="A22539" s="33" t="s">
        <v>49836</v>
      </c>
      <c r="B22539" s="33" t="s">
        <v>49837</v>
      </c>
      <c r="C22539" s="33" t="s">
        <v>353</v>
      </c>
      <c r="D22539" s="33" t="s">
        <v>17</v>
      </c>
      <c r="E22539" s="33" t="s">
        <v>31</v>
      </c>
      <c r="F22539" s="33" t="s">
        <v>32</v>
      </c>
      <c r="G22539" s="33" t="s">
        <v>7780</v>
      </c>
      <c r="H22539" s="35">
        <v>162</v>
      </c>
      <c r="I22539" s="33" t="s">
        <v>51</v>
      </c>
      <c r="J22539" s="42">
        <v>45839</v>
      </c>
      <c r="K22539" s="33" t="s">
        <v>22</v>
      </c>
    </row>
    <row r="22540" spans="1:11">
      <c r="A22540" s="30" t="s">
        <v>49838</v>
      </c>
      <c r="B22540" s="30" t="s">
        <v>49839</v>
      </c>
      <c r="C22540" s="30" t="s">
        <v>24734</v>
      </c>
      <c r="D22540" s="30" t="s">
        <v>17</v>
      </c>
      <c r="E22540" s="30" t="s">
        <v>67</v>
      </c>
      <c r="F22540" s="30" t="s">
        <v>68</v>
      </c>
      <c r="G22540" s="30" t="s">
        <v>7780</v>
      </c>
      <c r="H22540" s="32">
        <v>30</v>
      </c>
      <c r="I22540" s="30" t="s">
        <v>51</v>
      </c>
      <c r="J22540" s="41">
        <v>45717</v>
      </c>
      <c r="K22540" s="30" t="s">
        <v>22</v>
      </c>
    </row>
    <row r="22541" spans="1:11">
      <c r="A22541" s="33" t="s">
        <v>49840</v>
      </c>
      <c r="B22541" s="33" t="s">
        <v>49841</v>
      </c>
      <c r="C22541" s="33" t="s">
        <v>40953</v>
      </c>
      <c r="D22541" s="33" t="s">
        <v>17</v>
      </c>
      <c r="E22541" s="33" t="s">
        <v>67</v>
      </c>
      <c r="F22541" s="33" t="s">
        <v>68</v>
      </c>
      <c r="G22541" s="33" t="s">
        <v>158</v>
      </c>
      <c r="H22541" s="35">
        <v>20</v>
      </c>
      <c r="I22541" s="33" t="s">
        <v>51</v>
      </c>
      <c r="J22541" s="42">
        <v>45729</v>
      </c>
      <c r="K22541" s="33" t="s">
        <v>22</v>
      </c>
    </row>
    <row r="22542" spans="1:11">
      <c r="A22542" s="30" t="s">
        <v>49842</v>
      </c>
      <c r="B22542" s="30" t="s">
        <v>49843</v>
      </c>
      <c r="C22542" s="30" t="s">
        <v>37411</v>
      </c>
      <c r="D22542" s="30" t="s">
        <v>17</v>
      </c>
      <c r="E22542" s="30" t="s">
        <v>26</v>
      </c>
      <c r="F22542" s="30" t="s">
        <v>27</v>
      </c>
      <c r="G22542" s="30" t="s">
        <v>7780</v>
      </c>
      <c r="H22542" s="32">
        <v>24</v>
      </c>
      <c r="I22542" s="30" t="s">
        <v>51</v>
      </c>
      <c r="J22542" s="41">
        <v>45878</v>
      </c>
      <c r="K22542" s="30" t="s">
        <v>22</v>
      </c>
    </row>
    <row r="22543" spans="1:11">
      <c r="A22543" s="33" t="s">
        <v>49844</v>
      </c>
      <c r="B22543" s="33" t="s">
        <v>49845</v>
      </c>
      <c r="C22543" s="33" t="s">
        <v>44</v>
      </c>
      <c r="D22543" s="33" t="s">
        <v>17</v>
      </c>
      <c r="E22543" s="33" t="s">
        <v>26</v>
      </c>
      <c r="F22543" s="33" t="s">
        <v>27</v>
      </c>
      <c r="G22543" s="33" t="s">
        <v>140</v>
      </c>
      <c r="H22543" s="35">
        <v>46</v>
      </c>
      <c r="I22543" s="33" t="s">
        <v>51</v>
      </c>
      <c r="J22543" s="42">
        <v>45996</v>
      </c>
      <c r="K22543" s="33" t="s">
        <v>22</v>
      </c>
    </row>
    <row r="22544" spans="1:11">
      <c r="A22544" s="30" t="s">
        <v>49846</v>
      </c>
      <c r="B22544" s="30" t="s">
        <v>49847</v>
      </c>
      <c r="C22544" s="30" t="s">
        <v>6379</v>
      </c>
      <c r="D22544" s="30" t="s">
        <v>17</v>
      </c>
      <c r="E22544" s="30" t="s">
        <v>18</v>
      </c>
      <c r="F22544" s="30" t="s">
        <v>19</v>
      </c>
      <c r="G22544" s="30" t="s">
        <v>140</v>
      </c>
      <c r="H22544" s="32">
        <v>550</v>
      </c>
      <c r="I22544" s="30" t="s">
        <v>51</v>
      </c>
      <c r="J22544" s="41">
        <v>45887</v>
      </c>
      <c r="K22544" s="30" t="s">
        <v>22</v>
      </c>
    </row>
    <row r="22545" spans="1:11">
      <c r="A22545" s="33" t="s">
        <v>49848</v>
      </c>
      <c r="B22545" s="33" t="s">
        <v>49849</v>
      </c>
      <c r="C22545" s="33" t="s">
        <v>49850</v>
      </c>
      <c r="D22545" s="33" t="s">
        <v>17</v>
      </c>
      <c r="E22545" s="33" t="s">
        <v>26</v>
      </c>
      <c r="F22545" s="33" t="s">
        <v>27</v>
      </c>
      <c r="G22545" s="33" t="s">
        <v>140</v>
      </c>
      <c r="H22545" s="35">
        <v>70</v>
      </c>
      <c r="I22545" s="33" t="s">
        <v>51</v>
      </c>
      <c r="J22545" s="42">
        <v>45791</v>
      </c>
      <c r="K22545" s="33" t="s">
        <v>22</v>
      </c>
    </row>
    <row r="22546" spans="1:11">
      <c r="A22546" s="30" t="s">
        <v>49851</v>
      </c>
      <c r="B22546" s="30" t="s">
        <v>49852</v>
      </c>
      <c r="C22546" s="30" t="s">
        <v>49853</v>
      </c>
      <c r="D22546" s="30" t="s">
        <v>17</v>
      </c>
      <c r="E22546" s="30" t="s">
        <v>26</v>
      </c>
      <c r="F22546" s="30" t="s">
        <v>27</v>
      </c>
      <c r="G22546" s="30" t="s">
        <v>140</v>
      </c>
      <c r="H22546" s="32">
        <v>25</v>
      </c>
      <c r="I22546" s="30" t="s">
        <v>51</v>
      </c>
      <c r="J22546" s="41">
        <v>45733</v>
      </c>
      <c r="K22546" s="30" t="s">
        <v>22</v>
      </c>
    </row>
    <row r="22547" spans="1:11">
      <c r="A22547" s="33" t="s">
        <v>49854</v>
      </c>
      <c r="B22547" s="33" t="s">
        <v>49855</v>
      </c>
      <c r="C22547" s="33" t="s">
        <v>11899</v>
      </c>
      <c r="D22547" s="33" t="s">
        <v>17</v>
      </c>
      <c r="E22547" s="33" t="s">
        <v>67</v>
      </c>
      <c r="F22547" s="33" t="s">
        <v>68</v>
      </c>
      <c r="G22547" s="33" t="s">
        <v>140</v>
      </c>
      <c r="H22547" s="35">
        <v>100</v>
      </c>
      <c r="I22547" s="33" t="s">
        <v>51</v>
      </c>
      <c r="J22547" s="42">
        <v>45772</v>
      </c>
      <c r="K22547" s="33" t="s">
        <v>22</v>
      </c>
    </row>
    <row r="22548" spans="1:11">
      <c r="A22548" s="30" t="s">
        <v>49856</v>
      </c>
      <c r="B22548" s="30" t="s">
        <v>49857</v>
      </c>
      <c r="C22548" s="30" t="s">
        <v>4348</v>
      </c>
      <c r="D22548" s="30" t="s">
        <v>17</v>
      </c>
      <c r="E22548" s="30" t="s">
        <v>18</v>
      </c>
      <c r="F22548" s="30" t="s">
        <v>19</v>
      </c>
      <c r="G22548" s="30" t="s">
        <v>140</v>
      </c>
      <c r="H22548" s="32">
        <v>720</v>
      </c>
      <c r="I22548" s="30" t="s">
        <v>51</v>
      </c>
      <c r="J22548" s="41">
        <v>45712</v>
      </c>
      <c r="K22548" s="30" t="s">
        <v>22</v>
      </c>
    </row>
    <row r="22549" spans="1:11">
      <c r="A22549" s="33" t="s">
        <v>49858</v>
      </c>
      <c r="B22549" s="33" t="s">
        <v>49859</v>
      </c>
      <c r="C22549" s="33" t="s">
        <v>149</v>
      </c>
      <c r="D22549" s="33" t="s">
        <v>17</v>
      </c>
      <c r="E22549" s="33" t="s">
        <v>18</v>
      </c>
      <c r="F22549" s="33" t="s">
        <v>19</v>
      </c>
      <c r="G22549" s="33" t="s">
        <v>7780</v>
      </c>
      <c r="H22549" s="35">
        <v>588</v>
      </c>
      <c r="I22549" s="33" t="s">
        <v>51</v>
      </c>
      <c r="J22549" s="42">
        <v>45992</v>
      </c>
      <c r="K22549" s="33" t="s">
        <v>22</v>
      </c>
    </row>
    <row r="22550" spans="1:11">
      <c r="A22550" s="30" t="s">
        <v>49860</v>
      </c>
      <c r="B22550" s="30" t="s">
        <v>49861</v>
      </c>
      <c r="C22550" s="30" t="s">
        <v>34959</v>
      </c>
      <c r="D22550" s="30" t="s">
        <v>17</v>
      </c>
      <c r="E22550" s="30" t="s">
        <v>31</v>
      </c>
      <c r="F22550" s="30" t="s">
        <v>32</v>
      </c>
      <c r="G22550" s="30" t="s">
        <v>7780</v>
      </c>
      <c r="H22550" s="32">
        <v>40</v>
      </c>
      <c r="I22550" s="30" t="s">
        <v>51</v>
      </c>
      <c r="J22550" s="41">
        <v>45926</v>
      </c>
      <c r="K22550" s="30" t="s">
        <v>22</v>
      </c>
    </row>
    <row r="22551" spans="1:11">
      <c r="A22551" s="33" t="s">
        <v>49862</v>
      </c>
      <c r="B22551" s="33" t="s">
        <v>49863</v>
      </c>
      <c r="C22551" s="33" t="s">
        <v>399</v>
      </c>
      <c r="D22551" s="33" t="s">
        <v>17</v>
      </c>
      <c r="E22551" s="33" t="s">
        <v>18</v>
      </c>
      <c r="F22551" s="33" t="s">
        <v>19</v>
      </c>
      <c r="G22551" s="33" t="s">
        <v>140</v>
      </c>
      <c r="H22551" s="35">
        <v>240</v>
      </c>
      <c r="I22551" s="33" t="s">
        <v>51</v>
      </c>
      <c r="J22551" s="42">
        <v>45880</v>
      </c>
      <c r="K22551" s="33" t="s">
        <v>22</v>
      </c>
    </row>
    <row r="22552" spans="1:11">
      <c r="A22552" s="30" t="s">
        <v>49864</v>
      </c>
      <c r="B22552" s="30" t="s">
        <v>49865</v>
      </c>
      <c r="C22552" s="30" t="s">
        <v>969</v>
      </c>
      <c r="D22552" s="30" t="s">
        <v>17</v>
      </c>
      <c r="E22552" s="30" t="s">
        <v>26</v>
      </c>
      <c r="F22552" s="30" t="s">
        <v>27</v>
      </c>
      <c r="G22552" s="30" t="s">
        <v>158</v>
      </c>
      <c r="H22552" s="32">
        <v>32</v>
      </c>
      <c r="I22552" s="30" t="s">
        <v>21</v>
      </c>
      <c r="J22552" s="41">
        <v>45926</v>
      </c>
      <c r="K22552" s="30" t="s">
        <v>22</v>
      </c>
    </row>
    <row r="22553" spans="1:11">
      <c r="A22553" s="33" t="s">
        <v>49866</v>
      </c>
      <c r="B22553" s="33" t="s">
        <v>49867</v>
      </c>
      <c r="C22553" s="33" t="s">
        <v>5588</v>
      </c>
      <c r="D22553" s="33" t="s">
        <v>17</v>
      </c>
      <c r="E22553" s="33" t="s">
        <v>26</v>
      </c>
      <c r="F22553" s="33" t="s">
        <v>27</v>
      </c>
      <c r="G22553" s="33" t="s">
        <v>7780</v>
      </c>
      <c r="H22553" s="35">
        <v>30</v>
      </c>
      <c r="I22553" s="33" t="s">
        <v>51</v>
      </c>
      <c r="J22553" s="42">
        <v>45777</v>
      </c>
      <c r="K22553" s="33" t="s">
        <v>22</v>
      </c>
    </row>
    <row r="22554" spans="1:11">
      <c r="A22554" s="30" t="s">
        <v>49868</v>
      </c>
      <c r="B22554" s="30" t="s">
        <v>49869</v>
      </c>
      <c r="C22554" s="30" t="s">
        <v>190</v>
      </c>
      <c r="D22554" s="30" t="s">
        <v>17</v>
      </c>
      <c r="E22554" s="30" t="s">
        <v>26</v>
      </c>
      <c r="F22554" s="30" t="s">
        <v>27</v>
      </c>
      <c r="G22554" s="30" t="s">
        <v>20</v>
      </c>
      <c r="H22554" s="32">
        <v>10</v>
      </c>
      <c r="I22554" s="30" t="s">
        <v>21</v>
      </c>
      <c r="J22554" s="41">
        <v>45819</v>
      </c>
      <c r="K22554" s="30" t="s">
        <v>22</v>
      </c>
    </row>
    <row r="22555" spans="1:11">
      <c r="A22555" s="33" t="s">
        <v>49870</v>
      </c>
      <c r="B22555" s="33" t="s">
        <v>49871</v>
      </c>
      <c r="C22555" s="33" t="s">
        <v>6148</v>
      </c>
      <c r="D22555" s="33" t="s">
        <v>17</v>
      </c>
      <c r="E22555" s="33" t="s">
        <v>26</v>
      </c>
      <c r="F22555" s="33" t="s">
        <v>27</v>
      </c>
      <c r="G22555" s="33" t="s">
        <v>20</v>
      </c>
      <c r="H22555" s="35">
        <v>6</v>
      </c>
      <c r="I22555" s="33" t="s">
        <v>21</v>
      </c>
      <c r="J22555" s="42">
        <v>45709</v>
      </c>
      <c r="K22555" s="33" t="s">
        <v>22</v>
      </c>
    </row>
    <row r="22556" spans="1:11">
      <c r="A22556" s="30" t="s">
        <v>49872</v>
      </c>
      <c r="B22556" s="30" t="s">
        <v>49873</v>
      </c>
      <c r="C22556" s="30" t="s">
        <v>11363</v>
      </c>
      <c r="D22556" s="30" t="s">
        <v>17</v>
      </c>
      <c r="E22556" s="30" t="s">
        <v>45</v>
      </c>
      <c r="F22556" s="30" t="s">
        <v>46</v>
      </c>
      <c r="G22556" s="30" t="s">
        <v>140</v>
      </c>
      <c r="H22556" s="32">
        <v>740</v>
      </c>
      <c r="I22556" s="30" t="s">
        <v>51</v>
      </c>
      <c r="J22556" s="41">
        <v>45799</v>
      </c>
      <c r="K22556" s="30" t="s">
        <v>22</v>
      </c>
    </row>
    <row r="22557" spans="1:11">
      <c r="A22557" s="33" t="s">
        <v>49874</v>
      </c>
      <c r="B22557" s="33" t="s">
        <v>49875</v>
      </c>
      <c r="C22557" s="33" t="s">
        <v>16695</v>
      </c>
      <c r="D22557" s="33" t="s">
        <v>17</v>
      </c>
      <c r="E22557" s="33" t="s">
        <v>330</v>
      </c>
      <c r="F22557" s="33" t="s">
        <v>331</v>
      </c>
      <c r="G22557" s="33" t="s">
        <v>112</v>
      </c>
      <c r="H22557" s="35">
        <v>0</v>
      </c>
      <c r="I22557" s="33" t="s">
        <v>21</v>
      </c>
      <c r="J22557" s="42">
        <v>45992</v>
      </c>
      <c r="K22557" s="33" t="s">
        <v>22</v>
      </c>
    </row>
    <row r="22558" spans="1:11">
      <c r="A22558" s="30" t="s">
        <v>49876</v>
      </c>
      <c r="B22558" s="30" t="s">
        <v>49877</v>
      </c>
      <c r="C22558" s="30" t="s">
        <v>5050</v>
      </c>
      <c r="D22558" s="30" t="s">
        <v>17</v>
      </c>
      <c r="E22558" s="30" t="s">
        <v>26</v>
      </c>
      <c r="F22558" s="30" t="s">
        <v>27</v>
      </c>
      <c r="G22558" s="30" t="s">
        <v>20</v>
      </c>
      <c r="H22558" s="32">
        <v>63</v>
      </c>
      <c r="I22558" s="30" t="s">
        <v>21</v>
      </c>
      <c r="J22558" s="41">
        <v>45948</v>
      </c>
      <c r="K22558" s="30" t="s">
        <v>22</v>
      </c>
    </row>
    <row r="22559" spans="1:11">
      <c r="A22559" s="33" t="s">
        <v>49878</v>
      </c>
      <c r="B22559" s="33" t="s">
        <v>49879</v>
      </c>
      <c r="C22559" s="33" t="s">
        <v>96</v>
      </c>
      <c r="D22559" s="33" t="s">
        <v>17</v>
      </c>
      <c r="E22559" s="33" t="s">
        <v>26</v>
      </c>
      <c r="F22559" s="33" t="s">
        <v>27</v>
      </c>
      <c r="G22559" s="33" t="s">
        <v>140</v>
      </c>
      <c r="H22559" s="35">
        <v>26</v>
      </c>
      <c r="I22559" s="33" t="s">
        <v>51</v>
      </c>
      <c r="J22559" s="42">
        <v>46013</v>
      </c>
      <c r="K22559" s="33" t="s">
        <v>22</v>
      </c>
    </row>
    <row r="22560" spans="1:11">
      <c r="A22560" s="30" t="s">
        <v>49880</v>
      </c>
      <c r="B22560" s="30" t="s">
        <v>49881</v>
      </c>
      <c r="C22560" s="30" t="s">
        <v>16443</v>
      </c>
      <c r="D22560" s="30" t="s">
        <v>17</v>
      </c>
      <c r="E22560" s="30" t="s">
        <v>67</v>
      </c>
      <c r="F22560" s="30" t="s">
        <v>68</v>
      </c>
      <c r="G22560" s="30" t="s">
        <v>7780</v>
      </c>
      <c r="H22560" s="32">
        <v>40</v>
      </c>
      <c r="I22560" s="30" t="s">
        <v>51</v>
      </c>
      <c r="J22560" s="41">
        <v>45717</v>
      </c>
      <c r="K22560" s="30" t="s">
        <v>22</v>
      </c>
    </row>
    <row r="22561" spans="1:11">
      <c r="A22561" s="33" t="s">
        <v>49882</v>
      </c>
      <c r="B22561" s="33" t="s">
        <v>49883</v>
      </c>
      <c r="C22561" s="33" t="s">
        <v>49884</v>
      </c>
      <c r="D22561" s="33" t="s">
        <v>17</v>
      </c>
      <c r="E22561" s="33" t="s">
        <v>212</v>
      </c>
      <c r="F22561" s="33" t="s">
        <v>213</v>
      </c>
      <c r="G22561" s="33" t="s">
        <v>7780</v>
      </c>
      <c r="H22561" s="35">
        <v>150</v>
      </c>
      <c r="I22561" s="33" t="s">
        <v>51</v>
      </c>
      <c r="J22561" s="42">
        <v>45854</v>
      </c>
      <c r="K22561" s="33" t="s">
        <v>22</v>
      </c>
    </row>
    <row r="22562" spans="1:11">
      <c r="A22562" s="30" t="s">
        <v>49885</v>
      </c>
      <c r="B22562" s="30" t="s">
        <v>49886</v>
      </c>
      <c r="C22562" s="30" t="s">
        <v>49887</v>
      </c>
      <c r="D22562" s="30" t="s">
        <v>17</v>
      </c>
      <c r="E22562" s="30" t="s">
        <v>67</v>
      </c>
      <c r="F22562" s="30" t="s">
        <v>68</v>
      </c>
      <c r="G22562" s="30" t="s">
        <v>20</v>
      </c>
      <c r="H22562" s="32">
        <v>40</v>
      </c>
      <c r="I22562" s="30" t="s">
        <v>21</v>
      </c>
      <c r="J22562" s="41">
        <v>45677</v>
      </c>
      <c r="K22562" s="30" t="s">
        <v>22</v>
      </c>
    </row>
    <row r="22563" spans="1:11">
      <c r="A22563" s="33" t="s">
        <v>49888</v>
      </c>
      <c r="B22563" s="33" t="s">
        <v>49889</v>
      </c>
      <c r="C22563" s="33" t="s">
        <v>985</v>
      </c>
      <c r="D22563" s="33" t="s">
        <v>17</v>
      </c>
      <c r="E22563" s="33" t="s">
        <v>26</v>
      </c>
      <c r="F22563" s="33" t="s">
        <v>27</v>
      </c>
      <c r="G22563" s="33" t="s">
        <v>20</v>
      </c>
      <c r="H22563" s="35">
        <v>38</v>
      </c>
      <c r="I22563" s="33" t="s">
        <v>21</v>
      </c>
      <c r="J22563" s="42">
        <v>45755</v>
      </c>
      <c r="K22563" s="33" t="s">
        <v>22</v>
      </c>
    </row>
    <row r="22564" spans="1:11">
      <c r="A22564" s="30" t="s">
        <v>49890</v>
      </c>
      <c r="B22564" s="30" t="s">
        <v>49891</v>
      </c>
      <c r="C22564" s="30" t="s">
        <v>49825</v>
      </c>
      <c r="D22564" s="30" t="s">
        <v>17</v>
      </c>
      <c r="E22564" s="30" t="s">
        <v>31</v>
      </c>
      <c r="F22564" s="30" t="s">
        <v>32</v>
      </c>
      <c r="G22564" s="30" t="s">
        <v>112</v>
      </c>
      <c r="H22564" s="32">
        <v>0</v>
      </c>
      <c r="I22564" s="30" t="s">
        <v>21</v>
      </c>
      <c r="J22564" s="41">
        <v>45945</v>
      </c>
      <c r="K22564" s="30" t="s">
        <v>22</v>
      </c>
    </row>
    <row r="22565" spans="1:11">
      <c r="A22565" s="33" t="s">
        <v>49892</v>
      </c>
      <c r="B22565" s="33" t="s">
        <v>49893</v>
      </c>
      <c r="C22565" s="33" t="s">
        <v>49894</v>
      </c>
      <c r="D22565" s="33" t="s">
        <v>17</v>
      </c>
      <c r="E22565" s="33" t="s">
        <v>67</v>
      </c>
      <c r="F22565" s="33" t="s">
        <v>68</v>
      </c>
      <c r="G22565" s="33" t="s">
        <v>158</v>
      </c>
      <c r="H22565" s="35">
        <v>12</v>
      </c>
      <c r="I22565" s="33" t="s">
        <v>51</v>
      </c>
      <c r="J22565" s="42">
        <v>45959</v>
      </c>
      <c r="K22565" s="33" t="s">
        <v>22</v>
      </c>
    </row>
    <row r="22566" spans="1:11">
      <c r="A22566" s="30" t="s">
        <v>49895</v>
      </c>
      <c r="B22566" s="30" t="s">
        <v>49896</v>
      </c>
      <c r="C22566" s="30" t="s">
        <v>570</v>
      </c>
      <c r="D22566" s="30" t="s">
        <v>17</v>
      </c>
      <c r="E22566" s="30" t="s">
        <v>26</v>
      </c>
      <c r="F22566" s="30" t="s">
        <v>27</v>
      </c>
      <c r="G22566" s="30" t="s">
        <v>140</v>
      </c>
      <c r="H22566" s="32">
        <v>186</v>
      </c>
      <c r="I22566" s="30" t="s">
        <v>51</v>
      </c>
      <c r="J22566" s="41">
        <v>45996</v>
      </c>
      <c r="K22566" s="30" t="s">
        <v>22</v>
      </c>
    </row>
    <row r="22567" spans="1:11">
      <c r="A22567" s="33" t="s">
        <v>49897</v>
      </c>
      <c r="B22567" s="33" t="s">
        <v>49898</v>
      </c>
      <c r="C22567" s="33" t="s">
        <v>30200</v>
      </c>
      <c r="D22567" s="33" t="s">
        <v>17</v>
      </c>
      <c r="E22567" s="33" t="s">
        <v>31</v>
      </c>
      <c r="F22567" s="33" t="s">
        <v>32</v>
      </c>
      <c r="G22567" s="33" t="s">
        <v>140</v>
      </c>
      <c r="H22567" s="35">
        <v>12</v>
      </c>
      <c r="I22567" s="33" t="s">
        <v>51</v>
      </c>
      <c r="J22567" s="42">
        <v>45806</v>
      </c>
      <c r="K22567" s="33" t="s">
        <v>22</v>
      </c>
    </row>
    <row r="22568" spans="1:11">
      <c r="A22568" s="30" t="s">
        <v>49899</v>
      </c>
      <c r="B22568" s="30" t="s">
        <v>49900</v>
      </c>
      <c r="C22568" s="30" t="s">
        <v>49901</v>
      </c>
      <c r="D22568" s="30" t="s">
        <v>17</v>
      </c>
      <c r="E22568" s="30" t="s">
        <v>330</v>
      </c>
      <c r="F22568" s="30" t="s">
        <v>331</v>
      </c>
      <c r="G22568" s="30" t="s">
        <v>140</v>
      </c>
      <c r="H22568" s="32">
        <v>18</v>
      </c>
      <c r="I22568" s="30" t="s">
        <v>51</v>
      </c>
      <c r="J22568" s="41">
        <v>46018</v>
      </c>
      <c r="K22568" s="30" t="s">
        <v>22</v>
      </c>
    </row>
    <row r="22569" spans="1:11">
      <c r="A22569" s="33" t="s">
        <v>49902</v>
      </c>
      <c r="B22569" s="33" t="s">
        <v>49903</v>
      </c>
      <c r="C22569" s="33" t="s">
        <v>49904</v>
      </c>
      <c r="D22569" s="33" t="s">
        <v>17</v>
      </c>
      <c r="E22569" s="33" t="s">
        <v>26</v>
      </c>
      <c r="F22569" s="33" t="s">
        <v>27</v>
      </c>
      <c r="G22569" s="33" t="s">
        <v>158</v>
      </c>
      <c r="H22569" s="35">
        <v>79</v>
      </c>
      <c r="I22569" s="33" t="s">
        <v>21</v>
      </c>
      <c r="J22569" s="42">
        <v>45925</v>
      </c>
      <c r="K22569" s="33" t="s">
        <v>22</v>
      </c>
    </row>
    <row r="22570" spans="1:11">
      <c r="A22570" s="30" t="s">
        <v>49905</v>
      </c>
      <c r="B22570" s="30" t="s">
        <v>49906</v>
      </c>
      <c r="C22570" s="30" t="s">
        <v>190</v>
      </c>
      <c r="D22570" s="30" t="s">
        <v>17</v>
      </c>
      <c r="E22570" s="30" t="s">
        <v>31</v>
      </c>
      <c r="F22570" s="30" t="s">
        <v>32</v>
      </c>
      <c r="G22570" s="30" t="s">
        <v>140</v>
      </c>
      <c r="H22570" s="32">
        <v>80</v>
      </c>
      <c r="I22570" s="30" t="s">
        <v>51</v>
      </c>
      <c r="J22570" s="41">
        <v>45728</v>
      </c>
      <c r="K22570" s="30" t="s">
        <v>22</v>
      </c>
    </row>
    <row r="22571" spans="1:11">
      <c r="A22571" s="33" t="s">
        <v>49907</v>
      </c>
      <c r="B22571" s="33" t="s">
        <v>49908</v>
      </c>
      <c r="C22571" s="33" t="s">
        <v>12688</v>
      </c>
      <c r="D22571" s="33" t="s">
        <v>17</v>
      </c>
      <c r="E22571" s="33" t="s">
        <v>26</v>
      </c>
      <c r="F22571" s="33" t="s">
        <v>27</v>
      </c>
      <c r="G22571" s="33" t="s">
        <v>20</v>
      </c>
      <c r="H22571" s="35">
        <v>129</v>
      </c>
      <c r="I22571" s="33" t="s">
        <v>21</v>
      </c>
      <c r="J22571" s="42">
        <v>45664</v>
      </c>
      <c r="K22571" s="33" t="s">
        <v>22</v>
      </c>
    </row>
    <row r="22572" spans="1:11">
      <c r="A22572" s="30" t="s">
        <v>49909</v>
      </c>
      <c r="B22572" s="30" t="s">
        <v>49910</v>
      </c>
      <c r="C22572" s="30" t="s">
        <v>49911</v>
      </c>
      <c r="D22572" s="30" t="s">
        <v>17</v>
      </c>
      <c r="E22572" s="30" t="s">
        <v>18</v>
      </c>
      <c r="F22572" s="30" t="s">
        <v>19</v>
      </c>
      <c r="G22572" s="30" t="s">
        <v>112</v>
      </c>
      <c r="H22572" s="32">
        <v>0</v>
      </c>
      <c r="I22572" s="30" t="s">
        <v>21</v>
      </c>
      <c r="J22572" s="41">
        <v>45658</v>
      </c>
      <c r="K22572" s="30" t="s">
        <v>22</v>
      </c>
    </row>
    <row r="22573" spans="1:11">
      <c r="A22573" s="33" t="s">
        <v>49912</v>
      </c>
      <c r="B22573" s="33" t="s">
        <v>49913</v>
      </c>
      <c r="C22573" s="33" t="s">
        <v>1764</v>
      </c>
      <c r="D22573" s="33" t="s">
        <v>17</v>
      </c>
      <c r="E22573" s="33" t="s">
        <v>18</v>
      </c>
      <c r="F22573" s="33" t="s">
        <v>19</v>
      </c>
      <c r="G22573" s="33" t="s">
        <v>20</v>
      </c>
      <c r="H22573" s="35">
        <v>80</v>
      </c>
      <c r="I22573" s="33" t="s">
        <v>21</v>
      </c>
      <c r="J22573" s="42">
        <v>45887</v>
      </c>
      <c r="K22573" s="33" t="s">
        <v>22</v>
      </c>
    </row>
    <row r="22574" spans="1:11">
      <c r="A22574" s="30" t="s">
        <v>49914</v>
      </c>
      <c r="B22574" s="30" t="s">
        <v>49915</v>
      </c>
      <c r="C22574" s="30" t="s">
        <v>6460</v>
      </c>
      <c r="D22574" s="30" t="s">
        <v>17</v>
      </c>
      <c r="E22574" s="30" t="s">
        <v>26</v>
      </c>
      <c r="F22574" s="30" t="s">
        <v>27</v>
      </c>
      <c r="G22574" s="30" t="s">
        <v>140</v>
      </c>
      <c r="H22574" s="32">
        <v>18</v>
      </c>
      <c r="I22574" s="30" t="s">
        <v>51</v>
      </c>
      <c r="J22574" s="41">
        <v>45873</v>
      </c>
      <c r="K22574" s="30" t="s">
        <v>22</v>
      </c>
    </row>
    <row r="22575" spans="1:11">
      <c r="A22575" s="33" t="s">
        <v>49916</v>
      </c>
      <c r="B22575" s="33" t="s">
        <v>49917</v>
      </c>
      <c r="C22575" s="33" t="s">
        <v>157</v>
      </c>
      <c r="D22575" s="33" t="s">
        <v>17</v>
      </c>
      <c r="E22575" s="33" t="s">
        <v>18</v>
      </c>
      <c r="F22575" s="33" t="s">
        <v>19</v>
      </c>
      <c r="G22575" s="33" t="s">
        <v>140</v>
      </c>
      <c r="H22575" s="35">
        <v>171</v>
      </c>
      <c r="I22575" s="33" t="s">
        <v>51</v>
      </c>
      <c r="J22575" s="42">
        <v>45715</v>
      </c>
      <c r="K22575" s="33" t="s">
        <v>22</v>
      </c>
    </row>
    <row r="22576" spans="1:11">
      <c r="A22576" s="30" t="s">
        <v>49918</v>
      </c>
      <c r="B22576" s="30" t="s">
        <v>49919</v>
      </c>
      <c r="C22576" s="30" t="s">
        <v>2772</v>
      </c>
      <c r="D22576" s="30" t="s">
        <v>17</v>
      </c>
      <c r="E22576" s="30" t="s">
        <v>26</v>
      </c>
      <c r="F22576" s="30" t="s">
        <v>27</v>
      </c>
      <c r="G22576" s="30" t="s">
        <v>140</v>
      </c>
      <c r="H22576" s="32">
        <v>135</v>
      </c>
      <c r="I22576" s="30" t="s">
        <v>51</v>
      </c>
      <c r="J22576" s="41">
        <v>45743</v>
      </c>
      <c r="K22576" s="30" t="s">
        <v>22</v>
      </c>
    </row>
    <row r="22577" spans="1:11">
      <c r="A22577" s="33" t="s">
        <v>49920</v>
      </c>
      <c r="B22577" s="33" t="s">
        <v>49921</v>
      </c>
      <c r="C22577" s="33" t="s">
        <v>190</v>
      </c>
      <c r="D22577" s="33" t="s">
        <v>17</v>
      </c>
      <c r="E22577" s="33" t="s">
        <v>31</v>
      </c>
      <c r="F22577" s="33" t="s">
        <v>32</v>
      </c>
      <c r="G22577" s="33" t="s">
        <v>20</v>
      </c>
      <c r="H22577" s="35">
        <v>98</v>
      </c>
      <c r="I22577" s="33" t="s">
        <v>21</v>
      </c>
      <c r="J22577" s="42">
        <v>45759</v>
      </c>
      <c r="K22577" s="33" t="s">
        <v>22</v>
      </c>
    </row>
    <row r="22578" spans="1:11">
      <c r="A22578" s="30" t="s">
        <v>49922</v>
      </c>
      <c r="B22578" s="30" t="s">
        <v>49923</v>
      </c>
      <c r="C22578" s="30" t="s">
        <v>14816</v>
      </c>
      <c r="D22578" s="30" t="s">
        <v>17</v>
      </c>
      <c r="E22578" s="30" t="s">
        <v>26</v>
      </c>
      <c r="F22578" s="30" t="s">
        <v>27</v>
      </c>
      <c r="G22578" s="30" t="s">
        <v>20</v>
      </c>
      <c r="H22578" s="32">
        <v>24</v>
      </c>
      <c r="I22578" s="30" t="s">
        <v>21</v>
      </c>
      <c r="J22578" s="41">
        <v>45813</v>
      </c>
      <c r="K22578" s="30" t="s">
        <v>22</v>
      </c>
    </row>
    <row r="22579" spans="1:11">
      <c r="A22579" s="33" t="s">
        <v>49924</v>
      </c>
      <c r="B22579" s="33" t="s">
        <v>49925</v>
      </c>
      <c r="C22579" s="33" t="s">
        <v>31578</v>
      </c>
      <c r="D22579" s="33" t="s">
        <v>17</v>
      </c>
      <c r="E22579" s="33" t="s">
        <v>26</v>
      </c>
      <c r="F22579" s="33" t="s">
        <v>27</v>
      </c>
      <c r="G22579" s="33" t="s">
        <v>20</v>
      </c>
      <c r="H22579" s="35">
        <v>132</v>
      </c>
      <c r="I22579" s="33" t="s">
        <v>21</v>
      </c>
      <c r="J22579" s="42">
        <v>45838</v>
      </c>
      <c r="K22579" s="33" t="s">
        <v>22</v>
      </c>
    </row>
    <row r="22580" spans="1:11">
      <c r="A22580" s="30" t="s">
        <v>49926</v>
      </c>
      <c r="B22580" s="30" t="s">
        <v>49927</v>
      </c>
      <c r="C22580" s="30" t="s">
        <v>801</v>
      </c>
      <c r="D22580" s="30" t="s">
        <v>17</v>
      </c>
      <c r="E22580" s="30" t="s">
        <v>26</v>
      </c>
      <c r="F22580" s="30" t="s">
        <v>27</v>
      </c>
      <c r="G22580" s="30" t="s">
        <v>20</v>
      </c>
      <c r="H22580" s="32">
        <v>5</v>
      </c>
      <c r="I22580" s="30" t="s">
        <v>21</v>
      </c>
      <c r="J22580" s="41">
        <v>45687</v>
      </c>
      <c r="K22580" s="30" t="s">
        <v>22</v>
      </c>
    </row>
    <row r="22581" spans="1:11">
      <c r="A22581" s="33" t="s">
        <v>49928</v>
      </c>
      <c r="B22581" s="33" t="s">
        <v>49929</v>
      </c>
      <c r="C22581" s="33" t="s">
        <v>231</v>
      </c>
      <c r="D22581" s="33" t="s">
        <v>17</v>
      </c>
      <c r="E22581" s="33" t="s">
        <v>26</v>
      </c>
      <c r="F22581" s="33" t="s">
        <v>27</v>
      </c>
      <c r="G22581" s="33" t="s">
        <v>20</v>
      </c>
      <c r="H22581" s="35">
        <v>47</v>
      </c>
      <c r="I22581" s="33" t="s">
        <v>21</v>
      </c>
      <c r="J22581" s="42">
        <v>45814</v>
      </c>
      <c r="K22581" s="33" t="s">
        <v>22</v>
      </c>
    </row>
    <row r="22582" spans="1:11">
      <c r="A22582" s="30" t="s">
        <v>49930</v>
      </c>
      <c r="B22582" s="30" t="s">
        <v>49931</v>
      </c>
      <c r="C22582" s="30" t="s">
        <v>49932</v>
      </c>
      <c r="D22582" s="30" t="s">
        <v>17</v>
      </c>
      <c r="E22582" s="30" t="s">
        <v>26</v>
      </c>
      <c r="F22582" s="30" t="s">
        <v>27</v>
      </c>
      <c r="G22582" s="30" t="s">
        <v>140</v>
      </c>
      <c r="H22582" s="32">
        <v>67</v>
      </c>
      <c r="I22582" s="30" t="s">
        <v>51</v>
      </c>
      <c r="J22582" s="41">
        <v>45691</v>
      </c>
      <c r="K22582" s="30" t="s">
        <v>22</v>
      </c>
    </row>
    <row r="22583" spans="1:11">
      <c r="A22583" s="33" t="s">
        <v>49933</v>
      </c>
      <c r="B22583" s="33" t="s">
        <v>49934</v>
      </c>
      <c r="C22583" s="33" t="s">
        <v>6442</v>
      </c>
      <c r="D22583" s="33" t="s">
        <v>17</v>
      </c>
      <c r="E22583" s="33" t="s">
        <v>26</v>
      </c>
      <c r="F22583" s="33" t="s">
        <v>27</v>
      </c>
      <c r="G22583" s="33" t="s">
        <v>140</v>
      </c>
      <c r="H22583" s="35">
        <v>20</v>
      </c>
      <c r="I22583" s="33" t="s">
        <v>51</v>
      </c>
      <c r="J22583" s="42">
        <v>45790</v>
      </c>
      <c r="K22583" s="33" t="s">
        <v>22</v>
      </c>
    </row>
    <row r="22584" spans="1:11">
      <c r="A22584" s="30" t="s">
        <v>49935</v>
      </c>
      <c r="B22584" s="30" t="s">
        <v>49936</v>
      </c>
      <c r="C22584" s="30" t="s">
        <v>22088</v>
      </c>
      <c r="D22584" s="30" t="s">
        <v>17</v>
      </c>
      <c r="E22584" s="30" t="s">
        <v>31</v>
      </c>
      <c r="F22584" s="30" t="s">
        <v>32</v>
      </c>
      <c r="G22584" s="30" t="s">
        <v>140</v>
      </c>
      <c r="H22584" s="32">
        <v>87</v>
      </c>
      <c r="I22584" s="30" t="s">
        <v>51</v>
      </c>
      <c r="J22584" s="41">
        <v>45962</v>
      </c>
      <c r="K22584" s="30" t="s">
        <v>22</v>
      </c>
    </row>
    <row r="22585" spans="1:11">
      <c r="A22585" s="33" t="s">
        <v>49937</v>
      </c>
      <c r="B22585" s="33" t="s">
        <v>49938</v>
      </c>
      <c r="C22585" s="33" t="s">
        <v>925</v>
      </c>
      <c r="D22585" s="33" t="s">
        <v>17</v>
      </c>
      <c r="E22585" s="33" t="s">
        <v>18</v>
      </c>
      <c r="F22585" s="33" t="s">
        <v>19</v>
      </c>
      <c r="G22585" s="33" t="s">
        <v>158</v>
      </c>
      <c r="H22585" s="35">
        <v>339</v>
      </c>
      <c r="I22585" s="33" t="s">
        <v>21</v>
      </c>
      <c r="J22585" s="42">
        <v>45860</v>
      </c>
      <c r="K22585" s="33" t="s">
        <v>22</v>
      </c>
    </row>
    <row r="22586" spans="1:11">
      <c r="A22586" s="30" t="s">
        <v>49939</v>
      </c>
      <c r="B22586" s="30" t="s">
        <v>49940</v>
      </c>
      <c r="C22586" s="30" t="s">
        <v>39233</v>
      </c>
      <c r="D22586" s="30" t="s">
        <v>17</v>
      </c>
      <c r="E22586" s="30" t="s">
        <v>31</v>
      </c>
      <c r="F22586" s="30" t="s">
        <v>32</v>
      </c>
      <c r="G22586" s="30" t="s">
        <v>140</v>
      </c>
      <c r="H22586" s="32">
        <v>70</v>
      </c>
      <c r="I22586" s="30" t="s">
        <v>51</v>
      </c>
      <c r="J22586" s="41">
        <v>46009</v>
      </c>
      <c r="K22586" s="30" t="s">
        <v>22</v>
      </c>
    </row>
    <row r="22587" spans="1:11">
      <c r="A22587" s="33" t="s">
        <v>49941</v>
      </c>
      <c r="B22587" s="33" t="s">
        <v>49942</v>
      </c>
      <c r="C22587" s="33" t="s">
        <v>75</v>
      </c>
      <c r="D22587" s="33" t="s">
        <v>17</v>
      </c>
      <c r="E22587" s="33" t="s">
        <v>26</v>
      </c>
      <c r="F22587" s="33" t="s">
        <v>27</v>
      </c>
      <c r="G22587" s="33" t="s">
        <v>140</v>
      </c>
      <c r="H22587" s="35">
        <v>106</v>
      </c>
      <c r="I22587" s="33" t="s">
        <v>51</v>
      </c>
      <c r="J22587" s="42">
        <v>46014</v>
      </c>
      <c r="K22587" s="33" t="s">
        <v>22</v>
      </c>
    </row>
    <row r="22588" spans="1:11">
      <c r="A22588" s="30" t="s">
        <v>49943</v>
      </c>
      <c r="B22588" s="30" t="s">
        <v>49944</v>
      </c>
      <c r="C22588" s="30" t="s">
        <v>11073</v>
      </c>
      <c r="D22588" s="30" t="s">
        <v>17</v>
      </c>
      <c r="E22588" s="30" t="s">
        <v>26</v>
      </c>
      <c r="F22588" s="30" t="s">
        <v>27</v>
      </c>
      <c r="G22588" s="30" t="s">
        <v>7780</v>
      </c>
      <c r="H22588" s="32">
        <v>330</v>
      </c>
      <c r="I22588" s="30" t="s">
        <v>51</v>
      </c>
      <c r="J22588" s="41">
        <v>45771</v>
      </c>
      <c r="K22588" s="30" t="s">
        <v>22</v>
      </c>
    </row>
    <row r="22589" spans="1:11">
      <c r="A22589" s="33" t="s">
        <v>49945</v>
      </c>
      <c r="B22589" s="33" t="s">
        <v>49946</v>
      </c>
      <c r="C22589" s="33" t="s">
        <v>231</v>
      </c>
      <c r="D22589" s="33" t="s">
        <v>17</v>
      </c>
      <c r="E22589" s="33" t="s">
        <v>26</v>
      </c>
      <c r="F22589" s="33" t="s">
        <v>27</v>
      </c>
      <c r="G22589" s="33" t="s">
        <v>158</v>
      </c>
      <c r="H22589" s="35">
        <v>91</v>
      </c>
      <c r="I22589" s="33" t="s">
        <v>21</v>
      </c>
      <c r="J22589" s="42">
        <v>45791</v>
      </c>
      <c r="K22589" s="33" t="s">
        <v>22</v>
      </c>
    </row>
    <row r="22590" spans="1:11">
      <c r="A22590" s="30" t="s">
        <v>49947</v>
      </c>
      <c r="B22590" s="30" t="s">
        <v>49948</v>
      </c>
      <c r="C22590" s="30" t="s">
        <v>178</v>
      </c>
      <c r="D22590" s="30" t="s">
        <v>17</v>
      </c>
      <c r="E22590" s="30" t="s">
        <v>212</v>
      </c>
      <c r="F22590" s="30" t="s">
        <v>213</v>
      </c>
      <c r="G22590" s="30" t="s">
        <v>158</v>
      </c>
      <c r="H22590" s="32">
        <v>274</v>
      </c>
      <c r="I22590" s="30" t="s">
        <v>51</v>
      </c>
      <c r="J22590" s="41">
        <v>45730</v>
      </c>
      <c r="K22590" s="30" t="s">
        <v>22</v>
      </c>
    </row>
    <row r="22591" spans="1:11">
      <c r="A22591" s="33" t="s">
        <v>49949</v>
      </c>
      <c r="B22591" s="33" t="s">
        <v>49950</v>
      </c>
      <c r="C22591" s="33" t="s">
        <v>39363</v>
      </c>
      <c r="D22591" s="33" t="s">
        <v>17</v>
      </c>
      <c r="E22591" s="33" t="s">
        <v>67</v>
      </c>
      <c r="F22591" s="33" t="s">
        <v>68</v>
      </c>
      <c r="G22591" s="33" t="s">
        <v>140</v>
      </c>
      <c r="H22591" s="35">
        <v>70</v>
      </c>
      <c r="I22591" s="33" t="s">
        <v>51</v>
      </c>
      <c r="J22591" s="42">
        <v>46017</v>
      </c>
      <c r="K22591" s="33" t="s">
        <v>22</v>
      </c>
    </row>
    <row r="22592" spans="1:11">
      <c r="A22592" s="30" t="s">
        <v>49951</v>
      </c>
      <c r="B22592" s="30" t="s">
        <v>49952</v>
      </c>
      <c r="C22592" s="30" t="s">
        <v>535</v>
      </c>
      <c r="D22592" s="30" t="s">
        <v>17</v>
      </c>
      <c r="E22592" s="30" t="s">
        <v>31</v>
      </c>
      <c r="F22592" s="30" t="s">
        <v>32</v>
      </c>
      <c r="G22592" s="30" t="s">
        <v>158</v>
      </c>
      <c r="H22592" s="32">
        <v>30</v>
      </c>
      <c r="I22592" s="30" t="s">
        <v>21</v>
      </c>
      <c r="J22592" s="41">
        <v>45790</v>
      </c>
      <c r="K22592" s="30" t="s">
        <v>22</v>
      </c>
    </row>
    <row r="22593" spans="1:11">
      <c r="A22593" s="33" t="s">
        <v>49953</v>
      </c>
      <c r="B22593" s="33" t="s">
        <v>49954</v>
      </c>
      <c r="C22593" s="33" t="s">
        <v>524</v>
      </c>
      <c r="D22593" s="33" t="s">
        <v>17</v>
      </c>
      <c r="E22593" s="33" t="s">
        <v>26</v>
      </c>
      <c r="F22593" s="33" t="s">
        <v>27</v>
      </c>
      <c r="G22593" s="33" t="s">
        <v>20</v>
      </c>
      <c r="H22593" s="35">
        <v>24</v>
      </c>
      <c r="I22593" s="33" t="s">
        <v>21</v>
      </c>
      <c r="J22593" s="42">
        <v>45729</v>
      </c>
      <c r="K22593" s="33" t="s">
        <v>22</v>
      </c>
    </row>
    <row r="22594" spans="1:11">
      <c r="A22594" s="30" t="s">
        <v>49955</v>
      </c>
      <c r="B22594" s="30" t="s">
        <v>49956</v>
      </c>
      <c r="C22594" s="30" t="s">
        <v>6049</v>
      </c>
      <c r="D22594" s="30" t="s">
        <v>17</v>
      </c>
      <c r="E22594" s="30" t="s">
        <v>18</v>
      </c>
      <c r="F22594" s="30" t="s">
        <v>19</v>
      </c>
      <c r="G22594" s="30" t="s">
        <v>140</v>
      </c>
      <c r="H22594" s="32">
        <v>520</v>
      </c>
      <c r="I22594" s="30" t="s">
        <v>51</v>
      </c>
      <c r="J22594" s="41">
        <v>45924</v>
      </c>
      <c r="K22594" s="30" t="s">
        <v>22</v>
      </c>
    </row>
    <row r="22595" spans="1:11">
      <c r="A22595" s="33" t="s">
        <v>49957</v>
      </c>
      <c r="B22595" s="33" t="s">
        <v>49958</v>
      </c>
      <c r="C22595" s="33" t="s">
        <v>517</v>
      </c>
      <c r="D22595" s="33" t="s">
        <v>17</v>
      </c>
      <c r="E22595" s="33" t="s">
        <v>26</v>
      </c>
      <c r="F22595" s="33" t="s">
        <v>27</v>
      </c>
      <c r="G22595" s="33" t="s">
        <v>140</v>
      </c>
      <c r="H22595" s="35">
        <v>48</v>
      </c>
      <c r="I22595" s="33" t="s">
        <v>51</v>
      </c>
      <c r="J22595" s="42">
        <v>45748</v>
      </c>
      <c r="K22595" s="33" t="s">
        <v>22</v>
      </c>
    </row>
    <row r="22596" spans="1:11">
      <c r="A22596" s="30" t="s">
        <v>49959</v>
      </c>
      <c r="B22596" s="30" t="s">
        <v>49960</v>
      </c>
      <c r="C22596" s="30" t="s">
        <v>33154</v>
      </c>
      <c r="D22596" s="30" t="s">
        <v>17</v>
      </c>
      <c r="E22596" s="30" t="s">
        <v>18</v>
      </c>
      <c r="F22596" s="30" t="s">
        <v>19</v>
      </c>
      <c r="G22596" s="30" t="s">
        <v>140</v>
      </c>
      <c r="H22596" s="32">
        <v>552</v>
      </c>
      <c r="I22596" s="30" t="s">
        <v>51</v>
      </c>
      <c r="J22596" s="41">
        <v>45863</v>
      </c>
      <c r="K22596" s="30" t="s">
        <v>22</v>
      </c>
    </row>
    <row r="22597" spans="1:11">
      <c r="A22597" s="33" t="s">
        <v>49961</v>
      </c>
      <c r="B22597" s="33" t="s">
        <v>49962</v>
      </c>
      <c r="C22597" s="33" t="s">
        <v>21190</v>
      </c>
      <c r="D22597" s="33" t="s">
        <v>17</v>
      </c>
      <c r="E22597" s="33" t="s">
        <v>31</v>
      </c>
      <c r="F22597" s="33" t="s">
        <v>32</v>
      </c>
      <c r="G22597" s="33" t="s">
        <v>7780</v>
      </c>
      <c r="H22597" s="35">
        <v>60</v>
      </c>
      <c r="I22597" s="33" t="s">
        <v>51</v>
      </c>
      <c r="J22597" s="42">
        <v>45870</v>
      </c>
      <c r="K22597" s="33" t="s">
        <v>22</v>
      </c>
    </row>
    <row r="22598" spans="1:11">
      <c r="A22598" s="30" t="s">
        <v>49963</v>
      </c>
      <c r="B22598" s="30" t="s">
        <v>49964</v>
      </c>
      <c r="C22598" s="30" t="s">
        <v>216</v>
      </c>
      <c r="D22598" s="30" t="s">
        <v>17</v>
      </c>
      <c r="E22598" s="30" t="s">
        <v>26</v>
      </c>
      <c r="F22598" s="30" t="s">
        <v>27</v>
      </c>
      <c r="G22598" s="30" t="s">
        <v>140</v>
      </c>
      <c r="H22598" s="32">
        <v>140</v>
      </c>
      <c r="I22598" s="30" t="s">
        <v>51</v>
      </c>
      <c r="J22598" s="41">
        <v>45944</v>
      </c>
      <c r="K22598" s="30" t="s">
        <v>22</v>
      </c>
    </row>
    <row r="22599" spans="1:11">
      <c r="A22599" s="33" t="s">
        <v>49965</v>
      </c>
      <c r="B22599" s="33" t="s">
        <v>49966</v>
      </c>
      <c r="C22599" s="33" t="s">
        <v>149</v>
      </c>
      <c r="D22599" s="33" t="s">
        <v>17</v>
      </c>
      <c r="E22599" s="33" t="s">
        <v>26</v>
      </c>
      <c r="F22599" s="33" t="s">
        <v>27</v>
      </c>
      <c r="G22599" s="33" t="s">
        <v>158</v>
      </c>
      <c r="H22599" s="35">
        <v>46</v>
      </c>
      <c r="I22599" s="33" t="s">
        <v>21</v>
      </c>
      <c r="J22599" s="42">
        <v>45730</v>
      </c>
      <c r="K22599" s="33" t="s">
        <v>22</v>
      </c>
    </row>
    <row r="22600" spans="1:11">
      <c r="A22600" s="30" t="s">
        <v>49967</v>
      </c>
      <c r="B22600" s="30" t="s">
        <v>49968</v>
      </c>
      <c r="C22600" s="30" t="s">
        <v>368</v>
      </c>
      <c r="D22600" s="30" t="s">
        <v>17</v>
      </c>
      <c r="E22600" s="30" t="s">
        <v>26</v>
      </c>
      <c r="F22600" s="30" t="s">
        <v>27</v>
      </c>
      <c r="G22600" s="30" t="s">
        <v>7780</v>
      </c>
      <c r="H22600" s="32">
        <v>60</v>
      </c>
      <c r="I22600" s="30" t="s">
        <v>51</v>
      </c>
      <c r="J22600" s="41">
        <v>45992</v>
      </c>
      <c r="K22600" s="30" t="s">
        <v>22</v>
      </c>
    </row>
    <row r="22601" spans="1:11">
      <c r="A22601" s="33" t="s">
        <v>49969</v>
      </c>
      <c r="B22601" s="33" t="s">
        <v>49970</v>
      </c>
      <c r="C22601" s="33" t="s">
        <v>12371</v>
      </c>
      <c r="D22601" s="33" t="s">
        <v>17</v>
      </c>
      <c r="E22601" s="33" t="s">
        <v>26</v>
      </c>
      <c r="F22601" s="33" t="s">
        <v>27</v>
      </c>
      <c r="G22601" s="33" t="s">
        <v>140</v>
      </c>
      <c r="H22601" s="35">
        <v>25</v>
      </c>
      <c r="I22601" s="33" t="s">
        <v>51</v>
      </c>
      <c r="J22601" s="42">
        <v>45940</v>
      </c>
      <c r="K22601" s="33" t="s">
        <v>22</v>
      </c>
    </row>
    <row r="22602" spans="1:11">
      <c r="A22602" s="30" t="s">
        <v>49971</v>
      </c>
      <c r="B22602" s="30" t="s">
        <v>49972</v>
      </c>
      <c r="C22602" s="30" t="s">
        <v>49973</v>
      </c>
      <c r="D22602" s="30" t="s">
        <v>17</v>
      </c>
      <c r="E22602" s="30" t="s">
        <v>31</v>
      </c>
      <c r="F22602" s="30" t="s">
        <v>32</v>
      </c>
      <c r="G22602" s="30" t="s">
        <v>7780</v>
      </c>
      <c r="H22602" s="32">
        <v>45</v>
      </c>
      <c r="I22602" s="30" t="s">
        <v>51</v>
      </c>
      <c r="J22602" s="41">
        <v>45931</v>
      </c>
      <c r="K22602" s="30" t="s">
        <v>22</v>
      </c>
    </row>
    <row r="22603" spans="1:11">
      <c r="A22603" s="33" t="s">
        <v>49974</v>
      </c>
      <c r="B22603" s="33" t="s">
        <v>49975</v>
      </c>
      <c r="C22603" s="33" t="s">
        <v>49976</v>
      </c>
      <c r="D22603" s="33" t="s">
        <v>17</v>
      </c>
      <c r="E22603" s="33" t="s">
        <v>26</v>
      </c>
      <c r="F22603" s="33" t="s">
        <v>27</v>
      </c>
      <c r="G22603" s="33" t="s">
        <v>140</v>
      </c>
      <c r="H22603" s="35">
        <v>30</v>
      </c>
      <c r="I22603" s="33" t="s">
        <v>51</v>
      </c>
      <c r="J22603" s="42">
        <v>46010</v>
      </c>
      <c r="K22603" s="33" t="s">
        <v>22</v>
      </c>
    </row>
    <row r="22604" spans="1:11">
      <c r="A22604" s="30" t="s">
        <v>49977</v>
      </c>
      <c r="B22604" s="30" t="s">
        <v>41376</v>
      </c>
      <c r="C22604" s="30" t="s">
        <v>96</v>
      </c>
      <c r="D22604" s="30" t="s">
        <v>17</v>
      </c>
      <c r="E22604" s="30" t="s">
        <v>26</v>
      </c>
      <c r="F22604" s="30" t="s">
        <v>27</v>
      </c>
      <c r="G22604" s="30" t="s">
        <v>20</v>
      </c>
      <c r="H22604" s="32">
        <v>30</v>
      </c>
      <c r="I22604" s="30" t="s">
        <v>21</v>
      </c>
      <c r="J22604" s="41">
        <v>45853</v>
      </c>
      <c r="K22604" s="30" t="s">
        <v>22</v>
      </c>
    </row>
    <row r="22605" spans="1:11">
      <c r="A22605" s="33" t="s">
        <v>49978</v>
      </c>
      <c r="B22605" s="33" t="s">
        <v>49979</v>
      </c>
      <c r="C22605" s="33" t="s">
        <v>93</v>
      </c>
      <c r="D22605" s="33" t="s">
        <v>17</v>
      </c>
      <c r="E22605" s="33" t="s">
        <v>31</v>
      </c>
      <c r="F22605" s="33" t="s">
        <v>32</v>
      </c>
      <c r="G22605" s="33" t="s">
        <v>158</v>
      </c>
      <c r="H22605" s="35">
        <v>150</v>
      </c>
      <c r="I22605" s="33" t="s">
        <v>51</v>
      </c>
      <c r="J22605" s="42">
        <v>45677</v>
      </c>
      <c r="K22605" s="33" t="s">
        <v>22</v>
      </c>
    </row>
    <row r="22606" spans="1:11">
      <c r="A22606" s="30" t="s">
        <v>49980</v>
      </c>
      <c r="B22606" s="30" t="s">
        <v>49981</v>
      </c>
      <c r="C22606" s="30" t="s">
        <v>109</v>
      </c>
      <c r="D22606" s="30" t="s">
        <v>17</v>
      </c>
      <c r="E22606" s="30" t="s">
        <v>45</v>
      </c>
      <c r="F22606" s="30" t="s">
        <v>46</v>
      </c>
      <c r="G22606" s="30" t="s">
        <v>140</v>
      </c>
      <c r="H22606" s="32">
        <v>443</v>
      </c>
      <c r="I22606" s="30" t="s">
        <v>51</v>
      </c>
      <c r="J22606" s="41">
        <v>45715</v>
      </c>
      <c r="K22606" s="30" t="s">
        <v>22</v>
      </c>
    </row>
    <row r="22607" spans="1:11">
      <c r="A22607" s="33" t="s">
        <v>49982</v>
      </c>
      <c r="B22607" s="33" t="s">
        <v>49983</v>
      </c>
      <c r="C22607" s="33" t="s">
        <v>99</v>
      </c>
      <c r="D22607" s="33" t="s">
        <v>17</v>
      </c>
      <c r="E22607" s="33" t="s">
        <v>26</v>
      </c>
      <c r="F22607" s="33" t="s">
        <v>27</v>
      </c>
      <c r="G22607" s="33" t="s">
        <v>7780</v>
      </c>
      <c r="H22607" s="35">
        <v>110</v>
      </c>
      <c r="I22607" s="33" t="s">
        <v>51</v>
      </c>
      <c r="J22607" s="42">
        <v>45689</v>
      </c>
      <c r="K22607" s="33" t="s">
        <v>22</v>
      </c>
    </row>
    <row r="22608" spans="1:11">
      <c r="A22608" s="30" t="s">
        <v>49984</v>
      </c>
      <c r="B22608" s="30" t="s">
        <v>49985</v>
      </c>
      <c r="C22608" s="30" t="s">
        <v>49986</v>
      </c>
      <c r="D22608" s="30" t="s">
        <v>17</v>
      </c>
      <c r="E22608" s="30" t="s">
        <v>31</v>
      </c>
      <c r="F22608" s="30" t="s">
        <v>32</v>
      </c>
      <c r="G22608" s="30" t="s">
        <v>140</v>
      </c>
      <c r="H22608" s="32">
        <v>75</v>
      </c>
      <c r="I22608" s="30" t="s">
        <v>51</v>
      </c>
      <c r="J22608" s="41">
        <v>45719</v>
      </c>
      <c r="K22608" s="30" t="s">
        <v>22</v>
      </c>
    </row>
    <row r="22609" spans="1:11">
      <c r="A22609" s="33" t="s">
        <v>49987</v>
      </c>
      <c r="B22609" s="33" t="s">
        <v>49988</v>
      </c>
      <c r="C22609" s="33" t="s">
        <v>1090</v>
      </c>
      <c r="D22609" s="33" t="s">
        <v>17</v>
      </c>
      <c r="E22609" s="33" t="s">
        <v>18</v>
      </c>
      <c r="F22609" s="33" t="s">
        <v>19</v>
      </c>
      <c r="G22609" s="33" t="s">
        <v>7780</v>
      </c>
      <c r="H22609" s="35">
        <v>606</v>
      </c>
      <c r="I22609" s="33" t="s">
        <v>51</v>
      </c>
      <c r="J22609" s="42">
        <v>45681</v>
      </c>
      <c r="K22609" s="33" t="s">
        <v>22</v>
      </c>
    </row>
    <row r="22610" spans="1:11">
      <c r="A22610" s="30" t="s">
        <v>49989</v>
      </c>
      <c r="B22610" s="30" t="s">
        <v>49990</v>
      </c>
      <c r="C22610" s="30" t="s">
        <v>925</v>
      </c>
      <c r="D22610" s="30" t="s">
        <v>17</v>
      </c>
      <c r="E22610" s="30" t="s">
        <v>26</v>
      </c>
      <c r="F22610" s="30" t="s">
        <v>27</v>
      </c>
      <c r="G22610" s="30" t="s">
        <v>140</v>
      </c>
      <c r="H22610" s="32">
        <v>178</v>
      </c>
      <c r="I22610" s="30" t="s">
        <v>51</v>
      </c>
      <c r="J22610" s="41">
        <v>45897</v>
      </c>
      <c r="K22610" s="30" t="s">
        <v>22</v>
      </c>
    </row>
    <row r="22611" spans="1:11">
      <c r="A22611" s="33" t="s">
        <v>49991</v>
      </c>
      <c r="B22611" s="33" t="s">
        <v>49992</v>
      </c>
      <c r="C22611" s="33" t="s">
        <v>4405</v>
      </c>
      <c r="D22611" s="33" t="s">
        <v>17</v>
      </c>
      <c r="E22611" s="33" t="s">
        <v>18</v>
      </c>
      <c r="F22611" s="33" t="s">
        <v>19</v>
      </c>
      <c r="G22611" s="33" t="s">
        <v>7780</v>
      </c>
      <c r="H22611" s="35">
        <v>250</v>
      </c>
      <c r="I22611" s="33" t="s">
        <v>51</v>
      </c>
      <c r="J22611" s="42">
        <v>45962</v>
      </c>
      <c r="K22611" s="33" t="s">
        <v>22</v>
      </c>
    </row>
    <row r="22612" spans="1:11">
      <c r="A22612" s="30" t="s">
        <v>49993</v>
      </c>
      <c r="B22612" s="30" t="s">
        <v>49994</v>
      </c>
      <c r="C22612" s="30" t="s">
        <v>49995</v>
      </c>
      <c r="D22612" s="30" t="s">
        <v>17</v>
      </c>
      <c r="E22612" s="30" t="s">
        <v>26</v>
      </c>
      <c r="F22612" s="30" t="s">
        <v>27</v>
      </c>
      <c r="G22612" s="30" t="s">
        <v>158</v>
      </c>
      <c r="H22612" s="32">
        <v>108</v>
      </c>
      <c r="I22612" s="30" t="s">
        <v>21</v>
      </c>
      <c r="J22612" s="41">
        <v>45671</v>
      </c>
      <c r="K22612" s="30" t="s">
        <v>22</v>
      </c>
    </row>
    <row r="22613" spans="1:11">
      <c r="A22613" s="33" t="s">
        <v>49996</v>
      </c>
      <c r="B22613" s="33" t="s">
        <v>49997</v>
      </c>
      <c r="C22613" s="33" t="s">
        <v>801</v>
      </c>
      <c r="D22613" s="33" t="s">
        <v>17</v>
      </c>
      <c r="E22613" s="33" t="s">
        <v>18</v>
      </c>
      <c r="F22613" s="33" t="s">
        <v>19</v>
      </c>
      <c r="G22613" s="33" t="s">
        <v>140</v>
      </c>
      <c r="H22613" s="35">
        <v>255</v>
      </c>
      <c r="I22613" s="33" t="s">
        <v>51</v>
      </c>
      <c r="J22613" s="42">
        <v>45817</v>
      </c>
      <c r="K22613" s="33" t="s">
        <v>22</v>
      </c>
    </row>
    <row r="22614" spans="1:11">
      <c r="A22614" s="30" t="s">
        <v>49998</v>
      </c>
      <c r="B22614" s="30" t="s">
        <v>49999</v>
      </c>
      <c r="C22614" s="30" t="s">
        <v>535</v>
      </c>
      <c r="D22614" s="30" t="s">
        <v>17</v>
      </c>
      <c r="E22614" s="30" t="s">
        <v>26</v>
      </c>
      <c r="F22614" s="30" t="s">
        <v>27</v>
      </c>
      <c r="G22614" s="30" t="s">
        <v>20</v>
      </c>
      <c r="H22614" s="32">
        <v>14</v>
      </c>
      <c r="I22614" s="30" t="s">
        <v>21</v>
      </c>
      <c r="J22614" s="41">
        <v>45894</v>
      </c>
      <c r="K22614" s="30" t="s">
        <v>22</v>
      </c>
    </row>
    <row r="22615" spans="1:11">
      <c r="A22615" s="33" t="s">
        <v>50000</v>
      </c>
      <c r="B22615" s="33" t="s">
        <v>50001</v>
      </c>
      <c r="C22615" s="33" t="s">
        <v>2562</v>
      </c>
      <c r="D22615" s="33" t="s">
        <v>17</v>
      </c>
      <c r="E22615" s="33" t="s">
        <v>18</v>
      </c>
      <c r="F22615" s="33" t="s">
        <v>19</v>
      </c>
      <c r="G22615" s="33" t="s">
        <v>7780</v>
      </c>
      <c r="H22615" s="35">
        <v>240</v>
      </c>
      <c r="I22615" s="33" t="s">
        <v>51</v>
      </c>
      <c r="J22615" s="42">
        <v>45901</v>
      </c>
      <c r="K22615" s="33" t="s">
        <v>22</v>
      </c>
    </row>
    <row r="22616" spans="1:11">
      <c r="A22616" s="30" t="s">
        <v>50002</v>
      </c>
      <c r="B22616" s="30" t="s">
        <v>50003</v>
      </c>
      <c r="C22616" s="30" t="s">
        <v>16448</v>
      </c>
      <c r="D22616" s="30" t="s">
        <v>17</v>
      </c>
      <c r="E22616" s="30" t="s">
        <v>18</v>
      </c>
      <c r="F22616" s="30" t="s">
        <v>19</v>
      </c>
      <c r="G22616" s="30" t="s">
        <v>140</v>
      </c>
      <c r="H22616" s="32">
        <v>12</v>
      </c>
      <c r="I22616" s="30" t="s">
        <v>51</v>
      </c>
      <c r="J22616" s="41">
        <v>45742</v>
      </c>
      <c r="K22616" s="30" t="s">
        <v>22</v>
      </c>
    </row>
    <row r="22617" spans="1:11">
      <c r="A22617" s="33" t="s">
        <v>50004</v>
      </c>
      <c r="B22617" s="33" t="s">
        <v>50005</v>
      </c>
      <c r="C22617" s="33" t="s">
        <v>5825</v>
      </c>
      <c r="D22617" s="33" t="s">
        <v>17</v>
      </c>
      <c r="E22617" s="33" t="s">
        <v>67</v>
      </c>
      <c r="F22617" s="33" t="s">
        <v>68</v>
      </c>
      <c r="G22617" s="33" t="s">
        <v>140</v>
      </c>
      <c r="H22617" s="35">
        <v>122</v>
      </c>
      <c r="I22617" s="33" t="s">
        <v>51</v>
      </c>
      <c r="J22617" s="42">
        <v>45803</v>
      </c>
      <c r="K22617" s="33" t="s">
        <v>22</v>
      </c>
    </row>
    <row r="22618" spans="1:11">
      <c r="A22618" s="30" t="s">
        <v>50006</v>
      </c>
      <c r="B22618" s="30" t="s">
        <v>50007</v>
      </c>
      <c r="C22618" s="30" t="s">
        <v>36980</v>
      </c>
      <c r="D22618" s="30" t="s">
        <v>17</v>
      </c>
      <c r="E22618" s="30" t="s">
        <v>67</v>
      </c>
      <c r="F22618" s="30" t="s">
        <v>68</v>
      </c>
      <c r="G22618" s="30" t="s">
        <v>140</v>
      </c>
      <c r="H22618" s="32">
        <v>480</v>
      </c>
      <c r="I22618" s="30" t="s">
        <v>51</v>
      </c>
      <c r="J22618" s="41">
        <v>45812</v>
      </c>
      <c r="K22618" s="30" t="s">
        <v>22</v>
      </c>
    </row>
    <row r="22619" spans="1:11">
      <c r="A22619" s="33" t="s">
        <v>50008</v>
      </c>
      <c r="B22619" s="33" t="s">
        <v>50009</v>
      </c>
      <c r="C22619" s="33" t="s">
        <v>24097</v>
      </c>
      <c r="D22619" s="33" t="s">
        <v>17</v>
      </c>
      <c r="E22619" s="33" t="s">
        <v>26</v>
      </c>
      <c r="F22619" s="33" t="s">
        <v>27</v>
      </c>
      <c r="G22619" s="33" t="s">
        <v>140</v>
      </c>
      <c r="H22619" s="35">
        <v>18</v>
      </c>
      <c r="I22619" s="33" t="s">
        <v>51</v>
      </c>
      <c r="J22619" s="42">
        <v>45901</v>
      </c>
      <c r="K22619" s="33" t="s">
        <v>22</v>
      </c>
    </row>
    <row r="22620" spans="1:11">
      <c r="A22620" s="30" t="s">
        <v>50010</v>
      </c>
      <c r="B22620" s="30" t="s">
        <v>50011</v>
      </c>
      <c r="C22620" s="30" t="s">
        <v>12980</v>
      </c>
      <c r="D22620" s="30" t="s">
        <v>17</v>
      </c>
      <c r="E22620" s="30" t="s">
        <v>26</v>
      </c>
      <c r="F22620" s="30" t="s">
        <v>27</v>
      </c>
      <c r="G22620" s="30" t="s">
        <v>140</v>
      </c>
      <c r="H22620" s="32">
        <v>117</v>
      </c>
      <c r="I22620" s="30" t="s">
        <v>51</v>
      </c>
      <c r="J22620" s="41">
        <v>45714</v>
      </c>
      <c r="K22620" s="30" t="s">
        <v>22</v>
      </c>
    </row>
    <row r="22621" spans="1:11">
      <c r="A22621" s="33" t="s">
        <v>50012</v>
      </c>
      <c r="B22621" s="33" t="s">
        <v>50013</v>
      </c>
      <c r="C22621" s="33" t="s">
        <v>14577</v>
      </c>
      <c r="D22621" s="33" t="s">
        <v>17</v>
      </c>
      <c r="E22621" s="33" t="s">
        <v>26</v>
      </c>
      <c r="F22621" s="33" t="s">
        <v>27</v>
      </c>
      <c r="G22621" s="33" t="s">
        <v>20</v>
      </c>
      <c r="H22621" s="35">
        <v>64</v>
      </c>
      <c r="I22621" s="33" t="s">
        <v>21</v>
      </c>
      <c r="J22621" s="42">
        <v>45788</v>
      </c>
      <c r="K22621" s="33" t="s">
        <v>22</v>
      </c>
    </row>
    <row r="22622" spans="1:11">
      <c r="A22622" s="30" t="s">
        <v>50014</v>
      </c>
      <c r="B22622" s="30" t="s">
        <v>50015</v>
      </c>
      <c r="C22622" s="30" t="s">
        <v>93</v>
      </c>
      <c r="D22622" s="30" t="s">
        <v>17</v>
      </c>
      <c r="E22622" s="30" t="s">
        <v>45</v>
      </c>
      <c r="F22622" s="30" t="s">
        <v>46</v>
      </c>
      <c r="G22622" s="30" t="s">
        <v>140</v>
      </c>
      <c r="H22622" s="32">
        <v>854</v>
      </c>
      <c r="I22622" s="30" t="s">
        <v>51</v>
      </c>
      <c r="J22622" s="41">
        <v>45872</v>
      </c>
      <c r="K22622" s="30" t="s">
        <v>22</v>
      </c>
    </row>
    <row r="22623" spans="1:11">
      <c r="A22623" s="33" t="s">
        <v>50016</v>
      </c>
      <c r="B22623" s="33" t="s">
        <v>50017</v>
      </c>
      <c r="C22623" s="33" t="s">
        <v>50018</v>
      </c>
      <c r="D22623" s="33" t="s">
        <v>17</v>
      </c>
      <c r="E22623" s="33" t="s">
        <v>26</v>
      </c>
      <c r="F22623" s="33" t="s">
        <v>27</v>
      </c>
      <c r="G22623" s="33" t="s">
        <v>7780</v>
      </c>
      <c r="H22623" s="35">
        <v>72</v>
      </c>
      <c r="I22623" s="33" t="s">
        <v>51</v>
      </c>
      <c r="J22623" s="42">
        <v>45748</v>
      </c>
      <c r="K22623" s="33" t="s">
        <v>22</v>
      </c>
    </row>
    <row r="22624" spans="1:11">
      <c r="A22624" s="30" t="s">
        <v>50019</v>
      </c>
      <c r="B22624" s="30" t="s">
        <v>50020</v>
      </c>
      <c r="C22624" s="30" t="s">
        <v>647</v>
      </c>
      <c r="D22624" s="30" t="s">
        <v>17</v>
      </c>
      <c r="E22624" s="30" t="s">
        <v>45</v>
      </c>
      <c r="F22624" s="30" t="s">
        <v>46</v>
      </c>
      <c r="G22624" s="30" t="s">
        <v>140</v>
      </c>
      <c r="H22624" s="32">
        <v>153</v>
      </c>
      <c r="I22624" s="30" t="s">
        <v>51</v>
      </c>
      <c r="J22624" s="41">
        <v>45890</v>
      </c>
      <c r="K22624" s="30" t="s">
        <v>22</v>
      </c>
    </row>
    <row r="22625" spans="1:11">
      <c r="A22625" s="33" t="s">
        <v>50021</v>
      </c>
      <c r="B22625" s="33" t="s">
        <v>50022</v>
      </c>
      <c r="C22625" s="33" t="s">
        <v>47288</v>
      </c>
      <c r="D22625" s="33" t="s">
        <v>17</v>
      </c>
      <c r="E22625" s="33" t="s">
        <v>31</v>
      </c>
      <c r="F22625" s="33" t="s">
        <v>32</v>
      </c>
      <c r="G22625" s="33" t="s">
        <v>2613</v>
      </c>
      <c r="H22625" s="35">
        <v>14</v>
      </c>
      <c r="I22625" s="33" t="s">
        <v>51</v>
      </c>
      <c r="J22625" s="42">
        <v>45751</v>
      </c>
      <c r="K22625" s="33" t="s">
        <v>22</v>
      </c>
    </row>
    <row r="22626" spans="1:11">
      <c r="A22626" s="30" t="s">
        <v>50023</v>
      </c>
      <c r="B22626" s="30" t="s">
        <v>50024</v>
      </c>
      <c r="C22626" s="30" t="s">
        <v>136</v>
      </c>
      <c r="D22626" s="30" t="s">
        <v>17</v>
      </c>
      <c r="E22626" s="30" t="s">
        <v>31</v>
      </c>
      <c r="F22626" s="30" t="s">
        <v>32</v>
      </c>
      <c r="G22626" s="30" t="s">
        <v>158</v>
      </c>
      <c r="H22626" s="32">
        <v>308</v>
      </c>
      <c r="I22626" s="30" t="s">
        <v>21</v>
      </c>
      <c r="J22626" s="41">
        <v>45694</v>
      </c>
      <c r="K22626" s="30" t="s">
        <v>22</v>
      </c>
    </row>
    <row r="22627" spans="1:11">
      <c r="A22627" s="33" t="s">
        <v>50025</v>
      </c>
      <c r="B22627" s="33" t="s">
        <v>50026</v>
      </c>
      <c r="C22627" s="33" t="s">
        <v>149</v>
      </c>
      <c r="D22627" s="33" t="s">
        <v>17</v>
      </c>
      <c r="E22627" s="33" t="s">
        <v>31</v>
      </c>
      <c r="F22627" s="33" t="s">
        <v>32</v>
      </c>
      <c r="G22627" s="33" t="s">
        <v>158</v>
      </c>
      <c r="H22627" s="35">
        <v>173</v>
      </c>
      <c r="I22627" s="33" t="s">
        <v>21</v>
      </c>
      <c r="J22627" s="42">
        <v>45854</v>
      </c>
      <c r="K22627" s="33" t="s">
        <v>22</v>
      </c>
    </row>
    <row r="22628" spans="1:11">
      <c r="A22628" s="30" t="s">
        <v>50027</v>
      </c>
      <c r="B22628" s="30" t="s">
        <v>50028</v>
      </c>
      <c r="C22628" s="30" t="s">
        <v>535</v>
      </c>
      <c r="D22628" s="30" t="s">
        <v>17</v>
      </c>
      <c r="E22628" s="30" t="s">
        <v>31</v>
      </c>
      <c r="F22628" s="30" t="s">
        <v>32</v>
      </c>
      <c r="G22628" s="30" t="s">
        <v>20</v>
      </c>
      <c r="H22628" s="32">
        <v>282</v>
      </c>
      <c r="I22628" s="30" t="s">
        <v>21</v>
      </c>
      <c r="J22628" s="41">
        <v>45814</v>
      </c>
      <c r="K22628" s="30" t="s">
        <v>22</v>
      </c>
    </row>
    <row r="22629" spans="1:11">
      <c r="A22629" s="33" t="s">
        <v>50029</v>
      </c>
      <c r="B22629" s="33" t="s">
        <v>50030</v>
      </c>
      <c r="C22629" s="33" t="s">
        <v>46103</v>
      </c>
      <c r="D22629" s="33" t="s">
        <v>17</v>
      </c>
      <c r="E22629" s="33" t="s">
        <v>31</v>
      </c>
      <c r="F22629" s="33" t="s">
        <v>32</v>
      </c>
      <c r="G22629" s="33" t="s">
        <v>20</v>
      </c>
      <c r="H22629" s="35">
        <v>40</v>
      </c>
      <c r="I22629" s="33" t="s">
        <v>21</v>
      </c>
      <c r="J22629" s="42">
        <v>45685</v>
      </c>
      <c r="K22629" s="33" t="s">
        <v>22</v>
      </c>
    </row>
    <row r="22630" spans="1:11">
      <c r="A22630" s="30" t="s">
        <v>50031</v>
      </c>
      <c r="B22630" s="30" t="s">
        <v>50032</v>
      </c>
      <c r="C22630" s="30" t="s">
        <v>462</v>
      </c>
      <c r="D22630" s="30" t="s">
        <v>17</v>
      </c>
      <c r="E22630" s="30" t="s">
        <v>18</v>
      </c>
      <c r="F22630" s="30" t="s">
        <v>19</v>
      </c>
      <c r="G22630" s="30" t="s">
        <v>158</v>
      </c>
      <c r="H22630" s="32">
        <v>378</v>
      </c>
      <c r="I22630" s="30" t="s">
        <v>51</v>
      </c>
      <c r="J22630" s="41">
        <v>45833</v>
      </c>
      <c r="K22630" s="30" t="s">
        <v>22</v>
      </c>
    </row>
    <row r="22631" spans="1:11">
      <c r="A22631" s="33" t="s">
        <v>50033</v>
      </c>
      <c r="B22631" s="33" t="s">
        <v>50034</v>
      </c>
      <c r="C22631" s="33" t="s">
        <v>310</v>
      </c>
      <c r="D22631" s="33" t="s">
        <v>17</v>
      </c>
      <c r="E22631" s="33" t="s">
        <v>26</v>
      </c>
      <c r="F22631" s="33" t="s">
        <v>27</v>
      </c>
      <c r="G22631" s="33" t="s">
        <v>140</v>
      </c>
      <c r="H22631" s="35">
        <v>91</v>
      </c>
      <c r="I22631" s="33" t="s">
        <v>51</v>
      </c>
      <c r="J22631" s="42">
        <v>45875</v>
      </c>
      <c r="K22631" s="33" t="s">
        <v>22</v>
      </c>
    </row>
    <row r="22632" spans="1:11">
      <c r="A22632" s="30" t="s">
        <v>50035</v>
      </c>
      <c r="B22632" s="30" t="s">
        <v>50036</v>
      </c>
      <c r="C22632" s="30" t="s">
        <v>14816</v>
      </c>
      <c r="D22632" s="30" t="s">
        <v>17</v>
      </c>
      <c r="E22632" s="30" t="s">
        <v>26</v>
      </c>
      <c r="F22632" s="30" t="s">
        <v>27</v>
      </c>
      <c r="G22632" s="30" t="s">
        <v>20</v>
      </c>
      <c r="H22632" s="32">
        <v>16</v>
      </c>
      <c r="I22632" s="30" t="s">
        <v>21</v>
      </c>
      <c r="J22632" s="41">
        <v>45939</v>
      </c>
      <c r="K22632" s="30" t="s">
        <v>22</v>
      </c>
    </row>
    <row r="22633" spans="1:11">
      <c r="A22633" s="33" t="s">
        <v>50037</v>
      </c>
      <c r="B22633" s="33" t="s">
        <v>50038</v>
      </c>
      <c r="C22633" s="33" t="s">
        <v>50039</v>
      </c>
      <c r="D22633" s="33" t="s">
        <v>17</v>
      </c>
      <c r="E22633" s="33" t="s">
        <v>45</v>
      </c>
      <c r="F22633" s="33" t="s">
        <v>46</v>
      </c>
      <c r="G22633" s="33" t="s">
        <v>140</v>
      </c>
      <c r="H22633" s="35">
        <v>89</v>
      </c>
      <c r="I22633" s="33" t="s">
        <v>51</v>
      </c>
      <c r="J22633" s="42">
        <v>45865</v>
      </c>
      <c r="K22633" s="33" t="s">
        <v>22</v>
      </c>
    </row>
    <row r="22634" spans="1:11">
      <c r="A22634" s="30" t="s">
        <v>50040</v>
      </c>
      <c r="B22634" s="30" t="s">
        <v>50041</v>
      </c>
      <c r="C22634" s="30" t="s">
        <v>3400</v>
      </c>
      <c r="D22634" s="30" t="s">
        <v>17</v>
      </c>
      <c r="E22634" s="30" t="s">
        <v>18</v>
      </c>
      <c r="F22634" s="30" t="s">
        <v>19</v>
      </c>
      <c r="G22634" s="30" t="s">
        <v>158</v>
      </c>
      <c r="H22634" s="32">
        <v>353</v>
      </c>
      <c r="I22634" s="30" t="s">
        <v>21</v>
      </c>
      <c r="J22634" s="41">
        <v>45862</v>
      </c>
      <c r="K22634" s="30" t="s">
        <v>22</v>
      </c>
    </row>
    <row r="22635" spans="1:11">
      <c r="A22635" s="33" t="s">
        <v>50042</v>
      </c>
      <c r="B22635" s="33" t="s">
        <v>50043</v>
      </c>
      <c r="C22635" s="33" t="s">
        <v>44108</v>
      </c>
      <c r="D22635" s="33" t="s">
        <v>17</v>
      </c>
      <c r="E22635" s="33" t="s">
        <v>26</v>
      </c>
      <c r="F22635" s="33" t="s">
        <v>27</v>
      </c>
      <c r="G22635" s="33" t="s">
        <v>7780</v>
      </c>
      <c r="H22635" s="35">
        <v>40</v>
      </c>
      <c r="I22635" s="33" t="s">
        <v>51</v>
      </c>
      <c r="J22635" s="42">
        <v>45901</v>
      </c>
      <c r="K22635" s="33" t="s">
        <v>22</v>
      </c>
    </row>
    <row r="22636" spans="1:11">
      <c r="A22636" s="30" t="s">
        <v>50044</v>
      </c>
      <c r="B22636" s="30" t="s">
        <v>50045</v>
      </c>
      <c r="C22636" s="30" t="s">
        <v>647</v>
      </c>
      <c r="D22636" s="30" t="s">
        <v>17</v>
      </c>
      <c r="E22636" s="30" t="s">
        <v>26</v>
      </c>
      <c r="F22636" s="30" t="s">
        <v>27</v>
      </c>
      <c r="G22636" s="30" t="s">
        <v>20</v>
      </c>
      <c r="H22636" s="32">
        <v>8</v>
      </c>
      <c r="I22636" s="30" t="s">
        <v>21</v>
      </c>
      <c r="J22636" s="41">
        <v>45917</v>
      </c>
      <c r="K22636" s="30" t="s">
        <v>22</v>
      </c>
    </row>
    <row r="22637" spans="1:11">
      <c r="A22637" s="33" t="s">
        <v>50046</v>
      </c>
      <c r="B22637" s="33" t="s">
        <v>50047</v>
      </c>
      <c r="C22637" s="33" t="s">
        <v>178</v>
      </c>
      <c r="D22637" s="33" t="s">
        <v>17</v>
      </c>
      <c r="E22637" s="33" t="s">
        <v>31</v>
      </c>
      <c r="F22637" s="33" t="s">
        <v>32</v>
      </c>
      <c r="G22637" s="33" t="s">
        <v>140</v>
      </c>
      <c r="H22637" s="35">
        <v>182</v>
      </c>
      <c r="I22637" s="33" t="s">
        <v>51</v>
      </c>
      <c r="J22637" s="42">
        <v>45974</v>
      </c>
      <c r="K22637" s="33" t="s">
        <v>22</v>
      </c>
    </row>
    <row r="22638" spans="1:11">
      <c r="A22638" s="30" t="s">
        <v>50048</v>
      </c>
      <c r="B22638" s="30" t="s">
        <v>50049</v>
      </c>
      <c r="C22638" s="30" t="s">
        <v>6276</v>
      </c>
      <c r="D22638" s="30" t="s">
        <v>17</v>
      </c>
      <c r="E22638" s="30" t="s">
        <v>31</v>
      </c>
      <c r="F22638" s="30" t="s">
        <v>32</v>
      </c>
      <c r="G22638" s="30" t="s">
        <v>158</v>
      </c>
      <c r="H22638" s="32">
        <v>100</v>
      </c>
      <c r="I22638" s="30" t="s">
        <v>51</v>
      </c>
      <c r="J22638" s="41">
        <v>45989</v>
      </c>
      <c r="K22638" s="30" t="s">
        <v>22</v>
      </c>
    </row>
    <row r="22639" spans="1:11">
      <c r="A22639" s="33" t="s">
        <v>50050</v>
      </c>
      <c r="B22639" s="33" t="s">
        <v>50051</v>
      </c>
      <c r="C22639" s="33" t="s">
        <v>50052</v>
      </c>
      <c r="D22639" s="33" t="s">
        <v>17</v>
      </c>
      <c r="E22639" s="33" t="s">
        <v>67</v>
      </c>
      <c r="F22639" s="33" t="s">
        <v>68</v>
      </c>
      <c r="G22639" s="33" t="s">
        <v>140</v>
      </c>
      <c r="H22639" s="35">
        <v>24</v>
      </c>
      <c r="I22639" s="33" t="s">
        <v>51</v>
      </c>
      <c r="J22639" s="42">
        <v>45899</v>
      </c>
      <c r="K22639" s="33" t="s">
        <v>22</v>
      </c>
    </row>
    <row r="22640" spans="1:11">
      <c r="A22640" s="30" t="s">
        <v>50053</v>
      </c>
      <c r="B22640" s="30" t="s">
        <v>50054</v>
      </c>
      <c r="C22640" s="30" t="s">
        <v>11899</v>
      </c>
      <c r="D22640" s="30" t="s">
        <v>17</v>
      </c>
      <c r="E22640" s="30" t="s">
        <v>18</v>
      </c>
      <c r="F22640" s="30" t="s">
        <v>19</v>
      </c>
      <c r="G22640" s="30" t="s">
        <v>140</v>
      </c>
      <c r="H22640" s="32">
        <v>280</v>
      </c>
      <c r="I22640" s="30" t="s">
        <v>51</v>
      </c>
      <c r="J22640" s="41">
        <v>45771</v>
      </c>
      <c r="K22640" s="30" t="s">
        <v>22</v>
      </c>
    </row>
    <row r="22641" spans="1:11">
      <c r="A22641" s="33" t="s">
        <v>50055</v>
      </c>
      <c r="B22641" s="33" t="s">
        <v>50056</v>
      </c>
      <c r="C22641" s="33" t="s">
        <v>34959</v>
      </c>
      <c r="D22641" s="33" t="s">
        <v>17</v>
      </c>
      <c r="E22641" s="33" t="s">
        <v>26</v>
      </c>
      <c r="F22641" s="33" t="s">
        <v>27</v>
      </c>
      <c r="G22641" s="33" t="s">
        <v>7780</v>
      </c>
      <c r="H22641" s="35">
        <v>32</v>
      </c>
      <c r="I22641" s="33" t="s">
        <v>51</v>
      </c>
      <c r="J22641" s="42">
        <v>45895</v>
      </c>
      <c r="K22641" s="33" t="s">
        <v>22</v>
      </c>
    </row>
    <row r="22642" spans="1:11">
      <c r="A22642" s="30" t="s">
        <v>50057</v>
      </c>
      <c r="B22642" s="30" t="s">
        <v>50058</v>
      </c>
      <c r="C22642" s="30" t="s">
        <v>1480</v>
      </c>
      <c r="D22642" s="30" t="s">
        <v>17</v>
      </c>
      <c r="E22642" s="30" t="s">
        <v>18</v>
      </c>
      <c r="F22642" s="30" t="s">
        <v>19</v>
      </c>
      <c r="G22642" s="30" t="s">
        <v>140</v>
      </c>
      <c r="H22642" s="32">
        <v>180</v>
      </c>
      <c r="I22642" s="30" t="s">
        <v>51</v>
      </c>
      <c r="J22642" s="41">
        <v>46020</v>
      </c>
      <c r="K22642" s="30" t="s">
        <v>22</v>
      </c>
    </row>
    <row r="22643" spans="1:11">
      <c r="A22643" s="33" t="s">
        <v>50059</v>
      </c>
      <c r="B22643" s="33" t="s">
        <v>50060</v>
      </c>
      <c r="C22643" s="33" t="s">
        <v>46300</v>
      </c>
      <c r="D22643" s="33" t="s">
        <v>17</v>
      </c>
      <c r="E22643" s="33" t="s">
        <v>67</v>
      </c>
      <c r="F22643" s="33" t="s">
        <v>68</v>
      </c>
      <c r="G22643" s="33" t="s">
        <v>140</v>
      </c>
      <c r="H22643" s="35">
        <v>39</v>
      </c>
      <c r="I22643" s="33" t="s">
        <v>51</v>
      </c>
      <c r="J22643" s="42">
        <v>45782</v>
      </c>
      <c r="K22643" s="33" t="s">
        <v>22</v>
      </c>
    </row>
    <row r="22644" spans="1:11">
      <c r="A22644" s="30" t="s">
        <v>50061</v>
      </c>
      <c r="B22644" s="30" t="s">
        <v>50062</v>
      </c>
      <c r="C22644" s="30" t="s">
        <v>25146</v>
      </c>
      <c r="D22644" s="30" t="s">
        <v>17</v>
      </c>
      <c r="E22644" s="30" t="s">
        <v>26</v>
      </c>
      <c r="F22644" s="30" t="s">
        <v>27</v>
      </c>
      <c r="G22644" s="30" t="s">
        <v>158</v>
      </c>
      <c r="H22644" s="32">
        <v>6</v>
      </c>
      <c r="I22644" s="30" t="s">
        <v>51</v>
      </c>
      <c r="J22644" s="41">
        <v>45947</v>
      </c>
      <c r="K22644" s="30" t="s">
        <v>22</v>
      </c>
    </row>
    <row r="22645" spans="1:11">
      <c r="A22645" s="33" t="s">
        <v>50063</v>
      </c>
      <c r="B22645" s="33" t="s">
        <v>50064</v>
      </c>
      <c r="C22645" s="33" t="s">
        <v>15585</v>
      </c>
      <c r="D22645" s="33" t="s">
        <v>17</v>
      </c>
      <c r="E22645" s="33" t="s">
        <v>26</v>
      </c>
      <c r="F22645" s="33" t="s">
        <v>27</v>
      </c>
      <c r="G22645" s="33" t="s">
        <v>140</v>
      </c>
      <c r="H22645" s="35">
        <v>168</v>
      </c>
      <c r="I22645" s="33" t="s">
        <v>51</v>
      </c>
      <c r="J22645" s="42">
        <v>45945</v>
      </c>
      <c r="K22645" s="33" t="s">
        <v>22</v>
      </c>
    </row>
    <row r="22646" spans="1:11">
      <c r="A22646" s="30" t="s">
        <v>50065</v>
      </c>
      <c r="B22646" s="30" t="s">
        <v>50066</v>
      </c>
      <c r="C22646" s="30" t="s">
        <v>8174</v>
      </c>
      <c r="D22646" s="30" t="s">
        <v>17</v>
      </c>
      <c r="E22646" s="30" t="s">
        <v>26</v>
      </c>
      <c r="F22646" s="30" t="s">
        <v>27</v>
      </c>
      <c r="G22646" s="30" t="s">
        <v>20</v>
      </c>
      <c r="H22646" s="32">
        <v>16</v>
      </c>
      <c r="I22646" s="30" t="s">
        <v>21</v>
      </c>
      <c r="J22646" s="41">
        <v>45703</v>
      </c>
      <c r="K22646" s="30" t="s">
        <v>22</v>
      </c>
    </row>
    <row r="22647" spans="1:11">
      <c r="A22647" s="33" t="s">
        <v>50067</v>
      </c>
      <c r="B22647" s="33" t="s">
        <v>50068</v>
      </c>
      <c r="C22647" s="33" t="s">
        <v>50069</v>
      </c>
      <c r="D22647" s="33" t="s">
        <v>17</v>
      </c>
      <c r="E22647" s="33" t="s">
        <v>18</v>
      </c>
      <c r="F22647" s="33" t="s">
        <v>19</v>
      </c>
      <c r="G22647" s="33" t="s">
        <v>7780</v>
      </c>
      <c r="H22647" s="35">
        <v>434</v>
      </c>
      <c r="I22647" s="33" t="s">
        <v>51</v>
      </c>
      <c r="J22647" s="42">
        <v>45839</v>
      </c>
      <c r="K22647" s="33" t="s">
        <v>22</v>
      </c>
    </row>
    <row r="22648" spans="1:11">
      <c r="A22648" s="30" t="s">
        <v>50070</v>
      </c>
      <c r="B22648" s="30" t="s">
        <v>50071</v>
      </c>
      <c r="C22648" s="30" t="s">
        <v>450</v>
      </c>
      <c r="D22648" s="30" t="s">
        <v>17</v>
      </c>
      <c r="E22648" s="30" t="s">
        <v>18</v>
      </c>
      <c r="F22648" s="30" t="s">
        <v>19</v>
      </c>
      <c r="G22648" s="30" t="s">
        <v>20</v>
      </c>
      <c r="H22648" s="32">
        <v>15</v>
      </c>
      <c r="I22648" s="30" t="s">
        <v>21</v>
      </c>
      <c r="J22648" s="41">
        <v>45663</v>
      </c>
      <c r="K22648" s="30" t="s">
        <v>22</v>
      </c>
    </row>
    <row r="22649" spans="1:11">
      <c r="A22649" s="33" t="s">
        <v>50072</v>
      </c>
      <c r="B22649" s="33" t="s">
        <v>50073</v>
      </c>
      <c r="C22649" s="33" t="s">
        <v>44108</v>
      </c>
      <c r="D22649" s="33" t="s">
        <v>17</v>
      </c>
      <c r="E22649" s="33" t="s">
        <v>26</v>
      </c>
      <c r="F22649" s="33" t="s">
        <v>27</v>
      </c>
      <c r="G22649" s="33" t="s">
        <v>106</v>
      </c>
      <c r="H22649" s="35">
        <v>4</v>
      </c>
      <c r="I22649" s="33" t="s">
        <v>21</v>
      </c>
      <c r="J22649" s="42">
        <v>45680</v>
      </c>
      <c r="K22649" s="33" t="s">
        <v>22</v>
      </c>
    </row>
    <row r="22650" spans="1:11">
      <c r="A22650" s="30" t="s">
        <v>50074</v>
      </c>
      <c r="B22650" s="30" t="s">
        <v>50075</v>
      </c>
      <c r="C22650" s="30" t="s">
        <v>109</v>
      </c>
      <c r="D22650" s="30" t="s">
        <v>17</v>
      </c>
      <c r="E22650" s="30" t="s">
        <v>26</v>
      </c>
      <c r="F22650" s="30" t="s">
        <v>27</v>
      </c>
      <c r="G22650" s="30" t="s">
        <v>140</v>
      </c>
      <c r="H22650" s="32">
        <v>112</v>
      </c>
      <c r="I22650" s="30" t="s">
        <v>51</v>
      </c>
      <c r="J22650" s="41">
        <v>45981</v>
      </c>
      <c r="K22650" s="30" t="s">
        <v>22</v>
      </c>
    </row>
    <row r="22651" spans="1:11">
      <c r="A22651" s="33" t="s">
        <v>50076</v>
      </c>
      <c r="B22651" s="33" t="s">
        <v>50077</v>
      </c>
      <c r="C22651" s="33" t="s">
        <v>136</v>
      </c>
      <c r="D22651" s="33" t="s">
        <v>17</v>
      </c>
      <c r="E22651" s="33" t="s">
        <v>18</v>
      </c>
      <c r="F22651" s="33" t="s">
        <v>19</v>
      </c>
      <c r="G22651" s="33" t="s">
        <v>158</v>
      </c>
      <c r="H22651" s="35">
        <v>465</v>
      </c>
      <c r="I22651" s="33" t="s">
        <v>51</v>
      </c>
      <c r="J22651" s="42">
        <v>45789</v>
      </c>
      <c r="K22651" s="33" t="s">
        <v>22</v>
      </c>
    </row>
    <row r="22652" spans="1:11">
      <c r="A22652" s="30" t="s">
        <v>50078</v>
      </c>
      <c r="B22652" s="30" t="s">
        <v>50079</v>
      </c>
      <c r="C22652" s="30" t="s">
        <v>29833</v>
      </c>
      <c r="D22652" s="30" t="s">
        <v>17</v>
      </c>
      <c r="E22652" s="30" t="s">
        <v>18</v>
      </c>
      <c r="F22652" s="30" t="s">
        <v>19</v>
      </c>
      <c r="G22652" s="30" t="s">
        <v>140</v>
      </c>
      <c r="H22652" s="32">
        <v>477</v>
      </c>
      <c r="I22652" s="30" t="s">
        <v>51</v>
      </c>
      <c r="J22652" s="41">
        <v>45842</v>
      </c>
      <c r="K22652" s="30" t="s">
        <v>22</v>
      </c>
    </row>
    <row r="22653" spans="1:11">
      <c r="A22653" s="33" t="s">
        <v>50080</v>
      </c>
      <c r="B22653" s="33" t="s">
        <v>50081</v>
      </c>
      <c r="C22653" s="33" t="s">
        <v>570</v>
      </c>
      <c r="D22653" s="33" t="s">
        <v>17</v>
      </c>
      <c r="E22653" s="33" t="s">
        <v>31</v>
      </c>
      <c r="F22653" s="33" t="s">
        <v>32</v>
      </c>
      <c r="G22653" s="33" t="s">
        <v>7780</v>
      </c>
      <c r="H22653" s="35">
        <v>156</v>
      </c>
      <c r="I22653" s="33" t="s">
        <v>51</v>
      </c>
      <c r="J22653" s="42">
        <v>45689</v>
      </c>
      <c r="K22653" s="33" t="s">
        <v>22</v>
      </c>
    </row>
    <row r="22654" spans="1:11">
      <c r="A22654" s="30" t="s">
        <v>50082</v>
      </c>
      <c r="B22654" s="30" t="s">
        <v>50083</v>
      </c>
      <c r="C22654" s="30" t="s">
        <v>29352</v>
      </c>
      <c r="D22654" s="30" t="s">
        <v>17</v>
      </c>
      <c r="E22654" s="30" t="s">
        <v>212</v>
      </c>
      <c r="F22654" s="30" t="s">
        <v>213</v>
      </c>
      <c r="G22654" s="30" t="s">
        <v>140</v>
      </c>
      <c r="H22654" s="32">
        <v>120</v>
      </c>
      <c r="I22654" s="30" t="s">
        <v>51</v>
      </c>
      <c r="J22654" s="41">
        <v>45854</v>
      </c>
      <c r="K22654" s="30" t="s">
        <v>22</v>
      </c>
    </row>
    <row r="22655" spans="1:11">
      <c r="A22655" s="33" t="s">
        <v>50084</v>
      </c>
      <c r="B22655" s="33" t="s">
        <v>50085</v>
      </c>
      <c r="C22655" s="33" t="s">
        <v>2562</v>
      </c>
      <c r="D22655" s="33" t="s">
        <v>17</v>
      </c>
      <c r="E22655" s="33" t="s">
        <v>67</v>
      </c>
      <c r="F22655" s="33" t="s">
        <v>68</v>
      </c>
      <c r="G22655" s="33" t="s">
        <v>7780</v>
      </c>
      <c r="H22655" s="35">
        <v>125</v>
      </c>
      <c r="I22655" s="33" t="s">
        <v>51</v>
      </c>
      <c r="J22655" s="42">
        <v>45717</v>
      </c>
      <c r="K22655" s="33" t="s">
        <v>22</v>
      </c>
    </row>
    <row r="22656" spans="1:11">
      <c r="A22656" s="30" t="s">
        <v>50086</v>
      </c>
      <c r="B22656" s="30" t="s">
        <v>50087</v>
      </c>
      <c r="C22656" s="30" t="s">
        <v>190</v>
      </c>
      <c r="D22656" s="30" t="s">
        <v>17</v>
      </c>
      <c r="E22656" s="30" t="s">
        <v>26</v>
      </c>
      <c r="F22656" s="30" t="s">
        <v>27</v>
      </c>
      <c r="G22656" s="30" t="s">
        <v>158</v>
      </c>
      <c r="H22656" s="32">
        <v>41</v>
      </c>
      <c r="I22656" s="30" t="s">
        <v>21</v>
      </c>
      <c r="J22656" s="41">
        <v>45741</v>
      </c>
      <c r="K22656" s="30" t="s">
        <v>22</v>
      </c>
    </row>
    <row r="22657" spans="1:11">
      <c r="A22657" s="33" t="s">
        <v>50088</v>
      </c>
      <c r="B22657" s="33" t="s">
        <v>50089</v>
      </c>
      <c r="C22657" s="33" t="s">
        <v>310</v>
      </c>
      <c r="D22657" s="33" t="s">
        <v>17</v>
      </c>
      <c r="E22657" s="33" t="s">
        <v>18</v>
      </c>
      <c r="F22657" s="33" t="s">
        <v>19</v>
      </c>
      <c r="G22657" s="33" t="s">
        <v>158</v>
      </c>
      <c r="H22657" s="35">
        <v>300</v>
      </c>
      <c r="I22657" s="33" t="s">
        <v>51</v>
      </c>
      <c r="J22657" s="42">
        <v>45966</v>
      </c>
      <c r="K22657" s="33" t="s">
        <v>22</v>
      </c>
    </row>
    <row r="22658" spans="1:11">
      <c r="A22658" s="30" t="s">
        <v>50090</v>
      </c>
      <c r="B22658" s="30" t="s">
        <v>50091</v>
      </c>
      <c r="C22658" s="30" t="s">
        <v>157</v>
      </c>
      <c r="D22658" s="30" t="s">
        <v>17</v>
      </c>
      <c r="E22658" s="30" t="s">
        <v>18</v>
      </c>
      <c r="F22658" s="30" t="s">
        <v>19</v>
      </c>
      <c r="G22658" s="30" t="s">
        <v>140</v>
      </c>
      <c r="H22658" s="32">
        <v>347</v>
      </c>
      <c r="I22658" s="30" t="s">
        <v>51</v>
      </c>
      <c r="J22658" s="41">
        <v>45853</v>
      </c>
      <c r="K22658" s="30" t="s">
        <v>22</v>
      </c>
    </row>
    <row r="22659" spans="1:11">
      <c r="A22659" s="33" t="s">
        <v>50092</v>
      </c>
      <c r="B22659" s="33" t="s">
        <v>50093</v>
      </c>
      <c r="C22659" s="33" t="s">
        <v>178</v>
      </c>
      <c r="D22659" s="33" t="s">
        <v>17</v>
      </c>
      <c r="E22659" s="33" t="s">
        <v>26</v>
      </c>
      <c r="F22659" s="33" t="s">
        <v>27</v>
      </c>
      <c r="G22659" s="33" t="s">
        <v>158</v>
      </c>
      <c r="H22659" s="35">
        <v>27</v>
      </c>
      <c r="I22659" s="33" t="s">
        <v>21</v>
      </c>
      <c r="J22659" s="42">
        <v>45854</v>
      </c>
      <c r="K22659" s="33" t="s">
        <v>22</v>
      </c>
    </row>
    <row r="22660" spans="1:11">
      <c r="A22660" s="30" t="s">
        <v>50094</v>
      </c>
      <c r="B22660" s="30" t="s">
        <v>50095</v>
      </c>
      <c r="C22660" s="30" t="s">
        <v>8554</v>
      </c>
      <c r="D22660" s="30" t="s">
        <v>17</v>
      </c>
      <c r="E22660" s="30" t="s">
        <v>67</v>
      </c>
      <c r="F22660" s="30" t="s">
        <v>68</v>
      </c>
      <c r="G22660" s="30" t="s">
        <v>7780</v>
      </c>
      <c r="H22660" s="32">
        <v>32</v>
      </c>
      <c r="I22660" s="30" t="s">
        <v>51</v>
      </c>
      <c r="J22660" s="41">
        <v>45900</v>
      </c>
      <c r="K22660" s="30" t="s">
        <v>22</v>
      </c>
    </row>
    <row r="22661" spans="1:11">
      <c r="A22661" s="33" t="s">
        <v>50096</v>
      </c>
      <c r="B22661" s="33" t="s">
        <v>50097</v>
      </c>
      <c r="C22661" s="33" t="s">
        <v>190</v>
      </c>
      <c r="D22661" s="33" t="s">
        <v>17</v>
      </c>
      <c r="E22661" s="33" t="s">
        <v>18</v>
      </c>
      <c r="F22661" s="33" t="s">
        <v>19</v>
      </c>
      <c r="G22661" s="33" t="s">
        <v>140</v>
      </c>
      <c r="H22661" s="35">
        <v>700</v>
      </c>
      <c r="I22661" s="33" t="s">
        <v>51</v>
      </c>
      <c r="J22661" s="42">
        <v>45875</v>
      </c>
      <c r="K22661" s="33" t="s">
        <v>22</v>
      </c>
    </row>
    <row r="22662" spans="1:11">
      <c r="A22662" s="30" t="s">
        <v>50098</v>
      </c>
      <c r="B22662" s="30" t="s">
        <v>50099</v>
      </c>
      <c r="C22662" s="30" t="s">
        <v>149</v>
      </c>
      <c r="D22662" s="30" t="s">
        <v>17</v>
      </c>
      <c r="E22662" s="30" t="s">
        <v>18</v>
      </c>
      <c r="F22662" s="30" t="s">
        <v>19</v>
      </c>
      <c r="G22662" s="30" t="s">
        <v>140</v>
      </c>
      <c r="H22662" s="32">
        <v>206</v>
      </c>
      <c r="I22662" s="30" t="s">
        <v>51</v>
      </c>
      <c r="J22662" s="41">
        <v>45996</v>
      </c>
      <c r="K22662" s="30" t="s">
        <v>22</v>
      </c>
    </row>
    <row r="22663" spans="1:11">
      <c r="A22663" s="33" t="s">
        <v>50100</v>
      </c>
      <c r="B22663" s="33" t="s">
        <v>50101</v>
      </c>
      <c r="C22663" s="33" t="s">
        <v>38433</v>
      </c>
      <c r="D22663" s="33" t="s">
        <v>17</v>
      </c>
      <c r="E22663" s="33" t="s">
        <v>26</v>
      </c>
      <c r="F22663" s="33" t="s">
        <v>27</v>
      </c>
      <c r="G22663" s="33" t="s">
        <v>140</v>
      </c>
      <c r="H22663" s="35">
        <v>166</v>
      </c>
      <c r="I22663" s="33" t="s">
        <v>51</v>
      </c>
      <c r="J22663" s="42">
        <v>45754</v>
      </c>
      <c r="K22663" s="33" t="s">
        <v>22</v>
      </c>
    </row>
    <row r="22664" spans="1:11">
      <c r="A22664" s="30" t="s">
        <v>50102</v>
      </c>
      <c r="B22664" s="30" t="s">
        <v>50103</v>
      </c>
      <c r="C22664" s="30" t="s">
        <v>25594</v>
      </c>
      <c r="D22664" s="30" t="s">
        <v>17</v>
      </c>
      <c r="E22664" s="30" t="s">
        <v>26</v>
      </c>
      <c r="F22664" s="30" t="s">
        <v>27</v>
      </c>
      <c r="G22664" s="30" t="s">
        <v>20</v>
      </c>
      <c r="H22664" s="32">
        <v>36</v>
      </c>
      <c r="I22664" s="30" t="s">
        <v>21</v>
      </c>
      <c r="J22664" s="41">
        <v>45945</v>
      </c>
      <c r="K22664" s="30" t="s">
        <v>22</v>
      </c>
    </row>
    <row r="22665" spans="1:11">
      <c r="A22665" s="33" t="s">
        <v>50104</v>
      </c>
      <c r="B22665" s="33" t="s">
        <v>50105</v>
      </c>
      <c r="C22665" s="33" t="s">
        <v>42561</v>
      </c>
      <c r="D22665" s="33" t="s">
        <v>17</v>
      </c>
      <c r="E22665" s="33" t="s">
        <v>18</v>
      </c>
      <c r="F22665" s="33" t="s">
        <v>19</v>
      </c>
      <c r="G22665" s="33" t="s">
        <v>158</v>
      </c>
      <c r="H22665" s="35">
        <v>620</v>
      </c>
      <c r="I22665" s="33" t="s">
        <v>51</v>
      </c>
      <c r="J22665" s="42">
        <v>45703</v>
      </c>
      <c r="K22665" s="33" t="s">
        <v>22</v>
      </c>
    </row>
    <row r="22666" spans="1:11">
      <c r="A22666" s="30" t="s">
        <v>50106</v>
      </c>
      <c r="B22666" s="30" t="s">
        <v>50107</v>
      </c>
      <c r="C22666" s="30" t="s">
        <v>3655</v>
      </c>
      <c r="D22666" s="30" t="s">
        <v>17</v>
      </c>
      <c r="E22666" s="30" t="s">
        <v>67</v>
      </c>
      <c r="F22666" s="30" t="s">
        <v>68</v>
      </c>
      <c r="G22666" s="30" t="s">
        <v>140</v>
      </c>
      <c r="H22666" s="32">
        <v>375</v>
      </c>
      <c r="I22666" s="30" t="s">
        <v>51</v>
      </c>
      <c r="J22666" s="41">
        <v>45896</v>
      </c>
      <c r="K22666" s="30" t="s">
        <v>22</v>
      </c>
    </row>
    <row r="22667" spans="1:11">
      <c r="A22667" s="33" t="s">
        <v>50108</v>
      </c>
      <c r="B22667" s="33" t="s">
        <v>50109</v>
      </c>
      <c r="C22667" s="33" t="s">
        <v>3278</v>
      </c>
      <c r="D22667" s="33" t="s">
        <v>17</v>
      </c>
      <c r="E22667" s="33" t="s">
        <v>18</v>
      </c>
      <c r="F22667" s="33" t="s">
        <v>19</v>
      </c>
      <c r="G22667" s="33" t="s">
        <v>140</v>
      </c>
      <c r="H22667" s="35">
        <v>390</v>
      </c>
      <c r="I22667" s="33" t="s">
        <v>51</v>
      </c>
      <c r="J22667" s="42">
        <v>45918</v>
      </c>
      <c r="K22667" s="33" t="s">
        <v>22</v>
      </c>
    </row>
    <row r="22668" spans="1:11">
      <c r="A22668" s="30" t="s">
        <v>50110</v>
      </c>
      <c r="B22668" s="30" t="s">
        <v>50111</v>
      </c>
      <c r="C22668" s="30" t="s">
        <v>15408</v>
      </c>
      <c r="D22668" s="30" t="s">
        <v>17</v>
      </c>
      <c r="E22668" s="30" t="s">
        <v>18</v>
      </c>
      <c r="F22668" s="30" t="s">
        <v>19</v>
      </c>
      <c r="G22668" s="30" t="s">
        <v>140</v>
      </c>
      <c r="H22668" s="32">
        <v>400</v>
      </c>
      <c r="I22668" s="30" t="s">
        <v>51</v>
      </c>
      <c r="J22668" s="41">
        <v>45877</v>
      </c>
      <c r="K22668" s="30" t="s">
        <v>22</v>
      </c>
    </row>
    <row r="22669" spans="1:11">
      <c r="A22669" s="33" t="s">
        <v>50112</v>
      </c>
      <c r="B22669" s="33" t="s">
        <v>50113</v>
      </c>
      <c r="C22669" s="33" t="s">
        <v>1003</v>
      </c>
      <c r="D22669" s="33" t="s">
        <v>17</v>
      </c>
      <c r="E22669" s="33" t="s">
        <v>67</v>
      </c>
      <c r="F22669" s="33" t="s">
        <v>68</v>
      </c>
      <c r="G22669" s="33" t="s">
        <v>140</v>
      </c>
      <c r="H22669" s="35">
        <v>60</v>
      </c>
      <c r="I22669" s="33" t="s">
        <v>51</v>
      </c>
      <c r="J22669" s="42">
        <v>45793</v>
      </c>
      <c r="K22669" s="33" t="s">
        <v>22</v>
      </c>
    </row>
    <row r="22670" spans="1:11">
      <c r="A22670" s="30" t="s">
        <v>50114</v>
      </c>
      <c r="B22670" s="30" t="s">
        <v>50115</v>
      </c>
      <c r="C22670" s="30" t="s">
        <v>410</v>
      </c>
      <c r="D22670" s="30" t="s">
        <v>17</v>
      </c>
      <c r="E22670" s="30" t="s">
        <v>31</v>
      </c>
      <c r="F22670" s="30" t="s">
        <v>32</v>
      </c>
      <c r="G22670" s="30" t="s">
        <v>140</v>
      </c>
      <c r="H22670" s="32">
        <v>136</v>
      </c>
      <c r="I22670" s="30" t="s">
        <v>51</v>
      </c>
      <c r="J22670" s="41">
        <v>45833</v>
      </c>
      <c r="K22670" s="30" t="s">
        <v>22</v>
      </c>
    </row>
    <row r="22671" spans="1:11">
      <c r="A22671" s="33" t="s">
        <v>50116</v>
      </c>
      <c r="B22671" s="33" t="s">
        <v>50117</v>
      </c>
      <c r="C22671" s="33" t="s">
        <v>50118</v>
      </c>
      <c r="D22671" s="33" t="s">
        <v>17</v>
      </c>
      <c r="E22671" s="33" t="s">
        <v>45</v>
      </c>
      <c r="F22671" s="33" t="s">
        <v>46</v>
      </c>
      <c r="G22671" s="33" t="s">
        <v>140</v>
      </c>
      <c r="H22671" s="35">
        <v>732</v>
      </c>
      <c r="I22671" s="33" t="s">
        <v>51</v>
      </c>
      <c r="J22671" s="42">
        <v>45958</v>
      </c>
      <c r="K22671" s="33" t="s">
        <v>22</v>
      </c>
    </row>
    <row r="22672" spans="1:11">
      <c r="A22672" s="30" t="s">
        <v>50119</v>
      </c>
      <c r="B22672" s="30" t="s">
        <v>50120</v>
      </c>
      <c r="C22672" s="30" t="s">
        <v>50121</v>
      </c>
      <c r="D22672" s="30" t="s">
        <v>17</v>
      </c>
      <c r="E22672" s="30" t="s">
        <v>212</v>
      </c>
      <c r="F22672" s="30" t="s">
        <v>213</v>
      </c>
      <c r="G22672" s="30" t="s">
        <v>140</v>
      </c>
      <c r="H22672" s="32">
        <v>78</v>
      </c>
      <c r="I22672" s="30" t="s">
        <v>51</v>
      </c>
      <c r="J22672" s="41">
        <v>46021</v>
      </c>
      <c r="K22672" s="30" t="s">
        <v>22</v>
      </c>
    </row>
    <row r="22673" spans="1:11">
      <c r="A22673" s="33" t="s">
        <v>50122</v>
      </c>
      <c r="B22673" s="33" t="s">
        <v>50123</v>
      </c>
      <c r="C22673" s="33" t="s">
        <v>48898</v>
      </c>
      <c r="D22673" s="33" t="s">
        <v>17</v>
      </c>
      <c r="E22673" s="33" t="s">
        <v>26</v>
      </c>
      <c r="F22673" s="33" t="s">
        <v>27</v>
      </c>
      <c r="G22673" s="33" t="s">
        <v>140</v>
      </c>
      <c r="H22673" s="35">
        <v>24</v>
      </c>
      <c r="I22673" s="33" t="s">
        <v>51</v>
      </c>
      <c r="J22673" s="42">
        <v>45702</v>
      </c>
      <c r="K22673" s="33" t="s">
        <v>22</v>
      </c>
    </row>
    <row r="22674" spans="1:11">
      <c r="A22674" s="30" t="s">
        <v>50124</v>
      </c>
      <c r="B22674" s="30" t="s">
        <v>50125</v>
      </c>
      <c r="C22674" s="30" t="s">
        <v>130</v>
      </c>
      <c r="D22674" s="30" t="s">
        <v>17</v>
      </c>
      <c r="E22674" s="30" t="s">
        <v>26</v>
      </c>
      <c r="F22674" s="30" t="s">
        <v>27</v>
      </c>
      <c r="G22674" s="30" t="s">
        <v>158</v>
      </c>
      <c r="H22674" s="32">
        <v>30</v>
      </c>
      <c r="I22674" s="30" t="s">
        <v>21</v>
      </c>
      <c r="J22674" s="41">
        <v>45743</v>
      </c>
      <c r="K22674" s="30" t="s">
        <v>22</v>
      </c>
    </row>
    <row r="22675" spans="1:11">
      <c r="A22675" s="33" t="s">
        <v>50126</v>
      </c>
      <c r="B22675" s="33" t="s">
        <v>50127</v>
      </c>
      <c r="C22675" s="33" t="s">
        <v>310</v>
      </c>
      <c r="D22675" s="33" t="s">
        <v>17</v>
      </c>
      <c r="E22675" s="33" t="s">
        <v>26</v>
      </c>
      <c r="F22675" s="33" t="s">
        <v>27</v>
      </c>
      <c r="G22675" s="33" t="s">
        <v>140</v>
      </c>
      <c r="H22675" s="35">
        <v>48</v>
      </c>
      <c r="I22675" s="33" t="s">
        <v>51</v>
      </c>
      <c r="J22675" s="42">
        <v>45728</v>
      </c>
      <c r="K22675" s="33" t="s">
        <v>22</v>
      </c>
    </row>
    <row r="22676" spans="1:11">
      <c r="A22676" s="30" t="s">
        <v>50128</v>
      </c>
      <c r="B22676" s="30" t="s">
        <v>50129</v>
      </c>
      <c r="C22676" s="30" t="s">
        <v>50130</v>
      </c>
      <c r="D22676" s="30" t="s">
        <v>17</v>
      </c>
      <c r="E22676" s="30" t="s">
        <v>26</v>
      </c>
      <c r="F22676" s="30" t="s">
        <v>27</v>
      </c>
      <c r="G22676" s="30" t="s">
        <v>20</v>
      </c>
      <c r="H22676" s="32">
        <v>24</v>
      </c>
      <c r="I22676" s="30" t="s">
        <v>21</v>
      </c>
      <c r="J22676" s="41">
        <v>45857</v>
      </c>
      <c r="K22676" s="30" t="s">
        <v>22</v>
      </c>
    </row>
    <row r="22677" spans="1:11">
      <c r="A22677" s="33" t="s">
        <v>50131</v>
      </c>
      <c r="B22677" s="33" t="s">
        <v>50132</v>
      </c>
      <c r="C22677" s="33" t="s">
        <v>15097</v>
      </c>
      <c r="D22677" s="33" t="s">
        <v>17</v>
      </c>
      <c r="E22677" s="33" t="s">
        <v>67</v>
      </c>
      <c r="F22677" s="33" t="s">
        <v>68</v>
      </c>
      <c r="G22677" s="33" t="s">
        <v>140</v>
      </c>
      <c r="H22677" s="35">
        <v>46</v>
      </c>
      <c r="I22677" s="33" t="s">
        <v>51</v>
      </c>
      <c r="J22677" s="42">
        <v>45765</v>
      </c>
      <c r="K22677" s="33" t="s">
        <v>22</v>
      </c>
    </row>
    <row r="22678" spans="1:11">
      <c r="A22678" s="30" t="s">
        <v>50133</v>
      </c>
      <c r="B22678" s="30" t="s">
        <v>50134</v>
      </c>
      <c r="C22678" s="30" t="s">
        <v>50135</v>
      </c>
      <c r="D22678" s="30" t="s">
        <v>17</v>
      </c>
      <c r="E22678" s="30" t="s">
        <v>26</v>
      </c>
      <c r="F22678" s="30" t="s">
        <v>27</v>
      </c>
      <c r="G22678" s="30" t="s">
        <v>20</v>
      </c>
      <c r="H22678" s="32">
        <v>120</v>
      </c>
      <c r="I22678" s="30" t="s">
        <v>21</v>
      </c>
      <c r="J22678" s="41">
        <v>45853</v>
      </c>
      <c r="K22678" s="30" t="s">
        <v>22</v>
      </c>
    </row>
    <row r="22679" spans="1:11">
      <c r="A22679" s="33" t="s">
        <v>50136</v>
      </c>
      <c r="B22679" s="33" t="s">
        <v>50137</v>
      </c>
      <c r="C22679" s="33" t="s">
        <v>12195</v>
      </c>
      <c r="D22679" s="33" t="s">
        <v>17</v>
      </c>
      <c r="E22679" s="33" t="s">
        <v>212</v>
      </c>
      <c r="F22679" s="33" t="s">
        <v>213</v>
      </c>
      <c r="G22679" s="33" t="s">
        <v>20</v>
      </c>
      <c r="H22679" s="35">
        <v>20</v>
      </c>
      <c r="I22679" s="33" t="s">
        <v>21</v>
      </c>
      <c r="J22679" s="42">
        <v>45805</v>
      </c>
      <c r="K22679" s="33" t="s">
        <v>22</v>
      </c>
    </row>
    <row r="22680" spans="1:11">
      <c r="A22680" s="30" t="s">
        <v>50138</v>
      </c>
      <c r="B22680" s="30" t="s">
        <v>50139</v>
      </c>
      <c r="C22680" s="30" t="s">
        <v>8234</v>
      </c>
      <c r="D22680" s="30" t="s">
        <v>17</v>
      </c>
      <c r="E22680" s="30" t="s">
        <v>18</v>
      </c>
      <c r="F22680" s="30" t="s">
        <v>19</v>
      </c>
      <c r="G22680" s="30" t="s">
        <v>140</v>
      </c>
      <c r="H22680" s="32">
        <v>300</v>
      </c>
      <c r="I22680" s="30" t="s">
        <v>51</v>
      </c>
      <c r="J22680" s="41">
        <v>45961</v>
      </c>
      <c r="K22680" s="30" t="s">
        <v>22</v>
      </c>
    </row>
    <row r="22681" spans="1:11">
      <c r="A22681" s="33" t="s">
        <v>50140</v>
      </c>
      <c r="B22681" s="33" t="s">
        <v>50141</v>
      </c>
      <c r="C22681" s="33" t="s">
        <v>353</v>
      </c>
      <c r="D22681" s="33" t="s">
        <v>17</v>
      </c>
      <c r="E22681" s="33" t="s">
        <v>18</v>
      </c>
      <c r="F22681" s="33" t="s">
        <v>19</v>
      </c>
      <c r="G22681" s="33" t="s">
        <v>7780</v>
      </c>
      <c r="H22681" s="35">
        <v>300</v>
      </c>
      <c r="I22681" s="33" t="s">
        <v>51</v>
      </c>
      <c r="J22681" s="42">
        <v>45922</v>
      </c>
      <c r="K22681" s="33" t="s">
        <v>22</v>
      </c>
    </row>
    <row r="22682" spans="1:11">
      <c r="A22682" s="30" t="s">
        <v>50142</v>
      </c>
      <c r="B22682" s="30" t="s">
        <v>50143</v>
      </c>
      <c r="C22682" s="30" t="s">
        <v>6379</v>
      </c>
      <c r="D22682" s="30" t="s">
        <v>17</v>
      </c>
      <c r="E22682" s="30" t="s">
        <v>18</v>
      </c>
      <c r="F22682" s="30" t="s">
        <v>19</v>
      </c>
      <c r="G22682" s="30" t="s">
        <v>140</v>
      </c>
      <c r="H22682" s="32">
        <v>284</v>
      </c>
      <c r="I22682" s="30" t="s">
        <v>51</v>
      </c>
      <c r="J22682" s="41">
        <v>45785</v>
      </c>
      <c r="K22682" s="30" t="s">
        <v>22</v>
      </c>
    </row>
    <row r="22683" spans="1:11">
      <c r="A22683" s="33" t="s">
        <v>50144</v>
      </c>
      <c r="B22683" s="33" t="s">
        <v>50145</v>
      </c>
      <c r="C22683" s="33" t="s">
        <v>22605</v>
      </c>
      <c r="D22683" s="33" t="s">
        <v>17</v>
      </c>
      <c r="E22683" s="33" t="s">
        <v>26</v>
      </c>
      <c r="F22683" s="33" t="s">
        <v>27</v>
      </c>
      <c r="G22683" s="33" t="s">
        <v>158</v>
      </c>
      <c r="H22683" s="35">
        <v>180</v>
      </c>
      <c r="I22683" s="33" t="s">
        <v>21</v>
      </c>
      <c r="J22683" s="42">
        <v>45804</v>
      </c>
      <c r="K22683" s="33" t="s">
        <v>22</v>
      </c>
    </row>
    <row r="22684" spans="1:11">
      <c r="A22684" s="30" t="s">
        <v>50146</v>
      </c>
      <c r="B22684" s="30" t="s">
        <v>50147</v>
      </c>
      <c r="C22684" s="30" t="s">
        <v>15090</v>
      </c>
      <c r="D22684" s="30" t="s">
        <v>17</v>
      </c>
      <c r="E22684" s="30" t="s">
        <v>26</v>
      </c>
      <c r="F22684" s="30" t="s">
        <v>27</v>
      </c>
      <c r="G22684" s="30" t="s">
        <v>20</v>
      </c>
      <c r="H22684" s="32">
        <v>16</v>
      </c>
      <c r="I22684" s="30" t="s">
        <v>21</v>
      </c>
      <c r="J22684" s="41">
        <v>45684</v>
      </c>
      <c r="K22684" s="30" t="s">
        <v>22</v>
      </c>
    </row>
    <row r="22685" spans="1:11">
      <c r="A22685" s="33" t="s">
        <v>50148</v>
      </c>
      <c r="B22685" s="33" t="s">
        <v>50149</v>
      </c>
      <c r="C22685" s="33" t="s">
        <v>50150</v>
      </c>
      <c r="D22685" s="33" t="s">
        <v>17</v>
      </c>
      <c r="E22685" s="33" t="s">
        <v>26</v>
      </c>
      <c r="F22685" s="33" t="s">
        <v>27</v>
      </c>
      <c r="G22685" s="33" t="s">
        <v>140</v>
      </c>
      <c r="H22685" s="35">
        <v>48</v>
      </c>
      <c r="I22685" s="33" t="s">
        <v>51</v>
      </c>
      <c r="J22685" s="42">
        <v>45894</v>
      </c>
      <c r="K22685" s="33" t="s">
        <v>22</v>
      </c>
    </row>
    <row r="22686" spans="1:11">
      <c r="A22686" s="30" t="s">
        <v>50151</v>
      </c>
      <c r="B22686" s="30" t="s">
        <v>50152</v>
      </c>
      <c r="C22686" s="30" t="s">
        <v>13290</v>
      </c>
      <c r="D22686" s="30" t="s">
        <v>17</v>
      </c>
      <c r="E22686" s="30" t="s">
        <v>67</v>
      </c>
      <c r="F22686" s="30" t="s">
        <v>68</v>
      </c>
      <c r="G22686" s="30" t="s">
        <v>158</v>
      </c>
      <c r="H22686" s="32">
        <v>33</v>
      </c>
      <c r="I22686" s="30" t="s">
        <v>21</v>
      </c>
      <c r="J22686" s="41">
        <v>45866</v>
      </c>
      <c r="K22686" s="30" t="s">
        <v>22</v>
      </c>
    </row>
    <row r="22687" spans="1:11">
      <c r="A22687" s="33" t="s">
        <v>50153</v>
      </c>
      <c r="B22687" s="33" t="s">
        <v>50154</v>
      </c>
      <c r="C22687" s="33" t="s">
        <v>109</v>
      </c>
      <c r="D22687" s="33" t="s">
        <v>17</v>
      </c>
      <c r="E22687" s="33" t="s">
        <v>31</v>
      </c>
      <c r="F22687" s="33" t="s">
        <v>32</v>
      </c>
      <c r="G22687" s="33" t="s">
        <v>140</v>
      </c>
      <c r="H22687" s="35">
        <v>20</v>
      </c>
      <c r="I22687" s="33" t="s">
        <v>51</v>
      </c>
      <c r="J22687" s="42">
        <v>45706</v>
      </c>
      <c r="K22687" s="33" t="s">
        <v>22</v>
      </c>
    </row>
    <row r="22688" spans="1:11">
      <c r="A22688" s="30" t="s">
        <v>50155</v>
      </c>
      <c r="B22688" s="30" t="s">
        <v>50156</v>
      </c>
      <c r="C22688" s="30" t="s">
        <v>9454</v>
      </c>
      <c r="D22688" s="30" t="s">
        <v>17</v>
      </c>
      <c r="E22688" s="30" t="s">
        <v>26</v>
      </c>
      <c r="F22688" s="30" t="s">
        <v>27</v>
      </c>
      <c r="G22688" s="30" t="s">
        <v>20</v>
      </c>
      <c r="H22688" s="32">
        <v>72</v>
      </c>
      <c r="I22688" s="30" t="s">
        <v>21</v>
      </c>
      <c r="J22688" s="41">
        <v>45966</v>
      </c>
      <c r="K22688" s="30" t="s">
        <v>22</v>
      </c>
    </row>
    <row r="22689" spans="1:11">
      <c r="A22689" s="33" t="s">
        <v>50157</v>
      </c>
      <c r="B22689" s="33" t="s">
        <v>50158</v>
      </c>
      <c r="C22689" s="33" t="s">
        <v>46622</v>
      </c>
      <c r="D22689" s="33" t="s">
        <v>17</v>
      </c>
      <c r="E22689" s="33" t="s">
        <v>26</v>
      </c>
      <c r="F22689" s="33" t="s">
        <v>27</v>
      </c>
      <c r="G22689" s="33" t="s">
        <v>158</v>
      </c>
      <c r="H22689" s="35">
        <v>16</v>
      </c>
      <c r="I22689" s="33" t="s">
        <v>51</v>
      </c>
      <c r="J22689" s="42">
        <v>45957</v>
      </c>
      <c r="K22689" s="33" t="s">
        <v>22</v>
      </c>
    </row>
    <row r="22690" spans="1:11">
      <c r="A22690" s="30" t="s">
        <v>50159</v>
      </c>
      <c r="B22690" s="30" t="s">
        <v>50160</v>
      </c>
      <c r="C22690" s="30" t="s">
        <v>39233</v>
      </c>
      <c r="D22690" s="30" t="s">
        <v>17</v>
      </c>
      <c r="E22690" s="30" t="s">
        <v>26</v>
      </c>
      <c r="F22690" s="30" t="s">
        <v>27</v>
      </c>
      <c r="G22690" s="30" t="s">
        <v>7780</v>
      </c>
      <c r="H22690" s="32">
        <v>200</v>
      </c>
      <c r="I22690" s="30" t="s">
        <v>51</v>
      </c>
      <c r="J22690" s="41">
        <v>45787</v>
      </c>
      <c r="K22690" s="30" t="s">
        <v>22</v>
      </c>
    </row>
    <row r="22691" spans="1:11">
      <c r="A22691" s="33" t="s">
        <v>50161</v>
      </c>
      <c r="B22691" s="33" t="s">
        <v>50162</v>
      </c>
      <c r="C22691" s="33" t="s">
        <v>12203</v>
      </c>
      <c r="D22691" s="33" t="s">
        <v>17</v>
      </c>
      <c r="E22691" s="33" t="s">
        <v>18</v>
      </c>
      <c r="F22691" s="33" t="s">
        <v>19</v>
      </c>
      <c r="G22691" s="33" t="s">
        <v>20</v>
      </c>
      <c r="H22691" s="35">
        <v>69</v>
      </c>
      <c r="I22691" s="33" t="s">
        <v>21</v>
      </c>
      <c r="J22691" s="42">
        <v>45747</v>
      </c>
      <c r="K22691" s="33" t="s">
        <v>22</v>
      </c>
    </row>
    <row r="22692" spans="1:11">
      <c r="A22692" s="30" t="s">
        <v>50163</v>
      </c>
      <c r="B22692" s="30" t="s">
        <v>50164</v>
      </c>
      <c r="C22692" s="30" t="s">
        <v>222</v>
      </c>
      <c r="D22692" s="30" t="s">
        <v>17</v>
      </c>
      <c r="E22692" s="30" t="s">
        <v>26</v>
      </c>
      <c r="F22692" s="30" t="s">
        <v>27</v>
      </c>
      <c r="G22692" s="30" t="s">
        <v>140</v>
      </c>
      <c r="H22692" s="32">
        <v>192</v>
      </c>
      <c r="I22692" s="30" t="s">
        <v>51</v>
      </c>
      <c r="J22692" s="41">
        <v>45932</v>
      </c>
      <c r="K22692" s="30" t="s">
        <v>22</v>
      </c>
    </row>
    <row r="22693" spans="1:11">
      <c r="A22693" s="33" t="s">
        <v>50165</v>
      </c>
      <c r="B22693" s="33" t="s">
        <v>50166</v>
      </c>
      <c r="C22693" s="33" t="s">
        <v>4796</v>
      </c>
      <c r="D22693" s="33" t="s">
        <v>17</v>
      </c>
      <c r="E22693" s="33" t="s">
        <v>18</v>
      </c>
      <c r="F22693" s="33" t="s">
        <v>19</v>
      </c>
      <c r="G22693" s="33" t="s">
        <v>140</v>
      </c>
      <c r="H22693" s="35">
        <v>123</v>
      </c>
      <c r="I22693" s="33" t="s">
        <v>51</v>
      </c>
      <c r="J22693" s="42">
        <v>45731</v>
      </c>
      <c r="K22693" s="33" t="s">
        <v>22</v>
      </c>
    </row>
    <row r="22694" spans="1:11">
      <c r="A22694" s="30" t="s">
        <v>50167</v>
      </c>
      <c r="B22694" s="30" t="s">
        <v>50168</v>
      </c>
      <c r="C22694" s="30" t="s">
        <v>203</v>
      </c>
      <c r="D22694" s="30" t="s">
        <v>17</v>
      </c>
      <c r="E22694" s="30" t="s">
        <v>18</v>
      </c>
      <c r="F22694" s="30" t="s">
        <v>19</v>
      </c>
      <c r="G22694" s="30" t="s">
        <v>140</v>
      </c>
      <c r="H22694" s="32">
        <v>723</v>
      </c>
      <c r="I22694" s="30" t="s">
        <v>51</v>
      </c>
      <c r="J22694" s="41">
        <v>45875</v>
      </c>
      <c r="K22694" s="30" t="s">
        <v>22</v>
      </c>
    </row>
    <row r="22695" spans="1:11">
      <c r="A22695" s="33" t="s">
        <v>50169</v>
      </c>
      <c r="B22695" s="33" t="s">
        <v>50170</v>
      </c>
      <c r="C22695" s="33" t="s">
        <v>50171</v>
      </c>
      <c r="D22695" s="33" t="s">
        <v>17</v>
      </c>
      <c r="E22695" s="33" t="s">
        <v>212</v>
      </c>
      <c r="F22695" s="33" t="s">
        <v>213</v>
      </c>
      <c r="G22695" s="33" t="s">
        <v>20</v>
      </c>
      <c r="H22695" s="35">
        <v>55261</v>
      </c>
      <c r="I22695" s="33" t="s">
        <v>21</v>
      </c>
      <c r="J22695" s="42">
        <v>45784</v>
      </c>
      <c r="K22695" s="33" t="s">
        <v>22</v>
      </c>
    </row>
    <row r="22696" spans="1:11">
      <c r="A22696" s="30" t="s">
        <v>50172</v>
      </c>
      <c r="B22696" s="30" t="s">
        <v>50173</v>
      </c>
      <c r="C22696" s="30" t="s">
        <v>50174</v>
      </c>
      <c r="D22696" s="30" t="s">
        <v>17</v>
      </c>
      <c r="E22696" s="30" t="s">
        <v>67</v>
      </c>
      <c r="F22696" s="30" t="s">
        <v>68</v>
      </c>
      <c r="G22696" s="30" t="s">
        <v>140</v>
      </c>
      <c r="H22696" s="32">
        <v>94</v>
      </c>
      <c r="I22696" s="30" t="s">
        <v>51</v>
      </c>
      <c r="J22696" s="41">
        <v>45978</v>
      </c>
      <c r="K22696" s="30" t="s">
        <v>22</v>
      </c>
    </row>
    <row r="22697" spans="1:11">
      <c r="A22697" s="33" t="s">
        <v>50175</v>
      </c>
      <c r="B22697" s="33" t="s">
        <v>50176</v>
      </c>
      <c r="C22697" s="33" t="s">
        <v>11407</v>
      </c>
      <c r="D22697" s="33" t="s">
        <v>17</v>
      </c>
      <c r="E22697" s="33" t="s">
        <v>18</v>
      </c>
      <c r="F22697" s="33" t="s">
        <v>19</v>
      </c>
      <c r="G22697" s="33" t="s">
        <v>140</v>
      </c>
      <c r="H22697" s="35">
        <v>119</v>
      </c>
      <c r="I22697" s="33" t="s">
        <v>51</v>
      </c>
      <c r="J22697" s="42">
        <v>45987</v>
      </c>
      <c r="K22697" s="33" t="s">
        <v>22</v>
      </c>
    </row>
    <row r="22698" spans="1:11">
      <c r="A22698" s="30" t="s">
        <v>50177</v>
      </c>
      <c r="B22698" s="30" t="s">
        <v>50178</v>
      </c>
      <c r="C22698" s="30" t="s">
        <v>93</v>
      </c>
      <c r="D22698" s="30" t="s">
        <v>17</v>
      </c>
      <c r="E22698" s="30" t="s">
        <v>26</v>
      </c>
      <c r="F22698" s="30" t="s">
        <v>27</v>
      </c>
      <c r="G22698" s="30" t="s">
        <v>140</v>
      </c>
      <c r="H22698" s="32">
        <v>232</v>
      </c>
      <c r="I22698" s="30" t="s">
        <v>51</v>
      </c>
      <c r="J22698" s="41">
        <v>45761</v>
      </c>
      <c r="K22698" s="30" t="s">
        <v>22</v>
      </c>
    </row>
    <row r="22699" spans="1:11">
      <c r="A22699" s="33" t="s">
        <v>50179</v>
      </c>
      <c r="B22699" s="33" t="s">
        <v>50180</v>
      </c>
      <c r="C22699" s="33" t="s">
        <v>24200</v>
      </c>
      <c r="D22699" s="33" t="s">
        <v>17</v>
      </c>
      <c r="E22699" s="33" t="s">
        <v>31</v>
      </c>
      <c r="F22699" s="33" t="s">
        <v>32</v>
      </c>
      <c r="G22699" s="33" t="s">
        <v>140</v>
      </c>
      <c r="H22699" s="35">
        <v>28</v>
      </c>
      <c r="I22699" s="33" t="s">
        <v>51</v>
      </c>
      <c r="J22699" s="42">
        <v>45756</v>
      </c>
      <c r="K22699" s="33" t="s">
        <v>22</v>
      </c>
    </row>
    <row r="22700" spans="1:11">
      <c r="A22700" s="30" t="s">
        <v>50181</v>
      </c>
      <c r="B22700" s="30" t="s">
        <v>50182</v>
      </c>
      <c r="C22700" s="30" t="s">
        <v>517</v>
      </c>
      <c r="D22700" s="30" t="s">
        <v>17</v>
      </c>
      <c r="E22700" s="30" t="s">
        <v>26</v>
      </c>
      <c r="F22700" s="30" t="s">
        <v>27</v>
      </c>
      <c r="G22700" s="30" t="s">
        <v>20</v>
      </c>
      <c r="H22700" s="32">
        <v>46</v>
      </c>
      <c r="I22700" s="30" t="s">
        <v>21</v>
      </c>
      <c r="J22700" s="41">
        <v>45737</v>
      </c>
      <c r="K22700" s="30" t="s">
        <v>22</v>
      </c>
    </row>
    <row r="22701" spans="1:11">
      <c r="A22701" s="33" t="s">
        <v>50183</v>
      </c>
      <c r="B22701" s="33" t="s">
        <v>50184</v>
      </c>
      <c r="C22701" s="33" t="s">
        <v>15408</v>
      </c>
      <c r="D22701" s="33" t="s">
        <v>17</v>
      </c>
      <c r="E22701" s="33" t="s">
        <v>18</v>
      </c>
      <c r="F22701" s="33" t="s">
        <v>19</v>
      </c>
      <c r="G22701" s="33" t="s">
        <v>2613</v>
      </c>
      <c r="H22701" s="35">
        <v>400</v>
      </c>
      <c r="I22701" s="33" t="s">
        <v>51</v>
      </c>
      <c r="J22701" s="42">
        <v>45960</v>
      </c>
      <c r="K22701" s="33" t="s">
        <v>22</v>
      </c>
    </row>
    <row r="22702" spans="1:11">
      <c r="A22702" s="30" t="s">
        <v>50185</v>
      </c>
      <c r="B22702" s="30" t="s">
        <v>50186</v>
      </c>
      <c r="C22702" s="30" t="s">
        <v>8069</v>
      </c>
      <c r="D22702" s="30" t="s">
        <v>17</v>
      </c>
      <c r="E22702" s="30" t="s">
        <v>18</v>
      </c>
      <c r="F22702" s="30" t="s">
        <v>19</v>
      </c>
      <c r="G22702" s="30" t="s">
        <v>140</v>
      </c>
      <c r="H22702" s="32">
        <v>320</v>
      </c>
      <c r="I22702" s="30" t="s">
        <v>51</v>
      </c>
      <c r="J22702" s="41">
        <v>46000</v>
      </c>
      <c r="K22702" s="30" t="s">
        <v>22</v>
      </c>
    </row>
    <row r="22703" spans="1:11">
      <c r="A22703" s="33" t="s">
        <v>50187</v>
      </c>
      <c r="B22703" s="33" t="s">
        <v>50188</v>
      </c>
      <c r="C22703" s="33" t="s">
        <v>39233</v>
      </c>
      <c r="D22703" s="33" t="s">
        <v>17</v>
      </c>
      <c r="E22703" s="33" t="s">
        <v>31</v>
      </c>
      <c r="F22703" s="33" t="s">
        <v>32</v>
      </c>
      <c r="G22703" s="33" t="s">
        <v>7780</v>
      </c>
      <c r="H22703" s="35">
        <v>120</v>
      </c>
      <c r="I22703" s="33" t="s">
        <v>51</v>
      </c>
      <c r="J22703" s="42">
        <v>45991</v>
      </c>
      <c r="K22703" s="33" t="s">
        <v>22</v>
      </c>
    </row>
    <row r="22704" spans="1:11">
      <c r="A22704" s="30" t="s">
        <v>50189</v>
      </c>
      <c r="B22704" s="30" t="s">
        <v>50190</v>
      </c>
      <c r="C22704" s="30" t="s">
        <v>7900</v>
      </c>
      <c r="D22704" s="30" t="s">
        <v>17</v>
      </c>
      <c r="E22704" s="30" t="s">
        <v>212</v>
      </c>
      <c r="F22704" s="30" t="s">
        <v>213</v>
      </c>
      <c r="G22704" s="30" t="s">
        <v>140</v>
      </c>
      <c r="H22704" s="32">
        <v>178</v>
      </c>
      <c r="I22704" s="30" t="s">
        <v>51</v>
      </c>
      <c r="J22704" s="41">
        <v>45959</v>
      </c>
      <c r="K22704" s="30" t="s">
        <v>22</v>
      </c>
    </row>
    <row r="22705" spans="1:11">
      <c r="A22705" s="33" t="s">
        <v>50191</v>
      </c>
      <c r="B22705" s="33" t="s">
        <v>50192</v>
      </c>
      <c r="C22705" s="33" t="s">
        <v>16459</v>
      </c>
      <c r="D22705" s="33" t="s">
        <v>17</v>
      </c>
      <c r="E22705" s="33" t="s">
        <v>18</v>
      </c>
      <c r="F22705" s="33" t="s">
        <v>19</v>
      </c>
      <c r="G22705" s="33" t="s">
        <v>140</v>
      </c>
      <c r="H22705" s="35">
        <v>110</v>
      </c>
      <c r="I22705" s="33" t="s">
        <v>51</v>
      </c>
      <c r="J22705" s="42">
        <v>45754</v>
      </c>
      <c r="K22705" s="33" t="s">
        <v>22</v>
      </c>
    </row>
    <row r="22706" spans="1:11">
      <c r="A22706" s="30" t="s">
        <v>50193</v>
      </c>
      <c r="B22706" s="30" t="s">
        <v>50194</v>
      </c>
      <c r="C22706" s="30" t="s">
        <v>1191</v>
      </c>
      <c r="D22706" s="30" t="s">
        <v>17</v>
      </c>
      <c r="E22706" s="30" t="s">
        <v>26</v>
      </c>
      <c r="F22706" s="30" t="s">
        <v>27</v>
      </c>
      <c r="G22706" s="30" t="s">
        <v>140</v>
      </c>
      <c r="H22706" s="32">
        <v>76</v>
      </c>
      <c r="I22706" s="30" t="s">
        <v>51</v>
      </c>
      <c r="J22706" s="41">
        <v>45897</v>
      </c>
      <c r="K22706" s="30" t="s">
        <v>22</v>
      </c>
    </row>
    <row r="22707" spans="1:11">
      <c r="A22707" s="33" t="s">
        <v>50195</v>
      </c>
      <c r="B22707" s="33" t="s">
        <v>50196</v>
      </c>
      <c r="C22707" s="33" t="s">
        <v>4793</v>
      </c>
      <c r="D22707" s="33" t="s">
        <v>17</v>
      </c>
      <c r="E22707" s="33" t="s">
        <v>31</v>
      </c>
      <c r="F22707" s="33" t="s">
        <v>32</v>
      </c>
      <c r="G22707" s="33" t="s">
        <v>140</v>
      </c>
      <c r="H22707" s="35">
        <v>60</v>
      </c>
      <c r="I22707" s="33" t="s">
        <v>51</v>
      </c>
      <c r="J22707" s="42">
        <v>45783</v>
      </c>
      <c r="K22707" s="33" t="s">
        <v>22</v>
      </c>
    </row>
    <row r="22708" spans="1:11">
      <c r="A22708" s="30" t="s">
        <v>50197</v>
      </c>
      <c r="B22708" s="30" t="s">
        <v>50198</v>
      </c>
      <c r="C22708" s="30" t="s">
        <v>18141</v>
      </c>
      <c r="D22708" s="30" t="s">
        <v>17</v>
      </c>
      <c r="E22708" s="30" t="s">
        <v>31</v>
      </c>
      <c r="F22708" s="30" t="s">
        <v>32</v>
      </c>
      <c r="G22708" s="30" t="s">
        <v>140</v>
      </c>
      <c r="H22708" s="32">
        <v>45</v>
      </c>
      <c r="I22708" s="30" t="s">
        <v>51</v>
      </c>
      <c r="J22708" s="41">
        <v>46021</v>
      </c>
      <c r="K22708" s="30" t="s">
        <v>22</v>
      </c>
    </row>
    <row r="22709" spans="1:11">
      <c r="A22709" s="33" t="s">
        <v>50199</v>
      </c>
      <c r="B22709" s="33" t="s">
        <v>50200</v>
      </c>
      <c r="C22709" s="33" t="s">
        <v>109</v>
      </c>
      <c r="D22709" s="33" t="s">
        <v>17</v>
      </c>
      <c r="E22709" s="33" t="s">
        <v>18</v>
      </c>
      <c r="F22709" s="33" t="s">
        <v>19</v>
      </c>
      <c r="G22709" s="33" t="s">
        <v>140</v>
      </c>
      <c r="H22709" s="35">
        <v>300</v>
      </c>
      <c r="I22709" s="33" t="s">
        <v>51</v>
      </c>
      <c r="J22709" s="42">
        <v>45933</v>
      </c>
      <c r="K22709" s="33" t="s">
        <v>22</v>
      </c>
    </row>
    <row r="22710" spans="1:11">
      <c r="A22710" s="30" t="s">
        <v>50201</v>
      </c>
      <c r="B22710" s="30" t="s">
        <v>50202</v>
      </c>
      <c r="C22710" s="30" t="s">
        <v>570</v>
      </c>
      <c r="D22710" s="30" t="s">
        <v>17</v>
      </c>
      <c r="E22710" s="30" t="s">
        <v>31</v>
      </c>
      <c r="F22710" s="30" t="s">
        <v>32</v>
      </c>
      <c r="G22710" s="30" t="s">
        <v>7780</v>
      </c>
      <c r="H22710" s="32">
        <v>30</v>
      </c>
      <c r="I22710" s="30" t="s">
        <v>51</v>
      </c>
      <c r="J22710" s="41">
        <v>45717</v>
      </c>
      <c r="K22710" s="30" t="s">
        <v>22</v>
      </c>
    </row>
    <row r="22711" spans="1:11">
      <c r="A22711" s="33" t="s">
        <v>50203</v>
      </c>
      <c r="B22711" s="33" t="s">
        <v>50204</v>
      </c>
      <c r="C22711" s="33" t="s">
        <v>50205</v>
      </c>
      <c r="D22711" s="33" t="s">
        <v>17</v>
      </c>
      <c r="E22711" s="33" t="s">
        <v>18</v>
      </c>
      <c r="F22711" s="33" t="s">
        <v>19</v>
      </c>
      <c r="G22711" s="33" t="s">
        <v>7780</v>
      </c>
      <c r="H22711" s="35">
        <v>200</v>
      </c>
      <c r="I22711" s="33" t="s">
        <v>51</v>
      </c>
      <c r="J22711" s="42">
        <v>45838</v>
      </c>
      <c r="K22711" s="33" t="s">
        <v>22</v>
      </c>
    </row>
    <row r="22712" spans="1:11">
      <c r="A22712" s="30" t="s">
        <v>50206</v>
      </c>
      <c r="B22712" s="30" t="s">
        <v>50207</v>
      </c>
      <c r="C22712" s="30" t="s">
        <v>124</v>
      </c>
      <c r="D22712" s="30" t="s">
        <v>17</v>
      </c>
      <c r="E22712" s="30" t="s">
        <v>31</v>
      </c>
      <c r="F22712" s="30" t="s">
        <v>32</v>
      </c>
      <c r="G22712" s="30" t="s">
        <v>7780</v>
      </c>
      <c r="H22712" s="32">
        <v>120</v>
      </c>
      <c r="I22712" s="30" t="s">
        <v>51</v>
      </c>
      <c r="J22712" s="41">
        <v>45839</v>
      </c>
      <c r="K22712" s="30" t="s">
        <v>22</v>
      </c>
    </row>
    <row r="22713" spans="1:11">
      <c r="A22713" s="33" t="s">
        <v>50208</v>
      </c>
      <c r="B22713" s="33" t="s">
        <v>50209</v>
      </c>
      <c r="C22713" s="33" t="s">
        <v>96</v>
      </c>
      <c r="D22713" s="33" t="s">
        <v>17</v>
      </c>
      <c r="E22713" s="33" t="s">
        <v>18</v>
      </c>
      <c r="F22713" s="33" t="s">
        <v>19</v>
      </c>
      <c r="G22713" s="33" t="s">
        <v>158</v>
      </c>
      <c r="H22713" s="35">
        <v>207</v>
      </c>
      <c r="I22713" s="33" t="s">
        <v>21</v>
      </c>
      <c r="J22713" s="42">
        <v>45980</v>
      </c>
      <c r="K22713" s="33" t="s">
        <v>22</v>
      </c>
    </row>
    <row r="22714" spans="1:11">
      <c r="A22714" s="30" t="s">
        <v>50210</v>
      </c>
      <c r="B22714" s="30" t="s">
        <v>50211</v>
      </c>
      <c r="C22714" s="30" t="s">
        <v>570</v>
      </c>
      <c r="D22714" s="30" t="s">
        <v>17</v>
      </c>
      <c r="E22714" s="30" t="s">
        <v>67</v>
      </c>
      <c r="F22714" s="30" t="s">
        <v>68</v>
      </c>
      <c r="G22714" s="30" t="s">
        <v>7780</v>
      </c>
      <c r="H22714" s="32">
        <v>96</v>
      </c>
      <c r="I22714" s="30" t="s">
        <v>51</v>
      </c>
      <c r="J22714" s="41">
        <v>45901</v>
      </c>
      <c r="K22714" s="30" t="s">
        <v>22</v>
      </c>
    </row>
    <row r="22715" spans="1:11">
      <c r="A22715" s="33" t="s">
        <v>50212</v>
      </c>
      <c r="B22715" s="33" t="s">
        <v>50213</v>
      </c>
      <c r="C22715" s="33" t="s">
        <v>50214</v>
      </c>
      <c r="D22715" s="33" t="s">
        <v>17</v>
      </c>
      <c r="E22715" s="33" t="s">
        <v>67</v>
      </c>
      <c r="F22715" s="33" t="s">
        <v>68</v>
      </c>
      <c r="G22715" s="33" t="s">
        <v>7780</v>
      </c>
      <c r="H22715" s="35">
        <v>108</v>
      </c>
      <c r="I22715" s="33" t="s">
        <v>51</v>
      </c>
      <c r="J22715" s="42">
        <v>45877</v>
      </c>
      <c r="K22715" s="33" t="s">
        <v>22</v>
      </c>
    </row>
    <row r="22716" spans="1:11">
      <c r="A22716" s="30" t="s">
        <v>50215</v>
      </c>
      <c r="B22716" s="30" t="s">
        <v>50216</v>
      </c>
      <c r="C22716" s="30" t="s">
        <v>37693</v>
      </c>
      <c r="D22716" s="30" t="s">
        <v>17</v>
      </c>
      <c r="E22716" s="30" t="s">
        <v>26</v>
      </c>
      <c r="F22716" s="30" t="s">
        <v>27</v>
      </c>
      <c r="G22716" s="30" t="s">
        <v>158</v>
      </c>
      <c r="H22716" s="32">
        <v>50</v>
      </c>
      <c r="I22716" s="30" t="s">
        <v>51</v>
      </c>
      <c r="J22716" s="41">
        <v>45728</v>
      </c>
      <c r="K22716" s="30" t="s">
        <v>22</v>
      </c>
    </row>
    <row r="22717" spans="1:11">
      <c r="A22717" s="33" t="s">
        <v>50217</v>
      </c>
      <c r="B22717" s="33" t="s">
        <v>50218</v>
      </c>
      <c r="C22717" s="33" t="s">
        <v>38361</v>
      </c>
      <c r="D22717" s="33" t="s">
        <v>17</v>
      </c>
      <c r="E22717" s="33" t="s">
        <v>330</v>
      </c>
      <c r="F22717" s="33" t="s">
        <v>331</v>
      </c>
      <c r="G22717" s="33" t="s">
        <v>112</v>
      </c>
      <c r="H22717" s="35">
        <v>0</v>
      </c>
      <c r="I22717" s="33" t="s">
        <v>21</v>
      </c>
      <c r="J22717" s="42">
        <v>45940</v>
      </c>
      <c r="K22717" s="33" t="s">
        <v>22</v>
      </c>
    </row>
    <row r="22718" spans="1:11">
      <c r="A22718" s="30" t="s">
        <v>50219</v>
      </c>
      <c r="B22718" s="30" t="s">
        <v>50220</v>
      </c>
      <c r="C22718" s="30" t="s">
        <v>6279</v>
      </c>
      <c r="D22718" s="30" t="s">
        <v>17</v>
      </c>
      <c r="E22718" s="30" t="s">
        <v>31</v>
      </c>
      <c r="F22718" s="30" t="s">
        <v>32</v>
      </c>
      <c r="G22718" s="30" t="s">
        <v>20</v>
      </c>
      <c r="H22718" s="32">
        <v>3</v>
      </c>
      <c r="I22718" s="30" t="s">
        <v>21</v>
      </c>
      <c r="J22718" s="41">
        <v>45768</v>
      </c>
      <c r="K22718" s="30" t="s">
        <v>22</v>
      </c>
    </row>
    <row r="22719" spans="1:11">
      <c r="A22719" s="33" t="s">
        <v>50221</v>
      </c>
      <c r="B22719" s="33" t="s">
        <v>50222</v>
      </c>
      <c r="C22719" s="33" t="s">
        <v>736</v>
      </c>
      <c r="D22719" s="33" t="s">
        <v>17</v>
      </c>
      <c r="E22719" s="33" t="s">
        <v>31</v>
      </c>
      <c r="F22719" s="33" t="s">
        <v>32</v>
      </c>
      <c r="G22719" s="33" t="s">
        <v>140</v>
      </c>
      <c r="H22719" s="35">
        <v>180</v>
      </c>
      <c r="I22719" s="33" t="s">
        <v>51</v>
      </c>
      <c r="J22719" s="42">
        <v>45838</v>
      </c>
      <c r="K22719" s="33" t="s">
        <v>22</v>
      </c>
    </row>
    <row r="22720" spans="1:11">
      <c r="A22720" s="30" t="s">
        <v>50223</v>
      </c>
      <c r="B22720" s="30" t="s">
        <v>50224</v>
      </c>
      <c r="C22720" s="30" t="s">
        <v>1270</v>
      </c>
      <c r="D22720" s="30" t="s">
        <v>17</v>
      </c>
      <c r="E22720" s="30" t="s">
        <v>26</v>
      </c>
      <c r="F22720" s="30" t="s">
        <v>27</v>
      </c>
      <c r="G22720" s="30" t="s">
        <v>7780</v>
      </c>
      <c r="H22720" s="32">
        <v>32</v>
      </c>
      <c r="I22720" s="30" t="s">
        <v>51</v>
      </c>
      <c r="J22720" s="41">
        <v>45716</v>
      </c>
      <c r="K22720" s="30" t="s">
        <v>22</v>
      </c>
    </row>
    <row r="22721" spans="1:11">
      <c r="A22721" s="33" t="s">
        <v>50225</v>
      </c>
      <c r="B22721" s="33" t="s">
        <v>50226</v>
      </c>
      <c r="C22721" s="33" t="s">
        <v>14664</v>
      </c>
      <c r="D22721" s="33" t="s">
        <v>17</v>
      </c>
      <c r="E22721" s="33" t="s">
        <v>26</v>
      </c>
      <c r="F22721" s="33" t="s">
        <v>27</v>
      </c>
      <c r="G22721" s="33" t="s">
        <v>158</v>
      </c>
      <c r="H22721" s="35">
        <v>60</v>
      </c>
      <c r="I22721" s="33" t="s">
        <v>21</v>
      </c>
      <c r="J22721" s="42">
        <v>45791</v>
      </c>
      <c r="K22721" s="33" t="s">
        <v>22</v>
      </c>
    </row>
    <row r="22722" spans="1:11">
      <c r="A22722" s="30" t="s">
        <v>50227</v>
      </c>
      <c r="B22722" s="30" t="s">
        <v>50228</v>
      </c>
      <c r="C22722" s="30" t="s">
        <v>38747</v>
      </c>
      <c r="D22722" s="30" t="s">
        <v>17</v>
      </c>
      <c r="E22722" s="30" t="s">
        <v>45</v>
      </c>
      <c r="F22722" s="30" t="s">
        <v>46</v>
      </c>
      <c r="G22722" s="30" t="s">
        <v>7780</v>
      </c>
      <c r="H22722" s="32">
        <v>3000</v>
      </c>
      <c r="I22722" s="30" t="s">
        <v>51</v>
      </c>
      <c r="J22722" s="41">
        <v>45931</v>
      </c>
      <c r="K22722" s="30" t="s">
        <v>22</v>
      </c>
    </row>
    <row r="22723" spans="1:11">
      <c r="A22723" s="33" t="s">
        <v>50229</v>
      </c>
      <c r="B22723" s="33" t="s">
        <v>50230</v>
      </c>
      <c r="C22723" s="33" t="s">
        <v>44692</v>
      </c>
      <c r="D22723" s="33" t="s">
        <v>17</v>
      </c>
      <c r="E22723" s="33" t="s">
        <v>26</v>
      </c>
      <c r="F22723" s="33" t="s">
        <v>27</v>
      </c>
      <c r="G22723" s="33" t="s">
        <v>20</v>
      </c>
      <c r="H22723" s="35">
        <v>28</v>
      </c>
      <c r="I22723" s="33" t="s">
        <v>21</v>
      </c>
      <c r="J22723" s="42">
        <v>45765</v>
      </c>
      <c r="K22723" s="33" t="s">
        <v>22</v>
      </c>
    </row>
    <row r="22724" spans="1:11">
      <c r="A22724" s="30" t="s">
        <v>50231</v>
      </c>
      <c r="B22724" s="30" t="s">
        <v>50232</v>
      </c>
      <c r="C22724" s="30" t="s">
        <v>1039</v>
      </c>
      <c r="D22724" s="30" t="s">
        <v>17</v>
      </c>
      <c r="E22724" s="30" t="s">
        <v>67</v>
      </c>
      <c r="F22724" s="30" t="s">
        <v>68</v>
      </c>
      <c r="G22724" s="30" t="s">
        <v>140</v>
      </c>
      <c r="H22724" s="32">
        <v>15</v>
      </c>
      <c r="I22724" s="30" t="s">
        <v>51</v>
      </c>
      <c r="J22724" s="41">
        <v>45941</v>
      </c>
      <c r="K22724" s="30" t="s">
        <v>22</v>
      </c>
    </row>
    <row r="22725" spans="1:11">
      <c r="A22725" s="33" t="s">
        <v>50233</v>
      </c>
      <c r="B22725" s="33" t="s">
        <v>50234</v>
      </c>
      <c r="C22725" s="33" t="s">
        <v>3210</v>
      </c>
      <c r="D22725" s="33" t="s">
        <v>17</v>
      </c>
      <c r="E22725" s="33" t="s">
        <v>18</v>
      </c>
      <c r="F22725" s="33" t="s">
        <v>19</v>
      </c>
      <c r="G22725" s="33" t="s">
        <v>7780</v>
      </c>
      <c r="H22725" s="35">
        <v>120</v>
      </c>
      <c r="I22725" s="33" t="s">
        <v>51</v>
      </c>
      <c r="J22725" s="42">
        <v>45863</v>
      </c>
      <c r="K22725" s="33" t="s">
        <v>22</v>
      </c>
    </row>
    <row r="22726" spans="1:11">
      <c r="A22726" s="30" t="s">
        <v>50235</v>
      </c>
      <c r="B22726" s="30" t="s">
        <v>50236</v>
      </c>
      <c r="C22726" s="30" t="s">
        <v>3944</v>
      </c>
      <c r="D22726" s="30" t="s">
        <v>17</v>
      </c>
      <c r="E22726" s="30" t="s">
        <v>26</v>
      </c>
      <c r="F22726" s="30" t="s">
        <v>27</v>
      </c>
      <c r="G22726" s="30" t="s">
        <v>140</v>
      </c>
      <c r="H22726" s="32">
        <v>108</v>
      </c>
      <c r="I22726" s="30" t="s">
        <v>51</v>
      </c>
      <c r="J22726" s="41">
        <v>45912</v>
      </c>
      <c r="K22726" s="30" t="s">
        <v>22</v>
      </c>
    </row>
    <row r="22727" spans="1:11">
      <c r="A22727" s="33" t="s">
        <v>50237</v>
      </c>
      <c r="B22727" s="33" t="s">
        <v>50238</v>
      </c>
      <c r="C22727" s="33" t="s">
        <v>93</v>
      </c>
      <c r="D22727" s="33" t="s">
        <v>17</v>
      </c>
      <c r="E22727" s="33" t="s">
        <v>18</v>
      </c>
      <c r="F22727" s="33" t="s">
        <v>19</v>
      </c>
      <c r="G22727" s="33" t="s">
        <v>140</v>
      </c>
      <c r="H22727" s="35">
        <v>420</v>
      </c>
      <c r="I22727" s="33" t="s">
        <v>51</v>
      </c>
      <c r="J22727" s="42">
        <v>45701</v>
      </c>
      <c r="K22727" s="33" t="s">
        <v>22</v>
      </c>
    </row>
    <row r="22728" spans="1:11">
      <c r="A22728" s="30" t="s">
        <v>50239</v>
      </c>
      <c r="B22728" s="30" t="s">
        <v>50240</v>
      </c>
      <c r="C22728" s="30" t="s">
        <v>5652</v>
      </c>
      <c r="D22728" s="30" t="s">
        <v>17</v>
      </c>
      <c r="E22728" s="30" t="s">
        <v>18</v>
      </c>
      <c r="F22728" s="30" t="s">
        <v>19</v>
      </c>
      <c r="G22728" s="30" t="s">
        <v>140</v>
      </c>
      <c r="H22728" s="32">
        <v>250</v>
      </c>
      <c r="I22728" s="30" t="s">
        <v>51</v>
      </c>
      <c r="J22728" s="41">
        <v>45931</v>
      </c>
      <c r="K22728" s="30" t="s">
        <v>22</v>
      </c>
    </row>
    <row r="22729" spans="1:11">
      <c r="A22729" s="33" t="s">
        <v>50241</v>
      </c>
      <c r="B22729" s="33" t="s">
        <v>50242</v>
      </c>
      <c r="C22729" s="33" t="s">
        <v>1428</v>
      </c>
      <c r="D22729" s="33" t="s">
        <v>17</v>
      </c>
      <c r="E22729" s="33" t="s">
        <v>67</v>
      </c>
      <c r="F22729" s="33" t="s">
        <v>68</v>
      </c>
      <c r="G22729" s="33" t="s">
        <v>140</v>
      </c>
      <c r="H22729" s="35">
        <v>480</v>
      </c>
      <c r="I22729" s="33" t="s">
        <v>51</v>
      </c>
      <c r="J22729" s="42">
        <v>45694</v>
      </c>
      <c r="K22729" s="33" t="s">
        <v>22</v>
      </c>
    </row>
    <row r="22730" spans="1:11">
      <c r="A22730" s="30" t="s">
        <v>50243</v>
      </c>
      <c r="B22730" s="30" t="s">
        <v>50244</v>
      </c>
      <c r="C22730" s="30" t="s">
        <v>46888</v>
      </c>
      <c r="D22730" s="30" t="s">
        <v>17</v>
      </c>
      <c r="E22730" s="30" t="s">
        <v>26</v>
      </c>
      <c r="F22730" s="30" t="s">
        <v>27</v>
      </c>
      <c r="G22730" s="30" t="s">
        <v>140</v>
      </c>
      <c r="H22730" s="32">
        <v>165</v>
      </c>
      <c r="I22730" s="30" t="s">
        <v>51</v>
      </c>
      <c r="J22730" s="41">
        <v>45923</v>
      </c>
      <c r="K22730" s="30" t="s">
        <v>22</v>
      </c>
    </row>
    <row r="22731" spans="1:11">
      <c r="A22731" s="33" t="s">
        <v>50245</v>
      </c>
      <c r="B22731" s="33" t="s">
        <v>50246</v>
      </c>
      <c r="C22731" s="33" t="s">
        <v>450</v>
      </c>
      <c r="D22731" s="33" t="s">
        <v>17</v>
      </c>
      <c r="E22731" s="33" t="s">
        <v>212</v>
      </c>
      <c r="F22731" s="33" t="s">
        <v>213</v>
      </c>
      <c r="G22731" s="33" t="s">
        <v>140</v>
      </c>
      <c r="H22731" s="35">
        <v>20</v>
      </c>
      <c r="I22731" s="33" t="s">
        <v>51</v>
      </c>
      <c r="J22731" s="42">
        <v>46010</v>
      </c>
      <c r="K22731" s="33" t="s">
        <v>22</v>
      </c>
    </row>
    <row r="22732" spans="1:11">
      <c r="A22732" s="30" t="s">
        <v>50247</v>
      </c>
      <c r="B22732" s="30" t="s">
        <v>50248</v>
      </c>
      <c r="C22732" s="30" t="s">
        <v>136</v>
      </c>
      <c r="D22732" s="30" t="s">
        <v>17</v>
      </c>
      <c r="E22732" s="30" t="s">
        <v>18</v>
      </c>
      <c r="F22732" s="30" t="s">
        <v>19</v>
      </c>
      <c r="G22732" s="30" t="s">
        <v>140</v>
      </c>
      <c r="H22732" s="32">
        <v>450</v>
      </c>
      <c r="I22732" s="30" t="s">
        <v>51</v>
      </c>
      <c r="J22732" s="41">
        <v>46003</v>
      </c>
      <c r="K22732" s="30" t="s">
        <v>22</v>
      </c>
    </row>
    <row r="22733" spans="1:11">
      <c r="A22733" s="33" t="s">
        <v>50249</v>
      </c>
      <c r="B22733" s="33" t="s">
        <v>50250</v>
      </c>
      <c r="C22733" s="33" t="s">
        <v>252</v>
      </c>
      <c r="D22733" s="33" t="s">
        <v>17</v>
      </c>
      <c r="E22733" s="33" t="s">
        <v>31</v>
      </c>
      <c r="F22733" s="33" t="s">
        <v>32</v>
      </c>
      <c r="G22733" s="33" t="s">
        <v>140</v>
      </c>
      <c r="H22733" s="35">
        <v>180</v>
      </c>
      <c r="I22733" s="33" t="s">
        <v>51</v>
      </c>
      <c r="J22733" s="42">
        <v>45959</v>
      </c>
      <c r="K22733" s="33" t="s">
        <v>22</v>
      </c>
    </row>
    <row r="22734" spans="1:11">
      <c r="A22734" s="30" t="s">
        <v>50251</v>
      </c>
      <c r="B22734" s="30" t="s">
        <v>50252</v>
      </c>
      <c r="C22734" s="30" t="s">
        <v>187</v>
      </c>
      <c r="D22734" s="30" t="s">
        <v>17</v>
      </c>
      <c r="E22734" s="30" t="s">
        <v>26</v>
      </c>
      <c r="F22734" s="30" t="s">
        <v>27</v>
      </c>
      <c r="G22734" s="30" t="s">
        <v>20</v>
      </c>
      <c r="H22734" s="32">
        <v>48</v>
      </c>
      <c r="I22734" s="30" t="s">
        <v>21</v>
      </c>
      <c r="J22734" s="41">
        <v>45699</v>
      </c>
      <c r="K22734" s="30" t="s">
        <v>22</v>
      </c>
    </row>
    <row r="22735" spans="1:11">
      <c r="A22735" s="33" t="s">
        <v>50253</v>
      </c>
      <c r="B22735" s="33" t="s">
        <v>50254</v>
      </c>
      <c r="C22735" s="33" t="s">
        <v>4788</v>
      </c>
      <c r="D22735" s="33" t="s">
        <v>17</v>
      </c>
      <c r="E22735" s="33" t="s">
        <v>26</v>
      </c>
      <c r="F22735" s="33" t="s">
        <v>27</v>
      </c>
      <c r="G22735" s="33" t="s">
        <v>158</v>
      </c>
      <c r="H22735" s="35">
        <v>9</v>
      </c>
      <c r="I22735" s="33" t="s">
        <v>51</v>
      </c>
      <c r="J22735" s="42">
        <v>45833</v>
      </c>
      <c r="K22735" s="33" t="s">
        <v>22</v>
      </c>
    </row>
    <row r="22736" spans="1:11">
      <c r="A22736" s="30" t="s">
        <v>50255</v>
      </c>
      <c r="B22736" s="30" t="s">
        <v>50256</v>
      </c>
      <c r="C22736" s="30" t="s">
        <v>310</v>
      </c>
      <c r="D22736" s="30" t="s">
        <v>17</v>
      </c>
      <c r="E22736" s="30" t="s">
        <v>26</v>
      </c>
      <c r="F22736" s="30" t="s">
        <v>27</v>
      </c>
      <c r="G22736" s="30" t="s">
        <v>140</v>
      </c>
      <c r="H22736" s="32">
        <v>80</v>
      </c>
      <c r="I22736" s="30" t="s">
        <v>51</v>
      </c>
      <c r="J22736" s="41">
        <v>45926</v>
      </c>
      <c r="K22736" s="30" t="s">
        <v>22</v>
      </c>
    </row>
    <row r="22737" spans="1:11">
      <c r="A22737" s="33" t="s">
        <v>50257</v>
      </c>
      <c r="B22737" s="33" t="s">
        <v>50258</v>
      </c>
      <c r="C22737" s="33" t="s">
        <v>47722</v>
      </c>
      <c r="D22737" s="33" t="s">
        <v>17</v>
      </c>
      <c r="E22737" s="33" t="s">
        <v>31</v>
      </c>
      <c r="F22737" s="33" t="s">
        <v>32</v>
      </c>
      <c r="G22737" s="33" t="s">
        <v>20</v>
      </c>
      <c r="H22737" s="35">
        <v>205</v>
      </c>
      <c r="I22737" s="33" t="s">
        <v>21</v>
      </c>
      <c r="J22737" s="42">
        <v>45730</v>
      </c>
      <c r="K22737" s="33" t="s">
        <v>22</v>
      </c>
    </row>
    <row r="22738" spans="1:11">
      <c r="A22738" s="30" t="s">
        <v>50259</v>
      </c>
      <c r="B22738" s="30" t="s">
        <v>50260</v>
      </c>
      <c r="C22738" s="30" t="s">
        <v>37850</v>
      </c>
      <c r="D22738" s="30" t="s">
        <v>17</v>
      </c>
      <c r="E22738" s="30" t="s">
        <v>31</v>
      </c>
      <c r="F22738" s="30" t="s">
        <v>32</v>
      </c>
      <c r="G22738" s="30" t="s">
        <v>140</v>
      </c>
      <c r="H22738" s="32">
        <v>60</v>
      </c>
      <c r="I22738" s="30" t="s">
        <v>51</v>
      </c>
      <c r="J22738" s="41">
        <v>45823</v>
      </c>
      <c r="K22738" s="30" t="s">
        <v>22</v>
      </c>
    </row>
    <row r="22739" spans="1:11">
      <c r="A22739" s="33" t="s">
        <v>50261</v>
      </c>
      <c r="B22739" s="33" t="s">
        <v>50262</v>
      </c>
      <c r="C22739" s="33" t="s">
        <v>3439</v>
      </c>
      <c r="D22739" s="33" t="s">
        <v>17</v>
      </c>
      <c r="E22739" s="33" t="s">
        <v>26</v>
      </c>
      <c r="F22739" s="33" t="s">
        <v>27</v>
      </c>
      <c r="G22739" s="33" t="s">
        <v>140</v>
      </c>
      <c r="H22739" s="35">
        <v>120</v>
      </c>
      <c r="I22739" s="33" t="s">
        <v>51</v>
      </c>
      <c r="J22739" s="42">
        <v>45720</v>
      </c>
      <c r="K22739" s="33" t="s">
        <v>22</v>
      </c>
    </row>
    <row r="22740" spans="1:11">
      <c r="A22740" s="30" t="s">
        <v>50263</v>
      </c>
      <c r="B22740" s="30" t="s">
        <v>50264</v>
      </c>
      <c r="C22740" s="30" t="s">
        <v>969</v>
      </c>
      <c r="D22740" s="30" t="s">
        <v>17</v>
      </c>
      <c r="E22740" s="30" t="s">
        <v>212</v>
      </c>
      <c r="F22740" s="30" t="s">
        <v>213</v>
      </c>
      <c r="G22740" s="30" t="s">
        <v>7780</v>
      </c>
      <c r="H22740" s="32">
        <v>100</v>
      </c>
      <c r="I22740" s="30" t="s">
        <v>51</v>
      </c>
      <c r="J22740" s="41">
        <v>45853</v>
      </c>
      <c r="K22740" s="30" t="s">
        <v>22</v>
      </c>
    </row>
    <row r="22741" spans="1:11">
      <c r="A22741" s="33" t="s">
        <v>50265</v>
      </c>
      <c r="B22741" s="33" t="s">
        <v>50266</v>
      </c>
      <c r="C22741" s="33" t="s">
        <v>8554</v>
      </c>
      <c r="D22741" s="33" t="s">
        <v>17</v>
      </c>
      <c r="E22741" s="33" t="s">
        <v>26</v>
      </c>
      <c r="F22741" s="33" t="s">
        <v>27</v>
      </c>
      <c r="G22741" s="33" t="s">
        <v>140</v>
      </c>
      <c r="H22741" s="35">
        <v>64</v>
      </c>
      <c r="I22741" s="33" t="s">
        <v>51</v>
      </c>
      <c r="J22741" s="42">
        <v>45918</v>
      </c>
      <c r="K22741" s="33" t="s">
        <v>22</v>
      </c>
    </row>
    <row r="22742" spans="1:11">
      <c r="A22742" s="30" t="s">
        <v>50267</v>
      </c>
      <c r="B22742" s="30" t="s">
        <v>50268</v>
      </c>
      <c r="C22742" s="30" t="s">
        <v>130</v>
      </c>
      <c r="D22742" s="30" t="s">
        <v>17</v>
      </c>
      <c r="E22742" s="30" t="s">
        <v>26</v>
      </c>
      <c r="F22742" s="30" t="s">
        <v>27</v>
      </c>
      <c r="G22742" s="30" t="s">
        <v>140</v>
      </c>
      <c r="H22742" s="32">
        <v>120</v>
      </c>
      <c r="I22742" s="30" t="s">
        <v>51</v>
      </c>
      <c r="J22742" s="41">
        <v>45931</v>
      </c>
      <c r="K22742" s="30" t="s">
        <v>22</v>
      </c>
    </row>
    <row r="22743" spans="1:11">
      <c r="A22743" s="33" t="s">
        <v>50269</v>
      </c>
      <c r="B22743" s="33" t="s">
        <v>50270</v>
      </c>
      <c r="C22743" s="33" t="s">
        <v>50271</v>
      </c>
      <c r="D22743" s="33" t="s">
        <v>17</v>
      </c>
      <c r="E22743" s="33" t="s">
        <v>26</v>
      </c>
      <c r="F22743" s="33" t="s">
        <v>27</v>
      </c>
      <c r="G22743" s="33" t="s">
        <v>140</v>
      </c>
      <c r="H22743" s="35">
        <v>10</v>
      </c>
      <c r="I22743" s="33" t="s">
        <v>51</v>
      </c>
      <c r="J22743" s="42">
        <v>45664</v>
      </c>
      <c r="K22743" s="33" t="s">
        <v>22</v>
      </c>
    </row>
    <row r="22744" spans="1:11">
      <c r="A22744" s="30" t="s">
        <v>50272</v>
      </c>
      <c r="B22744" s="30" t="s">
        <v>50273</v>
      </c>
      <c r="C22744" s="30" t="s">
        <v>136</v>
      </c>
      <c r="D22744" s="30" t="s">
        <v>17</v>
      </c>
      <c r="E22744" s="30" t="s">
        <v>26</v>
      </c>
      <c r="F22744" s="30" t="s">
        <v>27</v>
      </c>
      <c r="G22744" s="30" t="s">
        <v>20</v>
      </c>
      <c r="H22744" s="32">
        <v>36</v>
      </c>
      <c r="I22744" s="30" t="s">
        <v>21</v>
      </c>
      <c r="J22744" s="41">
        <v>45863</v>
      </c>
      <c r="K22744" s="30" t="s">
        <v>22</v>
      </c>
    </row>
    <row r="22745" spans="1:11">
      <c r="A22745" s="33" t="s">
        <v>50274</v>
      </c>
      <c r="B22745" s="33" t="s">
        <v>50275</v>
      </c>
      <c r="C22745" s="33" t="s">
        <v>50276</v>
      </c>
      <c r="D22745" s="33" t="s">
        <v>17</v>
      </c>
      <c r="E22745" s="33" t="s">
        <v>26</v>
      </c>
      <c r="F22745" s="33" t="s">
        <v>27</v>
      </c>
      <c r="G22745" s="33" t="s">
        <v>7780</v>
      </c>
      <c r="H22745" s="35">
        <v>20</v>
      </c>
      <c r="I22745" s="33" t="s">
        <v>51</v>
      </c>
      <c r="J22745" s="42">
        <v>45931</v>
      </c>
      <c r="K22745" s="33" t="s">
        <v>22</v>
      </c>
    </row>
    <row r="22746" spans="1:11">
      <c r="A22746" s="30" t="s">
        <v>50277</v>
      </c>
      <c r="B22746" s="30" t="s">
        <v>50278</v>
      </c>
      <c r="C22746" s="30" t="s">
        <v>11899</v>
      </c>
      <c r="D22746" s="30" t="s">
        <v>17</v>
      </c>
      <c r="E22746" s="30" t="s">
        <v>31</v>
      </c>
      <c r="F22746" s="30" t="s">
        <v>32</v>
      </c>
      <c r="G22746" s="30" t="s">
        <v>140</v>
      </c>
      <c r="H22746" s="32">
        <v>300</v>
      </c>
      <c r="I22746" s="30" t="s">
        <v>51</v>
      </c>
      <c r="J22746" s="41">
        <v>45723</v>
      </c>
      <c r="K22746" s="30" t="s">
        <v>22</v>
      </c>
    </row>
    <row r="22747" spans="1:11">
      <c r="A22747" s="33" t="s">
        <v>50279</v>
      </c>
      <c r="B22747" s="33" t="s">
        <v>50280</v>
      </c>
      <c r="C22747" s="33" t="s">
        <v>124</v>
      </c>
      <c r="D22747" s="33" t="s">
        <v>17</v>
      </c>
      <c r="E22747" s="33" t="s">
        <v>31</v>
      </c>
      <c r="F22747" s="33" t="s">
        <v>32</v>
      </c>
      <c r="G22747" s="33" t="s">
        <v>140</v>
      </c>
      <c r="H22747" s="35">
        <v>105</v>
      </c>
      <c r="I22747" s="33" t="s">
        <v>51</v>
      </c>
      <c r="J22747" s="42">
        <v>45979</v>
      </c>
      <c r="K22747" s="33" t="s">
        <v>22</v>
      </c>
    </row>
    <row r="22748" spans="1:11">
      <c r="A22748" s="30" t="s">
        <v>50281</v>
      </c>
      <c r="B22748" s="30" t="s">
        <v>50282</v>
      </c>
      <c r="C22748" s="30" t="s">
        <v>23929</v>
      </c>
      <c r="D22748" s="30" t="s">
        <v>17</v>
      </c>
      <c r="E22748" s="30" t="s">
        <v>26</v>
      </c>
      <c r="F22748" s="30" t="s">
        <v>27</v>
      </c>
      <c r="G22748" s="30" t="s">
        <v>20</v>
      </c>
      <c r="H22748" s="32">
        <v>16</v>
      </c>
      <c r="I22748" s="30" t="s">
        <v>21</v>
      </c>
      <c r="J22748" s="41">
        <v>45915</v>
      </c>
      <c r="K22748" s="30" t="s">
        <v>22</v>
      </c>
    </row>
    <row r="22749" spans="1:11">
      <c r="A22749" s="33" t="s">
        <v>50283</v>
      </c>
      <c r="B22749" s="33" t="s">
        <v>50284</v>
      </c>
      <c r="C22749" s="33" t="s">
        <v>60</v>
      </c>
      <c r="D22749" s="33" t="s">
        <v>17</v>
      </c>
      <c r="E22749" s="33" t="s">
        <v>26</v>
      </c>
      <c r="F22749" s="33" t="s">
        <v>27</v>
      </c>
      <c r="G22749" s="33" t="s">
        <v>140</v>
      </c>
      <c r="H22749" s="35">
        <v>128</v>
      </c>
      <c r="I22749" s="33" t="s">
        <v>51</v>
      </c>
      <c r="J22749" s="42">
        <v>46000</v>
      </c>
      <c r="K22749" s="33" t="s">
        <v>22</v>
      </c>
    </row>
    <row r="22750" spans="1:11">
      <c r="A22750" s="30" t="s">
        <v>50285</v>
      </c>
      <c r="B22750" s="30" t="s">
        <v>50286</v>
      </c>
      <c r="C22750" s="30" t="s">
        <v>15914</v>
      </c>
      <c r="D22750" s="30" t="s">
        <v>17</v>
      </c>
      <c r="E22750" s="30" t="s">
        <v>18</v>
      </c>
      <c r="F22750" s="30" t="s">
        <v>19</v>
      </c>
      <c r="G22750" s="30" t="s">
        <v>140</v>
      </c>
      <c r="H22750" s="32">
        <v>84</v>
      </c>
      <c r="I22750" s="30" t="s">
        <v>51</v>
      </c>
      <c r="J22750" s="41">
        <v>45866</v>
      </c>
      <c r="K22750" s="30" t="s">
        <v>22</v>
      </c>
    </row>
    <row r="22751" spans="1:11">
      <c r="A22751" s="33" t="s">
        <v>50287</v>
      </c>
      <c r="B22751" s="33" t="s">
        <v>50288</v>
      </c>
      <c r="C22751" s="33" t="s">
        <v>32885</v>
      </c>
      <c r="D22751" s="33" t="s">
        <v>17</v>
      </c>
      <c r="E22751" s="33" t="s">
        <v>26</v>
      </c>
      <c r="F22751" s="33" t="s">
        <v>27</v>
      </c>
      <c r="G22751" s="33" t="s">
        <v>20</v>
      </c>
      <c r="H22751" s="35">
        <v>26</v>
      </c>
      <c r="I22751" s="33" t="s">
        <v>21</v>
      </c>
      <c r="J22751" s="42">
        <v>45775</v>
      </c>
      <c r="K22751" s="33" t="s">
        <v>22</v>
      </c>
    </row>
    <row r="22752" spans="1:11">
      <c r="A22752" s="30" t="s">
        <v>50289</v>
      </c>
      <c r="B22752" s="30" t="s">
        <v>50290</v>
      </c>
      <c r="C22752" s="30" t="s">
        <v>203</v>
      </c>
      <c r="D22752" s="30" t="s">
        <v>17</v>
      </c>
      <c r="E22752" s="30" t="s">
        <v>18</v>
      </c>
      <c r="F22752" s="30" t="s">
        <v>19</v>
      </c>
      <c r="G22752" s="30" t="s">
        <v>158</v>
      </c>
      <c r="H22752" s="32">
        <v>2360</v>
      </c>
      <c r="I22752" s="30" t="s">
        <v>21</v>
      </c>
      <c r="J22752" s="41">
        <v>45706</v>
      </c>
      <c r="K22752" s="30" t="s">
        <v>22</v>
      </c>
    </row>
    <row r="22753" spans="1:11">
      <c r="A22753" s="33" t="s">
        <v>50291</v>
      </c>
      <c r="B22753" s="33" t="s">
        <v>50292</v>
      </c>
      <c r="C22753" s="33" t="s">
        <v>310</v>
      </c>
      <c r="D22753" s="33" t="s">
        <v>17</v>
      </c>
      <c r="E22753" s="33" t="s">
        <v>26</v>
      </c>
      <c r="F22753" s="33" t="s">
        <v>27</v>
      </c>
      <c r="G22753" s="33" t="s">
        <v>140</v>
      </c>
      <c r="H22753" s="35">
        <v>72</v>
      </c>
      <c r="I22753" s="33" t="s">
        <v>51</v>
      </c>
      <c r="J22753" s="42">
        <v>45986</v>
      </c>
      <c r="K22753" s="33" t="s">
        <v>22</v>
      </c>
    </row>
    <row r="22754" spans="1:11">
      <c r="A22754" s="30" t="s">
        <v>50293</v>
      </c>
      <c r="B22754" s="30" t="s">
        <v>50294</v>
      </c>
      <c r="C22754" s="30" t="s">
        <v>252</v>
      </c>
      <c r="D22754" s="30" t="s">
        <v>17</v>
      </c>
      <c r="E22754" s="30" t="s">
        <v>26</v>
      </c>
      <c r="F22754" s="30" t="s">
        <v>27</v>
      </c>
      <c r="G22754" s="30" t="s">
        <v>7780</v>
      </c>
      <c r="H22754" s="32">
        <v>108</v>
      </c>
      <c r="I22754" s="30" t="s">
        <v>51</v>
      </c>
      <c r="J22754" s="41">
        <v>45992</v>
      </c>
      <c r="K22754" s="30" t="s">
        <v>22</v>
      </c>
    </row>
    <row r="22755" spans="1:11">
      <c r="A22755" s="33" t="s">
        <v>50295</v>
      </c>
      <c r="B22755" s="33" t="s">
        <v>50296</v>
      </c>
      <c r="C22755" s="33" t="s">
        <v>32278</v>
      </c>
      <c r="D22755" s="33" t="s">
        <v>17</v>
      </c>
      <c r="E22755" s="33" t="s">
        <v>330</v>
      </c>
      <c r="F22755" s="33" t="s">
        <v>331</v>
      </c>
      <c r="G22755" s="33" t="s">
        <v>7780</v>
      </c>
      <c r="H22755" s="35">
        <v>15</v>
      </c>
      <c r="I22755" s="33" t="s">
        <v>51</v>
      </c>
      <c r="J22755" s="42">
        <v>45866</v>
      </c>
      <c r="K22755" s="33" t="s">
        <v>22</v>
      </c>
    </row>
    <row r="22756" spans="1:11">
      <c r="A22756" s="30" t="s">
        <v>50297</v>
      </c>
      <c r="B22756" s="30" t="s">
        <v>50298</v>
      </c>
      <c r="C22756" s="30" t="s">
        <v>50299</v>
      </c>
      <c r="D22756" s="30" t="s">
        <v>17</v>
      </c>
      <c r="E22756" s="30" t="s">
        <v>330</v>
      </c>
      <c r="F22756" s="30" t="s">
        <v>331</v>
      </c>
      <c r="G22756" s="30" t="s">
        <v>140</v>
      </c>
      <c r="H22756" s="32">
        <v>18</v>
      </c>
      <c r="I22756" s="30" t="s">
        <v>51</v>
      </c>
      <c r="J22756" s="41">
        <v>46022</v>
      </c>
      <c r="K22756" s="30" t="s">
        <v>22</v>
      </c>
    </row>
    <row r="22757" spans="1:11">
      <c r="A22757" s="33" t="s">
        <v>50300</v>
      </c>
      <c r="B22757" s="33" t="s">
        <v>50301</v>
      </c>
      <c r="C22757" s="33" t="s">
        <v>3757</v>
      </c>
      <c r="D22757" s="33" t="s">
        <v>17</v>
      </c>
      <c r="E22757" s="33" t="s">
        <v>18</v>
      </c>
      <c r="F22757" s="33" t="s">
        <v>19</v>
      </c>
      <c r="G22757" s="33" t="s">
        <v>140</v>
      </c>
      <c r="H22757" s="35">
        <v>342</v>
      </c>
      <c r="I22757" s="33" t="s">
        <v>51</v>
      </c>
      <c r="J22757" s="42">
        <v>45715</v>
      </c>
      <c r="K22757" s="33" t="s">
        <v>22</v>
      </c>
    </row>
    <row r="22758" spans="1:11">
      <c r="A22758" s="30" t="s">
        <v>50302</v>
      </c>
      <c r="B22758" s="30" t="s">
        <v>50303</v>
      </c>
      <c r="C22758" s="30" t="s">
        <v>41095</v>
      </c>
      <c r="D22758" s="30" t="s">
        <v>17</v>
      </c>
      <c r="E22758" s="30" t="s">
        <v>31</v>
      </c>
      <c r="F22758" s="30" t="s">
        <v>32</v>
      </c>
      <c r="G22758" s="30" t="s">
        <v>140</v>
      </c>
      <c r="H22758" s="32">
        <v>15</v>
      </c>
      <c r="I22758" s="30" t="s">
        <v>51</v>
      </c>
      <c r="J22758" s="41">
        <v>45917</v>
      </c>
      <c r="K22758" s="30" t="s">
        <v>22</v>
      </c>
    </row>
    <row r="22759" spans="1:11">
      <c r="A22759" s="33" t="s">
        <v>50304</v>
      </c>
      <c r="B22759" s="33" t="s">
        <v>50305</v>
      </c>
      <c r="C22759" s="33" t="s">
        <v>698</v>
      </c>
      <c r="D22759" s="33" t="s">
        <v>17</v>
      </c>
      <c r="E22759" s="33" t="s">
        <v>18</v>
      </c>
      <c r="F22759" s="33" t="s">
        <v>19</v>
      </c>
      <c r="G22759" s="33" t="s">
        <v>140</v>
      </c>
      <c r="H22759" s="35">
        <v>350</v>
      </c>
      <c r="I22759" s="33" t="s">
        <v>51</v>
      </c>
      <c r="J22759" s="42">
        <v>45750</v>
      </c>
      <c r="K22759" s="33" t="s">
        <v>22</v>
      </c>
    </row>
    <row r="22760" spans="1:11">
      <c r="A22760" s="30" t="s">
        <v>50306</v>
      </c>
      <c r="B22760" s="30" t="s">
        <v>50307</v>
      </c>
      <c r="C22760" s="30" t="s">
        <v>50308</v>
      </c>
      <c r="D22760" s="30" t="s">
        <v>17</v>
      </c>
      <c r="E22760" s="30" t="s">
        <v>330</v>
      </c>
      <c r="F22760" s="30" t="s">
        <v>331</v>
      </c>
      <c r="G22760" s="30" t="s">
        <v>140</v>
      </c>
      <c r="H22760" s="32">
        <v>24</v>
      </c>
      <c r="I22760" s="30" t="s">
        <v>51</v>
      </c>
      <c r="J22760" s="41">
        <v>46006</v>
      </c>
      <c r="K22760" s="30" t="s">
        <v>22</v>
      </c>
    </row>
    <row r="22761" spans="1:11">
      <c r="A22761" s="33" t="s">
        <v>50309</v>
      </c>
      <c r="B22761" s="33" t="s">
        <v>50310</v>
      </c>
      <c r="C22761" s="33" t="s">
        <v>4056</v>
      </c>
      <c r="D22761" s="33" t="s">
        <v>17</v>
      </c>
      <c r="E22761" s="33" t="s">
        <v>26</v>
      </c>
      <c r="F22761" s="33" t="s">
        <v>27</v>
      </c>
      <c r="G22761" s="33" t="s">
        <v>20</v>
      </c>
      <c r="H22761" s="35">
        <v>43</v>
      </c>
      <c r="I22761" s="33" t="s">
        <v>21</v>
      </c>
      <c r="J22761" s="42">
        <v>45692</v>
      </c>
      <c r="K22761" s="33" t="s">
        <v>22</v>
      </c>
    </row>
    <row r="22762" spans="1:11">
      <c r="A22762" s="30" t="s">
        <v>50311</v>
      </c>
      <c r="B22762" s="30" t="s">
        <v>36994</v>
      </c>
      <c r="C22762" s="30" t="s">
        <v>15917</v>
      </c>
      <c r="D22762" s="30" t="s">
        <v>17</v>
      </c>
      <c r="E22762" s="30" t="s">
        <v>18</v>
      </c>
      <c r="F22762" s="30" t="s">
        <v>19</v>
      </c>
      <c r="G22762" s="30" t="s">
        <v>140</v>
      </c>
      <c r="H22762" s="32">
        <v>408</v>
      </c>
      <c r="I22762" s="30" t="s">
        <v>51</v>
      </c>
      <c r="J22762" s="41">
        <v>45903</v>
      </c>
      <c r="K22762" s="30" t="s">
        <v>22</v>
      </c>
    </row>
    <row r="22763" spans="1:11">
      <c r="A22763" s="33" t="s">
        <v>50312</v>
      </c>
      <c r="B22763" s="33" t="s">
        <v>50313</v>
      </c>
      <c r="C22763" s="33" t="s">
        <v>29833</v>
      </c>
      <c r="D22763" s="33" t="s">
        <v>17</v>
      </c>
      <c r="E22763" s="33" t="s">
        <v>31</v>
      </c>
      <c r="F22763" s="33" t="s">
        <v>32</v>
      </c>
      <c r="G22763" s="33" t="s">
        <v>140</v>
      </c>
      <c r="H22763" s="35">
        <v>90</v>
      </c>
      <c r="I22763" s="33" t="s">
        <v>51</v>
      </c>
      <c r="J22763" s="42">
        <v>45750</v>
      </c>
      <c r="K22763" s="33" t="s">
        <v>22</v>
      </c>
    </row>
    <row r="22764" spans="1:11">
      <c r="A22764" s="30" t="s">
        <v>50314</v>
      </c>
      <c r="B22764" s="30" t="s">
        <v>50315</v>
      </c>
      <c r="C22764" s="30" t="s">
        <v>25572</v>
      </c>
      <c r="D22764" s="30" t="s">
        <v>17</v>
      </c>
      <c r="E22764" s="30" t="s">
        <v>18</v>
      </c>
      <c r="F22764" s="30" t="s">
        <v>19</v>
      </c>
      <c r="G22764" s="30" t="s">
        <v>112</v>
      </c>
      <c r="H22764" s="32">
        <v>0</v>
      </c>
      <c r="I22764" s="30" t="s">
        <v>21</v>
      </c>
      <c r="J22764" s="41">
        <v>45778</v>
      </c>
      <c r="K22764" s="30" t="s">
        <v>22</v>
      </c>
    </row>
    <row r="22765" spans="1:11">
      <c r="A22765" s="33" t="s">
        <v>50316</v>
      </c>
      <c r="B22765" s="33" t="s">
        <v>50317</v>
      </c>
      <c r="C22765" s="33" t="s">
        <v>149</v>
      </c>
      <c r="D22765" s="33" t="s">
        <v>17</v>
      </c>
      <c r="E22765" s="33" t="s">
        <v>18</v>
      </c>
      <c r="F22765" s="33" t="s">
        <v>19</v>
      </c>
      <c r="G22765" s="33" t="s">
        <v>140</v>
      </c>
      <c r="H22765" s="35">
        <v>300</v>
      </c>
      <c r="I22765" s="33" t="s">
        <v>51</v>
      </c>
      <c r="J22765" s="42">
        <v>45729</v>
      </c>
      <c r="K22765" s="33" t="s">
        <v>22</v>
      </c>
    </row>
    <row r="22766" spans="1:11">
      <c r="A22766" s="30" t="s">
        <v>50318</v>
      </c>
      <c r="B22766" s="30" t="s">
        <v>50319</v>
      </c>
      <c r="C22766" s="30" t="s">
        <v>1770</v>
      </c>
      <c r="D22766" s="30" t="s">
        <v>17</v>
      </c>
      <c r="E22766" s="30" t="s">
        <v>26</v>
      </c>
      <c r="F22766" s="30" t="s">
        <v>27</v>
      </c>
      <c r="G22766" s="30" t="s">
        <v>140</v>
      </c>
      <c r="H22766" s="32">
        <v>108</v>
      </c>
      <c r="I22766" s="30" t="s">
        <v>51</v>
      </c>
      <c r="J22766" s="41">
        <v>45889</v>
      </c>
      <c r="K22766" s="30" t="s">
        <v>22</v>
      </c>
    </row>
    <row r="22767" spans="1:11">
      <c r="A22767" s="33" t="s">
        <v>50320</v>
      </c>
      <c r="B22767" s="33" t="s">
        <v>50321</v>
      </c>
      <c r="C22767" s="33" t="s">
        <v>32824</v>
      </c>
      <c r="D22767" s="33" t="s">
        <v>17</v>
      </c>
      <c r="E22767" s="33" t="s">
        <v>67</v>
      </c>
      <c r="F22767" s="33" t="s">
        <v>68</v>
      </c>
      <c r="G22767" s="33" t="s">
        <v>7780</v>
      </c>
      <c r="H22767" s="35">
        <v>318</v>
      </c>
      <c r="I22767" s="33" t="s">
        <v>51</v>
      </c>
      <c r="J22767" s="42">
        <v>45910</v>
      </c>
      <c r="K22767" s="33" t="s">
        <v>22</v>
      </c>
    </row>
    <row r="22768" spans="1:11">
      <c r="A22768" s="30" t="s">
        <v>50322</v>
      </c>
      <c r="B22768" s="30" t="s">
        <v>50323</v>
      </c>
      <c r="C22768" s="30" t="s">
        <v>60</v>
      </c>
      <c r="D22768" s="30" t="s">
        <v>17</v>
      </c>
      <c r="E22768" s="30" t="s">
        <v>26</v>
      </c>
      <c r="F22768" s="30" t="s">
        <v>27</v>
      </c>
      <c r="G22768" s="30" t="s">
        <v>20</v>
      </c>
      <c r="H22768" s="32">
        <v>74</v>
      </c>
      <c r="I22768" s="30" t="s">
        <v>21</v>
      </c>
      <c r="J22768" s="41">
        <v>45849</v>
      </c>
      <c r="K22768" s="30" t="s">
        <v>22</v>
      </c>
    </row>
    <row r="22769" spans="1:11">
      <c r="A22769" s="33" t="s">
        <v>50324</v>
      </c>
      <c r="B22769" s="33" t="s">
        <v>50325</v>
      </c>
      <c r="C22769" s="33" t="s">
        <v>190</v>
      </c>
      <c r="D22769" s="33" t="s">
        <v>17</v>
      </c>
      <c r="E22769" s="33" t="s">
        <v>212</v>
      </c>
      <c r="F22769" s="33" t="s">
        <v>213</v>
      </c>
      <c r="G22769" s="33" t="s">
        <v>140</v>
      </c>
      <c r="H22769" s="35">
        <v>60</v>
      </c>
      <c r="I22769" s="33" t="s">
        <v>51</v>
      </c>
      <c r="J22769" s="42">
        <v>45692</v>
      </c>
      <c r="K22769" s="33" t="s">
        <v>22</v>
      </c>
    </row>
    <row r="22770" spans="1:11">
      <c r="A22770" s="30" t="s">
        <v>50326</v>
      </c>
      <c r="B22770" s="30" t="s">
        <v>50327</v>
      </c>
      <c r="C22770" s="30" t="s">
        <v>1287</v>
      </c>
      <c r="D22770" s="30" t="s">
        <v>17</v>
      </c>
      <c r="E22770" s="30" t="s">
        <v>26</v>
      </c>
      <c r="F22770" s="30" t="s">
        <v>27</v>
      </c>
      <c r="G22770" s="30" t="s">
        <v>140</v>
      </c>
      <c r="H22770" s="32">
        <v>142</v>
      </c>
      <c r="I22770" s="30" t="s">
        <v>51</v>
      </c>
      <c r="J22770" s="41">
        <v>45937</v>
      </c>
      <c r="K22770" s="30" t="s">
        <v>22</v>
      </c>
    </row>
    <row r="22771" spans="1:11">
      <c r="A22771" s="33" t="s">
        <v>50328</v>
      </c>
      <c r="B22771" s="33" t="s">
        <v>50329</v>
      </c>
      <c r="C22771" s="33" t="s">
        <v>203</v>
      </c>
      <c r="D22771" s="33" t="s">
        <v>17</v>
      </c>
      <c r="E22771" s="33" t="s">
        <v>31</v>
      </c>
      <c r="F22771" s="33" t="s">
        <v>32</v>
      </c>
      <c r="G22771" s="33" t="s">
        <v>140</v>
      </c>
      <c r="H22771" s="35">
        <v>144</v>
      </c>
      <c r="I22771" s="33" t="s">
        <v>51</v>
      </c>
      <c r="J22771" s="42">
        <v>46020</v>
      </c>
      <c r="K22771" s="33" t="s">
        <v>22</v>
      </c>
    </row>
    <row r="22772" spans="1:11">
      <c r="A22772" s="30" t="s">
        <v>50330</v>
      </c>
      <c r="B22772" s="30" t="s">
        <v>50331</v>
      </c>
      <c r="C22772" s="30" t="s">
        <v>450</v>
      </c>
      <c r="D22772" s="30" t="s">
        <v>17</v>
      </c>
      <c r="E22772" s="30" t="s">
        <v>18</v>
      </c>
      <c r="F22772" s="30" t="s">
        <v>19</v>
      </c>
      <c r="G22772" s="30" t="s">
        <v>140</v>
      </c>
      <c r="H22772" s="32">
        <v>450</v>
      </c>
      <c r="I22772" s="30" t="s">
        <v>51</v>
      </c>
      <c r="J22772" s="41">
        <v>45796</v>
      </c>
      <c r="K22772" s="30" t="s">
        <v>22</v>
      </c>
    </row>
    <row r="22773" spans="1:11">
      <c r="A22773" s="33" t="s">
        <v>50332</v>
      </c>
      <c r="B22773" s="33" t="s">
        <v>50333</v>
      </c>
      <c r="C22773" s="33" t="s">
        <v>310</v>
      </c>
      <c r="D22773" s="33" t="s">
        <v>17</v>
      </c>
      <c r="E22773" s="33" t="s">
        <v>26</v>
      </c>
      <c r="F22773" s="33" t="s">
        <v>27</v>
      </c>
      <c r="G22773" s="33" t="s">
        <v>20</v>
      </c>
      <c r="H22773" s="35">
        <v>43</v>
      </c>
      <c r="I22773" s="33" t="s">
        <v>21</v>
      </c>
      <c r="J22773" s="42">
        <v>45686</v>
      </c>
      <c r="K22773" s="33" t="s">
        <v>22</v>
      </c>
    </row>
    <row r="22774" spans="1:11">
      <c r="A22774" s="30" t="s">
        <v>50334</v>
      </c>
      <c r="B22774" s="30" t="s">
        <v>50335</v>
      </c>
      <c r="C22774" s="30" t="s">
        <v>1598</v>
      </c>
      <c r="D22774" s="30" t="s">
        <v>17</v>
      </c>
      <c r="E22774" s="30" t="s">
        <v>18</v>
      </c>
      <c r="F22774" s="30" t="s">
        <v>19</v>
      </c>
      <c r="G22774" s="30" t="s">
        <v>158</v>
      </c>
      <c r="H22774" s="32">
        <v>479</v>
      </c>
      <c r="I22774" s="30" t="s">
        <v>21</v>
      </c>
      <c r="J22774" s="41">
        <v>45786</v>
      </c>
      <c r="K22774" s="30" t="s">
        <v>22</v>
      </c>
    </row>
    <row r="22775" spans="1:11">
      <c r="A22775" s="33" t="s">
        <v>50336</v>
      </c>
      <c r="B22775" s="33" t="s">
        <v>50337</v>
      </c>
      <c r="C22775" s="33" t="s">
        <v>3114</v>
      </c>
      <c r="D22775" s="33" t="s">
        <v>17</v>
      </c>
      <c r="E22775" s="33" t="s">
        <v>67</v>
      </c>
      <c r="F22775" s="33" t="s">
        <v>68</v>
      </c>
      <c r="G22775" s="33" t="s">
        <v>7780</v>
      </c>
      <c r="H22775" s="35">
        <v>30</v>
      </c>
      <c r="I22775" s="33" t="s">
        <v>51</v>
      </c>
      <c r="J22775" s="42">
        <v>45930</v>
      </c>
      <c r="K22775" s="33" t="s">
        <v>22</v>
      </c>
    </row>
    <row r="22776" spans="1:11">
      <c r="A22776" s="30" t="s">
        <v>50338</v>
      </c>
      <c r="B22776" s="30" t="s">
        <v>50339</v>
      </c>
      <c r="C22776" s="30" t="s">
        <v>50340</v>
      </c>
      <c r="D22776" s="30" t="s">
        <v>17</v>
      </c>
      <c r="E22776" s="30" t="s">
        <v>26</v>
      </c>
      <c r="F22776" s="30" t="s">
        <v>27</v>
      </c>
      <c r="G22776" s="30" t="s">
        <v>140</v>
      </c>
      <c r="H22776" s="32">
        <v>30</v>
      </c>
      <c r="I22776" s="30" t="s">
        <v>51</v>
      </c>
      <c r="J22776" s="41">
        <v>45885</v>
      </c>
      <c r="K22776" s="30" t="s">
        <v>22</v>
      </c>
    </row>
    <row r="22777" spans="1:11">
      <c r="A22777" s="33" t="s">
        <v>50341</v>
      </c>
      <c r="B22777" s="33" t="s">
        <v>50342</v>
      </c>
      <c r="C22777" s="33" t="s">
        <v>203</v>
      </c>
      <c r="D22777" s="33" t="s">
        <v>17</v>
      </c>
      <c r="E22777" s="33" t="s">
        <v>18</v>
      </c>
      <c r="F22777" s="33" t="s">
        <v>19</v>
      </c>
      <c r="G22777" s="33" t="s">
        <v>2613</v>
      </c>
      <c r="H22777" s="35">
        <v>300</v>
      </c>
      <c r="I22777" s="33" t="s">
        <v>51</v>
      </c>
      <c r="J22777" s="42">
        <v>45748</v>
      </c>
      <c r="K22777" s="33" t="s">
        <v>22</v>
      </c>
    </row>
    <row r="22778" spans="1:11">
      <c r="A22778" s="30" t="s">
        <v>50343</v>
      </c>
      <c r="B22778" s="30" t="s">
        <v>50344</v>
      </c>
      <c r="C22778" s="30" t="s">
        <v>46139</v>
      </c>
      <c r="D22778" s="30" t="s">
        <v>17</v>
      </c>
      <c r="E22778" s="30" t="s">
        <v>31</v>
      </c>
      <c r="F22778" s="30" t="s">
        <v>32</v>
      </c>
      <c r="G22778" s="30" t="s">
        <v>7780</v>
      </c>
      <c r="H22778" s="32">
        <v>18</v>
      </c>
      <c r="I22778" s="30" t="s">
        <v>51</v>
      </c>
      <c r="J22778" s="41">
        <v>45931</v>
      </c>
      <c r="K22778" s="30" t="s">
        <v>22</v>
      </c>
    </row>
    <row r="22779" spans="1:11">
      <c r="A22779" s="33" t="s">
        <v>50345</v>
      </c>
      <c r="B22779" s="33" t="s">
        <v>50346</v>
      </c>
      <c r="C22779" s="33" t="s">
        <v>50347</v>
      </c>
      <c r="D22779" s="33" t="s">
        <v>17</v>
      </c>
      <c r="E22779" s="33" t="s">
        <v>18</v>
      </c>
      <c r="F22779" s="33" t="s">
        <v>19</v>
      </c>
      <c r="G22779" s="33" t="s">
        <v>140</v>
      </c>
      <c r="H22779" s="35">
        <v>300</v>
      </c>
      <c r="I22779" s="33" t="s">
        <v>51</v>
      </c>
      <c r="J22779" s="42">
        <v>45702</v>
      </c>
      <c r="K22779" s="33" t="s">
        <v>22</v>
      </c>
    </row>
    <row r="22780" spans="1:11">
      <c r="A22780" s="30" t="s">
        <v>50348</v>
      </c>
      <c r="B22780" s="30" t="s">
        <v>50349</v>
      </c>
      <c r="C22780" s="30" t="s">
        <v>75</v>
      </c>
      <c r="D22780" s="30" t="s">
        <v>17</v>
      </c>
      <c r="E22780" s="30" t="s">
        <v>18</v>
      </c>
      <c r="F22780" s="30" t="s">
        <v>19</v>
      </c>
      <c r="G22780" s="30" t="s">
        <v>140</v>
      </c>
      <c r="H22780" s="32">
        <v>274</v>
      </c>
      <c r="I22780" s="30" t="s">
        <v>51</v>
      </c>
      <c r="J22780" s="41">
        <v>45819</v>
      </c>
      <c r="K22780" s="30" t="s">
        <v>22</v>
      </c>
    </row>
    <row r="22781" spans="1:11">
      <c r="A22781" s="33" t="s">
        <v>50350</v>
      </c>
      <c r="B22781" s="33" t="s">
        <v>50351</v>
      </c>
      <c r="C22781" s="33" t="s">
        <v>12277</v>
      </c>
      <c r="D22781" s="33" t="s">
        <v>17</v>
      </c>
      <c r="E22781" s="33" t="s">
        <v>31</v>
      </c>
      <c r="F22781" s="33" t="s">
        <v>32</v>
      </c>
      <c r="G22781" s="33" t="s">
        <v>20</v>
      </c>
      <c r="H22781" s="35">
        <v>37</v>
      </c>
      <c r="I22781" s="33" t="s">
        <v>21</v>
      </c>
      <c r="J22781" s="42">
        <v>45882</v>
      </c>
      <c r="K22781" s="33" t="s">
        <v>22</v>
      </c>
    </row>
    <row r="22782" spans="1:11">
      <c r="A22782" s="30" t="s">
        <v>50352</v>
      </c>
      <c r="B22782" s="30" t="s">
        <v>50353</v>
      </c>
      <c r="C22782" s="30" t="s">
        <v>14483</v>
      </c>
      <c r="D22782" s="30" t="s">
        <v>17</v>
      </c>
      <c r="E22782" s="30" t="s">
        <v>31</v>
      </c>
      <c r="F22782" s="30" t="s">
        <v>32</v>
      </c>
      <c r="G22782" s="30" t="s">
        <v>140</v>
      </c>
      <c r="H22782" s="32">
        <v>200</v>
      </c>
      <c r="I22782" s="30" t="s">
        <v>51</v>
      </c>
      <c r="J22782" s="41">
        <v>45803</v>
      </c>
      <c r="K22782" s="30" t="s">
        <v>22</v>
      </c>
    </row>
    <row r="22783" spans="1:11">
      <c r="A22783" s="33" t="s">
        <v>50354</v>
      </c>
      <c r="B22783" s="33" t="s">
        <v>50355</v>
      </c>
      <c r="C22783" s="33" t="s">
        <v>15917</v>
      </c>
      <c r="D22783" s="33" t="s">
        <v>17</v>
      </c>
      <c r="E22783" s="33" t="s">
        <v>31</v>
      </c>
      <c r="F22783" s="33" t="s">
        <v>32</v>
      </c>
      <c r="G22783" s="33" t="s">
        <v>7780</v>
      </c>
      <c r="H22783" s="35">
        <v>60</v>
      </c>
      <c r="I22783" s="33" t="s">
        <v>51</v>
      </c>
      <c r="J22783" s="42">
        <v>45748</v>
      </c>
      <c r="K22783" s="33" t="s">
        <v>22</v>
      </c>
    </row>
    <row r="22784" spans="1:11">
      <c r="A22784" s="30" t="s">
        <v>50356</v>
      </c>
      <c r="B22784" s="30" t="s">
        <v>50357</v>
      </c>
      <c r="C22784" s="30" t="s">
        <v>75</v>
      </c>
      <c r="D22784" s="30" t="s">
        <v>17</v>
      </c>
      <c r="E22784" s="30" t="s">
        <v>18</v>
      </c>
      <c r="F22784" s="30" t="s">
        <v>19</v>
      </c>
      <c r="G22784" s="30" t="s">
        <v>140</v>
      </c>
      <c r="H22784" s="32">
        <v>426</v>
      </c>
      <c r="I22784" s="30" t="s">
        <v>51</v>
      </c>
      <c r="J22784" s="41">
        <v>45848</v>
      </c>
      <c r="K22784" s="30" t="s">
        <v>22</v>
      </c>
    </row>
    <row r="22785" spans="1:11">
      <c r="A22785" s="33" t="s">
        <v>50358</v>
      </c>
      <c r="B22785" s="33" t="s">
        <v>50359</v>
      </c>
      <c r="C22785" s="33" t="s">
        <v>27241</v>
      </c>
      <c r="D22785" s="33" t="s">
        <v>17</v>
      </c>
      <c r="E22785" s="33" t="s">
        <v>18</v>
      </c>
      <c r="F22785" s="33" t="s">
        <v>19</v>
      </c>
      <c r="G22785" s="33" t="s">
        <v>20</v>
      </c>
      <c r="H22785" s="35">
        <v>55</v>
      </c>
      <c r="I22785" s="33" t="s">
        <v>21</v>
      </c>
      <c r="J22785" s="42">
        <v>45701</v>
      </c>
      <c r="K22785" s="33" t="s">
        <v>22</v>
      </c>
    </row>
    <row r="22786" spans="1:11">
      <c r="A22786" s="30" t="s">
        <v>50360</v>
      </c>
      <c r="B22786" s="30" t="s">
        <v>50361</v>
      </c>
      <c r="C22786" s="30" t="s">
        <v>149</v>
      </c>
      <c r="D22786" s="30" t="s">
        <v>17</v>
      </c>
      <c r="E22786" s="30" t="s">
        <v>67</v>
      </c>
      <c r="F22786" s="30" t="s">
        <v>68</v>
      </c>
      <c r="G22786" s="30" t="s">
        <v>7780</v>
      </c>
      <c r="H22786" s="32">
        <v>50</v>
      </c>
      <c r="I22786" s="30" t="s">
        <v>51</v>
      </c>
      <c r="J22786" s="41">
        <v>45839</v>
      </c>
      <c r="K22786" s="30" t="s">
        <v>22</v>
      </c>
    </row>
    <row r="22787" spans="1:11">
      <c r="A22787" s="33" t="s">
        <v>50362</v>
      </c>
      <c r="B22787" s="33" t="s">
        <v>50363</v>
      </c>
      <c r="C22787" s="33" t="s">
        <v>60</v>
      </c>
      <c r="D22787" s="33" t="s">
        <v>17</v>
      </c>
      <c r="E22787" s="33" t="s">
        <v>26</v>
      </c>
      <c r="F22787" s="33" t="s">
        <v>27</v>
      </c>
      <c r="G22787" s="33" t="s">
        <v>20</v>
      </c>
      <c r="H22787" s="35">
        <v>136</v>
      </c>
      <c r="I22787" s="33" t="s">
        <v>21</v>
      </c>
      <c r="J22787" s="42">
        <v>45814</v>
      </c>
      <c r="K22787" s="33" t="s">
        <v>22</v>
      </c>
    </row>
    <row r="22788" spans="1:11">
      <c r="A22788" s="30" t="s">
        <v>50364</v>
      </c>
      <c r="B22788" s="30" t="s">
        <v>50365</v>
      </c>
      <c r="C22788" s="30" t="s">
        <v>804</v>
      </c>
      <c r="D22788" s="30" t="s">
        <v>17</v>
      </c>
      <c r="E22788" s="30" t="s">
        <v>18</v>
      </c>
      <c r="F22788" s="30" t="s">
        <v>19</v>
      </c>
      <c r="G22788" s="30" t="s">
        <v>140</v>
      </c>
      <c r="H22788" s="32">
        <v>186</v>
      </c>
      <c r="I22788" s="30" t="s">
        <v>51</v>
      </c>
      <c r="J22788" s="41">
        <v>46003</v>
      </c>
      <c r="K22788" s="30" t="s">
        <v>22</v>
      </c>
    </row>
    <row r="22789" spans="1:11">
      <c r="A22789" s="33" t="s">
        <v>50366</v>
      </c>
      <c r="B22789" s="33" t="s">
        <v>50367</v>
      </c>
      <c r="C22789" s="33" t="s">
        <v>8755</v>
      </c>
      <c r="D22789" s="33" t="s">
        <v>17</v>
      </c>
      <c r="E22789" s="33" t="s">
        <v>31</v>
      </c>
      <c r="F22789" s="33" t="s">
        <v>32</v>
      </c>
      <c r="G22789" s="33" t="s">
        <v>140</v>
      </c>
      <c r="H22789" s="35">
        <v>102</v>
      </c>
      <c r="I22789" s="33" t="s">
        <v>51</v>
      </c>
      <c r="J22789" s="42">
        <v>45912</v>
      </c>
      <c r="K22789" s="33" t="s">
        <v>22</v>
      </c>
    </row>
    <row r="22790" spans="1:11">
      <c r="A22790" s="30" t="s">
        <v>50368</v>
      </c>
      <c r="B22790" s="30" t="s">
        <v>50369</v>
      </c>
      <c r="C22790" s="30" t="s">
        <v>36831</v>
      </c>
      <c r="D22790" s="30" t="s">
        <v>17</v>
      </c>
      <c r="E22790" s="30" t="s">
        <v>26</v>
      </c>
      <c r="F22790" s="30" t="s">
        <v>27</v>
      </c>
      <c r="G22790" s="30" t="s">
        <v>140</v>
      </c>
      <c r="H22790" s="32">
        <v>72</v>
      </c>
      <c r="I22790" s="30" t="s">
        <v>51</v>
      </c>
      <c r="J22790" s="41">
        <v>45724</v>
      </c>
      <c r="K22790" s="30" t="s">
        <v>22</v>
      </c>
    </row>
    <row r="22791" spans="1:11">
      <c r="A22791" s="33" t="s">
        <v>50370</v>
      </c>
      <c r="B22791" s="33" t="s">
        <v>50371</v>
      </c>
      <c r="C22791" s="33" t="s">
        <v>50372</v>
      </c>
      <c r="D22791" s="33" t="s">
        <v>17</v>
      </c>
      <c r="E22791" s="33" t="s">
        <v>31</v>
      </c>
      <c r="F22791" s="33" t="s">
        <v>32</v>
      </c>
      <c r="G22791" s="33" t="s">
        <v>140</v>
      </c>
      <c r="H22791" s="35">
        <v>150</v>
      </c>
      <c r="I22791" s="33" t="s">
        <v>51</v>
      </c>
      <c r="J22791" s="42">
        <v>45972</v>
      </c>
      <c r="K22791" s="33" t="s">
        <v>22</v>
      </c>
    </row>
    <row r="22792" spans="1:11">
      <c r="A22792" s="30" t="s">
        <v>50373</v>
      </c>
      <c r="B22792" s="30" t="s">
        <v>50374</v>
      </c>
      <c r="C22792" s="30" t="s">
        <v>44730</v>
      </c>
      <c r="D22792" s="30" t="s">
        <v>17</v>
      </c>
      <c r="E22792" s="30" t="s">
        <v>31</v>
      </c>
      <c r="F22792" s="30" t="s">
        <v>32</v>
      </c>
      <c r="G22792" s="30" t="s">
        <v>2613</v>
      </c>
      <c r="H22792" s="32">
        <v>150</v>
      </c>
      <c r="I22792" s="30" t="s">
        <v>51</v>
      </c>
      <c r="J22792" s="41">
        <v>45950</v>
      </c>
      <c r="K22792" s="30" t="s">
        <v>22</v>
      </c>
    </row>
    <row r="22793" spans="1:11">
      <c r="A22793" s="33" t="s">
        <v>50375</v>
      </c>
      <c r="B22793" s="33" t="s">
        <v>50376</v>
      </c>
      <c r="C22793" s="33" t="s">
        <v>4260</v>
      </c>
      <c r="D22793" s="33" t="s">
        <v>17</v>
      </c>
      <c r="E22793" s="33" t="s">
        <v>18</v>
      </c>
      <c r="F22793" s="33" t="s">
        <v>19</v>
      </c>
      <c r="G22793" s="33" t="s">
        <v>20</v>
      </c>
      <c r="H22793" s="35">
        <v>89</v>
      </c>
      <c r="I22793" s="33" t="s">
        <v>21</v>
      </c>
      <c r="J22793" s="42">
        <v>45791</v>
      </c>
      <c r="K22793" s="33" t="s">
        <v>22</v>
      </c>
    </row>
    <row r="22794" spans="1:11">
      <c r="A22794" s="30" t="s">
        <v>50377</v>
      </c>
      <c r="B22794" s="30" t="s">
        <v>50378</v>
      </c>
      <c r="C22794" s="30" t="s">
        <v>96</v>
      </c>
      <c r="D22794" s="30" t="s">
        <v>17</v>
      </c>
      <c r="E22794" s="30" t="s">
        <v>26</v>
      </c>
      <c r="F22794" s="30" t="s">
        <v>27</v>
      </c>
      <c r="G22794" s="30" t="s">
        <v>106</v>
      </c>
      <c r="H22794" s="32">
        <v>21</v>
      </c>
      <c r="I22794" s="30" t="s">
        <v>21</v>
      </c>
      <c r="J22794" s="41">
        <v>45729</v>
      </c>
      <c r="K22794" s="30" t="s">
        <v>22</v>
      </c>
    </row>
    <row r="22795" spans="1:11">
      <c r="A22795" s="33" t="s">
        <v>50379</v>
      </c>
      <c r="B22795" s="33" t="s">
        <v>50380</v>
      </c>
      <c r="C22795" s="33" t="s">
        <v>50381</v>
      </c>
      <c r="D22795" s="33" t="s">
        <v>17</v>
      </c>
      <c r="E22795" s="33" t="s">
        <v>212</v>
      </c>
      <c r="F22795" s="33" t="s">
        <v>213</v>
      </c>
      <c r="G22795" s="33" t="s">
        <v>140</v>
      </c>
      <c r="H22795" s="35">
        <v>800</v>
      </c>
      <c r="I22795" s="33" t="s">
        <v>51</v>
      </c>
      <c r="J22795" s="42">
        <v>45960</v>
      </c>
      <c r="K22795" s="33" t="s">
        <v>22</v>
      </c>
    </row>
    <row r="22796" spans="1:11">
      <c r="A22796" s="30" t="s">
        <v>50382</v>
      </c>
      <c r="B22796" s="30" t="s">
        <v>50383</v>
      </c>
      <c r="C22796" s="30" t="s">
        <v>12203</v>
      </c>
      <c r="D22796" s="30" t="s">
        <v>17</v>
      </c>
      <c r="E22796" s="30" t="s">
        <v>26</v>
      </c>
      <c r="F22796" s="30" t="s">
        <v>27</v>
      </c>
      <c r="G22796" s="30" t="s">
        <v>20</v>
      </c>
      <c r="H22796" s="32">
        <v>28</v>
      </c>
      <c r="I22796" s="30" t="s">
        <v>21</v>
      </c>
      <c r="J22796" s="41">
        <v>45716</v>
      </c>
      <c r="K22796" s="30" t="s">
        <v>22</v>
      </c>
    </row>
    <row r="22797" spans="1:11">
      <c r="A22797" s="33" t="s">
        <v>50384</v>
      </c>
      <c r="B22797" s="33" t="s">
        <v>50385</v>
      </c>
      <c r="C22797" s="33" t="s">
        <v>14483</v>
      </c>
      <c r="D22797" s="33" t="s">
        <v>17</v>
      </c>
      <c r="E22797" s="33" t="s">
        <v>26</v>
      </c>
      <c r="F22797" s="33" t="s">
        <v>27</v>
      </c>
      <c r="G22797" s="33" t="s">
        <v>140</v>
      </c>
      <c r="H22797" s="35">
        <v>280</v>
      </c>
      <c r="I22797" s="33" t="s">
        <v>51</v>
      </c>
      <c r="J22797" s="42">
        <v>45980</v>
      </c>
      <c r="K22797" s="33" t="s">
        <v>22</v>
      </c>
    </row>
    <row r="22798" spans="1:11">
      <c r="A22798" s="30" t="s">
        <v>50386</v>
      </c>
      <c r="B22798" s="30" t="s">
        <v>50387</v>
      </c>
      <c r="C22798" s="30" t="s">
        <v>25044</v>
      </c>
      <c r="D22798" s="30" t="s">
        <v>17</v>
      </c>
      <c r="E22798" s="30" t="s">
        <v>26</v>
      </c>
      <c r="F22798" s="30" t="s">
        <v>27</v>
      </c>
      <c r="G22798" s="30" t="s">
        <v>140</v>
      </c>
      <c r="H22798" s="32">
        <v>44</v>
      </c>
      <c r="I22798" s="30" t="s">
        <v>51</v>
      </c>
      <c r="J22798" s="41">
        <v>45881</v>
      </c>
      <c r="K22798" s="30" t="s">
        <v>22</v>
      </c>
    </row>
    <row r="22799" spans="1:11">
      <c r="A22799" s="33" t="s">
        <v>50388</v>
      </c>
      <c r="B22799" s="33" t="s">
        <v>50389</v>
      </c>
      <c r="C22799" s="33" t="s">
        <v>1090</v>
      </c>
      <c r="D22799" s="33" t="s">
        <v>17</v>
      </c>
      <c r="E22799" s="33" t="s">
        <v>31</v>
      </c>
      <c r="F22799" s="33" t="s">
        <v>32</v>
      </c>
      <c r="G22799" s="33" t="s">
        <v>7780</v>
      </c>
      <c r="H22799" s="35">
        <v>60</v>
      </c>
      <c r="I22799" s="33" t="s">
        <v>51</v>
      </c>
      <c r="J22799" s="42">
        <v>45884</v>
      </c>
      <c r="K22799" s="33" t="s">
        <v>22</v>
      </c>
    </row>
    <row r="22800" spans="1:11">
      <c r="A22800" s="30" t="s">
        <v>50390</v>
      </c>
      <c r="B22800" s="30" t="s">
        <v>50391</v>
      </c>
      <c r="C22800" s="30" t="s">
        <v>9271</v>
      </c>
      <c r="D22800" s="30" t="s">
        <v>17</v>
      </c>
      <c r="E22800" s="30" t="s">
        <v>18</v>
      </c>
      <c r="F22800" s="30" t="s">
        <v>19</v>
      </c>
      <c r="G22800" s="30" t="s">
        <v>140</v>
      </c>
      <c r="H22800" s="32">
        <v>300</v>
      </c>
      <c r="I22800" s="30" t="s">
        <v>51</v>
      </c>
      <c r="J22800" s="41">
        <v>45845</v>
      </c>
      <c r="K22800" s="30" t="s">
        <v>22</v>
      </c>
    </row>
    <row r="22801" spans="1:11">
      <c r="A22801" s="33" t="s">
        <v>50392</v>
      </c>
      <c r="B22801" s="33" t="s">
        <v>50393</v>
      </c>
      <c r="C22801" s="33" t="s">
        <v>37288</v>
      </c>
      <c r="D22801" s="33" t="s">
        <v>17</v>
      </c>
      <c r="E22801" s="33" t="s">
        <v>67</v>
      </c>
      <c r="F22801" s="33" t="s">
        <v>68</v>
      </c>
      <c r="G22801" s="33" t="s">
        <v>140</v>
      </c>
      <c r="H22801" s="35">
        <v>10</v>
      </c>
      <c r="I22801" s="33" t="s">
        <v>51</v>
      </c>
      <c r="J22801" s="42">
        <v>45925</v>
      </c>
      <c r="K22801" s="33" t="s">
        <v>22</v>
      </c>
    </row>
    <row r="22802" spans="1:11">
      <c r="A22802" s="30" t="s">
        <v>50394</v>
      </c>
      <c r="B22802" s="30" t="s">
        <v>50395</v>
      </c>
      <c r="C22802" s="30" t="s">
        <v>75</v>
      </c>
      <c r="D22802" s="30" t="s">
        <v>17</v>
      </c>
      <c r="E22802" s="30" t="s">
        <v>26</v>
      </c>
      <c r="F22802" s="30" t="s">
        <v>27</v>
      </c>
      <c r="G22802" s="30" t="s">
        <v>140</v>
      </c>
      <c r="H22802" s="32">
        <v>234</v>
      </c>
      <c r="I22802" s="30" t="s">
        <v>51</v>
      </c>
      <c r="J22802" s="41">
        <v>45870</v>
      </c>
      <c r="K22802" s="30" t="s">
        <v>22</v>
      </c>
    </row>
    <row r="22803" spans="1:11">
      <c r="A22803" s="33" t="s">
        <v>50396</v>
      </c>
      <c r="B22803" s="33" t="s">
        <v>50397</v>
      </c>
      <c r="C22803" s="33" t="s">
        <v>985</v>
      </c>
      <c r="D22803" s="33" t="s">
        <v>17</v>
      </c>
      <c r="E22803" s="33" t="s">
        <v>18</v>
      </c>
      <c r="F22803" s="33" t="s">
        <v>19</v>
      </c>
      <c r="G22803" s="33" t="s">
        <v>158</v>
      </c>
      <c r="H22803" s="35">
        <v>880</v>
      </c>
      <c r="I22803" s="33" t="s">
        <v>51</v>
      </c>
      <c r="J22803" s="42">
        <v>45810</v>
      </c>
      <c r="K22803" s="33" t="s">
        <v>22</v>
      </c>
    </row>
    <row r="22804" spans="1:11">
      <c r="A22804" s="30" t="s">
        <v>50398</v>
      </c>
      <c r="B22804" s="30" t="s">
        <v>50399</v>
      </c>
      <c r="C22804" s="30" t="s">
        <v>12536</v>
      </c>
      <c r="D22804" s="30" t="s">
        <v>17</v>
      </c>
      <c r="E22804" s="30" t="s">
        <v>31</v>
      </c>
      <c r="F22804" s="30" t="s">
        <v>32</v>
      </c>
      <c r="G22804" s="30" t="s">
        <v>20</v>
      </c>
      <c r="H22804" s="32">
        <v>70</v>
      </c>
      <c r="I22804" s="30" t="s">
        <v>21</v>
      </c>
      <c r="J22804" s="41">
        <v>45762</v>
      </c>
      <c r="K22804" s="30" t="s">
        <v>22</v>
      </c>
    </row>
    <row r="22805" spans="1:11">
      <c r="A22805" s="33" t="s">
        <v>50400</v>
      </c>
      <c r="B22805" s="33" t="s">
        <v>50401</v>
      </c>
      <c r="C22805" s="33" t="s">
        <v>50402</v>
      </c>
      <c r="D22805" s="33" t="s">
        <v>17</v>
      </c>
      <c r="E22805" s="33" t="s">
        <v>26</v>
      </c>
      <c r="F22805" s="33" t="s">
        <v>27</v>
      </c>
      <c r="G22805" s="33" t="s">
        <v>140</v>
      </c>
      <c r="H22805" s="35">
        <v>250</v>
      </c>
      <c r="I22805" s="33" t="s">
        <v>51</v>
      </c>
      <c r="J22805" s="42">
        <v>45818</v>
      </c>
      <c r="K22805" s="33" t="s">
        <v>22</v>
      </c>
    </row>
    <row r="22806" spans="1:11">
      <c r="A22806" s="30" t="s">
        <v>50403</v>
      </c>
      <c r="B22806" s="30" t="s">
        <v>50404</v>
      </c>
      <c r="C22806" s="30" t="s">
        <v>8979</v>
      </c>
      <c r="D22806" s="30" t="s">
        <v>17</v>
      </c>
      <c r="E22806" s="30" t="s">
        <v>18</v>
      </c>
      <c r="F22806" s="30" t="s">
        <v>19</v>
      </c>
      <c r="G22806" s="30" t="s">
        <v>140</v>
      </c>
      <c r="H22806" s="32">
        <v>264</v>
      </c>
      <c r="I22806" s="30" t="s">
        <v>51</v>
      </c>
      <c r="J22806" s="41">
        <v>45933</v>
      </c>
      <c r="K22806" s="30" t="s">
        <v>22</v>
      </c>
    </row>
    <row r="22807" spans="1:11">
      <c r="A22807" s="33" t="s">
        <v>50405</v>
      </c>
      <c r="B22807" s="33" t="s">
        <v>50406</v>
      </c>
      <c r="C22807" s="33" t="s">
        <v>50407</v>
      </c>
      <c r="D22807" s="33" t="s">
        <v>17</v>
      </c>
      <c r="E22807" s="33" t="s">
        <v>26</v>
      </c>
      <c r="F22807" s="33" t="s">
        <v>27</v>
      </c>
      <c r="G22807" s="33" t="s">
        <v>7780</v>
      </c>
      <c r="H22807" s="35">
        <v>58</v>
      </c>
      <c r="I22807" s="33" t="s">
        <v>51</v>
      </c>
      <c r="J22807" s="42">
        <v>45870</v>
      </c>
      <c r="K22807" s="33" t="s">
        <v>22</v>
      </c>
    </row>
    <row r="22808" spans="1:11">
      <c r="A22808" s="30" t="s">
        <v>50408</v>
      </c>
      <c r="B22808" s="30" t="s">
        <v>50409</v>
      </c>
      <c r="C22808" s="30" t="s">
        <v>16052</v>
      </c>
      <c r="D22808" s="30" t="s">
        <v>17</v>
      </c>
      <c r="E22808" s="30" t="s">
        <v>31</v>
      </c>
      <c r="F22808" s="30" t="s">
        <v>32</v>
      </c>
      <c r="G22808" s="30" t="s">
        <v>140</v>
      </c>
      <c r="H22808" s="32">
        <v>160</v>
      </c>
      <c r="I22808" s="30" t="s">
        <v>51</v>
      </c>
      <c r="J22808" s="41">
        <v>46006</v>
      </c>
      <c r="K22808" s="30" t="s">
        <v>22</v>
      </c>
    </row>
    <row r="22809" spans="1:11">
      <c r="A22809" s="33" t="s">
        <v>50410</v>
      </c>
      <c r="B22809" s="33" t="s">
        <v>50411</v>
      </c>
      <c r="C22809" s="33" t="s">
        <v>20161</v>
      </c>
      <c r="D22809" s="33" t="s">
        <v>17</v>
      </c>
      <c r="E22809" s="33" t="s">
        <v>31</v>
      </c>
      <c r="F22809" s="33" t="s">
        <v>32</v>
      </c>
      <c r="G22809" s="33" t="s">
        <v>140</v>
      </c>
      <c r="H22809" s="35">
        <v>150</v>
      </c>
      <c r="I22809" s="33" t="s">
        <v>51</v>
      </c>
      <c r="J22809" s="42">
        <v>45674</v>
      </c>
      <c r="K22809" s="33" t="s">
        <v>22</v>
      </c>
    </row>
    <row r="22810" spans="1:11">
      <c r="A22810" s="30" t="s">
        <v>50412</v>
      </c>
      <c r="B22810" s="30" t="s">
        <v>50413</v>
      </c>
      <c r="C22810" s="30" t="s">
        <v>6814</v>
      </c>
      <c r="D22810" s="30" t="s">
        <v>17</v>
      </c>
      <c r="E22810" s="30" t="s">
        <v>31</v>
      </c>
      <c r="F22810" s="30" t="s">
        <v>32</v>
      </c>
      <c r="G22810" s="30" t="s">
        <v>140</v>
      </c>
      <c r="H22810" s="32">
        <v>100</v>
      </c>
      <c r="I22810" s="30" t="s">
        <v>51</v>
      </c>
      <c r="J22810" s="41">
        <v>46014</v>
      </c>
      <c r="K22810" s="30" t="s">
        <v>22</v>
      </c>
    </row>
    <row r="22811" spans="1:11">
      <c r="A22811" s="33" t="s">
        <v>50414</v>
      </c>
      <c r="B22811" s="33" t="s">
        <v>50415</v>
      </c>
      <c r="C22811" s="33" t="s">
        <v>15097</v>
      </c>
      <c r="D22811" s="33" t="s">
        <v>17</v>
      </c>
      <c r="E22811" s="33" t="s">
        <v>330</v>
      </c>
      <c r="F22811" s="33" t="s">
        <v>331</v>
      </c>
      <c r="G22811" s="33" t="s">
        <v>140</v>
      </c>
      <c r="H22811" s="35">
        <v>28</v>
      </c>
      <c r="I22811" s="33" t="s">
        <v>51</v>
      </c>
      <c r="J22811" s="42">
        <v>45926</v>
      </c>
      <c r="K22811" s="33" t="s">
        <v>22</v>
      </c>
    </row>
    <row r="22812" spans="1:11">
      <c r="A22812" s="30" t="s">
        <v>50416</v>
      </c>
      <c r="B22812" s="30" t="s">
        <v>50417</v>
      </c>
      <c r="C22812" s="30" t="s">
        <v>647</v>
      </c>
      <c r="D22812" s="30" t="s">
        <v>17</v>
      </c>
      <c r="E22812" s="30" t="s">
        <v>67</v>
      </c>
      <c r="F22812" s="30" t="s">
        <v>68</v>
      </c>
      <c r="G22812" s="30" t="s">
        <v>140</v>
      </c>
      <c r="H22812" s="32">
        <v>140</v>
      </c>
      <c r="I22812" s="30" t="s">
        <v>51</v>
      </c>
      <c r="J22812" s="41">
        <v>45858</v>
      </c>
      <c r="K22812" s="30" t="s">
        <v>22</v>
      </c>
    </row>
    <row r="22813" spans="1:11">
      <c r="A22813" s="33" t="s">
        <v>50418</v>
      </c>
      <c r="B22813" s="33" t="s">
        <v>50419</v>
      </c>
      <c r="C22813" s="33" t="s">
        <v>50420</v>
      </c>
      <c r="D22813" s="33" t="s">
        <v>17</v>
      </c>
      <c r="E22813" s="33" t="s">
        <v>31</v>
      </c>
      <c r="F22813" s="33" t="s">
        <v>32</v>
      </c>
      <c r="G22813" s="33" t="s">
        <v>7780</v>
      </c>
      <c r="H22813" s="35">
        <v>120</v>
      </c>
      <c r="I22813" s="33" t="s">
        <v>51</v>
      </c>
      <c r="J22813" s="42">
        <v>45884</v>
      </c>
      <c r="K22813" s="33" t="s">
        <v>22</v>
      </c>
    </row>
    <row r="22814" spans="1:11">
      <c r="A22814" s="30" t="s">
        <v>50421</v>
      </c>
      <c r="B22814" s="30" t="s">
        <v>50422</v>
      </c>
      <c r="C22814" s="30" t="s">
        <v>2543</v>
      </c>
      <c r="D22814" s="30" t="s">
        <v>17</v>
      </c>
      <c r="E22814" s="30" t="s">
        <v>31</v>
      </c>
      <c r="F22814" s="30" t="s">
        <v>32</v>
      </c>
      <c r="G22814" s="30" t="s">
        <v>7780</v>
      </c>
      <c r="H22814" s="32">
        <v>200</v>
      </c>
      <c r="I22814" s="30" t="s">
        <v>51</v>
      </c>
      <c r="J22814" s="41">
        <v>45870</v>
      </c>
      <c r="K22814" s="30" t="s">
        <v>22</v>
      </c>
    </row>
    <row r="22815" spans="1:11">
      <c r="A22815" s="33" t="s">
        <v>50423</v>
      </c>
      <c r="B22815" s="33" t="s">
        <v>50424</v>
      </c>
      <c r="C22815" s="33" t="s">
        <v>1313</v>
      </c>
      <c r="D22815" s="33" t="s">
        <v>17</v>
      </c>
      <c r="E22815" s="33" t="s">
        <v>31</v>
      </c>
      <c r="F22815" s="33" t="s">
        <v>32</v>
      </c>
      <c r="G22815" s="33" t="s">
        <v>69</v>
      </c>
      <c r="H22815" s="35">
        <v>100</v>
      </c>
      <c r="I22815" s="33" t="s">
        <v>51</v>
      </c>
      <c r="J22815" s="42">
        <v>45901</v>
      </c>
      <c r="K22815" s="33" t="s">
        <v>22</v>
      </c>
    </row>
    <row r="22816" spans="1:11">
      <c r="A22816" s="30" t="s">
        <v>50425</v>
      </c>
      <c r="B22816" s="30" t="s">
        <v>50426</v>
      </c>
      <c r="C22816" s="30" t="s">
        <v>2472</v>
      </c>
      <c r="D22816" s="30" t="s">
        <v>17</v>
      </c>
      <c r="E22816" s="30" t="s">
        <v>26</v>
      </c>
      <c r="F22816" s="30" t="s">
        <v>27</v>
      </c>
      <c r="G22816" s="30" t="s">
        <v>158</v>
      </c>
      <c r="H22816" s="32">
        <v>42</v>
      </c>
      <c r="I22816" s="30" t="s">
        <v>51</v>
      </c>
      <c r="J22816" s="41">
        <v>45741</v>
      </c>
      <c r="K22816" s="30" t="s">
        <v>22</v>
      </c>
    </row>
    <row r="22817" spans="1:11">
      <c r="A22817" s="33" t="s">
        <v>50427</v>
      </c>
      <c r="B22817" s="33" t="s">
        <v>50428</v>
      </c>
      <c r="C22817" s="33" t="s">
        <v>3373</v>
      </c>
      <c r="D22817" s="33" t="s">
        <v>17</v>
      </c>
      <c r="E22817" s="33" t="s">
        <v>18</v>
      </c>
      <c r="F22817" s="33" t="s">
        <v>19</v>
      </c>
      <c r="G22817" s="33" t="s">
        <v>7780</v>
      </c>
      <c r="H22817" s="35">
        <v>740</v>
      </c>
      <c r="I22817" s="33" t="s">
        <v>51</v>
      </c>
      <c r="J22817" s="42">
        <v>45992</v>
      </c>
      <c r="K22817" s="33" t="s">
        <v>22</v>
      </c>
    </row>
    <row r="22818" spans="1:11">
      <c r="A22818" s="30" t="s">
        <v>50429</v>
      </c>
      <c r="B22818" s="30" t="s">
        <v>50430</v>
      </c>
      <c r="C22818" s="30" t="s">
        <v>50431</v>
      </c>
      <c r="D22818" s="30" t="s">
        <v>17</v>
      </c>
      <c r="E22818" s="30" t="s">
        <v>31</v>
      </c>
      <c r="F22818" s="30" t="s">
        <v>32</v>
      </c>
      <c r="G22818" s="30" t="s">
        <v>140</v>
      </c>
      <c r="H22818" s="32">
        <v>60</v>
      </c>
      <c r="I22818" s="30" t="s">
        <v>51</v>
      </c>
      <c r="J22818" s="41">
        <v>45901</v>
      </c>
      <c r="K22818" s="30" t="s">
        <v>22</v>
      </c>
    </row>
    <row r="22819" spans="1:11">
      <c r="A22819" s="33" t="s">
        <v>50432</v>
      </c>
      <c r="B22819" s="33" t="s">
        <v>50433</v>
      </c>
      <c r="C22819" s="33" t="s">
        <v>109</v>
      </c>
      <c r="D22819" s="33" t="s">
        <v>17</v>
      </c>
      <c r="E22819" s="33" t="s">
        <v>18</v>
      </c>
      <c r="F22819" s="33" t="s">
        <v>19</v>
      </c>
      <c r="G22819" s="33" t="s">
        <v>140</v>
      </c>
      <c r="H22819" s="35">
        <v>400</v>
      </c>
      <c r="I22819" s="33" t="s">
        <v>51</v>
      </c>
      <c r="J22819" s="42">
        <v>45849</v>
      </c>
      <c r="K22819" s="33" t="s">
        <v>22</v>
      </c>
    </row>
    <row r="22820" spans="1:11">
      <c r="A22820" s="30" t="s">
        <v>50434</v>
      </c>
      <c r="B22820" s="30" t="s">
        <v>50435</v>
      </c>
      <c r="C22820" s="30" t="s">
        <v>1275</v>
      </c>
      <c r="D22820" s="30" t="s">
        <v>17</v>
      </c>
      <c r="E22820" s="30" t="s">
        <v>26</v>
      </c>
      <c r="F22820" s="30" t="s">
        <v>27</v>
      </c>
      <c r="G22820" s="30" t="s">
        <v>140</v>
      </c>
      <c r="H22820" s="32">
        <v>180</v>
      </c>
      <c r="I22820" s="30" t="s">
        <v>51</v>
      </c>
      <c r="J22820" s="41">
        <v>45764</v>
      </c>
      <c r="K22820" s="30" t="s">
        <v>22</v>
      </c>
    </row>
    <row r="22821" spans="1:11">
      <c r="A22821" s="33" t="s">
        <v>50436</v>
      </c>
      <c r="B22821" s="33" t="s">
        <v>50437</v>
      </c>
      <c r="C22821" s="33" t="s">
        <v>22067</v>
      </c>
      <c r="D22821" s="33" t="s">
        <v>17</v>
      </c>
      <c r="E22821" s="33" t="s">
        <v>26</v>
      </c>
      <c r="F22821" s="33" t="s">
        <v>27</v>
      </c>
      <c r="G22821" s="33" t="s">
        <v>140</v>
      </c>
      <c r="H22821" s="35">
        <v>76</v>
      </c>
      <c r="I22821" s="33" t="s">
        <v>51</v>
      </c>
      <c r="J22821" s="42">
        <v>45715</v>
      </c>
      <c r="K22821" s="33" t="s">
        <v>22</v>
      </c>
    </row>
    <row r="22822" spans="1:11">
      <c r="A22822" s="30" t="s">
        <v>50438</v>
      </c>
      <c r="B22822" s="30" t="s">
        <v>50439</v>
      </c>
      <c r="C22822" s="30" t="s">
        <v>29198</v>
      </c>
      <c r="D22822" s="30" t="s">
        <v>17</v>
      </c>
      <c r="E22822" s="30" t="s">
        <v>18</v>
      </c>
      <c r="F22822" s="30" t="s">
        <v>19</v>
      </c>
      <c r="G22822" s="30" t="s">
        <v>7780</v>
      </c>
      <c r="H22822" s="32">
        <v>55</v>
      </c>
      <c r="I22822" s="30" t="s">
        <v>51</v>
      </c>
      <c r="J22822" s="41">
        <v>45747</v>
      </c>
      <c r="K22822" s="30" t="s">
        <v>22</v>
      </c>
    </row>
    <row r="22823" spans="1:11">
      <c r="A22823" s="33" t="s">
        <v>50440</v>
      </c>
      <c r="B22823" s="33" t="s">
        <v>50441</v>
      </c>
      <c r="C22823" s="33" t="s">
        <v>1136</v>
      </c>
      <c r="D22823" s="33" t="s">
        <v>17</v>
      </c>
      <c r="E22823" s="33" t="s">
        <v>18</v>
      </c>
      <c r="F22823" s="33" t="s">
        <v>19</v>
      </c>
      <c r="G22823" s="33" t="s">
        <v>158</v>
      </c>
      <c r="H22823" s="35">
        <v>1268</v>
      </c>
      <c r="I22823" s="33" t="s">
        <v>21</v>
      </c>
      <c r="J22823" s="42">
        <v>45716</v>
      </c>
      <c r="K22823" s="33" t="s">
        <v>22</v>
      </c>
    </row>
    <row r="22824" spans="1:11">
      <c r="A22824" s="30" t="s">
        <v>50442</v>
      </c>
      <c r="B22824" s="30" t="s">
        <v>50443</v>
      </c>
      <c r="C22824" s="30" t="s">
        <v>4328</v>
      </c>
      <c r="D22824" s="30" t="s">
        <v>17</v>
      </c>
      <c r="E22824" s="30" t="s">
        <v>31</v>
      </c>
      <c r="F22824" s="30" t="s">
        <v>32</v>
      </c>
      <c r="G22824" s="30" t="s">
        <v>140</v>
      </c>
      <c r="H22824" s="32">
        <v>92</v>
      </c>
      <c r="I22824" s="30" t="s">
        <v>51</v>
      </c>
      <c r="J22824" s="41">
        <v>46007</v>
      </c>
      <c r="K22824" s="30" t="s">
        <v>22</v>
      </c>
    </row>
    <row r="22825" spans="1:11">
      <c r="A22825" s="33" t="s">
        <v>50444</v>
      </c>
      <c r="B22825" s="33" t="s">
        <v>50445</v>
      </c>
      <c r="C22825" s="33" t="s">
        <v>136</v>
      </c>
      <c r="D22825" s="33" t="s">
        <v>17</v>
      </c>
      <c r="E22825" s="33" t="s">
        <v>18</v>
      </c>
      <c r="F22825" s="33" t="s">
        <v>19</v>
      </c>
      <c r="G22825" s="33" t="s">
        <v>140</v>
      </c>
      <c r="H22825" s="35">
        <v>800</v>
      </c>
      <c r="I22825" s="33" t="s">
        <v>51</v>
      </c>
      <c r="J22825" s="42">
        <v>45915</v>
      </c>
      <c r="K22825" s="33" t="s">
        <v>22</v>
      </c>
    </row>
    <row r="22826" spans="1:11">
      <c r="A22826" s="30" t="s">
        <v>50446</v>
      </c>
      <c r="B22826" s="30" t="s">
        <v>50447</v>
      </c>
      <c r="C22826" s="30" t="s">
        <v>6205</v>
      </c>
      <c r="D22826" s="30" t="s">
        <v>17</v>
      </c>
      <c r="E22826" s="30" t="s">
        <v>31</v>
      </c>
      <c r="F22826" s="30" t="s">
        <v>32</v>
      </c>
      <c r="G22826" s="30" t="s">
        <v>140</v>
      </c>
      <c r="H22826" s="32">
        <v>420</v>
      </c>
      <c r="I22826" s="30" t="s">
        <v>51</v>
      </c>
      <c r="J22826" s="41">
        <v>45986</v>
      </c>
      <c r="K22826" s="30" t="s">
        <v>22</v>
      </c>
    </row>
    <row r="22827" spans="1:11">
      <c r="A22827" s="33" t="s">
        <v>50448</v>
      </c>
      <c r="B22827" s="33" t="s">
        <v>50449</v>
      </c>
      <c r="C22827" s="33" t="s">
        <v>50450</v>
      </c>
      <c r="D22827" s="33" t="s">
        <v>17</v>
      </c>
      <c r="E22827" s="33" t="s">
        <v>45</v>
      </c>
      <c r="F22827" s="33" t="s">
        <v>46</v>
      </c>
      <c r="G22827" s="33" t="s">
        <v>140</v>
      </c>
      <c r="H22827" s="35">
        <v>1276</v>
      </c>
      <c r="I22827" s="33" t="s">
        <v>51</v>
      </c>
      <c r="J22827" s="42">
        <v>45835</v>
      </c>
      <c r="K22827" s="33" t="s">
        <v>22</v>
      </c>
    </row>
    <row r="22828" spans="1:11">
      <c r="A22828" s="30" t="s">
        <v>50451</v>
      </c>
      <c r="B22828" s="30" t="s">
        <v>50452</v>
      </c>
      <c r="C22828" s="30" t="s">
        <v>3655</v>
      </c>
      <c r="D22828" s="30" t="s">
        <v>17</v>
      </c>
      <c r="E22828" s="30" t="s">
        <v>67</v>
      </c>
      <c r="F22828" s="30" t="s">
        <v>68</v>
      </c>
      <c r="G22828" s="30" t="s">
        <v>140</v>
      </c>
      <c r="H22828" s="32">
        <v>380</v>
      </c>
      <c r="I22828" s="30" t="s">
        <v>51</v>
      </c>
      <c r="J22828" s="41">
        <v>45770</v>
      </c>
      <c r="K22828" s="30" t="s">
        <v>22</v>
      </c>
    </row>
    <row r="22829" spans="1:11">
      <c r="A22829" s="33" t="s">
        <v>50453</v>
      </c>
      <c r="B22829" s="33" t="s">
        <v>50454</v>
      </c>
      <c r="C22829" s="33" t="s">
        <v>50455</v>
      </c>
      <c r="D22829" s="33" t="s">
        <v>17</v>
      </c>
      <c r="E22829" s="33" t="s">
        <v>18</v>
      </c>
      <c r="F22829" s="33" t="s">
        <v>19</v>
      </c>
      <c r="G22829" s="33" t="s">
        <v>140</v>
      </c>
      <c r="H22829" s="35">
        <v>500</v>
      </c>
      <c r="I22829" s="33" t="s">
        <v>51</v>
      </c>
      <c r="J22829" s="42">
        <v>45764</v>
      </c>
      <c r="K22829" s="33" t="s">
        <v>22</v>
      </c>
    </row>
    <row r="22830" spans="1:11">
      <c r="A22830" s="30" t="s">
        <v>50456</v>
      </c>
      <c r="B22830" s="30" t="s">
        <v>50457</v>
      </c>
      <c r="C22830" s="30" t="s">
        <v>17285</v>
      </c>
      <c r="D22830" s="30" t="s">
        <v>17</v>
      </c>
      <c r="E22830" s="30" t="s">
        <v>26</v>
      </c>
      <c r="F22830" s="30" t="s">
        <v>27</v>
      </c>
      <c r="G22830" s="30" t="s">
        <v>140</v>
      </c>
      <c r="H22830" s="32">
        <v>36</v>
      </c>
      <c r="I22830" s="30" t="s">
        <v>51</v>
      </c>
      <c r="J22830" s="41">
        <v>45771</v>
      </c>
      <c r="K22830" s="30" t="s">
        <v>22</v>
      </c>
    </row>
    <row r="22831" spans="1:11">
      <c r="A22831" s="33" t="s">
        <v>50458</v>
      </c>
      <c r="B22831" s="33" t="s">
        <v>50459</v>
      </c>
      <c r="C22831" s="33" t="s">
        <v>50460</v>
      </c>
      <c r="D22831" s="33" t="s">
        <v>17</v>
      </c>
      <c r="E22831" s="33" t="s">
        <v>18</v>
      </c>
      <c r="F22831" s="33" t="s">
        <v>19</v>
      </c>
      <c r="G22831" s="33" t="s">
        <v>140</v>
      </c>
      <c r="H22831" s="35">
        <v>100</v>
      </c>
      <c r="I22831" s="33" t="s">
        <v>51</v>
      </c>
      <c r="J22831" s="42">
        <v>45723</v>
      </c>
      <c r="K22831" s="33" t="s">
        <v>22</v>
      </c>
    </row>
    <row r="22832" spans="1:11">
      <c r="A22832" s="30" t="s">
        <v>50461</v>
      </c>
      <c r="B22832" s="30" t="s">
        <v>50462</v>
      </c>
      <c r="C22832" s="30" t="s">
        <v>31108</v>
      </c>
      <c r="D22832" s="30" t="s">
        <v>17</v>
      </c>
      <c r="E22832" s="30" t="s">
        <v>26</v>
      </c>
      <c r="F22832" s="30" t="s">
        <v>27</v>
      </c>
      <c r="G22832" s="30" t="s">
        <v>140</v>
      </c>
      <c r="H22832" s="32">
        <v>180</v>
      </c>
      <c r="I22832" s="30" t="s">
        <v>51</v>
      </c>
      <c r="J22832" s="41">
        <v>45985</v>
      </c>
      <c r="K22832" s="30" t="s">
        <v>22</v>
      </c>
    </row>
    <row r="22833" spans="1:11">
      <c r="A22833" s="33" t="s">
        <v>50463</v>
      </c>
      <c r="B22833" s="33" t="s">
        <v>50464</v>
      </c>
      <c r="C22833" s="33" t="s">
        <v>8151</v>
      </c>
      <c r="D22833" s="33" t="s">
        <v>17</v>
      </c>
      <c r="E22833" s="33" t="s">
        <v>18</v>
      </c>
      <c r="F22833" s="33" t="s">
        <v>19</v>
      </c>
      <c r="G22833" s="33" t="s">
        <v>140</v>
      </c>
      <c r="H22833" s="35">
        <v>500</v>
      </c>
      <c r="I22833" s="33" t="s">
        <v>51</v>
      </c>
      <c r="J22833" s="42">
        <v>45922</v>
      </c>
      <c r="K22833" s="33" t="s">
        <v>22</v>
      </c>
    </row>
    <row r="22834" spans="1:11">
      <c r="A22834" s="30" t="s">
        <v>50465</v>
      </c>
      <c r="B22834" s="30" t="s">
        <v>50466</v>
      </c>
      <c r="C22834" s="30" t="s">
        <v>27458</v>
      </c>
      <c r="D22834" s="30" t="s">
        <v>17</v>
      </c>
      <c r="E22834" s="30" t="s">
        <v>31</v>
      </c>
      <c r="F22834" s="30" t="s">
        <v>32</v>
      </c>
      <c r="G22834" s="30" t="s">
        <v>112</v>
      </c>
      <c r="H22834" s="32">
        <v>0</v>
      </c>
      <c r="I22834" s="30" t="s">
        <v>21</v>
      </c>
      <c r="J22834" s="41">
        <v>45838</v>
      </c>
      <c r="K22834" s="30" t="s">
        <v>22</v>
      </c>
    </row>
    <row r="22835" spans="1:11">
      <c r="A22835" s="33" t="s">
        <v>50467</v>
      </c>
      <c r="B22835" s="33" t="s">
        <v>50468</v>
      </c>
      <c r="C22835" s="33" t="s">
        <v>41</v>
      </c>
      <c r="D22835" s="33" t="s">
        <v>17</v>
      </c>
      <c r="E22835" s="33" t="s">
        <v>26</v>
      </c>
      <c r="F22835" s="33" t="s">
        <v>27</v>
      </c>
      <c r="G22835" s="33" t="s">
        <v>140</v>
      </c>
      <c r="H22835" s="35">
        <v>110</v>
      </c>
      <c r="I22835" s="33" t="s">
        <v>51</v>
      </c>
      <c r="J22835" s="42">
        <v>45853</v>
      </c>
      <c r="K22835" s="33" t="s">
        <v>22</v>
      </c>
    </row>
    <row r="22836" spans="1:11">
      <c r="A22836" s="30" t="s">
        <v>50469</v>
      </c>
      <c r="B22836" s="30" t="s">
        <v>50470</v>
      </c>
      <c r="C22836" s="30" t="s">
        <v>47722</v>
      </c>
      <c r="D22836" s="30" t="s">
        <v>17</v>
      </c>
      <c r="E22836" s="30" t="s">
        <v>31</v>
      </c>
      <c r="F22836" s="30" t="s">
        <v>32</v>
      </c>
      <c r="G22836" s="30" t="s">
        <v>140</v>
      </c>
      <c r="H22836" s="32">
        <v>180</v>
      </c>
      <c r="I22836" s="30" t="s">
        <v>51</v>
      </c>
      <c r="J22836" s="41">
        <v>45901</v>
      </c>
      <c r="K22836" s="30" t="s">
        <v>22</v>
      </c>
    </row>
    <row r="22837" spans="1:11">
      <c r="A22837" s="33" t="s">
        <v>50471</v>
      </c>
      <c r="B22837" s="33" t="s">
        <v>50472</v>
      </c>
      <c r="C22837" s="33" t="s">
        <v>157</v>
      </c>
      <c r="D22837" s="33" t="s">
        <v>17</v>
      </c>
      <c r="E22837" s="33" t="s">
        <v>31</v>
      </c>
      <c r="F22837" s="33" t="s">
        <v>32</v>
      </c>
      <c r="G22837" s="33" t="s">
        <v>140</v>
      </c>
      <c r="H22837" s="35">
        <v>96</v>
      </c>
      <c r="I22837" s="33" t="s">
        <v>51</v>
      </c>
      <c r="J22837" s="42">
        <v>45695</v>
      </c>
      <c r="K22837" s="33" t="s">
        <v>22</v>
      </c>
    </row>
    <row r="22838" spans="1:11">
      <c r="A22838" s="30" t="s">
        <v>50473</v>
      </c>
      <c r="B22838" s="30" t="s">
        <v>50474</v>
      </c>
      <c r="C22838" s="30" t="s">
        <v>50475</v>
      </c>
      <c r="D22838" s="30" t="s">
        <v>17</v>
      </c>
      <c r="E22838" s="30" t="s">
        <v>67</v>
      </c>
      <c r="F22838" s="30" t="s">
        <v>68</v>
      </c>
      <c r="G22838" s="30" t="s">
        <v>140</v>
      </c>
      <c r="H22838" s="32">
        <v>24</v>
      </c>
      <c r="I22838" s="30" t="s">
        <v>51</v>
      </c>
      <c r="J22838" s="41">
        <v>45870</v>
      </c>
      <c r="K22838" s="30" t="s">
        <v>22</v>
      </c>
    </row>
    <row r="22839" spans="1:11">
      <c r="A22839" s="33" t="s">
        <v>50476</v>
      </c>
      <c r="B22839" s="33" t="s">
        <v>50477</v>
      </c>
      <c r="C22839" s="33" t="s">
        <v>44</v>
      </c>
      <c r="D22839" s="33" t="s">
        <v>17</v>
      </c>
      <c r="E22839" s="33" t="s">
        <v>18</v>
      </c>
      <c r="F22839" s="33" t="s">
        <v>19</v>
      </c>
      <c r="G22839" s="33" t="s">
        <v>140</v>
      </c>
      <c r="H22839" s="35">
        <v>2000</v>
      </c>
      <c r="I22839" s="33" t="s">
        <v>51</v>
      </c>
      <c r="J22839" s="42">
        <v>45985</v>
      </c>
      <c r="K22839" s="33" t="s">
        <v>22</v>
      </c>
    </row>
    <row r="22840" spans="1:11">
      <c r="A22840" s="30" t="s">
        <v>50478</v>
      </c>
      <c r="B22840" s="30" t="s">
        <v>50479</v>
      </c>
      <c r="C22840" s="30" t="s">
        <v>178</v>
      </c>
      <c r="D22840" s="30" t="s">
        <v>17</v>
      </c>
      <c r="E22840" s="30" t="s">
        <v>18</v>
      </c>
      <c r="F22840" s="30" t="s">
        <v>19</v>
      </c>
      <c r="G22840" s="30" t="s">
        <v>140</v>
      </c>
      <c r="H22840" s="32">
        <v>600</v>
      </c>
      <c r="I22840" s="30" t="s">
        <v>51</v>
      </c>
      <c r="J22840" s="41">
        <v>45733</v>
      </c>
      <c r="K22840" s="30" t="s">
        <v>22</v>
      </c>
    </row>
    <row r="22841" spans="1:11">
      <c r="A22841" s="33" t="s">
        <v>50480</v>
      </c>
      <c r="B22841" s="33" t="s">
        <v>50481</v>
      </c>
      <c r="C22841" s="33" t="s">
        <v>93</v>
      </c>
      <c r="D22841" s="33" t="s">
        <v>17</v>
      </c>
      <c r="E22841" s="33" t="s">
        <v>31</v>
      </c>
      <c r="F22841" s="33" t="s">
        <v>32</v>
      </c>
      <c r="G22841" s="33" t="s">
        <v>140</v>
      </c>
      <c r="H22841" s="35">
        <v>140</v>
      </c>
      <c r="I22841" s="33" t="s">
        <v>51</v>
      </c>
      <c r="J22841" s="42">
        <v>45982</v>
      </c>
      <c r="K22841" s="33" t="s">
        <v>22</v>
      </c>
    </row>
    <row r="22842" spans="1:11">
      <c r="A22842" s="30" t="s">
        <v>50482</v>
      </c>
      <c r="B22842" s="30" t="s">
        <v>50483</v>
      </c>
      <c r="C22842" s="30" t="s">
        <v>41065</v>
      </c>
      <c r="D22842" s="30" t="s">
        <v>17</v>
      </c>
      <c r="E22842" s="30" t="s">
        <v>18</v>
      </c>
      <c r="F22842" s="30" t="s">
        <v>19</v>
      </c>
      <c r="G22842" s="30" t="s">
        <v>140</v>
      </c>
      <c r="H22842" s="32">
        <v>720</v>
      </c>
      <c r="I22842" s="30" t="s">
        <v>51</v>
      </c>
      <c r="J22842" s="41">
        <v>45947</v>
      </c>
      <c r="K22842" s="30" t="s">
        <v>22</v>
      </c>
    </row>
    <row r="22843" spans="1:11">
      <c r="A22843" s="33" t="s">
        <v>50484</v>
      </c>
      <c r="B22843" s="33" t="s">
        <v>50485</v>
      </c>
      <c r="C22843" s="33" t="s">
        <v>4484</v>
      </c>
      <c r="D22843" s="33" t="s">
        <v>17</v>
      </c>
      <c r="E22843" s="33" t="s">
        <v>31</v>
      </c>
      <c r="F22843" s="33" t="s">
        <v>32</v>
      </c>
      <c r="G22843" s="33" t="s">
        <v>140</v>
      </c>
      <c r="H22843" s="35">
        <v>52</v>
      </c>
      <c r="I22843" s="33" t="s">
        <v>51</v>
      </c>
      <c r="J22843" s="42">
        <v>45915</v>
      </c>
      <c r="K22843" s="33" t="s">
        <v>22</v>
      </c>
    </row>
    <row r="22844" spans="1:11">
      <c r="A22844" s="30" t="s">
        <v>50486</v>
      </c>
      <c r="B22844" s="30" t="s">
        <v>50487</v>
      </c>
      <c r="C22844" s="30" t="s">
        <v>37563</v>
      </c>
      <c r="D22844" s="30" t="s">
        <v>17</v>
      </c>
      <c r="E22844" s="30" t="s">
        <v>31</v>
      </c>
      <c r="F22844" s="30" t="s">
        <v>32</v>
      </c>
      <c r="G22844" s="30" t="s">
        <v>20</v>
      </c>
      <c r="H22844" s="32">
        <v>176</v>
      </c>
      <c r="I22844" s="30" t="s">
        <v>21</v>
      </c>
      <c r="J22844" s="41">
        <v>45785</v>
      </c>
      <c r="K22844" s="30" t="s">
        <v>22</v>
      </c>
    </row>
    <row r="22845" spans="1:11">
      <c r="A22845" s="33" t="s">
        <v>50488</v>
      </c>
      <c r="B22845" s="33" t="s">
        <v>50489</v>
      </c>
      <c r="C22845" s="33" t="s">
        <v>25177</v>
      </c>
      <c r="D22845" s="33" t="s">
        <v>17</v>
      </c>
      <c r="E22845" s="33" t="s">
        <v>330</v>
      </c>
      <c r="F22845" s="33" t="s">
        <v>331</v>
      </c>
      <c r="G22845" s="33" t="s">
        <v>140</v>
      </c>
      <c r="H22845" s="35">
        <v>24</v>
      </c>
      <c r="I22845" s="33" t="s">
        <v>51</v>
      </c>
      <c r="J22845" s="42">
        <v>45991</v>
      </c>
      <c r="K22845" s="33" t="s">
        <v>22</v>
      </c>
    </row>
    <row r="22846" spans="1:11">
      <c r="A22846" s="30" t="s">
        <v>50490</v>
      </c>
      <c r="B22846" s="30" t="s">
        <v>50491</v>
      </c>
      <c r="C22846" s="30" t="s">
        <v>318</v>
      </c>
      <c r="D22846" s="30" t="s">
        <v>17</v>
      </c>
      <c r="E22846" s="30" t="s">
        <v>18</v>
      </c>
      <c r="F22846" s="30" t="s">
        <v>19</v>
      </c>
      <c r="G22846" s="30" t="s">
        <v>140</v>
      </c>
      <c r="H22846" s="32">
        <v>12800</v>
      </c>
      <c r="I22846" s="30" t="s">
        <v>51</v>
      </c>
      <c r="J22846" s="41">
        <v>45863</v>
      </c>
      <c r="K22846" s="30" t="s">
        <v>22</v>
      </c>
    </row>
    <row r="22847" spans="1:11">
      <c r="A22847" s="33" t="s">
        <v>50492</v>
      </c>
      <c r="B22847" s="33" t="s">
        <v>50493</v>
      </c>
      <c r="C22847" s="33" t="s">
        <v>136</v>
      </c>
      <c r="D22847" s="33" t="s">
        <v>17</v>
      </c>
      <c r="E22847" s="33" t="s">
        <v>26</v>
      </c>
      <c r="F22847" s="33" t="s">
        <v>27</v>
      </c>
      <c r="G22847" s="33" t="s">
        <v>140</v>
      </c>
      <c r="H22847" s="35">
        <v>141</v>
      </c>
      <c r="I22847" s="33" t="s">
        <v>51</v>
      </c>
      <c r="J22847" s="42">
        <v>45993</v>
      </c>
      <c r="K22847" s="33" t="s">
        <v>22</v>
      </c>
    </row>
    <row r="22848" spans="1:11">
      <c r="A22848" s="30" t="s">
        <v>50494</v>
      </c>
      <c r="B22848" s="30" t="s">
        <v>50495</v>
      </c>
      <c r="C22848" s="30" t="s">
        <v>7366</v>
      </c>
      <c r="D22848" s="30" t="s">
        <v>17</v>
      </c>
      <c r="E22848" s="30" t="s">
        <v>18</v>
      </c>
      <c r="F22848" s="30" t="s">
        <v>19</v>
      </c>
      <c r="G22848" s="30" t="s">
        <v>140</v>
      </c>
      <c r="H22848" s="32">
        <v>92</v>
      </c>
      <c r="I22848" s="30" t="s">
        <v>51</v>
      </c>
      <c r="J22848" s="41">
        <v>45799</v>
      </c>
      <c r="K22848" s="30" t="s">
        <v>22</v>
      </c>
    </row>
    <row r="22849" spans="1:11">
      <c r="A22849" s="33" t="s">
        <v>50496</v>
      </c>
      <c r="B22849" s="33" t="s">
        <v>50497</v>
      </c>
      <c r="C22849" s="33" t="s">
        <v>28507</v>
      </c>
      <c r="D22849" s="33" t="s">
        <v>17</v>
      </c>
      <c r="E22849" s="33" t="s">
        <v>18</v>
      </c>
      <c r="F22849" s="33" t="s">
        <v>19</v>
      </c>
      <c r="G22849" s="33" t="s">
        <v>140</v>
      </c>
      <c r="H22849" s="35">
        <v>300</v>
      </c>
      <c r="I22849" s="33" t="s">
        <v>51</v>
      </c>
      <c r="J22849" s="42">
        <v>45999</v>
      </c>
      <c r="K22849" s="33" t="s">
        <v>22</v>
      </c>
    </row>
    <row r="22850" spans="1:11">
      <c r="A22850" s="30" t="s">
        <v>50498</v>
      </c>
      <c r="B22850" s="30" t="s">
        <v>50499</v>
      </c>
      <c r="C22850" s="30" t="s">
        <v>736</v>
      </c>
      <c r="D22850" s="30" t="s">
        <v>17</v>
      </c>
      <c r="E22850" s="30" t="s">
        <v>18</v>
      </c>
      <c r="F22850" s="30" t="s">
        <v>19</v>
      </c>
      <c r="G22850" s="30" t="s">
        <v>140</v>
      </c>
      <c r="H22850" s="32">
        <v>231</v>
      </c>
      <c r="I22850" s="30" t="s">
        <v>51</v>
      </c>
      <c r="J22850" s="41">
        <v>45804</v>
      </c>
      <c r="K22850" s="30" t="s">
        <v>22</v>
      </c>
    </row>
    <row r="22851" spans="1:11">
      <c r="A22851" s="33" t="s">
        <v>50500</v>
      </c>
      <c r="B22851" s="33" t="s">
        <v>50501</v>
      </c>
      <c r="C22851" s="33" t="s">
        <v>14450</v>
      </c>
      <c r="D22851" s="33" t="s">
        <v>17</v>
      </c>
      <c r="E22851" s="33" t="s">
        <v>212</v>
      </c>
      <c r="F22851" s="33" t="s">
        <v>213</v>
      </c>
      <c r="G22851" s="33" t="s">
        <v>158</v>
      </c>
      <c r="H22851" s="35">
        <v>120</v>
      </c>
      <c r="I22851" s="33" t="s">
        <v>51</v>
      </c>
      <c r="J22851" s="42">
        <v>45899</v>
      </c>
      <c r="K22851" s="33" t="s">
        <v>22</v>
      </c>
    </row>
    <row r="22852" spans="1:11">
      <c r="A22852" s="30" t="s">
        <v>50502</v>
      </c>
      <c r="B22852" s="30" t="s">
        <v>50503</v>
      </c>
      <c r="C22852" s="30" t="s">
        <v>50504</v>
      </c>
      <c r="D22852" s="30" t="s">
        <v>17</v>
      </c>
      <c r="E22852" s="30" t="s">
        <v>67</v>
      </c>
      <c r="F22852" s="30" t="s">
        <v>68</v>
      </c>
      <c r="G22852" s="30" t="s">
        <v>140</v>
      </c>
      <c r="H22852" s="32">
        <v>56</v>
      </c>
      <c r="I22852" s="30" t="s">
        <v>51</v>
      </c>
      <c r="J22852" s="41">
        <v>45789</v>
      </c>
      <c r="K22852" s="30" t="s">
        <v>22</v>
      </c>
    </row>
    <row r="22853" spans="1:11">
      <c r="A22853" s="33" t="s">
        <v>50505</v>
      </c>
      <c r="B22853" s="33" t="s">
        <v>50506</v>
      </c>
      <c r="C22853" s="33" t="s">
        <v>11899</v>
      </c>
      <c r="D22853" s="33" t="s">
        <v>17</v>
      </c>
      <c r="E22853" s="33" t="s">
        <v>26</v>
      </c>
      <c r="F22853" s="33" t="s">
        <v>27</v>
      </c>
      <c r="G22853" s="33" t="s">
        <v>140</v>
      </c>
      <c r="H22853" s="35">
        <v>102</v>
      </c>
      <c r="I22853" s="33" t="s">
        <v>51</v>
      </c>
      <c r="J22853" s="42">
        <v>45860</v>
      </c>
      <c r="K22853" s="33" t="s">
        <v>22</v>
      </c>
    </row>
    <row r="22854" spans="1:11">
      <c r="A22854" s="30" t="s">
        <v>50507</v>
      </c>
      <c r="B22854" s="30" t="s">
        <v>50508</v>
      </c>
      <c r="C22854" s="30" t="s">
        <v>50509</v>
      </c>
      <c r="D22854" s="30" t="s">
        <v>17</v>
      </c>
      <c r="E22854" s="30" t="s">
        <v>26</v>
      </c>
      <c r="F22854" s="30" t="s">
        <v>27</v>
      </c>
      <c r="G22854" s="30" t="s">
        <v>140</v>
      </c>
      <c r="H22854" s="32">
        <v>18</v>
      </c>
      <c r="I22854" s="30" t="s">
        <v>51</v>
      </c>
      <c r="J22854" s="41">
        <v>45680</v>
      </c>
      <c r="K22854" s="30" t="s">
        <v>22</v>
      </c>
    </row>
    <row r="22855" spans="1:11">
      <c r="A22855" s="33" t="s">
        <v>50510</v>
      </c>
      <c r="B22855" s="33" t="s">
        <v>50511</v>
      </c>
      <c r="C22855" s="33" t="s">
        <v>3378</v>
      </c>
      <c r="D22855" s="33" t="s">
        <v>17</v>
      </c>
      <c r="E22855" s="33" t="s">
        <v>26</v>
      </c>
      <c r="F22855" s="33" t="s">
        <v>27</v>
      </c>
      <c r="G22855" s="33" t="s">
        <v>140</v>
      </c>
      <c r="H22855" s="35">
        <v>91</v>
      </c>
      <c r="I22855" s="33" t="s">
        <v>51</v>
      </c>
      <c r="J22855" s="42">
        <v>45962</v>
      </c>
      <c r="K22855" s="33" t="s">
        <v>22</v>
      </c>
    </row>
    <row r="22856" spans="1:11">
      <c r="A22856" s="30" t="s">
        <v>50512</v>
      </c>
      <c r="B22856" s="30" t="s">
        <v>50513</v>
      </c>
      <c r="C22856" s="30" t="s">
        <v>50514</v>
      </c>
      <c r="D22856" s="30" t="s">
        <v>17</v>
      </c>
      <c r="E22856" s="30" t="s">
        <v>31</v>
      </c>
      <c r="F22856" s="30" t="s">
        <v>32</v>
      </c>
      <c r="G22856" s="30" t="s">
        <v>140</v>
      </c>
      <c r="H22856" s="32">
        <v>200</v>
      </c>
      <c r="I22856" s="30" t="s">
        <v>51</v>
      </c>
      <c r="J22856" s="41">
        <v>45835</v>
      </c>
      <c r="K22856" s="30" t="s">
        <v>22</v>
      </c>
    </row>
    <row r="22857" spans="1:11">
      <c r="A22857" s="33" t="s">
        <v>50515</v>
      </c>
      <c r="B22857" s="33" t="s">
        <v>50516</v>
      </c>
      <c r="C22857" s="33" t="s">
        <v>8881</v>
      </c>
      <c r="D22857" s="33" t="s">
        <v>17</v>
      </c>
      <c r="E22857" s="33" t="s">
        <v>18</v>
      </c>
      <c r="F22857" s="33" t="s">
        <v>19</v>
      </c>
      <c r="G22857" s="33" t="s">
        <v>158</v>
      </c>
      <c r="H22857" s="35">
        <v>760</v>
      </c>
      <c r="I22857" s="33" t="s">
        <v>51</v>
      </c>
      <c r="J22857" s="42">
        <v>45692</v>
      </c>
      <c r="K22857" s="33" t="s">
        <v>22</v>
      </c>
    </row>
    <row r="22858" spans="1:11">
      <c r="A22858" s="30" t="s">
        <v>50517</v>
      </c>
      <c r="B22858" s="30" t="s">
        <v>50518</v>
      </c>
      <c r="C22858" s="30" t="s">
        <v>2196</v>
      </c>
      <c r="D22858" s="30" t="s">
        <v>17</v>
      </c>
      <c r="E22858" s="30" t="s">
        <v>67</v>
      </c>
      <c r="F22858" s="30" t="s">
        <v>68</v>
      </c>
      <c r="G22858" s="30" t="s">
        <v>140</v>
      </c>
      <c r="H22858" s="32">
        <v>147</v>
      </c>
      <c r="I22858" s="30" t="s">
        <v>51</v>
      </c>
      <c r="J22858" s="41">
        <v>46007</v>
      </c>
      <c r="K22858" s="30" t="s">
        <v>22</v>
      </c>
    </row>
    <row r="22859" spans="1:11">
      <c r="A22859" s="33" t="s">
        <v>50519</v>
      </c>
      <c r="B22859" s="33" t="s">
        <v>50520</v>
      </c>
      <c r="C22859" s="33" t="s">
        <v>7449</v>
      </c>
      <c r="D22859" s="33" t="s">
        <v>17</v>
      </c>
      <c r="E22859" s="33" t="s">
        <v>26</v>
      </c>
      <c r="F22859" s="33" t="s">
        <v>27</v>
      </c>
      <c r="G22859" s="33" t="s">
        <v>2613</v>
      </c>
      <c r="H22859" s="35">
        <v>52</v>
      </c>
      <c r="I22859" s="33" t="s">
        <v>51</v>
      </c>
      <c r="J22859" s="42">
        <v>45840</v>
      </c>
      <c r="K22859" s="33" t="s">
        <v>22</v>
      </c>
    </row>
    <row r="22860" spans="1:11">
      <c r="A22860" s="30" t="s">
        <v>50521</v>
      </c>
      <c r="B22860" s="30" t="s">
        <v>50522</v>
      </c>
      <c r="C22860" s="30" t="s">
        <v>12569</v>
      </c>
      <c r="D22860" s="30" t="s">
        <v>17</v>
      </c>
      <c r="E22860" s="30" t="s">
        <v>31</v>
      </c>
      <c r="F22860" s="30" t="s">
        <v>32</v>
      </c>
      <c r="G22860" s="30" t="s">
        <v>140</v>
      </c>
      <c r="H22860" s="32">
        <v>60</v>
      </c>
      <c r="I22860" s="30" t="s">
        <v>51</v>
      </c>
      <c r="J22860" s="41">
        <v>45881</v>
      </c>
      <c r="K22860" s="30" t="s">
        <v>22</v>
      </c>
    </row>
    <row r="22861" spans="1:11">
      <c r="A22861" s="33" t="s">
        <v>50523</v>
      </c>
      <c r="B22861" s="33" t="s">
        <v>50524</v>
      </c>
      <c r="C22861" s="33" t="s">
        <v>25549</v>
      </c>
      <c r="D22861" s="33" t="s">
        <v>17</v>
      </c>
      <c r="E22861" s="33" t="s">
        <v>26</v>
      </c>
      <c r="F22861" s="33" t="s">
        <v>27</v>
      </c>
      <c r="G22861" s="33" t="s">
        <v>20</v>
      </c>
      <c r="H22861" s="35">
        <v>36</v>
      </c>
      <c r="I22861" s="33" t="s">
        <v>21</v>
      </c>
      <c r="J22861" s="42">
        <v>45846</v>
      </c>
      <c r="K22861" s="33" t="s">
        <v>22</v>
      </c>
    </row>
    <row r="22862" spans="1:11">
      <c r="A22862" s="30" t="s">
        <v>50525</v>
      </c>
      <c r="B22862" s="30" t="s">
        <v>50526</v>
      </c>
      <c r="C22862" s="30" t="s">
        <v>75</v>
      </c>
      <c r="D22862" s="30" t="s">
        <v>17</v>
      </c>
      <c r="E22862" s="30" t="s">
        <v>67</v>
      </c>
      <c r="F22862" s="30" t="s">
        <v>68</v>
      </c>
      <c r="G22862" s="30" t="s">
        <v>140</v>
      </c>
      <c r="H22862" s="32">
        <v>416</v>
      </c>
      <c r="I22862" s="30" t="s">
        <v>51</v>
      </c>
      <c r="J22862" s="41">
        <v>45692</v>
      </c>
      <c r="K22862" s="30" t="s">
        <v>22</v>
      </c>
    </row>
    <row r="22863" spans="1:11">
      <c r="A22863" s="33" t="s">
        <v>50527</v>
      </c>
      <c r="B22863" s="33" t="s">
        <v>50528</v>
      </c>
      <c r="C22863" s="33" t="s">
        <v>9255</v>
      </c>
      <c r="D22863" s="33" t="s">
        <v>17</v>
      </c>
      <c r="E22863" s="33" t="s">
        <v>31</v>
      </c>
      <c r="F22863" s="33" t="s">
        <v>32</v>
      </c>
      <c r="G22863" s="33" t="s">
        <v>7780</v>
      </c>
      <c r="H22863" s="35">
        <v>99</v>
      </c>
      <c r="I22863" s="33" t="s">
        <v>51</v>
      </c>
      <c r="J22863" s="42">
        <v>45992</v>
      </c>
      <c r="K22863" s="33" t="s">
        <v>22</v>
      </c>
    </row>
    <row r="22864" spans="1:11">
      <c r="A22864" s="30" t="s">
        <v>50529</v>
      </c>
      <c r="B22864" s="30" t="s">
        <v>50530</v>
      </c>
      <c r="C22864" s="30" t="s">
        <v>231</v>
      </c>
      <c r="D22864" s="30" t="s">
        <v>17</v>
      </c>
      <c r="E22864" s="30" t="s">
        <v>26</v>
      </c>
      <c r="F22864" s="30" t="s">
        <v>27</v>
      </c>
      <c r="G22864" s="30" t="s">
        <v>20</v>
      </c>
      <c r="H22864" s="32">
        <v>14</v>
      </c>
      <c r="I22864" s="30" t="s">
        <v>21</v>
      </c>
      <c r="J22864" s="41">
        <v>45938</v>
      </c>
      <c r="K22864" s="30" t="s">
        <v>22</v>
      </c>
    </row>
    <row r="22865" spans="1:11">
      <c r="A22865" s="33" t="s">
        <v>50531</v>
      </c>
      <c r="B22865" s="33" t="s">
        <v>50532</v>
      </c>
      <c r="C22865" s="33" t="s">
        <v>47704</v>
      </c>
      <c r="D22865" s="33" t="s">
        <v>17</v>
      </c>
      <c r="E22865" s="33" t="s">
        <v>26</v>
      </c>
      <c r="F22865" s="33" t="s">
        <v>27</v>
      </c>
      <c r="G22865" s="33" t="s">
        <v>140</v>
      </c>
      <c r="H22865" s="35">
        <v>286</v>
      </c>
      <c r="I22865" s="33" t="s">
        <v>51</v>
      </c>
      <c r="J22865" s="42">
        <v>45785</v>
      </c>
      <c r="K22865" s="33" t="s">
        <v>22</v>
      </c>
    </row>
    <row r="22866" spans="1:11">
      <c r="A22866" s="30" t="s">
        <v>50533</v>
      </c>
      <c r="B22866" s="30" t="s">
        <v>50534</v>
      </c>
      <c r="C22866" s="30" t="s">
        <v>57</v>
      </c>
      <c r="D22866" s="30" t="s">
        <v>17</v>
      </c>
      <c r="E22866" s="30" t="s">
        <v>26</v>
      </c>
      <c r="F22866" s="30" t="s">
        <v>27</v>
      </c>
      <c r="G22866" s="30" t="s">
        <v>140</v>
      </c>
      <c r="H22866" s="32">
        <v>60</v>
      </c>
      <c r="I22866" s="30" t="s">
        <v>51</v>
      </c>
      <c r="J22866" s="41">
        <v>45901</v>
      </c>
      <c r="K22866" s="30" t="s">
        <v>22</v>
      </c>
    </row>
    <row r="22867" spans="1:11">
      <c r="A22867" s="33" t="s">
        <v>50535</v>
      </c>
      <c r="B22867" s="33" t="s">
        <v>50536</v>
      </c>
      <c r="C22867" s="33" t="s">
        <v>136</v>
      </c>
      <c r="D22867" s="33" t="s">
        <v>17</v>
      </c>
      <c r="E22867" s="33" t="s">
        <v>212</v>
      </c>
      <c r="F22867" s="33" t="s">
        <v>213</v>
      </c>
      <c r="G22867" s="33" t="s">
        <v>158</v>
      </c>
      <c r="H22867" s="35">
        <v>233</v>
      </c>
      <c r="I22867" s="33" t="s">
        <v>21</v>
      </c>
      <c r="J22867" s="42">
        <v>45824</v>
      </c>
      <c r="K22867" s="33" t="s">
        <v>22</v>
      </c>
    </row>
    <row r="22868" spans="1:11">
      <c r="A22868" s="30" t="s">
        <v>50537</v>
      </c>
      <c r="B22868" s="30" t="s">
        <v>50538</v>
      </c>
      <c r="C22868" s="30" t="s">
        <v>18431</v>
      </c>
      <c r="D22868" s="30" t="s">
        <v>17</v>
      </c>
      <c r="E22868" s="30" t="s">
        <v>45</v>
      </c>
      <c r="F22868" s="30" t="s">
        <v>46</v>
      </c>
      <c r="G22868" s="30" t="s">
        <v>140</v>
      </c>
      <c r="H22868" s="32">
        <v>740</v>
      </c>
      <c r="I22868" s="30" t="s">
        <v>51</v>
      </c>
      <c r="J22868" s="41">
        <v>45792</v>
      </c>
      <c r="K22868" s="30" t="s">
        <v>22</v>
      </c>
    </row>
    <row r="22869" spans="1:11">
      <c r="A22869" s="33" t="s">
        <v>50539</v>
      </c>
      <c r="B22869" s="33" t="s">
        <v>50540</v>
      </c>
      <c r="C22869" s="33" t="s">
        <v>203</v>
      </c>
      <c r="D22869" s="33" t="s">
        <v>17</v>
      </c>
      <c r="E22869" s="33" t="s">
        <v>31</v>
      </c>
      <c r="F22869" s="33" t="s">
        <v>32</v>
      </c>
      <c r="G22869" s="33" t="s">
        <v>2613</v>
      </c>
      <c r="H22869" s="35">
        <v>71</v>
      </c>
      <c r="I22869" s="33" t="s">
        <v>51</v>
      </c>
      <c r="J22869" s="42">
        <v>45789</v>
      </c>
      <c r="K22869" s="33" t="s">
        <v>22</v>
      </c>
    </row>
    <row r="22870" spans="1:11">
      <c r="A22870" s="30" t="s">
        <v>50541</v>
      </c>
      <c r="B22870" s="30" t="s">
        <v>50542</v>
      </c>
      <c r="C22870" s="30" t="s">
        <v>21247</v>
      </c>
      <c r="D22870" s="30" t="s">
        <v>17</v>
      </c>
      <c r="E22870" s="30" t="s">
        <v>31</v>
      </c>
      <c r="F22870" s="30" t="s">
        <v>32</v>
      </c>
      <c r="G22870" s="30" t="s">
        <v>20</v>
      </c>
      <c r="H22870" s="32">
        <v>307</v>
      </c>
      <c r="I22870" s="30" t="s">
        <v>21</v>
      </c>
      <c r="J22870" s="41">
        <v>45835</v>
      </c>
      <c r="K22870" s="30" t="s">
        <v>22</v>
      </c>
    </row>
    <row r="22871" spans="1:11">
      <c r="A22871" s="33" t="s">
        <v>50543</v>
      </c>
      <c r="B22871" s="33" t="s">
        <v>50544</v>
      </c>
      <c r="C22871" s="33" t="s">
        <v>9760</v>
      </c>
      <c r="D22871" s="33" t="s">
        <v>17</v>
      </c>
      <c r="E22871" s="33" t="s">
        <v>26</v>
      </c>
      <c r="F22871" s="33" t="s">
        <v>27</v>
      </c>
      <c r="G22871" s="33" t="s">
        <v>140</v>
      </c>
      <c r="H22871" s="35">
        <v>361</v>
      </c>
      <c r="I22871" s="33" t="s">
        <v>51</v>
      </c>
      <c r="J22871" s="42">
        <v>45741</v>
      </c>
      <c r="K22871" s="33" t="s">
        <v>22</v>
      </c>
    </row>
    <row r="22872" spans="1:11">
      <c r="A22872" s="30" t="s">
        <v>50545</v>
      </c>
      <c r="B22872" s="30" t="s">
        <v>50546</v>
      </c>
      <c r="C22872" s="30" t="s">
        <v>50407</v>
      </c>
      <c r="D22872" s="30" t="s">
        <v>17</v>
      </c>
      <c r="E22872" s="30" t="s">
        <v>67</v>
      </c>
      <c r="F22872" s="30" t="s">
        <v>68</v>
      </c>
      <c r="G22872" s="30" t="s">
        <v>7780</v>
      </c>
      <c r="H22872" s="32">
        <v>116</v>
      </c>
      <c r="I22872" s="30" t="s">
        <v>51</v>
      </c>
      <c r="J22872" s="41">
        <v>45931</v>
      </c>
      <c r="K22872" s="30" t="s">
        <v>22</v>
      </c>
    </row>
    <row r="22873" spans="1:11">
      <c r="A22873" s="33" t="s">
        <v>50547</v>
      </c>
      <c r="B22873" s="33" t="s">
        <v>50548</v>
      </c>
      <c r="C22873" s="33" t="s">
        <v>50549</v>
      </c>
      <c r="D22873" s="33" t="s">
        <v>17</v>
      </c>
      <c r="E22873" s="33" t="s">
        <v>212</v>
      </c>
      <c r="F22873" s="33" t="s">
        <v>213</v>
      </c>
      <c r="G22873" s="33" t="s">
        <v>20</v>
      </c>
      <c r="H22873" s="35">
        <v>23</v>
      </c>
      <c r="I22873" s="33" t="s">
        <v>21</v>
      </c>
      <c r="J22873" s="42">
        <v>46015</v>
      </c>
      <c r="K22873" s="33" t="s">
        <v>22</v>
      </c>
    </row>
    <row r="22874" spans="1:11">
      <c r="A22874" s="30" t="s">
        <v>50550</v>
      </c>
      <c r="B22874" s="30" t="s">
        <v>50551</v>
      </c>
      <c r="C22874" s="30" t="s">
        <v>130</v>
      </c>
      <c r="D22874" s="30" t="s">
        <v>17</v>
      </c>
      <c r="E22874" s="30" t="s">
        <v>18</v>
      </c>
      <c r="F22874" s="30" t="s">
        <v>19</v>
      </c>
      <c r="G22874" s="30" t="s">
        <v>140</v>
      </c>
      <c r="H22874" s="32">
        <v>550</v>
      </c>
      <c r="I22874" s="30" t="s">
        <v>51</v>
      </c>
      <c r="J22874" s="41">
        <v>45831</v>
      </c>
      <c r="K22874" s="30" t="s">
        <v>22</v>
      </c>
    </row>
    <row r="22875" spans="1:11">
      <c r="A22875" s="33" t="s">
        <v>50552</v>
      </c>
      <c r="B22875" s="33" t="s">
        <v>50553</v>
      </c>
      <c r="C22875" s="33" t="s">
        <v>3647</v>
      </c>
      <c r="D22875" s="33" t="s">
        <v>17</v>
      </c>
      <c r="E22875" s="33" t="s">
        <v>45</v>
      </c>
      <c r="F22875" s="33" t="s">
        <v>46</v>
      </c>
      <c r="G22875" s="33" t="s">
        <v>140</v>
      </c>
      <c r="H22875" s="35">
        <v>22</v>
      </c>
      <c r="I22875" s="33" t="s">
        <v>51</v>
      </c>
      <c r="J22875" s="42">
        <v>45867</v>
      </c>
      <c r="K22875" s="33" t="s">
        <v>22</v>
      </c>
    </row>
    <row r="22876" spans="1:11">
      <c r="A22876" s="30" t="s">
        <v>50554</v>
      </c>
      <c r="B22876" s="30" t="s">
        <v>50555</v>
      </c>
      <c r="C22876" s="30" t="s">
        <v>39727</v>
      </c>
      <c r="D22876" s="30" t="s">
        <v>17</v>
      </c>
      <c r="E22876" s="30" t="s">
        <v>18</v>
      </c>
      <c r="F22876" s="30" t="s">
        <v>19</v>
      </c>
      <c r="G22876" s="30" t="s">
        <v>140</v>
      </c>
      <c r="H22876" s="32">
        <v>15</v>
      </c>
      <c r="I22876" s="30" t="s">
        <v>51</v>
      </c>
      <c r="J22876" s="41">
        <v>45945</v>
      </c>
      <c r="K22876" s="30" t="s">
        <v>22</v>
      </c>
    </row>
    <row r="22877" spans="1:11">
      <c r="A22877" s="33" t="s">
        <v>50556</v>
      </c>
      <c r="B22877" s="33" t="s">
        <v>50557</v>
      </c>
      <c r="C22877" s="33" t="s">
        <v>647</v>
      </c>
      <c r="D22877" s="33" t="s">
        <v>17</v>
      </c>
      <c r="E22877" s="33" t="s">
        <v>26</v>
      </c>
      <c r="F22877" s="33" t="s">
        <v>27</v>
      </c>
      <c r="G22877" s="33" t="s">
        <v>20</v>
      </c>
      <c r="H22877" s="35">
        <v>13</v>
      </c>
      <c r="I22877" s="33" t="s">
        <v>21</v>
      </c>
      <c r="J22877" s="42">
        <v>45762</v>
      </c>
      <c r="K22877" s="33" t="s">
        <v>22</v>
      </c>
    </row>
    <row r="22878" spans="1:11">
      <c r="A22878" s="30" t="s">
        <v>50558</v>
      </c>
      <c r="B22878" s="30" t="s">
        <v>50559</v>
      </c>
      <c r="C22878" s="30" t="s">
        <v>450</v>
      </c>
      <c r="D22878" s="30" t="s">
        <v>17</v>
      </c>
      <c r="E22878" s="30" t="s">
        <v>31</v>
      </c>
      <c r="F22878" s="30" t="s">
        <v>32</v>
      </c>
      <c r="G22878" s="30" t="s">
        <v>140</v>
      </c>
      <c r="H22878" s="32">
        <v>30</v>
      </c>
      <c r="I22878" s="30" t="s">
        <v>51</v>
      </c>
      <c r="J22878" s="41">
        <v>45919</v>
      </c>
      <c r="K22878" s="30" t="s">
        <v>22</v>
      </c>
    </row>
    <row r="22879" spans="1:11">
      <c r="A22879" s="33" t="s">
        <v>50560</v>
      </c>
      <c r="B22879" s="33" t="s">
        <v>50561</v>
      </c>
      <c r="C22879" s="33" t="s">
        <v>24109</v>
      </c>
      <c r="D22879" s="33" t="s">
        <v>17</v>
      </c>
      <c r="E22879" s="33" t="s">
        <v>31</v>
      </c>
      <c r="F22879" s="33" t="s">
        <v>32</v>
      </c>
      <c r="G22879" s="33" t="s">
        <v>20</v>
      </c>
      <c r="H22879" s="35">
        <v>182</v>
      </c>
      <c r="I22879" s="33" t="s">
        <v>21</v>
      </c>
      <c r="J22879" s="42">
        <v>45736</v>
      </c>
      <c r="K22879" s="33" t="s">
        <v>22</v>
      </c>
    </row>
    <row r="22880" spans="1:11">
      <c r="A22880" s="30" t="s">
        <v>50562</v>
      </c>
      <c r="B22880" s="30" t="s">
        <v>50563</v>
      </c>
      <c r="C22880" s="30" t="s">
        <v>178</v>
      </c>
      <c r="D22880" s="30" t="s">
        <v>17</v>
      </c>
      <c r="E22880" s="30" t="s">
        <v>31</v>
      </c>
      <c r="F22880" s="30" t="s">
        <v>32</v>
      </c>
      <c r="G22880" s="30" t="s">
        <v>140</v>
      </c>
      <c r="H22880" s="32">
        <v>100</v>
      </c>
      <c r="I22880" s="30" t="s">
        <v>51</v>
      </c>
      <c r="J22880" s="41">
        <v>45721</v>
      </c>
      <c r="K22880" s="30" t="s">
        <v>22</v>
      </c>
    </row>
    <row r="22881" spans="1:11">
      <c r="A22881" s="33" t="s">
        <v>50564</v>
      </c>
      <c r="B22881" s="33" t="s">
        <v>50565</v>
      </c>
      <c r="C22881" s="33" t="s">
        <v>379</v>
      </c>
      <c r="D22881" s="33" t="s">
        <v>17</v>
      </c>
      <c r="E22881" s="33" t="s">
        <v>31</v>
      </c>
      <c r="F22881" s="33" t="s">
        <v>32</v>
      </c>
      <c r="G22881" s="33" t="s">
        <v>140</v>
      </c>
      <c r="H22881" s="35">
        <v>190</v>
      </c>
      <c r="I22881" s="33" t="s">
        <v>51</v>
      </c>
      <c r="J22881" s="42">
        <v>45708</v>
      </c>
      <c r="K22881" s="33" t="s">
        <v>22</v>
      </c>
    </row>
    <row r="22882" spans="1:11">
      <c r="A22882" s="30" t="s">
        <v>50566</v>
      </c>
      <c r="B22882" s="30" t="s">
        <v>50567</v>
      </c>
      <c r="C22882" s="30" t="s">
        <v>50568</v>
      </c>
      <c r="D22882" s="30" t="s">
        <v>17</v>
      </c>
      <c r="E22882" s="30" t="s">
        <v>26</v>
      </c>
      <c r="F22882" s="30" t="s">
        <v>27</v>
      </c>
      <c r="G22882" s="30" t="s">
        <v>158</v>
      </c>
      <c r="H22882" s="32">
        <v>104</v>
      </c>
      <c r="I22882" s="30" t="s">
        <v>51</v>
      </c>
      <c r="J22882" s="41">
        <v>45793</v>
      </c>
      <c r="K22882" s="30" t="s">
        <v>22</v>
      </c>
    </row>
    <row r="22883" spans="1:11">
      <c r="A22883" s="33" t="s">
        <v>50569</v>
      </c>
      <c r="B22883" s="33" t="s">
        <v>50570</v>
      </c>
      <c r="C22883" s="33" t="s">
        <v>50571</v>
      </c>
      <c r="D22883" s="33" t="s">
        <v>17</v>
      </c>
      <c r="E22883" s="33" t="s">
        <v>31</v>
      </c>
      <c r="F22883" s="33" t="s">
        <v>32</v>
      </c>
      <c r="G22883" s="33" t="s">
        <v>140</v>
      </c>
      <c r="H22883" s="35">
        <v>60</v>
      </c>
      <c r="I22883" s="33" t="s">
        <v>51</v>
      </c>
      <c r="J22883" s="42">
        <v>45700</v>
      </c>
      <c r="K22883" s="33" t="s">
        <v>22</v>
      </c>
    </row>
    <row r="22884" spans="1:11">
      <c r="A22884" s="30" t="s">
        <v>50572</v>
      </c>
      <c r="B22884" s="30" t="s">
        <v>50573</v>
      </c>
      <c r="C22884" s="30" t="s">
        <v>379</v>
      </c>
      <c r="D22884" s="30" t="s">
        <v>17</v>
      </c>
      <c r="E22884" s="30" t="s">
        <v>31</v>
      </c>
      <c r="F22884" s="30" t="s">
        <v>32</v>
      </c>
      <c r="G22884" s="30" t="s">
        <v>140</v>
      </c>
      <c r="H22884" s="32">
        <v>243</v>
      </c>
      <c r="I22884" s="30" t="s">
        <v>51</v>
      </c>
      <c r="J22884" s="41">
        <v>45817</v>
      </c>
      <c r="K22884" s="30" t="s">
        <v>22</v>
      </c>
    </row>
    <row r="22885" spans="1:11">
      <c r="A22885" s="33" t="s">
        <v>50574</v>
      </c>
      <c r="B22885" s="33" t="s">
        <v>50575</v>
      </c>
      <c r="C22885" s="33" t="s">
        <v>5327</v>
      </c>
      <c r="D22885" s="33" t="s">
        <v>17</v>
      </c>
      <c r="E22885" s="33" t="s">
        <v>31</v>
      </c>
      <c r="F22885" s="33" t="s">
        <v>32</v>
      </c>
      <c r="G22885" s="33" t="s">
        <v>140</v>
      </c>
      <c r="H22885" s="35">
        <v>106</v>
      </c>
      <c r="I22885" s="33" t="s">
        <v>51</v>
      </c>
      <c r="J22885" s="42">
        <v>45832</v>
      </c>
      <c r="K22885" s="33" t="s">
        <v>22</v>
      </c>
    </row>
    <row r="22886" spans="1:11">
      <c r="A22886" s="30" t="s">
        <v>50576</v>
      </c>
      <c r="B22886" s="30" t="s">
        <v>50577</v>
      </c>
      <c r="C22886" s="30" t="s">
        <v>75</v>
      </c>
      <c r="D22886" s="30" t="s">
        <v>17</v>
      </c>
      <c r="E22886" s="30" t="s">
        <v>67</v>
      </c>
      <c r="F22886" s="30" t="s">
        <v>68</v>
      </c>
      <c r="G22886" s="30" t="s">
        <v>140</v>
      </c>
      <c r="H22886" s="32">
        <v>360</v>
      </c>
      <c r="I22886" s="30" t="s">
        <v>51</v>
      </c>
      <c r="J22886" s="41">
        <v>45700</v>
      </c>
      <c r="K22886" s="30" t="s">
        <v>22</v>
      </c>
    </row>
    <row r="22887" spans="1:11">
      <c r="A22887" s="33" t="s">
        <v>50578</v>
      </c>
      <c r="B22887" s="33" t="s">
        <v>50579</v>
      </c>
      <c r="C22887" s="33" t="s">
        <v>647</v>
      </c>
      <c r="D22887" s="33" t="s">
        <v>17</v>
      </c>
      <c r="E22887" s="33" t="s">
        <v>26</v>
      </c>
      <c r="F22887" s="33" t="s">
        <v>27</v>
      </c>
      <c r="G22887" s="33" t="s">
        <v>20</v>
      </c>
      <c r="H22887" s="35">
        <v>37</v>
      </c>
      <c r="I22887" s="33" t="s">
        <v>21</v>
      </c>
      <c r="J22887" s="42">
        <v>45715</v>
      </c>
      <c r="K22887" s="33" t="s">
        <v>22</v>
      </c>
    </row>
    <row r="22888" spans="1:11">
      <c r="A22888" s="30" t="s">
        <v>50580</v>
      </c>
      <c r="B22888" s="30" t="s">
        <v>50581</v>
      </c>
      <c r="C22888" s="30" t="s">
        <v>130</v>
      </c>
      <c r="D22888" s="30" t="s">
        <v>17</v>
      </c>
      <c r="E22888" s="30" t="s">
        <v>18</v>
      </c>
      <c r="F22888" s="30" t="s">
        <v>19</v>
      </c>
      <c r="G22888" s="30" t="s">
        <v>140</v>
      </c>
      <c r="H22888" s="32">
        <v>572</v>
      </c>
      <c r="I22888" s="30" t="s">
        <v>51</v>
      </c>
      <c r="J22888" s="41">
        <v>45749</v>
      </c>
      <c r="K22888" s="30" t="s">
        <v>22</v>
      </c>
    </row>
    <row r="22889" spans="1:11">
      <c r="A22889" s="33" t="s">
        <v>50582</v>
      </c>
      <c r="B22889" s="33" t="s">
        <v>50583</v>
      </c>
      <c r="C22889" s="33" t="s">
        <v>32043</v>
      </c>
      <c r="D22889" s="33" t="s">
        <v>17</v>
      </c>
      <c r="E22889" s="33" t="s">
        <v>26</v>
      </c>
      <c r="F22889" s="33" t="s">
        <v>27</v>
      </c>
      <c r="G22889" s="33" t="s">
        <v>140</v>
      </c>
      <c r="H22889" s="35">
        <v>66</v>
      </c>
      <c r="I22889" s="33" t="s">
        <v>51</v>
      </c>
      <c r="J22889" s="42">
        <v>45891</v>
      </c>
      <c r="K22889" s="33" t="s">
        <v>22</v>
      </c>
    </row>
    <row r="22890" spans="1:11">
      <c r="A22890" s="30" t="s">
        <v>50584</v>
      </c>
      <c r="B22890" s="30" t="s">
        <v>50585</v>
      </c>
      <c r="C22890" s="30" t="s">
        <v>48441</v>
      </c>
      <c r="D22890" s="30" t="s">
        <v>17</v>
      </c>
      <c r="E22890" s="30" t="s">
        <v>18</v>
      </c>
      <c r="F22890" s="30" t="s">
        <v>19</v>
      </c>
      <c r="G22890" s="30" t="s">
        <v>140</v>
      </c>
      <c r="H22890" s="32">
        <v>360</v>
      </c>
      <c r="I22890" s="30" t="s">
        <v>51</v>
      </c>
      <c r="J22890" s="41">
        <v>45671</v>
      </c>
      <c r="K22890" s="30" t="s">
        <v>22</v>
      </c>
    </row>
    <row r="22891" spans="1:11">
      <c r="A22891" s="33" t="s">
        <v>50586</v>
      </c>
      <c r="B22891" s="33" t="s">
        <v>50587</v>
      </c>
      <c r="C22891" s="33" t="s">
        <v>18981</v>
      </c>
      <c r="D22891" s="33" t="s">
        <v>17</v>
      </c>
      <c r="E22891" s="33" t="s">
        <v>26</v>
      </c>
      <c r="F22891" s="33" t="s">
        <v>27</v>
      </c>
      <c r="G22891" s="33" t="s">
        <v>140</v>
      </c>
      <c r="H22891" s="35">
        <v>35</v>
      </c>
      <c r="I22891" s="33" t="s">
        <v>51</v>
      </c>
      <c r="J22891" s="42">
        <v>45719</v>
      </c>
      <c r="K22891" s="33" t="s">
        <v>22</v>
      </c>
    </row>
    <row r="22892" spans="1:11">
      <c r="A22892" s="30" t="s">
        <v>50588</v>
      </c>
      <c r="B22892" s="30" t="s">
        <v>50589</v>
      </c>
      <c r="C22892" s="30" t="s">
        <v>13971</v>
      </c>
      <c r="D22892" s="30" t="s">
        <v>17</v>
      </c>
      <c r="E22892" s="30" t="s">
        <v>26</v>
      </c>
      <c r="F22892" s="30" t="s">
        <v>27</v>
      </c>
      <c r="G22892" s="30" t="s">
        <v>140</v>
      </c>
      <c r="H22892" s="32">
        <v>128</v>
      </c>
      <c r="I22892" s="30" t="s">
        <v>51</v>
      </c>
      <c r="J22892" s="41">
        <v>45811</v>
      </c>
      <c r="K22892" s="30" t="s">
        <v>22</v>
      </c>
    </row>
    <row r="22893" spans="1:11">
      <c r="A22893" s="33" t="s">
        <v>50590</v>
      </c>
      <c r="B22893" s="33" t="s">
        <v>50591</v>
      </c>
      <c r="C22893" s="33" t="s">
        <v>30948</v>
      </c>
      <c r="D22893" s="33" t="s">
        <v>17</v>
      </c>
      <c r="E22893" s="33" t="s">
        <v>31</v>
      </c>
      <c r="F22893" s="33" t="s">
        <v>32</v>
      </c>
      <c r="G22893" s="33" t="s">
        <v>106</v>
      </c>
      <c r="H22893" s="35">
        <v>2</v>
      </c>
      <c r="I22893" s="33" t="s">
        <v>21</v>
      </c>
      <c r="J22893" s="42">
        <v>45713</v>
      </c>
      <c r="K22893" s="33" t="s">
        <v>22</v>
      </c>
    </row>
    <row r="22894" spans="1:11">
      <c r="A22894" s="30" t="s">
        <v>50592</v>
      </c>
      <c r="B22894" s="30" t="s">
        <v>50593</v>
      </c>
      <c r="C22894" s="30" t="s">
        <v>47052</v>
      </c>
      <c r="D22894" s="30" t="s">
        <v>17</v>
      </c>
      <c r="E22894" s="30" t="s">
        <v>26</v>
      </c>
      <c r="F22894" s="30" t="s">
        <v>27</v>
      </c>
      <c r="G22894" s="30" t="s">
        <v>20</v>
      </c>
      <c r="H22894" s="32">
        <v>7</v>
      </c>
      <c r="I22894" s="30" t="s">
        <v>21</v>
      </c>
      <c r="J22894" s="41">
        <v>45713</v>
      </c>
      <c r="K22894" s="30" t="s">
        <v>22</v>
      </c>
    </row>
    <row r="22895" spans="1:11">
      <c r="A22895" s="33" t="s">
        <v>50594</v>
      </c>
      <c r="B22895" s="33" t="s">
        <v>50595</v>
      </c>
      <c r="C22895" s="33" t="s">
        <v>190</v>
      </c>
      <c r="D22895" s="33" t="s">
        <v>17</v>
      </c>
      <c r="E22895" s="33" t="s">
        <v>26</v>
      </c>
      <c r="F22895" s="33" t="s">
        <v>27</v>
      </c>
      <c r="G22895" s="33" t="s">
        <v>140</v>
      </c>
      <c r="H22895" s="35">
        <v>40</v>
      </c>
      <c r="I22895" s="33" t="s">
        <v>51</v>
      </c>
      <c r="J22895" s="42">
        <v>45971</v>
      </c>
      <c r="K22895" s="33" t="s">
        <v>22</v>
      </c>
    </row>
    <row r="22896" spans="1:11">
      <c r="A22896" s="30" t="s">
        <v>50596</v>
      </c>
      <c r="B22896" s="30" t="s">
        <v>50597</v>
      </c>
      <c r="C22896" s="30" t="s">
        <v>3655</v>
      </c>
      <c r="D22896" s="30" t="s">
        <v>17</v>
      </c>
      <c r="E22896" s="30" t="s">
        <v>67</v>
      </c>
      <c r="F22896" s="30" t="s">
        <v>68</v>
      </c>
      <c r="G22896" s="30" t="s">
        <v>140</v>
      </c>
      <c r="H22896" s="32">
        <v>980</v>
      </c>
      <c r="I22896" s="30" t="s">
        <v>51</v>
      </c>
      <c r="J22896" s="41">
        <v>45881</v>
      </c>
      <c r="K22896" s="30" t="s">
        <v>22</v>
      </c>
    </row>
    <row r="22897" spans="1:11">
      <c r="A22897" s="33" t="s">
        <v>50598</v>
      </c>
      <c r="B22897" s="33" t="s">
        <v>50599</v>
      </c>
      <c r="C22897" s="33" t="s">
        <v>730</v>
      </c>
      <c r="D22897" s="33" t="s">
        <v>17</v>
      </c>
      <c r="E22897" s="33" t="s">
        <v>26</v>
      </c>
      <c r="F22897" s="33" t="s">
        <v>27</v>
      </c>
      <c r="G22897" s="33" t="s">
        <v>158</v>
      </c>
      <c r="H22897" s="35">
        <v>60</v>
      </c>
      <c r="I22897" s="33" t="s">
        <v>51</v>
      </c>
      <c r="J22897" s="42">
        <v>45719</v>
      </c>
      <c r="K22897" s="33" t="s">
        <v>22</v>
      </c>
    </row>
    <row r="22898" spans="1:11">
      <c r="A22898" s="30" t="s">
        <v>50600</v>
      </c>
      <c r="B22898" s="30" t="s">
        <v>50601</v>
      </c>
      <c r="C22898" s="30" t="s">
        <v>19346</v>
      </c>
      <c r="D22898" s="30" t="s">
        <v>17</v>
      </c>
      <c r="E22898" s="30" t="s">
        <v>31</v>
      </c>
      <c r="F22898" s="30" t="s">
        <v>32</v>
      </c>
      <c r="G22898" s="30" t="s">
        <v>112</v>
      </c>
      <c r="H22898" s="32">
        <v>0</v>
      </c>
      <c r="I22898" s="30" t="s">
        <v>21</v>
      </c>
      <c r="J22898" s="41">
        <v>45824</v>
      </c>
      <c r="K22898" s="30" t="s">
        <v>22</v>
      </c>
    </row>
    <row r="22899" spans="1:11">
      <c r="A22899" s="33" t="s">
        <v>50602</v>
      </c>
      <c r="B22899" s="33" t="s">
        <v>50603</v>
      </c>
      <c r="C22899" s="33" t="s">
        <v>6255</v>
      </c>
      <c r="D22899" s="33" t="s">
        <v>17</v>
      </c>
      <c r="E22899" s="33" t="s">
        <v>67</v>
      </c>
      <c r="F22899" s="33" t="s">
        <v>68</v>
      </c>
      <c r="G22899" s="33" t="s">
        <v>140</v>
      </c>
      <c r="H22899" s="35">
        <v>124</v>
      </c>
      <c r="I22899" s="33" t="s">
        <v>51</v>
      </c>
      <c r="J22899" s="42">
        <v>45674</v>
      </c>
      <c r="K22899" s="33" t="s">
        <v>22</v>
      </c>
    </row>
    <row r="22900" spans="1:11">
      <c r="A22900" s="30" t="s">
        <v>50604</v>
      </c>
      <c r="B22900" s="30" t="s">
        <v>50605</v>
      </c>
      <c r="C22900" s="30" t="s">
        <v>149</v>
      </c>
      <c r="D22900" s="30" t="s">
        <v>17</v>
      </c>
      <c r="E22900" s="30" t="s">
        <v>31</v>
      </c>
      <c r="F22900" s="30" t="s">
        <v>32</v>
      </c>
      <c r="G22900" s="30" t="s">
        <v>140</v>
      </c>
      <c r="H22900" s="32">
        <v>218</v>
      </c>
      <c r="I22900" s="30" t="s">
        <v>51</v>
      </c>
      <c r="J22900" s="41">
        <v>45999</v>
      </c>
      <c r="K22900" s="30" t="s">
        <v>22</v>
      </c>
    </row>
    <row r="22901" spans="1:11">
      <c r="A22901" s="33" t="s">
        <v>50606</v>
      </c>
      <c r="B22901" s="33" t="s">
        <v>50607</v>
      </c>
      <c r="C22901" s="33" t="s">
        <v>50608</v>
      </c>
      <c r="D22901" s="33" t="s">
        <v>17</v>
      </c>
      <c r="E22901" s="33" t="s">
        <v>31</v>
      </c>
      <c r="F22901" s="33" t="s">
        <v>32</v>
      </c>
      <c r="G22901" s="33" t="s">
        <v>140</v>
      </c>
      <c r="H22901" s="35">
        <v>110</v>
      </c>
      <c r="I22901" s="33" t="s">
        <v>51</v>
      </c>
      <c r="J22901" s="42">
        <v>45667</v>
      </c>
      <c r="K22901" s="33" t="s">
        <v>22</v>
      </c>
    </row>
    <row r="22902" spans="1:11">
      <c r="A22902" s="30" t="s">
        <v>50609</v>
      </c>
      <c r="B22902" s="30" t="s">
        <v>50610</v>
      </c>
      <c r="C22902" s="30" t="s">
        <v>7900</v>
      </c>
      <c r="D22902" s="30" t="s">
        <v>17</v>
      </c>
      <c r="E22902" s="30" t="s">
        <v>26</v>
      </c>
      <c r="F22902" s="30" t="s">
        <v>27</v>
      </c>
      <c r="G22902" s="30" t="s">
        <v>20</v>
      </c>
      <c r="H22902" s="32">
        <v>8</v>
      </c>
      <c r="I22902" s="30" t="s">
        <v>21</v>
      </c>
      <c r="J22902" s="41">
        <v>45891</v>
      </c>
      <c r="K22902" s="30" t="s">
        <v>22</v>
      </c>
    </row>
    <row r="22903" spans="1:11">
      <c r="A22903" s="33" t="s">
        <v>50611</v>
      </c>
      <c r="B22903" s="33" t="s">
        <v>50612</v>
      </c>
      <c r="C22903" s="33" t="s">
        <v>31168</v>
      </c>
      <c r="D22903" s="33" t="s">
        <v>17</v>
      </c>
      <c r="E22903" s="33" t="s">
        <v>18</v>
      </c>
      <c r="F22903" s="33" t="s">
        <v>19</v>
      </c>
      <c r="G22903" s="33" t="s">
        <v>20</v>
      </c>
      <c r="H22903" s="35">
        <v>549</v>
      </c>
      <c r="I22903" s="33" t="s">
        <v>21</v>
      </c>
      <c r="J22903" s="42">
        <v>45706</v>
      </c>
      <c r="K22903" s="33" t="s">
        <v>22</v>
      </c>
    </row>
    <row r="22904" spans="1:11">
      <c r="A22904" s="30" t="s">
        <v>50613</v>
      </c>
      <c r="B22904" s="30" t="s">
        <v>50614</v>
      </c>
      <c r="C22904" s="30" t="s">
        <v>4476</v>
      </c>
      <c r="D22904" s="30" t="s">
        <v>17</v>
      </c>
      <c r="E22904" s="30" t="s">
        <v>18</v>
      </c>
      <c r="F22904" s="30" t="s">
        <v>19</v>
      </c>
      <c r="G22904" s="30" t="s">
        <v>112</v>
      </c>
      <c r="H22904" s="32">
        <v>0</v>
      </c>
      <c r="I22904" s="30" t="s">
        <v>21</v>
      </c>
      <c r="J22904" s="41">
        <v>45748</v>
      </c>
      <c r="K22904" s="30" t="s">
        <v>22</v>
      </c>
    </row>
    <row r="22905" spans="1:11">
      <c r="A22905" s="33" t="s">
        <v>50615</v>
      </c>
      <c r="B22905" s="33" t="s">
        <v>50616</v>
      </c>
      <c r="C22905" s="33" t="s">
        <v>50450</v>
      </c>
      <c r="D22905" s="33" t="s">
        <v>17</v>
      </c>
      <c r="E22905" s="33" t="s">
        <v>31</v>
      </c>
      <c r="F22905" s="33" t="s">
        <v>32</v>
      </c>
      <c r="G22905" s="33" t="s">
        <v>20</v>
      </c>
      <c r="H22905" s="35">
        <v>206</v>
      </c>
      <c r="I22905" s="33" t="s">
        <v>21</v>
      </c>
      <c r="J22905" s="42">
        <v>45757</v>
      </c>
      <c r="K22905" s="33" t="s">
        <v>22</v>
      </c>
    </row>
    <row r="22906" spans="1:11">
      <c r="A22906" s="30" t="s">
        <v>50617</v>
      </c>
      <c r="B22906" s="30" t="s">
        <v>50618</v>
      </c>
      <c r="C22906" s="30" t="s">
        <v>50619</v>
      </c>
      <c r="D22906" s="30" t="s">
        <v>17</v>
      </c>
      <c r="E22906" s="30" t="s">
        <v>18</v>
      </c>
      <c r="F22906" s="30" t="s">
        <v>19</v>
      </c>
      <c r="G22906" s="30" t="s">
        <v>140</v>
      </c>
      <c r="H22906" s="32">
        <v>300</v>
      </c>
      <c r="I22906" s="30" t="s">
        <v>51</v>
      </c>
      <c r="J22906" s="41">
        <v>45966</v>
      </c>
      <c r="K22906" s="30" t="s">
        <v>22</v>
      </c>
    </row>
    <row r="22907" spans="1:11">
      <c r="A22907" s="33" t="s">
        <v>50620</v>
      </c>
      <c r="B22907" s="33" t="s">
        <v>50621</v>
      </c>
      <c r="C22907" s="33" t="s">
        <v>5842</v>
      </c>
      <c r="D22907" s="33" t="s">
        <v>17</v>
      </c>
      <c r="E22907" s="33" t="s">
        <v>31</v>
      </c>
      <c r="F22907" s="33" t="s">
        <v>32</v>
      </c>
      <c r="G22907" s="33" t="s">
        <v>140</v>
      </c>
      <c r="H22907" s="35">
        <v>48</v>
      </c>
      <c r="I22907" s="33" t="s">
        <v>51</v>
      </c>
      <c r="J22907" s="42">
        <v>45820</v>
      </c>
      <c r="K22907" s="33" t="s">
        <v>22</v>
      </c>
    </row>
    <row r="22908" spans="1:11">
      <c r="A22908" s="30" t="s">
        <v>50622</v>
      </c>
      <c r="B22908" s="30" t="s">
        <v>50623</v>
      </c>
      <c r="C22908" s="30" t="s">
        <v>27981</v>
      </c>
      <c r="D22908" s="30" t="s">
        <v>17</v>
      </c>
      <c r="E22908" s="30" t="s">
        <v>31</v>
      </c>
      <c r="F22908" s="30" t="s">
        <v>32</v>
      </c>
      <c r="G22908" s="30" t="s">
        <v>140</v>
      </c>
      <c r="H22908" s="32">
        <v>90</v>
      </c>
      <c r="I22908" s="30" t="s">
        <v>51</v>
      </c>
      <c r="J22908" s="41">
        <v>45874</v>
      </c>
      <c r="K22908" s="30" t="s">
        <v>22</v>
      </c>
    </row>
    <row r="22909" spans="1:11">
      <c r="A22909" s="33" t="s">
        <v>50624</v>
      </c>
      <c r="B22909" s="33" t="s">
        <v>50625</v>
      </c>
      <c r="C22909" s="33" t="s">
        <v>50626</v>
      </c>
      <c r="D22909" s="33" t="s">
        <v>17</v>
      </c>
      <c r="E22909" s="33" t="s">
        <v>31</v>
      </c>
      <c r="F22909" s="33" t="s">
        <v>32</v>
      </c>
      <c r="G22909" s="33" t="s">
        <v>140</v>
      </c>
      <c r="H22909" s="35">
        <v>240</v>
      </c>
      <c r="I22909" s="33" t="s">
        <v>51</v>
      </c>
      <c r="J22909" s="42">
        <v>45709</v>
      </c>
      <c r="K22909" s="33" t="s">
        <v>22</v>
      </c>
    </row>
    <row r="22910" spans="1:11">
      <c r="A22910" s="30" t="s">
        <v>50627</v>
      </c>
      <c r="B22910" s="30" t="s">
        <v>50628</v>
      </c>
      <c r="C22910" s="30" t="s">
        <v>14919</v>
      </c>
      <c r="D22910" s="30" t="s">
        <v>17</v>
      </c>
      <c r="E22910" s="30" t="s">
        <v>67</v>
      </c>
      <c r="F22910" s="30" t="s">
        <v>68</v>
      </c>
      <c r="G22910" s="30" t="s">
        <v>2613</v>
      </c>
      <c r="H22910" s="32">
        <v>21</v>
      </c>
      <c r="I22910" s="30" t="s">
        <v>51</v>
      </c>
      <c r="J22910" s="41">
        <v>45887</v>
      </c>
      <c r="K22910" s="30" t="s">
        <v>22</v>
      </c>
    </row>
    <row r="22911" spans="1:11">
      <c r="A22911" s="33" t="s">
        <v>50629</v>
      </c>
      <c r="B22911" s="33" t="s">
        <v>50630</v>
      </c>
      <c r="C22911" s="33" t="s">
        <v>96</v>
      </c>
      <c r="D22911" s="33" t="s">
        <v>17</v>
      </c>
      <c r="E22911" s="33" t="s">
        <v>26</v>
      </c>
      <c r="F22911" s="33" t="s">
        <v>27</v>
      </c>
      <c r="G22911" s="33" t="s">
        <v>140</v>
      </c>
      <c r="H22911" s="35">
        <v>294</v>
      </c>
      <c r="I22911" s="33" t="s">
        <v>51</v>
      </c>
      <c r="J22911" s="42">
        <v>45967</v>
      </c>
      <c r="K22911" s="33" t="s">
        <v>22</v>
      </c>
    </row>
    <row r="22912" spans="1:11">
      <c r="A22912" s="30" t="s">
        <v>50631</v>
      </c>
      <c r="B22912" s="30" t="s">
        <v>50632</v>
      </c>
      <c r="C22912" s="30" t="s">
        <v>190</v>
      </c>
      <c r="D22912" s="30" t="s">
        <v>17</v>
      </c>
      <c r="E22912" s="30" t="s">
        <v>26</v>
      </c>
      <c r="F22912" s="30" t="s">
        <v>27</v>
      </c>
      <c r="G22912" s="30" t="s">
        <v>140</v>
      </c>
      <c r="H22912" s="32">
        <v>40</v>
      </c>
      <c r="I22912" s="30" t="s">
        <v>51</v>
      </c>
      <c r="J22912" s="41">
        <v>45986</v>
      </c>
      <c r="K22912" s="30" t="s">
        <v>22</v>
      </c>
    </row>
    <row r="22913" spans="1:11">
      <c r="A22913" s="33" t="s">
        <v>50633</v>
      </c>
      <c r="B22913" s="33" t="s">
        <v>50634</v>
      </c>
      <c r="C22913" s="33" t="s">
        <v>50635</v>
      </c>
      <c r="D22913" s="33" t="s">
        <v>17</v>
      </c>
      <c r="E22913" s="33" t="s">
        <v>26</v>
      </c>
      <c r="F22913" s="33" t="s">
        <v>27</v>
      </c>
      <c r="G22913" s="33" t="s">
        <v>158</v>
      </c>
      <c r="H22913" s="35">
        <v>40</v>
      </c>
      <c r="I22913" s="33" t="s">
        <v>51</v>
      </c>
      <c r="J22913" s="42">
        <v>45749</v>
      </c>
      <c r="K22913" s="33" t="s">
        <v>22</v>
      </c>
    </row>
    <row r="22914" spans="1:11">
      <c r="A22914" s="30" t="s">
        <v>50636</v>
      </c>
      <c r="B22914" s="30" t="s">
        <v>50637</v>
      </c>
      <c r="C22914" s="30" t="s">
        <v>647</v>
      </c>
      <c r="D22914" s="30" t="s">
        <v>17</v>
      </c>
      <c r="E22914" s="30" t="s">
        <v>26</v>
      </c>
      <c r="F22914" s="30" t="s">
        <v>27</v>
      </c>
      <c r="G22914" s="30" t="s">
        <v>20</v>
      </c>
      <c r="H22914" s="32">
        <v>146</v>
      </c>
      <c r="I22914" s="30" t="s">
        <v>21</v>
      </c>
      <c r="J22914" s="41">
        <v>45793</v>
      </c>
      <c r="K22914" s="30" t="s">
        <v>22</v>
      </c>
    </row>
    <row r="22915" spans="1:11">
      <c r="A22915" s="33" t="s">
        <v>50638</v>
      </c>
      <c r="B22915" s="33" t="s">
        <v>50639</v>
      </c>
      <c r="C22915" s="33" t="s">
        <v>14483</v>
      </c>
      <c r="D22915" s="33" t="s">
        <v>17</v>
      </c>
      <c r="E22915" s="33" t="s">
        <v>18</v>
      </c>
      <c r="F22915" s="33" t="s">
        <v>19</v>
      </c>
      <c r="G22915" s="33" t="s">
        <v>140</v>
      </c>
      <c r="H22915" s="35">
        <v>134</v>
      </c>
      <c r="I22915" s="33" t="s">
        <v>51</v>
      </c>
      <c r="J22915" s="42">
        <v>45889</v>
      </c>
      <c r="K22915" s="33" t="s">
        <v>22</v>
      </c>
    </row>
    <row r="22916" spans="1:11">
      <c r="A22916" s="30" t="s">
        <v>50640</v>
      </c>
      <c r="B22916" s="30" t="s">
        <v>50641</v>
      </c>
      <c r="C22916" s="30" t="s">
        <v>318</v>
      </c>
      <c r="D22916" s="30" t="s">
        <v>17</v>
      </c>
      <c r="E22916" s="30" t="s">
        <v>26</v>
      </c>
      <c r="F22916" s="30" t="s">
        <v>27</v>
      </c>
      <c r="G22916" s="30" t="s">
        <v>20</v>
      </c>
      <c r="H22916" s="32">
        <v>6</v>
      </c>
      <c r="I22916" s="30" t="s">
        <v>21</v>
      </c>
      <c r="J22916" s="41">
        <v>45665</v>
      </c>
      <c r="K22916" s="30" t="s">
        <v>22</v>
      </c>
    </row>
    <row r="22917" spans="1:11">
      <c r="A22917" s="33" t="s">
        <v>50642</v>
      </c>
      <c r="B22917" s="33" t="s">
        <v>50643</v>
      </c>
      <c r="C22917" s="33" t="s">
        <v>34989</v>
      </c>
      <c r="D22917" s="33" t="s">
        <v>17</v>
      </c>
      <c r="E22917" s="33" t="s">
        <v>31</v>
      </c>
      <c r="F22917" s="33" t="s">
        <v>32</v>
      </c>
      <c r="G22917" s="33" t="s">
        <v>7780</v>
      </c>
      <c r="H22917" s="35">
        <v>120</v>
      </c>
      <c r="I22917" s="33" t="s">
        <v>51</v>
      </c>
      <c r="J22917" s="42">
        <v>45900</v>
      </c>
      <c r="K22917" s="33" t="s">
        <v>22</v>
      </c>
    </row>
    <row r="22918" spans="1:11">
      <c r="A22918" s="30" t="s">
        <v>50644</v>
      </c>
      <c r="B22918" s="30" t="s">
        <v>50645</v>
      </c>
      <c r="C22918" s="30" t="s">
        <v>1428</v>
      </c>
      <c r="D22918" s="30" t="s">
        <v>17</v>
      </c>
      <c r="E22918" s="30" t="s">
        <v>67</v>
      </c>
      <c r="F22918" s="30" t="s">
        <v>68</v>
      </c>
      <c r="G22918" s="30" t="s">
        <v>7780</v>
      </c>
      <c r="H22918" s="32">
        <v>540</v>
      </c>
      <c r="I22918" s="30" t="s">
        <v>51</v>
      </c>
      <c r="J22918" s="41">
        <v>45703</v>
      </c>
      <c r="K22918" s="30" t="s">
        <v>22</v>
      </c>
    </row>
    <row r="22919" spans="1:11">
      <c r="A22919" s="33" t="s">
        <v>50646</v>
      </c>
      <c r="B22919" s="33" t="s">
        <v>50647</v>
      </c>
      <c r="C22919" s="33" t="s">
        <v>50648</v>
      </c>
      <c r="D22919" s="33" t="s">
        <v>17</v>
      </c>
      <c r="E22919" s="33" t="s">
        <v>67</v>
      </c>
      <c r="F22919" s="33" t="s">
        <v>68</v>
      </c>
      <c r="G22919" s="33" t="s">
        <v>140</v>
      </c>
      <c r="H22919" s="35">
        <v>310</v>
      </c>
      <c r="I22919" s="33" t="s">
        <v>51</v>
      </c>
      <c r="J22919" s="42">
        <v>45923</v>
      </c>
      <c r="K22919" s="33" t="s">
        <v>22</v>
      </c>
    </row>
    <row r="22920" spans="1:11">
      <c r="A22920" s="30" t="s">
        <v>50649</v>
      </c>
      <c r="B22920" s="30" t="s">
        <v>50650</v>
      </c>
      <c r="C22920" s="30" t="s">
        <v>136</v>
      </c>
      <c r="D22920" s="30" t="s">
        <v>17</v>
      </c>
      <c r="E22920" s="30" t="s">
        <v>26</v>
      </c>
      <c r="F22920" s="30" t="s">
        <v>27</v>
      </c>
      <c r="G22920" s="30" t="s">
        <v>20</v>
      </c>
      <c r="H22920" s="32">
        <v>72</v>
      </c>
      <c r="I22920" s="30" t="s">
        <v>21</v>
      </c>
      <c r="J22920" s="41">
        <v>45832</v>
      </c>
      <c r="K22920" s="30" t="s">
        <v>22</v>
      </c>
    </row>
    <row r="22921" spans="1:11">
      <c r="A22921" s="33" t="s">
        <v>50651</v>
      </c>
      <c r="B22921" s="33" t="s">
        <v>50652</v>
      </c>
      <c r="C22921" s="33" t="s">
        <v>647</v>
      </c>
      <c r="D22921" s="33" t="s">
        <v>17</v>
      </c>
      <c r="E22921" s="33" t="s">
        <v>31</v>
      </c>
      <c r="F22921" s="33" t="s">
        <v>32</v>
      </c>
      <c r="G22921" s="33" t="s">
        <v>140</v>
      </c>
      <c r="H22921" s="35">
        <v>144</v>
      </c>
      <c r="I22921" s="33" t="s">
        <v>51</v>
      </c>
      <c r="J22921" s="42">
        <v>45805</v>
      </c>
      <c r="K22921" s="33" t="s">
        <v>22</v>
      </c>
    </row>
    <row r="22922" spans="1:11">
      <c r="A22922" s="30" t="s">
        <v>50653</v>
      </c>
      <c r="B22922" s="30" t="s">
        <v>50654</v>
      </c>
      <c r="C22922" s="30" t="s">
        <v>5395</v>
      </c>
      <c r="D22922" s="30" t="s">
        <v>17</v>
      </c>
      <c r="E22922" s="30" t="s">
        <v>31</v>
      </c>
      <c r="F22922" s="30" t="s">
        <v>32</v>
      </c>
      <c r="G22922" s="30" t="s">
        <v>140</v>
      </c>
      <c r="H22922" s="32">
        <v>160</v>
      </c>
      <c r="I22922" s="30" t="s">
        <v>51</v>
      </c>
      <c r="J22922" s="41">
        <v>45817</v>
      </c>
      <c r="K22922" s="30" t="s">
        <v>22</v>
      </c>
    </row>
    <row r="22923" spans="1:11">
      <c r="A22923" s="33" t="s">
        <v>50655</v>
      </c>
      <c r="B22923" s="33" t="s">
        <v>50656</v>
      </c>
      <c r="C22923" s="33" t="s">
        <v>93</v>
      </c>
      <c r="D22923" s="33" t="s">
        <v>17</v>
      </c>
      <c r="E22923" s="33" t="s">
        <v>26</v>
      </c>
      <c r="F22923" s="33" t="s">
        <v>27</v>
      </c>
      <c r="G22923" s="33" t="s">
        <v>140</v>
      </c>
      <c r="H22923" s="35">
        <v>40</v>
      </c>
      <c r="I22923" s="33" t="s">
        <v>51</v>
      </c>
      <c r="J22923" s="42">
        <v>45938</v>
      </c>
      <c r="K22923" s="33" t="s">
        <v>22</v>
      </c>
    </row>
    <row r="22924" spans="1:11">
      <c r="A22924" s="30" t="s">
        <v>50657</v>
      </c>
      <c r="B22924" s="30" t="s">
        <v>50658</v>
      </c>
      <c r="C22924" s="30" t="s">
        <v>1003</v>
      </c>
      <c r="D22924" s="30" t="s">
        <v>17</v>
      </c>
      <c r="E22924" s="30" t="s">
        <v>31</v>
      </c>
      <c r="F22924" s="30" t="s">
        <v>32</v>
      </c>
      <c r="G22924" s="30" t="s">
        <v>158</v>
      </c>
      <c r="H22924" s="32">
        <v>50</v>
      </c>
      <c r="I22924" s="30" t="s">
        <v>21</v>
      </c>
      <c r="J22924" s="41">
        <v>45821</v>
      </c>
      <c r="K22924" s="30" t="s">
        <v>22</v>
      </c>
    </row>
    <row r="22925" spans="1:11">
      <c r="A22925" s="33" t="s">
        <v>50659</v>
      </c>
      <c r="B22925" s="33" t="s">
        <v>50660</v>
      </c>
      <c r="C22925" s="33" t="s">
        <v>231</v>
      </c>
      <c r="D22925" s="33" t="s">
        <v>17</v>
      </c>
      <c r="E22925" s="33" t="s">
        <v>26</v>
      </c>
      <c r="F22925" s="33" t="s">
        <v>27</v>
      </c>
      <c r="G22925" s="33" t="s">
        <v>20</v>
      </c>
      <c r="H22925" s="35">
        <v>14</v>
      </c>
      <c r="I22925" s="33" t="s">
        <v>21</v>
      </c>
      <c r="J22925" s="42">
        <v>45680</v>
      </c>
      <c r="K22925" s="33" t="s">
        <v>22</v>
      </c>
    </row>
    <row r="22926" spans="1:11">
      <c r="A22926" s="30" t="s">
        <v>50661</v>
      </c>
      <c r="B22926" s="30" t="s">
        <v>50662</v>
      </c>
      <c r="C22926" s="30" t="s">
        <v>318</v>
      </c>
      <c r="D22926" s="30" t="s">
        <v>17</v>
      </c>
      <c r="E22926" s="30" t="s">
        <v>18</v>
      </c>
      <c r="F22926" s="30" t="s">
        <v>19</v>
      </c>
      <c r="G22926" s="30" t="s">
        <v>140</v>
      </c>
      <c r="H22926" s="32">
        <v>330</v>
      </c>
      <c r="I22926" s="30" t="s">
        <v>51</v>
      </c>
      <c r="J22926" s="41">
        <v>45887</v>
      </c>
      <c r="K22926" s="30" t="s">
        <v>22</v>
      </c>
    </row>
    <row r="22927" spans="1:11">
      <c r="A22927" s="33" t="s">
        <v>50663</v>
      </c>
      <c r="B22927" s="33" t="s">
        <v>50664</v>
      </c>
      <c r="C22927" s="33" t="s">
        <v>190</v>
      </c>
      <c r="D22927" s="33" t="s">
        <v>17</v>
      </c>
      <c r="E22927" s="33" t="s">
        <v>26</v>
      </c>
      <c r="F22927" s="33" t="s">
        <v>27</v>
      </c>
      <c r="G22927" s="33" t="s">
        <v>140</v>
      </c>
      <c r="H22927" s="35">
        <v>136</v>
      </c>
      <c r="I22927" s="33" t="s">
        <v>51</v>
      </c>
      <c r="J22927" s="42">
        <v>45804</v>
      </c>
      <c r="K22927" s="33" t="s">
        <v>22</v>
      </c>
    </row>
    <row r="22928" spans="1:11">
      <c r="A22928" s="30" t="s">
        <v>50665</v>
      </c>
      <c r="B22928" s="30" t="s">
        <v>50666</v>
      </c>
      <c r="C22928" s="30" t="s">
        <v>136</v>
      </c>
      <c r="D22928" s="30" t="s">
        <v>17</v>
      </c>
      <c r="E22928" s="30" t="s">
        <v>18</v>
      </c>
      <c r="F22928" s="30" t="s">
        <v>19</v>
      </c>
      <c r="G22928" s="30" t="s">
        <v>140</v>
      </c>
      <c r="H22928" s="32">
        <v>4500</v>
      </c>
      <c r="I22928" s="30" t="s">
        <v>51</v>
      </c>
      <c r="J22928" s="41">
        <v>45945</v>
      </c>
      <c r="K22928" s="30" t="s">
        <v>22</v>
      </c>
    </row>
    <row r="22929" spans="1:11">
      <c r="A22929" s="33" t="s">
        <v>50667</v>
      </c>
      <c r="B22929" s="33" t="s">
        <v>50668</v>
      </c>
      <c r="C22929" s="33" t="s">
        <v>50669</v>
      </c>
      <c r="D22929" s="33" t="s">
        <v>17</v>
      </c>
      <c r="E22929" s="33" t="s">
        <v>45</v>
      </c>
      <c r="F22929" s="33" t="s">
        <v>46</v>
      </c>
      <c r="G22929" s="33" t="s">
        <v>140</v>
      </c>
      <c r="H22929" s="35">
        <v>222</v>
      </c>
      <c r="I22929" s="33" t="s">
        <v>51</v>
      </c>
      <c r="J22929" s="42">
        <v>46009</v>
      </c>
      <c r="K22929" s="33" t="s">
        <v>22</v>
      </c>
    </row>
    <row r="22930" spans="1:11">
      <c r="A22930" s="30" t="s">
        <v>50670</v>
      </c>
      <c r="B22930" s="30" t="s">
        <v>50671</v>
      </c>
      <c r="C22930" s="30" t="s">
        <v>190</v>
      </c>
      <c r="D22930" s="30" t="s">
        <v>17</v>
      </c>
      <c r="E22930" s="30" t="s">
        <v>18</v>
      </c>
      <c r="F22930" s="30" t="s">
        <v>19</v>
      </c>
      <c r="G22930" s="30" t="s">
        <v>140</v>
      </c>
      <c r="H22930" s="32">
        <v>600</v>
      </c>
      <c r="I22930" s="30" t="s">
        <v>51</v>
      </c>
      <c r="J22930" s="41">
        <v>45743</v>
      </c>
      <c r="K22930" s="30" t="s">
        <v>22</v>
      </c>
    </row>
    <row r="22931" spans="1:11">
      <c r="A22931" s="33" t="s">
        <v>50672</v>
      </c>
      <c r="B22931" s="33" t="s">
        <v>50673</v>
      </c>
      <c r="C22931" s="33" t="s">
        <v>12980</v>
      </c>
      <c r="D22931" s="33" t="s">
        <v>17</v>
      </c>
      <c r="E22931" s="33" t="s">
        <v>26</v>
      </c>
      <c r="F22931" s="33" t="s">
        <v>27</v>
      </c>
      <c r="G22931" s="33" t="s">
        <v>20</v>
      </c>
      <c r="H22931" s="35">
        <v>32</v>
      </c>
      <c r="I22931" s="33" t="s">
        <v>21</v>
      </c>
      <c r="J22931" s="42">
        <v>45712</v>
      </c>
      <c r="K22931" s="33" t="s">
        <v>22</v>
      </c>
    </row>
    <row r="22932" spans="1:11">
      <c r="A22932" s="30" t="s">
        <v>50674</v>
      </c>
      <c r="B22932" s="30" t="s">
        <v>50675</v>
      </c>
      <c r="C22932" s="30" t="s">
        <v>48387</v>
      </c>
      <c r="D22932" s="30" t="s">
        <v>17</v>
      </c>
      <c r="E22932" s="30" t="s">
        <v>330</v>
      </c>
      <c r="F22932" s="30" t="s">
        <v>331</v>
      </c>
      <c r="G22932" s="30" t="s">
        <v>140</v>
      </c>
      <c r="H22932" s="32">
        <v>36</v>
      </c>
      <c r="I22932" s="30" t="s">
        <v>51</v>
      </c>
      <c r="J22932" s="41">
        <v>45944</v>
      </c>
      <c r="K22932" s="30" t="s">
        <v>22</v>
      </c>
    </row>
    <row r="22933" spans="1:11">
      <c r="A22933" s="33" t="s">
        <v>50676</v>
      </c>
      <c r="B22933" s="33" t="s">
        <v>50677</v>
      </c>
      <c r="C22933" s="33" t="s">
        <v>35404</v>
      </c>
      <c r="D22933" s="33" t="s">
        <v>17</v>
      </c>
      <c r="E22933" s="33" t="s">
        <v>31</v>
      </c>
      <c r="F22933" s="33" t="s">
        <v>32</v>
      </c>
      <c r="G22933" s="33" t="s">
        <v>158</v>
      </c>
      <c r="H22933" s="35">
        <v>150</v>
      </c>
      <c r="I22933" s="33" t="s">
        <v>51</v>
      </c>
      <c r="J22933" s="42">
        <v>45799</v>
      </c>
      <c r="K22933" s="33" t="s">
        <v>22</v>
      </c>
    </row>
    <row r="22934" spans="1:11">
      <c r="A22934" s="30" t="s">
        <v>50678</v>
      </c>
      <c r="B22934" s="30" t="s">
        <v>50679</v>
      </c>
      <c r="C22934" s="30" t="s">
        <v>1207</v>
      </c>
      <c r="D22934" s="30" t="s">
        <v>17</v>
      </c>
      <c r="E22934" s="30" t="s">
        <v>212</v>
      </c>
      <c r="F22934" s="30" t="s">
        <v>213</v>
      </c>
      <c r="G22934" s="30" t="s">
        <v>140</v>
      </c>
      <c r="H22934" s="32">
        <v>50</v>
      </c>
      <c r="I22934" s="30" t="s">
        <v>51</v>
      </c>
      <c r="J22934" s="41">
        <v>45677</v>
      </c>
      <c r="K22934" s="30" t="s">
        <v>22</v>
      </c>
    </row>
    <row r="22935" spans="1:11">
      <c r="A22935" s="33" t="s">
        <v>50680</v>
      </c>
      <c r="B22935" s="33" t="s">
        <v>50681</v>
      </c>
      <c r="C22935" s="33" t="s">
        <v>5842</v>
      </c>
      <c r="D22935" s="33" t="s">
        <v>17</v>
      </c>
      <c r="E22935" s="33" t="s">
        <v>26</v>
      </c>
      <c r="F22935" s="33" t="s">
        <v>27</v>
      </c>
      <c r="G22935" s="33" t="s">
        <v>140</v>
      </c>
      <c r="H22935" s="35">
        <v>64</v>
      </c>
      <c r="I22935" s="33" t="s">
        <v>51</v>
      </c>
      <c r="J22935" s="42">
        <v>45785</v>
      </c>
      <c r="K22935" s="33" t="s">
        <v>22</v>
      </c>
    </row>
    <row r="22936" spans="1:11">
      <c r="A22936" s="30" t="s">
        <v>50682</v>
      </c>
      <c r="B22936" s="30" t="s">
        <v>50683</v>
      </c>
      <c r="C22936" s="30" t="s">
        <v>50684</v>
      </c>
      <c r="D22936" s="30" t="s">
        <v>17</v>
      </c>
      <c r="E22936" s="30" t="s">
        <v>26</v>
      </c>
      <c r="F22936" s="30" t="s">
        <v>27</v>
      </c>
      <c r="G22936" s="30" t="s">
        <v>140</v>
      </c>
      <c r="H22936" s="32">
        <v>72</v>
      </c>
      <c r="I22936" s="30" t="s">
        <v>51</v>
      </c>
      <c r="J22936" s="41">
        <v>45999</v>
      </c>
      <c r="K22936" s="30" t="s">
        <v>22</v>
      </c>
    </row>
    <row r="22937" spans="1:11">
      <c r="A22937" s="33" t="s">
        <v>50685</v>
      </c>
      <c r="B22937" s="33" t="s">
        <v>50686</v>
      </c>
      <c r="C22937" s="33" t="s">
        <v>10832</v>
      </c>
      <c r="D22937" s="33" t="s">
        <v>17</v>
      </c>
      <c r="E22937" s="33" t="s">
        <v>67</v>
      </c>
      <c r="F22937" s="33" t="s">
        <v>68</v>
      </c>
      <c r="G22937" s="33" t="s">
        <v>7780</v>
      </c>
      <c r="H22937" s="35">
        <v>200</v>
      </c>
      <c r="I22937" s="33" t="s">
        <v>51</v>
      </c>
      <c r="J22937" s="42">
        <v>45708</v>
      </c>
      <c r="K22937" s="33" t="s">
        <v>22</v>
      </c>
    </row>
    <row r="22938" spans="1:11">
      <c r="A22938" s="30" t="s">
        <v>50687</v>
      </c>
      <c r="B22938" s="30" t="s">
        <v>50688</v>
      </c>
      <c r="C22938" s="30" t="s">
        <v>50689</v>
      </c>
      <c r="D22938" s="30" t="s">
        <v>17</v>
      </c>
      <c r="E22938" s="30" t="s">
        <v>330</v>
      </c>
      <c r="F22938" s="30" t="s">
        <v>331</v>
      </c>
      <c r="G22938" s="30" t="s">
        <v>140</v>
      </c>
      <c r="H22938" s="32">
        <v>29</v>
      </c>
      <c r="I22938" s="30" t="s">
        <v>51</v>
      </c>
      <c r="J22938" s="41">
        <v>45839</v>
      </c>
      <c r="K22938" s="30" t="s">
        <v>22</v>
      </c>
    </row>
    <row r="22939" spans="1:11">
      <c r="A22939" s="33" t="s">
        <v>50690</v>
      </c>
      <c r="B22939" s="33" t="s">
        <v>50691</v>
      </c>
      <c r="C22939" s="33" t="s">
        <v>12879</v>
      </c>
      <c r="D22939" s="33" t="s">
        <v>17</v>
      </c>
      <c r="E22939" s="33" t="s">
        <v>18</v>
      </c>
      <c r="F22939" s="33" t="s">
        <v>19</v>
      </c>
      <c r="G22939" s="33" t="s">
        <v>140</v>
      </c>
      <c r="H22939" s="35">
        <v>32</v>
      </c>
      <c r="I22939" s="33" t="s">
        <v>51</v>
      </c>
      <c r="J22939" s="42">
        <v>45812</v>
      </c>
      <c r="K22939" s="33" t="s">
        <v>22</v>
      </c>
    </row>
    <row r="22940" spans="1:11">
      <c r="A22940" s="30" t="s">
        <v>50692</v>
      </c>
      <c r="B22940" s="30" t="s">
        <v>50693</v>
      </c>
      <c r="C22940" s="30" t="s">
        <v>1808</v>
      </c>
      <c r="D22940" s="30" t="s">
        <v>17</v>
      </c>
      <c r="E22940" s="30" t="s">
        <v>67</v>
      </c>
      <c r="F22940" s="30" t="s">
        <v>68</v>
      </c>
      <c r="G22940" s="30" t="s">
        <v>7780</v>
      </c>
      <c r="H22940" s="32">
        <v>48</v>
      </c>
      <c r="I22940" s="30" t="s">
        <v>51</v>
      </c>
      <c r="J22940" s="41">
        <v>45870</v>
      </c>
      <c r="K22940" s="30" t="s">
        <v>22</v>
      </c>
    </row>
    <row r="22941" spans="1:11">
      <c r="A22941" s="33" t="s">
        <v>50694</v>
      </c>
      <c r="B22941" s="33" t="s">
        <v>50695</v>
      </c>
      <c r="C22941" s="33" t="s">
        <v>231</v>
      </c>
      <c r="D22941" s="33" t="s">
        <v>17</v>
      </c>
      <c r="E22941" s="33" t="s">
        <v>26</v>
      </c>
      <c r="F22941" s="33" t="s">
        <v>27</v>
      </c>
      <c r="G22941" s="33" t="s">
        <v>106</v>
      </c>
      <c r="H22941" s="35">
        <v>40</v>
      </c>
      <c r="I22941" s="33" t="s">
        <v>21</v>
      </c>
      <c r="J22941" s="42">
        <v>45982</v>
      </c>
      <c r="K22941" s="33" t="s">
        <v>22</v>
      </c>
    </row>
    <row r="22942" spans="1:11">
      <c r="A22942" s="30" t="s">
        <v>50696</v>
      </c>
      <c r="B22942" s="30" t="s">
        <v>50697</v>
      </c>
      <c r="C22942" s="30" t="s">
        <v>47216</v>
      </c>
      <c r="D22942" s="30" t="s">
        <v>17</v>
      </c>
      <c r="E22942" s="30" t="s">
        <v>67</v>
      </c>
      <c r="F22942" s="30" t="s">
        <v>68</v>
      </c>
      <c r="G22942" s="30" t="s">
        <v>7780</v>
      </c>
      <c r="H22942" s="32">
        <v>149</v>
      </c>
      <c r="I22942" s="30" t="s">
        <v>51</v>
      </c>
      <c r="J22942" s="41">
        <v>45658</v>
      </c>
      <c r="K22942" s="30" t="s">
        <v>22</v>
      </c>
    </row>
    <row r="22943" spans="1:11">
      <c r="A22943" s="33" t="s">
        <v>50698</v>
      </c>
      <c r="B22943" s="33" t="s">
        <v>50699</v>
      </c>
      <c r="C22943" s="33" t="s">
        <v>37244</v>
      </c>
      <c r="D22943" s="33" t="s">
        <v>17</v>
      </c>
      <c r="E22943" s="33" t="s">
        <v>18</v>
      </c>
      <c r="F22943" s="33" t="s">
        <v>19</v>
      </c>
      <c r="G22943" s="33" t="s">
        <v>158</v>
      </c>
      <c r="H22943" s="35">
        <v>577</v>
      </c>
      <c r="I22943" s="33" t="s">
        <v>21</v>
      </c>
      <c r="J22943" s="42">
        <v>45881</v>
      </c>
      <c r="K22943" s="33" t="s">
        <v>22</v>
      </c>
    </row>
    <row r="22944" spans="1:11">
      <c r="A22944" s="30" t="s">
        <v>50700</v>
      </c>
      <c r="B22944" s="30" t="s">
        <v>50701</v>
      </c>
      <c r="C22944" s="30" t="s">
        <v>9490</v>
      </c>
      <c r="D22944" s="30" t="s">
        <v>17</v>
      </c>
      <c r="E22944" s="30" t="s">
        <v>26</v>
      </c>
      <c r="F22944" s="30" t="s">
        <v>27</v>
      </c>
      <c r="G22944" s="30" t="s">
        <v>140</v>
      </c>
      <c r="H22944" s="32">
        <v>32</v>
      </c>
      <c r="I22944" s="30" t="s">
        <v>51</v>
      </c>
      <c r="J22944" s="41">
        <v>45699</v>
      </c>
      <c r="K22944" s="30" t="s">
        <v>22</v>
      </c>
    </row>
    <row r="22945" spans="1:11">
      <c r="A22945" s="33" t="s">
        <v>50702</v>
      </c>
      <c r="B22945" s="33" t="s">
        <v>50703</v>
      </c>
      <c r="C22945" s="33" t="s">
        <v>12845</v>
      </c>
      <c r="D22945" s="33" t="s">
        <v>17</v>
      </c>
      <c r="E22945" s="33" t="s">
        <v>67</v>
      </c>
      <c r="F22945" s="33" t="s">
        <v>68</v>
      </c>
      <c r="G22945" s="33" t="s">
        <v>140</v>
      </c>
      <c r="H22945" s="35">
        <v>65</v>
      </c>
      <c r="I22945" s="33" t="s">
        <v>51</v>
      </c>
      <c r="J22945" s="42">
        <v>45875</v>
      </c>
      <c r="K22945" s="33" t="s">
        <v>22</v>
      </c>
    </row>
    <row r="22946" spans="1:11">
      <c r="A22946" s="30" t="s">
        <v>50704</v>
      </c>
      <c r="B22946" s="30" t="s">
        <v>50705</v>
      </c>
      <c r="C22946" s="30" t="s">
        <v>14073</v>
      </c>
      <c r="D22946" s="30" t="s">
        <v>17</v>
      </c>
      <c r="E22946" s="30" t="s">
        <v>212</v>
      </c>
      <c r="F22946" s="30" t="s">
        <v>213</v>
      </c>
      <c r="G22946" s="30" t="s">
        <v>112</v>
      </c>
      <c r="H22946" s="32">
        <v>0</v>
      </c>
      <c r="I22946" s="30" t="s">
        <v>21</v>
      </c>
      <c r="J22946" s="41">
        <v>45778</v>
      </c>
      <c r="K22946" s="30" t="s">
        <v>22</v>
      </c>
    </row>
    <row r="22947" spans="1:11">
      <c r="A22947" s="33" t="s">
        <v>50706</v>
      </c>
      <c r="B22947" s="33" t="s">
        <v>50707</v>
      </c>
      <c r="C22947" s="33" t="s">
        <v>130</v>
      </c>
      <c r="D22947" s="33" t="s">
        <v>17</v>
      </c>
      <c r="E22947" s="33" t="s">
        <v>18</v>
      </c>
      <c r="F22947" s="33" t="s">
        <v>19</v>
      </c>
      <c r="G22947" s="33" t="s">
        <v>140</v>
      </c>
      <c r="H22947" s="35">
        <v>600</v>
      </c>
      <c r="I22947" s="33" t="s">
        <v>51</v>
      </c>
      <c r="J22947" s="42">
        <v>45716</v>
      </c>
      <c r="K22947" s="33" t="s">
        <v>22</v>
      </c>
    </row>
    <row r="22948" spans="1:11">
      <c r="A22948" s="30" t="s">
        <v>50708</v>
      </c>
      <c r="B22948" s="30" t="s">
        <v>50709</v>
      </c>
      <c r="C22948" s="30" t="s">
        <v>1165</v>
      </c>
      <c r="D22948" s="30" t="s">
        <v>17</v>
      </c>
      <c r="E22948" s="30" t="s">
        <v>18</v>
      </c>
      <c r="F22948" s="30" t="s">
        <v>19</v>
      </c>
      <c r="G22948" s="30" t="s">
        <v>158</v>
      </c>
      <c r="H22948" s="32">
        <v>631</v>
      </c>
      <c r="I22948" s="30" t="s">
        <v>21</v>
      </c>
      <c r="J22948" s="41">
        <v>45672</v>
      </c>
      <c r="K22948" s="30" t="s">
        <v>22</v>
      </c>
    </row>
    <row r="22949" spans="1:11">
      <c r="A22949" s="33" t="s">
        <v>50710</v>
      </c>
      <c r="B22949" s="33" t="s">
        <v>50711</v>
      </c>
      <c r="C22949" s="33" t="s">
        <v>39582</v>
      </c>
      <c r="D22949" s="33" t="s">
        <v>17</v>
      </c>
      <c r="E22949" s="33" t="s">
        <v>26</v>
      </c>
      <c r="F22949" s="33" t="s">
        <v>27</v>
      </c>
      <c r="G22949" s="33" t="s">
        <v>7780</v>
      </c>
      <c r="H22949" s="35">
        <v>37</v>
      </c>
      <c r="I22949" s="33" t="s">
        <v>51</v>
      </c>
      <c r="J22949" s="42">
        <v>45809</v>
      </c>
      <c r="K22949" s="33" t="s">
        <v>22</v>
      </c>
    </row>
    <row r="22950" spans="1:11">
      <c r="A22950" s="30" t="s">
        <v>50712</v>
      </c>
      <c r="B22950" s="30" t="s">
        <v>50713</v>
      </c>
      <c r="C22950" s="30" t="s">
        <v>50714</v>
      </c>
      <c r="D22950" s="30" t="s">
        <v>17</v>
      </c>
      <c r="E22950" s="30" t="s">
        <v>330</v>
      </c>
      <c r="F22950" s="30" t="s">
        <v>331</v>
      </c>
      <c r="G22950" s="30" t="s">
        <v>69</v>
      </c>
      <c r="H22950" s="32">
        <v>48</v>
      </c>
      <c r="I22950" s="30" t="s">
        <v>51</v>
      </c>
      <c r="J22950" s="41">
        <v>45720</v>
      </c>
      <c r="K22950" s="30" t="s">
        <v>22</v>
      </c>
    </row>
    <row r="22951" spans="1:11">
      <c r="A22951" s="33" t="s">
        <v>50715</v>
      </c>
      <c r="B22951" s="33" t="s">
        <v>50716</v>
      </c>
      <c r="C22951" s="33" t="s">
        <v>3757</v>
      </c>
      <c r="D22951" s="33" t="s">
        <v>17</v>
      </c>
      <c r="E22951" s="33" t="s">
        <v>18</v>
      </c>
      <c r="F22951" s="33" t="s">
        <v>19</v>
      </c>
      <c r="G22951" s="33" t="s">
        <v>7780</v>
      </c>
      <c r="H22951" s="35">
        <v>360</v>
      </c>
      <c r="I22951" s="33" t="s">
        <v>51</v>
      </c>
      <c r="J22951" s="42">
        <v>45901</v>
      </c>
      <c r="K22951" s="33" t="s">
        <v>22</v>
      </c>
    </row>
    <row r="22952" spans="1:11">
      <c r="A22952" s="30" t="s">
        <v>50717</v>
      </c>
      <c r="B22952" s="30" t="s">
        <v>50718</v>
      </c>
      <c r="C22952" s="30" t="s">
        <v>149</v>
      </c>
      <c r="D22952" s="30" t="s">
        <v>17</v>
      </c>
      <c r="E22952" s="30" t="s">
        <v>26</v>
      </c>
      <c r="F22952" s="30" t="s">
        <v>27</v>
      </c>
      <c r="G22952" s="30" t="s">
        <v>140</v>
      </c>
      <c r="H22952" s="32">
        <v>120</v>
      </c>
      <c r="I22952" s="30" t="s">
        <v>51</v>
      </c>
      <c r="J22952" s="41">
        <v>45946</v>
      </c>
      <c r="K22952" s="30" t="s">
        <v>22</v>
      </c>
    </row>
    <row r="22953" spans="1:11">
      <c r="A22953" s="33" t="s">
        <v>50719</v>
      </c>
      <c r="B22953" s="33" t="s">
        <v>50720</v>
      </c>
      <c r="C22953" s="33" t="s">
        <v>48460</v>
      </c>
      <c r="D22953" s="33" t="s">
        <v>17</v>
      </c>
      <c r="E22953" s="33" t="s">
        <v>330</v>
      </c>
      <c r="F22953" s="33" t="s">
        <v>331</v>
      </c>
      <c r="G22953" s="33" t="s">
        <v>158</v>
      </c>
      <c r="H22953" s="35">
        <v>38</v>
      </c>
      <c r="I22953" s="33" t="s">
        <v>51</v>
      </c>
      <c r="J22953" s="42">
        <v>45880</v>
      </c>
      <c r="K22953" s="33" t="s">
        <v>22</v>
      </c>
    </row>
    <row r="22954" spans="1:11">
      <c r="A22954" s="30" t="s">
        <v>50721</v>
      </c>
      <c r="B22954" s="30" t="s">
        <v>50722</v>
      </c>
      <c r="C22954" s="30" t="s">
        <v>326</v>
      </c>
      <c r="D22954" s="30" t="s">
        <v>17</v>
      </c>
      <c r="E22954" s="30" t="s">
        <v>18</v>
      </c>
      <c r="F22954" s="30" t="s">
        <v>19</v>
      </c>
      <c r="G22954" s="30" t="s">
        <v>140</v>
      </c>
      <c r="H22954" s="32">
        <v>507</v>
      </c>
      <c r="I22954" s="30" t="s">
        <v>51</v>
      </c>
      <c r="J22954" s="41">
        <v>45931</v>
      </c>
      <c r="K22954" s="30" t="s">
        <v>22</v>
      </c>
    </row>
    <row r="22955" spans="1:11">
      <c r="A22955" s="33" t="s">
        <v>50723</v>
      </c>
      <c r="B22955" s="33" t="s">
        <v>50724</v>
      </c>
      <c r="C22955" s="33" t="s">
        <v>16367</v>
      </c>
      <c r="D22955" s="33" t="s">
        <v>17</v>
      </c>
      <c r="E22955" s="33" t="s">
        <v>18</v>
      </c>
      <c r="F22955" s="33" t="s">
        <v>19</v>
      </c>
      <c r="G22955" s="33" t="s">
        <v>140</v>
      </c>
      <c r="H22955" s="35">
        <v>168</v>
      </c>
      <c r="I22955" s="33" t="s">
        <v>51</v>
      </c>
      <c r="J22955" s="42">
        <v>45856</v>
      </c>
      <c r="K22955" s="33" t="s">
        <v>22</v>
      </c>
    </row>
    <row r="22956" spans="1:11">
      <c r="A22956" s="30" t="s">
        <v>50725</v>
      </c>
      <c r="B22956" s="30" t="s">
        <v>50726</v>
      </c>
      <c r="C22956" s="30" t="s">
        <v>15917</v>
      </c>
      <c r="D22956" s="30" t="s">
        <v>17</v>
      </c>
      <c r="E22956" s="30" t="s">
        <v>26</v>
      </c>
      <c r="F22956" s="30" t="s">
        <v>27</v>
      </c>
      <c r="G22956" s="30" t="s">
        <v>20</v>
      </c>
      <c r="H22956" s="32">
        <v>16</v>
      </c>
      <c r="I22956" s="30" t="s">
        <v>21</v>
      </c>
      <c r="J22956" s="41">
        <v>45938</v>
      </c>
      <c r="K22956" s="30" t="s">
        <v>22</v>
      </c>
    </row>
    <row r="22957" spans="1:11">
      <c r="A22957" s="33" t="s">
        <v>50727</v>
      </c>
      <c r="B22957" s="33" t="s">
        <v>50728</v>
      </c>
      <c r="C22957" s="33" t="s">
        <v>149</v>
      </c>
      <c r="D22957" s="33" t="s">
        <v>17</v>
      </c>
      <c r="E22957" s="33" t="s">
        <v>31</v>
      </c>
      <c r="F22957" s="33" t="s">
        <v>32</v>
      </c>
      <c r="G22957" s="33" t="s">
        <v>158</v>
      </c>
      <c r="H22957" s="35">
        <v>155</v>
      </c>
      <c r="I22957" s="33" t="s">
        <v>21</v>
      </c>
      <c r="J22957" s="42">
        <v>45701</v>
      </c>
      <c r="K22957" s="33" t="s">
        <v>22</v>
      </c>
    </row>
    <row r="22958" spans="1:11">
      <c r="A22958" s="30" t="s">
        <v>50729</v>
      </c>
      <c r="B22958" s="30" t="s">
        <v>50730</v>
      </c>
      <c r="C22958" s="30" t="s">
        <v>50731</v>
      </c>
      <c r="D22958" s="30" t="s">
        <v>17</v>
      </c>
      <c r="E22958" s="30" t="s">
        <v>26</v>
      </c>
      <c r="F22958" s="30" t="s">
        <v>27</v>
      </c>
      <c r="G22958" s="30" t="s">
        <v>140</v>
      </c>
      <c r="H22958" s="32">
        <v>88</v>
      </c>
      <c r="I22958" s="30" t="s">
        <v>51</v>
      </c>
      <c r="J22958" s="41">
        <v>45803</v>
      </c>
      <c r="K22958" s="30" t="s">
        <v>22</v>
      </c>
    </row>
    <row r="22959" spans="1:11">
      <c r="A22959" s="33" t="s">
        <v>50732</v>
      </c>
      <c r="B22959" s="33" t="s">
        <v>50733</v>
      </c>
      <c r="C22959" s="33" t="s">
        <v>27922</v>
      </c>
      <c r="D22959" s="33" t="s">
        <v>17</v>
      </c>
      <c r="E22959" s="33" t="s">
        <v>26</v>
      </c>
      <c r="F22959" s="33" t="s">
        <v>27</v>
      </c>
      <c r="G22959" s="33" t="s">
        <v>20</v>
      </c>
      <c r="H22959" s="35">
        <v>60</v>
      </c>
      <c r="I22959" s="33" t="s">
        <v>21</v>
      </c>
      <c r="J22959" s="42">
        <v>45911</v>
      </c>
      <c r="K22959" s="33" t="s">
        <v>22</v>
      </c>
    </row>
    <row r="22960" spans="1:11">
      <c r="A22960" s="30" t="s">
        <v>50734</v>
      </c>
      <c r="B22960" s="30" t="s">
        <v>50735</v>
      </c>
      <c r="C22960" s="30" t="s">
        <v>157</v>
      </c>
      <c r="D22960" s="30" t="s">
        <v>17</v>
      </c>
      <c r="E22960" s="30" t="s">
        <v>18</v>
      </c>
      <c r="F22960" s="30" t="s">
        <v>19</v>
      </c>
      <c r="G22960" s="30" t="s">
        <v>20</v>
      </c>
      <c r="H22960" s="32">
        <v>606</v>
      </c>
      <c r="I22960" s="30" t="s">
        <v>21</v>
      </c>
      <c r="J22960" s="41">
        <v>45847</v>
      </c>
      <c r="K22960" s="30" t="s">
        <v>22</v>
      </c>
    </row>
    <row r="22961" spans="1:11">
      <c r="A22961" s="33" t="s">
        <v>50736</v>
      </c>
      <c r="B22961" s="33" t="s">
        <v>50737</v>
      </c>
      <c r="C22961" s="33" t="s">
        <v>3057</v>
      </c>
      <c r="D22961" s="33" t="s">
        <v>17</v>
      </c>
      <c r="E22961" s="33" t="s">
        <v>26</v>
      </c>
      <c r="F22961" s="33" t="s">
        <v>27</v>
      </c>
      <c r="G22961" s="33" t="s">
        <v>140</v>
      </c>
      <c r="H22961" s="35">
        <v>40</v>
      </c>
      <c r="I22961" s="33" t="s">
        <v>51</v>
      </c>
      <c r="J22961" s="42">
        <v>45833</v>
      </c>
      <c r="K22961" s="33" t="s">
        <v>22</v>
      </c>
    </row>
    <row r="22962" spans="1:11">
      <c r="A22962" s="30" t="s">
        <v>50738</v>
      </c>
      <c r="B22962" s="30" t="s">
        <v>50739</v>
      </c>
      <c r="C22962" s="30" t="s">
        <v>136</v>
      </c>
      <c r="D22962" s="30" t="s">
        <v>17</v>
      </c>
      <c r="E22962" s="30" t="s">
        <v>212</v>
      </c>
      <c r="F22962" s="30" t="s">
        <v>213</v>
      </c>
      <c r="G22962" s="30" t="s">
        <v>140</v>
      </c>
      <c r="H22962" s="32">
        <v>279</v>
      </c>
      <c r="I22962" s="30" t="s">
        <v>51</v>
      </c>
      <c r="J22962" s="41">
        <v>45797</v>
      </c>
      <c r="K22962" s="30" t="s">
        <v>22</v>
      </c>
    </row>
    <row r="22963" spans="1:11">
      <c r="A22963" s="33" t="s">
        <v>50740</v>
      </c>
      <c r="B22963" s="33" t="s">
        <v>50741</v>
      </c>
      <c r="C22963" s="33" t="s">
        <v>50742</v>
      </c>
      <c r="D22963" s="33" t="s">
        <v>17</v>
      </c>
      <c r="E22963" s="33" t="s">
        <v>31</v>
      </c>
      <c r="F22963" s="33" t="s">
        <v>32</v>
      </c>
      <c r="G22963" s="33" t="s">
        <v>140</v>
      </c>
      <c r="H22963" s="35">
        <v>110</v>
      </c>
      <c r="I22963" s="33" t="s">
        <v>51</v>
      </c>
      <c r="J22963" s="42">
        <v>46021</v>
      </c>
      <c r="K22963" s="33" t="s">
        <v>22</v>
      </c>
    </row>
    <row r="22964" spans="1:11">
      <c r="A22964" s="30" t="s">
        <v>50743</v>
      </c>
      <c r="B22964" s="30" t="s">
        <v>50744</v>
      </c>
      <c r="C22964" s="30" t="s">
        <v>3944</v>
      </c>
      <c r="D22964" s="30" t="s">
        <v>17</v>
      </c>
      <c r="E22964" s="30" t="s">
        <v>26</v>
      </c>
      <c r="F22964" s="30" t="s">
        <v>27</v>
      </c>
      <c r="G22964" s="30" t="s">
        <v>140</v>
      </c>
      <c r="H22964" s="32">
        <v>90</v>
      </c>
      <c r="I22964" s="30" t="s">
        <v>51</v>
      </c>
      <c r="J22964" s="41">
        <v>45912</v>
      </c>
      <c r="K22964" s="30" t="s">
        <v>22</v>
      </c>
    </row>
    <row r="22965" spans="1:11">
      <c r="A22965" s="33" t="s">
        <v>50745</v>
      </c>
      <c r="B22965" s="33" t="s">
        <v>50746</v>
      </c>
      <c r="C22965" s="33" t="s">
        <v>13241</v>
      </c>
      <c r="D22965" s="33" t="s">
        <v>17</v>
      </c>
      <c r="E22965" s="33" t="s">
        <v>67</v>
      </c>
      <c r="F22965" s="33" t="s">
        <v>68</v>
      </c>
      <c r="G22965" s="33" t="s">
        <v>140</v>
      </c>
      <c r="H22965" s="35">
        <v>100</v>
      </c>
      <c r="I22965" s="33" t="s">
        <v>51</v>
      </c>
      <c r="J22965" s="42">
        <v>45993</v>
      </c>
      <c r="K22965" s="33" t="s">
        <v>22</v>
      </c>
    </row>
    <row r="22966" spans="1:11">
      <c r="A22966" s="30" t="s">
        <v>50747</v>
      </c>
      <c r="B22966" s="30" t="s">
        <v>50748</v>
      </c>
      <c r="C22966" s="30" t="s">
        <v>60</v>
      </c>
      <c r="D22966" s="30" t="s">
        <v>17</v>
      </c>
      <c r="E22966" s="30" t="s">
        <v>26</v>
      </c>
      <c r="F22966" s="30" t="s">
        <v>27</v>
      </c>
      <c r="G22966" s="30" t="s">
        <v>20</v>
      </c>
      <c r="H22966" s="32">
        <v>68</v>
      </c>
      <c r="I22966" s="30" t="s">
        <v>21</v>
      </c>
      <c r="J22966" s="41">
        <v>45748</v>
      </c>
      <c r="K22966" s="30" t="s">
        <v>22</v>
      </c>
    </row>
    <row r="22967" spans="1:11">
      <c r="A22967" s="33" t="s">
        <v>50749</v>
      </c>
      <c r="B22967" s="33" t="s">
        <v>50750</v>
      </c>
      <c r="C22967" s="33" t="s">
        <v>4218</v>
      </c>
      <c r="D22967" s="33" t="s">
        <v>17</v>
      </c>
      <c r="E22967" s="33" t="s">
        <v>31</v>
      </c>
      <c r="F22967" s="33" t="s">
        <v>32</v>
      </c>
      <c r="G22967" s="33" t="s">
        <v>140</v>
      </c>
      <c r="H22967" s="35">
        <v>120</v>
      </c>
      <c r="I22967" s="33" t="s">
        <v>51</v>
      </c>
      <c r="J22967" s="42">
        <v>46001</v>
      </c>
      <c r="K22967" s="33" t="s">
        <v>22</v>
      </c>
    </row>
    <row r="22968" spans="1:11">
      <c r="A22968" s="30" t="s">
        <v>50751</v>
      </c>
      <c r="B22968" s="30" t="s">
        <v>50752</v>
      </c>
      <c r="C22968" s="30" t="s">
        <v>11599</v>
      </c>
      <c r="D22968" s="30" t="s">
        <v>17</v>
      </c>
      <c r="E22968" s="30" t="s">
        <v>31</v>
      </c>
      <c r="F22968" s="30" t="s">
        <v>32</v>
      </c>
      <c r="G22968" s="30" t="s">
        <v>20</v>
      </c>
      <c r="H22968" s="32">
        <v>20</v>
      </c>
      <c r="I22968" s="30" t="s">
        <v>21</v>
      </c>
      <c r="J22968" s="41">
        <v>45835</v>
      </c>
      <c r="K22968" s="30" t="s">
        <v>22</v>
      </c>
    </row>
    <row r="22969" spans="1:11">
      <c r="A22969" s="33" t="s">
        <v>50753</v>
      </c>
      <c r="B22969" s="33" t="s">
        <v>50754</v>
      </c>
      <c r="C22969" s="33" t="s">
        <v>50755</v>
      </c>
      <c r="D22969" s="33" t="s">
        <v>17</v>
      </c>
      <c r="E22969" s="33" t="s">
        <v>26</v>
      </c>
      <c r="F22969" s="33" t="s">
        <v>27</v>
      </c>
      <c r="G22969" s="33" t="s">
        <v>140</v>
      </c>
      <c r="H22969" s="35">
        <v>64</v>
      </c>
      <c r="I22969" s="33" t="s">
        <v>51</v>
      </c>
      <c r="J22969" s="42">
        <v>45756</v>
      </c>
      <c r="K22969" s="33" t="s">
        <v>22</v>
      </c>
    </row>
    <row r="22970" spans="1:11">
      <c r="A22970" s="30" t="s">
        <v>50756</v>
      </c>
      <c r="B22970" s="30" t="s">
        <v>50757</v>
      </c>
      <c r="C22970" s="30" t="s">
        <v>50758</v>
      </c>
      <c r="D22970" s="30" t="s">
        <v>17</v>
      </c>
      <c r="E22970" s="30" t="s">
        <v>18</v>
      </c>
      <c r="F22970" s="30" t="s">
        <v>19</v>
      </c>
      <c r="G22970" s="30" t="s">
        <v>140</v>
      </c>
      <c r="H22970" s="32">
        <v>659</v>
      </c>
      <c r="I22970" s="30" t="s">
        <v>51</v>
      </c>
      <c r="J22970" s="41">
        <v>45962</v>
      </c>
      <c r="K22970" s="30" t="s">
        <v>22</v>
      </c>
    </row>
    <row r="22971" spans="1:11">
      <c r="A22971" s="33" t="s">
        <v>50759</v>
      </c>
      <c r="B22971" s="33" t="s">
        <v>50760</v>
      </c>
      <c r="C22971" s="33" t="s">
        <v>149</v>
      </c>
      <c r="D22971" s="33" t="s">
        <v>17</v>
      </c>
      <c r="E22971" s="33" t="s">
        <v>26</v>
      </c>
      <c r="F22971" s="33" t="s">
        <v>27</v>
      </c>
      <c r="G22971" s="33" t="s">
        <v>20</v>
      </c>
      <c r="H22971" s="35">
        <v>49</v>
      </c>
      <c r="I22971" s="33" t="s">
        <v>21</v>
      </c>
      <c r="J22971" s="42">
        <v>45895</v>
      </c>
      <c r="K22971" s="33" t="s">
        <v>22</v>
      </c>
    </row>
    <row r="22972" spans="1:11">
      <c r="A22972" s="30" t="s">
        <v>50761</v>
      </c>
      <c r="B22972" s="30" t="s">
        <v>50762</v>
      </c>
      <c r="C22972" s="30" t="s">
        <v>6379</v>
      </c>
      <c r="D22972" s="30" t="s">
        <v>17</v>
      </c>
      <c r="E22972" s="30" t="s">
        <v>18</v>
      </c>
      <c r="F22972" s="30" t="s">
        <v>19</v>
      </c>
      <c r="G22972" s="30" t="s">
        <v>140</v>
      </c>
      <c r="H22972" s="32">
        <v>560</v>
      </c>
      <c r="I22972" s="30" t="s">
        <v>51</v>
      </c>
      <c r="J22972" s="41">
        <v>46007</v>
      </c>
      <c r="K22972" s="30" t="s">
        <v>22</v>
      </c>
    </row>
    <row r="22973" spans="1:11">
      <c r="A22973" s="33" t="s">
        <v>50763</v>
      </c>
      <c r="B22973" s="33" t="s">
        <v>50764</v>
      </c>
      <c r="C22973" s="33" t="s">
        <v>899</v>
      </c>
      <c r="D22973" s="33" t="s">
        <v>17</v>
      </c>
      <c r="E22973" s="33" t="s">
        <v>26</v>
      </c>
      <c r="F22973" s="33" t="s">
        <v>27</v>
      </c>
      <c r="G22973" s="33" t="s">
        <v>140</v>
      </c>
      <c r="H22973" s="35">
        <v>96</v>
      </c>
      <c r="I22973" s="33" t="s">
        <v>51</v>
      </c>
      <c r="J22973" s="42">
        <v>45903</v>
      </c>
      <c r="K22973" s="33" t="s">
        <v>22</v>
      </c>
    </row>
    <row r="22974" spans="1:11">
      <c r="A22974" s="30" t="s">
        <v>50765</v>
      </c>
      <c r="B22974" s="30" t="s">
        <v>50766</v>
      </c>
      <c r="C22974" s="30" t="s">
        <v>22889</v>
      </c>
      <c r="D22974" s="30" t="s">
        <v>17</v>
      </c>
      <c r="E22974" s="30" t="s">
        <v>67</v>
      </c>
      <c r="F22974" s="30" t="s">
        <v>68</v>
      </c>
      <c r="G22974" s="30" t="s">
        <v>140</v>
      </c>
      <c r="H22974" s="32">
        <v>180</v>
      </c>
      <c r="I22974" s="30" t="s">
        <v>51</v>
      </c>
      <c r="J22974" s="41">
        <v>46008</v>
      </c>
      <c r="K22974" s="30" t="s">
        <v>22</v>
      </c>
    </row>
    <row r="22975" spans="1:11">
      <c r="A22975" s="33" t="s">
        <v>50767</v>
      </c>
      <c r="B22975" s="33" t="s">
        <v>50768</v>
      </c>
      <c r="C22975" s="33" t="s">
        <v>190</v>
      </c>
      <c r="D22975" s="33" t="s">
        <v>17</v>
      </c>
      <c r="E22975" s="33" t="s">
        <v>26</v>
      </c>
      <c r="F22975" s="33" t="s">
        <v>27</v>
      </c>
      <c r="G22975" s="33" t="s">
        <v>106</v>
      </c>
      <c r="H22975" s="35">
        <v>1</v>
      </c>
      <c r="I22975" s="33" t="s">
        <v>21</v>
      </c>
      <c r="J22975" s="42">
        <v>45798</v>
      </c>
      <c r="K22975" s="33" t="s">
        <v>22</v>
      </c>
    </row>
    <row r="22976" spans="1:11">
      <c r="A22976" s="30" t="s">
        <v>50769</v>
      </c>
      <c r="B22976" s="30" t="s">
        <v>50770</v>
      </c>
      <c r="C22976" s="30" t="s">
        <v>47727</v>
      </c>
      <c r="D22976" s="30" t="s">
        <v>17</v>
      </c>
      <c r="E22976" s="30" t="s">
        <v>330</v>
      </c>
      <c r="F22976" s="30" t="s">
        <v>331</v>
      </c>
      <c r="G22976" s="30" t="s">
        <v>140</v>
      </c>
      <c r="H22976" s="32">
        <v>48</v>
      </c>
      <c r="I22976" s="30" t="s">
        <v>51</v>
      </c>
      <c r="J22976" s="41">
        <v>45742</v>
      </c>
      <c r="K22976" s="30" t="s">
        <v>22</v>
      </c>
    </row>
    <row r="22977" spans="1:11">
      <c r="A22977" s="33" t="s">
        <v>50771</v>
      </c>
      <c r="B22977" s="33" t="s">
        <v>50772</v>
      </c>
      <c r="C22977" s="33" t="s">
        <v>1024</v>
      </c>
      <c r="D22977" s="33" t="s">
        <v>17</v>
      </c>
      <c r="E22977" s="33" t="s">
        <v>18</v>
      </c>
      <c r="F22977" s="33" t="s">
        <v>19</v>
      </c>
      <c r="G22977" s="33" t="s">
        <v>2613</v>
      </c>
      <c r="H22977" s="35">
        <v>35</v>
      </c>
      <c r="I22977" s="33" t="s">
        <v>51</v>
      </c>
      <c r="J22977" s="42">
        <v>46002</v>
      </c>
      <c r="K22977" s="33" t="s">
        <v>22</v>
      </c>
    </row>
    <row r="22978" spans="1:11">
      <c r="A22978" s="30" t="s">
        <v>50773</v>
      </c>
      <c r="B22978" s="30" t="s">
        <v>50774</v>
      </c>
      <c r="C22978" s="30" t="s">
        <v>1275</v>
      </c>
      <c r="D22978" s="30" t="s">
        <v>17</v>
      </c>
      <c r="E22978" s="30" t="s">
        <v>26</v>
      </c>
      <c r="F22978" s="30" t="s">
        <v>27</v>
      </c>
      <c r="G22978" s="30" t="s">
        <v>158</v>
      </c>
      <c r="H22978" s="32">
        <v>180</v>
      </c>
      <c r="I22978" s="30" t="s">
        <v>51</v>
      </c>
      <c r="J22978" s="41">
        <v>45763</v>
      </c>
      <c r="K22978" s="30" t="s">
        <v>22</v>
      </c>
    </row>
    <row r="22979" spans="1:11">
      <c r="A22979" s="33" t="s">
        <v>50775</v>
      </c>
      <c r="B22979" s="33" t="s">
        <v>50776</v>
      </c>
      <c r="C22979" s="33" t="s">
        <v>13971</v>
      </c>
      <c r="D22979" s="33" t="s">
        <v>17</v>
      </c>
      <c r="E22979" s="33" t="s">
        <v>18</v>
      </c>
      <c r="F22979" s="33" t="s">
        <v>19</v>
      </c>
      <c r="G22979" s="33" t="s">
        <v>112</v>
      </c>
      <c r="H22979" s="35">
        <v>0</v>
      </c>
      <c r="I22979" s="33" t="s">
        <v>21</v>
      </c>
      <c r="J22979" s="42">
        <v>45717</v>
      </c>
      <c r="K22979" s="33" t="s">
        <v>22</v>
      </c>
    </row>
    <row r="22980" spans="1:11">
      <c r="A22980" s="30" t="s">
        <v>50777</v>
      </c>
      <c r="B22980" s="30" t="s">
        <v>50778</v>
      </c>
      <c r="C22980" s="30" t="s">
        <v>25186</v>
      </c>
      <c r="D22980" s="30" t="s">
        <v>17</v>
      </c>
      <c r="E22980" s="30" t="s">
        <v>18</v>
      </c>
      <c r="F22980" s="30" t="s">
        <v>19</v>
      </c>
      <c r="G22980" s="30" t="s">
        <v>140</v>
      </c>
      <c r="H22980" s="32">
        <v>360</v>
      </c>
      <c r="I22980" s="30" t="s">
        <v>51</v>
      </c>
      <c r="J22980" s="41">
        <v>45881</v>
      </c>
      <c r="K22980" s="30" t="s">
        <v>22</v>
      </c>
    </row>
    <row r="22981" spans="1:11">
      <c r="A22981" s="33" t="s">
        <v>50779</v>
      </c>
      <c r="B22981" s="33" t="s">
        <v>50780</v>
      </c>
      <c r="C22981" s="33" t="s">
        <v>231</v>
      </c>
      <c r="D22981" s="33" t="s">
        <v>17</v>
      </c>
      <c r="E22981" s="33" t="s">
        <v>18</v>
      </c>
      <c r="F22981" s="33" t="s">
        <v>19</v>
      </c>
      <c r="G22981" s="33" t="s">
        <v>140</v>
      </c>
      <c r="H22981" s="35">
        <v>1755</v>
      </c>
      <c r="I22981" s="33" t="s">
        <v>51</v>
      </c>
      <c r="J22981" s="42">
        <v>45817</v>
      </c>
      <c r="K22981" s="33" t="s">
        <v>22</v>
      </c>
    </row>
    <row r="22982" spans="1:11">
      <c r="A22982" s="30" t="s">
        <v>50781</v>
      </c>
      <c r="B22982" s="30" t="s">
        <v>50782</v>
      </c>
      <c r="C22982" s="30" t="s">
        <v>252</v>
      </c>
      <c r="D22982" s="30" t="s">
        <v>17</v>
      </c>
      <c r="E22982" s="30" t="s">
        <v>18</v>
      </c>
      <c r="F22982" s="30" t="s">
        <v>19</v>
      </c>
      <c r="G22982" s="30" t="s">
        <v>140</v>
      </c>
      <c r="H22982" s="32">
        <v>560</v>
      </c>
      <c r="I22982" s="30" t="s">
        <v>51</v>
      </c>
      <c r="J22982" s="41">
        <v>45821</v>
      </c>
      <c r="K22982" s="30" t="s">
        <v>22</v>
      </c>
    </row>
    <row r="22983" spans="1:11">
      <c r="A22983" s="33" t="s">
        <v>50783</v>
      </c>
      <c r="B22983" s="33" t="s">
        <v>50784</v>
      </c>
      <c r="C22983" s="33" t="s">
        <v>48393</v>
      </c>
      <c r="D22983" s="33" t="s">
        <v>17</v>
      </c>
      <c r="E22983" s="33" t="s">
        <v>67</v>
      </c>
      <c r="F22983" s="33" t="s">
        <v>68</v>
      </c>
      <c r="G22983" s="33" t="s">
        <v>140</v>
      </c>
      <c r="H22983" s="35">
        <v>27</v>
      </c>
      <c r="I22983" s="33" t="s">
        <v>51</v>
      </c>
      <c r="J22983" s="42">
        <v>45979</v>
      </c>
      <c r="K22983" s="33" t="s">
        <v>22</v>
      </c>
    </row>
    <row r="22984" spans="1:11">
      <c r="A22984" s="30" t="s">
        <v>50785</v>
      </c>
      <c r="B22984" s="30" t="s">
        <v>50786</v>
      </c>
      <c r="C22984" s="30" t="s">
        <v>178</v>
      </c>
      <c r="D22984" s="30" t="s">
        <v>17</v>
      </c>
      <c r="E22984" s="30" t="s">
        <v>18</v>
      </c>
      <c r="F22984" s="30" t="s">
        <v>19</v>
      </c>
      <c r="G22984" s="30" t="s">
        <v>140</v>
      </c>
      <c r="H22984" s="32">
        <v>13000</v>
      </c>
      <c r="I22984" s="30" t="s">
        <v>51</v>
      </c>
      <c r="J22984" s="41">
        <v>45840</v>
      </c>
      <c r="K22984" s="30" t="s">
        <v>22</v>
      </c>
    </row>
    <row r="22985" spans="1:11">
      <c r="A22985" s="33" t="s">
        <v>50787</v>
      </c>
      <c r="B22985" s="33" t="s">
        <v>50788</v>
      </c>
      <c r="C22985" s="33" t="s">
        <v>3790</v>
      </c>
      <c r="D22985" s="33" t="s">
        <v>17</v>
      </c>
      <c r="E22985" s="33" t="s">
        <v>26</v>
      </c>
      <c r="F22985" s="33" t="s">
        <v>27</v>
      </c>
      <c r="G22985" s="33" t="s">
        <v>140</v>
      </c>
      <c r="H22985" s="35">
        <v>40</v>
      </c>
      <c r="I22985" s="33" t="s">
        <v>51</v>
      </c>
      <c r="J22985" s="42">
        <v>45797</v>
      </c>
      <c r="K22985" s="33" t="s">
        <v>22</v>
      </c>
    </row>
    <row r="22986" spans="1:11">
      <c r="A22986" s="30" t="s">
        <v>50789</v>
      </c>
      <c r="B22986" s="30" t="s">
        <v>50790</v>
      </c>
      <c r="C22986" s="30" t="s">
        <v>12036</v>
      </c>
      <c r="D22986" s="30" t="s">
        <v>17</v>
      </c>
      <c r="E22986" s="30" t="s">
        <v>330</v>
      </c>
      <c r="F22986" s="30" t="s">
        <v>331</v>
      </c>
      <c r="G22986" s="30" t="s">
        <v>158</v>
      </c>
      <c r="H22986" s="32">
        <v>20</v>
      </c>
      <c r="I22986" s="30" t="s">
        <v>51</v>
      </c>
      <c r="J22986" s="41">
        <v>45912</v>
      </c>
      <c r="K22986" s="30" t="s">
        <v>22</v>
      </c>
    </row>
    <row r="22987" spans="1:11">
      <c r="A22987" s="33" t="s">
        <v>50791</v>
      </c>
      <c r="B22987" s="33" t="s">
        <v>50792</v>
      </c>
      <c r="C22987" s="33" t="s">
        <v>50793</v>
      </c>
      <c r="D22987" s="33" t="s">
        <v>17</v>
      </c>
      <c r="E22987" s="33" t="s">
        <v>26</v>
      </c>
      <c r="F22987" s="33" t="s">
        <v>27</v>
      </c>
      <c r="G22987" s="33" t="s">
        <v>158</v>
      </c>
      <c r="H22987" s="35">
        <v>24</v>
      </c>
      <c r="I22987" s="33" t="s">
        <v>51</v>
      </c>
      <c r="J22987" s="42">
        <v>45995</v>
      </c>
      <c r="K22987" s="33" t="s">
        <v>22</v>
      </c>
    </row>
    <row r="22988" spans="1:11">
      <c r="A22988" s="30" t="s">
        <v>50794</v>
      </c>
      <c r="B22988" s="30" t="s">
        <v>50795</v>
      </c>
      <c r="C22988" s="30" t="s">
        <v>715</v>
      </c>
      <c r="D22988" s="30" t="s">
        <v>17</v>
      </c>
      <c r="E22988" s="30" t="s">
        <v>26</v>
      </c>
      <c r="F22988" s="30" t="s">
        <v>27</v>
      </c>
      <c r="G22988" s="30" t="s">
        <v>140</v>
      </c>
      <c r="H22988" s="32">
        <v>40</v>
      </c>
      <c r="I22988" s="30" t="s">
        <v>51</v>
      </c>
      <c r="J22988" s="41">
        <v>45922</v>
      </c>
      <c r="K22988" s="30" t="s">
        <v>22</v>
      </c>
    </row>
    <row r="22989" spans="1:11">
      <c r="A22989" s="33" t="s">
        <v>50796</v>
      </c>
      <c r="B22989" s="33" t="s">
        <v>50797</v>
      </c>
      <c r="C22989" s="33" t="s">
        <v>1006</v>
      </c>
      <c r="D22989" s="33" t="s">
        <v>17</v>
      </c>
      <c r="E22989" s="33" t="s">
        <v>26</v>
      </c>
      <c r="F22989" s="33" t="s">
        <v>27</v>
      </c>
      <c r="G22989" s="33" t="s">
        <v>140</v>
      </c>
      <c r="H22989" s="35">
        <v>150</v>
      </c>
      <c r="I22989" s="33" t="s">
        <v>51</v>
      </c>
      <c r="J22989" s="42">
        <v>45793</v>
      </c>
      <c r="K22989" s="33" t="s">
        <v>22</v>
      </c>
    </row>
    <row r="22990" spans="1:11">
      <c r="A22990" s="30" t="s">
        <v>50798</v>
      </c>
      <c r="B22990" s="30" t="s">
        <v>50799</v>
      </c>
      <c r="C22990" s="30" t="s">
        <v>25561</v>
      </c>
      <c r="D22990" s="30" t="s">
        <v>17</v>
      </c>
      <c r="E22990" s="30" t="s">
        <v>26</v>
      </c>
      <c r="F22990" s="30" t="s">
        <v>27</v>
      </c>
      <c r="G22990" s="30" t="s">
        <v>20</v>
      </c>
      <c r="H22990" s="32">
        <v>180</v>
      </c>
      <c r="I22990" s="30" t="s">
        <v>21</v>
      </c>
      <c r="J22990" s="41">
        <v>45752</v>
      </c>
      <c r="K22990" s="30" t="s">
        <v>22</v>
      </c>
    </row>
    <row r="22991" spans="1:11">
      <c r="A22991" s="33" t="s">
        <v>50800</v>
      </c>
      <c r="B22991" s="33" t="s">
        <v>50801</v>
      </c>
      <c r="C22991" s="33" t="s">
        <v>3610</v>
      </c>
      <c r="D22991" s="33" t="s">
        <v>17</v>
      </c>
      <c r="E22991" s="33" t="s">
        <v>26</v>
      </c>
      <c r="F22991" s="33" t="s">
        <v>27</v>
      </c>
      <c r="G22991" s="33" t="s">
        <v>20</v>
      </c>
      <c r="H22991" s="35">
        <v>6</v>
      </c>
      <c r="I22991" s="33" t="s">
        <v>21</v>
      </c>
      <c r="J22991" s="42">
        <v>45803</v>
      </c>
      <c r="K22991" s="33" t="s">
        <v>22</v>
      </c>
    </row>
    <row r="22992" spans="1:11">
      <c r="A22992" s="30" t="s">
        <v>50802</v>
      </c>
      <c r="B22992" s="30" t="s">
        <v>50803</v>
      </c>
      <c r="C22992" s="30" t="s">
        <v>7662</v>
      </c>
      <c r="D22992" s="30" t="s">
        <v>17</v>
      </c>
      <c r="E22992" s="30" t="s">
        <v>26</v>
      </c>
      <c r="F22992" s="30" t="s">
        <v>27</v>
      </c>
      <c r="G22992" s="30" t="s">
        <v>106</v>
      </c>
      <c r="H22992" s="32">
        <v>19</v>
      </c>
      <c r="I22992" s="30" t="s">
        <v>21</v>
      </c>
      <c r="J22992" s="41">
        <v>45736</v>
      </c>
      <c r="K22992" s="30" t="s">
        <v>22</v>
      </c>
    </row>
    <row r="22993" spans="1:11">
      <c r="A22993" s="33" t="s">
        <v>50804</v>
      </c>
      <c r="B22993" s="33" t="s">
        <v>50805</v>
      </c>
      <c r="C22993" s="33" t="s">
        <v>231</v>
      </c>
      <c r="D22993" s="33" t="s">
        <v>17</v>
      </c>
      <c r="E22993" s="33" t="s">
        <v>26</v>
      </c>
      <c r="F22993" s="33" t="s">
        <v>27</v>
      </c>
      <c r="G22993" s="33" t="s">
        <v>20</v>
      </c>
      <c r="H22993" s="35">
        <v>16</v>
      </c>
      <c r="I22993" s="33" t="s">
        <v>21</v>
      </c>
      <c r="J22993" s="42">
        <v>45895</v>
      </c>
      <c r="K22993" s="33" t="s">
        <v>22</v>
      </c>
    </row>
    <row r="22994" spans="1:11">
      <c r="A22994" s="30" t="s">
        <v>50806</v>
      </c>
      <c r="B22994" s="30" t="s">
        <v>50807</v>
      </c>
      <c r="C22994" s="30" t="s">
        <v>318</v>
      </c>
      <c r="D22994" s="30" t="s">
        <v>17</v>
      </c>
      <c r="E22994" s="30" t="s">
        <v>18</v>
      </c>
      <c r="F22994" s="30" t="s">
        <v>19</v>
      </c>
      <c r="G22994" s="30" t="s">
        <v>140</v>
      </c>
      <c r="H22994" s="32">
        <v>844</v>
      </c>
      <c r="I22994" s="30" t="s">
        <v>51</v>
      </c>
      <c r="J22994" s="41">
        <v>45713</v>
      </c>
      <c r="K22994" s="30" t="s">
        <v>22</v>
      </c>
    </row>
    <row r="22995" spans="1:11">
      <c r="A22995" s="33" t="s">
        <v>50808</v>
      </c>
      <c r="B22995" s="33" t="s">
        <v>50809</v>
      </c>
      <c r="C22995" s="33" t="s">
        <v>28153</v>
      </c>
      <c r="D22995" s="33" t="s">
        <v>17</v>
      </c>
      <c r="E22995" s="33" t="s">
        <v>31</v>
      </c>
      <c r="F22995" s="33" t="s">
        <v>32</v>
      </c>
      <c r="G22995" s="33" t="s">
        <v>140</v>
      </c>
      <c r="H22995" s="35">
        <v>100</v>
      </c>
      <c r="I22995" s="33" t="s">
        <v>51</v>
      </c>
      <c r="J22995" s="42">
        <v>45873</v>
      </c>
      <c r="K22995" s="33" t="s">
        <v>22</v>
      </c>
    </row>
    <row r="22996" spans="1:11">
      <c r="A22996" s="30" t="s">
        <v>50810</v>
      </c>
      <c r="B22996" s="30" t="s">
        <v>50811</v>
      </c>
      <c r="C22996" s="30" t="s">
        <v>78</v>
      </c>
      <c r="D22996" s="30" t="s">
        <v>17</v>
      </c>
      <c r="E22996" s="30" t="s">
        <v>26</v>
      </c>
      <c r="F22996" s="30" t="s">
        <v>27</v>
      </c>
      <c r="G22996" s="30" t="s">
        <v>20</v>
      </c>
      <c r="H22996" s="32">
        <v>31</v>
      </c>
      <c r="I22996" s="30" t="s">
        <v>21</v>
      </c>
      <c r="J22996" s="41">
        <v>45954</v>
      </c>
      <c r="K22996" s="30" t="s">
        <v>22</v>
      </c>
    </row>
    <row r="22997" spans="1:11">
      <c r="A22997" s="33" t="s">
        <v>50812</v>
      </c>
      <c r="B22997" s="33" t="s">
        <v>50813</v>
      </c>
      <c r="C22997" s="33" t="s">
        <v>50814</v>
      </c>
      <c r="D22997" s="33" t="s">
        <v>17</v>
      </c>
      <c r="E22997" s="33" t="s">
        <v>330</v>
      </c>
      <c r="F22997" s="33" t="s">
        <v>331</v>
      </c>
      <c r="G22997" s="33" t="s">
        <v>140</v>
      </c>
      <c r="H22997" s="35">
        <v>30</v>
      </c>
      <c r="I22997" s="33" t="s">
        <v>51</v>
      </c>
      <c r="J22997" s="42">
        <v>45714</v>
      </c>
      <c r="K22997" s="33" t="s">
        <v>22</v>
      </c>
    </row>
    <row r="22998" spans="1:11">
      <c r="A22998" s="30" t="s">
        <v>50815</v>
      </c>
      <c r="B22998" s="30" t="s">
        <v>50816</v>
      </c>
      <c r="C22998" s="30" t="s">
        <v>50817</v>
      </c>
      <c r="D22998" s="30" t="s">
        <v>17</v>
      </c>
      <c r="E22998" s="30" t="s">
        <v>31</v>
      </c>
      <c r="F22998" s="30" t="s">
        <v>32</v>
      </c>
      <c r="G22998" s="30" t="s">
        <v>20</v>
      </c>
      <c r="H22998" s="32">
        <v>78</v>
      </c>
      <c r="I22998" s="30" t="s">
        <v>21</v>
      </c>
      <c r="J22998" s="41">
        <v>45712</v>
      </c>
      <c r="K22998" s="30" t="s">
        <v>22</v>
      </c>
    </row>
    <row r="22999" spans="1:11">
      <c r="A22999" s="33" t="s">
        <v>50818</v>
      </c>
      <c r="B22999" s="33" t="s">
        <v>50819</v>
      </c>
      <c r="C22999" s="33" t="s">
        <v>50820</v>
      </c>
      <c r="D22999" s="33" t="s">
        <v>17</v>
      </c>
      <c r="E22999" s="33" t="s">
        <v>26</v>
      </c>
      <c r="F22999" s="33" t="s">
        <v>27</v>
      </c>
      <c r="G22999" s="33" t="s">
        <v>140</v>
      </c>
      <c r="H22999" s="35">
        <v>56</v>
      </c>
      <c r="I22999" s="33" t="s">
        <v>51</v>
      </c>
      <c r="J22999" s="42">
        <v>45911</v>
      </c>
      <c r="K22999" s="33" t="s">
        <v>22</v>
      </c>
    </row>
    <row r="23000" spans="1:11">
      <c r="A23000" s="30" t="s">
        <v>50821</v>
      </c>
      <c r="B23000" s="30" t="s">
        <v>50822</v>
      </c>
      <c r="C23000" s="30" t="s">
        <v>6205</v>
      </c>
      <c r="D23000" s="30" t="s">
        <v>17</v>
      </c>
      <c r="E23000" s="30" t="s">
        <v>31</v>
      </c>
      <c r="F23000" s="30" t="s">
        <v>32</v>
      </c>
      <c r="G23000" s="30" t="s">
        <v>140</v>
      </c>
      <c r="H23000" s="32">
        <v>400</v>
      </c>
      <c r="I23000" s="30" t="s">
        <v>51</v>
      </c>
      <c r="J23000" s="41">
        <v>45677</v>
      </c>
      <c r="K23000" s="30" t="s">
        <v>22</v>
      </c>
    </row>
    <row r="23001" spans="1:11">
      <c r="A23001" s="33" t="s">
        <v>50823</v>
      </c>
      <c r="B23001" s="33" t="s">
        <v>50824</v>
      </c>
      <c r="C23001" s="33" t="s">
        <v>2244</v>
      </c>
      <c r="D23001" s="33" t="s">
        <v>17</v>
      </c>
      <c r="E23001" s="33" t="s">
        <v>31</v>
      </c>
      <c r="F23001" s="33" t="s">
        <v>32</v>
      </c>
      <c r="G23001" s="33" t="s">
        <v>158</v>
      </c>
      <c r="H23001" s="35">
        <v>75</v>
      </c>
      <c r="I23001" s="33" t="s">
        <v>51</v>
      </c>
      <c r="J23001" s="42">
        <v>45808</v>
      </c>
      <c r="K23001" s="33" t="s">
        <v>22</v>
      </c>
    </row>
    <row r="23002" spans="1:11">
      <c r="A23002" s="30" t="s">
        <v>50825</v>
      </c>
      <c r="B23002" s="30" t="s">
        <v>50826</v>
      </c>
      <c r="C23002" s="30" t="s">
        <v>178</v>
      </c>
      <c r="D23002" s="30" t="s">
        <v>17</v>
      </c>
      <c r="E23002" s="30" t="s">
        <v>31</v>
      </c>
      <c r="F23002" s="30" t="s">
        <v>32</v>
      </c>
      <c r="G23002" s="30" t="s">
        <v>158</v>
      </c>
      <c r="H23002" s="32">
        <v>160</v>
      </c>
      <c r="I23002" s="30" t="s">
        <v>51</v>
      </c>
      <c r="J23002" s="41">
        <v>45748</v>
      </c>
      <c r="K23002" s="30" t="s">
        <v>22</v>
      </c>
    </row>
    <row r="23003" spans="1:11">
      <c r="A23003" s="33" t="s">
        <v>50827</v>
      </c>
      <c r="B23003" s="33" t="s">
        <v>50828</v>
      </c>
      <c r="C23003" s="33" t="s">
        <v>231</v>
      </c>
      <c r="D23003" s="33" t="s">
        <v>17</v>
      </c>
      <c r="E23003" s="33" t="s">
        <v>18</v>
      </c>
      <c r="F23003" s="33" t="s">
        <v>19</v>
      </c>
      <c r="G23003" s="33" t="s">
        <v>140</v>
      </c>
      <c r="H23003" s="35">
        <v>90</v>
      </c>
      <c r="I23003" s="33" t="s">
        <v>51</v>
      </c>
      <c r="J23003" s="42">
        <v>45693</v>
      </c>
      <c r="K23003" s="33" t="s">
        <v>22</v>
      </c>
    </row>
    <row r="23004" spans="1:11">
      <c r="A23004" s="30" t="s">
        <v>50829</v>
      </c>
      <c r="B23004" s="30" t="s">
        <v>50830</v>
      </c>
      <c r="C23004" s="30" t="s">
        <v>31562</v>
      </c>
      <c r="D23004" s="30" t="s">
        <v>17</v>
      </c>
      <c r="E23004" s="30" t="s">
        <v>26</v>
      </c>
      <c r="F23004" s="30" t="s">
        <v>27</v>
      </c>
      <c r="G23004" s="30" t="s">
        <v>140</v>
      </c>
      <c r="H23004" s="32">
        <v>1050</v>
      </c>
      <c r="I23004" s="30" t="s">
        <v>51</v>
      </c>
      <c r="J23004" s="41">
        <v>45762</v>
      </c>
      <c r="K23004" s="30" t="s">
        <v>22</v>
      </c>
    </row>
    <row r="23005" spans="1:11">
      <c r="A23005" s="33" t="s">
        <v>50831</v>
      </c>
      <c r="B23005" s="33" t="s">
        <v>50832</v>
      </c>
      <c r="C23005" s="33" t="s">
        <v>252</v>
      </c>
      <c r="D23005" s="33" t="s">
        <v>17</v>
      </c>
      <c r="E23005" s="33" t="s">
        <v>26</v>
      </c>
      <c r="F23005" s="33" t="s">
        <v>27</v>
      </c>
      <c r="G23005" s="33" t="s">
        <v>7780</v>
      </c>
      <c r="H23005" s="35">
        <v>85</v>
      </c>
      <c r="I23005" s="33" t="s">
        <v>51</v>
      </c>
      <c r="J23005" s="42">
        <v>45716</v>
      </c>
      <c r="K23005" s="33" t="s">
        <v>22</v>
      </c>
    </row>
    <row r="23006" spans="1:11">
      <c r="A23006" s="30" t="s">
        <v>50833</v>
      </c>
      <c r="B23006" s="30" t="s">
        <v>50834</v>
      </c>
      <c r="C23006" s="30" t="s">
        <v>35935</v>
      </c>
      <c r="D23006" s="30" t="s">
        <v>17</v>
      </c>
      <c r="E23006" s="30" t="s">
        <v>31</v>
      </c>
      <c r="F23006" s="30" t="s">
        <v>32</v>
      </c>
      <c r="G23006" s="30" t="s">
        <v>140</v>
      </c>
      <c r="H23006" s="32">
        <v>65</v>
      </c>
      <c r="I23006" s="30" t="s">
        <v>51</v>
      </c>
      <c r="J23006" s="41">
        <v>45967</v>
      </c>
      <c r="K23006" s="30" t="s">
        <v>22</v>
      </c>
    </row>
    <row r="23007" spans="1:11">
      <c r="A23007" s="33" t="s">
        <v>50835</v>
      </c>
      <c r="B23007" s="33" t="s">
        <v>50836</v>
      </c>
      <c r="C23007" s="33" t="s">
        <v>50837</v>
      </c>
      <c r="D23007" s="33" t="s">
        <v>17</v>
      </c>
      <c r="E23007" s="33" t="s">
        <v>18</v>
      </c>
      <c r="F23007" s="33" t="s">
        <v>19</v>
      </c>
      <c r="G23007" s="33" t="s">
        <v>140</v>
      </c>
      <c r="H23007" s="35">
        <v>480</v>
      </c>
      <c r="I23007" s="33" t="s">
        <v>51</v>
      </c>
      <c r="J23007" s="42">
        <v>46010</v>
      </c>
      <c r="K23007" s="33" t="s">
        <v>22</v>
      </c>
    </row>
    <row r="23008" spans="1:11">
      <c r="A23008" s="30" t="s">
        <v>50838</v>
      </c>
      <c r="B23008" s="30" t="s">
        <v>50839</v>
      </c>
      <c r="C23008" s="30" t="s">
        <v>203</v>
      </c>
      <c r="D23008" s="30" t="s">
        <v>17</v>
      </c>
      <c r="E23008" s="30" t="s">
        <v>212</v>
      </c>
      <c r="F23008" s="30" t="s">
        <v>213</v>
      </c>
      <c r="G23008" s="30" t="s">
        <v>20</v>
      </c>
      <c r="H23008" s="32">
        <v>105</v>
      </c>
      <c r="I23008" s="30" t="s">
        <v>21</v>
      </c>
      <c r="J23008" s="41">
        <v>45663</v>
      </c>
      <c r="K23008" s="30" t="s">
        <v>22</v>
      </c>
    </row>
    <row r="23009" spans="1:11">
      <c r="A23009" s="33" t="s">
        <v>50840</v>
      </c>
      <c r="B23009" s="33" t="s">
        <v>50841</v>
      </c>
      <c r="C23009" s="33" t="s">
        <v>647</v>
      </c>
      <c r="D23009" s="33" t="s">
        <v>17</v>
      </c>
      <c r="E23009" s="33" t="s">
        <v>26</v>
      </c>
      <c r="F23009" s="33" t="s">
        <v>27</v>
      </c>
      <c r="G23009" s="33" t="s">
        <v>140</v>
      </c>
      <c r="H23009" s="35">
        <v>52</v>
      </c>
      <c r="I23009" s="33" t="s">
        <v>51</v>
      </c>
      <c r="J23009" s="42">
        <v>46013</v>
      </c>
      <c r="K23009" s="33" t="s">
        <v>22</v>
      </c>
    </row>
    <row r="23010" spans="1:11">
      <c r="A23010" s="30" t="s">
        <v>50842</v>
      </c>
      <c r="B23010" s="30" t="s">
        <v>50843</v>
      </c>
      <c r="C23010" s="30" t="s">
        <v>96</v>
      </c>
      <c r="D23010" s="30" t="s">
        <v>17</v>
      </c>
      <c r="E23010" s="30" t="s">
        <v>26</v>
      </c>
      <c r="F23010" s="30" t="s">
        <v>27</v>
      </c>
      <c r="G23010" s="30" t="s">
        <v>20</v>
      </c>
      <c r="H23010" s="32">
        <v>26</v>
      </c>
      <c r="I23010" s="30" t="s">
        <v>21</v>
      </c>
      <c r="J23010" s="41">
        <v>45735</v>
      </c>
      <c r="K23010" s="30" t="s">
        <v>22</v>
      </c>
    </row>
    <row r="23011" spans="1:11">
      <c r="A23011" s="33" t="s">
        <v>50844</v>
      </c>
      <c r="B23011" s="33" t="s">
        <v>50845</v>
      </c>
      <c r="C23011" s="33" t="s">
        <v>535</v>
      </c>
      <c r="D23011" s="33" t="s">
        <v>17</v>
      </c>
      <c r="E23011" s="33" t="s">
        <v>26</v>
      </c>
      <c r="F23011" s="33" t="s">
        <v>27</v>
      </c>
      <c r="G23011" s="33" t="s">
        <v>20</v>
      </c>
      <c r="H23011" s="35">
        <v>24</v>
      </c>
      <c r="I23011" s="33" t="s">
        <v>21</v>
      </c>
      <c r="J23011" s="42">
        <v>45946</v>
      </c>
      <c r="K23011" s="33" t="s">
        <v>22</v>
      </c>
    </row>
    <row r="23012" spans="1:11">
      <c r="A23012" s="30" t="s">
        <v>50846</v>
      </c>
      <c r="B23012" s="30" t="s">
        <v>50847</v>
      </c>
      <c r="C23012" s="30" t="s">
        <v>75</v>
      </c>
      <c r="D23012" s="30" t="s">
        <v>17</v>
      </c>
      <c r="E23012" s="30" t="s">
        <v>26</v>
      </c>
      <c r="F23012" s="30" t="s">
        <v>27</v>
      </c>
      <c r="G23012" s="30" t="s">
        <v>20</v>
      </c>
      <c r="H23012" s="32">
        <v>46</v>
      </c>
      <c r="I23012" s="30" t="s">
        <v>21</v>
      </c>
      <c r="J23012" s="41">
        <v>45782</v>
      </c>
      <c r="K23012" s="30" t="s">
        <v>22</v>
      </c>
    </row>
    <row r="23013" spans="1:11">
      <c r="A23013" s="33" t="s">
        <v>50848</v>
      </c>
      <c r="B23013" s="33" t="s">
        <v>50849</v>
      </c>
      <c r="C23013" s="33" t="s">
        <v>187</v>
      </c>
      <c r="D23013" s="33" t="s">
        <v>17</v>
      </c>
      <c r="E23013" s="33" t="s">
        <v>18</v>
      </c>
      <c r="F23013" s="33" t="s">
        <v>19</v>
      </c>
      <c r="G23013" s="33" t="s">
        <v>7780</v>
      </c>
      <c r="H23013" s="35">
        <v>666</v>
      </c>
      <c r="I23013" s="33" t="s">
        <v>51</v>
      </c>
      <c r="J23013" s="42">
        <v>45901</v>
      </c>
      <c r="K23013" s="33" t="s">
        <v>22</v>
      </c>
    </row>
    <row r="23014" spans="1:11">
      <c r="A23014" s="30" t="s">
        <v>50850</v>
      </c>
      <c r="B23014" s="30" t="s">
        <v>50851</v>
      </c>
      <c r="C23014" s="30" t="s">
        <v>12036</v>
      </c>
      <c r="D23014" s="30" t="s">
        <v>17</v>
      </c>
      <c r="E23014" s="30" t="s">
        <v>330</v>
      </c>
      <c r="F23014" s="30" t="s">
        <v>331</v>
      </c>
      <c r="G23014" s="30" t="s">
        <v>158</v>
      </c>
      <c r="H23014" s="32">
        <v>20</v>
      </c>
      <c r="I23014" s="30" t="s">
        <v>51</v>
      </c>
      <c r="J23014" s="41">
        <v>45795</v>
      </c>
      <c r="K23014" s="30" t="s">
        <v>22</v>
      </c>
    </row>
    <row r="23015" spans="1:11">
      <c r="A23015" s="33" t="s">
        <v>50852</v>
      </c>
      <c r="B23015" s="33" t="s">
        <v>50853</v>
      </c>
      <c r="C23015" s="33" t="s">
        <v>16448</v>
      </c>
      <c r="D23015" s="33" t="s">
        <v>17</v>
      </c>
      <c r="E23015" s="33" t="s">
        <v>31</v>
      </c>
      <c r="F23015" s="33" t="s">
        <v>32</v>
      </c>
      <c r="G23015" s="33" t="s">
        <v>112</v>
      </c>
      <c r="H23015" s="35">
        <v>0</v>
      </c>
      <c r="I23015" s="33" t="s">
        <v>21</v>
      </c>
      <c r="J23015" s="42">
        <v>45688</v>
      </c>
      <c r="K23015" s="33" t="s">
        <v>22</v>
      </c>
    </row>
    <row r="23016" spans="1:11">
      <c r="A23016" s="30" t="s">
        <v>50854</v>
      </c>
      <c r="B23016" s="30" t="s">
        <v>50855</v>
      </c>
      <c r="C23016" s="30" t="s">
        <v>124</v>
      </c>
      <c r="D23016" s="30" t="s">
        <v>17</v>
      </c>
      <c r="E23016" s="30" t="s">
        <v>26</v>
      </c>
      <c r="F23016" s="30" t="s">
        <v>27</v>
      </c>
      <c r="G23016" s="30" t="s">
        <v>140</v>
      </c>
      <c r="H23016" s="32">
        <v>110</v>
      </c>
      <c r="I23016" s="30" t="s">
        <v>51</v>
      </c>
      <c r="J23016" s="41">
        <v>45897</v>
      </c>
      <c r="K23016" s="30" t="s">
        <v>22</v>
      </c>
    </row>
    <row r="23017" spans="1:11">
      <c r="A23017" s="33" t="s">
        <v>50856</v>
      </c>
      <c r="B23017" s="33" t="s">
        <v>50857</v>
      </c>
      <c r="C23017" s="33" t="s">
        <v>78</v>
      </c>
      <c r="D23017" s="33" t="s">
        <v>17</v>
      </c>
      <c r="E23017" s="33" t="s">
        <v>31</v>
      </c>
      <c r="F23017" s="33" t="s">
        <v>32</v>
      </c>
      <c r="G23017" s="33" t="s">
        <v>20</v>
      </c>
      <c r="H23017" s="35">
        <v>100</v>
      </c>
      <c r="I23017" s="33" t="s">
        <v>21</v>
      </c>
      <c r="J23017" s="42">
        <v>45775</v>
      </c>
      <c r="K23017" s="33" t="s">
        <v>22</v>
      </c>
    </row>
    <row r="23018" spans="1:11">
      <c r="A23018" s="30" t="s">
        <v>50858</v>
      </c>
      <c r="B23018" s="30" t="s">
        <v>50859</v>
      </c>
      <c r="C23018" s="30" t="s">
        <v>4366</v>
      </c>
      <c r="D23018" s="30" t="s">
        <v>17</v>
      </c>
      <c r="E23018" s="30" t="s">
        <v>26</v>
      </c>
      <c r="F23018" s="30" t="s">
        <v>27</v>
      </c>
      <c r="G23018" s="30" t="s">
        <v>140</v>
      </c>
      <c r="H23018" s="32">
        <v>32</v>
      </c>
      <c r="I23018" s="30" t="s">
        <v>51</v>
      </c>
      <c r="J23018" s="41">
        <v>45953</v>
      </c>
      <c r="K23018" s="30" t="s">
        <v>22</v>
      </c>
    </row>
    <row r="23019" spans="1:11">
      <c r="A23019" s="33" t="s">
        <v>50860</v>
      </c>
      <c r="B23019" s="33" t="s">
        <v>50861</v>
      </c>
      <c r="C23019" s="33" t="s">
        <v>14483</v>
      </c>
      <c r="D23019" s="33" t="s">
        <v>17</v>
      </c>
      <c r="E23019" s="33" t="s">
        <v>212</v>
      </c>
      <c r="F23019" s="33" t="s">
        <v>213</v>
      </c>
      <c r="G23019" s="33" t="s">
        <v>140</v>
      </c>
      <c r="H23019" s="35">
        <v>495</v>
      </c>
      <c r="I23019" s="33" t="s">
        <v>51</v>
      </c>
      <c r="J23019" s="42">
        <v>45925</v>
      </c>
      <c r="K23019" s="33" t="s">
        <v>22</v>
      </c>
    </row>
    <row r="23020" spans="1:11">
      <c r="A23020" s="30" t="s">
        <v>50862</v>
      </c>
      <c r="B23020" s="30" t="s">
        <v>50863</v>
      </c>
      <c r="C23020" s="30" t="s">
        <v>50864</v>
      </c>
      <c r="D23020" s="30" t="s">
        <v>17</v>
      </c>
      <c r="E23020" s="30" t="s">
        <v>31</v>
      </c>
      <c r="F23020" s="30" t="s">
        <v>32</v>
      </c>
      <c r="G23020" s="30" t="s">
        <v>140</v>
      </c>
      <c r="H23020" s="32">
        <v>35</v>
      </c>
      <c r="I23020" s="30" t="s">
        <v>51</v>
      </c>
      <c r="J23020" s="41">
        <v>45799</v>
      </c>
      <c r="K23020" s="30" t="s">
        <v>22</v>
      </c>
    </row>
    <row r="23021" spans="1:11">
      <c r="A23021" s="33" t="s">
        <v>50865</v>
      </c>
      <c r="B23021" s="33" t="s">
        <v>50866</v>
      </c>
      <c r="C23021" s="33" t="s">
        <v>3765</v>
      </c>
      <c r="D23021" s="33" t="s">
        <v>17</v>
      </c>
      <c r="E23021" s="33" t="s">
        <v>31</v>
      </c>
      <c r="F23021" s="33" t="s">
        <v>32</v>
      </c>
      <c r="G23021" s="33" t="s">
        <v>158</v>
      </c>
      <c r="H23021" s="35">
        <v>10</v>
      </c>
      <c r="I23021" s="33" t="s">
        <v>21</v>
      </c>
      <c r="J23021" s="42">
        <v>45670</v>
      </c>
      <c r="K23021" s="33" t="s">
        <v>22</v>
      </c>
    </row>
    <row r="23022" spans="1:11">
      <c r="A23022" s="30" t="s">
        <v>50867</v>
      </c>
      <c r="B23022" s="30" t="s">
        <v>50868</v>
      </c>
      <c r="C23022" s="30" t="s">
        <v>647</v>
      </c>
      <c r="D23022" s="30" t="s">
        <v>17</v>
      </c>
      <c r="E23022" s="30" t="s">
        <v>26</v>
      </c>
      <c r="F23022" s="30" t="s">
        <v>27</v>
      </c>
      <c r="G23022" s="30" t="s">
        <v>20</v>
      </c>
      <c r="H23022" s="32">
        <v>34</v>
      </c>
      <c r="I23022" s="30" t="s">
        <v>21</v>
      </c>
      <c r="J23022" s="41">
        <v>45698</v>
      </c>
      <c r="K23022" s="30" t="s">
        <v>22</v>
      </c>
    </row>
    <row r="23023" spans="1:11">
      <c r="A23023" s="33" t="s">
        <v>50869</v>
      </c>
      <c r="B23023" s="33" t="s">
        <v>50870</v>
      </c>
      <c r="C23023" s="33" t="s">
        <v>50871</v>
      </c>
      <c r="D23023" s="33" t="s">
        <v>17</v>
      </c>
      <c r="E23023" s="33" t="s">
        <v>26</v>
      </c>
      <c r="F23023" s="33" t="s">
        <v>27</v>
      </c>
      <c r="G23023" s="33" t="s">
        <v>140</v>
      </c>
      <c r="H23023" s="35">
        <v>20</v>
      </c>
      <c r="I23023" s="33" t="s">
        <v>51</v>
      </c>
      <c r="J23023" s="42">
        <v>45794</v>
      </c>
      <c r="K23023" s="33" t="s">
        <v>22</v>
      </c>
    </row>
    <row r="23024" spans="1:11">
      <c r="A23024" s="30" t="s">
        <v>50872</v>
      </c>
      <c r="B23024" s="30" t="s">
        <v>50873</v>
      </c>
      <c r="C23024" s="30" t="s">
        <v>17131</v>
      </c>
      <c r="D23024" s="30" t="s">
        <v>17</v>
      </c>
      <c r="E23024" s="30" t="s">
        <v>31</v>
      </c>
      <c r="F23024" s="30" t="s">
        <v>32</v>
      </c>
      <c r="G23024" s="30" t="s">
        <v>7780</v>
      </c>
      <c r="H23024" s="32">
        <v>63</v>
      </c>
      <c r="I23024" s="30" t="s">
        <v>51</v>
      </c>
      <c r="J23024" s="41">
        <v>45809</v>
      </c>
      <c r="K23024" s="30" t="s">
        <v>22</v>
      </c>
    </row>
    <row r="23025" spans="1:11">
      <c r="A23025" s="33" t="s">
        <v>50874</v>
      </c>
      <c r="B23025" s="33" t="s">
        <v>50875</v>
      </c>
      <c r="C23025" s="33" t="s">
        <v>231</v>
      </c>
      <c r="D23025" s="33" t="s">
        <v>17</v>
      </c>
      <c r="E23025" s="33" t="s">
        <v>26</v>
      </c>
      <c r="F23025" s="33" t="s">
        <v>27</v>
      </c>
      <c r="G23025" s="33" t="s">
        <v>20</v>
      </c>
      <c r="H23025" s="35">
        <v>14</v>
      </c>
      <c r="I23025" s="33" t="s">
        <v>21</v>
      </c>
      <c r="J23025" s="42">
        <v>45966</v>
      </c>
      <c r="K23025" s="33" t="s">
        <v>22</v>
      </c>
    </row>
    <row r="23026" spans="1:11">
      <c r="A23026" s="30" t="s">
        <v>50876</v>
      </c>
      <c r="B23026" s="30" t="s">
        <v>50877</v>
      </c>
      <c r="C23026" s="30" t="s">
        <v>5934</v>
      </c>
      <c r="D23026" s="30" t="s">
        <v>17</v>
      </c>
      <c r="E23026" s="30" t="s">
        <v>67</v>
      </c>
      <c r="F23026" s="30" t="s">
        <v>68</v>
      </c>
      <c r="G23026" s="30" t="s">
        <v>140</v>
      </c>
      <c r="H23026" s="32">
        <v>201</v>
      </c>
      <c r="I23026" s="30" t="s">
        <v>51</v>
      </c>
      <c r="J23026" s="41">
        <v>45842</v>
      </c>
      <c r="K23026" s="30" t="s">
        <v>22</v>
      </c>
    </row>
    <row r="23027" spans="1:11">
      <c r="A23027" s="33" t="s">
        <v>50878</v>
      </c>
      <c r="B23027" s="33" t="s">
        <v>50879</v>
      </c>
      <c r="C23027" s="33" t="s">
        <v>1469</v>
      </c>
      <c r="D23027" s="33" t="s">
        <v>17</v>
      </c>
      <c r="E23027" s="33" t="s">
        <v>18</v>
      </c>
      <c r="F23027" s="33" t="s">
        <v>19</v>
      </c>
      <c r="G23027" s="33" t="s">
        <v>140</v>
      </c>
      <c r="H23027" s="35">
        <v>561</v>
      </c>
      <c r="I23027" s="33" t="s">
        <v>51</v>
      </c>
      <c r="J23027" s="42">
        <v>45923</v>
      </c>
      <c r="K23027" s="33" t="s">
        <v>22</v>
      </c>
    </row>
    <row r="23028" spans="1:11">
      <c r="A23028" s="30" t="s">
        <v>50880</v>
      </c>
      <c r="B23028" s="30" t="s">
        <v>50881</v>
      </c>
      <c r="C23028" s="30" t="s">
        <v>19973</v>
      </c>
      <c r="D23028" s="30" t="s">
        <v>17</v>
      </c>
      <c r="E23028" s="30" t="s">
        <v>26</v>
      </c>
      <c r="F23028" s="30" t="s">
        <v>27</v>
      </c>
      <c r="G23028" s="30" t="s">
        <v>7780</v>
      </c>
      <c r="H23028" s="32">
        <v>40</v>
      </c>
      <c r="I23028" s="30" t="s">
        <v>51</v>
      </c>
      <c r="J23028" s="41">
        <v>45992</v>
      </c>
      <c r="K23028" s="30" t="s">
        <v>22</v>
      </c>
    </row>
    <row r="23029" spans="1:11">
      <c r="A23029" s="33" t="s">
        <v>50882</v>
      </c>
      <c r="B23029" s="33" t="s">
        <v>50883</v>
      </c>
      <c r="C23029" s="33" t="s">
        <v>30640</v>
      </c>
      <c r="D23029" s="33" t="s">
        <v>17</v>
      </c>
      <c r="E23029" s="33" t="s">
        <v>67</v>
      </c>
      <c r="F23029" s="33" t="s">
        <v>68</v>
      </c>
      <c r="G23029" s="33" t="s">
        <v>140</v>
      </c>
      <c r="H23029" s="35">
        <v>262</v>
      </c>
      <c r="I23029" s="33" t="s">
        <v>51</v>
      </c>
      <c r="J23029" s="42">
        <v>45860</v>
      </c>
      <c r="K23029" s="33" t="s">
        <v>22</v>
      </c>
    </row>
    <row r="23030" spans="1:11">
      <c r="A23030" s="30" t="s">
        <v>50884</v>
      </c>
      <c r="B23030" s="30" t="s">
        <v>50885</v>
      </c>
      <c r="C23030" s="30" t="s">
        <v>50886</v>
      </c>
      <c r="D23030" s="30" t="s">
        <v>17</v>
      </c>
      <c r="E23030" s="30" t="s">
        <v>26</v>
      </c>
      <c r="F23030" s="30" t="s">
        <v>27</v>
      </c>
      <c r="G23030" s="30" t="s">
        <v>7780</v>
      </c>
      <c r="H23030" s="32">
        <v>151</v>
      </c>
      <c r="I23030" s="30" t="s">
        <v>51</v>
      </c>
      <c r="J23030" s="41">
        <v>45747</v>
      </c>
      <c r="K23030" s="30" t="s">
        <v>22</v>
      </c>
    </row>
    <row r="23031" spans="1:11">
      <c r="A23031" s="33" t="s">
        <v>50887</v>
      </c>
      <c r="B23031" s="33" t="s">
        <v>50888</v>
      </c>
      <c r="C23031" s="33" t="s">
        <v>14816</v>
      </c>
      <c r="D23031" s="33" t="s">
        <v>17</v>
      </c>
      <c r="E23031" s="33" t="s">
        <v>18</v>
      </c>
      <c r="F23031" s="33" t="s">
        <v>19</v>
      </c>
      <c r="G23031" s="33" t="s">
        <v>140</v>
      </c>
      <c r="H23031" s="35">
        <v>216</v>
      </c>
      <c r="I23031" s="33" t="s">
        <v>51</v>
      </c>
      <c r="J23031" s="42">
        <v>45880</v>
      </c>
      <c r="K23031" s="33" t="s">
        <v>22</v>
      </c>
    </row>
    <row r="23032" spans="1:11">
      <c r="A23032" s="30" t="s">
        <v>50889</v>
      </c>
      <c r="B23032" s="30" t="s">
        <v>50890</v>
      </c>
      <c r="C23032" s="30" t="s">
        <v>50891</v>
      </c>
      <c r="D23032" s="30" t="s">
        <v>17</v>
      </c>
      <c r="E23032" s="30" t="s">
        <v>26</v>
      </c>
      <c r="F23032" s="30" t="s">
        <v>27</v>
      </c>
      <c r="G23032" s="30" t="s">
        <v>140</v>
      </c>
      <c r="H23032" s="32">
        <v>160</v>
      </c>
      <c r="I23032" s="30" t="s">
        <v>51</v>
      </c>
      <c r="J23032" s="41">
        <v>45737</v>
      </c>
      <c r="K23032" s="30" t="s">
        <v>22</v>
      </c>
    </row>
    <row r="23033" spans="1:11">
      <c r="A23033" s="33" t="s">
        <v>50892</v>
      </c>
      <c r="B23033" s="33" t="s">
        <v>50893</v>
      </c>
      <c r="C23033" s="33" t="s">
        <v>25177</v>
      </c>
      <c r="D23033" s="33" t="s">
        <v>17</v>
      </c>
      <c r="E23033" s="33" t="s">
        <v>330</v>
      </c>
      <c r="F23033" s="33" t="s">
        <v>331</v>
      </c>
      <c r="G23033" s="33" t="s">
        <v>106</v>
      </c>
      <c r="H23033" s="35">
        <v>5</v>
      </c>
      <c r="I23033" s="33" t="s">
        <v>21</v>
      </c>
      <c r="J23033" s="42">
        <v>45797</v>
      </c>
      <c r="K23033" s="33" t="s">
        <v>22</v>
      </c>
    </row>
    <row r="23034" spans="1:11">
      <c r="A23034" s="30" t="s">
        <v>50894</v>
      </c>
      <c r="B23034" s="30" t="s">
        <v>50895</v>
      </c>
      <c r="C23034" s="30" t="s">
        <v>11001</v>
      </c>
      <c r="D23034" s="30" t="s">
        <v>17</v>
      </c>
      <c r="E23034" s="30" t="s">
        <v>31</v>
      </c>
      <c r="F23034" s="30" t="s">
        <v>32</v>
      </c>
      <c r="G23034" s="30" t="s">
        <v>140</v>
      </c>
      <c r="H23034" s="32">
        <v>320</v>
      </c>
      <c r="I23034" s="30" t="s">
        <v>51</v>
      </c>
      <c r="J23034" s="41">
        <v>45677</v>
      </c>
      <c r="K23034" s="30" t="s">
        <v>22</v>
      </c>
    </row>
    <row r="23035" spans="1:11">
      <c r="A23035" s="33" t="s">
        <v>50896</v>
      </c>
      <c r="B23035" s="33" t="s">
        <v>50897</v>
      </c>
      <c r="C23035" s="33" t="s">
        <v>969</v>
      </c>
      <c r="D23035" s="33" t="s">
        <v>17</v>
      </c>
      <c r="E23035" s="33" t="s">
        <v>31</v>
      </c>
      <c r="F23035" s="33" t="s">
        <v>32</v>
      </c>
      <c r="G23035" s="33" t="s">
        <v>140</v>
      </c>
      <c r="H23035" s="35">
        <v>238</v>
      </c>
      <c r="I23035" s="33" t="s">
        <v>51</v>
      </c>
      <c r="J23035" s="42">
        <v>45875</v>
      </c>
      <c r="K23035" s="33" t="s">
        <v>22</v>
      </c>
    </row>
    <row r="23036" spans="1:11">
      <c r="A23036" s="30" t="s">
        <v>50898</v>
      </c>
      <c r="B23036" s="30" t="s">
        <v>50899</v>
      </c>
      <c r="C23036" s="30" t="s">
        <v>22573</v>
      </c>
      <c r="D23036" s="30" t="s">
        <v>17</v>
      </c>
      <c r="E23036" s="30" t="s">
        <v>31</v>
      </c>
      <c r="F23036" s="30" t="s">
        <v>32</v>
      </c>
      <c r="G23036" s="30" t="s">
        <v>140</v>
      </c>
      <c r="H23036" s="32">
        <v>450</v>
      </c>
      <c r="I23036" s="30" t="s">
        <v>51</v>
      </c>
      <c r="J23036" s="41">
        <v>45856</v>
      </c>
      <c r="K23036" s="30" t="s">
        <v>22</v>
      </c>
    </row>
    <row r="23037" spans="1:11">
      <c r="A23037" s="33" t="s">
        <v>50900</v>
      </c>
      <c r="B23037" s="33" t="s">
        <v>50901</v>
      </c>
      <c r="C23037" s="33" t="s">
        <v>190</v>
      </c>
      <c r="D23037" s="33" t="s">
        <v>17</v>
      </c>
      <c r="E23037" s="33" t="s">
        <v>212</v>
      </c>
      <c r="F23037" s="33" t="s">
        <v>213</v>
      </c>
      <c r="G23037" s="33" t="s">
        <v>140</v>
      </c>
      <c r="H23037" s="35">
        <v>56</v>
      </c>
      <c r="I23037" s="33" t="s">
        <v>51</v>
      </c>
      <c r="J23037" s="42">
        <v>45985</v>
      </c>
      <c r="K23037" s="33" t="s">
        <v>22</v>
      </c>
    </row>
    <row r="23038" spans="1:11">
      <c r="A23038" s="30" t="s">
        <v>50902</v>
      </c>
      <c r="B23038" s="30" t="s">
        <v>50903</v>
      </c>
      <c r="C23038" s="30" t="s">
        <v>15917</v>
      </c>
      <c r="D23038" s="30" t="s">
        <v>17</v>
      </c>
      <c r="E23038" s="30" t="s">
        <v>31</v>
      </c>
      <c r="F23038" s="30" t="s">
        <v>32</v>
      </c>
      <c r="G23038" s="30" t="s">
        <v>158</v>
      </c>
      <c r="H23038" s="32">
        <v>21</v>
      </c>
      <c r="I23038" s="30" t="s">
        <v>21</v>
      </c>
      <c r="J23038" s="41">
        <v>45992</v>
      </c>
      <c r="K23038" s="30" t="s">
        <v>22</v>
      </c>
    </row>
    <row r="23039" spans="1:11">
      <c r="A23039" s="33" t="s">
        <v>50904</v>
      </c>
      <c r="B23039" s="33" t="s">
        <v>50905</v>
      </c>
      <c r="C23039" s="33" t="s">
        <v>50906</v>
      </c>
      <c r="D23039" s="33" t="s">
        <v>17</v>
      </c>
      <c r="E23039" s="33" t="s">
        <v>26</v>
      </c>
      <c r="F23039" s="33" t="s">
        <v>27</v>
      </c>
      <c r="G23039" s="33" t="s">
        <v>140</v>
      </c>
      <c r="H23039" s="35">
        <v>48</v>
      </c>
      <c r="I23039" s="33" t="s">
        <v>51</v>
      </c>
      <c r="J23039" s="42">
        <v>45813</v>
      </c>
      <c r="K23039" s="33" t="s">
        <v>22</v>
      </c>
    </row>
    <row r="23040" spans="1:11">
      <c r="A23040" s="30" t="s">
        <v>50907</v>
      </c>
      <c r="B23040" s="30" t="s">
        <v>50908</v>
      </c>
      <c r="C23040" s="30" t="s">
        <v>21185</v>
      </c>
      <c r="D23040" s="30" t="s">
        <v>17</v>
      </c>
      <c r="E23040" s="30" t="s">
        <v>18</v>
      </c>
      <c r="F23040" s="30" t="s">
        <v>19</v>
      </c>
      <c r="G23040" s="30" t="s">
        <v>140</v>
      </c>
      <c r="H23040" s="32">
        <v>246</v>
      </c>
      <c r="I23040" s="30" t="s">
        <v>51</v>
      </c>
      <c r="J23040" s="41">
        <v>45845</v>
      </c>
      <c r="K23040" s="30" t="s">
        <v>22</v>
      </c>
    </row>
    <row r="23041" spans="1:11">
      <c r="A23041" s="33" t="s">
        <v>50909</v>
      </c>
      <c r="B23041" s="33" t="s">
        <v>50910</v>
      </c>
      <c r="C23041" s="33" t="s">
        <v>318</v>
      </c>
      <c r="D23041" s="33" t="s">
        <v>17</v>
      </c>
      <c r="E23041" s="33" t="s">
        <v>26</v>
      </c>
      <c r="F23041" s="33" t="s">
        <v>27</v>
      </c>
      <c r="G23041" s="33" t="s">
        <v>140</v>
      </c>
      <c r="H23041" s="35">
        <v>380</v>
      </c>
      <c r="I23041" s="33" t="s">
        <v>51</v>
      </c>
      <c r="J23041" s="42">
        <v>45916</v>
      </c>
      <c r="K23041" s="33" t="s">
        <v>22</v>
      </c>
    </row>
    <row r="23042" spans="1:11">
      <c r="A23042" s="30" t="s">
        <v>50911</v>
      </c>
      <c r="B23042" s="30" t="s">
        <v>50912</v>
      </c>
      <c r="C23042" s="30" t="s">
        <v>22336</v>
      </c>
      <c r="D23042" s="30" t="s">
        <v>17</v>
      </c>
      <c r="E23042" s="30" t="s">
        <v>26</v>
      </c>
      <c r="F23042" s="30" t="s">
        <v>27</v>
      </c>
      <c r="G23042" s="30" t="s">
        <v>7780</v>
      </c>
      <c r="H23042" s="32">
        <v>66</v>
      </c>
      <c r="I23042" s="30" t="s">
        <v>51</v>
      </c>
      <c r="J23042" s="41">
        <v>45832</v>
      </c>
      <c r="K23042" s="30" t="s">
        <v>22</v>
      </c>
    </row>
    <row r="23043" spans="1:11">
      <c r="A23043" s="33" t="s">
        <v>50913</v>
      </c>
      <c r="B23043" s="33" t="s">
        <v>50914</v>
      </c>
      <c r="C23043" s="33" t="s">
        <v>21319</v>
      </c>
      <c r="D23043" s="33" t="s">
        <v>17</v>
      </c>
      <c r="E23043" s="33" t="s">
        <v>45</v>
      </c>
      <c r="F23043" s="33" t="s">
        <v>46</v>
      </c>
      <c r="G23043" s="33" t="s">
        <v>7780</v>
      </c>
      <c r="H23043" s="35">
        <v>200</v>
      </c>
      <c r="I23043" s="33" t="s">
        <v>51</v>
      </c>
      <c r="J23043" s="42">
        <v>45901</v>
      </c>
      <c r="K23043" s="33" t="s">
        <v>22</v>
      </c>
    </row>
    <row r="23044" spans="1:11">
      <c r="A23044" s="30" t="s">
        <v>50915</v>
      </c>
      <c r="B23044" s="30" t="s">
        <v>50916</v>
      </c>
      <c r="C23044" s="30" t="s">
        <v>1090</v>
      </c>
      <c r="D23044" s="30" t="s">
        <v>17</v>
      </c>
      <c r="E23044" s="30" t="s">
        <v>31</v>
      </c>
      <c r="F23044" s="30" t="s">
        <v>32</v>
      </c>
      <c r="G23044" s="30" t="s">
        <v>140</v>
      </c>
      <c r="H23044" s="32">
        <v>350</v>
      </c>
      <c r="I23044" s="30" t="s">
        <v>51</v>
      </c>
      <c r="J23044" s="41">
        <v>45812</v>
      </c>
      <c r="K23044" s="30" t="s">
        <v>22</v>
      </c>
    </row>
    <row r="23045" spans="1:11">
      <c r="A23045" s="33" t="s">
        <v>50917</v>
      </c>
      <c r="B23045" s="33" t="s">
        <v>50918</v>
      </c>
      <c r="C23045" s="33" t="s">
        <v>647</v>
      </c>
      <c r="D23045" s="33" t="s">
        <v>17</v>
      </c>
      <c r="E23045" s="33" t="s">
        <v>18</v>
      </c>
      <c r="F23045" s="33" t="s">
        <v>19</v>
      </c>
      <c r="G23045" s="33" t="s">
        <v>158</v>
      </c>
      <c r="H23045" s="35">
        <v>975</v>
      </c>
      <c r="I23045" s="33" t="s">
        <v>51</v>
      </c>
      <c r="J23045" s="42">
        <v>45972</v>
      </c>
      <c r="K23045" s="33" t="s">
        <v>22</v>
      </c>
    </row>
    <row r="23046" spans="1:11">
      <c r="A23046" s="30" t="s">
        <v>50919</v>
      </c>
      <c r="B23046" s="30" t="s">
        <v>50920</v>
      </c>
      <c r="C23046" s="30" t="s">
        <v>2392</v>
      </c>
      <c r="D23046" s="30" t="s">
        <v>17</v>
      </c>
      <c r="E23046" s="30" t="s">
        <v>26</v>
      </c>
      <c r="F23046" s="30" t="s">
        <v>27</v>
      </c>
      <c r="G23046" s="30" t="s">
        <v>7780</v>
      </c>
      <c r="H23046" s="32">
        <v>20</v>
      </c>
      <c r="I23046" s="30" t="s">
        <v>51</v>
      </c>
      <c r="J23046" s="41">
        <v>46011</v>
      </c>
      <c r="K23046" s="30" t="s">
        <v>22</v>
      </c>
    </row>
    <row r="23047" spans="1:11">
      <c r="A23047" s="33" t="s">
        <v>50921</v>
      </c>
      <c r="B23047" s="33" t="s">
        <v>50922</v>
      </c>
      <c r="C23047" s="33" t="s">
        <v>149</v>
      </c>
      <c r="D23047" s="33" t="s">
        <v>17</v>
      </c>
      <c r="E23047" s="33" t="s">
        <v>18</v>
      </c>
      <c r="F23047" s="33" t="s">
        <v>19</v>
      </c>
      <c r="G23047" s="33" t="s">
        <v>140</v>
      </c>
      <c r="H23047" s="35">
        <v>740</v>
      </c>
      <c r="I23047" s="33" t="s">
        <v>51</v>
      </c>
      <c r="J23047" s="42">
        <v>45953</v>
      </c>
      <c r="K23047" s="33" t="s">
        <v>22</v>
      </c>
    </row>
    <row r="23048" spans="1:11">
      <c r="A23048" s="30" t="s">
        <v>50923</v>
      </c>
      <c r="B23048" s="30" t="s">
        <v>50924</v>
      </c>
      <c r="C23048" s="30" t="s">
        <v>1504</v>
      </c>
      <c r="D23048" s="30" t="s">
        <v>17</v>
      </c>
      <c r="E23048" s="30" t="s">
        <v>67</v>
      </c>
      <c r="F23048" s="30" t="s">
        <v>68</v>
      </c>
      <c r="G23048" s="30" t="s">
        <v>7780</v>
      </c>
      <c r="H23048" s="32">
        <v>188</v>
      </c>
      <c r="I23048" s="30" t="s">
        <v>51</v>
      </c>
      <c r="J23048" s="41">
        <v>45748</v>
      </c>
      <c r="K23048" s="30" t="s">
        <v>22</v>
      </c>
    </row>
    <row r="23049" spans="1:11">
      <c r="A23049" s="33" t="s">
        <v>50925</v>
      </c>
      <c r="B23049" s="33" t="s">
        <v>50926</v>
      </c>
      <c r="C23049" s="33" t="s">
        <v>93</v>
      </c>
      <c r="D23049" s="33" t="s">
        <v>17</v>
      </c>
      <c r="E23049" s="33" t="s">
        <v>26</v>
      </c>
      <c r="F23049" s="33" t="s">
        <v>27</v>
      </c>
      <c r="G23049" s="33" t="s">
        <v>20</v>
      </c>
      <c r="H23049" s="35">
        <v>20</v>
      </c>
      <c r="I23049" s="33" t="s">
        <v>21</v>
      </c>
      <c r="J23049" s="42">
        <v>45890</v>
      </c>
      <c r="K23049" s="33" t="s">
        <v>22</v>
      </c>
    </row>
    <row r="23050" spans="1:11">
      <c r="A23050" s="30" t="s">
        <v>50927</v>
      </c>
      <c r="B23050" s="30" t="s">
        <v>50928</v>
      </c>
      <c r="C23050" s="30" t="s">
        <v>7880</v>
      </c>
      <c r="D23050" s="30" t="s">
        <v>17</v>
      </c>
      <c r="E23050" s="30" t="s">
        <v>31</v>
      </c>
      <c r="F23050" s="30" t="s">
        <v>32</v>
      </c>
      <c r="G23050" s="30" t="s">
        <v>7780</v>
      </c>
      <c r="H23050" s="32">
        <v>17</v>
      </c>
      <c r="I23050" s="30" t="s">
        <v>51</v>
      </c>
      <c r="J23050" s="41">
        <v>45839</v>
      </c>
      <c r="K23050" s="30" t="s">
        <v>22</v>
      </c>
    </row>
    <row r="23051" spans="1:11">
      <c r="A23051" s="33" t="s">
        <v>50929</v>
      </c>
      <c r="B23051" s="33" t="s">
        <v>50930</v>
      </c>
      <c r="C23051" s="33" t="s">
        <v>647</v>
      </c>
      <c r="D23051" s="33" t="s">
        <v>17</v>
      </c>
      <c r="E23051" s="33" t="s">
        <v>31</v>
      </c>
      <c r="F23051" s="33" t="s">
        <v>32</v>
      </c>
      <c r="G23051" s="33" t="s">
        <v>158</v>
      </c>
      <c r="H23051" s="35">
        <v>182</v>
      </c>
      <c r="I23051" s="33" t="s">
        <v>51</v>
      </c>
      <c r="J23051" s="42">
        <v>45938</v>
      </c>
      <c r="K23051" s="33" t="s">
        <v>22</v>
      </c>
    </row>
    <row r="23052" spans="1:11">
      <c r="A23052" s="30" t="s">
        <v>50931</v>
      </c>
      <c r="B23052" s="30" t="s">
        <v>50932</v>
      </c>
      <c r="C23052" s="30" t="s">
        <v>93</v>
      </c>
      <c r="D23052" s="30" t="s">
        <v>17</v>
      </c>
      <c r="E23052" s="30" t="s">
        <v>26</v>
      </c>
      <c r="F23052" s="30" t="s">
        <v>27</v>
      </c>
      <c r="G23052" s="30" t="s">
        <v>20</v>
      </c>
      <c r="H23052" s="32">
        <v>8</v>
      </c>
      <c r="I23052" s="30" t="s">
        <v>21</v>
      </c>
      <c r="J23052" s="41">
        <v>45945</v>
      </c>
      <c r="K23052" s="30" t="s">
        <v>22</v>
      </c>
    </row>
    <row r="23053" spans="1:11">
      <c r="A23053" s="33" t="s">
        <v>50933</v>
      </c>
      <c r="B23053" s="33" t="s">
        <v>50934</v>
      </c>
      <c r="C23053" s="33" t="s">
        <v>75</v>
      </c>
      <c r="D23053" s="33" t="s">
        <v>17</v>
      </c>
      <c r="E23053" s="33" t="s">
        <v>18</v>
      </c>
      <c r="F23053" s="33" t="s">
        <v>19</v>
      </c>
      <c r="G23053" s="33" t="s">
        <v>140</v>
      </c>
      <c r="H23053" s="35">
        <v>424</v>
      </c>
      <c r="I23053" s="33" t="s">
        <v>51</v>
      </c>
      <c r="J23053" s="42">
        <v>45938</v>
      </c>
      <c r="K23053" s="33" t="s">
        <v>22</v>
      </c>
    </row>
    <row r="23054" spans="1:11">
      <c r="A23054" s="30" t="s">
        <v>50935</v>
      </c>
      <c r="B23054" s="30" t="s">
        <v>50936</v>
      </c>
      <c r="C23054" s="30" t="s">
        <v>50937</v>
      </c>
      <c r="D23054" s="30" t="s">
        <v>17</v>
      </c>
      <c r="E23054" s="30" t="s">
        <v>212</v>
      </c>
      <c r="F23054" s="30" t="s">
        <v>213</v>
      </c>
      <c r="G23054" s="30" t="s">
        <v>140</v>
      </c>
      <c r="H23054" s="32">
        <v>60</v>
      </c>
      <c r="I23054" s="30" t="s">
        <v>51</v>
      </c>
      <c r="J23054" s="41">
        <v>45895</v>
      </c>
      <c r="K23054" s="30" t="s">
        <v>22</v>
      </c>
    </row>
    <row r="23055" spans="1:11">
      <c r="A23055" s="33" t="s">
        <v>50938</v>
      </c>
      <c r="B23055" s="33" t="s">
        <v>50939</v>
      </c>
      <c r="C23055" s="33" t="s">
        <v>35134</v>
      </c>
      <c r="D23055" s="33" t="s">
        <v>17</v>
      </c>
      <c r="E23055" s="33" t="s">
        <v>26</v>
      </c>
      <c r="F23055" s="33" t="s">
        <v>27</v>
      </c>
      <c r="G23055" s="33" t="s">
        <v>140</v>
      </c>
      <c r="H23055" s="35">
        <v>144</v>
      </c>
      <c r="I23055" s="33" t="s">
        <v>51</v>
      </c>
      <c r="J23055" s="42">
        <v>45982</v>
      </c>
      <c r="K23055" s="33" t="s">
        <v>22</v>
      </c>
    </row>
    <row r="23056" spans="1:11">
      <c r="A23056" s="30" t="s">
        <v>50940</v>
      </c>
      <c r="B23056" s="30" t="s">
        <v>50941</v>
      </c>
      <c r="C23056" s="30" t="s">
        <v>684</v>
      </c>
      <c r="D23056" s="30" t="s">
        <v>17</v>
      </c>
      <c r="E23056" s="30" t="s">
        <v>31</v>
      </c>
      <c r="F23056" s="30" t="s">
        <v>32</v>
      </c>
      <c r="G23056" s="30" t="s">
        <v>140</v>
      </c>
      <c r="H23056" s="32">
        <v>200</v>
      </c>
      <c r="I23056" s="30" t="s">
        <v>51</v>
      </c>
      <c r="J23056" s="41">
        <v>45813</v>
      </c>
      <c r="K23056" s="30" t="s">
        <v>22</v>
      </c>
    </row>
    <row r="23057" spans="1:11">
      <c r="A23057" s="33" t="s">
        <v>50942</v>
      </c>
      <c r="B23057" s="33" t="s">
        <v>50943</v>
      </c>
      <c r="C23057" s="33" t="s">
        <v>14949</v>
      </c>
      <c r="D23057" s="33" t="s">
        <v>17</v>
      </c>
      <c r="E23057" s="33" t="s">
        <v>26</v>
      </c>
      <c r="F23057" s="33" t="s">
        <v>27</v>
      </c>
      <c r="G23057" s="33" t="s">
        <v>7780</v>
      </c>
      <c r="H23057" s="35">
        <v>24</v>
      </c>
      <c r="I23057" s="33" t="s">
        <v>51</v>
      </c>
      <c r="J23057" s="42">
        <v>45992</v>
      </c>
      <c r="K23057" s="33" t="s">
        <v>22</v>
      </c>
    </row>
    <row r="23058" spans="1:11">
      <c r="A23058" s="30" t="s">
        <v>50944</v>
      </c>
      <c r="B23058" s="30" t="s">
        <v>50945</v>
      </c>
      <c r="C23058" s="30" t="s">
        <v>50946</v>
      </c>
      <c r="D23058" s="30" t="s">
        <v>17</v>
      </c>
      <c r="E23058" s="30" t="s">
        <v>18</v>
      </c>
      <c r="F23058" s="30" t="s">
        <v>19</v>
      </c>
      <c r="G23058" s="30" t="s">
        <v>140</v>
      </c>
      <c r="H23058" s="32">
        <v>1800</v>
      </c>
      <c r="I23058" s="30" t="s">
        <v>51</v>
      </c>
      <c r="J23058" s="41">
        <v>46009</v>
      </c>
      <c r="K23058" s="30" t="s">
        <v>22</v>
      </c>
    </row>
    <row r="23059" spans="1:11">
      <c r="A23059" s="33" t="s">
        <v>50947</v>
      </c>
      <c r="B23059" s="33" t="s">
        <v>50948</v>
      </c>
      <c r="C23059" s="33" t="s">
        <v>21247</v>
      </c>
      <c r="D23059" s="33" t="s">
        <v>17</v>
      </c>
      <c r="E23059" s="33" t="s">
        <v>31</v>
      </c>
      <c r="F23059" s="33" t="s">
        <v>32</v>
      </c>
      <c r="G23059" s="33" t="s">
        <v>140</v>
      </c>
      <c r="H23059" s="35">
        <v>300</v>
      </c>
      <c r="I23059" s="33" t="s">
        <v>51</v>
      </c>
      <c r="J23059" s="42">
        <v>45884</v>
      </c>
      <c r="K23059" s="33" t="s">
        <v>22</v>
      </c>
    </row>
    <row r="23060" spans="1:11">
      <c r="A23060" s="30" t="s">
        <v>50949</v>
      </c>
      <c r="B23060" s="30" t="s">
        <v>50950</v>
      </c>
      <c r="C23060" s="30" t="s">
        <v>39233</v>
      </c>
      <c r="D23060" s="30" t="s">
        <v>17</v>
      </c>
      <c r="E23060" s="30" t="s">
        <v>67</v>
      </c>
      <c r="F23060" s="30" t="s">
        <v>68</v>
      </c>
      <c r="G23060" s="30" t="s">
        <v>7780</v>
      </c>
      <c r="H23060" s="32">
        <v>410</v>
      </c>
      <c r="I23060" s="30" t="s">
        <v>51</v>
      </c>
      <c r="J23060" s="41">
        <v>45736</v>
      </c>
      <c r="K23060" s="30" t="s">
        <v>22</v>
      </c>
    </row>
    <row r="23061" spans="1:11">
      <c r="A23061" s="33" t="s">
        <v>50951</v>
      </c>
      <c r="B23061" s="33" t="s">
        <v>50952</v>
      </c>
      <c r="C23061" s="33" t="s">
        <v>252</v>
      </c>
      <c r="D23061" s="33" t="s">
        <v>17</v>
      </c>
      <c r="E23061" s="33" t="s">
        <v>26</v>
      </c>
      <c r="F23061" s="33" t="s">
        <v>27</v>
      </c>
      <c r="G23061" s="33" t="s">
        <v>7780</v>
      </c>
      <c r="H23061" s="35">
        <v>48</v>
      </c>
      <c r="I23061" s="33" t="s">
        <v>51</v>
      </c>
      <c r="J23061" s="42">
        <v>45783</v>
      </c>
      <c r="K23061" s="33" t="s">
        <v>22</v>
      </c>
    </row>
    <row r="23062" spans="1:11">
      <c r="A23062" s="30" t="s">
        <v>50953</v>
      </c>
      <c r="B23062" s="30" t="s">
        <v>50954</v>
      </c>
      <c r="C23062" s="30" t="s">
        <v>969</v>
      </c>
      <c r="D23062" s="30" t="s">
        <v>17</v>
      </c>
      <c r="E23062" s="30" t="s">
        <v>31</v>
      </c>
      <c r="F23062" s="30" t="s">
        <v>32</v>
      </c>
      <c r="G23062" s="30" t="s">
        <v>140</v>
      </c>
      <c r="H23062" s="32">
        <v>220</v>
      </c>
      <c r="I23062" s="30" t="s">
        <v>51</v>
      </c>
      <c r="J23062" s="41">
        <v>45883</v>
      </c>
      <c r="K23062" s="30" t="s">
        <v>22</v>
      </c>
    </row>
    <row r="23063" spans="1:11">
      <c r="A23063" s="33" t="s">
        <v>50955</v>
      </c>
      <c r="B23063" s="33" t="s">
        <v>50956</v>
      </c>
      <c r="C23063" s="33" t="s">
        <v>3296</v>
      </c>
      <c r="D23063" s="33" t="s">
        <v>17</v>
      </c>
      <c r="E23063" s="33" t="s">
        <v>212</v>
      </c>
      <c r="F23063" s="33" t="s">
        <v>213</v>
      </c>
      <c r="G23063" s="33" t="s">
        <v>7780</v>
      </c>
      <c r="H23063" s="35">
        <v>238</v>
      </c>
      <c r="I23063" s="33" t="s">
        <v>51</v>
      </c>
      <c r="J23063" s="42">
        <v>45962</v>
      </c>
      <c r="K23063" s="33" t="s">
        <v>22</v>
      </c>
    </row>
    <row r="23064" spans="1:11">
      <c r="A23064" s="30" t="s">
        <v>50957</v>
      </c>
      <c r="B23064" s="30" t="s">
        <v>50958</v>
      </c>
      <c r="C23064" s="30" t="s">
        <v>3775</v>
      </c>
      <c r="D23064" s="30" t="s">
        <v>17</v>
      </c>
      <c r="E23064" s="30" t="s">
        <v>212</v>
      </c>
      <c r="F23064" s="30" t="s">
        <v>213</v>
      </c>
      <c r="G23064" s="30" t="s">
        <v>140</v>
      </c>
      <c r="H23064" s="32">
        <v>204</v>
      </c>
      <c r="I23064" s="30" t="s">
        <v>51</v>
      </c>
      <c r="J23064" s="41">
        <v>45819</v>
      </c>
      <c r="K23064" s="30" t="s">
        <v>22</v>
      </c>
    </row>
    <row r="23065" spans="1:11">
      <c r="A23065" s="33" t="s">
        <v>50959</v>
      </c>
      <c r="B23065" s="33" t="s">
        <v>50960</v>
      </c>
      <c r="C23065" s="33" t="s">
        <v>23852</v>
      </c>
      <c r="D23065" s="33" t="s">
        <v>17</v>
      </c>
      <c r="E23065" s="33" t="s">
        <v>67</v>
      </c>
      <c r="F23065" s="33" t="s">
        <v>68</v>
      </c>
      <c r="G23065" s="33" t="s">
        <v>158</v>
      </c>
      <c r="H23065" s="35">
        <v>6</v>
      </c>
      <c r="I23065" s="33" t="s">
        <v>21</v>
      </c>
      <c r="J23065" s="42">
        <v>45931</v>
      </c>
      <c r="K23065" s="33" t="s">
        <v>22</v>
      </c>
    </row>
    <row r="23066" spans="1:11">
      <c r="A23066" s="30" t="s">
        <v>50961</v>
      </c>
      <c r="B23066" s="30" t="s">
        <v>50962</v>
      </c>
      <c r="C23066" s="30" t="s">
        <v>109</v>
      </c>
      <c r="D23066" s="30" t="s">
        <v>17</v>
      </c>
      <c r="E23066" s="30" t="s">
        <v>18</v>
      </c>
      <c r="F23066" s="30" t="s">
        <v>19</v>
      </c>
      <c r="G23066" s="30" t="s">
        <v>140</v>
      </c>
      <c r="H23066" s="32">
        <v>220</v>
      </c>
      <c r="I23066" s="30" t="s">
        <v>51</v>
      </c>
      <c r="J23066" s="41">
        <v>45866</v>
      </c>
      <c r="K23066" s="30" t="s">
        <v>22</v>
      </c>
    </row>
    <row r="23067" spans="1:11">
      <c r="A23067" s="33" t="s">
        <v>50963</v>
      </c>
      <c r="B23067" s="33" t="s">
        <v>50964</v>
      </c>
      <c r="C23067" s="33" t="s">
        <v>50965</v>
      </c>
      <c r="D23067" s="33" t="s">
        <v>17</v>
      </c>
      <c r="E23067" s="33" t="s">
        <v>330</v>
      </c>
      <c r="F23067" s="33" t="s">
        <v>331</v>
      </c>
      <c r="G23067" s="33" t="s">
        <v>140</v>
      </c>
      <c r="H23067" s="35">
        <v>10</v>
      </c>
      <c r="I23067" s="33" t="s">
        <v>51</v>
      </c>
      <c r="J23067" s="42">
        <v>45806</v>
      </c>
      <c r="K23067" s="33" t="s">
        <v>22</v>
      </c>
    </row>
    <row r="23068" spans="1:11">
      <c r="A23068" s="30" t="s">
        <v>50966</v>
      </c>
      <c r="B23068" s="30" t="s">
        <v>50967</v>
      </c>
      <c r="C23068" s="30" t="s">
        <v>96</v>
      </c>
      <c r="D23068" s="30" t="s">
        <v>17</v>
      </c>
      <c r="E23068" s="30" t="s">
        <v>18</v>
      </c>
      <c r="F23068" s="30" t="s">
        <v>19</v>
      </c>
      <c r="G23068" s="30" t="s">
        <v>158</v>
      </c>
      <c r="H23068" s="32">
        <v>208</v>
      </c>
      <c r="I23068" s="30" t="s">
        <v>21</v>
      </c>
      <c r="J23068" s="41">
        <v>45869</v>
      </c>
      <c r="K23068" s="30" t="s">
        <v>22</v>
      </c>
    </row>
    <row r="23069" spans="1:11">
      <c r="A23069" s="33" t="s">
        <v>50968</v>
      </c>
      <c r="B23069" s="33" t="s">
        <v>50969</v>
      </c>
      <c r="C23069" s="33" t="s">
        <v>16425</v>
      </c>
      <c r="D23069" s="33" t="s">
        <v>17</v>
      </c>
      <c r="E23069" s="33" t="s">
        <v>18</v>
      </c>
      <c r="F23069" s="33" t="s">
        <v>19</v>
      </c>
      <c r="G23069" s="33" t="s">
        <v>158</v>
      </c>
      <c r="H23069" s="35">
        <v>4500</v>
      </c>
      <c r="I23069" s="33" t="s">
        <v>51</v>
      </c>
      <c r="J23069" s="42">
        <v>45831</v>
      </c>
      <c r="K23069" s="33" t="s">
        <v>22</v>
      </c>
    </row>
    <row r="23070" spans="1:11">
      <c r="A23070" s="30" t="s">
        <v>50970</v>
      </c>
      <c r="B23070" s="30" t="s">
        <v>50971</v>
      </c>
      <c r="C23070" s="30" t="s">
        <v>50669</v>
      </c>
      <c r="D23070" s="30" t="s">
        <v>17</v>
      </c>
      <c r="E23070" s="30" t="s">
        <v>26</v>
      </c>
      <c r="F23070" s="30" t="s">
        <v>27</v>
      </c>
      <c r="G23070" s="30" t="s">
        <v>140</v>
      </c>
      <c r="H23070" s="32">
        <v>285</v>
      </c>
      <c r="I23070" s="30" t="s">
        <v>51</v>
      </c>
      <c r="J23070" s="41">
        <v>45776</v>
      </c>
      <c r="K23070" s="30" t="s">
        <v>22</v>
      </c>
    </row>
    <row r="23071" spans="1:11">
      <c r="A23071" s="33" t="s">
        <v>50972</v>
      </c>
      <c r="B23071" s="33" t="s">
        <v>50973</v>
      </c>
      <c r="C23071" s="33" t="s">
        <v>5469</v>
      </c>
      <c r="D23071" s="33" t="s">
        <v>17</v>
      </c>
      <c r="E23071" s="33" t="s">
        <v>18</v>
      </c>
      <c r="F23071" s="33" t="s">
        <v>19</v>
      </c>
      <c r="G23071" s="33" t="s">
        <v>2613</v>
      </c>
      <c r="H23071" s="35">
        <v>176</v>
      </c>
      <c r="I23071" s="33" t="s">
        <v>51</v>
      </c>
      <c r="J23071" s="42">
        <v>45912</v>
      </c>
      <c r="K23071" s="33" t="s">
        <v>22</v>
      </c>
    </row>
    <row r="23072" spans="1:11">
      <c r="A23072" s="30" t="s">
        <v>50974</v>
      </c>
      <c r="B23072" s="30" t="s">
        <v>50975</v>
      </c>
      <c r="C23072" s="30" t="s">
        <v>1133</v>
      </c>
      <c r="D23072" s="30" t="s">
        <v>17</v>
      </c>
      <c r="E23072" s="30" t="s">
        <v>18</v>
      </c>
      <c r="F23072" s="30" t="s">
        <v>19</v>
      </c>
      <c r="G23072" s="30" t="s">
        <v>140</v>
      </c>
      <c r="H23072" s="32">
        <v>1000</v>
      </c>
      <c r="I23072" s="30" t="s">
        <v>51</v>
      </c>
      <c r="J23072" s="41">
        <v>45964</v>
      </c>
      <c r="K23072" s="30" t="s">
        <v>22</v>
      </c>
    </row>
    <row r="23073" spans="1:11">
      <c r="A23073" s="33" t="s">
        <v>50976</v>
      </c>
      <c r="B23073" s="33" t="s">
        <v>50977</v>
      </c>
      <c r="C23073" s="33" t="s">
        <v>1090</v>
      </c>
      <c r="D23073" s="33" t="s">
        <v>17</v>
      </c>
      <c r="E23073" s="33" t="s">
        <v>67</v>
      </c>
      <c r="F23073" s="33" t="s">
        <v>68</v>
      </c>
      <c r="G23073" s="33" t="s">
        <v>140</v>
      </c>
      <c r="H23073" s="35">
        <v>444</v>
      </c>
      <c r="I23073" s="33" t="s">
        <v>51</v>
      </c>
      <c r="J23073" s="42">
        <v>45974</v>
      </c>
      <c r="K23073" s="33" t="s">
        <v>22</v>
      </c>
    </row>
    <row r="23074" spans="1:11">
      <c r="A23074" s="30" t="s">
        <v>50978</v>
      </c>
      <c r="B23074" s="30" t="s">
        <v>50979</v>
      </c>
      <c r="C23074" s="30" t="s">
        <v>32699</v>
      </c>
      <c r="D23074" s="30" t="s">
        <v>17</v>
      </c>
      <c r="E23074" s="30" t="s">
        <v>31</v>
      </c>
      <c r="F23074" s="30" t="s">
        <v>32</v>
      </c>
      <c r="G23074" s="30" t="s">
        <v>20</v>
      </c>
      <c r="H23074" s="32">
        <v>15</v>
      </c>
      <c r="I23074" s="30" t="s">
        <v>21</v>
      </c>
      <c r="J23074" s="41">
        <v>45908</v>
      </c>
      <c r="K23074" s="30" t="s">
        <v>22</v>
      </c>
    </row>
    <row r="23075" spans="1:11">
      <c r="A23075" s="33" t="s">
        <v>50980</v>
      </c>
      <c r="B23075" s="33" t="s">
        <v>50981</v>
      </c>
      <c r="C23075" s="33" t="s">
        <v>109</v>
      </c>
      <c r="D23075" s="33" t="s">
        <v>17</v>
      </c>
      <c r="E23075" s="33" t="s">
        <v>18</v>
      </c>
      <c r="F23075" s="33" t="s">
        <v>19</v>
      </c>
      <c r="G23075" s="33" t="s">
        <v>158</v>
      </c>
      <c r="H23075" s="35">
        <v>588</v>
      </c>
      <c r="I23075" s="33" t="s">
        <v>21</v>
      </c>
      <c r="J23075" s="42">
        <v>45688</v>
      </c>
      <c r="K23075" s="33" t="s">
        <v>22</v>
      </c>
    </row>
    <row r="23076" spans="1:11">
      <c r="A23076" s="30" t="s">
        <v>50982</v>
      </c>
      <c r="B23076" s="30" t="s">
        <v>50983</v>
      </c>
      <c r="C23076" s="30" t="s">
        <v>2753</v>
      </c>
      <c r="D23076" s="30" t="s">
        <v>17</v>
      </c>
      <c r="E23076" s="30" t="s">
        <v>26</v>
      </c>
      <c r="F23076" s="30" t="s">
        <v>27</v>
      </c>
      <c r="G23076" s="30" t="s">
        <v>140</v>
      </c>
      <c r="H23076" s="32">
        <v>63</v>
      </c>
      <c r="I23076" s="30" t="s">
        <v>51</v>
      </c>
      <c r="J23076" s="41">
        <v>45971</v>
      </c>
      <c r="K23076" s="30" t="s">
        <v>22</v>
      </c>
    </row>
    <row r="23077" spans="1:11">
      <c r="A23077" s="33" t="s">
        <v>50984</v>
      </c>
      <c r="B23077" s="33" t="s">
        <v>50985</v>
      </c>
      <c r="C23077" s="33" t="s">
        <v>1024</v>
      </c>
      <c r="D23077" s="33" t="s">
        <v>17</v>
      </c>
      <c r="E23077" s="33" t="s">
        <v>26</v>
      </c>
      <c r="F23077" s="33" t="s">
        <v>27</v>
      </c>
      <c r="G23077" s="33" t="s">
        <v>20</v>
      </c>
      <c r="H23077" s="35">
        <v>39</v>
      </c>
      <c r="I23077" s="33" t="s">
        <v>21</v>
      </c>
      <c r="J23077" s="42">
        <v>45762</v>
      </c>
      <c r="K23077" s="33" t="s">
        <v>22</v>
      </c>
    </row>
    <row r="23078" spans="1:11">
      <c r="A23078" s="30" t="s">
        <v>50986</v>
      </c>
      <c r="B23078" s="30" t="s">
        <v>50987</v>
      </c>
      <c r="C23078" s="30" t="s">
        <v>1165</v>
      </c>
      <c r="D23078" s="30" t="s">
        <v>17</v>
      </c>
      <c r="E23078" s="30" t="s">
        <v>212</v>
      </c>
      <c r="F23078" s="30" t="s">
        <v>213</v>
      </c>
      <c r="G23078" s="30" t="s">
        <v>140</v>
      </c>
      <c r="H23078" s="32">
        <v>30</v>
      </c>
      <c r="I23078" s="30" t="s">
        <v>51</v>
      </c>
      <c r="J23078" s="41">
        <v>45764</v>
      </c>
      <c r="K23078" s="30" t="s">
        <v>22</v>
      </c>
    </row>
    <row r="23079" spans="1:11">
      <c r="A23079" s="33" t="s">
        <v>50988</v>
      </c>
      <c r="B23079" s="33" t="s">
        <v>50989</v>
      </c>
      <c r="C23079" s="33" t="s">
        <v>28581</v>
      </c>
      <c r="D23079" s="33" t="s">
        <v>17</v>
      </c>
      <c r="E23079" s="33" t="s">
        <v>31</v>
      </c>
      <c r="F23079" s="33" t="s">
        <v>32</v>
      </c>
      <c r="G23079" s="33" t="s">
        <v>140</v>
      </c>
      <c r="H23079" s="35">
        <v>28</v>
      </c>
      <c r="I23079" s="33" t="s">
        <v>51</v>
      </c>
      <c r="J23079" s="42">
        <v>45778</v>
      </c>
      <c r="K23079" s="33" t="s">
        <v>22</v>
      </c>
    </row>
    <row r="23080" spans="1:11">
      <c r="A23080" s="30" t="s">
        <v>50990</v>
      </c>
      <c r="B23080" s="30" t="s">
        <v>50991</v>
      </c>
      <c r="C23080" s="30" t="s">
        <v>231</v>
      </c>
      <c r="D23080" s="30" t="s">
        <v>17</v>
      </c>
      <c r="E23080" s="30" t="s">
        <v>31</v>
      </c>
      <c r="F23080" s="30" t="s">
        <v>32</v>
      </c>
      <c r="G23080" s="30" t="s">
        <v>20</v>
      </c>
      <c r="H23080" s="32">
        <v>28</v>
      </c>
      <c r="I23080" s="30" t="s">
        <v>21</v>
      </c>
      <c r="J23080" s="41">
        <v>45677</v>
      </c>
      <c r="K23080" s="30" t="s">
        <v>22</v>
      </c>
    </row>
    <row r="23081" spans="1:11">
      <c r="A23081" s="33" t="s">
        <v>50992</v>
      </c>
      <c r="B23081" s="33" t="s">
        <v>50993</v>
      </c>
      <c r="C23081" s="33" t="s">
        <v>647</v>
      </c>
      <c r="D23081" s="33" t="s">
        <v>17</v>
      </c>
      <c r="E23081" s="33" t="s">
        <v>67</v>
      </c>
      <c r="F23081" s="33" t="s">
        <v>68</v>
      </c>
      <c r="G23081" s="33" t="s">
        <v>140</v>
      </c>
      <c r="H23081" s="35">
        <v>327</v>
      </c>
      <c r="I23081" s="33" t="s">
        <v>51</v>
      </c>
      <c r="J23081" s="42">
        <v>45715</v>
      </c>
      <c r="K23081" s="33" t="s">
        <v>22</v>
      </c>
    </row>
    <row r="23082" spans="1:11">
      <c r="A23082" s="30" t="s">
        <v>50994</v>
      </c>
      <c r="B23082" s="30" t="s">
        <v>50995</v>
      </c>
      <c r="C23082" s="30" t="s">
        <v>1498</v>
      </c>
      <c r="D23082" s="30" t="s">
        <v>17</v>
      </c>
      <c r="E23082" s="30" t="s">
        <v>26</v>
      </c>
      <c r="F23082" s="30" t="s">
        <v>27</v>
      </c>
      <c r="G23082" s="30" t="s">
        <v>20</v>
      </c>
      <c r="H23082" s="32">
        <v>162</v>
      </c>
      <c r="I23082" s="30" t="s">
        <v>21</v>
      </c>
      <c r="J23082" s="41">
        <v>45807</v>
      </c>
      <c r="K23082" s="30" t="s">
        <v>22</v>
      </c>
    </row>
    <row r="23083" spans="1:11">
      <c r="A23083" s="33" t="s">
        <v>50996</v>
      </c>
      <c r="B23083" s="33" t="s">
        <v>50997</v>
      </c>
      <c r="C23083" s="33" t="s">
        <v>190</v>
      </c>
      <c r="D23083" s="33" t="s">
        <v>17</v>
      </c>
      <c r="E23083" s="33" t="s">
        <v>67</v>
      </c>
      <c r="F23083" s="33" t="s">
        <v>68</v>
      </c>
      <c r="G23083" s="33" t="s">
        <v>140</v>
      </c>
      <c r="H23083" s="35">
        <v>177</v>
      </c>
      <c r="I23083" s="33" t="s">
        <v>51</v>
      </c>
      <c r="J23083" s="42">
        <v>45931</v>
      </c>
      <c r="K23083" s="33" t="s">
        <v>22</v>
      </c>
    </row>
    <row r="23084" spans="1:11">
      <c r="A23084" s="30" t="s">
        <v>50998</v>
      </c>
      <c r="B23084" s="30" t="s">
        <v>50999</v>
      </c>
      <c r="C23084" s="30" t="s">
        <v>6663</v>
      </c>
      <c r="D23084" s="30" t="s">
        <v>17</v>
      </c>
      <c r="E23084" s="30" t="s">
        <v>67</v>
      </c>
      <c r="F23084" s="30" t="s">
        <v>68</v>
      </c>
      <c r="G23084" s="30" t="s">
        <v>140</v>
      </c>
      <c r="H23084" s="32">
        <v>110</v>
      </c>
      <c r="I23084" s="30" t="s">
        <v>51</v>
      </c>
      <c r="J23084" s="41">
        <v>45993</v>
      </c>
      <c r="K23084" s="30" t="s">
        <v>22</v>
      </c>
    </row>
    <row r="23085" spans="1:11">
      <c r="A23085" s="33" t="s">
        <v>51000</v>
      </c>
      <c r="B23085" s="33" t="s">
        <v>51001</v>
      </c>
      <c r="C23085" s="33" t="s">
        <v>969</v>
      </c>
      <c r="D23085" s="33" t="s">
        <v>17</v>
      </c>
      <c r="E23085" s="33" t="s">
        <v>26</v>
      </c>
      <c r="F23085" s="33" t="s">
        <v>27</v>
      </c>
      <c r="G23085" s="33" t="s">
        <v>140</v>
      </c>
      <c r="H23085" s="35">
        <v>108</v>
      </c>
      <c r="I23085" s="33" t="s">
        <v>51</v>
      </c>
      <c r="J23085" s="42">
        <v>45869</v>
      </c>
      <c r="K23085" s="33" t="s">
        <v>22</v>
      </c>
    </row>
    <row r="23086" spans="1:11">
      <c r="A23086" s="30" t="s">
        <v>51002</v>
      </c>
      <c r="B23086" s="30" t="s">
        <v>51003</v>
      </c>
      <c r="C23086" s="30" t="s">
        <v>25186</v>
      </c>
      <c r="D23086" s="30" t="s">
        <v>17</v>
      </c>
      <c r="E23086" s="30" t="s">
        <v>18</v>
      </c>
      <c r="F23086" s="30" t="s">
        <v>19</v>
      </c>
      <c r="G23086" s="30" t="s">
        <v>140</v>
      </c>
      <c r="H23086" s="32">
        <v>460</v>
      </c>
      <c r="I23086" s="30" t="s">
        <v>51</v>
      </c>
      <c r="J23086" s="41">
        <v>45660</v>
      </c>
      <c r="K23086" s="30" t="s">
        <v>22</v>
      </c>
    </row>
    <row r="23087" spans="1:11">
      <c r="A23087" s="33" t="s">
        <v>51004</v>
      </c>
      <c r="B23087" s="33" t="s">
        <v>51005</v>
      </c>
      <c r="C23087" s="33" t="s">
        <v>4348</v>
      </c>
      <c r="D23087" s="33" t="s">
        <v>17</v>
      </c>
      <c r="E23087" s="33" t="s">
        <v>18</v>
      </c>
      <c r="F23087" s="33" t="s">
        <v>19</v>
      </c>
      <c r="G23087" s="33" t="s">
        <v>140</v>
      </c>
      <c r="H23087" s="35">
        <v>450</v>
      </c>
      <c r="I23087" s="33" t="s">
        <v>51</v>
      </c>
      <c r="J23087" s="42">
        <v>45873</v>
      </c>
      <c r="K23087" s="33" t="s">
        <v>22</v>
      </c>
    </row>
    <row r="23088" spans="1:11">
      <c r="A23088" s="30" t="s">
        <v>51006</v>
      </c>
      <c r="B23088" s="30" t="s">
        <v>51007</v>
      </c>
      <c r="C23088" s="30" t="s">
        <v>178</v>
      </c>
      <c r="D23088" s="30" t="s">
        <v>17</v>
      </c>
      <c r="E23088" s="30" t="s">
        <v>31</v>
      </c>
      <c r="F23088" s="30" t="s">
        <v>32</v>
      </c>
      <c r="G23088" s="30" t="s">
        <v>158</v>
      </c>
      <c r="H23088" s="32">
        <v>30</v>
      </c>
      <c r="I23088" s="30" t="s">
        <v>21</v>
      </c>
      <c r="J23088" s="41">
        <v>45751</v>
      </c>
      <c r="K23088" s="30" t="s">
        <v>22</v>
      </c>
    </row>
    <row r="23089" spans="1:11">
      <c r="A23089" s="33" t="s">
        <v>51008</v>
      </c>
      <c r="B23089" s="33" t="s">
        <v>51009</v>
      </c>
      <c r="C23089" s="33" t="s">
        <v>51010</v>
      </c>
      <c r="D23089" s="33" t="s">
        <v>17</v>
      </c>
      <c r="E23089" s="33" t="s">
        <v>67</v>
      </c>
      <c r="F23089" s="33" t="s">
        <v>68</v>
      </c>
      <c r="G23089" s="33" t="s">
        <v>140</v>
      </c>
      <c r="H23089" s="35">
        <v>58</v>
      </c>
      <c r="I23089" s="33" t="s">
        <v>51</v>
      </c>
      <c r="J23089" s="42">
        <v>45836</v>
      </c>
      <c r="K23089" s="33" t="s">
        <v>22</v>
      </c>
    </row>
    <row r="23090" spans="1:11">
      <c r="A23090" s="30" t="s">
        <v>51011</v>
      </c>
      <c r="B23090" s="30" t="s">
        <v>51012</v>
      </c>
      <c r="C23090" s="30" t="s">
        <v>310</v>
      </c>
      <c r="D23090" s="30" t="s">
        <v>17</v>
      </c>
      <c r="E23090" s="30" t="s">
        <v>26</v>
      </c>
      <c r="F23090" s="30" t="s">
        <v>27</v>
      </c>
      <c r="G23090" s="30" t="s">
        <v>140</v>
      </c>
      <c r="H23090" s="32">
        <v>60</v>
      </c>
      <c r="I23090" s="30" t="s">
        <v>51</v>
      </c>
      <c r="J23090" s="41">
        <v>45938</v>
      </c>
      <c r="K23090" s="30" t="s">
        <v>22</v>
      </c>
    </row>
    <row r="23091" spans="1:11">
      <c r="A23091" s="33" t="s">
        <v>51013</v>
      </c>
      <c r="B23091" s="33" t="s">
        <v>51014</v>
      </c>
      <c r="C23091" s="33" t="s">
        <v>822</v>
      </c>
      <c r="D23091" s="33" t="s">
        <v>17</v>
      </c>
      <c r="E23091" s="33" t="s">
        <v>31</v>
      </c>
      <c r="F23091" s="33" t="s">
        <v>32</v>
      </c>
      <c r="G23091" s="33" t="s">
        <v>140</v>
      </c>
      <c r="H23091" s="35">
        <v>119</v>
      </c>
      <c r="I23091" s="33" t="s">
        <v>51</v>
      </c>
      <c r="J23091" s="42">
        <v>45740</v>
      </c>
      <c r="K23091" s="33" t="s">
        <v>22</v>
      </c>
    </row>
    <row r="23092" spans="1:11">
      <c r="A23092" s="30" t="s">
        <v>51015</v>
      </c>
      <c r="B23092" s="30" t="s">
        <v>51016</v>
      </c>
      <c r="C23092" s="30" t="s">
        <v>48745</v>
      </c>
      <c r="D23092" s="30" t="s">
        <v>17</v>
      </c>
      <c r="E23092" s="30" t="s">
        <v>26</v>
      </c>
      <c r="F23092" s="30" t="s">
        <v>27</v>
      </c>
      <c r="G23092" s="30" t="s">
        <v>140</v>
      </c>
      <c r="H23092" s="32">
        <v>18</v>
      </c>
      <c r="I23092" s="30" t="s">
        <v>51</v>
      </c>
      <c r="J23092" s="41">
        <v>45974</v>
      </c>
      <c r="K23092" s="30" t="s">
        <v>22</v>
      </c>
    </row>
    <row r="23093" spans="1:11">
      <c r="A23093" s="33" t="s">
        <v>51017</v>
      </c>
      <c r="B23093" s="33" t="s">
        <v>51018</v>
      </c>
      <c r="C23093" s="33" t="s">
        <v>29479</v>
      </c>
      <c r="D23093" s="33" t="s">
        <v>17</v>
      </c>
      <c r="E23093" s="33" t="s">
        <v>18</v>
      </c>
      <c r="F23093" s="33" t="s">
        <v>19</v>
      </c>
      <c r="G23093" s="33" t="s">
        <v>158</v>
      </c>
      <c r="H23093" s="35">
        <v>12000</v>
      </c>
      <c r="I23093" s="33" t="s">
        <v>51</v>
      </c>
      <c r="J23093" s="42">
        <v>46006</v>
      </c>
      <c r="K23093" s="33" t="s">
        <v>22</v>
      </c>
    </row>
    <row r="23094" spans="1:11">
      <c r="A23094" s="30" t="s">
        <v>51019</v>
      </c>
      <c r="B23094" s="30" t="s">
        <v>51020</v>
      </c>
      <c r="C23094" s="30" t="s">
        <v>14816</v>
      </c>
      <c r="D23094" s="30" t="s">
        <v>17</v>
      </c>
      <c r="E23094" s="30" t="s">
        <v>45</v>
      </c>
      <c r="F23094" s="30" t="s">
        <v>46</v>
      </c>
      <c r="G23094" s="30" t="s">
        <v>140</v>
      </c>
      <c r="H23094" s="32">
        <v>360</v>
      </c>
      <c r="I23094" s="30" t="s">
        <v>51</v>
      </c>
      <c r="J23094" s="41">
        <v>45954</v>
      </c>
      <c r="K23094" s="30" t="s">
        <v>22</v>
      </c>
    </row>
    <row r="23095" spans="1:11">
      <c r="A23095" s="33" t="s">
        <v>51021</v>
      </c>
      <c r="B23095" s="33" t="s">
        <v>51022</v>
      </c>
      <c r="C23095" s="33" t="s">
        <v>6276</v>
      </c>
      <c r="D23095" s="33" t="s">
        <v>17</v>
      </c>
      <c r="E23095" s="33" t="s">
        <v>67</v>
      </c>
      <c r="F23095" s="33" t="s">
        <v>68</v>
      </c>
      <c r="G23095" s="33" t="s">
        <v>140</v>
      </c>
      <c r="H23095" s="35">
        <v>42</v>
      </c>
      <c r="I23095" s="33" t="s">
        <v>51</v>
      </c>
      <c r="J23095" s="42">
        <v>45727</v>
      </c>
      <c r="K23095" s="33" t="s">
        <v>22</v>
      </c>
    </row>
    <row r="23096" spans="1:11">
      <c r="A23096" s="30" t="s">
        <v>51023</v>
      </c>
      <c r="B23096" s="30" t="s">
        <v>51024</v>
      </c>
      <c r="C23096" s="30" t="s">
        <v>35237</v>
      </c>
      <c r="D23096" s="30" t="s">
        <v>17</v>
      </c>
      <c r="E23096" s="30" t="s">
        <v>26</v>
      </c>
      <c r="F23096" s="30" t="s">
        <v>27</v>
      </c>
      <c r="G23096" s="30" t="s">
        <v>20</v>
      </c>
      <c r="H23096" s="32">
        <v>24</v>
      </c>
      <c r="I23096" s="30" t="s">
        <v>21</v>
      </c>
      <c r="J23096" s="41">
        <v>45765</v>
      </c>
      <c r="K23096" s="30" t="s">
        <v>22</v>
      </c>
    </row>
    <row r="23097" spans="1:11">
      <c r="A23097" s="33" t="s">
        <v>51025</v>
      </c>
      <c r="B23097" s="33" t="s">
        <v>51026</v>
      </c>
      <c r="C23097" s="33" t="s">
        <v>96</v>
      </c>
      <c r="D23097" s="33" t="s">
        <v>17</v>
      </c>
      <c r="E23097" s="33" t="s">
        <v>26</v>
      </c>
      <c r="F23097" s="33" t="s">
        <v>27</v>
      </c>
      <c r="G23097" s="33" t="s">
        <v>140</v>
      </c>
      <c r="H23097" s="35">
        <v>260</v>
      </c>
      <c r="I23097" s="33" t="s">
        <v>51</v>
      </c>
      <c r="J23097" s="42">
        <v>46014</v>
      </c>
      <c r="K23097" s="33" t="s">
        <v>22</v>
      </c>
    </row>
    <row r="23098" spans="1:11">
      <c r="A23098" s="30" t="s">
        <v>51027</v>
      </c>
      <c r="B23098" s="30" t="s">
        <v>51028</v>
      </c>
      <c r="C23098" s="30" t="s">
        <v>26581</v>
      </c>
      <c r="D23098" s="30" t="s">
        <v>17</v>
      </c>
      <c r="E23098" s="30" t="s">
        <v>31</v>
      </c>
      <c r="F23098" s="30" t="s">
        <v>32</v>
      </c>
      <c r="G23098" s="30" t="s">
        <v>140</v>
      </c>
      <c r="H23098" s="32">
        <v>25</v>
      </c>
      <c r="I23098" s="30" t="s">
        <v>51</v>
      </c>
      <c r="J23098" s="41">
        <v>45723</v>
      </c>
      <c r="K23098" s="30" t="s">
        <v>22</v>
      </c>
    </row>
    <row r="23099" spans="1:11">
      <c r="A23099" s="33" t="s">
        <v>51029</v>
      </c>
      <c r="B23099" s="33" t="s">
        <v>51030</v>
      </c>
      <c r="C23099" s="33" t="s">
        <v>136</v>
      </c>
      <c r="D23099" s="33" t="s">
        <v>17</v>
      </c>
      <c r="E23099" s="33" t="s">
        <v>18</v>
      </c>
      <c r="F23099" s="33" t="s">
        <v>19</v>
      </c>
      <c r="G23099" s="33" t="s">
        <v>158</v>
      </c>
      <c r="H23099" s="35">
        <v>974</v>
      </c>
      <c r="I23099" s="33" t="s">
        <v>51</v>
      </c>
      <c r="J23099" s="42">
        <v>45777</v>
      </c>
      <c r="K23099" s="33" t="s">
        <v>22</v>
      </c>
    </row>
    <row r="23100" spans="1:11">
      <c r="A23100" s="30" t="s">
        <v>51031</v>
      </c>
      <c r="B23100" s="30" t="s">
        <v>51032</v>
      </c>
      <c r="C23100" s="30" t="s">
        <v>96</v>
      </c>
      <c r="D23100" s="30" t="s">
        <v>17</v>
      </c>
      <c r="E23100" s="30" t="s">
        <v>18</v>
      </c>
      <c r="F23100" s="30" t="s">
        <v>19</v>
      </c>
      <c r="G23100" s="30" t="s">
        <v>158</v>
      </c>
      <c r="H23100" s="32">
        <v>550</v>
      </c>
      <c r="I23100" s="30" t="s">
        <v>21</v>
      </c>
      <c r="J23100" s="41">
        <v>45748</v>
      </c>
      <c r="K23100" s="30" t="s">
        <v>22</v>
      </c>
    </row>
    <row r="23101" spans="1:11">
      <c r="A23101" s="33" t="s">
        <v>51033</v>
      </c>
      <c r="B23101" s="33" t="s">
        <v>51034</v>
      </c>
      <c r="C23101" s="33" t="s">
        <v>75</v>
      </c>
      <c r="D23101" s="33" t="s">
        <v>17</v>
      </c>
      <c r="E23101" s="33" t="s">
        <v>45</v>
      </c>
      <c r="F23101" s="33" t="s">
        <v>46</v>
      </c>
      <c r="G23101" s="33" t="s">
        <v>140</v>
      </c>
      <c r="H23101" s="35">
        <v>990</v>
      </c>
      <c r="I23101" s="33" t="s">
        <v>51</v>
      </c>
      <c r="J23101" s="42">
        <v>46022</v>
      </c>
      <c r="K23101" s="33" t="s">
        <v>22</v>
      </c>
    </row>
    <row r="23102" spans="1:11">
      <c r="A23102" s="30" t="s">
        <v>51035</v>
      </c>
      <c r="B23102" s="30" t="s">
        <v>51036</v>
      </c>
      <c r="C23102" s="30" t="s">
        <v>647</v>
      </c>
      <c r="D23102" s="30" t="s">
        <v>17</v>
      </c>
      <c r="E23102" s="30" t="s">
        <v>18</v>
      </c>
      <c r="F23102" s="30" t="s">
        <v>19</v>
      </c>
      <c r="G23102" s="30" t="s">
        <v>140</v>
      </c>
      <c r="H23102" s="32">
        <v>1440</v>
      </c>
      <c r="I23102" s="30" t="s">
        <v>51</v>
      </c>
      <c r="J23102" s="41">
        <v>45790</v>
      </c>
      <c r="K23102" s="30" t="s">
        <v>22</v>
      </c>
    </row>
    <row r="23103" spans="1:11">
      <c r="A23103" s="33" t="s">
        <v>51037</v>
      </c>
      <c r="B23103" s="33" t="s">
        <v>51038</v>
      </c>
      <c r="C23103" s="33" t="s">
        <v>570</v>
      </c>
      <c r="D23103" s="33" t="s">
        <v>17</v>
      </c>
      <c r="E23103" s="33" t="s">
        <v>26</v>
      </c>
      <c r="F23103" s="33" t="s">
        <v>27</v>
      </c>
      <c r="G23103" s="33" t="s">
        <v>7780</v>
      </c>
      <c r="H23103" s="35">
        <v>78</v>
      </c>
      <c r="I23103" s="33" t="s">
        <v>51</v>
      </c>
      <c r="J23103" s="42">
        <v>45901</v>
      </c>
      <c r="K23103" s="33" t="s">
        <v>22</v>
      </c>
    </row>
    <row r="23104" spans="1:11">
      <c r="A23104" s="30" t="s">
        <v>51039</v>
      </c>
      <c r="B23104" s="30" t="s">
        <v>51040</v>
      </c>
      <c r="C23104" s="30" t="s">
        <v>75</v>
      </c>
      <c r="D23104" s="30" t="s">
        <v>17</v>
      </c>
      <c r="E23104" s="30" t="s">
        <v>26</v>
      </c>
      <c r="F23104" s="30" t="s">
        <v>27</v>
      </c>
      <c r="G23104" s="30" t="s">
        <v>140</v>
      </c>
      <c r="H23104" s="32">
        <v>32</v>
      </c>
      <c r="I23104" s="30" t="s">
        <v>51</v>
      </c>
      <c r="J23104" s="41">
        <v>45945</v>
      </c>
      <c r="K23104" s="30" t="s">
        <v>22</v>
      </c>
    </row>
    <row r="23105" spans="1:11">
      <c r="A23105" s="33" t="s">
        <v>51041</v>
      </c>
      <c r="B23105" s="33" t="s">
        <v>51042</v>
      </c>
      <c r="C23105" s="33" t="s">
        <v>736</v>
      </c>
      <c r="D23105" s="33" t="s">
        <v>17</v>
      </c>
      <c r="E23105" s="33" t="s">
        <v>31</v>
      </c>
      <c r="F23105" s="33" t="s">
        <v>32</v>
      </c>
      <c r="G23105" s="33" t="s">
        <v>2613</v>
      </c>
      <c r="H23105" s="35">
        <v>108</v>
      </c>
      <c r="I23105" s="33" t="s">
        <v>51</v>
      </c>
      <c r="J23105" s="42">
        <v>45897</v>
      </c>
      <c r="K23105" s="33" t="s">
        <v>22</v>
      </c>
    </row>
    <row r="23106" spans="1:11">
      <c r="A23106" s="30" t="s">
        <v>51043</v>
      </c>
      <c r="B23106" s="30" t="s">
        <v>51044</v>
      </c>
      <c r="C23106" s="30" t="s">
        <v>20851</v>
      </c>
      <c r="D23106" s="30" t="s">
        <v>17</v>
      </c>
      <c r="E23106" s="30" t="s">
        <v>18</v>
      </c>
      <c r="F23106" s="30" t="s">
        <v>19</v>
      </c>
      <c r="G23106" s="30" t="s">
        <v>106</v>
      </c>
      <c r="H23106" s="32">
        <v>55</v>
      </c>
      <c r="I23106" s="30" t="s">
        <v>21</v>
      </c>
      <c r="J23106" s="41">
        <v>45663</v>
      </c>
      <c r="K23106" s="30" t="s">
        <v>22</v>
      </c>
    </row>
    <row r="23107" spans="1:11">
      <c r="A23107" s="33" t="s">
        <v>51045</v>
      </c>
      <c r="B23107" s="33" t="s">
        <v>51046</v>
      </c>
      <c r="C23107" s="33" t="s">
        <v>51047</v>
      </c>
      <c r="D23107" s="33" t="s">
        <v>17</v>
      </c>
      <c r="E23107" s="33" t="s">
        <v>330</v>
      </c>
      <c r="F23107" s="33" t="s">
        <v>331</v>
      </c>
      <c r="G23107" s="33" t="s">
        <v>2613</v>
      </c>
      <c r="H23107" s="35">
        <v>50</v>
      </c>
      <c r="I23107" s="33" t="s">
        <v>51</v>
      </c>
      <c r="J23107" s="42">
        <v>46001</v>
      </c>
      <c r="K23107" s="33" t="s">
        <v>22</v>
      </c>
    </row>
    <row r="23108" spans="1:11">
      <c r="A23108" s="30" t="s">
        <v>51048</v>
      </c>
      <c r="B23108" s="30" t="s">
        <v>51049</v>
      </c>
      <c r="C23108" s="30" t="s">
        <v>46723</v>
      </c>
      <c r="D23108" s="30" t="s">
        <v>17</v>
      </c>
      <c r="E23108" s="30" t="s">
        <v>26</v>
      </c>
      <c r="F23108" s="30" t="s">
        <v>27</v>
      </c>
      <c r="G23108" s="30" t="s">
        <v>140</v>
      </c>
      <c r="H23108" s="32">
        <v>9</v>
      </c>
      <c r="I23108" s="30" t="s">
        <v>51</v>
      </c>
      <c r="J23108" s="41">
        <v>45993</v>
      </c>
      <c r="K23108" s="30" t="s">
        <v>22</v>
      </c>
    </row>
    <row r="23109" spans="1:11">
      <c r="A23109" s="33" t="s">
        <v>51050</v>
      </c>
      <c r="B23109" s="33" t="s">
        <v>51051</v>
      </c>
      <c r="C23109" s="33" t="s">
        <v>49904</v>
      </c>
      <c r="D23109" s="33" t="s">
        <v>17</v>
      </c>
      <c r="E23109" s="33" t="s">
        <v>26</v>
      </c>
      <c r="F23109" s="33" t="s">
        <v>27</v>
      </c>
      <c r="G23109" s="33" t="s">
        <v>140</v>
      </c>
      <c r="H23109" s="35">
        <v>104</v>
      </c>
      <c r="I23109" s="33" t="s">
        <v>51</v>
      </c>
      <c r="J23109" s="42">
        <v>45904</v>
      </c>
      <c r="K23109" s="33" t="s">
        <v>22</v>
      </c>
    </row>
    <row r="23110" spans="1:11">
      <c r="A23110" s="30" t="s">
        <v>51052</v>
      </c>
      <c r="B23110" s="30" t="s">
        <v>51053</v>
      </c>
      <c r="C23110" s="30" t="s">
        <v>50906</v>
      </c>
      <c r="D23110" s="30" t="s">
        <v>17</v>
      </c>
      <c r="E23110" s="30" t="s">
        <v>26</v>
      </c>
      <c r="F23110" s="30" t="s">
        <v>27</v>
      </c>
      <c r="G23110" s="30" t="s">
        <v>140</v>
      </c>
      <c r="H23110" s="32">
        <v>48</v>
      </c>
      <c r="I23110" s="30" t="s">
        <v>51</v>
      </c>
      <c r="J23110" s="41">
        <v>45901</v>
      </c>
      <c r="K23110" s="30" t="s">
        <v>22</v>
      </c>
    </row>
    <row r="23111" spans="1:11">
      <c r="A23111" s="33" t="s">
        <v>51054</v>
      </c>
      <c r="B23111" s="33" t="s">
        <v>51055</v>
      </c>
      <c r="C23111" s="33" t="s">
        <v>16476</v>
      </c>
      <c r="D23111" s="33" t="s">
        <v>17</v>
      </c>
      <c r="E23111" s="33" t="s">
        <v>26</v>
      </c>
      <c r="F23111" s="33" t="s">
        <v>27</v>
      </c>
      <c r="G23111" s="33" t="s">
        <v>7780</v>
      </c>
      <c r="H23111" s="35">
        <v>20</v>
      </c>
      <c r="I23111" s="33" t="s">
        <v>51</v>
      </c>
      <c r="J23111" s="42">
        <v>45961</v>
      </c>
      <c r="K23111" s="33" t="s">
        <v>22</v>
      </c>
    </row>
    <row r="23112" spans="1:11">
      <c r="A23112" s="30" t="s">
        <v>51056</v>
      </c>
      <c r="B23112" s="30" t="s">
        <v>51057</v>
      </c>
      <c r="C23112" s="30" t="s">
        <v>14577</v>
      </c>
      <c r="D23112" s="30" t="s">
        <v>17</v>
      </c>
      <c r="E23112" s="30" t="s">
        <v>26</v>
      </c>
      <c r="F23112" s="30" t="s">
        <v>27</v>
      </c>
      <c r="G23112" s="30" t="s">
        <v>20</v>
      </c>
      <c r="H23112" s="32">
        <v>64</v>
      </c>
      <c r="I23112" s="30" t="s">
        <v>21</v>
      </c>
      <c r="J23112" s="41">
        <v>45677</v>
      </c>
      <c r="K23112" s="30" t="s">
        <v>22</v>
      </c>
    </row>
    <row r="23113" spans="1:11">
      <c r="A23113" s="33" t="s">
        <v>51058</v>
      </c>
      <c r="B23113" s="33" t="s">
        <v>51059</v>
      </c>
      <c r="C23113" s="33" t="s">
        <v>38361</v>
      </c>
      <c r="D23113" s="33" t="s">
        <v>17</v>
      </c>
      <c r="E23113" s="33" t="s">
        <v>330</v>
      </c>
      <c r="F23113" s="33" t="s">
        <v>331</v>
      </c>
      <c r="G23113" s="33" t="s">
        <v>106</v>
      </c>
      <c r="H23113" s="35">
        <v>16</v>
      </c>
      <c r="I23113" s="33" t="s">
        <v>21</v>
      </c>
      <c r="J23113" s="42">
        <v>45777</v>
      </c>
      <c r="K23113" s="33" t="s">
        <v>22</v>
      </c>
    </row>
    <row r="23114" spans="1:11">
      <c r="A23114" s="30" t="s">
        <v>51060</v>
      </c>
      <c r="B23114" s="30" t="s">
        <v>51061</v>
      </c>
      <c r="C23114" s="30" t="s">
        <v>51062</v>
      </c>
      <c r="D23114" s="30" t="s">
        <v>17</v>
      </c>
      <c r="E23114" s="30" t="s">
        <v>67</v>
      </c>
      <c r="F23114" s="30" t="s">
        <v>68</v>
      </c>
      <c r="G23114" s="30" t="s">
        <v>7780</v>
      </c>
      <c r="H23114" s="32">
        <v>15</v>
      </c>
      <c r="I23114" s="30" t="s">
        <v>51</v>
      </c>
      <c r="J23114" s="41">
        <v>45884</v>
      </c>
      <c r="K23114" s="30" t="s">
        <v>22</v>
      </c>
    </row>
    <row r="23115" spans="1:11">
      <c r="A23115" s="33" t="s">
        <v>51063</v>
      </c>
      <c r="B23115" s="33" t="s">
        <v>51064</v>
      </c>
      <c r="C23115" s="33" t="s">
        <v>96</v>
      </c>
      <c r="D23115" s="33" t="s">
        <v>17</v>
      </c>
      <c r="E23115" s="33" t="s">
        <v>26</v>
      </c>
      <c r="F23115" s="33" t="s">
        <v>27</v>
      </c>
      <c r="G23115" s="33" t="s">
        <v>20</v>
      </c>
      <c r="H23115" s="35">
        <v>24</v>
      </c>
      <c r="I23115" s="33" t="s">
        <v>21</v>
      </c>
      <c r="J23115" s="42">
        <v>45692</v>
      </c>
      <c r="K23115" s="33" t="s">
        <v>22</v>
      </c>
    </row>
    <row r="23116" spans="1:11">
      <c r="A23116" s="30" t="s">
        <v>51065</v>
      </c>
      <c r="B23116" s="30" t="s">
        <v>51066</v>
      </c>
      <c r="C23116" s="30" t="s">
        <v>51067</v>
      </c>
      <c r="D23116" s="30" t="s">
        <v>17</v>
      </c>
      <c r="E23116" s="30" t="s">
        <v>31</v>
      </c>
      <c r="F23116" s="30" t="s">
        <v>32</v>
      </c>
      <c r="G23116" s="30" t="s">
        <v>140</v>
      </c>
      <c r="H23116" s="32">
        <v>216</v>
      </c>
      <c r="I23116" s="30" t="s">
        <v>51</v>
      </c>
      <c r="J23116" s="41">
        <v>45742</v>
      </c>
      <c r="K23116" s="30" t="s">
        <v>22</v>
      </c>
    </row>
    <row r="23117" spans="1:11">
      <c r="A23117" s="33" t="s">
        <v>51068</v>
      </c>
      <c r="B23117" s="33" t="s">
        <v>51069</v>
      </c>
      <c r="C23117" s="33" t="s">
        <v>109</v>
      </c>
      <c r="D23117" s="33" t="s">
        <v>17</v>
      </c>
      <c r="E23117" s="33" t="s">
        <v>67</v>
      </c>
      <c r="F23117" s="33" t="s">
        <v>68</v>
      </c>
      <c r="G23117" s="33" t="s">
        <v>140</v>
      </c>
      <c r="H23117" s="35">
        <v>28</v>
      </c>
      <c r="I23117" s="33" t="s">
        <v>51</v>
      </c>
      <c r="J23117" s="42">
        <v>45712</v>
      </c>
      <c r="K23117" s="33" t="s">
        <v>22</v>
      </c>
    </row>
    <row r="23118" spans="1:11">
      <c r="A23118" s="30" t="s">
        <v>51070</v>
      </c>
      <c r="B23118" s="30" t="s">
        <v>51071</v>
      </c>
      <c r="C23118" s="30" t="s">
        <v>42846</v>
      </c>
      <c r="D23118" s="30" t="s">
        <v>17</v>
      </c>
      <c r="E23118" s="30" t="s">
        <v>31</v>
      </c>
      <c r="F23118" s="30" t="s">
        <v>32</v>
      </c>
      <c r="G23118" s="30" t="s">
        <v>158</v>
      </c>
      <c r="H23118" s="32">
        <v>500</v>
      </c>
      <c r="I23118" s="30" t="s">
        <v>51</v>
      </c>
      <c r="J23118" s="41">
        <v>45882</v>
      </c>
      <c r="K23118" s="30" t="s">
        <v>22</v>
      </c>
    </row>
    <row r="23119" spans="1:11">
      <c r="A23119" s="33" t="s">
        <v>51072</v>
      </c>
      <c r="B23119" s="33" t="s">
        <v>51073</v>
      </c>
      <c r="C23119" s="33" t="s">
        <v>46637</v>
      </c>
      <c r="D23119" s="33" t="s">
        <v>17</v>
      </c>
      <c r="E23119" s="33" t="s">
        <v>26</v>
      </c>
      <c r="F23119" s="33" t="s">
        <v>27</v>
      </c>
      <c r="G23119" s="33" t="s">
        <v>140</v>
      </c>
      <c r="H23119" s="35">
        <v>84</v>
      </c>
      <c r="I23119" s="33" t="s">
        <v>51</v>
      </c>
      <c r="J23119" s="42">
        <v>45832</v>
      </c>
      <c r="K23119" s="33" t="s">
        <v>22</v>
      </c>
    </row>
    <row r="23120" spans="1:11">
      <c r="A23120" s="30" t="s">
        <v>51074</v>
      </c>
      <c r="B23120" s="30" t="s">
        <v>51075</v>
      </c>
      <c r="C23120" s="30" t="s">
        <v>26837</v>
      </c>
      <c r="D23120" s="30" t="s">
        <v>17</v>
      </c>
      <c r="E23120" s="30" t="s">
        <v>330</v>
      </c>
      <c r="F23120" s="30" t="s">
        <v>331</v>
      </c>
      <c r="G23120" s="30" t="s">
        <v>7780</v>
      </c>
      <c r="H23120" s="32">
        <v>15</v>
      </c>
      <c r="I23120" s="30" t="s">
        <v>51</v>
      </c>
      <c r="J23120" s="41">
        <v>45962</v>
      </c>
      <c r="K23120" s="30" t="s">
        <v>22</v>
      </c>
    </row>
    <row r="23121" spans="1:11">
      <c r="A23121" s="33" t="s">
        <v>51076</v>
      </c>
      <c r="B23121" s="33" t="s">
        <v>51077</v>
      </c>
      <c r="C23121" s="33" t="s">
        <v>44</v>
      </c>
      <c r="D23121" s="33" t="s">
        <v>17</v>
      </c>
      <c r="E23121" s="33" t="s">
        <v>26</v>
      </c>
      <c r="F23121" s="33" t="s">
        <v>27</v>
      </c>
      <c r="G23121" s="33" t="s">
        <v>140</v>
      </c>
      <c r="H23121" s="35">
        <v>90</v>
      </c>
      <c r="I23121" s="33" t="s">
        <v>51</v>
      </c>
      <c r="J23121" s="42">
        <v>46013</v>
      </c>
      <c r="K23121" s="33" t="s">
        <v>22</v>
      </c>
    </row>
    <row r="23122" spans="1:11">
      <c r="A23122" s="30" t="s">
        <v>51078</v>
      </c>
      <c r="B23122" s="30" t="s">
        <v>51079</v>
      </c>
      <c r="C23122" s="30" t="s">
        <v>5870</v>
      </c>
      <c r="D23122" s="30" t="s">
        <v>17</v>
      </c>
      <c r="E23122" s="30" t="s">
        <v>31</v>
      </c>
      <c r="F23122" s="30" t="s">
        <v>32</v>
      </c>
      <c r="G23122" s="30" t="s">
        <v>158</v>
      </c>
      <c r="H23122" s="32">
        <v>1200</v>
      </c>
      <c r="I23122" s="30" t="s">
        <v>21</v>
      </c>
      <c r="J23122" s="41">
        <v>45891</v>
      </c>
      <c r="K23122" s="30" t="s">
        <v>22</v>
      </c>
    </row>
    <row r="23123" spans="1:11">
      <c r="A23123" s="33" t="s">
        <v>51080</v>
      </c>
      <c r="B23123" s="33" t="s">
        <v>51081</v>
      </c>
      <c r="C23123" s="33" t="s">
        <v>3114</v>
      </c>
      <c r="D23123" s="33" t="s">
        <v>17</v>
      </c>
      <c r="E23123" s="33" t="s">
        <v>31</v>
      </c>
      <c r="F23123" s="33" t="s">
        <v>32</v>
      </c>
      <c r="G23123" s="33" t="s">
        <v>140</v>
      </c>
      <c r="H23123" s="35">
        <v>59</v>
      </c>
      <c r="I23123" s="33" t="s">
        <v>51</v>
      </c>
      <c r="J23123" s="42">
        <v>45667</v>
      </c>
      <c r="K23123" s="33" t="s">
        <v>22</v>
      </c>
    </row>
    <row r="23124" spans="1:11">
      <c r="A23124" s="30" t="s">
        <v>51082</v>
      </c>
      <c r="B23124" s="30" t="s">
        <v>51083</v>
      </c>
      <c r="C23124" s="30" t="s">
        <v>22573</v>
      </c>
      <c r="D23124" s="30" t="s">
        <v>17</v>
      </c>
      <c r="E23124" s="30" t="s">
        <v>26</v>
      </c>
      <c r="F23124" s="30" t="s">
        <v>27</v>
      </c>
      <c r="G23124" s="30" t="s">
        <v>140</v>
      </c>
      <c r="H23124" s="32">
        <v>233</v>
      </c>
      <c r="I23124" s="30" t="s">
        <v>51</v>
      </c>
      <c r="J23124" s="41">
        <v>45923</v>
      </c>
      <c r="K23124" s="30" t="s">
        <v>22</v>
      </c>
    </row>
    <row r="23125" spans="1:11">
      <c r="A23125" s="33" t="s">
        <v>51084</v>
      </c>
      <c r="B23125" s="33" t="s">
        <v>51085</v>
      </c>
      <c r="C23125" s="33" t="s">
        <v>1710</v>
      </c>
      <c r="D23125" s="33" t="s">
        <v>17</v>
      </c>
      <c r="E23125" s="33" t="s">
        <v>31</v>
      </c>
      <c r="F23125" s="33" t="s">
        <v>32</v>
      </c>
      <c r="G23125" s="33" t="s">
        <v>140</v>
      </c>
      <c r="H23125" s="35">
        <v>165</v>
      </c>
      <c r="I23125" s="33" t="s">
        <v>51</v>
      </c>
      <c r="J23125" s="42">
        <v>45936</v>
      </c>
      <c r="K23125" s="33" t="s">
        <v>22</v>
      </c>
    </row>
    <row r="23126" spans="1:11">
      <c r="A23126" s="30" t="s">
        <v>51086</v>
      </c>
      <c r="B23126" s="30" t="s">
        <v>51087</v>
      </c>
      <c r="C23126" s="30" t="s">
        <v>1661</v>
      </c>
      <c r="D23126" s="30" t="s">
        <v>17</v>
      </c>
      <c r="E23126" s="30" t="s">
        <v>26</v>
      </c>
      <c r="F23126" s="30" t="s">
        <v>27</v>
      </c>
      <c r="G23126" s="30" t="s">
        <v>20</v>
      </c>
      <c r="H23126" s="32">
        <v>18</v>
      </c>
      <c r="I23126" s="30" t="s">
        <v>21</v>
      </c>
      <c r="J23126" s="41">
        <v>45753</v>
      </c>
      <c r="K23126" s="30" t="s">
        <v>22</v>
      </c>
    </row>
    <row r="23127" spans="1:11">
      <c r="A23127" s="33" t="s">
        <v>51088</v>
      </c>
      <c r="B23127" s="33" t="s">
        <v>51089</v>
      </c>
      <c r="C23127" s="33" t="s">
        <v>1701</v>
      </c>
      <c r="D23127" s="33" t="s">
        <v>17</v>
      </c>
      <c r="E23127" s="33" t="s">
        <v>26</v>
      </c>
      <c r="F23127" s="33" t="s">
        <v>27</v>
      </c>
      <c r="G23127" s="33" t="s">
        <v>7780</v>
      </c>
      <c r="H23127" s="35">
        <v>48</v>
      </c>
      <c r="I23127" s="33" t="s">
        <v>51</v>
      </c>
      <c r="J23127" s="42">
        <v>45703</v>
      </c>
      <c r="K23127" s="33" t="s">
        <v>22</v>
      </c>
    </row>
    <row r="23128" spans="1:11">
      <c r="A23128" s="30" t="s">
        <v>51090</v>
      </c>
      <c r="B23128" s="30" t="s">
        <v>51091</v>
      </c>
      <c r="C23128" s="30" t="s">
        <v>15741</v>
      </c>
      <c r="D23128" s="30" t="s">
        <v>17</v>
      </c>
      <c r="E23128" s="30" t="s">
        <v>31</v>
      </c>
      <c r="F23128" s="30" t="s">
        <v>32</v>
      </c>
      <c r="G23128" s="30" t="s">
        <v>7780</v>
      </c>
      <c r="H23128" s="32">
        <v>80</v>
      </c>
      <c r="I23128" s="30" t="s">
        <v>51</v>
      </c>
      <c r="J23128" s="41">
        <v>45778</v>
      </c>
      <c r="K23128" s="30" t="s">
        <v>22</v>
      </c>
    </row>
    <row r="23129" spans="1:11">
      <c r="A23129" s="33" t="s">
        <v>51092</v>
      </c>
      <c r="B23129" s="33" t="s">
        <v>51093</v>
      </c>
      <c r="C23129" s="33" t="s">
        <v>399</v>
      </c>
      <c r="D23129" s="33" t="s">
        <v>17</v>
      </c>
      <c r="E23129" s="33" t="s">
        <v>31</v>
      </c>
      <c r="F23129" s="33" t="s">
        <v>32</v>
      </c>
      <c r="G23129" s="33" t="s">
        <v>20</v>
      </c>
      <c r="H23129" s="35">
        <v>14</v>
      </c>
      <c r="I23129" s="33" t="s">
        <v>21</v>
      </c>
      <c r="J23129" s="42">
        <v>45854</v>
      </c>
      <c r="K23129" s="33" t="s">
        <v>22</v>
      </c>
    </row>
    <row r="23130" spans="1:11">
      <c r="A23130" s="30" t="s">
        <v>51094</v>
      </c>
      <c r="B23130" s="30" t="s">
        <v>51095</v>
      </c>
      <c r="C23130" s="30" t="s">
        <v>47727</v>
      </c>
      <c r="D23130" s="30" t="s">
        <v>17</v>
      </c>
      <c r="E23130" s="30" t="s">
        <v>330</v>
      </c>
      <c r="F23130" s="30" t="s">
        <v>331</v>
      </c>
      <c r="G23130" s="30" t="s">
        <v>7780</v>
      </c>
      <c r="H23130" s="32">
        <v>18</v>
      </c>
      <c r="I23130" s="30" t="s">
        <v>51</v>
      </c>
      <c r="J23130" s="41">
        <v>46006</v>
      </c>
      <c r="K23130" s="30" t="s">
        <v>22</v>
      </c>
    </row>
    <row r="23131" spans="1:11">
      <c r="A23131" s="33" t="s">
        <v>51096</v>
      </c>
      <c r="B23131" s="33" t="s">
        <v>51097</v>
      </c>
      <c r="C23131" s="33" t="s">
        <v>51098</v>
      </c>
      <c r="D23131" s="33" t="s">
        <v>17</v>
      </c>
      <c r="E23131" s="33" t="s">
        <v>67</v>
      </c>
      <c r="F23131" s="33" t="s">
        <v>68</v>
      </c>
      <c r="G23131" s="33" t="s">
        <v>7780</v>
      </c>
      <c r="H23131" s="35">
        <v>49</v>
      </c>
      <c r="I23131" s="33" t="s">
        <v>51</v>
      </c>
      <c r="J23131" s="42">
        <v>46021</v>
      </c>
      <c r="K23131" s="33" t="s">
        <v>22</v>
      </c>
    </row>
    <row r="23132" spans="1:11">
      <c r="A23132" s="30" t="s">
        <v>51099</v>
      </c>
      <c r="B23132" s="30" t="s">
        <v>51100</v>
      </c>
      <c r="C23132" s="30" t="s">
        <v>20363</v>
      </c>
      <c r="D23132" s="30" t="s">
        <v>17</v>
      </c>
      <c r="E23132" s="30" t="s">
        <v>31</v>
      </c>
      <c r="F23132" s="30" t="s">
        <v>32</v>
      </c>
      <c r="G23132" s="30" t="s">
        <v>140</v>
      </c>
      <c r="H23132" s="32">
        <v>92</v>
      </c>
      <c r="I23132" s="30" t="s">
        <v>51</v>
      </c>
      <c r="J23132" s="41">
        <v>45720</v>
      </c>
      <c r="K23132" s="30" t="s">
        <v>22</v>
      </c>
    </row>
    <row r="23133" spans="1:11">
      <c r="A23133" s="33" t="s">
        <v>51101</v>
      </c>
      <c r="B23133" s="33" t="s">
        <v>51102</v>
      </c>
      <c r="C23133" s="33" t="s">
        <v>6316</v>
      </c>
      <c r="D23133" s="33" t="s">
        <v>17</v>
      </c>
      <c r="E23133" s="33" t="s">
        <v>26</v>
      </c>
      <c r="F23133" s="33" t="s">
        <v>27</v>
      </c>
      <c r="G23133" s="33" t="s">
        <v>7780</v>
      </c>
      <c r="H23133" s="35">
        <v>92</v>
      </c>
      <c r="I23133" s="33" t="s">
        <v>51</v>
      </c>
      <c r="J23133" s="42">
        <v>45723</v>
      </c>
      <c r="K23133" s="33" t="s">
        <v>22</v>
      </c>
    </row>
    <row r="23134" spans="1:11">
      <c r="A23134" s="30" t="s">
        <v>51103</v>
      </c>
      <c r="B23134" s="30" t="s">
        <v>51104</v>
      </c>
      <c r="C23134" s="30" t="s">
        <v>29982</v>
      </c>
      <c r="D23134" s="30" t="s">
        <v>17</v>
      </c>
      <c r="E23134" s="30" t="s">
        <v>26</v>
      </c>
      <c r="F23134" s="30" t="s">
        <v>27</v>
      </c>
      <c r="G23134" s="30" t="s">
        <v>7780</v>
      </c>
      <c r="H23134" s="32">
        <v>24</v>
      </c>
      <c r="I23134" s="30" t="s">
        <v>51</v>
      </c>
      <c r="J23134" s="41">
        <v>45992</v>
      </c>
      <c r="K23134" s="30" t="s">
        <v>22</v>
      </c>
    </row>
    <row r="23135" spans="1:11">
      <c r="A23135" s="33" t="s">
        <v>51105</v>
      </c>
      <c r="B23135" s="33" t="s">
        <v>51106</v>
      </c>
      <c r="C23135" s="33" t="s">
        <v>11599</v>
      </c>
      <c r="D23135" s="33" t="s">
        <v>17</v>
      </c>
      <c r="E23135" s="33" t="s">
        <v>18</v>
      </c>
      <c r="F23135" s="33" t="s">
        <v>19</v>
      </c>
      <c r="G23135" s="33" t="s">
        <v>20</v>
      </c>
      <c r="H23135" s="35">
        <v>97</v>
      </c>
      <c r="I23135" s="33" t="s">
        <v>21</v>
      </c>
      <c r="J23135" s="42">
        <v>45715</v>
      </c>
      <c r="K23135" s="33" t="s">
        <v>22</v>
      </c>
    </row>
    <row r="23136" spans="1:11">
      <c r="A23136" s="30" t="s">
        <v>51107</v>
      </c>
      <c r="B23136" s="30" t="s">
        <v>51108</v>
      </c>
      <c r="C23136" s="30" t="s">
        <v>21009</v>
      </c>
      <c r="D23136" s="30" t="s">
        <v>17</v>
      </c>
      <c r="E23136" s="30" t="s">
        <v>26</v>
      </c>
      <c r="F23136" s="30" t="s">
        <v>27</v>
      </c>
      <c r="G23136" s="30" t="s">
        <v>140</v>
      </c>
      <c r="H23136" s="32">
        <v>24</v>
      </c>
      <c r="I23136" s="30" t="s">
        <v>51</v>
      </c>
      <c r="J23136" s="41">
        <v>45994</v>
      </c>
      <c r="K23136" s="30" t="s">
        <v>22</v>
      </c>
    </row>
    <row r="23137" spans="1:11">
      <c r="A23137" s="33" t="s">
        <v>51109</v>
      </c>
      <c r="B23137" s="33" t="s">
        <v>51110</v>
      </c>
      <c r="C23137" s="33" t="s">
        <v>5424</v>
      </c>
      <c r="D23137" s="33" t="s">
        <v>17</v>
      </c>
      <c r="E23137" s="33" t="s">
        <v>67</v>
      </c>
      <c r="F23137" s="33" t="s">
        <v>68</v>
      </c>
      <c r="G23137" s="33" t="s">
        <v>7780</v>
      </c>
      <c r="H23137" s="35">
        <v>40</v>
      </c>
      <c r="I23137" s="33" t="s">
        <v>51</v>
      </c>
      <c r="J23137" s="42">
        <v>45818</v>
      </c>
      <c r="K23137" s="33" t="s">
        <v>22</v>
      </c>
    </row>
    <row r="23138" spans="1:11">
      <c r="A23138" s="30" t="s">
        <v>51111</v>
      </c>
      <c r="B23138" s="30" t="s">
        <v>51112</v>
      </c>
      <c r="C23138" s="30" t="s">
        <v>109</v>
      </c>
      <c r="D23138" s="30" t="s">
        <v>17</v>
      </c>
      <c r="E23138" s="30" t="s">
        <v>18</v>
      </c>
      <c r="F23138" s="30" t="s">
        <v>19</v>
      </c>
      <c r="G23138" s="30" t="s">
        <v>140</v>
      </c>
      <c r="H23138" s="32">
        <v>1275</v>
      </c>
      <c r="I23138" s="30" t="s">
        <v>51</v>
      </c>
      <c r="J23138" s="41">
        <v>45972</v>
      </c>
      <c r="K23138" s="30" t="s">
        <v>22</v>
      </c>
    </row>
    <row r="23139" spans="1:11">
      <c r="A23139" s="33" t="s">
        <v>51113</v>
      </c>
      <c r="B23139" s="33" t="s">
        <v>51114</v>
      </c>
      <c r="C23139" s="33" t="s">
        <v>894</v>
      </c>
      <c r="D23139" s="33" t="s">
        <v>17</v>
      </c>
      <c r="E23139" s="33" t="s">
        <v>330</v>
      </c>
      <c r="F23139" s="33" t="s">
        <v>331</v>
      </c>
      <c r="G23139" s="33" t="s">
        <v>20</v>
      </c>
      <c r="H23139" s="35">
        <v>20</v>
      </c>
      <c r="I23139" s="33" t="s">
        <v>21</v>
      </c>
      <c r="J23139" s="42">
        <v>45833</v>
      </c>
      <c r="K23139" s="33" t="s">
        <v>22</v>
      </c>
    </row>
    <row r="23140" spans="1:11">
      <c r="A23140" s="30" t="s">
        <v>51115</v>
      </c>
      <c r="B23140" s="30" t="s">
        <v>51116</v>
      </c>
      <c r="C23140" s="30" t="s">
        <v>24577</v>
      </c>
      <c r="D23140" s="30" t="s">
        <v>17</v>
      </c>
      <c r="E23140" s="30" t="s">
        <v>26</v>
      </c>
      <c r="F23140" s="30" t="s">
        <v>27</v>
      </c>
      <c r="G23140" s="30" t="s">
        <v>20</v>
      </c>
      <c r="H23140" s="32">
        <v>30</v>
      </c>
      <c r="I23140" s="30" t="s">
        <v>21</v>
      </c>
      <c r="J23140" s="41">
        <v>45944</v>
      </c>
      <c r="K23140" s="30" t="s">
        <v>22</v>
      </c>
    </row>
    <row r="23141" spans="1:11">
      <c r="A23141" s="33" t="s">
        <v>51117</v>
      </c>
      <c r="B23141" s="33" t="s">
        <v>51118</v>
      </c>
      <c r="C23141" s="33" t="s">
        <v>19073</v>
      </c>
      <c r="D23141" s="33" t="s">
        <v>17</v>
      </c>
      <c r="E23141" s="33" t="s">
        <v>31</v>
      </c>
      <c r="F23141" s="33" t="s">
        <v>32</v>
      </c>
      <c r="G23141" s="33" t="s">
        <v>140</v>
      </c>
      <c r="H23141" s="35">
        <v>42</v>
      </c>
      <c r="I23141" s="33" t="s">
        <v>51</v>
      </c>
      <c r="J23141" s="42">
        <v>45832</v>
      </c>
      <c r="K23141" s="33" t="s">
        <v>22</v>
      </c>
    </row>
    <row r="23142" spans="1:11">
      <c r="A23142" s="30" t="s">
        <v>51119</v>
      </c>
      <c r="B23142" s="30" t="s">
        <v>51120</v>
      </c>
      <c r="C23142" s="30" t="s">
        <v>203</v>
      </c>
      <c r="D23142" s="30" t="s">
        <v>17</v>
      </c>
      <c r="E23142" s="30" t="s">
        <v>18</v>
      </c>
      <c r="F23142" s="30" t="s">
        <v>19</v>
      </c>
      <c r="G23142" s="30" t="s">
        <v>158</v>
      </c>
      <c r="H23142" s="32">
        <v>1092</v>
      </c>
      <c r="I23142" s="30" t="s">
        <v>21</v>
      </c>
      <c r="J23142" s="41">
        <v>45799</v>
      </c>
      <c r="K23142" s="30" t="s">
        <v>22</v>
      </c>
    </row>
    <row r="23143" spans="1:11">
      <c r="A23143" s="33" t="s">
        <v>51121</v>
      </c>
      <c r="B23143" s="33" t="s">
        <v>51122</v>
      </c>
      <c r="C23143" s="33" t="s">
        <v>1808</v>
      </c>
      <c r="D23143" s="33" t="s">
        <v>17</v>
      </c>
      <c r="E23143" s="33" t="s">
        <v>67</v>
      </c>
      <c r="F23143" s="33" t="s">
        <v>68</v>
      </c>
      <c r="G23143" s="33" t="s">
        <v>7780</v>
      </c>
      <c r="H23143" s="35">
        <v>48</v>
      </c>
      <c r="I23143" s="33" t="s">
        <v>51</v>
      </c>
      <c r="J23143" s="42">
        <v>45870</v>
      </c>
      <c r="K23143" s="33" t="s">
        <v>22</v>
      </c>
    </row>
    <row r="23144" spans="1:11">
      <c r="A23144" s="30" t="s">
        <v>51123</v>
      </c>
      <c r="B23144" s="30" t="s">
        <v>51124</v>
      </c>
      <c r="C23144" s="30" t="s">
        <v>318</v>
      </c>
      <c r="D23144" s="30" t="s">
        <v>17</v>
      </c>
      <c r="E23144" s="30" t="s">
        <v>18</v>
      </c>
      <c r="F23144" s="30" t="s">
        <v>19</v>
      </c>
      <c r="G23144" s="30" t="s">
        <v>158</v>
      </c>
      <c r="H23144" s="32">
        <v>152</v>
      </c>
      <c r="I23144" s="30" t="s">
        <v>21</v>
      </c>
      <c r="J23144" s="41">
        <v>45670</v>
      </c>
      <c r="K23144" s="30" t="s">
        <v>22</v>
      </c>
    </row>
    <row r="23145" spans="1:11">
      <c r="A23145" s="33" t="s">
        <v>51125</v>
      </c>
      <c r="B23145" s="33" t="s">
        <v>51126</v>
      </c>
      <c r="C23145" s="33" t="s">
        <v>8231</v>
      </c>
      <c r="D23145" s="33" t="s">
        <v>17</v>
      </c>
      <c r="E23145" s="33" t="s">
        <v>26</v>
      </c>
      <c r="F23145" s="33" t="s">
        <v>27</v>
      </c>
      <c r="G23145" s="33" t="s">
        <v>140</v>
      </c>
      <c r="H23145" s="35">
        <v>96</v>
      </c>
      <c r="I23145" s="33" t="s">
        <v>51</v>
      </c>
      <c r="J23145" s="42">
        <v>45722</v>
      </c>
      <c r="K23145" s="33" t="s">
        <v>22</v>
      </c>
    </row>
    <row r="23146" spans="1:11">
      <c r="A23146" s="30" t="s">
        <v>51127</v>
      </c>
      <c r="B23146" s="30" t="s">
        <v>51128</v>
      </c>
      <c r="C23146" s="30" t="s">
        <v>190</v>
      </c>
      <c r="D23146" s="30" t="s">
        <v>17</v>
      </c>
      <c r="E23146" s="30" t="s">
        <v>31</v>
      </c>
      <c r="F23146" s="30" t="s">
        <v>32</v>
      </c>
      <c r="G23146" s="30" t="s">
        <v>140</v>
      </c>
      <c r="H23146" s="32">
        <v>278</v>
      </c>
      <c r="I23146" s="30" t="s">
        <v>51</v>
      </c>
      <c r="J23146" s="41">
        <v>45876</v>
      </c>
      <c r="K23146" s="30" t="s">
        <v>22</v>
      </c>
    </row>
    <row r="23147" spans="1:11">
      <c r="A23147" s="33" t="s">
        <v>51129</v>
      </c>
      <c r="B23147" s="33" t="s">
        <v>51130</v>
      </c>
      <c r="C23147" s="33" t="s">
        <v>491</v>
      </c>
      <c r="D23147" s="33" t="s">
        <v>17</v>
      </c>
      <c r="E23147" s="33" t="s">
        <v>26</v>
      </c>
      <c r="F23147" s="33" t="s">
        <v>27</v>
      </c>
      <c r="G23147" s="33" t="s">
        <v>20</v>
      </c>
      <c r="H23147" s="35">
        <v>40</v>
      </c>
      <c r="I23147" s="33" t="s">
        <v>21</v>
      </c>
      <c r="J23147" s="42">
        <v>45992</v>
      </c>
      <c r="K23147" s="33" t="s">
        <v>22</v>
      </c>
    </row>
    <row r="23148" spans="1:11">
      <c r="A23148" s="30" t="s">
        <v>51131</v>
      </c>
      <c r="B23148" s="30" t="s">
        <v>51132</v>
      </c>
      <c r="C23148" s="30" t="s">
        <v>2852</v>
      </c>
      <c r="D23148" s="30" t="s">
        <v>17</v>
      </c>
      <c r="E23148" s="30" t="s">
        <v>18</v>
      </c>
      <c r="F23148" s="30" t="s">
        <v>19</v>
      </c>
      <c r="G23148" s="30" t="s">
        <v>140</v>
      </c>
      <c r="H23148" s="32">
        <v>172</v>
      </c>
      <c r="I23148" s="30" t="s">
        <v>51</v>
      </c>
      <c r="J23148" s="41">
        <v>45896</v>
      </c>
      <c r="K23148" s="30" t="s">
        <v>22</v>
      </c>
    </row>
    <row r="23149" spans="1:11">
      <c r="A23149" s="33" t="s">
        <v>51133</v>
      </c>
      <c r="B23149" s="33" t="s">
        <v>51134</v>
      </c>
      <c r="C23149" s="33" t="s">
        <v>1077</v>
      </c>
      <c r="D23149" s="33" t="s">
        <v>17</v>
      </c>
      <c r="E23149" s="33" t="s">
        <v>26</v>
      </c>
      <c r="F23149" s="33" t="s">
        <v>27</v>
      </c>
      <c r="G23149" s="33" t="s">
        <v>158</v>
      </c>
      <c r="H23149" s="35">
        <v>114</v>
      </c>
      <c r="I23149" s="33" t="s">
        <v>51</v>
      </c>
      <c r="J23149" s="42">
        <v>46006</v>
      </c>
      <c r="K23149" s="33" t="s">
        <v>22</v>
      </c>
    </row>
    <row r="23150" spans="1:11">
      <c r="A23150" s="30" t="s">
        <v>51135</v>
      </c>
      <c r="B23150" s="30" t="s">
        <v>51136</v>
      </c>
      <c r="C23150" s="30" t="s">
        <v>810</v>
      </c>
      <c r="D23150" s="30" t="s">
        <v>17</v>
      </c>
      <c r="E23150" s="30" t="s">
        <v>18</v>
      </c>
      <c r="F23150" s="30" t="s">
        <v>19</v>
      </c>
      <c r="G23150" s="30" t="s">
        <v>140</v>
      </c>
      <c r="H23150" s="32">
        <v>228</v>
      </c>
      <c r="I23150" s="30" t="s">
        <v>51</v>
      </c>
      <c r="J23150" s="41">
        <v>46009</v>
      </c>
      <c r="K23150" s="30" t="s">
        <v>22</v>
      </c>
    </row>
    <row r="23151" spans="1:11">
      <c r="A23151" s="33" t="s">
        <v>51137</v>
      </c>
      <c r="B23151" s="33" t="s">
        <v>51138</v>
      </c>
      <c r="C23151" s="33" t="s">
        <v>136</v>
      </c>
      <c r="D23151" s="33" t="s">
        <v>17</v>
      </c>
      <c r="E23151" s="33" t="s">
        <v>31</v>
      </c>
      <c r="F23151" s="33" t="s">
        <v>32</v>
      </c>
      <c r="G23151" s="33" t="s">
        <v>140</v>
      </c>
      <c r="H23151" s="35">
        <v>400</v>
      </c>
      <c r="I23151" s="33" t="s">
        <v>51</v>
      </c>
      <c r="J23151" s="42">
        <v>45985</v>
      </c>
      <c r="K23151" s="33" t="s">
        <v>22</v>
      </c>
    </row>
    <row r="23152" spans="1:11">
      <c r="A23152" s="30" t="s">
        <v>51139</v>
      </c>
      <c r="B23152" s="30" t="s">
        <v>51140</v>
      </c>
      <c r="C23152" s="30" t="s">
        <v>11899</v>
      </c>
      <c r="D23152" s="30" t="s">
        <v>17</v>
      </c>
      <c r="E23152" s="30" t="s">
        <v>67</v>
      </c>
      <c r="F23152" s="30" t="s">
        <v>68</v>
      </c>
      <c r="G23152" s="30" t="s">
        <v>140</v>
      </c>
      <c r="H23152" s="32">
        <v>876</v>
      </c>
      <c r="I23152" s="30" t="s">
        <v>51</v>
      </c>
      <c r="J23152" s="41">
        <v>45706</v>
      </c>
      <c r="K23152" s="30" t="s">
        <v>22</v>
      </c>
    </row>
    <row r="23153" spans="1:11">
      <c r="A23153" s="33" t="s">
        <v>51141</v>
      </c>
      <c r="B23153" s="33" t="s">
        <v>51142</v>
      </c>
      <c r="C23153" s="33" t="s">
        <v>2753</v>
      </c>
      <c r="D23153" s="33" t="s">
        <v>17</v>
      </c>
      <c r="E23153" s="33" t="s">
        <v>26</v>
      </c>
      <c r="F23153" s="33" t="s">
        <v>27</v>
      </c>
      <c r="G23153" s="33" t="s">
        <v>140</v>
      </c>
      <c r="H23153" s="35">
        <v>86</v>
      </c>
      <c r="I23153" s="33" t="s">
        <v>51</v>
      </c>
      <c r="J23153" s="42">
        <v>46002</v>
      </c>
      <c r="K23153" s="33" t="s">
        <v>22</v>
      </c>
    </row>
    <row r="23154" spans="1:11">
      <c r="A23154" s="30" t="s">
        <v>51143</v>
      </c>
      <c r="B23154" s="30" t="s">
        <v>51144</v>
      </c>
      <c r="C23154" s="30" t="s">
        <v>774</v>
      </c>
      <c r="D23154" s="30" t="s">
        <v>17</v>
      </c>
      <c r="E23154" s="30" t="s">
        <v>31</v>
      </c>
      <c r="F23154" s="30" t="s">
        <v>32</v>
      </c>
      <c r="G23154" s="30" t="s">
        <v>158</v>
      </c>
      <c r="H23154" s="32">
        <v>135</v>
      </c>
      <c r="I23154" s="30" t="s">
        <v>51</v>
      </c>
      <c r="J23154" s="41">
        <v>45714</v>
      </c>
      <c r="K23154" s="30" t="s">
        <v>22</v>
      </c>
    </row>
    <row r="23155" spans="1:11">
      <c r="A23155" s="33" t="s">
        <v>51145</v>
      </c>
      <c r="B23155" s="33" t="s">
        <v>51146</v>
      </c>
      <c r="C23155" s="33" t="s">
        <v>51147</v>
      </c>
      <c r="D23155" s="33" t="s">
        <v>17</v>
      </c>
      <c r="E23155" s="33" t="s">
        <v>67</v>
      </c>
      <c r="F23155" s="33" t="s">
        <v>68</v>
      </c>
      <c r="G23155" s="33" t="s">
        <v>7780</v>
      </c>
      <c r="H23155" s="35">
        <v>195</v>
      </c>
      <c r="I23155" s="33" t="s">
        <v>51</v>
      </c>
      <c r="J23155" s="42">
        <v>45980</v>
      </c>
      <c r="K23155" s="33" t="s">
        <v>22</v>
      </c>
    </row>
    <row r="23156" spans="1:11">
      <c r="A23156" s="30" t="s">
        <v>51148</v>
      </c>
      <c r="B23156" s="30" t="s">
        <v>51149</v>
      </c>
      <c r="C23156" s="30" t="s">
        <v>6379</v>
      </c>
      <c r="D23156" s="30" t="s">
        <v>17</v>
      </c>
      <c r="E23156" s="30" t="s">
        <v>212</v>
      </c>
      <c r="F23156" s="30" t="s">
        <v>213</v>
      </c>
      <c r="G23156" s="30" t="s">
        <v>140</v>
      </c>
      <c r="H23156" s="32">
        <v>50</v>
      </c>
      <c r="I23156" s="30" t="s">
        <v>51</v>
      </c>
      <c r="J23156" s="41">
        <v>45898</v>
      </c>
      <c r="K23156" s="30" t="s">
        <v>22</v>
      </c>
    </row>
    <row r="23157" spans="1:11">
      <c r="A23157" s="33" t="s">
        <v>51150</v>
      </c>
      <c r="B23157" s="33" t="s">
        <v>51151</v>
      </c>
      <c r="C23157" s="33" t="s">
        <v>93</v>
      </c>
      <c r="D23157" s="33" t="s">
        <v>17</v>
      </c>
      <c r="E23157" s="33" t="s">
        <v>18</v>
      </c>
      <c r="F23157" s="33" t="s">
        <v>19</v>
      </c>
      <c r="G23157" s="33" t="s">
        <v>158</v>
      </c>
      <c r="H23157" s="35">
        <v>573</v>
      </c>
      <c r="I23157" s="33" t="s">
        <v>21</v>
      </c>
      <c r="J23157" s="42">
        <v>45825</v>
      </c>
      <c r="K23157" s="33" t="s">
        <v>22</v>
      </c>
    </row>
    <row r="23158" spans="1:11">
      <c r="A23158" s="30" t="s">
        <v>51152</v>
      </c>
      <c r="B23158" s="30" t="s">
        <v>51153</v>
      </c>
      <c r="C23158" s="30" t="s">
        <v>51154</v>
      </c>
      <c r="D23158" s="30" t="s">
        <v>17</v>
      </c>
      <c r="E23158" s="30" t="s">
        <v>26</v>
      </c>
      <c r="F23158" s="30" t="s">
        <v>27</v>
      </c>
      <c r="G23158" s="30" t="s">
        <v>140</v>
      </c>
      <c r="H23158" s="32">
        <v>108</v>
      </c>
      <c r="I23158" s="30" t="s">
        <v>51</v>
      </c>
      <c r="J23158" s="41">
        <v>45820</v>
      </c>
      <c r="K23158" s="30" t="s">
        <v>22</v>
      </c>
    </row>
    <row r="23159" spans="1:11">
      <c r="A23159" s="33" t="s">
        <v>51155</v>
      </c>
      <c r="B23159" s="33" t="s">
        <v>51156</v>
      </c>
      <c r="C23159" s="33" t="s">
        <v>450</v>
      </c>
      <c r="D23159" s="33" t="s">
        <v>17</v>
      </c>
      <c r="E23159" s="33" t="s">
        <v>67</v>
      </c>
      <c r="F23159" s="33" t="s">
        <v>68</v>
      </c>
      <c r="G23159" s="33" t="s">
        <v>140</v>
      </c>
      <c r="H23159" s="35">
        <v>6</v>
      </c>
      <c r="I23159" s="33" t="s">
        <v>51</v>
      </c>
      <c r="J23159" s="42">
        <v>45954</v>
      </c>
      <c r="K23159" s="33" t="s">
        <v>22</v>
      </c>
    </row>
    <row r="23160" spans="1:11">
      <c r="A23160" s="30" t="s">
        <v>51157</v>
      </c>
      <c r="B23160" s="30" t="s">
        <v>51158</v>
      </c>
      <c r="C23160" s="30" t="s">
        <v>203</v>
      </c>
      <c r="D23160" s="30" t="s">
        <v>17</v>
      </c>
      <c r="E23160" s="30" t="s">
        <v>31</v>
      </c>
      <c r="F23160" s="30" t="s">
        <v>32</v>
      </c>
      <c r="G23160" s="30" t="s">
        <v>20</v>
      </c>
      <c r="H23160" s="32">
        <v>150</v>
      </c>
      <c r="I23160" s="30" t="s">
        <v>21</v>
      </c>
      <c r="J23160" s="41">
        <v>45687</v>
      </c>
      <c r="K23160" s="30" t="s">
        <v>22</v>
      </c>
    </row>
    <row r="23161" spans="1:11">
      <c r="A23161" s="33" t="s">
        <v>51159</v>
      </c>
      <c r="B23161" s="33" t="s">
        <v>51160</v>
      </c>
      <c r="C23161" s="33" t="s">
        <v>2313</v>
      </c>
      <c r="D23161" s="33" t="s">
        <v>17</v>
      </c>
      <c r="E23161" s="33" t="s">
        <v>26</v>
      </c>
      <c r="F23161" s="33" t="s">
        <v>27</v>
      </c>
      <c r="G23161" s="33" t="s">
        <v>20</v>
      </c>
      <c r="H23161" s="35">
        <v>82</v>
      </c>
      <c r="I23161" s="33" t="s">
        <v>21</v>
      </c>
      <c r="J23161" s="42">
        <v>45810</v>
      </c>
      <c r="K23161" s="33" t="s">
        <v>22</v>
      </c>
    </row>
    <row r="23162" spans="1:11">
      <c r="A23162" s="30" t="s">
        <v>51161</v>
      </c>
      <c r="B23162" s="30" t="s">
        <v>51162</v>
      </c>
      <c r="C23162" s="30" t="s">
        <v>8174</v>
      </c>
      <c r="D23162" s="30" t="s">
        <v>17</v>
      </c>
      <c r="E23162" s="30" t="s">
        <v>26</v>
      </c>
      <c r="F23162" s="30" t="s">
        <v>27</v>
      </c>
      <c r="G23162" s="30" t="s">
        <v>140</v>
      </c>
      <c r="H23162" s="32">
        <v>32</v>
      </c>
      <c r="I23162" s="30" t="s">
        <v>51</v>
      </c>
      <c r="J23162" s="41">
        <v>46016</v>
      </c>
      <c r="K23162" s="30" t="s">
        <v>22</v>
      </c>
    </row>
    <row r="23163" spans="1:11">
      <c r="A23163" s="33" t="s">
        <v>51163</v>
      </c>
      <c r="B23163" s="33" t="s">
        <v>51164</v>
      </c>
      <c r="C23163" s="33" t="s">
        <v>203</v>
      </c>
      <c r="D23163" s="33" t="s">
        <v>17</v>
      </c>
      <c r="E23163" s="33" t="s">
        <v>18</v>
      </c>
      <c r="F23163" s="33" t="s">
        <v>19</v>
      </c>
      <c r="G23163" s="33" t="s">
        <v>140</v>
      </c>
      <c r="H23163" s="35">
        <v>192</v>
      </c>
      <c r="I23163" s="33" t="s">
        <v>51</v>
      </c>
      <c r="J23163" s="42">
        <v>45881</v>
      </c>
      <c r="K23163" s="33" t="s">
        <v>22</v>
      </c>
    </row>
    <row r="23164" spans="1:11">
      <c r="A23164" s="30" t="s">
        <v>51165</v>
      </c>
      <c r="B23164" s="30" t="s">
        <v>51166</v>
      </c>
      <c r="C23164" s="30" t="s">
        <v>25298</v>
      </c>
      <c r="D23164" s="30" t="s">
        <v>17</v>
      </c>
      <c r="E23164" s="30" t="s">
        <v>18</v>
      </c>
      <c r="F23164" s="30" t="s">
        <v>19</v>
      </c>
      <c r="G23164" s="30" t="s">
        <v>140</v>
      </c>
      <c r="H23164" s="32">
        <v>1180</v>
      </c>
      <c r="I23164" s="30" t="s">
        <v>51</v>
      </c>
      <c r="J23164" s="41">
        <v>45862</v>
      </c>
      <c r="K23164" s="30" t="s">
        <v>22</v>
      </c>
    </row>
    <row r="23165" spans="1:11">
      <c r="A23165" s="33" t="s">
        <v>51167</v>
      </c>
      <c r="B23165" s="33" t="s">
        <v>51168</v>
      </c>
      <c r="C23165" s="33" t="s">
        <v>1764</v>
      </c>
      <c r="D23165" s="33" t="s">
        <v>17</v>
      </c>
      <c r="E23165" s="33" t="s">
        <v>18</v>
      </c>
      <c r="F23165" s="33" t="s">
        <v>19</v>
      </c>
      <c r="G23165" s="33" t="s">
        <v>20</v>
      </c>
      <c r="H23165" s="35">
        <v>80</v>
      </c>
      <c r="I23165" s="33" t="s">
        <v>21</v>
      </c>
      <c r="J23165" s="42">
        <v>45787</v>
      </c>
      <c r="K23165" s="33" t="s">
        <v>22</v>
      </c>
    </row>
    <row r="23166" spans="1:11">
      <c r="A23166" s="30" t="s">
        <v>51169</v>
      </c>
      <c r="B23166" s="30" t="s">
        <v>51170</v>
      </c>
      <c r="C23166" s="30" t="s">
        <v>2719</v>
      </c>
      <c r="D23166" s="30" t="s">
        <v>17</v>
      </c>
      <c r="E23166" s="30" t="s">
        <v>18</v>
      </c>
      <c r="F23166" s="30" t="s">
        <v>19</v>
      </c>
      <c r="G23166" s="30" t="s">
        <v>140</v>
      </c>
      <c r="H23166" s="32">
        <v>600</v>
      </c>
      <c r="I23166" s="30" t="s">
        <v>51</v>
      </c>
      <c r="J23166" s="41">
        <v>45868</v>
      </c>
      <c r="K23166" s="30" t="s">
        <v>22</v>
      </c>
    </row>
    <row r="23167" spans="1:11">
      <c r="A23167" s="33" t="s">
        <v>51171</v>
      </c>
      <c r="B23167" s="33" t="s">
        <v>51172</v>
      </c>
      <c r="C23167" s="33" t="s">
        <v>60</v>
      </c>
      <c r="D23167" s="33" t="s">
        <v>17</v>
      </c>
      <c r="E23167" s="33" t="s">
        <v>212</v>
      </c>
      <c r="F23167" s="33" t="s">
        <v>213</v>
      </c>
      <c r="G23167" s="33" t="s">
        <v>20</v>
      </c>
      <c r="H23167" s="35">
        <v>100</v>
      </c>
      <c r="I23167" s="33" t="s">
        <v>21</v>
      </c>
      <c r="J23167" s="42">
        <v>45737</v>
      </c>
      <c r="K23167" s="33" t="s">
        <v>22</v>
      </c>
    </row>
    <row r="23168" spans="1:11">
      <c r="A23168" s="30" t="s">
        <v>51173</v>
      </c>
      <c r="B23168" s="30" t="s">
        <v>51174</v>
      </c>
      <c r="C23168" s="30" t="s">
        <v>50684</v>
      </c>
      <c r="D23168" s="30" t="s">
        <v>17</v>
      </c>
      <c r="E23168" s="30" t="s">
        <v>26</v>
      </c>
      <c r="F23168" s="30" t="s">
        <v>27</v>
      </c>
      <c r="G23168" s="30" t="s">
        <v>140</v>
      </c>
      <c r="H23168" s="32">
        <v>48</v>
      </c>
      <c r="I23168" s="30" t="s">
        <v>51</v>
      </c>
      <c r="J23168" s="41">
        <v>45725</v>
      </c>
      <c r="K23168" s="30" t="s">
        <v>22</v>
      </c>
    </row>
    <row r="23169" spans="1:11">
      <c r="A23169" s="33" t="s">
        <v>51175</v>
      </c>
      <c r="B23169" s="33" t="s">
        <v>51176</v>
      </c>
      <c r="C23169" s="33" t="s">
        <v>353</v>
      </c>
      <c r="D23169" s="33" t="s">
        <v>17</v>
      </c>
      <c r="E23169" s="33" t="s">
        <v>26</v>
      </c>
      <c r="F23169" s="33" t="s">
        <v>27</v>
      </c>
      <c r="G23169" s="33" t="s">
        <v>7780</v>
      </c>
      <c r="H23169" s="35">
        <v>74</v>
      </c>
      <c r="I23169" s="33" t="s">
        <v>51</v>
      </c>
      <c r="J23169" s="42">
        <v>46018</v>
      </c>
      <c r="K23169" s="33" t="s">
        <v>22</v>
      </c>
    </row>
    <row r="23170" spans="1:11">
      <c r="A23170" s="30" t="s">
        <v>51177</v>
      </c>
      <c r="B23170" s="30" t="s">
        <v>51178</v>
      </c>
      <c r="C23170" s="30" t="s">
        <v>2280</v>
      </c>
      <c r="D23170" s="30" t="s">
        <v>17</v>
      </c>
      <c r="E23170" s="30" t="s">
        <v>45</v>
      </c>
      <c r="F23170" s="30" t="s">
        <v>46</v>
      </c>
      <c r="G23170" s="30" t="s">
        <v>158</v>
      </c>
      <c r="H23170" s="32">
        <v>6</v>
      </c>
      <c r="I23170" s="30" t="s">
        <v>21</v>
      </c>
      <c r="J23170" s="41">
        <v>45778</v>
      </c>
      <c r="K23170" s="30" t="s">
        <v>22</v>
      </c>
    </row>
    <row r="23171" spans="1:11">
      <c r="A23171" s="33" t="s">
        <v>51179</v>
      </c>
      <c r="B23171" s="33" t="s">
        <v>51180</v>
      </c>
      <c r="C23171" s="33" t="s">
        <v>14597</v>
      </c>
      <c r="D23171" s="33" t="s">
        <v>17</v>
      </c>
      <c r="E23171" s="33" t="s">
        <v>26</v>
      </c>
      <c r="F23171" s="33" t="s">
        <v>27</v>
      </c>
      <c r="G23171" s="33" t="s">
        <v>20</v>
      </c>
      <c r="H23171" s="35">
        <v>12</v>
      </c>
      <c r="I23171" s="33" t="s">
        <v>21</v>
      </c>
      <c r="J23171" s="42">
        <v>45713</v>
      </c>
      <c r="K23171" s="33" t="s">
        <v>22</v>
      </c>
    </row>
    <row r="23172" spans="1:11">
      <c r="A23172" s="30" t="s">
        <v>51181</v>
      </c>
      <c r="B23172" s="30" t="s">
        <v>51182</v>
      </c>
      <c r="C23172" s="30" t="s">
        <v>109</v>
      </c>
      <c r="D23172" s="30" t="s">
        <v>17</v>
      </c>
      <c r="E23172" s="30" t="s">
        <v>18</v>
      </c>
      <c r="F23172" s="30" t="s">
        <v>19</v>
      </c>
      <c r="G23172" s="30" t="s">
        <v>140</v>
      </c>
      <c r="H23172" s="32">
        <v>12</v>
      </c>
      <c r="I23172" s="30" t="s">
        <v>51</v>
      </c>
      <c r="J23172" s="41">
        <v>45958</v>
      </c>
      <c r="K23172" s="30" t="s">
        <v>22</v>
      </c>
    </row>
    <row r="23173" spans="1:11">
      <c r="A23173" s="33" t="s">
        <v>51183</v>
      </c>
      <c r="B23173" s="33" t="s">
        <v>51184</v>
      </c>
      <c r="C23173" s="33" t="s">
        <v>2753</v>
      </c>
      <c r="D23173" s="33" t="s">
        <v>17</v>
      </c>
      <c r="E23173" s="33" t="s">
        <v>18</v>
      </c>
      <c r="F23173" s="33" t="s">
        <v>19</v>
      </c>
      <c r="G23173" s="33" t="s">
        <v>140</v>
      </c>
      <c r="H23173" s="35">
        <v>351</v>
      </c>
      <c r="I23173" s="33" t="s">
        <v>51</v>
      </c>
      <c r="J23173" s="42">
        <v>45896</v>
      </c>
      <c r="K23173" s="33" t="s">
        <v>22</v>
      </c>
    </row>
    <row r="23174" spans="1:11">
      <c r="A23174" s="30" t="s">
        <v>51185</v>
      </c>
      <c r="B23174" s="30" t="s">
        <v>51186</v>
      </c>
      <c r="C23174" s="30" t="s">
        <v>203</v>
      </c>
      <c r="D23174" s="30" t="s">
        <v>17</v>
      </c>
      <c r="E23174" s="30" t="s">
        <v>31</v>
      </c>
      <c r="F23174" s="30" t="s">
        <v>32</v>
      </c>
      <c r="G23174" s="30" t="s">
        <v>140</v>
      </c>
      <c r="H23174" s="32">
        <v>99</v>
      </c>
      <c r="I23174" s="30" t="s">
        <v>51</v>
      </c>
      <c r="J23174" s="41">
        <v>45811</v>
      </c>
      <c r="K23174" s="30" t="s">
        <v>22</v>
      </c>
    </row>
    <row r="23175" spans="1:11">
      <c r="A23175" s="33" t="s">
        <v>51187</v>
      </c>
      <c r="B23175" s="33" t="s">
        <v>51188</v>
      </c>
      <c r="C23175" s="33" t="s">
        <v>157</v>
      </c>
      <c r="D23175" s="33" t="s">
        <v>17</v>
      </c>
      <c r="E23175" s="33" t="s">
        <v>18</v>
      </c>
      <c r="F23175" s="33" t="s">
        <v>19</v>
      </c>
      <c r="G23175" s="33" t="s">
        <v>140</v>
      </c>
      <c r="H23175" s="35">
        <v>600</v>
      </c>
      <c r="I23175" s="33" t="s">
        <v>51</v>
      </c>
      <c r="J23175" s="42">
        <v>45987</v>
      </c>
      <c r="K23175" s="33" t="s">
        <v>22</v>
      </c>
    </row>
    <row r="23176" spans="1:11">
      <c r="A23176" s="30" t="s">
        <v>51189</v>
      </c>
      <c r="B23176" s="30" t="s">
        <v>51190</v>
      </c>
      <c r="C23176" s="30" t="s">
        <v>124</v>
      </c>
      <c r="D23176" s="30" t="s">
        <v>17</v>
      </c>
      <c r="E23176" s="30" t="s">
        <v>31</v>
      </c>
      <c r="F23176" s="30" t="s">
        <v>32</v>
      </c>
      <c r="G23176" s="30" t="s">
        <v>140</v>
      </c>
      <c r="H23176" s="32">
        <v>73</v>
      </c>
      <c r="I23176" s="30" t="s">
        <v>51</v>
      </c>
      <c r="J23176" s="41">
        <v>45894</v>
      </c>
      <c r="K23176" s="30" t="s">
        <v>22</v>
      </c>
    </row>
    <row r="23177" spans="1:11">
      <c r="A23177" s="33" t="s">
        <v>51191</v>
      </c>
      <c r="B23177" s="33" t="s">
        <v>51192</v>
      </c>
      <c r="C23177" s="33" t="s">
        <v>8142</v>
      </c>
      <c r="D23177" s="33" t="s">
        <v>17</v>
      </c>
      <c r="E23177" s="33" t="s">
        <v>31</v>
      </c>
      <c r="F23177" s="33" t="s">
        <v>32</v>
      </c>
      <c r="G23177" s="33" t="s">
        <v>140</v>
      </c>
      <c r="H23177" s="35">
        <v>480</v>
      </c>
      <c r="I23177" s="33" t="s">
        <v>51</v>
      </c>
      <c r="J23177" s="42">
        <v>45869</v>
      </c>
      <c r="K23177" s="33" t="s">
        <v>22</v>
      </c>
    </row>
    <row r="23178" spans="1:11">
      <c r="A23178" s="30" t="s">
        <v>51193</v>
      </c>
      <c r="B23178" s="30" t="s">
        <v>51194</v>
      </c>
      <c r="C23178" s="30" t="s">
        <v>29472</v>
      </c>
      <c r="D23178" s="30" t="s">
        <v>17</v>
      </c>
      <c r="E23178" s="30" t="s">
        <v>67</v>
      </c>
      <c r="F23178" s="30" t="s">
        <v>68</v>
      </c>
      <c r="G23178" s="30" t="s">
        <v>2613</v>
      </c>
      <c r="H23178" s="32">
        <v>30</v>
      </c>
      <c r="I23178" s="30" t="s">
        <v>51</v>
      </c>
      <c r="J23178" s="41">
        <v>45757</v>
      </c>
      <c r="K23178" s="30" t="s">
        <v>22</v>
      </c>
    </row>
    <row r="23179" spans="1:11">
      <c r="A23179" s="33" t="s">
        <v>51195</v>
      </c>
      <c r="B23179" s="33" t="s">
        <v>51196</v>
      </c>
      <c r="C23179" s="33" t="s">
        <v>14181</v>
      </c>
      <c r="D23179" s="33" t="s">
        <v>17</v>
      </c>
      <c r="E23179" s="33" t="s">
        <v>31</v>
      </c>
      <c r="F23179" s="33" t="s">
        <v>32</v>
      </c>
      <c r="G23179" s="33" t="s">
        <v>140</v>
      </c>
      <c r="H23179" s="35">
        <v>90</v>
      </c>
      <c r="I23179" s="33" t="s">
        <v>51</v>
      </c>
      <c r="J23179" s="42">
        <v>45916</v>
      </c>
      <c r="K23179" s="33" t="s">
        <v>22</v>
      </c>
    </row>
    <row r="23180" spans="1:11">
      <c r="A23180" s="30" t="s">
        <v>51197</v>
      </c>
      <c r="B23180" s="30" t="s">
        <v>51198</v>
      </c>
      <c r="C23180" s="30" t="s">
        <v>41095</v>
      </c>
      <c r="D23180" s="30" t="s">
        <v>17</v>
      </c>
      <c r="E23180" s="30" t="s">
        <v>67</v>
      </c>
      <c r="F23180" s="30" t="s">
        <v>68</v>
      </c>
      <c r="G23180" s="30" t="s">
        <v>106</v>
      </c>
      <c r="H23180" s="32">
        <v>3</v>
      </c>
      <c r="I23180" s="30" t="s">
        <v>21</v>
      </c>
      <c r="J23180" s="41">
        <v>45702</v>
      </c>
      <c r="K23180" s="30" t="s">
        <v>22</v>
      </c>
    </row>
    <row r="23181" spans="1:11">
      <c r="A23181" s="33" t="s">
        <v>51199</v>
      </c>
      <c r="B23181" s="33" t="s">
        <v>51200</v>
      </c>
      <c r="C23181" s="33" t="s">
        <v>1571</v>
      </c>
      <c r="D23181" s="33" t="s">
        <v>17</v>
      </c>
      <c r="E23181" s="33" t="s">
        <v>31</v>
      </c>
      <c r="F23181" s="33" t="s">
        <v>32</v>
      </c>
      <c r="G23181" s="33" t="s">
        <v>140</v>
      </c>
      <c r="H23181" s="35">
        <v>141</v>
      </c>
      <c r="I23181" s="33" t="s">
        <v>51</v>
      </c>
      <c r="J23181" s="42">
        <v>45821</v>
      </c>
      <c r="K23181" s="33" t="s">
        <v>22</v>
      </c>
    </row>
    <row r="23182" spans="1:11">
      <c r="A23182" s="30" t="s">
        <v>51201</v>
      </c>
      <c r="B23182" s="30" t="s">
        <v>51202</v>
      </c>
      <c r="C23182" s="30" t="s">
        <v>1343</v>
      </c>
      <c r="D23182" s="30" t="s">
        <v>17</v>
      </c>
      <c r="E23182" s="30" t="s">
        <v>18</v>
      </c>
      <c r="F23182" s="30" t="s">
        <v>19</v>
      </c>
      <c r="G23182" s="30" t="s">
        <v>158</v>
      </c>
      <c r="H23182" s="32">
        <v>206</v>
      </c>
      <c r="I23182" s="30" t="s">
        <v>21</v>
      </c>
      <c r="J23182" s="41">
        <v>45737</v>
      </c>
      <c r="K23182" s="30" t="s">
        <v>22</v>
      </c>
    </row>
    <row r="23183" spans="1:11">
      <c r="A23183" s="33" t="s">
        <v>51203</v>
      </c>
      <c r="B23183" s="33" t="s">
        <v>51204</v>
      </c>
      <c r="C23183" s="33" t="s">
        <v>51205</v>
      </c>
      <c r="D23183" s="33" t="s">
        <v>17</v>
      </c>
      <c r="E23183" s="33" t="s">
        <v>26</v>
      </c>
      <c r="F23183" s="33" t="s">
        <v>27</v>
      </c>
      <c r="G23183" s="33" t="s">
        <v>140</v>
      </c>
      <c r="H23183" s="35">
        <v>90</v>
      </c>
      <c r="I23183" s="33" t="s">
        <v>51</v>
      </c>
      <c r="J23183" s="42">
        <v>45716</v>
      </c>
      <c r="K23183" s="33" t="s">
        <v>22</v>
      </c>
    </row>
    <row r="23184" spans="1:11">
      <c r="A23184" s="30" t="s">
        <v>51206</v>
      </c>
      <c r="B23184" s="30" t="s">
        <v>51207</v>
      </c>
      <c r="C23184" s="30" t="s">
        <v>51208</v>
      </c>
      <c r="D23184" s="30" t="s">
        <v>17</v>
      </c>
      <c r="E23184" s="30" t="s">
        <v>31</v>
      </c>
      <c r="F23184" s="30" t="s">
        <v>32</v>
      </c>
      <c r="G23184" s="30" t="s">
        <v>112</v>
      </c>
      <c r="H23184" s="32">
        <v>0</v>
      </c>
      <c r="I23184" s="30" t="s">
        <v>21</v>
      </c>
      <c r="J23184" s="41">
        <v>46006</v>
      </c>
      <c r="K23184" s="30" t="s">
        <v>22</v>
      </c>
    </row>
    <row r="23185" spans="1:11">
      <c r="A23185" s="33" t="s">
        <v>51209</v>
      </c>
      <c r="B23185" s="33" t="s">
        <v>51210</v>
      </c>
      <c r="C23185" s="33" t="s">
        <v>39828</v>
      </c>
      <c r="D23185" s="33" t="s">
        <v>17</v>
      </c>
      <c r="E23185" s="33" t="s">
        <v>31</v>
      </c>
      <c r="F23185" s="33" t="s">
        <v>32</v>
      </c>
      <c r="G23185" s="33" t="s">
        <v>140</v>
      </c>
      <c r="H23185" s="35">
        <v>50</v>
      </c>
      <c r="I23185" s="33" t="s">
        <v>51</v>
      </c>
      <c r="J23185" s="42">
        <v>46000</v>
      </c>
      <c r="K23185" s="33" t="s">
        <v>22</v>
      </c>
    </row>
    <row r="23186" spans="1:11">
      <c r="A23186" s="30" t="s">
        <v>51211</v>
      </c>
      <c r="B23186" s="30" t="s">
        <v>51212</v>
      </c>
      <c r="C23186" s="30" t="s">
        <v>17877</v>
      </c>
      <c r="D23186" s="30" t="s">
        <v>17</v>
      </c>
      <c r="E23186" s="30" t="s">
        <v>31</v>
      </c>
      <c r="F23186" s="30" t="s">
        <v>32</v>
      </c>
      <c r="G23186" s="30" t="s">
        <v>140</v>
      </c>
      <c r="H23186" s="32">
        <v>80</v>
      </c>
      <c r="I23186" s="30" t="s">
        <v>51</v>
      </c>
      <c r="J23186" s="41">
        <v>45778</v>
      </c>
      <c r="K23186" s="30" t="s">
        <v>22</v>
      </c>
    </row>
    <row r="23187" spans="1:11">
      <c r="A23187" s="33" t="s">
        <v>51213</v>
      </c>
      <c r="B23187" s="33" t="s">
        <v>51214</v>
      </c>
      <c r="C23187" s="33" t="s">
        <v>2472</v>
      </c>
      <c r="D23187" s="33" t="s">
        <v>17</v>
      </c>
      <c r="E23187" s="33" t="s">
        <v>212</v>
      </c>
      <c r="F23187" s="33" t="s">
        <v>213</v>
      </c>
      <c r="G23187" s="33" t="s">
        <v>20</v>
      </c>
      <c r="H23187" s="35">
        <v>832</v>
      </c>
      <c r="I23187" s="33" t="s">
        <v>21</v>
      </c>
      <c r="J23187" s="42">
        <v>45859</v>
      </c>
      <c r="K23187" s="33" t="s">
        <v>22</v>
      </c>
    </row>
    <row r="23188" spans="1:11">
      <c r="A23188" s="30" t="s">
        <v>51215</v>
      </c>
      <c r="B23188" s="30" t="s">
        <v>51216</v>
      </c>
      <c r="C23188" s="30" t="s">
        <v>12203</v>
      </c>
      <c r="D23188" s="30" t="s">
        <v>17</v>
      </c>
      <c r="E23188" s="30" t="s">
        <v>26</v>
      </c>
      <c r="F23188" s="30" t="s">
        <v>27</v>
      </c>
      <c r="G23188" s="30" t="s">
        <v>20</v>
      </c>
      <c r="H23188" s="32">
        <v>26</v>
      </c>
      <c r="I23188" s="30" t="s">
        <v>21</v>
      </c>
      <c r="J23188" s="41">
        <v>45678</v>
      </c>
      <c r="K23188" s="30" t="s">
        <v>22</v>
      </c>
    </row>
    <row r="23189" spans="1:11">
      <c r="A23189" s="33" t="s">
        <v>51217</v>
      </c>
      <c r="B23189" s="33" t="s">
        <v>51218</v>
      </c>
      <c r="C23189" s="33" t="s">
        <v>15741</v>
      </c>
      <c r="D23189" s="33" t="s">
        <v>17</v>
      </c>
      <c r="E23189" s="33" t="s">
        <v>26</v>
      </c>
      <c r="F23189" s="33" t="s">
        <v>27</v>
      </c>
      <c r="G23189" s="33" t="s">
        <v>2613</v>
      </c>
      <c r="H23189" s="35">
        <v>40</v>
      </c>
      <c r="I23189" s="33" t="s">
        <v>51</v>
      </c>
      <c r="J23189" s="42">
        <v>45838</v>
      </c>
      <c r="K23189" s="33" t="s">
        <v>22</v>
      </c>
    </row>
    <row r="23190" spans="1:11">
      <c r="A23190" s="30" t="s">
        <v>51219</v>
      </c>
      <c r="B23190" s="30" t="s">
        <v>51220</v>
      </c>
      <c r="C23190" s="30" t="s">
        <v>32736</v>
      </c>
      <c r="D23190" s="30" t="s">
        <v>17</v>
      </c>
      <c r="E23190" s="30" t="s">
        <v>31</v>
      </c>
      <c r="F23190" s="30" t="s">
        <v>32</v>
      </c>
      <c r="G23190" s="30" t="s">
        <v>20</v>
      </c>
      <c r="H23190" s="32">
        <v>176</v>
      </c>
      <c r="I23190" s="30" t="s">
        <v>21</v>
      </c>
      <c r="J23190" s="41">
        <v>45664</v>
      </c>
      <c r="K23190" s="30" t="s">
        <v>22</v>
      </c>
    </row>
    <row r="23191" spans="1:11">
      <c r="A23191" s="33" t="s">
        <v>51221</v>
      </c>
      <c r="B23191" s="33" t="s">
        <v>51222</v>
      </c>
      <c r="C23191" s="33" t="s">
        <v>37490</v>
      </c>
      <c r="D23191" s="33" t="s">
        <v>17</v>
      </c>
      <c r="E23191" s="33" t="s">
        <v>31</v>
      </c>
      <c r="F23191" s="33" t="s">
        <v>32</v>
      </c>
      <c r="G23191" s="33" t="s">
        <v>140</v>
      </c>
      <c r="H23191" s="35">
        <v>30</v>
      </c>
      <c r="I23191" s="33" t="s">
        <v>51</v>
      </c>
      <c r="J23191" s="42">
        <v>45926</v>
      </c>
      <c r="K23191" s="33" t="s">
        <v>22</v>
      </c>
    </row>
    <row r="23192" spans="1:11">
      <c r="A23192" s="30" t="s">
        <v>51223</v>
      </c>
      <c r="B23192" s="30" t="s">
        <v>51224</v>
      </c>
      <c r="C23192" s="30" t="s">
        <v>25561</v>
      </c>
      <c r="D23192" s="30" t="s">
        <v>17</v>
      </c>
      <c r="E23192" s="30" t="s">
        <v>26</v>
      </c>
      <c r="F23192" s="30" t="s">
        <v>27</v>
      </c>
      <c r="G23192" s="30" t="s">
        <v>20</v>
      </c>
      <c r="H23192" s="32">
        <v>150</v>
      </c>
      <c r="I23192" s="30" t="s">
        <v>21</v>
      </c>
      <c r="J23192" s="41">
        <v>45686</v>
      </c>
      <c r="K23192" s="30" t="s">
        <v>22</v>
      </c>
    </row>
    <row r="23193" spans="1:11">
      <c r="A23193" s="33" t="s">
        <v>51225</v>
      </c>
      <c r="B23193" s="33" t="s">
        <v>51226</v>
      </c>
      <c r="C23193" s="33" t="s">
        <v>27217</v>
      </c>
      <c r="D23193" s="33" t="s">
        <v>17</v>
      </c>
      <c r="E23193" s="33" t="s">
        <v>67</v>
      </c>
      <c r="F23193" s="33" t="s">
        <v>68</v>
      </c>
      <c r="G23193" s="33" t="s">
        <v>7780</v>
      </c>
      <c r="H23193" s="35">
        <v>60</v>
      </c>
      <c r="I23193" s="33" t="s">
        <v>51</v>
      </c>
      <c r="J23193" s="42">
        <v>45946</v>
      </c>
      <c r="K23193" s="33" t="s">
        <v>22</v>
      </c>
    </row>
    <row r="23194" spans="1:11">
      <c r="A23194" s="30" t="s">
        <v>51227</v>
      </c>
      <c r="B23194" s="30" t="s">
        <v>51228</v>
      </c>
      <c r="C23194" s="30" t="s">
        <v>25186</v>
      </c>
      <c r="D23194" s="30" t="s">
        <v>17</v>
      </c>
      <c r="E23194" s="30" t="s">
        <v>26</v>
      </c>
      <c r="F23194" s="30" t="s">
        <v>27</v>
      </c>
      <c r="G23194" s="30" t="s">
        <v>140</v>
      </c>
      <c r="H23194" s="32">
        <v>96</v>
      </c>
      <c r="I23194" s="30" t="s">
        <v>51</v>
      </c>
      <c r="J23194" s="41">
        <v>45979</v>
      </c>
      <c r="K23194" s="30" t="s">
        <v>22</v>
      </c>
    </row>
    <row r="23195" spans="1:11">
      <c r="A23195" s="33" t="s">
        <v>51229</v>
      </c>
      <c r="B23195" s="33" t="s">
        <v>51230</v>
      </c>
      <c r="C23195" s="33" t="s">
        <v>178</v>
      </c>
      <c r="D23195" s="33" t="s">
        <v>17</v>
      </c>
      <c r="E23195" s="33" t="s">
        <v>26</v>
      </c>
      <c r="F23195" s="33" t="s">
        <v>27</v>
      </c>
      <c r="G23195" s="33" t="s">
        <v>140</v>
      </c>
      <c r="H23195" s="35">
        <v>20</v>
      </c>
      <c r="I23195" s="33" t="s">
        <v>51</v>
      </c>
      <c r="J23195" s="42">
        <v>45790</v>
      </c>
      <c r="K23195" s="33" t="s">
        <v>22</v>
      </c>
    </row>
    <row r="23196" spans="1:11">
      <c r="A23196" s="30" t="s">
        <v>51231</v>
      </c>
      <c r="B23196" s="30" t="s">
        <v>51232</v>
      </c>
      <c r="C23196" s="30" t="s">
        <v>51233</v>
      </c>
      <c r="D23196" s="30" t="s">
        <v>17</v>
      </c>
      <c r="E23196" s="30" t="s">
        <v>212</v>
      </c>
      <c r="F23196" s="30" t="s">
        <v>213</v>
      </c>
      <c r="G23196" s="30" t="s">
        <v>140</v>
      </c>
      <c r="H23196" s="32">
        <v>150</v>
      </c>
      <c r="I23196" s="30" t="s">
        <v>51</v>
      </c>
      <c r="J23196" s="41">
        <v>46001</v>
      </c>
      <c r="K23196" s="30" t="s">
        <v>22</v>
      </c>
    </row>
    <row r="23197" spans="1:11">
      <c r="A23197" s="33" t="s">
        <v>51234</v>
      </c>
      <c r="B23197" s="33" t="s">
        <v>51235</v>
      </c>
      <c r="C23197" s="33" t="s">
        <v>96</v>
      </c>
      <c r="D23197" s="33" t="s">
        <v>17</v>
      </c>
      <c r="E23197" s="33" t="s">
        <v>26</v>
      </c>
      <c r="F23197" s="33" t="s">
        <v>27</v>
      </c>
      <c r="G23197" s="33" t="s">
        <v>106</v>
      </c>
      <c r="H23197" s="35">
        <v>11</v>
      </c>
      <c r="I23197" s="33" t="s">
        <v>21</v>
      </c>
      <c r="J23197" s="42">
        <v>45778</v>
      </c>
      <c r="K23197" s="33" t="s">
        <v>22</v>
      </c>
    </row>
    <row r="23198" spans="1:11">
      <c r="A23198" s="30" t="s">
        <v>51236</v>
      </c>
      <c r="B23198" s="30" t="s">
        <v>51237</v>
      </c>
      <c r="C23198" s="30" t="s">
        <v>9336</v>
      </c>
      <c r="D23198" s="30" t="s">
        <v>17</v>
      </c>
      <c r="E23198" s="30" t="s">
        <v>26</v>
      </c>
      <c r="F23198" s="30" t="s">
        <v>27</v>
      </c>
      <c r="G23198" s="30" t="s">
        <v>140</v>
      </c>
      <c r="H23198" s="32">
        <v>16</v>
      </c>
      <c r="I23198" s="30" t="s">
        <v>51</v>
      </c>
      <c r="J23198" s="41">
        <v>45992</v>
      </c>
      <c r="K23198" s="30" t="s">
        <v>22</v>
      </c>
    </row>
    <row r="23199" spans="1:11">
      <c r="A23199" s="33" t="s">
        <v>51238</v>
      </c>
      <c r="B23199" s="33" t="s">
        <v>51239</v>
      </c>
      <c r="C23199" s="33" t="s">
        <v>178</v>
      </c>
      <c r="D23199" s="33" t="s">
        <v>17</v>
      </c>
      <c r="E23199" s="33" t="s">
        <v>31</v>
      </c>
      <c r="F23199" s="33" t="s">
        <v>32</v>
      </c>
      <c r="G23199" s="33" t="s">
        <v>158</v>
      </c>
      <c r="H23199" s="35">
        <v>240</v>
      </c>
      <c r="I23199" s="33" t="s">
        <v>51</v>
      </c>
      <c r="J23199" s="42">
        <v>45888</v>
      </c>
      <c r="K23199" s="33" t="s">
        <v>22</v>
      </c>
    </row>
    <row r="23200" spans="1:11">
      <c r="A23200" s="30" t="s">
        <v>51240</v>
      </c>
      <c r="B23200" s="30" t="s">
        <v>51241</v>
      </c>
      <c r="C23200" s="30" t="s">
        <v>17650</v>
      </c>
      <c r="D23200" s="30" t="s">
        <v>17</v>
      </c>
      <c r="E23200" s="30" t="s">
        <v>31</v>
      </c>
      <c r="F23200" s="30" t="s">
        <v>32</v>
      </c>
      <c r="G23200" s="30" t="s">
        <v>140</v>
      </c>
      <c r="H23200" s="32">
        <v>405</v>
      </c>
      <c r="I23200" s="30" t="s">
        <v>51</v>
      </c>
      <c r="J23200" s="41">
        <v>45825</v>
      </c>
      <c r="K23200" s="30" t="s">
        <v>22</v>
      </c>
    </row>
    <row r="23201" spans="1:11">
      <c r="A23201" s="33" t="s">
        <v>51242</v>
      </c>
      <c r="B23201" s="33" t="s">
        <v>51243</v>
      </c>
      <c r="C23201" s="33" t="s">
        <v>42474</v>
      </c>
      <c r="D23201" s="33" t="s">
        <v>17</v>
      </c>
      <c r="E23201" s="33" t="s">
        <v>26</v>
      </c>
      <c r="F23201" s="33" t="s">
        <v>27</v>
      </c>
      <c r="G23201" s="33" t="s">
        <v>112</v>
      </c>
      <c r="H23201" s="35">
        <v>0</v>
      </c>
      <c r="I23201" s="33" t="s">
        <v>21</v>
      </c>
      <c r="J23201" s="42">
        <v>45742</v>
      </c>
      <c r="K23201" s="33" t="s">
        <v>22</v>
      </c>
    </row>
    <row r="23202" spans="1:11">
      <c r="A23202" s="30" t="s">
        <v>51244</v>
      </c>
      <c r="B23202" s="30" t="s">
        <v>51245</v>
      </c>
      <c r="C23202" s="30" t="s">
        <v>6653</v>
      </c>
      <c r="D23202" s="30" t="s">
        <v>17</v>
      </c>
      <c r="E23202" s="30" t="s">
        <v>31</v>
      </c>
      <c r="F23202" s="30" t="s">
        <v>32</v>
      </c>
      <c r="G23202" s="30" t="s">
        <v>7780</v>
      </c>
      <c r="H23202" s="32">
        <v>150</v>
      </c>
      <c r="I23202" s="30" t="s">
        <v>51</v>
      </c>
      <c r="J23202" s="41">
        <v>45778</v>
      </c>
      <c r="K23202" s="30" t="s">
        <v>22</v>
      </c>
    </row>
    <row r="23203" spans="1:11">
      <c r="A23203" s="33" t="s">
        <v>51246</v>
      </c>
      <c r="B23203" s="33" t="s">
        <v>51247</v>
      </c>
      <c r="C23203" s="33" t="s">
        <v>13050</v>
      </c>
      <c r="D23203" s="33" t="s">
        <v>17</v>
      </c>
      <c r="E23203" s="33" t="s">
        <v>31</v>
      </c>
      <c r="F23203" s="33" t="s">
        <v>32</v>
      </c>
      <c r="G23203" s="33" t="s">
        <v>7780</v>
      </c>
      <c r="H23203" s="35">
        <v>200</v>
      </c>
      <c r="I23203" s="33" t="s">
        <v>51</v>
      </c>
      <c r="J23203" s="42">
        <v>45870</v>
      </c>
      <c r="K23203" s="33" t="s">
        <v>22</v>
      </c>
    </row>
    <row r="23204" spans="1:11">
      <c r="A23204" s="30" t="s">
        <v>51248</v>
      </c>
      <c r="B23204" s="30" t="s">
        <v>51249</v>
      </c>
      <c r="C23204" s="30" t="s">
        <v>969</v>
      </c>
      <c r="D23204" s="30" t="s">
        <v>17</v>
      </c>
      <c r="E23204" s="30" t="s">
        <v>18</v>
      </c>
      <c r="F23204" s="30" t="s">
        <v>19</v>
      </c>
      <c r="G23204" s="30" t="s">
        <v>140</v>
      </c>
      <c r="H23204" s="32">
        <v>1196</v>
      </c>
      <c r="I23204" s="30" t="s">
        <v>51</v>
      </c>
      <c r="J23204" s="41">
        <v>45950</v>
      </c>
      <c r="K23204" s="30" t="s">
        <v>22</v>
      </c>
    </row>
    <row r="23205" spans="1:11">
      <c r="A23205" s="33" t="s">
        <v>51250</v>
      </c>
      <c r="B23205" s="33" t="s">
        <v>51251</v>
      </c>
      <c r="C23205" s="33" t="s">
        <v>178</v>
      </c>
      <c r="D23205" s="33" t="s">
        <v>17</v>
      </c>
      <c r="E23205" s="33" t="s">
        <v>67</v>
      </c>
      <c r="F23205" s="33" t="s">
        <v>68</v>
      </c>
      <c r="G23205" s="33" t="s">
        <v>140</v>
      </c>
      <c r="H23205" s="35">
        <v>53</v>
      </c>
      <c r="I23205" s="33" t="s">
        <v>51</v>
      </c>
      <c r="J23205" s="42">
        <v>45709</v>
      </c>
      <c r="K23205" s="33" t="s">
        <v>22</v>
      </c>
    </row>
    <row r="23206" spans="1:11">
      <c r="A23206" s="30" t="s">
        <v>51252</v>
      </c>
      <c r="B23206" s="30" t="s">
        <v>51253</v>
      </c>
      <c r="C23206" s="30" t="s">
        <v>75</v>
      </c>
      <c r="D23206" s="30" t="s">
        <v>17</v>
      </c>
      <c r="E23206" s="30" t="s">
        <v>18</v>
      </c>
      <c r="F23206" s="30" t="s">
        <v>19</v>
      </c>
      <c r="G23206" s="30" t="s">
        <v>140</v>
      </c>
      <c r="H23206" s="32">
        <v>586</v>
      </c>
      <c r="I23206" s="30" t="s">
        <v>51</v>
      </c>
      <c r="J23206" s="41">
        <v>45859</v>
      </c>
      <c r="K23206" s="30" t="s">
        <v>22</v>
      </c>
    </row>
    <row r="23207" spans="1:11">
      <c r="A23207" s="33" t="s">
        <v>51254</v>
      </c>
      <c r="B23207" s="33" t="s">
        <v>51255</v>
      </c>
      <c r="C23207" s="33" t="s">
        <v>2772</v>
      </c>
      <c r="D23207" s="33" t="s">
        <v>17</v>
      </c>
      <c r="E23207" s="33" t="s">
        <v>18</v>
      </c>
      <c r="F23207" s="33" t="s">
        <v>19</v>
      </c>
      <c r="G23207" s="33" t="s">
        <v>140</v>
      </c>
      <c r="H23207" s="35">
        <v>228</v>
      </c>
      <c r="I23207" s="33" t="s">
        <v>51</v>
      </c>
      <c r="J23207" s="42">
        <v>45717</v>
      </c>
      <c r="K23207" s="33" t="s">
        <v>22</v>
      </c>
    </row>
    <row r="23208" spans="1:11">
      <c r="A23208" s="30" t="s">
        <v>51256</v>
      </c>
      <c r="B23208" s="30" t="s">
        <v>51257</v>
      </c>
      <c r="C23208" s="30" t="s">
        <v>647</v>
      </c>
      <c r="D23208" s="30" t="s">
        <v>17</v>
      </c>
      <c r="E23208" s="30" t="s">
        <v>26</v>
      </c>
      <c r="F23208" s="30" t="s">
        <v>27</v>
      </c>
      <c r="G23208" s="30" t="s">
        <v>20</v>
      </c>
      <c r="H23208" s="32">
        <v>15</v>
      </c>
      <c r="I23208" s="30" t="s">
        <v>21</v>
      </c>
      <c r="J23208" s="41">
        <v>45847</v>
      </c>
      <c r="K23208" s="30" t="s">
        <v>22</v>
      </c>
    </row>
    <row r="23209" spans="1:11">
      <c r="A23209" s="33" t="s">
        <v>51258</v>
      </c>
      <c r="B23209" s="33" t="s">
        <v>51259</v>
      </c>
      <c r="C23209" s="33" t="s">
        <v>51260</v>
      </c>
      <c r="D23209" s="33" t="s">
        <v>17</v>
      </c>
      <c r="E23209" s="33" t="s">
        <v>31</v>
      </c>
      <c r="F23209" s="33" t="s">
        <v>32</v>
      </c>
      <c r="G23209" s="33" t="s">
        <v>140</v>
      </c>
      <c r="H23209" s="35">
        <v>18</v>
      </c>
      <c r="I23209" s="33" t="s">
        <v>51</v>
      </c>
      <c r="J23209" s="42">
        <v>45806</v>
      </c>
      <c r="K23209" s="33" t="s">
        <v>22</v>
      </c>
    </row>
    <row r="23210" spans="1:11">
      <c r="A23210" s="30" t="s">
        <v>51261</v>
      </c>
      <c r="B23210" s="30" t="s">
        <v>51262</v>
      </c>
      <c r="C23210" s="30" t="s">
        <v>6703</v>
      </c>
      <c r="D23210" s="30" t="s">
        <v>17</v>
      </c>
      <c r="E23210" s="30" t="s">
        <v>67</v>
      </c>
      <c r="F23210" s="30" t="s">
        <v>68</v>
      </c>
      <c r="G23210" s="30" t="s">
        <v>7780</v>
      </c>
      <c r="H23210" s="32">
        <v>100</v>
      </c>
      <c r="I23210" s="30" t="s">
        <v>51</v>
      </c>
      <c r="J23210" s="41">
        <v>45931</v>
      </c>
      <c r="K23210" s="30" t="s">
        <v>22</v>
      </c>
    </row>
    <row r="23211" spans="1:11">
      <c r="A23211" s="33" t="s">
        <v>51263</v>
      </c>
      <c r="B23211" s="33" t="s">
        <v>51264</v>
      </c>
      <c r="C23211" s="33" t="s">
        <v>130</v>
      </c>
      <c r="D23211" s="33" t="s">
        <v>17</v>
      </c>
      <c r="E23211" s="33" t="s">
        <v>26</v>
      </c>
      <c r="F23211" s="33" t="s">
        <v>27</v>
      </c>
      <c r="G23211" s="33" t="s">
        <v>106</v>
      </c>
      <c r="H23211" s="35">
        <v>24</v>
      </c>
      <c r="I23211" s="33" t="s">
        <v>21</v>
      </c>
      <c r="J23211" s="42">
        <v>45866</v>
      </c>
      <c r="K23211" s="33" t="s">
        <v>22</v>
      </c>
    </row>
    <row r="23212" spans="1:11">
      <c r="A23212" s="30" t="s">
        <v>51265</v>
      </c>
      <c r="B23212" s="30" t="s">
        <v>51266</v>
      </c>
      <c r="C23212" s="30" t="s">
        <v>17917</v>
      </c>
      <c r="D23212" s="30" t="s">
        <v>17</v>
      </c>
      <c r="E23212" s="30" t="s">
        <v>18</v>
      </c>
      <c r="F23212" s="30" t="s">
        <v>19</v>
      </c>
      <c r="G23212" s="30" t="s">
        <v>140</v>
      </c>
      <c r="H23212" s="32">
        <v>250</v>
      </c>
      <c r="I23212" s="30" t="s">
        <v>51</v>
      </c>
      <c r="J23212" s="41">
        <v>45868</v>
      </c>
      <c r="K23212" s="30" t="s">
        <v>22</v>
      </c>
    </row>
    <row r="23213" spans="1:11">
      <c r="A23213" s="33" t="s">
        <v>51267</v>
      </c>
      <c r="B23213" s="33" t="s">
        <v>51268</v>
      </c>
      <c r="C23213" s="33" t="s">
        <v>647</v>
      </c>
      <c r="D23213" s="33" t="s">
        <v>17</v>
      </c>
      <c r="E23213" s="33" t="s">
        <v>31</v>
      </c>
      <c r="F23213" s="33" t="s">
        <v>32</v>
      </c>
      <c r="G23213" s="33" t="s">
        <v>140</v>
      </c>
      <c r="H23213" s="35">
        <v>308</v>
      </c>
      <c r="I23213" s="33" t="s">
        <v>51</v>
      </c>
      <c r="J23213" s="42">
        <v>45727</v>
      </c>
      <c r="K23213" s="33" t="s">
        <v>22</v>
      </c>
    </row>
    <row r="23214" spans="1:11">
      <c r="A23214" s="30" t="s">
        <v>51269</v>
      </c>
      <c r="B23214" s="30" t="s">
        <v>51270</v>
      </c>
      <c r="C23214" s="30" t="s">
        <v>109</v>
      </c>
      <c r="D23214" s="30" t="s">
        <v>17</v>
      </c>
      <c r="E23214" s="30" t="s">
        <v>31</v>
      </c>
      <c r="F23214" s="30" t="s">
        <v>32</v>
      </c>
      <c r="G23214" s="30" t="s">
        <v>140</v>
      </c>
      <c r="H23214" s="32">
        <v>104</v>
      </c>
      <c r="I23214" s="30" t="s">
        <v>51</v>
      </c>
      <c r="J23214" s="41">
        <v>45939</v>
      </c>
      <c r="K23214" s="30" t="s">
        <v>22</v>
      </c>
    </row>
    <row r="23215" spans="1:11">
      <c r="A23215" s="33" t="s">
        <v>51271</v>
      </c>
      <c r="B23215" s="33" t="s">
        <v>51272</v>
      </c>
      <c r="C23215" s="33" t="s">
        <v>549</v>
      </c>
      <c r="D23215" s="33" t="s">
        <v>17</v>
      </c>
      <c r="E23215" s="33" t="s">
        <v>26</v>
      </c>
      <c r="F23215" s="33" t="s">
        <v>27</v>
      </c>
      <c r="G23215" s="33" t="s">
        <v>20</v>
      </c>
      <c r="H23215" s="35">
        <v>55</v>
      </c>
      <c r="I23215" s="33" t="s">
        <v>21</v>
      </c>
      <c r="J23215" s="42">
        <v>45820</v>
      </c>
      <c r="K23215" s="33" t="s">
        <v>22</v>
      </c>
    </row>
    <row r="23216" spans="1:11">
      <c r="A23216" s="30" t="s">
        <v>51273</v>
      </c>
      <c r="B23216" s="30" t="s">
        <v>51274</v>
      </c>
      <c r="C23216" s="30" t="s">
        <v>222</v>
      </c>
      <c r="D23216" s="30" t="s">
        <v>17</v>
      </c>
      <c r="E23216" s="30" t="s">
        <v>18</v>
      </c>
      <c r="F23216" s="30" t="s">
        <v>19</v>
      </c>
      <c r="G23216" s="30" t="s">
        <v>140</v>
      </c>
      <c r="H23216" s="32">
        <v>710</v>
      </c>
      <c r="I23216" s="30" t="s">
        <v>51</v>
      </c>
      <c r="J23216" s="41">
        <v>45930</v>
      </c>
      <c r="K23216" s="30" t="s">
        <v>22</v>
      </c>
    </row>
    <row r="23217" spans="1:11">
      <c r="A23217" s="33" t="s">
        <v>51275</v>
      </c>
      <c r="B23217" s="33" t="s">
        <v>51276</v>
      </c>
      <c r="C23217" s="33" t="s">
        <v>48543</v>
      </c>
      <c r="D23217" s="33" t="s">
        <v>17</v>
      </c>
      <c r="E23217" s="33" t="s">
        <v>26</v>
      </c>
      <c r="F23217" s="33" t="s">
        <v>27</v>
      </c>
      <c r="G23217" s="33" t="s">
        <v>20</v>
      </c>
      <c r="H23217" s="35">
        <v>24</v>
      </c>
      <c r="I23217" s="33" t="s">
        <v>21</v>
      </c>
      <c r="J23217" s="42">
        <v>45795</v>
      </c>
      <c r="K23217" s="33" t="s">
        <v>22</v>
      </c>
    </row>
    <row r="23218" spans="1:11">
      <c r="A23218" s="30" t="s">
        <v>51277</v>
      </c>
      <c r="B23218" s="30" t="s">
        <v>51278</v>
      </c>
      <c r="C23218" s="30" t="s">
        <v>51279</v>
      </c>
      <c r="D23218" s="30" t="s">
        <v>17</v>
      </c>
      <c r="E23218" s="30" t="s">
        <v>26</v>
      </c>
      <c r="F23218" s="30" t="s">
        <v>27</v>
      </c>
      <c r="G23218" s="30" t="s">
        <v>140</v>
      </c>
      <c r="H23218" s="32">
        <v>36</v>
      </c>
      <c r="I23218" s="30" t="s">
        <v>51</v>
      </c>
      <c r="J23218" s="41">
        <v>45888</v>
      </c>
      <c r="K23218" s="30" t="s">
        <v>22</v>
      </c>
    </row>
    <row r="23219" spans="1:11">
      <c r="A23219" s="33" t="s">
        <v>51280</v>
      </c>
      <c r="B23219" s="33" t="s">
        <v>51281</v>
      </c>
      <c r="C23219" s="33" t="s">
        <v>16476</v>
      </c>
      <c r="D23219" s="33" t="s">
        <v>17</v>
      </c>
      <c r="E23219" s="33" t="s">
        <v>31</v>
      </c>
      <c r="F23219" s="33" t="s">
        <v>32</v>
      </c>
      <c r="G23219" s="33" t="s">
        <v>140</v>
      </c>
      <c r="H23219" s="35">
        <v>120</v>
      </c>
      <c r="I23219" s="33" t="s">
        <v>51</v>
      </c>
      <c r="J23219" s="42">
        <v>45891</v>
      </c>
      <c r="K23219" s="33" t="s">
        <v>22</v>
      </c>
    </row>
    <row r="23220" spans="1:11">
      <c r="A23220" s="30" t="s">
        <v>51282</v>
      </c>
      <c r="B23220" s="30" t="s">
        <v>51283</v>
      </c>
      <c r="C23220" s="30" t="s">
        <v>14483</v>
      </c>
      <c r="D23220" s="30" t="s">
        <v>17</v>
      </c>
      <c r="E23220" s="30" t="s">
        <v>26</v>
      </c>
      <c r="F23220" s="30" t="s">
        <v>27</v>
      </c>
      <c r="G23220" s="30" t="s">
        <v>20</v>
      </c>
      <c r="H23220" s="32">
        <v>87</v>
      </c>
      <c r="I23220" s="30" t="s">
        <v>21</v>
      </c>
      <c r="J23220" s="41">
        <v>45698</v>
      </c>
      <c r="K23220" s="30" t="s">
        <v>22</v>
      </c>
    </row>
    <row r="23221" spans="1:11">
      <c r="A23221" s="33" t="s">
        <v>51284</v>
      </c>
      <c r="B23221" s="33" t="s">
        <v>51285</v>
      </c>
      <c r="C23221" s="33" t="s">
        <v>2728</v>
      </c>
      <c r="D23221" s="33" t="s">
        <v>17</v>
      </c>
      <c r="E23221" s="33" t="s">
        <v>31</v>
      </c>
      <c r="F23221" s="33" t="s">
        <v>32</v>
      </c>
      <c r="G23221" s="33" t="s">
        <v>20</v>
      </c>
      <c r="H23221" s="35">
        <v>101</v>
      </c>
      <c r="I23221" s="33" t="s">
        <v>21</v>
      </c>
      <c r="J23221" s="42">
        <v>45817</v>
      </c>
      <c r="K23221" s="33" t="s">
        <v>22</v>
      </c>
    </row>
    <row r="23222" spans="1:11">
      <c r="A23222" s="30" t="s">
        <v>51286</v>
      </c>
      <c r="B23222" s="30" t="s">
        <v>51287</v>
      </c>
      <c r="C23222" s="30" t="s">
        <v>190</v>
      </c>
      <c r="D23222" s="30" t="s">
        <v>17</v>
      </c>
      <c r="E23222" s="30" t="s">
        <v>26</v>
      </c>
      <c r="F23222" s="30" t="s">
        <v>27</v>
      </c>
      <c r="G23222" s="30" t="s">
        <v>20</v>
      </c>
      <c r="H23222" s="32">
        <v>105</v>
      </c>
      <c r="I23222" s="30" t="s">
        <v>21</v>
      </c>
      <c r="J23222" s="41">
        <v>45680</v>
      </c>
      <c r="K23222" s="30" t="s">
        <v>22</v>
      </c>
    </row>
    <row r="23223" spans="1:11">
      <c r="A23223" s="33" t="s">
        <v>51288</v>
      </c>
      <c r="B23223" s="33" t="s">
        <v>51289</v>
      </c>
      <c r="C23223" s="33" t="s">
        <v>96</v>
      </c>
      <c r="D23223" s="33" t="s">
        <v>17</v>
      </c>
      <c r="E23223" s="33" t="s">
        <v>26</v>
      </c>
      <c r="F23223" s="33" t="s">
        <v>27</v>
      </c>
      <c r="G23223" s="33" t="s">
        <v>20</v>
      </c>
      <c r="H23223" s="35">
        <v>13</v>
      </c>
      <c r="I23223" s="33" t="s">
        <v>21</v>
      </c>
      <c r="J23223" s="42">
        <v>45663</v>
      </c>
      <c r="K23223" s="33" t="s">
        <v>22</v>
      </c>
    </row>
    <row r="23224" spans="1:11">
      <c r="A23224" s="30" t="s">
        <v>51290</v>
      </c>
      <c r="B23224" s="30" t="s">
        <v>51291</v>
      </c>
      <c r="C23224" s="30" t="s">
        <v>22557</v>
      </c>
      <c r="D23224" s="30" t="s">
        <v>17</v>
      </c>
      <c r="E23224" s="30" t="s">
        <v>18</v>
      </c>
      <c r="F23224" s="30" t="s">
        <v>19</v>
      </c>
      <c r="G23224" s="30" t="s">
        <v>140</v>
      </c>
      <c r="H23224" s="32">
        <v>350</v>
      </c>
      <c r="I23224" s="30" t="s">
        <v>51</v>
      </c>
      <c r="J23224" s="41">
        <v>45726</v>
      </c>
      <c r="K23224" s="30" t="s">
        <v>22</v>
      </c>
    </row>
    <row r="23225" spans="1:11">
      <c r="A23225" s="33" t="s">
        <v>51292</v>
      </c>
      <c r="B23225" s="33" t="s">
        <v>51293</v>
      </c>
      <c r="C23225" s="33" t="s">
        <v>310</v>
      </c>
      <c r="D23225" s="33" t="s">
        <v>17</v>
      </c>
      <c r="E23225" s="33" t="s">
        <v>26</v>
      </c>
      <c r="F23225" s="33" t="s">
        <v>27</v>
      </c>
      <c r="G23225" s="33" t="s">
        <v>20</v>
      </c>
      <c r="H23225" s="35">
        <v>20</v>
      </c>
      <c r="I23225" s="33" t="s">
        <v>21</v>
      </c>
      <c r="J23225" s="42">
        <v>45803</v>
      </c>
      <c r="K23225" s="33" t="s">
        <v>22</v>
      </c>
    </row>
    <row r="23226" spans="1:11">
      <c r="A23226" s="30" t="s">
        <v>51294</v>
      </c>
      <c r="B23226" s="30" t="s">
        <v>51295</v>
      </c>
      <c r="C23226" s="30" t="s">
        <v>203</v>
      </c>
      <c r="D23226" s="30" t="s">
        <v>17</v>
      </c>
      <c r="E23226" s="30" t="s">
        <v>18</v>
      </c>
      <c r="F23226" s="30" t="s">
        <v>19</v>
      </c>
      <c r="G23226" s="30" t="s">
        <v>158</v>
      </c>
      <c r="H23226" s="32">
        <v>1602</v>
      </c>
      <c r="I23226" s="30" t="s">
        <v>21</v>
      </c>
      <c r="J23226" s="41">
        <v>45926</v>
      </c>
      <c r="K23226" s="30" t="s">
        <v>22</v>
      </c>
    </row>
    <row r="23227" spans="1:11">
      <c r="A23227" s="33" t="s">
        <v>51296</v>
      </c>
      <c r="B23227" s="33" t="s">
        <v>51297</v>
      </c>
      <c r="C23227" s="33" t="s">
        <v>38433</v>
      </c>
      <c r="D23227" s="33" t="s">
        <v>17</v>
      </c>
      <c r="E23227" s="33" t="s">
        <v>67</v>
      </c>
      <c r="F23227" s="33" t="s">
        <v>68</v>
      </c>
      <c r="G23227" s="33" t="s">
        <v>140</v>
      </c>
      <c r="H23227" s="35">
        <v>24</v>
      </c>
      <c r="I23227" s="33" t="s">
        <v>51</v>
      </c>
      <c r="J23227" s="42">
        <v>45930</v>
      </c>
      <c r="K23227" s="33" t="s">
        <v>22</v>
      </c>
    </row>
    <row r="23228" spans="1:11">
      <c r="A23228" s="30" t="s">
        <v>51298</v>
      </c>
      <c r="B23228" s="30" t="s">
        <v>51299</v>
      </c>
      <c r="C23228" s="30" t="s">
        <v>647</v>
      </c>
      <c r="D23228" s="30" t="s">
        <v>17</v>
      </c>
      <c r="E23228" s="30" t="s">
        <v>26</v>
      </c>
      <c r="F23228" s="30" t="s">
        <v>27</v>
      </c>
      <c r="G23228" s="30" t="s">
        <v>20</v>
      </c>
      <c r="H23228" s="32">
        <v>20</v>
      </c>
      <c r="I23228" s="30" t="s">
        <v>21</v>
      </c>
      <c r="J23228" s="41">
        <v>45709</v>
      </c>
      <c r="K23228" s="30" t="s">
        <v>22</v>
      </c>
    </row>
    <row r="23229" spans="1:11">
      <c r="A23229" s="33" t="s">
        <v>51300</v>
      </c>
      <c r="B23229" s="33" t="s">
        <v>51301</v>
      </c>
      <c r="C23229" s="33" t="s">
        <v>12099</v>
      </c>
      <c r="D23229" s="33" t="s">
        <v>17</v>
      </c>
      <c r="E23229" s="33" t="s">
        <v>18</v>
      </c>
      <c r="F23229" s="33" t="s">
        <v>19</v>
      </c>
      <c r="G23229" s="33" t="s">
        <v>140</v>
      </c>
      <c r="H23229" s="35">
        <v>20000</v>
      </c>
      <c r="I23229" s="33" t="s">
        <v>51</v>
      </c>
      <c r="J23229" s="42">
        <v>45901</v>
      </c>
      <c r="K23229" s="33" t="s">
        <v>22</v>
      </c>
    </row>
    <row r="23230" spans="1:11">
      <c r="A23230" s="30" t="s">
        <v>51302</v>
      </c>
      <c r="B23230" s="30" t="s">
        <v>51303</v>
      </c>
      <c r="C23230" s="30" t="s">
        <v>178</v>
      </c>
      <c r="D23230" s="30" t="s">
        <v>17</v>
      </c>
      <c r="E23230" s="30" t="s">
        <v>26</v>
      </c>
      <c r="F23230" s="30" t="s">
        <v>27</v>
      </c>
      <c r="G23230" s="30" t="s">
        <v>20</v>
      </c>
      <c r="H23230" s="32">
        <v>36</v>
      </c>
      <c r="I23230" s="30" t="s">
        <v>21</v>
      </c>
      <c r="J23230" s="41">
        <v>45701</v>
      </c>
      <c r="K23230" s="30" t="s">
        <v>22</v>
      </c>
    </row>
    <row r="23231" spans="1:11">
      <c r="A23231" s="33" t="s">
        <v>51304</v>
      </c>
      <c r="B23231" s="33" t="s">
        <v>51305</v>
      </c>
      <c r="C23231" s="33" t="s">
        <v>8052</v>
      </c>
      <c r="D23231" s="33" t="s">
        <v>17</v>
      </c>
      <c r="E23231" s="33" t="s">
        <v>26</v>
      </c>
      <c r="F23231" s="33" t="s">
        <v>27</v>
      </c>
      <c r="G23231" s="33" t="s">
        <v>20</v>
      </c>
      <c r="H23231" s="35">
        <v>12</v>
      </c>
      <c r="I23231" s="33" t="s">
        <v>21</v>
      </c>
      <c r="J23231" s="42">
        <v>45708</v>
      </c>
      <c r="K23231" s="33" t="s">
        <v>22</v>
      </c>
    </row>
    <row r="23232" spans="1:11">
      <c r="A23232" s="30" t="s">
        <v>51306</v>
      </c>
      <c r="B23232" s="30" t="s">
        <v>51307</v>
      </c>
      <c r="C23232" s="30" t="s">
        <v>190</v>
      </c>
      <c r="D23232" s="30" t="s">
        <v>17</v>
      </c>
      <c r="E23232" s="30" t="s">
        <v>26</v>
      </c>
      <c r="F23232" s="30" t="s">
        <v>27</v>
      </c>
      <c r="G23232" s="30" t="s">
        <v>140</v>
      </c>
      <c r="H23232" s="32">
        <v>40</v>
      </c>
      <c r="I23232" s="30" t="s">
        <v>51</v>
      </c>
      <c r="J23232" s="41">
        <v>45869</v>
      </c>
      <c r="K23232" s="30" t="s">
        <v>22</v>
      </c>
    </row>
    <row r="23233" spans="1:11">
      <c r="A23233" s="33" t="s">
        <v>51308</v>
      </c>
      <c r="B23233" s="33" t="s">
        <v>51309</v>
      </c>
      <c r="C23233" s="33" t="s">
        <v>7544</v>
      </c>
      <c r="D23233" s="33" t="s">
        <v>17</v>
      </c>
      <c r="E23233" s="33" t="s">
        <v>18</v>
      </c>
      <c r="F23233" s="33" t="s">
        <v>19</v>
      </c>
      <c r="G23233" s="33" t="s">
        <v>158</v>
      </c>
      <c r="H23233" s="35">
        <v>327</v>
      </c>
      <c r="I23233" s="33" t="s">
        <v>21</v>
      </c>
      <c r="J23233" s="42">
        <v>45901</v>
      </c>
      <c r="K23233" s="33" t="s">
        <v>22</v>
      </c>
    </row>
    <row r="23234" spans="1:11">
      <c r="A23234" s="30" t="s">
        <v>51310</v>
      </c>
      <c r="B23234" s="30" t="s">
        <v>51311</v>
      </c>
      <c r="C23234" s="30" t="s">
        <v>36361</v>
      </c>
      <c r="D23234" s="30" t="s">
        <v>17</v>
      </c>
      <c r="E23234" s="30" t="s">
        <v>18</v>
      </c>
      <c r="F23234" s="30" t="s">
        <v>19</v>
      </c>
      <c r="G23234" s="30" t="s">
        <v>140</v>
      </c>
      <c r="H23234" s="32">
        <v>75</v>
      </c>
      <c r="I23234" s="30" t="s">
        <v>51</v>
      </c>
      <c r="J23234" s="41">
        <v>45838</v>
      </c>
      <c r="K23234" s="30" t="s">
        <v>22</v>
      </c>
    </row>
    <row r="23235" spans="1:11">
      <c r="A23235" s="33" t="s">
        <v>51312</v>
      </c>
      <c r="B23235" s="33" t="s">
        <v>51313</v>
      </c>
      <c r="C23235" s="33" t="s">
        <v>2753</v>
      </c>
      <c r="D23235" s="33" t="s">
        <v>17</v>
      </c>
      <c r="E23235" s="33" t="s">
        <v>18</v>
      </c>
      <c r="F23235" s="33" t="s">
        <v>19</v>
      </c>
      <c r="G23235" s="33" t="s">
        <v>158</v>
      </c>
      <c r="H23235" s="35">
        <v>153</v>
      </c>
      <c r="I23235" s="33" t="s">
        <v>51</v>
      </c>
      <c r="J23235" s="42">
        <v>45806</v>
      </c>
      <c r="K23235" s="33" t="s">
        <v>22</v>
      </c>
    </row>
    <row r="23236" spans="1:11">
      <c r="A23236" s="30" t="s">
        <v>51314</v>
      </c>
      <c r="B23236" s="30" t="s">
        <v>51315</v>
      </c>
      <c r="C23236" s="30" t="s">
        <v>570</v>
      </c>
      <c r="D23236" s="30" t="s">
        <v>17</v>
      </c>
      <c r="E23236" s="30" t="s">
        <v>31</v>
      </c>
      <c r="F23236" s="30" t="s">
        <v>32</v>
      </c>
      <c r="G23236" s="30" t="s">
        <v>140</v>
      </c>
      <c r="H23236" s="32">
        <v>160</v>
      </c>
      <c r="I23236" s="30" t="s">
        <v>51</v>
      </c>
      <c r="J23236" s="41">
        <v>45912</v>
      </c>
      <c r="K23236" s="30" t="s">
        <v>22</v>
      </c>
    </row>
    <row r="23237" spans="1:11">
      <c r="A23237" s="33" t="s">
        <v>51316</v>
      </c>
      <c r="B23237" s="33" t="s">
        <v>51317</v>
      </c>
      <c r="C23237" s="33" t="s">
        <v>8271</v>
      </c>
      <c r="D23237" s="33" t="s">
        <v>17</v>
      </c>
      <c r="E23237" s="33" t="s">
        <v>26</v>
      </c>
      <c r="F23237" s="33" t="s">
        <v>27</v>
      </c>
      <c r="G23237" s="33" t="s">
        <v>140</v>
      </c>
      <c r="H23237" s="35">
        <v>40</v>
      </c>
      <c r="I23237" s="33" t="s">
        <v>51</v>
      </c>
      <c r="J23237" s="42">
        <v>45672</v>
      </c>
      <c r="K23237" s="33" t="s">
        <v>22</v>
      </c>
    </row>
    <row r="23238" spans="1:11">
      <c r="A23238" s="30" t="s">
        <v>51318</v>
      </c>
      <c r="B23238" s="30" t="s">
        <v>51319</v>
      </c>
      <c r="C23238" s="30" t="s">
        <v>31844</v>
      </c>
      <c r="D23238" s="30" t="s">
        <v>17</v>
      </c>
      <c r="E23238" s="30" t="s">
        <v>31</v>
      </c>
      <c r="F23238" s="30" t="s">
        <v>32</v>
      </c>
      <c r="G23238" s="30" t="s">
        <v>140</v>
      </c>
      <c r="H23238" s="32">
        <v>80</v>
      </c>
      <c r="I23238" s="30" t="s">
        <v>51</v>
      </c>
      <c r="J23238" s="41">
        <v>45941</v>
      </c>
      <c r="K23238" s="30" t="s">
        <v>22</v>
      </c>
    </row>
    <row r="23239" spans="1:11">
      <c r="A23239" s="33" t="s">
        <v>51320</v>
      </c>
      <c r="B23239" s="33" t="s">
        <v>51321</v>
      </c>
      <c r="C23239" s="33" t="s">
        <v>647</v>
      </c>
      <c r="D23239" s="33" t="s">
        <v>17</v>
      </c>
      <c r="E23239" s="33" t="s">
        <v>18</v>
      </c>
      <c r="F23239" s="33" t="s">
        <v>19</v>
      </c>
      <c r="G23239" s="33" t="s">
        <v>140</v>
      </c>
      <c r="H23239" s="35">
        <v>675</v>
      </c>
      <c r="I23239" s="33" t="s">
        <v>51</v>
      </c>
      <c r="J23239" s="42">
        <v>45938</v>
      </c>
      <c r="K23239" s="33" t="s">
        <v>22</v>
      </c>
    </row>
    <row r="23240" spans="1:11">
      <c r="A23240" s="30" t="s">
        <v>51322</v>
      </c>
      <c r="B23240" s="30" t="s">
        <v>51323</v>
      </c>
      <c r="C23240" s="30" t="s">
        <v>517</v>
      </c>
      <c r="D23240" s="30" t="s">
        <v>17</v>
      </c>
      <c r="E23240" s="30" t="s">
        <v>26</v>
      </c>
      <c r="F23240" s="30" t="s">
        <v>27</v>
      </c>
      <c r="G23240" s="30" t="s">
        <v>7780</v>
      </c>
      <c r="H23240" s="32">
        <v>44</v>
      </c>
      <c r="I23240" s="30" t="s">
        <v>51</v>
      </c>
      <c r="J23240" s="41">
        <v>45992</v>
      </c>
      <c r="K23240" s="30" t="s">
        <v>22</v>
      </c>
    </row>
    <row r="23241" spans="1:11">
      <c r="A23241" s="33" t="s">
        <v>51324</v>
      </c>
      <c r="B23241" s="33" t="s">
        <v>51325</v>
      </c>
      <c r="C23241" s="33" t="s">
        <v>29294</v>
      </c>
      <c r="D23241" s="33" t="s">
        <v>17</v>
      </c>
      <c r="E23241" s="33" t="s">
        <v>45</v>
      </c>
      <c r="F23241" s="33" t="s">
        <v>46</v>
      </c>
      <c r="G23241" s="33" t="s">
        <v>140</v>
      </c>
      <c r="H23241" s="35">
        <v>129</v>
      </c>
      <c r="I23241" s="33" t="s">
        <v>51</v>
      </c>
      <c r="J23241" s="42">
        <v>46001</v>
      </c>
      <c r="K23241" s="33" t="s">
        <v>22</v>
      </c>
    </row>
    <row r="23242" spans="1:11">
      <c r="A23242" s="30" t="s">
        <v>51326</v>
      </c>
      <c r="B23242" s="30" t="s">
        <v>51327</v>
      </c>
      <c r="C23242" s="30" t="s">
        <v>48460</v>
      </c>
      <c r="D23242" s="30" t="s">
        <v>17</v>
      </c>
      <c r="E23242" s="30" t="s">
        <v>26</v>
      </c>
      <c r="F23242" s="30" t="s">
        <v>27</v>
      </c>
      <c r="G23242" s="30" t="s">
        <v>140</v>
      </c>
      <c r="H23242" s="32">
        <v>30</v>
      </c>
      <c r="I23242" s="30" t="s">
        <v>51</v>
      </c>
      <c r="J23242" s="41">
        <v>45848</v>
      </c>
      <c r="K23242" s="30" t="s">
        <v>22</v>
      </c>
    </row>
    <row r="23243" spans="1:11">
      <c r="A23243" s="33" t="s">
        <v>51328</v>
      </c>
      <c r="B23243" s="33" t="s">
        <v>51329</v>
      </c>
      <c r="C23243" s="33" t="s">
        <v>75</v>
      </c>
      <c r="D23243" s="33" t="s">
        <v>17</v>
      </c>
      <c r="E23243" s="33" t="s">
        <v>18</v>
      </c>
      <c r="F23243" s="33" t="s">
        <v>19</v>
      </c>
      <c r="G23243" s="33" t="s">
        <v>140</v>
      </c>
      <c r="H23243" s="35">
        <v>530</v>
      </c>
      <c r="I23243" s="33" t="s">
        <v>51</v>
      </c>
      <c r="J23243" s="42">
        <v>45713</v>
      </c>
      <c r="K23243" s="33" t="s">
        <v>22</v>
      </c>
    </row>
    <row r="23244" spans="1:11">
      <c r="A23244" s="30" t="s">
        <v>51330</v>
      </c>
      <c r="B23244" s="30" t="s">
        <v>51331</v>
      </c>
      <c r="C23244" s="30" t="s">
        <v>96</v>
      </c>
      <c r="D23244" s="30" t="s">
        <v>17</v>
      </c>
      <c r="E23244" s="30" t="s">
        <v>18</v>
      </c>
      <c r="F23244" s="30" t="s">
        <v>19</v>
      </c>
      <c r="G23244" s="30" t="s">
        <v>140</v>
      </c>
      <c r="H23244" s="32">
        <v>3501</v>
      </c>
      <c r="I23244" s="30" t="s">
        <v>51</v>
      </c>
      <c r="J23244" s="41">
        <v>46010</v>
      </c>
      <c r="K23244" s="30" t="s">
        <v>22</v>
      </c>
    </row>
    <row r="23245" spans="1:11">
      <c r="A23245" s="33" t="s">
        <v>51332</v>
      </c>
      <c r="B23245" s="33" t="s">
        <v>51333</v>
      </c>
      <c r="C23245" s="33" t="s">
        <v>1210</v>
      </c>
      <c r="D23245" s="33" t="s">
        <v>17</v>
      </c>
      <c r="E23245" s="33" t="s">
        <v>31</v>
      </c>
      <c r="F23245" s="33" t="s">
        <v>32</v>
      </c>
      <c r="G23245" s="33" t="s">
        <v>140</v>
      </c>
      <c r="H23245" s="35">
        <v>14</v>
      </c>
      <c r="I23245" s="33" t="s">
        <v>51</v>
      </c>
      <c r="J23245" s="42">
        <v>45980</v>
      </c>
      <c r="K23245" s="33" t="s">
        <v>22</v>
      </c>
    </row>
    <row r="23246" spans="1:11">
      <c r="A23246" s="30" t="s">
        <v>51334</v>
      </c>
      <c r="B23246" s="30" t="s">
        <v>51335</v>
      </c>
      <c r="C23246" s="30" t="s">
        <v>252</v>
      </c>
      <c r="D23246" s="30" t="s">
        <v>17</v>
      </c>
      <c r="E23246" s="30" t="s">
        <v>26</v>
      </c>
      <c r="F23246" s="30" t="s">
        <v>27</v>
      </c>
      <c r="G23246" s="30" t="s">
        <v>140</v>
      </c>
      <c r="H23246" s="32">
        <v>200</v>
      </c>
      <c r="I23246" s="30" t="s">
        <v>51</v>
      </c>
      <c r="J23246" s="41">
        <v>45876</v>
      </c>
      <c r="K23246" s="30" t="s">
        <v>22</v>
      </c>
    </row>
    <row r="23247" spans="1:11">
      <c r="A23247" s="33" t="s">
        <v>51336</v>
      </c>
      <c r="B23247" s="33" t="s">
        <v>51337</v>
      </c>
      <c r="C23247" s="33" t="s">
        <v>701</v>
      </c>
      <c r="D23247" s="33" t="s">
        <v>17</v>
      </c>
      <c r="E23247" s="33" t="s">
        <v>18</v>
      </c>
      <c r="F23247" s="33" t="s">
        <v>19</v>
      </c>
      <c r="G23247" s="33" t="s">
        <v>158</v>
      </c>
      <c r="H23247" s="35">
        <v>439</v>
      </c>
      <c r="I23247" s="33" t="s">
        <v>21</v>
      </c>
      <c r="J23247" s="42">
        <v>45755</v>
      </c>
      <c r="K23247" s="33" t="s">
        <v>22</v>
      </c>
    </row>
    <row r="23248" spans="1:11">
      <c r="A23248" s="30" t="s">
        <v>51338</v>
      </c>
      <c r="B23248" s="30" t="s">
        <v>51339</v>
      </c>
      <c r="C23248" s="30" t="s">
        <v>647</v>
      </c>
      <c r="D23248" s="30" t="s">
        <v>17</v>
      </c>
      <c r="E23248" s="30" t="s">
        <v>26</v>
      </c>
      <c r="F23248" s="30" t="s">
        <v>27</v>
      </c>
      <c r="G23248" s="30" t="s">
        <v>20</v>
      </c>
      <c r="H23248" s="32">
        <v>46</v>
      </c>
      <c r="I23248" s="30" t="s">
        <v>21</v>
      </c>
      <c r="J23248" s="41">
        <v>45922</v>
      </c>
      <c r="K23248" s="30" t="s">
        <v>22</v>
      </c>
    </row>
    <row r="23249" spans="1:11">
      <c r="A23249" s="33" t="s">
        <v>51340</v>
      </c>
      <c r="B23249" s="33" t="s">
        <v>51341</v>
      </c>
      <c r="C23249" s="33" t="s">
        <v>3673</v>
      </c>
      <c r="D23249" s="33" t="s">
        <v>17</v>
      </c>
      <c r="E23249" s="33" t="s">
        <v>31</v>
      </c>
      <c r="F23249" s="33" t="s">
        <v>32</v>
      </c>
      <c r="G23249" s="33" t="s">
        <v>140</v>
      </c>
      <c r="H23249" s="35">
        <v>144</v>
      </c>
      <c r="I23249" s="33" t="s">
        <v>51</v>
      </c>
      <c r="J23249" s="42">
        <v>45883</v>
      </c>
      <c r="K23249" s="33" t="s">
        <v>22</v>
      </c>
    </row>
    <row r="23250" spans="1:11">
      <c r="A23250" s="30" t="s">
        <v>51342</v>
      </c>
      <c r="B23250" s="30" t="s">
        <v>51343</v>
      </c>
      <c r="C23250" s="30" t="s">
        <v>178</v>
      </c>
      <c r="D23250" s="30" t="s">
        <v>17</v>
      </c>
      <c r="E23250" s="30" t="s">
        <v>212</v>
      </c>
      <c r="F23250" s="30" t="s">
        <v>213</v>
      </c>
      <c r="G23250" s="30" t="s">
        <v>158</v>
      </c>
      <c r="H23250" s="32">
        <v>60</v>
      </c>
      <c r="I23250" s="30" t="s">
        <v>51</v>
      </c>
      <c r="J23250" s="41">
        <v>45842</v>
      </c>
      <c r="K23250" s="30" t="s">
        <v>22</v>
      </c>
    </row>
    <row r="23251" spans="1:11">
      <c r="A23251" s="33" t="s">
        <v>51344</v>
      </c>
      <c r="B23251" s="33" t="s">
        <v>51345</v>
      </c>
      <c r="C23251" s="33" t="s">
        <v>4348</v>
      </c>
      <c r="D23251" s="33" t="s">
        <v>17</v>
      </c>
      <c r="E23251" s="33" t="s">
        <v>45</v>
      </c>
      <c r="F23251" s="33" t="s">
        <v>46</v>
      </c>
      <c r="G23251" s="33" t="s">
        <v>140</v>
      </c>
      <c r="H23251" s="35">
        <v>120</v>
      </c>
      <c r="I23251" s="33" t="s">
        <v>51</v>
      </c>
      <c r="J23251" s="42">
        <v>45813</v>
      </c>
      <c r="K23251" s="33" t="s">
        <v>22</v>
      </c>
    </row>
    <row r="23252" spans="1:11">
      <c r="A23252" s="30" t="s">
        <v>51346</v>
      </c>
      <c r="B23252" s="30" t="s">
        <v>51347</v>
      </c>
      <c r="C23252" s="30" t="s">
        <v>20363</v>
      </c>
      <c r="D23252" s="30" t="s">
        <v>17</v>
      </c>
      <c r="E23252" s="30" t="s">
        <v>31</v>
      </c>
      <c r="F23252" s="30" t="s">
        <v>32</v>
      </c>
      <c r="G23252" s="30" t="s">
        <v>140</v>
      </c>
      <c r="H23252" s="32">
        <v>230</v>
      </c>
      <c r="I23252" s="30" t="s">
        <v>51</v>
      </c>
      <c r="J23252" s="41">
        <v>46013</v>
      </c>
      <c r="K23252" s="30" t="s">
        <v>22</v>
      </c>
    </row>
    <row r="23253" spans="1:11">
      <c r="A23253" s="33" t="s">
        <v>51348</v>
      </c>
      <c r="B23253" s="33" t="s">
        <v>51349</v>
      </c>
      <c r="C23253" s="33" t="s">
        <v>44</v>
      </c>
      <c r="D23253" s="33" t="s">
        <v>17</v>
      </c>
      <c r="E23253" s="33" t="s">
        <v>26</v>
      </c>
      <c r="F23253" s="33" t="s">
        <v>27</v>
      </c>
      <c r="G23253" s="33" t="s">
        <v>20</v>
      </c>
      <c r="H23253" s="35">
        <v>32</v>
      </c>
      <c r="I23253" s="33" t="s">
        <v>21</v>
      </c>
      <c r="J23253" s="42">
        <v>45684</v>
      </c>
      <c r="K23253" s="33" t="s">
        <v>22</v>
      </c>
    </row>
    <row r="23254" spans="1:11">
      <c r="A23254" s="30" t="s">
        <v>51350</v>
      </c>
      <c r="B23254" s="30" t="s">
        <v>51351</v>
      </c>
      <c r="C23254" s="30" t="s">
        <v>1090</v>
      </c>
      <c r="D23254" s="30" t="s">
        <v>17</v>
      </c>
      <c r="E23254" s="30" t="s">
        <v>26</v>
      </c>
      <c r="F23254" s="30" t="s">
        <v>27</v>
      </c>
      <c r="G23254" s="30" t="s">
        <v>140</v>
      </c>
      <c r="H23254" s="32">
        <v>50</v>
      </c>
      <c r="I23254" s="30" t="s">
        <v>51</v>
      </c>
      <c r="J23254" s="41">
        <v>45665</v>
      </c>
      <c r="K23254" s="30" t="s">
        <v>22</v>
      </c>
    </row>
    <row r="23255" spans="1:11">
      <c r="A23255" s="33" t="s">
        <v>51352</v>
      </c>
      <c r="B23255" s="33" t="s">
        <v>51353</v>
      </c>
      <c r="C23255" s="33" t="s">
        <v>51354</v>
      </c>
      <c r="D23255" s="33" t="s">
        <v>17</v>
      </c>
      <c r="E23255" s="33" t="s">
        <v>26</v>
      </c>
      <c r="F23255" s="33" t="s">
        <v>27</v>
      </c>
      <c r="G23255" s="33" t="s">
        <v>20</v>
      </c>
      <c r="H23255" s="35">
        <v>9</v>
      </c>
      <c r="I23255" s="33" t="s">
        <v>21</v>
      </c>
      <c r="J23255" s="42">
        <v>45910</v>
      </c>
      <c r="K23255" s="33" t="s">
        <v>22</v>
      </c>
    </row>
    <row r="23256" spans="1:11">
      <c r="A23256" s="30" t="s">
        <v>51355</v>
      </c>
      <c r="B23256" s="30" t="s">
        <v>51356</v>
      </c>
      <c r="C23256" s="30" t="s">
        <v>1764</v>
      </c>
      <c r="D23256" s="30" t="s">
        <v>17</v>
      </c>
      <c r="E23256" s="30" t="s">
        <v>18</v>
      </c>
      <c r="F23256" s="30" t="s">
        <v>19</v>
      </c>
      <c r="G23256" s="30" t="s">
        <v>20</v>
      </c>
      <c r="H23256" s="32">
        <v>95</v>
      </c>
      <c r="I23256" s="30" t="s">
        <v>21</v>
      </c>
      <c r="J23256" s="41">
        <v>45720</v>
      </c>
      <c r="K23256" s="30" t="s">
        <v>22</v>
      </c>
    </row>
    <row r="23257" spans="1:11">
      <c r="A23257" s="33" t="s">
        <v>51357</v>
      </c>
      <c r="B23257" s="33" t="s">
        <v>51358</v>
      </c>
      <c r="C23257" s="33" t="s">
        <v>40619</v>
      </c>
      <c r="D23257" s="33" t="s">
        <v>17</v>
      </c>
      <c r="E23257" s="33" t="s">
        <v>212</v>
      </c>
      <c r="F23257" s="33" t="s">
        <v>213</v>
      </c>
      <c r="G23257" s="33" t="s">
        <v>140</v>
      </c>
      <c r="H23257" s="35">
        <v>50</v>
      </c>
      <c r="I23257" s="33" t="s">
        <v>51</v>
      </c>
      <c r="J23257" s="42">
        <v>45917</v>
      </c>
      <c r="K23257" s="33" t="s">
        <v>22</v>
      </c>
    </row>
    <row r="23258" spans="1:11">
      <c r="A23258" s="30" t="s">
        <v>51359</v>
      </c>
      <c r="B23258" s="30" t="s">
        <v>51360</v>
      </c>
      <c r="C23258" s="30" t="s">
        <v>149</v>
      </c>
      <c r="D23258" s="30" t="s">
        <v>17</v>
      </c>
      <c r="E23258" s="30" t="s">
        <v>26</v>
      </c>
      <c r="F23258" s="30" t="s">
        <v>27</v>
      </c>
      <c r="G23258" s="30" t="s">
        <v>20</v>
      </c>
      <c r="H23258" s="32">
        <v>36</v>
      </c>
      <c r="I23258" s="30" t="s">
        <v>21</v>
      </c>
      <c r="J23258" s="41">
        <v>45817</v>
      </c>
      <c r="K23258" s="30" t="s">
        <v>22</v>
      </c>
    </row>
    <row r="23259" spans="1:11">
      <c r="A23259" s="33" t="s">
        <v>51361</v>
      </c>
      <c r="B23259" s="33" t="s">
        <v>51362</v>
      </c>
      <c r="C23259" s="33" t="s">
        <v>252</v>
      </c>
      <c r="D23259" s="33" t="s">
        <v>17</v>
      </c>
      <c r="E23259" s="33" t="s">
        <v>26</v>
      </c>
      <c r="F23259" s="33" t="s">
        <v>27</v>
      </c>
      <c r="G23259" s="33" t="s">
        <v>140</v>
      </c>
      <c r="H23259" s="35">
        <v>200</v>
      </c>
      <c r="I23259" s="33" t="s">
        <v>51</v>
      </c>
      <c r="J23259" s="42">
        <v>45952</v>
      </c>
      <c r="K23259" s="33" t="s">
        <v>22</v>
      </c>
    </row>
    <row r="23260" spans="1:11">
      <c r="A23260" s="30" t="s">
        <v>51363</v>
      </c>
      <c r="B23260" s="30" t="s">
        <v>51364</v>
      </c>
      <c r="C23260" s="30" t="s">
        <v>32608</v>
      </c>
      <c r="D23260" s="30" t="s">
        <v>17</v>
      </c>
      <c r="E23260" s="30" t="s">
        <v>26</v>
      </c>
      <c r="F23260" s="30" t="s">
        <v>27</v>
      </c>
      <c r="G23260" s="30" t="s">
        <v>140</v>
      </c>
      <c r="H23260" s="32">
        <v>18</v>
      </c>
      <c r="I23260" s="30" t="s">
        <v>51</v>
      </c>
      <c r="J23260" s="41">
        <v>45729</v>
      </c>
      <c r="K23260" s="30" t="s">
        <v>22</v>
      </c>
    </row>
    <row r="23261" spans="1:11">
      <c r="A23261" s="33" t="s">
        <v>51365</v>
      </c>
      <c r="B23261" s="33" t="s">
        <v>51366</v>
      </c>
      <c r="C23261" s="33" t="s">
        <v>1469</v>
      </c>
      <c r="D23261" s="33" t="s">
        <v>17</v>
      </c>
      <c r="E23261" s="33" t="s">
        <v>212</v>
      </c>
      <c r="F23261" s="33" t="s">
        <v>213</v>
      </c>
      <c r="G23261" s="33" t="s">
        <v>20</v>
      </c>
      <c r="H23261" s="35">
        <v>32</v>
      </c>
      <c r="I23261" s="33" t="s">
        <v>21</v>
      </c>
      <c r="J23261" s="42">
        <v>45881</v>
      </c>
      <c r="K23261" s="33" t="s">
        <v>22</v>
      </c>
    </row>
    <row r="23262" spans="1:11">
      <c r="A23262" s="30" t="s">
        <v>51367</v>
      </c>
      <c r="B23262" s="30" t="s">
        <v>51368</v>
      </c>
      <c r="C23262" s="30" t="s">
        <v>22118</v>
      </c>
      <c r="D23262" s="30" t="s">
        <v>17</v>
      </c>
      <c r="E23262" s="30" t="s">
        <v>31</v>
      </c>
      <c r="F23262" s="30" t="s">
        <v>32</v>
      </c>
      <c r="G23262" s="30" t="s">
        <v>140</v>
      </c>
      <c r="H23262" s="32">
        <v>148</v>
      </c>
      <c r="I23262" s="30" t="s">
        <v>51</v>
      </c>
      <c r="J23262" s="41">
        <v>45911</v>
      </c>
      <c r="K23262" s="30" t="s">
        <v>22</v>
      </c>
    </row>
    <row r="23263" spans="1:11">
      <c r="A23263" s="33" t="s">
        <v>51369</v>
      </c>
      <c r="B23263" s="33" t="s">
        <v>51370</v>
      </c>
      <c r="C23263" s="33" t="s">
        <v>3429</v>
      </c>
      <c r="D23263" s="33" t="s">
        <v>17</v>
      </c>
      <c r="E23263" s="33" t="s">
        <v>26</v>
      </c>
      <c r="F23263" s="33" t="s">
        <v>27</v>
      </c>
      <c r="G23263" s="33" t="s">
        <v>20</v>
      </c>
      <c r="H23263" s="35">
        <v>32</v>
      </c>
      <c r="I23263" s="33" t="s">
        <v>21</v>
      </c>
      <c r="J23263" s="42">
        <v>45927</v>
      </c>
      <c r="K23263" s="33" t="s">
        <v>22</v>
      </c>
    </row>
    <row r="23264" spans="1:11">
      <c r="A23264" s="30" t="s">
        <v>51371</v>
      </c>
      <c r="B23264" s="30" t="s">
        <v>51372</v>
      </c>
      <c r="C23264" s="30" t="s">
        <v>51373</v>
      </c>
      <c r="D23264" s="30" t="s">
        <v>17</v>
      </c>
      <c r="E23264" s="30" t="s">
        <v>26</v>
      </c>
      <c r="F23264" s="30" t="s">
        <v>27</v>
      </c>
      <c r="G23264" s="30" t="s">
        <v>140</v>
      </c>
      <c r="H23264" s="32">
        <v>80</v>
      </c>
      <c r="I23264" s="30" t="s">
        <v>51</v>
      </c>
      <c r="J23264" s="41">
        <v>45986</v>
      </c>
      <c r="K23264" s="30" t="s">
        <v>22</v>
      </c>
    </row>
    <row r="23265" spans="1:11">
      <c r="A23265" s="33" t="s">
        <v>51374</v>
      </c>
      <c r="B23265" s="33" t="s">
        <v>51375</v>
      </c>
      <c r="C23265" s="33" t="s">
        <v>6255</v>
      </c>
      <c r="D23265" s="33" t="s">
        <v>17</v>
      </c>
      <c r="E23265" s="33" t="s">
        <v>67</v>
      </c>
      <c r="F23265" s="33" t="s">
        <v>68</v>
      </c>
      <c r="G23265" s="33" t="s">
        <v>140</v>
      </c>
      <c r="H23265" s="35">
        <v>72</v>
      </c>
      <c r="I23265" s="33" t="s">
        <v>51</v>
      </c>
      <c r="J23265" s="42">
        <v>45665</v>
      </c>
      <c r="K23265" s="33" t="s">
        <v>22</v>
      </c>
    </row>
    <row r="23266" spans="1:11">
      <c r="A23266" s="30" t="s">
        <v>51376</v>
      </c>
      <c r="B23266" s="30" t="s">
        <v>51377</v>
      </c>
      <c r="C23266" s="30" t="s">
        <v>25549</v>
      </c>
      <c r="D23266" s="30" t="s">
        <v>17</v>
      </c>
      <c r="E23266" s="30" t="s">
        <v>18</v>
      </c>
      <c r="F23266" s="30" t="s">
        <v>19</v>
      </c>
      <c r="G23266" s="30" t="s">
        <v>20</v>
      </c>
      <c r="H23266" s="32">
        <v>39</v>
      </c>
      <c r="I23266" s="30" t="s">
        <v>21</v>
      </c>
      <c r="J23266" s="41">
        <v>45664</v>
      </c>
      <c r="K23266" s="30" t="s">
        <v>22</v>
      </c>
    </row>
    <row r="23267" spans="1:11">
      <c r="A23267" s="33" t="s">
        <v>51378</v>
      </c>
      <c r="B23267" s="33" t="s">
        <v>51379</v>
      </c>
      <c r="C23267" s="33" t="s">
        <v>222</v>
      </c>
      <c r="D23267" s="33" t="s">
        <v>17</v>
      </c>
      <c r="E23267" s="33" t="s">
        <v>31</v>
      </c>
      <c r="F23267" s="33" t="s">
        <v>32</v>
      </c>
      <c r="G23267" s="33" t="s">
        <v>140</v>
      </c>
      <c r="H23267" s="35">
        <v>130</v>
      </c>
      <c r="I23267" s="33" t="s">
        <v>51</v>
      </c>
      <c r="J23267" s="42">
        <v>45856</v>
      </c>
      <c r="K23267" s="33" t="s">
        <v>22</v>
      </c>
    </row>
    <row r="23268" spans="1:11">
      <c r="A23268" s="30" t="s">
        <v>51380</v>
      </c>
      <c r="B23268" s="30" t="s">
        <v>51381</v>
      </c>
      <c r="C23268" s="30" t="s">
        <v>936</v>
      </c>
      <c r="D23268" s="30" t="s">
        <v>17</v>
      </c>
      <c r="E23268" s="30" t="s">
        <v>26</v>
      </c>
      <c r="F23268" s="30" t="s">
        <v>27</v>
      </c>
      <c r="G23268" s="30" t="s">
        <v>106</v>
      </c>
      <c r="H23268" s="32">
        <v>6</v>
      </c>
      <c r="I23268" s="30" t="s">
        <v>21</v>
      </c>
      <c r="J23268" s="41">
        <v>45790</v>
      </c>
      <c r="K23268" s="30" t="s">
        <v>22</v>
      </c>
    </row>
    <row r="23269" spans="1:11">
      <c r="A23269" s="33" t="s">
        <v>51382</v>
      </c>
      <c r="B23269" s="33" t="s">
        <v>51383</v>
      </c>
      <c r="C23269" s="33" t="s">
        <v>1422</v>
      </c>
      <c r="D23269" s="33" t="s">
        <v>17</v>
      </c>
      <c r="E23269" s="33" t="s">
        <v>67</v>
      </c>
      <c r="F23269" s="33" t="s">
        <v>68</v>
      </c>
      <c r="G23269" s="33" t="s">
        <v>140</v>
      </c>
      <c r="H23269" s="35">
        <v>645</v>
      </c>
      <c r="I23269" s="33" t="s">
        <v>51</v>
      </c>
      <c r="J23269" s="42">
        <v>45751</v>
      </c>
      <c r="K23269" s="33" t="s">
        <v>22</v>
      </c>
    </row>
    <row r="23270" spans="1:11">
      <c r="A23270" s="30" t="s">
        <v>51384</v>
      </c>
      <c r="B23270" s="30" t="s">
        <v>51385</v>
      </c>
      <c r="C23270" s="30" t="s">
        <v>75</v>
      </c>
      <c r="D23270" s="30" t="s">
        <v>17</v>
      </c>
      <c r="E23270" s="30" t="s">
        <v>67</v>
      </c>
      <c r="F23270" s="30" t="s">
        <v>68</v>
      </c>
      <c r="G23270" s="30" t="s">
        <v>140</v>
      </c>
      <c r="H23270" s="32">
        <v>252</v>
      </c>
      <c r="I23270" s="30" t="s">
        <v>51</v>
      </c>
      <c r="J23270" s="41">
        <v>45986</v>
      </c>
      <c r="K23270" s="30" t="s">
        <v>22</v>
      </c>
    </row>
    <row r="23271" spans="1:11">
      <c r="A23271" s="33" t="s">
        <v>51386</v>
      </c>
      <c r="B23271" s="33" t="s">
        <v>51387</v>
      </c>
      <c r="C23271" s="33" t="s">
        <v>75</v>
      </c>
      <c r="D23271" s="33" t="s">
        <v>17</v>
      </c>
      <c r="E23271" s="33" t="s">
        <v>26</v>
      </c>
      <c r="F23271" s="33" t="s">
        <v>27</v>
      </c>
      <c r="G23271" s="33" t="s">
        <v>158</v>
      </c>
      <c r="H23271" s="35">
        <v>10</v>
      </c>
      <c r="I23271" s="33" t="s">
        <v>51</v>
      </c>
      <c r="J23271" s="42">
        <v>45784</v>
      </c>
      <c r="K23271" s="33" t="s">
        <v>22</v>
      </c>
    </row>
    <row r="23272" spans="1:11">
      <c r="A23272" s="30" t="s">
        <v>51388</v>
      </c>
      <c r="B23272" s="30" t="s">
        <v>51389</v>
      </c>
      <c r="C23272" s="30" t="s">
        <v>310</v>
      </c>
      <c r="D23272" s="30" t="s">
        <v>17</v>
      </c>
      <c r="E23272" s="30" t="s">
        <v>26</v>
      </c>
      <c r="F23272" s="30" t="s">
        <v>27</v>
      </c>
      <c r="G23272" s="30" t="s">
        <v>20</v>
      </c>
      <c r="H23272" s="32">
        <v>100</v>
      </c>
      <c r="I23272" s="30" t="s">
        <v>21</v>
      </c>
      <c r="J23272" s="41">
        <v>45870</v>
      </c>
      <c r="K23272" s="30" t="s">
        <v>22</v>
      </c>
    </row>
    <row r="23273" spans="1:11">
      <c r="A23273" s="33" t="s">
        <v>51390</v>
      </c>
      <c r="B23273" s="33" t="s">
        <v>51391</v>
      </c>
      <c r="C23273" s="33" t="s">
        <v>787</v>
      </c>
      <c r="D23273" s="33" t="s">
        <v>17</v>
      </c>
      <c r="E23273" s="33" t="s">
        <v>67</v>
      </c>
      <c r="F23273" s="33" t="s">
        <v>68</v>
      </c>
      <c r="G23273" s="33" t="s">
        <v>7780</v>
      </c>
      <c r="H23273" s="35">
        <v>68</v>
      </c>
      <c r="I23273" s="33" t="s">
        <v>51</v>
      </c>
      <c r="J23273" s="42">
        <v>45689</v>
      </c>
      <c r="K23273" s="33" t="s">
        <v>22</v>
      </c>
    </row>
    <row r="23274" spans="1:11">
      <c r="A23274" s="30" t="s">
        <v>51392</v>
      </c>
      <c r="B23274" s="30" t="s">
        <v>51393</v>
      </c>
      <c r="C23274" s="30" t="s">
        <v>51394</v>
      </c>
      <c r="D23274" s="30" t="s">
        <v>17</v>
      </c>
      <c r="E23274" s="30" t="s">
        <v>67</v>
      </c>
      <c r="F23274" s="30" t="s">
        <v>68</v>
      </c>
      <c r="G23274" s="30" t="s">
        <v>158</v>
      </c>
      <c r="H23274" s="32">
        <v>45</v>
      </c>
      <c r="I23274" s="30" t="s">
        <v>21</v>
      </c>
      <c r="J23274" s="41">
        <v>45855</v>
      </c>
      <c r="K23274" s="30" t="s">
        <v>22</v>
      </c>
    </row>
    <row r="23275" spans="1:11">
      <c r="A23275" s="33" t="s">
        <v>51395</v>
      </c>
      <c r="B23275" s="33" t="s">
        <v>51396</v>
      </c>
      <c r="C23275" s="33" t="s">
        <v>41189</v>
      </c>
      <c r="D23275" s="33" t="s">
        <v>17</v>
      </c>
      <c r="E23275" s="33" t="s">
        <v>26</v>
      </c>
      <c r="F23275" s="33" t="s">
        <v>27</v>
      </c>
      <c r="G23275" s="33" t="s">
        <v>140</v>
      </c>
      <c r="H23275" s="35">
        <v>448</v>
      </c>
      <c r="I23275" s="33" t="s">
        <v>51</v>
      </c>
      <c r="J23275" s="42">
        <v>45721</v>
      </c>
      <c r="K23275" s="33" t="s">
        <v>22</v>
      </c>
    </row>
    <row r="23276" spans="1:11">
      <c r="A23276" s="30" t="s">
        <v>51397</v>
      </c>
      <c r="B23276" s="30" t="s">
        <v>51398</v>
      </c>
      <c r="C23276" s="30" t="s">
        <v>310</v>
      </c>
      <c r="D23276" s="30" t="s">
        <v>17</v>
      </c>
      <c r="E23276" s="30" t="s">
        <v>26</v>
      </c>
      <c r="F23276" s="30" t="s">
        <v>27</v>
      </c>
      <c r="G23276" s="30" t="s">
        <v>140</v>
      </c>
      <c r="H23276" s="32">
        <v>36</v>
      </c>
      <c r="I23276" s="30" t="s">
        <v>51</v>
      </c>
      <c r="J23276" s="41">
        <v>45953</v>
      </c>
      <c r="K23276" s="30" t="s">
        <v>22</v>
      </c>
    </row>
    <row r="23277" spans="1:11">
      <c r="A23277" s="33" t="s">
        <v>51399</v>
      </c>
      <c r="B23277" s="33" t="s">
        <v>51400</v>
      </c>
      <c r="C23277" s="33" t="s">
        <v>3957</v>
      </c>
      <c r="D23277" s="33" t="s">
        <v>17</v>
      </c>
      <c r="E23277" s="33" t="s">
        <v>67</v>
      </c>
      <c r="F23277" s="33" t="s">
        <v>68</v>
      </c>
      <c r="G23277" s="33" t="s">
        <v>140</v>
      </c>
      <c r="H23277" s="35">
        <v>120</v>
      </c>
      <c r="I23277" s="33" t="s">
        <v>51</v>
      </c>
      <c r="J23277" s="42">
        <v>45813</v>
      </c>
      <c r="K23277" s="33" t="s">
        <v>22</v>
      </c>
    </row>
    <row r="23278" spans="1:11">
      <c r="A23278" s="30" t="s">
        <v>51401</v>
      </c>
      <c r="B23278" s="30" t="s">
        <v>51402</v>
      </c>
      <c r="C23278" s="30" t="s">
        <v>4348</v>
      </c>
      <c r="D23278" s="30" t="s">
        <v>17</v>
      </c>
      <c r="E23278" s="30" t="s">
        <v>26</v>
      </c>
      <c r="F23278" s="30" t="s">
        <v>27</v>
      </c>
      <c r="G23278" s="30" t="s">
        <v>140</v>
      </c>
      <c r="H23278" s="32">
        <v>54</v>
      </c>
      <c r="I23278" s="30" t="s">
        <v>51</v>
      </c>
      <c r="J23278" s="41">
        <v>45733</v>
      </c>
      <c r="K23278" s="30" t="s">
        <v>22</v>
      </c>
    </row>
    <row r="23279" spans="1:11">
      <c r="A23279" s="33" t="s">
        <v>51403</v>
      </c>
      <c r="B23279" s="33" t="s">
        <v>51404</v>
      </c>
      <c r="C23279" s="33" t="s">
        <v>51405</v>
      </c>
      <c r="D23279" s="33" t="s">
        <v>17</v>
      </c>
      <c r="E23279" s="33" t="s">
        <v>31</v>
      </c>
      <c r="F23279" s="33" t="s">
        <v>32</v>
      </c>
      <c r="G23279" s="33" t="s">
        <v>140</v>
      </c>
      <c r="H23279" s="35">
        <v>192</v>
      </c>
      <c r="I23279" s="33" t="s">
        <v>51</v>
      </c>
      <c r="J23279" s="42">
        <v>45743</v>
      </c>
      <c r="K23279" s="33" t="s">
        <v>22</v>
      </c>
    </row>
    <row r="23280" spans="1:11">
      <c r="A23280" s="30" t="s">
        <v>51406</v>
      </c>
      <c r="B23280" s="30" t="s">
        <v>51407</v>
      </c>
      <c r="C23280" s="30" t="s">
        <v>51408</v>
      </c>
      <c r="D23280" s="30" t="s">
        <v>17</v>
      </c>
      <c r="E23280" s="30" t="s">
        <v>26</v>
      </c>
      <c r="F23280" s="30" t="s">
        <v>27</v>
      </c>
      <c r="G23280" s="30" t="s">
        <v>158</v>
      </c>
      <c r="H23280" s="32">
        <v>134</v>
      </c>
      <c r="I23280" s="30" t="s">
        <v>51</v>
      </c>
      <c r="J23280" s="41">
        <v>45867</v>
      </c>
      <c r="K23280" s="30" t="s">
        <v>22</v>
      </c>
    </row>
    <row r="23281" spans="1:11">
      <c r="A23281" s="33" t="s">
        <v>51409</v>
      </c>
      <c r="B23281" s="33" t="s">
        <v>51410</v>
      </c>
      <c r="C23281" s="33" t="s">
        <v>3676</v>
      </c>
      <c r="D23281" s="33" t="s">
        <v>17</v>
      </c>
      <c r="E23281" s="33" t="s">
        <v>31</v>
      </c>
      <c r="F23281" s="33" t="s">
        <v>32</v>
      </c>
      <c r="G23281" s="33" t="s">
        <v>140</v>
      </c>
      <c r="H23281" s="35">
        <v>250</v>
      </c>
      <c r="I23281" s="33" t="s">
        <v>51</v>
      </c>
      <c r="J23281" s="42">
        <v>45845</v>
      </c>
      <c r="K23281" s="33" t="s">
        <v>22</v>
      </c>
    </row>
    <row r="23282" spans="1:11">
      <c r="A23282" s="30" t="s">
        <v>51411</v>
      </c>
      <c r="B23282" s="30" t="s">
        <v>51412</v>
      </c>
      <c r="C23282" s="30" t="s">
        <v>31995</v>
      </c>
      <c r="D23282" s="30" t="s">
        <v>17</v>
      </c>
      <c r="E23282" s="30" t="s">
        <v>18</v>
      </c>
      <c r="F23282" s="30" t="s">
        <v>19</v>
      </c>
      <c r="G23282" s="30" t="s">
        <v>140</v>
      </c>
      <c r="H23282" s="32">
        <v>990</v>
      </c>
      <c r="I23282" s="30" t="s">
        <v>51</v>
      </c>
      <c r="J23282" s="41">
        <v>45890</v>
      </c>
      <c r="K23282" s="30" t="s">
        <v>22</v>
      </c>
    </row>
    <row r="23283" spans="1:11">
      <c r="A23283" s="33" t="s">
        <v>51413</v>
      </c>
      <c r="B23283" s="33" t="s">
        <v>51414</v>
      </c>
      <c r="C23283" s="33" t="s">
        <v>19406</v>
      </c>
      <c r="D23283" s="33" t="s">
        <v>17</v>
      </c>
      <c r="E23283" s="33" t="s">
        <v>26</v>
      </c>
      <c r="F23283" s="33" t="s">
        <v>27</v>
      </c>
      <c r="G23283" s="33" t="s">
        <v>140</v>
      </c>
      <c r="H23283" s="35">
        <v>100</v>
      </c>
      <c r="I23283" s="33" t="s">
        <v>51</v>
      </c>
      <c r="J23283" s="42">
        <v>45783</v>
      </c>
      <c r="K23283" s="33" t="s">
        <v>22</v>
      </c>
    </row>
    <row r="23284" spans="1:11">
      <c r="A23284" s="30" t="s">
        <v>51415</v>
      </c>
      <c r="B23284" s="30" t="s">
        <v>51416</v>
      </c>
      <c r="C23284" s="30" t="s">
        <v>3775</v>
      </c>
      <c r="D23284" s="30" t="s">
        <v>17</v>
      </c>
      <c r="E23284" s="30" t="s">
        <v>31</v>
      </c>
      <c r="F23284" s="30" t="s">
        <v>32</v>
      </c>
      <c r="G23284" s="30" t="s">
        <v>140</v>
      </c>
      <c r="H23284" s="32">
        <v>120</v>
      </c>
      <c r="I23284" s="30" t="s">
        <v>51</v>
      </c>
      <c r="J23284" s="41">
        <v>45807</v>
      </c>
      <c r="K23284" s="30" t="s">
        <v>22</v>
      </c>
    </row>
    <row r="23285" spans="1:11">
      <c r="A23285" s="33" t="s">
        <v>51417</v>
      </c>
      <c r="B23285" s="33" t="s">
        <v>51418</v>
      </c>
      <c r="C23285" s="33" t="s">
        <v>3892</v>
      </c>
      <c r="D23285" s="33" t="s">
        <v>17</v>
      </c>
      <c r="E23285" s="33" t="s">
        <v>31</v>
      </c>
      <c r="F23285" s="33" t="s">
        <v>32</v>
      </c>
      <c r="G23285" s="33" t="s">
        <v>140</v>
      </c>
      <c r="H23285" s="35">
        <v>135</v>
      </c>
      <c r="I23285" s="33" t="s">
        <v>51</v>
      </c>
      <c r="J23285" s="42">
        <v>45911</v>
      </c>
      <c r="K23285" s="33" t="s">
        <v>22</v>
      </c>
    </row>
    <row r="23286" spans="1:11">
      <c r="A23286" s="30" t="s">
        <v>51419</v>
      </c>
      <c r="B23286" s="30" t="s">
        <v>51420</v>
      </c>
      <c r="C23286" s="30" t="s">
        <v>3775</v>
      </c>
      <c r="D23286" s="30" t="s">
        <v>17</v>
      </c>
      <c r="E23286" s="30" t="s">
        <v>26</v>
      </c>
      <c r="F23286" s="30" t="s">
        <v>27</v>
      </c>
      <c r="G23286" s="30" t="s">
        <v>20</v>
      </c>
      <c r="H23286" s="32">
        <v>60</v>
      </c>
      <c r="I23286" s="30" t="s">
        <v>21</v>
      </c>
      <c r="J23286" s="41">
        <v>45784</v>
      </c>
      <c r="K23286" s="30" t="s">
        <v>22</v>
      </c>
    </row>
    <row r="23287" spans="1:11">
      <c r="A23287" s="33" t="s">
        <v>51421</v>
      </c>
      <c r="B23287" s="33" t="s">
        <v>51422</v>
      </c>
      <c r="C23287" s="33" t="s">
        <v>51423</v>
      </c>
      <c r="D23287" s="33" t="s">
        <v>17</v>
      </c>
      <c r="E23287" s="33" t="s">
        <v>67</v>
      </c>
      <c r="F23287" s="33" t="s">
        <v>68</v>
      </c>
      <c r="G23287" s="33" t="s">
        <v>140</v>
      </c>
      <c r="H23287" s="35">
        <v>110</v>
      </c>
      <c r="I23287" s="33" t="s">
        <v>51</v>
      </c>
      <c r="J23287" s="42">
        <v>45866</v>
      </c>
      <c r="K23287" s="33" t="s">
        <v>22</v>
      </c>
    </row>
    <row r="23288" spans="1:11">
      <c r="A23288" s="30" t="s">
        <v>51424</v>
      </c>
      <c r="B23288" s="30" t="s">
        <v>51425</v>
      </c>
      <c r="C23288" s="30" t="s">
        <v>570</v>
      </c>
      <c r="D23288" s="30" t="s">
        <v>17</v>
      </c>
      <c r="E23288" s="30" t="s">
        <v>67</v>
      </c>
      <c r="F23288" s="30" t="s">
        <v>68</v>
      </c>
      <c r="G23288" s="30" t="s">
        <v>7780</v>
      </c>
      <c r="H23288" s="32">
        <v>212</v>
      </c>
      <c r="I23288" s="30" t="s">
        <v>51</v>
      </c>
      <c r="J23288" s="41">
        <v>45839</v>
      </c>
      <c r="K23288" s="30" t="s">
        <v>22</v>
      </c>
    </row>
    <row r="23289" spans="1:11">
      <c r="A23289" s="33" t="s">
        <v>51426</v>
      </c>
      <c r="B23289" s="33" t="s">
        <v>51427</v>
      </c>
      <c r="C23289" s="33" t="s">
        <v>60</v>
      </c>
      <c r="D23289" s="33" t="s">
        <v>17</v>
      </c>
      <c r="E23289" s="33" t="s">
        <v>26</v>
      </c>
      <c r="F23289" s="33" t="s">
        <v>27</v>
      </c>
      <c r="G23289" s="33" t="s">
        <v>20</v>
      </c>
      <c r="H23289" s="35">
        <v>32</v>
      </c>
      <c r="I23289" s="33" t="s">
        <v>21</v>
      </c>
      <c r="J23289" s="42">
        <v>45820</v>
      </c>
      <c r="K23289" s="33" t="s">
        <v>22</v>
      </c>
    </row>
    <row r="23290" spans="1:11">
      <c r="A23290" s="30" t="s">
        <v>51428</v>
      </c>
      <c r="B23290" s="30" t="s">
        <v>51429</v>
      </c>
      <c r="C23290" s="30" t="s">
        <v>75</v>
      </c>
      <c r="D23290" s="30" t="s">
        <v>17</v>
      </c>
      <c r="E23290" s="30" t="s">
        <v>26</v>
      </c>
      <c r="F23290" s="30" t="s">
        <v>27</v>
      </c>
      <c r="G23290" s="30" t="s">
        <v>20</v>
      </c>
      <c r="H23290" s="32">
        <v>85</v>
      </c>
      <c r="I23290" s="30" t="s">
        <v>21</v>
      </c>
      <c r="J23290" s="41">
        <v>45735</v>
      </c>
      <c r="K23290" s="30" t="s">
        <v>22</v>
      </c>
    </row>
    <row r="23291" spans="1:11">
      <c r="A23291" s="33" t="s">
        <v>51430</v>
      </c>
      <c r="B23291" s="33" t="s">
        <v>51431</v>
      </c>
      <c r="C23291" s="33" t="s">
        <v>1571</v>
      </c>
      <c r="D23291" s="33" t="s">
        <v>17</v>
      </c>
      <c r="E23291" s="33" t="s">
        <v>26</v>
      </c>
      <c r="F23291" s="33" t="s">
        <v>27</v>
      </c>
      <c r="G23291" s="33" t="s">
        <v>20</v>
      </c>
      <c r="H23291" s="35">
        <v>39</v>
      </c>
      <c r="I23291" s="33" t="s">
        <v>21</v>
      </c>
      <c r="J23291" s="42">
        <v>45730</v>
      </c>
      <c r="K23291" s="33" t="s">
        <v>22</v>
      </c>
    </row>
    <row r="23292" spans="1:11">
      <c r="A23292" s="30" t="s">
        <v>51432</v>
      </c>
      <c r="B23292" s="30" t="s">
        <v>51433</v>
      </c>
      <c r="C23292" s="30" t="s">
        <v>14028</v>
      </c>
      <c r="D23292" s="30" t="s">
        <v>17</v>
      </c>
      <c r="E23292" s="30" t="s">
        <v>31</v>
      </c>
      <c r="F23292" s="30" t="s">
        <v>32</v>
      </c>
      <c r="G23292" s="30" t="s">
        <v>140</v>
      </c>
      <c r="H23292" s="32">
        <v>5</v>
      </c>
      <c r="I23292" s="30" t="s">
        <v>51</v>
      </c>
      <c r="J23292" s="41">
        <v>45796</v>
      </c>
      <c r="K23292" s="30" t="s">
        <v>22</v>
      </c>
    </row>
    <row r="23293" spans="1:11">
      <c r="A23293" s="33" t="s">
        <v>51434</v>
      </c>
      <c r="B23293" s="33" t="s">
        <v>51435</v>
      </c>
      <c r="C23293" s="33" t="s">
        <v>23241</v>
      </c>
      <c r="D23293" s="33" t="s">
        <v>17</v>
      </c>
      <c r="E23293" s="33" t="s">
        <v>26</v>
      </c>
      <c r="F23293" s="33" t="s">
        <v>27</v>
      </c>
      <c r="G23293" s="33" t="s">
        <v>20</v>
      </c>
      <c r="H23293" s="35">
        <v>30</v>
      </c>
      <c r="I23293" s="33" t="s">
        <v>21</v>
      </c>
      <c r="J23293" s="42">
        <v>45678</v>
      </c>
      <c r="K23293" s="33" t="s">
        <v>22</v>
      </c>
    </row>
    <row r="23294" spans="1:11">
      <c r="A23294" s="30" t="s">
        <v>51436</v>
      </c>
      <c r="B23294" s="30" t="s">
        <v>51437</v>
      </c>
      <c r="C23294" s="30" t="s">
        <v>399</v>
      </c>
      <c r="D23294" s="30" t="s">
        <v>17</v>
      </c>
      <c r="E23294" s="30" t="s">
        <v>18</v>
      </c>
      <c r="F23294" s="30" t="s">
        <v>19</v>
      </c>
      <c r="G23294" s="30" t="s">
        <v>140</v>
      </c>
      <c r="H23294" s="32">
        <v>120</v>
      </c>
      <c r="I23294" s="30" t="s">
        <v>51</v>
      </c>
      <c r="J23294" s="41">
        <v>45950</v>
      </c>
      <c r="K23294" s="30" t="s">
        <v>22</v>
      </c>
    </row>
    <row r="23295" spans="1:11">
      <c r="A23295" s="33" t="s">
        <v>51438</v>
      </c>
      <c r="B23295" s="33" t="s">
        <v>51439</v>
      </c>
      <c r="C23295" s="33" t="s">
        <v>109</v>
      </c>
      <c r="D23295" s="33" t="s">
        <v>17</v>
      </c>
      <c r="E23295" s="33" t="s">
        <v>18</v>
      </c>
      <c r="F23295" s="33" t="s">
        <v>19</v>
      </c>
      <c r="G23295" s="33" t="s">
        <v>140</v>
      </c>
      <c r="H23295" s="35">
        <v>348</v>
      </c>
      <c r="I23295" s="33" t="s">
        <v>51</v>
      </c>
      <c r="J23295" s="42">
        <v>45796</v>
      </c>
      <c r="K23295" s="33" t="s">
        <v>22</v>
      </c>
    </row>
    <row r="23296" spans="1:11">
      <c r="A23296" s="30" t="s">
        <v>51440</v>
      </c>
      <c r="B23296" s="30" t="s">
        <v>51441</v>
      </c>
      <c r="C23296" s="30" t="s">
        <v>1324</v>
      </c>
      <c r="D23296" s="30" t="s">
        <v>17</v>
      </c>
      <c r="E23296" s="30" t="s">
        <v>18</v>
      </c>
      <c r="F23296" s="30" t="s">
        <v>19</v>
      </c>
      <c r="G23296" s="30" t="s">
        <v>7780</v>
      </c>
      <c r="H23296" s="32">
        <v>96</v>
      </c>
      <c r="I23296" s="30" t="s">
        <v>51</v>
      </c>
      <c r="J23296" s="41">
        <v>45931</v>
      </c>
      <c r="K23296" s="30" t="s">
        <v>22</v>
      </c>
    </row>
    <row r="23297" spans="1:11">
      <c r="A23297" s="33" t="s">
        <v>51442</v>
      </c>
      <c r="B23297" s="33" t="s">
        <v>51443</v>
      </c>
      <c r="C23297" s="33" t="s">
        <v>1406</v>
      </c>
      <c r="D23297" s="33" t="s">
        <v>17</v>
      </c>
      <c r="E23297" s="33" t="s">
        <v>18</v>
      </c>
      <c r="F23297" s="33" t="s">
        <v>19</v>
      </c>
      <c r="G23297" s="33" t="s">
        <v>158</v>
      </c>
      <c r="H23297" s="35">
        <v>220</v>
      </c>
      <c r="I23297" s="33" t="s">
        <v>51</v>
      </c>
      <c r="J23297" s="42">
        <v>45793</v>
      </c>
      <c r="K23297" s="33" t="s">
        <v>22</v>
      </c>
    </row>
    <row r="23298" spans="1:11">
      <c r="A23298" s="30" t="s">
        <v>51444</v>
      </c>
      <c r="B23298" s="30" t="s">
        <v>51445</v>
      </c>
      <c r="C23298" s="30" t="s">
        <v>31562</v>
      </c>
      <c r="D23298" s="30" t="s">
        <v>17</v>
      </c>
      <c r="E23298" s="30" t="s">
        <v>26</v>
      </c>
      <c r="F23298" s="30" t="s">
        <v>27</v>
      </c>
      <c r="G23298" s="30" t="s">
        <v>140</v>
      </c>
      <c r="H23298" s="32">
        <v>502</v>
      </c>
      <c r="I23298" s="30" t="s">
        <v>51</v>
      </c>
      <c r="J23298" s="41">
        <v>45806</v>
      </c>
      <c r="K23298" s="30" t="s">
        <v>22</v>
      </c>
    </row>
    <row r="23299" spans="1:11">
      <c r="A23299" s="33" t="s">
        <v>51446</v>
      </c>
      <c r="B23299" s="33" t="s">
        <v>51447</v>
      </c>
      <c r="C23299" s="33" t="s">
        <v>18535</v>
      </c>
      <c r="D23299" s="33" t="s">
        <v>17</v>
      </c>
      <c r="E23299" s="33" t="s">
        <v>18</v>
      </c>
      <c r="F23299" s="33" t="s">
        <v>19</v>
      </c>
      <c r="G23299" s="33" t="s">
        <v>158</v>
      </c>
      <c r="H23299" s="35">
        <v>2</v>
      </c>
      <c r="I23299" s="33" t="s">
        <v>51</v>
      </c>
      <c r="J23299" s="42">
        <v>45986</v>
      </c>
      <c r="K23299" s="33" t="s">
        <v>22</v>
      </c>
    </row>
    <row r="23300" spans="1:11">
      <c r="A23300" s="30" t="s">
        <v>51448</v>
      </c>
      <c r="B23300" s="30" t="s">
        <v>51449</v>
      </c>
      <c r="C23300" s="30" t="s">
        <v>51450</v>
      </c>
      <c r="D23300" s="30" t="s">
        <v>17</v>
      </c>
      <c r="E23300" s="30" t="s">
        <v>26</v>
      </c>
      <c r="F23300" s="30" t="s">
        <v>27</v>
      </c>
      <c r="G23300" s="30" t="s">
        <v>140</v>
      </c>
      <c r="H23300" s="32">
        <v>115</v>
      </c>
      <c r="I23300" s="30" t="s">
        <v>51</v>
      </c>
      <c r="J23300" s="41">
        <v>45779</v>
      </c>
      <c r="K23300" s="30" t="s">
        <v>22</v>
      </c>
    </row>
    <row r="23301" spans="1:11">
      <c r="A23301" s="33" t="s">
        <v>51451</v>
      </c>
      <c r="B23301" s="33" t="s">
        <v>51452</v>
      </c>
      <c r="C23301" s="33" t="s">
        <v>12556</v>
      </c>
      <c r="D23301" s="33" t="s">
        <v>17</v>
      </c>
      <c r="E23301" s="33" t="s">
        <v>26</v>
      </c>
      <c r="F23301" s="33" t="s">
        <v>27</v>
      </c>
      <c r="G23301" s="33" t="s">
        <v>7780</v>
      </c>
      <c r="H23301" s="35">
        <v>56</v>
      </c>
      <c r="I23301" s="33" t="s">
        <v>51</v>
      </c>
      <c r="J23301" s="42">
        <v>45901</v>
      </c>
      <c r="K23301" s="33" t="s">
        <v>22</v>
      </c>
    </row>
    <row r="23302" spans="1:11">
      <c r="A23302" s="30" t="s">
        <v>51453</v>
      </c>
      <c r="B23302" s="30" t="s">
        <v>51454</v>
      </c>
      <c r="C23302" s="30" t="s">
        <v>12799</v>
      </c>
      <c r="D23302" s="30" t="s">
        <v>17</v>
      </c>
      <c r="E23302" s="30" t="s">
        <v>18</v>
      </c>
      <c r="F23302" s="30" t="s">
        <v>19</v>
      </c>
      <c r="G23302" s="30" t="s">
        <v>112</v>
      </c>
      <c r="H23302" s="32">
        <v>0</v>
      </c>
      <c r="I23302" s="30" t="s">
        <v>21</v>
      </c>
      <c r="J23302" s="41">
        <v>45839</v>
      </c>
      <c r="K23302" s="30" t="s">
        <v>22</v>
      </c>
    </row>
    <row r="23303" spans="1:11">
      <c r="A23303" s="33" t="s">
        <v>51455</v>
      </c>
      <c r="B23303" s="33" t="s">
        <v>51456</v>
      </c>
      <c r="C23303" s="33" t="s">
        <v>42590</v>
      </c>
      <c r="D23303" s="33" t="s">
        <v>17</v>
      </c>
      <c r="E23303" s="33" t="s">
        <v>67</v>
      </c>
      <c r="F23303" s="33" t="s">
        <v>68</v>
      </c>
      <c r="G23303" s="33" t="s">
        <v>140</v>
      </c>
      <c r="H23303" s="35">
        <v>26</v>
      </c>
      <c r="I23303" s="33" t="s">
        <v>51</v>
      </c>
      <c r="J23303" s="42">
        <v>45870</v>
      </c>
      <c r="K23303" s="33" t="s">
        <v>22</v>
      </c>
    </row>
    <row r="23304" spans="1:11">
      <c r="A23304" s="30" t="s">
        <v>51457</v>
      </c>
      <c r="B23304" s="30" t="s">
        <v>51458</v>
      </c>
      <c r="C23304" s="30" t="s">
        <v>44</v>
      </c>
      <c r="D23304" s="30" t="s">
        <v>17</v>
      </c>
      <c r="E23304" s="30" t="s">
        <v>18</v>
      </c>
      <c r="F23304" s="30" t="s">
        <v>19</v>
      </c>
      <c r="G23304" s="30" t="s">
        <v>140</v>
      </c>
      <c r="H23304" s="32">
        <v>20</v>
      </c>
      <c r="I23304" s="30" t="s">
        <v>51</v>
      </c>
      <c r="J23304" s="41">
        <v>45971</v>
      </c>
      <c r="K23304" s="30" t="s">
        <v>22</v>
      </c>
    </row>
    <row r="23305" spans="1:11">
      <c r="A23305" s="33" t="s">
        <v>51459</v>
      </c>
      <c r="B23305" s="33" t="s">
        <v>51460</v>
      </c>
      <c r="C23305" s="33" t="s">
        <v>3673</v>
      </c>
      <c r="D23305" s="33" t="s">
        <v>17</v>
      </c>
      <c r="E23305" s="33" t="s">
        <v>18</v>
      </c>
      <c r="F23305" s="33" t="s">
        <v>19</v>
      </c>
      <c r="G23305" s="33" t="s">
        <v>7780</v>
      </c>
      <c r="H23305" s="35">
        <v>1300</v>
      </c>
      <c r="I23305" s="33" t="s">
        <v>51</v>
      </c>
      <c r="J23305" s="42">
        <v>45870</v>
      </c>
      <c r="K23305" s="33" t="s">
        <v>22</v>
      </c>
    </row>
    <row r="23306" spans="1:11">
      <c r="A23306" s="30" t="s">
        <v>51461</v>
      </c>
      <c r="B23306" s="30" t="s">
        <v>51462</v>
      </c>
      <c r="C23306" s="30" t="s">
        <v>16710</v>
      </c>
      <c r="D23306" s="30" t="s">
        <v>17</v>
      </c>
      <c r="E23306" s="30" t="s">
        <v>31</v>
      </c>
      <c r="F23306" s="30" t="s">
        <v>32</v>
      </c>
      <c r="G23306" s="30" t="s">
        <v>158</v>
      </c>
      <c r="H23306" s="32">
        <v>68</v>
      </c>
      <c r="I23306" s="30" t="s">
        <v>21</v>
      </c>
      <c r="J23306" s="41">
        <v>45994</v>
      </c>
      <c r="K23306" s="30" t="s">
        <v>22</v>
      </c>
    </row>
    <row r="23307" spans="1:11">
      <c r="A23307" s="33" t="s">
        <v>51463</v>
      </c>
      <c r="B23307" s="33" t="s">
        <v>51464</v>
      </c>
      <c r="C23307" s="33" t="s">
        <v>801</v>
      </c>
      <c r="D23307" s="33" t="s">
        <v>17</v>
      </c>
      <c r="E23307" s="33" t="s">
        <v>26</v>
      </c>
      <c r="F23307" s="33" t="s">
        <v>27</v>
      </c>
      <c r="G23307" s="33" t="s">
        <v>20</v>
      </c>
      <c r="H23307" s="35">
        <v>22</v>
      </c>
      <c r="I23307" s="33" t="s">
        <v>21</v>
      </c>
      <c r="J23307" s="42">
        <v>45902</v>
      </c>
      <c r="K23307" s="33" t="s">
        <v>22</v>
      </c>
    </row>
    <row r="23308" spans="1:11">
      <c r="A23308" s="30" t="s">
        <v>51465</v>
      </c>
      <c r="B23308" s="30" t="s">
        <v>51466</v>
      </c>
      <c r="C23308" s="30" t="s">
        <v>231</v>
      </c>
      <c r="D23308" s="30" t="s">
        <v>17</v>
      </c>
      <c r="E23308" s="30" t="s">
        <v>26</v>
      </c>
      <c r="F23308" s="30" t="s">
        <v>27</v>
      </c>
      <c r="G23308" s="30" t="s">
        <v>158</v>
      </c>
      <c r="H23308" s="32">
        <v>100</v>
      </c>
      <c r="I23308" s="30" t="s">
        <v>21</v>
      </c>
      <c r="J23308" s="41">
        <v>45966</v>
      </c>
      <c r="K23308" s="30" t="s">
        <v>22</v>
      </c>
    </row>
    <row r="23309" spans="1:11">
      <c r="A23309" s="33" t="s">
        <v>51467</v>
      </c>
      <c r="B23309" s="33" t="s">
        <v>51468</v>
      </c>
      <c r="C23309" s="33" t="s">
        <v>22680</v>
      </c>
      <c r="D23309" s="33" t="s">
        <v>17</v>
      </c>
      <c r="E23309" s="33" t="s">
        <v>26</v>
      </c>
      <c r="F23309" s="33" t="s">
        <v>27</v>
      </c>
      <c r="G23309" s="33" t="s">
        <v>20</v>
      </c>
      <c r="H23309" s="35">
        <v>64</v>
      </c>
      <c r="I23309" s="33" t="s">
        <v>21</v>
      </c>
      <c r="J23309" s="42">
        <v>45664</v>
      </c>
      <c r="K23309" s="33" t="s">
        <v>22</v>
      </c>
    </row>
    <row r="23310" spans="1:11">
      <c r="A23310" s="30" t="s">
        <v>51469</v>
      </c>
      <c r="B23310" s="30" t="s">
        <v>51470</v>
      </c>
      <c r="C23310" s="30" t="s">
        <v>7880</v>
      </c>
      <c r="D23310" s="30" t="s">
        <v>17</v>
      </c>
      <c r="E23310" s="30" t="s">
        <v>26</v>
      </c>
      <c r="F23310" s="30" t="s">
        <v>27</v>
      </c>
      <c r="G23310" s="30" t="s">
        <v>140</v>
      </c>
      <c r="H23310" s="32">
        <v>70</v>
      </c>
      <c r="I23310" s="30" t="s">
        <v>51</v>
      </c>
      <c r="J23310" s="41">
        <v>45758</v>
      </c>
      <c r="K23310" s="30" t="s">
        <v>22</v>
      </c>
    </row>
    <row r="23311" spans="1:11">
      <c r="A23311" s="33" t="s">
        <v>51471</v>
      </c>
      <c r="B23311" s="33" t="s">
        <v>51472</v>
      </c>
      <c r="C23311" s="33" t="s">
        <v>8234</v>
      </c>
      <c r="D23311" s="33" t="s">
        <v>17</v>
      </c>
      <c r="E23311" s="33" t="s">
        <v>31</v>
      </c>
      <c r="F23311" s="33" t="s">
        <v>32</v>
      </c>
      <c r="G23311" s="33" t="s">
        <v>140</v>
      </c>
      <c r="H23311" s="35">
        <v>63</v>
      </c>
      <c r="I23311" s="33" t="s">
        <v>51</v>
      </c>
      <c r="J23311" s="42">
        <v>45730</v>
      </c>
      <c r="K23311" s="33" t="s">
        <v>22</v>
      </c>
    </row>
    <row r="23312" spans="1:11">
      <c r="A23312" s="30" t="s">
        <v>51473</v>
      </c>
      <c r="B23312" s="30" t="s">
        <v>51474</v>
      </c>
      <c r="C23312" s="30" t="s">
        <v>51475</v>
      </c>
      <c r="D23312" s="30" t="s">
        <v>17</v>
      </c>
      <c r="E23312" s="30" t="s">
        <v>26</v>
      </c>
      <c r="F23312" s="30" t="s">
        <v>27</v>
      </c>
      <c r="G23312" s="30" t="s">
        <v>20</v>
      </c>
      <c r="H23312" s="32">
        <v>20</v>
      </c>
      <c r="I23312" s="30" t="s">
        <v>21</v>
      </c>
      <c r="J23312" s="41">
        <v>45852</v>
      </c>
      <c r="K23312" s="30" t="s">
        <v>22</v>
      </c>
    </row>
    <row r="23313" spans="1:11">
      <c r="A23313" s="33" t="s">
        <v>51476</v>
      </c>
      <c r="B23313" s="33" t="s">
        <v>51477</v>
      </c>
      <c r="C23313" s="33" t="s">
        <v>34377</v>
      </c>
      <c r="D23313" s="33" t="s">
        <v>17</v>
      </c>
      <c r="E23313" s="33" t="s">
        <v>31</v>
      </c>
      <c r="F23313" s="33" t="s">
        <v>32</v>
      </c>
      <c r="G23313" s="33" t="s">
        <v>158</v>
      </c>
      <c r="H23313" s="35">
        <v>58</v>
      </c>
      <c r="I23313" s="33" t="s">
        <v>21</v>
      </c>
      <c r="J23313" s="42">
        <v>45992</v>
      </c>
      <c r="K23313" s="33" t="s">
        <v>22</v>
      </c>
    </row>
    <row r="23314" spans="1:11">
      <c r="A23314" s="30" t="s">
        <v>51478</v>
      </c>
      <c r="B23314" s="30" t="s">
        <v>51479</v>
      </c>
      <c r="C23314" s="30" t="s">
        <v>38079</v>
      </c>
      <c r="D23314" s="30" t="s">
        <v>17</v>
      </c>
      <c r="E23314" s="30" t="s">
        <v>31</v>
      </c>
      <c r="F23314" s="30" t="s">
        <v>32</v>
      </c>
      <c r="G23314" s="30" t="s">
        <v>69</v>
      </c>
      <c r="H23314" s="32">
        <v>80</v>
      </c>
      <c r="I23314" s="30" t="s">
        <v>51</v>
      </c>
      <c r="J23314" s="41">
        <v>45716</v>
      </c>
      <c r="K23314" s="30" t="s">
        <v>22</v>
      </c>
    </row>
    <row r="23315" spans="1:11">
      <c r="A23315" s="33" t="s">
        <v>51480</v>
      </c>
      <c r="B23315" s="33" t="s">
        <v>51481</v>
      </c>
      <c r="C23315" s="33" t="s">
        <v>231</v>
      </c>
      <c r="D23315" s="33" t="s">
        <v>17</v>
      </c>
      <c r="E23315" s="33" t="s">
        <v>18</v>
      </c>
      <c r="F23315" s="33" t="s">
        <v>19</v>
      </c>
      <c r="G23315" s="33" t="s">
        <v>140</v>
      </c>
      <c r="H23315" s="35">
        <v>11800</v>
      </c>
      <c r="I23315" s="33" t="s">
        <v>51</v>
      </c>
      <c r="J23315" s="42">
        <v>45860</v>
      </c>
      <c r="K23315" s="33" t="s">
        <v>22</v>
      </c>
    </row>
    <row r="23316" spans="1:11">
      <c r="A23316" s="30" t="s">
        <v>51482</v>
      </c>
      <c r="B23316" s="30" t="s">
        <v>51483</v>
      </c>
      <c r="C23316" s="30" t="s">
        <v>26227</v>
      </c>
      <c r="D23316" s="30" t="s">
        <v>17</v>
      </c>
      <c r="E23316" s="30" t="s">
        <v>18</v>
      </c>
      <c r="F23316" s="30" t="s">
        <v>19</v>
      </c>
      <c r="G23316" s="30" t="s">
        <v>2613</v>
      </c>
      <c r="H23316" s="32">
        <v>125</v>
      </c>
      <c r="I23316" s="30" t="s">
        <v>51</v>
      </c>
      <c r="J23316" s="41">
        <v>45769</v>
      </c>
      <c r="K23316" s="30" t="s">
        <v>22</v>
      </c>
    </row>
    <row r="23317" spans="1:11">
      <c r="A23317" s="33" t="s">
        <v>51484</v>
      </c>
      <c r="B23317" s="33" t="s">
        <v>51485</v>
      </c>
      <c r="C23317" s="33" t="s">
        <v>190</v>
      </c>
      <c r="D23317" s="33" t="s">
        <v>17</v>
      </c>
      <c r="E23317" s="33" t="s">
        <v>26</v>
      </c>
      <c r="F23317" s="33" t="s">
        <v>27</v>
      </c>
      <c r="G23317" s="33" t="s">
        <v>20</v>
      </c>
      <c r="H23317" s="35">
        <v>28</v>
      </c>
      <c r="I23317" s="33" t="s">
        <v>21</v>
      </c>
      <c r="J23317" s="42">
        <v>45715</v>
      </c>
      <c r="K23317" s="33" t="s">
        <v>22</v>
      </c>
    </row>
    <row r="23318" spans="1:11">
      <c r="A23318" s="30" t="s">
        <v>51486</v>
      </c>
      <c r="B23318" s="30" t="s">
        <v>51487</v>
      </c>
      <c r="C23318" s="30" t="s">
        <v>36054</v>
      </c>
      <c r="D23318" s="30" t="s">
        <v>17</v>
      </c>
      <c r="E23318" s="30" t="s">
        <v>26</v>
      </c>
      <c r="F23318" s="30" t="s">
        <v>27</v>
      </c>
      <c r="G23318" s="30" t="s">
        <v>140</v>
      </c>
      <c r="H23318" s="32">
        <v>220</v>
      </c>
      <c r="I23318" s="30" t="s">
        <v>51</v>
      </c>
      <c r="J23318" s="41">
        <v>45713</v>
      </c>
      <c r="K23318" s="30" t="s">
        <v>22</v>
      </c>
    </row>
    <row r="23319" spans="1:11">
      <c r="A23319" s="33" t="s">
        <v>51488</v>
      </c>
      <c r="B23319" s="33" t="s">
        <v>51489</v>
      </c>
      <c r="C23319" s="33" t="s">
        <v>13057</v>
      </c>
      <c r="D23319" s="33" t="s">
        <v>17</v>
      </c>
      <c r="E23319" s="33" t="s">
        <v>26</v>
      </c>
      <c r="F23319" s="33" t="s">
        <v>27</v>
      </c>
      <c r="G23319" s="33" t="s">
        <v>20</v>
      </c>
      <c r="H23319" s="35">
        <v>17</v>
      </c>
      <c r="I23319" s="33" t="s">
        <v>21</v>
      </c>
      <c r="J23319" s="42">
        <v>45768</v>
      </c>
      <c r="K23319" s="33" t="s">
        <v>22</v>
      </c>
    </row>
    <row r="23320" spans="1:11">
      <c r="A23320" s="30" t="s">
        <v>51490</v>
      </c>
      <c r="B23320" s="30" t="s">
        <v>51491</v>
      </c>
      <c r="C23320" s="30" t="s">
        <v>318</v>
      </c>
      <c r="D23320" s="30" t="s">
        <v>17</v>
      </c>
      <c r="E23320" s="30" t="s">
        <v>31</v>
      </c>
      <c r="F23320" s="30" t="s">
        <v>32</v>
      </c>
      <c r="G23320" s="30" t="s">
        <v>158</v>
      </c>
      <c r="H23320" s="32">
        <v>252</v>
      </c>
      <c r="I23320" s="30" t="s">
        <v>21</v>
      </c>
      <c r="J23320" s="41">
        <v>45714</v>
      </c>
      <c r="K23320" s="30" t="s">
        <v>22</v>
      </c>
    </row>
    <row r="23321" spans="1:11">
      <c r="A23321" s="33" t="s">
        <v>51492</v>
      </c>
      <c r="B23321" s="33" t="s">
        <v>51493</v>
      </c>
      <c r="C23321" s="33" t="s">
        <v>42480</v>
      </c>
      <c r="D23321" s="33" t="s">
        <v>17</v>
      </c>
      <c r="E23321" s="33" t="s">
        <v>26</v>
      </c>
      <c r="F23321" s="33" t="s">
        <v>27</v>
      </c>
      <c r="G23321" s="33" t="s">
        <v>140</v>
      </c>
      <c r="H23321" s="35">
        <v>234</v>
      </c>
      <c r="I23321" s="33" t="s">
        <v>51</v>
      </c>
      <c r="J23321" s="42">
        <v>45698</v>
      </c>
      <c r="K23321" s="33" t="s">
        <v>22</v>
      </c>
    </row>
    <row r="23322" spans="1:11">
      <c r="A23322" s="30" t="s">
        <v>51494</v>
      </c>
      <c r="B23322" s="30" t="s">
        <v>51495</v>
      </c>
      <c r="C23322" s="30" t="s">
        <v>96</v>
      </c>
      <c r="D23322" s="30" t="s">
        <v>17</v>
      </c>
      <c r="E23322" s="30" t="s">
        <v>18</v>
      </c>
      <c r="F23322" s="30" t="s">
        <v>19</v>
      </c>
      <c r="G23322" s="30" t="s">
        <v>140</v>
      </c>
      <c r="H23322" s="32">
        <v>150</v>
      </c>
      <c r="I23322" s="30" t="s">
        <v>51</v>
      </c>
      <c r="J23322" s="41">
        <v>45862</v>
      </c>
      <c r="K23322" s="30" t="s">
        <v>22</v>
      </c>
    </row>
    <row r="23323" spans="1:11">
      <c r="A23323" s="33" t="s">
        <v>51496</v>
      </c>
      <c r="B23323" s="33" t="s">
        <v>51497</v>
      </c>
      <c r="C23323" s="33" t="s">
        <v>5043</v>
      </c>
      <c r="D23323" s="33" t="s">
        <v>17</v>
      </c>
      <c r="E23323" s="33" t="s">
        <v>31</v>
      </c>
      <c r="F23323" s="33" t="s">
        <v>32</v>
      </c>
      <c r="G23323" s="33" t="s">
        <v>158</v>
      </c>
      <c r="H23323" s="35">
        <v>18</v>
      </c>
      <c r="I23323" s="33" t="s">
        <v>21</v>
      </c>
      <c r="J23323" s="42">
        <v>45720</v>
      </c>
      <c r="K23323" s="33" t="s">
        <v>22</v>
      </c>
    </row>
    <row r="23324" spans="1:11">
      <c r="A23324" s="30" t="s">
        <v>51498</v>
      </c>
      <c r="B23324" s="30" t="s">
        <v>51499</v>
      </c>
      <c r="C23324" s="30" t="s">
        <v>47508</v>
      </c>
      <c r="D23324" s="30" t="s">
        <v>17</v>
      </c>
      <c r="E23324" s="30" t="s">
        <v>26</v>
      </c>
      <c r="F23324" s="30" t="s">
        <v>27</v>
      </c>
      <c r="G23324" s="30" t="s">
        <v>140</v>
      </c>
      <c r="H23324" s="32">
        <v>168</v>
      </c>
      <c r="I23324" s="30" t="s">
        <v>51</v>
      </c>
      <c r="J23324" s="41">
        <v>45671</v>
      </c>
      <c r="K23324" s="30" t="s">
        <v>22</v>
      </c>
    </row>
    <row r="23325" spans="1:11">
      <c r="A23325" s="33" t="s">
        <v>51500</v>
      </c>
      <c r="B23325" s="33" t="s">
        <v>51501</v>
      </c>
      <c r="C23325" s="33" t="s">
        <v>1422</v>
      </c>
      <c r="D23325" s="33" t="s">
        <v>17</v>
      </c>
      <c r="E23325" s="33" t="s">
        <v>330</v>
      </c>
      <c r="F23325" s="33" t="s">
        <v>331</v>
      </c>
      <c r="G23325" s="33" t="s">
        <v>140</v>
      </c>
      <c r="H23325" s="35">
        <v>140</v>
      </c>
      <c r="I23325" s="33" t="s">
        <v>51</v>
      </c>
      <c r="J23325" s="42">
        <v>45886</v>
      </c>
      <c r="K23325" s="33" t="s">
        <v>22</v>
      </c>
    </row>
    <row r="23326" spans="1:11">
      <c r="A23326" s="30" t="s">
        <v>51502</v>
      </c>
      <c r="B23326" s="30" t="s">
        <v>51503</v>
      </c>
      <c r="C23326" s="30" t="s">
        <v>2819</v>
      </c>
      <c r="D23326" s="30" t="s">
        <v>17</v>
      </c>
      <c r="E23326" s="30" t="s">
        <v>45</v>
      </c>
      <c r="F23326" s="30" t="s">
        <v>46</v>
      </c>
      <c r="G23326" s="30" t="s">
        <v>140</v>
      </c>
      <c r="H23326" s="32">
        <v>650</v>
      </c>
      <c r="I23326" s="30" t="s">
        <v>51</v>
      </c>
      <c r="J23326" s="41">
        <v>45685</v>
      </c>
      <c r="K23326" s="30" t="s">
        <v>22</v>
      </c>
    </row>
    <row r="23327" spans="1:11">
      <c r="A23327" s="33" t="s">
        <v>51504</v>
      </c>
      <c r="B23327" s="33" t="s">
        <v>51505</v>
      </c>
      <c r="C23327" s="33" t="s">
        <v>387</v>
      </c>
      <c r="D23327" s="33" t="s">
        <v>17</v>
      </c>
      <c r="E23327" s="33" t="s">
        <v>26</v>
      </c>
      <c r="F23327" s="33" t="s">
        <v>27</v>
      </c>
      <c r="G23327" s="33" t="s">
        <v>140</v>
      </c>
      <c r="H23327" s="35">
        <v>104</v>
      </c>
      <c r="I23327" s="33" t="s">
        <v>51</v>
      </c>
      <c r="J23327" s="42">
        <v>45821</v>
      </c>
      <c r="K23327" s="33" t="s">
        <v>22</v>
      </c>
    </row>
    <row r="23328" spans="1:11">
      <c r="A23328" s="30" t="s">
        <v>51506</v>
      </c>
      <c r="B23328" s="30" t="s">
        <v>51507</v>
      </c>
      <c r="C23328" s="30" t="s">
        <v>93</v>
      </c>
      <c r="D23328" s="30" t="s">
        <v>17</v>
      </c>
      <c r="E23328" s="30" t="s">
        <v>26</v>
      </c>
      <c r="F23328" s="30" t="s">
        <v>27</v>
      </c>
      <c r="G23328" s="30" t="s">
        <v>20</v>
      </c>
      <c r="H23328" s="32">
        <v>17</v>
      </c>
      <c r="I23328" s="30" t="s">
        <v>21</v>
      </c>
      <c r="J23328" s="41">
        <v>45741</v>
      </c>
      <c r="K23328" s="30" t="s">
        <v>22</v>
      </c>
    </row>
    <row r="23329" spans="1:11">
      <c r="A23329" s="33" t="s">
        <v>51508</v>
      </c>
      <c r="B23329" s="33" t="s">
        <v>51509</v>
      </c>
      <c r="C23329" s="33" t="s">
        <v>45844</v>
      </c>
      <c r="D23329" s="33" t="s">
        <v>17</v>
      </c>
      <c r="E23329" s="33" t="s">
        <v>26</v>
      </c>
      <c r="F23329" s="33" t="s">
        <v>27</v>
      </c>
      <c r="G23329" s="33" t="s">
        <v>140</v>
      </c>
      <c r="H23329" s="35">
        <v>52</v>
      </c>
      <c r="I23329" s="33" t="s">
        <v>51</v>
      </c>
      <c r="J23329" s="42">
        <v>45800</v>
      </c>
      <c r="K23329" s="33" t="s">
        <v>22</v>
      </c>
    </row>
    <row r="23330" spans="1:11">
      <c r="A23330" s="30" t="s">
        <v>51510</v>
      </c>
      <c r="B23330" s="30" t="s">
        <v>51511</v>
      </c>
      <c r="C23330" s="30" t="s">
        <v>130</v>
      </c>
      <c r="D23330" s="30" t="s">
        <v>17</v>
      </c>
      <c r="E23330" s="30" t="s">
        <v>18</v>
      </c>
      <c r="F23330" s="30" t="s">
        <v>19</v>
      </c>
      <c r="G23330" s="30" t="s">
        <v>140</v>
      </c>
      <c r="H23330" s="32">
        <v>180</v>
      </c>
      <c r="I23330" s="30" t="s">
        <v>51</v>
      </c>
      <c r="J23330" s="41">
        <v>45681</v>
      </c>
      <c r="K23330" s="30" t="s">
        <v>22</v>
      </c>
    </row>
    <row r="23331" spans="1:11">
      <c r="A23331" s="33" t="s">
        <v>51512</v>
      </c>
      <c r="B23331" s="33" t="s">
        <v>51513</v>
      </c>
      <c r="C23331" s="33" t="s">
        <v>96</v>
      </c>
      <c r="D23331" s="33" t="s">
        <v>17</v>
      </c>
      <c r="E23331" s="33" t="s">
        <v>31</v>
      </c>
      <c r="F23331" s="33" t="s">
        <v>32</v>
      </c>
      <c r="G23331" s="33" t="s">
        <v>140</v>
      </c>
      <c r="H23331" s="35">
        <v>240</v>
      </c>
      <c r="I23331" s="33" t="s">
        <v>51</v>
      </c>
      <c r="J23331" s="42">
        <v>45974</v>
      </c>
      <c r="K23331" s="33" t="s">
        <v>22</v>
      </c>
    </row>
    <row r="23332" spans="1:11">
      <c r="A23332" s="30" t="s">
        <v>51514</v>
      </c>
      <c r="B23332" s="30" t="s">
        <v>51515</v>
      </c>
      <c r="C23332" s="30" t="s">
        <v>2807</v>
      </c>
      <c r="D23332" s="30" t="s">
        <v>17</v>
      </c>
      <c r="E23332" s="30" t="s">
        <v>31</v>
      </c>
      <c r="F23332" s="30" t="s">
        <v>32</v>
      </c>
      <c r="G23332" s="30" t="s">
        <v>140</v>
      </c>
      <c r="H23332" s="32">
        <v>70</v>
      </c>
      <c r="I23332" s="30" t="s">
        <v>51</v>
      </c>
      <c r="J23332" s="41">
        <v>45876</v>
      </c>
      <c r="K23332" s="30" t="s">
        <v>22</v>
      </c>
    </row>
    <row r="23333" spans="1:11">
      <c r="A23333" s="33" t="s">
        <v>51516</v>
      </c>
      <c r="B23333" s="33" t="s">
        <v>51517</v>
      </c>
      <c r="C23333" s="33" t="s">
        <v>190</v>
      </c>
      <c r="D23333" s="33" t="s">
        <v>17</v>
      </c>
      <c r="E23333" s="33" t="s">
        <v>18</v>
      </c>
      <c r="F23333" s="33" t="s">
        <v>19</v>
      </c>
      <c r="G23333" s="33" t="s">
        <v>140</v>
      </c>
      <c r="H23333" s="35">
        <v>250</v>
      </c>
      <c r="I23333" s="33" t="s">
        <v>51</v>
      </c>
      <c r="J23333" s="42">
        <v>45876</v>
      </c>
      <c r="K23333" s="33" t="s">
        <v>22</v>
      </c>
    </row>
    <row r="23334" spans="1:11">
      <c r="A23334" s="30" t="s">
        <v>51518</v>
      </c>
      <c r="B23334" s="30" t="s">
        <v>51519</v>
      </c>
      <c r="C23334" s="30" t="s">
        <v>587</v>
      </c>
      <c r="D23334" s="30" t="s">
        <v>17</v>
      </c>
      <c r="E23334" s="30" t="s">
        <v>18</v>
      </c>
      <c r="F23334" s="30" t="s">
        <v>19</v>
      </c>
      <c r="G23334" s="30" t="s">
        <v>140</v>
      </c>
      <c r="H23334" s="32">
        <v>180</v>
      </c>
      <c r="I23334" s="30" t="s">
        <v>51</v>
      </c>
      <c r="J23334" s="41">
        <v>45890</v>
      </c>
      <c r="K23334" s="30" t="s">
        <v>22</v>
      </c>
    </row>
    <row r="23335" spans="1:11">
      <c r="A23335" s="33" t="s">
        <v>51520</v>
      </c>
      <c r="B23335" s="33" t="s">
        <v>51521</v>
      </c>
      <c r="C23335" s="33" t="s">
        <v>2490</v>
      </c>
      <c r="D23335" s="33" t="s">
        <v>17</v>
      </c>
      <c r="E23335" s="33" t="s">
        <v>26</v>
      </c>
      <c r="F23335" s="33" t="s">
        <v>27</v>
      </c>
      <c r="G23335" s="33" t="s">
        <v>158</v>
      </c>
      <c r="H23335" s="35">
        <v>16</v>
      </c>
      <c r="I23335" s="33" t="s">
        <v>21</v>
      </c>
      <c r="J23335" s="42">
        <v>45868</v>
      </c>
      <c r="K23335" s="33" t="s">
        <v>22</v>
      </c>
    </row>
    <row r="23336" spans="1:11">
      <c r="A23336" s="30" t="s">
        <v>51522</v>
      </c>
      <c r="B23336" s="30" t="s">
        <v>51523</v>
      </c>
      <c r="C23336" s="30" t="s">
        <v>26597</v>
      </c>
      <c r="D23336" s="30" t="s">
        <v>17</v>
      </c>
      <c r="E23336" s="30" t="s">
        <v>31</v>
      </c>
      <c r="F23336" s="30" t="s">
        <v>32</v>
      </c>
      <c r="G23336" s="30" t="s">
        <v>140</v>
      </c>
      <c r="H23336" s="32">
        <v>28</v>
      </c>
      <c r="I23336" s="30" t="s">
        <v>51</v>
      </c>
      <c r="J23336" s="41">
        <v>45868</v>
      </c>
      <c r="K23336" s="30" t="s">
        <v>22</v>
      </c>
    </row>
    <row r="23337" spans="1:11">
      <c r="A23337" s="33" t="s">
        <v>51524</v>
      </c>
      <c r="B23337" s="33" t="s">
        <v>51525</v>
      </c>
      <c r="C23337" s="33" t="s">
        <v>310</v>
      </c>
      <c r="D23337" s="33" t="s">
        <v>17</v>
      </c>
      <c r="E23337" s="33" t="s">
        <v>18</v>
      </c>
      <c r="F23337" s="33" t="s">
        <v>19</v>
      </c>
      <c r="G23337" s="33" t="s">
        <v>158</v>
      </c>
      <c r="H23337" s="35">
        <v>400</v>
      </c>
      <c r="I23337" s="33" t="s">
        <v>51</v>
      </c>
      <c r="J23337" s="42">
        <v>45698</v>
      </c>
      <c r="K23337" s="33" t="s">
        <v>22</v>
      </c>
    </row>
    <row r="23338" spans="1:11">
      <c r="A23338" s="30" t="s">
        <v>51526</v>
      </c>
      <c r="B23338" s="30" t="s">
        <v>51527</v>
      </c>
      <c r="C23338" s="30" t="s">
        <v>24907</v>
      </c>
      <c r="D23338" s="30" t="s">
        <v>17</v>
      </c>
      <c r="E23338" s="30" t="s">
        <v>31</v>
      </c>
      <c r="F23338" s="30" t="s">
        <v>32</v>
      </c>
      <c r="G23338" s="30" t="s">
        <v>140</v>
      </c>
      <c r="H23338" s="32">
        <v>92</v>
      </c>
      <c r="I23338" s="30" t="s">
        <v>51</v>
      </c>
      <c r="J23338" s="41">
        <v>46007</v>
      </c>
      <c r="K23338" s="30" t="s">
        <v>22</v>
      </c>
    </row>
    <row r="23339" spans="1:11">
      <c r="A23339" s="33" t="s">
        <v>51528</v>
      </c>
      <c r="B23339" s="33" t="s">
        <v>51529</v>
      </c>
      <c r="C23339" s="33" t="s">
        <v>136</v>
      </c>
      <c r="D23339" s="33" t="s">
        <v>17</v>
      </c>
      <c r="E23339" s="33" t="s">
        <v>18</v>
      </c>
      <c r="F23339" s="33" t="s">
        <v>19</v>
      </c>
      <c r="G23339" s="33" t="s">
        <v>158</v>
      </c>
      <c r="H23339" s="35">
        <v>643</v>
      </c>
      <c r="I23339" s="33" t="s">
        <v>51</v>
      </c>
      <c r="J23339" s="42">
        <v>45721</v>
      </c>
      <c r="K23339" s="33" t="s">
        <v>22</v>
      </c>
    </row>
    <row r="23340" spans="1:11">
      <c r="A23340" s="30" t="s">
        <v>51530</v>
      </c>
      <c r="B23340" s="30" t="s">
        <v>51531</v>
      </c>
      <c r="C23340" s="30" t="s">
        <v>13971</v>
      </c>
      <c r="D23340" s="30" t="s">
        <v>17</v>
      </c>
      <c r="E23340" s="30" t="s">
        <v>18</v>
      </c>
      <c r="F23340" s="30" t="s">
        <v>19</v>
      </c>
      <c r="G23340" s="30" t="s">
        <v>112</v>
      </c>
      <c r="H23340" s="32">
        <v>0</v>
      </c>
      <c r="I23340" s="30" t="s">
        <v>21</v>
      </c>
      <c r="J23340" s="41">
        <v>45717</v>
      </c>
      <c r="K23340" s="30" t="s">
        <v>22</v>
      </c>
    </row>
    <row r="23341" spans="1:11">
      <c r="A23341" s="33" t="s">
        <v>51532</v>
      </c>
      <c r="B23341" s="33" t="s">
        <v>51533</v>
      </c>
      <c r="C23341" s="33" t="s">
        <v>10897</v>
      </c>
      <c r="D23341" s="33" t="s">
        <v>17</v>
      </c>
      <c r="E23341" s="33" t="s">
        <v>26</v>
      </c>
      <c r="F23341" s="33" t="s">
        <v>27</v>
      </c>
      <c r="G23341" s="33" t="s">
        <v>140</v>
      </c>
      <c r="H23341" s="35">
        <v>144</v>
      </c>
      <c r="I23341" s="33" t="s">
        <v>51</v>
      </c>
      <c r="J23341" s="42">
        <v>45786</v>
      </c>
      <c r="K23341" s="33" t="s">
        <v>22</v>
      </c>
    </row>
    <row r="23342" spans="1:11">
      <c r="A23342" s="30" t="s">
        <v>51534</v>
      </c>
      <c r="B23342" s="30" t="s">
        <v>51535</v>
      </c>
      <c r="C23342" s="30" t="s">
        <v>51536</v>
      </c>
      <c r="D23342" s="30" t="s">
        <v>17</v>
      </c>
      <c r="E23342" s="30" t="s">
        <v>67</v>
      </c>
      <c r="F23342" s="30" t="s">
        <v>68</v>
      </c>
      <c r="G23342" s="30" t="s">
        <v>140</v>
      </c>
      <c r="H23342" s="32">
        <v>90</v>
      </c>
      <c r="I23342" s="30" t="s">
        <v>51</v>
      </c>
      <c r="J23342" s="41">
        <v>45825</v>
      </c>
      <c r="K23342" s="30" t="s">
        <v>22</v>
      </c>
    </row>
    <row r="23343" spans="1:11">
      <c r="A23343" s="33" t="s">
        <v>51537</v>
      </c>
      <c r="B23343" s="33" t="s">
        <v>51538</v>
      </c>
      <c r="C23343" s="33" t="s">
        <v>222</v>
      </c>
      <c r="D23343" s="33" t="s">
        <v>17</v>
      </c>
      <c r="E23343" s="33" t="s">
        <v>26</v>
      </c>
      <c r="F23343" s="33" t="s">
        <v>27</v>
      </c>
      <c r="G23343" s="33" t="s">
        <v>140</v>
      </c>
      <c r="H23343" s="35">
        <v>70</v>
      </c>
      <c r="I23343" s="33" t="s">
        <v>51</v>
      </c>
      <c r="J23343" s="42">
        <v>45939</v>
      </c>
      <c r="K23343" s="33" t="s">
        <v>22</v>
      </c>
    </row>
    <row r="23344" spans="1:11">
      <c r="A23344" s="30" t="s">
        <v>51539</v>
      </c>
      <c r="B23344" s="30" t="s">
        <v>51540</v>
      </c>
      <c r="C23344" s="30" t="s">
        <v>51541</v>
      </c>
      <c r="D23344" s="30" t="s">
        <v>17</v>
      </c>
      <c r="E23344" s="30" t="s">
        <v>212</v>
      </c>
      <c r="F23344" s="30" t="s">
        <v>213</v>
      </c>
      <c r="G23344" s="30" t="s">
        <v>20</v>
      </c>
      <c r="H23344" s="32">
        <v>10</v>
      </c>
      <c r="I23344" s="30" t="s">
        <v>21</v>
      </c>
      <c r="J23344" s="41">
        <v>45849</v>
      </c>
      <c r="K23344" s="30" t="s">
        <v>22</v>
      </c>
    </row>
    <row r="23345" spans="1:11">
      <c r="A23345" s="33" t="s">
        <v>51542</v>
      </c>
      <c r="B23345" s="33" t="s">
        <v>51543</v>
      </c>
      <c r="C23345" s="33" t="s">
        <v>22647</v>
      </c>
      <c r="D23345" s="33" t="s">
        <v>17</v>
      </c>
      <c r="E23345" s="33" t="s">
        <v>31</v>
      </c>
      <c r="F23345" s="33" t="s">
        <v>32</v>
      </c>
      <c r="G23345" s="33" t="s">
        <v>20</v>
      </c>
      <c r="H23345" s="35">
        <v>431</v>
      </c>
      <c r="I23345" s="33" t="s">
        <v>21</v>
      </c>
      <c r="J23345" s="42">
        <v>45721</v>
      </c>
      <c r="K23345" s="33" t="s">
        <v>22</v>
      </c>
    </row>
    <row r="23346" spans="1:11">
      <c r="A23346" s="30" t="s">
        <v>51544</v>
      </c>
      <c r="B23346" s="30" t="s">
        <v>51545</v>
      </c>
      <c r="C23346" s="30" t="s">
        <v>149</v>
      </c>
      <c r="D23346" s="30" t="s">
        <v>17</v>
      </c>
      <c r="E23346" s="30" t="s">
        <v>31</v>
      </c>
      <c r="F23346" s="30" t="s">
        <v>32</v>
      </c>
      <c r="G23346" s="30" t="s">
        <v>140</v>
      </c>
      <c r="H23346" s="32">
        <v>351</v>
      </c>
      <c r="I23346" s="30" t="s">
        <v>51</v>
      </c>
      <c r="J23346" s="41">
        <v>45905</v>
      </c>
      <c r="K23346" s="30" t="s">
        <v>22</v>
      </c>
    </row>
    <row r="23347" spans="1:11">
      <c r="A23347" s="33" t="s">
        <v>51546</v>
      </c>
      <c r="B23347" s="33" t="s">
        <v>51547</v>
      </c>
      <c r="C23347" s="33" t="s">
        <v>51548</v>
      </c>
      <c r="D23347" s="33" t="s">
        <v>17</v>
      </c>
      <c r="E23347" s="33" t="s">
        <v>31</v>
      </c>
      <c r="F23347" s="33" t="s">
        <v>32</v>
      </c>
      <c r="G23347" s="33" t="s">
        <v>140</v>
      </c>
      <c r="H23347" s="35">
        <v>75</v>
      </c>
      <c r="I23347" s="33" t="s">
        <v>51</v>
      </c>
      <c r="J23347" s="42">
        <v>45867</v>
      </c>
      <c r="K23347" s="33" t="s">
        <v>22</v>
      </c>
    </row>
    <row r="23348" spans="1:11">
      <c r="A23348" s="30" t="s">
        <v>51549</v>
      </c>
      <c r="B23348" s="30" t="s">
        <v>51550</v>
      </c>
      <c r="C23348" s="30" t="s">
        <v>51551</v>
      </c>
      <c r="D23348" s="30" t="s">
        <v>17</v>
      </c>
      <c r="E23348" s="30" t="s">
        <v>18</v>
      </c>
      <c r="F23348" s="30" t="s">
        <v>19</v>
      </c>
      <c r="G23348" s="30" t="s">
        <v>140</v>
      </c>
      <c r="H23348" s="32">
        <v>144</v>
      </c>
      <c r="I23348" s="30" t="s">
        <v>51</v>
      </c>
      <c r="J23348" s="41">
        <v>45917</v>
      </c>
      <c r="K23348" s="30" t="s">
        <v>22</v>
      </c>
    </row>
    <row r="23349" spans="1:11">
      <c r="A23349" s="33" t="s">
        <v>51552</v>
      </c>
      <c r="B23349" s="33" t="s">
        <v>51553</v>
      </c>
      <c r="C23349" s="33" t="s">
        <v>2220</v>
      </c>
      <c r="D23349" s="33" t="s">
        <v>17</v>
      </c>
      <c r="E23349" s="33" t="s">
        <v>31</v>
      </c>
      <c r="F23349" s="33" t="s">
        <v>32</v>
      </c>
      <c r="G23349" s="33" t="s">
        <v>140</v>
      </c>
      <c r="H23349" s="35">
        <v>180</v>
      </c>
      <c r="I23349" s="33" t="s">
        <v>51</v>
      </c>
      <c r="J23349" s="42">
        <v>45875</v>
      </c>
      <c r="K23349" s="33" t="s">
        <v>22</v>
      </c>
    </row>
    <row r="23350" spans="1:11">
      <c r="A23350" s="30" t="s">
        <v>51554</v>
      </c>
      <c r="B23350" s="30" t="s">
        <v>51555</v>
      </c>
      <c r="C23350" s="30" t="s">
        <v>2012</v>
      </c>
      <c r="D23350" s="30" t="s">
        <v>17</v>
      </c>
      <c r="E23350" s="30" t="s">
        <v>26</v>
      </c>
      <c r="F23350" s="30" t="s">
        <v>27</v>
      </c>
      <c r="G23350" s="30" t="s">
        <v>20</v>
      </c>
      <c r="H23350" s="32">
        <v>29</v>
      </c>
      <c r="I23350" s="30" t="s">
        <v>21</v>
      </c>
      <c r="J23350" s="41">
        <v>45814</v>
      </c>
      <c r="K23350" s="30" t="s">
        <v>22</v>
      </c>
    </row>
    <row r="23351" spans="1:11">
      <c r="A23351" s="33" t="s">
        <v>51556</v>
      </c>
      <c r="B23351" s="33" t="s">
        <v>51557</v>
      </c>
      <c r="C23351" s="33" t="s">
        <v>1504</v>
      </c>
      <c r="D23351" s="33" t="s">
        <v>17</v>
      </c>
      <c r="E23351" s="33" t="s">
        <v>26</v>
      </c>
      <c r="F23351" s="33" t="s">
        <v>27</v>
      </c>
      <c r="G23351" s="33" t="s">
        <v>140</v>
      </c>
      <c r="H23351" s="35">
        <v>52</v>
      </c>
      <c r="I23351" s="33" t="s">
        <v>51</v>
      </c>
      <c r="J23351" s="42">
        <v>45880</v>
      </c>
      <c r="K23351" s="33" t="s">
        <v>22</v>
      </c>
    </row>
    <row r="23352" spans="1:11">
      <c r="A23352" s="30" t="s">
        <v>51558</v>
      </c>
      <c r="B23352" s="30" t="s">
        <v>51559</v>
      </c>
      <c r="C23352" s="30" t="s">
        <v>157</v>
      </c>
      <c r="D23352" s="30" t="s">
        <v>17</v>
      </c>
      <c r="E23352" s="30" t="s">
        <v>26</v>
      </c>
      <c r="F23352" s="30" t="s">
        <v>27</v>
      </c>
      <c r="G23352" s="30" t="s">
        <v>20</v>
      </c>
      <c r="H23352" s="32">
        <v>30</v>
      </c>
      <c r="I23352" s="30" t="s">
        <v>21</v>
      </c>
      <c r="J23352" s="41">
        <v>45740</v>
      </c>
      <c r="K23352" s="30" t="s">
        <v>22</v>
      </c>
    </row>
    <row r="23353" spans="1:11">
      <c r="A23353" s="33" t="s">
        <v>51560</v>
      </c>
      <c r="B23353" s="33" t="s">
        <v>51561</v>
      </c>
      <c r="C23353" s="33" t="s">
        <v>124</v>
      </c>
      <c r="D23353" s="33" t="s">
        <v>17</v>
      </c>
      <c r="E23353" s="33" t="s">
        <v>26</v>
      </c>
      <c r="F23353" s="33" t="s">
        <v>27</v>
      </c>
      <c r="G23353" s="33" t="s">
        <v>20</v>
      </c>
      <c r="H23353" s="35">
        <v>15</v>
      </c>
      <c r="I23353" s="33" t="s">
        <v>21</v>
      </c>
      <c r="J23353" s="42">
        <v>45877</v>
      </c>
      <c r="K23353" s="33" t="s">
        <v>22</v>
      </c>
    </row>
    <row r="23354" spans="1:11">
      <c r="A23354" s="30" t="s">
        <v>51562</v>
      </c>
      <c r="B23354" s="30" t="s">
        <v>51563</v>
      </c>
      <c r="C23354" s="30" t="s">
        <v>203</v>
      </c>
      <c r="D23354" s="30" t="s">
        <v>17</v>
      </c>
      <c r="E23354" s="30" t="s">
        <v>18</v>
      </c>
      <c r="F23354" s="30" t="s">
        <v>19</v>
      </c>
      <c r="G23354" s="30" t="s">
        <v>140</v>
      </c>
      <c r="H23354" s="32">
        <v>942</v>
      </c>
      <c r="I23354" s="30" t="s">
        <v>51</v>
      </c>
      <c r="J23354" s="41">
        <v>45916</v>
      </c>
      <c r="K23354" s="30" t="s">
        <v>22</v>
      </c>
    </row>
    <row r="23355" spans="1:11">
      <c r="A23355" s="33" t="s">
        <v>51564</v>
      </c>
      <c r="B23355" s="33" t="s">
        <v>51565</v>
      </c>
      <c r="C23355" s="33" t="s">
        <v>51566</v>
      </c>
      <c r="D23355" s="33" t="s">
        <v>17</v>
      </c>
      <c r="E23355" s="33" t="s">
        <v>18</v>
      </c>
      <c r="F23355" s="33" t="s">
        <v>19</v>
      </c>
      <c r="G23355" s="33" t="s">
        <v>140</v>
      </c>
      <c r="H23355" s="35">
        <v>36</v>
      </c>
      <c r="I23355" s="33" t="s">
        <v>51</v>
      </c>
      <c r="J23355" s="42">
        <v>45985</v>
      </c>
      <c r="K23355" s="33" t="s">
        <v>22</v>
      </c>
    </row>
    <row r="23356" spans="1:11">
      <c r="A23356" s="30" t="s">
        <v>51567</v>
      </c>
      <c r="B23356" s="30" t="s">
        <v>51568</v>
      </c>
      <c r="C23356" s="30" t="s">
        <v>5672</v>
      </c>
      <c r="D23356" s="30" t="s">
        <v>17</v>
      </c>
      <c r="E23356" s="30" t="s">
        <v>26</v>
      </c>
      <c r="F23356" s="30" t="s">
        <v>27</v>
      </c>
      <c r="G23356" s="30" t="s">
        <v>20</v>
      </c>
      <c r="H23356" s="32">
        <v>30</v>
      </c>
      <c r="I23356" s="30" t="s">
        <v>21</v>
      </c>
      <c r="J23356" s="41">
        <v>45819</v>
      </c>
      <c r="K23356" s="30" t="s">
        <v>22</v>
      </c>
    </row>
    <row r="23357" spans="1:11">
      <c r="A23357" s="33" t="s">
        <v>51569</v>
      </c>
      <c r="B23357" s="33" t="s">
        <v>51570</v>
      </c>
      <c r="C23357" s="33" t="s">
        <v>93</v>
      </c>
      <c r="D23357" s="33" t="s">
        <v>17</v>
      </c>
      <c r="E23357" s="33" t="s">
        <v>26</v>
      </c>
      <c r="F23357" s="33" t="s">
        <v>27</v>
      </c>
      <c r="G23357" s="33" t="s">
        <v>20</v>
      </c>
      <c r="H23357" s="35">
        <v>73</v>
      </c>
      <c r="I23357" s="33" t="s">
        <v>21</v>
      </c>
      <c r="J23357" s="42">
        <v>45679</v>
      </c>
      <c r="K23357" s="33" t="s">
        <v>22</v>
      </c>
    </row>
    <row r="23358" spans="1:11">
      <c r="A23358" s="30" t="s">
        <v>51571</v>
      </c>
      <c r="B23358" s="30" t="s">
        <v>51572</v>
      </c>
      <c r="C23358" s="30" t="s">
        <v>647</v>
      </c>
      <c r="D23358" s="30" t="s">
        <v>17</v>
      </c>
      <c r="E23358" s="30" t="s">
        <v>18</v>
      </c>
      <c r="F23358" s="30" t="s">
        <v>19</v>
      </c>
      <c r="G23358" s="30" t="s">
        <v>140</v>
      </c>
      <c r="H23358" s="32">
        <v>4580</v>
      </c>
      <c r="I23358" s="30" t="s">
        <v>51</v>
      </c>
      <c r="J23358" s="41">
        <v>45971</v>
      </c>
      <c r="K23358" s="30" t="s">
        <v>22</v>
      </c>
    </row>
    <row r="23359" spans="1:11">
      <c r="A23359" s="33" t="s">
        <v>51573</v>
      </c>
      <c r="B23359" s="33" t="s">
        <v>51574</v>
      </c>
      <c r="C23359" s="33" t="s">
        <v>136</v>
      </c>
      <c r="D23359" s="33" t="s">
        <v>17</v>
      </c>
      <c r="E23359" s="33" t="s">
        <v>67</v>
      </c>
      <c r="F23359" s="33" t="s">
        <v>68</v>
      </c>
      <c r="G23359" s="33" t="s">
        <v>140</v>
      </c>
      <c r="H23359" s="35">
        <v>68</v>
      </c>
      <c r="I23359" s="33" t="s">
        <v>51</v>
      </c>
      <c r="J23359" s="42">
        <v>45868</v>
      </c>
      <c r="K23359" s="33" t="s">
        <v>22</v>
      </c>
    </row>
    <row r="23360" spans="1:11">
      <c r="A23360" s="30" t="s">
        <v>51575</v>
      </c>
      <c r="B23360" s="30" t="s">
        <v>51576</v>
      </c>
      <c r="C23360" s="30" t="s">
        <v>43348</v>
      </c>
      <c r="D23360" s="30" t="s">
        <v>17</v>
      </c>
      <c r="E23360" s="30" t="s">
        <v>31</v>
      </c>
      <c r="F23360" s="30" t="s">
        <v>32</v>
      </c>
      <c r="G23360" s="30" t="s">
        <v>140</v>
      </c>
      <c r="H23360" s="32">
        <v>450</v>
      </c>
      <c r="I23360" s="30" t="s">
        <v>51</v>
      </c>
      <c r="J23360" s="41">
        <v>45916</v>
      </c>
      <c r="K23360" s="30" t="s">
        <v>22</v>
      </c>
    </row>
    <row r="23361" spans="1:11">
      <c r="A23361" s="33" t="s">
        <v>51577</v>
      </c>
      <c r="B23361" s="33" t="s">
        <v>51578</v>
      </c>
      <c r="C23361" s="33" t="s">
        <v>51579</v>
      </c>
      <c r="D23361" s="33" t="s">
        <v>17</v>
      </c>
      <c r="E23361" s="33" t="s">
        <v>26</v>
      </c>
      <c r="F23361" s="33" t="s">
        <v>27</v>
      </c>
      <c r="G23361" s="33" t="s">
        <v>7780</v>
      </c>
      <c r="H23361" s="35">
        <v>56</v>
      </c>
      <c r="I23361" s="33" t="s">
        <v>51</v>
      </c>
      <c r="J23361" s="42">
        <v>45658</v>
      </c>
      <c r="K23361" s="33" t="s">
        <v>22</v>
      </c>
    </row>
    <row r="23362" spans="1:11">
      <c r="A23362" s="30" t="s">
        <v>51580</v>
      </c>
      <c r="B23362" s="30" t="s">
        <v>51581</v>
      </c>
      <c r="C23362" s="30" t="s">
        <v>51582</v>
      </c>
      <c r="D23362" s="30" t="s">
        <v>17</v>
      </c>
      <c r="E23362" s="30" t="s">
        <v>26</v>
      </c>
      <c r="F23362" s="30" t="s">
        <v>27</v>
      </c>
      <c r="G23362" s="30" t="s">
        <v>140</v>
      </c>
      <c r="H23362" s="32">
        <v>41</v>
      </c>
      <c r="I23362" s="30" t="s">
        <v>51</v>
      </c>
      <c r="J23362" s="41">
        <v>45790</v>
      </c>
      <c r="K23362" s="30" t="s">
        <v>22</v>
      </c>
    </row>
    <row r="23363" spans="1:11">
      <c r="A23363" s="33" t="s">
        <v>51583</v>
      </c>
      <c r="B23363" s="33" t="s">
        <v>51584</v>
      </c>
      <c r="C23363" s="33" t="s">
        <v>985</v>
      </c>
      <c r="D23363" s="33" t="s">
        <v>17</v>
      </c>
      <c r="E23363" s="33" t="s">
        <v>26</v>
      </c>
      <c r="F23363" s="33" t="s">
        <v>27</v>
      </c>
      <c r="G23363" s="33" t="s">
        <v>140</v>
      </c>
      <c r="H23363" s="35">
        <v>28</v>
      </c>
      <c r="I23363" s="33" t="s">
        <v>51</v>
      </c>
      <c r="J23363" s="42">
        <v>45756</v>
      </c>
      <c r="K23363" s="33" t="s">
        <v>22</v>
      </c>
    </row>
    <row r="23364" spans="1:11">
      <c r="A23364" s="30" t="s">
        <v>51585</v>
      </c>
      <c r="B23364" s="30" t="s">
        <v>51586</v>
      </c>
      <c r="C23364" s="30" t="s">
        <v>957</v>
      </c>
      <c r="D23364" s="30" t="s">
        <v>17</v>
      </c>
      <c r="E23364" s="30" t="s">
        <v>31</v>
      </c>
      <c r="F23364" s="30" t="s">
        <v>32</v>
      </c>
      <c r="G23364" s="30" t="s">
        <v>140</v>
      </c>
      <c r="H23364" s="32">
        <v>270</v>
      </c>
      <c r="I23364" s="30" t="s">
        <v>51</v>
      </c>
      <c r="J23364" s="41">
        <v>45758</v>
      </c>
      <c r="K23364" s="30" t="s">
        <v>22</v>
      </c>
    </row>
    <row r="23365" spans="1:11">
      <c r="A23365" s="33" t="s">
        <v>51587</v>
      </c>
      <c r="B23365" s="33" t="s">
        <v>51588</v>
      </c>
      <c r="C23365" s="33" t="s">
        <v>96</v>
      </c>
      <c r="D23365" s="33" t="s">
        <v>17</v>
      </c>
      <c r="E23365" s="33" t="s">
        <v>31</v>
      </c>
      <c r="F23365" s="33" t="s">
        <v>32</v>
      </c>
      <c r="G23365" s="33" t="s">
        <v>140</v>
      </c>
      <c r="H23365" s="35">
        <v>200</v>
      </c>
      <c r="I23365" s="33" t="s">
        <v>51</v>
      </c>
      <c r="J23365" s="42">
        <v>45960</v>
      </c>
      <c r="K23365" s="33" t="s">
        <v>22</v>
      </c>
    </row>
    <row r="23366" spans="1:11">
      <c r="A23366" s="30" t="s">
        <v>51589</v>
      </c>
      <c r="B23366" s="30" t="s">
        <v>51590</v>
      </c>
      <c r="C23366" s="30" t="s">
        <v>51591</v>
      </c>
      <c r="D23366" s="30" t="s">
        <v>17</v>
      </c>
      <c r="E23366" s="30" t="s">
        <v>26</v>
      </c>
      <c r="F23366" s="30" t="s">
        <v>27</v>
      </c>
      <c r="G23366" s="30" t="s">
        <v>140</v>
      </c>
      <c r="H23366" s="32">
        <v>50</v>
      </c>
      <c r="I23366" s="30" t="s">
        <v>51</v>
      </c>
      <c r="J23366" s="41">
        <v>45980</v>
      </c>
      <c r="K23366" s="30" t="s">
        <v>22</v>
      </c>
    </row>
    <row r="23367" spans="1:11">
      <c r="A23367" s="33" t="s">
        <v>51592</v>
      </c>
      <c r="B23367" s="33" t="s">
        <v>51593</v>
      </c>
      <c r="C23367" s="33" t="s">
        <v>157</v>
      </c>
      <c r="D23367" s="33" t="s">
        <v>17</v>
      </c>
      <c r="E23367" s="33" t="s">
        <v>18</v>
      </c>
      <c r="F23367" s="33" t="s">
        <v>19</v>
      </c>
      <c r="G23367" s="33" t="s">
        <v>140</v>
      </c>
      <c r="H23367" s="35">
        <v>225</v>
      </c>
      <c r="I23367" s="33" t="s">
        <v>51</v>
      </c>
      <c r="J23367" s="42">
        <v>45783</v>
      </c>
      <c r="K23367" s="33" t="s">
        <v>22</v>
      </c>
    </row>
    <row r="23368" spans="1:11">
      <c r="A23368" s="30" t="s">
        <v>51594</v>
      </c>
      <c r="B23368" s="30" t="s">
        <v>51595</v>
      </c>
      <c r="C23368" s="30" t="s">
        <v>3655</v>
      </c>
      <c r="D23368" s="30" t="s">
        <v>17</v>
      </c>
      <c r="E23368" s="30" t="s">
        <v>18</v>
      </c>
      <c r="F23368" s="30" t="s">
        <v>19</v>
      </c>
      <c r="G23368" s="30" t="s">
        <v>140</v>
      </c>
      <c r="H23368" s="32">
        <v>480</v>
      </c>
      <c r="I23368" s="30" t="s">
        <v>51</v>
      </c>
      <c r="J23368" s="41">
        <v>45818</v>
      </c>
      <c r="K23368" s="30" t="s">
        <v>22</v>
      </c>
    </row>
    <row r="23369" spans="1:11">
      <c r="A23369" s="33" t="s">
        <v>51596</v>
      </c>
      <c r="B23369" s="33" t="s">
        <v>51597</v>
      </c>
      <c r="C23369" s="33" t="s">
        <v>2660</v>
      </c>
      <c r="D23369" s="33" t="s">
        <v>17</v>
      </c>
      <c r="E23369" s="33" t="s">
        <v>26</v>
      </c>
      <c r="F23369" s="33" t="s">
        <v>27</v>
      </c>
      <c r="G23369" s="33" t="s">
        <v>20</v>
      </c>
      <c r="H23369" s="35">
        <v>54</v>
      </c>
      <c r="I23369" s="33" t="s">
        <v>21</v>
      </c>
      <c r="J23369" s="42">
        <v>45761</v>
      </c>
      <c r="K23369" s="33" t="s">
        <v>22</v>
      </c>
    </row>
    <row r="23370" spans="1:11">
      <c r="A23370" s="30" t="s">
        <v>51598</v>
      </c>
      <c r="B23370" s="30" t="s">
        <v>51599</v>
      </c>
      <c r="C23370" s="30" t="s">
        <v>136</v>
      </c>
      <c r="D23370" s="30" t="s">
        <v>17</v>
      </c>
      <c r="E23370" s="30" t="s">
        <v>26</v>
      </c>
      <c r="F23370" s="30" t="s">
        <v>27</v>
      </c>
      <c r="G23370" s="30" t="s">
        <v>140</v>
      </c>
      <c r="H23370" s="32">
        <v>241</v>
      </c>
      <c r="I23370" s="30" t="s">
        <v>51</v>
      </c>
      <c r="J23370" s="41">
        <v>45952</v>
      </c>
      <c r="K23370" s="30" t="s">
        <v>22</v>
      </c>
    </row>
    <row r="23371" spans="1:11">
      <c r="A23371" s="33" t="s">
        <v>51600</v>
      </c>
      <c r="B23371" s="33" t="s">
        <v>51601</v>
      </c>
      <c r="C23371" s="33" t="s">
        <v>216</v>
      </c>
      <c r="D23371" s="33" t="s">
        <v>17</v>
      </c>
      <c r="E23371" s="33" t="s">
        <v>67</v>
      </c>
      <c r="F23371" s="33" t="s">
        <v>68</v>
      </c>
      <c r="G23371" s="33" t="s">
        <v>112</v>
      </c>
      <c r="H23371" s="35">
        <v>0</v>
      </c>
      <c r="I23371" s="33" t="s">
        <v>21</v>
      </c>
      <c r="J23371" s="42">
        <v>45688</v>
      </c>
      <c r="K23371" s="33" t="s">
        <v>22</v>
      </c>
    </row>
    <row r="23372" spans="1:11">
      <c r="A23372" s="30" t="s">
        <v>51602</v>
      </c>
      <c r="B23372" s="30" t="s">
        <v>51603</v>
      </c>
      <c r="C23372" s="30" t="s">
        <v>28178</v>
      </c>
      <c r="D23372" s="30" t="s">
        <v>17</v>
      </c>
      <c r="E23372" s="30" t="s">
        <v>31</v>
      </c>
      <c r="F23372" s="30" t="s">
        <v>32</v>
      </c>
      <c r="G23372" s="30" t="s">
        <v>158</v>
      </c>
      <c r="H23372" s="32">
        <v>421</v>
      </c>
      <c r="I23372" s="30" t="s">
        <v>21</v>
      </c>
      <c r="J23372" s="41">
        <v>45684</v>
      </c>
      <c r="K23372" s="30" t="s">
        <v>22</v>
      </c>
    </row>
    <row r="23373" spans="1:11">
      <c r="A23373" s="33" t="s">
        <v>51604</v>
      </c>
      <c r="B23373" s="33" t="s">
        <v>51605</v>
      </c>
      <c r="C23373" s="33" t="s">
        <v>20598</v>
      </c>
      <c r="D23373" s="33" t="s">
        <v>17</v>
      </c>
      <c r="E23373" s="33" t="s">
        <v>26</v>
      </c>
      <c r="F23373" s="33" t="s">
        <v>27</v>
      </c>
      <c r="G23373" s="33" t="s">
        <v>20</v>
      </c>
      <c r="H23373" s="35">
        <v>18</v>
      </c>
      <c r="I23373" s="33" t="s">
        <v>21</v>
      </c>
      <c r="J23373" s="42">
        <v>45659</v>
      </c>
      <c r="K23373" s="33" t="s">
        <v>22</v>
      </c>
    </row>
    <row r="23374" spans="1:11">
      <c r="A23374" s="30" t="s">
        <v>51606</v>
      </c>
      <c r="B23374" s="30" t="s">
        <v>51607</v>
      </c>
      <c r="C23374" s="30" t="s">
        <v>190</v>
      </c>
      <c r="D23374" s="30" t="s">
        <v>17</v>
      </c>
      <c r="E23374" s="30" t="s">
        <v>18</v>
      </c>
      <c r="F23374" s="30" t="s">
        <v>19</v>
      </c>
      <c r="G23374" s="30" t="s">
        <v>140</v>
      </c>
      <c r="H23374" s="32">
        <v>11300</v>
      </c>
      <c r="I23374" s="30" t="s">
        <v>51</v>
      </c>
      <c r="J23374" s="41">
        <v>45730</v>
      </c>
      <c r="K23374" s="30" t="s">
        <v>22</v>
      </c>
    </row>
    <row r="23375" spans="1:11">
      <c r="A23375" s="33" t="s">
        <v>51608</v>
      </c>
      <c r="B23375" s="33" t="s">
        <v>51609</v>
      </c>
      <c r="C23375" s="33" t="s">
        <v>51610</v>
      </c>
      <c r="D23375" s="33" t="s">
        <v>17</v>
      </c>
      <c r="E23375" s="33" t="s">
        <v>26</v>
      </c>
      <c r="F23375" s="33" t="s">
        <v>27</v>
      </c>
      <c r="G23375" s="33" t="s">
        <v>140</v>
      </c>
      <c r="H23375" s="35">
        <v>10</v>
      </c>
      <c r="I23375" s="33" t="s">
        <v>51</v>
      </c>
      <c r="J23375" s="42">
        <v>45705</v>
      </c>
      <c r="K23375" s="33" t="s">
        <v>22</v>
      </c>
    </row>
    <row r="23376" spans="1:11">
      <c r="A23376" s="30" t="s">
        <v>51611</v>
      </c>
      <c r="B23376" s="30" t="s">
        <v>51612</v>
      </c>
      <c r="C23376" s="30" t="s">
        <v>93</v>
      </c>
      <c r="D23376" s="30" t="s">
        <v>17</v>
      </c>
      <c r="E23376" s="30" t="s">
        <v>18</v>
      </c>
      <c r="F23376" s="30" t="s">
        <v>19</v>
      </c>
      <c r="G23376" s="30" t="s">
        <v>112</v>
      </c>
      <c r="H23376" s="32">
        <v>0</v>
      </c>
      <c r="I23376" s="30" t="s">
        <v>21</v>
      </c>
      <c r="J23376" s="41">
        <v>45915</v>
      </c>
      <c r="K23376" s="30" t="s">
        <v>22</v>
      </c>
    </row>
    <row r="23377" spans="1:11">
      <c r="A23377" s="33" t="s">
        <v>51613</v>
      </c>
      <c r="B23377" s="33" t="s">
        <v>51614</v>
      </c>
      <c r="C23377" s="33" t="s">
        <v>16002</v>
      </c>
      <c r="D23377" s="33" t="s">
        <v>17</v>
      </c>
      <c r="E23377" s="33" t="s">
        <v>26</v>
      </c>
      <c r="F23377" s="33" t="s">
        <v>27</v>
      </c>
      <c r="G23377" s="33" t="s">
        <v>20</v>
      </c>
      <c r="H23377" s="35">
        <v>43</v>
      </c>
      <c r="I23377" s="33" t="s">
        <v>21</v>
      </c>
      <c r="J23377" s="42">
        <v>45944</v>
      </c>
      <c r="K23377" s="33" t="s">
        <v>22</v>
      </c>
    </row>
    <row r="23378" spans="1:11">
      <c r="A23378" s="30" t="s">
        <v>51615</v>
      </c>
      <c r="B23378" s="30" t="s">
        <v>51616</v>
      </c>
      <c r="C23378" s="30" t="s">
        <v>203</v>
      </c>
      <c r="D23378" s="30" t="s">
        <v>17</v>
      </c>
      <c r="E23378" s="30" t="s">
        <v>18</v>
      </c>
      <c r="F23378" s="30" t="s">
        <v>19</v>
      </c>
      <c r="G23378" s="30" t="s">
        <v>20</v>
      </c>
      <c r="H23378" s="32">
        <v>2212</v>
      </c>
      <c r="I23378" s="30" t="s">
        <v>21</v>
      </c>
      <c r="J23378" s="41">
        <v>45687</v>
      </c>
      <c r="K23378" s="30" t="s">
        <v>22</v>
      </c>
    </row>
    <row r="23379" spans="1:11">
      <c r="A23379" s="33" t="s">
        <v>51617</v>
      </c>
      <c r="B23379" s="33" t="s">
        <v>51618</v>
      </c>
      <c r="C23379" s="33" t="s">
        <v>310</v>
      </c>
      <c r="D23379" s="33" t="s">
        <v>17</v>
      </c>
      <c r="E23379" s="33" t="s">
        <v>212</v>
      </c>
      <c r="F23379" s="33" t="s">
        <v>213</v>
      </c>
      <c r="G23379" s="33" t="s">
        <v>140</v>
      </c>
      <c r="H23379" s="35">
        <v>64</v>
      </c>
      <c r="I23379" s="33" t="s">
        <v>51</v>
      </c>
      <c r="J23379" s="42">
        <v>45895</v>
      </c>
      <c r="K23379" s="33" t="s">
        <v>22</v>
      </c>
    </row>
    <row r="23380" spans="1:11">
      <c r="A23380" s="30" t="s">
        <v>51619</v>
      </c>
      <c r="B23380" s="30" t="s">
        <v>51620</v>
      </c>
      <c r="C23380" s="30" t="s">
        <v>510</v>
      </c>
      <c r="D23380" s="30" t="s">
        <v>17</v>
      </c>
      <c r="E23380" s="30" t="s">
        <v>26</v>
      </c>
      <c r="F23380" s="30" t="s">
        <v>27</v>
      </c>
      <c r="G23380" s="30" t="s">
        <v>140</v>
      </c>
      <c r="H23380" s="32">
        <v>94</v>
      </c>
      <c r="I23380" s="30" t="s">
        <v>51</v>
      </c>
      <c r="J23380" s="41">
        <v>45718</v>
      </c>
      <c r="K23380" s="30" t="s">
        <v>22</v>
      </c>
    </row>
    <row r="23381" spans="1:11">
      <c r="A23381" s="33" t="s">
        <v>51621</v>
      </c>
      <c r="B23381" s="33" t="s">
        <v>51622</v>
      </c>
      <c r="C23381" s="33" t="s">
        <v>10451</v>
      </c>
      <c r="D23381" s="33" t="s">
        <v>17</v>
      </c>
      <c r="E23381" s="33" t="s">
        <v>67</v>
      </c>
      <c r="F23381" s="33" t="s">
        <v>68</v>
      </c>
      <c r="G23381" s="33" t="s">
        <v>140</v>
      </c>
      <c r="H23381" s="35">
        <v>28</v>
      </c>
      <c r="I23381" s="33" t="s">
        <v>51</v>
      </c>
      <c r="J23381" s="42">
        <v>45870</v>
      </c>
      <c r="K23381" s="33" t="s">
        <v>22</v>
      </c>
    </row>
    <row r="23382" spans="1:11">
      <c r="A23382" s="30" t="s">
        <v>51623</v>
      </c>
      <c r="B23382" s="30" t="s">
        <v>51624</v>
      </c>
      <c r="C23382" s="30" t="s">
        <v>87</v>
      </c>
      <c r="D23382" s="30" t="s">
        <v>17</v>
      </c>
      <c r="E23382" s="30" t="s">
        <v>31</v>
      </c>
      <c r="F23382" s="30" t="s">
        <v>32</v>
      </c>
      <c r="G23382" s="30" t="s">
        <v>7780</v>
      </c>
      <c r="H23382" s="32">
        <v>72</v>
      </c>
      <c r="I23382" s="30" t="s">
        <v>51</v>
      </c>
      <c r="J23382" s="41">
        <v>45901</v>
      </c>
      <c r="K23382" s="30" t="s">
        <v>22</v>
      </c>
    </row>
    <row r="23383" spans="1:11">
      <c r="A23383" s="33" t="s">
        <v>51625</v>
      </c>
      <c r="B23383" s="33" t="s">
        <v>51626</v>
      </c>
      <c r="C23383" s="33" t="s">
        <v>178</v>
      </c>
      <c r="D23383" s="33" t="s">
        <v>17</v>
      </c>
      <c r="E23383" s="33" t="s">
        <v>18</v>
      </c>
      <c r="F23383" s="33" t="s">
        <v>19</v>
      </c>
      <c r="G23383" s="33" t="s">
        <v>140</v>
      </c>
      <c r="H23383" s="35">
        <v>800</v>
      </c>
      <c r="I23383" s="33" t="s">
        <v>51</v>
      </c>
      <c r="J23383" s="42">
        <v>45917</v>
      </c>
      <c r="K23383" s="33" t="s">
        <v>22</v>
      </c>
    </row>
    <row r="23384" spans="1:11">
      <c r="A23384" s="30" t="s">
        <v>51627</v>
      </c>
      <c r="B23384" s="30" t="s">
        <v>51628</v>
      </c>
      <c r="C23384" s="30" t="s">
        <v>13181</v>
      </c>
      <c r="D23384" s="30" t="s">
        <v>17</v>
      </c>
      <c r="E23384" s="30" t="s">
        <v>26</v>
      </c>
      <c r="F23384" s="30" t="s">
        <v>27</v>
      </c>
      <c r="G23384" s="30" t="s">
        <v>20</v>
      </c>
      <c r="H23384" s="32">
        <v>48</v>
      </c>
      <c r="I23384" s="30" t="s">
        <v>21</v>
      </c>
      <c r="J23384" s="41">
        <v>46022</v>
      </c>
      <c r="K23384" s="30" t="s">
        <v>22</v>
      </c>
    </row>
    <row r="23385" spans="1:11">
      <c r="A23385" s="33" t="s">
        <v>51629</v>
      </c>
      <c r="B23385" s="33" t="s">
        <v>51630</v>
      </c>
      <c r="C23385" s="33" t="s">
        <v>51631</v>
      </c>
      <c r="D23385" s="33" t="s">
        <v>17</v>
      </c>
      <c r="E23385" s="33" t="s">
        <v>212</v>
      </c>
      <c r="F23385" s="33" t="s">
        <v>213</v>
      </c>
      <c r="G23385" s="33" t="s">
        <v>140</v>
      </c>
      <c r="H23385" s="35">
        <v>2708</v>
      </c>
      <c r="I23385" s="33" t="s">
        <v>51</v>
      </c>
      <c r="J23385" s="42">
        <v>45967</v>
      </c>
      <c r="K23385" s="33" t="s">
        <v>22</v>
      </c>
    </row>
    <row r="23386" spans="1:11">
      <c r="A23386" s="30" t="s">
        <v>51632</v>
      </c>
      <c r="B23386" s="30" t="s">
        <v>51633</v>
      </c>
      <c r="C23386" s="30" t="s">
        <v>157</v>
      </c>
      <c r="D23386" s="30" t="s">
        <v>17</v>
      </c>
      <c r="E23386" s="30" t="s">
        <v>26</v>
      </c>
      <c r="F23386" s="30" t="s">
        <v>27</v>
      </c>
      <c r="G23386" s="30" t="s">
        <v>20</v>
      </c>
      <c r="H23386" s="32">
        <v>78</v>
      </c>
      <c r="I23386" s="30" t="s">
        <v>21</v>
      </c>
      <c r="J23386" s="41">
        <v>45680</v>
      </c>
      <c r="K23386" s="30" t="s">
        <v>22</v>
      </c>
    </row>
    <row r="23387" spans="1:11">
      <c r="A23387" s="33" t="s">
        <v>51634</v>
      </c>
      <c r="B23387" s="33" t="s">
        <v>51635</v>
      </c>
      <c r="C23387" s="33" t="s">
        <v>7163</v>
      </c>
      <c r="D23387" s="33" t="s">
        <v>17</v>
      </c>
      <c r="E23387" s="33" t="s">
        <v>45</v>
      </c>
      <c r="F23387" s="33" t="s">
        <v>46</v>
      </c>
      <c r="G23387" s="33" t="s">
        <v>7780</v>
      </c>
      <c r="H23387" s="35">
        <v>720</v>
      </c>
      <c r="I23387" s="33" t="s">
        <v>51</v>
      </c>
      <c r="J23387" s="42">
        <v>45870</v>
      </c>
      <c r="K23387" s="33" t="s">
        <v>22</v>
      </c>
    </row>
    <row r="23388" spans="1:11">
      <c r="A23388" s="30" t="s">
        <v>51636</v>
      </c>
      <c r="B23388" s="30" t="s">
        <v>51637</v>
      </c>
      <c r="C23388" s="30" t="s">
        <v>124</v>
      </c>
      <c r="D23388" s="30" t="s">
        <v>17</v>
      </c>
      <c r="E23388" s="30" t="s">
        <v>26</v>
      </c>
      <c r="F23388" s="30" t="s">
        <v>27</v>
      </c>
      <c r="G23388" s="30" t="s">
        <v>140</v>
      </c>
      <c r="H23388" s="32">
        <v>159</v>
      </c>
      <c r="I23388" s="30" t="s">
        <v>51</v>
      </c>
      <c r="J23388" s="41">
        <v>45884</v>
      </c>
      <c r="K23388" s="30" t="s">
        <v>22</v>
      </c>
    </row>
    <row r="23389" spans="1:11">
      <c r="A23389" s="33" t="s">
        <v>51638</v>
      </c>
      <c r="B23389" s="33" t="s">
        <v>51639</v>
      </c>
      <c r="C23389" s="33" t="s">
        <v>23340</v>
      </c>
      <c r="D23389" s="33" t="s">
        <v>17</v>
      </c>
      <c r="E23389" s="33" t="s">
        <v>18</v>
      </c>
      <c r="F23389" s="33" t="s">
        <v>19</v>
      </c>
      <c r="G23389" s="33" t="s">
        <v>140</v>
      </c>
      <c r="H23389" s="35">
        <v>108</v>
      </c>
      <c r="I23389" s="33" t="s">
        <v>51</v>
      </c>
      <c r="J23389" s="42">
        <v>45860</v>
      </c>
      <c r="K23389" s="33" t="s">
        <v>22</v>
      </c>
    </row>
    <row r="23390" spans="1:11">
      <c r="A23390" s="30" t="s">
        <v>51640</v>
      </c>
      <c r="B23390" s="30" t="s">
        <v>51641</v>
      </c>
      <c r="C23390" s="30" t="s">
        <v>14253</v>
      </c>
      <c r="D23390" s="30" t="s">
        <v>17</v>
      </c>
      <c r="E23390" s="30" t="s">
        <v>26</v>
      </c>
      <c r="F23390" s="30" t="s">
        <v>27</v>
      </c>
      <c r="G23390" s="30" t="s">
        <v>140</v>
      </c>
      <c r="H23390" s="32">
        <v>24</v>
      </c>
      <c r="I23390" s="30" t="s">
        <v>51</v>
      </c>
      <c r="J23390" s="41">
        <v>45678</v>
      </c>
      <c r="K23390" s="30" t="s">
        <v>22</v>
      </c>
    </row>
    <row r="23391" spans="1:11">
      <c r="A23391" s="33" t="s">
        <v>51642</v>
      </c>
      <c r="B23391" s="33" t="s">
        <v>51643</v>
      </c>
      <c r="C23391" s="33" t="s">
        <v>96</v>
      </c>
      <c r="D23391" s="33" t="s">
        <v>17</v>
      </c>
      <c r="E23391" s="33" t="s">
        <v>26</v>
      </c>
      <c r="F23391" s="33" t="s">
        <v>27</v>
      </c>
      <c r="G23391" s="33" t="s">
        <v>20</v>
      </c>
      <c r="H23391" s="35">
        <v>35</v>
      </c>
      <c r="I23391" s="33" t="s">
        <v>21</v>
      </c>
      <c r="J23391" s="42">
        <v>45883</v>
      </c>
      <c r="K23391" s="33" t="s">
        <v>22</v>
      </c>
    </row>
    <row r="23392" spans="1:11">
      <c r="A23392" s="30" t="s">
        <v>51644</v>
      </c>
      <c r="B23392" s="30" t="s">
        <v>51645</v>
      </c>
      <c r="C23392" s="30" t="s">
        <v>21488</v>
      </c>
      <c r="D23392" s="30" t="s">
        <v>17</v>
      </c>
      <c r="E23392" s="30" t="s">
        <v>212</v>
      </c>
      <c r="F23392" s="30" t="s">
        <v>213</v>
      </c>
      <c r="G23392" s="30" t="s">
        <v>158</v>
      </c>
      <c r="H23392" s="32">
        <v>94</v>
      </c>
      <c r="I23392" s="30" t="s">
        <v>51</v>
      </c>
      <c r="J23392" s="41">
        <v>45819</v>
      </c>
      <c r="K23392" s="30" t="s">
        <v>22</v>
      </c>
    </row>
    <row r="23393" spans="1:11">
      <c r="A23393" s="33" t="s">
        <v>51646</v>
      </c>
      <c r="B23393" s="33" t="s">
        <v>51647</v>
      </c>
      <c r="C23393" s="33" t="s">
        <v>47896</v>
      </c>
      <c r="D23393" s="33" t="s">
        <v>17</v>
      </c>
      <c r="E23393" s="33" t="s">
        <v>31</v>
      </c>
      <c r="F23393" s="33" t="s">
        <v>32</v>
      </c>
      <c r="G23393" s="33" t="s">
        <v>158</v>
      </c>
      <c r="H23393" s="35">
        <v>225</v>
      </c>
      <c r="I23393" s="33" t="s">
        <v>51</v>
      </c>
      <c r="J23393" s="42">
        <v>45793</v>
      </c>
      <c r="K23393" s="33" t="s">
        <v>22</v>
      </c>
    </row>
    <row r="23394" spans="1:11">
      <c r="A23394" s="30" t="s">
        <v>51648</v>
      </c>
      <c r="B23394" s="30" t="s">
        <v>51649</v>
      </c>
      <c r="C23394" s="30" t="s">
        <v>96</v>
      </c>
      <c r="D23394" s="30" t="s">
        <v>17</v>
      </c>
      <c r="E23394" s="30" t="s">
        <v>26</v>
      </c>
      <c r="F23394" s="30" t="s">
        <v>27</v>
      </c>
      <c r="G23394" s="30" t="s">
        <v>20</v>
      </c>
      <c r="H23394" s="32">
        <v>12</v>
      </c>
      <c r="I23394" s="30" t="s">
        <v>21</v>
      </c>
      <c r="J23394" s="41">
        <v>45895</v>
      </c>
      <c r="K23394" s="30" t="s">
        <v>22</v>
      </c>
    </row>
    <row r="23395" spans="1:11">
      <c r="A23395" s="33" t="s">
        <v>51650</v>
      </c>
      <c r="B23395" s="33" t="s">
        <v>51651</v>
      </c>
      <c r="C23395" s="33" t="s">
        <v>382</v>
      </c>
      <c r="D23395" s="33" t="s">
        <v>17</v>
      </c>
      <c r="E23395" s="33" t="s">
        <v>31</v>
      </c>
      <c r="F23395" s="33" t="s">
        <v>32</v>
      </c>
      <c r="G23395" s="33" t="s">
        <v>158</v>
      </c>
      <c r="H23395" s="35">
        <v>100</v>
      </c>
      <c r="I23395" s="33" t="s">
        <v>21</v>
      </c>
      <c r="J23395" s="42">
        <v>45792</v>
      </c>
      <c r="K23395" s="33" t="s">
        <v>22</v>
      </c>
    </row>
    <row r="23396" spans="1:11">
      <c r="A23396" s="30" t="s">
        <v>51652</v>
      </c>
      <c r="B23396" s="30" t="s">
        <v>51653</v>
      </c>
      <c r="C23396" s="30" t="s">
        <v>252</v>
      </c>
      <c r="D23396" s="30" t="s">
        <v>17</v>
      </c>
      <c r="E23396" s="30" t="s">
        <v>18</v>
      </c>
      <c r="F23396" s="30" t="s">
        <v>19</v>
      </c>
      <c r="G23396" s="30" t="s">
        <v>140</v>
      </c>
      <c r="H23396" s="32">
        <v>760</v>
      </c>
      <c r="I23396" s="30" t="s">
        <v>51</v>
      </c>
      <c r="J23396" s="41">
        <v>45883</v>
      </c>
      <c r="K23396" s="30" t="s">
        <v>22</v>
      </c>
    </row>
    <row r="23397" spans="1:11">
      <c r="A23397" s="33" t="s">
        <v>51654</v>
      </c>
      <c r="B23397" s="33" t="s">
        <v>51655</v>
      </c>
      <c r="C23397" s="33" t="s">
        <v>63</v>
      </c>
      <c r="D23397" s="33" t="s">
        <v>17</v>
      </c>
      <c r="E23397" s="33" t="s">
        <v>26</v>
      </c>
      <c r="F23397" s="33" t="s">
        <v>27</v>
      </c>
      <c r="G23397" s="33" t="s">
        <v>112</v>
      </c>
      <c r="H23397" s="35">
        <v>0</v>
      </c>
      <c r="I23397" s="33" t="s">
        <v>21</v>
      </c>
      <c r="J23397" s="42">
        <v>45868</v>
      </c>
      <c r="K23397" s="33" t="s">
        <v>22</v>
      </c>
    </row>
    <row r="23398" spans="1:11">
      <c r="A23398" s="30" t="s">
        <v>51656</v>
      </c>
      <c r="B23398" s="30" t="s">
        <v>51657</v>
      </c>
      <c r="C23398" s="30" t="s">
        <v>43650</v>
      </c>
      <c r="D23398" s="30" t="s">
        <v>17</v>
      </c>
      <c r="E23398" s="30" t="s">
        <v>26</v>
      </c>
      <c r="F23398" s="30" t="s">
        <v>27</v>
      </c>
      <c r="G23398" s="30" t="s">
        <v>7780</v>
      </c>
      <c r="H23398" s="32">
        <v>228</v>
      </c>
      <c r="I23398" s="30" t="s">
        <v>51</v>
      </c>
      <c r="J23398" s="41">
        <v>45869</v>
      </c>
      <c r="K23398" s="30" t="s">
        <v>22</v>
      </c>
    </row>
    <row r="23399" spans="1:11">
      <c r="A23399" s="33" t="s">
        <v>51658</v>
      </c>
      <c r="B23399" s="33" t="s">
        <v>51659</v>
      </c>
      <c r="C23399" s="33" t="s">
        <v>26340</v>
      </c>
      <c r="D23399" s="33" t="s">
        <v>17</v>
      </c>
      <c r="E23399" s="33" t="s">
        <v>18</v>
      </c>
      <c r="F23399" s="33" t="s">
        <v>19</v>
      </c>
      <c r="G23399" s="33" t="s">
        <v>158</v>
      </c>
      <c r="H23399" s="35">
        <v>4049</v>
      </c>
      <c r="I23399" s="33" t="s">
        <v>21</v>
      </c>
      <c r="J23399" s="42">
        <v>45992</v>
      </c>
      <c r="K23399" s="33" t="s">
        <v>22</v>
      </c>
    </row>
    <row r="23400" spans="1:11">
      <c r="A23400" s="30" t="s">
        <v>51660</v>
      </c>
      <c r="B23400" s="30" t="s">
        <v>51661</v>
      </c>
      <c r="C23400" s="30" t="s">
        <v>14331</v>
      </c>
      <c r="D23400" s="30" t="s">
        <v>17</v>
      </c>
      <c r="E23400" s="30" t="s">
        <v>18</v>
      </c>
      <c r="F23400" s="30" t="s">
        <v>19</v>
      </c>
      <c r="G23400" s="30" t="s">
        <v>2613</v>
      </c>
      <c r="H23400" s="32">
        <v>230</v>
      </c>
      <c r="I23400" s="30" t="s">
        <v>51</v>
      </c>
      <c r="J23400" s="41">
        <v>45863</v>
      </c>
      <c r="K23400" s="30" t="s">
        <v>22</v>
      </c>
    </row>
    <row r="23401" spans="1:11">
      <c r="A23401" s="33" t="s">
        <v>51662</v>
      </c>
      <c r="B23401" s="33" t="s">
        <v>51663</v>
      </c>
      <c r="C23401" s="33" t="s">
        <v>42623</v>
      </c>
      <c r="D23401" s="33" t="s">
        <v>17</v>
      </c>
      <c r="E23401" s="33" t="s">
        <v>26</v>
      </c>
      <c r="F23401" s="33" t="s">
        <v>27</v>
      </c>
      <c r="G23401" s="33" t="s">
        <v>2613</v>
      </c>
      <c r="H23401" s="35">
        <v>18</v>
      </c>
      <c r="I23401" s="33" t="s">
        <v>51</v>
      </c>
      <c r="J23401" s="42">
        <v>45769</v>
      </c>
      <c r="K23401" s="33" t="s">
        <v>22</v>
      </c>
    </row>
    <row r="23402" spans="1:11">
      <c r="A23402" s="30" t="s">
        <v>51664</v>
      </c>
      <c r="B23402" s="30" t="s">
        <v>51665</v>
      </c>
      <c r="C23402" s="30" t="s">
        <v>647</v>
      </c>
      <c r="D23402" s="30" t="s">
        <v>17</v>
      </c>
      <c r="E23402" s="30" t="s">
        <v>31</v>
      </c>
      <c r="F23402" s="30" t="s">
        <v>32</v>
      </c>
      <c r="G23402" s="30" t="s">
        <v>140</v>
      </c>
      <c r="H23402" s="32">
        <v>96</v>
      </c>
      <c r="I23402" s="30" t="s">
        <v>51</v>
      </c>
      <c r="J23402" s="41">
        <v>45790</v>
      </c>
      <c r="K23402" s="30" t="s">
        <v>22</v>
      </c>
    </row>
    <row r="23403" spans="1:11">
      <c r="A23403" s="33" t="s">
        <v>51666</v>
      </c>
      <c r="B23403" s="33" t="s">
        <v>51667</v>
      </c>
      <c r="C23403" s="33" t="s">
        <v>109</v>
      </c>
      <c r="D23403" s="33" t="s">
        <v>17</v>
      </c>
      <c r="E23403" s="33" t="s">
        <v>212</v>
      </c>
      <c r="F23403" s="33" t="s">
        <v>213</v>
      </c>
      <c r="G23403" s="33" t="s">
        <v>140</v>
      </c>
      <c r="H23403" s="35">
        <v>520</v>
      </c>
      <c r="I23403" s="33" t="s">
        <v>51</v>
      </c>
      <c r="J23403" s="42">
        <v>45699</v>
      </c>
      <c r="K23403" s="33" t="s">
        <v>22</v>
      </c>
    </row>
    <row r="23404" spans="1:11">
      <c r="A23404" s="30" t="s">
        <v>51668</v>
      </c>
      <c r="B23404" s="30" t="s">
        <v>51669</v>
      </c>
      <c r="C23404" s="30" t="s">
        <v>93</v>
      </c>
      <c r="D23404" s="30" t="s">
        <v>17</v>
      </c>
      <c r="E23404" s="30" t="s">
        <v>26</v>
      </c>
      <c r="F23404" s="30" t="s">
        <v>27</v>
      </c>
      <c r="G23404" s="30" t="s">
        <v>140</v>
      </c>
      <c r="H23404" s="32">
        <v>135</v>
      </c>
      <c r="I23404" s="30" t="s">
        <v>51</v>
      </c>
      <c r="J23404" s="41">
        <v>45876</v>
      </c>
      <c r="K23404" s="30" t="s">
        <v>22</v>
      </c>
    </row>
    <row r="23405" spans="1:11">
      <c r="A23405" s="33" t="s">
        <v>51670</v>
      </c>
      <c r="B23405" s="33" t="s">
        <v>51671</v>
      </c>
      <c r="C23405" s="33" t="s">
        <v>118</v>
      </c>
      <c r="D23405" s="33" t="s">
        <v>17</v>
      </c>
      <c r="E23405" s="33" t="s">
        <v>26</v>
      </c>
      <c r="F23405" s="33" t="s">
        <v>27</v>
      </c>
      <c r="G23405" s="33" t="s">
        <v>140</v>
      </c>
      <c r="H23405" s="35">
        <v>148</v>
      </c>
      <c r="I23405" s="33" t="s">
        <v>51</v>
      </c>
      <c r="J23405" s="42">
        <v>45716</v>
      </c>
      <c r="K23405" s="33" t="s">
        <v>22</v>
      </c>
    </row>
    <row r="23406" spans="1:11">
      <c r="A23406" s="30" t="s">
        <v>51672</v>
      </c>
      <c r="B23406" s="30" t="s">
        <v>51673</v>
      </c>
      <c r="C23406" s="30" t="s">
        <v>157</v>
      </c>
      <c r="D23406" s="30" t="s">
        <v>17</v>
      </c>
      <c r="E23406" s="30" t="s">
        <v>18</v>
      </c>
      <c r="F23406" s="30" t="s">
        <v>19</v>
      </c>
      <c r="G23406" s="30" t="s">
        <v>140</v>
      </c>
      <c r="H23406" s="32">
        <v>180</v>
      </c>
      <c r="I23406" s="30" t="s">
        <v>51</v>
      </c>
      <c r="J23406" s="41">
        <v>45931</v>
      </c>
      <c r="K23406" s="30" t="s">
        <v>22</v>
      </c>
    </row>
    <row r="23407" spans="1:11">
      <c r="A23407" s="33" t="s">
        <v>51674</v>
      </c>
      <c r="B23407" s="33" t="s">
        <v>51675</v>
      </c>
      <c r="C23407" s="33" t="s">
        <v>11899</v>
      </c>
      <c r="D23407" s="33" t="s">
        <v>17</v>
      </c>
      <c r="E23407" s="33" t="s">
        <v>67</v>
      </c>
      <c r="F23407" s="33" t="s">
        <v>68</v>
      </c>
      <c r="G23407" s="33" t="s">
        <v>7780</v>
      </c>
      <c r="H23407" s="35">
        <v>200</v>
      </c>
      <c r="I23407" s="33" t="s">
        <v>51</v>
      </c>
      <c r="J23407" s="42">
        <v>45962</v>
      </c>
      <c r="K23407" s="33" t="s">
        <v>22</v>
      </c>
    </row>
    <row r="23408" spans="1:11">
      <c r="A23408" s="30" t="s">
        <v>51676</v>
      </c>
      <c r="B23408" s="30" t="s">
        <v>51677</v>
      </c>
      <c r="C23408" s="30" t="s">
        <v>118</v>
      </c>
      <c r="D23408" s="30" t="s">
        <v>17</v>
      </c>
      <c r="E23408" s="30" t="s">
        <v>26</v>
      </c>
      <c r="F23408" s="30" t="s">
        <v>27</v>
      </c>
      <c r="G23408" s="30" t="s">
        <v>20</v>
      </c>
      <c r="H23408" s="32">
        <v>16</v>
      </c>
      <c r="I23408" s="30" t="s">
        <v>21</v>
      </c>
      <c r="J23408" s="41">
        <v>45922</v>
      </c>
      <c r="K23408" s="30" t="s">
        <v>22</v>
      </c>
    </row>
    <row r="23409" spans="1:11">
      <c r="A23409" s="33" t="s">
        <v>51678</v>
      </c>
      <c r="B23409" s="33" t="s">
        <v>51679</v>
      </c>
      <c r="C23409" s="33" t="s">
        <v>2001</v>
      </c>
      <c r="D23409" s="33" t="s">
        <v>17</v>
      </c>
      <c r="E23409" s="33" t="s">
        <v>18</v>
      </c>
      <c r="F23409" s="33" t="s">
        <v>19</v>
      </c>
      <c r="G23409" s="33" t="s">
        <v>158</v>
      </c>
      <c r="H23409" s="35">
        <v>1630</v>
      </c>
      <c r="I23409" s="33" t="s">
        <v>51</v>
      </c>
      <c r="J23409" s="42">
        <v>45670</v>
      </c>
      <c r="K23409" s="33" t="s">
        <v>22</v>
      </c>
    </row>
    <row r="23410" spans="1:11">
      <c r="A23410" s="30" t="s">
        <v>51680</v>
      </c>
      <c r="B23410" s="30" t="s">
        <v>51681</v>
      </c>
      <c r="C23410" s="30" t="s">
        <v>279</v>
      </c>
      <c r="D23410" s="30" t="s">
        <v>17</v>
      </c>
      <c r="E23410" s="30" t="s">
        <v>31</v>
      </c>
      <c r="F23410" s="30" t="s">
        <v>32</v>
      </c>
      <c r="G23410" s="30" t="s">
        <v>158</v>
      </c>
      <c r="H23410" s="32">
        <v>10</v>
      </c>
      <c r="I23410" s="30" t="s">
        <v>21</v>
      </c>
      <c r="J23410" s="41">
        <v>45779</v>
      </c>
      <c r="K23410" s="30" t="s">
        <v>22</v>
      </c>
    </row>
    <row r="23411" spans="1:11">
      <c r="A23411" s="33" t="s">
        <v>51682</v>
      </c>
      <c r="B23411" s="33" t="s">
        <v>51683</v>
      </c>
      <c r="C23411" s="33" t="s">
        <v>11899</v>
      </c>
      <c r="D23411" s="33" t="s">
        <v>17</v>
      </c>
      <c r="E23411" s="33" t="s">
        <v>31</v>
      </c>
      <c r="F23411" s="33" t="s">
        <v>32</v>
      </c>
      <c r="G23411" s="33" t="s">
        <v>140</v>
      </c>
      <c r="H23411" s="35">
        <v>200</v>
      </c>
      <c r="I23411" s="33" t="s">
        <v>51</v>
      </c>
      <c r="J23411" s="42">
        <v>45860</v>
      </c>
      <c r="K23411" s="33" t="s">
        <v>22</v>
      </c>
    </row>
    <row r="23412" spans="1:11">
      <c r="A23412" s="30" t="s">
        <v>51684</v>
      </c>
      <c r="B23412" s="30" t="s">
        <v>51685</v>
      </c>
      <c r="C23412" s="30" t="s">
        <v>1778</v>
      </c>
      <c r="D23412" s="30" t="s">
        <v>17</v>
      </c>
      <c r="E23412" s="30" t="s">
        <v>18</v>
      </c>
      <c r="F23412" s="30" t="s">
        <v>19</v>
      </c>
      <c r="G23412" s="30" t="s">
        <v>140</v>
      </c>
      <c r="H23412" s="32">
        <v>300</v>
      </c>
      <c r="I23412" s="30" t="s">
        <v>51</v>
      </c>
      <c r="J23412" s="41">
        <v>45992</v>
      </c>
      <c r="K23412" s="30" t="s">
        <v>22</v>
      </c>
    </row>
    <row r="23413" spans="1:11">
      <c r="A23413" s="33" t="s">
        <v>51686</v>
      </c>
      <c r="B23413" s="33" t="s">
        <v>51687</v>
      </c>
      <c r="C23413" s="33" t="s">
        <v>34362</v>
      </c>
      <c r="D23413" s="33" t="s">
        <v>17</v>
      </c>
      <c r="E23413" s="33" t="s">
        <v>26</v>
      </c>
      <c r="F23413" s="33" t="s">
        <v>27</v>
      </c>
      <c r="G23413" s="33" t="s">
        <v>7780</v>
      </c>
      <c r="H23413" s="35">
        <v>72</v>
      </c>
      <c r="I23413" s="33" t="s">
        <v>51</v>
      </c>
      <c r="J23413" s="42">
        <v>45962</v>
      </c>
      <c r="K23413" s="33" t="s">
        <v>22</v>
      </c>
    </row>
    <row r="23414" spans="1:11">
      <c r="A23414" s="30" t="s">
        <v>51688</v>
      </c>
      <c r="B23414" s="30" t="s">
        <v>51689</v>
      </c>
      <c r="C23414" s="30" t="s">
        <v>40619</v>
      </c>
      <c r="D23414" s="30" t="s">
        <v>17</v>
      </c>
      <c r="E23414" s="30" t="s">
        <v>26</v>
      </c>
      <c r="F23414" s="30" t="s">
        <v>27</v>
      </c>
      <c r="G23414" s="30" t="s">
        <v>20</v>
      </c>
      <c r="H23414" s="32">
        <v>36</v>
      </c>
      <c r="I23414" s="30" t="s">
        <v>21</v>
      </c>
      <c r="J23414" s="41">
        <v>46006</v>
      </c>
      <c r="K23414" s="30" t="s">
        <v>22</v>
      </c>
    </row>
    <row r="23415" spans="1:11">
      <c r="A23415" s="33" t="s">
        <v>51690</v>
      </c>
      <c r="B23415" s="33" t="s">
        <v>51691</v>
      </c>
      <c r="C23415" s="33" t="s">
        <v>190</v>
      </c>
      <c r="D23415" s="33" t="s">
        <v>17</v>
      </c>
      <c r="E23415" s="33" t="s">
        <v>26</v>
      </c>
      <c r="F23415" s="33" t="s">
        <v>27</v>
      </c>
      <c r="G23415" s="33" t="s">
        <v>20</v>
      </c>
      <c r="H23415" s="35">
        <v>16</v>
      </c>
      <c r="I23415" s="33" t="s">
        <v>21</v>
      </c>
      <c r="J23415" s="42">
        <v>45789</v>
      </c>
      <c r="K23415" s="33" t="s">
        <v>22</v>
      </c>
    </row>
    <row r="23416" spans="1:11">
      <c r="A23416" s="30" t="s">
        <v>51692</v>
      </c>
      <c r="B23416" s="30" t="s">
        <v>51693</v>
      </c>
      <c r="C23416" s="30" t="s">
        <v>22650</v>
      </c>
      <c r="D23416" s="30" t="s">
        <v>17</v>
      </c>
      <c r="E23416" s="30" t="s">
        <v>31</v>
      </c>
      <c r="F23416" s="30" t="s">
        <v>32</v>
      </c>
      <c r="G23416" s="30" t="s">
        <v>158</v>
      </c>
      <c r="H23416" s="32">
        <v>160</v>
      </c>
      <c r="I23416" s="30" t="s">
        <v>51</v>
      </c>
      <c r="J23416" s="41">
        <v>45788</v>
      </c>
      <c r="K23416" s="30" t="s">
        <v>22</v>
      </c>
    </row>
    <row r="23417" spans="1:11">
      <c r="A23417" s="33" t="s">
        <v>51694</v>
      </c>
      <c r="B23417" s="33" t="s">
        <v>51695</v>
      </c>
      <c r="C23417" s="33" t="s">
        <v>549</v>
      </c>
      <c r="D23417" s="33" t="s">
        <v>17</v>
      </c>
      <c r="E23417" s="33" t="s">
        <v>212</v>
      </c>
      <c r="F23417" s="33" t="s">
        <v>213</v>
      </c>
      <c r="G23417" s="33" t="s">
        <v>140</v>
      </c>
      <c r="H23417" s="35">
        <v>40</v>
      </c>
      <c r="I23417" s="33" t="s">
        <v>51</v>
      </c>
      <c r="J23417" s="42">
        <v>45992</v>
      </c>
      <c r="K23417" s="33" t="s">
        <v>22</v>
      </c>
    </row>
    <row r="23418" spans="1:11">
      <c r="A23418" s="30" t="s">
        <v>51696</v>
      </c>
      <c r="B23418" s="30" t="s">
        <v>51697</v>
      </c>
      <c r="C23418" s="30" t="s">
        <v>50669</v>
      </c>
      <c r="D23418" s="30" t="s">
        <v>17</v>
      </c>
      <c r="E23418" s="30" t="s">
        <v>18</v>
      </c>
      <c r="F23418" s="30" t="s">
        <v>19</v>
      </c>
      <c r="G23418" s="30" t="s">
        <v>140</v>
      </c>
      <c r="H23418" s="32">
        <v>104</v>
      </c>
      <c r="I23418" s="30" t="s">
        <v>51</v>
      </c>
      <c r="J23418" s="41">
        <v>45994</v>
      </c>
      <c r="K23418" s="30" t="s">
        <v>22</v>
      </c>
    </row>
    <row r="23419" spans="1:11">
      <c r="A23419" s="33" t="s">
        <v>51698</v>
      </c>
      <c r="B23419" s="33" t="s">
        <v>51699</v>
      </c>
      <c r="C23419" s="33" t="s">
        <v>12198</v>
      </c>
      <c r="D23419" s="33" t="s">
        <v>17</v>
      </c>
      <c r="E23419" s="33" t="s">
        <v>18</v>
      </c>
      <c r="F23419" s="33" t="s">
        <v>19</v>
      </c>
      <c r="G23419" s="33" t="s">
        <v>140</v>
      </c>
      <c r="H23419" s="35">
        <v>780</v>
      </c>
      <c r="I23419" s="33" t="s">
        <v>51</v>
      </c>
      <c r="J23419" s="42">
        <v>45715</v>
      </c>
      <c r="K23419" s="33" t="s">
        <v>22</v>
      </c>
    </row>
    <row r="23420" spans="1:11">
      <c r="A23420" s="30" t="s">
        <v>51700</v>
      </c>
      <c r="B23420" s="30" t="s">
        <v>51701</v>
      </c>
      <c r="C23420" s="30" t="s">
        <v>570</v>
      </c>
      <c r="D23420" s="30" t="s">
        <v>17</v>
      </c>
      <c r="E23420" s="30" t="s">
        <v>67</v>
      </c>
      <c r="F23420" s="30" t="s">
        <v>68</v>
      </c>
      <c r="G23420" s="30" t="s">
        <v>140</v>
      </c>
      <c r="H23420" s="32">
        <v>212</v>
      </c>
      <c r="I23420" s="30" t="s">
        <v>51</v>
      </c>
      <c r="J23420" s="41">
        <v>45966</v>
      </c>
      <c r="K23420" s="30" t="s">
        <v>22</v>
      </c>
    </row>
    <row r="23421" spans="1:11">
      <c r="A23421" s="33" t="s">
        <v>51702</v>
      </c>
      <c r="B23421" s="33" t="s">
        <v>51703</v>
      </c>
      <c r="C23421" s="33" t="s">
        <v>8151</v>
      </c>
      <c r="D23421" s="33" t="s">
        <v>17</v>
      </c>
      <c r="E23421" s="33" t="s">
        <v>67</v>
      </c>
      <c r="F23421" s="33" t="s">
        <v>68</v>
      </c>
      <c r="G23421" s="33" t="s">
        <v>158</v>
      </c>
      <c r="H23421" s="35">
        <v>1</v>
      </c>
      <c r="I23421" s="33" t="s">
        <v>21</v>
      </c>
      <c r="J23421" s="42">
        <v>45790</v>
      </c>
      <c r="K23421" s="33" t="s">
        <v>22</v>
      </c>
    </row>
    <row r="23422" spans="1:11">
      <c r="A23422" s="30" t="s">
        <v>51704</v>
      </c>
      <c r="B23422" s="30" t="s">
        <v>51705</v>
      </c>
      <c r="C23422" s="30" t="s">
        <v>5652</v>
      </c>
      <c r="D23422" s="30" t="s">
        <v>17</v>
      </c>
      <c r="E23422" s="30" t="s">
        <v>18</v>
      </c>
      <c r="F23422" s="30" t="s">
        <v>19</v>
      </c>
      <c r="G23422" s="30" t="s">
        <v>20</v>
      </c>
      <c r="H23422" s="32">
        <v>180</v>
      </c>
      <c r="I23422" s="30" t="s">
        <v>21</v>
      </c>
      <c r="J23422" s="41">
        <v>45825</v>
      </c>
      <c r="K23422" s="30" t="s">
        <v>22</v>
      </c>
    </row>
    <row r="23423" spans="1:11">
      <c r="A23423" s="33" t="s">
        <v>51706</v>
      </c>
      <c r="B23423" s="33" t="s">
        <v>51707</v>
      </c>
      <c r="C23423" s="33" t="s">
        <v>39506</v>
      </c>
      <c r="D23423" s="33" t="s">
        <v>17</v>
      </c>
      <c r="E23423" s="33" t="s">
        <v>31</v>
      </c>
      <c r="F23423" s="33" t="s">
        <v>32</v>
      </c>
      <c r="G23423" s="33" t="s">
        <v>140</v>
      </c>
      <c r="H23423" s="35">
        <v>100</v>
      </c>
      <c r="I23423" s="33" t="s">
        <v>51</v>
      </c>
      <c r="J23423" s="42">
        <v>45868</v>
      </c>
      <c r="K23423" s="33" t="s">
        <v>22</v>
      </c>
    </row>
    <row r="23424" spans="1:11">
      <c r="A23424" s="30" t="s">
        <v>51708</v>
      </c>
      <c r="B23424" s="30" t="s">
        <v>51709</v>
      </c>
      <c r="C23424" s="30" t="s">
        <v>96</v>
      </c>
      <c r="D23424" s="30" t="s">
        <v>17</v>
      </c>
      <c r="E23424" s="30" t="s">
        <v>26</v>
      </c>
      <c r="F23424" s="30" t="s">
        <v>27</v>
      </c>
      <c r="G23424" s="30" t="s">
        <v>20</v>
      </c>
      <c r="H23424" s="32">
        <v>25</v>
      </c>
      <c r="I23424" s="30" t="s">
        <v>21</v>
      </c>
      <c r="J23424" s="41">
        <v>45922</v>
      </c>
      <c r="K23424" s="30" t="s">
        <v>22</v>
      </c>
    </row>
    <row r="23425" spans="1:11">
      <c r="A23425" s="33" t="s">
        <v>51710</v>
      </c>
      <c r="B23425" s="33" t="s">
        <v>51711</v>
      </c>
      <c r="C23425" s="33" t="s">
        <v>329</v>
      </c>
      <c r="D23425" s="33" t="s">
        <v>17</v>
      </c>
      <c r="E23425" s="33" t="s">
        <v>26</v>
      </c>
      <c r="F23425" s="33" t="s">
        <v>27</v>
      </c>
      <c r="G23425" s="33" t="s">
        <v>140</v>
      </c>
      <c r="H23425" s="35">
        <v>260</v>
      </c>
      <c r="I23425" s="33" t="s">
        <v>51</v>
      </c>
      <c r="J23425" s="42">
        <v>46010</v>
      </c>
      <c r="K23425" s="33" t="s">
        <v>22</v>
      </c>
    </row>
    <row r="23426" spans="1:11">
      <c r="A23426" s="30" t="s">
        <v>51712</v>
      </c>
      <c r="B23426" s="30" t="s">
        <v>51713</v>
      </c>
      <c r="C23426" s="30" t="s">
        <v>310</v>
      </c>
      <c r="D23426" s="30" t="s">
        <v>17</v>
      </c>
      <c r="E23426" s="30" t="s">
        <v>26</v>
      </c>
      <c r="F23426" s="30" t="s">
        <v>27</v>
      </c>
      <c r="G23426" s="30" t="s">
        <v>20</v>
      </c>
      <c r="H23426" s="32">
        <v>80</v>
      </c>
      <c r="I23426" s="30" t="s">
        <v>21</v>
      </c>
      <c r="J23426" s="41">
        <v>45979</v>
      </c>
      <c r="K23426" s="30" t="s">
        <v>22</v>
      </c>
    </row>
    <row r="23427" spans="1:11">
      <c r="A23427" s="33" t="s">
        <v>51714</v>
      </c>
      <c r="B23427" s="33" t="s">
        <v>51715</v>
      </c>
      <c r="C23427" s="33" t="s">
        <v>1674</v>
      </c>
      <c r="D23427" s="33" t="s">
        <v>17</v>
      </c>
      <c r="E23427" s="33" t="s">
        <v>18</v>
      </c>
      <c r="F23427" s="33" t="s">
        <v>19</v>
      </c>
      <c r="G23427" s="33" t="s">
        <v>7780</v>
      </c>
      <c r="H23427" s="35">
        <v>156</v>
      </c>
      <c r="I23427" s="33" t="s">
        <v>51</v>
      </c>
      <c r="J23427" s="42">
        <v>45931</v>
      </c>
      <c r="K23427" s="33" t="s">
        <v>22</v>
      </c>
    </row>
    <row r="23428" spans="1:11">
      <c r="A23428" s="30" t="s">
        <v>51716</v>
      </c>
      <c r="B23428" s="30" t="s">
        <v>51717</v>
      </c>
      <c r="C23428" s="30" t="s">
        <v>41489</v>
      </c>
      <c r="D23428" s="30" t="s">
        <v>17</v>
      </c>
      <c r="E23428" s="30" t="s">
        <v>26</v>
      </c>
      <c r="F23428" s="30" t="s">
        <v>27</v>
      </c>
      <c r="G23428" s="30" t="s">
        <v>140</v>
      </c>
      <c r="H23428" s="32">
        <v>40</v>
      </c>
      <c r="I23428" s="30" t="s">
        <v>51</v>
      </c>
      <c r="J23428" s="41">
        <v>45995</v>
      </c>
      <c r="K23428" s="30" t="s">
        <v>22</v>
      </c>
    </row>
    <row r="23429" spans="1:11">
      <c r="A23429" s="33" t="s">
        <v>51718</v>
      </c>
      <c r="B23429" s="33" t="s">
        <v>51719</v>
      </c>
      <c r="C23429" s="33" t="s">
        <v>51720</v>
      </c>
      <c r="D23429" s="33" t="s">
        <v>17</v>
      </c>
      <c r="E23429" s="33" t="s">
        <v>212</v>
      </c>
      <c r="F23429" s="33" t="s">
        <v>213</v>
      </c>
      <c r="G23429" s="33" t="s">
        <v>140</v>
      </c>
      <c r="H23429" s="35">
        <v>350</v>
      </c>
      <c r="I23429" s="33" t="s">
        <v>51</v>
      </c>
      <c r="J23429" s="42">
        <v>45849</v>
      </c>
      <c r="K23429" s="33" t="s">
        <v>22</v>
      </c>
    </row>
    <row r="23430" spans="1:11">
      <c r="A23430" s="30" t="s">
        <v>51721</v>
      </c>
      <c r="B23430" s="30" t="s">
        <v>51722</v>
      </c>
      <c r="C23430" s="30" t="s">
        <v>190</v>
      </c>
      <c r="D23430" s="30" t="s">
        <v>17</v>
      </c>
      <c r="E23430" s="30" t="s">
        <v>67</v>
      </c>
      <c r="F23430" s="30" t="s">
        <v>68</v>
      </c>
      <c r="G23430" s="30" t="s">
        <v>140</v>
      </c>
      <c r="H23430" s="32">
        <v>52</v>
      </c>
      <c r="I23430" s="30" t="s">
        <v>51</v>
      </c>
      <c r="J23430" s="41">
        <v>45930</v>
      </c>
      <c r="K23430" s="30" t="s">
        <v>22</v>
      </c>
    </row>
    <row r="23431" spans="1:11">
      <c r="A23431" s="33" t="s">
        <v>51723</v>
      </c>
      <c r="B23431" s="33" t="s">
        <v>51724</v>
      </c>
      <c r="C23431" s="33" t="s">
        <v>51725</v>
      </c>
      <c r="D23431" s="33" t="s">
        <v>17</v>
      </c>
      <c r="E23431" s="33" t="s">
        <v>67</v>
      </c>
      <c r="F23431" s="33" t="s">
        <v>68</v>
      </c>
      <c r="G23431" s="33" t="s">
        <v>140</v>
      </c>
      <c r="H23431" s="35">
        <v>5</v>
      </c>
      <c r="I23431" s="33" t="s">
        <v>51</v>
      </c>
      <c r="J23431" s="42">
        <v>45931</v>
      </c>
      <c r="K23431" s="33" t="s">
        <v>22</v>
      </c>
    </row>
    <row r="23432" spans="1:11">
      <c r="A23432" s="30" t="s">
        <v>51726</v>
      </c>
      <c r="B23432" s="30" t="s">
        <v>51727</v>
      </c>
      <c r="C23432" s="30" t="s">
        <v>51728</v>
      </c>
      <c r="D23432" s="30" t="s">
        <v>17</v>
      </c>
      <c r="E23432" s="30" t="s">
        <v>330</v>
      </c>
      <c r="F23432" s="30" t="s">
        <v>331</v>
      </c>
      <c r="G23432" s="30" t="s">
        <v>140</v>
      </c>
      <c r="H23432" s="32">
        <v>6</v>
      </c>
      <c r="I23432" s="30" t="s">
        <v>51</v>
      </c>
      <c r="J23432" s="41">
        <v>45825</v>
      </c>
      <c r="K23432" s="30" t="s">
        <v>22</v>
      </c>
    </row>
    <row r="23433" spans="1:11">
      <c r="A23433" s="33" t="s">
        <v>51729</v>
      </c>
      <c r="B23433" s="33" t="s">
        <v>51730</v>
      </c>
      <c r="C23433" s="33" t="s">
        <v>3610</v>
      </c>
      <c r="D23433" s="33" t="s">
        <v>17</v>
      </c>
      <c r="E23433" s="33" t="s">
        <v>31</v>
      </c>
      <c r="F23433" s="33" t="s">
        <v>32</v>
      </c>
      <c r="G23433" s="33" t="s">
        <v>20</v>
      </c>
      <c r="H23433" s="35">
        <v>118</v>
      </c>
      <c r="I23433" s="33" t="s">
        <v>21</v>
      </c>
      <c r="J23433" s="42">
        <v>45775</v>
      </c>
      <c r="K23433" s="33" t="s">
        <v>22</v>
      </c>
    </row>
    <row r="23434" spans="1:11">
      <c r="A23434" s="30" t="s">
        <v>51731</v>
      </c>
      <c r="B23434" s="30" t="s">
        <v>51732</v>
      </c>
      <c r="C23434" s="30" t="s">
        <v>25186</v>
      </c>
      <c r="D23434" s="30" t="s">
        <v>17</v>
      </c>
      <c r="E23434" s="30" t="s">
        <v>67</v>
      </c>
      <c r="F23434" s="30" t="s">
        <v>68</v>
      </c>
      <c r="G23434" s="30" t="s">
        <v>140</v>
      </c>
      <c r="H23434" s="32">
        <v>97</v>
      </c>
      <c r="I23434" s="30" t="s">
        <v>51</v>
      </c>
      <c r="J23434" s="41">
        <v>45868</v>
      </c>
      <c r="K23434" s="30" t="s">
        <v>22</v>
      </c>
    </row>
    <row r="23435" spans="1:11">
      <c r="A23435" s="33" t="s">
        <v>51733</v>
      </c>
      <c r="B23435" s="33" t="s">
        <v>51734</v>
      </c>
      <c r="C23435" s="33" t="s">
        <v>3647</v>
      </c>
      <c r="D23435" s="33" t="s">
        <v>17</v>
      </c>
      <c r="E23435" s="33" t="s">
        <v>26</v>
      </c>
      <c r="F23435" s="33" t="s">
        <v>27</v>
      </c>
      <c r="G23435" s="33" t="s">
        <v>20</v>
      </c>
      <c r="H23435" s="35">
        <v>155</v>
      </c>
      <c r="I23435" s="33" t="s">
        <v>21</v>
      </c>
      <c r="J23435" s="42">
        <v>45670</v>
      </c>
      <c r="K23435" s="33" t="s">
        <v>22</v>
      </c>
    </row>
    <row r="23436" spans="1:11">
      <c r="A23436" s="30" t="s">
        <v>51735</v>
      </c>
      <c r="B23436" s="30" t="s">
        <v>51736</v>
      </c>
      <c r="C23436" s="30" t="s">
        <v>149</v>
      </c>
      <c r="D23436" s="30" t="s">
        <v>17</v>
      </c>
      <c r="E23436" s="30" t="s">
        <v>67</v>
      </c>
      <c r="F23436" s="30" t="s">
        <v>68</v>
      </c>
      <c r="G23436" s="30" t="s">
        <v>140</v>
      </c>
      <c r="H23436" s="32">
        <v>120</v>
      </c>
      <c r="I23436" s="30" t="s">
        <v>51</v>
      </c>
      <c r="J23436" s="41">
        <v>45958</v>
      </c>
      <c r="K23436" s="30" t="s">
        <v>22</v>
      </c>
    </row>
    <row r="23437" spans="1:11">
      <c r="A23437" s="33" t="s">
        <v>51737</v>
      </c>
      <c r="B23437" s="33" t="s">
        <v>51738</v>
      </c>
      <c r="C23437" s="33" t="s">
        <v>96</v>
      </c>
      <c r="D23437" s="33" t="s">
        <v>17</v>
      </c>
      <c r="E23437" s="33" t="s">
        <v>18</v>
      </c>
      <c r="F23437" s="33" t="s">
        <v>19</v>
      </c>
      <c r="G23437" s="33" t="s">
        <v>20</v>
      </c>
      <c r="H23437" s="35">
        <v>526</v>
      </c>
      <c r="I23437" s="33" t="s">
        <v>21</v>
      </c>
      <c r="J23437" s="42">
        <v>45751</v>
      </c>
      <c r="K23437" s="33" t="s">
        <v>22</v>
      </c>
    </row>
    <row r="23438" spans="1:11">
      <c r="A23438" s="30" t="s">
        <v>51739</v>
      </c>
      <c r="B23438" s="30" t="s">
        <v>51740</v>
      </c>
      <c r="C23438" s="30" t="s">
        <v>34100</v>
      </c>
      <c r="D23438" s="30" t="s">
        <v>17</v>
      </c>
      <c r="E23438" s="30" t="s">
        <v>67</v>
      </c>
      <c r="F23438" s="30" t="s">
        <v>68</v>
      </c>
      <c r="G23438" s="30" t="s">
        <v>7780</v>
      </c>
      <c r="H23438" s="32">
        <v>15</v>
      </c>
      <c r="I23438" s="30" t="s">
        <v>51</v>
      </c>
      <c r="J23438" s="41">
        <v>45931</v>
      </c>
      <c r="K23438" s="30" t="s">
        <v>22</v>
      </c>
    </row>
    <row r="23439" spans="1:11">
      <c r="A23439" s="33" t="s">
        <v>51741</v>
      </c>
      <c r="B23439" s="33" t="s">
        <v>51742</v>
      </c>
      <c r="C23439" s="33" t="s">
        <v>48384</v>
      </c>
      <c r="D23439" s="33" t="s">
        <v>17</v>
      </c>
      <c r="E23439" s="33" t="s">
        <v>212</v>
      </c>
      <c r="F23439" s="33" t="s">
        <v>213</v>
      </c>
      <c r="G23439" s="33" t="s">
        <v>7780</v>
      </c>
      <c r="H23439" s="35">
        <v>172</v>
      </c>
      <c r="I23439" s="33" t="s">
        <v>51</v>
      </c>
      <c r="J23439" s="42">
        <v>45992</v>
      </c>
      <c r="K23439" s="33" t="s">
        <v>22</v>
      </c>
    </row>
    <row r="23440" spans="1:11">
      <c r="A23440" s="30" t="s">
        <v>51743</v>
      </c>
      <c r="B23440" s="30" t="s">
        <v>51744</v>
      </c>
      <c r="C23440" s="30" t="s">
        <v>30456</v>
      </c>
      <c r="D23440" s="30" t="s">
        <v>17</v>
      </c>
      <c r="E23440" s="30" t="s">
        <v>330</v>
      </c>
      <c r="F23440" s="30" t="s">
        <v>331</v>
      </c>
      <c r="G23440" s="30" t="s">
        <v>140</v>
      </c>
      <c r="H23440" s="32">
        <v>6</v>
      </c>
      <c r="I23440" s="30" t="s">
        <v>51</v>
      </c>
      <c r="J23440" s="41">
        <v>45923</v>
      </c>
      <c r="K23440" s="30" t="s">
        <v>22</v>
      </c>
    </row>
    <row r="23441" spans="1:11">
      <c r="A23441" s="33" t="s">
        <v>51745</v>
      </c>
      <c r="B23441" s="33" t="s">
        <v>51746</v>
      </c>
      <c r="C23441" s="33" t="s">
        <v>41393</v>
      </c>
      <c r="D23441" s="33" t="s">
        <v>17</v>
      </c>
      <c r="E23441" s="33" t="s">
        <v>330</v>
      </c>
      <c r="F23441" s="33" t="s">
        <v>331</v>
      </c>
      <c r="G23441" s="33" t="s">
        <v>69</v>
      </c>
      <c r="H23441" s="35">
        <v>30</v>
      </c>
      <c r="I23441" s="33" t="s">
        <v>51</v>
      </c>
      <c r="J23441" s="42">
        <v>45795</v>
      </c>
      <c r="K23441" s="33" t="s">
        <v>22</v>
      </c>
    </row>
    <row r="23442" spans="1:11">
      <c r="A23442" s="30" t="s">
        <v>51747</v>
      </c>
      <c r="B23442" s="30" t="s">
        <v>51748</v>
      </c>
      <c r="C23442" s="30" t="s">
        <v>8151</v>
      </c>
      <c r="D23442" s="30" t="s">
        <v>17</v>
      </c>
      <c r="E23442" s="30" t="s">
        <v>31</v>
      </c>
      <c r="F23442" s="30" t="s">
        <v>32</v>
      </c>
      <c r="G23442" s="30" t="s">
        <v>20</v>
      </c>
      <c r="H23442" s="32">
        <v>124</v>
      </c>
      <c r="I23442" s="30" t="s">
        <v>21</v>
      </c>
      <c r="J23442" s="41">
        <v>45713</v>
      </c>
      <c r="K23442" s="30" t="s">
        <v>22</v>
      </c>
    </row>
    <row r="23443" spans="1:11">
      <c r="A23443" s="33" t="s">
        <v>51749</v>
      </c>
      <c r="B23443" s="33" t="s">
        <v>51750</v>
      </c>
      <c r="C23443" s="33" t="s">
        <v>8052</v>
      </c>
      <c r="D23443" s="33" t="s">
        <v>17</v>
      </c>
      <c r="E23443" s="33" t="s">
        <v>26</v>
      </c>
      <c r="F23443" s="33" t="s">
        <v>27</v>
      </c>
      <c r="G23443" s="33" t="s">
        <v>20</v>
      </c>
      <c r="H23443" s="35">
        <v>8</v>
      </c>
      <c r="I23443" s="33" t="s">
        <v>21</v>
      </c>
      <c r="J23443" s="42">
        <v>45741</v>
      </c>
      <c r="K23443" s="33" t="s">
        <v>22</v>
      </c>
    </row>
    <row r="23444" spans="1:11">
      <c r="A23444" s="30" t="s">
        <v>51751</v>
      </c>
      <c r="B23444" s="30" t="s">
        <v>51752</v>
      </c>
      <c r="C23444" s="30" t="s">
        <v>6127</v>
      </c>
      <c r="D23444" s="30" t="s">
        <v>17</v>
      </c>
      <c r="E23444" s="30" t="s">
        <v>26</v>
      </c>
      <c r="F23444" s="30" t="s">
        <v>27</v>
      </c>
      <c r="G23444" s="30" t="s">
        <v>140</v>
      </c>
      <c r="H23444" s="32">
        <v>50</v>
      </c>
      <c r="I23444" s="30" t="s">
        <v>51</v>
      </c>
      <c r="J23444" s="41">
        <v>45945</v>
      </c>
      <c r="K23444" s="30" t="s">
        <v>22</v>
      </c>
    </row>
    <row r="23445" spans="1:11">
      <c r="A23445" s="33" t="s">
        <v>51753</v>
      </c>
      <c r="B23445" s="33" t="s">
        <v>51754</v>
      </c>
      <c r="C23445" s="33" t="s">
        <v>28153</v>
      </c>
      <c r="D23445" s="33" t="s">
        <v>17</v>
      </c>
      <c r="E23445" s="33" t="s">
        <v>67</v>
      </c>
      <c r="F23445" s="33" t="s">
        <v>68</v>
      </c>
      <c r="G23445" s="33" t="s">
        <v>140</v>
      </c>
      <c r="H23445" s="35">
        <v>202</v>
      </c>
      <c r="I23445" s="33" t="s">
        <v>51</v>
      </c>
      <c r="J23445" s="42">
        <v>45966</v>
      </c>
      <c r="K23445" s="33" t="s">
        <v>22</v>
      </c>
    </row>
    <row r="23446" spans="1:11">
      <c r="A23446" s="30" t="s">
        <v>51755</v>
      </c>
      <c r="B23446" s="30" t="s">
        <v>51756</v>
      </c>
      <c r="C23446" s="30" t="s">
        <v>96</v>
      </c>
      <c r="D23446" s="30" t="s">
        <v>17</v>
      </c>
      <c r="E23446" s="30" t="s">
        <v>26</v>
      </c>
      <c r="F23446" s="30" t="s">
        <v>27</v>
      </c>
      <c r="G23446" s="30" t="s">
        <v>20</v>
      </c>
      <c r="H23446" s="32">
        <v>12</v>
      </c>
      <c r="I23446" s="30" t="s">
        <v>21</v>
      </c>
      <c r="J23446" s="41">
        <v>45918</v>
      </c>
      <c r="K23446" s="30" t="s">
        <v>22</v>
      </c>
    </row>
    <row r="23447" spans="1:11">
      <c r="A23447" s="33" t="s">
        <v>51757</v>
      </c>
      <c r="B23447" s="33" t="s">
        <v>51758</v>
      </c>
      <c r="C23447" s="33" t="s">
        <v>149</v>
      </c>
      <c r="D23447" s="33" t="s">
        <v>17</v>
      </c>
      <c r="E23447" s="33" t="s">
        <v>31</v>
      </c>
      <c r="F23447" s="33" t="s">
        <v>32</v>
      </c>
      <c r="G23447" s="33" t="s">
        <v>140</v>
      </c>
      <c r="H23447" s="35">
        <v>200</v>
      </c>
      <c r="I23447" s="33" t="s">
        <v>51</v>
      </c>
      <c r="J23447" s="42">
        <v>45939</v>
      </c>
      <c r="K23447" s="33" t="s">
        <v>22</v>
      </c>
    </row>
    <row r="23448" spans="1:11">
      <c r="A23448" s="30" t="s">
        <v>51759</v>
      </c>
      <c r="B23448" s="30" t="s">
        <v>51760</v>
      </c>
      <c r="C23448" s="30" t="s">
        <v>75</v>
      </c>
      <c r="D23448" s="30" t="s">
        <v>17</v>
      </c>
      <c r="E23448" s="30" t="s">
        <v>26</v>
      </c>
      <c r="F23448" s="30" t="s">
        <v>27</v>
      </c>
      <c r="G23448" s="30" t="s">
        <v>140</v>
      </c>
      <c r="H23448" s="32">
        <v>72</v>
      </c>
      <c r="I23448" s="30" t="s">
        <v>51</v>
      </c>
      <c r="J23448" s="41">
        <v>45835</v>
      </c>
      <c r="K23448" s="30" t="s">
        <v>22</v>
      </c>
    </row>
    <row r="23449" spans="1:11">
      <c r="A23449" s="33" t="s">
        <v>51761</v>
      </c>
      <c r="B23449" s="33" t="s">
        <v>51762</v>
      </c>
      <c r="C23449" s="33" t="s">
        <v>190</v>
      </c>
      <c r="D23449" s="33" t="s">
        <v>17</v>
      </c>
      <c r="E23449" s="33" t="s">
        <v>26</v>
      </c>
      <c r="F23449" s="33" t="s">
        <v>27</v>
      </c>
      <c r="G23449" s="33" t="s">
        <v>7780</v>
      </c>
      <c r="H23449" s="35">
        <v>8</v>
      </c>
      <c r="I23449" s="33" t="s">
        <v>51</v>
      </c>
      <c r="J23449" s="42">
        <v>45674</v>
      </c>
      <c r="K23449" s="33" t="s">
        <v>22</v>
      </c>
    </row>
    <row r="23450" spans="1:11">
      <c r="A23450" s="30" t="s">
        <v>51763</v>
      </c>
      <c r="B23450" s="30" t="s">
        <v>51764</v>
      </c>
      <c r="C23450" s="30" t="s">
        <v>4328</v>
      </c>
      <c r="D23450" s="30" t="s">
        <v>17</v>
      </c>
      <c r="E23450" s="30" t="s">
        <v>26</v>
      </c>
      <c r="F23450" s="30" t="s">
        <v>27</v>
      </c>
      <c r="G23450" s="30" t="s">
        <v>140</v>
      </c>
      <c r="H23450" s="32">
        <v>130</v>
      </c>
      <c r="I23450" s="30" t="s">
        <v>51</v>
      </c>
      <c r="J23450" s="41">
        <v>45813</v>
      </c>
      <c r="K23450" s="30" t="s">
        <v>22</v>
      </c>
    </row>
    <row r="23451" spans="1:11">
      <c r="A23451" s="33" t="s">
        <v>51765</v>
      </c>
      <c r="B23451" s="33" t="s">
        <v>51766</v>
      </c>
      <c r="C23451" s="33" t="s">
        <v>96</v>
      </c>
      <c r="D23451" s="33" t="s">
        <v>17</v>
      </c>
      <c r="E23451" s="33" t="s">
        <v>31</v>
      </c>
      <c r="F23451" s="33" t="s">
        <v>32</v>
      </c>
      <c r="G23451" s="33" t="s">
        <v>140</v>
      </c>
      <c r="H23451" s="35">
        <v>165</v>
      </c>
      <c r="I23451" s="33" t="s">
        <v>51</v>
      </c>
      <c r="J23451" s="42">
        <v>45981</v>
      </c>
      <c r="K23451" s="33" t="s">
        <v>22</v>
      </c>
    </row>
    <row r="23452" spans="1:11">
      <c r="A23452" s="30" t="s">
        <v>51767</v>
      </c>
      <c r="B23452" s="30" t="s">
        <v>51768</v>
      </c>
      <c r="C23452" s="30" t="s">
        <v>35575</v>
      </c>
      <c r="D23452" s="30" t="s">
        <v>17</v>
      </c>
      <c r="E23452" s="30" t="s">
        <v>26</v>
      </c>
      <c r="F23452" s="30" t="s">
        <v>27</v>
      </c>
      <c r="G23452" s="30" t="s">
        <v>140</v>
      </c>
      <c r="H23452" s="32">
        <v>60</v>
      </c>
      <c r="I23452" s="30" t="s">
        <v>51</v>
      </c>
      <c r="J23452" s="41">
        <v>45800</v>
      </c>
      <c r="K23452" s="30" t="s">
        <v>22</v>
      </c>
    </row>
    <row r="23453" spans="1:11">
      <c r="A23453" s="33" t="s">
        <v>51769</v>
      </c>
      <c r="B23453" s="33" t="s">
        <v>51770</v>
      </c>
      <c r="C23453" s="33" t="s">
        <v>3177</v>
      </c>
      <c r="D23453" s="33" t="s">
        <v>17</v>
      </c>
      <c r="E23453" s="33" t="s">
        <v>26</v>
      </c>
      <c r="F23453" s="33" t="s">
        <v>27</v>
      </c>
      <c r="G23453" s="33" t="s">
        <v>140</v>
      </c>
      <c r="H23453" s="35">
        <v>60</v>
      </c>
      <c r="I23453" s="33" t="s">
        <v>51</v>
      </c>
      <c r="J23453" s="42">
        <v>45967</v>
      </c>
      <c r="K23453" s="33" t="s">
        <v>22</v>
      </c>
    </row>
    <row r="23454" spans="1:11">
      <c r="A23454" s="30" t="s">
        <v>51771</v>
      </c>
      <c r="B23454" s="30" t="s">
        <v>51772</v>
      </c>
      <c r="C23454" s="30" t="s">
        <v>51773</v>
      </c>
      <c r="D23454" s="30" t="s">
        <v>17</v>
      </c>
      <c r="E23454" s="30" t="s">
        <v>31</v>
      </c>
      <c r="F23454" s="30" t="s">
        <v>32</v>
      </c>
      <c r="G23454" s="30" t="s">
        <v>140</v>
      </c>
      <c r="H23454" s="32">
        <v>25</v>
      </c>
      <c r="I23454" s="30" t="s">
        <v>51</v>
      </c>
      <c r="J23454" s="41">
        <v>45827</v>
      </c>
      <c r="K23454" s="30" t="s">
        <v>22</v>
      </c>
    </row>
    <row r="23455" spans="1:11">
      <c r="A23455" s="33" t="s">
        <v>51774</v>
      </c>
      <c r="B23455" s="33" t="s">
        <v>51775</v>
      </c>
      <c r="C23455" s="33" t="s">
        <v>42561</v>
      </c>
      <c r="D23455" s="33" t="s">
        <v>17</v>
      </c>
      <c r="E23455" s="33" t="s">
        <v>18</v>
      </c>
      <c r="F23455" s="33" t="s">
        <v>19</v>
      </c>
      <c r="G23455" s="33" t="s">
        <v>140</v>
      </c>
      <c r="H23455" s="35">
        <v>300</v>
      </c>
      <c r="I23455" s="33" t="s">
        <v>51</v>
      </c>
      <c r="J23455" s="42">
        <v>45947</v>
      </c>
      <c r="K23455" s="33" t="s">
        <v>22</v>
      </c>
    </row>
    <row r="23456" spans="1:11">
      <c r="A23456" s="30" t="s">
        <v>51776</v>
      </c>
      <c r="B23456" s="30" t="s">
        <v>51777</v>
      </c>
      <c r="C23456" s="30" t="s">
        <v>252</v>
      </c>
      <c r="D23456" s="30" t="s">
        <v>17</v>
      </c>
      <c r="E23456" s="30" t="s">
        <v>26</v>
      </c>
      <c r="F23456" s="30" t="s">
        <v>27</v>
      </c>
      <c r="G23456" s="30" t="s">
        <v>7780</v>
      </c>
      <c r="H23456" s="32">
        <v>60</v>
      </c>
      <c r="I23456" s="30" t="s">
        <v>51</v>
      </c>
      <c r="J23456" s="41">
        <v>45860</v>
      </c>
      <c r="K23456" s="30" t="s">
        <v>22</v>
      </c>
    </row>
    <row r="23457" spans="1:11">
      <c r="A23457" s="33" t="s">
        <v>51778</v>
      </c>
      <c r="B23457" s="33" t="s">
        <v>51779</v>
      </c>
      <c r="C23457" s="33" t="s">
        <v>6379</v>
      </c>
      <c r="D23457" s="33" t="s">
        <v>17</v>
      </c>
      <c r="E23457" s="33" t="s">
        <v>31</v>
      </c>
      <c r="F23457" s="33" t="s">
        <v>32</v>
      </c>
      <c r="G23457" s="33" t="s">
        <v>140</v>
      </c>
      <c r="H23457" s="35">
        <v>150</v>
      </c>
      <c r="I23457" s="33" t="s">
        <v>51</v>
      </c>
      <c r="J23457" s="42">
        <v>46015</v>
      </c>
      <c r="K23457" s="33" t="s">
        <v>22</v>
      </c>
    </row>
    <row r="23458" spans="1:11">
      <c r="A23458" s="30" t="s">
        <v>51780</v>
      </c>
      <c r="B23458" s="30" t="s">
        <v>51781</v>
      </c>
      <c r="C23458" s="30" t="s">
        <v>51782</v>
      </c>
      <c r="D23458" s="30" t="s">
        <v>17</v>
      </c>
      <c r="E23458" s="30" t="s">
        <v>26</v>
      </c>
      <c r="F23458" s="30" t="s">
        <v>27</v>
      </c>
      <c r="G23458" s="30" t="s">
        <v>158</v>
      </c>
      <c r="H23458" s="32">
        <v>50</v>
      </c>
      <c r="I23458" s="30" t="s">
        <v>21</v>
      </c>
      <c r="J23458" s="41">
        <v>45762</v>
      </c>
      <c r="K23458" s="30" t="s">
        <v>22</v>
      </c>
    </row>
    <row r="23459" spans="1:11">
      <c r="A23459" s="33" t="s">
        <v>51783</v>
      </c>
      <c r="B23459" s="33" t="s">
        <v>51784</v>
      </c>
      <c r="C23459" s="33" t="s">
        <v>22597</v>
      </c>
      <c r="D23459" s="33" t="s">
        <v>17</v>
      </c>
      <c r="E23459" s="33" t="s">
        <v>26</v>
      </c>
      <c r="F23459" s="33" t="s">
        <v>27</v>
      </c>
      <c r="G23459" s="33" t="s">
        <v>20</v>
      </c>
      <c r="H23459" s="35">
        <v>16</v>
      </c>
      <c r="I23459" s="33" t="s">
        <v>21</v>
      </c>
      <c r="J23459" s="42">
        <v>45770</v>
      </c>
      <c r="K23459" s="33" t="s">
        <v>22</v>
      </c>
    </row>
    <row r="23460" spans="1:11">
      <c r="A23460" s="30" t="s">
        <v>51785</v>
      </c>
      <c r="B23460" s="30" t="s">
        <v>51786</v>
      </c>
      <c r="C23460" s="30" t="s">
        <v>136</v>
      </c>
      <c r="D23460" s="30" t="s">
        <v>17</v>
      </c>
      <c r="E23460" s="30" t="s">
        <v>18</v>
      </c>
      <c r="F23460" s="30" t="s">
        <v>19</v>
      </c>
      <c r="G23460" s="30" t="s">
        <v>158</v>
      </c>
      <c r="H23460" s="32">
        <v>221</v>
      </c>
      <c r="I23460" s="30" t="s">
        <v>21</v>
      </c>
      <c r="J23460" s="41">
        <v>45768</v>
      </c>
      <c r="K23460" s="30" t="s">
        <v>22</v>
      </c>
    </row>
    <row r="23461" spans="1:11">
      <c r="A23461" s="33" t="s">
        <v>51787</v>
      </c>
      <c r="B23461" s="33" t="s">
        <v>51788</v>
      </c>
      <c r="C23461" s="33" t="s">
        <v>1801</v>
      </c>
      <c r="D23461" s="33" t="s">
        <v>17</v>
      </c>
      <c r="E23461" s="33" t="s">
        <v>26</v>
      </c>
      <c r="F23461" s="33" t="s">
        <v>27</v>
      </c>
      <c r="G23461" s="33" t="s">
        <v>140</v>
      </c>
      <c r="H23461" s="35">
        <v>220</v>
      </c>
      <c r="I23461" s="33" t="s">
        <v>51</v>
      </c>
      <c r="J23461" s="42">
        <v>45797</v>
      </c>
      <c r="K23461" s="33" t="s">
        <v>22</v>
      </c>
    </row>
    <row r="23462" spans="1:11">
      <c r="A23462" s="30" t="s">
        <v>51789</v>
      </c>
      <c r="B23462" s="30" t="s">
        <v>51790</v>
      </c>
      <c r="C23462" s="30" t="s">
        <v>96</v>
      </c>
      <c r="D23462" s="30" t="s">
        <v>17</v>
      </c>
      <c r="E23462" s="30" t="s">
        <v>26</v>
      </c>
      <c r="F23462" s="30" t="s">
        <v>27</v>
      </c>
      <c r="G23462" s="30" t="s">
        <v>140</v>
      </c>
      <c r="H23462" s="32">
        <v>92</v>
      </c>
      <c r="I23462" s="30" t="s">
        <v>51</v>
      </c>
      <c r="J23462" s="41">
        <v>45882</v>
      </c>
      <c r="K23462" s="30" t="s">
        <v>22</v>
      </c>
    </row>
    <row r="23463" spans="1:11">
      <c r="A23463" s="33" t="s">
        <v>51791</v>
      </c>
      <c r="B23463" s="33" t="s">
        <v>51792</v>
      </c>
      <c r="C23463" s="33" t="s">
        <v>39259</v>
      </c>
      <c r="D23463" s="33" t="s">
        <v>17</v>
      </c>
      <c r="E23463" s="33" t="s">
        <v>212</v>
      </c>
      <c r="F23463" s="33" t="s">
        <v>213</v>
      </c>
      <c r="G23463" s="33" t="s">
        <v>140</v>
      </c>
      <c r="H23463" s="35">
        <v>120</v>
      </c>
      <c r="I23463" s="33" t="s">
        <v>51</v>
      </c>
      <c r="J23463" s="42">
        <v>45841</v>
      </c>
      <c r="K23463" s="33" t="s">
        <v>22</v>
      </c>
    </row>
    <row r="23464" spans="1:11">
      <c r="A23464" s="30" t="s">
        <v>51793</v>
      </c>
      <c r="B23464" s="30" t="s">
        <v>51794</v>
      </c>
      <c r="C23464" s="30" t="s">
        <v>16901</v>
      </c>
      <c r="D23464" s="30" t="s">
        <v>17</v>
      </c>
      <c r="E23464" s="30" t="s">
        <v>67</v>
      </c>
      <c r="F23464" s="30" t="s">
        <v>68</v>
      </c>
      <c r="G23464" s="30" t="s">
        <v>158</v>
      </c>
      <c r="H23464" s="32">
        <v>10</v>
      </c>
      <c r="I23464" s="30" t="s">
        <v>51</v>
      </c>
      <c r="J23464" s="41">
        <v>45694</v>
      </c>
      <c r="K23464" s="30" t="s">
        <v>22</v>
      </c>
    </row>
    <row r="23465" spans="1:11">
      <c r="A23465" s="33" t="s">
        <v>51795</v>
      </c>
      <c r="B23465" s="33" t="s">
        <v>51796</v>
      </c>
      <c r="C23465" s="33" t="s">
        <v>96</v>
      </c>
      <c r="D23465" s="33" t="s">
        <v>17</v>
      </c>
      <c r="E23465" s="33" t="s">
        <v>26</v>
      </c>
      <c r="F23465" s="33" t="s">
        <v>27</v>
      </c>
      <c r="G23465" s="33" t="s">
        <v>20</v>
      </c>
      <c r="H23465" s="35">
        <v>8</v>
      </c>
      <c r="I23465" s="33" t="s">
        <v>21</v>
      </c>
      <c r="J23465" s="42">
        <v>45812</v>
      </c>
      <c r="K23465" s="33" t="s">
        <v>22</v>
      </c>
    </row>
    <row r="23466" spans="1:11">
      <c r="A23466" s="30" t="s">
        <v>51797</v>
      </c>
      <c r="B23466" s="30" t="s">
        <v>51798</v>
      </c>
      <c r="C23466" s="30" t="s">
        <v>3296</v>
      </c>
      <c r="D23466" s="30" t="s">
        <v>17</v>
      </c>
      <c r="E23466" s="30" t="s">
        <v>26</v>
      </c>
      <c r="F23466" s="30" t="s">
        <v>27</v>
      </c>
      <c r="G23466" s="30" t="s">
        <v>112</v>
      </c>
      <c r="H23466" s="32">
        <v>0</v>
      </c>
      <c r="I23466" s="30" t="s">
        <v>21</v>
      </c>
      <c r="J23466" s="41">
        <v>45962</v>
      </c>
      <c r="K23466" s="30" t="s">
        <v>22</v>
      </c>
    </row>
    <row r="23467" spans="1:11">
      <c r="A23467" s="33" t="s">
        <v>51799</v>
      </c>
      <c r="B23467" s="33" t="s">
        <v>51800</v>
      </c>
      <c r="C23467" s="33" t="s">
        <v>51801</v>
      </c>
      <c r="D23467" s="33" t="s">
        <v>17</v>
      </c>
      <c r="E23467" s="33" t="s">
        <v>31</v>
      </c>
      <c r="F23467" s="33" t="s">
        <v>32</v>
      </c>
      <c r="G23467" s="33" t="s">
        <v>7780</v>
      </c>
      <c r="H23467" s="35">
        <v>28</v>
      </c>
      <c r="I23467" s="33" t="s">
        <v>51</v>
      </c>
      <c r="J23467" s="42">
        <v>45870</v>
      </c>
      <c r="K23467" s="33" t="s">
        <v>22</v>
      </c>
    </row>
    <row r="23468" spans="1:11">
      <c r="A23468" s="30" t="s">
        <v>51802</v>
      </c>
      <c r="B23468" s="30" t="s">
        <v>51803</v>
      </c>
      <c r="C23468" s="30" t="s">
        <v>25044</v>
      </c>
      <c r="D23468" s="30" t="s">
        <v>17</v>
      </c>
      <c r="E23468" s="30" t="s">
        <v>18</v>
      </c>
      <c r="F23468" s="30" t="s">
        <v>19</v>
      </c>
      <c r="G23468" s="30" t="s">
        <v>140</v>
      </c>
      <c r="H23468" s="32">
        <v>90</v>
      </c>
      <c r="I23468" s="30" t="s">
        <v>51</v>
      </c>
      <c r="J23468" s="41">
        <v>45897</v>
      </c>
      <c r="K23468" s="30" t="s">
        <v>22</v>
      </c>
    </row>
    <row r="23469" spans="1:11">
      <c r="A23469" s="33" t="s">
        <v>51804</v>
      </c>
      <c r="B23469" s="33" t="s">
        <v>51805</v>
      </c>
      <c r="C23469" s="33" t="s">
        <v>9449</v>
      </c>
      <c r="D23469" s="33" t="s">
        <v>17</v>
      </c>
      <c r="E23469" s="33" t="s">
        <v>26</v>
      </c>
      <c r="F23469" s="33" t="s">
        <v>27</v>
      </c>
      <c r="G23469" s="33" t="s">
        <v>20</v>
      </c>
      <c r="H23469" s="35">
        <v>36</v>
      </c>
      <c r="I23469" s="33" t="s">
        <v>21</v>
      </c>
      <c r="J23469" s="42">
        <v>45904</v>
      </c>
      <c r="K23469" s="33" t="s">
        <v>22</v>
      </c>
    </row>
    <row r="23470" spans="1:11">
      <c r="A23470" s="30" t="s">
        <v>51806</v>
      </c>
      <c r="B23470" s="30" t="s">
        <v>51807</v>
      </c>
      <c r="C23470" s="30" t="s">
        <v>39090</v>
      </c>
      <c r="D23470" s="30" t="s">
        <v>17</v>
      </c>
      <c r="E23470" s="30" t="s">
        <v>67</v>
      </c>
      <c r="F23470" s="30" t="s">
        <v>68</v>
      </c>
      <c r="G23470" s="30" t="s">
        <v>7780</v>
      </c>
      <c r="H23470" s="32">
        <v>24</v>
      </c>
      <c r="I23470" s="30" t="s">
        <v>51</v>
      </c>
      <c r="J23470" s="41">
        <v>45762</v>
      </c>
      <c r="K23470" s="30" t="s">
        <v>22</v>
      </c>
    </row>
    <row r="23471" spans="1:11">
      <c r="A23471" s="33" t="s">
        <v>51808</v>
      </c>
      <c r="B23471" s="33" t="s">
        <v>51809</v>
      </c>
      <c r="C23471" s="33" t="s">
        <v>1090</v>
      </c>
      <c r="D23471" s="33" t="s">
        <v>17</v>
      </c>
      <c r="E23471" s="33" t="s">
        <v>31</v>
      </c>
      <c r="F23471" s="33" t="s">
        <v>32</v>
      </c>
      <c r="G23471" s="33" t="s">
        <v>7780</v>
      </c>
      <c r="H23471" s="35">
        <v>80</v>
      </c>
      <c r="I23471" s="33" t="s">
        <v>51</v>
      </c>
      <c r="J23471" s="42">
        <v>45915</v>
      </c>
      <c r="K23471" s="33" t="s">
        <v>22</v>
      </c>
    </row>
    <row r="23472" spans="1:11">
      <c r="A23472" s="30" t="s">
        <v>51810</v>
      </c>
      <c r="B23472" s="30" t="s">
        <v>51811</v>
      </c>
      <c r="C23472" s="30" t="s">
        <v>51812</v>
      </c>
      <c r="D23472" s="30" t="s">
        <v>17</v>
      </c>
      <c r="E23472" s="30" t="s">
        <v>26</v>
      </c>
      <c r="F23472" s="30" t="s">
        <v>27</v>
      </c>
      <c r="G23472" s="30" t="s">
        <v>140</v>
      </c>
      <c r="H23472" s="32">
        <v>150</v>
      </c>
      <c r="I23472" s="30" t="s">
        <v>51</v>
      </c>
      <c r="J23472" s="41">
        <v>45960</v>
      </c>
      <c r="K23472" s="30" t="s">
        <v>22</v>
      </c>
    </row>
    <row r="23473" spans="1:11">
      <c r="A23473" s="33" t="s">
        <v>51813</v>
      </c>
      <c r="B23473" s="33" t="s">
        <v>51814</v>
      </c>
      <c r="C23473" s="33" t="s">
        <v>44733</v>
      </c>
      <c r="D23473" s="33" t="s">
        <v>17</v>
      </c>
      <c r="E23473" s="33" t="s">
        <v>31</v>
      </c>
      <c r="F23473" s="33" t="s">
        <v>32</v>
      </c>
      <c r="G23473" s="33" t="s">
        <v>158</v>
      </c>
      <c r="H23473" s="35">
        <v>209</v>
      </c>
      <c r="I23473" s="33" t="s">
        <v>21</v>
      </c>
      <c r="J23473" s="42">
        <v>45902</v>
      </c>
      <c r="K23473" s="33" t="s">
        <v>22</v>
      </c>
    </row>
    <row r="23474" spans="1:11">
      <c r="A23474" s="30" t="s">
        <v>51815</v>
      </c>
      <c r="B23474" s="30" t="s">
        <v>51816</v>
      </c>
      <c r="C23474" s="30" t="s">
        <v>3157</v>
      </c>
      <c r="D23474" s="30" t="s">
        <v>17</v>
      </c>
      <c r="E23474" s="30" t="s">
        <v>31</v>
      </c>
      <c r="F23474" s="30" t="s">
        <v>32</v>
      </c>
      <c r="G23474" s="30" t="s">
        <v>158</v>
      </c>
      <c r="H23474" s="32">
        <v>20</v>
      </c>
      <c r="I23474" s="30" t="s">
        <v>51</v>
      </c>
      <c r="J23474" s="41">
        <v>45700</v>
      </c>
      <c r="K23474" s="30" t="s">
        <v>22</v>
      </c>
    </row>
    <row r="23475" spans="1:11">
      <c r="A23475" s="33" t="s">
        <v>51817</v>
      </c>
      <c r="B23475" s="33" t="s">
        <v>51818</v>
      </c>
      <c r="C23475" s="33" t="s">
        <v>136</v>
      </c>
      <c r="D23475" s="33" t="s">
        <v>17</v>
      </c>
      <c r="E23475" s="33" t="s">
        <v>18</v>
      </c>
      <c r="F23475" s="33" t="s">
        <v>19</v>
      </c>
      <c r="G23475" s="33" t="s">
        <v>158</v>
      </c>
      <c r="H23475" s="35">
        <v>487</v>
      </c>
      <c r="I23475" s="33" t="s">
        <v>51</v>
      </c>
      <c r="J23475" s="42">
        <v>45777</v>
      </c>
      <c r="K23475" s="33" t="s">
        <v>22</v>
      </c>
    </row>
    <row r="23476" spans="1:11">
      <c r="A23476" s="30" t="s">
        <v>51819</v>
      </c>
      <c r="B23476" s="30" t="s">
        <v>51820</v>
      </c>
      <c r="C23476" s="30" t="s">
        <v>310</v>
      </c>
      <c r="D23476" s="30" t="s">
        <v>17</v>
      </c>
      <c r="E23476" s="30" t="s">
        <v>26</v>
      </c>
      <c r="F23476" s="30" t="s">
        <v>27</v>
      </c>
      <c r="G23476" s="30" t="s">
        <v>20</v>
      </c>
      <c r="H23476" s="32">
        <v>29</v>
      </c>
      <c r="I23476" s="30" t="s">
        <v>21</v>
      </c>
      <c r="J23476" s="41">
        <v>45697</v>
      </c>
      <c r="K23476" s="30" t="s">
        <v>22</v>
      </c>
    </row>
    <row r="23477" spans="1:11">
      <c r="A23477" s="33" t="s">
        <v>51821</v>
      </c>
      <c r="B23477" s="33" t="s">
        <v>51822</v>
      </c>
      <c r="C23477" s="33" t="s">
        <v>1618</v>
      </c>
      <c r="D23477" s="33" t="s">
        <v>17</v>
      </c>
      <c r="E23477" s="33" t="s">
        <v>67</v>
      </c>
      <c r="F23477" s="33" t="s">
        <v>68</v>
      </c>
      <c r="G23477" s="33" t="s">
        <v>158</v>
      </c>
      <c r="H23477" s="35">
        <v>45</v>
      </c>
      <c r="I23477" s="33" t="s">
        <v>51</v>
      </c>
      <c r="J23477" s="42">
        <v>45769</v>
      </c>
      <c r="K23477" s="33" t="s">
        <v>22</v>
      </c>
    </row>
    <row r="23478" spans="1:11">
      <c r="A23478" s="30" t="s">
        <v>51823</v>
      </c>
      <c r="B23478" s="30" t="s">
        <v>51824</v>
      </c>
      <c r="C23478" s="30" t="s">
        <v>17220</v>
      </c>
      <c r="D23478" s="30" t="s">
        <v>17</v>
      </c>
      <c r="E23478" s="30" t="s">
        <v>67</v>
      </c>
      <c r="F23478" s="30" t="s">
        <v>68</v>
      </c>
      <c r="G23478" s="30" t="s">
        <v>140</v>
      </c>
      <c r="H23478" s="32">
        <v>36</v>
      </c>
      <c r="I23478" s="30" t="s">
        <v>51</v>
      </c>
      <c r="J23478" s="41">
        <v>45713</v>
      </c>
      <c r="K23478" s="30" t="s">
        <v>22</v>
      </c>
    </row>
    <row r="23479" spans="1:11">
      <c r="A23479" s="33" t="s">
        <v>51825</v>
      </c>
      <c r="B23479" s="33" t="s">
        <v>51826</v>
      </c>
      <c r="C23479" s="33" t="s">
        <v>78</v>
      </c>
      <c r="D23479" s="33" t="s">
        <v>17</v>
      </c>
      <c r="E23479" s="33" t="s">
        <v>26</v>
      </c>
      <c r="F23479" s="33" t="s">
        <v>27</v>
      </c>
      <c r="G23479" s="33" t="s">
        <v>20</v>
      </c>
      <c r="H23479" s="35">
        <v>30</v>
      </c>
      <c r="I23479" s="33" t="s">
        <v>21</v>
      </c>
      <c r="J23479" s="42">
        <v>45960</v>
      </c>
      <c r="K23479" s="33" t="s">
        <v>22</v>
      </c>
    </row>
    <row r="23480" spans="1:11">
      <c r="A23480" s="30" t="s">
        <v>51827</v>
      </c>
      <c r="B23480" s="30" t="s">
        <v>51828</v>
      </c>
      <c r="C23480" s="30" t="s">
        <v>31218</v>
      </c>
      <c r="D23480" s="30" t="s">
        <v>17</v>
      </c>
      <c r="E23480" s="30" t="s">
        <v>26</v>
      </c>
      <c r="F23480" s="30" t="s">
        <v>27</v>
      </c>
      <c r="G23480" s="30" t="s">
        <v>20</v>
      </c>
      <c r="H23480" s="32">
        <v>30</v>
      </c>
      <c r="I23480" s="30" t="s">
        <v>21</v>
      </c>
      <c r="J23480" s="41">
        <v>45875</v>
      </c>
      <c r="K23480" s="30" t="s">
        <v>22</v>
      </c>
    </row>
    <row r="23481" spans="1:11">
      <c r="A23481" s="33" t="s">
        <v>51829</v>
      </c>
      <c r="B23481" s="33" t="s">
        <v>51830</v>
      </c>
      <c r="C23481" s="33" t="s">
        <v>42561</v>
      </c>
      <c r="D23481" s="33" t="s">
        <v>17</v>
      </c>
      <c r="E23481" s="33" t="s">
        <v>18</v>
      </c>
      <c r="F23481" s="33" t="s">
        <v>19</v>
      </c>
      <c r="G23481" s="33" t="s">
        <v>158</v>
      </c>
      <c r="H23481" s="35">
        <v>580</v>
      </c>
      <c r="I23481" s="33" t="s">
        <v>51</v>
      </c>
      <c r="J23481" s="42">
        <v>45705</v>
      </c>
      <c r="K23481" s="33" t="s">
        <v>22</v>
      </c>
    </row>
    <row r="23482" spans="1:11">
      <c r="A23482" s="30" t="s">
        <v>51831</v>
      </c>
      <c r="B23482" s="30" t="s">
        <v>51832</v>
      </c>
      <c r="C23482" s="30" t="s">
        <v>379</v>
      </c>
      <c r="D23482" s="30" t="s">
        <v>17</v>
      </c>
      <c r="E23482" s="30" t="s">
        <v>18</v>
      </c>
      <c r="F23482" s="30" t="s">
        <v>19</v>
      </c>
      <c r="G23482" s="30" t="s">
        <v>7780</v>
      </c>
      <c r="H23482" s="32">
        <v>656</v>
      </c>
      <c r="I23482" s="30" t="s">
        <v>51</v>
      </c>
      <c r="J23482" s="41">
        <v>45777</v>
      </c>
      <c r="K23482" s="30" t="s">
        <v>22</v>
      </c>
    </row>
    <row r="23483" spans="1:11">
      <c r="A23483" s="33" t="s">
        <v>51833</v>
      </c>
      <c r="B23483" s="33" t="s">
        <v>51834</v>
      </c>
      <c r="C23483" s="33" t="s">
        <v>7900</v>
      </c>
      <c r="D23483" s="33" t="s">
        <v>17</v>
      </c>
      <c r="E23483" s="33" t="s">
        <v>26</v>
      </c>
      <c r="F23483" s="33" t="s">
        <v>27</v>
      </c>
      <c r="G23483" s="33" t="s">
        <v>20</v>
      </c>
      <c r="H23483" s="35">
        <v>60</v>
      </c>
      <c r="I23483" s="33" t="s">
        <v>21</v>
      </c>
      <c r="J23483" s="42">
        <v>45674</v>
      </c>
      <c r="K23483" s="33" t="s">
        <v>22</v>
      </c>
    </row>
    <row r="23484" spans="1:11">
      <c r="A23484" s="30" t="s">
        <v>51835</v>
      </c>
      <c r="B23484" s="30" t="s">
        <v>51836</v>
      </c>
      <c r="C23484" s="30" t="s">
        <v>443</v>
      </c>
      <c r="D23484" s="30" t="s">
        <v>17</v>
      </c>
      <c r="E23484" s="30" t="s">
        <v>18</v>
      </c>
      <c r="F23484" s="30" t="s">
        <v>19</v>
      </c>
      <c r="G23484" s="30" t="s">
        <v>140</v>
      </c>
      <c r="H23484" s="32">
        <v>150</v>
      </c>
      <c r="I23484" s="30" t="s">
        <v>51</v>
      </c>
      <c r="J23484" s="41">
        <v>45943</v>
      </c>
      <c r="K23484" s="30" t="s">
        <v>22</v>
      </c>
    </row>
    <row r="23485" spans="1:11">
      <c r="A23485" s="33" t="s">
        <v>51837</v>
      </c>
      <c r="B23485" s="33" t="s">
        <v>51838</v>
      </c>
      <c r="C23485" s="33" t="s">
        <v>105</v>
      </c>
      <c r="D23485" s="33" t="s">
        <v>17</v>
      </c>
      <c r="E23485" s="33" t="s">
        <v>18</v>
      </c>
      <c r="F23485" s="33" t="s">
        <v>19</v>
      </c>
      <c r="G23485" s="33" t="s">
        <v>20</v>
      </c>
      <c r="H23485" s="35">
        <v>44</v>
      </c>
      <c r="I23485" s="33" t="s">
        <v>21</v>
      </c>
      <c r="J23485" s="42">
        <v>45954</v>
      </c>
      <c r="K23485" s="33" t="s">
        <v>22</v>
      </c>
    </row>
    <row r="23486" spans="1:11">
      <c r="A23486" s="30" t="s">
        <v>51839</v>
      </c>
      <c r="B23486" s="30" t="s">
        <v>51840</v>
      </c>
      <c r="C23486" s="30" t="s">
        <v>190</v>
      </c>
      <c r="D23486" s="30" t="s">
        <v>17</v>
      </c>
      <c r="E23486" s="30" t="s">
        <v>31</v>
      </c>
      <c r="F23486" s="30" t="s">
        <v>32</v>
      </c>
      <c r="G23486" s="30" t="s">
        <v>140</v>
      </c>
      <c r="H23486" s="32">
        <v>136</v>
      </c>
      <c r="I23486" s="30" t="s">
        <v>51</v>
      </c>
      <c r="J23486" s="41">
        <v>45721</v>
      </c>
      <c r="K23486" s="30" t="s">
        <v>22</v>
      </c>
    </row>
    <row r="23487" spans="1:11">
      <c r="A23487" s="33" t="s">
        <v>51841</v>
      </c>
      <c r="B23487" s="33" t="s">
        <v>51842</v>
      </c>
      <c r="C23487" s="33" t="s">
        <v>51843</v>
      </c>
      <c r="D23487" s="33" t="s">
        <v>17</v>
      </c>
      <c r="E23487" s="33" t="s">
        <v>31</v>
      </c>
      <c r="F23487" s="33" t="s">
        <v>32</v>
      </c>
      <c r="G23487" s="33" t="s">
        <v>140</v>
      </c>
      <c r="H23487" s="35">
        <v>120</v>
      </c>
      <c r="I23487" s="33" t="s">
        <v>51</v>
      </c>
      <c r="J23487" s="42">
        <v>45882</v>
      </c>
      <c r="K23487" s="33" t="s">
        <v>22</v>
      </c>
    </row>
    <row r="23488" spans="1:11">
      <c r="A23488" s="30" t="s">
        <v>51844</v>
      </c>
      <c r="B23488" s="30" t="s">
        <v>51845</v>
      </c>
      <c r="C23488" s="30" t="s">
        <v>647</v>
      </c>
      <c r="D23488" s="30" t="s">
        <v>17</v>
      </c>
      <c r="E23488" s="30" t="s">
        <v>31</v>
      </c>
      <c r="F23488" s="30" t="s">
        <v>32</v>
      </c>
      <c r="G23488" s="30" t="s">
        <v>140</v>
      </c>
      <c r="H23488" s="32">
        <v>315</v>
      </c>
      <c r="I23488" s="30" t="s">
        <v>51</v>
      </c>
      <c r="J23488" s="41">
        <v>45926</v>
      </c>
      <c r="K23488" s="30" t="s">
        <v>22</v>
      </c>
    </row>
    <row r="23489" spans="1:11">
      <c r="A23489" s="33" t="s">
        <v>51846</v>
      </c>
      <c r="B23489" s="33" t="s">
        <v>51847</v>
      </c>
      <c r="C23489" s="33" t="s">
        <v>554</v>
      </c>
      <c r="D23489" s="33" t="s">
        <v>17</v>
      </c>
      <c r="E23489" s="33" t="s">
        <v>26</v>
      </c>
      <c r="F23489" s="33" t="s">
        <v>27</v>
      </c>
      <c r="G23489" s="33" t="s">
        <v>140</v>
      </c>
      <c r="H23489" s="35">
        <v>32</v>
      </c>
      <c r="I23489" s="33" t="s">
        <v>51</v>
      </c>
      <c r="J23489" s="42">
        <v>45714</v>
      </c>
      <c r="K23489" s="33" t="s">
        <v>22</v>
      </c>
    </row>
    <row r="23490" spans="1:11">
      <c r="A23490" s="30" t="s">
        <v>51848</v>
      </c>
      <c r="B23490" s="30" t="s">
        <v>51849</v>
      </c>
      <c r="C23490" s="30" t="s">
        <v>96</v>
      </c>
      <c r="D23490" s="30" t="s">
        <v>17</v>
      </c>
      <c r="E23490" s="30" t="s">
        <v>18</v>
      </c>
      <c r="F23490" s="30" t="s">
        <v>19</v>
      </c>
      <c r="G23490" s="30" t="s">
        <v>140</v>
      </c>
      <c r="H23490" s="32">
        <v>723</v>
      </c>
      <c r="I23490" s="30" t="s">
        <v>51</v>
      </c>
      <c r="J23490" s="41">
        <v>45727</v>
      </c>
      <c r="K23490" s="30" t="s">
        <v>22</v>
      </c>
    </row>
    <row r="23491" spans="1:11">
      <c r="A23491" s="33" t="s">
        <v>51850</v>
      </c>
      <c r="B23491" s="33" t="s">
        <v>51851</v>
      </c>
      <c r="C23491" s="33" t="s">
        <v>40104</v>
      </c>
      <c r="D23491" s="33" t="s">
        <v>17</v>
      </c>
      <c r="E23491" s="33" t="s">
        <v>26</v>
      </c>
      <c r="F23491" s="33" t="s">
        <v>27</v>
      </c>
      <c r="G23491" s="33" t="s">
        <v>20</v>
      </c>
      <c r="H23491" s="35">
        <v>32</v>
      </c>
      <c r="I23491" s="33" t="s">
        <v>21</v>
      </c>
      <c r="J23491" s="42">
        <v>45828</v>
      </c>
      <c r="K23491" s="33" t="s">
        <v>22</v>
      </c>
    </row>
    <row r="23492" spans="1:11">
      <c r="A23492" s="30" t="s">
        <v>51852</v>
      </c>
      <c r="B23492" s="30" t="s">
        <v>51853</v>
      </c>
      <c r="C23492" s="30" t="s">
        <v>2562</v>
      </c>
      <c r="D23492" s="30" t="s">
        <v>17</v>
      </c>
      <c r="E23492" s="30" t="s">
        <v>67</v>
      </c>
      <c r="F23492" s="30" t="s">
        <v>68</v>
      </c>
      <c r="G23492" s="30" t="s">
        <v>140</v>
      </c>
      <c r="H23492" s="32">
        <v>434</v>
      </c>
      <c r="I23492" s="30" t="s">
        <v>51</v>
      </c>
      <c r="J23492" s="41">
        <v>45835</v>
      </c>
      <c r="K23492" s="30" t="s">
        <v>22</v>
      </c>
    </row>
    <row r="23493" spans="1:11">
      <c r="A23493" s="33" t="s">
        <v>51854</v>
      </c>
      <c r="B23493" s="33" t="s">
        <v>51855</v>
      </c>
      <c r="C23493" s="33" t="s">
        <v>368</v>
      </c>
      <c r="D23493" s="33" t="s">
        <v>17</v>
      </c>
      <c r="E23493" s="33" t="s">
        <v>26</v>
      </c>
      <c r="F23493" s="33" t="s">
        <v>27</v>
      </c>
      <c r="G23493" s="33" t="s">
        <v>20</v>
      </c>
      <c r="H23493" s="35">
        <v>60</v>
      </c>
      <c r="I23493" s="33" t="s">
        <v>21</v>
      </c>
      <c r="J23493" s="42">
        <v>45745</v>
      </c>
      <c r="K23493" s="33" t="s">
        <v>22</v>
      </c>
    </row>
    <row r="23494" spans="1:11">
      <c r="A23494" s="30" t="s">
        <v>51856</v>
      </c>
      <c r="B23494" s="30" t="s">
        <v>51857</v>
      </c>
      <c r="C23494" s="30" t="s">
        <v>570</v>
      </c>
      <c r="D23494" s="30" t="s">
        <v>17</v>
      </c>
      <c r="E23494" s="30" t="s">
        <v>67</v>
      </c>
      <c r="F23494" s="30" t="s">
        <v>68</v>
      </c>
      <c r="G23494" s="30" t="s">
        <v>7780</v>
      </c>
      <c r="H23494" s="32">
        <v>290</v>
      </c>
      <c r="I23494" s="30" t="s">
        <v>51</v>
      </c>
      <c r="J23494" s="41">
        <v>46021</v>
      </c>
      <c r="K23494" s="30" t="s">
        <v>22</v>
      </c>
    </row>
    <row r="23495" spans="1:11">
      <c r="A23495" s="33" t="s">
        <v>51858</v>
      </c>
      <c r="B23495" s="33" t="s">
        <v>51859</v>
      </c>
      <c r="C23495" s="33" t="s">
        <v>1862</v>
      </c>
      <c r="D23495" s="33" t="s">
        <v>17</v>
      </c>
      <c r="E23495" s="33" t="s">
        <v>212</v>
      </c>
      <c r="F23495" s="33" t="s">
        <v>213</v>
      </c>
      <c r="G23495" s="33" t="s">
        <v>140</v>
      </c>
      <c r="H23495" s="35">
        <v>13</v>
      </c>
      <c r="I23495" s="33" t="s">
        <v>51</v>
      </c>
      <c r="J23495" s="42">
        <v>45784</v>
      </c>
      <c r="K23495" s="33" t="s">
        <v>22</v>
      </c>
    </row>
    <row r="23496" spans="1:11">
      <c r="A23496" s="30" t="s">
        <v>51860</v>
      </c>
      <c r="B23496" s="30" t="s">
        <v>51861</v>
      </c>
      <c r="C23496" s="30" t="s">
        <v>51862</v>
      </c>
      <c r="D23496" s="30" t="s">
        <v>17</v>
      </c>
      <c r="E23496" s="30" t="s">
        <v>67</v>
      </c>
      <c r="F23496" s="30" t="s">
        <v>68</v>
      </c>
      <c r="G23496" s="30" t="s">
        <v>140</v>
      </c>
      <c r="H23496" s="32">
        <v>68</v>
      </c>
      <c r="I23496" s="30" t="s">
        <v>51</v>
      </c>
      <c r="J23496" s="41">
        <v>46007</v>
      </c>
      <c r="K23496" s="30" t="s">
        <v>22</v>
      </c>
    </row>
    <row r="23497" spans="1:11">
      <c r="A23497" s="33" t="s">
        <v>51863</v>
      </c>
      <c r="B23497" s="33" t="s">
        <v>51864</v>
      </c>
      <c r="C23497" s="33" t="s">
        <v>42561</v>
      </c>
      <c r="D23497" s="33" t="s">
        <v>17</v>
      </c>
      <c r="E23497" s="33" t="s">
        <v>31</v>
      </c>
      <c r="F23497" s="33" t="s">
        <v>32</v>
      </c>
      <c r="G23497" s="33" t="s">
        <v>158</v>
      </c>
      <c r="H23497" s="35">
        <v>90</v>
      </c>
      <c r="I23497" s="33" t="s">
        <v>51</v>
      </c>
      <c r="J23497" s="42">
        <v>45876</v>
      </c>
      <c r="K23497" s="33" t="s">
        <v>22</v>
      </c>
    </row>
    <row r="23498" spans="1:11">
      <c r="A23498" s="30" t="s">
        <v>51865</v>
      </c>
      <c r="B23498" s="30" t="s">
        <v>51866</v>
      </c>
      <c r="C23498" s="30" t="s">
        <v>26597</v>
      </c>
      <c r="D23498" s="30" t="s">
        <v>17</v>
      </c>
      <c r="E23498" s="30" t="s">
        <v>26</v>
      </c>
      <c r="F23498" s="30" t="s">
        <v>27</v>
      </c>
      <c r="G23498" s="30" t="s">
        <v>7780</v>
      </c>
      <c r="H23498" s="32">
        <v>36</v>
      </c>
      <c r="I23498" s="30" t="s">
        <v>51</v>
      </c>
      <c r="J23498" s="41">
        <v>45689</v>
      </c>
      <c r="K23498" s="30" t="s">
        <v>22</v>
      </c>
    </row>
    <row r="23499" spans="1:11">
      <c r="A23499" s="33" t="s">
        <v>51867</v>
      </c>
      <c r="B23499" s="33" t="s">
        <v>51868</v>
      </c>
      <c r="C23499" s="33" t="s">
        <v>203</v>
      </c>
      <c r="D23499" s="33" t="s">
        <v>17</v>
      </c>
      <c r="E23499" s="33" t="s">
        <v>212</v>
      </c>
      <c r="F23499" s="33" t="s">
        <v>213</v>
      </c>
      <c r="G23499" s="33" t="s">
        <v>158</v>
      </c>
      <c r="H23499" s="35">
        <v>110</v>
      </c>
      <c r="I23499" s="33" t="s">
        <v>21</v>
      </c>
      <c r="J23499" s="42">
        <v>45869</v>
      </c>
      <c r="K23499" s="33" t="s">
        <v>22</v>
      </c>
    </row>
    <row r="23500" spans="1:11">
      <c r="A23500" s="30" t="s">
        <v>51869</v>
      </c>
      <c r="B23500" s="30" t="s">
        <v>51870</v>
      </c>
      <c r="C23500" s="30" t="s">
        <v>2927</v>
      </c>
      <c r="D23500" s="30" t="s">
        <v>17</v>
      </c>
      <c r="E23500" s="30" t="s">
        <v>26</v>
      </c>
      <c r="F23500" s="30" t="s">
        <v>27</v>
      </c>
      <c r="G23500" s="30" t="s">
        <v>106</v>
      </c>
      <c r="H23500" s="32">
        <v>3</v>
      </c>
      <c r="I23500" s="30" t="s">
        <v>21</v>
      </c>
      <c r="J23500" s="41">
        <v>45932</v>
      </c>
      <c r="K23500" s="30" t="s">
        <v>22</v>
      </c>
    </row>
    <row r="23501" spans="1:11">
      <c r="A23501" s="33" t="s">
        <v>51871</v>
      </c>
      <c r="B23501" s="33" t="s">
        <v>51872</v>
      </c>
      <c r="C23501" s="33" t="s">
        <v>6508</v>
      </c>
      <c r="D23501" s="33" t="s">
        <v>17</v>
      </c>
      <c r="E23501" s="33" t="s">
        <v>31</v>
      </c>
      <c r="F23501" s="33" t="s">
        <v>32</v>
      </c>
      <c r="G23501" s="33" t="s">
        <v>7780</v>
      </c>
      <c r="H23501" s="35">
        <v>52</v>
      </c>
      <c r="I23501" s="33" t="s">
        <v>51</v>
      </c>
      <c r="J23501" s="42">
        <v>45717</v>
      </c>
      <c r="K23501" s="33" t="s">
        <v>22</v>
      </c>
    </row>
    <row r="23502" spans="1:11">
      <c r="A23502" s="30" t="s">
        <v>51873</v>
      </c>
      <c r="B23502" s="30" t="s">
        <v>51874</v>
      </c>
      <c r="C23502" s="30" t="s">
        <v>51875</v>
      </c>
      <c r="D23502" s="30" t="s">
        <v>17</v>
      </c>
      <c r="E23502" s="30" t="s">
        <v>31</v>
      </c>
      <c r="F23502" s="30" t="s">
        <v>32</v>
      </c>
      <c r="G23502" s="30" t="s">
        <v>7780</v>
      </c>
      <c r="H23502" s="32">
        <v>80</v>
      </c>
      <c r="I23502" s="30" t="s">
        <v>51</v>
      </c>
      <c r="J23502" s="41">
        <v>45775</v>
      </c>
      <c r="K23502" s="30" t="s">
        <v>22</v>
      </c>
    </row>
    <row r="23503" spans="1:11">
      <c r="A23503" s="33" t="s">
        <v>51876</v>
      </c>
      <c r="B23503" s="33" t="s">
        <v>51877</v>
      </c>
      <c r="C23503" s="33" t="s">
        <v>46484</v>
      </c>
      <c r="D23503" s="33" t="s">
        <v>17</v>
      </c>
      <c r="E23503" s="33" t="s">
        <v>31</v>
      </c>
      <c r="F23503" s="33" t="s">
        <v>32</v>
      </c>
      <c r="G23503" s="33" t="s">
        <v>20</v>
      </c>
      <c r="H23503" s="35">
        <v>40</v>
      </c>
      <c r="I23503" s="33" t="s">
        <v>21</v>
      </c>
      <c r="J23503" s="42">
        <v>45902</v>
      </c>
      <c r="K23503" s="33" t="s">
        <v>22</v>
      </c>
    </row>
    <row r="23504" spans="1:11">
      <c r="A23504" s="30" t="s">
        <v>51878</v>
      </c>
      <c r="B23504" s="30" t="s">
        <v>51879</v>
      </c>
      <c r="C23504" s="30" t="s">
        <v>2978</v>
      </c>
      <c r="D23504" s="30" t="s">
        <v>17</v>
      </c>
      <c r="E23504" s="30" t="s">
        <v>31</v>
      </c>
      <c r="F23504" s="30" t="s">
        <v>32</v>
      </c>
      <c r="G23504" s="30" t="s">
        <v>140</v>
      </c>
      <c r="H23504" s="32">
        <v>28</v>
      </c>
      <c r="I23504" s="30" t="s">
        <v>51</v>
      </c>
      <c r="J23504" s="41">
        <v>45901</v>
      </c>
      <c r="K23504" s="30" t="s">
        <v>22</v>
      </c>
    </row>
    <row r="23505" spans="1:11">
      <c r="A23505" s="33" t="s">
        <v>51880</v>
      </c>
      <c r="B23505" s="33" t="s">
        <v>51881</v>
      </c>
      <c r="C23505" s="33" t="s">
        <v>75</v>
      </c>
      <c r="D23505" s="33" t="s">
        <v>17</v>
      </c>
      <c r="E23505" s="33" t="s">
        <v>45</v>
      </c>
      <c r="F23505" s="33" t="s">
        <v>46</v>
      </c>
      <c r="G23505" s="33" t="s">
        <v>140</v>
      </c>
      <c r="H23505" s="35">
        <v>470</v>
      </c>
      <c r="I23505" s="33" t="s">
        <v>51</v>
      </c>
      <c r="J23505" s="42">
        <v>45930</v>
      </c>
      <c r="K23505" s="33" t="s">
        <v>22</v>
      </c>
    </row>
    <row r="23506" spans="1:11">
      <c r="A23506" s="30" t="s">
        <v>51882</v>
      </c>
      <c r="B23506" s="30" t="s">
        <v>51883</v>
      </c>
      <c r="C23506" s="30" t="s">
        <v>51884</v>
      </c>
      <c r="D23506" s="30" t="s">
        <v>17</v>
      </c>
      <c r="E23506" s="30" t="s">
        <v>26</v>
      </c>
      <c r="F23506" s="30" t="s">
        <v>27</v>
      </c>
      <c r="G23506" s="30" t="s">
        <v>140</v>
      </c>
      <c r="H23506" s="32">
        <v>10</v>
      </c>
      <c r="I23506" s="30" t="s">
        <v>51</v>
      </c>
      <c r="J23506" s="41">
        <v>45838</v>
      </c>
      <c r="K23506" s="30" t="s">
        <v>22</v>
      </c>
    </row>
    <row r="23507" spans="1:11">
      <c r="A23507" s="33" t="s">
        <v>51885</v>
      </c>
      <c r="B23507" s="33" t="s">
        <v>51886</v>
      </c>
      <c r="C23507" s="33" t="s">
        <v>27986</v>
      </c>
      <c r="D23507" s="33" t="s">
        <v>17</v>
      </c>
      <c r="E23507" s="33" t="s">
        <v>18</v>
      </c>
      <c r="F23507" s="33" t="s">
        <v>19</v>
      </c>
      <c r="G23507" s="33" t="s">
        <v>2613</v>
      </c>
      <c r="H23507" s="35">
        <v>468</v>
      </c>
      <c r="I23507" s="33" t="s">
        <v>51</v>
      </c>
      <c r="J23507" s="42">
        <v>45856</v>
      </c>
      <c r="K23507" s="33" t="s">
        <v>22</v>
      </c>
    </row>
    <row r="23508" spans="1:11">
      <c r="A23508" s="30" t="s">
        <v>51887</v>
      </c>
      <c r="B23508" s="30" t="s">
        <v>51888</v>
      </c>
      <c r="C23508" s="30" t="s">
        <v>51889</v>
      </c>
      <c r="D23508" s="30" t="s">
        <v>17</v>
      </c>
      <c r="E23508" s="30" t="s">
        <v>26</v>
      </c>
      <c r="F23508" s="30" t="s">
        <v>27</v>
      </c>
      <c r="G23508" s="30" t="s">
        <v>140</v>
      </c>
      <c r="H23508" s="32">
        <v>106</v>
      </c>
      <c r="I23508" s="30" t="s">
        <v>51</v>
      </c>
      <c r="J23508" s="41">
        <v>45726</v>
      </c>
      <c r="K23508" s="30" t="s">
        <v>22</v>
      </c>
    </row>
    <row r="23509" spans="1:11">
      <c r="A23509" s="33" t="s">
        <v>51890</v>
      </c>
      <c r="B23509" s="33" t="s">
        <v>51891</v>
      </c>
      <c r="C23509" s="33" t="s">
        <v>20619</v>
      </c>
      <c r="D23509" s="33" t="s">
        <v>17</v>
      </c>
      <c r="E23509" s="33" t="s">
        <v>18</v>
      </c>
      <c r="F23509" s="33" t="s">
        <v>19</v>
      </c>
      <c r="G23509" s="33" t="s">
        <v>7780</v>
      </c>
      <c r="H23509" s="35">
        <v>110</v>
      </c>
      <c r="I23509" s="33" t="s">
        <v>51</v>
      </c>
      <c r="J23509" s="42">
        <v>45870</v>
      </c>
      <c r="K23509" s="33" t="s">
        <v>22</v>
      </c>
    </row>
    <row r="23510" spans="1:11">
      <c r="A23510" s="30" t="s">
        <v>51892</v>
      </c>
      <c r="B23510" s="30" t="s">
        <v>51893</v>
      </c>
      <c r="C23510" s="30" t="s">
        <v>4306</v>
      </c>
      <c r="D23510" s="30" t="s">
        <v>17</v>
      </c>
      <c r="E23510" s="30" t="s">
        <v>31</v>
      </c>
      <c r="F23510" s="30" t="s">
        <v>32</v>
      </c>
      <c r="G23510" s="30" t="s">
        <v>2613</v>
      </c>
      <c r="H23510" s="32">
        <v>175</v>
      </c>
      <c r="I23510" s="30" t="s">
        <v>51</v>
      </c>
      <c r="J23510" s="41">
        <v>46019</v>
      </c>
      <c r="K23510" s="30" t="s">
        <v>22</v>
      </c>
    </row>
    <row r="23511" spans="1:11">
      <c r="A23511" s="33" t="s">
        <v>51894</v>
      </c>
      <c r="B23511" s="33" t="s">
        <v>51895</v>
      </c>
      <c r="C23511" s="33" t="s">
        <v>17183</v>
      </c>
      <c r="D23511" s="33" t="s">
        <v>17</v>
      </c>
      <c r="E23511" s="33" t="s">
        <v>26</v>
      </c>
      <c r="F23511" s="33" t="s">
        <v>27</v>
      </c>
      <c r="G23511" s="33" t="s">
        <v>7780</v>
      </c>
      <c r="H23511" s="35">
        <v>13</v>
      </c>
      <c r="I23511" s="33" t="s">
        <v>51</v>
      </c>
      <c r="J23511" s="42">
        <v>45748</v>
      </c>
      <c r="K23511" s="33" t="s">
        <v>22</v>
      </c>
    </row>
    <row r="23512" spans="1:11">
      <c r="A23512" s="30" t="s">
        <v>51896</v>
      </c>
      <c r="B23512" s="30" t="s">
        <v>51897</v>
      </c>
      <c r="C23512" s="30" t="s">
        <v>37584</v>
      </c>
      <c r="D23512" s="30" t="s">
        <v>17</v>
      </c>
      <c r="E23512" s="30" t="s">
        <v>330</v>
      </c>
      <c r="F23512" s="30" t="s">
        <v>331</v>
      </c>
      <c r="G23512" s="30" t="s">
        <v>20</v>
      </c>
      <c r="H23512" s="32">
        <v>20</v>
      </c>
      <c r="I23512" s="30" t="s">
        <v>21</v>
      </c>
      <c r="J23512" s="41">
        <v>45812</v>
      </c>
      <c r="K23512" s="30" t="s">
        <v>22</v>
      </c>
    </row>
    <row r="23513" spans="1:11">
      <c r="A23513" s="33" t="s">
        <v>51898</v>
      </c>
      <c r="B23513" s="33" t="s">
        <v>51899</v>
      </c>
      <c r="C23513" s="33" t="s">
        <v>109</v>
      </c>
      <c r="D23513" s="33" t="s">
        <v>17</v>
      </c>
      <c r="E23513" s="33" t="s">
        <v>18</v>
      </c>
      <c r="F23513" s="33" t="s">
        <v>19</v>
      </c>
      <c r="G23513" s="33" t="s">
        <v>140</v>
      </c>
      <c r="H23513" s="35">
        <v>360</v>
      </c>
      <c r="I23513" s="33" t="s">
        <v>51</v>
      </c>
      <c r="J23513" s="42">
        <v>45831</v>
      </c>
      <c r="K23513" s="33" t="s">
        <v>22</v>
      </c>
    </row>
    <row r="23514" spans="1:11">
      <c r="A23514" s="30" t="s">
        <v>51900</v>
      </c>
      <c r="B23514" s="30" t="s">
        <v>51901</v>
      </c>
      <c r="C23514" s="30" t="s">
        <v>4975</v>
      </c>
      <c r="D23514" s="30" t="s">
        <v>17</v>
      </c>
      <c r="E23514" s="30" t="s">
        <v>18</v>
      </c>
      <c r="F23514" s="30" t="s">
        <v>19</v>
      </c>
      <c r="G23514" s="30" t="s">
        <v>140</v>
      </c>
      <c r="H23514" s="32">
        <v>480</v>
      </c>
      <c r="I23514" s="30" t="s">
        <v>51</v>
      </c>
      <c r="J23514" s="41">
        <v>45832</v>
      </c>
      <c r="K23514" s="30" t="s">
        <v>22</v>
      </c>
    </row>
    <row r="23515" spans="1:11">
      <c r="A23515" s="33" t="s">
        <v>51902</v>
      </c>
      <c r="B23515" s="33" t="s">
        <v>51903</v>
      </c>
      <c r="C23515" s="33" t="s">
        <v>252</v>
      </c>
      <c r="D23515" s="33" t="s">
        <v>17</v>
      </c>
      <c r="E23515" s="33" t="s">
        <v>26</v>
      </c>
      <c r="F23515" s="33" t="s">
        <v>27</v>
      </c>
      <c r="G23515" s="33" t="s">
        <v>140</v>
      </c>
      <c r="H23515" s="35">
        <v>48</v>
      </c>
      <c r="I23515" s="33" t="s">
        <v>51</v>
      </c>
      <c r="J23515" s="42">
        <v>45840</v>
      </c>
      <c r="K23515" s="33" t="s">
        <v>22</v>
      </c>
    </row>
    <row r="23516" spans="1:11">
      <c r="A23516" s="30" t="s">
        <v>51904</v>
      </c>
      <c r="B23516" s="30" t="s">
        <v>51905</v>
      </c>
      <c r="C23516" s="30" t="s">
        <v>51906</v>
      </c>
      <c r="D23516" s="30" t="s">
        <v>17</v>
      </c>
      <c r="E23516" s="30" t="s">
        <v>26</v>
      </c>
      <c r="F23516" s="30" t="s">
        <v>27</v>
      </c>
      <c r="G23516" s="30" t="s">
        <v>20</v>
      </c>
      <c r="H23516" s="32">
        <v>47</v>
      </c>
      <c r="I23516" s="30" t="s">
        <v>21</v>
      </c>
      <c r="J23516" s="41">
        <v>45736</v>
      </c>
      <c r="K23516" s="30" t="s">
        <v>22</v>
      </c>
    </row>
    <row r="23517" spans="1:11">
      <c r="A23517" s="33" t="s">
        <v>51907</v>
      </c>
      <c r="B23517" s="33" t="s">
        <v>51908</v>
      </c>
      <c r="C23517" s="33" t="s">
        <v>3871</v>
      </c>
      <c r="D23517" s="33" t="s">
        <v>17</v>
      </c>
      <c r="E23517" s="33" t="s">
        <v>18</v>
      </c>
      <c r="F23517" s="33" t="s">
        <v>19</v>
      </c>
      <c r="G23517" s="33" t="s">
        <v>140</v>
      </c>
      <c r="H23517" s="35">
        <v>240</v>
      </c>
      <c r="I23517" s="33" t="s">
        <v>51</v>
      </c>
      <c r="J23517" s="42">
        <v>45700</v>
      </c>
      <c r="K23517" s="33" t="s">
        <v>22</v>
      </c>
    </row>
    <row r="23518" spans="1:11">
      <c r="A23518" s="30" t="s">
        <v>51909</v>
      </c>
      <c r="B23518" s="30" t="s">
        <v>51910</v>
      </c>
      <c r="C23518" s="30" t="s">
        <v>23340</v>
      </c>
      <c r="D23518" s="30" t="s">
        <v>17</v>
      </c>
      <c r="E23518" s="30" t="s">
        <v>67</v>
      </c>
      <c r="F23518" s="30" t="s">
        <v>68</v>
      </c>
      <c r="G23518" s="30" t="s">
        <v>140</v>
      </c>
      <c r="H23518" s="32">
        <v>300</v>
      </c>
      <c r="I23518" s="30" t="s">
        <v>51</v>
      </c>
      <c r="J23518" s="41">
        <v>45786</v>
      </c>
      <c r="K23518" s="30" t="s">
        <v>22</v>
      </c>
    </row>
    <row r="23519" spans="1:11">
      <c r="A23519" s="33" t="s">
        <v>51911</v>
      </c>
      <c r="B23519" s="33" t="s">
        <v>51912</v>
      </c>
      <c r="C23519" s="33" t="s">
        <v>1024</v>
      </c>
      <c r="D23519" s="33" t="s">
        <v>17</v>
      </c>
      <c r="E23519" s="33" t="s">
        <v>26</v>
      </c>
      <c r="F23519" s="33" t="s">
        <v>27</v>
      </c>
      <c r="G23519" s="33" t="s">
        <v>20</v>
      </c>
      <c r="H23519" s="35">
        <v>48</v>
      </c>
      <c r="I23519" s="33" t="s">
        <v>21</v>
      </c>
      <c r="J23519" s="42">
        <v>46008</v>
      </c>
      <c r="K23519" s="33" t="s">
        <v>22</v>
      </c>
    </row>
    <row r="23520" spans="1:11">
      <c r="A23520" s="30" t="s">
        <v>51913</v>
      </c>
      <c r="B23520" s="30" t="s">
        <v>51914</v>
      </c>
      <c r="C23520" s="30" t="s">
        <v>1210</v>
      </c>
      <c r="D23520" s="30" t="s">
        <v>17</v>
      </c>
      <c r="E23520" s="30" t="s">
        <v>31</v>
      </c>
      <c r="F23520" s="30" t="s">
        <v>32</v>
      </c>
      <c r="G23520" s="30" t="s">
        <v>158</v>
      </c>
      <c r="H23520" s="32">
        <v>240</v>
      </c>
      <c r="I23520" s="30" t="s">
        <v>51</v>
      </c>
      <c r="J23520" s="41">
        <v>45771</v>
      </c>
      <c r="K23520" s="30" t="s">
        <v>22</v>
      </c>
    </row>
    <row r="23521" spans="1:11">
      <c r="A23521" s="33" t="s">
        <v>51915</v>
      </c>
      <c r="B23521" s="33" t="s">
        <v>51916</v>
      </c>
      <c r="C23521" s="33" t="s">
        <v>51917</v>
      </c>
      <c r="D23521" s="33" t="s">
        <v>17</v>
      </c>
      <c r="E23521" s="33" t="s">
        <v>67</v>
      </c>
      <c r="F23521" s="33" t="s">
        <v>68</v>
      </c>
      <c r="G23521" s="33" t="s">
        <v>106</v>
      </c>
      <c r="H23521" s="35">
        <v>2</v>
      </c>
      <c r="I23521" s="33" t="s">
        <v>21</v>
      </c>
      <c r="J23521" s="42">
        <v>45839</v>
      </c>
      <c r="K23521" s="33" t="s">
        <v>22</v>
      </c>
    </row>
    <row r="23522" spans="1:11">
      <c r="A23522" s="30" t="s">
        <v>51918</v>
      </c>
      <c r="B23522" s="30" t="s">
        <v>51919</v>
      </c>
      <c r="C23522" s="30" t="s">
        <v>231</v>
      </c>
      <c r="D23522" s="30" t="s">
        <v>17</v>
      </c>
      <c r="E23522" s="30" t="s">
        <v>26</v>
      </c>
      <c r="F23522" s="30" t="s">
        <v>27</v>
      </c>
      <c r="G23522" s="30" t="s">
        <v>20</v>
      </c>
      <c r="H23522" s="32">
        <v>32</v>
      </c>
      <c r="I23522" s="30" t="s">
        <v>21</v>
      </c>
      <c r="J23522" s="41">
        <v>45908</v>
      </c>
      <c r="K23522" s="30" t="s">
        <v>22</v>
      </c>
    </row>
    <row r="23523" spans="1:11">
      <c r="A23523" s="33" t="s">
        <v>51920</v>
      </c>
      <c r="B23523" s="33" t="s">
        <v>51921</v>
      </c>
      <c r="C23523" s="33" t="s">
        <v>51922</v>
      </c>
      <c r="D23523" s="33" t="s">
        <v>17</v>
      </c>
      <c r="E23523" s="33" t="s">
        <v>26</v>
      </c>
      <c r="F23523" s="33" t="s">
        <v>27</v>
      </c>
      <c r="G23523" s="33" t="s">
        <v>7780</v>
      </c>
      <c r="H23523" s="35">
        <v>76</v>
      </c>
      <c r="I23523" s="33" t="s">
        <v>51</v>
      </c>
      <c r="J23523" s="42">
        <v>45901</v>
      </c>
      <c r="K23523" s="33" t="s">
        <v>22</v>
      </c>
    </row>
    <row r="23524" spans="1:11">
      <c r="A23524" s="30" t="s">
        <v>51923</v>
      </c>
      <c r="B23524" s="30" t="s">
        <v>51924</v>
      </c>
      <c r="C23524" s="30" t="s">
        <v>1778</v>
      </c>
      <c r="D23524" s="30" t="s">
        <v>17</v>
      </c>
      <c r="E23524" s="30" t="s">
        <v>26</v>
      </c>
      <c r="F23524" s="30" t="s">
        <v>27</v>
      </c>
      <c r="G23524" s="30" t="s">
        <v>20</v>
      </c>
      <c r="H23524" s="32">
        <v>7</v>
      </c>
      <c r="I23524" s="30" t="s">
        <v>21</v>
      </c>
      <c r="J23524" s="41">
        <v>45738</v>
      </c>
      <c r="K23524" s="30" t="s">
        <v>22</v>
      </c>
    </row>
    <row r="23525" spans="1:11">
      <c r="A23525" s="33" t="s">
        <v>51925</v>
      </c>
      <c r="B23525" s="33" t="s">
        <v>51926</v>
      </c>
      <c r="C23525" s="33" t="s">
        <v>3098</v>
      </c>
      <c r="D23525" s="33" t="s">
        <v>17</v>
      </c>
      <c r="E23525" s="33" t="s">
        <v>67</v>
      </c>
      <c r="F23525" s="33" t="s">
        <v>68</v>
      </c>
      <c r="G23525" s="33" t="s">
        <v>2613</v>
      </c>
      <c r="H23525" s="35">
        <v>50</v>
      </c>
      <c r="I23525" s="33" t="s">
        <v>51</v>
      </c>
      <c r="J23525" s="42">
        <v>45964</v>
      </c>
      <c r="K23525" s="33" t="s">
        <v>22</v>
      </c>
    </row>
    <row r="23526" spans="1:11">
      <c r="A23526" s="30" t="s">
        <v>51927</v>
      </c>
      <c r="B23526" s="30" t="s">
        <v>51928</v>
      </c>
      <c r="C23526" s="30" t="s">
        <v>21185</v>
      </c>
      <c r="D23526" s="30" t="s">
        <v>17</v>
      </c>
      <c r="E23526" s="30" t="s">
        <v>18</v>
      </c>
      <c r="F23526" s="30" t="s">
        <v>19</v>
      </c>
      <c r="G23526" s="30" t="s">
        <v>140</v>
      </c>
      <c r="H23526" s="32">
        <v>544</v>
      </c>
      <c r="I23526" s="30" t="s">
        <v>51</v>
      </c>
      <c r="J23526" s="41">
        <v>45915</v>
      </c>
      <c r="K23526" s="30" t="s">
        <v>22</v>
      </c>
    </row>
    <row r="23527" spans="1:11">
      <c r="A23527" s="33" t="s">
        <v>51929</v>
      </c>
      <c r="B23527" s="33" t="s">
        <v>51930</v>
      </c>
      <c r="C23527" s="33" t="s">
        <v>51931</v>
      </c>
      <c r="D23527" s="33" t="s">
        <v>17</v>
      </c>
      <c r="E23527" s="33" t="s">
        <v>67</v>
      </c>
      <c r="F23527" s="33" t="s">
        <v>68</v>
      </c>
      <c r="G23527" s="33" t="s">
        <v>140</v>
      </c>
      <c r="H23527" s="35">
        <v>220</v>
      </c>
      <c r="I23527" s="33" t="s">
        <v>51</v>
      </c>
      <c r="J23527" s="42">
        <v>45873</v>
      </c>
      <c r="K23527" s="33" t="s">
        <v>22</v>
      </c>
    </row>
    <row r="23528" spans="1:11">
      <c r="A23528" s="30" t="s">
        <v>51932</v>
      </c>
      <c r="B23528" s="30" t="s">
        <v>51933</v>
      </c>
      <c r="C23528" s="30" t="s">
        <v>222</v>
      </c>
      <c r="D23528" s="30" t="s">
        <v>17</v>
      </c>
      <c r="E23528" s="30" t="s">
        <v>18</v>
      </c>
      <c r="F23528" s="30" t="s">
        <v>19</v>
      </c>
      <c r="G23528" s="30" t="s">
        <v>140</v>
      </c>
      <c r="H23528" s="32">
        <v>726</v>
      </c>
      <c r="I23528" s="30" t="s">
        <v>51</v>
      </c>
      <c r="J23528" s="41">
        <v>45715</v>
      </c>
      <c r="K23528" s="30" t="s">
        <v>22</v>
      </c>
    </row>
    <row r="23529" spans="1:11">
      <c r="A23529" s="33" t="s">
        <v>51934</v>
      </c>
      <c r="B23529" s="33" t="s">
        <v>51935</v>
      </c>
      <c r="C23529" s="33" t="s">
        <v>36724</v>
      </c>
      <c r="D23529" s="33" t="s">
        <v>17</v>
      </c>
      <c r="E23529" s="33" t="s">
        <v>31</v>
      </c>
      <c r="F23529" s="33" t="s">
        <v>32</v>
      </c>
      <c r="G23529" s="33" t="s">
        <v>7780</v>
      </c>
      <c r="H23529" s="35">
        <v>180</v>
      </c>
      <c r="I23529" s="33" t="s">
        <v>51</v>
      </c>
      <c r="J23529" s="42">
        <v>45901</v>
      </c>
      <c r="K23529" s="33" t="s">
        <v>22</v>
      </c>
    </row>
    <row r="23530" spans="1:11">
      <c r="A23530" s="30" t="s">
        <v>51936</v>
      </c>
      <c r="B23530" s="30" t="s">
        <v>51937</v>
      </c>
      <c r="C23530" s="30" t="s">
        <v>647</v>
      </c>
      <c r="D23530" s="30" t="s">
        <v>17</v>
      </c>
      <c r="E23530" s="30" t="s">
        <v>67</v>
      </c>
      <c r="F23530" s="30" t="s">
        <v>68</v>
      </c>
      <c r="G23530" s="30" t="s">
        <v>112</v>
      </c>
      <c r="H23530" s="32">
        <v>0</v>
      </c>
      <c r="I23530" s="30" t="s">
        <v>21</v>
      </c>
      <c r="J23530" s="41">
        <v>45672</v>
      </c>
      <c r="K23530" s="30" t="s">
        <v>22</v>
      </c>
    </row>
    <row r="23531" spans="1:11">
      <c r="A23531" s="33" t="s">
        <v>51938</v>
      </c>
      <c r="B23531" s="33" t="s">
        <v>51939</v>
      </c>
      <c r="C23531" s="33" t="s">
        <v>231</v>
      </c>
      <c r="D23531" s="33" t="s">
        <v>17</v>
      </c>
      <c r="E23531" s="33" t="s">
        <v>26</v>
      </c>
      <c r="F23531" s="33" t="s">
        <v>27</v>
      </c>
      <c r="G23531" s="33" t="s">
        <v>20</v>
      </c>
      <c r="H23531" s="35">
        <v>16</v>
      </c>
      <c r="I23531" s="33" t="s">
        <v>21</v>
      </c>
      <c r="J23531" s="42">
        <v>45866</v>
      </c>
      <c r="K23531" s="33" t="s">
        <v>22</v>
      </c>
    </row>
    <row r="23532" spans="1:11">
      <c r="A23532" s="30" t="s">
        <v>51940</v>
      </c>
      <c r="B23532" s="30" t="s">
        <v>51941</v>
      </c>
      <c r="C23532" s="30" t="s">
        <v>13241</v>
      </c>
      <c r="D23532" s="30" t="s">
        <v>17</v>
      </c>
      <c r="E23532" s="30" t="s">
        <v>31</v>
      </c>
      <c r="F23532" s="30" t="s">
        <v>32</v>
      </c>
      <c r="G23532" s="30" t="s">
        <v>140</v>
      </c>
      <c r="H23532" s="32">
        <v>400</v>
      </c>
      <c r="I23532" s="30" t="s">
        <v>51</v>
      </c>
      <c r="J23532" s="41">
        <v>46014</v>
      </c>
      <c r="K23532" s="30" t="s">
        <v>22</v>
      </c>
    </row>
    <row r="23533" spans="1:11">
      <c r="A23533" s="33" t="s">
        <v>51942</v>
      </c>
      <c r="B23533" s="33" t="s">
        <v>51943</v>
      </c>
      <c r="C23533" s="33" t="s">
        <v>136</v>
      </c>
      <c r="D23533" s="33" t="s">
        <v>17</v>
      </c>
      <c r="E23533" s="33" t="s">
        <v>26</v>
      </c>
      <c r="F23533" s="33" t="s">
        <v>27</v>
      </c>
      <c r="G23533" s="33" t="s">
        <v>140</v>
      </c>
      <c r="H23533" s="35">
        <v>196</v>
      </c>
      <c r="I23533" s="33" t="s">
        <v>51</v>
      </c>
      <c r="J23533" s="42">
        <v>45804</v>
      </c>
      <c r="K23533" s="33" t="s">
        <v>22</v>
      </c>
    </row>
    <row r="23534" spans="1:11">
      <c r="A23534" s="30" t="s">
        <v>51944</v>
      </c>
      <c r="B23534" s="30" t="s">
        <v>51945</v>
      </c>
      <c r="C23534" s="30" t="s">
        <v>51946</v>
      </c>
      <c r="D23534" s="30" t="s">
        <v>17</v>
      </c>
      <c r="E23534" s="30" t="s">
        <v>26</v>
      </c>
      <c r="F23534" s="30" t="s">
        <v>27</v>
      </c>
      <c r="G23534" s="30" t="s">
        <v>140</v>
      </c>
      <c r="H23534" s="32">
        <v>18</v>
      </c>
      <c r="I23534" s="30" t="s">
        <v>51</v>
      </c>
      <c r="J23534" s="41">
        <v>45839</v>
      </c>
      <c r="K23534" s="30" t="s">
        <v>22</v>
      </c>
    </row>
    <row r="23535" spans="1:11">
      <c r="A23535" s="33" t="s">
        <v>51947</v>
      </c>
      <c r="B23535" s="33" t="s">
        <v>51948</v>
      </c>
      <c r="C23535" s="33" t="s">
        <v>321</v>
      </c>
      <c r="D23535" s="33" t="s">
        <v>17</v>
      </c>
      <c r="E23535" s="33" t="s">
        <v>26</v>
      </c>
      <c r="F23535" s="33" t="s">
        <v>27</v>
      </c>
      <c r="G23535" s="33" t="s">
        <v>20</v>
      </c>
      <c r="H23535" s="35">
        <v>32</v>
      </c>
      <c r="I23535" s="33" t="s">
        <v>21</v>
      </c>
      <c r="J23535" s="42">
        <v>45937</v>
      </c>
      <c r="K23535" s="33" t="s">
        <v>22</v>
      </c>
    </row>
    <row r="23536" spans="1:11">
      <c r="A23536" s="30" t="s">
        <v>51949</v>
      </c>
      <c r="B23536" s="30" t="s">
        <v>51950</v>
      </c>
      <c r="C23536" s="30" t="s">
        <v>41865</v>
      </c>
      <c r="D23536" s="30" t="s">
        <v>17</v>
      </c>
      <c r="E23536" s="30" t="s">
        <v>26</v>
      </c>
      <c r="F23536" s="30" t="s">
        <v>27</v>
      </c>
      <c r="G23536" s="30" t="s">
        <v>2613</v>
      </c>
      <c r="H23536" s="32">
        <v>10</v>
      </c>
      <c r="I23536" s="30" t="s">
        <v>51</v>
      </c>
      <c r="J23536" s="41">
        <v>45848</v>
      </c>
      <c r="K23536" s="30" t="s">
        <v>22</v>
      </c>
    </row>
    <row r="23537" spans="1:11">
      <c r="A23537" s="33" t="s">
        <v>51951</v>
      </c>
      <c r="B23537" s="33" t="s">
        <v>51952</v>
      </c>
      <c r="C23537" s="33" t="s">
        <v>136</v>
      </c>
      <c r="D23537" s="33" t="s">
        <v>17</v>
      </c>
      <c r="E23537" s="33" t="s">
        <v>26</v>
      </c>
      <c r="F23537" s="33" t="s">
        <v>27</v>
      </c>
      <c r="G23537" s="33" t="s">
        <v>20</v>
      </c>
      <c r="H23537" s="35">
        <v>92</v>
      </c>
      <c r="I23537" s="33" t="s">
        <v>21</v>
      </c>
      <c r="J23537" s="42">
        <v>45784</v>
      </c>
      <c r="K23537" s="33" t="s">
        <v>22</v>
      </c>
    </row>
    <row r="23538" spans="1:11">
      <c r="A23538" s="30" t="s">
        <v>51953</v>
      </c>
      <c r="B23538" s="30" t="s">
        <v>51954</v>
      </c>
      <c r="C23538" s="30" t="s">
        <v>203</v>
      </c>
      <c r="D23538" s="30" t="s">
        <v>17</v>
      </c>
      <c r="E23538" s="30" t="s">
        <v>67</v>
      </c>
      <c r="F23538" s="30" t="s">
        <v>68</v>
      </c>
      <c r="G23538" s="30" t="s">
        <v>140</v>
      </c>
      <c r="H23538" s="32">
        <v>1560</v>
      </c>
      <c r="I23538" s="30" t="s">
        <v>51</v>
      </c>
      <c r="J23538" s="41">
        <v>45743</v>
      </c>
      <c r="K23538" s="30" t="s">
        <v>22</v>
      </c>
    </row>
    <row r="23539" spans="1:11">
      <c r="A23539" s="33" t="s">
        <v>51955</v>
      </c>
      <c r="B23539" s="33" t="s">
        <v>51956</v>
      </c>
      <c r="C23539" s="33" t="s">
        <v>450</v>
      </c>
      <c r="D23539" s="33" t="s">
        <v>17</v>
      </c>
      <c r="E23539" s="33" t="s">
        <v>18</v>
      </c>
      <c r="F23539" s="33" t="s">
        <v>19</v>
      </c>
      <c r="G23539" s="33" t="s">
        <v>140</v>
      </c>
      <c r="H23539" s="35">
        <v>6</v>
      </c>
      <c r="I23539" s="33" t="s">
        <v>51</v>
      </c>
      <c r="J23539" s="42">
        <v>45880</v>
      </c>
      <c r="K23539" s="33" t="s">
        <v>22</v>
      </c>
    </row>
    <row r="23540" spans="1:11">
      <c r="A23540" s="30" t="s">
        <v>51957</v>
      </c>
      <c r="B23540" s="30" t="s">
        <v>51958</v>
      </c>
      <c r="C23540" s="30" t="s">
        <v>44991</v>
      </c>
      <c r="D23540" s="30" t="s">
        <v>17</v>
      </c>
      <c r="E23540" s="30" t="s">
        <v>26</v>
      </c>
      <c r="F23540" s="30" t="s">
        <v>27</v>
      </c>
      <c r="G23540" s="30" t="s">
        <v>140</v>
      </c>
      <c r="H23540" s="32">
        <v>56</v>
      </c>
      <c r="I23540" s="30" t="s">
        <v>51</v>
      </c>
      <c r="J23540" s="41">
        <v>45807</v>
      </c>
      <c r="K23540" s="30" t="s">
        <v>22</v>
      </c>
    </row>
    <row r="23541" spans="1:11">
      <c r="A23541" s="33" t="s">
        <v>51959</v>
      </c>
      <c r="B23541" s="33" t="s">
        <v>51960</v>
      </c>
      <c r="C23541" s="33" t="s">
        <v>48566</v>
      </c>
      <c r="D23541" s="33" t="s">
        <v>17</v>
      </c>
      <c r="E23541" s="33" t="s">
        <v>26</v>
      </c>
      <c r="F23541" s="33" t="s">
        <v>27</v>
      </c>
      <c r="G23541" s="33" t="s">
        <v>140</v>
      </c>
      <c r="H23541" s="35">
        <v>39</v>
      </c>
      <c r="I23541" s="33" t="s">
        <v>51</v>
      </c>
      <c r="J23541" s="42">
        <v>45931</v>
      </c>
      <c r="K23541" s="33" t="s">
        <v>22</v>
      </c>
    </row>
    <row r="23542" spans="1:11">
      <c r="A23542" s="30" t="s">
        <v>51961</v>
      </c>
      <c r="B23542" s="30" t="s">
        <v>51962</v>
      </c>
      <c r="C23542" s="30" t="s">
        <v>130</v>
      </c>
      <c r="D23542" s="30" t="s">
        <v>17</v>
      </c>
      <c r="E23542" s="30" t="s">
        <v>26</v>
      </c>
      <c r="F23542" s="30" t="s">
        <v>27</v>
      </c>
      <c r="G23542" s="30" t="s">
        <v>20</v>
      </c>
      <c r="H23542" s="32">
        <v>9</v>
      </c>
      <c r="I23542" s="30" t="s">
        <v>21</v>
      </c>
      <c r="J23542" s="41">
        <v>45974</v>
      </c>
      <c r="K23542" s="30" t="s">
        <v>22</v>
      </c>
    </row>
    <row r="23543" spans="1:11">
      <c r="A23543" s="33" t="s">
        <v>51963</v>
      </c>
      <c r="B23543" s="33" t="s">
        <v>51964</v>
      </c>
      <c r="C23543" s="33" t="s">
        <v>20851</v>
      </c>
      <c r="D23543" s="33" t="s">
        <v>17</v>
      </c>
      <c r="E23543" s="33" t="s">
        <v>26</v>
      </c>
      <c r="F23543" s="33" t="s">
        <v>27</v>
      </c>
      <c r="G23543" s="33" t="s">
        <v>20</v>
      </c>
      <c r="H23543" s="35">
        <v>186</v>
      </c>
      <c r="I23543" s="33" t="s">
        <v>21</v>
      </c>
      <c r="J23543" s="42">
        <v>45666</v>
      </c>
      <c r="K23543" s="33" t="s">
        <v>22</v>
      </c>
    </row>
    <row r="23544" spans="1:11">
      <c r="A23544" s="30" t="s">
        <v>51965</v>
      </c>
      <c r="B23544" s="30" t="s">
        <v>51966</v>
      </c>
      <c r="C23544" s="30" t="s">
        <v>570</v>
      </c>
      <c r="D23544" s="30" t="s">
        <v>17</v>
      </c>
      <c r="E23544" s="30" t="s">
        <v>31</v>
      </c>
      <c r="F23544" s="30" t="s">
        <v>32</v>
      </c>
      <c r="G23544" s="30" t="s">
        <v>7780</v>
      </c>
      <c r="H23544" s="32">
        <v>100</v>
      </c>
      <c r="I23544" s="30" t="s">
        <v>51</v>
      </c>
      <c r="J23544" s="41">
        <v>45809</v>
      </c>
      <c r="K23544" s="30" t="s">
        <v>22</v>
      </c>
    </row>
    <row r="23545" spans="1:11">
      <c r="A23545" s="33" t="s">
        <v>51967</v>
      </c>
      <c r="B23545" s="33" t="s">
        <v>51968</v>
      </c>
      <c r="C23545" s="33" t="s">
        <v>3594</v>
      </c>
      <c r="D23545" s="33" t="s">
        <v>17</v>
      </c>
      <c r="E23545" s="33" t="s">
        <v>31</v>
      </c>
      <c r="F23545" s="33" t="s">
        <v>32</v>
      </c>
      <c r="G23545" s="33" t="s">
        <v>158</v>
      </c>
      <c r="H23545" s="35">
        <v>59</v>
      </c>
      <c r="I23545" s="33" t="s">
        <v>21</v>
      </c>
      <c r="J23545" s="42">
        <v>45778</v>
      </c>
      <c r="K23545" s="33" t="s">
        <v>22</v>
      </c>
    </row>
    <row r="23546" spans="1:11">
      <c r="A23546" s="30" t="s">
        <v>51969</v>
      </c>
      <c r="B23546" s="30" t="s">
        <v>51970</v>
      </c>
      <c r="C23546" s="30" t="s">
        <v>5100</v>
      </c>
      <c r="D23546" s="30" t="s">
        <v>17</v>
      </c>
      <c r="E23546" s="30" t="s">
        <v>31</v>
      </c>
      <c r="F23546" s="30" t="s">
        <v>32</v>
      </c>
      <c r="G23546" s="30" t="s">
        <v>140</v>
      </c>
      <c r="H23546" s="32">
        <v>24</v>
      </c>
      <c r="I23546" s="30" t="s">
        <v>51</v>
      </c>
      <c r="J23546" s="41">
        <v>46008</v>
      </c>
      <c r="K23546" s="30" t="s">
        <v>22</v>
      </c>
    </row>
    <row r="23547" spans="1:11">
      <c r="A23547" s="33" t="s">
        <v>51971</v>
      </c>
      <c r="B23547" s="33" t="s">
        <v>51972</v>
      </c>
      <c r="C23547" s="33" t="s">
        <v>51973</v>
      </c>
      <c r="D23547" s="33" t="s">
        <v>17</v>
      </c>
      <c r="E23547" s="33" t="s">
        <v>31</v>
      </c>
      <c r="F23547" s="33" t="s">
        <v>32</v>
      </c>
      <c r="G23547" s="33" t="s">
        <v>112</v>
      </c>
      <c r="H23547" s="35">
        <v>0</v>
      </c>
      <c r="I23547" s="33" t="s">
        <v>21</v>
      </c>
      <c r="J23547" s="42">
        <v>45684</v>
      </c>
      <c r="K23547" s="33" t="s">
        <v>22</v>
      </c>
    </row>
    <row r="23548" spans="1:11">
      <c r="A23548" s="30" t="s">
        <v>51974</v>
      </c>
      <c r="B23548" s="30" t="s">
        <v>51975</v>
      </c>
      <c r="C23548" s="30" t="s">
        <v>647</v>
      </c>
      <c r="D23548" s="30" t="s">
        <v>17</v>
      </c>
      <c r="E23548" s="30" t="s">
        <v>18</v>
      </c>
      <c r="F23548" s="30" t="s">
        <v>19</v>
      </c>
      <c r="G23548" s="30" t="s">
        <v>140</v>
      </c>
      <c r="H23548" s="32">
        <v>1000</v>
      </c>
      <c r="I23548" s="30" t="s">
        <v>51</v>
      </c>
      <c r="J23548" s="41">
        <v>45859</v>
      </c>
      <c r="K23548" s="30" t="s">
        <v>22</v>
      </c>
    </row>
    <row r="23549" spans="1:11">
      <c r="A23549" s="33" t="s">
        <v>51976</v>
      </c>
      <c r="B23549" s="33" t="s">
        <v>51977</v>
      </c>
      <c r="C23549" s="33" t="s">
        <v>136</v>
      </c>
      <c r="D23549" s="33" t="s">
        <v>17</v>
      </c>
      <c r="E23549" s="33" t="s">
        <v>18</v>
      </c>
      <c r="F23549" s="33" t="s">
        <v>19</v>
      </c>
      <c r="G23549" s="33" t="s">
        <v>140</v>
      </c>
      <c r="H23549" s="35">
        <v>700</v>
      </c>
      <c r="I23549" s="33" t="s">
        <v>51</v>
      </c>
      <c r="J23549" s="42">
        <v>45743</v>
      </c>
      <c r="K23549" s="33" t="s">
        <v>22</v>
      </c>
    </row>
    <row r="23550" spans="1:11">
      <c r="A23550" s="30" t="s">
        <v>51978</v>
      </c>
      <c r="B23550" s="30" t="s">
        <v>51979</v>
      </c>
      <c r="C23550" s="30" t="s">
        <v>28615</v>
      </c>
      <c r="D23550" s="30" t="s">
        <v>17</v>
      </c>
      <c r="E23550" s="30" t="s">
        <v>26</v>
      </c>
      <c r="F23550" s="30" t="s">
        <v>27</v>
      </c>
      <c r="G23550" s="30" t="s">
        <v>140</v>
      </c>
      <c r="H23550" s="32">
        <v>30</v>
      </c>
      <c r="I23550" s="30" t="s">
        <v>51</v>
      </c>
      <c r="J23550" s="41">
        <v>45973</v>
      </c>
      <c r="K23550" s="30" t="s">
        <v>22</v>
      </c>
    </row>
    <row r="23551" spans="1:11">
      <c r="A23551" s="33" t="s">
        <v>51980</v>
      </c>
      <c r="B23551" s="33" t="s">
        <v>51981</v>
      </c>
      <c r="C23551" s="33" t="s">
        <v>60</v>
      </c>
      <c r="D23551" s="33" t="s">
        <v>17</v>
      </c>
      <c r="E23551" s="33" t="s">
        <v>26</v>
      </c>
      <c r="F23551" s="33" t="s">
        <v>27</v>
      </c>
      <c r="G23551" s="33" t="s">
        <v>20</v>
      </c>
      <c r="H23551" s="35">
        <v>50</v>
      </c>
      <c r="I23551" s="33" t="s">
        <v>21</v>
      </c>
      <c r="J23551" s="42">
        <v>45713</v>
      </c>
      <c r="K23551" s="33" t="s">
        <v>22</v>
      </c>
    </row>
    <row r="23552" spans="1:11">
      <c r="A23552" s="30" t="s">
        <v>51982</v>
      </c>
      <c r="B23552" s="30" t="s">
        <v>51983</v>
      </c>
      <c r="C23552" s="30" t="s">
        <v>190</v>
      </c>
      <c r="D23552" s="30" t="s">
        <v>17</v>
      </c>
      <c r="E23552" s="30" t="s">
        <v>18</v>
      </c>
      <c r="F23552" s="30" t="s">
        <v>19</v>
      </c>
      <c r="G23552" s="30" t="s">
        <v>140</v>
      </c>
      <c r="H23552" s="32">
        <v>800</v>
      </c>
      <c r="I23552" s="30" t="s">
        <v>51</v>
      </c>
      <c r="J23552" s="41">
        <v>45870</v>
      </c>
      <c r="K23552" s="30" t="s">
        <v>22</v>
      </c>
    </row>
    <row r="23553" spans="1:11">
      <c r="A23553" s="33" t="s">
        <v>51984</v>
      </c>
      <c r="B23553" s="33" t="s">
        <v>51985</v>
      </c>
      <c r="C23553" s="33" t="s">
        <v>698</v>
      </c>
      <c r="D23553" s="33" t="s">
        <v>17</v>
      </c>
      <c r="E23553" s="33" t="s">
        <v>67</v>
      </c>
      <c r="F23553" s="33" t="s">
        <v>68</v>
      </c>
      <c r="G23553" s="33" t="s">
        <v>140</v>
      </c>
      <c r="H23553" s="35">
        <v>188</v>
      </c>
      <c r="I23553" s="33" t="s">
        <v>51</v>
      </c>
      <c r="J23553" s="42">
        <v>46008</v>
      </c>
      <c r="K23553" s="33" t="s">
        <v>22</v>
      </c>
    </row>
    <row r="23554" spans="1:11">
      <c r="A23554" s="30" t="s">
        <v>51986</v>
      </c>
      <c r="B23554" s="30" t="s">
        <v>51987</v>
      </c>
      <c r="C23554" s="30" t="s">
        <v>41803</v>
      </c>
      <c r="D23554" s="30" t="s">
        <v>17</v>
      </c>
      <c r="E23554" s="30" t="s">
        <v>67</v>
      </c>
      <c r="F23554" s="30" t="s">
        <v>68</v>
      </c>
      <c r="G23554" s="30" t="s">
        <v>140</v>
      </c>
      <c r="H23554" s="32">
        <v>48</v>
      </c>
      <c r="I23554" s="30" t="s">
        <v>51</v>
      </c>
      <c r="J23554" s="41">
        <v>45947</v>
      </c>
      <c r="K23554" s="30" t="s">
        <v>22</v>
      </c>
    </row>
    <row r="23555" spans="1:11">
      <c r="A23555" s="33" t="s">
        <v>51988</v>
      </c>
      <c r="B23555" s="33" t="s">
        <v>51989</v>
      </c>
      <c r="C23555" s="33" t="s">
        <v>32821</v>
      </c>
      <c r="D23555" s="33" t="s">
        <v>17</v>
      </c>
      <c r="E23555" s="33" t="s">
        <v>31</v>
      </c>
      <c r="F23555" s="33" t="s">
        <v>32</v>
      </c>
      <c r="G23555" s="33" t="s">
        <v>106</v>
      </c>
      <c r="H23555" s="35">
        <v>12</v>
      </c>
      <c r="I23555" s="33" t="s">
        <v>21</v>
      </c>
      <c r="J23555" s="42">
        <v>45741</v>
      </c>
      <c r="K23555" s="33" t="s">
        <v>22</v>
      </c>
    </row>
    <row r="23556" spans="1:11">
      <c r="A23556" s="30" t="s">
        <v>51990</v>
      </c>
      <c r="B23556" s="30" t="s">
        <v>51991</v>
      </c>
      <c r="C23556" s="30" t="s">
        <v>42561</v>
      </c>
      <c r="D23556" s="30" t="s">
        <v>17</v>
      </c>
      <c r="E23556" s="30" t="s">
        <v>26</v>
      </c>
      <c r="F23556" s="30" t="s">
        <v>27</v>
      </c>
      <c r="G23556" s="30" t="s">
        <v>140</v>
      </c>
      <c r="H23556" s="32">
        <v>32</v>
      </c>
      <c r="I23556" s="30" t="s">
        <v>51</v>
      </c>
      <c r="J23556" s="41">
        <v>45758</v>
      </c>
      <c r="K23556" s="30" t="s">
        <v>22</v>
      </c>
    </row>
    <row r="23557" spans="1:11">
      <c r="A23557" s="33" t="s">
        <v>51992</v>
      </c>
      <c r="B23557" s="33" t="s">
        <v>51993</v>
      </c>
      <c r="C23557" s="33" t="s">
        <v>51994</v>
      </c>
      <c r="D23557" s="33" t="s">
        <v>17</v>
      </c>
      <c r="E23557" s="33" t="s">
        <v>31</v>
      </c>
      <c r="F23557" s="33" t="s">
        <v>32</v>
      </c>
      <c r="G23557" s="33" t="s">
        <v>140</v>
      </c>
      <c r="H23557" s="35">
        <v>200</v>
      </c>
      <c r="I23557" s="33" t="s">
        <v>51</v>
      </c>
      <c r="J23557" s="42">
        <v>45964</v>
      </c>
      <c r="K23557" s="33" t="s">
        <v>22</v>
      </c>
    </row>
    <row r="23558" spans="1:11">
      <c r="A23558" s="30" t="s">
        <v>51995</v>
      </c>
      <c r="B23558" s="30" t="s">
        <v>51996</v>
      </c>
      <c r="C23558" s="30" t="s">
        <v>1391</v>
      </c>
      <c r="D23558" s="30" t="s">
        <v>17</v>
      </c>
      <c r="E23558" s="30" t="s">
        <v>45</v>
      </c>
      <c r="F23558" s="30" t="s">
        <v>46</v>
      </c>
      <c r="G23558" s="30" t="s">
        <v>112</v>
      </c>
      <c r="H23558" s="32">
        <v>0</v>
      </c>
      <c r="I23558" s="30" t="s">
        <v>21</v>
      </c>
      <c r="J23558" s="41">
        <v>45689</v>
      </c>
      <c r="K23558" s="30" t="s">
        <v>22</v>
      </c>
    </row>
    <row r="23559" spans="1:11">
      <c r="A23559" s="33" t="s">
        <v>51997</v>
      </c>
      <c r="B23559" s="33" t="s">
        <v>51998</v>
      </c>
      <c r="C23559" s="33" t="s">
        <v>5643</v>
      </c>
      <c r="D23559" s="33" t="s">
        <v>17</v>
      </c>
      <c r="E23559" s="33" t="s">
        <v>67</v>
      </c>
      <c r="F23559" s="33" t="s">
        <v>68</v>
      </c>
      <c r="G23559" s="33" t="s">
        <v>20</v>
      </c>
      <c r="H23559" s="35">
        <v>450</v>
      </c>
      <c r="I23559" s="33" t="s">
        <v>21</v>
      </c>
      <c r="J23559" s="42">
        <v>45855</v>
      </c>
      <c r="K23559" s="33" t="s">
        <v>22</v>
      </c>
    </row>
    <row r="23560" spans="1:11">
      <c r="A23560" s="30" t="s">
        <v>51999</v>
      </c>
      <c r="B23560" s="30" t="s">
        <v>52000</v>
      </c>
      <c r="C23560" s="30" t="s">
        <v>252</v>
      </c>
      <c r="D23560" s="30" t="s">
        <v>17</v>
      </c>
      <c r="E23560" s="30" t="s">
        <v>18</v>
      </c>
      <c r="F23560" s="30" t="s">
        <v>19</v>
      </c>
      <c r="G23560" s="30" t="s">
        <v>140</v>
      </c>
      <c r="H23560" s="32">
        <v>416</v>
      </c>
      <c r="I23560" s="30" t="s">
        <v>51</v>
      </c>
      <c r="J23560" s="41">
        <v>45695</v>
      </c>
      <c r="K23560" s="30" t="s">
        <v>22</v>
      </c>
    </row>
    <row r="23561" spans="1:11">
      <c r="A23561" s="33" t="s">
        <v>52001</v>
      </c>
      <c r="B23561" s="33" t="s">
        <v>52002</v>
      </c>
      <c r="C23561" s="33" t="s">
        <v>9629</v>
      </c>
      <c r="D23561" s="33" t="s">
        <v>17</v>
      </c>
      <c r="E23561" s="33" t="s">
        <v>31</v>
      </c>
      <c r="F23561" s="33" t="s">
        <v>32</v>
      </c>
      <c r="G23561" s="33" t="s">
        <v>7780</v>
      </c>
      <c r="H23561" s="35">
        <v>40</v>
      </c>
      <c r="I23561" s="33" t="s">
        <v>51</v>
      </c>
      <c r="J23561" s="42">
        <v>45870</v>
      </c>
      <c r="K23561" s="33" t="s">
        <v>22</v>
      </c>
    </row>
    <row r="23562" spans="1:11">
      <c r="A23562" s="30" t="s">
        <v>52003</v>
      </c>
      <c r="B23562" s="30" t="s">
        <v>52004</v>
      </c>
      <c r="C23562" s="30" t="s">
        <v>318</v>
      </c>
      <c r="D23562" s="30" t="s">
        <v>17</v>
      </c>
      <c r="E23562" s="30" t="s">
        <v>18</v>
      </c>
      <c r="F23562" s="30" t="s">
        <v>19</v>
      </c>
      <c r="G23562" s="30" t="s">
        <v>140</v>
      </c>
      <c r="H23562" s="32">
        <v>5056</v>
      </c>
      <c r="I23562" s="30" t="s">
        <v>51</v>
      </c>
      <c r="J23562" s="41">
        <v>45833</v>
      </c>
      <c r="K23562" s="30" t="s">
        <v>22</v>
      </c>
    </row>
    <row r="23563" spans="1:11">
      <c r="A23563" s="33" t="s">
        <v>52005</v>
      </c>
      <c r="B23563" s="33" t="s">
        <v>52006</v>
      </c>
      <c r="C23563" s="33" t="s">
        <v>52007</v>
      </c>
      <c r="D23563" s="33" t="s">
        <v>17</v>
      </c>
      <c r="E23563" s="33" t="s">
        <v>26</v>
      </c>
      <c r="F23563" s="33" t="s">
        <v>27</v>
      </c>
      <c r="G23563" s="33" t="s">
        <v>7780</v>
      </c>
      <c r="H23563" s="35">
        <v>12</v>
      </c>
      <c r="I23563" s="33" t="s">
        <v>51</v>
      </c>
      <c r="J23563" s="42">
        <v>45966</v>
      </c>
      <c r="K23563" s="33" t="s">
        <v>22</v>
      </c>
    </row>
    <row r="23564" spans="1:11">
      <c r="A23564" s="30" t="s">
        <v>52008</v>
      </c>
      <c r="B23564" s="30" t="s">
        <v>52009</v>
      </c>
      <c r="C23564" s="30" t="s">
        <v>27354</v>
      </c>
      <c r="D23564" s="30" t="s">
        <v>17</v>
      </c>
      <c r="E23564" s="30" t="s">
        <v>26</v>
      </c>
      <c r="F23564" s="30" t="s">
        <v>27</v>
      </c>
      <c r="G23564" s="30" t="s">
        <v>158</v>
      </c>
      <c r="H23564" s="32">
        <v>8</v>
      </c>
      <c r="I23564" s="30" t="s">
        <v>21</v>
      </c>
      <c r="J23564" s="41">
        <v>45706</v>
      </c>
      <c r="K23564" s="30" t="s">
        <v>22</v>
      </c>
    </row>
    <row r="23565" spans="1:11">
      <c r="A23565" s="33" t="s">
        <v>52010</v>
      </c>
      <c r="B23565" s="33" t="s">
        <v>52011</v>
      </c>
      <c r="C23565" s="33" t="s">
        <v>75</v>
      </c>
      <c r="D23565" s="33" t="s">
        <v>17</v>
      </c>
      <c r="E23565" s="33" t="s">
        <v>26</v>
      </c>
      <c r="F23565" s="33" t="s">
        <v>27</v>
      </c>
      <c r="G23565" s="33" t="s">
        <v>140</v>
      </c>
      <c r="H23565" s="35">
        <v>116</v>
      </c>
      <c r="I23565" s="33" t="s">
        <v>51</v>
      </c>
      <c r="J23565" s="42">
        <v>45903</v>
      </c>
      <c r="K23565" s="33" t="s">
        <v>22</v>
      </c>
    </row>
    <row r="23566" spans="1:11">
      <c r="A23566" s="30" t="s">
        <v>52012</v>
      </c>
      <c r="B23566" s="30" t="s">
        <v>52013</v>
      </c>
      <c r="C23566" s="30" t="s">
        <v>52014</v>
      </c>
      <c r="D23566" s="30" t="s">
        <v>17</v>
      </c>
      <c r="E23566" s="30" t="s">
        <v>18</v>
      </c>
      <c r="F23566" s="30" t="s">
        <v>19</v>
      </c>
      <c r="G23566" s="30" t="s">
        <v>140</v>
      </c>
      <c r="H23566" s="32">
        <v>312</v>
      </c>
      <c r="I23566" s="30" t="s">
        <v>51</v>
      </c>
      <c r="J23566" s="41">
        <v>45748</v>
      </c>
      <c r="K23566" s="30" t="s">
        <v>22</v>
      </c>
    </row>
    <row r="23567" spans="1:11">
      <c r="A23567" s="33" t="s">
        <v>52015</v>
      </c>
      <c r="B23567" s="33" t="s">
        <v>52016</v>
      </c>
      <c r="C23567" s="33" t="s">
        <v>1504</v>
      </c>
      <c r="D23567" s="33" t="s">
        <v>17</v>
      </c>
      <c r="E23567" s="33" t="s">
        <v>31</v>
      </c>
      <c r="F23567" s="33" t="s">
        <v>32</v>
      </c>
      <c r="G23567" s="33" t="s">
        <v>140</v>
      </c>
      <c r="H23567" s="35">
        <v>60</v>
      </c>
      <c r="I23567" s="33" t="s">
        <v>51</v>
      </c>
      <c r="J23567" s="42">
        <v>45674</v>
      </c>
      <c r="K23567" s="33" t="s">
        <v>22</v>
      </c>
    </row>
    <row r="23568" spans="1:11">
      <c r="A23568" s="30" t="s">
        <v>52017</v>
      </c>
      <c r="B23568" s="30" t="s">
        <v>52018</v>
      </c>
      <c r="C23568" s="30" t="s">
        <v>38162</v>
      </c>
      <c r="D23568" s="30" t="s">
        <v>17</v>
      </c>
      <c r="E23568" s="30" t="s">
        <v>31</v>
      </c>
      <c r="F23568" s="30" t="s">
        <v>32</v>
      </c>
      <c r="G23568" s="30" t="s">
        <v>140</v>
      </c>
      <c r="H23568" s="32">
        <v>24</v>
      </c>
      <c r="I23568" s="30" t="s">
        <v>51</v>
      </c>
      <c r="J23568" s="41">
        <v>45910</v>
      </c>
      <c r="K23568" s="30" t="s">
        <v>22</v>
      </c>
    </row>
    <row r="23569" spans="1:11">
      <c r="A23569" s="33" t="s">
        <v>52019</v>
      </c>
      <c r="B23569" s="33" t="s">
        <v>52020</v>
      </c>
      <c r="C23569" s="33" t="s">
        <v>190</v>
      </c>
      <c r="D23569" s="33" t="s">
        <v>17</v>
      </c>
      <c r="E23569" s="33" t="s">
        <v>212</v>
      </c>
      <c r="F23569" s="33" t="s">
        <v>213</v>
      </c>
      <c r="G23569" s="33" t="s">
        <v>140</v>
      </c>
      <c r="H23569" s="35">
        <v>100</v>
      </c>
      <c r="I23569" s="33" t="s">
        <v>51</v>
      </c>
      <c r="J23569" s="42">
        <v>45659</v>
      </c>
      <c r="K23569" s="33" t="s">
        <v>22</v>
      </c>
    </row>
    <row r="23570" spans="1:11">
      <c r="A23570" s="30" t="s">
        <v>52021</v>
      </c>
      <c r="B23570" s="30" t="s">
        <v>52022</v>
      </c>
      <c r="C23570" s="30" t="s">
        <v>17342</v>
      </c>
      <c r="D23570" s="30" t="s">
        <v>17</v>
      </c>
      <c r="E23570" s="30" t="s">
        <v>26</v>
      </c>
      <c r="F23570" s="30" t="s">
        <v>27</v>
      </c>
      <c r="G23570" s="30" t="s">
        <v>140</v>
      </c>
      <c r="H23570" s="32">
        <v>556</v>
      </c>
      <c r="I23570" s="30" t="s">
        <v>51</v>
      </c>
      <c r="J23570" s="41">
        <v>45812</v>
      </c>
      <c r="K23570" s="30" t="s">
        <v>22</v>
      </c>
    </row>
    <row r="23571" spans="1:11">
      <c r="A23571" s="33" t="s">
        <v>52023</v>
      </c>
      <c r="B23571" s="33" t="s">
        <v>52024</v>
      </c>
      <c r="C23571" s="33" t="s">
        <v>3243</v>
      </c>
      <c r="D23571" s="33" t="s">
        <v>17</v>
      </c>
      <c r="E23571" s="33" t="s">
        <v>67</v>
      </c>
      <c r="F23571" s="33" t="s">
        <v>68</v>
      </c>
      <c r="G23571" s="33" t="s">
        <v>140</v>
      </c>
      <c r="H23571" s="35">
        <v>220</v>
      </c>
      <c r="I23571" s="33" t="s">
        <v>51</v>
      </c>
      <c r="J23571" s="42">
        <v>45908</v>
      </c>
      <c r="K23571" s="33" t="s">
        <v>22</v>
      </c>
    </row>
    <row r="23572" spans="1:11">
      <c r="A23572" s="30" t="s">
        <v>52025</v>
      </c>
      <c r="B23572" s="30" t="s">
        <v>52026</v>
      </c>
      <c r="C23572" s="30" t="s">
        <v>570</v>
      </c>
      <c r="D23572" s="30" t="s">
        <v>17</v>
      </c>
      <c r="E23572" s="30" t="s">
        <v>18</v>
      </c>
      <c r="F23572" s="30" t="s">
        <v>19</v>
      </c>
      <c r="G23572" s="30" t="s">
        <v>140</v>
      </c>
      <c r="H23572" s="32">
        <v>504</v>
      </c>
      <c r="I23572" s="30" t="s">
        <v>51</v>
      </c>
      <c r="J23572" s="41">
        <v>45904</v>
      </c>
      <c r="K23572" s="30" t="s">
        <v>22</v>
      </c>
    </row>
    <row r="23573" spans="1:11">
      <c r="A23573" s="33" t="s">
        <v>52027</v>
      </c>
      <c r="B23573" s="33" t="s">
        <v>52028</v>
      </c>
      <c r="C23573" s="33" t="s">
        <v>43348</v>
      </c>
      <c r="D23573" s="33" t="s">
        <v>17</v>
      </c>
      <c r="E23573" s="33" t="s">
        <v>67</v>
      </c>
      <c r="F23573" s="33" t="s">
        <v>68</v>
      </c>
      <c r="G23573" s="33" t="s">
        <v>140</v>
      </c>
      <c r="H23573" s="35">
        <v>84</v>
      </c>
      <c r="I23573" s="33" t="s">
        <v>51</v>
      </c>
      <c r="J23573" s="42">
        <v>45754</v>
      </c>
      <c r="K23573" s="33" t="s">
        <v>22</v>
      </c>
    </row>
    <row r="23574" spans="1:11">
      <c r="A23574" s="30" t="s">
        <v>52029</v>
      </c>
      <c r="B23574" s="30" t="s">
        <v>52030</v>
      </c>
      <c r="C23574" s="30" t="s">
        <v>52031</v>
      </c>
      <c r="D23574" s="30" t="s">
        <v>17</v>
      </c>
      <c r="E23574" s="30" t="s">
        <v>26</v>
      </c>
      <c r="F23574" s="30" t="s">
        <v>27</v>
      </c>
      <c r="G23574" s="30" t="s">
        <v>140</v>
      </c>
      <c r="H23574" s="32">
        <v>272</v>
      </c>
      <c r="I23574" s="30" t="s">
        <v>51</v>
      </c>
      <c r="J23574" s="41">
        <v>45747</v>
      </c>
      <c r="K23574" s="30" t="s">
        <v>22</v>
      </c>
    </row>
    <row r="23575" spans="1:11">
      <c r="A23575" s="33" t="s">
        <v>52032</v>
      </c>
      <c r="B23575" s="33" t="s">
        <v>52033</v>
      </c>
      <c r="C23575" s="33" t="s">
        <v>2807</v>
      </c>
      <c r="D23575" s="33" t="s">
        <v>17</v>
      </c>
      <c r="E23575" s="33" t="s">
        <v>212</v>
      </c>
      <c r="F23575" s="33" t="s">
        <v>213</v>
      </c>
      <c r="G23575" s="33" t="s">
        <v>158</v>
      </c>
      <c r="H23575" s="35">
        <v>8</v>
      </c>
      <c r="I23575" s="33" t="s">
        <v>21</v>
      </c>
      <c r="J23575" s="42">
        <v>45853</v>
      </c>
      <c r="K23575" s="33" t="s">
        <v>22</v>
      </c>
    </row>
    <row r="23576" spans="1:11">
      <c r="A23576" s="30" t="s">
        <v>52034</v>
      </c>
      <c r="B23576" s="30" t="s">
        <v>52035</v>
      </c>
      <c r="C23576" s="30" t="s">
        <v>52036</v>
      </c>
      <c r="D23576" s="30" t="s">
        <v>17</v>
      </c>
      <c r="E23576" s="30" t="s">
        <v>26</v>
      </c>
      <c r="F23576" s="30" t="s">
        <v>27</v>
      </c>
      <c r="G23576" s="30" t="s">
        <v>106</v>
      </c>
      <c r="H23576" s="32">
        <v>16</v>
      </c>
      <c r="I23576" s="30" t="s">
        <v>21</v>
      </c>
      <c r="J23576" s="41">
        <v>45831</v>
      </c>
      <c r="K23576" s="30" t="s">
        <v>22</v>
      </c>
    </row>
    <row r="23577" spans="1:11">
      <c r="A23577" s="33" t="s">
        <v>52037</v>
      </c>
      <c r="B23577" s="33" t="s">
        <v>52038</v>
      </c>
      <c r="C23577" s="33" t="s">
        <v>3243</v>
      </c>
      <c r="D23577" s="33" t="s">
        <v>17</v>
      </c>
      <c r="E23577" s="33" t="s">
        <v>18</v>
      </c>
      <c r="F23577" s="33" t="s">
        <v>19</v>
      </c>
      <c r="G23577" s="33" t="s">
        <v>140</v>
      </c>
      <c r="H23577" s="35">
        <v>224</v>
      </c>
      <c r="I23577" s="33" t="s">
        <v>51</v>
      </c>
      <c r="J23577" s="42">
        <v>45881</v>
      </c>
      <c r="K23577" s="33" t="s">
        <v>22</v>
      </c>
    </row>
    <row r="23578" spans="1:11">
      <c r="A23578" s="30" t="s">
        <v>52039</v>
      </c>
      <c r="B23578" s="30" t="s">
        <v>52040</v>
      </c>
      <c r="C23578" s="30" t="s">
        <v>52041</v>
      </c>
      <c r="D23578" s="30" t="s">
        <v>17</v>
      </c>
      <c r="E23578" s="30" t="s">
        <v>31</v>
      </c>
      <c r="F23578" s="30" t="s">
        <v>32</v>
      </c>
      <c r="G23578" s="30" t="s">
        <v>140</v>
      </c>
      <c r="H23578" s="32">
        <v>98</v>
      </c>
      <c r="I23578" s="30" t="s">
        <v>51</v>
      </c>
      <c r="J23578" s="41">
        <v>45804</v>
      </c>
      <c r="K23578" s="30" t="s">
        <v>22</v>
      </c>
    </row>
    <row r="23579" spans="1:11">
      <c r="A23579" s="33" t="s">
        <v>52042</v>
      </c>
      <c r="B23579" s="33" t="s">
        <v>52043</v>
      </c>
      <c r="C23579" s="33" t="s">
        <v>10950</v>
      </c>
      <c r="D23579" s="33" t="s">
        <v>17</v>
      </c>
      <c r="E23579" s="33" t="s">
        <v>26</v>
      </c>
      <c r="F23579" s="33" t="s">
        <v>27</v>
      </c>
      <c r="G23579" s="33" t="s">
        <v>140</v>
      </c>
      <c r="H23579" s="35">
        <v>48</v>
      </c>
      <c r="I23579" s="33" t="s">
        <v>51</v>
      </c>
      <c r="J23579" s="42">
        <v>45723</v>
      </c>
      <c r="K23579" s="33" t="s">
        <v>22</v>
      </c>
    </row>
    <row r="23580" spans="1:11">
      <c r="A23580" s="30" t="s">
        <v>52044</v>
      </c>
      <c r="B23580" s="30" t="s">
        <v>52045</v>
      </c>
      <c r="C23580" s="30" t="s">
        <v>42603</v>
      </c>
      <c r="D23580" s="30" t="s">
        <v>17</v>
      </c>
      <c r="E23580" s="30" t="s">
        <v>26</v>
      </c>
      <c r="F23580" s="30" t="s">
        <v>27</v>
      </c>
      <c r="G23580" s="30" t="s">
        <v>140</v>
      </c>
      <c r="H23580" s="32">
        <v>85</v>
      </c>
      <c r="I23580" s="30" t="s">
        <v>51</v>
      </c>
      <c r="J23580" s="41">
        <v>45946</v>
      </c>
      <c r="K23580" s="30" t="s">
        <v>22</v>
      </c>
    </row>
    <row r="23581" spans="1:11">
      <c r="A23581" s="33" t="s">
        <v>52046</v>
      </c>
      <c r="B23581" s="33" t="s">
        <v>52047</v>
      </c>
      <c r="C23581" s="33" t="s">
        <v>51047</v>
      </c>
      <c r="D23581" s="33" t="s">
        <v>17</v>
      </c>
      <c r="E23581" s="33" t="s">
        <v>67</v>
      </c>
      <c r="F23581" s="33" t="s">
        <v>68</v>
      </c>
      <c r="G23581" s="33" t="s">
        <v>2613</v>
      </c>
      <c r="H23581" s="35">
        <v>120</v>
      </c>
      <c r="I23581" s="33" t="s">
        <v>51</v>
      </c>
      <c r="J23581" s="42">
        <v>45953</v>
      </c>
      <c r="K23581" s="33" t="s">
        <v>22</v>
      </c>
    </row>
    <row r="23582" spans="1:11">
      <c r="A23582" s="30" t="s">
        <v>52048</v>
      </c>
      <c r="B23582" s="30" t="s">
        <v>52049</v>
      </c>
      <c r="C23582" s="30" t="s">
        <v>45303</v>
      </c>
      <c r="D23582" s="30" t="s">
        <v>17</v>
      </c>
      <c r="E23582" s="30" t="s">
        <v>26</v>
      </c>
      <c r="F23582" s="30" t="s">
        <v>27</v>
      </c>
      <c r="G23582" s="30" t="s">
        <v>69</v>
      </c>
      <c r="H23582" s="32">
        <v>54</v>
      </c>
      <c r="I23582" s="30" t="s">
        <v>51</v>
      </c>
      <c r="J23582" s="41">
        <v>45659</v>
      </c>
      <c r="K23582" s="30" t="s">
        <v>22</v>
      </c>
    </row>
    <row r="23583" spans="1:11">
      <c r="A23583" s="33" t="s">
        <v>52050</v>
      </c>
      <c r="B23583" s="33" t="s">
        <v>52051</v>
      </c>
      <c r="C23583" s="33" t="s">
        <v>39174</v>
      </c>
      <c r="D23583" s="33" t="s">
        <v>17</v>
      </c>
      <c r="E23583" s="33" t="s">
        <v>31</v>
      </c>
      <c r="F23583" s="33" t="s">
        <v>32</v>
      </c>
      <c r="G23583" s="33" t="s">
        <v>2613</v>
      </c>
      <c r="H23583" s="35">
        <v>10</v>
      </c>
      <c r="I23583" s="33" t="s">
        <v>51</v>
      </c>
      <c r="J23583" s="42">
        <v>45889</v>
      </c>
      <c r="K23583" s="33" t="s">
        <v>22</v>
      </c>
    </row>
    <row r="23584" spans="1:11">
      <c r="A23584" s="30" t="s">
        <v>52052</v>
      </c>
      <c r="B23584" s="30" t="s">
        <v>52053</v>
      </c>
      <c r="C23584" s="30" t="s">
        <v>318</v>
      </c>
      <c r="D23584" s="30" t="s">
        <v>17</v>
      </c>
      <c r="E23584" s="30" t="s">
        <v>26</v>
      </c>
      <c r="F23584" s="30" t="s">
        <v>27</v>
      </c>
      <c r="G23584" s="30" t="s">
        <v>158</v>
      </c>
      <c r="H23584" s="32">
        <v>81</v>
      </c>
      <c r="I23584" s="30" t="s">
        <v>21</v>
      </c>
      <c r="J23584" s="41">
        <v>45952</v>
      </c>
      <c r="K23584" s="30" t="s">
        <v>22</v>
      </c>
    </row>
    <row r="23585" spans="1:11">
      <c r="A23585" s="33" t="s">
        <v>52054</v>
      </c>
      <c r="B23585" s="33" t="s">
        <v>52055</v>
      </c>
      <c r="C23585" s="33" t="s">
        <v>78</v>
      </c>
      <c r="D23585" s="33" t="s">
        <v>17</v>
      </c>
      <c r="E23585" s="33" t="s">
        <v>26</v>
      </c>
      <c r="F23585" s="33" t="s">
        <v>27</v>
      </c>
      <c r="G23585" s="33" t="s">
        <v>20</v>
      </c>
      <c r="H23585" s="35">
        <v>30</v>
      </c>
      <c r="I23585" s="33" t="s">
        <v>21</v>
      </c>
      <c r="J23585" s="42">
        <v>45958</v>
      </c>
      <c r="K23585" s="33" t="s">
        <v>22</v>
      </c>
    </row>
    <row r="23586" spans="1:11">
      <c r="A23586" s="30" t="s">
        <v>52056</v>
      </c>
      <c r="B23586" s="30" t="s">
        <v>52057</v>
      </c>
      <c r="C23586" s="30" t="s">
        <v>8554</v>
      </c>
      <c r="D23586" s="30" t="s">
        <v>17</v>
      </c>
      <c r="E23586" s="30" t="s">
        <v>18</v>
      </c>
      <c r="F23586" s="30" t="s">
        <v>19</v>
      </c>
      <c r="G23586" s="30" t="s">
        <v>7780</v>
      </c>
      <c r="H23586" s="32">
        <v>144</v>
      </c>
      <c r="I23586" s="30" t="s">
        <v>51</v>
      </c>
      <c r="J23586" s="41">
        <v>45925</v>
      </c>
      <c r="K23586" s="30" t="s">
        <v>22</v>
      </c>
    </row>
    <row r="23587" spans="1:11">
      <c r="A23587" s="33" t="s">
        <v>52058</v>
      </c>
      <c r="B23587" s="33" t="s">
        <v>52059</v>
      </c>
      <c r="C23587" s="33" t="s">
        <v>109</v>
      </c>
      <c r="D23587" s="33" t="s">
        <v>17</v>
      </c>
      <c r="E23587" s="33" t="s">
        <v>31</v>
      </c>
      <c r="F23587" s="33" t="s">
        <v>32</v>
      </c>
      <c r="G23587" s="33" t="s">
        <v>140</v>
      </c>
      <c r="H23587" s="35">
        <v>30</v>
      </c>
      <c r="I23587" s="33" t="s">
        <v>51</v>
      </c>
      <c r="J23587" s="42">
        <v>45964</v>
      </c>
      <c r="K23587" s="33" t="s">
        <v>22</v>
      </c>
    </row>
    <row r="23588" spans="1:11">
      <c r="A23588" s="30" t="s">
        <v>52060</v>
      </c>
      <c r="B23588" s="30" t="s">
        <v>52061</v>
      </c>
      <c r="C23588" s="30" t="s">
        <v>3057</v>
      </c>
      <c r="D23588" s="30" t="s">
        <v>17</v>
      </c>
      <c r="E23588" s="30" t="s">
        <v>31</v>
      </c>
      <c r="F23588" s="30" t="s">
        <v>32</v>
      </c>
      <c r="G23588" s="30" t="s">
        <v>140</v>
      </c>
      <c r="H23588" s="32">
        <v>360</v>
      </c>
      <c r="I23588" s="30" t="s">
        <v>51</v>
      </c>
      <c r="J23588" s="41">
        <v>45931</v>
      </c>
      <c r="K23588" s="30" t="s">
        <v>22</v>
      </c>
    </row>
    <row r="23589" spans="1:11">
      <c r="A23589" s="33" t="s">
        <v>52062</v>
      </c>
      <c r="B23589" s="33" t="s">
        <v>52063</v>
      </c>
      <c r="C23589" s="33" t="s">
        <v>318</v>
      </c>
      <c r="D23589" s="33" t="s">
        <v>17</v>
      </c>
      <c r="E23589" s="33" t="s">
        <v>18</v>
      </c>
      <c r="F23589" s="33" t="s">
        <v>19</v>
      </c>
      <c r="G23589" s="33" t="s">
        <v>140</v>
      </c>
      <c r="H23589" s="35">
        <v>250</v>
      </c>
      <c r="I23589" s="33" t="s">
        <v>51</v>
      </c>
      <c r="J23589" s="42">
        <v>45986</v>
      </c>
      <c r="K23589" s="33" t="s">
        <v>22</v>
      </c>
    </row>
    <row r="23590" spans="1:11">
      <c r="A23590" s="30" t="s">
        <v>52064</v>
      </c>
      <c r="B23590" s="30" t="s">
        <v>52065</v>
      </c>
      <c r="C23590" s="30" t="s">
        <v>647</v>
      </c>
      <c r="D23590" s="30" t="s">
        <v>17</v>
      </c>
      <c r="E23590" s="30" t="s">
        <v>67</v>
      </c>
      <c r="F23590" s="30" t="s">
        <v>68</v>
      </c>
      <c r="G23590" s="30" t="s">
        <v>140</v>
      </c>
      <c r="H23590" s="32">
        <v>270</v>
      </c>
      <c r="I23590" s="30" t="s">
        <v>51</v>
      </c>
      <c r="J23590" s="41">
        <v>45741</v>
      </c>
      <c r="K23590" s="30" t="s">
        <v>22</v>
      </c>
    </row>
    <row r="23591" spans="1:11">
      <c r="A23591" s="33" t="s">
        <v>52066</v>
      </c>
      <c r="B23591" s="33" t="s">
        <v>52067</v>
      </c>
      <c r="C23591" s="33" t="s">
        <v>52068</v>
      </c>
      <c r="D23591" s="33" t="s">
        <v>17</v>
      </c>
      <c r="E23591" s="33" t="s">
        <v>67</v>
      </c>
      <c r="F23591" s="33" t="s">
        <v>68</v>
      </c>
      <c r="G23591" s="33" t="s">
        <v>140</v>
      </c>
      <c r="H23591" s="35">
        <v>49</v>
      </c>
      <c r="I23591" s="33" t="s">
        <v>51</v>
      </c>
      <c r="J23591" s="42">
        <v>45797</v>
      </c>
      <c r="K23591" s="33" t="s">
        <v>22</v>
      </c>
    </row>
    <row r="23592" spans="1:11">
      <c r="A23592" s="30" t="s">
        <v>52069</v>
      </c>
      <c r="B23592" s="30" t="s">
        <v>52070</v>
      </c>
      <c r="C23592" s="30" t="s">
        <v>52071</v>
      </c>
      <c r="D23592" s="30" t="s">
        <v>17</v>
      </c>
      <c r="E23592" s="30" t="s">
        <v>18</v>
      </c>
      <c r="F23592" s="30" t="s">
        <v>19</v>
      </c>
      <c r="G23592" s="30" t="s">
        <v>140</v>
      </c>
      <c r="H23592" s="32">
        <v>162</v>
      </c>
      <c r="I23592" s="30" t="s">
        <v>51</v>
      </c>
      <c r="J23592" s="41">
        <v>46014</v>
      </c>
      <c r="K23592" s="30" t="s">
        <v>22</v>
      </c>
    </row>
    <row r="23593" spans="1:11">
      <c r="A23593" s="33" t="s">
        <v>52072</v>
      </c>
      <c r="B23593" s="33" t="s">
        <v>52073</v>
      </c>
      <c r="C23593" s="33" t="s">
        <v>52074</v>
      </c>
      <c r="D23593" s="33" t="s">
        <v>17</v>
      </c>
      <c r="E23593" s="33" t="s">
        <v>31</v>
      </c>
      <c r="F23593" s="33" t="s">
        <v>32</v>
      </c>
      <c r="G23593" s="33" t="s">
        <v>140</v>
      </c>
      <c r="H23593" s="35">
        <v>600</v>
      </c>
      <c r="I23593" s="33" t="s">
        <v>51</v>
      </c>
      <c r="J23593" s="42">
        <v>45685</v>
      </c>
      <c r="K23593" s="33" t="s">
        <v>22</v>
      </c>
    </row>
    <row r="23594" spans="1:11">
      <c r="A23594" s="30" t="s">
        <v>52075</v>
      </c>
      <c r="B23594" s="30" t="s">
        <v>52076</v>
      </c>
      <c r="C23594" s="30" t="s">
        <v>13495</v>
      </c>
      <c r="D23594" s="30" t="s">
        <v>17</v>
      </c>
      <c r="E23594" s="30" t="s">
        <v>67</v>
      </c>
      <c r="F23594" s="30" t="s">
        <v>68</v>
      </c>
      <c r="G23594" s="30" t="s">
        <v>7780</v>
      </c>
      <c r="H23594" s="32">
        <v>184</v>
      </c>
      <c r="I23594" s="30" t="s">
        <v>51</v>
      </c>
      <c r="J23594" s="41">
        <v>45809</v>
      </c>
      <c r="K23594" s="30" t="s">
        <v>22</v>
      </c>
    </row>
    <row r="23595" spans="1:11">
      <c r="A23595" s="33" t="s">
        <v>52077</v>
      </c>
      <c r="B23595" s="33" t="s">
        <v>52078</v>
      </c>
      <c r="C23595" s="33" t="s">
        <v>24734</v>
      </c>
      <c r="D23595" s="33" t="s">
        <v>17</v>
      </c>
      <c r="E23595" s="33" t="s">
        <v>67</v>
      </c>
      <c r="F23595" s="33" t="s">
        <v>68</v>
      </c>
      <c r="G23595" s="33" t="s">
        <v>7780</v>
      </c>
      <c r="H23595" s="35">
        <v>162</v>
      </c>
      <c r="I23595" s="33" t="s">
        <v>51</v>
      </c>
      <c r="J23595" s="42">
        <v>45708</v>
      </c>
      <c r="K23595" s="33" t="s">
        <v>22</v>
      </c>
    </row>
    <row r="23596" spans="1:11">
      <c r="A23596" s="30" t="s">
        <v>52079</v>
      </c>
      <c r="B23596" s="30" t="s">
        <v>52080</v>
      </c>
      <c r="C23596" s="30" t="s">
        <v>42074</v>
      </c>
      <c r="D23596" s="30" t="s">
        <v>17</v>
      </c>
      <c r="E23596" s="30" t="s">
        <v>31</v>
      </c>
      <c r="F23596" s="30" t="s">
        <v>32</v>
      </c>
      <c r="G23596" s="30" t="s">
        <v>7780</v>
      </c>
      <c r="H23596" s="32">
        <v>30</v>
      </c>
      <c r="I23596" s="30" t="s">
        <v>51</v>
      </c>
      <c r="J23596" s="41">
        <v>45838</v>
      </c>
      <c r="K23596" s="30" t="s">
        <v>22</v>
      </c>
    </row>
    <row r="23597" spans="1:11">
      <c r="A23597" s="33" t="s">
        <v>52081</v>
      </c>
      <c r="B23597" s="33" t="s">
        <v>52082</v>
      </c>
      <c r="C23597" s="33" t="s">
        <v>663</v>
      </c>
      <c r="D23597" s="33" t="s">
        <v>17</v>
      </c>
      <c r="E23597" s="33" t="s">
        <v>31</v>
      </c>
      <c r="F23597" s="33" t="s">
        <v>32</v>
      </c>
      <c r="G23597" s="33" t="s">
        <v>140</v>
      </c>
      <c r="H23597" s="35">
        <v>131</v>
      </c>
      <c r="I23597" s="33" t="s">
        <v>51</v>
      </c>
      <c r="J23597" s="42">
        <v>45937</v>
      </c>
      <c r="K23597" s="33" t="s">
        <v>22</v>
      </c>
    </row>
    <row r="23598" spans="1:11">
      <c r="A23598" s="30" t="s">
        <v>52083</v>
      </c>
      <c r="B23598" s="30" t="s">
        <v>52084</v>
      </c>
      <c r="C23598" s="30" t="s">
        <v>28620</v>
      </c>
      <c r="D23598" s="30" t="s">
        <v>17</v>
      </c>
      <c r="E23598" s="30" t="s">
        <v>26</v>
      </c>
      <c r="F23598" s="30" t="s">
        <v>27</v>
      </c>
      <c r="G23598" s="30" t="s">
        <v>140</v>
      </c>
      <c r="H23598" s="32">
        <v>60</v>
      </c>
      <c r="I23598" s="30" t="s">
        <v>51</v>
      </c>
      <c r="J23598" s="41">
        <v>46021</v>
      </c>
      <c r="K23598" s="30" t="s">
        <v>22</v>
      </c>
    </row>
    <row r="23599" spans="1:11">
      <c r="A23599" s="33" t="s">
        <v>52085</v>
      </c>
      <c r="B23599" s="33" t="s">
        <v>52086</v>
      </c>
      <c r="C23599" s="33" t="s">
        <v>3400</v>
      </c>
      <c r="D23599" s="33" t="s">
        <v>17</v>
      </c>
      <c r="E23599" s="33" t="s">
        <v>31</v>
      </c>
      <c r="F23599" s="33" t="s">
        <v>32</v>
      </c>
      <c r="G23599" s="33" t="s">
        <v>140</v>
      </c>
      <c r="H23599" s="35">
        <v>60</v>
      </c>
      <c r="I23599" s="33" t="s">
        <v>51</v>
      </c>
      <c r="J23599" s="42">
        <v>45994</v>
      </c>
      <c r="K23599" s="33" t="s">
        <v>22</v>
      </c>
    </row>
    <row r="23600" spans="1:11">
      <c r="A23600" s="30" t="s">
        <v>52087</v>
      </c>
      <c r="B23600" s="30" t="s">
        <v>52088</v>
      </c>
      <c r="C23600" s="30" t="s">
        <v>985</v>
      </c>
      <c r="D23600" s="30" t="s">
        <v>17</v>
      </c>
      <c r="E23600" s="30" t="s">
        <v>26</v>
      </c>
      <c r="F23600" s="30" t="s">
        <v>27</v>
      </c>
      <c r="G23600" s="30" t="s">
        <v>20</v>
      </c>
      <c r="H23600" s="32">
        <v>20</v>
      </c>
      <c r="I23600" s="30" t="s">
        <v>21</v>
      </c>
      <c r="J23600" s="41">
        <v>45786</v>
      </c>
      <c r="K23600" s="30" t="s">
        <v>22</v>
      </c>
    </row>
    <row r="23601" spans="1:11">
      <c r="A23601" s="33" t="s">
        <v>52089</v>
      </c>
      <c r="B23601" s="33" t="s">
        <v>52090</v>
      </c>
      <c r="C23601" s="33" t="s">
        <v>149</v>
      </c>
      <c r="D23601" s="33" t="s">
        <v>17</v>
      </c>
      <c r="E23601" s="33" t="s">
        <v>26</v>
      </c>
      <c r="F23601" s="33" t="s">
        <v>27</v>
      </c>
      <c r="G23601" s="33" t="s">
        <v>140</v>
      </c>
      <c r="H23601" s="35">
        <v>42</v>
      </c>
      <c r="I23601" s="33" t="s">
        <v>51</v>
      </c>
      <c r="J23601" s="42">
        <v>45960</v>
      </c>
      <c r="K23601" s="33" t="s">
        <v>22</v>
      </c>
    </row>
    <row r="23602" spans="1:11">
      <c r="A23602" s="30" t="s">
        <v>52091</v>
      </c>
      <c r="B23602" s="30" t="s">
        <v>52092</v>
      </c>
      <c r="C23602" s="30" t="s">
        <v>52093</v>
      </c>
      <c r="D23602" s="30" t="s">
        <v>17</v>
      </c>
      <c r="E23602" s="30" t="s">
        <v>26</v>
      </c>
      <c r="F23602" s="30" t="s">
        <v>27</v>
      </c>
      <c r="G23602" s="30" t="s">
        <v>140</v>
      </c>
      <c r="H23602" s="32">
        <v>30</v>
      </c>
      <c r="I23602" s="30" t="s">
        <v>51</v>
      </c>
      <c r="J23602" s="41">
        <v>45824</v>
      </c>
      <c r="K23602" s="30" t="s">
        <v>22</v>
      </c>
    </row>
    <row r="23603" spans="1:11">
      <c r="A23603" s="33" t="s">
        <v>52094</v>
      </c>
      <c r="B23603" s="33" t="s">
        <v>52095</v>
      </c>
      <c r="C23603" s="33" t="s">
        <v>3647</v>
      </c>
      <c r="D23603" s="33" t="s">
        <v>17</v>
      </c>
      <c r="E23603" s="33" t="s">
        <v>31</v>
      </c>
      <c r="F23603" s="33" t="s">
        <v>32</v>
      </c>
      <c r="G23603" s="33" t="s">
        <v>140</v>
      </c>
      <c r="H23603" s="35">
        <v>780</v>
      </c>
      <c r="I23603" s="33" t="s">
        <v>51</v>
      </c>
      <c r="J23603" s="42">
        <v>46008</v>
      </c>
      <c r="K23603" s="33" t="s">
        <v>22</v>
      </c>
    </row>
    <row r="23604" spans="1:11">
      <c r="A23604" s="30" t="s">
        <v>52096</v>
      </c>
      <c r="B23604" s="30" t="s">
        <v>52097</v>
      </c>
      <c r="C23604" s="30" t="s">
        <v>33605</v>
      </c>
      <c r="D23604" s="30" t="s">
        <v>17</v>
      </c>
      <c r="E23604" s="30" t="s">
        <v>26</v>
      </c>
      <c r="F23604" s="30" t="s">
        <v>27</v>
      </c>
      <c r="G23604" s="30" t="s">
        <v>140</v>
      </c>
      <c r="H23604" s="32">
        <v>60</v>
      </c>
      <c r="I23604" s="30" t="s">
        <v>51</v>
      </c>
      <c r="J23604" s="41">
        <v>45996</v>
      </c>
      <c r="K23604" s="30" t="s">
        <v>22</v>
      </c>
    </row>
    <row r="23605" spans="1:11">
      <c r="A23605" s="33" t="s">
        <v>52098</v>
      </c>
      <c r="B23605" s="33" t="s">
        <v>52099</v>
      </c>
      <c r="C23605" s="33" t="s">
        <v>7051</v>
      </c>
      <c r="D23605" s="33" t="s">
        <v>17</v>
      </c>
      <c r="E23605" s="33" t="s">
        <v>67</v>
      </c>
      <c r="F23605" s="33" t="s">
        <v>68</v>
      </c>
      <c r="G23605" s="33" t="s">
        <v>7780</v>
      </c>
      <c r="H23605" s="35">
        <v>62</v>
      </c>
      <c r="I23605" s="33" t="s">
        <v>51</v>
      </c>
      <c r="J23605" s="42">
        <v>45992</v>
      </c>
      <c r="K23605" s="33" t="s">
        <v>22</v>
      </c>
    </row>
    <row r="23606" spans="1:11">
      <c r="A23606" s="30" t="s">
        <v>52100</v>
      </c>
      <c r="B23606" s="30" t="s">
        <v>52101</v>
      </c>
      <c r="C23606" s="30" t="s">
        <v>45844</v>
      </c>
      <c r="D23606" s="30" t="s">
        <v>17</v>
      </c>
      <c r="E23606" s="30" t="s">
        <v>18</v>
      </c>
      <c r="F23606" s="30" t="s">
        <v>19</v>
      </c>
      <c r="G23606" s="30" t="s">
        <v>7780</v>
      </c>
      <c r="H23606" s="32">
        <v>600</v>
      </c>
      <c r="I23606" s="30" t="s">
        <v>51</v>
      </c>
      <c r="J23606" s="41">
        <v>45915</v>
      </c>
      <c r="K23606" s="30" t="s">
        <v>22</v>
      </c>
    </row>
    <row r="23607" spans="1:11">
      <c r="A23607" s="33" t="s">
        <v>52102</v>
      </c>
      <c r="B23607" s="33" t="s">
        <v>52103</v>
      </c>
      <c r="C23607" s="33" t="s">
        <v>36980</v>
      </c>
      <c r="D23607" s="33" t="s">
        <v>17</v>
      </c>
      <c r="E23607" s="33" t="s">
        <v>67</v>
      </c>
      <c r="F23607" s="33" t="s">
        <v>68</v>
      </c>
      <c r="G23607" s="33" t="s">
        <v>140</v>
      </c>
      <c r="H23607" s="35">
        <v>380</v>
      </c>
      <c r="I23607" s="33" t="s">
        <v>51</v>
      </c>
      <c r="J23607" s="42">
        <v>45889</v>
      </c>
      <c r="K23607" s="33" t="s">
        <v>22</v>
      </c>
    </row>
    <row r="23608" spans="1:11">
      <c r="A23608" s="30" t="s">
        <v>52104</v>
      </c>
      <c r="B23608" s="30" t="s">
        <v>52105</v>
      </c>
      <c r="C23608" s="30" t="s">
        <v>6622</v>
      </c>
      <c r="D23608" s="30" t="s">
        <v>17</v>
      </c>
      <c r="E23608" s="30" t="s">
        <v>31</v>
      </c>
      <c r="F23608" s="30" t="s">
        <v>32</v>
      </c>
      <c r="G23608" s="30" t="s">
        <v>7780</v>
      </c>
      <c r="H23608" s="32">
        <v>75</v>
      </c>
      <c r="I23608" s="30" t="s">
        <v>51</v>
      </c>
      <c r="J23608" s="41">
        <v>45778</v>
      </c>
      <c r="K23608" s="30" t="s">
        <v>22</v>
      </c>
    </row>
    <row r="23609" spans="1:11">
      <c r="A23609" s="33" t="s">
        <v>52106</v>
      </c>
      <c r="B23609" s="33" t="s">
        <v>52107</v>
      </c>
      <c r="C23609" s="33" t="s">
        <v>3103</v>
      </c>
      <c r="D23609" s="33" t="s">
        <v>17</v>
      </c>
      <c r="E23609" s="33" t="s">
        <v>26</v>
      </c>
      <c r="F23609" s="33" t="s">
        <v>27</v>
      </c>
      <c r="G23609" s="33" t="s">
        <v>7780</v>
      </c>
      <c r="H23609" s="35">
        <v>8</v>
      </c>
      <c r="I23609" s="33" t="s">
        <v>51</v>
      </c>
      <c r="J23609" s="42">
        <v>45962</v>
      </c>
      <c r="K23609" s="33" t="s">
        <v>22</v>
      </c>
    </row>
    <row r="23610" spans="1:11">
      <c r="A23610" s="30" t="s">
        <v>52108</v>
      </c>
      <c r="B23610" s="30" t="s">
        <v>52109</v>
      </c>
      <c r="C23610" s="30" t="s">
        <v>2472</v>
      </c>
      <c r="D23610" s="30" t="s">
        <v>17</v>
      </c>
      <c r="E23610" s="30" t="s">
        <v>212</v>
      </c>
      <c r="F23610" s="30" t="s">
        <v>213</v>
      </c>
      <c r="G23610" s="30" t="s">
        <v>158</v>
      </c>
      <c r="H23610" s="32">
        <v>30000</v>
      </c>
      <c r="I23610" s="30" t="s">
        <v>51</v>
      </c>
      <c r="J23610" s="41">
        <v>45987</v>
      </c>
      <c r="K23610" s="30" t="s">
        <v>22</v>
      </c>
    </row>
    <row r="23611" spans="1:11">
      <c r="A23611" s="33" t="s">
        <v>52110</v>
      </c>
      <c r="B23611" s="33" t="s">
        <v>52111</v>
      </c>
      <c r="C23611" s="33" t="s">
        <v>21185</v>
      </c>
      <c r="D23611" s="33" t="s">
        <v>17</v>
      </c>
      <c r="E23611" s="33" t="s">
        <v>18</v>
      </c>
      <c r="F23611" s="33" t="s">
        <v>19</v>
      </c>
      <c r="G23611" s="33" t="s">
        <v>140</v>
      </c>
      <c r="H23611" s="35">
        <v>416</v>
      </c>
      <c r="I23611" s="33" t="s">
        <v>51</v>
      </c>
      <c r="J23611" s="42">
        <v>45863</v>
      </c>
      <c r="K23611" s="33" t="s">
        <v>22</v>
      </c>
    </row>
    <row r="23612" spans="1:11">
      <c r="A23612" s="30" t="s">
        <v>52112</v>
      </c>
      <c r="B23612" s="30" t="s">
        <v>52113</v>
      </c>
      <c r="C23612" s="30" t="s">
        <v>517</v>
      </c>
      <c r="D23612" s="30" t="s">
        <v>17</v>
      </c>
      <c r="E23612" s="30" t="s">
        <v>26</v>
      </c>
      <c r="F23612" s="30" t="s">
        <v>27</v>
      </c>
      <c r="G23612" s="30" t="s">
        <v>7780</v>
      </c>
      <c r="H23612" s="32">
        <v>48</v>
      </c>
      <c r="I23612" s="30" t="s">
        <v>51</v>
      </c>
      <c r="J23612" s="41">
        <v>45768</v>
      </c>
      <c r="K23612" s="30" t="s">
        <v>22</v>
      </c>
    </row>
    <row r="23613" spans="1:11">
      <c r="A23613" s="33" t="s">
        <v>52114</v>
      </c>
      <c r="B23613" s="33" t="s">
        <v>52115</v>
      </c>
      <c r="C23613" s="33" t="s">
        <v>644</v>
      </c>
      <c r="D23613" s="33" t="s">
        <v>17</v>
      </c>
      <c r="E23613" s="33" t="s">
        <v>26</v>
      </c>
      <c r="F23613" s="33" t="s">
        <v>27</v>
      </c>
      <c r="G23613" s="33" t="s">
        <v>158</v>
      </c>
      <c r="H23613" s="35">
        <v>121</v>
      </c>
      <c r="I23613" s="33" t="s">
        <v>21</v>
      </c>
      <c r="J23613" s="42">
        <v>45729</v>
      </c>
      <c r="K23613" s="33" t="s">
        <v>22</v>
      </c>
    </row>
    <row r="23614" spans="1:11">
      <c r="A23614" s="30" t="s">
        <v>52116</v>
      </c>
      <c r="B23614" s="30" t="s">
        <v>52117</v>
      </c>
      <c r="C23614" s="30" t="s">
        <v>11366</v>
      </c>
      <c r="D23614" s="30" t="s">
        <v>17</v>
      </c>
      <c r="E23614" s="30" t="s">
        <v>26</v>
      </c>
      <c r="F23614" s="30" t="s">
        <v>27</v>
      </c>
      <c r="G23614" s="30" t="s">
        <v>112</v>
      </c>
      <c r="H23614" s="32">
        <v>0</v>
      </c>
      <c r="I23614" s="30" t="s">
        <v>21</v>
      </c>
      <c r="J23614" s="41">
        <v>45912</v>
      </c>
      <c r="K23614" s="30" t="s">
        <v>22</v>
      </c>
    </row>
    <row r="23615" spans="1:11">
      <c r="A23615" s="33" t="s">
        <v>52118</v>
      </c>
      <c r="B23615" s="33" t="s">
        <v>52119</v>
      </c>
      <c r="C23615" s="33" t="s">
        <v>23518</v>
      </c>
      <c r="D23615" s="33" t="s">
        <v>17</v>
      </c>
      <c r="E23615" s="33" t="s">
        <v>31</v>
      </c>
      <c r="F23615" s="33" t="s">
        <v>32</v>
      </c>
      <c r="G23615" s="33" t="s">
        <v>140</v>
      </c>
      <c r="H23615" s="35">
        <v>30</v>
      </c>
      <c r="I23615" s="33" t="s">
        <v>51</v>
      </c>
      <c r="J23615" s="42">
        <v>45999</v>
      </c>
      <c r="K23615" s="33" t="s">
        <v>22</v>
      </c>
    </row>
    <row r="23616" spans="1:11">
      <c r="A23616" s="30" t="s">
        <v>52120</v>
      </c>
      <c r="B23616" s="30" t="s">
        <v>52121</v>
      </c>
      <c r="C23616" s="30" t="s">
        <v>1558</v>
      </c>
      <c r="D23616" s="30" t="s">
        <v>17</v>
      </c>
      <c r="E23616" s="30" t="s">
        <v>45</v>
      </c>
      <c r="F23616" s="30" t="s">
        <v>46</v>
      </c>
      <c r="G23616" s="30" t="s">
        <v>140</v>
      </c>
      <c r="H23616" s="32">
        <v>700</v>
      </c>
      <c r="I23616" s="30" t="s">
        <v>51</v>
      </c>
      <c r="J23616" s="41">
        <v>45731</v>
      </c>
      <c r="K23616" s="30" t="s">
        <v>22</v>
      </c>
    </row>
    <row r="23617" spans="1:11">
      <c r="A23617" s="33" t="s">
        <v>52122</v>
      </c>
      <c r="B23617" s="33" t="s">
        <v>52123</v>
      </c>
      <c r="C23617" s="33" t="s">
        <v>535</v>
      </c>
      <c r="D23617" s="33" t="s">
        <v>17</v>
      </c>
      <c r="E23617" s="33" t="s">
        <v>26</v>
      </c>
      <c r="F23617" s="33" t="s">
        <v>27</v>
      </c>
      <c r="G23617" s="33" t="s">
        <v>20</v>
      </c>
      <c r="H23617" s="35">
        <v>32</v>
      </c>
      <c r="I23617" s="33" t="s">
        <v>21</v>
      </c>
      <c r="J23617" s="42">
        <v>45899</v>
      </c>
      <c r="K23617" s="33" t="s">
        <v>22</v>
      </c>
    </row>
    <row r="23618" spans="1:11">
      <c r="A23618" s="30" t="s">
        <v>52124</v>
      </c>
      <c r="B23618" s="30" t="s">
        <v>52125</v>
      </c>
      <c r="C23618" s="30" t="s">
        <v>29225</v>
      </c>
      <c r="D23618" s="30" t="s">
        <v>17</v>
      </c>
      <c r="E23618" s="30" t="s">
        <v>26</v>
      </c>
      <c r="F23618" s="30" t="s">
        <v>27</v>
      </c>
      <c r="G23618" s="30" t="s">
        <v>140</v>
      </c>
      <c r="H23618" s="32">
        <v>21</v>
      </c>
      <c r="I23618" s="30" t="s">
        <v>51</v>
      </c>
      <c r="J23618" s="41">
        <v>45680</v>
      </c>
      <c r="K23618" s="30" t="s">
        <v>22</v>
      </c>
    </row>
    <row r="23619" spans="1:11">
      <c r="A23619" s="33" t="s">
        <v>52126</v>
      </c>
      <c r="B23619" s="33" t="s">
        <v>52127</v>
      </c>
      <c r="C23619" s="33" t="s">
        <v>13241</v>
      </c>
      <c r="D23619" s="33" t="s">
        <v>17</v>
      </c>
      <c r="E23619" s="33" t="s">
        <v>67</v>
      </c>
      <c r="F23619" s="33" t="s">
        <v>68</v>
      </c>
      <c r="G23619" s="33" t="s">
        <v>140</v>
      </c>
      <c r="H23619" s="35">
        <v>203</v>
      </c>
      <c r="I23619" s="33" t="s">
        <v>51</v>
      </c>
      <c r="J23619" s="42">
        <v>45862</v>
      </c>
      <c r="K23619" s="33" t="s">
        <v>22</v>
      </c>
    </row>
    <row r="23620" spans="1:11">
      <c r="A23620" s="30" t="s">
        <v>52128</v>
      </c>
      <c r="B23620" s="30" t="s">
        <v>52129</v>
      </c>
      <c r="C23620" s="30" t="s">
        <v>22680</v>
      </c>
      <c r="D23620" s="30" t="s">
        <v>17</v>
      </c>
      <c r="E23620" s="30" t="s">
        <v>31</v>
      </c>
      <c r="F23620" s="30" t="s">
        <v>32</v>
      </c>
      <c r="G23620" s="30" t="s">
        <v>20</v>
      </c>
      <c r="H23620" s="32">
        <v>214</v>
      </c>
      <c r="I23620" s="30" t="s">
        <v>21</v>
      </c>
      <c r="J23620" s="41">
        <v>45853</v>
      </c>
      <c r="K23620" s="30" t="s">
        <v>22</v>
      </c>
    </row>
    <row r="23621" spans="1:11">
      <c r="A23621" s="33" t="s">
        <v>52130</v>
      </c>
      <c r="B23621" s="33" t="s">
        <v>52131</v>
      </c>
      <c r="C23621" s="33" t="s">
        <v>10658</v>
      </c>
      <c r="D23621" s="33" t="s">
        <v>17</v>
      </c>
      <c r="E23621" s="33" t="s">
        <v>31</v>
      </c>
      <c r="F23621" s="33" t="s">
        <v>32</v>
      </c>
      <c r="G23621" s="33" t="s">
        <v>7780</v>
      </c>
      <c r="H23621" s="35">
        <v>180</v>
      </c>
      <c r="I23621" s="33" t="s">
        <v>51</v>
      </c>
      <c r="J23621" s="42">
        <v>45931</v>
      </c>
      <c r="K23621" s="33" t="s">
        <v>22</v>
      </c>
    </row>
    <row r="23622" spans="1:11">
      <c r="A23622" s="30" t="s">
        <v>52132</v>
      </c>
      <c r="B23622" s="30" t="s">
        <v>52133</v>
      </c>
      <c r="C23622" s="30" t="s">
        <v>157</v>
      </c>
      <c r="D23622" s="30" t="s">
        <v>17</v>
      </c>
      <c r="E23622" s="30" t="s">
        <v>18</v>
      </c>
      <c r="F23622" s="30" t="s">
        <v>19</v>
      </c>
      <c r="G23622" s="30" t="s">
        <v>140</v>
      </c>
      <c r="H23622" s="32">
        <v>13</v>
      </c>
      <c r="I23622" s="30" t="s">
        <v>51</v>
      </c>
      <c r="J23622" s="41">
        <v>45834</v>
      </c>
      <c r="K23622" s="30" t="s">
        <v>22</v>
      </c>
    </row>
    <row r="23623" spans="1:11">
      <c r="A23623" s="33" t="s">
        <v>52134</v>
      </c>
      <c r="B23623" s="33" t="s">
        <v>52135</v>
      </c>
      <c r="C23623" s="33" t="s">
        <v>33291</v>
      </c>
      <c r="D23623" s="33" t="s">
        <v>17</v>
      </c>
      <c r="E23623" s="33" t="s">
        <v>26</v>
      </c>
      <c r="F23623" s="33" t="s">
        <v>27</v>
      </c>
      <c r="G23623" s="33" t="s">
        <v>106</v>
      </c>
      <c r="H23623" s="35">
        <v>11</v>
      </c>
      <c r="I23623" s="33" t="s">
        <v>21</v>
      </c>
      <c r="J23623" s="42">
        <v>45931</v>
      </c>
      <c r="K23623" s="33" t="s">
        <v>22</v>
      </c>
    </row>
    <row r="23624" spans="1:11">
      <c r="A23624" s="30" t="s">
        <v>52136</v>
      </c>
      <c r="B23624" s="30" t="s">
        <v>52137</v>
      </c>
      <c r="C23624" s="30" t="s">
        <v>318</v>
      </c>
      <c r="D23624" s="30" t="s">
        <v>17</v>
      </c>
      <c r="E23624" s="30" t="s">
        <v>31</v>
      </c>
      <c r="F23624" s="30" t="s">
        <v>32</v>
      </c>
      <c r="G23624" s="30" t="s">
        <v>140</v>
      </c>
      <c r="H23624" s="32">
        <v>220</v>
      </c>
      <c r="I23624" s="30" t="s">
        <v>51</v>
      </c>
      <c r="J23624" s="41">
        <v>45854</v>
      </c>
      <c r="K23624" s="30" t="s">
        <v>22</v>
      </c>
    </row>
    <row r="23625" spans="1:11">
      <c r="A23625" s="33" t="s">
        <v>52138</v>
      </c>
      <c r="B23625" s="33" t="s">
        <v>52139</v>
      </c>
      <c r="C23625" s="33" t="s">
        <v>549</v>
      </c>
      <c r="D23625" s="33" t="s">
        <v>17</v>
      </c>
      <c r="E23625" s="33" t="s">
        <v>26</v>
      </c>
      <c r="F23625" s="33" t="s">
        <v>27</v>
      </c>
      <c r="G23625" s="33" t="s">
        <v>140</v>
      </c>
      <c r="H23625" s="35">
        <v>15</v>
      </c>
      <c r="I23625" s="33" t="s">
        <v>51</v>
      </c>
      <c r="J23625" s="42">
        <v>45847</v>
      </c>
      <c r="K23625" s="33" t="s">
        <v>22</v>
      </c>
    </row>
    <row r="23626" spans="1:11">
      <c r="A23626" s="30" t="s">
        <v>52140</v>
      </c>
      <c r="B23626" s="30" t="s">
        <v>52141</v>
      </c>
      <c r="C23626" s="30" t="s">
        <v>925</v>
      </c>
      <c r="D23626" s="30" t="s">
        <v>17</v>
      </c>
      <c r="E23626" s="30" t="s">
        <v>31</v>
      </c>
      <c r="F23626" s="30" t="s">
        <v>32</v>
      </c>
      <c r="G23626" s="30" t="s">
        <v>158</v>
      </c>
      <c r="H23626" s="32">
        <v>100</v>
      </c>
      <c r="I23626" s="30" t="s">
        <v>51</v>
      </c>
      <c r="J23626" s="41">
        <v>45706</v>
      </c>
      <c r="K23626" s="30" t="s">
        <v>22</v>
      </c>
    </row>
    <row r="23627" spans="1:11">
      <c r="A23627" s="33" t="s">
        <v>52142</v>
      </c>
      <c r="B23627" s="33" t="s">
        <v>52143</v>
      </c>
      <c r="C23627" s="33" t="s">
        <v>7246</v>
      </c>
      <c r="D23627" s="33" t="s">
        <v>17</v>
      </c>
      <c r="E23627" s="33" t="s">
        <v>26</v>
      </c>
      <c r="F23627" s="33" t="s">
        <v>27</v>
      </c>
      <c r="G23627" s="33" t="s">
        <v>20</v>
      </c>
      <c r="H23627" s="35">
        <v>25</v>
      </c>
      <c r="I23627" s="33" t="s">
        <v>21</v>
      </c>
      <c r="J23627" s="42">
        <v>45702</v>
      </c>
      <c r="K23627" s="33" t="s">
        <v>22</v>
      </c>
    </row>
    <row r="23628" spans="1:11">
      <c r="A23628" s="30" t="s">
        <v>52144</v>
      </c>
      <c r="B23628" s="30" t="s">
        <v>52145</v>
      </c>
      <c r="C23628" s="30" t="s">
        <v>2313</v>
      </c>
      <c r="D23628" s="30" t="s">
        <v>17</v>
      </c>
      <c r="E23628" s="30" t="s">
        <v>26</v>
      </c>
      <c r="F23628" s="30" t="s">
        <v>27</v>
      </c>
      <c r="G23628" s="30" t="s">
        <v>20</v>
      </c>
      <c r="H23628" s="32">
        <v>18</v>
      </c>
      <c r="I23628" s="30" t="s">
        <v>21</v>
      </c>
      <c r="J23628" s="41">
        <v>45835</v>
      </c>
      <c r="K23628" s="30" t="s">
        <v>22</v>
      </c>
    </row>
    <row r="23629" spans="1:11">
      <c r="A23629" s="33" t="s">
        <v>52146</v>
      </c>
      <c r="B23629" s="33" t="s">
        <v>52147</v>
      </c>
      <c r="C23629" s="33" t="s">
        <v>54</v>
      </c>
      <c r="D23629" s="33" t="s">
        <v>17</v>
      </c>
      <c r="E23629" s="33" t="s">
        <v>67</v>
      </c>
      <c r="F23629" s="33" t="s">
        <v>68</v>
      </c>
      <c r="G23629" s="33" t="s">
        <v>140</v>
      </c>
      <c r="H23629" s="35">
        <v>27</v>
      </c>
      <c r="I23629" s="33" t="s">
        <v>51</v>
      </c>
      <c r="J23629" s="42">
        <v>45765</v>
      </c>
      <c r="K23629" s="33" t="s">
        <v>22</v>
      </c>
    </row>
    <row r="23630" spans="1:11">
      <c r="A23630" s="30" t="s">
        <v>52148</v>
      </c>
      <c r="B23630" s="30" t="s">
        <v>52149</v>
      </c>
      <c r="C23630" s="30" t="s">
        <v>9688</v>
      </c>
      <c r="D23630" s="30" t="s">
        <v>17</v>
      </c>
      <c r="E23630" s="30" t="s">
        <v>31</v>
      </c>
      <c r="F23630" s="30" t="s">
        <v>32</v>
      </c>
      <c r="G23630" s="30" t="s">
        <v>20</v>
      </c>
      <c r="H23630" s="32">
        <v>150</v>
      </c>
      <c r="I23630" s="30" t="s">
        <v>21</v>
      </c>
      <c r="J23630" s="41">
        <v>45800</v>
      </c>
      <c r="K23630" s="30" t="s">
        <v>22</v>
      </c>
    </row>
    <row r="23631" spans="1:11">
      <c r="A23631" s="33" t="s">
        <v>52150</v>
      </c>
      <c r="B23631" s="33" t="s">
        <v>52151</v>
      </c>
      <c r="C23631" s="33" t="s">
        <v>5000</v>
      </c>
      <c r="D23631" s="33" t="s">
        <v>17</v>
      </c>
      <c r="E23631" s="33" t="s">
        <v>18</v>
      </c>
      <c r="F23631" s="33" t="s">
        <v>19</v>
      </c>
      <c r="G23631" s="33" t="s">
        <v>20</v>
      </c>
      <c r="H23631" s="35">
        <v>90</v>
      </c>
      <c r="I23631" s="33" t="s">
        <v>21</v>
      </c>
      <c r="J23631" s="42">
        <v>45824</v>
      </c>
      <c r="K23631" s="33" t="s">
        <v>22</v>
      </c>
    </row>
    <row r="23632" spans="1:11">
      <c r="A23632" s="30" t="s">
        <v>52152</v>
      </c>
      <c r="B23632" s="30" t="s">
        <v>52153</v>
      </c>
      <c r="C23632" s="30" t="s">
        <v>190</v>
      </c>
      <c r="D23632" s="30" t="s">
        <v>17</v>
      </c>
      <c r="E23632" s="30" t="s">
        <v>31</v>
      </c>
      <c r="F23632" s="30" t="s">
        <v>32</v>
      </c>
      <c r="G23632" s="30" t="s">
        <v>140</v>
      </c>
      <c r="H23632" s="32">
        <v>540</v>
      </c>
      <c r="I23632" s="30" t="s">
        <v>51</v>
      </c>
      <c r="J23632" s="41">
        <v>45742</v>
      </c>
      <c r="K23632" s="30" t="s">
        <v>22</v>
      </c>
    </row>
    <row r="23633" spans="1:11">
      <c r="A23633" s="33" t="s">
        <v>52154</v>
      </c>
      <c r="B23633" s="33" t="s">
        <v>52155</v>
      </c>
      <c r="C23633" s="33" t="s">
        <v>4348</v>
      </c>
      <c r="D23633" s="33" t="s">
        <v>17</v>
      </c>
      <c r="E23633" s="33" t="s">
        <v>31</v>
      </c>
      <c r="F23633" s="33" t="s">
        <v>32</v>
      </c>
      <c r="G23633" s="33" t="s">
        <v>140</v>
      </c>
      <c r="H23633" s="35">
        <v>46</v>
      </c>
      <c r="I23633" s="33" t="s">
        <v>51</v>
      </c>
      <c r="J23633" s="42">
        <v>45818</v>
      </c>
      <c r="K23633" s="33" t="s">
        <v>22</v>
      </c>
    </row>
    <row r="23634" spans="1:11">
      <c r="A23634" s="30" t="s">
        <v>52156</v>
      </c>
      <c r="B23634" s="30" t="s">
        <v>52157</v>
      </c>
      <c r="C23634" s="30" t="s">
        <v>149</v>
      </c>
      <c r="D23634" s="30" t="s">
        <v>17</v>
      </c>
      <c r="E23634" s="30" t="s">
        <v>67</v>
      </c>
      <c r="F23634" s="30" t="s">
        <v>68</v>
      </c>
      <c r="G23634" s="30" t="s">
        <v>7780</v>
      </c>
      <c r="H23634" s="32">
        <v>150</v>
      </c>
      <c r="I23634" s="30" t="s">
        <v>51</v>
      </c>
      <c r="J23634" s="41">
        <v>45870</v>
      </c>
      <c r="K23634" s="30" t="s">
        <v>22</v>
      </c>
    </row>
    <row r="23635" spans="1:11">
      <c r="A23635" s="33" t="s">
        <v>52158</v>
      </c>
      <c r="B23635" s="33" t="s">
        <v>52159</v>
      </c>
      <c r="C23635" s="33" t="s">
        <v>2196</v>
      </c>
      <c r="D23635" s="33" t="s">
        <v>17</v>
      </c>
      <c r="E23635" s="33" t="s">
        <v>26</v>
      </c>
      <c r="F23635" s="33" t="s">
        <v>27</v>
      </c>
      <c r="G23635" s="33" t="s">
        <v>20</v>
      </c>
      <c r="H23635" s="35">
        <v>6</v>
      </c>
      <c r="I23635" s="33" t="s">
        <v>21</v>
      </c>
      <c r="J23635" s="42">
        <v>45714</v>
      </c>
      <c r="K23635" s="33" t="s">
        <v>22</v>
      </c>
    </row>
    <row r="23636" spans="1:11">
      <c r="A23636" s="30" t="s">
        <v>52160</v>
      </c>
      <c r="B23636" s="30" t="s">
        <v>52161</v>
      </c>
      <c r="C23636" s="30" t="s">
        <v>925</v>
      </c>
      <c r="D23636" s="30" t="s">
        <v>17</v>
      </c>
      <c r="E23636" s="30" t="s">
        <v>31</v>
      </c>
      <c r="F23636" s="30" t="s">
        <v>32</v>
      </c>
      <c r="G23636" s="30" t="s">
        <v>106</v>
      </c>
      <c r="H23636" s="32">
        <v>4</v>
      </c>
      <c r="I23636" s="30" t="s">
        <v>21</v>
      </c>
      <c r="J23636" s="41">
        <v>45721</v>
      </c>
      <c r="K23636" s="30" t="s">
        <v>22</v>
      </c>
    </row>
    <row r="23637" spans="1:11">
      <c r="A23637" s="33" t="s">
        <v>52162</v>
      </c>
      <c r="B23637" s="33" t="s">
        <v>52163</v>
      </c>
      <c r="C23637" s="33" t="s">
        <v>4383</v>
      </c>
      <c r="D23637" s="33" t="s">
        <v>17</v>
      </c>
      <c r="E23637" s="33" t="s">
        <v>31</v>
      </c>
      <c r="F23637" s="33" t="s">
        <v>32</v>
      </c>
      <c r="G23637" s="33" t="s">
        <v>158</v>
      </c>
      <c r="H23637" s="35">
        <v>66</v>
      </c>
      <c r="I23637" s="33" t="s">
        <v>51</v>
      </c>
      <c r="J23637" s="42">
        <v>45719</v>
      </c>
      <c r="K23637" s="33" t="s">
        <v>22</v>
      </c>
    </row>
    <row r="23638" spans="1:11">
      <c r="A23638" s="30" t="s">
        <v>52164</v>
      </c>
      <c r="B23638" s="30" t="s">
        <v>52165</v>
      </c>
      <c r="C23638" s="30" t="s">
        <v>39677</v>
      </c>
      <c r="D23638" s="30" t="s">
        <v>17</v>
      </c>
      <c r="E23638" s="30" t="s">
        <v>26</v>
      </c>
      <c r="F23638" s="30" t="s">
        <v>27</v>
      </c>
      <c r="G23638" s="30" t="s">
        <v>140</v>
      </c>
      <c r="H23638" s="32">
        <v>54</v>
      </c>
      <c r="I23638" s="30" t="s">
        <v>51</v>
      </c>
      <c r="J23638" s="41">
        <v>45978</v>
      </c>
      <c r="K23638" s="30" t="s">
        <v>22</v>
      </c>
    </row>
    <row r="23639" spans="1:11">
      <c r="A23639" s="33" t="s">
        <v>52166</v>
      </c>
      <c r="B23639" s="33" t="s">
        <v>52167</v>
      </c>
      <c r="C23639" s="33" t="s">
        <v>52168</v>
      </c>
      <c r="D23639" s="33" t="s">
        <v>17</v>
      </c>
      <c r="E23639" s="33" t="s">
        <v>26</v>
      </c>
      <c r="F23639" s="33" t="s">
        <v>27</v>
      </c>
      <c r="G23639" s="33" t="s">
        <v>140</v>
      </c>
      <c r="H23639" s="35">
        <v>66</v>
      </c>
      <c r="I23639" s="33" t="s">
        <v>51</v>
      </c>
      <c r="J23639" s="42">
        <v>45712</v>
      </c>
      <c r="K23639" s="33" t="s">
        <v>22</v>
      </c>
    </row>
    <row r="23640" spans="1:11">
      <c r="A23640" s="30" t="s">
        <v>52169</v>
      </c>
      <c r="B23640" s="30" t="s">
        <v>52170</v>
      </c>
      <c r="C23640" s="30" t="s">
        <v>41393</v>
      </c>
      <c r="D23640" s="30" t="s">
        <v>17</v>
      </c>
      <c r="E23640" s="30" t="s">
        <v>330</v>
      </c>
      <c r="F23640" s="30" t="s">
        <v>331</v>
      </c>
      <c r="G23640" s="30" t="s">
        <v>69</v>
      </c>
      <c r="H23640" s="32">
        <v>30</v>
      </c>
      <c r="I23640" s="30" t="s">
        <v>51</v>
      </c>
      <c r="J23640" s="41">
        <v>45839</v>
      </c>
      <c r="K23640" s="30" t="s">
        <v>22</v>
      </c>
    </row>
    <row r="23641" spans="1:11">
      <c r="A23641" s="33" t="s">
        <v>52171</v>
      </c>
      <c r="B23641" s="33" t="s">
        <v>52172</v>
      </c>
      <c r="C23641" s="33" t="s">
        <v>93</v>
      </c>
      <c r="D23641" s="33" t="s">
        <v>17</v>
      </c>
      <c r="E23641" s="33" t="s">
        <v>212</v>
      </c>
      <c r="F23641" s="33" t="s">
        <v>213</v>
      </c>
      <c r="G23641" s="33" t="s">
        <v>20</v>
      </c>
      <c r="H23641" s="35">
        <v>102</v>
      </c>
      <c r="I23641" s="33" t="s">
        <v>21</v>
      </c>
      <c r="J23641" s="42">
        <v>45860</v>
      </c>
      <c r="K23641" s="33" t="s">
        <v>22</v>
      </c>
    </row>
    <row r="23642" spans="1:11">
      <c r="A23642" s="30" t="s">
        <v>52173</v>
      </c>
      <c r="B23642" s="30" t="s">
        <v>52174</v>
      </c>
      <c r="C23642" s="30" t="s">
        <v>6955</v>
      </c>
      <c r="D23642" s="30" t="s">
        <v>17</v>
      </c>
      <c r="E23642" s="30" t="s">
        <v>18</v>
      </c>
      <c r="F23642" s="30" t="s">
        <v>19</v>
      </c>
      <c r="G23642" s="30" t="s">
        <v>20</v>
      </c>
      <c r="H23642" s="32">
        <v>40</v>
      </c>
      <c r="I23642" s="30" t="s">
        <v>21</v>
      </c>
      <c r="J23642" s="41">
        <v>45889</v>
      </c>
      <c r="K23642" s="30" t="s">
        <v>22</v>
      </c>
    </row>
    <row r="23643" spans="1:11">
      <c r="A23643" s="33" t="s">
        <v>52175</v>
      </c>
      <c r="B23643" s="33" t="s">
        <v>52176</v>
      </c>
      <c r="C23643" s="33" t="s">
        <v>93</v>
      </c>
      <c r="D23643" s="33" t="s">
        <v>17</v>
      </c>
      <c r="E23643" s="33" t="s">
        <v>31</v>
      </c>
      <c r="F23643" s="33" t="s">
        <v>32</v>
      </c>
      <c r="G23643" s="33" t="s">
        <v>140</v>
      </c>
      <c r="H23643" s="35">
        <v>200</v>
      </c>
      <c r="I23643" s="33" t="s">
        <v>51</v>
      </c>
      <c r="J23643" s="42">
        <v>45930</v>
      </c>
      <c r="K23643" s="33" t="s">
        <v>22</v>
      </c>
    </row>
    <row r="23644" spans="1:11">
      <c r="A23644" s="30" t="s">
        <v>52177</v>
      </c>
      <c r="B23644" s="30" t="s">
        <v>52178</v>
      </c>
      <c r="C23644" s="30" t="s">
        <v>28153</v>
      </c>
      <c r="D23644" s="30" t="s">
        <v>17</v>
      </c>
      <c r="E23644" s="30" t="s">
        <v>26</v>
      </c>
      <c r="F23644" s="30" t="s">
        <v>27</v>
      </c>
      <c r="G23644" s="30" t="s">
        <v>140</v>
      </c>
      <c r="H23644" s="32">
        <v>220</v>
      </c>
      <c r="I23644" s="30" t="s">
        <v>51</v>
      </c>
      <c r="J23644" s="41">
        <v>45840</v>
      </c>
      <c r="K23644" s="30" t="s">
        <v>22</v>
      </c>
    </row>
    <row r="23645" spans="1:11">
      <c r="A23645" s="33" t="s">
        <v>52179</v>
      </c>
      <c r="B23645" s="33" t="s">
        <v>52180</v>
      </c>
      <c r="C23645" s="33" t="s">
        <v>5312</v>
      </c>
      <c r="D23645" s="33" t="s">
        <v>17</v>
      </c>
      <c r="E23645" s="33" t="s">
        <v>18</v>
      </c>
      <c r="F23645" s="33" t="s">
        <v>19</v>
      </c>
      <c r="G23645" s="33" t="s">
        <v>140</v>
      </c>
      <c r="H23645" s="35">
        <v>141</v>
      </c>
      <c r="I23645" s="33" t="s">
        <v>51</v>
      </c>
      <c r="J23645" s="42">
        <v>45980</v>
      </c>
      <c r="K23645" s="33" t="s">
        <v>22</v>
      </c>
    </row>
    <row r="23646" spans="1:11">
      <c r="A23646" s="30" t="s">
        <v>52181</v>
      </c>
      <c r="B23646" s="30" t="s">
        <v>52182</v>
      </c>
      <c r="C23646" s="30" t="s">
        <v>310</v>
      </c>
      <c r="D23646" s="30" t="s">
        <v>17</v>
      </c>
      <c r="E23646" s="30" t="s">
        <v>31</v>
      </c>
      <c r="F23646" s="30" t="s">
        <v>32</v>
      </c>
      <c r="G23646" s="30" t="s">
        <v>140</v>
      </c>
      <c r="H23646" s="32">
        <v>200</v>
      </c>
      <c r="I23646" s="30" t="s">
        <v>51</v>
      </c>
      <c r="J23646" s="41">
        <v>45835</v>
      </c>
      <c r="K23646" s="30" t="s">
        <v>22</v>
      </c>
    </row>
    <row r="23647" spans="1:11">
      <c r="A23647" s="33" t="s">
        <v>52183</v>
      </c>
      <c r="B23647" s="33" t="s">
        <v>52184</v>
      </c>
      <c r="C23647" s="33" t="s">
        <v>52185</v>
      </c>
      <c r="D23647" s="33" t="s">
        <v>17</v>
      </c>
      <c r="E23647" s="33" t="s">
        <v>330</v>
      </c>
      <c r="F23647" s="33" t="s">
        <v>331</v>
      </c>
      <c r="G23647" s="33" t="s">
        <v>20</v>
      </c>
      <c r="H23647" s="35">
        <v>55</v>
      </c>
      <c r="I23647" s="33" t="s">
        <v>21</v>
      </c>
      <c r="J23647" s="42">
        <v>45687</v>
      </c>
      <c r="K23647" s="33" t="s">
        <v>22</v>
      </c>
    </row>
    <row r="23648" spans="1:11">
      <c r="A23648" s="30" t="s">
        <v>52186</v>
      </c>
      <c r="B23648" s="30" t="s">
        <v>52187</v>
      </c>
      <c r="C23648" s="30" t="s">
        <v>60</v>
      </c>
      <c r="D23648" s="30" t="s">
        <v>17</v>
      </c>
      <c r="E23648" s="30" t="s">
        <v>26</v>
      </c>
      <c r="F23648" s="30" t="s">
        <v>27</v>
      </c>
      <c r="G23648" s="30" t="s">
        <v>20</v>
      </c>
      <c r="H23648" s="32">
        <v>8</v>
      </c>
      <c r="I23648" s="30" t="s">
        <v>21</v>
      </c>
      <c r="J23648" s="41">
        <v>45737</v>
      </c>
      <c r="K23648" s="30" t="s">
        <v>22</v>
      </c>
    </row>
    <row r="23649" spans="1:11">
      <c r="A23649" s="33" t="s">
        <v>52188</v>
      </c>
      <c r="B23649" s="33" t="s">
        <v>52189</v>
      </c>
      <c r="C23649" s="33" t="s">
        <v>6127</v>
      </c>
      <c r="D23649" s="33" t="s">
        <v>17</v>
      </c>
      <c r="E23649" s="33" t="s">
        <v>18</v>
      </c>
      <c r="F23649" s="33" t="s">
        <v>19</v>
      </c>
      <c r="G23649" s="33" t="s">
        <v>140</v>
      </c>
      <c r="H23649" s="35">
        <v>1250</v>
      </c>
      <c r="I23649" s="33" t="s">
        <v>51</v>
      </c>
      <c r="J23649" s="42">
        <v>45840</v>
      </c>
      <c r="K23649" s="33" t="s">
        <v>22</v>
      </c>
    </row>
    <row r="23650" spans="1:11">
      <c r="A23650" s="30" t="s">
        <v>52190</v>
      </c>
      <c r="B23650" s="30" t="s">
        <v>52191</v>
      </c>
      <c r="C23650" s="30" t="s">
        <v>118</v>
      </c>
      <c r="D23650" s="30" t="s">
        <v>17</v>
      </c>
      <c r="E23650" s="30" t="s">
        <v>18</v>
      </c>
      <c r="F23650" s="30" t="s">
        <v>19</v>
      </c>
      <c r="G23650" s="30" t="s">
        <v>158</v>
      </c>
      <c r="H23650" s="32">
        <v>36</v>
      </c>
      <c r="I23650" s="30" t="s">
        <v>21</v>
      </c>
      <c r="J23650" s="41">
        <v>45838</v>
      </c>
      <c r="K23650" s="30" t="s">
        <v>22</v>
      </c>
    </row>
    <row r="23651" spans="1:11">
      <c r="A23651" s="33" t="s">
        <v>52192</v>
      </c>
      <c r="B23651" s="33" t="s">
        <v>52193</v>
      </c>
      <c r="C23651" s="33" t="s">
        <v>157</v>
      </c>
      <c r="D23651" s="33" t="s">
        <v>17</v>
      </c>
      <c r="E23651" s="33" t="s">
        <v>18</v>
      </c>
      <c r="F23651" s="33" t="s">
        <v>19</v>
      </c>
      <c r="G23651" s="33" t="s">
        <v>140</v>
      </c>
      <c r="H23651" s="35">
        <v>396</v>
      </c>
      <c r="I23651" s="33" t="s">
        <v>51</v>
      </c>
      <c r="J23651" s="42">
        <v>45659</v>
      </c>
      <c r="K23651" s="33" t="s">
        <v>22</v>
      </c>
    </row>
    <row r="23652" spans="1:11">
      <c r="A23652" s="30" t="s">
        <v>52194</v>
      </c>
      <c r="B23652" s="30" t="s">
        <v>52195</v>
      </c>
      <c r="C23652" s="30" t="s">
        <v>1674</v>
      </c>
      <c r="D23652" s="30" t="s">
        <v>17</v>
      </c>
      <c r="E23652" s="30" t="s">
        <v>45</v>
      </c>
      <c r="F23652" s="30" t="s">
        <v>46</v>
      </c>
      <c r="G23652" s="30" t="s">
        <v>140</v>
      </c>
      <c r="H23652" s="32">
        <v>315</v>
      </c>
      <c r="I23652" s="30" t="s">
        <v>51</v>
      </c>
      <c r="J23652" s="41">
        <v>45903</v>
      </c>
      <c r="K23652" s="30" t="s">
        <v>22</v>
      </c>
    </row>
    <row r="23653" spans="1:11">
      <c r="A23653" s="33" t="s">
        <v>52196</v>
      </c>
      <c r="B23653" s="33" t="s">
        <v>52197</v>
      </c>
      <c r="C23653" s="33" t="s">
        <v>30640</v>
      </c>
      <c r="D23653" s="33" t="s">
        <v>17</v>
      </c>
      <c r="E23653" s="33" t="s">
        <v>67</v>
      </c>
      <c r="F23653" s="33" t="s">
        <v>68</v>
      </c>
      <c r="G23653" s="33" t="s">
        <v>140</v>
      </c>
      <c r="H23653" s="35">
        <v>261</v>
      </c>
      <c r="I23653" s="33" t="s">
        <v>51</v>
      </c>
      <c r="J23653" s="42">
        <v>45859</v>
      </c>
      <c r="K23653" s="33" t="s">
        <v>22</v>
      </c>
    </row>
    <row r="23654" spans="1:11">
      <c r="A23654" s="30" t="s">
        <v>52198</v>
      </c>
      <c r="B23654" s="30" t="s">
        <v>52199</v>
      </c>
      <c r="C23654" s="30" t="s">
        <v>52014</v>
      </c>
      <c r="D23654" s="30" t="s">
        <v>17</v>
      </c>
      <c r="E23654" s="30" t="s">
        <v>18</v>
      </c>
      <c r="F23654" s="30" t="s">
        <v>19</v>
      </c>
      <c r="G23654" s="30" t="s">
        <v>140</v>
      </c>
      <c r="H23654" s="32">
        <v>312</v>
      </c>
      <c r="I23654" s="30" t="s">
        <v>51</v>
      </c>
      <c r="J23654" s="41">
        <v>45685</v>
      </c>
      <c r="K23654" s="30" t="s">
        <v>22</v>
      </c>
    </row>
    <row r="23655" spans="1:11">
      <c r="A23655" s="33" t="s">
        <v>52200</v>
      </c>
      <c r="B23655" s="33" t="s">
        <v>52201</v>
      </c>
      <c r="C23655" s="33" t="s">
        <v>34089</v>
      </c>
      <c r="D23655" s="33" t="s">
        <v>17</v>
      </c>
      <c r="E23655" s="33" t="s">
        <v>45</v>
      </c>
      <c r="F23655" s="33" t="s">
        <v>46</v>
      </c>
      <c r="G23655" s="33" t="s">
        <v>158</v>
      </c>
      <c r="H23655" s="35">
        <v>1054</v>
      </c>
      <c r="I23655" s="33" t="s">
        <v>21</v>
      </c>
      <c r="J23655" s="42">
        <v>45763</v>
      </c>
      <c r="K23655" s="33" t="s">
        <v>22</v>
      </c>
    </row>
    <row r="23656" spans="1:11">
      <c r="A23656" s="30" t="s">
        <v>52202</v>
      </c>
      <c r="B23656" s="30" t="s">
        <v>52203</v>
      </c>
      <c r="C23656" s="30" t="s">
        <v>50407</v>
      </c>
      <c r="D23656" s="30" t="s">
        <v>17</v>
      </c>
      <c r="E23656" s="30" t="s">
        <v>26</v>
      </c>
      <c r="F23656" s="30" t="s">
        <v>27</v>
      </c>
      <c r="G23656" s="30" t="s">
        <v>7780</v>
      </c>
      <c r="H23656" s="32">
        <v>58</v>
      </c>
      <c r="I23656" s="30" t="s">
        <v>51</v>
      </c>
      <c r="J23656" s="41">
        <v>45877</v>
      </c>
      <c r="K23656" s="30" t="s">
        <v>22</v>
      </c>
    </row>
    <row r="23657" spans="1:11">
      <c r="A23657" s="33" t="s">
        <v>52204</v>
      </c>
      <c r="B23657" s="33" t="s">
        <v>52205</v>
      </c>
      <c r="C23657" s="33" t="s">
        <v>52206</v>
      </c>
      <c r="D23657" s="33" t="s">
        <v>17</v>
      </c>
      <c r="E23657" s="33" t="s">
        <v>26</v>
      </c>
      <c r="F23657" s="33" t="s">
        <v>27</v>
      </c>
      <c r="G23657" s="33" t="s">
        <v>140</v>
      </c>
      <c r="H23657" s="35">
        <v>12</v>
      </c>
      <c r="I23657" s="33" t="s">
        <v>51</v>
      </c>
      <c r="J23657" s="42">
        <v>45853</v>
      </c>
      <c r="K23657" s="33" t="s">
        <v>22</v>
      </c>
    </row>
    <row r="23658" spans="1:11">
      <c r="A23658" s="30" t="s">
        <v>52207</v>
      </c>
      <c r="B23658" s="30" t="s">
        <v>52208</v>
      </c>
      <c r="C23658" s="30" t="s">
        <v>190</v>
      </c>
      <c r="D23658" s="30" t="s">
        <v>17</v>
      </c>
      <c r="E23658" s="30" t="s">
        <v>31</v>
      </c>
      <c r="F23658" s="30" t="s">
        <v>32</v>
      </c>
      <c r="G23658" s="30" t="s">
        <v>20</v>
      </c>
      <c r="H23658" s="32">
        <v>118</v>
      </c>
      <c r="I23658" s="30" t="s">
        <v>21</v>
      </c>
      <c r="J23658" s="41">
        <v>45698</v>
      </c>
      <c r="K23658" s="30" t="s">
        <v>22</v>
      </c>
    </row>
    <row r="23659" spans="1:11">
      <c r="A23659" s="33" t="s">
        <v>52209</v>
      </c>
      <c r="B23659" s="33" t="s">
        <v>52210</v>
      </c>
      <c r="C23659" s="33" t="s">
        <v>310</v>
      </c>
      <c r="D23659" s="33" t="s">
        <v>17</v>
      </c>
      <c r="E23659" s="33" t="s">
        <v>26</v>
      </c>
      <c r="F23659" s="33" t="s">
        <v>27</v>
      </c>
      <c r="G23659" s="33" t="s">
        <v>20</v>
      </c>
      <c r="H23659" s="35">
        <v>116</v>
      </c>
      <c r="I23659" s="33" t="s">
        <v>21</v>
      </c>
      <c r="J23659" s="42">
        <v>45821</v>
      </c>
      <c r="K23659" s="33" t="s">
        <v>22</v>
      </c>
    </row>
    <row r="23660" spans="1:11">
      <c r="A23660" s="30" t="s">
        <v>52211</v>
      </c>
      <c r="B23660" s="30" t="s">
        <v>52212</v>
      </c>
      <c r="C23660" s="30" t="s">
        <v>24363</v>
      </c>
      <c r="D23660" s="30" t="s">
        <v>17</v>
      </c>
      <c r="E23660" s="30" t="s">
        <v>26</v>
      </c>
      <c r="F23660" s="30" t="s">
        <v>27</v>
      </c>
      <c r="G23660" s="30" t="s">
        <v>140</v>
      </c>
      <c r="H23660" s="32">
        <v>32</v>
      </c>
      <c r="I23660" s="30" t="s">
        <v>51</v>
      </c>
      <c r="J23660" s="41">
        <v>45862</v>
      </c>
      <c r="K23660" s="30" t="s">
        <v>22</v>
      </c>
    </row>
    <row r="23661" spans="1:11">
      <c r="A23661" s="33" t="s">
        <v>52213</v>
      </c>
      <c r="B23661" s="33" t="s">
        <v>52214</v>
      </c>
      <c r="C23661" s="33" t="s">
        <v>203</v>
      </c>
      <c r="D23661" s="33" t="s">
        <v>17</v>
      </c>
      <c r="E23661" s="33" t="s">
        <v>31</v>
      </c>
      <c r="F23661" s="33" t="s">
        <v>32</v>
      </c>
      <c r="G23661" s="33" t="s">
        <v>140</v>
      </c>
      <c r="H23661" s="35">
        <v>208</v>
      </c>
      <c r="I23661" s="33" t="s">
        <v>51</v>
      </c>
      <c r="J23661" s="42">
        <v>45967</v>
      </c>
      <c r="K23661" s="33" t="s">
        <v>22</v>
      </c>
    </row>
    <row r="23662" spans="1:11">
      <c r="A23662" s="30" t="s">
        <v>52215</v>
      </c>
      <c r="B23662" s="30" t="s">
        <v>52216</v>
      </c>
      <c r="C23662" s="30" t="s">
        <v>7072</v>
      </c>
      <c r="D23662" s="30" t="s">
        <v>17</v>
      </c>
      <c r="E23662" s="30" t="s">
        <v>26</v>
      </c>
      <c r="F23662" s="30" t="s">
        <v>27</v>
      </c>
      <c r="G23662" s="30" t="s">
        <v>140</v>
      </c>
      <c r="H23662" s="32">
        <v>126</v>
      </c>
      <c r="I23662" s="30" t="s">
        <v>51</v>
      </c>
      <c r="J23662" s="41">
        <v>45693</v>
      </c>
      <c r="K23662" s="30" t="s">
        <v>22</v>
      </c>
    </row>
    <row r="23663" spans="1:11">
      <c r="A23663" s="33" t="s">
        <v>52217</v>
      </c>
      <c r="B23663" s="33" t="s">
        <v>52218</v>
      </c>
      <c r="C23663" s="33" t="s">
        <v>190</v>
      </c>
      <c r="D23663" s="33" t="s">
        <v>17</v>
      </c>
      <c r="E23663" s="33" t="s">
        <v>31</v>
      </c>
      <c r="F23663" s="33" t="s">
        <v>32</v>
      </c>
      <c r="G23663" s="33" t="s">
        <v>158</v>
      </c>
      <c r="H23663" s="35">
        <v>69</v>
      </c>
      <c r="I23663" s="33" t="s">
        <v>21</v>
      </c>
      <c r="J23663" s="42">
        <v>45728</v>
      </c>
      <c r="K23663" s="33" t="s">
        <v>22</v>
      </c>
    </row>
    <row r="23664" spans="1:11">
      <c r="A23664" s="30" t="s">
        <v>52219</v>
      </c>
      <c r="B23664" s="30" t="s">
        <v>52220</v>
      </c>
      <c r="C23664" s="30" t="s">
        <v>14755</v>
      </c>
      <c r="D23664" s="30" t="s">
        <v>17</v>
      </c>
      <c r="E23664" s="30" t="s">
        <v>67</v>
      </c>
      <c r="F23664" s="30" t="s">
        <v>68</v>
      </c>
      <c r="G23664" s="30" t="s">
        <v>140</v>
      </c>
      <c r="H23664" s="32">
        <v>27</v>
      </c>
      <c r="I23664" s="30" t="s">
        <v>51</v>
      </c>
      <c r="J23664" s="41">
        <v>45995</v>
      </c>
      <c r="K23664" s="30" t="s">
        <v>22</v>
      </c>
    </row>
    <row r="23665" spans="1:11">
      <c r="A23665" s="33" t="s">
        <v>52221</v>
      </c>
      <c r="B23665" s="33" t="s">
        <v>52222</v>
      </c>
      <c r="C23665" s="33" t="s">
        <v>43457</v>
      </c>
      <c r="D23665" s="33" t="s">
        <v>17</v>
      </c>
      <c r="E23665" s="33" t="s">
        <v>26</v>
      </c>
      <c r="F23665" s="33" t="s">
        <v>27</v>
      </c>
      <c r="G23665" s="33" t="s">
        <v>140</v>
      </c>
      <c r="H23665" s="35">
        <v>10</v>
      </c>
      <c r="I23665" s="33" t="s">
        <v>51</v>
      </c>
      <c r="J23665" s="42">
        <v>45952</v>
      </c>
      <c r="K23665" s="33" t="s">
        <v>22</v>
      </c>
    </row>
    <row r="23666" spans="1:11">
      <c r="A23666" s="30" t="s">
        <v>52223</v>
      </c>
      <c r="B23666" s="30" t="s">
        <v>52224</v>
      </c>
      <c r="C23666" s="30" t="s">
        <v>570</v>
      </c>
      <c r="D23666" s="30" t="s">
        <v>17</v>
      </c>
      <c r="E23666" s="30" t="s">
        <v>26</v>
      </c>
      <c r="F23666" s="30" t="s">
        <v>27</v>
      </c>
      <c r="G23666" s="30" t="s">
        <v>7780</v>
      </c>
      <c r="H23666" s="32">
        <v>178</v>
      </c>
      <c r="I23666" s="30" t="s">
        <v>51</v>
      </c>
      <c r="J23666" s="41">
        <v>46013</v>
      </c>
      <c r="K23666" s="30" t="s">
        <v>22</v>
      </c>
    </row>
    <row r="23667" spans="1:11">
      <c r="A23667" s="33" t="s">
        <v>52225</v>
      </c>
      <c r="B23667" s="33" t="s">
        <v>52226</v>
      </c>
      <c r="C23667" s="33" t="s">
        <v>647</v>
      </c>
      <c r="D23667" s="33" t="s">
        <v>17</v>
      </c>
      <c r="E23667" s="33" t="s">
        <v>26</v>
      </c>
      <c r="F23667" s="33" t="s">
        <v>27</v>
      </c>
      <c r="G23667" s="33" t="s">
        <v>140</v>
      </c>
      <c r="H23667" s="35">
        <v>250</v>
      </c>
      <c r="I23667" s="33" t="s">
        <v>51</v>
      </c>
      <c r="J23667" s="42">
        <v>46007</v>
      </c>
      <c r="K23667" s="33" t="s">
        <v>22</v>
      </c>
    </row>
    <row r="23668" spans="1:11">
      <c r="A23668" s="30" t="s">
        <v>52227</v>
      </c>
      <c r="B23668" s="30" t="s">
        <v>52228</v>
      </c>
      <c r="C23668" s="30" t="s">
        <v>1770</v>
      </c>
      <c r="D23668" s="30" t="s">
        <v>17</v>
      </c>
      <c r="E23668" s="30" t="s">
        <v>26</v>
      </c>
      <c r="F23668" s="30" t="s">
        <v>27</v>
      </c>
      <c r="G23668" s="30" t="s">
        <v>20</v>
      </c>
      <c r="H23668" s="32">
        <v>37</v>
      </c>
      <c r="I23668" s="30" t="s">
        <v>21</v>
      </c>
      <c r="J23668" s="41">
        <v>45860</v>
      </c>
      <c r="K23668" s="30" t="s">
        <v>22</v>
      </c>
    </row>
    <row r="23669" spans="1:11">
      <c r="A23669" s="33" t="s">
        <v>52229</v>
      </c>
      <c r="B23669" s="33" t="s">
        <v>52230</v>
      </c>
      <c r="C23669" s="33" t="s">
        <v>3964</v>
      </c>
      <c r="D23669" s="33" t="s">
        <v>17</v>
      </c>
      <c r="E23669" s="33" t="s">
        <v>18</v>
      </c>
      <c r="F23669" s="33" t="s">
        <v>19</v>
      </c>
      <c r="G23669" s="33" t="s">
        <v>140</v>
      </c>
      <c r="H23669" s="35">
        <v>446</v>
      </c>
      <c r="I23669" s="33" t="s">
        <v>51</v>
      </c>
      <c r="J23669" s="42">
        <v>45783</v>
      </c>
      <c r="K23669" s="33" t="s">
        <v>22</v>
      </c>
    </row>
    <row r="23670" spans="1:11">
      <c r="A23670" s="30" t="s">
        <v>52231</v>
      </c>
      <c r="B23670" s="30" t="s">
        <v>52232</v>
      </c>
      <c r="C23670" s="30" t="s">
        <v>1674</v>
      </c>
      <c r="D23670" s="30" t="s">
        <v>17</v>
      </c>
      <c r="E23670" s="30" t="s">
        <v>18</v>
      </c>
      <c r="F23670" s="30" t="s">
        <v>19</v>
      </c>
      <c r="G23670" s="30" t="s">
        <v>140</v>
      </c>
      <c r="H23670" s="32">
        <v>180</v>
      </c>
      <c r="I23670" s="30" t="s">
        <v>51</v>
      </c>
      <c r="J23670" s="41">
        <v>45916</v>
      </c>
      <c r="K23670" s="30" t="s">
        <v>22</v>
      </c>
    </row>
    <row r="23671" spans="1:11">
      <c r="A23671" s="33" t="s">
        <v>52233</v>
      </c>
      <c r="B23671" s="33" t="s">
        <v>52234</v>
      </c>
      <c r="C23671" s="33" t="s">
        <v>44371</v>
      </c>
      <c r="D23671" s="33" t="s">
        <v>17</v>
      </c>
      <c r="E23671" s="33" t="s">
        <v>26</v>
      </c>
      <c r="F23671" s="33" t="s">
        <v>27</v>
      </c>
      <c r="G23671" s="33" t="s">
        <v>140</v>
      </c>
      <c r="H23671" s="35">
        <v>665</v>
      </c>
      <c r="I23671" s="33" t="s">
        <v>51</v>
      </c>
      <c r="J23671" s="42">
        <v>45747</v>
      </c>
      <c r="K23671" s="33" t="s">
        <v>22</v>
      </c>
    </row>
    <row r="23672" spans="1:11">
      <c r="A23672" s="30" t="s">
        <v>52235</v>
      </c>
      <c r="B23672" s="30" t="s">
        <v>52236</v>
      </c>
      <c r="C23672" s="30" t="s">
        <v>52237</v>
      </c>
      <c r="D23672" s="30" t="s">
        <v>17</v>
      </c>
      <c r="E23672" s="30" t="s">
        <v>31</v>
      </c>
      <c r="F23672" s="30" t="s">
        <v>32</v>
      </c>
      <c r="G23672" s="30" t="s">
        <v>112</v>
      </c>
      <c r="H23672" s="32">
        <v>0</v>
      </c>
      <c r="I23672" s="30" t="s">
        <v>21</v>
      </c>
      <c r="J23672" s="41">
        <v>45819</v>
      </c>
      <c r="K23672" s="30" t="s">
        <v>22</v>
      </c>
    </row>
    <row r="23673" spans="1:11">
      <c r="A23673" s="33" t="s">
        <v>52238</v>
      </c>
      <c r="B23673" s="33" t="s">
        <v>52239</v>
      </c>
      <c r="C23673" s="33" t="s">
        <v>10028</v>
      </c>
      <c r="D23673" s="33" t="s">
        <v>17</v>
      </c>
      <c r="E23673" s="33" t="s">
        <v>31</v>
      </c>
      <c r="F23673" s="33" t="s">
        <v>32</v>
      </c>
      <c r="G23673" s="33" t="s">
        <v>140</v>
      </c>
      <c r="H23673" s="35">
        <v>126</v>
      </c>
      <c r="I23673" s="33" t="s">
        <v>51</v>
      </c>
      <c r="J23673" s="42">
        <v>45799</v>
      </c>
      <c r="K23673" s="33" t="s">
        <v>22</v>
      </c>
    </row>
    <row r="23674" spans="1:11">
      <c r="A23674" s="30" t="s">
        <v>52240</v>
      </c>
      <c r="B23674" s="30" t="s">
        <v>52241</v>
      </c>
      <c r="C23674" s="30" t="s">
        <v>190</v>
      </c>
      <c r="D23674" s="30" t="s">
        <v>17</v>
      </c>
      <c r="E23674" s="30" t="s">
        <v>31</v>
      </c>
      <c r="F23674" s="30" t="s">
        <v>32</v>
      </c>
      <c r="G23674" s="30" t="s">
        <v>140</v>
      </c>
      <c r="H23674" s="32">
        <v>230</v>
      </c>
      <c r="I23674" s="30" t="s">
        <v>51</v>
      </c>
      <c r="J23674" s="41">
        <v>46001</v>
      </c>
      <c r="K23674" s="30" t="s">
        <v>22</v>
      </c>
    </row>
    <row r="23675" spans="1:11">
      <c r="A23675" s="33" t="s">
        <v>52242</v>
      </c>
      <c r="B23675" s="33" t="s">
        <v>52243</v>
      </c>
      <c r="C23675" s="33" t="s">
        <v>203</v>
      </c>
      <c r="D23675" s="33" t="s">
        <v>17</v>
      </c>
      <c r="E23675" s="33" t="s">
        <v>18</v>
      </c>
      <c r="F23675" s="33" t="s">
        <v>19</v>
      </c>
      <c r="G23675" s="33" t="s">
        <v>158</v>
      </c>
      <c r="H23675" s="35">
        <v>216</v>
      </c>
      <c r="I23675" s="33" t="s">
        <v>21</v>
      </c>
      <c r="J23675" s="42">
        <v>45694</v>
      </c>
      <c r="K23675" s="33" t="s">
        <v>22</v>
      </c>
    </row>
    <row r="23676" spans="1:11">
      <c r="A23676" s="30" t="s">
        <v>52244</v>
      </c>
      <c r="B23676" s="30" t="s">
        <v>52245</v>
      </c>
      <c r="C23676" s="30" t="s">
        <v>37789</v>
      </c>
      <c r="D23676" s="30" t="s">
        <v>17</v>
      </c>
      <c r="E23676" s="30" t="s">
        <v>26</v>
      </c>
      <c r="F23676" s="30" t="s">
        <v>27</v>
      </c>
      <c r="G23676" s="30" t="s">
        <v>140</v>
      </c>
      <c r="H23676" s="32">
        <v>96</v>
      </c>
      <c r="I23676" s="30" t="s">
        <v>51</v>
      </c>
      <c r="J23676" s="41">
        <v>45714</v>
      </c>
      <c r="K23676" s="30" t="s">
        <v>22</v>
      </c>
    </row>
    <row r="23677" spans="1:11">
      <c r="A23677" s="33" t="s">
        <v>52246</v>
      </c>
      <c r="B23677" s="33" t="s">
        <v>52247</v>
      </c>
      <c r="C23677" s="33" t="s">
        <v>6127</v>
      </c>
      <c r="D23677" s="33" t="s">
        <v>17</v>
      </c>
      <c r="E23677" s="33" t="s">
        <v>18</v>
      </c>
      <c r="F23677" s="33" t="s">
        <v>19</v>
      </c>
      <c r="G23677" s="33" t="s">
        <v>140</v>
      </c>
      <c r="H23677" s="35">
        <v>125</v>
      </c>
      <c r="I23677" s="33" t="s">
        <v>51</v>
      </c>
      <c r="J23677" s="42">
        <v>46003</v>
      </c>
      <c r="K23677" s="33" t="s">
        <v>22</v>
      </c>
    </row>
    <row r="23678" spans="1:11">
      <c r="A23678" s="30" t="s">
        <v>52248</v>
      </c>
      <c r="B23678" s="30" t="s">
        <v>52249</v>
      </c>
      <c r="C23678" s="30" t="s">
        <v>13181</v>
      </c>
      <c r="D23678" s="30" t="s">
        <v>17</v>
      </c>
      <c r="E23678" s="30" t="s">
        <v>26</v>
      </c>
      <c r="F23678" s="30" t="s">
        <v>27</v>
      </c>
      <c r="G23678" s="30" t="s">
        <v>140</v>
      </c>
      <c r="H23678" s="32">
        <v>136</v>
      </c>
      <c r="I23678" s="30" t="s">
        <v>51</v>
      </c>
      <c r="J23678" s="41">
        <v>45792</v>
      </c>
      <c r="K23678" s="30" t="s">
        <v>22</v>
      </c>
    </row>
    <row r="23679" spans="1:11">
      <c r="A23679" s="33" t="s">
        <v>52250</v>
      </c>
      <c r="B23679" s="33" t="s">
        <v>52251</v>
      </c>
      <c r="C23679" s="33" t="s">
        <v>1250</v>
      </c>
      <c r="D23679" s="33" t="s">
        <v>17</v>
      </c>
      <c r="E23679" s="33" t="s">
        <v>26</v>
      </c>
      <c r="F23679" s="33" t="s">
        <v>27</v>
      </c>
      <c r="G23679" s="33" t="s">
        <v>20</v>
      </c>
      <c r="H23679" s="35">
        <v>40</v>
      </c>
      <c r="I23679" s="33" t="s">
        <v>21</v>
      </c>
      <c r="J23679" s="42">
        <v>45688</v>
      </c>
      <c r="K23679" s="33" t="s">
        <v>22</v>
      </c>
    </row>
    <row r="23680" spans="1:11">
      <c r="A23680" s="30" t="s">
        <v>52252</v>
      </c>
      <c r="B23680" s="30" t="s">
        <v>52253</v>
      </c>
      <c r="C23680" s="30" t="s">
        <v>318</v>
      </c>
      <c r="D23680" s="30" t="s">
        <v>17</v>
      </c>
      <c r="E23680" s="30" t="s">
        <v>26</v>
      </c>
      <c r="F23680" s="30" t="s">
        <v>27</v>
      </c>
      <c r="G23680" s="30" t="s">
        <v>140</v>
      </c>
      <c r="H23680" s="32">
        <v>434</v>
      </c>
      <c r="I23680" s="30" t="s">
        <v>51</v>
      </c>
      <c r="J23680" s="41">
        <v>45869</v>
      </c>
      <c r="K23680" s="30" t="s">
        <v>22</v>
      </c>
    </row>
    <row r="23681" spans="1:11">
      <c r="A23681" s="33" t="s">
        <v>52254</v>
      </c>
      <c r="B23681" s="33" t="s">
        <v>52255</v>
      </c>
      <c r="C23681" s="33" t="s">
        <v>52256</v>
      </c>
      <c r="D23681" s="33" t="s">
        <v>17</v>
      </c>
      <c r="E23681" s="33" t="s">
        <v>26</v>
      </c>
      <c r="F23681" s="33" t="s">
        <v>27</v>
      </c>
      <c r="G23681" s="33" t="s">
        <v>140</v>
      </c>
      <c r="H23681" s="35">
        <v>22</v>
      </c>
      <c r="I23681" s="33" t="s">
        <v>51</v>
      </c>
      <c r="J23681" s="42">
        <v>45864</v>
      </c>
      <c r="K23681" s="33" t="s">
        <v>22</v>
      </c>
    </row>
    <row r="23682" spans="1:11">
      <c r="A23682" s="30" t="s">
        <v>52257</v>
      </c>
      <c r="B23682" s="30" t="s">
        <v>52258</v>
      </c>
      <c r="C23682" s="30" t="s">
        <v>379</v>
      </c>
      <c r="D23682" s="30" t="s">
        <v>17</v>
      </c>
      <c r="E23682" s="30" t="s">
        <v>31</v>
      </c>
      <c r="F23682" s="30" t="s">
        <v>32</v>
      </c>
      <c r="G23682" s="30" t="s">
        <v>158</v>
      </c>
      <c r="H23682" s="32">
        <v>26</v>
      </c>
      <c r="I23682" s="30" t="s">
        <v>51</v>
      </c>
      <c r="J23682" s="41">
        <v>45832</v>
      </c>
      <c r="K23682" s="30" t="s">
        <v>22</v>
      </c>
    </row>
    <row r="23683" spans="1:11">
      <c r="A23683" s="33" t="s">
        <v>52259</v>
      </c>
      <c r="B23683" s="33" t="s">
        <v>52260</v>
      </c>
      <c r="C23683" s="33" t="s">
        <v>847</v>
      </c>
      <c r="D23683" s="33" t="s">
        <v>17</v>
      </c>
      <c r="E23683" s="33" t="s">
        <v>26</v>
      </c>
      <c r="F23683" s="33" t="s">
        <v>27</v>
      </c>
      <c r="G23683" s="33" t="s">
        <v>140</v>
      </c>
      <c r="H23683" s="35">
        <v>10</v>
      </c>
      <c r="I23683" s="33" t="s">
        <v>51</v>
      </c>
      <c r="J23683" s="42">
        <v>45994</v>
      </c>
      <c r="K23683" s="33" t="s">
        <v>22</v>
      </c>
    </row>
    <row r="23684" spans="1:11">
      <c r="A23684" s="30" t="s">
        <v>52261</v>
      </c>
      <c r="B23684" s="30" t="s">
        <v>52262</v>
      </c>
      <c r="C23684" s="30" t="s">
        <v>647</v>
      </c>
      <c r="D23684" s="30" t="s">
        <v>17</v>
      </c>
      <c r="E23684" s="30" t="s">
        <v>31</v>
      </c>
      <c r="F23684" s="30" t="s">
        <v>32</v>
      </c>
      <c r="G23684" s="30" t="s">
        <v>140</v>
      </c>
      <c r="H23684" s="32">
        <v>160</v>
      </c>
      <c r="I23684" s="30" t="s">
        <v>51</v>
      </c>
      <c r="J23684" s="41">
        <v>45806</v>
      </c>
      <c r="K23684" s="30" t="s">
        <v>22</v>
      </c>
    </row>
    <row r="23685" spans="1:11">
      <c r="A23685" s="33" t="s">
        <v>52263</v>
      </c>
      <c r="B23685" s="33" t="s">
        <v>52264</v>
      </c>
      <c r="C23685" s="33" t="s">
        <v>40342</v>
      </c>
      <c r="D23685" s="33" t="s">
        <v>17</v>
      </c>
      <c r="E23685" s="33" t="s">
        <v>67</v>
      </c>
      <c r="F23685" s="33" t="s">
        <v>68</v>
      </c>
      <c r="G23685" s="33" t="s">
        <v>140</v>
      </c>
      <c r="H23685" s="35">
        <v>235</v>
      </c>
      <c r="I23685" s="33" t="s">
        <v>51</v>
      </c>
      <c r="J23685" s="42">
        <v>45931</v>
      </c>
      <c r="K23685" s="33" t="s">
        <v>22</v>
      </c>
    </row>
    <row r="23686" spans="1:11">
      <c r="A23686" s="30" t="s">
        <v>52265</v>
      </c>
      <c r="B23686" s="30" t="s">
        <v>52266</v>
      </c>
      <c r="C23686" s="30" t="s">
        <v>1151</v>
      </c>
      <c r="D23686" s="30" t="s">
        <v>17</v>
      </c>
      <c r="E23686" s="30" t="s">
        <v>67</v>
      </c>
      <c r="F23686" s="30" t="s">
        <v>68</v>
      </c>
      <c r="G23686" s="30" t="s">
        <v>140</v>
      </c>
      <c r="H23686" s="32">
        <v>78</v>
      </c>
      <c r="I23686" s="30" t="s">
        <v>51</v>
      </c>
      <c r="J23686" s="41">
        <v>46013</v>
      </c>
      <c r="K23686" s="30" t="s">
        <v>22</v>
      </c>
    </row>
    <row r="23687" spans="1:11">
      <c r="A23687" s="33" t="s">
        <v>52267</v>
      </c>
      <c r="B23687" s="33" t="s">
        <v>52268</v>
      </c>
      <c r="C23687" s="33" t="s">
        <v>52269</v>
      </c>
      <c r="D23687" s="33" t="s">
        <v>17</v>
      </c>
      <c r="E23687" s="33" t="s">
        <v>26</v>
      </c>
      <c r="F23687" s="33" t="s">
        <v>27</v>
      </c>
      <c r="G23687" s="33" t="s">
        <v>140</v>
      </c>
      <c r="H23687" s="35">
        <v>72</v>
      </c>
      <c r="I23687" s="33" t="s">
        <v>51</v>
      </c>
      <c r="J23687" s="42">
        <v>45973</v>
      </c>
      <c r="K23687" s="33" t="s">
        <v>22</v>
      </c>
    </row>
    <row r="23688" spans="1:11">
      <c r="A23688" s="30" t="s">
        <v>52270</v>
      </c>
      <c r="B23688" s="30" t="s">
        <v>52271</v>
      </c>
      <c r="C23688" s="30" t="s">
        <v>193</v>
      </c>
      <c r="D23688" s="30" t="s">
        <v>17</v>
      </c>
      <c r="E23688" s="30" t="s">
        <v>31</v>
      </c>
      <c r="F23688" s="30" t="s">
        <v>32</v>
      </c>
      <c r="G23688" s="30" t="s">
        <v>106</v>
      </c>
      <c r="H23688" s="32">
        <v>6</v>
      </c>
      <c r="I23688" s="30" t="s">
        <v>21</v>
      </c>
      <c r="J23688" s="41">
        <v>45811</v>
      </c>
      <c r="K23688" s="30" t="s">
        <v>22</v>
      </c>
    </row>
    <row r="23689" spans="1:11">
      <c r="A23689" s="33" t="s">
        <v>52272</v>
      </c>
      <c r="B23689" s="33" t="s">
        <v>52273</v>
      </c>
      <c r="C23689" s="33" t="s">
        <v>231</v>
      </c>
      <c r="D23689" s="33" t="s">
        <v>17</v>
      </c>
      <c r="E23689" s="33" t="s">
        <v>67</v>
      </c>
      <c r="F23689" s="33" t="s">
        <v>68</v>
      </c>
      <c r="G23689" s="33" t="s">
        <v>158</v>
      </c>
      <c r="H23689" s="35">
        <v>5</v>
      </c>
      <c r="I23689" s="33" t="s">
        <v>21</v>
      </c>
      <c r="J23689" s="42">
        <v>45797</v>
      </c>
      <c r="K23689" s="33" t="s">
        <v>22</v>
      </c>
    </row>
    <row r="23690" spans="1:11">
      <c r="A23690" s="30" t="s">
        <v>52274</v>
      </c>
      <c r="B23690" s="30" t="s">
        <v>52275</v>
      </c>
      <c r="C23690" s="30" t="s">
        <v>52276</v>
      </c>
      <c r="D23690" s="30" t="s">
        <v>17</v>
      </c>
      <c r="E23690" s="30" t="s">
        <v>31</v>
      </c>
      <c r="F23690" s="30" t="s">
        <v>32</v>
      </c>
      <c r="G23690" s="30" t="s">
        <v>158</v>
      </c>
      <c r="H23690" s="32">
        <v>95</v>
      </c>
      <c r="I23690" s="30" t="s">
        <v>21</v>
      </c>
      <c r="J23690" s="41">
        <v>45895</v>
      </c>
      <c r="K23690" s="30" t="s">
        <v>22</v>
      </c>
    </row>
    <row r="23691" spans="1:11">
      <c r="A23691" s="33" t="s">
        <v>52277</v>
      </c>
      <c r="B23691" s="33" t="s">
        <v>52278</v>
      </c>
      <c r="C23691" s="33" t="s">
        <v>626</v>
      </c>
      <c r="D23691" s="33" t="s">
        <v>17</v>
      </c>
      <c r="E23691" s="33" t="s">
        <v>18</v>
      </c>
      <c r="F23691" s="33" t="s">
        <v>19</v>
      </c>
      <c r="G23691" s="33" t="s">
        <v>140</v>
      </c>
      <c r="H23691" s="35">
        <v>150</v>
      </c>
      <c r="I23691" s="33" t="s">
        <v>51</v>
      </c>
      <c r="J23691" s="42">
        <v>45968</v>
      </c>
      <c r="K23691" s="33" t="s">
        <v>22</v>
      </c>
    </row>
    <row r="23692" spans="1:11">
      <c r="A23692" s="30" t="s">
        <v>52279</v>
      </c>
      <c r="B23692" s="30" t="s">
        <v>52280</v>
      </c>
      <c r="C23692" s="30" t="s">
        <v>2313</v>
      </c>
      <c r="D23692" s="30" t="s">
        <v>17</v>
      </c>
      <c r="E23692" s="30" t="s">
        <v>67</v>
      </c>
      <c r="F23692" s="30" t="s">
        <v>68</v>
      </c>
      <c r="G23692" s="30" t="s">
        <v>158</v>
      </c>
      <c r="H23692" s="32">
        <v>24</v>
      </c>
      <c r="I23692" s="30" t="s">
        <v>51</v>
      </c>
      <c r="J23692" s="41">
        <v>45747</v>
      </c>
      <c r="K23692" s="30" t="s">
        <v>22</v>
      </c>
    </row>
    <row r="23693" spans="1:11">
      <c r="A23693" s="33" t="s">
        <v>52281</v>
      </c>
      <c r="B23693" s="33" t="s">
        <v>52282</v>
      </c>
      <c r="C23693" s="33" t="s">
        <v>3647</v>
      </c>
      <c r="D23693" s="33" t="s">
        <v>17</v>
      </c>
      <c r="E23693" s="33" t="s">
        <v>31</v>
      </c>
      <c r="F23693" s="33" t="s">
        <v>32</v>
      </c>
      <c r="G23693" s="33" t="s">
        <v>20</v>
      </c>
      <c r="H23693" s="35">
        <v>50</v>
      </c>
      <c r="I23693" s="33" t="s">
        <v>21</v>
      </c>
      <c r="J23693" s="42">
        <v>45744</v>
      </c>
      <c r="K23693" s="33" t="s">
        <v>22</v>
      </c>
    </row>
    <row r="23694" spans="1:11">
      <c r="A23694" s="30" t="s">
        <v>52283</v>
      </c>
      <c r="B23694" s="30" t="s">
        <v>52284</v>
      </c>
      <c r="C23694" s="30" t="s">
        <v>52285</v>
      </c>
      <c r="D23694" s="30" t="s">
        <v>17</v>
      </c>
      <c r="E23694" s="30" t="s">
        <v>67</v>
      </c>
      <c r="F23694" s="30" t="s">
        <v>68</v>
      </c>
      <c r="G23694" s="30" t="s">
        <v>7780</v>
      </c>
      <c r="H23694" s="32">
        <v>143</v>
      </c>
      <c r="I23694" s="30" t="s">
        <v>51</v>
      </c>
      <c r="J23694" s="41">
        <v>45992</v>
      </c>
      <c r="K23694" s="30" t="s">
        <v>22</v>
      </c>
    </row>
    <row r="23695" spans="1:11">
      <c r="A23695" s="33" t="s">
        <v>52286</v>
      </c>
      <c r="B23695" s="33" t="s">
        <v>52287</v>
      </c>
      <c r="C23695" s="33" t="s">
        <v>154</v>
      </c>
      <c r="D23695" s="33" t="s">
        <v>17</v>
      </c>
      <c r="E23695" s="33" t="s">
        <v>31</v>
      </c>
      <c r="F23695" s="33" t="s">
        <v>32</v>
      </c>
      <c r="G23695" s="33" t="s">
        <v>106</v>
      </c>
      <c r="H23695" s="35">
        <v>49</v>
      </c>
      <c r="I23695" s="33" t="s">
        <v>21</v>
      </c>
      <c r="J23695" s="42">
        <v>45890</v>
      </c>
      <c r="K23695" s="33" t="s">
        <v>22</v>
      </c>
    </row>
    <row r="23696" spans="1:11">
      <c r="A23696" s="30" t="s">
        <v>52288</v>
      </c>
      <c r="B23696" s="30" t="s">
        <v>52289</v>
      </c>
      <c r="C23696" s="30" t="s">
        <v>52290</v>
      </c>
      <c r="D23696" s="30" t="s">
        <v>17</v>
      </c>
      <c r="E23696" s="30" t="s">
        <v>67</v>
      </c>
      <c r="F23696" s="30" t="s">
        <v>68</v>
      </c>
      <c r="G23696" s="30" t="s">
        <v>140</v>
      </c>
      <c r="H23696" s="32">
        <v>120</v>
      </c>
      <c r="I23696" s="30" t="s">
        <v>51</v>
      </c>
      <c r="J23696" s="41">
        <v>45930</v>
      </c>
      <c r="K23696" s="30" t="s">
        <v>22</v>
      </c>
    </row>
    <row r="23697" spans="1:11">
      <c r="A23697" s="33" t="s">
        <v>52291</v>
      </c>
      <c r="B23697" s="33" t="s">
        <v>52292</v>
      </c>
      <c r="C23697" s="33" t="s">
        <v>38231</v>
      </c>
      <c r="D23697" s="33" t="s">
        <v>17</v>
      </c>
      <c r="E23697" s="33" t="s">
        <v>26</v>
      </c>
      <c r="F23697" s="33" t="s">
        <v>27</v>
      </c>
      <c r="G23697" s="33" t="s">
        <v>140</v>
      </c>
      <c r="H23697" s="35">
        <v>30</v>
      </c>
      <c r="I23697" s="33" t="s">
        <v>51</v>
      </c>
      <c r="J23697" s="42">
        <v>46009</v>
      </c>
      <c r="K23697" s="33" t="s">
        <v>22</v>
      </c>
    </row>
    <row r="23698" spans="1:11">
      <c r="A23698" s="30" t="s">
        <v>52293</v>
      </c>
      <c r="B23698" s="30" t="s">
        <v>52294</v>
      </c>
      <c r="C23698" s="30" t="s">
        <v>36457</v>
      </c>
      <c r="D23698" s="30" t="s">
        <v>17</v>
      </c>
      <c r="E23698" s="30" t="s">
        <v>67</v>
      </c>
      <c r="F23698" s="30" t="s">
        <v>68</v>
      </c>
      <c r="G23698" s="30" t="s">
        <v>140</v>
      </c>
      <c r="H23698" s="32">
        <v>71</v>
      </c>
      <c r="I23698" s="30" t="s">
        <v>51</v>
      </c>
      <c r="J23698" s="41">
        <v>45665</v>
      </c>
      <c r="K23698" s="30" t="s">
        <v>22</v>
      </c>
    </row>
    <row r="23699" spans="1:11">
      <c r="A23699" s="33" t="s">
        <v>52295</v>
      </c>
      <c r="B23699" s="33" t="s">
        <v>52296</v>
      </c>
      <c r="C23699" s="33" t="s">
        <v>15917</v>
      </c>
      <c r="D23699" s="33" t="s">
        <v>17</v>
      </c>
      <c r="E23699" s="33" t="s">
        <v>26</v>
      </c>
      <c r="F23699" s="33" t="s">
        <v>27</v>
      </c>
      <c r="G23699" s="33" t="s">
        <v>140</v>
      </c>
      <c r="H23699" s="35">
        <v>160</v>
      </c>
      <c r="I23699" s="33" t="s">
        <v>51</v>
      </c>
      <c r="J23699" s="42">
        <v>45880</v>
      </c>
      <c r="K23699" s="33" t="s">
        <v>22</v>
      </c>
    </row>
    <row r="23700" spans="1:11">
      <c r="A23700" s="30" t="s">
        <v>52297</v>
      </c>
      <c r="B23700" s="30" t="s">
        <v>52298</v>
      </c>
      <c r="C23700" s="30" t="s">
        <v>9688</v>
      </c>
      <c r="D23700" s="30" t="s">
        <v>17</v>
      </c>
      <c r="E23700" s="30" t="s">
        <v>18</v>
      </c>
      <c r="F23700" s="30" t="s">
        <v>19</v>
      </c>
      <c r="G23700" s="30" t="s">
        <v>20</v>
      </c>
      <c r="H23700" s="32">
        <v>61</v>
      </c>
      <c r="I23700" s="30" t="s">
        <v>21</v>
      </c>
      <c r="J23700" s="41">
        <v>45741</v>
      </c>
      <c r="K23700" s="30" t="s">
        <v>22</v>
      </c>
    </row>
    <row r="23701" spans="1:11">
      <c r="A23701" s="33" t="s">
        <v>52299</v>
      </c>
      <c r="B23701" s="33" t="s">
        <v>52300</v>
      </c>
      <c r="C23701" s="33" t="s">
        <v>52301</v>
      </c>
      <c r="D23701" s="33" t="s">
        <v>17</v>
      </c>
      <c r="E23701" s="33" t="s">
        <v>31</v>
      </c>
      <c r="F23701" s="33" t="s">
        <v>32</v>
      </c>
      <c r="G23701" s="33" t="s">
        <v>7780</v>
      </c>
      <c r="H23701" s="35">
        <v>40</v>
      </c>
      <c r="I23701" s="33" t="s">
        <v>51</v>
      </c>
      <c r="J23701" s="42">
        <v>45809</v>
      </c>
      <c r="K23701" s="33" t="s">
        <v>22</v>
      </c>
    </row>
    <row r="23702" spans="1:11">
      <c r="A23702" s="30" t="s">
        <v>52302</v>
      </c>
      <c r="B23702" s="30" t="s">
        <v>52303</v>
      </c>
      <c r="C23702" s="30" t="s">
        <v>684</v>
      </c>
      <c r="D23702" s="30" t="s">
        <v>17</v>
      </c>
      <c r="E23702" s="30" t="s">
        <v>18</v>
      </c>
      <c r="F23702" s="30" t="s">
        <v>19</v>
      </c>
      <c r="G23702" s="30" t="s">
        <v>140</v>
      </c>
      <c r="H23702" s="32">
        <v>960</v>
      </c>
      <c r="I23702" s="30" t="s">
        <v>51</v>
      </c>
      <c r="J23702" s="41">
        <v>45729</v>
      </c>
      <c r="K23702" s="30" t="s">
        <v>22</v>
      </c>
    </row>
    <row r="23703" spans="1:11">
      <c r="A23703" s="33" t="s">
        <v>52304</v>
      </c>
      <c r="B23703" s="33" t="s">
        <v>52305</v>
      </c>
      <c r="C23703" s="33" t="s">
        <v>149</v>
      </c>
      <c r="D23703" s="33" t="s">
        <v>17</v>
      </c>
      <c r="E23703" s="33" t="s">
        <v>31</v>
      </c>
      <c r="F23703" s="33" t="s">
        <v>32</v>
      </c>
      <c r="G23703" s="33" t="s">
        <v>7780</v>
      </c>
      <c r="H23703" s="35">
        <v>147</v>
      </c>
      <c r="I23703" s="33" t="s">
        <v>51</v>
      </c>
      <c r="J23703" s="42">
        <v>45748</v>
      </c>
      <c r="K23703" s="33" t="s">
        <v>22</v>
      </c>
    </row>
    <row r="23704" spans="1:11">
      <c r="A23704" s="30" t="s">
        <v>52306</v>
      </c>
      <c r="B23704" s="30" t="s">
        <v>52307</v>
      </c>
      <c r="C23704" s="30" t="s">
        <v>157</v>
      </c>
      <c r="D23704" s="30" t="s">
        <v>17</v>
      </c>
      <c r="E23704" s="30" t="s">
        <v>18</v>
      </c>
      <c r="F23704" s="30" t="s">
        <v>19</v>
      </c>
      <c r="G23704" s="30" t="s">
        <v>140</v>
      </c>
      <c r="H23704" s="32">
        <v>212</v>
      </c>
      <c r="I23704" s="30" t="s">
        <v>51</v>
      </c>
      <c r="J23704" s="41">
        <v>45824</v>
      </c>
      <c r="K23704" s="30" t="s">
        <v>22</v>
      </c>
    </row>
    <row r="23705" spans="1:11">
      <c r="A23705" s="33" t="s">
        <v>52308</v>
      </c>
      <c r="B23705" s="33" t="s">
        <v>52309</v>
      </c>
      <c r="C23705" s="33" t="s">
        <v>3790</v>
      </c>
      <c r="D23705" s="33" t="s">
        <v>17</v>
      </c>
      <c r="E23705" s="33" t="s">
        <v>67</v>
      </c>
      <c r="F23705" s="33" t="s">
        <v>68</v>
      </c>
      <c r="G23705" s="33" t="s">
        <v>140</v>
      </c>
      <c r="H23705" s="35">
        <v>110</v>
      </c>
      <c r="I23705" s="33" t="s">
        <v>51</v>
      </c>
      <c r="J23705" s="42">
        <v>45988</v>
      </c>
      <c r="K23705" s="33" t="s">
        <v>22</v>
      </c>
    </row>
    <row r="23706" spans="1:11">
      <c r="A23706" s="30" t="s">
        <v>52310</v>
      </c>
      <c r="B23706" s="30" t="s">
        <v>52311</v>
      </c>
      <c r="C23706" s="30" t="s">
        <v>105</v>
      </c>
      <c r="D23706" s="30" t="s">
        <v>17</v>
      </c>
      <c r="E23706" s="30" t="s">
        <v>31</v>
      </c>
      <c r="F23706" s="30" t="s">
        <v>32</v>
      </c>
      <c r="G23706" s="30" t="s">
        <v>140</v>
      </c>
      <c r="H23706" s="32">
        <v>240</v>
      </c>
      <c r="I23706" s="30" t="s">
        <v>51</v>
      </c>
      <c r="J23706" s="41">
        <v>45831</v>
      </c>
      <c r="K23706" s="30" t="s">
        <v>22</v>
      </c>
    </row>
    <row r="23707" spans="1:11">
      <c r="A23707" s="33" t="s">
        <v>52312</v>
      </c>
      <c r="B23707" s="33" t="s">
        <v>52313</v>
      </c>
      <c r="C23707" s="33" t="s">
        <v>252</v>
      </c>
      <c r="D23707" s="33" t="s">
        <v>17</v>
      </c>
      <c r="E23707" s="33" t="s">
        <v>18</v>
      </c>
      <c r="F23707" s="33" t="s">
        <v>19</v>
      </c>
      <c r="G23707" s="33" t="s">
        <v>7780</v>
      </c>
      <c r="H23707" s="35">
        <v>198</v>
      </c>
      <c r="I23707" s="33" t="s">
        <v>51</v>
      </c>
      <c r="J23707" s="42">
        <v>45680</v>
      </c>
      <c r="K23707" s="33" t="s">
        <v>22</v>
      </c>
    </row>
    <row r="23708" spans="1:11">
      <c r="A23708" s="30" t="s">
        <v>52314</v>
      </c>
      <c r="B23708" s="30" t="s">
        <v>52315</v>
      </c>
      <c r="C23708" s="30" t="s">
        <v>52316</v>
      </c>
      <c r="D23708" s="30" t="s">
        <v>17</v>
      </c>
      <c r="E23708" s="30" t="s">
        <v>26</v>
      </c>
      <c r="F23708" s="30" t="s">
        <v>27</v>
      </c>
      <c r="G23708" s="30" t="s">
        <v>7780</v>
      </c>
      <c r="H23708" s="32">
        <v>18</v>
      </c>
      <c r="I23708" s="30" t="s">
        <v>51</v>
      </c>
      <c r="J23708" s="41">
        <v>45778</v>
      </c>
      <c r="K23708" s="30" t="s">
        <v>22</v>
      </c>
    </row>
    <row r="23709" spans="1:11">
      <c r="A23709" s="33" t="s">
        <v>52317</v>
      </c>
      <c r="B23709" s="33" t="s">
        <v>52318</v>
      </c>
      <c r="C23709" s="33" t="s">
        <v>736</v>
      </c>
      <c r="D23709" s="33" t="s">
        <v>17</v>
      </c>
      <c r="E23709" s="33" t="s">
        <v>31</v>
      </c>
      <c r="F23709" s="33" t="s">
        <v>32</v>
      </c>
      <c r="G23709" s="33" t="s">
        <v>140</v>
      </c>
      <c r="H23709" s="35">
        <v>162</v>
      </c>
      <c r="I23709" s="33" t="s">
        <v>51</v>
      </c>
      <c r="J23709" s="42">
        <v>45734</v>
      </c>
      <c r="K23709" s="33" t="s">
        <v>22</v>
      </c>
    </row>
    <row r="23710" spans="1:11">
      <c r="A23710" s="30" t="s">
        <v>52319</v>
      </c>
      <c r="B23710" s="30" t="s">
        <v>52320</v>
      </c>
      <c r="C23710" s="30" t="s">
        <v>78</v>
      </c>
      <c r="D23710" s="30" t="s">
        <v>17</v>
      </c>
      <c r="E23710" s="30" t="s">
        <v>26</v>
      </c>
      <c r="F23710" s="30" t="s">
        <v>27</v>
      </c>
      <c r="G23710" s="30" t="s">
        <v>20</v>
      </c>
      <c r="H23710" s="32">
        <v>24</v>
      </c>
      <c r="I23710" s="30" t="s">
        <v>21</v>
      </c>
      <c r="J23710" s="41">
        <v>45791</v>
      </c>
      <c r="K23710" s="30" t="s">
        <v>22</v>
      </c>
    </row>
    <row r="23711" spans="1:11">
      <c r="A23711" s="33" t="s">
        <v>52321</v>
      </c>
      <c r="B23711" s="33" t="s">
        <v>52322</v>
      </c>
      <c r="C23711" s="33" t="s">
        <v>3583</v>
      </c>
      <c r="D23711" s="33" t="s">
        <v>17</v>
      </c>
      <c r="E23711" s="33" t="s">
        <v>18</v>
      </c>
      <c r="F23711" s="33" t="s">
        <v>19</v>
      </c>
      <c r="G23711" s="33" t="s">
        <v>158</v>
      </c>
      <c r="H23711" s="35">
        <v>245</v>
      </c>
      <c r="I23711" s="33" t="s">
        <v>21</v>
      </c>
      <c r="J23711" s="42">
        <v>45686</v>
      </c>
      <c r="K23711" s="33" t="s">
        <v>22</v>
      </c>
    </row>
    <row r="23712" spans="1:11">
      <c r="A23712" s="30" t="s">
        <v>52323</v>
      </c>
      <c r="B23712" s="30" t="s">
        <v>52324</v>
      </c>
      <c r="C23712" s="30" t="s">
        <v>2618</v>
      </c>
      <c r="D23712" s="30" t="s">
        <v>17</v>
      </c>
      <c r="E23712" s="30" t="s">
        <v>26</v>
      </c>
      <c r="F23712" s="30" t="s">
        <v>27</v>
      </c>
      <c r="G23712" s="30" t="s">
        <v>112</v>
      </c>
      <c r="H23712" s="32">
        <v>0</v>
      </c>
      <c r="I23712" s="30" t="s">
        <v>21</v>
      </c>
      <c r="J23712" s="41">
        <v>45791</v>
      </c>
      <c r="K23712" s="30" t="s">
        <v>22</v>
      </c>
    </row>
    <row r="23713" spans="1:11">
      <c r="A23713" s="33" t="s">
        <v>52325</v>
      </c>
      <c r="B23713" s="33" t="s">
        <v>52326</v>
      </c>
      <c r="C23713" s="33" t="s">
        <v>52327</v>
      </c>
      <c r="D23713" s="33" t="s">
        <v>17</v>
      </c>
      <c r="E23713" s="33" t="s">
        <v>26</v>
      </c>
      <c r="F23713" s="33" t="s">
        <v>27</v>
      </c>
      <c r="G23713" s="33" t="s">
        <v>158</v>
      </c>
      <c r="H23713" s="35">
        <v>40</v>
      </c>
      <c r="I23713" s="33" t="s">
        <v>21</v>
      </c>
      <c r="J23713" s="42">
        <v>45677</v>
      </c>
      <c r="K23713" s="33" t="s">
        <v>22</v>
      </c>
    </row>
    <row r="23714" spans="1:11">
      <c r="A23714" s="30" t="s">
        <v>52328</v>
      </c>
      <c r="B23714" s="30" t="s">
        <v>52329</v>
      </c>
      <c r="C23714" s="30" t="s">
        <v>52330</v>
      </c>
      <c r="D23714" s="30" t="s">
        <v>17</v>
      </c>
      <c r="E23714" s="30" t="s">
        <v>67</v>
      </c>
      <c r="F23714" s="30" t="s">
        <v>68</v>
      </c>
      <c r="G23714" s="30" t="s">
        <v>140</v>
      </c>
      <c r="H23714" s="32">
        <v>80</v>
      </c>
      <c r="I23714" s="30" t="s">
        <v>51</v>
      </c>
      <c r="J23714" s="41">
        <v>45783</v>
      </c>
      <c r="K23714" s="30" t="s">
        <v>22</v>
      </c>
    </row>
    <row r="23715" spans="1:11">
      <c r="A23715" s="33" t="s">
        <v>52331</v>
      </c>
      <c r="B23715" s="33" t="s">
        <v>52332</v>
      </c>
      <c r="C23715" s="33" t="s">
        <v>49530</v>
      </c>
      <c r="D23715" s="33" t="s">
        <v>17</v>
      </c>
      <c r="E23715" s="33" t="s">
        <v>67</v>
      </c>
      <c r="F23715" s="33" t="s">
        <v>68</v>
      </c>
      <c r="G23715" s="33" t="s">
        <v>140</v>
      </c>
      <c r="H23715" s="35">
        <v>76</v>
      </c>
      <c r="I23715" s="33" t="s">
        <v>51</v>
      </c>
      <c r="J23715" s="42">
        <v>45868</v>
      </c>
      <c r="K23715" s="33" t="s">
        <v>22</v>
      </c>
    </row>
    <row r="23716" spans="1:11">
      <c r="A23716" s="30" t="s">
        <v>52333</v>
      </c>
      <c r="B23716" s="30" t="s">
        <v>52334</v>
      </c>
      <c r="C23716" s="30" t="s">
        <v>39363</v>
      </c>
      <c r="D23716" s="30" t="s">
        <v>17</v>
      </c>
      <c r="E23716" s="30" t="s">
        <v>26</v>
      </c>
      <c r="F23716" s="30" t="s">
        <v>27</v>
      </c>
      <c r="G23716" s="30" t="s">
        <v>7780</v>
      </c>
      <c r="H23716" s="32">
        <v>75</v>
      </c>
      <c r="I23716" s="30" t="s">
        <v>51</v>
      </c>
      <c r="J23716" s="41">
        <v>45901</v>
      </c>
      <c r="K23716" s="30" t="s">
        <v>22</v>
      </c>
    </row>
    <row r="23717" spans="1:11">
      <c r="A23717" s="33" t="s">
        <v>52335</v>
      </c>
      <c r="B23717" s="33" t="s">
        <v>52336</v>
      </c>
      <c r="C23717" s="33" t="s">
        <v>3429</v>
      </c>
      <c r="D23717" s="33" t="s">
        <v>17</v>
      </c>
      <c r="E23717" s="33" t="s">
        <v>26</v>
      </c>
      <c r="F23717" s="33" t="s">
        <v>27</v>
      </c>
      <c r="G23717" s="33" t="s">
        <v>20</v>
      </c>
      <c r="H23717" s="35">
        <v>40</v>
      </c>
      <c r="I23717" s="33" t="s">
        <v>21</v>
      </c>
      <c r="J23717" s="42">
        <v>45874</v>
      </c>
      <c r="K23717" s="33" t="s">
        <v>22</v>
      </c>
    </row>
    <row r="23718" spans="1:11">
      <c r="A23718" s="30" t="s">
        <v>52337</v>
      </c>
      <c r="B23718" s="30" t="s">
        <v>52338</v>
      </c>
      <c r="C23718" s="30" t="s">
        <v>3944</v>
      </c>
      <c r="D23718" s="30" t="s">
        <v>17</v>
      </c>
      <c r="E23718" s="30" t="s">
        <v>26</v>
      </c>
      <c r="F23718" s="30" t="s">
        <v>27</v>
      </c>
      <c r="G23718" s="30" t="s">
        <v>140</v>
      </c>
      <c r="H23718" s="32">
        <v>12</v>
      </c>
      <c r="I23718" s="30" t="s">
        <v>51</v>
      </c>
      <c r="J23718" s="41">
        <v>45820</v>
      </c>
      <c r="K23718" s="30" t="s">
        <v>22</v>
      </c>
    </row>
    <row r="23719" spans="1:11">
      <c r="A23719" s="33" t="s">
        <v>52339</v>
      </c>
      <c r="B23719" s="33" t="s">
        <v>52340</v>
      </c>
      <c r="C23719" s="33" t="s">
        <v>3775</v>
      </c>
      <c r="D23719" s="33" t="s">
        <v>17</v>
      </c>
      <c r="E23719" s="33" t="s">
        <v>26</v>
      </c>
      <c r="F23719" s="33" t="s">
        <v>27</v>
      </c>
      <c r="G23719" s="33" t="s">
        <v>20</v>
      </c>
      <c r="H23719" s="35">
        <v>48</v>
      </c>
      <c r="I23719" s="33" t="s">
        <v>21</v>
      </c>
      <c r="J23719" s="42">
        <v>45662</v>
      </c>
      <c r="K23719" s="33" t="s">
        <v>22</v>
      </c>
    </row>
    <row r="23720" spans="1:11">
      <c r="A23720" s="30" t="s">
        <v>52341</v>
      </c>
      <c r="B23720" s="30" t="s">
        <v>52342</v>
      </c>
      <c r="C23720" s="30" t="s">
        <v>52343</v>
      </c>
      <c r="D23720" s="30" t="s">
        <v>17</v>
      </c>
      <c r="E23720" s="30" t="s">
        <v>31</v>
      </c>
      <c r="F23720" s="30" t="s">
        <v>32</v>
      </c>
      <c r="G23720" s="30" t="s">
        <v>140</v>
      </c>
      <c r="H23720" s="32">
        <v>34</v>
      </c>
      <c r="I23720" s="30" t="s">
        <v>51</v>
      </c>
      <c r="J23720" s="41">
        <v>45821</v>
      </c>
      <c r="K23720" s="30" t="s">
        <v>22</v>
      </c>
    </row>
    <row r="23721" spans="1:11">
      <c r="A23721" s="33" t="s">
        <v>52344</v>
      </c>
      <c r="B23721" s="33" t="s">
        <v>52345</v>
      </c>
      <c r="C23721" s="33" t="s">
        <v>52346</v>
      </c>
      <c r="D23721" s="33" t="s">
        <v>17</v>
      </c>
      <c r="E23721" s="33" t="s">
        <v>330</v>
      </c>
      <c r="F23721" s="33" t="s">
        <v>331</v>
      </c>
      <c r="G23721" s="33" t="s">
        <v>7780</v>
      </c>
      <c r="H23721" s="35">
        <v>12</v>
      </c>
      <c r="I23721" s="33" t="s">
        <v>51</v>
      </c>
      <c r="J23721" s="42">
        <v>45915</v>
      </c>
      <c r="K23721" s="33" t="s">
        <v>22</v>
      </c>
    </row>
    <row r="23722" spans="1:11">
      <c r="A23722" s="30" t="s">
        <v>52347</v>
      </c>
      <c r="B23722" s="30" t="s">
        <v>52348</v>
      </c>
      <c r="C23722" s="30" t="s">
        <v>190</v>
      </c>
      <c r="D23722" s="30" t="s">
        <v>17</v>
      </c>
      <c r="E23722" s="30" t="s">
        <v>67</v>
      </c>
      <c r="F23722" s="30" t="s">
        <v>68</v>
      </c>
      <c r="G23722" s="30" t="s">
        <v>140</v>
      </c>
      <c r="H23722" s="32">
        <v>304</v>
      </c>
      <c r="I23722" s="30" t="s">
        <v>51</v>
      </c>
      <c r="J23722" s="41">
        <v>45743</v>
      </c>
      <c r="K23722" s="30" t="s">
        <v>22</v>
      </c>
    </row>
    <row r="23723" spans="1:11">
      <c r="A23723" s="33" t="s">
        <v>52349</v>
      </c>
      <c r="B23723" s="33" t="s">
        <v>52350</v>
      </c>
      <c r="C23723" s="33" t="s">
        <v>52351</v>
      </c>
      <c r="D23723" s="33" t="s">
        <v>17</v>
      </c>
      <c r="E23723" s="33" t="s">
        <v>26</v>
      </c>
      <c r="F23723" s="33" t="s">
        <v>27</v>
      </c>
      <c r="G23723" s="33" t="s">
        <v>7780</v>
      </c>
      <c r="H23723" s="35">
        <v>60</v>
      </c>
      <c r="I23723" s="33" t="s">
        <v>51</v>
      </c>
      <c r="J23723" s="42">
        <v>45992</v>
      </c>
      <c r="K23723" s="33" t="s">
        <v>22</v>
      </c>
    </row>
    <row r="23724" spans="1:11">
      <c r="A23724" s="30" t="s">
        <v>52352</v>
      </c>
      <c r="B23724" s="30" t="s">
        <v>52353</v>
      </c>
      <c r="C23724" s="30" t="s">
        <v>1897</v>
      </c>
      <c r="D23724" s="30" t="s">
        <v>17</v>
      </c>
      <c r="E23724" s="30" t="s">
        <v>31</v>
      </c>
      <c r="F23724" s="30" t="s">
        <v>32</v>
      </c>
      <c r="G23724" s="30" t="s">
        <v>140</v>
      </c>
      <c r="H23724" s="32">
        <v>159</v>
      </c>
      <c r="I23724" s="30" t="s">
        <v>51</v>
      </c>
      <c r="J23724" s="41">
        <v>45986</v>
      </c>
      <c r="K23724" s="30" t="s">
        <v>22</v>
      </c>
    </row>
    <row r="23725" spans="1:11">
      <c r="A23725" s="33" t="s">
        <v>52354</v>
      </c>
      <c r="B23725" s="33" t="s">
        <v>52355</v>
      </c>
      <c r="C23725" s="33" t="s">
        <v>124</v>
      </c>
      <c r="D23725" s="33" t="s">
        <v>17</v>
      </c>
      <c r="E23725" s="33" t="s">
        <v>31</v>
      </c>
      <c r="F23725" s="33" t="s">
        <v>32</v>
      </c>
      <c r="G23725" s="33" t="s">
        <v>158</v>
      </c>
      <c r="H23725" s="35">
        <v>12</v>
      </c>
      <c r="I23725" s="33" t="s">
        <v>51</v>
      </c>
      <c r="J23725" s="42">
        <v>45866</v>
      </c>
      <c r="K23725" s="33" t="s">
        <v>22</v>
      </c>
    </row>
    <row r="23726" spans="1:11">
      <c r="A23726" s="30" t="s">
        <v>52356</v>
      </c>
      <c r="B23726" s="30" t="s">
        <v>52357</v>
      </c>
      <c r="C23726" s="30" t="s">
        <v>6202</v>
      </c>
      <c r="D23726" s="30" t="s">
        <v>17</v>
      </c>
      <c r="E23726" s="30" t="s">
        <v>18</v>
      </c>
      <c r="F23726" s="30" t="s">
        <v>19</v>
      </c>
      <c r="G23726" s="30" t="s">
        <v>7780</v>
      </c>
      <c r="H23726" s="32">
        <v>540</v>
      </c>
      <c r="I23726" s="30" t="s">
        <v>51</v>
      </c>
      <c r="J23726" s="41">
        <v>45901</v>
      </c>
      <c r="K23726" s="30" t="s">
        <v>22</v>
      </c>
    </row>
    <row r="23727" spans="1:11">
      <c r="A23727" s="33" t="s">
        <v>52358</v>
      </c>
      <c r="B23727" s="33" t="s">
        <v>52359</v>
      </c>
      <c r="C23727" s="33" t="s">
        <v>9900</v>
      </c>
      <c r="D23727" s="33" t="s">
        <v>17</v>
      </c>
      <c r="E23727" s="33" t="s">
        <v>31</v>
      </c>
      <c r="F23727" s="33" t="s">
        <v>32</v>
      </c>
      <c r="G23727" s="33" t="s">
        <v>140</v>
      </c>
      <c r="H23727" s="35">
        <v>60</v>
      </c>
      <c r="I23727" s="33" t="s">
        <v>51</v>
      </c>
      <c r="J23727" s="42">
        <v>45712</v>
      </c>
      <c r="K23727" s="33" t="s">
        <v>22</v>
      </c>
    </row>
    <row r="23728" spans="1:11">
      <c r="A23728" s="30" t="s">
        <v>52360</v>
      </c>
      <c r="B23728" s="30" t="s">
        <v>52361</v>
      </c>
      <c r="C23728" s="30" t="s">
        <v>157</v>
      </c>
      <c r="D23728" s="30" t="s">
        <v>17</v>
      </c>
      <c r="E23728" s="30" t="s">
        <v>212</v>
      </c>
      <c r="F23728" s="30" t="s">
        <v>213</v>
      </c>
      <c r="G23728" s="30" t="s">
        <v>140</v>
      </c>
      <c r="H23728" s="32">
        <v>400</v>
      </c>
      <c r="I23728" s="30" t="s">
        <v>51</v>
      </c>
      <c r="J23728" s="41">
        <v>45743</v>
      </c>
      <c r="K23728" s="30" t="s">
        <v>22</v>
      </c>
    </row>
    <row r="23729" spans="1:11">
      <c r="A23729" s="33" t="s">
        <v>52362</v>
      </c>
      <c r="B23729" s="33" t="s">
        <v>52363</v>
      </c>
      <c r="C23729" s="33" t="s">
        <v>1604</v>
      </c>
      <c r="D23729" s="33" t="s">
        <v>17</v>
      </c>
      <c r="E23729" s="33" t="s">
        <v>26</v>
      </c>
      <c r="F23729" s="33" t="s">
        <v>27</v>
      </c>
      <c r="G23729" s="33" t="s">
        <v>7780</v>
      </c>
      <c r="H23729" s="35">
        <v>16</v>
      </c>
      <c r="I23729" s="33" t="s">
        <v>51</v>
      </c>
      <c r="J23729" s="42">
        <v>45789</v>
      </c>
      <c r="K23729" s="33" t="s">
        <v>22</v>
      </c>
    </row>
    <row r="23730" spans="1:11">
      <c r="A23730" s="30" t="s">
        <v>52364</v>
      </c>
      <c r="B23730" s="30" t="s">
        <v>52365</v>
      </c>
      <c r="C23730" s="30" t="s">
        <v>178</v>
      </c>
      <c r="D23730" s="30" t="s">
        <v>17</v>
      </c>
      <c r="E23730" s="30" t="s">
        <v>26</v>
      </c>
      <c r="F23730" s="30" t="s">
        <v>27</v>
      </c>
      <c r="G23730" s="30" t="s">
        <v>20</v>
      </c>
      <c r="H23730" s="32">
        <v>8</v>
      </c>
      <c r="I23730" s="30" t="s">
        <v>21</v>
      </c>
      <c r="J23730" s="41">
        <v>45665</v>
      </c>
      <c r="K23730" s="30" t="s">
        <v>22</v>
      </c>
    </row>
    <row r="23731" spans="1:11">
      <c r="A23731" s="33" t="s">
        <v>52366</v>
      </c>
      <c r="B23731" s="33" t="s">
        <v>52367</v>
      </c>
      <c r="C23731" s="33" t="s">
        <v>822</v>
      </c>
      <c r="D23731" s="33" t="s">
        <v>17</v>
      </c>
      <c r="E23731" s="33" t="s">
        <v>18</v>
      </c>
      <c r="F23731" s="33" t="s">
        <v>19</v>
      </c>
      <c r="G23731" s="33" t="s">
        <v>7780</v>
      </c>
      <c r="H23731" s="35">
        <v>396</v>
      </c>
      <c r="I23731" s="33" t="s">
        <v>51</v>
      </c>
      <c r="J23731" s="42">
        <v>45797</v>
      </c>
      <c r="K23731" s="33" t="s">
        <v>22</v>
      </c>
    </row>
    <row r="23732" spans="1:11">
      <c r="A23732" s="30" t="s">
        <v>52368</v>
      </c>
      <c r="B23732" s="30" t="s">
        <v>52369</v>
      </c>
      <c r="C23732" s="30" t="s">
        <v>1428</v>
      </c>
      <c r="D23732" s="30" t="s">
        <v>17</v>
      </c>
      <c r="E23732" s="30" t="s">
        <v>67</v>
      </c>
      <c r="F23732" s="30" t="s">
        <v>68</v>
      </c>
      <c r="G23732" s="30" t="s">
        <v>7780</v>
      </c>
      <c r="H23732" s="32">
        <v>99</v>
      </c>
      <c r="I23732" s="30" t="s">
        <v>51</v>
      </c>
      <c r="J23732" s="41">
        <v>45658</v>
      </c>
      <c r="K23732" s="30" t="s">
        <v>22</v>
      </c>
    </row>
    <row r="23733" spans="1:11">
      <c r="A23733" s="33" t="s">
        <v>52370</v>
      </c>
      <c r="B23733" s="33" t="s">
        <v>52371</v>
      </c>
      <c r="C23733" s="33" t="s">
        <v>22647</v>
      </c>
      <c r="D23733" s="33" t="s">
        <v>17</v>
      </c>
      <c r="E23733" s="33" t="s">
        <v>31</v>
      </c>
      <c r="F23733" s="33" t="s">
        <v>32</v>
      </c>
      <c r="G23733" s="33" t="s">
        <v>106</v>
      </c>
      <c r="H23733" s="35">
        <v>134</v>
      </c>
      <c r="I23733" s="33" t="s">
        <v>21</v>
      </c>
      <c r="J23733" s="42">
        <v>45881</v>
      </c>
      <c r="K23733" s="33" t="s">
        <v>22</v>
      </c>
    </row>
    <row r="23734" spans="1:11">
      <c r="A23734" s="30" t="s">
        <v>52372</v>
      </c>
      <c r="B23734" s="30" t="s">
        <v>52373</v>
      </c>
      <c r="C23734" s="30" t="s">
        <v>11366</v>
      </c>
      <c r="D23734" s="30" t="s">
        <v>17</v>
      </c>
      <c r="E23734" s="30" t="s">
        <v>67</v>
      </c>
      <c r="F23734" s="30" t="s">
        <v>68</v>
      </c>
      <c r="G23734" s="30" t="s">
        <v>140</v>
      </c>
      <c r="H23734" s="32">
        <v>20</v>
      </c>
      <c r="I23734" s="30" t="s">
        <v>51</v>
      </c>
      <c r="J23734" s="41">
        <v>45820</v>
      </c>
      <c r="K23734" s="30" t="s">
        <v>22</v>
      </c>
    </row>
    <row r="23735" spans="1:11">
      <c r="A23735" s="33" t="s">
        <v>52374</v>
      </c>
      <c r="B23735" s="33" t="s">
        <v>52375</v>
      </c>
      <c r="C23735" s="33" t="s">
        <v>52376</v>
      </c>
      <c r="D23735" s="33" t="s">
        <v>17</v>
      </c>
      <c r="E23735" s="33" t="s">
        <v>26</v>
      </c>
      <c r="F23735" s="33" t="s">
        <v>27</v>
      </c>
      <c r="G23735" s="33" t="s">
        <v>106</v>
      </c>
      <c r="H23735" s="35">
        <v>3</v>
      </c>
      <c r="I23735" s="33" t="s">
        <v>21</v>
      </c>
      <c r="J23735" s="42">
        <v>45883</v>
      </c>
      <c r="K23735" s="33" t="s">
        <v>22</v>
      </c>
    </row>
    <row r="23736" spans="1:11">
      <c r="A23736" s="30" t="s">
        <v>52377</v>
      </c>
      <c r="B23736" s="30" t="s">
        <v>52378</v>
      </c>
      <c r="C23736" s="30" t="s">
        <v>52379</v>
      </c>
      <c r="D23736" s="30" t="s">
        <v>17</v>
      </c>
      <c r="E23736" s="30" t="s">
        <v>26</v>
      </c>
      <c r="F23736" s="30" t="s">
        <v>27</v>
      </c>
      <c r="G23736" s="30" t="s">
        <v>140</v>
      </c>
      <c r="H23736" s="32">
        <v>134</v>
      </c>
      <c r="I23736" s="30" t="s">
        <v>51</v>
      </c>
      <c r="J23736" s="41">
        <v>45687</v>
      </c>
      <c r="K23736" s="30" t="s">
        <v>22</v>
      </c>
    </row>
    <row r="23737" spans="1:11">
      <c r="A23737" s="33" t="s">
        <v>52380</v>
      </c>
      <c r="B23737" s="33" t="s">
        <v>52381</v>
      </c>
      <c r="C23737" s="33" t="s">
        <v>203</v>
      </c>
      <c r="D23737" s="33" t="s">
        <v>17</v>
      </c>
      <c r="E23737" s="33" t="s">
        <v>67</v>
      </c>
      <c r="F23737" s="33" t="s">
        <v>68</v>
      </c>
      <c r="G23737" s="33" t="s">
        <v>158</v>
      </c>
      <c r="H23737" s="35">
        <v>720</v>
      </c>
      <c r="I23737" s="33" t="s">
        <v>21</v>
      </c>
      <c r="J23737" s="42">
        <v>45764</v>
      </c>
      <c r="K23737" s="33" t="s">
        <v>22</v>
      </c>
    </row>
    <row r="23738" spans="1:11">
      <c r="A23738" s="30" t="s">
        <v>52382</v>
      </c>
      <c r="B23738" s="30" t="s">
        <v>52383</v>
      </c>
      <c r="C23738" s="30" t="s">
        <v>26391</v>
      </c>
      <c r="D23738" s="30" t="s">
        <v>17</v>
      </c>
      <c r="E23738" s="30" t="s">
        <v>67</v>
      </c>
      <c r="F23738" s="30" t="s">
        <v>68</v>
      </c>
      <c r="G23738" s="30" t="s">
        <v>7780</v>
      </c>
      <c r="H23738" s="32">
        <v>212</v>
      </c>
      <c r="I23738" s="30" t="s">
        <v>51</v>
      </c>
      <c r="J23738" s="41">
        <v>45778</v>
      </c>
      <c r="K23738" s="30" t="s">
        <v>22</v>
      </c>
    </row>
    <row r="23739" spans="1:11">
      <c r="A23739" s="33" t="s">
        <v>52384</v>
      </c>
      <c r="B23739" s="33" t="s">
        <v>52385</v>
      </c>
      <c r="C23739" s="33" t="s">
        <v>3429</v>
      </c>
      <c r="D23739" s="33" t="s">
        <v>17</v>
      </c>
      <c r="E23739" s="33" t="s">
        <v>26</v>
      </c>
      <c r="F23739" s="33" t="s">
        <v>27</v>
      </c>
      <c r="G23739" s="33" t="s">
        <v>20</v>
      </c>
      <c r="H23739" s="35">
        <v>42</v>
      </c>
      <c r="I23739" s="33" t="s">
        <v>21</v>
      </c>
      <c r="J23739" s="42">
        <v>45777</v>
      </c>
      <c r="K23739" s="33" t="s">
        <v>22</v>
      </c>
    </row>
    <row r="23740" spans="1:11">
      <c r="A23740" s="30" t="s">
        <v>52386</v>
      </c>
      <c r="B23740" s="30" t="s">
        <v>52387</v>
      </c>
      <c r="C23740" s="30" t="s">
        <v>93</v>
      </c>
      <c r="D23740" s="30" t="s">
        <v>17</v>
      </c>
      <c r="E23740" s="30" t="s">
        <v>26</v>
      </c>
      <c r="F23740" s="30" t="s">
        <v>27</v>
      </c>
      <c r="G23740" s="30" t="s">
        <v>20</v>
      </c>
      <c r="H23740" s="32">
        <v>263</v>
      </c>
      <c r="I23740" s="30" t="s">
        <v>21</v>
      </c>
      <c r="J23740" s="41">
        <v>45768</v>
      </c>
      <c r="K23740" s="30" t="s">
        <v>22</v>
      </c>
    </row>
    <row r="23741" spans="1:11">
      <c r="A23741" s="33" t="s">
        <v>52388</v>
      </c>
      <c r="B23741" s="33" t="s">
        <v>52389</v>
      </c>
      <c r="C23741" s="33" t="s">
        <v>29479</v>
      </c>
      <c r="D23741" s="33" t="s">
        <v>17</v>
      </c>
      <c r="E23741" s="33" t="s">
        <v>18</v>
      </c>
      <c r="F23741" s="33" t="s">
        <v>19</v>
      </c>
      <c r="G23741" s="33" t="s">
        <v>140</v>
      </c>
      <c r="H23741" s="35">
        <v>25000</v>
      </c>
      <c r="I23741" s="33" t="s">
        <v>51</v>
      </c>
      <c r="J23741" s="42">
        <v>45952</v>
      </c>
      <c r="K23741" s="33" t="s">
        <v>22</v>
      </c>
    </row>
    <row r="23742" spans="1:11">
      <c r="A23742" s="30" t="s">
        <v>52390</v>
      </c>
      <c r="B23742" s="30" t="s">
        <v>52391</v>
      </c>
      <c r="C23742" s="30" t="s">
        <v>16776</v>
      </c>
      <c r="D23742" s="30" t="s">
        <v>17</v>
      </c>
      <c r="E23742" s="30" t="s">
        <v>31</v>
      </c>
      <c r="F23742" s="30" t="s">
        <v>32</v>
      </c>
      <c r="G23742" s="30" t="s">
        <v>140</v>
      </c>
      <c r="H23742" s="32">
        <v>30</v>
      </c>
      <c r="I23742" s="30" t="s">
        <v>51</v>
      </c>
      <c r="J23742" s="41">
        <v>45709</v>
      </c>
      <c r="K23742" s="30" t="s">
        <v>22</v>
      </c>
    </row>
    <row r="23743" spans="1:11">
      <c r="A23743" s="33" t="s">
        <v>52392</v>
      </c>
      <c r="B23743" s="33" t="s">
        <v>52393</v>
      </c>
      <c r="C23743" s="33" t="s">
        <v>40582</v>
      </c>
      <c r="D23743" s="33" t="s">
        <v>17</v>
      </c>
      <c r="E23743" s="33" t="s">
        <v>67</v>
      </c>
      <c r="F23743" s="33" t="s">
        <v>68</v>
      </c>
      <c r="G23743" s="33" t="s">
        <v>7780</v>
      </c>
      <c r="H23743" s="35">
        <v>25</v>
      </c>
      <c r="I23743" s="33" t="s">
        <v>51</v>
      </c>
      <c r="J23743" s="42">
        <v>45960</v>
      </c>
      <c r="K23743" s="33" t="s">
        <v>22</v>
      </c>
    </row>
    <row r="23744" spans="1:11">
      <c r="A23744" s="30" t="s">
        <v>52394</v>
      </c>
      <c r="B23744" s="30" t="s">
        <v>52395</v>
      </c>
      <c r="C23744" s="30" t="s">
        <v>535</v>
      </c>
      <c r="D23744" s="30" t="s">
        <v>17</v>
      </c>
      <c r="E23744" s="30" t="s">
        <v>26</v>
      </c>
      <c r="F23744" s="30" t="s">
        <v>27</v>
      </c>
      <c r="G23744" s="30" t="s">
        <v>20</v>
      </c>
      <c r="H23744" s="32">
        <v>12</v>
      </c>
      <c r="I23744" s="30" t="s">
        <v>21</v>
      </c>
      <c r="J23744" s="41">
        <v>45856</v>
      </c>
      <c r="K23744" s="30" t="s">
        <v>22</v>
      </c>
    </row>
    <row r="23745" spans="1:11">
      <c r="A23745" s="33" t="s">
        <v>52396</v>
      </c>
      <c r="B23745" s="33" t="s">
        <v>52397</v>
      </c>
      <c r="C23745" s="33" t="s">
        <v>297</v>
      </c>
      <c r="D23745" s="33" t="s">
        <v>17</v>
      </c>
      <c r="E23745" s="33" t="s">
        <v>31</v>
      </c>
      <c r="F23745" s="33" t="s">
        <v>32</v>
      </c>
      <c r="G23745" s="33" t="s">
        <v>158</v>
      </c>
      <c r="H23745" s="35">
        <v>66</v>
      </c>
      <c r="I23745" s="33" t="s">
        <v>21</v>
      </c>
      <c r="J23745" s="42">
        <v>45824</v>
      </c>
      <c r="K23745" s="33" t="s">
        <v>22</v>
      </c>
    </row>
    <row r="23746" spans="1:11">
      <c r="A23746" s="30" t="s">
        <v>52398</v>
      </c>
      <c r="B23746" s="30" t="s">
        <v>52399</v>
      </c>
      <c r="C23746" s="30" t="s">
        <v>109</v>
      </c>
      <c r="D23746" s="30" t="s">
        <v>17</v>
      </c>
      <c r="E23746" s="30" t="s">
        <v>26</v>
      </c>
      <c r="F23746" s="30" t="s">
        <v>27</v>
      </c>
      <c r="G23746" s="30" t="s">
        <v>112</v>
      </c>
      <c r="H23746" s="32">
        <v>0</v>
      </c>
      <c r="I23746" s="30" t="s">
        <v>21</v>
      </c>
      <c r="J23746" s="41">
        <v>45722</v>
      </c>
      <c r="K23746" s="30" t="s">
        <v>22</v>
      </c>
    </row>
    <row r="23747" spans="1:11">
      <c r="A23747" s="33" t="s">
        <v>52400</v>
      </c>
      <c r="B23747" s="33" t="s">
        <v>52401</v>
      </c>
      <c r="C23747" s="33" t="s">
        <v>5050</v>
      </c>
      <c r="D23747" s="33" t="s">
        <v>17</v>
      </c>
      <c r="E23747" s="33" t="s">
        <v>26</v>
      </c>
      <c r="F23747" s="33" t="s">
        <v>27</v>
      </c>
      <c r="G23747" s="33" t="s">
        <v>20</v>
      </c>
      <c r="H23747" s="35">
        <v>64</v>
      </c>
      <c r="I23747" s="33" t="s">
        <v>21</v>
      </c>
      <c r="J23747" s="42">
        <v>45837</v>
      </c>
      <c r="K23747" s="33" t="s">
        <v>22</v>
      </c>
    </row>
    <row r="23748" spans="1:11">
      <c r="A23748" s="30" t="s">
        <v>52402</v>
      </c>
      <c r="B23748" s="30" t="s">
        <v>52403</v>
      </c>
      <c r="C23748" s="30" t="s">
        <v>40619</v>
      </c>
      <c r="D23748" s="30" t="s">
        <v>17</v>
      </c>
      <c r="E23748" s="30" t="s">
        <v>26</v>
      </c>
      <c r="F23748" s="30" t="s">
        <v>27</v>
      </c>
      <c r="G23748" s="30" t="s">
        <v>20</v>
      </c>
      <c r="H23748" s="32">
        <v>24</v>
      </c>
      <c r="I23748" s="30" t="s">
        <v>21</v>
      </c>
      <c r="J23748" s="41">
        <v>45890</v>
      </c>
      <c r="K23748" s="30" t="s">
        <v>22</v>
      </c>
    </row>
    <row r="23749" spans="1:11">
      <c r="A23749" s="33" t="s">
        <v>52404</v>
      </c>
      <c r="B23749" s="33" t="s">
        <v>52405</v>
      </c>
      <c r="C23749" s="33" t="s">
        <v>109</v>
      </c>
      <c r="D23749" s="33" t="s">
        <v>17</v>
      </c>
      <c r="E23749" s="33" t="s">
        <v>18</v>
      </c>
      <c r="F23749" s="33" t="s">
        <v>19</v>
      </c>
      <c r="G23749" s="33" t="s">
        <v>158</v>
      </c>
      <c r="H23749" s="35">
        <v>565</v>
      </c>
      <c r="I23749" s="33" t="s">
        <v>21</v>
      </c>
      <c r="J23749" s="42">
        <v>45736</v>
      </c>
      <c r="K23749" s="33" t="s">
        <v>22</v>
      </c>
    </row>
    <row r="23750" spans="1:11">
      <c r="A23750" s="30" t="s">
        <v>52406</v>
      </c>
      <c r="B23750" s="30" t="s">
        <v>52407</v>
      </c>
      <c r="C23750" s="30" t="s">
        <v>52408</v>
      </c>
      <c r="D23750" s="30" t="s">
        <v>17</v>
      </c>
      <c r="E23750" s="30" t="s">
        <v>26</v>
      </c>
      <c r="F23750" s="30" t="s">
        <v>27</v>
      </c>
      <c r="G23750" s="30" t="s">
        <v>140</v>
      </c>
      <c r="H23750" s="32">
        <v>80</v>
      </c>
      <c r="I23750" s="30" t="s">
        <v>51</v>
      </c>
      <c r="J23750" s="41">
        <v>45821</v>
      </c>
      <c r="K23750" s="30" t="s">
        <v>22</v>
      </c>
    </row>
    <row r="23751" spans="1:11">
      <c r="A23751" s="33" t="s">
        <v>52409</v>
      </c>
      <c r="B23751" s="33" t="s">
        <v>52410</v>
      </c>
      <c r="C23751" s="33" t="s">
        <v>96</v>
      </c>
      <c r="D23751" s="33" t="s">
        <v>17</v>
      </c>
      <c r="E23751" s="33" t="s">
        <v>18</v>
      </c>
      <c r="F23751" s="33" t="s">
        <v>19</v>
      </c>
      <c r="G23751" s="33" t="s">
        <v>140</v>
      </c>
      <c r="H23751" s="35">
        <v>714</v>
      </c>
      <c r="I23751" s="33" t="s">
        <v>51</v>
      </c>
      <c r="J23751" s="42">
        <v>45861</v>
      </c>
      <c r="K23751" s="33" t="s">
        <v>22</v>
      </c>
    </row>
    <row r="23752" spans="1:11">
      <c r="A23752" s="30" t="s">
        <v>52411</v>
      </c>
      <c r="B23752" s="30" t="s">
        <v>52412</v>
      </c>
      <c r="C23752" s="30" t="s">
        <v>52413</v>
      </c>
      <c r="D23752" s="30" t="s">
        <v>17</v>
      </c>
      <c r="E23752" s="30" t="s">
        <v>31</v>
      </c>
      <c r="F23752" s="30" t="s">
        <v>32</v>
      </c>
      <c r="G23752" s="30" t="s">
        <v>140</v>
      </c>
      <c r="H23752" s="32">
        <v>24</v>
      </c>
      <c r="I23752" s="30" t="s">
        <v>51</v>
      </c>
      <c r="J23752" s="41">
        <v>45994</v>
      </c>
      <c r="K23752" s="30" t="s">
        <v>22</v>
      </c>
    </row>
    <row r="23753" spans="1:11">
      <c r="A23753" s="33" t="s">
        <v>52414</v>
      </c>
      <c r="B23753" s="33" t="s">
        <v>52415</v>
      </c>
      <c r="C23753" s="33" t="s">
        <v>45483</v>
      </c>
      <c r="D23753" s="33" t="s">
        <v>17</v>
      </c>
      <c r="E23753" s="33" t="s">
        <v>31</v>
      </c>
      <c r="F23753" s="33" t="s">
        <v>32</v>
      </c>
      <c r="G23753" s="33" t="s">
        <v>140</v>
      </c>
      <c r="H23753" s="35">
        <v>160</v>
      </c>
      <c r="I23753" s="33" t="s">
        <v>51</v>
      </c>
      <c r="J23753" s="42">
        <v>45994</v>
      </c>
      <c r="K23753" s="33" t="s">
        <v>22</v>
      </c>
    </row>
    <row r="23754" spans="1:11">
      <c r="A23754" s="30" t="s">
        <v>52416</v>
      </c>
      <c r="B23754" s="30" t="s">
        <v>52417</v>
      </c>
      <c r="C23754" s="30" t="s">
        <v>190</v>
      </c>
      <c r="D23754" s="30" t="s">
        <v>17</v>
      </c>
      <c r="E23754" s="30" t="s">
        <v>26</v>
      </c>
      <c r="F23754" s="30" t="s">
        <v>27</v>
      </c>
      <c r="G23754" s="30" t="s">
        <v>140</v>
      </c>
      <c r="H23754" s="32">
        <v>124</v>
      </c>
      <c r="I23754" s="30" t="s">
        <v>51</v>
      </c>
      <c r="J23754" s="41">
        <v>45817</v>
      </c>
      <c r="K23754" s="30" t="s">
        <v>22</v>
      </c>
    </row>
    <row r="23755" spans="1:11">
      <c r="A23755" s="33" t="s">
        <v>52418</v>
      </c>
      <c r="B23755" s="33" t="s">
        <v>52419</v>
      </c>
      <c r="C23755" s="33" t="s">
        <v>7880</v>
      </c>
      <c r="D23755" s="33" t="s">
        <v>17</v>
      </c>
      <c r="E23755" s="33" t="s">
        <v>26</v>
      </c>
      <c r="F23755" s="33" t="s">
        <v>27</v>
      </c>
      <c r="G23755" s="33" t="s">
        <v>140</v>
      </c>
      <c r="H23755" s="35">
        <v>21</v>
      </c>
      <c r="I23755" s="33" t="s">
        <v>51</v>
      </c>
      <c r="J23755" s="42">
        <v>45957</v>
      </c>
      <c r="K23755" s="33" t="s">
        <v>22</v>
      </c>
    </row>
    <row r="23756" spans="1:11">
      <c r="A23756" s="30" t="s">
        <v>52420</v>
      </c>
      <c r="B23756" s="30" t="s">
        <v>52421</v>
      </c>
      <c r="C23756" s="30" t="s">
        <v>52422</v>
      </c>
      <c r="D23756" s="30" t="s">
        <v>17</v>
      </c>
      <c r="E23756" s="30" t="s">
        <v>31</v>
      </c>
      <c r="F23756" s="30" t="s">
        <v>32</v>
      </c>
      <c r="G23756" s="30" t="s">
        <v>140</v>
      </c>
      <c r="H23756" s="32">
        <v>78</v>
      </c>
      <c r="I23756" s="30" t="s">
        <v>51</v>
      </c>
      <c r="J23756" s="41">
        <v>45934</v>
      </c>
      <c r="K23756" s="30" t="s">
        <v>22</v>
      </c>
    </row>
    <row r="23757" spans="1:11">
      <c r="A23757" s="33" t="s">
        <v>52423</v>
      </c>
      <c r="B23757" s="33" t="s">
        <v>52424</v>
      </c>
      <c r="C23757" s="33" t="s">
        <v>6046</v>
      </c>
      <c r="D23757" s="33" t="s">
        <v>17</v>
      </c>
      <c r="E23757" s="33" t="s">
        <v>45</v>
      </c>
      <c r="F23757" s="33" t="s">
        <v>46</v>
      </c>
      <c r="G23757" s="33" t="s">
        <v>140</v>
      </c>
      <c r="H23757" s="35">
        <v>165</v>
      </c>
      <c r="I23757" s="33" t="s">
        <v>51</v>
      </c>
      <c r="J23757" s="42">
        <v>45863</v>
      </c>
      <c r="K23757" s="33" t="s">
        <v>22</v>
      </c>
    </row>
    <row r="23758" spans="1:11">
      <c r="A23758" s="30" t="s">
        <v>52425</v>
      </c>
      <c r="B23758" s="30" t="s">
        <v>52426</v>
      </c>
      <c r="C23758" s="30" t="s">
        <v>2839</v>
      </c>
      <c r="D23758" s="30" t="s">
        <v>17</v>
      </c>
      <c r="E23758" s="30" t="s">
        <v>26</v>
      </c>
      <c r="F23758" s="30" t="s">
        <v>27</v>
      </c>
      <c r="G23758" s="30" t="s">
        <v>140</v>
      </c>
      <c r="H23758" s="32">
        <v>60</v>
      </c>
      <c r="I23758" s="30" t="s">
        <v>51</v>
      </c>
      <c r="J23758" s="41">
        <v>45824</v>
      </c>
      <c r="K23758" s="30" t="s">
        <v>22</v>
      </c>
    </row>
    <row r="23759" spans="1:11">
      <c r="A23759" s="33" t="s">
        <v>52427</v>
      </c>
      <c r="B23759" s="33" t="s">
        <v>52428</v>
      </c>
      <c r="C23759" s="33" t="s">
        <v>4383</v>
      </c>
      <c r="D23759" s="33" t="s">
        <v>17</v>
      </c>
      <c r="E23759" s="33" t="s">
        <v>31</v>
      </c>
      <c r="F23759" s="33" t="s">
        <v>32</v>
      </c>
      <c r="G23759" s="33" t="s">
        <v>158</v>
      </c>
      <c r="H23759" s="35">
        <v>73</v>
      </c>
      <c r="I23759" s="33" t="s">
        <v>51</v>
      </c>
      <c r="J23759" s="42">
        <v>45856</v>
      </c>
      <c r="K23759" s="33" t="s">
        <v>22</v>
      </c>
    </row>
    <row r="23760" spans="1:11">
      <c r="A23760" s="30" t="s">
        <v>52429</v>
      </c>
      <c r="B23760" s="30" t="s">
        <v>52430</v>
      </c>
      <c r="C23760" s="30" t="s">
        <v>3296</v>
      </c>
      <c r="D23760" s="30" t="s">
        <v>17</v>
      </c>
      <c r="E23760" s="30" t="s">
        <v>26</v>
      </c>
      <c r="F23760" s="30" t="s">
        <v>27</v>
      </c>
      <c r="G23760" s="30" t="s">
        <v>20</v>
      </c>
      <c r="H23760" s="32">
        <v>32</v>
      </c>
      <c r="I23760" s="30" t="s">
        <v>21</v>
      </c>
      <c r="J23760" s="41">
        <v>45854</v>
      </c>
      <c r="K23760" s="30" t="s">
        <v>22</v>
      </c>
    </row>
    <row r="23761" spans="1:11">
      <c r="A23761" s="33" t="s">
        <v>52431</v>
      </c>
      <c r="B23761" s="33" t="s">
        <v>52432</v>
      </c>
      <c r="C23761" s="33" t="s">
        <v>87</v>
      </c>
      <c r="D23761" s="33" t="s">
        <v>17</v>
      </c>
      <c r="E23761" s="33" t="s">
        <v>45</v>
      </c>
      <c r="F23761" s="33" t="s">
        <v>46</v>
      </c>
      <c r="G23761" s="33" t="s">
        <v>140</v>
      </c>
      <c r="H23761" s="35">
        <v>778</v>
      </c>
      <c r="I23761" s="33" t="s">
        <v>51</v>
      </c>
      <c r="J23761" s="42">
        <v>45897</v>
      </c>
      <c r="K23761" s="33" t="s">
        <v>22</v>
      </c>
    </row>
    <row r="23762" spans="1:11">
      <c r="A23762" s="30" t="s">
        <v>52433</v>
      </c>
      <c r="B23762" s="30" t="s">
        <v>52434</v>
      </c>
      <c r="C23762" s="30" t="s">
        <v>12203</v>
      </c>
      <c r="D23762" s="30" t="s">
        <v>17</v>
      </c>
      <c r="E23762" s="30" t="s">
        <v>18</v>
      </c>
      <c r="F23762" s="30" t="s">
        <v>19</v>
      </c>
      <c r="G23762" s="30" t="s">
        <v>20</v>
      </c>
      <c r="H23762" s="32">
        <v>221</v>
      </c>
      <c r="I23762" s="30" t="s">
        <v>21</v>
      </c>
      <c r="J23762" s="41">
        <v>45708</v>
      </c>
      <c r="K23762" s="30" t="s">
        <v>22</v>
      </c>
    </row>
    <row r="23763" spans="1:11">
      <c r="A23763" s="33" t="s">
        <v>52435</v>
      </c>
      <c r="B23763" s="33" t="s">
        <v>52436</v>
      </c>
      <c r="C23763" s="33" t="s">
        <v>318</v>
      </c>
      <c r="D23763" s="33" t="s">
        <v>17</v>
      </c>
      <c r="E23763" s="33" t="s">
        <v>26</v>
      </c>
      <c r="F23763" s="33" t="s">
        <v>27</v>
      </c>
      <c r="G23763" s="33" t="s">
        <v>158</v>
      </c>
      <c r="H23763" s="35">
        <v>349</v>
      </c>
      <c r="I23763" s="33" t="s">
        <v>21</v>
      </c>
      <c r="J23763" s="42">
        <v>46006</v>
      </c>
      <c r="K23763" s="33" t="s">
        <v>22</v>
      </c>
    </row>
    <row r="23764" spans="1:11">
      <c r="A23764" s="30" t="s">
        <v>52437</v>
      </c>
      <c r="B23764" s="30" t="s">
        <v>52438</v>
      </c>
      <c r="C23764" s="30" t="s">
        <v>52439</v>
      </c>
      <c r="D23764" s="30" t="s">
        <v>17</v>
      </c>
      <c r="E23764" s="30" t="s">
        <v>26</v>
      </c>
      <c r="F23764" s="30" t="s">
        <v>27</v>
      </c>
      <c r="G23764" s="30" t="s">
        <v>140</v>
      </c>
      <c r="H23764" s="32">
        <v>30</v>
      </c>
      <c r="I23764" s="30" t="s">
        <v>51</v>
      </c>
      <c r="J23764" s="41">
        <v>45931</v>
      </c>
      <c r="K23764" s="30" t="s">
        <v>22</v>
      </c>
    </row>
    <row r="23765" spans="1:11">
      <c r="A23765" s="33" t="s">
        <v>52440</v>
      </c>
      <c r="B23765" s="33" t="s">
        <v>52441</v>
      </c>
      <c r="C23765" s="33" t="s">
        <v>1764</v>
      </c>
      <c r="D23765" s="33" t="s">
        <v>17</v>
      </c>
      <c r="E23765" s="33" t="s">
        <v>18</v>
      </c>
      <c r="F23765" s="33" t="s">
        <v>19</v>
      </c>
      <c r="G23765" s="33" t="s">
        <v>20</v>
      </c>
      <c r="H23765" s="35">
        <v>80</v>
      </c>
      <c r="I23765" s="33" t="s">
        <v>21</v>
      </c>
      <c r="J23765" s="42">
        <v>45740</v>
      </c>
      <c r="K23765" s="33" t="s">
        <v>22</v>
      </c>
    </row>
    <row r="23766" spans="1:11">
      <c r="A23766" s="30" t="s">
        <v>52442</v>
      </c>
      <c r="B23766" s="30" t="s">
        <v>52443</v>
      </c>
      <c r="C23766" s="30" t="s">
        <v>507</v>
      </c>
      <c r="D23766" s="30" t="s">
        <v>17</v>
      </c>
      <c r="E23766" s="30" t="s">
        <v>31</v>
      </c>
      <c r="F23766" s="30" t="s">
        <v>32</v>
      </c>
      <c r="G23766" s="30" t="s">
        <v>7780</v>
      </c>
      <c r="H23766" s="32">
        <v>139</v>
      </c>
      <c r="I23766" s="30" t="s">
        <v>51</v>
      </c>
      <c r="J23766" s="41">
        <v>45901</v>
      </c>
      <c r="K23766" s="30" t="s">
        <v>22</v>
      </c>
    </row>
    <row r="23767" spans="1:11">
      <c r="A23767" s="33" t="s">
        <v>52444</v>
      </c>
      <c r="B23767" s="33" t="s">
        <v>52445</v>
      </c>
      <c r="C23767" s="33" t="s">
        <v>25186</v>
      </c>
      <c r="D23767" s="33" t="s">
        <v>17</v>
      </c>
      <c r="E23767" s="33" t="s">
        <v>18</v>
      </c>
      <c r="F23767" s="33" t="s">
        <v>19</v>
      </c>
      <c r="G23767" s="33" t="s">
        <v>158</v>
      </c>
      <c r="H23767" s="35">
        <v>537</v>
      </c>
      <c r="I23767" s="33" t="s">
        <v>51</v>
      </c>
      <c r="J23767" s="42">
        <v>46017</v>
      </c>
      <c r="K23767" s="33" t="s">
        <v>22</v>
      </c>
    </row>
    <row r="23768" spans="1:11">
      <c r="A23768" s="30" t="s">
        <v>52446</v>
      </c>
      <c r="B23768" s="30" t="s">
        <v>52447</v>
      </c>
      <c r="C23768" s="30" t="s">
        <v>52448</v>
      </c>
      <c r="D23768" s="30" t="s">
        <v>17</v>
      </c>
      <c r="E23768" s="30" t="s">
        <v>31</v>
      </c>
      <c r="F23768" s="30" t="s">
        <v>32</v>
      </c>
      <c r="G23768" s="30" t="s">
        <v>7780</v>
      </c>
      <c r="H23768" s="32">
        <v>60</v>
      </c>
      <c r="I23768" s="30" t="s">
        <v>51</v>
      </c>
      <c r="J23768" s="41">
        <v>45787</v>
      </c>
      <c r="K23768" s="30" t="s">
        <v>22</v>
      </c>
    </row>
    <row r="23769" spans="1:11">
      <c r="A23769" s="33" t="s">
        <v>52449</v>
      </c>
      <c r="B23769" s="33" t="s">
        <v>52450</v>
      </c>
      <c r="C23769" s="33" t="s">
        <v>379</v>
      </c>
      <c r="D23769" s="33" t="s">
        <v>17</v>
      </c>
      <c r="E23769" s="33" t="s">
        <v>330</v>
      </c>
      <c r="F23769" s="33" t="s">
        <v>331</v>
      </c>
      <c r="G23769" s="33" t="s">
        <v>140</v>
      </c>
      <c r="H23769" s="35">
        <v>254</v>
      </c>
      <c r="I23769" s="33" t="s">
        <v>51</v>
      </c>
      <c r="J23769" s="42">
        <v>46020</v>
      </c>
      <c r="K23769" s="33" t="s">
        <v>22</v>
      </c>
    </row>
    <row r="23770" spans="1:11">
      <c r="A23770" s="30" t="s">
        <v>52451</v>
      </c>
      <c r="B23770" s="30" t="s">
        <v>52452</v>
      </c>
      <c r="C23770" s="30" t="s">
        <v>1210</v>
      </c>
      <c r="D23770" s="30" t="s">
        <v>17</v>
      </c>
      <c r="E23770" s="30" t="s">
        <v>26</v>
      </c>
      <c r="F23770" s="30" t="s">
        <v>27</v>
      </c>
      <c r="G23770" s="30" t="s">
        <v>20</v>
      </c>
      <c r="H23770" s="32">
        <v>40</v>
      </c>
      <c r="I23770" s="30" t="s">
        <v>21</v>
      </c>
      <c r="J23770" s="41">
        <v>45931</v>
      </c>
      <c r="K23770" s="30" t="s">
        <v>22</v>
      </c>
    </row>
    <row r="23771" spans="1:11">
      <c r="A23771" s="33" t="s">
        <v>52453</v>
      </c>
      <c r="B23771" s="33" t="s">
        <v>52454</v>
      </c>
      <c r="C23771" s="33" t="s">
        <v>326</v>
      </c>
      <c r="D23771" s="33" t="s">
        <v>17</v>
      </c>
      <c r="E23771" s="33" t="s">
        <v>26</v>
      </c>
      <c r="F23771" s="33" t="s">
        <v>27</v>
      </c>
      <c r="G23771" s="33" t="s">
        <v>140</v>
      </c>
      <c r="H23771" s="35">
        <v>20</v>
      </c>
      <c r="I23771" s="33" t="s">
        <v>51</v>
      </c>
      <c r="J23771" s="42">
        <v>45891</v>
      </c>
      <c r="K23771" s="33" t="s">
        <v>22</v>
      </c>
    </row>
    <row r="23772" spans="1:11">
      <c r="A23772" s="30" t="s">
        <v>52455</v>
      </c>
      <c r="B23772" s="30" t="s">
        <v>52456</v>
      </c>
      <c r="C23772" s="30" t="s">
        <v>25549</v>
      </c>
      <c r="D23772" s="30" t="s">
        <v>17</v>
      </c>
      <c r="E23772" s="30" t="s">
        <v>18</v>
      </c>
      <c r="F23772" s="30" t="s">
        <v>19</v>
      </c>
      <c r="G23772" s="30" t="s">
        <v>140</v>
      </c>
      <c r="H23772" s="32">
        <v>378</v>
      </c>
      <c r="I23772" s="30" t="s">
        <v>51</v>
      </c>
      <c r="J23772" s="41">
        <v>45812</v>
      </c>
      <c r="K23772" s="30" t="s">
        <v>22</v>
      </c>
    </row>
    <row r="23773" spans="1:11">
      <c r="A23773" s="33" t="s">
        <v>52457</v>
      </c>
      <c r="B23773" s="33" t="s">
        <v>52458</v>
      </c>
      <c r="C23773" s="33" t="s">
        <v>52459</v>
      </c>
      <c r="D23773" s="33" t="s">
        <v>17</v>
      </c>
      <c r="E23773" s="33" t="s">
        <v>18</v>
      </c>
      <c r="F23773" s="33" t="s">
        <v>19</v>
      </c>
      <c r="G23773" s="33" t="s">
        <v>140</v>
      </c>
      <c r="H23773" s="35">
        <v>400</v>
      </c>
      <c r="I23773" s="33" t="s">
        <v>51</v>
      </c>
      <c r="J23773" s="42">
        <v>45852</v>
      </c>
      <c r="K23773" s="33" t="s">
        <v>22</v>
      </c>
    </row>
    <row r="23774" spans="1:11">
      <c r="A23774" s="30" t="s">
        <v>52460</v>
      </c>
      <c r="B23774" s="30" t="s">
        <v>52461</v>
      </c>
      <c r="C23774" s="30" t="s">
        <v>29541</v>
      </c>
      <c r="D23774" s="30" t="s">
        <v>17</v>
      </c>
      <c r="E23774" s="30" t="s">
        <v>26</v>
      </c>
      <c r="F23774" s="30" t="s">
        <v>27</v>
      </c>
      <c r="G23774" s="30" t="s">
        <v>140</v>
      </c>
      <c r="H23774" s="32">
        <v>70</v>
      </c>
      <c r="I23774" s="30" t="s">
        <v>51</v>
      </c>
      <c r="J23774" s="41">
        <v>45747</v>
      </c>
      <c r="K23774" s="30" t="s">
        <v>22</v>
      </c>
    </row>
    <row r="23775" spans="1:11">
      <c r="A23775" s="33" t="s">
        <v>52462</v>
      </c>
      <c r="B23775" s="33" t="s">
        <v>52463</v>
      </c>
      <c r="C23775" s="33" t="s">
        <v>310</v>
      </c>
      <c r="D23775" s="33" t="s">
        <v>17</v>
      </c>
      <c r="E23775" s="33" t="s">
        <v>18</v>
      </c>
      <c r="F23775" s="33" t="s">
        <v>19</v>
      </c>
      <c r="G23775" s="33" t="s">
        <v>140</v>
      </c>
      <c r="H23775" s="35">
        <v>408</v>
      </c>
      <c r="I23775" s="33" t="s">
        <v>51</v>
      </c>
      <c r="J23775" s="42">
        <v>45705</v>
      </c>
      <c r="K23775" s="33" t="s">
        <v>22</v>
      </c>
    </row>
    <row r="23776" spans="1:11">
      <c r="A23776" s="30" t="s">
        <v>52464</v>
      </c>
      <c r="B23776" s="30" t="s">
        <v>52465</v>
      </c>
      <c r="C23776" s="30" t="s">
        <v>45844</v>
      </c>
      <c r="D23776" s="30" t="s">
        <v>17</v>
      </c>
      <c r="E23776" s="30" t="s">
        <v>31</v>
      </c>
      <c r="F23776" s="30" t="s">
        <v>32</v>
      </c>
      <c r="G23776" s="30" t="s">
        <v>158</v>
      </c>
      <c r="H23776" s="32">
        <v>160</v>
      </c>
      <c r="I23776" s="30" t="s">
        <v>51</v>
      </c>
      <c r="J23776" s="41">
        <v>45728</v>
      </c>
      <c r="K23776" s="30" t="s">
        <v>22</v>
      </c>
    </row>
    <row r="23777" spans="1:11">
      <c r="A23777" s="33" t="s">
        <v>52466</v>
      </c>
      <c r="B23777" s="33" t="s">
        <v>52467</v>
      </c>
      <c r="C23777" s="33" t="s">
        <v>52468</v>
      </c>
      <c r="D23777" s="33" t="s">
        <v>17</v>
      </c>
      <c r="E23777" s="33" t="s">
        <v>31</v>
      </c>
      <c r="F23777" s="33" t="s">
        <v>32</v>
      </c>
      <c r="G23777" s="33" t="s">
        <v>112</v>
      </c>
      <c r="H23777" s="35">
        <v>0</v>
      </c>
      <c r="I23777" s="33" t="s">
        <v>21</v>
      </c>
      <c r="J23777" s="42">
        <v>45658</v>
      </c>
      <c r="K23777" s="33" t="s">
        <v>22</v>
      </c>
    </row>
    <row r="23778" spans="1:11">
      <c r="A23778" s="30" t="s">
        <v>52469</v>
      </c>
      <c r="B23778" s="30" t="s">
        <v>52470</v>
      </c>
      <c r="C23778" s="30" t="s">
        <v>96</v>
      </c>
      <c r="D23778" s="30" t="s">
        <v>17</v>
      </c>
      <c r="E23778" s="30" t="s">
        <v>26</v>
      </c>
      <c r="F23778" s="30" t="s">
        <v>27</v>
      </c>
      <c r="G23778" s="30" t="s">
        <v>140</v>
      </c>
      <c r="H23778" s="32">
        <v>15</v>
      </c>
      <c r="I23778" s="30" t="s">
        <v>51</v>
      </c>
      <c r="J23778" s="41">
        <v>45790</v>
      </c>
      <c r="K23778" s="30" t="s">
        <v>22</v>
      </c>
    </row>
    <row r="23779" spans="1:11">
      <c r="A23779" s="33" t="s">
        <v>52471</v>
      </c>
      <c r="B23779" s="33" t="s">
        <v>52472</v>
      </c>
      <c r="C23779" s="33" t="s">
        <v>109</v>
      </c>
      <c r="D23779" s="33" t="s">
        <v>17</v>
      </c>
      <c r="E23779" s="33" t="s">
        <v>31</v>
      </c>
      <c r="F23779" s="33" t="s">
        <v>32</v>
      </c>
      <c r="G23779" s="33" t="s">
        <v>140</v>
      </c>
      <c r="H23779" s="35">
        <v>407</v>
      </c>
      <c r="I23779" s="33" t="s">
        <v>51</v>
      </c>
      <c r="J23779" s="42">
        <v>45876</v>
      </c>
      <c r="K23779" s="33" t="s">
        <v>22</v>
      </c>
    </row>
    <row r="23780" spans="1:11">
      <c r="A23780" s="30" t="s">
        <v>52473</v>
      </c>
      <c r="B23780" s="30" t="s">
        <v>52474</v>
      </c>
      <c r="C23780" s="30" t="s">
        <v>52475</v>
      </c>
      <c r="D23780" s="30" t="s">
        <v>17</v>
      </c>
      <c r="E23780" s="30" t="s">
        <v>31</v>
      </c>
      <c r="F23780" s="30" t="s">
        <v>32</v>
      </c>
      <c r="G23780" s="30" t="s">
        <v>140</v>
      </c>
      <c r="H23780" s="32">
        <v>40</v>
      </c>
      <c r="I23780" s="30" t="s">
        <v>51</v>
      </c>
      <c r="J23780" s="41">
        <v>45931</v>
      </c>
      <c r="K23780" s="30" t="s">
        <v>22</v>
      </c>
    </row>
    <row r="23781" spans="1:11">
      <c r="A23781" s="33" t="s">
        <v>52476</v>
      </c>
      <c r="B23781" s="33" t="s">
        <v>52477</v>
      </c>
      <c r="C23781" s="33" t="s">
        <v>157</v>
      </c>
      <c r="D23781" s="33" t="s">
        <v>17</v>
      </c>
      <c r="E23781" s="33" t="s">
        <v>18</v>
      </c>
      <c r="F23781" s="33" t="s">
        <v>19</v>
      </c>
      <c r="G23781" s="33" t="s">
        <v>140</v>
      </c>
      <c r="H23781" s="35">
        <v>70</v>
      </c>
      <c r="I23781" s="33" t="s">
        <v>51</v>
      </c>
      <c r="J23781" s="42">
        <v>45679</v>
      </c>
      <c r="K23781" s="33" t="s">
        <v>22</v>
      </c>
    </row>
    <row r="23782" spans="1:11">
      <c r="A23782" s="30" t="s">
        <v>52478</v>
      </c>
      <c r="B23782" s="30" t="s">
        <v>52479</v>
      </c>
      <c r="C23782" s="30" t="s">
        <v>1733</v>
      </c>
      <c r="D23782" s="30" t="s">
        <v>17</v>
      </c>
      <c r="E23782" s="30" t="s">
        <v>31</v>
      </c>
      <c r="F23782" s="30" t="s">
        <v>32</v>
      </c>
      <c r="G23782" s="30" t="s">
        <v>112</v>
      </c>
      <c r="H23782" s="32">
        <v>0</v>
      </c>
      <c r="I23782" s="30" t="s">
        <v>21</v>
      </c>
      <c r="J23782" s="41">
        <v>46006</v>
      </c>
      <c r="K23782" s="30" t="s">
        <v>22</v>
      </c>
    </row>
    <row r="23783" spans="1:11">
      <c r="A23783" s="33" t="s">
        <v>52480</v>
      </c>
      <c r="B23783" s="33" t="s">
        <v>52481</v>
      </c>
      <c r="C23783" s="33" t="s">
        <v>49904</v>
      </c>
      <c r="D23783" s="33" t="s">
        <v>17</v>
      </c>
      <c r="E23783" s="33" t="s">
        <v>31</v>
      </c>
      <c r="F23783" s="33" t="s">
        <v>32</v>
      </c>
      <c r="G23783" s="33" t="s">
        <v>140</v>
      </c>
      <c r="H23783" s="35">
        <v>800</v>
      </c>
      <c r="I23783" s="33" t="s">
        <v>51</v>
      </c>
      <c r="J23783" s="42">
        <v>45996</v>
      </c>
      <c r="K23783" s="33" t="s">
        <v>22</v>
      </c>
    </row>
    <row r="23784" spans="1:11">
      <c r="A23784" s="30" t="s">
        <v>52482</v>
      </c>
      <c r="B23784" s="30" t="s">
        <v>52483</v>
      </c>
      <c r="C23784" s="30" t="s">
        <v>32621</v>
      </c>
      <c r="D23784" s="30" t="s">
        <v>17</v>
      </c>
      <c r="E23784" s="30" t="s">
        <v>67</v>
      </c>
      <c r="F23784" s="30" t="s">
        <v>68</v>
      </c>
      <c r="G23784" s="30" t="s">
        <v>140</v>
      </c>
      <c r="H23784" s="32">
        <v>350</v>
      </c>
      <c r="I23784" s="30" t="s">
        <v>51</v>
      </c>
      <c r="J23784" s="41">
        <v>45849</v>
      </c>
      <c r="K23784" s="30" t="s">
        <v>22</v>
      </c>
    </row>
    <row r="23785" spans="1:11">
      <c r="A23785" s="33" t="s">
        <v>52484</v>
      </c>
      <c r="B23785" s="33" t="s">
        <v>52485</v>
      </c>
      <c r="C23785" s="33" t="s">
        <v>52486</v>
      </c>
      <c r="D23785" s="33" t="s">
        <v>17</v>
      </c>
      <c r="E23785" s="33" t="s">
        <v>31</v>
      </c>
      <c r="F23785" s="33" t="s">
        <v>32</v>
      </c>
      <c r="G23785" s="33" t="s">
        <v>140</v>
      </c>
      <c r="H23785" s="35">
        <v>120</v>
      </c>
      <c r="I23785" s="33" t="s">
        <v>51</v>
      </c>
      <c r="J23785" s="42">
        <v>45944</v>
      </c>
      <c r="K23785" s="33" t="s">
        <v>22</v>
      </c>
    </row>
    <row r="23786" spans="1:11">
      <c r="A23786" s="30" t="s">
        <v>52487</v>
      </c>
      <c r="B23786" s="30" t="s">
        <v>52488</v>
      </c>
      <c r="C23786" s="30" t="s">
        <v>13033</v>
      </c>
      <c r="D23786" s="30" t="s">
        <v>17</v>
      </c>
      <c r="E23786" s="30" t="s">
        <v>18</v>
      </c>
      <c r="F23786" s="30" t="s">
        <v>19</v>
      </c>
      <c r="G23786" s="30" t="s">
        <v>140</v>
      </c>
      <c r="H23786" s="32">
        <v>1096</v>
      </c>
      <c r="I23786" s="30" t="s">
        <v>51</v>
      </c>
      <c r="J23786" s="41">
        <v>45999</v>
      </c>
      <c r="K23786" s="30" t="s">
        <v>22</v>
      </c>
    </row>
    <row r="23787" spans="1:11">
      <c r="A23787" s="33" t="s">
        <v>52489</v>
      </c>
      <c r="B23787" s="33" t="s">
        <v>52490</v>
      </c>
      <c r="C23787" s="33" t="s">
        <v>52491</v>
      </c>
      <c r="D23787" s="33" t="s">
        <v>17</v>
      </c>
      <c r="E23787" s="33" t="s">
        <v>18</v>
      </c>
      <c r="F23787" s="33" t="s">
        <v>19</v>
      </c>
      <c r="G23787" s="33" t="s">
        <v>140</v>
      </c>
      <c r="H23787" s="35">
        <v>332</v>
      </c>
      <c r="I23787" s="33" t="s">
        <v>51</v>
      </c>
      <c r="J23787" s="42">
        <v>46010</v>
      </c>
      <c r="K23787" s="33" t="s">
        <v>22</v>
      </c>
    </row>
    <row r="23788" spans="1:11">
      <c r="A23788" s="30" t="s">
        <v>52492</v>
      </c>
      <c r="B23788" s="30" t="s">
        <v>52493</v>
      </c>
      <c r="C23788" s="30" t="s">
        <v>96</v>
      </c>
      <c r="D23788" s="30" t="s">
        <v>17</v>
      </c>
      <c r="E23788" s="30" t="s">
        <v>26</v>
      </c>
      <c r="F23788" s="30" t="s">
        <v>27</v>
      </c>
      <c r="G23788" s="30" t="s">
        <v>106</v>
      </c>
      <c r="H23788" s="32">
        <v>23</v>
      </c>
      <c r="I23788" s="30" t="s">
        <v>21</v>
      </c>
      <c r="J23788" s="41">
        <v>45699</v>
      </c>
      <c r="K23788" s="30" t="s">
        <v>22</v>
      </c>
    </row>
    <row r="23789" spans="1:11">
      <c r="A23789" s="33" t="s">
        <v>52494</v>
      </c>
      <c r="B23789" s="33" t="s">
        <v>52495</v>
      </c>
      <c r="C23789" s="33" t="s">
        <v>14181</v>
      </c>
      <c r="D23789" s="33" t="s">
        <v>17</v>
      </c>
      <c r="E23789" s="33" t="s">
        <v>31</v>
      </c>
      <c r="F23789" s="33" t="s">
        <v>32</v>
      </c>
      <c r="G23789" s="33" t="s">
        <v>158</v>
      </c>
      <c r="H23789" s="35">
        <v>105</v>
      </c>
      <c r="I23789" s="33" t="s">
        <v>51</v>
      </c>
      <c r="J23789" s="42">
        <v>46006</v>
      </c>
      <c r="K23789" s="33" t="s">
        <v>22</v>
      </c>
    </row>
    <row r="23790" spans="1:11">
      <c r="A23790" s="30" t="s">
        <v>52496</v>
      </c>
      <c r="B23790" s="30" t="s">
        <v>52497</v>
      </c>
      <c r="C23790" s="30" t="s">
        <v>12036</v>
      </c>
      <c r="D23790" s="30" t="s">
        <v>17</v>
      </c>
      <c r="E23790" s="30" t="s">
        <v>45</v>
      </c>
      <c r="F23790" s="30" t="s">
        <v>46</v>
      </c>
      <c r="G23790" s="30" t="s">
        <v>158</v>
      </c>
      <c r="H23790" s="32">
        <v>600</v>
      </c>
      <c r="I23790" s="30" t="s">
        <v>51</v>
      </c>
      <c r="J23790" s="41">
        <v>45829</v>
      </c>
      <c r="K23790" s="30" t="s">
        <v>22</v>
      </c>
    </row>
    <row r="23791" spans="1:11">
      <c r="A23791" s="33" t="s">
        <v>52498</v>
      </c>
      <c r="B23791" s="33" t="s">
        <v>52499</v>
      </c>
      <c r="C23791" s="33" t="s">
        <v>6202</v>
      </c>
      <c r="D23791" s="33" t="s">
        <v>17</v>
      </c>
      <c r="E23791" s="33" t="s">
        <v>18</v>
      </c>
      <c r="F23791" s="33" t="s">
        <v>19</v>
      </c>
      <c r="G23791" s="33" t="s">
        <v>112</v>
      </c>
      <c r="H23791" s="35">
        <v>0</v>
      </c>
      <c r="I23791" s="33" t="s">
        <v>21</v>
      </c>
      <c r="J23791" s="42">
        <v>45992</v>
      </c>
      <c r="K23791" s="33" t="s">
        <v>22</v>
      </c>
    </row>
    <row r="23792" spans="1:11">
      <c r="A23792" s="30" t="s">
        <v>52500</v>
      </c>
      <c r="B23792" s="30" t="s">
        <v>52501</v>
      </c>
      <c r="C23792" s="30" t="s">
        <v>29982</v>
      </c>
      <c r="D23792" s="30" t="s">
        <v>17</v>
      </c>
      <c r="E23792" s="30" t="s">
        <v>31</v>
      </c>
      <c r="F23792" s="30" t="s">
        <v>32</v>
      </c>
      <c r="G23792" s="30" t="s">
        <v>7780</v>
      </c>
      <c r="H23792" s="32">
        <v>72</v>
      </c>
      <c r="I23792" s="30" t="s">
        <v>51</v>
      </c>
      <c r="J23792" s="41">
        <v>45839</v>
      </c>
      <c r="K23792" s="30" t="s">
        <v>22</v>
      </c>
    </row>
    <row r="23793" spans="1:11">
      <c r="A23793" s="33" t="s">
        <v>52502</v>
      </c>
      <c r="B23793" s="33" t="s">
        <v>52503</v>
      </c>
      <c r="C23793" s="33" t="s">
        <v>6470</v>
      </c>
      <c r="D23793" s="33" t="s">
        <v>17</v>
      </c>
      <c r="E23793" s="33" t="s">
        <v>26</v>
      </c>
      <c r="F23793" s="33" t="s">
        <v>27</v>
      </c>
      <c r="G23793" s="33" t="s">
        <v>140</v>
      </c>
      <c r="H23793" s="35">
        <v>56</v>
      </c>
      <c r="I23793" s="33" t="s">
        <v>51</v>
      </c>
      <c r="J23793" s="42">
        <v>45943</v>
      </c>
      <c r="K23793" s="33" t="s">
        <v>22</v>
      </c>
    </row>
    <row r="23794" spans="1:11">
      <c r="A23794" s="30" t="s">
        <v>52504</v>
      </c>
      <c r="B23794" s="30" t="s">
        <v>52505</v>
      </c>
      <c r="C23794" s="30" t="s">
        <v>130</v>
      </c>
      <c r="D23794" s="30" t="s">
        <v>17</v>
      </c>
      <c r="E23794" s="30" t="s">
        <v>18</v>
      </c>
      <c r="F23794" s="30" t="s">
        <v>19</v>
      </c>
      <c r="G23794" s="30" t="s">
        <v>158</v>
      </c>
      <c r="H23794" s="32">
        <v>9</v>
      </c>
      <c r="I23794" s="30" t="s">
        <v>21</v>
      </c>
      <c r="J23794" s="41">
        <v>45812</v>
      </c>
      <c r="K23794" s="30" t="s">
        <v>22</v>
      </c>
    </row>
    <row r="23795" spans="1:11">
      <c r="A23795" s="33" t="s">
        <v>52506</v>
      </c>
      <c r="B23795" s="33" t="s">
        <v>52507</v>
      </c>
      <c r="C23795" s="33" t="s">
        <v>14073</v>
      </c>
      <c r="D23795" s="33" t="s">
        <v>17</v>
      </c>
      <c r="E23795" s="33" t="s">
        <v>18</v>
      </c>
      <c r="F23795" s="33" t="s">
        <v>19</v>
      </c>
      <c r="G23795" s="33" t="s">
        <v>140</v>
      </c>
      <c r="H23795" s="35">
        <v>766</v>
      </c>
      <c r="I23795" s="33" t="s">
        <v>51</v>
      </c>
      <c r="J23795" s="42">
        <v>46001</v>
      </c>
      <c r="K23795" s="33" t="s">
        <v>22</v>
      </c>
    </row>
    <row r="23796" spans="1:11">
      <c r="A23796" s="30" t="s">
        <v>52508</v>
      </c>
      <c r="B23796" s="30" t="s">
        <v>52509</v>
      </c>
      <c r="C23796" s="30" t="s">
        <v>570</v>
      </c>
      <c r="D23796" s="30" t="s">
        <v>17</v>
      </c>
      <c r="E23796" s="30" t="s">
        <v>18</v>
      </c>
      <c r="F23796" s="30" t="s">
        <v>19</v>
      </c>
      <c r="G23796" s="30" t="s">
        <v>7780</v>
      </c>
      <c r="H23796" s="32">
        <v>520</v>
      </c>
      <c r="I23796" s="30" t="s">
        <v>51</v>
      </c>
      <c r="J23796" s="41">
        <v>45748</v>
      </c>
      <c r="K23796" s="30" t="s">
        <v>22</v>
      </c>
    </row>
    <row r="23797" spans="1:11">
      <c r="A23797" s="33" t="s">
        <v>52510</v>
      </c>
      <c r="B23797" s="33" t="s">
        <v>52511</v>
      </c>
      <c r="C23797" s="33" t="s">
        <v>25041</v>
      </c>
      <c r="D23797" s="33" t="s">
        <v>17</v>
      </c>
      <c r="E23797" s="33" t="s">
        <v>26</v>
      </c>
      <c r="F23797" s="33" t="s">
        <v>27</v>
      </c>
      <c r="G23797" s="33" t="s">
        <v>20</v>
      </c>
      <c r="H23797" s="35">
        <v>59</v>
      </c>
      <c r="I23797" s="33" t="s">
        <v>21</v>
      </c>
      <c r="J23797" s="42">
        <v>45739</v>
      </c>
      <c r="K23797" s="33" t="s">
        <v>22</v>
      </c>
    </row>
    <row r="23798" spans="1:11">
      <c r="A23798" s="30" t="s">
        <v>52512</v>
      </c>
      <c r="B23798" s="30" t="s">
        <v>52513</v>
      </c>
      <c r="C23798" s="30" t="s">
        <v>4176</v>
      </c>
      <c r="D23798" s="30" t="s">
        <v>17</v>
      </c>
      <c r="E23798" s="30" t="s">
        <v>18</v>
      </c>
      <c r="F23798" s="30" t="s">
        <v>19</v>
      </c>
      <c r="G23798" s="30" t="s">
        <v>158</v>
      </c>
      <c r="H23798" s="32">
        <v>200</v>
      </c>
      <c r="I23798" s="30" t="s">
        <v>51</v>
      </c>
      <c r="J23798" s="41">
        <v>45902</v>
      </c>
      <c r="K23798" s="30" t="s">
        <v>22</v>
      </c>
    </row>
    <row r="23799" spans="1:11">
      <c r="A23799" s="33" t="s">
        <v>52514</v>
      </c>
      <c r="B23799" s="33" t="s">
        <v>52515</v>
      </c>
      <c r="C23799" s="33" t="s">
        <v>52516</v>
      </c>
      <c r="D23799" s="33" t="s">
        <v>17</v>
      </c>
      <c r="E23799" s="33" t="s">
        <v>26</v>
      </c>
      <c r="F23799" s="33" t="s">
        <v>27</v>
      </c>
      <c r="G23799" s="33" t="s">
        <v>140</v>
      </c>
      <c r="H23799" s="35">
        <v>100</v>
      </c>
      <c r="I23799" s="33" t="s">
        <v>51</v>
      </c>
      <c r="J23799" s="42">
        <v>46010</v>
      </c>
      <c r="K23799" s="33" t="s">
        <v>22</v>
      </c>
    </row>
    <row r="23800" spans="1:11">
      <c r="A23800" s="30" t="s">
        <v>52517</v>
      </c>
      <c r="B23800" s="30" t="s">
        <v>52518</v>
      </c>
      <c r="C23800" s="30" t="s">
        <v>178</v>
      </c>
      <c r="D23800" s="30" t="s">
        <v>17</v>
      </c>
      <c r="E23800" s="30" t="s">
        <v>31</v>
      </c>
      <c r="F23800" s="30" t="s">
        <v>32</v>
      </c>
      <c r="G23800" s="30" t="s">
        <v>158</v>
      </c>
      <c r="H23800" s="32">
        <v>285</v>
      </c>
      <c r="I23800" s="30" t="s">
        <v>21</v>
      </c>
      <c r="J23800" s="41">
        <v>45782</v>
      </c>
      <c r="K23800" s="30" t="s">
        <v>22</v>
      </c>
    </row>
    <row r="23801" spans="1:11">
      <c r="A23801" s="33" t="s">
        <v>52519</v>
      </c>
      <c r="B23801" s="33" t="s">
        <v>52520</v>
      </c>
      <c r="C23801" s="33" t="s">
        <v>22083</v>
      </c>
      <c r="D23801" s="33" t="s">
        <v>17</v>
      </c>
      <c r="E23801" s="33" t="s">
        <v>26</v>
      </c>
      <c r="F23801" s="33" t="s">
        <v>27</v>
      </c>
      <c r="G23801" s="33" t="s">
        <v>20</v>
      </c>
      <c r="H23801" s="35">
        <v>25</v>
      </c>
      <c r="I23801" s="33" t="s">
        <v>21</v>
      </c>
      <c r="J23801" s="42">
        <v>45667</v>
      </c>
      <c r="K23801" s="33" t="s">
        <v>22</v>
      </c>
    </row>
    <row r="23802" spans="1:11">
      <c r="A23802" s="30" t="s">
        <v>52521</v>
      </c>
      <c r="B23802" s="30" t="s">
        <v>52522</v>
      </c>
      <c r="C23802" s="30" t="s">
        <v>12112</v>
      </c>
      <c r="D23802" s="30" t="s">
        <v>17</v>
      </c>
      <c r="E23802" s="30" t="s">
        <v>26</v>
      </c>
      <c r="F23802" s="30" t="s">
        <v>27</v>
      </c>
      <c r="G23802" s="30" t="s">
        <v>140</v>
      </c>
      <c r="H23802" s="32">
        <v>50</v>
      </c>
      <c r="I23802" s="30" t="s">
        <v>51</v>
      </c>
      <c r="J23802" s="41">
        <v>45881</v>
      </c>
      <c r="K23802" s="30" t="s">
        <v>22</v>
      </c>
    </row>
    <row r="23803" spans="1:11">
      <c r="A23803" s="33" t="s">
        <v>52523</v>
      </c>
      <c r="B23803" s="33" t="s">
        <v>52524</v>
      </c>
      <c r="C23803" s="33" t="s">
        <v>52525</v>
      </c>
      <c r="D23803" s="33" t="s">
        <v>17</v>
      </c>
      <c r="E23803" s="33" t="s">
        <v>67</v>
      </c>
      <c r="F23803" s="33" t="s">
        <v>68</v>
      </c>
      <c r="G23803" s="33" t="s">
        <v>158</v>
      </c>
      <c r="H23803" s="35">
        <v>15</v>
      </c>
      <c r="I23803" s="33" t="s">
        <v>51</v>
      </c>
      <c r="J23803" s="42">
        <v>45667</v>
      </c>
      <c r="K23803" s="33" t="s">
        <v>22</v>
      </c>
    </row>
    <row r="23804" spans="1:11">
      <c r="A23804" s="30" t="s">
        <v>52526</v>
      </c>
      <c r="B23804" s="30" t="s">
        <v>52527</v>
      </c>
      <c r="C23804" s="30" t="s">
        <v>2562</v>
      </c>
      <c r="D23804" s="30" t="s">
        <v>17</v>
      </c>
      <c r="E23804" s="30" t="s">
        <v>31</v>
      </c>
      <c r="F23804" s="30" t="s">
        <v>32</v>
      </c>
      <c r="G23804" s="30" t="s">
        <v>140</v>
      </c>
      <c r="H23804" s="32">
        <v>200</v>
      </c>
      <c r="I23804" s="30" t="s">
        <v>51</v>
      </c>
      <c r="J23804" s="41">
        <v>45888</v>
      </c>
      <c r="K23804" s="30" t="s">
        <v>22</v>
      </c>
    </row>
    <row r="23805" spans="1:11">
      <c r="A23805" s="33" t="s">
        <v>52528</v>
      </c>
      <c r="B23805" s="33" t="s">
        <v>52529</v>
      </c>
      <c r="C23805" s="33" t="s">
        <v>50946</v>
      </c>
      <c r="D23805" s="33" t="s">
        <v>17</v>
      </c>
      <c r="E23805" s="33" t="s">
        <v>18</v>
      </c>
      <c r="F23805" s="33" t="s">
        <v>19</v>
      </c>
      <c r="G23805" s="33" t="s">
        <v>140</v>
      </c>
      <c r="H23805" s="35">
        <v>1200</v>
      </c>
      <c r="I23805" s="33" t="s">
        <v>51</v>
      </c>
      <c r="J23805" s="42">
        <v>46021</v>
      </c>
      <c r="K23805" s="33" t="s">
        <v>22</v>
      </c>
    </row>
    <row r="23806" spans="1:11">
      <c r="A23806" s="30" t="s">
        <v>52530</v>
      </c>
      <c r="B23806" s="30" t="s">
        <v>52531</v>
      </c>
      <c r="C23806" s="30" t="s">
        <v>1425</v>
      </c>
      <c r="D23806" s="30" t="s">
        <v>17</v>
      </c>
      <c r="E23806" s="30" t="s">
        <v>31</v>
      </c>
      <c r="F23806" s="30" t="s">
        <v>32</v>
      </c>
      <c r="G23806" s="30" t="s">
        <v>140</v>
      </c>
      <c r="H23806" s="32">
        <v>550</v>
      </c>
      <c r="I23806" s="30" t="s">
        <v>51</v>
      </c>
      <c r="J23806" s="41">
        <v>45902</v>
      </c>
      <c r="K23806" s="30" t="s">
        <v>22</v>
      </c>
    </row>
    <row r="23807" spans="1:11">
      <c r="A23807" s="33" t="s">
        <v>52532</v>
      </c>
      <c r="B23807" s="33" t="s">
        <v>52533</v>
      </c>
      <c r="C23807" s="33" t="s">
        <v>1077</v>
      </c>
      <c r="D23807" s="33" t="s">
        <v>17</v>
      </c>
      <c r="E23807" s="33" t="s">
        <v>26</v>
      </c>
      <c r="F23807" s="33" t="s">
        <v>27</v>
      </c>
      <c r="G23807" s="33" t="s">
        <v>140</v>
      </c>
      <c r="H23807" s="35">
        <v>55</v>
      </c>
      <c r="I23807" s="33" t="s">
        <v>51</v>
      </c>
      <c r="J23807" s="42">
        <v>45817</v>
      </c>
      <c r="K23807" s="33" t="s">
        <v>22</v>
      </c>
    </row>
    <row r="23808" spans="1:11">
      <c r="A23808" s="30" t="s">
        <v>52534</v>
      </c>
      <c r="B23808" s="30" t="s">
        <v>52535</v>
      </c>
      <c r="C23808" s="30" t="s">
        <v>969</v>
      </c>
      <c r="D23808" s="30" t="s">
        <v>17</v>
      </c>
      <c r="E23808" s="30" t="s">
        <v>26</v>
      </c>
      <c r="F23808" s="30" t="s">
        <v>27</v>
      </c>
      <c r="G23808" s="30" t="s">
        <v>20</v>
      </c>
      <c r="H23808" s="32">
        <v>20</v>
      </c>
      <c r="I23808" s="30" t="s">
        <v>21</v>
      </c>
      <c r="J23808" s="41">
        <v>45727</v>
      </c>
      <c r="K23808" s="30" t="s">
        <v>22</v>
      </c>
    </row>
    <row r="23809" spans="1:11">
      <c r="A23809" s="33" t="s">
        <v>52536</v>
      </c>
      <c r="B23809" s="33" t="s">
        <v>52537</v>
      </c>
      <c r="C23809" s="33" t="s">
        <v>2660</v>
      </c>
      <c r="D23809" s="33" t="s">
        <v>17</v>
      </c>
      <c r="E23809" s="33" t="s">
        <v>26</v>
      </c>
      <c r="F23809" s="33" t="s">
        <v>27</v>
      </c>
      <c r="G23809" s="33" t="s">
        <v>20</v>
      </c>
      <c r="H23809" s="35">
        <v>12</v>
      </c>
      <c r="I23809" s="33" t="s">
        <v>21</v>
      </c>
      <c r="J23809" s="42">
        <v>45674</v>
      </c>
      <c r="K23809" s="33" t="s">
        <v>22</v>
      </c>
    </row>
    <row r="23810" spans="1:11">
      <c r="A23810" s="30" t="s">
        <v>52538</v>
      </c>
      <c r="B23810" s="30" t="s">
        <v>52539</v>
      </c>
      <c r="C23810" s="30" t="s">
        <v>52540</v>
      </c>
      <c r="D23810" s="30" t="s">
        <v>17</v>
      </c>
      <c r="E23810" s="30" t="s">
        <v>212</v>
      </c>
      <c r="F23810" s="30" t="s">
        <v>213</v>
      </c>
      <c r="G23810" s="30" t="s">
        <v>140</v>
      </c>
      <c r="H23810" s="32">
        <v>146</v>
      </c>
      <c r="I23810" s="30" t="s">
        <v>51</v>
      </c>
      <c r="J23810" s="41">
        <v>46002</v>
      </c>
      <c r="K23810" s="30" t="s">
        <v>22</v>
      </c>
    </row>
    <row r="23811" spans="1:11">
      <c r="A23811" s="33" t="s">
        <v>52541</v>
      </c>
      <c r="B23811" s="33" t="s">
        <v>52542</v>
      </c>
      <c r="C23811" s="33" t="s">
        <v>157</v>
      </c>
      <c r="D23811" s="33" t="s">
        <v>17</v>
      </c>
      <c r="E23811" s="33" t="s">
        <v>18</v>
      </c>
      <c r="F23811" s="33" t="s">
        <v>19</v>
      </c>
      <c r="G23811" s="33" t="s">
        <v>140</v>
      </c>
      <c r="H23811" s="35">
        <v>150</v>
      </c>
      <c r="I23811" s="33" t="s">
        <v>51</v>
      </c>
      <c r="J23811" s="42">
        <v>45883</v>
      </c>
      <c r="K23811" s="33" t="s">
        <v>22</v>
      </c>
    </row>
    <row r="23812" spans="1:11">
      <c r="A23812" s="30" t="s">
        <v>52543</v>
      </c>
      <c r="B23812" s="30" t="s">
        <v>52544</v>
      </c>
      <c r="C23812" s="30" t="s">
        <v>57</v>
      </c>
      <c r="D23812" s="30" t="s">
        <v>17</v>
      </c>
      <c r="E23812" s="30" t="s">
        <v>18</v>
      </c>
      <c r="F23812" s="30" t="s">
        <v>19</v>
      </c>
      <c r="G23812" s="30" t="s">
        <v>7780</v>
      </c>
      <c r="H23812" s="32">
        <v>324</v>
      </c>
      <c r="I23812" s="30" t="s">
        <v>51</v>
      </c>
      <c r="J23812" s="41">
        <v>45853</v>
      </c>
      <c r="K23812" s="30" t="s">
        <v>22</v>
      </c>
    </row>
    <row r="23813" spans="1:11">
      <c r="A23813" s="33" t="s">
        <v>52545</v>
      </c>
      <c r="B23813" s="33" t="s">
        <v>52546</v>
      </c>
      <c r="C23813" s="33" t="s">
        <v>149</v>
      </c>
      <c r="D23813" s="33" t="s">
        <v>17</v>
      </c>
      <c r="E23813" s="33" t="s">
        <v>26</v>
      </c>
      <c r="F23813" s="33" t="s">
        <v>27</v>
      </c>
      <c r="G23813" s="33" t="s">
        <v>140</v>
      </c>
      <c r="H23813" s="35">
        <v>55</v>
      </c>
      <c r="I23813" s="33" t="s">
        <v>51</v>
      </c>
      <c r="J23813" s="42">
        <v>45880</v>
      </c>
      <c r="K23813" s="33" t="s">
        <v>22</v>
      </c>
    </row>
    <row r="23814" spans="1:11">
      <c r="A23814" s="30" t="s">
        <v>52547</v>
      </c>
      <c r="B23814" s="30" t="s">
        <v>52548</v>
      </c>
      <c r="C23814" s="30" t="s">
        <v>222</v>
      </c>
      <c r="D23814" s="30" t="s">
        <v>17</v>
      </c>
      <c r="E23814" s="30" t="s">
        <v>26</v>
      </c>
      <c r="F23814" s="30" t="s">
        <v>27</v>
      </c>
      <c r="G23814" s="30" t="s">
        <v>20</v>
      </c>
      <c r="H23814" s="32">
        <v>58</v>
      </c>
      <c r="I23814" s="30" t="s">
        <v>21</v>
      </c>
      <c r="J23814" s="41">
        <v>45929</v>
      </c>
      <c r="K23814" s="30" t="s">
        <v>22</v>
      </c>
    </row>
    <row r="23815" spans="1:11">
      <c r="A23815" s="33" t="s">
        <v>52549</v>
      </c>
      <c r="B23815" s="33" t="s">
        <v>52550</v>
      </c>
      <c r="C23815" s="33" t="s">
        <v>136</v>
      </c>
      <c r="D23815" s="33" t="s">
        <v>17</v>
      </c>
      <c r="E23815" s="33" t="s">
        <v>31</v>
      </c>
      <c r="F23815" s="33" t="s">
        <v>32</v>
      </c>
      <c r="G23815" s="33" t="s">
        <v>140</v>
      </c>
      <c r="H23815" s="35">
        <v>60</v>
      </c>
      <c r="I23815" s="33" t="s">
        <v>51</v>
      </c>
      <c r="J23815" s="42">
        <v>45999</v>
      </c>
      <c r="K23815" s="33" t="s">
        <v>22</v>
      </c>
    </row>
    <row r="23816" spans="1:11">
      <c r="A23816" s="30" t="s">
        <v>52551</v>
      </c>
      <c r="B23816" s="30" t="s">
        <v>52552</v>
      </c>
      <c r="C23816" s="30" t="s">
        <v>14832</v>
      </c>
      <c r="D23816" s="30" t="s">
        <v>17</v>
      </c>
      <c r="E23816" s="30" t="s">
        <v>18</v>
      </c>
      <c r="F23816" s="30" t="s">
        <v>19</v>
      </c>
      <c r="G23816" s="30" t="s">
        <v>140</v>
      </c>
      <c r="H23816" s="32">
        <v>360</v>
      </c>
      <c r="I23816" s="30" t="s">
        <v>51</v>
      </c>
      <c r="J23816" s="41">
        <v>45992</v>
      </c>
      <c r="K23816" s="30" t="s">
        <v>22</v>
      </c>
    </row>
    <row r="23817" spans="1:11">
      <c r="A23817" s="33" t="s">
        <v>52553</v>
      </c>
      <c r="B23817" s="33" t="s">
        <v>52554</v>
      </c>
      <c r="C23817" s="33" t="s">
        <v>49825</v>
      </c>
      <c r="D23817" s="33" t="s">
        <v>17</v>
      </c>
      <c r="E23817" s="33" t="s">
        <v>31</v>
      </c>
      <c r="F23817" s="33" t="s">
        <v>32</v>
      </c>
      <c r="G23817" s="33" t="s">
        <v>20</v>
      </c>
      <c r="H23817" s="35">
        <v>40</v>
      </c>
      <c r="I23817" s="33" t="s">
        <v>21</v>
      </c>
      <c r="J23817" s="42">
        <v>45680</v>
      </c>
      <c r="K23817" s="33" t="s">
        <v>22</v>
      </c>
    </row>
    <row r="23818" spans="1:11">
      <c r="A23818" s="30" t="s">
        <v>52555</v>
      </c>
      <c r="B23818" s="30" t="s">
        <v>52556</v>
      </c>
      <c r="C23818" s="30" t="s">
        <v>52557</v>
      </c>
      <c r="D23818" s="30" t="s">
        <v>17</v>
      </c>
      <c r="E23818" s="30" t="s">
        <v>26</v>
      </c>
      <c r="F23818" s="30" t="s">
        <v>27</v>
      </c>
      <c r="G23818" s="30" t="s">
        <v>20</v>
      </c>
      <c r="H23818" s="32">
        <v>48</v>
      </c>
      <c r="I23818" s="30" t="s">
        <v>21</v>
      </c>
      <c r="J23818" s="41">
        <v>45735</v>
      </c>
      <c r="K23818" s="30" t="s">
        <v>22</v>
      </c>
    </row>
    <row r="23819" spans="1:11">
      <c r="A23819" s="33" t="s">
        <v>52558</v>
      </c>
      <c r="B23819" s="33" t="s">
        <v>52559</v>
      </c>
      <c r="C23819" s="33" t="s">
        <v>1778</v>
      </c>
      <c r="D23819" s="33" t="s">
        <v>17</v>
      </c>
      <c r="E23819" s="33" t="s">
        <v>26</v>
      </c>
      <c r="F23819" s="33" t="s">
        <v>27</v>
      </c>
      <c r="G23819" s="33" t="s">
        <v>20</v>
      </c>
      <c r="H23819" s="35">
        <v>16</v>
      </c>
      <c r="I23819" s="33" t="s">
        <v>21</v>
      </c>
      <c r="J23819" s="42">
        <v>45874</v>
      </c>
      <c r="K23819" s="33" t="s">
        <v>22</v>
      </c>
    </row>
    <row r="23820" spans="1:11">
      <c r="A23820" s="30" t="s">
        <v>52560</v>
      </c>
      <c r="B23820" s="30" t="s">
        <v>52561</v>
      </c>
      <c r="C23820" s="30" t="s">
        <v>52562</v>
      </c>
      <c r="D23820" s="30" t="s">
        <v>17</v>
      </c>
      <c r="E23820" s="30" t="s">
        <v>212</v>
      </c>
      <c r="F23820" s="30" t="s">
        <v>213</v>
      </c>
      <c r="G23820" s="30" t="s">
        <v>140</v>
      </c>
      <c r="H23820" s="32">
        <v>358</v>
      </c>
      <c r="I23820" s="30" t="s">
        <v>51</v>
      </c>
      <c r="J23820" s="41">
        <v>45898</v>
      </c>
      <c r="K23820" s="30" t="s">
        <v>22</v>
      </c>
    </row>
    <row r="23821" spans="1:11">
      <c r="A23821" s="33" t="s">
        <v>52563</v>
      </c>
      <c r="B23821" s="33" t="s">
        <v>52564</v>
      </c>
      <c r="C23821" s="33" t="s">
        <v>16295</v>
      </c>
      <c r="D23821" s="33" t="s">
        <v>17</v>
      </c>
      <c r="E23821" s="33" t="s">
        <v>67</v>
      </c>
      <c r="F23821" s="33" t="s">
        <v>68</v>
      </c>
      <c r="G23821" s="33" t="s">
        <v>7780</v>
      </c>
      <c r="H23821" s="35">
        <v>27</v>
      </c>
      <c r="I23821" s="33" t="s">
        <v>51</v>
      </c>
      <c r="J23821" s="42">
        <v>45748</v>
      </c>
      <c r="K23821" s="33" t="s">
        <v>22</v>
      </c>
    </row>
    <row r="23822" spans="1:11">
      <c r="A23822" s="30" t="s">
        <v>52565</v>
      </c>
      <c r="B23822" s="30" t="s">
        <v>52566</v>
      </c>
      <c r="C23822" s="30" t="s">
        <v>48745</v>
      </c>
      <c r="D23822" s="30" t="s">
        <v>17</v>
      </c>
      <c r="E23822" s="30" t="s">
        <v>26</v>
      </c>
      <c r="F23822" s="30" t="s">
        <v>27</v>
      </c>
      <c r="G23822" s="30" t="s">
        <v>140</v>
      </c>
      <c r="H23822" s="32">
        <v>18</v>
      </c>
      <c r="I23822" s="30" t="s">
        <v>51</v>
      </c>
      <c r="J23822" s="41">
        <v>45882</v>
      </c>
      <c r="K23822" s="30" t="s">
        <v>22</v>
      </c>
    </row>
    <row r="23823" spans="1:11">
      <c r="A23823" s="33" t="s">
        <v>52567</v>
      </c>
      <c r="B23823" s="33" t="s">
        <v>52568</v>
      </c>
      <c r="C23823" s="33" t="s">
        <v>310</v>
      </c>
      <c r="D23823" s="33" t="s">
        <v>17</v>
      </c>
      <c r="E23823" s="33" t="s">
        <v>18</v>
      </c>
      <c r="F23823" s="33" t="s">
        <v>19</v>
      </c>
      <c r="G23823" s="33" t="s">
        <v>158</v>
      </c>
      <c r="H23823" s="35">
        <v>264</v>
      </c>
      <c r="I23823" s="33" t="s">
        <v>51</v>
      </c>
      <c r="J23823" s="42">
        <v>45992</v>
      </c>
      <c r="K23823" s="33" t="s">
        <v>22</v>
      </c>
    </row>
    <row r="23824" spans="1:11">
      <c r="A23824" s="30" t="s">
        <v>52569</v>
      </c>
      <c r="B23824" s="30" t="s">
        <v>52570</v>
      </c>
      <c r="C23824" s="30" t="s">
        <v>33390</v>
      </c>
      <c r="D23824" s="30" t="s">
        <v>17</v>
      </c>
      <c r="E23824" s="30" t="s">
        <v>67</v>
      </c>
      <c r="F23824" s="30" t="s">
        <v>68</v>
      </c>
      <c r="G23824" s="30" t="s">
        <v>140</v>
      </c>
      <c r="H23824" s="32">
        <v>85</v>
      </c>
      <c r="I23824" s="30" t="s">
        <v>51</v>
      </c>
      <c r="J23824" s="41">
        <v>45769</v>
      </c>
      <c r="K23824" s="30" t="s">
        <v>22</v>
      </c>
    </row>
    <row r="23825" spans="1:11">
      <c r="A23825" s="33" t="s">
        <v>52571</v>
      </c>
      <c r="B23825" s="33" t="s">
        <v>52572</v>
      </c>
      <c r="C23825" s="33" t="s">
        <v>78</v>
      </c>
      <c r="D23825" s="33" t="s">
        <v>17</v>
      </c>
      <c r="E23825" s="33" t="s">
        <v>26</v>
      </c>
      <c r="F23825" s="33" t="s">
        <v>27</v>
      </c>
      <c r="G23825" s="33" t="s">
        <v>140</v>
      </c>
      <c r="H23825" s="35">
        <v>60</v>
      </c>
      <c r="I23825" s="33" t="s">
        <v>51</v>
      </c>
      <c r="J23825" s="42">
        <v>45946</v>
      </c>
      <c r="K23825" s="33" t="s">
        <v>22</v>
      </c>
    </row>
    <row r="23826" spans="1:11">
      <c r="A23826" s="30" t="s">
        <v>52573</v>
      </c>
      <c r="B23826" s="30" t="s">
        <v>52574</v>
      </c>
      <c r="C23826" s="30" t="s">
        <v>46696</v>
      </c>
      <c r="D23826" s="30" t="s">
        <v>17</v>
      </c>
      <c r="E23826" s="30" t="s">
        <v>26</v>
      </c>
      <c r="F23826" s="30" t="s">
        <v>27</v>
      </c>
      <c r="G23826" s="30" t="s">
        <v>158</v>
      </c>
      <c r="H23826" s="32">
        <v>86</v>
      </c>
      <c r="I23826" s="30" t="s">
        <v>21</v>
      </c>
      <c r="J23826" s="41">
        <v>45812</v>
      </c>
      <c r="K23826" s="30" t="s">
        <v>22</v>
      </c>
    </row>
    <row r="23827" spans="1:11">
      <c r="A23827" s="33" t="s">
        <v>52575</v>
      </c>
      <c r="B23827" s="33" t="s">
        <v>52576</v>
      </c>
      <c r="C23827" s="33" t="s">
        <v>2313</v>
      </c>
      <c r="D23827" s="33" t="s">
        <v>17</v>
      </c>
      <c r="E23827" s="33" t="s">
        <v>26</v>
      </c>
      <c r="F23827" s="33" t="s">
        <v>27</v>
      </c>
      <c r="G23827" s="33" t="s">
        <v>158</v>
      </c>
      <c r="H23827" s="35">
        <v>331</v>
      </c>
      <c r="I23827" s="33" t="s">
        <v>21</v>
      </c>
      <c r="J23827" s="42">
        <v>45947</v>
      </c>
      <c r="K23827" s="33" t="s">
        <v>22</v>
      </c>
    </row>
    <row r="23828" spans="1:11">
      <c r="A23828" s="30" t="s">
        <v>52577</v>
      </c>
      <c r="B23828" s="30" t="s">
        <v>52578</v>
      </c>
      <c r="C23828" s="30" t="s">
        <v>11850</v>
      </c>
      <c r="D23828" s="30" t="s">
        <v>17</v>
      </c>
      <c r="E23828" s="30" t="s">
        <v>18</v>
      </c>
      <c r="F23828" s="30" t="s">
        <v>19</v>
      </c>
      <c r="G23828" s="30" t="s">
        <v>140</v>
      </c>
      <c r="H23828" s="32">
        <v>102</v>
      </c>
      <c r="I23828" s="30" t="s">
        <v>51</v>
      </c>
      <c r="J23828" s="41">
        <v>45825</v>
      </c>
      <c r="K23828" s="30" t="s">
        <v>22</v>
      </c>
    </row>
    <row r="23829" spans="1:11">
      <c r="A23829" s="33" t="s">
        <v>52579</v>
      </c>
      <c r="B23829" s="33" t="s">
        <v>52580</v>
      </c>
      <c r="C23829" s="33" t="s">
        <v>222</v>
      </c>
      <c r="D23829" s="33" t="s">
        <v>17</v>
      </c>
      <c r="E23829" s="33" t="s">
        <v>26</v>
      </c>
      <c r="F23829" s="33" t="s">
        <v>27</v>
      </c>
      <c r="G23829" s="33" t="s">
        <v>20</v>
      </c>
      <c r="H23829" s="35">
        <v>58</v>
      </c>
      <c r="I23829" s="33" t="s">
        <v>21</v>
      </c>
      <c r="J23829" s="42">
        <v>45937</v>
      </c>
      <c r="K23829" s="33" t="s">
        <v>22</v>
      </c>
    </row>
    <row r="23830" spans="1:11">
      <c r="A23830" s="30" t="s">
        <v>52581</v>
      </c>
      <c r="B23830" s="30" t="s">
        <v>52582</v>
      </c>
      <c r="C23830" s="30" t="s">
        <v>109</v>
      </c>
      <c r="D23830" s="30" t="s">
        <v>17</v>
      </c>
      <c r="E23830" s="30" t="s">
        <v>67</v>
      </c>
      <c r="F23830" s="30" t="s">
        <v>68</v>
      </c>
      <c r="G23830" s="30" t="s">
        <v>140</v>
      </c>
      <c r="H23830" s="32">
        <v>188</v>
      </c>
      <c r="I23830" s="30" t="s">
        <v>51</v>
      </c>
      <c r="J23830" s="41">
        <v>45945</v>
      </c>
      <c r="K23830" s="30" t="s">
        <v>22</v>
      </c>
    </row>
    <row r="23831" spans="1:11">
      <c r="A23831" s="33" t="s">
        <v>52583</v>
      </c>
      <c r="B23831" s="33" t="s">
        <v>52584</v>
      </c>
      <c r="C23831" s="33" t="s">
        <v>4348</v>
      </c>
      <c r="D23831" s="33" t="s">
        <v>17</v>
      </c>
      <c r="E23831" s="33" t="s">
        <v>18</v>
      </c>
      <c r="F23831" s="33" t="s">
        <v>19</v>
      </c>
      <c r="G23831" s="33" t="s">
        <v>140</v>
      </c>
      <c r="H23831" s="35">
        <v>440</v>
      </c>
      <c r="I23831" s="33" t="s">
        <v>51</v>
      </c>
      <c r="J23831" s="42">
        <v>45929</v>
      </c>
      <c r="K23831" s="33" t="s">
        <v>22</v>
      </c>
    </row>
    <row r="23832" spans="1:11">
      <c r="A23832" s="30" t="s">
        <v>52585</v>
      </c>
      <c r="B23832" s="30" t="s">
        <v>52586</v>
      </c>
      <c r="C23832" s="30" t="s">
        <v>32048</v>
      </c>
      <c r="D23832" s="30" t="s">
        <v>17</v>
      </c>
      <c r="E23832" s="30" t="s">
        <v>31</v>
      </c>
      <c r="F23832" s="30" t="s">
        <v>32</v>
      </c>
      <c r="G23832" s="30" t="s">
        <v>7780</v>
      </c>
      <c r="H23832" s="32">
        <v>40</v>
      </c>
      <c r="I23832" s="30" t="s">
        <v>51</v>
      </c>
      <c r="J23832" s="41">
        <v>45706</v>
      </c>
      <c r="K23832" s="30" t="s">
        <v>22</v>
      </c>
    </row>
    <row r="23833" spans="1:11">
      <c r="A23833" s="33" t="s">
        <v>52587</v>
      </c>
      <c r="B23833" s="33" t="s">
        <v>52588</v>
      </c>
      <c r="C23833" s="33" t="s">
        <v>52589</v>
      </c>
      <c r="D23833" s="33" t="s">
        <v>17</v>
      </c>
      <c r="E23833" s="33" t="s">
        <v>26</v>
      </c>
      <c r="F23833" s="33" t="s">
        <v>27</v>
      </c>
      <c r="G23833" s="33" t="s">
        <v>7780</v>
      </c>
      <c r="H23833" s="35">
        <v>120</v>
      </c>
      <c r="I23833" s="33" t="s">
        <v>51</v>
      </c>
      <c r="J23833" s="42">
        <v>46006</v>
      </c>
      <c r="K23833" s="33" t="s">
        <v>22</v>
      </c>
    </row>
    <row r="23834" spans="1:11">
      <c r="A23834" s="30" t="s">
        <v>52590</v>
      </c>
      <c r="B23834" s="30" t="s">
        <v>52591</v>
      </c>
      <c r="C23834" s="30" t="s">
        <v>52592</v>
      </c>
      <c r="D23834" s="30" t="s">
        <v>17</v>
      </c>
      <c r="E23834" s="30" t="s">
        <v>26</v>
      </c>
      <c r="F23834" s="30" t="s">
        <v>27</v>
      </c>
      <c r="G23834" s="30" t="s">
        <v>140</v>
      </c>
      <c r="H23834" s="32">
        <v>35</v>
      </c>
      <c r="I23834" s="30" t="s">
        <v>51</v>
      </c>
      <c r="J23834" s="41">
        <v>45658</v>
      </c>
      <c r="K23834" s="30" t="s">
        <v>22</v>
      </c>
    </row>
    <row r="23835" spans="1:11">
      <c r="A23835" s="33" t="s">
        <v>52593</v>
      </c>
      <c r="B23835" s="33" t="s">
        <v>52594</v>
      </c>
      <c r="C23835" s="33" t="s">
        <v>51354</v>
      </c>
      <c r="D23835" s="33" t="s">
        <v>17</v>
      </c>
      <c r="E23835" s="33" t="s">
        <v>31</v>
      </c>
      <c r="F23835" s="33" t="s">
        <v>32</v>
      </c>
      <c r="G23835" s="33" t="s">
        <v>140</v>
      </c>
      <c r="H23835" s="35">
        <v>60</v>
      </c>
      <c r="I23835" s="33" t="s">
        <v>51</v>
      </c>
      <c r="J23835" s="42">
        <v>46013</v>
      </c>
      <c r="K23835" s="33" t="s">
        <v>22</v>
      </c>
    </row>
    <row r="23836" spans="1:11">
      <c r="A23836" s="30" t="s">
        <v>52595</v>
      </c>
      <c r="B23836" s="30" t="s">
        <v>52596</v>
      </c>
      <c r="C23836" s="30" t="s">
        <v>10459</v>
      </c>
      <c r="D23836" s="30" t="s">
        <v>17</v>
      </c>
      <c r="E23836" s="30" t="s">
        <v>330</v>
      </c>
      <c r="F23836" s="30" t="s">
        <v>331</v>
      </c>
      <c r="G23836" s="30" t="s">
        <v>140</v>
      </c>
      <c r="H23836" s="32">
        <v>10</v>
      </c>
      <c r="I23836" s="30" t="s">
        <v>51</v>
      </c>
      <c r="J23836" s="41">
        <v>45698</v>
      </c>
      <c r="K23836" s="30" t="s">
        <v>22</v>
      </c>
    </row>
    <row r="23837" spans="1:11">
      <c r="A23837" s="33" t="s">
        <v>52597</v>
      </c>
      <c r="B23837" s="33" t="s">
        <v>52598</v>
      </c>
      <c r="C23837" s="33" t="s">
        <v>21978</v>
      </c>
      <c r="D23837" s="33" t="s">
        <v>17</v>
      </c>
      <c r="E23837" s="33" t="s">
        <v>45</v>
      </c>
      <c r="F23837" s="33" t="s">
        <v>46</v>
      </c>
      <c r="G23837" s="33" t="s">
        <v>140</v>
      </c>
      <c r="H23837" s="35">
        <v>8</v>
      </c>
      <c r="I23837" s="33" t="s">
        <v>51</v>
      </c>
      <c r="J23837" s="42">
        <v>45839</v>
      </c>
      <c r="K23837" s="33" t="s">
        <v>22</v>
      </c>
    </row>
    <row r="23838" spans="1:11">
      <c r="A23838" s="30" t="s">
        <v>52599</v>
      </c>
      <c r="B23838" s="30" t="s">
        <v>52600</v>
      </c>
      <c r="C23838" s="30" t="s">
        <v>549</v>
      </c>
      <c r="D23838" s="30" t="s">
        <v>17</v>
      </c>
      <c r="E23838" s="30" t="s">
        <v>26</v>
      </c>
      <c r="F23838" s="30" t="s">
        <v>27</v>
      </c>
      <c r="G23838" s="30" t="s">
        <v>20</v>
      </c>
      <c r="H23838" s="32">
        <v>32</v>
      </c>
      <c r="I23838" s="30" t="s">
        <v>21</v>
      </c>
      <c r="J23838" s="41">
        <v>45775</v>
      </c>
      <c r="K23838" s="30" t="s">
        <v>22</v>
      </c>
    </row>
    <row r="23839" spans="1:11">
      <c r="A23839" s="33" t="s">
        <v>52601</v>
      </c>
      <c r="B23839" s="33" t="s">
        <v>52602</v>
      </c>
      <c r="C23839" s="33" t="s">
        <v>2490</v>
      </c>
      <c r="D23839" s="33" t="s">
        <v>17</v>
      </c>
      <c r="E23839" s="33" t="s">
        <v>26</v>
      </c>
      <c r="F23839" s="33" t="s">
        <v>27</v>
      </c>
      <c r="G23839" s="33" t="s">
        <v>7780</v>
      </c>
      <c r="H23839" s="35">
        <v>40</v>
      </c>
      <c r="I23839" s="33" t="s">
        <v>51</v>
      </c>
      <c r="J23839" s="42">
        <v>45778</v>
      </c>
      <c r="K23839" s="33" t="s">
        <v>22</v>
      </c>
    </row>
    <row r="23840" spans="1:11">
      <c r="A23840" s="30" t="s">
        <v>52603</v>
      </c>
      <c r="B23840" s="30" t="s">
        <v>52604</v>
      </c>
      <c r="C23840" s="30" t="s">
        <v>51548</v>
      </c>
      <c r="D23840" s="30" t="s">
        <v>17</v>
      </c>
      <c r="E23840" s="30" t="s">
        <v>31</v>
      </c>
      <c r="F23840" s="30" t="s">
        <v>32</v>
      </c>
      <c r="G23840" s="30" t="s">
        <v>140</v>
      </c>
      <c r="H23840" s="32">
        <v>114</v>
      </c>
      <c r="I23840" s="30" t="s">
        <v>51</v>
      </c>
      <c r="J23840" s="41">
        <v>45875</v>
      </c>
      <c r="K23840" s="30" t="s">
        <v>22</v>
      </c>
    </row>
    <row r="23841" spans="1:11">
      <c r="A23841" s="33" t="s">
        <v>52605</v>
      </c>
      <c r="B23841" s="33" t="s">
        <v>52606</v>
      </c>
      <c r="C23841" s="33" t="s">
        <v>23340</v>
      </c>
      <c r="D23841" s="33" t="s">
        <v>17</v>
      </c>
      <c r="E23841" s="33" t="s">
        <v>26</v>
      </c>
      <c r="F23841" s="33" t="s">
        <v>27</v>
      </c>
      <c r="G23841" s="33" t="s">
        <v>140</v>
      </c>
      <c r="H23841" s="35">
        <v>200</v>
      </c>
      <c r="I23841" s="33" t="s">
        <v>51</v>
      </c>
      <c r="J23841" s="42">
        <v>45747</v>
      </c>
      <c r="K23841" s="33" t="s">
        <v>22</v>
      </c>
    </row>
    <row r="23842" spans="1:11">
      <c r="A23842" s="30" t="s">
        <v>52607</v>
      </c>
      <c r="B23842" s="30" t="s">
        <v>52608</v>
      </c>
      <c r="C23842" s="30" t="s">
        <v>8554</v>
      </c>
      <c r="D23842" s="30" t="s">
        <v>17</v>
      </c>
      <c r="E23842" s="30" t="s">
        <v>31</v>
      </c>
      <c r="F23842" s="30" t="s">
        <v>32</v>
      </c>
      <c r="G23842" s="30" t="s">
        <v>140</v>
      </c>
      <c r="H23842" s="32">
        <v>30</v>
      </c>
      <c r="I23842" s="30" t="s">
        <v>51</v>
      </c>
      <c r="J23842" s="41">
        <v>45771</v>
      </c>
      <c r="K23842" s="30" t="s">
        <v>22</v>
      </c>
    </row>
    <row r="23843" spans="1:11">
      <c r="A23843" s="33" t="s">
        <v>52609</v>
      </c>
      <c r="B23843" s="33" t="s">
        <v>52610</v>
      </c>
      <c r="C23843" s="33" t="s">
        <v>969</v>
      </c>
      <c r="D23843" s="33" t="s">
        <v>17</v>
      </c>
      <c r="E23843" s="33" t="s">
        <v>18</v>
      </c>
      <c r="F23843" s="33" t="s">
        <v>19</v>
      </c>
      <c r="G23843" s="33" t="s">
        <v>140</v>
      </c>
      <c r="H23843" s="35">
        <v>1840</v>
      </c>
      <c r="I23843" s="33" t="s">
        <v>51</v>
      </c>
      <c r="J23843" s="42">
        <v>45667</v>
      </c>
      <c r="K23843" s="33" t="s">
        <v>22</v>
      </c>
    </row>
    <row r="23844" spans="1:11">
      <c r="A23844" s="30" t="s">
        <v>52611</v>
      </c>
      <c r="B23844" s="30" t="s">
        <v>52612</v>
      </c>
      <c r="C23844" s="30" t="s">
        <v>969</v>
      </c>
      <c r="D23844" s="30" t="s">
        <v>17</v>
      </c>
      <c r="E23844" s="30" t="s">
        <v>31</v>
      </c>
      <c r="F23844" s="30" t="s">
        <v>32</v>
      </c>
      <c r="G23844" s="30" t="s">
        <v>158</v>
      </c>
      <c r="H23844" s="32">
        <v>307</v>
      </c>
      <c r="I23844" s="30" t="s">
        <v>21</v>
      </c>
      <c r="J23844" s="41">
        <v>45698</v>
      </c>
      <c r="K23844" s="30" t="s">
        <v>22</v>
      </c>
    </row>
    <row r="23845" spans="1:11">
      <c r="A23845" s="33" t="s">
        <v>52613</v>
      </c>
      <c r="B23845" s="33" t="s">
        <v>52614</v>
      </c>
      <c r="C23845" s="33" t="s">
        <v>30492</v>
      </c>
      <c r="D23845" s="33" t="s">
        <v>17</v>
      </c>
      <c r="E23845" s="33" t="s">
        <v>18</v>
      </c>
      <c r="F23845" s="33" t="s">
        <v>19</v>
      </c>
      <c r="G23845" s="33" t="s">
        <v>140</v>
      </c>
      <c r="H23845" s="35">
        <v>264</v>
      </c>
      <c r="I23845" s="33" t="s">
        <v>51</v>
      </c>
      <c r="J23845" s="42">
        <v>45821</v>
      </c>
      <c r="K23845" s="33" t="s">
        <v>22</v>
      </c>
    </row>
    <row r="23846" spans="1:11">
      <c r="A23846" s="30" t="s">
        <v>52615</v>
      </c>
      <c r="B23846" s="30" t="s">
        <v>52616</v>
      </c>
      <c r="C23846" s="30" t="s">
        <v>26407</v>
      </c>
      <c r="D23846" s="30" t="s">
        <v>17</v>
      </c>
      <c r="E23846" s="30" t="s">
        <v>31</v>
      </c>
      <c r="F23846" s="30" t="s">
        <v>32</v>
      </c>
      <c r="G23846" s="30" t="s">
        <v>20</v>
      </c>
      <c r="H23846" s="32">
        <v>149</v>
      </c>
      <c r="I23846" s="30" t="s">
        <v>21</v>
      </c>
      <c r="J23846" s="41">
        <v>45666</v>
      </c>
      <c r="K23846" s="30" t="s">
        <v>22</v>
      </c>
    </row>
    <row r="23847" spans="1:11">
      <c r="A23847" s="33" t="s">
        <v>52617</v>
      </c>
      <c r="B23847" s="33" t="s">
        <v>52618</v>
      </c>
      <c r="C23847" s="33" t="s">
        <v>701</v>
      </c>
      <c r="D23847" s="33" t="s">
        <v>17</v>
      </c>
      <c r="E23847" s="33" t="s">
        <v>67</v>
      </c>
      <c r="F23847" s="33" t="s">
        <v>68</v>
      </c>
      <c r="G23847" s="33" t="s">
        <v>140</v>
      </c>
      <c r="H23847" s="35">
        <v>620</v>
      </c>
      <c r="I23847" s="33" t="s">
        <v>51</v>
      </c>
      <c r="J23847" s="42">
        <v>45785</v>
      </c>
      <c r="K23847" s="33" t="s">
        <v>22</v>
      </c>
    </row>
    <row r="23848" spans="1:11">
      <c r="A23848" s="30" t="s">
        <v>52619</v>
      </c>
      <c r="B23848" s="30" t="s">
        <v>52620</v>
      </c>
      <c r="C23848" s="30" t="s">
        <v>6703</v>
      </c>
      <c r="D23848" s="30" t="s">
        <v>17</v>
      </c>
      <c r="E23848" s="30" t="s">
        <v>330</v>
      </c>
      <c r="F23848" s="30" t="s">
        <v>331</v>
      </c>
      <c r="G23848" s="30" t="s">
        <v>140</v>
      </c>
      <c r="H23848" s="32">
        <v>24</v>
      </c>
      <c r="I23848" s="30" t="s">
        <v>51</v>
      </c>
      <c r="J23848" s="41">
        <v>45838</v>
      </c>
      <c r="K23848" s="30" t="s">
        <v>22</v>
      </c>
    </row>
    <row r="23849" spans="1:11">
      <c r="A23849" s="33" t="s">
        <v>52621</v>
      </c>
      <c r="B23849" s="33" t="s">
        <v>52622</v>
      </c>
      <c r="C23849" s="33" t="s">
        <v>1422</v>
      </c>
      <c r="D23849" s="33" t="s">
        <v>17</v>
      </c>
      <c r="E23849" s="33" t="s">
        <v>31</v>
      </c>
      <c r="F23849" s="33" t="s">
        <v>32</v>
      </c>
      <c r="G23849" s="33" t="s">
        <v>7780</v>
      </c>
      <c r="H23849" s="35">
        <v>180</v>
      </c>
      <c r="I23849" s="33" t="s">
        <v>51</v>
      </c>
      <c r="J23849" s="42">
        <v>46022</v>
      </c>
      <c r="K23849" s="33" t="s">
        <v>22</v>
      </c>
    </row>
    <row r="23850" spans="1:11">
      <c r="A23850" s="30" t="s">
        <v>52623</v>
      </c>
      <c r="B23850" s="30" t="s">
        <v>52624</v>
      </c>
      <c r="C23850" s="30" t="s">
        <v>52625</v>
      </c>
      <c r="D23850" s="30" t="s">
        <v>17</v>
      </c>
      <c r="E23850" s="30" t="s">
        <v>26</v>
      </c>
      <c r="F23850" s="30" t="s">
        <v>27</v>
      </c>
      <c r="G23850" s="30" t="s">
        <v>140</v>
      </c>
      <c r="H23850" s="32">
        <v>18</v>
      </c>
      <c r="I23850" s="30" t="s">
        <v>51</v>
      </c>
      <c r="J23850" s="41">
        <v>46006</v>
      </c>
      <c r="K23850" s="30" t="s">
        <v>22</v>
      </c>
    </row>
    <row r="23851" spans="1:11">
      <c r="A23851" s="33" t="s">
        <v>52626</v>
      </c>
      <c r="B23851" s="33" t="s">
        <v>52627</v>
      </c>
      <c r="C23851" s="33" t="s">
        <v>2472</v>
      </c>
      <c r="D23851" s="33" t="s">
        <v>17</v>
      </c>
      <c r="E23851" s="33" t="s">
        <v>67</v>
      </c>
      <c r="F23851" s="33" t="s">
        <v>68</v>
      </c>
      <c r="G23851" s="33" t="s">
        <v>140</v>
      </c>
      <c r="H23851" s="35">
        <v>166</v>
      </c>
      <c r="I23851" s="33" t="s">
        <v>51</v>
      </c>
      <c r="J23851" s="42">
        <v>45930</v>
      </c>
      <c r="K23851" s="33" t="s">
        <v>22</v>
      </c>
    </row>
    <row r="23852" spans="1:11">
      <c r="A23852" s="30" t="s">
        <v>52628</v>
      </c>
      <c r="B23852" s="30" t="s">
        <v>52629</v>
      </c>
      <c r="C23852" s="30" t="s">
        <v>635</v>
      </c>
      <c r="D23852" s="30" t="s">
        <v>17</v>
      </c>
      <c r="E23852" s="30" t="s">
        <v>26</v>
      </c>
      <c r="F23852" s="30" t="s">
        <v>27</v>
      </c>
      <c r="G23852" s="30" t="s">
        <v>140</v>
      </c>
      <c r="H23852" s="32">
        <v>84</v>
      </c>
      <c r="I23852" s="30" t="s">
        <v>51</v>
      </c>
      <c r="J23852" s="41">
        <v>45992</v>
      </c>
      <c r="K23852" s="30" t="s">
        <v>22</v>
      </c>
    </row>
    <row r="23853" spans="1:11">
      <c r="A23853" s="33" t="s">
        <v>52630</v>
      </c>
      <c r="B23853" s="33" t="s">
        <v>52631</v>
      </c>
      <c r="C23853" s="33" t="s">
        <v>50793</v>
      </c>
      <c r="D23853" s="33" t="s">
        <v>17</v>
      </c>
      <c r="E23853" s="33" t="s">
        <v>26</v>
      </c>
      <c r="F23853" s="33" t="s">
        <v>27</v>
      </c>
      <c r="G23853" s="33" t="s">
        <v>140</v>
      </c>
      <c r="H23853" s="35">
        <v>47</v>
      </c>
      <c r="I23853" s="33" t="s">
        <v>51</v>
      </c>
      <c r="J23853" s="42">
        <v>45904</v>
      </c>
      <c r="K23853" s="33" t="s">
        <v>22</v>
      </c>
    </row>
    <row r="23854" spans="1:11">
      <c r="A23854" s="30" t="s">
        <v>52632</v>
      </c>
      <c r="B23854" s="30" t="s">
        <v>52633</v>
      </c>
      <c r="C23854" s="30" t="s">
        <v>52634</v>
      </c>
      <c r="D23854" s="30" t="s">
        <v>17</v>
      </c>
      <c r="E23854" s="30" t="s">
        <v>212</v>
      </c>
      <c r="F23854" s="30" t="s">
        <v>213</v>
      </c>
      <c r="G23854" s="30" t="s">
        <v>140</v>
      </c>
      <c r="H23854" s="32">
        <v>48</v>
      </c>
      <c r="I23854" s="30" t="s">
        <v>51</v>
      </c>
      <c r="J23854" s="41">
        <v>45680</v>
      </c>
      <c r="K23854" s="30" t="s">
        <v>22</v>
      </c>
    </row>
    <row r="23855" spans="1:11">
      <c r="A23855" s="33" t="s">
        <v>52635</v>
      </c>
      <c r="B23855" s="33" t="s">
        <v>52636</v>
      </c>
      <c r="C23855" s="33" t="s">
        <v>32777</v>
      </c>
      <c r="D23855" s="33" t="s">
        <v>17</v>
      </c>
      <c r="E23855" s="33" t="s">
        <v>26</v>
      </c>
      <c r="F23855" s="33" t="s">
        <v>27</v>
      </c>
      <c r="G23855" s="33" t="s">
        <v>140</v>
      </c>
      <c r="H23855" s="35">
        <v>18</v>
      </c>
      <c r="I23855" s="33" t="s">
        <v>51</v>
      </c>
      <c r="J23855" s="42">
        <v>45785</v>
      </c>
      <c r="K23855" s="33" t="s">
        <v>22</v>
      </c>
    </row>
    <row r="23856" spans="1:11">
      <c r="A23856" s="30" t="s">
        <v>52637</v>
      </c>
      <c r="B23856" s="30" t="s">
        <v>52638</v>
      </c>
      <c r="C23856" s="30" t="s">
        <v>3655</v>
      </c>
      <c r="D23856" s="30" t="s">
        <v>17</v>
      </c>
      <c r="E23856" s="30" t="s">
        <v>67</v>
      </c>
      <c r="F23856" s="30" t="s">
        <v>68</v>
      </c>
      <c r="G23856" s="30" t="s">
        <v>140</v>
      </c>
      <c r="H23856" s="32">
        <v>594</v>
      </c>
      <c r="I23856" s="30" t="s">
        <v>51</v>
      </c>
      <c r="J23856" s="41">
        <v>45779</v>
      </c>
      <c r="K23856" s="30" t="s">
        <v>22</v>
      </c>
    </row>
    <row r="23857" spans="1:11">
      <c r="A23857" s="33" t="s">
        <v>52639</v>
      </c>
      <c r="B23857" s="33" t="s">
        <v>52640</v>
      </c>
      <c r="C23857" s="33" t="s">
        <v>1219</v>
      </c>
      <c r="D23857" s="33" t="s">
        <v>17</v>
      </c>
      <c r="E23857" s="33" t="s">
        <v>67</v>
      </c>
      <c r="F23857" s="33" t="s">
        <v>68</v>
      </c>
      <c r="G23857" s="33" t="s">
        <v>140</v>
      </c>
      <c r="H23857" s="35">
        <v>100</v>
      </c>
      <c r="I23857" s="33" t="s">
        <v>51</v>
      </c>
      <c r="J23857" s="42">
        <v>45854</v>
      </c>
      <c r="K23857" s="33" t="s">
        <v>22</v>
      </c>
    </row>
    <row r="23858" spans="1:11">
      <c r="A23858" s="30" t="s">
        <v>52641</v>
      </c>
      <c r="B23858" s="30" t="s">
        <v>52642</v>
      </c>
      <c r="C23858" s="30" t="s">
        <v>35593</v>
      </c>
      <c r="D23858" s="30" t="s">
        <v>17</v>
      </c>
      <c r="E23858" s="30" t="s">
        <v>26</v>
      </c>
      <c r="F23858" s="30" t="s">
        <v>27</v>
      </c>
      <c r="G23858" s="30" t="s">
        <v>140</v>
      </c>
      <c r="H23858" s="32">
        <v>48</v>
      </c>
      <c r="I23858" s="30" t="s">
        <v>51</v>
      </c>
      <c r="J23858" s="41">
        <v>45667</v>
      </c>
      <c r="K23858" s="30" t="s">
        <v>22</v>
      </c>
    </row>
    <row r="23859" spans="1:11">
      <c r="A23859" s="33" t="s">
        <v>52643</v>
      </c>
      <c r="B23859" s="33" t="s">
        <v>52644</v>
      </c>
      <c r="C23859" s="33" t="s">
        <v>102</v>
      </c>
      <c r="D23859" s="33" t="s">
        <v>17</v>
      </c>
      <c r="E23859" s="33" t="s">
        <v>18</v>
      </c>
      <c r="F23859" s="33" t="s">
        <v>19</v>
      </c>
      <c r="G23859" s="33" t="s">
        <v>158</v>
      </c>
      <c r="H23859" s="35">
        <v>752</v>
      </c>
      <c r="I23859" s="33" t="s">
        <v>21</v>
      </c>
      <c r="J23859" s="42">
        <v>45762</v>
      </c>
      <c r="K23859" s="33" t="s">
        <v>22</v>
      </c>
    </row>
    <row r="23860" spans="1:11">
      <c r="A23860" s="30" t="s">
        <v>52645</v>
      </c>
      <c r="B23860" s="30" t="s">
        <v>52646</v>
      </c>
      <c r="C23860" s="30" t="s">
        <v>25546</v>
      </c>
      <c r="D23860" s="30" t="s">
        <v>17</v>
      </c>
      <c r="E23860" s="30" t="s">
        <v>18</v>
      </c>
      <c r="F23860" s="30" t="s">
        <v>19</v>
      </c>
      <c r="G23860" s="30" t="s">
        <v>140</v>
      </c>
      <c r="H23860" s="32">
        <v>12</v>
      </c>
      <c r="I23860" s="30" t="s">
        <v>51</v>
      </c>
      <c r="J23860" s="41">
        <v>45902</v>
      </c>
      <c r="K23860" s="30" t="s">
        <v>22</v>
      </c>
    </row>
    <row r="23861" spans="1:11">
      <c r="A23861" s="33" t="s">
        <v>52647</v>
      </c>
      <c r="B23861" s="33" t="s">
        <v>52648</v>
      </c>
      <c r="C23861" s="33" t="s">
        <v>42278</v>
      </c>
      <c r="D23861" s="33" t="s">
        <v>17</v>
      </c>
      <c r="E23861" s="33" t="s">
        <v>26</v>
      </c>
      <c r="F23861" s="33" t="s">
        <v>27</v>
      </c>
      <c r="G23861" s="33" t="s">
        <v>140</v>
      </c>
      <c r="H23861" s="35">
        <v>240</v>
      </c>
      <c r="I23861" s="33" t="s">
        <v>51</v>
      </c>
      <c r="J23861" s="42">
        <v>45929</v>
      </c>
      <c r="K23861" s="33" t="s">
        <v>22</v>
      </c>
    </row>
    <row r="23862" spans="1:11">
      <c r="A23862" s="30" t="s">
        <v>52649</v>
      </c>
      <c r="B23862" s="30" t="s">
        <v>52650</v>
      </c>
      <c r="C23862" s="30" t="s">
        <v>12569</v>
      </c>
      <c r="D23862" s="30" t="s">
        <v>17</v>
      </c>
      <c r="E23862" s="30" t="s">
        <v>18</v>
      </c>
      <c r="F23862" s="30" t="s">
        <v>19</v>
      </c>
      <c r="G23862" s="30" t="s">
        <v>158</v>
      </c>
      <c r="H23862" s="32">
        <v>183</v>
      </c>
      <c r="I23862" s="30" t="s">
        <v>21</v>
      </c>
      <c r="J23862" s="41">
        <v>45751</v>
      </c>
      <c r="K23862" s="30" t="s">
        <v>22</v>
      </c>
    </row>
    <row r="23863" spans="1:11">
      <c r="A23863" s="33" t="s">
        <v>52651</v>
      </c>
      <c r="B23863" s="33" t="s">
        <v>52652</v>
      </c>
      <c r="C23863" s="33" t="s">
        <v>1598</v>
      </c>
      <c r="D23863" s="33" t="s">
        <v>17</v>
      </c>
      <c r="E23863" s="33" t="s">
        <v>26</v>
      </c>
      <c r="F23863" s="33" t="s">
        <v>27</v>
      </c>
      <c r="G23863" s="33" t="s">
        <v>158</v>
      </c>
      <c r="H23863" s="35">
        <v>32</v>
      </c>
      <c r="I23863" s="33" t="s">
        <v>21</v>
      </c>
      <c r="J23863" s="42">
        <v>46022</v>
      </c>
      <c r="K23863" s="33" t="s">
        <v>22</v>
      </c>
    </row>
    <row r="23864" spans="1:11">
      <c r="A23864" s="30" t="s">
        <v>52653</v>
      </c>
      <c r="B23864" s="30" t="s">
        <v>52654</v>
      </c>
      <c r="C23864" s="30" t="s">
        <v>41436</v>
      </c>
      <c r="D23864" s="30" t="s">
        <v>17</v>
      </c>
      <c r="E23864" s="30" t="s">
        <v>67</v>
      </c>
      <c r="F23864" s="30" t="s">
        <v>68</v>
      </c>
      <c r="G23864" s="30" t="s">
        <v>140</v>
      </c>
      <c r="H23864" s="32">
        <v>24</v>
      </c>
      <c r="I23864" s="30" t="s">
        <v>51</v>
      </c>
      <c r="J23864" s="41">
        <v>45677</v>
      </c>
      <c r="K23864" s="30" t="s">
        <v>22</v>
      </c>
    </row>
    <row r="23865" spans="1:11">
      <c r="A23865" s="33" t="s">
        <v>52655</v>
      </c>
      <c r="B23865" s="33" t="s">
        <v>52656</v>
      </c>
      <c r="C23865" s="33" t="s">
        <v>721</v>
      </c>
      <c r="D23865" s="33" t="s">
        <v>17</v>
      </c>
      <c r="E23865" s="33" t="s">
        <v>45</v>
      </c>
      <c r="F23865" s="33" t="s">
        <v>46</v>
      </c>
      <c r="G23865" s="33" t="s">
        <v>7780</v>
      </c>
      <c r="H23865" s="35">
        <v>540</v>
      </c>
      <c r="I23865" s="33" t="s">
        <v>51</v>
      </c>
      <c r="J23865" s="42">
        <v>45658</v>
      </c>
      <c r="K23865" s="33" t="s">
        <v>22</v>
      </c>
    </row>
    <row r="23866" spans="1:11">
      <c r="A23866" s="30" t="s">
        <v>52657</v>
      </c>
      <c r="B23866" s="30" t="s">
        <v>52658</v>
      </c>
      <c r="C23866" s="30" t="s">
        <v>50648</v>
      </c>
      <c r="D23866" s="30" t="s">
        <v>17</v>
      </c>
      <c r="E23866" s="30" t="s">
        <v>67</v>
      </c>
      <c r="F23866" s="30" t="s">
        <v>68</v>
      </c>
      <c r="G23866" s="30" t="s">
        <v>140</v>
      </c>
      <c r="H23866" s="32">
        <v>255</v>
      </c>
      <c r="I23866" s="30" t="s">
        <v>51</v>
      </c>
      <c r="J23866" s="41">
        <v>45995</v>
      </c>
      <c r="K23866" s="30" t="s">
        <v>22</v>
      </c>
    </row>
    <row r="23867" spans="1:11">
      <c r="A23867" s="33" t="s">
        <v>52659</v>
      </c>
      <c r="B23867" s="33" t="s">
        <v>52660</v>
      </c>
      <c r="C23867" s="33" t="s">
        <v>190</v>
      </c>
      <c r="D23867" s="33" t="s">
        <v>17</v>
      </c>
      <c r="E23867" s="33" t="s">
        <v>26</v>
      </c>
      <c r="F23867" s="33" t="s">
        <v>27</v>
      </c>
      <c r="G23867" s="33" t="s">
        <v>20</v>
      </c>
      <c r="H23867" s="35">
        <v>16</v>
      </c>
      <c r="I23867" s="33" t="s">
        <v>21</v>
      </c>
      <c r="J23867" s="42">
        <v>45714</v>
      </c>
      <c r="K23867" s="33" t="s">
        <v>22</v>
      </c>
    </row>
    <row r="23868" spans="1:11">
      <c r="A23868" s="30" t="s">
        <v>52661</v>
      </c>
      <c r="B23868" s="30" t="s">
        <v>52662</v>
      </c>
      <c r="C23868" s="30" t="s">
        <v>17285</v>
      </c>
      <c r="D23868" s="30" t="s">
        <v>17</v>
      </c>
      <c r="E23868" s="30" t="s">
        <v>67</v>
      </c>
      <c r="F23868" s="30" t="s">
        <v>68</v>
      </c>
      <c r="G23868" s="30" t="s">
        <v>140</v>
      </c>
      <c r="H23868" s="32">
        <v>126</v>
      </c>
      <c r="I23868" s="30" t="s">
        <v>51</v>
      </c>
      <c r="J23868" s="41">
        <v>45951</v>
      </c>
      <c r="K23868" s="30" t="s">
        <v>22</v>
      </c>
    </row>
    <row r="23869" spans="1:11">
      <c r="A23869" s="33" t="s">
        <v>52663</v>
      </c>
      <c r="B23869" s="33" t="s">
        <v>52664</v>
      </c>
      <c r="C23869" s="33" t="s">
        <v>10774</v>
      </c>
      <c r="D23869" s="33" t="s">
        <v>17</v>
      </c>
      <c r="E23869" s="33" t="s">
        <v>31</v>
      </c>
      <c r="F23869" s="33" t="s">
        <v>32</v>
      </c>
      <c r="G23869" s="33" t="s">
        <v>140</v>
      </c>
      <c r="H23869" s="35">
        <v>31</v>
      </c>
      <c r="I23869" s="33" t="s">
        <v>51</v>
      </c>
      <c r="J23869" s="42">
        <v>46002</v>
      </c>
      <c r="K23869" s="33" t="s">
        <v>22</v>
      </c>
    </row>
    <row r="23870" spans="1:11">
      <c r="A23870" s="30" t="s">
        <v>52665</v>
      </c>
      <c r="B23870" s="30" t="s">
        <v>52666</v>
      </c>
      <c r="C23870" s="30" t="s">
        <v>12049</v>
      </c>
      <c r="D23870" s="30" t="s">
        <v>17</v>
      </c>
      <c r="E23870" s="30" t="s">
        <v>31</v>
      </c>
      <c r="F23870" s="30" t="s">
        <v>32</v>
      </c>
      <c r="G23870" s="30" t="s">
        <v>7780</v>
      </c>
      <c r="H23870" s="32">
        <v>60</v>
      </c>
      <c r="I23870" s="30" t="s">
        <v>51</v>
      </c>
      <c r="J23870" s="41">
        <v>45778</v>
      </c>
      <c r="K23870" s="30" t="s">
        <v>22</v>
      </c>
    </row>
    <row r="23871" spans="1:11">
      <c r="A23871" s="33" t="s">
        <v>52667</v>
      </c>
      <c r="B23871" s="33" t="s">
        <v>52668</v>
      </c>
      <c r="C23871" s="33" t="s">
        <v>39363</v>
      </c>
      <c r="D23871" s="33" t="s">
        <v>17</v>
      </c>
      <c r="E23871" s="33" t="s">
        <v>26</v>
      </c>
      <c r="F23871" s="33" t="s">
        <v>27</v>
      </c>
      <c r="G23871" s="33" t="s">
        <v>140</v>
      </c>
      <c r="H23871" s="35">
        <v>42</v>
      </c>
      <c r="I23871" s="33" t="s">
        <v>51</v>
      </c>
      <c r="J23871" s="42">
        <v>46007</v>
      </c>
      <c r="K23871" s="33" t="s">
        <v>22</v>
      </c>
    </row>
    <row r="23872" spans="1:11">
      <c r="A23872" s="30" t="s">
        <v>52669</v>
      </c>
      <c r="B23872" s="30" t="s">
        <v>52670</v>
      </c>
      <c r="C23872" s="30" t="s">
        <v>222</v>
      </c>
      <c r="D23872" s="30" t="s">
        <v>17</v>
      </c>
      <c r="E23872" s="30" t="s">
        <v>26</v>
      </c>
      <c r="F23872" s="30" t="s">
        <v>27</v>
      </c>
      <c r="G23872" s="30" t="s">
        <v>20</v>
      </c>
      <c r="H23872" s="32">
        <v>58</v>
      </c>
      <c r="I23872" s="30" t="s">
        <v>21</v>
      </c>
      <c r="J23872" s="41">
        <v>45958</v>
      </c>
      <c r="K23872" s="30" t="s">
        <v>22</v>
      </c>
    </row>
    <row r="23873" spans="1:11">
      <c r="A23873" s="33" t="s">
        <v>52671</v>
      </c>
      <c r="B23873" s="33" t="s">
        <v>52672</v>
      </c>
      <c r="C23873" s="33" t="s">
        <v>190</v>
      </c>
      <c r="D23873" s="33" t="s">
        <v>17</v>
      </c>
      <c r="E23873" s="33" t="s">
        <v>31</v>
      </c>
      <c r="F23873" s="33" t="s">
        <v>32</v>
      </c>
      <c r="G23873" s="33" t="s">
        <v>20</v>
      </c>
      <c r="H23873" s="35">
        <v>377</v>
      </c>
      <c r="I23873" s="33" t="s">
        <v>21</v>
      </c>
      <c r="J23873" s="42">
        <v>45706</v>
      </c>
      <c r="K23873" s="33" t="s">
        <v>22</v>
      </c>
    </row>
    <row r="23874" spans="1:11">
      <c r="A23874" s="30" t="s">
        <v>52673</v>
      </c>
      <c r="B23874" s="30" t="s">
        <v>52674</v>
      </c>
      <c r="C23874" s="30" t="s">
        <v>3914</v>
      </c>
      <c r="D23874" s="30" t="s">
        <v>17</v>
      </c>
      <c r="E23874" s="30" t="s">
        <v>31</v>
      </c>
      <c r="F23874" s="30" t="s">
        <v>32</v>
      </c>
      <c r="G23874" s="30" t="s">
        <v>140</v>
      </c>
      <c r="H23874" s="32">
        <v>36</v>
      </c>
      <c r="I23874" s="30" t="s">
        <v>51</v>
      </c>
      <c r="J23874" s="41">
        <v>45796</v>
      </c>
      <c r="K23874" s="30" t="s">
        <v>22</v>
      </c>
    </row>
    <row r="23875" spans="1:11">
      <c r="A23875" s="33" t="s">
        <v>52675</v>
      </c>
      <c r="B23875" s="33" t="s">
        <v>52676</v>
      </c>
      <c r="C23875" s="33" t="s">
        <v>52677</v>
      </c>
      <c r="D23875" s="33" t="s">
        <v>17</v>
      </c>
      <c r="E23875" s="33" t="s">
        <v>67</v>
      </c>
      <c r="F23875" s="33" t="s">
        <v>68</v>
      </c>
      <c r="G23875" s="33" t="s">
        <v>140</v>
      </c>
      <c r="H23875" s="35">
        <v>94</v>
      </c>
      <c r="I23875" s="33" t="s">
        <v>51</v>
      </c>
      <c r="J23875" s="42">
        <v>45960</v>
      </c>
      <c r="K23875" s="33" t="s">
        <v>22</v>
      </c>
    </row>
    <row r="23876" spans="1:11">
      <c r="A23876" s="30" t="s">
        <v>52678</v>
      </c>
      <c r="B23876" s="30" t="s">
        <v>52679</v>
      </c>
      <c r="C23876" s="30" t="s">
        <v>20420</v>
      </c>
      <c r="D23876" s="30" t="s">
        <v>17</v>
      </c>
      <c r="E23876" s="30" t="s">
        <v>31</v>
      </c>
      <c r="F23876" s="30" t="s">
        <v>32</v>
      </c>
      <c r="G23876" s="30" t="s">
        <v>158</v>
      </c>
      <c r="H23876" s="32">
        <v>666</v>
      </c>
      <c r="I23876" s="30" t="s">
        <v>51</v>
      </c>
      <c r="J23876" s="41">
        <v>45840</v>
      </c>
      <c r="K23876" s="30" t="s">
        <v>22</v>
      </c>
    </row>
    <row r="23877" spans="1:11">
      <c r="A23877" s="33" t="s">
        <v>52680</v>
      </c>
      <c r="B23877" s="33" t="s">
        <v>52681</v>
      </c>
      <c r="C23877" s="33" t="s">
        <v>52682</v>
      </c>
      <c r="D23877" s="33" t="s">
        <v>17</v>
      </c>
      <c r="E23877" s="33" t="s">
        <v>67</v>
      </c>
      <c r="F23877" s="33" t="s">
        <v>68</v>
      </c>
      <c r="G23877" s="33" t="s">
        <v>140</v>
      </c>
      <c r="H23877" s="35">
        <v>23</v>
      </c>
      <c r="I23877" s="33" t="s">
        <v>51</v>
      </c>
      <c r="J23877" s="42">
        <v>45824</v>
      </c>
      <c r="K23877" s="33" t="s">
        <v>22</v>
      </c>
    </row>
    <row r="23878" spans="1:11">
      <c r="A23878" s="30" t="s">
        <v>52683</v>
      </c>
      <c r="B23878" s="30" t="s">
        <v>52684</v>
      </c>
      <c r="C23878" s="30" t="s">
        <v>52685</v>
      </c>
      <c r="D23878" s="30" t="s">
        <v>17</v>
      </c>
      <c r="E23878" s="30" t="s">
        <v>26</v>
      </c>
      <c r="F23878" s="30" t="s">
        <v>27</v>
      </c>
      <c r="G23878" s="30" t="s">
        <v>140</v>
      </c>
      <c r="H23878" s="32">
        <v>124</v>
      </c>
      <c r="I23878" s="30" t="s">
        <v>51</v>
      </c>
      <c r="J23878" s="41">
        <v>45785</v>
      </c>
      <c r="K23878" s="30" t="s">
        <v>22</v>
      </c>
    </row>
    <row r="23879" spans="1:11">
      <c r="A23879" s="33" t="s">
        <v>52686</v>
      </c>
      <c r="B23879" s="33" t="s">
        <v>52687</v>
      </c>
      <c r="C23879" s="33" t="s">
        <v>1136</v>
      </c>
      <c r="D23879" s="33" t="s">
        <v>17</v>
      </c>
      <c r="E23879" s="33" t="s">
        <v>18</v>
      </c>
      <c r="F23879" s="33" t="s">
        <v>19</v>
      </c>
      <c r="G23879" s="33" t="s">
        <v>20</v>
      </c>
      <c r="H23879" s="35">
        <v>254</v>
      </c>
      <c r="I23879" s="33" t="s">
        <v>21</v>
      </c>
      <c r="J23879" s="42">
        <v>45953</v>
      </c>
      <c r="K23879" s="33" t="s">
        <v>22</v>
      </c>
    </row>
    <row r="23880" spans="1:11">
      <c r="A23880" s="30" t="s">
        <v>52688</v>
      </c>
      <c r="B23880" s="30" t="s">
        <v>52689</v>
      </c>
      <c r="C23880" s="30" t="s">
        <v>52690</v>
      </c>
      <c r="D23880" s="30" t="s">
        <v>17</v>
      </c>
      <c r="E23880" s="30" t="s">
        <v>26</v>
      </c>
      <c r="F23880" s="30" t="s">
        <v>27</v>
      </c>
      <c r="G23880" s="30" t="s">
        <v>140</v>
      </c>
      <c r="H23880" s="32">
        <v>39</v>
      </c>
      <c r="I23880" s="30" t="s">
        <v>51</v>
      </c>
      <c r="J23880" s="41">
        <v>45834</v>
      </c>
      <c r="K23880" s="30" t="s">
        <v>22</v>
      </c>
    </row>
    <row r="23881" spans="1:11">
      <c r="A23881" s="33" t="s">
        <v>52691</v>
      </c>
      <c r="B23881" s="33" t="s">
        <v>52692</v>
      </c>
      <c r="C23881" s="33" t="s">
        <v>35821</v>
      </c>
      <c r="D23881" s="33" t="s">
        <v>17</v>
      </c>
      <c r="E23881" s="33" t="s">
        <v>67</v>
      </c>
      <c r="F23881" s="33" t="s">
        <v>68</v>
      </c>
      <c r="G23881" s="33" t="s">
        <v>140</v>
      </c>
      <c r="H23881" s="35">
        <v>86</v>
      </c>
      <c r="I23881" s="33" t="s">
        <v>51</v>
      </c>
      <c r="J23881" s="42">
        <v>45848</v>
      </c>
      <c r="K23881" s="33" t="s">
        <v>22</v>
      </c>
    </row>
    <row r="23882" spans="1:11">
      <c r="A23882" s="30" t="s">
        <v>52693</v>
      </c>
      <c r="B23882" s="30" t="s">
        <v>52694</v>
      </c>
      <c r="C23882" s="30" t="s">
        <v>3944</v>
      </c>
      <c r="D23882" s="30" t="s">
        <v>17</v>
      </c>
      <c r="E23882" s="30" t="s">
        <v>26</v>
      </c>
      <c r="F23882" s="30" t="s">
        <v>27</v>
      </c>
      <c r="G23882" s="30" t="s">
        <v>140</v>
      </c>
      <c r="H23882" s="32">
        <v>60</v>
      </c>
      <c r="I23882" s="30" t="s">
        <v>51</v>
      </c>
      <c r="J23882" s="41">
        <v>45775</v>
      </c>
      <c r="K23882" s="30" t="s">
        <v>22</v>
      </c>
    </row>
    <row r="23883" spans="1:11">
      <c r="A23883" s="33" t="s">
        <v>52695</v>
      </c>
      <c r="B23883" s="33" t="s">
        <v>52696</v>
      </c>
      <c r="C23883" s="33" t="s">
        <v>231</v>
      </c>
      <c r="D23883" s="33" t="s">
        <v>17</v>
      </c>
      <c r="E23883" s="33" t="s">
        <v>26</v>
      </c>
      <c r="F23883" s="33" t="s">
        <v>27</v>
      </c>
      <c r="G23883" s="33" t="s">
        <v>20</v>
      </c>
      <c r="H23883" s="35">
        <v>12</v>
      </c>
      <c r="I23883" s="33" t="s">
        <v>21</v>
      </c>
      <c r="J23883" s="42">
        <v>46021</v>
      </c>
      <c r="K23883" s="33" t="s">
        <v>22</v>
      </c>
    </row>
    <row r="23884" spans="1:11">
      <c r="A23884" s="30" t="s">
        <v>52697</v>
      </c>
      <c r="B23884" s="30" t="s">
        <v>52698</v>
      </c>
      <c r="C23884" s="30" t="s">
        <v>41618</v>
      </c>
      <c r="D23884" s="30" t="s">
        <v>17</v>
      </c>
      <c r="E23884" s="30" t="s">
        <v>26</v>
      </c>
      <c r="F23884" s="30" t="s">
        <v>27</v>
      </c>
      <c r="G23884" s="30" t="s">
        <v>140</v>
      </c>
      <c r="H23884" s="32">
        <v>90</v>
      </c>
      <c r="I23884" s="30" t="s">
        <v>51</v>
      </c>
      <c r="J23884" s="41">
        <v>45737</v>
      </c>
      <c r="K23884" s="30" t="s">
        <v>22</v>
      </c>
    </row>
    <row r="23885" spans="1:11">
      <c r="A23885" s="33" t="s">
        <v>52699</v>
      </c>
      <c r="B23885" s="33" t="s">
        <v>52700</v>
      </c>
      <c r="C23885" s="33" t="s">
        <v>190</v>
      </c>
      <c r="D23885" s="33" t="s">
        <v>17</v>
      </c>
      <c r="E23885" s="33" t="s">
        <v>26</v>
      </c>
      <c r="F23885" s="33" t="s">
        <v>27</v>
      </c>
      <c r="G23885" s="33" t="s">
        <v>20</v>
      </c>
      <c r="H23885" s="35">
        <v>14</v>
      </c>
      <c r="I23885" s="33" t="s">
        <v>21</v>
      </c>
      <c r="J23885" s="42">
        <v>45971</v>
      </c>
      <c r="K23885" s="33" t="s">
        <v>22</v>
      </c>
    </row>
    <row r="23886" spans="1:11">
      <c r="A23886" s="30" t="s">
        <v>52701</v>
      </c>
      <c r="B23886" s="30" t="s">
        <v>52702</v>
      </c>
      <c r="C23886" s="30" t="s">
        <v>39363</v>
      </c>
      <c r="D23886" s="30" t="s">
        <v>17</v>
      </c>
      <c r="E23886" s="30" t="s">
        <v>31</v>
      </c>
      <c r="F23886" s="30" t="s">
        <v>32</v>
      </c>
      <c r="G23886" s="30" t="s">
        <v>140</v>
      </c>
      <c r="H23886" s="32">
        <v>55</v>
      </c>
      <c r="I23886" s="30" t="s">
        <v>51</v>
      </c>
      <c r="J23886" s="41">
        <v>45728</v>
      </c>
      <c r="K23886" s="30" t="s">
        <v>22</v>
      </c>
    </row>
    <row r="23887" spans="1:11">
      <c r="A23887" s="33" t="s">
        <v>52703</v>
      </c>
      <c r="B23887" s="33" t="s">
        <v>52704</v>
      </c>
      <c r="C23887" s="33" t="s">
        <v>318</v>
      </c>
      <c r="D23887" s="33" t="s">
        <v>17</v>
      </c>
      <c r="E23887" s="33" t="s">
        <v>18</v>
      </c>
      <c r="F23887" s="33" t="s">
        <v>19</v>
      </c>
      <c r="G23887" s="33" t="s">
        <v>158</v>
      </c>
      <c r="H23887" s="35">
        <v>3853</v>
      </c>
      <c r="I23887" s="33" t="s">
        <v>21</v>
      </c>
      <c r="J23887" s="42">
        <v>45728</v>
      </c>
      <c r="K23887" s="33" t="s">
        <v>22</v>
      </c>
    </row>
    <row r="23888" spans="1:11">
      <c r="A23888" s="30" t="s">
        <v>52705</v>
      </c>
      <c r="B23888" s="30" t="s">
        <v>52706</v>
      </c>
      <c r="C23888" s="30" t="s">
        <v>15434</v>
      </c>
      <c r="D23888" s="30" t="s">
        <v>17</v>
      </c>
      <c r="E23888" s="30" t="s">
        <v>31</v>
      </c>
      <c r="F23888" s="30" t="s">
        <v>32</v>
      </c>
      <c r="G23888" s="30" t="s">
        <v>158</v>
      </c>
      <c r="H23888" s="32">
        <v>2850</v>
      </c>
      <c r="I23888" s="30" t="s">
        <v>51</v>
      </c>
      <c r="J23888" s="41">
        <v>45908</v>
      </c>
      <c r="K23888" s="30" t="s">
        <v>22</v>
      </c>
    </row>
    <row r="23889" spans="1:11">
      <c r="A23889" s="33" t="s">
        <v>52707</v>
      </c>
      <c r="B23889" s="33" t="s">
        <v>52708</v>
      </c>
      <c r="C23889" s="33" t="s">
        <v>96</v>
      </c>
      <c r="D23889" s="33" t="s">
        <v>17</v>
      </c>
      <c r="E23889" s="33" t="s">
        <v>26</v>
      </c>
      <c r="F23889" s="33" t="s">
        <v>27</v>
      </c>
      <c r="G23889" s="33" t="s">
        <v>20</v>
      </c>
      <c r="H23889" s="35">
        <v>64</v>
      </c>
      <c r="I23889" s="33" t="s">
        <v>21</v>
      </c>
      <c r="J23889" s="42">
        <v>45985</v>
      </c>
      <c r="K23889" s="33" t="s">
        <v>22</v>
      </c>
    </row>
    <row r="23890" spans="1:11">
      <c r="A23890" s="30" t="s">
        <v>52709</v>
      </c>
      <c r="B23890" s="30" t="s">
        <v>52710</v>
      </c>
      <c r="C23890" s="30" t="s">
        <v>925</v>
      </c>
      <c r="D23890" s="30" t="s">
        <v>17</v>
      </c>
      <c r="E23890" s="30" t="s">
        <v>18</v>
      </c>
      <c r="F23890" s="30" t="s">
        <v>19</v>
      </c>
      <c r="G23890" s="30" t="s">
        <v>140</v>
      </c>
      <c r="H23890" s="32">
        <v>695</v>
      </c>
      <c r="I23890" s="30" t="s">
        <v>51</v>
      </c>
      <c r="J23890" s="41">
        <v>45751</v>
      </c>
      <c r="K23890" s="30" t="s">
        <v>22</v>
      </c>
    </row>
    <row r="23891" spans="1:11">
      <c r="A23891" s="33" t="s">
        <v>52711</v>
      </c>
      <c r="B23891" s="33" t="s">
        <v>52712</v>
      </c>
      <c r="C23891" s="33" t="s">
        <v>109</v>
      </c>
      <c r="D23891" s="33" t="s">
        <v>17</v>
      </c>
      <c r="E23891" s="33" t="s">
        <v>212</v>
      </c>
      <c r="F23891" s="33" t="s">
        <v>213</v>
      </c>
      <c r="G23891" s="33" t="s">
        <v>158</v>
      </c>
      <c r="H23891" s="35">
        <v>1590</v>
      </c>
      <c r="I23891" s="33" t="s">
        <v>21</v>
      </c>
      <c r="J23891" s="42">
        <v>45825</v>
      </c>
      <c r="K23891" s="33" t="s">
        <v>22</v>
      </c>
    </row>
    <row r="23892" spans="1:11">
      <c r="A23892" s="30" t="s">
        <v>52713</v>
      </c>
      <c r="B23892" s="30" t="s">
        <v>52714</v>
      </c>
      <c r="C23892" s="30" t="s">
        <v>5251</v>
      </c>
      <c r="D23892" s="30" t="s">
        <v>17</v>
      </c>
      <c r="E23892" s="30" t="s">
        <v>26</v>
      </c>
      <c r="F23892" s="30" t="s">
        <v>27</v>
      </c>
      <c r="G23892" s="30" t="s">
        <v>7780</v>
      </c>
      <c r="H23892" s="32">
        <v>108</v>
      </c>
      <c r="I23892" s="30" t="s">
        <v>51</v>
      </c>
      <c r="J23892" s="41">
        <v>45858</v>
      </c>
      <c r="K23892" s="30" t="s">
        <v>22</v>
      </c>
    </row>
    <row r="23893" spans="1:11">
      <c r="A23893" s="33" t="s">
        <v>52715</v>
      </c>
      <c r="B23893" s="33" t="s">
        <v>52716</v>
      </c>
      <c r="C23893" s="33" t="s">
        <v>9078</v>
      </c>
      <c r="D23893" s="33" t="s">
        <v>17</v>
      </c>
      <c r="E23893" s="33" t="s">
        <v>67</v>
      </c>
      <c r="F23893" s="33" t="s">
        <v>68</v>
      </c>
      <c r="G23893" s="33" t="s">
        <v>140</v>
      </c>
      <c r="H23893" s="35">
        <v>660</v>
      </c>
      <c r="I23893" s="33" t="s">
        <v>51</v>
      </c>
      <c r="J23893" s="42">
        <v>45712</v>
      </c>
      <c r="K23893" s="33" t="s">
        <v>22</v>
      </c>
    </row>
    <row r="23894" spans="1:11">
      <c r="A23894" s="30" t="s">
        <v>52717</v>
      </c>
      <c r="B23894" s="30" t="s">
        <v>52718</v>
      </c>
      <c r="C23894" s="30" t="s">
        <v>52719</v>
      </c>
      <c r="D23894" s="30" t="s">
        <v>17</v>
      </c>
      <c r="E23894" s="30" t="s">
        <v>67</v>
      </c>
      <c r="F23894" s="30" t="s">
        <v>68</v>
      </c>
      <c r="G23894" s="30" t="s">
        <v>140</v>
      </c>
      <c r="H23894" s="32">
        <v>233</v>
      </c>
      <c r="I23894" s="30" t="s">
        <v>51</v>
      </c>
      <c r="J23894" s="41">
        <v>45818</v>
      </c>
      <c r="K23894" s="30" t="s">
        <v>22</v>
      </c>
    </row>
    <row r="23895" spans="1:11">
      <c r="A23895" s="33" t="s">
        <v>52720</v>
      </c>
      <c r="B23895" s="33" t="s">
        <v>52721</v>
      </c>
      <c r="C23895" s="33" t="s">
        <v>39368</v>
      </c>
      <c r="D23895" s="33" t="s">
        <v>17</v>
      </c>
      <c r="E23895" s="33" t="s">
        <v>330</v>
      </c>
      <c r="F23895" s="33" t="s">
        <v>331</v>
      </c>
      <c r="G23895" s="33" t="s">
        <v>140</v>
      </c>
      <c r="H23895" s="35">
        <v>18</v>
      </c>
      <c r="I23895" s="33" t="s">
        <v>51</v>
      </c>
      <c r="J23895" s="42">
        <v>45660</v>
      </c>
      <c r="K23895" s="33" t="s">
        <v>22</v>
      </c>
    </row>
    <row r="23896" spans="1:11">
      <c r="A23896" s="30" t="s">
        <v>52722</v>
      </c>
      <c r="B23896" s="30" t="s">
        <v>52723</v>
      </c>
      <c r="C23896" s="30" t="s">
        <v>25997</v>
      </c>
      <c r="D23896" s="30" t="s">
        <v>17</v>
      </c>
      <c r="E23896" s="30" t="s">
        <v>67</v>
      </c>
      <c r="F23896" s="30" t="s">
        <v>68</v>
      </c>
      <c r="G23896" s="30" t="s">
        <v>140</v>
      </c>
      <c r="H23896" s="32">
        <v>24</v>
      </c>
      <c r="I23896" s="30" t="s">
        <v>51</v>
      </c>
      <c r="J23896" s="41">
        <v>45713</v>
      </c>
      <c r="K23896" s="30" t="s">
        <v>22</v>
      </c>
    </row>
    <row r="23897" spans="1:11">
      <c r="A23897" s="33" t="s">
        <v>52724</v>
      </c>
      <c r="B23897" s="33" t="s">
        <v>52725</v>
      </c>
      <c r="C23897" s="33" t="s">
        <v>12195</v>
      </c>
      <c r="D23897" s="33" t="s">
        <v>17</v>
      </c>
      <c r="E23897" s="33" t="s">
        <v>18</v>
      </c>
      <c r="F23897" s="33" t="s">
        <v>19</v>
      </c>
      <c r="G23897" s="33" t="s">
        <v>20</v>
      </c>
      <c r="H23897" s="35">
        <v>24</v>
      </c>
      <c r="I23897" s="33" t="s">
        <v>21</v>
      </c>
      <c r="J23897" s="42">
        <v>45823</v>
      </c>
      <c r="K23897" s="33" t="s">
        <v>22</v>
      </c>
    </row>
    <row r="23898" spans="1:11">
      <c r="A23898" s="30" t="s">
        <v>52726</v>
      </c>
      <c r="B23898" s="30" t="s">
        <v>52727</v>
      </c>
      <c r="C23898" s="30" t="s">
        <v>52728</v>
      </c>
      <c r="D23898" s="30" t="s">
        <v>17</v>
      </c>
      <c r="E23898" s="30" t="s">
        <v>26</v>
      </c>
      <c r="F23898" s="30" t="s">
        <v>27</v>
      </c>
      <c r="G23898" s="30" t="s">
        <v>7780</v>
      </c>
      <c r="H23898" s="32">
        <v>37</v>
      </c>
      <c r="I23898" s="30" t="s">
        <v>51</v>
      </c>
      <c r="J23898" s="41">
        <v>45870</v>
      </c>
      <c r="K23898" s="30" t="s">
        <v>22</v>
      </c>
    </row>
    <row r="23899" spans="1:11">
      <c r="A23899" s="33" t="s">
        <v>52729</v>
      </c>
      <c r="B23899" s="33" t="s">
        <v>52730</v>
      </c>
      <c r="C23899" s="33" t="s">
        <v>9900</v>
      </c>
      <c r="D23899" s="33" t="s">
        <v>17</v>
      </c>
      <c r="E23899" s="33" t="s">
        <v>31</v>
      </c>
      <c r="F23899" s="33" t="s">
        <v>32</v>
      </c>
      <c r="G23899" s="33" t="s">
        <v>140</v>
      </c>
      <c r="H23899" s="35">
        <v>30</v>
      </c>
      <c r="I23899" s="33" t="s">
        <v>51</v>
      </c>
      <c r="J23899" s="42">
        <v>45945</v>
      </c>
      <c r="K23899" s="33" t="s">
        <v>22</v>
      </c>
    </row>
    <row r="23900" spans="1:11">
      <c r="A23900" s="30" t="s">
        <v>52731</v>
      </c>
      <c r="B23900" s="30" t="s">
        <v>52732</v>
      </c>
      <c r="C23900" s="30" t="s">
        <v>52733</v>
      </c>
      <c r="D23900" s="30" t="s">
        <v>17</v>
      </c>
      <c r="E23900" s="30" t="s">
        <v>26</v>
      </c>
      <c r="F23900" s="30" t="s">
        <v>27</v>
      </c>
      <c r="G23900" s="30" t="s">
        <v>140</v>
      </c>
      <c r="H23900" s="32">
        <v>80</v>
      </c>
      <c r="I23900" s="30" t="s">
        <v>51</v>
      </c>
      <c r="J23900" s="41">
        <v>45716</v>
      </c>
      <c r="K23900" s="30" t="s">
        <v>22</v>
      </c>
    </row>
    <row r="23901" spans="1:11">
      <c r="A23901" s="33" t="s">
        <v>52734</v>
      </c>
      <c r="B23901" s="33" t="s">
        <v>52735</v>
      </c>
      <c r="C23901" s="33" t="s">
        <v>32249</v>
      </c>
      <c r="D23901" s="33" t="s">
        <v>17</v>
      </c>
      <c r="E23901" s="33" t="s">
        <v>26</v>
      </c>
      <c r="F23901" s="33" t="s">
        <v>27</v>
      </c>
      <c r="G23901" s="33" t="s">
        <v>140</v>
      </c>
      <c r="H23901" s="35">
        <v>32</v>
      </c>
      <c r="I23901" s="33" t="s">
        <v>51</v>
      </c>
      <c r="J23901" s="42">
        <v>45758</v>
      </c>
      <c r="K23901" s="33" t="s">
        <v>22</v>
      </c>
    </row>
    <row r="23902" spans="1:11">
      <c r="A23902" s="30" t="s">
        <v>52736</v>
      </c>
      <c r="B23902" s="30" t="s">
        <v>52737</v>
      </c>
      <c r="C23902" s="30" t="s">
        <v>52738</v>
      </c>
      <c r="D23902" s="30" t="s">
        <v>17</v>
      </c>
      <c r="E23902" s="30" t="s">
        <v>18</v>
      </c>
      <c r="F23902" s="30" t="s">
        <v>19</v>
      </c>
      <c r="G23902" s="30" t="s">
        <v>140</v>
      </c>
      <c r="H23902" s="32">
        <v>266</v>
      </c>
      <c r="I23902" s="30" t="s">
        <v>51</v>
      </c>
      <c r="J23902" s="41">
        <v>45915</v>
      </c>
      <c r="K23902" s="30" t="s">
        <v>22</v>
      </c>
    </row>
    <row r="23903" spans="1:11">
      <c r="A23903" s="33" t="s">
        <v>52739</v>
      </c>
      <c r="B23903" s="33" t="s">
        <v>52740</v>
      </c>
      <c r="C23903" s="33" t="s">
        <v>647</v>
      </c>
      <c r="D23903" s="33" t="s">
        <v>17</v>
      </c>
      <c r="E23903" s="33" t="s">
        <v>26</v>
      </c>
      <c r="F23903" s="33" t="s">
        <v>27</v>
      </c>
      <c r="G23903" s="33" t="s">
        <v>20</v>
      </c>
      <c r="H23903" s="35">
        <v>16</v>
      </c>
      <c r="I23903" s="33" t="s">
        <v>21</v>
      </c>
      <c r="J23903" s="42">
        <v>45790</v>
      </c>
      <c r="K23903" s="33" t="s">
        <v>22</v>
      </c>
    </row>
    <row r="23904" spans="1:11">
      <c r="A23904" s="30" t="s">
        <v>52741</v>
      </c>
      <c r="B23904" s="30" t="s">
        <v>52742</v>
      </c>
      <c r="C23904" s="30" t="s">
        <v>2687</v>
      </c>
      <c r="D23904" s="30" t="s">
        <v>17</v>
      </c>
      <c r="E23904" s="30" t="s">
        <v>212</v>
      </c>
      <c r="F23904" s="30" t="s">
        <v>213</v>
      </c>
      <c r="G23904" s="30" t="s">
        <v>140</v>
      </c>
      <c r="H23904" s="32">
        <v>100</v>
      </c>
      <c r="I23904" s="30" t="s">
        <v>51</v>
      </c>
      <c r="J23904" s="41">
        <v>45881</v>
      </c>
      <c r="K23904" s="30" t="s">
        <v>22</v>
      </c>
    </row>
    <row r="23905" spans="1:11">
      <c r="A23905" s="33" t="s">
        <v>52743</v>
      </c>
      <c r="B23905" s="33" t="s">
        <v>52744</v>
      </c>
      <c r="C23905" s="33" t="s">
        <v>9688</v>
      </c>
      <c r="D23905" s="33" t="s">
        <v>17</v>
      </c>
      <c r="E23905" s="33" t="s">
        <v>18</v>
      </c>
      <c r="F23905" s="33" t="s">
        <v>19</v>
      </c>
      <c r="G23905" s="33" t="s">
        <v>158</v>
      </c>
      <c r="H23905" s="35">
        <v>560</v>
      </c>
      <c r="I23905" s="33" t="s">
        <v>51</v>
      </c>
      <c r="J23905" s="42">
        <v>45791</v>
      </c>
      <c r="K23905" s="33" t="s">
        <v>22</v>
      </c>
    </row>
    <row r="23906" spans="1:11">
      <c r="A23906" s="30" t="s">
        <v>52745</v>
      </c>
      <c r="B23906" s="30" t="s">
        <v>52746</v>
      </c>
      <c r="C23906" s="30" t="s">
        <v>2562</v>
      </c>
      <c r="D23906" s="30" t="s">
        <v>17</v>
      </c>
      <c r="E23906" s="30" t="s">
        <v>31</v>
      </c>
      <c r="F23906" s="30" t="s">
        <v>32</v>
      </c>
      <c r="G23906" s="30" t="s">
        <v>140</v>
      </c>
      <c r="H23906" s="32">
        <v>90</v>
      </c>
      <c r="I23906" s="30" t="s">
        <v>51</v>
      </c>
      <c r="J23906" s="41">
        <v>45863</v>
      </c>
      <c r="K23906" s="30" t="s">
        <v>22</v>
      </c>
    </row>
    <row r="23907" spans="1:11">
      <c r="A23907" s="33" t="s">
        <v>52747</v>
      </c>
      <c r="B23907" s="33" t="s">
        <v>52748</v>
      </c>
      <c r="C23907" s="33" t="s">
        <v>93</v>
      </c>
      <c r="D23907" s="33" t="s">
        <v>17</v>
      </c>
      <c r="E23907" s="33" t="s">
        <v>26</v>
      </c>
      <c r="F23907" s="33" t="s">
        <v>27</v>
      </c>
      <c r="G23907" s="33" t="s">
        <v>158</v>
      </c>
      <c r="H23907" s="35">
        <v>100</v>
      </c>
      <c r="I23907" s="33" t="s">
        <v>21</v>
      </c>
      <c r="J23907" s="42">
        <v>45750</v>
      </c>
      <c r="K23907" s="33" t="s">
        <v>22</v>
      </c>
    </row>
    <row r="23908" spans="1:11">
      <c r="A23908" s="30" t="s">
        <v>52749</v>
      </c>
      <c r="B23908" s="30" t="s">
        <v>52750</v>
      </c>
      <c r="C23908" s="30" t="s">
        <v>34089</v>
      </c>
      <c r="D23908" s="30" t="s">
        <v>17</v>
      </c>
      <c r="E23908" s="30" t="s">
        <v>31</v>
      </c>
      <c r="F23908" s="30" t="s">
        <v>32</v>
      </c>
      <c r="G23908" s="30" t="s">
        <v>140</v>
      </c>
      <c r="H23908" s="32">
        <v>160</v>
      </c>
      <c r="I23908" s="30" t="s">
        <v>51</v>
      </c>
      <c r="J23908" s="41">
        <v>45912</v>
      </c>
      <c r="K23908" s="30" t="s">
        <v>22</v>
      </c>
    </row>
    <row r="23909" spans="1:11">
      <c r="A23909" s="33" t="s">
        <v>52751</v>
      </c>
      <c r="B23909" s="33" t="s">
        <v>52752</v>
      </c>
      <c r="C23909" s="33" t="s">
        <v>13450</v>
      </c>
      <c r="D23909" s="33" t="s">
        <v>17</v>
      </c>
      <c r="E23909" s="33" t="s">
        <v>18</v>
      </c>
      <c r="F23909" s="33" t="s">
        <v>19</v>
      </c>
      <c r="G23909" s="33" t="s">
        <v>140</v>
      </c>
      <c r="H23909" s="35">
        <v>540</v>
      </c>
      <c r="I23909" s="33" t="s">
        <v>51</v>
      </c>
      <c r="J23909" s="42">
        <v>45895</v>
      </c>
      <c r="K23909" s="33" t="s">
        <v>22</v>
      </c>
    </row>
    <row r="23910" spans="1:11">
      <c r="A23910" s="30" t="s">
        <v>52753</v>
      </c>
      <c r="B23910" s="30" t="s">
        <v>52754</v>
      </c>
      <c r="C23910" s="30" t="s">
        <v>3698</v>
      </c>
      <c r="D23910" s="30" t="s">
        <v>17</v>
      </c>
      <c r="E23910" s="30" t="s">
        <v>18</v>
      </c>
      <c r="F23910" s="30" t="s">
        <v>19</v>
      </c>
      <c r="G23910" s="30" t="s">
        <v>140</v>
      </c>
      <c r="H23910" s="32">
        <v>104</v>
      </c>
      <c r="I23910" s="30" t="s">
        <v>51</v>
      </c>
      <c r="J23910" s="41">
        <v>45722</v>
      </c>
      <c r="K23910" s="30" t="s">
        <v>22</v>
      </c>
    </row>
    <row r="23911" spans="1:11">
      <c r="A23911" s="33" t="s">
        <v>52755</v>
      </c>
      <c r="B23911" s="33" t="s">
        <v>52756</v>
      </c>
      <c r="C23911" s="33" t="s">
        <v>52757</v>
      </c>
      <c r="D23911" s="33" t="s">
        <v>17</v>
      </c>
      <c r="E23911" s="33" t="s">
        <v>31</v>
      </c>
      <c r="F23911" s="33" t="s">
        <v>32</v>
      </c>
      <c r="G23911" s="33" t="s">
        <v>140</v>
      </c>
      <c r="H23911" s="35">
        <v>164</v>
      </c>
      <c r="I23911" s="33" t="s">
        <v>51</v>
      </c>
      <c r="J23911" s="42">
        <v>45947</v>
      </c>
      <c r="K23911" s="33" t="s">
        <v>22</v>
      </c>
    </row>
    <row r="23912" spans="1:11">
      <c r="A23912" s="30" t="s">
        <v>52758</v>
      </c>
      <c r="B23912" s="30" t="s">
        <v>52759</v>
      </c>
      <c r="C23912" s="30" t="s">
        <v>1750</v>
      </c>
      <c r="D23912" s="30" t="s">
        <v>17</v>
      </c>
      <c r="E23912" s="30" t="s">
        <v>26</v>
      </c>
      <c r="F23912" s="30" t="s">
        <v>27</v>
      </c>
      <c r="G23912" s="30" t="s">
        <v>140</v>
      </c>
      <c r="H23912" s="32">
        <v>66</v>
      </c>
      <c r="I23912" s="30" t="s">
        <v>51</v>
      </c>
      <c r="J23912" s="41">
        <v>45974</v>
      </c>
      <c r="K23912" s="30" t="s">
        <v>22</v>
      </c>
    </row>
    <row r="23913" spans="1:11">
      <c r="A23913" s="33" t="s">
        <v>52760</v>
      </c>
      <c r="B23913" s="33" t="s">
        <v>52761</v>
      </c>
      <c r="C23913" s="33" t="s">
        <v>20773</v>
      </c>
      <c r="D23913" s="33" t="s">
        <v>17</v>
      </c>
      <c r="E23913" s="33" t="s">
        <v>31</v>
      </c>
      <c r="F23913" s="33" t="s">
        <v>32</v>
      </c>
      <c r="G23913" s="33" t="s">
        <v>7780</v>
      </c>
      <c r="H23913" s="35">
        <v>40</v>
      </c>
      <c r="I23913" s="33" t="s">
        <v>51</v>
      </c>
      <c r="J23913" s="42">
        <v>45992</v>
      </c>
      <c r="K23913" s="33" t="s">
        <v>22</v>
      </c>
    </row>
    <row r="23914" spans="1:11">
      <c r="A23914" s="30" t="s">
        <v>52762</v>
      </c>
      <c r="B23914" s="30" t="s">
        <v>52763</v>
      </c>
      <c r="C23914" s="30" t="s">
        <v>28085</v>
      </c>
      <c r="D23914" s="30" t="s">
        <v>17</v>
      </c>
      <c r="E23914" s="30" t="s">
        <v>18</v>
      </c>
      <c r="F23914" s="30" t="s">
        <v>19</v>
      </c>
      <c r="G23914" s="30" t="s">
        <v>140</v>
      </c>
      <c r="H23914" s="32">
        <v>1900</v>
      </c>
      <c r="I23914" s="30" t="s">
        <v>51</v>
      </c>
      <c r="J23914" s="41">
        <v>45778</v>
      </c>
      <c r="K23914" s="30" t="s">
        <v>22</v>
      </c>
    </row>
    <row r="23915" spans="1:11">
      <c r="A23915" s="33" t="s">
        <v>52764</v>
      </c>
      <c r="B23915" s="33" t="s">
        <v>52765</v>
      </c>
      <c r="C23915" s="33" t="s">
        <v>34199</v>
      </c>
      <c r="D23915" s="33" t="s">
        <v>17</v>
      </c>
      <c r="E23915" s="33" t="s">
        <v>31</v>
      </c>
      <c r="F23915" s="33" t="s">
        <v>32</v>
      </c>
      <c r="G23915" s="33" t="s">
        <v>140</v>
      </c>
      <c r="H23915" s="35">
        <v>30</v>
      </c>
      <c r="I23915" s="33" t="s">
        <v>51</v>
      </c>
      <c r="J23915" s="42">
        <v>45908</v>
      </c>
      <c r="K23915" s="33" t="s">
        <v>22</v>
      </c>
    </row>
    <row r="23916" spans="1:11">
      <c r="A23916" s="30" t="s">
        <v>52766</v>
      </c>
      <c r="B23916" s="30" t="s">
        <v>52767</v>
      </c>
      <c r="C23916" s="30" t="s">
        <v>41297</v>
      </c>
      <c r="D23916" s="30" t="s">
        <v>17</v>
      </c>
      <c r="E23916" s="30" t="s">
        <v>31</v>
      </c>
      <c r="F23916" s="30" t="s">
        <v>32</v>
      </c>
      <c r="G23916" s="30" t="s">
        <v>20</v>
      </c>
      <c r="H23916" s="32">
        <v>250</v>
      </c>
      <c r="I23916" s="30" t="s">
        <v>21</v>
      </c>
      <c r="J23916" s="41">
        <v>45792</v>
      </c>
      <c r="K23916" s="30" t="s">
        <v>22</v>
      </c>
    </row>
    <row r="23917" spans="1:11">
      <c r="A23917" s="33" t="s">
        <v>52768</v>
      </c>
      <c r="B23917" s="33" t="s">
        <v>52769</v>
      </c>
      <c r="C23917" s="33" t="s">
        <v>925</v>
      </c>
      <c r="D23917" s="33" t="s">
        <v>17</v>
      </c>
      <c r="E23917" s="33" t="s">
        <v>67</v>
      </c>
      <c r="F23917" s="33" t="s">
        <v>68</v>
      </c>
      <c r="G23917" s="33" t="s">
        <v>140</v>
      </c>
      <c r="H23917" s="35">
        <v>200</v>
      </c>
      <c r="I23917" s="33" t="s">
        <v>51</v>
      </c>
      <c r="J23917" s="42">
        <v>45869</v>
      </c>
      <c r="K23917" s="33" t="s">
        <v>22</v>
      </c>
    </row>
    <row r="23918" spans="1:11">
      <c r="A23918" s="30" t="s">
        <v>52770</v>
      </c>
      <c r="B23918" s="30" t="s">
        <v>52771</v>
      </c>
      <c r="C23918" s="30" t="s">
        <v>25186</v>
      </c>
      <c r="D23918" s="30" t="s">
        <v>17</v>
      </c>
      <c r="E23918" s="30" t="s">
        <v>18</v>
      </c>
      <c r="F23918" s="30" t="s">
        <v>19</v>
      </c>
      <c r="G23918" s="30" t="s">
        <v>140</v>
      </c>
      <c r="H23918" s="32">
        <v>800</v>
      </c>
      <c r="I23918" s="30" t="s">
        <v>51</v>
      </c>
      <c r="J23918" s="41">
        <v>45852</v>
      </c>
      <c r="K23918" s="30" t="s">
        <v>22</v>
      </c>
    </row>
    <row r="23919" spans="1:11">
      <c r="A23919" s="33" t="s">
        <v>52772</v>
      </c>
      <c r="B23919" s="33" t="s">
        <v>52773</v>
      </c>
      <c r="C23919" s="33" t="s">
        <v>52774</v>
      </c>
      <c r="D23919" s="33" t="s">
        <v>17</v>
      </c>
      <c r="E23919" s="33" t="s">
        <v>26</v>
      </c>
      <c r="F23919" s="33" t="s">
        <v>27</v>
      </c>
      <c r="G23919" s="33" t="s">
        <v>140</v>
      </c>
      <c r="H23919" s="35">
        <v>50</v>
      </c>
      <c r="I23919" s="33" t="s">
        <v>51</v>
      </c>
      <c r="J23919" s="42">
        <v>45784</v>
      </c>
      <c r="K23919" s="33" t="s">
        <v>22</v>
      </c>
    </row>
    <row r="23920" spans="1:11">
      <c r="A23920" s="30" t="s">
        <v>52775</v>
      </c>
      <c r="B23920" s="30" t="s">
        <v>52776</v>
      </c>
      <c r="C23920" s="30" t="s">
        <v>698</v>
      </c>
      <c r="D23920" s="30" t="s">
        <v>17</v>
      </c>
      <c r="E23920" s="30" t="s">
        <v>31</v>
      </c>
      <c r="F23920" s="30" t="s">
        <v>32</v>
      </c>
      <c r="G23920" s="30" t="s">
        <v>7780</v>
      </c>
      <c r="H23920" s="32">
        <v>153</v>
      </c>
      <c r="I23920" s="30" t="s">
        <v>51</v>
      </c>
      <c r="J23920" s="41">
        <v>45823</v>
      </c>
      <c r="K23920" s="30" t="s">
        <v>22</v>
      </c>
    </row>
    <row r="23921" spans="1:11">
      <c r="A23921" s="33" t="s">
        <v>52777</v>
      </c>
      <c r="B23921" s="33" t="s">
        <v>52778</v>
      </c>
      <c r="C23921" s="33" t="s">
        <v>52779</v>
      </c>
      <c r="D23921" s="33" t="s">
        <v>17</v>
      </c>
      <c r="E23921" s="33" t="s">
        <v>31</v>
      </c>
      <c r="F23921" s="33" t="s">
        <v>32</v>
      </c>
      <c r="G23921" s="33" t="s">
        <v>140</v>
      </c>
      <c r="H23921" s="35">
        <v>150</v>
      </c>
      <c r="I23921" s="33" t="s">
        <v>51</v>
      </c>
      <c r="J23921" s="42">
        <v>45728</v>
      </c>
      <c r="K23921" s="33" t="s">
        <v>22</v>
      </c>
    </row>
    <row r="23922" spans="1:11">
      <c r="A23922" s="30" t="s">
        <v>52780</v>
      </c>
      <c r="B23922" s="30" t="s">
        <v>52781</v>
      </c>
      <c r="C23922" s="30" t="s">
        <v>969</v>
      </c>
      <c r="D23922" s="30" t="s">
        <v>17</v>
      </c>
      <c r="E23922" s="30" t="s">
        <v>18</v>
      </c>
      <c r="F23922" s="30" t="s">
        <v>19</v>
      </c>
      <c r="G23922" s="30" t="s">
        <v>140</v>
      </c>
      <c r="H23922" s="32">
        <v>600</v>
      </c>
      <c r="I23922" s="30" t="s">
        <v>51</v>
      </c>
      <c r="J23922" s="41">
        <v>45792</v>
      </c>
      <c r="K23922" s="30" t="s">
        <v>22</v>
      </c>
    </row>
    <row r="23923" spans="1:11">
      <c r="A23923" s="33" t="s">
        <v>52782</v>
      </c>
      <c r="B23923" s="33" t="s">
        <v>52783</v>
      </c>
      <c r="C23923" s="33" t="s">
        <v>36724</v>
      </c>
      <c r="D23923" s="33" t="s">
        <v>17</v>
      </c>
      <c r="E23923" s="33" t="s">
        <v>26</v>
      </c>
      <c r="F23923" s="33" t="s">
        <v>27</v>
      </c>
      <c r="G23923" s="33" t="s">
        <v>140</v>
      </c>
      <c r="H23923" s="35">
        <v>76</v>
      </c>
      <c r="I23923" s="33" t="s">
        <v>51</v>
      </c>
      <c r="J23923" s="42">
        <v>45737</v>
      </c>
      <c r="K23923" s="33" t="s">
        <v>22</v>
      </c>
    </row>
    <row r="23924" spans="1:11">
      <c r="A23924" s="30" t="s">
        <v>52784</v>
      </c>
      <c r="B23924" s="30" t="s">
        <v>52785</v>
      </c>
      <c r="C23924" s="30" t="s">
        <v>3917</v>
      </c>
      <c r="D23924" s="30" t="s">
        <v>17</v>
      </c>
      <c r="E23924" s="30" t="s">
        <v>18</v>
      </c>
      <c r="F23924" s="30" t="s">
        <v>19</v>
      </c>
      <c r="G23924" s="30" t="s">
        <v>140</v>
      </c>
      <c r="H23924" s="32">
        <v>468</v>
      </c>
      <c r="I23924" s="30" t="s">
        <v>51</v>
      </c>
      <c r="J23924" s="41">
        <v>45986</v>
      </c>
      <c r="K23924" s="30" t="s">
        <v>22</v>
      </c>
    </row>
    <row r="23925" spans="1:11">
      <c r="A23925" s="33" t="s">
        <v>52786</v>
      </c>
      <c r="B23925" s="33" t="s">
        <v>52787</v>
      </c>
      <c r="C23925" s="33" t="s">
        <v>47752</v>
      </c>
      <c r="D23925" s="33" t="s">
        <v>17</v>
      </c>
      <c r="E23925" s="33" t="s">
        <v>31</v>
      </c>
      <c r="F23925" s="33" t="s">
        <v>32</v>
      </c>
      <c r="G23925" s="33" t="s">
        <v>140</v>
      </c>
      <c r="H23925" s="35">
        <v>200</v>
      </c>
      <c r="I23925" s="33" t="s">
        <v>51</v>
      </c>
      <c r="J23925" s="42">
        <v>45958</v>
      </c>
      <c r="K23925" s="33" t="s">
        <v>22</v>
      </c>
    </row>
    <row r="23926" spans="1:11">
      <c r="A23926" s="30" t="s">
        <v>52788</v>
      </c>
      <c r="B23926" s="30" t="s">
        <v>52789</v>
      </c>
      <c r="C23926" s="30" t="s">
        <v>32935</v>
      </c>
      <c r="D23926" s="30" t="s">
        <v>17</v>
      </c>
      <c r="E23926" s="30" t="s">
        <v>26</v>
      </c>
      <c r="F23926" s="30" t="s">
        <v>27</v>
      </c>
      <c r="G23926" s="30" t="s">
        <v>140</v>
      </c>
      <c r="H23926" s="32">
        <v>68</v>
      </c>
      <c r="I23926" s="30" t="s">
        <v>51</v>
      </c>
      <c r="J23926" s="41">
        <v>45804</v>
      </c>
      <c r="K23926" s="30" t="s">
        <v>22</v>
      </c>
    </row>
    <row r="23927" spans="1:11">
      <c r="A23927" s="33" t="s">
        <v>52790</v>
      </c>
      <c r="B23927" s="33" t="s">
        <v>52791</v>
      </c>
      <c r="C23927" s="33" t="s">
        <v>96</v>
      </c>
      <c r="D23927" s="33" t="s">
        <v>17</v>
      </c>
      <c r="E23927" s="33" t="s">
        <v>26</v>
      </c>
      <c r="F23927" s="33" t="s">
        <v>27</v>
      </c>
      <c r="G23927" s="33" t="s">
        <v>20</v>
      </c>
      <c r="H23927" s="35">
        <v>10</v>
      </c>
      <c r="I23927" s="33" t="s">
        <v>21</v>
      </c>
      <c r="J23927" s="42">
        <v>45828</v>
      </c>
      <c r="K23927" s="33" t="s">
        <v>22</v>
      </c>
    </row>
    <row r="23928" spans="1:11">
      <c r="A23928" s="30" t="s">
        <v>52792</v>
      </c>
      <c r="B23928" s="30" t="s">
        <v>52793</v>
      </c>
      <c r="C23928" s="30" t="s">
        <v>15585</v>
      </c>
      <c r="D23928" s="30" t="s">
        <v>17</v>
      </c>
      <c r="E23928" s="30" t="s">
        <v>31</v>
      </c>
      <c r="F23928" s="30" t="s">
        <v>32</v>
      </c>
      <c r="G23928" s="30" t="s">
        <v>20</v>
      </c>
      <c r="H23928" s="32">
        <v>166</v>
      </c>
      <c r="I23928" s="30" t="s">
        <v>21</v>
      </c>
      <c r="J23928" s="41">
        <v>45754</v>
      </c>
      <c r="K23928" s="30" t="s">
        <v>22</v>
      </c>
    </row>
    <row r="23929" spans="1:11">
      <c r="A23929" s="33" t="s">
        <v>52794</v>
      </c>
      <c r="B23929" s="33" t="s">
        <v>52795</v>
      </c>
      <c r="C23929" s="33" t="s">
        <v>15798</v>
      </c>
      <c r="D23929" s="33" t="s">
        <v>17</v>
      </c>
      <c r="E23929" s="33" t="s">
        <v>18</v>
      </c>
      <c r="F23929" s="33" t="s">
        <v>19</v>
      </c>
      <c r="G23929" s="33" t="s">
        <v>158</v>
      </c>
      <c r="H23929" s="35">
        <v>12</v>
      </c>
      <c r="I23929" s="33" t="s">
        <v>21</v>
      </c>
      <c r="J23929" s="42">
        <v>45722</v>
      </c>
      <c r="K23929" s="33" t="s">
        <v>22</v>
      </c>
    </row>
    <row r="23930" spans="1:11">
      <c r="A23930" s="30" t="s">
        <v>52796</v>
      </c>
      <c r="B23930" s="30" t="s">
        <v>52797</v>
      </c>
      <c r="C23930" s="30" t="s">
        <v>22269</v>
      </c>
      <c r="D23930" s="30" t="s">
        <v>17</v>
      </c>
      <c r="E23930" s="30" t="s">
        <v>26</v>
      </c>
      <c r="F23930" s="30" t="s">
        <v>27</v>
      </c>
      <c r="G23930" s="30" t="s">
        <v>140</v>
      </c>
      <c r="H23930" s="32">
        <v>69</v>
      </c>
      <c r="I23930" s="30" t="s">
        <v>51</v>
      </c>
      <c r="J23930" s="41">
        <v>45958</v>
      </c>
      <c r="K23930" s="30" t="s">
        <v>22</v>
      </c>
    </row>
    <row r="23931" spans="1:11">
      <c r="A23931" s="33" t="s">
        <v>52798</v>
      </c>
      <c r="B23931" s="33" t="s">
        <v>52799</v>
      </c>
      <c r="C23931" s="33" t="s">
        <v>96</v>
      </c>
      <c r="D23931" s="33" t="s">
        <v>17</v>
      </c>
      <c r="E23931" s="33" t="s">
        <v>67</v>
      </c>
      <c r="F23931" s="33" t="s">
        <v>68</v>
      </c>
      <c r="G23931" s="33" t="s">
        <v>140</v>
      </c>
      <c r="H23931" s="35">
        <v>138</v>
      </c>
      <c r="I23931" s="33" t="s">
        <v>51</v>
      </c>
      <c r="J23931" s="42">
        <v>45992</v>
      </c>
      <c r="K23931" s="33" t="s">
        <v>22</v>
      </c>
    </row>
    <row r="23932" spans="1:11">
      <c r="A23932" s="30" t="s">
        <v>52800</v>
      </c>
      <c r="B23932" s="30" t="s">
        <v>52801</v>
      </c>
      <c r="C23932" s="30" t="s">
        <v>549</v>
      </c>
      <c r="D23932" s="30" t="s">
        <v>17</v>
      </c>
      <c r="E23932" s="30" t="s">
        <v>18</v>
      </c>
      <c r="F23932" s="30" t="s">
        <v>19</v>
      </c>
      <c r="G23932" s="30" t="s">
        <v>140</v>
      </c>
      <c r="H23932" s="32">
        <v>40</v>
      </c>
      <c r="I23932" s="30" t="s">
        <v>51</v>
      </c>
      <c r="J23932" s="41">
        <v>45727</v>
      </c>
      <c r="K23932" s="30" t="s">
        <v>22</v>
      </c>
    </row>
    <row r="23933" spans="1:11">
      <c r="A23933" s="33" t="s">
        <v>52802</v>
      </c>
      <c r="B23933" s="33" t="s">
        <v>52803</v>
      </c>
      <c r="C23933" s="33" t="s">
        <v>44692</v>
      </c>
      <c r="D23933" s="33" t="s">
        <v>17</v>
      </c>
      <c r="E23933" s="33" t="s">
        <v>31</v>
      </c>
      <c r="F23933" s="33" t="s">
        <v>32</v>
      </c>
      <c r="G23933" s="33" t="s">
        <v>20</v>
      </c>
      <c r="H23933" s="35">
        <v>125</v>
      </c>
      <c r="I23933" s="33" t="s">
        <v>21</v>
      </c>
      <c r="J23933" s="42">
        <v>45841</v>
      </c>
      <c r="K23933" s="33" t="s">
        <v>22</v>
      </c>
    </row>
    <row r="23934" spans="1:11">
      <c r="A23934" s="30" t="s">
        <v>52804</v>
      </c>
      <c r="B23934" s="30" t="s">
        <v>52805</v>
      </c>
      <c r="C23934" s="30" t="s">
        <v>15798</v>
      </c>
      <c r="D23934" s="30" t="s">
        <v>17</v>
      </c>
      <c r="E23934" s="30" t="s">
        <v>212</v>
      </c>
      <c r="F23934" s="30" t="s">
        <v>213</v>
      </c>
      <c r="G23934" s="30" t="s">
        <v>140</v>
      </c>
      <c r="H23934" s="32">
        <v>285</v>
      </c>
      <c r="I23934" s="30" t="s">
        <v>51</v>
      </c>
      <c r="J23934" s="41">
        <v>45982</v>
      </c>
      <c r="K23934" s="30" t="s">
        <v>22</v>
      </c>
    </row>
    <row r="23935" spans="1:11">
      <c r="A23935" s="33" t="s">
        <v>52806</v>
      </c>
      <c r="B23935" s="33" t="s">
        <v>52807</v>
      </c>
      <c r="C23935" s="33" t="s">
        <v>136</v>
      </c>
      <c r="D23935" s="33" t="s">
        <v>17</v>
      </c>
      <c r="E23935" s="33" t="s">
        <v>26</v>
      </c>
      <c r="F23935" s="33" t="s">
        <v>27</v>
      </c>
      <c r="G23935" s="33" t="s">
        <v>140</v>
      </c>
      <c r="H23935" s="35">
        <v>421</v>
      </c>
      <c r="I23935" s="33" t="s">
        <v>51</v>
      </c>
      <c r="J23935" s="42">
        <v>45875</v>
      </c>
      <c r="K23935" s="33" t="s">
        <v>22</v>
      </c>
    </row>
    <row r="23936" spans="1:11">
      <c r="A23936" s="30" t="s">
        <v>52808</v>
      </c>
      <c r="B23936" s="30" t="s">
        <v>52809</v>
      </c>
      <c r="C23936" s="30" t="s">
        <v>11599</v>
      </c>
      <c r="D23936" s="30" t="s">
        <v>17</v>
      </c>
      <c r="E23936" s="30" t="s">
        <v>212</v>
      </c>
      <c r="F23936" s="30" t="s">
        <v>213</v>
      </c>
      <c r="G23936" s="30" t="s">
        <v>20</v>
      </c>
      <c r="H23936" s="32">
        <v>80</v>
      </c>
      <c r="I23936" s="30" t="s">
        <v>21</v>
      </c>
      <c r="J23936" s="41">
        <v>45845</v>
      </c>
      <c r="K23936" s="30" t="s">
        <v>22</v>
      </c>
    </row>
    <row r="23937" spans="1:11">
      <c r="A23937" s="33" t="s">
        <v>52810</v>
      </c>
      <c r="B23937" s="33" t="s">
        <v>52811</v>
      </c>
      <c r="C23937" s="33" t="s">
        <v>96</v>
      </c>
      <c r="D23937" s="33" t="s">
        <v>17</v>
      </c>
      <c r="E23937" s="33" t="s">
        <v>18</v>
      </c>
      <c r="F23937" s="33" t="s">
        <v>19</v>
      </c>
      <c r="G23937" s="33" t="s">
        <v>140</v>
      </c>
      <c r="H23937" s="35">
        <v>500</v>
      </c>
      <c r="I23937" s="33" t="s">
        <v>51</v>
      </c>
      <c r="J23937" s="42">
        <v>45993</v>
      </c>
      <c r="K23937" s="33" t="s">
        <v>22</v>
      </c>
    </row>
    <row r="23938" spans="1:11">
      <c r="A23938" s="30" t="s">
        <v>52812</v>
      </c>
      <c r="B23938" s="30" t="s">
        <v>52813</v>
      </c>
      <c r="C23938" s="30" t="s">
        <v>124</v>
      </c>
      <c r="D23938" s="30" t="s">
        <v>17</v>
      </c>
      <c r="E23938" s="30" t="s">
        <v>18</v>
      </c>
      <c r="F23938" s="30" t="s">
        <v>19</v>
      </c>
      <c r="G23938" s="30" t="s">
        <v>140</v>
      </c>
      <c r="H23938" s="32">
        <v>669</v>
      </c>
      <c r="I23938" s="30" t="s">
        <v>51</v>
      </c>
      <c r="J23938" s="41">
        <v>45928</v>
      </c>
      <c r="K23938" s="30" t="s">
        <v>22</v>
      </c>
    </row>
    <row r="23939" spans="1:11">
      <c r="A23939" s="33" t="s">
        <v>52814</v>
      </c>
      <c r="B23939" s="33" t="s">
        <v>52815</v>
      </c>
      <c r="C23939" s="33" t="s">
        <v>2807</v>
      </c>
      <c r="D23939" s="33" t="s">
        <v>17</v>
      </c>
      <c r="E23939" s="33" t="s">
        <v>212</v>
      </c>
      <c r="F23939" s="33" t="s">
        <v>213</v>
      </c>
      <c r="G23939" s="33" t="s">
        <v>158</v>
      </c>
      <c r="H23939" s="35">
        <v>18</v>
      </c>
      <c r="I23939" s="33" t="s">
        <v>21</v>
      </c>
      <c r="J23939" s="42">
        <v>45775</v>
      </c>
      <c r="K23939" s="33" t="s">
        <v>22</v>
      </c>
    </row>
    <row r="23940" spans="1:11">
      <c r="A23940" s="30" t="s">
        <v>52816</v>
      </c>
      <c r="B23940" s="30" t="s">
        <v>52817</v>
      </c>
      <c r="C23940" s="30" t="s">
        <v>52818</v>
      </c>
      <c r="D23940" s="30" t="s">
        <v>17</v>
      </c>
      <c r="E23940" s="30" t="s">
        <v>26</v>
      </c>
      <c r="F23940" s="30" t="s">
        <v>27</v>
      </c>
      <c r="G23940" s="30" t="s">
        <v>7780</v>
      </c>
      <c r="H23940" s="32">
        <v>56</v>
      </c>
      <c r="I23940" s="30" t="s">
        <v>51</v>
      </c>
      <c r="J23940" s="41">
        <v>45748</v>
      </c>
      <c r="K23940" s="30" t="s">
        <v>22</v>
      </c>
    </row>
    <row r="23941" spans="1:11">
      <c r="A23941" s="33" t="s">
        <v>52819</v>
      </c>
      <c r="B23941" s="33" t="s">
        <v>52820</v>
      </c>
      <c r="C23941" s="33" t="s">
        <v>4040</v>
      </c>
      <c r="D23941" s="33" t="s">
        <v>17</v>
      </c>
      <c r="E23941" s="33" t="s">
        <v>18</v>
      </c>
      <c r="F23941" s="33" t="s">
        <v>19</v>
      </c>
      <c r="G23941" s="33" t="s">
        <v>140</v>
      </c>
      <c r="H23941" s="35">
        <v>124</v>
      </c>
      <c r="I23941" s="33" t="s">
        <v>51</v>
      </c>
      <c r="J23941" s="42">
        <v>45796</v>
      </c>
      <c r="K23941" s="33" t="s">
        <v>22</v>
      </c>
    </row>
    <row r="23942" spans="1:11">
      <c r="A23942" s="30" t="s">
        <v>52821</v>
      </c>
      <c r="B23942" s="30" t="s">
        <v>52822</v>
      </c>
      <c r="C23942" s="30" t="s">
        <v>222</v>
      </c>
      <c r="D23942" s="30" t="s">
        <v>17</v>
      </c>
      <c r="E23942" s="30" t="s">
        <v>31</v>
      </c>
      <c r="F23942" s="30" t="s">
        <v>32</v>
      </c>
      <c r="G23942" s="30" t="s">
        <v>158</v>
      </c>
      <c r="H23942" s="32">
        <v>200</v>
      </c>
      <c r="I23942" s="30" t="s">
        <v>51</v>
      </c>
      <c r="J23942" s="41">
        <v>45663</v>
      </c>
      <c r="K23942" s="30" t="s">
        <v>22</v>
      </c>
    </row>
    <row r="23943" spans="1:11">
      <c r="A23943" s="33" t="s">
        <v>52823</v>
      </c>
      <c r="B23943" s="33" t="s">
        <v>52824</v>
      </c>
      <c r="C23943" s="33" t="s">
        <v>35935</v>
      </c>
      <c r="D23943" s="33" t="s">
        <v>17</v>
      </c>
      <c r="E23943" s="33" t="s">
        <v>26</v>
      </c>
      <c r="F23943" s="33" t="s">
        <v>27</v>
      </c>
      <c r="G23943" s="33" t="s">
        <v>140</v>
      </c>
      <c r="H23943" s="35">
        <v>125</v>
      </c>
      <c r="I23943" s="33" t="s">
        <v>51</v>
      </c>
      <c r="J23943" s="42">
        <v>45904</v>
      </c>
      <c r="K23943" s="33" t="s">
        <v>22</v>
      </c>
    </row>
    <row r="23944" spans="1:11">
      <c r="A23944" s="30" t="s">
        <v>52825</v>
      </c>
      <c r="B23944" s="30" t="s">
        <v>52826</v>
      </c>
      <c r="C23944" s="30" t="s">
        <v>52827</v>
      </c>
      <c r="D23944" s="30" t="s">
        <v>17</v>
      </c>
      <c r="E23944" s="30" t="s">
        <v>18</v>
      </c>
      <c r="F23944" s="30" t="s">
        <v>19</v>
      </c>
      <c r="G23944" s="30" t="s">
        <v>20</v>
      </c>
      <c r="H23944" s="32">
        <v>330</v>
      </c>
      <c r="I23944" s="30" t="s">
        <v>21</v>
      </c>
      <c r="J23944" s="41">
        <v>45679</v>
      </c>
      <c r="K23944" s="30" t="s">
        <v>22</v>
      </c>
    </row>
    <row r="23945" spans="1:11">
      <c r="A23945" s="33" t="s">
        <v>52828</v>
      </c>
      <c r="B23945" s="33" t="s">
        <v>52829</v>
      </c>
      <c r="C23945" s="33" t="s">
        <v>32434</v>
      </c>
      <c r="D23945" s="33" t="s">
        <v>17</v>
      </c>
      <c r="E23945" s="33" t="s">
        <v>67</v>
      </c>
      <c r="F23945" s="33" t="s">
        <v>68</v>
      </c>
      <c r="G23945" s="33" t="s">
        <v>20</v>
      </c>
      <c r="H23945" s="35">
        <v>8</v>
      </c>
      <c r="I23945" s="33" t="s">
        <v>21</v>
      </c>
      <c r="J23945" s="42">
        <v>45728</v>
      </c>
      <c r="K23945" s="33" t="s">
        <v>22</v>
      </c>
    </row>
    <row r="23946" spans="1:11">
      <c r="A23946" s="30" t="s">
        <v>52830</v>
      </c>
      <c r="B23946" s="30" t="s">
        <v>52831</v>
      </c>
      <c r="C23946" s="30" t="s">
        <v>2562</v>
      </c>
      <c r="D23946" s="30" t="s">
        <v>17</v>
      </c>
      <c r="E23946" s="30" t="s">
        <v>31</v>
      </c>
      <c r="F23946" s="30" t="s">
        <v>32</v>
      </c>
      <c r="G23946" s="30" t="s">
        <v>7780</v>
      </c>
      <c r="H23946" s="32">
        <v>150</v>
      </c>
      <c r="I23946" s="30" t="s">
        <v>51</v>
      </c>
      <c r="J23946" s="41">
        <v>45689</v>
      </c>
      <c r="K23946" s="30" t="s">
        <v>22</v>
      </c>
    </row>
    <row r="23947" spans="1:11">
      <c r="A23947" s="33" t="s">
        <v>52832</v>
      </c>
      <c r="B23947" s="33" t="s">
        <v>52833</v>
      </c>
      <c r="C23947" s="33" t="s">
        <v>318</v>
      </c>
      <c r="D23947" s="33" t="s">
        <v>17</v>
      </c>
      <c r="E23947" s="33" t="s">
        <v>18</v>
      </c>
      <c r="F23947" s="33" t="s">
        <v>19</v>
      </c>
      <c r="G23947" s="33" t="s">
        <v>158</v>
      </c>
      <c r="H23947" s="35">
        <v>279</v>
      </c>
      <c r="I23947" s="33" t="s">
        <v>21</v>
      </c>
      <c r="J23947" s="42">
        <v>45821</v>
      </c>
      <c r="K23947" s="33" t="s">
        <v>22</v>
      </c>
    </row>
    <row r="23948" spans="1:11">
      <c r="A23948" s="30" t="s">
        <v>52834</v>
      </c>
      <c r="B23948" s="30" t="s">
        <v>52835</v>
      </c>
      <c r="C23948" s="30" t="s">
        <v>157</v>
      </c>
      <c r="D23948" s="30" t="s">
        <v>17</v>
      </c>
      <c r="E23948" s="30" t="s">
        <v>18</v>
      </c>
      <c r="F23948" s="30" t="s">
        <v>19</v>
      </c>
      <c r="G23948" s="30" t="s">
        <v>140</v>
      </c>
      <c r="H23948" s="32">
        <v>110</v>
      </c>
      <c r="I23948" s="30" t="s">
        <v>51</v>
      </c>
      <c r="J23948" s="41">
        <v>45995</v>
      </c>
      <c r="K23948" s="30" t="s">
        <v>22</v>
      </c>
    </row>
    <row r="23949" spans="1:11">
      <c r="A23949" s="33" t="s">
        <v>52836</v>
      </c>
      <c r="B23949" s="33" t="s">
        <v>52837</v>
      </c>
      <c r="C23949" s="33" t="s">
        <v>48745</v>
      </c>
      <c r="D23949" s="33" t="s">
        <v>17</v>
      </c>
      <c r="E23949" s="33" t="s">
        <v>26</v>
      </c>
      <c r="F23949" s="33" t="s">
        <v>27</v>
      </c>
      <c r="G23949" s="33" t="s">
        <v>140</v>
      </c>
      <c r="H23949" s="35">
        <v>36</v>
      </c>
      <c r="I23949" s="33" t="s">
        <v>51</v>
      </c>
      <c r="J23949" s="42">
        <v>45763</v>
      </c>
      <c r="K23949" s="33" t="s">
        <v>22</v>
      </c>
    </row>
    <row r="23950" spans="1:11">
      <c r="A23950" s="30" t="s">
        <v>52838</v>
      </c>
      <c r="B23950" s="30" t="s">
        <v>52839</v>
      </c>
      <c r="C23950" s="30" t="s">
        <v>2839</v>
      </c>
      <c r="D23950" s="30" t="s">
        <v>17</v>
      </c>
      <c r="E23950" s="30" t="s">
        <v>18</v>
      </c>
      <c r="F23950" s="30" t="s">
        <v>19</v>
      </c>
      <c r="G23950" s="30" t="s">
        <v>140</v>
      </c>
      <c r="H23950" s="32">
        <v>420</v>
      </c>
      <c r="I23950" s="30" t="s">
        <v>51</v>
      </c>
      <c r="J23950" s="41">
        <v>45828</v>
      </c>
      <c r="K23950" s="30" t="s">
        <v>22</v>
      </c>
    </row>
    <row r="23951" spans="1:11">
      <c r="A23951" s="33" t="s">
        <v>52840</v>
      </c>
      <c r="B23951" s="33" t="s">
        <v>52841</v>
      </c>
      <c r="C23951" s="33" t="s">
        <v>22650</v>
      </c>
      <c r="D23951" s="33" t="s">
        <v>17</v>
      </c>
      <c r="E23951" s="33" t="s">
        <v>18</v>
      </c>
      <c r="F23951" s="33" t="s">
        <v>19</v>
      </c>
      <c r="G23951" s="33" t="s">
        <v>140</v>
      </c>
      <c r="H23951" s="35">
        <v>504</v>
      </c>
      <c r="I23951" s="33" t="s">
        <v>51</v>
      </c>
      <c r="J23951" s="42">
        <v>45741</v>
      </c>
      <c r="K23951" s="33" t="s">
        <v>22</v>
      </c>
    </row>
    <row r="23952" spans="1:11">
      <c r="A23952" s="30" t="s">
        <v>52842</v>
      </c>
      <c r="B23952" s="30" t="s">
        <v>52843</v>
      </c>
      <c r="C23952" s="30" t="s">
        <v>1764</v>
      </c>
      <c r="D23952" s="30" t="s">
        <v>17</v>
      </c>
      <c r="E23952" s="30" t="s">
        <v>18</v>
      </c>
      <c r="F23952" s="30" t="s">
        <v>19</v>
      </c>
      <c r="G23952" s="30" t="s">
        <v>20</v>
      </c>
      <c r="H23952" s="32">
        <v>36</v>
      </c>
      <c r="I23952" s="30" t="s">
        <v>21</v>
      </c>
      <c r="J23952" s="41">
        <v>45939</v>
      </c>
      <c r="K23952" s="30" t="s">
        <v>22</v>
      </c>
    </row>
    <row r="23953" spans="1:11">
      <c r="A23953" s="33" t="s">
        <v>52844</v>
      </c>
      <c r="B23953" s="33" t="s">
        <v>52845</v>
      </c>
      <c r="C23953" s="33" t="s">
        <v>16469</v>
      </c>
      <c r="D23953" s="33" t="s">
        <v>17</v>
      </c>
      <c r="E23953" s="33" t="s">
        <v>18</v>
      </c>
      <c r="F23953" s="33" t="s">
        <v>19</v>
      </c>
      <c r="G23953" s="33" t="s">
        <v>7780</v>
      </c>
      <c r="H23953" s="35">
        <v>286</v>
      </c>
      <c r="I23953" s="33" t="s">
        <v>51</v>
      </c>
      <c r="J23953" s="42">
        <v>45900</v>
      </c>
      <c r="K23953" s="33" t="s">
        <v>22</v>
      </c>
    </row>
    <row r="23954" spans="1:11">
      <c r="A23954" s="30" t="s">
        <v>52846</v>
      </c>
      <c r="B23954" s="30" t="s">
        <v>52847</v>
      </c>
      <c r="C23954" s="30" t="s">
        <v>647</v>
      </c>
      <c r="D23954" s="30" t="s">
        <v>17</v>
      </c>
      <c r="E23954" s="30" t="s">
        <v>67</v>
      </c>
      <c r="F23954" s="30" t="s">
        <v>68</v>
      </c>
      <c r="G23954" s="30" t="s">
        <v>140</v>
      </c>
      <c r="H23954" s="32">
        <v>81</v>
      </c>
      <c r="I23954" s="30" t="s">
        <v>51</v>
      </c>
      <c r="J23954" s="41">
        <v>45714</v>
      </c>
      <c r="K23954" s="30" t="s">
        <v>22</v>
      </c>
    </row>
    <row r="23955" spans="1:11">
      <c r="A23955" s="33" t="s">
        <v>52848</v>
      </c>
      <c r="B23955" s="33" t="s">
        <v>52849</v>
      </c>
      <c r="C23955" s="33" t="s">
        <v>102</v>
      </c>
      <c r="D23955" s="33" t="s">
        <v>17</v>
      </c>
      <c r="E23955" s="33" t="s">
        <v>18</v>
      </c>
      <c r="F23955" s="33" t="s">
        <v>19</v>
      </c>
      <c r="G23955" s="33" t="s">
        <v>140</v>
      </c>
      <c r="H23955" s="35">
        <v>600</v>
      </c>
      <c r="I23955" s="33" t="s">
        <v>51</v>
      </c>
      <c r="J23955" s="42">
        <v>45812</v>
      </c>
      <c r="K23955" s="33" t="s">
        <v>22</v>
      </c>
    </row>
    <row r="23956" spans="1:11">
      <c r="A23956" s="30" t="s">
        <v>52850</v>
      </c>
      <c r="B23956" s="30" t="s">
        <v>52851</v>
      </c>
      <c r="C23956" s="30" t="s">
        <v>1136</v>
      </c>
      <c r="D23956" s="30" t="s">
        <v>17</v>
      </c>
      <c r="E23956" s="30" t="s">
        <v>67</v>
      </c>
      <c r="F23956" s="30" t="s">
        <v>68</v>
      </c>
      <c r="G23956" s="30" t="s">
        <v>20</v>
      </c>
      <c r="H23956" s="32">
        <v>1162</v>
      </c>
      <c r="I23956" s="30" t="s">
        <v>21</v>
      </c>
      <c r="J23956" s="41">
        <v>45663</v>
      </c>
      <c r="K23956" s="30" t="s">
        <v>22</v>
      </c>
    </row>
    <row r="23957" spans="1:11">
      <c r="A23957" s="33" t="s">
        <v>52852</v>
      </c>
      <c r="B23957" s="33" t="s">
        <v>52853</v>
      </c>
      <c r="C23957" s="33" t="s">
        <v>1778</v>
      </c>
      <c r="D23957" s="33" t="s">
        <v>17</v>
      </c>
      <c r="E23957" s="33" t="s">
        <v>26</v>
      </c>
      <c r="F23957" s="33" t="s">
        <v>27</v>
      </c>
      <c r="G23957" s="33" t="s">
        <v>140</v>
      </c>
      <c r="H23957" s="35">
        <v>24</v>
      </c>
      <c r="I23957" s="33" t="s">
        <v>51</v>
      </c>
      <c r="J23957" s="42">
        <v>46014</v>
      </c>
      <c r="K23957" s="33" t="s">
        <v>22</v>
      </c>
    </row>
    <row r="23958" spans="1:11">
      <c r="A23958" s="30" t="s">
        <v>52854</v>
      </c>
      <c r="B23958" s="30" t="s">
        <v>52855</v>
      </c>
      <c r="C23958" s="30" t="s">
        <v>96</v>
      </c>
      <c r="D23958" s="30" t="s">
        <v>17</v>
      </c>
      <c r="E23958" s="30" t="s">
        <v>31</v>
      </c>
      <c r="F23958" s="30" t="s">
        <v>32</v>
      </c>
      <c r="G23958" s="30" t="s">
        <v>140</v>
      </c>
      <c r="H23958" s="32">
        <v>620</v>
      </c>
      <c r="I23958" s="30" t="s">
        <v>51</v>
      </c>
      <c r="J23958" s="41">
        <v>45827</v>
      </c>
      <c r="K23958" s="30" t="s">
        <v>22</v>
      </c>
    </row>
    <row r="23959" spans="1:11">
      <c r="A23959" s="33" t="s">
        <v>52856</v>
      </c>
      <c r="B23959" s="33" t="s">
        <v>52857</v>
      </c>
      <c r="C23959" s="33" t="s">
        <v>647</v>
      </c>
      <c r="D23959" s="33" t="s">
        <v>17</v>
      </c>
      <c r="E23959" s="33" t="s">
        <v>31</v>
      </c>
      <c r="F23959" s="33" t="s">
        <v>32</v>
      </c>
      <c r="G23959" s="33" t="s">
        <v>140</v>
      </c>
      <c r="H23959" s="35">
        <v>130</v>
      </c>
      <c r="I23959" s="33" t="s">
        <v>51</v>
      </c>
      <c r="J23959" s="42">
        <v>46010</v>
      </c>
      <c r="K23959" s="33" t="s">
        <v>22</v>
      </c>
    </row>
    <row r="23960" spans="1:11">
      <c r="A23960" s="30" t="s">
        <v>52858</v>
      </c>
      <c r="B23960" s="30" t="s">
        <v>52859</v>
      </c>
      <c r="C23960" s="30" t="s">
        <v>231</v>
      </c>
      <c r="D23960" s="30" t="s">
        <v>17</v>
      </c>
      <c r="E23960" s="30" t="s">
        <v>31</v>
      </c>
      <c r="F23960" s="30" t="s">
        <v>32</v>
      </c>
      <c r="G23960" s="30" t="s">
        <v>158</v>
      </c>
      <c r="H23960" s="32">
        <v>202</v>
      </c>
      <c r="I23960" s="30" t="s">
        <v>21</v>
      </c>
      <c r="J23960" s="41">
        <v>45663</v>
      </c>
      <c r="K23960" s="30" t="s">
        <v>22</v>
      </c>
    </row>
    <row r="23961" spans="1:11">
      <c r="A23961" s="33" t="s">
        <v>52860</v>
      </c>
      <c r="B23961" s="33" t="s">
        <v>52861</v>
      </c>
      <c r="C23961" s="33" t="s">
        <v>3400</v>
      </c>
      <c r="D23961" s="33" t="s">
        <v>17</v>
      </c>
      <c r="E23961" s="33" t="s">
        <v>18</v>
      </c>
      <c r="F23961" s="33" t="s">
        <v>19</v>
      </c>
      <c r="G23961" s="33" t="s">
        <v>112</v>
      </c>
      <c r="H23961" s="35">
        <v>0</v>
      </c>
      <c r="I23961" s="33" t="s">
        <v>21</v>
      </c>
      <c r="J23961" s="42">
        <v>45658</v>
      </c>
      <c r="K23961" s="33" t="s">
        <v>22</v>
      </c>
    </row>
    <row r="23962" spans="1:11">
      <c r="A23962" s="30" t="s">
        <v>52862</v>
      </c>
      <c r="B23962" s="30" t="s">
        <v>52863</v>
      </c>
      <c r="C23962" s="30" t="s">
        <v>5725</v>
      </c>
      <c r="D23962" s="30" t="s">
        <v>17</v>
      </c>
      <c r="E23962" s="30" t="s">
        <v>26</v>
      </c>
      <c r="F23962" s="30" t="s">
        <v>27</v>
      </c>
      <c r="G23962" s="30" t="s">
        <v>140</v>
      </c>
      <c r="H23962" s="32">
        <v>145</v>
      </c>
      <c r="I23962" s="30" t="s">
        <v>51</v>
      </c>
      <c r="J23962" s="41">
        <v>45664</v>
      </c>
      <c r="K23962" s="30" t="s">
        <v>22</v>
      </c>
    </row>
    <row r="23963" spans="1:11">
      <c r="A23963" s="33" t="s">
        <v>52864</v>
      </c>
      <c r="B23963" s="33" t="s">
        <v>52865</v>
      </c>
      <c r="C23963" s="33" t="s">
        <v>102</v>
      </c>
      <c r="D23963" s="33" t="s">
        <v>17</v>
      </c>
      <c r="E23963" s="33" t="s">
        <v>18</v>
      </c>
      <c r="F23963" s="33" t="s">
        <v>19</v>
      </c>
      <c r="G23963" s="33" t="s">
        <v>158</v>
      </c>
      <c r="H23963" s="35">
        <v>552</v>
      </c>
      <c r="I23963" s="33" t="s">
        <v>21</v>
      </c>
      <c r="J23963" s="42">
        <v>45709</v>
      </c>
      <c r="K23963" s="33" t="s">
        <v>22</v>
      </c>
    </row>
    <row r="23964" spans="1:11">
      <c r="A23964" s="30" t="s">
        <v>52866</v>
      </c>
      <c r="B23964" s="30" t="s">
        <v>52867</v>
      </c>
      <c r="C23964" s="30" t="s">
        <v>52868</v>
      </c>
      <c r="D23964" s="30" t="s">
        <v>17</v>
      </c>
      <c r="E23964" s="30" t="s">
        <v>26</v>
      </c>
      <c r="F23964" s="30" t="s">
        <v>27</v>
      </c>
      <c r="G23964" s="30" t="s">
        <v>140</v>
      </c>
      <c r="H23964" s="32">
        <v>10</v>
      </c>
      <c r="I23964" s="30" t="s">
        <v>51</v>
      </c>
      <c r="J23964" s="41">
        <v>45785</v>
      </c>
      <c r="K23964" s="30" t="s">
        <v>22</v>
      </c>
    </row>
    <row r="23965" spans="1:11">
      <c r="A23965" s="33" t="s">
        <v>52869</v>
      </c>
      <c r="B23965" s="33" t="s">
        <v>52870</v>
      </c>
      <c r="C23965" s="33" t="s">
        <v>7588</v>
      </c>
      <c r="D23965" s="33" t="s">
        <v>17</v>
      </c>
      <c r="E23965" s="33" t="s">
        <v>18</v>
      </c>
      <c r="F23965" s="33" t="s">
        <v>19</v>
      </c>
      <c r="G23965" s="33" t="s">
        <v>140</v>
      </c>
      <c r="H23965" s="35">
        <v>720</v>
      </c>
      <c r="I23965" s="33" t="s">
        <v>51</v>
      </c>
      <c r="J23965" s="42">
        <v>45813</v>
      </c>
      <c r="K23965" s="33" t="s">
        <v>22</v>
      </c>
    </row>
    <row r="23966" spans="1:11">
      <c r="A23966" s="30" t="s">
        <v>52871</v>
      </c>
      <c r="B23966" s="30" t="s">
        <v>52872</v>
      </c>
      <c r="C23966" s="30" t="s">
        <v>715</v>
      </c>
      <c r="D23966" s="30" t="s">
        <v>17</v>
      </c>
      <c r="E23966" s="30" t="s">
        <v>31</v>
      </c>
      <c r="F23966" s="30" t="s">
        <v>32</v>
      </c>
      <c r="G23966" s="30" t="s">
        <v>140</v>
      </c>
      <c r="H23966" s="32">
        <v>218</v>
      </c>
      <c r="I23966" s="30" t="s">
        <v>51</v>
      </c>
      <c r="J23966" s="41">
        <v>45827</v>
      </c>
      <c r="K23966" s="30" t="s">
        <v>22</v>
      </c>
    </row>
    <row r="23967" spans="1:11">
      <c r="A23967" s="33" t="s">
        <v>52873</v>
      </c>
      <c r="B23967" s="33" t="s">
        <v>52874</v>
      </c>
      <c r="C23967" s="33" t="s">
        <v>18388</v>
      </c>
      <c r="D23967" s="33" t="s">
        <v>17</v>
      </c>
      <c r="E23967" s="33" t="s">
        <v>67</v>
      </c>
      <c r="F23967" s="33" t="s">
        <v>68</v>
      </c>
      <c r="G23967" s="33" t="s">
        <v>140</v>
      </c>
      <c r="H23967" s="35">
        <v>150</v>
      </c>
      <c r="I23967" s="33" t="s">
        <v>51</v>
      </c>
      <c r="J23967" s="42">
        <v>46003</v>
      </c>
      <c r="K23967" s="33" t="s">
        <v>22</v>
      </c>
    </row>
    <row r="23968" spans="1:11">
      <c r="A23968" s="30" t="s">
        <v>52875</v>
      </c>
      <c r="B23968" s="30" t="s">
        <v>52876</v>
      </c>
      <c r="C23968" s="30" t="s">
        <v>8350</v>
      </c>
      <c r="D23968" s="30" t="s">
        <v>17</v>
      </c>
      <c r="E23968" s="30" t="s">
        <v>31</v>
      </c>
      <c r="F23968" s="30" t="s">
        <v>32</v>
      </c>
      <c r="G23968" s="30" t="s">
        <v>140</v>
      </c>
      <c r="H23968" s="32">
        <v>72</v>
      </c>
      <c r="I23968" s="30" t="s">
        <v>51</v>
      </c>
      <c r="J23968" s="41">
        <v>45950</v>
      </c>
      <c r="K23968" s="30" t="s">
        <v>22</v>
      </c>
    </row>
    <row r="23969" spans="1:11">
      <c r="A23969" s="33" t="s">
        <v>52877</v>
      </c>
      <c r="B23969" s="33" t="s">
        <v>52878</v>
      </c>
      <c r="C23969" s="33" t="s">
        <v>52879</v>
      </c>
      <c r="D23969" s="33" t="s">
        <v>17</v>
      </c>
      <c r="E23969" s="33" t="s">
        <v>26</v>
      </c>
      <c r="F23969" s="33" t="s">
        <v>27</v>
      </c>
      <c r="G23969" s="33" t="s">
        <v>2613</v>
      </c>
      <c r="H23969" s="35">
        <v>44</v>
      </c>
      <c r="I23969" s="33" t="s">
        <v>51</v>
      </c>
      <c r="J23969" s="42">
        <v>45906</v>
      </c>
      <c r="K23969" s="33" t="s">
        <v>22</v>
      </c>
    </row>
    <row r="23970" spans="1:11">
      <c r="A23970" s="30" t="s">
        <v>52880</v>
      </c>
      <c r="B23970" s="30" t="s">
        <v>52881</v>
      </c>
      <c r="C23970" s="30" t="s">
        <v>8142</v>
      </c>
      <c r="D23970" s="30" t="s">
        <v>17</v>
      </c>
      <c r="E23970" s="30" t="s">
        <v>31</v>
      </c>
      <c r="F23970" s="30" t="s">
        <v>32</v>
      </c>
      <c r="G23970" s="30" t="s">
        <v>20</v>
      </c>
      <c r="H23970" s="32">
        <v>33</v>
      </c>
      <c r="I23970" s="30" t="s">
        <v>21</v>
      </c>
      <c r="J23970" s="41">
        <v>45936</v>
      </c>
      <c r="K23970" s="30" t="s">
        <v>22</v>
      </c>
    </row>
    <row r="23971" spans="1:11">
      <c r="A23971" s="33" t="s">
        <v>52882</v>
      </c>
      <c r="B23971" s="33" t="s">
        <v>52883</v>
      </c>
      <c r="C23971" s="33" t="s">
        <v>16052</v>
      </c>
      <c r="D23971" s="33" t="s">
        <v>17</v>
      </c>
      <c r="E23971" s="33" t="s">
        <v>26</v>
      </c>
      <c r="F23971" s="33" t="s">
        <v>27</v>
      </c>
      <c r="G23971" s="33" t="s">
        <v>20</v>
      </c>
      <c r="H23971" s="35">
        <v>45</v>
      </c>
      <c r="I23971" s="33" t="s">
        <v>21</v>
      </c>
      <c r="J23971" s="42">
        <v>45825</v>
      </c>
      <c r="K23971" s="33" t="s">
        <v>22</v>
      </c>
    </row>
    <row r="23972" spans="1:11">
      <c r="A23972" s="30" t="s">
        <v>52884</v>
      </c>
      <c r="B23972" s="30" t="s">
        <v>52885</v>
      </c>
      <c r="C23972" s="30" t="s">
        <v>2132</v>
      </c>
      <c r="D23972" s="30" t="s">
        <v>17</v>
      </c>
      <c r="E23972" s="30" t="s">
        <v>31</v>
      </c>
      <c r="F23972" s="30" t="s">
        <v>32</v>
      </c>
      <c r="G23972" s="30" t="s">
        <v>140</v>
      </c>
      <c r="H23972" s="32">
        <v>80</v>
      </c>
      <c r="I23972" s="30" t="s">
        <v>51</v>
      </c>
      <c r="J23972" s="41">
        <v>45873</v>
      </c>
      <c r="K23972" s="30" t="s">
        <v>22</v>
      </c>
    </row>
    <row r="23973" spans="1:11">
      <c r="A23973" s="33" t="s">
        <v>52886</v>
      </c>
      <c r="B23973" s="33" t="s">
        <v>52887</v>
      </c>
      <c r="C23973" s="33" t="s">
        <v>2839</v>
      </c>
      <c r="D23973" s="33" t="s">
        <v>17</v>
      </c>
      <c r="E23973" s="33" t="s">
        <v>31</v>
      </c>
      <c r="F23973" s="33" t="s">
        <v>32</v>
      </c>
      <c r="G23973" s="33" t="s">
        <v>140</v>
      </c>
      <c r="H23973" s="35">
        <v>340</v>
      </c>
      <c r="I23973" s="33" t="s">
        <v>51</v>
      </c>
      <c r="J23973" s="42">
        <v>45868</v>
      </c>
      <c r="K23973" s="33" t="s">
        <v>22</v>
      </c>
    </row>
    <row r="23974" spans="1:11">
      <c r="A23974" s="30" t="s">
        <v>52888</v>
      </c>
      <c r="B23974" s="30" t="s">
        <v>52889</v>
      </c>
      <c r="C23974" s="30" t="s">
        <v>52890</v>
      </c>
      <c r="D23974" s="30" t="s">
        <v>17</v>
      </c>
      <c r="E23974" s="30" t="s">
        <v>31</v>
      </c>
      <c r="F23974" s="30" t="s">
        <v>32</v>
      </c>
      <c r="G23974" s="30" t="s">
        <v>140</v>
      </c>
      <c r="H23974" s="32">
        <v>216</v>
      </c>
      <c r="I23974" s="30" t="s">
        <v>51</v>
      </c>
      <c r="J23974" s="41">
        <v>45930</v>
      </c>
      <c r="K23974" s="30" t="s">
        <v>22</v>
      </c>
    </row>
    <row r="23975" spans="1:11">
      <c r="A23975" s="33" t="s">
        <v>52891</v>
      </c>
      <c r="B23975" s="33" t="s">
        <v>52892</v>
      </c>
      <c r="C23975" s="33" t="s">
        <v>7163</v>
      </c>
      <c r="D23975" s="33" t="s">
        <v>17</v>
      </c>
      <c r="E23975" s="33" t="s">
        <v>26</v>
      </c>
      <c r="F23975" s="33" t="s">
        <v>27</v>
      </c>
      <c r="G23975" s="33" t="s">
        <v>158</v>
      </c>
      <c r="H23975" s="35">
        <v>20</v>
      </c>
      <c r="I23975" s="33" t="s">
        <v>51</v>
      </c>
      <c r="J23975" s="42">
        <v>45959</v>
      </c>
      <c r="K23975" s="33" t="s">
        <v>22</v>
      </c>
    </row>
    <row r="23976" spans="1:11">
      <c r="A23976" s="30" t="s">
        <v>52893</v>
      </c>
      <c r="B23976" s="30" t="s">
        <v>52894</v>
      </c>
      <c r="C23976" s="30" t="s">
        <v>34057</v>
      </c>
      <c r="D23976" s="30" t="s">
        <v>17</v>
      </c>
      <c r="E23976" s="30" t="s">
        <v>26</v>
      </c>
      <c r="F23976" s="30" t="s">
        <v>27</v>
      </c>
      <c r="G23976" s="30" t="s">
        <v>20</v>
      </c>
      <c r="H23976" s="32">
        <v>18</v>
      </c>
      <c r="I23976" s="30" t="s">
        <v>21</v>
      </c>
      <c r="J23976" s="41">
        <v>45797</v>
      </c>
      <c r="K23976" s="30" t="s">
        <v>22</v>
      </c>
    </row>
    <row r="23977" spans="1:11">
      <c r="A23977" s="33" t="s">
        <v>52895</v>
      </c>
      <c r="B23977" s="33" t="s">
        <v>52896</v>
      </c>
      <c r="C23977" s="33" t="s">
        <v>18591</v>
      </c>
      <c r="D23977" s="33" t="s">
        <v>17</v>
      </c>
      <c r="E23977" s="33" t="s">
        <v>67</v>
      </c>
      <c r="F23977" s="33" t="s">
        <v>68</v>
      </c>
      <c r="G23977" s="33" t="s">
        <v>140</v>
      </c>
      <c r="H23977" s="35">
        <v>60</v>
      </c>
      <c r="I23977" s="33" t="s">
        <v>51</v>
      </c>
      <c r="J23977" s="42">
        <v>46001</v>
      </c>
      <c r="K23977" s="33" t="s">
        <v>22</v>
      </c>
    </row>
    <row r="23978" spans="1:11">
      <c r="A23978" s="30" t="s">
        <v>52897</v>
      </c>
      <c r="B23978" s="30" t="s">
        <v>52898</v>
      </c>
      <c r="C23978" s="30" t="s">
        <v>52376</v>
      </c>
      <c r="D23978" s="30" t="s">
        <v>17</v>
      </c>
      <c r="E23978" s="30" t="s">
        <v>18</v>
      </c>
      <c r="F23978" s="30" t="s">
        <v>19</v>
      </c>
      <c r="G23978" s="30" t="s">
        <v>2613</v>
      </c>
      <c r="H23978" s="32">
        <v>40</v>
      </c>
      <c r="I23978" s="30" t="s">
        <v>51</v>
      </c>
      <c r="J23978" s="41">
        <v>45910</v>
      </c>
      <c r="K23978" s="30" t="s">
        <v>22</v>
      </c>
    </row>
    <row r="23979" spans="1:11">
      <c r="A23979" s="33" t="s">
        <v>52899</v>
      </c>
      <c r="B23979" s="33" t="s">
        <v>52900</v>
      </c>
      <c r="C23979" s="33" t="s">
        <v>3583</v>
      </c>
      <c r="D23979" s="33" t="s">
        <v>17</v>
      </c>
      <c r="E23979" s="33" t="s">
        <v>18</v>
      </c>
      <c r="F23979" s="33" t="s">
        <v>19</v>
      </c>
      <c r="G23979" s="33" t="s">
        <v>158</v>
      </c>
      <c r="H23979" s="35">
        <v>149</v>
      </c>
      <c r="I23979" s="33" t="s">
        <v>21</v>
      </c>
      <c r="J23979" s="42">
        <v>45761</v>
      </c>
      <c r="K23979" s="33" t="s">
        <v>22</v>
      </c>
    </row>
    <row r="23980" spans="1:11">
      <c r="A23980" s="30" t="s">
        <v>52901</v>
      </c>
      <c r="B23980" s="30" t="s">
        <v>52902</v>
      </c>
      <c r="C23980" s="30" t="s">
        <v>684</v>
      </c>
      <c r="D23980" s="30" t="s">
        <v>17</v>
      </c>
      <c r="E23980" s="30" t="s">
        <v>26</v>
      </c>
      <c r="F23980" s="30" t="s">
        <v>27</v>
      </c>
      <c r="G23980" s="30" t="s">
        <v>140</v>
      </c>
      <c r="H23980" s="32">
        <v>42</v>
      </c>
      <c r="I23980" s="30" t="s">
        <v>51</v>
      </c>
      <c r="J23980" s="41">
        <v>46006</v>
      </c>
      <c r="K23980" s="30" t="s">
        <v>22</v>
      </c>
    </row>
    <row r="23981" spans="1:11">
      <c r="A23981" s="33" t="s">
        <v>52903</v>
      </c>
      <c r="B23981" s="33" t="s">
        <v>52904</v>
      </c>
      <c r="C23981" s="33" t="s">
        <v>2469</v>
      </c>
      <c r="D23981" s="33" t="s">
        <v>17</v>
      </c>
      <c r="E23981" s="33" t="s">
        <v>31</v>
      </c>
      <c r="F23981" s="33" t="s">
        <v>32</v>
      </c>
      <c r="G23981" s="33" t="s">
        <v>7780</v>
      </c>
      <c r="H23981" s="35">
        <v>90</v>
      </c>
      <c r="I23981" s="33" t="s">
        <v>51</v>
      </c>
      <c r="J23981" s="42">
        <v>45839</v>
      </c>
      <c r="K23981" s="33" t="s">
        <v>22</v>
      </c>
    </row>
    <row r="23982" spans="1:11">
      <c r="A23982" s="30" t="s">
        <v>52905</v>
      </c>
      <c r="B23982" s="30" t="s">
        <v>52906</v>
      </c>
      <c r="C23982" s="30" t="s">
        <v>3698</v>
      </c>
      <c r="D23982" s="30" t="s">
        <v>17</v>
      </c>
      <c r="E23982" s="30" t="s">
        <v>26</v>
      </c>
      <c r="F23982" s="30" t="s">
        <v>27</v>
      </c>
      <c r="G23982" s="30" t="s">
        <v>20</v>
      </c>
      <c r="H23982" s="32">
        <v>24</v>
      </c>
      <c r="I23982" s="30" t="s">
        <v>21</v>
      </c>
      <c r="J23982" s="41">
        <v>45712</v>
      </c>
      <c r="K23982" s="30" t="s">
        <v>22</v>
      </c>
    </row>
    <row r="23983" spans="1:11">
      <c r="A23983" s="33" t="s">
        <v>52907</v>
      </c>
      <c r="B23983" s="33" t="s">
        <v>52908</v>
      </c>
      <c r="C23983" s="33" t="s">
        <v>2709</v>
      </c>
      <c r="D23983" s="33" t="s">
        <v>17</v>
      </c>
      <c r="E23983" s="33" t="s">
        <v>18</v>
      </c>
      <c r="F23983" s="33" t="s">
        <v>19</v>
      </c>
      <c r="G23983" s="33" t="s">
        <v>140</v>
      </c>
      <c r="H23983" s="35">
        <v>1650</v>
      </c>
      <c r="I23983" s="33" t="s">
        <v>51</v>
      </c>
      <c r="J23983" s="42">
        <v>45821</v>
      </c>
      <c r="K23983" s="33" t="s">
        <v>22</v>
      </c>
    </row>
    <row r="23984" spans="1:11">
      <c r="A23984" s="30" t="s">
        <v>52909</v>
      </c>
      <c r="B23984" s="30" t="s">
        <v>52910</v>
      </c>
      <c r="C23984" s="30" t="s">
        <v>11434</v>
      </c>
      <c r="D23984" s="30" t="s">
        <v>17</v>
      </c>
      <c r="E23984" s="30" t="s">
        <v>26</v>
      </c>
      <c r="F23984" s="30" t="s">
        <v>27</v>
      </c>
      <c r="G23984" s="30" t="s">
        <v>140</v>
      </c>
      <c r="H23984" s="32">
        <v>80</v>
      </c>
      <c r="I23984" s="30" t="s">
        <v>51</v>
      </c>
      <c r="J23984" s="41">
        <v>46017</v>
      </c>
      <c r="K23984" s="30" t="s">
        <v>22</v>
      </c>
    </row>
    <row r="23985" spans="1:11">
      <c r="A23985" s="33" t="s">
        <v>52911</v>
      </c>
      <c r="B23985" s="33" t="s">
        <v>52912</v>
      </c>
      <c r="C23985" s="33" t="s">
        <v>570</v>
      </c>
      <c r="D23985" s="33" t="s">
        <v>17</v>
      </c>
      <c r="E23985" s="33" t="s">
        <v>26</v>
      </c>
      <c r="F23985" s="33" t="s">
        <v>27</v>
      </c>
      <c r="G23985" s="33" t="s">
        <v>7780</v>
      </c>
      <c r="H23985" s="35">
        <v>18</v>
      </c>
      <c r="I23985" s="33" t="s">
        <v>51</v>
      </c>
      <c r="J23985" s="42">
        <v>45809</v>
      </c>
      <c r="K23985" s="33" t="s">
        <v>22</v>
      </c>
    </row>
    <row r="23986" spans="1:11">
      <c r="A23986" s="30" t="s">
        <v>52913</v>
      </c>
      <c r="B23986" s="30" t="s">
        <v>52914</v>
      </c>
      <c r="C23986" s="30" t="s">
        <v>10311</v>
      </c>
      <c r="D23986" s="30" t="s">
        <v>17</v>
      </c>
      <c r="E23986" s="30" t="s">
        <v>26</v>
      </c>
      <c r="F23986" s="30" t="s">
        <v>27</v>
      </c>
      <c r="G23986" s="30" t="s">
        <v>140</v>
      </c>
      <c r="H23986" s="32">
        <v>6</v>
      </c>
      <c r="I23986" s="30" t="s">
        <v>51</v>
      </c>
      <c r="J23986" s="41">
        <v>45815</v>
      </c>
      <c r="K23986" s="30" t="s">
        <v>22</v>
      </c>
    </row>
    <row r="23987" spans="1:11">
      <c r="A23987" s="33" t="s">
        <v>52915</v>
      </c>
      <c r="B23987" s="33" t="s">
        <v>52916</v>
      </c>
      <c r="C23987" s="33" t="s">
        <v>124</v>
      </c>
      <c r="D23987" s="33" t="s">
        <v>17</v>
      </c>
      <c r="E23987" s="33" t="s">
        <v>31</v>
      </c>
      <c r="F23987" s="33" t="s">
        <v>32</v>
      </c>
      <c r="G23987" s="33" t="s">
        <v>140</v>
      </c>
      <c r="H23987" s="35">
        <v>47</v>
      </c>
      <c r="I23987" s="33" t="s">
        <v>51</v>
      </c>
      <c r="J23987" s="42">
        <v>45660</v>
      </c>
      <c r="K23987" s="33" t="s">
        <v>22</v>
      </c>
    </row>
    <row r="23988" spans="1:11">
      <c r="A23988" s="30" t="s">
        <v>52917</v>
      </c>
      <c r="B23988" s="30" t="s">
        <v>52918</v>
      </c>
      <c r="C23988" s="30" t="s">
        <v>27689</v>
      </c>
      <c r="D23988" s="30" t="s">
        <v>17</v>
      </c>
      <c r="E23988" s="30" t="s">
        <v>26</v>
      </c>
      <c r="F23988" s="30" t="s">
        <v>27</v>
      </c>
      <c r="G23988" s="30" t="s">
        <v>140</v>
      </c>
      <c r="H23988" s="32">
        <v>48</v>
      </c>
      <c r="I23988" s="30" t="s">
        <v>51</v>
      </c>
      <c r="J23988" s="41">
        <v>45858</v>
      </c>
      <c r="K23988" s="30" t="s">
        <v>22</v>
      </c>
    </row>
    <row r="23989" spans="1:11">
      <c r="A23989" s="33" t="s">
        <v>52919</v>
      </c>
      <c r="B23989" s="33" t="s">
        <v>52920</v>
      </c>
      <c r="C23989" s="33" t="s">
        <v>5643</v>
      </c>
      <c r="D23989" s="33" t="s">
        <v>17</v>
      </c>
      <c r="E23989" s="33" t="s">
        <v>26</v>
      </c>
      <c r="F23989" s="33" t="s">
        <v>27</v>
      </c>
      <c r="G23989" s="33" t="s">
        <v>7780</v>
      </c>
      <c r="H23989" s="35">
        <v>60</v>
      </c>
      <c r="I23989" s="33" t="s">
        <v>51</v>
      </c>
      <c r="J23989" s="42">
        <v>45804</v>
      </c>
      <c r="K23989" s="33" t="s">
        <v>22</v>
      </c>
    </row>
    <row r="23990" spans="1:11">
      <c r="A23990" s="30" t="s">
        <v>52921</v>
      </c>
      <c r="B23990" s="30" t="s">
        <v>52922</v>
      </c>
      <c r="C23990" s="30" t="s">
        <v>11899</v>
      </c>
      <c r="D23990" s="30" t="s">
        <v>17</v>
      </c>
      <c r="E23990" s="30" t="s">
        <v>67</v>
      </c>
      <c r="F23990" s="30" t="s">
        <v>68</v>
      </c>
      <c r="G23990" s="30" t="s">
        <v>140</v>
      </c>
      <c r="H23990" s="32">
        <v>300</v>
      </c>
      <c r="I23990" s="30" t="s">
        <v>51</v>
      </c>
      <c r="J23990" s="41">
        <v>45678</v>
      </c>
      <c r="K23990" s="30" t="s">
        <v>22</v>
      </c>
    </row>
    <row r="23991" spans="1:11">
      <c r="A23991" s="33" t="s">
        <v>52923</v>
      </c>
      <c r="B23991" s="33" t="s">
        <v>52924</v>
      </c>
      <c r="C23991" s="33" t="s">
        <v>231</v>
      </c>
      <c r="D23991" s="33" t="s">
        <v>17</v>
      </c>
      <c r="E23991" s="33" t="s">
        <v>26</v>
      </c>
      <c r="F23991" s="33" t="s">
        <v>27</v>
      </c>
      <c r="G23991" s="33" t="s">
        <v>20</v>
      </c>
      <c r="H23991" s="35">
        <v>29</v>
      </c>
      <c r="I23991" s="33" t="s">
        <v>21</v>
      </c>
      <c r="J23991" s="42">
        <v>45672</v>
      </c>
      <c r="K23991" s="33" t="s">
        <v>22</v>
      </c>
    </row>
    <row r="23992" spans="1:11">
      <c r="A23992" s="30" t="s">
        <v>52925</v>
      </c>
      <c r="B23992" s="30" t="s">
        <v>52926</v>
      </c>
      <c r="C23992" s="30" t="s">
        <v>31578</v>
      </c>
      <c r="D23992" s="30" t="s">
        <v>17</v>
      </c>
      <c r="E23992" s="30" t="s">
        <v>26</v>
      </c>
      <c r="F23992" s="30" t="s">
        <v>27</v>
      </c>
      <c r="G23992" s="30" t="s">
        <v>140</v>
      </c>
      <c r="H23992" s="32">
        <v>10</v>
      </c>
      <c r="I23992" s="30" t="s">
        <v>51</v>
      </c>
      <c r="J23992" s="41">
        <v>45890</v>
      </c>
      <c r="K23992" s="30" t="s">
        <v>22</v>
      </c>
    </row>
    <row r="23993" spans="1:11">
      <c r="A23993" s="33" t="s">
        <v>52927</v>
      </c>
      <c r="B23993" s="33" t="s">
        <v>52928</v>
      </c>
      <c r="C23993" s="33" t="s">
        <v>52929</v>
      </c>
      <c r="D23993" s="33" t="s">
        <v>17</v>
      </c>
      <c r="E23993" s="33" t="s">
        <v>26</v>
      </c>
      <c r="F23993" s="33" t="s">
        <v>27</v>
      </c>
      <c r="G23993" s="33" t="s">
        <v>140</v>
      </c>
      <c r="H23993" s="35">
        <v>12</v>
      </c>
      <c r="I23993" s="33" t="s">
        <v>51</v>
      </c>
      <c r="J23993" s="42">
        <v>45840</v>
      </c>
      <c r="K23993" s="33" t="s">
        <v>22</v>
      </c>
    </row>
    <row r="23994" spans="1:11">
      <c r="A23994" s="30" t="s">
        <v>52930</v>
      </c>
      <c r="B23994" s="30" t="s">
        <v>52931</v>
      </c>
      <c r="C23994" s="30" t="s">
        <v>203</v>
      </c>
      <c r="D23994" s="30" t="s">
        <v>17</v>
      </c>
      <c r="E23994" s="30" t="s">
        <v>31</v>
      </c>
      <c r="F23994" s="30" t="s">
        <v>32</v>
      </c>
      <c r="G23994" s="30" t="s">
        <v>140</v>
      </c>
      <c r="H23994" s="32">
        <v>99</v>
      </c>
      <c r="I23994" s="30" t="s">
        <v>51</v>
      </c>
      <c r="J23994" s="41">
        <v>45845</v>
      </c>
      <c r="K23994" s="30" t="s">
        <v>22</v>
      </c>
    </row>
    <row r="23995" spans="1:11">
      <c r="A23995" s="33" t="s">
        <v>52932</v>
      </c>
      <c r="B23995" s="33" t="s">
        <v>52933</v>
      </c>
      <c r="C23995" s="33" t="s">
        <v>136</v>
      </c>
      <c r="D23995" s="33" t="s">
        <v>17</v>
      </c>
      <c r="E23995" s="33" t="s">
        <v>31</v>
      </c>
      <c r="F23995" s="33" t="s">
        <v>32</v>
      </c>
      <c r="G23995" s="33" t="s">
        <v>106</v>
      </c>
      <c r="H23995" s="35">
        <v>1</v>
      </c>
      <c r="I23995" s="33" t="s">
        <v>21</v>
      </c>
      <c r="J23995" s="42">
        <v>45859</v>
      </c>
      <c r="K23995" s="33" t="s">
        <v>22</v>
      </c>
    </row>
    <row r="23996" spans="1:11">
      <c r="A23996" s="30" t="s">
        <v>52934</v>
      </c>
      <c r="B23996" s="30" t="s">
        <v>52935</v>
      </c>
      <c r="C23996" s="30" t="s">
        <v>52936</v>
      </c>
      <c r="D23996" s="30" t="s">
        <v>17</v>
      </c>
      <c r="E23996" s="30" t="s">
        <v>67</v>
      </c>
      <c r="F23996" s="30" t="s">
        <v>68</v>
      </c>
      <c r="G23996" s="30" t="s">
        <v>140</v>
      </c>
      <c r="H23996" s="32">
        <v>100</v>
      </c>
      <c r="I23996" s="30" t="s">
        <v>51</v>
      </c>
      <c r="J23996" s="41">
        <v>45695</v>
      </c>
      <c r="K23996" s="30" t="s">
        <v>22</v>
      </c>
    </row>
    <row r="23997" spans="1:11">
      <c r="A23997" s="33" t="s">
        <v>52937</v>
      </c>
      <c r="B23997" s="33" t="s">
        <v>52938</v>
      </c>
      <c r="C23997" s="33" t="s">
        <v>44</v>
      </c>
      <c r="D23997" s="33" t="s">
        <v>17</v>
      </c>
      <c r="E23997" s="33" t="s">
        <v>67</v>
      </c>
      <c r="F23997" s="33" t="s">
        <v>68</v>
      </c>
      <c r="G23997" s="33" t="s">
        <v>140</v>
      </c>
      <c r="H23997" s="35">
        <v>132</v>
      </c>
      <c r="I23997" s="33" t="s">
        <v>51</v>
      </c>
      <c r="J23997" s="42">
        <v>45775</v>
      </c>
      <c r="K23997" s="33" t="s">
        <v>22</v>
      </c>
    </row>
    <row r="23998" spans="1:11">
      <c r="A23998" s="30" t="s">
        <v>52939</v>
      </c>
      <c r="B23998" s="30" t="s">
        <v>52940</v>
      </c>
      <c r="C23998" s="30" t="s">
        <v>318</v>
      </c>
      <c r="D23998" s="30" t="s">
        <v>17</v>
      </c>
      <c r="E23998" s="30" t="s">
        <v>18</v>
      </c>
      <c r="F23998" s="30" t="s">
        <v>19</v>
      </c>
      <c r="G23998" s="30" t="s">
        <v>158</v>
      </c>
      <c r="H23998" s="32">
        <v>1105</v>
      </c>
      <c r="I23998" s="30" t="s">
        <v>21</v>
      </c>
      <c r="J23998" s="41">
        <v>45733</v>
      </c>
      <c r="K23998" s="30" t="s">
        <v>22</v>
      </c>
    </row>
    <row r="23999" spans="1:11">
      <c r="A23999" s="33" t="s">
        <v>52941</v>
      </c>
      <c r="B23999" s="33" t="s">
        <v>52942</v>
      </c>
      <c r="C23999" s="33" t="s">
        <v>52346</v>
      </c>
      <c r="D23999" s="33" t="s">
        <v>17</v>
      </c>
      <c r="E23999" s="33" t="s">
        <v>330</v>
      </c>
      <c r="F23999" s="33" t="s">
        <v>331</v>
      </c>
      <c r="G23999" s="33" t="s">
        <v>7780</v>
      </c>
      <c r="H23999" s="35">
        <v>12</v>
      </c>
      <c r="I23999" s="33" t="s">
        <v>51</v>
      </c>
      <c r="J23999" s="42">
        <v>45925</v>
      </c>
      <c r="K23999" s="33" t="s">
        <v>22</v>
      </c>
    </row>
    <row r="24000" spans="1:11">
      <c r="A24000" s="30" t="s">
        <v>52943</v>
      </c>
      <c r="B24000" s="30" t="s">
        <v>52944</v>
      </c>
      <c r="C24000" s="30" t="s">
        <v>570</v>
      </c>
      <c r="D24000" s="30" t="s">
        <v>17</v>
      </c>
      <c r="E24000" s="30" t="s">
        <v>26</v>
      </c>
      <c r="F24000" s="30" t="s">
        <v>27</v>
      </c>
      <c r="G24000" s="30" t="s">
        <v>140</v>
      </c>
      <c r="H24000" s="32">
        <v>180</v>
      </c>
      <c r="I24000" s="30" t="s">
        <v>51</v>
      </c>
      <c r="J24000" s="41">
        <v>45722</v>
      </c>
      <c r="K24000" s="30" t="s">
        <v>22</v>
      </c>
    </row>
    <row r="24001" spans="1:11">
      <c r="A24001" s="33" t="s">
        <v>52945</v>
      </c>
      <c r="B24001" s="33" t="s">
        <v>52946</v>
      </c>
      <c r="C24001" s="33" t="s">
        <v>19411</v>
      </c>
      <c r="D24001" s="33" t="s">
        <v>17</v>
      </c>
      <c r="E24001" s="33" t="s">
        <v>26</v>
      </c>
      <c r="F24001" s="33" t="s">
        <v>27</v>
      </c>
      <c r="G24001" s="33" t="s">
        <v>140</v>
      </c>
      <c r="H24001" s="35">
        <v>84</v>
      </c>
      <c r="I24001" s="33" t="s">
        <v>51</v>
      </c>
      <c r="J24001" s="42">
        <v>45960</v>
      </c>
      <c r="K24001" s="33" t="s">
        <v>22</v>
      </c>
    </row>
    <row r="24002" spans="1:11">
      <c r="A24002" s="30" t="s">
        <v>52947</v>
      </c>
      <c r="B24002" s="30" t="s">
        <v>52948</v>
      </c>
      <c r="C24002" s="30" t="s">
        <v>19939</v>
      </c>
      <c r="D24002" s="30" t="s">
        <v>17</v>
      </c>
      <c r="E24002" s="30" t="s">
        <v>330</v>
      </c>
      <c r="F24002" s="30" t="s">
        <v>331</v>
      </c>
      <c r="G24002" s="30" t="s">
        <v>140</v>
      </c>
      <c r="H24002" s="32">
        <v>12</v>
      </c>
      <c r="I24002" s="30" t="s">
        <v>51</v>
      </c>
      <c r="J24002" s="41">
        <v>45972</v>
      </c>
      <c r="K24002" s="30" t="s">
        <v>22</v>
      </c>
    </row>
    <row r="24003" spans="1:11">
      <c r="A24003" s="33" t="s">
        <v>52949</v>
      </c>
      <c r="B24003" s="33" t="s">
        <v>52950</v>
      </c>
      <c r="C24003" s="33" t="s">
        <v>190</v>
      </c>
      <c r="D24003" s="33" t="s">
        <v>17</v>
      </c>
      <c r="E24003" s="33" t="s">
        <v>18</v>
      </c>
      <c r="F24003" s="33" t="s">
        <v>19</v>
      </c>
      <c r="G24003" s="33" t="s">
        <v>140</v>
      </c>
      <c r="H24003" s="35">
        <v>150</v>
      </c>
      <c r="I24003" s="33" t="s">
        <v>51</v>
      </c>
      <c r="J24003" s="42">
        <v>45792</v>
      </c>
      <c r="K24003" s="33" t="s">
        <v>22</v>
      </c>
    </row>
    <row r="24004" spans="1:11">
      <c r="A24004" s="30" t="s">
        <v>52951</v>
      </c>
      <c r="B24004" s="30" t="s">
        <v>52952</v>
      </c>
      <c r="C24004" s="30" t="s">
        <v>246</v>
      </c>
      <c r="D24004" s="30" t="s">
        <v>17</v>
      </c>
      <c r="E24004" s="30" t="s">
        <v>26</v>
      </c>
      <c r="F24004" s="30" t="s">
        <v>27</v>
      </c>
      <c r="G24004" s="30" t="s">
        <v>7780</v>
      </c>
      <c r="H24004" s="32">
        <v>50</v>
      </c>
      <c r="I24004" s="30" t="s">
        <v>51</v>
      </c>
      <c r="J24004" s="41">
        <v>45689</v>
      </c>
      <c r="K24004" s="30" t="s">
        <v>22</v>
      </c>
    </row>
    <row r="24005" spans="1:11">
      <c r="A24005" s="33" t="s">
        <v>52953</v>
      </c>
      <c r="B24005" s="33" t="s">
        <v>52954</v>
      </c>
      <c r="C24005" s="33" t="s">
        <v>136</v>
      </c>
      <c r="D24005" s="33" t="s">
        <v>17</v>
      </c>
      <c r="E24005" s="33" t="s">
        <v>31</v>
      </c>
      <c r="F24005" s="33" t="s">
        <v>32</v>
      </c>
      <c r="G24005" s="33" t="s">
        <v>106</v>
      </c>
      <c r="H24005" s="35">
        <v>35</v>
      </c>
      <c r="I24005" s="33" t="s">
        <v>21</v>
      </c>
      <c r="J24005" s="42">
        <v>45735</v>
      </c>
      <c r="K24005" s="33" t="s">
        <v>22</v>
      </c>
    </row>
    <row r="24006" spans="1:11">
      <c r="A24006" s="30" t="s">
        <v>52955</v>
      </c>
      <c r="B24006" s="30" t="s">
        <v>52956</v>
      </c>
      <c r="C24006" s="30" t="s">
        <v>3655</v>
      </c>
      <c r="D24006" s="30" t="s">
        <v>17</v>
      </c>
      <c r="E24006" s="30" t="s">
        <v>67</v>
      </c>
      <c r="F24006" s="30" t="s">
        <v>68</v>
      </c>
      <c r="G24006" s="30" t="s">
        <v>140</v>
      </c>
      <c r="H24006" s="32">
        <v>482</v>
      </c>
      <c r="I24006" s="30" t="s">
        <v>51</v>
      </c>
      <c r="J24006" s="41">
        <v>45856</v>
      </c>
      <c r="K24006" s="30" t="s">
        <v>22</v>
      </c>
    </row>
    <row r="24007" spans="1:11">
      <c r="A24007" s="33" t="s">
        <v>52957</v>
      </c>
      <c r="B24007" s="33" t="s">
        <v>52958</v>
      </c>
      <c r="C24007" s="33" t="s">
        <v>75</v>
      </c>
      <c r="D24007" s="33" t="s">
        <v>17</v>
      </c>
      <c r="E24007" s="33" t="s">
        <v>18</v>
      </c>
      <c r="F24007" s="33" t="s">
        <v>19</v>
      </c>
      <c r="G24007" s="33" t="s">
        <v>140</v>
      </c>
      <c r="H24007" s="35">
        <v>366</v>
      </c>
      <c r="I24007" s="33" t="s">
        <v>51</v>
      </c>
      <c r="J24007" s="42">
        <v>45994</v>
      </c>
      <c r="K24007" s="33" t="s">
        <v>22</v>
      </c>
    </row>
    <row r="24008" spans="1:11">
      <c r="A24008" s="30" t="s">
        <v>52959</v>
      </c>
      <c r="B24008" s="30" t="s">
        <v>52960</v>
      </c>
      <c r="C24008" s="30" t="s">
        <v>1030</v>
      </c>
      <c r="D24008" s="30" t="s">
        <v>17</v>
      </c>
      <c r="E24008" s="30" t="s">
        <v>212</v>
      </c>
      <c r="F24008" s="30" t="s">
        <v>213</v>
      </c>
      <c r="G24008" s="30" t="s">
        <v>140</v>
      </c>
      <c r="H24008" s="32">
        <v>47</v>
      </c>
      <c r="I24008" s="30" t="s">
        <v>51</v>
      </c>
      <c r="J24008" s="41">
        <v>45817</v>
      </c>
      <c r="K24008" s="30" t="s">
        <v>22</v>
      </c>
    </row>
    <row r="24009" spans="1:11">
      <c r="A24009" s="33" t="s">
        <v>52961</v>
      </c>
      <c r="B24009" s="33" t="s">
        <v>52962</v>
      </c>
      <c r="C24009" s="33" t="s">
        <v>15999</v>
      </c>
      <c r="D24009" s="33" t="s">
        <v>17</v>
      </c>
      <c r="E24009" s="33" t="s">
        <v>31</v>
      </c>
      <c r="F24009" s="33" t="s">
        <v>32</v>
      </c>
      <c r="G24009" s="33" t="s">
        <v>140</v>
      </c>
      <c r="H24009" s="35">
        <v>324</v>
      </c>
      <c r="I24009" s="33" t="s">
        <v>51</v>
      </c>
      <c r="J24009" s="42">
        <v>45958</v>
      </c>
      <c r="K24009" s="33" t="s">
        <v>22</v>
      </c>
    </row>
    <row r="24010" spans="1:11">
      <c r="A24010" s="30" t="s">
        <v>52963</v>
      </c>
      <c r="B24010" s="30" t="s">
        <v>52964</v>
      </c>
      <c r="C24010" s="30" t="s">
        <v>10199</v>
      </c>
      <c r="D24010" s="30" t="s">
        <v>17</v>
      </c>
      <c r="E24010" s="30" t="s">
        <v>67</v>
      </c>
      <c r="F24010" s="30" t="s">
        <v>68</v>
      </c>
      <c r="G24010" s="30" t="s">
        <v>7780</v>
      </c>
      <c r="H24010" s="32">
        <v>65</v>
      </c>
      <c r="I24010" s="30" t="s">
        <v>51</v>
      </c>
      <c r="J24010" s="41">
        <v>45820</v>
      </c>
      <c r="K24010" s="30" t="s">
        <v>22</v>
      </c>
    </row>
    <row r="24011" spans="1:11">
      <c r="A24011" s="33" t="s">
        <v>52965</v>
      </c>
      <c r="B24011" s="33" t="s">
        <v>52966</v>
      </c>
      <c r="C24011" s="33" t="s">
        <v>45739</v>
      </c>
      <c r="D24011" s="33" t="s">
        <v>17</v>
      </c>
      <c r="E24011" s="33" t="s">
        <v>31</v>
      </c>
      <c r="F24011" s="33" t="s">
        <v>32</v>
      </c>
      <c r="G24011" s="33" t="s">
        <v>140</v>
      </c>
      <c r="H24011" s="35">
        <v>250</v>
      </c>
      <c r="I24011" s="33" t="s">
        <v>51</v>
      </c>
      <c r="J24011" s="42">
        <v>45863</v>
      </c>
      <c r="K24011" s="33" t="s">
        <v>22</v>
      </c>
    </row>
    <row r="24012" spans="1:11">
      <c r="A24012" s="30" t="s">
        <v>52967</v>
      </c>
      <c r="B24012" s="30" t="s">
        <v>52968</v>
      </c>
      <c r="C24012" s="30" t="s">
        <v>1350</v>
      </c>
      <c r="D24012" s="30" t="s">
        <v>17</v>
      </c>
      <c r="E24012" s="30" t="s">
        <v>26</v>
      </c>
      <c r="F24012" s="30" t="s">
        <v>27</v>
      </c>
      <c r="G24012" s="30" t="s">
        <v>140</v>
      </c>
      <c r="H24012" s="32">
        <v>225</v>
      </c>
      <c r="I24012" s="30" t="s">
        <v>51</v>
      </c>
      <c r="J24012" s="41">
        <v>45953</v>
      </c>
      <c r="K24012" s="30" t="s">
        <v>22</v>
      </c>
    </row>
    <row r="24013" spans="1:11">
      <c r="A24013" s="33" t="s">
        <v>52969</v>
      </c>
      <c r="B24013" s="33" t="s">
        <v>52970</v>
      </c>
      <c r="C24013" s="33" t="s">
        <v>124</v>
      </c>
      <c r="D24013" s="33" t="s">
        <v>17</v>
      </c>
      <c r="E24013" s="33" t="s">
        <v>31</v>
      </c>
      <c r="F24013" s="33" t="s">
        <v>32</v>
      </c>
      <c r="G24013" s="33" t="s">
        <v>20</v>
      </c>
      <c r="H24013" s="35">
        <v>186</v>
      </c>
      <c r="I24013" s="33" t="s">
        <v>21</v>
      </c>
      <c r="J24013" s="42">
        <v>45674</v>
      </c>
      <c r="K24013" s="33" t="s">
        <v>22</v>
      </c>
    </row>
    <row r="24014" spans="1:11">
      <c r="A24014" s="30" t="s">
        <v>52971</v>
      </c>
      <c r="B24014" s="30" t="s">
        <v>52972</v>
      </c>
      <c r="C24014" s="30" t="s">
        <v>310</v>
      </c>
      <c r="D24014" s="30" t="s">
        <v>17</v>
      </c>
      <c r="E24014" s="30" t="s">
        <v>18</v>
      </c>
      <c r="F24014" s="30" t="s">
        <v>19</v>
      </c>
      <c r="G24014" s="30" t="s">
        <v>158</v>
      </c>
      <c r="H24014" s="32">
        <v>330</v>
      </c>
      <c r="I24014" s="30" t="s">
        <v>51</v>
      </c>
      <c r="J24014" s="41">
        <v>45966</v>
      </c>
      <c r="K24014" s="30" t="s">
        <v>22</v>
      </c>
    </row>
    <row r="24015" spans="1:11">
      <c r="A24015" s="33" t="s">
        <v>52973</v>
      </c>
      <c r="B24015" s="33" t="s">
        <v>52974</v>
      </c>
      <c r="C24015" s="33" t="s">
        <v>203</v>
      </c>
      <c r="D24015" s="33" t="s">
        <v>17</v>
      </c>
      <c r="E24015" s="33" t="s">
        <v>18</v>
      </c>
      <c r="F24015" s="33" t="s">
        <v>19</v>
      </c>
      <c r="G24015" s="33" t="s">
        <v>140</v>
      </c>
      <c r="H24015" s="35">
        <v>124</v>
      </c>
      <c r="I24015" s="33" t="s">
        <v>51</v>
      </c>
      <c r="J24015" s="42">
        <v>45926</v>
      </c>
      <c r="K24015" s="33" t="s">
        <v>22</v>
      </c>
    </row>
    <row r="24016" spans="1:11">
      <c r="A24016" s="30" t="s">
        <v>52975</v>
      </c>
      <c r="B24016" s="30" t="s">
        <v>52976</v>
      </c>
      <c r="C24016" s="30" t="s">
        <v>17832</v>
      </c>
      <c r="D24016" s="30" t="s">
        <v>17</v>
      </c>
      <c r="E24016" s="30" t="s">
        <v>67</v>
      </c>
      <c r="F24016" s="30" t="s">
        <v>68</v>
      </c>
      <c r="G24016" s="30" t="s">
        <v>7780</v>
      </c>
      <c r="H24016" s="32">
        <v>110</v>
      </c>
      <c r="I24016" s="30" t="s">
        <v>51</v>
      </c>
      <c r="J24016" s="41">
        <v>45901</v>
      </c>
      <c r="K24016" s="30" t="s">
        <v>22</v>
      </c>
    </row>
    <row r="24017" spans="1:11">
      <c r="A24017" s="33" t="s">
        <v>52977</v>
      </c>
      <c r="B24017" s="33" t="s">
        <v>52978</v>
      </c>
      <c r="C24017" s="33" t="s">
        <v>96</v>
      </c>
      <c r="D24017" s="33" t="s">
        <v>17</v>
      </c>
      <c r="E24017" s="33" t="s">
        <v>26</v>
      </c>
      <c r="F24017" s="33" t="s">
        <v>27</v>
      </c>
      <c r="G24017" s="33" t="s">
        <v>20</v>
      </c>
      <c r="H24017" s="35">
        <v>8</v>
      </c>
      <c r="I24017" s="33" t="s">
        <v>21</v>
      </c>
      <c r="J24017" s="42">
        <v>45943</v>
      </c>
      <c r="K24017" s="33" t="s">
        <v>22</v>
      </c>
    </row>
    <row r="24018" spans="1:11">
      <c r="A24018" s="30" t="s">
        <v>52979</v>
      </c>
      <c r="B24018" s="30" t="s">
        <v>52980</v>
      </c>
      <c r="C24018" s="30" t="s">
        <v>5043</v>
      </c>
      <c r="D24018" s="30" t="s">
        <v>17</v>
      </c>
      <c r="E24018" s="30" t="s">
        <v>18</v>
      </c>
      <c r="F24018" s="30" t="s">
        <v>19</v>
      </c>
      <c r="G24018" s="30" t="s">
        <v>140</v>
      </c>
      <c r="H24018" s="32">
        <v>39</v>
      </c>
      <c r="I24018" s="30" t="s">
        <v>51</v>
      </c>
      <c r="J24018" s="41">
        <v>45923</v>
      </c>
      <c r="K24018" s="30" t="s">
        <v>22</v>
      </c>
    </row>
    <row r="24019" spans="1:11">
      <c r="A24019" s="33" t="s">
        <v>52981</v>
      </c>
      <c r="B24019" s="33" t="s">
        <v>52982</v>
      </c>
      <c r="C24019" s="33" t="s">
        <v>1305</v>
      </c>
      <c r="D24019" s="33" t="s">
        <v>17</v>
      </c>
      <c r="E24019" s="33" t="s">
        <v>18</v>
      </c>
      <c r="F24019" s="33" t="s">
        <v>19</v>
      </c>
      <c r="G24019" s="33" t="s">
        <v>158</v>
      </c>
      <c r="H24019" s="35">
        <v>18</v>
      </c>
      <c r="I24019" s="33" t="s">
        <v>21</v>
      </c>
      <c r="J24019" s="42">
        <v>45673</v>
      </c>
      <c r="K24019" s="33" t="s">
        <v>22</v>
      </c>
    </row>
    <row r="24020" spans="1:11">
      <c r="A24020" s="30" t="s">
        <v>52983</v>
      </c>
      <c r="B24020" s="30" t="s">
        <v>52984</v>
      </c>
      <c r="C24020" s="30" t="s">
        <v>399</v>
      </c>
      <c r="D24020" s="30" t="s">
        <v>17</v>
      </c>
      <c r="E24020" s="30" t="s">
        <v>18</v>
      </c>
      <c r="F24020" s="30" t="s">
        <v>19</v>
      </c>
      <c r="G24020" s="30" t="s">
        <v>140</v>
      </c>
      <c r="H24020" s="32">
        <v>532</v>
      </c>
      <c r="I24020" s="30" t="s">
        <v>51</v>
      </c>
      <c r="J24020" s="41">
        <v>45946</v>
      </c>
      <c r="K24020" s="30" t="s">
        <v>22</v>
      </c>
    </row>
    <row r="24021" spans="1:11">
      <c r="A24021" s="33" t="s">
        <v>52985</v>
      </c>
      <c r="B24021" s="33" t="s">
        <v>52986</v>
      </c>
      <c r="C24021" s="33" t="s">
        <v>10028</v>
      </c>
      <c r="D24021" s="33" t="s">
        <v>17</v>
      </c>
      <c r="E24021" s="33" t="s">
        <v>45</v>
      </c>
      <c r="F24021" s="33" t="s">
        <v>46</v>
      </c>
      <c r="G24021" s="33" t="s">
        <v>140</v>
      </c>
      <c r="H24021" s="35">
        <v>256</v>
      </c>
      <c r="I24021" s="33" t="s">
        <v>51</v>
      </c>
      <c r="J24021" s="42">
        <v>45684</v>
      </c>
      <c r="K24021" s="33" t="s">
        <v>22</v>
      </c>
    </row>
    <row r="24022" spans="1:11">
      <c r="A24022" s="30" t="s">
        <v>52987</v>
      </c>
      <c r="B24022" s="30" t="s">
        <v>52988</v>
      </c>
      <c r="C24022" s="30" t="s">
        <v>136</v>
      </c>
      <c r="D24022" s="30" t="s">
        <v>17</v>
      </c>
      <c r="E24022" s="30" t="s">
        <v>18</v>
      </c>
      <c r="F24022" s="30" t="s">
        <v>19</v>
      </c>
      <c r="G24022" s="30" t="s">
        <v>140</v>
      </c>
      <c r="H24022" s="32">
        <v>3400</v>
      </c>
      <c r="I24022" s="30" t="s">
        <v>51</v>
      </c>
      <c r="J24022" s="41">
        <v>45894</v>
      </c>
      <c r="K24022" s="30" t="s">
        <v>22</v>
      </c>
    </row>
    <row r="24023" spans="1:11">
      <c r="A24023" s="33" t="s">
        <v>52989</v>
      </c>
      <c r="B24023" s="33" t="s">
        <v>52990</v>
      </c>
      <c r="C24023" s="33" t="s">
        <v>52991</v>
      </c>
      <c r="D24023" s="33" t="s">
        <v>17</v>
      </c>
      <c r="E24023" s="33" t="s">
        <v>26</v>
      </c>
      <c r="F24023" s="33" t="s">
        <v>27</v>
      </c>
      <c r="G24023" s="33" t="s">
        <v>140</v>
      </c>
      <c r="H24023" s="35">
        <v>94</v>
      </c>
      <c r="I24023" s="33" t="s">
        <v>51</v>
      </c>
      <c r="J24023" s="42">
        <v>45800</v>
      </c>
      <c r="K24023" s="33" t="s">
        <v>22</v>
      </c>
    </row>
    <row r="24024" spans="1:11">
      <c r="A24024" s="30" t="s">
        <v>52992</v>
      </c>
      <c r="B24024" s="30" t="s">
        <v>52993</v>
      </c>
      <c r="C24024" s="30" t="s">
        <v>329</v>
      </c>
      <c r="D24024" s="30" t="s">
        <v>17</v>
      </c>
      <c r="E24024" s="30" t="s">
        <v>18</v>
      </c>
      <c r="F24024" s="30" t="s">
        <v>19</v>
      </c>
      <c r="G24024" s="30" t="s">
        <v>140</v>
      </c>
      <c r="H24024" s="32">
        <v>600</v>
      </c>
      <c r="I24024" s="30" t="s">
        <v>51</v>
      </c>
      <c r="J24024" s="41">
        <v>45975</v>
      </c>
      <c r="K24024" s="30" t="s">
        <v>22</v>
      </c>
    </row>
    <row r="24025" spans="1:11">
      <c r="A24025" s="33" t="s">
        <v>52994</v>
      </c>
      <c r="B24025" s="33" t="s">
        <v>52995</v>
      </c>
      <c r="C24025" s="33" t="s">
        <v>136</v>
      </c>
      <c r="D24025" s="33" t="s">
        <v>17</v>
      </c>
      <c r="E24025" s="33" t="s">
        <v>18</v>
      </c>
      <c r="F24025" s="33" t="s">
        <v>19</v>
      </c>
      <c r="G24025" s="33" t="s">
        <v>158</v>
      </c>
      <c r="H24025" s="35">
        <v>1200</v>
      </c>
      <c r="I24025" s="33" t="s">
        <v>51</v>
      </c>
      <c r="J24025" s="42">
        <v>45792</v>
      </c>
      <c r="K24025" s="33" t="s">
        <v>22</v>
      </c>
    </row>
    <row r="24026" spans="1:11">
      <c r="A24026" s="30" t="s">
        <v>52996</v>
      </c>
      <c r="B24026" s="30" t="s">
        <v>52997</v>
      </c>
      <c r="C24026" s="30" t="s">
        <v>231</v>
      </c>
      <c r="D24026" s="30" t="s">
        <v>17</v>
      </c>
      <c r="E24026" s="30" t="s">
        <v>18</v>
      </c>
      <c r="F24026" s="30" t="s">
        <v>19</v>
      </c>
      <c r="G24026" s="30" t="s">
        <v>140</v>
      </c>
      <c r="H24026" s="32">
        <v>400</v>
      </c>
      <c r="I24026" s="30" t="s">
        <v>51</v>
      </c>
      <c r="J24026" s="41">
        <v>45913</v>
      </c>
      <c r="K24026" s="30" t="s">
        <v>22</v>
      </c>
    </row>
    <row r="24027" spans="1:11">
      <c r="A24027" s="33" t="s">
        <v>52998</v>
      </c>
      <c r="B24027" s="33" t="s">
        <v>52999</v>
      </c>
      <c r="C24027" s="33" t="s">
        <v>203</v>
      </c>
      <c r="D24027" s="33" t="s">
        <v>17</v>
      </c>
      <c r="E24027" s="33" t="s">
        <v>31</v>
      </c>
      <c r="F24027" s="33" t="s">
        <v>32</v>
      </c>
      <c r="G24027" s="33" t="s">
        <v>140</v>
      </c>
      <c r="H24027" s="35">
        <v>64</v>
      </c>
      <c r="I24027" s="33" t="s">
        <v>51</v>
      </c>
      <c r="J24027" s="42">
        <v>45733</v>
      </c>
      <c r="K24027" s="33" t="s">
        <v>22</v>
      </c>
    </row>
    <row r="24028" spans="1:11">
      <c r="A24028" s="30" t="s">
        <v>53000</v>
      </c>
      <c r="B24028" s="30" t="s">
        <v>53001</v>
      </c>
      <c r="C24028" s="30" t="s">
        <v>53002</v>
      </c>
      <c r="D24028" s="30" t="s">
        <v>17</v>
      </c>
      <c r="E24028" s="30" t="s">
        <v>18</v>
      </c>
      <c r="F24028" s="30" t="s">
        <v>19</v>
      </c>
      <c r="G24028" s="30" t="s">
        <v>140</v>
      </c>
      <c r="H24028" s="32">
        <v>40</v>
      </c>
      <c r="I24028" s="30" t="s">
        <v>51</v>
      </c>
      <c r="J24028" s="41">
        <v>45997</v>
      </c>
      <c r="K24028" s="30" t="s">
        <v>22</v>
      </c>
    </row>
    <row r="24029" spans="1:11">
      <c r="A24029" s="33" t="s">
        <v>53003</v>
      </c>
      <c r="B24029" s="33" t="s">
        <v>53004</v>
      </c>
      <c r="C24029" s="33" t="s">
        <v>20006</v>
      </c>
      <c r="D24029" s="33" t="s">
        <v>17</v>
      </c>
      <c r="E24029" s="33" t="s">
        <v>31</v>
      </c>
      <c r="F24029" s="33" t="s">
        <v>32</v>
      </c>
      <c r="G24029" s="33" t="s">
        <v>140</v>
      </c>
      <c r="H24029" s="35">
        <v>42</v>
      </c>
      <c r="I24029" s="33" t="s">
        <v>51</v>
      </c>
      <c r="J24029" s="42">
        <v>45847</v>
      </c>
      <c r="K24029" s="33" t="s">
        <v>22</v>
      </c>
    </row>
    <row r="24030" spans="1:11">
      <c r="A24030" s="30" t="s">
        <v>53005</v>
      </c>
      <c r="B24030" s="30" t="s">
        <v>53006</v>
      </c>
      <c r="C24030" s="30" t="s">
        <v>1165</v>
      </c>
      <c r="D24030" s="30" t="s">
        <v>17</v>
      </c>
      <c r="E24030" s="30" t="s">
        <v>18</v>
      </c>
      <c r="F24030" s="30" t="s">
        <v>19</v>
      </c>
      <c r="G24030" s="30" t="s">
        <v>140</v>
      </c>
      <c r="H24030" s="32">
        <v>160</v>
      </c>
      <c r="I24030" s="30" t="s">
        <v>51</v>
      </c>
      <c r="J24030" s="41">
        <v>45916</v>
      </c>
      <c r="K24030" s="30" t="s">
        <v>22</v>
      </c>
    </row>
    <row r="24031" spans="1:11">
      <c r="A24031" s="33" t="s">
        <v>53007</v>
      </c>
      <c r="B24031" s="33" t="s">
        <v>53008</v>
      </c>
      <c r="C24031" s="33" t="s">
        <v>379</v>
      </c>
      <c r="D24031" s="33" t="s">
        <v>17</v>
      </c>
      <c r="E24031" s="33" t="s">
        <v>18</v>
      </c>
      <c r="F24031" s="33" t="s">
        <v>19</v>
      </c>
      <c r="G24031" s="33" t="s">
        <v>7780</v>
      </c>
      <c r="H24031" s="35">
        <v>772</v>
      </c>
      <c r="I24031" s="33" t="s">
        <v>51</v>
      </c>
      <c r="J24031" s="42">
        <v>45774</v>
      </c>
      <c r="K24031" s="33" t="s">
        <v>22</v>
      </c>
    </row>
    <row r="24032" spans="1:11">
      <c r="A24032" s="30" t="s">
        <v>53009</v>
      </c>
      <c r="B24032" s="30" t="s">
        <v>53010</v>
      </c>
      <c r="C24032" s="30" t="s">
        <v>157</v>
      </c>
      <c r="D24032" s="30" t="s">
        <v>17</v>
      </c>
      <c r="E24032" s="30" t="s">
        <v>18</v>
      </c>
      <c r="F24032" s="30" t="s">
        <v>19</v>
      </c>
      <c r="G24032" s="30" t="s">
        <v>140</v>
      </c>
      <c r="H24032" s="32">
        <v>59</v>
      </c>
      <c r="I24032" s="30" t="s">
        <v>51</v>
      </c>
      <c r="J24032" s="41">
        <v>45783</v>
      </c>
      <c r="K24032" s="30" t="s">
        <v>22</v>
      </c>
    </row>
    <row r="24033" spans="1:11">
      <c r="A24033" s="33" t="s">
        <v>53011</v>
      </c>
      <c r="B24033" s="33" t="s">
        <v>53012</v>
      </c>
      <c r="C24033" s="33" t="s">
        <v>3775</v>
      </c>
      <c r="D24033" s="33" t="s">
        <v>17</v>
      </c>
      <c r="E24033" s="33" t="s">
        <v>26</v>
      </c>
      <c r="F24033" s="33" t="s">
        <v>27</v>
      </c>
      <c r="G24033" s="33" t="s">
        <v>20</v>
      </c>
      <c r="H24033" s="35">
        <v>49</v>
      </c>
      <c r="I24033" s="33" t="s">
        <v>21</v>
      </c>
      <c r="J24033" s="42">
        <v>45666</v>
      </c>
      <c r="K24033" s="33" t="s">
        <v>22</v>
      </c>
    </row>
    <row r="24034" spans="1:11">
      <c r="A24034" s="30" t="s">
        <v>53013</v>
      </c>
      <c r="B24034" s="30" t="s">
        <v>53014</v>
      </c>
      <c r="C24034" s="30" t="s">
        <v>647</v>
      </c>
      <c r="D24034" s="30" t="s">
        <v>17</v>
      </c>
      <c r="E24034" s="30" t="s">
        <v>26</v>
      </c>
      <c r="F24034" s="30" t="s">
        <v>27</v>
      </c>
      <c r="G24034" s="30" t="s">
        <v>20</v>
      </c>
      <c r="H24034" s="32">
        <v>34</v>
      </c>
      <c r="I24034" s="30" t="s">
        <v>21</v>
      </c>
      <c r="J24034" s="41">
        <v>45754</v>
      </c>
      <c r="K24034" s="30" t="s">
        <v>22</v>
      </c>
    </row>
    <row r="24035" spans="1:11">
      <c r="A24035" s="33" t="s">
        <v>53015</v>
      </c>
      <c r="B24035" s="33" t="s">
        <v>53016</v>
      </c>
      <c r="C24035" s="33" t="s">
        <v>13281</v>
      </c>
      <c r="D24035" s="33" t="s">
        <v>17</v>
      </c>
      <c r="E24035" s="33" t="s">
        <v>31</v>
      </c>
      <c r="F24035" s="33" t="s">
        <v>32</v>
      </c>
      <c r="G24035" s="33" t="s">
        <v>140</v>
      </c>
      <c r="H24035" s="35">
        <v>90</v>
      </c>
      <c r="I24035" s="33" t="s">
        <v>51</v>
      </c>
      <c r="J24035" s="42">
        <v>45847</v>
      </c>
      <c r="K24035" s="33" t="s">
        <v>22</v>
      </c>
    </row>
    <row r="24036" spans="1:11">
      <c r="A24036" s="30" t="s">
        <v>53017</v>
      </c>
      <c r="B24036" s="30" t="s">
        <v>53018</v>
      </c>
      <c r="C24036" s="30" t="s">
        <v>10359</v>
      </c>
      <c r="D24036" s="30" t="s">
        <v>17</v>
      </c>
      <c r="E24036" s="30" t="s">
        <v>26</v>
      </c>
      <c r="F24036" s="30" t="s">
        <v>27</v>
      </c>
      <c r="G24036" s="30" t="s">
        <v>20</v>
      </c>
      <c r="H24036" s="32">
        <v>22</v>
      </c>
      <c r="I24036" s="30" t="s">
        <v>21</v>
      </c>
      <c r="J24036" s="41">
        <v>45981</v>
      </c>
      <c r="K24036" s="30" t="s">
        <v>22</v>
      </c>
    </row>
    <row r="24037" spans="1:11">
      <c r="A24037" s="33" t="s">
        <v>53019</v>
      </c>
      <c r="B24037" s="33" t="s">
        <v>53020</v>
      </c>
      <c r="C24037" s="33" t="s">
        <v>570</v>
      </c>
      <c r="D24037" s="33" t="s">
        <v>17</v>
      </c>
      <c r="E24037" s="33" t="s">
        <v>18</v>
      </c>
      <c r="F24037" s="33" t="s">
        <v>19</v>
      </c>
      <c r="G24037" s="33" t="s">
        <v>140</v>
      </c>
      <c r="H24037" s="35">
        <v>228</v>
      </c>
      <c r="I24037" s="33" t="s">
        <v>51</v>
      </c>
      <c r="J24037" s="42">
        <v>45968</v>
      </c>
      <c r="K24037" s="33" t="s">
        <v>22</v>
      </c>
    </row>
    <row r="24038" spans="1:11">
      <c r="A24038" s="30" t="s">
        <v>53021</v>
      </c>
      <c r="B24038" s="30" t="s">
        <v>53022</v>
      </c>
      <c r="C24038" s="30" t="s">
        <v>2264</v>
      </c>
      <c r="D24038" s="30" t="s">
        <v>17</v>
      </c>
      <c r="E24038" s="30" t="s">
        <v>67</v>
      </c>
      <c r="F24038" s="30" t="s">
        <v>68</v>
      </c>
      <c r="G24038" s="30" t="s">
        <v>158</v>
      </c>
      <c r="H24038" s="32">
        <v>612</v>
      </c>
      <c r="I24038" s="30" t="s">
        <v>21</v>
      </c>
      <c r="J24038" s="41">
        <v>45826</v>
      </c>
      <c r="K24038" s="30" t="s">
        <v>22</v>
      </c>
    </row>
    <row r="24039" spans="1:11">
      <c r="A24039" s="33" t="s">
        <v>53023</v>
      </c>
      <c r="B24039" s="33" t="s">
        <v>53024</v>
      </c>
      <c r="C24039" s="33" t="s">
        <v>16425</v>
      </c>
      <c r="D24039" s="33" t="s">
        <v>17</v>
      </c>
      <c r="E24039" s="33" t="s">
        <v>18</v>
      </c>
      <c r="F24039" s="33" t="s">
        <v>19</v>
      </c>
      <c r="G24039" s="33" t="s">
        <v>158</v>
      </c>
      <c r="H24039" s="35">
        <v>1100</v>
      </c>
      <c r="I24039" s="33" t="s">
        <v>51</v>
      </c>
      <c r="J24039" s="42">
        <v>45831</v>
      </c>
      <c r="K24039" s="33" t="s">
        <v>22</v>
      </c>
    </row>
    <row r="24040" spans="1:11">
      <c r="A24040" s="30" t="s">
        <v>53025</v>
      </c>
      <c r="B24040" s="30" t="s">
        <v>53026</v>
      </c>
      <c r="C24040" s="30" t="s">
        <v>22471</v>
      </c>
      <c r="D24040" s="30" t="s">
        <v>17</v>
      </c>
      <c r="E24040" s="30" t="s">
        <v>31</v>
      </c>
      <c r="F24040" s="30" t="s">
        <v>32</v>
      </c>
      <c r="G24040" s="30" t="s">
        <v>7780</v>
      </c>
      <c r="H24040" s="32">
        <v>126</v>
      </c>
      <c r="I24040" s="30" t="s">
        <v>51</v>
      </c>
      <c r="J24040" s="41">
        <v>45992</v>
      </c>
      <c r="K24040" s="30" t="s">
        <v>22</v>
      </c>
    </row>
    <row r="24041" spans="1:11">
      <c r="A24041" s="33" t="s">
        <v>53027</v>
      </c>
      <c r="B24041" s="33" t="s">
        <v>53028</v>
      </c>
      <c r="C24041" s="33" t="s">
        <v>795</v>
      </c>
      <c r="D24041" s="33" t="s">
        <v>17</v>
      </c>
      <c r="E24041" s="33" t="s">
        <v>18</v>
      </c>
      <c r="F24041" s="33" t="s">
        <v>19</v>
      </c>
      <c r="G24041" s="33" t="s">
        <v>140</v>
      </c>
      <c r="H24041" s="35">
        <v>660</v>
      </c>
      <c r="I24041" s="33" t="s">
        <v>51</v>
      </c>
      <c r="J24041" s="42">
        <v>45989</v>
      </c>
      <c r="K24041" s="33" t="s">
        <v>22</v>
      </c>
    </row>
    <row r="24042" spans="1:11">
      <c r="A24042" s="30" t="s">
        <v>53029</v>
      </c>
      <c r="B24042" s="30" t="s">
        <v>53030</v>
      </c>
      <c r="C24042" s="30" t="s">
        <v>53031</v>
      </c>
      <c r="D24042" s="30" t="s">
        <v>17</v>
      </c>
      <c r="E24042" s="30" t="s">
        <v>26</v>
      </c>
      <c r="F24042" s="30" t="s">
        <v>27</v>
      </c>
      <c r="G24042" s="30" t="s">
        <v>20</v>
      </c>
      <c r="H24042" s="32">
        <v>24</v>
      </c>
      <c r="I24042" s="30" t="s">
        <v>21</v>
      </c>
      <c r="J24042" s="41">
        <v>45729</v>
      </c>
      <c r="K24042" s="30" t="s">
        <v>22</v>
      </c>
    </row>
    <row r="24043" spans="1:11">
      <c r="A24043" s="33" t="s">
        <v>53032</v>
      </c>
      <c r="B24043" s="33" t="s">
        <v>53033</v>
      </c>
      <c r="C24043" s="33" t="s">
        <v>16404</v>
      </c>
      <c r="D24043" s="33" t="s">
        <v>17</v>
      </c>
      <c r="E24043" s="33" t="s">
        <v>67</v>
      </c>
      <c r="F24043" s="33" t="s">
        <v>68</v>
      </c>
      <c r="G24043" s="33" t="s">
        <v>140</v>
      </c>
      <c r="H24043" s="35">
        <v>262</v>
      </c>
      <c r="I24043" s="33" t="s">
        <v>51</v>
      </c>
      <c r="J24043" s="42">
        <v>45944</v>
      </c>
      <c r="K24043" s="33" t="s">
        <v>22</v>
      </c>
    </row>
    <row r="24044" spans="1:11">
      <c r="A24044" s="30" t="s">
        <v>53034</v>
      </c>
      <c r="B24044" s="30" t="s">
        <v>53035</v>
      </c>
      <c r="C24044" s="30" t="s">
        <v>5934</v>
      </c>
      <c r="D24044" s="30" t="s">
        <v>17</v>
      </c>
      <c r="E24044" s="30" t="s">
        <v>67</v>
      </c>
      <c r="F24044" s="30" t="s">
        <v>68</v>
      </c>
      <c r="G24044" s="30" t="s">
        <v>140</v>
      </c>
      <c r="H24044" s="32">
        <v>84</v>
      </c>
      <c r="I24044" s="30" t="s">
        <v>51</v>
      </c>
      <c r="J24044" s="41">
        <v>45680</v>
      </c>
      <c r="K24044" s="30" t="s">
        <v>22</v>
      </c>
    </row>
    <row r="24045" spans="1:11">
      <c r="A24045" s="33" t="s">
        <v>53036</v>
      </c>
      <c r="B24045" s="33" t="s">
        <v>53037</v>
      </c>
      <c r="C24045" s="33" t="s">
        <v>27695</v>
      </c>
      <c r="D24045" s="33" t="s">
        <v>17</v>
      </c>
      <c r="E24045" s="33" t="s">
        <v>67</v>
      </c>
      <c r="F24045" s="33" t="s">
        <v>68</v>
      </c>
      <c r="G24045" s="33" t="s">
        <v>140</v>
      </c>
      <c r="H24045" s="35">
        <v>66</v>
      </c>
      <c r="I24045" s="33" t="s">
        <v>51</v>
      </c>
      <c r="J24045" s="42">
        <v>45962</v>
      </c>
      <c r="K24045" s="33" t="s">
        <v>22</v>
      </c>
    </row>
    <row r="24046" spans="1:11">
      <c r="A24046" s="30" t="s">
        <v>53038</v>
      </c>
      <c r="B24046" s="30" t="s">
        <v>53039</v>
      </c>
      <c r="C24046" s="30" t="s">
        <v>33068</v>
      </c>
      <c r="D24046" s="30" t="s">
        <v>17</v>
      </c>
      <c r="E24046" s="30" t="s">
        <v>26</v>
      </c>
      <c r="F24046" s="30" t="s">
        <v>27</v>
      </c>
      <c r="G24046" s="30" t="s">
        <v>20</v>
      </c>
      <c r="H24046" s="32">
        <v>74</v>
      </c>
      <c r="I24046" s="30" t="s">
        <v>21</v>
      </c>
      <c r="J24046" s="41">
        <v>45810</v>
      </c>
      <c r="K24046" s="30" t="s">
        <v>22</v>
      </c>
    </row>
    <row r="24047" spans="1:11">
      <c r="A24047" s="33" t="s">
        <v>53040</v>
      </c>
      <c r="B24047" s="33" t="s">
        <v>53041</v>
      </c>
      <c r="C24047" s="33" t="s">
        <v>102</v>
      </c>
      <c r="D24047" s="33" t="s">
        <v>17</v>
      </c>
      <c r="E24047" s="33" t="s">
        <v>18</v>
      </c>
      <c r="F24047" s="33" t="s">
        <v>19</v>
      </c>
      <c r="G24047" s="33" t="s">
        <v>140</v>
      </c>
      <c r="H24047" s="35">
        <v>50</v>
      </c>
      <c r="I24047" s="33" t="s">
        <v>51</v>
      </c>
      <c r="J24047" s="42">
        <v>45698</v>
      </c>
      <c r="K24047" s="33" t="s">
        <v>22</v>
      </c>
    </row>
    <row r="24048" spans="1:11">
      <c r="A24048" s="30" t="s">
        <v>53042</v>
      </c>
      <c r="B24048" s="30" t="s">
        <v>53043</v>
      </c>
      <c r="C24048" s="30" t="s">
        <v>35439</v>
      </c>
      <c r="D24048" s="30" t="s">
        <v>17</v>
      </c>
      <c r="E24048" s="30" t="s">
        <v>18</v>
      </c>
      <c r="F24048" s="30" t="s">
        <v>19</v>
      </c>
      <c r="G24048" s="30" t="s">
        <v>20</v>
      </c>
      <c r="H24048" s="32">
        <v>180</v>
      </c>
      <c r="I24048" s="30" t="s">
        <v>21</v>
      </c>
      <c r="J24048" s="41">
        <v>45965</v>
      </c>
      <c r="K24048" s="30" t="s">
        <v>22</v>
      </c>
    </row>
    <row r="24049" spans="1:11">
      <c r="A24049" s="33" t="s">
        <v>53044</v>
      </c>
      <c r="B24049" s="33" t="s">
        <v>53045</v>
      </c>
      <c r="C24049" s="33" t="s">
        <v>42561</v>
      </c>
      <c r="D24049" s="33" t="s">
        <v>17</v>
      </c>
      <c r="E24049" s="33" t="s">
        <v>26</v>
      </c>
      <c r="F24049" s="33" t="s">
        <v>27</v>
      </c>
      <c r="G24049" s="33" t="s">
        <v>158</v>
      </c>
      <c r="H24049" s="35">
        <v>36</v>
      </c>
      <c r="I24049" s="33" t="s">
        <v>51</v>
      </c>
      <c r="J24049" s="42">
        <v>45950</v>
      </c>
      <c r="K24049" s="33" t="s">
        <v>22</v>
      </c>
    </row>
    <row r="24050" spans="1:11">
      <c r="A24050" s="30" t="s">
        <v>53046</v>
      </c>
      <c r="B24050" s="30" t="s">
        <v>53047</v>
      </c>
      <c r="C24050" s="30" t="s">
        <v>5246</v>
      </c>
      <c r="D24050" s="30" t="s">
        <v>17</v>
      </c>
      <c r="E24050" s="30" t="s">
        <v>18</v>
      </c>
      <c r="F24050" s="30" t="s">
        <v>19</v>
      </c>
      <c r="G24050" s="30" t="s">
        <v>7780</v>
      </c>
      <c r="H24050" s="32">
        <v>600</v>
      </c>
      <c r="I24050" s="30" t="s">
        <v>51</v>
      </c>
      <c r="J24050" s="41">
        <v>45900</v>
      </c>
      <c r="K24050" s="30" t="s">
        <v>22</v>
      </c>
    </row>
    <row r="24051" spans="1:11">
      <c r="A24051" s="33" t="s">
        <v>53048</v>
      </c>
      <c r="B24051" s="33" t="s">
        <v>53049</v>
      </c>
      <c r="C24051" s="33" t="s">
        <v>1350</v>
      </c>
      <c r="D24051" s="33" t="s">
        <v>17</v>
      </c>
      <c r="E24051" s="33" t="s">
        <v>18</v>
      </c>
      <c r="F24051" s="33" t="s">
        <v>19</v>
      </c>
      <c r="G24051" s="33" t="s">
        <v>7780</v>
      </c>
      <c r="H24051" s="35">
        <v>430</v>
      </c>
      <c r="I24051" s="33" t="s">
        <v>51</v>
      </c>
      <c r="J24051" s="42">
        <v>45672</v>
      </c>
      <c r="K24051" s="33" t="s">
        <v>22</v>
      </c>
    </row>
    <row r="24052" spans="1:11">
      <c r="A24052" s="30" t="s">
        <v>53050</v>
      </c>
      <c r="B24052" s="30" t="s">
        <v>53051</v>
      </c>
      <c r="C24052" s="30" t="s">
        <v>13577</v>
      </c>
      <c r="D24052" s="30" t="s">
        <v>17</v>
      </c>
      <c r="E24052" s="30" t="s">
        <v>31</v>
      </c>
      <c r="F24052" s="30" t="s">
        <v>32</v>
      </c>
      <c r="G24052" s="30" t="s">
        <v>158</v>
      </c>
      <c r="H24052" s="32">
        <v>200</v>
      </c>
      <c r="I24052" s="30" t="s">
        <v>51</v>
      </c>
      <c r="J24052" s="41">
        <v>45985</v>
      </c>
      <c r="K24052" s="30" t="s">
        <v>22</v>
      </c>
    </row>
    <row r="24053" spans="1:11">
      <c r="A24053" s="33" t="s">
        <v>53052</v>
      </c>
      <c r="B24053" s="33" t="s">
        <v>53053</v>
      </c>
      <c r="C24053" s="33" t="s">
        <v>52929</v>
      </c>
      <c r="D24053" s="33" t="s">
        <v>17</v>
      </c>
      <c r="E24053" s="33" t="s">
        <v>26</v>
      </c>
      <c r="F24053" s="33" t="s">
        <v>27</v>
      </c>
      <c r="G24053" s="33" t="s">
        <v>140</v>
      </c>
      <c r="H24053" s="35">
        <v>12</v>
      </c>
      <c r="I24053" s="33" t="s">
        <v>51</v>
      </c>
      <c r="J24053" s="42">
        <v>45874</v>
      </c>
      <c r="K24053" s="33" t="s">
        <v>22</v>
      </c>
    </row>
    <row r="24054" spans="1:11">
      <c r="A24054" s="30" t="s">
        <v>53054</v>
      </c>
      <c r="B24054" s="30" t="s">
        <v>53055</v>
      </c>
      <c r="C24054" s="30" t="s">
        <v>6703</v>
      </c>
      <c r="D24054" s="30" t="s">
        <v>17</v>
      </c>
      <c r="E24054" s="30" t="s">
        <v>18</v>
      </c>
      <c r="F24054" s="30" t="s">
        <v>19</v>
      </c>
      <c r="G24054" s="30" t="s">
        <v>7780</v>
      </c>
      <c r="H24054" s="32">
        <v>240</v>
      </c>
      <c r="I24054" s="30" t="s">
        <v>51</v>
      </c>
      <c r="J24054" s="41">
        <v>45823</v>
      </c>
      <c r="K24054" s="30" t="s">
        <v>22</v>
      </c>
    </row>
    <row r="24055" spans="1:11">
      <c r="A24055" s="33" t="s">
        <v>53056</v>
      </c>
      <c r="B24055" s="33" t="s">
        <v>53057</v>
      </c>
      <c r="C24055" s="33" t="s">
        <v>801</v>
      </c>
      <c r="D24055" s="33" t="s">
        <v>17</v>
      </c>
      <c r="E24055" s="33" t="s">
        <v>26</v>
      </c>
      <c r="F24055" s="33" t="s">
        <v>27</v>
      </c>
      <c r="G24055" s="33" t="s">
        <v>20</v>
      </c>
      <c r="H24055" s="35">
        <v>404</v>
      </c>
      <c r="I24055" s="33" t="s">
        <v>21</v>
      </c>
      <c r="J24055" s="42">
        <v>45659</v>
      </c>
      <c r="K24055" s="33" t="s">
        <v>22</v>
      </c>
    </row>
    <row r="24056" spans="1:11">
      <c r="A24056" s="30" t="s">
        <v>53058</v>
      </c>
      <c r="B24056" s="30" t="s">
        <v>53059</v>
      </c>
      <c r="C24056" s="30" t="s">
        <v>8573</v>
      </c>
      <c r="D24056" s="30" t="s">
        <v>17</v>
      </c>
      <c r="E24056" s="30" t="s">
        <v>45</v>
      </c>
      <c r="F24056" s="30" t="s">
        <v>46</v>
      </c>
      <c r="G24056" s="30" t="s">
        <v>50</v>
      </c>
      <c r="H24056" s="32">
        <v>415</v>
      </c>
      <c r="I24056" s="30" t="s">
        <v>51</v>
      </c>
      <c r="J24056" s="41">
        <v>45748</v>
      </c>
      <c r="K24056" s="30" t="s">
        <v>22</v>
      </c>
    </row>
    <row r="24057" spans="1:11">
      <c r="A24057" s="33" t="s">
        <v>53060</v>
      </c>
      <c r="B24057" s="33" t="s">
        <v>53061</v>
      </c>
      <c r="C24057" s="33" t="s">
        <v>11407</v>
      </c>
      <c r="D24057" s="33" t="s">
        <v>17</v>
      </c>
      <c r="E24057" s="33" t="s">
        <v>26</v>
      </c>
      <c r="F24057" s="33" t="s">
        <v>27</v>
      </c>
      <c r="G24057" s="33" t="s">
        <v>140</v>
      </c>
      <c r="H24057" s="35">
        <v>88</v>
      </c>
      <c r="I24057" s="33" t="s">
        <v>51</v>
      </c>
      <c r="J24057" s="42">
        <v>45826</v>
      </c>
      <c r="K24057" s="33" t="s">
        <v>22</v>
      </c>
    </row>
    <row r="24058" spans="1:11">
      <c r="A24058" s="30" t="s">
        <v>53062</v>
      </c>
      <c r="B24058" s="30" t="s">
        <v>53063</v>
      </c>
      <c r="C24058" s="30" t="s">
        <v>14394</v>
      </c>
      <c r="D24058" s="30" t="s">
        <v>17</v>
      </c>
      <c r="E24058" s="30" t="s">
        <v>26</v>
      </c>
      <c r="F24058" s="30" t="s">
        <v>27</v>
      </c>
      <c r="G24058" s="30" t="s">
        <v>140</v>
      </c>
      <c r="H24058" s="32">
        <v>68</v>
      </c>
      <c r="I24058" s="30" t="s">
        <v>51</v>
      </c>
      <c r="J24058" s="41">
        <v>45951</v>
      </c>
      <c r="K24058" s="30" t="s">
        <v>22</v>
      </c>
    </row>
    <row r="24059" spans="1:11">
      <c r="A24059" s="33" t="s">
        <v>53064</v>
      </c>
      <c r="B24059" s="33" t="s">
        <v>53065</v>
      </c>
      <c r="C24059" s="33" t="s">
        <v>33464</v>
      </c>
      <c r="D24059" s="33" t="s">
        <v>17</v>
      </c>
      <c r="E24059" s="33" t="s">
        <v>26</v>
      </c>
      <c r="F24059" s="33" t="s">
        <v>27</v>
      </c>
      <c r="G24059" s="33" t="s">
        <v>140</v>
      </c>
      <c r="H24059" s="35">
        <v>44</v>
      </c>
      <c r="I24059" s="33" t="s">
        <v>51</v>
      </c>
      <c r="J24059" s="42">
        <v>46002</v>
      </c>
      <c r="K24059" s="33" t="s">
        <v>22</v>
      </c>
    </row>
    <row r="24060" spans="1:11">
      <c r="A24060" s="30" t="s">
        <v>53066</v>
      </c>
      <c r="B24060" s="30" t="s">
        <v>53067</v>
      </c>
      <c r="C24060" s="30" t="s">
        <v>231</v>
      </c>
      <c r="D24060" s="30" t="s">
        <v>17</v>
      </c>
      <c r="E24060" s="30" t="s">
        <v>26</v>
      </c>
      <c r="F24060" s="30" t="s">
        <v>27</v>
      </c>
      <c r="G24060" s="30" t="s">
        <v>140</v>
      </c>
      <c r="H24060" s="32">
        <v>100</v>
      </c>
      <c r="I24060" s="30" t="s">
        <v>51</v>
      </c>
      <c r="J24060" s="41">
        <v>45754</v>
      </c>
      <c r="K24060" s="30" t="s">
        <v>22</v>
      </c>
    </row>
    <row r="24061" spans="1:11">
      <c r="A24061" s="33" t="s">
        <v>53068</v>
      </c>
      <c r="B24061" s="33" t="s">
        <v>53069</v>
      </c>
      <c r="C24061" s="33" t="s">
        <v>96</v>
      </c>
      <c r="D24061" s="33" t="s">
        <v>17</v>
      </c>
      <c r="E24061" s="33" t="s">
        <v>26</v>
      </c>
      <c r="F24061" s="33" t="s">
        <v>27</v>
      </c>
      <c r="G24061" s="33" t="s">
        <v>158</v>
      </c>
      <c r="H24061" s="35">
        <v>200</v>
      </c>
      <c r="I24061" s="33" t="s">
        <v>21</v>
      </c>
      <c r="J24061" s="42">
        <v>45823</v>
      </c>
      <c r="K24061" s="33" t="s">
        <v>22</v>
      </c>
    </row>
    <row r="24062" spans="1:11">
      <c r="A24062" s="30" t="s">
        <v>53070</v>
      </c>
      <c r="B24062" s="30" t="s">
        <v>53071</v>
      </c>
      <c r="C24062" s="30" t="s">
        <v>53072</v>
      </c>
      <c r="D24062" s="30" t="s">
        <v>17</v>
      </c>
      <c r="E24062" s="30" t="s">
        <v>31</v>
      </c>
      <c r="F24062" s="30" t="s">
        <v>32</v>
      </c>
      <c r="G24062" s="30" t="s">
        <v>140</v>
      </c>
      <c r="H24062" s="32">
        <v>108</v>
      </c>
      <c r="I24062" s="30" t="s">
        <v>51</v>
      </c>
      <c r="J24062" s="41">
        <v>45670</v>
      </c>
      <c r="K24062" s="30" t="s">
        <v>22</v>
      </c>
    </row>
    <row r="24063" spans="1:11">
      <c r="A24063" s="33" t="s">
        <v>53073</v>
      </c>
      <c r="B24063" s="33" t="s">
        <v>53074</v>
      </c>
      <c r="C24063" s="33" t="s">
        <v>53075</v>
      </c>
      <c r="D24063" s="33" t="s">
        <v>17</v>
      </c>
      <c r="E24063" s="33" t="s">
        <v>26</v>
      </c>
      <c r="F24063" s="33" t="s">
        <v>27</v>
      </c>
      <c r="G24063" s="33" t="s">
        <v>50</v>
      </c>
      <c r="H24063" s="35">
        <v>30</v>
      </c>
      <c r="I24063" s="33" t="s">
        <v>51</v>
      </c>
      <c r="J24063" s="42">
        <v>45778</v>
      </c>
      <c r="K24063" s="33" t="s">
        <v>22</v>
      </c>
    </row>
    <row r="24064" spans="1:11">
      <c r="A24064" s="30" t="s">
        <v>53076</v>
      </c>
      <c r="B24064" s="30" t="s">
        <v>53077</v>
      </c>
      <c r="C24064" s="30" t="s">
        <v>53078</v>
      </c>
      <c r="D24064" s="30" t="s">
        <v>17</v>
      </c>
      <c r="E24064" s="30" t="s">
        <v>26</v>
      </c>
      <c r="F24064" s="30" t="s">
        <v>27</v>
      </c>
      <c r="G24064" s="30" t="s">
        <v>140</v>
      </c>
      <c r="H24064" s="32">
        <v>48</v>
      </c>
      <c r="I24064" s="30" t="s">
        <v>51</v>
      </c>
      <c r="J24064" s="41">
        <v>45997</v>
      </c>
      <c r="K24064" s="30" t="s">
        <v>22</v>
      </c>
    </row>
    <row r="24065" spans="1:11">
      <c r="A24065" s="33" t="s">
        <v>53079</v>
      </c>
      <c r="B24065" s="33" t="s">
        <v>53080</v>
      </c>
      <c r="C24065" s="33" t="s">
        <v>46622</v>
      </c>
      <c r="D24065" s="33" t="s">
        <v>17</v>
      </c>
      <c r="E24065" s="33" t="s">
        <v>26</v>
      </c>
      <c r="F24065" s="33" t="s">
        <v>27</v>
      </c>
      <c r="G24065" s="33" t="s">
        <v>106</v>
      </c>
      <c r="H24065" s="35">
        <v>1</v>
      </c>
      <c r="I24065" s="33" t="s">
        <v>21</v>
      </c>
      <c r="J24065" s="42">
        <v>45733</v>
      </c>
      <c r="K24065" s="33" t="s">
        <v>22</v>
      </c>
    </row>
    <row r="24066" spans="1:11">
      <c r="A24066" s="30" t="s">
        <v>53081</v>
      </c>
      <c r="B24066" s="30" t="s">
        <v>53082</v>
      </c>
      <c r="C24066" s="30" t="s">
        <v>109</v>
      </c>
      <c r="D24066" s="30" t="s">
        <v>17</v>
      </c>
      <c r="E24066" s="30" t="s">
        <v>31</v>
      </c>
      <c r="F24066" s="30" t="s">
        <v>32</v>
      </c>
      <c r="G24066" s="30" t="s">
        <v>140</v>
      </c>
      <c r="H24066" s="32">
        <v>130</v>
      </c>
      <c r="I24066" s="30" t="s">
        <v>51</v>
      </c>
      <c r="J24066" s="41">
        <v>45775</v>
      </c>
      <c r="K24066" s="30" t="s">
        <v>22</v>
      </c>
    </row>
    <row r="24067" spans="1:11">
      <c r="A24067" s="33" t="s">
        <v>53083</v>
      </c>
      <c r="B24067" s="33" t="s">
        <v>53084</v>
      </c>
      <c r="C24067" s="33" t="s">
        <v>4596</v>
      </c>
      <c r="D24067" s="33" t="s">
        <v>17</v>
      </c>
      <c r="E24067" s="33" t="s">
        <v>26</v>
      </c>
      <c r="F24067" s="33" t="s">
        <v>27</v>
      </c>
      <c r="G24067" s="33" t="s">
        <v>20</v>
      </c>
      <c r="H24067" s="35">
        <v>40</v>
      </c>
      <c r="I24067" s="33" t="s">
        <v>21</v>
      </c>
      <c r="J24067" s="42">
        <v>45910</v>
      </c>
      <c r="K24067" s="33" t="s">
        <v>22</v>
      </c>
    </row>
    <row r="24068" spans="1:11">
      <c r="A24068" s="30" t="s">
        <v>53085</v>
      </c>
      <c r="B24068" s="30" t="s">
        <v>53086</v>
      </c>
      <c r="C24068" s="30" t="s">
        <v>379</v>
      </c>
      <c r="D24068" s="30" t="s">
        <v>17</v>
      </c>
      <c r="E24068" s="30" t="s">
        <v>31</v>
      </c>
      <c r="F24068" s="30" t="s">
        <v>32</v>
      </c>
      <c r="G24068" s="30" t="s">
        <v>140</v>
      </c>
      <c r="H24068" s="32">
        <v>60</v>
      </c>
      <c r="I24068" s="30" t="s">
        <v>51</v>
      </c>
      <c r="J24068" s="41">
        <v>45915</v>
      </c>
      <c r="K24068" s="30" t="s">
        <v>22</v>
      </c>
    </row>
    <row r="24069" spans="1:11">
      <c r="A24069" s="33" t="s">
        <v>53087</v>
      </c>
      <c r="B24069" s="33" t="s">
        <v>53088</v>
      </c>
      <c r="C24069" s="33" t="s">
        <v>18162</v>
      </c>
      <c r="D24069" s="33" t="s">
        <v>17</v>
      </c>
      <c r="E24069" s="33" t="s">
        <v>26</v>
      </c>
      <c r="F24069" s="33" t="s">
        <v>27</v>
      </c>
      <c r="G24069" s="33" t="s">
        <v>140</v>
      </c>
      <c r="H24069" s="35">
        <v>48</v>
      </c>
      <c r="I24069" s="33" t="s">
        <v>51</v>
      </c>
      <c r="J24069" s="42">
        <v>45940</v>
      </c>
      <c r="K24069" s="33" t="s">
        <v>22</v>
      </c>
    </row>
    <row r="24070" spans="1:11">
      <c r="A24070" s="30" t="s">
        <v>53089</v>
      </c>
      <c r="B24070" s="30" t="s">
        <v>53090</v>
      </c>
      <c r="C24070" s="30" t="s">
        <v>34992</v>
      </c>
      <c r="D24070" s="30" t="s">
        <v>17</v>
      </c>
      <c r="E24070" s="30" t="s">
        <v>26</v>
      </c>
      <c r="F24070" s="30" t="s">
        <v>27</v>
      </c>
      <c r="G24070" s="30" t="s">
        <v>158</v>
      </c>
      <c r="H24070" s="32">
        <v>40</v>
      </c>
      <c r="I24070" s="30" t="s">
        <v>51</v>
      </c>
      <c r="J24070" s="41">
        <v>45743</v>
      </c>
      <c r="K24070" s="30" t="s">
        <v>22</v>
      </c>
    </row>
    <row r="24071" spans="1:11">
      <c r="A24071" s="33" t="s">
        <v>53091</v>
      </c>
      <c r="B24071" s="33" t="s">
        <v>53092</v>
      </c>
      <c r="C24071" s="33" t="s">
        <v>53093</v>
      </c>
      <c r="D24071" s="33" t="s">
        <v>17</v>
      </c>
      <c r="E24071" s="33" t="s">
        <v>67</v>
      </c>
      <c r="F24071" s="33" t="s">
        <v>68</v>
      </c>
      <c r="G24071" s="33" t="s">
        <v>140</v>
      </c>
      <c r="H24071" s="35">
        <v>38</v>
      </c>
      <c r="I24071" s="33" t="s">
        <v>51</v>
      </c>
      <c r="J24071" s="42">
        <v>45692</v>
      </c>
      <c r="K24071" s="33" t="s">
        <v>22</v>
      </c>
    </row>
    <row r="24072" spans="1:11">
      <c r="A24072" s="30" t="s">
        <v>53094</v>
      </c>
      <c r="B24072" s="30" t="s">
        <v>53095</v>
      </c>
      <c r="C24072" s="30" t="s">
        <v>8554</v>
      </c>
      <c r="D24072" s="30" t="s">
        <v>17</v>
      </c>
      <c r="E24072" s="30" t="s">
        <v>26</v>
      </c>
      <c r="F24072" s="30" t="s">
        <v>27</v>
      </c>
      <c r="G24072" s="30" t="s">
        <v>7780</v>
      </c>
      <c r="H24072" s="32">
        <v>36</v>
      </c>
      <c r="I24072" s="30" t="s">
        <v>51</v>
      </c>
      <c r="J24072" s="41">
        <v>45940</v>
      </c>
      <c r="K24072" s="30" t="s">
        <v>22</v>
      </c>
    </row>
    <row r="24073" spans="1:11">
      <c r="A24073" s="33" t="s">
        <v>53096</v>
      </c>
      <c r="B24073" s="33" t="s">
        <v>53097</v>
      </c>
      <c r="C24073" s="33" t="s">
        <v>7900</v>
      </c>
      <c r="D24073" s="33" t="s">
        <v>17</v>
      </c>
      <c r="E24073" s="33" t="s">
        <v>18</v>
      </c>
      <c r="F24073" s="33" t="s">
        <v>19</v>
      </c>
      <c r="G24073" s="33" t="s">
        <v>20</v>
      </c>
      <c r="H24073" s="35">
        <v>145</v>
      </c>
      <c r="I24073" s="33" t="s">
        <v>21</v>
      </c>
      <c r="J24073" s="42">
        <v>45750</v>
      </c>
      <c r="K24073" s="33" t="s">
        <v>22</v>
      </c>
    </row>
    <row r="24074" spans="1:11">
      <c r="A24074" s="30" t="s">
        <v>53098</v>
      </c>
      <c r="B24074" s="30" t="s">
        <v>53099</v>
      </c>
      <c r="C24074" s="30" t="s">
        <v>46637</v>
      </c>
      <c r="D24074" s="30" t="s">
        <v>17</v>
      </c>
      <c r="E24074" s="30" t="s">
        <v>26</v>
      </c>
      <c r="F24074" s="30" t="s">
        <v>27</v>
      </c>
      <c r="G24074" s="30" t="s">
        <v>140</v>
      </c>
      <c r="H24074" s="32">
        <v>140</v>
      </c>
      <c r="I24074" s="30" t="s">
        <v>51</v>
      </c>
      <c r="J24074" s="41">
        <v>45692</v>
      </c>
      <c r="K24074" s="30" t="s">
        <v>22</v>
      </c>
    </row>
    <row r="24075" spans="1:11">
      <c r="A24075" s="33" t="s">
        <v>53100</v>
      </c>
      <c r="B24075" s="33" t="s">
        <v>53101</v>
      </c>
      <c r="C24075" s="33" t="s">
        <v>124</v>
      </c>
      <c r="D24075" s="33" t="s">
        <v>17</v>
      </c>
      <c r="E24075" s="33" t="s">
        <v>31</v>
      </c>
      <c r="F24075" s="33" t="s">
        <v>32</v>
      </c>
      <c r="G24075" s="33" t="s">
        <v>7780</v>
      </c>
      <c r="H24075" s="35">
        <v>120</v>
      </c>
      <c r="I24075" s="33" t="s">
        <v>51</v>
      </c>
      <c r="J24075" s="42">
        <v>45740</v>
      </c>
      <c r="K24075" s="33" t="s">
        <v>22</v>
      </c>
    </row>
    <row r="24076" spans="1:11">
      <c r="A24076" s="30" t="s">
        <v>53102</v>
      </c>
      <c r="B24076" s="30" t="s">
        <v>53103</v>
      </c>
      <c r="C24076" s="30" t="s">
        <v>53104</v>
      </c>
      <c r="D24076" s="30" t="s">
        <v>17</v>
      </c>
      <c r="E24076" s="30" t="s">
        <v>26</v>
      </c>
      <c r="F24076" s="30" t="s">
        <v>27</v>
      </c>
      <c r="G24076" s="30" t="s">
        <v>2613</v>
      </c>
      <c r="H24076" s="32">
        <v>69</v>
      </c>
      <c r="I24076" s="30" t="s">
        <v>51</v>
      </c>
      <c r="J24076" s="41">
        <v>46006</v>
      </c>
      <c r="K24076" s="30" t="s">
        <v>22</v>
      </c>
    </row>
    <row r="24077" spans="1:11">
      <c r="A24077" s="33" t="s">
        <v>53105</v>
      </c>
      <c r="B24077" s="33" t="s">
        <v>53106</v>
      </c>
      <c r="C24077" s="33" t="s">
        <v>969</v>
      </c>
      <c r="D24077" s="33" t="s">
        <v>17</v>
      </c>
      <c r="E24077" s="33" t="s">
        <v>18</v>
      </c>
      <c r="F24077" s="33" t="s">
        <v>19</v>
      </c>
      <c r="G24077" s="33" t="s">
        <v>140</v>
      </c>
      <c r="H24077" s="35">
        <v>420</v>
      </c>
      <c r="I24077" s="33" t="s">
        <v>51</v>
      </c>
      <c r="J24077" s="42">
        <v>45880</v>
      </c>
      <c r="K24077" s="33" t="s">
        <v>22</v>
      </c>
    </row>
    <row r="24078" spans="1:11">
      <c r="A24078" s="30" t="s">
        <v>53107</v>
      </c>
      <c r="B24078" s="30" t="s">
        <v>53108</v>
      </c>
      <c r="C24078" s="30" t="s">
        <v>52929</v>
      </c>
      <c r="D24078" s="30" t="s">
        <v>17</v>
      </c>
      <c r="E24078" s="30" t="s">
        <v>67</v>
      </c>
      <c r="F24078" s="30" t="s">
        <v>68</v>
      </c>
      <c r="G24078" s="30" t="s">
        <v>140</v>
      </c>
      <c r="H24078" s="32">
        <v>90</v>
      </c>
      <c r="I24078" s="30" t="s">
        <v>51</v>
      </c>
      <c r="J24078" s="41">
        <v>45922</v>
      </c>
      <c r="K24078" s="30" t="s">
        <v>22</v>
      </c>
    </row>
    <row r="24079" spans="1:11">
      <c r="A24079" s="33" t="s">
        <v>53109</v>
      </c>
      <c r="B24079" s="33" t="s">
        <v>53110</v>
      </c>
      <c r="C24079" s="33" t="s">
        <v>801</v>
      </c>
      <c r="D24079" s="33" t="s">
        <v>17</v>
      </c>
      <c r="E24079" s="33" t="s">
        <v>26</v>
      </c>
      <c r="F24079" s="33" t="s">
        <v>27</v>
      </c>
      <c r="G24079" s="33" t="s">
        <v>20</v>
      </c>
      <c r="H24079" s="35">
        <v>52</v>
      </c>
      <c r="I24079" s="33" t="s">
        <v>21</v>
      </c>
      <c r="J24079" s="42">
        <v>45819</v>
      </c>
      <c r="K24079" s="33" t="s">
        <v>22</v>
      </c>
    </row>
    <row r="24080" spans="1:11">
      <c r="A24080" s="30" t="s">
        <v>53111</v>
      </c>
      <c r="B24080" s="30" t="s">
        <v>53112</v>
      </c>
      <c r="C24080" s="30" t="s">
        <v>109</v>
      </c>
      <c r="D24080" s="30" t="s">
        <v>17</v>
      </c>
      <c r="E24080" s="30" t="s">
        <v>26</v>
      </c>
      <c r="F24080" s="30" t="s">
        <v>27</v>
      </c>
      <c r="G24080" s="30" t="s">
        <v>158</v>
      </c>
      <c r="H24080" s="32">
        <v>6</v>
      </c>
      <c r="I24080" s="30" t="s">
        <v>21</v>
      </c>
      <c r="J24080" s="41">
        <v>45987</v>
      </c>
      <c r="K24080" s="30" t="s">
        <v>22</v>
      </c>
    </row>
    <row r="24081" spans="1:11">
      <c r="A24081" s="33" t="s">
        <v>53113</v>
      </c>
      <c r="B24081" s="33" t="s">
        <v>53114</v>
      </c>
      <c r="C24081" s="33" t="s">
        <v>426</v>
      </c>
      <c r="D24081" s="33" t="s">
        <v>17</v>
      </c>
      <c r="E24081" s="33" t="s">
        <v>26</v>
      </c>
      <c r="F24081" s="33" t="s">
        <v>27</v>
      </c>
      <c r="G24081" s="33" t="s">
        <v>140</v>
      </c>
      <c r="H24081" s="35">
        <v>48</v>
      </c>
      <c r="I24081" s="33" t="s">
        <v>51</v>
      </c>
      <c r="J24081" s="42">
        <v>45972</v>
      </c>
      <c r="K24081" s="33" t="s">
        <v>22</v>
      </c>
    </row>
    <row r="24082" spans="1:11">
      <c r="A24082" s="30" t="s">
        <v>53115</v>
      </c>
      <c r="B24082" s="30" t="s">
        <v>53116</v>
      </c>
      <c r="C24082" s="30" t="s">
        <v>14483</v>
      </c>
      <c r="D24082" s="30" t="s">
        <v>17</v>
      </c>
      <c r="E24082" s="30" t="s">
        <v>26</v>
      </c>
      <c r="F24082" s="30" t="s">
        <v>27</v>
      </c>
      <c r="G24082" s="30" t="s">
        <v>140</v>
      </c>
      <c r="H24082" s="32">
        <v>180</v>
      </c>
      <c r="I24082" s="30" t="s">
        <v>51</v>
      </c>
      <c r="J24082" s="41">
        <v>46011</v>
      </c>
      <c r="K24082" s="30" t="s">
        <v>22</v>
      </c>
    </row>
    <row r="24083" spans="1:11">
      <c r="A24083" s="33" t="s">
        <v>53117</v>
      </c>
      <c r="B24083" s="33" t="s">
        <v>53118</v>
      </c>
      <c r="C24083" s="33" t="s">
        <v>203</v>
      </c>
      <c r="D24083" s="33" t="s">
        <v>17</v>
      </c>
      <c r="E24083" s="33" t="s">
        <v>67</v>
      </c>
      <c r="F24083" s="33" t="s">
        <v>68</v>
      </c>
      <c r="G24083" s="33" t="s">
        <v>140</v>
      </c>
      <c r="H24083" s="35">
        <v>32</v>
      </c>
      <c r="I24083" s="33" t="s">
        <v>51</v>
      </c>
      <c r="J24083" s="42">
        <v>45861</v>
      </c>
      <c r="K24083" s="33" t="s">
        <v>22</v>
      </c>
    </row>
    <row r="24084" spans="1:11">
      <c r="A24084" s="30" t="s">
        <v>53119</v>
      </c>
      <c r="B24084" s="30" t="s">
        <v>53120</v>
      </c>
      <c r="C24084" s="30" t="s">
        <v>13021</v>
      </c>
      <c r="D24084" s="30" t="s">
        <v>17</v>
      </c>
      <c r="E24084" s="30" t="s">
        <v>31</v>
      </c>
      <c r="F24084" s="30" t="s">
        <v>32</v>
      </c>
      <c r="G24084" s="30" t="s">
        <v>112</v>
      </c>
      <c r="H24084" s="32">
        <v>0</v>
      </c>
      <c r="I24084" s="30" t="s">
        <v>21</v>
      </c>
      <c r="J24084" s="41">
        <v>45743</v>
      </c>
      <c r="K24084" s="30" t="s">
        <v>22</v>
      </c>
    </row>
    <row r="24085" spans="1:11">
      <c r="A24085" s="33" t="s">
        <v>53121</v>
      </c>
      <c r="B24085" s="33" t="s">
        <v>53122</v>
      </c>
      <c r="C24085" s="33" t="s">
        <v>136</v>
      </c>
      <c r="D24085" s="33" t="s">
        <v>17</v>
      </c>
      <c r="E24085" s="33" t="s">
        <v>18</v>
      </c>
      <c r="F24085" s="33" t="s">
        <v>19</v>
      </c>
      <c r="G24085" s="33" t="s">
        <v>140</v>
      </c>
      <c r="H24085" s="35">
        <v>920</v>
      </c>
      <c r="I24085" s="33" t="s">
        <v>51</v>
      </c>
      <c r="J24085" s="42">
        <v>46013</v>
      </c>
      <c r="K24085" s="33" t="s">
        <v>22</v>
      </c>
    </row>
    <row r="24086" spans="1:11">
      <c r="A24086" s="30" t="s">
        <v>53123</v>
      </c>
      <c r="B24086" s="30" t="s">
        <v>53124</v>
      </c>
      <c r="C24086" s="30" t="s">
        <v>2472</v>
      </c>
      <c r="D24086" s="30" t="s">
        <v>17</v>
      </c>
      <c r="E24086" s="30" t="s">
        <v>18</v>
      </c>
      <c r="F24086" s="30" t="s">
        <v>19</v>
      </c>
      <c r="G24086" s="30" t="s">
        <v>20</v>
      </c>
      <c r="H24086" s="32">
        <v>507</v>
      </c>
      <c r="I24086" s="30" t="s">
        <v>21</v>
      </c>
      <c r="J24086" s="41">
        <v>45874</v>
      </c>
      <c r="K24086" s="30" t="s">
        <v>22</v>
      </c>
    </row>
    <row r="24087" spans="1:11">
      <c r="A24087" s="33" t="s">
        <v>53125</v>
      </c>
      <c r="B24087" s="33" t="s">
        <v>53126</v>
      </c>
      <c r="C24087" s="33" t="s">
        <v>25672</v>
      </c>
      <c r="D24087" s="33" t="s">
        <v>17</v>
      </c>
      <c r="E24087" s="33" t="s">
        <v>26</v>
      </c>
      <c r="F24087" s="33" t="s">
        <v>27</v>
      </c>
      <c r="G24087" s="33" t="s">
        <v>20</v>
      </c>
      <c r="H24087" s="35">
        <v>18</v>
      </c>
      <c r="I24087" s="33" t="s">
        <v>21</v>
      </c>
      <c r="J24087" s="42">
        <v>45982</v>
      </c>
      <c r="K24087" s="33" t="s">
        <v>22</v>
      </c>
    </row>
    <row r="24088" spans="1:11">
      <c r="A24088" s="30" t="s">
        <v>53127</v>
      </c>
      <c r="B24088" s="30" t="s">
        <v>53128</v>
      </c>
      <c r="C24088" s="30" t="s">
        <v>93</v>
      </c>
      <c r="D24088" s="30" t="s">
        <v>17</v>
      </c>
      <c r="E24088" s="30" t="s">
        <v>26</v>
      </c>
      <c r="F24088" s="30" t="s">
        <v>27</v>
      </c>
      <c r="G24088" s="30" t="s">
        <v>140</v>
      </c>
      <c r="H24088" s="32">
        <v>165</v>
      </c>
      <c r="I24088" s="30" t="s">
        <v>51</v>
      </c>
      <c r="J24088" s="41">
        <v>45673</v>
      </c>
      <c r="K24088" s="30" t="s">
        <v>22</v>
      </c>
    </row>
    <row r="24089" spans="1:11">
      <c r="A24089" s="33" t="s">
        <v>53129</v>
      </c>
      <c r="B24089" s="33" t="s">
        <v>53130</v>
      </c>
      <c r="C24089" s="33" t="s">
        <v>53131</v>
      </c>
      <c r="D24089" s="33" t="s">
        <v>17</v>
      </c>
      <c r="E24089" s="33" t="s">
        <v>26</v>
      </c>
      <c r="F24089" s="33" t="s">
        <v>27</v>
      </c>
      <c r="G24089" s="33" t="s">
        <v>20</v>
      </c>
      <c r="H24089" s="35">
        <v>20</v>
      </c>
      <c r="I24089" s="33" t="s">
        <v>21</v>
      </c>
      <c r="J24089" s="42">
        <v>45734</v>
      </c>
      <c r="K24089" s="33" t="s">
        <v>22</v>
      </c>
    </row>
    <row r="24090" spans="1:11">
      <c r="A24090" s="30" t="s">
        <v>53132</v>
      </c>
      <c r="B24090" s="30" t="s">
        <v>53133</v>
      </c>
      <c r="C24090" s="30" t="s">
        <v>53134</v>
      </c>
      <c r="D24090" s="30" t="s">
        <v>17</v>
      </c>
      <c r="E24090" s="30" t="s">
        <v>67</v>
      </c>
      <c r="F24090" s="30" t="s">
        <v>68</v>
      </c>
      <c r="G24090" s="30" t="s">
        <v>140</v>
      </c>
      <c r="H24090" s="32">
        <v>170</v>
      </c>
      <c r="I24090" s="30" t="s">
        <v>51</v>
      </c>
      <c r="J24090" s="41">
        <v>46008</v>
      </c>
      <c r="K24090" s="30" t="s">
        <v>22</v>
      </c>
    </row>
    <row r="24091" spans="1:11">
      <c r="A24091" s="33" t="s">
        <v>53135</v>
      </c>
      <c r="B24091" s="33" t="s">
        <v>53136</v>
      </c>
      <c r="C24091" s="33" t="s">
        <v>1151</v>
      </c>
      <c r="D24091" s="33" t="s">
        <v>17</v>
      </c>
      <c r="E24091" s="33" t="s">
        <v>67</v>
      </c>
      <c r="F24091" s="33" t="s">
        <v>68</v>
      </c>
      <c r="G24091" s="33" t="s">
        <v>140</v>
      </c>
      <c r="H24091" s="35">
        <v>112</v>
      </c>
      <c r="I24091" s="33" t="s">
        <v>51</v>
      </c>
      <c r="J24091" s="42">
        <v>45979</v>
      </c>
      <c r="K24091" s="33" t="s">
        <v>22</v>
      </c>
    </row>
    <row r="24092" spans="1:11">
      <c r="A24092" s="30" t="s">
        <v>53137</v>
      </c>
      <c r="B24092" s="30" t="s">
        <v>53138</v>
      </c>
      <c r="C24092" s="30" t="s">
        <v>37378</v>
      </c>
      <c r="D24092" s="30" t="s">
        <v>17</v>
      </c>
      <c r="E24092" s="30" t="s">
        <v>26</v>
      </c>
      <c r="F24092" s="30" t="s">
        <v>27</v>
      </c>
      <c r="G24092" s="30" t="s">
        <v>20</v>
      </c>
      <c r="H24092" s="32">
        <v>18</v>
      </c>
      <c r="I24092" s="30" t="s">
        <v>21</v>
      </c>
      <c r="J24092" s="41">
        <v>45661</v>
      </c>
      <c r="K24092" s="30" t="s">
        <v>22</v>
      </c>
    </row>
    <row r="24093" spans="1:11">
      <c r="A24093" s="33" t="s">
        <v>53139</v>
      </c>
      <c r="B24093" s="33" t="s">
        <v>53140</v>
      </c>
      <c r="C24093" s="33" t="s">
        <v>15585</v>
      </c>
      <c r="D24093" s="33" t="s">
        <v>17</v>
      </c>
      <c r="E24093" s="33" t="s">
        <v>26</v>
      </c>
      <c r="F24093" s="33" t="s">
        <v>27</v>
      </c>
      <c r="G24093" s="33" t="s">
        <v>20</v>
      </c>
      <c r="H24093" s="35">
        <v>7</v>
      </c>
      <c r="I24093" s="33" t="s">
        <v>21</v>
      </c>
      <c r="J24093" s="42">
        <v>45768</v>
      </c>
      <c r="K24093" s="33" t="s">
        <v>22</v>
      </c>
    </row>
    <row r="24094" spans="1:11">
      <c r="A24094" s="30" t="s">
        <v>53141</v>
      </c>
      <c r="B24094" s="30" t="s">
        <v>53142</v>
      </c>
      <c r="C24094" s="30" t="s">
        <v>25186</v>
      </c>
      <c r="D24094" s="30" t="s">
        <v>17</v>
      </c>
      <c r="E24094" s="30" t="s">
        <v>26</v>
      </c>
      <c r="F24094" s="30" t="s">
        <v>27</v>
      </c>
      <c r="G24094" s="30" t="s">
        <v>140</v>
      </c>
      <c r="H24094" s="32">
        <v>40</v>
      </c>
      <c r="I24094" s="30" t="s">
        <v>51</v>
      </c>
      <c r="J24094" s="41">
        <v>45734</v>
      </c>
      <c r="K24094" s="30" t="s">
        <v>22</v>
      </c>
    </row>
    <row r="24095" spans="1:11">
      <c r="A24095" s="33" t="s">
        <v>53143</v>
      </c>
      <c r="B24095" s="33" t="s">
        <v>53144</v>
      </c>
      <c r="C24095" s="33" t="s">
        <v>16878</v>
      </c>
      <c r="D24095" s="33" t="s">
        <v>17</v>
      </c>
      <c r="E24095" s="33" t="s">
        <v>26</v>
      </c>
      <c r="F24095" s="33" t="s">
        <v>27</v>
      </c>
      <c r="G24095" s="33" t="s">
        <v>20</v>
      </c>
      <c r="H24095" s="35">
        <v>72</v>
      </c>
      <c r="I24095" s="33" t="s">
        <v>21</v>
      </c>
      <c r="J24095" s="42">
        <v>45873</v>
      </c>
      <c r="K24095" s="33" t="s">
        <v>22</v>
      </c>
    </row>
    <row r="24096" spans="1:11">
      <c r="A24096" s="30" t="s">
        <v>53145</v>
      </c>
      <c r="B24096" s="30" t="s">
        <v>53146</v>
      </c>
      <c r="C24096" s="30" t="s">
        <v>190</v>
      </c>
      <c r="D24096" s="30" t="s">
        <v>17</v>
      </c>
      <c r="E24096" s="30" t="s">
        <v>67</v>
      </c>
      <c r="F24096" s="30" t="s">
        <v>68</v>
      </c>
      <c r="G24096" s="30" t="s">
        <v>140</v>
      </c>
      <c r="H24096" s="32">
        <v>60</v>
      </c>
      <c r="I24096" s="30" t="s">
        <v>51</v>
      </c>
      <c r="J24096" s="41">
        <v>45867</v>
      </c>
      <c r="K24096" s="30" t="s">
        <v>22</v>
      </c>
    </row>
    <row r="24097" spans="1:11">
      <c r="A24097" s="33" t="s">
        <v>53147</v>
      </c>
      <c r="B24097" s="33" t="s">
        <v>53148</v>
      </c>
      <c r="C24097" s="33" t="s">
        <v>647</v>
      </c>
      <c r="D24097" s="33" t="s">
        <v>17</v>
      </c>
      <c r="E24097" s="33" t="s">
        <v>26</v>
      </c>
      <c r="F24097" s="33" t="s">
        <v>27</v>
      </c>
      <c r="G24097" s="33" t="s">
        <v>20</v>
      </c>
      <c r="H24097" s="35">
        <v>8</v>
      </c>
      <c r="I24097" s="33" t="s">
        <v>21</v>
      </c>
      <c r="J24097" s="42">
        <v>45735</v>
      </c>
      <c r="K24097" s="33" t="s">
        <v>22</v>
      </c>
    </row>
    <row r="24098" spans="1:11">
      <c r="A24098" s="30" t="s">
        <v>53149</v>
      </c>
      <c r="B24098" s="30" t="s">
        <v>53150</v>
      </c>
      <c r="C24098" s="30" t="s">
        <v>39368</v>
      </c>
      <c r="D24098" s="30" t="s">
        <v>17</v>
      </c>
      <c r="E24098" s="30" t="s">
        <v>330</v>
      </c>
      <c r="F24098" s="30" t="s">
        <v>331</v>
      </c>
      <c r="G24098" s="30" t="s">
        <v>140</v>
      </c>
      <c r="H24098" s="32">
        <v>84</v>
      </c>
      <c r="I24098" s="30" t="s">
        <v>51</v>
      </c>
      <c r="J24098" s="41">
        <v>45862</v>
      </c>
      <c r="K24098" s="30" t="s">
        <v>22</v>
      </c>
    </row>
    <row r="24099" spans="1:11">
      <c r="A24099" s="33" t="s">
        <v>53151</v>
      </c>
      <c r="B24099" s="33" t="s">
        <v>53152</v>
      </c>
      <c r="C24099" s="33" t="s">
        <v>21232</v>
      </c>
      <c r="D24099" s="33" t="s">
        <v>17</v>
      </c>
      <c r="E24099" s="33" t="s">
        <v>18</v>
      </c>
      <c r="F24099" s="33" t="s">
        <v>19</v>
      </c>
      <c r="G24099" s="33" t="s">
        <v>2613</v>
      </c>
      <c r="H24099" s="35">
        <v>1560</v>
      </c>
      <c r="I24099" s="33" t="s">
        <v>51</v>
      </c>
      <c r="J24099" s="42">
        <v>45974</v>
      </c>
      <c r="K24099" s="33" t="s">
        <v>22</v>
      </c>
    </row>
    <row r="24100" spans="1:11">
      <c r="A24100" s="30" t="s">
        <v>53153</v>
      </c>
      <c r="B24100" s="30" t="s">
        <v>53154</v>
      </c>
      <c r="C24100" s="30" t="s">
        <v>3934</v>
      </c>
      <c r="D24100" s="30" t="s">
        <v>17</v>
      </c>
      <c r="E24100" s="30" t="s">
        <v>18</v>
      </c>
      <c r="F24100" s="30" t="s">
        <v>19</v>
      </c>
      <c r="G24100" s="30" t="s">
        <v>2613</v>
      </c>
      <c r="H24100" s="32">
        <v>700</v>
      </c>
      <c r="I24100" s="30" t="s">
        <v>51</v>
      </c>
      <c r="J24100" s="41">
        <v>45957</v>
      </c>
      <c r="K24100" s="30" t="s">
        <v>22</v>
      </c>
    </row>
    <row r="24101" spans="1:11">
      <c r="A24101" s="33" t="s">
        <v>53155</v>
      </c>
      <c r="B24101" s="33" t="s">
        <v>53156</v>
      </c>
      <c r="C24101" s="33" t="s">
        <v>3258</v>
      </c>
      <c r="D24101" s="33" t="s">
        <v>17</v>
      </c>
      <c r="E24101" s="33" t="s">
        <v>212</v>
      </c>
      <c r="F24101" s="33" t="s">
        <v>213</v>
      </c>
      <c r="G24101" s="33" t="s">
        <v>20</v>
      </c>
      <c r="H24101" s="35">
        <v>104</v>
      </c>
      <c r="I24101" s="33" t="s">
        <v>21</v>
      </c>
      <c r="J24101" s="42">
        <v>45840</v>
      </c>
      <c r="K24101" s="33" t="s">
        <v>22</v>
      </c>
    </row>
    <row r="24102" spans="1:11">
      <c r="A24102" s="30" t="s">
        <v>53157</v>
      </c>
      <c r="B24102" s="30" t="s">
        <v>53158</v>
      </c>
      <c r="C24102" s="30" t="s">
        <v>157</v>
      </c>
      <c r="D24102" s="30" t="s">
        <v>17</v>
      </c>
      <c r="E24102" s="30" t="s">
        <v>31</v>
      </c>
      <c r="F24102" s="30" t="s">
        <v>32</v>
      </c>
      <c r="G24102" s="30" t="s">
        <v>140</v>
      </c>
      <c r="H24102" s="32">
        <v>192</v>
      </c>
      <c r="I24102" s="30" t="s">
        <v>51</v>
      </c>
      <c r="J24102" s="41">
        <v>45805</v>
      </c>
      <c r="K24102" s="30" t="s">
        <v>22</v>
      </c>
    </row>
    <row r="24103" spans="1:11">
      <c r="A24103" s="33" t="s">
        <v>53159</v>
      </c>
      <c r="B24103" s="33" t="s">
        <v>53160</v>
      </c>
      <c r="C24103" s="33" t="s">
        <v>4064</v>
      </c>
      <c r="D24103" s="33" t="s">
        <v>17</v>
      </c>
      <c r="E24103" s="33" t="s">
        <v>18</v>
      </c>
      <c r="F24103" s="33" t="s">
        <v>19</v>
      </c>
      <c r="G24103" s="33" t="s">
        <v>140</v>
      </c>
      <c r="H24103" s="35">
        <v>930</v>
      </c>
      <c r="I24103" s="33" t="s">
        <v>51</v>
      </c>
      <c r="J24103" s="42">
        <v>45978</v>
      </c>
      <c r="K24103" s="33" t="s">
        <v>22</v>
      </c>
    </row>
    <row r="24104" spans="1:11">
      <c r="A24104" s="30" t="s">
        <v>53161</v>
      </c>
      <c r="B24104" s="30" t="s">
        <v>53162</v>
      </c>
      <c r="C24104" s="30" t="s">
        <v>34959</v>
      </c>
      <c r="D24104" s="30" t="s">
        <v>17</v>
      </c>
      <c r="E24104" s="30" t="s">
        <v>67</v>
      </c>
      <c r="F24104" s="30" t="s">
        <v>68</v>
      </c>
      <c r="G24104" s="30" t="s">
        <v>140</v>
      </c>
      <c r="H24104" s="32">
        <v>266</v>
      </c>
      <c r="I24104" s="30" t="s">
        <v>51</v>
      </c>
      <c r="J24104" s="41">
        <v>45994</v>
      </c>
      <c r="K24104" s="30" t="s">
        <v>22</v>
      </c>
    </row>
    <row r="24105" spans="1:11">
      <c r="A24105" s="33" t="s">
        <v>53163</v>
      </c>
      <c r="B24105" s="33" t="s">
        <v>53164</v>
      </c>
      <c r="C24105" s="33" t="s">
        <v>29469</v>
      </c>
      <c r="D24105" s="33" t="s">
        <v>17</v>
      </c>
      <c r="E24105" s="33" t="s">
        <v>67</v>
      </c>
      <c r="F24105" s="33" t="s">
        <v>68</v>
      </c>
      <c r="G24105" s="33" t="s">
        <v>140</v>
      </c>
      <c r="H24105" s="35">
        <v>108</v>
      </c>
      <c r="I24105" s="33" t="s">
        <v>51</v>
      </c>
      <c r="J24105" s="42">
        <v>45694</v>
      </c>
      <c r="K24105" s="33" t="s">
        <v>22</v>
      </c>
    </row>
    <row r="24106" spans="1:11">
      <c r="A24106" s="30" t="s">
        <v>53165</v>
      </c>
      <c r="B24106" s="30" t="s">
        <v>53166</v>
      </c>
      <c r="C24106" s="30" t="s">
        <v>53167</v>
      </c>
      <c r="D24106" s="30" t="s">
        <v>17</v>
      </c>
      <c r="E24106" s="30" t="s">
        <v>26</v>
      </c>
      <c r="F24106" s="30" t="s">
        <v>27</v>
      </c>
      <c r="G24106" s="30" t="s">
        <v>140</v>
      </c>
      <c r="H24106" s="32">
        <v>27</v>
      </c>
      <c r="I24106" s="30" t="s">
        <v>51</v>
      </c>
      <c r="J24106" s="41">
        <v>45944</v>
      </c>
      <c r="K24106" s="30" t="s">
        <v>22</v>
      </c>
    </row>
    <row r="24107" spans="1:11">
      <c r="A24107" s="33" t="s">
        <v>53168</v>
      </c>
      <c r="B24107" s="33" t="s">
        <v>53169</v>
      </c>
      <c r="C24107" s="33" t="s">
        <v>23340</v>
      </c>
      <c r="D24107" s="33" t="s">
        <v>17</v>
      </c>
      <c r="E24107" s="33" t="s">
        <v>67</v>
      </c>
      <c r="F24107" s="33" t="s">
        <v>68</v>
      </c>
      <c r="G24107" s="33" t="s">
        <v>140</v>
      </c>
      <c r="H24107" s="35">
        <v>200</v>
      </c>
      <c r="I24107" s="33" t="s">
        <v>51</v>
      </c>
      <c r="J24107" s="42">
        <v>45855</v>
      </c>
      <c r="K24107" s="33" t="s">
        <v>22</v>
      </c>
    </row>
    <row r="24108" spans="1:11">
      <c r="A24108" s="30" t="s">
        <v>53170</v>
      </c>
      <c r="B24108" s="30" t="s">
        <v>53171</v>
      </c>
      <c r="C24108" s="30" t="s">
        <v>2807</v>
      </c>
      <c r="D24108" s="30" t="s">
        <v>17</v>
      </c>
      <c r="E24108" s="30" t="s">
        <v>18</v>
      </c>
      <c r="F24108" s="30" t="s">
        <v>19</v>
      </c>
      <c r="G24108" s="30" t="s">
        <v>158</v>
      </c>
      <c r="H24108" s="32">
        <v>60</v>
      </c>
      <c r="I24108" s="30" t="s">
        <v>51</v>
      </c>
      <c r="J24108" s="41">
        <v>45666</v>
      </c>
      <c r="K24108" s="30" t="s">
        <v>22</v>
      </c>
    </row>
    <row r="24109" spans="1:11">
      <c r="A24109" s="33" t="s">
        <v>53172</v>
      </c>
      <c r="B24109" s="33" t="s">
        <v>53173</v>
      </c>
      <c r="C24109" s="33" t="s">
        <v>53174</v>
      </c>
      <c r="D24109" s="33" t="s">
        <v>17</v>
      </c>
      <c r="E24109" s="33" t="s">
        <v>31</v>
      </c>
      <c r="F24109" s="33" t="s">
        <v>32</v>
      </c>
      <c r="G24109" s="33" t="s">
        <v>140</v>
      </c>
      <c r="H24109" s="35">
        <v>10</v>
      </c>
      <c r="I24109" s="33" t="s">
        <v>51</v>
      </c>
      <c r="J24109" s="42">
        <v>45769</v>
      </c>
      <c r="K24109" s="33" t="s">
        <v>22</v>
      </c>
    </row>
    <row r="24110" spans="1:11">
      <c r="A24110" s="30" t="s">
        <v>53175</v>
      </c>
      <c r="B24110" s="30" t="s">
        <v>53176</v>
      </c>
      <c r="C24110" s="30" t="s">
        <v>32699</v>
      </c>
      <c r="D24110" s="30" t="s">
        <v>17</v>
      </c>
      <c r="E24110" s="30" t="s">
        <v>67</v>
      </c>
      <c r="F24110" s="30" t="s">
        <v>68</v>
      </c>
      <c r="G24110" s="30" t="s">
        <v>140</v>
      </c>
      <c r="H24110" s="32">
        <v>6</v>
      </c>
      <c r="I24110" s="30" t="s">
        <v>51</v>
      </c>
      <c r="J24110" s="41">
        <v>45980</v>
      </c>
      <c r="K24110" s="30" t="s">
        <v>22</v>
      </c>
    </row>
    <row r="24111" spans="1:11">
      <c r="A24111" s="33" t="s">
        <v>53177</v>
      </c>
      <c r="B24111" s="33" t="s">
        <v>53178</v>
      </c>
      <c r="C24111" s="33" t="s">
        <v>6127</v>
      </c>
      <c r="D24111" s="33" t="s">
        <v>17</v>
      </c>
      <c r="E24111" s="33" t="s">
        <v>26</v>
      </c>
      <c r="F24111" s="33" t="s">
        <v>27</v>
      </c>
      <c r="G24111" s="33" t="s">
        <v>140</v>
      </c>
      <c r="H24111" s="35">
        <v>76</v>
      </c>
      <c r="I24111" s="33" t="s">
        <v>51</v>
      </c>
      <c r="J24111" s="42">
        <v>46003</v>
      </c>
      <c r="K24111" s="33" t="s">
        <v>22</v>
      </c>
    </row>
    <row r="24112" spans="1:11">
      <c r="A24112" s="30" t="s">
        <v>53179</v>
      </c>
      <c r="B24112" s="30" t="s">
        <v>53180</v>
      </c>
      <c r="C24112" s="30" t="s">
        <v>136</v>
      </c>
      <c r="D24112" s="30" t="s">
        <v>17</v>
      </c>
      <c r="E24112" s="30" t="s">
        <v>26</v>
      </c>
      <c r="F24112" s="30" t="s">
        <v>27</v>
      </c>
      <c r="G24112" s="30" t="s">
        <v>140</v>
      </c>
      <c r="H24112" s="32">
        <v>124</v>
      </c>
      <c r="I24112" s="30" t="s">
        <v>51</v>
      </c>
      <c r="J24112" s="41">
        <v>45793</v>
      </c>
      <c r="K24112" s="30" t="s">
        <v>22</v>
      </c>
    </row>
    <row r="24113" spans="1:11">
      <c r="A24113" s="33" t="s">
        <v>53181</v>
      </c>
      <c r="B24113" s="33" t="s">
        <v>53182</v>
      </c>
      <c r="C24113" s="33" t="s">
        <v>49359</v>
      </c>
      <c r="D24113" s="33" t="s">
        <v>17</v>
      </c>
      <c r="E24113" s="33" t="s">
        <v>67</v>
      </c>
      <c r="F24113" s="33" t="s">
        <v>68</v>
      </c>
      <c r="G24113" s="33" t="s">
        <v>106</v>
      </c>
      <c r="H24113" s="35">
        <v>1</v>
      </c>
      <c r="I24113" s="33" t="s">
        <v>21</v>
      </c>
      <c r="J24113" s="42">
        <v>45841</v>
      </c>
      <c r="K24113" s="33" t="s">
        <v>22</v>
      </c>
    </row>
    <row r="24114" spans="1:11">
      <c r="A24114" s="30" t="s">
        <v>53183</v>
      </c>
      <c r="B24114" s="30" t="s">
        <v>53184</v>
      </c>
      <c r="C24114" s="30" t="s">
        <v>15585</v>
      </c>
      <c r="D24114" s="30" t="s">
        <v>17</v>
      </c>
      <c r="E24114" s="30" t="s">
        <v>26</v>
      </c>
      <c r="F24114" s="30" t="s">
        <v>27</v>
      </c>
      <c r="G24114" s="30" t="s">
        <v>20</v>
      </c>
      <c r="H24114" s="32">
        <v>120</v>
      </c>
      <c r="I24114" s="30" t="s">
        <v>21</v>
      </c>
      <c r="J24114" s="41">
        <v>45699</v>
      </c>
      <c r="K24114" s="30" t="s">
        <v>22</v>
      </c>
    </row>
    <row r="24115" spans="1:11">
      <c r="A24115" s="33" t="s">
        <v>53185</v>
      </c>
      <c r="B24115" s="33" t="s">
        <v>53186</v>
      </c>
      <c r="C24115" s="33" t="s">
        <v>29982</v>
      </c>
      <c r="D24115" s="33" t="s">
        <v>17</v>
      </c>
      <c r="E24115" s="33" t="s">
        <v>26</v>
      </c>
      <c r="F24115" s="33" t="s">
        <v>27</v>
      </c>
      <c r="G24115" s="33" t="s">
        <v>7780</v>
      </c>
      <c r="H24115" s="35">
        <v>84</v>
      </c>
      <c r="I24115" s="33" t="s">
        <v>51</v>
      </c>
      <c r="J24115" s="42">
        <v>45829</v>
      </c>
      <c r="K24115" s="33" t="s">
        <v>22</v>
      </c>
    </row>
    <row r="24116" spans="1:11">
      <c r="A24116" s="30" t="s">
        <v>53187</v>
      </c>
      <c r="B24116" s="30" t="s">
        <v>53188</v>
      </c>
      <c r="C24116" s="30" t="s">
        <v>1090</v>
      </c>
      <c r="D24116" s="30" t="s">
        <v>17</v>
      </c>
      <c r="E24116" s="30" t="s">
        <v>26</v>
      </c>
      <c r="F24116" s="30" t="s">
        <v>27</v>
      </c>
      <c r="G24116" s="30" t="s">
        <v>140</v>
      </c>
      <c r="H24116" s="32">
        <v>7</v>
      </c>
      <c r="I24116" s="30" t="s">
        <v>51</v>
      </c>
      <c r="J24116" s="41">
        <v>45790</v>
      </c>
      <c r="K24116" s="30" t="s">
        <v>22</v>
      </c>
    </row>
    <row r="24117" spans="1:11">
      <c r="A24117" s="33" t="s">
        <v>53189</v>
      </c>
      <c r="B24117" s="33" t="s">
        <v>53190</v>
      </c>
      <c r="C24117" s="33" t="s">
        <v>53191</v>
      </c>
      <c r="D24117" s="33" t="s">
        <v>17</v>
      </c>
      <c r="E24117" s="33" t="s">
        <v>18</v>
      </c>
      <c r="F24117" s="33" t="s">
        <v>19</v>
      </c>
      <c r="G24117" s="33" t="s">
        <v>158</v>
      </c>
      <c r="H24117" s="35">
        <v>370</v>
      </c>
      <c r="I24117" s="33" t="s">
        <v>51</v>
      </c>
      <c r="J24117" s="42">
        <v>45729</v>
      </c>
      <c r="K24117" s="33" t="s">
        <v>22</v>
      </c>
    </row>
    <row r="24118" spans="1:11">
      <c r="A24118" s="30" t="s">
        <v>53192</v>
      </c>
      <c r="B24118" s="30" t="s">
        <v>53193</v>
      </c>
      <c r="C24118" s="30" t="s">
        <v>53194</v>
      </c>
      <c r="D24118" s="30" t="s">
        <v>17</v>
      </c>
      <c r="E24118" s="30" t="s">
        <v>212</v>
      </c>
      <c r="F24118" s="30" t="s">
        <v>213</v>
      </c>
      <c r="G24118" s="30" t="s">
        <v>140</v>
      </c>
      <c r="H24118" s="32">
        <v>30</v>
      </c>
      <c r="I24118" s="30" t="s">
        <v>51</v>
      </c>
      <c r="J24118" s="41">
        <v>45854</v>
      </c>
      <c r="K24118" s="30" t="s">
        <v>22</v>
      </c>
    </row>
    <row r="24119" spans="1:11">
      <c r="A24119" s="33" t="s">
        <v>53195</v>
      </c>
      <c r="B24119" s="33" t="s">
        <v>53196</v>
      </c>
      <c r="C24119" s="33" t="s">
        <v>1598</v>
      </c>
      <c r="D24119" s="33" t="s">
        <v>17</v>
      </c>
      <c r="E24119" s="33" t="s">
        <v>31</v>
      </c>
      <c r="F24119" s="33" t="s">
        <v>32</v>
      </c>
      <c r="G24119" s="33" t="s">
        <v>140</v>
      </c>
      <c r="H24119" s="35">
        <v>180</v>
      </c>
      <c r="I24119" s="33" t="s">
        <v>51</v>
      </c>
      <c r="J24119" s="42">
        <v>45712</v>
      </c>
      <c r="K24119" s="33" t="s">
        <v>22</v>
      </c>
    </row>
    <row r="24120" spans="1:11">
      <c r="A24120" s="30" t="s">
        <v>53197</v>
      </c>
      <c r="B24120" s="30" t="s">
        <v>53198</v>
      </c>
      <c r="C24120" s="30" t="s">
        <v>2839</v>
      </c>
      <c r="D24120" s="30" t="s">
        <v>17</v>
      </c>
      <c r="E24120" s="30" t="s">
        <v>26</v>
      </c>
      <c r="F24120" s="30" t="s">
        <v>27</v>
      </c>
      <c r="G24120" s="30" t="s">
        <v>140</v>
      </c>
      <c r="H24120" s="32">
        <v>15</v>
      </c>
      <c r="I24120" s="30" t="s">
        <v>51</v>
      </c>
      <c r="J24120" s="41">
        <v>45820</v>
      </c>
      <c r="K24120" s="30" t="s">
        <v>22</v>
      </c>
    </row>
    <row r="24121" spans="1:11">
      <c r="A24121" s="33" t="s">
        <v>53199</v>
      </c>
      <c r="B24121" s="33" t="s">
        <v>53200</v>
      </c>
      <c r="C24121" s="33" t="s">
        <v>5084</v>
      </c>
      <c r="D24121" s="33" t="s">
        <v>17</v>
      </c>
      <c r="E24121" s="33" t="s">
        <v>18</v>
      </c>
      <c r="F24121" s="33" t="s">
        <v>19</v>
      </c>
      <c r="G24121" s="33" t="s">
        <v>7780</v>
      </c>
      <c r="H24121" s="35">
        <v>500</v>
      </c>
      <c r="I24121" s="33" t="s">
        <v>51</v>
      </c>
      <c r="J24121" s="42">
        <v>45809</v>
      </c>
      <c r="K24121" s="33" t="s">
        <v>22</v>
      </c>
    </row>
    <row r="24122" spans="1:11">
      <c r="A24122" s="30" t="s">
        <v>53201</v>
      </c>
      <c r="B24122" s="30" t="s">
        <v>53202</v>
      </c>
      <c r="C24122" s="30" t="s">
        <v>1080</v>
      </c>
      <c r="D24122" s="30" t="s">
        <v>17</v>
      </c>
      <c r="E24122" s="30" t="s">
        <v>18</v>
      </c>
      <c r="F24122" s="30" t="s">
        <v>19</v>
      </c>
      <c r="G24122" s="30" t="s">
        <v>7780</v>
      </c>
      <c r="H24122" s="32">
        <v>472</v>
      </c>
      <c r="I24122" s="30" t="s">
        <v>51</v>
      </c>
      <c r="J24122" s="41">
        <v>46022</v>
      </c>
      <c r="K24122" s="30" t="s">
        <v>22</v>
      </c>
    </row>
    <row r="24123" spans="1:11">
      <c r="A24123" s="33" t="s">
        <v>53203</v>
      </c>
      <c r="B24123" s="33" t="s">
        <v>53204</v>
      </c>
      <c r="C24123" s="33" t="s">
        <v>3429</v>
      </c>
      <c r="D24123" s="33" t="s">
        <v>17</v>
      </c>
      <c r="E24123" s="33" t="s">
        <v>26</v>
      </c>
      <c r="F24123" s="33" t="s">
        <v>27</v>
      </c>
      <c r="G24123" s="33" t="s">
        <v>20</v>
      </c>
      <c r="H24123" s="35">
        <v>40</v>
      </c>
      <c r="I24123" s="33" t="s">
        <v>21</v>
      </c>
      <c r="J24123" s="42">
        <v>45724</v>
      </c>
      <c r="K24123" s="33" t="s">
        <v>22</v>
      </c>
    </row>
    <row r="24124" spans="1:11">
      <c r="A24124" s="30" t="s">
        <v>53205</v>
      </c>
      <c r="B24124" s="30" t="s">
        <v>53206</v>
      </c>
      <c r="C24124" s="30" t="s">
        <v>1165</v>
      </c>
      <c r="D24124" s="30" t="s">
        <v>17</v>
      </c>
      <c r="E24124" s="30" t="s">
        <v>31</v>
      </c>
      <c r="F24124" s="30" t="s">
        <v>32</v>
      </c>
      <c r="G24124" s="30" t="s">
        <v>140</v>
      </c>
      <c r="H24124" s="32">
        <v>70</v>
      </c>
      <c r="I24124" s="30" t="s">
        <v>51</v>
      </c>
      <c r="J24124" s="41">
        <v>46010</v>
      </c>
      <c r="K24124" s="30" t="s">
        <v>22</v>
      </c>
    </row>
    <row r="24125" spans="1:11">
      <c r="A24125" s="33" t="s">
        <v>53207</v>
      </c>
      <c r="B24125" s="33" t="s">
        <v>53208</v>
      </c>
      <c r="C24125" s="33" t="s">
        <v>2313</v>
      </c>
      <c r="D24125" s="33" t="s">
        <v>17</v>
      </c>
      <c r="E24125" s="33" t="s">
        <v>67</v>
      </c>
      <c r="F24125" s="33" t="s">
        <v>68</v>
      </c>
      <c r="G24125" s="33" t="s">
        <v>140</v>
      </c>
      <c r="H24125" s="35">
        <v>285</v>
      </c>
      <c r="I24125" s="33" t="s">
        <v>51</v>
      </c>
      <c r="J24125" s="42">
        <v>45937</v>
      </c>
      <c r="K24125" s="33" t="s">
        <v>22</v>
      </c>
    </row>
    <row r="24126" spans="1:11">
      <c r="A24126" s="30" t="s">
        <v>53209</v>
      </c>
      <c r="B24126" s="30" t="s">
        <v>53210</v>
      </c>
      <c r="C24126" s="30" t="s">
        <v>15585</v>
      </c>
      <c r="D24126" s="30" t="s">
        <v>17</v>
      </c>
      <c r="E24126" s="30" t="s">
        <v>18</v>
      </c>
      <c r="F24126" s="30" t="s">
        <v>19</v>
      </c>
      <c r="G24126" s="30" t="s">
        <v>140</v>
      </c>
      <c r="H24126" s="32">
        <v>140</v>
      </c>
      <c r="I24126" s="30" t="s">
        <v>51</v>
      </c>
      <c r="J24126" s="41">
        <v>45882</v>
      </c>
      <c r="K24126" s="30" t="s">
        <v>22</v>
      </c>
    </row>
    <row r="24127" spans="1:11">
      <c r="A24127" s="33" t="s">
        <v>53211</v>
      </c>
      <c r="B24127" s="33" t="s">
        <v>53212</v>
      </c>
      <c r="C24127" s="33" t="s">
        <v>41121</v>
      </c>
      <c r="D24127" s="33" t="s">
        <v>17</v>
      </c>
      <c r="E24127" s="33" t="s">
        <v>26</v>
      </c>
      <c r="F24127" s="33" t="s">
        <v>27</v>
      </c>
      <c r="G24127" s="33" t="s">
        <v>140</v>
      </c>
      <c r="H24127" s="35">
        <v>72</v>
      </c>
      <c r="I24127" s="33" t="s">
        <v>51</v>
      </c>
      <c r="J24127" s="42">
        <v>45938</v>
      </c>
      <c r="K24127" s="33" t="s">
        <v>22</v>
      </c>
    </row>
    <row r="24128" spans="1:11">
      <c r="A24128" s="30" t="s">
        <v>53213</v>
      </c>
      <c r="B24128" s="30" t="s">
        <v>53214</v>
      </c>
      <c r="C24128" s="30" t="s">
        <v>6097</v>
      </c>
      <c r="D24128" s="30" t="s">
        <v>17</v>
      </c>
      <c r="E24128" s="30" t="s">
        <v>31</v>
      </c>
      <c r="F24128" s="30" t="s">
        <v>32</v>
      </c>
      <c r="G24128" s="30" t="s">
        <v>140</v>
      </c>
      <c r="H24128" s="32">
        <v>60</v>
      </c>
      <c r="I24128" s="30" t="s">
        <v>51</v>
      </c>
      <c r="J24128" s="41">
        <v>45953</v>
      </c>
      <c r="K24128" s="30" t="s">
        <v>22</v>
      </c>
    </row>
    <row r="24129" spans="1:11">
      <c r="A24129" s="33" t="s">
        <v>53215</v>
      </c>
      <c r="B24129" s="33" t="s">
        <v>53216</v>
      </c>
      <c r="C24129" s="33" t="s">
        <v>93</v>
      </c>
      <c r="D24129" s="33" t="s">
        <v>17</v>
      </c>
      <c r="E24129" s="33" t="s">
        <v>31</v>
      </c>
      <c r="F24129" s="33" t="s">
        <v>32</v>
      </c>
      <c r="G24129" s="33" t="s">
        <v>140</v>
      </c>
      <c r="H24129" s="35">
        <v>140</v>
      </c>
      <c r="I24129" s="33" t="s">
        <v>51</v>
      </c>
      <c r="J24129" s="42">
        <v>45902</v>
      </c>
      <c r="K24129" s="33" t="s">
        <v>22</v>
      </c>
    </row>
    <row r="24130" spans="1:11">
      <c r="A24130" s="30" t="s">
        <v>53217</v>
      </c>
      <c r="B24130" s="30" t="s">
        <v>53218</v>
      </c>
      <c r="C24130" s="30" t="s">
        <v>1006</v>
      </c>
      <c r="D24130" s="30" t="s">
        <v>17</v>
      </c>
      <c r="E24130" s="30" t="s">
        <v>26</v>
      </c>
      <c r="F24130" s="30" t="s">
        <v>27</v>
      </c>
      <c r="G24130" s="30" t="s">
        <v>158</v>
      </c>
      <c r="H24130" s="32">
        <v>30</v>
      </c>
      <c r="I24130" s="30" t="s">
        <v>51</v>
      </c>
      <c r="J24130" s="41">
        <v>45930</v>
      </c>
      <c r="K24130" s="30" t="s">
        <v>22</v>
      </c>
    </row>
    <row r="24131" spans="1:11">
      <c r="A24131" s="33" t="s">
        <v>53219</v>
      </c>
      <c r="B24131" s="33" t="s">
        <v>53220</v>
      </c>
      <c r="C24131" s="33" t="s">
        <v>3407</v>
      </c>
      <c r="D24131" s="33" t="s">
        <v>17</v>
      </c>
      <c r="E24131" s="33" t="s">
        <v>18</v>
      </c>
      <c r="F24131" s="33" t="s">
        <v>19</v>
      </c>
      <c r="G24131" s="33" t="s">
        <v>158</v>
      </c>
      <c r="H24131" s="35">
        <v>750</v>
      </c>
      <c r="I24131" s="33" t="s">
        <v>51</v>
      </c>
      <c r="J24131" s="42">
        <v>45727</v>
      </c>
      <c r="K24131" s="33" t="s">
        <v>22</v>
      </c>
    </row>
    <row r="24132" spans="1:11">
      <c r="A24132" s="30" t="s">
        <v>53221</v>
      </c>
      <c r="B24132" s="30" t="s">
        <v>53222</v>
      </c>
      <c r="C24132" s="30" t="s">
        <v>52041</v>
      </c>
      <c r="D24132" s="30" t="s">
        <v>17</v>
      </c>
      <c r="E24132" s="30" t="s">
        <v>26</v>
      </c>
      <c r="F24132" s="30" t="s">
        <v>27</v>
      </c>
      <c r="G24132" s="30" t="s">
        <v>20</v>
      </c>
      <c r="H24132" s="32">
        <v>80</v>
      </c>
      <c r="I24132" s="30" t="s">
        <v>21</v>
      </c>
      <c r="J24132" s="41">
        <v>45815</v>
      </c>
      <c r="K24132" s="30" t="s">
        <v>22</v>
      </c>
    </row>
    <row r="24133" spans="1:11">
      <c r="A24133" s="33" t="s">
        <v>53223</v>
      </c>
      <c r="B24133" s="33" t="s">
        <v>53224</v>
      </c>
      <c r="C24133" s="33" t="s">
        <v>34327</v>
      </c>
      <c r="D24133" s="33" t="s">
        <v>17</v>
      </c>
      <c r="E24133" s="33" t="s">
        <v>26</v>
      </c>
      <c r="F24133" s="33" t="s">
        <v>27</v>
      </c>
      <c r="G24133" s="33" t="s">
        <v>140</v>
      </c>
      <c r="H24133" s="35">
        <v>12</v>
      </c>
      <c r="I24133" s="33" t="s">
        <v>51</v>
      </c>
      <c r="J24133" s="42">
        <v>45931</v>
      </c>
      <c r="K24133" s="33" t="s">
        <v>22</v>
      </c>
    </row>
    <row r="24134" spans="1:11">
      <c r="A24134" s="30" t="s">
        <v>53225</v>
      </c>
      <c r="B24134" s="30" t="s">
        <v>53226</v>
      </c>
      <c r="C24134" s="30" t="s">
        <v>38361</v>
      </c>
      <c r="D24134" s="30" t="s">
        <v>17</v>
      </c>
      <c r="E24134" s="30" t="s">
        <v>330</v>
      </c>
      <c r="F24134" s="30" t="s">
        <v>331</v>
      </c>
      <c r="G24134" s="30" t="s">
        <v>112</v>
      </c>
      <c r="H24134" s="32">
        <v>0</v>
      </c>
      <c r="I24134" s="30" t="s">
        <v>21</v>
      </c>
      <c r="J24134" s="41">
        <v>45940</v>
      </c>
      <c r="K24134" s="30" t="s">
        <v>22</v>
      </c>
    </row>
    <row r="24135" spans="1:11">
      <c r="A24135" s="33" t="s">
        <v>53227</v>
      </c>
      <c r="B24135" s="33" t="s">
        <v>53228</v>
      </c>
      <c r="C24135" s="33" t="s">
        <v>1598</v>
      </c>
      <c r="D24135" s="33" t="s">
        <v>17</v>
      </c>
      <c r="E24135" s="33" t="s">
        <v>26</v>
      </c>
      <c r="F24135" s="33" t="s">
        <v>27</v>
      </c>
      <c r="G24135" s="33" t="s">
        <v>140</v>
      </c>
      <c r="H24135" s="35">
        <v>198</v>
      </c>
      <c r="I24135" s="33" t="s">
        <v>51</v>
      </c>
      <c r="J24135" s="42">
        <v>45665</v>
      </c>
      <c r="K24135" s="33" t="s">
        <v>22</v>
      </c>
    </row>
    <row r="24136" spans="1:11">
      <c r="A24136" s="30" t="s">
        <v>53229</v>
      </c>
      <c r="B24136" s="30" t="s">
        <v>53230</v>
      </c>
      <c r="C24136" s="30" t="s">
        <v>20029</v>
      </c>
      <c r="D24136" s="30" t="s">
        <v>17</v>
      </c>
      <c r="E24136" s="30" t="s">
        <v>31</v>
      </c>
      <c r="F24136" s="30" t="s">
        <v>32</v>
      </c>
      <c r="G24136" s="30" t="s">
        <v>140</v>
      </c>
      <c r="H24136" s="32">
        <v>40</v>
      </c>
      <c r="I24136" s="30" t="s">
        <v>51</v>
      </c>
      <c r="J24136" s="41">
        <v>45775</v>
      </c>
      <c r="K24136" s="30" t="s">
        <v>22</v>
      </c>
    </row>
    <row r="24137" spans="1:11">
      <c r="A24137" s="33" t="s">
        <v>53231</v>
      </c>
      <c r="B24137" s="33" t="s">
        <v>53232</v>
      </c>
      <c r="C24137" s="33" t="s">
        <v>969</v>
      </c>
      <c r="D24137" s="33" t="s">
        <v>17</v>
      </c>
      <c r="E24137" s="33" t="s">
        <v>26</v>
      </c>
      <c r="F24137" s="33" t="s">
        <v>27</v>
      </c>
      <c r="G24137" s="33" t="s">
        <v>140</v>
      </c>
      <c r="H24137" s="35">
        <v>84</v>
      </c>
      <c r="I24137" s="33" t="s">
        <v>51</v>
      </c>
      <c r="J24137" s="42">
        <v>45994</v>
      </c>
      <c r="K24137" s="33" t="s">
        <v>22</v>
      </c>
    </row>
    <row r="24138" spans="1:11">
      <c r="A24138" s="30" t="s">
        <v>53233</v>
      </c>
      <c r="B24138" s="30" t="s">
        <v>53234</v>
      </c>
      <c r="C24138" s="30" t="s">
        <v>190</v>
      </c>
      <c r="D24138" s="30" t="s">
        <v>17</v>
      </c>
      <c r="E24138" s="30" t="s">
        <v>26</v>
      </c>
      <c r="F24138" s="30" t="s">
        <v>27</v>
      </c>
      <c r="G24138" s="30" t="s">
        <v>140</v>
      </c>
      <c r="H24138" s="32">
        <v>8</v>
      </c>
      <c r="I24138" s="30" t="s">
        <v>51</v>
      </c>
      <c r="J24138" s="41">
        <v>45749</v>
      </c>
      <c r="K24138" s="30" t="s">
        <v>22</v>
      </c>
    </row>
    <row r="24139" spans="1:11">
      <c r="A24139" s="33" t="s">
        <v>53235</v>
      </c>
      <c r="B24139" s="33" t="s">
        <v>53236</v>
      </c>
      <c r="C24139" s="33" t="s">
        <v>2196</v>
      </c>
      <c r="D24139" s="33" t="s">
        <v>17</v>
      </c>
      <c r="E24139" s="33" t="s">
        <v>26</v>
      </c>
      <c r="F24139" s="33" t="s">
        <v>27</v>
      </c>
      <c r="G24139" s="33" t="s">
        <v>20</v>
      </c>
      <c r="H24139" s="35">
        <v>54</v>
      </c>
      <c r="I24139" s="33" t="s">
        <v>21</v>
      </c>
      <c r="J24139" s="42">
        <v>45958</v>
      </c>
      <c r="K24139" s="33" t="s">
        <v>22</v>
      </c>
    </row>
    <row r="24140" spans="1:11">
      <c r="A24140" s="30" t="s">
        <v>53237</v>
      </c>
      <c r="B24140" s="30" t="s">
        <v>53238</v>
      </c>
      <c r="C24140" s="30" t="s">
        <v>57</v>
      </c>
      <c r="D24140" s="30" t="s">
        <v>17</v>
      </c>
      <c r="E24140" s="30" t="s">
        <v>26</v>
      </c>
      <c r="F24140" s="30" t="s">
        <v>27</v>
      </c>
      <c r="G24140" s="30" t="s">
        <v>140</v>
      </c>
      <c r="H24140" s="32">
        <v>40</v>
      </c>
      <c r="I24140" s="30" t="s">
        <v>51</v>
      </c>
      <c r="J24140" s="41">
        <v>45966</v>
      </c>
      <c r="K24140" s="30" t="s">
        <v>22</v>
      </c>
    </row>
    <row r="24141" spans="1:11">
      <c r="A24141" s="33" t="s">
        <v>53239</v>
      </c>
      <c r="B24141" s="33" t="s">
        <v>53240</v>
      </c>
      <c r="C24141" s="33" t="s">
        <v>647</v>
      </c>
      <c r="D24141" s="33" t="s">
        <v>17</v>
      </c>
      <c r="E24141" s="33" t="s">
        <v>31</v>
      </c>
      <c r="F24141" s="33" t="s">
        <v>32</v>
      </c>
      <c r="G24141" s="33" t="s">
        <v>140</v>
      </c>
      <c r="H24141" s="35">
        <v>180</v>
      </c>
      <c r="I24141" s="33" t="s">
        <v>51</v>
      </c>
      <c r="J24141" s="42">
        <v>46003</v>
      </c>
      <c r="K24141" s="33" t="s">
        <v>22</v>
      </c>
    </row>
    <row r="24142" spans="1:11">
      <c r="A24142" s="30" t="s">
        <v>53241</v>
      </c>
      <c r="B24142" s="30" t="s">
        <v>53242</v>
      </c>
      <c r="C24142" s="30" t="s">
        <v>187</v>
      </c>
      <c r="D24142" s="30" t="s">
        <v>17</v>
      </c>
      <c r="E24142" s="30" t="s">
        <v>31</v>
      </c>
      <c r="F24142" s="30" t="s">
        <v>32</v>
      </c>
      <c r="G24142" s="30" t="s">
        <v>106</v>
      </c>
      <c r="H24142" s="32">
        <v>40</v>
      </c>
      <c r="I24142" s="30" t="s">
        <v>21</v>
      </c>
      <c r="J24142" s="41">
        <v>45754</v>
      </c>
      <c r="K24142" s="30" t="s">
        <v>22</v>
      </c>
    </row>
    <row r="24143" spans="1:11">
      <c r="A24143" s="33" t="s">
        <v>53243</v>
      </c>
      <c r="B24143" s="33" t="s">
        <v>53244</v>
      </c>
      <c r="C24143" s="33" t="s">
        <v>899</v>
      </c>
      <c r="D24143" s="33" t="s">
        <v>17</v>
      </c>
      <c r="E24143" s="33" t="s">
        <v>18</v>
      </c>
      <c r="F24143" s="33" t="s">
        <v>19</v>
      </c>
      <c r="G24143" s="33" t="s">
        <v>140</v>
      </c>
      <c r="H24143" s="35">
        <v>472</v>
      </c>
      <c r="I24143" s="33" t="s">
        <v>51</v>
      </c>
      <c r="J24143" s="42">
        <v>45957</v>
      </c>
      <c r="K24143" s="33" t="s">
        <v>22</v>
      </c>
    </row>
    <row r="24144" spans="1:11">
      <c r="A24144" s="30" t="s">
        <v>53245</v>
      </c>
      <c r="B24144" s="30" t="s">
        <v>53246</v>
      </c>
      <c r="C24144" s="30" t="s">
        <v>27012</v>
      </c>
      <c r="D24144" s="30" t="s">
        <v>17</v>
      </c>
      <c r="E24144" s="30" t="s">
        <v>26</v>
      </c>
      <c r="F24144" s="30" t="s">
        <v>27</v>
      </c>
      <c r="G24144" s="30" t="s">
        <v>20</v>
      </c>
      <c r="H24144" s="32">
        <v>24</v>
      </c>
      <c r="I24144" s="30" t="s">
        <v>21</v>
      </c>
      <c r="J24144" s="41">
        <v>45712</v>
      </c>
      <c r="K24144" s="30" t="s">
        <v>22</v>
      </c>
    </row>
    <row r="24145" spans="1:11">
      <c r="A24145" s="33" t="s">
        <v>53247</v>
      </c>
      <c r="B24145" s="33" t="s">
        <v>53248</v>
      </c>
      <c r="C24145" s="33" t="s">
        <v>1270</v>
      </c>
      <c r="D24145" s="33" t="s">
        <v>17</v>
      </c>
      <c r="E24145" s="33" t="s">
        <v>26</v>
      </c>
      <c r="F24145" s="33" t="s">
        <v>27</v>
      </c>
      <c r="G24145" s="33" t="s">
        <v>140</v>
      </c>
      <c r="H24145" s="35">
        <v>132</v>
      </c>
      <c r="I24145" s="33" t="s">
        <v>51</v>
      </c>
      <c r="J24145" s="42">
        <v>45779</v>
      </c>
      <c r="K24145" s="33" t="s">
        <v>22</v>
      </c>
    </row>
    <row r="24146" spans="1:11">
      <c r="A24146" s="30" t="s">
        <v>53249</v>
      </c>
      <c r="B24146" s="30" t="s">
        <v>53250</v>
      </c>
      <c r="C24146" s="30" t="s">
        <v>16821</v>
      </c>
      <c r="D24146" s="30" t="s">
        <v>17</v>
      </c>
      <c r="E24146" s="30" t="s">
        <v>26</v>
      </c>
      <c r="F24146" s="30" t="s">
        <v>27</v>
      </c>
      <c r="G24146" s="30" t="s">
        <v>140</v>
      </c>
      <c r="H24146" s="32">
        <v>100</v>
      </c>
      <c r="I24146" s="30" t="s">
        <v>51</v>
      </c>
      <c r="J24146" s="41">
        <v>46021</v>
      </c>
      <c r="K24146" s="30" t="s">
        <v>22</v>
      </c>
    </row>
    <row r="24147" spans="1:11">
      <c r="A24147" s="33" t="s">
        <v>53251</v>
      </c>
      <c r="B24147" s="33" t="s">
        <v>53252</v>
      </c>
      <c r="C24147" s="33" t="s">
        <v>10300</v>
      </c>
      <c r="D24147" s="33" t="s">
        <v>17</v>
      </c>
      <c r="E24147" s="33" t="s">
        <v>18</v>
      </c>
      <c r="F24147" s="33" t="s">
        <v>19</v>
      </c>
      <c r="G24147" s="33" t="s">
        <v>140</v>
      </c>
      <c r="H24147" s="35">
        <v>300</v>
      </c>
      <c r="I24147" s="33" t="s">
        <v>51</v>
      </c>
      <c r="J24147" s="42">
        <v>46003</v>
      </c>
      <c r="K24147" s="33" t="s">
        <v>22</v>
      </c>
    </row>
    <row r="24148" spans="1:11">
      <c r="A24148" s="30" t="s">
        <v>53253</v>
      </c>
      <c r="B24148" s="30" t="s">
        <v>53254</v>
      </c>
      <c r="C24148" s="30" t="s">
        <v>53255</v>
      </c>
      <c r="D24148" s="30" t="s">
        <v>17</v>
      </c>
      <c r="E24148" s="30" t="s">
        <v>18</v>
      </c>
      <c r="F24148" s="30" t="s">
        <v>19</v>
      </c>
      <c r="G24148" s="30" t="s">
        <v>140</v>
      </c>
      <c r="H24148" s="32">
        <v>220</v>
      </c>
      <c r="I24148" s="30" t="s">
        <v>51</v>
      </c>
      <c r="J24148" s="41">
        <v>45658</v>
      </c>
      <c r="K24148" s="30" t="s">
        <v>22</v>
      </c>
    </row>
    <row r="24149" spans="1:11">
      <c r="A24149" s="33" t="s">
        <v>53256</v>
      </c>
      <c r="B24149" s="33" t="s">
        <v>53257</v>
      </c>
      <c r="C24149" s="33" t="s">
        <v>43599</v>
      </c>
      <c r="D24149" s="33" t="s">
        <v>17</v>
      </c>
      <c r="E24149" s="33" t="s">
        <v>18</v>
      </c>
      <c r="F24149" s="33" t="s">
        <v>19</v>
      </c>
      <c r="G24149" s="33" t="s">
        <v>140</v>
      </c>
      <c r="H24149" s="35">
        <v>256</v>
      </c>
      <c r="I24149" s="33" t="s">
        <v>51</v>
      </c>
      <c r="J24149" s="42">
        <v>45698</v>
      </c>
      <c r="K24149" s="33" t="s">
        <v>22</v>
      </c>
    </row>
    <row r="24150" spans="1:11">
      <c r="A24150" s="30" t="s">
        <v>53258</v>
      </c>
      <c r="B24150" s="30" t="s">
        <v>53259</v>
      </c>
      <c r="C24150" s="30" t="s">
        <v>53260</v>
      </c>
      <c r="D24150" s="30" t="s">
        <v>17</v>
      </c>
      <c r="E24150" s="30" t="s">
        <v>26</v>
      </c>
      <c r="F24150" s="30" t="s">
        <v>27</v>
      </c>
      <c r="G24150" s="30" t="s">
        <v>140</v>
      </c>
      <c r="H24150" s="32">
        <v>72</v>
      </c>
      <c r="I24150" s="30" t="s">
        <v>51</v>
      </c>
      <c r="J24150" s="41">
        <v>45734</v>
      </c>
      <c r="K24150" s="30" t="s">
        <v>22</v>
      </c>
    </row>
    <row r="24151" spans="1:11">
      <c r="A24151" s="33" t="s">
        <v>53261</v>
      </c>
      <c r="B24151" s="33" t="s">
        <v>53262</v>
      </c>
      <c r="C24151" s="33" t="s">
        <v>53263</v>
      </c>
      <c r="D24151" s="33" t="s">
        <v>17</v>
      </c>
      <c r="E24151" s="33" t="s">
        <v>26</v>
      </c>
      <c r="F24151" s="33" t="s">
        <v>27</v>
      </c>
      <c r="G24151" s="33" t="s">
        <v>140</v>
      </c>
      <c r="H24151" s="35">
        <v>120</v>
      </c>
      <c r="I24151" s="33" t="s">
        <v>51</v>
      </c>
      <c r="J24151" s="42">
        <v>45898</v>
      </c>
      <c r="K24151" s="33" t="s">
        <v>22</v>
      </c>
    </row>
    <row r="24152" spans="1:11">
      <c r="A24152" s="30" t="s">
        <v>53264</v>
      </c>
      <c r="B24152" s="30" t="s">
        <v>53265</v>
      </c>
      <c r="C24152" s="30" t="s">
        <v>8234</v>
      </c>
      <c r="D24152" s="30" t="s">
        <v>17</v>
      </c>
      <c r="E24152" s="30" t="s">
        <v>18</v>
      </c>
      <c r="F24152" s="30" t="s">
        <v>19</v>
      </c>
      <c r="G24152" s="30" t="s">
        <v>140</v>
      </c>
      <c r="H24152" s="32">
        <v>240</v>
      </c>
      <c r="I24152" s="30" t="s">
        <v>51</v>
      </c>
      <c r="J24152" s="41">
        <v>45994</v>
      </c>
      <c r="K24152" s="30" t="s">
        <v>22</v>
      </c>
    </row>
    <row r="24153" spans="1:11">
      <c r="A24153" s="33" t="s">
        <v>53266</v>
      </c>
      <c r="B24153" s="33" t="s">
        <v>53267</v>
      </c>
      <c r="C24153" s="33" t="s">
        <v>7094</v>
      </c>
      <c r="D24153" s="33" t="s">
        <v>17</v>
      </c>
      <c r="E24153" s="33" t="s">
        <v>18</v>
      </c>
      <c r="F24153" s="33" t="s">
        <v>19</v>
      </c>
      <c r="G24153" s="33" t="s">
        <v>7780</v>
      </c>
      <c r="H24153" s="35">
        <v>78</v>
      </c>
      <c r="I24153" s="33" t="s">
        <v>51</v>
      </c>
      <c r="J24153" s="42">
        <v>45689</v>
      </c>
      <c r="K24153" s="33" t="s">
        <v>22</v>
      </c>
    </row>
    <row r="24154" spans="1:11">
      <c r="A24154" s="30" t="s">
        <v>53268</v>
      </c>
      <c r="B24154" s="30" t="s">
        <v>53269</v>
      </c>
      <c r="C24154" s="30" t="s">
        <v>96</v>
      </c>
      <c r="D24154" s="30" t="s">
        <v>17</v>
      </c>
      <c r="E24154" s="30" t="s">
        <v>67</v>
      </c>
      <c r="F24154" s="30" t="s">
        <v>68</v>
      </c>
      <c r="G24154" s="30" t="s">
        <v>140</v>
      </c>
      <c r="H24154" s="32">
        <v>381</v>
      </c>
      <c r="I24154" s="30" t="s">
        <v>51</v>
      </c>
      <c r="J24154" s="41">
        <v>45722</v>
      </c>
      <c r="K24154" s="30" t="s">
        <v>22</v>
      </c>
    </row>
    <row r="24155" spans="1:11">
      <c r="A24155" s="33" t="s">
        <v>53270</v>
      </c>
      <c r="B24155" s="33" t="s">
        <v>53271</v>
      </c>
      <c r="C24155" s="33" t="s">
        <v>507</v>
      </c>
      <c r="D24155" s="33" t="s">
        <v>17</v>
      </c>
      <c r="E24155" s="33" t="s">
        <v>67</v>
      </c>
      <c r="F24155" s="33" t="s">
        <v>68</v>
      </c>
      <c r="G24155" s="33" t="s">
        <v>7780</v>
      </c>
      <c r="H24155" s="35">
        <v>66</v>
      </c>
      <c r="I24155" s="33" t="s">
        <v>51</v>
      </c>
      <c r="J24155" s="42">
        <v>45901</v>
      </c>
      <c r="K24155" s="33" t="s">
        <v>22</v>
      </c>
    </row>
    <row r="24156" spans="1:11">
      <c r="A24156" s="30" t="s">
        <v>53272</v>
      </c>
      <c r="B24156" s="30" t="s">
        <v>53273</v>
      </c>
      <c r="C24156" s="30" t="s">
        <v>39174</v>
      </c>
      <c r="D24156" s="30" t="s">
        <v>17</v>
      </c>
      <c r="E24156" s="30" t="s">
        <v>31</v>
      </c>
      <c r="F24156" s="30" t="s">
        <v>32</v>
      </c>
      <c r="G24156" s="30" t="s">
        <v>140</v>
      </c>
      <c r="H24156" s="32">
        <v>51</v>
      </c>
      <c r="I24156" s="30" t="s">
        <v>51</v>
      </c>
      <c r="J24156" s="41">
        <v>45999</v>
      </c>
      <c r="K24156" s="30" t="s">
        <v>22</v>
      </c>
    </row>
    <row r="24157" spans="1:11">
      <c r="A24157" s="33" t="s">
        <v>53274</v>
      </c>
      <c r="B24157" s="33" t="s">
        <v>53275</v>
      </c>
      <c r="C24157" s="33" t="s">
        <v>109</v>
      </c>
      <c r="D24157" s="33" t="s">
        <v>17</v>
      </c>
      <c r="E24157" s="33" t="s">
        <v>67</v>
      </c>
      <c r="F24157" s="33" t="s">
        <v>68</v>
      </c>
      <c r="G24157" s="33" t="s">
        <v>140</v>
      </c>
      <c r="H24157" s="35">
        <v>27</v>
      </c>
      <c r="I24157" s="33" t="s">
        <v>51</v>
      </c>
      <c r="J24157" s="42">
        <v>45828</v>
      </c>
      <c r="K24157" s="33" t="s">
        <v>22</v>
      </c>
    </row>
    <row r="24158" spans="1:11">
      <c r="A24158" s="30" t="s">
        <v>53276</v>
      </c>
      <c r="B24158" s="30" t="s">
        <v>53277</v>
      </c>
      <c r="C24158" s="30" t="s">
        <v>53278</v>
      </c>
      <c r="D24158" s="30" t="s">
        <v>17</v>
      </c>
      <c r="E24158" s="30" t="s">
        <v>26</v>
      </c>
      <c r="F24158" s="30" t="s">
        <v>27</v>
      </c>
      <c r="G24158" s="30" t="s">
        <v>158</v>
      </c>
      <c r="H24158" s="32">
        <v>72</v>
      </c>
      <c r="I24158" s="30" t="s">
        <v>21</v>
      </c>
      <c r="J24158" s="41">
        <v>45761</v>
      </c>
      <c r="K24158" s="30" t="s">
        <v>22</v>
      </c>
    </row>
    <row r="24159" spans="1:11">
      <c r="A24159" s="33" t="s">
        <v>53279</v>
      </c>
      <c r="B24159" s="33" t="s">
        <v>53280</v>
      </c>
      <c r="C24159" s="33" t="s">
        <v>894</v>
      </c>
      <c r="D24159" s="33" t="s">
        <v>17</v>
      </c>
      <c r="E24159" s="33" t="s">
        <v>26</v>
      </c>
      <c r="F24159" s="33" t="s">
        <v>27</v>
      </c>
      <c r="G24159" s="33" t="s">
        <v>140</v>
      </c>
      <c r="H24159" s="35">
        <v>25</v>
      </c>
      <c r="I24159" s="33" t="s">
        <v>51</v>
      </c>
      <c r="J24159" s="42">
        <v>45823</v>
      </c>
      <c r="K24159" s="33" t="s">
        <v>22</v>
      </c>
    </row>
    <row r="24160" spans="1:11">
      <c r="A24160" s="30" t="s">
        <v>53281</v>
      </c>
      <c r="B24160" s="30" t="s">
        <v>53282</v>
      </c>
      <c r="C24160" s="30" t="s">
        <v>50372</v>
      </c>
      <c r="D24160" s="30" t="s">
        <v>17</v>
      </c>
      <c r="E24160" s="30" t="s">
        <v>26</v>
      </c>
      <c r="F24160" s="30" t="s">
        <v>27</v>
      </c>
      <c r="G24160" s="30" t="s">
        <v>140</v>
      </c>
      <c r="H24160" s="32">
        <v>9</v>
      </c>
      <c r="I24160" s="30" t="s">
        <v>51</v>
      </c>
      <c r="J24160" s="41">
        <v>45820</v>
      </c>
      <c r="K24160" s="30" t="s">
        <v>22</v>
      </c>
    </row>
    <row r="24161" spans="1:11">
      <c r="A24161" s="33" t="s">
        <v>53283</v>
      </c>
      <c r="B24161" s="33" t="s">
        <v>53284</v>
      </c>
      <c r="C24161" s="33" t="s">
        <v>93</v>
      </c>
      <c r="D24161" s="33" t="s">
        <v>17</v>
      </c>
      <c r="E24161" s="33" t="s">
        <v>18</v>
      </c>
      <c r="F24161" s="33" t="s">
        <v>19</v>
      </c>
      <c r="G24161" s="33" t="s">
        <v>158</v>
      </c>
      <c r="H24161" s="35">
        <v>252</v>
      </c>
      <c r="I24161" s="33" t="s">
        <v>21</v>
      </c>
      <c r="J24161" s="42">
        <v>45803</v>
      </c>
      <c r="K24161" s="33" t="s">
        <v>22</v>
      </c>
    </row>
    <row r="24162" spans="1:11">
      <c r="A24162" s="30" t="s">
        <v>53285</v>
      </c>
      <c r="B24162" s="30" t="s">
        <v>53286</v>
      </c>
      <c r="C24162" s="30" t="s">
        <v>2719</v>
      </c>
      <c r="D24162" s="30" t="s">
        <v>17</v>
      </c>
      <c r="E24162" s="30" t="s">
        <v>18</v>
      </c>
      <c r="F24162" s="30" t="s">
        <v>19</v>
      </c>
      <c r="G24162" s="30" t="s">
        <v>140</v>
      </c>
      <c r="H24162" s="32">
        <v>300</v>
      </c>
      <c r="I24162" s="30" t="s">
        <v>51</v>
      </c>
      <c r="J24162" s="41">
        <v>45854</v>
      </c>
      <c r="K24162" s="30" t="s">
        <v>22</v>
      </c>
    </row>
    <row r="24163" spans="1:11">
      <c r="A24163" s="33" t="s">
        <v>53287</v>
      </c>
      <c r="B24163" s="33" t="s">
        <v>53288</v>
      </c>
      <c r="C24163" s="33" t="s">
        <v>15585</v>
      </c>
      <c r="D24163" s="33" t="s">
        <v>17</v>
      </c>
      <c r="E24163" s="33" t="s">
        <v>26</v>
      </c>
      <c r="F24163" s="33" t="s">
        <v>27</v>
      </c>
      <c r="G24163" s="33" t="s">
        <v>140</v>
      </c>
      <c r="H24163" s="35">
        <v>92</v>
      </c>
      <c r="I24163" s="33" t="s">
        <v>51</v>
      </c>
      <c r="J24163" s="42">
        <v>45785</v>
      </c>
      <c r="K24163" s="33" t="s">
        <v>22</v>
      </c>
    </row>
    <row r="24164" spans="1:11">
      <c r="A24164" s="30" t="s">
        <v>53289</v>
      </c>
      <c r="B24164" s="30" t="s">
        <v>53290</v>
      </c>
      <c r="C24164" s="30" t="s">
        <v>53291</v>
      </c>
      <c r="D24164" s="30" t="s">
        <v>17</v>
      </c>
      <c r="E24164" s="30" t="s">
        <v>26</v>
      </c>
      <c r="F24164" s="30" t="s">
        <v>27</v>
      </c>
      <c r="G24164" s="30" t="s">
        <v>7780</v>
      </c>
      <c r="H24164" s="32">
        <v>20</v>
      </c>
      <c r="I24164" s="30" t="s">
        <v>51</v>
      </c>
      <c r="J24164" s="41">
        <v>45689</v>
      </c>
      <c r="K24164" s="30" t="s">
        <v>22</v>
      </c>
    </row>
    <row r="24165" spans="1:11">
      <c r="A24165" s="33" t="s">
        <v>53292</v>
      </c>
      <c r="B24165" s="33" t="s">
        <v>53293</v>
      </c>
      <c r="C24165" s="33" t="s">
        <v>102</v>
      </c>
      <c r="D24165" s="33" t="s">
        <v>17</v>
      </c>
      <c r="E24165" s="33" t="s">
        <v>31</v>
      </c>
      <c r="F24165" s="33" t="s">
        <v>32</v>
      </c>
      <c r="G24165" s="33" t="s">
        <v>140</v>
      </c>
      <c r="H24165" s="35">
        <v>60</v>
      </c>
      <c r="I24165" s="33" t="s">
        <v>51</v>
      </c>
      <c r="J24165" s="42">
        <v>45933</v>
      </c>
      <c r="K24165" s="33" t="s">
        <v>22</v>
      </c>
    </row>
    <row r="24166" spans="1:11">
      <c r="A24166" s="30" t="s">
        <v>53294</v>
      </c>
      <c r="B24166" s="30" t="s">
        <v>53295</v>
      </c>
      <c r="C24166" s="30" t="s">
        <v>3775</v>
      </c>
      <c r="D24166" s="30" t="s">
        <v>17</v>
      </c>
      <c r="E24166" s="30" t="s">
        <v>26</v>
      </c>
      <c r="F24166" s="30" t="s">
        <v>27</v>
      </c>
      <c r="G24166" s="30" t="s">
        <v>140</v>
      </c>
      <c r="H24166" s="32">
        <v>40</v>
      </c>
      <c r="I24166" s="30" t="s">
        <v>51</v>
      </c>
      <c r="J24166" s="41">
        <v>45843</v>
      </c>
      <c r="K24166" s="30" t="s">
        <v>22</v>
      </c>
    </row>
    <row r="24167" spans="1:11">
      <c r="A24167" s="33" t="s">
        <v>53296</v>
      </c>
      <c r="B24167" s="33" t="s">
        <v>53297</v>
      </c>
      <c r="C24167" s="33" t="s">
        <v>1267</v>
      </c>
      <c r="D24167" s="33" t="s">
        <v>17</v>
      </c>
      <c r="E24167" s="33" t="s">
        <v>18</v>
      </c>
      <c r="F24167" s="33" t="s">
        <v>19</v>
      </c>
      <c r="G24167" s="33" t="s">
        <v>140</v>
      </c>
      <c r="H24167" s="35">
        <v>720</v>
      </c>
      <c r="I24167" s="33" t="s">
        <v>51</v>
      </c>
      <c r="J24167" s="42">
        <v>45908</v>
      </c>
      <c r="K24167" s="33" t="s">
        <v>22</v>
      </c>
    </row>
    <row r="24168" spans="1:11">
      <c r="A24168" s="30" t="s">
        <v>53298</v>
      </c>
      <c r="B24168" s="30" t="s">
        <v>53299</v>
      </c>
      <c r="C24168" s="30" t="s">
        <v>53300</v>
      </c>
      <c r="D24168" s="30" t="s">
        <v>17</v>
      </c>
      <c r="E24168" s="30" t="s">
        <v>26</v>
      </c>
      <c r="F24168" s="30" t="s">
        <v>27</v>
      </c>
      <c r="G24168" s="30" t="s">
        <v>20</v>
      </c>
      <c r="H24168" s="32">
        <v>34</v>
      </c>
      <c r="I24168" s="30" t="s">
        <v>21</v>
      </c>
      <c r="J24168" s="41">
        <v>45682</v>
      </c>
      <c r="K24168" s="30" t="s">
        <v>22</v>
      </c>
    </row>
    <row r="24169" spans="1:11">
      <c r="A24169" s="33" t="s">
        <v>53301</v>
      </c>
      <c r="B24169" s="33" t="s">
        <v>53302</v>
      </c>
      <c r="C24169" s="33" t="s">
        <v>1618</v>
      </c>
      <c r="D24169" s="33" t="s">
        <v>17</v>
      </c>
      <c r="E24169" s="33" t="s">
        <v>67</v>
      </c>
      <c r="F24169" s="33" t="s">
        <v>68</v>
      </c>
      <c r="G24169" s="33" t="s">
        <v>140</v>
      </c>
      <c r="H24169" s="35">
        <v>26</v>
      </c>
      <c r="I24169" s="33" t="s">
        <v>51</v>
      </c>
      <c r="J24169" s="42">
        <v>45978</v>
      </c>
      <c r="K24169" s="33" t="s">
        <v>22</v>
      </c>
    </row>
    <row r="24170" spans="1:11">
      <c r="A24170" s="30" t="s">
        <v>53303</v>
      </c>
      <c r="B24170" s="30" t="s">
        <v>53304</v>
      </c>
      <c r="C24170" s="30" t="s">
        <v>8174</v>
      </c>
      <c r="D24170" s="30" t="s">
        <v>17</v>
      </c>
      <c r="E24170" s="30" t="s">
        <v>31</v>
      </c>
      <c r="F24170" s="30" t="s">
        <v>32</v>
      </c>
      <c r="G24170" s="30" t="s">
        <v>112</v>
      </c>
      <c r="H24170" s="32">
        <v>0</v>
      </c>
      <c r="I24170" s="30" t="s">
        <v>21</v>
      </c>
      <c r="J24170" s="41">
        <v>45809</v>
      </c>
      <c r="K24170" s="30" t="s">
        <v>22</v>
      </c>
    </row>
    <row r="24171" spans="1:11">
      <c r="A24171" s="33" t="s">
        <v>53305</v>
      </c>
      <c r="B24171" s="33" t="s">
        <v>53306</v>
      </c>
      <c r="C24171" s="33" t="s">
        <v>3655</v>
      </c>
      <c r="D24171" s="33" t="s">
        <v>17</v>
      </c>
      <c r="E24171" s="33" t="s">
        <v>67</v>
      </c>
      <c r="F24171" s="33" t="s">
        <v>68</v>
      </c>
      <c r="G24171" s="33" t="s">
        <v>140</v>
      </c>
      <c r="H24171" s="35">
        <v>245</v>
      </c>
      <c r="I24171" s="33" t="s">
        <v>51</v>
      </c>
      <c r="J24171" s="42">
        <v>45979</v>
      </c>
      <c r="K24171" s="33" t="s">
        <v>22</v>
      </c>
    </row>
    <row r="24172" spans="1:11">
      <c r="A24172" s="30" t="s">
        <v>53307</v>
      </c>
      <c r="B24172" s="30" t="s">
        <v>53308</v>
      </c>
      <c r="C24172" s="30" t="s">
        <v>130</v>
      </c>
      <c r="D24172" s="30" t="s">
        <v>17</v>
      </c>
      <c r="E24172" s="30" t="s">
        <v>18</v>
      </c>
      <c r="F24172" s="30" t="s">
        <v>19</v>
      </c>
      <c r="G24172" s="30" t="s">
        <v>140</v>
      </c>
      <c r="H24172" s="32">
        <v>240</v>
      </c>
      <c r="I24172" s="30" t="s">
        <v>51</v>
      </c>
      <c r="J24172" s="41">
        <v>45678</v>
      </c>
      <c r="K24172" s="30" t="s">
        <v>22</v>
      </c>
    </row>
    <row r="24173" spans="1:11">
      <c r="A24173" s="33" t="s">
        <v>53309</v>
      </c>
      <c r="B24173" s="33" t="s">
        <v>53310</v>
      </c>
      <c r="C24173" s="33" t="s">
        <v>42142</v>
      </c>
      <c r="D24173" s="33" t="s">
        <v>17</v>
      </c>
      <c r="E24173" s="33" t="s">
        <v>26</v>
      </c>
      <c r="F24173" s="33" t="s">
        <v>27</v>
      </c>
      <c r="G24173" s="33" t="s">
        <v>140</v>
      </c>
      <c r="H24173" s="35">
        <v>36</v>
      </c>
      <c r="I24173" s="33" t="s">
        <v>51</v>
      </c>
      <c r="J24173" s="42">
        <v>45805</v>
      </c>
      <c r="K24173" s="33" t="s">
        <v>22</v>
      </c>
    </row>
    <row r="24174" spans="1:11">
      <c r="A24174" s="30" t="s">
        <v>53311</v>
      </c>
      <c r="B24174" s="30" t="s">
        <v>53312</v>
      </c>
      <c r="C24174" s="30" t="s">
        <v>39410</v>
      </c>
      <c r="D24174" s="30" t="s">
        <v>17</v>
      </c>
      <c r="E24174" s="30" t="s">
        <v>31</v>
      </c>
      <c r="F24174" s="30" t="s">
        <v>32</v>
      </c>
      <c r="G24174" s="30" t="s">
        <v>140</v>
      </c>
      <c r="H24174" s="32">
        <v>48</v>
      </c>
      <c r="I24174" s="30" t="s">
        <v>51</v>
      </c>
      <c r="J24174" s="41">
        <v>45965</v>
      </c>
      <c r="K24174" s="30" t="s">
        <v>22</v>
      </c>
    </row>
    <row r="24175" spans="1:11">
      <c r="A24175" s="33" t="s">
        <v>53313</v>
      </c>
      <c r="B24175" s="33" t="s">
        <v>53314</v>
      </c>
      <c r="C24175" s="33" t="s">
        <v>47752</v>
      </c>
      <c r="D24175" s="33" t="s">
        <v>17</v>
      </c>
      <c r="E24175" s="33" t="s">
        <v>31</v>
      </c>
      <c r="F24175" s="33" t="s">
        <v>32</v>
      </c>
      <c r="G24175" s="33" t="s">
        <v>140</v>
      </c>
      <c r="H24175" s="35">
        <v>600</v>
      </c>
      <c r="I24175" s="33" t="s">
        <v>51</v>
      </c>
      <c r="J24175" s="42">
        <v>45818</v>
      </c>
      <c r="K24175" s="33" t="s">
        <v>22</v>
      </c>
    </row>
    <row r="24176" spans="1:11">
      <c r="A24176" s="30" t="s">
        <v>53315</v>
      </c>
      <c r="B24176" s="30" t="s">
        <v>53316</v>
      </c>
      <c r="C24176" s="30" t="s">
        <v>647</v>
      </c>
      <c r="D24176" s="30" t="s">
        <v>17</v>
      </c>
      <c r="E24176" s="30" t="s">
        <v>18</v>
      </c>
      <c r="F24176" s="30" t="s">
        <v>19</v>
      </c>
      <c r="G24176" s="30" t="s">
        <v>140</v>
      </c>
      <c r="H24176" s="32">
        <v>1000</v>
      </c>
      <c r="I24176" s="30" t="s">
        <v>51</v>
      </c>
      <c r="J24176" s="41">
        <v>45732</v>
      </c>
      <c r="K24176" s="30" t="s">
        <v>22</v>
      </c>
    </row>
    <row r="24177" spans="1:11">
      <c r="A24177" s="33" t="s">
        <v>53317</v>
      </c>
      <c r="B24177" s="33" t="s">
        <v>53318</v>
      </c>
      <c r="C24177" s="33" t="s">
        <v>190</v>
      </c>
      <c r="D24177" s="33" t="s">
        <v>17</v>
      </c>
      <c r="E24177" s="33" t="s">
        <v>67</v>
      </c>
      <c r="F24177" s="33" t="s">
        <v>68</v>
      </c>
      <c r="G24177" s="33" t="s">
        <v>140</v>
      </c>
      <c r="H24177" s="35">
        <v>91</v>
      </c>
      <c r="I24177" s="33" t="s">
        <v>51</v>
      </c>
      <c r="J24177" s="42">
        <v>45924</v>
      </c>
      <c r="K24177" s="33" t="s">
        <v>22</v>
      </c>
    </row>
    <row r="24178" spans="1:11">
      <c r="A24178" s="30" t="s">
        <v>53319</v>
      </c>
      <c r="B24178" s="30" t="s">
        <v>53320</v>
      </c>
      <c r="C24178" s="30" t="s">
        <v>15585</v>
      </c>
      <c r="D24178" s="30" t="s">
        <v>17</v>
      </c>
      <c r="E24178" s="30" t="s">
        <v>31</v>
      </c>
      <c r="F24178" s="30" t="s">
        <v>32</v>
      </c>
      <c r="G24178" s="30" t="s">
        <v>158</v>
      </c>
      <c r="H24178" s="32">
        <v>210</v>
      </c>
      <c r="I24178" s="30" t="s">
        <v>21</v>
      </c>
      <c r="J24178" s="41">
        <v>45961</v>
      </c>
      <c r="K24178" s="30" t="s">
        <v>22</v>
      </c>
    </row>
    <row r="24179" spans="1:11">
      <c r="A24179" s="33" t="s">
        <v>53321</v>
      </c>
      <c r="B24179" s="33" t="s">
        <v>53322</v>
      </c>
      <c r="C24179" s="33" t="s">
        <v>43473</v>
      </c>
      <c r="D24179" s="33" t="s">
        <v>17</v>
      </c>
      <c r="E24179" s="33" t="s">
        <v>26</v>
      </c>
      <c r="F24179" s="33" t="s">
        <v>27</v>
      </c>
      <c r="G24179" s="33" t="s">
        <v>140</v>
      </c>
      <c r="H24179" s="35">
        <v>132</v>
      </c>
      <c r="I24179" s="33" t="s">
        <v>51</v>
      </c>
      <c r="J24179" s="42">
        <v>45854</v>
      </c>
      <c r="K24179" s="33" t="s">
        <v>22</v>
      </c>
    </row>
    <row r="24180" spans="1:11">
      <c r="A24180" s="30" t="s">
        <v>53323</v>
      </c>
      <c r="B24180" s="30" t="s">
        <v>53324</v>
      </c>
      <c r="C24180" s="30" t="s">
        <v>570</v>
      </c>
      <c r="D24180" s="30" t="s">
        <v>17</v>
      </c>
      <c r="E24180" s="30" t="s">
        <v>67</v>
      </c>
      <c r="F24180" s="30" t="s">
        <v>68</v>
      </c>
      <c r="G24180" s="30" t="s">
        <v>7780</v>
      </c>
      <c r="H24180" s="32">
        <v>240</v>
      </c>
      <c r="I24180" s="30" t="s">
        <v>51</v>
      </c>
      <c r="J24180" s="41">
        <v>45809</v>
      </c>
      <c r="K24180" s="30" t="s">
        <v>22</v>
      </c>
    </row>
    <row r="24181" spans="1:11">
      <c r="A24181" s="33" t="s">
        <v>53325</v>
      </c>
      <c r="B24181" s="33" t="s">
        <v>53326</v>
      </c>
      <c r="C24181" s="33" t="s">
        <v>14483</v>
      </c>
      <c r="D24181" s="33" t="s">
        <v>17</v>
      </c>
      <c r="E24181" s="33" t="s">
        <v>26</v>
      </c>
      <c r="F24181" s="33" t="s">
        <v>27</v>
      </c>
      <c r="G24181" s="33" t="s">
        <v>140</v>
      </c>
      <c r="H24181" s="35">
        <v>24</v>
      </c>
      <c r="I24181" s="33" t="s">
        <v>51</v>
      </c>
      <c r="J24181" s="42">
        <v>45982</v>
      </c>
      <c r="K24181" s="33" t="s">
        <v>22</v>
      </c>
    </row>
    <row r="24182" spans="1:11">
      <c r="A24182" s="30" t="s">
        <v>53327</v>
      </c>
      <c r="B24182" s="30" t="s">
        <v>53328</v>
      </c>
      <c r="C24182" s="30" t="s">
        <v>53329</v>
      </c>
      <c r="D24182" s="30" t="s">
        <v>17</v>
      </c>
      <c r="E24182" s="30" t="s">
        <v>26</v>
      </c>
      <c r="F24182" s="30" t="s">
        <v>27</v>
      </c>
      <c r="G24182" s="30" t="s">
        <v>140</v>
      </c>
      <c r="H24182" s="32">
        <v>20</v>
      </c>
      <c r="I24182" s="30" t="s">
        <v>51</v>
      </c>
      <c r="J24182" s="41">
        <v>45709</v>
      </c>
      <c r="K24182" s="30" t="s">
        <v>22</v>
      </c>
    </row>
    <row r="24183" spans="1:11">
      <c r="A24183" s="33" t="s">
        <v>53330</v>
      </c>
      <c r="B24183" s="33" t="s">
        <v>53331</v>
      </c>
      <c r="C24183" s="33" t="s">
        <v>4366</v>
      </c>
      <c r="D24183" s="33" t="s">
        <v>17</v>
      </c>
      <c r="E24183" s="33" t="s">
        <v>26</v>
      </c>
      <c r="F24183" s="33" t="s">
        <v>27</v>
      </c>
      <c r="G24183" s="33" t="s">
        <v>140</v>
      </c>
      <c r="H24183" s="35">
        <v>64</v>
      </c>
      <c r="I24183" s="33" t="s">
        <v>51</v>
      </c>
      <c r="J24183" s="42">
        <v>45741</v>
      </c>
      <c r="K24183" s="33" t="s">
        <v>22</v>
      </c>
    </row>
    <row r="24184" spans="1:11">
      <c r="A24184" s="30" t="s">
        <v>53332</v>
      </c>
      <c r="B24184" s="30" t="s">
        <v>53333</v>
      </c>
      <c r="C24184" s="30" t="s">
        <v>11609</v>
      </c>
      <c r="D24184" s="30" t="s">
        <v>17</v>
      </c>
      <c r="E24184" s="30" t="s">
        <v>26</v>
      </c>
      <c r="F24184" s="30" t="s">
        <v>27</v>
      </c>
      <c r="G24184" s="30" t="s">
        <v>20</v>
      </c>
      <c r="H24184" s="32">
        <v>48</v>
      </c>
      <c r="I24184" s="30" t="s">
        <v>21</v>
      </c>
      <c r="J24184" s="41">
        <v>45894</v>
      </c>
      <c r="K24184" s="30" t="s">
        <v>22</v>
      </c>
    </row>
    <row r="24185" spans="1:11">
      <c r="A24185" s="33" t="s">
        <v>53334</v>
      </c>
      <c r="B24185" s="33" t="s">
        <v>53335</v>
      </c>
      <c r="C24185" s="33" t="s">
        <v>53336</v>
      </c>
      <c r="D24185" s="33" t="s">
        <v>17</v>
      </c>
      <c r="E24185" s="33" t="s">
        <v>26</v>
      </c>
      <c r="F24185" s="33" t="s">
        <v>27</v>
      </c>
      <c r="G24185" s="33" t="s">
        <v>140</v>
      </c>
      <c r="H24185" s="35">
        <v>80</v>
      </c>
      <c r="I24185" s="33" t="s">
        <v>51</v>
      </c>
      <c r="J24185" s="42">
        <v>45916</v>
      </c>
      <c r="K24185" s="33" t="s">
        <v>22</v>
      </c>
    </row>
    <row r="24186" spans="1:11">
      <c r="A24186" s="30" t="s">
        <v>53337</v>
      </c>
      <c r="B24186" s="30" t="s">
        <v>53338</v>
      </c>
      <c r="C24186" s="30" t="s">
        <v>310</v>
      </c>
      <c r="D24186" s="30" t="s">
        <v>17</v>
      </c>
      <c r="E24186" s="30" t="s">
        <v>26</v>
      </c>
      <c r="F24186" s="30" t="s">
        <v>27</v>
      </c>
      <c r="G24186" s="30" t="s">
        <v>20</v>
      </c>
      <c r="H24186" s="32">
        <v>36</v>
      </c>
      <c r="I24186" s="30" t="s">
        <v>21</v>
      </c>
      <c r="J24186" s="41">
        <v>46007</v>
      </c>
      <c r="K24186" s="30" t="s">
        <v>22</v>
      </c>
    </row>
    <row r="24187" spans="1:11">
      <c r="A24187" s="33" t="s">
        <v>53339</v>
      </c>
      <c r="B24187" s="33" t="s">
        <v>53340</v>
      </c>
      <c r="C24187" s="33" t="s">
        <v>14816</v>
      </c>
      <c r="D24187" s="33" t="s">
        <v>17</v>
      </c>
      <c r="E24187" s="33" t="s">
        <v>26</v>
      </c>
      <c r="F24187" s="33" t="s">
        <v>27</v>
      </c>
      <c r="G24187" s="33" t="s">
        <v>20</v>
      </c>
      <c r="H24187" s="35">
        <v>6</v>
      </c>
      <c r="I24187" s="33" t="s">
        <v>21</v>
      </c>
      <c r="J24187" s="42">
        <v>45715</v>
      </c>
      <c r="K24187" s="33" t="s">
        <v>22</v>
      </c>
    </row>
    <row r="24188" spans="1:11">
      <c r="A24188" s="30" t="s">
        <v>53341</v>
      </c>
      <c r="B24188" s="30" t="s">
        <v>53342</v>
      </c>
      <c r="C24188" s="30" t="s">
        <v>3775</v>
      </c>
      <c r="D24188" s="30" t="s">
        <v>17</v>
      </c>
      <c r="E24188" s="30" t="s">
        <v>26</v>
      </c>
      <c r="F24188" s="30" t="s">
        <v>27</v>
      </c>
      <c r="G24188" s="30" t="s">
        <v>20</v>
      </c>
      <c r="H24188" s="32">
        <v>58</v>
      </c>
      <c r="I24188" s="30" t="s">
        <v>21</v>
      </c>
      <c r="J24188" s="41">
        <v>45660</v>
      </c>
      <c r="K24188" s="30" t="s">
        <v>22</v>
      </c>
    </row>
    <row r="24189" spans="1:11">
      <c r="A24189" s="33" t="s">
        <v>53343</v>
      </c>
      <c r="B24189" s="33" t="s">
        <v>53344</v>
      </c>
      <c r="C24189" s="33" t="s">
        <v>14450</v>
      </c>
      <c r="D24189" s="33" t="s">
        <v>17</v>
      </c>
      <c r="E24189" s="33" t="s">
        <v>26</v>
      </c>
      <c r="F24189" s="33" t="s">
        <v>27</v>
      </c>
      <c r="G24189" s="33" t="s">
        <v>158</v>
      </c>
      <c r="H24189" s="35">
        <v>135</v>
      </c>
      <c r="I24189" s="33" t="s">
        <v>51</v>
      </c>
      <c r="J24189" s="42">
        <v>45777</v>
      </c>
      <c r="K24189" s="33" t="s">
        <v>22</v>
      </c>
    </row>
    <row r="24190" spans="1:11">
      <c r="A24190" s="30" t="s">
        <v>53345</v>
      </c>
      <c r="B24190" s="30" t="s">
        <v>53346</v>
      </c>
      <c r="C24190" s="30" t="s">
        <v>31529</v>
      </c>
      <c r="D24190" s="30" t="s">
        <v>17</v>
      </c>
      <c r="E24190" s="30" t="s">
        <v>67</v>
      </c>
      <c r="F24190" s="30" t="s">
        <v>68</v>
      </c>
      <c r="G24190" s="30" t="s">
        <v>140</v>
      </c>
      <c r="H24190" s="32">
        <v>220</v>
      </c>
      <c r="I24190" s="30" t="s">
        <v>51</v>
      </c>
      <c r="J24190" s="41">
        <v>45762</v>
      </c>
      <c r="K24190" s="30" t="s">
        <v>22</v>
      </c>
    </row>
    <row r="24191" spans="1:11">
      <c r="A24191" s="33" t="s">
        <v>53347</v>
      </c>
      <c r="B24191" s="33" t="s">
        <v>53348</v>
      </c>
      <c r="C24191" s="33" t="s">
        <v>1498</v>
      </c>
      <c r="D24191" s="33" t="s">
        <v>17</v>
      </c>
      <c r="E24191" s="33" t="s">
        <v>26</v>
      </c>
      <c r="F24191" s="33" t="s">
        <v>27</v>
      </c>
      <c r="G24191" s="33" t="s">
        <v>20</v>
      </c>
      <c r="H24191" s="35">
        <v>200</v>
      </c>
      <c r="I24191" s="33" t="s">
        <v>21</v>
      </c>
      <c r="J24191" s="42">
        <v>45742</v>
      </c>
      <c r="K24191" s="33" t="s">
        <v>22</v>
      </c>
    </row>
    <row r="24192" spans="1:11">
      <c r="A24192" s="30" t="s">
        <v>53349</v>
      </c>
      <c r="B24192" s="30" t="s">
        <v>53350</v>
      </c>
      <c r="C24192" s="30" t="s">
        <v>53351</v>
      </c>
      <c r="D24192" s="30" t="s">
        <v>17</v>
      </c>
      <c r="E24192" s="30" t="s">
        <v>18</v>
      </c>
      <c r="F24192" s="30" t="s">
        <v>19</v>
      </c>
      <c r="G24192" s="30" t="s">
        <v>69</v>
      </c>
      <c r="H24192" s="32">
        <v>142</v>
      </c>
      <c r="I24192" s="30" t="s">
        <v>51</v>
      </c>
      <c r="J24192" s="41">
        <v>45901</v>
      </c>
      <c r="K24192" s="30" t="s">
        <v>22</v>
      </c>
    </row>
    <row r="24193" spans="1:11">
      <c r="A24193" s="33" t="s">
        <v>53352</v>
      </c>
      <c r="B24193" s="33" t="s">
        <v>53353</v>
      </c>
      <c r="C24193" s="33" t="s">
        <v>1210</v>
      </c>
      <c r="D24193" s="33" t="s">
        <v>17</v>
      </c>
      <c r="E24193" s="33" t="s">
        <v>31</v>
      </c>
      <c r="F24193" s="33" t="s">
        <v>32</v>
      </c>
      <c r="G24193" s="33" t="s">
        <v>20</v>
      </c>
      <c r="H24193" s="35">
        <v>103</v>
      </c>
      <c r="I24193" s="33" t="s">
        <v>21</v>
      </c>
      <c r="J24193" s="42">
        <v>45673</v>
      </c>
      <c r="K24193" s="33" t="s">
        <v>22</v>
      </c>
    </row>
    <row r="24194" spans="1:11">
      <c r="A24194" s="30" t="s">
        <v>53354</v>
      </c>
      <c r="B24194" s="30" t="s">
        <v>53355</v>
      </c>
      <c r="C24194" s="30" t="s">
        <v>47225</v>
      </c>
      <c r="D24194" s="30" t="s">
        <v>17</v>
      </c>
      <c r="E24194" s="30" t="s">
        <v>18</v>
      </c>
      <c r="F24194" s="30" t="s">
        <v>19</v>
      </c>
      <c r="G24194" s="30" t="s">
        <v>20</v>
      </c>
      <c r="H24194" s="32">
        <v>142</v>
      </c>
      <c r="I24194" s="30" t="s">
        <v>21</v>
      </c>
      <c r="J24194" s="41">
        <v>45852</v>
      </c>
      <c r="K24194" s="30" t="s">
        <v>22</v>
      </c>
    </row>
    <row r="24195" spans="1:11">
      <c r="A24195" s="33" t="s">
        <v>53356</v>
      </c>
      <c r="B24195" s="33" t="s">
        <v>53357</v>
      </c>
      <c r="C24195" s="33" t="s">
        <v>252</v>
      </c>
      <c r="D24195" s="33" t="s">
        <v>17</v>
      </c>
      <c r="E24195" s="33" t="s">
        <v>67</v>
      </c>
      <c r="F24195" s="33" t="s">
        <v>68</v>
      </c>
      <c r="G24195" s="33" t="s">
        <v>140</v>
      </c>
      <c r="H24195" s="35">
        <v>135</v>
      </c>
      <c r="I24195" s="33" t="s">
        <v>51</v>
      </c>
      <c r="J24195" s="42">
        <v>45777</v>
      </c>
      <c r="K24195" s="33" t="s">
        <v>22</v>
      </c>
    </row>
    <row r="24196" spans="1:11">
      <c r="A24196" s="30" t="s">
        <v>53358</v>
      </c>
      <c r="B24196" s="30" t="s">
        <v>53359</v>
      </c>
      <c r="C24196" s="30" t="s">
        <v>2313</v>
      </c>
      <c r="D24196" s="30" t="s">
        <v>17</v>
      </c>
      <c r="E24196" s="30" t="s">
        <v>26</v>
      </c>
      <c r="F24196" s="30" t="s">
        <v>27</v>
      </c>
      <c r="G24196" s="30" t="s">
        <v>140</v>
      </c>
      <c r="H24196" s="32">
        <v>32</v>
      </c>
      <c r="I24196" s="30" t="s">
        <v>51</v>
      </c>
      <c r="J24196" s="41">
        <v>45890</v>
      </c>
      <c r="K24196" s="30" t="s">
        <v>22</v>
      </c>
    </row>
    <row r="24197" spans="1:11">
      <c r="A24197" s="33" t="s">
        <v>53360</v>
      </c>
      <c r="B24197" s="33" t="s">
        <v>53361</v>
      </c>
      <c r="C24197" s="33" t="s">
        <v>93</v>
      </c>
      <c r="D24197" s="33" t="s">
        <v>17</v>
      </c>
      <c r="E24197" s="33" t="s">
        <v>45</v>
      </c>
      <c r="F24197" s="33" t="s">
        <v>46</v>
      </c>
      <c r="G24197" s="33" t="s">
        <v>140</v>
      </c>
      <c r="H24197" s="35">
        <v>490</v>
      </c>
      <c r="I24197" s="33" t="s">
        <v>51</v>
      </c>
      <c r="J24197" s="42">
        <v>46001</v>
      </c>
      <c r="K24197" s="33" t="s">
        <v>22</v>
      </c>
    </row>
    <row r="24198" spans="1:11">
      <c r="A24198" s="30" t="s">
        <v>53362</v>
      </c>
      <c r="B24198" s="30" t="s">
        <v>53363</v>
      </c>
      <c r="C24198" s="30" t="s">
        <v>42467</v>
      </c>
      <c r="D24198" s="30" t="s">
        <v>17</v>
      </c>
      <c r="E24198" s="30" t="s">
        <v>26</v>
      </c>
      <c r="F24198" s="30" t="s">
        <v>27</v>
      </c>
      <c r="G24198" s="30" t="s">
        <v>158</v>
      </c>
      <c r="H24198" s="32">
        <v>252</v>
      </c>
      <c r="I24198" s="30" t="s">
        <v>51</v>
      </c>
      <c r="J24198" s="41">
        <v>45995</v>
      </c>
      <c r="K24198" s="30" t="s">
        <v>22</v>
      </c>
    </row>
    <row r="24199" spans="1:11">
      <c r="A24199" s="33" t="s">
        <v>53364</v>
      </c>
      <c r="B24199" s="33" t="s">
        <v>53365</v>
      </c>
      <c r="C24199" s="33" t="s">
        <v>2852</v>
      </c>
      <c r="D24199" s="33" t="s">
        <v>17</v>
      </c>
      <c r="E24199" s="33" t="s">
        <v>212</v>
      </c>
      <c r="F24199" s="33" t="s">
        <v>213</v>
      </c>
      <c r="G24199" s="33" t="s">
        <v>140</v>
      </c>
      <c r="H24199" s="35">
        <v>230</v>
      </c>
      <c r="I24199" s="33" t="s">
        <v>51</v>
      </c>
      <c r="J24199" s="42">
        <v>45925</v>
      </c>
      <c r="K24199" s="33" t="s">
        <v>22</v>
      </c>
    </row>
    <row r="24200" spans="1:11">
      <c r="A24200" s="30" t="s">
        <v>53366</v>
      </c>
      <c r="B24200" s="30" t="s">
        <v>53367</v>
      </c>
      <c r="C24200" s="30" t="s">
        <v>35994</v>
      </c>
      <c r="D24200" s="30" t="s">
        <v>17</v>
      </c>
      <c r="E24200" s="30" t="s">
        <v>18</v>
      </c>
      <c r="F24200" s="30" t="s">
        <v>19</v>
      </c>
      <c r="G24200" s="30" t="s">
        <v>140</v>
      </c>
      <c r="H24200" s="32">
        <v>266</v>
      </c>
      <c r="I24200" s="30" t="s">
        <v>51</v>
      </c>
      <c r="J24200" s="41">
        <v>45765</v>
      </c>
      <c r="K24200" s="30" t="s">
        <v>22</v>
      </c>
    </row>
    <row r="24201" spans="1:11">
      <c r="A24201" s="33" t="s">
        <v>53368</v>
      </c>
      <c r="B24201" s="33" t="s">
        <v>53369</v>
      </c>
      <c r="C24201" s="33" t="s">
        <v>49</v>
      </c>
      <c r="D24201" s="33" t="s">
        <v>17</v>
      </c>
      <c r="E24201" s="33" t="s">
        <v>18</v>
      </c>
      <c r="F24201" s="33" t="s">
        <v>19</v>
      </c>
      <c r="G24201" s="33" t="s">
        <v>140</v>
      </c>
      <c r="H24201" s="35">
        <v>144</v>
      </c>
      <c r="I24201" s="33" t="s">
        <v>51</v>
      </c>
      <c r="J24201" s="42">
        <v>45761</v>
      </c>
      <c r="K24201" s="33" t="s">
        <v>22</v>
      </c>
    </row>
    <row r="24202" spans="1:11">
      <c r="A24202" s="30" t="s">
        <v>53370</v>
      </c>
      <c r="B24202" s="30" t="s">
        <v>53371</v>
      </c>
      <c r="C24202" s="30" t="s">
        <v>19656</v>
      </c>
      <c r="D24202" s="30" t="s">
        <v>17</v>
      </c>
      <c r="E24202" s="30" t="s">
        <v>26</v>
      </c>
      <c r="F24202" s="30" t="s">
        <v>27</v>
      </c>
      <c r="G24202" s="30" t="s">
        <v>158</v>
      </c>
      <c r="H24202" s="32">
        <v>33</v>
      </c>
      <c r="I24202" s="30" t="s">
        <v>21</v>
      </c>
      <c r="J24202" s="41">
        <v>45719</v>
      </c>
      <c r="K24202" s="30" t="s">
        <v>22</v>
      </c>
    </row>
    <row r="24203" spans="1:11">
      <c r="A24203" s="33" t="s">
        <v>53372</v>
      </c>
      <c r="B24203" s="33" t="s">
        <v>53373</v>
      </c>
      <c r="C24203" s="33" t="s">
        <v>203</v>
      </c>
      <c r="D24203" s="33" t="s">
        <v>17</v>
      </c>
      <c r="E24203" s="33" t="s">
        <v>26</v>
      </c>
      <c r="F24203" s="33" t="s">
        <v>27</v>
      </c>
      <c r="G24203" s="33" t="s">
        <v>158</v>
      </c>
      <c r="H24203" s="35">
        <v>240</v>
      </c>
      <c r="I24203" s="33" t="s">
        <v>21</v>
      </c>
      <c r="J24203" s="42">
        <v>45978</v>
      </c>
      <c r="K24203" s="33" t="s">
        <v>22</v>
      </c>
    </row>
    <row r="24204" spans="1:11">
      <c r="A24204" s="30" t="s">
        <v>53374</v>
      </c>
      <c r="B24204" s="30" t="s">
        <v>53375</v>
      </c>
      <c r="C24204" s="30" t="s">
        <v>93</v>
      </c>
      <c r="D24204" s="30" t="s">
        <v>17</v>
      </c>
      <c r="E24204" s="30" t="s">
        <v>18</v>
      </c>
      <c r="F24204" s="30" t="s">
        <v>19</v>
      </c>
      <c r="G24204" s="30" t="s">
        <v>140</v>
      </c>
      <c r="H24204" s="32">
        <v>561</v>
      </c>
      <c r="I24204" s="30" t="s">
        <v>51</v>
      </c>
      <c r="J24204" s="41">
        <v>45966</v>
      </c>
      <c r="K24204" s="30" t="s">
        <v>22</v>
      </c>
    </row>
    <row r="24205" spans="1:11">
      <c r="A24205" s="33" t="s">
        <v>53376</v>
      </c>
      <c r="B24205" s="33" t="s">
        <v>53377</v>
      </c>
      <c r="C24205" s="33" t="s">
        <v>136</v>
      </c>
      <c r="D24205" s="33" t="s">
        <v>17</v>
      </c>
      <c r="E24205" s="33" t="s">
        <v>26</v>
      </c>
      <c r="F24205" s="33" t="s">
        <v>27</v>
      </c>
      <c r="G24205" s="33" t="s">
        <v>20</v>
      </c>
      <c r="H24205" s="35">
        <v>125</v>
      </c>
      <c r="I24205" s="33" t="s">
        <v>21</v>
      </c>
      <c r="J24205" s="42">
        <v>45741</v>
      </c>
      <c r="K24205" s="33" t="s">
        <v>22</v>
      </c>
    </row>
    <row r="24206" spans="1:11">
      <c r="A24206" s="30" t="s">
        <v>53378</v>
      </c>
      <c r="B24206" s="30" t="s">
        <v>53379</v>
      </c>
      <c r="C24206" s="30" t="s">
        <v>22597</v>
      </c>
      <c r="D24206" s="30" t="s">
        <v>17</v>
      </c>
      <c r="E24206" s="30" t="s">
        <v>26</v>
      </c>
      <c r="F24206" s="30" t="s">
        <v>27</v>
      </c>
      <c r="G24206" s="30" t="s">
        <v>20</v>
      </c>
      <c r="H24206" s="32">
        <v>32</v>
      </c>
      <c r="I24206" s="30" t="s">
        <v>21</v>
      </c>
      <c r="J24206" s="41">
        <v>45776</v>
      </c>
      <c r="K24206" s="30" t="s">
        <v>22</v>
      </c>
    </row>
    <row r="24207" spans="1:11">
      <c r="A24207" s="33" t="s">
        <v>53380</v>
      </c>
      <c r="B24207" s="33" t="s">
        <v>53381</v>
      </c>
      <c r="C24207" s="33" t="s">
        <v>34959</v>
      </c>
      <c r="D24207" s="33" t="s">
        <v>17</v>
      </c>
      <c r="E24207" s="33" t="s">
        <v>18</v>
      </c>
      <c r="F24207" s="33" t="s">
        <v>19</v>
      </c>
      <c r="G24207" s="33" t="s">
        <v>140</v>
      </c>
      <c r="H24207" s="35">
        <v>508</v>
      </c>
      <c r="I24207" s="33" t="s">
        <v>51</v>
      </c>
      <c r="J24207" s="42">
        <v>46015</v>
      </c>
      <c r="K24207" s="33" t="s">
        <v>22</v>
      </c>
    </row>
    <row r="24208" spans="1:11">
      <c r="A24208" s="30" t="s">
        <v>53382</v>
      </c>
      <c r="B24208" s="30" t="s">
        <v>53383</v>
      </c>
      <c r="C24208" s="30" t="s">
        <v>48460</v>
      </c>
      <c r="D24208" s="30" t="s">
        <v>17</v>
      </c>
      <c r="E24208" s="30" t="s">
        <v>26</v>
      </c>
      <c r="F24208" s="30" t="s">
        <v>27</v>
      </c>
      <c r="G24208" s="30" t="s">
        <v>140</v>
      </c>
      <c r="H24208" s="32">
        <v>48</v>
      </c>
      <c r="I24208" s="30" t="s">
        <v>51</v>
      </c>
      <c r="J24208" s="41">
        <v>45993</v>
      </c>
      <c r="K24208" s="30" t="s">
        <v>22</v>
      </c>
    </row>
    <row r="24209" spans="1:11">
      <c r="A24209" s="33" t="s">
        <v>53384</v>
      </c>
      <c r="B24209" s="33" t="s">
        <v>53385</v>
      </c>
      <c r="C24209" s="33" t="s">
        <v>11599</v>
      </c>
      <c r="D24209" s="33" t="s">
        <v>17</v>
      </c>
      <c r="E24209" s="33" t="s">
        <v>31</v>
      </c>
      <c r="F24209" s="33" t="s">
        <v>32</v>
      </c>
      <c r="G24209" s="33" t="s">
        <v>140</v>
      </c>
      <c r="H24209" s="35">
        <v>200</v>
      </c>
      <c r="I24209" s="33" t="s">
        <v>51</v>
      </c>
      <c r="J24209" s="42">
        <v>45679</v>
      </c>
      <c r="K24209" s="33" t="s">
        <v>22</v>
      </c>
    </row>
    <row r="24210" spans="1:11">
      <c r="A24210" s="30" t="s">
        <v>53386</v>
      </c>
      <c r="B24210" s="30" t="s">
        <v>53387</v>
      </c>
      <c r="C24210" s="30" t="s">
        <v>16196</v>
      </c>
      <c r="D24210" s="30" t="s">
        <v>17</v>
      </c>
      <c r="E24210" s="30" t="s">
        <v>31</v>
      </c>
      <c r="F24210" s="30" t="s">
        <v>32</v>
      </c>
      <c r="G24210" s="30" t="s">
        <v>140</v>
      </c>
      <c r="H24210" s="32">
        <v>100</v>
      </c>
      <c r="I24210" s="30" t="s">
        <v>51</v>
      </c>
      <c r="J24210" s="41">
        <v>45945</v>
      </c>
      <c r="K24210" s="30" t="s">
        <v>22</v>
      </c>
    </row>
    <row r="24211" spans="1:11">
      <c r="A24211" s="33" t="s">
        <v>53388</v>
      </c>
      <c r="B24211" s="33" t="s">
        <v>53389</v>
      </c>
      <c r="C24211" s="33" t="s">
        <v>1431</v>
      </c>
      <c r="D24211" s="33" t="s">
        <v>17</v>
      </c>
      <c r="E24211" s="33" t="s">
        <v>26</v>
      </c>
      <c r="F24211" s="33" t="s">
        <v>27</v>
      </c>
      <c r="G24211" s="33" t="s">
        <v>20</v>
      </c>
      <c r="H24211" s="35">
        <v>40</v>
      </c>
      <c r="I24211" s="33" t="s">
        <v>21</v>
      </c>
      <c r="J24211" s="42">
        <v>45775</v>
      </c>
      <c r="K24211" s="33" t="s">
        <v>22</v>
      </c>
    </row>
    <row r="24212" spans="1:11">
      <c r="A24212" s="30" t="s">
        <v>53390</v>
      </c>
      <c r="B24212" s="30" t="s">
        <v>53391</v>
      </c>
      <c r="C24212" s="30" t="s">
        <v>3892</v>
      </c>
      <c r="D24212" s="30" t="s">
        <v>17</v>
      </c>
      <c r="E24212" s="30" t="s">
        <v>26</v>
      </c>
      <c r="F24212" s="30" t="s">
        <v>27</v>
      </c>
      <c r="G24212" s="30" t="s">
        <v>20</v>
      </c>
      <c r="H24212" s="32">
        <v>6</v>
      </c>
      <c r="I24212" s="30" t="s">
        <v>21</v>
      </c>
      <c r="J24212" s="41">
        <v>45664</v>
      </c>
      <c r="K24212" s="30" t="s">
        <v>22</v>
      </c>
    </row>
    <row r="24213" spans="1:11">
      <c r="A24213" s="33" t="s">
        <v>53392</v>
      </c>
      <c r="B24213" s="33" t="s">
        <v>53393</v>
      </c>
      <c r="C24213" s="33" t="s">
        <v>53394</v>
      </c>
      <c r="D24213" s="33" t="s">
        <v>17</v>
      </c>
      <c r="E24213" s="33" t="s">
        <v>18</v>
      </c>
      <c r="F24213" s="33" t="s">
        <v>19</v>
      </c>
      <c r="G24213" s="33" t="s">
        <v>7780</v>
      </c>
      <c r="H24213" s="35">
        <v>144</v>
      </c>
      <c r="I24213" s="33" t="s">
        <v>51</v>
      </c>
      <c r="J24213" s="42">
        <v>45870</v>
      </c>
      <c r="K24213" s="33" t="s">
        <v>22</v>
      </c>
    </row>
    <row r="24214" spans="1:11">
      <c r="A24214" s="30" t="s">
        <v>53395</v>
      </c>
      <c r="B24214" s="30" t="s">
        <v>53396</v>
      </c>
      <c r="C24214" s="30" t="s">
        <v>3934</v>
      </c>
      <c r="D24214" s="30" t="s">
        <v>17</v>
      </c>
      <c r="E24214" s="30" t="s">
        <v>18</v>
      </c>
      <c r="F24214" s="30" t="s">
        <v>19</v>
      </c>
      <c r="G24214" s="30" t="s">
        <v>140</v>
      </c>
      <c r="H24214" s="32">
        <v>160</v>
      </c>
      <c r="I24214" s="30" t="s">
        <v>51</v>
      </c>
      <c r="J24214" s="41">
        <v>45847</v>
      </c>
      <c r="K24214" s="30" t="s">
        <v>22</v>
      </c>
    </row>
    <row r="24215" spans="1:11">
      <c r="A24215" s="33" t="s">
        <v>53397</v>
      </c>
      <c r="B24215" s="33" t="s">
        <v>53398</v>
      </c>
      <c r="C24215" s="33" t="s">
        <v>603</v>
      </c>
      <c r="D24215" s="33" t="s">
        <v>17</v>
      </c>
      <c r="E24215" s="33" t="s">
        <v>18</v>
      </c>
      <c r="F24215" s="33" t="s">
        <v>19</v>
      </c>
      <c r="G24215" s="33" t="s">
        <v>7780</v>
      </c>
      <c r="H24215" s="35">
        <v>126</v>
      </c>
      <c r="I24215" s="33" t="s">
        <v>51</v>
      </c>
      <c r="J24215" s="42">
        <v>45809</v>
      </c>
      <c r="K24215" s="33" t="s">
        <v>22</v>
      </c>
    </row>
    <row r="24216" spans="1:11">
      <c r="A24216" s="30" t="s">
        <v>53399</v>
      </c>
      <c r="B24216" s="30" t="s">
        <v>53400</v>
      </c>
      <c r="C24216" s="30" t="s">
        <v>41025</v>
      </c>
      <c r="D24216" s="30" t="s">
        <v>17</v>
      </c>
      <c r="E24216" s="30" t="s">
        <v>26</v>
      </c>
      <c r="F24216" s="30" t="s">
        <v>27</v>
      </c>
      <c r="G24216" s="30" t="s">
        <v>140</v>
      </c>
      <c r="H24216" s="32">
        <v>100</v>
      </c>
      <c r="I24216" s="30" t="s">
        <v>51</v>
      </c>
      <c r="J24216" s="41">
        <v>45951</v>
      </c>
      <c r="K24216" s="30" t="s">
        <v>22</v>
      </c>
    </row>
    <row r="24217" spans="1:11">
      <c r="A24217" s="33" t="s">
        <v>53401</v>
      </c>
      <c r="B24217" s="33" t="s">
        <v>53402</v>
      </c>
      <c r="C24217" s="33" t="s">
        <v>14323</v>
      </c>
      <c r="D24217" s="33" t="s">
        <v>17</v>
      </c>
      <c r="E24217" s="33" t="s">
        <v>31</v>
      </c>
      <c r="F24217" s="33" t="s">
        <v>32</v>
      </c>
      <c r="G24217" s="33" t="s">
        <v>140</v>
      </c>
      <c r="H24217" s="35">
        <v>81</v>
      </c>
      <c r="I24217" s="33" t="s">
        <v>51</v>
      </c>
      <c r="J24217" s="42">
        <v>45750</v>
      </c>
      <c r="K24217" s="33" t="s">
        <v>22</v>
      </c>
    </row>
    <row r="24218" spans="1:11">
      <c r="A24218" s="30" t="s">
        <v>53403</v>
      </c>
      <c r="B24218" s="30" t="s">
        <v>53404</v>
      </c>
      <c r="C24218" s="30" t="s">
        <v>2753</v>
      </c>
      <c r="D24218" s="30" t="s">
        <v>17</v>
      </c>
      <c r="E24218" s="30" t="s">
        <v>26</v>
      </c>
      <c r="F24218" s="30" t="s">
        <v>27</v>
      </c>
      <c r="G24218" s="30" t="s">
        <v>140</v>
      </c>
      <c r="H24218" s="32">
        <v>525</v>
      </c>
      <c r="I24218" s="30" t="s">
        <v>51</v>
      </c>
      <c r="J24218" s="41">
        <v>45667</v>
      </c>
      <c r="K24218" s="30" t="s">
        <v>22</v>
      </c>
    </row>
    <row r="24219" spans="1:11">
      <c r="A24219" s="33" t="s">
        <v>53405</v>
      </c>
      <c r="B24219" s="33" t="s">
        <v>53406</v>
      </c>
      <c r="C24219" s="33" t="s">
        <v>33282</v>
      </c>
      <c r="D24219" s="33" t="s">
        <v>17</v>
      </c>
      <c r="E24219" s="33" t="s">
        <v>31</v>
      </c>
      <c r="F24219" s="33" t="s">
        <v>32</v>
      </c>
      <c r="G24219" s="33" t="s">
        <v>20</v>
      </c>
      <c r="H24219" s="35">
        <v>60</v>
      </c>
      <c r="I24219" s="33" t="s">
        <v>21</v>
      </c>
      <c r="J24219" s="42">
        <v>45730</v>
      </c>
      <c r="K24219" s="33" t="s">
        <v>22</v>
      </c>
    </row>
    <row r="24220" spans="1:11">
      <c r="A24220" s="30" t="s">
        <v>53407</v>
      </c>
      <c r="B24220" s="30" t="s">
        <v>53408</v>
      </c>
      <c r="C24220" s="30" t="s">
        <v>136</v>
      </c>
      <c r="D24220" s="30" t="s">
        <v>17</v>
      </c>
      <c r="E24220" s="30" t="s">
        <v>18</v>
      </c>
      <c r="F24220" s="30" t="s">
        <v>19</v>
      </c>
      <c r="G24220" s="30" t="s">
        <v>158</v>
      </c>
      <c r="H24220" s="32">
        <v>600</v>
      </c>
      <c r="I24220" s="30" t="s">
        <v>51</v>
      </c>
      <c r="J24220" s="41">
        <v>45792</v>
      </c>
      <c r="K24220" s="30" t="s">
        <v>22</v>
      </c>
    </row>
    <row r="24221" spans="1:11">
      <c r="A24221" s="33" t="s">
        <v>53409</v>
      </c>
      <c r="B24221" s="33" t="s">
        <v>53410</v>
      </c>
      <c r="C24221" s="33" t="s">
        <v>4462</v>
      </c>
      <c r="D24221" s="33" t="s">
        <v>17</v>
      </c>
      <c r="E24221" s="33" t="s">
        <v>31</v>
      </c>
      <c r="F24221" s="33" t="s">
        <v>32</v>
      </c>
      <c r="G24221" s="33" t="s">
        <v>20</v>
      </c>
      <c r="H24221" s="35">
        <v>416</v>
      </c>
      <c r="I24221" s="33" t="s">
        <v>21</v>
      </c>
      <c r="J24221" s="42">
        <v>45686</v>
      </c>
      <c r="K24221" s="33" t="s">
        <v>22</v>
      </c>
    </row>
    <row r="24222" spans="1:11">
      <c r="A24222" s="30" t="s">
        <v>53411</v>
      </c>
      <c r="B24222" s="30" t="s">
        <v>53412</v>
      </c>
      <c r="C24222" s="30" t="s">
        <v>231</v>
      </c>
      <c r="D24222" s="30" t="s">
        <v>17</v>
      </c>
      <c r="E24222" s="30" t="s">
        <v>31</v>
      </c>
      <c r="F24222" s="30" t="s">
        <v>32</v>
      </c>
      <c r="G24222" s="30" t="s">
        <v>140</v>
      </c>
      <c r="H24222" s="32">
        <v>71</v>
      </c>
      <c r="I24222" s="30" t="s">
        <v>51</v>
      </c>
      <c r="J24222" s="41">
        <v>45974</v>
      </c>
      <c r="K24222" s="30" t="s">
        <v>22</v>
      </c>
    </row>
    <row r="24223" spans="1:11">
      <c r="A24223" s="33" t="s">
        <v>53413</v>
      </c>
      <c r="B24223" s="33" t="s">
        <v>53414</v>
      </c>
      <c r="C24223" s="33" t="s">
        <v>30622</v>
      </c>
      <c r="D24223" s="33" t="s">
        <v>17</v>
      </c>
      <c r="E24223" s="33" t="s">
        <v>330</v>
      </c>
      <c r="F24223" s="33" t="s">
        <v>331</v>
      </c>
      <c r="G24223" s="33" t="s">
        <v>140</v>
      </c>
      <c r="H24223" s="35">
        <v>15</v>
      </c>
      <c r="I24223" s="33" t="s">
        <v>51</v>
      </c>
      <c r="J24223" s="42">
        <v>45945</v>
      </c>
      <c r="K24223" s="33" t="s">
        <v>22</v>
      </c>
    </row>
    <row r="24224" spans="1:11">
      <c r="A24224" s="30" t="s">
        <v>53415</v>
      </c>
      <c r="B24224" s="30" t="s">
        <v>53416</v>
      </c>
      <c r="C24224" s="30" t="s">
        <v>53417</v>
      </c>
      <c r="D24224" s="30" t="s">
        <v>17</v>
      </c>
      <c r="E24224" s="30" t="s">
        <v>26</v>
      </c>
      <c r="F24224" s="30" t="s">
        <v>27</v>
      </c>
      <c r="G24224" s="30" t="s">
        <v>158</v>
      </c>
      <c r="H24224" s="32">
        <v>10</v>
      </c>
      <c r="I24224" s="30" t="s">
        <v>51</v>
      </c>
      <c r="J24224" s="41">
        <v>45809</v>
      </c>
      <c r="K24224" s="30" t="s">
        <v>22</v>
      </c>
    </row>
    <row r="24225" spans="1:11">
      <c r="A24225" s="33" t="s">
        <v>53418</v>
      </c>
      <c r="B24225" s="33" t="s">
        <v>53419</v>
      </c>
      <c r="C24225" s="33" t="s">
        <v>2753</v>
      </c>
      <c r="D24225" s="33" t="s">
        <v>17</v>
      </c>
      <c r="E24225" s="33" t="s">
        <v>18</v>
      </c>
      <c r="F24225" s="33" t="s">
        <v>19</v>
      </c>
      <c r="G24225" s="33" t="s">
        <v>140</v>
      </c>
      <c r="H24225" s="35">
        <v>300</v>
      </c>
      <c r="I24225" s="33" t="s">
        <v>51</v>
      </c>
      <c r="J24225" s="42">
        <v>45721</v>
      </c>
      <c r="K24225" s="33" t="s">
        <v>22</v>
      </c>
    </row>
    <row r="24226" spans="1:11">
      <c r="A24226" s="30" t="s">
        <v>53420</v>
      </c>
      <c r="B24226" s="30" t="s">
        <v>53421</v>
      </c>
      <c r="C24226" s="30" t="s">
        <v>130</v>
      </c>
      <c r="D24226" s="30" t="s">
        <v>17</v>
      </c>
      <c r="E24226" s="30" t="s">
        <v>26</v>
      </c>
      <c r="F24226" s="30" t="s">
        <v>27</v>
      </c>
      <c r="G24226" s="30" t="s">
        <v>20</v>
      </c>
      <c r="H24226" s="32">
        <v>71</v>
      </c>
      <c r="I24226" s="30" t="s">
        <v>21</v>
      </c>
      <c r="J24226" s="41">
        <v>45701</v>
      </c>
      <c r="K24226" s="30" t="s">
        <v>22</v>
      </c>
    </row>
    <row r="24227" spans="1:11">
      <c r="A24227" s="33" t="s">
        <v>53422</v>
      </c>
      <c r="B24227" s="33" t="s">
        <v>53423</v>
      </c>
      <c r="C24227" s="33" t="s">
        <v>53424</v>
      </c>
      <c r="D24227" s="33" t="s">
        <v>17</v>
      </c>
      <c r="E24227" s="33" t="s">
        <v>67</v>
      </c>
      <c r="F24227" s="33" t="s">
        <v>68</v>
      </c>
      <c r="G24227" s="33" t="s">
        <v>140</v>
      </c>
      <c r="H24227" s="35">
        <v>90</v>
      </c>
      <c r="I24227" s="33" t="s">
        <v>51</v>
      </c>
      <c r="J24227" s="42">
        <v>45894</v>
      </c>
      <c r="K24227" s="33" t="s">
        <v>22</v>
      </c>
    </row>
    <row r="24228" spans="1:11">
      <c r="A24228" s="30" t="s">
        <v>53425</v>
      </c>
      <c r="B24228" s="30" t="s">
        <v>53426</v>
      </c>
      <c r="C24228" s="30" t="s">
        <v>149</v>
      </c>
      <c r="D24228" s="30" t="s">
        <v>17</v>
      </c>
      <c r="E24228" s="30" t="s">
        <v>31</v>
      </c>
      <c r="F24228" s="30" t="s">
        <v>32</v>
      </c>
      <c r="G24228" s="30" t="s">
        <v>20</v>
      </c>
      <c r="H24228" s="32">
        <v>275</v>
      </c>
      <c r="I24228" s="30" t="s">
        <v>21</v>
      </c>
      <c r="J24228" s="41">
        <v>45665</v>
      </c>
      <c r="K24228" s="30" t="s">
        <v>22</v>
      </c>
    </row>
    <row r="24229" spans="1:11">
      <c r="A24229" s="33" t="s">
        <v>53427</v>
      </c>
      <c r="B24229" s="33" t="s">
        <v>53428</v>
      </c>
      <c r="C24229" s="33" t="s">
        <v>47765</v>
      </c>
      <c r="D24229" s="33" t="s">
        <v>17</v>
      </c>
      <c r="E24229" s="33" t="s">
        <v>31</v>
      </c>
      <c r="F24229" s="33" t="s">
        <v>32</v>
      </c>
      <c r="G24229" s="33" t="s">
        <v>140</v>
      </c>
      <c r="H24229" s="35">
        <v>225</v>
      </c>
      <c r="I24229" s="33" t="s">
        <v>51</v>
      </c>
      <c r="J24229" s="42">
        <v>45853</v>
      </c>
      <c r="K24229" s="33" t="s">
        <v>22</v>
      </c>
    </row>
    <row r="24230" spans="1:11">
      <c r="A24230" s="30" t="s">
        <v>53429</v>
      </c>
      <c r="B24230" s="30" t="s">
        <v>53430</v>
      </c>
      <c r="C24230" s="30" t="s">
        <v>5251</v>
      </c>
      <c r="D24230" s="30" t="s">
        <v>17</v>
      </c>
      <c r="E24230" s="30" t="s">
        <v>18</v>
      </c>
      <c r="F24230" s="30" t="s">
        <v>19</v>
      </c>
      <c r="G24230" s="30" t="s">
        <v>140</v>
      </c>
      <c r="H24230" s="32">
        <v>594</v>
      </c>
      <c r="I24230" s="30" t="s">
        <v>51</v>
      </c>
      <c r="J24230" s="41">
        <v>45854</v>
      </c>
      <c r="K24230" s="30" t="s">
        <v>22</v>
      </c>
    </row>
    <row r="24231" spans="1:11">
      <c r="A24231" s="33" t="s">
        <v>53431</v>
      </c>
      <c r="B24231" s="33" t="s">
        <v>53432</v>
      </c>
      <c r="C24231" s="33" t="s">
        <v>5636</v>
      </c>
      <c r="D24231" s="33" t="s">
        <v>17</v>
      </c>
      <c r="E24231" s="33" t="s">
        <v>26</v>
      </c>
      <c r="F24231" s="33" t="s">
        <v>27</v>
      </c>
      <c r="G24231" s="33" t="s">
        <v>140</v>
      </c>
      <c r="H24231" s="35">
        <v>48</v>
      </c>
      <c r="I24231" s="33" t="s">
        <v>51</v>
      </c>
      <c r="J24231" s="42">
        <v>45976</v>
      </c>
      <c r="K24231" s="33" t="s">
        <v>22</v>
      </c>
    </row>
    <row r="24232" spans="1:11">
      <c r="A24232" s="30" t="s">
        <v>53433</v>
      </c>
      <c r="B24232" s="30" t="s">
        <v>53434</v>
      </c>
      <c r="C24232" s="30" t="s">
        <v>149</v>
      </c>
      <c r="D24232" s="30" t="s">
        <v>17</v>
      </c>
      <c r="E24232" s="30" t="s">
        <v>26</v>
      </c>
      <c r="F24232" s="30" t="s">
        <v>27</v>
      </c>
      <c r="G24232" s="30" t="s">
        <v>20</v>
      </c>
      <c r="H24232" s="32">
        <v>16</v>
      </c>
      <c r="I24232" s="30" t="s">
        <v>21</v>
      </c>
      <c r="J24232" s="41">
        <v>45828</v>
      </c>
      <c r="K24232" s="30" t="s">
        <v>22</v>
      </c>
    </row>
    <row r="24233" spans="1:11">
      <c r="A24233" s="33" t="s">
        <v>53435</v>
      </c>
      <c r="B24233" s="33" t="s">
        <v>53436</v>
      </c>
      <c r="C24233" s="33" t="s">
        <v>1151</v>
      </c>
      <c r="D24233" s="33" t="s">
        <v>17</v>
      </c>
      <c r="E24233" s="33" t="s">
        <v>18</v>
      </c>
      <c r="F24233" s="33" t="s">
        <v>19</v>
      </c>
      <c r="G24233" s="33" t="s">
        <v>140</v>
      </c>
      <c r="H24233" s="35">
        <v>288</v>
      </c>
      <c r="I24233" s="33" t="s">
        <v>51</v>
      </c>
      <c r="J24233" s="42">
        <v>45771</v>
      </c>
      <c r="K24233" s="33" t="s">
        <v>22</v>
      </c>
    </row>
    <row r="24234" spans="1:11">
      <c r="A24234" s="30" t="s">
        <v>53437</v>
      </c>
      <c r="B24234" s="30" t="s">
        <v>53438</v>
      </c>
      <c r="C24234" s="30" t="s">
        <v>53439</v>
      </c>
      <c r="D24234" s="30" t="s">
        <v>17</v>
      </c>
      <c r="E24234" s="30" t="s">
        <v>18</v>
      </c>
      <c r="F24234" s="30" t="s">
        <v>19</v>
      </c>
      <c r="G24234" s="30" t="s">
        <v>2613</v>
      </c>
      <c r="H24234" s="32">
        <v>260</v>
      </c>
      <c r="I24234" s="30" t="s">
        <v>51</v>
      </c>
      <c r="J24234" s="41">
        <v>45665</v>
      </c>
      <c r="K24234" s="30" t="s">
        <v>22</v>
      </c>
    </row>
    <row r="24235" spans="1:11">
      <c r="A24235" s="33" t="s">
        <v>53440</v>
      </c>
      <c r="B24235" s="33" t="s">
        <v>53441</v>
      </c>
      <c r="C24235" s="33" t="s">
        <v>2772</v>
      </c>
      <c r="D24235" s="33" t="s">
        <v>17</v>
      </c>
      <c r="E24235" s="33" t="s">
        <v>31</v>
      </c>
      <c r="F24235" s="33" t="s">
        <v>32</v>
      </c>
      <c r="G24235" s="33" t="s">
        <v>140</v>
      </c>
      <c r="H24235" s="35">
        <v>198</v>
      </c>
      <c r="I24235" s="33" t="s">
        <v>51</v>
      </c>
      <c r="J24235" s="42">
        <v>45883</v>
      </c>
      <c r="K24235" s="33" t="s">
        <v>22</v>
      </c>
    </row>
    <row r="24236" spans="1:11">
      <c r="A24236" s="30" t="s">
        <v>53442</v>
      </c>
      <c r="B24236" s="30" t="s">
        <v>53443</v>
      </c>
      <c r="C24236" s="30" t="s">
        <v>2660</v>
      </c>
      <c r="D24236" s="30" t="s">
        <v>17</v>
      </c>
      <c r="E24236" s="30" t="s">
        <v>26</v>
      </c>
      <c r="F24236" s="30" t="s">
        <v>27</v>
      </c>
      <c r="G24236" s="30" t="s">
        <v>140</v>
      </c>
      <c r="H24236" s="32">
        <v>96</v>
      </c>
      <c r="I24236" s="30" t="s">
        <v>51</v>
      </c>
      <c r="J24236" s="41">
        <v>45664</v>
      </c>
      <c r="K24236" s="30" t="s">
        <v>22</v>
      </c>
    </row>
    <row r="24237" spans="1:11">
      <c r="A24237" s="33" t="s">
        <v>53444</v>
      </c>
      <c r="B24237" s="33" t="s">
        <v>53445</v>
      </c>
      <c r="C24237" s="33" t="s">
        <v>17636</v>
      </c>
      <c r="D24237" s="33" t="s">
        <v>17</v>
      </c>
      <c r="E24237" s="33" t="s">
        <v>31</v>
      </c>
      <c r="F24237" s="33" t="s">
        <v>32</v>
      </c>
      <c r="G24237" s="33" t="s">
        <v>140</v>
      </c>
      <c r="H24237" s="35">
        <v>60</v>
      </c>
      <c r="I24237" s="33" t="s">
        <v>51</v>
      </c>
      <c r="J24237" s="42">
        <v>45919</v>
      </c>
      <c r="K24237" s="33" t="s">
        <v>22</v>
      </c>
    </row>
    <row r="24238" spans="1:11">
      <c r="A24238" s="30" t="s">
        <v>53446</v>
      </c>
      <c r="B24238" s="30" t="s">
        <v>53447</v>
      </c>
      <c r="C24238" s="30" t="s">
        <v>190</v>
      </c>
      <c r="D24238" s="30" t="s">
        <v>17</v>
      </c>
      <c r="E24238" s="30" t="s">
        <v>18</v>
      </c>
      <c r="F24238" s="30" t="s">
        <v>19</v>
      </c>
      <c r="G24238" s="30" t="s">
        <v>140</v>
      </c>
      <c r="H24238" s="32">
        <v>1100</v>
      </c>
      <c r="I24238" s="30" t="s">
        <v>51</v>
      </c>
      <c r="J24238" s="41">
        <v>45995</v>
      </c>
      <c r="K24238" s="30" t="s">
        <v>22</v>
      </c>
    </row>
    <row r="24239" spans="1:11">
      <c r="A24239" s="33" t="s">
        <v>53448</v>
      </c>
      <c r="B24239" s="33" t="s">
        <v>53449</v>
      </c>
      <c r="C24239" s="33" t="s">
        <v>326</v>
      </c>
      <c r="D24239" s="33" t="s">
        <v>17</v>
      </c>
      <c r="E24239" s="33" t="s">
        <v>31</v>
      </c>
      <c r="F24239" s="33" t="s">
        <v>32</v>
      </c>
      <c r="G24239" s="33" t="s">
        <v>140</v>
      </c>
      <c r="H24239" s="35">
        <v>20</v>
      </c>
      <c r="I24239" s="33" t="s">
        <v>51</v>
      </c>
      <c r="J24239" s="42">
        <v>45972</v>
      </c>
      <c r="K24239" s="33" t="s">
        <v>22</v>
      </c>
    </row>
    <row r="24240" spans="1:11">
      <c r="A24240" s="30" t="s">
        <v>53450</v>
      </c>
      <c r="B24240" s="30" t="s">
        <v>53451</v>
      </c>
      <c r="C24240" s="30" t="s">
        <v>11899</v>
      </c>
      <c r="D24240" s="30" t="s">
        <v>17</v>
      </c>
      <c r="E24240" s="30" t="s">
        <v>45</v>
      </c>
      <c r="F24240" s="30" t="s">
        <v>46</v>
      </c>
      <c r="G24240" s="30" t="s">
        <v>140</v>
      </c>
      <c r="H24240" s="32">
        <v>840</v>
      </c>
      <c r="I24240" s="30" t="s">
        <v>51</v>
      </c>
      <c r="J24240" s="41">
        <v>45772</v>
      </c>
      <c r="K24240" s="30" t="s">
        <v>22</v>
      </c>
    </row>
    <row r="24241" spans="1:11">
      <c r="A24241" s="33" t="s">
        <v>53452</v>
      </c>
      <c r="B24241" s="33" t="s">
        <v>53453</v>
      </c>
      <c r="C24241" s="33" t="s">
        <v>1080</v>
      </c>
      <c r="D24241" s="33" t="s">
        <v>17</v>
      </c>
      <c r="E24241" s="33" t="s">
        <v>26</v>
      </c>
      <c r="F24241" s="33" t="s">
        <v>27</v>
      </c>
      <c r="G24241" s="33" t="s">
        <v>7780</v>
      </c>
      <c r="H24241" s="35">
        <v>48</v>
      </c>
      <c r="I24241" s="33" t="s">
        <v>51</v>
      </c>
      <c r="J24241" s="42">
        <v>45960</v>
      </c>
      <c r="K24241" s="33" t="s">
        <v>22</v>
      </c>
    </row>
    <row r="24242" spans="1:11">
      <c r="A24242" s="30" t="s">
        <v>53454</v>
      </c>
      <c r="B24242" s="30" t="s">
        <v>53455</v>
      </c>
      <c r="C24242" s="30" t="s">
        <v>42561</v>
      </c>
      <c r="D24242" s="30" t="s">
        <v>17</v>
      </c>
      <c r="E24242" s="30" t="s">
        <v>18</v>
      </c>
      <c r="F24242" s="30" t="s">
        <v>19</v>
      </c>
      <c r="G24242" s="30" t="s">
        <v>158</v>
      </c>
      <c r="H24242" s="32">
        <v>1100</v>
      </c>
      <c r="I24242" s="30" t="s">
        <v>51</v>
      </c>
      <c r="J24242" s="41">
        <v>45701</v>
      </c>
      <c r="K24242" s="30" t="s">
        <v>22</v>
      </c>
    </row>
    <row r="24243" spans="1:11">
      <c r="A24243" s="33" t="s">
        <v>53456</v>
      </c>
      <c r="B24243" s="33" t="s">
        <v>53457</v>
      </c>
      <c r="C24243" s="33" t="s">
        <v>57</v>
      </c>
      <c r="D24243" s="33" t="s">
        <v>17</v>
      </c>
      <c r="E24243" s="33" t="s">
        <v>18</v>
      </c>
      <c r="F24243" s="33" t="s">
        <v>19</v>
      </c>
      <c r="G24243" s="33" t="s">
        <v>20</v>
      </c>
      <c r="H24243" s="35">
        <v>192</v>
      </c>
      <c r="I24243" s="33" t="s">
        <v>21</v>
      </c>
      <c r="J24243" s="42">
        <v>45677</v>
      </c>
      <c r="K24243" s="33" t="s">
        <v>22</v>
      </c>
    </row>
    <row r="24244" spans="1:11">
      <c r="A24244" s="30" t="s">
        <v>53458</v>
      </c>
      <c r="B24244" s="30" t="s">
        <v>53459</v>
      </c>
      <c r="C24244" s="30" t="s">
        <v>34959</v>
      </c>
      <c r="D24244" s="30" t="s">
        <v>17</v>
      </c>
      <c r="E24244" s="30" t="s">
        <v>31</v>
      </c>
      <c r="F24244" s="30" t="s">
        <v>32</v>
      </c>
      <c r="G24244" s="30" t="s">
        <v>2613</v>
      </c>
      <c r="H24244" s="32">
        <v>184</v>
      </c>
      <c r="I24244" s="30" t="s">
        <v>51</v>
      </c>
      <c r="J24244" s="41">
        <v>45756</v>
      </c>
      <c r="K24244" s="30" t="s">
        <v>22</v>
      </c>
    </row>
    <row r="24245" spans="1:11">
      <c r="A24245" s="33" t="s">
        <v>53460</v>
      </c>
      <c r="B24245" s="33" t="s">
        <v>53461</v>
      </c>
      <c r="C24245" s="33" t="s">
        <v>5372</v>
      </c>
      <c r="D24245" s="33" t="s">
        <v>17</v>
      </c>
      <c r="E24245" s="33" t="s">
        <v>26</v>
      </c>
      <c r="F24245" s="33" t="s">
        <v>27</v>
      </c>
      <c r="G24245" s="33" t="s">
        <v>140</v>
      </c>
      <c r="H24245" s="35">
        <v>450</v>
      </c>
      <c r="I24245" s="33" t="s">
        <v>51</v>
      </c>
      <c r="J24245" s="42">
        <v>45860</v>
      </c>
      <c r="K24245" s="33" t="s">
        <v>22</v>
      </c>
    </row>
    <row r="24246" spans="1:11">
      <c r="A24246" s="30" t="s">
        <v>53462</v>
      </c>
      <c r="B24246" s="30" t="s">
        <v>53463</v>
      </c>
      <c r="C24246" s="30" t="s">
        <v>99</v>
      </c>
      <c r="D24246" s="30" t="s">
        <v>17</v>
      </c>
      <c r="E24246" s="30" t="s">
        <v>212</v>
      </c>
      <c r="F24246" s="30" t="s">
        <v>213</v>
      </c>
      <c r="G24246" s="30" t="s">
        <v>140</v>
      </c>
      <c r="H24246" s="32">
        <v>54</v>
      </c>
      <c r="I24246" s="30" t="s">
        <v>51</v>
      </c>
      <c r="J24246" s="41">
        <v>45906</v>
      </c>
      <c r="K24246" s="30" t="s">
        <v>22</v>
      </c>
    </row>
    <row r="24247" spans="1:11">
      <c r="A24247" s="33" t="s">
        <v>53464</v>
      </c>
      <c r="B24247" s="33" t="s">
        <v>53465</v>
      </c>
      <c r="C24247" s="33" t="s">
        <v>4348</v>
      </c>
      <c r="D24247" s="33" t="s">
        <v>17</v>
      </c>
      <c r="E24247" s="33" t="s">
        <v>26</v>
      </c>
      <c r="F24247" s="33" t="s">
        <v>27</v>
      </c>
      <c r="G24247" s="33" t="s">
        <v>140</v>
      </c>
      <c r="H24247" s="35">
        <v>22</v>
      </c>
      <c r="I24247" s="33" t="s">
        <v>51</v>
      </c>
      <c r="J24247" s="42">
        <v>45975</v>
      </c>
      <c r="K24247" s="33" t="s">
        <v>22</v>
      </c>
    </row>
    <row r="24248" spans="1:11">
      <c r="A24248" s="30" t="s">
        <v>53466</v>
      </c>
      <c r="B24248" s="30" t="s">
        <v>53467</v>
      </c>
      <c r="C24248" s="30" t="s">
        <v>53468</v>
      </c>
      <c r="D24248" s="30" t="s">
        <v>17</v>
      </c>
      <c r="E24248" s="30" t="s">
        <v>26</v>
      </c>
      <c r="F24248" s="30" t="s">
        <v>27</v>
      </c>
      <c r="G24248" s="30" t="s">
        <v>20</v>
      </c>
      <c r="H24248" s="32">
        <v>32</v>
      </c>
      <c r="I24248" s="30" t="s">
        <v>21</v>
      </c>
      <c r="J24248" s="41">
        <v>45873</v>
      </c>
      <c r="K24248" s="30" t="s">
        <v>22</v>
      </c>
    </row>
    <row r="24249" spans="1:11">
      <c r="A24249" s="33" t="s">
        <v>53469</v>
      </c>
      <c r="B24249" s="33" t="s">
        <v>53470</v>
      </c>
      <c r="C24249" s="33" t="s">
        <v>2490</v>
      </c>
      <c r="D24249" s="33" t="s">
        <v>17</v>
      </c>
      <c r="E24249" s="33" t="s">
        <v>26</v>
      </c>
      <c r="F24249" s="33" t="s">
        <v>27</v>
      </c>
      <c r="G24249" s="33" t="s">
        <v>7780</v>
      </c>
      <c r="H24249" s="35">
        <v>26</v>
      </c>
      <c r="I24249" s="33" t="s">
        <v>51</v>
      </c>
      <c r="J24249" s="42">
        <v>45689</v>
      </c>
      <c r="K24249" s="33" t="s">
        <v>22</v>
      </c>
    </row>
    <row r="24250" spans="1:11">
      <c r="A24250" s="30" t="s">
        <v>53471</v>
      </c>
      <c r="B24250" s="30" t="s">
        <v>53472</v>
      </c>
      <c r="C24250" s="30" t="s">
        <v>53473</v>
      </c>
      <c r="D24250" s="30" t="s">
        <v>17</v>
      </c>
      <c r="E24250" s="30" t="s">
        <v>26</v>
      </c>
      <c r="F24250" s="30" t="s">
        <v>27</v>
      </c>
      <c r="G24250" s="30" t="s">
        <v>140</v>
      </c>
      <c r="H24250" s="32">
        <v>18</v>
      </c>
      <c r="I24250" s="30" t="s">
        <v>51</v>
      </c>
      <c r="J24250" s="41">
        <v>45958</v>
      </c>
      <c r="K24250" s="30" t="s">
        <v>22</v>
      </c>
    </row>
    <row r="24251" spans="1:11">
      <c r="A24251" s="33" t="s">
        <v>53474</v>
      </c>
      <c r="B24251" s="33" t="s">
        <v>53475</v>
      </c>
      <c r="C24251" s="33" t="s">
        <v>2562</v>
      </c>
      <c r="D24251" s="33" t="s">
        <v>17</v>
      </c>
      <c r="E24251" s="33" t="s">
        <v>18</v>
      </c>
      <c r="F24251" s="33" t="s">
        <v>19</v>
      </c>
      <c r="G24251" s="33" t="s">
        <v>7780</v>
      </c>
      <c r="H24251" s="35">
        <v>280</v>
      </c>
      <c r="I24251" s="33" t="s">
        <v>51</v>
      </c>
      <c r="J24251" s="42">
        <v>45901</v>
      </c>
      <c r="K24251" s="33" t="s">
        <v>22</v>
      </c>
    </row>
    <row r="24252" spans="1:11">
      <c r="A24252" s="30" t="s">
        <v>53476</v>
      </c>
      <c r="B24252" s="30" t="s">
        <v>53477</v>
      </c>
      <c r="C24252" s="30" t="s">
        <v>23090</v>
      </c>
      <c r="D24252" s="30" t="s">
        <v>17</v>
      </c>
      <c r="E24252" s="30" t="s">
        <v>26</v>
      </c>
      <c r="F24252" s="30" t="s">
        <v>27</v>
      </c>
      <c r="G24252" s="30" t="s">
        <v>7780</v>
      </c>
      <c r="H24252" s="32">
        <v>80</v>
      </c>
      <c r="I24252" s="30" t="s">
        <v>51</v>
      </c>
      <c r="J24252" s="41">
        <v>45839</v>
      </c>
      <c r="K24252" s="30" t="s">
        <v>22</v>
      </c>
    </row>
    <row r="24253" spans="1:11">
      <c r="A24253" s="33" t="s">
        <v>53478</v>
      </c>
      <c r="B24253" s="33" t="s">
        <v>53479</v>
      </c>
      <c r="C24253" s="33" t="s">
        <v>93</v>
      </c>
      <c r="D24253" s="33" t="s">
        <v>17</v>
      </c>
      <c r="E24253" s="33" t="s">
        <v>26</v>
      </c>
      <c r="F24253" s="33" t="s">
        <v>27</v>
      </c>
      <c r="G24253" s="33" t="s">
        <v>140</v>
      </c>
      <c r="H24253" s="35">
        <v>220</v>
      </c>
      <c r="I24253" s="33" t="s">
        <v>51</v>
      </c>
      <c r="J24253" s="42">
        <v>45981</v>
      </c>
      <c r="K24253" s="33" t="s">
        <v>22</v>
      </c>
    </row>
    <row r="24254" spans="1:11">
      <c r="A24254" s="30" t="s">
        <v>53480</v>
      </c>
      <c r="B24254" s="30" t="s">
        <v>53481</v>
      </c>
      <c r="C24254" s="30" t="s">
        <v>822</v>
      </c>
      <c r="D24254" s="30" t="s">
        <v>17</v>
      </c>
      <c r="E24254" s="30" t="s">
        <v>18</v>
      </c>
      <c r="F24254" s="30" t="s">
        <v>19</v>
      </c>
      <c r="G24254" s="30" t="s">
        <v>140</v>
      </c>
      <c r="H24254" s="32">
        <v>360</v>
      </c>
      <c r="I24254" s="30" t="s">
        <v>51</v>
      </c>
      <c r="J24254" s="41">
        <v>45750</v>
      </c>
      <c r="K24254" s="30" t="s">
        <v>22</v>
      </c>
    </row>
    <row r="24255" spans="1:11">
      <c r="A24255" s="33" t="s">
        <v>53482</v>
      </c>
      <c r="B24255" s="33" t="s">
        <v>53483</v>
      </c>
      <c r="C24255" s="33" t="s">
        <v>29838</v>
      </c>
      <c r="D24255" s="33" t="s">
        <v>17</v>
      </c>
      <c r="E24255" s="33" t="s">
        <v>26</v>
      </c>
      <c r="F24255" s="33" t="s">
        <v>27</v>
      </c>
      <c r="G24255" s="33" t="s">
        <v>20</v>
      </c>
      <c r="H24255" s="35">
        <v>8</v>
      </c>
      <c r="I24255" s="33" t="s">
        <v>21</v>
      </c>
      <c r="J24255" s="42">
        <v>45659</v>
      </c>
      <c r="K24255" s="33" t="s">
        <v>22</v>
      </c>
    </row>
    <row r="24256" spans="1:11">
      <c r="A24256" s="30" t="s">
        <v>53484</v>
      </c>
      <c r="B24256" s="30" t="s">
        <v>53485</v>
      </c>
      <c r="C24256" s="30" t="s">
        <v>8271</v>
      </c>
      <c r="D24256" s="30" t="s">
        <v>17</v>
      </c>
      <c r="E24256" s="30" t="s">
        <v>67</v>
      </c>
      <c r="F24256" s="30" t="s">
        <v>68</v>
      </c>
      <c r="G24256" s="30" t="s">
        <v>106</v>
      </c>
      <c r="H24256" s="32">
        <v>2</v>
      </c>
      <c r="I24256" s="30" t="s">
        <v>21</v>
      </c>
      <c r="J24256" s="41">
        <v>45738</v>
      </c>
      <c r="K24256" s="30" t="s">
        <v>22</v>
      </c>
    </row>
    <row r="24257" spans="1:11">
      <c r="A24257" s="33" t="s">
        <v>53486</v>
      </c>
      <c r="B24257" s="33" t="s">
        <v>53487</v>
      </c>
      <c r="C24257" s="33" t="s">
        <v>24363</v>
      </c>
      <c r="D24257" s="33" t="s">
        <v>17</v>
      </c>
      <c r="E24257" s="33" t="s">
        <v>31</v>
      </c>
      <c r="F24257" s="33" t="s">
        <v>32</v>
      </c>
      <c r="G24257" s="33" t="s">
        <v>7780</v>
      </c>
      <c r="H24257" s="35">
        <v>80</v>
      </c>
      <c r="I24257" s="33" t="s">
        <v>51</v>
      </c>
      <c r="J24257" s="42">
        <v>45712</v>
      </c>
      <c r="K24257" s="33" t="s">
        <v>22</v>
      </c>
    </row>
    <row r="24258" spans="1:11">
      <c r="A24258" s="30" t="s">
        <v>53488</v>
      </c>
      <c r="B24258" s="30" t="s">
        <v>53489</v>
      </c>
      <c r="C24258" s="30" t="s">
        <v>49569</v>
      </c>
      <c r="D24258" s="30" t="s">
        <v>17</v>
      </c>
      <c r="E24258" s="30" t="s">
        <v>67</v>
      </c>
      <c r="F24258" s="30" t="s">
        <v>68</v>
      </c>
      <c r="G24258" s="30" t="s">
        <v>140</v>
      </c>
      <c r="H24258" s="32">
        <v>9</v>
      </c>
      <c r="I24258" s="30" t="s">
        <v>51</v>
      </c>
      <c r="J24258" s="41">
        <v>45869</v>
      </c>
      <c r="K24258" s="30" t="s">
        <v>22</v>
      </c>
    </row>
    <row r="24259" spans="1:11">
      <c r="A24259" s="33" t="s">
        <v>53490</v>
      </c>
      <c r="B24259" s="33" t="s">
        <v>53491</v>
      </c>
      <c r="C24259" s="33" t="s">
        <v>96</v>
      </c>
      <c r="D24259" s="33" t="s">
        <v>17</v>
      </c>
      <c r="E24259" s="33" t="s">
        <v>26</v>
      </c>
      <c r="F24259" s="33" t="s">
        <v>27</v>
      </c>
      <c r="G24259" s="33" t="s">
        <v>20</v>
      </c>
      <c r="H24259" s="35">
        <v>9</v>
      </c>
      <c r="I24259" s="33" t="s">
        <v>21</v>
      </c>
      <c r="J24259" s="42">
        <v>45897</v>
      </c>
      <c r="K24259" s="33" t="s">
        <v>22</v>
      </c>
    </row>
    <row r="24260" spans="1:11">
      <c r="A24260" s="30" t="s">
        <v>53492</v>
      </c>
      <c r="B24260" s="30" t="s">
        <v>53493</v>
      </c>
      <c r="C24260" s="30" t="s">
        <v>13181</v>
      </c>
      <c r="D24260" s="30" t="s">
        <v>17</v>
      </c>
      <c r="E24260" s="30" t="s">
        <v>26</v>
      </c>
      <c r="F24260" s="30" t="s">
        <v>27</v>
      </c>
      <c r="G24260" s="30" t="s">
        <v>7780</v>
      </c>
      <c r="H24260" s="32">
        <v>64</v>
      </c>
      <c r="I24260" s="30" t="s">
        <v>51</v>
      </c>
      <c r="J24260" s="41">
        <v>46021</v>
      </c>
      <c r="K24260" s="30" t="s">
        <v>22</v>
      </c>
    </row>
    <row r="24261" spans="1:11">
      <c r="A24261" s="33" t="s">
        <v>53494</v>
      </c>
      <c r="B24261" s="33" t="s">
        <v>53495</v>
      </c>
      <c r="C24261" s="33" t="s">
        <v>14933</v>
      </c>
      <c r="D24261" s="33" t="s">
        <v>17</v>
      </c>
      <c r="E24261" s="33" t="s">
        <v>31</v>
      </c>
      <c r="F24261" s="33" t="s">
        <v>32</v>
      </c>
      <c r="G24261" s="33" t="s">
        <v>158</v>
      </c>
      <c r="H24261" s="35">
        <v>60</v>
      </c>
      <c r="I24261" s="33" t="s">
        <v>51</v>
      </c>
      <c r="J24261" s="42">
        <v>45742</v>
      </c>
      <c r="K24261" s="33" t="s">
        <v>22</v>
      </c>
    </row>
    <row r="24262" spans="1:11">
      <c r="A24262" s="30" t="s">
        <v>53496</v>
      </c>
      <c r="B24262" s="30" t="s">
        <v>53497</v>
      </c>
      <c r="C24262" s="30" t="s">
        <v>12879</v>
      </c>
      <c r="D24262" s="30" t="s">
        <v>17</v>
      </c>
      <c r="E24262" s="30" t="s">
        <v>212</v>
      </c>
      <c r="F24262" s="30" t="s">
        <v>213</v>
      </c>
      <c r="G24262" s="30" t="s">
        <v>140</v>
      </c>
      <c r="H24262" s="32">
        <v>30</v>
      </c>
      <c r="I24262" s="30" t="s">
        <v>51</v>
      </c>
      <c r="J24262" s="41">
        <v>45951</v>
      </c>
      <c r="K24262" s="30" t="s">
        <v>22</v>
      </c>
    </row>
    <row r="24263" spans="1:11">
      <c r="A24263" s="33" t="s">
        <v>53498</v>
      </c>
      <c r="B24263" s="33" t="s">
        <v>53499</v>
      </c>
      <c r="C24263" s="33" t="s">
        <v>15741</v>
      </c>
      <c r="D24263" s="33" t="s">
        <v>17</v>
      </c>
      <c r="E24263" s="33" t="s">
        <v>31</v>
      </c>
      <c r="F24263" s="33" t="s">
        <v>32</v>
      </c>
      <c r="G24263" s="33" t="s">
        <v>158</v>
      </c>
      <c r="H24263" s="35">
        <v>24</v>
      </c>
      <c r="I24263" s="33" t="s">
        <v>51</v>
      </c>
      <c r="J24263" s="42">
        <v>45680</v>
      </c>
      <c r="K24263" s="33" t="s">
        <v>22</v>
      </c>
    </row>
    <row r="24264" spans="1:11">
      <c r="A24264" s="30" t="s">
        <v>53500</v>
      </c>
      <c r="B24264" s="30" t="s">
        <v>53501</v>
      </c>
      <c r="C24264" s="30" t="s">
        <v>39368</v>
      </c>
      <c r="D24264" s="30" t="s">
        <v>17</v>
      </c>
      <c r="E24264" s="30" t="s">
        <v>330</v>
      </c>
      <c r="F24264" s="30" t="s">
        <v>331</v>
      </c>
      <c r="G24264" s="30" t="s">
        <v>158</v>
      </c>
      <c r="H24264" s="32">
        <v>3</v>
      </c>
      <c r="I24264" s="30" t="s">
        <v>51</v>
      </c>
      <c r="J24264" s="41">
        <v>45858</v>
      </c>
      <c r="K24264" s="30" t="s">
        <v>22</v>
      </c>
    </row>
    <row r="24265" spans="1:11">
      <c r="A24265" s="33" t="s">
        <v>53502</v>
      </c>
      <c r="B24265" s="33" t="s">
        <v>53503</v>
      </c>
      <c r="C24265" s="33" t="s">
        <v>5319</v>
      </c>
      <c r="D24265" s="33" t="s">
        <v>17</v>
      </c>
      <c r="E24265" s="33" t="s">
        <v>31</v>
      </c>
      <c r="F24265" s="33" t="s">
        <v>32</v>
      </c>
      <c r="G24265" s="33" t="s">
        <v>158</v>
      </c>
      <c r="H24265" s="35">
        <v>36</v>
      </c>
      <c r="I24265" s="33" t="s">
        <v>51</v>
      </c>
      <c r="J24265" s="42">
        <v>45884</v>
      </c>
      <c r="K24265" s="33" t="s">
        <v>22</v>
      </c>
    </row>
    <row r="24266" spans="1:11">
      <c r="A24266" s="30" t="s">
        <v>53504</v>
      </c>
      <c r="B24266" s="30" t="s">
        <v>53505</v>
      </c>
      <c r="C24266" s="30" t="s">
        <v>1801</v>
      </c>
      <c r="D24266" s="30" t="s">
        <v>17</v>
      </c>
      <c r="E24266" s="30" t="s">
        <v>18</v>
      </c>
      <c r="F24266" s="30" t="s">
        <v>19</v>
      </c>
      <c r="G24266" s="30" t="s">
        <v>140</v>
      </c>
      <c r="H24266" s="32">
        <v>464</v>
      </c>
      <c r="I24266" s="30" t="s">
        <v>51</v>
      </c>
      <c r="J24266" s="41">
        <v>45973</v>
      </c>
      <c r="K24266" s="30" t="s">
        <v>22</v>
      </c>
    </row>
    <row r="24267" spans="1:11">
      <c r="A24267" s="33" t="s">
        <v>53506</v>
      </c>
      <c r="B24267" s="33" t="s">
        <v>53507</v>
      </c>
      <c r="C24267" s="33" t="s">
        <v>149</v>
      </c>
      <c r="D24267" s="33" t="s">
        <v>17</v>
      </c>
      <c r="E24267" s="33" t="s">
        <v>67</v>
      </c>
      <c r="F24267" s="33" t="s">
        <v>68</v>
      </c>
      <c r="G24267" s="33" t="s">
        <v>140</v>
      </c>
      <c r="H24267" s="35">
        <v>80</v>
      </c>
      <c r="I24267" s="33" t="s">
        <v>51</v>
      </c>
      <c r="J24267" s="42">
        <v>45799</v>
      </c>
      <c r="K24267" s="33" t="s">
        <v>22</v>
      </c>
    </row>
    <row r="24268" spans="1:11">
      <c r="A24268" s="30" t="s">
        <v>53508</v>
      </c>
      <c r="B24268" s="30" t="s">
        <v>53509</v>
      </c>
      <c r="C24268" s="30" t="s">
        <v>3647</v>
      </c>
      <c r="D24268" s="30" t="s">
        <v>17</v>
      </c>
      <c r="E24268" s="30" t="s">
        <v>26</v>
      </c>
      <c r="F24268" s="30" t="s">
        <v>27</v>
      </c>
      <c r="G24268" s="30" t="s">
        <v>20</v>
      </c>
      <c r="H24268" s="32">
        <v>30</v>
      </c>
      <c r="I24268" s="30" t="s">
        <v>21</v>
      </c>
      <c r="J24268" s="41">
        <v>45734</v>
      </c>
      <c r="K24268" s="30" t="s">
        <v>22</v>
      </c>
    </row>
    <row r="24269" spans="1:11">
      <c r="A24269" s="33" t="s">
        <v>53510</v>
      </c>
      <c r="B24269" s="33" t="s">
        <v>53511</v>
      </c>
      <c r="C24269" s="33" t="s">
        <v>15585</v>
      </c>
      <c r="D24269" s="33" t="s">
        <v>17</v>
      </c>
      <c r="E24269" s="33" t="s">
        <v>18</v>
      </c>
      <c r="F24269" s="33" t="s">
        <v>19</v>
      </c>
      <c r="G24269" s="33" t="s">
        <v>140</v>
      </c>
      <c r="H24269" s="35">
        <v>140</v>
      </c>
      <c r="I24269" s="33" t="s">
        <v>51</v>
      </c>
      <c r="J24269" s="42">
        <v>45863</v>
      </c>
      <c r="K24269" s="33" t="s">
        <v>22</v>
      </c>
    </row>
    <row r="24270" spans="1:11">
      <c r="A24270" s="30" t="s">
        <v>53512</v>
      </c>
      <c r="B24270" s="30" t="s">
        <v>53513</v>
      </c>
      <c r="C24270" s="30" t="s">
        <v>203</v>
      </c>
      <c r="D24270" s="30" t="s">
        <v>17</v>
      </c>
      <c r="E24270" s="30" t="s">
        <v>26</v>
      </c>
      <c r="F24270" s="30" t="s">
        <v>27</v>
      </c>
      <c r="G24270" s="30" t="s">
        <v>20</v>
      </c>
      <c r="H24270" s="32">
        <v>270</v>
      </c>
      <c r="I24270" s="30" t="s">
        <v>21</v>
      </c>
      <c r="J24270" s="41">
        <v>45735</v>
      </c>
      <c r="K24270" s="30" t="s">
        <v>22</v>
      </c>
    </row>
    <row r="24271" spans="1:11">
      <c r="A24271" s="33" t="s">
        <v>53514</v>
      </c>
      <c r="B24271" s="33" t="s">
        <v>53515</v>
      </c>
      <c r="C24271" s="33" t="s">
        <v>44692</v>
      </c>
      <c r="D24271" s="33" t="s">
        <v>17</v>
      </c>
      <c r="E24271" s="33" t="s">
        <v>26</v>
      </c>
      <c r="F24271" s="33" t="s">
        <v>27</v>
      </c>
      <c r="G24271" s="33" t="s">
        <v>140</v>
      </c>
      <c r="H24271" s="35">
        <v>94</v>
      </c>
      <c r="I24271" s="33" t="s">
        <v>51</v>
      </c>
      <c r="J24271" s="42">
        <v>45809</v>
      </c>
      <c r="K24271" s="33" t="s">
        <v>22</v>
      </c>
    </row>
    <row r="24272" spans="1:11">
      <c r="A24272" s="30" t="s">
        <v>53516</v>
      </c>
      <c r="B24272" s="30" t="s">
        <v>53517</v>
      </c>
      <c r="C24272" s="30" t="s">
        <v>11599</v>
      </c>
      <c r="D24272" s="30" t="s">
        <v>17</v>
      </c>
      <c r="E24272" s="30" t="s">
        <v>18</v>
      </c>
      <c r="F24272" s="30" t="s">
        <v>19</v>
      </c>
      <c r="G24272" s="30" t="s">
        <v>20</v>
      </c>
      <c r="H24272" s="32">
        <v>241</v>
      </c>
      <c r="I24272" s="30" t="s">
        <v>21</v>
      </c>
      <c r="J24272" s="41">
        <v>45776</v>
      </c>
      <c r="K24272" s="30" t="s">
        <v>22</v>
      </c>
    </row>
    <row r="24273" spans="1:11">
      <c r="A24273" s="33" t="s">
        <v>53518</v>
      </c>
      <c r="B24273" s="33" t="s">
        <v>53519</v>
      </c>
      <c r="C24273" s="33" t="s">
        <v>26396</v>
      </c>
      <c r="D24273" s="33" t="s">
        <v>17</v>
      </c>
      <c r="E24273" s="33" t="s">
        <v>18</v>
      </c>
      <c r="F24273" s="33" t="s">
        <v>19</v>
      </c>
      <c r="G24273" s="33" t="s">
        <v>7780</v>
      </c>
      <c r="H24273" s="35">
        <v>228</v>
      </c>
      <c r="I24273" s="33" t="s">
        <v>51</v>
      </c>
      <c r="J24273" s="42">
        <v>45658</v>
      </c>
      <c r="K24273" s="33" t="s">
        <v>22</v>
      </c>
    </row>
    <row r="24274" spans="1:11">
      <c r="A24274" s="30" t="s">
        <v>53520</v>
      </c>
      <c r="B24274" s="30" t="s">
        <v>53521</v>
      </c>
      <c r="C24274" s="30" t="s">
        <v>53522</v>
      </c>
      <c r="D24274" s="30" t="s">
        <v>17</v>
      </c>
      <c r="E24274" s="30" t="s">
        <v>26</v>
      </c>
      <c r="F24274" s="30" t="s">
        <v>27</v>
      </c>
      <c r="G24274" s="30" t="s">
        <v>140</v>
      </c>
      <c r="H24274" s="32">
        <v>171</v>
      </c>
      <c r="I24274" s="30" t="s">
        <v>51</v>
      </c>
      <c r="J24274" s="41">
        <v>45992</v>
      </c>
      <c r="K24274" s="30" t="s">
        <v>22</v>
      </c>
    </row>
    <row r="24275" spans="1:11">
      <c r="A24275" s="33" t="s">
        <v>53523</v>
      </c>
      <c r="B24275" s="33" t="s">
        <v>53524</v>
      </c>
      <c r="C24275" s="33" t="s">
        <v>570</v>
      </c>
      <c r="D24275" s="33" t="s">
        <v>17</v>
      </c>
      <c r="E24275" s="33" t="s">
        <v>18</v>
      </c>
      <c r="F24275" s="33" t="s">
        <v>19</v>
      </c>
      <c r="G24275" s="33" t="s">
        <v>140</v>
      </c>
      <c r="H24275" s="35">
        <v>80</v>
      </c>
      <c r="I24275" s="33" t="s">
        <v>51</v>
      </c>
      <c r="J24275" s="42">
        <v>45759</v>
      </c>
      <c r="K24275" s="33" t="s">
        <v>22</v>
      </c>
    </row>
    <row r="24276" spans="1:11">
      <c r="A24276" s="30" t="s">
        <v>53525</v>
      </c>
      <c r="B24276" s="30" t="s">
        <v>53526</v>
      </c>
      <c r="C24276" s="30" t="s">
        <v>37244</v>
      </c>
      <c r="D24276" s="30" t="s">
        <v>17</v>
      </c>
      <c r="E24276" s="30" t="s">
        <v>31</v>
      </c>
      <c r="F24276" s="30" t="s">
        <v>32</v>
      </c>
      <c r="G24276" s="30" t="s">
        <v>140</v>
      </c>
      <c r="H24276" s="32">
        <v>200</v>
      </c>
      <c r="I24276" s="30" t="s">
        <v>51</v>
      </c>
      <c r="J24276" s="41">
        <v>45816</v>
      </c>
      <c r="K24276" s="30" t="s">
        <v>22</v>
      </c>
    </row>
    <row r="24277" spans="1:11">
      <c r="A24277" s="33" t="s">
        <v>53527</v>
      </c>
      <c r="B24277" s="33" t="s">
        <v>53528</v>
      </c>
      <c r="C24277" s="33" t="s">
        <v>28387</v>
      </c>
      <c r="D24277" s="33" t="s">
        <v>17</v>
      </c>
      <c r="E24277" s="33" t="s">
        <v>212</v>
      </c>
      <c r="F24277" s="33" t="s">
        <v>213</v>
      </c>
      <c r="G24277" s="33" t="s">
        <v>112</v>
      </c>
      <c r="H24277" s="35">
        <v>0</v>
      </c>
      <c r="I24277" s="33" t="s">
        <v>21</v>
      </c>
      <c r="J24277" s="42">
        <v>45689</v>
      </c>
      <c r="K24277" s="33" t="s">
        <v>22</v>
      </c>
    </row>
    <row r="24278" spans="1:11">
      <c r="A24278" s="30" t="s">
        <v>53529</v>
      </c>
      <c r="B24278" s="30" t="s">
        <v>53530</v>
      </c>
      <c r="C24278" s="30" t="s">
        <v>20420</v>
      </c>
      <c r="D24278" s="30" t="s">
        <v>17</v>
      </c>
      <c r="E24278" s="30" t="s">
        <v>31</v>
      </c>
      <c r="F24278" s="30" t="s">
        <v>32</v>
      </c>
      <c r="G24278" s="30" t="s">
        <v>158</v>
      </c>
      <c r="H24278" s="32">
        <v>396</v>
      </c>
      <c r="I24278" s="30" t="s">
        <v>21</v>
      </c>
      <c r="J24278" s="41">
        <v>45798</v>
      </c>
      <c r="K24278" s="30" t="s">
        <v>22</v>
      </c>
    </row>
    <row r="24279" spans="1:11">
      <c r="A24279" s="33" t="s">
        <v>53531</v>
      </c>
      <c r="B24279" s="33" t="s">
        <v>53532</v>
      </c>
      <c r="C24279" s="33" t="s">
        <v>53533</v>
      </c>
      <c r="D24279" s="33" t="s">
        <v>17</v>
      </c>
      <c r="E24279" s="33" t="s">
        <v>26</v>
      </c>
      <c r="F24279" s="33" t="s">
        <v>27</v>
      </c>
      <c r="G24279" s="33" t="s">
        <v>140</v>
      </c>
      <c r="H24279" s="35">
        <v>144</v>
      </c>
      <c r="I24279" s="33" t="s">
        <v>51</v>
      </c>
      <c r="J24279" s="42">
        <v>45861</v>
      </c>
      <c r="K24279" s="33" t="s">
        <v>22</v>
      </c>
    </row>
    <row r="24280" spans="1:11">
      <c r="A24280" s="30" t="s">
        <v>53534</v>
      </c>
      <c r="B24280" s="30" t="s">
        <v>53535</v>
      </c>
      <c r="C24280" s="30" t="s">
        <v>647</v>
      </c>
      <c r="D24280" s="30" t="s">
        <v>17</v>
      </c>
      <c r="E24280" s="30" t="s">
        <v>18</v>
      </c>
      <c r="F24280" s="30" t="s">
        <v>19</v>
      </c>
      <c r="G24280" s="30" t="s">
        <v>140</v>
      </c>
      <c r="H24280" s="32">
        <v>477</v>
      </c>
      <c r="I24280" s="30" t="s">
        <v>51</v>
      </c>
      <c r="J24280" s="41">
        <v>45854</v>
      </c>
      <c r="K24280" s="30" t="s">
        <v>22</v>
      </c>
    </row>
    <row r="24281" spans="1:11">
      <c r="A24281" s="33" t="s">
        <v>53536</v>
      </c>
      <c r="B24281" s="33" t="s">
        <v>53537</v>
      </c>
      <c r="C24281" s="33" t="s">
        <v>136</v>
      </c>
      <c r="D24281" s="33" t="s">
        <v>17</v>
      </c>
      <c r="E24281" s="33" t="s">
        <v>31</v>
      </c>
      <c r="F24281" s="33" t="s">
        <v>32</v>
      </c>
      <c r="G24281" s="33" t="s">
        <v>140</v>
      </c>
      <c r="H24281" s="35">
        <v>200</v>
      </c>
      <c r="I24281" s="33" t="s">
        <v>51</v>
      </c>
      <c r="J24281" s="42">
        <v>45946</v>
      </c>
      <c r="K24281" s="33" t="s">
        <v>22</v>
      </c>
    </row>
    <row r="24282" spans="1:11">
      <c r="A24282" s="30" t="s">
        <v>53538</v>
      </c>
      <c r="B24282" s="30" t="s">
        <v>53539</v>
      </c>
      <c r="C24282" s="30" t="s">
        <v>32699</v>
      </c>
      <c r="D24282" s="30" t="s">
        <v>17</v>
      </c>
      <c r="E24282" s="30" t="s">
        <v>31</v>
      </c>
      <c r="F24282" s="30" t="s">
        <v>32</v>
      </c>
      <c r="G24282" s="30" t="s">
        <v>20</v>
      </c>
      <c r="H24282" s="32">
        <v>30</v>
      </c>
      <c r="I24282" s="30" t="s">
        <v>21</v>
      </c>
      <c r="J24282" s="41">
        <v>45889</v>
      </c>
      <c r="K24282" s="30" t="s">
        <v>22</v>
      </c>
    </row>
    <row r="24283" spans="1:11">
      <c r="A24283" s="33" t="s">
        <v>53540</v>
      </c>
      <c r="B24283" s="33" t="s">
        <v>53541</v>
      </c>
      <c r="C24283" s="33" t="s">
        <v>1210</v>
      </c>
      <c r="D24283" s="33" t="s">
        <v>17</v>
      </c>
      <c r="E24283" s="33" t="s">
        <v>31</v>
      </c>
      <c r="F24283" s="33" t="s">
        <v>32</v>
      </c>
      <c r="G24283" s="33" t="s">
        <v>20</v>
      </c>
      <c r="H24283" s="35">
        <v>175</v>
      </c>
      <c r="I24283" s="33" t="s">
        <v>21</v>
      </c>
      <c r="J24283" s="42">
        <v>45742</v>
      </c>
      <c r="K24283" s="33" t="s">
        <v>22</v>
      </c>
    </row>
    <row r="24284" spans="1:11">
      <c r="A24284" s="30" t="s">
        <v>53542</v>
      </c>
      <c r="B24284" s="30" t="s">
        <v>53543</v>
      </c>
      <c r="C24284" s="30" t="s">
        <v>136</v>
      </c>
      <c r="D24284" s="30" t="s">
        <v>17</v>
      </c>
      <c r="E24284" s="30" t="s">
        <v>26</v>
      </c>
      <c r="F24284" s="30" t="s">
        <v>27</v>
      </c>
      <c r="G24284" s="30" t="s">
        <v>20</v>
      </c>
      <c r="H24284" s="32">
        <v>191</v>
      </c>
      <c r="I24284" s="30" t="s">
        <v>21</v>
      </c>
      <c r="J24284" s="41">
        <v>45916</v>
      </c>
      <c r="K24284" s="30" t="s">
        <v>22</v>
      </c>
    </row>
    <row r="24285" spans="1:11">
      <c r="A24285" s="33" t="s">
        <v>53544</v>
      </c>
      <c r="B24285" s="33" t="s">
        <v>53545</v>
      </c>
      <c r="C24285" s="33" t="s">
        <v>44</v>
      </c>
      <c r="D24285" s="33" t="s">
        <v>17</v>
      </c>
      <c r="E24285" s="33" t="s">
        <v>31</v>
      </c>
      <c r="F24285" s="33" t="s">
        <v>32</v>
      </c>
      <c r="G24285" s="33" t="s">
        <v>106</v>
      </c>
      <c r="H24285" s="35">
        <v>34</v>
      </c>
      <c r="I24285" s="33" t="s">
        <v>21</v>
      </c>
      <c r="J24285" s="42">
        <v>45763</v>
      </c>
      <c r="K24285" s="33" t="s">
        <v>22</v>
      </c>
    </row>
    <row r="24286" spans="1:11">
      <c r="A24286" s="30" t="s">
        <v>53546</v>
      </c>
      <c r="B24286" s="30" t="s">
        <v>53547</v>
      </c>
      <c r="C24286" s="30" t="s">
        <v>29838</v>
      </c>
      <c r="D24286" s="30" t="s">
        <v>17</v>
      </c>
      <c r="E24286" s="30" t="s">
        <v>26</v>
      </c>
      <c r="F24286" s="30" t="s">
        <v>27</v>
      </c>
      <c r="G24286" s="30" t="s">
        <v>50</v>
      </c>
      <c r="H24286" s="32">
        <v>12</v>
      </c>
      <c r="I24286" s="30" t="s">
        <v>51</v>
      </c>
      <c r="J24286" s="41">
        <v>45784</v>
      </c>
      <c r="K24286" s="30" t="s">
        <v>22</v>
      </c>
    </row>
    <row r="24287" spans="1:11">
      <c r="A24287" s="33" t="s">
        <v>53548</v>
      </c>
      <c r="B24287" s="33" t="s">
        <v>53549</v>
      </c>
      <c r="C24287" s="33" t="s">
        <v>647</v>
      </c>
      <c r="D24287" s="33" t="s">
        <v>17</v>
      </c>
      <c r="E24287" s="33" t="s">
        <v>18</v>
      </c>
      <c r="F24287" s="33" t="s">
        <v>19</v>
      </c>
      <c r="G24287" s="33" t="s">
        <v>140</v>
      </c>
      <c r="H24287" s="35">
        <v>4390</v>
      </c>
      <c r="I24287" s="33" t="s">
        <v>51</v>
      </c>
      <c r="J24287" s="42">
        <v>45869</v>
      </c>
      <c r="K24287" s="33" t="s">
        <v>22</v>
      </c>
    </row>
    <row r="24288" spans="1:11">
      <c r="A24288" s="30" t="s">
        <v>53550</v>
      </c>
      <c r="B24288" s="30" t="s">
        <v>53551</v>
      </c>
      <c r="C24288" s="30" t="s">
        <v>847</v>
      </c>
      <c r="D24288" s="30" t="s">
        <v>17</v>
      </c>
      <c r="E24288" s="30" t="s">
        <v>330</v>
      </c>
      <c r="F24288" s="30" t="s">
        <v>331</v>
      </c>
      <c r="G24288" s="30" t="s">
        <v>7780</v>
      </c>
      <c r="H24288" s="32">
        <v>24</v>
      </c>
      <c r="I24288" s="30" t="s">
        <v>51</v>
      </c>
      <c r="J24288" s="41">
        <v>45809</v>
      </c>
      <c r="K24288" s="30" t="s">
        <v>22</v>
      </c>
    </row>
    <row r="24289" spans="1:11">
      <c r="A24289" s="33" t="s">
        <v>53552</v>
      </c>
      <c r="B24289" s="33" t="s">
        <v>53553</v>
      </c>
      <c r="C24289" s="33" t="s">
        <v>53554</v>
      </c>
      <c r="D24289" s="33" t="s">
        <v>17</v>
      </c>
      <c r="E24289" s="33" t="s">
        <v>67</v>
      </c>
      <c r="F24289" s="33" t="s">
        <v>68</v>
      </c>
      <c r="G24289" s="33" t="s">
        <v>7780</v>
      </c>
      <c r="H24289" s="35">
        <v>48</v>
      </c>
      <c r="I24289" s="33" t="s">
        <v>51</v>
      </c>
      <c r="J24289" s="42">
        <v>45992</v>
      </c>
      <c r="K24289" s="33" t="s">
        <v>22</v>
      </c>
    </row>
    <row r="24290" spans="1:11">
      <c r="A24290" s="30" t="s">
        <v>53555</v>
      </c>
      <c r="B24290" s="30" t="s">
        <v>53556</v>
      </c>
      <c r="C24290" s="30" t="s">
        <v>11719</v>
      </c>
      <c r="D24290" s="30" t="s">
        <v>17</v>
      </c>
      <c r="E24290" s="30" t="s">
        <v>26</v>
      </c>
      <c r="F24290" s="30" t="s">
        <v>27</v>
      </c>
      <c r="G24290" s="30" t="s">
        <v>20</v>
      </c>
      <c r="H24290" s="32">
        <v>32</v>
      </c>
      <c r="I24290" s="30" t="s">
        <v>21</v>
      </c>
      <c r="J24290" s="41">
        <v>45728</v>
      </c>
      <c r="K24290" s="30" t="s">
        <v>22</v>
      </c>
    </row>
    <row r="24291" spans="1:11">
      <c r="A24291" s="33" t="s">
        <v>53557</v>
      </c>
      <c r="B24291" s="33" t="s">
        <v>53558</v>
      </c>
      <c r="C24291" s="33" t="s">
        <v>52562</v>
      </c>
      <c r="D24291" s="33" t="s">
        <v>17</v>
      </c>
      <c r="E24291" s="33" t="s">
        <v>212</v>
      </c>
      <c r="F24291" s="33" t="s">
        <v>213</v>
      </c>
      <c r="G24291" s="33" t="s">
        <v>140</v>
      </c>
      <c r="H24291" s="35">
        <v>484</v>
      </c>
      <c r="I24291" s="33" t="s">
        <v>51</v>
      </c>
      <c r="J24291" s="42">
        <v>45866</v>
      </c>
      <c r="K24291" s="33" t="s">
        <v>22</v>
      </c>
    </row>
    <row r="24292" spans="1:11">
      <c r="A24292" s="30" t="s">
        <v>53559</v>
      </c>
      <c r="B24292" s="30" t="s">
        <v>53560</v>
      </c>
      <c r="C24292" s="30" t="s">
        <v>53561</v>
      </c>
      <c r="D24292" s="30" t="s">
        <v>17</v>
      </c>
      <c r="E24292" s="30" t="s">
        <v>330</v>
      </c>
      <c r="F24292" s="30" t="s">
        <v>331</v>
      </c>
      <c r="G24292" s="30" t="s">
        <v>140</v>
      </c>
      <c r="H24292" s="32">
        <v>73</v>
      </c>
      <c r="I24292" s="30" t="s">
        <v>51</v>
      </c>
      <c r="J24292" s="41">
        <v>45933</v>
      </c>
      <c r="K24292" s="30" t="s">
        <v>22</v>
      </c>
    </row>
    <row r="24293" spans="1:11">
      <c r="A24293" s="33" t="s">
        <v>53562</v>
      </c>
      <c r="B24293" s="33" t="s">
        <v>53563</v>
      </c>
      <c r="C24293" s="33" t="s">
        <v>20834</v>
      </c>
      <c r="D24293" s="33" t="s">
        <v>17</v>
      </c>
      <c r="E24293" s="33" t="s">
        <v>31</v>
      </c>
      <c r="F24293" s="33" t="s">
        <v>32</v>
      </c>
      <c r="G24293" s="33" t="s">
        <v>7780</v>
      </c>
      <c r="H24293" s="35">
        <v>60</v>
      </c>
      <c r="I24293" s="33" t="s">
        <v>51</v>
      </c>
      <c r="J24293" s="42">
        <v>45992</v>
      </c>
      <c r="K24293" s="33" t="s">
        <v>22</v>
      </c>
    </row>
    <row r="24294" spans="1:11">
      <c r="A24294" s="30" t="s">
        <v>53564</v>
      </c>
      <c r="B24294" s="30" t="s">
        <v>53565</v>
      </c>
      <c r="C24294" s="30" t="s">
        <v>1305</v>
      </c>
      <c r="D24294" s="30" t="s">
        <v>17</v>
      </c>
      <c r="E24294" s="30" t="s">
        <v>26</v>
      </c>
      <c r="F24294" s="30" t="s">
        <v>27</v>
      </c>
      <c r="G24294" s="30" t="s">
        <v>20</v>
      </c>
      <c r="H24294" s="32">
        <v>31</v>
      </c>
      <c r="I24294" s="30" t="s">
        <v>21</v>
      </c>
      <c r="J24294" s="41">
        <v>45730</v>
      </c>
      <c r="K24294" s="30" t="s">
        <v>22</v>
      </c>
    </row>
    <row r="24295" spans="1:11">
      <c r="A24295" s="33" t="s">
        <v>53566</v>
      </c>
      <c r="B24295" s="33" t="s">
        <v>53567</v>
      </c>
      <c r="C24295" s="33" t="s">
        <v>53568</v>
      </c>
      <c r="D24295" s="33" t="s">
        <v>17</v>
      </c>
      <c r="E24295" s="33" t="s">
        <v>31</v>
      </c>
      <c r="F24295" s="33" t="s">
        <v>32</v>
      </c>
      <c r="G24295" s="33" t="s">
        <v>140</v>
      </c>
      <c r="H24295" s="35">
        <v>105</v>
      </c>
      <c r="I24295" s="33" t="s">
        <v>51</v>
      </c>
      <c r="J24295" s="42">
        <v>45748</v>
      </c>
      <c r="K24295" s="33" t="s">
        <v>22</v>
      </c>
    </row>
    <row r="24296" spans="1:11">
      <c r="A24296" s="30" t="s">
        <v>53569</v>
      </c>
      <c r="B24296" s="30" t="s">
        <v>53570</v>
      </c>
      <c r="C24296" s="30" t="s">
        <v>23852</v>
      </c>
      <c r="D24296" s="30" t="s">
        <v>17</v>
      </c>
      <c r="E24296" s="30" t="s">
        <v>31</v>
      </c>
      <c r="F24296" s="30" t="s">
        <v>32</v>
      </c>
      <c r="G24296" s="30" t="s">
        <v>140</v>
      </c>
      <c r="H24296" s="32">
        <v>200</v>
      </c>
      <c r="I24296" s="30" t="s">
        <v>51</v>
      </c>
      <c r="J24296" s="41">
        <v>45682</v>
      </c>
      <c r="K24296" s="30" t="s">
        <v>22</v>
      </c>
    </row>
    <row r="24297" spans="1:11">
      <c r="A24297" s="33" t="s">
        <v>53571</v>
      </c>
      <c r="B24297" s="33" t="s">
        <v>53572</v>
      </c>
      <c r="C24297" s="33" t="s">
        <v>36724</v>
      </c>
      <c r="D24297" s="33" t="s">
        <v>17</v>
      </c>
      <c r="E24297" s="33" t="s">
        <v>31</v>
      </c>
      <c r="F24297" s="33" t="s">
        <v>32</v>
      </c>
      <c r="G24297" s="33" t="s">
        <v>140</v>
      </c>
      <c r="H24297" s="35">
        <v>40</v>
      </c>
      <c r="I24297" s="33" t="s">
        <v>51</v>
      </c>
      <c r="J24297" s="42">
        <v>45992</v>
      </c>
      <c r="K24297" s="33" t="s">
        <v>22</v>
      </c>
    </row>
    <row r="24298" spans="1:11">
      <c r="A24298" s="30" t="s">
        <v>53573</v>
      </c>
      <c r="B24298" s="30" t="s">
        <v>53574</v>
      </c>
      <c r="C24298" s="30" t="s">
        <v>1661</v>
      </c>
      <c r="D24298" s="30" t="s">
        <v>17</v>
      </c>
      <c r="E24298" s="30" t="s">
        <v>26</v>
      </c>
      <c r="F24298" s="30" t="s">
        <v>27</v>
      </c>
      <c r="G24298" s="30" t="s">
        <v>20</v>
      </c>
      <c r="H24298" s="32">
        <v>72</v>
      </c>
      <c r="I24298" s="30" t="s">
        <v>21</v>
      </c>
      <c r="J24298" s="41">
        <v>45722</v>
      </c>
      <c r="K24298" s="30" t="s">
        <v>22</v>
      </c>
    </row>
    <row r="24299" spans="1:11">
      <c r="A24299" s="33" t="s">
        <v>53575</v>
      </c>
      <c r="B24299" s="33" t="s">
        <v>53576</v>
      </c>
      <c r="C24299" s="33" t="s">
        <v>33931</v>
      </c>
      <c r="D24299" s="33" t="s">
        <v>17</v>
      </c>
      <c r="E24299" s="33" t="s">
        <v>26</v>
      </c>
      <c r="F24299" s="33" t="s">
        <v>27</v>
      </c>
      <c r="G24299" s="33" t="s">
        <v>140</v>
      </c>
      <c r="H24299" s="35">
        <v>160</v>
      </c>
      <c r="I24299" s="33" t="s">
        <v>51</v>
      </c>
      <c r="J24299" s="42">
        <v>45868</v>
      </c>
      <c r="K24299" s="33" t="s">
        <v>22</v>
      </c>
    </row>
    <row r="24300" spans="1:11">
      <c r="A24300" s="30" t="s">
        <v>53577</v>
      </c>
      <c r="B24300" s="30" t="s">
        <v>53578</v>
      </c>
      <c r="C24300" s="30" t="s">
        <v>53579</v>
      </c>
      <c r="D24300" s="30" t="s">
        <v>17</v>
      </c>
      <c r="E24300" s="30" t="s">
        <v>67</v>
      </c>
      <c r="F24300" s="30" t="s">
        <v>68</v>
      </c>
      <c r="G24300" s="30" t="s">
        <v>140</v>
      </c>
      <c r="H24300" s="32">
        <v>9</v>
      </c>
      <c r="I24300" s="30" t="s">
        <v>51</v>
      </c>
      <c r="J24300" s="41">
        <v>45833</v>
      </c>
      <c r="K24300" s="30" t="s">
        <v>22</v>
      </c>
    </row>
    <row r="24301" spans="1:11">
      <c r="A24301" s="33" t="s">
        <v>53580</v>
      </c>
      <c r="B24301" s="33" t="s">
        <v>53581</v>
      </c>
      <c r="C24301" s="33" t="s">
        <v>1778</v>
      </c>
      <c r="D24301" s="33" t="s">
        <v>17</v>
      </c>
      <c r="E24301" s="33" t="s">
        <v>26</v>
      </c>
      <c r="F24301" s="33" t="s">
        <v>27</v>
      </c>
      <c r="G24301" s="33" t="s">
        <v>20</v>
      </c>
      <c r="H24301" s="35">
        <v>52</v>
      </c>
      <c r="I24301" s="33" t="s">
        <v>21</v>
      </c>
      <c r="J24301" s="42">
        <v>45719</v>
      </c>
      <c r="K24301" s="33" t="s">
        <v>22</v>
      </c>
    </row>
    <row r="24302" spans="1:11">
      <c r="A24302" s="30" t="s">
        <v>53582</v>
      </c>
      <c r="B24302" s="30" t="s">
        <v>53583</v>
      </c>
      <c r="C24302" s="30" t="s">
        <v>190</v>
      </c>
      <c r="D24302" s="30" t="s">
        <v>17</v>
      </c>
      <c r="E24302" s="30" t="s">
        <v>26</v>
      </c>
      <c r="F24302" s="30" t="s">
        <v>27</v>
      </c>
      <c r="G24302" s="30" t="s">
        <v>140</v>
      </c>
      <c r="H24302" s="32">
        <v>48</v>
      </c>
      <c r="I24302" s="30" t="s">
        <v>51</v>
      </c>
      <c r="J24302" s="41">
        <v>45993</v>
      </c>
      <c r="K24302" s="30" t="s">
        <v>22</v>
      </c>
    </row>
    <row r="24303" spans="1:11">
      <c r="A24303" s="33" t="s">
        <v>53584</v>
      </c>
      <c r="B24303" s="33" t="s">
        <v>53585</v>
      </c>
      <c r="C24303" s="33" t="s">
        <v>53586</v>
      </c>
      <c r="D24303" s="33" t="s">
        <v>17</v>
      </c>
      <c r="E24303" s="33" t="s">
        <v>67</v>
      </c>
      <c r="F24303" s="33" t="s">
        <v>68</v>
      </c>
      <c r="G24303" s="33" t="s">
        <v>140</v>
      </c>
      <c r="H24303" s="35">
        <v>40</v>
      </c>
      <c r="I24303" s="33" t="s">
        <v>51</v>
      </c>
      <c r="J24303" s="42">
        <v>45870</v>
      </c>
      <c r="K24303" s="33" t="s">
        <v>22</v>
      </c>
    </row>
    <row r="24304" spans="1:11">
      <c r="A24304" s="30" t="s">
        <v>53587</v>
      </c>
      <c r="B24304" s="30" t="s">
        <v>53588</v>
      </c>
      <c r="C24304" s="30" t="s">
        <v>1764</v>
      </c>
      <c r="D24304" s="30" t="s">
        <v>17</v>
      </c>
      <c r="E24304" s="30" t="s">
        <v>18</v>
      </c>
      <c r="F24304" s="30" t="s">
        <v>19</v>
      </c>
      <c r="G24304" s="30" t="s">
        <v>20</v>
      </c>
      <c r="H24304" s="32">
        <v>80</v>
      </c>
      <c r="I24304" s="30" t="s">
        <v>21</v>
      </c>
      <c r="J24304" s="41">
        <v>45772</v>
      </c>
      <c r="K24304" s="30" t="s">
        <v>22</v>
      </c>
    </row>
    <row r="24305" spans="1:11">
      <c r="A24305" s="33" t="s">
        <v>53589</v>
      </c>
      <c r="B24305" s="33" t="s">
        <v>53590</v>
      </c>
      <c r="C24305" s="33" t="s">
        <v>15917</v>
      </c>
      <c r="D24305" s="33" t="s">
        <v>17</v>
      </c>
      <c r="E24305" s="33" t="s">
        <v>31</v>
      </c>
      <c r="F24305" s="33" t="s">
        <v>32</v>
      </c>
      <c r="G24305" s="33" t="s">
        <v>20</v>
      </c>
      <c r="H24305" s="35">
        <v>9</v>
      </c>
      <c r="I24305" s="33" t="s">
        <v>21</v>
      </c>
      <c r="J24305" s="42">
        <v>45680</v>
      </c>
      <c r="K24305" s="33" t="s">
        <v>22</v>
      </c>
    </row>
    <row r="24306" spans="1:11">
      <c r="A24306" s="30" t="s">
        <v>53591</v>
      </c>
      <c r="B24306" s="30" t="s">
        <v>53592</v>
      </c>
      <c r="C24306" s="30" t="s">
        <v>969</v>
      </c>
      <c r="D24306" s="30" t="s">
        <v>17</v>
      </c>
      <c r="E24306" s="30" t="s">
        <v>18</v>
      </c>
      <c r="F24306" s="30" t="s">
        <v>19</v>
      </c>
      <c r="G24306" s="30" t="s">
        <v>140</v>
      </c>
      <c r="H24306" s="32">
        <v>450</v>
      </c>
      <c r="I24306" s="30" t="s">
        <v>51</v>
      </c>
      <c r="J24306" s="41">
        <v>45994</v>
      </c>
      <c r="K24306" s="30" t="s">
        <v>22</v>
      </c>
    </row>
    <row r="24307" spans="1:11">
      <c r="A24307" s="33" t="s">
        <v>53593</v>
      </c>
      <c r="B24307" s="33" t="s">
        <v>53594</v>
      </c>
      <c r="C24307" s="33" t="s">
        <v>15585</v>
      </c>
      <c r="D24307" s="33" t="s">
        <v>17</v>
      </c>
      <c r="E24307" s="33" t="s">
        <v>26</v>
      </c>
      <c r="F24307" s="33" t="s">
        <v>27</v>
      </c>
      <c r="G24307" s="33" t="s">
        <v>140</v>
      </c>
      <c r="H24307" s="35">
        <v>64</v>
      </c>
      <c r="I24307" s="33" t="s">
        <v>51</v>
      </c>
      <c r="J24307" s="42">
        <v>45925</v>
      </c>
      <c r="K24307" s="33" t="s">
        <v>22</v>
      </c>
    </row>
    <row r="24308" spans="1:11">
      <c r="A24308" s="30" t="s">
        <v>53595</v>
      </c>
      <c r="B24308" s="30" t="s">
        <v>53596</v>
      </c>
      <c r="C24308" s="30" t="s">
        <v>109</v>
      </c>
      <c r="D24308" s="30" t="s">
        <v>17</v>
      </c>
      <c r="E24308" s="30" t="s">
        <v>26</v>
      </c>
      <c r="F24308" s="30" t="s">
        <v>27</v>
      </c>
      <c r="G24308" s="30" t="s">
        <v>140</v>
      </c>
      <c r="H24308" s="32">
        <v>20</v>
      </c>
      <c r="I24308" s="30" t="s">
        <v>51</v>
      </c>
      <c r="J24308" s="41">
        <v>45924</v>
      </c>
      <c r="K24308" s="30" t="s">
        <v>22</v>
      </c>
    </row>
    <row r="24309" spans="1:11">
      <c r="A24309" s="33" t="s">
        <v>53597</v>
      </c>
      <c r="B24309" s="33" t="s">
        <v>53598</v>
      </c>
      <c r="C24309" s="33" t="s">
        <v>20147</v>
      </c>
      <c r="D24309" s="33" t="s">
        <v>17</v>
      </c>
      <c r="E24309" s="33" t="s">
        <v>18</v>
      </c>
      <c r="F24309" s="33" t="s">
        <v>19</v>
      </c>
      <c r="G24309" s="33" t="s">
        <v>2613</v>
      </c>
      <c r="H24309" s="35">
        <v>145</v>
      </c>
      <c r="I24309" s="33" t="s">
        <v>51</v>
      </c>
      <c r="J24309" s="42">
        <v>45931</v>
      </c>
      <c r="K24309" s="33" t="s">
        <v>22</v>
      </c>
    </row>
    <row r="24310" spans="1:11">
      <c r="A24310" s="30" t="s">
        <v>53599</v>
      </c>
      <c r="B24310" s="30" t="s">
        <v>53600</v>
      </c>
      <c r="C24310" s="30" t="s">
        <v>44108</v>
      </c>
      <c r="D24310" s="30" t="s">
        <v>17</v>
      </c>
      <c r="E24310" s="30" t="s">
        <v>26</v>
      </c>
      <c r="F24310" s="30" t="s">
        <v>27</v>
      </c>
      <c r="G24310" s="30" t="s">
        <v>7780</v>
      </c>
      <c r="H24310" s="32">
        <v>40</v>
      </c>
      <c r="I24310" s="30" t="s">
        <v>51</v>
      </c>
      <c r="J24310" s="41">
        <v>45931</v>
      </c>
      <c r="K24310" s="30" t="s">
        <v>22</v>
      </c>
    </row>
    <row r="24311" spans="1:11">
      <c r="A24311" s="33" t="s">
        <v>53601</v>
      </c>
      <c r="B24311" s="33" t="s">
        <v>53602</v>
      </c>
      <c r="C24311" s="33" t="s">
        <v>53603</v>
      </c>
      <c r="D24311" s="33" t="s">
        <v>17</v>
      </c>
      <c r="E24311" s="33" t="s">
        <v>67</v>
      </c>
      <c r="F24311" s="33" t="s">
        <v>68</v>
      </c>
      <c r="G24311" s="33" t="s">
        <v>140</v>
      </c>
      <c r="H24311" s="35">
        <v>76</v>
      </c>
      <c r="I24311" s="33" t="s">
        <v>51</v>
      </c>
      <c r="J24311" s="42">
        <v>45713</v>
      </c>
      <c r="K24311" s="33" t="s">
        <v>22</v>
      </c>
    </row>
    <row r="24312" spans="1:11">
      <c r="A24312" s="30" t="s">
        <v>53604</v>
      </c>
      <c r="B24312" s="30" t="s">
        <v>53605</v>
      </c>
      <c r="C24312" s="30" t="s">
        <v>53606</v>
      </c>
      <c r="D24312" s="30" t="s">
        <v>17</v>
      </c>
      <c r="E24312" s="30" t="s">
        <v>26</v>
      </c>
      <c r="F24312" s="30" t="s">
        <v>27</v>
      </c>
      <c r="G24312" s="30" t="s">
        <v>7780</v>
      </c>
      <c r="H24312" s="32">
        <v>80</v>
      </c>
      <c r="I24312" s="30" t="s">
        <v>51</v>
      </c>
      <c r="J24312" s="41">
        <v>46014</v>
      </c>
      <c r="K24312" s="30" t="s">
        <v>22</v>
      </c>
    </row>
    <row r="24313" spans="1:11">
      <c r="A24313" s="33" t="s">
        <v>53607</v>
      </c>
      <c r="B24313" s="33" t="s">
        <v>53608</v>
      </c>
      <c r="C24313" s="33" t="s">
        <v>3790</v>
      </c>
      <c r="D24313" s="33" t="s">
        <v>17</v>
      </c>
      <c r="E24313" s="33" t="s">
        <v>26</v>
      </c>
      <c r="F24313" s="33" t="s">
        <v>27</v>
      </c>
      <c r="G24313" s="33" t="s">
        <v>140</v>
      </c>
      <c r="H24313" s="35">
        <v>48</v>
      </c>
      <c r="I24313" s="33" t="s">
        <v>51</v>
      </c>
      <c r="J24313" s="42">
        <v>45664</v>
      </c>
      <c r="K24313" s="33" t="s">
        <v>22</v>
      </c>
    </row>
    <row r="24314" spans="1:11">
      <c r="A24314" s="30" t="s">
        <v>53609</v>
      </c>
      <c r="B24314" s="30" t="s">
        <v>53610</v>
      </c>
      <c r="C24314" s="30" t="s">
        <v>12980</v>
      </c>
      <c r="D24314" s="30" t="s">
        <v>17</v>
      </c>
      <c r="E24314" s="30" t="s">
        <v>26</v>
      </c>
      <c r="F24314" s="30" t="s">
        <v>27</v>
      </c>
      <c r="G24314" s="30" t="s">
        <v>20</v>
      </c>
      <c r="H24314" s="32">
        <v>6</v>
      </c>
      <c r="I24314" s="30" t="s">
        <v>21</v>
      </c>
      <c r="J24314" s="41">
        <v>45713</v>
      </c>
      <c r="K24314" s="30" t="s">
        <v>22</v>
      </c>
    </row>
    <row r="24315" spans="1:11">
      <c r="A24315" s="33" t="s">
        <v>53611</v>
      </c>
      <c r="B24315" s="33" t="s">
        <v>53612</v>
      </c>
      <c r="C24315" s="33" t="s">
        <v>109</v>
      </c>
      <c r="D24315" s="33" t="s">
        <v>17</v>
      </c>
      <c r="E24315" s="33" t="s">
        <v>18</v>
      </c>
      <c r="F24315" s="33" t="s">
        <v>19</v>
      </c>
      <c r="G24315" s="33" t="s">
        <v>140</v>
      </c>
      <c r="H24315" s="35">
        <v>180</v>
      </c>
      <c r="I24315" s="33" t="s">
        <v>51</v>
      </c>
      <c r="J24315" s="42">
        <v>45695</v>
      </c>
      <c r="K24315" s="33" t="s">
        <v>22</v>
      </c>
    </row>
    <row r="24316" spans="1:11">
      <c r="A24316" s="30" t="s">
        <v>53613</v>
      </c>
      <c r="B24316" s="30" t="s">
        <v>53614</v>
      </c>
      <c r="C24316" s="30" t="s">
        <v>3790</v>
      </c>
      <c r="D24316" s="30" t="s">
        <v>17</v>
      </c>
      <c r="E24316" s="30" t="s">
        <v>31</v>
      </c>
      <c r="F24316" s="30" t="s">
        <v>32</v>
      </c>
      <c r="G24316" s="30" t="s">
        <v>140</v>
      </c>
      <c r="H24316" s="32">
        <v>24</v>
      </c>
      <c r="I24316" s="30" t="s">
        <v>51</v>
      </c>
      <c r="J24316" s="41">
        <v>45990</v>
      </c>
      <c r="K24316" s="30" t="s">
        <v>22</v>
      </c>
    </row>
    <row r="24317" spans="1:11">
      <c r="A24317" s="33" t="s">
        <v>53615</v>
      </c>
      <c r="B24317" s="33" t="s">
        <v>53616</v>
      </c>
      <c r="C24317" s="33" t="s">
        <v>3610</v>
      </c>
      <c r="D24317" s="33" t="s">
        <v>17</v>
      </c>
      <c r="E24317" s="33" t="s">
        <v>18</v>
      </c>
      <c r="F24317" s="33" t="s">
        <v>19</v>
      </c>
      <c r="G24317" s="33" t="s">
        <v>140</v>
      </c>
      <c r="H24317" s="35">
        <v>420</v>
      </c>
      <c r="I24317" s="33" t="s">
        <v>51</v>
      </c>
      <c r="J24317" s="42">
        <v>46017</v>
      </c>
      <c r="K24317" s="33" t="s">
        <v>22</v>
      </c>
    </row>
    <row r="24318" spans="1:11">
      <c r="A24318" s="30" t="s">
        <v>53617</v>
      </c>
      <c r="B24318" s="30" t="s">
        <v>53618</v>
      </c>
      <c r="C24318" s="30" t="s">
        <v>15755</v>
      </c>
      <c r="D24318" s="30" t="s">
        <v>17</v>
      </c>
      <c r="E24318" s="30" t="s">
        <v>18</v>
      </c>
      <c r="F24318" s="30" t="s">
        <v>19</v>
      </c>
      <c r="G24318" s="30" t="s">
        <v>7780</v>
      </c>
      <c r="H24318" s="32">
        <v>120</v>
      </c>
      <c r="I24318" s="30" t="s">
        <v>51</v>
      </c>
      <c r="J24318" s="41">
        <v>45717</v>
      </c>
      <c r="K24318" s="30" t="s">
        <v>22</v>
      </c>
    </row>
    <row r="24319" spans="1:11">
      <c r="A24319" s="33" t="s">
        <v>53619</v>
      </c>
      <c r="B24319" s="33" t="s">
        <v>53620</v>
      </c>
      <c r="C24319" s="33" t="s">
        <v>203</v>
      </c>
      <c r="D24319" s="33" t="s">
        <v>17</v>
      </c>
      <c r="E24319" s="33" t="s">
        <v>18</v>
      </c>
      <c r="F24319" s="33" t="s">
        <v>19</v>
      </c>
      <c r="G24319" s="33" t="s">
        <v>140</v>
      </c>
      <c r="H24319" s="35">
        <v>85</v>
      </c>
      <c r="I24319" s="33" t="s">
        <v>51</v>
      </c>
      <c r="J24319" s="42">
        <v>46009</v>
      </c>
      <c r="K24319" s="33" t="s">
        <v>22</v>
      </c>
    </row>
    <row r="24320" spans="1:11">
      <c r="A24320" s="30" t="s">
        <v>53621</v>
      </c>
      <c r="B24320" s="30" t="s">
        <v>53622</v>
      </c>
      <c r="C24320" s="30" t="s">
        <v>53623</v>
      </c>
      <c r="D24320" s="30" t="s">
        <v>17</v>
      </c>
      <c r="E24320" s="30" t="s">
        <v>18</v>
      </c>
      <c r="F24320" s="30" t="s">
        <v>19</v>
      </c>
      <c r="G24320" s="30" t="s">
        <v>140</v>
      </c>
      <c r="H24320" s="32">
        <v>890</v>
      </c>
      <c r="I24320" s="30" t="s">
        <v>51</v>
      </c>
      <c r="J24320" s="41">
        <v>45991</v>
      </c>
      <c r="K24320" s="30" t="s">
        <v>22</v>
      </c>
    </row>
    <row r="24321" spans="1:11">
      <c r="A24321" s="33" t="s">
        <v>53624</v>
      </c>
      <c r="B24321" s="33" t="s">
        <v>53625</v>
      </c>
      <c r="C24321" s="33" t="s">
        <v>15741</v>
      </c>
      <c r="D24321" s="33" t="s">
        <v>17</v>
      </c>
      <c r="E24321" s="33" t="s">
        <v>18</v>
      </c>
      <c r="F24321" s="33" t="s">
        <v>19</v>
      </c>
      <c r="G24321" s="33" t="s">
        <v>7780</v>
      </c>
      <c r="H24321" s="35">
        <v>78</v>
      </c>
      <c r="I24321" s="33" t="s">
        <v>51</v>
      </c>
      <c r="J24321" s="42">
        <v>45962</v>
      </c>
      <c r="K24321" s="33" t="s">
        <v>22</v>
      </c>
    </row>
    <row r="24322" spans="1:11">
      <c r="A24322" s="30" t="s">
        <v>53626</v>
      </c>
      <c r="B24322" s="30" t="s">
        <v>53627</v>
      </c>
      <c r="C24322" s="30" t="s">
        <v>1498</v>
      </c>
      <c r="D24322" s="30" t="s">
        <v>17</v>
      </c>
      <c r="E24322" s="30" t="s">
        <v>18</v>
      </c>
      <c r="F24322" s="30" t="s">
        <v>19</v>
      </c>
      <c r="G24322" s="30" t="s">
        <v>158</v>
      </c>
      <c r="H24322" s="32">
        <v>153</v>
      </c>
      <c r="I24322" s="30" t="s">
        <v>21</v>
      </c>
      <c r="J24322" s="41">
        <v>45803</v>
      </c>
      <c r="K24322" s="30" t="s">
        <v>22</v>
      </c>
    </row>
    <row r="24323" spans="1:11">
      <c r="A24323" s="33" t="s">
        <v>53628</v>
      </c>
      <c r="B24323" s="33" t="s">
        <v>53629</v>
      </c>
      <c r="C24323" s="33" t="s">
        <v>13450</v>
      </c>
      <c r="D24323" s="33" t="s">
        <v>17</v>
      </c>
      <c r="E24323" s="33" t="s">
        <v>31</v>
      </c>
      <c r="F24323" s="33" t="s">
        <v>32</v>
      </c>
      <c r="G24323" s="33" t="s">
        <v>140</v>
      </c>
      <c r="H24323" s="35">
        <v>277</v>
      </c>
      <c r="I24323" s="33" t="s">
        <v>51</v>
      </c>
      <c r="J24323" s="42">
        <v>45821</v>
      </c>
      <c r="K24323" s="33" t="s">
        <v>22</v>
      </c>
    </row>
    <row r="24324" spans="1:11">
      <c r="A24324" s="30" t="s">
        <v>53630</v>
      </c>
      <c r="B24324" s="30" t="s">
        <v>53631</v>
      </c>
      <c r="C24324" s="30" t="s">
        <v>27689</v>
      </c>
      <c r="D24324" s="30" t="s">
        <v>17</v>
      </c>
      <c r="E24324" s="30" t="s">
        <v>26</v>
      </c>
      <c r="F24324" s="30" t="s">
        <v>27</v>
      </c>
      <c r="G24324" s="30" t="s">
        <v>140</v>
      </c>
      <c r="H24324" s="32">
        <v>49</v>
      </c>
      <c r="I24324" s="30" t="s">
        <v>51</v>
      </c>
      <c r="J24324" s="41">
        <v>45975</v>
      </c>
      <c r="K24324" s="30" t="s">
        <v>22</v>
      </c>
    </row>
    <row r="24325" spans="1:11">
      <c r="A24325" s="33" t="s">
        <v>53632</v>
      </c>
      <c r="B24325" s="33" t="s">
        <v>53633</v>
      </c>
      <c r="C24325" s="33" t="s">
        <v>635</v>
      </c>
      <c r="D24325" s="33" t="s">
        <v>17</v>
      </c>
      <c r="E24325" s="33" t="s">
        <v>18</v>
      </c>
      <c r="F24325" s="33" t="s">
        <v>19</v>
      </c>
      <c r="G24325" s="33" t="s">
        <v>140</v>
      </c>
      <c r="H24325" s="35">
        <v>480</v>
      </c>
      <c r="I24325" s="33" t="s">
        <v>51</v>
      </c>
      <c r="J24325" s="42">
        <v>45991</v>
      </c>
      <c r="K24325" s="33" t="s">
        <v>22</v>
      </c>
    </row>
    <row r="24326" spans="1:11">
      <c r="A24326" s="30" t="s">
        <v>53634</v>
      </c>
      <c r="B24326" s="30" t="s">
        <v>53635</v>
      </c>
      <c r="C24326" s="30" t="s">
        <v>647</v>
      </c>
      <c r="D24326" s="30" t="s">
        <v>17</v>
      </c>
      <c r="E24326" s="30" t="s">
        <v>26</v>
      </c>
      <c r="F24326" s="30" t="s">
        <v>27</v>
      </c>
      <c r="G24326" s="30" t="s">
        <v>20</v>
      </c>
      <c r="H24326" s="32">
        <v>12</v>
      </c>
      <c r="I24326" s="30" t="s">
        <v>21</v>
      </c>
      <c r="J24326" s="41">
        <v>45926</v>
      </c>
      <c r="K24326" s="30" t="s">
        <v>22</v>
      </c>
    </row>
    <row r="24327" spans="1:11">
      <c r="A24327" s="33" t="s">
        <v>53636</v>
      </c>
      <c r="B24327" s="33" t="s">
        <v>53637</v>
      </c>
      <c r="C24327" s="33" t="s">
        <v>130</v>
      </c>
      <c r="D24327" s="33" t="s">
        <v>17</v>
      </c>
      <c r="E24327" s="33" t="s">
        <v>18</v>
      </c>
      <c r="F24327" s="33" t="s">
        <v>19</v>
      </c>
      <c r="G24327" s="33" t="s">
        <v>158</v>
      </c>
      <c r="H24327" s="35">
        <v>573</v>
      </c>
      <c r="I24327" s="33" t="s">
        <v>21</v>
      </c>
      <c r="J24327" s="42">
        <v>45820</v>
      </c>
      <c r="K24327" s="33" t="s">
        <v>22</v>
      </c>
    </row>
    <row r="24328" spans="1:11">
      <c r="A24328" s="30" t="s">
        <v>53638</v>
      </c>
      <c r="B24328" s="30" t="s">
        <v>53639</v>
      </c>
      <c r="C24328" s="30" t="s">
        <v>12198</v>
      </c>
      <c r="D24328" s="30" t="s">
        <v>17</v>
      </c>
      <c r="E24328" s="30" t="s">
        <v>18</v>
      </c>
      <c r="F24328" s="30" t="s">
        <v>19</v>
      </c>
      <c r="G24328" s="30" t="s">
        <v>140</v>
      </c>
      <c r="H24328" s="32">
        <v>600</v>
      </c>
      <c r="I24328" s="30" t="s">
        <v>51</v>
      </c>
      <c r="J24328" s="41">
        <v>45979</v>
      </c>
      <c r="K24328" s="30" t="s">
        <v>22</v>
      </c>
    </row>
    <row r="24329" spans="1:11">
      <c r="A24329" s="33" t="s">
        <v>53640</v>
      </c>
      <c r="B24329" s="33" t="s">
        <v>53641</v>
      </c>
      <c r="C24329" s="33" t="s">
        <v>6127</v>
      </c>
      <c r="D24329" s="33" t="s">
        <v>17</v>
      </c>
      <c r="E24329" s="33" t="s">
        <v>18</v>
      </c>
      <c r="F24329" s="33" t="s">
        <v>19</v>
      </c>
      <c r="G24329" s="33" t="s">
        <v>140</v>
      </c>
      <c r="H24329" s="35">
        <v>11000</v>
      </c>
      <c r="I24329" s="33" t="s">
        <v>51</v>
      </c>
      <c r="J24329" s="42">
        <v>45922</v>
      </c>
      <c r="K24329" s="33" t="s">
        <v>22</v>
      </c>
    </row>
    <row r="24330" spans="1:11">
      <c r="A24330" s="30" t="s">
        <v>53642</v>
      </c>
      <c r="B24330" s="30" t="s">
        <v>53643</v>
      </c>
      <c r="C24330" s="30" t="s">
        <v>96</v>
      </c>
      <c r="D24330" s="30" t="s">
        <v>17</v>
      </c>
      <c r="E24330" s="30" t="s">
        <v>45</v>
      </c>
      <c r="F24330" s="30" t="s">
        <v>46</v>
      </c>
      <c r="G24330" s="30" t="s">
        <v>140</v>
      </c>
      <c r="H24330" s="32">
        <v>550</v>
      </c>
      <c r="I24330" s="30" t="s">
        <v>51</v>
      </c>
      <c r="J24330" s="41">
        <v>46000</v>
      </c>
      <c r="K24330" s="30" t="s">
        <v>22</v>
      </c>
    </row>
    <row r="24331" spans="1:11">
      <c r="A24331" s="33" t="s">
        <v>53644</v>
      </c>
      <c r="B24331" s="33" t="s">
        <v>53645</v>
      </c>
      <c r="C24331" s="33" t="s">
        <v>41260</v>
      </c>
      <c r="D24331" s="33" t="s">
        <v>17</v>
      </c>
      <c r="E24331" s="33" t="s">
        <v>26</v>
      </c>
      <c r="F24331" s="33" t="s">
        <v>27</v>
      </c>
      <c r="G24331" s="33" t="s">
        <v>7780</v>
      </c>
      <c r="H24331" s="35">
        <v>12</v>
      </c>
      <c r="I24331" s="33" t="s">
        <v>51</v>
      </c>
      <c r="J24331" s="42">
        <v>45658</v>
      </c>
      <c r="K24331" s="33" t="s">
        <v>22</v>
      </c>
    </row>
    <row r="24332" spans="1:11">
      <c r="A24332" s="30" t="s">
        <v>53646</v>
      </c>
      <c r="B24332" s="30" t="s">
        <v>53647</v>
      </c>
      <c r="C24332" s="30" t="s">
        <v>570</v>
      </c>
      <c r="D24332" s="30" t="s">
        <v>17</v>
      </c>
      <c r="E24332" s="30" t="s">
        <v>26</v>
      </c>
      <c r="F24332" s="30" t="s">
        <v>27</v>
      </c>
      <c r="G24332" s="30" t="s">
        <v>158</v>
      </c>
      <c r="H24332" s="32">
        <v>48</v>
      </c>
      <c r="I24332" s="30" t="s">
        <v>51</v>
      </c>
      <c r="J24332" s="41">
        <v>45753</v>
      </c>
      <c r="K24332" s="30" t="s">
        <v>22</v>
      </c>
    </row>
    <row r="24333" spans="1:11">
      <c r="A24333" s="33" t="s">
        <v>53648</v>
      </c>
      <c r="B24333" s="33" t="s">
        <v>53649</v>
      </c>
      <c r="C24333" s="33" t="s">
        <v>53650</v>
      </c>
      <c r="D24333" s="33" t="s">
        <v>17</v>
      </c>
      <c r="E24333" s="33" t="s">
        <v>26</v>
      </c>
      <c r="F24333" s="33" t="s">
        <v>27</v>
      </c>
      <c r="G24333" s="33" t="s">
        <v>140</v>
      </c>
      <c r="H24333" s="35">
        <v>96</v>
      </c>
      <c r="I24333" s="33" t="s">
        <v>51</v>
      </c>
      <c r="J24333" s="42">
        <v>45717</v>
      </c>
      <c r="K24333" s="33" t="s">
        <v>22</v>
      </c>
    </row>
    <row r="24334" spans="1:11">
      <c r="A24334" s="30" t="s">
        <v>53651</v>
      </c>
      <c r="B24334" s="30" t="s">
        <v>53652</v>
      </c>
      <c r="C24334" s="30" t="s">
        <v>44733</v>
      </c>
      <c r="D24334" s="30" t="s">
        <v>17</v>
      </c>
      <c r="E24334" s="30" t="s">
        <v>31</v>
      </c>
      <c r="F24334" s="30" t="s">
        <v>32</v>
      </c>
      <c r="G24334" s="30" t="s">
        <v>158</v>
      </c>
      <c r="H24334" s="32">
        <v>25</v>
      </c>
      <c r="I24334" s="30" t="s">
        <v>21</v>
      </c>
      <c r="J24334" s="41">
        <v>45716</v>
      </c>
      <c r="K24334" s="30" t="s">
        <v>22</v>
      </c>
    </row>
    <row r="24335" spans="1:11">
      <c r="A24335" s="33" t="s">
        <v>53653</v>
      </c>
      <c r="B24335" s="33" t="s">
        <v>53654</v>
      </c>
      <c r="C24335" s="33" t="s">
        <v>12036</v>
      </c>
      <c r="D24335" s="33" t="s">
        <v>17</v>
      </c>
      <c r="E24335" s="33" t="s">
        <v>330</v>
      </c>
      <c r="F24335" s="33" t="s">
        <v>331</v>
      </c>
      <c r="G24335" s="33" t="s">
        <v>158</v>
      </c>
      <c r="H24335" s="35">
        <v>20</v>
      </c>
      <c r="I24335" s="33" t="s">
        <v>51</v>
      </c>
      <c r="J24335" s="42">
        <v>45775</v>
      </c>
      <c r="K24335" s="33" t="s">
        <v>22</v>
      </c>
    </row>
    <row r="24336" spans="1:11">
      <c r="A24336" s="30" t="s">
        <v>53655</v>
      </c>
      <c r="B24336" s="30" t="s">
        <v>53656</v>
      </c>
      <c r="C24336" s="30" t="s">
        <v>109</v>
      </c>
      <c r="D24336" s="30" t="s">
        <v>17</v>
      </c>
      <c r="E24336" s="30" t="s">
        <v>31</v>
      </c>
      <c r="F24336" s="30" t="s">
        <v>32</v>
      </c>
      <c r="G24336" s="30" t="s">
        <v>140</v>
      </c>
      <c r="H24336" s="32">
        <v>96</v>
      </c>
      <c r="I24336" s="30" t="s">
        <v>51</v>
      </c>
      <c r="J24336" s="41">
        <v>45999</v>
      </c>
      <c r="K24336" s="30" t="s">
        <v>22</v>
      </c>
    </row>
    <row r="24337" spans="1:11">
      <c r="A24337" s="33" t="s">
        <v>53657</v>
      </c>
      <c r="B24337" s="33" t="s">
        <v>53658</v>
      </c>
      <c r="C24337" s="33" t="s">
        <v>21241</v>
      </c>
      <c r="D24337" s="33" t="s">
        <v>17</v>
      </c>
      <c r="E24337" s="33" t="s">
        <v>18</v>
      </c>
      <c r="F24337" s="33" t="s">
        <v>19</v>
      </c>
      <c r="G24337" s="33" t="s">
        <v>158</v>
      </c>
      <c r="H24337" s="35">
        <v>10000</v>
      </c>
      <c r="I24337" s="33" t="s">
        <v>51</v>
      </c>
      <c r="J24337" s="42">
        <v>45925</v>
      </c>
      <c r="K24337" s="33" t="s">
        <v>22</v>
      </c>
    </row>
    <row r="24338" spans="1:11">
      <c r="A24338" s="30" t="s">
        <v>53659</v>
      </c>
      <c r="B24338" s="30" t="s">
        <v>53660</v>
      </c>
      <c r="C24338" s="30" t="s">
        <v>39233</v>
      </c>
      <c r="D24338" s="30" t="s">
        <v>17</v>
      </c>
      <c r="E24338" s="30" t="s">
        <v>67</v>
      </c>
      <c r="F24338" s="30" t="s">
        <v>68</v>
      </c>
      <c r="G24338" s="30" t="s">
        <v>158</v>
      </c>
      <c r="H24338" s="32">
        <v>266</v>
      </c>
      <c r="I24338" s="30" t="s">
        <v>51</v>
      </c>
      <c r="J24338" s="41">
        <v>45880</v>
      </c>
      <c r="K24338" s="30" t="s">
        <v>22</v>
      </c>
    </row>
    <row r="24339" spans="1:11">
      <c r="A24339" s="33" t="s">
        <v>53661</v>
      </c>
      <c r="B24339" s="33" t="s">
        <v>53662</v>
      </c>
      <c r="C24339" s="33" t="s">
        <v>50946</v>
      </c>
      <c r="D24339" s="33" t="s">
        <v>17</v>
      </c>
      <c r="E24339" s="33" t="s">
        <v>26</v>
      </c>
      <c r="F24339" s="33" t="s">
        <v>27</v>
      </c>
      <c r="G24339" s="33" t="s">
        <v>20</v>
      </c>
      <c r="H24339" s="35">
        <v>18</v>
      </c>
      <c r="I24339" s="33" t="s">
        <v>21</v>
      </c>
      <c r="J24339" s="42">
        <v>46006</v>
      </c>
      <c r="K24339" s="33" t="s">
        <v>22</v>
      </c>
    </row>
    <row r="24340" spans="1:11">
      <c r="A24340" s="30" t="s">
        <v>53663</v>
      </c>
      <c r="B24340" s="30" t="s">
        <v>53664</v>
      </c>
      <c r="C24340" s="30" t="s">
        <v>42561</v>
      </c>
      <c r="D24340" s="30" t="s">
        <v>17</v>
      </c>
      <c r="E24340" s="30" t="s">
        <v>26</v>
      </c>
      <c r="F24340" s="30" t="s">
        <v>27</v>
      </c>
      <c r="G24340" s="30" t="s">
        <v>140</v>
      </c>
      <c r="H24340" s="32">
        <v>24</v>
      </c>
      <c r="I24340" s="30" t="s">
        <v>51</v>
      </c>
      <c r="J24340" s="41">
        <v>45881</v>
      </c>
      <c r="K24340" s="30" t="s">
        <v>22</v>
      </c>
    </row>
    <row r="24341" spans="1:11">
      <c r="A24341" s="33" t="s">
        <v>53665</v>
      </c>
      <c r="B24341" s="33" t="s">
        <v>53666</v>
      </c>
      <c r="C24341" s="33" t="s">
        <v>399</v>
      </c>
      <c r="D24341" s="33" t="s">
        <v>17</v>
      </c>
      <c r="E24341" s="33" t="s">
        <v>26</v>
      </c>
      <c r="F24341" s="33" t="s">
        <v>27</v>
      </c>
      <c r="G24341" s="33" t="s">
        <v>20</v>
      </c>
      <c r="H24341" s="35">
        <v>24</v>
      </c>
      <c r="I24341" s="33" t="s">
        <v>21</v>
      </c>
      <c r="J24341" s="42">
        <v>45729</v>
      </c>
      <c r="K24341" s="33" t="s">
        <v>22</v>
      </c>
    </row>
    <row r="24342" spans="1:11">
      <c r="A24342" s="30" t="s">
        <v>53667</v>
      </c>
      <c r="B24342" s="30" t="s">
        <v>53668</v>
      </c>
      <c r="C24342" s="30" t="s">
        <v>96</v>
      </c>
      <c r="D24342" s="30" t="s">
        <v>17</v>
      </c>
      <c r="E24342" s="30" t="s">
        <v>26</v>
      </c>
      <c r="F24342" s="30" t="s">
        <v>27</v>
      </c>
      <c r="G24342" s="30" t="s">
        <v>106</v>
      </c>
      <c r="H24342" s="32">
        <v>7</v>
      </c>
      <c r="I24342" s="30" t="s">
        <v>21</v>
      </c>
      <c r="J24342" s="41">
        <v>45874</v>
      </c>
      <c r="K24342" s="30" t="s">
        <v>22</v>
      </c>
    </row>
    <row r="24343" spans="1:11">
      <c r="A24343" s="33" t="s">
        <v>53669</v>
      </c>
      <c r="B24343" s="33" t="s">
        <v>53670</v>
      </c>
      <c r="C24343" s="33" t="s">
        <v>5050</v>
      </c>
      <c r="D24343" s="33" t="s">
        <v>17</v>
      </c>
      <c r="E24343" s="33" t="s">
        <v>26</v>
      </c>
      <c r="F24343" s="33" t="s">
        <v>27</v>
      </c>
      <c r="G24343" s="33" t="s">
        <v>20</v>
      </c>
      <c r="H24343" s="35">
        <v>60</v>
      </c>
      <c r="I24343" s="33" t="s">
        <v>21</v>
      </c>
      <c r="J24343" s="42">
        <v>45668</v>
      </c>
      <c r="K24343" s="33" t="s">
        <v>22</v>
      </c>
    </row>
    <row r="24344" spans="1:11">
      <c r="A24344" s="30" t="s">
        <v>53671</v>
      </c>
      <c r="B24344" s="30" t="s">
        <v>53672</v>
      </c>
      <c r="C24344" s="30" t="s">
        <v>53673</v>
      </c>
      <c r="D24344" s="30" t="s">
        <v>17</v>
      </c>
      <c r="E24344" s="30" t="s">
        <v>26</v>
      </c>
      <c r="F24344" s="30" t="s">
        <v>27</v>
      </c>
      <c r="G24344" s="30" t="s">
        <v>140</v>
      </c>
      <c r="H24344" s="32">
        <v>18</v>
      </c>
      <c r="I24344" s="30" t="s">
        <v>51</v>
      </c>
      <c r="J24344" s="41">
        <v>45735</v>
      </c>
      <c r="K24344" s="30" t="s">
        <v>22</v>
      </c>
    </row>
    <row r="24345" spans="1:11">
      <c r="A24345" s="33" t="s">
        <v>53674</v>
      </c>
      <c r="B24345" s="33" t="s">
        <v>53675</v>
      </c>
      <c r="C24345" s="33" t="s">
        <v>149</v>
      </c>
      <c r="D24345" s="33" t="s">
        <v>17</v>
      </c>
      <c r="E24345" s="33" t="s">
        <v>31</v>
      </c>
      <c r="F24345" s="33" t="s">
        <v>32</v>
      </c>
      <c r="G24345" s="33" t="s">
        <v>140</v>
      </c>
      <c r="H24345" s="35">
        <v>176</v>
      </c>
      <c r="I24345" s="33" t="s">
        <v>51</v>
      </c>
      <c r="J24345" s="42">
        <v>45996</v>
      </c>
      <c r="K24345" s="33" t="s">
        <v>22</v>
      </c>
    </row>
    <row r="24346" spans="1:11">
      <c r="A24346" s="30" t="s">
        <v>53676</v>
      </c>
      <c r="B24346" s="30" t="s">
        <v>53677</v>
      </c>
      <c r="C24346" s="30" t="s">
        <v>136</v>
      </c>
      <c r="D24346" s="30" t="s">
        <v>17</v>
      </c>
      <c r="E24346" s="30" t="s">
        <v>31</v>
      </c>
      <c r="F24346" s="30" t="s">
        <v>32</v>
      </c>
      <c r="G24346" s="30" t="s">
        <v>158</v>
      </c>
      <c r="H24346" s="32">
        <v>13</v>
      </c>
      <c r="I24346" s="30" t="s">
        <v>51</v>
      </c>
      <c r="J24346" s="41">
        <v>45876</v>
      </c>
      <c r="K24346" s="30" t="s">
        <v>22</v>
      </c>
    </row>
    <row r="24347" spans="1:11">
      <c r="A24347" s="33" t="s">
        <v>53678</v>
      </c>
      <c r="B24347" s="33" t="s">
        <v>53679</v>
      </c>
      <c r="C24347" s="33" t="s">
        <v>53680</v>
      </c>
      <c r="D24347" s="33" t="s">
        <v>17</v>
      </c>
      <c r="E24347" s="33" t="s">
        <v>67</v>
      </c>
      <c r="F24347" s="33" t="s">
        <v>68</v>
      </c>
      <c r="G24347" s="33" t="s">
        <v>20</v>
      </c>
      <c r="H24347" s="35">
        <v>20</v>
      </c>
      <c r="I24347" s="33" t="s">
        <v>21</v>
      </c>
      <c r="J24347" s="42">
        <v>45727</v>
      </c>
      <c r="K24347" s="33" t="s">
        <v>22</v>
      </c>
    </row>
    <row r="24348" spans="1:11">
      <c r="A24348" s="30" t="s">
        <v>53681</v>
      </c>
      <c r="B24348" s="30" t="s">
        <v>53682</v>
      </c>
      <c r="C24348" s="30" t="s">
        <v>53683</v>
      </c>
      <c r="D24348" s="30" t="s">
        <v>17</v>
      </c>
      <c r="E24348" s="30" t="s">
        <v>18</v>
      </c>
      <c r="F24348" s="30" t="s">
        <v>19</v>
      </c>
      <c r="G24348" s="30" t="s">
        <v>7780</v>
      </c>
      <c r="H24348" s="32">
        <v>279</v>
      </c>
      <c r="I24348" s="30" t="s">
        <v>51</v>
      </c>
      <c r="J24348" s="41">
        <v>45762</v>
      </c>
      <c r="K24348" s="30" t="s">
        <v>22</v>
      </c>
    </row>
    <row r="24349" spans="1:11">
      <c r="A24349" s="33" t="s">
        <v>53684</v>
      </c>
      <c r="B24349" s="33" t="s">
        <v>53685</v>
      </c>
      <c r="C24349" s="33" t="s">
        <v>969</v>
      </c>
      <c r="D24349" s="33" t="s">
        <v>17</v>
      </c>
      <c r="E24349" s="33" t="s">
        <v>67</v>
      </c>
      <c r="F24349" s="33" t="s">
        <v>68</v>
      </c>
      <c r="G24349" s="33" t="s">
        <v>140</v>
      </c>
      <c r="H24349" s="35">
        <v>47</v>
      </c>
      <c r="I24349" s="33" t="s">
        <v>51</v>
      </c>
      <c r="J24349" s="42">
        <v>45950</v>
      </c>
      <c r="K24349" s="33" t="s">
        <v>22</v>
      </c>
    </row>
    <row r="24350" spans="1:11">
      <c r="A24350" s="30" t="s">
        <v>53686</v>
      </c>
      <c r="B24350" s="30" t="s">
        <v>53687</v>
      </c>
      <c r="C24350" s="30" t="s">
        <v>2382</v>
      </c>
      <c r="D24350" s="30" t="s">
        <v>17</v>
      </c>
      <c r="E24350" s="30" t="s">
        <v>67</v>
      </c>
      <c r="F24350" s="30" t="s">
        <v>68</v>
      </c>
      <c r="G24350" s="30" t="s">
        <v>140</v>
      </c>
      <c r="H24350" s="32">
        <v>294</v>
      </c>
      <c r="I24350" s="30" t="s">
        <v>51</v>
      </c>
      <c r="J24350" s="41">
        <v>45806</v>
      </c>
      <c r="K24350" s="30" t="s">
        <v>22</v>
      </c>
    </row>
    <row r="24351" spans="1:11">
      <c r="A24351" s="33" t="s">
        <v>53688</v>
      </c>
      <c r="B24351" s="33" t="s">
        <v>53689</v>
      </c>
      <c r="C24351" s="33" t="s">
        <v>1571</v>
      </c>
      <c r="D24351" s="33" t="s">
        <v>17</v>
      </c>
      <c r="E24351" s="33" t="s">
        <v>26</v>
      </c>
      <c r="F24351" s="33" t="s">
        <v>27</v>
      </c>
      <c r="G24351" s="33" t="s">
        <v>140</v>
      </c>
      <c r="H24351" s="35">
        <v>266</v>
      </c>
      <c r="I24351" s="33" t="s">
        <v>51</v>
      </c>
      <c r="J24351" s="42">
        <v>45860</v>
      </c>
      <c r="K24351" s="33" t="s">
        <v>22</v>
      </c>
    </row>
    <row r="24352" spans="1:11">
      <c r="A24352" s="30" t="s">
        <v>53690</v>
      </c>
      <c r="B24352" s="30" t="s">
        <v>53691</v>
      </c>
      <c r="C24352" s="30" t="s">
        <v>49</v>
      </c>
      <c r="D24352" s="30" t="s">
        <v>17</v>
      </c>
      <c r="E24352" s="30" t="s">
        <v>26</v>
      </c>
      <c r="F24352" s="30" t="s">
        <v>27</v>
      </c>
      <c r="G24352" s="30" t="s">
        <v>140</v>
      </c>
      <c r="H24352" s="32">
        <v>100</v>
      </c>
      <c r="I24352" s="30" t="s">
        <v>51</v>
      </c>
      <c r="J24352" s="41">
        <v>45923</v>
      </c>
      <c r="K24352" s="30" t="s">
        <v>22</v>
      </c>
    </row>
    <row r="24353" spans="1:11">
      <c r="A24353" s="33" t="s">
        <v>53692</v>
      </c>
      <c r="B24353" s="33" t="s">
        <v>53693</v>
      </c>
      <c r="C24353" s="33" t="s">
        <v>49995</v>
      </c>
      <c r="D24353" s="33" t="s">
        <v>17</v>
      </c>
      <c r="E24353" s="33" t="s">
        <v>26</v>
      </c>
      <c r="F24353" s="33" t="s">
        <v>27</v>
      </c>
      <c r="G24353" s="33" t="s">
        <v>158</v>
      </c>
      <c r="H24353" s="35">
        <v>72</v>
      </c>
      <c r="I24353" s="33" t="s">
        <v>51</v>
      </c>
      <c r="J24353" s="42">
        <v>45952</v>
      </c>
      <c r="K24353" s="33" t="s">
        <v>22</v>
      </c>
    </row>
    <row r="24354" spans="1:11">
      <c r="A24354" s="30" t="s">
        <v>53694</v>
      </c>
      <c r="B24354" s="30" t="s">
        <v>53695</v>
      </c>
      <c r="C24354" s="30" t="s">
        <v>2289</v>
      </c>
      <c r="D24354" s="30" t="s">
        <v>17</v>
      </c>
      <c r="E24354" s="30" t="s">
        <v>18</v>
      </c>
      <c r="F24354" s="30" t="s">
        <v>19</v>
      </c>
      <c r="G24354" s="30" t="s">
        <v>140</v>
      </c>
      <c r="H24354" s="32">
        <v>30</v>
      </c>
      <c r="I24354" s="30" t="s">
        <v>51</v>
      </c>
      <c r="J24354" s="41">
        <v>45912</v>
      </c>
      <c r="K24354" s="30" t="s">
        <v>22</v>
      </c>
    </row>
    <row r="24355" spans="1:11">
      <c r="A24355" s="33" t="s">
        <v>53696</v>
      </c>
      <c r="B24355" s="33" t="s">
        <v>53697</v>
      </c>
      <c r="C24355" s="33" t="s">
        <v>1085</v>
      </c>
      <c r="D24355" s="33" t="s">
        <v>17</v>
      </c>
      <c r="E24355" s="33" t="s">
        <v>67</v>
      </c>
      <c r="F24355" s="33" t="s">
        <v>68</v>
      </c>
      <c r="G24355" s="33" t="s">
        <v>112</v>
      </c>
      <c r="H24355" s="35">
        <v>0</v>
      </c>
      <c r="I24355" s="33" t="s">
        <v>21</v>
      </c>
      <c r="J24355" s="42">
        <v>45882</v>
      </c>
      <c r="K24355" s="33" t="s">
        <v>22</v>
      </c>
    </row>
    <row r="24356" spans="1:11">
      <c r="A24356" s="30" t="s">
        <v>53698</v>
      </c>
      <c r="B24356" s="30" t="s">
        <v>53699</v>
      </c>
      <c r="C24356" s="30" t="s">
        <v>53700</v>
      </c>
      <c r="D24356" s="30" t="s">
        <v>17</v>
      </c>
      <c r="E24356" s="30" t="s">
        <v>67</v>
      </c>
      <c r="F24356" s="30" t="s">
        <v>68</v>
      </c>
      <c r="G24356" s="30" t="s">
        <v>20</v>
      </c>
      <c r="H24356" s="32">
        <v>35</v>
      </c>
      <c r="I24356" s="30" t="s">
        <v>21</v>
      </c>
      <c r="J24356" s="41">
        <v>45888</v>
      </c>
      <c r="K24356" s="30" t="s">
        <v>22</v>
      </c>
    </row>
    <row r="24357" spans="1:11">
      <c r="A24357" s="33" t="s">
        <v>53701</v>
      </c>
      <c r="B24357" s="33" t="s">
        <v>53702</v>
      </c>
      <c r="C24357" s="33" t="s">
        <v>190</v>
      </c>
      <c r="D24357" s="33" t="s">
        <v>17</v>
      </c>
      <c r="E24357" s="33" t="s">
        <v>26</v>
      </c>
      <c r="F24357" s="33" t="s">
        <v>27</v>
      </c>
      <c r="G24357" s="33" t="s">
        <v>20</v>
      </c>
      <c r="H24357" s="35">
        <v>8</v>
      </c>
      <c r="I24357" s="33" t="s">
        <v>21</v>
      </c>
      <c r="J24357" s="42">
        <v>45722</v>
      </c>
      <c r="K24357" s="33" t="s">
        <v>22</v>
      </c>
    </row>
    <row r="24358" spans="1:11">
      <c r="A24358" s="30" t="s">
        <v>53703</v>
      </c>
      <c r="B24358" s="30" t="s">
        <v>53704</v>
      </c>
      <c r="C24358" s="30" t="s">
        <v>53291</v>
      </c>
      <c r="D24358" s="30" t="s">
        <v>17</v>
      </c>
      <c r="E24358" s="30" t="s">
        <v>26</v>
      </c>
      <c r="F24358" s="30" t="s">
        <v>27</v>
      </c>
      <c r="G24358" s="30" t="s">
        <v>7780</v>
      </c>
      <c r="H24358" s="32">
        <v>30</v>
      </c>
      <c r="I24358" s="30" t="s">
        <v>51</v>
      </c>
      <c r="J24358" s="41">
        <v>45901</v>
      </c>
      <c r="K24358" s="30" t="s">
        <v>22</v>
      </c>
    </row>
    <row r="24359" spans="1:11">
      <c r="A24359" s="33" t="s">
        <v>53705</v>
      </c>
      <c r="B24359" s="33" t="s">
        <v>53706</v>
      </c>
      <c r="C24359" s="33" t="s">
        <v>18986</v>
      </c>
      <c r="D24359" s="33" t="s">
        <v>17</v>
      </c>
      <c r="E24359" s="33" t="s">
        <v>26</v>
      </c>
      <c r="F24359" s="33" t="s">
        <v>27</v>
      </c>
      <c r="G24359" s="33" t="s">
        <v>20</v>
      </c>
      <c r="H24359" s="35">
        <v>20</v>
      </c>
      <c r="I24359" s="33" t="s">
        <v>21</v>
      </c>
      <c r="J24359" s="42">
        <v>46008</v>
      </c>
      <c r="K24359" s="33" t="s">
        <v>22</v>
      </c>
    </row>
    <row r="24360" spans="1:11">
      <c r="A24360" s="30" t="s">
        <v>53707</v>
      </c>
      <c r="B24360" s="30" t="s">
        <v>53708</v>
      </c>
      <c r="C24360" s="30" t="s">
        <v>549</v>
      </c>
      <c r="D24360" s="30" t="s">
        <v>17</v>
      </c>
      <c r="E24360" s="30" t="s">
        <v>26</v>
      </c>
      <c r="F24360" s="30" t="s">
        <v>27</v>
      </c>
      <c r="G24360" s="30" t="s">
        <v>20</v>
      </c>
      <c r="H24360" s="32">
        <v>14</v>
      </c>
      <c r="I24360" s="30" t="s">
        <v>21</v>
      </c>
      <c r="J24360" s="41">
        <v>45953</v>
      </c>
      <c r="K24360" s="30" t="s">
        <v>22</v>
      </c>
    </row>
    <row r="24361" spans="1:11">
      <c r="A24361" s="33" t="s">
        <v>53709</v>
      </c>
      <c r="B24361" s="33" t="s">
        <v>53710</v>
      </c>
      <c r="C24361" s="33" t="s">
        <v>570</v>
      </c>
      <c r="D24361" s="33" t="s">
        <v>17</v>
      </c>
      <c r="E24361" s="33" t="s">
        <v>18</v>
      </c>
      <c r="F24361" s="33" t="s">
        <v>19</v>
      </c>
      <c r="G24361" s="33" t="s">
        <v>140</v>
      </c>
      <c r="H24361" s="35">
        <v>602</v>
      </c>
      <c r="I24361" s="33" t="s">
        <v>51</v>
      </c>
      <c r="J24361" s="42">
        <v>45908</v>
      </c>
      <c r="K24361" s="33" t="s">
        <v>22</v>
      </c>
    </row>
    <row r="24362" spans="1:11">
      <c r="A24362" s="30" t="s">
        <v>53711</v>
      </c>
      <c r="B24362" s="30" t="s">
        <v>53712</v>
      </c>
      <c r="C24362" s="30" t="s">
        <v>15718</v>
      </c>
      <c r="D24362" s="30" t="s">
        <v>17</v>
      </c>
      <c r="E24362" s="30" t="s">
        <v>18</v>
      </c>
      <c r="F24362" s="30" t="s">
        <v>19</v>
      </c>
      <c r="G24362" s="30" t="s">
        <v>112</v>
      </c>
      <c r="H24362" s="32">
        <v>0</v>
      </c>
      <c r="I24362" s="30" t="s">
        <v>21</v>
      </c>
      <c r="J24362" s="41">
        <v>45931</v>
      </c>
      <c r="K24362" s="30" t="s">
        <v>22</v>
      </c>
    </row>
    <row r="24363" spans="1:11">
      <c r="A24363" s="33" t="s">
        <v>53713</v>
      </c>
      <c r="B24363" s="33" t="s">
        <v>53714</v>
      </c>
      <c r="C24363" s="33" t="s">
        <v>18714</v>
      </c>
      <c r="D24363" s="33" t="s">
        <v>17</v>
      </c>
      <c r="E24363" s="33" t="s">
        <v>31</v>
      </c>
      <c r="F24363" s="33" t="s">
        <v>32</v>
      </c>
      <c r="G24363" s="33" t="s">
        <v>158</v>
      </c>
      <c r="H24363" s="35">
        <v>60</v>
      </c>
      <c r="I24363" s="33" t="s">
        <v>51</v>
      </c>
      <c r="J24363" s="42">
        <v>45755</v>
      </c>
      <c r="K24363" s="33" t="s">
        <v>22</v>
      </c>
    </row>
    <row r="24364" spans="1:11">
      <c r="A24364" s="30" t="s">
        <v>53715</v>
      </c>
      <c r="B24364" s="30" t="s">
        <v>53716</v>
      </c>
      <c r="C24364" s="30" t="s">
        <v>33886</v>
      </c>
      <c r="D24364" s="30" t="s">
        <v>17</v>
      </c>
      <c r="E24364" s="30" t="s">
        <v>26</v>
      </c>
      <c r="F24364" s="30" t="s">
        <v>27</v>
      </c>
      <c r="G24364" s="30" t="s">
        <v>140</v>
      </c>
      <c r="H24364" s="32">
        <v>71</v>
      </c>
      <c r="I24364" s="30" t="s">
        <v>51</v>
      </c>
      <c r="J24364" s="41">
        <v>45741</v>
      </c>
      <c r="K24364" s="30" t="s">
        <v>22</v>
      </c>
    </row>
    <row r="24365" spans="1:11">
      <c r="A24365" s="33" t="s">
        <v>53717</v>
      </c>
      <c r="B24365" s="33" t="s">
        <v>53718</v>
      </c>
      <c r="C24365" s="33" t="s">
        <v>11599</v>
      </c>
      <c r="D24365" s="33" t="s">
        <v>17</v>
      </c>
      <c r="E24365" s="33" t="s">
        <v>18</v>
      </c>
      <c r="F24365" s="33" t="s">
        <v>19</v>
      </c>
      <c r="G24365" s="33" t="s">
        <v>158</v>
      </c>
      <c r="H24365" s="35">
        <v>120</v>
      </c>
      <c r="I24365" s="33" t="s">
        <v>21</v>
      </c>
      <c r="J24365" s="42">
        <v>45957</v>
      </c>
      <c r="K24365" s="33" t="s">
        <v>22</v>
      </c>
    </row>
    <row r="24366" spans="1:11">
      <c r="A24366" s="30" t="s">
        <v>53719</v>
      </c>
      <c r="B24366" s="30" t="s">
        <v>53720</v>
      </c>
      <c r="C24366" s="30" t="s">
        <v>7588</v>
      </c>
      <c r="D24366" s="30" t="s">
        <v>17</v>
      </c>
      <c r="E24366" s="30" t="s">
        <v>31</v>
      </c>
      <c r="F24366" s="30" t="s">
        <v>32</v>
      </c>
      <c r="G24366" s="30" t="s">
        <v>158</v>
      </c>
      <c r="H24366" s="32">
        <v>411</v>
      </c>
      <c r="I24366" s="30" t="s">
        <v>21</v>
      </c>
      <c r="J24366" s="41">
        <v>45726</v>
      </c>
      <c r="K24366" s="30" t="s">
        <v>22</v>
      </c>
    </row>
    <row r="24367" spans="1:11">
      <c r="A24367" s="33" t="s">
        <v>53721</v>
      </c>
      <c r="B24367" s="33" t="s">
        <v>53722</v>
      </c>
      <c r="C24367" s="33" t="s">
        <v>11434</v>
      </c>
      <c r="D24367" s="33" t="s">
        <v>17</v>
      </c>
      <c r="E24367" s="33" t="s">
        <v>18</v>
      </c>
      <c r="F24367" s="33" t="s">
        <v>19</v>
      </c>
      <c r="G24367" s="33" t="s">
        <v>20</v>
      </c>
      <c r="H24367" s="35">
        <v>169</v>
      </c>
      <c r="I24367" s="33" t="s">
        <v>21</v>
      </c>
      <c r="J24367" s="42">
        <v>45943</v>
      </c>
      <c r="K24367" s="33" t="s">
        <v>22</v>
      </c>
    </row>
    <row r="24368" spans="1:11">
      <c r="A24368" s="30" t="s">
        <v>53723</v>
      </c>
      <c r="B24368" s="30" t="s">
        <v>53724</v>
      </c>
      <c r="C24368" s="30" t="s">
        <v>20111</v>
      </c>
      <c r="D24368" s="30" t="s">
        <v>17</v>
      </c>
      <c r="E24368" s="30" t="s">
        <v>212</v>
      </c>
      <c r="F24368" s="30" t="s">
        <v>213</v>
      </c>
      <c r="G24368" s="30" t="s">
        <v>140</v>
      </c>
      <c r="H24368" s="32">
        <v>224</v>
      </c>
      <c r="I24368" s="30" t="s">
        <v>51</v>
      </c>
      <c r="J24368" s="41">
        <v>45768</v>
      </c>
      <c r="K24368" s="30" t="s">
        <v>22</v>
      </c>
    </row>
    <row r="24369" spans="1:11">
      <c r="A24369" s="33" t="s">
        <v>53725</v>
      </c>
      <c r="B24369" s="33" t="s">
        <v>53726</v>
      </c>
      <c r="C24369" s="33" t="s">
        <v>6071</v>
      </c>
      <c r="D24369" s="33" t="s">
        <v>17</v>
      </c>
      <c r="E24369" s="33" t="s">
        <v>18</v>
      </c>
      <c r="F24369" s="33" t="s">
        <v>19</v>
      </c>
      <c r="G24369" s="33" t="s">
        <v>140</v>
      </c>
      <c r="H24369" s="35">
        <v>228</v>
      </c>
      <c r="I24369" s="33" t="s">
        <v>51</v>
      </c>
      <c r="J24369" s="42">
        <v>45667</v>
      </c>
      <c r="K24369" s="33" t="s">
        <v>22</v>
      </c>
    </row>
    <row r="24370" spans="1:11">
      <c r="A24370" s="30" t="s">
        <v>53727</v>
      </c>
      <c r="B24370" s="30" t="s">
        <v>53728</v>
      </c>
      <c r="C24370" s="30" t="s">
        <v>53729</v>
      </c>
      <c r="D24370" s="30" t="s">
        <v>17</v>
      </c>
      <c r="E24370" s="30" t="s">
        <v>26</v>
      </c>
      <c r="F24370" s="30" t="s">
        <v>27</v>
      </c>
      <c r="G24370" s="30" t="s">
        <v>158</v>
      </c>
      <c r="H24370" s="32">
        <v>32</v>
      </c>
      <c r="I24370" s="30" t="s">
        <v>21</v>
      </c>
      <c r="J24370" s="41">
        <v>45886</v>
      </c>
      <c r="K24370" s="30" t="s">
        <v>22</v>
      </c>
    </row>
    <row r="24371" spans="1:11">
      <c r="A24371" s="33" t="s">
        <v>53730</v>
      </c>
      <c r="B24371" s="33" t="s">
        <v>53731</v>
      </c>
      <c r="C24371" s="33" t="s">
        <v>26361</v>
      </c>
      <c r="D24371" s="33" t="s">
        <v>17</v>
      </c>
      <c r="E24371" s="33" t="s">
        <v>31</v>
      </c>
      <c r="F24371" s="33" t="s">
        <v>32</v>
      </c>
      <c r="G24371" s="33" t="s">
        <v>158</v>
      </c>
      <c r="H24371" s="35">
        <v>840</v>
      </c>
      <c r="I24371" s="33" t="s">
        <v>51</v>
      </c>
      <c r="J24371" s="42">
        <v>45953</v>
      </c>
      <c r="K24371" s="33" t="s">
        <v>22</v>
      </c>
    </row>
    <row r="24372" spans="1:11">
      <c r="A24372" s="30" t="s">
        <v>53732</v>
      </c>
      <c r="B24372" s="30" t="s">
        <v>53733</v>
      </c>
      <c r="C24372" s="30" t="s">
        <v>190</v>
      </c>
      <c r="D24372" s="30" t="s">
        <v>17</v>
      </c>
      <c r="E24372" s="30" t="s">
        <v>31</v>
      </c>
      <c r="F24372" s="30" t="s">
        <v>32</v>
      </c>
      <c r="G24372" s="30" t="s">
        <v>140</v>
      </c>
      <c r="H24372" s="32">
        <v>435</v>
      </c>
      <c r="I24372" s="30" t="s">
        <v>51</v>
      </c>
      <c r="J24372" s="41">
        <v>45967</v>
      </c>
      <c r="K24372" s="30" t="s">
        <v>22</v>
      </c>
    </row>
    <row r="24373" spans="1:11">
      <c r="A24373" s="33" t="s">
        <v>53734</v>
      </c>
      <c r="B24373" s="33" t="s">
        <v>53735</v>
      </c>
      <c r="C24373" s="33" t="s">
        <v>318</v>
      </c>
      <c r="D24373" s="33" t="s">
        <v>17</v>
      </c>
      <c r="E24373" s="33" t="s">
        <v>26</v>
      </c>
      <c r="F24373" s="33" t="s">
        <v>27</v>
      </c>
      <c r="G24373" s="33" t="s">
        <v>20</v>
      </c>
      <c r="H24373" s="35">
        <v>348</v>
      </c>
      <c r="I24373" s="33" t="s">
        <v>21</v>
      </c>
      <c r="J24373" s="42">
        <v>45940</v>
      </c>
      <c r="K24373" s="33" t="s">
        <v>22</v>
      </c>
    </row>
    <row r="24374" spans="1:11">
      <c r="A24374" s="30" t="s">
        <v>53736</v>
      </c>
      <c r="B24374" s="30" t="s">
        <v>53737</v>
      </c>
      <c r="C24374" s="30" t="s">
        <v>647</v>
      </c>
      <c r="D24374" s="30" t="s">
        <v>17</v>
      </c>
      <c r="E24374" s="30" t="s">
        <v>31</v>
      </c>
      <c r="F24374" s="30" t="s">
        <v>32</v>
      </c>
      <c r="G24374" s="30" t="s">
        <v>158</v>
      </c>
      <c r="H24374" s="32">
        <v>130</v>
      </c>
      <c r="I24374" s="30" t="s">
        <v>51</v>
      </c>
      <c r="J24374" s="41">
        <v>45789</v>
      </c>
      <c r="K24374" s="30" t="s">
        <v>22</v>
      </c>
    </row>
    <row r="24375" spans="1:11">
      <c r="A24375" s="33" t="s">
        <v>53738</v>
      </c>
      <c r="B24375" s="33" t="s">
        <v>53739</v>
      </c>
      <c r="C24375" s="33" t="s">
        <v>2839</v>
      </c>
      <c r="D24375" s="33" t="s">
        <v>17</v>
      </c>
      <c r="E24375" s="33" t="s">
        <v>31</v>
      </c>
      <c r="F24375" s="33" t="s">
        <v>32</v>
      </c>
      <c r="G24375" s="33" t="s">
        <v>7780</v>
      </c>
      <c r="H24375" s="35">
        <v>80</v>
      </c>
      <c r="I24375" s="33" t="s">
        <v>51</v>
      </c>
      <c r="J24375" s="42">
        <v>45717</v>
      </c>
      <c r="K24375" s="33" t="s">
        <v>22</v>
      </c>
    </row>
    <row r="24376" spans="1:11">
      <c r="A24376" s="30" t="s">
        <v>53740</v>
      </c>
      <c r="B24376" s="30" t="s">
        <v>53741</v>
      </c>
      <c r="C24376" s="30" t="s">
        <v>635</v>
      </c>
      <c r="D24376" s="30" t="s">
        <v>17</v>
      </c>
      <c r="E24376" s="30" t="s">
        <v>18</v>
      </c>
      <c r="F24376" s="30" t="s">
        <v>19</v>
      </c>
      <c r="G24376" s="30" t="s">
        <v>140</v>
      </c>
      <c r="H24376" s="32">
        <v>99</v>
      </c>
      <c r="I24376" s="30" t="s">
        <v>51</v>
      </c>
      <c r="J24376" s="41">
        <v>45996</v>
      </c>
      <c r="K24376" s="30" t="s">
        <v>22</v>
      </c>
    </row>
    <row r="24377" spans="1:11">
      <c r="A24377" s="33" t="s">
        <v>53742</v>
      </c>
      <c r="B24377" s="33" t="s">
        <v>53743</v>
      </c>
      <c r="C24377" s="33" t="s">
        <v>53744</v>
      </c>
      <c r="D24377" s="33" t="s">
        <v>17</v>
      </c>
      <c r="E24377" s="33" t="s">
        <v>26</v>
      </c>
      <c r="F24377" s="33" t="s">
        <v>27</v>
      </c>
      <c r="G24377" s="33" t="s">
        <v>140</v>
      </c>
      <c r="H24377" s="35">
        <v>48</v>
      </c>
      <c r="I24377" s="33" t="s">
        <v>51</v>
      </c>
      <c r="J24377" s="42">
        <v>45862</v>
      </c>
      <c r="K24377" s="33" t="s">
        <v>22</v>
      </c>
    </row>
    <row r="24378" spans="1:11">
      <c r="A24378" s="30" t="s">
        <v>53745</v>
      </c>
      <c r="B24378" s="30" t="s">
        <v>53746</v>
      </c>
      <c r="C24378" s="30" t="s">
        <v>14483</v>
      </c>
      <c r="D24378" s="30" t="s">
        <v>17</v>
      </c>
      <c r="E24378" s="30" t="s">
        <v>26</v>
      </c>
      <c r="F24378" s="30" t="s">
        <v>27</v>
      </c>
      <c r="G24378" s="30" t="s">
        <v>140</v>
      </c>
      <c r="H24378" s="32">
        <v>163</v>
      </c>
      <c r="I24378" s="30" t="s">
        <v>51</v>
      </c>
      <c r="J24378" s="41">
        <v>45665</v>
      </c>
      <c r="K24378" s="30" t="s">
        <v>22</v>
      </c>
    </row>
    <row r="24379" spans="1:11">
      <c r="A24379" s="33" t="s">
        <v>53747</v>
      </c>
      <c r="B24379" s="33" t="s">
        <v>53748</v>
      </c>
      <c r="C24379" s="33" t="s">
        <v>4348</v>
      </c>
      <c r="D24379" s="33" t="s">
        <v>17</v>
      </c>
      <c r="E24379" s="33" t="s">
        <v>31</v>
      </c>
      <c r="F24379" s="33" t="s">
        <v>32</v>
      </c>
      <c r="G24379" s="33" t="s">
        <v>140</v>
      </c>
      <c r="H24379" s="35">
        <v>74</v>
      </c>
      <c r="I24379" s="33" t="s">
        <v>51</v>
      </c>
      <c r="J24379" s="42">
        <v>45832</v>
      </c>
      <c r="K24379" s="33" t="s">
        <v>22</v>
      </c>
    </row>
    <row r="24380" spans="1:11">
      <c r="A24380" s="30" t="s">
        <v>53749</v>
      </c>
      <c r="B24380" s="30" t="s">
        <v>53750</v>
      </c>
      <c r="C24380" s="30" t="s">
        <v>3296</v>
      </c>
      <c r="D24380" s="30" t="s">
        <v>17</v>
      </c>
      <c r="E24380" s="30" t="s">
        <v>26</v>
      </c>
      <c r="F24380" s="30" t="s">
        <v>27</v>
      </c>
      <c r="G24380" s="30" t="s">
        <v>20</v>
      </c>
      <c r="H24380" s="32">
        <v>42</v>
      </c>
      <c r="I24380" s="30" t="s">
        <v>21</v>
      </c>
      <c r="J24380" s="41">
        <v>46005</v>
      </c>
      <c r="K24380" s="30" t="s">
        <v>22</v>
      </c>
    </row>
    <row r="24381" spans="1:11">
      <c r="A24381" s="33" t="s">
        <v>53751</v>
      </c>
      <c r="B24381" s="33" t="s">
        <v>53752</v>
      </c>
      <c r="C24381" s="33" t="s">
        <v>2978</v>
      </c>
      <c r="D24381" s="33" t="s">
        <v>17</v>
      </c>
      <c r="E24381" s="33" t="s">
        <v>31</v>
      </c>
      <c r="F24381" s="33" t="s">
        <v>32</v>
      </c>
      <c r="G24381" s="33" t="s">
        <v>7780</v>
      </c>
      <c r="H24381" s="35">
        <v>100</v>
      </c>
      <c r="I24381" s="33" t="s">
        <v>51</v>
      </c>
      <c r="J24381" s="42">
        <v>45747</v>
      </c>
      <c r="K24381" s="33" t="s">
        <v>22</v>
      </c>
    </row>
    <row r="24382" spans="1:11">
      <c r="A24382" s="30" t="s">
        <v>53753</v>
      </c>
      <c r="B24382" s="30" t="s">
        <v>53754</v>
      </c>
      <c r="C24382" s="30" t="s">
        <v>27487</v>
      </c>
      <c r="D24382" s="30" t="s">
        <v>17</v>
      </c>
      <c r="E24382" s="30" t="s">
        <v>18</v>
      </c>
      <c r="F24382" s="30" t="s">
        <v>19</v>
      </c>
      <c r="G24382" s="30" t="s">
        <v>140</v>
      </c>
      <c r="H24382" s="32">
        <v>200</v>
      </c>
      <c r="I24382" s="30" t="s">
        <v>51</v>
      </c>
      <c r="J24382" s="41">
        <v>46002</v>
      </c>
      <c r="K24382" s="30" t="s">
        <v>22</v>
      </c>
    </row>
    <row r="24383" spans="1:11">
      <c r="A24383" s="33" t="s">
        <v>53755</v>
      </c>
      <c r="B24383" s="33" t="s">
        <v>53756</v>
      </c>
      <c r="C24383" s="33" t="s">
        <v>36831</v>
      </c>
      <c r="D24383" s="33" t="s">
        <v>17</v>
      </c>
      <c r="E24383" s="33" t="s">
        <v>67</v>
      </c>
      <c r="F24383" s="33" t="s">
        <v>68</v>
      </c>
      <c r="G24383" s="33" t="s">
        <v>140</v>
      </c>
      <c r="H24383" s="35">
        <v>189</v>
      </c>
      <c r="I24383" s="33" t="s">
        <v>51</v>
      </c>
      <c r="J24383" s="42">
        <v>45894</v>
      </c>
      <c r="K24383" s="33" t="s">
        <v>22</v>
      </c>
    </row>
    <row r="24384" spans="1:11">
      <c r="A24384" s="30" t="s">
        <v>53757</v>
      </c>
      <c r="B24384" s="30" t="s">
        <v>53758</v>
      </c>
      <c r="C24384" s="30" t="s">
        <v>53759</v>
      </c>
      <c r="D24384" s="30" t="s">
        <v>17</v>
      </c>
      <c r="E24384" s="30" t="s">
        <v>26</v>
      </c>
      <c r="F24384" s="30" t="s">
        <v>27</v>
      </c>
      <c r="G24384" s="30" t="s">
        <v>140</v>
      </c>
      <c r="H24384" s="32">
        <v>13</v>
      </c>
      <c r="I24384" s="30" t="s">
        <v>51</v>
      </c>
      <c r="J24384" s="41">
        <v>45824</v>
      </c>
      <c r="K24384" s="30" t="s">
        <v>22</v>
      </c>
    </row>
    <row r="24385" spans="1:11">
      <c r="A24385" s="33" t="s">
        <v>53760</v>
      </c>
      <c r="B24385" s="33" t="s">
        <v>53761</v>
      </c>
      <c r="C24385" s="33" t="s">
        <v>11899</v>
      </c>
      <c r="D24385" s="33" t="s">
        <v>17</v>
      </c>
      <c r="E24385" s="33" t="s">
        <v>31</v>
      </c>
      <c r="F24385" s="33" t="s">
        <v>32</v>
      </c>
      <c r="G24385" s="33" t="s">
        <v>140</v>
      </c>
      <c r="H24385" s="35">
        <v>210</v>
      </c>
      <c r="I24385" s="33" t="s">
        <v>51</v>
      </c>
      <c r="J24385" s="42">
        <v>45832</v>
      </c>
      <c r="K24385" s="33" t="s">
        <v>22</v>
      </c>
    </row>
    <row r="24386" spans="1:11">
      <c r="A24386" s="30" t="s">
        <v>53762</v>
      </c>
      <c r="B24386" s="30" t="s">
        <v>53763</v>
      </c>
      <c r="C24386" s="30" t="s">
        <v>3004</v>
      </c>
      <c r="D24386" s="30" t="s">
        <v>17</v>
      </c>
      <c r="E24386" s="30" t="s">
        <v>31</v>
      </c>
      <c r="F24386" s="30" t="s">
        <v>32</v>
      </c>
      <c r="G24386" s="30" t="s">
        <v>140</v>
      </c>
      <c r="H24386" s="32">
        <v>249</v>
      </c>
      <c r="I24386" s="30" t="s">
        <v>51</v>
      </c>
      <c r="J24386" s="41">
        <v>45660</v>
      </c>
      <c r="K24386" s="30" t="s">
        <v>22</v>
      </c>
    </row>
    <row r="24387" spans="1:11">
      <c r="A24387" s="33" t="s">
        <v>53764</v>
      </c>
      <c r="B24387" s="33" t="s">
        <v>53765</v>
      </c>
      <c r="C24387" s="33" t="s">
        <v>25</v>
      </c>
      <c r="D24387" s="33" t="s">
        <v>17</v>
      </c>
      <c r="E24387" s="33" t="s">
        <v>31</v>
      </c>
      <c r="F24387" s="33" t="s">
        <v>32</v>
      </c>
      <c r="G24387" s="33" t="s">
        <v>158</v>
      </c>
      <c r="H24387" s="35">
        <v>240</v>
      </c>
      <c r="I24387" s="33" t="s">
        <v>51</v>
      </c>
      <c r="J24387" s="42">
        <v>45917</v>
      </c>
      <c r="K24387" s="33" t="s">
        <v>22</v>
      </c>
    </row>
    <row r="24388" spans="1:11">
      <c r="A24388" s="30" t="s">
        <v>53766</v>
      </c>
      <c r="B24388" s="30" t="s">
        <v>53767</v>
      </c>
      <c r="C24388" s="30" t="s">
        <v>5043</v>
      </c>
      <c r="D24388" s="30" t="s">
        <v>17</v>
      </c>
      <c r="E24388" s="30" t="s">
        <v>31</v>
      </c>
      <c r="F24388" s="30" t="s">
        <v>32</v>
      </c>
      <c r="G24388" s="30" t="s">
        <v>2613</v>
      </c>
      <c r="H24388" s="32">
        <v>25</v>
      </c>
      <c r="I24388" s="30" t="s">
        <v>51</v>
      </c>
      <c r="J24388" s="41">
        <v>45971</v>
      </c>
      <c r="K24388" s="30" t="s">
        <v>22</v>
      </c>
    </row>
    <row r="24389" spans="1:11">
      <c r="A24389" s="33" t="s">
        <v>53768</v>
      </c>
      <c r="B24389" s="33" t="s">
        <v>53769</v>
      </c>
      <c r="C24389" s="33" t="s">
        <v>7571</v>
      </c>
      <c r="D24389" s="33" t="s">
        <v>17</v>
      </c>
      <c r="E24389" s="33" t="s">
        <v>18</v>
      </c>
      <c r="F24389" s="33" t="s">
        <v>19</v>
      </c>
      <c r="G24389" s="33" t="s">
        <v>20</v>
      </c>
      <c r="H24389" s="35">
        <v>104</v>
      </c>
      <c r="I24389" s="33" t="s">
        <v>21</v>
      </c>
      <c r="J24389" s="42">
        <v>45754</v>
      </c>
      <c r="K24389" s="33" t="s">
        <v>22</v>
      </c>
    </row>
    <row r="24390" spans="1:11">
      <c r="A24390" s="30" t="s">
        <v>53770</v>
      </c>
      <c r="B24390" s="30" t="s">
        <v>53771</v>
      </c>
      <c r="C24390" s="30" t="s">
        <v>109</v>
      </c>
      <c r="D24390" s="30" t="s">
        <v>17</v>
      </c>
      <c r="E24390" s="30" t="s">
        <v>31</v>
      </c>
      <c r="F24390" s="30" t="s">
        <v>32</v>
      </c>
      <c r="G24390" s="30" t="s">
        <v>140</v>
      </c>
      <c r="H24390" s="32">
        <v>20</v>
      </c>
      <c r="I24390" s="30" t="s">
        <v>51</v>
      </c>
      <c r="J24390" s="41">
        <v>45709</v>
      </c>
      <c r="K24390" s="30" t="s">
        <v>22</v>
      </c>
    </row>
    <row r="24391" spans="1:11">
      <c r="A24391" s="33" t="s">
        <v>53772</v>
      </c>
      <c r="B24391" s="33" t="s">
        <v>53773</v>
      </c>
      <c r="C24391" s="33" t="s">
        <v>46560</v>
      </c>
      <c r="D24391" s="33" t="s">
        <v>17</v>
      </c>
      <c r="E24391" s="33" t="s">
        <v>26</v>
      </c>
      <c r="F24391" s="33" t="s">
        <v>27</v>
      </c>
      <c r="G24391" s="33" t="s">
        <v>140</v>
      </c>
      <c r="H24391" s="35">
        <v>110</v>
      </c>
      <c r="I24391" s="33" t="s">
        <v>51</v>
      </c>
      <c r="J24391" s="42">
        <v>45895</v>
      </c>
      <c r="K24391" s="33" t="s">
        <v>22</v>
      </c>
    </row>
    <row r="24392" spans="1:11">
      <c r="A24392" s="30" t="s">
        <v>53774</v>
      </c>
      <c r="B24392" s="30" t="s">
        <v>53775</v>
      </c>
      <c r="C24392" s="30" t="s">
        <v>38194</v>
      </c>
      <c r="D24392" s="30" t="s">
        <v>17</v>
      </c>
      <c r="E24392" s="30" t="s">
        <v>31</v>
      </c>
      <c r="F24392" s="30" t="s">
        <v>32</v>
      </c>
      <c r="G24392" s="30" t="s">
        <v>158</v>
      </c>
      <c r="H24392" s="32">
        <v>48</v>
      </c>
      <c r="I24392" s="30" t="s">
        <v>51</v>
      </c>
      <c r="J24392" s="41">
        <v>45679</v>
      </c>
      <c r="K24392" s="30" t="s">
        <v>22</v>
      </c>
    </row>
    <row r="24393" spans="1:11">
      <c r="A24393" s="33" t="s">
        <v>53776</v>
      </c>
      <c r="B24393" s="33" t="s">
        <v>53777</v>
      </c>
      <c r="C24393" s="33" t="s">
        <v>222</v>
      </c>
      <c r="D24393" s="33" t="s">
        <v>17</v>
      </c>
      <c r="E24393" s="33" t="s">
        <v>18</v>
      </c>
      <c r="F24393" s="33" t="s">
        <v>19</v>
      </c>
      <c r="G24393" s="33" t="s">
        <v>140</v>
      </c>
      <c r="H24393" s="35">
        <v>582</v>
      </c>
      <c r="I24393" s="33" t="s">
        <v>51</v>
      </c>
      <c r="J24393" s="42">
        <v>45735</v>
      </c>
      <c r="K24393" s="33" t="s">
        <v>22</v>
      </c>
    </row>
    <row r="24394" spans="1:11">
      <c r="A24394" s="30" t="s">
        <v>53778</v>
      </c>
      <c r="B24394" s="30" t="s">
        <v>53779</v>
      </c>
      <c r="C24394" s="30" t="s">
        <v>1305</v>
      </c>
      <c r="D24394" s="30" t="s">
        <v>17</v>
      </c>
      <c r="E24394" s="30" t="s">
        <v>67</v>
      </c>
      <c r="F24394" s="30" t="s">
        <v>68</v>
      </c>
      <c r="G24394" s="30" t="s">
        <v>140</v>
      </c>
      <c r="H24394" s="32">
        <v>114</v>
      </c>
      <c r="I24394" s="30" t="s">
        <v>51</v>
      </c>
      <c r="J24394" s="41">
        <v>45996</v>
      </c>
      <c r="K24394" s="30" t="s">
        <v>22</v>
      </c>
    </row>
    <row r="24395" spans="1:11">
      <c r="A24395" s="33" t="s">
        <v>53780</v>
      </c>
      <c r="B24395" s="33" t="s">
        <v>53781</v>
      </c>
      <c r="C24395" s="33" t="s">
        <v>187</v>
      </c>
      <c r="D24395" s="33" t="s">
        <v>17</v>
      </c>
      <c r="E24395" s="33" t="s">
        <v>31</v>
      </c>
      <c r="F24395" s="33" t="s">
        <v>32</v>
      </c>
      <c r="G24395" s="33" t="s">
        <v>112</v>
      </c>
      <c r="H24395" s="35">
        <v>0</v>
      </c>
      <c r="I24395" s="33" t="s">
        <v>21</v>
      </c>
      <c r="J24395" s="42">
        <v>45847</v>
      </c>
      <c r="K24395" s="33" t="s">
        <v>22</v>
      </c>
    </row>
    <row r="24396" spans="1:11">
      <c r="A24396" s="30" t="s">
        <v>53782</v>
      </c>
      <c r="B24396" s="30" t="s">
        <v>53783</v>
      </c>
      <c r="C24396" s="30" t="s">
        <v>48745</v>
      </c>
      <c r="D24396" s="30" t="s">
        <v>17</v>
      </c>
      <c r="E24396" s="30" t="s">
        <v>26</v>
      </c>
      <c r="F24396" s="30" t="s">
        <v>27</v>
      </c>
      <c r="G24396" s="30" t="s">
        <v>140</v>
      </c>
      <c r="H24396" s="32">
        <v>12</v>
      </c>
      <c r="I24396" s="30" t="s">
        <v>51</v>
      </c>
      <c r="J24396" s="41">
        <v>45796</v>
      </c>
      <c r="K24396" s="30" t="s">
        <v>22</v>
      </c>
    </row>
    <row r="24397" spans="1:11">
      <c r="A24397" s="33" t="s">
        <v>53784</v>
      </c>
      <c r="B24397" s="33" t="s">
        <v>53785</v>
      </c>
      <c r="C24397" s="33" t="s">
        <v>109</v>
      </c>
      <c r="D24397" s="33" t="s">
        <v>17</v>
      </c>
      <c r="E24397" s="33" t="s">
        <v>67</v>
      </c>
      <c r="F24397" s="33" t="s">
        <v>68</v>
      </c>
      <c r="G24397" s="33" t="s">
        <v>140</v>
      </c>
      <c r="H24397" s="35">
        <v>280</v>
      </c>
      <c r="I24397" s="33" t="s">
        <v>51</v>
      </c>
      <c r="J24397" s="42">
        <v>45750</v>
      </c>
      <c r="K24397" s="33" t="s">
        <v>22</v>
      </c>
    </row>
    <row r="24398" spans="1:11">
      <c r="A24398" s="30" t="s">
        <v>53786</v>
      </c>
      <c r="B24398" s="30" t="s">
        <v>53787</v>
      </c>
      <c r="C24398" s="30" t="s">
        <v>22605</v>
      </c>
      <c r="D24398" s="30" t="s">
        <v>17</v>
      </c>
      <c r="E24398" s="30" t="s">
        <v>31</v>
      </c>
      <c r="F24398" s="30" t="s">
        <v>32</v>
      </c>
      <c r="G24398" s="30" t="s">
        <v>158</v>
      </c>
      <c r="H24398" s="32">
        <v>300</v>
      </c>
      <c r="I24398" s="30" t="s">
        <v>51</v>
      </c>
      <c r="J24398" s="41">
        <v>45976</v>
      </c>
      <c r="K24398" s="30" t="s">
        <v>22</v>
      </c>
    </row>
    <row r="24399" spans="1:11">
      <c r="A24399" s="33" t="s">
        <v>53788</v>
      </c>
      <c r="B24399" s="33" t="s">
        <v>53789</v>
      </c>
      <c r="C24399" s="33" t="s">
        <v>53790</v>
      </c>
      <c r="D24399" s="33" t="s">
        <v>17</v>
      </c>
      <c r="E24399" s="33" t="s">
        <v>26</v>
      </c>
      <c r="F24399" s="33" t="s">
        <v>27</v>
      </c>
      <c r="G24399" s="33" t="s">
        <v>20</v>
      </c>
      <c r="H24399" s="35">
        <v>8</v>
      </c>
      <c r="I24399" s="33" t="s">
        <v>21</v>
      </c>
      <c r="J24399" s="42">
        <v>45736</v>
      </c>
      <c r="K24399" s="33" t="s">
        <v>22</v>
      </c>
    </row>
    <row r="24400" spans="1:11">
      <c r="A24400" s="30" t="s">
        <v>53791</v>
      </c>
      <c r="B24400" s="30" t="s">
        <v>53792</v>
      </c>
      <c r="C24400" s="30" t="s">
        <v>2753</v>
      </c>
      <c r="D24400" s="30" t="s">
        <v>17</v>
      </c>
      <c r="E24400" s="30" t="s">
        <v>18</v>
      </c>
      <c r="F24400" s="30" t="s">
        <v>19</v>
      </c>
      <c r="G24400" s="30" t="s">
        <v>140</v>
      </c>
      <c r="H24400" s="32">
        <v>250</v>
      </c>
      <c r="I24400" s="30" t="s">
        <v>51</v>
      </c>
      <c r="J24400" s="41">
        <v>45757</v>
      </c>
      <c r="K24400" s="30" t="s">
        <v>22</v>
      </c>
    </row>
    <row r="24401" spans="1:11">
      <c r="A24401" s="33" t="s">
        <v>53793</v>
      </c>
      <c r="B24401" s="33" t="s">
        <v>53794</v>
      </c>
      <c r="C24401" s="33" t="s">
        <v>3571</v>
      </c>
      <c r="D24401" s="33" t="s">
        <v>17</v>
      </c>
      <c r="E24401" s="33" t="s">
        <v>330</v>
      </c>
      <c r="F24401" s="33" t="s">
        <v>331</v>
      </c>
      <c r="G24401" s="33" t="s">
        <v>140</v>
      </c>
      <c r="H24401" s="35">
        <v>32</v>
      </c>
      <c r="I24401" s="33" t="s">
        <v>51</v>
      </c>
      <c r="J24401" s="42">
        <v>45852</v>
      </c>
      <c r="K24401" s="33" t="s">
        <v>22</v>
      </c>
    </row>
    <row r="24402" spans="1:11">
      <c r="A24402" s="30" t="s">
        <v>53795</v>
      </c>
      <c r="B24402" s="30" t="s">
        <v>53796</v>
      </c>
      <c r="C24402" s="30" t="s">
        <v>5312</v>
      </c>
      <c r="D24402" s="30" t="s">
        <v>17</v>
      </c>
      <c r="E24402" s="30" t="s">
        <v>31</v>
      </c>
      <c r="F24402" s="30" t="s">
        <v>32</v>
      </c>
      <c r="G24402" s="30" t="s">
        <v>140</v>
      </c>
      <c r="H24402" s="32">
        <v>200</v>
      </c>
      <c r="I24402" s="30" t="s">
        <v>51</v>
      </c>
      <c r="J24402" s="41">
        <v>45713</v>
      </c>
      <c r="K24402" s="30" t="s">
        <v>22</v>
      </c>
    </row>
    <row r="24403" spans="1:11">
      <c r="A24403" s="33" t="s">
        <v>53797</v>
      </c>
      <c r="B24403" s="33" t="s">
        <v>53798</v>
      </c>
      <c r="C24403" s="33" t="s">
        <v>20576</v>
      </c>
      <c r="D24403" s="33" t="s">
        <v>17</v>
      </c>
      <c r="E24403" s="33" t="s">
        <v>18</v>
      </c>
      <c r="F24403" s="33" t="s">
        <v>19</v>
      </c>
      <c r="G24403" s="33" t="s">
        <v>140</v>
      </c>
      <c r="H24403" s="35">
        <v>526</v>
      </c>
      <c r="I24403" s="33" t="s">
        <v>51</v>
      </c>
      <c r="J24403" s="42">
        <v>45862</v>
      </c>
      <c r="K24403" s="33" t="s">
        <v>22</v>
      </c>
    </row>
    <row r="24404" spans="1:11">
      <c r="A24404" s="30" t="s">
        <v>53799</v>
      </c>
      <c r="B24404" s="30" t="s">
        <v>53800</v>
      </c>
      <c r="C24404" s="30" t="s">
        <v>1219</v>
      </c>
      <c r="D24404" s="30" t="s">
        <v>17</v>
      </c>
      <c r="E24404" s="30" t="s">
        <v>18</v>
      </c>
      <c r="F24404" s="30" t="s">
        <v>19</v>
      </c>
      <c r="G24404" s="30" t="s">
        <v>140</v>
      </c>
      <c r="H24404" s="32">
        <v>250</v>
      </c>
      <c r="I24404" s="30" t="s">
        <v>51</v>
      </c>
      <c r="J24404" s="41">
        <v>45908</v>
      </c>
      <c r="K24404" s="30" t="s">
        <v>22</v>
      </c>
    </row>
    <row r="24405" spans="1:11">
      <c r="A24405" s="33" t="s">
        <v>53801</v>
      </c>
      <c r="B24405" s="33" t="s">
        <v>53802</v>
      </c>
      <c r="C24405" s="33" t="s">
        <v>37244</v>
      </c>
      <c r="D24405" s="33" t="s">
        <v>17</v>
      </c>
      <c r="E24405" s="33" t="s">
        <v>31</v>
      </c>
      <c r="F24405" s="33" t="s">
        <v>32</v>
      </c>
      <c r="G24405" s="33" t="s">
        <v>140</v>
      </c>
      <c r="H24405" s="35">
        <v>60</v>
      </c>
      <c r="I24405" s="33" t="s">
        <v>51</v>
      </c>
      <c r="J24405" s="42">
        <v>45904</v>
      </c>
      <c r="K24405" s="33" t="s">
        <v>22</v>
      </c>
    </row>
    <row r="24406" spans="1:11">
      <c r="A24406" s="30" t="s">
        <v>53803</v>
      </c>
      <c r="B24406" s="30" t="s">
        <v>53804</v>
      </c>
      <c r="C24406" s="30" t="s">
        <v>53805</v>
      </c>
      <c r="D24406" s="30" t="s">
        <v>17</v>
      </c>
      <c r="E24406" s="30" t="s">
        <v>26</v>
      </c>
      <c r="F24406" s="30" t="s">
        <v>27</v>
      </c>
      <c r="G24406" s="30" t="s">
        <v>140</v>
      </c>
      <c r="H24406" s="32">
        <v>150</v>
      </c>
      <c r="I24406" s="30" t="s">
        <v>51</v>
      </c>
      <c r="J24406" s="41">
        <v>45891</v>
      </c>
      <c r="K24406" s="30" t="s">
        <v>22</v>
      </c>
    </row>
    <row r="24407" spans="1:11">
      <c r="A24407" s="33" t="s">
        <v>53806</v>
      </c>
      <c r="B24407" s="33" t="s">
        <v>53807</v>
      </c>
      <c r="C24407" s="33" t="s">
        <v>35365</v>
      </c>
      <c r="D24407" s="33" t="s">
        <v>17</v>
      </c>
      <c r="E24407" s="33" t="s">
        <v>31</v>
      </c>
      <c r="F24407" s="33" t="s">
        <v>32</v>
      </c>
      <c r="G24407" s="33" t="s">
        <v>140</v>
      </c>
      <c r="H24407" s="35">
        <v>120</v>
      </c>
      <c r="I24407" s="33" t="s">
        <v>51</v>
      </c>
      <c r="J24407" s="42">
        <v>45852</v>
      </c>
      <c r="K24407" s="33" t="s">
        <v>22</v>
      </c>
    </row>
    <row r="24408" spans="1:11">
      <c r="A24408" s="30" t="s">
        <v>53808</v>
      </c>
      <c r="B24408" s="30" t="s">
        <v>53809</v>
      </c>
      <c r="C24408" s="30" t="s">
        <v>969</v>
      </c>
      <c r="D24408" s="30" t="s">
        <v>17</v>
      </c>
      <c r="E24408" s="30" t="s">
        <v>18</v>
      </c>
      <c r="F24408" s="30" t="s">
        <v>19</v>
      </c>
      <c r="G24408" s="30" t="s">
        <v>140</v>
      </c>
      <c r="H24408" s="32">
        <v>1250</v>
      </c>
      <c r="I24408" s="30" t="s">
        <v>51</v>
      </c>
      <c r="J24408" s="41">
        <v>46003</v>
      </c>
      <c r="K24408" s="30" t="s">
        <v>22</v>
      </c>
    </row>
    <row r="24409" spans="1:11">
      <c r="A24409" s="33" t="s">
        <v>53810</v>
      </c>
      <c r="B24409" s="33" t="s">
        <v>53811</v>
      </c>
      <c r="C24409" s="33" t="s">
        <v>29688</v>
      </c>
      <c r="D24409" s="33" t="s">
        <v>17</v>
      </c>
      <c r="E24409" s="33" t="s">
        <v>31</v>
      </c>
      <c r="F24409" s="33" t="s">
        <v>32</v>
      </c>
      <c r="G24409" s="33" t="s">
        <v>7780</v>
      </c>
      <c r="H24409" s="35">
        <v>180</v>
      </c>
      <c r="I24409" s="33" t="s">
        <v>51</v>
      </c>
      <c r="J24409" s="42">
        <v>45778</v>
      </c>
      <c r="K24409" s="33" t="s">
        <v>22</v>
      </c>
    </row>
    <row r="24410" spans="1:11">
      <c r="A24410" s="30" t="s">
        <v>53812</v>
      </c>
      <c r="B24410" s="30" t="s">
        <v>53813</v>
      </c>
      <c r="C24410" s="30" t="s">
        <v>50793</v>
      </c>
      <c r="D24410" s="30" t="s">
        <v>17</v>
      </c>
      <c r="E24410" s="30" t="s">
        <v>26</v>
      </c>
      <c r="F24410" s="30" t="s">
        <v>27</v>
      </c>
      <c r="G24410" s="30" t="s">
        <v>140</v>
      </c>
      <c r="H24410" s="32">
        <v>44</v>
      </c>
      <c r="I24410" s="30" t="s">
        <v>51</v>
      </c>
      <c r="J24410" s="41">
        <v>45916</v>
      </c>
      <c r="K24410" s="30" t="s">
        <v>22</v>
      </c>
    </row>
    <row r="24411" spans="1:11">
      <c r="A24411" s="33" t="s">
        <v>53814</v>
      </c>
      <c r="B24411" s="33" t="s">
        <v>53815</v>
      </c>
      <c r="C24411" s="33" t="s">
        <v>1080</v>
      </c>
      <c r="D24411" s="33" t="s">
        <v>17</v>
      </c>
      <c r="E24411" s="33" t="s">
        <v>31</v>
      </c>
      <c r="F24411" s="33" t="s">
        <v>32</v>
      </c>
      <c r="G24411" s="33" t="s">
        <v>7780</v>
      </c>
      <c r="H24411" s="35">
        <v>160</v>
      </c>
      <c r="I24411" s="33" t="s">
        <v>51</v>
      </c>
      <c r="J24411" s="42">
        <v>45809</v>
      </c>
      <c r="K24411" s="33" t="s">
        <v>22</v>
      </c>
    </row>
    <row r="24412" spans="1:11">
      <c r="A24412" s="30" t="s">
        <v>53816</v>
      </c>
      <c r="B24412" s="30" t="s">
        <v>53817</v>
      </c>
      <c r="C24412" s="30" t="s">
        <v>41260</v>
      </c>
      <c r="D24412" s="30" t="s">
        <v>17</v>
      </c>
      <c r="E24412" s="30" t="s">
        <v>26</v>
      </c>
      <c r="F24412" s="30" t="s">
        <v>27</v>
      </c>
      <c r="G24412" s="30" t="s">
        <v>7780</v>
      </c>
      <c r="H24412" s="32">
        <v>12</v>
      </c>
      <c r="I24412" s="30" t="s">
        <v>51</v>
      </c>
      <c r="J24412" s="41">
        <v>45658</v>
      </c>
      <c r="K24412" s="30" t="s">
        <v>22</v>
      </c>
    </row>
    <row r="24413" spans="1:11">
      <c r="A24413" s="33" t="s">
        <v>53818</v>
      </c>
      <c r="B24413" s="33" t="s">
        <v>53819</v>
      </c>
      <c r="C24413" s="33" t="s">
        <v>24294</v>
      </c>
      <c r="D24413" s="33" t="s">
        <v>17</v>
      </c>
      <c r="E24413" s="33" t="s">
        <v>67</v>
      </c>
      <c r="F24413" s="33" t="s">
        <v>68</v>
      </c>
      <c r="G24413" s="33" t="s">
        <v>140</v>
      </c>
      <c r="H24413" s="35">
        <v>114</v>
      </c>
      <c r="I24413" s="33" t="s">
        <v>51</v>
      </c>
      <c r="J24413" s="42">
        <v>45772</v>
      </c>
      <c r="K24413" s="33" t="s">
        <v>22</v>
      </c>
    </row>
    <row r="24414" spans="1:11">
      <c r="A24414" s="30" t="s">
        <v>53820</v>
      </c>
      <c r="B24414" s="30" t="s">
        <v>53821</v>
      </c>
      <c r="C24414" s="30" t="s">
        <v>647</v>
      </c>
      <c r="D24414" s="30" t="s">
        <v>17</v>
      </c>
      <c r="E24414" s="30" t="s">
        <v>67</v>
      </c>
      <c r="F24414" s="30" t="s">
        <v>68</v>
      </c>
      <c r="G24414" s="30" t="s">
        <v>140</v>
      </c>
      <c r="H24414" s="32">
        <v>45</v>
      </c>
      <c r="I24414" s="30" t="s">
        <v>51</v>
      </c>
      <c r="J24414" s="41">
        <v>46000</v>
      </c>
      <c r="K24414" s="30" t="s">
        <v>22</v>
      </c>
    </row>
    <row r="24415" spans="1:11">
      <c r="A24415" s="33" t="s">
        <v>53822</v>
      </c>
      <c r="B24415" s="33" t="s">
        <v>53823</v>
      </c>
      <c r="C24415" s="33" t="s">
        <v>1151</v>
      </c>
      <c r="D24415" s="33" t="s">
        <v>17</v>
      </c>
      <c r="E24415" s="33" t="s">
        <v>18</v>
      </c>
      <c r="F24415" s="33" t="s">
        <v>19</v>
      </c>
      <c r="G24415" s="33" t="s">
        <v>140</v>
      </c>
      <c r="H24415" s="35">
        <v>869</v>
      </c>
      <c r="I24415" s="33" t="s">
        <v>51</v>
      </c>
      <c r="J24415" s="42">
        <v>45756</v>
      </c>
      <c r="K24415" s="33" t="s">
        <v>22</v>
      </c>
    </row>
    <row r="24416" spans="1:11">
      <c r="A24416" s="30" t="s">
        <v>53824</v>
      </c>
      <c r="B24416" s="30" t="s">
        <v>53825</v>
      </c>
      <c r="C24416" s="30" t="s">
        <v>231</v>
      </c>
      <c r="D24416" s="30" t="s">
        <v>17</v>
      </c>
      <c r="E24416" s="30" t="s">
        <v>26</v>
      </c>
      <c r="F24416" s="30" t="s">
        <v>27</v>
      </c>
      <c r="G24416" s="30" t="s">
        <v>140</v>
      </c>
      <c r="H24416" s="32">
        <v>172</v>
      </c>
      <c r="I24416" s="30" t="s">
        <v>51</v>
      </c>
      <c r="J24416" s="41">
        <v>45680</v>
      </c>
      <c r="K24416" s="30" t="s">
        <v>22</v>
      </c>
    </row>
    <row r="24417" spans="1:11">
      <c r="A24417" s="33" t="s">
        <v>53826</v>
      </c>
      <c r="B24417" s="33" t="s">
        <v>53827</v>
      </c>
      <c r="C24417" s="33" t="s">
        <v>157</v>
      </c>
      <c r="D24417" s="33" t="s">
        <v>17</v>
      </c>
      <c r="E24417" s="33" t="s">
        <v>67</v>
      </c>
      <c r="F24417" s="33" t="s">
        <v>68</v>
      </c>
      <c r="G24417" s="33" t="s">
        <v>140</v>
      </c>
      <c r="H24417" s="35">
        <v>223</v>
      </c>
      <c r="I24417" s="33" t="s">
        <v>51</v>
      </c>
      <c r="J24417" s="42">
        <v>45980</v>
      </c>
      <c r="K24417" s="33" t="s">
        <v>22</v>
      </c>
    </row>
    <row r="24418" spans="1:11">
      <c r="A24418" s="30" t="s">
        <v>53828</v>
      </c>
      <c r="B24418" s="30" t="s">
        <v>53829</v>
      </c>
      <c r="C24418" s="30" t="s">
        <v>136</v>
      </c>
      <c r="D24418" s="30" t="s">
        <v>17</v>
      </c>
      <c r="E24418" s="30" t="s">
        <v>26</v>
      </c>
      <c r="F24418" s="30" t="s">
        <v>27</v>
      </c>
      <c r="G24418" s="30" t="s">
        <v>140</v>
      </c>
      <c r="H24418" s="32">
        <v>95</v>
      </c>
      <c r="I24418" s="30" t="s">
        <v>51</v>
      </c>
      <c r="J24418" s="41">
        <v>45810</v>
      </c>
      <c r="K24418" s="30" t="s">
        <v>22</v>
      </c>
    </row>
    <row r="24419" spans="1:11">
      <c r="A24419" s="33" t="s">
        <v>53830</v>
      </c>
      <c r="B24419" s="33" t="s">
        <v>53831</v>
      </c>
      <c r="C24419" s="33" t="s">
        <v>15221</v>
      </c>
      <c r="D24419" s="33" t="s">
        <v>17</v>
      </c>
      <c r="E24419" s="33" t="s">
        <v>26</v>
      </c>
      <c r="F24419" s="33" t="s">
        <v>27</v>
      </c>
      <c r="G24419" s="33" t="s">
        <v>20</v>
      </c>
      <c r="H24419" s="35">
        <v>12</v>
      </c>
      <c r="I24419" s="33" t="s">
        <v>21</v>
      </c>
      <c r="J24419" s="42">
        <v>45972</v>
      </c>
      <c r="K24419" s="33" t="s">
        <v>22</v>
      </c>
    </row>
    <row r="24420" spans="1:11">
      <c r="A24420" s="30" t="s">
        <v>53832</v>
      </c>
      <c r="B24420" s="30" t="s">
        <v>53833</v>
      </c>
      <c r="C24420" s="30" t="s">
        <v>41535</v>
      </c>
      <c r="D24420" s="30" t="s">
        <v>17</v>
      </c>
      <c r="E24420" s="30" t="s">
        <v>26</v>
      </c>
      <c r="F24420" s="30" t="s">
        <v>27</v>
      </c>
      <c r="G24420" s="30" t="s">
        <v>158</v>
      </c>
      <c r="H24420" s="32">
        <v>237</v>
      </c>
      <c r="I24420" s="30" t="s">
        <v>51</v>
      </c>
      <c r="J24420" s="41">
        <v>45671</v>
      </c>
      <c r="K24420" s="30" t="s">
        <v>22</v>
      </c>
    </row>
    <row r="24421" spans="1:11">
      <c r="A24421" s="33" t="s">
        <v>53834</v>
      </c>
      <c r="B24421" s="33" t="s">
        <v>53835</v>
      </c>
      <c r="C24421" s="33" t="s">
        <v>2687</v>
      </c>
      <c r="D24421" s="33" t="s">
        <v>17</v>
      </c>
      <c r="E24421" s="33" t="s">
        <v>212</v>
      </c>
      <c r="F24421" s="33" t="s">
        <v>213</v>
      </c>
      <c r="G24421" s="33" t="s">
        <v>140</v>
      </c>
      <c r="H24421" s="35">
        <v>75</v>
      </c>
      <c r="I24421" s="33" t="s">
        <v>51</v>
      </c>
      <c r="J24421" s="42">
        <v>45799</v>
      </c>
      <c r="K24421" s="33" t="s">
        <v>22</v>
      </c>
    </row>
    <row r="24422" spans="1:11">
      <c r="A24422" s="30" t="s">
        <v>53836</v>
      </c>
      <c r="B24422" s="30" t="s">
        <v>53084</v>
      </c>
      <c r="C24422" s="30" t="s">
        <v>4596</v>
      </c>
      <c r="D24422" s="30" t="s">
        <v>17</v>
      </c>
      <c r="E24422" s="30" t="s">
        <v>26</v>
      </c>
      <c r="F24422" s="30" t="s">
        <v>27</v>
      </c>
      <c r="G24422" s="30" t="s">
        <v>20</v>
      </c>
      <c r="H24422" s="32">
        <v>40</v>
      </c>
      <c r="I24422" s="30" t="s">
        <v>21</v>
      </c>
      <c r="J24422" s="41">
        <v>45742</v>
      </c>
      <c r="K24422" s="30" t="s">
        <v>22</v>
      </c>
    </row>
    <row r="24423" spans="1:11">
      <c r="A24423" s="33" t="s">
        <v>53837</v>
      </c>
      <c r="B24423" s="33" t="s">
        <v>53838</v>
      </c>
      <c r="C24423" s="33" t="s">
        <v>190</v>
      </c>
      <c r="D24423" s="33" t="s">
        <v>17</v>
      </c>
      <c r="E24423" s="33" t="s">
        <v>26</v>
      </c>
      <c r="F24423" s="33" t="s">
        <v>27</v>
      </c>
      <c r="G24423" s="33" t="s">
        <v>140</v>
      </c>
      <c r="H24423" s="35">
        <v>136</v>
      </c>
      <c r="I24423" s="33" t="s">
        <v>51</v>
      </c>
      <c r="J24423" s="42">
        <v>45814</v>
      </c>
      <c r="K24423" s="33" t="s">
        <v>22</v>
      </c>
    </row>
    <row r="24424" spans="1:11">
      <c r="A24424" s="30" t="s">
        <v>53839</v>
      </c>
      <c r="B24424" s="30" t="s">
        <v>53840</v>
      </c>
      <c r="C24424" s="30" t="s">
        <v>647</v>
      </c>
      <c r="D24424" s="30" t="s">
        <v>17</v>
      </c>
      <c r="E24424" s="30" t="s">
        <v>26</v>
      </c>
      <c r="F24424" s="30" t="s">
        <v>27</v>
      </c>
      <c r="G24424" s="30" t="s">
        <v>20</v>
      </c>
      <c r="H24424" s="32">
        <v>26</v>
      </c>
      <c r="I24424" s="30" t="s">
        <v>21</v>
      </c>
      <c r="J24424" s="41">
        <v>45999</v>
      </c>
      <c r="K24424" s="30" t="s">
        <v>22</v>
      </c>
    </row>
    <row r="24425" spans="1:11">
      <c r="A24425" s="33" t="s">
        <v>53841</v>
      </c>
      <c r="B24425" s="33" t="s">
        <v>53842</v>
      </c>
      <c r="C24425" s="33" t="s">
        <v>326</v>
      </c>
      <c r="D24425" s="33" t="s">
        <v>17</v>
      </c>
      <c r="E24425" s="33" t="s">
        <v>31</v>
      </c>
      <c r="F24425" s="33" t="s">
        <v>32</v>
      </c>
      <c r="G24425" s="33" t="s">
        <v>7780</v>
      </c>
      <c r="H24425" s="35">
        <v>20</v>
      </c>
      <c r="I24425" s="33" t="s">
        <v>51</v>
      </c>
      <c r="J24425" s="42">
        <v>45962</v>
      </c>
      <c r="K24425" s="33" t="s">
        <v>22</v>
      </c>
    </row>
    <row r="24426" spans="1:11">
      <c r="A24426" s="30" t="s">
        <v>53843</v>
      </c>
      <c r="B24426" s="30" t="s">
        <v>53844</v>
      </c>
      <c r="C24426" s="30" t="s">
        <v>37244</v>
      </c>
      <c r="D24426" s="30" t="s">
        <v>17</v>
      </c>
      <c r="E24426" s="30" t="s">
        <v>31</v>
      </c>
      <c r="F24426" s="30" t="s">
        <v>32</v>
      </c>
      <c r="G24426" s="30" t="s">
        <v>158</v>
      </c>
      <c r="H24426" s="32">
        <v>20</v>
      </c>
      <c r="I24426" s="30" t="s">
        <v>21</v>
      </c>
      <c r="J24426" s="41">
        <v>45853</v>
      </c>
      <c r="K24426" s="30" t="s">
        <v>22</v>
      </c>
    </row>
    <row r="24427" spans="1:11">
      <c r="A24427" s="33" t="s">
        <v>53845</v>
      </c>
      <c r="B24427" s="33" t="s">
        <v>53846</v>
      </c>
      <c r="C24427" s="33" t="s">
        <v>17663</v>
      </c>
      <c r="D24427" s="33" t="s">
        <v>17</v>
      </c>
      <c r="E24427" s="33" t="s">
        <v>18</v>
      </c>
      <c r="F24427" s="33" t="s">
        <v>19</v>
      </c>
      <c r="G24427" s="33" t="s">
        <v>20</v>
      </c>
      <c r="H24427" s="35">
        <v>87</v>
      </c>
      <c r="I24427" s="33" t="s">
        <v>21</v>
      </c>
      <c r="J24427" s="42">
        <v>45839</v>
      </c>
      <c r="K24427" s="33" t="s">
        <v>22</v>
      </c>
    </row>
    <row r="24428" spans="1:11">
      <c r="A24428" s="30" t="s">
        <v>53847</v>
      </c>
      <c r="B24428" s="30" t="s">
        <v>53848</v>
      </c>
      <c r="C24428" s="30" t="s">
        <v>8979</v>
      </c>
      <c r="D24428" s="30" t="s">
        <v>17</v>
      </c>
      <c r="E24428" s="30" t="s">
        <v>18</v>
      </c>
      <c r="F24428" s="30" t="s">
        <v>19</v>
      </c>
      <c r="G24428" s="30" t="s">
        <v>140</v>
      </c>
      <c r="H24428" s="32">
        <v>552</v>
      </c>
      <c r="I24428" s="30" t="s">
        <v>51</v>
      </c>
      <c r="J24428" s="41">
        <v>45750</v>
      </c>
      <c r="K24428" s="30" t="s">
        <v>22</v>
      </c>
    </row>
    <row r="24429" spans="1:11">
      <c r="A24429" s="33" t="s">
        <v>53849</v>
      </c>
      <c r="B24429" s="33" t="s">
        <v>53850</v>
      </c>
      <c r="C24429" s="33" t="s">
        <v>25616</v>
      </c>
      <c r="D24429" s="33" t="s">
        <v>17</v>
      </c>
      <c r="E24429" s="33" t="s">
        <v>26</v>
      </c>
      <c r="F24429" s="33" t="s">
        <v>27</v>
      </c>
      <c r="G24429" s="33" t="s">
        <v>20</v>
      </c>
      <c r="H24429" s="35">
        <v>8</v>
      </c>
      <c r="I24429" s="33" t="s">
        <v>21</v>
      </c>
      <c r="J24429" s="42">
        <v>45929</v>
      </c>
      <c r="K24429" s="33" t="s">
        <v>22</v>
      </c>
    </row>
    <row r="24430" spans="1:11">
      <c r="A24430" s="30" t="s">
        <v>53851</v>
      </c>
      <c r="B24430" s="30" t="s">
        <v>53852</v>
      </c>
      <c r="C24430" s="30" t="s">
        <v>647</v>
      </c>
      <c r="D24430" s="30" t="s">
        <v>17</v>
      </c>
      <c r="E24430" s="30" t="s">
        <v>31</v>
      </c>
      <c r="F24430" s="30" t="s">
        <v>32</v>
      </c>
      <c r="G24430" s="30" t="s">
        <v>158</v>
      </c>
      <c r="H24430" s="32">
        <v>147</v>
      </c>
      <c r="I24430" s="30" t="s">
        <v>51</v>
      </c>
      <c r="J24430" s="41">
        <v>45817</v>
      </c>
      <c r="K24430" s="30" t="s">
        <v>22</v>
      </c>
    </row>
    <row r="24431" spans="1:11">
      <c r="A24431" s="33" t="s">
        <v>53853</v>
      </c>
      <c r="B24431" s="33" t="s">
        <v>53854</v>
      </c>
      <c r="C24431" s="33" t="s">
        <v>190</v>
      </c>
      <c r="D24431" s="33" t="s">
        <v>17</v>
      </c>
      <c r="E24431" s="33" t="s">
        <v>67</v>
      </c>
      <c r="F24431" s="33" t="s">
        <v>68</v>
      </c>
      <c r="G24431" s="33" t="s">
        <v>158</v>
      </c>
      <c r="H24431" s="35">
        <v>405</v>
      </c>
      <c r="I24431" s="33" t="s">
        <v>21</v>
      </c>
      <c r="J24431" s="42">
        <v>45904</v>
      </c>
      <c r="K24431" s="33" t="s">
        <v>22</v>
      </c>
    </row>
    <row r="24432" spans="1:11">
      <c r="A24432" s="30" t="s">
        <v>53855</v>
      </c>
      <c r="B24432" s="30" t="s">
        <v>53856</v>
      </c>
      <c r="C24432" s="30" t="s">
        <v>44531</v>
      </c>
      <c r="D24432" s="30" t="s">
        <v>17</v>
      </c>
      <c r="E24432" s="30" t="s">
        <v>212</v>
      </c>
      <c r="F24432" s="30" t="s">
        <v>213</v>
      </c>
      <c r="G24432" s="30" t="s">
        <v>20</v>
      </c>
      <c r="H24432" s="32">
        <v>45</v>
      </c>
      <c r="I24432" s="30" t="s">
        <v>21</v>
      </c>
      <c r="J24432" s="41">
        <v>45708</v>
      </c>
      <c r="K24432" s="30" t="s">
        <v>22</v>
      </c>
    </row>
    <row r="24433" spans="1:11">
      <c r="A24433" s="33" t="s">
        <v>53857</v>
      </c>
      <c r="B24433" s="33" t="s">
        <v>53858</v>
      </c>
      <c r="C24433" s="33" t="s">
        <v>1764</v>
      </c>
      <c r="D24433" s="33" t="s">
        <v>17</v>
      </c>
      <c r="E24433" s="33" t="s">
        <v>18</v>
      </c>
      <c r="F24433" s="33" t="s">
        <v>19</v>
      </c>
      <c r="G24433" s="33" t="s">
        <v>20</v>
      </c>
      <c r="H24433" s="35">
        <v>84</v>
      </c>
      <c r="I24433" s="33" t="s">
        <v>21</v>
      </c>
      <c r="J24433" s="42">
        <v>45887</v>
      </c>
      <c r="K24433" s="33" t="s">
        <v>22</v>
      </c>
    </row>
    <row r="24434" spans="1:11">
      <c r="A24434" s="30" t="s">
        <v>53859</v>
      </c>
      <c r="B24434" s="30" t="s">
        <v>53860</v>
      </c>
      <c r="C24434" s="30" t="s">
        <v>3944</v>
      </c>
      <c r="D24434" s="30" t="s">
        <v>17</v>
      </c>
      <c r="E24434" s="30" t="s">
        <v>26</v>
      </c>
      <c r="F24434" s="30" t="s">
        <v>27</v>
      </c>
      <c r="G24434" s="30" t="s">
        <v>140</v>
      </c>
      <c r="H24434" s="32">
        <v>60</v>
      </c>
      <c r="I24434" s="30" t="s">
        <v>51</v>
      </c>
      <c r="J24434" s="41">
        <v>45740</v>
      </c>
      <c r="K24434" s="30" t="s">
        <v>22</v>
      </c>
    </row>
    <row r="24435" spans="1:11">
      <c r="A24435" s="33" t="s">
        <v>53861</v>
      </c>
      <c r="B24435" s="33" t="s">
        <v>53862</v>
      </c>
      <c r="C24435" s="33" t="s">
        <v>3957</v>
      </c>
      <c r="D24435" s="33" t="s">
        <v>17</v>
      </c>
      <c r="E24435" s="33" t="s">
        <v>67</v>
      </c>
      <c r="F24435" s="33" t="s">
        <v>68</v>
      </c>
      <c r="G24435" s="33" t="s">
        <v>140</v>
      </c>
      <c r="H24435" s="35">
        <v>18</v>
      </c>
      <c r="I24435" s="33" t="s">
        <v>51</v>
      </c>
      <c r="J24435" s="42">
        <v>45791</v>
      </c>
      <c r="K24435" s="33" t="s">
        <v>22</v>
      </c>
    </row>
    <row r="24436" spans="1:11">
      <c r="A24436" s="30" t="s">
        <v>53863</v>
      </c>
      <c r="B24436" s="30" t="s">
        <v>53864</v>
      </c>
      <c r="C24436" s="30" t="s">
        <v>30700</v>
      </c>
      <c r="D24436" s="30" t="s">
        <v>17</v>
      </c>
      <c r="E24436" s="30" t="s">
        <v>18</v>
      </c>
      <c r="F24436" s="30" t="s">
        <v>19</v>
      </c>
      <c r="G24436" s="30" t="s">
        <v>140</v>
      </c>
      <c r="H24436" s="32">
        <v>450</v>
      </c>
      <c r="I24436" s="30" t="s">
        <v>51</v>
      </c>
      <c r="J24436" s="41">
        <v>45981</v>
      </c>
      <c r="K24436" s="30" t="s">
        <v>22</v>
      </c>
    </row>
    <row r="24437" spans="1:11">
      <c r="A24437" s="33" t="s">
        <v>53865</v>
      </c>
      <c r="B24437" s="33" t="s">
        <v>53866</v>
      </c>
      <c r="C24437" s="33" t="s">
        <v>39233</v>
      </c>
      <c r="D24437" s="33" t="s">
        <v>17</v>
      </c>
      <c r="E24437" s="33" t="s">
        <v>31</v>
      </c>
      <c r="F24437" s="33" t="s">
        <v>32</v>
      </c>
      <c r="G24437" s="33" t="s">
        <v>7780</v>
      </c>
      <c r="H24437" s="35">
        <v>430</v>
      </c>
      <c r="I24437" s="33" t="s">
        <v>51</v>
      </c>
      <c r="J24437" s="42">
        <v>45899</v>
      </c>
      <c r="K24437" s="33" t="s">
        <v>22</v>
      </c>
    </row>
    <row r="24438" spans="1:11">
      <c r="A24438" s="30" t="s">
        <v>53867</v>
      </c>
      <c r="B24438" s="30" t="s">
        <v>53868</v>
      </c>
      <c r="C24438" s="30" t="s">
        <v>647</v>
      </c>
      <c r="D24438" s="30" t="s">
        <v>17</v>
      </c>
      <c r="E24438" s="30" t="s">
        <v>18</v>
      </c>
      <c r="F24438" s="30" t="s">
        <v>19</v>
      </c>
      <c r="G24438" s="30" t="s">
        <v>140</v>
      </c>
      <c r="H24438" s="32">
        <v>12000</v>
      </c>
      <c r="I24438" s="30" t="s">
        <v>51</v>
      </c>
      <c r="J24438" s="41">
        <v>45819</v>
      </c>
      <c r="K24438" s="30" t="s">
        <v>22</v>
      </c>
    </row>
    <row r="24439" spans="1:11">
      <c r="A24439" s="33" t="s">
        <v>53869</v>
      </c>
      <c r="B24439" s="33" t="s">
        <v>53870</v>
      </c>
      <c r="C24439" s="33" t="s">
        <v>1003</v>
      </c>
      <c r="D24439" s="33" t="s">
        <v>17</v>
      </c>
      <c r="E24439" s="33" t="s">
        <v>31</v>
      </c>
      <c r="F24439" s="33" t="s">
        <v>32</v>
      </c>
      <c r="G24439" s="33" t="s">
        <v>140</v>
      </c>
      <c r="H24439" s="35">
        <v>60</v>
      </c>
      <c r="I24439" s="33" t="s">
        <v>51</v>
      </c>
      <c r="J24439" s="42">
        <v>45993</v>
      </c>
      <c r="K24439" s="33" t="s">
        <v>22</v>
      </c>
    </row>
    <row r="24440" spans="1:11">
      <c r="A24440" s="30" t="s">
        <v>53871</v>
      </c>
      <c r="B24440" s="30" t="s">
        <v>53872</v>
      </c>
      <c r="C24440" s="30" t="s">
        <v>2540</v>
      </c>
      <c r="D24440" s="30" t="s">
        <v>17</v>
      </c>
      <c r="E24440" s="30" t="s">
        <v>18</v>
      </c>
      <c r="F24440" s="30" t="s">
        <v>19</v>
      </c>
      <c r="G24440" s="30" t="s">
        <v>140</v>
      </c>
      <c r="H24440" s="32">
        <v>15</v>
      </c>
      <c r="I24440" s="30" t="s">
        <v>51</v>
      </c>
      <c r="J24440" s="41">
        <v>45800</v>
      </c>
      <c r="K24440" s="30" t="s">
        <v>22</v>
      </c>
    </row>
    <row r="24441" spans="1:11">
      <c r="A24441" s="33" t="s">
        <v>53873</v>
      </c>
      <c r="B24441" s="33" t="s">
        <v>53874</v>
      </c>
      <c r="C24441" s="33" t="s">
        <v>75</v>
      </c>
      <c r="D24441" s="33" t="s">
        <v>17</v>
      </c>
      <c r="E24441" s="33" t="s">
        <v>31</v>
      </c>
      <c r="F24441" s="33" t="s">
        <v>32</v>
      </c>
      <c r="G24441" s="33" t="s">
        <v>158</v>
      </c>
      <c r="H24441" s="35">
        <v>76</v>
      </c>
      <c r="I24441" s="33" t="s">
        <v>51</v>
      </c>
      <c r="J24441" s="42">
        <v>45919</v>
      </c>
      <c r="K24441" s="33" t="s">
        <v>22</v>
      </c>
    </row>
    <row r="24442" spans="1:11">
      <c r="A24442" s="30" t="s">
        <v>53875</v>
      </c>
      <c r="B24442" s="30" t="s">
        <v>53876</v>
      </c>
      <c r="C24442" s="30" t="s">
        <v>3698</v>
      </c>
      <c r="D24442" s="30" t="s">
        <v>17</v>
      </c>
      <c r="E24442" s="30" t="s">
        <v>31</v>
      </c>
      <c r="F24442" s="30" t="s">
        <v>32</v>
      </c>
      <c r="G24442" s="30" t="s">
        <v>140</v>
      </c>
      <c r="H24442" s="32">
        <v>78</v>
      </c>
      <c r="I24442" s="30" t="s">
        <v>51</v>
      </c>
      <c r="J24442" s="41">
        <v>45805</v>
      </c>
      <c r="K24442" s="30" t="s">
        <v>22</v>
      </c>
    </row>
    <row r="24443" spans="1:11">
      <c r="A24443" s="33" t="s">
        <v>53877</v>
      </c>
      <c r="B24443" s="33" t="s">
        <v>53878</v>
      </c>
      <c r="C24443" s="33" t="s">
        <v>15107</v>
      </c>
      <c r="D24443" s="33" t="s">
        <v>17</v>
      </c>
      <c r="E24443" s="33" t="s">
        <v>26</v>
      </c>
      <c r="F24443" s="33" t="s">
        <v>27</v>
      </c>
      <c r="G24443" s="33" t="s">
        <v>140</v>
      </c>
      <c r="H24443" s="35">
        <v>30</v>
      </c>
      <c r="I24443" s="33" t="s">
        <v>51</v>
      </c>
      <c r="J24443" s="42">
        <v>45680</v>
      </c>
      <c r="K24443" s="33" t="s">
        <v>22</v>
      </c>
    </row>
    <row r="24444" spans="1:11">
      <c r="A24444" s="30" t="s">
        <v>53879</v>
      </c>
      <c r="B24444" s="30" t="s">
        <v>53880</v>
      </c>
      <c r="C24444" s="30" t="s">
        <v>684</v>
      </c>
      <c r="D24444" s="30" t="s">
        <v>17</v>
      </c>
      <c r="E24444" s="30" t="s">
        <v>67</v>
      </c>
      <c r="F24444" s="30" t="s">
        <v>68</v>
      </c>
      <c r="G24444" s="30" t="s">
        <v>140</v>
      </c>
      <c r="H24444" s="32">
        <v>62</v>
      </c>
      <c r="I24444" s="30" t="s">
        <v>51</v>
      </c>
      <c r="J24444" s="41">
        <v>45937</v>
      </c>
      <c r="K24444" s="30" t="s">
        <v>22</v>
      </c>
    </row>
    <row r="24445" spans="1:11">
      <c r="A24445" s="33" t="s">
        <v>53881</v>
      </c>
      <c r="B24445" s="33" t="s">
        <v>53882</v>
      </c>
      <c r="C24445" s="33" t="s">
        <v>178</v>
      </c>
      <c r="D24445" s="33" t="s">
        <v>17</v>
      </c>
      <c r="E24445" s="33" t="s">
        <v>18</v>
      </c>
      <c r="F24445" s="33" t="s">
        <v>19</v>
      </c>
      <c r="G24445" s="33" t="s">
        <v>140</v>
      </c>
      <c r="H24445" s="35">
        <v>250</v>
      </c>
      <c r="I24445" s="33" t="s">
        <v>51</v>
      </c>
      <c r="J24445" s="42">
        <v>45988</v>
      </c>
      <c r="K24445" s="33" t="s">
        <v>22</v>
      </c>
    </row>
    <row r="24446" spans="1:11">
      <c r="A24446" s="30" t="s">
        <v>53883</v>
      </c>
      <c r="B24446" s="30" t="s">
        <v>53884</v>
      </c>
      <c r="C24446" s="30" t="s">
        <v>3594</v>
      </c>
      <c r="D24446" s="30" t="s">
        <v>17</v>
      </c>
      <c r="E24446" s="30" t="s">
        <v>26</v>
      </c>
      <c r="F24446" s="30" t="s">
        <v>27</v>
      </c>
      <c r="G24446" s="30" t="s">
        <v>158</v>
      </c>
      <c r="H24446" s="32">
        <v>24</v>
      </c>
      <c r="I24446" s="30" t="s">
        <v>21</v>
      </c>
      <c r="J24446" s="41">
        <v>45845</v>
      </c>
      <c r="K24446" s="30" t="s">
        <v>22</v>
      </c>
    </row>
    <row r="24447" spans="1:11">
      <c r="A24447" s="33" t="s">
        <v>53885</v>
      </c>
      <c r="B24447" s="33" t="s">
        <v>53886</v>
      </c>
      <c r="C24447" s="33" t="s">
        <v>53887</v>
      </c>
      <c r="D24447" s="33" t="s">
        <v>17</v>
      </c>
      <c r="E24447" s="33" t="s">
        <v>67</v>
      </c>
      <c r="F24447" s="33" t="s">
        <v>68</v>
      </c>
      <c r="G24447" s="33" t="s">
        <v>140</v>
      </c>
      <c r="H24447" s="35">
        <v>70</v>
      </c>
      <c r="I24447" s="33" t="s">
        <v>51</v>
      </c>
      <c r="J24447" s="42">
        <v>45726</v>
      </c>
      <c r="K24447" s="33" t="s">
        <v>22</v>
      </c>
    </row>
    <row r="24448" spans="1:11">
      <c r="A24448" s="30" t="s">
        <v>53888</v>
      </c>
      <c r="B24448" s="30" t="s">
        <v>53889</v>
      </c>
      <c r="C24448" s="30" t="s">
        <v>53890</v>
      </c>
      <c r="D24448" s="30" t="s">
        <v>17</v>
      </c>
      <c r="E24448" s="30" t="s">
        <v>67</v>
      </c>
      <c r="F24448" s="30" t="s">
        <v>68</v>
      </c>
      <c r="G24448" s="30" t="s">
        <v>50</v>
      </c>
      <c r="H24448" s="32">
        <v>32</v>
      </c>
      <c r="I24448" s="30" t="s">
        <v>51</v>
      </c>
      <c r="J24448" s="41">
        <v>45658</v>
      </c>
      <c r="K24448" s="30" t="s">
        <v>22</v>
      </c>
    </row>
    <row r="24449" spans="1:11">
      <c r="A24449" s="33" t="s">
        <v>53891</v>
      </c>
      <c r="B24449" s="33" t="s">
        <v>53892</v>
      </c>
      <c r="C24449" s="33" t="s">
        <v>1661</v>
      </c>
      <c r="D24449" s="33" t="s">
        <v>17</v>
      </c>
      <c r="E24449" s="33" t="s">
        <v>26</v>
      </c>
      <c r="F24449" s="33" t="s">
        <v>27</v>
      </c>
      <c r="G24449" s="33" t="s">
        <v>20</v>
      </c>
      <c r="H24449" s="35">
        <v>18</v>
      </c>
      <c r="I24449" s="33" t="s">
        <v>21</v>
      </c>
      <c r="J24449" s="42">
        <v>45742</v>
      </c>
      <c r="K24449" s="33" t="s">
        <v>22</v>
      </c>
    </row>
    <row r="24450" spans="1:11">
      <c r="A24450" s="30" t="s">
        <v>53893</v>
      </c>
      <c r="B24450" s="30" t="s">
        <v>53894</v>
      </c>
      <c r="C24450" s="30" t="s">
        <v>7765</v>
      </c>
      <c r="D24450" s="30" t="s">
        <v>17</v>
      </c>
      <c r="E24450" s="30" t="s">
        <v>26</v>
      </c>
      <c r="F24450" s="30" t="s">
        <v>27</v>
      </c>
      <c r="G24450" s="30" t="s">
        <v>140</v>
      </c>
      <c r="H24450" s="32">
        <v>40</v>
      </c>
      <c r="I24450" s="30" t="s">
        <v>51</v>
      </c>
      <c r="J24450" s="41">
        <v>45916</v>
      </c>
      <c r="K24450" s="30" t="s">
        <v>22</v>
      </c>
    </row>
    <row r="24451" spans="1:11">
      <c r="A24451" s="33" t="s">
        <v>53895</v>
      </c>
      <c r="B24451" s="33" t="s">
        <v>53896</v>
      </c>
      <c r="C24451" s="33" t="s">
        <v>53897</v>
      </c>
      <c r="D24451" s="33" t="s">
        <v>17</v>
      </c>
      <c r="E24451" s="33" t="s">
        <v>67</v>
      </c>
      <c r="F24451" s="33" t="s">
        <v>68</v>
      </c>
      <c r="G24451" s="33" t="s">
        <v>2613</v>
      </c>
      <c r="H24451" s="35">
        <v>39</v>
      </c>
      <c r="I24451" s="33" t="s">
        <v>51</v>
      </c>
      <c r="J24451" s="42">
        <v>45923</v>
      </c>
      <c r="K24451" s="33" t="s">
        <v>22</v>
      </c>
    </row>
    <row r="24452" spans="1:11">
      <c r="A24452" s="30" t="s">
        <v>53898</v>
      </c>
      <c r="B24452" s="30" t="s">
        <v>53899</v>
      </c>
      <c r="C24452" s="30" t="s">
        <v>136</v>
      </c>
      <c r="D24452" s="30" t="s">
        <v>17</v>
      </c>
      <c r="E24452" s="30" t="s">
        <v>26</v>
      </c>
      <c r="F24452" s="30" t="s">
        <v>27</v>
      </c>
      <c r="G24452" s="30" t="s">
        <v>20</v>
      </c>
      <c r="H24452" s="32">
        <v>24</v>
      </c>
      <c r="I24452" s="30" t="s">
        <v>21</v>
      </c>
      <c r="J24452" s="41">
        <v>45880</v>
      </c>
      <c r="K24452" s="30" t="s">
        <v>22</v>
      </c>
    </row>
    <row r="24453" spans="1:11">
      <c r="A24453" s="33" t="s">
        <v>53900</v>
      </c>
      <c r="B24453" s="33" t="s">
        <v>53901</v>
      </c>
      <c r="C24453" s="33" t="s">
        <v>25616</v>
      </c>
      <c r="D24453" s="33" t="s">
        <v>17</v>
      </c>
      <c r="E24453" s="33" t="s">
        <v>31</v>
      </c>
      <c r="F24453" s="33" t="s">
        <v>32</v>
      </c>
      <c r="G24453" s="33" t="s">
        <v>140</v>
      </c>
      <c r="H24453" s="35">
        <v>12</v>
      </c>
      <c r="I24453" s="33" t="s">
        <v>51</v>
      </c>
      <c r="J24453" s="42">
        <v>45727</v>
      </c>
      <c r="K24453" s="33" t="s">
        <v>22</v>
      </c>
    </row>
    <row r="24454" spans="1:11">
      <c r="A24454" s="30" t="s">
        <v>53902</v>
      </c>
      <c r="B24454" s="30" t="s">
        <v>53903</v>
      </c>
      <c r="C24454" s="30" t="s">
        <v>8554</v>
      </c>
      <c r="D24454" s="30" t="s">
        <v>17</v>
      </c>
      <c r="E24454" s="30" t="s">
        <v>18</v>
      </c>
      <c r="F24454" s="30" t="s">
        <v>19</v>
      </c>
      <c r="G24454" s="30" t="s">
        <v>140</v>
      </c>
      <c r="H24454" s="32">
        <v>150</v>
      </c>
      <c r="I24454" s="30" t="s">
        <v>51</v>
      </c>
      <c r="J24454" s="41">
        <v>45884</v>
      </c>
      <c r="K24454" s="30" t="s">
        <v>22</v>
      </c>
    </row>
    <row r="24455" spans="1:11">
      <c r="A24455" s="33" t="s">
        <v>53904</v>
      </c>
      <c r="B24455" s="33" t="s">
        <v>53905</v>
      </c>
      <c r="C24455" s="33" t="s">
        <v>1270</v>
      </c>
      <c r="D24455" s="33" t="s">
        <v>17</v>
      </c>
      <c r="E24455" s="33" t="s">
        <v>26</v>
      </c>
      <c r="F24455" s="33" t="s">
        <v>27</v>
      </c>
      <c r="G24455" s="33" t="s">
        <v>140</v>
      </c>
      <c r="H24455" s="35">
        <v>20</v>
      </c>
      <c r="I24455" s="33" t="s">
        <v>51</v>
      </c>
      <c r="J24455" s="42">
        <v>45708</v>
      </c>
      <c r="K24455" s="33" t="s">
        <v>22</v>
      </c>
    </row>
    <row r="24456" spans="1:11">
      <c r="A24456" s="30" t="s">
        <v>53906</v>
      </c>
      <c r="B24456" s="30" t="s">
        <v>53907</v>
      </c>
      <c r="C24456" s="30" t="s">
        <v>25041</v>
      </c>
      <c r="D24456" s="30" t="s">
        <v>17</v>
      </c>
      <c r="E24456" s="30" t="s">
        <v>26</v>
      </c>
      <c r="F24456" s="30" t="s">
        <v>27</v>
      </c>
      <c r="G24456" s="30" t="s">
        <v>20</v>
      </c>
      <c r="H24456" s="32">
        <v>48</v>
      </c>
      <c r="I24456" s="30" t="s">
        <v>21</v>
      </c>
      <c r="J24456" s="41">
        <v>45705</v>
      </c>
      <c r="K24456" s="30" t="s">
        <v>22</v>
      </c>
    </row>
    <row r="24457" spans="1:11">
      <c r="A24457" s="33" t="s">
        <v>53908</v>
      </c>
      <c r="B24457" s="33" t="s">
        <v>53909</v>
      </c>
      <c r="C24457" s="33" t="s">
        <v>130</v>
      </c>
      <c r="D24457" s="33" t="s">
        <v>17</v>
      </c>
      <c r="E24457" s="33" t="s">
        <v>26</v>
      </c>
      <c r="F24457" s="33" t="s">
        <v>27</v>
      </c>
      <c r="G24457" s="33" t="s">
        <v>20</v>
      </c>
      <c r="H24457" s="35">
        <v>51</v>
      </c>
      <c r="I24457" s="33" t="s">
        <v>21</v>
      </c>
      <c r="J24457" s="42">
        <v>45782</v>
      </c>
      <c r="K24457" s="33" t="s">
        <v>22</v>
      </c>
    </row>
    <row r="24458" spans="1:11">
      <c r="A24458" s="30" t="s">
        <v>53910</v>
      </c>
      <c r="B24458" s="30" t="s">
        <v>53911</v>
      </c>
      <c r="C24458" s="30" t="s">
        <v>6663</v>
      </c>
      <c r="D24458" s="30" t="s">
        <v>17</v>
      </c>
      <c r="E24458" s="30" t="s">
        <v>31</v>
      </c>
      <c r="F24458" s="30" t="s">
        <v>32</v>
      </c>
      <c r="G24458" s="30" t="s">
        <v>140</v>
      </c>
      <c r="H24458" s="32">
        <v>140</v>
      </c>
      <c r="I24458" s="30" t="s">
        <v>51</v>
      </c>
      <c r="J24458" s="41">
        <v>45950</v>
      </c>
      <c r="K24458" s="30" t="s">
        <v>22</v>
      </c>
    </row>
    <row r="24459" spans="1:11">
      <c r="A24459" s="33" t="s">
        <v>53912</v>
      </c>
      <c r="B24459" s="33" t="s">
        <v>53913</v>
      </c>
      <c r="C24459" s="33" t="s">
        <v>53914</v>
      </c>
      <c r="D24459" s="33" t="s">
        <v>17</v>
      </c>
      <c r="E24459" s="33" t="s">
        <v>31</v>
      </c>
      <c r="F24459" s="33" t="s">
        <v>32</v>
      </c>
      <c r="G24459" s="33" t="s">
        <v>112</v>
      </c>
      <c r="H24459" s="35">
        <v>0</v>
      </c>
      <c r="I24459" s="33" t="s">
        <v>21</v>
      </c>
      <c r="J24459" s="42">
        <v>45901</v>
      </c>
      <c r="K24459" s="33" t="s">
        <v>22</v>
      </c>
    </row>
    <row r="24460" spans="1:11">
      <c r="A24460" s="30" t="s">
        <v>53915</v>
      </c>
      <c r="B24460" s="30" t="s">
        <v>53916</v>
      </c>
      <c r="C24460" s="30" t="s">
        <v>1661</v>
      </c>
      <c r="D24460" s="30" t="s">
        <v>17</v>
      </c>
      <c r="E24460" s="30" t="s">
        <v>18</v>
      </c>
      <c r="F24460" s="30" t="s">
        <v>19</v>
      </c>
      <c r="G24460" s="30" t="s">
        <v>140</v>
      </c>
      <c r="H24460" s="32">
        <v>300</v>
      </c>
      <c r="I24460" s="30" t="s">
        <v>51</v>
      </c>
      <c r="J24460" s="41">
        <v>45775</v>
      </c>
      <c r="K24460" s="30" t="s">
        <v>22</v>
      </c>
    </row>
    <row r="24461" spans="1:11">
      <c r="A24461" s="33" t="s">
        <v>53917</v>
      </c>
      <c r="B24461" s="33" t="s">
        <v>53918</v>
      </c>
      <c r="C24461" s="33" t="s">
        <v>570</v>
      </c>
      <c r="D24461" s="33" t="s">
        <v>17</v>
      </c>
      <c r="E24461" s="33" t="s">
        <v>67</v>
      </c>
      <c r="F24461" s="33" t="s">
        <v>68</v>
      </c>
      <c r="G24461" s="33" t="s">
        <v>140</v>
      </c>
      <c r="H24461" s="35">
        <v>444</v>
      </c>
      <c r="I24461" s="33" t="s">
        <v>51</v>
      </c>
      <c r="J24461" s="42">
        <v>45954</v>
      </c>
      <c r="K24461" s="33" t="s">
        <v>22</v>
      </c>
    </row>
    <row r="24462" spans="1:11">
      <c r="A24462" s="30" t="s">
        <v>53919</v>
      </c>
      <c r="B24462" s="30" t="s">
        <v>53920</v>
      </c>
      <c r="C24462" s="30" t="s">
        <v>18511</v>
      </c>
      <c r="D24462" s="30" t="s">
        <v>17</v>
      </c>
      <c r="E24462" s="30" t="s">
        <v>330</v>
      </c>
      <c r="F24462" s="30" t="s">
        <v>331</v>
      </c>
      <c r="G24462" s="30" t="s">
        <v>20</v>
      </c>
      <c r="H24462" s="32">
        <v>12</v>
      </c>
      <c r="I24462" s="30" t="s">
        <v>21</v>
      </c>
      <c r="J24462" s="41">
        <v>45960</v>
      </c>
      <c r="K24462" s="30" t="s">
        <v>22</v>
      </c>
    </row>
    <row r="24463" spans="1:11">
      <c r="A24463" s="33" t="s">
        <v>53921</v>
      </c>
      <c r="B24463" s="33" t="s">
        <v>53922</v>
      </c>
      <c r="C24463" s="33" t="s">
        <v>9487</v>
      </c>
      <c r="D24463" s="33" t="s">
        <v>17</v>
      </c>
      <c r="E24463" s="33" t="s">
        <v>31</v>
      </c>
      <c r="F24463" s="33" t="s">
        <v>32</v>
      </c>
      <c r="G24463" s="33" t="s">
        <v>140</v>
      </c>
      <c r="H24463" s="35">
        <v>60</v>
      </c>
      <c r="I24463" s="33" t="s">
        <v>51</v>
      </c>
      <c r="J24463" s="42">
        <v>45666</v>
      </c>
      <c r="K24463" s="33" t="s">
        <v>22</v>
      </c>
    </row>
    <row r="24464" spans="1:11">
      <c r="A24464" s="30" t="s">
        <v>53923</v>
      </c>
      <c r="B24464" s="30" t="s">
        <v>53924</v>
      </c>
      <c r="C24464" s="30" t="s">
        <v>149</v>
      </c>
      <c r="D24464" s="30" t="s">
        <v>17</v>
      </c>
      <c r="E24464" s="30" t="s">
        <v>31</v>
      </c>
      <c r="F24464" s="30" t="s">
        <v>32</v>
      </c>
      <c r="G24464" s="30" t="s">
        <v>7780</v>
      </c>
      <c r="H24464" s="32">
        <v>20</v>
      </c>
      <c r="I24464" s="30" t="s">
        <v>51</v>
      </c>
      <c r="J24464" s="41">
        <v>45870</v>
      </c>
      <c r="K24464" s="30" t="s">
        <v>22</v>
      </c>
    </row>
    <row r="24465" spans="1:11">
      <c r="A24465" s="33" t="s">
        <v>53925</v>
      </c>
      <c r="B24465" s="33" t="s">
        <v>53926</v>
      </c>
      <c r="C24465" s="33" t="s">
        <v>48102</v>
      </c>
      <c r="D24465" s="33" t="s">
        <v>17</v>
      </c>
      <c r="E24465" s="33" t="s">
        <v>31</v>
      </c>
      <c r="F24465" s="33" t="s">
        <v>32</v>
      </c>
      <c r="G24465" s="33" t="s">
        <v>7780</v>
      </c>
      <c r="H24465" s="35">
        <v>210</v>
      </c>
      <c r="I24465" s="33" t="s">
        <v>51</v>
      </c>
      <c r="J24465" s="42">
        <v>45945</v>
      </c>
      <c r="K24465" s="33" t="s">
        <v>22</v>
      </c>
    </row>
    <row r="24466" spans="1:11">
      <c r="A24466" s="30" t="s">
        <v>53927</v>
      </c>
      <c r="B24466" s="30" t="s">
        <v>53928</v>
      </c>
      <c r="C24466" s="30" t="s">
        <v>53929</v>
      </c>
      <c r="D24466" s="30" t="s">
        <v>17</v>
      </c>
      <c r="E24466" s="30" t="s">
        <v>26</v>
      </c>
      <c r="F24466" s="30" t="s">
        <v>27</v>
      </c>
      <c r="G24466" s="30" t="s">
        <v>140</v>
      </c>
      <c r="H24466" s="32">
        <v>12</v>
      </c>
      <c r="I24466" s="30" t="s">
        <v>51</v>
      </c>
      <c r="J24466" s="41">
        <v>45860</v>
      </c>
      <c r="K24466" s="30" t="s">
        <v>22</v>
      </c>
    </row>
    <row r="24467" spans="1:11">
      <c r="A24467" s="33" t="s">
        <v>53930</v>
      </c>
      <c r="B24467" s="33" t="s">
        <v>53931</v>
      </c>
      <c r="C24467" s="33" t="s">
        <v>30492</v>
      </c>
      <c r="D24467" s="33" t="s">
        <v>17</v>
      </c>
      <c r="E24467" s="33" t="s">
        <v>26</v>
      </c>
      <c r="F24467" s="33" t="s">
        <v>27</v>
      </c>
      <c r="G24467" s="33" t="s">
        <v>140</v>
      </c>
      <c r="H24467" s="35">
        <v>18</v>
      </c>
      <c r="I24467" s="33" t="s">
        <v>51</v>
      </c>
      <c r="J24467" s="42">
        <v>45715</v>
      </c>
      <c r="K24467" s="33" t="s">
        <v>22</v>
      </c>
    </row>
    <row r="24468" spans="1:11">
      <c r="A24468" s="30" t="s">
        <v>53932</v>
      </c>
      <c r="B24468" s="30" t="s">
        <v>53933</v>
      </c>
      <c r="C24468" s="30" t="s">
        <v>75</v>
      </c>
      <c r="D24468" s="30" t="s">
        <v>17</v>
      </c>
      <c r="E24468" s="30" t="s">
        <v>26</v>
      </c>
      <c r="F24468" s="30" t="s">
        <v>27</v>
      </c>
      <c r="G24468" s="30" t="s">
        <v>20</v>
      </c>
      <c r="H24468" s="32">
        <v>26</v>
      </c>
      <c r="I24468" s="30" t="s">
        <v>21</v>
      </c>
      <c r="J24468" s="41">
        <v>45680</v>
      </c>
      <c r="K24468" s="30" t="s">
        <v>22</v>
      </c>
    </row>
    <row r="24469" spans="1:11">
      <c r="A24469" s="33" t="s">
        <v>53934</v>
      </c>
      <c r="B24469" s="33" t="s">
        <v>53935</v>
      </c>
      <c r="C24469" s="33" t="s">
        <v>2017</v>
      </c>
      <c r="D24469" s="33" t="s">
        <v>17</v>
      </c>
      <c r="E24469" s="33" t="s">
        <v>26</v>
      </c>
      <c r="F24469" s="33" t="s">
        <v>27</v>
      </c>
      <c r="G24469" s="33" t="s">
        <v>20</v>
      </c>
      <c r="H24469" s="35">
        <v>1043</v>
      </c>
      <c r="I24469" s="33" t="s">
        <v>21</v>
      </c>
      <c r="J24469" s="42">
        <v>45873</v>
      </c>
      <c r="K24469" s="33" t="s">
        <v>22</v>
      </c>
    </row>
    <row r="24470" spans="1:11">
      <c r="A24470" s="30" t="s">
        <v>53936</v>
      </c>
      <c r="B24470" s="30" t="s">
        <v>53937</v>
      </c>
      <c r="C24470" s="30" t="s">
        <v>53938</v>
      </c>
      <c r="D24470" s="30" t="s">
        <v>17</v>
      </c>
      <c r="E24470" s="30" t="s">
        <v>31</v>
      </c>
      <c r="F24470" s="30" t="s">
        <v>32</v>
      </c>
      <c r="G24470" s="30" t="s">
        <v>158</v>
      </c>
      <c r="H24470" s="32">
        <v>300</v>
      </c>
      <c r="I24470" s="30" t="s">
        <v>51</v>
      </c>
      <c r="J24470" s="41">
        <v>45876</v>
      </c>
      <c r="K24470" s="30" t="s">
        <v>22</v>
      </c>
    </row>
    <row r="24471" spans="1:11">
      <c r="A24471" s="33" t="s">
        <v>53939</v>
      </c>
      <c r="B24471" s="33" t="s">
        <v>53940</v>
      </c>
      <c r="C24471" s="33" t="s">
        <v>53941</v>
      </c>
      <c r="D24471" s="33" t="s">
        <v>17</v>
      </c>
      <c r="E24471" s="33" t="s">
        <v>67</v>
      </c>
      <c r="F24471" s="33" t="s">
        <v>68</v>
      </c>
      <c r="G24471" s="33" t="s">
        <v>140</v>
      </c>
      <c r="H24471" s="35">
        <v>20</v>
      </c>
      <c r="I24471" s="33" t="s">
        <v>51</v>
      </c>
      <c r="J24471" s="42">
        <v>45981</v>
      </c>
      <c r="K24471" s="33" t="s">
        <v>22</v>
      </c>
    </row>
    <row r="24472" spans="1:11">
      <c r="A24472" s="30" t="s">
        <v>53942</v>
      </c>
      <c r="B24472" s="30" t="s">
        <v>53943</v>
      </c>
      <c r="C24472" s="30" t="s">
        <v>647</v>
      </c>
      <c r="D24472" s="30" t="s">
        <v>17</v>
      </c>
      <c r="E24472" s="30" t="s">
        <v>26</v>
      </c>
      <c r="F24472" s="30" t="s">
        <v>27</v>
      </c>
      <c r="G24472" s="30" t="s">
        <v>20</v>
      </c>
      <c r="H24472" s="32">
        <v>16</v>
      </c>
      <c r="I24472" s="30" t="s">
        <v>21</v>
      </c>
      <c r="J24472" s="41">
        <v>45659</v>
      </c>
      <c r="K24472" s="30" t="s">
        <v>22</v>
      </c>
    </row>
    <row r="24473" spans="1:11">
      <c r="A24473" s="33" t="s">
        <v>53944</v>
      </c>
      <c r="B24473" s="33" t="s">
        <v>53945</v>
      </c>
      <c r="C24473" s="33" t="s">
        <v>29352</v>
      </c>
      <c r="D24473" s="33" t="s">
        <v>17</v>
      </c>
      <c r="E24473" s="33" t="s">
        <v>26</v>
      </c>
      <c r="F24473" s="33" t="s">
        <v>27</v>
      </c>
      <c r="G24473" s="33" t="s">
        <v>20</v>
      </c>
      <c r="H24473" s="35">
        <v>24</v>
      </c>
      <c r="I24473" s="33" t="s">
        <v>21</v>
      </c>
      <c r="J24473" s="42">
        <v>45809</v>
      </c>
      <c r="K24473" s="33" t="s">
        <v>22</v>
      </c>
    </row>
    <row r="24474" spans="1:11">
      <c r="A24474" s="30" t="s">
        <v>53946</v>
      </c>
      <c r="B24474" s="30" t="s">
        <v>53947</v>
      </c>
      <c r="C24474" s="30" t="s">
        <v>6248</v>
      </c>
      <c r="D24474" s="30" t="s">
        <v>17</v>
      </c>
      <c r="E24474" s="30" t="s">
        <v>31</v>
      </c>
      <c r="F24474" s="30" t="s">
        <v>32</v>
      </c>
      <c r="G24474" s="30" t="s">
        <v>140</v>
      </c>
      <c r="H24474" s="32">
        <v>60</v>
      </c>
      <c r="I24474" s="30" t="s">
        <v>51</v>
      </c>
      <c r="J24474" s="41">
        <v>45694</v>
      </c>
      <c r="K24474" s="30" t="s">
        <v>22</v>
      </c>
    </row>
    <row r="24475" spans="1:11">
      <c r="A24475" s="33" t="s">
        <v>53948</v>
      </c>
      <c r="B24475" s="33" t="s">
        <v>53949</v>
      </c>
      <c r="C24475" s="33" t="s">
        <v>49578</v>
      </c>
      <c r="D24475" s="33" t="s">
        <v>17</v>
      </c>
      <c r="E24475" s="33" t="s">
        <v>212</v>
      </c>
      <c r="F24475" s="33" t="s">
        <v>213</v>
      </c>
      <c r="G24475" s="33" t="s">
        <v>140</v>
      </c>
      <c r="H24475" s="35">
        <v>36</v>
      </c>
      <c r="I24475" s="33" t="s">
        <v>51</v>
      </c>
      <c r="J24475" s="42">
        <v>45846</v>
      </c>
      <c r="K24475" s="33" t="s">
        <v>22</v>
      </c>
    </row>
    <row r="24476" spans="1:11">
      <c r="A24476" s="30" t="s">
        <v>53950</v>
      </c>
      <c r="B24476" s="30" t="s">
        <v>53951</v>
      </c>
      <c r="C24476" s="30" t="s">
        <v>45855</v>
      </c>
      <c r="D24476" s="30" t="s">
        <v>17</v>
      </c>
      <c r="E24476" s="30" t="s">
        <v>26</v>
      </c>
      <c r="F24476" s="30" t="s">
        <v>27</v>
      </c>
      <c r="G24476" s="30" t="s">
        <v>20</v>
      </c>
      <c r="H24476" s="32">
        <v>8</v>
      </c>
      <c r="I24476" s="30" t="s">
        <v>21</v>
      </c>
      <c r="J24476" s="41">
        <v>45818</v>
      </c>
      <c r="K24476" s="30" t="s">
        <v>22</v>
      </c>
    </row>
    <row r="24477" spans="1:11">
      <c r="A24477" s="33" t="s">
        <v>53952</v>
      </c>
      <c r="B24477" s="33" t="s">
        <v>53953</v>
      </c>
      <c r="C24477" s="33" t="s">
        <v>6735</v>
      </c>
      <c r="D24477" s="33" t="s">
        <v>17</v>
      </c>
      <c r="E24477" s="33" t="s">
        <v>26</v>
      </c>
      <c r="F24477" s="33" t="s">
        <v>27</v>
      </c>
      <c r="G24477" s="33" t="s">
        <v>140</v>
      </c>
      <c r="H24477" s="35">
        <v>364</v>
      </c>
      <c r="I24477" s="33" t="s">
        <v>51</v>
      </c>
      <c r="J24477" s="42">
        <v>45863</v>
      </c>
      <c r="K24477" s="33" t="s">
        <v>22</v>
      </c>
    </row>
    <row r="24478" spans="1:11">
      <c r="A24478" s="30" t="s">
        <v>53954</v>
      </c>
      <c r="B24478" s="30" t="s">
        <v>53955</v>
      </c>
      <c r="C24478" s="30" t="s">
        <v>1165</v>
      </c>
      <c r="D24478" s="30" t="s">
        <v>17</v>
      </c>
      <c r="E24478" s="30" t="s">
        <v>26</v>
      </c>
      <c r="F24478" s="30" t="s">
        <v>27</v>
      </c>
      <c r="G24478" s="30" t="s">
        <v>20</v>
      </c>
      <c r="H24478" s="32">
        <v>40</v>
      </c>
      <c r="I24478" s="30" t="s">
        <v>21</v>
      </c>
      <c r="J24478" s="41">
        <v>45671</v>
      </c>
      <c r="K24478" s="30" t="s">
        <v>22</v>
      </c>
    </row>
    <row r="24479" spans="1:11">
      <c r="A24479" s="33" t="s">
        <v>53956</v>
      </c>
      <c r="B24479" s="33" t="s">
        <v>53957</v>
      </c>
      <c r="C24479" s="33" t="s">
        <v>32043</v>
      </c>
      <c r="D24479" s="33" t="s">
        <v>17</v>
      </c>
      <c r="E24479" s="33" t="s">
        <v>31</v>
      </c>
      <c r="F24479" s="33" t="s">
        <v>32</v>
      </c>
      <c r="G24479" s="33" t="s">
        <v>140</v>
      </c>
      <c r="H24479" s="35">
        <v>120</v>
      </c>
      <c r="I24479" s="33" t="s">
        <v>51</v>
      </c>
      <c r="J24479" s="42">
        <v>45967</v>
      </c>
      <c r="K24479" s="33" t="s">
        <v>22</v>
      </c>
    </row>
    <row r="24480" spans="1:11">
      <c r="A24480" s="30" t="s">
        <v>53958</v>
      </c>
      <c r="B24480" s="30" t="s">
        <v>53959</v>
      </c>
      <c r="C24480" s="30" t="s">
        <v>10183</v>
      </c>
      <c r="D24480" s="30" t="s">
        <v>17</v>
      </c>
      <c r="E24480" s="30" t="s">
        <v>31</v>
      </c>
      <c r="F24480" s="30" t="s">
        <v>32</v>
      </c>
      <c r="G24480" s="30" t="s">
        <v>140</v>
      </c>
      <c r="H24480" s="32">
        <v>83</v>
      </c>
      <c r="I24480" s="30" t="s">
        <v>51</v>
      </c>
      <c r="J24480" s="41">
        <v>45671</v>
      </c>
      <c r="K24480" s="30" t="s">
        <v>22</v>
      </c>
    </row>
    <row r="24481" spans="1:11">
      <c r="A24481" s="33" t="s">
        <v>53960</v>
      </c>
      <c r="B24481" s="33" t="s">
        <v>53961</v>
      </c>
      <c r="C24481" s="33" t="s">
        <v>698</v>
      </c>
      <c r="D24481" s="33" t="s">
        <v>17</v>
      </c>
      <c r="E24481" s="33" t="s">
        <v>45</v>
      </c>
      <c r="F24481" s="33" t="s">
        <v>46</v>
      </c>
      <c r="G24481" s="33" t="s">
        <v>7780</v>
      </c>
      <c r="H24481" s="35">
        <v>490</v>
      </c>
      <c r="I24481" s="33" t="s">
        <v>51</v>
      </c>
      <c r="J24481" s="42">
        <v>46021</v>
      </c>
      <c r="K24481" s="33" t="s">
        <v>22</v>
      </c>
    </row>
    <row r="24482" spans="1:11">
      <c r="A24482" s="30" t="s">
        <v>53962</v>
      </c>
      <c r="B24482" s="30" t="s">
        <v>53963</v>
      </c>
      <c r="C24482" s="30" t="s">
        <v>53964</v>
      </c>
      <c r="D24482" s="30" t="s">
        <v>17</v>
      </c>
      <c r="E24482" s="30" t="s">
        <v>31</v>
      </c>
      <c r="F24482" s="30" t="s">
        <v>32</v>
      </c>
      <c r="G24482" s="30" t="s">
        <v>20</v>
      </c>
      <c r="H24482" s="32">
        <v>24</v>
      </c>
      <c r="I24482" s="30" t="s">
        <v>21</v>
      </c>
      <c r="J24482" s="41">
        <v>45849</v>
      </c>
      <c r="K24482" s="30" t="s">
        <v>22</v>
      </c>
    </row>
    <row r="24483" spans="1:11">
      <c r="A24483" s="33" t="s">
        <v>53965</v>
      </c>
      <c r="B24483" s="33" t="s">
        <v>53966</v>
      </c>
      <c r="C24483" s="33" t="s">
        <v>53967</v>
      </c>
      <c r="D24483" s="33" t="s">
        <v>17</v>
      </c>
      <c r="E24483" s="33" t="s">
        <v>67</v>
      </c>
      <c r="F24483" s="33" t="s">
        <v>68</v>
      </c>
      <c r="G24483" s="33" t="s">
        <v>140</v>
      </c>
      <c r="H24483" s="35">
        <v>227</v>
      </c>
      <c r="I24483" s="33" t="s">
        <v>51</v>
      </c>
      <c r="J24483" s="42">
        <v>45994</v>
      </c>
      <c r="K24483" s="33" t="s">
        <v>22</v>
      </c>
    </row>
    <row r="24484" spans="1:11">
      <c r="A24484" s="30" t="s">
        <v>53968</v>
      </c>
      <c r="B24484" s="30" t="s">
        <v>53969</v>
      </c>
      <c r="C24484" s="30" t="s">
        <v>136</v>
      </c>
      <c r="D24484" s="30" t="s">
        <v>17</v>
      </c>
      <c r="E24484" s="30" t="s">
        <v>26</v>
      </c>
      <c r="F24484" s="30" t="s">
        <v>27</v>
      </c>
      <c r="G24484" s="30" t="s">
        <v>158</v>
      </c>
      <c r="H24484" s="32">
        <v>33</v>
      </c>
      <c r="I24484" s="30" t="s">
        <v>51</v>
      </c>
      <c r="J24484" s="41">
        <v>45770</v>
      </c>
      <c r="K24484" s="30" t="s">
        <v>22</v>
      </c>
    </row>
    <row r="24485" spans="1:11">
      <c r="A24485" s="33" t="s">
        <v>53970</v>
      </c>
      <c r="B24485" s="33" t="s">
        <v>53971</v>
      </c>
      <c r="C24485" s="33" t="s">
        <v>53972</v>
      </c>
      <c r="D24485" s="33" t="s">
        <v>17</v>
      </c>
      <c r="E24485" s="33" t="s">
        <v>26</v>
      </c>
      <c r="F24485" s="33" t="s">
        <v>27</v>
      </c>
      <c r="G24485" s="33" t="s">
        <v>140</v>
      </c>
      <c r="H24485" s="35">
        <v>24</v>
      </c>
      <c r="I24485" s="33" t="s">
        <v>51</v>
      </c>
      <c r="J24485" s="42">
        <v>45992</v>
      </c>
      <c r="K24485" s="33" t="s">
        <v>22</v>
      </c>
    </row>
    <row r="24486" spans="1:11">
      <c r="A24486" s="30" t="s">
        <v>53973</v>
      </c>
      <c r="B24486" s="30" t="s">
        <v>53974</v>
      </c>
      <c r="C24486" s="30" t="s">
        <v>5312</v>
      </c>
      <c r="D24486" s="30" t="s">
        <v>17</v>
      </c>
      <c r="E24486" s="30" t="s">
        <v>67</v>
      </c>
      <c r="F24486" s="30" t="s">
        <v>68</v>
      </c>
      <c r="G24486" s="30" t="s">
        <v>140</v>
      </c>
      <c r="H24486" s="32">
        <v>150</v>
      </c>
      <c r="I24486" s="30" t="s">
        <v>51</v>
      </c>
      <c r="J24486" s="41">
        <v>45987</v>
      </c>
      <c r="K24486" s="30" t="s">
        <v>22</v>
      </c>
    </row>
    <row r="24487" spans="1:11">
      <c r="A24487" s="33" t="s">
        <v>53975</v>
      </c>
      <c r="B24487" s="33" t="s">
        <v>53976</v>
      </c>
      <c r="C24487" s="33" t="s">
        <v>2618</v>
      </c>
      <c r="D24487" s="33" t="s">
        <v>17</v>
      </c>
      <c r="E24487" s="33" t="s">
        <v>67</v>
      </c>
      <c r="F24487" s="33" t="s">
        <v>68</v>
      </c>
      <c r="G24487" s="33" t="s">
        <v>158</v>
      </c>
      <c r="H24487" s="35">
        <v>250</v>
      </c>
      <c r="I24487" s="33" t="s">
        <v>51</v>
      </c>
      <c r="J24487" s="42">
        <v>45686</v>
      </c>
      <c r="K24487" s="33" t="s">
        <v>22</v>
      </c>
    </row>
    <row r="24488" spans="1:11">
      <c r="A24488" s="30" t="s">
        <v>53977</v>
      </c>
      <c r="B24488" s="30" t="s">
        <v>53978</v>
      </c>
      <c r="C24488" s="30" t="s">
        <v>2562</v>
      </c>
      <c r="D24488" s="30" t="s">
        <v>17</v>
      </c>
      <c r="E24488" s="30" t="s">
        <v>67</v>
      </c>
      <c r="F24488" s="30" t="s">
        <v>68</v>
      </c>
      <c r="G24488" s="30" t="s">
        <v>140</v>
      </c>
      <c r="H24488" s="32">
        <v>158</v>
      </c>
      <c r="I24488" s="30" t="s">
        <v>51</v>
      </c>
      <c r="J24488" s="41">
        <v>45979</v>
      </c>
      <c r="K24488" s="30" t="s">
        <v>22</v>
      </c>
    </row>
    <row r="24489" spans="1:11">
      <c r="A24489" s="33" t="s">
        <v>53979</v>
      </c>
      <c r="B24489" s="33" t="s">
        <v>53980</v>
      </c>
      <c r="C24489" s="33" t="s">
        <v>53981</v>
      </c>
      <c r="D24489" s="33" t="s">
        <v>17</v>
      </c>
      <c r="E24489" s="33" t="s">
        <v>18</v>
      </c>
      <c r="F24489" s="33" t="s">
        <v>19</v>
      </c>
      <c r="G24489" s="33" t="s">
        <v>140</v>
      </c>
      <c r="H24489" s="35">
        <v>466</v>
      </c>
      <c r="I24489" s="33" t="s">
        <v>51</v>
      </c>
      <c r="J24489" s="42">
        <v>45806</v>
      </c>
      <c r="K24489" s="33" t="s">
        <v>22</v>
      </c>
    </row>
    <row r="24490" spans="1:11">
      <c r="A24490" s="30" t="s">
        <v>53982</v>
      </c>
      <c r="B24490" s="30" t="s">
        <v>53983</v>
      </c>
      <c r="C24490" s="30" t="s">
        <v>359</v>
      </c>
      <c r="D24490" s="30" t="s">
        <v>17</v>
      </c>
      <c r="E24490" s="30" t="s">
        <v>67</v>
      </c>
      <c r="F24490" s="30" t="s">
        <v>68</v>
      </c>
      <c r="G24490" s="30" t="s">
        <v>7780</v>
      </c>
      <c r="H24490" s="32">
        <v>190</v>
      </c>
      <c r="I24490" s="30" t="s">
        <v>51</v>
      </c>
      <c r="J24490" s="41">
        <v>45901</v>
      </c>
      <c r="K24490" s="30" t="s">
        <v>22</v>
      </c>
    </row>
    <row r="24491" spans="1:11">
      <c r="A24491" s="33" t="s">
        <v>53984</v>
      </c>
      <c r="B24491" s="33" t="s">
        <v>53985</v>
      </c>
      <c r="C24491" s="33" t="s">
        <v>15917</v>
      </c>
      <c r="D24491" s="33" t="s">
        <v>17</v>
      </c>
      <c r="E24491" s="33" t="s">
        <v>26</v>
      </c>
      <c r="F24491" s="33" t="s">
        <v>27</v>
      </c>
      <c r="G24491" s="33" t="s">
        <v>20</v>
      </c>
      <c r="H24491" s="35">
        <v>40</v>
      </c>
      <c r="I24491" s="33" t="s">
        <v>21</v>
      </c>
      <c r="J24491" s="42">
        <v>45755</v>
      </c>
      <c r="K24491" s="33" t="s">
        <v>22</v>
      </c>
    </row>
    <row r="24492" spans="1:11">
      <c r="A24492" s="30" t="s">
        <v>53986</v>
      </c>
      <c r="B24492" s="30" t="s">
        <v>53987</v>
      </c>
      <c r="C24492" s="30" t="s">
        <v>190</v>
      </c>
      <c r="D24492" s="30" t="s">
        <v>17</v>
      </c>
      <c r="E24492" s="30" t="s">
        <v>31</v>
      </c>
      <c r="F24492" s="30" t="s">
        <v>32</v>
      </c>
      <c r="G24492" s="30" t="s">
        <v>140</v>
      </c>
      <c r="H24492" s="32">
        <v>100</v>
      </c>
      <c r="I24492" s="30" t="s">
        <v>51</v>
      </c>
      <c r="J24492" s="41">
        <v>45855</v>
      </c>
      <c r="K24492" s="30" t="s">
        <v>22</v>
      </c>
    </row>
    <row r="24493" spans="1:11">
      <c r="A24493" s="33" t="s">
        <v>53988</v>
      </c>
      <c r="B24493" s="33" t="s">
        <v>53989</v>
      </c>
      <c r="C24493" s="33" t="s">
        <v>647</v>
      </c>
      <c r="D24493" s="33" t="s">
        <v>17</v>
      </c>
      <c r="E24493" s="33" t="s">
        <v>45</v>
      </c>
      <c r="F24493" s="33" t="s">
        <v>46</v>
      </c>
      <c r="G24493" s="33" t="s">
        <v>140</v>
      </c>
      <c r="H24493" s="35">
        <v>570</v>
      </c>
      <c r="I24493" s="33" t="s">
        <v>51</v>
      </c>
      <c r="J24493" s="42">
        <v>46009</v>
      </c>
      <c r="K24493" s="33" t="s">
        <v>22</v>
      </c>
    </row>
    <row r="24494" spans="1:11">
      <c r="A24494" s="30" t="s">
        <v>53990</v>
      </c>
      <c r="B24494" s="30" t="s">
        <v>53991</v>
      </c>
      <c r="C24494" s="30" t="s">
        <v>1080</v>
      </c>
      <c r="D24494" s="30" t="s">
        <v>17</v>
      </c>
      <c r="E24494" s="30" t="s">
        <v>31</v>
      </c>
      <c r="F24494" s="30" t="s">
        <v>32</v>
      </c>
      <c r="G24494" s="30" t="s">
        <v>140</v>
      </c>
      <c r="H24494" s="32">
        <v>216</v>
      </c>
      <c r="I24494" s="30" t="s">
        <v>51</v>
      </c>
      <c r="J24494" s="41">
        <v>45664</v>
      </c>
      <c r="K24494" s="30" t="s">
        <v>22</v>
      </c>
    </row>
    <row r="24495" spans="1:11">
      <c r="A24495" s="33" t="s">
        <v>53992</v>
      </c>
      <c r="B24495" s="33" t="s">
        <v>53993</v>
      </c>
      <c r="C24495" s="33" t="s">
        <v>31626</v>
      </c>
      <c r="D24495" s="33" t="s">
        <v>17</v>
      </c>
      <c r="E24495" s="33" t="s">
        <v>26</v>
      </c>
      <c r="F24495" s="33" t="s">
        <v>27</v>
      </c>
      <c r="G24495" s="33" t="s">
        <v>158</v>
      </c>
      <c r="H24495" s="35">
        <v>24</v>
      </c>
      <c r="I24495" s="33" t="s">
        <v>51</v>
      </c>
      <c r="J24495" s="42">
        <v>45978</v>
      </c>
      <c r="K24495" s="33" t="s">
        <v>22</v>
      </c>
    </row>
    <row r="24496" spans="1:11">
      <c r="A24496" s="30" t="s">
        <v>53994</v>
      </c>
      <c r="B24496" s="30" t="s">
        <v>53995</v>
      </c>
      <c r="C24496" s="30" t="s">
        <v>6955</v>
      </c>
      <c r="D24496" s="30" t="s">
        <v>17</v>
      </c>
      <c r="E24496" s="30" t="s">
        <v>18</v>
      </c>
      <c r="F24496" s="30" t="s">
        <v>19</v>
      </c>
      <c r="G24496" s="30" t="s">
        <v>158</v>
      </c>
      <c r="H24496" s="32">
        <v>688</v>
      </c>
      <c r="I24496" s="30" t="s">
        <v>21</v>
      </c>
      <c r="J24496" s="41">
        <v>45916</v>
      </c>
      <c r="K24496" s="30" t="s">
        <v>22</v>
      </c>
    </row>
    <row r="24497" spans="1:11">
      <c r="A24497" s="33" t="s">
        <v>53996</v>
      </c>
      <c r="B24497" s="33" t="s">
        <v>53997</v>
      </c>
      <c r="C24497" s="33" t="s">
        <v>2839</v>
      </c>
      <c r="D24497" s="33" t="s">
        <v>17</v>
      </c>
      <c r="E24497" s="33" t="s">
        <v>26</v>
      </c>
      <c r="F24497" s="33" t="s">
        <v>27</v>
      </c>
      <c r="G24497" s="33" t="s">
        <v>140</v>
      </c>
      <c r="H24497" s="35">
        <v>30</v>
      </c>
      <c r="I24497" s="33" t="s">
        <v>51</v>
      </c>
      <c r="J24497" s="42">
        <v>45856</v>
      </c>
      <c r="K24497" s="33" t="s">
        <v>22</v>
      </c>
    </row>
    <row r="24498" spans="1:11">
      <c r="A24498" s="30" t="s">
        <v>53998</v>
      </c>
      <c r="B24498" s="30" t="s">
        <v>53999</v>
      </c>
      <c r="C24498" s="30" t="s">
        <v>41065</v>
      </c>
      <c r="D24498" s="30" t="s">
        <v>17</v>
      </c>
      <c r="E24498" s="30" t="s">
        <v>18</v>
      </c>
      <c r="F24498" s="30" t="s">
        <v>19</v>
      </c>
      <c r="G24498" s="30" t="s">
        <v>20</v>
      </c>
      <c r="H24498" s="32">
        <v>250</v>
      </c>
      <c r="I24498" s="30" t="s">
        <v>21</v>
      </c>
      <c r="J24498" s="41">
        <v>45978</v>
      </c>
      <c r="K24498" s="30" t="s">
        <v>22</v>
      </c>
    </row>
    <row r="24499" spans="1:11">
      <c r="A24499" s="33" t="s">
        <v>54000</v>
      </c>
      <c r="B24499" s="33" t="s">
        <v>54001</v>
      </c>
      <c r="C24499" s="33" t="s">
        <v>1210</v>
      </c>
      <c r="D24499" s="33" t="s">
        <v>17</v>
      </c>
      <c r="E24499" s="33" t="s">
        <v>31</v>
      </c>
      <c r="F24499" s="33" t="s">
        <v>32</v>
      </c>
      <c r="G24499" s="33" t="s">
        <v>20</v>
      </c>
      <c r="H24499" s="35">
        <v>115</v>
      </c>
      <c r="I24499" s="33" t="s">
        <v>21</v>
      </c>
      <c r="J24499" s="42">
        <v>45688</v>
      </c>
      <c r="K24499" s="33" t="s">
        <v>22</v>
      </c>
    </row>
    <row r="24500" spans="1:11">
      <c r="A24500" s="30" t="s">
        <v>54002</v>
      </c>
      <c r="B24500" s="30" t="s">
        <v>54003</v>
      </c>
      <c r="C24500" s="30" t="s">
        <v>30884</v>
      </c>
      <c r="D24500" s="30" t="s">
        <v>17</v>
      </c>
      <c r="E24500" s="30" t="s">
        <v>67</v>
      </c>
      <c r="F24500" s="30" t="s">
        <v>68</v>
      </c>
      <c r="G24500" s="30" t="s">
        <v>140</v>
      </c>
      <c r="H24500" s="32">
        <v>180</v>
      </c>
      <c r="I24500" s="30" t="s">
        <v>51</v>
      </c>
      <c r="J24500" s="41">
        <v>45895</v>
      </c>
      <c r="K24500" s="30" t="s">
        <v>22</v>
      </c>
    </row>
    <row r="24501" spans="1:11">
      <c r="A24501" s="33" t="s">
        <v>54004</v>
      </c>
      <c r="B24501" s="33" t="s">
        <v>54005</v>
      </c>
      <c r="C24501" s="33" t="s">
        <v>14559</v>
      </c>
      <c r="D24501" s="33" t="s">
        <v>17</v>
      </c>
      <c r="E24501" s="33" t="s">
        <v>26</v>
      </c>
      <c r="F24501" s="33" t="s">
        <v>27</v>
      </c>
      <c r="G24501" s="33" t="s">
        <v>106</v>
      </c>
      <c r="H24501" s="35">
        <v>1</v>
      </c>
      <c r="I24501" s="33" t="s">
        <v>21</v>
      </c>
      <c r="J24501" s="42">
        <v>45768</v>
      </c>
      <c r="K24501" s="33" t="s">
        <v>22</v>
      </c>
    </row>
    <row r="24502" spans="1:11">
      <c r="A24502" s="30" t="s">
        <v>54006</v>
      </c>
      <c r="B24502" s="30" t="s">
        <v>54007</v>
      </c>
      <c r="C24502" s="30" t="s">
        <v>7527</v>
      </c>
      <c r="D24502" s="30" t="s">
        <v>17</v>
      </c>
      <c r="E24502" s="30" t="s">
        <v>31</v>
      </c>
      <c r="F24502" s="30" t="s">
        <v>32</v>
      </c>
      <c r="G24502" s="30" t="s">
        <v>7780</v>
      </c>
      <c r="H24502" s="32">
        <v>65</v>
      </c>
      <c r="I24502" s="30" t="s">
        <v>51</v>
      </c>
      <c r="J24502" s="41">
        <v>45931</v>
      </c>
      <c r="K24502" s="30" t="s">
        <v>22</v>
      </c>
    </row>
    <row r="24503" spans="1:11">
      <c r="A24503" s="33" t="s">
        <v>54008</v>
      </c>
      <c r="B24503" s="33" t="s">
        <v>54009</v>
      </c>
      <c r="C24503" s="33" t="s">
        <v>1674</v>
      </c>
      <c r="D24503" s="33" t="s">
        <v>17</v>
      </c>
      <c r="E24503" s="33" t="s">
        <v>18</v>
      </c>
      <c r="F24503" s="33" t="s">
        <v>19</v>
      </c>
      <c r="G24503" s="33" t="s">
        <v>7780</v>
      </c>
      <c r="H24503" s="35">
        <v>198</v>
      </c>
      <c r="I24503" s="33" t="s">
        <v>51</v>
      </c>
      <c r="J24503" s="42">
        <v>45901</v>
      </c>
      <c r="K24503" s="33" t="s">
        <v>22</v>
      </c>
    </row>
    <row r="24504" spans="1:11">
      <c r="A24504" s="30" t="s">
        <v>54010</v>
      </c>
      <c r="B24504" s="30" t="s">
        <v>54011</v>
      </c>
      <c r="C24504" s="30" t="s">
        <v>11899</v>
      </c>
      <c r="D24504" s="30" t="s">
        <v>17</v>
      </c>
      <c r="E24504" s="30" t="s">
        <v>18</v>
      </c>
      <c r="F24504" s="30" t="s">
        <v>19</v>
      </c>
      <c r="G24504" s="30" t="s">
        <v>140</v>
      </c>
      <c r="H24504" s="32">
        <v>460</v>
      </c>
      <c r="I24504" s="30" t="s">
        <v>51</v>
      </c>
      <c r="J24504" s="41">
        <v>45952</v>
      </c>
      <c r="K24504" s="30" t="s">
        <v>22</v>
      </c>
    </row>
    <row r="24505" spans="1:11">
      <c r="A24505" s="33" t="s">
        <v>54012</v>
      </c>
      <c r="B24505" s="33" t="s">
        <v>54013</v>
      </c>
      <c r="C24505" s="33" t="s">
        <v>14253</v>
      </c>
      <c r="D24505" s="33" t="s">
        <v>17</v>
      </c>
      <c r="E24505" s="33" t="s">
        <v>26</v>
      </c>
      <c r="F24505" s="33" t="s">
        <v>27</v>
      </c>
      <c r="G24505" s="33" t="s">
        <v>140</v>
      </c>
      <c r="H24505" s="35">
        <v>36</v>
      </c>
      <c r="I24505" s="33" t="s">
        <v>51</v>
      </c>
      <c r="J24505" s="42">
        <v>45931</v>
      </c>
      <c r="K24505" s="33" t="s">
        <v>22</v>
      </c>
    </row>
    <row r="24506" spans="1:11">
      <c r="A24506" s="30" t="s">
        <v>54014</v>
      </c>
      <c r="B24506" s="30" t="s">
        <v>54015</v>
      </c>
      <c r="C24506" s="30" t="s">
        <v>190</v>
      </c>
      <c r="D24506" s="30" t="s">
        <v>17</v>
      </c>
      <c r="E24506" s="30" t="s">
        <v>18</v>
      </c>
      <c r="F24506" s="30" t="s">
        <v>19</v>
      </c>
      <c r="G24506" s="30" t="s">
        <v>140</v>
      </c>
      <c r="H24506" s="32">
        <v>840</v>
      </c>
      <c r="I24506" s="30" t="s">
        <v>51</v>
      </c>
      <c r="J24506" s="41">
        <v>45717</v>
      </c>
      <c r="K24506" s="30" t="s">
        <v>22</v>
      </c>
    </row>
    <row r="24507" spans="1:11">
      <c r="A24507" s="33" t="s">
        <v>54016</v>
      </c>
      <c r="B24507" s="33" t="s">
        <v>54017</v>
      </c>
      <c r="C24507" s="33" t="s">
        <v>44689</v>
      </c>
      <c r="D24507" s="33" t="s">
        <v>17</v>
      </c>
      <c r="E24507" s="33" t="s">
        <v>31</v>
      </c>
      <c r="F24507" s="33" t="s">
        <v>32</v>
      </c>
      <c r="G24507" s="33" t="s">
        <v>140</v>
      </c>
      <c r="H24507" s="35">
        <v>120</v>
      </c>
      <c r="I24507" s="33" t="s">
        <v>51</v>
      </c>
      <c r="J24507" s="42">
        <v>45685</v>
      </c>
      <c r="K24507" s="33" t="s">
        <v>22</v>
      </c>
    </row>
    <row r="24508" spans="1:11">
      <c r="A24508" s="30" t="s">
        <v>54018</v>
      </c>
      <c r="B24508" s="30" t="s">
        <v>54019</v>
      </c>
      <c r="C24508" s="30" t="s">
        <v>187</v>
      </c>
      <c r="D24508" s="30" t="s">
        <v>17</v>
      </c>
      <c r="E24508" s="30" t="s">
        <v>18</v>
      </c>
      <c r="F24508" s="30" t="s">
        <v>19</v>
      </c>
      <c r="G24508" s="30" t="s">
        <v>140</v>
      </c>
      <c r="H24508" s="32">
        <v>144</v>
      </c>
      <c r="I24508" s="30" t="s">
        <v>51</v>
      </c>
      <c r="J24508" s="41">
        <v>45765</v>
      </c>
      <c r="K24508" s="30" t="s">
        <v>22</v>
      </c>
    </row>
    <row r="24509" spans="1:11">
      <c r="A24509" s="33" t="s">
        <v>54020</v>
      </c>
      <c r="B24509" s="33" t="s">
        <v>54021</v>
      </c>
      <c r="C24509" s="33" t="s">
        <v>2313</v>
      </c>
      <c r="D24509" s="33" t="s">
        <v>17</v>
      </c>
      <c r="E24509" s="33" t="s">
        <v>26</v>
      </c>
      <c r="F24509" s="33" t="s">
        <v>27</v>
      </c>
      <c r="G24509" s="33" t="s">
        <v>20</v>
      </c>
      <c r="H24509" s="35">
        <v>18</v>
      </c>
      <c r="I24509" s="33" t="s">
        <v>21</v>
      </c>
      <c r="J24509" s="42">
        <v>45709</v>
      </c>
      <c r="K24509" s="33" t="s">
        <v>22</v>
      </c>
    </row>
    <row r="24510" spans="1:11">
      <c r="A24510" s="30" t="s">
        <v>54022</v>
      </c>
      <c r="B24510" s="30" t="s">
        <v>54023</v>
      </c>
      <c r="C24510" s="30" t="s">
        <v>54024</v>
      </c>
      <c r="D24510" s="30" t="s">
        <v>17</v>
      </c>
      <c r="E24510" s="30" t="s">
        <v>18</v>
      </c>
      <c r="F24510" s="30" t="s">
        <v>19</v>
      </c>
      <c r="G24510" s="30" t="s">
        <v>158</v>
      </c>
      <c r="H24510" s="32">
        <v>85</v>
      </c>
      <c r="I24510" s="30" t="s">
        <v>51</v>
      </c>
      <c r="J24510" s="41">
        <v>45923</v>
      </c>
      <c r="K24510" s="30" t="s">
        <v>22</v>
      </c>
    </row>
    <row r="24511" spans="1:11">
      <c r="A24511" s="33" t="s">
        <v>54025</v>
      </c>
      <c r="B24511" s="33" t="s">
        <v>54026</v>
      </c>
      <c r="C24511" s="33" t="s">
        <v>20006</v>
      </c>
      <c r="D24511" s="33" t="s">
        <v>17</v>
      </c>
      <c r="E24511" s="33" t="s">
        <v>212</v>
      </c>
      <c r="F24511" s="33" t="s">
        <v>213</v>
      </c>
      <c r="G24511" s="33" t="s">
        <v>140</v>
      </c>
      <c r="H24511" s="35">
        <v>600</v>
      </c>
      <c r="I24511" s="33" t="s">
        <v>51</v>
      </c>
      <c r="J24511" s="42">
        <v>45797</v>
      </c>
      <c r="K24511" s="33" t="s">
        <v>22</v>
      </c>
    </row>
    <row r="24512" spans="1:11">
      <c r="A24512" s="30" t="s">
        <v>54027</v>
      </c>
      <c r="B24512" s="30" t="s">
        <v>54028</v>
      </c>
      <c r="C24512" s="30" t="s">
        <v>2562</v>
      </c>
      <c r="D24512" s="30" t="s">
        <v>17</v>
      </c>
      <c r="E24512" s="30" t="s">
        <v>31</v>
      </c>
      <c r="F24512" s="30" t="s">
        <v>32</v>
      </c>
      <c r="G24512" s="30" t="s">
        <v>140</v>
      </c>
      <c r="H24512" s="32">
        <v>48</v>
      </c>
      <c r="I24512" s="30" t="s">
        <v>51</v>
      </c>
      <c r="J24512" s="41">
        <v>45988</v>
      </c>
      <c r="K24512" s="30" t="s">
        <v>22</v>
      </c>
    </row>
    <row r="24513" spans="1:11">
      <c r="A24513" s="33" t="s">
        <v>54029</v>
      </c>
      <c r="B24513" s="33" t="s">
        <v>54030</v>
      </c>
      <c r="C24513" s="33" t="s">
        <v>17342</v>
      </c>
      <c r="D24513" s="33" t="s">
        <v>17</v>
      </c>
      <c r="E24513" s="33" t="s">
        <v>67</v>
      </c>
      <c r="F24513" s="33" t="s">
        <v>68</v>
      </c>
      <c r="G24513" s="33" t="s">
        <v>140</v>
      </c>
      <c r="H24513" s="35">
        <v>84</v>
      </c>
      <c r="I24513" s="33" t="s">
        <v>51</v>
      </c>
      <c r="J24513" s="42">
        <v>45785</v>
      </c>
      <c r="K24513" s="33" t="s">
        <v>22</v>
      </c>
    </row>
    <row r="24514" spans="1:11">
      <c r="A24514" s="30" t="s">
        <v>54031</v>
      </c>
      <c r="B24514" s="30" t="s">
        <v>54032</v>
      </c>
      <c r="C24514" s="30" t="s">
        <v>1219</v>
      </c>
      <c r="D24514" s="30" t="s">
        <v>17</v>
      </c>
      <c r="E24514" s="30" t="s">
        <v>31</v>
      </c>
      <c r="F24514" s="30" t="s">
        <v>32</v>
      </c>
      <c r="G24514" s="30" t="s">
        <v>140</v>
      </c>
      <c r="H24514" s="32">
        <v>66</v>
      </c>
      <c r="I24514" s="30" t="s">
        <v>51</v>
      </c>
      <c r="J24514" s="41">
        <v>45922</v>
      </c>
      <c r="K24514" s="30" t="s">
        <v>22</v>
      </c>
    </row>
    <row r="24515" spans="1:11">
      <c r="A24515" s="33" t="s">
        <v>54033</v>
      </c>
      <c r="B24515" s="33" t="s">
        <v>54034</v>
      </c>
      <c r="C24515" s="33" t="s">
        <v>1270</v>
      </c>
      <c r="D24515" s="33" t="s">
        <v>17</v>
      </c>
      <c r="E24515" s="33" t="s">
        <v>26</v>
      </c>
      <c r="F24515" s="33" t="s">
        <v>27</v>
      </c>
      <c r="G24515" s="33" t="s">
        <v>7780</v>
      </c>
      <c r="H24515" s="35">
        <v>88</v>
      </c>
      <c r="I24515" s="33" t="s">
        <v>51</v>
      </c>
      <c r="J24515" s="42">
        <v>45809</v>
      </c>
      <c r="K24515" s="33" t="s">
        <v>22</v>
      </c>
    </row>
    <row r="24516" spans="1:11">
      <c r="A24516" s="30" t="s">
        <v>54035</v>
      </c>
      <c r="B24516" s="30" t="s">
        <v>54036</v>
      </c>
      <c r="C24516" s="30" t="s">
        <v>46861</v>
      </c>
      <c r="D24516" s="30" t="s">
        <v>17</v>
      </c>
      <c r="E24516" s="30" t="s">
        <v>18</v>
      </c>
      <c r="F24516" s="30" t="s">
        <v>19</v>
      </c>
      <c r="G24516" s="30" t="s">
        <v>158</v>
      </c>
      <c r="H24516" s="32">
        <v>304</v>
      </c>
      <c r="I24516" s="30" t="s">
        <v>21</v>
      </c>
      <c r="J24516" s="41">
        <v>45978</v>
      </c>
      <c r="K24516" s="30" t="s">
        <v>22</v>
      </c>
    </row>
    <row r="24517" spans="1:11">
      <c r="A24517" s="33" t="s">
        <v>54037</v>
      </c>
      <c r="B24517" s="33" t="s">
        <v>54038</v>
      </c>
      <c r="C24517" s="33" t="s">
        <v>4348</v>
      </c>
      <c r="D24517" s="33" t="s">
        <v>17</v>
      </c>
      <c r="E24517" s="33" t="s">
        <v>26</v>
      </c>
      <c r="F24517" s="33" t="s">
        <v>27</v>
      </c>
      <c r="G24517" s="33" t="s">
        <v>140</v>
      </c>
      <c r="H24517" s="35">
        <v>22</v>
      </c>
      <c r="I24517" s="33" t="s">
        <v>51</v>
      </c>
      <c r="J24517" s="42">
        <v>45700</v>
      </c>
      <c r="K24517" s="33" t="s">
        <v>22</v>
      </c>
    </row>
    <row r="24518" spans="1:11">
      <c r="A24518" s="30" t="s">
        <v>54039</v>
      </c>
      <c r="B24518" s="30" t="s">
        <v>54040</v>
      </c>
      <c r="C24518" s="30" t="s">
        <v>17552</v>
      </c>
      <c r="D24518" s="30" t="s">
        <v>17</v>
      </c>
      <c r="E24518" s="30" t="s">
        <v>212</v>
      </c>
      <c r="F24518" s="30" t="s">
        <v>213</v>
      </c>
      <c r="G24518" s="30" t="s">
        <v>140</v>
      </c>
      <c r="H24518" s="32">
        <v>120</v>
      </c>
      <c r="I24518" s="30" t="s">
        <v>51</v>
      </c>
      <c r="J24518" s="41">
        <v>45965</v>
      </c>
      <c r="K24518" s="30" t="s">
        <v>22</v>
      </c>
    </row>
    <row r="24519" spans="1:11">
      <c r="A24519" s="33" t="s">
        <v>54041</v>
      </c>
      <c r="B24519" s="33" t="s">
        <v>54042</v>
      </c>
      <c r="C24519" s="33" t="s">
        <v>75</v>
      </c>
      <c r="D24519" s="33" t="s">
        <v>17</v>
      </c>
      <c r="E24519" s="33" t="s">
        <v>26</v>
      </c>
      <c r="F24519" s="33" t="s">
        <v>27</v>
      </c>
      <c r="G24519" s="33" t="s">
        <v>20</v>
      </c>
      <c r="H24519" s="35">
        <v>56</v>
      </c>
      <c r="I24519" s="33" t="s">
        <v>21</v>
      </c>
      <c r="J24519" s="42">
        <v>45968</v>
      </c>
      <c r="K24519" s="33" t="s">
        <v>22</v>
      </c>
    </row>
    <row r="24520" spans="1:11">
      <c r="A24520" s="30" t="s">
        <v>54043</v>
      </c>
      <c r="B24520" s="30" t="s">
        <v>54044</v>
      </c>
      <c r="C24520" s="30" t="s">
        <v>3655</v>
      </c>
      <c r="D24520" s="30" t="s">
        <v>17</v>
      </c>
      <c r="E24520" s="30" t="s">
        <v>26</v>
      </c>
      <c r="F24520" s="30" t="s">
        <v>27</v>
      </c>
      <c r="G24520" s="30" t="s">
        <v>112</v>
      </c>
      <c r="H24520" s="32">
        <v>0</v>
      </c>
      <c r="I24520" s="30" t="s">
        <v>21</v>
      </c>
      <c r="J24520" s="41">
        <v>45663</v>
      </c>
      <c r="K24520" s="30" t="s">
        <v>22</v>
      </c>
    </row>
    <row r="24521" spans="1:11">
      <c r="A24521" s="33" t="s">
        <v>54045</v>
      </c>
      <c r="B24521" s="33" t="s">
        <v>54046</v>
      </c>
      <c r="C24521" s="33" t="s">
        <v>23590</v>
      </c>
      <c r="D24521" s="33" t="s">
        <v>17</v>
      </c>
      <c r="E24521" s="33" t="s">
        <v>18</v>
      </c>
      <c r="F24521" s="33" t="s">
        <v>19</v>
      </c>
      <c r="G24521" s="33" t="s">
        <v>140</v>
      </c>
      <c r="H24521" s="35">
        <v>450</v>
      </c>
      <c r="I24521" s="33" t="s">
        <v>51</v>
      </c>
      <c r="J24521" s="42">
        <v>45855</v>
      </c>
      <c r="K24521" s="33" t="s">
        <v>22</v>
      </c>
    </row>
    <row r="24522" spans="1:11">
      <c r="A24522" s="30" t="s">
        <v>54047</v>
      </c>
      <c r="B24522" s="30" t="s">
        <v>54048</v>
      </c>
      <c r="C24522" s="30" t="s">
        <v>37822</v>
      </c>
      <c r="D24522" s="30" t="s">
        <v>17</v>
      </c>
      <c r="E24522" s="30" t="s">
        <v>67</v>
      </c>
      <c r="F24522" s="30" t="s">
        <v>68</v>
      </c>
      <c r="G24522" s="30" t="s">
        <v>140</v>
      </c>
      <c r="H24522" s="32">
        <v>240</v>
      </c>
      <c r="I24522" s="30" t="s">
        <v>51</v>
      </c>
      <c r="J24522" s="41">
        <v>45799</v>
      </c>
      <c r="K24522" s="30" t="s">
        <v>22</v>
      </c>
    </row>
    <row r="24523" spans="1:11">
      <c r="A24523" s="33" t="s">
        <v>54049</v>
      </c>
      <c r="B24523" s="33" t="s">
        <v>54050</v>
      </c>
      <c r="C24523" s="33" t="s">
        <v>969</v>
      </c>
      <c r="D24523" s="33" t="s">
        <v>17</v>
      </c>
      <c r="E24523" s="33" t="s">
        <v>212</v>
      </c>
      <c r="F24523" s="33" t="s">
        <v>213</v>
      </c>
      <c r="G24523" s="33" t="s">
        <v>7780</v>
      </c>
      <c r="H24523" s="35">
        <v>67</v>
      </c>
      <c r="I24523" s="33" t="s">
        <v>51</v>
      </c>
      <c r="J24523" s="42">
        <v>45769</v>
      </c>
      <c r="K24523" s="33" t="s">
        <v>22</v>
      </c>
    </row>
    <row r="24524" spans="1:11">
      <c r="A24524" s="30" t="s">
        <v>54051</v>
      </c>
      <c r="B24524" s="30" t="s">
        <v>54052</v>
      </c>
      <c r="C24524" s="30" t="s">
        <v>4348</v>
      </c>
      <c r="D24524" s="30" t="s">
        <v>17</v>
      </c>
      <c r="E24524" s="30" t="s">
        <v>26</v>
      </c>
      <c r="F24524" s="30" t="s">
        <v>27</v>
      </c>
      <c r="G24524" s="30" t="s">
        <v>140</v>
      </c>
      <c r="H24524" s="32">
        <v>22</v>
      </c>
      <c r="I24524" s="30" t="s">
        <v>51</v>
      </c>
      <c r="J24524" s="41">
        <v>46001</v>
      </c>
      <c r="K24524" s="30" t="s">
        <v>22</v>
      </c>
    </row>
    <row r="24525" spans="1:11">
      <c r="A24525" s="33" t="s">
        <v>54053</v>
      </c>
      <c r="B24525" s="33" t="s">
        <v>54054</v>
      </c>
      <c r="C24525" s="33" t="s">
        <v>93</v>
      </c>
      <c r="D24525" s="33" t="s">
        <v>17</v>
      </c>
      <c r="E24525" s="33" t="s">
        <v>26</v>
      </c>
      <c r="F24525" s="33" t="s">
        <v>27</v>
      </c>
      <c r="G24525" s="33" t="s">
        <v>140</v>
      </c>
      <c r="H24525" s="35">
        <v>121</v>
      </c>
      <c r="I24525" s="33" t="s">
        <v>51</v>
      </c>
      <c r="J24525" s="42">
        <v>45985</v>
      </c>
      <c r="K24525" s="33" t="s">
        <v>22</v>
      </c>
    </row>
    <row r="24526" spans="1:11">
      <c r="A24526" s="30" t="s">
        <v>54055</v>
      </c>
      <c r="B24526" s="30" t="s">
        <v>54056</v>
      </c>
      <c r="C24526" s="30" t="s">
        <v>3757</v>
      </c>
      <c r="D24526" s="30" t="s">
        <v>17</v>
      </c>
      <c r="E24526" s="30" t="s">
        <v>67</v>
      </c>
      <c r="F24526" s="30" t="s">
        <v>68</v>
      </c>
      <c r="G24526" s="30" t="s">
        <v>140</v>
      </c>
      <c r="H24526" s="32">
        <v>51</v>
      </c>
      <c r="I24526" s="30" t="s">
        <v>51</v>
      </c>
      <c r="J24526" s="41">
        <v>46017</v>
      </c>
      <c r="K24526" s="30" t="s">
        <v>22</v>
      </c>
    </row>
    <row r="24527" spans="1:11">
      <c r="A24527" s="33" t="s">
        <v>54057</v>
      </c>
      <c r="B24527" s="33" t="s">
        <v>54058</v>
      </c>
      <c r="C24527" s="33" t="s">
        <v>96</v>
      </c>
      <c r="D24527" s="33" t="s">
        <v>17</v>
      </c>
      <c r="E24527" s="33" t="s">
        <v>26</v>
      </c>
      <c r="F24527" s="33" t="s">
        <v>27</v>
      </c>
      <c r="G24527" s="33" t="s">
        <v>112</v>
      </c>
      <c r="H24527" s="35">
        <v>0</v>
      </c>
      <c r="I24527" s="33" t="s">
        <v>21</v>
      </c>
      <c r="J24527" s="42">
        <v>45884</v>
      </c>
      <c r="K24527" s="33" t="s">
        <v>22</v>
      </c>
    </row>
    <row r="24528" spans="1:11">
      <c r="A24528" s="30" t="s">
        <v>54059</v>
      </c>
      <c r="B24528" s="30" t="s">
        <v>54060</v>
      </c>
      <c r="C24528" s="30" t="s">
        <v>1210</v>
      </c>
      <c r="D24528" s="30" t="s">
        <v>17</v>
      </c>
      <c r="E24528" s="30" t="s">
        <v>31</v>
      </c>
      <c r="F24528" s="30" t="s">
        <v>32</v>
      </c>
      <c r="G24528" s="30" t="s">
        <v>20</v>
      </c>
      <c r="H24528" s="32">
        <v>57</v>
      </c>
      <c r="I24528" s="30" t="s">
        <v>21</v>
      </c>
      <c r="J24528" s="41">
        <v>45749</v>
      </c>
      <c r="K24528" s="30" t="s">
        <v>22</v>
      </c>
    </row>
    <row r="24529" spans="1:11">
      <c r="A24529" s="33" t="s">
        <v>54061</v>
      </c>
      <c r="B24529" s="33" t="s">
        <v>54062</v>
      </c>
      <c r="C24529" s="33" t="s">
        <v>24820</v>
      </c>
      <c r="D24529" s="33" t="s">
        <v>17</v>
      </c>
      <c r="E24529" s="33" t="s">
        <v>67</v>
      </c>
      <c r="F24529" s="33" t="s">
        <v>68</v>
      </c>
      <c r="G24529" s="33" t="s">
        <v>158</v>
      </c>
      <c r="H24529" s="35">
        <v>100</v>
      </c>
      <c r="I24529" s="33" t="s">
        <v>51</v>
      </c>
      <c r="J24529" s="42">
        <v>45784</v>
      </c>
      <c r="K24529" s="33" t="s">
        <v>22</v>
      </c>
    </row>
    <row r="24530" spans="1:11">
      <c r="A24530" s="30" t="s">
        <v>54063</v>
      </c>
      <c r="B24530" s="30" t="s">
        <v>54064</v>
      </c>
      <c r="C24530" s="30" t="s">
        <v>54065</v>
      </c>
      <c r="D24530" s="30" t="s">
        <v>17</v>
      </c>
      <c r="E24530" s="30" t="s">
        <v>31</v>
      </c>
      <c r="F24530" s="30" t="s">
        <v>32</v>
      </c>
      <c r="G24530" s="30" t="s">
        <v>7780</v>
      </c>
      <c r="H24530" s="32">
        <v>250</v>
      </c>
      <c r="I24530" s="30" t="s">
        <v>51</v>
      </c>
      <c r="J24530" s="41">
        <v>45901</v>
      </c>
      <c r="K24530" s="30" t="s">
        <v>22</v>
      </c>
    </row>
    <row r="24531" spans="1:11">
      <c r="A24531" s="33" t="s">
        <v>54066</v>
      </c>
      <c r="B24531" s="33" t="s">
        <v>54067</v>
      </c>
      <c r="C24531" s="33" t="s">
        <v>32198</v>
      </c>
      <c r="D24531" s="33" t="s">
        <v>17</v>
      </c>
      <c r="E24531" s="33" t="s">
        <v>26</v>
      </c>
      <c r="F24531" s="33" t="s">
        <v>27</v>
      </c>
      <c r="G24531" s="33" t="s">
        <v>140</v>
      </c>
      <c r="H24531" s="35">
        <v>9</v>
      </c>
      <c r="I24531" s="33" t="s">
        <v>51</v>
      </c>
      <c r="J24531" s="42">
        <v>45959</v>
      </c>
      <c r="K24531" s="33" t="s">
        <v>22</v>
      </c>
    </row>
    <row r="24532" spans="1:11">
      <c r="A24532" s="30" t="s">
        <v>54068</v>
      </c>
      <c r="B24532" s="30" t="s">
        <v>54069</v>
      </c>
      <c r="C24532" s="30" t="s">
        <v>54070</v>
      </c>
      <c r="D24532" s="30" t="s">
        <v>17</v>
      </c>
      <c r="E24532" s="30" t="s">
        <v>212</v>
      </c>
      <c r="F24532" s="30" t="s">
        <v>213</v>
      </c>
      <c r="G24532" s="30" t="s">
        <v>140</v>
      </c>
      <c r="H24532" s="32">
        <v>650</v>
      </c>
      <c r="I24532" s="30" t="s">
        <v>51</v>
      </c>
      <c r="J24532" s="41">
        <v>45853</v>
      </c>
      <c r="K24532" s="30" t="s">
        <v>22</v>
      </c>
    </row>
    <row r="24533" spans="1:11">
      <c r="A24533" s="33" t="s">
        <v>54071</v>
      </c>
      <c r="B24533" s="33" t="s">
        <v>54072</v>
      </c>
      <c r="C24533" s="33" t="s">
        <v>6279</v>
      </c>
      <c r="D24533" s="33" t="s">
        <v>17</v>
      </c>
      <c r="E24533" s="33" t="s">
        <v>26</v>
      </c>
      <c r="F24533" s="33" t="s">
        <v>27</v>
      </c>
      <c r="G24533" s="33" t="s">
        <v>140</v>
      </c>
      <c r="H24533" s="35">
        <v>36</v>
      </c>
      <c r="I24533" s="33" t="s">
        <v>51</v>
      </c>
      <c r="J24533" s="42">
        <v>45863</v>
      </c>
      <c r="K24533" s="33" t="s">
        <v>22</v>
      </c>
    </row>
    <row r="24534" spans="1:11">
      <c r="A24534" s="30" t="s">
        <v>54073</v>
      </c>
      <c r="B24534" s="30" t="s">
        <v>54074</v>
      </c>
      <c r="C24534" s="30" t="s">
        <v>28153</v>
      </c>
      <c r="D24534" s="30" t="s">
        <v>17</v>
      </c>
      <c r="E24534" s="30" t="s">
        <v>67</v>
      </c>
      <c r="F24534" s="30" t="s">
        <v>68</v>
      </c>
      <c r="G24534" s="30" t="s">
        <v>140</v>
      </c>
      <c r="H24534" s="32">
        <v>414</v>
      </c>
      <c r="I24534" s="30" t="s">
        <v>51</v>
      </c>
      <c r="J24534" s="41">
        <v>45902</v>
      </c>
      <c r="K24534" s="30" t="s">
        <v>22</v>
      </c>
    </row>
    <row r="24535" spans="1:11">
      <c r="A24535" s="33" t="s">
        <v>54075</v>
      </c>
      <c r="B24535" s="33" t="s">
        <v>54076</v>
      </c>
      <c r="C24535" s="33" t="s">
        <v>1422</v>
      </c>
      <c r="D24535" s="33" t="s">
        <v>17</v>
      </c>
      <c r="E24535" s="33" t="s">
        <v>26</v>
      </c>
      <c r="F24535" s="33" t="s">
        <v>27</v>
      </c>
      <c r="G24535" s="33" t="s">
        <v>140</v>
      </c>
      <c r="H24535" s="35">
        <v>120</v>
      </c>
      <c r="I24535" s="33" t="s">
        <v>51</v>
      </c>
      <c r="J24535" s="42">
        <v>46007</v>
      </c>
      <c r="K24535" s="33" t="s">
        <v>22</v>
      </c>
    </row>
    <row r="24536" spans="1:11">
      <c r="A24536" s="30" t="s">
        <v>54077</v>
      </c>
      <c r="B24536" s="30" t="s">
        <v>54078</v>
      </c>
      <c r="C24536" s="30" t="s">
        <v>647</v>
      </c>
      <c r="D24536" s="30" t="s">
        <v>17</v>
      </c>
      <c r="E24536" s="30" t="s">
        <v>31</v>
      </c>
      <c r="F24536" s="30" t="s">
        <v>32</v>
      </c>
      <c r="G24536" s="30" t="s">
        <v>158</v>
      </c>
      <c r="H24536" s="32">
        <v>160</v>
      </c>
      <c r="I24536" s="30" t="s">
        <v>51</v>
      </c>
      <c r="J24536" s="41">
        <v>45748</v>
      </c>
      <c r="K24536" s="30" t="s">
        <v>22</v>
      </c>
    </row>
    <row r="24537" spans="1:11">
      <c r="A24537" s="33" t="s">
        <v>54079</v>
      </c>
      <c r="B24537" s="33" t="s">
        <v>54080</v>
      </c>
      <c r="C24537" s="33" t="s">
        <v>12808</v>
      </c>
      <c r="D24537" s="33" t="s">
        <v>17</v>
      </c>
      <c r="E24537" s="33" t="s">
        <v>31</v>
      </c>
      <c r="F24537" s="33" t="s">
        <v>32</v>
      </c>
      <c r="G24537" s="33" t="s">
        <v>20</v>
      </c>
      <c r="H24537" s="35">
        <v>131</v>
      </c>
      <c r="I24537" s="33" t="s">
        <v>21</v>
      </c>
      <c r="J24537" s="42">
        <v>45838</v>
      </c>
      <c r="K24537" s="33" t="s">
        <v>22</v>
      </c>
    </row>
    <row r="24538" spans="1:11">
      <c r="A24538" s="30" t="s">
        <v>54081</v>
      </c>
      <c r="B24538" s="30" t="s">
        <v>54082</v>
      </c>
      <c r="C24538" s="30" t="s">
        <v>157</v>
      </c>
      <c r="D24538" s="30" t="s">
        <v>17</v>
      </c>
      <c r="E24538" s="30" t="s">
        <v>31</v>
      </c>
      <c r="F24538" s="30" t="s">
        <v>32</v>
      </c>
      <c r="G24538" s="30" t="s">
        <v>140</v>
      </c>
      <c r="H24538" s="32">
        <v>36</v>
      </c>
      <c r="I24538" s="30" t="s">
        <v>51</v>
      </c>
      <c r="J24538" s="41">
        <v>45791</v>
      </c>
      <c r="K24538" s="30" t="s">
        <v>22</v>
      </c>
    </row>
    <row r="24539" spans="1:11">
      <c r="A24539" s="33" t="s">
        <v>54083</v>
      </c>
      <c r="B24539" s="33" t="s">
        <v>54084</v>
      </c>
      <c r="C24539" s="33" t="s">
        <v>21305</v>
      </c>
      <c r="D24539" s="33" t="s">
        <v>17</v>
      </c>
      <c r="E24539" s="33" t="s">
        <v>26</v>
      </c>
      <c r="F24539" s="33" t="s">
        <v>27</v>
      </c>
      <c r="G24539" s="33" t="s">
        <v>140</v>
      </c>
      <c r="H24539" s="35">
        <v>30</v>
      </c>
      <c r="I24539" s="33" t="s">
        <v>51</v>
      </c>
      <c r="J24539" s="42">
        <v>45777</v>
      </c>
      <c r="K24539" s="33" t="s">
        <v>22</v>
      </c>
    </row>
    <row r="24540" spans="1:11">
      <c r="A24540" s="30" t="s">
        <v>54085</v>
      </c>
      <c r="B24540" s="30" t="s">
        <v>54086</v>
      </c>
      <c r="C24540" s="30" t="s">
        <v>54087</v>
      </c>
      <c r="D24540" s="30" t="s">
        <v>17</v>
      </c>
      <c r="E24540" s="30" t="s">
        <v>67</v>
      </c>
      <c r="F24540" s="30" t="s">
        <v>68</v>
      </c>
      <c r="G24540" s="30" t="s">
        <v>140</v>
      </c>
      <c r="H24540" s="32">
        <v>100</v>
      </c>
      <c r="I24540" s="30" t="s">
        <v>51</v>
      </c>
      <c r="J24540" s="41">
        <v>45870</v>
      </c>
      <c r="K24540" s="30" t="s">
        <v>22</v>
      </c>
    </row>
    <row r="24541" spans="1:11">
      <c r="A24541" s="33" t="s">
        <v>54088</v>
      </c>
      <c r="B24541" s="33" t="s">
        <v>54089</v>
      </c>
      <c r="C24541" s="33" t="s">
        <v>231</v>
      </c>
      <c r="D24541" s="33" t="s">
        <v>17</v>
      </c>
      <c r="E24541" s="33" t="s">
        <v>26</v>
      </c>
      <c r="F24541" s="33" t="s">
        <v>27</v>
      </c>
      <c r="G24541" s="33" t="s">
        <v>140</v>
      </c>
      <c r="H24541" s="35">
        <v>68</v>
      </c>
      <c r="I24541" s="33" t="s">
        <v>51</v>
      </c>
      <c r="J24541" s="42">
        <v>45881</v>
      </c>
      <c r="K24541" s="33" t="s">
        <v>22</v>
      </c>
    </row>
    <row r="24542" spans="1:11">
      <c r="A24542" s="30" t="s">
        <v>54090</v>
      </c>
      <c r="B24542" s="30" t="s">
        <v>54091</v>
      </c>
      <c r="C24542" s="30" t="s">
        <v>96</v>
      </c>
      <c r="D24542" s="30" t="s">
        <v>17</v>
      </c>
      <c r="E24542" s="30" t="s">
        <v>18</v>
      </c>
      <c r="F24542" s="30" t="s">
        <v>19</v>
      </c>
      <c r="G24542" s="30" t="s">
        <v>140</v>
      </c>
      <c r="H24542" s="32">
        <v>140</v>
      </c>
      <c r="I24542" s="30" t="s">
        <v>51</v>
      </c>
      <c r="J24542" s="41">
        <v>45910</v>
      </c>
      <c r="K24542" s="30" t="s">
        <v>22</v>
      </c>
    </row>
    <row r="24543" spans="1:11">
      <c r="A24543" s="33" t="s">
        <v>54092</v>
      </c>
      <c r="B24543" s="33" t="s">
        <v>54093</v>
      </c>
      <c r="C24543" s="33" t="s">
        <v>5084</v>
      </c>
      <c r="D24543" s="33" t="s">
        <v>17</v>
      </c>
      <c r="E24543" s="33" t="s">
        <v>18</v>
      </c>
      <c r="F24543" s="33" t="s">
        <v>19</v>
      </c>
      <c r="G24543" s="33" t="s">
        <v>140</v>
      </c>
      <c r="H24543" s="35">
        <v>388</v>
      </c>
      <c r="I24543" s="33" t="s">
        <v>51</v>
      </c>
      <c r="J24543" s="42">
        <v>45758</v>
      </c>
      <c r="K24543" s="33" t="s">
        <v>22</v>
      </c>
    </row>
    <row r="24544" spans="1:11">
      <c r="A24544" s="30" t="s">
        <v>54094</v>
      </c>
      <c r="B24544" s="30" t="s">
        <v>54095</v>
      </c>
      <c r="C24544" s="30" t="s">
        <v>17647</v>
      </c>
      <c r="D24544" s="30" t="s">
        <v>17</v>
      </c>
      <c r="E24544" s="30" t="s">
        <v>26</v>
      </c>
      <c r="F24544" s="30" t="s">
        <v>27</v>
      </c>
      <c r="G24544" s="30" t="s">
        <v>20</v>
      </c>
      <c r="H24544" s="32">
        <v>75</v>
      </c>
      <c r="I24544" s="30" t="s">
        <v>21</v>
      </c>
      <c r="J24544" s="41">
        <v>45720</v>
      </c>
      <c r="K24544" s="30" t="s">
        <v>22</v>
      </c>
    </row>
    <row r="24545" spans="1:11">
      <c r="A24545" s="33" t="s">
        <v>54096</v>
      </c>
      <c r="B24545" s="33" t="s">
        <v>54097</v>
      </c>
      <c r="C24545" s="33" t="s">
        <v>310</v>
      </c>
      <c r="D24545" s="33" t="s">
        <v>17</v>
      </c>
      <c r="E24545" s="33" t="s">
        <v>26</v>
      </c>
      <c r="F24545" s="33" t="s">
        <v>27</v>
      </c>
      <c r="G24545" s="33" t="s">
        <v>20</v>
      </c>
      <c r="H24545" s="35">
        <v>36</v>
      </c>
      <c r="I24545" s="33" t="s">
        <v>21</v>
      </c>
      <c r="J24545" s="42">
        <v>45880</v>
      </c>
      <c r="K24545" s="33" t="s">
        <v>22</v>
      </c>
    </row>
    <row r="24546" spans="1:11">
      <c r="A24546" s="30" t="s">
        <v>54098</v>
      </c>
      <c r="B24546" s="30" t="s">
        <v>54099</v>
      </c>
      <c r="C24546" s="30" t="s">
        <v>647</v>
      </c>
      <c r="D24546" s="30" t="s">
        <v>17</v>
      </c>
      <c r="E24546" s="30" t="s">
        <v>67</v>
      </c>
      <c r="F24546" s="30" t="s">
        <v>68</v>
      </c>
      <c r="G24546" s="30" t="s">
        <v>140</v>
      </c>
      <c r="H24546" s="32">
        <v>360</v>
      </c>
      <c r="I24546" s="30" t="s">
        <v>51</v>
      </c>
      <c r="J24546" s="41">
        <v>45841</v>
      </c>
      <c r="K24546" s="30" t="s">
        <v>22</v>
      </c>
    </row>
    <row r="24547" spans="1:11">
      <c r="A24547" s="33" t="s">
        <v>54100</v>
      </c>
      <c r="B24547" s="33" t="s">
        <v>54101</v>
      </c>
      <c r="C24547" s="33" t="s">
        <v>54102</v>
      </c>
      <c r="D24547" s="33" t="s">
        <v>17</v>
      </c>
      <c r="E24547" s="33" t="s">
        <v>212</v>
      </c>
      <c r="F24547" s="33" t="s">
        <v>213</v>
      </c>
      <c r="G24547" s="33" t="s">
        <v>140</v>
      </c>
      <c r="H24547" s="35">
        <v>30</v>
      </c>
      <c r="I24547" s="33" t="s">
        <v>51</v>
      </c>
      <c r="J24547" s="42">
        <v>45992</v>
      </c>
      <c r="K24547" s="33" t="s">
        <v>22</v>
      </c>
    </row>
    <row r="24548" spans="1:11">
      <c r="A24548" s="30" t="s">
        <v>54103</v>
      </c>
      <c r="B24548" s="30" t="s">
        <v>54104</v>
      </c>
      <c r="C24548" s="30" t="s">
        <v>12637</v>
      </c>
      <c r="D24548" s="30" t="s">
        <v>17</v>
      </c>
      <c r="E24548" s="30" t="s">
        <v>45</v>
      </c>
      <c r="F24548" s="30" t="s">
        <v>46</v>
      </c>
      <c r="G24548" s="30" t="s">
        <v>140</v>
      </c>
      <c r="H24548" s="32">
        <v>300</v>
      </c>
      <c r="I24548" s="30" t="s">
        <v>51</v>
      </c>
      <c r="J24548" s="41">
        <v>45743</v>
      </c>
      <c r="K24548" s="30" t="s">
        <v>22</v>
      </c>
    </row>
    <row r="24549" spans="1:11">
      <c r="A24549" s="33" t="s">
        <v>54105</v>
      </c>
      <c r="B24549" s="33" t="s">
        <v>54106</v>
      </c>
      <c r="C24549" s="33" t="s">
        <v>136</v>
      </c>
      <c r="D24549" s="33" t="s">
        <v>17</v>
      </c>
      <c r="E24549" s="33" t="s">
        <v>26</v>
      </c>
      <c r="F24549" s="33" t="s">
        <v>27</v>
      </c>
      <c r="G24549" s="33" t="s">
        <v>158</v>
      </c>
      <c r="H24549" s="35">
        <v>216</v>
      </c>
      <c r="I24549" s="33" t="s">
        <v>51</v>
      </c>
      <c r="J24549" s="42">
        <v>45770</v>
      </c>
      <c r="K24549" s="33" t="s">
        <v>22</v>
      </c>
    </row>
    <row r="24550" spans="1:11">
      <c r="A24550" s="30" t="s">
        <v>54107</v>
      </c>
      <c r="B24550" s="30" t="s">
        <v>54108</v>
      </c>
      <c r="C24550" s="30" t="s">
        <v>3258</v>
      </c>
      <c r="D24550" s="30" t="s">
        <v>17</v>
      </c>
      <c r="E24550" s="30" t="s">
        <v>31</v>
      </c>
      <c r="F24550" s="30" t="s">
        <v>32</v>
      </c>
      <c r="G24550" s="30" t="s">
        <v>158</v>
      </c>
      <c r="H24550" s="32">
        <v>252</v>
      </c>
      <c r="I24550" s="30" t="s">
        <v>21</v>
      </c>
      <c r="J24550" s="41">
        <v>45954</v>
      </c>
      <c r="K24550" s="30" t="s">
        <v>22</v>
      </c>
    </row>
    <row r="24551" spans="1:11">
      <c r="A24551" s="33" t="s">
        <v>54109</v>
      </c>
      <c r="B24551" s="33" t="s">
        <v>54110</v>
      </c>
      <c r="C24551" s="33" t="s">
        <v>19317</v>
      </c>
      <c r="D24551" s="33" t="s">
        <v>17</v>
      </c>
      <c r="E24551" s="33" t="s">
        <v>31</v>
      </c>
      <c r="F24551" s="33" t="s">
        <v>32</v>
      </c>
      <c r="G24551" s="33" t="s">
        <v>20</v>
      </c>
      <c r="H24551" s="35">
        <v>20</v>
      </c>
      <c r="I24551" s="33" t="s">
        <v>21</v>
      </c>
      <c r="J24551" s="42">
        <v>45895</v>
      </c>
      <c r="K24551" s="33" t="s">
        <v>22</v>
      </c>
    </row>
    <row r="24552" spans="1:11">
      <c r="A24552" s="30" t="s">
        <v>54111</v>
      </c>
      <c r="B24552" s="30" t="s">
        <v>54112</v>
      </c>
      <c r="C24552" s="30" t="s">
        <v>54113</v>
      </c>
      <c r="D24552" s="30" t="s">
        <v>17</v>
      </c>
      <c r="E24552" s="30" t="s">
        <v>67</v>
      </c>
      <c r="F24552" s="30" t="s">
        <v>68</v>
      </c>
      <c r="G24552" s="30" t="s">
        <v>7780</v>
      </c>
      <c r="H24552" s="32">
        <v>5</v>
      </c>
      <c r="I24552" s="30" t="s">
        <v>51</v>
      </c>
      <c r="J24552" s="41">
        <v>45870</v>
      </c>
      <c r="K24552" s="30" t="s">
        <v>22</v>
      </c>
    </row>
    <row r="24553" spans="1:11">
      <c r="A24553" s="33" t="s">
        <v>54114</v>
      </c>
      <c r="B24553" s="33" t="s">
        <v>54115</v>
      </c>
      <c r="C24553" s="33" t="s">
        <v>7736</v>
      </c>
      <c r="D24553" s="33" t="s">
        <v>17</v>
      </c>
      <c r="E24553" s="33" t="s">
        <v>31</v>
      </c>
      <c r="F24553" s="33" t="s">
        <v>32</v>
      </c>
      <c r="G24553" s="33" t="s">
        <v>140</v>
      </c>
      <c r="H24553" s="35">
        <v>60</v>
      </c>
      <c r="I24553" s="33" t="s">
        <v>51</v>
      </c>
      <c r="J24553" s="42">
        <v>45888</v>
      </c>
      <c r="K24553" s="33" t="s">
        <v>22</v>
      </c>
    </row>
    <row r="24554" spans="1:11">
      <c r="A24554" s="30" t="s">
        <v>54116</v>
      </c>
      <c r="B24554" s="30" t="s">
        <v>54117</v>
      </c>
      <c r="C24554" s="30" t="s">
        <v>39846</v>
      </c>
      <c r="D24554" s="30" t="s">
        <v>17</v>
      </c>
      <c r="E24554" s="30" t="s">
        <v>26</v>
      </c>
      <c r="F24554" s="30" t="s">
        <v>27</v>
      </c>
      <c r="G24554" s="30" t="s">
        <v>140</v>
      </c>
      <c r="H24554" s="32">
        <v>40</v>
      </c>
      <c r="I24554" s="30" t="s">
        <v>51</v>
      </c>
      <c r="J24554" s="41">
        <v>45679</v>
      </c>
      <c r="K24554" s="30" t="s">
        <v>22</v>
      </c>
    </row>
    <row r="24555" spans="1:11">
      <c r="A24555" s="33" t="s">
        <v>54118</v>
      </c>
      <c r="B24555" s="33" t="s">
        <v>54119</v>
      </c>
      <c r="C24555" s="33" t="s">
        <v>326</v>
      </c>
      <c r="D24555" s="33" t="s">
        <v>17</v>
      </c>
      <c r="E24555" s="33" t="s">
        <v>26</v>
      </c>
      <c r="F24555" s="33" t="s">
        <v>27</v>
      </c>
      <c r="G24555" s="33" t="s">
        <v>140</v>
      </c>
      <c r="H24555" s="35">
        <v>10</v>
      </c>
      <c r="I24555" s="33" t="s">
        <v>51</v>
      </c>
      <c r="J24555" s="42">
        <v>45758</v>
      </c>
      <c r="K24555" s="33" t="s">
        <v>22</v>
      </c>
    </row>
    <row r="24556" spans="1:11">
      <c r="A24556" s="30" t="s">
        <v>54120</v>
      </c>
      <c r="B24556" s="30" t="s">
        <v>54121</v>
      </c>
      <c r="C24556" s="30" t="s">
        <v>149</v>
      </c>
      <c r="D24556" s="30" t="s">
        <v>17</v>
      </c>
      <c r="E24556" s="30" t="s">
        <v>45</v>
      </c>
      <c r="F24556" s="30" t="s">
        <v>46</v>
      </c>
      <c r="G24556" s="30" t="s">
        <v>20</v>
      </c>
      <c r="H24556" s="32">
        <v>249</v>
      </c>
      <c r="I24556" s="30" t="s">
        <v>21</v>
      </c>
      <c r="J24556" s="41">
        <v>45848</v>
      </c>
      <c r="K24556" s="30" t="s">
        <v>22</v>
      </c>
    </row>
    <row r="24557" spans="1:11">
      <c r="A24557" s="33" t="s">
        <v>54122</v>
      </c>
      <c r="B24557" s="33" t="s">
        <v>54123</v>
      </c>
      <c r="C24557" s="33" t="s">
        <v>14483</v>
      </c>
      <c r="D24557" s="33" t="s">
        <v>17</v>
      </c>
      <c r="E24557" s="33" t="s">
        <v>67</v>
      </c>
      <c r="F24557" s="33" t="s">
        <v>68</v>
      </c>
      <c r="G24557" s="33" t="s">
        <v>7780</v>
      </c>
      <c r="H24557" s="35">
        <v>88</v>
      </c>
      <c r="I24557" s="33" t="s">
        <v>51</v>
      </c>
      <c r="J24557" s="42">
        <v>45992</v>
      </c>
      <c r="K24557" s="33" t="s">
        <v>22</v>
      </c>
    </row>
    <row r="24558" spans="1:11">
      <c r="A24558" s="30" t="s">
        <v>54124</v>
      </c>
      <c r="B24558" s="30" t="s">
        <v>54125</v>
      </c>
      <c r="C24558" s="30" t="s">
        <v>936</v>
      </c>
      <c r="D24558" s="30" t="s">
        <v>17</v>
      </c>
      <c r="E24558" s="30" t="s">
        <v>26</v>
      </c>
      <c r="F24558" s="30" t="s">
        <v>27</v>
      </c>
      <c r="G24558" s="30" t="s">
        <v>140</v>
      </c>
      <c r="H24558" s="32">
        <v>100</v>
      </c>
      <c r="I24558" s="30" t="s">
        <v>51</v>
      </c>
      <c r="J24558" s="41">
        <v>45987</v>
      </c>
      <c r="K24558" s="30" t="s">
        <v>22</v>
      </c>
    </row>
    <row r="24559" spans="1:11">
      <c r="A24559" s="33" t="s">
        <v>54126</v>
      </c>
      <c r="B24559" s="33" t="s">
        <v>54127</v>
      </c>
      <c r="C24559" s="33" t="s">
        <v>10425</v>
      </c>
      <c r="D24559" s="33" t="s">
        <v>17</v>
      </c>
      <c r="E24559" s="33" t="s">
        <v>18</v>
      </c>
      <c r="F24559" s="33" t="s">
        <v>19</v>
      </c>
      <c r="G24559" s="33" t="s">
        <v>140</v>
      </c>
      <c r="H24559" s="35">
        <v>100</v>
      </c>
      <c r="I24559" s="33" t="s">
        <v>51</v>
      </c>
      <c r="J24559" s="42">
        <v>45783</v>
      </c>
      <c r="K24559" s="33" t="s">
        <v>22</v>
      </c>
    </row>
    <row r="24560" spans="1:11">
      <c r="A24560" s="30" t="s">
        <v>54128</v>
      </c>
      <c r="B24560" s="30" t="s">
        <v>54129</v>
      </c>
      <c r="C24560" s="30" t="s">
        <v>12357</v>
      </c>
      <c r="D24560" s="30" t="s">
        <v>17</v>
      </c>
      <c r="E24560" s="30" t="s">
        <v>31</v>
      </c>
      <c r="F24560" s="30" t="s">
        <v>32</v>
      </c>
      <c r="G24560" s="30" t="s">
        <v>106</v>
      </c>
      <c r="H24560" s="32">
        <v>3</v>
      </c>
      <c r="I24560" s="30" t="s">
        <v>21</v>
      </c>
      <c r="J24560" s="41">
        <v>45894</v>
      </c>
      <c r="K24560" s="30" t="s">
        <v>22</v>
      </c>
    </row>
    <row r="24561" spans="1:11">
      <c r="A24561" s="33" t="s">
        <v>54130</v>
      </c>
      <c r="B24561" s="33" t="s">
        <v>54131</v>
      </c>
      <c r="C24561" s="33" t="s">
        <v>93</v>
      </c>
      <c r="D24561" s="33" t="s">
        <v>17</v>
      </c>
      <c r="E24561" s="33" t="s">
        <v>31</v>
      </c>
      <c r="F24561" s="33" t="s">
        <v>32</v>
      </c>
      <c r="G24561" s="33" t="s">
        <v>140</v>
      </c>
      <c r="H24561" s="35">
        <v>268</v>
      </c>
      <c r="I24561" s="33" t="s">
        <v>51</v>
      </c>
      <c r="J24561" s="42">
        <v>45873</v>
      </c>
      <c r="K24561" s="33" t="s">
        <v>22</v>
      </c>
    </row>
    <row r="24562" spans="1:11">
      <c r="A24562" s="30" t="s">
        <v>54132</v>
      </c>
      <c r="B24562" s="30" t="s">
        <v>54133</v>
      </c>
      <c r="C24562" s="30" t="s">
        <v>44</v>
      </c>
      <c r="D24562" s="30" t="s">
        <v>17</v>
      </c>
      <c r="E24562" s="30" t="s">
        <v>212</v>
      </c>
      <c r="F24562" s="30" t="s">
        <v>213</v>
      </c>
      <c r="G24562" s="30" t="s">
        <v>112</v>
      </c>
      <c r="H24562" s="32">
        <v>0</v>
      </c>
      <c r="I24562" s="30" t="s">
        <v>21</v>
      </c>
      <c r="J24562" s="41">
        <v>45972</v>
      </c>
      <c r="K24562" s="30" t="s">
        <v>22</v>
      </c>
    </row>
    <row r="24563" spans="1:11">
      <c r="A24563" s="33" t="s">
        <v>54134</v>
      </c>
      <c r="B24563" s="33" t="s">
        <v>54135</v>
      </c>
      <c r="C24563" s="33" t="s">
        <v>136</v>
      </c>
      <c r="D24563" s="33" t="s">
        <v>17</v>
      </c>
      <c r="E24563" s="33" t="s">
        <v>18</v>
      </c>
      <c r="F24563" s="33" t="s">
        <v>19</v>
      </c>
      <c r="G24563" s="33" t="s">
        <v>140</v>
      </c>
      <c r="H24563" s="35">
        <v>10450</v>
      </c>
      <c r="I24563" s="33" t="s">
        <v>51</v>
      </c>
      <c r="J24563" s="42">
        <v>45902</v>
      </c>
      <c r="K24563" s="33" t="s">
        <v>22</v>
      </c>
    </row>
    <row r="24564" spans="1:11">
      <c r="A24564" s="30" t="s">
        <v>54136</v>
      </c>
      <c r="B24564" s="30" t="s">
        <v>54137</v>
      </c>
      <c r="C24564" s="30" t="s">
        <v>18132</v>
      </c>
      <c r="D24564" s="30" t="s">
        <v>17</v>
      </c>
      <c r="E24564" s="30" t="s">
        <v>26</v>
      </c>
      <c r="F24564" s="30" t="s">
        <v>27</v>
      </c>
      <c r="G24564" s="30" t="s">
        <v>7780</v>
      </c>
      <c r="H24564" s="32">
        <v>69</v>
      </c>
      <c r="I24564" s="30" t="s">
        <v>51</v>
      </c>
      <c r="J24564" s="41">
        <v>45658</v>
      </c>
      <c r="K24564" s="30" t="s">
        <v>22</v>
      </c>
    </row>
    <row r="24565" spans="1:11">
      <c r="A24565" s="33" t="s">
        <v>54138</v>
      </c>
      <c r="B24565" s="33" t="s">
        <v>54139</v>
      </c>
      <c r="C24565" s="33" t="s">
        <v>54140</v>
      </c>
      <c r="D24565" s="33" t="s">
        <v>17</v>
      </c>
      <c r="E24565" s="33" t="s">
        <v>26</v>
      </c>
      <c r="F24565" s="33" t="s">
        <v>27</v>
      </c>
      <c r="G24565" s="33" t="s">
        <v>20</v>
      </c>
      <c r="H24565" s="35">
        <v>18</v>
      </c>
      <c r="I24565" s="33" t="s">
        <v>21</v>
      </c>
      <c r="J24565" s="42">
        <v>45804</v>
      </c>
      <c r="K24565" s="33" t="s">
        <v>22</v>
      </c>
    </row>
    <row r="24566" spans="1:11">
      <c r="A24566" s="30" t="s">
        <v>54141</v>
      </c>
      <c r="B24566" s="30" t="s">
        <v>54142</v>
      </c>
      <c r="C24566" s="30" t="s">
        <v>54143</v>
      </c>
      <c r="D24566" s="30" t="s">
        <v>17</v>
      </c>
      <c r="E24566" s="30" t="s">
        <v>26</v>
      </c>
      <c r="F24566" s="30" t="s">
        <v>27</v>
      </c>
      <c r="G24566" s="30" t="s">
        <v>140</v>
      </c>
      <c r="H24566" s="32">
        <v>88</v>
      </c>
      <c r="I24566" s="30" t="s">
        <v>51</v>
      </c>
      <c r="J24566" s="41">
        <v>45824</v>
      </c>
      <c r="K24566" s="30" t="s">
        <v>22</v>
      </c>
    </row>
    <row r="24567" spans="1:11">
      <c r="A24567" s="33" t="s">
        <v>54144</v>
      </c>
      <c r="B24567" s="33" t="s">
        <v>54145</v>
      </c>
      <c r="C24567" s="33" t="s">
        <v>25186</v>
      </c>
      <c r="D24567" s="33" t="s">
        <v>17</v>
      </c>
      <c r="E24567" s="33" t="s">
        <v>18</v>
      </c>
      <c r="F24567" s="33" t="s">
        <v>19</v>
      </c>
      <c r="G24567" s="33" t="s">
        <v>140</v>
      </c>
      <c r="H24567" s="35">
        <v>825</v>
      </c>
      <c r="I24567" s="33" t="s">
        <v>51</v>
      </c>
      <c r="J24567" s="42">
        <v>45944</v>
      </c>
      <c r="K24567" s="33" t="s">
        <v>22</v>
      </c>
    </row>
    <row r="24568" spans="1:11">
      <c r="A24568" s="30" t="s">
        <v>54146</v>
      </c>
      <c r="B24568" s="30" t="s">
        <v>54147</v>
      </c>
      <c r="C24568" s="30" t="s">
        <v>22229</v>
      </c>
      <c r="D24568" s="30" t="s">
        <v>17</v>
      </c>
      <c r="E24568" s="30" t="s">
        <v>26</v>
      </c>
      <c r="F24568" s="30" t="s">
        <v>27</v>
      </c>
      <c r="G24568" s="30" t="s">
        <v>7780</v>
      </c>
      <c r="H24568" s="32">
        <v>24</v>
      </c>
      <c r="I24568" s="30" t="s">
        <v>51</v>
      </c>
      <c r="J24568" s="41">
        <v>46022</v>
      </c>
      <c r="K24568" s="30" t="s">
        <v>22</v>
      </c>
    </row>
    <row r="24569" spans="1:11">
      <c r="A24569" s="33" t="s">
        <v>54148</v>
      </c>
      <c r="B24569" s="33" t="s">
        <v>54149</v>
      </c>
      <c r="C24569" s="33" t="s">
        <v>19121</v>
      </c>
      <c r="D24569" s="33" t="s">
        <v>17</v>
      </c>
      <c r="E24569" s="33" t="s">
        <v>31</v>
      </c>
      <c r="F24569" s="33" t="s">
        <v>32</v>
      </c>
      <c r="G24569" s="33" t="s">
        <v>140</v>
      </c>
      <c r="H24569" s="35">
        <v>60</v>
      </c>
      <c r="I24569" s="33" t="s">
        <v>51</v>
      </c>
      <c r="J24569" s="42">
        <v>45689</v>
      </c>
      <c r="K24569" s="33" t="s">
        <v>22</v>
      </c>
    </row>
    <row r="24570" spans="1:11">
      <c r="A24570" s="30" t="s">
        <v>54150</v>
      </c>
      <c r="B24570" s="30" t="s">
        <v>54151</v>
      </c>
      <c r="C24570" s="30" t="s">
        <v>2852</v>
      </c>
      <c r="D24570" s="30" t="s">
        <v>17</v>
      </c>
      <c r="E24570" s="30" t="s">
        <v>45</v>
      </c>
      <c r="F24570" s="30" t="s">
        <v>46</v>
      </c>
      <c r="G24570" s="30" t="s">
        <v>158</v>
      </c>
      <c r="H24570" s="32">
        <v>150</v>
      </c>
      <c r="I24570" s="30" t="s">
        <v>51</v>
      </c>
      <c r="J24570" s="41">
        <v>45741</v>
      </c>
      <c r="K24570" s="30" t="s">
        <v>22</v>
      </c>
    </row>
    <row r="24571" spans="1:11">
      <c r="A24571" s="33" t="s">
        <v>54152</v>
      </c>
      <c r="B24571" s="33" t="s">
        <v>54153</v>
      </c>
      <c r="C24571" s="33" t="s">
        <v>10300</v>
      </c>
      <c r="D24571" s="33" t="s">
        <v>17</v>
      </c>
      <c r="E24571" s="33" t="s">
        <v>26</v>
      </c>
      <c r="F24571" s="33" t="s">
        <v>27</v>
      </c>
      <c r="G24571" s="33" t="s">
        <v>140</v>
      </c>
      <c r="H24571" s="35">
        <v>36</v>
      </c>
      <c r="I24571" s="33" t="s">
        <v>51</v>
      </c>
      <c r="J24571" s="42">
        <v>45670</v>
      </c>
      <c r="K24571" s="33" t="s">
        <v>22</v>
      </c>
    </row>
    <row r="24572" spans="1:11">
      <c r="A24572" s="30" t="s">
        <v>54154</v>
      </c>
      <c r="B24572" s="30" t="s">
        <v>54155</v>
      </c>
      <c r="C24572" s="30" t="s">
        <v>1270</v>
      </c>
      <c r="D24572" s="30" t="s">
        <v>17</v>
      </c>
      <c r="E24572" s="30" t="s">
        <v>26</v>
      </c>
      <c r="F24572" s="30" t="s">
        <v>27</v>
      </c>
      <c r="G24572" s="30" t="s">
        <v>7780</v>
      </c>
      <c r="H24572" s="32">
        <v>32</v>
      </c>
      <c r="I24572" s="30" t="s">
        <v>51</v>
      </c>
      <c r="J24572" s="41">
        <v>45716</v>
      </c>
      <c r="K24572" s="30" t="s">
        <v>22</v>
      </c>
    </row>
    <row r="24573" spans="1:11">
      <c r="A24573" s="33" t="s">
        <v>54156</v>
      </c>
      <c r="B24573" s="33" t="s">
        <v>54157</v>
      </c>
      <c r="C24573" s="33" t="s">
        <v>3934</v>
      </c>
      <c r="D24573" s="33" t="s">
        <v>17</v>
      </c>
      <c r="E24573" s="33" t="s">
        <v>18</v>
      </c>
      <c r="F24573" s="33" t="s">
        <v>19</v>
      </c>
      <c r="G24573" s="33" t="s">
        <v>140</v>
      </c>
      <c r="H24573" s="35">
        <v>40</v>
      </c>
      <c r="I24573" s="33" t="s">
        <v>51</v>
      </c>
      <c r="J24573" s="42">
        <v>45882</v>
      </c>
      <c r="K24573" s="33" t="s">
        <v>22</v>
      </c>
    </row>
    <row r="24574" spans="1:11">
      <c r="A24574" s="30" t="s">
        <v>54158</v>
      </c>
      <c r="B24574" s="30" t="s">
        <v>54159</v>
      </c>
      <c r="C24574" s="30" t="s">
        <v>54160</v>
      </c>
      <c r="D24574" s="30" t="s">
        <v>17</v>
      </c>
      <c r="E24574" s="30" t="s">
        <v>26</v>
      </c>
      <c r="F24574" s="30" t="s">
        <v>27</v>
      </c>
      <c r="G24574" s="30" t="s">
        <v>140</v>
      </c>
      <c r="H24574" s="32">
        <v>40</v>
      </c>
      <c r="I24574" s="30" t="s">
        <v>51</v>
      </c>
      <c r="J24574" s="41">
        <v>45860</v>
      </c>
      <c r="K24574" s="30" t="s">
        <v>22</v>
      </c>
    </row>
    <row r="24575" spans="1:11">
      <c r="A24575" s="33" t="s">
        <v>54161</v>
      </c>
      <c r="B24575" s="33" t="s">
        <v>54162</v>
      </c>
      <c r="C24575" s="33" t="s">
        <v>6379</v>
      </c>
      <c r="D24575" s="33" t="s">
        <v>17</v>
      </c>
      <c r="E24575" s="33" t="s">
        <v>18</v>
      </c>
      <c r="F24575" s="33" t="s">
        <v>19</v>
      </c>
      <c r="G24575" s="33" t="s">
        <v>140</v>
      </c>
      <c r="H24575" s="35">
        <v>850</v>
      </c>
      <c r="I24575" s="33" t="s">
        <v>51</v>
      </c>
      <c r="J24575" s="42">
        <v>45763</v>
      </c>
      <c r="K24575" s="33" t="s">
        <v>22</v>
      </c>
    </row>
    <row r="24576" spans="1:11">
      <c r="A24576" s="30" t="s">
        <v>54163</v>
      </c>
      <c r="B24576" s="30" t="s">
        <v>54164</v>
      </c>
      <c r="C24576" s="30" t="s">
        <v>787</v>
      </c>
      <c r="D24576" s="30" t="s">
        <v>17</v>
      </c>
      <c r="E24576" s="30" t="s">
        <v>45</v>
      </c>
      <c r="F24576" s="30" t="s">
        <v>46</v>
      </c>
      <c r="G24576" s="30" t="s">
        <v>140</v>
      </c>
      <c r="H24576" s="32">
        <v>603</v>
      </c>
      <c r="I24576" s="30" t="s">
        <v>51</v>
      </c>
      <c r="J24576" s="41">
        <v>45786</v>
      </c>
      <c r="K24576" s="30" t="s">
        <v>22</v>
      </c>
    </row>
    <row r="24577" spans="1:11">
      <c r="A24577" s="33" t="s">
        <v>54165</v>
      </c>
      <c r="B24577" s="33" t="s">
        <v>54166</v>
      </c>
      <c r="C24577" s="33" t="s">
        <v>54167</v>
      </c>
      <c r="D24577" s="33" t="s">
        <v>17</v>
      </c>
      <c r="E24577" s="33" t="s">
        <v>26</v>
      </c>
      <c r="F24577" s="33" t="s">
        <v>27</v>
      </c>
      <c r="G24577" s="33" t="s">
        <v>140</v>
      </c>
      <c r="H24577" s="35">
        <v>125</v>
      </c>
      <c r="I24577" s="33" t="s">
        <v>51</v>
      </c>
      <c r="J24577" s="42">
        <v>45775</v>
      </c>
      <c r="K24577" s="33" t="s">
        <v>22</v>
      </c>
    </row>
    <row r="24578" spans="1:11">
      <c r="A24578" s="30" t="s">
        <v>54168</v>
      </c>
      <c r="B24578" s="30" t="s">
        <v>54169</v>
      </c>
      <c r="C24578" s="30" t="s">
        <v>14483</v>
      </c>
      <c r="D24578" s="30" t="s">
        <v>17</v>
      </c>
      <c r="E24578" s="30" t="s">
        <v>26</v>
      </c>
      <c r="F24578" s="30" t="s">
        <v>27</v>
      </c>
      <c r="G24578" s="30" t="s">
        <v>140</v>
      </c>
      <c r="H24578" s="32">
        <v>64</v>
      </c>
      <c r="I24578" s="30" t="s">
        <v>51</v>
      </c>
      <c r="J24578" s="41">
        <v>45817</v>
      </c>
      <c r="K24578" s="30" t="s">
        <v>22</v>
      </c>
    </row>
    <row r="24579" spans="1:11">
      <c r="A24579" s="33" t="s">
        <v>54170</v>
      </c>
      <c r="B24579" s="33" t="s">
        <v>54171</v>
      </c>
      <c r="C24579" s="33" t="s">
        <v>96</v>
      </c>
      <c r="D24579" s="33" t="s">
        <v>17</v>
      </c>
      <c r="E24579" s="33" t="s">
        <v>67</v>
      </c>
      <c r="F24579" s="33" t="s">
        <v>68</v>
      </c>
      <c r="G24579" s="33" t="s">
        <v>140</v>
      </c>
      <c r="H24579" s="35">
        <v>100</v>
      </c>
      <c r="I24579" s="33" t="s">
        <v>51</v>
      </c>
      <c r="J24579" s="42">
        <v>45838</v>
      </c>
      <c r="K24579" s="33" t="s">
        <v>22</v>
      </c>
    </row>
    <row r="24580" spans="1:11">
      <c r="A24580" s="30" t="s">
        <v>54172</v>
      </c>
      <c r="B24580" s="30" t="s">
        <v>54173</v>
      </c>
      <c r="C24580" s="30" t="s">
        <v>2562</v>
      </c>
      <c r="D24580" s="30" t="s">
        <v>17</v>
      </c>
      <c r="E24580" s="30" t="s">
        <v>31</v>
      </c>
      <c r="F24580" s="30" t="s">
        <v>32</v>
      </c>
      <c r="G24580" s="30" t="s">
        <v>7780</v>
      </c>
      <c r="H24580" s="32">
        <v>106</v>
      </c>
      <c r="I24580" s="30" t="s">
        <v>51</v>
      </c>
      <c r="J24580" s="41">
        <v>45901</v>
      </c>
      <c r="K24580" s="30" t="s">
        <v>22</v>
      </c>
    </row>
    <row r="24581" spans="1:11">
      <c r="A24581" s="33" t="s">
        <v>54174</v>
      </c>
      <c r="B24581" s="33" t="s">
        <v>54175</v>
      </c>
      <c r="C24581" s="33" t="s">
        <v>203</v>
      </c>
      <c r="D24581" s="33" t="s">
        <v>17</v>
      </c>
      <c r="E24581" s="33" t="s">
        <v>31</v>
      </c>
      <c r="F24581" s="33" t="s">
        <v>32</v>
      </c>
      <c r="G24581" s="33" t="s">
        <v>140</v>
      </c>
      <c r="H24581" s="35">
        <v>54</v>
      </c>
      <c r="I24581" s="33" t="s">
        <v>51</v>
      </c>
      <c r="J24581" s="42">
        <v>45944</v>
      </c>
      <c r="K24581" s="33" t="s">
        <v>22</v>
      </c>
    </row>
    <row r="24582" spans="1:11">
      <c r="A24582" s="30" t="s">
        <v>54176</v>
      </c>
      <c r="B24582" s="30" t="s">
        <v>54177</v>
      </c>
      <c r="C24582" s="30" t="s">
        <v>894</v>
      </c>
      <c r="D24582" s="30" t="s">
        <v>17</v>
      </c>
      <c r="E24582" s="30" t="s">
        <v>26</v>
      </c>
      <c r="F24582" s="30" t="s">
        <v>27</v>
      </c>
      <c r="G24582" s="30" t="s">
        <v>158</v>
      </c>
      <c r="H24582" s="32">
        <v>24</v>
      </c>
      <c r="I24582" s="30" t="s">
        <v>51</v>
      </c>
      <c r="J24582" s="41">
        <v>45888</v>
      </c>
      <c r="K24582" s="30" t="s">
        <v>22</v>
      </c>
    </row>
    <row r="24583" spans="1:11">
      <c r="A24583" s="33" t="s">
        <v>54178</v>
      </c>
      <c r="B24583" s="33" t="s">
        <v>54179</v>
      </c>
      <c r="C24583" s="33" t="s">
        <v>368</v>
      </c>
      <c r="D24583" s="33" t="s">
        <v>17</v>
      </c>
      <c r="E24583" s="33" t="s">
        <v>26</v>
      </c>
      <c r="F24583" s="33" t="s">
        <v>27</v>
      </c>
      <c r="G24583" s="33" t="s">
        <v>158</v>
      </c>
      <c r="H24583" s="35">
        <v>60</v>
      </c>
      <c r="I24583" s="33" t="s">
        <v>21</v>
      </c>
      <c r="J24583" s="42">
        <v>45801</v>
      </c>
      <c r="K24583" s="33" t="s">
        <v>22</v>
      </c>
    </row>
    <row r="24584" spans="1:11">
      <c r="A24584" s="30" t="s">
        <v>54180</v>
      </c>
      <c r="B24584" s="30" t="s">
        <v>54181</v>
      </c>
      <c r="C24584" s="30" t="s">
        <v>13181</v>
      </c>
      <c r="D24584" s="30" t="s">
        <v>17</v>
      </c>
      <c r="E24584" s="30" t="s">
        <v>26</v>
      </c>
      <c r="F24584" s="30" t="s">
        <v>27</v>
      </c>
      <c r="G24584" s="30" t="s">
        <v>7780</v>
      </c>
      <c r="H24584" s="32">
        <v>138</v>
      </c>
      <c r="I24584" s="30" t="s">
        <v>51</v>
      </c>
      <c r="J24584" s="41">
        <v>45996</v>
      </c>
      <c r="K24584" s="30" t="s">
        <v>22</v>
      </c>
    </row>
    <row r="24585" spans="1:11">
      <c r="A24585" s="33" t="s">
        <v>54182</v>
      </c>
      <c r="B24585" s="33" t="s">
        <v>54183</v>
      </c>
      <c r="C24585" s="33" t="s">
        <v>109</v>
      </c>
      <c r="D24585" s="33" t="s">
        <v>17</v>
      </c>
      <c r="E24585" s="33" t="s">
        <v>212</v>
      </c>
      <c r="F24585" s="33" t="s">
        <v>213</v>
      </c>
      <c r="G24585" s="33" t="s">
        <v>140</v>
      </c>
      <c r="H24585" s="35">
        <v>50</v>
      </c>
      <c r="I24585" s="33" t="s">
        <v>51</v>
      </c>
      <c r="J24585" s="42">
        <v>45909</v>
      </c>
      <c r="K24585" s="33" t="s">
        <v>22</v>
      </c>
    </row>
    <row r="24586" spans="1:11">
      <c r="A24586" s="30" t="s">
        <v>54184</v>
      </c>
      <c r="B24586" s="30" t="s">
        <v>54185</v>
      </c>
      <c r="C24586" s="30" t="s">
        <v>5842</v>
      </c>
      <c r="D24586" s="30" t="s">
        <v>17</v>
      </c>
      <c r="E24586" s="30" t="s">
        <v>18</v>
      </c>
      <c r="F24586" s="30" t="s">
        <v>19</v>
      </c>
      <c r="G24586" s="30" t="s">
        <v>140</v>
      </c>
      <c r="H24586" s="32">
        <v>300</v>
      </c>
      <c r="I24586" s="30" t="s">
        <v>51</v>
      </c>
      <c r="J24586" s="41">
        <v>45971</v>
      </c>
      <c r="K24586" s="30" t="s">
        <v>22</v>
      </c>
    </row>
    <row r="24587" spans="1:11">
      <c r="A24587" s="33" t="s">
        <v>54186</v>
      </c>
      <c r="B24587" s="33" t="s">
        <v>54187</v>
      </c>
      <c r="C24587" s="33" t="s">
        <v>93</v>
      </c>
      <c r="D24587" s="33" t="s">
        <v>17</v>
      </c>
      <c r="E24587" s="33" t="s">
        <v>67</v>
      </c>
      <c r="F24587" s="33" t="s">
        <v>68</v>
      </c>
      <c r="G24587" s="33" t="s">
        <v>140</v>
      </c>
      <c r="H24587" s="35">
        <v>440</v>
      </c>
      <c r="I24587" s="33" t="s">
        <v>51</v>
      </c>
      <c r="J24587" s="42">
        <v>45838</v>
      </c>
      <c r="K24587" s="33" t="s">
        <v>22</v>
      </c>
    </row>
    <row r="24588" spans="1:11">
      <c r="A24588" s="30" t="s">
        <v>54188</v>
      </c>
      <c r="B24588" s="30" t="s">
        <v>54189</v>
      </c>
      <c r="C24588" s="30" t="s">
        <v>49343</v>
      </c>
      <c r="D24588" s="30" t="s">
        <v>17</v>
      </c>
      <c r="E24588" s="30" t="s">
        <v>18</v>
      </c>
      <c r="F24588" s="30" t="s">
        <v>19</v>
      </c>
      <c r="G24588" s="30" t="s">
        <v>140</v>
      </c>
      <c r="H24588" s="32">
        <v>250</v>
      </c>
      <c r="I24588" s="30" t="s">
        <v>51</v>
      </c>
      <c r="J24588" s="41">
        <v>45873</v>
      </c>
      <c r="K24588" s="30" t="s">
        <v>22</v>
      </c>
    </row>
    <row r="24589" spans="1:11">
      <c r="A24589" s="33" t="s">
        <v>54190</v>
      </c>
      <c r="B24589" s="33" t="s">
        <v>54191</v>
      </c>
      <c r="C24589" s="33" t="s">
        <v>54192</v>
      </c>
      <c r="D24589" s="33" t="s">
        <v>17</v>
      </c>
      <c r="E24589" s="33" t="s">
        <v>31</v>
      </c>
      <c r="F24589" s="33" t="s">
        <v>32</v>
      </c>
      <c r="G24589" s="33" t="s">
        <v>140</v>
      </c>
      <c r="H24589" s="35">
        <v>280</v>
      </c>
      <c r="I24589" s="33" t="s">
        <v>51</v>
      </c>
      <c r="J24589" s="42">
        <v>45961</v>
      </c>
      <c r="K24589" s="33" t="s">
        <v>22</v>
      </c>
    </row>
    <row r="24590" spans="1:11">
      <c r="A24590" s="30" t="s">
        <v>54193</v>
      </c>
      <c r="B24590" s="30" t="s">
        <v>54194</v>
      </c>
      <c r="C24590" s="30" t="s">
        <v>847</v>
      </c>
      <c r="D24590" s="30" t="s">
        <v>17</v>
      </c>
      <c r="E24590" s="30" t="s">
        <v>330</v>
      </c>
      <c r="F24590" s="30" t="s">
        <v>331</v>
      </c>
      <c r="G24590" s="30" t="s">
        <v>7780</v>
      </c>
      <c r="H24590" s="32">
        <v>15</v>
      </c>
      <c r="I24590" s="30" t="s">
        <v>51</v>
      </c>
      <c r="J24590" s="41">
        <v>45795</v>
      </c>
      <c r="K24590" s="30" t="s">
        <v>22</v>
      </c>
    </row>
    <row r="24591" spans="1:11">
      <c r="A24591" s="33" t="s">
        <v>54195</v>
      </c>
      <c r="B24591" s="33" t="s">
        <v>54196</v>
      </c>
      <c r="C24591" s="33" t="s">
        <v>75</v>
      </c>
      <c r="D24591" s="33" t="s">
        <v>17</v>
      </c>
      <c r="E24591" s="33" t="s">
        <v>18</v>
      </c>
      <c r="F24591" s="33" t="s">
        <v>19</v>
      </c>
      <c r="G24591" s="33" t="s">
        <v>140</v>
      </c>
      <c r="H24591" s="35">
        <v>450</v>
      </c>
      <c r="I24591" s="33" t="s">
        <v>51</v>
      </c>
      <c r="J24591" s="42">
        <v>45856</v>
      </c>
      <c r="K24591" s="33" t="s">
        <v>22</v>
      </c>
    </row>
    <row r="24592" spans="1:11">
      <c r="A24592" s="30" t="s">
        <v>54197</v>
      </c>
      <c r="B24592" s="30" t="s">
        <v>54198</v>
      </c>
      <c r="C24592" s="30" t="s">
        <v>154</v>
      </c>
      <c r="D24592" s="30" t="s">
        <v>17</v>
      </c>
      <c r="E24592" s="30" t="s">
        <v>212</v>
      </c>
      <c r="F24592" s="30" t="s">
        <v>213</v>
      </c>
      <c r="G24592" s="30" t="s">
        <v>140</v>
      </c>
      <c r="H24592" s="32">
        <v>18</v>
      </c>
      <c r="I24592" s="30" t="s">
        <v>51</v>
      </c>
      <c r="J24592" s="41">
        <v>45947</v>
      </c>
      <c r="K24592" s="30" t="s">
        <v>22</v>
      </c>
    </row>
    <row r="24593" spans="1:11">
      <c r="A24593" s="33" t="s">
        <v>54199</v>
      </c>
      <c r="B24593" s="33" t="s">
        <v>54200</v>
      </c>
      <c r="C24593" s="33" t="s">
        <v>39233</v>
      </c>
      <c r="D24593" s="33" t="s">
        <v>17</v>
      </c>
      <c r="E24593" s="33" t="s">
        <v>18</v>
      </c>
      <c r="F24593" s="33" t="s">
        <v>19</v>
      </c>
      <c r="G24593" s="33" t="s">
        <v>140</v>
      </c>
      <c r="H24593" s="35">
        <v>380</v>
      </c>
      <c r="I24593" s="33" t="s">
        <v>51</v>
      </c>
      <c r="J24593" s="42">
        <v>45746</v>
      </c>
      <c r="K24593" s="33" t="s">
        <v>22</v>
      </c>
    </row>
    <row r="24594" spans="1:11">
      <c r="A24594" s="30" t="s">
        <v>54201</v>
      </c>
      <c r="B24594" s="30" t="s">
        <v>54202</v>
      </c>
      <c r="C24594" s="30" t="s">
        <v>31381</v>
      </c>
      <c r="D24594" s="30" t="s">
        <v>17</v>
      </c>
      <c r="E24594" s="30" t="s">
        <v>31</v>
      </c>
      <c r="F24594" s="30" t="s">
        <v>32</v>
      </c>
      <c r="G24594" s="30" t="s">
        <v>140</v>
      </c>
      <c r="H24594" s="32">
        <v>150</v>
      </c>
      <c r="I24594" s="30" t="s">
        <v>51</v>
      </c>
      <c r="J24594" s="41">
        <v>46013</v>
      </c>
      <c r="K24594" s="30" t="s">
        <v>22</v>
      </c>
    </row>
    <row r="24595" spans="1:11">
      <c r="A24595" s="33" t="s">
        <v>54203</v>
      </c>
      <c r="B24595" s="33" t="s">
        <v>54204</v>
      </c>
      <c r="C24595" s="33" t="s">
        <v>11957</v>
      </c>
      <c r="D24595" s="33" t="s">
        <v>17</v>
      </c>
      <c r="E24595" s="33" t="s">
        <v>26</v>
      </c>
      <c r="F24595" s="33" t="s">
        <v>27</v>
      </c>
      <c r="G24595" s="33" t="s">
        <v>7780</v>
      </c>
      <c r="H24595" s="35">
        <v>30</v>
      </c>
      <c r="I24595" s="33" t="s">
        <v>51</v>
      </c>
      <c r="J24595" s="42">
        <v>45992</v>
      </c>
      <c r="K24595" s="33" t="s">
        <v>22</v>
      </c>
    </row>
    <row r="24596" spans="1:11">
      <c r="A24596" s="30" t="s">
        <v>54205</v>
      </c>
      <c r="B24596" s="30" t="s">
        <v>54206</v>
      </c>
      <c r="C24596" s="30" t="s">
        <v>96</v>
      </c>
      <c r="D24596" s="30" t="s">
        <v>17</v>
      </c>
      <c r="E24596" s="30" t="s">
        <v>26</v>
      </c>
      <c r="F24596" s="30" t="s">
        <v>27</v>
      </c>
      <c r="G24596" s="30" t="s">
        <v>20</v>
      </c>
      <c r="H24596" s="32">
        <v>69</v>
      </c>
      <c r="I24596" s="30" t="s">
        <v>21</v>
      </c>
      <c r="J24596" s="41">
        <v>45975</v>
      </c>
      <c r="K24596" s="30" t="s">
        <v>22</v>
      </c>
    </row>
    <row r="24597" spans="1:11">
      <c r="A24597" s="33" t="s">
        <v>54207</v>
      </c>
      <c r="B24597" s="33" t="s">
        <v>54208</v>
      </c>
      <c r="C24597" s="33" t="s">
        <v>231</v>
      </c>
      <c r="D24597" s="33" t="s">
        <v>17</v>
      </c>
      <c r="E24597" s="33" t="s">
        <v>31</v>
      </c>
      <c r="F24597" s="33" t="s">
        <v>32</v>
      </c>
      <c r="G24597" s="33" t="s">
        <v>158</v>
      </c>
      <c r="H24597" s="35">
        <v>150</v>
      </c>
      <c r="I24597" s="33" t="s">
        <v>21</v>
      </c>
      <c r="J24597" s="42">
        <v>45688</v>
      </c>
      <c r="K24597" s="33" t="s">
        <v>22</v>
      </c>
    </row>
    <row r="24598" spans="1:11">
      <c r="A24598" s="30" t="s">
        <v>54209</v>
      </c>
      <c r="B24598" s="30" t="s">
        <v>54210</v>
      </c>
      <c r="C24598" s="30" t="s">
        <v>43348</v>
      </c>
      <c r="D24598" s="30" t="s">
        <v>17</v>
      </c>
      <c r="E24598" s="30" t="s">
        <v>31</v>
      </c>
      <c r="F24598" s="30" t="s">
        <v>32</v>
      </c>
      <c r="G24598" s="30" t="s">
        <v>140</v>
      </c>
      <c r="H24598" s="32">
        <v>104</v>
      </c>
      <c r="I24598" s="30" t="s">
        <v>51</v>
      </c>
      <c r="J24598" s="41">
        <v>45727</v>
      </c>
      <c r="K24598" s="30" t="s">
        <v>22</v>
      </c>
    </row>
    <row r="24599" spans="1:11">
      <c r="A24599" s="33" t="s">
        <v>54211</v>
      </c>
      <c r="B24599" s="33" t="s">
        <v>54212</v>
      </c>
      <c r="C24599" s="33" t="s">
        <v>2017</v>
      </c>
      <c r="D24599" s="33" t="s">
        <v>17</v>
      </c>
      <c r="E24599" s="33" t="s">
        <v>26</v>
      </c>
      <c r="F24599" s="33" t="s">
        <v>27</v>
      </c>
      <c r="G24599" s="33" t="s">
        <v>20</v>
      </c>
      <c r="H24599" s="35">
        <v>575</v>
      </c>
      <c r="I24599" s="33" t="s">
        <v>21</v>
      </c>
      <c r="J24599" s="42">
        <v>45943</v>
      </c>
      <c r="K24599" s="33" t="s">
        <v>22</v>
      </c>
    </row>
    <row r="24600" spans="1:11">
      <c r="A24600" s="30" t="s">
        <v>54213</v>
      </c>
      <c r="B24600" s="30" t="s">
        <v>54214</v>
      </c>
      <c r="C24600" s="30" t="s">
        <v>54215</v>
      </c>
      <c r="D24600" s="30" t="s">
        <v>17</v>
      </c>
      <c r="E24600" s="30" t="s">
        <v>18</v>
      </c>
      <c r="F24600" s="30" t="s">
        <v>19</v>
      </c>
      <c r="G24600" s="30" t="s">
        <v>140</v>
      </c>
      <c r="H24600" s="32">
        <v>520</v>
      </c>
      <c r="I24600" s="30" t="s">
        <v>51</v>
      </c>
      <c r="J24600" s="41">
        <v>45716</v>
      </c>
      <c r="K24600" s="30" t="s">
        <v>22</v>
      </c>
    </row>
    <row r="24601" spans="1:11">
      <c r="A24601" s="33" t="s">
        <v>54216</v>
      </c>
      <c r="B24601" s="33" t="s">
        <v>54217</v>
      </c>
      <c r="C24601" s="33" t="s">
        <v>54218</v>
      </c>
      <c r="D24601" s="33" t="s">
        <v>17</v>
      </c>
      <c r="E24601" s="33" t="s">
        <v>212</v>
      </c>
      <c r="F24601" s="33" t="s">
        <v>213</v>
      </c>
      <c r="G24601" s="33" t="s">
        <v>140</v>
      </c>
      <c r="H24601" s="35">
        <v>400</v>
      </c>
      <c r="I24601" s="33" t="s">
        <v>51</v>
      </c>
      <c r="J24601" s="42">
        <v>45989</v>
      </c>
      <c r="K24601" s="33" t="s">
        <v>22</v>
      </c>
    </row>
    <row r="24602" spans="1:11">
      <c r="A24602" s="30" t="s">
        <v>54219</v>
      </c>
      <c r="B24602" s="30" t="s">
        <v>54220</v>
      </c>
      <c r="C24602" s="30" t="s">
        <v>570</v>
      </c>
      <c r="D24602" s="30" t="s">
        <v>17</v>
      </c>
      <c r="E24602" s="30" t="s">
        <v>18</v>
      </c>
      <c r="F24602" s="30" t="s">
        <v>19</v>
      </c>
      <c r="G24602" s="30" t="s">
        <v>140</v>
      </c>
      <c r="H24602" s="32">
        <v>278</v>
      </c>
      <c r="I24602" s="30" t="s">
        <v>51</v>
      </c>
      <c r="J24602" s="41">
        <v>45835</v>
      </c>
      <c r="K24602" s="30" t="s">
        <v>22</v>
      </c>
    </row>
    <row r="24603" spans="1:11">
      <c r="A24603" s="33" t="s">
        <v>54221</v>
      </c>
      <c r="B24603" s="33" t="s">
        <v>54222</v>
      </c>
      <c r="C24603" s="33" t="s">
        <v>5443</v>
      </c>
      <c r="D24603" s="33" t="s">
        <v>17</v>
      </c>
      <c r="E24603" s="33" t="s">
        <v>330</v>
      </c>
      <c r="F24603" s="33" t="s">
        <v>331</v>
      </c>
      <c r="G24603" s="33" t="s">
        <v>7780</v>
      </c>
      <c r="H24603" s="35">
        <v>15</v>
      </c>
      <c r="I24603" s="33" t="s">
        <v>51</v>
      </c>
      <c r="J24603" s="42">
        <v>46021</v>
      </c>
      <c r="K24603" s="33" t="s">
        <v>22</v>
      </c>
    </row>
    <row r="24604" spans="1:11">
      <c r="A24604" s="30" t="s">
        <v>54223</v>
      </c>
      <c r="B24604" s="30" t="s">
        <v>54224</v>
      </c>
      <c r="C24604" s="30" t="s">
        <v>54225</v>
      </c>
      <c r="D24604" s="30" t="s">
        <v>17</v>
      </c>
      <c r="E24604" s="30" t="s">
        <v>31</v>
      </c>
      <c r="F24604" s="30" t="s">
        <v>32</v>
      </c>
      <c r="G24604" s="30" t="s">
        <v>140</v>
      </c>
      <c r="H24604" s="32">
        <v>30</v>
      </c>
      <c r="I24604" s="30" t="s">
        <v>51</v>
      </c>
      <c r="J24604" s="41">
        <v>45762</v>
      </c>
      <c r="K24604" s="30" t="s">
        <v>22</v>
      </c>
    </row>
    <row r="24605" spans="1:11">
      <c r="A24605" s="33" t="s">
        <v>54226</v>
      </c>
      <c r="B24605" s="33" t="s">
        <v>54227</v>
      </c>
      <c r="C24605" s="33" t="s">
        <v>190</v>
      </c>
      <c r="D24605" s="33" t="s">
        <v>17</v>
      </c>
      <c r="E24605" s="33" t="s">
        <v>18</v>
      </c>
      <c r="F24605" s="33" t="s">
        <v>19</v>
      </c>
      <c r="G24605" s="33" t="s">
        <v>140</v>
      </c>
      <c r="H24605" s="35">
        <v>1100</v>
      </c>
      <c r="I24605" s="33" t="s">
        <v>51</v>
      </c>
      <c r="J24605" s="42">
        <v>46020</v>
      </c>
      <c r="K24605" s="33" t="s">
        <v>22</v>
      </c>
    </row>
    <row r="24606" spans="1:11">
      <c r="A24606" s="30" t="s">
        <v>54228</v>
      </c>
      <c r="B24606" s="30" t="s">
        <v>54229</v>
      </c>
      <c r="C24606" s="30" t="s">
        <v>10359</v>
      </c>
      <c r="D24606" s="30" t="s">
        <v>17</v>
      </c>
      <c r="E24606" s="30" t="s">
        <v>26</v>
      </c>
      <c r="F24606" s="30" t="s">
        <v>27</v>
      </c>
      <c r="G24606" s="30" t="s">
        <v>20</v>
      </c>
      <c r="H24606" s="32">
        <v>20</v>
      </c>
      <c r="I24606" s="30" t="s">
        <v>21</v>
      </c>
      <c r="J24606" s="41">
        <v>45961</v>
      </c>
      <c r="K24606" s="30" t="s">
        <v>22</v>
      </c>
    </row>
    <row r="24607" spans="1:11">
      <c r="A24607" s="33" t="s">
        <v>54230</v>
      </c>
      <c r="B24607" s="33" t="s">
        <v>54231</v>
      </c>
      <c r="C24607" s="33" t="s">
        <v>6316</v>
      </c>
      <c r="D24607" s="33" t="s">
        <v>17</v>
      </c>
      <c r="E24607" s="33" t="s">
        <v>31</v>
      </c>
      <c r="F24607" s="33" t="s">
        <v>32</v>
      </c>
      <c r="G24607" s="33" t="s">
        <v>140</v>
      </c>
      <c r="H24607" s="35">
        <v>300</v>
      </c>
      <c r="I24607" s="33" t="s">
        <v>51</v>
      </c>
      <c r="J24607" s="42">
        <v>45983</v>
      </c>
      <c r="K24607" s="33" t="s">
        <v>22</v>
      </c>
    </row>
    <row r="24608" spans="1:11">
      <c r="A24608" s="30" t="s">
        <v>54232</v>
      </c>
      <c r="B24608" s="30" t="s">
        <v>54233</v>
      </c>
      <c r="C24608" s="30" t="s">
        <v>46778</v>
      </c>
      <c r="D24608" s="30" t="s">
        <v>17</v>
      </c>
      <c r="E24608" s="30" t="s">
        <v>67</v>
      </c>
      <c r="F24608" s="30" t="s">
        <v>68</v>
      </c>
      <c r="G24608" s="30" t="s">
        <v>140</v>
      </c>
      <c r="H24608" s="32">
        <v>80</v>
      </c>
      <c r="I24608" s="30" t="s">
        <v>51</v>
      </c>
      <c r="J24608" s="41">
        <v>45750</v>
      </c>
      <c r="K24608" s="30" t="s">
        <v>22</v>
      </c>
    </row>
    <row r="24609" spans="1:11">
      <c r="A24609" s="33" t="s">
        <v>54234</v>
      </c>
      <c r="B24609" s="33" t="s">
        <v>1044</v>
      </c>
      <c r="C24609" s="33" t="s">
        <v>18296</v>
      </c>
      <c r="D24609" s="33" t="s">
        <v>17</v>
      </c>
      <c r="E24609" s="33" t="s">
        <v>31</v>
      </c>
      <c r="F24609" s="33" t="s">
        <v>32</v>
      </c>
      <c r="G24609" s="33" t="s">
        <v>140</v>
      </c>
      <c r="H24609" s="35">
        <v>16</v>
      </c>
      <c r="I24609" s="33" t="s">
        <v>51</v>
      </c>
      <c r="J24609" s="42">
        <v>45995</v>
      </c>
      <c r="K24609" s="33" t="s">
        <v>22</v>
      </c>
    </row>
    <row r="24610" spans="1:11">
      <c r="A24610" s="30" t="s">
        <v>54235</v>
      </c>
      <c r="B24610" s="30" t="s">
        <v>54236</v>
      </c>
      <c r="C24610" s="30" t="s">
        <v>33931</v>
      </c>
      <c r="D24610" s="30" t="s">
        <v>17</v>
      </c>
      <c r="E24610" s="30" t="s">
        <v>26</v>
      </c>
      <c r="F24610" s="30" t="s">
        <v>27</v>
      </c>
      <c r="G24610" s="30" t="s">
        <v>158</v>
      </c>
      <c r="H24610" s="32">
        <v>120</v>
      </c>
      <c r="I24610" s="30" t="s">
        <v>51</v>
      </c>
      <c r="J24610" s="41">
        <v>45757</v>
      </c>
      <c r="K24610" s="30" t="s">
        <v>22</v>
      </c>
    </row>
    <row r="24611" spans="1:11">
      <c r="A24611" s="33" t="s">
        <v>54237</v>
      </c>
      <c r="B24611" s="33" t="s">
        <v>54238</v>
      </c>
      <c r="C24611" s="33" t="s">
        <v>22650</v>
      </c>
      <c r="D24611" s="33" t="s">
        <v>17</v>
      </c>
      <c r="E24611" s="33" t="s">
        <v>45</v>
      </c>
      <c r="F24611" s="33" t="s">
        <v>46</v>
      </c>
      <c r="G24611" s="33" t="s">
        <v>140</v>
      </c>
      <c r="H24611" s="35">
        <v>160</v>
      </c>
      <c r="I24611" s="33" t="s">
        <v>51</v>
      </c>
      <c r="J24611" s="42">
        <v>45736</v>
      </c>
      <c r="K24611" s="33" t="s">
        <v>22</v>
      </c>
    </row>
    <row r="24612" spans="1:11">
      <c r="A24612" s="30" t="s">
        <v>54239</v>
      </c>
      <c r="B24612" s="30" t="s">
        <v>54240</v>
      </c>
      <c r="C24612" s="30" t="s">
        <v>6379</v>
      </c>
      <c r="D24612" s="30" t="s">
        <v>17</v>
      </c>
      <c r="E24612" s="30" t="s">
        <v>18</v>
      </c>
      <c r="F24612" s="30" t="s">
        <v>19</v>
      </c>
      <c r="G24612" s="30" t="s">
        <v>140</v>
      </c>
      <c r="H24612" s="32">
        <v>600</v>
      </c>
      <c r="I24612" s="30" t="s">
        <v>51</v>
      </c>
      <c r="J24612" s="41">
        <v>45849</v>
      </c>
      <c r="K24612" s="30" t="s">
        <v>22</v>
      </c>
    </row>
    <row r="24613" spans="1:11">
      <c r="A24613" s="33" t="s">
        <v>54241</v>
      </c>
      <c r="B24613" s="33" t="s">
        <v>54242</v>
      </c>
      <c r="C24613" s="33" t="s">
        <v>54243</v>
      </c>
      <c r="D24613" s="33" t="s">
        <v>17</v>
      </c>
      <c r="E24613" s="33" t="s">
        <v>67</v>
      </c>
      <c r="F24613" s="33" t="s">
        <v>68</v>
      </c>
      <c r="G24613" s="33" t="s">
        <v>140</v>
      </c>
      <c r="H24613" s="35">
        <v>134</v>
      </c>
      <c r="I24613" s="33" t="s">
        <v>51</v>
      </c>
      <c r="J24613" s="42">
        <v>45747</v>
      </c>
      <c r="K24613" s="33" t="s">
        <v>22</v>
      </c>
    </row>
    <row r="24614" spans="1:11">
      <c r="A24614" s="30" t="s">
        <v>54244</v>
      </c>
      <c r="B24614" s="30" t="s">
        <v>54245</v>
      </c>
      <c r="C24614" s="30" t="s">
        <v>30230</v>
      </c>
      <c r="D24614" s="30" t="s">
        <v>17</v>
      </c>
      <c r="E24614" s="30" t="s">
        <v>31</v>
      </c>
      <c r="F24614" s="30" t="s">
        <v>32</v>
      </c>
      <c r="G24614" s="30" t="s">
        <v>140</v>
      </c>
      <c r="H24614" s="32">
        <v>200</v>
      </c>
      <c r="I24614" s="30" t="s">
        <v>51</v>
      </c>
      <c r="J24614" s="41">
        <v>45952</v>
      </c>
      <c r="K24614" s="30" t="s">
        <v>22</v>
      </c>
    </row>
    <row r="24615" spans="1:11">
      <c r="A24615" s="33" t="s">
        <v>54246</v>
      </c>
      <c r="B24615" s="33" t="s">
        <v>54247</v>
      </c>
      <c r="C24615" s="33" t="s">
        <v>3429</v>
      </c>
      <c r="D24615" s="33" t="s">
        <v>17</v>
      </c>
      <c r="E24615" s="33" t="s">
        <v>26</v>
      </c>
      <c r="F24615" s="33" t="s">
        <v>27</v>
      </c>
      <c r="G24615" s="33" t="s">
        <v>20</v>
      </c>
      <c r="H24615" s="35">
        <v>28</v>
      </c>
      <c r="I24615" s="33" t="s">
        <v>21</v>
      </c>
      <c r="J24615" s="42">
        <v>45921</v>
      </c>
      <c r="K24615" s="33" t="s">
        <v>22</v>
      </c>
    </row>
    <row r="24616" spans="1:11">
      <c r="A24616" s="30" t="s">
        <v>54248</v>
      </c>
      <c r="B24616" s="30" t="s">
        <v>54249</v>
      </c>
      <c r="C24616" s="30" t="s">
        <v>647</v>
      </c>
      <c r="D24616" s="30" t="s">
        <v>17</v>
      </c>
      <c r="E24616" s="30" t="s">
        <v>26</v>
      </c>
      <c r="F24616" s="30" t="s">
        <v>27</v>
      </c>
      <c r="G24616" s="30" t="s">
        <v>20</v>
      </c>
      <c r="H24616" s="32">
        <v>14</v>
      </c>
      <c r="I24616" s="30" t="s">
        <v>21</v>
      </c>
      <c r="J24616" s="41">
        <v>45744</v>
      </c>
      <c r="K24616" s="30" t="s">
        <v>22</v>
      </c>
    </row>
    <row r="24617" spans="1:11">
      <c r="A24617" s="33" t="s">
        <v>54250</v>
      </c>
      <c r="B24617" s="33" t="s">
        <v>54251</v>
      </c>
      <c r="C24617" s="33" t="s">
        <v>39363</v>
      </c>
      <c r="D24617" s="33" t="s">
        <v>17</v>
      </c>
      <c r="E24617" s="33" t="s">
        <v>31</v>
      </c>
      <c r="F24617" s="33" t="s">
        <v>32</v>
      </c>
      <c r="G24617" s="33" t="s">
        <v>20</v>
      </c>
      <c r="H24617" s="35">
        <v>169</v>
      </c>
      <c r="I24617" s="33" t="s">
        <v>21</v>
      </c>
      <c r="J24617" s="42">
        <v>45726</v>
      </c>
      <c r="K24617" s="33" t="s">
        <v>22</v>
      </c>
    </row>
    <row r="24618" spans="1:11">
      <c r="A24618" s="30" t="s">
        <v>54252</v>
      </c>
      <c r="B24618" s="30" t="s">
        <v>54253</v>
      </c>
      <c r="C24618" s="30" t="s">
        <v>6833</v>
      </c>
      <c r="D24618" s="30" t="s">
        <v>17</v>
      </c>
      <c r="E24618" s="30" t="s">
        <v>18</v>
      </c>
      <c r="F24618" s="30" t="s">
        <v>19</v>
      </c>
      <c r="G24618" s="30" t="s">
        <v>140</v>
      </c>
      <c r="H24618" s="32">
        <v>260</v>
      </c>
      <c r="I24618" s="30" t="s">
        <v>51</v>
      </c>
      <c r="J24618" s="41">
        <v>45756</v>
      </c>
      <c r="K24618" s="30" t="s">
        <v>22</v>
      </c>
    </row>
    <row r="24619" spans="1:11">
      <c r="A24619" s="33" t="s">
        <v>54254</v>
      </c>
      <c r="B24619" s="33" t="s">
        <v>54255</v>
      </c>
      <c r="C24619" s="33" t="s">
        <v>1085</v>
      </c>
      <c r="D24619" s="33" t="s">
        <v>17</v>
      </c>
      <c r="E24619" s="33" t="s">
        <v>18</v>
      </c>
      <c r="F24619" s="33" t="s">
        <v>19</v>
      </c>
      <c r="G24619" s="33" t="s">
        <v>140</v>
      </c>
      <c r="H24619" s="35">
        <v>400</v>
      </c>
      <c r="I24619" s="33" t="s">
        <v>51</v>
      </c>
      <c r="J24619" s="42">
        <v>45910</v>
      </c>
      <c r="K24619" s="33" t="s">
        <v>22</v>
      </c>
    </row>
    <row r="24620" spans="1:11">
      <c r="A24620" s="30" t="s">
        <v>54256</v>
      </c>
      <c r="B24620" s="30" t="s">
        <v>54257</v>
      </c>
      <c r="C24620" s="30" t="s">
        <v>190</v>
      </c>
      <c r="D24620" s="30" t="s">
        <v>17</v>
      </c>
      <c r="E24620" s="30" t="s">
        <v>18</v>
      </c>
      <c r="F24620" s="30" t="s">
        <v>19</v>
      </c>
      <c r="G24620" s="30" t="s">
        <v>140</v>
      </c>
      <c r="H24620" s="32">
        <v>400</v>
      </c>
      <c r="I24620" s="30" t="s">
        <v>51</v>
      </c>
      <c r="J24620" s="41">
        <v>45744</v>
      </c>
      <c r="K24620" s="30" t="s">
        <v>22</v>
      </c>
    </row>
    <row r="24621" spans="1:11">
      <c r="A24621" s="33" t="s">
        <v>54258</v>
      </c>
      <c r="B24621" s="33" t="s">
        <v>54259</v>
      </c>
      <c r="C24621" s="33" t="s">
        <v>136</v>
      </c>
      <c r="D24621" s="33" t="s">
        <v>17</v>
      </c>
      <c r="E24621" s="33" t="s">
        <v>18</v>
      </c>
      <c r="F24621" s="33" t="s">
        <v>19</v>
      </c>
      <c r="G24621" s="33" t="s">
        <v>140</v>
      </c>
      <c r="H24621" s="35">
        <v>1000</v>
      </c>
      <c r="I24621" s="33" t="s">
        <v>51</v>
      </c>
      <c r="J24621" s="42">
        <v>45930</v>
      </c>
      <c r="K24621" s="33" t="s">
        <v>22</v>
      </c>
    </row>
    <row r="24622" spans="1:11">
      <c r="A24622" s="30" t="s">
        <v>54260</v>
      </c>
      <c r="B24622" s="30" t="s">
        <v>54261</v>
      </c>
      <c r="C24622" s="30" t="s">
        <v>48963</v>
      </c>
      <c r="D24622" s="30" t="s">
        <v>17</v>
      </c>
      <c r="E24622" s="30" t="s">
        <v>31</v>
      </c>
      <c r="F24622" s="30" t="s">
        <v>32</v>
      </c>
      <c r="G24622" s="30" t="s">
        <v>140</v>
      </c>
      <c r="H24622" s="32">
        <v>96</v>
      </c>
      <c r="I24622" s="30" t="s">
        <v>51</v>
      </c>
      <c r="J24622" s="41">
        <v>45961</v>
      </c>
      <c r="K24622" s="30" t="s">
        <v>22</v>
      </c>
    </row>
    <row r="24623" spans="1:11">
      <c r="A24623" s="33" t="s">
        <v>54262</v>
      </c>
      <c r="B24623" s="33" t="s">
        <v>54263</v>
      </c>
      <c r="C24623" s="33" t="s">
        <v>7900</v>
      </c>
      <c r="D24623" s="33" t="s">
        <v>17</v>
      </c>
      <c r="E24623" s="33" t="s">
        <v>26</v>
      </c>
      <c r="F24623" s="33" t="s">
        <v>27</v>
      </c>
      <c r="G24623" s="33" t="s">
        <v>20</v>
      </c>
      <c r="H24623" s="35">
        <v>18</v>
      </c>
      <c r="I24623" s="33" t="s">
        <v>21</v>
      </c>
      <c r="J24623" s="42">
        <v>45740</v>
      </c>
      <c r="K24623" s="33" t="s">
        <v>22</v>
      </c>
    </row>
    <row r="24624" spans="1:11">
      <c r="A24624" s="30" t="s">
        <v>54264</v>
      </c>
      <c r="B24624" s="30" t="s">
        <v>54265</v>
      </c>
      <c r="C24624" s="30" t="s">
        <v>25186</v>
      </c>
      <c r="D24624" s="30" t="s">
        <v>17</v>
      </c>
      <c r="E24624" s="30" t="s">
        <v>26</v>
      </c>
      <c r="F24624" s="30" t="s">
        <v>27</v>
      </c>
      <c r="G24624" s="30" t="s">
        <v>140</v>
      </c>
      <c r="H24624" s="32">
        <v>111</v>
      </c>
      <c r="I24624" s="30" t="s">
        <v>51</v>
      </c>
      <c r="J24624" s="41">
        <v>45924</v>
      </c>
      <c r="K24624" s="30" t="s">
        <v>22</v>
      </c>
    </row>
    <row r="24625" spans="1:11">
      <c r="A24625" s="33" t="s">
        <v>54266</v>
      </c>
      <c r="B24625" s="33" t="s">
        <v>54267</v>
      </c>
      <c r="C24625" s="33" t="s">
        <v>136</v>
      </c>
      <c r="D24625" s="33" t="s">
        <v>17</v>
      </c>
      <c r="E24625" s="33" t="s">
        <v>26</v>
      </c>
      <c r="F24625" s="33" t="s">
        <v>27</v>
      </c>
      <c r="G24625" s="33" t="s">
        <v>20</v>
      </c>
      <c r="H24625" s="35">
        <v>32</v>
      </c>
      <c r="I24625" s="33" t="s">
        <v>21</v>
      </c>
      <c r="J24625" s="42">
        <v>45887</v>
      </c>
      <c r="K24625" s="33" t="s">
        <v>22</v>
      </c>
    </row>
    <row r="24626" spans="1:11">
      <c r="A24626" s="30" t="s">
        <v>54268</v>
      </c>
      <c r="B24626" s="30" t="s">
        <v>54269</v>
      </c>
      <c r="C24626" s="30" t="s">
        <v>252</v>
      </c>
      <c r="D24626" s="30" t="s">
        <v>17</v>
      </c>
      <c r="E24626" s="30" t="s">
        <v>18</v>
      </c>
      <c r="F24626" s="30" t="s">
        <v>19</v>
      </c>
      <c r="G24626" s="30" t="s">
        <v>140</v>
      </c>
      <c r="H24626" s="32">
        <v>536</v>
      </c>
      <c r="I24626" s="30" t="s">
        <v>51</v>
      </c>
      <c r="J24626" s="41">
        <v>45846</v>
      </c>
      <c r="K24626" s="30" t="s">
        <v>22</v>
      </c>
    </row>
    <row r="24627" spans="1:11">
      <c r="A24627" s="33" t="s">
        <v>54270</v>
      </c>
      <c r="B24627" s="33" t="s">
        <v>54271</v>
      </c>
      <c r="C24627" s="33" t="s">
        <v>957</v>
      </c>
      <c r="D24627" s="33" t="s">
        <v>17</v>
      </c>
      <c r="E24627" s="33" t="s">
        <v>26</v>
      </c>
      <c r="F24627" s="33" t="s">
        <v>27</v>
      </c>
      <c r="G24627" s="33" t="s">
        <v>20</v>
      </c>
      <c r="H24627" s="35">
        <v>18</v>
      </c>
      <c r="I24627" s="33" t="s">
        <v>21</v>
      </c>
      <c r="J24627" s="42">
        <v>45911</v>
      </c>
      <c r="K24627" s="33" t="s">
        <v>22</v>
      </c>
    </row>
    <row r="24628" spans="1:11">
      <c r="A24628" s="30" t="s">
        <v>54272</v>
      </c>
      <c r="B24628" s="30" t="s">
        <v>54273</v>
      </c>
      <c r="C24628" s="30" t="s">
        <v>2472</v>
      </c>
      <c r="D24628" s="30" t="s">
        <v>17</v>
      </c>
      <c r="E24628" s="30" t="s">
        <v>31</v>
      </c>
      <c r="F24628" s="30" t="s">
        <v>32</v>
      </c>
      <c r="G24628" s="30" t="s">
        <v>140</v>
      </c>
      <c r="H24628" s="32">
        <v>180</v>
      </c>
      <c r="I24628" s="30" t="s">
        <v>51</v>
      </c>
      <c r="J24628" s="41">
        <v>45763</v>
      </c>
      <c r="K24628" s="30" t="s">
        <v>22</v>
      </c>
    </row>
    <row r="24629" spans="1:11">
      <c r="A24629" s="33" t="s">
        <v>54274</v>
      </c>
      <c r="B24629" s="33" t="s">
        <v>54275</v>
      </c>
      <c r="C24629" s="33" t="s">
        <v>30173</v>
      </c>
      <c r="D24629" s="33" t="s">
        <v>17</v>
      </c>
      <c r="E24629" s="33" t="s">
        <v>330</v>
      </c>
      <c r="F24629" s="33" t="s">
        <v>331</v>
      </c>
      <c r="G24629" s="33" t="s">
        <v>140</v>
      </c>
      <c r="H24629" s="35">
        <v>30</v>
      </c>
      <c r="I24629" s="33" t="s">
        <v>51</v>
      </c>
      <c r="J24629" s="42">
        <v>45700</v>
      </c>
      <c r="K24629" s="33" t="s">
        <v>22</v>
      </c>
    </row>
    <row r="24630" spans="1:11">
      <c r="A24630" s="30" t="s">
        <v>54276</v>
      </c>
      <c r="B24630" s="30" t="s">
        <v>54277</v>
      </c>
      <c r="C24630" s="30" t="s">
        <v>2599</v>
      </c>
      <c r="D24630" s="30" t="s">
        <v>17</v>
      </c>
      <c r="E24630" s="30" t="s">
        <v>31</v>
      </c>
      <c r="F24630" s="30" t="s">
        <v>32</v>
      </c>
      <c r="G24630" s="30" t="s">
        <v>20</v>
      </c>
      <c r="H24630" s="32">
        <v>167</v>
      </c>
      <c r="I24630" s="30" t="s">
        <v>21</v>
      </c>
      <c r="J24630" s="41">
        <v>45723</v>
      </c>
      <c r="K24630" s="30" t="s">
        <v>22</v>
      </c>
    </row>
    <row r="24631" spans="1:11">
      <c r="A24631" s="33" t="s">
        <v>54278</v>
      </c>
      <c r="B24631" s="33" t="s">
        <v>54279</v>
      </c>
      <c r="C24631" s="33" t="s">
        <v>1165</v>
      </c>
      <c r="D24631" s="33" t="s">
        <v>17</v>
      </c>
      <c r="E24631" s="33" t="s">
        <v>26</v>
      </c>
      <c r="F24631" s="33" t="s">
        <v>27</v>
      </c>
      <c r="G24631" s="33" t="s">
        <v>20</v>
      </c>
      <c r="H24631" s="35">
        <v>88</v>
      </c>
      <c r="I24631" s="33" t="s">
        <v>21</v>
      </c>
      <c r="J24631" s="42">
        <v>45758</v>
      </c>
      <c r="K24631" s="33" t="s">
        <v>22</v>
      </c>
    </row>
    <row r="24632" spans="1:11">
      <c r="A24632" s="30" t="s">
        <v>54280</v>
      </c>
      <c r="B24632" s="30" t="s">
        <v>54281</v>
      </c>
      <c r="C24632" s="30" t="s">
        <v>102</v>
      </c>
      <c r="D24632" s="30" t="s">
        <v>17</v>
      </c>
      <c r="E24632" s="30" t="s">
        <v>18</v>
      </c>
      <c r="F24632" s="30" t="s">
        <v>19</v>
      </c>
      <c r="G24632" s="30" t="s">
        <v>140</v>
      </c>
      <c r="H24632" s="32">
        <v>882</v>
      </c>
      <c r="I24632" s="30" t="s">
        <v>51</v>
      </c>
      <c r="J24632" s="41">
        <v>45931</v>
      </c>
      <c r="K24632" s="30" t="s">
        <v>22</v>
      </c>
    </row>
    <row r="24633" spans="1:11">
      <c r="A24633" s="33" t="s">
        <v>54282</v>
      </c>
      <c r="B24633" s="33" t="s">
        <v>54283</v>
      </c>
      <c r="C24633" s="33" t="s">
        <v>20189</v>
      </c>
      <c r="D24633" s="33" t="s">
        <v>17</v>
      </c>
      <c r="E24633" s="33" t="s">
        <v>26</v>
      </c>
      <c r="F24633" s="33" t="s">
        <v>27</v>
      </c>
      <c r="G24633" s="33" t="s">
        <v>69</v>
      </c>
      <c r="H24633" s="35">
        <v>20</v>
      </c>
      <c r="I24633" s="33" t="s">
        <v>51</v>
      </c>
      <c r="J24633" s="42">
        <v>45736</v>
      </c>
      <c r="K24633" s="33" t="s">
        <v>22</v>
      </c>
    </row>
    <row r="24634" spans="1:11">
      <c r="A24634" s="30" t="s">
        <v>54284</v>
      </c>
      <c r="B24634" s="30" t="s">
        <v>54285</v>
      </c>
      <c r="C24634" s="30" t="s">
        <v>46696</v>
      </c>
      <c r="D24634" s="30" t="s">
        <v>17</v>
      </c>
      <c r="E24634" s="30" t="s">
        <v>31</v>
      </c>
      <c r="F24634" s="30" t="s">
        <v>32</v>
      </c>
      <c r="G24634" s="30" t="s">
        <v>140</v>
      </c>
      <c r="H24634" s="32">
        <v>350</v>
      </c>
      <c r="I24634" s="30" t="s">
        <v>51</v>
      </c>
      <c r="J24634" s="41">
        <v>45791</v>
      </c>
      <c r="K24634" s="30" t="s">
        <v>22</v>
      </c>
    </row>
    <row r="24635" spans="1:11">
      <c r="A24635" s="33" t="s">
        <v>54286</v>
      </c>
      <c r="B24635" s="33" t="s">
        <v>54287</v>
      </c>
      <c r="C24635" s="33" t="s">
        <v>30073</v>
      </c>
      <c r="D24635" s="33" t="s">
        <v>17</v>
      </c>
      <c r="E24635" s="33" t="s">
        <v>26</v>
      </c>
      <c r="F24635" s="33" t="s">
        <v>27</v>
      </c>
      <c r="G24635" s="33" t="s">
        <v>140</v>
      </c>
      <c r="H24635" s="35">
        <v>33</v>
      </c>
      <c r="I24635" s="33" t="s">
        <v>51</v>
      </c>
      <c r="J24635" s="42">
        <v>45870</v>
      </c>
      <c r="K24635" s="33" t="s">
        <v>22</v>
      </c>
    </row>
    <row r="24636" spans="1:11">
      <c r="A24636" s="30" t="s">
        <v>54288</v>
      </c>
      <c r="B24636" s="30" t="s">
        <v>54289</v>
      </c>
      <c r="C24636" s="30" t="s">
        <v>93</v>
      </c>
      <c r="D24636" s="30" t="s">
        <v>17</v>
      </c>
      <c r="E24636" s="30" t="s">
        <v>26</v>
      </c>
      <c r="F24636" s="30" t="s">
        <v>27</v>
      </c>
      <c r="G24636" s="30" t="s">
        <v>20</v>
      </c>
      <c r="H24636" s="32">
        <v>9</v>
      </c>
      <c r="I24636" s="30" t="s">
        <v>21</v>
      </c>
      <c r="J24636" s="41">
        <v>45714</v>
      </c>
      <c r="K24636" s="30" t="s">
        <v>22</v>
      </c>
    </row>
    <row r="24637" spans="1:11">
      <c r="A24637" s="33" t="s">
        <v>54290</v>
      </c>
      <c r="B24637" s="33" t="s">
        <v>54291</v>
      </c>
      <c r="C24637" s="33" t="s">
        <v>1571</v>
      </c>
      <c r="D24637" s="33" t="s">
        <v>17</v>
      </c>
      <c r="E24637" s="33" t="s">
        <v>26</v>
      </c>
      <c r="F24637" s="33" t="s">
        <v>27</v>
      </c>
      <c r="G24637" s="33" t="s">
        <v>7780</v>
      </c>
      <c r="H24637" s="35">
        <v>6</v>
      </c>
      <c r="I24637" s="33" t="s">
        <v>51</v>
      </c>
      <c r="J24637" s="42">
        <v>45754</v>
      </c>
      <c r="K24637" s="33" t="s">
        <v>22</v>
      </c>
    </row>
    <row r="24638" spans="1:11">
      <c r="A24638" s="30" t="s">
        <v>54292</v>
      </c>
      <c r="B24638" s="30" t="s">
        <v>54293</v>
      </c>
      <c r="C24638" s="30" t="s">
        <v>187</v>
      </c>
      <c r="D24638" s="30" t="s">
        <v>17</v>
      </c>
      <c r="E24638" s="30" t="s">
        <v>18</v>
      </c>
      <c r="F24638" s="30" t="s">
        <v>19</v>
      </c>
      <c r="G24638" s="30" t="s">
        <v>7780</v>
      </c>
      <c r="H24638" s="32">
        <v>408</v>
      </c>
      <c r="I24638" s="30" t="s">
        <v>51</v>
      </c>
      <c r="J24638" s="41">
        <v>45717</v>
      </c>
      <c r="K24638" s="30" t="s">
        <v>22</v>
      </c>
    </row>
    <row r="24639" spans="1:11">
      <c r="A24639" s="33" t="s">
        <v>54294</v>
      </c>
      <c r="B24639" s="33" t="s">
        <v>54295</v>
      </c>
      <c r="C24639" s="33" t="s">
        <v>49904</v>
      </c>
      <c r="D24639" s="33" t="s">
        <v>17</v>
      </c>
      <c r="E24639" s="33" t="s">
        <v>31</v>
      </c>
      <c r="F24639" s="33" t="s">
        <v>32</v>
      </c>
      <c r="G24639" s="33" t="s">
        <v>158</v>
      </c>
      <c r="H24639" s="35">
        <v>150</v>
      </c>
      <c r="I24639" s="33" t="s">
        <v>21</v>
      </c>
      <c r="J24639" s="42">
        <v>45771</v>
      </c>
      <c r="K24639" s="33" t="s">
        <v>22</v>
      </c>
    </row>
    <row r="24640" spans="1:11">
      <c r="A24640" s="30" t="s">
        <v>54296</v>
      </c>
      <c r="B24640" s="30" t="s">
        <v>54297</v>
      </c>
      <c r="C24640" s="30" t="s">
        <v>3775</v>
      </c>
      <c r="D24640" s="30" t="s">
        <v>17</v>
      </c>
      <c r="E24640" s="30" t="s">
        <v>26</v>
      </c>
      <c r="F24640" s="30" t="s">
        <v>27</v>
      </c>
      <c r="G24640" s="30" t="s">
        <v>140</v>
      </c>
      <c r="H24640" s="32">
        <v>24</v>
      </c>
      <c r="I24640" s="30" t="s">
        <v>51</v>
      </c>
      <c r="J24640" s="41">
        <v>45825</v>
      </c>
      <c r="K24640" s="30" t="s">
        <v>22</v>
      </c>
    </row>
    <row r="24641" spans="1:11">
      <c r="A24641" s="33" t="s">
        <v>54298</v>
      </c>
      <c r="B24641" s="33" t="s">
        <v>54299</v>
      </c>
      <c r="C24641" s="33" t="s">
        <v>75</v>
      </c>
      <c r="D24641" s="33" t="s">
        <v>17</v>
      </c>
      <c r="E24641" s="33" t="s">
        <v>26</v>
      </c>
      <c r="F24641" s="33" t="s">
        <v>27</v>
      </c>
      <c r="G24641" s="33" t="s">
        <v>140</v>
      </c>
      <c r="H24641" s="35">
        <v>140</v>
      </c>
      <c r="I24641" s="33" t="s">
        <v>51</v>
      </c>
      <c r="J24641" s="42">
        <v>45973</v>
      </c>
      <c r="K24641" s="33" t="s">
        <v>22</v>
      </c>
    </row>
    <row r="24642" spans="1:11">
      <c r="A24642" s="30" t="s">
        <v>54300</v>
      </c>
      <c r="B24642" s="30" t="s">
        <v>54301</v>
      </c>
      <c r="C24642" s="30" t="s">
        <v>647</v>
      </c>
      <c r="D24642" s="30" t="s">
        <v>17</v>
      </c>
      <c r="E24642" s="30" t="s">
        <v>31</v>
      </c>
      <c r="F24642" s="30" t="s">
        <v>32</v>
      </c>
      <c r="G24642" s="30" t="s">
        <v>140</v>
      </c>
      <c r="H24642" s="32">
        <v>372</v>
      </c>
      <c r="I24642" s="30" t="s">
        <v>51</v>
      </c>
      <c r="J24642" s="41">
        <v>45736</v>
      </c>
      <c r="K24642" s="30" t="s">
        <v>22</v>
      </c>
    </row>
    <row r="24643" spans="1:11">
      <c r="A24643" s="33" t="s">
        <v>54302</v>
      </c>
      <c r="B24643" s="33" t="s">
        <v>54303</v>
      </c>
      <c r="C24643" s="33" t="s">
        <v>54304</v>
      </c>
      <c r="D24643" s="33" t="s">
        <v>17</v>
      </c>
      <c r="E24643" s="33" t="s">
        <v>26</v>
      </c>
      <c r="F24643" s="33" t="s">
        <v>27</v>
      </c>
      <c r="G24643" s="33" t="s">
        <v>140</v>
      </c>
      <c r="H24643" s="35">
        <v>56</v>
      </c>
      <c r="I24643" s="33" t="s">
        <v>51</v>
      </c>
      <c r="J24643" s="42">
        <v>45975</v>
      </c>
      <c r="K24643" s="33" t="s">
        <v>22</v>
      </c>
    </row>
    <row r="24644" spans="1:11">
      <c r="A24644" s="30" t="s">
        <v>54305</v>
      </c>
      <c r="B24644" s="30" t="s">
        <v>54306</v>
      </c>
      <c r="C24644" s="30" t="s">
        <v>969</v>
      </c>
      <c r="D24644" s="30" t="s">
        <v>17</v>
      </c>
      <c r="E24644" s="30" t="s">
        <v>67</v>
      </c>
      <c r="F24644" s="30" t="s">
        <v>68</v>
      </c>
      <c r="G24644" s="30" t="s">
        <v>158</v>
      </c>
      <c r="H24644" s="32">
        <v>83</v>
      </c>
      <c r="I24644" s="30" t="s">
        <v>51</v>
      </c>
      <c r="J24644" s="41">
        <v>45722</v>
      </c>
      <c r="K24644" s="30" t="s">
        <v>22</v>
      </c>
    </row>
    <row r="24645" spans="1:11">
      <c r="A24645" s="33" t="s">
        <v>54307</v>
      </c>
      <c r="B24645" s="33" t="s">
        <v>54308</v>
      </c>
      <c r="C24645" s="33" t="s">
        <v>353</v>
      </c>
      <c r="D24645" s="33" t="s">
        <v>17</v>
      </c>
      <c r="E24645" s="33" t="s">
        <v>18</v>
      </c>
      <c r="F24645" s="33" t="s">
        <v>19</v>
      </c>
      <c r="G24645" s="33" t="s">
        <v>7780</v>
      </c>
      <c r="H24645" s="35">
        <v>110</v>
      </c>
      <c r="I24645" s="33" t="s">
        <v>51</v>
      </c>
      <c r="J24645" s="42">
        <v>45992</v>
      </c>
      <c r="K24645" s="33" t="s">
        <v>22</v>
      </c>
    </row>
    <row r="24646" spans="1:11">
      <c r="A24646" s="30" t="s">
        <v>54309</v>
      </c>
      <c r="B24646" s="30" t="s">
        <v>54310</v>
      </c>
      <c r="C24646" s="30" t="s">
        <v>41197</v>
      </c>
      <c r="D24646" s="30" t="s">
        <v>17</v>
      </c>
      <c r="E24646" s="30" t="s">
        <v>31</v>
      </c>
      <c r="F24646" s="30" t="s">
        <v>32</v>
      </c>
      <c r="G24646" s="30" t="s">
        <v>7780</v>
      </c>
      <c r="H24646" s="32">
        <v>86</v>
      </c>
      <c r="I24646" s="30" t="s">
        <v>51</v>
      </c>
      <c r="J24646" s="41">
        <v>45658</v>
      </c>
      <c r="K24646" s="30" t="s">
        <v>22</v>
      </c>
    </row>
    <row r="24647" spans="1:11">
      <c r="A24647" s="33" t="s">
        <v>54311</v>
      </c>
      <c r="B24647" s="33" t="s">
        <v>54312</v>
      </c>
      <c r="C24647" s="33" t="s">
        <v>39926</v>
      </c>
      <c r="D24647" s="33" t="s">
        <v>17</v>
      </c>
      <c r="E24647" s="33" t="s">
        <v>26</v>
      </c>
      <c r="F24647" s="33" t="s">
        <v>27</v>
      </c>
      <c r="G24647" s="33" t="s">
        <v>140</v>
      </c>
      <c r="H24647" s="35">
        <v>24</v>
      </c>
      <c r="I24647" s="33" t="s">
        <v>51</v>
      </c>
      <c r="J24647" s="42">
        <v>45841</v>
      </c>
      <c r="K24647" s="33" t="s">
        <v>22</v>
      </c>
    </row>
    <row r="24648" spans="1:11">
      <c r="A24648" s="30" t="s">
        <v>54313</v>
      </c>
      <c r="B24648" s="30" t="s">
        <v>54314</v>
      </c>
      <c r="C24648" s="30" t="s">
        <v>969</v>
      </c>
      <c r="D24648" s="30" t="s">
        <v>17</v>
      </c>
      <c r="E24648" s="30" t="s">
        <v>31</v>
      </c>
      <c r="F24648" s="30" t="s">
        <v>32</v>
      </c>
      <c r="G24648" s="30" t="s">
        <v>140</v>
      </c>
      <c r="H24648" s="32">
        <v>68</v>
      </c>
      <c r="I24648" s="30" t="s">
        <v>51</v>
      </c>
      <c r="J24648" s="41">
        <v>45716</v>
      </c>
      <c r="K24648" s="30" t="s">
        <v>22</v>
      </c>
    </row>
    <row r="24649" spans="1:11">
      <c r="A24649" s="33" t="s">
        <v>54315</v>
      </c>
      <c r="B24649" s="33" t="s">
        <v>54316</v>
      </c>
      <c r="C24649" s="33" t="s">
        <v>47652</v>
      </c>
      <c r="D24649" s="33" t="s">
        <v>17</v>
      </c>
      <c r="E24649" s="33" t="s">
        <v>26</v>
      </c>
      <c r="F24649" s="33" t="s">
        <v>27</v>
      </c>
      <c r="G24649" s="33" t="s">
        <v>140</v>
      </c>
      <c r="H24649" s="35">
        <v>72</v>
      </c>
      <c r="I24649" s="33" t="s">
        <v>51</v>
      </c>
      <c r="J24649" s="42">
        <v>45733</v>
      </c>
      <c r="K24649" s="33" t="s">
        <v>22</v>
      </c>
    </row>
    <row r="24650" spans="1:11">
      <c r="A24650" s="30" t="s">
        <v>54317</v>
      </c>
      <c r="B24650" s="30" t="s">
        <v>54318</v>
      </c>
      <c r="C24650" s="30" t="s">
        <v>7072</v>
      </c>
      <c r="D24650" s="30" t="s">
        <v>17</v>
      </c>
      <c r="E24650" s="30" t="s">
        <v>18</v>
      </c>
      <c r="F24650" s="30" t="s">
        <v>19</v>
      </c>
      <c r="G24650" s="30" t="s">
        <v>140</v>
      </c>
      <c r="H24650" s="32">
        <v>430</v>
      </c>
      <c r="I24650" s="30" t="s">
        <v>51</v>
      </c>
      <c r="J24650" s="41">
        <v>45856</v>
      </c>
      <c r="K24650" s="30" t="s">
        <v>22</v>
      </c>
    </row>
    <row r="24651" spans="1:11">
      <c r="A24651" s="33" t="s">
        <v>54319</v>
      </c>
      <c r="B24651" s="33" t="s">
        <v>54320</v>
      </c>
      <c r="C24651" s="33" t="s">
        <v>54321</v>
      </c>
      <c r="D24651" s="33" t="s">
        <v>17</v>
      </c>
      <c r="E24651" s="33" t="s">
        <v>67</v>
      </c>
      <c r="F24651" s="33" t="s">
        <v>68</v>
      </c>
      <c r="G24651" s="33" t="s">
        <v>140</v>
      </c>
      <c r="H24651" s="35">
        <v>57</v>
      </c>
      <c r="I24651" s="33" t="s">
        <v>51</v>
      </c>
      <c r="J24651" s="42">
        <v>45699</v>
      </c>
      <c r="K24651" s="33" t="s">
        <v>22</v>
      </c>
    </row>
    <row r="24652" spans="1:11">
      <c r="A24652" s="30" t="s">
        <v>54322</v>
      </c>
      <c r="B24652" s="30" t="s">
        <v>54323</v>
      </c>
      <c r="C24652" s="30" t="s">
        <v>54324</v>
      </c>
      <c r="D24652" s="30" t="s">
        <v>17</v>
      </c>
      <c r="E24652" s="30" t="s">
        <v>31</v>
      </c>
      <c r="F24652" s="30" t="s">
        <v>32</v>
      </c>
      <c r="G24652" s="30" t="s">
        <v>7780</v>
      </c>
      <c r="H24652" s="32">
        <v>120</v>
      </c>
      <c r="I24652" s="30" t="s">
        <v>51</v>
      </c>
      <c r="J24652" s="41">
        <v>45992</v>
      </c>
      <c r="K24652" s="30" t="s">
        <v>22</v>
      </c>
    </row>
    <row r="24653" spans="1:11">
      <c r="A24653" s="33" t="s">
        <v>54325</v>
      </c>
      <c r="B24653" s="33" t="s">
        <v>54326</v>
      </c>
      <c r="C24653" s="33" t="s">
        <v>190</v>
      </c>
      <c r="D24653" s="33" t="s">
        <v>17</v>
      </c>
      <c r="E24653" s="33" t="s">
        <v>31</v>
      </c>
      <c r="F24653" s="33" t="s">
        <v>32</v>
      </c>
      <c r="G24653" s="33" t="s">
        <v>140</v>
      </c>
      <c r="H24653" s="35">
        <v>55</v>
      </c>
      <c r="I24653" s="33" t="s">
        <v>51</v>
      </c>
      <c r="J24653" s="42">
        <v>45905</v>
      </c>
      <c r="K24653" s="33" t="s">
        <v>22</v>
      </c>
    </row>
    <row r="24654" spans="1:11">
      <c r="A24654" s="30" t="s">
        <v>54327</v>
      </c>
      <c r="B24654" s="30" t="s">
        <v>54328</v>
      </c>
      <c r="C24654" s="30" t="s">
        <v>54329</v>
      </c>
      <c r="D24654" s="30" t="s">
        <v>17</v>
      </c>
      <c r="E24654" s="30" t="s">
        <v>26</v>
      </c>
      <c r="F24654" s="30" t="s">
        <v>27</v>
      </c>
      <c r="G24654" s="30" t="s">
        <v>2613</v>
      </c>
      <c r="H24654" s="32">
        <v>149</v>
      </c>
      <c r="I24654" s="30" t="s">
        <v>51</v>
      </c>
      <c r="J24654" s="41">
        <v>45978</v>
      </c>
      <c r="K24654" s="30" t="s">
        <v>22</v>
      </c>
    </row>
    <row r="24655" spans="1:11">
      <c r="A24655" s="33" t="s">
        <v>54330</v>
      </c>
      <c r="B24655" s="33" t="s">
        <v>54331</v>
      </c>
      <c r="C24655" s="33" t="s">
        <v>203</v>
      </c>
      <c r="D24655" s="33" t="s">
        <v>17</v>
      </c>
      <c r="E24655" s="33" t="s">
        <v>31</v>
      </c>
      <c r="F24655" s="33" t="s">
        <v>32</v>
      </c>
      <c r="G24655" s="33" t="s">
        <v>140</v>
      </c>
      <c r="H24655" s="35">
        <v>30</v>
      </c>
      <c r="I24655" s="33" t="s">
        <v>51</v>
      </c>
      <c r="J24655" s="42">
        <v>45902</v>
      </c>
      <c r="K24655" s="33" t="s">
        <v>22</v>
      </c>
    </row>
    <row r="24656" spans="1:11">
      <c r="A24656" s="30" t="s">
        <v>54332</v>
      </c>
      <c r="B24656" s="30" t="s">
        <v>54333</v>
      </c>
      <c r="C24656" s="30" t="s">
        <v>14766</v>
      </c>
      <c r="D24656" s="30" t="s">
        <v>17</v>
      </c>
      <c r="E24656" s="30" t="s">
        <v>26</v>
      </c>
      <c r="F24656" s="30" t="s">
        <v>27</v>
      </c>
      <c r="G24656" s="30" t="s">
        <v>140</v>
      </c>
      <c r="H24656" s="32">
        <v>34</v>
      </c>
      <c r="I24656" s="30" t="s">
        <v>51</v>
      </c>
      <c r="J24656" s="41">
        <v>45689</v>
      </c>
      <c r="K24656" s="30" t="s">
        <v>22</v>
      </c>
    </row>
    <row r="24657" spans="1:11">
      <c r="A24657" s="33" t="s">
        <v>54334</v>
      </c>
      <c r="B24657" s="33" t="s">
        <v>54335</v>
      </c>
      <c r="C24657" s="33" t="s">
        <v>3296</v>
      </c>
      <c r="D24657" s="33" t="s">
        <v>17</v>
      </c>
      <c r="E24657" s="33" t="s">
        <v>26</v>
      </c>
      <c r="F24657" s="33" t="s">
        <v>27</v>
      </c>
      <c r="G24657" s="33" t="s">
        <v>20</v>
      </c>
      <c r="H24657" s="35">
        <v>40</v>
      </c>
      <c r="I24657" s="33" t="s">
        <v>21</v>
      </c>
      <c r="J24657" s="42">
        <v>45968</v>
      </c>
      <c r="K24657" s="33" t="s">
        <v>22</v>
      </c>
    </row>
    <row r="24658" spans="1:11">
      <c r="A24658" s="30" t="s">
        <v>54336</v>
      </c>
      <c r="B24658" s="30" t="s">
        <v>54337</v>
      </c>
      <c r="C24658" s="30" t="s">
        <v>13864</v>
      </c>
      <c r="D24658" s="30" t="s">
        <v>17</v>
      </c>
      <c r="E24658" s="30" t="s">
        <v>18</v>
      </c>
      <c r="F24658" s="30" t="s">
        <v>19</v>
      </c>
      <c r="G24658" s="30" t="s">
        <v>140</v>
      </c>
      <c r="H24658" s="32">
        <v>70</v>
      </c>
      <c r="I24658" s="30" t="s">
        <v>51</v>
      </c>
      <c r="J24658" s="41">
        <v>45875</v>
      </c>
      <c r="K24658" s="30" t="s">
        <v>22</v>
      </c>
    </row>
    <row r="24659" spans="1:11">
      <c r="A24659" s="33" t="s">
        <v>54338</v>
      </c>
      <c r="B24659" s="33" t="s">
        <v>54339</v>
      </c>
      <c r="C24659" s="33" t="s">
        <v>187</v>
      </c>
      <c r="D24659" s="33" t="s">
        <v>17</v>
      </c>
      <c r="E24659" s="33" t="s">
        <v>31</v>
      </c>
      <c r="F24659" s="33" t="s">
        <v>32</v>
      </c>
      <c r="G24659" s="33" t="s">
        <v>7780</v>
      </c>
      <c r="H24659" s="35">
        <v>120</v>
      </c>
      <c r="I24659" s="33" t="s">
        <v>51</v>
      </c>
      <c r="J24659" s="42">
        <v>45717</v>
      </c>
      <c r="K24659" s="33" t="s">
        <v>22</v>
      </c>
    </row>
    <row r="24660" spans="1:11">
      <c r="A24660" s="30" t="s">
        <v>54340</v>
      </c>
      <c r="B24660" s="30" t="s">
        <v>54341</v>
      </c>
      <c r="C24660" s="30" t="s">
        <v>29688</v>
      </c>
      <c r="D24660" s="30" t="s">
        <v>17</v>
      </c>
      <c r="E24660" s="30" t="s">
        <v>18</v>
      </c>
      <c r="F24660" s="30" t="s">
        <v>19</v>
      </c>
      <c r="G24660" s="30" t="s">
        <v>7780</v>
      </c>
      <c r="H24660" s="32">
        <v>728</v>
      </c>
      <c r="I24660" s="30" t="s">
        <v>51</v>
      </c>
      <c r="J24660" s="41">
        <v>45870</v>
      </c>
      <c r="K24660" s="30" t="s">
        <v>22</v>
      </c>
    </row>
    <row r="24661" spans="1:11">
      <c r="A24661" s="33" t="s">
        <v>54342</v>
      </c>
      <c r="B24661" s="33" t="s">
        <v>54343</v>
      </c>
      <c r="C24661" s="33" t="s">
        <v>203</v>
      </c>
      <c r="D24661" s="33" t="s">
        <v>17</v>
      </c>
      <c r="E24661" s="33" t="s">
        <v>18</v>
      </c>
      <c r="F24661" s="33" t="s">
        <v>19</v>
      </c>
      <c r="G24661" s="33" t="s">
        <v>140</v>
      </c>
      <c r="H24661" s="35">
        <v>942</v>
      </c>
      <c r="I24661" s="33" t="s">
        <v>51</v>
      </c>
      <c r="J24661" s="42">
        <v>45917</v>
      </c>
      <c r="K24661" s="33" t="s">
        <v>22</v>
      </c>
    </row>
    <row r="24662" spans="1:11">
      <c r="A24662" s="30" t="s">
        <v>54344</v>
      </c>
      <c r="B24662" s="30" t="s">
        <v>54345</v>
      </c>
      <c r="C24662" s="30" t="s">
        <v>75</v>
      </c>
      <c r="D24662" s="30" t="s">
        <v>17</v>
      </c>
      <c r="E24662" s="30" t="s">
        <v>26</v>
      </c>
      <c r="F24662" s="30" t="s">
        <v>27</v>
      </c>
      <c r="G24662" s="30" t="s">
        <v>20</v>
      </c>
      <c r="H24662" s="32">
        <v>42</v>
      </c>
      <c r="I24662" s="30" t="s">
        <v>21</v>
      </c>
      <c r="J24662" s="41">
        <v>45698</v>
      </c>
      <c r="K24662" s="30" t="s">
        <v>22</v>
      </c>
    </row>
    <row r="24663" spans="1:11">
      <c r="A24663" s="33" t="s">
        <v>54346</v>
      </c>
      <c r="B24663" s="33" t="s">
        <v>54347</v>
      </c>
      <c r="C24663" s="33" t="s">
        <v>54348</v>
      </c>
      <c r="D24663" s="33" t="s">
        <v>17</v>
      </c>
      <c r="E24663" s="33" t="s">
        <v>18</v>
      </c>
      <c r="F24663" s="33" t="s">
        <v>19</v>
      </c>
      <c r="G24663" s="33" t="s">
        <v>158</v>
      </c>
      <c r="H24663" s="35">
        <v>150</v>
      </c>
      <c r="I24663" s="33" t="s">
        <v>51</v>
      </c>
      <c r="J24663" s="42">
        <v>45734</v>
      </c>
      <c r="K24663" s="33" t="s">
        <v>22</v>
      </c>
    </row>
    <row r="24664" spans="1:11">
      <c r="A24664" s="30" t="s">
        <v>54349</v>
      </c>
      <c r="B24664" s="30" t="s">
        <v>54350</v>
      </c>
      <c r="C24664" s="30" t="s">
        <v>45855</v>
      </c>
      <c r="D24664" s="30" t="s">
        <v>17</v>
      </c>
      <c r="E24664" s="30" t="s">
        <v>31</v>
      </c>
      <c r="F24664" s="30" t="s">
        <v>32</v>
      </c>
      <c r="G24664" s="30" t="s">
        <v>140</v>
      </c>
      <c r="H24664" s="32">
        <v>20</v>
      </c>
      <c r="I24664" s="30" t="s">
        <v>51</v>
      </c>
      <c r="J24664" s="41">
        <v>46014</v>
      </c>
      <c r="K24664" s="30" t="s">
        <v>22</v>
      </c>
    </row>
    <row r="24665" spans="1:11">
      <c r="A24665" s="33" t="s">
        <v>54351</v>
      </c>
      <c r="B24665" s="33" t="s">
        <v>54352</v>
      </c>
      <c r="C24665" s="33" t="s">
        <v>4348</v>
      </c>
      <c r="D24665" s="33" t="s">
        <v>17</v>
      </c>
      <c r="E24665" s="33" t="s">
        <v>18</v>
      </c>
      <c r="F24665" s="33" t="s">
        <v>19</v>
      </c>
      <c r="G24665" s="33" t="s">
        <v>140</v>
      </c>
      <c r="H24665" s="35">
        <v>490</v>
      </c>
      <c r="I24665" s="33" t="s">
        <v>51</v>
      </c>
      <c r="J24665" s="42">
        <v>45924</v>
      </c>
      <c r="K24665" s="33" t="s">
        <v>22</v>
      </c>
    </row>
    <row r="24666" spans="1:11">
      <c r="A24666" s="30" t="s">
        <v>54353</v>
      </c>
      <c r="B24666" s="30" t="s">
        <v>54354</v>
      </c>
      <c r="C24666" s="30" t="s">
        <v>16755</v>
      </c>
      <c r="D24666" s="30" t="s">
        <v>17</v>
      </c>
      <c r="E24666" s="30" t="s">
        <v>26</v>
      </c>
      <c r="F24666" s="30" t="s">
        <v>27</v>
      </c>
      <c r="G24666" s="30" t="s">
        <v>140</v>
      </c>
      <c r="H24666" s="32">
        <v>20</v>
      </c>
      <c r="I24666" s="30" t="s">
        <v>51</v>
      </c>
      <c r="J24666" s="41">
        <v>45926</v>
      </c>
      <c r="K24666" s="30" t="s">
        <v>22</v>
      </c>
    </row>
    <row r="24667" spans="1:11">
      <c r="A24667" s="33" t="s">
        <v>54355</v>
      </c>
      <c r="B24667" s="33" t="s">
        <v>54356</v>
      </c>
      <c r="C24667" s="33" t="s">
        <v>3676</v>
      </c>
      <c r="D24667" s="33" t="s">
        <v>17</v>
      </c>
      <c r="E24667" s="33" t="s">
        <v>31</v>
      </c>
      <c r="F24667" s="33" t="s">
        <v>32</v>
      </c>
      <c r="G24667" s="33" t="s">
        <v>158</v>
      </c>
      <c r="H24667" s="35">
        <v>90</v>
      </c>
      <c r="I24667" s="33" t="s">
        <v>51</v>
      </c>
      <c r="J24667" s="42">
        <v>45806</v>
      </c>
      <c r="K24667" s="33" t="s">
        <v>22</v>
      </c>
    </row>
    <row r="24668" spans="1:11">
      <c r="A24668" s="30" t="s">
        <v>54357</v>
      </c>
      <c r="B24668" s="30" t="s">
        <v>54358</v>
      </c>
      <c r="C24668" s="30" t="s">
        <v>54359</v>
      </c>
      <c r="D24668" s="30" t="s">
        <v>17</v>
      </c>
      <c r="E24668" s="30" t="s">
        <v>26</v>
      </c>
      <c r="F24668" s="30" t="s">
        <v>27</v>
      </c>
      <c r="G24668" s="30" t="s">
        <v>20</v>
      </c>
      <c r="H24668" s="32">
        <v>40</v>
      </c>
      <c r="I24668" s="30" t="s">
        <v>21</v>
      </c>
      <c r="J24668" s="41">
        <v>45839</v>
      </c>
      <c r="K24668" s="30" t="s">
        <v>22</v>
      </c>
    </row>
    <row r="24669" spans="1:11">
      <c r="A24669" s="33" t="s">
        <v>54360</v>
      </c>
      <c r="B24669" s="33" t="s">
        <v>54361</v>
      </c>
      <c r="C24669" s="33" t="s">
        <v>25044</v>
      </c>
      <c r="D24669" s="33" t="s">
        <v>17</v>
      </c>
      <c r="E24669" s="33" t="s">
        <v>31</v>
      </c>
      <c r="F24669" s="33" t="s">
        <v>32</v>
      </c>
      <c r="G24669" s="33" t="s">
        <v>140</v>
      </c>
      <c r="H24669" s="35">
        <v>45</v>
      </c>
      <c r="I24669" s="33" t="s">
        <v>51</v>
      </c>
      <c r="J24669" s="42">
        <v>45897</v>
      </c>
      <c r="K24669" s="33" t="s">
        <v>22</v>
      </c>
    </row>
    <row r="24670" spans="1:11">
      <c r="A24670" s="30" t="s">
        <v>54362</v>
      </c>
      <c r="B24670" s="30" t="s">
        <v>54363</v>
      </c>
      <c r="C24670" s="30" t="s">
        <v>54364</v>
      </c>
      <c r="D24670" s="30" t="s">
        <v>17</v>
      </c>
      <c r="E24670" s="30" t="s">
        <v>26</v>
      </c>
      <c r="F24670" s="30" t="s">
        <v>27</v>
      </c>
      <c r="G24670" s="30" t="s">
        <v>7780</v>
      </c>
      <c r="H24670" s="32">
        <v>48</v>
      </c>
      <c r="I24670" s="30" t="s">
        <v>51</v>
      </c>
      <c r="J24670" s="41">
        <v>45748</v>
      </c>
      <c r="K24670" s="30" t="s">
        <v>22</v>
      </c>
    </row>
    <row r="24671" spans="1:11">
      <c r="A24671" s="33" t="s">
        <v>54365</v>
      </c>
      <c r="B24671" s="33" t="s">
        <v>54366</v>
      </c>
      <c r="C24671" s="33" t="s">
        <v>252</v>
      </c>
      <c r="D24671" s="33" t="s">
        <v>17</v>
      </c>
      <c r="E24671" s="33" t="s">
        <v>26</v>
      </c>
      <c r="F24671" s="33" t="s">
        <v>27</v>
      </c>
      <c r="G24671" s="33" t="s">
        <v>140</v>
      </c>
      <c r="H24671" s="35">
        <v>100</v>
      </c>
      <c r="I24671" s="33" t="s">
        <v>51</v>
      </c>
      <c r="J24671" s="42">
        <v>45712</v>
      </c>
      <c r="K24671" s="33" t="s">
        <v>22</v>
      </c>
    </row>
    <row r="24672" spans="1:11">
      <c r="A24672" s="30" t="s">
        <v>54367</v>
      </c>
      <c r="B24672" s="30" t="s">
        <v>54368</v>
      </c>
      <c r="C24672" s="30" t="s">
        <v>13241</v>
      </c>
      <c r="D24672" s="30" t="s">
        <v>17</v>
      </c>
      <c r="E24672" s="30" t="s">
        <v>31</v>
      </c>
      <c r="F24672" s="30" t="s">
        <v>32</v>
      </c>
      <c r="G24672" s="30" t="s">
        <v>140</v>
      </c>
      <c r="H24672" s="32">
        <v>300</v>
      </c>
      <c r="I24672" s="30" t="s">
        <v>51</v>
      </c>
      <c r="J24672" s="41">
        <v>45985</v>
      </c>
      <c r="K24672" s="30" t="s">
        <v>22</v>
      </c>
    </row>
    <row r="24673" spans="1:11">
      <c r="A24673" s="33" t="s">
        <v>54369</v>
      </c>
      <c r="B24673" s="33" t="s">
        <v>54370</v>
      </c>
      <c r="C24673" s="33" t="s">
        <v>54371</v>
      </c>
      <c r="D24673" s="33" t="s">
        <v>17</v>
      </c>
      <c r="E24673" s="33" t="s">
        <v>26</v>
      </c>
      <c r="F24673" s="33" t="s">
        <v>27</v>
      </c>
      <c r="G24673" s="33" t="s">
        <v>20</v>
      </c>
      <c r="H24673" s="35">
        <v>376</v>
      </c>
      <c r="I24673" s="33" t="s">
        <v>21</v>
      </c>
      <c r="J24673" s="42">
        <v>45792</v>
      </c>
      <c r="K24673" s="33" t="s">
        <v>22</v>
      </c>
    </row>
    <row r="24674" spans="1:11">
      <c r="A24674" s="30" t="s">
        <v>54372</v>
      </c>
      <c r="B24674" s="30" t="s">
        <v>54373</v>
      </c>
      <c r="C24674" s="30" t="s">
        <v>35237</v>
      </c>
      <c r="D24674" s="30" t="s">
        <v>17</v>
      </c>
      <c r="E24674" s="30" t="s">
        <v>26</v>
      </c>
      <c r="F24674" s="30" t="s">
        <v>27</v>
      </c>
      <c r="G24674" s="30" t="s">
        <v>20</v>
      </c>
      <c r="H24674" s="32">
        <v>32</v>
      </c>
      <c r="I24674" s="30" t="s">
        <v>21</v>
      </c>
      <c r="J24674" s="41">
        <v>45858</v>
      </c>
      <c r="K24674" s="30" t="s">
        <v>22</v>
      </c>
    </row>
    <row r="24675" spans="1:11">
      <c r="A24675" s="33" t="s">
        <v>54374</v>
      </c>
      <c r="B24675" s="33" t="s">
        <v>54375</v>
      </c>
      <c r="C24675" s="33" t="s">
        <v>136</v>
      </c>
      <c r="D24675" s="33" t="s">
        <v>17</v>
      </c>
      <c r="E24675" s="33" t="s">
        <v>26</v>
      </c>
      <c r="F24675" s="33" t="s">
        <v>27</v>
      </c>
      <c r="G24675" s="33" t="s">
        <v>140</v>
      </c>
      <c r="H24675" s="35">
        <v>104</v>
      </c>
      <c r="I24675" s="33" t="s">
        <v>51</v>
      </c>
      <c r="J24675" s="42">
        <v>45790</v>
      </c>
      <c r="K24675" s="33" t="s">
        <v>22</v>
      </c>
    </row>
    <row r="24676" spans="1:11">
      <c r="A24676" s="30" t="s">
        <v>54376</v>
      </c>
      <c r="B24676" s="30" t="s">
        <v>54377</v>
      </c>
      <c r="C24676" s="30" t="s">
        <v>190</v>
      </c>
      <c r="D24676" s="30" t="s">
        <v>17</v>
      </c>
      <c r="E24676" s="30" t="s">
        <v>18</v>
      </c>
      <c r="F24676" s="30" t="s">
        <v>19</v>
      </c>
      <c r="G24676" s="30" t="s">
        <v>140</v>
      </c>
      <c r="H24676" s="32">
        <v>14</v>
      </c>
      <c r="I24676" s="30" t="s">
        <v>51</v>
      </c>
      <c r="J24676" s="41">
        <v>45764</v>
      </c>
      <c r="K24676" s="30" t="s">
        <v>22</v>
      </c>
    </row>
    <row r="24677" spans="1:11">
      <c r="A24677" s="33" t="s">
        <v>54378</v>
      </c>
      <c r="B24677" s="33" t="s">
        <v>54379</v>
      </c>
      <c r="C24677" s="33" t="s">
        <v>647</v>
      </c>
      <c r="D24677" s="33" t="s">
        <v>17</v>
      </c>
      <c r="E24677" s="33" t="s">
        <v>31</v>
      </c>
      <c r="F24677" s="33" t="s">
        <v>32</v>
      </c>
      <c r="G24677" s="33" t="s">
        <v>140</v>
      </c>
      <c r="H24677" s="35">
        <v>340</v>
      </c>
      <c r="I24677" s="33" t="s">
        <v>51</v>
      </c>
      <c r="J24677" s="42">
        <v>45854</v>
      </c>
      <c r="K24677" s="33" t="s">
        <v>22</v>
      </c>
    </row>
    <row r="24678" spans="1:11">
      <c r="A24678" s="30" t="s">
        <v>54380</v>
      </c>
      <c r="B24678" s="30" t="s">
        <v>54381</v>
      </c>
      <c r="C24678" s="30" t="s">
        <v>570</v>
      </c>
      <c r="D24678" s="30" t="s">
        <v>17</v>
      </c>
      <c r="E24678" s="30" t="s">
        <v>26</v>
      </c>
      <c r="F24678" s="30" t="s">
        <v>27</v>
      </c>
      <c r="G24678" s="30" t="s">
        <v>7780</v>
      </c>
      <c r="H24678" s="32">
        <v>149</v>
      </c>
      <c r="I24678" s="30" t="s">
        <v>51</v>
      </c>
      <c r="J24678" s="41">
        <v>45748</v>
      </c>
      <c r="K24678" s="30" t="s">
        <v>22</v>
      </c>
    </row>
    <row r="24679" spans="1:11">
      <c r="A24679" s="33" t="s">
        <v>54382</v>
      </c>
      <c r="B24679" s="33" t="s">
        <v>54383</v>
      </c>
      <c r="C24679" s="33" t="s">
        <v>2739</v>
      </c>
      <c r="D24679" s="33" t="s">
        <v>17</v>
      </c>
      <c r="E24679" s="33" t="s">
        <v>26</v>
      </c>
      <c r="F24679" s="33" t="s">
        <v>27</v>
      </c>
      <c r="G24679" s="33" t="s">
        <v>20</v>
      </c>
      <c r="H24679" s="35">
        <v>55</v>
      </c>
      <c r="I24679" s="33" t="s">
        <v>21</v>
      </c>
      <c r="J24679" s="42">
        <v>45785</v>
      </c>
      <c r="K24679" s="33" t="s">
        <v>22</v>
      </c>
    </row>
    <row r="24680" spans="1:11">
      <c r="A24680" s="30" t="s">
        <v>54384</v>
      </c>
      <c r="B24680" s="30" t="s">
        <v>54385</v>
      </c>
      <c r="C24680" s="30" t="s">
        <v>1422</v>
      </c>
      <c r="D24680" s="30" t="s">
        <v>17</v>
      </c>
      <c r="E24680" s="30" t="s">
        <v>26</v>
      </c>
      <c r="F24680" s="30" t="s">
        <v>27</v>
      </c>
      <c r="G24680" s="30" t="s">
        <v>140</v>
      </c>
      <c r="H24680" s="32">
        <v>120</v>
      </c>
      <c r="I24680" s="30" t="s">
        <v>51</v>
      </c>
      <c r="J24680" s="41">
        <v>45679</v>
      </c>
      <c r="K24680" s="30" t="s">
        <v>22</v>
      </c>
    </row>
    <row r="24681" spans="1:11">
      <c r="A24681" s="33" t="s">
        <v>54386</v>
      </c>
      <c r="B24681" s="33" t="s">
        <v>54387</v>
      </c>
      <c r="C24681" s="33" t="s">
        <v>2739</v>
      </c>
      <c r="D24681" s="33" t="s">
        <v>17</v>
      </c>
      <c r="E24681" s="33" t="s">
        <v>18</v>
      </c>
      <c r="F24681" s="33" t="s">
        <v>19</v>
      </c>
      <c r="G24681" s="33" t="s">
        <v>20</v>
      </c>
      <c r="H24681" s="35">
        <v>184</v>
      </c>
      <c r="I24681" s="33" t="s">
        <v>21</v>
      </c>
      <c r="J24681" s="42">
        <v>45768</v>
      </c>
      <c r="K24681" s="33" t="s">
        <v>22</v>
      </c>
    </row>
    <row r="24682" spans="1:11">
      <c r="A24682" s="30" t="s">
        <v>54388</v>
      </c>
      <c r="B24682" s="30" t="s">
        <v>54389</v>
      </c>
      <c r="C24682" s="30" t="s">
        <v>54390</v>
      </c>
      <c r="D24682" s="30" t="s">
        <v>17</v>
      </c>
      <c r="E24682" s="30" t="s">
        <v>31</v>
      </c>
      <c r="F24682" s="30" t="s">
        <v>32</v>
      </c>
      <c r="G24682" s="30" t="s">
        <v>7780</v>
      </c>
      <c r="H24682" s="32">
        <v>160</v>
      </c>
      <c r="I24682" s="30" t="s">
        <v>51</v>
      </c>
      <c r="J24682" s="41">
        <v>45899</v>
      </c>
      <c r="K24682" s="30" t="s">
        <v>22</v>
      </c>
    </row>
    <row r="24683" spans="1:11">
      <c r="A24683" s="33" t="s">
        <v>54391</v>
      </c>
      <c r="B24683" s="33" t="s">
        <v>54392</v>
      </c>
      <c r="C24683" s="33" t="s">
        <v>1391</v>
      </c>
      <c r="D24683" s="33" t="s">
        <v>17</v>
      </c>
      <c r="E24683" s="33" t="s">
        <v>212</v>
      </c>
      <c r="F24683" s="33" t="s">
        <v>213</v>
      </c>
      <c r="G24683" s="33" t="s">
        <v>158</v>
      </c>
      <c r="H24683" s="35">
        <v>6500</v>
      </c>
      <c r="I24683" s="33" t="s">
        <v>21</v>
      </c>
      <c r="J24683" s="42">
        <v>45981</v>
      </c>
      <c r="K24683" s="33" t="s">
        <v>22</v>
      </c>
    </row>
    <row r="24684" spans="1:11">
      <c r="A24684" s="30" t="s">
        <v>54393</v>
      </c>
      <c r="B24684" s="30" t="s">
        <v>54394</v>
      </c>
      <c r="C24684" s="30" t="s">
        <v>187</v>
      </c>
      <c r="D24684" s="30" t="s">
        <v>17</v>
      </c>
      <c r="E24684" s="30" t="s">
        <v>26</v>
      </c>
      <c r="F24684" s="30" t="s">
        <v>27</v>
      </c>
      <c r="G24684" s="30" t="s">
        <v>140</v>
      </c>
      <c r="H24684" s="32">
        <v>80</v>
      </c>
      <c r="I24684" s="30" t="s">
        <v>51</v>
      </c>
      <c r="J24684" s="41">
        <v>45803</v>
      </c>
      <c r="K24684" s="30" t="s">
        <v>22</v>
      </c>
    </row>
    <row r="24685" spans="1:11">
      <c r="A24685" s="33" t="s">
        <v>54395</v>
      </c>
      <c r="B24685" s="33" t="s">
        <v>54396</v>
      </c>
      <c r="C24685" s="33" t="s">
        <v>54397</v>
      </c>
      <c r="D24685" s="33" t="s">
        <v>17</v>
      </c>
      <c r="E24685" s="33" t="s">
        <v>31</v>
      </c>
      <c r="F24685" s="33" t="s">
        <v>32</v>
      </c>
      <c r="G24685" s="33" t="s">
        <v>140</v>
      </c>
      <c r="H24685" s="35">
        <v>60</v>
      </c>
      <c r="I24685" s="33" t="s">
        <v>51</v>
      </c>
      <c r="J24685" s="42">
        <v>45896</v>
      </c>
      <c r="K24685" s="33" t="s">
        <v>22</v>
      </c>
    </row>
    <row r="24686" spans="1:11">
      <c r="A24686" s="30" t="s">
        <v>54398</v>
      </c>
      <c r="B24686" s="30" t="s">
        <v>54399</v>
      </c>
      <c r="C24686" s="30" t="s">
        <v>42626</v>
      </c>
      <c r="D24686" s="30" t="s">
        <v>17</v>
      </c>
      <c r="E24686" s="30" t="s">
        <v>31</v>
      </c>
      <c r="F24686" s="30" t="s">
        <v>32</v>
      </c>
      <c r="G24686" s="30" t="s">
        <v>7780</v>
      </c>
      <c r="H24686" s="32">
        <v>120</v>
      </c>
      <c r="I24686" s="30" t="s">
        <v>51</v>
      </c>
      <c r="J24686" s="41">
        <v>45920</v>
      </c>
      <c r="K24686" s="30" t="s">
        <v>22</v>
      </c>
    </row>
    <row r="24687" spans="1:11">
      <c r="A24687" s="33" t="s">
        <v>54400</v>
      </c>
      <c r="B24687" s="33" t="s">
        <v>54401</v>
      </c>
      <c r="C24687" s="33" t="s">
        <v>54402</v>
      </c>
      <c r="D24687" s="33" t="s">
        <v>17</v>
      </c>
      <c r="E24687" s="33" t="s">
        <v>26</v>
      </c>
      <c r="F24687" s="33" t="s">
        <v>27</v>
      </c>
      <c r="G24687" s="33" t="s">
        <v>7780</v>
      </c>
      <c r="H24687" s="35">
        <v>12</v>
      </c>
      <c r="I24687" s="33" t="s">
        <v>51</v>
      </c>
      <c r="J24687" s="42">
        <v>45792</v>
      </c>
      <c r="K24687" s="33" t="s">
        <v>22</v>
      </c>
    </row>
    <row r="24688" spans="1:11">
      <c r="A24688" s="30" t="s">
        <v>54403</v>
      </c>
      <c r="B24688" s="30" t="s">
        <v>54404</v>
      </c>
      <c r="C24688" s="30" t="s">
        <v>37563</v>
      </c>
      <c r="D24688" s="30" t="s">
        <v>17</v>
      </c>
      <c r="E24688" s="30" t="s">
        <v>31</v>
      </c>
      <c r="F24688" s="30" t="s">
        <v>32</v>
      </c>
      <c r="G24688" s="30" t="s">
        <v>158</v>
      </c>
      <c r="H24688" s="32">
        <v>82</v>
      </c>
      <c r="I24688" s="30" t="s">
        <v>21</v>
      </c>
      <c r="J24688" s="41">
        <v>45932</v>
      </c>
      <c r="K24688" s="30" t="s">
        <v>22</v>
      </c>
    </row>
    <row r="24689" spans="1:11">
      <c r="A24689" s="33" t="s">
        <v>54405</v>
      </c>
      <c r="B24689" s="33" t="s">
        <v>54406</v>
      </c>
      <c r="C24689" s="33" t="s">
        <v>136</v>
      </c>
      <c r="D24689" s="33" t="s">
        <v>17</v>
      </c>
      <c r="E24689" s="33" t="s">
        <v>26</v>
      </c>
      <c r="F24689" s="33" t="s">
        <v>27</v>
      </c>
      <c r="G24689" s="33" t="s">
        <v>140</v>
      </c>
      <c r="H24689" s="35">
        <v>32</v>
      </c>
      <c r="I24689" s="33" t="s">
        <v>51</v>
      </c>
      <c r="J24689" s="42">
        <v>45874</v>
      </c>
      <c r="K24689" s="33" t="s">
        <v>22</v>
      </c>
    </row>
    <row r="24690" spans="1:11">
      <c r="A24690" s="30" t="s">
        <v>54407</v>
      </c>
      <c r="B24690" s="30" t="s">
        <v>54408</v>
      </c>
      <c r="C24690" s="30" t="s">
        <v>28263</v>
      </c>
      <c r="D24690" s="30" t="s">
        <v>17</v>
      </c>
      <c r="E24690" s="30" t="s">
        <v>26</v>
      </c>
      <c r="F24690" s="30" t="s">
        <v>27</v>
      </c>
      <c r="G24690" s="30" t="s">
        <v>158</v>
      </c>
      <c r="H24690" s="32">
        <v>48</v>
      </c>
      <c r="I24690" s="30" t="s">
        <v>51</v>
      </c>
      <c r="J24690" s="41">
        <v>45776</v>
      </c>
      <c r="K24690" s="30" t="s">
        <v>22</v>
      </c>
    </row>
    <row r="24691" spans="1:11">
      <c r="A24691" s="33" t="s">
        <v>54409</v>
      </c>
      <c r="B24691" s="33" t="s">
        <v>54410</v>
      </c>
      <c r="C24691" s="33" t="s">
        <v>51922</v>
      </c>
      <c r="D24691" s="33" t="s">
        <v>17</v>
      </c>
      <c r="E24691" s="33" t="s">
        <v>26</v>
      </c>
      <c r="F24691" s="33" t="s">
        <v>27</v>
      </c>
      <c r="G24691" s="33" t="s">
        <v>7780</v>
      </c>
      <c r="H24691" s="35">
        <v>76</v>
      </c>
      <c r="I24691" s="33" t="s">
        <v>51</v>
      </c>
      <c r="J24691" s="42">
        <v>45901</v>
      </c>
      <c r="K24691" s="33" t="s">
        <v>22</v>
      </c>
    </row>
    <row r="24692" spans="1:11">
      <c r="A24692" s="30" t="s">
        <v>54411</v>
      </c>
      <c r="B24692" s="30" t="s">
        <v>54412</v>
      </c>
      <c r="C24692" s="30" t="s">
        <v>36156</v>
      </c>
      <c r="D24692" s="30" t="s">
        <v>17</v>
      </c>
      <c r="E24692" s="30" t="s">
        <v>31</v>
      </c>
      <c r="F24692" s="30" t="s">
        <v>32</v>
      </c>
      <c r="G24692" s="30" t="s">
        <v>140</v>
      </c>
      <c r="H24692" s="32">
        <v>150</v>
      </c>
      <c r="I24692" s="30" t="s">
        <v>51</v>
      </c>
      <c r="J24692" s="41">
        <v>45847</v>
      </c>
      <c r="K24692" s="30" t="s">
        <v>22</v>
      </c>
    </row>
    <row r="24693" spans="1:11">
      <c r="A24693" s="33" t="s">
        <v>54413</v>
      </c>
      <c r="B24693" s="33" t="s">
        <v>54414</v>
      </c>
      <c r="C24693" s="33" t="s">
        <v>54415</v>
      </c>
      <c r="D24693" s="33" t="s">
        <v>17</v>
      </c>
      <c r="E24693" s="33" t="s">
        <v>26</v>
      </c>
      <c r="F24693" s="33" t="s">
        <v>27</v>
      </c>
      <c r="G24693" s="33" t="s">
        <v>7780</v>
      </c>
      <c r="H24693" s="35">
        <v>141</v>
      </c>
      <c r="I24693" s="33" t="s">
        <v>51</v>
      </c>
      <c r="J24693" s="42">
        <v>45803</v>
      </c>
      <c r="K24693" s="33" t="s">
        <v>22</v>
      </c>
    </row>
    <row r="24694" spans="1:11">
      <c r="A24694" s="30" t="s">
        <v>54416</v>
      </c>
      <c r="B24694" s="30" t="s">
        <v>54417</v>
      </c>
      <c r="C24694" s="30" t="s">
        <v>36890</v>
      </c>
      <c r="D24694" s="30" t="s">
        <v>17</v>
      </c>
      <c r="E24694" s="30" t="s">
        <v>26</v>
      </c>
      <c r="F24694" s="30" t="s">
        <v>27</v>
      </c>
      <c r="G24694" s="30" t="s">
        <v>140</v>
      </c>
      <c r="H24694" s="32">
        <v>32</v>
      </c>
      <c r="I24694" s="30" t="s">
        <v>51</v>
      </c>
      <c r="J24694" s="41">
        <v>45701</v>
      </c>
      <c r="K24694" s="30" t="s">
        <v>22</v>
      </c>
    </row>
    <row r="24695" spans="1:11">
      <c r="A24695" s="33" t="s">
        <v>54418</v>
      </c>
      <c r="B24695" s="33" t="s">
        <v>54419</v>
      </c>
      <c r="C24695" s="33" t="s">
        <v>4348</v>
      </c>
      <c r="D24695" s="33" t="s">
        <v>17</v>
      </c>
      <c r="E24695" s="33" t="s">
        <v>18</v>
      </c>
      <c r="F24695" s="33" t="s">
        <v>19</v>
      </c>
      <c r="G24695" s="33" t="s">
        <v>140</v>
      </c>
      <c r="H24695" s="35">
        <v>508</v>
      </c>
      <c r="I24695" s="33" t="s">
        <v>51</v>
      </c>
      <c r="J24695" s="42">
        <v>45741</v>
      </c>
      <c r="K24695" s="33" t="s">
        <v>22</v>
      </c>
    </row>
    <row r="24696" spans="1:11">
      <c r="A24696" s="30" t="s">
        <v>54420</v>
      </c>
      <c r="B24696" s="30" t="s">
        <v>54421</v>
      </c>
      <c r="C24696" s="30" t="s">
        <v>18809</v>
      </c>
      <c r="D24696" s="30" t="s">
        <v>17</v>
      </c>
      <c r="E24696" s="30" t="s">
        <v>31</v>
      </c>
      <c r="F24696" s="30" t="s">
        <v>32</v>
      </c>
      <c r="G24696" s="30" t="s">
        <v>140</v>
      </c>
      <c r="H24696" s="32">
        <v>120</v>
      </c>
      <c r="I24696" s="30" t="s">
        <v>51</v>
      </c>
      <c r="J24696" s="41">
        <v>46020</v>
      </c>
      <c r="K24696" s="30" t="s">
        <v>22</v>
      </c>
    </row>
    <row r="24697" spans="1:11">
      <c r="A24697" s="33" t="s">
        <v>54422</v>
      </c>
      <c r="B24697" s="33" t="s">
        <v>54423</v>
      </c>
      <c r="C24697" s="33" t="s">
        <v>190</v>
      </c>
      <c r="D24697" s="33" t="s">
        <v>17</v>
      </c>
      <c r="E24697" s="33" t="s">
        <v>67</v>
      </c>
      <c r="F24697" s="33" t="s">
        <v>68</v>
      </c>
      <c r="G24697" s="33" t="s">
        <v>140</v>
      </c>
      <c r="H24697" s="35">
        <v>117</v>
      </c>
      <c r="I24697" s="33" t="s">
        <v>51</v>
      </c>
      <c r="J24697" s="42">
        <v>45776</v>
      </c>
      <c r="K24697" s="33" t="s">
        <v>22</v>
      </c>
    </row>
    <row r="24698" spans="1:11">
      <c r="A24698" s="30" t="s">
        <v>54424</v>
      </c>
      <c r="B24698" s="30" t="s">
        <v>54425</v>
      </c>
      <c r="C24698" s="30" t="s">
        <v>54426</v>
      </c>
      <c r="D24698" s="30" t="s">
        <v>17</v>
      </c>
      <c r="E24698" s="30" t="s">
        <v>26</v>
      </c>
      <c r="F24698" s="30" t="s">
        <v>27</v>
      </c>
      <c r="G24698" s="30" t="s">
        <v>140</v>
      </c>
      <c r="H24698" s="32">
        <v>18</v>
      </c>
      <c r="I24698" s="30" t="s">
        <v>51</v>
      </c>
      <c r="J24698" s="41">
        <v>45754</v>
      </c>
      <c r="K24698" s="30" t="s">
        <v>22</v>
      </c>
    </row>
    <row r="24699" spans="1:11">
      <c r="A24699" s="33" t="s">
        <v>54427</v>
      </c>
      <c r="B24699" s="33" t="s">
        <v>54428</v>
      </c>
      <c r="C24699" s="33" t="s">
        <v>57</v>
      </c>
      <c r="D24699" s="33" t="s">
        <v>17</v>
      </c>
      <c r="E24699" s="33" t="s">
        <v>26</v>
      </c>
      <c r="F24699" s="33" t="s">
        <v>27</v>
      </c>
      <c r="G24699" s="33" t="s">
        <v>20</v>
      </c>
      <c r="H24699" s="35">
        <v>18</v>
      </c>
      <c r="I24699" s="33" t="s">
        <v>21</v>
      </c>
      <c r="J24699" s="42">
        <v>45970</v>
      </c>
      <c r="K24699" s="33" t="s">
        <v>22</v>
      </c>
    </row>
    <row r="24700" spans="1:11">
      <c r="A24700" s="30" t="s">
        <v>54429</v>
      </c>
      <c r="B24700" s="30" t="s">
        <v>54430</v>
      </c>
      <c r="C24700" s="30" t="s">
        <v>13971</v>
      </c>
      <c r="D24700" s="30" t="s">
        <v>17</v>
      </c>
      <c r="E24700" s="30" t="s">
        <v>26</v>
      </c>
      <c r="F24700" s="30" t="s">
        <v>27</v>
      </c>
      <c r="G24700" s="30" t="s">
        <v>20</v>
      </c>
      <c r="H24700" s="32">
        <v>40</v>
      </c>
      <c r="I24700" s="30" t="s">
        <v>21</v>
      </c>
      <c r="J24700" s="41">
        <v>45930</v>
      </c>
      <c r="K24700" s="30" t="s">
        <v>22</v>
      </c>
    </row>
    <row r="24701" spans="1:11">
      <c r="A24701" s="33" t="s">
        <v>54431</v>
      </c>
      <c r="B24701" s="33" t="s">
        <v>54432</v>
      </c>
      <c r="C24701" s="33" t="s">
        <v>190</v>
      </c>
      <c r="D24701" s="33" t="s">
        <v>17</v>
      </c>
      <c r="E24701" s="33" t="s">
        <v>26</v>
      </c>
      <c r="F24701" s="33" t="s">
        <v>27</v>
      </c>
      <c r="G24701" s="33" t="s">
        <v>20</v>
      </c>
      <c r="H24701" s="35">
        <v>20</v>
      </c>
      <c r="I24701" s="33" t="s">
        <v>21</v>
      </c>
      <c r="J24701" s="42">
        <v>45866</v>
      </c>
      <c r="K24701" s="33" t="s">
        <v>22</v>
      </c>
    </row>
    <row r="24702" spans="1:11">
      <c r="A24702" s="30" t="s">
        <v>54433</v>
      </c>
      <c r="B24702" s="30" t="s">
        <v>54434</v>
      </c>
      <c r="C24702" s="30" t="s">
        <v>3258</v>
      </c>
      <c r="D24702" s="30" t="s">
        <v>17</v>
      </c>
      <c r="E24702" s="30" t="s">
        <v>18</v>
      </c>
      <c r="F24702" s="30" t="s">
        <v>19</v>
      </c>
      <c r="G24702" s="30" t="s">
        <v>112</v>
      </c>
      <c r="H24702" s="32">
        <v>0</v>
      </c>
      <c r="I24702" s="30" t="s">
        <v>21</v>
      </c>
      <c r="J24702" s="41">
        <v>45992</v>
      </c>
      <c r="K24702" s="30" t="s">
        <v>22</v>
      </c>
    </row>
    <row r="24703" spans="1:11">
      <c r="A24703" s="33" t="s">
        <v>54435</v>
      </c>
      <c r="B24703" s="33" t="s">
        <v>54436</v>
      </c>
      <c r="C24703" s="33" t="s">
        <v>343</v>
      </c>
      <c r="D24703" s="33" t="s">
        <v>17</v>
      </c>
      <c r="E24703" s="33" t="s">
        <v>18</v>
      </c>
      <c r="F24703" s="33" t="s">
        <v>19</v>
      </c>
      <c r="G24703" s="33" t="s">
        <v>158</v>
      </c>
      <c r="H24703" s="35">
        <v>183</v>
      </c>
      <c r="I24703" s="33" t="s">
        <v>21</v>
      </c>
      <c r="J24703" s="42">
        <v>45818</v>
      </c>
      <c r="K24703" s="33" t="s">
        <v>22</v>
      </c>
    </row>
    <row r="24704" spans="1:11">
      <c r="A24704" s="30" t="s">
        <v>54437</v>
      </c>
      <c r="B24704" s="30" t="s">
        <v>54438</v>
      </c>
      <c r="C24704" s="30" t="s">
        <v>2772</v>
      </c>
      <c r="D24704" s="30" t="s">
        <v>17</v>
      </c>
      <c r="E24704" s="30" t="s">
        <v>26</v>
      </c>
      <c r="F24704" s="30" t="s">
        <v>27</v>
      </c>
      <c r="G24704" s="30" t="s">
        <v>140</v>
      </c>
      <c r="H24704" s="32">
        <v>444</v>
      </c>
      <c r="I24704" s="30" t="s">
        <v>51</v>
      </c>
      <c r="J24704" s="41">
        <v>45728</v>
      </c>
      <c r="K24704" s="30" t="s">
        <v>22</v>
      </c>
    </row>
    <row r="24705" spans="1:11">
      <c r="A24705" s="33" t="s">
        <v>54439</v>
      </c>
      <c r="B24705" s="33" t="s">
        <v>54440</v>
      </c>
      <c r="C24705" s="33" t="s">
        <v>190</v>
      </c>
      <c r="D24705" s="33" t="s">
        <v>17</v>
      </c>
      <c r="E24705" s="33" t="s">
        <v>31</v>
      </c>
      <c r="F24705" s="33" t="s">
        <v>32</v>
      </c>
      <c r="G24705" s="33" t="s">
        <v>158</v>
      </c>
      <c r="H24705" s="35">
        <v>14</v>
      </c>
      <c r="I24705" s="33" t="s">
        <v>21</v>
      </c>
      <c r="J24705" s="42">
        <v>45797</v>
      </c>
      <c r="K24705" s="33" t="s">
        <v>22</v>
      </c>
    </row>
    <row r="24706" spans="1:11">
      <c r="A24706" s="30" t="s">
        <v>54441</v>
      </c>
      <c r="B24706" s="30" t="s">
        <v>54442</v>
      </c>
      <c r="C24706" s="30" t="s">
        <v>329</v>
      </c>
      <c r="D24706" s="30" t="s">
        <v>17</v>
      </c>
      <c r="E24706" s="30" t="s">
        <v>18</v>
      </c>
      <c r="F24706" s="30" t="s">
        <v>19</v>
      </c>
      <c r="G24706" s="30" t="s">
        <v>158</v>
      </c>
      <c r="H24706" s="32">
        <v>780</v>
      </c>
      <c r="I24706" s="30" t="s">
        <v>21</v>
      </c>
      <c r="J24706" s="41">
        <v>45739</v>
      </c>
      <c r="K24706" s="30" t="s">
        <v>22</v>
      </c>
    </row>
    <row r="24707" spans="1:11">
      <c r="A24707" s="33" t="s">
        <v>54443</v>
      </c>
      <c r="B24707" s="33" t="s">
        <v>54444</v>
      </c>
      <c r="C24707" s="33" t="s">
        <v>1571</v>
      </c>
      <c r="D24707" s="33" t="s">
        <v>17</v>
      </c>
      <c r="E24707" s="33" t="s">
        <v>26</v>
      </c>
      <c r="F24707" s="33" t="s">
        <v>27</v>
      </c>
      <c r="G24707" s="33" t="s">
        <v>20</v>
      </c>
      <c r="H24707" s="35">
        <v>20</v>
      </c>
      <c r="I24707" s="33" t="s">
        <v>21</v>
      </c>
      <c r="J24707" s="42">
        <v>45912</v>
      </c>
      <c r="K24707" s="33" t="s">
        <v>22</v>
      </c>
    </row>
    <row r="24708" spans="1:11">
      <c r="A24708" s="30" t="s">
        <v>54445</v>
      </c>
      <c r="B24708" s="30" t="s">
        <v>54446</v>
      </c>
      <c r="C24708" s="30" t="s">
        <v>54447</v>
      </c>
      <c r="D24708" s="30" t="s">
        <v>17</v>
      </c>
      <c r="E24708" s="30" t="s">
        <v>330</v>
      </c>
      <c r="F24708" s="30" t="s">
        <v>331</v>
      </c>
      <c r="G24708" s="30" t="s">
        <v>140</v>
      </c>
      <c r="H24708" s="32">
        <v>8</v>
      </c>
      <c r="I24708" s="30" t="s">
        <v>51</v>
      </c>
      <c r="J24708" s="41">
        <v>45904</v>
      </c>
      <c r="K24708" s="30" t="s">
        <v>22</v>
      </c>
    </row>
    <row r="24709" spans="1:11">
      <c r="A24709" s="33" t="s">
        <v>54448</v>
      </c>
      <c r="B24709" s="33" t="s">
        <v>54449</v>
      </c>
      <c r="C24709" s="33" t="s">
        <v>14816</v>
      </c>
      <c r="D24709" s="33" t="s">
        <v>17</v>
      </c>
      <c r="E24709" s="33" t="s">
        <v>26</v>
      </c>
      <c r="F24709" s="33" t="s">
        <v>27</v>
      </c>
      <c r="G24709" s="33" t="s">
        <v>140</v>
      </c>
      <c r="H24709" s="35">
        <v>100</v>
      </c>
      <c r="I24709" s="33" t="s">
        <v>51</v>
      </c>
      <c r="J24709" s="42">
        <v>45678</v>
      </c>
      <c r="K24709" s="33" t="s">
        <v>22</v>
      </c>
    </row>
    <row r="24710" spans="1:11">
      <c r="A24710" s="30" t="s">
        <v>54450</v>
      </c>
      <c r="B24710" s="30" t="s">
        <v>54451</v>
      </c>
      <c r="C24710" s="30" t="s">
        <v>2562</v>
      </c>
      <c r="D24710" s="30" t="s">
        <v>17</v>
      </c>
      <c r="E24710" s="30" t="s">
        <v>18</v>
      </c>
      <c r="F24710" s="30" t="s">
        <v>19</v>
      </c>
      <c r="G24710" s="30" t="s">
        <v>7780</v>
      </c>
      <c r="H24710" s="32">
        <v>240</v>
      </c>
      <c r="I24710" s="30" t="s">
        <v>51</v>
      </c>
      <c r="J24710" s="41">
        <v>45778</v>
      </c>
      <c r="K24710" s="30" t="s">
        <v>22</v>
      </c>
    </row>
    <row r="24711" spans="1:11">
      <c r="A24711" s="33" t="s">
        <v>54452</v>
      </c>
      <c r="B24711" s="33" t="s">
        <v>54453</v>
      </c>
      <c r="C24711" s="33" t="s">
        <v>644</v>
      </c>
      <c r="D24711" s="33" t="s">
        <v>17</v>
      </c>
      <c r="E24711" s="33" t="s">
        <v>18</v>
      </c>
      <c r="F24711" s="33" t="s">
        <v>19</v>
      </c>
      <c r="G24711" s="33" t="s">
        <v>7780</v>
      </c>
      <c r="H24711" s="35">
        <v>616</v>
      </c>
      <c r="I24711" s="33" t="s">
        <v>51</v>
      </c>
      <c r="J24711" s="42">
        <v>45792</v>
      </c>
      <c r="K24711" s="33" t="s">
        <v>22</v>
      </c>
    </row>
    <row r="24712" spans="1:11">
      <c r="A24712" s="30" t="s">
        <v>54454</v>
      </c>
      <c r="B24712" s="30" t="s">
        <v>54455</v>
      </c>
      <c r="C24712" s="30" t="s">
        <v>2839</v>
      </c>
      <c r="D24712" s="30" t="s">
        <v>17</v>
      </c>
      <c r="E24712" s="30" t="s">
        <v>26</v>
      </c>
      <c r="F24712" s="30" t="s">
        <v>27</v>
      </c>
      <c r="G24712" s="30" t="s">
        <v>20</v>
      </c>
      <c r="H24712" s="32">
        <v>36</v>
      </c>
      <c r="I24712" s="30" t="s">
        <v>21</v>
      </c>
      <c r="J24712" s="41">
        <v>45732</v>
      </c>
      <c r="K24712" s="30" t="s">
        <v>22</v>
      </c>
    </row>
    <row r="24713" spans="1:11">
      <c r="A24713" s="33" t="s">
        <v>54456</v>
      </c>
      <c r="B24713" s="33" t="s">
        <v>54457</v>
      </c>
      <c r="C24713" s="33" t="s">
        <v>54458</v>
      </c>
      <c r="D24713" s="33" t="s">
        <v>17</v>
      </c>
      <c r="E24713" s="33" t="s">
        <v>31</v>
      </c>
      <c r="F24713" s="33" t="s">
        <v>32</v>
      </c>
      <c r="G24713" s="33" t="s">
        <v>20</v>
      </c>
      <c r="H24713" s="35">
        <v>51</v>
      </c>
      <c r="I24713" s="33" t="s">
        <v>21</v>
      </c>
      <c r="J24713" s="42">
        <v>45739</v>
      </c>
      <c r="K24713" s="33" t="s">
        <v>22</v>
      </c>
    </row>
    <row r="24714" spans="1:11">
      <c r="A24714" s="30" t="s">
        <v>54459</v>
      </c>
      <c r="B24714" s="30" t="s">
        <v>54460</v>
      </c>
      <c r="C24714" s="30" t="s">
        <v>190</v>
      </c>
      <c r="D24714" s="30" t="s">
        <v>17</v>
      </c>
      <c r="E24714" s="30" t="s">
        <v>26</v>
      </c>
      <c r="F24714" s="30" t="s">
        <v>27</v>
      </c>
      <c r="G24714" s="30" t="s">
        <v>20</v>
      </c>
      <c r="H24714" s="32">
        <v>12</v>
      </c>
      <c r="I24714" s="30" t="s">
        <v>21</v>
      </c>
      <c r="J24714" s="41">
        <v>45764</v>
      </c>
      <c r="K24714" s="30" t="s">
        <v>22</v>
      </c>
    </row>
    <row r="24715" spans="1:11">
      <c r="A24715" s="33" t="s">
        <v>54461</v>
      </c>
      <c r="B24715" s="33" t="s">
        <v>54462</v>
      </c>
      <c r="C24715" s="33" t="s">
        <v>15199</v>
      </c>
      <c r="D24715" s="33" t="s">
        <v>17</v>
      </c>
      <c r="E24715" s="33" t="s">
        <v>26</v>
      </c>
      <c r="F24715" s="33" t="s">
        <v>27</v>
      </c>
      <c r="G24715" s="33" t="s">
        <v>7780</v>
      </c>
      <c r="H24715" s="35">
        <v>26</v>
      </c>
      <c r="I24715" s="33" t="s">
        <v>51</v>
      </c>
      <c r="J24715" s="42">
        <v>45992</v>
      </c>
      <c r="K24715" s="33" t="s">
        <v>22</v>
      </c>
    </row>
    <row r="24716" spans="1:11">
      <c r="A24716" s="30" t="s">
        <v>54463</v>
      </c>
      <c r="B24716" s="30" t="s">
        <v>54464</v>
      </c>
      <c r="C24716" s="30" t="s">
        <v>2562</v>
      </c>
      <c r="D24716" s="30" t="s">
        <v>17</v>
      </c>
      <c r="E24716" s="30" t="s">
        <v>31</v>
      </c>
      <c r="F24716" s="30" t="s">
        <v>32</v>
      </c>
      <c r="G24716" s="30" t="s">
        <v>140</v>
      </c>
      <c r="H24716" s="32">
        <v>246</v>
      </c>
      <c r="I24716" s="30" t="s">
        <v>51</v>
      </c>
      <c r="J24716" s="41">
        <v>45992</v>
      </c>
      <c r="K24716" s="30" t="s">
        <v>22</v>
      </c>
    </row>
    <row r="24717" spans="1:11">
      <c r="A24717" s="33" t="s">
        <v>54465</v>
      </c>
      <c r="B24717" s="33" t="s">
        <v>54466</v>
      </c>
      <c r="C24717" s="33" t="s">
        <v>969</v>
      </c>
      <c r="D24717" s="33" t="s">
        <v>17</v>
      </c>
      <c r="E24717" s="33" t="s">
        <v>26</v>
      </c>
      <c r="F24717" s="33" t="s">
        <v>27</v>
      </c>
      <c r="G24717" s="33" t="s">
        <v>20</v>
      </c>
      <c r="H24717" s="35">
        <v>127</v>
      </c>
      <c r="I24717" s="33" t="s">
        <v>21</v>
      </c>
      <c r="J24717" s="42">
        <v>45881</v>
      </c>
      <c r="K24717" s="33" t="s">
        <v>22</v>
      </c>
    </row>
    <row r="24718" spans="1:11">
      <c r="A24718" s="30" t="s">
        <v>54467</v>
      </c>
      <c r="B24718" s="30" t="s">
        <v>54468</v>
      </c>
      <c r="C24718" s="30" t="s">
        <v>136</v>
      </c>
      <c r="D24718" s="30" t="s">
        <v>17</v>
      </c>
      <c r="E24718" s="30" t="s">
        <v>212</v>
      </c>
      <c r="F24718" s="30" t="s">
        <v>213</v>
      </c>
      <c r="G24718" s="30" t="s">
        <v>140</v>
      </c>
      <c r="H24718" s="32">
        <v>200</v>
      </c>
      <c r="I24718" s="30" t="s">
        <v>51</v>
      </c>
      <c r="J24718" s="41">
        <v>45735</v>
      </c>
      <c r="K24718" s="30" t="s">
        <v>22</v>
      </c>
    </row>
    <row r="24719" spans="1:11">
      <c r="A24719" s="33" t="s">
        <v>54469</v>
      </c>
      <c r="B24719" s="33" t="s">
        <v>54470</v>
      </c>
      <c r="C24719" s="33" t="s">
        <v>647</v>
      </c>
      <c r="D24719" s="33" t="s">
        <v>17</v>
      </c>
      <c r="E24719" s="33" t="s">
        <v>26</v>
      </c>
      <c r="F24719" s="33" t="s">
        <v>27</v>
      </c>
      <c r="G24719" s="33" t="s">
        <v>20</v>
      </c>
      <c r="H24719" s="35">
        <v>52</v>
      </c>
      <c r="I24719" s="33" t="s">
        <v>21</v>
      </c>
      <c r="J24719" s="42">
        <v>45790</v>
      </c>
      <c r="K24719" s="33" t="s">
        <v>22</v>
      </c>
    </row>
    <row r="24720" spans="1:11">
      <c r="A24720" s="30" t="s">
        <v>54471</v>
      </c>
      <c r="B24720" s="30" t="s">
        <v>54472</v>
      </c>
      <c r="C24720" s="30" t="s">
        <v>698</v>
      </c>
      <c r="D24720" s="30" t="s">
        <v>17</v>
      </c>
      <c r="E24720" s="30" t="s">
        <v>18</v>
      </c>
      <c r="F24720" s="30" t="s">
        <v>19</v>
      </c>
      <c r="G24720" s="30" t="s">
        <v>7780</v>
      </c>
      <c r="H24720" s="32">
        <v>252</v>
      </c>
      <c r="I24720" s="30" t="s">
        <v>51</v>
      </c>
      <c r="J24720" s="41">
        <v>45931</v>
      </c>
      <c r="K24720" s="30" t="s">
        <v>22</v>
      </c>
    </row>
    <row r="24721" spans="1:11">
      <c r="A24721" s="33" t="s">
        <v>54473</v>
      </c>
      <c r="B24721" s="33" t="s">
        <v>54474</v>
      </c>
      <c r="C24721" s="33" t="s">
        <v>1683</v>
      </c>
      <c r="D24721" s="33" t="s">
        <v>17</v>
      </c>
      <c r="E24721" s="33" t="s">
        <v>26</v>
      </c>
      <c r="F24721" s="33" t="s">
        <v>27</v>
      </c>
      <c r="G24721" s="33" t="s">
        <v>106</v>
      </c>
      <c r="H24721" s="35">
        <v>4</v>
      </c>
      <c r="I24721" s="33" t="s">
        <v>21</v>
      </c>
      <c r="J24721" s="42">
        <v>45666</v>
      </c>
      <c r="K24721" s="33" t="s">
        <v>22</v>
      </c>
    </row>
    <row r="24722" spans="1:11">
      <c r="A24722" s="30" t="s">
        <v>54475</v>
      </c>
      <c r="B24722" s="30" t="s">
        <v>54476</v>
      </c>
      <c r="C24722" s="30" t="s">
        <v>801</v>
      </c>
      <c r="D24722" s="30" t="s">
        <v>17</v>
      </c>
      <c r="E24722" s="30" t="s">
        <v>212</v>
      </c>
      <c r="F24722" s="30" t="s">
        <v>213</v>
      </c>
      <c r="G24722" s="30" t="s">
        <v>140</v>
      </c>
      <c r="H24722" s="32">
        <v>12</v>
      </c>
      <c r="I24722" s="30" t="s">
        <v>51</v>
      </c>
      <c r="J24722" s="41">
        <v>46002</v>
      </c>
      <c r="K24722" s="30" t="s">
        <v>22</v>
      </c>
    </row>
    <row r="24723" spans="1:11">
      <c r="A24723" s="33" t="s">
        <v>54477</v>
      </c>
      <c r="B24723" s="33" t="s">
        <v>54478</v>
      </c>
      <c r="C24723" s="33" t="s">
        <v>9234</v>
      </c>
      <c r="D24723" s="33" t="s">
        <v>17</v>
      </c>
      <c r="E24723" s="33" t="s">
        <v>26</v>
      </c>
      <c r="F24723" s="33" t="s">
        <v>27</v>
      </c>
      <c r="G24723" s="33" t="s">
        <v>20</v>
      </c>
      <c r="H24723" s="35">
        <v>40</v>
      </c>
      <c r="I24723" s="33" t="s">
        <v>21</v>
      </c>
      <c r="J24723" s="42">
        <v>45832</v>
      </c>
      <c r="K24723" s="33" t="s">
        <v>22</v>
      </c>
    </row>
    <row r="24724" spans="1:11">
      <c r="A24724" s="30" t="s">
        <v>54479</v>
      </c>
      <c r="B24724" s="30" t="s">
        <v>54480</v>
      </c>
      <c r="C24724" s="30" t="s">
        <v>925</v>
      </c>
      <c r="D24724" s="30" t="s">
        <v>17</v>
      </c>
      <c r="E24724" s="30" t="s">
        <v>31</v>
      </c>
      <c r="F24724" s="30" t="s">
        <v>32</v>
      </c>
      <c r="G24724" s="30" t="s">
        <v>140</v>
      </c>
      <c r="H24724" s="32">
        <v>12</v>
      </c>
      <c r="I24724" s="30" t="s">
        <v>51</v>
      </c>
      <c r="J24724" s="41">
        <v>45742</v>
      </c>
      <c r="K24724" s="30" t="s">
        <v>22</v>
      </c>
    </row>
    <row r="24725" spans="1:11">
      <c r="A24725" s="33" t="s">
        <v>54481</v>
      </c>
      <c r="B24725" s="33" t="s">
        <v>54482</v>
      </c>
      <c r="C24725" s="33" t="s">
        <v>13993</v>
      </c>
      <c r="D24725" s="33" t="s">
        <v>17</v>
      </c>
      <c r="E24725" s="33" t="s">
        <v>31</v>
      </c>
      <c r="F24725" s="33" t="s">
        <v>32</v>
      </c>
      <c r="G24725" s="33" t="s">
        <v>140</v>
      </c>
      <c r="H24725" s="35">
        <v>40</v>
      </c>
      <c r="I24725" s="33" t="s">
        <v>51</v>
      </c>
      <c r="J24725" s="42">
        <v>45979</v>
      </c>
      <c r="K24725" s="33" t="s">
        <v>22</v>
      </c>
    </row>
    <row r="24726" spans="1:11">
      <c r="A24726" s="30" t="s">
        <v>54483</v>
      </c>
      <c r="B24726" s="30" t="s">
        <v>54484</v>
      </c>
      <c r="C24726" s="30" t="s">
        <v>118</v>
      </c>
      <c r="D24726" s="30" t="s">
        <v>17</v>
      </c>
      <c r="E24726" s="30" t="s">
        <v>18</v>
      </c>
      <c r="F24726" s="30" t="s">
        <v>19</v>
      </c>
      <c r="G24726" s="30" t="s">
        <v>140</v>
      </c>
      <c r="H24726" s="32">
        <v>111</v>
      </c>
      <c r="I24726" s="30" t="s">
        <v>51</v>
      </c>
      <c r="J24726" s="41">
        <v>45980</v>
      </c>
      <c r="K24726" s="30" t="s">
        <v>22</v>
      </c>
    </row>
    <row r="24727" spans="1:11">
      <c r="A24727" s="33" t="s">
        <v>54485</v>
      </c>
      <c r="B24727" s="33" t="s">
        <v>54486</v>
      </c>
      <c r="C24727" s="33" t="s">
        <v>28153</v>
      </c>
      <c r="D24727" s="33" t="s">
        <v>17</v>
      </c>
      <c r="E24727" s="33" t="s">
        <v>67</v>
      </c>
      <c r="F24727" s="33" t="s">
        <v>68</v>
      </c>
      <c r="G24727" s="33" t="s">
        <v>140</v>
      </c>
      <c r="H24727" s="35">
        <v>260</v>
      </c>
      <c r="I24727" s="33" t="s">
        <v>51</v>
      </c>
      <c r="J24727" s="42">
        <v>45959</v>
      </c>
      <c r="K24727" s="33" t="s">
        <v>22</v>
      </c>
    </row>
    <row r="24728" spans="1:11">
      <c r="A24728" s="30" t="s">
        <v>54487</v>
      </c>
      <c r="B24728" s="30" t="s">
        <v>54488</v>
      </c>
      <c r="C24728" s="30" t="s">
        <v>54489</v>
      </c>
      <c r="D24728" s="30" t="s">
        <v>17</v>
      </c>
      <c r="E24728" s="30" t="s">
        <v>18</v>
      </c>
      <c r="F24728" s="30" t="s">
        <v>19</v>
      </c>
      <c r="G24728" s="30" t="s">
        <v>7780</v>
      </c>
      <c r="H24728" s="32">
        <v>200</v>
      </c>
      <c r="I24728" s="30" t="s">
        <v>51</v>
      </c>
      <c r="J24728" s="41">
        <v>45972</v>
      </c>
      <c r="K24728" s="30" t="s">
        <v>22</v>
      </c>
    </row>
    <row r="24729" spans="1:11">
      <c r="A24729" s="33" t="s">
        <v>54490</v>
      </c>
      <c r="B24729" s="33" t="s">
        <v>54491</v>
      </c>
      <c r="C24729" s="33" t="s">
        <v>75</v>
      </c>
      <c r="D24729" s="33" t="s">
        <v>17</v>
      </c>
      <c r="E24729" s="33" t="s">
        <v>26</v>
      </c>
      <c r="F24729" s="33" t="s">
        <v>27</v>
      </c>
      <c r="G24729" s="33" t="s">
        <v>20</v>
      </c>
      <c r="H24729" s="35">
        <v>74</v>
      </c>
      <c r="I24729" s="33" t="s">
        <v>21</v>
      </c>
      <c r="J24729" s="42">
        <v>45715</v>
      </c>
      <c r="K24729" s="33" t="s">
        <v>22</v>
      </c>
    </row>
    <row r="24730" spans="1:11">
      <c r="A24730" s="30" t="s">
        <v>54492</v>
      </c>
      <c r="B24730" s="30" t="s">
        <v>54493</v>
      </c>
      <c r="C24730" s="30" t="s">
        <v>20050</v>
      </c>
      <c r="D24730" s="30" t="s">
        <v>17</v>
      </c>
      <c r="E24730" s="30" t="s">
        <v>31</v>
      </c>
      <c r="F24730" s="30" t="s">
        <v>32</v>
      </c>
      <c r="G24730" s="30" t="s">
        <v>20</v>
      </c>
      <c r="H24730" s="32">
        <v>48</v>
      </c>
      <c r="I24730" s="30" t="s">
        <v>21</v>
      </c>
      <c r="J24730" s="41">
        <v>45716</v>
      </c>
      <c r="K24730" s="30" t="s">
        <v>22</v>
      </c>
    </row>
    <row r="24731" spans="1:11">
      <c r="A24731" s="33" t="s">
        <v>54494</v>
      </c>
      <c r="B24731" s="33" t="s">
        <v>54495</v>
      </c>
      <c r="C24731" s="33" t="s">
        <v>231</v>
      </c>
      <c r="D24731" s="33" t="s">
        <v>17</v>
      </c>
      <c r="E24731" s="33" t="s">
        <v>26</v>
      </c>
      <c r="F24731" s="33" t="s">
        <v>27</v>
      </c>
      <c r="G24731" s="33" t="s">
        <v>158</v>
      </c>
      <c r="H24731" s="35">
        <v>64</v>
      </c>
      <c r="I24731" s="33" t="s">
        <v>21</v>
      </c>
      <c r="J24731" s="42">
        <v>45742</v>
      </c>
      <c r="K24731" s="33" t="s">
        <v>22</v>
      </c>
    </row>
    <row r="24732" spans="1:11">
      <c r="A24732" s="30" t="s">
        <v>54496</v>
      </c>
      <c r="B24732" s="30" t="s">
        <v>54497</v>
      </c>
      <c r="C24732" s="30" t="s">
        <v>38194</v>
      </c>
      <c r="D24732" s="30" t="s">
        <v>17</v>
      </c>
      <c r="E24732" s="30" t="s">
        <v>18</v>
      </c>
      <c r="F24732" s="30" t="s">
        <v>19</v>
      </c>
      <c r="G24732" s="30" t="s">
        <v>7780</v>
      </c>
      <c r="H24732" s="32">
        <v>630</v>
      </c>
      <c r="I24732" s="30" t="s">
        <v>51</v>
      </c>
      <c r="J24732" s="41">
        <v>46022</v>
      </c>
      <c r="K24732" s="30" t="s">
        <v>22</v>
      </c>
    </row>
    <row r="24733" spans="1:11">
      <c r="A24733" s="33" t="s">
        <v>54498</v>
      </c>
      <c r="B24733" s="33" t="s">
        <v>54499</v>
      </c>
      <c r="C24733" s="33" t="s">
        <v>27241</v>
      </c>
      <c r="D24733" s="33" t="s">
        <v>17</v>
      </c>
      <c r="E24733" s="33" t="s">
        <v>31</v>
      </c>
      <c r="F24733" s="33" t="s">
        <v>32</v>
      </c>
      <c r="G24733" s="33" t="s">
        <v>7780</v>
      </c>
      <c r="H24733" s="35">
        <v>55</v>
      </c>
      <c r="I24733" s="33" t="s">
        <v>51</v>
      </c>
      <c r="J24733" s="42">
        <v>45870</v>
      </c>
      <c r="K24733" s="33" t="s">
        <v>22</v>
      </c>
    </row>
    <row r="24734" spans="1:11">
      <c r="A24734" s="30" t="s">
        <v>54500</v>
      </c>
      <c r="B24734" s="30" t="s">
        <v>54501</v>
      </c>
      <c r="C24734" s="30" t="s">
        <v>6202</v>
      </c>
      <c r="D24734" s="30" t="s">
        <v>17</v>
      </c>
      <c r="E24734" s="30" t="s">
        <v>67</v>
      </c>
      <c r="F24734" s="30" t="s">
        <v>68</v>
      </c>
      <c r="G24734" s="30" t="s">
        <v>7780</v>
      </c>
      <c r="H24734" s="32">
        <v>465</v>
      </c>
      <c r="I24734" s="30" t="s">
        <v>51</v>
      </c>
      <c r="J24734" s="41">
        <v>45717</v>
      </c>
      <c r="K24734" s="30" t="s">
        <v>22</v>
      </c>
    </row>
    <row r="24735" spans="1:11">
      <c r="A24735" s="33" t="s">
        <v>54502</v>
      </c>
      <c r="B24735" s="33" t="s">
        <v>54503</v>
      </c>
      <c r="C24735" s="33" t="s">
        <v>18084</v>
      </c>
      <c r="D24735" s="33" t="s">
        <v>17</v>
      </c>
      <c r="E24735" s="33" t="s">
        <v>31</v>
      </c>
      <c r="F24735" s="33" t="s">
        <v>32</v>
      </c>
      <c r="G24735" s="33" t="s">
        <v>140</v>
      </c>
      <c r="H24735" s="35">
        <v>12</v>
      </c>
      <c r="I24735" s="33" t="s">
        <v>51</v>
      </c>
      <c r="J24735" s="42">
        <v>45912</v>
      </c>
      <c r="K24735" s="33" t="s">
        <v>22</v>
      </c>
    </row>
    <row r="24736" spans="1:11">
      <c r="A24736" s="30" t="s">
        <v>54504</v>
      </c>
      <c r="B24736" s="30" t="s">
        <v>54505</v>
      </c>
      <c r="C24736" s="30" t="s">
        <v>36361</v>
      </c>
      <c r="D24736" s="30" t="s">
        <v>17</v>
      </c>
      <c r="E24736" s="30" t="s">
        <v>18</v>
      </c>
      <c r="F24736" s="30" t="s">
        <v>19</v>
      </c>
      <c r="G24736" s="30" t="s">
        <v>140</v>
      </c>
      <c r="H24736" s="32">
        <v>147</v>
      </c>
      <c r="I24736" s="30" t="s">
        <v>51</v>
      </c>
      <c r="J24736" s="41">
        <v>45838</v>
      </c>
      <c r="K24736" s="30" t="s">
        <v>22</v>
      </c>
    </row>
    <row r="24737" spans="1:11">
      <c r="A24737" s="33" t="s">
        <v>54506</v>
      </c>
      <c r="B24737" s="33" t="s">
        <v>54507</v>
      </c>
      <c r="C24737" s="33" t="s">
        <v>23495</v>
      </c>
      <c r="D24737" s="33" t="s">
        <v>17</v>
      </c>
      <c r="E24737" s="33" t="s">
        <v>212</v>
      </c>
      <c r="F24737" s="33" t="s">
        <v>213</v>
      </c>
      <c r="G24737" s="33" t="s">
        <v>7780</v>
      </c>
      <c r="H24737" s="35">
        <v>50</v>
      </c>
      <c r="I24737" s="33" t="s">
        <v>51</v>
      </c>
      <c r="J24737" s="42">
        <v>45901</v>
      </c>
      <c r="K24737" s="33" t="s">
        <v>22</v>
      </c>
    </row>
    <row r="24738" spans="1:11">
      <c r="A24738" s="30" t="s">
        <v>54508</v>
      </c>
      <c r="B24738" s="30" t="s">
        <v>54509</v>
      </c>
      <c r="C24738" s="30" t="s">
        <v>18761</v>
      </c>
      <c r="D24738" s="30" t="s">
        <v>17</v>
      </c>
      <c r="E24738" s="30" t="s">
        <v>31</v>
      </c>
      <c r="F24738" s="30" t="s">
        <v>32</v>
      </c>
      <c r="G24738" s="30" t="s">
        <v>140</v>
      </c>
      <c r="H24738" s="32">
        <v>120</v>
      </c>
      <c r="I24738" s="30" t="s">
        <v>51</v>
      </c>
      <c r="J24738" s="41">
        <v>45957</v>
      </c>
      <c r="K24738" s="30" t="s">
        <v>22</v>
      </c>
    </row>
    <row r="24739" spans="1:11">
      <c r="A24739" s="33" t="s">
        <v>54510</v>
      </c>
      <c r="B24739" s="33" t="s">
        <v>54511</v>
      </c>
      <c r="C24739" s="33" t="s">
        <v>647</v>
      </c>
      <c r="D24739" s="33" t="s">
        <v>17</v>
      </c>
      <c r="E24739" s="33" t="s">
        <v>18</v>
      </c>
      <c r="F24739" s="33" t="s">
        <v>19</v>
      </c>
      <c r="G24739" s="33" t="s">
        <v>140</v>
      </c>
      <c r="H24739" s="35">
        <v>1123</v>
      </c>
      <c r="I24739" s="33" t="s">
        <v>51</v>
      </c>
      <c r="J24739" s="42">
        <v>45799</v>
      </c>
      <c r="K24739" s="33" t="s">
        <v>22</v>
      </c>
    </row>
    <row r="24740" spans="1:11">
      <c r="A24740" s="30" t="s">
        <v>54512</v>
      </c>
      <c r="B24740" s="30" t="s">
        <v>54513</v>
      </c>
      <c r="C24740" s="30" t="s">
        <v>54514</v>
      </c>
      <c r="D24740" s="30" t="s">
        <v>17</v>
      </c>
      <c r="E24740" s="30" t="s">
        <v>31</v>
      </c>
      <c r="F24740" s="30" t="s">
        <v>32</v>
      </c>
      <c r="G24740" s="30" t="s">
        <v>140</v>
      </c>
      <c r="H24740" s="32">
        <v>90</v>
      </c>
      <c r="I24740" s="30" t="s">
        <v>51</v>
      </c>
      <c r="J24740" s="41">
        <v>45870</v>
      </c>
      <c r="K24740" s="30" t="s">
        <v>22</v>
      </c>
    </row>
    <row r="24741" spans="1:11">
      <c r="A24741" s="33" t="s">
        <v>54515</v>
      </c>
      <c r="B24741" s="33" t="s">
        <v>54516</v>
      </c>
      <c r="C24741" s="33" t="s">
        <v>5725</v>
      </c>
      <c r="D24741" s="33" t="s">
        <v>17</v>
      </c>
      <c r="E24741" s="33" t="s">
        <v>26</v>
      </c>
      <c r="F24741" s="33" t="s">
        <v>27</v>
      </c>
      <c r="G24741" s="33" t="s">
        <v>140</v>
      </c>
      <c r="H24741" s="35">
        <v>414</v>
      </c>
      <c r="I24741" s="33" t="s">
        <v>51</v>
      </c>
      <c r="J24741" s="42">
        <v>45714</v>
      </c>
      <c r="K24741" s="33" t="s">
        <v>22</v>
      </c>
    </row>
    <row r="24742" spans="1:11">
      <c r="A24742" s="30" t="s">
        <v>54517</v>
      </c>
      <c r="B24742" s="30" t="s">
        <v>54518</v>
      </c>
      <c r="C24742" s="30" t="s">
        <v>149</v>
      </c>
      <c r="D24742" s="30" t="s">
        <v>17</v>
      </c>
      <c r="E24742" s="30" t="s">
        <v>26</v>
      </c>
      <c r="F24742" s="30" t="s">
        <v>27</v>
      </c>
      <c r="G24742" s="30" t="s">
        <v>20</v>
      </c>
      <c r="H24742" s="32">
        <v>16</v>
      </c>
      <c r="I24742" s="30" t="s">
        <v>21</v>
      </c>
      <c r="J24742" s="41">
        <v>45796</v>
      </c>
      <c r="K24742" s="30" t="s">
        <v>22</v>
      </c>
    </row>
    <row r="24743" spans="1:11">
      <c r="A24743" s="33" t="s">
        <v>54519</v>
      </c>
      <c r="B24743" s="33" t="s">
        <v>54520</v>
      </c>
      <c r="C24743" s="33" t="s">
        <v>39582</v>
      </c>
      <c r="D24743" s="33" t="s">
        <v>17</v>
      </c>
      <c r="E24743" s="33" t="s">
        <v>31</v>
      </c>
      <c r="F24743" s="33" t="s">
        <v>32</v>
      </c>
      <c r="G24743" s="33" t="s">
        <v>7780</v>
      </c>
      <c r="H24743" s="35">
        <v>38</v>
      </c>
      <c r="I24743" s="33" t="s">
        <v>51</v>
      </c>
      <c r="J24743" s="42">
        <v>45748</v>
      </c>
      <c r="K24743" s="33" t="s">
        <v>22</v>
      </c>
    </row>
    <row r="24744" spans="1:11">
      <c r="A24744" s="30" t="s">
        <v>54521</v>
      </c>
      <c r="B24744" s="30" t="s">
        <v>54522</v>
      </c>
      <c r="C24744" s="30" t="s">
        <v>891</v>
      </c>
      <c r="D24744" s="30" t="s">
        <v>17</v>
      </c>
      <c r="E24744" s="30" t="s">
        <v>26</v>
      </c>
      <c r="F24744" s="30" t="s">
        <v>27</v>
      </c>
      <c r="G24744" s="30" t="s">
        <v>20</v>
      </c>
      <c r="H24744" s="32">
        <v>20</v>
      </c>
      <c r="I24744" s="30" t="s">
        <v>21</v>
      </c>
      <c r="J24744" s="41">
        <v>45763</v>
      </c>
      <c r="K24744" s="30" t="s">
        <v>22</v>
      </c>
    </row>
    <row r="24745" spans="1:11">
      <c r="A24745" s="33" t="s">
        <v>54523</v>
      </c>
      <c r="B24745" s="33" t="s">
        <v>54524</v>
      </c>
      <c r="C24745" s="33" t="s">
        <v>109</v>
      </c>
      <c r="D24745" s="33" t="s">
        <v>17</v>
      </c>
      <c r="E24745" s="33" t="s">
        <v>26</v>
      </c>
      <c r="F24745" s="33" t="s">
        <v>27</v>
      </c>
      <c r="G24745" s="33" t="s">
        <v>158</v>
      </c>
      <c r="H24745" s="35">
        <v>57</v>
      </c>
      <c r="I24745" s="33" t="s">
        <v>51</v>
      </c>
      <c r="J24745" s="42">
        <v>45820</v>
      </c>
      <c r="K24745" s="33" t="s">
        <v>22</v>
      </c>
    </row>
    <row r="24746" spans="1:11">
      <c r="A24746" s="30" t="s">
        <v>54525</v>
      </c>
      <c r="B24746" s="30" t="s">
        <v>54526</v>
      </c>
      <c r="C24746" s="30" t="s">
        <v>1498</v>
      </c>
      <c r="D24746" s="30" t="s">
        <v>17</v>
      </c>
      <c r="E24746" s="30" t="s">
        <v>18</v>
      </c>
      <c r="F24746" s="30" t="s">
        <v>19</v>
      </c>
      <c r="G24746" s="30" t="s">
        <v>140</v>
      </c>
      <c r="H24746" s="32">
        <v>486</v>
      </c>
      <c r="I24746" s="30" t="s">
        <v>51</v>
      </c>
      <c r="J24746" s="41">
        <v>45881</v>
      </c>
      <c r="K24746" s="30" t="s">
        <v>22</v>
      </c>
    </row>
    <row r="24747" spans="1:11">
      <c r="A24747" s="33" t="s">
        <v>54527</v>
      </c>
      <c r="B24747" s="33" t="s">
        <v>54528</v>
      </c>
      <c r="C24747" s="33" t="s">
        <v>13241</v>
      </c>
      <c r="D24747" s="33" t="s">
        <v>17</v>
      </c>
      <c r="E24747" s="33" t="s">
        <v>18</v>
      </c>
      <c r="F24747" s="33" t="s">
        <v>19</v>
      </c>
      <c r="G24747" s="33" t="s">
        <v>140</v>
      </c>
      <c r="H24747" s="35">
        <v>402</v>
      </c>
      <c r="I24747" s="33" t="s">
        <v>51</v>
      </c>
      <c r="J24747" s="42">
        <v>45700</v>
      </c>
      <c r="K24747" s="33" t="s">
        <v>22</v>
      </c>
    </row>
    <row r="24748" spans="1:11">
      <c r="A24748" s="30" t="s">
        <v>54529</v>
      </c>
      <c r="B24748" s="30" t="s">
        <v>54530</v>
      </c>
      <c r="C24748" s="30" t="s">
        <v>7201</v>
      </c>
      <c r="D24748" s="30" t="s">
        <v>17</v>
      </c>
      <c r="E24748" s="30" t="s">
        <v>31</v>
      </c>
      <c r="F24748" s="30" t="s">
        <v>32</v>
      </c>
      <c r="G24748" s="30" t="s">
        <v>20</v>
      </c>
      <c r="H24748" s="32">
        <v>168</v>
      </c>
      <c r="I24748" s="30" t="s">
        <v>21</v>
      </c>
      <c r="J24748" s="41">
        <v>45925</v>
      </c>
      <c r="K24748" s="30" t="s">
        <v>22</v>
      </c>
    </row>
    <row r="24749" spans="1:11">
      <c r="A24749" s="33" t="s">
        <v>54531</v>
      </c>
      <c r="B24749" s="33" t="s">
        <v>54532</v>
      </c>
      <c r="C24749" s="33" t="s">
        <v>41121</v>
      </c>
      <c r="D24749" s="33" t="s">
        <v>17</v>
      </c>
      <c r="E24749" s="33" t="s">
        <v>31</v>
      </c>
      <c r="F24749" s="33" t="s">
        <v>32</v>
      </c>
      <c r="G24749" s="33" t="s">
        <v>140</v>
      </c>
      <c r="H24749" s="35">
        <v>140</v>
      </c>
      <c r="I24749" s="33" t="s">
        <v>51</v>
      </c>
      <c r="J24749" s="42">
        <v>45834</v>
      </c>
      <c r="K24749" s="33" t="s">
        <v>22</v>
      </c>
    </row>
    <row r="24750" spans="1:11">
      <c r="A24750" s="30" t="s">
        <v>54533</v>
      </c>
      <c r="B24750" s="30" t="s">
        <v>54534</v>
      </c>
      <c r="C24750" s="30" t="s">
        <v>149</v>
      </c>
      <c r="D24750" s="30" t="s">
        <v>17</v>
      </c>
      <c r="E24750" s="30" t="s">
        <v>67</v>
      </c>
      <c r="F24750" s="30" t="s">
        <v>68</v>
      </c>
      <c r="G24750" s="30" t="s">
        <v>7780</v>
      </c>
      <c r="H24750" s="32">
        <v>27</v>
      </c>
      <c r="I24750" s="30" t="s">
        <v>51</v>
      </c>
      <c r="J24750" s="41">
        <v>45748</v>
      </c>
      <c r="K24750" s="30" t="s">
        <v>22</v>
      </c>
    </row>
    <row r="24751" spans="1:11">
      <c r="A24751" s="33" t="s">
        <v>54535</v>
      </c>
      <c r="B24751" s="33" t="s">
        <v>54536</v>
      </c>
      <c r="C24751" s="33" t="s">
        <v>6017</v>
      </c>
      <c r="D24751" s="33" t="s">
        <v>17</v>
      </c>
      <c r="E24751" s="33" t="s">
        <v>18</v>
      </c>
      <c r="F24751" s="33" t="s">
        <v>19</v>
      </c>
      <c r="G24751" s="33" t="s">
        <v>7780</v>
      </c>
      <c r="H24751" s="35">
        <v>150</v>
      </c>
      <c r="I24751" s="33" t="s">
        <v>51</v>
      </c>
      <c r="J24751" s="42">
        <v>45901</v>
      </c>
      <c r="K24751" s="33" t="s">
        <v>22</v>
      </c>
    </row>
    <row r="24752" spans="1:11">
      <c r="A24752" s="30" t="s">
        <v>54537</v>
      </c>
      <c r="B24752" s="30" t="s">
        <v>54538</v>
      </c>
      <c r="C24752" s="30" t="s">
        <v>53554</v>
      </c>
      <c r="D24752" s="30" t="s">
        <v>17</v>
      </c>
      <c r="E24752" s="30" t="s">
        <v>26</v>
      </c>
      <c r="F24752" s="30" t="s">
        <v>27</v>
      </c>
      <c r="G24752" s="30" t="s">
        <v>7780</v>
      </c>
      <c r="H24752" s="32">
        <v>20</v>
      </c>
      <c r="I24752" s="30" t="s">
        <v>51</v>
      </c>
      <c r="J24752" s="41">
        <v>45992</v>
      </c>
      <c r="K24752" s="30" t="s">
        <v>22</v>
      </c>
    </row>
    <row r="24753" spans="1:11">
      <c r="A24753" s="33" t="s">
        <v>54539</v>
      </c>
      <c r="B24753" s="33" t="s">
        <v>52243</v>
      </c>
      <c r="C24753" s="33" t="s">
        <v>203</v>
      </c>
      <c r="D24753" s="33" t="s">
        <v>17</v>
      </c>
      <c r="E24753" s="33" t="s">
        <v>18</v>
      </c>
      <c r="F24753" s="33" t="s">
        <v>19</v>
      </c>
      <c r="G24753" s="33" t="s">
        <v>158</v>
      </c>
      <c r="H24753" s="35">
        <v>231</v>
      </c>
      <c r="I24753" s="33" t="s">
        <v>21</v>
      </c>
      <c r="J24753" s="42">
        <v>45700</v>
      </c>
      <c r="K24753" s="33" t="s">
        <v>22</v>
      </c>
    </row>
    <row r="24754" spans="1:11">
      <c r="A24754" s="30" t="s">
        <v>54540</v>
      </c>
      <c r="B24754" s="30" t="s">
        <v>54541</v>
      </c>
      <c r="C24754" s="30" t="s">
        <v>5251</v>
      </c>
      <c r="D24754" s="30" t="s">
        <v>17</v>
      </c>
      <c r="E24754" s="30" t="s">
        <v>18</v>
      </c>
      <c r="F24754" s="30" t="s">
        <v>19</v>
      </c>
      <c r="G24754" s="30" t="s">
        <v>140</v>
      </c>
      <c r="H24754" s="32">
        <v>180</v>
      </c>
      <c r="I24754" s="30" t="s">
        <v>51</v>
      </c>
      <c r="J24754" s="41">
        <v>45874</v>
      </c>
      <c r="K24754" s="30" t="s">
        <v>22</v>
      </c>
    </row>
    <row r="24755" spans="1:11">
      <c r="A24755" s="33" t="s">
        <v>54542</v>
      </c>
      <c r="B24755" s="33" t="s">
        <v>54543</v>
      </c>
      <c r="C24755" s="33" t="s">
        <v>190</v>
      </c>
      <c r="D24755" s="33" t="s">
        <v>17</v>
      </c>
      <c r="E24755" s="33" t="s">
        <v>18</v>
      </c>
      <c r="F24755" s="33" t="s">
        <v>19</v>
      </c>
      <c r="G24755" s="33" t="s">
        <v>140</v>
      </c>
      <c r="H24755" s="35">
        <v>420</v>
      </c>
      <c r="I24755" s="33" t="s">
        <v>51</v>
      </c>
      <c r="J24755" s="42">
        <v>45972</v>
      </c>
      <c r="K24755" s="33" t="s">
        <v>22</v>
      </c>
    </row>
    <row r="24756" spans="1:11">
      <c r="A24756" s="30" t="s">
        <v>54544</v>
      </c>
      <c r="B24756" s="30" t="s">
        <v>54545</v>
      </c>
      <c r="C24756" s="30" t="s">
        <v>96</v>
      </c>
      <c r="D24756" s="30" t="s">
        <v>17</v>
      </c>
      <c r="E24756" s="30" t="s">
        <v>26</v>
      </c>
      <c r="F24756" s="30" t="s">
        <v>27</v>
      </c>
      <c r="G24756" s="30" t="s">
        <v>106</v>
      </c>
      <c r="H24756" s="32">
        <v>6</v>
      </c>
      <c r="I24756" s="30" t="s">
        <v>21</v>
      </c>
      <c r="J24756" s="41">
        <v>45785</v>
      </c>
      <c r="K24756" s="30" t="s">
        <v>22</v>
      </c>
    </row>
    <row r="24757" spans="1:11">
      <c r="A24757" s="33" t="s">
        <v>54546</v>
      </c>
      <c r="B24757" s="33" t="s">
        <v>54547</v>
      </c>
      <c r="C24757" s="33" t="s">
        <v>27559</v>
      </c>
      <c r="D24757" s="33" t="s">
        <v>17</v>
      </c>
      <c r="E24757" s="33" t="s">
        <v>45</v>
      </c>
      <c r="F24757" s="33" t="s">
        <v>46</v>
      </c>
      <c r="G24757" s="33" t="s">
        <v>7780</v>
      </c>
      <c r="H24757" s="35">
        <v>120</v>
      </c>
      <c r="I24757" s="33" t="s">
        <v>51</v>
      </c>
      <c r="J24757" s="42">
        <v>45931</v>
      </c>
      <c r="K24757" s="33" t="s">
        <v>22</v>
      </c>
    </row>
    <row r="24758" spans="1:11">
      <c r="A24758" s="30" t="s">
        <v>54548</v>
      </c>
      <c r="B24758" s="30" t="s">
        <v>54549</v>
      </c>
      <c r="C24758" s="30" t="s">
        <v>8151</v>
      </c>
      <c r="D24758" s="30" t="s">
        <v>17</v>
      </c>
      <c r="E24758" s="30" t="s">
        <v>31</v>
      </c>
      <c r="F24758" s="30" t="s">
        <v>32</v>
      </c>
      <c r="G24758" s="30" t="s">
        <v>140</v>
      </c>
      <c r="H24758" s="32">
        <v>160</v>
      </c>
      <c r="I24758" s="30" t="s">
        <v>51</v>
      </c>
      <c r="J24758" s="41">
        <v>45931</v>
      </c>
      <c r="K24758" s="30" t="s">
        <v>22</v>
      </c>
    </row>
    <row r="24759" spans="1:11">
      <c r="A24759" s="33" t="s">
        <v>54550</v>
      </c>
      <c r="B24759" s="33" t="s">
        <v>54551</v>
      </c>
      <c r="C24759" s="33" t="s">
        <v>14832</v>
      </c>
      <c r="D24759" s="33" t="s">
        <v>17</v>
      </c>
      <c r="E24759" s="33" t="s">
        <v>67</v>
      </c>
      <c r="F24759" s="33" t="s">
        <v>68</v>
      </c>
      <c r="G24759" s="33" t="s">
        <v>140</v>
      </c>
      <c r="H24759" s="35">
        <v>160</v>
      </c>
      <c r="I24759" s="33" t="s">
        <v>51</v>
      </c>
      <c r="J24759" s="42">
        <v>45868</v>
      </c>
      <c r="K24759" s="33" t="s">
        <v>22</v>
      </c>
    </row>
    <row r="24760" spans="1:11">
      <c r="A24760" s="30" t="s">
        <v>54552</v>
      </c>
      <c r="B24760" s="30" t="s">
        <v>54553</v>
      </c>
      <c r="C24760" s="30" t="s">
        <v>93</v>
      </c>
      <c r="D24760" s="30" t="s">
        <v>17</v>
      </c>
      <c r="E24760" s="30" t="s">
        <v>26</v>
      </c>
      <c r="F24760" s="30" t="s">
        <v>27</v>
      </c>
      <c r="G24760" s="30" t="s">
        <v>140</v>
      </c>
      <c r="H24760" s="32">
        <v>219</v>
      </c>
      <c r="I24760" s="30" t="s">
        <v>51</v>
      </c>
      <c r="J24760" s="41">
        <v>45988</v>
      </c>
      <c r="K24760" s="30" t="s">
        <v>22</v>
      </c>
    </row>
    <row r="24761" spans="1:11">
      <c r="A24761" s="33" t="s">
        <v>54554</v>
      </c>
      <c r="B24761" s="33" t="s">
        <v>54555</v>
      </c>
      <c r="C24761" s="33" t="s">
        <v>29833</v>
      </c>
      <c r="D24761" s="33" t="s">
        <v>17</v>
      </c>
      <c r="E24761" s="33" t="s">
        <v>26</v>
      </c>
      <c r="F24761" s="33" t="s">
        <v>27</v>
      </c>
      <c r="G24761" s="33" t="s">
        <v>140</v>
      </c>
      <c r="H24761" s="35">
        <v>60</v>
      </c>
      <c r="I24761" s="33" t="s">
        <v>51</v>
      </c>
      <c r="J24761" s="42">
        <v>45939</v>
      </c>
      <c r="K24761" s="33" t="s">
        <v>22</v>
      </c>
    </row>
    <row r="24762" spans="1:11">
      <c r="A24762" s="30" t="s">
        <v>54556</v>
      </c>
      <c r="B24762" s="30" t="s">
        <v>54557</v>
      </c>
      <c r="C24762" s="30" t="s">
        <v>31562</v>
      </c>
      <c r="D24762" s="30" t="s">
        <v>17</v>
      </c>
      <c r="E24762" s="30" t="s">
        <v>18</v>
      </c>
      <c r="F24762" s="30" t="s">
        <v>19</v>
      </c>
      <c r="G24762" s="30" t="s">
        <v>7780</v>
      </c>
      <c r="H24762" s="32">
        <v>720</v>
      </c>
      <c r="I24762" s="30" t="s">
        <v>51</v>
      </c>
      <c r="J24762" s="41">
        <v>45818</v>
      </c>
      <c r="K24762" s="30" t="s">
        <v>22</v>
      </c>
    </row>
    <row r="24763" spans="1:11">
      <c r="A24763" s="33" t="s">
        <v>54558</v>
      </c>
      <c r="B24763" s="33" t="s">
        <v>54559</v>
      </c>
      <c r="C24763" s="33" t="s">
        <v>21340</v>
      </c>
      <c r="D24763" s="33" t="s">
        <v>17</v>
      </c>
      <c r="E24763" s="33" t="s">
        <v>31</v>
      </c>
      <c r="F24763" s="33" t="s">
        <v>32</v>
      </c>
      <c r="G24763" s="33" t="s">
        <v>7780</v>
      </c>
      <c r="H24763" s="35">
        <v>24</v>
      </c>
      <c r="I24763" s="33" t="s">
        <v>51</v>
      </c>
      <c r="J24763" s="42">
        <v>45902</v>
      </c>
      <c r="K24763" s="33" t="s">
        <v>22</v>
      </c>
    </row>
    <row r="24764" spans="1:11">
      <c r="A24764" s="30" t="s">
        <v>54560</v>
      </c>
      <c r="B24764" s="30" t="s">
        <v>54561</v>
      </c>
      <c r="C24764" s="30" t="s">
        <v>14331</v>
      </c>
      <c r="D24764" s="30" t="s">
        <v>17</v>
      </c>
      <c r="E24764" s="30" t="s">
        <v>18</v>
      </c>
      <c r="F24764" s="30" t="s">
        <v>19</v>
      </c>
      <c r="G24764" s="30" t="s">
        <v>140</v>
      </c>
      <c r="H24764" s="32">
        <v>200</v>
      </c>
      <c r="I24764" s="30" t="s">
        <v>51</v>
      </c>
      <c r="J24764" s="41">
        <v>45818</v>
      </c>
      <c r="K24764" s="30" t="s">
        <v>22</v>
      </c>
    </row>
    <row r="24765" spans="1:11">
      <c r="A24765" s="33" t="s">
        <v>54562</v>
      </c>
      <c r="B24765" s="33" t="s">
        <v>54563</v>
      </c>
      <c r="C24765" s="33" t="s">
        <v>54564</v>
      </c>
      <c r="D24765" s="33" t="s">
        <v>17</v>
      </c>
      <c r="E24765" s="33" t="s">
        <v>67</v>
      </c>
      <c r="F24765" s="33" t="s">
        <v>68</v>
      </c>
      <c r="G24765" s="33" t="s">
        <v>140</v>
      </c>
      <c r="H24765" s="35">
        <v>12</v>
      </c>
      <c r="I24765" s="33" t="s">
        <v>51</v>
      </c>
      <c r="J24765" s="42">
        <v>45855</v>
      </c>
      <c r="K24765" s="33" t="s">
        <v>22</v>
      </c>
    </row>
    <row r="24766" spans="1:11">
      <c r="A24766" s="30" t="s">
        <v>54565</v>
      </c>
      <c r="B24766" s="30" t="s">
        <v>54566</v>
      </c>
      <c r="C24766" s="30" t="s">
        <v>16514</v>
      </c>
      <c r="D24766" s="30" t="s">
        <v>17</v>
      </c>
      <c r="E24766" s="30" t="s">
        <v>67</v>
      </c>
      <c r="F24766" s="30" t="s">
        <v>68</v>
      </c>
      <c r="G24766" s="30" t="s">
        <v>158</v>
      </c>
      <c r="H24766" s="32">
        <v>52</v>
      </c>
      <c r="I24766" s="30" t="s">
        <v>51</v>
      </c>
      <c r="J24766" s="41">
        <v>45719</v>
      </c>
      <c r="K24766" s="30" t="s">
        <v>22</v>
      </c>
    </row>
    <row r="24767" spans="1:11">
      <c r="A24767" s="33" t="s">
        <v>54567</v>
      </c>
      <c r="B24767" s="33" t="s">
        <v>54568</v>
      </c>
      <c r="C24767" s="33" t="s">
        <v>54569</v>
      </c>
      <c r="D24767" s="33" t="s">
        <v>17</v>
      </c>
      <c r="E24767" s="33" t="s">
        <v>67</v>
      </c>
      <c r="F24767" s="33" t="s">
        <v>68</v>
      </c>
      <c r="G24767" s="33" t="s">
        <v>7780</v>
      </c>
      <c r="H24767" s="35">
        <v>40</v>
      </c>
      <c r="I24767" s="33" t="s">
        <v>51</v>
      </c>
      <c r="J24767" s="42">
        <v>45658</v>
      </c>
      <c r="K24767" s="33" t="s">
        <v>22</v>
      </c>
    </row>
    <row r="24768" spans="1:11">
      <c r="A24768" s="30" t="s">
        <v>54570</v>
      </c>
      <c r="B24768" s="30" t="s">
        <v>54571</v>
      </c>
      <c r="C24768" s="30" t="s">
        <v>647</v>
      </c>
      <c r="D24768" s="30" t="s">
        <v>17</v>
      </c>
      <c r="E24768" s="30" t="s">
        <v>31</v>
      </c>
      <c r="F24768" s="30" t="s">
        <v>32</v>
      </c>
      <c r="G24768" s="30" t="s">
        <v>112</v>
      </c>
      <c r="H24768" s="32">
        <v>0</v>
      </c>
      <c r="I24768" s="30" t="s">
        <v>21</v>
      </c>
      <c r="J24768" s="41">
        <v>45742</v>
      </c>
      <c r="K24768" s="30" t="s">
        <v>22</v>
      </c>
    </row>
    <row r="24769" spans="1:11">
      <c r="A24769" s="33" t="s">
        <v>54572</v>
      </c>
      <c r="B24769" s="33" t="s">
        <v>54573</v>
      </c>
      <c r="C24769" s="33" t="s">
        <v>36231</v>
      </c>
      <c r="D24769" s="33" t="s">
        <v>17</v>
      </c>
      <c r="E24769" s="33" t="s">
        <v>31</v>
      </c>
      <c r="F24769" s="33" t="s">
        <v>32</v>
      </c>
      <c r="G24769" s="33" t="s">
        <v>158</v>
      </c>
      <c r="H24769" s="35">
        <v>184</v>
      </c>
      <c r="I24769" s="33" t="s">
        <v>21</v>
      </c>
      <c r="J24769" s="42">
        <v>46003</v>
      </c>
      <c r="K24769" s="33" t="s">
        <v>22</v>
      </c>
    </row>
    <row r="24770" spans="1:11">
      <c r="A24770" s="30" t="s">
        <v>54574</v>
      </c>
      <c r="B24770" s="30" t="s">
        <v>54575</v>
      </c>
      <c r="C24770" s="30" t="s">
        <v>15917</v>
      </c>
      <c r="D24770" s="30" t="s">
        <v>17</v>
      </c>
      <c r="E24770" s="30" t="s">
        <v>26</v>
      </c>
      <c r="F24770" s="30" t="s">
        <v>27</v>
      </c>
      <c r="G24770" s="30" t="s">
        <v>20</v>
      </c>
      <c r="H24770" s="32">
        <v>12</v>
      </c>
      <c r="I24770" s="30" t="s">
        <v>21</v>
      </c>
      <c r="J24770" s="41">
        <v>45781</v>
      </c>
      <c r="K24770" s="30" t="s">
        <v>22</v>
      </c>
    </row>
    <row r="24771" spans="1:11">
      <c r="A24771" s="33" t="s">
        <v>54576</v>
      </c>
      <c r="B24771" s="33" t="s">
        <v>54577</v>
      </c>
      <c r="C24771" s="33" t="s">
        <v>10311</v>
      </c>
      <c r="D24771" s="33" t="s">
        <v>17</v>
      </c>
      <c r="E24771" s="33" t="s">
        <v>18</v>
      </c>
      <c r="F24771" s="33" t="s">
        <v>19</v>
      </c>
      <c r="G24771" s="33" t="s">
        <v>140</v>
      </c>
      <c r="H24771" s="35">
        <v>395</v>
      </c>
      <c r="I24771" s="33" t="s">
        <v>51</v>
      </c>
      <c r="J24771" s="42">
        <v>45975</v>
      </c>
      <c r="K24771" s="33" t="s">
        <v>22</v>
      </c>
    </row>
    <row r="24772" spans="1:11">
      <c r="A24772" s="30" t="s">
        <v>54578</v>
      </c>
      <c r="B24772" s="30" t="s">
        <v>54579</v>
      </c>
      <c r="C24772" s="30" t="s">
        <v>1598</v>
      </c>
      <c r="D24772" s="30" t="s">
        <v>17</v>
      </c>
      <c r="E24772" s="30" t="s">
        <v>31</v>
      </c>
      <c r="F24772" s="30" t="s">
        <v>32</v>
      </c>
      <c r="G24772" s="30" t="s">
        <v>140</v>
      </c>
      <c r="H24772" s="32">
        <v>403</v>
      </c>
      <c r="I24772" s="30" t="s">
        <v>51</v>
      </c>
      <c r="J24772" s="41">
        <v>46022</v>
      </c>
      <c r="K24772" s="30" t="s">
        <v>22</v>
      </c>
    </row>
    <row r="24773" spans="1:11">
      <c r="A24773" s="33" t="s">
        <v>54580</v>
      </c>
      <c r="B24773" s="33" t="s">
        <v>54581</v>
      </c>
      <c r="C24773" s="33" t="s">
        <v>1003</v>
      </c>
      <c r="D24773" s="33" t="s">
        <v>17</v>
      </c>
      <c r="E24773" s="33" t="s">
        <v>67</v>
      </c>
      <c r="F24773" s="33" t="s">
        <v>68</v>
      </c>
      <c r="G24773" s="33" t="s">
        <v>140</v>
      </c>
      <c r="H24773" s="35">
        <v>400</v>
      </c>
      <c r="I24773" s="33" t="s">
        <v>51</v>
      </c>
      <c r="J24773" s="42">
        <v>46022</v>
      </c>
      <c r="K24773" s="33" t="s">
        <v>22</v>
      </c>
    </row>
    <row r="24774" spans="1:11">
      <c r="A24774" s="30" t="s">
        <v>54582</v>
      </c>
      <c r="B24774" s="30" t="s">
        <v>54583</v>
      </c>
      <c r="C24774" s="30" t="s">
        <v>2313</v>
      </c>
      <c r="D24774" s="30" t="s">
        <v>17</v>
      </c>
      <c r="E24774" s="30" t="s">
        <v>26</v>
      </c>
      <c r="F24774" s="30" t="s">
        <v>27</v>
      </c>
      <c r="G24774" s="30" t="s">
        <v>158</v>
      </c>
      <c r="H24774" s="32">
        <v>60</v>
      </c>
      <c r="I24774" s="30" t="s">
        <v>51</v>
      </c>
      <c r="J24774" s="41">
        <v>45945</v>
      </c>
      <c r="K24774" s="30" t="s">
        <v>22</v>
      </c>
    </row>
    <row r="24775" spans="1:11">
      <c r="A24775" s="33" t="s">
        <v>54584</v>
      </c>
      <c r="B24775" s="33" t="s">
        <v>54585</v>
      </c>
      <c r="C24775" s="33" t="s">
        <v>3185</v>
      </c>
      <c r="D24775" s="33" t="s">
        <v>17</v>
      </c>
      <c r="E24775" s="33" t="s">
        <v>67</v>
      </c>
      <c r="F24775" s="33" t="s">
        <v>68</v>
      </c>
      <c r="G24775" s="33" t="s">
        <v>140</v>
      </c>
      <c r="H24775" s="35">
        <v>402</v>
      </c>
      <c r="I24775" s="33" t="s">
        <v>51</v>
      </c>
      <c r="J24775" s="42">
        <v>45712</v>
      </c>
      <c r="K24775" s="33" t="s">
        <v>22</v>
      </c>
    </row>
    <row r="24776" spans="1:11">
      <c r="A24776" s="30" t="s">
        <v>54586</v>
      </c>
      <c r="B24776" s="30" t="s">
        <v>54587</v>
      </c>
      <c r="C24776" s="30" t="s">
        <v>310</v>
      </c>
      <c r="D24776" s="30" t="s">
        <v>17</v>
      </c>
      <c r="E24776" s="30" t="s">
        <v>26</v>
      </c>
      <c r="F24776" s="30" t="s">
        <v>27</v>
      </c>
      <c r="G24776" s="30" t="s">
        <v>140</v>
      </c>
      <c r="H24776" s="32">
        <v>30</v>
      </c>
      <c r="I24776" s="30" t="s">
        <v>51</v>
      </c>
      <c r="J24776" s="41">
        <v>45953</v>
      </c>
      <c r="K24776" s="30" t="s">
        <v>22</v>
      </c>
    </row>
    <row r="24777" spans="1:11">
      <c r="A24777" s="33" t="s">
        <v>54588</v>
      </c>
      <c r="B24777" s="33" t="s">
        <v>54589</v>
      </c>
      <c r="C24777" s="33" t="s">
        <v>2772</v>
      </c>
      <c r="D24777" s="33" t="s">
        <v>17</v>
      </c>
      <c r="E24777" s="33" t="s">
        <v>18</v>
      </c>
      <c r="F24777" s="33" t="s">
        <v>19</v>
      </c>
      <c r="G24777" s="33" t="s">
        <v>140</v>
      </c>
      <c r="H24777" s="35">
        <v>292</v>
      </c>
      <c r="I24777" s="33" t="s">
        <v>51</v>
      </c>
      <c r="J24777" s="42">
        <v>45962</v>
      </c>
      <c r="K24777" s="33" t="s">
        <v>22</v>
      </c>
    </row>
    <row r="24778" spans="1:11">
      <c r="A24778" s="30" t="s">
        <v>54590</v>
      </c>
      <c r="B24778" s="30" t="s">
        <v>54591</v>
      </c>
      <c r="C24778" s="30" t="s">
        <v>1210</v>
      </c>
      <c r="D24778" s="30" t="s">
        <v>17</v>
      </c>
      <c r="E24778" s="30" t="s">
        <v>31</v>
      </c>
      <c r="F24778" s="30" t="s">
        <v>32</v>
      </c>
      <c r="G24778" s="30" t="s">
        <v>158</v>
      </c>
      <c r="H24778" s="32">
        <v>140</v>
      </c>
      <c r="I24778" s="30" t="s">
        <v>51</v>
      </c>
      <c r="J24778" s="41">
        <v>45700</v>
      </c>
      <c r="K24778" s="30" t="s">
        <v>22</v>
      </c>
    </row>
    <row r="24779" spans="1:11">
      <c r="A24779" s="33" t="s">
        <v>54592</v>
      </c>
      <c r="B24779" s="33" t="s">
        <v>54593</v>
      </c>
      <c r="C24779" s="33" t="s">
        <v>3489</v>
      </c>
      <c r="D24779" s="33" t="s">
        <v>17</v>
      </c>
      <c r="E24779" s="33" t="s">
        <v>18</v>
      </c>
      <c r="F24779" s="33" t="s">
        <v>19</v>
      </c>
      <c r="G24779" s="33" t="s">
        <v>2613</v>
      </c>
      <c r="H24779" s="35">
        <v>140</v>
      </c>
      <c r="I24779" s="33" t="s">
        <v>51</v>
      </c>
      <c r="J24779" s="42">
        <v>45828</v>
      </c>
      <c r="K24779" s="33" t="s">
        <v>22</v>
      </c>
    </row>
    <row r="24780" spans="1:11">
      <c r="A24780" s="30" t="s">
        <v>54594</v>
      </c>
      <c r="B24780" s="30" t="s">
        <v>54595</v>
      </c>
      <c r="C24780" s="30" t="s">
        <v>16821</v>
      </c>
      <c r="D24780" s="30" t="s">
        <v>17</v>
      </c>
      <c r="E24780" s="30" t="s">
        <v>67</v>
      </c>
      <c r="F24780" s="30" t="s">
        <v>68</v>
      </c>
      <c r="G24780" s="30" t="s">
        <v>158</v>
      </c>
      <c r="H24780" s="32">
        <v>110</v>
      </c>
      <c r="I24780" s="30" t="s">
        <v>51</v>
      </c>
      <c r="J24780" s="41">
        <v>45679</v>
      </c>
      <c r="K24780" s="30" t="s">
        <v>22</v>
      </c>
    </row>
    <row r="24781" spans="1:11">
      <c r="A24781" s="33" t="s">
        <v>54596</v>
      </c>
      <c r="B24781" s="33" t="s">
        <v>54597</v>
      </c>
      <c r="C24781" s="33" t="s">
        <v>25186</v>
      </c>
      <c r="D24781" s="33" t="s">
        <v>17</v>
      </c>
      <c r="E24781" s="33" t="s">
        <v>26</v>
      </c>
      <c r="F24781" s="33" t="s">
        <v>27</v>
      </c>
      <c r="G24781" s="33" t="s">
        <v>140</v>
      </c>
      <c r="H24781" s="35">
        <v>129</v>
      </c>
      <c r="I24781" s="33" t="s">
        <v>51</v>
      </c>
      <c r="J24781" s="42">
        <v>45875</v>
      </c>
      <c r="K24781" s="33" t="s">
        <v>22</v>
      </c>
    </row>
    <row r="24782" spans="1:11">
      <c r="A24782" s="30" t="s">
        <v>54598</v>
      </c>
      <c r="B24782" s="30" t="s">
        <v>54599</v>
      </c>
      <c r="C24782" s="30" t="s">
        <v>969</v>
      </c>
      <c r="D24782" s="30" t="s">
        <v>17</v>
      </c>
      <c r="E24782" s="30" t="s">
        <v>18</v>
      </c>
      <c r="F24782" s="30" t="s">
        <v>19</v>
      </c>
      <c r="G24782" s="30" t="s">
        <v>140</v>
      </c>
      <c r="H24782" s="32">
        <v>750</v>
      </c>
      <c r="I24782" s="30" t="s">
        <v>51</v>
      </c>
      <c r="J24782" s="41">
        <v>45959</v>
      </c>
      <c r="K24782" s="30" t="s">
        <v>22</v>
      </c>
    </row>
    <row r="24783" spans="1:11">
      <c r="A24783" s="33" t="s">
        <v>54600</v>
      </c>
      <c r="B24783" s="33" t="s">
        <v>54601</v>
      </c>
      <c r="C24783" s="33" t="s">
        <v>20598</v>
      </c>
      <c r="D24783" s="33" t="s">
        <v>17</v>
      </c>
      <c r="E24783" s="33" t="s">
        <v>31</v>
      </c>
      <c r="F24783" s="33" t="s">
        <v>32</v>
      </c>
      <c r="G24783" s="33" t="s">
        <v>158</v>
      </c>
      <c r="H24783" s="35">
        <v>35</v>
      </c>
      <c r="I24783" s="33" t="s">
        <v>51</v>
      </c>
      <c r="J24783" s="42">
        <v>45744</v>
      </c>
      <c r="K24783" s="33" t="s">
        <v>22</v>
      </c>
    </row>
    <row r="24784" spans="1:11">
      <c r="A24784" s="30" t="s">
        <v>54602</v>
      </c>
      <c r="B24784" s="30" t="s">
        <v>54603</v>
      </c>
      <c r="C24784" s="30" t="s">
        <v>18468</v>
      </c>
      <c r="D24784" s="30" t="s">
        <v>17</v>
      </c>
      <c r="E24784" s="30" t="s">
        <v>330</v>
      </c>
      <c r="F24784" s="30" t="s">
        <v>331</v>
      </c>
      <c r="G24784" s="30" t="s">
        <v>140</v>
      </c>
      <c r="H24784" s="32">
        <v>45</v>
      </c>
      <c r="I24784" s="30" t="s">
        <v>51</v>
      </c>
      <c r="J24784" s="41">
        <v>45678</v>
      </c>
      <c r="K24784" s="30" t="s">
        <v>22</v>
      </c>
    </row>
    <row r="24785" spans="1:11">
      <c r="A24785" s="33" t="s">
        <v>54604</v>
      </c>
      <c r="B24785" s="33" t="s">
        <v>54605</v>
      </c>
      <c r="C24785" s="33" t="s">
        <v>5158</v>
      </c>
      <c r="D24785" s="33" t="s">
        <v>17</v>
      </c>
      <c r="E24785" s="33" t="s">
        <v>26</v>
      </c>
      <c r="F24785" s="33" t="s">
        <v>27</v>
      </c>
      <c r="G24785" s="33" t="s">
        <v>140</v>
      </c>
      <c r="H24785" s="35">
        <v>160</v>
      </c>
      <c r="I24785" s="33" t="s">
        <v>51</v>
      </c>
      <c r="J24785" s="42">
        <v>45750</v>
      </c>
      <c r="K24785" s="33" t="s">
        <v>22</v>
      </c>
    </row>
    <row r="24786" spans="1:11">
      <c r="A24786" s="30" t="s">
        <v>54606</v>
      </c>
      <c r="B24786" s="30" t="s">
        <v>54607</v>
      </c>
      <c r="C24786" s="30" t="s">
        <v>28178</v>
      </c>
      <c r="D24786" s="30" t="s">
        <v>17</v>
      </c>
      <c r="E24786" s="30" t="s">
        <v>26</v>
      </c>
      <c r="F24786" s="30" t="s">
        <v>27</v>
      </c>
      <c r="G24786" s="30" t="s">
        <v>140</v>
      </c>
      <c r="H24786" s="32">
        <v>60</v>
      </c>
      <c r="I24786" s="30" t="s">
        <v>51</v>
      </c>
      <c r="J24786" s="41">
        <v>45939</v>
      </c>
      <c r="K24786" s="30" t="s">
        <v>22</v>
      </c>
    </row>
    <row r="24787" spans="1:11">
      <c r="A24787" s="33" t="s">
        <v>54608</v>
      </c>
      <c r="B24787" s="33" t="s">
        <v>54609</v>
      </c>
      <c r="C24787" s="33" t="s">
        <v>12036</v>
      </c>
      <c r="D24787" s="33" t="s">
        <v>17</v>
      </c>
      <c r="E24787" s="33" t="s">
        <v>45</v>
      </c>
      <c r="F24787" s="33" t="s">
        <v>46</v>
      </c>
      <c r="G24787" s="33" t="s">
        <v>158</v>
      </c>
      <c r="H24787" s="35">
        <v>600</v>
      </c>
      <c r="I24787" s="33" t="s">
        <v>51</v>
      </c>
      <c r="J24787" s="42">
        <v>45823</v>
      </c>
      <c r="K24787" s="33" t="s">
        <v>22</v>
      </c>
    </row>
    <row r="24788" spans="1:11">
      <c r="A24788" s="30" t="s">
        <v>54610</v>
      </c>
      <c r="B24788" s="30" t="s">
        <v>54611</v>
      </c>
      <c r="C24788" s="30" t="s">
        <v>15622</v>
      </c>
      <c r="D24788" s="30" t="s">
        <v>17</v>
      </c>
      <c r="E24788" s="30" t="s">
        <v>67</v>
      </c>
      <c r="F24788" s="30" t="s">
        <v>68</v>
      </c>
      <c r="G24788" s="30" t="s">
        <v>106</v>
      </c>
      <c r="H24788" s="32">
        <v>13</v>
      </c>
      <c r="I24788" s="30" t="s">
        <v>21</v>
      </c>
      <c r="J24788" s="41">
        <v>45713</v>
      </c>
      <c r="K24788" s="30" t="s">
        <v>22</v>
      </c>
    </row>
    <row r="24789" spans="1:11">
      <c r="A24789" s="33" t="s">
        <v>54612</v>
      </c>
      <c r="B24789" s="33" t="s">
        <v>54613</v>
      </c>
      <c r="C24789" s="33" t="s">
        <v>847</v>
      </c>
      <c r="D24789" s="33" t="s">
        <v>17</v>
      </c>
      <c r="E24789" s="33" t="s">
        <v>330</v>
      </c>
      <c r="F24789" s="33" t="s">
        <v>331</v>
      </c>
      <c r="G24789" s="33" t="s">
        <v>140</v>
      </c>
      <c r="H24789" s="35">
        <v>15</v>
      </c>
      <c r="I24789" s="33" t="s">
        <v>51</v>
      </c>
      <c r="J24789" s="42">
        <v>46003</v>
      </c>
      <c r="K24789" s="33" t="s">
        <v>22</v>
      </c>
    </row>
    <row r="24790" spans="1:11">
      <c r="A24790" s="30" t="s">
        <v>54614</v>
      </c>
      <c r="B24790" s="30" t="s">
        <v>54615</v>
      </c>
      <c r="C24790" s="30" t="s">
        <v>19656</v>
      </c>
      <c r="D24790" s="30" t="s">
        <v>17</v>
      </c>
      <c r="E24790" s="30" t="s">
        <v>26</v>
      </c>
      <c r="F24790" s="30" t="s">
        <v>27</v>
      </c>
      <c r="G24790" s="30" t="s">
        <v>140</v>
      </c>
      <c r="H24790" s="32">
        <v>26</v>
      </c>
      <c r="I24790" s="30" t="s">
        <v>51</v>
      </c>
      <c r="J24790" s="41">
        <v>45905</v>
      </c>
      <c r="K24790" s="30" t="s">
        <v>22</v>
      </c>
    </row>
    <row r="24791" spans="1:11">
      <c r="A24791" s="33" t="s">
        <v>54616</v>
      </c>
      <c r="B24791" s="33" t="s">
        <v>54617</v>
      </c>
      <c r="C24791" s="33" t="s">
        <v>54618</v>
      </c>
      <c r="D24791" s="33" t="s">
        <v>17</v>
      </c>
      <c r="E24791" s="33" t="s">
        <v>67</v>
      </c>
      <c r="F24791" s="33" t="s">
        <v>68</v>
      </c>
      <c r="G24791" s="33" t="s">
        <v>140</v>
      </c>
      <c r="H24791" s="35">
        <v>36</v>
      </c>
      <c r="I24791" s="33" t="s">
        <v>51</v>
      </c>
      <c r="J24791" s="42">
        <v>45772</v>
      </c>
      <c r="K24791" s="33" t="s">
        <v>22</v>
      </c>
    </row>
    <row r="24792" spans="1:11">
      <c r="A24792" s="30" t="s">
        <v>54619</v>
      </c>
      <c r="B24792" s="30" t="s">
        <v>54620</v>
      </c>
      <c r="C24792" s="30" t="s">
        <v>310</v>
      </c>
      <c r="D24792" s="30" t="s">
        <v>17</v>
      </c>
      <c r="E24792" s="30" t="s">
        <v>26</v>
      </c>
      <c r="F24792" s="30" t="s">
        <v>27</v>
      </c>
      <c r="G24792" s="30" t="s">
        <v>140</v>
      </c>
      <c r="H24792" s="32">
        <v>75</v>
      </c>
      <c r="I24792" s="30" t="s">
        <v>51</v>
      </c>
      <c r="J24792" s="41">
        <v>45968</v>
      </c>
      <c r="K24792" s="30" t="s">
        <v>22</v>
      </c>
    </row>
    <row r="24793" spans="1:11">
      <c r="A24793" s="33" t="s">
        <v>54621</v>
      </c>
      <c r="B24793" s="33" t="s">
        <v>54622</v>
      </c>
      <c r="C24793" s="33" t="s">
        <v>2171</v>
      </c>
      <c r="D24793" s="33" t="s">
        <v>17</v>
      </c>
      <c r="E24793" s="33" t="s">
        <v>31</v>
      </c>
      <c r="F24793" s="33" t="s">
        <v>32</v>
      </c>
      <c r="G24793" s="33" t="s">
        <v>7780</v>
      </c>
      <c r="H24793" s="35">
        <v>56</v>
      </c>
      <c r="I24793" s="33" t="s">
        <v>51</v>
      </c>
      <c r="J24793" s="42">
        <v>45992</v>
      </c>
      <c r="K24793" s="33" t="s">
        <v>22</v>
      </c>
    </row>
    <row r="24794" spans="1:11">
      <c r="A24794" s="30" t="s">
        <v>54623</v>
      </c>
      <c r="B24794" s="30" t="s">
        <v>54624</v>
      </c>
      <c r="C24794" s="30" t="s">
        <v>25358</v>
      </c>
      <c r="D24794" s="30" t="s">
        <v>17</v>
      </c>
      <c r="E24794" s="30" t="s">
        <v>26</v>
      </c>
      <c r="F24794" s="30" t="s">
        <v>27</v>
      </c>
      <c r="G24794" s="30" t="s">
        <v>158</v>
      </c>
      <c r="H24794" s="32">
        <v>100</v>
      </c>
      <c r="I24794" s="30" t="s">
        <v>51</v>
      </c>
      <c r="J24794" s="41">
        <v>45835</v>
      </c>
      <c r="K24794" s="30" t="s">
        <v>22</v>
      </c>
    </row>
    <row r="24795" spans="1:11">
      <c r="A24795" s="33" t="s">
        <v>54625</v>
      </c>
      <c r="B24795" s="33" t="s">
        <v>54626</v>
      </c>
      <c r="C24795" s="33" t="s">
        <v>11899</v>
      </c>
      <c r="D24795" s="33" t="s">
        <v>17</v>
      </c>
      <c r="E24795" s="33" t="s">
        <v>18</v>
      </c>
      <c r="F24795" s="33" t="s">
        <v>19</v>
      </c>
      <c r="G24795" s="33" t="s">
        <v>140</v>
      </c>
      <c r="H24795" s="35">
        <v>576</v>
      </c>
      <c r="I24795" s="33" t="s">
        <v>51</v>
      </c>
      <c r="J24795" s="42">
        <v>45960</v>
      </c>
      <c r="K24795" s="33" t="s">
        <v>22</v>
      </c>
    </row>
    <row r="24796" spans="1:11">
      <c r="A24796" s="30" t="s">
        <v>54627</v>
      </c>
      <c r="B24796" s="30" t="s">
        <v>54628</v>
      </c>
      <c r="C24796" s="30" t="s">
        <v>9356</v>
      </c>
      <c r="D24796" s="30" t="s">
        <v>17</v>
      </c>
      <c r="E24796" s="30" t="s">
        <v>26</v>
      </c>
      <c r="F24796" s="30" t="s">
        <v>27</v>
      </c>
      <c r="G24796" s="30" t="s">
        <v>20</v>
      </c>
      <c r="H24796" s="32">
        <v>8</v>
      </c>
      <c r="I24796" s="30" t="s">
        <v>21</v>
      </c>
      <c r="J24796" s="41">
        <v>45831</v>
      </c>
      <c r="K24796" s="30" t="s">
        <v>22</v>
      </c>
    </row>
    <row r="24797" spans="1:11">
      <c r="A24797" s="33" t="s">
        <v>54629</v>
      </c>
      <c r="B24797" s="33" t="s">
        <v>54630</v>
      </c>
      <c r="C24797" s="33" t="s">
        <v>318</v>
      </c>
      <c r="D24797" s="33" t="s">
        <v>17</v>
      </c>
      <c r="E24797" s="33" t="s">
        <v>26</v>
      </c>
      <c r="F24797" s="33" t="s">
        <v>27</v>
      </c>
      <c r="G24797" s="33" t="s">
        <v>20</v>
      </c>
      <c r="H24797" s="35">
        <v>57</v>
      </c>
      <c r="I24797" s="33" t="s">
        <v>21</v>
      </c>
      <c r="J24797" s="42">
        <v>45764</v>
      </c>
      <c r="K24797" s="33" t="s">
        <v>22</v>
      </c>
    </row>
    <row r="24798" spans="1:11">
      <c r="A24798" s="30" t="s">
        <v>54631</v>
      </c>
      <c r="B24798" s="30" t="s">
        <v>54632</v>
      </c>
      <c r="C24798" s="30" t="s">
        <v>178</v>
      </c>
      <c r="D24798" s="30" t="s">
        <v>17</v>
      </c>
      <c r="E24798" s="30" t="s">
        <v>18</v>
      </c>
      <c r="F24798" s="30" t="s">
        <v>19</v>
      </c>
      <c r="G24798" s="30" t="s">
        <v>140</v>
      </c>
      <c r="H24798" s="32">
        <v>450</v>
      </c>
      <c r="I24798" s="30" t="s">
        <v>51</v>
      </c>
      <c r="J24798" s="41">
        <v>45756</v>
      </c>
      <c r="K24798" s="30" t="s">
        <v>22</v>
      </c>
    </row>
    <row r="24799" spans="1:11">
      <c r="A24799" s="33" t="s">
        <v>54633</v>
      </c>
      <c r="B24799" s="33" t="s">
        <v>54634</v>
      </c>
      <c r="C24799" s="33" t="s">
        <v>2562</v>
      </c>
      <c r="D24799" s="33" t="s">
        <v>17</v>
      </c>
      <c r="E24799" s="33" t="s">
        <v>26</v>
      </c>
      <c r="F24799" s="33" t="s">
        <v>27</v>
      </c>
      <c r="G24799" s="33" t="s">
        <v>140</v>
      </c>
      <c r="H24799" s="35">
        <v>40</v>
      </c>
      <c r="I24799" s="33" t="s">
        <v>51</v>
      </c>
      <c r="J24799" s="42">
        <v>45901</v>
      </c>
      <c r="K24799" s="33" t="s">
        <v>22</v>
      </c>
    </row>
    <row r="24800" spans="1:11">
      <c r="A24800" s="30" t="s">
        <v>54635</v>
      </c>
      <c r="B24800" s="30" t="s">
        <v>54636</v>
      </c>
      <c r="C24800" s="30" t="s">
        <v>13181</v>
      </c>
      <c r="D24800" s="30" t="s">
        <v>17</v>
      </c>
      <c r="E24800" s="30" t="s">
        <v>26</v>
      </c>
      <c r="F24800" s="30" t="s">
        <v>27</v>
      </c>
      <c r="G24800" s="30" t="s">
        <v>140</v>
      </c>
      <c r="H24800" s="32">
        <v>56</v>
      </c>
      <c r="I24800" s="30" t="s">
        <v>51</v>
      </c>
      <c r="J24800" s="41">
        <v>46016</v>
      </c>
      <c r="K24800" s="30" t="s">
        <v>22</v>
      </c>
    </row>
    <row r="24801" spans="1:11">
      <c r="A24801" s="33" t="s">
        <v>54637</v>
      </c>
      <c r="B24801" s="33" t="s">
        <v>54638</v>
      </c>
      <c r="C24801" s="33" t="s">
        <v>136</v>
      </c>
      <c r="D24801" s="33" t="s">
        <v>17</v>
      </c>
      <c r="E24801" s="33" t="s">
        <v>26</v>
      </c>
      <c r="F24801" s="33" t="s">
        <v>27</v>
      </c>
      <c r="G24801" s="33" t="s">
        <v>20</v>
      </c>
      <c r="H24801" s="35">
        <v>31</v>
      </c>
      <c r="I24801" s="33" t="s">
        <v>21</v>
      </c>
      <c r="J24801" s="42">
        <v>45918</v>
      </c>
      <c r="K24801" s="33" t="s">
        <v>22</v>
      </c>
    </row>
    <row r="24802" spans="1:11">
      <c r="A24802" s="30" t="s">
        <v>54639</v>
      </c>
      <c r="B24802" s="30" t="s">
        <v>54640</v>
      </c>
      <c r="C24802" s="30" t="s">
        <v>93</v>
      </c>
      <c r="D24802" s="30" t="s">
        <v>17</v>
      </c>
      <c r="E24802" s="30" t="s">
        <v>212</v>
      </c>
      <c r="F24802" s="30" t="s">
        <v>213</v>
      </c>
      <c r="G24802" s="30" t="s">
        <v>140</v>
      </c>
      <c r="H24802" s="32">
        <v>100</v>
      </c>
      <c r="I24802" s="30" t="s">
        <v>51</v>
      </c>
      <c r="J24802" s="41">
        <v>45862</v>
      </c>
      <c r="K24802" s="30" t="s">
        <v>22</v>
      </c>
    </row>
    <row r="24803" spans="1:11">
      <c r="A24803" s="33" t="s">
        <v>54641</v>
      </c>
      <c r="B24803" s="33" t="s">
        <v>54642</v>
      </c>
      <c r="C24803" s="33" t="s">
        <v>28581</v>
      </c>
      <c r="D24803" s="33" t="s">
        <v>17</v>
      </c>
      <c r="E24803" s="33" t="s">
        <v>31</v>
      </c>
      <c r="F24803" s="33" t="s">
        <v>32</v>
      </c>
      <c r="G24803" s="33" t="s">
        <v>140</v>
      </c>
      <c r="H24803" s="35">
        <v>36</v>
      </c>
      <c r="I24803" s="33" t="s">
        <v>51</v>
      </c>
      <c r="J24803" s="42">
        <v>45898</v>
      </c>
      <c r="K24803" s="33" t="s">
        <v>22</v>
      </c>
    </row>
    <row r="24804" spans="1:11">
      <c r="A24804" s="30" t="s">
        <v>54643</v>
      </c>
      <c r="B24804" s="30" t="s">
        <v>54644</v>
      </c>
      <c r="C24804" s="30" t="s">
        <v>15917</v>
      </c>
      <c r="D24804" s="30" t="s">
        <v>17</v>
      </c>
      <c r="E24804" s="30" t="s">
        <v>26</v>
      </c>
      <c r="F24804" s="30" t="s">
        <v>27</v>
      </c>
      <c r="G24804" s="30" t="s">
        <v>140</v>
      </c>
      <c r="H24804" s="32">
        <v>10</v>
      </c>
      <c r="I24804" s="30" t="s">
        <v>51</v>
      </c>
      <c r="J24804" s="41">
        <v>45973</v>
      </c>
      <c r="K24804" s="30" t="s">
        <v>22</v>
      </c>
    </row>
    <row r="24805" spans="1:11">
      <c r="A24805" s="33" t="s">
        <v>54645</v>
      </c>
      <c r="B24805" s="33" t="s">
        <v>54646</v>
      </c>
      <c r="C24805" s="33" t="s">
        <v>1090</v>
      </c>
      <c r="D24805" s="33" t="s">
        <v>17</v>
      </c>
      <c r="E24805" s="33" t="s">
        <v>18</v>
      </c>
      <c r="F24805" s="33" t="s">
        <v>19</v>
      </c>
      <c r="G24805" s="33" t="s">
        <v>7780</v>
      </c>
      <c r="H24805" s="35">
        <v>312</v>
      </c>
      <c r="I24805" s="33" t="s">
        <v>51</v>
      </c>
      <c r="J24805" s="42">
        <v>45748</v>
      </c>
      <c r="K24805" s="33" t="s">
        <v>22</v>
      </c>
    </row>
    <row r="24806" spans="1:11">
      <c r="A24806" s="30" t="s">
        <v>54647</v>
      </c>
      <c r="B24806" s="30" t="s">
        <v>54648</v>
      </c>
      <c r="C24806" s="30" t="s">
        <v>190</v>
      </c>
      <c r="D24806" s="30" t="s">
        <v>17</v>
      </c>
      <c r="E24806" s="30" t="s">
        <v>67</v>
      </c>
      <c r="F24806" s="30" t="s">
        <v>68</v>
      </c>
      <c r="G24806" s="30" t="s">
        <v>112</v>
      </c>
      <c r="H24806" s="32">
        <v>0</v>
      </c>
      <c r="I24806" s="30" t="s">
        <v>21</v>
      </c>
      <c r="J24806" s="41">
        <v>45902</v>
      </c>
      <c r="K24806" s="30" t="s">
        <v>22</v>
      </c>
    </row>
    <row r="24807" spans="1:11">
      <c r="A24807" s="33" t="s">
        <v>54649</v>
      </c>
      <c r="B24807" s="33" t="s">
        <v>54650</v>
      </c>
      <c r="C24807" s="33" t="s">
        <v>54651</v>
      </c>
      <c r="D24807" s="33" t="s">
        <v>17</v>
      </c>
      <c r="E24807" s="33" t="s">
        <v>26</v>
      </c>
      <c r="F24807" s="33" t="s">
        <v>27</v>
      </c>
      <c r="G24807" s="33" t="s">
        <v>7780</v>
      </c>
      <c r="H24807" s="35">
        <v>10</v>
      </c>
      <c r="I24807" s="33" t="s">
        <v>51</v>
      </c>
      <c r="J24807" s="42">
        <v>45884</v>
      </c>
      <c r="K24807" s="33" t="s">
        <v>22</v>
      </c>
    </row>
    <row r="24808" spans="1:11">
      <c r="A24808" s="30" t="s">
        <v>54652</v>
      </c>
      <c r="B24808" s="30" t="s">
        <v>54653</v>
      </c>
      <c r="C24808" s="30" t="s">
        <v>16</v>
      </c>
      <c r="D24808" s="30" t="s">
        <v>17</v>
      </c>
      <c r="E24808" s="30" t="s">
        <v>18</v>
      </c>
      <c r="F24808" s="30" t="s">
        <v>19</v>
      </c>
      <c r="G24808" s="30" t="s">
        <v>158</v>
      </c>
      <c r="H24808" s="32">
        <v>288</v>
      </c>
      <c r="I24808" s="30" t="s">
        <v>51</v>
      </c>
      <c r="J24808" s="41">
        <v>45817</v>
      </c>
      <c r="K24808" s="30" t="s">
        <v>22</v>
      </c>
    </row>
    <row r="24809" spans="1:11">
      <c r="A24809" s="33" t="s">
        <v>54654</v>
      </c>
      <c r="B24809" s="33" t="s">
        <v>54655</v>
      </c>
      <c r="C24809" s="33" t="s">
        <v>54656</v>
      </c>
      <c r="D24809" s="33" t="s">
        <v>17</v>
      </c>
      <c r="E24809" s="33" t="s">
        <v>31</v>
      </c>
      <c r="F24809" s="33" t="s">
        <v>32</v>
      </c>
      <c r="G24809" s="33" t="s">
        <v>7780</v>
      </c>
      <c r="H24809" s="35">
        <v>48</v>
      </c>
      <c r="I24809" s="33" t="s">
        <v>51</v>
      </c>
      <c r="J24809" s="42">
        <v>45942</v>
      </c>
      <c r="K24809" s="33" t="s">
        <v>22</v>
      </c>
    </row>
    <row r="24810" spans="1:11">
      <c r="A24810" s="30" t="s">
        <v>54657</v>
      </c>
      <c r="B24810" s="30" t="s">
        <v>54658</v>
      </c>
      <c r="C24810" s="30" t="s">
        <v>93</v>
      </c>
      <c r="D24810" s="30" t="s">
        <v>17</v>
      </c>
      <c r="E24810" s="30" t="s">
        <v>212</v>
      </c>
      <c r="F24810" s="30" t="s">
        <v>213</v>
      </c>
      <c r="G24810" s="30" t="s">
        <v>158</v>
      </c>
      <c r="H24810" s="32">
        <v>75</v>
      </c>
      <c r="I24810" s="30" t="s">
        <v>21</v>
      </c>
      <c r="J24810" s="41">
        <v>45925</v>
      </c>
      <c r="K24810" s="30" t="s">
        <v>22</v>
      </c>
    </row>
    <row r="24811" spans="1:11">
      <c r="A24811" s="33" t="s">
        <v>54659</v>
      </c>
      <c r="B24811" s="33" t="s">
        <v>54660</v>
      </c>
      <c r="C24811" s="33" t="s">
        <v>9122</v>
      </c>
      <c r="D24811" s="33" t="s">
        <v>17</v>
      </c>
      <c r="E24811" s="33" t="s">
        <v>26</v>
      </c>
      <c r="F24811" s="33" t="s">
        <v>27</v>
      </c>
      <c r="G24811" s="33" t="s">
        <v>140</v>
      </c>
      <c r="H24811" s="35">
        <v>600</v>
      </c>
      <c r="I24811" s="33" t="s">
        <v>51</v>
      </c>
      <c r="J24811" s="42">
        <v>45813</v>
      </c>
      <c r="K24811" s="33" t="s">
        <v>22</v>
      </c>
    </row>
    <row r="24812" spans="1:11">
      <c r="A24812" s="30" t="s">
        <v>54661</v>
      </c>
      <c r="B24812" s="30" t="s">
        <v>54662</v>
      </c>
      <c r="C24812" s="30" t="s">
        <v>1003</v>
      </c>
      <c r="D24812" s="30" t="s">
        <v>17</v>
      </c>
      <c r="E24812" s="30" t="s">
        <v>18</v>
      </c>
      <c r="F24812" s="30" t="s">
        <v>19</v>
      </c>
      <c r="G24812" s="30" t="s">
        <v>140</v>
      </c>
      <c r="H24812" s="32">
        <v>420</v>
      </c>
      <c r="I24812" s="30" t="s">
        <v>51</v>
      </c>
      <c r="J24812" s="41">
        <v>46003</v>
      </c>
      <c r="K24812" s="30" t="s">
        <v>22</v>
      </c>
    </row>
    <row r="24813" spans="1:11">
      <c r="A24813" s="33" t="s">
        <v>54663</v>
      </c>
      <c r="B24813" s="33" t="s">
        <v>54664</v>
      </c>
      <c r="C24813" s="33" t="s">
        <v>54665</v>
      </c>
      <c r="D24813" s="33" t="s">
        <v>17</v>
      </c>
      <c r="E24813" s="33" t="s">
        <v>26</v>
      </c>
      <c r="F24813" s="33" t="s">
        <v>27</v>
      </c>
      <c r="G24813" s="33" t="s">
        <v>140</v>
      </c>
      <c r="H24813" s="35">
        <v>32</v>
      </c>
      <c r="I24813" s="33" t="s">
        <v>51</v>
      </c>
      <c r="J24813" s="42">
        <v>45910</v>
      </c>
      <c r="K24813" s="33" t="s">
        <v>22</v>
      </c>
    </row>
    <row r="24814" spans="1:11">
      <c r="A24814" s="30" t="s">
        <v>54666</v>
      </c>
      <c r="B24814" s="30" t="s">
        <v>54667</v>
      </c>
      <c r="C24814" s="30" t="s">
        <v>149</v>
      </c>
      <c r="D24814" s="30" t="s">
        <v>17</v>
      </c>
      <c r="E24814" s="30" t="s">
        <v>31</v>
      </c>
      <c r="F24814" s="30" t="s">
        <v>32</v>
      </c>
      <c r="G24814" s="30" t="s">
        <v>140</v>
      </c>
      <c r="H24814" s="32">
        <v>252</v>
      </c>
      <c r="I24814" s="30" t="s">
        <v>51</v>
      </c>
      <c r="J24814" s="41">
        <v>45679</v>
      </c>
      <c r="K24814" s="30" t="s">
        <v>22</v>
      </c>
    </row>
    <row r="24815" spans="1:11">
      <c r="A24815" s="33" t="s">
        <v>54668</v>
      </c>
      <c r="B24815" s="33" t="s">
        <v>54669</v>
      </c>
      <c r="C24815" s="33" t="s">
        <v>787</v>
      </c>
      <c r="D24815" s="33" t="s">
        <v>17</v>
      </c>
      <c r="E24815" s="33" t="s">
        <v>31</v>
      </c>
      <c r="F24815" s="33" t="s">
        <v>32</v>
      </c>
      <c r="G24815" s="33" t="s">
        <v>140</v>
      </c>
      <c r="H24815" s="35">
        <v>75</v>
      </c>
      <c r="I24815" s="33" t="s">
        <v>51</v>
      </c>
      <c r="J24815" s="42">
        <v>45890</v>
      </c>
      <c r="K24815" s="33" t="s">
        <v>22</v>
      </c>
    </row>
    <row r="24816" spans="1:11">
      <c r="A24816" s="30" t="s">
        <v>54670</v>
      </c>
      <c r="B24816" s="30" t="s">
        <v>54671</v>
      </c>
      <c r="C24816" s="30" t="s">
        <v>54672</v>
      </c>
      <c r="D24816" s="30" t="s">
        <v>17</v>
      </c>
      <c r="E24816" s="30" t="s">
        <v>67</v>
      </c>
      <c r="F24816" s="30" t="s">
        <v>68</v>
      </c>
      <c r="G24816" s="30" t="s">
        <v>7780</v>
      </c>
      <c r="H24816" s="32">
        <v>48</v>
      </c>
      <c r="I24816" s="30" t="s">
        <v>51</v>
      </c>
      <c r="J24816" s="41">
        <v>45901</v>
      </c>
      <c r="K24816" s="30" t="s">
        <v>22</v>
      </c>
    </row>
    <row r="24817" spans="1:11">
      <c r="A24817" s="33" t="s">
        <v>54673</v>
      </c>
      <c r="B24817" s="33" t="s">
        <v>54674</v>
      </c>
      <c r="C24817" s="33" t="s">
        <v>15151</v>
      </c>
      <c r="D24817" s="33" t="s">
        <v>17</v>
      </c>
      <c r="E24817" s="33" t="s">
        <v>67</v>
      </c>
      <c r="F24817" s="33" t="s">
        <v>68</v>
      </c>
      <c r="G24817" s="33" t="s">
        <v>140</v>
      </c>
      <c r="H24817" s="35">
        <v>76</v>
      </c>
      <c r="I24817" s="33" t="s">
        <v>51</v>
      </c>
      <c r="J24817" s="42">
        <v>45769</v>
      </c>
      <c r="K24817" s="33" t="s">
        <v>22</v>
      </c>
    </row>
    <row r="24818" spans="1:11">
      <c r="A24818" s="30" t="s">
        <v>54675</v>
      </c>
      <c r="B24818" s="30" t="s">
        <v>54676</v>
      </c>
      <c r="C24818" s="30" t="s">
        <v>54677</v>
      </c>
      <c r="D24818" s="30" t="s">
        <v>17</v>
      </c>
      <c r="E24818" s="30" t="s">
        <v>67</v>
      </c>
      <c r="F24818" s="30" t="s">
        <v>68</v>
      </c>
      <c r="G24818" s="30" t="s">
        <v>140</v>
      </c>
      <c r="H24818" s="32">
        <v>42</v>
      </c>
      <c r="I24818" s="30" t="s">
        <v>51</v>
      </c>
      <c r="J24818" s="41">
        <v>45721</v>
      </c>
      <c r="K24818" s="30" t="s">
        <v>22</v>
      </c>
    </row>
    <row r="24819" spans="1:11">
      <c r="A24819" s="33" t="s">
        <v>54678</v>
      </c>
      <c r="B24819" s="33" t="s">
        <v>54679</v>
      </c>
      <c r="C24819" s="33" t="s">
        <v>7935</v>
      </c>
      <c r="D24819" s="33" t="s">
        <v>17</v>
      </c>
      <c r="E24819" s="33" t="s">
        <v>26</v>
      </c>
      <c r="F24819" s="33" t="s">
        <v>27</v>
      </c>
      <c r="G24819" s="33" t="s">
        <v>20</v>
      </c>
      <c r="H24819" s="35">
        <v>32</v>
      </c>
      <c r="I24819" s="33" t="s">
        <v>21</v>
      </c>
      <c r="J24819" s="42">
        <v>45769</v>
      </c>
      <c r="K24819" s="33" t="s">
        <v>22</v>
      </c>
    </row>
    <row r="24820" spans="1:11">
      <c r="A24820" s="30" t="s">
        <v>54680</v>
      </c>
      <c r="B24820" s="30" t="s">
        <v>54681</v>
      </c>
      <c r="C24820" s="30" t="s">
        <v>787</v>
      </c>
      <c r="D24820" s="30" t="s">
        <v>17</v>
      </c>
      <c r="E24820" s="30" t="s">
        <v>31</v>
      </c>
      <c r="F24820" s="30" t="s">
        <v>32</v>
      </c>
      <c r="G24820" s="30" t="s">
        <v>140</v>
      </c>
      <c r="H24820" s="32">
        <v>135</v>
      </c>
      <c r="I24820" s="30" t="s">
        <v>51</v>
      </c>
      <c r="J24820" s="41">
        <v>45988</v>
      </c>
      <c r="K24820" s="30" t="s">
        <v>22</v>
      </c>
    </row>
    <row r="24821" spans="1:11">
      <c r="A24821" s="33" t="s">
        <v>54682</v>
      </c>
      <c r="B24821" s="33" t="s">
        <v>54683</v>
      </c>
      <c r="C24821" s="33" t="s">
        <v>93</v>
      </c>
      <c r="D24821" s="33" t="s">
        <v>17</v>
      </c>
      <c r="E24821" s="33" t="s">
        <v>26</v>
      </c>
      <c r="F24821" s="33" t="s">
        <v>27</v>
      </c>
      <c r="G24821" s="33" t="s">
        <v>140</v>
      </c>
      <c r="H24821" s="35">
        <v>48</v>
      </c>
      <c r="I24821" s="33" t="s">
        <v>51</v>
      </c>
      <c r="J24821" s="42">
        <v>45980</v>
      </c>
      <c r="K24821" s="33" t="s">
        <v>22</v>
      </c>
    </row>
    <row r="24822" spans="1:11">
      <c r="A24822" s="30" t="s">
        <v>54684</v>
      </c>
      <c r="B24822" s="30" t="s">
        <v>54685</v>
      </c>
      <c r="C24822" s="30" t="s">
        <v>14483</v>
      </c>
      <c r="D24822" s="30" t="s">
        <v>17</v>
      </c>
      <c r="E24822" s="30" t="s">
        <v>26</v>
      </c>
      <c r="F24822" s="30" t="s">
        <v>27</v>
      </c>
      <c r="G24822" s="30" t="s">
        <v>20</v>
      </c>
      <c r="H24822" s="32">
        <v>58</v>
      </c>
      <c r="I24822" s="30" t="s">
        <v>21</v>
      </c>
      <c r="J24822" s="41">
        <v>45708</v>
      </c>
      <c r="K24822" s="30" t="s">
        <v>22</v>
      </c>
    </row>
    <row r="24823" spans="1:11">
      <c r="A24823" s="33" t="s">
        <v>54686</v>
      </c>
      <c r="B24823" s="33" t="s">
        <v>54687</v>
      </c>
      <c r="C24823" s="33" t="s">
        <v>36806</v>
      </c>
      <c r="D24823" s="33" t="s">
        <v>17</v>
      </c>
      <c r="E24823" s="33" t="s">
        <v>67</v>
      </c>
      <c r="F24823" s="33" t="s">
        <v>68</v>
      </c>
      <c r="G24823" s="33" t="s">
        <v>140</v>
      </c>
      <c r="H24823" s="35">
        <v>104</v>
      </c>
      <c r="I24823" s="33" t="s">
        <v>51</v>
      </c>
      <c r="J24823" s="42">
        <v>45965</v>
      </c>
      <c r="K24823" s="33" t="s">
        <v>22</v>
      </c>
    </row>
    <row r="24824" spans="1:11">
      <c r="A24824" s="30" t="s">
        <v>54688</v>
      </c>
      <c r="B24824" s="30" t="s">
        <v>54689</v>
      </c>
      <c r="C24824" s="30" t="s">
        <v>647</v>
      </c>
      <c r="D24824" s="30" t="s">
        <v>17</v>
      </c>
      <c r="E24824" s="30" t="s">
        <v>26</v>
      </c>
      <c r="F24824" s="30" t="s">
        <v>27</v>
      </c>
      <c r="G24824" s="30" t="s">
        <v>20</v>
      </c>
      <c r="H24824" s="32">
        <v>16</v>
      </c>
      <c r="I24824" s="30" t="s">
        <v>21</v>
      </c>
      <c r="J24824" s="41">
        <v>45980</v>
      </c>
      <c r="K24824" s="30" t="s">
        <v>22</v>
      </c>
    </row>
    <row r="24825" spans="1:11">
      <c r="A24825" s="33" t="s">
        <v>54690</v>
      </c>
      <c r="B24825" s="33" t="s">
        <v>54691</v>
      </c>
      <c r="C24825" s="33" t="s">
        <v>1571</v>
      </c>
      <c r="D24825" s="33" t="s">
        <v>17</v>
      </c>
      <c r="E24825" s="33" t="s">
        <v>31</v>
      </c>
      <c r="F24825" s="33" t="s">
        <v>32</v>
      </c>
      <c r="G24825" s="33" t="s">
        <v>140</v>
      </c>
      <c r="H24825" s="35">
        <v>86</v>
      </c>
      <c r="I24825" s="33" t="s">
        <v>51</v>
      </c>
      <c r="J24825" s="42">
        <v>45922</v>
      </c>
      <c r="K24825" s="33" t="s">
        <v>22</v>
      </c>
    </row>
    <row r="24826" spans="1:11">
      <c r="A24826" s="30" t="s">
        <v>54692</v>
      </c>
      <c r="B24826" s="30" t="s">
        <v>54693</v>
      </c>
      <c r="C24826" s="30" t="s">
        <v>11899</v>
      </c>
      <c r="D24826" s="30" t="s">
        <v>17</v>
      </c>
      <c r="E24826" s="30" t="s">
        <v>67</v>
      </c>
      <c r="F24826" s="30" t="s">
        <v>68</v>
      </c>
      <c r="G24826" s="30" t="s">
        <v>140</v>
      </c>
      <c r="H24826" s="32">
        <v>208</v>
      </c>
      <c r="I24826" s="30" t="s">
        <v>51</v>
      </c>
      <c r="J24826" s="41">
        <v>45666</v>
      </c>
      <c r="K24826" s="30" t="s">
        <v>22</v>
      </c>
    </row>
    <row r="24827" spans="1:11">
      <c r="A24827" s="33" t="s">
        <v>54694</v>
      </c>
      <c r="B24827" s="33" t="s">
        <v>54695</v>
      </c>
      <c r="C24827" s="33" t="s">
        <v>43835</v>
      </c>
      <c r="D24827" s="33" t="s">
        <v>17</v>
      </c>
      <c r="E24827" s="33" t="s">
        <v>67</v>
      </c>
      <c r="F24827" s="33" t="s">
        <v>68</v>
      </c>
      <c r="G24827" s="33" t="s">
        <v>140</v>
      </c>
      <c r="H24827" s="35">
        <v>10</v>
      </c>
      <c r="I24827" s="33" t="s">
        <v>51</v>
      </c>
      <c r="J24827" s="42">
        <v>45791</v>
      </c>
      <c r="K24827" s="33" t="s">
        <v>22</v>
      </c>
    </row>
    <row r="24828" spans="1:11">
      <c r="A24828" s="30" t="s">
        <v>54696</v>
      </c>
      <c r="B24828" s="30" t="s">
        <v>54697</v>
      </c>
      <c r="C24828" s="30" t="s">
        <v>20707</v>
      </c>
      <c r="D24828" s="30" t="s">
        <v>17</v>
      </c>
      <c r="E24828" s="30" t="s">
        <v>18</v>
      </c>
      <c r="F24828" s="30" t="s">
        <v>19</v>
      </c>
      <c r="G24828" s="30" t="s">
        <v>2613</v>
      </c>
      <c r="H24828" s="32">
        <v>460</v>
      </c>
      <c r="I24828" s="30" t="s">
        <v>51</v>
      </c>
      <c r="J24828" s="41">
        <v>45728</v>
      </c>
      <c r="K24828" s="30" t="s">
        <v>22</v>
      </c>
    </row>
    <row r="24829" spans="1:11">
      <c r="A24829" s="33" t="s">
        <v>54698</v>
      </c>
      <c r="B24829" s="33" t="s">
        <v>54699</v>
      </c>
      <c r="C24829" s="33" t="s">
        <v>5251</v>
      </c>
      <c r="D24829" s="33" t="s">
        <v>17</v>
      </c>
      <c r="E24829" s="33" t="s">
        <v>18</v>
      </c>
      <c r="F24829" s="33" t="s">
        <v>19</v>
      </c>
      <c r="G24829" s="33" t="s">
        <v>140</v>
      </c>
      <c r="H24829" s="35">
        <v>500</v>
      </c>
      <c r="I24829" s="33" t="s">
        <v>51</v>
      </c>
      <c r="J24829" s="42">
        <v>45968</v>
      </c>
      <c r="K24829" s="33" t="s">
        <v>22</v>
      </c>
    </row>
    <row r="24830" spans="1:11">
      <c r="A24830" s="30" t="s">
        <v>54700</v>
      </c>
      <c r="B24830" s="30" t="s">
        <v>54701</v>
      </c>
      <c r="C24830" s="30" t="s">
        <v>26988</v>
      </c>
      <c r="D24830" s="30" t="s">
        <v>17</v>
      </c>
      <c r="E24830" s="30" t="s">
        <v>31</v>
      </c>
      <c r="F24830" s="30" t="s">
        <v>32</v>
      </c>
      <c r="G24830" s="30" t="s">
        <v>140</v>
      </c>
      <c r="H24830" s="32">
        <v>50</v>
      </c>
      <c r="I24830" s="30" t="s">
        <v>51</v>
      </c>
      <c r="J24830" s="41">
        <v>45826</v>
      </c>
      <c r="K24830" s="30" t="s">
        <v>22</v>
      </c>
    </row>
    <row r="24831" spans="1:11">
      <c r="A24831" s="33" t="s">
        <v>54702</v>
      </c>
      <c r="B24831" s="33" t="s">
        <v>54703</v>
      </c>
      <c r="C24831" s="33" t="s">
        <v>54704</v>
      </c>
      <c r="D24831" s="33" t="s">
        <v>17</v>
      </c>
      <c r="E24831" s="33" t="s">
        <v>31</v>
      </c>
      <c r="F24831" s="33" t="s">
        <v>32</v>
      </c>
      <c r="G24831" s="33" t="s">
        <v>140</v>
      </c>
      <c r="H24831" s="35">
        <v>10</v>
      </c>
      <c r="I24831" s="33" t="s">
        <v>51</v>
      </c>
      <c r="J24831" s="42">
        <v>45993</v>
      </c>
      <c r="K24831" s="33" t="s">
        <v>22</v>
      </c>
    </row>
    <row r="24832" spans="1:11">
      <c r="A24832" s="30" t="s">
        <v>54705</v>
      </c>
      <c r="B24832" s="30" t="s">
        <v>54706</v>
      </c>
      <c r="C24832" s="30" t="s">
        <v>60</v>
      </c>
      <c r="D24832" s="30" t="s">
        <v>17</v>
      </c>
      <c r="E24832" s="30" t="s">
        <v>26</v>
      </c>
      <c r="F24832" s="30" t="s">
        <v>27</v>
      </c>
      <c r="G24832" s="30" t="s">
        <v>20</v>
      </c>
      <c r="H24832" s="32">
        <v>10</v>
      </c>
      <c r="I24832" s="30" t="s">
        <v>21</v>
      </c>
      <c r="J24832" s="41">
        <v>45726</v>
      </c>
      <c r="K24832" s="30" t="s">
        <v>22</v>
      </c>
    </row>
    <row r="24833" spans="1:11">
      <c r="A24833" s="33" t="s">
        <v>54707</v>
      </c>
      <c r="B24833" s="33" t="s">
        <v>54708</v>
      </c>
      <c r="C24833" s="33" t="s">
        <v>4215</v>
      </c>
      <c r="D24833" s="33" t="s">
        <v>17</v>
      </c>
      <c r="E24833" s="33" t="s">
        <v>18</v>
      </c>
      <c r="F24833" s="33" t="s">
        <v>19</v>
      </c>
      <c r="G24833" s="33" t="s">
        <v>158</v>
      </c>
      <c r="H24833" s="35">
        <v>2399</v>
      </c>
      <c r="I24833" s="33" t="s">
        <v>21</v>
      </c>
      <c r="J24833" s="42">
        <v>45696</v>
      </c>
      <c r="K24833" s="33" t="s">
        <v>22</v>
      </c>
    </row>
    <row r="24834" spans="1:11">
      <c r="A24834" s="30" t="s">
        <v>54709</v>
      </c>
      <c r="B24834" s="30" t="s">
        <v>54710</v>
      </c>
      <c r="C24834" s="30" t="s">
        <v>3610</v>
      </c>
      <c r="D24834" s="30" t="s">
        <v>17</v>
      </c>
      <c r="E24834" s="30" t="s">
        <v>26</v>
      </c>
      <c r="F24834" s="30" t="s">
        <v>27</v>
      </c>
      <c r="G24834" s="30" t="s">
        <v>20</v>
      </c>
      <c r="H24834" s="32">
        <v>11</v>
      </c>
      <c r="I24834" s="30" t="s">
        <v>21</v>
      </c>
      <c r="J24834" s="41">
        <v>45972</v>
      </c>
      <c r="K24834" s="30" t="s">
        <v>22</v>
      </c>
    </row>
    <row r="24835" spans="1:11">
      <c r="A24835" s="33" t="s">
        <v>54711</v>
      </c>
      <c r="B24835" s="33" t="s">
        <v>54712</v>
      </c>
      <c r="C24835" s="33" t="s">
        <v>1270</v>
      </c>
      <c r="D24835" s="33" t="s">
        <v>17</v>
      </c>
      <c r="E24835" s="33" t="s">
        <v>67</v>
      </c>
      <c r="F24835" s="33" t="s">
        <v>68</v>
      </c>
      <c r="G24835" s="33" t="s">
        <v>7780</v>
      </c>
      <c r="H24835" s="35">
        <v>150</v>
      </c>
      <c r="I24835" s="33" t="s">
        <v>51</v>
      </c>
      <c r="J24835" s="42">
        <v>45747</v>
      </c>
      <c r="K24835" s="33" t="s">
        <v>22</v>
      </c>
    </row>
    <row r="24836" spans="1:11">
      <c r="A24836" s="30" t="s">
        <v>54713</v>
      </c>
      <c r="B24836" s="30" t="s">
        <v>54714</v>
      </c>
      <c r="C24836" s="30" t="s">
        <v>14457</v>
      </c>
      <c r="D24836" s="30" t="s">
        <v>17</v>
      </c>
      <c r="E24836" s="30" t="s">
        <v>18</v>
      </c>
      <c r="F24836" s="30" t="s">
        <v>19</v>
      </c>
      <c r="G24836" s="30" t="s">
        <v>140</v>
      </c>
      <c r="H24836" s="32">
        <v>500</v>
      </c>
      <c r="I24836" s="30" t="s">
        <v>51</v>
      </c>
      <c r="J24836" s="41">
        <v>46006</v>
      </c>
      <c r="K24836" s="30" t="s">
        <v>22</v>
      </c>
    </row>
    <row r="24837" spans="1:11">
      <c r="A24837" s="33" t="s">
        <v>54715</v>
      </c>
      <c r="B24837" s="33" t="s">
        <v>54716</v>
      </c>
      <c r="C24837" s="33" t="s">
        <v>570</v>
      </c>
      <c r="D24837" s="33" t="s">
        <v>17</v>
      </c>
      <c r="E24837" s="33" t="s">
        <v>212</v>
      </c>
      <c r="F24837" s="33" t="s">
        <v>213</v>
      </c>
      <c r="G24837" s="33" t="s">
        <v>140</v>
      </c>
      <c r="H24837" s="35">
        <v>15</v>
      </c>
      <c r="I24837" s="33" t="s">
        <v>51</v>
      </c>
      <c r="J24837" s="42">
        <v>45827</v>
      </c>
      <c r="K24837" s="33" t="s">
        <v>22</v>
      </c>
    </row>
    <row r="24838" spans="1:11">
      <c r="A24838" s="30" t="s">
        <v>54717</v>
      </c>
      <c r="B24838" s="30" t="s">
        <v>54718</v>
      </c>
      <c r="C24838" s="30" t="s">
        <v>570</v>
      </c>
      <c r="D24838" s="30" t="s">
        <v>17</v>
      </c>
      <c r="E24838" s="30" t="s">
        <v>18</v>
      </c>
      <c r="F24838" s="30" t="s">
        <v>19</v>
      </c>
      <c r="G24838" s="30" t="s">
        <v>7780</v>
      </c>
      <c r="H24838" s="32">
        <v>100</v>
      </c>
      <c r="I24838" s="30" t="s">
        <v>51</v>
      </c>
      <c r="J24838" s="41">
        <v>46022</v>
      </c>
      <c r="K24838" s="30" t="s">
        <v>22</v>
      </c>
    </row>
    <row r="24839" spans="1:11">
      <c r="A24839" s="33" t="s">
        <v>54719</v>
      </c>
      <c r="B24839" s="33" t="s">
        <v>54720</v>
      </c>
      <c r="C24839" s="33" t="s">
        <v>39921</v>
      </c>
      <c r="D24839" s="33" t="s">
        <v>17</v>
      </c>
      <c r="E24839" s="33" t="s">
        <v>67</v>
      </c>
      <c r="F24839" s="33" t="s">
        <v>68</v>
      </c>
      <c r="G24839" s="33" t="s">
        <v>140</v>
      </c>
      <c r="H24839" s="35">
        <v>270</v>
      </c>
      <c r="I24839" s="33" t="s">
        <v>51</v>
      </c>
      <c r="J24839" s="42">
        <v>45813</v>
      </c>
      <c r="K24839" s="33" t="s">
        <v>22</v>
      </c>
    </row>
    <row r="24840" spans="1:11">
      <c r="A24840" s="30" t="s">
        <v>54721</v>
      </c>
      <c r="B24840" s="30" t="s">
        <v>54722</v>
      </c>
      <c r="C24840" s="30" t="s">
        <v>75</v>
      </c>
      <c r="D24840" s="30" t="s">
        <v>17</v>
      </c>
      <c r="E24840" s="30" t="s">
        <v>26</v>
      </c>
      <c r="F24840" s="30" t="s">
        <v>27</v>
      </c>
      <c r="G24840" s="30" t="s">
        <v>140</v>
      </c>
      <c r="H24840" s="32">
        <v>437</v>
      </c>
      <c r="I24840" s="30" t="s">
        <v>51</v>
      </c>
      <c r="J24840" s="41">
        <v>45741</v>
      </c>
      <c r="K24840" s="30" t="s">
        <v>22</v>
      </c>
    </row>
    <row r="24841" spans="1:11">
      <c r="A24841" s="33" t="s">
        <v>54723</v>
      </c>
      <c r="B24841" s="33" t="s">
        <v>54724</v>
      </c>
      <c r="C24841" s="33" t="s">
        <v>93</v>
      </c>
      <c r="D24841" s="33" t="s">
        <v>17</v>
      </c>
      <c r="E24841" s="33" t="s">
        <v>18</v>
      </c>
      <c r="F24841" s="33" t="s">
        <v>19</v>
      </c>
      <c r="G24841" s="33" t="s">
        <v>140</v>
      </c>
      <c r="H24841" s="35">
        <v>120</v>
      </c>
      <c r="I24841" s="33" t="s">
        <v>51</v>
      </c>
      <c r="J24841" s="42">
        <v>45866</v>
      </c>
      <c r="K24841" s="33" t="s">
        <v>22</v>
      </c>
    </row>
    <row r="24842" spans="1:11">
      <c r="A24842" s="30" t="s">
        <v>54725</v>
      </c>
      <c r="B24842" s="30" t="s">
        <v>54726</v>
      </c>
      <c r="C24842" s="30" t="s">
        <v>2171</v>
      </c>
      <c r="D24842" s="30" t="s">
        <v>17</v>
      </c>
      <c r="E24842" s="30" t="s">
        <v>26</v>
      </c>
      <c r="F24842" s="30" t="s">
        <v>27</v>
      </c>
      <c r="G24842" s="30" t="s">
        <v>140</v>
      </c>
      <c r="H24842" s="32">
        <v>166</v>
      </c>
      <c r="I24842" s="30" t="s">
        <v>51</v>
      </c>
      <c r="J24842" s="41">
        <v>45771</v>
      </c>
      <c r="K24842" s="30" t="s">
        <v>22</v>
      </c>
    </row>
    <row r="24843" spans="1:11">
      <c r="A24843" s="33" t="s">
        <v>54727</v>
      </c>
      <c r="B24843" s="33" t="s">
        <v>54728</v>
      </c>
      <c r="C24843" s="33" t="s">
        <v>178</v>
      </c>
      <c r="D24843" s="33" t="s">
        <v>17</v>
      </c>
      <c r="E24843" s="33" t="s">
        <v>26</v>
      </c>
      <c r="F24843" s="33" t="s">
        <v>27</v>
      </c>
      <c r="G24843" s="33" t="s">
        <v>158</v>
      </c>
      <c r="H24843" s="35">
        <v>50</v>
      </c>
      <c r="I24843" s="33" t="s">
        <v>51</v>
      </c>
      <c r="J24843" s="42">
        <v>45761</v>
      </c>
      <c r="K24843" s="33" t="s">
        <v>22</v>
      </c>
    </row>
    <row r="24844" spans="1:11">
      <c r="A24844" s="30" t="s">
        <v>54729</v>
      </c>
      <c r="B24844" s="30" t="s">
        <v>54730</v>
      </c>
      <c r="C24844" s="30" t="s">
        <v>647</v>
      </c>
      <c r="D24844" s="30" t="s">
        <v>17</v>
      </c>
      <c r="E24844" s="30" t="s">
        <v>26</v>
      </c>
      <c r="F24844" s="30" t="s">
        <v>27</v>
      </c>
      <c r="G24844" s="30" t="s">
        <v>20</v>
      </c>
      <c r="H24844" s="32">
        <v>5</v>
      </c>
      <c r="I24844" s="30" t="s">
        <v>21</v>
      </c>
      <c r="J24844" s="41">
        <v>45770</v>
      </c>
      <c r="K24844" s="30" t="s">
        <v>22</v>
      </c>
    </row>
    <row r="24845" spans="1:11">
      <c r="A24845" s="33" t="s">
        <v>54731</v>
      </c>
      <c r="B24845" s="33" t="s">
        <v>54732</v>
      </c>
      <c r="C24845" s="33" t="s">
        <v>109</v>
      </c>
      <c r="D24845" s="33" t="s">
        <v>17</v>
      </c>
      <c r="E24845" s="33" t="s">
        <v>67</v>
      </c>
      <c r="F24845" s="33" t="s">
        <v>68</v>
      </c>
      <c r="G24845" s="33" t="s">
        <v>140</v>
      </c>
      <c r="H24845" s="35">
        <v>15</v>
      </c>
      <c r="I24845" s="33" t="s">
        <v>51</v>
      </c>
      <c r="J24845" s="42">
        <v>45769</v>
      </c>
      <c r="K24845" s="33" t="s">
        <v>22</v>
      </c>
    </row>
    <row r="24846" spans="1:11">
      <c r="A24846" s="30" t="s">
        <v>54733</v>
      </c>
      <c r="B24846" s="30" t="s">
        <v>54734</v>
      </c>
      <c r="C24846" s="30" t="s">
        <v>2562</v>
      </c>
      <c r="D24846" s="30" t="s">
        <v>17</v>
      </c>
      <c r="E24846" s="30" t="s">
        <v>31</v>
      </c>
      <c r="F24846" s="30" t="s">
        <v>32</v>
      </c>
      <c r="G24846" s="30" t="s">
        <v>7780</v>
      </c>
      <c r="H24846" s="32">
        <v>120</v>
      </c>
      <c r="I24846" s="30" t="s">
        <v>51</v>
      </c>
      <c r="J24846" s="41">
        <v>45793</v>
      </c>
      <c r="K24846" s="30" t="s">
        <v>22</v>
      </c>
    </row>
    <row r="24847" spans="1:11">
      <c r="A24847" s="33" t="s">
        <v>54735</v>
      </c>
      <c r="B24847" s="33" t="s">
        <v>54736</v>
      </c>
      <c r="C24847" s="33" t="s">
        <v>44</v>
      </c>
      <c r="D24847" s="33" t="s">
        <v>17</v>
      </c>
      <c r="E24847" s="33" t="s">
        <v>31</v>
      </c>
      <c r="F24847" s="33" t="s">
        <v>32</v>
      </c>
      <c r="G24847" s="33" t="s">
        <v>140</v>
      </c>
      <c r="H24847" s="35">
        <v>1200</v>
      </c>
      <c r="I24847" s="33" t="s">
        <v>51</v>
      </c>
      <c r="J24847" s="42">
        <v>45950</v>
      </c>
      <c r="K24847" s="33" t="s">
        <v>22</v>
      </c>
    </row>
    <row r="24848" spans="1:11">
      <c r="A24848" s="30" t="s">
        <v>54737</v>
      </c>
      <c r="B24848" s="30" t="s">
        <v>54738</v>
      </c>
      <c r="C24848" s="30" t="s">
        <v>38331</v>
      </c>
      <c r="D24848" s="30" t="s">
        <v>17</v>
      </c>
      <c r="E24848" s="30" t="s">
        <v>18</v>
      </c>
      <c r="F24848" s="30" t="s">
        <v>19</v>
      </c>
      <c r="G24848" s="30" t="s">
        <v>140</v>
      </c>
      <c r="H24848" s="32">
        <v>50</v>
      </c>
      <c r="I24848" s="30" t="s">
        <v>51</v>
      </c>
      <c r="J24848" s="41">
        <v>45747</v>
      </c>
      <c r="K24848" s="30" t="s">
        <v>22</v>
      </c>
    </row>
    <row r="24849" spans="1:11">
      <c r="A24849" s="33" t="s">
        <v>54739</v>
      </c>
      <c r="B24849" s="33" t="s">
        <v>54740</v>
      </c>
      <c r="C24849" s="33" t="s">
        <v>15019</v>
      </c>
      <c r="D24849" s="33" t="s">
        <v>17</v>
      </c>
      <c r="E24849" s="33" t="s">
        <v>26</v>
      </c>
      <c r="F24849" s="33" t="s">
        <v>27</v>
      </c>
      <c r="G24849" s="33" t="s">
        <v>2613</v>
      </c>
      <c r="H24849" s="35">
        <v>68</v>
      </c>
      <c r="I24849" s="33" t="s">
        <v>51</v>
      </c>
      <c r="J24849" s="42">
        <v>45887</v>
      </c>
      <c r="K24849" s="33" t="s">
        <v>22</v>
      </c>
    </row>
    <row r="24850" spans="1:11">
      <c r="A24850" s="30" t="s">
        <v>54741</v>
      </c>
      <c r="B24850" s="30" t="s">
        <v>54742</v>
      </c>
      <c r="C24850" s="30" t="s">
        <v>2392</v>
      </c>
      <c r="D24850" s="30" t="s">
        <v>17</v>
      </c>
      <c r="E24850" s="30" t="s">
        <v>31</v>
      </c>
      <c r="F24850" s="30" t="s">
        <v>32</v>
      </c>
      <c r="G24850" s="30" t="s">
        <v>7780</v>
      </c>
      <c r="H24850" s="32">
        <v>60</v>
      </c>
      <c r="I24850" s="30" t="s">
        <v>51</v>
      </c>
      <c r="J24850" s="41">
        <v>46006</v>
      </c>
      <c r="K24850" s="30" t="s">
        <v>22</v>
      </c>
    </row>
    <row r="24851" spans="1:11">
      <c r="A24851" s="33" t="s">
        <v>54743</v>
      </c>
      <c r="B24851" s="33" t="s">
        <v>54744</v>
      </c>
      <c r="C24851" s="33" t="s">
        <v>11899</v>
      </c>
      <c r="D24851" s="33" t="s">
        <v>17</v>
      </c>
      <c r="E24851" s="33" t="s">
        <v>31</v>
      </c>
      <c r="F24851" s="33" t="s">
        <v>32</v>
      </c>
      <c r="G24851" s="33" t="s">
        <v>140</v>
      </c>
      <c r="H24851" s="35">
        <v>120</v>
      </c>
      <c r="I24851" s="33" t="s">
        <v>51</v>
      </c>
      <c r="J24851" s="42">
        <v>45846</v>
      </c>
      <c r="K24851" s="33" t="s">
        <v>22</v>
      </c>
    </row>
    <row r="24852" spans="1:11">
      <c r="A24852" s="30" t="s">
        <v>54745</v>
      </c>
      <c r="B24852" s="30" t="s">
        <v>54746</v>
      </c>
      <c r="C24852" s="30" t="s">
        <v>252</v>
      </c>
      <c r="D24852" s="30" t="s">
        <v>17</v>
      </c>
      <c r="E24852" s="30" t="s">
        <v>31</v>
      </c>
      <c r="F24852" s="30" t="s">
        <v>32</v>
      </c>
      <c r="G24852" s="30" t="s">
        <v>140</v>
      </c>
      <c r="H24852" s="32">
        <v>90</v>
      </c>
      <c r="I24852" s="30" t="s">
        <v>51</v>
      </c>
      <c r="J24852" s="41">
        <v>46010</v>
      </c>
      <c r="K24852" s="30" t="s">
        <v>22</v>
      </c>
    </row>
    <row r="24853" spans="1:11">
      <c r="A24853" s="33" t="s">
        <v>54747</v>
      </c>
      <c r="B24853" s="33" t="s">
        <v>54748</v>
      </c>
      <c r="C24853" s="33" t="s">
        <v>2709</v>
      </c>
      <c r="D24853" s="33" t="s">
        <v>17</v>
      </c>
      <c r="E24853" s="33" t="s">
        <v>212</v>
      </c>
      <c r="F24853" s="33" t="s">
        <v>213</v>
      </c>
      <c r="G24853" s="33" t="s">
        <v>7780</v>
      </c>
      <c r="H24853" s="35">
        <v>600</v>
      </c>
      <c r="I24853" s="33" t="s">
        <v>51</v>
      </c>
      <c r="J24853" s="42">
        <v>45778</v>
      </c>
      <c r="K24853" s="33" t="s">
        <v>22</v>
      </c>
    </row>
    <row r="24854" spans="1:11">
      <c r="A24854" s="30" t="s">
        <v>54749</v>
      </c>
      <c r="B24854" s="30" t="s">
        <v>54750</v>
      </c>
      <c r="C24854" s="30" t="s">
        <v>118</v>
      </c>
      <c r="D24854" s="30" t="s">
        <v>17</v>
      </c>
      <c r="E24854" s="30" t="s">
        <v>26</v>
      </c>
      <c r="F24854" s="30" t="s">
        <v>27</v>
      </c>
      <c r="G24854" s="30" t="s">
        <v>20</v>
      </c>
      <c r="H24854" s="32">
        <v>18</v>
      </c>
      <c r="I24854" s="30" t="s">
        <v>21</v>
      </c>
      <c r="J24854" s="41">
        <v>45966</v>
      </c>
      <c r="K24854" s="30" t="s">
        <v>22</v>
      </c>
    </row>
    <row r="24855" spans="1:11">
      <c r="A24855" s="33" t="s">
        <v>54751</v>
      </c>
      <c r="B24855" s="33" t="s">
        <v>54752</v>
      </c>
      <c r="C24855" s="33" t="s">
        <v>1598</v>
      </c>
      <c r="D24855" s="33" t="s">
        <v>17</v>
      </c>
      <c r="E24855" s="33" t="s">
        <v>26</v>
      </c>
      <c r="F24855" s="33" t="s">
        <v>27</v>
      </c>
      <c r="G24855" s="33" t="s">
        <v>140</v>
      </c>
      <c r="H24855" s="35">
        <v>250</v>
      </c>
      <c r="I24855" s="33" t="s">
        <v>51</v>
      </c>
      <c r="J24855" s="42">
        <v>45667</v>
      </c>
      <c r="K24855" s="33" t="s">
        <v>22</v>
      </c>
    </row>
    <row r="24856" spans="1:11">
      <c r="A24856" s="30" t="s">
        <v>54753</v>
      </c>
      <c r="B24856" s="30" t="s">
        <v>54754</v>
      </c>
      <c r="C24856" s="30" t="s">
        <v>570</v>
      </c>
      <c r="D24856" s="30" t="s">
        <v>17</v>
      </c>
      <c r="E24856" s="30" t="s">
        <v>18</v>
      </c>
      <c r="F24856" s="30" t="s">
        <v>19</v>
      </c>
      <c r="G24856" s="30" t="s">
        <v>140</v>
      </c>
      <c r="H24856" s="32">
        <v>360</v>
      </c>
      <c r="I24856" s="30" t="s">
        <v>51</v>
      </c>
      <c r="J24856" s="41">
        <v>45793</v>
      </c>
      <c r="K24856" s="30" t="s">
        <v>22</v>
      </c>
    </row>
    <row r="24857" spans="1:11">
      <c r="A24857" s="33" t="s">
        <v>54755</v>
      </c>
      <c r="B24857" s="33" t="s">
        <v>54756</v>
      </c>
      <c r="C24857" s="33" t="s">
        <v>2709</v>
      </c>
      <c r="D24857" s="33" t="s">
        <v>17</v>
      </c>
      <c r="E24857" s="33" t="s">
        <v>26</v>
      </c>
      <c r="F24857" s="33" t="s">
        <v>27</v>
      </c>
      <c r="G24857" s="33" t="s">
        <v>2613</v>
      </c>
      <c r="H24857" s="35">
        <v>144</v>
      </c>
      <c r="I24857" s="33" t="s">
        <v>51</v>
      </c>
      <c r="J24857" s="42">
        <v>45943</v>
      </c>
      <c r="K24857" s="33" t="s">
        <v>22</v>
      </c>
    </row>
    <row r="24858" spans="1:11">
      <c r="A24858" s="30" t="s">
        <v>54757</v>
      </c>
      <c r="B24858" s="30" t="s">
        <v>54758</v>
      </c>
      <c r="C24858" s="30" t="s">
        <v>178</v>
      </c>
      <c r="D24858" s="30" t="s">
        <v>17</v>
      </c>
      <c r="E24858" s="30" t="s">
        <v>31</v>
      </c>
      <c r="F24858" s="30" t="s">
        <v>32</v>
      </c>
      <c r="G24858" s="30" t="s">
        <v>140</v>
      </c>
      <c r="H24858" s="32">
        <v>160</v>
      </c>
      <c r="I24858" s="30" t="s">
        <v>51</v>
      </c>
      <c r="J24858" s="41">
        <v>45996</v>
      </c>
      <c r="K24858" s="30" t="s">
        <v>22</v>
      </c>
    </row>
    <row r="24859" spans="1:11">
      <c r="A24859" s="33" t="s">
        <v>54759</v>
      </c>
      <c r="B24859" s="33" t="s">
        <v>54760</v>
      </c>
      <c r="C24859" s="33" t="s">
        <v>222</v>
      </c>
      <c r="D24859" s="33" t="s">
        <v>17</v>
      </c>
      <c r="E24859" s="33" t="s">
        <v>45</v>
      </c>
      <c r="F24859" s="33" t="s">
        <v>46</v>
      </c>
      <c r="G24859" s="33" t="s">
        <v>140</v>
      </c>
      <c r="H24859" s="35">
        <v>630</v>
      </c>
      <c r="I24859" s="33" t="s">
        <v>51</v>
      </c>
      <c r="J24859" s="42">
        <v>45926</v>
      </c>
      <c r="K24859" s="33" t="s">
        <v>22</v>
      </c>
    </row>
    <row r="24860" spans="1:11">
      <c r="A24860" s="30" t="s">
        <v>54761</v>
      </c>
      <c r="B24860" s="30" t="s">
        <v>54762</v>
      </c>
      <c r="C24860" s="30" t="s">
        <v>2728</v>
      </c>
      <c r="D24860" s="30" t="s">
        <v>17</v>
      </c>
      <c r="E24860" s="30" t="s">
        <v>26</v>
      </c>
      <c r="F24860" s="30" t="s">
        <v>27</v>
      </c>
      <c r="G24860" s="30" t="s">
        <v>20</v>
      </c>
      <c r="H24860" s="32">
        <v>22</v>
      </c>
      <c r="I24860" s="30" t="s">
        <v>21</v>
      </c>
      <c r="J24860" s="41">
        <v>46006</v>
      </c>
      <c r="K24860" s="30" t="s">
        <v>22</v>
      </c>
    </row>
    <row r="24861" spans="1:11">
      <c r="A24861" s="33" t="s">
        <v>54763</v>
      </c>
      <c r="B24861" s="33" t="s">
        <v>54764</v>
      </c>
      <c r="C24861" s="33" t="s">
        <v>149</v>
      </c>
      <c r="D24861" s="33" t="s">
        <v>17</v>
      </c>
      <c r="E24861" s="33" t="s">
        <v>31</v>
      </c>
      <c r="F24861" s="33" t="s">
        <v>32</v>
      </c>
      <c r="G24861" s="33" t="s">
        <v>140</v>
      </c>
      <c r="H24861" s="35">
        <v>100</v>
      </c>
      <c r="I24861" s="33" t="s">
        <v>51</v>
      </c>
      <c r="J24861" s="42">
        <v>45995</v>
      </c>
      <c r="K24861" s="33" t="s">
        <v>22</v>
      </c>
    </row>
    <row r="24862" spans="1:11">
      <c r="A24862" s="30" t="s">
        <v>54765</v>
      </c>
      <c r="B24862" s="30" t="s">
        <v>54766</v>
      </c>
      <c r="C24862" s="30" t="s">
        <v>2839</v>
      </c>
      <c r="D24862" s="30" t="s">
        <v>17</v>
      </c>
      <c r="E24862" s="30" t="s">
        <v>26</v>
      </c>
      <c r="F24862" s="30" t="s">
        <v>27</v>
      </c>
      <c r="G24862" s="30" t="s">
        <v>7780</v>
      </c>
      <c r="H24862" s="32">
        <v>6</v>
      </c>
      <c r="I24862" s="30" t="s">
        <v>51</v>
      </c>
      <c r="J24862" s="41">
        <v>45809</v>
      </c>
      <c r="K24862" s="30" t="s">
        <v>22</v>
      </c>
    </row>
    <row r="24863" spans="1:11">
      <c r="A24863" s="33" t="s">
        <v>54767</v>
      </c>
      <c r="B24863" s="33" t="s">
        <v>54768</v>
      </c>
      <c r="C24863" s="33" t="s">
        <v>54769</v>
      </c>
      <c r="D24863" s="33" t="s">
        <v>17</v>
      </c>
      <c r="E24863" s="33" t="s">
        <v>67</v>
      </c>
      <c r="F24863" s="33" t="s">
        <v>68</v>
      </c>
      <c r="G24863" s="33" t="s">
        <v>140</v>
      </c>
      <c r="H24863" s="35">
        <v>84</v>
      </c>
      <c r="I24863" s="33" t="s">
        <v>51</v>
      </c>
      <c r="J24863" s="42">
        <v>45777</v>
      </c>
      <c r="K24863" s="33" t="s">
        <v>22</v>
      </c>
    </row>
    <row r="24864" spans="1:11">
      <c r="A24864" s="30" t="s">
        <v>54770</v>
      </c>
      <c r="B24864" s="30" t="s">
        <v>54771</v>
      </c>
      <c r="C24864" s="30" t="s">
        <v>647</v>
      </c>
      <c r="D24864" s="30" t="s">
        <v>17</v>
      </c>
      <c r="E24864" s="30" t="s">
        <v>26</v>
      </c>
      <c r="F24864" s="30" t="s">
        <v>27</v>
      </c>
      <c r="G24864" s="30" t="s">
        <v>20</v>
      </c>
      <c r="H24864" s="32">
        <v>42</v>
      </c>
      <c r="I24864" s="30" t="s">
        <v>21</v>
      </c>
      <c r="J24864" s="41">
        <v>45881</v>
      </c>
      <c r="K24864" s="30" t="s">
        <v>22</v>
      </c>
    </row>
    <row r="24865" spans="1:11">
      <c r="A24865" s="33" t="s">
        <v>54772</v>
      </c>
      <c r="B24865" s="33" t="s">
        <v>54773</v>
      </c>
      <c r="C24865" s="33" t="s">
        <v>178</v>
      </c>
      <c r="D24865" s="33" t="s">
        <v>17</v>
      </c>
      <c r="E24865" s="33" t="s">
        <v>31</v>
      </c>
      <c r="F24865" s="33" t="s">
        <v>32</v>
      </c>
      <c r="G24865" s="33" t="s">
        <v>140</v>
      </c>
      <c r="H24865" s="35">
        <v>12</v>
      </c>
      <c r="I24865" s="33" t="s">
        <v>51</v>
      </c>
      <c r="J24865" s="42">
        <v>45936</v>
      </c>
      <c r="K24865" s="33" t="s">
        <v>22</v>
      </c>
    </row>
    <row r="24866" spans="1:11">
      <c r="A24866" s="30" t="s">
        <v>54774</v>
      </c>
      <c r="B24866" s="30" t="s">
        <v>54775</v>
      </c>
      <c r="C24866" s="30" t="s">
        <v>203</v>
      </c>
      <c r="D24866" s="30" t="s">
        <v>17</v>
      </c>
      <c r="E24866" s="30" t="s">
        <v>18</v>
      </c>
      <c r="F24866" s="30" t="s">
        <v>19</v>
      </c>
      <c r="G24866" s="30" t="s">
        <v>140</v>
      </c>
      <c r="H24866" s="32">
        <v>2440</v>
      </c>
      <c r="I24866" s="30" t="s">
        <v>51</v>
      </c>
      <c r="J24866" s="41">
        <v>45849</v>
      </c>
      <c r="K24866" s="30" t="s">
        <v>22</v>
      </c>
    </row>
    <row r="24867" spans="1:11">
      <c r="A24867" s="33" t="s">
        <v>54776</v>
      </c>
      <c r="B24867" s="33" t="s">
        <v>54777</v>
      </c>
      <c r="C24867" s="33" t="s">
        <v>31617</v>
      </c>
      <c r="D24867" s="33" t="s">
        <v>17</v>
      </c>
      <c r="E24867" s="33" t="s">
        <v>31</v>
      </c>
      <c r="F24867" s="33" t="s">
        <v>32</v>
      </c>
      <c r="G24867" s="33" t="s">
        <v>158</v>
      </c>
      <c r="H24867" s="35">
        <v>90</v>
      </c>
      <c r="I24867" s="33" t="s">
        <v>51</v>
      </c>
      <c r="J24867" s="42">
        <v>45828</v>
      </c>
      <c r="K24867" s="33" t="s">
        <v>22</v>
      </c>
    </row>
    <row r="24868" spans="1:11">
      <c r="A24868" s="30" t="s">
        <v>54778</v>
      </c>
      <c r="B24868" s="30" t="s">
        <v>54779</v>
      </c>
      <c r="C24868" s="30" t="s">
        <v>149</v>
      </c>
      <c r="D24868" s="30" t="s">
        <v>17</v>
      </c>
      <c r="E24868" s="30" t="s">
        <v>26</v>
      </c>
      <c r="F24868" s="30" t="s">
        <v>27</v>
      </c>
      <c r="G24868" s="30" t="s">
        <v>20</v>
      </c>
      <c r="H24868" s="32">
        <v>53</v>
      </c>
      <c r="I24868" s="30" t="s">
        <v>21</v>
      </c>
      <c r="J24868" s="41">
        <v>45770</v>
      </c>
      <c r="K24868" s="30" t="s">
        <v>22</v>
      </c>
    </row>
    <row r="24869" spans="1:11">
      <c r="A24869" s="33" t="s">
        <v>54780</v>
      </c>
      <c r="B24869" s="33" t="s">
        <v>54781</v>
      </c>
      <c r="C24869" s="33" t="s">
        <v>54782</v>
      </c>
      <c r="D24869" s="33" t="s">
        <v>17</v>
      </c>
      <c r="E24869" s="33" t="s">
        <v>212</v>
      </c>
      <c r="F24869" s="33" t="s">
        <v>213</v>
      </c>
      <c r="G24869" s="33" t="s">
        <v>140</v>
      </c>
      <c r="H24869" s="35">
        <v>10</v>
      </c>
      <c r="I24869" s="33" t="s">
        <v>51</v>
      </c>
      <c r="J24869" s="42">
        <v>45778</v>
      </c>
      <c r="K24869" s="33" t="s">
        <v>22</v>
      </c>
    </row>
    <row r="24870" spans="1:11">
      <c r="A24870" s="30" t="s">
        <v>54783</v>
      </c>
      <c r="B24870" s="30" t="s">
        <v>54784</v>
      </c>
      <c r="C24870" s="30" t="s">
        <v>124</v>
      </c>
      <c r="D24870" s="30" t="s">
        <v>17</v>
      </c>
      <c r="E24870" s="30" t="s">
        <v>18</v>
      </c>
      <c r="F24870" s="30" t="s">
        <v>19</v>
      </c>
      <c r="G24870" s="30" t="s">
        <v>140</v>
      </c>
      <c r="H24870" s="32">
        <v>405</v>
      </c>
      <c r="I24870" s="30" t="s">
        <v>51</v>
      </c>
      <c r="J24870" s="41">
        <v>45866</v>
      </c>
      <c r="K24870" s="30" t="s">
        <v>22</v>
      </c>
    </row>
    <row r="24871" spans="1:11">
      <c r="A24871" s="33" t="s">
        <v>54785</v>
      </c>
      <c r="B24871" s="33" t="s">
        <v>54786</v>
      </c>
      <c r="C24871" s="33" t="s">
        <v>11363</v>
      </c>
      <c r="D24871" s="33" t="s">
        <v>17</v>
      </c>
      <c r="E24871" s="33" t="s">
        <v>67</v>
      </c>
      <c r="F24871" s="33" t="s">
        <v>68</v>
      </c>
      <c r="G24871" s="33" t="s">
        <v>140</v>
      </c>
      <c r="H24871" s="35">
        <v>130</v>
      </c>
      <c r="I24871" s="33" t="s">
        <v>51</v>
      </c>
      <c r="J24871" s="42">
        <v>45777</v>
      </c>
      <c r="K24871" s="33" t="s">
        <v>22</v>
      </c>
    </row>
    <row r="24872" spans="1:11">
      <c r="A24872" s="30" t="s">
        <v>54787</v>
      </c>
      <c r="B24872" s="30" t="s">
        <v>54788</v>
      </c>
      <c r="C24872" s="30" t="s">
        <v>252</v>
      </c>
      <c r="D24872" s="30" t="s">
        <v>17</v>
      </c>
      <c r="E24872" s="30" t="s">
        <v>31</v>
      </c>
      <c r="F24872" s="30" t="s">
        <v>32</v>
      </c>
      <c r="G24872" s="30" t="s">
        <v>140</v>
      </c>
      <c r="H24872" s="32">
        <v>160</v>
      </c>
      <c r="I24872" s="30" t="s">
        <v>51</v>
      </c>
      <c r="J24872" s="41">
        <v>45919</v>
      </c>
      <c r="K24872" s="30" t="s">
        <v>22</v>
      </c>
    </row>
    <row r="24873" spans="1:11">
      <c r="A24873" s="33" t="s">
        <v>54789</v>
      </c>
      <c r="B24873" s="33" t="s">
        <v>54790</v>
      </c>
      <c r="C24873" s="33" t="s">
        <v>22482</v>
      </c>
      <c r="D24873" s="33" t="s">
        <v>17</v>
      </c>
      <c r="E24873" s="33" t="s">
        <v>67</v>
      </c>
      <c r="F24873" s="33" t="s">
        <v>68</v>
      </c>
      <c r="G24873" s="33" t="s">
        <v>140</v>
      </c>
      <c r="H24873" s="35">
        <v>147</v>
      </c>
      <c r="I24873" s="33" t="s">
        <v>51</v>
      </c>
      <c r="J24873" s="42">
        <v>45873</v>
      </c>
      <c r="K24873" s="33" t="s">
        <v>22</v>
      </c>
    </row>
    <row r="24874" spans="1:11">
      <c r="A24874" s="30" t="s">
        <v>54791</v>
      </c>
      <c r="B24874" s="30" t="s">
        <v>54792</v>
      </c>
      <c r="C24874" s="30" t="s">
        <v>54793</v>
      </c>
      <c r="D24874" s="30" t="s">
        <v>17</v>
      </c>
      <c r="E24874" s="30" t="s">
        <v>67</v>
      </c>
      <c r="F24874" s="30" t="s">
        <v>68</v>
      </c>
      <c r="G24874" s="30" t="s">
        <v>140</v>
      </c>
      <c r="H24874" s="32">
        <v>16</v>
      </c>
      <c r="I24874" s="30" t="s">
        <v>51</v>
      </c>
      <c r="J24874" s="41">
        <v>45665</v>
      </c>
      <c r="K24874" s="30" t="s">
        <v>22</v>
      </c>
    </row>
    <row r="24875" spans="1:11">
      <c r="A24875" s="33" t="s">
        <v>54794</v>
      </c>
      <c r="B24875" s="33" t="s">
        <v>54795</v>
      </c>
      <c r="C24875" s="33" t="s">
        <v>6486</v>
      </c>
      <c r="D24875" s="33" t="s">
        <v>17</v>
      </c>
      <c r="E24875" s="33" t="s">
        <v>18</v>
      </c>
      <c r="F24875" s="33" t="s">
        <v>19</v>
      </c>
      <c r="G24875" s="33" t="s">
        <v>158</v>
      </c>
      <c r="H24875" s="35">
        <v>300</v>
      </c>
      <c r="I24875" s="33" t="s">
        <v>21</v>
      </c>
      <c r="J24875" s="42">
        <v>45896</v>
      </c>
      <c r="K24875" s="33" t="s">
        <v>22</v>
      </c>
    </row>
    <row r="24876" spans="1:11">
      <c r="A24876" s="30" t="s">
        <v>54796</v>
      </c>
      <c r="B24876" s="30" t="s">
        <v>54797</v>
      </c>
      <c r="C24876" s="30" t="s">
        <v>647</v>
      </c>
      <c r="D24876" s="30" t="s">
        <v>17</v>
      </c>
      <c r="E24876" s="30" t="s">
        <v>26</v>
      </c>
      <c r="F24876" s="30" t="s">
        <v>27</v>
      </c>
      <c r="G24876" s="30" t="s">
        <v>140</v>
      </c>
      <c r="H24876" s="32">
        <v>126</v>
      </c>
      <c r="I24876" s="30" t="s">
        <v>51</v>
      </c>
      <c r="J24876" s="41">
        <v>45938</v>
      </c>
      <c r="K24876" s="30" t="s">
        <v>22</v>
      </c>
    </row>
    <row r="24877" spans="1:11">
      <c r="A24877" s="33" t="s">
        <v>54798</v>
      </c>
      <c r="B24877" s="33" t="s">
        <v>54799</v>
      </c>
      <c r="C24877" s="33" t="s">
        <v>4348</v>
      </c>
      <c r="D24877" s="33" t="s">
        <v>17</v>
      </c>
      <c r="E24877" s="33" t="s">
        <v>31</v>
      </c>
      <c r="F24877" s="33" t="s">
        <v>32</v>
      </c>
      <c r="G24877" s="33" t="s">
        <v>140</v>
      </c>
      <c r="H24877" s="35">
        <v>260</v>
      </c>
      <c r="I24877" s="33" t="s">
        <v>51</v>
      </c>
      <c r="J24877" s="42">
        <v>45866</v>
      </c>
      <c r="K24877" s="33" t="s">
        <v>22</v>
      </c>
    </row>
    <row r="24878" spans="1:11">
      <c r="A24878" s="30" t="s">
        <v>54800</v>
      </c>
      <c r="B24878" s="30" t="s">
        <v>54801</v>
      </c>
      <c r="C24878" s="30" t="s">
        <v>75</v>
      </c>
      <c r="D24878" s="30" t="s">
        <v>17</v>
      </c>
      <c r="E24878" s="30" t="s">
        <v>45</v>
      </c>
      <c r="F24878" s="30" t="s">
        <v>46</v>
      </c>
      <c r="G24878" s="30" t="s">
        <v>158</v>
      </c>
      <c r="H24878" s="32">
        <v>470</v>
      </c>
      <c r="I24878" s="30" t="s">
        <v>51</v>
      </c>
      <c r="J24878" s="41">
        <v>45953</v>
      </c>
      <c r="K24878" s="30" t="s">
        <v>22</v>
      </c>
    </row>
    <row r="24879" spans="1:11">
      <c r="A24879" s="33" t="s">
        <v>54802</v>
      </c>
      <c r="B24879" s="33" t="s">
        <v>54803</v>
      </c>
      <c r="C24879" s="33" t="s">
        <v>3655</v>
      </c>
      <c r="D24879" s="33" t="s">
        <v>17</v>
      </c>
      <c r="E24879" s="33" t="s">
        <v>45</v>
      </c>
      <c r="F24879" s="33" t="s">
        <v>46</v>
      </c>
      <c r="G24879" s="33" t="s">
        <v>140</v>
      </c>
      <c r="H24879" s="35">
        <v>1260</v>
      </c>
      <c r="I24879" s="33" t="s">
        <v>51</v>
      </c>
      <c r="J24879" s="42">
        <v>45664</v>
      </c>
      <c r="K24879" s="33" t="s">
        <v>22</v>
      </c>
    </row>
    <row r="24880" spans="1:11">
      <c r="A24880" s="30" t="s">
        <v>54804</v>
      </c>
      <c r="B24880" s="30" t="s">
        <v>54805</v>
      </c>
      <c r="C24880" s="30" t="s">
        <v>54806</v>
      </c>
      <c r="D24880" s="30" t="s">
        <v>17</v>
      </c>
      <c r="E24880" s="30" t="s">
        <v>67</v>
      </c>
      <c r="F24880" s="30" t="s">
        <v>68</v>
      </c>
      <c r="G24880" s="30" t="s">
        <v>140</v>
      </c>
      <c r="H24880" s="32">
        <v>125</v>
      </c>
      <c r="I24880" s="30" t="s">
        <v>51</v>
      </c>
      <c r="J24880" s="41">
        <v>45833</v>
      </c>
      <c r="K24880" s="30" t="s">
        <v>22</v>
      </c>
    </row>
    <row r="24881" spans="1:11">
      <c r="A24881" s="33" t="s">
        <v>54807</v>
      </c>
      <c r="B24881" s="33" t="s">
        <v>54808</v>
      </c>
      <c r="C24881" s="33" t="s">
        <v>54809</v>
      </c>
      <c r="D24881" s="33" t="s">
        <v>17</v>
      </c>
      <c r="E24881" s="33" t="s">
        <v>212</v>
      </c>
      <c r="F24881" s="33" t="s">
        <v>213</v>
      </c>
      <c r="G24881" s="33" t="s">
        <v>140</v>
      </c>
      <c r="H24881" s="35">
        <v>212</v>
      </c>
      <c r="I24881" s="33" t="s">
        <v>51</v>
      </c>
      <c r="J24881" s="42">
        <v>45672</v>
      </c>
      <c r="K24881" s="33" t="s">
        <v>22</v>
      </c>
    </row>
    <row r="24882" spans="1:11">
      <c r="A24882" s="30" t="s">
        <v>54810</v>
      </c>
      <c r="B24882" s="30" t="s">
        <v>54811</v>
      </c>
      <c r="C24882" s="30" t="s">
        <v>29833</v>
      </c>
      <c r="D24882" s="30" t="s">
        <v>17</v>
      </c>
      <c r="E24882" s="30" t="s">
        <v>26</v>
      </c>
      <c r="F24882" s="30" t="s">
        <v>27</v>
      </c>
      <c r="G24882" s="30" t="s">
        <v>20</v>
      </c>
      <c r="H24882" s="32">
        <v>34</v>
      </c>
      <c r="I24882" s="30" t="s">
        <v>21</v>
      </c>
      <c r="J24882" s="41">
        <v>45783</v>
      </c>
      <c r="K24882" s="30" t="s">
        <v>22</v>
      </c>
    </row>
    <row r="24883" spans="1:11">
      <c r="A24883" s="33" t="s">
        <v>54812</v>
      </c>
      <c r="B24883" s="33" t="s">
        <v>54813</v>
      </c>
      <c r="C24883" s="33" t="s">
        <v>15917</v>
      </c>
      <c r="D24883" s="33" t="s">
        <v>17</v>
      </c>
      <c r="E24883" s="33" t="s">
        <v>31</v>
      </c>
      <c r="F24883" s="33" t="s">
        <v>32</v>
      </c>
      <c r="G24883" s="33" t="s">
        <v>140</v>
      </c>
      <c r="H24883" s="35">
        <v>270</v>
      </c>
      <c r="I24883" s="33" t="s">
        <v>51</v>
      </c>
      <c r="J24883" s="42">
        <v>45959</v>
      </c>
      <c r="K24883" s="33" t="s">
        <v>22</v>
      </c>
    </row>
    <row r="24884" spans="1:11">
      <c r="A24884" s="30" t="s">
        <v>54814</v>
      </c>
      <c r="B24884" s="30" t="s">
        <v>54815</v>
      </c>
      <c r="C24884" s="30" t="s">
        <v>6622</v>
      </c>
      <c r="D24884" s="30" t="s">
        <v>17</v>
      </c>
      <c r="E24884" s="30" t="s">
        <v>31</v>
      </c>
      <c r="F24884" s="30" t="s">
        <v>32</v>
      </c>
      <c r="G24884" s="30" t="s">
        <v>7780</v>
      </c>
      <c r="H24884" s="32">
        <v>150</v>
      </c>
      <c r="I24884" s="30" t="s">
        <v>51</v>
      </c>
      <c r="J24884" s="41">
        <v>45748</v>
      </c>
      <c r="K24884" s="30" t="s">
        <v>22</v>
      </c>
    </row>
    <row r="24885" spans="1:11">
      <c r="A24885" s="33" t="s">
        <v>54816</v>
      </c>
      <c r="B24885" s="33" t="s">
        <v>54817</v>
      </c>
      <c r="C24885" s="33" t="s">
        <v>28592</v>
      </c>
      <c r="D24885" s="33" t="s">
        <v>17</v>
      </c>
      <c r="E24885" s="33" t="s">
        <v>26</v>
      </c>
      <c r="F24885" s="33" t="s">
        <v>27</v>
      </c>
      <c r="G24885" s="33" t="s">
        <v>158</v>
      </c>
      <c r="H24885" s="35">
        <v>4</v>
      </c>
      <c r="I24885" s="33" t="s">
        <v>21</v>
      </c>
      <c r="J24885" s="42">
        <v>45703</v>
      </c>
      <c r="K24885" s="33" t="s">
        <v>22</v>
      </c>
    </row>
    <row r="24886" spans="1:11">
      <c r="A24886" s="30" t="s">
        <v>54818</v>
      </c>
      <c r="B24886" s="30" t="s">
        <v>54819</v>
      </c>
      <c r="C24886" s="30" t="s">
        <v>16391</v>
      </c>
      <c r="D24886" s="30" t="s">
        <v>17</v>
      </c>
      <c r="E24886" s="30" t="s">
        <v>26</v>
      </c>
      <c r="F24886" s="30" t="s">
        <v>27</v>
      </c>
      <c r="G24886" s="30" t="s">
        <v>20</v>
      </c>
      <c r="H24886" s="32">
        <v>6</v>
      </c>
      <c r="I24886" s="30" t="s">
        <v>21</v>
      </c>
      <c r="J24886" s="41">
        <v>45845</v>
      </c>
      <c r="K24886" s="30" t="s">
        <v>22</v>
      </c>
    </row>
    <row r="24887" spans="1:11">
      <c r="A24887" s="33" t="s">
        <v>54820</v>
      </c>
      <c r="B24887" s="33" t="s">
        <v>54821</v>
      </c>
      <c r="C24887" s="33" t="s">
        <v>52346</v>
      </c>
      <c r="D24887" s="33" t="s">
        <v>17</v>
      </c>
      <c r="E24887" s="33" t="s">
        <v>330</v>
      </c>
      <c r="F24887" s="33" t="s">
        <v>331</v>
      </c>
      <c r="G24887" s="33" t="s">
        <v>7780</v>
      </c>
      <c r="H24887" s="35">
        <v>12</v>
      </c>
      <c r="I24887" s="33" t="s">
        <v>51</v>
      </c>
      <c r="J24887" s="42">
        <v>45912</v>
      </c>
      <c r="K24887" s="33" t="s">
        <v>22</v>
      </c>
    </row>
    <row r="24888" spans="1:11">
      <c r="A24888" s="30" t="s">
        <v>54822</v>
      </c>
      <c r="B24888" s="30" t="s">
        <v>54823</v>
      </c>
      <c r="C24888" s="30" t="s">
        <v>16063</v>
      </c>
      <c r="D24888" s="30" t="s">
        <v>17</v>
      </c>
      <c r="E24888" s="30" t="s">
        <v>18</v>
      </c>
      <c r="F24888" s="30" t="s">
        <v>19</v>
      </c>
      <c r="G24888" s="30" t="s">
        <v>140</v>
      </c>
      <c r="H24888" s="32">
        <v>1300</v>
      </c>
      <c r="I24888" s="30" t="s">
        <v>51</v>
      </c>
      <c r="J24888" s="41">
        <v>45926</v>
      </c>
      <c r="K24888" s="30" t="s">
        <v>22</v>
      </c>
    </row>
    <row r="24889" spans="1:11">
      <c r="A24889" s="33" t="s">
        <v>54824</v>
      </c>
      <c r="B24889" s="33" t="s">
        <v>54825</v>
      </c>
      <c r="C24889" s="33" t="s">
        <v>11599</v>
      </c>
      <c r="D24889" s="33" t="s">
        <v>17</v>
      </c>
      <c r="E24889" s="33" t="s">
        <v>31</v>
      </c>
      <c r="F24889" s="33" t="s">
        <v>32</v>
      </c>
      <c r="G24889" s="33" t="s">
        <v>140</v>
      </c>
      <c r="H24889" s="35">
        <v>80</v>
      </c>
      <c r="I24889" s="33" t="s">
        <v>51</v>
      </c>
      <c r="J24889" s="42">
        <v>45839</v>
      </c>
      <c r="K24889" s="33" t="s">
        <v>22</v>
      </c>
    </row>
    <row r="24890" spans="1:11">
      <c r="A24890" s="30" t="s">
        <v>54826</v>
      </c>
      <c r="B24890" s="30" t="s">
        <v>54827</v>
      </c>
      <c r="C24890" s="30" t="s">
        <v>54828</v>
      </c>
      <c r="D24890" s="30" t="s">
        <v>17</v>
      </c>
      <c r="E24890" s="30" t="s">
        <v>26</v>
      </c>
      <c r="F24890" s="30" t="s">
        <v>27</v>
      </c>
      <c r="G24890" s="30" t="s">
        <v>140</v>
      </c>
      <c r="H24890" s="32">
        <v>86</v>
      </c>
      <c r="I24890" s="30" t="s">
        <v>51</v>
      </c>
      <c r="J24890" s="41">
        <v>45772</v>
      </c>
      <c r="K24890" s="30" t="s">
        <v>22</v>
      </c>
    </row>
    <row r="24891" spans="1:11">
      <c r="A24891" s="33" t="s">
        <v>54829</v>
      </c>
      <c r="B24891" s="33" t="s">
        <v>54830</v>
      </c>
      <c r="C24891" s="33" t="s">
        <v>21474</v>
      </c>
      <c r="D24891" s="33" t="s">
        <v>17</v>
      </c>
      <c r="E24891" s="33" t="s">
        <v>67</v>
      </c>
      <c r="F24891" s="33" t="s">
        <v>68</v>
      </c>
      <c r="G24891" s="33" t="s">
        <v>140</v>
      </c>
      <c r="H24891" s="35">
        <v>183</v>
      </c>
      <c r="I24891" s="33" t="s">
        <v>51</v>
      </c>
      <c r="J24891" s="42">
        <v>45808</v>
      </c>
      <c r="K24891" s="33" t="s">
        <v>22</v>
      </c>
    </row>
    <row r="24892" spans="1:11">
      <c r="A24892" s="30" t="s">
        <v>54831</v>
      </c>
      <c r="B24892" s="30" t="s">
        <v>54832</v>
      </c>
      <c r="C24892" s="30" t="s">
        <v>45483</v>
      </c>
      <c r="D24892" s="30" t="s">
        <v>17</v>
      </c>
      <c r="E24892" s="30" t="s">
        <v>26</v>
      </c>
      <c r="F24892" s="30" t="s">
        <v>27</v>
      </c>
      <c r="G24892" s="30" t="s">
        <v>158</v>
      </c>
      <c r="H24892" s="32">
        <v>24</v>
      </c>
      <c r="I24892" s="30" t="s">
        <v>51</v>
      </c>
      <c r="J24892" s="41">
        <v>45796</v>
      </c>
      <c r="K24892" s="30" t="s">
        <v>22</v>
      </c>
    </row>
    <row r="24893" spans="1:11">
      <c r="A24893" s="33" t="s">
        <v>54833</v>
      </c>
      <c r="B24893" s="33" t="s">
        <v>54834</v>
      </c>
      <c r="C24893" s="33" t="s">
        <v>12712</v>
      </c>
      <c r="D24893" s="33" t="s">
        <v>17</v>
      </c>
      <c r="E24893" s="33" t="s">
        <v>31</v>
      </c>
      <c r="F24893" s="33" t="s">
        <v>32</v>
      </c>
      <c r="G24893" s="33" t="s">
        <v>158</v>
      </c>
      <c r="H24893" s="35">
        <v>62</v>
      </c>
      <c r="I24893" s="33" t="s">
        <v>51</v>
      </c>
      <c r="J24893" s="42">
        <v>45736</v>
      </c>
      <c r="K24893" s="33" t="s">
        <v>22</v>
      </c>
    </row>
    <row r="24894" spans="1:11">
      <c r="A24894" s="30" t="s">
        <v>54835</v>
      </c>
      <c r="B24894" s="30" t="s">
        <v>54836</v>
      </c>
      <c r="C24894" s="30" t="s">
        <v>96</v>
      </c>
      <c r="D24894" s="30" t="s">
        <v>17</v>
      </c>
      <c r="E24894" s="30" t="s">
        <v>26</v>
      </c>
      <c r="F24894" s="30" t="s">
        <v>27</v>
      </c>
      <c r="G24894" s="30" t="s">
        <v>140</v>
      </c>
      <c r="H24894" s="32">
        <v>310</v>
      </c>
      <c r="I24894" s="30" t="s">
        <v>51</v>
      </c>
      <c r="J24894" s="41">
        <v>45880</v>
      </c>
      <c r="K24894" s="30" t="s">
        <v>22</v>
      </c>
    </row>
    <row r="24895" spans="1:11">
      <c r="A24895" s="33" t="s">
        <v>54837</v>
      </c>
      <c r="B24895" s="33" t="s">
        <v>54838</v>
      </c>
      <c r="C24895" s="33" t="s">
        <v>2709</v>
      </c>
      <c r="D24895" s="33" t="s">
        <v>17</v>
      </c>
      <c r="E24895" s="33" t="s">
        <v>26</v>
      </c>
      <c r="F24895" s="33" t="s">
        <v>27</v>
      </c>
      <c r="G24895" s="33" t="s">
        <v>2613</v>
      </c>
      <c r="H24895" s="35">
        <v>80</v>
      </c>
      <c r="I24895" s="33" t="s">
        <v>51</v>
      </c>
      <c r="J24895" s="42">
        <v>45913</v>
      </c>
      <c r="K24895" s="33" t="s">
        <v>22</v>
      </c>
    </row>
    <row r="24896" spans="1:11">
      <c r="A24896" s="30" t="s">
        <v>54839</v>
      </c>
      <c r="B24896" s="30" t="s">
        <v>54840</v>
      </c>
      <c r="C24896" s="30" t="s">
        <v>124</v>
      </c>
      <c r="D24896" s="30" t="s">
        <v>17</v>
      </c>
      <c r="E24896" s="30" t="s">
        <v>26</v>
      </c>
      <c r="F24896" s="30" t="s">
        <v>27</v>
      </c>
      <c r="G24896" s="30" t="s">
        <v>140</v>
      </c>
      <c r="H24896" s="32">
        <v>24</v>
      </c>
      <c r="I24896" s="30" t="s">
        <v>51</v>
      </c>
      <c r="J24896" s="41">
        <v>45806</v>
      </c>
      <c r="K24896" s="30" t="s">
        <v>22</v>
      </c>
    </row>
    <row r="24897" spans="1:11">
      <c r="A24897" s="33" t="s">
        <v>54841</v>
      </c>
      <c r="B24897" s="33" t="s">
        <v>54842</v>
      </c>
      <c r="C24897" s="33" t="s">
        <v>8052</v>
      </c>
      <c r="D24897" s="33" t="s">
        <v>17</v>
      </c>
      <c r="E24897" s="33" t="s">
        <v>26</v>
      </c>
      <c r="F24897" s="33" t="s">
        <v>27</v>
      </c>
      <c r="G24897" s="33" t="s">
        <v>20</v>
      </c>
      <c r="H24897" s="35">
        <v>16</v>
      </c>
      <c r="I24897" s="33" t="s">
        <v>21</v>
      </c>
      <c r="J24897" s="42">
        <v>45670</v>
      </c>
      <c r="K24897" s="33" t="s">
        <v>22</v>
      </c>
    </row>
    <row r="24898" spans="1:11">
      <c r="A24898" s="30" t="s">
        <v>54843</v>
      </c>
      <c r="B24898" s="30" t="s">
        <v>54844</v>
      </c>
      <c r="C24898" s="30" t="s">
        <v>27046</v>
      </c>
      <c r="D24898" s="30" t="s">
        <v>17</v>
      </c>
      <c r="E24898" s="30" t="s">
        <v>26</v>
      </c>
      <c r="F24898" s="30" t="s">
        <v>27</v>
      </c>
      <c r="G24898" s="30" t="s">
        <v>7780</v>
      </c>
      <c r="H24898" s="32">
        <v>24</v>
      </c>
      <c r="I24898" s="30" t="s">
        <v>51</v>
      </c>
      <c r="J24898" s="41">
        <v>45992</v>
      </c>
      <c r="K24898" s="30" t="s">
        <v>22</v>
      </c>
    </row>
    <row r="24899" spans="1:11">
      <c r="A24899" s="33" t="s">
        <v>54845</v>
      </c>
      <c r="B24899" s="33" t="s">
        <v>54846</v>
      </c>
      <c r="C24899" s="33" t="s">
        <v>9900</v>
      </c>
      <c r="D24899" s="33" t="s">
        <v>17</v>
      </c>
      <c r="E24899" s="33" t="s">
        <v>26</v>
      </c>
      <c r="F24899" s="33" t="s">
        <v>27</v>
      </c>
      <c r="G24899" s="33" t="s">
        <v>20</v>
      </c>
      <c r="H24899" s="35">
        <v>36</v>
      </c>
      <c r="I24899" s="33" t="s">
        <v>21</v>
      </c>
      <c r="J24899" s="42">
        <v>45730</v>
      </c>
      <c r="K24899" s="33" t="s">
        <v>22</v>
      </c>
    </row>
    <row r="24900" spans="1:11">
      <c r="A24900" s="30" t="s">
        <v>54847</v>
      </c>
      <c r="B24900" s="30" t="s">
        <v>54848</v>
      </c>
      <c r="C24900" s="30" t="s">
        <v>187</v>
      </c>
      <c r="D24900" s="30" t="s">
        <v>17</v>
      </c>
      <c r="E24900" s="30" t="s">
        <v>67</v>
      </c>
      <c r="F24900" s="30" t="s">
        <v>68</v>
      </c>
      <c r="G24900" s="30" t="s">
        <v>106</v>
      </c>
      <c r="H24900" s="32">
        <v>8</v>
      </c>
      <c r="I24900" s="30" t="s">
        <v>21</v>
      </c>
      <c r="J24900" s="41">
        <v>45793</v>
      </c>
      <c r="K24900" s="30" t="s">
        <v>22</v>
      </c>
    </row>
    <row r="24901" spans="1:11">
      <c r="A24901" s="33" t="s">
        <v>54849</v>
      </c>
      <c r="B24901" s="33" t="s">
        <v>54850</v>
      </c>
      <c r="C24901" s="33" t="s">
        <v>15408</v>
      </c>
      <c r="D24901" s="33" t="s">
        <v>17</v>
      </c>
      <c r="E24901" s="33" t="s">
        <v>18</v>
      </c>
      <c r="F24901" s="33" t="s">
        <v>19</v>
      </c>
      <c r="G24901" s="33" t="s">
        <v>140</v>
      </c>
      <c r="H24901" s="35">
        <v>450</v>
      </c>
      <c r="I24901" s="33" t="s">
        <v>51</v>
      </c>
      <c r="J24901" s="42">
        <v>45846</v>
      </c>
      <c r="K24901" s="33" t="s">
        <v>22</v>
      </c>
    </row>
    <row r="24902" spans="1:11">
      <c r="A24902" s="30" t="s">
        <v>54851</v>
      </c>
      <c r="B24902" s="30" t="s">
        <v>54852</v>
      </c>
      <c r="C24902" s="30" t="s">
        <v>52733</v>
      </c>
      <c r="D24902" s="30" t="s">
        <v>17</v>
      </c>
      <c r="E24902" s="30" t="s">
        <v>26</v>
      </c>
      <c r="F24902" s="30" t="s">
        <v>27</v>
      </c>
      <c r="G24902" s="30" t="s">
        <v>140</v>
      </c>
      <c r="H24902" s="32">
        <v>80</v>
      </c>
      <c r="I24902" s="30" t="s">
        <v>51</v>
      </c>
      <c r="J24902" s="41">
        <v>45789</v>
      </c>
      <c r="K24902" s="30" t="s">
        <v>22</v>
      </c>
    </row>
    <row r="24903" spans="1:11">
      <c r="A24903" s="33" t="s">
        <v>54853</v>
      </c>
      <c r="B24903" s="33" t="s">
        <v>54854</v>
      </c>
      <c r="C24903" s="33" t="s">
        <v>54855</v>
      </c>
      <c r="D24903" s="33" t="s">
        <v>17</v>
      </c>
      <c r="E24903" s="33" t="s">
        <v>18</v>
      </c>
      <c r="F24903" s="33" t="s">
        <v>19</v>
      </c>
      <c r="G24903" s="33" t="s">
        <v>7780</v>
      </c>
      <c r="H24903" s="35">
        <v>340</v>
      </c>
      <c r="I24903" s="33" t="s">
        <v>51</v>
      </c>
      <c r="J24903" s="42">
        <v>45901</v>
      </c>
      <c r="K24903" s="33" t="s">
        <v>22</v>
      </c>
    </row>
    <row r="24904" spans="1:11">
      <c r="A24904" s="30" t="s">
        <v>54856</v>
      </c>
      <c r="B24904" s="30" t="s">
        <v>54857</v>
      </c>
      <c r="C24904" s="30" t="s">
        <v>45739</v>
      </c>
      <c r="D24904" s="30" t="s">
        <v>17</v>
      </c>
      <c r="E24904" s="30" t="s">
        <v>31</v>
      </c>
      <c r="F24904" s="30" t="s">
        <v>32</v>
      </c>
      <c r="G24904" s="30" t="s">
        <v>140</v>
      </c>
      <c r="H24904" s="32">
        <v>30</v>
      </c>
      <c r="I24904" s="30" t="s">
        <v>51</v>
      </c>
      <c r="J24904" s="41">
        <v>46006</v>
      </c>
      <c r="K24904" s="30" t="s">
        <v>22</v>
      </c>
    </row>
    <row r="24905" spans="1:11">
      <c r="A24905" s="33" t="s">
        <v>54858</v>
      </c>
      <c r="B24905" s="33" t="s">
        <v>54859</v>
      </c>
      <c r="C24905" s="33" t="s">
        <v>31562</v>
      </c>
      <c r="D24905" s="33" t="s">
        <v>17</v>
      </c>
      <c r="E24905" s="33" t="s">
        <v>67</v>
      </c>
      <c r="F24905" s="33" t="s">
        <v>68</v>
      </c>
      <c r="G24905" s="33" t="s">
        <v>140</v>
      </c>
      <c r="H24905" s="35">
        <v>502</v>
      </c>
      <c r="I24905" s="33" t="s">
        <v>51</v>
      </c>
      <c r="J24905" s="42">
        <v>46013</v>
      </c>
      <c r="K24905" s="33" t="s">
        <v>22</v>
      </c>
    </row>
    <row r="24906" spans="1:11">
      <c r="A24906" s="30" t="s">
        <v>54860</v>
      </c>
      <c r="B24906" s="30" t="s">
        <v>54861</v>
      </c>
      <c r="C24906" s="30" t="s">
        <v>54862</v>
      </c>
      <c r="D24906" s="30" t="s">
        <v>17</v>
      </c>
      <c r="E24906" s="30" t="s">
        <v>212</v>
      </c>
      <c r="F24906" s="30" t="s">
        <v>213</v>
      </c>
      <c r="G24906" s="30" t="s">
        <v>140</v>
      </c>
      <c r="H24906" s="32">
        <v>46</v>
      </c>
      <c r="I24906" s="30" t="s">
        <v>51</v>
      </c>
      <c r="J24906" s="41">
        <v>45763</v>
      </c>
      <c r="K24906" s="30" t="s">
        <v>22</v>
      </c>
    </row>
    <row r="24907" spans="1:11">
      <c r="A24907" s="33" t="s">
        <v>54863</v>
      </c>
      <c r="B24907" s="33" t="s">
        <v>54864</v>
      </c>
      <c r="C24907" s="33" t="s">
        <v>109</v>
      </c>
      <c r="D24907" s="33" t="s">
        <v>17</v>
      </c>
      <c r="E24907" s="33" t="s">
        <v>31</v>
      </c>
      <c r="F24907" s="33" t="s">
        <v>32</v>
      </c>
      <c r="G24907" s="33" t="s">
        <v>140</v>
      </c>
      <c r="H24907" s="35">
        <v>224</v>
      </c>
      <c r="I24907" s="33" t="s">
        <v>51</v>
      </c>
      <c r="J24907" s="42">
        <v>45793</v>
      </c>
      <c r="K24907" s="33" t="s">
        <v>22</v>
      </c>
    </row>
    <row r="24908" spans="1:11">
      <c r="A24908" s="30" t="s">
        <v>54865</v>
      </c>
      <c r="B24908" s="30" t="s">
        <v>54866</v>
      </c>
      <c r="C24908" s="30" t="s">
        <v>11375</v>
      </c>
      <c r="D24908" s="30" t="s">
        <v>17</v>
      </c>
      <c r="E24908" s="30" t="s">
        <v>31</v>
      </c>
      <c r="F24908" s="30" t="s">
        <v>32</v>
      </c>
      <c r="G24908" s="30" t="s">
        <v>140</v>
      </c>
      <c r="H24908" s="32">
        <v>1500</v>
      </c>
      <c r="I24908" s="30" t="s">
        <v>51</v>
      </c>
      <c r="J24908" s="41">
        <v>45990</v>
      </c>
      <c r="K24908" s="30" t="s">
        <v>22</v>
      </c>
    </row>
    <row r="24909" spans="1:11">
      <c r="A24909" s="33" t="s">
        <v>54867</v>
      </c>
      <c r="B24909" s="33" t="s">
        <v>54868</v>
      </c>
      <c r="C24909" s="33" t="s">
        <v>54869</v>
      </c>
      <c r="D24909" s="33" t="s">
        <v>17</v>
      </c>
      <c r="E24909" s="33" t="s">
        <v>31</v>
      </c>
      <c r="F24909" s="33" t="s">
        <v>32</v>
      </c>
      <c r="G24909" s="33" t="s">
        <v>140</v>
      </c>
      <c r="H24909" s="35">
        <v>100</v>
      </c>
      <c r="I24909" s="33" t="s">
        <v>51</v>
      </c>
      <c r="J24909" s="42">
        <v>45699</v>
      </c>
      <c r="K24909" s="33" t="s">
        <v>22</v>
      </c>
    </row>
    <row r="24910" spans="1:11">
      <c r="A24910" s="30" t="s">
        <v>54870</v>
      </c>
      <c r="B24910" s="30" t="s">
        <v>54871</v>
      </c>
      <c r="C24910" s="30" t="s">
        <v>3429</v>
      </c>
      <c r="D24910" s="30" t="s">
        <v>17</v>
      </c>
      <c r="E24910" s="30" t="s">
        <v>26</v>
      </c>
      <c r="F24910" s="30" t="s">
        <v>27</v>
      </c>
      <c r="G24910" s="30" t="s">
        <v>20</v>
      </c>
      <c r="H24910" s="32">
        <v>32</v>
      </c>
      <c r="I24910" s="30" t="s">
        <v>21</v>
      </c>
      <c r="J24910" s="41">
        <v>45798</v>
      </c>
      <c r="K24910" s="30" t="s">
        <v>22</v>
      </c>
    </row>
    <row r="24911" spans="1:11">
      <c r="A24911" s="33" t="s">
        <v>54872</v>
      </c>
      <c r="B24911" s="33" t="s">
        <v>54873</v>
      </c>
      <c r="C24911" s="33" t="s">
        <v>54874</v>
      </c>
      <c r="D24911" s="33" t="s">
        <v>17</v>
      </c>
      <c r="E24911" s="33" t="s">
        <v>18</v>
      </c>
      <c r="F24911" s="33" t="s">
        <v>19</v>
      </c>
      <c r="G24911" s="33" t="s">
        <v>140</v>
      </c>
      <c r="H24911" s="35">
        <v>172</v>
      </c>
      <c r="I24911" s="33" t="s">
        <v>51</v>
      </c>
      <c r="J24911" s="42">
        <v>45778</v>
      </c>
      <c r="K24911" s="33" t="s">
        <v>22</v>
      </c>
    </row>
    <row r="24912" spans="1:11">
      <c r="A24912" s="30" t="s">
        <v>54875</v>
      </c>
      <c r="B24912" s="30" t="s">
        <v>54876</v>
      </c>
      <c r="C24912" s="30" t="s">
        <v>54877</v>
      </c>
      <c r="D24912" s="30" t="s">
        <v>17</v>
      </c>
      <c r="E24912" s="30" t="s">
        <v>67</v>
      </c>
      <c r="F24912" s="30" t="s">
        <v>68</v>
      </c>
      <c r="G24912" s="30" t="s">
        <v>140</v>
      </c>
      <c r="H24912" s="32">
        <v>36</v>
      </c>
      <c r="I24912" s="30" t="s">
        <v>51</v>
      </c>
      <c r="J24912" s="41">
        <v>45727</v>
      </c>
      <c r="K24912" s="30" t="s">
        <v>22</v>
      </c>
    </row>
    <row r="24913" spans="1:11">
      <c r="A24913" s="33" t="s">
        <v>54878</v>
      </c>
      <c r="B24913" s="33" t="s">
        <v>54879</v>
      </c>
      <c r="C24913" s="33" t="s">
        <v>54880</v>
      </c>
      <c r="D24913" s="33" t="s">
        <v>17</v>
      </c>
      <c r="E24913" s="33" t="s">
        <v>67</v>
      </c>
      <c r="F24913" s="33" t="s">
        <v>68</v>
      </c>
      <c r="G24913" s="33" t="s">
        <v>140</v>
      </c>
      <c r="H24913" s="35">
        <v>15</v>
      </c>
      <c r="I24913" s="33" t="s">
        <v>51</v>
      </c>
      <c r="J24913" s="42">
        <v>45971</v>
      </c>
      <c r="K24913" s="33" t="s">
        <v>22</v>
      </c>
    </row>
    <row r="24914" spans="1:11">
      <c r="A24914" s="30" t="s">
        <v>54881</v>
      </c>
      <c r="B24914" s="30" t="s">
        <v>54882</v>
      </c>
      <c r="C24914" s="30" t="s">
        <v>801</v>
      </c>
      <c r="D24914" s="30" t="s">
        <v>17</v>
      </c>
      <c r="E24914" s="30" t="s">
        <v>26</v>
      </c>
      <c r="F24914" s="30" t="s">
        <v>27</v>
      </c>
      <c r="G24914" s="30" t="s">
        <v>140</v>
      </c>
      <c r="H24914" s="32">
        <v>104</v>
      </c>
      <c r="I24914" s="30" t="s">
        <v>51</v>
      </c>
      <c r="J24914" s="41">
        <v>46009</v>
      </c>
      <c r="K24914" s="30" t="s">
        <v>22</v>
      </c>
    </row>
    <row r="24915" spans="1:11">
      <c r="A24915" s="33" t="s">
        <v>54883</v>
      </c>
      <c r="B24915" s="33" t="s">
        <v>54884</v>
      </c>
      <c r="C24915" s="33" t="s">
        <v>14253</v>
      </c>
      <c r="D24915" s="33" t="s">
        <v>17</v>
      </c>
      <c r="E24915" s="33" t="s">
        <v>26</v>
      </c>
      <c r="F24915" s="33" t="s">
        <v>27</v>
      </c>
      <c r="G24915" s="33" t="s">
        <v>140</v>
      </c>
      <c r="H24915" s="35">
        <v>37</v>
      </c>
      <c r="I24915" s="33" t="s">
        <v>51</v>
      </c>
      <c r="J24915" s="42">
        <v>45796</v>
      </c>
      <c r="K24915" s="33" t="s">
        <v>22</v>
      </c>
    </row>
    <row r="24916" spans="1:11">
      <c r="A24916" s="30" t="s">
        <v>54885</v>
      </c>
      <c r="B24916" s="30" t="s">
        <v>54886</v>
      </c>
      <c r="C24916" s="30" t="s">
        <v>11375</v>
      </c>
      <c r="D24916" s="30" t="s">
        <v>17</v>
      </c>
      <c r="E24916" s="30" t="s">
        <v>26</v>
      </c>
      <c r="F24916" s="30" t="s">
        <v>27</v>
      </c>
      <c r="G24916" s="30" t="s">
        <v>20</v>
      </c>
      <c r="H24916" s="32">
        <v>16</v>
      </c>
      <c r="I24916" s="30" t="s">
        <v>21</v>
      </c>
      <c r="J24916" s="41">
        <v>45933</v>
      </c>
      <c r="K24916" s="30" t="s">
        <v>22</v>
      </c>
    </row>
    <row r="24917" spans="1:11">
      <c r="A24917" s="33" t="s">
        <v>54887</v>
      </c>
      <c r="B24917" s="33" t="s">
        <v>54888</v>
      </c>
      <c r="C24917" s="33" t="s">
        <v>14483</v>
      </c>
      <c r="D24917" s="33" t="s">
        <v>17</v>
      </c>
      <c r="E24917" s="33" t="s">
        <v>26</v>
      </c>
      <c r="F24917" s="33" t="s">
        <v>27</v>
      </c>
      <c r="G24917" s="33" t="s">
        <v>7780</v>
      </c>
      <c r="H24917" s="35">
        <v>132</v>
      </c>
      <c r="I24917" s="33" t="s">
        <v>51</v>
      </c>
      <c r="J24917" s="42">
        <v>45929</v>
      </c>
      <c r="K24917" s="33" t="s">
        <v>22</v>
      </c>
    </row>
    <row r="24918" spans="1:11">
      <c r="A24918" s="30" t="s">
        <v>54889</v>
      </c>
      <c r="B24918" s="30" t="s">
        <v>54890</v>
      </c>
      <c r="C24918" s="30" t="s">
        <v>222</v>
      </c>
      <c r="D24918" s="30" t="s">
        <v>17</v>
      </c>
      <c r="E24918" s="30" t="s">
        <v>26</v>
      </c>
      <c r="F24918" s="30" t="s">
        <v>27</v>
      </c>
      <c r="G24918" s="30" t="s">
        <v>20</v>
      </c>
      <c r="H24918" s="32">
        <v>58</v>
      </c>
      <c r="I24918" s="30" t="s">
        <v>21</v>
      </c>
      <c r="J24918" s="41">
        <v>46000</v>
      </c>
      <c r="K24918" s="30" t="s">
        <v>22</v>
      </c>
    </row>
    <row r="24919" spans="1:11">
      <c r="A24919" s="33" t="s">
        <v>54891</v>
      </c>
      <c r="B24919" s="33" t="s">
        <v>54892</v>
      </c>
      <c r="C24919" s="33" t="s">
        <v>54893</v>
      </c>
      <c r="D24919" s="33" t="s">
        <v>17</v>
      </c>
      <c r="E24919" s="33" t="s">
        <v>26</v>
      </c>
      <c r="F24919" s="33" t="s">
        <v>27</v>
      </c>
      <c r="G24919" s="33" t="s">
        <v>140</v>
      </c>
      <c r="H24919" s="35">
        <v>20</v>
      </c>
      <c r="I24919" s="33" t="s">
        <v>51</v>
      </c>
      <c r="J24919" s="42">
        <v>45811</v>
      </c>
      <c r="K24919" s="33" t="s">
        <v>22</v>
      </c>
    </row>
    <row r="24920" spans="1:11">
      <c r="A24920" s="30" t="s">
        <v>54894</v>
      </c>
      <c r="B24920" s="30" t="s">
        <v>54895</v>
      </c>
      <c r="C24920" s="30" t="s">
        <v>3775</v>
      </c>
      <c r="D24920" s="30" t="s">
        <v>17</v>
      </c>
      <c r="E24920" s="30" t="s">
        <v>26</v>
      </c>
      <c r="F24920" s="30" t="s">
        <v>27</v>
      </c>
      <c r="G24920" s="30" t="s">
        <v>20</v>
      </c>
      <c r="H24920" s="32">
        <v>60</v>
      </c>
      <c r="I24920" s="30" t="s">
        <v>21</v>
      </c>
      <c r="J24920" s="41">
        <v>45661</v>
      </c>
      <c r="K24920" s="30" t="s">
        <v>22</v>
      </c>
    </row>
    <row r="24921" spans="1:11">
      <c r="A24921" s="33" t="s">
        <v>54896</v>
      </c>
      <c r="B24921" s="33" t="s">
        <v>54897</v>
      </c>
      <c r="C24921" s="33" t="s">
        <v>36890</v>
      </c>
      <c r="D24921" s="33" t="s">
        <v>17</v>
      </c>
      <c r="E24921" s="33" t="s">
        <v>26</v>
      </c>
      <c r="F24921" s="33" t="s">
        <v>27</v>
      </c>
      <c r="G24921" s="33" t="s">
        <v>140</v>
      </c>
      <c r="H24921" s="35">
        <v>15</v>
      </c>
      <c r="I24921" s="33" t="s">
        <v>51</v>
      </c>
      <c r="J24921" s="42">
        <v>45799</v>
      </c>
      <c r="K24921" s="33" t="s">
        <v>22</v>
      </c>
    </row>
    <row r="24922" spans="1:11">
      <c r="A24922" s="30" t="s">
        <v>54898</v>
      </c>
      <c r="B24922" s="30" t="s">
        <v>54899</v>
      </c>
      <c r="C24922" s="30" t="s">
        <v>18232</v>
      </c>
      <c r="D24922" s="30" t="s">
        <v>17</v>
      </c>
      <c r="E24922" s="30" t="s">
        <v>18</v>
      </c>
      <c r="F24922" s="30" t="s">
        <v>19</v>
      </c>
      <c r="G24922" s="30" t="s">
        <v>140</v>
      </c>
      <c r="H24922" s="32">
        <v>5</v>
      </c>
      <c r="I24922" s="30" t="s">
        <v>51</v>
      </c>
      <c r="J24922" s="41">
        <v>45952</v>
      </c>
      <c r="K24922" s="30" t="s">
        <v>22</v>
      </c>
    </row>
    <row r="24923" spans="1:11">
      <c r="A24923" s="33" t="s">
        <v>54900</v>
      </c>
      <c r="B24923" s="33" t="s">
        <v>54901</v>
      </c>
      <c r="C24923" s="33" t="s">
        <v>4353</v>
      </c>
      <c r="D24923" s="33" t="s">
        <v>17</v>
      </c>
      <c r="E24923" s="33" t="s">
        <v>67</v>
      </c>
      <c r="F24923" s="33" t="s">
        <v>68</v>
      </c>
      <c r="G24923" s="33" t="s">
        <v>69</v>
      </c>
      <c r="H24923" s="35">
        <v>43</v>
      </c>
      <c r="I24923" s="33" t="s">
        <v>51</v>
      </c>
      <c r="J24923" s="42">
        <v>45817</v>
      </c>
      <c r="K24923" s="33" t="s">
        <v>22</v>
      </c>
    </row>
    <row r="24924" spans="1:11">
      <c r="A24924" s="30" t="s">
        <v>54902</v>
      </c>
      <c r="B24924" s="30" t="s">
        <v>54903</v>
      </c>
      <c r="C24924" s="30" t="s">
        <v>14483</v>
      </c>
      <c r="D24924" s="30" t="s">
        <v>17</v>
      </c>
      <c r="E24924" s="30" t="s">
        <v>26</v>
      </c>
      <c r="F24924" s="30" t="s">
        <v>27</v>
      </c>
      <c r="G24924" s="30" t="s">
        <v>158</v>
      </c>
      <c r="H24924" s="32">
        <v>72</v>
      </c>
      <c r="I24924" s="30" t="s">
        <v>21</v>
      </c>
      <c r="J24924" s="41">
        <v>45838</v>
      </c>
      <c r="K24924" s="30" t="s">
        <v>22</v>
      </c>
    </row>
    <row r="24925" spans="1:11">
      <c r="A24925" s="33" t="s">
        <v>54904</v>
      </c>
      <c r="B24925" s="33" t="s">
        <v>54905</v>
      </c>
      <c r="C24925" s="33" t="s">
        <v>190</v>
      </c>
      <c r="D24925" s="33" t="s">
        <v>17</v>
      </c>
      <c r="E24925" s="33" t="s">
        <v>31</v>
      </c>
      <c r="F24925" s="33" t="s">
        <v>32</v>
      </c>
      <c r="G24925" s="33" t="s">
        <v>112</v>
      </c>
      <c r="H24925" s="35">
        <v>0</v>
      </c>
      <c r="I24925" s="33" t="s">
        <v>21</v>
      </c>
      <c r="J24925" s="42">
        <v>45838</v>
      </c>
      <c r="K24925" s="33" t="s">
        <v>22</v>
      </c>
    </row>
    <row r="24926" spans="1:11">
      <c r="A24926" s="30" t="s">
        <v>54906</v>
      </c>
      <c r="B24926" s="30" t="s">
        <v>54907</v>
      </c>
      <c r="C24926" s="30" t="s">
        <v>124</v>
      </c>
      <c r="D24926" s="30" t="s">
        <v>17</v>
      </c>
      <c r="E24926" s="30" t="s">
        <v>26</v>
      </c>
      <c r="F24926" s="30" t="s">
        <v>27</v>
      </c>
      <c r="G24926" s="30" t="s">
        <v>140</v>
      </c>
      <c r="H24926" s="32">
        <v>245</v>
      </c>
      <c r="I24926" s="30" t="s">
        <v>51</v>
      </c>
      <c r="J24926" s="41">
        <v>45758</v>
      </c>
      <c r="K24926" s="30" t="s">
        <v>22</v>
      </c>
    </row>
    <row r="24927" spans="1:11">
      <c r="A24927" s="33" t="s">
        <v>54908</v>
      </c>
      <c r="B24927" s="33" t="s">
        <v>54909</v>
      </c>
      <c r="C24927" s="33" t="s">
        <v>1080</v>
      </c>
      <c r="D24927" s="33" t="s">
        <v>17</v>
      </c>
      <c r="E24927" s="33" t="s">
        <v>26</v>
      </c>
      <c r="F24927" s="33" t="s">
        <v>27</v>
      </c>
      <c r="G24927" s="33" t="s">
        <v>7780</v>
      </c>
      <c r="H24927" s="35">
        <v>40</v>
      </c>
      <c r="I24927" s="33" t="s">
        <v>51</v>
      </c>
      <c r="J24927" s="42">
        <v>45689</v>
      </c>
      <c r="K24927" s="33" t="s">
        <v>22</v>
      </c>
    </row>
    <row r="24928" spans="1:11">
      <c r="A24928" s="30" t="s">
        <v>54910</v>
      </c>
      <c r="B24928" s="30" t="s">
        <v>54911</v>
      </c>
      <c r="C24928" s="30" t="s">
        <v>7911</v>
      </c>
      <c r="D24928" s="30" t="s">
        <v>17</v>
      </c>
      <c r="E24928" s="30" t="s">
        <v>26</v>
      </c>
      <c r="F24928" s="30" t="s">
        <v>27</v>
      </c>
      <c r="G24928" s="30" t="s">
        <v>158</v>
      </c>
      <c r="H24928" s="32">
        <v>32</v>
      </c>
      <c r="I24928" s="30" t="s">
        <v>51</v>
      </c>
      <c r="J24928" s="41">
        <v>45862</v>
      </c>
      <c r="K24928" s="30" t="s">
        <v>22</v>
      </c>
    </row>
    <row r="24929" spans="1:11">
      <c r="A24929" s="33" t="s">
        <v>54912</v>
      </c>
      <c r="B24929" s="33" t="s">
        <v>54913</v>
      </c>
      <c r="C24929" s="33" t="s">
        <v>1571</v>
      </c>
      <c r="D24929" s="33" t="s">
        <v>17</v>
      </c>
      <c r="E24929" s="33" t="s">
        <v>26</v>
      </c>
      <c r="F24929" s="33" t="s">
        <v>27</v>
      </c>
      <c r="G24929" s="33" t="s">
        <v>20</v>
      </c>
      <c r="H24929" s="35">
        <v>42</v>
      </c>
      <c r="I24929" s="33" t="s">
        <v>21</v>
      </c>
      <c r="J24929" s="42">
        <v>45794</v>
      </c>
      <c r="K24929" s="33" t="s">
        <v>22</v>
      </c>
    </row>
    <row r="24930" spans="1:11">
      <c r="A24930" s="30" t="s">
        <v>54914</v>
      </c>
      <c r="B24930" s="30" t="s">
        <v>54915</v>
      </c>
      <c r="C24930" s="30" t="s">
        <v>49904</v>
      </c>
      <c r="D24930" s="30" t="s">
        <v>17</v>
      </c>
      <c r="E24930" s="30" t="s">
        <v>330</v>
      </c>
      <c r="F24930" s="30" t="s">
        <v>331</v>
      </c>
      <c r="G24930" s="30" t="s">
        <v>20</v>
      </c>
      <c r="H24930" s="32">
        <v>40</v>
      </c>
      <c r="I24930" s="30" t="s">
        <v>21</v>
      </c>
      <c r="J24930" s="41">
        <v>45898</v>
      </c>
      <c r="K24930" s="30" t="s">
        <v>22</v>
      </c>
    </row>
    <row r="24931" spans="1:11">
      <c r="A24931" s="33" t="s">
        <v>54916</v>
      </c>
      <c r="B24931" s="33" t="s">
        <v>54917</v>
      </c>
      <c r="C24931" s="33" t="s">
        <v>379</v>
      </c>
      <c r="D24931" s="33" t="s">
        <v>17</v>
      </c>
      <c r="E24931" s="33" t="s">
        <v>18</v>
      </c>
      <c r="F24931" s="33" t="s">
        <v>19</v>
      </c>
      <c r="G24931" s="33" t="s">
        <v>7780</v>
      </c>
      <c r="H24931" s="35">
        <v>386</v>
      </c>
      <c r="I24931" s="33" t="s">
        <v>51</v>
      </c>
      <c r="J24931" s="42">
        <v>45748</v>
      </c>
      <c r="K24931" s="33" t="s">
        <v>22</v>
      </c>
    </row>
    <row r="24932" spans="1:11">
      <c r="A24932" s="30" t="s">
        <v>54918</v>
      </c>
      <c r="B24932" s="30" t="s">
        <v>54919</v>
      </c>
      <c r="C24932" s="30" t="s">
        <v>969</v>
      </c>
      <c r="D24932" s="30" t="s">
        <v>17</v>
      </c>
      <c r="E24932" s="30" t="s">
        <v>67</v>
      </c>
      <c r="F24932" s="30" t="s">
        <v>68</v>
      </c>
      <c r="G24932" s="30" t="s">
        <v>140</v>
      </c>
      <c r="H24932" s="32">
        <v>40</v>
      </c>
      <c r="I24932" s="30" t="s">
        <v>51</v>
      </c>
      <c r="J24932" s="41">
        <v>46021</v>
      </c>
      <c r="K24932" s="30" t="s">
        <v>22</v>
      </c>
    </row>
    <row r="24933" spans="1:11">
      <c r="A24933" s="33" t="s">
        <v>54920</v>
      </c>
      <c r="B24933" s="33" t="s">
        <v>54921</v>
      </c>
      <c r="C24933" s="33" t="s">
        <v>1350</v>
      </c>
      <c r="D24933" s="33" t="s">
        <v>17</v>
      </c>
      <c r="E24933" s="33" t="s">
        <v>67</v>
      </c>
      <c r="F24933" s="33" t="s">
        <v>68</v>
      </c>
      <c r="G24933" s="33" t="s">
        <v>7780</v>
      </c>
      <c r="H24933" s="35">
        <v>430</v>
      </c>
      <c r="I24933" s="33" t="s">
        <v>51</v>
      </c>
      <c r="J24933" s="42">
        <v>45672</v>
      </c>
      <c r="K24933" s="33" t="s">
        <v>22</v>
      </c>
    </row>
    <row r="24934" spans="1:11">
      <c r="A24934" s="30" t="s">
        <v>54922</v>
      </c>
      <c r="B24934" s="30" t="s">
        <v>54923</v>
      </c>
      <c r="C24934" s="30" t="s">
        <v>96</v>
      </c>
      <c r="D24934" s="30" t="s">
        <v>17</v>
      </c>
      <c r="E24934" s="30" t="s">
        <v>26</v>
      </c>
      <c r="F24934" s="30" t="s">
        <v>27</v>
      </c>
      <c r="G24934" s="30" t="s">
        <v>158</v>
      </c>
      <c r="H24934" s="32">
        <v>16</v>
      </c>
      <c r="I24934" s="30" t="s">
        <v>21</v>
      </c>
      <c r="J24934" s="41">
        <v>45933</v>
      </c>
      <c r="K24934" s="30" t="s">
        <v>22</v>
      </c>
    </row>
    <row r="24935" spans="1:11">
      <c r="A24935" s="33" t="s">
        <v>54924</v>
      </c>
      <c r="B24935" s="33" t="s">
        <v>54925</v>
      </c>
      <c r="C24935" s="33" t="s">
        <v>11899</v>
      </c>
      <c r="D24935" s="33" t="s">
        <v>17</v>
      </c>
      <c r="E24935" s="33" t="s">
        <v>26</v>
      </c>
      <c r="F24935" s="33" t="s">
        <v>27</v>
      </c>
      <c r="G24935" s="33" t="s">
        <v>140</v>
      </c>
      <c r="H24935" s="35">
        <v>150</v>
      </c>
      <c r="I24935" s="33" t="s">
        <v>51</v>
      </c>
      <c r="J24935" s="42">
        <v>45749</v>
      </c>
      <c r="K24935" s="33" t="s">
        <v>22</v>
      </c>
    </row>
    <row r="24936" spans="1:11">
      <c r="A24936" s="30" t="s">
        <v>54926</v>
      </c>
      <c r="B24936" s="30" t="s">
        <v>54927</v>
      </c>
      <c r="C24936" s="30" t="s">
        <v>187</v>
      </c>
      <c r="D24936" s="30" t="s">
        <v>17</v>
      </c>
      <c r="E24936" s="30" t="s">
        <v>26</v>
      </c>
      <c r="F24936" s="30" t="s">
        <v>27</v>
      </c>
      <c r="G24936" s="30" t="s">
        <v>140</v>
      </c>
      <c r="H24936" s="32">
        <v>66</v>
      </c>
      <c r="I24936" s="30" t="s">
        <v>51</v>
      </c>
      <c r="J24936" s="41">
        <v>46009</v>
      </c>
      <c r="K24936" s="30" t="s">
        <v>22</v>
      </c>
    </row>
    <row r="24937" spans="1:11">
      <c r="A24937" s="33" t="s">
        <v>54928</v>
      </c>
      <c r="B24937" s="33" t="s">
        <v>54929</v>
      </c>
      <c r="C24937" s="33" t="s">
        <v>35575</v>
      </c>
      <c r="D24937" s="33" t="s">
        <v>17</v>
      </c>
      <c r="E24937" s="33" t="s">
        <v>18</v>
      </c>
      <c r="F24937" s="33" t="s">
        <v>19</v>
      </c>
      <c r="G24937" s="33" t="s">
        <v>7780</v>
      </c>
      <c r="H24937" s="35">
        <v>3000</v>
      </c>
      <c r="I24937" s="33" t="s">
        <v>51</v>
      </c>
      <c r="J24937" s="42">
        <v>45869</v>
      </c>
      <c r="K24937" s="33" t="s">
        <v>22</v>
      </c>
    </row>
    <row r="24938" spans="1:11">
      <c r="A24938" s="30" t="s">
        <v>54930</v>
      </c>
      <c r="B24938" s="30" t="s">
        <v>54931</v>
      </c>
      <c r="C24938" s="30" t="s">
        <v>5246</v>
      </c>
      <c r="D24938" s="30" t="s">
        <v>17</v>
      </c>
      <c r="E24938" s="30" t="s">
        <v>26</v>
      </c>
      <c r="F24938" s="30" t="s">
        <v>27</v>
      </c>
      <c r="G24938" s="30" t="s">
        <v>158</v>
      </c>
      <c r="H24938" s="32">
        <v>32</v>
      </c>
      <c r="I24938" s="30" t="s">
        <v>21</v>
      </c>
      <c r="J24938" s="41">
        <v>45761</v>
      </c>
      <c r="K24938" s="30" t="s">
        <v>22</v>
      </c>
    </row>
    <row r="24939" spans="1:11">
      <c r="A24939" s="33" t="s">
        <v>54932</v>
      </c>
      <c r="B24939" s="33" t="s">
        <v>54933</v>
      </c>
      <c r="C24939" s="33" t="s">
        <v>54934</v>
      </c>
      <c r="D24939" s="33" t="s">
        <v>17</v>
      </c>
      <c r="E24939" s="33" t="s">
        <v>31</v>
      </c>
      <c r="F24939" s="33" t="s">
        <v>32</v>
      </c>
      <c r="G24939" s="33" t="s">
        <v>140</v>
      </c>
      <c r="H24939" s="35">
        <v>87</v>
      </c>
      <c r="I24939" s="33" t="s">
        <v>51</v>
      </c>
      <c r="J24939" s="42">
        <v>45931</v>
      </c>
      <c r="K24939" s="33" t="s">
        <v>22</v>
      </c>
    </row>
    <row r="24940" spans="1:11">
      <c r="A24940" s="30" t="s">
        <v>54935</v>
      </c>
      <c r="B24940" s="30" t="s">
        <v>54936</v>
      </c>
      <c r="C24940" s="30" t="s">
        <v>93</v>
      </c>
      <c r="D24940" s="30" t="s">
        <v>17</v>
      </c>
      <c r="E24940" s="30" t="s">
        <v>26</v>
      </c>
      <c r="F24940" s="30" t="s">
        <v>27</v>
      </c>
      <c r="G24940" s="30" t="s">
        <v>20</v>
      </c>
      <c r="H24940" s="32">
        <v>93</v>
      </c>
      <c r="I24940" s="30" t="s">
        <v>21</v>
      </c>
      <c r="J24940" s="41">
        <v>45765</v>
      </c>
      <c r="K24940" s="30" t="s">
        <v>22</v>
      </c>
    </row>
    <row r="24941" spans="1:11">
      <c r="A24941" s="33" t="s">
        <v>54937</v>
      </c>
      <c r="B24941" s="33" t="s">
        <v>54938</v>
      </c>
      <c r="C24941" s="33" t="s">
        <v>3451</v>
      </c>
      <c r="D24941" s="33" t="s">
        <v>17</v>
      </c>
      <c r="E24941" s="33" t="s">
        <v>26</v>
      </c>
      <c r="F24941" s="33" t="s">
        <v>27</v>
      </c>
      <c r="G24941" s="33" t="s">
        <v>140</v>
      </c>
      <c r="H24941" s="35">
        <v>14</v>
      </c>
      <c r="I24941" s="33" t="s">
        <v>51</v>
      </c>
      <c r="J24941" s="42">
        <v>45884</v>
      </c>
      <c r="K24941" s="33" t="s">
        <v>22</v>
      </c>
    </row>
    <row r="24942" spans="1:11">
      <c r="A24942" s="30" t="s">
        <v>54939</v>
      </c>
      <c r="B24942" s="30" t="s">
        <v>54940</v>
      </c>
      <c r="C24942" s="30" t="s">
        <v>21937</v>
      </c>
      <c r="D24942" s="30" t="s">
        <v>17</v>
      </c>
      <c r="E24942" s="30" t="s">
        <v>31</v>
      </c>
      <c r="F24942" s="30" t="s">
        <v>32</v>
      </c>
      <c r="G24942" s="30" t="s">
        <v>7780</v>
      </c>
      <c r="H24942" s="32">
        <v>39</v>
      </c>
      <c r="I24942" s="30" t="s">
        <v>51</v>
      </c>
      <c r="J24942" s="41">
        <v>45901</v>
      </c>
      <c r="K24942" s="30" t="s">
        <v>22</v>
      </c>
    </row>
    <row r="24943" spans="1:11">
      <c r="A24943" s="33" t="s">
        <v>54941</v>
      </c>
      <c r="B24943" s="33" t="s">
        <v>54942</v>
      </c>
      <c r="C24943" s="33" t="s">
        <v>1504</v>
      </c>
      <c r="D24943" s="33" t="s">
        <v>17</v>
      </c>
      <c r="E24943" s="33" t="s">
        <v>31</v>
      </c>
      <c r="F24943" s="33" t="s">
        <v>32</v>
      </c>
      <c r="G24943" s="33" t="s">
        <v>140</v>
      </c>
      <c r="H24943" s="35">
        <v>30</v>
      </c>
      <c r="I24943" s="33" t="s">
        <v>51</v>
      </c>
      <c r="J24943" s="42">
        <v>46020</v>
      </c>
      <c r="K24943" s="33" t="s">
        <v>22</v>
      </c>
    </row>
    <row r="24944" spans="1:11">
      <c r="A24944" s="30" t="s">
        <v>54943</v>
      </c>
      <c r="B24944" s="30" t="s">
        <v>54944</v>
      </c>
      <c r="C24944" s="30" t="s">
        <v>54945</v>
      </c>
      <c r="D24944" s="30" t="s">
        <v>17</v>
      </c>
      <c r="E24944" s="30" t="s">
        <v>26</v>
      </c>
      <c r="F24944" s="30" t="s">
        <v>27</v>
      </c>
      <c r="G24944" s="30" t="s">
        <v>140</v>
      </c>
      <c r="H24944" s="32">
        <v>52</v>
      </c>
      <c r="I24944" s="30" t="s">
        <v>51</v>
      </c>
      <c r="J24944" s="41">
        <v>45663</v>
      </c>
      <c r="K24944" s="30" t="s">
        <v>22</v>
      </c>
    </row>
    <row r="24945" spans="1:11">
      <c r="A24945" s="33" t="s">
        <v>54946</v>
      </c>
      <c r="B24945" s="33" t="s">
        <v>54947</v>
      </c>
      <c r="C24945" s="33" t="s">
        <v>7765</v>
      </c>
      <c r="D24945" s="33" t="s">
        <v>17</v>
      </c>
      <c r="E24945" s="33" t="s">
        <v>26</v>
      </c>
      <c r="F24945" s="33" t="s">
        <v>27</v>
      </c>
      <c r="G24945" s="33" t="s">
        <v>20</v>
      </c>
      <c r="H24945" s="35">
        <v>8</v>
      </c>
      <c r="I24945" s="33" t="s">
        <v>21</v>
      </c>
      <c r="J24945" s="42">
        <v>45882</v>
      </c>
      <c r="K24945" s="33" t="s">
        <v>22</v>
      </c>
    </row>
    <row r="24946" spans="1:11">
      <c r="A24946" s="30" t="s">
        <v>54948</v>
      </c>
      <c r="B24946" s="30" t="s">
        <v>54949</v>
      </c>
      <c r="C24946" s="30" t="s">
        <v>18431</v>
      </c>
      <c r="D24946" s="30" t="s">
        <v>17</v>
      </c>
      <c r="E24946" s="30" t="s">
        <v>31</v>
      </c>
      <c r="F24946" s="30" t="s">
        <v>32</v>
      </c>
      <c r="G24946" s="30" t="s">
        <v>20</v>
      </c>
      <c r="H24946" s="32">
        <v>250</v>
      </c>
      <c r="I24946" s="30" t="s">
        <v>21</v>
      </c>
      <c r="J24946" s="41">
        <v>45825</v>
      </c>
      <c r="K24946" s="30" t="s">
        <v>22</v>
      </c>
    </row>
    <row r="24947" spans="1:11">
      <c r="A24947" s="33" t="s">
        <v>54950</v>
      </c>
      <c r="B24947" s="33" t="s">
        <v>54951</v>
      </c>
      <c r="C24947" s="33" t="s">
        <v>43361</v>
      </c>
      <c r="D24947" s="33" t="s">
        <v>17</v>
      </c>
      <c r="E24947" s="33" t="s">
        <v>26</v>
      </c>
      <c r="F24947" s="33" t="s">
        <v>27</v>
      </c>
      <c r="G24947" s="33" t="s">
        <v>140</v>
      </c>
      <c r="H24947" s="35">
        <v>12</v>
      </c>
      <c r="I24947" s="33" t="s">
        <v>51</v>
      </c>
      <c r="J24947" s="42">
        <v>45735</v>
      </c>
      <c r="K24947" s="33" t="s">
        <v>22</v>
      </c>
    </row>
    <row r="24948" spans="1:11">
      <c r="A24948" s="30" t="s">
        <v>54952</v>
      </c>
      <c r="B24948" s="30" t="s">
        <v>54953</v>
      </c>
      <c r="C24948" s="30" t="s">
        <v>535</v>
      </c>
      <c r="D24948" s="30" t="s">
        <v>17</v>
      </c>
      <c r="E24948" s="30" t="s">
        <v>26</v>
      </c>
      <c r="F24948" s="30" t="s">
        <v>27</v>
      </c>
      <c r="G24948" s="30" t="s">
        <v>140</v>
      </c>
      <c r="H24948" s="32">
        <v>98</v>
      </c>
      <c r="I24948" s="30" t="s">
        <v>51</v>
      </c>
      <c r="J24948" s="41">
        <v>45867</v>
      </c>
      <c r="K24948" s="30" t="s">
        <v>22</v>
      </c>
    </row>
    <row r="24949" spans="1:11">
      <c r="A24949" s="33" t="s">
        <v>54954</v>
      </c>
      <c r="B24949" s="33" t="s">
        <v>54955</v>
      </c>
      <c r="C24949" s="33" t="s">
        <v>54956</v>
      </c>
      <c r="D24949" s="33" t="s">
        <v>17</v>
      </c>
      <c r="E24949" s="33" t="s">
        <v>26</v>
      </c>
      <c r="F24949" s="33" t="s">
        <v>27</v>
      </c>
      <c r="G24949" s="33" t="s">
        <v>140</v>
      </c>
      <c r="H24949" s="35">
        <v>40</v>
      </c>
      <c r="I24949" s="33" t="s">
        <v>51</v>
      </c>
      <c r="J24949" s="42">
        <v>45931</v>
      </c>
      <c r="K24949" s="33" t="s">
        <v>22</v>
      </c>
    </row>
    <row r="24950" spans="1:11">
      <c r="A24950" s="30" t="s">
        <v>54957</v>
      </c>
      <c r="B24950" s="30" t="s">
        <v>54958</v>
      </c>
      <c r="C24950" s="30" t="s">
        <v>60</v>
      </c>
      <c r="D24950" s="30" t="s">
        <v>17</v>
      </c>
      <c r="E24950" s="30" t="s">
        <v>18</v>
      </c>
      <c r="F24950" s="30" t="s">
        <v>19</v>
      </c>
      <c r="G24950" s="30" t="s">
        <v>140</v>
      </c>
      <c r="H24950" s="32">
        <v>10</v>
      </c>
      <c r="I24950" s="30" t="s">
        <v>51</v>
      </c>
      <c r="J24950" s="41">
        <v>45747</v>
      </c>
      <c r="K24950" s="30" t="s">
        <v>22</v>
      </c>
    </row>
    <row r="24951" spans="1:11">
      <c r="A24951" s="33" t="s">
        <v>54959</v>
      </c>
      <c r="B24951" s="33" t="s">
        <v>54960</v>
      </c>
      <c r="C24951" s="33" t="s">
        <v>1428</v>
      </c>
      <c r="D24951" s="33" t="s">
        <v>17</v>
      </c>
      <c r="E24951" s="33" t="s">
        <v>31</v>
      </c>
      <c r="F24951" s="33" t="s">
        <v>32</v>
      </c>
      <c r="G24951" s="33" t="s">
        <v>140</v>
      </c>
      <c r="H24951" s="35">
        <v>60</v>
      </c>
      <c r="I24951" s="33" t="s">
        <v>51</v>
      </c>
      <c r="J24951" s="42">
        <v>46007</v>
      </c>
      <c r="K24951" s="33" t="s">
        <v>22</v>
      </c>
    </row>
    <row r="24952" spans="1:11">
      <c r="A24952" s="30" t="s">
        <v>54961</v>
      </c>
      <c r="B24952" s="30" t="s">
        <v>54962</v>
      </c>
      <c r="C24952" s="30" t="s">
        <v>374</v>
      </c>
      <c r="D24952" s="30" t="s">
        <v>17</v>
      </c>
      <c r="E24952" s="30" t="s">
        <v>18</v>
      </c>
      <c r="F24952" s="30" t="s">
        <v>19</v>
      </c>
      <c r="G24952" s="30" t="s">
        <v>140</v>
      </c>
      <c r="H24952" s="32">
        <v>630</v>
      </c>
      <c r="I24952" s="30" t="s">
        <v>51</v>
      </c>
      <c r="J24952" s="41">
        <v>45771</v>
      </c>
      <c r="K24952" s="30" t="s">
        <v>22</v>
      </c>
    </row>
    <row r="24953" spans="1:11">
      <c r="A24953" s="33" t="s">
        <v>54963</v>
      </c>
      <c r="B24953" s="33" t="s">
        <v>54964</v>
      </c>
      <c r="C24953" s="33" t="s">
        <v>1598</v>
      </c>
      <c r="D24953" s="33" t="s">
        <v>17</v>
      </c>
      <c r="E24953" s="33" t="s">
        <v>212</v>
      </c>
      <c r="F24953" s="33" t="s">
        <v>213</v>
      </c>
      <c r="G24953" s="33" t="s">
        <v>7780</v>
      </c>
      <c r="H24953" s="35">
        <v>92</v>
      </c>
      <c r="I24953" s="33" t="s">
        <v>51</v>
      </c>
      <c r="J24953" s="42">
        <v>46021</v>
      </c>
      <c r="K24953" s="33" t="s">
        <v>22</v>
      </c>
    </row>
    <row r="24954" spans="1:11">
      <c r="A24954" s="30" t="s">
        <v>54965</v>
      </c>
      <c r="B24954" s="30" t="s">
        <v>54966</v>
      </c>
      <c r="C24954" s="30" t="s">
        <v>23852</v>
      </c>
      <c r="D24954" s="30" t="s">
        <v>17</v>
      </c>
      <c r="E24954" s="30" t="s">
        <v>31</v>
      </c>
      <c r="F24954" s="30" t="s">
        <v>32</v>
      </c>
      <c r="G24954" s="30" t="s">
        <v>7780</v>
      </c>
      <c r="H24954" s="32">
        <v>30</v>
      </c>
      <c r="I24954" s="30" t="s">
        <v>51</v>
      </c>
      <c r="J24954" s="41">
        <v>45996</v>
      </c>
      <c r="K24954" s="30" t="s">
        <v>22</v>
      </c>
    </row>
    <row r="24955" spans="1:11">
      <c r="A24955" s="33" t="s">
        <v>54967</v>
      </c>
      <c r="B24955" s="33" t="s">
        <v>54968</v>
      </c>
      <c r="C24955" s="33" t="s">
        <v>1618</v>
      </c>
      <c r="D24955" s="33" t="s">
        <v>17</v>
      </c>
      <c r="E24955" s="33" t="s">
        <v>31</v>
      </c>
      <c r="F24955" s="33" t="s">
        <v>32</v>
      </c>
      <c r="G24955" s="33" t="s">
        <v>158</v>
      </c>
      <c r="H24955" s="35">
        <v>85</v>
      </c>
      <c r="I24955" s="33" t="s">
        <v>51</v>
      </c>
      <c r="J24955" s="42">
        <v>45715</v>
      </c>
      <c r="K24955" s="33" t="s">
        <v>22</v>
      </c>
    </row>
    <row r="24956" spans="1:11">
      <c r="A24956" s="30" t="s">
        <v>54969</v>
      </c>
      <c r="B24956" s="30" t="s">
        <v>54970</v>
      </c>
      <c r="C24956" s="30" t="s">
        <v>14483</v>
      </c>
      <c r="D24956" s="30" t="s">
        <v>17</v>
      </c>
      <c r="E24956" s="30" t="s">
        <v>26</v>
      </c>
      <c r="F24956" s="30" t="s">
        <v>27</v>
      </c>
      <c r="G24956" s="30" t="s">
        <v>20</v>
      </c>
      <c r="H24956" s="32">
        <v>24</v>
      </c>
      <c r="I24956" s="30" t="s">
        <v>21</v>
      </c>
      <c r="J24956" s="41">
        <v>45777</v>
      </c>
      <c r="K24956" s="30" t="s">
        <v>22</v>
      </c>
    </row>
    <row r="24957" spans="1:11">
      <c r="A24957" s="33" t="s">
        <v>54971</v>
      </c>
      <c r="B24957" s="33" t="s">
        <v>54972</v>
      </c>
      <c r="C24957" s="33" t="s">
        <v>379</v>
      </c>
      <c r="D24957" s="33" t="s">
        <v>17</v>
      </c>
      <c r="E24957" s="33" t="s">
        <v>31</v>
      </c>
      <c r="F24957" s="33" t="s">
        <v>32</v>
      </c>
      <c r="G24957" s="33" t="s">
        <v>140</v>
      </c>
      <c r="H24957" s="35">
        <v>60</v>
      </c>
      <c r="I24957" s="33" t="s">
        <v>51</v>
      </c>
      <c r="J24957" s="42">
        <v>45915</v>
      </c>
      <c r="K24957" s="33" t="s">
        <v>22</v>
      </c>
    </row>
    <row r="24958" spans="1:11">
      <c r="A24958" s="30" t="s">
        <v>54973</v>
      </c>
      <c r="B24958" s="30" t="s">
        <v>54974</v>
      </c>
      <c r="C24958" s="30" t="s">
        <v>136</v>
      </c>
      <c r="D24958" s="30" t="s">
        <v>17</v>
      </c>
      <c r="E24958" s="30" t="s">
        <v>26</v>
      </c>
      <c r="F24958" s="30" t="s">
        <v>27</v>
      </c>
      <c r="G24958" s="30" t="s">
        <v>140</v>
      </c>
      <c r="H24958" s="32">
        <v>240</v>
      </c>
      <c r="I24958" s="30" t="s">
        <v>51</v>
      </c>
      <c r="J24958" s="41">
        <v>45866</v>
      </c>
      <c r="K24958" s="30" t="s">
        <v>22</v>
      </c>
    </row>
    <row r="24959" spans="1:11">
      <c r="A24959" s="33" t="s">
        <v>54975</v>
      </c>
      <c r="B24959" s="33" t="s">
        <v>54976</v>
      </c>
      <c r="C24959" s="33" t="s">
        <v>54977</v>
      </c>
      <c r="D24959" s="33" t="s">
        <v>17</v>
      </c>
      <c r="E24959" s="33" t="s">
        <v>67</v>
      </c>
      <c r="F24959" s="33" t="s">
        <v>68</v>
      </c>
      <c r="G24959" s="33" t="s">
        <v>140</v>
      </c>
      <c r="H24959" s="35">
        <v>43</v>
      </c>
      <c r="I24959" s="33" t="s">
        <v>51</v>
      </c>
      <c r="J24959" s="42">
        <v>45663</v>
      </c>
      <c r="K24959" s="33" t="s">
        <v>22</v>
      </c>
    </row>
    <row r="24960" spans="1:11">
      <c r="A24960" s="30" t="s">
        <v>54978</v>
      </c>
      <c r="B24960" s="30" t="s">
        <v>54979</v>
      </c>
      <c r="C24960" s="30" t="s">
        <v>11899</v>
      </c>
      <c r="D24960" s="30" t="s">
        <v>17</v>
      </c>
      <c r="E24960" s="30" t="s">
        <v>18</v>
      </c>
      <c r="F24960" s="30" t="s">
        <v>19</v>
      </c>
      <c r="G24960" s="30" t="s">
        <v>140</v>
      </c>
      <c r="H24960" s="32">
        <v>380</v>
      </c>
      <c r="I24960" s="30" t="s">
        <v>51</v>
      </c>
      <c r="J24960" s="41">
        <v>45776</v>
      </c>
      <c r="K24960" s="30" t="s">
        <v>22</v>
      </c>
    </row>
    <row r="24961" spans="1:11">
      <c r="A24961" s="33" t="s">
        <v>54980</v>
      </c>
      <c r="B24961" s="33" t="s">
        <v>54981</v>
      </c>
      <c r="C24961" s="33" t="s">
        <v>15107</v>
      </c>
      <c r="D24961" s="33" t="s">
        <v>17</v>
      </c>
      <c r="E24961" s="33" t="s">
        <v>67</v>
      </c>
      <c r="F24961" s="33" t="s">
        <v>68</v>
      </c>
      <c r="G24961" s="33" t="s">
        <v>140</v>
      </c>
      <c r="H24961" s="35">
        <v>20</v>
      </c>
      <c r="I24961" s="33" t="s">
        <v>51</v>
      </c>
      <c r="J24961" s="42">
        <v>45841</v>
      </c>
      <c r="K24961" s="33" t="s">
        <v>22</v>
      </c>
    </row>
    <row r="24962" spans="1:11">
      <c r="A24962" s="30" t="s">
        <v>54982</v>
      </c>
      <c r="B24962" s="30" t="s">
        <v>54983</v>
      </c>
      <c r="C24962" s="30" t="s">
        <v>925</v>
      </c>
      <c r="D24962" s="30" t="s">
        <v>17</v>
      </c>
      <c r="E24962" s="30" t="s">
        <v>67</v>
      </c>
      <c r="F24962" s="30" t="s">
        <v>68</v>
      </c>
      <c r="G24962" s="30" t="s">
        <v>140</v>
      </c>
      <c r="H24962" s="32">
        <v>100</v>
      </c>
      <c r="I24962" s="30" t="s">
        <v>51</v>
      </c>
      <c r="J24962" s="41">
        <v>45777</v>
      </c>
      <c r="K24962" s="30" t="s">
        <v>22</v>
      </c>
    </row>
    <row r="24963" spans="1:11">
      <c r="A24963" s="33" t="s">
        <v>54984</v>
      </c>
      <c r="B24963" s="33" t="s">
        <v>54985</v>
      </c>
      <c r="C24963" s="33" t="s">
        <v>93</v>
      </c>
      <c r="D24963" s="33" t="s">
        <v>17</v>
      </c>
      <c r="E24963" s="33" t="s">
        <v>26</v>
      </c>
      <c r="F24963" s="33" t="s">
        <v>27</v>
      </c>
      <c r="G24963" s="33" t="s">
        <v>20</v>
      </c>
      <c r="H24963" s="35">
        <v>132</v>
      </c>
      <c r="I24963" s="33" t="s">
        <v>21</v>
      </c>
      <c r="J24963" s="42">
        <v>45706</v>
      </c>
      <c r="K24963" s="33" t="s">
        <v>22</v>
      </c>
    </row>
    <row r="24964" spans="1:11">
      <c r="A24964" s="30" t="s">
        <v>54986</v>
      </c>
      <c r="B24964" s="30" t="s">
        <v>54987</v>
      </c>
      <c r="C24964" s="30" t="s">
        <v>54988</v>
      </c>
      <c r="D24964" s="30" t="s">
        <v>17</v>
      </c>
      <c r="E24964" s="30" t="s">
        <v>31</v>
      </c>
      <c r="F24964" s="30" t="s">
        <v>32</v>
      </c>
      <c r="G24964" s="30" t="s">
        <v>140</v>
      </c>
      <c r="H24964" s="32">
        <v>105</v>
      </c>
      <c r="I24964" s="30" t="s">
        <v>51</v>
      </c>
      <c r="J24964" s="41">
        <v>45986</v>
      </c>
      <c r="K24964" s="30" t="s">
        <v>22</v>
      </c>
    </row>
    <row r="24965" spans="1:11">
      <c r="A24965" s="33" t="s">
        <v>54989</v>
      </c>
      <c r="B24965" s="33" t="s">
        <v>54990</v>
      </c>
      <c r="C24965" s="33" t="s">
        <v>38555</v>
      </c>
      <c r="D24965" s="33" t="s">
        <v>17</v>
      </c>
      <c r="E24965" s="33" t="s">
        <v>31</v>
      </c>
      <c r="F24965" s="33" t="s">
        <v>32</v>
      </c>
      <c r="G24965" s="33" t="s">
        <v>140</v>
      </c>
      <c r="H24965" s="35">
        <v>90</v>
      </c>
      <c r="I24965" s="33" t="s">
        <v>51</v>
      </c>
      <c r="J24965" s="42">
        <v>45881</v>
      </c>
      <c r="K24965" s="33" t="s">
        <v>22</v>
      </c>
    </row>
    <row r="24966" spans="1:11">
      <c r="A24966" s="30" t="s">
        <v>54991</v>
      </c>
      <c r="B24966" s="30" t="s">
        <v>54992</v>
      </c>
      <c r="C24966" s="30" t="s">
        <v>14483</v>
      </c>
      <c r="D24966" s="30" t="s">
        <v>17</v>
      </c>
      <c r="E24966" s="30" t="s">
        <v>26</v>
      </c>
      <c r="F24966" s="30" t="s">
        <v>27</v>
      </c>
      <c r="G24966" s="30" t="s">
        <v>7780</v>
      </c>
      <c r="H24966" s="32">
        <v>87</v>
      </c>
      <c r="I24966" s="30" t="s">
        <v>51</v>
      </c>
      <c r="J24966" s="41">
        <v>45778</v>
      </c>
      <c r="K24966" s="30" t="s">
        <v>22</v>
      </c>
    </row>
    <row r="24967" spans="1:11">
      <c r="A24967" s="33" t="s">
        <v>54993</v>
      </c>
      <c r="B24967" s="33" t="s">
        <v>54994</v>
      </c>
      <c r="C24967" s="33" t="s">
        <v>1267</v>
      </c>
      <c r="D24967" s="33" t="s">
        <v>17</v>
      </c>
      <c r="E24967" s="33" t="s">
        <v>26</v>
      </c>
      <c r="F24967" s="33" t="s">
        <v>27</v>
      </c>
      <c r="G24967" s="33" t="s">
        <v>20</v>
      </c>
      <c r="H24967" s="35">
        <v>14</v>
      </c>
      <c r="I24967" s="33" t="s">
        <v>21</v>
      </c>
      <c r="J24967" s="42">
        <v>45779</v>
      </c>
      <c r="K24967" s="33" t="s">
        <v>22</v>
      </c>
    </row>
    <row r="24968" spans="1:11">
      <c r="A24968" s="30" t="s">
        <v>54995</v>
      </c>
      <c r="B24968" s="30" t="s">
        <v>54996</v>
      </c>
      <c r="C24968" s="30" t="s">
        <v>54997</v>
      </c>
      <c r="D24968" s="30" t="s">
        <v>17</v>
      </c>
      <c r="E24968" s="30" t="s">
        <v>67</v>
      </c>
      <c r="F24968" s="30" t="s">
        <v>68</v>
      </c>
      <c r="G24968" s="30" t="s">
        <v>140</v>
      </c>
      <c r="H24968" s="32">
        <v>12</v>
      </c>
      <c r="I24968" s="30" t="s">
        <v>51</v>
      </c>
      <c r="J24968" s="41">
        <v>46010</v>
      </c>
      <c r="K24968" s="30" t="s">
        <v>22</v>
      </c>
    </row>
    <row r="24969" spans="1:11">
      <c r="A24969" s="33" t="s">
        <v>54998</v>
      </c>
      <c r="B24969" s="33" t="s">
        <v>54999</v>
      </c>
      <c r="C24969" s="33" t="s">
        <v>222</v>
      </c>
      <c r="D24969" s="33" t="s">
        <v>17</v>
      </c>
      <c r="E24969" s="33" t="s">
        <v>26</v>
      </c>
      <c r="F24969" s="33" t="s">
        <v>27</v>
      </c>
      <c r="G24969" s="33" t="s">
        <v>140</v>
      </c>
      <c r="H24969" s="35">
        <v>76</v>
      </c>
      <c r="I24969" s="33" t="s">
        <v>51</v>
      </c>
      <c r="J24969" s="42">
        <v>45855</v>
      </c>
      <c r="K24969" s="33" t="s">
        <v>22</v>
      </c>
    </row>
    <row r="24970" spans="1:11">
      <c r="A24970" s="30" t="s">
        <v>55000</v>
      </c>
      <c r="B24970" s="30" t="s">
        <v>55001</v>
      </c>
      <c r="C24970" s="30" t="s">
        <v>93</v>
      </c>
      <c r="D24970" s="30" t="s">
        <v>17</v>
      </c>
      <c r="E24970" s="30" t="s">
        <v>26</v>
      </c>
      <c r="F24970" s="30" t="s">
        <v>27</v>
      </c>
      <c r="G24970" s="30" t="s">
        <v>158</v>
      </c>
      <c r="H24970" s="32">
        <v>4</v>
      </c>
      <c r="I24970" s="30" t="s">
        <v>21</v>
      </c>
      <c r="J24970" s="41">
        <v>45684</v>
      </c>
      <c r="K24970" s="30" t="s">
        <v>22</v>
      </c>
    </row>
    <row r="24971" spans="1:11">
      <c r="A24971" s="33" t="s">
        <v>55002</v>
      </c>
      <c r="B24971" s="33" t="s">
        <v>55003</v>
      </c>
      <c r="C24971" s="33" t="s">
        <v>41065</v>
      </c>
      <c r="D24971" s="33" t="s">
        <v>17</v>
      </c>
      <c r="E24971" s="33" t="s">
        <v>18</v>
      </c>
      <c r="F24971" s="33" t="s">
        <v>19</v>
      </c>
      <c r="G24971" s="33" t="s">
        <v>20</v>
      </c>
      <c r="H24971" s="35">
        <v>309</v>
      </c>
      <c r="I24971" s="33" t="s">
        <v>21</v>
      </c>
      <c r="J24971" s="42">
        <v>45975</v>
      </c>
      <c r="K24971" s="33" t="s">
        <v>22</v>
      </c>
    </row>
    <row r="24972" spans="1:11">
      <c r="A24972" s="30" t="s">
        <v>55004</v>
      </c>
      <c r="B24972" s="30" t="s">
        <v>55005</v>
      </c>
      <c r="C24972" s="30" t="s">
        <v>55006</v>
      </c>
      <c r="D24972" s="30" t="s">
        <v>17</v>
      </c>
      <c r="E24972" s="30" t="s">
        <v>26</v>
      </c>
      <c r="F24972" s="30" t="s">
        <v>27</v>
      </c>
      <c r="G24972" s="30" t="s">
        <v>112</v>
      </c>
      <c r="H24972" s="32">
        <v>0</v>
      </c>
      <c r="I24972" s="30" t="s">
        <v>21</v>
      </c>
      <c r="J24972" s="41">
        <v>45970</v>
      </c>
      <c r="K24972" s="30" t="s">
        <v>22</v>
      </c>
    </row>
    <row r="24973" spans="1:11">
      <c r="A24973" s="33" t="s">
        <v>55007</v>
      </c>
      <c r="B24973" s="33" t="s">
        <v>55008</v>
      </c>
      <c r="C24973" s="33" t="s">
        <v>93</v>
      </c>
      <c r="D24973" s="33" t="s">
        <v>17</v>
      </c>
      <c r="E24973" s="33" t="s">
        <v>18</v>
      </c>
      <c r="F24973" s="33" t="s">
        <v>19</v>
      </c>
      <c r="G24973" s="33" t="s">
        <v>140</v>
      </c>
      <c r="H24973" s="35">
        <v>123</v>
      </c>
      <c r="I24973" s="33" t="s">
        <v>51</v>
      </c>
      <c r="J24973" s="42">
        <v>45827</v>
      </c>
      <c r="K24973" s="33" t="s">
        <v>22</v>
      </c>
    </row>
    <row r="24974" spans="1:11">
      <c r="A24974" s="30" t="s">
        <v>55009</v>
      </c>
      <c r="B24974" s="30" t="s">
        <v>55010</v>
      </c>
      <c r="C24974" s="30" t="s">
        <v>36231</v>
      </c>
      <c r="D24974" s="30" t="s">
        <v>17</v>
      </c>
      <c r="E24974" s="30" t="s">
        <v>26</v>
      </c>
      <c r="F24974" s="30" t="s">
        <v>27</v>
      </c>
      <c r="G24974" s="30" t="s">
        <v>140</v>
      </c>
      <c r="H24974" s="32">
        <v>76</v>
      </c>
      <c r="I24974" s="30" t="s">
        <v>51</v>
      </c>
      <c r="J24974" s="41">
        <v>45946</v>
      </c>
      <c r="K24974" s="30" t="s">
        <v>22</v>
      </c>
    </row>
    <row r="24975" spans="1:11">
      <c r="A24975" s="33" t="s">
        <v>55011</v>
      </c>
      <c r="B24975" s="33" t="s">
        <v>55012</v>
      </c>
      <c r="C24975" s="33" t="s">
        <v>8443</v>
      </c>
      <c r="D24975" s="33" t="s">
        <v>17</v>
      </c>
      <c r="E24975" s="33" t="s">
        <v>67</v>
      </c>
      <c r="F24975" s="33" t="s">
        <v>68</v>
      </c>
      <c r="G24975" s="33" t="s">
        <v>140</v>
      </c>
      <c r="H24975" s="35">
        <v>12</v>
      </c>
      <c r="I24975" s="33" t="s">
        <v>51</v>
      </c>
      <c r="J24975" s="42">
        <v>45869</v>
      </c>
      <c r="K24975" s="33" t="s">
        <v>22</v>
      </c>
    </row>
    <row r="24976" spans="1:11">
      <c r="A24976" s="30" t="s">
        <v>55013</v>
      </c>
      <c r="B24976" s="30" t="s">
        <v>55014</v>
      </c>
      <c r="C24976" s="30" t="s">
        <v>4328</v>
      </c>
      <c r="D24976" s="30" t="s">
        <v>17</v>
      </c>
      <c r="E24976" s="30" t="s">
        <v>26</v>
      </c>
      <c r="F24976" s="30" t="s">
        <v>27</v>
      </c>
      <c r="G24976" s="30" t="s">
        <v>140</v>
      </c>
      <c r="H24976" s="32">
        <v>122</v>
      </c>
      <c r="I24976" s="30" t="s">
        <v>51</v>
      </c>
      <c r="J24976" s="41">
        <v>45938</v>
      </c>
      <c r="K24976" s="30" t="s">
        <v>22</v>
      </c>
    </row>
    <row r="24977" spans="1:11">
      <c r="A24977" s="33" t="s">
        <v>55015</v>
      </c>
      <c r="B24977" s="33" t="s">
        <v>55016</v>
      </c>
      <c r="C24977" s="33" t="s">
        <v>55017</v>
      </c>
      <c r="D24977" s="33" t="s">
        <v>17</v>
      </c>
      <c r="E24977" s="33" t="s">
        <v>18</v>
      </c>
      <c r="F24977" s="33" t="s">
        <v>19</v>
      </c>
      <c r="G24977" s="33" t="s">
        <v>69</v>
      </c>
      <c r="H24977" s="35">
        <v>260</v>
      </c>
      <c r="I24977" s="33" t="s">
        <v>51</v>
      </c>
      <c r="J24977" s="42">
        <v>45658</v>
      </c>
      <c r="K24977" s="33" t="s">
        <v>22</v>
      </c>
    </row>
    <row r="24978" spans="1:11">
      <c r="A24978" s="30" t="s">
        <v>55018</v>
      </c>
      <c r="B24978" s="30" t="s">
        <v>55019</v>
      </c>
      <c r="C24978" s="30" t="s">
        <v>42561</v>
      </c>
      <c r="D24978" s="30" t="s">
        <v>17</v>
      </c>
      <c r="E24978" s="30" t="s">
        <v>26</v>
      </c>
      <c r="F24978" s="30" t="s">
        <v>27</v>
      </c>
      <c r="G24978" s="30" t="s">
        <v>140</v>
      </c>
      <c r="H24978" s="32">
        <v>60</v>
      </c>
      <c r="I24978" s="30" t="s">
        <v>51</v>
      </c>
      <c r="J24978" s="41">
        <v>45978</v>
      </c>
      <c r="K24978" s="30" t="s">
        <v>22</v>
      </c>
    </row>
    <row r="24979" spans="1:11">
      <c r="A24979" s="33" t="s">
        <v>55020</v>
      </c>
      <c r="B24979" s="33" t="s">
        <v>55021</v>
      </c>
      <c r="C24979" s="33" t="s">
        <v>55022</v>
      </c>
      <c r="D24979" s="33" t="s">
        <v>17</v>
      </c>
      <c r="E24979" s="33" t="s">
        <v>330</v>
      </c>
      <c r="F24979" s="33" t="s">
        <v>331</v>
      </c>
      <c r="G24979" s="33" t="s">
        <v>20</v>
      </c>
      <c r="H24979" s="35">
        <v>12</v>
      </c>
      <c r="I24979" s="33" t="s">
        <v>21</v>
      </c>
      <c r="J24979" s="42">
        <v>45698</v>
      </c>
      <c r="K24979" s="33" t="s">
        <v>22</v>
      </c>
    </row>
    <row r="24980" spans="1:11">
      <c r="A24980" s="30" t="s">
        <v>55023</v>
      </c>
      <c r="B24980" s="30" t="s">
        <v>55024</v>
      </c>
      <c r="C24980" s="30" t="s">
        <v>55025</v>
      </c>
      <c r="D24980" s="30" t="s">
        <v>17</v>
      </c>
      <c r="E24980" s="30" t="s">
        <v>31</v>
      </c>
      <c r="F24980" s="30" t="s">
        <v>32</v>
      </c>
      <c r="G24980" s="30" t="s">
        <v>140</v>
      </c>
      <c r="H24980" s="32">
        <v>300</v>
      </c>
      <c r="I24980" s="30" t="s">
        <v>51</v>
      </c>
      <c r="J24980" s="41">
        <v>45705</v>
      </c>
      <c r="K24980" s="30" t="s">
        <v>22</v>
      </c>
    </row>
    <row r="24981" spans="1:11">
      <c r="A24981" s="33" t="s">
        <v>55026</v>
      </c>
      <c r="B24981" s="33" t="s">
        <v>55027</v>
      </c>
      <c r="C24981" s="33" t="s">
        <v>8222</v>
      </c>
      <c r="D24981" s="33" t="s">
        <v>17</v>
      </c>
      <c r="E24981" s="33" t="s">
        <v>26</v>
      </c>
      <c r="F24981" s="33" t="s">
        <v>27</v>
      </c>
      <c r="G24981" s="33" t="s">
        <v>140</v>
      </c>
      <c r="H24981" s="35">
        <v>45</v>
      </c>
      <c r="I24981" s="33" t="s">
        <v>51</v>
      </c>
      <c r="J24981" s="42">
        <v>45844</v>
      </c>
      <c r="K24981" s="33" t="s">
        <v>22</v>
      </c>
    </row>
    <row r="24982" spans="1:11">
      <c r="A24982" s="30" t="s">
        <v>55028</v>
      </c>
      <c r="B24982" s="30" t="s">
        <v>55029</v>
      </c>
      <c r="C24982" s="30" t="s">
        <v>1808</v>
      </c>
      <c r="D24982" s="30" t="s">
        <v>17</v>
      </c>
      <c r="E24982" s="30" t="s">
        <v>31</v>
      </c>
      <c r="F24982" s="30" t="s">
        <v>32</v>
      </c>
      <c r="G24982" s="30" t="s">
        <v>7780</v>
      </c>
      <c r="H24982" s="32">
        <v>60</v>
      </c>
      <c r="I24982" s="30" t="s">
        <v>51</v>
      </c>
      <c r="J24982" s="41">
        <v>45708</v>
      </c>
      <c r="K24982" s="30" t="s">
        <v>22</v>
      </c>
    </row>
    <row r="24983" spans="1:11">
      <c r="A24983" s="33" t="s">
        <v>55030</v>
      </c>
      <c r="B24983" s="33" t="s">
        <v>55031</v>
      </c>
      <c r="C24983" s="33" t="s">
        <v>1718</v>
      </c>
      <c r="D24983" s="33" t="s">
        <v>17</v>
      </c>
      <c r="E24983" s="33" t="s">
        <v>26</v>
      </c>
      <c r="F24983" s="33" t="s">
        <v>27</v>
      </c>
      <c r="G24983" s="33" t="s">
        <v>20</v>
      </c>
      <c r="H24983" s="35">
        <v>385</v>
      </c>
      <c r="I24983" s="33" t="s">
        <v>21</v>
      </c>
      <c r="J24983" s="42">
        <v>45699</v>
      </c>
      <c r="K24983" s="33" t="s">
        <v>22</v>
      </c>
    </row>
    <row r="24984" spans="1:11">
      <c r="A24984" s="30" t="s">
        <v>55032</v>
      </c>
      <c r="B24984" s="30" t="s">
        <v>55033</v>
      </c>
      <c r="C24984" s="30" t="s">
        <v>178</v>
      </c>
      <c r="D24984" s="30" t="s">
        <v>17</v>
      </c>
      <c r="E24984" s="30" t="s">
        <v>31</v>
      </c>
      <c r="F24984" s="30" t="s">
        <v>32</v>
      </c>
      <c r="G24984" s="30" t="s">
        <v>158</v>
      </c>
      <c r="H24984" s="32">
        <v>352</v>
      </c>
      <c r="I24984" s="30" t="s">
        <v>21</v>
      </c>
      <c r="J24984" s="41">
        <v>45867</v>
      </c>
      <c r="K24984" s="30" t="s">
        <v>22</v>
      </c>
    </row>
    <row r="24985" spans="1:11">
      <c r="A24985" s="33" t="s">
        <v>55034</v>
      </c>
      <c r="B24985" s="33" t="s">
        <v>55035</v>
      </c>
      <c r="C24985" s="33" t="s">
        <v>24684</v>
      </c>
      <c r="D24985" s="33" t="s">
        <v>17</v>
      </c>
      <c r="E24985" s="33" t="s">
        <v>26</v>
      </c>
      <c r="F24985" s="33" t="s">
        <v>27</v>
      </c>
      <c r="G24985" s="33" t="s">
        <v>20</v>
      </c>
      <c r="H24985" s="35">
        <v>9</v>
      </c>
      <c r="I24985" s="33" t="s">
        <v>21</v>
      </c>
      <c r="J24985" s="42">
        <v>45821</v>
      </c>
      <c r="K24985" s="33" t="s">
        <v>22</v>
      </c>
    </row>
    <row r="24986" spans="1:11">
      <c r="A24986" s="30" t="s">
        <v>55036</v>
      </c>
      <c r="B24986" s="30" t="s">
        <v>55037</v>
      </c>
      <c r="C24986" s="30" t="s">
        <v>39711</v>
      </c>
      <c r="D24986" s="30" t="s">
        <v>17</v>
      </c>
      <c r="E24986" s="30" t="s">
        <v>26</v>
      </c>
      <c r="F24986" s="30" t="s">
        <v>27</v>
      </c>
      <c r="G24986" s="30" t="s">
        <v>20</v>
      </c>
      <c r="H24986" s="32">
        <v>20</v>
      </c>
      <c r="I24986" s="30" t="s">
        <v>21</v>
      </c>
      <c r="J24986" s="41">
        <v>45866</v>
      </c>
      <c r="K24986" s="30" t="s">
        <v>22</v>
      </c>
    </row>
    <row r="24987" spans="1:11">
      <c r="A24987" s="33" t="s">
        <v>55038</v>
      </c>
      <c r="B24987" s="33" t="s">
        <v>55039</v>
      </c>
      <c r="C24987" s="33" t="s">
        <v>38566</v>
      </c>
      <c r="D24987" s="33" t="s">
        <v>17</v>
      </c>
      <c r="E24987" s="33" t="s">
        <v>26</v>
      </c>
      <c r="F24987" s="33" t="s">
        <v>27</v>
      </c>
      <c r="G24987" s="33" t="s">
        <v>140</v>
      </c>
      <c r="H24987" s="35">
        <v>18</v>
      </c>
      <c r="I24987" s="33" t="s">
        <v>51</v>
      </c>
      <c r="J24987" s="42">
        <v>45820</v>
      </c>
      <c r="K24987" s="33" t="s">
        <v>22</v>
      </c>
    </row>
    <row r="24988" spans="1:11">
      <c r="A24988" s="30" t="s">
        <v>55040</v>
      </c>
      <c r="B24988" s="30" t="s">
        <v>55041</v>
      </c>
      <c r="C24988" s="30" t="s">
        <v>2822</v>
      </c>
      <c r="D24988" s="30" t="s">
        <v>17</v>
      </c>
      <c r="E24988" s="30" t="s">
        <v>31</v>
      </c>
      <c r="F24988" s="30" t="s">
        <v>32</v>
      </c>
      <c r="G24988" s="30" t="s">
        <v>158</v>
      </c>
      <c r="H24988" s="32">
        <v>110</v>
      </c>
      <c r="I24988" s="30" t="s">
        <v>21</v>
      </c>
      <c r="J24988" s="41">
        <v>45807</v>
      </c>
      <c r="K24988" s="30" t="s">
        <v>22</v>
      </c>
    </row>
    <row r="24989" spans="1:11">
      <c r="A24989" s="33" t="s">
        <v>55042</v>
      </c>
      <c r="B24989" s="33" t="s">
        <v>55043</v>
      </c>
      <c r="C24989" s="33" t="s">
        <v>5327</v>
      </c>
      <c r="D24989" s="33" t="s">
        <v>17</v>
      </c>
      <c r="E24989" s="33" t="s">
        <v>31</v>
      </c>
      <c r="F24989" s="33" t="s">
        <v>32</v>
      </c>
      <c r="G24989" s="33" t="s">
        <v>7780</v>
      </c>
      <c r="H24989" s="35">
        <v>116</v>
      </c>
      <c r="I24989" s="33" t="s">
        <v>51</v>
      </c>
      <c r="J24989" s="42">
        <v>45896</v>
      </c>
      <c r="K24989" s="33" t="s">
        <v>22</v>
      </c>
    </row>
    <row r="24990" spans="1:11">
      <c r="A24990" s="30" t="s">
        <v>55044</v>
      </c>
      <c r="B24990" s="30" t="s">
        <v>55045</v>
      </c>
      <c r="C24990" s="30" t="s">
        <v>203</v>
      </c>
      <c r="D24990" s="30" t="s">
        <v>17</v>
      </c>
      <c r="E24990" s="30" t="s">
        <v>212</v>
      </c>
      <c r="F24990" s="30" t="s">
        <v>213</v>
      </c>
      <c r="G24990" s="30" t="s">
        <v>20</v>
      </c>
      <c r="H24990" s="32">
        <v>203</v>
      </c>
      <c r="I24990" s="30" t="s">
        <v>21</v>
      </c>
      <c r="J24990" s="41">
        <v>45823</v>
      </c>
      <c r="K24990" s="30" t="s">
        <v>22</v>
      </c>
    </row>
    <row r="24991" spans="1:11">
      <c r="A24991" s="33" t="s">
        <v>55046</v>
      </c>
      <c r="B24991" s="33" t="s">
        <v>55047</v>
      </c>
      <c r="C24991" s="33" t="s">
        <v>109</v>
      </c>
      <c r="D24991" s="33" t="s">
        <v>17</v>
      </c>
      <c r="E24991" s="33" t="s">
        <v>18</v>
      </c>
      <c r="F24991" s="33" t="s">
        <v>19</v>
      </c>
      <c r="G24991" s="33" t="s">
        <v>158</v>
      </c>
      <c r="H24991" s="35">
        <v>196</v>
      </c>
      <c r="I24991" s="33" t="s">
        <v>21</v>
      </c>
      <c r="J24991" s="42">
        <v>45729</v>
      </c>
      <c r="K24991" s="33" t="s">
        <v>22</v>
      </c>
    </row>
    <row r="24992" spans="1:11">
      <c r="A24992" s="30" t="s">
        <v>55048</v>
      </c>
      <c r="B24992" s="30" t="s">
        <v>55049</v>
      </c>
      <c r="C24992" s="30" t="s">
        <v>2073</v>
      </c>
      <c r="D24992" s="30" t="s">
        <v>17</v>
      </c>
      <c r="E24992" s="30" t="s">
        <v>26</v>
      </c>
      <c r="F24992" s="30" t="s">
        <v>27</v>
      </c>
      <c r="G24992" s="30" t="s">
        <v>140</v>
      </c>
      <c r="H24992" s="32">
        <v>9</v>
      </c>
      <c r="I24992" s="30" t="s">
        <v>51</v>
      </c>
      <c r="J24992" s="41">
        <v>45931</v>
      </c>
      <c r="K24992" s="30" t="s">
        <v>22</v>
      </c>
    </row>
    <row r="24993" spans="1:11">
      <c r="A24993" s="33" t="s">
        <v>55050</v>
      </c>
      <c r="B24993" s="33" t="s">
        <v>55051</v>
      </c>
      <c r="C24993" s="33" t="s">
        <v>1165</v>
      </c>
      <c r="D24993" s="33" t="s">
        <v>17</v>
      </c>
      <c r="E24993" s="33" t="s">
        <v>45</v>
      </c>
      <c r="F24993" s="33" t="s">
        <v>46</v>
      </c>
      <c r="G24993" s="33" t="s">
        <v>140</v>
      </c>
      <c r="H24993" s="35">
        <v>24</v>
      </c>
      <c r="I24993" s="33" t="s">
        <v>51</v>
      </c>
      <c r="J24993" s="42">
        <v>45950</v>
      </c>
      <c r="K24993" s="33" t="s">
        <v>22</v>
      </c>
    </row>
    <row r="24994" spans="1:11">
      <c r="A24994" s="30" t="s">
        <v>55052</v>
      </c>
      <c r="B24994" s="30" t="s">
        <v>55053</v>
      </c>
      <c r="C24994" s="30" t="s">
        <v>187</v>
      </c>
      <c r="D24994" s="30" t="s">
        <v>17</v>
      </c>
      <c r="E24994" s="30" t="s">
        <v>67</v>
      </c>
      <c r="F24994" s="30" t="s">
        <v>68</v>
      </c>
      <c r="G24994" s="30" t="s">
        <v>7780</v>
      </c>
      <c r="H24994" s="32">
        <v>291</v>
      </c>
      <c r="I24994" s="30" t="s">
        <v>51</v>
      </c>
      <c r="J24994" s="41">
        <v>45901</v>
      </c>
      <c r="K24994" s="30" t="s">
        <v>22</v>
      </c>
    </row>
    <row r="24995" spans="1:11">
      <c r="A24995" s="33" t="s">
        <v>55054</v>
      </c>
      <c r="B24995" s="33" t="s">
        <v>55055</v>
      </c>
      <c r="C24995" s="33" t="s">
        <v>55056</v>
      </c>
      <c r="D24995" s="33" t="s">
        <v>17</v>
      </c>
      <c r="E24995" s="33" t="s">
        <v>31</v>
      </c>
      <c r="F24995" s="33" t="s">
        <v>32</v>
      </c>
      <c r="G24995" s="33" t="s">
        <v>140</v>
      </c>
      <c r="H24995" s="35">
        <v>400</v>
      </c>
      <c r="I24995" s="33" t="s">
        <v>51</v>
      </c>
      <c r="J24995" s="42">
        <v>45798</v>
      </c>
      <c r="K24995" s="33" t="s">
        <v>22</v>
      </c>
    </row>
    <row r="24996" spans="1:11">
      <c r="A24996" s="30" t="s">
        <v>55057</v>
      </c>
      <c r="B24996" s="30" t="s">
        <v>55058</v>
      </c>
      <c r="C24996" s="30" t="s">
        <v>894</v>
      </c>
      <c r="D24996" s="30" t="s">
        <v>17</v>
      </c>
      <c r="E24996" s="30" t="s">
        <v>26</v>
      </c>
      <c r="F24996" s="30" t="s">
        <v>27</v>
      </c>
      <c r="G24996" s="30" t="s">
        <v>112</v>
      </c>
      <c r="H24996" s="32">
        <v>0</v>
      </c>
      <c r="I24996" s="30" t="s">
        <v>21</v>
      </c>
      <c r="J24996" s="41">
        <v>45717</v>
      </c>
      <c r="K24996" s="30" t="s">
        <v>22</v>
      </c>
    </row>
    <row r="24997" spans="1:11">
      <c r="A24997" s="33" t="s">
        <v>55059</v>
      </c>
      <c r="B24997" s="33" t="s">
        <v>55060</v>
      </c>
      <c r="C24997" s="33" t="s">
        <v>10300</v>
      </c>
      <c r="D24997" s="33" t="s">
        <v>17</v>
      </c>
      <c r="E24997" s="33" t="s">
        <v>31</v>
      </c>
      <c r="F24997" s="33" t="s">
        <v>32</v>
      </c>
      <c r="G24997" s="33" t="s">
        <v>140</v>
      </c>
      <c r="H24997" s="35">
        <v>300</v>
      </c>
      <c r="I24997" s="33" t="s">
        <v>51</v>
      </c>
      <c r="J24997" s="42">
        <v>45954</v>
      </c>
      <c r="K24997" s="33" t="s">
        <v>22</v>
      </c>
    </row>
    <row r="24998" spans="1:11">
      <c r="A24998" s="30" t="s">
        <v>55061</v>
      </c>
      <c r="B24998" s="30" t="s">
        <v>55062</v>
      </c>
      <c r="C24998" s="30" t="s">
        <v>6470</v>
      </c>
      <c r="D24998" s="30" t="s">
        <v>17</v>
      </c>
      <c r="E24998" s="30" t="s">
        <v>26</v>
      </c>
      <c r="F24998" s="30" t="s">
        <v>27</v>
      </c>
      <c r="G24998" s="30" t="s">
        <v>140</v>
      </c>
      <c r="H24998" s="32">
        <v>60</v>
      </c>
      <c r="I24998" s="30" t="s">
        <v>51</v>
      </c>
      <c r="J24998" s="41">
        <v>45929</v>
      </c>
      <c r="K24998" s="30" t="s">
        <v>22</v>
      </c>
    </row>
    <row r="24999" spans="1:11">
      <c r="A24999" s="33" t="s">
        <v>55063</v>
      </c>
      <c r="B24999" s="33" t="s">
        <v>55064</v>
      </c>
      <c r="C24999" s="33" t="s">
        <v>6442</v>
      </c>
      <c r="D24999" s="33" t="s">
        <v>17</v>
      </c>
      <c r="E24999" s="33" t="s">
        <v>45</v>
      </c>
      <c r="F24999" s="33" t="s">
        <v>46</v>
      </c>
      <c r="G24999" s="33" t="s">
        <v>140</v>
      </c>
      <c r="H24999" s="35">
        <v>440</v>
      </c>
      <c r="I24999" s="33" t="s">
        <v>51</v>
      </c>
      <c r="J24999" s="42">
        <v>45859</v>
      </c>
      <c r="K24999" s="33" t="s">
        <v>22</v>
      </c>
    </row>
    <row r="25000" spans="1:11">
      <c r="A25000" s="30" t="s">
        <v>55065</v>
      </c>
      <c r="B25000" s="30" t="s">
        <v>55066</v>
      </c>
      <c r="C25000" s="30" t="s">
        <v>75</v>
      </c>
      <c r="D25000" s="30" t="s">
        <v>17</v>
      </c>
      <c r="E25000" s="30" t="s">
        <v>18</v>
      </c>
      <c r="F25000" s="30" t="s">
        <v>19</v>
      </c>
      <c r="G25000" s="30" t="s">
        <v>140</v>
      </c>
      <c r="H25000" s="32">
        <v>250</v>
      </c>
      <c r="I25000" s="30" t="s">
        <v>51</v>
      </c>
      <c r="J25000" s="41">
        <v>45818</v>
      </c>
      <c r="K25000" s="30" t="s">
        <v>22</v>
      </c>
    </row>
    <row r="25001" spans="1:11">
      <c r="A25001" s="33" t="s">
        <v>55067</v>
      </c>
      <c r="B25001" s="33" t="s">
        <v>55068</v>
      </c>
      <c r="C25001" s="33" t="s">
        <v>15795</v>
      </c>
      <c r="D25001" s="33" t="s">
        <v>17</v>
      </c>
      <c r="E25001" s="33" t="s">
        <v>26</v>
      </c>
      <c r="F25001" s="33" t="s">
        <v>27</v>
      </c>
      <c r="G25001" s="33" t="s">
        <v>140</v>
      </c>
      <c r="H25001" s="35">
        <v>66</v>
      </c>
      <c r="I25001" s="33" t="s">
        <v>51</v>
      </c>
      <c r="J25001" s="42">
        <v>45715</v>
      </c>
      <c r="K25001" s="33" t="s">
        <v>22</v>
      </c>
    </row>
    <row r="25002" spans="1:11">
      <c r="A25002" s="30" t="s">
        <v>55069</v>
      </c>
      <c r="B25002" s="30" t="s">
        <v>55070</v>
      </c>
      <c r="C25002" s="30" t="s">
        <v>29833</v>
      </c>
      <c r="D25002" s="30" t="s">
        <v>17</v>
      </c>
      <c r="E25002" s="30" t="s">
        <v>26</v>
      </c>
      <c r="F25002" s="30" t="s">
        <v>27</v>
      </c>
      <c r="G25002" s="30" t="s">
        <v>140</v>
      </c>
      <c r="H25002" s="32">
        <v>60</v>
      </c>
      <c r="I25002" s="30" t="s">
        <v>51</v>
      </c>
      <c r="J25002" s="41">
        <v>45996</v>
      </c>
      <c r="K25002" s="30" t="s">
        <v>22</v>
      </c>
    </row>
    <row r="25003" spans="1:11">
      <c r="A25003" s="33" t="s">
        <v>55071</v>
      </c>
      <c r="B25003" s="33" t="s">
        <v>55072</v>
      </c>
      <c r="C25003" s="33" t="s">
        <v>570</v>
      </c>
      <c r="D25003" s="33" t="s">
        <v>17</v>
      </c>
      <c r="E25003" s="33" t="s">
        <v>26</v>
      </c>
      <c r="F25003" s="33" t="s">
        <v>27</v>
      </c>
      <c r="G25003" s="33" t="s">
        <v>158</v>
      </c>
      <c r="H25003" s="35">
        <v>190</v>
      </c>
      <c r="I25003" s="33" t="s">
        <v>51</v>
      </c>
      <c r="J25003" s="42">
        <v>45971</v>
      </c>
      <c r="K25003" s="33" t="s">
        <v>22</v>
      </c>
    </row>
    <row r="25004" spans="1:11">
      <c r="A25004" s="30" t="s">
        <v>55073</v>
      </c>
      <c r="B25004" s="30" t="s">
        <v>55074</v>
      </c>
      <c r="C25004" s="30" t="s">
        <v>12256</v>
      </c>
      <c r="D25004" s="30" t="s">
        <v>17</v>
      </c>
      <c r="E25004" s="30" t="s">
        <v>26</v>
      </c>
      <c r="F25004" s="30" t="s">
        <v>27</v>
      </c>
      <c r="G25004" s="30" t="s">
        <v>140</v>
      </c>
      <c r="H25004" s="32">
        <v>18</v>
      </c>
      <c r="I25004" s="30" t="s">
        <v>51</v>
      </c>
      <c r="J25004" s="41">
        <v>46018</v>
      </c>
      <c r="K25004" s="30" t="s">
        <v>22</v>
      </c>
    </row>
    <row r="25005" spans="1:11">
      <c r="A25005" s="33" t="s">
        <v>55075</v>
      </c>
      <c r="B25005" s="33" t="s">
        <v>55076</v>
      </c>
      <c r="C25005" s="33" t="s">
        <v>443</v>
      </c>
      <c r="D25005" s="33" t="s">
        <v>17</v>
      </c>
      <c r="E25005" s="33" t="s">
        <v>212</v>
      </c>
      <c r="F25005" s="33" t="s">
        <v>213</v>
      </c>
      <c r="G25005" s="33" t="s">
        <v>140</v>
      </c>
      <c r="H25005" s="35">
        <v>480</v>
      </c>
      <c r="I25005" s="33" t="s">
        <v>51</v>
      </c>
      <c r="J25005" s="42">
        <v>45988</v>
      </c>
      <c r="K25005" s="33" t="s">
        <v>22</v>
      </c>
    </row>
    <row r="25006" spans="1:11">
      <c r="A25006" s="30" t="s">
        <v>55077</v>
      </c>
      <c r="B25006" s="30" t="s">
        <v>55078</v>
      </c>
      <c r="C25006" s="30" t="s">
        <v>136</v>
      </c>
      <c r="D25006" s="30" t="s">
        <v>17</v>
      </c>
      <c r="E25006" s="30" t="s">
        <v>26</v>
      </c>
      <c r="F25006" s="30" t="s">
        <v>27</v>
      </c>
      <c r="G25006" s="30" t="s">
        <v>158</v>
      </c>
      <c r="H25006" s="32">
        <v>20</v>
      </c>
      <c r="I25006" s="30" t="s">
        <v>51</v>
      </c>
      <c r="J25006" s="41">
        <v>46020</v>
      </c>
      <c r="K25006" s="30" t="s">
        <v>22</v>
      </c>
    </row>
    <row r="25007" spans="1:11">
      <c r="A25007" s="33" t="s">
        <v>55079</v>
      </c>
      <c r="B25007" s="33" t="s">
        <v>55080</v>
      </c>
      <c r="C25007" s="33" t="s">
        <v>203</v>
      </c>
      <c r="D25007" s="33" t="s">
        <v>17</v>
      </c>
      <c r="E25007" s="33" t="s">
        <v>18</v>
      </c>
      <c r="F25007" s="33" t="s">
        <v>19</v>
      </c>
      <c r="G25007" s="33" t="s">
        <v>20</v>
      </c>
      <c r="H25007" s="35">
        <v>640</v>
      </c>
      <c r="I25007" s="33" t="s">
        <v>21</v>
      </c>
      <c r="J25007" s="42">
        <v>45799</v>
      </c>
      <c r="K25007" s="33" t="s">
        <v>22</v>
      </c>
    </row>
    <row r="25008" spans="1:11">
      <c r="A25008" s="30" t="s">
        <v>55081</v>
      </c>
      <c r="B25008" s="30" t="s">
        <v>55082</v>
      </c>
      <c r="C25008" s="30" t="s">
        <v>55083</v>
      </c>
      <c r="D25008" s="30" t="s">
        <v>17</v>
      </c>
      <c r="E25008" s="30" t="s">
        <v>31</v>
      </c>
      <c r="F25008" s="30" t="s">
        <v>32</v>
      </c>
      <c r="G25008" s="30" t="s">
        <v>112</v>
      </c>
      <c r="H25008" s="32">
        <v>0</v>
      </c>
      <c r="I25008" s="30" t="s">
        <v>21</v>
      </c>
      <c r="J25008" s="41">
        <v>45685</v>
      </c>
      <c r="K25008" s="30" t="s">
        <v>22</v>
      </c>
    </row>
    <row r="25009" spans="1:11">
      <c r="A25009" s="33" t="s">
        <v>55084</v>
      </c>
      <c r="B25009" s="33" t="s">
        <v>55085</v>
      </c>
      <c r="C25009" s="33" t="s">
        <v>382</v>
      </c>
      <c r="D25009" s="33" t="s">
        <v>17</v>
      </c>
      <c r="E25009" s="33" t="s">
        <v>31</v>
      </c>
      <c r="F25009" s="33" t="s">
        <v>32</v>
      </c>
      <c r="G25009" s="33" t="s">
        <v>140</v>
      </c>
      <c r="H25009" s="35">
        <v>100</v>
      </c>
      <c r="I25009" s="33" t="s">
        <v>51</v>
      </c>
      <c r="J25009" s="42">
        <v>45824</v>
      </c>
      <c r="K25009" s="33" t="s">
        <v>22</v>
      </c>
    </row>
    <row r="25010" spans="1:11">
      <c r="A25010" s="30" t="s">
        <v>55086</v>
      </c>
      <c r="B25010" s="30" t="s">
        <v>55087</v>
      </c>
      <c r="C25010" s="30" t="s">
        <v>10359</v>
      </c>
      <c r="D25010" s="30" t="s">
        <v>17</v>
      </c>
      <c r="E25010" s="30" t="s">
        <v>26</v>
      </c>
      <c r="F25010" s="30" t="s">
        <v>27</v>
      </c>
      <c r="G25010" s="30" t="s">
        <v>140</v>
      </c>
      <c r="H25010" s="32">
        <v>60</v>
      </c>
      <c r="I25010" s="30" t="s">
        <v>51</v>
      </c>
      <c r="J25010" s="41">
        <v>45896</v>
      </c>
      <c r="K25010" s="30" t="s">
        <v>22</v>
      </c>
    </row>
    <row r="25011" spans="1:11">
      <c r="A25011" s="33" t="s">
        <v>55088</v>
      </c>
      <c r="B25011" s="33" t="s">
        <v>55089</v>
      </c>
      <c r="C25011" s="33" t="s">
        <v>46375</v>
      </c>
      <c r="D25011" s="33" t="s">
        <v>17</v>
      </c>
      <c r="E25011" s="33" t="s">
        <v>67</v>
      </c>
      <c r="F25011" s="33" t="s">
        <v>68</v>
      </c>
      <c r="G25011" s="33" t="s">
        <v>140</v>
      </c>
      <c r="H25011" s="35">
        <v>280</v>
      </c>
      <c r="I25011" s="33" t="s">
        <v>51</v>
      </c>
      <c r="J25011" s="42">
        <v>45705</v>
      </c>
      <c r="K25011" s="33" t="s">
        <v>22</v>
      </c>
    </row>
    <row r="25012" spans="1:11">
      <c r="A25012" s="30" t="s">
        <v>55090</v>
      </c>
      <c r="B25012" s="30" t="s">
        <v>55091</v>
      </c>
      <c r="C25012" s="30" t="s">
        <v>55092</v>
      </c>
      <c r="D25012" s="30" t="s">
        <v>17</v>
      </c>
      <c r="E25012" s="30" t="s">
        <v>26</v>
      </c>
      <c r="F25012" s="30" t="s">
        <v>27</v>
      </c>
      <c r="G25012" s="30" t="s">
        <v>7780</v>
      </c>
      <c r="H25012" s="32">
        <v>84</v>
      </c>
      <c r="I25012" s="30" t="s">
        <v>51</v>
      </c>
      <c r="J25012" s="41">
        <v>45899</v>
      </c>
      <c r="K25012" s="30" t="s">
        <v>22</v>
      </c>
    </row>
    <row r="25013" spans="1:11">
      <c r="A25013" s="33" t="s">
        <v>55093</v>
      </c>
      <c r="B25013" s="33" t="s">
        <v>55094</v>
      </c>
      <c r="C25013" s="33" t="s">
        <v>30095</v>
      </c>
      <c r="D25013" s="33" t="s">
        <v>17</v>
      </c>
      <c r="E25013" s="33" t="s">
        <v>330</v>
      </c>
      <c r="F25013" s="33" t="s">
        <v>331</v>
      </c>
      <c r="G25013" s="33" t="s">
        <v>140</v>
      </c>
      <c r="H25013" s="35">
        <v>6</v>
      </c>
      <c r="I25013" s="33" t="s">
        <v>51</v>
      </c>
      <c r="J25013" s="42">
        <v>45889</v>
      </c>
      <c r="K25013" s="33" t="s">
        <v>22</v>
      </c>
    </row>
    <row r="25014" spans="1:11">
      <c r="A25014" s="30" t="s">
        <v>55095</v>
      </c>
      <c r="B25014" s="30" t="s">
        <v>55096</v>
      </c>
      <c r="C25014" s="30" t="s">
        <v>11915</v>
      </c>
      <c r="D25014" s="30" t="s">
        <v>17</v>
      </c>
      <c r="E25014" s="30" t="s">
        <v>31</v>
      </c>
      <c r="F25014" s="30" t="s">
        <v>32</v>
      </c>
      <c r="G25014" s="30" t="s">
        <v>140</v>
      </c>
      <c r="H25014" s="32">
        <v>24</v>
      </c>
      <c r="I25014" s="30" t="s">
        <v>51</v>
      </c>
      <c r="J25014" s="41">
        <v>45972</v>
      </c>
      <c r="K25014" s="30" t="s">
        <v>22</v>
      </c>
    </row>
    <row r="25015" spans="1:11">
      <c r="A25015" s="33" t="s">
        <v>55097</v>
      </c>
      <c r="B25015" s="33" t="s">
        <v>55098</v>
      </c>
      <c r="C25015" s="33" t="s">
        <v>41014</v>
      </c>
      <c r="D25015" s="33" t="s">
        <v>17</v>
      </c>
      <c r="E25015" s="33" t="s">
        <v>18</v>
      </c>
      <c r="F25015" s="33" t="s">
        <v>19</v>
      </c>
      <c r="G25015" s="33" t="s">
        <v>140</v>
      </c>
      <c r="H25015" s="35">
        <v>294</v>
      </c>
      <c r="I25015" s="33" t="s">
        <v>51</v>
      </c>
      <c r="J25015" s="42">
        <v>45712</v>
      </c>
      <c r="K25015" s="33" t="s">
        <v>22</v>
      </c>
    </row>
    <row r="25016" spans="1:11">
      <c r="A25016" s="30" t="s">
        <v>55099</v>
      </c>
      <c r="B25016" s="30" t="s">
        <v>55100</v>
      </c>
      <c r="C25016" s="30" t="s">
        <v>39704</v>
      </c>
      <c r="D25016" s="30" t="s">
        <v>17</v>
      </c>
      <c r="E25016" s="30" t="s">
        <v>26</v>
      </c>
      <c r="F25016" s="30" t="s">
        <v>27</v>
      </c>
      <c r="G25016" s="30" t="s">
        <v>20</v>
      </c>
      <c r="H25016" s="32">
        <v>16</v>
      </c>
      <c r="I25016" s="30" t="s">
        <v>21</v>
      </c>
      <c r="J25016" s="41">
        <v>45761</v>
      </c>
      <c r="K25016" s="30" t="s">
        <v>22</v>
      </c>
    </row>
    <row r="25017" spans="1:11">
      <c r="A25017" s="33" t="s">
        <v>55101</v>
      </c>
      <c r="B25017" s="33" t="s">
        <v>55102</v>
      </c>
      <c r="C25017" s="33" t="s">
        <v>14483</v>
      </c>
      <c r="D25017" s="33" t="s">
        <v>17</v>
      </c>
      <c r="E25017" s="33" t="s">
        <v>26</v>
      </c>
      <c r="F25017" s="33" t="s">
        <v>27</v>
      </c>
      <c r="G25017" s="33" t="s">
        <v>140</v>
      </c>
      <c r="H25017" s="35">
        <v>30</v>
      </c>
      <c r="I25017" s="33" t="s">
        <v>51</v>
      </c>
      <c r="J25017" s="42">
        <v>45870</v>
      </c>
      <c r="K25017" s="33" t="s">
        <v>22</v>
      </c>
    </row>
    <row r="25018" spans="1:11">
      <c r="A25018" s="30" t="s">
        <v>55103</v>
      </c>
      <c r="B25018" s="30" t="s">
        <v>55104</v>
      </c>
      <c r="C25018" s="30" t="s">
        <v>93</v>
      </c>
      <c r="D25018" s="30" t="s">
        <v>17</v>
      </c>
      <c r="E25018" s="30" t="s">
        <v>31</v>
      </c>
      <c r="F25018" s="30" t="s">
        <v>32</v>
      </c>
      <c r="G25018" s="30" t="s">
        <v>140</v>
      </c>
      <c r="H25018" s="32">
        <v>180</v>
      </c>
      <c r="I25018" s="30" t="s">
        <v>51</v>
      </c>
      <c r="J25018" s="41">
        <v>45828</v>
      </c>
      <c r="K25018" s="30" t="s">
        <v>22</v>
      </c>
    </row>
    <row r="25019" spans="1:11">
      <c r="A25019" s="33" t="s">
        <v>55105</v>
      </c>
      <c r="B25019" s="33" t="s">
        <v>55106</v>
      </c>
      <c r="C25019" s="33" t="s">
        <v>38361</v>
      </c>
      <c r="D25019" s="33" t="s">
        <v>17</v>
      </c>
      <c r="E25019" s="33" t="s">
        <v>330</v>
      </c>
      <c r="F25019" s="33" t="s">
        <v>331</v>
      </c>
      <c r="G25019" s="33" t="s">
        <v>112</v>
      </c>
      <c r="H25019" s="35">
        <v>0</v>
      </c>
      <c r="I25019" s="33" t="s">
        <v>21</v>
      </c>
      <c r="J25019" s="42">
        <v>45901</v>
      </c>
      <c r="K25019" s="33" t="s">
        <v>22</v>
      </c>
    </row>
    <row r="25020" spans="1:11">
      <c r="A25020" s="30" t="s">
        <v>55107</v>
      </c>
      <c r="B25020" s="30" t="s">
        <v>55108</v>
      </c>
      <c r="C25020" s="30" t="s">
        <v>20147</v>
      </c>
      <c r="D25020" s="30" t="s">
        <v>17</v>
      </c>
      <c r="E25020" s="30" t="s">
        <v>18</v>
      </c>
      <c r="F25020" s="30" t="s">
        <v>19</v>
      </c>
      <c r="G25020" s="30" t="s">
        <v>158</v>
      </c>
      <c r="H25020" s="32">
        <v>157</v>
      </c>
      <c r="I25020" s="30" t="s">
        <v>21</v>
      </c>
      <c r="J25020" s="41">
        <v>45736</v>
      </c>
      <c r="K25020" s="30" t="s">
        <v>22</v>
      </c>
    </row>
    <row r="25021" spans="1:11">
      <c r="A25021" s="33" t="s">
        <v>55109</v>
      </c>
      <c r="B25021" s="33" t="s">
        <v>55110</v>
      </c>
      <c r="C25021" s="33" t="s">
        <v>969</v>
      </c>
      <c r="D25021" s="33" t="s">
        <v>17</v>
      </c>
      <c r="E25021" s="33" t="s">
        <v>67</v>
      </c>
      <c r="F25021" s="33" t="s">
        <v>68</v>
      </c>
      <c r="G25021" s="33" t="s">
        <v>140</v>
      </c>
      <c r="H25021" s="35">
        <v>85</v>
      </c>
      <c r="I25021" s="33" t="s">
        <v>51</v>
      </c>
      <c r="J25021" s="42">
        <v>45820</v>
      </c>
      <c r="K25021" s="33" t="s">
        <v>22</v>
      </c>
    </row>
    <row r="25022" spans="1:11">
      <c r="A25022" s="30" t="s">
        <v>55111</v>
      </c>
      <c r="B25022" s="30" t="s">
        <v>55112</v>
      </c>
      <c r="C25022" s="30" t="s">
        <v>13050</v>
      </c>
      <c r="D25022" s="30" t="s">
        <v>17</v>
      </c>
      <c r="E25022" s="30" t="s">
        <v>45</v>
      </c>
      <c r="F25022" s="30" t="s">
        <v>46</v>
      </c>
      <c r="G25022" s="30" t="s">
        <v>7780</v>
      </c>
      <c r="H25022" s="32">
        <v>60</v>
      </c>
      <c r="I25022" s="30" t="s">
        <v>51</v>
      </c>
      <c r="J25022" s="41">
        <v>45658</v>
      </c>
      <c r="K25022" s="30" t="s">
        <v>22</v>
      </c>
    </row>
    <row r="25023" spans="1:11">
      <c r="A25023" s="33" t="s">
        <v>55113</v>
      </c>
      <c r="B25023" s="33" t="s">
        <v>55114</v>
      </c>
      <c r="C25023" s="33" t="s">
        <v>149</v>
      </c>
      <c r="D25023" s="33" t="s">
        <v>17</v>
      </c>
      <c r="E25023" s="33" t="s">
        <v>67</v>
      </c>
      <c r="F25023" s="33" t="s">
        <v>68</v>
      </c>
      <c r="G25023" s="33" t="s">
        <v>7780</v>
      </c>
      <c r="H25023" s="35">
        <v>80</v>
      </c>
      <c r="I25023" s="33" t="s">
        <v>51</v>
      </c>
      <c r="J25023" s="42">
        <v>45809</v>
      </c>
      <c r="K25023" s="33" t="s">
        <v>22</v>
      </c>
    </row>
    <row r="25024" spans="1:11">
      <c r="A25024" s="30" t="s">
        <v>55115</v>
      </c>
      <c r="B25024" s="30" t="s">
        <v>55116</v>
      </c>
      <c r="C25024" s="30" t="s">
        <v>136</v>
      </c>
      <c r="D25024" s="30" t="s">
        <v>17</v>
      </c>
      <c r="E25024" s="30" t="s">
        <v>18</v>
      </c>
      <c r="F25024" s="30" t="s">
        <v>19</v>
      </c>
      <c r="G25024" s="30" t="s">
        <v>158</v>
      </c>
      <c r="H25024" s="32">
        <v>905</v>
      </c>
      <c r="I25024" s="30" t="s">
        <v>51</v>
      </c>
      <c r="J25024" s="41">
        <v>45772</v>
      </c>
      <c r="K25024" s="30" t="s">
        <v>22</v>
      </c>
    </row>
    <row r="25025" spans="1:11">
      <c r="A25025" s="33" t="s">
        <v>55117</v>
      </c>
      <c r="B25025" s="33" t="s">
        <v>55118</v>
      </c>
      <c r="C25025" s="33" t="s">
        <v>12688</v>
      </c>
      <c r="D25025" s="33" t="s">
        <v>17</v>
      </c>
      <c r="E25025" s="33" t="s">
        <v>31</v>
      </c>
      <c r="F25025" s="33" t="s">
        <v>32</v>
      </c>
      <c r="G25025" s="33" t="s">
        <v>20</v>
      </c>
      <c r="H25025" s="35">
        <v>110</v>
      </c>
      <c r="I25025" s="33" t="s">
        <v>21</v>
      </c>
      <c r="J25025" s="42">
        <v>45754</v>
      </c>
      <c r="K25025" s="33" t="s">
        <v>22</v>
      </c>
    </row>
    <row r="25026" spans="1:11">
      <c r="A25026" s="30" t="s">
        <v>55119</v>
      </c>
      <c r="B25026" s="30" t="s">
        <v>55120</v>
      </c>
      <c r="C25026" s="30" t="s">
        <v>3655</v>
      </c>
      <c r="D25026" s="30" t="s">
        <v>17</v>
      </c>
      <c r="E25026" s="30" t="s">
        <v>18</v>
      </c>
      <c r="F25026" s="30" t="s">
        <v>19</v>
      </c>
      <c r="G25026" s="30" t="s">
        <v>158</v>
      </c>
      <c r="H25026" s="32">
        <v>5240</v>
      </c>
      <c r="I25026" s="30" t="s">
        <v>21</v>
      </c>
      <c r="J25026" s="41">
        <v>46001</v>
      </c>
      <c r="K25026" s="30" t="s">
        <v>22</v>
      </c>
    </row>
    <row r="25027" spans="1:11">
      <c r="A25027" s="33" t="s">
        <v>55121</v>
      </c>
      <c r="B25027" s="33" t="s">
        <v>55122</v>
      </c>
      <c r="C25027" s="33" t="s">
        <v>839</v>
      </c>
      <c r="D25027" s="33" t="s">
        <v>17</v>
      </c>
      <c r="E25027" s="33" t="s">
        <v>212</v>
      </c>
      <c r="F25027" s="33" t="s">
        <v>213</v>
      </c>
      <c r="G25027" s="33" t="s">
        <v>158</v>
      </c>
      <c r="H25027" s="35">
        <v>20</v>
      </c>
      <c r="I25027" s="33" t="s">
        <v>51</v>
      </c>
      <c r="J25027" s="42">
        <v>45937</v>
      </c>
      <c r="K25027" s="33" t="s">
        <v>22</v>
      </c>
    </row>
    <row r="25028" spans="1:11">
      <c r="A25028" s="30" t="s">
        <v>55123</v>
      </c>
      <c r="B25028" s="30" t="s">
        <v>55124</v>
      </c>
      <c r="C25028" s="30" t="s">
        <v>1543</v>
      </c>
      <c r="D25028" s="30" t="s">
        <v>17</v>
      </c>
      <c r="E25028" s="30" t="s">
        <v>26</v>
      </c>
      <c r="F25028" s="30" t="s">
        <v>27</v>
      </c>
      <c r="G25028" s="30" t="s">
        <v>2613</v>
      </c>
      <c r="H25028" s="32">
        <v>54</v>
      </c>
      <c r="I25028" s="30" t="s">
        <v>51</v>
      </c>
      <c r="J25028" s="41">
        <v>45768</v>
      </c>
      <c r="K25028" s="30" t="s">
        <v>22</v>
      </c>
    </row>
    <row r="25029" spans="1:11">
      <c r="A25029" s="33" t="s">
        <v>55125</v>
      </c>
      <c r="B25029" s="33" t="s">
        <v>55126</v>
      </c>
      <c r="C25029" s="33" t="s">
        <v>8001</v>
      </c>
      <c r="D25029" s="33" t="s">
        <v>17</v>
      </c>
      <c r="E25029" s="33" t="s">
        <v>31</v>
      </c>
      <c r="F25029" s="33" t="s">
        <v>32</v>
      </c>
      <c r="G25029" s="33" t="s">
        <v>140</v>
      </c>
      <c r="H25029" s="35">
        <v>180</v>
      </c>
      <c r="I25029" s="33" t="s">
        <v>51</v>
      </c>
      <c r="J25029" s="42">
        <v>45733</v>
      </c>
      <c r="K25029" s="33" t="s">
        <v>22</v>
      </c>
    </row>
    <row r="25030" spans="1:11">
      <c r="A25030" s="30" t="s">
        <v>55127</v>
      </c>
      <c r="B25030" s="30" t="s">
        <v>55128</v>
      </c>
      <c r="C25030" s="30" t="s">
        <v>136</v>
      </c>
      <c r="D25030" s="30" t="s">
        <v>17</v>
      </c>
      <c r="E25030" s="30" t="s">
        <v>18</v>
      </c>
      <c r="F25030" s="30" t="s">
        <v>19</v>
      </c>
      <c r="G25030" s="30" t="s">
        <v>158</v>
      </c>
      <c r="H25030" s="32">
        <v>600</v>
      </c>
      <c r="I25030" s="30" t="s">
        <v>51</v>
      </c>
      <c r="J25030" s="41">
        <v>45796</v>
      </c>
      <c r="K25030" s="30" t="s">
        <v>22</v>
      </c>
    </row>
    <row r="25031" spans="1:11">
      <c r="A25031" s="33" t="s">
        <v>55129</v>
      </c>
      <c r="B25031" s="33" t="s">
        <v>55130</v>
      </c>
      <c r="C25031" s="33" t="s">
        <v>24734</v>
      </c>
      <c r="D25031" s="33" t="s">
        <v>17</v>
      </c>
      <c r="E25031" s="33" t="s">
        <v>26</v>
      </c>
      <c r="F25031" s="33" t="s">
        <v>27</v>
      </c>
      <c r="G25031" s="33" t="s">
        <v>7780</v>
      </c>
      <c r="H25031" s="35">
        <v>6</v>
      </c>
      <c r="I25031" s="33" t="s">
        <v>51</v>
      </c>
      <c r="J25031" s="42">
        <v>45898</v>
      </c>
      <c r="K25031" s="33" t="s">
        <v>22</v>
      </c>
    </row>
    <row r="25032" spans="1:11">
      <c r="A25032" s="30" t="s">
        <v>55131</v>
      </c>
      <c r="B25032" s="30" t="s">
        <v>55132</v>
      </c>
      <c r="C25032" s="30" t="s">
        <v>46659</v>
      </c>
      <c r="D25032" s="30" t="s">
        <v>17</v>
      </c>
      <c r="E25032" s="30" t="s">
        <v>26</v>
      </c>
      <c r="F25032" s="30" t="s">
        <v>27</v>
      </c>
      <c r="G25032" s="30" t="s">
        <v>140</v>
      </c>
      <c r="H25032" s="32">
        <v>57</v>
      </c>
      <c r="I25032" s="30" t="s">
        <v>51</v>
      </c>
      <c r="J25032" s="41">
        <v>45986</v>
      </c>
      <c r="K25032" s="30" t="s">
        <v>22</v>
      </c>
    </row>
    <row r="25033" spans="1:11">
      <c r="A25033" s="33" t="s">
        <v>55133</v>
      </c>
      <c r="B25033" s="33" t="s">
        <v>55134</v>
      </c>
      <c r="C25033" s="33" t="s">
        <v>27021</v>
      </c>
      <c r="D25033" s="33" t="s">
        <v>17</v>
      </c>
      <c r="E25033" s="33" t="s">
        <v>26</v>
      </c>
      <c r="F25033" s="33" t="s">
        <v>27</v>
      </c>
      <c r="G25033" s="33" t="s">
        <v>20</v>
      </c>
      <c r="H25033" s="35">
        <v>12</v>
      </c>
      <c r="I25033" s="33" t="s">
        <v>21</v>
      </c>
      <c r="J25033" s="42">
        <v>45743</v>
      </c>
      <c r="K25033" s="33" t="s">
        <v>22</v>
      </c>
    </row>
    <row r="25034" spans="1:11">
      <c r="A25034" s="30" t="s">
        <v>55135</v>
      </c>
      <c r="B25034" s="30" t="s">
        <v>55136</v>
      </c>
      <c r="C25034" s="30" t="s">
        <v>178</v>
      </c>
      <c r="D25034" s="30" t="s">
        <v>17</v>
      </c>
      <c r="E25034" s="30" t="s">
        <v>26</v>
      </c>
      <c r="F25034" s="30" t="s">
        <v>27</v>
      </c>
      <c r="G25034" s="30" t="s">
        <v>158</v>
      </c>
      <c r="H25034" s="32">
        <v>30</v>
      </c>
      <c r="I25034" s="30" t="s">
        <v>51</v>
      </c>
      <c r="J25034" s="41">
        <v>45930</v>
      </c>
      <c r="K25034" s="30" t="s">
        <v>22</v>
      </c>
    </row>
    <row r="25035" spans="1:11">
      <c r="A25035" s="33" t="s">
        <v>55137</v>
      </c>
      <c r="B25035" s="33" t="s">
        <v>55138</v>
      </c>
      <c r="C25035" s="33" t="s">
        <v>1504</v>
      </c>
      <c r="D25035" s="33" t="s">
        <v>17</v>
      </c>
      <c r="E25035" s="33" t="s">
        <v>67</v>
      </c>
      <c r="F25035" s="33" t="s">
        <v>68</v>
      </c>
      <c r="G25035" s="33" t="s">
        <v>140</v>
      </c>
      <c r="H25035" s="35">
        <v>200</v>
      </c>
      <c r="I25035" s="33" t="s">
        <v>51</v>
      </c>
      <c r="J25035" s="42">
        <v>45973</v>
      </c>
      <c r="K25035" s="33" t="s">
        <v>22</v>
      </c>
    </row>
    <row r="25036" spans="1:11">
      <c r="A25036" s="30" t="s">
        <v>55139</v>
      </c>
      <c r="B25036" s="30" t="s">
        <v>55140</v>
      </c>
      <c r="C25036" s="30" t="s">
        <v>31187</v>
      </c>
      <c r="D25036" s="30" t="s">
        <v>17</v>
      </c>
      <c r="E25036" s="30" t="s">
        <v>26</v>
      </c>
      <c r="F25036" s="30" t="s">
        <v>27</v>
      </c>
      <c r="G25036" s="30" t="s">
        <v>140</v>
      </c>
      <c r="H25036" s="32">
        <v>9</v>
      </c>
      <c r="I25036" s="30" t="s">
        <v>51</v>
      </c>
      <c r="J25036" s="41">
        <v>45726</v>
      </c>
      <c r="K25036" s="30" t="s">
        <v>22</v>
      </c>
    </row>
    <row r="25037" spans="1:11">
      <c r="A25037" s="33" t="s">
        <v>55141</v>
      </c>
      <c r="B25037" s="33" t="s">
        <v>55142</v>
      </c>
      <c r="C25037" s="33" t="s">
        <v>16443</v>
      </c>
      <c r="D25037" s="33" t="s">
        <v>17</v>
      </c>
      <c r="E25037" s="33" t="s">
        <v>26</v>
      </c>
      <c r="F25037" s="33" t="s">
        <v>27</v>
      </c>
      <c r="G25037" s="33" t="s">
        <v>158</v>
      </c>
      <c r="H25037" s="35">
        <v>9</v>
      </c>
      <c r="I25037" s="33" t="s">
        <v>21</v>
      </c>
      <c r="J25037" s="42">
        <v>45828</v>
      </c>
      <c r="K25037" s="33" t="s">
        <v>22</v>
      </c>
    </row>
    <row r="25038" spans="1:11">
      <c r="A25038" s="30" t="s">
        <v>55143</v>
      </c>
      <c r="B25038" s="30" t="s">
        <v>55144</v>
      </c>
      <c r="C25038" s="30" t="s">
        <v>25308</v>
      </c>
      <c r="D25038" s="30" t="s">
        <v>17</v>
      </c>
      <c r="E25038" s="30" t="s">
        <v>67</v>
      </c>
      <c r="F25038" s="30" t="s">
        <v>68</v>
      </c>
      <c r="G25038" s="30" t="s">
        <v>140</v>
      </c>
      <c r="H25038" s="32">
        <v>186</v>
      </c>
      <c r="I25038" s="30" t="s">
        <v>51</v>
      </c>
      <c r="J25038" s="41">
        <v>45741</v>
      </c>
      <c r="K25038" s="30" t="s">
        <v>22</v>
      </c>
    </row>
    <row r="25039" spans="1:11">
      <c r="A25039" s="33" t="s">
        <v>55145</v>
      </c>
      <c r="B25039" s="33" t="s">
        <v>55146</v>
      </c>
      <c r="C25039" s="33" t="s">
        <v>190</v>
      </c>
      <c r="D25039" s="33" t="s">
        <v>17</v>
      </c>
      <c r="E25039" s="33" t="s">
        <v>18</v>
      </c>
      <c r="F25039" s="33" t="s">
        <v>19</v>
      </c>
      <c r="G25039" s="33" t="s">
        <v>140</v>
      </c>
      <c r="H25039" s="35">
        <v>70</v>
      </c>
      <c r="I25039" s="33" t="s">
        <v>51</v>
      </c>
      <c r="J25039" s="42">
        <v>45915</v>
      </c>
      <c r="K25039" s="33" t="s">
        <v>22</v>
      </c>
    </row>
    <row r="25040" spans="1:11">
      <c r="A25040" s="30" t="s">
        <v>55147</v>
      </c>
      <c r="B25040" s="30" t="s">
        <v>55148</v>
      </c>
      <c r="C25040" s="30" t="s">
        <v>1422</v>
      </c>
      <c r="D25040" s="30" t="s">
        <v>17</v>
      </c>
      <c r="E25040" s="30" t="s">
        <v>26</v>
      </c>
      <c r="F25040" s="30" t="s">
        <v>27</v>
      </c>
      <c r="G25040" s="30" t="s">
        <v>140</v>
      </c>
      <c r="H25040" s="32">
        <v>156</v>
      </c>
      <c r="I25040" s="30" t="s">
        <v>51</v>
      </c>
      <c r="J25040" s="41">
        <v>45819</v>
      </c>
      <c r="K25040" s="30" t="s">
        <v>22</v>
      </c>
    </row>
    <row r="25041" spans="1:11">
      <c r="A25041" s="33" t="s">
        <v>55149</v>
      </c>
      <c r="B25041" s="33" t="s">
        <v>55150</v>
      </c>
      <c r="C25041" s="33" t="s">
        <v>130</v>
      </c>
      <c r="D25041" s="33" t="s">
        <v>17</v>
      </c>
      <c r="E25041" s="33" t="s">
        <v>26</v>
      </c>
      <c r="F25041" s="33" t="s">
        <v>27</v>
      </c>
      <c r="G25041" s="33" t="s">
        <v>140</v>
      </c>
      <c r="H25041" s="35">
        <v>24</v>
      </c>
      <c r="I25041" s="33" t="s">
        <v>51</v>
      </c>
      <c r="J25041" s="42">
        <v>45964</v>
      </c>
      <c r="K25041" s="33" t="s">
        <v>22</v>
      </c>
    </row>
    <row r="25042" spans="1:11">
      <c r="A25042" s="30" t="s">
        <v>55151</v>
      </c>
      <c r="B25042" s="30" t="s">
        <v>55152</v>
      </c>
      <c r="C25042" s="30" t="s">
        <v>96</v>
      </c>
      <c r="D25042" s="30" t="s">
        <v>17</v>
      </c>
      <c r="E25042" s="30" t="s">
        <v>18</v>
      </c>
      <c r="F25042" s="30" t="s">
        <v>19</v>
      </c>
      <c r="G25042" s="30" t="s">
        <v>158</v>
      </c>
      <c r="H25042" s="32">
        <v>1035</v>
      </c>
      <c r="I25042" s="30" t="s">
        <v>21</v>
      </c>
      <c r="J25042" s="41">
        <v>45663</v>
      </c>
      <c r="K25042" s="30" t="s">
        <v>22</v>
      </c>
    </row>
    <row r="25043" spans="1:11">
      <c r="A25043" s="33" t="s">
        <v>55153</v>
      </c>
      <c r="B25043" s="33" t="s">
        <v>55154</v>
      </c>
      <c r="C25043" s="33" t="s">
        <v>9073</v>
      </c>
      <c r="D25043" s="33" t="s">
        <v>17</v>
      </c>
      <c r="E25043" s="33" t="s">
        <v>18</v>
      </c>
      <c r="F25043" s="33" t="s">
        <v>19</v>
      </c>
      <c r="G25043" s="33" t="s">
        <v>158</v>
      </c>
      <c r="H25043" s="35">
        <v>311</v>
      </c>
      <c r="I25043" s="33" t="s">
        <v>21</v>
      </c>
      <c r="J25043" s="42">
        <v>45716</v>
      </c>
      <c r="K25043" s="33" t="s">
        <v>22</v>
      </c>
    </row>
    <row r="25044" spans="1:11">
      <c r="A25044" s="30" t="s">
        <v>55155</v>
      </c>
      <c r="B25044" s="30" t="s">
        <v>55156</v>
      </c>
      <c r="C25044" s="30" t="s">
        <v>40619</v>
      </c>
      <c r="D25044" s="30" t="s">
        <v>17</v>
      </c>
      <c r="E25044" s="30" t="s">
        <v>26</v>
      </c>
      <c r="F25044" s="30" t="s">
        <v>27</v>
      </c>
      <c r="G25044" s="30" t="s">
        <v>20</v>
      </c>
      <c r="H25044" s="32">
        <v>20</v>
      </c>
      <c r="I25044" s="30" t="s">
        <v>21</v>
      </c>
      <c r="J25044" s="41">
        <v>45957</v>
      </c>
      <c r="K25044" s="30" t="s">
        <v>22</v>
      </c>
    </row>
    <row r="25045" spans="1:11">
      <c r="A25045" s="33" t="s">
        <v>55157</v>
      </c>
      <c r="B25045" s="33" t="s">
        <v>55158</v>
      </c>
      <c r="C25045" s="33" t="s">
        <v>93</v>
      </c>
      <c r="D25045" s="33" t="s">
        <v>17</v>
      </c>
      <c r="E25045" s="33" t="s">
        <v>26</v>
      </c>
      <c r="F25045" s="33" t="s">
        <v>27</v>
      </c>
      <c r="G25045" s="33" t="s">
        <v>20</v>
      </c>
      <c r="H25045" s="35">
        <v>24</v>
      </c>
      <c r="I25045" s="33" t="s">
        <v>21</v>
      </c>
      <c r="J25045" s="42">
        <v>45902</v>
      </c>
      <c r="K25045" s="33" t="s">
        <v>22</v>
      </c>
    </row>
    <row r="25046" spans="1:11">
      <c r="A25046" s="30" t="s">
        <v>55159</v>
      </c>
      <c r="B25046" s="30" t="s">
        <v>55160</v>
      </c>
      <c r="C25046" s="30" t="s">
        <v>310</v>
      </c>
      <c r="D25046" s="30" t="s">
        <v>17</v>
      </c>
      <c r="E25046" s="30" t="s">
        <v>31</v>
      </c>
      <c r="F25046" s="30" t="s">
        <v>32</v>
      </c>
      <c r="G25046" s="30" t="s">
        <v>158</v>
      </c>
      <c r="H25046" s="32">
        <v>224</v>
      </c>
      <c r="I25046" s="30" t="s">
        <v>21</v>
      </c>
      <c r="J25046" s="41">
        <v>45931</v>
      </c>
      <c r="K25046" s="30" t="s">
        <v>22</v>
      </c>
    </row>
    <row r="25047" spans="1:11">
      <c r="A25047" s="33" t="s">
        <v>55161</v>
      </c>
      <c r="B25047" s="33" t="s">
        <v>55162</v>
      </c>
      <c r="C25047" s="33" t="s">
        <v>10300</v>
      </c>
      <c r="D25047" s="33" t="s">
        <v>17</v>
      </c>
      <c r="E25047" s="33" t="s">
        <v>26</v>
      </c>
      <c r="F25047" s="33" t="s">
        <v>27</v>
      </c>
      <c r="G25047" s="33" t="s">
        <v>140</v>
      </c>
      <c r="H25047" s="35">
        <v>36</v>
      </c>
      <c r="I25047" s="33" t="s">
        <v>51</v>
      </c>
      <c r="J25047" s="42">
        <v>45849</v>
      </c>
      <c r="K25047" s="33" t="s">
        <v>22</v>
      </c>
    </row>
    <row r="25048" spans="1:11">
      <c r="A25048" s="30" t="s">
        <v>55163</v>
      </c>
      <c r="B25048" s="30" t="s">
        <v>55164</v>
      </c>
      <c r="C25048" s="30" t="s">
        <v>647</v>
      </c>
      <c r="D25048" s="30" t="s">
        <v>17</v>
      </c>
      <c r="E25048" s="30" t="s">
        <v>26</v>
      </c>
      <c r="F25048" s="30" t="s">
        <v>27</v>
      </c>
      <c r="G25048" s="30" t="s">
        <v>140</v>
      </c>
      <c r="H25048" s="32">
        <v>67</v>
      </c>
      <c r="I25048" s="30" t="s">
        <v>51</v>
      </c>
      <c r="J25048" s="41">
        <v>45861</v>
      </c>
      <c r="K25048" s="30" t="s">
        <v>22</v>
      </c>
    </row>
    <row r="25049" spans="1:11">
      <c r="A25049" s="33" t="s">
        <v>55165</v>
      </c>
      <c r="B25049" s="33" t="s">
        <v>55166</v>
      </c>
      <c r="C25049" s="33" t="s">
        <v>925</v>
      </c>
      <c r="D25049" s="33" t="s">
        <v>17</v>
      </c>
      <c r="E25049" s="33" t="s">
        <v>26</v>
      </c>
      <c r="F25049" s="33" t="s">
        <v>27</v>
      </c>
      <c r="G25049" s="33" t="s">
        <v>140</v>
      </c>
      <c r="H25049" s="35">
        <v>75</v>
      </c>
      <c r="I25049" s="33" t="s">
        <v>51</v>
      </c>
      <c r="J25049" s="42">
        <v>45791</v>
      </c>
      <c r="K25049" s="33" t="s">
        <v>22</v>
      </c>
    </row>
    <row r="25050" spans="1:11">
      <c r="A25050" s="30" t="s">
        <v>55167</v>
      </c>
      <c r="B25050" s="30" t="s">
        <v>55168</v>
      </c>
      <c r="C25050" s="30" t="s">
        <v>969</v>
      </c>
      <c r="D25050" s="30" t="s">
        <v>17</v>
      </c>
      <c r="E25050" s="30" t="s">
        <v>31</v>
      </c>
      <c r="F25050" s="30" t="s">
        <v>32</v>
      </c>
      <c r="G25050" s="30" t="s">
        <v>158</v>
      </c>
      <c r="H25050" s="32">
        <v>971</v>
      </c>
      <c r="I25050" s="30" t="s">
        <v>21</v>
      </c>
      <c r="J25050" s="41">
        <v>45937</v>
      </c>
      <c r="K25050" s="30" t="s">
        <v>22</v>
      </c>
    </row>
    <row r="25051" spans="1:11">
      <c r="A25051" s="33" t="s">
        <v>55169</v>
      </c>
      <c r="B25051" s="33" t="s">
        <v>55170</v>
      </c>
      <c r="C25051" s="33" t="s">
        <v>38495</v>
      </c>
      <c r="D25051" s="33" t="s">
        <v>17</v>
      </c>
      <c r="E25051" s="33" t="s">
        <v>26</v>
      </c>
      <c r="F25051" s="33" t="s">
        <v>27</v>
      </c>
      <c r="G25051" s="33" t="s">
        <v>20</v>
      </c>
      <c r="H25051" s="35">
        <v>38</v>
      </c>
      <c r="I25051" s="33" t="s">
        <v>21</v>
      </c>
      <c r="J25051" s="42">
        <v>45701</v>
      </c>
      <c r="K25051" s="33" t="s">
        <v>22</v>
      </c>
    </row>
    <row r="25052" spans="1:11">
      <c r="A25052" s="30" t="s">
        <v>55171</v>
      </c>
      <c r="B25052" s="30" t="s">
        <v>55172</v>
      </c>
      <c r="C25052" s="30" t="s">
        <v>6379</v>
      </c>
      <c r="D25052" s="30" t="s">
        <v>17</v>
      </c>
      <c r="E25052" s="30" t="s">
        <v>18</v>
      </c>
      <c r="F25052" s="30" t="s">
        <v>19</v>
      </c>
      <c r="G25052" s="30" t="s">
        <v>140</v>
      </c>
      <c r="H25052" s="32">
        <v>200</v>
      </c>
      <c r="I25052" s="30" t="s">
        <v>51</v>
      </c>
      <c r="J25052" s="41">
        <v>45807</v>
      </c>
      <c r="K25052" s="30" t="s">
        <v>22</v>
      </c>
    </row>
    <row r="25053" spans="1:11">
      <c r="A25053" s="33" t="s">
        <v>55173</v>
      </c>
      <c r="B25053" s="33" t="s">
        <v>55174</v>
      </c>
      <c r="C25053" s="33" t="s">
        <v>44</v>
      </c>
      <c r="D25053" s="33" t="s">
        <v>17</v>
      </c>
      <c r="E25053" s="33" t="s">
        <v>31</v>
      </c>
      <c r="F25053" s="33" t="s">
        <v>32</v>
      </c>
      <c r="G25053" s="33" t="s">
        <v>140</v>
      </c>
      <c r="H25053" s="35">
        <v>220</v>
      </c>
      <c r="I25053" s="33" t="s">
        <v>51</v>
      </c>
      <c r="J25053" s="42">
        <v>45805</v>
      </c>
      <c r="K25053" s="33" t="s">
        <v>22</v>
      </c>
    </row>
    <row r="25054" spans="1:11">
      <c r="A25054" s="30" t="s">
        <v>55175</v>
      </c>
      <c r="B25054" s="30" t="s">
        <v>55176</v>
      </c>
      <c r="C25054" s="30" t="s">
        <v>1006</v>
      </c>
      <c r="D25054" s="30" t="s">
        <v>17</v>
      </c>
      <c r="E25054" s="30" t="s">
        <v>26</v>
      </c>
      <c r="F25054" s="30" t="s">
        <v>27</v>
      </c>
      <c r="G25054" s="30" t="s">
        <v>158</v>
      </c>
      <c r="H25054" s="32">
        <v>50</v>
      </c>
      <c r="I25054" s="30" t="s">
        <v>51</v>
      </c>
      <c r="J25054" s="41">
        <v>45839</v>
      </c>
      <c r="K25054" s="30" t="s">
        <v>22</v>
      </c>
    </row>
    <row r="25055" spans="1:11">
      <c r="A25055" s="33" t="s">
        <v>55177</v>
      </c>
      <c r="B25055" s="33" t="s">
        <v>55178</v>
      </c>
      <c r="C25055" s="33" t="s">
        <v>25041</v>
      </c>
      <c r="D25055" s="33" t="s">
        <v>17</v>
      </c>
      <c r="E25055" s="33" t="s">
        <v>31</v>
      </c>
      <c r="F25055" s="33" t="s">
        <v>32</v>
      </c>
      <c r="G25055" s="33" t="s">
        <v>20</v>
      </c>
      <c r="H25055" s="35">
        <v>47</v>
      </c>
      <c r="I25055" s="33" t="s">
        <v>21</v>
      </c>
      <c r="J25055" s="42">
        <v>45905</v>
      </c>
      <c r="K25055" s="33" t="s">
        <v>22</v>
      </c>
    </row>
    <row r="25056" spans="1:11">
      <c r="A25056" s="30" t="s">
        <v>55179</v>
      </c>
      <c r="B25056" s="30" t="s">
        <v>55180</v>
      </c>
      <c r="C25056" s="30" t="s">
        <v>17725</v>
      </c>
      <c r="D25056" s="30" t="s">
        <v>17</v>
      </c>
      <c r="E25056" s="30" t="s">
        <v>18</v>
      </c>
      <c r="F25056" s="30" t="s">
        <v>19</v>
      </c>
      <c r="G25056" s="30" t="s">
        <v>140</v>
      </c>
      <c r="H25056" s="32">
        <v>56</v>
      </c>
      <c r="I25056" s="30" t="s">
        <v>51</v>
      </c>
      <c r="J25056" s="41">
        <v>45771</v>
      </c>
      <c r="K25056" s="30" t="s">
        <v>22</v>
      </c>
    </row>
    <row r="25057" spans="1:11">
      <c r="A25057" s="33" t="s">
        <v>55181</v>
      </c>
      <c r="B25057" s="33" t="s">
        <v>55182</v>
      </c>
      <c r="C25057" s="33" t="s">
        <v>136</v>
      </c>
      <c r="D25057" s="33" t="s">
        <v>17</v>
      </c>
      <c r="E25057" s="33" t="s">
        <v>18</v>
      </c>
      <c r="F25057" s="33" t="s">
        <v>19</v>
      </c>
      <c r="G25057" s="33" t="s">
        <v>140</v>
      </c>
      <c r="H25057" s="35">
        <v>290</v>
      </c>
      <c r="I25057" s="33" t="s">
        <v>51</v>
      </c>
      <c r="J25057" s="42">
        <v>45834</v>
      </c>
      <c r="K25057" s="33" t="s">
        <v>22</v>
      </c>
    </row>
    <row r="25058" spans="1:11">
      <c r="A25058" s="30" t="s">
        <v>55183</v>
      </c>
      <c r="B25058" s="30" t="s">
        <v>55184</v>
      </c>
      <c r="C25058" s="30" t="s">
        <v>38682</v>
      </c>
      <c r="D25058" s="30" t="s">
        <v>17</v>
      </c>
      <c r="E25058" s="30" t="s">
        <v>26</v>
      </c>
      <c r="F25058" s="30" t="s">
        <v>27</v>
      </c>
      <c r="G25058" s="30" t="s">
        <v>140</v>
      </c>
      <c r="H25058" s="32">
        <v>40</v>
      </c>
      <c r="I25058" s="30" t="s">
        <v>51</v>
      </c>
      <c r="J25058" s="41">
        <v>45895</v>
      </c>
      <c r="K25058" s="30" t="s">
        <v>22</v>
      </c>
    </row>
    <row r="25059" spans="1:11">
      <c r="A25059" s="33" t="s">
        <v>55185</v>
      </c>
      <c r="B25059" s="33" t="s">
        <v>55186</v>
      </c>
      <c r="C25059" s="33" t="s">
        <v>55187</v>
      </c>
      <c r="D25059" s="33" t="s">
        <v>17</v>
      </c>
      <c r="E25059" s="33" t="s">
        <v>26</v>
      </c>
      <c r="F25059" s="33" t="s">
        <v>27</v>
      </c>
      <c r="G25059" s="33" t="s">
        <v>140</v>
      </c>
      <c r="H25059" s="35">
        <v>40</v>
      </c>
      <c r="I25059" s="33" t="s">
        <v>51</v>
      </c>
      <c r="J25059" s="42">
        <v>45811</v>
      </c>
      <c r="K25059" s="33" t="s">
        <v>22</v>
      </c>
    </row>
    <row r="25060" spans="1:11">
      <c r="A25060" s="30" t="s">
        <v>55188</v>
      </c>
      <c r="B25060" s="30" t="s">
        <v>55189</v>
      </c>
      <c r="C25060" s="30" t="s">
        <v>136</v>
      </c>
      <c r="D25060" s="30" t="s">
        <v>17</v>
      </c>
      <c r="E25060" s="30" t="s">
        <v>26</v>
      </c>
      <c r="F25060" s="30" t="s">
        <v>27</v>
      </c>
      <c r="G25060" s="30" t="s">
        <v>20</v>
      </c>
      <c r="H25060" s="32">
        <v>120</v>
      </c>
      <c r="I25060" s="30" t="s">
        <v>21</v>
      </c>
      <c r="J25060" s="41">
        <v>45849</v>
      </c>
      <c r="K25060" s="30" t="s">
        <v>22</v>
      </c>
    </row>
    <row r="25061" spans="1:11">
      <c r="A25061" s="33" t="s">
        <v>55190</v>
      </c>
      <c r="B25061" s="33" t="s">
        <v>55191</v>
      </c>
      <c r="C25061" s="33" t="s">
        <v>14816</v>
      </c>
      <c r="D25061" s="33" t="s">
        <v>17</v>
      </c>
      <c r="E25061" s="33" t="s">
        <v>31</v>
      </c>
      <c r="F25061" s="33" t="s">
        <v>32</v>
      </c>
      <c r="G25061" s="33" t="s">
        <v>140</v>
      </c>
      <c r="H25061" s="35">
        <v>300</v>
      </c>
      <c r="I25061" s="33" t="s">
        <v>51</v>
      </c>
      <c r="J25061" s="42">
        <v>45842</v>
      </c>
      <c r="K25061" s="33" t="s">
        <v>22</v>
      </c>
    </row>
    <row r="25062" spans="1:11">
      <c r="A25062" s="30" t="s">
        <v>55192</v>
      </c>
      <c r="B25062" s="30" t="s">
        <v>55193</v>
      </c>
      <c r="C25062" s="30" t="s">
        <v>190</v>
      </c>
      <c r="D25062" s="30" t="s">
        <v>17</v>
      </c>
      <c r="E25062" s="30" t="s">
        <v>26</v>
      </c>
      <c r="F25062" s="30" t="s">
        <v>27</v>
      </c>
      <c r="G25062" s="30" t="s">
        <v>140</v>
      </c>
      <c r="H25062" s="32">
        <v>31</v>
      </c>
      <c r="I25062" s="30" t="s">
        <v>51</v>
      </c>
      <c r="J25062" s="41">
        <v>45992</v>
      </c>
      <c r="K25062" s="30" t="s">
        <v>22</v>
      </c>
    </row>
    <row r="25063" spans="1:11">
      <c r="A25063" s="33" t="s">
        <v>55194</v>
      </c>
      <c r="B25063" s="33" t="s">
        <v>55195</v>
      </c>
      <c r="C25063" s="33" t="s">
        <v>1428</v>
      </c>
      <c r="D25063" s="33" t="s">
        <v>17</v>
      </c>
      <c r="E25063" s="33" t="s">
        <v>67</v>
      </c>
      <c r="F25063" s="33" t="s">
        <v>68</v>
      </c>
      <c r="G25063" s="33" t="s">
        <v>7780</v>
      </c>
      <c r="H25063" s="35">
        <v>100</v>
      </c>
      <c r="I25063" s="33" t="s">
        <v>51</v>
      </c>
      <c r="J25063" s="42">
        <v>45707</v>
      </c>
      <c r="K25063" s="33" t="s">
        <v>22</v>
      </c>
    </row>
    <row r="25064" spans="1:11">
      <c r="A25064" s="30" t="s">
        <v>55196</v>
      </c>
      <c r="B25064" s="30" t="s">
        <v>55197</v>
      </c>
      <c r="C25064" s="30" t="s">
        <v>11023</v>
      </c>
      <c r="D25064" s="30" t="s">
        <v>17</v>
      </c>
      <c r="E25064" s="30" t="s">
        <v>67</v>
      </c>
      <c r="F25064" s="30" t="s">
        <v>68</v>
      </c>
      <c r="G25064" s="30" t="s">
        <v>112</v>
      </c>
      <c r="H25064" s="32">
        <v>0</v>
      </c>
      <c r="I25064" s="30" t="s">
        <v>21</v>
      </c>
      <c r="J25064" s="41">
        <v>45658</v>
      </c>
      <c r="K25064" s="30" t="s">
        <v>22</v>
      </c>
    </row>
    <row r="25065" spans="1:11">
      <c r="A25065" s="33" t="s">
        <v>55198</v>
      </c>
      <c r="B25065" s="33" t="s">
        <v>55199</v>
      </c>
      <c r="C25065" s="33" t="s">
        <v>990</v>
      </c>
      <c r="D25065" s="33" t="s">
        <v>17</v>
      </c>
      <c r="E25065" s="33" t="s">
        <v>31</v>
      </c>
      <c r="F25065" s="33" t="s">
        <v>32</v>
      </c>
      <c r="G25065" s="33" t="s">
        <v>158</v>
      </c>
      <c r="H25065" s="35">
        <v>50</v>
      </c>
      <c r="I25065" s="33" t="s">
        <v>21</v>
      </c>
      <c r="J25065" s="42">
        <v>45747</v>
      </c>
      <c r="K25065" s="33" t="s">
        <v>22</v>
      </c>
    </row>
    <row r="25066" spans="1:11">
      <c r="A25066" s="30" t="s">
        <v>55200</v>
      </c>
      <c r="B25066" s="30" t="s">
        <v>55201</v>
      </c>
      <c r="C25066" s="30" t="s">
        <v>52733</v>
      </c>
      <c r="D25066" s="30" t="s">
        <v>17</v>
      </c>
      <c r="E25066" s="30" t="s">
        <v>26</v>
      </c>
      <c r="F25066" s="30" t="s">
        <v>27</v>
      </c>
      <c r="G25066" s="30" t="s">
        <v>140</v>
      </c>
      <c r="H25066" s="32">
        <v>40</v>
      </c>
      <c r="I25066" s="30" t="s">
        <v>51</v>
      </c>
      <c r="J25066" s="41">
        <v>45754</v>
      </c>
      <c r="K25066" s="30" t="s">
        <v>22</v>
      </c>
    </row>
    <row r="25067" spans="1:11">
      <c r="A25067" s="33" t="s">
        <v>55202</v>
      </c>
      <c r="B25067" s="33" t="s">
        <v>55203</v>
      </c>
      <c r="C25067" s="33" t="s">
        <v>49724</v>
      </c>
      <c r="D25067" s="33" t="s">
        <v>17</v>
      </c>
      <c r="E25067" s="33" t="s">
        <v>31</v>
      </c>
      <c r="F25067" s="33" t="s">
        <v>32</v>
      </c>
      <c r="G25067" s="33" t="s">
        <v>2613</v>
      </c>
      <c r="H25067" s="35">
        <v>360</v>
      </c>
      <c r="I25067" s="33" t="s">
        <v>51</v>
      </c>
      <c r="J25067" s="42">
        <v>45902</v>
      </c>
      <c r="K25067" s="33" t="s">
        <v>22</v>
      </c>
    </row>
    <row r="25068" spans="1:11">
      <c r="A25068" s="30" t="s">
        <v>55204</v>
      </c>
      <c r="B25068" s="30" t="s">
        <v>55205</v>
      </c>
      <c r="C25068" s="30" t="s">
        <v>42590</v>
      </c>
      <c r="D25068" s="30" t="s">
        <v>17</v>
      </c>
      <c r="E25068" s="30" t="s">
        <v>45</v>
      </c>
      <c r="F25068" s="30" t="s">
        <v>46</v>
      </c>
      <c r="G25068" s="30" t="s">
        <v>112</v>
      </c>
      <c r="H25068" s="32">
        <v>0</v>
      </c>
      <c r="I25068" s="30" t="s">
        <v>21</v>
      </c>
      <c r="J25068" s="41">
        <v>45962</v>
      </c>
      <c r="K25068" s="30" t="s">
        <v>22</v>
      </c>
    </row>
    <row r="25069" spans="1:11">
      <c r="A25069" s="33" t="s">
        <v>55206</v>
      </c>
      <c r="B25069" s="33" t="s">
        <v>55207</v>
      </c>
      <c r="C25069" s="33" t="s">
        <v>252</v>
      </c>
      <c r="D25069" s="33" t="s">
        <v>17</v>
      </c>
      <c r="E25069" s="33" t="s">
        <v>18</v>
      </c>
      <c r="F25069" s="33" t="s">
        <v>19</v>
      </c>
      <c r="G25069" s="33" t="s">
        <v>140</v>
      </c>
      <c r="H25069" s="35">
        <v>999</v>
      </c>
      <c r="I25069" s="33" t="s">
        <v>51</v>
      </c>
      <c r="J25069" s="42">
        <v>45819</v>
      </c>
      <c r="K25069" s="33" t="s">
        <v>22</v>
      </c>
    </row>
    <row r="25070" spans="1:11">
      <c r="A25070" s="30" t="s">
        <v>55208</v>
      </c>
      <c r="B25070" s="30" t="s">
        <v>55209</v>
      </c>
      <c r="C25070" s="30" t="s">
        <v>93</v>
      </c>
      <c r="D25070" s="30" t="s">
        <v>17</v>
      </c>
      <c r="E25070" s="30" t="s">
        <v>31</v>
      </c>
      <c r="F25070" s="30" t="s">
        <v>32</v>
      </c>
      <c r="G25070" s="30" t="s">
        <v>140</v>
      </c>
      <c r="H25070" s="32">
        <v>390</v>
      </c>
      <c r="I25070" s="30" t="s">
        <v>51</v>
      </c>
      <c r="J25070" s="41">
        <v>45771</v>
      </c>
      <c r="K25070" s="30" t="s">
        <v>22</v>
      </c>
    </row>
    <row r="25071" spans="1:11">
      <c r="A25071" s="33" t="s">
        <v>55210</v>
      </c>
      <c r="B25071" s="33" t="s">
        <v>55211</v>
      </c>
      <c r="C25071" s="33" t="s">
        <v>190</v>
      </c>
      <c r="D25071" s="33" t="s">
        <v>17</v>
      </c>
      <c r="E25071" s="33" t="s">
        <v>26</v>
      </c>
      <c r="F25071" s="33" t="s">
        <v>27</v>
      </c>
      <c r="G25071" s="33" t="s">
        <v>140</v>
      </c>
      <c r="H25071" s="35">
        <v>72</v>
      </c>
      <c r="I25071" s="33" t="s">
        <v>51</v>
      </c>
      <c r="J25071" s="42">
        <v>45778</v>
      </c>
      <c r="K25071" s="33" t="s">
        <v>22</v>
      </c>
    </row>
    <row r="25072" spans="1:11">
      <c r="A25072" s="30" t="s">
        <v>55212</v>
      </c>
      <c r="B25072" s="30" t="s">
        <v>55213</v>
      </c>
      <c r="C25072" s="30" t="s">
        <v>25186</v>
      </c>
      <c r="D25072" s="30" t="s">
        <v>17</v>
      </c>
      <c r="E25072" s="30" t="s">
        <v>212</v>
      </c>
      <c r="F25072" s="30" t="s">
        <v>213</v>
      </c>
      <c r="G25072" s="30" t="s">
        <v>7780</v>
      </c>
      <c r="H25072" s="32">
        <v>1244</v>
      </c>
      <c r="I25072" s="30" t="s">
        <v>51</v>
      </c>
      <c r="J25072" s="41">
        <v>45991</v>
      </c>
      <c r="K25072" s="30" t="s">
        <v>22</v>
      </c>
    </row>
    <row r="25073" spans="1:11">
      <c r="A25073" s="33" t="s">
        <v>55214</v>
      </c>
      <c r="B25073" s="33" t="s">
        <v>55215</v>
      </c>
      <c r="C25073" s="33" t="s">
        <v>787</v>
      </c>
      <c r="D25073" s="33" t="s">
        <v>17</v>
      </c>
      <c r="E25073" s="33" t="s">
        <v>31</v>
      </c>
      <c r="F25073" s="33" t="s">
        <v>32</v>
      </c>
      <c r="G25073" s="33" t="s">
        <v>140</v>
      </c>
      <c r="H25073" s="35">
        <v>172</v>
      </c>
      <c r="I25073" s="33" t="s">
        <v>51</v>
      </c>
      <c r="J25073" s="42">
        <v>46013</v>
      </c>
      <c r="K25073" s="33" t="s">
        <v>22</v>
      </c>
    </row>
    <row r="25074" spans="1:11">
      <c r="A25074" s="30" t="s">
        <v>55216</v>
      </c>
      <c r="B25074" s="30" t="s">
        <v>55217</v>
      </c>
      <c r="C25074" s="30" t="s">
        <v>2753</v>
      </c>
      <c r="D25074" s="30" t="s">
        <v>17</v>
      </c>
      <c r="E25074" s="30" t="s">
        <v>26</v>
      </c>
      <c r="F25074" s="30" t="s">
        <v>27</v>
      </c>
      <c r="G25074" s="30" t="s">
        <v>140</v>
      </c>
      <c r="H25074" s="32">
        <v>105</v>
      </c>
      <c r="I25074" s="30" t="s">
        <v>51</v>
      </c>
      <c r="J25074" s="41">
        <v>46002</v>
      </c>
      <c r="K25074" s="30" t="s">
        <v>22</v>
      </c>
    </row>
    <row r="25075" spans="1:11">
      <c r="A25075" s="33" t="s">
        <v>55218</v>
      </c>
      <c r="B25075" s="33" t="s">
        <v>55219</v>
      </c>
      <c r="C25075" s="33" t="s">
        <v>969</v>
      </c>
      <c r="D25075" s="33" t="s">
        <v>17</v>
      </c>
      <c r="E25075" s="33" t="s">
        <v>67</v>
      </c>
      <c r="F25075" s="33" t="s">
        <v>68</v>
      </c>
      <c r="G25075" s="33" t="s">
        <v>140</v>
      </c>
      <c r="H25075" s="35">
        <v>305</v>
      </c>
      <c r="I25075" s="33" t="s">
        <v>51</v>
      </c>
      <c r="J25075" s="42">
        <v>45720</v>
      </c>
      <c r="K25075" s="33" t="s">
        <v>22</v>
      </c>
    </row>
    <row r="25076" spans="1:11">
      <c r="A25076" s="30" t="s">
        <v>55220</v>
      </c>
      <c r="B25076" s="30" t="s">
        <v>55221</v>
      </c>
      <c r="C25076" s="30" t="s">
        <v>32736</v>
      </c>
      <c r="D25076" s="30" t="s">
        <v>17</v>
      </c>
      <c r="E25076" s="30" t="s">
        <v>31</v>
      </c>
      <c r="F25076" s="30" t="s">
        <v>32</v>
      </c>
      <c r="G25076" s="30" t="s">
        <v>140</v>
      </c>
      <c r="H25076" s="32">
        <v>50</v>
      </c>
      <c r="I25076" s="30" t="s">
        <v>51</v>
      </c>
      <c r="J25076" s="41">
        <v>45685</v>
      </c>
      <c r="K25076" s="30" t="s">
        <v>22</v>
      </c>
    </row>
    <row r="25077" spans="1:11">
      <c r="A25077" s="33" t="s">
        <v>55222</v>
      </c>
      <c r="B25077" s="33" t="s">
        <v>55223</v>
      </c>
      <c r="C25077" s="33" t="s">
        <v>190</v>
      </c>
      <c r="D25077" s="33" t="s">
        <v>17</v>
      </c>
      <c r="E25077" s="33" t="s">
        <v>31</v>
      </c>
      <c r="F25077" s="33" t="s">
        <v>32</v>
      </c>
      <c r="G25077" s="33" t="s">
        <v>140</v>
      </c>
      <c r="H25077" s="35">
        <v>987</v>
      </c>
      <c r="I25077" s="33" t="s">
        <v>51</v>
      </c>
      <c r="J25077" s="42">
        <v>45835</v>
      </c>
      <c r="K25077" s="33" t="s">
        <v>22</v>
      </c>
    </row>
    <row r="25078" spans="1:11">
      <c r="A25078" s="30" t="s">
        <v>55224</v>
      </c>
      <c r="B25078" s="30" t="s">
        <v>55225</v>
      </c>
      <c r="C25078" s="30" t="s">
        <v>10589</v>
      </c>
      <c r="D25078" s="30" t="s">
        <v>17</v>
      </c>
      <c r="E25078" s="30" t="s">
        <v>31</v>
      </c>
      <c r="F25078" s="30" t="s">
        <v>32</v>
      </c>
      <c r="G25078" s="30" t="s">
        <v>20</v>
      </c>
      <c r="H25078" s="32">
        <v>21</v>
      </c>
      <c r="I25078" s="30" t="s">
        <v>21</v>
      </c>
      <c r="J25078" s="41">
        <v>45761</v>
      </c>
      <c r="K25078" s="30" t="s">
        <v>22</v>
      </c>
    </row>
    <row r="25079" spans="1:11">
      <c r="A25079" s="33" t="s">
        <v>55226</v>
      </c>
      <c r="B25079" s="33" t="s">
        <v>55227</v>
      </c>
      <c r="C25079" s="33" t="s">
        <v>3296</v>
      </c>
      <c r="D25079" s="33" t="s">
        <v>17</v>
      </c>
      <c r="E25079" s="33" t="s">
        <v>26</v>
      </c>
      <c r="F25079" s="33" t="s">
        <v>27</v>
      </c>
      <c r="G25079" s="33" t="s">
        <v>20</v>
      </c>
      <c r="H25079" s="35">
        <v>40</v>
      </c>
      <c r="I25079" s="33" t="s">
        <v>21</v>
      </c>
      <c r="J25079" s="42">
        <v>45845</v>
      </c>
      <c r="K25079" s="33" t="s">
        <v>22</v>
      </c>
    </row>
    <row r="25080" spans="1:11">
      <c r="A25080" s="30" t="s">
        <v>55228</v>
      </c>
      <c r="B25080" s="30" t="s">
        <v>55229</v>
      </c>
      <c r="C25080" s="30" t="s">
        <v>49850</v>
      </c>
      <c r="D25080" s="30" t="s">
        <v>17</v>
      </c>
      <c r="E25080" s="30" t="s">
        <v>26</v>
      </c>
      <c r="F25080" s="30" t="s">
        <v>27</v>
      </c>
      <c r="G25080" s="30" t="s">
        <v>140</v>
      </c>
      <c r="H25080" s="32">
        <v>70</v>
      </c>
      <c r="I25080" s="30" t="s">
        <v>51</v>
      </c>
      <c r="J25080" s="41">
        <v>45894</v>
      </c>
      <c r="K25080" s="30" t="s">
        <v>22</v>
      </c>
    </row>
    <row r="25081" spans="1:11">
      <c r="A25081" s="33" t="s">
        <v>55230</v>
      </c>
      <c r="B25081" s="33" t="s">
        <v>55231</v>
      </c>
      <c r="C25081" s="33" t="s">
        <v>34704</v>
      </c>
      <c r="D25081" s="33" t="s">
        <v>17</v>
      </c>
      <c r="E25081" s="33" t="s">
        <v>212</v>
      </c>
      <c r="F25081" s="33" t="s">
        <v>213</v>
      </c>
      <c r="G25081" s="33" t="s">
        <v>20</v>
      </c>
      <c r="H25081" s="35">
        <v>12</v>
      </c>
      <c r="I25081" s="33" t="s">
        <v>21</v>
      </c>
      <c r="J25081" s="42">
        <v>45680</v>
      </c>
      <c r="K25081" s="33" t="s">
        <v>22</v>
      </c>
    </row>
    <row r="25082" spans="1:11">
      <c r="A25082" s="30" t="s">
        <v>55232</v>
      </c>
      <c r="B25082" s="30" t="s">
        <v>55233</v>
      </c>
      <c r="C25082" s="30" t="s">
        <v>124</v>
      </c>
      <c r="D25082" s="30" t="s">
        <v>17</v>
      </c>
      <c r="E25082" s="30" t="s">
        <v>18</v>
      </c>
      <c r="F25082" s="30" t="s">
        <v>19</v>
      </c>
      <c r="G25082" s="30" t="s">
        <v>20</v>
      </c>
      <c r="H25082" s="32">
        <v>36</v>
      </c>
      <c r="I25082" s="30" t="s">
        <v>21</v>
      </c>
      <c r="J25082" s="41">
        <v>45789</v>
      </c>
      <c r="K25082" s="30" t="s">
        <v>22</v>
      </c>
    </row>
    <row r="25083" spans="1:11">
      <c r="A25083" s="33" t="s">
        <v>55234</v>
      </c>
      <c r="B25083" s="33" t="s">
        <v>55235</v>
      </c>
      <c r="C25083" s="33" t="s">
        <v>55236</v>
      </c>
      <c r="D25083" s="33" t="s">
        <v>17</v>
      </c>
      <c r="E25083" s="33" t="s">
        <v>26</v>
      </c>
      <c r="F25083" s="33" t="s">
        <v>27</v>
      </c>
      <c r="G25083" s="33" t="s">
        <v>20</v>
      </c>
      <c r="H25083" s="35">
        <v>24</v>
      </c>
      <c r="I25083" s="33" t="s">
        <v>21</v>
      </c>
      <c r="J25083" s="42">
        <v>45685</v>
      </c>
      <c r="K25083" s="33" t="s">
        <v>22</v>
      </c>
    </row>
    <row r="25084" spans="1:11">
      <c r="A25084" s="30" t="s">
        <v>55237</v>
      </c>
      <c r="B25084" s="30" t="s">
        <v>55238</v>
      </c>
      <c r="C25084" s="30" t="s">
        <v>55239</v>
      </c>
      <c r="D25084" s="30" t="s">
        <v>17</v>
      </c>
      <c r="E25084" s="30" t="s">
        <v>212</v>
      </c>
      <c r="F25084" s="30" t="s">
        <v>213</v>
      </c>
      <c r="G25084" s="30" t="s">
        <v>140</v>
      </c>
      <c r="H25084" s="32">
        <v>104</v>
      </c>
      <c r="I25084" s="30" t="s">
        <v>51</v>
      </c>
      <c r="J25084" s="41">
        <v>46020</v>
      </c>
      <c r="K25084" s="30" t="s">
        <v>22</v>
      </c>
    </row>
    <row r="25085" spans="1:11">
      <c r="A25085" s="33" t="s">
        <v>55240</v>
      </c>
      <c r="B25085" s="33" t="s">
        <v>55241</v>
      </c>
      <c r="C25085" s="33" t="s">
        <v>50381</v>
      </c>
      <c r="D25085" s="33" t="s">
        <v>17</v>
      </c>
      <c r="E25085" s="33" t="s">
        <v>212</v>
      </c>
      <c r="F25085" s="33" t="s">
        <v>213</v>
      </c>
      <c r="G25085" s="33" t="s">
        <v>140</v>
      </c>
      <c r="H25085" s="35">
        <v>165</v>
      </c>
      <c r="I25085" s="33" t="s">
        <v>51</v>
      </c>
      <c r="J25085" s="42">
        <v>45947</v>
      </c>
      <c r="K25085" s="33" t="s">
        <v>22</v>
      </c>
    </row>
    <row r="25086" spans="1:11">
      <c r="A25086" s="30" t="s">
        <v>55242</v>
      </c>
      <c r="B25086" s="30" t="s">
        <v>55243</v>
      </c>
      <c r="C25086" s="30" t="s">
        <v>22605</v>
      </c>
      <c r="D25086" s="30" t="s">
        <v>17</v>
      </c>
      <c r="E25086" s="30" t="s">
        <v>26</v>
      </c>
      <c r="F25086" s="30" t="s">
        <v>27</v>
      </c>
      <c r="G25086" s="30" t="s">
        <v>158</v>
      </c>
      <c r="H25086" s="32">
        <v>96</v>
      </c>
      <c r="I25086" s="30" t="s">
        <v>21</v>
      </c>
      <c r="J25086" s="41">
        <v>45804</v>
      </c>
      <c r="K25086" s="30" t="s">
        <v>22</v>
      </c>
    </row>
    <row r="25087" spans="1:11">
      <c r="A25087" s="33" t="s">
        <v>55244</v>
      </c>
      <c r="B25087" s="33" t="s">
        <v>55245</v>
      </c>
      <c r="C25087" s="33" t="s">
        <v>969</v>
      </c>
      <c r="D25087" s="33" t="s">
        <v>17</v>
      </c>
      <c r="E25087" s="33" t="s">
        <v>18</v>
      </c>
      <c r="F25087" s="33" t="s">
        <v>19</v>
      </c>
      <c r="G25087" s="33" t="s">
        <v>20</v>
      </c>
      <c r="H25087" s="35">
        <v>312</v>
      </c>
      <c r="I25087" s="33" t="s">
        <v>21</v>
      </c>
      <c r="J25087" s="42">
        <v>45845</v>
      </c>
      <c r="K25087" s="33" t="s">
        <v>22</v>
      </c>
    </row>
    <row r="25088" spans="1:11">
      <c r="A25088" s="30" t="s">
        <v>55246</v>
      </c>
      <c r="B25088" s="30" t="s">
        <v>55247</v>
      </c>
      <c r="C25088" s="30" t="s">
        <v>11309</v>
      </c>
      <c r="D25088" s="30" t="s">
        <v>17</v>
      </c>
      <c r="E25088" s="30" t="s">
        <v>31</v>
      </c>
      <c r="F25088" s="30" t="s">
        <v>32</v>
      </c>
      <c r="G25088" s="30" t="s">
        <v>158</v>
      </c>
      <c r="H25088" s="32">
        <v>140</v>
      </c>
      <c r="I25088" s="30" t="s">
        <v>21</v>
      </c>
      <c r="J25088" s="41">
        <v>45679</v>
      </c>
      <c r="K25088" s="30" t="s">
        <v>22</v>
      </c>
    </row>
    <row r="25089" spans="1:11">
      <c r="A25089" s="33" t="s">
        <v>55248</v>
      </c>
      <c r="B25089" s="33" t="s">
        <v>55249</v>
      </c>
      <c r="C25089" s="33" t="s">
        <v>38754</v>
      </c>
      <c r="D25089" s="33" t="s">
        <v>17</v>
      </c>
      <c r="E25089" s="33" t="s">
        <v>18</v>
      </c>
      <c r="F25089" s="33" t="s">
        <v>19</v>
      </c>
      <c r="G25089" s="33" t="s">
        <v>20</v>
      </c>
      <c r="H25089" s="35">
        <v>489</v>
      </c>
      <c r="I25089" s="33" t="s">
        <v>21</v>
      </c>
      <c r="J25089" s="42">
        <v>45902</v>
      </c>
      <c r="K25089" s="33" t="s">
        <v>22</v>
      </c>
    </row>
    <row r="25090" spans="1:11">
      <c r="A25090" s="30" t="s">
        <v>55250</v>
      </c>
      <c r="B25090" s="30" t="s">
        <v>55251</v>
      </c>
      <c r="C25090" s="30" t="s">
        <v>22336</v>
      </c>
      <c r="D25090" s="30" t="s">
        <v>17</v>
      </c>
      <c r="E25090" s="30" t="s">
        <v>31</v>
      </c>
      <c r="F25090" s="30" t="s">
        <v>32</v>
      </c>
      <c r="G25090" s="30" t="s">
        <v>140</v>
      </c>
      <c r="H25090" s="32">
        <v>144</v>
      </c>
      <c r="I25090" s="30" t="s">
        <v>51</v>
      </c>
      <c r="J25090" s="41">
        <v>45824</v>
      </c>
      <c r="K25090" s="30" t="s">
        <v>22</v>
      </c>
    </row>
    <row r="25091" spans="1:11">
      <c r="A25091" s="33" t="s">
        <v>55252</v>
      </c>
      <c r="B25091" s="33" t="s">
        <v>55253</v>
      </c>
      <c r="C25091" s="33" t="s">
        <v>190</v>
      </c>
      <c r="D25091" s="33" t="s">
        <v>17</v>
      </c>
      <c r="E25091" s="33" t="s">
        <v>31</v>
      </c>
      <c r="F25091" s="33" t="s">
        <v>32</v>
      </c>
      <c r="G25091" s="33" t="s">
        <v>140</v>
      </c>
      <c r="H25091" s="35">
        <v>224</v>
      </c>
      <c r="I25091" s="33" t="s">
        <v>51</v>
      </c>
      <c r="J25091" s="42">
        <v>45784</v>
      </c>
      <c r="K25091" s="33" t="s">
        <v>22</v>
      </c>
    </row>
    <row r="25092" spans="1:11">
      <c r="A25092" s="30" t="s">
        <v>55254</v>
      </c>
      <c r="B25092" s="30" t="s">
        <v>55255</v>
      </c>
      <c r="C25092" s="30" t="s">
        <v>7831</v>
      </c>
      <c r="D25092" s="30" t="s">
        <v>17</v>
      </c>
      <c r="E25092" s="30" t="s">
        <v>26</v>
      </c>
      <c r="F25092" s="30" t="s">
        <v>27</v>
      </c>
      <c r="G25092" s="30" t="s">
        <v>7780</v>
      </c>
      <c r="H25092" s="32">
        <v>29</v>
      </c>
      <c r="I25092" s="30" t="s">
        <v>51</v>
      </c>
      <c r="J25092" s="41">
        <v>45901</v>
      </c>
      <c r="K25092" s="30" t="s">
        <v>22</v>
      </c>
    </row>
    <row r="25093" spans="1:11">
      <c r="A25093" s="33" t="s">
        <v>55256</v>
      </c>
      <c r="B25093" s="33" t="s">
        <v>55257</v>
      </c>
      <c r="C25093" s="33" t="s">
        <v>450</v>
      </c>
      <c r="D25093" s="33" t="s">
        <v>17</v>
      </c>
      <c r="E25093" s="33" t="s">
        <v>31</v>
      </c>
      <c r="F25093" s="33" t="s">
        <v>32</v>
      </c>
      <c r="G25093" s="33" t="s">
        <v>140</v>
      </c>
      <c r="H25093" s="35">
        <v>75</v>
      </c>
      <c r="I25093" s="33" t="s">
        <v>51</v>
      </c>
      <c r="J25093" s="42">
        <v>45987</v>
      </c>
      <c r="K25093" s="33" t="s">
        <v>22</v>
      </c>
    </row>
    <row r="25094" spans="1:11">
      <c r="A25094" s="30" t="s">
        <v>55258</v>
      </c>
      <c r="B25094" s="30" t="s">
        <v>55259</v>
      </c>
      <c r="C25094" s="30" t="s">
        <v>527</v>
      </c>
      <c r="D25094" s="30" t="s">
        <v>17</v>
      </c>
      <c r="E25094" s="30" t="s">
        <v>45</v>
      </c>
      <c r="F25094" s="30" t="s">
        <v>46</v>
      </c>
      <c r="G25094" s="30" t="s">
        <v>140</v>
      </c>
      <c r="H25094" s="32">
        <v>41</v>
      </c>
      <c r="I25094" s="30" t="s">
        <v>51</v>
      </c>
      <c r="J25094" s="41">
        <v>45659</v>
      </c>
      <c r="K25094" s="30" t="s">
        <v>22</v>
      </c>
    </row>
    <row r="25095" spans="1:11">
      <c r="A25095" s="33" t="s">
        <v>55260</v>
      </c>
      <c r="B25095" s="33" t="s">
        <v>55261</v>
      </c>
      <c r="C25095" s="33" t="s">
        <v>41865</v>
      </c>
      <c r="D25095" s="33" t="s">
        <v>17</v>
      </c>
      <c r="E25095" s="33" t="s">
        <v>26</v>
      </c>
      <c r="F25095" s="33" t="s">
        <v>27</v>
      </c>
      <c r="G25095" s="33" t="s">
        <v>7780</v>
      </c>
      <c r="H25095" s="35">
        <v>12</v>
      </c>
      <c r="I25095" s="33" t="s">
        <v>51</v>
      </c>
      <c r="J25095" s="42">
        <v>45899</v>
      </c>
      <c r="K25095" s="33" t="s">
        <v>22</v>
      </c>
    </row>
    <row r="25096" spans="1:11">
      <c r="A25096" s="30" t="s">
        <v>55262</v>
      </c>
      <c r="B25096" s="30" t="s">
        <v>55263</v>
      </c>
      <c r="C25096" s="30" t="s">
        <v>55264</v>
      </c>
      <c r="D25096" s="30" t="s">
        <v>17</v>
      </c>
      <c r="E25096" s="30" t="s">
        <v>67</v>
      </c>
      <c r="F25096" s="30" t="s">
        <v>68</v>
      </c>
      <c r="G25096" s="30" t="s">
        <v>7780</v>
      </c>
      <c r="H25096" s="32">
        <v>20</v>
      </c>
      <c r="I25096" s="30" t="s">
        <v>51</v>
      </c>
      <c r="J25096" s="41">
        <v>45931</v>
      </c>
      <c r="K25096" s="30" t="s">
        <v>22</v>
      </c>
    </row>
    <row r="25097" spans="1:11">
      <c r="A25097" s="33" t="s">
        <v>55265</v>
      </c>
      <c r="B25097" s="33" t="s">
        <v>55266</v>
      </c>
      <c r="C25097" s="33" t="s">
        <v>36980</v>
      </c>
      <c r="D25097" s="33" t="s">
        <v>17</v>
      </c>
      <c r="E25097" s="33" t="s">
        <v>67</v>
      </c>
      <c r="F25097" s="33" t="s">
        <v>68</v>
      </c>
      <c r="G25097" s="33" t="s">
        <v>140</v>
      </c>
      <c r="H25097" s="35">
        <v>355</v>
      </c>
      <c r="I25097" s="33" t="s">
        <v>51</v>
      </c>
      <c r="J25097" s="42">
        <v>45932</v>
      </c>
      <c r="K25097" s="33" t="s">
        <v>22</v>
      </c>
    </row>
    <row r="25098" spans="1:11">
      <c r="A25098" s="30" t="s">
        <v>55267</v>
      </c>
      <c r="B25098" s="30" t="s">
        <v>55268</v>
      </c>
      <c r="C25098" s="30" t="s">
        <v>154</v>
      </c>
      <c r="D25098" s="30" t="s">
        <v>17</v>
      </c>
      <c r="E25098" s="30" t="s">
        <v>26</v>
      </c>
      <c r="F25098" s="30" t="s">
        <v>27</v>
      </c>
      <c r="G25098" s="30" t="s">
        <v>20</v>
      </c>
      <c r="H25098" s="32">
        <v>51</v>
      </c>
      <c r="I25098" s="30" t="s">
        <v>21</v>
      </c>
      <c r="J25098" s="41">
        <v>45671</v>
      </c>
      <c r="K25098" s="30" t="s">
        <v>22</v>
      </c>
    </row>
    <row r="25099" spans="1:11">
      <c r="A25099" s="33" t="s">
        <v>55269</v>
      </c>
      <c r="B25099" s="33" t="s">
        <v>55270</v>
      </c>
      <c r="C25099" s="33" t="s">
        <v>795</v>
      </c>
      <c r="D25099" s="33" t="s">
        <v>17</v>
      </c>
      <c r="E25099" s="33" t="s">
        <v>67</v>
      </c>
      <c r="F25099" s="33" t="s">
        <v>68</v>
      </c>
      <c r="G25099" s="33" t="s">
        <v>106</v>
      </c>
      <c r="H25099" s="35">
        <v>3</v>
      </c>
      <c r="I25099" s="33" t="s">
        <v>21</v>
      </c>
      <c r="J25099" s="42">
        <v>45686</v>
      </c>
      <c r="K25099" s="33" t="s">
        <v>22</v>
      </c>
    </row>
    <row r="25100" spans="1:11">
      <c r="A25100" s="30" t="s">
        <v>55271</v>
      </c>
      <c r="B25100" s="30" t="s">
        <v>55272</v>
      </c>
      <c r="C25100" s="30" t="s">
        <v>96</v>
      </c>
      <c r="D25100" s="30" t="s">
        <v>17</v>
      </c>
      <c r="E25100" s="30" t="s">
        <v>26</v>
      </c>
      <c r="F25100" s="30" t="s">
        <v>27</v>
      </c>
      <c r="G25100" s="30" t="s">
        <v>20</v>
      </c>
      <c r="H25100" s="32">
        <v>10</v>
      </c>
      <c r="I25100" s="30" t="s">
        <v>21</v>
      </c>
      <c r="J25100" s="41">
        <v>45750</v>
      </c>
      <c r="K25100" s="30" t="s">
        <v>22</v>
      </c>
    </row>
    <row r="25101" spans="1:11">
      <c r="A25101" s="33" t="s">
        <v>55273</v>
      </c>
      <c r="B25101" s="33" t="s">
        <v>55274</v>
      </c>
      <c r="C25101" s="33" t="s">
        <v>517</v>
      </c>
      <c r="D25101" s="33" t="s">
        <v>17</v>
      </c>
      <c r="E25101" s="33" t="s">
        <v>26</v>
      </c>
      <c r="F25101" s="33" t="s">
        <v>27</v>
      </c>
      <c r="G25101" s="33" t="s">
        <v>20</v>
      </c>
      <c r="H25101" s="35">
        <v>60</v>
      </c>
      <c r="I25101" s="33" t="s">
        <v>21</v>
      </c>
      <c r="J25101" s="42">
        <v>45850</v>
      </c>
      <c r="K25101" s="33" t="s">
        <v>22</v>
      </c>
    </row>
    <row r="25102" spans="1:11">
      <c r="A25102" s="30" t="s">
        <v>55275</v>
      </c>
      <c r="B25102" s="30" t="s">
        <v>55276</v>
      </c>
      <c r="C25102" s="30" t="s">
        <v>15090</v>
      </c>
      <c r="D25102" s="30" t="s">
        <v>17</v>
      </c>
      <c r="E25102" s="30" t="s">
        <v>26</v>
      </c>
      <c r="F25102" s="30" t="s">
        <v>27</v>
      </c>
      <c r="G25102" s="30" t="s">
        <v>20</v>
      </c>
      <c r="H25102" s="32">
        <v>42</v>
      </c>
      <c r="I25102" s="30" t="s">
        <v>21</v>
      </c>
      <c r="J25102" s="41">
        <v>45684</v>
      </c>
      <c r="K25102" s="30" t="s">
        <v>22</v>
      </c>
    </row>
    <row r="25103" spans="1:11">
      <c r="A25103" s="33" t="s">
        <v>55277</v>
      </c>
      <c r="B25103" s="33" t="s">
        <v>55278</v>
      </c>
      <c r="C25103" s="33" t="s">
        <v>157</v>
      </c>
      <c r="D25103" s="33" t="s">
        <v>17</v>
      </c>
      <c r="E25103" s="33" t="s">
        <v>26</v>
      </c>
      <c r="F25103" s="33" t="s">
        <v>27</v>
      </c>
      <c r="G25103" s="33" t="s">
        <v>112</v>
      </c>
      <c r="H25103" s="35">
        <v>0</v>
      </c>
      <c r="I25103" s="33" t="s">
        <v>21</v>
      </c>
      <c r="J25103" s="42">
        <v>45821</v>
      </c>
      <c r="K25103" s="33" t="s">
        <v>22</v>
      </c>
    </row>
    <row r="25104" spans="1:11">
      <c r="A25104" s="30" t="s">
        <v>55279</v>
      </c>
      <c r="B25104" s="30" t="s">
        <v>55280</v>
      </c>
      <c r="C25104" s="30" t="s">
        <v>55281</v>
      </c>
      <c r="D25104" s="30" t="s">
        <v>17</v>
      </c>
      <c r="E25104" s="30" t="s">
        <v>18</v>
      </c>
      <c r="F25104" s="30" t="s">
        <v>19</v>
      </c>
      <c r="G25104" s="30" t="s">
        <v>7780</v>
      </c>
      <c r="H25104" s="32">
        <v>159</v>
      </c>
      <c r="I25104" s="30" t="s">
        <v>51</v>
      </c>
      <c r="J25104" s="41">
        <v>45717</v>
      </c>
      <c r="K25104" s="30" t="s">
        <v>22</v>
      </c>
    </row>
    <row r="25105" spans="1:11">
      <c r="A25105" s="33" t="s">
        <v>55282</v>
      </c>
      <c r="B25105" s="33" t="s">
        <v>55283</v>
      </c>
      <c r="C25105" s="33" t="s">
        <v>75</v>
      </c>
      <c r="D25105" s="33" t="s">
        <v>17</v>
      </c>
      <c r="E25105" s="33" t="s">
        <v>31</v>
      </c>
      <c r="F25105" s="33" t="s">
        <v>32</v>
      </c>
      <c r="G25105" s="33" t="s">
        <v>140</v>
      </c>
      <c r="H25105" s="35">
        <v>130</v>
      </c>
      <c r="I25105" s="33" t="s">
        <v>51</v>
      </c>
      <c r="J25105" s="42">
        <v>45909</v>
      </c>
      <c r="K25105" s="33" t="s">
        <v>22</v>
      </c>
    </row>
    <row r="25106" spans="1:11">
      <c r="A25106" s="30" t="s">
        <v>55284</v>
      </c>
      <c r="B25106" s="30" t="s">
        <v>55285</v>
      </c>
      <c r="C25106" s="30" t="s">
        <v>326</v>
      </c>
      <c r="D25106" s="30" t="s">
        <v>17</v>
      </c>
      <c r="E25106" s="30" t="s">
        <v>67</v>
      </c>
      <c r="F25106" s="30" t="s">
        <v>68</v>
      </c>
      <c r="G25106" s="30" t="s">
        <v>140</v>
      </c>
      <c r="H25106" s="32">
        <v>40</v>
      </c>
      <c r="I25106" s="30" t="s">
        <v>51</v>
      </c>
      <c r="J25106" s="41">
        <v>45945</v>
      </c>
      <c r="K25106" s="30" t="s">
        <v>22</v>
      </c>
    </row>
    <row r="25107" spans="1:11">
      <c r="A25107" s="33" t="s">
        <v>55286</v>
      </c>
      <c r="B25107" s="33" t="s">
        <v>55287</v>
      </c>
      <c r="C25107" s="33" t="s">
        <v>2807</v>
      </c>
      <c r="D25107" s="33" t="s">
        <v>17</v>
      </c>
      <c r="E25107" s="33" t="s">
        <v>18</v>
      </c>
      <c r="F25107" s="33" t="s">
        <v>19</v>
      </c>
      <c r="G25107" s="33" t="s">
        <v>140</v>
      </c>
      <c r="H25107" s="35">
        <v>200</v>
      </c>
      <c r="I25107" s="33" t="s">
        <v>51</v>
      </c>
      <c r="J25107" s="42">
        <v>45915</v>
      </c>
      <c r="K25107" s="33" t="s">
        <v>22</v>
      </c>
    </row>
    <row r="25108" spans="1:11">
      <c r="A25108" s="30" t="s">
        <v>55288</v>
      </c>
      <c r="B25108" s="30" t="s">
        <v>55289</v>
      </c>
      <c r="C25108" s="30" t="s">
        <v>60</v>
      </c>
      <c r="D25108" s="30" t="s">
        <v>17</v>
      </c>
      <c r="E25108" s="30" t="s">
        <v>45</v>
      </c>
      <c r="F25108" s="30" t="s">
        <v>46</v>
      </c>
      <c r="G25108" s="30" t="s">
        <v>140</v>
      </c>
      <c r="H25108" s="32">
        <v>176</v>
      </c>
      <c r="I25108" s="30" t="s">
        <v>51</v>
      </c>
      <c r="J25108" s="41">
        <v>45930</v>
      </c>
      <c r="K25108" s="30" t="s">
        <v>22</v>
      </c>
    </row>
    <row r="25109" spans="1:11">
      <c r="A25109" s="33" t="s">
        <v>55290</v>
      </c>
      <c r="B25109" s="33" t="s">
        <v>55291</v>
      </c>
      <c r="C25109" s="33" t="s">
        <v>75</v>
      </c>
      <c r="D25109" s="33" t="s">
        <v>17</v>
      </c>
      <c r="E25109" s="33" t="s">
        <v>18</v>
      </c>
      <c r="F25109" s="33" t="s">
        <v>19</v>
      </c>
      <c r="G25109" s="33" t="s">
        <v>140</v>
      </c>
      <c r="H25109" s="35">
        <v>274</v>
      </c>
      <c r="I25109" s="33" t="s">
        <v>51</v>
      </c>
      <c r="J25109" s="42">
        <v>45821</v>
      </c>
      <c r="K25109" s="33" t="s">
        <v>22</v>
      </c>
    </row>
    <row r="25110" spans="1:11">
      <c r="A25110" s="30" t="s">
        <v>55292</v>
      </c>
      <c r="B25110" s="30" t="s">
        <v>55293</v>
      </c>
      <c r="C25110" s="30" t="s">
        <v>10475</v>
      </c>
      <c r="D25110" s="30" t="s">
        <v>17</v>
      </c>
      <c r="E25110" s="30" t="s">
        <v>67</v>
      </c>
      <c r="F25110" s="30" t="s">
        <v>68</v>
      </c>
      <c r="G25110" s="30" t="s">
        <v>7780</v>
      </c>
      <c r="H25110" s="32">
        <v>152</v>
      </c>
      <c r="I25110" s="30" t="s">
        <v>51</v>
      </c>
      <c r="J25110" s="41">
        <v>45845</v>
      </c>
      <c r="K25110" s="30" t="s">
        <v>22</v>
      </c>
    </row>
    <row r="25111" spans="1:11">
      <c r="A25111" s="33" t="s">
        <v>55294</v>
      </c>
      <c r="B25111" s="33" t="s">
        <v>55295</v>
      </c>
      <c r="C25111" s="33" t="s">
        <v>55296</v>
      </c>
      <c r="D25111" s="33" t="s">
        <v>17</v>
      </c>
      <c r="E25111" s="33" t="s">
        <v>26</v>
      </c>
      <c r="F25111" s="33" t="s">
        <v>27</v>
      </c>
      <c r="G25111" s="33" t="s">
        <v>7780</v>
      </c>
      <c r="H25111" s="35">
        <v>42</v>
      </c>
      <c r="I25111" s="33" t="s">
        <v>51</v>
      </c>
      <c r="J25111" s="42">
        <v>45839</v>
      </c>
      <c r="K25111" s="33" t="s">
        <v>22</v>
      </c>
    </row>
    <row r="25112" spans="1:11">
      <c r="A25112" s="30" t="s">
        <v>55297</v>
      </c>
      <c r="B25112" s="30" t="s">
        <v>55298</v>
      </c>
      <c r="C25112" s="30" t="s">
        <v>5672</v>
      </c>
      <c r="D25112" s="30" t="s">
        <v>17</v>
      </c>
      <c r="E25112" s="30" t="s">
        <v>31</v>
      </c>
      <c r="F25112" s="30" t="s">
        <v>32</v>
      </c>
      <c r="G25112" s="30" t="s">
        <v>140</v>
      </c>
      <c r="H25112" s="32">
        <v>320</v>
      </c>
      <c r="I25112" s="30" t="s">
        <v>51</v>
      </c>
      <c r="J25112" s="41">
        <v>45929</v>
      </c>
      <c r="K25112" s="30" t="s">
        <v>22</v>
      </c>
    </row>
    <row r="25113" spans="1:11">
      <c r="A25113" s="33" t="s">
        <v>55299</v>
      </c>
      <c r="B25113" s="33" t="s">
        <v>55300</v>
      </c>
      <c r="C25113" s="33" t="s">
        <v>8151</v>
      </c>
      <c r="D25113" s="33" t="s">
        <v>17</v>
      </c>
      <c r="E25113" s="33" t="s">
        <v>18</v>
      </c>
      <c r="F25113" s="33" t="s">
        <v>19</v>
      </c>
      <c r="G25113" s="33" t="s">
        <v>140</v>
      </c>
      <c r="H25113" s="35">
        <v>500</v>
      </c>
      <c r="I25113" s="33" t="s">
        <v>51</v>
      </c>
      <c r="J25113" s="42">
        <v>45719</v>
      </c>
      <c r="K25113" s="33" t="s">
        <v>22</v>
      </c>
    </row>
    <row r="25114" spans="1:11">
      <c r="A25114" s="30" t="s">
        <v>55301</v>
      </c>
      <c r="B25114" s="30" t="s">
        <v>55302</v>
      </c>
      <c r="C25114" s="30" t="s">
        <v>1498</v>
      </c>
      <c r="D25114" s="30" t="s">
        <v>17</v>
      </c>
      <c r="E25114" s="30" t="s">
        <v>26</v>
      </c>
      <c r="F25114" s="30" t="s">
        <v>27</v>
      </c>
      <c r="G25114" s="30" t="s">
        <v>158</v>
      </c>
      <c r="H25114" s="32">
        <v>218</v>
      </c>
      <c r="I25114" s="30" t="s">
        <v>51</v>
      </c>
      <c r="J25114" s="41">
        <v>45917</v>
      </c>
      <c r="K25114" s="30" t="s">
        <v>22</v>
      </c>
    </row>
    <row r="25115" spans="1:11">
      <c r="A25115" s="33" t="s">
        <v>55303</v>
      </c>
      <c r="B25115" s="33" t="s">
        <v>55304</v>
      </c>
      <c r="C25115" s="33" t="s">
        <v>9605</v>
      </c>
      <c r="D25115" s="33" t="s">
        <v>17</v>
      </c>
      <c r="E25115" s="33" t="s">
        <v>31</v>
      </c>
      <c r="F25115" s="33" t="s">
        <v>32</v>
      </c>
      <c r="G25115" s="33" t="s">
        <v>140</v>
      </c>
      <c r="H25115" s="35">
        <v>130</v>
      </c>
      <c r="I25115" s="33" t="s">
        <v>51</v>
      </c>
      <c r="J25115" s="42">
        <v>46006</v>
      </c>
      <c r="K25115" s="33" t="s">
        <v>22</v>
      </c>
    </row>
    <row r="25116" spans="1:11">
      <c r="A25116" s="30" t="s">
        <v>55305</v>
      </c>
      <c r="B25116" s="30" t="s">
        <v>55306</v>
      </c>
      <c r="C25116" s="30" t="s">
        <v>34057</v>
      </c>
      <c r="D25116" s="30" t="s">
        <v>17</v>
      </c>
      <c r="E25116" s="30" t="s">
        <v>26</v>
      </c>
      <c r="F25116" s="30" t="s">
        <v>27</v>
      </c>
      <c r="G25116" s="30" t="s">
        <v>106</v>
      </c>
      <c r="H25116" s="32">
        <v>30</v>
      </c>
      <c r="I25116" s="30" t="s">
        <v>21</v>
      </c>
      <c r="J25116" s="41">
        <v>45785</v>
      </c>
      <c r="K25116" s="30" t="s">
        <v>22</v>
      </c>
    </row>
    <row r="25117" spans="1:11">
      <c r="A25117" s="33" t="s">
        <v>55307</v>
      </c>
      <c r="B25117" s="33" t="s">
        <v>55308</v>
      </c>
      <c r="C25117" s="33" t="s">
        <v>28054</v>
      </c>
      <c r="D25117" s="33" t="s">
        <v>17</v>
      </c>
      <c r="E25117" s="33" t="s">
        <v>26</v>
      </c>
      <c r="F25117" s="33" t="s">
        <v>27</v>
      </c>
      <c r="G25117" s="33" t="s">
        <v>140</v>
      </c>
      <c r="H25117" s="35">
        <v>86</v>
      </c>
      <c r="I25117" s="33" t="s">
        <v>51</v>
      </c>
      <c r="J25117" s="42">
        <v>45935</v>
      </c>
      <c r="K25117" s="33" t="s">
        <v>22</v>
      </c>
    </row>
    <row r="25118" spans="1:11">
      <c r="A25118" s="30" t="s">
        <v>55309</v>
      </c>
      <c r="B25118" s="30" t="s">
        <v>55310</v>
      </c>
      <c r="C25118" s="30" t="s">
        <v>795</v>
      </c>
      <c r="D25118" s="30" t="s">
        <v>17</v>
      </c>
      <c r="E25118" s="30" t="s">
        <v>31</v>
      </c>
      <c r="F25118" s="30" t="s">
        <v>32</v>
      </c>
      <c r="G25118" s="30" t="s">
        <v>106</v>
      </c>
      <c r="H25118" s="32">
        <v>1</v>
      </c>
      <c r="I25118" s="30" t="s">
        <v>21</v>
      </c>
      <c r="J25118" s="41">
        <v>45863</v>
      </c>
      <c r="K25118" s="30" t="s">
        <v>22</v>
      </c>
    </row>
    <row r="25119" spans="1:11">
      <c r="A25119" s="33" t="s">
        <v>55311</v>
      </c>
      <c r="B25119" s="33" t="s">
        <v>55312</v>
      </c>
      <c r="C25119" s="33" t="s">
        <v>5870</v>
      </c>
      <c r="D25119" s="33" t="s">
        <v>17</v>
      </c>
      <c r="E25119" s="33" t="s">
        <v>18</v>
      </c>
      <c r="F25119" s="33" t="s">
        <v>19</v>
      </c>
      <c r="G25119" s="33" t="s">
        <v>158</v>
      </c>
      <c r="H25119" s="35">
        <v>450</v>
      </c>
      <c r="I25119" s="33" t="s">
        <v>51</v>
      </c>
      <c r="J25119" s="42">
        <v>45933</v>
      </c>
      <c r="K25119" s="33" t="s">
        <v>22</v>
      </c>
    </row>
    <row r="25120" spans="1:11">
      <c r="A25120" s="30" t="s">
        <v>55313</v>
      </c>
      <c r="B25120" s="30" t="s">
        <v>55314</v>
      </c>
      <c r="C25120" s="30" t="s">
        <v>3698</v>
      </c>
      <c r="D25120" s="30" t="s">
        <v>17</v>
      </c>
      <c r="E25120" s="30" t="s">
        <v>212</v>
      </c>
      <c r="F25120" s="30" t="s">
        <v>213</v>
      </c>
      <c r="G25120" s="30" t="s">
        <v>140</v>
      </c>
      <c r="H25120" s="32">
        <v>250</v>
      </c>
      <c r="I25120" s="30" t="s">
        <v>51</v>
      </c>
      <c r="J25120" s="41">
        <v>45798</v>
      </c>
      <c r="K25120" s="30" t="s">
        <v>22</v>
      </c>
    </row>
    <row r="25121" spans="1:11">
      <c r="A25121" s="33" t="s">
        <v>55315</v>
      </c>
      <c r="B25121" s="33" t="s">
        <v>55316</v>
      </c>
      <c r="C25121" s="33" t="s">
        <v>93</v>
      </c>
      <c r="D25121" s="33" t="s">
        <v>17</v>
      </c>
      <c r="E25121" s="33" t="s">
        <v>31</v>
      </c>
      <c r="F25121" s="33" t="s">
        <v>32</v>
      </c>
      <c r="G25121" s="33" t="s">
        <v>140</v>
      </c>
      <c r="H25121" s="35">
        <v>100</v>
      </c>
      <c r="I25121" s="33" t="s">
        <v>51</v>
      </c>
      <c r="J25121" s="42">
        <v>45992</v>
      </c>
      <c r="K25121" s="33" t="s">
        <v>22</v>
      </c>
    </row>
    <row r="25122" spans="1:11">
      <c r="A25122" s="30" t="s">
        <v>55317</v>
      </c>
      <c r="B25122" s="30" t="s">
        <v>55318</v>
      </c>
      <c r="C25122" s="30" t="s">
        <v>57</v>
      </c>
      <c r="D25122" s="30" t="s">
        <v>17</v>
      </c>
      <c r="E25122" s="30" t="s">
        <v>26</v>
      </c>
      <c r="F25122" s="30" t="s">
        <v>27</v>
      </c>
      <c r="G25122" s="30" t="s">
        <v>140</v>
      </c>
      <c r="H25122" s="32">
        <v>36</v>
      </c>
      <c r="I25122" s="30" t="s">
        <v>51</v>
      </c>
      <c r="J25122" s="41">
        <v>45992</v>
      </c>
      <c r="K25122" s="30" t="s">
        <v>22</v>
      </c>
    </row>
    <row r="25123" spans="1:11">
      <c r="A25123" s="33" t="s">
        <v>55319</v>
      </c>
      <c r="B25123" s="33" t="s">
        <v>55320</v>
      </c>
      <c r="C25123" s="33" t="s">
        <v>5805</v>
      </c>
      <c r="D25123" s="33" t="s">
        <v>17</v>
      </c>
      <c r="E25123" s="33" t="s">
        <v>18</v>
      </c>
      <c r="F25123" s="33" t="s">
        <v>19</v>
      </c>
      <c r="G25123" s="33" t="s">
        <v>2613</v>
      </c>
      <c r="H25123" s="35">
        <v>1370</v>
      </c>
      <c r="I25123" s="33" t="s">
        <v>51</v>
      </c>
      <c r="J25123" s="42">
        <v>45986</v>
      </c>
      <c r="K25123" s="33" t="s">
        <v>22</v>
      </c>
    </row>
    <row r="25124" spans="1:11">
      <c r="A25124" s="30" t="s">
        <v>55321</v>
      </c>
      <c r="B25124" s="30" t="s">
        <v>55322</v>
      </c>
      <c r="C25124" s="30" t="s">
        <v>14184</v>
      </c>
      <c r="D25124" s="30" t="s">
        <v>17</v>
      </c>
      <c r="E25124" s="30" t="s">
        <v>31</v>
      </c>
      <c r="F25124" s="30" t="s">
        <v>32</v>
      </c>
      <c r="G25124" s="30" t="s">
        <v>140</v>
      </c>
      <c r="H25124" s="32">
        <v>68</v>
      </c>
      <c r="I25124" s="30" t="s">
        <v>51</v>
      </c>
      <c r="J25124" s="41">
        <v>45881</v>
      </c>
      <c r="K25124" s="30" t="s">
        <v>22</v>
      </c>
    </row>
    <row r="25125" spans="1:11">
      <c r="A25125" s="33" t="s">
        <v>55323</v>
      </c>
      <c r="B25125" s="33" t="s">
        <v>55324</v>
      </c>
      <c r="C25125" s="33" t="s">
        <v>28990</v>
      </c>
      <c r="D25125" s="33" t="s">
        <v>17</v>
      </c>
      <c r="E25125" s="33" t="s">
        <v>45</v>
      </c>
      <c r="F25125" s="33" t="s">
        <v>46</v>
      </c>
      <c r="G25125" s="33" t="s">
        <v>7780</v>
      </c>
      <c r="H25125" s="35">
        <v>125</v>
      </c>
      <c r="I25125" s="33" t="s">
        <v>51</v>
      </c>
      <c r="J25125" s="42">
        <v>45809</v>
      </c>
      <c r="K25125" s="33" t="s">
        <v>22</v>
      </c>
    </row>
    <row r="25126" spans="1:11">
      <c r="A25126" s="30" t="s">
        <v>55325</v>
      </c>
      <c r="B25126" s="30" t="s">
        <v>55326</v>
      </c>
      <c r="C25126" s="30" t="s">
        <v>17285</v>
      </c>
      <c r="D25126" s="30" t="s">
        <v>17</v>
      </c>
      <c r="E25126" s="30" t="s">
        <v>67</v>
      </c>
      <c r="F25126" s="30" t="s">
        <v>68</v>
      </c>
      <c r="G25126" s="30" t="s">
        <v>7780</v>
      </c>
      <c r="H25126" s="32">
        <v>450</v>
      </c>
      <c r="I25126" s="30" t="s">
        <v>51</v>
      </c>
      <c r="J25126" s="41">
        <v>45922</v>
      </c>
      <c r="K25126" s="30" t="s">
        <v>22</v>
      </c>
    </row>
    <row r="25127" spans="1:11">
      <c r="A25127" s="33" t="s">
        <v>55327</v>
      </c>
      <c r="B25127" s="33" t="s">
        <v>55328</v>
      </c>
      <c r="C25127" s="33" t="s">
        <v>40180</v>
      </c>
      <c r="D25127" s="33" t="s">
        <v>17</v>
      </c>
      <c r="E25127" s="33" t="s">
        <v>26</v>
      </c>
      <c r="F25127" s="33" t="s">
        <v>27</v>
      </c>
      <c r="G25127" s="33" t="s">
        <v>140</v>
      </c>
      <c r="H25127" s="35">
        <v>60</v>
      </c>
      <c r="I25127" s="33" t="s">
        <v>51</v>
      </c>
      <c r="J25127" s="42">
        <v>45952</v>
      </c>
      <c r="K25127" s="33" t="s">
        <v>22</v>
      </c>
    </row>
    <row r="25128" spans="1:11">
      <c r="A25128" s="30" t="s">
        <v>55329</v>
      </c>
      <c r="B25128" s="30" t="s">
        <v>55330</v>
      </c>
      <c r="C25128" s="30" t="s">
        <v>55331</v>
      </c>
      <c r="D25128" s="30" t="s">
        <v>17</v>
      </c>
      <c r="E25128" s="30" t="s">
        <v>31</v>
      </c>
      <c r="F25128" s="30" t="s">
        <v>32</v>
      </c>
      <c r="G25128" s="30" t="s">
        <v>140</v>
      </c>
      <c r="H25128" s="32">
        <v>100</v>
      </c>
      <c r="I25128" s="30" t="s">
        <v>51</v>
      </c>
      <c r="J25128" s="41">
        <v>46000</v>
      </c>
      <c r="K25128" s="30" t="s">
        <v>22</v>
      </c>
    </row>
    <row r="25129" spans="1:11">
      <c r="A25129" s="33" t="s">
        <v>55332</v>
      </c>
      <c r="B25129" s="33" t="s">
        <v>55333</v>
      </c>
      <c r="C25129" s="33" t="s">
        <v>20381</v>
      </c>
      <c r="D25129" s="33" t="s">
        <v>17</v>
      </c>
      <c r="E25129" s="33" t="s">
        <v>67</v>
      </c>
      <c r="F25129" s="33" t="s">
        <v>68</v>
      </c>
      <c r="G25129" s="33" t="s">
        <v>140</v>
      </c>
      <c r="H25129" s="35">
        <v>9</v>
      </c>
      <c r="I25129" s="33" t="s">
        <v>51</v>
      </c>
      <c r="J25129" s="42">
        <v>45703</v>
      </c>
      <c r="K25129" s="33" t="s">
        <v>22</v>
      </c>
    </row>
    <row r="25130" spans="1:11">
      <c r="A25130" s="30" t="s">
        <v>55334</v>
      </c>
      <c r="B25130" s="30" t="s">
        <v>55335</v>
      </c>
      <c r="C25130" s="30" t="s">
        <v>96</v>
      </c>
      <c r="D25130" s="30" t="s">
        <v>17</v>
      </c>
      <c r="E25130" s="30" t="s">
        <v>26</v>
      </c>
      <c r="F25130" s="30" t="s">
        <v>27</v>
      </c>
      <c r="G25130" s="30" t="s">
        <v>158</v>
      </c>
      <c r="H25130" s="32">
        <v>32</v>
      </c>
      <c r="I25130" s="30" t="s">
        <v>51</v>
      </c>
      <c r="J25130" s="41">
        <v>45828</v>
      </c>
      <c r="K25130" s="30" t="s">
        <v>22</v>
      </c>
    </row>
    <row r="25131" spans="1:11">
      <c r="A25131" s="33" t="s">
        <v>55336</v>
      </c>
      <c r="B25131" s="33" t="s">
        <v>55337</v>
      </c>
      <c r="C25131" s="33" t="s">
        <v>1270</v>
      </c>
      <c r="D25131" s="33" t="s">
        <v>17</v>
      </c>
      <c r="E25131" s="33" t="s">
        <v>26</v>
      </c>
      <c r="F25131" s="33" t="s">
        <v>27</v>
      </c>
      <c r="G25131" s="33" t="s">
        <v>7780</v>
      </c>
      <c r="H25131" s="35">
        <v>520</v>
      </c>
      <c r="I25131" s="33" t="s">
        <v>51</v>
      </c>
      <c r="J25131" s="42">
        <v>45792</v>
      </c>
      <c r="K25131" s="33" t="s">
        <v>22</v>
      </c>
    </row>
    <row r="25132" spans="1:11">
      <c r="A25132" s="30" t="s">
        <v>55338</v>
      </c>
      <c r="B25132" s="30" t="s">
        <v>55339</v>
      </c>
      <c r="C25132" s="30" t="s">
        <v>1112</v>
      </c>
      <c r="D25132" s="30" t="s">
        <v>17</v>
      </c>
      <c r="E25132" s="30" t="s">
        <v>26</v>
      </c>
      <c r="F25132" s="30" t="s">
        <v>27</v>
      </c>
      <c r="G25132" s="30" t="s">
        <v>7780</v>
      </c>
      <c r="H25132" s="32">
        <v>60</v>
      </c>
      <c r="I25132" s="30" t="s">
        <v>51</v>
      </c>
      <c r="J25132" s="41">
        <v>46010</v>
      </c>
      <c r="K25132" s="30" t="s">
        <v>22</v>
      </c>
    </row>
    <row r="25133" spans="1:11">
      <c r="A25133" s="33" t="s">
        <v>55340</v>
      </c>
      <c r="B25133" s="33" t="s">
        <v>55341</v>
      </c>
      <c r="C25133" s="33" t="s">
        <v>149</v>
      </c>
      <c r="D25133" s="33" t="s">
        <v>17</v>
      </c>
      <c r="E25133" s="33" t="s">
        <v>31</v>
      </c>
      <c r="F25133" s="33" t="s">
        <v>32</v>
      </c>
      <c r="G25133" s="33" t="s">
        <v>140</v>
      </c>
      <c r="H25133" s="35">
        <v>120</v>
      </c>
      <c r="I25133" s="33" t="s">
        <v>51</v>
      </c>
      <c r="J25133" s="42">
        <v>45912</v>
      </c>
      <c r="K25133" s="33" t="s">
        <v>22</v>
      </c>
    </row>
    <row r="25134" spans="1:11">
      <c r="A25134" s="30" t="s">
        <v>55342</v>
      </c>
      <c r="B25134" s="30" t="s">
        <v>55343</v>
      </c>
      <c r="C25134" s="30" t="s">
        <v>33111</v>
      </c>
      <c r="D25134" s="30" t="s">
        <v>17</v>
      </c>
      <c r="E25134" s="30" t="s">
        <v>26</v>
      </c>
      <c r="F25134" s="30" t="s">
        <v>27</v>
      </c>
      <c r="G25134" s="30" t="s">
        <v>7780</v>
      </c>
      <c r="H25134" s="32">
        <v>81</v>
      </c>
      <c r="I25134" s="30" t="s">
        <v>51</v>
      </c>
      <c r="J25134" s="41">
        <v>45853</v>
      </c>
      <c r="K25134" s="30" t="s">
        <v>22</v>
      </c>
    </row>
    <row r="25135" spans="1:11">
      <c r="A25135" s="33" t="s">
        <v>55344</v>
      </c>
      <c r="B25135" s="33" t="s">
        <v>55345</v>
      </c>
      <c r="C25135" s="33" t="s">
        <v>18006</v>
      </c>
      <c r="D25135" s="33" t="s">
        <v>17</v>
      </c>
      <c r="E25135" s="33" t="s">
        <v>67</v>
      </c>
      <c r="F25135" s="33" t="s">
        <v>68</v>
      </c>
      <c r="G25135" s="33" t="s">
        <v>112</v>
      </c>
      <c r="H25135" s="35">
        <v>0</v>
      </c>
      <c r="I25135" s="33" t="s">
        <v>21</v>
      </c>
      <c r="J25135" s="42">
        <v>45992</v>
      </c>
      <c r="K25135" s="33" t="s">
        <v>22</v>
      </c>
    </row>
    <row r="25136" spans="1:11">
      <c r="A25136" s="30" t="s">
        <v>55346</v>
      </c>
      <c r="B25136" s="30" t="s">
        <v>55347</v>
      </c>
      <c r="C25136" s="30" t="s">
        <v>12556</v>
      </c>
      <c r="D25136" s="30" t="s">
        <v>17</v>
      </c>
      <c r="E25136" s="30" t="s">
        <v>26</v>
      </c>
      <c r="F25136" s="30" t="s">
        <v>27</v>
      </c>
      <c r="G25136" s="30" t="s">
        <v>140</v>
      </c>
      <c r="H25136" s="32">
        <v>24</v>
      </c>
      <c r="I25136" s="30" t="s">
        <v>51</v>
      </c>
      <c r="J25136" s="41">
        <v>45840</v>
      </c>
      <c r="K25136" s="30" t="s">
        <v>22</v>
      </c>
    </row>
    <row r="25137" spans="1:11">
      <c r="A25137" s="33" t="s">
        <v>55348</v>
      </c>
      <c r="B25137" s="33" t="s">
        <v>55349</v>
      </c>
      <c r="C25137" s="33" t="s">
        <v>443</v>
      </c>
      <c r="D25137" s="33" t="s">
        <v>17</v>
      </c>
      <c r="E25137" s="33" t="s">
        <v>67</v>
      </c>
      <c r="F25137" s="33" t="s">
        <v>68</v>
      </c>
      <c r="G25137" s="33" t="s">
        <v>20</v>
      </c>
      <c r="H25137" s="35">
        <v>552</v>
      </c>
      <c r="I25137" s="33" t="s">
        <v>21</v>
      </c>
      <c r="J25137" s="42">
        <v>45672</v>
      </c>
      <c r="K25137" s="33" t="s">
        <v>22</v>
      </c>
    </row>
    <row r="25138" spans="1:11">
      <c r="A25138" s="30" t="s">
        <v>55350</v>
      </c>
      <c r="B25138" s="30" t="s">
        <v>55351</v>
      </c>
      <c r="C25138" s="30" t="s">
        <v>109</v>
      </c>
      <c r="D25138" s="30" t="s">
        <v>17</v>
      </c>
      <c r="E25138" s="30" t="s">
        <v>31</v>
      </c>
      <c r="F25138" s="30" t="s">
        <v>32</v>
      </c>
      <c r="G25138" s="30" t="s">
        <v>158</v>
      </c>
      <c r="H25138" s="32">
        <v>399</v>
      </c>
      <c r="I25138" s="30" t="s">
        <v>21</v>
      </c>
      <c r="J25138" s="41">
        <v>45742</v>
      </c>
      <c r="K25138" s="30" t="s">
        <v>22</v>
      </c>
    </row>
    <row r="25139" spans="1:11">
      <c r="A25139" s="33" t="s">
        <v>55352</v>
      </c>
      <c r="B25139" s="33" t="s">
        <v>55353</v>
      </c>
      <c r="C25139" s="33" t="s">
        <v>55354</v>
      </c>
      <c r="D25139" s="33" t="s">
        <v>17</v>
      </c>
      <c r="E25139" s="33" t="s">
        <v>26</v>
      </c>
      <c r="F25139" s="33" t="s">
        <v>27</v>
      </c>
      <c r="G25139" s="33" t="s">
        <v>140</v>
      </c>
      <c r="H25139" s="35">
        <v>105</v>
      </c>
      <c r="I25139" s="33" t="s">
        <v>51</v>
      </c>
      <c r="J25139" s="42">
        <v>45729</v>
      </c>
      <c r="K25139" s="33" t="s">
        <v>22</v>
      </c>
    </row>
    <row r="25140" spans="1:11">
      <c r="A25140" s="30" t="s">
        <v>55355</v>
      </c>
      <c r="B25140" s="30" t="s">
        <v>55356</v>
      </c>
      <c r="C25140" s="30" t="s">
        <v>5372</v>
      </c>
      <c r="D25140" s="30" t="s">
        <v>17</v>
      </c>
      <c r="E25140" s="30" t="s">
        <v>18</v>
      </c>
      <c r="F25140" s="30" t="s">
        <v>19</v>
      </c>
      <c r="G25140" s="30" t="s">
        <v>158</v>
      </c>
      <c r="H25140" s="32">
        <v>124</v>
      </c>
      <c r="I25140" s="30" t="s">
        <v>21</v>
      </c>
      <c r="J25140" s="41">
        <v>45728</v>
      </c>
      <c r="K25140" s="30" t="s">
        <v>22</v>
      </c>
    </row>
    <row r="25141" spans="1:11">
      <c r="A25141" s="33" t="s">
        <v>55357</v>
      </c>
      <c r="B25141" s="33" t="s">
        <v>55358</v>
      </c>
      <c r="C25141" s="33" t="s">
        <v>16692</v>
      </c>
      <c r="D25141" s="33" t="s">
        <v>17</v>
      </c>
      <c r="E25141" s="33" t="s">
        <v>18</v>
      </c>
      <c r="F25141" s="33" t="s">
        <v>19</v>
      </c>
      <c r="G25141" s="33" t="s">
        <v>112</v>
      </c>
      <c r="H25141" s="35">
        <v>0</v>
      </c>
      <c r="I25141" s="33" t="s">
        <v>21</v>
      </c>
      <c r="J25141" s="42">
        <v>45809</v>
      </c>
      <c r="K25141" s="33" t="s">
        <v>22</v>
      </c>
    </row>
    <row r="25142" spans="1:11">
      <c r="A25142" s="30" t="s">
        <v>55359</v>
      </c>
      <c r="B25142" s="30" t="s">
        <v>55360</v>
      </c>
      <c r="C25142" s="30" t="s">
        <v>817</v>
      </c>
      <c r="D25142" s="30" t="s">
        <v>17</v>
      </c>
      <c r="E25142" s="30" t="s">
        <v>26</v>
      </c>
      <c r="F25142" s="30" t="s">
        <v>27</v>
      </c>
      <c r="G25142" s="30" t="s">
        <v>20</v>
      </c>
      <c r="H25142" s="32">
        <v>59</v>
      </c>
      <c r="I25142" s="30" t="s">
        <v>21</v>
      </c>
      <c r="J25142" s="41">
        <v>45943</v>
      </c>
      <c r="K25142" s="30" t="s">
        <v>22</v>
      </c>
    </row>
    <row r="25143" spans="1:11">
      <c r="A25143" s="33" t="s">
        <v>55361</v>
      </c>
      <c r="B25143" s="33" t="s">
        <v>55362</v>
      </c>
      <c r="C25143" s="33" t="s">
        <v>36411</v>
      </c>
      <c r="D25143" s="33" t="s">
        <v>17</v>
      </c>
      <c r="E25143" s="33" t="s">
        <v>67</v>
      </c>
      <c r="F25143" s="33" t="s">
        <v>68</v>
      </c>
      <c r="G25143" s="33" t="s">
        <v>140</v>
      </c>
      <c r="H25143" s="35">
        <v>27</v>
      </c>
      <c r="I25143" s="33" t="s">
        <v>51</v>
      </c>
      <c r="J25143" s="42">
        <v>45674</v>
      </c>
      <c r="K25143" s="33" t="s">
        <v>22</v>
      </c>
    </row>
    <row r="25144" spans="1:11">
      <c r="A25144" s="30" t="s">
        <v>55363</v>
      </c>
      <c r="B25144" s="30" t="s">
        <v>55364</v>
      </c>
      <c r="C25144" s="30" t="s">
        <v>42603</v>
      </c>
      <c r="D25144" s="30" t="s">
        <v>17</v>
      </c>
      <c r="E25144" s="30" t="s">
        <v>26</v>
      </c>
      <c r="F25144" s="30" t="s">
        <v>27</v>
      </c>
      <c r="G25144" s="30" t="s">
        <v>140</v>
      </c>
      <c r="H25144" s="32">
        <v>15</v>
      </c>
      <c r="I25144" s="30" t="s">
        <v>51</v>
      </c>
      <c r="J25144" s="41">
        <v>45967</v>
      </c>
      <c r="K25144" s="30" t="s">
        <v>22</v>
      </c>
    </row>
    <row r="25145" spans="1:11">
      <c r="A25145" s="33" t="s">
        <v>55365</v>
      </c>
      <c r="B25145" s="33" t="s">
        <v>55366</v>
      </c>
      <c r="C25145" s="33" t="s">
        <v>8079</v>
      </c>
      <c r="D25145" s="33" t="s">
        <v>17</v>
      </c>
      <c r="E25145" s="33" t="s">
        <v>18</v>
      </c>
      <c r="F25145" s="33" t="s">
        <v>19</v>
      </c>
      <c r="G25145" s="33" t="s">
        <v>140</v>
      </c>
      <c r="H25145" s="35">
        <v>412</v>
      </c>
      <c r="I25145" s="33" t="s">
        <v>51</v>
      </c>
      <c r="J25145" s="42">
        <v>45902</v>
      </c>
      <c r="K25145" s="33" t="s">
        <v>22</v>
      </c>
    </row>
    <row r="25146" spans="1:11">
      <c r="A25146" s="30" t="s">
        <v>55367</v>
      </c>
      <c r="B25146" s="30" t="s">
        <v>55368</v>
      </c>
      <c r="C25146" s="30" t="s">
        <v>4810</v>
      </c>
      <c r="D25146" s="30" t="s">
        <v>17</v>
      </c>
      <c r="E25146" s="30" t="s">
        <v>67</v>
      </c>
      <c r="F25146" s="30" t="s">
        <v>68</v>
      </c>
      <c r="G25146" s="30" t="s">
        <v>20</v>
      </c>
      <c r="H25146" s="32">
        <v>20</v>
      </c>
      <c r="I25146" s="30" t="s">
        <v>21</v>
      </c>
      <c r="J25146" s="41">
        <v>45962</v>
      </c>
      <c r="K25146" s="30" t="s">
        <v>22</v>
      </c>
    </row>
    <row r="25147" spans="1:11">
      <c r="A25147" s="33" t="s">
        <v>55369</v>
      </c>
      <c r="B25147" s="33" t="s">
        <v>55370</v>
      </c>
      <c r="C25147" s="33" t="s">
        <v>45513</v>
      </c>
      <c r="D25147" s="33" t="s">
        <v>17</v>
      </c>
      <c r="E25147" s="33" t="s">
        <v>31</v>
      </c>
      <c r="F25147" s="33" t="s">
        <v>32</v>
      </c>
      <c r="G25147" s="33" t="s">
        <v>140</v>
      </c>
      <c r="H25147" s="35">
        <v>57</v>
      </c>
      <c r="I25147" s="33" t="s">
        <v>51</v>
      </c>
      <c r="J25147" s="42">
        <v>45810</v>
      </c>
      <c r="K25147" s="33" t="s">
        <v>22</v>
      </c>
    </row>
    <row r="25148" spans="1:11">
      <c r="A25148" s="30" t="s">
        <v>55371</v>
      </c>
      <c r="B25148" s="30" t="s">
        <v>55372</v>
      </c>
      <c r="C25148" s="30" t="s">
        <v>99</v>
      </c>
      <c r="D25148" s="30" t="s">
        <v>17</v>
      </c>
      <c r="E25148" s="30" t="s">
        <v>31</v>
      </c>
      <c r="F25148" s="30" t="s">
        <v>32</v>
      </c>
      <c r="G25148" s="30" t="s">
        <v>140</v>
      </c>
      <c r="H25148" s="32">
        <v>252</v>
      </c>
      <c r="I25148" s="30" t="s">
        <v>51</v>
      </c>
      <c r="J25148" s="41">
        <v>46000</v>
      </c>
      <c r="K25148" s="30" t="s">
        <v>22</v>
      </c>
    </row>
    <row r="25149" spans="1:11">
      <c r="A25149" s="33" t="s">
        <v>55373</v>
      </c>
      <c r="B25149" s="33" t="s">
        <v>55374</v>
      </c>
      <c r="C25149" s="33" t="s">
        <v>52413</v>
      </c>
      <c r="D25149" s="33" t="s">
        <v>17</v>
      </c>
      <c r="E25149" s="33" t="s">
        <v>67</v>
      </c>
      <c r="F25149" s="33" t="s">
        <v>68</v>
      </c>
      <c r="G25149" s="33" t="s">
        <v>106</v>
      </c>
      <c r="H25149" s="35">
        <v>29</v>
      </c>
      <c r="I25149" s="33" t="s">
        <v>21</v>
      </c>
      <c r="J25149" s="42">
        <v>45721</v>
      </c>
      <c r="K25149" s="33" t="s">
        <v>22</v>
      </c>
    </row>
    <row r="25150" spans="1:11">
      <c r="A25150" s="30" t="s">
        <v>55375</v>
      </c>
      <c r="B25150" s="30" t="s">
        <v>55376</v>
      </c>
      <c r="C25150" s="30" t="s">
        <v>3057</v>
      </c>
      <c r="D25150" s="30" t="s">
        <v>17</v>
      </c>
      <c r="E25150" s="30" t="s">
        <v>26</v>
      </c>
      <c r="F25150" s="30" t="s">
        <v>27</v>
      </c>
      <c r="G25150" s="30" t="s">
        <v>140</v>
      </c>
      <c r="H25150" s="32">
        <v>6</v>
      </c>
      <c r="I25150" s="30" t="s">
        <v>51</v>
      </c>
      <c r="J25150" s="41">
        <v>45991</v>
      </c>
      <c r="K25150" s="30" t="s">
        <v>22</v>
      </c>
    </row>
    <row r="25151" spans="1:11">
      <c r="A25151" s="33" t="s">
        <v>55377</v>
      </c>
      <c r="B25151" s="33" t="s">
        <v>55378</v>
      </c>
      <c r="C25151" s="33" t="s">
        <v>11899</v>
      </c>
      <c r="D25151" s="33" t="s">
        <v>17</v>
      </c>
      <c r="E25151" s="33" t="s">
        <v>31</v>
      </c>
      <c r="F25151" s="33" t="s">
        <v>32</v>
      </c>
      <c r="G25151" s="33" t="s">
        <v>140</v>
      </c>
      <c r="H25151" s="35">
        <v>54</v>
      </c>
      <c r="I25151" s="33" t="s">
        <v>51</v>
      </c>
      <c r="J25151" s="42">
        <v>45714</v>
      </c>
      <c r="K25151" s="33" t="s">
        <v>22</v>
      </c>
    </row>
    <row r="25152" spans="1:11">
      <c r="A25152" s="30" t="s">
        <v>55379</v>
      </c>
      <c r="B25152" s="30" t="s">
        <v>55380</v>
      </c>
      <c r="C25152" s="30" t="s">
        <v>318</v>
      </c>
      <c r="D25152" s="30" t="s">
        <v>17</v>
      </c>
      <c r="E25152" s="30" t="s">
        <v>26</v>
      </c>
      <c r="F25152" s="30" t="s">
        <v>27</v>
      </c>
      <c r="G25152" s="30" t="s">
        <v>20</v>
      </c>
      <c r="H25152" s="32">
        <v>20</v>
      </c>
      <c r="I25152" s="30" t="s">
        <v>21</v>
      </c>
      <c r="J25152" s="41">
        <v>45895</v>
      </c>
      <c r="K25152" s="30" t="s">
        <v>22</v>
      </c>
    </row>
    <row r="25153" spans="1:11">
      <c r="A25153" s="33" t="s">
        <v>55381</v>
      </c>
      <c r="B25153" s="33" t="s">
        <v>55382</v>
      </c>
      <c r="C25153" s="33" t="s">
        <v>252</v>
      </c>
      <c r="D25153" s="33" t="s">
        <v>17</v>
      </c>
      <c r="E25153" s="33" t="s">
        <v>31</v>
      </c>
      <c r="F25153" s="33" t="s">
        <v>32</v>
      </c>
      <c r="G25153" s="33" t="s">
        <v>7780</v>
      </c>
      <c r="H25153" s="35">
        <v>120</v>
      </c>
      <c r="I25153" s="33" t="s">
        <v>51</v>
      </c>
      <c r="J25153" s="42">
        <v>45833</v>
      </c>
      <c r="K25153" s="33" t="s">
        <v>22</v>
      </c>
    </row>
    <row r="25154" spans="1:11">
      <c r="A25154" s="30" t="s">
        <v>55383</v>
      </c>
      <c r="B25154" s="30" t="s">
        <v>55384</v>
      </c>
      <c r="C25154" s="30" t="s">
        <v>736</v>
      </c>
      <c r="D25154" s="30" t="s">
        <v>17</v>
      </c>
      <c r="E25154" s="30" t="s">
        <v>31</v>
      </c>
      <c r="F25154" s="30" t="s">
        <v>32</v>
      </c>
      <c r="G25154" s="30" t="s">
        <v>158</v>
      </c>
      <c r="H25154" s="32">
        <v>120</v>
      </c>
      <c r="I25154" s="30" t="s">
        <v>51</v>
      </c>
      <c r="J25154" s="41">
        <v>45667</v>
      </c>
      <c r="K25154" s="30" t="s">
        <v>22</v>
      </c>
    </row>
    <row r="25155" spans="1:11">
      <c r="A25155" s="33" t="s">
        <v>55385</v>
      </c>
      <c r="B25155" s="33" t="s">
        <v>55386</v>
      </c>
      <c r="C25155" s="33" t="s">
        <v>24941</v>
      </c>
      <c r="D25155" s="33" t="s">
        <v>17</v>
      </c>
      <c r="E25155" s="33" t="s">
        <v>31</v>
      </c>
      <c r="F25155" s="33" t="s">
        <v>32</v>
      </c>
      <c r="G25155" s="33" t="s">
        <v>7780</v>
      </c>
      <c r="H25155" s="35">
        <v>55</v>
      </c>
      <c r="I25155" s="33" t="s">
        <v>51</v>
      </c>
      <c r="J25155" s="42">
        <v>45717</v>
      </c>
      <c r="K25155" s="33" t="s">
        <v>22</v>
      </c>
    </row>
    <row r="25156" spans="1:11">
      <c r="A25156" s="30" t="s">
        <v>55387</v>
      </c>
      <c r="B25156" s="30" t="s">
        <v>55388</v>
      </c>
      <c r="C25156" s="30" t="s">
        <v>549</v>
      </c>
      <c r="D25156" s="30" t="s">
        <v>17</v>
      </c>
      <c r="E25156" s="30" t="s">
        <v>26</v>
      </c>
      <c r="F25156" s="30" t="s">
        <v>27</v>
      </c>
      <c r="G25156" s="30" t="s">
        <v>140</v>
      </c>
      <c r="H25156" s="32">
        <v>20</v>
      </c>
      <c r="I25156" s="30" t="s">
        <v>51</v>
      </c>
      <c r="J25156" s="41">
        <v>45966</v>
      </c>
      <c r="K25156" s="30" t="s">
        <v>22</v>
      </c>
    </row>
    <row r="25157" spans="1:11">
      <c r="A25157" s="33" t="s">
        <v>55389</v>
      </c>
      <c r="B25157" s="33" t="s">
        <v>55390</v>
      </c>
      <c r="C25157" s="33" t="s">
        <v>2866</v>
      </c>
      <c r="D25157" s="33" t="s">
        <v>17</v>
      </c>
      <c r="E25157" s="33" t="s">
        <v>67</v>
      </c>
      <c r="F25157" s="33" t="s">
        <v>68</v>
      </c>
      <c r="G25157" s="33" t="s">
        <v>140</v>
      </c>
      <c r="H25157" s="35">
        <v>387</v>
      </c>
      <c r="I25157" s="33" t="s">
        <v>51</v>
      </c>
      <c r="J25157" s="42">
        <v>45742</v>
      </c>
      <c r="K25157" s="33" t="s">
        <v>22</v>
      </c>
    </row>
    <row r="25158" spans="1:11">
      <c r="A25158" s="30" t="s">
        <v>55391</v>
      </c>
      <c r="B25158" s="30" t="s">
        <v>55392</v>
      </c>
      <c r="C25158" s="30" t="s">
        <v>190</v>
      </c>
      <c r="D25158" s="30" t="s">
        <v>17</v>
      </c>
      <c r="E25158" s="30" t="s">
        <v>18</v>
      </c>
      <c r="F25158" s="30" t="s">
        <v>19</v>
      </c>
      <c r="G25158" s="30" t="s">
        <v>140</v>
      </c>
      <c r="H25158" s="32">
        <v>1220</v>
      </c>
      <c r="I25158" s="30" t="s">
        <v>51</v>
      </c>
      <c r="J25158" s="41">
        <v>45783</v>
      </c>
      <c r="K25158" s="30" t="s">
        <v>22</v>
      </c>
    </row>
    <row r="25159" spans="1:11">
      <c r="A25159" s="33" t="s">
        <v>55393</v>
      </c>
      <c r="B25159" s="33" t="s">
        <v>55394</v>
      </c>
      <c r="C25159" s="33" t="s">
        <v>2878</v>
      </c>
      <c r="D25159" s="33" t="s">
        <v>17</v>
      </c>
      <c r="E25159" s="33" t="s">
        <v>31</v>
      </c>
      <c r="F25159" s="33" t="s">
        <v>32</v>
      </c>
      <c r="G25159" s="33" t="s">
        <v>140</v>
      </c>
      <c r="H25159" s="35">
        <v>150</v>
      </c>
      <c r="I25159" s="33" t="s">
        <v>51</v>
      </c>
      <c r="J25159" s="42">
        <v>45916</v>
      </c>
      <c r="K25159" s="33" t="s">
        <v>22</v>
      </c>
    </row>
    <row r="25160" spans="1:11">
      <c r="A25160" s="30" t="s">
        <v>55395</v>
      </c>
      <c r="B25160" s="30" t="s">
        <v>55396</v>
      </c>
      <c r="C25160" s="30" t="s">
        <v>34310</v>
      </c>
      <c r="D25160" s="30" t="s">
        <v>17</v>
      </c>
      <c r="E25160" s="30" t="s">
        <v>26</v>
      </c>
      <c r="F25160" s="30" t="s">
        <v>27</v>
      </c>
      <c r="G25160" s="30" t="s">
        <v>20</v>
      </c>
      <c r="H25160" s="32">
        <v>28</v>
      </c>
      <c r="I25160" s="30" t="s">
        <v>21</v>
      </c>
      <c r="J25160" s="41">
        <v>45966</v>
      </c>
      <c r="K25160" s="30" t="s">
        <v>22</v>
      </c>
    </row>
    <row r="25161" spans="1:11">
      <c r="A25161" s="33" t="s">
        <v>55397</v>
      </c>
      <c r="B25161" s="33" t="s">
        <v>55398</v>
      </c>
      <c r="C25161" s="33" t="s">
        <v>25549</v>
      </c>
      <c r="D25161" s="33" t="s">
        <v>17</v>
      </c>
      <c r="E25161" s="33" t="s">
        <v>26</v>
      </c>
      <c r="F25161" s="33" t="s">
        <v>27</v>
      </c>
      <c r="G25161" s="33" t="s">
        <v>20</v>
      </c>
      <c r="H25161" s="35">
        <v>82</v>
      </c>
      <c r="I25161" s="33" t="s">
        <v>21</v>
      </c>
      <c r="J25161" s="42">
        <v>45971</v>
      </c>
      <c r="K25161" s="33" t="s">
        <v>22</v>
      </c>
    </row>
    <row r="25162" spans="1:11">
      <c r="A25162" s="30" t="s">
        <v>55399</v>
      </c>
      <c r="B25162" s="30" t="s">
        <v>55400</v>
      </c>
      <c r="C25162" s="30" t="s">
        <v>52448</v>
      </c>
      <c r="D25162" s="30" t="s">
        <v>17</v>
      </c>
      <c r="E25162" s="30" t="s">
        <v>18</v>
      </c>
      <c r="F25162" s="30" t="s">
        <v>19</v>
      </c>
      <c r="G25162" s="30" t="s">
        <v>7780</v>
      </c>
      <c r="H25162" s="32">
        <v>154</v>
      </c>
      <c r="I25162" s="30" t="s">
        <v>51</v>
      </c>
      <c r="J25162" s="41">
        <v>45778</v>
      </c>
      <c r="K25162" s="30" t="s">
        <v>22</v>
      </c>
    </row>
    <row r="25163" spans="1:11">
      <c r="A25163" s="33" t="s">
        <v>55401</v>
      </c>
      <c r="B25163" s="33" t="s">
        <v>55402</v>
      </c>
      <c r="C25163" s="33" t="s">
        <v>55403</v>
      </c>
      <c r="D25163" s="33" t="s">
        <v>17</v>
      </c>
      <c r="E25163" s="33" t="s">
        <v>31</v>
      </c>
      <c r="F25163" s="33" t="s">
        <v>32</v>
      </c>
      <c r="G25163" s="33" t="s">
        <v>158</v>
      </c>
      <c r="H25163" s="35">
        <v>270</v>
      </c>
      <c r="I25163" s="33" t="s">
        <v>51</v>
      </c>
      <c r="J25163" s="42">
        <v>45786</v>
      </c>
      <c r="K25163" s="33" t="s">
        <v>22</v>
      </c>
    </row>
    <row r="25164" spans="1:11">
      <c r="A25164" s="30" t="s">
        <v>55404</v>
      </c>
      <c r="B25164" s="30" t="s">
        <v>55405</v>
      </c>
      <c r="C25164" s="30" t="s">
        <v>203</v>
      </c>
      <c r="D25164" s="30" t="s">
        <v>17</v>
      </c>
      <c r="E25164" s="30" t="s">
        <v>18</v>
      </c>
      <c r="F25164" s="30" t="s">
        <v>19</v>
      </c>
      <c r="G25164" s="30" t="s">
        <v>140</v>
      </c>
      <c r="H25164" s="32">
        <v>980</v>
      </c>
      <c r="I25164" s="30" t="s">
        <v>51</v>
      </c>
      <c r="J25164" s="41">
        <v>45938</v>
      </c>
      <c r="K25164" s="30" t="s">
        <v>22</v>
      </c>
    </row>
    <row r="25165" spans="1:11">
      <c r="A25165" s="33" t="s">
        <v>55406</v>
      </c>
      <c r="B25165" s="33" t="s">
        <v>55407</v>
      </c>
      <c r="C25165" s="33" t="s">
        <v>407</v>
      </c>
      <c r="D25165" s="33" t="s">
        <v>17</v>
      </c>
      <c r="E25165" s="33" t="s">
        <v>26</v>
      </c>
      <c r="F25165" s="33" t="s">
        <v>27</v>
      </c>
      <c r="G25165" s="33" t="s">
        <v>20</v>
      </c>
      <c r="H25165" s="35">
        <v>50</v>
      </c>
      <c r="I25165" s="33" t="s">
        <v>21</v>
      </c>
      <c r="J25165" s="42">
        <v>45929</v>
      </c>
      <c r="K25165" s="33" t="s">
        <v>22</v>
      </c>
    </row>
    <row r="25166" spans="1:11">
      <c r="A25166" s="30" t="s">
        <v>55408</v>
      </c>
      <c r="B25166" s="30" t="s">
        <v>55409</v>
      </c>
      <c r="C25166" s="30" t="s">
        <v>190</v>
      </c>
      <c r="D25166" s="30" t="s">
        <v>17</v>
      </c>
      <c r="E25166" s="30" t="s">
        <v>26</v>
      </c>
      <c r="F25166" s="30" t="s">
        <v>27</v>
      </c>
      <c r="G25166" s="30" t="s">
        <v>20</v>
      </c>
      <c r="H25166" s="32">
        <v>14</v>
      </c>
      <c r="I25166" s="30" t="s">
        <v>21</v>
      </c>
      <c r="J25166" s="41">
        <v>45797</v>
      </c>
      <c r="K25166" s="30" t="s">
        <v>22</v>
      </c>
    </row>
    <row r="25167" spans="1:11">
      <c r="A25167" s="33" t="s">
        <v>55410</v>
      </c>
      <c r="B25167" s="33" t="s">
        <v>55411</v>
      </c>
      <c r="C25167" s="33" t="s">
        <v>55412</v>
      </c>
      <c r="D25167" s="33" t="s">
        <v>17</v>
      </c>
      <c r="E25167" s="33" t="s">
        <v>26</v>
      </c>
      <c r="F25167" s="33" t="s">
        <v>27</v>
      </c>
      <c r="G25167" s="33" t="s">
        <v>140</v>
      </c>
      <c r="H25167" s="35">
        <v>155</v>
      </c>
      <c r="I25167" s="33" t="s">
        <v>51</v>
      </c>
      <c r="J25167" s="42">
        <v>45992</v>
      </c>
      <c r="K25167" s="33" t="s">
        <v>22</v>
      </c>
    </row>
    <row r="25168" spans="1:11">
      <c r="A25168" s="30" t="s">
        <v>55413</v>
      </c>
      <c r="B25168" s="30" t="s">
        <v>55414</v>
      </c>
      <c r="C25168" s="30" t="s">
        <v>55415</v>
      </c>
      <c r="D25168" s="30" t="s">
        <v>17</v>
      </c>
      <c r="E25168" s="30" t="s">
        <v>26</v>
      </c>
      <c r="F25168" s="30" t="s">
        <v>27</v>
      </c>
      <c r="G25168" s="30" t="s">
        <v>140</v>
      </c>
      <c r="H25168" s="32">
        <v>70</v>
      </c>
      <c r="I25168" s="30" t="s">
        <v>51</v>
      </c>
      <c r="J25168" s="41">
        <v>45854</v>
      </c>
      <c r="K25168" s="30" t="s">
        <v>22</v>
      </c>
    </row>
    <row r="25169" spans="1:11">
      <c r="A25169" s="33" t="s">
        <v>55416</v>
      </c>
      <c r="B25169" s="33" t="s">
        <v>55417</v>
      </c>
      <c r="C25169" s="33" t="s">
        <v>46637</v>
      </c>
      <c r="D25169" s="33" t="s">
        <v>17</v>
      </c>
      <c r="E25169" s="33" t="s">
        <v>26</v>
      </c>
      <c r="F25169" s="33" t="s">
        <v>27</v>
      </c>
      <c r="G25169" s="33" t="s">
        <v>140</v>
      </c>
      <c r="H25169" s="35">
        <v>78</v>
      </c>
      <c r="I25169" s="33" t="s">
        <v>51</v>
      </c>
      <c r="J25169" s="42">
        <v>45916</v>
      </c>
      <c r="K25169" s="33" t="s">
        <v>22</v>
      </c>
    </row>
    <row r="25170" spans="1:11">
      <c r="A25170" s="30" t="s">
        <v>55418</v>
      </c>
      <c r="B25170" s="30" t="s">
        <v>55419</v>
      </c>
      <c r="C25170" s="30" t="s">
        <v>75</v>
      </c>
      <c r="D25170" s="30" t="s">
        <v>17</v>
      </c>
      <c r="E25170" s="30" t="s">
        <v>18</v>
      </c>
      <c r="F25170" s="30" t="s">
        <v>19</v>
      </c>
      <c r="G25170" s="30" t="s">
        <v>140</v>
      </c>
      <c r="H25170" s="32">
        <v>586</v>
      </c>
      <c r="I25170" s="30" t="s">
        <v>51</v>
      </c>
      <c r="J25170" s="41">
        <v>45852</v>
      </c>
      <c r="K25170" s="30" t="s">
        <v>22</v>
      </c>
    </row>
    <row r="25171" spans="1:11">
      <c r="A25171" s="33" t="s">
        <v>55420</v>
      </c>
      <c r="B25171" s="33" t="s">
        <v>55421</v>
      </c>
      <c r="C25171" s="33" t="s">
        <v>3610</v>
      </c>
      <c r="D25171" s="33" t="s">
        <v>17</v>
      </c>
      <c r="E25171" s="33" t="s">
        <v>31</v>
      </c>
      <c r="F25171" s="33" t="s">
        <v>32</v>
      </c>
      <c r="G25171" s="33" t="s">
        <v>140</v>
      </c>
      <c r="H25171" s="35">
        <v>120</v>
      </c>
      <c r="I25171" s="33" t="s">
        <v>51</v>
      </c>
      <c r="J25171" s="42">
        <v>45961</v>
      </c>
      <c r="K25171" s="33" t="s">
        <v>22</v>
      </c>
    </row>
    <row r="25172" spans="1:11">
      <c r="A25172" s="30" t="s">
        <v>55422</v>
      </c>
      <c r="B25172" s="30" t="s">
        <v>55423</v>
      </c>
      <c r="C25172" s="30" t="s">
        <v>1764</v>
      </c>
      <c r="D25172" s="30" t="s">
        <v>17</v>
      </c>
      <c r="E25172" s="30" t="s">
        <v>18</v>
      </c>
      <c r="F25172" s="30" t="s">
        <v>19</v>
      </c>
      <c r="G25172" s="30" t="s">
        <v>20</v>
      </c>
      <c r="H25172" s="32">
        <v>180</v>
      </c>
      <c r="I25172" s="30" t="s">
        <v>21</v>
      </c>
      <c r="J25172" s="41">
        <v>45961</v>
      </c>
      <c r="K25172" s="30" t="s">
        <v>22</v>
      </c>
    </row>
    <row r="25173" spans="1:11">
      <c r="A25173" s="33" t="s">
        <v>55424</v>
      </c>
      <c r="B25173" s="33" t="s">
        <v>55425</v>
      </c>
      <c r="C25173" s="33" t="s">
        <v>650</v>
      </c>
      <c r="D25173" s="33" t="s">
        <v>17</v>
      </c>
      <c r="E25173" s="33" t="s">
        <v>26</v>
      </c>
      <c r="F25173" s="33" t="s">
        <v>27</v>
      </c>
      <c r="G25173" s="33" t="s">
        <v>140</v>
      </c>
      <c r="H25173" s="35">
        <v>10</v>
      </c>
      <c r="I25173" s="33" t="s">
        <v>51</v>
      </c>
      <c r="J25173" s="42">
        <v>45884</v>
      </c>
      <c r="K25173" s="33" t="s">
        <v>22</v>
      </c>
    </row>
    <row r="25174" spans="1:11">
      <c r="A25174" s="30" t="s">
        <v>55426</v>
      </c>
      <c r="B25174" s="30" t="s">
        <v>55427</v>
      </c>
      <c r="C25174" s="30" t="s">
        <v>55428</v>
      </c>
      <c r="D25174" s="30" t="s">
        <v>17</v>
      </c>
      <c r="E25174" s="30" t="s">
        <v>67</v>
      </c>
      <c r="F25174" s="30" t="s">
        <v>68</v>
      </c>
      <c r="G25174" s="30" t="s">
        <v>140</v>
      </c>
      <c r="H25174" s="32">
        <v>36</v>
      </c>
      <c r="I25174" s="30" t="s">
        <v>51</v>
      </c>
      <c r="J25174" s="41">
        <v>45680</v>
      </c>
      <c r="K25174" s="30" t="s">
        <v>22</v>
      </c>
    </row>
    <row r="25175" spans="1:11">
      <c r="A25175" s="33" t="s">
        <v>55429</v>
      </c>
      <c r="B25175" s="33" t="s">
        <v>55430</v>
      </c>
      <c r="C25175" s="33" t="s">
        <v>55431</v>
      </c>
      <c r="D25175" s="33" t="s">
        <v>17</v>
      </c>
      <c r="E25175" s="33" t="s">
        <v>26</v>
      </c>
      <c r="F25175" s="33" t="s">
        <v>27</v>
      </c>
      <c r="G25175" s="33" t="s">
        <v>140</v>
      </c>
      <c r="H25175" s="35">
        <v>72</v>
      </c>
      <c r="I25175" s="33" t="s">
        <v>51</v>
      </c>
      <c r="J25175" s="42">
        <v>45854</v>
      </c>
      <c r="K25175" s="33" t="s">
        <v>22</v>
      </c>
    </row>
    <row r="25176" spans="1:11">
      <c r="A25176" s="30" t="s">
        <v>55432</v>
      </c>
      <c r="B25176" s="30" t="s">
        <v>55433</v>
      </c>
      <c r="C25176" s="30" t="s">
        <v>15585</v>
      </c>
      <c r="D25176" s="30" t="s">
        <v>17</v>
      </c>
      <c r="E25176" s="30" t="s">
        <v>31</v>
      </c>
      <c r="F25176" s="30" t="s">
        <v>32</v>
      </c>
      <c r="G25176" s="30" t="s">
        <v>158</v>
      </c>
      <c r="H25176" s="32">
        <v>203</v>
      </c>
      <c r="I25176" s="30" t="s">
        <v>21</v>
      </c>
      <c r="J25176" s="41">
        <v>45951</v>
      </c>
      <c r="K25176" s="30" t="s">
        <v>22</v>
      </c>
    </row>
    <row r="25177" spans="1:11">
      <c r="A25177" s="33" t="s">
        <v>55434</v>
      </c>
      <c r="B25177" s="33" t="s">
        <v>55435</v>
      </c>
      <c r="C25177" s="33" t="s">
        <v>6955</v>
      </c>
      <c r="D25177" s="33" t="s">
        <v>17</v>
      </c>
      <c r="E25177" s="33" t="s">
        <v>26</v>
      </c>
      <c r="F25177" s="33" t="s">
        <v>27</v>
      </c>
      <c r="G25177" s="33" t="s">
        <v>20</v>
      </c>
      <c r="H25177" s="35">
        <v>54</v>
      </c>
      <c r="I25177" s="33" t="s">
        <v>21</v>
      </c>
      <c r="J25177" s="42">
        <v>45721</v>
      </c>
      <c r="K25177" s="33" t="s">
        <v>22</v>
      </c>
    </row>
    <row r="25178" spans="1:11">
      <c r="A25178" s="30" t="s">
        <v>55436</v>
      </c>
      <c r="B25178" s="30" t="s">
        <v>55437</v>
      </c>
      <c r="C25178" s="30" t="s">
        <v>41140</v>
      </c>
      <c r="D25178" s="30" t="s">
        <v>17</v>
      </c>
      <c r="E25178" s="30" t="s">
        <v>330</v>
      </c>
      <c r="F25178" s="30" t="s">
        <v>331</v>
      </c>
      <c r="G25178" s="30" t="s">
        <v>7780</v>
      </c>
      <c r="H25178" s="32">
        <v>30</v>
      </c>
      <c r="I25178" s="30" t="s">
        <v>51</v>
      </c>
      <c r="J25178" s="41">
        <v>45809</v>
      </c>
      <c r="K25178" s="30" t="s">
        <v>22</v>
      </c>
    </row>
    <row r="25179" spans="1:11">
      <c r="A25179" s="33" t="s">
        <v>55438</v>
      </c>
      <c r="B25179" s="33" t="s">
        <v>55439</v>
      </c>
      <c r="C25179" s="33" t="s">
        <v>6703</v>
      </c>
      <c r="D25179" s="33" t="s">
        <v>17</v>
      </c>
      <c r="E25179" s="33" t="s">
        <v>18</v>
      </c>
      <c r="F25179" s="33" t="s">
        <v>19</v>
      </c>
      <c r="G25179" s="33" t="s">
        <v>7780</v>
      </c>
      <c r="H25179" s="35">
        <v>140</v>
      </c>
      <c r="I25179" s="33" t="s">
        <v>51</v>
      </c>
      <c r="J25179" s="42">
        <v>45940</v>
      </c>
      <c r="K25179" s="33" t="s">
        <v>22</v>
      </c>
    </row>
    <row r="25180" spans="1:11">
      <c r="A25180" s="30" t="s">
        <v>55440</v>
      </c>
      <c r="B25180" s="30" t="s">
        <v>55441</v>
      </c>
      <c r="C25180" s="30" t="s">
        <v>136</v>
      </c>
      <c r="D25180" s="30" t="s">
        <v>17</v>
      </c>
      <c r="E25180" s="30" t="s">
        <v>26</v>
      </c>
      <c r="F25180" s="30" t="s">
        <v>27</v>
      </c>
      <c r="G25180" s="30" t="s">
        <v>158</v>
      </c>
      <c r="H25180" s="32">
        <v>48</v>
      </c>
      <c r="I25180" s="30" t="s">
        <v>51</v>
      </c>
      <c r="J25180" s="41">
        <v>45755</v>
      </c>
      <c r="K25180" s="30" t="s">
        <v>22</v>
      </c>
    </row>
    <row r="25181" spans="1:11">
      <c r="A25181" s="33" t="s">
        <v>55442</v>
      </c>
      <c r="B25181" s="33" t="s">
        <v>55443</v>
      </c>
      <c r="C25181" s="33" t="s">
        <v>31844</v>
      </c>
      <c r="D25181" s="33" t="s">
        <v>17</v>
      </c>
      <c r="E25181" s="33" t="s">
        <v>67</v>
      </c>
      <c r="F25181" s="33" t="s">
        <v>68</v>
      </c>
      <c r="G25181" s="33" t="s">
        <v>7780</v>
      </c>
      <c r="H25181" s="35">
        <v>204</v>
      </c>
      <c r="I25181" s="33" t="s">
        <v>51</v>
      </c>
      <c r="J25181" s="42">
        <v>45664</v>
      </c>
      <c r="K25181" s="33" t="s">
        <v>22</v>
      </c>
    </row>
    <row r="25182" spans="1:11">
      <c r="A25182" s="30" t="s">
        <v>55444</v>
      </c>
      <c r="B25182" s="30" t="s">
        <v>55445</v>
      </c>
      <c r="C25182" s="30" t="s">
        <v>55446</v>
      </c>
      <c r="D25182" s="30" t="s">
        <v>17</v>
      </c>
      <c r="E25182" s="30" t="s">
        <v>26</v>
      </c>
      <c r="F25182" s="30" t="s">
        <v>27</v>
      </c>
      <c r="G25182" s="30" t="s">
        <v>140</v>
      </c>
      <c r="H25182" s="32">
        <v>24</v>
      </c>
      <c r="I25182" s="30" t="s">
        <v>51</v>
      </c>
      <c r="J25182" s="41">
        <v>45770</v>
      </c>
      <c r="K25182" s="30" t="s">
        <v>22</v>
      </c>
    </row>
    <row r="25183" spans="1:11">
      <c r="A25183" s="33" t="s">
        <v>55447</v>
      </c>
      <c r="B25183" s="33" t="s">
        <v>55448</v>
      </c>
      <c r="C25183" s="33" t="s">
        <v>925</v>
      </c>
      <c r="D25183" s="33" t="s">
        <v>17</v>
      </c>
      <c r="E25183" s="33" t="s">
        <v>26</v>
      </c>
      <c r="F25183" s="33" t="s">
        <v>27</v>
      </c>
      <c r="G25183" s="33" t="s">
        <v>106</v>
      </c>
      <c r="H25183" s="35">
        <v>4</v>
      </c>
      <c r="I25183" s="33" t="s">
        <v>21</v>
      </c>
      <c r="J25183" s="42">
        <v>45880</v>
      </c>
      <c r="K25183" s="33" t="s">
        <v>22</v>
      </c>
    </row>
    <row r="25184" spans="1:11">
      <c r="A25184" s="30" t="s">
        <v>55449</v>
      </c>
      <c r="B25184" s="30" t="s">
        <v>55450</v>
      </c>
      <c r="C25184" s="30" t="s">
        <v>55451</v>
      </c>
      <c r="D25184" s="30" t="s">
        <v>17</v>
      </c>
      <c r="E25184" s="30" t="s">
        <v>18</v>
      </c>
      <c r="F25184" s="30" t="s">
        <v>19</v>
      </c>
      <c r="G25184" s="30" t="s">
        <v>140</v>
      </c>
      <c r="H25184" s="32">
        <v>400</v>
      </c>
      <c r="I25184" s="30" t="s">
        <v>51</v>
      </c>
      <c r="J25184" s="41">
        <v>45737</v>
      </c>
      <c r="K25184" s="30" t="s">
        <v>22</v>
      </c>
    </row>
    <row r="25185" spans="1:11">
      <c r="A25185" s="33" t="s">
        <v>55452</v>
      </c>
      <c r="B25185" s="33" t="s">
        <v>55453</v>
      </c>
      <c r="C25185" s="33" t="s">
        <v>55454</v>
      </c>
      <c r="D25185" s="33" t="s">
        <v>17</v>
      </c>
      <c r="E25185" s="33" t="s">
        <v>26</v>
      </c>
      <c r="F25185" s="33" t="s">
        <v>27</v>
      </c>
      <c r="G25185" s="33" t="s">
        <v>7780</v>
      </c>
      <c r="H25185" s="35">
        <v>100</v>
      </c>
      <c r="I25185" s="33" t="s">
        <v>51</v>
      </c>
      <c r="J25185" s="42">
        <v>45962</v>
      </c>
      <c r="K25185" s="33" t="s">
        <v>22</v>
      </c>
    </row>
    <row r="25186" spans="1:11">
      <c r="A25186" s="30" t="s">
        <v>55455</v>
      </c>
      <c r="B25186" s="30" t="s">
        <v>55456</v>
      </c>
      <c r="C25186" s="30" t="s">
        <v>14816</v>
      </c>
      <c r="D25186" s="30" t="s">
        <v>17</v>
      </c>
      <c r="E25186" s="30" t="s">
        <v>31</v>
      </c>
      <c r="F25186" s="30" t="s">
        <v>32</v>
      </c>
      <c r="G25186" s="30" t="s">
        <v>140</v>
      </c>
      <c r="H25186" s="32">
        <v>48</v>
      </c>
      <c r="I25186" s="30" t="s">
        <v>51</v>
      </c>
      <c r="J25186" s="41">
        <v>45947</v>
      </c>
      <c r="K25186" s="30" t="s">
        <v>22</v>
      </c>
    </row>
    <row r="25187" spans="1:11">
      <c r="A25187" s="33" t="s">
        <v>55457</v>
      </c>
      <c r="B25187" s="33" t="s">
        <v>55458</v>
      </c>
      <c r="C25187" s="33" t="s">
        <v>130</v>
      </c>
      <c r="D25187" s="33" t="s">
        <v>17</v>
      </c>
      <c r="E25187" s="33" t="s">
        <v>26</v>
      </c>
      <c r="F25187" s="33" t="s">
        <v>27</v>
      </c>
      <c r="G25187" s="33" t="s">
        <v>20</v>
      </c>
      <c r="H25187" s="35">
        <v>72</v>
      </c>
      <c r="I25187" s="33" t="s">
        <v>21</v>
      </c>
      <c r="J25187" s="42">
        <v>45671</v>
      </c>
      <c r="K25187" s="33" t="s">
        <v>22</v>
      </c>
    </row>
    <row r="25188" spans="1:11">
      <c r="A25188" s="30" t="s">
        <v>55459</v>
      </c>
      <c r="B25188" s="30" t="s">
        <v>55460</v>
      </c>
      <c r="C25188" s="30" t="s">
        <v>20684</v>
      </c>
      <c r="D25188" s="30" t="s">
        <v>17</v>
      </c>
      <c r="E25188" s="30" t="s">
        <v>31</v>
      </c>
      <c r="F25188" s="30" t="s">
        <v>32</v>
      </c>
      <c r="G25188" s="30" t="s">
        <v>140</v>
      </c>
      <c r="H25188" s="32">
        <v>1100</v>
      </c>
      <c r="I25188" s="30" t="s">
        <v>51</v>
      </c>
      <c r="J25188" s="41">
        <v>45995</v>
      </c>
      <c r="K25188" s="30" t="s">
        <v>22</v>
      </c>
    </row>
    <row r="25189" spans="1:11">
      <c r="A25189" s="33" t="s">
        <v>55461</v>
      </c>
      <c r="B25189" s="33" t="s">
        <v>55462</v>
      </c>
      <c r="C25189" s="33" t="s">
        <v>157</v>
      </c>
      <c r="D25189" s="33" t="s">
        <v>17</v>
      </c>
      <c r="E25189" s="33" t="s">
        <v>18</v>
      </c>
      <c r="F25189" s="33" t="s">
        <v>19</v>
      </c>
      <c r="G25189" s="33" t="s">
        <v>140</v>
      </c>
      <c r="H25189" s="35">
        <v>600</v>
      </c>
      <c r="I25189" s="33" t="s">
        <v>51</v>
      </c>
      <c r="J25189" s="42">
        <v>45726</v>
      </c>
      <c r="K25189" s="33" t="s">
        <v>22</v>
      </c>
    </row>
    <row r="25190" spans="1:11">
      <c r="A25190" s="30" t="s">
        <v>55463</v>
      </c>
      <c r="B25190" s="30" t="s">
        <v>55464</v>
      </c>
      <c r="C25190" s="30" t="s">
        <v>31995</v>
      </c>
      <c r="D25190" s="30" t="s">
        <v>17</v>
      </c>
      <c r="E25190" s="30" t="s">
        <v>18</v>
      </c>
      <c r="F25190" s="30" t="s">
        <v>19</v>
      </c>
      <c r="G25190" s="30" t="s">
        <v>140</v>
      </c>
      <c r="H25190" s="32">
        <v>780</v>
      </c>
      <c r="I25190" s="30" t="s">
        <v>51</v>
      </c>
      <c r="J25190" s="41">
        <v>45890</v>
      </c>
      <c r="K25190" s="30" t="s">
        <v>22</v>
      </c>
    </row>
    <row r="25191" spans="1:11">
      <c r="A25191" s="33" t="s">
        <v>55465</v>
      </c>
      <c r="B25191" s="33" t="s">
        <v>55466</v>
      </c>
      <c r="C25191" s="33" t="s">
        <v>33111</v>
      </c>
      <c r="D25191" s="33" t="s">
        <v>17</v>
      </c>
      <c r="E25191" s="33" t="s">
        <v>31</v>
      </c>
      <c r="F25191" s="33" t="s">
        <v>32</v>
      </c>
      <c r="G25191" s="33" t="s">
        <v>140</v>
      </c>
      <c r="H25191" s="35">
        <v>24</v>
      </c>
      <c r="I25191" s="33" t="s">
        <v>51</v>
      </c>
      <c r="J25191" s="42">
        <v>45777</v>
      </c>
      <c r="K25191" s="33" t="s">
        <v>22</v>
      </c>
    </row>
    <row r="25192" spans="1:11">
      <c r="A25192" s="30" t="s">
        <v>55467</v>
      </c>
      <c r="B25192" s="30" t="s">
        <v>55468</v>
      </c>
      <c r="C25192" s="30" t="s">
        <v>96</v>
      </c>
      <c r="D25192" s="30" t="s">
        <v>17</v>
      </c>
      <c r="E25192" s="30" t="s">
        <v>18</v>
      </c>
      <c r="F25192" s="30" t="s">
        <v>19</v>
      </c>
      <c r="G25192" s="30" t="s">
        <v>140</v>
      </c>
      <c r="H25192" s="32">
        <v>300</v>
      </c>
      <c r="I25192" s="30" t="s">
        <v>51</v>
      </c>
      <c r="J25192" s="41">
        <v>45852</v>
      </c>
      <c r="K25192" s="30" t="s">
        <v>22</v>
      </c>
    </row>
    <row r="25193" spans="1:11">
      <c r="A25193" s="33" t="s">
        <v>55469</v>
      </c>
      <c r="B25193" s="33" t="s">
        <v>55470</v>
      </c>
      <c r="C25193" s="33" t="s">
        <v>7081</v>
      </c>
      <c r="D25193" s="33" t="s">
        <v>17</v>
      </c>
      <c r="E25193" s="33" t="s">
        <v>67</v>
      </c>
      <c r="F25193" s="33" t="s">
        <v>68</v>
      </c>
      <c r="G25193" s="33" t="s">
        <v>7780</v>
      </c>
      <c r="H25193" s="35">
        <v>221</v>
      </c>
      <c r="I25193" s="33" t="s">
        <v>51</v>
      </c>
      <c r="J25193" s="42">
        <v>46022</v>
      </c>
      <c r="K25193" s="33" t="s">
        <v>22</v>
      </c>
    </row>
    <row r="25194" spans="1:11">
      <c r="A25194" s="30" t="s">
        <v>55471</v>
      </c>
      <c r="B25194" s="30" t="s">
        <v>55472</v>
      </c>
      <c r="C25194" s="30" t="s">
        <v>93</v>
      </c>
      <c r="D25194" s="30" t="s">
        <v>17</v>
      </c>
      <c r="E25194" s="30" t="s">
        <v>26</v>
      </c>
      <c r="F25194" s="30" t="s">
        <v>27</v>
      </c>
      <c r="G25194" s="30" t="s">
        <v>20</v>
      </c>
      <c r="H25194" s="32">
        <v>260</v>
      </c>
      <c r="I25194" s="30" t="s">
        <v>21</v>
      </c>
      <c r="J25194" s="41">
        <v>45820</v>
      </c>
      <c r="K25194" s="30" t="s">
        <v>22</v>
      </c>
    </row>
    <row r="25195" spans="1:11">
      <c r="A25195" s="33" t="s">
        <v>55473</v>
      </c>
      <c r="B25195" s="33" t="s">
        <v>55474</v>
      </c>
      <c r="C25195" s="33" t="s">
        <v>27689</v>
      </c>
      <c r="D25195" s="33" t="s">
        <v>17</v>
      </c>
      <c r="E25195" s="33" t="s">
        <v>67</v>
      </c>
      <c r="F25195" s="33" t="s">
        <v>68</v>
      </c>
      <c r="G25195" s="33" t="s">
        <v>140</v>
      </c>
      <c r="H25195" s="35">
        <v>54</v>
      </c>
      <c r="I25195" s="33" t="s">
        <v>51</v>
      </c>
      <c r="J25195" s="42">
        <v>45814</v>
      </c>
      <c r="K25195" s="33" t="s">
        <v>22</v>
      </c>
    </row>
    <row r="25196" spans="1:11">
      <c r="A25196" s="30" t="s">
        <v>55475</v>
      </c>
      <c r="B25196" s="30" t="s">
        <v>55476</v>
      </c>
      <c r="C25196" s="30" t="s">
        <v>7588</v>
      </c>
      <c r="D25196" s="30" t="s">
        <v>17</v>
      </c>
      <c r="E25196" s="30" t="s">
        <v>31</v>
      </c>
      <c r="F25196" s="30" t="s">
        <v>32</v>
      </c>
      <c r="G25196" s="30" t="s">
        <v>158</v>
      </c>
      <c r="H25196" s="32">
        <v>970</v>
      </c>
      <c r="I25196" s="30" t="s">
        <v>21</v>
      </c>
      <c r="J25196" s="41">
        <v>45957</v>
      </c>
      <c r="K25196" s="30" t="s">
        <v>22</v>
      </c>
    </row>
    <row r="25197" spans="1:11">
      <c r="A25197" s="33" t="s">
        <v>55477</v>
      </c>
      <c r="B25197" s="33" t="s">
        <v>55478</v>
      </c>
      <c r="C25197" s="33" t="s">
        <v>51579</v>
      </c>
      <c r="D25197" s="33" t="s">
        <v>17</v>
      </c>
      <c r="E25197" s="33" t="s">
        <v>26</v>
      </c>
      <c r="F25197" s="33" t="s">
        <v>27</v>
      </c>
      <c r="G25197" s="33" t="s">
        <v>140</v>
      </c>
      <c r="H25197" s="35">
        <v>12</v>
      </c>
      <c r="I25197" s="33" t="s">
        <v>51</v>
      </c>
      <c r="J25197" s="42">
        <v>45762</v>
      </c>
      <c r="K25197" s="33" t="s">
        <v>22</v>
      </c>
    </row>
    <row r="25198" spans="1:11">
      <c r="A25198" s="30" t="s">
        <v>55479</v>
      </c>
      <c r="B25198" s="30" t="s">
        <v>55480</v>
      </c>
      <c r="C25198" s="30" t="s">
        <v>78</v>
      </c>
      <c r="D25198" s="30" t="s">
        <v>17</v>
      </c>
      <c r="E25198" s="30" t="s">
        <v>26</v>
      </c>
      <c r="F25198" s="30" t="s">
        <v>27</v>
      </c>
      <c r="G25198" s="30" t="s">
        <v>140</v>
      </c>
      <c r="H25198" s="32">
        <v>213</v>
      </c>
      <c r="I25198" s="30" t="s">
        <v>51</v>
      </c>
      <c r="J25198" s="41">
        <v>45987</v>
      </c>
      <c r="K25198" s="30" t="s">
        <v>22</v>
      </c>
    </row>
    <row r="25199" spans="1:11">
      <c r="A25199" s="33" t="s">
        <v>55481</v>
      </c>
      <c r="B25199" s="33" t="s">
        <v>55482</v>
      </c>
      <c r="C25199" s="33" t="s">
        <v>8768</v>
      </c>
      <c r="D25199" s="33" t="s">
        <v>17</v>
      </c>
      <c r="E25199" s="33" t="s">
        <v>26</v>
      </c>
      <c r="F25199" s="33" t="s">
        <v>27</v>
      </c>
      <c r="G25199" s="33" t="s">
        <v>140</v>
      </c>
      <c r="H25199" s="35">
        <v>33</v>
      </c>
      <c r="I25199" s="33" t="s">
        <v>51</v>
      </c>
      <c r="J25199" s="42">
        <v>45951</v>
      </c>
      <c r="K25199" s="33" t="s">
        <v>22</v>
      </c>
    </row>
    <row r="25200" spans="1:11">
      <c r="A25200" s="30" t="s">
        <v>55483</v>
      </c>
      <c r="B25200" s="30" t="s">
        <v>55484</v>
      </c>
      <c r="C25200" s="30" t="s">
        <v>32642</v>
      </c>
      <c r="D25200" s="30" t="s">
        <v>17</v>
      </c>
      <c r="E25200" s="30" t="s">
        <v>26</v>
      </c>
      <c r="F25200" s="30" t="s">
        <v>27</v>
      </c>
      <c r="G25200" s="30" t="s">
        <v>20</v>
      </c>
      <c r="H25200" s="32">
        <v>16</v>
      </c>
      <c r="I25200" s="30" t="s">
        <v>21</v>
      </c>
      <c r="J25200" s="41">
        <v>45715</v>
      </c>
      <c r="K25200" s="30" t="s">
        <v>22</v>
      </c>
    </row>
    <row r="25201" spans="1:11">
      <c r="A25201" s="33" t="s">
        <v>55485</v>
      </c>
      <c r="B25201" s="33" t="s">
        <v>55486</v>
      </c>
      <c r="C25201" s="33" t="s">
        <v>570</v>
      </c>
      <c r="D25201" s="33" t="s">
        <v>17</v>
      </c>
      <c r="E25201" s="33" t="s">
        <v>67</v>
      </c>
      <c r="F25201" s="33" t="s">
        <v>68</v>
      </c>
      <c r="G25201" s="33" t="s">
        <v>140</v>
      </c>
      <c r="H25201" s="35">
        <v>149</v>
      </c>
      <c r="I25201" s="33" t="s">
        <v>51</v>
      </c>
      <c r="J25201" s="42">
        <v>45786</v>
      </c>
      <c r="K25201" s="33" t="s">
        <v>22</v>
      </c>
    </row>
    <row r="25202" spans="1:11">
      <c r="A25202" s="30" t="s">
        <v>55487</v>
      </c>
      <c r="B25202" s="30" t="s">
        <v>55488</v>
      </c>
      <c r="C25202" s="30" t="s">
        <v>231</v>
      </c>
      <c r="D25202" s="30" t="s">
        <v>17</v>
      </c>
      <c r="E25202" s="30" t="s">
        <v>26</v>
      </c>
      <c r="F25202" s="30" t="s">
        <v>27</v>
      </c>
      <c r="G25202" s="30" t="s">
        <v>20</v>
      </c>
      <c r="H25202" s="32">
        <v>16</v>
      </c>
      <c r="I25202" s="30" t="s">
        <v>21</v>
      </c>
      <c r="J25202" s="41">
        <v>45797</v>
      </c>
      <c r="K25202" s="30" t="s">
        <v>22</v>
      </c>
    </row>
    <row r="25203" spans="1:11">
      <c r="A25203" s="33" t="s">
        <v>55489</v>
      </c>
      <c r="B25203" s="33" t="s">
        <v>55490</v>
      </c>
      <c r="C25203" s="33" t="s">
        <v>32821</v>
      </c>
      <c r="D25203" s="33" t="s">
        <v>17</v>
      </c>
      <c r="E25203" s="33" t="s">
        <v>31</v>
      </c>
      <c r="F25203" s="33" t="s">
        <v>32</v>
      </c>
      <c r="G25203" s="33" t="s">
        <v>106</v>
      </c>
      <c r="H25203" s="35">
        <v>16</v>
      </c>
      <c r="I25203" s="33" t="s">
        <v>21</v>
      </c>
      <c r="J25203" s="42">
        <v>45806</v>
      </c>
      <c r="K25203" s="33" t="s">
        <v>22</v>
      </c>
    </row>
    <row r="25204" spans="1:11">
      <c r="A25204" s="30" t="s">
        <v>55491</v>
      </c>
      <c r="B25204" s="30" t="s">
        <v>55492</v>
      </c>
      <c r="C25204" s="30" t="s">
        <v>3190</v>
      </c>
      <c r="D25204" s="30" t="s">
        <v>17</v>
      </c>
      <c r="E25204" s="30" t="s">
        <v>31</v>
      </c>
      <c r="F25204" s="30" t="s">
        <v>32</v>
      </c>
      <c r="G25204" s="30" t="s">
        <v>140</v>
      </c>
      <c r="H25204" s="32">
        <v>380</v>
      </c>
      <c r="I25204" s="30" t="s">
        <v>51</v>
      </c>
      <c r="J25204" s="41">
        <v>45895</v>
      </c>
      <c r="K25204" s="30" t="s">
        <v>22</v>
      </c>
    </row>
    <row r="25205" spans="1:11">
      <c r="A25205" s="33" t="s">
        <v>55493</v>
      </c>
      <c r="B25205" s="33" t="s">
        <v>55494</v>
      </c>
      <c r="C25205" s="33" t="s">
        <v>55495</v>
      </c>
      <c r="D25205" s="33" t="s">
        <v>17</v>
      </c>
      <c r="E25205" s="33" t="s">
        <v>330</v>
      </c>
      <c r="F25205" s="33" t="s">
        <v>331</v>
      </c>
      <c r="G25205" s="33" t="s">
        <v>140</v>
      </c>
      <c r="H25205" s="35">
        <v>30</v>
      </c>
      <c r="I25205" s="33" t="s">
        <v>51</v>
      </c>
      <c r="J25205" s="42">
        <v>45783</v>
      </c>
      <c r="K25205" s="33" t="s">
        <v>22</v>
      </c>
    </row>
    <row r="25206" spans="1:11">
      <c r="A25206" s="30" t="s">
        <v>55496</v>
      </c>
      <c r="B25206" s="30" t="s">
        <v>55497</v>
      </c>
      <c r="C25206" s="30" t="s">
        <v>124</v>
      </c>
      <c r="D25206" s="30" t="s">
        <v>17</v>
      </c>
      <c r="E25206" s="30" t="s">
        <v>31</v>
      </c>
      <c r="F25206" s="30" t="s">
        <v>32</v>
      </c>
      <c r="G25206" s="30" t="s">
        <v>7780</v>
      </c>
      <c r="H25206" s="32">
        <v>150</v>
      </c>
      <c r="I25206" s="30" t="s">
        <v>51</v>
      </c>
      <c r="J25206" s="41">
        <v>45926</v>
      </c>
      <c r="K25206" s="30" t="s">
        <v>22</v>
      </c>
    </row>
    <row r="25207" spans="1:11">
      <c r="A25207" s="33" t="s">
        <v>55498</v>
      </c>
      <c r="B25207" s="33" t="s">
        <v>55499</v>
      </c>
      <c r="C25207" s="33" t="s">
        <v>11166</v>
      </c>
      <c r="D25207" s="33" t="s">
        <v>17</v>
      </c>
      <c r="E25207" s="33" t="s">
        <v>18</v>
      </c>
      <c r="F25207" s="33" t="s">
        <v>19</v>
      </c>
      <c r="G25207" s="33" t="s">
        <v>7780</v>
      </c>
      <c r="H25207" s="35">
        <v>474</v>
      </c>
      <c r="I25207" s="33" t="s">
        <v>51</v>
      </c>
      <c r="J25207" s="42">
        <v>45717</v>
      </c>
      <c r="K25207" s="33" t="s">
        <v>22</v>
      </c>
    </row>
    <row r="25208" spans="1:11">
      <c r="A25208" s="30" t="s">
        <v>55500</v>
      </c>
      <c r="B25208" s="30" t="s">
        <v>55501</v>
      </c>
      <c r="C25208" s="30" t="s">
        <v>96</v>
      </c>
      <c r="D25208" s="30" t="s">
        <v>17</v>
      </c>
      <c r="E25208" s="30" t="s">
        <v>31</v>
      </c>
      <c r="F25208" s="30" t="s">
        <v>32</v>
      </c>
      <c r="G25208" s="30" t="s">
        <v>20</v>
      </c>
      <c r="H25208" s="32">
        <v>133</v>
      </c>
      <c r="I25208" s="30" t="s">
        <v>21</v>
      </c>
      <c r="J25208" s="41">
        <v>45730</v>
      </c>
      <c r="K25208" s="30" t="s">
        <v>22</v>
      </c>
    </row>
    <row r="25209" spans="1:11">
      <c r="A25209" s="33" t="s">
        <v>55502</v>
      </c>
      <c r="B25209" s="33" t="s">
        <v>55503</v>
      </c>
      <c r="C25209" s="33" t="s">
        <v>55504</v>
      </c>
      <c r="D25209" s="33" t="s">
        <v>17</v>
      </c>
      <c r="E25209" s="33" t="s">
        <v>67</v>
      </c>
      <c r="F25209" s="33" t="s">
        <v>68</v>
      </c>
      <c r="G25209" s="33" t="s">
        <v>140</v>
      </c>
      <c r="H25209" s="35">
        <v>72</v>
      </c>
      <c r="I25209" s="33" t="s">
        <v>51</v>
      </c>
      <c r="J25209" s="42">
        <v>45737</v>
      </c>
      <c r="K25209" s="33" t="s">
        <v>22</v>
      </c>
    </row>
    <row r="25210" spans="1:11">
      <c r="A25210" s="30" t="s">
        <v>55505</v>
      </c>
      <c r="B25210" s="30" t="s">
        <v>55506</v>
      </c>
      <c r="C25210" s="30" t="s">
        <v>14816</v>
      </c>
      <c r="D25210" s="30" t="s">
        <v>17</v>
      </c>
      <c r="E25210" s="30" t="s">
        <v>26</v>
      </c>
      <c r="F25210" s="30" t="s">
        <v>27</v>
      </c>
      <c r="G25210" s="30" t="s">
        <v>20</v>
      </c>
      <c r="H25210" s="32">
        <v>40</v>
      </c>
      <c r="I25210" s="30" t="s">
        <v>21</v>
      </c>
      <c r="J25210" s="41">
        <v>45998</v>
      </c>
      <c r="K25210" s="30" t="s">
        <v>22</v>
      </c>
    </row>
    <row r="25211" spans="1:11">
      <c r="A25211" s="33" t="s">
        <v>55507</v>
      </c>
      <c r="B25211" s="33" t="s">
        <v>55508</v>
      </c>
      <c r="C25211" s="33" t="s">
        <v>2490</v>
      </c>
      <c r="D25211" s="33" t="s">
        <v>17</v>
      </c>
      <c r="E25211" s="33" t="s">
        <v>26</v>
      </c>
      <c r="F25211" s="33" t="s">
        <v>27</v>
      </c>
      <c r="G25211" s="33" t="s">
        <v>2613</v>
      </c>
      <c r="H25211" s="35">
        <v>98</v>
      </c>
      <c r="I25211" s="33" t="s">
        <v>51</v>
      </c>
      <c r="J25211" s="42">
        <v>45958</v>
      </c>
      <c r="K25211" s="33" t="s">
        <v>22</v>
      </c>
    </row>
    <row r="25212" spans="1:11">
      <c r="A25212" s="30" t="s">
        <v>55509</v>
      </c>
      <c r="B25212" s="30" t="s">
        <v>55510</v>
      </c>
      <c r="C25212" s="30" t="s">
        <v>5443</v>
      </c>
      <c r="D25212" s="30" t="s">
        <v>17</v>
      </c>
      <c r="E25212" s="30" t="s">
        <v>67</v>
      </c>
      <c r="F25212" s="30" t="s">
        <v>68</v>
      </c>
      <c r="G25212" s="30" t="s">
        <v>112</v>
      </c>
      <c r="H25212" s="32">
        <v>0</v>
      </c>
      <c r="I25212" s="30" t="s">
        <v>21</v>
      </c>
      <c r="J25212" s="41">
        <v>45838</v>
      </c>
      <c r="K25212" s="30" t="s">
        <v>22</v>
      </c>
    </row>
    <row r="25213" spans="1:11">
      <c r="A25213" s="33" t="s">
        <v>55511</v>
      </c>
      <c r="B25213" s="33" t="s">
        <v>55512</v>
      </c>
      <c r="C25213" s="33" t="s">
        <v>4348</v>
      </c>
      <c r="D25213" s="33" t="s">
        <v>17</v>
      </c>
      <c r="E25213" s="33" t="s">
        <v>31</v>
      </c>
      <c r="F25213" s="33" t="s">
        <v>32</v>
      </c>
      <c r="G25213" s="33" t="s">
        <v>158</v>
      </c>
      <c r="H25213" s="35">
        <v>27</v>
      </c>
      <c r="I25213" s="33" t="s">
        <v>21</v>
      </c>
      <c r="J25213" s="42">
        <v>45673</v>
      </c>
      <c r="K25213" s="33" t="s">
        <v>22</v>
      </c>
    </row>
    <row r="25214" spans="1:11">
      <c r="A25214" s="30" t="s">
        <v>55513</v>
      </c>
      <c r="B25214" s="30" t="s">
        <v>55514</v>
      </c>
      <c r="C25214" s="30" t="s">
        <v>102</v>
      </c>
      <c r="D25214" s="30" t="s">
        <v>17</v>
      </c>
      <c r="E25214" s="30" t="s">
        <v>18</v>
      </c>
      <c r="F25214" s="30" t="s">
        <v>19</v>
      </c>
      <c r="G25214" s="30" t="s">
        <v>140</v>
      </c>
      <c r="H25214" s="32">
        <v>220</v>
      </c>
      <c r="I25214" s="30" t="s">
        <v>51</v>
      </c>
      <c r="J25214" s="41">
        <v>45910</v>
      </c>
      <c r="K25214" s="30" t="s">
        <v>22</v>
      </c>
    </row>
    <row r="25215" spans="1:11">
      <c r="A25215" s="33" t="s">
        <v>55515</v>
      </c>
      <c r="B25215" s="33" t="s">
        <v>55516</v>
      </c>
      <c r="C25215" s="33" t="s">
        <v>55517</v>
      </c>
      <c r="D25215" s="33" t="s">
        <v>17</v>
      </c>
      <c r="E25215" s="33" t="s">
        <v>212</v>
      </c>
      <c r="F25215" s="33" t="s">
        <v>213</v>
      </c>
      <c r="G25215" s="33" t="s">
        <v>20</v>
      </c>
      <c r="H25215" s="35">
        <v>24</v>
      </c>
      <c r="I25215" s="33" t="s">
        <v>21</v>
      </c>
      <c r="J25215" s="42">
        <v>45690</v>
      </c>
      <c r="K25215" s="33" t="s">
        <v>22</v>
      </c>
    </row>
    <row r="25216" spans="1:11">
      <c r="A25216" s="30" t="s">
        <v>55518</v>
      </c>
      <c r="B25216" s="30" t="s">
        <v>55519</v>
      </c>
      <c r="C25216" s="30" t="s">
        <v>524</v>
      </c>
      <c r="D25216" s="30" t="s">
        <v>17</v>
      </c>
      <c r="E25216" s="30" t="s">
        <v>26</v>
      </c>
      <c r="F25216" s="30" t="s">
        <v>27</v>
      </c>
      <c r="G25216" s="30" t="s">
        <v>20</v>
      </c>
      <c r="H25216" s="32">
        <v>48</v>
      </c>
      <c r="I25216" s="30" t="s">
        <v>21</v>
      </c>
      <c r="J25216" s="41">
        <v>45684</v>
      </c>
      <c r="K25216" s="30" t="s">
        <v>22</v>
      </c>
    </row>
    <row r="25217" spans="1:11">
      <c r="A25217" s="33" t="s">
        <v>55520</v>
      </c>
      <c r="B25217" s="33" t="s">
        <v>55521</v>
      </c>
      <c r="C25217" s="33" t="s">
        <v>21340</v>
      </c>
      <c r="D25217" s="33" t="s">
        <v>17</v>
      </c>
      <c r="E25217" s="33" t="s">
        <v>26</v>
      </c>
      <c r="F25217" s="33" t="s">
        <v>27</v>
      </c>
      <c r="G25217" s="33" t="s">
        <v>140</v>
      </c>
      <c r="H25217" s="35">
        <v>60</v>
      </c>
      <c r="I25217" s="33" t="s">
        <v>51</v>
      </c>
      <c r="J25217" s="42">
        <v>45874</v>
      </c>
      <c r="K25217" s="33" t="s">
        <v>22</v>
      </c>
    </row>
    <row r="25218" spans="1:11">
      <c r="A25218" s="30" t="s">
        <v>55522</v>
      </c>
      <c r="B25218" s="30" t="s">
        <v>55523</v>
      </c>
      <c r="C25218" s="30" t="s">
        <v>149</v>
      </c>
      <c r="D25218" s="30" t="s">
        <v>17</v>
      </c>
      <c r="E25218" s="30" t="s">
        <v>31</v>
      </c>
      <c r="F25218" s="30" t="s">
        <v>32</v>
      </c>
      <c r="G25218" s="30" t="s">
        <v>20</v>
      </c>
      <c r="H25218" s="32">
        <v>70</v>
      </c>
      <c r="I25218" s="30" t="s">
        <v>21</v>
      </c>
      <c r="J25218" s="41">
        <v>45960</v>
      </c>
      <c r="K25218" s="30" t="s">
        <v>22</v>
      </c>
    </row>
    <row r="25219" spans="1:11">
      <c r="A25219" s="33" t="s">
        <v>55524</v>
      </c>
      <c r="B25219" s="33" t="s">
        <v>55525</v>
      </c>
      <c r="C25219" s="33" t="s">
        <v>9835</v>
      </c>
      <c r="D25219" s="33" t="s">
        <v>17</v>
      </c>
      <c r="E25219" s="33" t="s">
        <v>31</v>
      </c>
      <c r="F25219" s="33" t="s">
        <v>32</v>
      </c>
      <c r="G25219" s="33" t="s">
        <v>140</v>
      </c>
      <c r="H25219" s="35">
        <v>50</v>
      </c>
      <c r="I25219" s="33" t="s">
        <v>51</v>
      </c>
      <c r="J25219" s="42">
        <v>45678</v>
      </c>
      <c r="K25219" s="33" t="s">
        <v>22</v>
      </c>
    </row>
    <row r="25220" spans="1:11">
      <c r="A25220" s="30" t="s">
        <v>55526</v>
      </c>
      <c r="B25220" s="30" t="s">
        <v>55527</v>
      </c>
      <c r="C25220" s="30" t="s">
        <v>124</v>
      </c>
      <c r="D25220" s="30" t="s">
        <v>17</v>
      </c>
      <c r="E25220" s="30" t="s">
        <v>31</v>
      </c>
      <c r="F25220" s="30" t="s">
        <v>32</v>
      </c>
      <c r="G25220" s="30" t="s">
        <v>158</v>
      </c>
      <c r="H25220" s="32">
        <v>180</v>
      </c>
      <c r="I25220" s="30" t="s">
        <v>51</v>
      </c>
      <c r="J25220" s="41">
        <v>45882</v>
      </c>
      <c r="K25220" s="30" t="s">
        <v>22</v>
      </c>
    </row>
    <row r="25221" spans="1:11">
      <c r="A25221" s="33" t="s">
        <v>55528</v>
      </c>
      <c r="B25221" s="33" t="s">
        <v>55529</v>
      </c>
      <c r="C25221" s="33" t="s">
        <v>38433</v>
      </c>
      <c r="D25221" s="33" t="s">
        <v>17</v>
      </c>
      <c r="E25221" s="33" t="s">
        <v>67</v>
      </c>
      <c r="F25221" s="33" t="s">
        <v>68</v>
      </c>
      <c r="G25221" s="33" t="s">
        <v>158</v>
      </c>
      <c r="H25221" s="35">
        <v>17</v>
      </c>
      <c r="I25221" s="33" t="s">
        <v>21</v>
      </c>
      <c r="J25221" s="42">
        <v>45809</v>
      </c>
      <c r="K25221" s="33" t="s">
        <v>22</v>
      </c>
    </row>
    <row r="25222" spans="1:11">
      <c r="A25222" s="30" t="s">
        <v>55530</v>
      </c>
      <c r="B25222" s="30" t="s">
        <v>55531</v>
      </c>
      <c r="C25222" s="30" t="s">
        <v>42959</v>
      </c>
      <c r="D25222" s="30" t="s">
        <v>17</v>
      </c>
      <c r="E25222" s="30" t="s">
        <v>212</v>
      </c>
      <c r="F25222" s="30" t="s">
        <v>213</v>
      </c>
      <c r="G25222" s="30" t="s">
        <v>140</v>
      </c>
      <c r="H25222" s="32">
        <v>220</v>
      </c>
      <c r="I25222" s="30" t="s">
        <v>51</v>
      </c>
      <c r="J25222" s="41">
        <v>45810</v>
      </c>
      <c r="K25222" s="30" t="s">
        <v>22</v>
      </c>
    </row>
    <row r="25223" spans="1:11">
      <c r="A25223" s="33" t="s">
        <v>55532</v>
      </c>
      <c r="B25223" s="33" t="s">
        <v>55533</v>
      </c>
      <c r="C25223" s="33" t="s">
        <v>15040</v>
      </c>
      <c r="D25223" s="33" t="s">
        <v>17</v>
      </c>
      <c r="E25223" s="33" t="s">
        <v>31</v>
      </c>
      <c r="F25223" s="33" t="s">
        <v>32</v>
      </c>
      <c r="G25223" s="33" t="s">
        <v>7780</v>
      </c>
      <c r="H25223" s="35">
        <v>204</v>
      </c>
      <c r="I25223" s="33" t="s">
        <v>51</v>
      </c>
      <c r="J25223" s="42">
        <v>45992</v>
      </c>
      <c r="K25223" s="33" t="s">
        <v>22</v>
      </c>
    </row>
    <row r="25224" spans="1:11">
      <c r="A25224" s="30" t="s">
        <v>55534</v>
      </c>
      <c r="B25224" s="30" t="s">
        <v>55535</v>
      </c>
      <c r="C25224" s="30" t="s">
        <v>35982</v>
      </c>
      <c r="D25224" s="30" t="s">
        <v>17</v>
      </c>
      <c r="E25224" s="30" t="s">
        <v>212</v>
      </c>
      <c r="F25224" s="30" t="s">
        <v>213</v>
      </c>
      <c r="G25224" s="30" t="s">
        <v>158</v>
      </c>
      <c r="H25224" s="32">
        <v>200</v>
      </c>
      <c r="I25224" s="30" t="s">
        <v>51</v>
      </c>
      <c r="J25224" s="41">
        <v>45985</v>
      </c>
      <c r="K25224" s="30" t="s">
        <v>22</v>
      </c>
    </row>
    <row r="25225" spans="1:11">
      <c r="A25225" s="33" t="s">
        <v>55536</v>
      </c>
      <c r="B25225" s="33" t="s">
        <v>55537</v>
      </c>
      <c r="C25225" s="33" t="s">
        <v>39363</v>
      </c>
      <c r="D25225" s="33" t="s">
        <v>17</v>
      </c>
      <c r="E25225" s="33" t="s">
        <v>18</v>
      </c>
      <c r="F25225" s="33" t="s">
        <v>19</v>
      </c>
      <c r="G25225" s="33" t="s">
        <v>140</v>
      </c>
      <c r="H25225" s="35">
        <v>660</v>
      </c>
      <c r="I25225" s="33" t="s">
        <v>51</v>
      </c>
      <c r="J25225" s="42">
        <v>45737</v>
      </c>
      <c r="K25225" s="33" t="s">
        <v>22</v>
      </c>
    </row>
    <row r="25226" spans="1:11">
      <c r="A25226" s="30" t="s">
        <v>55538</v>
      </c>
      <c r="B25226" s="30" t="s">
        <v>55539</v>
      </c>
      <c r="C25226" s="30" t="s">
        <v>149</v>
      </c>
      <c r="D25226" s="30" t="s">
        <v>17</v>
      </c>
      <c r="E25226" s="30" t="s">
        <v>31</v>
      </c>
      <c r="F25226" s="30" t="s">
        <v>32</v>
      </c>
      <c r="G25226" s="30" t="s">
        <v>140</v>
      </c>
      <c r="H25226" s="32">
        <v>200</v>
      </c>
      <c r="I25226" s="30" t="s">
        <v>51</v>
      </c>
      <c r="J25226" s="41">
        <v>45973</v>
      </c>
      <c r="K25226" s="30" t="s">
        <v>22</v>
      </c>
    </row>
    <row r="25227" spans="1:11">
      <c r="A25227" s="33" t="s">
        <v>55540</v>
      </c>
      <c r="B25227" s="33" t="s">
        <v>55541</v>
      </c>
      <c r="C25227" s="33" t="s">
        <v>136</v>
      </c>
      <c r="D25227" s="33" t="s">
        <v>17</v>
      </c>
      <c r="E25227" s="33" t="s">
        <v>26</v>
      </c>
      <c r="F25227" s="33" t="s">
        <v>27</v>
      </c>
      <c r="G25227" s="33" t="s">
        <v>158</v>
      </c>
      <c r="H25227" s="35">
        <v>46</v>
      </c>
      <c r="I25227" s="33" t="s">
        <v>51</v>
      </c>
      <c r="J25227" s="42">
        <v>45964</v>
      </c>
      <c r="K25227" s="33" t="s">
        <v>22</v>
      </c>
    </row>
    <row r="25228" spans="1:11">
      <c r="A25228" s="30" t="s">
        <v>55542</v>
      </c>
      <c r="B25228" s="30" t="s">
        <v>55543</v>
      </c>
      <c r="C25228" s="30" t="s">
        <v>12195</v>
      </c>
      <c r="D25228" s="30" t="s">
        <v>17</v>
      </c>
      <c r="E25228" s="30" t="s">
        <v>18</v>
      </c>
      <c r="F25228" s="30" t="s">
        <v>19</v>
      </c>
      <c r="G25228" s="30" t="s">
        <v>20</v>
      </c>
      <c r="H25228" s="32">
        <v>24</v>
      </c>
      <c r="I25228" s="30" t="s">
        <v>21</v>
      </c>
      <c r="J25228" s="41">
        <v>45839</v>
      </c>
      <c r="K25228" s="30" t="s">
        <v>22</v>
      </c>
    </row>
    <row r="25229" spans="1:11">
      <c r="A25229" s="33" t="s">
        <v>55544</v>
      </c>
      <c r="B25229" s="33" t="s">
        <v>55545</v>
      </c>
      <c r="C25229" s="33" t="s">
        <v>25186</v>
      </c>
      <c r="D25229" s="33" t="s">
        <v>17</v>
      </c>
      <c r="E25229" s="33" t="s">
        <v>31</v>
      </c>
      <c r="F25229" s="33" t="s">
        <v>32</v>
      </c>
      <c r="G25229" s="33" t="s">
        <v>140</v>
      </c>
      <c r="H25229" s="35">
        <v>216</v>
      </c>
      <c r="I25229" s="33" t="s">
        <v>51</v>
      </c>
      <c r="J25229" s="42">
        <v>45777</v>
      </c>
      <c r="K25229" s="33" t="s">
        <v>22</v>
      </c>
    </row>
    <row r="25230" spans="1:11">
      <c r="A25230" s="30" t="s">
        <v>55546</v>
      </c>
      <c r="B25230" s="30" t="s">
        <v>55547</v>
      </c>
      <c r="C25230" s="30" t="s">
        <v>5469</v>
      </c>
      <c r="D25230" s="30" t="s">
        <v>17</v>
      </c>
      <c r="E25230" s="30" t="s">
        <v>18</v>
      </c>
      <c r="F25230" s="30" t="s">
        <v>19</v>
      </c>
      <c r="G25230" s="30" t="s">
        <v>140</v>
      </c>
      <c r="H25230" s="32">
        <v>176</v>
      </c>
      <c r="I25230" s="30" t="s">
        <v>51</v>
      </c>
      <c r="J25230" s="41">
        <v>45701</v>
      </c>
      <c r="K25230" s="30" t="s">
        <v>22</v>
      </c>
    </row>
    <row r="25231" spans="1:11">
      <c r="A25231" s="33" t="s">
        <v>55548</v>
      </c>
      <c r="B25231" s="33" t="s">
        <v>55549</v>
      </c>
      <c r="C25231" s="33" t="s">
        <v>12734</v>
      </c>
      <c r="D25231" s="33" t="s">
        <v>17</v>
      </c>
      <c r="E25231" s="33" t="s">
        <v>18</v>
      </c>
      <c r="F25231" s="33" t="s">
        <v>19</v>
      </c>
      <c r="G25231" s="33" t="s">
        <v>158</v>
      </c>
      <c r="H25231" s="35">
        <v>756</v>
      </c>
      <c r="I25231" s="33" t="s">
        <v>51</v>
      </c>
      <c r="J25231" s="42">
        <v>45737</v>
      </c>
      <c r="K25231" s="33" t="s">
        <v>22</v>
      </c>
    </row>
    <row r="25232" spans="1:11">
      <c r="A25232" s="30" t="s">
        <v>55550</v>
      </c>
      <c r="B25232" s="30" t="s">
        <v>55551</v>
      </c>
      <c r="C25232" s="30" t="s">
        <v>1130</v>
      </c>
      <c r="D25232" s="30" t="s">
        <v>17</v>
      </c>
      <c r="E25232" s="30" t="s">
        <v>31</v>
      </c>
      <c r="F25232" s="30" t="s">
        <v>32</v>
      </c>
      <c r="G25232" s="30" t="s">
        <v>140</v>
      </c>
      <c r="H25232" s="32">
        <v>200</v>
      </c>
      <c r="I25232" s="30" t="s">
        <v>51</v>
      </c>
      <c r="J25232" s="41">
        <v>45842</v>
      </c>
      <c r="K25232" s="30" t="s">
        <v>22</v>
      </c>
    </row>
    <row r="25233" spans="1:11">
      <c r="A25233" s="33" t="s">
        <v>55552</v>
      </c>
      <c r="B25233" s="33" t="s">
        <v>55553</v>
      </c>
      <c r="C25233" s="33" t="s">
        <v>29693</v>
      </c>
      <c r="D25233" s="33" t="s">
        <v>17</v>
      </c>
      <c r="E25233" s="33" t="s">
        <v>67</v>
      </c>
      <c r="F25233" s="33" t="s">
        <v>68</v>
      </c>
      <c r="G25233" s="33" t="s">
        <v>140</v>
      </c>
      <c r="H25233" s="35">
        <v>107</v>
      </c>
      <c r="I25233" s="33" t="s">
        <v>51</v>
      </c>
      <c r="J25233" s="42">
        <v>45782</v>
      </c>
      <c r="K25233" s="33" t="s">
        <v>22</v>
      </c>
    </row>
    <row r="25234" spans="1:11">
      <c r="A25234" s="30" t="s">
        <v>55554</v>
      </c>
      <c r="B25234" s="30" t="s">
        <v>55555</v>
      </c>
      <c r="C25234" s="30" t="s">
        <v>9605</v>
      </c>
      <c r="D25234" s="30" t="s">
        <v>17</v>
      </c>
      <c r="E25234" s="30" t="s">
        <v>67</v>
      </c>
      <c r="F25234" s="30" t="s">
        <v>68</v>
      </c>
      <c r="G25234" s="30" t="s">
        <v>140</v>
      </c>
      <c r="H25234" s="32">
        <v>80</v>
      </c>
      <c r="I25234" s="30" t="s">
        <v>51</v>
      </c>
      <c r="J25234" s="41">
        <v>45897</v>
      </c>
      <c r="K25234" s="30" t="s">
        <v>22</v>
      </c>
    </row>
    <row r="25235" spans="1:11">
      <c r="A25235" s="33" t="s">
        <v>55556</v>
      </c>
      <c r="B25235" s="33" t="s">
        <v>55557</v>
      </c>
      <c r="C25235" s="33" t="s">
        <v>698</v>
      </c>
      <c r="D25235" s="33" t="s">
        <v>17</v>
      </c>
      <c r="E25235" s="33" t="s">
        <v>31</v>
      </c>
      <c r="F25235" s="33" t="s">
        <v>32</v>
      </c>
      <c r="G25235" s="33" t="s">
        <v>7780</v>
      </c>
      <c r="H25235" s="35">
        <v>150</v>
      </c>
      <c r="I25235" s="33" t="s">
        <v>51</v>
      </c>
      <c r="J25235" s="42">
        <v>45748</v>
      </c>
      <c r="K25235" s="33" t="s">
        <v>22</v>
      </c>
    </row>
    <row r="25236" spans="1:11">
      <c r="A25236" s="30" t="s">
        <v>55558</v>
      </c>
      <c r="B25236" s="30" t="s">
        <v>55559</v>
      </c>
      <c r="C25236" s="30" t="s">
        <v>2839</v>
      </c>
      <c r="D25236" s="30" t="s">
        <v>17</v>
      </c>
      <c r="E25236" s="30" t="s">
        <v>26</v>
      </c>
      <c r="F25236" s="30" t="s">
        <v>27</v>
      </c>
      <c r="G25236" s="30" t="s">
        <v>140</v>
      </c>
      <c r="H25236" s="32">
        <v>96</v>
      </c>
      <c r="I25236" s="30" t="s">
        <v>51</v>
      </c>
      <c r="J25236" s="41">
        <v>45868</v>
      </c>
      <c r="K25236" s="30" t="s">
        <v>22</v>
      </c>
    </row>
    <row r="25237" spans="1:11">
      <c r="A25237" s="33" t="s">
        <v>55560</v>
      </c>
      <c r="B25237" s="33" t="s">
        <v>55561</v>
      </c>
      <c r="C25237" s="33" t="s">
        <v>644</v>
      </c>
      <c r="D25237" s="33" t="s">
        <v>17</v>
      </c>
      <c r="E25237" s="33" t="s">
        <v>31</v>
      </c>
      <c r="F25237" s="33" t="s">
        <v>32</v>
      </c>
      <c r="G25237" s="33" t="s">
        <v>140</v>
      </c>
      <c r="H25237" s="35">
        <v>40</v>
      </c>
      <c r="I25237" s="33" t="s">
        <v>51</v>
      </c>
      <c r="J25237" s="42">
        <v>45698</v>
      </c>
      <c r="K25237" s="33" t="s">
        <v>22</v>
      </c>
    </row>
    <row r="25238" spans="1:11">
      <c r="A25238" s="30" t="s">
        <v>55562</v>
      </c>
      <c r="B25238" s="30" t="s">
        <v>55563</v>
      </c>
      <c r="C25238" s="30" t="s">
        <v>190</v>
      </c>
      <c r="D25238" s="30" t="s">
        <v>17</v>
      </c>
      <c r="E25238" s="30" t="s">
        <v>18</v>
      </c>
      <c r="F25238" s="30" t="s">
        <v>19</v>
      </c>
      <c r="G25238" s="30" t="s">
        <v>140</v>
      </c>
      <c r="H25238" s="32">
        <v>15100</v>
      </c>
      <c r="I25238" s="30" t="s">
        <v>51</v>
      </c>
      <c r="J25238" s="41">
        <v>45812</v>
      </c>
      <c r="K25238" s="30" t="s">
        <v>22</v>
      </c>
    </row>
    <row r="25239" spans="1:11">
      <c r="A25239" s="33" t="s">
        <v>55564</v>
      </c>
      <c r="B25239" s="33" t="s">
        <v>55565</v>
      </c>
      <c r="C25239" s="33" t="s">
        <v>3451</v>
      </c>
      <c r="D25239" s="33" t="s">
        <v>17</v>
      </c>
      <c r="E25239" s="33" t="s">
        <v>31</v>
      </c>
      <c r="F25239" s="33" t="s">
        <v>32</v>
      </c>
      <c r="G25239" s="33" t="s">
        <v>7780</v>
      </c>
      <c r="H25239" s="35">
        <v>285</v>
      </c>
      <c r="I25239" s="33" t="s">
        <v>51</v>
      </c>
      <c r="J25239" s="42">
        <v>45700</v>
      </c>
      <c r="K25239" s="33" t="s">
        <v>22</v>
      </c>
    </row>
    <row r="25240" spans="1:11">
      <c r="A25240" s="30" t="s">
        <v>55566</v>
      </c>
      <c r="B25240" s="30" t="s">
        <v>55567</v>
      </c>
      <c r="C25240" s="30" t="s">
        <v>190</v>
      </c>
      <c r="D25240" s="30" t="s">
        <v>17</v>
      </c>
      <c r="E25240" s="30" t="s">
        <v>26</v>
      </c>
      <c r="F25240" s="30" t="s">
        <v>27</v>
      </c>
      <c r="G25240" s="30" t="s">
        <v>140</v>
      </c>
      <c r="H25240" s="32">
        <v>176</v>
      </c>
      <c r="I25240" s="30" t="s">
        <v>51</v>
      </c>
      <c r="J25240" s="41">
        <v>46001</v>
      </c>
      <c r="K25240" s="30" t="s">
        <v>22</v>
      </c>
    </row>
    <row r="25241" spans="1:11">
      <c r="A25241" s="33" t="s">
        <v>55568</v>
      </c>
      <c r="B25241" s="33" t="s">
        <v>55569</v>
      </c>
      <c r="C25241" s="33" t="s">
        <v>20363</v>
      </c>
      <c r="D25241" s="33" t="s">
        <v>17</v>
      </c>
      <c r="E25241" s="33" t="s">
        <v>26</v>
      </c>
      <c r="F25241" s="33" t="s">
        <v>27</v>
      </c>
      <c r="G25241" s="33" t="s">
        <v>140</v>
      </c>
      <c r="H25241" s="35">
        <v>100</v>
      </c>
      <c r="I25241" s="33" t="s">
        <v>51</v>
      </c>
      <c r="J25241" s="42">
        <v>45771</v>
      </c>
      <c r="K25241" s="33" t="s">
        <v>22</v>
      </c>
    </row>
    <row r="25242" spans="1:11">
      <c r="A25242" s="30" t="s">
        <v>55570</v>
      </c>
      <c r="B25242" s="30" t="s">
        <v>55571</v>
      </c>
      <c r="C25242" s="30" t="s">
        <v>1237</v>
      </c>
      <c r="D25242" s="30" t="s">
        <v>17</v>
      </c>
      <c r="E25242" s="30" t="s">
        <v>31</v>
      </c>
      <c r="F25242" s="30" t="s">
        <v>32</v>
      </c>
      <c r="G25242" s="30" t="s">
        <v>2613</v>
      </c>
      <c r="H25242" s="32">
        <v>60</v>
      </c>
      <c r="I25242" s="30" t="s">
        <v>51</v>
      </c>
      <c r="J25242" s="41">
        <v>45883</v>
      </c>
      <c r="K25242" s="30" t="s">
        <v>22</v>
      </c>
    </row>
    <row r="25243" spans="1:11">
      <c r="A25243" s="33" t="s">
        <v>55572</v>
      </c>
      <c r="B25243" s="33" t="s">
        <v>55573</v>
      </c>
      <c r="C25243" s="33" t="s">
        <v>136</v>
      </c>
      <c r="D25243" s="33" t="s">
        <v>17</v>
      </c>
      <c r="E25243" s="33" t="s">
        <v>26</v>
      </c>
      <c r="F25243" s="33" t="s">
        <v>27</v>
      </c>
      <c r="G25243" s="33" t="s">
        <v>140</v>
      </c>
      <c r="H25243" s="35">
        <v>32</v>
      </c>
      <c r="I25243" s="33" t="s">
        <v>51</v>
      </c>
      <c r="J25243" s="42">
        <v>45950</v>
      </c>
      <c r="K25243" s="33" t="s">
        <v>22</v>
      </c>
    </row>
    <row r="25244" spans="1:11">
      <c r="A25244" s="30" t="s">
        <v>55574</v>
      </c>
      <c r="B25244" s="30" t="s">
        <v>55575</v>
      </c>
      <c r="C25244" s="30" t="s">
        <v>6595</v>
      </c>
      <c r="D25244" s="30" t="s">
        <v>17</v>
      </c>
      <c r="E25244" s="30" t="s">
        <v>31</v>
      </c>
      <c r="F25244" s="30" t="s">
        <v>32</v>
      </c>
      <c r="G25244" s="30" t="s">
        <v>140</v>
      </c>
      <c r="H25244" s="32">
        <v>20</v>
      </c>
      <c r="I25244" s="30" t="s">
        <v>51</v>
      </c>
      <c r="J25244" s="41">
        <v>45687</v>
      </c>
      <c r="K25244" s="30" t="s">
        <v>22</v>
      </c>
    </row>
    <row r="25245" spans="1:11">
      <c r="A25245" s="33" t="s">
        <v>55576</v>
      </c>
      <c r="B25245" s="33" t="s">
        <v>55577</v>
      </c>
      <c r="C25245" s="33" t="s">
        <v>48199</v>
      </c>
      <c r="D25245" s="33" t="s">
        <v>17</v>
      </c>
      <c r="E25245" s="33" t="s">
        <v>26</v>
      </c>
      <c r="F25245" s="33" t="s">
        <v>27</v>
      </c>
      <c r="G25245" s="33" t="s">
        <v>140</v>
      </c>
      <c r="H25245" s="35">
        <v>40</v>
      </c>
      <c r="I25245" s="33" t="s">
        <v>51</v>
      </c>
      <c r="J25245" s="42">
        <v>46016</v>
      </c>
      <c r="K25245" s="33" t="s">
        <v>22</v>
      </c>
    </row>
    <row r="25246" spans="1:11">
      <c r="A25246" s="30" t="s">
        <v>55578</v>
      </c>
      <c r="B25246" s="30" t="s">
        <v>55579</v>
      </c>
      <c r="C25246" s="30" t="s">
        <v>136</v>
      </c>
      <c r="D25246" s="30" t="s">
        <v>17</v>
      </c>
      <c r="E25246" s="30" t="s">
        <v>31</v>
      </c>
      <c r="F25246" s="30" t="s">
        <v>32</v>
      </c>
      <c r="G25246" s="30" t="s">
        <v>140</v>
      </c>
      <c r="H25246" s="32">
        <v>204</v>
      </c>
      <c r="I25246" s="30" t="s">
        <v>51</v>
      </c>
      <c r="J25246" s="41">
        <v>45989</v>
      </c>
      <c r="K25246" s="30" t="s">
        <v>22</v>
      </c>
    </row>
    <row r="25247" spans="1:11">
      <c r="A25247" s="33" t="s">
        <v>55580</v>
      </c>
      <c r="B25247" s="33" t="s">
        <v>55581</v>
      </c>
      <c r="C25247" s="33" t="s">
        <v>96</v>
      </c>
      <c r="D25247" s="33" t="s">
        <v>17</v>
      </c>
      <c r="E25247" s="33" t="s">
        <v>26</v>
      </c>
      <c r="F25247" s="33" t="s">
        <v>27</v>
      </c>
      <c r="G25247" s="33" t="s">
        <v>158</v>
      </c>
      <c r="H25247" s="35">
        <v>380</v>
      </c>
      <c r="I25247" s="33" t="s">
        <v>21</v>
      </c>
      <c r="J25247" s="42">
        <v>45860</v>
      </c>
      <c r="K25247" s="33" t="s">
        <v>22</v>
      </c>
    </row>
    <row r="25248" spans="1:11">
      <c r="A25248" s="30" t="s">
        <v>55582</v>
      </c>
      <c r="B25248" s="30" t="s">
        <v>55583</v>
      </c>
      <c r="C25248" s="30" t="s">
        <v>318</v>
      </c>
      <c r="D25248" s="30" t="s">
        <v>17</v>
      </c>
      <c r="E25248" s="30" t="s">
        <v>26</v>
      </c>
      <c r="F25248" s="30" t="s">
        <v>27</v>
      </c>
      <c r="G25248" s="30" t="s">
        <v>158</v>
      </c>
      <c r="H25248" s="32">
        <v>56</v>
      </c>
      <c r="I25248" s="30" t="s">
        <v>21</v>
      </c>
      <c r="J25248" s="41">
        <v>45874</v>
      </c>
      <c r="K25248" s="30" t="s">
        <v>22</v>
      </c>
    </row>
    <row r="25249" spans="1:11">
      <c r="A25249" s="33" t="s">
        <v>55584</v>
      </c>
      <c r="B25249" s="33" t="s">
        <v>55585</v>
      </c>
      <c r="C25249" s="33" t="s">
        <v>55586</v>
      </c>
      <c r="D25249" s="33" t="s">
        <v>17</v>
      </c>
      <c r="E25249" s="33" t="s">
        <v>18</v>
      </c>
      <c r="F25249" s="33" t="s">
        <v>19</v>
      </c>
      <c r="G25249" s="33" t="s">
        <v>140</v>
      </c>
      <c r="H25249" s="35">
        <v>1458</v>
      </c>
      <c r="I25249" s="33" t="s">
        <v>51</v>
      </c>
      <c r="J25249" s="42">
        <v>45748</v>
      </c>
      <c r="K25249" s="33" t="s">
        <v>22</v>
      </c>
    </row>
    <row r="25250" spans="1:11">
      <c r="A25250" s="30" t="s">
        <v>55587</v>
      </c>
      <c r="B25250" s="30" t="s">
        <v>55588</v>
      </c>
      <c r="C25250" s="30" t="s">
        <v>1498</v>
      </c>
      <c r="D25250" s="30" t="s">
        <v>17</v>
      </c>
      <c r="E25250" s="30" t="s">
        <v>18</v>
      </c>
      <c r="F25250" s="30" t="s">
        <v>19</v>
      </c>
      <c r="G25250" s="30" t="s">
        <v>158</v>
      </c>
      <c r="H25250" s="32">
        <v>225</v>
      </c>
      <c r="I25250" s="30" t="s">
        <v>21</v>
      </c>
      <c r="J25250" s="41">
        <v>45687</v>
      </c>
      <c r="K25250" s="30" t="s">
        <v>22</v>
      </c>
    </row>
    <row r="25251" spans="1:11">
      <c r="A25251" s="33" t="s">
        <v>55589</v>
      </c>
      <c r="B25251" s="33" t="s">
        <v>55590</v>
      </c>
      <c r="C25251" s="33" t="s">
        <v>55591</v>
      </c>
      <c r="D25251" s="33" t="s">
        <v>17</v>
      </c>
      <c r="E25251" s="33" t="s">
        <v>67</v>
      </c>
      <c r="F25251" s="33" t="s">
        <v>68</v>
      </c>
      <c r="G25251" s="33" t="s">
        <v>7780</v>
      </c>
      <c r="H25251" s="35">
        <v>41</v>
      </c>
      <c r="I25251" s="33" t="s">
        <v>51</v>
      </c>
      <c r="J25251" s="42">
        <v>45901</v>
      </c>
      <c r="K25251" s="33" t="s">
        <v>22</v>
      </c>
    </row>
    <row r="25252" spans="1:11">
      <c r="A25252" s="30" t="s">
        <v>55592</v>
      </c>
      <c r="B25252" s="30" t="s">
        <v>55593</v>
      </c>
      <c r="C25252" s="30" t="s">
        <v>27827</v>
      </c>
      <c r="D25252" s="30" t="s">
        <v>17</v>
      </c>
      <c r="E25252" s="30" t="s">
        <v>67</v>
      </c>
      <c r="F25252" s="30" t="s">
        <v>68</v>
      </c>
      <c r="G25252" s="30" t="s">
        <v>140</v>
      </c>
      <c r="H25252" s="32">
        <v>52</v>
      </c>
      <c r="I25252" s="30" t="s">
        <v>51</v>
      </c>
      <c r="J25252" s="41">
        <v>45817</v>
      </c>
      <c r="K25252" s="30" t="s">
        <v>22</v>
      </c>
    </row>
    <row r="25253" spans="1:11">
      <c r="A25253" s="33" t="s">
        <v>55594</v>
      </c>
      <c r="B25253" s="33" t="s">
        <v>55595</v>
      </c>
      <c r="C25253" s="33" t="s">
        <v>42408</v>
      </c>
      <c r="D25253" s="33" t="s">
        <v>17</v>
      </c>
      <c r="E25253" s="33" t="s">
        <v>67</v>
      </c>
      <c r="F25253" s="33" t="s">
        <v>68</v>
      </c>
      <c r="G25253" s="33" t="s">
        <v>140</v>
      </c>
      <c r="H25253" s="35">
        <v>32</v>
      </c>
      <c r="I25253" s="33" t="s">
        <v>51</v>
      </c>
      <c r="J25253" s="42">
        <v>45894</v>
      </c>
      <c r="K25253" s="33" t="s">
        <v>22</v>
      </c>
    </row>
    <row r="25254" spans="1:11">
      <c r="A25254" s="30" t="s">
        <v>55596</v>
      </c>
      <c r="B25254" s="30" t="s">
        <v>55597</v>
      </c>
      <c r="C25254" s="30" t="s">
        <v>990</v>
      </c>
      <c r="D25254" s="30" t="s">
        <v>17</v>
      </c>
      <c r="E25254" s="30" t="s">
        <v>26</v>
      </c>
      <c r="F25254" s="30" t="s">
        <v>27</v>
      </c>
      <c r="G25254" s="30" t="s">
        <v>20</v>
      </c>
      <c r="H25254" s="32">
        <v>47</v>
      </c>
      <c r="I25254" s="30" t="s">
        <v>21</v>
      </c>
      <c r="J25254" s="41">
        <v>45726</v>
      </c>
      <c r="K25254" s="30" t="s">
        <v>22</v>
      </c>
    </row>
    <row r="25255" spans="1:11">
      <c r="A25255" s="33" t="s">
        <v>55598</v>
      </c>
      <c r="B25255" s="33" t="s">
        <v>55599</v>
      </c>
      <c r="C25255" s="33" t="s">
        <v>4348</v>
      </c>
      <c r="D25255" s="33" t="s">
        <v>17</v>
      </c>
      <c r="E25255" s="33" t="s">
        <v>26</v>
      </c>
      <c r="F25255" s="33" t="s">
        <v>27</v>
      </c>
      <c r="G25255" s="33" t="s">
        <v>140</v>
      </c>
      <c r="H25255" s="35">
        <v>22</v>
      </c>
      <c r="I25255" s="33" t="s">
        <v>51</v>
      </c>
      <c r="J25255" s="42">
        <v>45659</v>
      </c>
      <c r="K25255" s="33" t="s">
        <v>22</v>
      </c>
    </row>
    <row r="25256" spans="1:11">
      <c r="A25256" s="30" t="s">
        <v>55600</v>
      </c>
      <c r="B25256" s="30" t="s">
        <v>55601</v>
      </c>
      <c r="C25256" s="30" t="s">
        <v>23400</v>
      </c>
      <c r="D25256" s="30" t="s">
        <v>17</v>
      </c>
      <c r="E25256" s="30" t="s">
        <v>26</v>
      </c>
      <c r="F25256" s="30" t="s">
        <v>27</v>
      </c>
      <c r="G25256" s="30" t="s">
        <v>20</v>
      </c>
      <c r="H25256" s="32">
        <v>32</v>
      </c>
      <c r="I25256" s="30" t="s">
        <v>21</v>
      </c>
      <c r="J25256" s="41">
        <v>45719</v>
      </c>
      <c r="K25256" s="30" t="s">
        <v>22</v>
      </c>
    </row>
    <row r="25257" spans="1:11">
      <c r="A25257" s="33" t="s">
        <v>55602</v>
      </c>
      <c r="B25257" s="33" t="s">
        <v>55603</v>
      </c>
      <c r="C25257" s="33" t="s">
        <v>15585</v>
      </c>
      <c r="D25257" s="33" t="s">
        <v>17</v>
      </c>
      <c r="E25257" s="33" t="s">
        <v>26</v>
      </c>
      <c r="F25257" s="33" t="s">
        <v>27</v>
      </c>
      <c r="G25257" s="33" t="s">
        <v>20</v>
      </c>
      <c r="H25257" s="35">
        <v>102</v>
      </c>
      <c r="I25257" s="33" t="s">
        <v>21</v>
      </c>
      <c r="J25257" s="42">
        <v>45673</v>
      </c>
      <c r="K25257" s="33" t="s">
        <v>22</v>
      </c>
    </row>
    <row r="25258" spans="1:11">
      <c r="A25258" s="30" t="s">
        <v>55604</v>
      </c>
      <c r="B25258" s="30" t="s">
        <v>55605</v>
      </c>
      <c r="C25258" s="30" t="s">
        <v>35160</v>
      </c>
      <c r="D25258" s="30" t="s">
        <v>17</v>
      </c>
      <c r="E25258" s="30" t="s">
        <v>31</v>
      </c>
      <c r="F25258" s="30" t="s">
        <v>32</v>
      </c>
      <c r="G25258" s="30" t="s">
        <v>140</v>
      </c>
      <c r="H25258" s="32">
        <v>50</v>
      </c>
      <c r="I25258" s="30" t="s">
        <v>51</v>
      </c>
      <c r="J25258" s="41">
        <v>45832</v>
      </c>
      <c r="K25258" s="30" t="s">
        <v>22</v>
      </c>
    </row>
    <row r="25259" spans="1:11">
      <c r="A25259" s="33" t="s">
        <v>55606</v>
      </c>
      <c r="B25259" s="33" t="s">
        <v>55607</v>
      </c>
      <c r="C25259" s="33" t="s">
        <v>55608</v>
      </c>
      <c r="D25259" s="33" t="s">
        <v>17</v>
      </c>
      <c r="E25259" s="33" t="s">
        <v>26</v>
      </c>
      <c r="F25259" s="33" t="s">
        <v>27</v>
      </c>
      <c r="G25259" s="33" t="s">
        <v>140</v>
      </c>
      <c r="H25259" s="35">
        <v>160</v>
      </c>
      <c r="I25259" s="33" t="s">
        <v>51</v>
      </c>
      <c r="J25259" s="42">
        <v>45754</v>
      </c>
      <c r="K25259" s="33" t="s">
        <v>22</v>
      </c>
    </row>
    <row r="25260" spans="1:11">
      <c r="A25260" s="30" t="s">
        <v>55609</v>
      </c>
      <c r="B25260" s="30" t="s">
        <v>55610</v>
      </c>
      <c r="C25260" s="30" t="s">
        <v>136</v>
      </c>
      <c r="D25260" s="30" t="s">
        <v>17</v>
      </c>
      <c r="E25260" s="30" t="s">
        <v>26</v>
      </c>
      <c r="F25260" s="30" t="s">
        <v>27</v>
      </c>
      <c r="G25260" s="30" t="s">
        <v>140</v>
      </c>
      <c r="H25260" s="32">
        <v>41</v>
      </c>
      <c r="I25260" s="30" t="s">
        <v>51</v>
      </c>
      <c r="J25260" s="41">
        <v>46013</v>
      </c>
      <c r="K25260" s="30" t="s">
        <v>22</v>
      </c>
    </row>
    <row r="25261" spans="1:11">
      <c r="A25261" s="33" t="s">
        <v>55611</v>
      </c>
      <c r="B25261" s="33" t="s">
        <v>55612</v>
      </c>
      <c r="C25261" s="33" t="s">
        <v>9464</v>
      </c>
      <c r="D25261" s="33" t="s">
        <v>17</v>
      </c>
      <c r="E25261" s="33" t="s">
        <v>18</v>
      </c>
      <c r="F25261" s="33" t="s">
        <v>19</v>
      </c>
      <c r="G25261" s="33" t="s">
        <v>140</v>
      </c>
      <c r="H25261" s="35">
        <v>500</v>
      </c>
      <c r="I25261" s="33" t="s">
        <v>51</v>
      </c>
      <c r="J25261" s="42">
        <v>45868</v>
      </c>
      <c r="K25261" s="33" t="s">
        <v>22</v>
      </c>
    </row>
    <row r="25262" spans="1:11">
      <c r="A25262" s="30" t="s">
        <v>55613</v>
      </c>
      <c r="B25262" s="30" t="s">
        <v>55614</v>
      </c>
      <c r="C25262" s="30" t="s">
        <v>14580</v>
      </c>
      <c r="D25262" s="30" t="s">
        <v>17</v>
      </c>
      <c r="E25262" s="30" t="s">
        <v>26</v>
      </c>
      <c r="F25262" s="30" t="s">
        <v>27</v>
      </c>
      <c r="G25262" s="30" t="s">
        <v>7780</v>
      </c>
      <c r="H25262" s="32">
        <v>50</v>
      </c>
      <c r="I25262" s="30" t="s">
        <v>51</v>
      </c>
      <c r="J25262" s="41">
        <v>45869</v>
      </c>
      <c r="K25262" s="30" t="s">
        <v>22</v>
      </c>
    </row>
    <row r="25263" spans="1:11">
      <c r="A25263" s="33" t="s">
        <v>55615</v>
      </c>
      <c r="B25263" s="33" t="s">
        <v>55616</v>
      </c>
      <c r="C25263" s="33" t="s">
        <v>1295</v>
      </c>
      <c r="D25263" s="33" t="s">
        <v>17</v>
      </c>
      <c r="E25263" s="33" t="s">
        <v>18</v>
      </c>
      <c r="F25263" s="33" t="s">
        <v>19</v>
      </c>
      <c r="G25263" s="33" t="s">
        <v>158</v>
      </c>
      <c r="H25263" s="35">
        <v>360</v>
      </c>
      <c r="I25263" s="33" t="s">
        <v>51</v>
      </c>
      <c r="J25263" s="42">
        <v>46013</v>
      </c>
      <c r="K25263" s="33" t="s">
        <v>22</v>
      </c>
    </row>
    <row r="25264" spans="1:11">
      <c r="A25264" s="30" t="s">
        <v>55617</v>
      </c>
      <c r="B25264" s="30" t="s">
        <v>55618</v>
      </c>
      <c r="C25264" s="30" t="s">
        <v>44</v>
      </c>
      <c r="D25264" s="30" t="s">
        <v>17</v>
      </c>
      <c r="E25264" s="30" t="s">
        <v>18</v>
      </c>
      <c r="F25264" s="30" t="s">
        <v>19</v>
      </c>
      <c r="G25264" s="30" t="s">
        <v>140</v>
      </c>
      <c r="H25264" s="32">
        <v>2000</v>
      </c>
      <c r="I25264" s="30" t="s">
        <v>51</v>
      </c>
      <c r="J25264" s="41">
        <v>45833</v>
      </c>
      <c r="K25264" s="30" t="s">
        <v>22</v>
      </c>
    </row>
    <row r="25265" spans="1:11">
      <c r="A25265" s="33" t="s">
        <v>55619</v>
      </c>
      <c r="B25265" s="33" t="s">
        <v>55620</v>
      </c>
      <c r="C25265" s="33" t="s">
        <v>190</v>
      </c>
      <c r="D25265" s="33" t="s">
        <v>17</v>
      </c>
      <c r="E25265" s="33" t="s">
        <v>26</v>
      </c>
      <c r="F25265" s="33" t="s">
        <v>27</v>
      </c>
      <c r="G25265" s="33" t="s">
        <v>20</v>
      </c>
      <c r="H25265" s="35">
        <v>16</v>
      </c>
      <c r="I25265" s="33" t="s">
        <v>21</v>
      </c>
      <c r="J25265" s="42">
        <v>45785</v>
      </c>
      <c r="K25265" s="33" t="s">
        <v>22</v>
      </c>
    </row>
    <row r="25266" spans="1:11">
      <c r="A25266" s="30" t="s">
        <v>55621</v>
      </c>
      <c r="B25266" s="30" t="s">
        <v>55622</v>
      </c>
      <c r="C25266" s="30" t="s">
        <v>647</v>
      </c>
      <c r="D25266" s="30" t="s">
        <v>17</v>
      </c>
      <c r="E25266" s="30" t="s">
        <v>31</v>
      </c>
      <c r="F25266" s="30" t="s">
        <v>32</v>
      </c>
      <c r="G25266" s="30" t="s">
        <v>140</v>
      </c>
      <c r="H25266" s="32">
        <v>90</v>
      </c>
      <c r="I25266" s="30" t="s">
        <v>51</v>
      </c>
      <c r="J25266" s="41">
        <v>45746</v>
      </c>
      <c r="K25266" s="30" t="s">
        <v>22</v>
      </c>
    </row>
    <row r="25267" spans="1:11">
      <c r="A25267" s="33" t="s">
        <v>55623</v>
      </c>
      <c r="B25267" s="33" t="s">
        <v>55624</v>
      </c>
      <c r="C25267" s="33" t="s">
        <v>27241</v>
      </c>
      <c r="D25267" s="33" t="s">
        <v>17</v>
      </c>
      <c r="E25267" s="33" t="s">
        <v>26</v>
      </c>
      <c r="F25267" s="33" t="s">
        <v>27</v>
      </c>
      <c r="G25267" s="33" t="s">
        <v>7780</v>
      </c>
      <c r="H25267" s="35">
        <v>48</v>
      </c>
      <c r="I25267" s="33" t="s">
        <v>51</v>
      </c>
      <c r="J25267" s="42">
        <v>45962</v>
      </c>
      <c r="K25267" s="33" t="s">
        <v>22</v>
      </c>
    </row>
    <row r="25268" spans="1:11">
      <c r="A25268" s="30" t="s">
        <v>55625</v>
      </c>
      <c r="B25268" s="30" t="s">
        <v>55626</v>
      </c>
      <c r="C25268" s="30" t="s">
        <v>3429</v>
      </c>
      <c r="D25268" s="30" t="s">
        <v>17</v>
      </c>
      <c r="E25268" s="30" t="s">
        <v>26</v>
      </c>
      <c r="F25268" s="30" t="s">
        <v>27</v>
      </c>
      <c r="G25268" s="30" t="s">
        <v>20</v>
      </c>
      <c r="H25268" s="32">
        <v>14</v>
      </c>
      <c r="I25268" s="30" t="s">
        <v>21</v>
      </c>
      <c r="J25268" s="41">
        <v>45798</v>
      </c>
      <c r="K25268" s="30" t="s">
        <v>22</v>
      </c>
    </row>
    <row r="25269" spans="1:11">
      <c r="A25269" s="33" t="s">
        <v>55627</v>
      </c>
      <c r="B25269" s="33" t="s">
        <v>55628</v>
      </c>
      <c r="C25269" s="33" t="s">
        <v>1003</v>
      </c>
      <c r="D25269" s="33" t="s">
        <v>17</v>
      </c>
      <c r="E25269" s="33" t="s">
        <v>67</v>
      </c>
      <c r="F25269" s="33" t="s">
        <v>68</v>
      </c>
      <c r="G25269" s="33" t="s">
        <v>140</v>
      </c>
      <c r="H25269" s="35">
        <v>50</v>
      </c>
      <c r="I25269" s="33" t="s">
        <v>51</v>
      </c>
      <c r="J25269" s="42">
        <v>45800</v>
      </c>
      <c r="K25269" s="33" t="s">
        <v>22</v>
      </c>
    </row>
    <row r="25270" spans="1:11">
      <c r="A25270" s="30" t="s">
        <v>55629</v>
      </c>
      <c r="B25270" s="30" t="s">
        <v>55630</v>
      </c>
      <c r="C25270" s="30" t="s">
        <v>1571</v>
      </c>
      <c r="D25270" s="30" t="s">
        <v>17</v>
      </c>
      <c r="E25270" s="30" t="s">
        <v>67</v>
      </c>
      <c r="F25270" s="30" t="s">
        <v>68</v>
      </c>
      <c r="G25270" s="30" t="s">
        <v>7780</v>
      </c>
      <c r="H25270" s="32">
        <v>110</v>
      </c>
      <c r="I25270" s="30" t="s">
        <v>51</v>
      </c>
      <c r="J25270" s="41">
        <v>46001</v>
      </c>
      <c r="K25270" s="30" t="s">
        <v>22</v>
      </c>
    </row>
    <row r="25271" spans="1:11">
      <c r="A25271" s="33" t="s">
        <v>55631</v>
      </c>
      <c r="B25271" s="33" t="s">
        <v>55632</v>
      </c>
      <c r="C25271" s="33" t="s">
        <v>96</v>
      </c>
      <c r="D25271" s="33" t="s">
        <v>17</v>
      </c>
      <c r="E25271" s="33" t="s">
        <v>18</v>
      </c>
      <c r="F25271" s="33" t="s">
        <v>19</v>
      </c>
      <c r="G25271" s="33" t="s">
        <v>140</v>
      </c>
      <c r="H25271" s="35">
        <v>800</v>
      </c>
      <c r="I25271" s="33" t="s">
        <v>51</v>
      </c>
      <c r="J25271" s="42">
        <v>46002</v>
      </c>
      <c r="K25271" s="33" t="s">
        <v>22</v>
      </c>
    </row>
    <row r="25272" spans="1:11">
      <c r="A25272" s="30" t="s">
        <v>55633</v>
      </c>
      <c r="B25272" s="30" t="s">
        <v>55634</v>
      </c>
      <c r="C25272" s="30" t="s">
        <v>14842</v>
      </c>
      <c r="D25272" s="30" t="s">
        <v>17</v>
      </c>
      <c r="E25272" s="30" t="s">
        <v>18</v>
      </c>
      <c r="F25272" s="30" t="s">
        <v>19</v>
      </c>
      <c r="G25272" s="30" t="s">
        <v>140</v>
      </c>
      <c r="H25272" s="32">
        <v>514</v>
      </c>
      <c r="I25272" s="30" t="s">
        <v>51</v>
      </c>
      <c r="J25272" s="41">
        <v>45862</v>
      </c>
      <c r="K25272" s="30" t="s">
        <v>22</v>
      </c>
    </row>
    <row r="25273" spans="1:11">
      <c r="A25273" s="33" t="s">
        <v>55635</v>
      </c>
      <c r="B25273" s="33" t="s">
        <v>55636</v>
      </c>
      <c r="C25273" s="33" t="s">
        <v>1504</v>
      </c>
      <c r="D25273" s="33" t="s">
        <v>17</v>
      </c>
      <c r="E25273" s="33" t="s">
        <v>67</v>
      </c>
      <c r="F25273" s="33" t="s">
        <v>68</v>
      </c>
      <c r="G25273" s="33" t="s">
        <v>7780</v>
      </c>
      <c r="H25273" s="35">
        <v>260</v>
      </c>
      <c r="I25273" s="33" t="s">
        <v>51</v>
      </c>
      <c r="J25273" s="42">
        <v>45762</v>
      </c>
      <c r="K25273" s="33" t="s">
        <v>22</v>
      </c>
    </row>
    <row r="25274" spans="1:11">
      <c r="A25274" s="30" t="s">
        <v>55637</v>
      </c>
      <c r="B25274" s="30" t="s">
        <v>55638</v>
      </c>
      <c r="C25274" s="30" t="s">
        <v>55639</v>
      </c>
      <c r="D25274" s="30" t="s">
        <v>17</v>
      </c>
      <c r="E25274" s="30" t="s">
        <v>26</v>
      </c>
      <c r="F25274" s="30" t="s">
        <v>27</v>
      </c>
      <c r="G25274" s="30" t="s">
        <v>140</v>
      </c>
      <c r="H25274" s="32">
        <v>18</v>
      </c>
      <c r="I25274" s="30" t="s">
        <v>51</v>
      </c>
      <c r="J25274" s="41">
        <v>45817</v>
      </c>
      <c r="K25274" s="30" t="s">
        <v>22</v>
      </c>
    </row>
    <row r="25275" spans="1:11">
      <c r="A25275" s="33" t="s">
        <v>55640</v>
      </c>
      <c r="B25275" s="33" t="s">
        <v>55641</v>
      </c>
      <c r="C25275" s="33" t="s">
        <v>318</v>
      </c>
      <c r="D25275" s="33" t="s">
        <v>17</v>
      </c>
      <c r="E25275" s="33" t="s">
        <v>26</v>
      </c>
      <c r="F25275" s="33" t="s">
        <v>27</v>
      </c>
      <c r="G25275" s="33" t="s">
        <v>106</v>
      </c>
      <c r="H25275" s="35">
        <v>48</v>
      </c>
      <c r="I25275" s="33" t="s">
        <v>21</v>
      </c>
      <c r="J25275" s="42">
        <v>45755</v>
      </c>
      <c r="K25275" s="33" t="s">
        <v>22</v>
      </c>
    </row>
    <row r="25276" spans="1:11">
      <c r="A25276" s="30" t="s">
        <v>55642</v>
      </c>
      <c r="B25276" s="30" t="s">
        <v>55643</v>
      </c>
      <c r="C25276" s="30" t="s">
        <v>55644</v>
      </c>
      <c r="D25276" s="30" t="s">
        <v>17</v>
      </c>
      <c r="E25276" s="30" t="s">
        <v>67</v>
      </c>
      <c r="F25276" s="30" t="s">
        <v>68</v>
      </c>
      <c r="G25276" s="30" t="s">
        <v>140</v>
      </c>
      <c r="H25276" s="32">
        <v>45</v>
      </c>
      <c r="I25276" s="30" t="s">
        <v>51</v>
      </c>
      <c r="J25276" s="41">
        <v>46015</v>
      </c>
      <c r="K25276" s="30" t="s">
        <v>22</v>
      </c>
    </row>
    <row r="25277" spans="1:11">
      <c r="A25277" s="33" t="s">
        <v>55645</v>
      </c>
      <c r="B25277" s="33" t="s">
        <v>55646</v>
      </c>
      <c r="C25277" s="33" t="s">
        <v>31617</v>
      </c>
      <c r="D25277" s="33" t="s">
        <v>17</v>
      </c>
      <c r="E25277" s="33" t="s">
        <v>31</v>
      </c>
      <c r="F25277" s="33" t="s">
        <v>32</v>
      </c>
      <c r="G25277" s="33" t="s">
        <v>158</v>
      </c>
      <c r="H25277" s="35">
        <v>20</v>
      </c>
      <c r="I25277" s="33" t="s">
        <v>51</v>
      </c>
      <c r="J25277" s="42">
        <v>45932</v>
      </c>
      <c r="K25277" s="33" t="s">
        <v>22</v>
      </c>
    </row>
    <row r="25278" spans="1:11">
      <c r="A25278" s="30" t="s">
        <v>55647</v>
      </c>
      <c r="B25278" s="30" t="s">
        <v>55648</v>
      </c>
      <c r="C25278" s="30" t="s">
        <v>55649</v>
      </c>
      <c r="D25278" s="30" t="s">
        <v>17</v>
      </c>
      <c r="E25278" s="30" t="s">
        <v>18</v>
      </c>
      <c r="F25278" s="30" t="s">
        <v>19</v>
      </c>
      <c r="G25278" s="30" t="s">
        <v>7780</v>
      </c>
      <c r="H25278" s="32">
        <v>79</v>
      </c>
      <c r="I25278" s="30" t="s">
        <v>51</v>
      </c>
      <c r="J25278" s="41">
        <v>45839</v>
      </c>
      <c r="K25278" s="30" t="s">
        <v>22</v>
      </c>
    </row>
    <row r="25279" spans="1:11">
      <c r="A25279" s="33" t="s">
        <v>55650</v>
      </c>
      <c r="B25279" s="33" t="s">
        <v>55651</v>
      </c>
      <c r="C25279" s="33" t="s">
        <v>136</v>
      </c>
      <c r="D25279" s="33" t="s">
        <v>17</v>
      </c>
      <c r="E25279" s="33" t="s">
        <v>26</v>
      </c>
      <c r="F25279" s="33" t="s">
        <v>27</v>
      </c>
      <c r="G25279" s="33" t="s">
        <v>20</v>
      </c>
      <c r="H25279" s="35">
        <v>120</v>
      </c>
      <c r="I25279" s="33" t="s">
        <v>21</v>
      </c>
      <c r="J25279" s="42">
        <v>45705</v>
      </c>
      <c r="K25279" s="33" t="s">
        <v>22</v>
      </c>
    </row>
    <row r="25280" spans="1:11">
      <c r="A25280" s="30" t="s">
        <v>55652</v>
      </c>
      <c r="B25280" s="30" t="s">
        <v>55653</v>
      </c>
      <c r="C25280" s="30" t="s">
        <v>3583</v>
      </c>
      <c r="D25280" s="30" t="s">
        <v>17</v>
      </c>
      <c r="E25280" s="30" t="s">
        <v>31</v>
      </c>
      <c r="F25280" s="30" t="s">
        <v>32</v>
      </c>
      <c r="G25280" s="30" t="s">
        <v>140</v>
      </c>
      <c r="H25280" s="32">
        <v>20</v>
      </c>
      <c r="I25280" s="30" t="s">
        <v>51</v>
      </c>
      <c r="J25280" s="41">
        <v>45994</v>
      </c>
      <c r="K25280" s="30" t="s">
        <v>22</v>
      </c>
    </row>
    <row r="25281" spans="1:11">
      <c r="A25281" s="33" t="s">
        <v>55654</v>
      </c>
      <c r="B25281" s="33" t="s">
        <v>55655</v>
      </c>
      <c r="C25281" s="33" t="s">
        <v>2753</v>
      </c>
      <c r="D25281" s="33" t="s">
        <v>17</v>
      </c>
      <c r="E25281" s="33" t="s">
        <v>26</v>
      </c>
      <c r="F25281" s="33" t="s">
        <v>27</v>
      </c>
      <c r="G25281" s="33" t="s">
        <v>20</v>
      </c>
      <c r="H25281" s="35">
        <v>24</v>
      </c>
      <c r="I25281" s="33" t="s">
        <v>21</v>
      </c>
      <c r="J25281" s="42">
        <v>45924</v>
      </c>
      <c r="K25281" s="33" t="s">
        <v>22</v>
      </c>
    </row>
    <row r="25282" spans="1:11">
      <c r="A25282" s="30" t="s">
        <v>55656</v>
      </c>
      <c r="B25282" s="30" t="s">
        <v>55657</v>
      </c>
      <c r="C25282" s="30" t="s">
        <v>55658</v>
      </c>
      <c r="D25282" s="30" t="s">
        <v>17</v>
      </c>
      <c r="E25282" s="30" t="s">
        <v>67</v>
      </c>
      <c r="F25282" s="30" t="s">
        <v>68</v>
      </c>
      <c r="G25282" s="30" t="s">
        <v>140</v>
      </c>
      <c r="H25282" s="32">
        <v>43</v>
      </c>
      <c r="I25282" s="30" t="s">
        <v>51</v>
      </c>
      <c r="J25282" s="41">
        <v>45891</v>
      </c>
      <c r="K25282" s="30" t="s">
        <v>22</v>
      </c>
    </row>
    <row r="25283" spans="1:11">
      <c r="A25283" s="33" t="s">
        <v>55659</v>
      </c>
      <c r="B25283" s="33" t="s">
        <v>55660</v>
      </c>
      <c r="C25283" s="33" t="s">
        <v>55661</v>
      </c>
      <c r="D25283" s="33" t="s">
        <v>17</v>
      </c>
      <c r="E25283" s="33" t="s">
        <v>31</v>
      </c>
      <c r="F25283" s="33" t="s">
        <v>32</v>
      </c>
      <c r="G25283" s="33" t="s">
        <v>7780</v>
      </c>
      <c r="H25283" s="35">
        <v>62</v>
      </c>
      <c r="I25283" s="33" t="s">
        <v>51</v>
      </c>
      <c r="J25283" s="42">
        <v>45992</v>
      </c>
      <c r="K25283" s="33" t="s">
        <v>22</v>
      </c>
    </row>
    <row r="25284" spans="1:11">
      <c r="A25284" s="30" t="s">
        <v>55662</v>
      </c>
      <c r="B25284" s="30" t="s">
        <v>55663</v>
      </c>
      <c r="C25284" s="30" t="s">
        <v>12195</v>
      </c>
      <c r="D25284" s="30" t="s">
        <v>17</v>
      </c>
      <c r="E25284" s="30" t="s">
        <v>18</v>
      </c>
      <c r="F25284" s="30" t="s">
        <v>19</v>
      </c>
      <c r="G25284" s="30" t="s">
        <v>20</v>
      </c>
      <c r="H25284" s="32">
        <v>24</v>
      </c>
      <c r="I25284" s="30" t="s">
        <v>21</v>
      </c>
      <c r="J25284" s="41">
        <v>45823</v>
      </c>
      <c r="K25284" s="30" t="s">
        <v>22</v>
      </c>
    </row>
    <row r="25285" spans="1:11">
      <c r="A25285" s="33" t="s">
        <v>55664</v>
      </c>
      <c r="B25285" s="33" t="s">
        <v>55665</v>
      </c>
      <c r="C25285" s="33" t="s">
        <v>44</v>
      </c>
      <c r="D25285" s="33" t="s">
        <v>17</v>
      </c>
      <c r="E25285" s="33" t="s">
        <v>31</v>
      </c>
      <c r="F25285" s="33" t="s">
        <v>32</v>
      </c>
      <c r="G25285" s="33" t="s">
        <v>20</v>
      </c>
      <c r="H25285" s="35">
        <v>76</v>
      </c>
      <c r="I25285" s="33" t="s">
        <v>21</v>
      </c>
      <c r="J25285" s="42">
        <v>45782</v>
      </c>
      <c r="K25285" s="33" t="s">
        <v>22</v>
      </c>
    </row>
    <row r="25286" spans="1:11">
      <c r="A25286" s="30" t="s">
        <v>55666</v>
      </c>
      <c r="B25286" s="30" t="s">
        <v>55667</v>
      </c>
      <c r="C25286" s="30" t="s">
        <v>14737</v>
      </c>
      <c r="D25286" s="30" t="s">
        <v>17</v>
      </c>
      <c r="E25286" s="30" t="s">
        <v>31</v>
      </c>
      <c r="F25286" s="30" t="s">
        <v>32</v>
      </c>
      <c r="G25286" s="30" t="s">
        <v>140</v>
      </c>
      <c r="H25286" s="32">
        <v>188</v>
      </c>
      <c r="I25286" s="30" t="s">
        <v>51</v>
      </c>
      <c r="J25286" s="41">
        <v>46013</v>
      </c>
      <c r="K25286" s="30" t="s">
        <v>22</v>
      </c>
    </row>
    <row r="25287" spans="1:11">
      <c r="A25287" s="33" t="s">
        <v>55668</v>
      </c>
      <c r="B25287" s="33" t="s">
        <v>55669</v>
      </c>
      <c r="C25287" s="33" t="s">
        <v>13520</v>
      </c>
      <c r="D25287" s="33" t="s">
        <v>17</v>
      </c>
      <c r="E25287" s="33" t="s">
        <v>18</v>
      </c>
      <c r="F25287" s="33" t="s">
        <v>19</v>
      </c>
      <c r="G25287" s="33" t="s">
        <v>140</v>
      </c>
      <c r="H25287" s="35">
        <v>170</v>
      </c>
      <c r="I25287" s="33" t="s">
        <v>51</v>
      </c>
      <c r="J25287" s="42">
        <v>45689</v>
      </c>
      <c r="K25287" s="33" t="s">
        <v>22</v>
      </c>
    </row>
    <row r="25288" spans="1:11">
      <c r="A25288" s="30" t="s">
        <v>55670</v>
      </c>
      <c r="B25288" s="30" t="s">
        <v>55671</v>
      </c>
      <c r="C25288" s="30" t="s">
        <v>49729</v>
      </c>
      <c r="D25288" s="30" t="s">
        <v>17</v>
      </c>
      <c r="E25288" s="30" t="s">
        <v>26</v>
      </c>
      <c r="F25288" s="30" t="s">
        <v>27</v>
      </c>
      <c r="G25288" s="30" t="s">
        <v>140</v>
      </c>
      <c r="H25288" s="32">
        <v>104</v>
      </c>
      <c r="I25288" s="30" t="s">
        <v>51</v>
      </c>
      <c r="J25288" s="41">
        <v>45834</v>
      </c>
      <c r="K25288" s="30" t="s">
        <v>22</v>
      </c>
    </row>
    <row r="25289" spans="1:11">
      <c r="A25289" s="33" t="s">
        <v>55672</v>
      </c>
      <c r="B25289" s="33" t="s">
        <v>55673</v>
      </c>
      <c r="C25289" s="33" t="s">
        <v>21361</v>
      </c>
      <c r="D25289" s="33" t="s">
        <v>17</v>
      </c>
      <c r="E25289" s="33" t="s">
        <v>26</v>
      </c>
      <c r="F25289" s="33" t="s">
        <v>27</v>
      </c>
      <c r="G25289" s="33" t="s">
        <v>140</v>
      </c>
      <c r="H25289" s="35">
        <v>53</v>
      </c>
      <c r="I25289" s="33" t="s">
        <v>51</v>
      </c>
      <c r="J25289" s="42">
        <v>45749</v>
      </c>
      <c r="K25289" s="33" t="s">
        <v>22</v>
      </c>
    </row>
    <row r="25290" spans="1:11">
      <c r="A25290" s="30" t="s">
        <v>55674</v>
      </c>
      <c r="B25290" s="30" t="s">
        <v>55675</v>
      </c>
      <c r="C25290" s="30" t="s">
        <v>118</v>
      </c>
      <c r="D25290" s="30" t="s">
        <v>17</v>
      </c>
      <c r="E25290" s="30" t="s">
        <v>67</v>
      </c>
      <c r="F25290" s="30" t="s">
        <v>68</v>
      </c>
      <c r="G25290" s="30" t="s">
        <v>140</v>
      </c>
      <c r="H25290" s="32">
        <v>450</v>
      </c>
      <c r="I25290" s="30" t="s">
        <v>51</v>
      </c>
      <c r="J25290" s="41">
        <v>45737</v>
      </c>
      <c r="K25290" s="30" t="s">
        <v>22</v>
      </c>
    </row>
    <row r="25291" spans="1:11">
      <c r="A25291" s="33" t="s">
        <v>55676</v>
      </c>
      <c r="B25291" s="33" t="s">
        <v>55677</v>
      </c>
      <c r="C25291" s="33" t="s">
        <v>2073</v>
      </c>
      <c r="D25291" s="33" t="s">
        <v>17</v>
      </c>
      <c r="E25291" s="33" t="s">
        <v>45</v>
      </c>
      <c r="F25291" s="33" t="s">
        <v>46</v>
      </c>
      <c r="G25291" s="33" t="s">
        <v>140</v>
      </c>
      <c r="H25291" s="35">
        <v>118</v>
      </c>
      <c r="I25291" s="33" t="s">
        <v>51</v>
      </c>
      <c r="J25291" s="42">
        <v>46002</v>
      </c>
      <c r="K25291" s="33" t="s">
        <v>22</v>
      </c>
    </row>
    <row r="25292" spans="1:11">
      <c r="A25292" s="30" t="s">
        <v>55678</v>
      </c>
      <c r="B25292" s="30" t="s">
        <v>55679</v>
      </c>
      <c r="C25292" s="30" t="s">
        <v>22899</v>
      </c>
      <c r="D25292" s="30" t="s">
        <v>17</v>
      </c>
      <c r="E25292" s="30" t="s">
        <v>31</v>
      </c>
      <c r="F25292" s="30" t="s">
        <v>32</v>
      </c>
      <c r="G25292" s="30" t="s">
        <v>7780</v>
      </c>
      <c r="H25292" s="32">
        <v>120</v>
      </c>
      <c r="I25292" s="30" t="s">
        <v>51</v>
      </c>
      <c r="J25292" s="41">
        <v>45730</v>
      </c>
      <c r="K25292" s="30" t="s">
        <v>22</v>
      </c>
    </row>
    <row r="25293" spans="1:11">
      <c r="A25293" s="33" t="s">
        <v>55680</v>
      </c>
      <c r="B25293" s="33" t="s">
        <v>55681</v>
      </c>
      <c r="C25293" s="33" t="s">
        <v>55682</v>
      </c>
      <c r="D25293" s="33" t="s">
        <v>17</v>
      </c>
      <c r="E25293" s="33" t="s">
        <v>18</v>
      </c>
      <c r="F25293" s="33" t="s">
        <v>19</v>
      </c>
      <c r="G25293" s="33" t="s">
        <v>112</v>
      </c>
      <c r="H25293" s="35">
        <v>0</v>
      </c>
      <c r="I25293" s="33" t="s">
        <v>21</v>
      </c>
      <c r="J25293" s="42">
        <v>45778</v>
      </c>
      <c r="K25293" s="33" t="s">
        <v>22</v>
      </c>
    </row>
    <row r="25294" spans="1:11">
      <c r="A25294" s="30" t="s">
        <v>55683</v>
      </c>
      <c r="B25294" s="30" t="s">
        <v>55684</v>
      </c>
      <c r="C25294" s="30" t="s">
        <v>20839</v>
      </c>
      <c r="D25294" s="30" t="s">
        <v>17</v>
      </c>
      <c r="E25294" s="30" t="s">
        <v>18</v>
      </c>
      <c r="F25294" s="30" t="s">
        <v>19</v>
      </c>
      <c r="G25294" s="30" t="s">
        <v>106</v>
      </c>
      <c r="H25294" s="32">
        <v>70</v>
      </c>
      <c r="I25294" s="30" t="s">
        <v>21</v>
      </c>
      <c r="J25294" s="41">
        <v>45664</v>
      </c>
      <c r="K25294" s="30" t="s">
        <v>22</v>
      </c>
    </row>
    <row r="25295" spans="1:11">
      <c r="A25295" s="33" t="s">
        <v>55685</v>
      </c>
      <c r="B25295" s="33" t="s">
        <v>55686</v>
      </c>
      <c r="C25295" s="33" t="s">
        <v>93</v>
      </c>
      <c r="D25295" s="33" t="s">
        <v>17</v>
      </c>
      <c r="E25295" s="33" t="s">
        <v>67</v>
      </c>
      <c r="F25295" s="33" t="s">
        <v>68</v>
      </c>
      <c r="G25295" s="33" t="s">
        <v>140</v>
      </c>
      <c r="H25295" s="35">
        <v>252</v>
      </c>
      <c r="I25295" s="33" t="s">
        <v>51</v>
      </c>
      <c r="J25295" s="42">
        <v>45722</v>
      </c>
      <c r="K25295" s="33" t="s">
        <v>22</v>
      </c>
    </row>
    <row r="25296" spans="1:11">
      <c r="A25296" s="30" t="s">
        <v>55687</v>
      </c>
      <c r="B25296" s="30" t="s">
        <v>55688</v>
      </c>
      <c r="C25296" s="30" t="s">
        <v>15917</v>
      </c>
      <c r="D25296" s="30" t="s">
        <v>17</v>
      </c>
      <c r="E25296" s="30" t="s">
        <v>31</v>
      </c>
      <c r="F25296" s="30" t="s">
        <v>32</v>
      </c>
      <c r="G25296" s="30" t="s">
        <v>140</v>
      </c>
      <c r="H25296" s="32">
        <v>51</v>
      </c>
      <c r="I25296" s="30" t="s">
        <v>51</v>
      </c>
      <c r="J25296" s="41">
        <v>45983</v>
      </c>
      <c r="K25296" s="30" t="s">
        <v>22</v>
      </c>
    </row>
    <row r="25297" spans="1:11">
      <c r="A25297" s="33" t="s">
        <v>55689</v>
      </c>
      <c r="B25297" s="33" t="s">
        <v>55690</v>
      </c>
      <c r="C25297" s="33" t="s">
        <v>41613</v>
      </c>
      <c r="D25297" s="33" t="s">
        <v>17</v>
      </c>
      <c r="E25297" s="33" t="s">
        <v>26</v>
      </c>
      <c r="F25297" s="33" t="s">
        <v>27</v>
      </c>
      <c r="G25297" s="33" t="s">
        <v>140</v>
      </c>
      <c r="H25297" s="35">
        <v>110</v>
      </c>
      <c r="I25297" s="33" t="s">
        <v>51</v>
      </c>
      <c r="J25297" s="42">
        <v>45792</v>
      </c>
      <c r="K25297" s="33" t="s">
        <v>22</v>
      </c>
    </row>
    <row r="25298" spans="1:11">
      <c r="A25298" s="30" t="s">
        <v>55691</v>
      </c>
      <c r="B25298" s="30" t="s">
        <v>55692</v>
      </c>
      <c r="C25298" s="30" t="s">
        <v>203</v>
      </c>
      <c r="D25298" s="30" t="s">
        <v>17</v>
      </c>
      <c r="E25298" s="30" t="s">
        <v>18</v>
      </c>
      <c r="F25298" s="30" t="s">
        <v>19</v>
      </c>
      <c r="G25298" s="30" t="s">
        <v>158</v>
      </c>
      <c r="H25298" s="32">
        <v>4</v>
      </c>
      <c r="I25298" s="30" t="s">
        <v>51</v>
      </c>
      <c r="J25298" s="41">
        <v>45945</v>
      </c>
      <c r="K25298" s="30" t="s">
        <v>22</v>
      </c>
    </row>
    <row r="25299" spans="1:11">
      <c r="A25299" s="33" t="s">
        <v>55693</v>
      </c>
      <c r="B25299" s="33" t="s">
        <v>55694</v>
      </c>
      <c r="C25299" s="33" t="s">
        <v>37657</v>
      </c>
      <c r="D25299" s="33" t="s">
        <v>17</v>
      </c>
      <c r="E25299" s="33" t="s">
        <v>26</v>
      </c>
      <c r="F25299" s="33" t="s">
        <v>27</v>
      </c>
      <c r="G25299" s="33" t="s">
        <v>140</v>
      </c>
      <c r="H25299" s="35">
        <v>15</v>
      </c>
      <c r="I25299" s="33" t="s">
        <v>51</v>
      </c>
      <c r="J25299" s="42">
        <v>45951</v>
      </c>
      <c r="K25299" s="33" t="s">
        <v>22</v>
      </c>
    </row>
    <row r="25300" spans="1:11">
      <c r="A25300" s="30" t="s">
        <v>55695</v>
      </c>
      <c r="B25300" s="30" t="s">
        <v>55696</v>
      </c>
      <c r="C25300" s="30" t="s">
        <v>2562</v>
      </c>
      <c r="D25300" s="30" t="s">
        <v>17</v>
      </c>
      <c r="E25300" s="30" t="s">
        <v>31</v>
      </c>
      <c r="F25300" s="30" t="s">
        <v>32</v>
      </c>
      <c r="G25300" s="30" t="s">
        <v>140</v>
      </c>
      <c r="H25300" s="32">
        <v>200</v>
      </c>
      <c r="I25300" s="30" t="s">
        <v>51</v>
      </c>
      <c r="J25300" s="41">
        <v>45827</v>
      </c>
      <c r="K25300" s="30" t="s">
        <v>22</v>
      </c>
    </row>
    <row r="25301" spans="1:11">
      <c r="A25301" s="33" t="s">
        <v>55697</v>
      </c>
      <c r="B25301" s="33" t="s">
        <v>55698</v>
      </c>
      <c r="C25301" s="33" t="s">
        <v>42561</v>
      </c>
      <c r="D25301" s="33" t="s">
        <v>17</v>
      </c>
      <c r="E25301" s="33" t="s">
        <v>18</v>
      </c>
      <c r="F25301" s="33" t="s">
        <v>19</v>
      </c>
      <c r="G25301" s="33" t="s">
        <v>158</v>
      </c>
      <c r="H25301" s="35">
        <v>580</v>
      </c>
      <c r="I25301" s="33" t="s">
        <v>51</v>
      </c>
      <c r="J25301" s="42">
        <v>45706</v>
      </c>
      <c r="K25301" s="33" t="s">
        <v>22</v>
      </c>
    </row>
    <row r="25302" spans="1:11">
      <c r="A25302" s="30" t="s">
        <v>55699</v>
      </c>
      <c r="B25302" s="30" t="s">
        <v>55700</v>
      </c>
      <c r="C25302" s="30" t="s">
        <v>23333</v>
      </c>
      <c r="D25302" s="30" t="s">
        <v>17</v>
      </c>
      <c r="E25302" s="30" t="s">
        <v>330</v>
      </c>
      <c r="F25302" s="30" t="s">
        <v>331</v>
      </c>
      <c r="G25302" s="30" t="s">
        <v>140</v>
      </c>
      <c r="H25302" s="32">
        <v>30</v>
      </c>
      <c r="I25302" s="30" t="s">
        <v>51</v>
      </c>
      <c r="J25302" s="41">
        <v>46020</v>
      </c>
      <c r="K25302" s="30" t="s">
        <v>22</v>
      </c>
    </row>
    <row r="25303" spans="1:11">
      <c r="A25303" s="33" t="s">
        <v>55701</v>
      </c>
      <c r="B25303" s="33" t="s">
        <v>55702</v>
      </c>
      <c r="C25303" s="33" t="s">
        <v>35935</v>
      </c>
      <c r="D25303" s="33" t="s">
        <v>17</v>
      </c>
      <c r="E25303" s="33" t="s">
        <v>31</v>
      </c>
      <c r="F25303" s="33" t="s">
        <v>32</v>
      </c>
      <c r="G25303" s="33" t="s">
        <v>140</v>
      </c>
      <c r="H25303" s="35">
        <v>89</v>
      </c>
      <c r="I25303" s="33" t="s">
        <v>51</v>
      </c>
      <c r="J25303" s="42">
        <v>45852</v>
      </c>
      <c r="K25303" s="33" t="s">
        <v>22</v>
      </c>
    </row>
    <row r="25304" spans="1:11">
      <c r="A25304" s="30" t="s">
        <v>55703</v>
      </c>
      <c r="B25304" s="30" t="s">
        <v>55704</v>
      </c>
      <c r="C25304" s="30" t="s">
        <v>6784</v>
      </c>
      <c r="D25304" s="30" t="s">
        <v>17</v>
      </c>
      <c r="E25304" s="30" t="s">
        <v>18</v>
      </c>
      <c r="F25304" s="30" t="s">
        <v>19</v>
      </c>
      <c r="G25304" s="30" t="s">
        <v>140</v>
      </c>
      <c r="H25304" s="32">
        <v>160</v>
      </c>
      <c r="I25304" s="30" t="s">
        <v>51</v>
      </c>
      <c r="J25304" s="41">
        <v>45973</v>
      </c>
      <c r="K25304" s="30" t="s">
        <v>22</v>
      </c>
    </row>
    <row r="25305" spans="1:11">
      <c r="A25305" s="33" t="s">
        <v>55705</v>
      </c>
      <c r="B25305" s="33" t="s">
        <v>55706</v>
      </c>
      <c r="C25305" s="33" t="s">
        <v>2725</v>
      </c>
      <c r="D25305" s="33" t="s">
        <v>17</v>
      </c>
      <c r="E25305" s="33" t="s">
        <v>212</v>
      </c>
      <c r="F25305" s="33" t="s">
        <v>213</v>
      </c>
      <c r="G25305" s="33" t="s">
        <v>140</v>
      </c>
      <c r="H25305" s="35">
        <v>160</v>
      </c>
      <c r="I25305" s="33" t="s">
        <v>51</v>
      </c>
      <c r="J25305" s="42">
        <v>45708</v>
      </c>
      <c r="K25305" s="33" t="s">
        <v>22</v>
      </c>
    </row>
    <row r="25306" spans="1:11">
      <c r="A25306" s="30" t="s">
        <v>55707</v>
      </c>
      <c r="B25306" s="30" t="s">
        <v>55708</v>
      </c>
      <c r="C25306" s="30" t="s">
        <v>8151</v>
      </c>
      <c r="D25306" s="30" t="s">
        <v>17</v>
      </c>
      <c r="E25306" s="30" t="s">
        <v>31</v>
      </c>
      <c r="F25306" s="30" t="s">
        <v>32</v>
      </c>
      <c r="G25306" s="30" t="s">
        <v>140</v>
      </c>
      <c r="H25306" s="32">
        <v>240</v>
      </c>
      <c r="I25306" s="30" t="s">
        <v>51</v>
      </c>
      <c r="J25306" s="41">
        <v>45915</v>
      </c>
      <c r="K25306" s="30" t="s">
        <v>22</v>
      </c>
    </row>
    <row r="25307" spans="1:11">
      <c r="A25307" s="33" t="s">
        <v>55709</v>
      </c>
      <c r="B25307" s="33" t="s">
        <v>55710</v>
      </c>
      <c r="C25307" s="33" t="s">
        <v>231</v>
      </c>
      <c r="D25307" s="33" t="s">
        <v>17</v>
      </c>
      <c r="E25307" s="33" t="s">
        <v>26</v>
      </c>
      <c r="F25307" s="33" t="s">
        <v>27</v>
      </c>
      <c r="G25307" s="33" t="s">
        <v>140</v>
      </c>
      <c r="H25307" s="35">
        <v>32</v>
      </c>
      <c r="I25307" s="33" t="s">
        <v>51</v>
      </c>
      <c r="J25307" s="42">
        <v>45855</v>
      </c>
      <c r="K25307" s="33" t="s">
        <v>22</v>
      </c>
    </row>
    <row r="25308" spans="1:11">
      <c r="A25308" s="30" t="s">
        <v>55711</v>
      </c>
      <c r="B25308" s="30" t="s">
        <v>55712</v>
      </c>
      <c r="C25308" s="30" t="s">
        <v>93</v>
      </c>
      <c r="D25308" s="30" t="s">
        <v>17</v>
      </c>
      <c r="E25308" s="30" t="s">
        <v>31</v>
      </c>
      <c r="F25308" s="30" t="s">
        <v>32</v>
      </c>
      <c r="G25308" s="30" t="s">
        <v>140</v>
      </c>
      <c r="H25308" s="32">
        <v>110</v>
      </c>
      <c r="I25308" s="30" t="s">
        <v>51</v>
      </c>
      <c r="J25308" s="41">
        <v>45805</v>
      </c>
      <c r="K25308" s="30" t="s">
        <v>22</v>
      </c>
    </row>
    <row r="25309" spans="1:11">
      <c r="A25309" s="33" t="s">
        <v>55713</v>
      </c>
      <c r="B25309" s="33" t="s">
        <v>55714</v>
      </c>
      <c r="C25309" s="33" t="s">
        <v>55715</v>
      </c>
      <c r="D25309" s="33" t="s">
        <v>17</v>
      </c>
      <c r="E25309" s="33" t="s">
        <v>18</v>
      </c>
      <c r="F25309" s="33" t="s">
        <v>19</v>
      </c>
      <c r="G25309" s="33" t="s">
        <v>140</v>
      </c>
      <c r="H25309" s="35">
        <v>234</v>
      </c>
      <c r="I25309" s="33" t="s">
        <v>51</v>
      </c>
      <c r="J25309" s="42">
        <v>45901</v>
      </c>
      <c r="K25309" s="33" t="s">
        <v>22</v>
      </c>
    </row>
    <row r="25310" spans="1:11">
      <c r="A25310" s="30" t="s">
        <v>55716</v>
      </c>
      <c r="B25310" s="30" t="s">
        <v>55717</v>
      </c>
      <c r="C25310" s="30" t="s">
        <v>203</v>
      </c>
      <c r="D25310" s="30" t="s">
        <v>17</v>
      </c>
      <c r="E25310" s="30" t="s">
        <v>18</v>
      </c>
      <c r="F25310" s="30" t="s">
        <v>19</v>
      </c>
      <c r="G25310" s="30" t="s">
        <v>20</v>
      </c>
      <c r="H25310" s="32">
        <v>676</v>
      </c>
      <c r="I25310" s="30" t="s">
        <v>21</v>
      </c>
      <c r="J25310" s="41">
        <v>45939</v>
      </c>
      <c r="K25310" s="30" t="s">
        <v>22</v>
      </c>
    </row>
    <row r="25311" spans="1:11">
      <c r="A25311" s="33" t="s">
        <v>55718</v>
      </c>
      <c r="B25311" s="33" t="s">
        <v>55719</v>
      </c>
      <c r="C25311" s="33" t="s">
        <v>55720</v>
      </c>
      <c r="D25311" s="33" t="s">
        <v>17</v>
      </c>
      <c r="E25311" s="33" t="s">
        <v>26</v>
      </c>
      <c r="F25311" s="33" t="s">
        <v>27</v>
      </c>
      <c r="G25311" s="33" t="s">
        <v>7780</v>
      </c>
      <c r="H25311" s="35">
        <v>48</v>
      </c>
      <c r="I25311" s="33" t="s">
        <v>51</v>
      </c>
      <c r="J25311" s="42">
        <v>45777</v>
      </c>
      <c r="K25311" s="33" t="s">
        <v>22</v>
      </c>
    </row>
    <row r="25312" spans="1:11">
      <c r="A25312" s="30" t="s">
        <v>55721</v>
      </c>
      <c r="B25312" s="30" t="s">
        <v>55722</v>
      </c>
      <c r="C25312" s="30" t="s">
        <v>1813</v>
      </c>
      <c r="D25312" s="30" t="s">
        <v>17</v>
      </c>
      <c r="E25312" s="30" t="s">
        <v>18</v>
      </c>
      <c r="F25312" s="30" t="s">
        <v>19</v>
      </c>
      <c r="G25312" s="30" t="s">
        <v>7780</v>
      </c>
      <c r="H25312" s="32">
        <v>340</v>
      </c>
      <c r="I25312" s="30" t="s">
        <v>51</v>
      </c>
      <c r="J25312" s="41">
        <v>45689</v>
      </c>
      <c r="K25312" s="30" t="s">
        <v>22</v>
      </c>
    </row>
    <row r="25313" spans="1:11">
      <c r="A25313" s="33" t="s">
        <v>55723</v>
      </c>
      <c r="B25313" s="33" t="s">
        <v>55724</v>
      </c>
      <c r="C25313" s="33" t="s">
        <v>149</v>
      </c>
      <c r="D25313" s="33" t="s">
        <v>17</v>
      </c>
      <c r="E25313" s="33" t="s">
        <v>31</v>
      </c>
      <c r="F25313" s="33" t="s">
        <v>32</v>
      </c>
      <c r="G25313" s="33" t="s">
        <v>140</v>
      </c>
      <c r="H25313" s="35">
        <v>60</v>
      </c>
      <c r="I25313" s="33" t="s">
        <v>51</v>
      </c>
      <c r="J25313" s="42">
        <v>45941</v>
      </c>
      <c r="K25313" s="33" t="s">
        <v>22</v>
      </c>
    </row>
    <row r="25314" spans="1:11">
      <c r="A25314" s="30" t="s">
        <v>55725</v>
      </c>
      <c r="B25314" s="30" t="s">
        <v>55726</v>
      </c>
      <c r="C25314" s="30" t="s">
        <v>2842</v>
      </c>
      <c r="D25314" s="30" t="s">
        <v>17</v>
      </c>
      <c r="E25314" s="30" t="s">
        <v>26</v>
      </c>
      <c r="F25314" s="30" t="s">
        <v>27</v>
      </c>
      <c r="G25314" s="30" t="s">
        <v>20</v>
      </c>
      <c r="H25314" s="32">
        <v>8</v>
      </c>
      <c r="I25314" s="30" t="s">
        <v>21</v>
      </c>
      <c r="J25314" s="41">
        <v>45685</v>
      </c>
      <c r="K25314" s="30" t="s">
        <v>22</v>
      </c>
    </row>
    <row r="25315" spans="1:11">
      <c r="A25315" s="33" t="s">
        <v>55727</v>
      </c>
      <c r="B25315" s="33" t="s">
        <v>55728</v>
      </c>
      <c r="C25315" s="33" t="s">
        <v>124</v>
      </c>
      <c r="D25315" s="33" t="s">
        <v>17</v>
      </c>
      <c r="E25315" s="33" t="s">
        <v>18</v>
      </c>
      <c r="F25315" s="33" t="s">
        <v>19</v>
      </c>
      <c r="G25315" s="33" t="s">
        <v>20</v>
      </c>
      <c r="H25315" s="35">
        <v>73</v>
      </c>
      <c r="I25315" s="33" t="s">
        <v>21</v>
      </c>
      <c r="J25315" s="42">
        <v>45701</v>
      </c>
      <c r="K25315" s="33" t="s">
        <v>22</v>
      </c>
    </row>
    <row r="25316" spans="1:11">
      <c r="A25316" s="30" t="s">
        <v>55729</v>
      </c>
      <c r="B25316" s="30" t="s">
        <v>55730</v>
      </c>
      <c r="C25316" s="30" t="s">
        <v>15917</v>
      </c>
      <c r="D25316" s="30" t="s">
        <v>17</v>
      </c>
      <c r="E25316" s="30" t="s">
        <v>31</v>
      </c>
      <c r="F25316" s="30" t="s">
        <v>32</v>
      </c>
      <c r="G25316" s="30" t="s">
        <v>158</v>
      </c>
      <c r="H25316" s="32">
        <v>145</v>
      </c>
      <c r="I25316" s="30" t="s">
        <v>21</v>
      </c>
      <c r="J25316" s="41">
        <v>45744</v>
      </c>
      <c r="K25316" s="30" t="s">
        <v>22</v>
      </c>
    </row>
    <row r="25317" spans="1:11">
      <c r="A25317" s="33" t="s">
        <v>55731</v>
      </c>
      <c r="B25317" s="33" t="s">
        <v>55732</v>
      </c>
      <c r="C25317" s="33" t="s">
        <v>190</v>
      </c>
      <c r="D25317" s="33" t="s">
        <v>17</v>
      </c>
      <c r="E25317" s="33" t="s">
        <v>26</v>
      </c>
      <c r="F25317" s="33" t="s">
        <v>27</v>
      </c>
      <c r="G25317" s="33" t="s">
        <v>20</v>
      </c>
      <c r="H25317" s="35">
        <v>32</v>
      </c>
      <c r="I25317" s="33" t="s">
        <v>21</v>
      </c>
      <c r="J25317" s="42">
        <v>45770</v>
      </c>
      <c r="K25317" s="33" t="s">
        <v>22</v>
      </c>
    </row>
    <row r="25318" spans="1:11">
      <c r="A25318" s="30" t="s">
        <v>55733</v>
      </c>
      <c r="B25318" s="30" t="s">
        <v>55734</v>
      </c>
      <c r="C25318" s="30" t="s">
        <v>136</v>
      </c>
      <c r="D25318" s="30" t="s">
        <v>17</v>
      </c>
      <c r="E25318" s="30" t="s">
        <v>212</v>
      </c>
      <c r="F25318" s="30" t="s">
        <v>213</v>
      </c>
      <c r="G25318" s="30" t="s">
        <v>140</v>
      </c>
      <c r="H25318" s="32">
        <v>3000</v>
      </c>
      <c r="I25318" s="30" t="s">
        <v>51</v>
      </c>
      <c r="J25318" s="41">
        <v>45985</v>
      </c>
      <c r="K25318" s="30" t="s">
        <v>22</v>
      </c>
    </row>
    <row r="25319" spans="1:11">
      <c r="A25319" s="33" t="s">
        <v>55735</v>
      </c>
      <c r="B25319" s="33" t="s">
        <v>55736</v>
      </c>
      <c r="C25319" s="33" t="s">
        <v>55737</v>
      </c>
      <c r="D25319" s="33" t="s">
        <v>17</v>
      </c>
      <c r="E25319" s="33" t="s">
        <v>45</v>
      </c>
      <c r="F25319" s="33" t="s">
        <v>46</v>
      </c>
      <c r="G25319" s="33" t="s">
        <v>158</v>
      </c>
      <c r="H25319" s="35">
        <v>120</v>
      </c>
      <c r="I25319" s="33" t="s">
        <v>51</v>
      </c>
      <c r="J25319" s="42">
        <v>45804</v>
      </c>
      <c r="K25319" s="33" t="s">
        <v>22</v>
      </c>
    </row>
    <row r="25320" spans="1:11">
      <c r="A25320" s="30" t="s">
        <v>55738</v>
      </c>
      <c r="B25320" s="30" t="s">
        <v>55739</v>
      </c>
      <c r="C25320" s="30" t="s">
        <v>5757</v>
      </c>
      <c r="D25320" s="30" t="s">
        <v>17</v>
      </c>
      <c r="E25320" s="30" t="s">
        <v>31</v>
      </c>
      <c r="F25320" s="30" t="s">
        <v>32</v>
      </c>
      <c r="G25320" s="30" t="s">
        <v>140</v>
      </c>
      <c r="H25320" s="32">
        <v>136</v>
      </c>
      <c r="I25320" s="30" t="s">
        <v>51</v>
      </c>
      <c r="J25320" s="41">
        <v>46008</v>
      </c>
      <c r="K25320" s="30" t="s">
        <v>22</v>
      </c>
    </row>
    <row r="25321" spans="1:11">
      <c r="A25321" s="33" t="s">
        <v>55740</v>
      </c>
      <c r="B25321" s="33" t="s">
        <v>55741</v>
      </c>
      <c r="C25321" s="33" t="s">
        <v>55742</v>
      </c>
      <c r="D25321" s="33" t="s">
        <v>17</v>
      </c>
      <c r="E25321" s="33" t="s">
        <v>26</v>
      </c>
      <c r="F25321" s="33" t="s">
        <v>27</v>
      </c>
      <c r="G25321" s="33" t="s">
        <v>20</v>
      </c>
      <c r="H25321" s="35">
        <v>238</v>
      </c>
      <c r="I25321" s="33" t="s">
        <v>21</v>
      </c>
      <c r="J25321" s="42">
        <v>45700</v>
      </c>
      <c r="K25321" s="33" t="s">
        <v>22</v>
      </c>
    </row>
    <row r="25322" spans="1:11">
      <c r="A25322" s="30" t="s">
        <v>55743</v>
      </c>
      <c r="B25322" s="30" t="s">
        <v>55744</v>
      </c>
      <c r="C25322" s="30" t="s">
        <v>41065</v>
      </c>
      <c r="D25322" s="30" t="s">
        <v>17</v>
      </c>
      <c r="E25322" s="30" t="s">
        <v>67</v>
      </c>
      <c r="F25322" s="30" t="s">
        <v>68</v>
      </c>
      <c r="G25322" s="30" t="s">
        <v>140</v>
      </c>
      <c r="H25322" s="32">
        <v>258</v>
      </c>
      <c r="I25322" s="30" t="s">
        <v>51</v>
      </c>
      <c r="J25322" s="41">
        <v>45981</v>
      </c>
      <c r="K25322" s="30" t="s">
        <v>22</v>
      </c>
    </row>
    <row r="25323" spans="1:11">
      <c r="A25323" s="33" t="s">
        <v>55745</v>
      </c>
      <c r="B25323" s="33" t="s">
        <v>55746</v>
      </c>
      <c r="C25323" s="33" t="s">
        <v>19317</v>
      </c>
      <c r="D25323" s="33" t="s">
        <v>17</v>
      </c>
      <c r="E25323" s="33" t="s">
        <v>26</v>
      </c>
      <c r="F25323" s="33" t="s">
        <v>27</v>
      </c>
      <c r="G25323" s="33" t="s">
        <v>140</v>
      </c>
      <c r="H25323" s="35">
        <v>124</v>
      </c>
      <c r="I25323" s="33" t="s">
        <v>51</v>
      </c>
      <c r="J25323" s="42">
        <v>45903</v>
      </c>
      <c r="K25323" s="33" t="s">
        <v>22</v>
      </c>
    </row>
    <row r="25324" spans="1:11">
      <c r="A25324" s="30" t="s">
        <v>55747</v>
      </c>
      <c r="B25324" s="30" t="s">
        <v>55748</v>
      </c>
      <c r="C25324" s="30" t="s">
        <v>43361</v>
      </c>
      <c r="D25324" s="30" t="s">
        <v>17</v>
      </c>
      <c r="E25324" s="30" t="s">
        <v>67</v>
      </c>
      <c r="F25324" s="30" t="s">
        <v>68</v>
      </c>
      <c r="G25324" s="30" t="s">
        <v>140</v>
      </c>
      <c r="H25324" s="32">
        <v>42</v>
      </c>
      <c r="I25324" s="30" t="s">
        <v>51</v>
      </c>
      <c r="J25324" s="41">
        <v>45902</v>
      </c>
      <c r="K25324" s="30" t="s">
        <v>22</v>
      </c>
    </row>
    <row r="25325" spans="1:11">
      <c r="A25325" s="33" t="s">
        <v>55749</v>
      </c>
      <c r="B25325" s="33" t="s">
        <v>55750</v>
      </c>
      <c r="C25325" s="33" t="s">
        <v>2753</v>
      </c>
      <c r="D25325" s="33" t="s">
        <v>17</v>
      </c>
      <c r="E25325" s="33" t="s">
        <v>67</v>
      </c>
      <c r="F25325" s="33" t="s">
        <v>68</v>
      </c>
      <c r="G25325" s="33" t="s">
        <v>140</v>
      </c>
      <c r="H25325" s="35">
        <v>258</v>
      </c>
      <c r="I25325" s="33" t="s">
        <v>51</v>
      </c>
      <c r="J25325" s="42">
        <v>45680</v>
      </c>
      <c r="K25325" s="33" t="s">
        <v>22</v>
      </c>
    </row>
    <row r="25326" spans="1:11">
      <c r="A25326" s="30" t="s">
        <v>55751</v>
      </c>
      <c r="B25326" s="30" t="s">
        <v>55752</v>
      </c>
      <c r="C25326" s="30" t="s">
        <v>15718</v>
      </c>
      <c r="D25326" s="30" t="s">
        <v>17</v>
      </c>
      <c r="E25326" s="30" t="s">
        <v>26</v>
      </c>
      <c r="F25326" s="30" t="s">
        <v>27</v>
      </c>
      <c r="G25326" s="30" t="s">
        <v>20</v>
      </c>
      <c r="H25326" s="32">
        <v>54</v>
      </c>
      <c r="I25326" s="30" t="s">
        <v>21</v>
      </c>
      <c r="J25326" s="41">
        <v>45943</v>
      </c>
      <c r="K25326" s="30" t="s">
        <v>22</v>
      </c>
    </row>
    <row r="25327" spans="1:11">
      <c r="A25327" s="33" t="s">
        <v>55753</v>
      </c>
      <c r="B25327" s="33" t="s">
        <v>55754</v>
      </c>
      <c r="C25327" s="33" t="s">
        <v>55586</v>
      </c>
      <c r="D25327" s="33" t="s">
        <v>17</v>
      </c>
      <c r="E25327" s="33" t="s">
        <v>18</v>
      </c>
      <c r="F25327" s="33" t="s">
        <v>19</v>
      </c>
      <c r="G25327" s="33" t="s">
        <v>7780</v>
      </c>
      <c r="H25327" s="35">
        <v>116</v>
      </c>
      <c r="I25327" s="33" t="s">
        <v>51</v>
      </c>
      <c r="J25327" s="42">
        <v>45809</v>
      </c>
      <c r="K25327" s="33" t="s">
        <v>22</v>
      </c>
    </row>
    <row r="25328" spans="1:11">
      <c r="A25328" s="30" t="s">
        <v>55755</v>
      </c>
      <c r="B25328" s="30" t="s">
        <v>55756</v>
      </c>
      <c r="C25328" s="30" t="s">
        <v>7163</v>
      </c>
      <c r="D25328" s="30" t="s">
        <v>17</v>
      </c>
      <c r="E25328" s="30" t="s">
        <v>26</v>
      </c>
      <c r="F25328" s="30" t="s">
        <v>27</v>
      </c>
      <c r="G25328" s="30" t="s">
        <v>7780</v>
      </c>
      <c r="H25328" s="32">
        <v>14</v>
      </c>
      <c r="I25328" s="30" t="s">
        <v>51</v>
      </c>
      <c r="J25328" s="41">
        <v>45915</v>
      </c>
      <c r="K25328" s="30" t="s">
        <v>22</v>
      </c>
    </row>
    <row r="25329" spans="1:11">
      <c r="A25329" s="33" t="s">
        <v>55757</v>
      </c>
      <c r="B25329" s="33" t="s">
        <v>55758</v>
      </c>
      <c r="C25329" s="33" t="s">
        <v>5246</v>
      </c>
      <c r="D25329" s="33" t="s">
        <v>17</v>
      </c>
      <c r="E25329" s="33" t="s">
        <v>18</v>
      </c>
      <c r="F25329" s="33" t="s">
        <v>19</v>
      </c>
      <c r="G25329" s="33" t="s">
        <v>140</v>
      </c>
      <c r="H25329" s="35">
        <v>640</v>
      </c>
      <c r="I25329" s="33" t="s">
        <v>51</v>
      </c>
      <c r="J25329" s="42">
        <v>45823</v>
      </c>
      <c r="K25329" s="33" t="s">
        <v>22</v>
      </c>
    </row>
    <row r="25330" spans="1:11">
      <c r="A25330" s="30" t="s">
        <v>55759</v>
      </c>
      <c r="B25330" s="30" t="s">
        <v>55760</v>
      </c>
      <c r="C25330" s="30" t="s">
        <v>15097</v>
      </c>
      <c r="D25330" s="30" t="s">
        <v>17</v>
      </c>
      <c r="E25330" s="30" t="s">
        <v>26</v>
      </c>
      <c r="F25330" s="30" t="s">
        <v>27</v>
      </c>
      <c r="G25330" s="30" t="s">
        <v>140</v>
      </c>
      <c r="H25330" s="32">
        <v>30</v>
      </c>
      <c r="I25330" s="30" t="s">
        <v>51</v>
      </c>
      <c r="J25330" s="41">
        <v>45671</v>
      </c>
      <c r="K25330" s="30" t="s">
        <v>22</v>
      </c>
    </row>
    <row r="25331" spans="1:11">
      <c r="A25331" s="33" t="s">
        <v>55761</v>
      </c>
      <c r="B25331" s="33" t="s">
        <v>55762</v>
      </c>
      <c r="C25331" s="33" t="s">
        <v>42561</v>
      </c>
      <c r="D25331" s="33" t="s">
        <v>17</v>
      </c>
      <c r="E25331" s="33" t="s">
        <v>26</v>
      </c>
      <c r="F25331" s="33" t="s">
        <v>27</v>
      </c>
      <c r="G25331" s="33" t="s">
        <v>7780</v>
      </c>
      <c r="H25331" s="35">
        <v>30</v>
      </c>
      <c r="I25331" s="33" t="s">
        <v>51</v>
      </c>
      <c r="J25331" s="42">
        <v>45785</v>
      </c>
      <c r="K25331" s="33" t="s">
        <v>22</v>
      </c>
    </row>
    <row r="25332" spans="1:11">
      <c r="A25332" s="30" t="s">
        <v>55763</v>
      </c>
      <c r="B25332" s="30" t="s">
        <v>55764</v>
      </c>
      <c r="C25332" s="30" t="s">
        <v>899</v>
      </c>
      <c r="D25332" s="30" t="s">
        <v>17</v>
      </c>
      <c r="E25332" s="30" t="s">
        <v>26</v>
      </c>
      <c r="F25332" s="30" t="s">
        <v>27</v>
      </c>
      <c r="G25332" s="30" t="s">
        <v>20</v>
      </c>
      <c r="H25332" s="32">
        <v>6</v>
      </c>
      <c r="I25332" s="30" t="s">
        <v>21</v>
      </c>
      <c r="J25332" s="41">
        <v>45929</v>
      </c>
      <c r="K25332" s="30" t="s">
        <v>22</v>
      </c>
    </row>
    <row r="25333" spans="1:11">
      <c r="A25333" s="33" t="s">
        <v>55765</v>
      </c>
      <c r="B25333" s="33" t="s">
        <v>55766</v>
      </c>
      <c r="C25333" s="33" t="s">
        <v>1543</v>
      </c>
      <c r="D25333" s="33" t="s">
        <v>17</v>
      </c>
      <c r="E25333" s="33" t="s">
        <v>18</v>
      </c>
      <c r="F25333" s="33" t="s">
        <v>19</v>
      </c>
      <c r="G25333" s="33" t="s">
        <v>140</v>
      </c>
      <c r="H25333" s="35">
        <v>150</v>
      </c>
      <c r="I25333" s="33" t="s">
        <v>51</v>
      </c>
      <c r="J25333" s="42">
        <v>45856</v>
      </c>
      <c r="K25333" s="33" t="s">
        <v>22</v>
      </c>
    </row>
    <row r="25334" spans="1:11">
      <c r="A25334" s="30" t="s">
        <v>55767</v>
      </c>
      <c r="B25334" s="30" t="s">
        <v>55768</v>
      </c>
      <c r="C25334" s="30" t="s">
        <v>647</v>
      </c>
      <c r="D25334" s="30" t="s">
        <v>17</v>
      </c>
      <c r="E25334" s="30" t="s">
        <v>26</v>
      </c>
      <c r="F25334" s="30" t="s">
        <v>27</v>
      </c>
      <c r="G25334" s="30" t="s">
        <v>20</v>
      </c>
      <c r="H25334" s="32">
        <v>16</v>
      </c>
      <c r="I25334" s="30" t="s">
        <v>21</v>
      </c>
      <c r="J25334" s="41">
        <v>45775</v>
      </c>
      <c r="K25334" s="30" t="s">
        <v>22</v>
      </c>
    </row>
    <row r="25335" spans="1:11">
      <c r="A25335" s="33" t="s">
        <v>55769</v>
      </c>
      <c r="B25335" s="33" t="s">
        <v>55770</v>
      </c>
      <c r="C25335" s="33" t="s">
        <v>936</v>
      </c>
      <c r="D25335" s="33" t="s">
        <v>17</v>
      </c>
      <c r="E25335" s="33" t="s">
        <v>31</v>
      </c>
      <c r="F25335" s="33" t="s">
        <v>32</v>
      </c>
      <c r="G25335" s="33" t="s">
        <v>140</v>
      </c>
      <c r="H25335" s="35">
        <v>125</v>
      </c>
      <c r="I25335" s="33" t="s">
        <v>51</v>
      </c>
      <c r="J25335" s="42">
        <v>45924</v>
      </c>
      <c r="K25335" s="33" t="s">
        <v>22</v>
      </c>
    </row>
    <row r="25336" spans="1:11">
      <c r="A25336" s="30" t="s">
        <v>55771</v>
      </c>
      <c r="B25336" s="30" t="s">
        <v>55772</v>
      </c>
      <c r="C25336" s="30" t="s">
        <v>11899</v>
      </c>
      <c r="D25336" s="30" t="s">
        <v>17</v>
      </c>
      <c r="E25336" s="30" t="s">
        <v>18</v>
      </c>
      <c r="F25336" s="30" t="s">
        <v>19</v>
      </c>
      <c r="G25336" s="30" t="s">
        <v>140</v>
      </c>
      <c r="H25336" s="32">
        <v>400</v>
      </c>
      <c r="I25336" s="30" t="s">
        <v>51</v>
      </c>
      <c r="J25336" s="41">
        <v>45889</v>
      </c>
      <c r="K25336" s="30" t="s">
        <v>22</v>
      </c>
    </row>
    <row r="25337" spans="1:11">
      <c r="A25337" s="33" t="s">
        <v>55773</v>
      </c>
      <c r="B25337" s="33" t="s">
        <v>55774</v>
      </c>
      <c r="C25337" s="33" t="s">
        <v>222</v>
      </c>
      <c r="D25337" s="33" t="s">
        <v>17</v>
      </c>
      <c r="E25337" s="33" t="s">
        <v>18</v>
      </c>
      <c r="F25337" s="33" t="s">
        <v>19</v>
      </c>
      <c r="G25337" s="33" t="s">
        <v>140</v>
      </c>
      <c r="H25337" s="35">
        <v>510</v>
      </c>
      <c r="I25337" s="33" t="s">
        <v>51</v>
      </c>
      <c r="J25337" s="42">
        <v>45743</v>
      </c>
      <c r="K25337" s="33" t="s">
        <v>22</v>
      </c>
    </row>
    <row r="25338" spans="1:11">
      <c r="A25338" s="30" t="s">
        <v>55775</v>
      </c>
      <c r="B25338" s="30" t="s">
        <v>55776</v>
      </c>
      <c r="C25338" s="30" t="s">
        <v>12327</v>
      </c>
      <c r="D25338" s="30" t="s">
        <v>17</v>
      </c>
      <c r="E25338" s="30" t="s">
        <v>45</v>
      </c>
      <c r="F25338" s="30" t="s">
        <v>46</v>
      </c>
      <c r="G25338" s="30" t="s">
        <v>158</v>
      </c>
      <c r="H25338" s="32">
        <v>380</v>
      </c>
      <c r="I25338" s="30" t="s">
        <v>51</v>
      </c>
      <c r="J25338" s="41">
        <v>46020</v>
      </c>
      <c r="K25338" s="30" t="s">
        <v>22</v>
      </c>
    </row>
    <row r="25339" spans="1:11">
      <c r="A25339" s="33" t="s">
        <v>55777</v>
      </c>
      <c r="B25339" s="33" t="s">
        <v>55778</v>
      </c>
      <c r="C25339" s="33" t="s">
        <v>36215</v>
      </c>
      <c r="D25339" s="33" t="s">
        <v>17</v>
      </c>
      <c r="E25339" s="33" t="s">
        <v>67</v>
      </c>
      <c r="F25339" s="33" t="s">
        <v>68</v>
      </c>
      <c r="G25339" s="33" t="s">
        <v>158</v>
      </c>
      <c r="H25339" s="35">
        <v>500</v>
      </c>
      <c r="I25339" s="33" t="s">
        <v>51</v>
      </c>
      <c r="J25339" s="42">
        <v>45729</v>
      </c>
      <c r="K25339" s="33" t="s">
        <v>22</v>
      </c>
    </row>
    <row r="25340" spans="1:11">
      <c r="A25340" s="30" t="s">
        <v>55779</v>
      </c>
      <c r="B25340" s="30" t="s">
        <v>55780</v>
      </c>
      <c r="C25340" s="30" t="s">
        <v>48001</v>
      </c>
      <c r="D25340" s="30" t="s">
        <v>17</v>
      </c>
      <c r="E25340" s="30" t="s">
        <v>26</v>
      </c>
      <c r="F25340" s="30" t="s">
        <v>27</v>
      </c>
      <c r="G25340" s="30" t="s">
        <v>112</v>
      </c>
      <c r="H25340" s="32">
        <v>0</v>
      </c>
      <c r="I25340" s="30" t="s">
        <v>21</v>
      </c>
      <c r="J25340" s="41">
        <v>46006</v>
      </c>
      <c r="K25340" s="30" t="s">
        <v>22</v>
      </c>
    </row>
    <row r="25341" spans="1:11">
      <c r="A25341" s="33" t="s">
        <v>55781</v>
      </c>
      <c r="B25341" s="33" t="s">
        <v>55782</v>
      </c>
      <c r="C25341" s="33" t="s">
        <v>40898</v>
      </c>
      <c r="D25341" s="33" t="s">
        <v>17</v>
      </c>
      <c r="E25341" s="33" t="s">
        <v>31</v>
      </c>
      <c r="F25341" s="33" t="s">
        <v>32</v>
      </c>
      <c r="G25341" s="33" t="s">
        <v>140</v>
      </c>
      <c r="H25341" s="35">
        <v>164</v>
      </c>
      <c r="I25341" s="33" t="s">
        <v>51</v>
      </c>
      <c r="J25341" s="42">
        <v>45782</v>
      </c>
      <c r="K25341" s="33" t="s">
        <v>22</v>
      </c>
    </row>
    <row r="25342" spans="1:11">
      <c r="A25342" s="30" t="s">
        <v>55783</v>
      </c>
      <c r="B25342" s="30" t="s">
        <v>55784</v>
      </c>
      <c r="C25342" s="30" t="s">
        <v>21185</v>
      </c>
      <c r="D25342" s="30" t="s">
        <v>17</v>
      </c>
      <c r="E25342" s="30" t="s">
        <v>67</v>
      </c>
      <c r="F25342" s="30" t="s">
        <v>68</v>
      </c>
      <c r="G25342" s="30" t="s">
        <v>140</v>
      </c>
      <c r="H25342" s="32">
        <v>194</v>
      </c>
      <c r="I25342" s="30" t="s">
        <v>51</v>
      </c>
      <c r="J25342" s="41">
        <v>45755</v>
      </c>
      <c r="K25342" s="30" t="s">
        <v>22</v>
      </c>
    </row>
    <row r="25343" spans="1:11">
      <c r="A25343" s="33" t="s">
        <v>55785</v>
      </c>
      <c r="B25343" s="33" t="s">
        <v>55786</v>
      </c>
      <c r="C25343" s="33" t="s">
        <v>75</v>
      </c>
      <c r="D25343" s="33" t="s">
        <v>17</v>
      </c>
      <c r="E25343" s="33" t="s">
        <v>18</v>
      </c>
      <c r="F25343" s="33" t="s">
        <v>19</v>
      </c>
      <c r="G25343" s="33" t="s">
        <v>140</v>
      </c>
      <c r="H25343" s="35">
        <v>352</v>
      </c>
      <c r="I25343" s="33" t="s">
        <v>51</v>
      </c>
      <c r="J25343" s="42">
        <v>45854</v>
      </c>
      <c r="K25343" s="33" t="s">
        <v>22</v>
      </c>
    </row>
    <row r="25344" spans="1:11">
      <c r="A25344" s="30" t="s">
        <v>55787</v>
      </c>
      <c r="B25344" s="30" t="s">
        <v>55788</v>
      </c>
      <c r="C25344" s="30" t="s">
        <v>21185</v>
      </c>
      <c r="D25344" s="30" t="s">
        <v>17</v>
      </c>
      <c r="E25344" s="30" t="s">
        <v>26</v>
      </c>
      <c r="F25344" s="30" t="s">
        <v>27</v>
      </c>
      <c r="G25344" s="30" t="s">
        <v>20</v>
      </c>
      <c r="H25344" s="32">
        <v>16</v>
      </c>
      <c r="I25344" s="30" t="s">
        <v>21</v>
      </c>
      <c r="J25344" s="41">
        <v>45793</v>
      </c>
      <c r="K25344" s="30" t="s">
        <v>22</v>
      </c>
    </row>
    <row r="25345" spans="1:11">
      <c r="A25345" s="33" t="s">
        <v>55789</v>
      </c>
      <c r="B25345" s="33" t="s">
        <v>55790</v>
      </c>
      <c r="C25345" s="33" t="s">
        <v>55791</v>
      </c>
      <c r="D25345" s="33" t="s">
        <v>17</v>
      </c>
      <c r="E25345" s="33" t="s">
        <v>330</v>
      </c>
      <c r="F25345" s="33" t="s">
        <v>331</v>
      </c>
      <c r="G25345" s="33" t="s">
        <v>2613</v>
      </c>
      <c r="H25345" s="35">
        <v>10</v>
      </c>
      <c r="I25345" s="33" t="s">
        <v>51</v>
      </c>
      <c r="J25345" s="42">
        <v>45947</v>
      </c>
      <c r="K25345" s="33" t="s">
        <v>22</v>
      </c>
    </row>
    <row r="25346" spans="1:11">
      <c r="A25346" s="30" t="s">
        <v>55792</v>
      </c>
      <c r="B25346" s="30" t="s">
        <v>55793</v>
      </c>
      <c r="C25346" s="30" t="s">
        <v>1598</v>
      </c>
      <c r="D25346" s="30" t="s">
        <v>17</v>
      </c>
      <c r="E25346" s="30" t="s">
        <v>18</v>
      </c>
      <c r="F25346" s="30" t="s">
        <v>19</v>
      </c>
      <c r="G25346" s="30" t="s">
        <v>140</v>
      </c>
      <c r="H25346" s="32">
        <v>201</v>
      </c>
      <c r="I25346" s="30" t="s">
        <v>51</v>
      </c>
      <c r="J25346" s="41">
        <v>45873</v>
      </c>
      <c r="K25346" s="30" t="s">
        <v>22</v>
      </c>
    </row>
    <row r="25347" spans="1:11">
      <c r="A25347" s="33" t="s">
        <v>55794</v>
      </c>
      <c r="B25347" s="33" t="s">
        <v>55795</v>
      </c>
      <c r="C25347" s="33" t="s">
        <v>55796</v>
      </c>
      <c r="D25347" s="33" t="s">
        <v>17</v>
      </c>
      <c r="E25347" s="33" t="s">
        <v>26</v>
      </c>
      <c r="F25347" s="33" t="s">
        <v>27</v>
      </c>
      <c r="G25347" s="33" t="s">
        <v>20</v>
      </c>
      <c r="H25347" s="35">
        <v>49</v>
      </c>
      <c r="I25347" s="33" t="s">
        <v>21</v>
      </c>
      <c r="J25347" s="42">
        <v>45828</v>
      </c>
      <c r="K25347" s="33" t="s">
        <v>22</v>
      </c>
    </row>
    <row r="25348" spans="1:11">
      <c r="A25348" s="30" t="s">
        <v>55797</v>
      </c>
      <c r="B25348" s="30" t="s">
        <v>55798</v>
      </c>
      <c r="C25348" s="30" t="s">
        <v>55799</v>
      </c>
      <c r="D25348" s="30" t="s">
        <v>17</v>
      </c>
      <c r="E25348" s="30" t="s">
        <v>26</v>
      </c>
      <c r="F25348" s="30" t="s">
        <v>27</v>
      </c>
      <c r="G25348" s="30" t="s">
        <v>7780</v>
      </c>
      <c r="H25348" s="32">
        <v>84</v>
      </c>
      <c r="I25348" s="30" t="s">
        <v>51</v>
      </c>
      <c r="J25348" s="41">
        <v>45899</v>
      </c>
      <c r="K25348" s="30" t="s">
        <v>22</v>
      </c>
    </row>
    <row r="25349" spans="1:11">
      <c r="A25349" s="33" t="s">
        <v>55800</v>
      </c>
      <c r="B25349" s="33" t="s">
        <v>55801</v>
      </c>
      <c r="C25349" s="33" t="s">
        <v>55802</v>
      </c>
      <c r="D25349" s="33" t="s">
        <v>17</v>
      </c>
      <c r="E25349" s="33" t="s">
        <v>26</v>
      </c>
      <c r="F25349" s="33" t="s">
        <v>27</v>
      </c>
      <c r="G25349" s="33" t="s">
        <v>140</v>
      </c>
      <c r="H25349" s="35">
        <v>30</v>
      </c>
      <c r="I25349" s="33" t="s">
        <v>51</v>
      </c>
      <c r="J25349" s="42">
        <v>45732</v>
      </c>
      <c r="K25349" s="33" t="s">
        <v>22</v>
      </c>
    </row>
    <row r="25350" spans="1:11">
      <c r="A25350" s="30" t="s">
        <v>55803</v>
      </c>
      <c r="B25350" s="30" t="s">
        <v>55804</v>
      </c>
      <c r="C25350" s="30" t="s">
        <v>33068</v>
      </c>
      <c r="D25350" s="30" t="s">
        <v>17</v>
      </c>
      <c r="E25350" s="30" t="s">
        <v>31</v>
      </c>
      <c r="F25350" s="30" t="s">
        <v>32</v>
      </c>
      <c r="G25350" s="30" t="s">
        <v>140</v>
      </c>
      <c r="H25350" s="32">
        <v>150</v>
      </c>
      <c r="I25350" s="30" t="s">
        <v>51</v>
      </c>
      <c r="J25350" s="41">
        <v>45674</v>
      </c>
      <c r="K25350" s="30" t="s">
        <v>22</v>
      </c>
    </row>
    <row r="25351" spans="1:11">
      <c r="A25351" s="33" t="s">
        <v>55805</v>
      </c>
      <c r="B25351" s="33" t="s">
        <v>55806</v>
      </c>
      <c r="C25351" s="33" t="s">
        <v>75</v>
      </c>
      <c r="D25351" s="33" t="s">
        <v>17</v>
      </c>
      <c r="E25351" s="33" t="s">
        <v>18</v>
      </c>
      <c r="F25351" s="33" t="s">
        <v>19</v>
      </c>
      <c r="G25351" s="33" t="s">
        <v>140</v>
      </c>
      <c r="H25351" s="35">
        <v>3040</v>
      </c>
      <c r="I25351" s="33" t="s">
        <v>51</v>
      </c>
      <c r="J25351" s="42">
        <v>45922</v>
      </c>
      <c r="K25351" s="33" t="s">
        <v>22</v>
      </c>
    </row>
    <row r="25352" spans="1:11">
      <c r="A25352" s="30" t="s">
        <v>55807</v>
      </c>
      <c r="B25352" s="30" t="s">
        <v>55808</v>
      </c>
      <c r="C25352" s="30" t="s">
        <v>55809</v>
      </c>
      <c r="D25352" s="30" t="s">
        <v>17</v>
      </c>
      <c r="E25352" s="30" t="s">
        <v>26</v>
      </c>
      <c r="F25352" s="30" t="s">
        <v>27</v>
      </c>
      <c r="G25352" s="30" t="s">
        <v>7780</v>
      </c>
      <c r="H25352" s="32">
        <v>16</v>
      </c>
      <c r="I25352" s="30" t="s">
        <v>51</v>
      </c>
      <c r="J25352" s="41">
        <v>45901</v>
      </c>
      <c r="K25352" s="30" t="s">
        <v>22</v>
      </c>
    </row>
    <row r="25353" spans="1:11">
      <c r="A25353" s="33" t="s">
        <v>55810</v>
      </c>
      <c r="B25353" s="33" t="s">
        <v>55811</v>
      </c>
      <c r="C25353" s="33" t="s">
        <v>11899</v>
      </c>
      <c r="D25353" s="33" t="s">
        <v>17</v>
      </c>
      <c r="E25353" s="33" t="s">
        <v>18</v>
      </c>
      <c r="F25353" s="33" t="s">
        <v>19</v>
      </c>
      <c r="G25353" s="33" t="s">
        <v>140</v>
      </c>
      <c r="H25353" s="35">
        <v>600</v>
      </c>
      <c r="I25353" s="33" t="s">
        <v>51</v>
      </c>
      <c r="J25353" s="42">
        <v>45887</v>
      </c>
      <c r="K25353" s="33" t="s">
        <v>22</v>
      </c>
    </row>
    <row r="25354" spans="1:11">
      <c r="A25354" s="30" t="s">
        <v>55812</v>
      </c>
      <c r="B25354" s="30" t="s">
        <v>55813</v>
      </c>
      <c r="C25354" s="30" t="s">
        <v>30118</v>
      </c>
      <c r="D25354" s="30" t="s">
        <v>17</v>
      </c>
      <c r="E25354" s="30" t="s">
        <v>26</v>
      </c>
      <c r="F25354" s="30" t="s">
        <v>27</v>
      </c>
      <c r="G25354" s="30" t="s">
        <v>140</v>
      </c>
      <c r="H25354" s="32">
        <v>18</v>
      </c>
      <c r="I25354" s="30" t="s">
        <v>51</v>
      </c>
      <c r="J25354" s="41">
        <v>45748</v>
      </c>
      <c r="K25354" s="30" t="s">
        <v>22</v>
      </c>
    </row>
    <row r="25355" spans="1:11">
      <c r="A25355" s="33" t="s">
        <v>55814</v>
      </c>
      <c r="B25355" s="33" t="s">
        <v>55815</v>
      </c>
      <c r="C25355" s="33" t="s">
        <v>55816</v>
      </c>
      <c r="D25355" s="33" t="s">
        <v>17</v>
      </c>
      <c r="E25355" s="33" t="s">
        <v>26</v>
      </c>
      <c r="F25355" s="33" t="s">
        <v>27</v>
      </c>
      <c r="G25355" s="33" t="s">
        <v>140</v>
      </c>
      <c r="H25355" s="35">
        <v>76</v>
      </c>
      <c r="I25355" s="33" t="s">
        <v>51</v>
      </c>
      <c r="J25355" s="42">
        <v>45695</v>
      </c>
      <c r="K25355" s="33" t="s">
        <v>22</v>
      </c>
    </row>
    <row r="25356" spans="1:11">
      <c r="A25356" s="30" t="s">
        <v>55817</v>
      </c>
      <c r="B25356" s="30" t="s">
        <v>55818</v>
      </c>
      <c r="C25356" s="30" t="s">
        <v>416</v>
      </c>
      <c r="D25356" s="30" t="s">
        <v>17</v>
      </c>
      <c r="E25356" s="30" t="s">
        <v>18</v>
      </c>
      <c r="F25356" s="30" t="s">
        <v>19</v>
      </c>
      <c r="G25356" s="30" t="s">
        <v>140</v>
      </c>
      <c r="H25356" s="32">
        <v>56</v>
      </c>
      <c r="I25356" s="30" t="s">
        <v>51</v>
      </c>
      <c r="J25356" s="41">
        <v>46008</v>
      </c>
      <c r="K25356" s="30" t="s">
        <v>22</v>
      </c>
    </row>
    <row r="25357" spans="1:11">
      <c r="A25357" s="33" t="s">
        <v>55819</v>
      </c>
      <c r="B25357" s="33" t="s">
        <v>55820</v>
      </c>
      <c r="C25357" s="33" t="s">
        <v>55821</v>
      </c>
      <c r="D25357" s="33" t="s">
        <v>17</v>
      </c>
      <c r="E25357" s="33" t="s">
        <v>67</v>
      </c>
      <c r="F25357" s="33" t="s">
        <v>68</v>
      </c>
      <c r="G25357" s="33" t="s">
        <v>20</v>
      </c>
      <c r="H25357" s="35">
        <v>24</v>
      </c>
      <c r="I25357" s="33" t="s">
        <v>21</v>
      </c>
      <c r="J25357" s="42">
        <v>45672</v>
      </c>
      <c r="K25357" s="33" t="s">
        <v>22</v>
      </c>
    </row>
    <row r="25358" spans="1:11">
      <c r="A25358" s="30" t="s">
        <v>55822</v>
      </c>
      <c r="B25358" s="30" t="s">
        <v>55823</v>
      </c>
      <c r="C25358" s="30" t="s">
        <v>75</v>
      </c>
      <c r="D25358" s="30" t="s">
        <v>17</v>
      </c>
      <c r="E25358" s="30" t="s">
        <v>45</v>
      </c>
      <c r="F25358" s="30" t="s">
        <v>46</v>
      </c>
      <c r="G25358" s="30" t="s">
        <v>140</v>
      </c>
      <c r="H25358" s="32">
        <v>500</v>
      </c>
      <c r="I25358" s="30" t="s">
        <v>51</v>
      </c>
      <c r="J25358" s="41">
        <v>45911</v>
      </c>
      <c r="K25358" s="30" t="s">
        <v>22</v>
      </c>
    </row>
    <row r="25359" spans="1:11">
      <c r="A25359" s="33" t="s">
        <v>55824</v>
      </c>
      <c r="B25359" s="33" t="s">
        <v>55825</v>
      </c>
      <c r="C25359" s="33" t="s">
        <v>3775</v>
      </c>
      <c r="D25359" s="33" t="s">
        <v>17</v>
      </c>
      <c r="E25359" s="33" t="s">
        <v>26</v>
      </c>
      <c r="F25359" s="33" t="s">
        <v>27</v>
      </c>
      <c r="G25359" s="33" t="s">
        <v>140</v>
      </c>
      <c r="H25359" s="35">
        <v>52</v>
      </c>
      <c r="I25359" s="33" t="s">
        <v>51</v>
      </c>
      <c r="J25359" s="42">
        <v>45841</v>
      </c>
      <c r="K25359" s="33" t="s">
        <v>22</v>
      </c>
    </row>
    <row r="25360" spans="1:11">
      <c r="A25360" s="30" t="s">
        <v>55826</v>
      </c>
      <c r="B25360" s="30" t="s">
        <v>55827</v>
      </c>
      <c r="C25360" s="30" t="s">
        <v>3944</v>
      </c>
      <c r="D25360" s="30" t="s">
        <v>17</v>
      </c>
      <c r="E25360" s="30" t="s">
        <v>26</v>
      </c>
      <c r="F25360" s="30" t="s">
        <v>27</v>
      </c>
      <c r="G25360" s="30" t="s">
        <v>140</v>
      </c>
      <c r="H25360" s="32">
        <v>24</v>
      </c>
      <c r="I25360" s="30" t="s">
        <v>51</v>
      </c>
      <c r="J25360" s="41">
        <v>45839</v>
      </c>
      <c r="K25360" s="30" t="s">
        <v>22</v>
      </c>
    </row>
    <row r="25361" spans="1:11">
      <c r="A25361" s="33" t="s">
        <v>55828</v>
      </c>
      <c r="B25361" s="33" t="s">
        <v>55829</v>
      </c>
      <c r="C25361" s="33" t="s">
        <v>50937</v>
      </c>
      <c r="D25361" s="33" t="s">
        <v>17</v>
      </c>
      <c r="E25361" s="33" t="s">
        <v>212</v>
      </c>
      <c r="F25361" s="33" t="s">
        <v>213</v>
      </c>
      <c r="G25361" s="33" t="s">
        <v>140</v>
      </c>
      <c r="H25361" s="35">
        <v>100</v>
      </c>
      <c r="I25361" s="33" t="s">
        <v>51</v>
      </c>
      <c r="J25361" s="42">
        <v>45819</v>
      </c>
      <c r="K25361" s="33" t="s">
        <v>22</v>
      </c>
    </row>
    <row r="25362" spans="1:11">
      <c r="A25362" s="30" t="s">
        <v>55830</v>
      </c>
      <c r="B25362" s="30" t="s">
        <v>55831</v>
      </c>
      <c r="C25362" s="30" t="s">
        <v>53075</v>
      </c>
      <c r="D25362" s="30" t="s">
        <v>17</v>
      </c>
      <c r="E25362" s="30" t="s">
        <v>26</v>
      </c>
      <c r="F25362" s="30" t="s">
        <v>27</v>
      </c>
      <c r="G25362" s="30" t="s">
        <v>50</v>
      </c>
      <c r="H25362" s="32">
        <v>30</v>
      </c>
      <c r="I25362" s="30" t="s">
        <v>51</v>
      </c>
      <c r="J25362" s="41">
        <v>45778</v>
      </c>
      <c r="K25362" s="30" t="s">
        <v>22</v>
      </c>
    </row>
    <row r="25363" spans="1:11">
      <c r="A25363" s="33" t="s">
        <v>55832</v>
      </c>
      <c r="B25363" s="33" t="s">
        <v>55833</v>
      </c>
      <c r="C25363" s="33" t="s">
        <v>252</v>
      </c>
      <c r="D25363" s="33" t="s">
        <v>17</v>
      </c>
      <c r="E25363" s="33" t="s">
        <v>18</v>
      </c>
      <c r="F25363" s="33" t="s">
        <v>19</v>
      </c>
      <c r="G25363" s="33" t="s">
        <v>140</v>
      </c>
      <c r="H25363" s="35">
        <v>560</v>
      </c>
      <c r="I25363" s="33" t="s">
        <v>51</v>
      </c>
      <c r="J25363" s="42">
        <v>45804</v>
      </c>
      <c r="K25363" s="33" t="s">
        <v>22</v>
      </c>
    </row>
    <row r="25364" spans="1:11">
      <c r="A25364" s="30" t="s">
        <v>55834</v>
      </c>
      <c r="B25364" s="30" t="s">
        <v>55835</v>
      </c>
      <c r="C25364" s="30" t="s">
        <v>55836</v>
      </c>
      <c r="D25364" s="30" t="s">
        <v>17</v>
      </c>
      <c r="E25364" s="30" t="s">
        <v>18</v>
      </c>
      <c r="F25364" s="30" t="s">
        <v>19</v>
      </c>
      <c r="G25364" s="30" t="s">
        <v>140</v>
      </c>
      <c r="H25364" s="32">
        <v>184</v>
      </c>
      <c r="I25364" s="30" t="s">
        <v>51</v>
      </c>
      <c r="J25364" s="41">
        <v>45906</v>
      </c>
      <c r="K25364" s="30" t="s">
        <v>22</v>
      </c>
    </row>
    <row r="25365" spans="1:11">
      <c r="A25365" s="33" t="s">
        <v>55837</v>
      </c>
      <c r="B25365" s="33" t="s">
        <v>55838</v>
      </c>
      <c r="C25365" s="33" t="s">
        <v>149</v>
      </c>
      <c r="D25365" s="33" t="s">
        <v>17</v>
      </c>
      <c r="E25365" s="33" t="s">
        <v>26</v>
      </c>
      <c r="F25365" s="33" t="s">
        <v>27</v>
      </c>
      <c r="G25365" s="33" t="s">
        <v>20</v>
      </c>
      <c r="H25365" s="35">
        <v>6</v>
      </c>
      <c r="I25365" s="33" t="s">
        <v>21</v>
      </c>
      <c r="J25365" s="42">
        <v>45798</v>
      </c>
      <c r="K25365" s="33" t="s">
        <v>22</v>
      </c>
    </row>
    <row r="25366" spans="1:11">
      <c r="A25366" s="30" t="s">
        <v>55839</v>
      </c>
      <c r="B25366" s="30" t="s">
        <v>55840</v>
      </c>
      <c r="C25366" s="30" t="s">
        <v>16063</v>
      </c>
      <c r="D25366" s="30" t="s">
        <v>17</v>
      </c>
      <c r="E25366" s="30" t="s">
        <v>26</v>
      </c>
      <c r="F25366" s="30" t="s">
        <v>27</v>
      </c>
      <c r="G25366" s="30" t="s">
        <v>140</v>
      </c>
      <c r="H25366" s="32">
        <v>157</v>
      </c>
      <c r="I25366" s="30" t="s">
        <v>51</v>
      </c>
      <c r="J25366" s="41">
        <v>45743</v>
      </c>
      <c r="K25366" s="30" t="s">
        <v>22</v>
      </c>
    </row>
    <row r="25367" spans="1:11">
      <c r="A25367" s="33" t="s">
        <v>55841</v>
      </c>
      <c r="B25367" s="33" t="s">
        <v>55842</v>
      </c>
      <c r="C25367" s="33" t="s">
        <v>102</v>
      </c>
      <c r="D25367" s="33" t="s">
        <v>17</v>
      </c>
      <c r="E25367" s="33" t="s">
        <v>26</v>
      </c>
      <c r="F25367" s="33" t="s">
        <v>27</v>
      </c>
      <c r="G25367" s="33" t="s">
        <v>140</v>
      </c>
      <c r="H25367" s="35">
        <v>360</v>
      </c>
      <c r="I25367" s="33" t="s">
        <v>51</v>
      </c>
      <c r="J25367" s="42">
        <v>45940</v>
      </c>
      <c r="K25367" s="33" t="s">
        <v>22</v>
      </c>
    </row>
    <row r="25368" spans="1:11">
      <c r="A25368" s="30" t="s">
        <v>55843</v>
      </c>
      <c r="B25368" s="30" t="s">
        <v>55844</v>
      </c>
      <c r="C25368" s="30" t="s">
        <v>136</v>
      </c>
      <c r="D25368" s="30" t="s">
        <v>17</v>
      </c>
      <c r="E25368" s="30" t="s">
        <v>26</v>
      </c>
      <c r="F25368" s="30" t="s">
        <v>27</v>
      </c>
      <c r="G25368" s="30" t="s">
        <v>20</v>
      </c>
      <c r="H25368" s="32">
        <v>188</v>
      </c>
      <c r="I25368" s="30" t="s">
        <v>21</v>
      </c>
      <c r="J25368" s="41">
        <v>45756</v>
      </c>
      <c r="K25368" s="30" t="s">
        <v>22</v>
      </c>
    </row>
    <row r="25369" spans="1:11">
      <c r="A25369" s="33" t="s">
        <v>55845</v>
      </c>
      <c r="B25369" s="33" t="s">
        <v>55846</v>
      </c>
      <c r="C25369" s="33" t="s">
        <v>45082</v>
      </c>
      <c r="D25369" s="33" t="s">
        <v>17</v>
      </c>
      <c r="E25369" s="33" t="s">
        <v>26</v>
      </c>
      <c r="F25369" s="33" t="s">
        <v>27</v>
      </c>
      <c r="G25369" s="33" t="s">
        <v>112</v>
      </c>
      <c r="H25369" s="35">
        <v>0</v>
      </c>
      <c r="I25369" s="33" t="s">
        <v>21</v>
      </c>
      <c r="J25369" s="42">
        <v>45763</v>
      </c>
      <c r="K25369" s="33" t="s">
        <v>22</v>
      </c>
    </row>
    <row r="25370" spans="1:11">
      <c r="A25370" s="30" t="s">
        <v>55847</v>
      </c>
      <c r="B25370" s="30" t="s">
        <v>55848</v>
      </c>
      <c r="C25370" s="30" t="s">
        <v>2753</v>
      </c>
      <c r="D25370" s="30" t="s">
        <v>17</v>
      </c>
      <c r="E25370" s="30" t="s">
        <v>26</v>
      </c>
      <c r="F25370" s="30" t="s">
        <v>27</v>
      </c>
      <c r="G25370" s="30" t="s">
        <v>140</v>
      </c>
      <c r="H25370" s="32">
        <v>120</v>
      </c>
      <c r="I25370" s="30" t="s">
        <v>51</v>
      </c>
      <c r="J25370" s="41">
        <v>45692</v>
      </c>
      <c r="K25370" s="30" t="s">
        <v>22</v>
      </c>
    </row>
    <row r="25371" spans="1:11">
      <c r="A25371" s="33" t="s">
        <v>55849</v>
      </c>
      <c r="B25371" s="33" t="s">
        <v>55850</v>
      </c>
      <c r="C25371" s="33" t="s">
        <v>78</v>
      </c>
      <c r="D25371" s="33" t="s">
        <v>17</v>
      </c>
      <c r="E25371" s="33" t="s">
        <v>18</v>
      </c>
      <c r="F25371" s="33" t="s">
        <v>19</v>
      </c>
      <c r="G25371" s="33" t="s">
        <v>7780</v>
      </c>
      <c r="H25371" s="35">
        <v>288</v>
      </c>
      <c r="I25371" s="33" t="s">
        <v>51</v>
      </c>
      <c r="J25371" s="42">
        <v>45777</v>
      </c>
      <c r="K25371" s="33" t="s">
        <v>22</v>
      </c>
    </row>
    <row r="25372" spans="1:11">
      <c r="A25372" s="30" t="s">
        <v>55851</v>
      </c>
      <c r="B25372" s="30" t="s">
        <v>55852</v>
      </c>
      <c r="C25372" s="30" t="s">
        <v>14483</v>
      </c>
      <c r="D25372" s="30" t="s">
        <v>17</v>
      </c>
      <c r="E25372" s="30" t="s">
        <v>31</v>
      </c>
      <c r="F25372" s="30" t="s">
        <v>32</v>
      </c>
      <c r="G25372" s="30" t="s">
        <v>106</v>
      </c>
      <c r="H25372" s="32">
        <v>120</v>
      </c>
      <c r="I25372" s="30" t="s">
        <v>21</v>
      </c>
      <c r="J25372" s="41">
        <v>46010</v>
      </c>
      <c r="K25372" s="30" t="s">
        <v>22</v>
      </c>
    </row>
    <row r="25373" spans="1:11">
      <c r="A25373" s="33" t="s">
        <v>55853</v>
      </c>
      <c r="B25373" s="33" t="s">
        <v>55854</v>
      </c>
      <c r="C25373" s="33" t="s">
        <v>46696</v>
      </c>
      <c r="D25373" s="33" t="s">
        <v>17</v>
      </c>
      <c r="E25373" s="33" t="s">
        <v>26</v>
      </c>
      <c r="F25373" s="33" t="s">
        <v>27</v>
      </c>
      <c r="G25373" s="33" t="s">
        <v>158</v>
      </c>
      <c r="H25373" s="35">
        <v>31</v>
      </c>
      <c r="I25373" s="33" t="s">
        <v>21</v>
      </c>
      <c r="J25373" s="42">
        <v>45743</v>
      </c>
      <c r="K25373" s="33" t="s">
        <v>22</v>
      </c>
    </row>
    <row r="25374" spans="1:11">
      <c r="A25374" s="30" t="s">
        <v>55855</v>
      </c>
      <c r="B25374" s="30" t="s">
        <v>55856</v>
      </c>
      <c r="C25374" s="30" t="s">
        <v>143</v>
      </c>
      <c r="D25374" s="30" t="s">
        <v>17</v>
      </c>
      <c r="E25374" s="30" t="s">
        <v>26</v>
      </c>
      <c r="F25374" s="30" t="s">
        <v>27</v>
      </c>
      <c r="G25374" s="30" t="s">
        <v>140</v>
      </c>
      <c r="H25374" s="32">
        <v>177</v>
      </c>
      <c r="I25374" s="30" t="s">
        <v>51</v>
      </c>
      <c r="J25374" s="41">
        <v>45881</v>
      </c>
      <c r="K25374" s="30" t="s">
        <v>22</v>
      </c>
    </row>
    <row r="25375" spans="1:11">
      <c r="A25375" s="33" t="s">
        <v>55857</v>
      </c>
      <c r="B25375" s="33" t="s">
        <v>55858</v>
      </c>
      <c r="C25375" s="33" t="s">
        <v>5372</v>
      </c>
      <c r="D25375" s="33" t="s">
        <v>17</v>
      </c>
      <c r="E25375" s="33" t="s">
        <v>31</v>
      </c>
      <c r="F25375" s="33" t="s">
        <v>32</v>
      </c>
      <c r="G25375" s="33" t="s">
        <v>158</v>
      </c>
      <c r="H25375" s="35">
        <v>100</v>
      </c>
      <c r="I25375" s="33" t="s">
        <v>51</v>
      </c>
      <c r="J25375" s="42">
        <v>45874</v>
      </c>
      <c r="K25375" s="33" t="s">
        <v>22</v>
      </c>
    </row>
    <row r="25376" spans="1:11">
      <c r="A25376" s="30" t="s">
        <v>55859</v>
      </c>
      <c r="B25376" s="30" t="s">
        <v>55860</v>
      </c>
      <c r="C25376" s="30" t="s">
        <v>96</v>
      </c>
      <c r="D25376" s="30" t="s">
        <v>17</v>
      </c>
      <c r="E25376" s="30" t="s">
        <v>26</v>
      </c>
      <c r="F25376" s="30" t="s">
        <v>27</v>
      </c>
      <c r="G25376" s="30" t="s">
        <v>20</v>
      </c>
      <c r="H25376" s="32">
        <v>400</v>
      </c>
      <c r="I25376" s="30" t="s">
        <v>21</v>
      </c>
      <c r="J25376" s="41">
        <v>45844</v>
      </c>
      <c r="K25376" s="30" t="s">
        <v>22</v>
      </c>
    </row>
    <row r="25377" spans="1:11">
      <c r="A25377" s="33" t="s">
        <v>55861</v>
      </c>
      <c r="B25377" s="33" t="s">
        <v>55862</v>
      </c>
      <c r="C25377" s="33" t="s">
        <v>1270</v>
      </c>
      <c r="D25377" s="33" t="s">
        <v>17</v>
      </c>
      <c r="E25377" s="33" t="s">
        <v>26</v>
      </c>
      <c r="F25377" s="33" t="s">
        <v>27</v>
      </c>
      <c r="G25377" s="33" t="s">
        <v>140</v>
      </c>
      <c r="H25377" s="35">
        <v>142</v>
      </c>
      <c r="I25377" s="33" t="s">
        <v>51</v>
      </c>
      <c r="J25377" s="42">
        <v>45793</v>
      </c>
      <c r="K25377" s="33" t="s">
        <v>22</v>
      </c>
    </row>
    <row r="25378" spans="1:11">
      <c r="A25378" s="30" t="s">
        <v>55863</v>
      </c>
      <c r="B25378" s="30" t="s">
        <v>55864</v>
      </c>
      <c r="C25378" s="30" t="s">
        <v>136</v>
      </c>
      <c r="D25378" s="30" t="s">
        <v>17</v>
      </c>
      <c r="E25378" s="30" t="s">
        <v>18</v>
      </c>
      <c r="F25378" s="30" t="s">
        <v>19</v>
      </c>
      <c r="G25378" s="30" t="s">
        <v>140</v>
      </c>
      <c r="H25378" s="32">
        <v>586</v>
      </c>
      <c r="I25378" s="30" t="s">
        <v>51</v>
      </c>
      <c r="J25378" s="41">
        <v>45806</v>
      </c>
      <c r="K25378" s="30" t="s">
        <v>22</v>
      </c>
    </row>
    <row r="25379" spans="1:11">
      <c r="A25379" s="33" t="s">
        <v>55865</v>
      </c>
      <c r="B25379" s="33" t="s">
        <v>55866</v>
      </c>
      <c r="C25379" s="33" t="s">
        <v>55867</v>
      </c>
      <c r="D25379" s="33" t="s">
        <v>17</v>
      </c>
      <c r="E25379" s="33" t="s">
        <v>26</v>
      </c>
      <c r="F25379" s="33" t="s">
        <v>27</v>
      </c>
      <c r="G25379" s="33" t="s">
        <v>7780</v>
      </c>
      <c r="H25379" s="35">
        <v>48</v>
      </c>
      <c r="I25379" s="33" t="s">
        <v>51</v>
      </c>
      <c r="J25379" s="42">
        <v>45809</v>
      </c>
      <c r="K25379" s="33" t="s">
        <v>22</v>
      </c>
    </row>
    <row r="25380" spans="1:11">
      <c r="A25380" s="30" t="s">
        <v>55868</v>
      </c>
      <c r="B25380" s="30" t="s">
        <v>55869</v>
      </c>
      <c r="C25380" s="30" t="s">
        <v>190</v>
      </c>
      <c r="D25380" s="30" t="s">
        <v>17</v>
      </c>
      <c r="E25380" s="30" t="s">
        <v>26</v>
      </c>
      <c r="F25380" s="30" t="s">
        <v>27</v>
      </c>
      <c r="G25380" s="30" t="s">
        <v>20</v>
      </c>
      <c r="H25380" s="32">
        <v>49</v>
      </c>
      <c r="I25380" s="30" t="s">
        <v>21</v>
      </c>
      <c r="J25380" s="41">
        <v>45783</v>
      </c>
      <c r="K25380" s="30" t="s">
        <v>22</v>
      </c>
    </row>
    <row r="25381" spans="1:11">
      <c r="A25381" s="33" t="s">
        <v>55870</v>
      </c>
      <c r="B25381" s="33" t="s">
        <v>55871</v>
      </c>
      <c r="C25381" s="33" t="s">
        <v>136</v>
      </c>
      <c r="D25381" s="33" t="s">
        <v>17</v>
      </c>
      <c r="E25381" s="33" t="s">
        <v>212</v>
      </c>
      <c r="F25381" s="33" t="s">
        <v>213</v>
      </c>
      <c r="G25381" s="33" t="s">
        <v>140</v>
      </c>
      <c r="H25381" s="35">
        <v>787</v>
      </c>
      <c r="I25381" s="33" t="s">
        <v>51</v>
      </c>
      <c r="J25381" s="42">
        <v>45797</v>
      </c>
      <c r="K25381" s="33" t="s">
        <v>22</v>
      </c>
    </row>
    <row r="25382" spans="1:11">
      <c r="A25382" s="30" t="s">
        <v>55872</v>
      </c>
      <c r="B25382" s="30" t="s">
        <v>55873</v>
      </c>
      <c r="C25382" s="30" t="s">
        <v>2012</v>
      </c>
      <c r="D25382" s="30" t="s">
        <v>17</v>
      </c>
      <c r="E25382" s="30" t="s">
        <v>26</v>
      </c>
      <c r="F25382" s="30" t="s">
        <v>27</v>
      </c>
      <c r="G25382" s="30" t="s">
        <v>20</v>
      </c>
      <c r="H25382" s="32">
        <v>46</v>
      </c>
      <c r="I25382" s="30" t="s">
        <v>21</v>
      </c>
      <c r="J25382" s="41">
        <v>45798</v>
      </c>
      <c r="K25382" s="30" t="s">
        <v>22</v>
      </c>
    </row>
    <row r="25383" spans="1:11">
      <c r="A25383" s="33" t="s">
        <v>55874</v>
      </c>
      <c r="B25383" s="33" t="s">
        <v>55875</v>
      </c>
      <c r="C25383" s="33" t="s">
        <v>55876</v>
      </c>
      <c r="D25383" s="33" t="s">
        <v>17</v>
      </c>
      <c r="E25383" s="33" t="s">
        <v>26</v>
      </c>
      <c r="F25383" s="33" t="s">
        <v>27</v>
      </c>
      <c r="G25383" s="33" t="s">
        <v>140</v>
      </c>
      <c r="H25383" s="35">
        <v>16</v>
      </c>
      <c r="I25383" s="33" t="s">
        <v>51</v>
      </c>
      <c r="J25383" s="42">
        <v>45903</v>
      </c>
      <c r="K25383" s="33" t="s">
        <v>22</v>
      </c>
    </row>
    <row r="25384" spans="1:11">
      <c r="A25384" s="30" t="s">
        <v>55877</v>
      </c>
      <c r="B25384" s="30" t="s">
        <v>55878</v>
      </c>
      <c r="C25384" s="30" t="s">
        <v>3157</v>
      </c>
      <c r="D25384" s="30" t="s">
        <v>17</v>
      </c>
      <c r="E25384" s="30" t="s">
        <v>31</v>
      </c>
      <c r="F25384" s="30" t="s">
        <v>32</v>
      </c>
      <c r="G25384" s="30" t="s">
        <v>140</v>
      </c>
      <c r="H25384" s="32">
        <v>12</v>
      </c>
      <c r="I25384" s="30" t="s">
        <v>51</v>
      </c>
      <c r="J25384" s="41">
        <v>45776</v>
      </c>
      <c r="K25384" s="30" t="s">
        <v>22</v>
      </c>
    </row>
    <row r="25385" spans="1:11">
      <c r="A25385" s="33" t="s">
        <v>55879</v>
      </c>
      <c r="B25385" s="33" t="s">
        <v>55880</v>
      </c>
      <c r="C25385" s="33" t="s">
        <v>1469</v>
      </c>
      <c r="D25385" s="33" t="s">
        <v>17</v>
      </c>
      <c r="E25385" s="33" t="s">
        <v>31</v>
      </c>
      <c r="F25385" s="33" t="s">
        <v>32</v>
      </c>
      <c r="G25385" s="33" t="s">
        <v>140</v>
      </c>
      <c r="H25385" s="35">
        <v>50</v>
      </c>
      <c r="I25385" s="33" t="s">
        <v>51</v>
      </c>
      <c r="J25385" s="42">
        <v>45950</v>
      </c>
      <c r="K25385" s="33" t="s">
        <v>22</v>
      </c>
    </row>
    <row r="25386" spans="1:11">
      <c r="A25386" s="30" t="s">
        <v>55881</v>
      </c>
      <c r="B25386" s="30" t="s">
        <v>55882</v>
      </c>
      <c r="C25386" s="30" t="s">
        <v>35325</v>
      </c>
      <c r="D25386" s="30" t="s">
        <v>17</v>
      </c>
      <c r="E25386" s="30" t="s">
        <v>26</v>
      </c>
      <c r="F25386" s="30" t="s">
        <v>27</v>
      </c>
      <c r="G25386" s="30" t="s">
        <v>158</v>
      </c>
      <c r="H25386" s="32">
        <v>80</v>
      </c>
      <c r="I25386" s="30" t="s">
        <v>51</v>
      </c>
      <c r="J25386" s="41">
        <v>45964</v>
      </c>
      <c r="K25386" s="30" t="s">
        <v>22</v>
      </c>
    </row>
    <row r="25387" spans="1:11">
      <c r="A25387" s="33" t="s">
        <v>55883</v>
      </c>
      <c r="B25387" s="33" t="s">
        <v>55884</v>
      </c>
      <c r="C25387" s="33" t="s">
        <v>50906</v>
      </c>
      <c r="D25387" s="33" t="s">
        <v>17</v>
      </c>
      <c r="E25387" s="33" t="s">
        <v>26</v>
      </c>
      <c r="F25387" s="33" t="s">
        <v>27</v>
      </c>
      <c r="G25387" s="33" t="s">
        <v>140</v>
      </c>
      <c r="H25387" s="35">
        <v>40</v>
      </c>
      <c r="I25387" s="33" t="s">
        <v>51</v>
      </c>
      <c r="J25387" s="42">
        <v>45987</v>
      </c>
      <c r="K25387" s="33" t="s">
        <v>22</v>
      </c>
    </row>
    <row r="25388" spans="1:11">
      <c r="A25388" s="30" t="s">
        <v>55885</v>
      </c>
      <c r="B25388" s="30" t="s">
        <v>55886</v>
      </c>
      <c r="C25388" s="30" t="s">
        <v>109</v>
      </c>
      <c r="D25388" s="30" t="s">
        <v>17</v>
      </c>
      <c r="E25388" s="30" t="s">
        <v>31</v>
      </c>
      <c r="F25388" s="30" t="s">
        <v>32</v>
      </c>
      <c r="G25388" s="30" t="s">
        <v>158</v>
      </c>
      <c r="H25388" s="32">
        <v>34</v>
      </c>
      <c r="I25388" s="30" t="s">
        <v>21</v>
      </c>
      <c r="J25388" s="41">
        <v>45971</v>
      </c>
      <c r="K25388" s="30" t="s">
        <v>22</v>
      </c>
    </row>
    <row r="25389" spans="1:11">
      <c r="A25389" s="33" t="s">
        <v>55887</v>
      </c>
      <c r="B25389" s="33" t="s">
        <v>55888</v>
      </c>
      <c r="C25389" s="33" t="s">
        <v>1428</v>
      </c>
      <c r="D25389" s="33" t="s">
        <v>17</v>
      </c>
      <c r="E25389" s="33" t="s">
        <v>67</v>
      </c>
      <c r="F25389" s="33" t="s">
        <v>68</v>
      </c>
      <c r="G25389" s="33" t="s">
        <v>140</v>
      </c>
      <c r="H25389" s="35">
        <v>110</v>
      </c>
      <c r="I25389" s="33" t="s">
        <v>51</v>
      </c>
      <c r="J25389" s="42">
        <v>45831</v>
      </c>
      <c r="K25389" s="33" t="s">
        <v>22</v>
      </c>
    </row>
    <row r="25390" spans="1:11">
      <c r="A25390" s="30" t="s">
        <v>55889</v>
      </c>
      <c r="B25390" s="30" t="s">
        <v>55890</v>
      </c>
      <c r="C25390" s="30" t="s">
        <v>12282</v>
      </c>
      <c r="D25390" s="30" t="s">
        <v>17</v>
      </c>
      <c r="E25390" s="30" t="s">
        <v>26</v>
      </c>
      <c r="F25390" s="30" t="s">
        <v>27</v>
      </c>
      <c r="G25390" s="30" t="s">
        <v>20</v>
      </c>
      <c r="H25390" s="32">
        <v>24</v>
      </c>
      <c r="I25390" s="30" t="s">
        <v>21</v>
      </c>
      <c r="J25390" s="41">
        <v>45803</v>
      </c>
      <c r="K25390" s="30" t="s">
        <v>22</v>
      </c>
    </row>
    <row r="25391" spans="1:11">
      <c r="A25391" s="33" t="s">
        <v>55891</v>
      </c>
      <c r="B25391" s="33" t="s">
        <v>55892</v>
      </c>
      <c r="C25391" s="33" t="s">
        <v>399</v>
      </c>
      <c r="D25391" s="33" t="s">
        <v>17</v>
      </c>
      <c r="E25391" s="33" t="s">
        <v>31</v>
      </c>
      <c r="F25391" s="33" t="s">
        <v>32</v>
      </c>
      <c r="G25391" s="33" t="s">
        <v>158</v>
      </c>
      <c r="H25391" s="35">
        <v>83</v>
      </c>
      <c r="I25391" s="33" t="s">
        <v>21</v>
      </c>
      <c r="J25391" s="42">
        <v>45770</v>
      </c>
      <c r="K25391" s="33" t="s">
        <v>22</v>
      </c>
    </row>
    <row r="25392" spans="1:11">
      <c r="A25392" s="30" t="s">
        <v>55893</v>
      </c>
      <c r="B25392" s="30" t="s">
        <v>55894</v>
      </c>
      <c r="C25392" s="30" t="s">
        <v>55895</v>
      </c>
      <c r="D25392" s="30" t="s">
        <v>17</v>
      </c>
      <c r="E25392" s="30" t="s">
        <v>26</v>
      </c>
      <c r="F25392" s="30" t="s">
        <v>27</v>
      </c>
      <c r="G25392" s="30" t="s">
        <v>140</v>
      </c>
      <c r="H25392" s="32">
        <v>32</v>
      </c>
      <c r="I25392" s="30" t="s">
        <v>51</v>
      </c>
      <c r="J25392" s="41">
        <v>45750</v>
      </c>
      <c r="K25392" s="30" t="s">
        <v>22</v>
      </c>
    </row>
    <row r="25393" spans="1:11">
      <c r="A25393" s="33" t="s">
        <v>55896</v>
      </c>
      <c r="B25393" s="33" t="s">
        <v>55897</v>
      </c>
      <c r="C25393" s="33" t="s">
        <v>9605</v>
      </c>
      <c r="D25393" s="33" t="s">
        <v>17</v>
      </c>
      <c r="E25393" s="33" t="s">
        <v>31</v>
      </c>
      <c r="F25393" s="33" t="s">
        <v>32</v>
      </c>
      <c r="G25393" s="33" t="s">
        <v>7780</v>
      </c>
      <c r="H25393" s="35">
        <v>84</v>
      </c>
      <c r="I25393" s="33" t="s">
        <v>51</v>
      </c>
      <c r="J25393" s="42">
        <v>45742</v>
      </c>
      <c r="K25393" s="33" t="s">
        <v>22</v>
      </c>
    </row>
    <row r="25394" spans="1:11">
      <c r="A25394" s="30" t="s">
        <v>55898</v>
      </c>
      <c r="B25394" s="30" t="s">
        <v>55899</v>
      </c>
      <c r="C25394" s="30" t="s">
        <v>4484</v>
      </c>
      <c r="D25394" s="30" t="s">
        <v>17</v>
      </c>
      <c r="E25394" s="30" t="s">
        <v>26</v>
      </c>
      <c r="F25394" s="30" t="s">
        <v>27</v>
      </c>
      <c r="G25394" s="30" t="s">
        <v>140</v>
      </c>
      <c r="H25394" s="32">
        <v>76</v>
      </c>
      <c r="I25394" s="30" t="s">
        <v>51</v>
      </c>
      <c r="J25394" s="41">
        <v>45982</v>
      </c>
      <c r="K25394" s="30" t="s">
        <v>22</v>
      </c>
    </row>
    <row r="25395" spans="1:11">
      <c r="A25395" s="33" t="s">
        <v>55900</v>
      </c>
      <c r="B25395" s="33" t="s">
        <v>55901</v>
      </c>
      <c r="C25395" s="33" t="s">
        <v>16327</v>
      </c>
      <c r="D25395" s="33" t="s">
        <v>17</v>
      </c>
      <c r="E25395" s="33" t="s">
        <v>67</v>
      </c>
      <c r="F25395" s="33" t="s">
        <v>68</v>
      </c>
      <c r="G25395" s="33" t="s">
        <v>140</v>
      </c>
      <c r="H25395" s="35">
        <v>112</v>
      </c>
      <c r="I25395" s="33" t="s">
        <v>51</v>
      </c>
      <c r="J25395" s="42">
        <v>45775</v>
      </c>
      <c r="K25395" s="33" t="s">
        <v>22</v>
      </c>
    </row>
    <row r="25396" spans="1:11">
      <c r="A25396" s="30" t="s">
        <v>55902</v>
      </c>
      <c r="B25396" s="30" t="s">
        <v>55903</v>
      </c>
      <c r="C25396" s="30" t="s">
        <v>203</v>
      </c>
      <c r="D25396" s="30" t="s">
        <v>17</v>
      </c>
      <c r="E25396" s="30" t="s">
        <v>26</v>
      </c>
      <c r="F25396" s="30" t="s">
        <v>27</v>
      </c>
      <c r="G25396" s="30" t="s">
        <v>20</v>
      </c>
      <c r="H25396" s="32">
        <v>48</v>
      </c>
      <c r="I25396" s="30" t="s">
        <v>21</v>
      </c>
      <c r="J25396" s="41">
        <v>45995</v>
      </c>
      <c r="K25396" s="30" t="s">
        <v>22</v>
      </c>
    </row>
    <row r="25397" spans="1:11">
      <c r="A25397" s="33" t="s">
        <v>55904</v>
      </c>
      <c r="B25397" s="33" t="s">
        <v>55905</v>
      </c>
      <c r="C25397" s="33" t="s">
        <v>16</v>
      </c>
      <c r="D25397" s="33" t="s">
        <v>17</v>
      </c>
      <c r="E25397" s="33" t="s">
        <v>18</v>
      </c>
      <c r="F25397" s="33" t="s">
        <v>19</v>
      </c>
      <c r="G25397" s="33" t="s">
        <v>140</v>
      </c>
      <c r="H25397" s="35">
        <v>142</v>
      </c>
      <c r="I25397" s="33" t="s">
        <v>51</v>
      </c>
      <c r="J25397" s="42">
        <v>45839</v>
      </c>
      <c r="K25397" s="33" t="s">
        <v>22</v>
      </c>
    </row>
    <row r="25398" spans="1:11">
      <c r="A25398" s="30" t="s">
        <v>55906</v>
      </c>
      <c r="B25398" s="30" t="s">
        <v>55907</v>
      </c>
      <c r="C25398" s="30" t="s">
        <v>55908</v>
      </c>
      <c r="D25398" s="30" t="s">
        <v>17</v>
      </c>
      <c r="E25398" s="30" t="s">
        <v>67</v>
      </c>
      <c r="F25398" s="30" t="s">
        <v>68</v>
      </c>
      <c r="G25398" s="30" t="s">
        <v>2613</v>
      </c>
      <c r="H25398" s="32">
        <v>27</v>
      </c>
      <c r="I25398" s="30" t="s">
        <v>51</v>
      </c>
      <c r="J25398" s="41">
        <v>45785</v>
      </c>
      <c r="K25398" s="30" t="s">
        <v>22</v>
      </c>
    </row>
    <row r="25399" spans="1:11">
      <c r="A25399" s="33" t="s">
        <v>55909</v>
      </c>
      <c r="B25399" s="33" t="s">
        <v>55910</v>
      </c>
      <c r="C25399" s="33" t="s">
        <v>450</v>
      </c>
      <c r="D25399" s="33" t="s">
        <v>17</v>
      </c>
      <c r="E25399" s="33" t="s">
        <v>67</v>
      </c>
      <c r="F25399" s="33" t="s">
        <v>68</v>
      </c>
      <c r="G25399" s="33" t="s">
        <v>140</v>
      </c>
      <c r="H25399" s="35">
        <v>91</v>
      </c>
      <c r="I25399" s="33" t="s">
        <v>51</v>
      </c>
      <c r="J25399" s="42">
        <v>45887</v>
      </c>
      <c r="K25399" s="33" t="s">
        <v>22</v>
      </c>
    </row>
    <row r="25400" spans="1:11">
      <c r="A25400" s="30" t="s">
        <v>55911</v>
      </c>
      <c r="B25400" s="30" t="s">
        <v>55912</v>
      </c>
      <c r="C25400" s="30" t="s">
        <v>11599</v>
      </c>
      <c r="D25400" s="30" t="s">
        <v>17</v>
      </c>
      <c r="E25400" s="30" t="s">
        <v>212</v>
      </c>
      <c r="F25400" s="30" t="s">
        <v>213</v>
      </c>
      <c r="G25400" s="30" t="s">
        <v>158</v>
      </c>
      <c r="H25400" s="32">
        <v>120</v>
      </c>
      <c r="I25400" s="30" t="s">
        <v>51</v>
      </c>
      <c r="J25400" s="41">
        <v>45875</v>
      </c>
      <c r="K25400" s="30" t="s">
        <v>22</v>
      </c>
    </row>
    <row r="25401" spans="1:11">
      <c r="A25401" s="33" t="s">
        <v>55913</v>
      </c>
      <c r="B25401" s="33" t="s">
        <v>55914</v>
      </c>
      <c r="C25401" s="33" t="s">
        <v>27217</v>
      </c>
      <c r="D25401" s="33" t="s">
        <v>17</v>
      </c>
      <c r="E25401" s="33" t="s">
        <v>330</v>
      </c>
      <c r="F25401" s="33" t="s">
        <v>331</v>
      </c>
      <c r="G25401" s="33" t="s">
        <v>2613</v>
      </c>
      <c r="H25401" s="35">
        <v>4</v>
      </c>
      <c r="I25401" s="33" t="s">
        <v>51</v>
      </c>
      <c r="J25401" s="42">
        <v>45726</v>
      </c>
      <c r="K25401" s="33" t="s">
        <v>22</v>
      </c>
    </row>
    <row r="25402" spans="1:11">
      <c r="A25402" s="30" t="s">
        <v>55915</v>
      </c>
      <c r="B25402" s="30" t="s">
        <v>55916</v>
      </c>
      <c r="C25402" s="30" t="s">
        <v>9605</v>
      </c>
      <c r="D25402" s="30" t="s">
        <v>17</v>
      </c>
      <c r="E25402" s="30" t="s">
        <v>67</v>
      </c>
      <c r="F25402" s="30" t="s">
        <v>68</v>
      </c>
      <c r="G25402" s="30" t="s">
        <v>140</v>
      </c>
      <c r="H25402" s="32">
        <v>320</v>
      </c>
      <c r="I25402" s="30" t="s">
        <v>51</v>
      </c>
      <c r="J25402" s="41">
        <v>45917</v>
      </c>
      <c r="K25402" s="30" t="s">
        <v>22</v>
      </c>
    </row>
    <row r="25403" spans="1:11">
      <c r="A25403" s="33" t="s">
        <v>55917</v>
      </c>
      <c r="B25403" s="33" t="s">
        <v>55918</v>
      </c>
      <c r="C25403" s="33" t="s">
        <v>19656</v>
      </c>
      <c r="D25403" s="33" t="s">
        <v>17</v>
      </c>
      <c r="E25403" s="33" t="s">
        <v>26</v>
      </c>
      <c r="F25403" s="33" t="s">
        <v>27</v>
      </c>
      <c r="G25403" s="33" t="s">
        <v>158</v>
      </c>
      <c r="H25403" s="35">
        <v>46</v>
      </c>
      <c r="I25403" s="33" t="s">
        <v>51</v>
      </c>
      <c r="J25403" s="42">
        <v>45824</v>
      </c>
      <c r="K25403" s="33" t="s">
        <v>22</v>
      </c>
    </row>
    <row r="25404" spans="1:11">
      <c r="A25404" s="30" t="s">
        <v>55919</v>
      </c>
      <c r="B25404" s="30" t="s">
        <v>55920</v>
      </c>
      <c r="C25404" s="30" t="s">
        <v>55921</v>
      </c>
      <c r="D25404" s="30" t="s">
        <v>17</v>
      </c>
      <c r="E25404" s="30" t="s">
        <v>67</v>
      </c>
      <c r="F25404" s="30" t="s">
        <v>68</v>
      </c>
      <c r="G25404" s="30" t="s">
        <v>140</v>
      </c>
      <c r="H25404" s="32">
        <v>55</v>
      </c>
      <c r="I25404" s="30" t="s">
        <v>51</v>
      </c>
      <c r="J25404" s="41">
        <v>45971</v>
      </c>
      <c r="K25404" s="30" t="s">
        <v>22</v>
      </c>
    </row>
    <row r="25405" spans="1:11">
      <c r="A25405" s="33" t="s">
        <v>55922</v>
      </c>
      <c r="B25405" s="33" t="s">
        <v>55923</v>
      </c>
      <c r="C25405" s="33" t="s">
        <v>55924</v>
      </c>
      <c r="D25405" s="33" t="s">
        <v>17</v>
      </c>
      <c r="E25405" s="33" t="s">
        <v>26</v>
      </c>
      <c r="F25405" s="33" t="s">
        <v>27</v>
      </c>
      <c r="G25405" s="33" t="s">
        <v>140</v>
      </c>
      <c r="H25405" s="35">
        <v>12</v>
      </c>
      <c r="I25405" s="33" t="s">
        <v>51</v>
      </c>
      <c r="J25405" s="42">
        <v>45719</v>
      </c>
      <c r="K25405" s="33" t="s">
        <v>22</v>
      </c>
    </row>
    <row r="25406" spans="1:11">
      <c r="A25406" s="30" t="s">
        <v>55925</v>
      </c>
      <c r="B25406" s="30" t="s">
        <v>55926</v>
      </c>
      <c r="C25406" s="30" t="s">
        <v>55927</v>
      </c>
      <c r="D25406" s="30" t="s">
        <v>17</v>
      </c>
      <c r="E25406" s="30" t="s">
        <v>26</v>
      </c>
      <c r="F25406" s="30" t="s">
        <v>27</v>
      </c>
      <c r="G25406" s="30" t="s">
        <v>140</v>
      </c>
      <c r="H25406" s="32">
        <v>27</v>
      </c>
      <c r="I25406" s="30" t="s">
        <v>51</v>
      </c>
      <c r="J25406" s="41">
        <v>46006</v>
      </c>
      <c r="K25406" s="30" t="s">
        <v>22</v>
      </c>
    </row>
    <row r="25407" spans="1:11">
      <c r="A25407" s="33" t="s">
        <v>55928</v>
      </c>
      <c r="B25407" s="33" t="s">
        <v>55929</v>
      </c>
      <c r="C25407" s="33" t="s">
        <v>99</v>
      </c>
      <c r="D25407" s="33" t="s">
        <v>17</v>
      </c>
      <c r="E25407" s="33" t="s">
        <v>26</v>
      </c>
      <c r="F25407" s="33" t="s">
        <v>27</v>
      </c>
      <c r="G25407" s="33" t="s">
        <v>140</v>
      </c>
      <c r="H25407" s="35">
        <v>82</v>
      </c>
      <c r="I25407" s="33" t="s">
        <v>51</v>
      </c>
      <c r="J25407" s="42">
        <v>45817</v>
      </c>
      <c r="K25407" s="33" t="s">
        <v>22</v>
      </c>
    </row>
    <row r="25408" spans="1:11">
      <c r="A25408" s="30" t="s">
        <v>55930</v>
      </c>
      <c r="B25408" s="30" t="s">
        <v>55931</v>
      </c>
      <c r="C25408" s="30" t="s">
        <v>55932</v>
      </c>
      <c r="D25408" s="30" t="s">
        <v>17</v>
      </c>
      <c r="E25408" s="30" t="s">
        <v>26</v>
      </c>
      <c r="F25408" s="30" t="s">
        <v>27</v>
      </c>
      <c r="G25408" s="30" t="s">
        <v>140</v>
      </c>
      <c r="H25408" s="32">
        <v>200</v>
      </c>
      <c r="I25408" s="30" t="s">
        <v>51</v>
      </c>
      <c r="J25408" s="41">
        <v>45894</v>
      </c>
      <c r="K25408" s="30" t="s">
        <v>22</v>
      </c>
    </row>
    <row r="25409" spans="1:11">
      <c r="A25409" s="33" t="s">
        <v>55933</v>
      </c>
      <c r="B25409" s="33" t="s">
        <v>55934</v>
      </c>
      <c r="C25409" s="33" t="s">
        <v>55935</v>
      </c>
      <c r="D25409" s="33" t="s">
        <v>17</v>
      </c>
      <c r="E25409" s="33" t="s">
        <v>18</v>
      </c>
      <c r="F25409" s="33" t="s">
        <v>19</v>
      </c>
      <c r="G25409" s="33" t="s">
        <v>140</v>
      </c>
      <c r="H25409" s="35">
        <v>400</v>
      </c>
      <c r="I25409" s="33" t="s">
        <v>51</v>
      </c>
      <c r="J25409" s="42">
        <v>45877</v>
      </c>
      <c r="K25409" s="33" t="s">
        <v>22</v>
      </c>
    </row>
    <row r="25410" spans="1:11">
      <c r="A25410" s="30" t="s">
        <v>55936</v>
      </c>
      <c r="B25410" s="30" t="s">
        <v>55937</v>
      </c>
      <c r="C25410" s="30" t="s">
        <v>203</v>
      </c>
      <c r="D25410" s="30" t="s">
        <v>17</v>
      </c>
      <c r="E25410" s="30" t="s">
        <v>18</v>
      </c>
      <c r="F25410" s="30" t="s">
        <v>19</v>
      </c>
      <c r="G25410" s="30" t="s">
        <v>140</v>
      </c>
      <c r="H25410" s="32">
        <v>60</v>
      </c>
      <c r="I25410" s="30" t="s">
        <v>51</v>
      </c>
      <c r="J25410" s="41">
        <v>45954</v>
      </c>
      <c r="K25410" s="30" t="s">
        <v>22</v>
      </c>
    </row>
    <row r="25411" spans="1:11">
      <c r="A25411" s="33" t="s">
        <v>55938</v>
      </c>
      <c r="B25411" s="33" t="s">
        <v>55939</v>
      </c>
      <c r="C25411" s="33" t="s">
        <v>29833</v>
      </c>
      <c r="D25411" s="33" t="s">
        <v>17</v>
      </c>
      <c r="E25411" s="33" t="s">
        <v>26</v>
      </c>
      <c r="F25411" s="33" t="s">
        <v>27</v>
      </c>
      <c r="G25411" s="33" t="s">
        <v>20</v>
      </c>
      <c r="H25411" s="35">
        <v>28</v>
      </c>
      <c r="I25411" s="33" t="s">
        <v>21</v>
      </c>
      <c r="J25411" s="42">
        <v>45740</v>
      </c>
      <c r="K25411" s="33" t="s">
        <v>22</v>
      </c>
    </row>
    <row r="25412" spans="1:11">
      <c r="A25412" s="30" t="s">
        <v>55940</v>
      </c>
      <c r="B25412" s="30" t="s">
        <v>55941</v>
      </c>
      <c r="C25412" s="30" t="s">
        <v>3934</v>
      </c>
      <c r="D25412" s="30" t="s">
        <v>17</v>
      </c>
      <c r="E25412" s="30" t="s">
        <v>31</v>
      </c>
      <c r="F25412" s="30" t="s">
        <v>32</v>
      </c>
      <c r="G25412" s="30" t="s">
        <v>140</v>
      </c>
      <c r="H25412" s="32">
        <v>50</v>
      </c>
      <c r="I25412" s="30" t="s">
        <v>51</v>
      </c>
      <c r="J25412" s="41">
        <v>45667</v>
      </c>
      <c r="K25412" s="30" t="s">
        <v>22</v>
      </c>
    </row>
    <row r="25413" spans="1:11">
      <c r="A25413" s="33" t="s">
        <v>55942</v>
      </c>
      <c r="B25413" s="33" t="s">
        <v>55943</v>
      </c>
      <c r="C25413" s="33" t="s">
        <v>252</v>
      </c>
      <c r="D25413" s="33" t="s">
        <v>17</v>
      </c>
      <c r="E25413" s="33" t="s">
        <v>26</v>
      </c>
      <c r="F25413" s="33" t="s">
        <v>27</v>
      </c>
      <c r="G25413" s="33" t="s">
        <v>20</v>
      </c>
      <c r="H25413" s="35">
        <v>230</v>
      </c>
      <c r="I25413" s="33" t="s">
        <v>21</v>
      </c>
      <c r="J25413" s="42">
        <v>45950</v>
      </c>
      <c r="K25413" s="33" t="s">
        <v>22</v>
      </c>
    </row>
    <row r="25414" spans="1:11">
      <c r="A25414" s="30" t="s">
        <v>55944</v>
      </c>
      <c r="B25414" s="30" t="s">
        <v>55945</v>
      </c>
      <c r="C25414" s="30" t="s">
        <v>21791</v>
      </c>
      <c r="D25414" s="30" t="s">
        <v>17</v>
      </c>
      <c r="E25414" s="30" t="s">
        <v>18</v>
      </c>
      <c r="F25414" s="30" t="s">
        <v>19</v>
      </c>
      <c r="G25414" s="30" t="s">
        <v>140</v>
      </c>
      <c r="H25414" s="32">
        <v>228</v>
      </c>
      <c r="I25414" s="30" t="s">
        <v>51</v>
      </c>
      <c r="J25414" s="41">
        <v>45736</v>
      </c>
      <c r="K25414" s="30" t="s">
        <v>22</v>
      </c>
    </row>
    <row r="25415" spans="1:11">
      <c r="A25415" s="33" t="s">
        <v>55946</v>
      </c>
      <c r="B25415" s="33" t="s">
        <v>55947</v>
      </c>
      <c r="C25415" s="33" t="s">
        <v>647</v>
      </c>
      <c r="D25415" s="33" t="s">
        <v>17</v>
      </c>
      <c r="E25415" s="33" t="s">
        <v>18</v>
      </c>
      <c r="F25415" s="33" t="s">
        <v>19</v>
      </c>
      <c r="G25415" s="33" t="s">
        <v>140</v>
      </c>
      <c r="H25415" s="35">
        <v>300</v>
      </c>
      <c r="I25415" s="33" t="s">
        <v>51</v>
      </c>
      <c r="J25415" s="42">
        <v>45939</v>
      </c>
      <c r="K25415" s="33" t="s">
        <v>22</v>
      </c>
    </row>
    <row r="25416" spans="1:11">
      <c r="A25416" s="30" t="s">
        <v>55948</v>
      </c>
      <c r="B25416" s="30" t="s">
        <v>55949</v>
      </c>
      <c r="C25416" s="30" t="s">
        <v>55950</v>
      </c>
      <c r="D25416" s="30" t="s">
        <v>17</v>
      </c>
      <c r="E25416" s="30" t="s">
        <v>67</v>
      </c>
      <c r="F25416" s="30" t="s">
        <v>68</v>
      </c>
      <c r="G25416" s="30" t="s">
        <v>140</v>
      </c>
      <c r="H25416" s="32">
        <v>200</v>
      </c>
      <c r="I25416" s="30" t="s">
        <v>51</v>
      </c>
      <c r="J25416" s="41">
        <v>45923</v>
      </c>
      <c r="K25416" s="30" t="s">
        <v>22</v>
      </c>
    </row>
    <row r="25417" spans="1:11">
      <c r="A25417" s="33" t="s">
        <v>55951</v>
      </c>
      <c r="B25417" s="33" t="s">
        <v>55952</v>
      </c>
      <c r="C25417" s="33" t="s">
        <v>55953</v>
      </c>
      <c r="D25417" s="33" t="s">
        <v>17</v>
      </c>
      <c r="E25417" s="33" t="s">
        <v>31</v>
      </c>
      <c r="F25417" s="33" t="s">
        <v>32</v>
      </c>
      <c r="G25417" s="33" t="s">
        <v>158</v>
      </c>
      <c r="H25417" s="35">
        <v>15</v>
      </c>
      <c r="I25417" s="33" t="s">
        <v>51</v>
      </c>
      <c r="J25417" s="42">
        <v>45791</v>
      </c>
      <c r="K25417" s="33" t="s">
        <v>22</v>
      </c>
    </row>
    <row r="25418" spans="1:11">
      <c r="A25418" s="30" t="s">
        <v>55954</v>
      </c>
      <c r="B25418" s="30" t="s">
        <v>55955</v>
      </c>
      <c r="C25418" s="30" t="s">
        <v>7094</v>
      </c>
      <c r="D25418" s="30" t="s">
        <v>17</v>
      </c>
      <c r="E25418" s="30" t="s">
        <v>18</v>
      </c>
      <c r="F25418" s="30" t="s">
        <v>19</v>
      </c>
      <c r="G25418" s="30" t="s">
        <v>7780</v>
      </c>
      <c r="H25418" s="32">
        <v>262</v>
      </c>
      <c r="I25418" s="30" t="s">
        <v>51</v>
      </c>
      <c r="J25418" s="41">
        <v>45689</v>
      </c>
      <c r="K25418" s="30" t="s">
        <v>22</v>
      </c>
    </row>
    <row r="25419" spans="1:11">
      <c r="A25419" s="33" t="s">
        <v>55956</v>
      </c>
      <c r="B25419" s="33" t="s">
        <v>55957</v>
      </c>
      <c r="C25419" s="33" t="s">
        <v>969</v>
      </c>
      <c r="D25419" s="33" t="s">
        <v>17</v>
      </c>
      <c r="E25419" s="33" t="s">
        <v>18</v>
      </c>
      <c r="F25419" s="33" t="s">
        <v>19</v>
      </c>
      <c r="G25419" s="33" t="s">
        <v>140</v>
      </c>
      <c r="H25419" s="35">
        <v>960</v>
      </c>
      <c r="I25419" s="33" t="s">
        <v>51</v>
      </c>
      <c r="J25419" s="42">
        <v>45831</v>
      </c>
      <c r="K25419" s="33" t="s">
        <v>22</v>
      </c>
    </row>
    <row r="25420" spans="1:11">
      <c r="A25420" s="30" t="s">
        <v>55958</v>
      </c>
      <c r="B25420" s="30" t="s">
        <v>55959</v>
      </c>
      <c r="C25420" s="30" t="s">
        <v>96</v>
      </c>
      <c r="D25420" s="30" t="s">
        <v>17</v>
      </c>
      <c r="E25420" s="30" t="s">
        <v>26</v>
      </c>
      <c r="F25420" s="30" t="s">
        <v>27</v>
      </c>
      <c r="G25420" s="30" t="s">
        <v>20</v>
      </c>
      <c r="H25420" s="32">
        <v>12</v>
      </c>
      <c r="I25420" s="30" t="s">
        <v>21</v>
      </c>
      <c r="J25420" s="41">
        <v>45905</v>
      </c>
      <c r="K25420" s="30" t="s">
        <v>22</v>
      </c>
    </row>
    <row r="25421" spans="1:11">
      <c r="A25421" s="33" t="s">
        <v>55960</v>
      </c>
      <c r="B25421" s="33" t="s">
        <v>55961</v>
      </c>
      <c r="C25421" s="33" t="s">
        <v>2663</v>
      </c>
      <c r="D25421" s="33" t="s">
        <v>17</v>
      </c>
      <c r="E25421" s="33" t="s">
        <v>26</v>
      </c>
      <c r="F25421" s="33" t="s">
        <v>27</v>
      </c>
      <c r="G25421" s="33" t="s">
        <v>20</v>
      </c>
      <c r="H25421" s="35">
        <v>19</v>
      </c>
      <c r="I25421" s="33" t="s">
        <v>21</v>
      </c>
      <c r="J25421" s="42">
        <v>45675</v>
      </c>
      <c r="K25421" s="33" t="s">
        <v>22</v>
      </c>
    </row>
    <row r="25422" spans="1:11">
      <c r="A25422" s="30" t="s">
        <v>55962</v>
      </c>
      <c r="B25422" s="30" t="s">
        <v>55963</v>
      </c>
      <c r="C25422" s="30" t="s">
        <v>102</v>
      </c>
      <c r="D25422" s="30" t="s">
        <v>17</v>
      </c>
      <c r="E25422" s="30" t="s">
        <v>18</v>
      </c>
      <c r="F25422" s="30" t="s">
        <v>19</v>
      </c>
      <c r="G25422" s="30" t="s">
        <v>140</v>
      </c>
      <c r="H25422" s="32">
        <v>500</v>
      </c>
      <c r="I25422" s="30" t="s">
        <v>51</v>
      </c>
      <c r="J25422" s="41">
        <v>45994</v>
      </c>
      <c r="K25422" s="30" t="s">
        <v>22</v>
      </c>
    </row>
    <row r="25423" spans="1:11">
      <c r="A25423" s="33" t="s">
        <v>55964</v>
      </c>
      <c r="B25423" s="33" t="s">
        <v>55965</v>
      </c>
      <c r="C25423" s="33" t="s">
        <v>34404</v>
      </c>
      <c r="D25423" s="33" t="s">
        <v>17</v>
      </c>
      <c r="E25423" s="33" t="s">
        <v>67</v>
      </c>
      <c r="F25423" s="33" t="s">
        <v>68</v>
      </c>
      <c r="G25423" s="33" t="s">
        <v>140</v>
      </c>
      <c r="H25423" s="35">
        <v>150</v>
      </c>
      <c r="I25423" s="33" t="s">
        <v>51</v>
      </c>
      <c r="J25423" s="42">
        <v>45903</v>
      </c>
      <c r="K25423" s="33" t="s">
        <v>22</v>
      </c>
    </row>
    <row r="25424" spans="1:11">
      <c r="A25424" s="30" t="s">
        <v>55966</v>
      </c>
      <c r="B25424" s="30" t="s">
        <v>55967</v>
      </c>
      <c r="C25424" s="30" t="s">
        <v>36438</v>
      </c>
      <c r="D25424" s="30" t="s">
        <v>17</v>
      </c>
      <c r="E25424" s="30" t="s">
        <v>26</v>
      </c>
      <c r="F25424" s="30" t="s">
        <v>27</v>
      </c>
      <c r="G25424" s="30" t="s">
        <v>140</v>
      </c>
      <c r="H25424" s="32">
        <v>12</v>
      </c>
      <c r="I25424" s="30" t="s">
        <v>51</v>
      </c>
      <c r="J25424" s="41">
        <v>45804</v>
      </c>
      <c r="K25424" s="30" t="s">
        <v>22</v>
      </c>
    </row>
    <row r="25425" spans="1:11">
      <c r="A25425" s="33" t="s">
        <v>55968</v>
      </c>
      <c r="B25425" s="33" t="s">
        <v>55969</v>
      </c>
      <c r="C25425" s="33" t="s">
        <v>2660</v>
      </c>
      <c r="D25425" s="33" t="s">
        <v>17</v>
      </c>
      <c r="E25425" s="33" t="s">
        <v>18</v>
      </c>
      <c r="F25425" s="33" t="s">
        <v>19</v>
      </c>
      <c r="G25425" s="33" t="s">
        <v>140</v>
      </c>
      <c r="H25425" s="35">
        <v>234</v>
      </c>
      <c r="I25425" s="33" t="s">
        <v>51</v>
      </c>
      <c r="J25425" s="42">
        <v>45895</v>
      </c>
      <c r="K25425" s="33" t="s">
        <v>22</v>
      </c>
    </row>
    <row r="25426" spans="1:11">
      <c r="A25426" s="30" t="s">
        <v>55970</v>
      </c>
      <c r="B25426" s="30" t="s">
        <v>55971</v>
      </c>
      <c r="C25426" s="30" t="s">
        <v>36724</v>
      </c>
      <c r="D25426" s="30" t="s">
        <v>17</v>
      </c>
      <c r="E25426" s="30" t="s">
        <v>31</v>
      </c>
      <c r="F25426" s="30" t="s">
        <v>32</v>
      </c>
      <c r="G25426" s="30" t="s">
        <v>140</v>
      </c>
      <c r="H25426" s="32">
        <v>30</v>
      </c>
      <c r="I25426" s="30" t="s">
        <v>51</v>
      </c>
      <c r="J25426" s="41">
        <v>45887</v>
      </c>
      <c r="K25426" s="30" t="s">
        <v>22</v>
      </c>
    </row>
    <row r="25427" spans="1:11">
      <c r="A25427" s="33" t="s">
        <v>55972</v>
      </c>
      <c r="B25427" s="33" t="s">
        <v>55973</v>
      </c>
      <c r="C25427" s="33" t="s">
        <v>190</v>
      </c>
      <c r="D25427" s="33" t="s">
        <v>17</v>
      </c>
      <c r="E25427" s="33" t="s">
        <v>26</v>
      </c>
      <c r="F25427" s="33" t="s">
        <v>27</v>
      </c>
      <c r="G25427" s="33" t="s">
        <v>20</v>
      </c>
      <c r="H25427" s="35">
        <v>24</v>
      </c>
      <c r="I25427" s="33" t="s">
        <v>21</v>
      </c>
      <c r="J25427" s="42">
        <v>45685</v>
      </c>
      <c r="K25427" s="33" t="s">
        <v>22</v>
      </c>
    </row>
    <row r="25428" spans="1:11">
      <c r="A25428" s="30" t="s">
        <v>55974</v>
      </c>
      <c r="B25428" s="30" t="s">
        <v>55975</v>
      </c>
      <c r="C25428" s="30" t="s">
        <v>310</v>
      </c>
      <c r="D25428" s="30" t="s">
        <v>17</v>
      </c>
      <c r="E25428" s="30" t="s">
        <v>18</v>
      </c>
      <c r="F25428" s="30" t="s">
        <v>19</v>
      </c>
      <c r="G25428" s="30" t="s">
        <v>140</v>
      </c>
      <c r="H25428" s="32">
        <v>480</v>
      </c>
      <c r="I25428" s="30" t="s">
        <v>51</v>
      </c>
      <c r="J25428" s="41">
        <v>45667</v>
      </c>
      <c r="K25428" s="30" t="s">
        <v>22</v>
      </c>
    </row>
    <row r="25429" spans="1:11">
      <c r="A25429" s="33" t="s">
        <v>55976</v>
      </c>
      <c r="B25429" s="33" t="s">
        <v>55977</v>
      </c>
      <c r="C25429" s="33" t="s">
        <v>136</v>
      </c>
      <c r="D25429" s="33" t="s">
        <v>17</v>
      </c>
      <c r="E25429" s="33" t="s">
        <v>26</v>
      </c>
      <c r="F25429" s="33" t="s">
        <v>27</v>
      </c>
      <c r="G25429" s="33" t="s">
        <v>140</v>
      </c>
      <c r="H25429" s="35">
        <v>104</v>
      </c>
      <c r="I25429" s="33" t="s">
        <v>51</v>
      </c>
      <c r="J25429" s="42">
        <v>45862</v>
      </c>
      <c r="K25429" s="33" t="s">
        <v>22</v>
      </c>
    </row>
    <row r="25430" spans="1:11">
      <c r="A25430" s="30" t="s">
        <v>55978</v>
      </c>
      <c r="B25430" s="30" t="s">
        <v>55979</v>
      </c>
      <c r="C25430" s="30" t="s">
        <v>55980</v>
      </c>
      <c r="D25430" s="30" t="s">
        <v>17</v>
      </c>
      <c r="E25430" s="30" t="s">
        <v>67</v>
      </c>
      <c r="F25430" s="30" t="s">
        <v>68</v>
      </c>
      <c r="G25430" s="30" t="s">
        <v>158</v>
      </c>
      <c r="H25430" s="32">
        <v>136</v>
      </c>
      <c r="I25430" s="30" t="s">
        <v>51</v>
      </c>
      <c r="J25430" s="41">
        <v>45831</v>
      </c>
      <c r="K25430" s="30" t="s">
        <v>22</v>
      </c>
    </row>
    <row r="25431" spans="1:11">
      <c r="A25431" s="33" t="s">
        <v>55981</v>
      </c>
      <c r="B25431" s="33" t="s">
        <v>55982</v>
      </c>
      <c r="C25431" s="33" t="s">
        <v>21347</v>
      </c>
      <c r="D25431" s="33" t="s">
        <v>17</v>
      </c>
      <c r="E25431" s="33" t="s">
        <v>31</v>
      </c>
      <c r="F25431" s="33" t="s">
        <v>32</v>
      </c>
      <c r="G25431" s="33" t="s">
        <v>20</v>
      </c>
      <c r="H25431" s="35">
        <v>267</v>
      </c>
      <c r="I25431" s="33" t="s">
        <v>21</v>
      </c>
      <c r="J25431" s="42">
        <v>45681</v>
      </c>
      <c r="K25431" s="33" t="s">
        <v>22</v>
      </c>
    </row>
    <row r="25432" spans="1:11">
      <c r="A25432" s="30" t="s">
        <v>55983</v>
      </c>
      <c r="B25432" s="30" t="s">
        <v>55984</v>
      </c>
      <c r="C25432" s="30" t="s">
        <v>1770</v>
      </c>
      <c r="D25432" s="30" t="s">
        <v>17</v>
      </c>
      <c r="E25432" s="30" t="s">
        <v>26</v>
      </c>
      <c r="F25432" s="30" t="s">
        <v>27</v>
      </c>
      <c r="G25432" s="30" t="s">
        <v>20</v>
      </c>
      <c r="H25432" s="32">
        <v>42</v>
      </c>
      <c r="I25432" s="30" t="s">
        <v>21</v>
      </c>
      <c r="J25432" s="41">
        <v>45665</v>
      </c>
      <c r="K25432" s="30" t="s">
        <v>22</v>
      </c>
    </row>
    <row r="25433" spans="1:11">
      <c r="A25433" s="33" t="s">
        <v>55985</v>
      </c>
      <c r="B25433" s="33" t="s">
        <v>55986</v>
      </c>
      <c r="C25433" s="33" t="s">
        <v>6379</v>
      </c>
      <c r="D25433" s="33" t="s">
        <v>17</v>
      </c>
      <c r="E25433" s="33" t="s">
        <v>18</v>
      </c>
      <c r="F25433" s="33" t="s">
        <v>19</v>
      </c>
      <c r="G25433" s="33" t="s">
        <v>140</v>
      </c>
      <c r="H25433" s="35">
        <v>200</v>
      </c>
      <c r="I25433" s="33" t="s">
        <v>51</v>
      </c>
      <c r="J25433" s="42">
        <v>45679</v>
      </c>
      <c r="K25433" s="33" t="s">
        <v>22</v>
      </c>
    </row>
    <row r="25434" spans="1:11">
      <c r="A25434" s="30" t="s">
        <v>55987</v>
      </c>
      <c r="B25434" s="30" t="s">
        <v>55988</v>
      </c>
      <c r="C25434" s="30" t="s">
        <v>7072</v>
      </c>
      <c r="D25434" s="30" t="s">
        <v>17</v>
      </c>
      <c r="E25434" s="30" t="s">
        <v>26</v>
      </c>
      <c r="F25434" s="30" t="s">
        <v>27</v>
      </c>
      <c r="G25434" s="30" t="s">
        <v>140</v>
      </c>
      <c r="H25434" s="32">
        <v>90</v>
      </c>
      <c r="I25434" s="30" t="s">
        <v>51</v>
      </c>
      <c r="J25434" s="41">
        <v>45884</v>
      </c>
      <c r="K25434" s="30" t="s">
        <v>22</v>
      </c>
    </row>
    <row r="25435" spans="1:11">
      <c r="A25435" s="33" t="s">
        <v>55989</v>
      </c>
      <c r="B25435" s="33" t="s">
        <v>55990</v>
      </c>
      <c r="C25435" s="33" t="s">
        <v>55991</v>
      </c>
      <c r="D25435" s="33" t="s">
        <v>17</v>
      </c>
      <c r="E25435" s="33" t="s">
        <v>31</v>
      </c>
      <c r="F25435" s="33" t="s">
        <v>32</v>
      </c>
      <c r="G25435" s="33" t="s">
        <v>158</v>
      </c>
      <c r="H25435" s="35">
        <v>100</v>
      </c>
      <c r="I25435" s="33" t="s">
        <v>51</v>
      </c>
      <c r="J25435" s="42">
        <v>45962</v>
      </c>
      <c r="K25435" s="33" t="s">
        <v>22</v>
      </c>
    </row>
    <row r="25436" spans="1:11">
      <c r="A25436" s="30" t="s">
        <v>55992</v>
      </c>
      <c r="B25436" s="30" t="s">
        <v>55993</v>
      </c>
      <c r="C25436" s="30" t="s">
        <v>570</v>
      </c>
      <c r="D25436" s="30" t="s">
        <v>17</v>
      </c>
      <c r="E25436" s="30" t="s">
        <v>18</v>
      </c>
      <c r="F25436" s="30" t="s">
        <v>19</v>
      </c>
      <c r="G25436" s="30" t="s">
        <v>140</v>
      </c>
      <c r="H25436" s="32">
        <v>450</v>
      </c>
      <c r="I25436" s="30" t="s">
        <v>51</v>
      </c>
      <c r="J25436" s="41">
        <v>45812</v>
      </c>
      <c r="K25436" s="30" t="s">
        <v>22</v>
      </c>
    </row>
    <row r="25437" spans="1:11">
      <c r="A25437" s="33" t="s">
        <v>55994</v>
      </c>
      <c r="B25437" s="33" t="s">
        <v>55995</v>
      </c>
      <c r="C25437" s="33" t="s">
        <v>663</v>
      </c>
      <c r="D25437" s="33" t="s">
        <v>17</v>
      </c>
      <c r="E25437" s="33" t="s">
        <v>31</v>
      </c>
      <c r="F25437" s="33" t="s">
        <v>32</v>
      </c>
      <c r="G25437" s="33" t="s">
        <v>140</v>
      </c>
      <c r="H25437" s="35">
        <v>107</v>
      </c>
      <c r="I25437" s="33" t="s">
        <v>51</v>
      </c>
      <c r="J25437" s="42">
        <v>45870</v>
      </c>
      <c r="K25437" s="33" t="s">
        <v>22</v>
      </c>
    </row>
    <row r="25438" spans="1:11">
      <c r="A25438" s="30" t="s">
        <v>55996</v>
      </c>
      <c r="B25438" s="30" t="s">
        <v>55997</v>
      </c>
      <c r="C25438" s="30" t="s">
        <v>44</v>
      </c>
      <c r="D25438" s="30" t="s">
        <v>17</v>
      </c>
      <c r="E25438" s="30" t="s">
        <v>31</v>
      </c>
      <c r="F25438" s="30" t="s">
        <v>32</v>
      </c>
      <c r="G25438" s="30" t="s">
        <v>2613</v>
      </c>
      <c r="H25438" s="32">
        <v>48</v>
      </c>
      <c r="I25438" s="30" t="s">
        <v>51</v>
      </c>
      <c r="J25438" s="41">
        <v>45761</v>
      </c>
      <c r="K25438" s="30" t="s">
        <v>22</v>
      </c>
    </row>
    <row r="25439" spans="1:11">
      <c r="A25439" s="33" t="s">
        <v>55998</v>
      </c>
      <c r="B25439" s="33" t="s">
        <v>55999</v>
      </c>
      <c r="C25439" s="33" t="s">
        <v>14577</v>
      </c>
      <c r="D25439" s="33" t="s">
        <v>17</v>
      </c>
      <c r="E25439" s="33" t="s">
        <v>26</v>
      </c>
      <c r="F25439" s="33" t="s">
        <v>27</v>
      </c>
      <c r="G25439" s="33" t="s">
        <v>20</v>
      </c>
      <c r="H25439" s="35">
        <v>64</v>
      </c>
      <c r="I25439" s="33" t="s">
        <v>21</v>
      </c>
      <c r="J25439" s="42">
        <v>45746</v>
      </c>
      <c r="K25439" s="33" t="s">
        <v>22</v>
      </c>
    </row>
    <row r="25440" spans="1:11">
      <c r="A25440" s="30" t="s">
        <v>56000</v>
      </c>
      <c r="B25440" s="30" t="s">
        <v>56001</v>
      </c>
      <c r="C25440" s="30" t="s">
        <v>2196</v>
      </c>
      <c r="D25440" s="30" t="s">
        <v>17</v>
      </c>
      <c r="E25440" s="30" t="s">
        <v>26</v>
      </c>
      <c r="F25440" s="30" t="s">
        <v>27</v>
      </c>
      <c r="G25440" s="30" t="s">
        <v>140</v>
      </c>
      <c r="H25440" s="32">
        <v>52</v>
      </c>
      <c r="I25440" s="30" t="s">
        <v>51</v>
      </c>
      <c r="J25440" s="41">
        <v>45853</v>
      </c>
      <c r="K25440" s="30" t="s">
        <v>22</v>
      </c>
    </row>
    <row r="25441" spans="1:11">
      <c r="A25441" s="33" t="s">
        <v>56002</v>
      </c>
      <c r="B25441" s="33" t="s">
        <v>56003</v>
      </c>
      <c r="C25441" s="33" t="s">
        <v>190</v>
      </c>
      <c r="D25441" s="33" t="s">
        <v>17</v>
      </c>
      <c r="E25441" s="33" t="s">
        <v>26</v>
      </c>
      <c r="F25441" s="33" t="s">
        <v>27</v>
      </c>
      <c r="G25441" s="33" t="s">
        <v>20</v>
      </c>
      <c r="H25441" s="35">
        <v>24</v>
      </c>
      <c r="I25441" s="33" t="s">
        <v>21</v>
      </c>
      <c r="J25441" s="42">
        <v>45712</v>
      </c>
      <c r="K25441" s="33" t="s">
        <v>22</v>
      </c>
    </row>
    <row r="25442" spans="1:11">
      <c r="A25442" s="30" t="s">
        <v>56004</v>
      </c>
      <c r="B25442" s="30" t="s">
        <v>56005</v>
      </c>
      <c r="C25442" s="30" t="s">
        <v>29982</v>
      </c>
      <c r="D25442" s="30" t="s">
        <v>17</v>
      </c>
      <c r="E25442" s="30" t="s">
        <v>31</v>
      </c>
      <c r="F25442" s="30" t="s">
        <v>32</v>
      </c>
      <c r="G25442" s="30" t="s">
        <v>7780</v>
      </c>
      <c r="H25442" s="32">
        <v>120</v>
      </c>
      <c r="I25442" s="30" t="s">
        <v>51</v>
      </c>
      <c r="J25442" s="41">
        <v>45870</v>
      </c>
      <c r="K25442" s="30" t="s">
        <v>22</v>
      </c>
    </row>
    <row r="25443" spans="1:11">
      <c r="A25443" s="33" t="s">
        <v>56006</v>
      </c>
      <c r="B25443" s="33" t="s">
        <v>56007</v>
      </c>
      <c r="C25443" s="33" t="s">
        <v>37584</v>
      </c>
      <c r="D25443" s="33" t="s">
        <v>17</v>
      </c>
      <c r="E25443" s="33" t="s">
        <v>26</v>
      </c>
      <c r="F25443" s="33" t="s">
        <v>27</v>
      </c>
      <c r="G25443" s="33" t="s">
        <v>20</v>
      </c>
      <c r="H25443" s="35">
        <v>112</v>
      </c>
      <c r="I25443" s="33" t="s">
        <v>21</v>
      </c>
      <c r="J25443" s="42">
        <v>45903</v>
      </c>
      <c r="K25443" s="33" t="s">
        <v>22</v>
      </c>
    </row>
    <row r="25444" spans="1:11">
      <c r="A25444" s="30" t="s">
        <v>56008</v>
      </c>
      <c r="B25444" s="30" t="s">
        <v>56009</v>
      </c>
      <c r="C25444" s="30" t="s">
        <v>53790</v>
      </c>
      <c r="D25444" s="30" t="s">
        <v>17</v>
      </c>
      <c r="E25444" s="30" t="s">
        <v>26</v>
      </c>
      <c r="F25444" s="30" t="s">
        <v>27</v>
      </c>
      <c r="G25444" s="30" t="s">
        <v>20</v>
      </c>
      <c r="H25444" s="32">
        <v>36</v>
      </c>
      <c r="I25444" s="30" t="s">
        <v>21</v>
      </c>
      <c r="J25444" s="41">
        <v>45797</v>
      </c>
      <c r="K25444" s="30" t="s">
        <v>22</v>
      </c>
    </row>
    <row r="25445" spans="1:11">
      <c r="A25445" s="33" t="s">
        <v>56010</v>
      </c>
      <c r="B25445" s="33" t="s">
        <v>56011</v>
      </c>
      <c r="C25445" s="33" t="s">
        <v>24097</v>
      </c>
      <c r="D25445" s="33" t="s">
        <v>17</v>
      </c>
      <c r="E25445" s="33" t="s">
        <v>26</v>
      </c>
      <c r="F25445" s="33" t="s">
        <v>27</v>
      </c>
      <c r="G25445" s="33" t="s">
        <v>7780</v>
      </c>
      <c r="H25445" s="35">
        <v>30</v>
      </c>
      <c r="I25445" s="33" t="s">
        <v>51</v>
      </c>
      <c r="J25445" s="42">
        <v>45931</v>
      </c>
      <c r="K25445" s="33" t="s">
        <v>22</v>
      </c>
    </row>
    <row r="25446" spans="1:11">
      <c r="A25446" s="30" t="s">
        <v>56012</v>
      </c>
      <c r="B25446" s="30" t="s">
        <v>56013</v>
      </c>
      <c r="C25446" s="30" t="s">
        <v>715</v>
      </c>
      <c r="D25446" s="30" t="s">
        <v>17</v>
      </c>
      <c r="E25446" s="30" t="s">
        <v>26</v>
      </c>
      <c r="F25446" s="30" t="s">
        <v>27</v>
      </c>
      <c r="G25446" s="30" t="s">
        <v>158</v>
      </c>
      <c r="H25446" s="32">
        <v>12</v>
      </c>
      <c r="I25446" s="30" t="s">
        <v>51</v>
      </c>
      <c r="J25446" s="41">
        <v>45924</v>
      </c>
      <c r="K25446" s="30" t="s">
        <v>22</v>
      </c>
    </row>
    <row r="25447" spans="1:11">
      <c r="A25447" s="33" t="s">
        <v>56014</v>
      </c>
      <c r="B25447" s="33" t="s">
        <v>56015</v>
      </c>
      <c r="C25447" s="33" t="s">
        <v>178</v>
      </c>
      <c r="D25447" s="33" t="s">
        <v>17</v>
      </c>
      <c r="E25447" s="33" t="s">
        <v>18</v>
      </c>
      <c r="F25447" s="33" t="s">
        <v>19</v>
      </c>
      <c r="G25447" s="33" t="s">
        <v>140</v>
      </c>
      <c r="H25447" s="35">
        <v>75</v>
      </c>
      <c r="I25447" s="33" t="s">
        <v>51</v>
      </c>
      <c r="J25447" s="42">
        <v>45835</v>
      </c>
      <c r="K25447" s="33" t="s">
        <v>22</v>
      </c>
    </row>
    <row r="25448" spans="1:11">
      <c r="A25448" s="30" t="s">
        <v>56016</v>
      </c>
      <c r="B25448" s="30" t="s">
        <v>56017</v>
      </c>
      <c r="C25448" s="30" t="s">
        <v>7911</v>
      </c>
      <c r="D25448" s="30" t="s">
        <v>17</v>
      </c>
      <c r="E25448" s="30" t="s">
        <v>31</v>
      </c>
      <c r="F25448" s="30" t="s">
        <v>32</v>
      </c>
      <c r="G25448" s="30" t="s">
        <v>140</v>
      </c>
      <c r="H25448" s="32">
        <v>164</v>
      </c>
      <c r="I25448" s="30" t="s">
        <v>51</v>
      </c>
      <c r="J25448" s="41">
        <v>45691</v>
      </c>
      <c r="K25448" s="30" t="s">
        <v>22</v>
      </c>
    </row>
    <row r="25449" spans="1:11">
      <c r="A25449" s="33" t="s">
        <v>56018</v>
      </c>
      <c r="B25449" s="33" t="s">
        <v>56019</v>
      </c>
      <c r="C25449" s="33" t="s">
        <v>2739</v>
      </c>
      <c r="D25449" s="33" t="s">
        <v>17</v>
      </c>
      <c r="E25449" s="33" t="s">
        <v>26</v>
      </c>
      <c r="F25449" s="33" t="s">
        <v>27</v>
      </c>
      <c r="G25449" s="33" t="s">
        <v>2613</v>
      </c>
      <c r="H25449" s="35">
        <v>38</v>
      </c>
      <c r="I25449" s="33" t="s">
        <v>51</v>
      </c>
      <c r="J25449" s="42">
        <v>46019</v>
      </c>
      <c r="K25449" s="33" t="s">
        <v>22</v>
      </c>
    </row>
    <row r="25450" spans="1:11">
      <c r="A25450" s="30" t="s">
        <v>56020</v>
      </c>
      <c r="B25450" s="30" t="s">
        <v>56021</v>
      </c>
      <c r="C25450" s="30" t="s">
        <v>969</v>
      </c>
      <c r="D25450" s="30" t="s">
        <v>17</v>
      </c>
      <c r="E25450" s="30" t="s">
        <v>31</v>
      </c>
      <c r="F25450" s="30" t="s">
        <v>32</v>
      </c>
      <c r="G25450" s="30" t="s">
        <v>140</v>
      </c>
      <c r="H25450" s="32">
        <v>80</v>
      </c>
      <c r="I25450" s="30" t="s">
        <v>51</v>
      </c>
      <c r="J25450" s="41">
        <v>45813</v>
      </c>
      <c r="K25450" s="30" t="s">
        <v>22</v>
      </c>
    </row>
    <row r="25451" spans="1:11">
      <c r="A25451" s="33" t="s">
        <v>56022</v>
      </c>
      <c r="B25451" s="33" t="s">
        <v>56023</v>
      </c>
      <c r="C25451" s="33" t="s">
        <v>48409</v>
      </c>
      <c r="D25451" s="33" t="s">
        <v>17</v>
      </c>
      <c r="E25451" s="33" t="s">
        <v>31</v>
      </c>
      <c r="F25451" s="33" t="s">
        <v>32</v>
      </c>
      <c r="G25451" s="33" t="s">
        <v>158</v>
      </c>
      <c r="H25451" s="35">
        <v>60</v>
      </c>
      <c r="I25451" s="33" t="s">
        <v>51</v>
      </c>
      <c r="J25451" s="42">
        <v>45772</v>
      </c>
      <c r="K25451" s="33" t="s">
        <v>22</v>
      </c>
    </row>
    <row r="25452" spans="1:11">
      <c r="A25452" s="30" t="s">
        <v>56024</v>
      </c>
      <c r="B25452" s="30" t="s">
        <v>56025</v>
      </c>
      <c r="C25452" s="30" t="s">
        <v>11899</v>
      </c>
      <c r="D25452" s="30" t="s">
        <v>17</v>
      </c>
      <c r="E25452" s="30" t="s">
        <v>31</v>
      </c>
      <c r="F25452" s="30" t="s">
        <v>32</v>
      </c>
      <c r="G25452" s="30" t="s">
        <v>140</v>
      </c>
      <c r="H25452" s="32">
        <v>200</v>
      </c>
      <c r="I25452" s="30" t="s">
        <v>51</v>
      </c>
      <c r="J25452" s="41">
        <v>45897</v>
      </c>
      <c r="K25452" s="30" t="s">
        <v>22</v>
      </c>
    </row>
    <row r="25453" spans="1:11">
      <c r="A25453" s="33" t="s">
        <v>56026</v>
      </c>
      <c r="B25453" s="33" t="s">
        <v>56027</v>
      </c>
      <c r="C25453" s="33" t="s">
        <v>24179</v>
      </c>
      <c r="D25453" s="33" t="s">
        <v>17</v>
      </c>
      <c r="E25453" s="33" t="s">
        <v>31</v>
      </c>
      <c r="F25453" s="33" t="s">
        <v>32</v>
      </c>
      <c r="G25453" s="33" t="s">
        <v>140</v>
      </c>
      <c r="H25453" s="35">
        <v>40</v>
      </c>
      <c r="I25453" s="33" t="s">
        <v>51</v>
      </c>
      <c r="J25453" s="42">
        <v>45777</v>
      </c>
      <c r="K25453" s="33" t="s">
        <v>22</v>
      </c>
    </row>
    <row r="25454" spans="1:11">
      <c r="A25454" s="30" t="s">
        <v>56028</v>
      </c>
      <c r="B25454" s="30" t="s">
        <v>56029</v>
      </c>
      <c r="C25454" s="30" t="s">
        <v>11609</v>
      </c>
      <c r="D25454" s="30" t="s">
        <v>17</v>
      </c>
      <c r="E25454" s="30" t="s">
        <v>67</v>
      </c>
      <c r="F25454" s="30" t="s">
        <v>68</v>
      </c>
      <c r="G25454" s="30" t="s">
        <v>140</v>
      </c>
      <c r="H25454" s="32">
        <v>84</v>
      </c>
      <c r="I25454" s="30" t="s">
        <v>51</v>
      </c>
      <c r="J25454" s="41">
        <v>45979</v>
      </c>
      <c r="K25454" s="30" t="s">
        <v>22</v>
      </c>
    </row>
    <row r="25455" spans="1:11">
      <c r="A25455" s="33" t="s">
        <v>56030</v>
      </c>
      <c r="B25455" s="33" t="s">
        <v>56031</v>
      </c>
      <c r="C25455" s="33" t="s">
        <v>14816</v>
      </c>
      <c r="D25455" s="33" t="s">
        <v>17</v>
      </c>
      <c r="E25455" s="33" t="s">
        <v>31</v>
      </c>
      <c r="F25455" s="33" t="s">
        <v>32</v>
      </c>
      <c r="G25455" s="33" t="s">
        <v>20</v>
      </c>
      <c r="H25455" s="35">
        <v>120</v>
      </c>
      <c r="I25455" s="33" t="s">
        <v>21</v>
      </c>
      <c r="J25455" s="42">
        <v>45706</v>
      </c>
      <c r="K25455" s="33" t="s">
        <v>22</v>
      </c>
    </row>
    <row r="25456" spans="1:11">
      <c r="A25456" s="30" t="s">
        <v>56032</v>
      </c>
      <c r="B25456" s="30" t="s">
        <v>56033</v>
      </c>
      <c r="C25456" s="30" t="s">
        <v>4181</v>
      </c>
      <c r="D25456" s="30" t="s">
        <v>17</v>
      </c>
      <c r="E25456" s="30" t="s">
        <v>18</v>
      </c>
      <c r="F25456" s="30" t="s">
        <v>19</v>
      </c>
      <c r="G25456" s="30" t="s">
        <v>112</v>
      </c>
      <c r="H25456" s="32">
        <v>0</v>
      </c>
      <c r="I25456" s="30" t="s">
        <v>21</v>
      </c>
      <c r="J25456" s="41">
        <v>45765</v>
      </c>
      <c r="K25456" s="30" t="s">
        <v>22</v>
      </c>
    </row>
    <row r="25457" spans="1:11">
      <c r="A25457" s="33" t="s">
        <v>56034</v>
      </c>
      <c r="B25457" s="33" t="s">
        <v>56035</v>
      </c>
      <c r="C25457" s="33" t="s">
        <v>178</v>
      </c>
      <c r="D25457" s="33" t="s">
        <v>17</v>
      </c>
      <c r="E25457" s="33" t="s">
        <v>26</v>
      </c>
      <c r="F25457" s="33" t="s">
        <v>27</v>
      </c>
      <c r="G25457" s="33" t="s">
        <v>140</v>
      </c>
      <c r="H25457" s="35">
        <v>50</v>
      </c>
      <c r="I25457" s="33" t="s">
        <v>51</v>
      </c>
      <c r="J25457" s="42">
        <v>45775</v>
      </c>
      <c r="K25457" s="33" t="s">
        <v>22</v>
      </c>
    </row>
    <row r="25458" spans="1:11">
      <c r="A25458" s="30" t="s">
        <v>56036</v>
      </c>
      <c r="B25458" s="30" t="s">
        <v>56037</v>
      </c>
      <c r="C25458" s="30" t="s">
        <v>56038</v>
      </c>
      <c r="D25458" s="30" t="s">
        <v>17</v>
      </c>
      <c r="E25458" s="30" t="s">
        <v>330</v>
      </c>
      <c r="F25458" s="30" t="s">
        <v>331</v>
      </c>
      <c r="G25458" s="30" t="s">
        <v>140</v>
      </c>
      <c r="H25458" s="32">
        <v>9</v>
      </c>
      <c r="I25458" s="30" t="s">
        <v>51</v>
      </c>
      <c r="J25458" s="41">
        <v>45916</v>
      </c>
      <c r="K25458" s="30" t="s">
        <v>22</v>
      </c>
    </row>
    <row r="25459" spans="1:11">
      <c r="A25459" s="33" t="s">
        <v>56039</v>
      </c>
      <c r="B25459" s="33" t="s">
        <v>56040</v>
      </c>
      <c r="C25459" s="33" t="s">
        <v>47175</v>
      </c>
      <c r="D25459" s="33" t="s">
        <v>17</v>
      </c>
      <c r="E25459" s="33" t="s">
        <v>26</v>
      </c>
      <c r="F25459" s="33" t="s">
        <v>27</v>
      </c>
      <c r="G25459" s="33" t="s">
        <v>158</v>
      </c>
      <c r="H25459" s="35">
        <v>60</v>
      </c>
      <c r="I25459" s="33" t="s">
        <v>21</v>
      </c>
      <c r="J25459" s="42">
        <v>45980</v>
      </c>
      <c r="K25459" s="33" t="s">
        <v>22</v>
      </c>
    </row>
    <row r="25460" spans="1:11">
      <c r="A25460" s="30" t="s">
        <v>56041</v>
      </c>
      <c r="B25460" s="30" t="s">
        <v>56042</v>
      </c>
      <c r="C25460" s="30" t="s">
        <v>49027</v>
      </c>
      <c r="D25460" s="30" t="s">
        <v>17</v>
      </c>
      <c r="E25460" s="30" t="s">
        <v>31</v>
      </c>
      <c r="F25460" s="30" t="s">
        <v>32</v>
      </c>
      <c r="G25460" s="30" t="s">
        <v>7780</v>
      </c>
      <c r="H25460" s="32">
        <v>30</v>
      </c>
      <c r="I25460" s="30" t="s">
        <v>51</v>
      </c>
      <c r="J25460" s="41">
        <v>45901</v>
      </c>
      <c r="K25460" s="30" t="s">
        <v>22</v>
      </c>
    </row>
    <row r="25461" spans="1:11">
      <c r="A25461" s="33" t="s">
        <v>56043</v>
      </c>
      <c r="B25461" s="33" t="s">
        <v>56044</v>
      </c>
      <c r="C25461" s="33" t="s">
        <v>488</v>
      </c>
      <c r="D25461" s="33" t="s">
        <v>17</v>
      </c>
      <c r="E25461" s="33" t="s">
        <v>67</v>
      </c>
      <c r="F25461" s="33" t="s">
        <v>68</v>
      </c>
      <c r="G25461" s="33" t="s">
        <v>140</v>
      </c>
      <c r="H25461" s="35">
        <v>60</v>
      </c>
      <c r="I25461" s="33" t="s">
        <v>51</v>
      </c>
      <c r="J25461" s="42">
        <v>45845</v>
      </c>
      <c r="K25461" s="33" t="s">
        <v>22</v>
      </c>
    </row>
    <row r="25462" spans="1:11">
      <c r="A25462" s="30" t="s">
        <v>56045</v>
      </c>
      <c r="B25462" s="30" t="s">
        <v>56046</v>
      </c>
      <c r="C25462" s="30" t="s">
        <v>56047</v>
      </c>
      <c r="D25462" s="30" t="s">
        <v>17</v>
      </c>
      <c r="E25462" s="30" t="s">
        <v>26</v>
      </c>
      <c r="F25462" s="30" t="s">
        <v>27</v>
      </c>
      <c r="G25462" s="30" t="s">
        <v>20</v>
      </c>
      <c r="H25462" s="32">
        <v>5</v>
      </c>
      <c r="I25462" s="30" t="s">
        <v>21</v>
      </c>
      <c r="J25462" s="41">
        <v>45961</v>
      </c>
      <c r="K25462" s="30" t="s">
        <v>22</v>
      </c>
    </row>
    <row r="25463" spans="1:11">
      <c r="A25463" s="33" t="s">
        <v>56048</v>
      </c>
      <c r="B25463" s="33" t="s">
        <v>56049</v>
      </c>
      <c r="C25463" s="33" t="s">
        <v>56050</v>
      </c>
      <c r="D25463" s="33" t="s">
        <v>17</v>
      </c>
      <c r="E25463" s="33" t="s">
        <v>26</v>
      </c>
      <c r="F25463" s="33" t="s">
        <v>27</v>
      </c>
      <c r="G25463" s="33" t="s">
        <v>140</v>
      </c>
      <c r="H25463" s="35">
        <v>42</v>
      </c>
      <c r="I25463" s="33" t="s">
        <v>51</v>
      </c>
      <c r="J25463" s="42">
        <v>45965</v>
      </c>
      <c r="K25463" s="33" t="s">
        <v>22</v>
      </c>
    </row>
    <row r="25464" spans="1:11">
      <c r="A25464" s="30" t="s">
        <v>56051</v>
      </c>
      <c r="B25464" s="30" t="s">
        <v>56052</v>
      </c>
      <c r="C25464" s="30" t="s">
        <v>9374</v>
      </c>
      <c r="D25464" s="30" t="s">
        <v>17</v>
      </c>
      <c r="E25464" s="30" t="s">
        <v>31</v>
      </c>
      <c r="F25464" s="30" t="s">
        <v>32</v>
      </c>
      <c r="G25464" s="30" t="s">
        <v>140</v>
      </c>
      <c r="H25464" s="32">
        <v>150</v>
      </c>
      <c r="I25464" s="30" t="s">
        <v>51</v>
      </c>
      <c r="J25464" s="41">
        <v>45670</v>
      </c>
      <c r="K25464" s="30" t="s">
        <v>22</v>
      </c>
    </row>
    <row r="25465" spans="1:11">
      <c r="A25465" s="33" t="s">
        <v>56053</v>
      </c>
      <c r="B25465" s="33" t="s">
        <v>56054</v>
      </c>
      <c r="C25465" s="33" t="s">
        <v>9605</v>
      </c>
      <c r="D25465" s="33" t="s">
        <v>17</v>
      </c>
      <c r="E25465" s="33" t="s">
        <v>67</v>
      </c>
      <c r="F25465" s="33" t="s">
        <v>68</v>
      </c>
      <c r="G25465" s="33" t="s">
        <v>140</v>
      </c>
      <c r="H25465" s="35">
        <v>87</v>
      </c>
      <c r="I25465" s="33" t="s">
        <v>51</v>
      </c>
      <c r="J25465" s="42">
        <v>45783</v>
      </c>
      <c r="K25465" s="33" t="s">
        <v>22</v>
      </c>
    </row>
    <row r="25466" spans="1:11">
      <c r="A25466" s="30" t="s">
        <v>56055</v>
      </c>
      <c r="B25466" s="30" t="s">
        <v>56056</v>
      </c>
      <c r="C25466" s="30" t="s">
        <v>957</v>
      </c>
      <c r="D25466" s="30" t="s">
        <v>17</v>
      </c>
      <c r="E25466" s="30" t="s">
        <v>26</v>
      </c>
      <c r="F25466" s="30" t="s">
        <v>27</v>
      </c>
      <c r="G25466" s="30" t="s">
        <v>140</v>
      </c>
      <c r="H25466" s="32">
        <v>8</v>
      </c>
      <c r="I25466" s="30" t="s">
        <v>51</v>
      </c>
      <c r="J25466" s="41">
        <v>45891</v>
      </c>
      <c r="K25466" s="30" t="s">
        <v>22</v>
      </c>
    </row>
    <row r="25467" spans="1:11">
      <c r="A25467" s="33" t="s">
        <v>56057</v>
      </c>
      <c r="B25467" s="33" t="s">
        <v>56058</v>
      </c>
      <c r="C25467" s="33" t="s">
        <v>13577</v>
      </c>
      <c r="D25467" s="33" t="s">
        <v>17</v>
      </c>
      <c r="E25467" s="33" t="s">
        <v>26</v>
      </c>
      <c r="F25467" s="33" t="s">
        <v>27</v>
      </c>
      <c r="G25467" s="33" t="s">
        <v>20</v>
      </c>
      <c r="H25467" s="35">
        <v>22</v>
      </c>
      <c r="I25467" s="33" t="s">
        <v>21</v>
      </c>
      <c r="J25467" s="42">
        <v>45764</v>
      </c>
      <c r="K25467" s="33" t="s">
        <v>22</v>
      </c>
    </row>
    <row r="25468" spans="1:11">
      <c r="A25468" s="30" t="s">
        <v>56059</v>
      </c>
      <c r="B25468" s="30" t="s">
        <v>56060</v>
      </c>
      <c r="C25468" s="30" t="s">
        <v>178</v>
      </c>
      <c r="D25468" s="30" t="s">
        <v>17</v>
      </c>
      <c r="E25468" s="30" t="s">
        <v>18</v>
      </c>
      <c r="F25468" s="30" t="s">
        <v>19</v>
      </c>
      <c r="G25468" s="30" t="s">
        <v>140</v>
      </c>
      <c r="H25468" s="32">
        <v>600</v>
      </c>
      <c r="I25468" s="30" t="s">
        <v>51</v>
      </c>
      <c r="J25468" s="41">
        <v>45954</v>
      </c>
      <c r="K25468" s="30" t="s">
        <v>22</v>
      </c>
    </row>
    <row r="25469" spans="1:11">
      <c r="A25469" s="33" t="s">
        <v>56061</v>
      </c>
      <c r="B25469" s="33" t="s">
        <v>56062</v>
      </c>
      <c r="C25469" s="33" t="s">
        <v>27249</v>
      </c>
      <c r="D25469" s="33" t="s">
        <v>17</v>
      </c>
      <c r="E25469" s="33" t="s">
        <v>31</v>
      </c>
      <c r="F25469" s="33" t="s">
        <v>32</v>
      </c>
      <c r="G25469" s="33" t="s">
        <v>140</v>
      </c>
      <c r="H25469" s="35">
        <v>129</v>
      </c>
      <c r="I25469" s="33" t="s">
        <v>51</v>
      </c>
      <c r="J25469" s="42">
        <v>45825</v>
      </c>
      <c r="K25469" s="33" t="s">
        <v>22</v>
      </c>
    </row>
    <row r="25470" spans="1:11">
      <c r="A25470" s="30" t="s">
        <v>56063</v>
      </c>
      <c r="B25470" s="30" t="s">
        <v>56064</v>
      </c>
      <c r="C25470" s="30" t="s">
        <v>1305</v>
      </c>
      <c r="D25470" s="30" t="s">
        <v>17</v>
      </c>
      <c r="E25470" s="30" t="s">
        <v>31</v>
      </c>
      <c r="F25470" s="30" t="s">
        <v>32</v>
      </c>
      <c r="G25470" s="30" t="s">
        <v>140</v>
      </c>
      <c r="H25470" s="32">
        <v>132</v>
      </c>
      <c r="I25470" s="30" t="s">
        <v>51</v>
      </c>
      <c r="J25470" s="41">
        <v>45838</v>
      </c>
      <c r="K25470" s="30" t="s">
        <v>22</v>
      </c>
    </row>
    <row r="25471" spans="1:11">
      <c r="A25471" s="33" t="s">
        <v>56065</v>
      </c>
      <c r="B25471" s="33" t="s">
        <v>56066</v>
      </c>
      <c r="C25471" s="33" t="s">
        <v>1877</v>
      </c>
      <c r="D25471" s="33" t="s">
        <v>17</v>
      </c>
      <c r="E25471" s="33" t="s">
        <v>26</v>
      </c>
      <c r="F25471" s="33" t="s">
        <v>27</v>
      </c>
      <c r="G25471" s="33" t="s">
        <v>158</v>
      </c>
      <c r="H25471" s="35">
        <v>72</v>
      </c>
      <c r="I25471" s="33" t="s">
        <v>51</v>
      </c>
      <c r="J25471" s="42">
        <v>45918</v>
      </c>
      <c r="K25471" s="33" t="s">
        <v>22</v>
      </c>
    </row>
    <row r="25472" spans="1:11">
      <c r="A25472" s="30" t="s">
        <v>56067</v>
      </c>
      <c r="B25472" s="30" t="s">
        <v>56068</v>
      </c>
      <c r="C25472" s="30" t="s">
        <v>50669</v>
      </c>
      <c r="D25472" s="30" t="s">
        <v>17</v>
      </c>
      <c r="E25472" s="30" t="s">
        <v>18</v>
      </c>
      <c r="F25472" s="30" t="s">
        <v>19</v>
      </c>
      <c r="G25472" s="30" t="s">
        <v>158</v>
      </c>
      <c r="H25472" s="32">
        <v>308</v>
      </c>
      <c r="I25472" s="30" t="s">
        <v>21</v>
      </c>
      <c r="J25472" s="41">
        <v>45804</v>
      </c>
      <c r="K25472" s="30" t="s">
        <v>22</v>
      </c>
    </row>
    <row r="25473" spans="1:11">
      <c r="A25473" s="33" t="s">
        <v>56069</v>
      </c>
      <c r="B25473" s="33" t="s">
        <v>56070</v>
      </c>
      <c r="C25473" s="33" t="s">
        <v>203</v>
      </c>
      <c r="D25473" s="33" t="s">
        <v>17</v>
      </c>
      <c r="E25473" s="33" t="s">
        <v>67</v>
      </c>
      <c r="F25473" s="33" t="s">
        <v>68</v>
      </c>
      <c r="G25473" s="33" t="s">
        <v>140</v>
      </c>
      <c r="H25473" s="35">
        <v>104</v>
      </c>
      <c r="I25473" s="33" t="s">
        <v>51</v>
      </c>
      <c r="J25473" s="42">
        <v>45939</v>
      </c>
      <c r="K25473" s="33" t="s">
        <v>22</v>
      </c>
    </row>
    <row r="25474" spans="1:11">
      <c r="A25474" s="30" t="s">
        <v>56071</v>
      </c>
      <c r="B25474" s="30" t="s">
        <v>56072</v>
      </c>
      <c r="C25474" s="30" t="s">
        <v>399</v>
      </c>
      <c r="D25474" s="30" t="s">
        <v>17</v>
      </c>
      <c r="E25474" s="30" t="s">
        <v>31</v>
      </c>
      <c r="F25474" s="30" t="s">
        <v>32</v>
      </c>
      <c r="G25474" s="30" t="s">
        <v>112</v>
      </c>
      <c r="H25474" s="32">
        <v>0</v>
      </c>
      <c r="I25474" s="30" t="s">
        <v>21</v>
      </c>
      <c r="J25474" s="41">
        <v>45777</v>
      </c>
      <c r="K25474" s="30" t="s">
        <v>22</v>
      </c>
    </row>
    <row r="25475" spans="1:11">
      <c r="A25475" s="33" t="s">
        <v>56073</v>
      </c>
      <c r="B25475" s="33" t="s">
        <v>56074</v>
      </c>
      <c r="C25475" s="33" t="s">
        <v>2695</v>
      </c>
      <c r="D25475" s="33" t="s">
        <v>17</v>
      </c>
      <c r="E25475" s="33" t="s">
        <v>31</v>
      </c>
      <c r="F25475" s="33" t="s">
        <v>32</v>
      </c>
      <c r="G25475" s="33" t="s">
        <v>140</v>
      </c>
      <c r="H25475" s="35">
        <v>12</v>
      </c>
      <c r="I25475" s="33" t="s">
        <v>51</v>
      </c>
      <c r="J25475" s="42">
        <v>45992</v>
      </c>
      <c r="K25475" s="33" t="s">
        <v>22</v>
      </c>
    </row>
    <row r="25476" spans="1:11">
      <c r="A25476" s="30" t="s">
        <v>56075</v>
      </c>
      <c r="B25476" s="30" t="s">
        <v>56076</v>
      </c>
      <c r="C25476" s="30" t="s">
        <v>530</v>
      </c>
      <c r="D25476" s="30" t="s">
        <v>17</v>
      </c>
      <c r="E25476" s="30" t="s">
        <v>67</v>
      </c>
      <c r="F25476" s="30" t="s">
        <v>68</v>
      </c>
      <c r="G25476" s="30" t="s">
        <v>140</v>
      </c>
      <c r="H25476" s="32">
        <v>60</v>
      </c>
      <c r="I25476" s="30" t="s">
        <v>51</v>
      </c>
      <c r="J25476" s="41">
        <v>45859</v>
      </c>
      <c r="K25476" s="30" t="s">
        <v>22</v>
      </c>
    </row>
    <row r="25477" spans="1:11">
      <c r="A25477" s="33" t="s">
        <v>56077</v>
      </c>
      <c r="B25477" s="33" t="s">
        <v>56078</v>
      </c>
      <c r="C25477" s="33" t="s">
        <v>56079</v>
      </c>
      <c r="D25477" s="33" t="s">
        <v>17</v>
      </c>
      <c r="E25477" s="33" t="s">
        <v>26</v>
      </c>
      <c r="F25477" s="33" t="s">
        <v>27</v>
      </c>
      <c r="G25477" s="33" t="s">
        <v>20</v>
      </c>
      <c r="H25477" s="35">
        <v>32</v>
      </c>
      <c r="I25477" s="33" t="s">
        <v>21</v>
      </c>
      <c r="J25477" s="42">
        <v>45909</v>
      </c>
      <c r="K25477" s="33" t="s">
        <v>22</v>
      </c>
    </row>
    <row r="25478" spans="1:11">
      <c r="A25478" s="30" t="s">
        <v>56080</v>
      </c>
      <c r="B25478" s="30" t="s">
        <v>56081</v>
      </c>
      <c r="C25478" s="30" t="s">
        <v>99</v>
      </c>
      <c r="D25478" s="30" t="s">
        <v>17</v>
      </c>
      <c r="E25478" s="30" t="s">
        <v>26</v>
      </c>
      <c r="F25478" s="30" t="s">
        <v>27</v>
      </c>
      <c r="G25478" s="30" t="s">
        <v>2613</v>
      </c>
      <c r="H25478" s="32">
        <v>118</v>
      </c>
      <c r="I25478" s="30" t="s">
        <v>51</v>
      </c>
      <c r="J25478" s="41">
        <v>45949</v>
      </c>
      <c r="K25478" s="30" t="s">
        <v>22</v>
      </c>
    </row>
    <row r="25479" spans="1:11">
      <c r="A25479" s="33" t="s">
        <v>56082</v>
      </c>
      <c r="B25479" s="33" t="s">
        <v>56083</v>
      </c>
      <c r="C25479" s="33" t="s">
        <v>2849</v>
      </c>
      <c r="D25479" s="33" t="s">
        <v>17</v>
      </c>
      <c r="E25479" s="33" t="s">
        <v>18</v>
      </c>
      <c r="F25479" s="33" t="s">
        <v>19</v>
      </c>
      <c r="G25479" s="33" t="s">
        <v>7780</v>
      </c>
      <c r="H25479" s="35">
        <v>300</v>
      </c>
      <c r="I25479" s="33" t="s">
        <v>51</v>
      </c>
      <c r="J25479" s="42">
        <v>45962</v>
      </c>
      <c r="K25479" s="33" t="s">
        <v>22</v>
      </c>
    </row>
    <row r="25480" spans="1:11">
      <c r="A25480" s="30" t="s">
        <v>56084</v>
      </c>
      <c r="B25480" s="30" t="s">
        <v>56085</v>
      </c>
      <c r="C25480" s="30" t="s">
        <v>24930</v>
      </c>
      <c r="D25480" s="30" t="s">
        <v>17</v>
      </c>
      <c r="E25480" s="30" t="s">
        <v>31</v>
      </c>
      <c r="F25480" s="30" t="s">
        <v>32</v>
      </c>
      <c r="G25480" s="30" t="s">
        <v>140</v>
      </c>
      <c r="H25480" s="32">
        <v>40</v>
      </c>
      <c r="I25480" s="30" t="s">
        <v>51</v>
      </c>
      <c r="J25480" s="41">
        <v>45901</v>
      </c>
      <c r="K25480" s="30" t="s">
        <v>22</v>
      </c>
    </row>
    <row r="25481" spans="1:11">
      <c r="A25481" s="33" t="s">
        <v>56086</v>
      </c>
      <c r="B25481" s="33" t="s">
        <v>56087</v>
      </c>
      <c r="C25481" s="33" t="s">
        <v>38933</v>
      </c>
      <c r="D25481" s="33" t="s">
        <v>17</v>
      </c>
      <c r="E25481" s="33" t="s">
        <v>31</v>
      </c>
      <c r="F25481" s="33" t="s">
        <v>32</v>
      </c>
      <c r="G25481" s="33" t="s">
        <v>20</v>
      </c>
      <c r="H25481" s="35">
        <v>10</v>
      </c>
      <c r="I25481" s="33" t="s">
        <v>21</v>
      </c>
      <c r="J25481" s="42">
        <v>45853</v>
      </c>
      <c r="K25481" s="33" t="s">
        <v>22</v>
      </c>
    </row>
    <row r="25482" spans="1:11">
      <c r="A25482" s="30" t="s">
        <v>56088</v>
      </c>
      <c r="B25482" s="30" t="s">
        <v>56089</v>
      </c>
      <c r="C25482" s="30" t="s">
        <v>35430</v>
      </c>
      <c r="D25482" s="30" t="s">
        <v>17</v>
      </c>
      <c r="E25482" s="30" t="s">
        <v>26</v>
      </c>
      <c r="F25482" s="30" t="s">
        <v>27</v>
      </c>
      <c r="G25482" s="30" t="s">
        <v>20</v>
      </c>
      <c r="H25482" s="32">
        <v>48</v>
      </c>
      <c r="I25482" s="30" t="s">
        <v>21</v>
      </c>
      <c r="J25482" s="41">
        <v>45806</v>
      </c>
      <c r="K25482" s="30" t="s">
        <v>22</v>
      </c>
    </row>
    <row r="25483" spans="1:11">
      <c r="A25483" s="33" t="s">
        <v>56090</v>
      </c>
      <c r="B25483" s="33" t="s">
        <v>56091</v>
      </c>
      <c r="C25483" s="33" t="s">
        <v>118</v>
      </c>
      <c r="D25483" s="33" t="s">
        <v>17</v>
      </c>
      <c r="E25483" s="33" t="s">
        <v>31</v>
      </c>
      <c r="F25483" s="33" t="s">
        <v>32</v>
      </c>
      <c r="G25483" s="33" t="s">
        <v>140</v>
      </c>
      <c r="H25483" s="35">
        <v>111</v>
      </c>
      <c r="I25483" s="33" t="s">
        <v>51</v>
      </c>
      <c r="J25483" s="42">
        <v>45701</v>
      </c>
      <c r="K25483" s="33" t="s">
        <v>22</v>
      </c>
    </row>
    <row r="25484" spans="1:11">
      <c r="A25484" s="30" t="s">
        <v>56092</v>
      </c>
      <c r="B25484" s="30" t="s">
        <v>56093</v>
      </c>
      <c r="C25484" s="30" t="s">
        <v>310</v>
      </c>
      <c r="D25484" s="30" t="s">
        <v>17</v>
      </c>
      <c r="E25484" s="30" t="s">
        <v>18</v>
      </c>
      <c r="F25484" s="30" t="s">
        <v>19</v>
      </c>
      <c r="G25484" s="30" t="s">
        <v>158</v>
      </c>
      <c r="H25484" s="32">
        <v>609</v>
      </c>
      <c r="I25484" s="30" t="s">
        <v>21</v>
      </c>
      <c r="J25484" s="41">
        <v>45811</v>
      </c>
      <c r="K25484" s="30" t="s">
        <v>22</v>
      </c>
    </row>
    <row r="25485" spans="1:11">
      <c r="A25485" s="33" t="s">
        <v>56094</v>
      </c>
      <c r="B25485" s="33" t="s">
        <v>56095</v>
      </c>
      <c r="C25485" s="33" t="s">
        <v>136</v>
      </c>
      <c r="D25485" s="33" t="s">
        <v>17</v>
      </c>
      <c r="E25485" s="33" t="s">
        <v>18</v>
      </c>
      <c r="F25485" s="33" t="s">
        <v>19</v>
      </c>
      <c r="G25485" s="33" t="s">
        <v>140</v>
      </c>
      <c r="H25485" s="35">
        <v>1035</v>
      </c>
      <c r="I25485" s="33" t="s">
        <v>51</v>
      </c>
      <c r="J25485" s="42">
        <v>46006</v>
      </c>
      <c r="K25485" s="33" t="s">
        <v>22</v>
      </c>
    </row>
    <row r="25486" spans="1:11">
      <c r="A25486" s="30" t="s">
        <v>56096</v>
      </c>
      <c r="B25486" s="30" t="s">
        <v>56097</v>
      </c>
      <c r="C25486" s="30" t="s">
        <v>14450</v>
      </c>
      <c r="D25486" s="30" t="s">
        <v>17</v>
      </c>
      <c r="E25486" s="30" t="s">
        <v>31</v>
      </c>
      <c r="F25486" s="30" t="s">
        <v>32</v>
      </c>
      <c r="G25486" s="30" t="s">
        <v>20</v>
      </c>
      <c r="H25486" s="32">
        <v>120</v>
      </c>
      <c r="I25486" s="30" t="s">
        <v>21</v>
      </c>
      <c r="J25486" s="41">
        <v>45741</v>
      </c>
      <c r="K25486" s="30" t="s">
        <v>22</v>
      </c>
    </row>
    <row r="25487" spans="1:11">
      <c r="A25487" s="33" t="s">
        <v>56098</v>
      </c>
      <c r="B25487" s="33" t="s">
        <v>56099</v>
      </c>
      <c r="C25487" s="33" t="s">
        <v>5084</v>
      </c>
      <c r="D25487" s="33" t="s">
        <v>17</v>
      </c>
      <c r="E25487" s="33" t="s">
        <v>31</v>
      </c>
      <c r="F25487" s="33" t="s">
        <v>32</v>
      </c>
      <c r="G25487" s="33" t="s">
        <v>7780</v>
      </c>
      <c r="H25487" s="35">
        <v>156</v>
      </c>
      <c r="I25487" s="33" t="s">
        <v>51</v>
      </c>
      <c r="J25487" s="42">
        <v>45803</v>
      </c>
      <c r="K25487" s="33" t="s">
        <v>22</v>
      </c>
    </row>
    <row r="25488" spans="1:11">
      <c r="A25488" s="30" t="s">
        <v>56100</v>
      </c>
      <c r="B25488" s="30" t="s">
        <v>56101</v>
      </c>
      <c r="C25488" s="30" t="s">
        <v>56102</v>
      </c>
      <c r="D25488" s="30" t="s">
        <v>17</v>
      </c>
      <c r="E25488" s="30" t="s">
        <v>18</v>
      </c>
      <c r="F25488" s="30" t="s">
        <v>19</v>
      </c>
      <c r="G25488" s="30" t="s">
        <v>7780</v>
      </c>
      <c r="H25488" s="32">
        <v>573</v>
      </c>
      <c r="I25488" s="30" t="s">
        <v>51</v>
      </c>
      <c r="J25488" s="41">
        <v>45962</v>
      </c>
      <c r="K25488" s="30" t="s">
        <v>22</v>
      </c>
    </row>
    <row r="25489" spans="1:11">
      <c r="A25489" s="33" t="s">
        <v>56103</v>
      </c>
      <c r="B25489" s="33" t="s">
        <v>56104</v>
      </c>
      <c r="C25489" s="33" t="s">
        <v>22650</v>
      </c>
      <c r="D25489" s="33" t="s">
        <v>17</v>
      </c>
      <c r="E25489" s="33" t="s">
        <v>18</v>
      </c>
      <c r="F25489" s="33" t="s">
        <v>19</v>
      </c>
      <c r="G25489" s="33" t="s">
        <v>140</v>
      </c>
      <c r="H25489" s="35">
        <v>160</v>
      </c>
      <c r="I25489" s="33" t="s">
        <v>51</v>
      </c>
      <c r="J25489" s="42">
        <v>45714</v>
      </c>
      <c r="K25489" s="33" t="s">
        <v>22</v>
      </c>
    </row>
    <row r="25490" spans="1:11">
      <c r="A25490" s="30" t="s">
        <v>56105</v>
      </c>
      <c r="B25490" s="30" t="s">
        <v>56106</v>
      </c>
      <c r="C25490" s="30" t="s">
        <v>19750</v>
      </c>
      <c r="D25490" s="30" t="s">
        <v>17</v>
      </c>
      <c r="E25490" s="30" t="s">
        <v>67</v>
      </c>
      <c r="F25490" s="30" t="s">
        <v>68</v>
      </c>
      <c r="G25490" s="30" t="s">
        <v>140</v>
      </c>
      <c r="H25490" s="32">
        <v>72</v>
      </c>
      <c r="I25490" s="30" t="s">
        <v>51</v>
      </c>
      <c r="J25490" s="41">
        <v>45789</v>
      </c>
      <c r="K25490" s="30" t="s">
        <v>22</v>
      </c>
    </row>
    <row r="25491" spans="1:11">
      <c r="A25491" s="33" t="s">
        <v>56107</v>
      </c>
      <c r="B25491" s="33" t="s">
        <v>56108</v>
      </c>
      <c r="C25491" s="33" t="s">
        <v>51801</v>
      </c>
      <c r="D25491" s="33" t="s">
        <v>17</v>
      </c>
      <c r="E25491" s="33" t="s">
        <v>31</v>
      </c>
      <c r="F25491" s="33" t="s">
        <v>32</v>
      </c>
      <c r="G25491" s="33" t="s">
        <v>7780</v>
      </c>
      <c r="H25491" s="35">
        <v>120</v>
      </c>
      <c r="I25491" s="33" t="s">
        <v>51</v>
      </c>
      <c r="J25491" s="42">
        <v>45884</v>
      </c>
      <c r="K25491" s="33" t="s">
        <v>22</v>
      </c>
    </row>
    <row r="25492" spans="1:11">
      <c r="A25492" s="30" t="s">
        <v>56109</v>
      </c>
      <c r="B25492" s="30" t="s">
        <v>56110</v>
      </c>
      <c r="C25492" s="30" t="s">
        <v>22614</v>
      </c>
      <c r="D25492" s="30" t="s">
        <v>17</v>
      </c>
      <c r="E25492" s="30" t="s">
        <v>26</v>
      </c>
      <c r="F25492" s="30" t="s">
        <v>27</v>
      </c>
      <c r="G25492" s="30" t="s">
        <v>140</v>
      </c>
      <c r="H25492" s="32">
        <v>104</v>
      </c>
      <c r="I25492" s="30" t="s">
        <v>51</v>
      </c>
      <c r="J25492" s="41">
        <v>45994</v>
      </c>
      <c r="K25492" s="30" t="s">
        <v>22</v>
      </c>
    </row>
    <row r="25493" spans="1:11">
      <c r="A25493" s="33" t="s">
        <v>56111</v>
      </c>
      <c r="B25493" s="33" t="s">
        <v>56112</v>
      </c>
      <c r="C25493" s="33" t="s">
        <v>216</v>
      </c>
      <c r="D25493" s="33" t="s">
        <v>17</v>
      </c>
      <c r="E25493" s="33" t="s">
        <v>45</v>
      </c>
      <c r="F25493" s="33" t="s">
        <v>46</v>
      </c>
      <c r="G25493" s="33" t="s">
        <v>140</v>
      </c>
      <c r="H25493" s="35">
        <v>192</v>
      </c>
      <c r="I25493" s="33" t="s">
        <v>51</v>
      </c>
      <c r="J25493" s="42">
        <v>45956</v>
      </c>
      <c r="K25493" s="33" t="s">
        <v>22</v>
      </c>
    </row>
    <row r="25494" spans="1:11">
      <c r="A25494" s="30" t="s">
        <v>56113</v>
      </c>
      <c r="B25494" s="30" t="s">
        <v>56114</v>
      </c>
      <c r="C25494" s="30" t="s">
        <v>231</v>
      </c>
      <c r="D25494" s="30" t="s">
        <v>17</v>
      </c>
      <c r="E25494" s="30" t="s">
        <v>26</v>
      </c>
      <c r="F25494" s="30" t="s">
        <v>27</v>
      </c>
      <c r="G25494" s="30" t="s">
        <v>20</v>
      </c>
      <c r="H25494" s="32">
        <v>16</v>
      </c>
      <c r="I25494" s="30" t="s">
        <v>21</v>
      </c>
      <c r="J25494" s="41">
        <v>45880</v>
      </c>
      <c r="K25494" s="30" t="s">
        <v>22</v>
      </c>
    </row>
    <row r="25495" spans="1:11">
      <c r="A25495" s="33" t="s">
        <v>56115</v>
      </c>
      <c r="B25495" s="33" t="s">
        <v>56116</v>
      </c>
      <c r="C25495" s="33" t="s">
        <v>12561</v>
      </c>
      <c r="D25495" s="33" t="s">
        <v>17</v>
      </c>
      <c r="E25495" s="33" t="s">
        <v>330</v>
      </c>
      <c r="F25495" s="33" t="s">
        <v>331</v>
      </c>
      <c r="G25495" s="33" t="s">
        <v>140</v>
      </c>
      <c r="H25495" s="35">
        <v>10</v>
      </c>
      <c r="I25495" s="33" t="s">
        <v>51</v>
      </c>
      <c r="J25495" s="42">
        <v>45819</v>
      </c>
      <c r="K25495" s="33" t="s">
        <v>22</v>
      </c>
    </row>
    <row r="25496" spans="1:11">
      <c r="A25496" s="30" t="s">
        <v>56117</v>
      </c>
      <c r="B25496" s="30" t="s">
        <v>56118</v>
      </c>
      <c r="C25496" s="30" t="s">
        <v>1598</v>
      </c>
      <c r="D25496" s="30" t="s">
        <v>17</v>
      </c>
      <c r="E25496" s="30" t="s">
        <v>26</v>
      </c>
      <c r="F25496" s="30" t="s">
        <v>27</v>
      </c>
      <c r="G25496" s="30" t="s">
        <v>158</v>
      </c>
      <c r="H25496" s="32">
        <v>64</v>
      </c>
      <c r="I25496" s="30" t="s">
        <v>21</v>
      </c>
      <c r="J25496" s="41">
        <v>45999</v>
      </c>
      <c r="K25496" s="30" t="s">
        <v>22</v>
      </c>
    </row>
    <row r="25497" spans="1:11">
      <c r="A25497" s="33" t="s">
        <v>56119</v>
      </c>
      <c r="B25497" s="33" t="s">
        <v>56120</v>
      </c>
      <c r="C25497" s="33" t="s">
        <v>44</v>
      </c>
      <c r="D25497" s="33" t="s">
        <v>17</v>
      </c>
      <c r="E25497" s="33" t="s">
        <v>67</v>
      </c>
      <c r="F25497" s="33" t="s">
        <v>68</v>
      </c>
      <c r="G25497" s="33" t="s">
        <v>158</v>
      </c>
      <c r="H25497" s="35">
        <v>72</v>
      </c>
      <c r="I25497" s="33" t="s">
        <v>51</v>
      </c>
      <c r="J25497" s="42">
        <v>46008</v>
      </c>
      <c r="K25497" s="33" t="s">
        <v>22</v>
      </c>
    </row>
    <row r="25498" spans="1:11">
      <c r="A25498" s="30" t="s">
        <v>56121</v>
      </c>
      <c r="B25498" s="30" t="s">
        <v>56122</v>
      </c>
      <c r="C25498" s="30" t="s">
        <v>1151</v>
      </c>
      <c r="D25498" s="30" t="s">
        <v>17</v>
      </c>
      <c r="E25498" s="30" t="s">
        <v>67</v>
      </c>
      <c r="F25498" s="30" t="s">
        <v>68</v>
      </c>
      <c r="G25498" s="30" t="s">
        <v>140</v>
      </c>
      <c r="H25498" s="32">
        <v>150</v>
      </c>
      <c r="I25498" s="30" t="s">
        <v>51</v>
      </c>
      <c r="J25498" s="41">
        <v>45786</v>
      </c>
      <c r="K25498" s="30" t="s">
        <v>22</v>
      </c>
    </row>
    <row r="25499" spans="1:11">
      <c r="A25499" s="33" t="s">
        <v>56123</v>
      </c>
      <c r="B25499" s="33" t="s">
        <v>56124</v>
      </c>
      <c r="C25499" s="33" t="s">
        <v>5636</v>
      </c>
      <c r="D25499" s="33" t="s">
        <v>17</v>
      </c>
      <c r="E25499" s="33" t="s">
        <v>26</v>
      </c>
      <c r="F25499" s="33" t="s">
        <v>27</v>
      </c>
      <c r="G25499" s="33" t="s">
        <v>140</v>
      </c>
      <c r="H25499" s="35">
        <v>28</v>
      </c>
      <c r="I25499" s="33" t="s">
        <v>51</v>
      </c>
      <c r="J25499" s="42">
        <v>45834</v>
      </c>
      <c r="K25499" s="33" t="s">
        <v>22</v>
      </c>
    </row>
    <row r="25500" spans="1:11">
      <c r="A25500" s="30" t="s">
        <v>56125</v>
      </c>
      <c r="B25500" s="30" t="s">
        <v>56126</v>
      </c>
      <c r="C25500" s="30" t="s">
        <v>56127</v>
      </c>
      <c r="D25500" s="30" t="s">
        <v>17</v>
      </c>
      <c r="E25500" s="30" t="s">
        <v>67</v>
      </c>
      <c r="F25500" s="30" t="s">
        <v>68</v>
      </c>
      <c r="G25500" s="30" t="s">
        <v>140</v>
      </c>
      <c r="H25500" s="32">
        <v>62</v>
      </c>
      <c r="I25500" s="30" t="s">
        <v>51</v>
      </c>
      <c r="J25500" s="41">
        <v>45805</v>
      </c>
      <c r="K25500" s="30" t="s">
        <v>22</v>
      </c>
    </row>
    <row r="25501" spans="1:11">
      <c r="A25501" s="33" t="s">
        <v>56128</v>
      </c>
      <c r="B25501" s="33" t="s">
        <v>56129</v>
      </c>
      <c r="C25501" s="33" t="s">
        <v>231</v>
      </c>
      <c r="D25501" s="33" t="s">
        <v>17</v>
      </c>
      <c r="E25501" s="33" t="s">
        <v>26</v>
      </c>
      <c r="F25501" s="33" t="s">
        <v>27</v>
      </c>
      <c r="G25501" s="33" t="s">
        <v>140</v>
      </c>
      <c r="H25501" s="35">
        <v>135</v>
      </c>
      <c r="I25501" s="33" t="s">
        <v>51</v>
      </c>
      <c r="J25501" s="42">
        <v>45744</v>
      </c>
      <c r="K25501" s="33" t="s">
        <v>22</v>
      </c>
    </row>
    <row r="25502" spans="1:11">
      <c r="A25502" s="30" t="s">
        <v>56130</v>
      </c>
      <c r="B25502" s="30" t="s">
        <v>56131</v>
      </c>
      <c r="C25502" s="30" t="s">
        <v>43554</v>
      </c>
      <c r="D25502" s="30" t="s">
        <v>17</v>
      </c>
      <c r="E25502" s="30" t="s">
        <v>26</v>
      </c>
      <c r="F25502" s="30" t="s">
        <v>27</v>
      </c>
      <c r="G25502" s="30" t="s">
        <v>140</v>
      </c>
      <c r="H25502" s="32">
        <v>18</v>
      </c>
      <c r="I25502" s="30" t="s">
        <v>51</v>
      </c>
      <c r="J25502" s="41">
        <v>45658</v>
      </c>
      <c r="K25502" s="30" t="s">
        <v>22</v>
      </c>
    </row>
    <row r="25503" spans="1:11">
      <c r="A25503" s="33" t="s">
        <v>56132</v>
      </c>
      <c r="B25503" s="33" t="s">
        <v>56133</v>
      </c>
      <c r="C25503" s="33" t="s">
        <v>33111</v>
      </c>
      <c r="D25503" s="33" t="s">
        <v>17</v>
      </c>
      <c r="E25503" s="33" t="s">
        <v>31</v>
      </c>
      <c r="F25503" s="33" t="s">
        <v>32</v>
      </c>
      <c r="G25503" s="33" t="s">
        <v>7780</v>
      </c>
      <c r="H25503" s="35">
        <v>231</v>
      </c>
      <c r="I25503" s="33" t="s">
        <v>51</v>
      </c>
      <c r="J25503" s="42">
        <v>45793</v>
      </c>
      <c r="K25503" s="33" t="s">
        <v>22</v>
      </c>
    </row>
    <row r="25504" spans="1:11">
      <c r="A25504" s="30" t="s">
        <v>56134</v>
      </c>
      <c r="B25504" s="30" t="s">
        <v>56135</v>
      </c>
      <c r="C25504" s="30" t="s">
        <v>1598</v>
      </c>
      <c r="D25504" s="30" t="s">
        <v>17</v>
      </c>
      <c r="E25504" s="30" t="s">
        <v>26</v>
      </c>
      <c r="F25504" s="30" t="s">
        <v>27</v>
      </c>
      <c r="G25504" s="30" t="s">
        <v>20</v>
      </c>
      <c r="H25504" s="32">
        <v>44</v>
      </c>
      <c r="I25504" s="30" t="s">
        <v>21</v>
      </c>
      <c r="J25504" s="41">
        <v>45791</v>
      </c>
      <c r="K25504" s="30" t="s">
        <v>22</v>
      </c>
    </row>
    <row r="25505" spans="1:11">
      <c r="A25505" s="33" t="s">
        <v>56136</v>
      </c>
      <c r="B25505" s="33" t="s">
        <v>56137</v>
      </c>
      <c r="C25505" s="33" t="s">
        <v>1598</v>
      </c>
      <c r="D25505" s="33" t="s">
        <v>17</v>
      </c>
      <c r="E25505" s="33" t="s">
        <v>31</v>
      </c>
      <c r="F25505" s="33" t="s">
        <v>32</v>
      </c>
      <c r="G25505" s="33" t="s">
        <v>140</v>
      </c>
      <c r="H25505" s="35">
        <v>141</v>
      </c>
      <c r="I25505" s="33" t="s">
        <v>51</v>
      </c>
      <c r="J25505" s="42">
        <v>45748</v>
      </c>
      <c r="K25505" s="33" t="s">
        <v>22</v>
      </c>
    </row>
    <row r="25506" spans="1:11">
      <c r="A25506" s="30" t="s">
        <v>56138</v>
      </c>
      <c r="B25506" s="30" t="s">
        <v>56139</v>
      </c>
      <c r="C25506" s="30" t="s">
        <v>11609</v>
      </c>
      <c r="D25506" s="30" t="s">
        <v>17</v>
      </c>
      <c r="E25506" s="30" t="s">
        <v>31</v>
      </c>
      <c r="F25506" s="30" t="s">
        <v>32</v>
      </c>
      <c r="G25506" s="30" t="s">
        <v>158</v>
      </c>
      <c r="H25506" s="32">
        <v>163</v>
      </c>
      <c r="I25506" s="30" t="s">
        <v>21</v>
      </c>
      <c r="J25506" s="41">
        <v>45866</v>
      </c>
      <c r="K25506" s="30" t="s">
        <v>22</v>
      </c>
    </row>
    <row r="25507" spans="1:11">
      <c r="A25507" s="33" t="s">
        <v>56140</v>
      </c>
      <c r="B25507" s="33" t="s">
        <v>56141</v>
      </c>
      <c r="C25507" s="33" t="s">
        <v>379</v>
      </c>
      <c r="D25507" s="33" t="s">
        <v>17</v>
      </c>
      <c r="E25507" s="33" t="s">
        <v>31</v>
      </c>
      <c r="F25507" s="33" t="s">
        <v>32</v>
      </c>
      <c r="G25507" s="33" t="s">
        <v>140</v>
      </c>
      <c r="H25507" s="35">
        <v>102</v>
      </c>
      <c r="I25507" s="33" t="s">
        <v>51</v>
      </c>
      <c r="J25507" s="42">
        <v>45683</v>
      </c>
      <c r="K25507" s="33" t="s">
        <v>22</v>
      </c>
    </row>
    <row r="25508" spans="1:11">
      <c r="A25508" s="30" t="s">
        <v>56142</v>
      </c>
      <c r="B25508" s="30" t="s">
        <v>56143</v>
      </c>
      <c r="C25508" s="30" t="s">
        <v>18468</v>
      </c>
      <c r="D25508" s="30" t="s">
        <v>17</v>
      </c>
      <c r="E25508" s="30" t="s">
        <v>330</v>
      </c>
      <c r="F25508" s="30" t="s">
        <v>331</v>
      </c>
      <c r="G25508" s="30" t="s">
        <v>140</v>
      </c>
      <c r="H25508" s="32">
        <v>46</v>
      </c>
      <c r="I25508" s="30" t="s">
        <v>51</v>
      </c>
      <c r="J25508" s="41">
        <v>45736</v>
      </c>
      <c r="K25508" s="30" t="s">
        <v>22</v>
      </c>
    </row>
    <row r="25509" spans="1:11">
      <c r="A25509" s="33" t="s">
        <v>56144</v>
      </c>
      <c r="B25509" s="33" t="s">
        <v>56145</v>
      </c>
      <c r="C25509" s="33" t="s">
        <v>22062</v>
      </c>
      <c r="D25509" s="33" t="s">
        <v>17</v>
      </c>
      <c r="E25509" s="33" t="s">
        <v>26</v>
      </c>
      <c r="F25509" s="33" t="s">
        <v>27</v>
      </c>
      <c r="G25509" s="33" t="s">
        <v>140</v>
      </c>
      <c r="H25509" s="35">
        <v>200</v>
      </c>
      <c r="I25509" s="33" t="s">
        <v>51</v>
      </c>
      <c r="J25509" s="42">
        <v>45968</v>
      </c>
      <c r="K25509" s="33" t="s">
        <v>22</v>
      </c>
    </row>
    <row r="25510" spans="1:11">
      <c r="A25510" s="30" t="s">
        <v>56146</v>
      </c>
      <c r="B25510" s="30" t="s">
        <v>56147</v>
      </c>
      <c r="C25510" s="30" t="s">
        <v>14028</v>
      </c>
      <c r="D25510" s="30" t="s">
        <v>17</v>
      </c>
      <c r="E25510" s="30" t="s">
        <v>31</v>
      </c>
      <c r="F25510" s="30" t="s">
        <v>32</v>
      </c>
      <c r="G25510" s="30" t="s">
        <v>140</v>
      </c>
      <c r="H25510" s="32">
        <v>55</v>
      </c>
      <c r="I25510" s="30" t="s">
        <v>51</v>
      </c>
      <c r="J25510" s="41">
        <v>45720</v>
      </c>
      <c r="K25510" s="30" t="s">
        <v>22</v>
      </c>
    </row>
    <row r="25511" spans="1:11">
      <c r="A25511" s="33" t="s">
        <v>56148</v>
      </c>
      <c r="B25511" s="33" t="s">
        <v>56149</v>
      </c>
      <c r="C25511" s="33" t="s">
        <v>2117</v>
      </c>
      <c r="D25511" s="33" t="s">
        <v>17</v>
      </c>
      <c r="E25511" s="33" t="s">
        <v>18</v>
      </c>
      <c r="F25511" s="33" t="s">
        <v>19</v>
      </c>
      <c r="G25511" s="33" t="s">
        <v>158</v>
      </c>
      <c r="H25511" s="35">
        <v>125</v>
      </c>
      <c r="I25511" s="33" t="s">
        <v>21</v>
      </c>
      <c r="J25511" s="42">
        <v>45819</v>
      </c>
      <c r="K25511" s="33" t="s">
        <v>22</v>
      </c>
    </row>
    <row r="25512" spans="1:11">
      <c r="A25512" s="30" t="s">
        <v>56150</v>
      </c>
      <c r="B25512" s="30" t="s">
        <v>56151</v>
      </c>
      <c r="C25512" s="30" t="s">
        <v>41596</v>
      </c>
      <c r="D25512" s="30" t="s">
        <v>17</v>
      </c>
      <c r="E25512" s="30" t="s">
        <v>26</v>
      </c>
      <c r="F25512" s="30" t="s">
        <v>27</v>
      </c>
      <c r="G25512" s="30" t="s">
        <v>140</v>
      </c>
      <c r="H25512" s="32">
        <v>72</v>
      </c>
      <c r="I25512" s="30" t="s">
        <v>51</v>
      </c>
      <c r="J25512" s="41">
        <v>45705</v>
      </c>
      <c r="K25512" s="30" t="s">
        <v>22</v>
      </c>
    </row>
    <row r="25513" spans="1:11">
      <c r="A25513" s="33" t="s">
        <v>56152</v>
      </c>
      <c r="B25513" s="33" t="s">
        <v>56153</v>
      </c>
      <c r="C25513" s="33" t="s">
        <v>93</v>
      </c>
      <c r="D25513" s="33" t="s">
        <v>17</v>
      </c>
      <c r="E25513" s="33" t="s">
        <v>67</v>
      </c>
      <c r="F25513" s="33" t="s">
        <v>68</v>
      </c>
      <c r="G25513" s="33" t="s">
        <v>140</v>
      </c>
      <c r="H25513" s="35">
        <v>199</v>
      </c>
      <c r="I25513" s="33" t="s">
        <v>51</v>
      </c>
      <c r="J25513" s="42">
        <v>45861</v>
      </c>
      <c r="K25513" s="33" t="s">
        <v>22</v>
      </c>
    </row>
    <row r="25514" spans="1:11">
      <c r="A25514" s="30" t="s">
        <v>56154</v>
      </c>
      <c r="B25514" s="30" t="s">
        <v>56155</v>
      </c>
      <c r="C25514" s="30" t="s">
        <v>1504</v>
      </c>
      <c r="D25514" s="30" t="s">
        <v>17</v>
      </c>
      <c r="E25514" s="30" t="s">
        <v>31</v>
      </c>
      <c r="F25514" s="30" t="s">
        <v>32</v>
      </c>
      <c r="G25514" s="30" t="s">
        <v>140</v>
      </c>
      <c r="H25514" s="32">
        <v>90</v>
      </c>
      <c r="I25514" s="30" t="s">
        <v>51</v>
      </c>
      <c r="J25514" s="41">
        <v>45870</v>
      </c>
      <c r="K25514" s="30" t="s">
        <v>22</v>
      </c>
    </row>
    <row r="25515" spans="1:11">
      <c r="A25515" s="33" t="s">
        <v>56156</v>
      </c>
      <c r="B25515" s="33" t="s">
        <v>56157</v>
      </c>
      <c r="C25515" s="33" t="s">
        <v>15585</v>
      </c>
      <c r="D25515" s="33" t="s">
        <v>17</v>
      </c>
      <c r="E25515" s="33" t="s">
        <v>18</v>
      </c>
      <c r="F25515" s="33" t="s">
        <v>19</v>
      </c>
      <c r="G25515" s="33" t="s">
        <v>140</v>
      </c>
      <c r="H25515" s="35">
        <v>300</v>
      </c>
      <c r="I25515" s="33" t="s">
        <v>51</v>
      </c>
      <c r="J25515" s="42">
        <v>45863</v>
      </c>
      <c r="K25515" s="33" t="s">
        <v>22</v>
      </c>
    </row>
    <row r="25516" spans="1:11">
      <c r="A25516" s="30" t="s">
        <v>56158</v>
      </c>
      <c r="B25516" s="30" t="s">
        <v>56159</v>
      </c>
      <c r="C25516" s="30" t="s">
        <v>4405</v>
      </c>
      <c r="D25516" s="30" t="s">
        <v>17</v>
      </c>
      <c r="E25516" s="30" t="s">
        <v>18</v>
      </c>
      <c r="F25516" s="30" t="s">
        <v>19</v>
      </c>
      <c r="G25516" s="30" t="s">
        <v>140</v>
      </c>
      <c r="H25516" s="32">
        <v>587</v>
      </c>
      <c r="I25516" s="30" t="s">
        <v>51</v>
      </c>
      <c r="J25516" s="41">
        <v>45789</v>
      </c>
      <c r="K25516" s="30" t="s">
        <v>22</v>
      </c>
    </row>
    <row r="25517" spans="1:11">
      <c r="A25517" s="33" t="s">
        <v>56160</v>
      </c>
      <c r="B25517" s="33" t="s">
        <v>56161</v>
      </c>
      <c r="C25517" s="33" t="s">
        <v>56162</v>
      </c>
      <c r="D25517" s="33" t="s">
        <v>17</v>
      </c>
      <c r="E25517" s="33" t="s">
        <v>67</v>
      </c>
      <c r="F25517" s="33" t="s">
        <v>68</v>
      </c>
      <c r="G25517" s="33" t="s">
        <v>7780</v>
      </c>
      <c r="H25517" s="35">
        <v>21</v>
      </c>
      <c r="I25517" s="33" t="s">
        <v>51</v>
      </c>
      <c r="J25517" s="42">
        <v>45992</v>
      </c>
      <c r="K25517" s="33" t="s">
        <v>22</v>
      </c>
    </row>
    <row r="25518" spans="1:11">
      <c r="A25518" s="30" t="s">
        <v>56163</v>
      </c>
      <c r="B25518" s="30" t="s">
        <v>56164</v>
      </c>
      <c r="C25518" s="30" t="s">
        <v>17285</v>
      </c>
      <c r="D25518" s="30" t="s">
        <v>17</v>
      </c>
      <c r="E25518" s="30" t="s">
        <v>18</v>
      </c>
      <c r="F25518" s="30" t="s">
        <v>19</v>
      </c>
      <c r="G25518" s="30" t="s">
        <v>140</v>
      </c>
      <c r="H25518" s="32">
        <v>320</v>
      </c>
      <c r="I25518" s="30" t="s">
        <v>51</v>
      </c>
      <c r="J25518" s="41">
        <v>45995</v>
      </c>
      <c r="K25518" s="30" t="s">
        <v>22</v>
      </c>
    </row>
    <row r="25519" spans="1:11">
      <c r="A25519" s="33" t="s">
        <v>56165</v>
      </c>
      <c r="B25519" s="33" t="s">
        <v>56166</v>
      </c>
      <c r="C25519" s="33" t="s">
        <v>56167</v>
      </c>
      <c r="D25519" s="33" t="s">
        <v>17</v>
      </c>
      <c r="E25519" s="33" t="s">
        <v>18</v>
      </c>
      <c r="F25519" s="33" t="s">
        <v>19</v>
      </c>
      <c r="G25519" s="33" t="s">
        <v>140</v>
      </c>
      <c r="H25519" s="35">
        <v>360</v>
      </c>
      <c r="I25519" s="33" t="s">
        <v>51</v>
      </c>
      <c r="J25519" s="42">
        <v>45776</v>
      </c>
      <c r="K25519" s="33" t="s">
        <v>22</v>
      </c>
    </row>
    <row r="25520" spans="1:11">
      <c r="A25520" s="30" t="s">
        <v>56168</v>
      </c>
      <c r="B25520" s="30" t="s">
        <v>56169</v>
      </c>
      <c r="C25520" s="30" t="s">
        <v>517</v>
      </c>
      <c r="D25520" s="30" t="s">
        <v>17</v>
      </c>
      <c r="E25520" s="30" t="s">
        <v>26</v>
      </c>
      <c r="F25520" s="30" t="s">
        <v>27</v>
      </c>
      <c r="G25520" s="30" t="s">
        <v>7780</v>
      </c>
      <c r="H25520" s="32">
        <v>60</v>
      </c>
      <c r="I25520" s="30" t="s">
        <v>51</v>
      </c>
      <c r="J25520" s="41">
        <v>45992</v>
      </c>
      <c r="K25520" s="30" t="s">
        <v>22</v>
      </c>
    </row>
    <row r="25521" spans="1:11">
      <c r="A25521" s="33" t="s">
        <v>56170</v>
      </c>
      <c r="B25521" s="33" t="s">
        <v>56171</v>
      </c>
      <c r="C25521" s="33" t="s">
        <v>34100</v>
      </c>
      <c r="D25521" s="33" t="s">
        <v>17</v>
      </c>
      <c r="E25521" s="33" t="s">
        <v>18</v>
      </c>
      <c r="F25521" s="33" t="s">
        <v>19</v>
      </c>
      <c r="G25521" s="33" t="s">
        <v>140</v>
      </c>
      <c r="H25521" s="35">
        <v>50</v>
      </c>
      <c r="I25521" s="33" t="s">
        <v>51</v>
      </c>
      <c r="J25521" s="42">
        <v>45804</v>
      </c>
      <c r="K25521" s="33" t="s">
        <v>22</v>
      </c>
    </row>
    <row r="25522" spans="1:11">
      <c r="A25522" s="30" t="s">
        <v>56172</v>
      </c>
      <c r="B25522" s="30" t="s">
        <v>56173</v>
      </c>
      <c r="C25522" s="30" t="s">
        <v>18024</v>
      </c>
      <c r="D25522" s="30" t="s">
        <v>17</v>
      </c>
      <c r="E25522" s="30" t="s">
        <v>31</v>
      </c>
      <c r="F25522" s="30" t="s">
        <v>32</v>
      </c>
      <c r="G25522" s="30" t="s">
        <v>140</v>
      </c>
      <c r="H25522" s="32">
        <v>240</v>
      </c>
      <c r="I25522" s="30" t="s">
        <v>51</v>
      </c>
      <c r="J25522" s="41">
        <v>45880</v>
      </c>
      <c r="K25522" s="30" t="s">
        <v>22</v>
      </c>
    </row>
    <row r="25523" spans="1:11">
      <c r="A25523" s="33" t="s">
        <v>56174</v>
      </c>
      <c r="B25523" s="33" t="s">
        <v>56175</v>
      </c>
      <c r="C25523" s="33" t="s">
        <v>10031</v>
      </c>
      <c r="D25523" s="33" t="s">
        <v>17</v>
      </c>
      <c r="E25523" s="33" t="s">
        <v>31</v>
      </c>
      <c r="F25523" s="33" t="s">
        <v>32</v>
      </c>
      <c r="G25523" s="33" t="s">
        <v>7780</v>
      </c>
      <c r="H25523" s="35">
        <v>45</v>
      </c>
      <c r="I25523" s="33" t="s">
        <v>51</v>
      </c>
      <c r="J25523" s="42">
        <v>45777</v>
      </c>
      <c r="K25523" s="33" t="s">
        <v>22</v>
      </c>
    </row>
    <row r="25524" spans="1:11">
      <c r="A25524" s="30" t="s">
        <v>56176</v>
      </c>
      <c r="B25524" s="30" t="s">
        <v>56177</v>
      </c>
      <c r="C25524" s="30" t="s">
        <v>15288</v>
      </c>
      <c r="D25524" s="30" t="s">
        <v>17</v>
      </c>
      <c r="E25524" s="30" t="s">
        <v>31</v>
      </c>
      <c r="F25524" s="30" t="s">
        <v>32</v>
      </c>
      <c r="G25524" s="30" t="s">
        <v>140</v>
      </c>
      <c r="H25524" s="32">
        <v>110</v>
      </c>
      <c r="I25524" s="30" t="s">
        <v>51</v>
      </c>
      <c r="J25524" s="41">
        <v>45849</v>
      </c>
      <c r="K25524" s="30" t="s">
        <v>22</v>
      </c>
    </row>
    <row r="25525" spans="1:11">
      <c r="A25525" s="33" t="s">
        <v>56178</v>
      </c>
      <c r="B25525" s="33" t="s">
        <v>56179</v>
      </c>
      <c r="C25525" s="33" t="s">
        <v>15664</v>
      </c>
      <c r="D25525" s="33" t="s">
        <v>17</v>
      </c>
      <c r="E25525" s="33" t="s">
        <v>45</v>
      </c>
      <c r="F25525" s="33" t="s">
        <v>46</v>
      </c>
      <c r="G25525" s="33" t="s">
        <v>140</v>
      </c>
      <c r="H25525" s="35">
        <v>366</v>
      </c>
      <c r="I25525" s="33" t="s">
        <v>51</v>
      </c>
      <c r="J25525" s="42">
        <v>45691</v>
      </c>
      <c r="K25525" s="33" t="s">
        <v>22</v>
      </c>
    </row>
    <row r="25526" spans="1:11">
      <c r="A25526" s="30" t="s">
        <v>56180</v>
      </c>
      <c r="B25526" s="30" t="s">
        <v>56181</v>
      </c>
      <c r="C25526" s="30" t="s">
        <v>43554</v>
      </c>
      <c r="D25526" s="30" t="s">
        <v>17</v>
      </c>
      <c r="E25526" s="30" t="s">
        <v>31</v>
      </c>
      <c r="F25526" s="30" t="s">
        <v>32</v>
      </c>
      <c r="G25526" s="30" t="s">
        <v>7780</v>
      </c>
      <c r="H25526" s="32">
        <v>115</v>
      </c>
      <c r="I25526" s="30" t="s">
        <v>51</v>
      </c>
      <c r="J25526" s="41">
        <v>45846</v>
      </c>
      <c r="K25526" s="30" t="s">
        <v>22</v>
      </c>
    </row>
    <row r="25527" spans="1:11">
      <c r="A25527" s="33" t="s">
        <v>56182</v>
      </c>
      <c r="B25527" s="33" t="s">
        <v>56183</v>
      </c>
      <c r="C25527" s="33" t="s">
        <v>15097</v>
      </c>
      <c r="D25527" s="33" t="s">
        <v>17</v>
      </c>
      <c r="E25527" s="33" t="s">
        <v>330</v>
      </c>
      <c r="F25527" s="33" t="s">
        <v>331</v>
      </c>
      <c r="G25527" s="33" t="s">
        <v>140</v>
      </c>
      <c r="H25527" s="35">
        <v>34</v>
      </c>
      <c r="I25527" s="33" t="s">
        <v>51</v>
      </c>
      <c r="J25527" s="42">
        <v>45726</v>
      </c>
      <c r="K25527" s="33" t="s">
        <v>22</v>
      </c>
    </row>
    <row r="25528" spans="1:11">
      <c r="A25528" s="30" t="s">
        <v>56184</v>
      </c>
      <c r="B25528" s="30" t="s">
        <v>56185</v>
      </c>
      <c r="C25528" s="30" t="s">
        <v>56186</v>
      </c>
      <c r="D25528" s="30" t="s">
        <v>17</v>
      </c>
      <c r="E25528" s="30" t="s">
        <v>18</v>
      </c>
      <c r="F25528" s="30" t="s">
        <v>19</v>
      </c>
      <c r="G25528" s="30" t="s">
        <v>140</v>
      </c>
      <c r="H25528" s="32">
        <v>116</v>
      </c>
      <c r="I25528" s="30" t="s">
        <v>51</v>
      </c>
      <c r="J25528" s="41">
        <v>45749</v>
      </c>
      <c r="K25528" s="30" t="s">
        <v>22</v>
      </c>
    </row>
    <row r="25529" spans="1:11">
      <c r="A25529" s="33" t="s">
        <v>56187</v>
      </c>
      <c r="B25529" s="33" t="s">
        <v>56188</v>
      </c>
      <c r="C25529" s="33" t="s">
        <v>3258</v>
      </c>
      <c r="D25529" s="33" t="s">
        <v>17</v>
      </c>
      <c r="E25529" s="33" t="s">
        <v>18</v>
      </c>
      <c r="F25529" s="33" t="s">
        <v>19</v>
      </c>
      <c r="G25529" s="33" t="s">
        <v>20</v>
      </c>
      <c r="H25529" s="35">
        <v>578</v>
      </c>
      <c r="I25529" s="33" t="s">
        <v>21</v>
      </c>
      <c r="J25529" s="42">
        <v>45799</v>
      </c>
      <c r="K25529" s="33" t="s">
        <v>22</v>
      </c>
    </row>
    <row r="25530" spans="1:11">
      <c r="A25530" s="30" t="s">
        <v>56189</v>
      </c>
      <c r="B25530" s="30" t="s">
        <v>56190</v>
      </c>
      <c r="C25530" s="30" t="s">
        <v>96</v>
      </c>
      <c r="D25530" s="30" t="s">
        <v>17</v>
      </c>
      <c r="E25530" s="30" t="s">
        <v>18</v>
      </c>
      <c r="F25530" s="30" t="s">
        <v>19</v>
      </c>
      <c r="G25530" s="30" t="s">
        <v>140</v>
      </c>
      <c r="H25530" s="32">
        <v>550</v>
      </c>
      <c r="I25530" s="30" t="s">
        <v>51</v>
      </c>
      <c r="J25530" s="41">
        <v>45763</v>
      </c>
      <c r="K25530" s="30" t="s">
        <v>22</v>
      </c>
    </row>
    <row r="25531" spans="1:11">
      <c r="A25531" s="33" t="s">
        <v>56191</v>
      </c>
      <c r="B25531" s="33" t="s">
        <v>56192</v>
      </c>
      <c r="C25531" s="33" t="s">
        <v>310</v>
      </c>
      <c r="D25531" s="33" t="s">
        <v>17</v>
      </c>
      <c r="E25531" s="33" t="s">
        <v>26</v>
      </c>
      <c r="F25531" s="33" t="s">
        <v>27</v>
      </c>
      <c r="G25531" s="33" t="s">
        <v>20</v>
      </c>
      <c r="H25531" s="35">
        <v>65</v>
      </c>
      <c r="I25531" s="33" t="s">
        <v>21</v>
      </c>
      <c r="J25531" s="42">
        <v>45849</v>
      </c>
      <c r="K25531" s="33" t="s">
        <v>22</v>
      </c>
    </row>
    <row r="25532" spans="1:11">
      <c r="A25532" s="30" t="s">
        <v>56193</v>
      </c>
      <c r="B25532" s="30" t="s">
        <v>56194</v>
      </c>
      <c r="C25532" s="30" t="s">
        <v>1826</v>
      </c>
      <c r="D25532" s="30" t="s">
        <v>17</v>
      </c>
      <c r="E25532" s="30" t="s">
        <v>31</v>
      </c>
      <c r="F25532" s="30" t="s">
        <v>32</v>
      </c>
      <c r="G25532" s="30" t="s">
        <v>140</v>
      </c>
      <c r="H25532" s="32">
        <v>100</v>
      </c>
      <c r="I25532" s="30" t="s">
        <v>51</v>
      </c>
      <c r="J25532" s="41">
        <v>45868</v>
      </c>
      <c r="K25532" s="30" t="s">
        <v>22</v>
      </c>
    </row>
    <row r="25533" spans="1:11">
      <c r="A25533" s="33" t="s">
        <v>56195</v>
      </c>
      <c r="B25533" s="33" t="s">
        <v>56196</v>
      </c>
      <c r="C25533" s="33" t="s">
        <v>56197</v>
      </c>
      <c r="D25533" s="33" t="s">
        <v>17</v>
      </c>
      <c r="E25533" s="33" t="s">
        <v>26</v>
      </c>
      <c r="F25533" s="33" t="s">
        <v>27</v>
      </c>
      <c r="G25533" s="33" t="s">
        <v>20</v>
      </c>
      <c r="H25533" s="35">
        <v>37</v>
      </c>
      <c r="I25533" s="33" t="s">
        <v>21</v>
      </c>
      <c r="J25533" s="42">
        <v>45768</v>
      </c>
      <c r="K25533" s="33" t="s">
        <v>22</v>
      </c>
    </row>
    <row r="25534" spans="1:11">
      <c r="A25534" s="30" t="s">
        <v>56198</v>
      </c>
      <c r="B25534" s="30" t="s">
        <v>56199</v>
      </c>
      <c r="C25534" s="30" t="s">
        <v>9989</v>
      </c>
      <c r="D25534" s="30" t="s">
        <v>17</v>
      </c>
      <c r="E25534" s="30" t="s">
        <v>26</v>
      </c>
      <c r="F25534" s="30" t="s">
        <v>27</v>
      </c>
      <c r="G25534" s="30" t="s">
        <v>140</v>
      </c>
      <c r="H25534" s="32">
        <v>270</v>
      </c>
      <c r="I25534" s="30" t="s">
        <v>51</v>
      </c>
      <c r="J25534" s="41">
        <v>45993</v>
      </c>
      <c r="K25534" s="30" t="s">
        <v>22</v>
      </c>
    </row>
    <row r="25535" spans="1:11">
      <c r="A25535" s="33" t="s">
        <v>56200</v>
      </c>
      <c r="B25535" s="33" t="s">
        <v>56201</v>
      </c>
      <c r="C25535" s="33" t="s">
        <v>647</v>
      </c>
      <c r="D25535" s="33" t="s">
        <v>17</v>
      </c>
      <c r="E25535" s="33" t="s">
        <v>31</v>
      </c>
      <c r="F25535" s="33" t="s">
        <v>32</v>
      </c>
      <c r="G25535" s="33" t="s">
        <v>158</v>
      </c>
      <c r="H25535" s="35">
        <v>130</v>
      </c>
      <c r="I25535" s="33" t="s">
        <v>51</v>
      </c>
      <c r="J25535" s="42">
        <v>45763</v>
      </c>
      <c r="K25535" s="33" t="s">
        <v>22</v>
      </c>
    </row>
    <row r="25536" spans="1:11">
      <c r="A25536" s="30" t="s">
        <v>56202</v>
      </c>
      <c r="B25536" s="30" t="s">
        <v>56203</v>
      </c>
      <c r="C25536" s="30" t="s">
        <v>1571</v>
      </c>
      <c r="D25536" s="30" t="s">
        <v>17</v>
      </c>
      <c r="E25536" s="30" t="s">
        <v>26</v>
      </c>
      <c r="F25536" s="30" t="s">
        <v>27</v>
      </c>
      <c r="G25536" s="30" t="s">
        <v>158</v>
      </c>
      <c r="H25536" s="32">
        <v>16</v>
      </c>
      <c r="I25536" s="30" t="s">
        <v>51</v>
      </c>
      <c r="J25536" s="41">
        <v>45755</v>
      </c>
      <c r="K25536" s="30" t="s">
        <v>22</v>
      </c>
    </row>
    <row r="25537" spans="1:11">
      <c r="A25537" s="33" t="s">
        <v>56204</v>
      </c>
      <c r="B25537" s="33" t="s">
        <v>56205</v>
      </c>
      <c r="C25537" s="33" t="s">
        <v>14816</v>
      </c>
      <c r="D25537" s="33" t="s">
        <v>17</v>
      </c>
      <c r="E25537" s="33" t="s">
        <v>31</v>
      </c>
      <c r="F25537" s="33" t="s">
        <v>32</v>
      </c>
      <c r="G25537" s="33" t="s">
        <v>140</v>
      </c>
      <c r="H25537" s="35">
        <v>100</v>
      </c>
      <c r="I25537" s="33" t="s">
        <v>51</v>
      </c>
      <c r="J25537" s="42">
        <v>45847</v>
      </c>
      <c r="K25537" s="33" t="s">
        <v>22</v>
      </c>
    </row>
    <row r="25538" spans="1:11">
      <c r="A25538" s="30" t="s">
        <v>56206</v>
      </c>
      <c r="B25538" s="30" t="s">
        <v>56207</v>
      </c>
      <c r="C25538" s="30" t="s">
        <v>56208</v>
      </c>
      <c r="D25538" s="30" t="s">
        <v>17</v>
      </c>
      <c r="E25538" s="30" t="s">
        <v>67</v>
      </c>
      <c r="F25538" s="30" t="s">
        <v>68</v>
      </c>
      <c r="G25538" s="30" t="s">
        <v>140</v>
      </c>
      <c r="H25538" s="32">
        <v>12</v>
      </c>
      <c r="I25538" s="30" t="s">
        <v>51</v>
      </c>
      <c r="J25538" s="41">
        <v>45785</v>
      </c>
      <c r="K25538" s="30" t="s">
        <v>22</v>
      </c>
    </row>
    <row r="25539" spans="1:11">
      <c r="A25539" s="33" t="s">
        <v>56209</v>
      </c>
      <c r="B25539" s="33" t="s">
        <v>56210</v>
      </c>
      <c r="C25539" s="33" t="s">
        <v>30503</v>
      </c>
      <c r="D25539" s="33" t="s">
        <v>17</v>
      </c>
      <c r="E25539" s="33" t="s">
        <v>31</v>
      </c>
      <c r="F25539" s="33" t="s">
        <v>32</v>
      </c>
      <c r="G25539" s="33" t="s">
        <v>140</v>
      </c>
      <c r="H25539" s="35">
        <v>150</v>
      </c>
      <c r="I25539" s="33" t="s">
        <v>51</v>
      </c>
      <c r="J25539" s="42">
        <v>45896</v>
      </c>
      <c r="K25539" s="33" t="s">
        <v>22</v>
      </c>
    </row>
    <row r="25540" spans="1:11">
      <c r="A25540" s="30" t="s">
        <v>56211</v>
      </c>
      <c r="B25540" s="30" t="s">
        <v>56212</v>
      </c>
      <c r="C25540" s="30" t="s">
        <v>102</v>
      </c>
      <c r="D25540" s="30" t="s">
        <v>17</v>
      </c>
      <c r="E25540" s="30" t="s">
        <v>18</v>
      </c>
      <c r="F25540" s="30" t="s">
        <v>19</v>
      </c>
      <c r="G25540" s="30" t="s">
        <v>140</v>
      </c>
      <c r="H25540" s="32">
        <v>663</v>
      </c>
      <c r="I25540" s="30" t="s">
        <v>51</v>
      </c>
      <c r="J25540" s="41">
        <v>45902</v>
      </c>
      <c r="K25540" s="30" t="s">
        <v>22</v>
      </c>
    </row>
    <row r="25541" spans="1:11">
      <c r="A25541" s="33" t="s">
        <v>56213</v>
      </c>
      <c r="B25541" s="33" t="s">
        <v>56214</v>
      </c>
      <c r="C25541" s="33" t="s">
        <v>379</v>
      </c>
      <c r="D25541" s="33" t="s">
        <v>17</v>
      </c>
      <c r="E25541" s="33" t="s">
        <v>26</v>
      </c>
      <c r="F25541" s="33" t="s">
        <v>27</v>
      </c>
      <c r="G25541" s="33" t="s">
        <v>158</v>
      </c>
      <c r="H25541" s="35">
        <v>322</v>
      </c>
      <c r="I25541" s="33" t="s">
        <v>51</v>
      </c>
      <c r="J25541" s="42">
        <v>45812</v>
      </c>
      <c r="K25541" s="33" t="s">
        <v>22</v>
      </c>
    </row>
    <row r="25542" spans="1:11">
      <c r="A25542" s="30" t="s">
        <v>56215</v>
      </c>
      <c r="B25542" s="30" t="s">
        <v>56216</v>
      </c>
      <c r="C25542" s="30" t="s">
        <v>136</v>
      </c>
      <c r="D25542" s="30" t="s">
        <v>17</v>
      </c>
      <c r="E25542" s="30" t="s">
        <v>31</v>
      </c>
      <c r="F25542" s="30" t="s">
        <v>32</v>
      </c>
      <c r="G25542" s="30" t="s">
        <v>140</v>
      </c>
      <c r="H25542" s="32">
        <v>252</v>
      </c>
      <c r="I25542" s="30" t="s">
        <v>51</v>
      </c>
      <c r="J25542" s="41">
        <v>45971</v>
      </c>
      <c r="K25542" s="30" t="s">
        <v>22</v>
      </c>
    </row>
    <row r="25543" spans="1:11">
      <c r="A25543" s="33" t="s">
        <v>56217</v>
      </c>
      <c r="B25543" s="33" t="s">
        <v>56218</v>
      </c>
      <c r="C25543" s="33" t="s">
        <v>570</v>
      </c>
      <c r="D25543" s="33" t="s">
        <v>17</v>
      </c>
      <c r="E25543" s="33" t="s">
        <v>18</v>
      </c>
      <c r="F25543" s="33" t="s">
        <v>19</v>
      </c>
      <c r="G25543" s="33" t="s">
        <v>7780</v>
      </c>
      <c r="H25543" s="35">
        <v>110</v>
      </c>
      <c r="I25543" s="33" t="s">
        <v>51</v>
      </c>
      <c r="J25543" s="42">
        <v>45689</v>
      </c>
      <c r="K25543" s="33" t="s">
        <v>22</v>
      </c>
    </row>
    <row r="25544" spans="1:11">
      <c r="A25544" s="30" t="s">
        <v>56219</v>
      </c>
      <c r="B25544" s="30" t="s">
        <v>56220</v>
      </c>
      <c r="C25544" s="30" t="s">
        <v>190</v>
      </c>
      <c r="D25544" s="30" t="s">
        <v>17</v>
      </c>
      <c r="E25544" s="30" t="s">
        <v>26</v>
      </c>
      <c r="F25544" s="30" t="s">
        <v>27</v>
      </c>
      <c r="G25544" s="30" t="s">
        <v>20</v>
      </c>
      <c r="H25544" s="32">
        <v>16</v>
      </c>
      <c r="I25544" s="30" t="s">
        <v>21</v>
      </c>
      <c r="J25544" s="41">
        <v>45799</v>
      </c>
      <c r="K25544" s="30" t="s">
        <v>22</v>
      </c>
    </row>
    <row r="25545" spans="1:11">
      <c r="A25545" s="33" t="s">
        <v>56221</v>
      </c>
      <c r="B25545" s="33" t="s">
        <v>56222</v>
      </c>
      <c r="C25545" s="33" t="s">
        <v>1080</v>
      </c>
      <c r="D25545" s="33" t="s">
        <v>17</v>
      </c>
      <c r="E25545" s="33" t="s">
        <v>26</v>
      </c>
      <c r="F25545" s="33" t="s">
        <v>27</v>
      </c>
      <c r="G25545" s="33" t="s">
        <v>140</v>
      </c>
      <c r="H25545" s="35">
        <v>72</v>
      </c>
      <c r="I25545" s="33" t="s">
        <v>51</v>
      </c>
      <c r="J25545" s="42">
        <v>45814</v>
      </c>
      <c r="K25545" s="33" t="s">
        <v>22</v>
      </c>
    </row>
    <row r="25546" spans="1:11">
      <c r="A25546" s="30" t="s">
        <v>56223</v>
      </c>
      <c r="B25546" s="30" t="s">
        <v>56224</v>
      </c>
      <c r="C25546" s="30" t="s">
        <v>33031</v>
      </c>
      <c r="D25546" s="30" t="s">
        <v>17</v>
      </c>
      <c r="E25546" s="30" t="s">
        <v>31</v>
      </c>
      <c r="F25546" s="30" t="s">
        <v>32</v>
      </c>
      <c r="G25546" s="30" t="s">
        <v>140</v>
      </c>
      <c r="H25546" s="32">
        <v>270</v>
      </c>
      <c r="I25546" s="30" t="s">
        <v>51</v>
      </c>
      <c r="J25546" s="41">
        <v>45896</v>
      </c>
      <c r="K25546" s="30" t="s">
        <v>22</v>
      </c>
    </row>
    <row r="25547" spans="1:11">
      <c r="A25547" s="33" t="s">
        <v>56225</v>
      </c>
      <c r="B25547" s="33" t="s">
        <v>56226</v>
      </c>
      <c r="C25547" s="33" t="s">
        <v>4796</v>
      </c>
      <c r="D25547" s="33" t="s">
        <v>17</v>
      </c>
      <c r="E25547" s="33" t="s">
        <v>212</v>
      </c>
      <c r="F25547" s="33" t="s">
        <v>213</v>
      </c>
      <c r="G25547" s="33" t="s">
        <v>112</v>
      </c>
      <c r="H25547" s="35">
        <v>0</v>
      </c>
      <c r="I25547" s="33" t="s">
        <v>21</v>
      </c>
      <c r="J25547" s="42">
        <v>45699</v>
      </c>
      <c r="K25547" s="33" t="s">
        <v>22</v>
      </c>
    </row>
    <row r="25548" spans="1:11">
      <c r="A25548" s="30" t="s">
        <v>56227</v>
      </c>
      <c r="B25548" s="30" t="s">
        <v>56228</v>
      </c>
      <c r="C25548" s="30" t="s">
        <v>51047</v>
      </c>
      <c r="D25548" s="30" t="s">
        <v>17</v>
      </c>
      <c r="E25548" s="30" t="s">
        <v>330</v>
      </c>
      <c r="F25548" s="30" t="s">
        <v>331</v>
      </c>
      <c r="G25548" s="30" t="s">
        <v>2613</v>
      </c>
      <c r="H25548" s="32">
        <v>200</v>
      </c>
      <c r="I25548" s="30" t="s">
        <v>51</v>
      </c>
      <c r="J25548" s="41">
        <v>45931</v>
      </c>
      <c r="K25548" s="30" t="s">
        <v>22</v>
      </c>
    </row>
    <row r="25549" spans="1:11">
      <c r="A25549" s="33" t="s">
        <v>56229</v>
      </c>
      <c r="B25549" s="33" t="s">
        <v>56230</v>
      </c>
      <c r="C25549" s="33" t="s">
        <v>4105</v>
      </c>
      <c r="D25549" s="33" t="s">
        <v>17</v>
      </c>
      <c r="E25549" s="33" t="s">
        <v>18</v>
      </c>
      <c r="F25549" s="33" t="s">
        <v>19</v>
      </c>
      <c r="G25549" s="33" t="s">
        <v>7780</v>
      </c>
      <c r="H25549" s="35">
        <v>300</v>
      </c>
      <c r="I25549" s="33" t="s">
        <v>51</v>
      </c>
      <c r="J25549" s="42">
        <v>46006</v>
      </c>
      <c r="K25549" s="33" t="s">
        <v>22</v>
      </c>
    </row>
    <row r="25550" spans="1:11">
      <c r="A25550" s="30" t="s">
        <v>56231</v>
      </c>
      <c r="B25550" s="30" t="s">
        <v>56232</v>
      </c>
      <c r="C25550" s="30" t="s">
        <v>136</v>
      </c>
      <c r="D25550" s="30" t="s">
        <v>17</v>
      </c>
      <c r="E25550" s="30" t="s">
        <v>18</v>
      </c>
      <c r="F25550" s="30" t="s">
        <v>19</v>
      </c>
      <c r="G25550" s="30" t="s">
        <v>140</v>
      </c>
      <c r="H25550" s="32">
        <v>350</v>
      </c>
      <c r="I25550" s="30" t="s">
        <v>51</v>
      </c>
      <c r="J25550" s="41">
        <v>45834</v>
      </c>
      <c r="K25550" s="30" t="s">
        <v>22</v>
      </c>
    </row>
    <row r="25551" spans="1:11">
      <c r="A25551" s="33" t="s">
        <v>56233</v>
      </c>
      <c r="B25551" s="33" t="s">
        <v>56234</v>
      </c>
      <c r="C25551" s="33" t="s">
        <v>118</v>
      </c>
      <c r="D25551" s="33" t="s">
        <v>17</v>
      </c>
      <c r="E25551" s="33" t="s">
        <v>26</v>
      </c>
      <c r="F25551" s="33" t="s">
        <v>27</v>
      </c>
      <c r="G25551" s="33" t="s">
        <v>20</v>
      </c>
      <c r="H25551" s="35">
        <v>38</v>
      </c>
      <c r="I25551" s="33" t="s">
        <v>21</v>
      </c>
      <c r="J25551" s="42">
        <v>45714</v>
      </c>
      <c r="K25551" s="33" t="s">
        <v>22</v>
      </c>
    </row>
    <row r="25552" spans="1:11">
      <c r="A25552" s="30" t="s">
        <v>56235</v>
      </c>
      <c r="B25552" s="30" t="s">
        <v>56236</v>
      </c>
      <c r="C25552" s="30" t="s">
        <v>26576</v>
      </c>
      <c r="D25552" s="30" t="s">
        <v>17</v>
      </c>
      <c r="E25552" s="30" t="s">
        <v>31</v>
      </c>
      <c r="F25552" s="30" t="s">
        <v>32</v>
      </c>
      <c r="G25552" s="30" t="s">
        <v>140</v>
      </c>
      <c r="H25552" s="32">
        <v>56</v>
      </c>
      <c r="I25552" s="30" t="s">
        <v>51</v>
      </c>
      <c r="J25552" s="41">
        <v>45693</v>
      </c>
      <c r="K25552" s="30" t="s">
        <v>22</v>
      </c>
    </row>
    <row r="25553" spans="1:11">
      <c r="A25553" s="33" t="s">
        <v>56237</v>
      </c>
      <c r="B25553" s="33" t="s">
        <v>56238</v>
      </c>
      <c r="C25553" s="33" t="s">
        <v>50504</v>
      </c>
      <c r="D25553" s="33" t="s">
        <v>17</v>
      </c>
      <c r="E25553" s="33" t="s">
        <v>18</v>
      </c>
      <c r="F25553" s="33" t="s">
        <v>19</v>
      </c>
      <c r="G25553" s="33" t="s">
        <v>140</v>
      </c>
      <c r="H25553" s="35">
        <v>40</v>
      </c>
      <c r="I25553" s="33" t="s">
        <v>51</v>
      </c>
      <c r="J25553" s="42">
        <v>45742</v>
      </c>
      <c r="K25553" s="33" t="s">
        <v>22</v>
      </c>
    </row>
    <row r="25554" spans="1:11">
      <c r="A25554" s="30" t="s">
        <v>56239</v>
      </c>
      <c r="B25554" s="30" t="s">
        <v>56240</v>
      </c>
      <c r="C25554" s="30" t="s">
        <v>56241</v>
      </c>
      <c r="D25554" s="30" t="s">
        <v>17</v>
      </c>
      <c r="E25554" s="30" t="s">
        <v>26</v>
      </c>
      <c r="F25554" s="30" t="s">
        <v>27</v>
      </c>
      <c r="G25554" s="30" t="s">
        <v>140</v>
      </c>
      <c r="H25554" s="32">
        <v>149</v>
      </c>
      <c r="I25554" s="30" t="s">
        <v>51</v>
      </c>
      <c r="J25554" s="41">
        <v>45714</v>
      </c>
      <c r="K25554" s="30" t="s">
        <v>22</v>
      </c>
    </row>
    <row r="25555" spans="1:11">
      <c r="A25555" s="33" t="s">
        <v>56242</v>
      </c>
      <c r="B25555" s="33" t="s">
        <v>56243</v>
      </c>
      <c r="C25555" s="33" t="s">
        <v>149</v>
      </c>
      <c r="D25555" s="33" t="s">
        <v>17</v>
      </c>
      <c r="E25555" s="33" t="s">
        <v>26</v>
      </c>
      <c r="F25555" s="33" t="s">
        <v>27</v>
      </c>
      <c r="G25555" s="33" t="s">
        <v>20</v>
      </c>
      <c r="H25555" s="35">
        <v>17</v>
      </c>
      <c r="I25555" s="33" t="s">
        <v>21</v>
      </c>
      <c r="J25555" s="42">
        <v>45705</v>
      </c>
      <c r="K25555" s="33" t="s">
        <v>22</v>
      </c>
    </row>
    <row r="25556" spans="1:11">
      <c r="A25556" s="30" t="s">
        <v>56244</v>
      </c>
      <c r="B25556" s="30" t="s">
        <v>56245</v>
      </c>
      <c r="C25556" s="30" t="s">
        <v>190</v>
      </c>
      <c r="D25556" s="30" t="s">
        <v>17</v>
      </c>
      <c r="E25556" s="30" t="s">
        <v>18</v>
      </c>
      <c r="F25556" s="30" t="s">
        <v>19</v>
      </c>
      <c r="G25556" s="30" t="s">
        <v>158</v>
      </c>
      <c r="H25556" s="32">
        <v>3103</v>
      </c>
      <c r="I25556" s="30" t="s">
        <v>21</v>
      </c>
      <c r="J25556" s="41">
        <v>45805</v>
      </c>
      <c r="K25556" s="30" t="s">
        <v>22</v>
      </c>
    </row>
    <row r="25557" spans="1:11">
      <c r="A25557" s="33" t="s">
        <v>56246</v>
      </c>
      <c r="B25557" s="33" t="s">
        <v>56247</v>
      </c>
      <c r="C25557" s="33" t="s">
        <v>56248</v>
      </c>
      <c r="D25557" s="33" t="s">
        <v>17</v>
      </c>
      <c r="E25557" s="33" t="s">
        <v>26</v>
      </c>
      <c r="F25557" s="33" t="s">
        <v>27</v>
      </c>
      <c r="G25557" s="33" t="s">
        <v>158</v>
      </c>
      <c r="H25557" s="35">
        <v>17</v>
      </c>
      <c r="I25557" s="33" t="s">
        <v>21</v>
      </c>
      <c r="J25557" s="42">
        <v>45726</v>
      </c>
      <c r="K25557" s="33" t="s">
        <v>22</v>
      </c>
    </row>
    <row r="25558" spans="1:11">
      <c r="A25558" s="30" t="s">
        <v>56249</v>
      </c>
      <c r="B25558" s="30" t="s">
        <v>56250</v>
      </c>
      <c r="C25558" s="30" t="s">
        <v>16683</v>
      </c>
      <c r="D25558" s="30" t="s">
        <v>17</v>
      </c>
      <c r="E25558" s="30" t="s">
        <v>18</v>
      </c>
      <c r="F25558" s="30" t="s">
        <v>19</v>
      </c>
      <c r="G25558" s="30" t="s">
        <v>7780</v>
      </c>
      <c r="H25558" s="32">
        <v>705</v>
      </c>
      <c r="I25558" s="30" t="s">
        <v>51</v>
      </c>
      <c r="J25558" s="41">
        <v>45809</v>
      </c>
      <c r="K25558" s="30" t="s">
        <v>22</v>
      </c>
    </row>
    <row r="25559" spans="1:11">
      <c r="A25559" s="33" t="s">
        <v>56251</v>
      </c>
      <c r="B25559" s="33" t="s">
        <v>56252</v>
      </c>
      <c r="C25559" s="33" t="s">
        <v>6814</v>
      </c>
      <c r="D25559" s="33" t="s">
        <v>17</v>
      </c>
      <c r="E25559" s="33" t="s">
        <v>45</v>
      </c>
      <c r="F25559" s="33" t="s">
        <v>46</v>
      </c>
      <c r="G25559" s="33" t="s">
        <v>140</v>
      </c>
      <c r="H25559" s="35">
        <v>610</v>
      </c>
      <c r="I25559" s="33" t="s">
        <v>51</v>
      </c>
      <c r="J25559" s="42">
        <v>45820</v>
      </c>
      <c r="K25559" s="33" t="s">
        <v>22</v>
      </c>
    </row>
    <row r="25560" spans="1:11">
      <c r="A25560" s="30" t="s">
        <v>56253</v>
      </c>
      <c r="B25560" s="30" t="s">
        <v>56254</v>
      </c>
      <c r="C25560" s="30" t="s">
        <v>130</v>
      </c>
      <c r="D25560" s="30" t="s">
        <v>17</v>
      </c>
      <c r="E25560" s="30" t="s">
        <v>67</v>
      </c>
      <c r="F25560" s="30" t="s">
        <v>68</v>
      </c>
      <c r="G25560" s="30" t="s">
        <v>140</v>
      </c>
      <c r="H25560" s="32">
        <v>30</v>
      </c>
      <c r="I25560" s="30" t="s">
        <v>51</v>
      </c>
      <c r="J25560" s="41">
        <v>45833</v>
      </c>
      <c r="K25560" s="30" t="s">
        <v>22</v>
      </c>
    </row>
    <row r="25561" spans="1:11">
      <c r="A25561" s="33" t="s">
        <v>56255</v>
      </c>
      <c r="B25561" s="33" t="s">
        <v>56256</v>
      </c>
      <c r="C25561" s="33" t="s">
        <v>252</v>
      </c>
      <c r="D25561" s="33" t="s">
        <v>17</v>
      </c>
      <c r="E25561" s="33" t="s">
        <v>31</v>
      </c>
      <c r="F25561" s="33" t="s">
        <v>32</v>
      </c>
      <c r="G25561" s="33" t="s">
        <v>7780</v>
      </c>
      <c r="H25561" s="35">
        <v>60</v>
      </c>
      <c r="I25561" s="33" t="s">
        <v>51</v>
      </c>
      <c r="J25561" s="42">
        <v>45905</v>
      </c>
      <c r="K25561" s="33" t="s">
        <v>22</v>
      </c>
    </row>
    <row r="25562" spans="1:11">
      <c r="A25562" s="30" t="s">
        <v>56257</v>
      </c>
      <c r="B25562" s="30" t="s">
        <v>56258</v>
      </c>
      <c r="C25562" s="30" t="s">
        <v>549</v>
      </c>
      <c r="D25562" s="30" t="s">
        <v>17</v>
      </c>
      <c r="E25562" s="30" t="s">
        <v>18</v>
      </c>
      <c r="F25562" s="30" t="s">
        <v>19</v>
      </c>
      <c r="G25562" s="30" t="s">
        <v>140</v>
      </c>
      <c r="H25562" s="32">
        <v>40</v>
      </c>
      <c r="I25562" s="30" t="s">
        <v>51</v>
      </c>
      <c r="J25562" s="41">
        <v>45754</v>
      </c>
      <c r="K25562" s="30" t="s">
        <v>22</v>
      </c>
    </row>
    <row r="25563" spans="1:11">
      <c r="A25563" s="33" t="s">
        <v>56259</v>
      </c>
      <c r="B25563" s="33" t="s">
        <v>56260</v>
      </c>
      <c r="C25563" s="33" t="s">
        <v>22936</v>
      </c>
      <c r="D25563" s="33" t="s">
        <v>17</v>
      </c>
      <c r="E25563" s="33" t="s">
        <v>31</v>
      </c>
      <c r="F25563" s="33" t="s">
        <v>32</v>
      </c>
      <c r="G25563" s="33" t="s">
        <v>7780</v>
      </c>
      <c r="H25563" s="35">
        <v>60</v>
      </c>
      <c r="I25563" s="33" t="s">
        <v>51</v>
      </c>
      <c r="J25563" s="42">
        <v>45992</v>
      </c>
      <c r="K25563" s="33" t="s">
        <v>22</v>
      </c>
    </row>
    <row r="25564" spans="1:11">
      <c r="A25564" s="30" t="s">
        <v>56261</v>
      </c>
      <c r="B25564" s="30" t="s">
        <v>56262</v>
      </c>
      <c r="C25564" s="30" t="s">
        <v>8926</v>
      </c>
      <c r="D25564" s="30" t="s">
        <v>17</v>
      </c>
      <c r="E25564" s="30" t="s">
        <v>18</v>
      </c>
      <c r="F25564" s="30" t="s">
        <v>19</v>
      </c>
      <c r="G25564" s="30" t="s">
        <v>140</v>
      </c>
      <c r="H25564" s="32">
        <v>170</v>
      </c>
      <c r="I25564" s="30" t="s">
        <v>51</v>
      </c>
      <c r="J25564" s="41">
        <v>45812</v>
      </c>
      <c r="K25564" s="30" t="s">
        <v>22</v>
      </c>
    </row>
    <row r="25565" spans="1:11">
      <c r="A25565" s="33" t="s">
        <v>56263</v>
      </c>
      <c r="B25565" s="33" t="s">
        <v>56264</v>
      </c>
      <c r="C25565" s="33" t="s">
        <v>66</v>
      </c>
      <c r="D25565" s="33" t="s">
        <v>17</v>
      </c>
      <c r="E25565" s="33" t="s">
        <v>26</v>
      </c>
      <c r="F25565" s="33" t="s">
        <v>27</v>
      </c>
      <c r="G25565" s="33" t="s">
        <v>7780</v>
      </c>
      <c r="H25565" s="35">
        <v>36</v>
      </c>
      <c r="I25565" s="33" t="s">
        <v>51</v>
      </c>
      <c r="J25565" s="42">
        <v>45747</v>
      </c>
      <c r="K25565" s="33" t="s">
        <v>22</v>
      </c>
    </row>
    <row r="25566" spans="1:11">
      <c r="A25566" s="30" t="s">
        <v>56265</v>
      </c>
      <c r="B25566" s="30" t="s">
        <v>56266</v>
      </c>
      <c r="C25566" s="30" t="s">
        <v>10300</v>
      </c>
      <c r="D25566" s="30" t="s">
        <v>17</v>
      </c>
      <c r="E25566" s="30" t="s">
        <v>26</v>
      </c>
      <c r="F25566" s="30" t="s">
        <v>27</v>
      </c>
      <c r="G25566" s="30" t="s">
        <v>140</v>
      </c>
      <c r="H25566" s="32">
        <v>36</v>
      </c>
      <c r="I25566" s="30" t="s">
        <v>51</v>
      </c>
      <c r="J25566" s="41">
        <v>45967</v>
      </c>
      <c r="K25566" s="30" t="s">
        <v>22</v>
      </c>
    </row>
    <row r="25567" spans="1:11">
      <c r="A25567" s="33" t="s">
        <v>56267</v>
      </c>
      <c r="B25567" s="33" t="s">
        <v>56268</v>
      </c>
      <c r="C25567" s="33" t="s">
        <v>6498</v>
      </c>
      <c r="D25567" s="33" t="s">
        <v>17</v>
      </c>
      <c r="E25567" s="33" t="s">
        <v>31</v>
      </c>
      <c r="F25567" s="33" t="s">
        <v>32</v>
      </c>
      <c r="G25567" s="33" t="s">
        <v>158</v>
      </c>
      <c r="H25567" s="35">
        <v>60</v>
      </c>
      <c r="I25567" s="33" t="s">
        <v>51</v>
      </c>
      <c r="J25567" s="42">
        <v>45838</v>
      </c>
      <c r="K25567" s="33" t="s">
        <v>22</v>
      </c>
    </row>
    <row r="25568" spans="1:11">
      <c r="A25568" s="30" t="s">
        <v>56269</v>
      </c>
      <c r="B25568" s="30" t="s">
        <v>56270</v>
      </c>
      <c r="C25568" s="30" t="s">
        <v>53255</v>
      </c>
      <c r="D25568" s="30" t="s">
        <v>17</v>
      </c>
      <c r="E25568" s="30" t="s">
        <v>31</v>
      </c>
      <c r="F25568" s="30" t="s">
        <v>32</v>
      </c>
      <c r="G25568" s="30" t="s">
        <v>69</v>
      </c>
      <c r="H25568" s="32">
        <v>55</v>
      </c>
      <c r="I25568" s="30" t="s">
        <v>51</v>
      </c>
      <c r="J25568" s="41">
        <v>45695</v>
      </c>
      <c r="K25568" s="30" t="s">
        <v>22</v>
      </c>
    </row>
    <row r="25569" spans="1:11">
      <c r="A25569" s="33" t="s">
        <v>56271</v>
      </c>
      <c r="B25569" s="33" t="s">
        <v>56272</v>
      </c>
      <c r="C25569" s="33" t="s">
        <v>6442</v>
      </c>
      <c r="D25569" s="33" t="s">
        <v>17</v>
      </c>
      <c r="E25569" s="33" t="s">
        <v>26</v>
      </c>
      <c r="F25569" s="33" t="s">
        <v>27</v>
      </c>
      <c r="G25569" s="33" t="s">
        <v>140</v>
      </c>
      <c r="H25569" s="35">
        <v>150</v>
      </c>
      <c r="I25569" s="33" t="s">
        <v>51</v>
      </c>
      <c r="J25569" s="42">
        <v>45887</v>
      </c>
      <c r="K25569" s="33" t="s">
        <v>22</v>
      </c>
    </row>
    <row r="25570" spans="1:11">
      <c r="A25570" s="30" t="s">
        <v>56273</v>
      </c>
      <c r="B25570" s="30" t="s">
        <v>56274</v>
      </c>
      <c r="C25570" s="30" t="s">
        <v>51047</v>
      </c>
      <c r="D25570" s="30" t="s">
        <v>17</v>
      </c>
      <c r="E25570" s="30" t="s">
        <v>31</v>
      </c>
      <c r="F25570" s="30" t="s">
        <v>32</v>
      </c>
      <c r="G25570" s="30" t="s">
        <v>2613</v>
      </c>
      <c r="H25570" s="32">
        <v>400</v>
      </c>
      <c r="I25570" s="30" t="s">
        <v>51</v>
      </c>
      <c r="J25570" s="41">
        <v>45936</v>
      </c>
      <c r="K25570" s="30" t="s">
        <v>22</v>
      </c>
    </row>
    <row r="25571" spans="1:11">
      <c r="A25571" s="33" t="s">
        <v>56275</v>
      </c>
      <c r="B25571" s="33" t="s">
        <v>56276</v>
      </c>
      <c r="C25571" s="33" t="s">
        <v>136</v>
      </c>
      <c r="D25571" s="33" t="s">
        <v>17</v>
      </c>
      <c r="E25571" s="33" t="s">
        <v>18</v>
      </c>
      <c r="F25571" s="33" t="s">
        <v>19</v>
      </c>
      <c r="G25571" s="33" t="s">
        <v>140</v>
      </c>
      <c r="H25571" s="35">
        <v>1100</v>
      </c>
      <c r="I25571" s="33" t="s">
        <v>51</v>
      </c>
      <c r="J25571" s="42">
        <v>45945</v>
      </c>
      <c r="K25571" s="33" t="s">
        <v>22</v>
      </c>
    </row>
    <row r="25572" spans="1:11">
      <c r="A25572" s="30" t="s">
        <v>56277</v>
      </c>
      <c r="B25572" s="30" t="s">
        <v>56278</v>
      </c>
      <c r="C25572" s="30" t="s">
        <v>326</v>
      </c>
      <c r="D25572" s="30" t="s">
        <v>17</v>
      </c>
      <c r="E25572" s="30" t="s">
        <v>31</v>
      </c>
      <c r="F25572" s="30" t="s">
        <v>32</v>
      </c>
      <c r="G25572" s="30" t="s">
        <v>112</v>
      </c>
      <c r="H25572" s="32">
        <v>0</v>
      </c>
      <c r="I25572" s="30" t="s">
        <v>21</v>
      </c>
      <c r="J25572" s="41">
        <v>45992</v>
      </c>
      <c r="K25572" s="30" t="s">
        <v>22</v>
      </c>
    </row>
    <row r="25573" spans="1:11">
      <c r="A25573" s="33" t="s">
        <v>56279</v>
      </c>
      <c r="B25573" s="33" t="s">
        <v>56280</v>
      </c>
      <c r="C25573" s="33" t="s">
        <v>25012</v>
      </c>
      <c r="D25573" s="33" t="s">
        <v>17</v>
      </c>
      <c r="E25573" s="33" t="s">
        <v>31</v>
      </c>
      <c r="F25573" s="33" t="s">
        <v>32</v>
      </c>
      <c r="G25573" s="33" t="s">
        <v>140</v>
      </c>
      <c r="H25573" s="35">
        <v>49</v>
      </c>
      <c r="I25573" s="33" t="s">
        <v>51</v>
      </c>
      <c r="J25573" s="42">
        <v>45728</v>
      </c>
      <c r="K25573" s="33" t="s">
        <v>22</v>
      </c>
    </row>
    <row r="25574" spans="1:11">
      <c r="A25574" s="30" t="s">
        <v>56281</v>
      </c>
      <c r="B25574" s="30" t="s">
        <v>56282</v>
      </c>
      <c r="C25574" s="30" t="s">
        <v>3757</v>
      </c>
      <c r="D25574" s="30" t="s">
        <v>17</v>
      </c>
      <c r="E25574" s="30" t="s">
        <v>31</v>
      </c>
      <c r="F25574" s="30" t="s">
        <v>32</v>
      </c>
      <c r="G25574" s="30" t="s">
        <v>7780</v>
      </c>
      <c r="H25574" s="32">
        <v>288</v>
      </c>
      <c r="I25574" s="30" t="s">
        <v>51</v>
      </c>
      <c r="J25574" s="41">
        <v>45688</v>
      </c>
      <c r="K25574" s="30" t="s">
        <v>22</v>
      </c>
    </row>
    <row r="25575" spans="1:11">
      <c r="A25575" s="33" t="s">
        <v>56283</v>
      </c>
      <c r="B25575" s="33" t="s">
        <v>56284</v>
      </c>
      <c r="C25575" s="33" t="s">
        <v>12357</v>
      </c>
      <c r="D25575" s="33" t="s">
        <v>17</v>
      </c>
      <c r="E25575" s="33" t="s">
        <v>26</v>
      </c>
      <c r="F25575" s="33" t="s">
        <v>27</v>
      </c>
      <c r="G25575" s="33" t="s">
        <v>20</v>
      </c>
      <c r="H25575" s="35">
        <v>52</v>
      </c>
      <c r="I25575" s="33" t="s">
        <v>21</v>
      </c>
      <c r="J25575" s="42">
        <v>45895</v>
      </c>
      <c r="K25575" s="33" t="s">
        <v>22</v>
      </c>
    </row>
    <row r="25576" spans="1:11">
      <c r="A25576" s="30" t="s">
        <v>56285</v>
      </c>
      <c r="B25576" s="30" t="s">
        <v>56286</v>
      </c>
      <c r="C25576" s="30" t="s">
        <v>96</v>
      </c>
      <c r="D25576" s="30" t="s">
        <v>17</v>
      </c>
      <c r="E25576" s="30" t="s">
        <v>45</v>
      </c>
      <c r="F25576" s="30" t="s">
        <v>46</v>
      </c>
      <c r="G25576" s="30" t="s">
        <v>140</v>
      </c>
      <c r="H25576" s="32">
        <v>982</v>
      </c>
      <c r="I25576" s="30" t="s">
        <v>51</v>
      </c>
      <c r="J25576" s="41">
        <v>45933</v>
      </c>
      <c r="K25576" s="30" t="s">
        <v>22</v>
      </c>
    </row>
    <row r="25577" spans="1:11">
      <c r="A25577" s="33" t="s">
        <v>56287</v>
      </c>
      <c r="B25577" s="33" t="s">
        <v>56288</v>
      </c>
      <c r="C25577" s="33" t="s">
        <v>56289</v>
      </c>
      <c r="D25577" s="33" t="s">
        <v>17</v>
      </c>
      <c r="E25577" s="33" t="s">
        <v>26</v>
      </c>
      <c r="F25577" s="33" t="s">
        <v>27</v>
      </c>
      <c r="G25577" s="33" t="s">
        <v>140</v>
      </c>
      <c r="H25577" s="35">
        <v>176</v>
      </c>
      <c r="I25577" s="33" t="s">
        <v>51</v>
      </c>
      <c r="J25577" s="42">
        <v>45936</v>
      </c>
      <c r="K25577" s="33" t="s">
        <v>22</v>
      </c>
    </row>
    <row r="25578" spans="1:11">
      <c r="A25578" s="30" t="s">
        <v>56290</v>
      </c>
      <c r="B25578" s="30" t="s">
        <v>56291</v>
      </c>
      <c r="C25578" s="30" t="s">
        <v>56292</v>
      </c>
      <c r="D25578" s="30" t="s">
        <v>17</v>
      </c>
      <c r="E25578" s="30" t="s">
        <v>67</v>
      </c>
      <c r="F25578" s="30" t="s">
        <v>68</v>
      </c>
      <c r="G25578" s="30" t="s">
        <v>140</v>
      </c>
      <c r="H25578" s="32">
        <v>190</v>
      </c>
      <c r="I25578" s="30" t="s">
        <v>51</v>
      </c>
      <c r="J25578" s="41">
        <v>45708</v>
      </c>
      <c r="K25578" s="30" t="s">
        <v>22</v>
      </c>
    </row>
    <row r="25579" spans="1:11">
      <c r="A25579" s="33" t="s">
        <v>56293</v>
      </c>
      <c r="B25579" s="33" t="s">
        <v>56294</v>
      </c>
      <c r="C25579" s="33" t="s">
        <v>2802</v>
      </c>
      <c r="D25579" s="33" t="s">
        <v>17</v>
      </c>
      <c r="E25579" s="33" t="s">
        <v>26</v>
      </c>
      <c r="F25579" s="33" t="s">
        <v>27</v>
      </c>
      <c r="G25579" s="33" t="s">
        <v>140</v>
      </c>
      <c r="H25579" s="35">
        <v>48</v>
      </c>
      <c r="I25579" s="33" t="s">
        <v>51</v>
      </c>
      <c r="J25579" s="42">
        <v>45754</v>
      </c>
      <c r="K25579" s="33" t="s">
        <v>22</v>
      </c>
    </row>
    <row r="25580" spans="1:11">
      <c r="A25580" s="30" t="s">
        <v>56295</v>
      </c>
      <c r="B25580" s="30" t="s">
        <v>56296</v>
      </c>
      <c r="C25580" s="30" t="s">
        <v>450</v>
      </c>
      <c r="D25580" s="30" t="s">
        <v>17</v>
      </c>
      <c r="E25580" s="30" t="s">
        <v>18</v>
      </c>
      <c r="F25580" s="30" t="s">
        <v>19</v>
      </c>
      <c r="G25580" s="30" t="s">
        <v>140</v>
      </c>
      <c r="H25580" s="32">
        <v>24</v>
      </c>
      <c r="I25580" s="30" t="s">
        <v>51</v>
      </c>
      <c r="J25580" s="41">
        <v>45822</v>
      </c>
      <c r="K25580" s="30" t="s">
        <v>22</v>
      </c>
    </row>
    <row r="25581" spans="1:11">
      <c r="A25581" s="33" t="s">
        <v>56297</v>
      </c>
      <c r="B25581" s="33" t="s">
        <v>56298</v>
      </c>
      <c r="C25581" s="33" t="s">
        <v>549</v>
      </c>
      <c r="D25581" s="33" t="s">
        <v>17</v>
      </c>
      <c r="E25581" s="33" t="s">
        <v>26</v>
      </c>
      <c r="F25581" s="33" t="s">
        <v>27</v>
      </c>
      <c r="G25581" s="33" t="s">
        <v>140</v>
      </c>
      <c r="H25581" s="35">
        <v>96</v>
      </c>
      <c r="I25581" s="33" t="s">
        <v>51</v>
      </c>
      <c r="J25581" s="42">
        <v>45999</v>
      </c>
      <c r="K25581" s="33" t="s">
        <v>22</v>
      </c>
    </row>
    <row r="25582" spans="1:11">
      <c r="A25582" s="30" t="s">
        <v>56299</v>
      </c>
      <c r="B25582" s="30" t="s">
        <v>56300</v>
      </c>
      <c r="C25582" s="30" t="s">
        <v>203</v>
      </c>
      <c r="D25582" s="30" t="s">
        <v>17</v>
      </c>
      <c r="E25582" s="30" t="s">
        <v>212</v>
      </c>
      <c r="F25582" s="30" t="s">
        <v>213</v>
      </c>
      <c r="G25582" s="30" t="s">
        <v>140</v>
      </c>
      <c r="H25582" s="32">
        <v>35</v>
      </c>
      <c r="I25582" s="30" t="s">
        <v>51</v>
      </c>
      <c r="J25582" s="41">
        <v>45923</v>
      </c>
      <c r="K25582" s="30" t="s">
        <v>22</v>
      </c>
    </row>
    <row r="25583" spans="1:11">
      <c r="A25583" s="33" t="s">
        <v>56301</v>
      </c>
      <c r="B25583" s="33" t="s">
        <v>56302</v>
      </c>
      <c r="C25583" s="33" t="s">
        <v>44</v>
      </c>
      <c r="D25583" s="33" t="s">
        <v>17</v>
      </c>
      <c r="E25583" s="33" t="s">
        <v>26</v>
      </c>
      <c r="F25583" s="33" t="s">
        <v>27</v>
      </c>
      <c r="G25583" s="33" t="s">
        <v>112</v>
      </c>
      <c r="H25583" s="35">
        <v>0</v>
      </c>
      <c r="I25583" s="33" t="s">
        <v>21</v>
      </c>
      <c r="J25583" s="42">
        <v>45806</v>
      </c>
      <c r="K25583" s="33" t="s">
        <v>22</v>
      </c>
    </row>
    <row r="25584" spans="1:11">
      <c r="A25584" s="30" t="s">
        <v>56303</v>
      </c>
      <c r="B25584" s="30" t="s">
        <v>56304</v>
      </c>
      <c r="C25584" s="30" t="s">
        <v>14816</v>
      </c>
      <c r="D25584" s="30" t="s">
        <v>17</v>
      </c>
      <c r="E25584" s="30" t="s">
        <v>31</v>
      </c>
      <c r="F25584" s="30" t="s">
        <v>32</v>
      </c>
      <c r="G25584" s="30" t="s">
        <v>140</v>
      </c>
      <c r="H25584" s="32">
        <v>189</v>
      </c>
      <c r="I25584" s="30" t="s">
        <v>51</v>
      </c>
      <c r="J25584" s="41">
        <v>45986</v>
      </c>
      <c r="K25584" s="30" t="s">
        <v>22</v>
      </c>
    </row>
    <row r="25585" spans="1:11">
      <c r="A25585" s="33" t="s">
        <v>56305</v>
      </c>
      <c r="B25585" s="33" t="s">
        <v>56306</v>
      </c>
      <c r="C25585" s="33" t="s">
        <v>7072</v>
      </c>
      <c r="D25585" s="33" t="s">
        <v>17</v>
      </c>
      <c r="E25585" s="33" t="s">
        <v>31</v>
      </c>
      <c r="F25585" s="33" t="s">
        <v>32</v>
      </c>
      <c r="G25585" s="33" t="s">
        <v>140</v>
      </c>
      <c r="H25585" s="35">
        <v>192</v>
      </c>
      <c r="I25585" s="33" t="s">
        <v>51</v>
      </c>
      <c r="J25585" s="42">
        <v>45898</v>
      </c>
      <c r="K25585" s="33" t="s">
        <v>22</v>
      </c>
    </row>
    <row r="25586" spans="1:11">
      <c r="A25586" s="30" t="s">
        <v>56307</v>
      </c>
      <c r="B25586" s="30" t="s">
        <v>56308</v>
      </c>
      <c r="C25586" s="30" t="s">
        <v>56309</v>
      </c>
      <c r="D25586" s="30" t="s">
        <v>17</v>
      </c>
      <c r="E25586" s="30" t="s">
        <v>31</v>
      </c>
      <c r="F25586" s="30" t="s">
        <v>32</v>
      </c>
      <c r="G25586" s="30" t="s">
        <v>140</v>
      </c>
      <c r="H25586" s="32">
        <v>100</v>
      </c>
      <c r="I25586" s="30" t="s">
        <v>51</v>
      </c>
      <c r="J25586" s="41">
        <v>45931</v>
      </c>
      <c r="K25586" s="30" t="s">
        <v>22</v>
      </c>
    </row>
    <row r="25587" spans="1:11">
      <c r="A25587" s="33" t="s">
        <v>56310</v>
      </c>
      <c r="B25587" s="33" t="s">
        <v>56311</v>
      </c>
      <c r="C25587" s="33" t="s">
        <v>801</v>
      </c>
      <c r="D25587" s="33" t="s">
        <v>17</v>
      </c>
      <c r="E25587" s="33" t="s">
        <v>26</v>
      </c>
      <c r="F25587" s="33" t="s">
        <v>27</v>
      </c>
      <c r="G25587" s="33" t="s">
        <v>140</v>
      </c>
      <c r="H25587" s="35">
        <v>58</v>
      </c>
      <c r="I25587" s="33" t="s">
        <v>51</v>
      </c>
      <c r="J25587" s="42">
        <v>45673</v>
      </c>
      <c r="K25587" s="33" t="s">
        <v>22</v>
      </c>
    </row>
    <row r="25588" spans="1:11">
      <c r="A25588" s="30" t="s">
        <v>56312</v>
      </c>
      <c r="B25588" s="30" t="s">
        <v>56313</v>
      </c>
      <c r="C25588" s="30" t="s">
        <v>52346</v>
      </c>
      <c r="D25588" s="30" t="s">
        <v>17</v>
      </c>
      <c r="E25588" s="30" t="s">
        <v>330</v>
      </c>
      <c r="F25588" s="30" t="s">
        <v>331</v>
      </c>
      <c r="G25588" s="30" t="s">
        <v>7780</v>
      </c>
      <c r="H25588" s="32">
        <v>15</v>
      </c>
      <c r="I25588" s="30" t="s">
        <v>51</v>
      </c>
      <c r="J25588" s="41">
        <v>45986</v>
      </c>
      <c r="K25588" s="30" t="s">
        <v>22</v>
      </c>
    </row>
    <row r="25589" spans="1:11">
      <c r="A25589" s="33" t="s">
        <v>56314</v>
      </c>
      <c r="B25589" s="33" t="s">
        <v>56315</v>
      </c>
      <c r="C25589" s="33" t="s">
        <v>936</v>
      </c>
      <c r="D25589" s="33" t="s">
        <v>17</v>
      </c>
      <c r="E25589" s="33" t="s">
        <v>31</v>
      </c>
      <c r="F25589" s="33" t="s">
        <v>32</v>
      </c>
      <c r="G25589" s="33" t="s">
        <v>140</v>
      </c>
      <c r="H25589" s="35">
        <v>200</v>
      </c>
      <c r="I25589" s="33" t="s">
        <v>51</v>
      </c>
      <c r="J25589" s="42">
        <v>45671</v>
      </c>
      <c r="K25589" s="33" t="s">
        <v>22</v>
      </c>
    </row>
    <row r="25590" spans="1:11">
      <c r="A25590" s="30" t="s">
        <v>56316</v>
      </c>
      <c r="B25590" s="30" t="s">
        <v>56317</v>
      </c>
      <c r="C25590" s="30" t="s">
        <v>407</v>
      </c>
      <c r="D25590" s="30" t="s">
        <v>17</v>
      </c>
      <c r="E25590" s="30" t="s">
        <v>212</v>
      </c>
      <c r="F25590" s="30" t="s">
        <v>213</v>
      </c>
      <c r="G25590" s="30" t="s">
        <v>140</v>
      </c>
      <c r="H25590" s="32">
        <v>248</v>
      </c>
      <c r="I25590" s="30" t="s">
        <v>51</v>
      </c>
      <c r="J25590" s="41">
        <v>45703</v>
      </c>
      <c r="K25590" s="30" t="s">
        <v>22</v>
      </c>
    </row>
    <row r="25591" spans="1:11">
      <c r="A25591" s="33" t="s">
        <v>56318</v>
      </c>
      <c r="B25591" s="33" t="s">
        <v>56319</v>
      </c>
      <c r="C25591" s="33" t="s">
        <v>310</v>
      </c>
      <c r="D25591" s="33" t="s">
        <v>17</v>
      </c>
      <c r="E25591" s="33" t="s">
        <v>26</v>
      </c>
      <c r="F25591" s="33" t="s">
        <v>27</v>
      </c>
      <c r="G25591" s="33" t="s">
        <v>20</v>
      </c>
      <c r="H25591" s="35">
        <v>33</v>
      </c>
      <c r="I25591" s="33" t="s">
        <v>21</v>
      </c>
      <c r="J25591" s="42">
        <v>45817</v>
      </c>
      <c r="K25591" s="33" t="s">
        <v>22</v>
      </c>
    </row>
    <row r="25592" spans="1:11">
      <c r="A25592" s="30" t="s">
        <v>56320</v>
      </c>
      <c r="B25592" s="30" t="s">
        <v>56321</v>
      </c>
      <c r="C25592" s="30" t="s">
        <v>56322</v>
      </c>
      <c r="D25592" s="30" t="s">
        <v>17</v>
      </c>
      <c r="E25592" s="30" t="s">
        <v>26</v>
      </c>
      <c r="F25592" s="30" t="s">
        <v>27</v>
      </c>
      <c r="G25592" s="30" t="s">
        <v>20</v>
      </c>
      <c r="H25592" s="32">
        <v>32</v>
      </c>
      <c r="I25592" s="30" t="s">
        <v>21</v>
      </c>
      <c r="J25592" s="41">
        <v>45954</v>
      </c>
      <c r="K25592" s="30" t="s">
        <v>22</v>
      </c>
    </row>
    <row r="25593" spans="1:11">
      <c r="A25593" s="33" t="s">
        <v>56323</v>
      </c>
      <c r="B25593" s="33" t="s">
        <v>56324</v>
      </c>
      <c r="C25593" s="33" t="s">
        <v>1210</v>
      </c>
      <c r="D25593" s="33" t="s">
        <v>17</v>
      </c>
      <c r="E25593" s="33" t="s">
        <v>31</v>
      </c>
      <c r="F25593" s="33" t="s">
        <v>32</v>
      </c>
      <c r="G25593" s="33" t="s">
        <v>140</v>
      </c>
      <c r="H25593" s="35">
        <v>90</v>
      </c>
      <c r="I25593" s="33" t="s">
        <v>51</v>
      </c>
      <c r="J25593" s="42">
        <v>45778</v>
      </c>
      <c r="K25593" s="33" t="s">
        <v>22</v>
      </c>
    </row>
    <row r="25594" spans="1:11">
      <c r="A25594" s="30" t="s">
        <v>56325</v>
      </c>
      <c r="B25594" s="30" t="s">
        <v>56326</v>
      </c>
      <c r="C25594" s="30" t="s">
        <v>985</v>
      </c>
      <c r="D25594" s="30" t="s">
        <v>17</v>
      </c>
      <c r="E25594" s="30" t="s">
        <v>26</v>
      </c>
      <c r="F25594" s="30" t="s">
        <v>27</v>
      </c>
      <c r="G25594" s="30" t="s">
        <v>140</v>
      </c>
      <c r="H25594" s="32">
        <v>32</v>
      </c>
      <c r="I25594" s="30" t="s">
        <v>51</v>
      </c>
      <c r="J25594" s="41">
        <v>45664</v>
      </c>
      <c r="K25594" s="30" t="s">
        <v>22</v>
      </c>
    </row>
    <row r="25595" spans="1:11">
      <c r="A25595" s="33" t="s">
        <v>56327</v>
      </c>
      <c r="B25595" s="33" t="s">
        <v>56328</v>
      </c>
      <c r="C25595" s="33" t="s">
        <v>2807</v>
      </c>
      <c r="D25595" s="33" t="s">
        <v>17</v>
      </c>
      <c r="E25595" s="33" t="s">
        <v>31</v>
      </c>
      <c r="F25595" s="33" t="s">
        <v>32</v>
      </c>
      <c r="G25595" s="33" t="s">
        <v>140</v>
      </c>
      <c r="H25595" s="35">
        <v>450</v>
      </c>
      <c r="I25595" s="33" t="s">
        <v>51</v>
      </c>
      <c r="J25595" s="42">
        <v>45903</v>
      </c>
      <c r="K25595" s="33" t="s">
        <v>22</v>
      </c>
    </row>
    <row r="25596" spans="1:11">
      <c r="A25596" s="30" t="s">
        <v>56329</v>
      </c>
      <c r="B25596" s="30" t="s">
        <v>56330</v>
      </c>
      <c r="C25596" s="30" t="s">
        <v>11899</v>
      </c>
      <c r="D25596" s="30" t="s">
        <v>17</v>
      </c>
      <c r="E25596" s="30" t="s">
        <v>67</v>
      </c>
      <c r="F25596" s="30" t="s">
        <v>68</v>
      </c>
      <c r="G25596" s="30" t="s">
        <v>140</v>
      </c>
      <c r="H25596" s="32">
        <v>150</v>
      </c>
      <c r="I25596" s="30" t="s">
        <v>51</v>
      </c>
      <c r="J25596" s="41">
        <v>45734</v>
      </c>
      <c r="K25596" s="30" t="s">
        <v>22</v>
      </c>
    </row>
    <row r="25597" spans="1:11">
      <c r="A25597" s="33" t="s">
        <v>56331</v>
      </c>
      <c r="B25597" s="33" t="s">
        <v>56332</v>
      </c>
      <c r="C25597" s="33" t="s">
        <v>42746</v>
      </c>
      <c r="D25597" s="33" t="s">
        <v>17</v>
      </c>
      <c r="E25597" s="33" t="s">
        <v>26</v>
      </c>
      <c r="F25597" s="33" t="s">
        <v>27</v>
      </c>
      <c r="G25597" s="33" t="s">
        <v>158</v>
      </c>
      <c r="H25597" s="35">
        <v>32</v>
      </c>
      <c r="I25597" s="33" t="s">
        <v>51</v>
      </c>
      <c r="J25597" s="42">
        <v>45716</v>
      </c>
      <c r="K25597" s="33" t="s">
        <v>22</v>
      </c>
    </row>
    <row r="25598" spans="1:11">
      <c r="A25598" s="30" t="s">
        <v>56333</v>
      </c>
      <c r="B25598" s="30" t="s">
        <v>56334</v>
      </c>
      <c r="C25598" s="30" t="s">
        <v>39233</v>
      </c>
      <c r="D25598" s="30" t="s">
        <v>17</v>
      </c>
      <c r="E25598" s="30" t="s">
        <v>45</v>
      </c>
      <c r="F25598" s="30" t="s">
        <v>46</v>
      </c>
      <c r="G25598" s="30" t="s">
        <v>7780</v>
      </c>
      <c r="H25598" s="32">
        <v>737</v>
      </c>
      <c r="I25598" s="30" t="s">
        <v>51</v>
      </c>
      <c r="J25598" s="41">
        <v>46021</v>
      </c>
      <c r="K25598" s="30" t="s">
        <v>22</v>
      </c>
    </row>
    <row r="25599" spans="1:11">
      <c r="A25599" s="33" t="s">
        <v>56335</v>
      </c>
      <c r="B25599" s="33" t="s">
        <v>56336</v>
      </c>
      <c r="C25599" s="33" t="s">
        <v>34959</v>
      </c>
      <c r="D25599" s="33" t="s">
        <v>17</v>
      </c>
      <c r="E25599" s="33" t="s">
        <v>26</v>
      </c>
      <c r="F25599" s="33" t="s">
        <v>27</v>
      </c>
      <c r="G25599" s="33" t="s">
        <v>140</v>
      </c>
      <c r="H25599" s="35">
        <v>90</v>
      </c>
      <c r="I25599" s="33" t="s">
        <v>51</v>
      </c>
      <c r="J25599" s="42">
        <v>45951</v>
      </c>
      <c r="K25599" s="33" t="s">
        <v>22</v>
      </c>
    </row>
    <row r="25600" spans="1:11">
      <c r="A25600" s="30" t="s">
        <v>56337</v>
      </c>
      <c r="B25600" s="30" t="s">
        <v>56338</v>
      </c>
      <c r="C25600" s="30" t="s">
        <v>19435</v>
      </c>
      <c r="D25600" s="30" t="s">
        <v>17</v>
      </c>
      <c r="E25600" s="30" t="s">
        <v>26</v>
      </c>
      <c r="F25600" s="30" t="s">
        <v>27</v>
      </c>
      <c r="G25600" s="30" t="s">
        <v>20</v>
      </c>
      <c r="H25600" s="32">
        <v>52</v>
      </c>
      <c r="I25600" s="30" t="s">
        <v>21</v>
      </c>
      <c r="J25600" s="41">
        <v>45811</v>
      </c>
      <c r="K25600" s="30" t="s">
        <v>22</v>
      </c>
    </row>
    <row r="25601" spans="1:11">
      <c r="A25601" s="33" t="s">
        <v>56339</v>
      </c>
      <c r="B25601" s="33" t="s">
        <v>56340</v>
      </c>
      <c r="C25601" s="33" t="s">
        <v>570</v>
      </c>
      <c r="D25601" s="33" t="s">
        <v>17</v>
      </c>
      <c r="E25601" s="33" t="s">
        <v>18</v>
      </c>
      <c r="F25601" s="33" t="s">
        <v>19</v>
      </c>
      <c r="G25601" s="33" t="s">
        <v>20</v>
      </c>
      <c r="H25601" s="35">
        <v>665</v>
      </c>
      <c r="I25601" s="33" t="s">
        <v>21</v>
      </c>
      <c r="J25601" s="42">
        <v>45660</v>
      </c>
      <c r="K25601" s="33" t="s">
        <v>22</v>
      </c>
    </row>
    <row r="25602" spans="1:11">
      <c r="A25602" s="30" t="s">
        <v>56341</v>
      </c>
      <c r="B25602" s="30" t="s">
        <v>56342</v>
      </c>
      <c r="C25602" s="30" t="s">
        <v>26361</v>
      </c>
      <c r="D25602" s="30" t="s">
        <v>17</v>
      </c>
      <c r="E25602" s="30" t="s">
        <v>26</v>
      </c>
      <c r="F25602" s="30" t="s">
        <v>27</v>
      </c>
      <c r="G25602" s="30" t="s">
        <v>158</v>
      </c>
      <c r="H25602" s="32">
        <v>90</v>
      </c>
      <c r="I25602" s="30" t="s">
        <v>51</v>
      </c>
      <c r="J25602" s="41">
        <v>45762</v>
      </c>
      <c r="K25602" s="30" t="s">
        <v>22</v>
      </c>
    </row>
    <row r="25603" spans="1:11">
      <c r="A25603" s="33" t="s">
        <v>56343</v>
      </c>
      <c r="B25603" s="33" t="s">
        <v>56344</v>
      </c>
      <c r="C25603" s="33" t="s">
        <v>1090</v>
      </c>
      <c r="D25603" s="33" t="s">
        <v>17</v>
      </c>
      <c r="E25603" s="33" t="s">
        <v>18</v>
      </c>
      <c r="F25603" s="33" t="s">
        <v>19</v>
      </c>
      <c r="G25603" s="33" t="s">
        <v>7780</v>
      </c>
      <c r="H25603" s="35">
        <v>770</v>
      </c>
      <c r="I25603" s="33" t="s">
        <v>51</v>
      </c>
      <c r="J25603" s="42">
        <v>45702</v>
      </c>
      <c r="K25603" s="33" t="s">
        <v>22</v>
      </c>
    </row>
    <row r="25604" spans="1:11">
      <c r="A25604" s="30" t="s">
        <v>56345</v>
      </c>
      <c r="B25604" s="30" t="s">
        <v>56346</v>
      </c>
      <c r="C25604" s="30" t="s">
        <v>56347</v>
      </c>
      <c r="D25604" s="30" t="s">
        <v>17</v>
      </c>
      <c r="E25604" s="30" t="s">
        <v>26</v>
      </c>
      <c r="F25604" s="30" t="s">
        <v>27</v>
      </c>
      <c r="G25604" s="30" t="s">
        <v>140</v>
      </c>
      <c r="H25604" s="32">
        <v>94</v>
      </c>
      <c r="I25604" s="30" t="s">
        <v>51</v>
      </c>
      <c r="J25604" s="41">
        <v>45708</v>
      </c>
      <c r="K25604" s="30" t="s">
        <v>22</v>
      </c>
    </row>
    <row r="25605" spans="1:11">
      <c r="A25605" s="33" t="s">
        <v>56348</v>
      </c>
      <c r="B25605" s="33" t="s">
        <v>56349</v>
      </c>
      <c r="C25605" s="33" t="s">
        <v>27217</v>
      </c>
      <c r="D25605" s="33" t="s">
        <v>17</v>
      </c>
      <c r="E25605" s="33" t="s">
        <v>330</v>
      </c>
      <c r="F25605" s="33" t="s">
        <v>331</v>
      </c>
      <c r="G25605" s="33" t="s">
        <v>7780</v>
      </c>
      <c r="H25605" s="35">
        <v>8</v>
      </c>
      <c r="I25605" s="33" t="s">
        <v>51</v>
      </c>
      <c r="J25605" s="42">
        <v>45744</v>
      </c>
      <c r="K25605" s="33" t="s">
        <v>22</v>
      </c>
    </row>
    <row r="25606" spans="1:11">
      <c r="A25606" s="30" t="s">
        <v>56350</v>
      </c>
      <c r="B25606" s="30" t="s">
        <v>56351</v>
      </c>
      <c r="C25606" s="30" t="s">
        <v>30596</v>
      </c>
      <c r="D25606" s="30" t="s">
        <v>17</v>
      </c>
      <c r="E25606" s="30" t="s">
        <v>26</v>
      </c>
      <c r="F25606" s="30" t="s">
        <v>27</v>
      </c>
      <c r="G25606" s="30" t="s">
        <v>140</v>
      </c>
      <c r="H25606" s="32">
        <v>60</v>
      </c>
      <c r="I25606" s="30" t="s">
        <v>51</v>
      </c>
      <c r="J25606" s="41">
        <v>45714</v>
      </c>
      <c r="K25606" s="30" t="s">
        <v>22</v>
      </c>
    </row>
    <row r="25607" spans="1:11">
      <c r="A25607" s="33" t="s">
        <v>56352</v>
      </c>
      <c r="B25607" s="33" t="s">
        <v>56353</v>
      </c>
      <c r="C25607" s="33" t="s">
        <v>969</v>
      </c>
      <c r="D25607" s="33" t="s">
        <v>17</v>
      </c>
      <c r="E25607" s="33" t="s">
        <v>18</v>
      </c>
      <c r="F25607" s="33" t="s">
        <v>19</v>
      </c>
      <c r="G25607" s="33" t="s">
        <v>140</v>
      </c>
      <c r="H25607" s="35">
        <v>981</v>
      </c>
      <c r="I25607" s="33" t="s">
        <v>51</v>
      </c>
      <c r="J25607" s="42">
        <v>45828</v>
      </c>
      <c r="K25607" s="33" t="s">
        <v>22</v>
      </c>
    </row>
    <row r="25608" spans="1:11">
      <c r="A25608" s="30" t="s">
        <v>56354</v>
      </c>
      <c r="B25608" s="30" t="s">
        <v>56355</v>
      </c>
      <c r="C25608" s="30" t="s">
        <v>318</v>
      </c>
      <c r="D25608" s="30" t="s">
        <v>17</v>
      </c>
      <c r="E25608" s="30" t="s">
        <v>26</v>
      </c>
      <c r="F25608" s="30" t="s">
        <v>27</v>
      </c>
      <c r="G25608" s="30" t="s">
        <v>158</v>
      </c>
      <c r="H25608" s="32">
        <v>29</v>
      </c>
      <c r="I25608" s="30" t="s">
        <v>21</v>
      </c>
      <c r="J25608" s="41">
        <v>45793</v>
      </c>
      <c r="K25608" s="30" t="s">
        <v>22</v>
      </c>
    </row>
    <row r="25609" spans="1:11">
      <c r="A25609" s="33" t="s">
        <v>56356</v>
      </c>
      <c r="B25609" s="33" t="s">
        <v>56357</v>
      </c>
      <c r="C25609" s="33" t="s">
        <v>149</v>
      </c>
      <c r="D25609" s="33" t="s">
        <v>17</v>
      </c>
      <c r="E25609" s="33" t="s">
        <v>67</v>
      </c>
      <c r="F25609" s="33" t="s">
        <v>68</v>
      </c>
      <c r="G25609" s="33" t="s">
        <v>140</v>
      </c>
      <c r="H25609" s="35">
        <v>84</v>
      </c>
      <c r="I25609" s="33" t="s">
        <v>51</v>
      </c>
      <c r="J25609" s="42">
        <v>45771</v>
      </c>
      <c r="K25609" s="33" t="s">
        <v>22</v>
      </c>
    </row>
    <row r="25610" spans="1:11">
      <c r="A25610" s="30" t="s">
        <v>56358</v>
      </c>
      <c r="B25610" s="30" t="s">
        <v>56359</v>
      </c>
      <c r="C25610" s="30" t="s">
        <v>52929</v>
      </c>
      <c r="D25610" s="30" t="s">
        <v>17</v>
      </c>
      <c r="E25610" s="30" t="s">
        <v>26</v>
      </c>
      <c r="F25610" s="30" t="s">
        <v>27</v>
      </c>
      <c r="G25610" s="30" t="s">
        <v>140</v>
      </c>
      <c r="H25610" s="32">
        <v>12</v>
      </c>
      <c r="I25610" s="30" t="s">
        <v>51</v>
      </c>
      <c r="J25610" s="41">
        <v>45915</v>
      </c>
      <c r="K25610" s="30" t="s">
        <v>22</v>
      </c>
    </row>
    <row r="25611" spans="1:11">
      <c r="A25611" s="33" t="s">
        <v>56360</v>
      </c>
      <c r="B25611" s="33" t="s">
        <v>56361</v>
      </c>
      <c r="C25611" s="33" t="s">
        <v>6663</v>
      </c>
      <c r="D25611" s="33" t="s">
        <v>17</v>
      </c>
      <c r="E25611" s="33" t="s">
        <v>67</v>
      </c>
      <c r="F25611" s="33" t="s">
        <v>68</v>
      </c>
      <c r="G25611" s="33" t="s">
        <v>140</v>
      </c>
      <c r="H25611" s="35">
        <v>200</v>
      </c>
      <c r="I25611" s="33" t="s">
        <v>51</v>
      </c>
      <c r="J25611" s="42">
        <v>45905</v>
      </c>
      <c r="K25611" s="33" t="s">
        <v>22</v>
      </c>
    </row>
    <row r="25612" spans="1:11">
      <c r="A25612" s="30" t="s">
        <v>56362</v>
      </c>
      <c r="B25612" s="30" t="s">
        <v>56363</v>
      </c>
      <c r="C25612" s="30" t="s">
        <v>3610</v>
      </c>
      <c r="D25612" s="30" t="s">
        <v>17</v>
      </c>
      <c r="E25612" s="30" t="s">
        <v>18</v>
      </c>
      <c r="F25612" s="30" t="s">
        <v>19</v>
      </c>
      <c r="G25612" s="30" t="s">
        <v>140</v>
      </c>
      <c r="H25612" s="32">
        <v>54</v>
      </c>
      <c r="I25612" s="30" t="s">
        <v>51</v>
      </c>
      <c r="J25612" s="41">
        <v>45733</v>
      </c>
      <c r="K25612" s="30" t="s">
        <v>22</v>
      </c>
    </row>
    <row r="25613" spans="1:11">
      <c r="A25613" s="33" t="s">
        <v>56364</v>
      </c>
      <c r="B25613" s="33" t="s">
        <v>56365</v>
      </c>
      <c r="C25613" s="33" t="s">
        <v>698</v>
      </c>
      <c r="D25613" s="33" t="s">
        <v>17</v>
      </c>
      <c r="E25613" s="33" t="s">
        <v>18</v>
      </c>
      <c r="F25613" s="33" t="s">
        <v>19</v>
      </c>
      <c r="G25613" s="33" t="s">
        <v>140</v>
      </c>
      <c r="H25613" s="35">
        <v>228</v>
      </c>
      <c r="I25613" s="33" t="s">
        <v>51</v>
      </c>
      <c r="J25613" s="42">
        <v>45706</v>
      </c>
      <c r="K25613" s="33" t="s">
        <v>22</v>
      </c>
    </row>
    <row r="25614" spans="1:11">
      <c r="A25614" s="30" t="s">
        <v>56366</v>
      </c>
      <c r="B25614" s="30" t="s">
        <v>56367</v>
      </c>
      <c r="C25614" s="30" t="s">
        <v>35921</v>
      </c>
      <c r="D25614" s="30" t="s">
        <v>17</v>
      </c>
      <c r="E25614" s="30" t="s">
        <v>26</v>
      </c>
      <c r="F25614" s="30" t="s">
        <v>27</v>
      </c>
      <c r="G25614" s="30" t="s">
        <v>7780</v>
      </c>
      <c r="H25614" s="32">
        <v>15</v>
      </c>
      <c r="I25614" s="30" t="s">
        <v>51</v>
      </c>
      <c r="J25614" s="41">
        <v>45740</v>
      </c>
      <c r="K25614" s="30" t="s">
        <v>22</v>
      </c>
    </row>
    <row r="25615" spans="1:11">
      <c r="A25615" s="33" t="s">
        <v>56368</v>
      </c>
      <c r="B25615" s="33" t="s">
        <v>56369</v>
      </c>
      <c r="C25615" s="33" t="s">
        <v>109</v>
      </c>
      <c r="D25615" s="33" t="s">
        <v>17</v>
      </c>
      <c r="E25615" s="33" t="s">
        <v>31</v>
      </c>
      <c r="F25615" s="33" t="s">
        <v>32</v>
      </c>
      <c r="G25615" s="33" t="s">
        <v>140</v>
      </c>
      <c r="H25615" s="35">
        <v>165</v>
      </c>
      <c r="I25615" s="33" t="s">
        <v>51</v>
      </c>
      <c r="J25615" s="42">
        <v>45958</v>
      </c>
      <c r="K25615" s="33" t="s">
        <v>22</v>
      </c>
    </row>
    <row r="25616" spans="1:11">
      <c r="A25616" s="30" t="s">
        <v>56370</v>
      </c>
      <c r="B25616" s="30" t="s">
        <v>56371</v>
      </c>
      <c r="C25616" s="30" t="s">
        <v>46139</v>
      </c>
      <c r="D25616" s="30" t="s">
        <v>17</v>
      </c>
      <c r="E25616" s="30" t="s">
        <v>31</v>
      </c>
      <c r="F25616" s="30" t="s">
        <v>32</v>
      </c>
      <c r="G25616" s="30" t="s">
        <v>140</v>
      </c>
      <c r="H25616" s="32">
        <v>12</v>
      </c>
      <c r="I25616" s="30" t="s">
        <v>51</v>
      </c>
      <c r="J25616" s="41">
        <v>45789</v>
      </c>
      <c r="K25616" s="30" t="s">
        <v>22</v>
      </c>
    </row>
    <row r="25617" spans="1:11">
      <c r="A25617" s="33" t="s">
        <v>56372</v>
      </c>
      <c r="B25617" s="33" t="s">
        <v>56373</v>
      </c>
      <c r="C25617" s="33" t="s">
        <v>96</v>
      </c>
      <c r="D25617" s="33" t="s">
        <v>17</v>
      </c>
      <c r="E25617" s="33" t="s">
        <v>18</v>
      </c>
      <c r="F25617" s="33" t="s">
        <v>19</v>
      </c>
      <c r="G25617" s="33" t="s">
        <v>140</v>
      </c>
      <c r="H25617" s="35">
        <v>1000</v>
      </c>
      <c r="I25617" s="33" t="s">
        <v>51</v>
      </c>
      <c r="J25617" s="42">
        <v>45928</v>
      </c>
      <c r="K25617" s="33" t="s">
        <v>22</v>
      </c>
    </row>
    <row r="25618" spans="1:11">
      <c r="A25618" s="30" t="s">
        <v>56374</v>
      </c>
      <c r="B25618" s="30" t="s">
        <v>56375</v>
      </c>
      <c r="C25618" s="30" t="s">
        <v>124</v>
      </c>
      <c r="D25618" s="30" t="s">
        <v>17</v>
      </c>
      <c r="E25618" s="30" t="s">
        <v>26</v>
      </c>
      <c r="F25618" s="30" t="s">
        <v>27</v>
      </c>
      <c r="G25618" s="30" t="s">
        <v>20</v>
      </c>
      <c r="H25618" s="32">
        <v>26</v>
      </c>
      <c r="I25618" s="30" t="s">
        <v>21</v>
      </c>
      <c r="J25618" s="41">
        <v>45698</v>
      </c>
      <c r="K25618" s="30" t="s">
        <v>22</v>
      </c>
    </row>
    <row r="25619" spans="1:11">
      <c r="A25619" s="33" t="s">
        <v>56376</v>
      </c>
      <c r="B25619" s="33" t="s">
        <v>56377</v>
      </c>
      <c r="C25619" s="33" t="s">
        <v>3258</v>
      </c>
      <c r="D25619" s="33" t="s">
        <v>17</v>
      </c>
      <c r="E25619" s="33" t="s">
        <v>26</v>
      </c>
      <c r="F25619" s="33" t="s">
        <v>27</v>
      </c>
      <c r="G25619" s="33" t="s">
        <v>158</v>
      </c>
      <c r="H25619" s="35">
        <v>24</v>
      </c>
      <c r="I25619" s="33" t="s">
        <v>21</v>
      </c>
      <c r="J25619" s="42">
        <v>45867</v>
      </c>
      <c r="K25619" s="33" t="s">
        <v>22</v>
      </c>
    </row>
    <row r="25620" spans="1:11">
      <c r="A25620" s="30" t="s">
        <v>56378</v>
      </c>
      <c r="B25620" s="30" t="s">
        <v>56379</v>
      </c>
      <c r="C25620" s="30" t="s">
        <v>647</v>
      </c>
      <c r="D25620" s="30" t="s">
        <v>17</v>
      </c>
      <c r="E25620" s="30" t="s">
        <v>67</v>
      </c>
      <c r="F25620" s="30" t="s">
        <v>68</v>
      </c>
      <c r="G25620" s="30" t="s">
        <v>140</v>
      </c>
      <c r="H25620" s="32">
        <v>298</v>
      </c>
      <c r="I25620" s="30" t="s">
        <v>51</v>
      </c>
      <c r="J25620" s="41">
        <v>45868</v>
      </c>
      <c r="K25620" s="30" t="s">
        <v>22</v>
      </c>
    </row>
    <row r="25621" spans="1:11">
      <c r="A25621" s="33" t="s">
        <v>56380</v>
      </c>
      <c r="B25621" s="33" t="s">
        <v>56381</v>
      </c>
      <c r="C25621" s="33" t="s">
        <v>38331</v>
      </c>
      <c r="D25621" s="33" t="s">
        <v>17</v>
      </c>
      <c r="E25621" s="33" t="s">
        <v>330</v>
      </c>
      <c r="F25621" s="33" t="s">
        <v>331</v>
      </c>
      <c r="G25621" s="33" t="s">
        <v>7780</v>
      </c>
      <c r="H25621" s="35">
        <v>9</v>
      </c>
      <c r="I25621" s="33" t="s">
        <v>51</v>
      </c>
      <c r="J25621" s="42">
        <v>46022</v>
      </c>
      <c r="K25621" s="33" t="s">
        <v>22</v>
      </c>
    </row>
    <row r="25622" spans="1:11">
      <c r="A25622" s="30" t="s">
        <v>56382</v>
      </c>
      <c r="B25622" s="30" t="s">
        <v>56383</v>
      </c>
      <c r="C25622" s="30" t="s">
        <v>190</v>
      </c>
      <c r="D25622" s="30" t="s">
        <v>17</v>
      </c>
      <c r="E25622" s="30" t="s">
        <v>26</v>
      </c>
      <c r="F25622" s="30" t="s">
        <v>27</v>
      </c>
      <c r="G25622" s="30" t="s">
        <v>158</v>
      </c>
      <c r="H25622" s="32">
        <v>18</v>
      </c>
      <c r="I25622" s="30" t="s">
        <v>21</v>
      </c>
      <c r="J25622" s="41">
        <v>46003</v>
      </c>
      <c r="K25622" s="30" t="s">
        <v>22</v>
      </c>
    </row>
    <row r="25623" spans="1:11">
      <c r="A25623" s="33" t="s">
        <v>56384</v>
      </c>
      <c r="B25623" s="33" t="s">
        <v>56385</v>
      </c>
      <c r="C25623" s="33" t="s">
        <v>55980</v>
      </c>
      <c r="D25623" s="33" t="s">
        <v>17</v>
      </c>
      <c r="E25623" s="33" t="s">
        <v>26</v>
      </c>
      <c r="F25623" s="33" t="s">
        <v>27</v>
      </c>
      <c r="G25623" s="33" t="s">
        <v>158</v>
      </c>
      <c r="H25623" s="35">
        <v>40</v>
      </c>
      <c r="I25623" s="33" t="s">
        <v>51</v>
      </c>
      <c r="J25623" s="42">
        <v>45863</v>
      </c>
      <c r="K25623" s="33" t="s">
        <v>22</v>
      </c>
    </row>
    <row r="25624" spans="1:11">
      <c r="A25624" s="30" t="s">
        <v>56386</v>
      </c>
      <c r="B25624" s="30" t="s">
        <v>56387</v>
      </c>
      <c r="C25624" s="30" t="s">
        <v>3296</v>
      </c>
      <c r="D25624" s="30" t="s">
        <v>17</v>
      </c>
      <c r="E25624" s="30" t="s">
        <v>26</v>
      </c>
      <c r="F25624" s="30" t="s">
        <v>27</v>
      </c>
      <c r="G25624" s="30" t="s">
        <v>7780</v>
      </c>
      <c r="H25624" s="32">
        <v>48</v>
      </c>
      <c r="I25624" s="30" t="s">
        <v>51</v>
      </c>
      <c r="J25624" s="41">
        <v>45809</v>
      </c>
      <c r="K25624" s="30" t="s">
        <v>22</v>
      </c>
    </row>
    <row r="25625" spans="1:11">
      <c r="A25625" s="33" t="s">
        <v>56388</v>
      </c>
      <c r="B25625" s="33" t="s">
        <v>56389</v>
      </c>
      <c r="C25625" s="33" t="s">
        <v>53533</v>
      </c>
      <c r="D25625" s="33" t="s">
        <v>17</v>
      </c>
      <c r="E25625" s="33" t="s">
        <v>31</v>
      </c>
      <c r="F25625" s="33" t="s">
        <v>32</v>
      </c>
      <c r="G25625" s="33" t="s">
        <v>158</v>
      </c>
      <c r="H25625" s="35">
        <v>16</v>
      </c>
      <c r="I25625" s="33" t="s">
        <v>51</v>
      </c>
      <c r="J25625" s="42">
        <v>45964</v>
      </c>
      <c r="K25625" s="33" t="s">
        <v>22</v>
      </c>
    </row>
    <row r="25626" spans="1:11">
      <c r="A25626" s="30" t="s">
        <v>56390</v>
      </c>
      <c r="B25626" s="30" t="s">
        <v>56391</v>
      </c>
      <c r="C25626" s="30" t="s">
        <v>5643</v>
      </c>
      <c r="D25626" s="30" t="s">
        <v>17</v>
      </c>
      <c r="E25626" s="30" t="s">
        <v>18</v>
      </c>
      <c r="F25626" s="30" t="s">
        <v>19</v>
      </c>
      <c r="G25626" s="30" t="s">
        <v>158</v>
      </c>
      <c r="H25626" s="32">
        <v>8000</v>
      </c>
      <c r="I25626" s="30" t="s">
        <v>51</v>
      </c>
      <c r="J25626" s="41">
        <v>45789</v>
      </c>
      <c r="K25626" s="30" t="s">
        <v>22</v>
      </c>
    </row>
    <row r="25627" spans="1:11">
      <c r="A25627" s="33" t="s">
        <v>56392</v>
      </c>
      <c r="B25627" s="33" t="s">
        <v>56393</v>
      </c>
      <c r="C25627" s="33" t="s">
        <v>3610</v>
      </c>
      <c r="D25627" s="33" t="s">
        <v>17</v>
      </c>
      <c r="E25627" s="33" t="s">
        <v>26</v>
      </c>
      <c r="F25627" s="33" t="s">
        <v>27</v>
      </c>
      <c r="G25627" s="33" t="s">
        <v>20</v>
      </c>
      <c r="H25627" s="35">
        <v>18</v>
      </c>
      <c r="I25627" s="33" t="s">
        <v>21</v>
      </c>
      <c r="J25627" s="42">
        <v>45874</v>
      </c>
      <c r="K25627" s="33" t="s">
        <v>22</v>
      </c>
    </row>
    <row r="25628" spans="1:11">
      <c r="A25628" s="30" t="s">
        <v>56394</v>
      </c>
      <c r="B25628" s="30" t="s">
        <v>56395</v>
      </c>
      <c r="C25628" s="30" t="s">
        <v>190</v>
      </c>
      <c r="D25628" s="30" t="s">
        <v>17</v>
      </c>
      <c r="E25628" s="30" t="s">
        <v>26</v>
      </c>
      <c r="F25628" s="30" t="s">
        <v>27</v>
      </c>
      <c r="G25628" s="30" t="s">
        <v>20</v>
      </c>
      <c r="H25628" s="32">
        <v>35</v>
      </c>
      <c r="I25628" s="30" t="s">
        <v>21</v>
      </c>
      <c r="J25628" s="41">
        <v>45887</v>
      </c>
      <c r="K25628" s="30" t="s">
        <v>22</v>
      </c>
    </row>
    <row r="25629" spans="1:11">
      <c r="A25629" s="33" t="s">
        <v>56396</v>
      </c>
      <c r="B25629" s="33" t="s">
        <v>56397</v>
      </c>
      <c r="C25629" s="33" t="s">
        <v>2618</v>
      </c>
      <c r="D25629" s="33" t="s">
        <v>17</v>
      </c>
      <c r="E25629" s="33" t="s">
        <v>26</v>
      </c>
      <c r="F25629" s="33" t="s">
        <v>27</v>
      </c>
      <c r="G25629" s="33" t="s">
        <v>140</v>
      </c>
      <c r="H25629" s="35">
        <v>77</v>
      </c>
      <c r="I25629" s="33" t="s">
        <v>51</v>
      </c>
      <c r="J25629" s="42">
        <v>45940</v>
      </c>
      <c r="K25629" s="33" t="s">
        <v>22</v>
      </c>
    </row>
    <row r="25630" spans="1:11">
      <c r="A25630" s="30" t="s">
        <v>56398</v>
      </c>
      <c r="B25630" s="30" t="s">
        <v>56399</v>
      </c>
      <c r="C25630" s="30" t="s">
        <v>96</v>
      </c>
      <c r="D25630" s="30" t="s">
        <v>17</v>
      </c>
      <c r="E25630" s="30" t="s">
        <v>212</v>
      </c>
      <c r="F25630" s="30" t="s">
        <v>213</v>
      </c>
      <c r="G25630" s="30" t="s">
        <v>140</v>
      </c>
      <c r="H25630" s="32">
        <v>100</v>
      </c>
      <c r="I25630" s="30" t="s">
        <v>51</v>
      </c>
      <c r="J25630" s="41">
        <v>45784</v>
      </c>
      <c r="K25630" s="30" t="s">
        <v>22</v>
      </c>
    </row>
    <row r="25631" spans="1:11">
      <c r="A25631" s="33" t="s">
        <v>56400</v>
      </c>
      <c r="B25631" s="33" t="s">
        <v>56401</v>
      </c>
      <c r="C25631" s="33" t="s">
        <v>450</v>
      </c>
      <c r="D25631" s="33" t="s">
        <v>17</v>
      </c>
      <c r="E25631" s="33" t="s">
        <v>31</v>
      </c>
      <c r="F25631" s="33" t="s">
        <v>32</v>
      </c>
      <c r="G25631" s="33" t="s">
        <v>140</v>
      </c>
      <c r="H25631" s="35">
        <v>60</v>
      </c>
      <c r="I25631" s="33" t="s">
        <v>51</v>
      </c>
      <c r="J25631" s="42">
        <v>45958</v>
      </c>
      <c r="K25631" s="33" t="s">
        <v>22</v>
      </c>
    </row>
    <row r="25632" spans="1:11">
      <c r="A25632" s="30" t="s">
        <v>56402</v>
      </c>
      <c r="B25632" s="30" t="s">
        <v>56403</v>
      </c>
      <c r="C25632" s="30" t="s">
        <v>443</v>
      </c>
      <c r="D25632" s="30" t="s">
        <v>17</v>
      </c>
      <c r="E25632" s="30" t="s">
        <v>212</v>
      </c>
      <c r="F25632" s="30" t="s">
        <v>213</v>
      </c>
      <c r="G25632" s="30" t="s">
        <v>140</v>
      </c>
      <c r="H25632" s="32">
        <v>180</v>
      </c>
      <c r="I25632" s="30" t="s">
        <v>51</v>
      </c>
      <c r="J25632" s="41">
        <v>45926</v>
      </c>
      <c r="K25632" s="30" t="s">
        <v>22</v>
      </c>
    </row>
    <row r="25633" spans="1:11">
      <c r="A25633" s="33" t="s">
        <v>56404</v>
      </c>
      <c r="B25633" s="33" t="s">
        <v>56405</v>
      </c>
      <c r="C25633" s="33" t="s">
        <v>26361</v>
      </c>
      <c r="D25633" s="33" t="s">
        <v>17</v>
      </c>
      <c r="E25633" s="33" t="s">
        <v>31</v>
      </c>
      <c r="F25633" s="33" t="s">
        <v>32</v>
      </c>
      <c r="G25633" s="33" t="s">
        <v>158</v>
      </c>
      <c r="H25633" s="35">
        <v>700</v>
      </c>
      <c r="I25633" s="33" t="s">
        <v>51</v>
      </c>
      <c r="J25633" s="42">
        <v>45951</v>
      </c>
      <c r="K25633" s="33" t="s">
        <v>22</v>
      </c>
    </row>
    <row r="25634" spans="1:11">
      <c r="A25634" s="30" t="s">
        <v>56406</v>
      </c>
      <c r="B25634" s="30" t="s">
        <v>56407</v>
      </c>
      <c r="C25634" s="30" t="s">
        <v>56408</v>
      </c>
      <c r="D25634" s="30" t="s">
        <v>17</v>
      </c>
      <c r="E25634" s="30" t="s">
        <v>26</v>
      </c>
      <c r="F25634" s="30" t="s">
        <v>27</v>
      </c>
      <c r="G25634" s="30" t="s">
        <v>140</v>
      </c>
      <c r="H25634" s="32">
        <v>70</v>
      </c>
      <c r="I25634" s="30" t="s">
        <v>51</v>
      </c>
      <c r="J25634" s="41">
        <v>45693</v>
      </c>
      <c r="K25634" s="30" t="s">
        <v>22</v>
      </c>
    </row>
    <row r="25635" spans="1:11">
      <c r="A25635" s="33" t="s">
        <v>56409</v>
      </c>
      <c r="B25635" s="33" t="s">
        <v>56410</v>
      </c>
      <c r="C25635" s="33" t="s">
        <v>21241</v>
      </c>
      <c r="D25635" s="33" t="s">
        <v>17</v>
      </c>
      <c r="E25635" s="33" t="s">
        <v>26</v>
      </c>
      <c r="F25635" s="33" t="s">
        <v>27</v>
      </c>
      <c r="G25635" s="33" t="s">
        <v>158</v>
      </c>
      <c r="H25635" s="35">
        <v>100</v>
      </c>
      <c r="I25635" s="33" t="s">
        <v>51</v>
      </c>
      <c r="J25635" s="42">
        <v>45969</v>
      </c>
      <c r="K25635" s="33" t="s">
        <v>22</v>
      </c>
    </row>
    <row r="25636" spans="1:11">
      <c r="A25636" s="30" t="s">
        <v>56411</v>
      </c>
      <c r="B25636" s="30" t="s">
        <v>56412</v>
      </c>
      <c r="C25636" s="30" t="s">
        <v>22892</v>
      </c>
      <c r="D25636" s="30" t="s">
        <v>17</v>
      </c>
      <c r="E25636" s="30" t="s">
        <v>26</v>
      </c>
      <c r="F25636" s="30" t="s">
        <v>27</v>
      </c>
      <c r="G25636" s="30" t="s">
        <v>140</v>
      </c>
      <c r="H25636" s="32">
        <v>48</v>
      </c>
      <c r="I25636" s="30" t="s">
        <v>51</v>
      </c>
      <c r="J25636" s="41">
        <v>45848</v>
      </c>
      <c r="K25636" s="30" t="s">
        <v>22</v>
      </c>
    </row>
    <row r="25637" spans="1:11">
      <c r="A25637" s="33" t="s">
        <v>56413</v>
      </c>
      <c r="B25637" s="33" t="s">
        <v>56414</v>
      </c>
      <c r="C25637" s="33" t="s">
        <v>47752</v>
      </c>
      <c r="D25637" s="33" t="s">
        <v>17</v>
      </c>
      <c r="E25637" s="33" t="s">
        <v>31</v>
      </c>
      <c r="F25637" s="33" t="s">
        <v>32</v>
      </c>
      <c r="G25637" s="33" t="s">
        <v>140</v>
      </c>
      <c r="H25637" s="35">
        <v>200</v>
      </c>
      <c r="I25637" s="33" t="s">
        <v>51</v>
      </c>
      <c r="J25637" s="42">
        <v>45829</v>
      </c>
      <c r="K25637" s="33" t="s">
        <v>22</v>
      </c>
    </row>
    <row r="25638" spans="1:11">
      <c r="A25638" s="30" t="s">
        <v>56415</v>
      </c>
      <c r="B25638" s="30" t="s">
        <v>56416</v>
      </c>
      <c r="C25638" s="30" t="s">
        <v>1202</v>
      </c>
      <c r="D25638" s="30" t="s">
        <v>17</v>
      </c>
      <c r="E25638" s="30" t="s">
        <v>31</v>
      </c>
      <c r="F25638" s="30" t="s">
        <v>32</v>
      </c>
      <c r="G25638" s="30" t="s">
        <v>140</v>
      </c>
      <c r="H25638" s="32">
        <v>72</v>
      </c>
      <c r="I25638" s="30" t="s">
        <v>51</v>
      </c>
      <c r="J25638" s="41">
        <v>45838</v>
      </c>
      <c r="K25638" s="30" t="s">
        <v>22</v>
      </c>
    </row>
    <row r="25639" spans="1:11">
      <c r="A25639" s="33" t="s">
        <v>56417</v>
      </c>
      <c r="B25639" s="33" t="s">
        <v>56418</v>
      </c>
      <c r="C25639" s="33" t="s">
        <v>25186</v>
      </c>
      <c r="D25639" s="33" t="s">
        <v>17</v>
      </c>
      <c r="E25639" s="33" t="s">
        <v>26</v>
      </c>
      <c r="F25639" s="33" t="s">
        <v>27</v>
      </c>
      <c r="G25639" s="33" t="s">
        <v>140</v>
      </c>
      <c r="H25639" s="35">
        <v>72</v>
      </c>
      <c r="I25639" s="33" t="s">
        <v>51</v>
      </c>
      <c r="J25639" s="42">
        <v>45806</v>
      </c>
      <c r="K25639" s="33" t="s">
        <v>22</v>
      </c>
    </row>
    <row r="25640" spans="1:11">
      <c r="A25640" s="30" t="s">
        <v>56419</v>
      </c>
      <c r="B25640" s="30" t="s">
        <v>56420</v>
      </c>
      <c r="C25640" s="30" t="s">
        <v>48460</v>
      </c>
      <c r="D25640" s="30" t="s">
        <v>17</v>
      </c>
      <c r="E25640" s="30" t="s">
        <v>67</v>
      </c>
      <c r="F25640" s="30" t="s">
        <v>68</v>
      </c>
      <c r="G25640" s="30" t="s">
        <v>140</v>
      </c>
      <c r="H25640" s="32">
        <v>24</v>
      </c>
      <c r="I25640" s="30" t="s">
        <v>51</v>
      </c>
      <c r="J25640" s="41">
        <v>45838</v>
      </c>
      <c r="K25640" s="30" t="s">
        <v>22</v>
      </c>
    </row>
    <row r="25641" spans="1:11">
      <c r="A25641" s="33" t="s">
        <v>56421</v>
      </c>
      <c r="B25641" s="33" t="s">
        <v>56422</v>
      </c>
      <c r="C25641" s="33" t="s">
        <v>15097</v>
      </c>
      <c r="D25641" s="33" t="s">
        <v>17</v>
      </c>
      <c r="E25641" s="33" t="s">
        <v>330</v>
      </c>
      <c r="F25641" s="33" t="s">
        <v>331</v>
      </c>
      <c r="G25641" s="33" t="s">
        <v>140</v>
      </c>
      <c r="H25641" s="35">
        <v>10</v>
      </c>
      <c r="I25641" s="33" t="s">
        <v>51</v>
      </c>
      <c r="J25641" s="42">
        <v>45891</v>
      </c>
      <c r="K25641" s="33" t="s">
        <v>22</v>
      </c>
    </row>
    <row r="25642" spans="1:11">
      <c r="A25642" s="30" t="s">
        <v>56423</v>
      </c>
      <c r="B25642" s="30" t="s">
        <v>56424</v>
      </c>
      <c r="C25642" s="30" t="s">
        <v>28274</v>
      </c>
      <c r="D25642" s="30" t="s">
        <v>17</v>
      </c>
      <c r="E25642" s="30" t="s">
        <v>45</v>
      </c>
      <c r="F25642" s="30" t="s">
        <v>46</v>
      </c>
      <c r="G25642" s="30" t="s">
        <v>140</v>
      </c>
      <c r="H25642" s="32">
        <v>200</v>
      </c>
      <c r="I25642" s="30" t="s">
        <v>51</v>
      </c>
      <c r="J25642" s="41">
        <v>45762</v>
      </c>
      <c r="K25642" s="30" t="s">
        <v>22</v>
      </c>
    </row>
    <row r="25643" spans="1:11">
      <c r="A25643" s="33" t="s">
        <v>56425</v>
      </c>
      <c r="B25643" s="33" t="s">
        <v>56426</v>
      </c>
      <c r="C25643" s="33" t="s">
        <v>14483</v>
      </c>
      <c r="D25643" s="33" t="s">
        <v>17</v>
      </c>
      <c r="E25643" s="33" t="s">
        <v>18</v>
      </c>
      <c r="F25643" s="33" t="s">
        <v>19</v>
      </c>
      <c r="G25643" s="33" t="s">
        <v>7780</v>
      </c>
      <c r="H25643" s="35">
        <v>174</v>
      </c>
      <c r="I25643" s="33" t="s">
        <v>51</v>
      </c>
      <c r="J25643" s="42">
        <v>45809</v>
      </c>
      <c r="K25643" s="33" t="s">
        <v>22</v>
      </c>
    </row>
    <row r="25644" spans="1:11">
      <c r="A25644" s="30" t="s">
        <v>56427</v>
      </c>
      <c r="B25644" s="30" t="s">
        <v>56428</v>
      </c>
      <c r="C25644" s="30" t="s">
        <v>3757</v>
      </c>
      <c r="D25644" s="30" t="s">
        <v>17</v>
      </c>
      <c r="E25644" s="30" t="s">
        <v>67</v>
      </c>
      <c r="F25644" s="30" t="s">
        <v>68</v>
      </c>
      <c r="G25644" s="30" t="s">
        <v>140</v>
      </c>
      <c r="H25644" s="32">
        <v>54</v>
      </c>
      <c r="I25644" s="30" t="s">
        <v>51</v>
      </c>
      <c r="J25644" s="41">
        <v>46022</v>
      </c>
      <c r="K25644" s="30" t="s">
        <v>22</v>
      </c>
    </row>
    <row r="25645" spans="1:11">
      <c r="A25645" s="33" t="s">
        <v>56429</v>
      </c>
      <c r="B25645" s="33" t="s">
        <v>56430</v>
      </c>
      <c r="C25645" s="33" t="s">
        <v>718</v>
      </c>
      <c r="D25645" s="33" t="s">
        <v>17</v>
      </c>
      <c r="E25645" s="33" t="s">
        <v>18</v>
      </c>
      <c r="F25645" s="33" t="s">
        <v>19</v>
      </c>
      <c r="G25645" s="33" t="s">
        <v>7780</v>
      </c>
      <c r="H25645" s="35">
        <v>496</v>
      </c>
      <c r="I25645" s="33" t="s">
        <v>51</v>
      </c>
      <c r="J25645" s="42">
        <v>45870</v>
      </c>
      <c r="K25645" s="33" t="s">
        <v>22</v>
      </c>
    </row>
    <row r="25646" spans="1:11">
      <c r="A25646" s="30" t="s">
        <v>56431</v>
      </c>
      <c r="B25646" s="30" t="s">
        <v>56432</v>
      </c>
      <c r="C25646" s="30" t="s">
        <v>31562</v>
      </c>
      <c r="D25646" s="30" t="s">
        <v>17</v>
      </c>
      <c r="E25646" s="30" t="s">
        <v>26</v>
      </c>
      <c r="F25646" s="30" t="s">
        <v>27</v>
      </c>
      <c r="G25646" s="30" t="s">
        <v>140</v>
      </c>
      <c r="H25646" s="32">
        <v>63</v>
      </c>
      <c r="I25646" s="30" t="s">
        <v>51</v>
      </c>
      <c r="J25646" s="41">
        <v>45888</v>
      </c>
      <c r="K25646" s="30" t="s">
        <v>22</v>
      </c>
    </row>
    <row r="25647" spans="1:11">
      <c r="A25647" s="33" t="s">
        <v>56433</v>
      </c>
      <c r="B25647" s="33" t="s">
        <v>56434</v>
      </c>
      <c r="C25647" s="33" t="s">
        <v>56435</v>
      </c>
      <c r="D25647" s="33" t="s">
        <v>17</v>
      </c>
      <c r="E25647" s="33" t="s">
        <v>26</v>
      </c>
      <c r="F25647" s="33" t="s">
        <v>27</v>
      </c>
      <c r="G25647" s="33" t="s">
        <v>7780</v>
      </c>
      <c r="H25647" s="35">
        <v>39</v>
      </c>
      <c r="I25647" s="33" t="s">
        <v>51</v>
      </c>
      <c r="J25647" s="42">
        <v>45884</v>
      </c>
      <c r="K25647" s="33" t="s">
        <v>22</v>
      </c>
    </row>
    <row r="25648" spans="1:11">
      <c r="A25648" s="30" t="s">
        <v>56436</v>
      </c>
      <c r="B25648" s="30" t="s">
        <v>56437</v>
      </c>
      <c r="C25648" s="30" t="s">
        <v>157</v>
      </c>
      <c r="D25648" s="30" t="s">
        <v>17</v>
      </c>
      <c r="E25648" s="30" t="s">
        <v>18</v>
      </c>
      <c r="F25648" s="30" t="s">
        <v>19</v>
      </c>
      <c r="G25648" s="30" t="s">
        <v>140</v>
      </c>
      <c r="H25648" s="32">
        <v>1088</v>
      </c>
      <c r="I25648" s="30" t="s">
        <v>51</v>
      </c>
      <c r="J25648" s="41">
        <v>45719</v>
      </c>
      <c r="K25648" s="30" t="s">
        <v>22</v>
      </c>
    </row>
    <row r="25649" spans="1:11">
      <c r="A25649" s="33" t="s">
        <v>56438</v>
      </c>
      <c r="B25649" s="33" t="s">
        <v>56439</v>
      </c>
      <c r="C25649" s="33" t="s">
        <v>39363</v>
      </c>
      <c r="D25649" s="33" t="s">
        <v>17</v>
      </c>
      <c r="E25649" s="33" t="s">
        <v>18</v>
      </c>
      <c r="F25649" s="33" t="s">
        <v>19</v>
      </c>
      <c r="G25649" s="33" t="s">
        <v>7780</v>
      </c>
      <c r="H25649" s="35">
        <v>228</v>
      </c>
      <c r="I25649" s="33" t="s">
        <v>51</v>
      </c>
      <c r="J25649" s="42">
        <v>45962</v>
      </c>
      <c r="K25649" s="33" t="s">
        <v>22</v>
      </c>
    </row>
    <row r="25650" spans="1:11">
      <c r="A25650" s="30" t="s">
        <v>56440</v>
      </c>
      <c r="B25650" s="30" t="s">
        <v>56441</v>
      </c>
      <c r="C25650" s="30" t="s">
        <v>75</v>
      </c>
      <c r="D25650" s="30" t="s">
        <v>17</v>
      </c>
      <c r="E25650" s="30" t="s">
        <v>18</v>
      </c>
      <c r="F25650" s="30" t="s">
        <v>19</v>
      </c>
      <c r="G25650" s="30" t="s">
        <v>140</v>
      </c>
      <c r="H25650" s="32">
        <v>194</v>
      </c>
      <c r="I25650" s="30" t="s">
        <v>51</v>
      </c>
      <c r="J25650" s="41">
        <v>45755</v>
      </c>
      <c r="K25650" s="30" t="s">
        <v>22</v>
      </c>
    </row>
    <row r="25651" spans="1:11">
      <c r="A25651" s="33" t="s">
        <v>56442</v>
      </c>
      <c r="B25651" s="33" t="s">
        <v>56443</v>
      </c>
      <c r="C25651" s="33" t="s">
        <v>1498</v>
      </c>
      <c r="D25651" s="33" t="s">
        <v>17</v>
      </c>
      <c r="E25651" s="33" t="s">
        <v>26</v>
      </c>
      <c r="F25651" s="33" t="s">
        <v>27</v>
      </c>
      <c r="G25651" s="33" t="s">
        <v>20</v>
      </c>
      <c r="H25651" s="35">
        <v>49</v>
      </c>
      <c r="I25651" s="33" t="s">
        <v>21</v>
      </c>
      <c r="J25651" s="42">
        <v>45887</v>
      </c>
      <c r="K25651" s="33" t="s">
        <v>22</v>
      </c>
    </row>
    <row r="25652" spans="1:11">
      <c r="A25652" s="30" t="s">
        <v>56444</v>
      </c>
      <c r="B25652" s="30" t="s">
        <v>56445</v>
      </c>
      <c r="C25652" s="30" t="s">
        <v>56446</v>
      </c>
      <c r="D25652" s="30" t="s">
        <v>17</v>
      </c>
      <c r="E25652" s="30" t="s">
        <v>26</v>
      </c>
      <c r="F25652" s="30" t="s">
        <v>27</v>
      </c>
      <c r="G25652" s="30" t="s">
        <v>20</v>
      </c>
      <c r="H25652" s="32">
        <v>14</v>
      </c>
      <c r="I25652" s="30" t="s">
        <v>21</v>
      </c>
      <c r="J25652" s="41">
        <v>45922</v>
      </c>
      <c r="K25652" s="30" t="s">
        <v>22</v>
      </c>
    </row>
    <row r="25653" spans="1:11">
      <c r="A25653" s="33" t="s">
        <v>56447</v>
      </c>
      <c r="B25653" s="33" t="s">
        <v>56448</v>
      </c>
      <c r="C25653" s="33" t="s">
        <v>11899</v>
      </c>
      <c r="D25653" s="33" t="s">
        <v>17</v>
      </c>
      <c r="E25653" s="33" t="s">
        <v>26</v>
      </c>
      <c r="F25653" s="33" t="s">
        <v>27</v>
      </c>
      <c r="G25653" s="33" t="s">
        <v>140</v>
      </c>
      <c r="H25653" s="35">
        <v>107</v>
      </c>
      <c r="I25653" s="33" t="s">
        <v>51</v>
      </c>
      <c r="J25653" s="42">
        <v>46014</v>
      </c>
      <c r="K25653" s="33" t="s">
        <v>22</v>
      </c>
    </row>
    <row r="25654" spans="1:11">
      <c r="A25654" s="30" t="s">
        <v>56449</v>
      </c>
      <c r="B25654" s="30" t="s">
        <v>56450</v>
      </c>
      <c r="C25654" s="30" t="s">
        <v>190</v>
      </c>
      <c r="D25654" s="30" t="s">
        <v>17</v>
      </c>
      <c r="E25654" s="30" t="s">
        <v>18</v>
      </c>
      <c r="F25654" s="30" t="s">
        <v>19</v>
      </c>
      <c r="G25654" s="30" t="s">
        <v>158</v>
      </c>
      <c r="H25654" s="32">
        <v>101</v>
      </c>
      <c r="I25654" s="30" t="s">
        <v>21</v>
      </c>
      <c r="J25654" s="41">
        <v>45664</v>
      </c>
      <c r="K25654" s="30" t="s">
        <v>22</v>
      </c>
    </row>
    <row r="25655" spans="1:11">
      <c r="A25655" s="33" t="s">
        <v>56451</v>
      </c>
      <c r="B25655" s="33" t="s">
        <v>56452</v>
      </c>
      <c r="C25655" s="33" t="s">
        <v>178</v>
      </c>
      <c r="D25655" s="33" t="s">
        <v>17</v>
      </c>
      <c r="E25655" s="33" t="s">
        <v>26</v>
      </c>
      <c r="F25655" s="33" t="s">
        <v>27</v>
      </c>
      <c r="G25655" s="33" t="s">
        <v>140</v>
      </c>
      <c r="H25655" s="35">
        <v>40</v>
      </c>
      <c r="I25655" s="33" t="s">
        <v>51</v>
      </c>
      <c r="J25655" s="42">
        <v>45980</v>
      </c>
      <c r="K25655" s="33" t="s">
        <v>22</v>
      </c>
    </row>
    <row r="25656" spans="1:11">
      <c r="A25656" s="30" t="s">
        <v>56453</v>
      </c>
      <c r="B25656" s="30" t="s">
        <v>56454</v>
      </c>
      <c r="C25656" s="30" t="s">
        <v>78</v>
      </c>
      <c r="D25656" s="30" t="s">
        <v>17</v>
      </c>
      <c r="E25656" s="30" t="s">
        <v>212</v>
      </c>
      <c r="F25656" s="30" t="s">
        <v>213</v>
      </c>
      <c r="G25656" s="30" t="s">
        <v>7780</v>
      </c>
      <c r="H25656" s="32">
        <v>140</v>
      </c>
      <c r="I25656" s="30" t="s">
        <v>51</v>
      </c>
      <c r="J25656" s="41">
        <v>45883</v>
      </c>
      <c r="K25656" s="30" t="s">
        <v>22</v>
      </c>
    </row>
    <row r="25657" spans="1:11">
      <c r="A25657" s="33" t="s">
        <v>56455</v>
      </c>
      <c r="B25657" s="33" t="s">
        <v>56456</v>
      </c>
      <c r="C25657" s="33" t="s">
        <v>6703</v>
      </c>
      <c r="D25657" s="33" t="s">
        <v>17</v>
      </c>
      <c r="E25657" s="33" t="s">
        <v>18</v>
      </c>
      <c r="F25657" s="33" t="s">
        <v>19</v>
      </c>
      <c r="G25657" s="33" t="s">
        <v>7780</v>
      </c>
      <c r="H25657" s="35">
        <v>516</v>
      </c>
      <c r="I25657" s="33" t="s">
        <v>51</v>
      </c>
      <c r="J25657" s="42">
        <v>45672</v>
      </c>
      <c r="K25657" s="33" t="s">
        <v>22</v>
      </c>
    </row>
    <row r="25658" spans="1:11">
      <c r="A25658" s="30" t="s">
        <v>56457</v>
      </c>
      <c r="B25658" s="30" t="s">
        <v>56458</v>
      </c>
      <c r="C25658" s="30" t="s">
        <v>190</v>
      </c>
      <c r="D25658" s="30" t="s">
        <v>17</v>
      </c>
      <c r="E25658" s="30" t="s">
        <v>26</v>
      </c>
      <c r="F25658" s="30" t="s">
        <v>27</v>
      </c>
      <c r="G25658" s="30" t="s">
        <v>140</v>
      </c>
      <c r="H25658" s="32">
        <v>136</v>
      </c>
      <c r="I25658" s="30" t="s">
        <v>51</v>
      </c>
      <c r="J25658" s="41">
        <v>45726</v>
      </c>
      <c r="K25658" s="30" t="s">
        <v>22</v>
      </c>
    </row>
    <row r="25659" spans="1:11">
      <c r="A25659" s="33" t="s">
        <v>56459</v>
      </c>
      <c r="B25659" s="33" t="s">
        <v>56460</v>
      </c>
      <c r="C25659" s="33" t="s">
        <v>231</v>
      </c>
      <c r="D25659" s="33" t="s">
        <v>17</v>
      </c>
      <c r="E25659" s="33" t="s">
        <v>26</v>
      </c>
      <c r="F25659" s="33" t="s">
        <v>27</v>
      </c>
      <c r="G25659" s="33" t="s">
        <v>20</v>
      </c>
      <c r="H25659" s="35">
        <v>43</v>
      </c>
      <c r="I25659" s="33" t="s">
        <v>21</v>
      </c>
      <c r="J25659" s="42">
        <v>45875</v>
      </c>
      <c r="K25659" s="33" t="s">
        <v>22</v>
      </c>
    </row>
    <row r="25660" spans="1:11">
      <c r="A25660" s="30" t="s">
        <v>56461</v>
      </c>
      <c r="B25660" s="30" t="s">
        <v>56462</v>
      </c>
      <c r="C25660" s="30" t="s">
        <v>32910</v>
      </c>
      <c r="D25660" s="30" t="s">
        <v>17</v>
      </c>
      <c r="E25660" s="30" t="s">
        <v>31</v>
      </c>
      <c r="F25660" s="30" t="s">
        <v>32</v>
      </c>
      <c r="G25660" s="30" t="s">
        <v>7780</v>
      </c>
      <c r="H25660" s="32">
        <v>40</v>
      </c>
      <c r="I25660" s="30" t="s">
        <v>51</v>
      </c>
      <c r="J25660" s="41">
        <v>45778</v>
      </c>
      <c r="K25660" s="30" t="s">
        <v>22</v>
      </c>
    </row>
    <row r="25661" spans="1:11">
      <c r="A25661" s="33" t="s">
        <v>56463</v>
      </c>
      <c r="B25661" s="33" t="s">
        <v>56464</v>
      </c>
      <c r="C25661" s="33" t="s">
        <v>13520</v>
      </c>
      <c r="D25661" s="33" t="s">
        <v>17</v>
      </c>
      <c r="E25661" s="33" t="s">
        <v>18</v>
      </c>
      <c r="F25661" s="33" t="s">
        <v>19</v>
      </c>
      <c r="G25661" s="33" t="s">
        <v>140</v>
      </c>
      <c r="H25661" s="35">
        <v>32</v>
      </c>
      <c r="I25661" s="33" t="s">
        <v>51</v>
      </c>
      <c r="J25661" s="42">
        <v>45946</v>
      </c>
      <c r="K25661" s="33" t="s">
        <v>22</v>
      </c>
    </row>
    <row r="25662" spans="1:11">
      <c r="A25662" s="30" t="s">
        <v>56465</v>
      </c>
      <c r="B25662" s="30" t="s">
        <v>56466</v>
      </c>
      <c r="C25662" s="30" t="s">
        <v>231</v>
      </c>
      <c r="D25662" s="30" t="s">
        <v>17</v>
      </c>
      <c r="E25662" s="30" t="s">
        <v>26</v>
      </c>
      <c r="F25662" s="30" t="s">
        <v>27</v>
      </c>
      <c r="G25662" s="30" t="s">
        <v>20</v>
      </c>
      <c r="H25662" s="32">
        <v>12</v>
      </c>
      <c r="I25662" s="30" t="s">
        <v>21</v>
      </c>
      <c r="J25662" s="41">
        <v>45735</v>
      </c>
      <c r="K25662" s="30" t="s">
        <v>22</v>
      </c>
    </row>
    <row r="25663" spans="1:11">
      <c r="A25663" s="33" t="s">
        <v>56467</v>
      </c>
      <c r="B25663" s="33" t="s">
        <v>56468</v>
      </c>
      <c r="C25663" s="33" t="s">
        <v>56469</v>
      </c>
      <c r="D25663" s="33" t="s">
        <v>17</v>
      </c>
      <c r="E25663" s="33" t="s">
        <v>26</v>
      </c>
      <c r="F25663" s="33" t="s">
        <v>27</v>
      </c>
      <c r="G25663" s="33" t="s">
        <v>20</v>
      </c>
      <c r="H25663" s="35">
        <v>12</v>
      </c>
      <c r="I25663" s="33" t="s">
        <v>21</v>
      </c>
      <c r="J25663" s="42">
        <v>45727</v>
      </c>
      <c r="K25663" s="33" t="s">
        <v>22</v>
      </c>
    </row>
    <row r="25664" spans="1:11">
      <c r="A25664" s="30" t="s">
        <v>56470</v>
      </c>
      <c r="B25664" s="30" t="s">
        <v>56471</v>
      </c>
      <c r="C25664" s="30" t="s">
        <v>379</v>
      </c>
      <c r="D25664" s="30" t="s">
        <v>17</v>
      </c>
      <c r="E25664" s="30" t="s">
        <v>31</v>
      </c>
      <c r="F25664" s="30" t="s">
        <v>32</v>
      </c>
      <c r="G25664" s="30" t="s">
        <v>140</v>
      </c>
      <c r="H25664" s="32">
        <v>50</v>
      </c>
      <c r="I25664" s="30" t="s">
        <v>51</v>
      </c>
      <c r="J25664" s="41">
        <v>45763</v>
      </c>
      <c r="K25664" s="30" t="s">
        <v>22</v>
      </c>
    </row>
    <row r="25665" spans="1:11">
      <c r="A25665" s="33" t="s">
        <v>56472</v>
      </c>
      <c r="B25665" s="33" t="s">
        <v>56473</v>
      </c>
      <c r="C25665" s="33" t="s">
        <v>42278</v>
      </c>
      <c r="D25665" s="33" t="s">
        <v>17</v>
      </c>
      <c r="E25665" s="33" t="s">
        <v>26</v>
      </c>
      <c r="F25665" s="33" t="s">
        <v>27</v>
      </c>
      <c r="G25665" s="33" t="s">
        <v>140</v>
      </c>
      <c r="H25665" s="35">
        <v>180</v>
      </c>
      <c r="I25665" s="33" t="s">
        <v>51</v>
      </c>
      <c r="J25665" s="42">
        <v>45831</v>
      </c>
      <c r="K25665" s="33" t="s">
        <v>22</v>
      </c>
    </row>
    <row r="25666" spans="1:11">
      <c r="A25666" s="30" t="s">
        <v>56474</v>
      </c>
      <c r="B25666" s="30" t="s">
        <v>56475</v>
      </c>
      <c r="C25666" s="30" t="s">
        <v>23475</v>
      </c>
      <c r="D25666" s="30" t="s">
        <v>17</v>
      </c>
      <c r="E25666" s="30" t="s">
        <v>18</v>
      </c>
      <c r="F25666" s="30" t="s">
        <v>19</v>
      </c>
      <c r="G25666" s="30" t="s">
        <v>140</v>
      </c>
      <c r="H25666" s="32">
        <v>312</v>
      </c>
      <c r="I25666" s="30" t="s">
        <v>51</v>
      </c>
      <c r="J25666" s="41">
        <v>45973</v>
      </c>
      <c r="K25666" s="30" t="s">
        <v>22</v>
      </c>
    </row>
    <row r="25667" spans="1:11">
      <c r="A25667" s="33" t="s">
        <v>56476</v>
      </c>
      <c r="B25667" s="33" t="s">
        <v>56477</v>
      </c>
      <c r="C25667" s="33" t="s">
        <v>56478</v>
      </c>
      <c r="D25667" s="33" t="s">
        <v>17</v>
      </c>
      <c r="E25667" s="33" t="s">
        <v>26</v>
      </c>
      <c r="F25667" s="33" t="s">
        <v>27</v>
      </c>
      <c r="G25667" s="33" t="s">
        <v>140</v>
      </c>
      <c r="H25667" s="35">
        <v>24</v>
      </c>
      <c r="I25667" s="33" t="s">
        <v>51</v>
      </c>
      <c r="J25667" s="42">
        <v>45994</v>
      </c>
      <c r="K25667" s="33" t="s">
        <v>22</v>
      </c>
    </row>
    <row r="25668" spans="1:11">
      <c r="A25668" s="30" t="s">
        <v>56479</v>
      </c>
      <c r="B25668" s="30" t="s">
        <v>56480</v>
      </c>
      <c r="C25668" s="30" t="s">
        <v>102</v>
      </c>
      <c r="D25668" s="30" t="s">
        <v>17</v>
      </c>
      <c r="E25668" s="30" t="s">
        <v>26</v>
      </c>
      <c r="F25668" s="30" t="s">
        <v>27</v>
      </c>
      <c r="G25668" s="30" t="s">
        <v>140</v>
      </c>
      <c r="H25668" s="32">
        <v>140</v>
      </c>
      <c r="I25668" s="30" t="s">
        <v>51</v>
      </c>
      <c r="J25668" s="41">
        <v>45845</v>
      </c>
      <c r="K25668" s="30" t="s">
        <v>22</v>
      </c>
    </row>
    <row r="25669" spans="1:11">
      <c r="A25669" s="33" t="s">
        <v>56481</v>
      </c>
      <c r="B25669" s="33" t="s">
        <v>56482</v>
      </c>
      <c r="C25669" s="33" t="s">
        <v>5530</v>
      </c>
      <c r="D25669" s="33" t="s">
        <v>17</v>
      </c>
      <c r="E25669" s="33" t="s">
        <v>26</v>
      </c>
      <c r="F25669" s="33" t="s">
        <v>27</v>
      </c>
      <c r="G25669" s="33" t="s">
        <v>20</v>
      </c>
      <c r="H25669" s="35">
        <v>56</v>
      </c>
      <c r="I25669" s="33" t="s">
        <v>21</v>
      </c>
      <c r="J25669" s="42">
        <v>45908</v>
      </c>
      <c r="K25669" s="33" t="s">
        <v>22</v>
      </c>
    </row>
    <row r="25670" spans="1:11">
      <c r="A25670" s="30" t="s">
        <v>56483</v>
      </c>
      <c r="B25670" s="30" t="s">
        <v>56484</v>
      </c>
      <c r="C25670" s="30" t="s">
        <v>56485</v>
      </c>
      <c r="D25670" s="30" t="s">
        <v>17</v>
      </c>
      <c r="E25670" s="30" t="s">
        <v>31</v>
      </c>
      <c r="F25670" s="30" t="s">
        <v>32</v>
      </c>
      <c r="G25670" s="30" t="s">
        <v>158</v>
      </c>
      <c r="H25670" s="32">
        <v>66</v>
      </c>
      <c r="I25670" s="30" t="s">
        <v>51</v>
      </c>
      <c r="J25670" s="41">
        <v>45811</v>
      </c>
      <c r="K25670" s="30" t="s">
        <v>22</v>
      </c>
    </row>
    <row r="25671" spans="1:11">
      <c r="A25671" s="33" t="s">
        <v>56486</v>
      </c>
      <c r="B25671" s="33" t="s">
        <v>56487</v>
      </c>
      <c r="C25671" s="33" t="s">
        <v>891</v>
      </c>
      <c r="D25671" s="33" t="s">
        <v>17</v>
      </c>
      <c r="E25671" s="33" t="s">
        <v>26</v>
      </c>
      <c r="F25671" s="33" t="s">
        <v>27</v>
      </c>
      <c r="G25671" s="33" t="s">
        <v>140</v>
      </c>
      <c r="H25671" s="35">
        <v>56</v>
      </c>
      <c r="I25671" s="33" t="s">
        <v>51</v>
      </c>
      <c r="J25671" s="42">
        <v>45961</v>
      </c>
      <c r="K25671" s="33" t="s">
        <v>22</v>
      </c>
    </row>
    <row r="25672" spans="1:11">
      <c r="A25672" s="30" t="s">
        <v>56488</v>
      </c>
      <c r="B25672" s="30" t="s">
        <v>56489</v>
      </c>
      <c r="C25672" s="30" t="s">
        <v>56490</v>
      </c>
      <c r="D25672" s="30" t="s">
        <v>17</v>
      </c>
      <c r="E25672" s="30" t="s">
        <v>31</v>
      </c>
      <c r="F25672" s="30" t="s">
        <v>32</v>
      </c>
      <c r="G25672" s="30" t="s">
        <v>140</v>
      </c>
      <c r="H25672" s="32">
        <v>98</v>
      </c>
      <c r="I25672" s="30" t="s">
        <v>51</v>
      </c>
      <c r="J25672" s="41">
        <v>46005</v>
      </c>
      <c r="K25672" s="30" t="s">
        <v>22</v>
      </c>
    </row>
    <row r="25673" spans="1:11">
      <c r="A25673" s="33" t="s">
        <v>56491</v>
      </c>
      <c r="B25673" s="33" t="s">
        <v>56492</v>
      </c>
      <c r="C25673" s="33" t="s">
        <v>26489</v>
      </c>
      <c r="D25673" s="33" t="s">
        <v>17</v>
      </c>
      <c r="E25673" s="33" t="s">
        <v>31</v>
      </c>
      <c r="F25673" s="33" t="s">
        <v>32</v>
      </c>
      <c r="G25673" s="33" t="s">
        <v>140</v>
      </c>
      <c r="H25673" s="35">
        <v>80</v>
      </c>
      <c r="I25673" s="33" t="s">
        <v>51</v>
      </c>
      <c r="J25673" s="42">
        <v>46000</v>
      </c>
      <c r="K25673" s="33" t="s">
        <v>22</v>
      </c>
    </row>
    <row r="25674" spans="1:11">
      <c r="A25674" s="30" t="s">
        <v>56493</v>
      </c>
      <c r="B25674" s="30" t="s">
        <v>56494</v>
      </c>
      <c r="C25674" s="30" t="s">
        <v>36724</v>
      </c>
      <c r="D25674" s="30" t="s">
        <v>17</v>
      </c>
      <c r="E25674" s="30" t="s">
        <v>26</v>
      </c>
      <c r="F25674" s="30" t="s">
        <v>27</v>
      </c>
      <c r="G25674" s="30" t="s">
        <v>2613</v>
      </c>
      <c r="H25674" s="32">
        <v>78</v>
      </c>
      <c r="I25674" s="30" t="s">
        <v>51</v>
      </c>
      <c r="J25674" s="41">
        <v>45714</v>
      </c>
      <c r="K25674" s="30" t="s">
        <v>22</v>
      </c>
    </row>
    <row r="25675" spans="1:11">
      <c r="A25675" s="33" t="s">
        <v>56495</v>
      </c>
      <c r="B25675" s="33" t="s">
        <v>56496</v>
      </c>
      <c r="C25675" s="33" t="s">
        <v>7900</v>
      </c>
      <c r="D25675" s="33" t="s">
        <v>17</v>
      </c>
      <c r="E25675" s="33" t="s">
        <v>26</v>
      </c>
      <c r="F25675" s="33" t="s">
        <v>27</v>
      </c>
      <c r="G25675" s="33" t="s">
        <v>140</v>
      </c>
      <c r="H25675" s="35">
        <v>72</v>
      </c>
      <c r="I25675" s="33" t="s">
        <v>51</v>
      </c>
      <c r="J25675" s="42">
        <v>45663</v>
      </c>
      <c r="K25675" s="33" t="s">
        <v>22</v>
      </c>
    </row>
    <row r="25676" spans="1:11">
      <c r="A25676" s="30" t="s">
        <v>56497</v>
      </c>
      <c r="B25676" s="30" t="s">
        <v>56498</v>
      </c>
      <c r="C25676" s="30" t="s">
        <v>11772</v>
      </c>
      <c r="D25676" s="30" t="s">
        <v>17</v>
      </c>
      <c r="E25676" s="30" t="s">
        <v>26</v>
      </c>
      <c r="F25676" s="30" t="s">
        <v>27</v>
      </c>
      <c r="G25676" s="30" t="s">
        <v>20</v>
      </c>
      <c r="H25676" s="32">
        <v>40</v>
      </c>
      <c r="I25676" s="30" t="s">
        <v>21</v>
      </c>
      <c r="J25676" s="41">
        <v>45708</v>
      </c>
      <c r="K25676" s="30" t="s">
        <v>22</v>
      </c>
    </row>
    <row r="25677" spans="1:11">
      <c r="A25677" s="33" t="s">
        <v>56499</v>
      </c>
      <c r="B25677" s="33" t="s">
        <v>56500</v>
      </c>
      <c r="C25677" s="33" t="s">
        <v>109</v>
      </c>
      <c r="D25677" s="33" t="s">
        <v>17</v>
      </c>
      <c r="E25677" s="33" t="s">
        <v>26</v>
      </c>
      <c r="F25677" s="33" t="s">
        <v>27</v>
      </c>
      <c r="G25677" s="33" t="s">
        <v>112</v>
      </c>
      <c r="H25677" s="35">
        <v>0</v>
      </c>
      <c r="I25677" s="33" t="s">
        <v>21</v>
      </c>
      <c r="J25677" s="42">
        <v>45735</v>
      </c>
      <c r="K25677" s="33" t="s">
        <v>22</v>
      </c>
    </row>
    <row r="25678" spans="1:11">
      <c r="A25678" s="30" t="s">
        <v>56501</v>
      </c>
      <c r="B25678" s="30" t="s">
        <v>56502</v>
      </c>
      <c r="C25678" s="30" t="s">
        <v>109</v>
      </c>
      <c r="D25678" s="30" t="s">
        <v>17</v>
      </c>
      <c r="E25678" s="30" t="s">
        <v>67</v>
      </c>
      <c r="F25678" s="30" t="s">
        <v>68</v>
      </c>
      <c r="G25678" s="30" t="s">
        <v>140</v>
      </c>
      <c r="H25678" s="32">
        <v>205</v>
      </c>
      <c r="I25678" s="30" t="s">
        <v>51</v>
      </c>
      <c r="J25678" s="41">
        <v>46020</v>
      </c>
      <c r="K25678" s="30" t="s">
        <v>22</v>
      </c>
    </row>
    <row r="25679" spans="1:11">
      <c r="A25679" s="33" t="s">
        <v>56503</v>
      </c>
      <c r="B25679" s="33" t="s">
        <v>56504</v>
      </c>
      <c r="C25679" s="33" t="s">
        <v>96</v>
      </c>
      <c r="D25679" s="33" t="s">
        <v>17</v>
      </c>
      <c r="E25679" s="33" t="s">
        <v>18</v>
      </c>
      <c r="F25679" s="33" t="s">
        <v>19</v>
      </c>
      <c r="G25679" s="33" t="s">
        <v>140</v>
      </c>
      <c r="H25679" s="35">
        <v>211</v>
      </c>
      <c r="I25679" s="33" t="s">
        <v>51</v>
      </c>
      <c r="J25679" s="42">
        <v>45679</v>
      </c>
      <c r="K25679" s="33" t="s">
        <v>22</v>
      </c>
    </row>
    <row r="25680" spans="1:11">
      <c r="A25680" s="30" t="s">
        <v>56505</v>
      </c>
      <c r="B25680" s="30" t="s">
        <v>56506</v>
      </c>
      <c r="C25680" s="30" t="s">
        <v>109</v>
      </c>
      <c r="D25680" s="30" t="s">
        <v>17</v>
      </c>
      <c r="E25680" s="30" t="s">
        <v>212</v>
      </c>
      <c r="F25680" s="30" t="s">
        <v>213</v>
      </c>
      <c r="G25680" s="30" t="s">
        <v>140</v>
      </c>
      <c r="H25680" s="32">
        <v>326</v>
      </c>
      <c r="I25680" s="30" t="s">
        <v>51</v>
      </c>
      <c r="J25680" s="41">
        <v>45987</v>
      </c>
      <c r="K25680" s="30" t="s">
        <v>22</v>
      </c>
    </row>
    <row r="25681" spans="1:11">
      <c r="A25681" s="33" t="s">
        <v>56507</v>
      </c>
      <c r="B25681" s="33" t="s">
        <v>56508</v>
      </c>
      <c r="C25681" s="33" t="s">
        <v>41338</v>
      </c>
      <c r="D25681" s="33" t="s">
        <v>17</v>
      </c>
      <c r="E25681" s="33" t="s">
        <v>26</v>
      </c>
      <c r="F25681" s="33" t="s">
        <v>27</v>
      </c>
      <c r="G25681" s="33" t="s">
        <v>69</v>
      </c>
      <c r="H25681" s="35">
        <v>16</v>
      </c>
      <c r="I25681" s="33" t="s">
        <v>21</v>
      </c>
      <c r="J25681" s="42">
        <v>45813</v>
      </c>
      <c r="K25681" s="33" t="s">
        <v>22</v>
      </c>
    </row>
    <row r="25682" spans="1:11">
      <c r="A25682" s="30" t="s">
        <v>56509</v>
      </c>
      <c r="B25682" s="30" t="s">
        <v>56510</v>
      </c>
      <c r="C25682" s="30" t="s">
        <v>56511</v>
      </c>
      <c r="D25682" s="30" t="s">
        <v>17</v>
      </c>
      <c r="E25682" s="30" t="s">
        <v>31</v>
      </c>
      <c r="F25682" s="30" t="s">
        <v>32</v>
      </c>
      <c r="G25682" s="30" t="s">
        <v>140</v>
      </c>
      <c r="H25682" s="32">
        <v>60</v>
      </c>
      <c r="I25682" s="30" t="s">
        <v>51</v>
      </c>
      <c r="J25682" s="41">
        <v>45728</v>
      </c>
      <c r="K25682" s="30" t="s">
        <v>22</v>
      </c>
    </row>
    <row r="25683" spans="1:11">
      <c r="A25683" s="33" t="s">
        <v>56512</v>
      </c>
      <c r="B25683" s="33" t="s">
        <v>56513</v>
      </c>
      <c r="C25683" s="33" t="s">
        <v>56514</v>
      </c>
      <c r="D25683" s="33" t="s">
        <v>17</v>
      </c>
      <c r="E25683" s="33" t="s">
        <v>31</v>
      </c>
      <c r="F25683" s="33" t="s">
        <v>32</v>
      </c>
      <c r="G25683" s="33" t="s">
        <v>140</v>
      </c>
      <c r="H25683" s="35">
        <v>15</v>
      </c>
      <c r="I25683" s="33" t="s">
        <v>51</v>
      </c>
      <c r="J25683" s="42">
        <v>45692</v>
      </c>
      <c r="K25683" s="33" t="s">
        <v>22</v>
      </c>
    </row>
    <row r="25684" spans="1:11">
      <c r="A25684" s="30" t="s">
        <v>56515</v>
      </c>
      <c r="B25684" s="30" t="s">
        <v>56516</v>
      </c>
      <c r="C25684" s="30" t="s">
        <v>34992</v>
      </c>
      <c r="D25684" s="30" t="s">
        <v>17</v>
      </c>
      <c r="E25684" s="30" t="s">
        <v>18</v>
      </c>
      <c r="F25684" s="30" t="s">
        <v>19</v>
      </c>
      <c r="G25684" s="30" t="s">
        <v>140</v>
      </c>
      <c r="H25684" s="32">
        <v>786</v>
      </c>
      <c r="I25684" s="30" t="s">
        <v>51</v>
      </c>
      <c r="J25684" s="41">
        <v>45994</v>
      </c>
      <c r="K25684" s="30" t="s">
        <v>22</v>
      </c>
    </row>
    <row r="25685" spans="1:11">
      <c r="A25685" s="33" t="s">
        <v>56517</v>
      </c>
      <c r="B25685" s="33" t="s">
        <v>56518</v>
      </c>
      <c r="C25685" s="33" t="s">
        <v>1003</v>
      </c>
      <c r="D25685" s="33" t="s">
        <v>17</v>
      </c>
      <c r="E25685" s="33" t="s">
        <v>67</v>
      </c>
      <c r="F25685" s="33" t="s">
        <v>68</v>
      </c>
      <c r="G25685" s="33" t="s">
        <v>140</v>
      </c>
      <c r="H25685" s="35">
        <v>60</v>
      </c>
      <c r="I25685" s="33" t="s">
        <v>51</v>
      </c>
      <c r="J25685" s="42">
        <v>45797</v>
      </c>
      <c r="K25685" s="33" t="s">
        <v>22</v>
      </c>
    </row>
    <row r="25686" spans="1:11">
      <c r="A25686" s="30" t="s">
        <v>56519</v>
      </c>
      <c r="B25686" s="30" t="s">
        <v>56520</v>
      </c>
      <c r="C25686" s="30" t="s">
        <v>149</v>
      </c>
      <c r="D25686" s="30" t="s">
        <v>17</v>
      </c>
      <c r="E25686" s="30" t="s">
        <v>26</v>
      </c>
      <c r="F25686" s="30" t="s">
        <v>27</v>
      </c>
      <c r="G25686" s="30" t="s">
        <v>140</v>
      </c>
      <c r="H25686" s="32">
        <v>120</v>
      </c>
      <c r="I25686" s="30" t="s">
        <v>51</v>
      </c>
      <c r="J25686" s="41">
        <v>45912</v>
      </c>
      <c r="K25686" s="30" t="s">
        <v>22</v>
      </c>
    </row>
    <row r="25687" spans="1:11">
      <c r="A25687" s="33" t="s">
        <v>56521</v>
      </c>
      <c r="B25687" s="33" t="s">
        <v>56522</v>
      </c>
      <c r="C25687" s="33" t="s">
        <v>488</v>
      </c>
      <c r="D25687" s="33" t="s">
        <v>17</v>
      </c>
      <c r="E25687" s="33" t="s">
        <v>18</v>
      </c>
      <c r="F25687" s="33" t="s">
        <v>19</v>
      </c>
      <c r="G25687" s="33" t="s">
        <v>140</v>
      </c>
      <c r="H25687" s="35">
        <v>16</v>
      </c>
      <c r="I25687" s="33" t="s">
        <v>51</v>
      </c>
      <c r="J25687" s="42">
        <v>45828</v>
      </c>
      <c r="K25687" s="33" t="s">
        <v>22</v>
      </c>
    </row>
    <row r="25688" spans="1:11">
      <c r="A25688" s="30" t="s">
        <v>56523</v>
      </c>
      <c r="B25688" s="30" t="s">
        <v>56524</v>
      </c>
      <c r="C25688" s="30" t="s">
        <v>56525</v>
      </c>
      <c r="D25688" s="30" t="s">
        <v>17</v>
      </c>
      <c r="E25688" s="30" t="s">
        <v>31</v>
      </c>
      <c r="F25688" s="30" t="s">
        <v>32</v>
      </c>
      <c r="G25688" s="30" t="s">
        <v>140</v>
      </c>
      <c r="H25688" s="32">
        <v>24</v>
      </c>
      <c r="I25688" s="30" t="s">
        <v>51</v>
      </c>
      <c r="J25688" s="41">
        <v>45870</v>
      </c>
      <c r="K25688" s="30" t="s">
        <v>22</v>
      </c>
    </row>
    <row r="25689" spans="1:11">
      <c r="A25689" s="33" t="s">
        <v>56526</v>
      </c>
      <c r="B25689" s="33" t="s">
        <v>56527</v>
      </c>
      <c r="C25689" s="33" t="s">
        <v>647</v>
      </c>
      <c r="D25689" s="33" t="s">
        <v>17</v>
      </c>
      <c r="E25689" s="33" t="s">
        <v>26</v>
      </c>
      <c r="F25689" s="33" t="s">
        <v>27</v>
      </c>
      <c r="G25689" s="33" t="s">
        <v>140</v>
      </c>
      <c r="H25689" s="35">
        <v>60</v>
      </c>
      <c r="I25689" s="33" t="s">
        <v>51</v>
      </c>
      <c r="J25689" s="42">
        <v>46020</v>
      </c>
      <c r="K25689" s="33" t="s">
        <v>22</v>
      </c>
    </row>
    <row r="25690" spans="1:11">
      <c r="A25690" s="30" t="s">
        <v>56528</v>
      </c>
      <c r="B25690" s="30" t="s">
        <v>56529</v>
      </c>
      <c r="C25690" s="30" t="s">
        <v>109</v>
      </c>
      <c r="D25690" s="30" t="s">
        <v>17</v>
      </c>
      <c r="E25690" s="30" t="s">
        <v>18</v>
      </c>
      <c r="F25690" s="30" t="s">
        <v>19</v>
      </c>
      <c r="G25690" s="30" t="s">
        <v>140</v>
      </c>
      <c r="H25690" s="32">
        <v>9</v>
      </c>
      <c r="I25690" s="30" t="s">
        <v>51</v>
      </c>
      <c r="J25690" s="41">
        <v>45716</v>
      </c>
      <c r="K25690" s="30" t="s">
        <v>22</v>
      </c>
    </row>
    <row r="25691" spans="1:11">
      <c r="A25691" s="33" t="s">
        <v>56530</v>
      </c>
      <c r="B25691" s="33" t="s">
        <v>56531</v>
      </c>
      <c r="C25691" s="33" t="s">
        <v>96</v>
      </c>
      <c r="D25691" s="33" t="s">
        <v>17</v>
      </c>
      <c r="E25691" s="33" t="s">
        <v>18</v>
      </c>
      <c r="F25691" s="33" t="s">
        <v>19</v>
      </c>
      <c r="G25691" s="33" t="s">
        <v>140</v>
      </c>
      <c r="H25691" s="35">
        <v>32000</v>
      </c>
      <c r="I25691" s="33" t="s">
        <v>51</v>
      </c>
      <c r="J25691" s="42">
        <v>46001</v>
      </c>
      <c r="K25691" s="33" t="s">
        <v>22</v>
      </c>
    </row>
    <row r="25692" spans="1:11">
      <c r="A25692" s="30" t="s">
        <v>56532</v>
      </c>
      <c r="B25692" s="30" t="s">
        <v>56533</v>
      </c>
      <c r="C25692" s="30" t="s">
        <v>1764</v>
      </c>
      <c r="D25692" s="30" t="s">
        <v>17</v>
      </c>
      <c r="E25692" s="30" t="s">
        <v>18</v>
      </c>
      <c r="F25692" s="30" t="s">
        <v>19</v>
      </c>
      <c r="G25692" s="30" t="s">
        <v>20</v>
      </c>
      <c r="H25692" s="32">
        <v>80</v>
      </c>
      <c r="I25692" s="30" t="s">
        <v>21</v>
      </c>
      <c r="J25692" s="41">
        <v>45992</v>
      </c>
      <c r="K25692" s="30" t="s">
        <v>22</v>
      </c>
    </row>
    <row r="25693" spans="1:11">
      <c r="A25693" s="33" t="s">
        <v>56534</v>
      </c>
      <c r="B25693" s="33" t="s">
        <v>56535</v>
      </c>
      <c r="C25693" s="33" t="s">
        <v>1857</v>
      </c>
      <c r="D25693" s="33" t="s">
        <v>17</v>
      </c>
      <c r="E25693" s="33" t="s">
        <v>330</v>
      </c>
      <c r="F25693" s="33" t="s">
        <v>331</v>
      </c>
      <c r="G25693" s="33" t="s">
        <v>7780</v>
      </c>
      <c r="H25693" s="35">
        <v>6</v>
      </c>
      <c r="I25693" s="33" t="s">
        <v>51</v>
      </c>
      <c r="J25693" s="42">
        <v>45747</v>
      </c>
      <c r="K25693" s="33" t="s">
        <v>22</v>
      </c>
    </row>
    <row r="25694" spans="1:11">
      <c r="A25694" s="30" t="s">
        <v>56536</v>
      </c>
      <c r="B25694" s="30" t="s">
        <v>56537</v>
      </c>
      <c r="C25694" s="30" t="s">
        <v>795</v>
      </c>
      <c r="D25694" s="30" t="s">
        <v>17</v>
      </c>
      <c r="E25694" s="30" t="s">
        <v>18</v>
      </c>
      <c r="F25694" s="30" t="s">
        <v>19</v>
      </c>
      <c r="G25694" s="30" t="s">
        <v>158</v>
      </c>
      <c r="H25694" s="32">
        <v>530</v>
      </c>
      <c r="I25694" s="30" t="s">
        <v>51</v>
      </c>
      <c r="J25694" s="41">
        <v>45695</v>
      </c>
      <c r="K25694" s="30" t="s">
        <v>22</v>
      </c>
    </row>
    <row r="25695" spans="1:11">
      <c r="A25695" s="33" t="s">
        <v>56538</v>
      </c>
      <c r="B25695" s="33" t="s">
        <v>56539</v>
      </c>
      <c r="C25695" s="33" t="s">
        <v>9122</v>
      </c>
      <c r="D25695" s="33" t="s">
        <v>17</v>
      </c>
      <c r="E25695" s="33" t="s">
        <v>26</v>
      </c>
      <c r="F25695" s="33" t="s">
        <v>27</v>
      </c>
      <c r="G25695" s="33" t="s">
        <v>140</v>
      </c>
      <c r="H25695" s="35">
        <v>200</v>
      </c>
      <c r="I25695" s="33" t="s">
        <v>51</v>
      </c>
      <c r="J25695" s="42">
        <v>45875</v>
      </c>
      <c r="K25695" s="33" t="s">
        <v>22</v>
      </c>
    </row>
    <row r="25696" spans="1:11">
      <c r="A25696" s="30" t="s">
        <v>56540</v>
      </c>
      <c r="B25696" s="30" t="s">
        <v>56541</v>
      </c>
      <c r="C25696" s="30" t="s">
        <v>7094</v>
      </c>
      <c r="D25696" s="30" t="s">
        <v>17</v>
      </c>
      <c r="E25696" s="30" t="s">
        <v>18</v>
      </c>
      <c r="F25696" s="30" t="s">
        <v>19</v>
      </c>
      <c r="G25696" s="30" t="s">
        <v>7780</v>
      </c>
      <c r="H25696" s="32">
        <v>504</v>
      </c>
      <c r="I25696" s="30" t="s">
        <v>51</v>
      </c>
      <c r="J25696" s="41">
        <v>45658</v>
      </c>
      <c r="K25696" s="30" t="s">
        <v>22</v>
      </c>
    </row>
    <row r="25697" spans="1:11">
      <c r="A25697" s="33" t="s">
        <v>56542</v>
      </c>
      <c r="B25697" s="33" t="s">
        <v>56543</v>
      </c>
      <c r="C25697" s="33" t="s">
        <v>407</v>
      </c>
      <c r="D25697" s="33" t="s">
        <v>17</v>
      </c>
      <c r="E25697" s="33" t="s">
        <v>45</v>
      </c>
      <c r="F25697" s="33" t="s">
        <v>46</v>
      </c>
      <c r="G25697" s="33" t="s">
        <v>140</v>
      </c>
      <c r="H25697" s="35">
        <v>1186</v>
      </c>
      <c r="I25697" s="33" t="s">
        <v>51</v>
      </c>
      <c r="J25697" s="42">
        <v>45807</v>
      </c>
      <c r="K25697" s="33" t="s">
        <v>22</v>
      </c>
    </row>
    <row r="25698" spans="1:11">
      <c r="A25698" s="30" t="s">
        <v>56544</v>
      </c>
      <c r="B25698" s="30" t="s">
        <v>56545</v>
      </c>
      <c r="C25698" s="30" t="s">
        <v>55809</v>
      </c>
      <c r="D25698" s="30" t="s">
        <v>17</v>
      </c>
      <c r="E25698" s="30" t="s">
        <v>26</v>
      </c>
      <c r="F25698" s="30" t="s">
        <v>27</v>
      </c>
      <c r="G25698" s="30" t="s">
        <v>7780</v>
      </c>
      <c r="H25698" s="32">
        <v>16</v>
      </c>
      <c r="I25698" s="30" t="s">
        <v>51</v>
      </c>
      <c r="J25698" s="41">
        <v>45901</v>
      </c>
      <c r="K25698" s="30" t="s">
        <v>22</v>
      </c>
    </row>
    <row r="25699" spans="1:11">
      <c r="A25699" s="33" t="s">
        <v>56546</v>
      </c>
      <c r="B25699" s="33" t="s">
        <v>56547</v>
      </c>
      <c r="C25699" s="33" t="s">
        <v>4348</v>
      </c>
      <c r="D25699" s="33" t="s">
        <v>17</v>
      </c>
      <c r="E25699" s="33" t="s">
        <v>26</v>
      </c>
      <c r="F25699" s="33" t="s">
        <v>27</v>
      </c>
      <c r="G25699" s="33" t="s">
        <v>140</v>
      </c>
      <c r="H25699" s="35">
        <v>84</v>
      </c>
      <c r="I25699" s="33" t="s">
        <v>51</v>
      </c>
      <c r="J25699" s="42">
        <v>45812</v>
      </c>
      <c r="K25699" s="33" t="s">
        <v>22</v>
      </c>
    </row>
    <row r="25700" spans="1:11">
      <c r="A25700" s="30" t="s">
        <v>56548</v>
      </c>
      <c r="B25700" s="30" t="s">
        <v>56549</v>
      </c>
      <c r="C25700" s="30" t="s">
        <v>52346</v>
      </c>
      <c r="D25700" s="30" t="s">
        <v>17</v>
      </c>
      <c r="E25700" s="30" t="s">
        <v>330</v>
      </c>
      <c r="F25700" s="30" t="s">
        <v>331</v>
      </c>
      <c r="G25700" s="30" t="s">
        <v>7780</v>
      </c>
      <c r="H25700" s="32">
        <v>6</v>
      </c>
      <c r="I25700" s="30" t="s">
        <v>51</v>
      </c>
      <c r="J25700" s="41">
        <v>45797</v>
      </c>
      <c r="K25700" s="30" t="s">
        <v>22</v>
      </c>
    </row>
    <row r="25701" spans="1:11">
      <c r="A25701" s="33" t="s">
        <v>56550</v>
      </c>
      <c r="B25701" s="33" t="s">
        <v>56551</v>
      </c>
      <c r="C25701" s="33" t="s">
        <v>6205</v>
      </c>
      <c r="D25701" s="33" t="s">
        <v>17</v>
      </c>
      <c r="E25701" s="33" t="s">
        <v>67</v>
      </c>
      <c r="F25701" s="33" t="s">
        <v>68</v>
      </c>
      <c r="G25701" s="33" t="s">
        <v>20</v>
      </c>
      <c r="H25701" s="35">
        <v>255</v>
      </c>
      <c r="I25701" s="33" t="s">
        <v>21</v>
      </c>
      <c r="J25701" s="42">
        <v>45775</v>
      </c>
      <c r="K25701" s="33" t="s">
        <v>22</v>
      </c>
    </row>
    <row r="25702" spans="1:11">
      <c r="A25702" s="30" t="s">
        <v>56552</v>
      </c>
      <c r="B25702" s="30" t="s">
        <v>56553</v>
      </c>
      <c r="C25702" s="30" t="s">
        <v>1598</v>
      </c>
      <c r="D25702" s="30" t="s">
        <v>17</v>
      </c>
      <c r="E25702" s="30" t="s">
        <v>67</v>
      </c>
      <c r="F25702" s="30" t="s">
        <v>68</v>
      </c>
      <c r="G25702" s="30" t="s">
        <v>140</v>
      </c>
      <c r="H25702" s="32">
        <v>250</v>
      </c>
      <c r="I25702" s="30" t="s">
        <v>51</v>
      </c>
      <c r="J25702" s="41">
        <v>45765</v>
      </c>
      <c r="K25702" s="30" t="s">
        <v>22</v>
      </c>
    </row>
    <row r="25703" spans="1:11">
      <c r="A25703" s="33" t="s">
        <v>56554</v>
      </c>
      <c r="B25703" s="33" t="s">
        <v>56555</v>
      </c>
      <c r="C25703" s="33" t="s">
        <v>14640</v>
      </c>
      <c r="D25703" s="33" t="s">
        <v>17</v>
      </c>
      <c r="E25703" s="33" t="s">
        <v>31</v>
      </c>
      <c r="F25703" s="33" t="s">
        <v>32</v>
      </c>
      <c r="G25703" s="33" t="s">
        <v>140</v>
      </c>
      <c r="H25703" s="35">
        <v>150</v>
      </c>
      <c r="I25703" s="33" t="s">
        <v>51</v>
      </c>
      <c r="J25703" s="42">
        <v>45988</v>
      </c>
      <c r="K25703" s="33" t="s">
        <v>22</v>
      </c>
    </row>
    <row r="25704" spans="1:11">
      <c r="A25704" s="30" t="s">
        <v>56556</v>
      </c>
      <c r="B25704" s="30" t="s">
        <v>56557</v>
      </c>
      <c r="C25704" s="30" t="s">
        <v>136</v>
      </c>
      <c r="D25704" s="30" t="s">
        <v>17</v>
      </c>
      <c r="E25704" s="30" t="s">
        <v>26</v>
      </c>
      <c r="F25704" s="30" t="s">
        <v>27</v>
      </c>
      <c r="G25704" s="30" t="s">
        <v>140</v>
      </c>
      <c r="H25704" s="32">
        <v>127</v>
      </c>
      <c r="I25704" s="30" t="s">
        <v>51</v>
      </c>
      <c r="J25704" s="41">
        <v>45706</v>
      </c>
      <c r="K25704" s="30" t="s">
        <v>22</v>
      </c>
    </row>
    <row r="25705" spans="1:11">
      <c r="A25705" s="33" t="s">
        <v>56558</v>
      </c>
      <c r="B25705" s="33" t="s">
        <v>56559</v>
      </c>
      <c r="C25705" s="33" t="s">
        <v>56560</v>
      </c>
      <c r="D25705" s="33" t="s">
        <v>17</v>
      </c>
      <c r="E25705" s="33" t="s">
        <v>67</v>
      </c>
      <c r="F25705" s="33" t="s">
        <v>68</v>
      </c>
      <c r="G25705" s="33" t="s">
        <v>7780</v>
      </c>
      <c r="H25705" s="35">
        <v>20</v>
      </c>
      <c r="I25705" s="33" t="s">
        <v>51</v>
      </c>
      <c r="J25705" s="42">
        <v>45839</v>
      </c>
      <c r="K25705" s="33" t="s">
        <v>22</v>
      </c>
    </row>
    <row r="25706" spans="1:11">
      <c r="A25706" s="30" t="s">
        <v>56561</v>
      </c>
      <c r="B25706" s="30" t="s">
        <v>56562</v>
      </c>
      <c r="C25706" s="30" t="s">
        <v>48387</v>
      </c>
      <c r="D25706" s="30" t="s">
        <v>17</v>
      </c>
      <c r="E25706" s="30" t="s">
        <v>26</v>
      </c>
      <c r="F25706" s="30" t="s">
        <v>27</v>
      </c>
      <c r="G25706" s="30" t="s">
        <v>106</v>
      </c>
      <c r="H25706" s="32">
        <v>3</v>
      </c>
      <c r="I25706" s="30" t="s">
        <v>21</v>
      </c>
      <c r="J25706" s="41">
        <v>45855</v>
      </c>
      <c r="K25706" s="30" t="s">
        <v>22</v>
      </c>
    </row>
    <row r="25707" spans="1:11">
      <c r="A25707" s="33" t="s">
        <v>56563</v>
      </c>
      <c r="B25707" s="33" t="s">
        <v>56564</v>
      </c>
      <c r="C25707" s="33" t="s">
        <v>53650</v>
      </c>
      <c r="D25707" s="33" t="s">
        <v>17</v>
      </c>
      <c r="E25707" s="33" t="s">
        <v>26</v>
      </c>
      <c r="F25707" s="33" t="s">
        <v>27</v>
      </c>
      <c r="G25707" s="33" t="s">
        <v>140</v>
      </c>
      <c r="H25707" s="35">
        <v>96</v>
      </c>
      <c r="I25707" s="33" t="s">
        <v>51</v>
      </c>
      <c r="J25707" s="42">
        <v>45750</v>
      </c>
      <c r="K25707" s="33" t="s">
        <v>22</v>
      </c>
    </row>
    <row r="25708" spans="1:11">
      <c r="A25708" s="30" t="s">
        <v>56565</v>
      </c>
      <c r="B25708" s="30" t="s">
        <v>56566</v>
      </c>
      <c r="C25708" s="30" t="s">
        <v>1801</v>
      </c>
      <c r="D25708" s="30" t="s">
        <v>17</v>
      </c>
      <c r="E25708" s="30" t="s">
        <v>26</v>
      </c>
      <c r="F25708" s="30" t="s">
        <v>27</v>
      </c>
      <c r="G25708" s="30" t="s">
        <v>140</v>
      </c>
      <c r="H25708" s="32">
        <v>232</v>
      </c>
      <c r="I25708" s="30" t="s">
        <v>51</v>
      </c>
      <c r="J25708" s="41">
        <v>45968</v>
      </c>
      <c r="K25708" s="30" t="s">
        <v>22</v>
      </c>
    </row>
    <row r="25709" spans="1:11">
      <c r="A25709" s="33" t="s">
        <v>56567</v>
      </c>
      <c r="B25709" s="33" t="s">
        <v>56568</v>
      </c>
      <c r="C25709" s="33" t="s">
        <v>32324</v>
      </c>
      <c r="D25709" s="33" t="s">
        <v>17</v>
      </c>
      <c r="E25709" s="33" t="s">
        <v>26</v>
      </c>
      <c r="F25709" s="33" t="s">
        <v>27</v>
      </c>
      <c r="G25709" s="33" t="s">
        <v>140</v>
      </c>
      <c r="H25709" s="35">
        <v>85</v>
      </c>
      <c r="I25709" s="33" t="s">
        <v>51</v>
      </c>
      <c r="J25709" s="42">
        <v>45747</v>
      </c>
      <c r="K25709" s="33" t="s">
        <v>22</v>
      </c>
    </row>
    <row r="25710" spans="1:11">
      <c r="A25710" s="30" t="s">
        <v>56569</v>
      </c>
      <c r="B25710" s="30" t="s">
        <v>56570</v>
      </c>
      <c r="C25710" s="30" t="s">
        <v>15917</v>
      </c>
      <c r="D25710" s="30" t="s">
        <v>17</v>
      </c>
      <c r="E25710" s="30" t="s">
        <v>26</v>
      </c>
      <c r="F25710" s="30" t="s">
        <v>27</v>
      </c>
      <c r="G25710" s="30" t="s">
        <v>158</v>
      </c>
      <c r="H25710" s="32">
        <v>15</v>
      </c>
      <c r="I25710" s="30" t="s">
        <v>21</v>
      </c>
      <c r="J25710" s="41">
        <v>45817</v>
      </c>
      <c r="K25710" s="30" t="s">
        <v>22</v>
      </c>
    </row>
    <row r="25711" spans="1:11">
      <c r="A25711" s="33" t="s">
        <v>56571</v>
      </c>
      <c r="B25711" s="33" t="s">
        <v>56572</v>
      </c>
      <c r="C25711" s="33" t="s">
        <v>3098</v>
      </c>
      <c r="D25711" s="33" t="s">
        <v>17</v>
      </c>
      <c r="E25711" s="33" t="s">
        <v>45</v>
      </c>
      <c r="F25711" s="33" t="s">
        <v>46</v>
      </c>
      <c r="G25711" s="33" t="s">
        <v>2613</v>
      </c>
      <c r="H25711" s="35">
        <v>30</v>
      </c>
      <c r="I25711" s="33" t="s">
        <v>51</v>
      </c>
      <c r="J25711" s="42">
        <v>45820</v>
      </c>
      <c r="K25711" s="33" t="s">
        <v>22</v>
      </c>
    </row>
    <row r="25712" spans="1:11">
      <c r="A25712" s="30" t="s">
        <v>56573</v>
      </c>
      <c r="B25712" s="30" t="s">
        <v>56574</v>
      </c>
      <c r="C25712" s="30" t="s">
        <v>42425</v>
      </c>
      <c r="D25712" s="30" t="s">
        <v>17</v>
      </c>
      <c r="E25712" s="30" t="s">
        <v>31</v>
      </c>
      <c r="F25712" s="30" t="s">
        <v>32</v>
      </c>
      <c r="G25712" s="30" t="s">
        <v>140</v>
      </c>
      <c r="H25712" s="32">
        <v>24</v>
      </c>
      <c r="I25712" s="30" t="s">
        <v>51</v>
      </c>
      <c r="J25712" s="41">
        <v>45987</v>
      </c>
      <c r="K25712" s="30" t="s">
        <v>22</v>
      </c>
    </row>
    <row r="25713" spans="1:11">
      <c r="A25713" s="33" t="s">
        <v>56575</v>
      </c>
      <c r="B25713" s="33" t="s">
        <v>56576</v>
      </c>
      <c r="C25713" s="33" t="s">
        <v>52634</v>
      </c>
      <c r="D25713" s="33" t="s">
        <v>17</v>
      </c>
      <c r="E25713" s="33" t="s">
        <v>212</v>
      </c>
      <c r="F25713" s="33" t="s">
        <v>213</v>
      </c>
      <c r="G25713" s="33" t="s">
        <v>140</v>
      </c>
      <c r="H25713" s="35">
        <v>38</v>
      </c>
      <c r="I25713" s="33" t="s">
        <v>51</v>
      </c>
      <c r="J25713" s="42">
        <v>45962</v>
      </c>
      <c r="K25713" s="33" t="s">
        <v>22</v>
      </c>
    </row>
    <row r="25714" spans="1:11">
      <c r="A25714" s="30" t="s">
        <v>56577</v>
      </c>
      <c r="B25714" s="30" t="s">
        <v>56578</v>
      </c>
      <c r="C25714" s="30" t="s">
        <v>4023</v>
      </c>
      <c r="D25714" s="30" t="s">
        <v>17</v>
      </c>
      <c r="E25714" s="30" t="s">
        <v>18</v>
      </c>
      <c r="F25714" s="30" t="s">
        <v>19</v>
      </c>
      <c r="G25714" s="30" t="s">
        <v>140</v>
      </c>
      <c r="H25714" s="32">
        <v>845</v>
      </c>
      <c r="I25714" s="30" t="s">
        <v>51</v>
      </c>
      <c r="J25714" s="41">
        <v>45912</v>
      </c>
      <c r="K25714" s="30" t="s">
        <v>22</v>
      </c>
    </row>
    <row r="25715" spans="1:11">
      <c r="A25715" s="33" t="s">
        <v>56579</v>
      </c>
      <c r="B25715" s="33" t="s">
        <v>56580</v>
      </c>
      <c r="C25715" s="33" t="s">
        <v>96</v>
      </c>
      <c r="D25715" s="33" t="s">
        <v>17</v>
      </c>
      <c r="E25715" s="33" t="s">
        <v>18</v>
      </c>
      <c r="F25715" s="33" t="s">
        <v>19</v>
      </c>
      <c r="G25715" s="33" t="s">
        <v>140</v>
      </c>
      <c r="H25715" s="35">
        <v>400</v>
      </c>
      <c r="I25715" s="33" t="s">
        <v>51</v>
      </c>
      <c r="J25715" s="42">
        <v>45874</v>
      </c>
      <c r="K25715" s="33" t="s">
        <v>22</v>
      </c>
    </row>
    <row r="25716" spans="1:11">
      <c r="A25716" s="30" t="s">
        <v>56581</v>
      </c>
      <c r="B25716" s="30" t="s">
        <v>56582</v>
      </c>
      <c r="C25716" s="30" t="s">
        <v>925</v>
      </c>
      <c r="D25716" s="30" t="s">
        <v>17</v>
      </c>
      <c r="E25716" s="30" t="s">
        <v>31</v>
      </c>
      <c r="F25716" s="30" t="s">
        <v>32</v>
      </c>
      <c r="G25716" s="30" t="s">
        <v>112</v>
      </c>
      <c r="H25716" s="32">
        <v>0</v>
      </c>
      <c r="I25716" s="30" t="s">
        <v>21</v>
      </c>
      <c r="J25716" s="41">
        <v>45992</v>
      </c>
      <c r="K25716" s="30" t="s">
        <v>22</v>
      </c>
    </row>
    <row r="25717" spans="1:11">
      <c r="A25717" s="33" t="s">
        <v>56583</v>
      </c>
      <c r="B25717" s="33" t="s">
        <v>56584</v>
      </c>
      <c r="C25717" s="33" t="s">
        <v>7094</v>
      </c>
      <c r="D25717" s="33" t="s">
        <v>17</v>
      </c>
      <c r="E25717" s="33" t="s">
        <v>18</v>
      </c>
      <c r="F25717" s="33" t="s">
        <v>19</v>
      </c>
      <c r="G25717" s="33" t="s">
        <v>140</v>
      </c>
      <c r="H25717" s="35">
        <v>238</v>
      </c>
      <c r="I25717" s="33" t="s">
        <v>51</v>
      </c>
      <c r="J25717" s="42">
        <v>45819</v>
      </c>
      <c r="K25717" s="33" t="s">
        <v>22</v>
      </c>
    </row>
    <row r="25718" spans="1:11">
      <c r="A25718" s="30" t="s">
        <v>56585</v>
      </c>
      <c r="B25718" s="30" t="s">
        <v>56586</v>
      </c>
      <c r="C25718" s="30" t="s">
        <v>5050</v>
      </c>
      <c r="D25718" s="30" t="s">
        <v>17</v>
      </c>
      <c r="E25718" s="30" t="s">
        <v>26</v>
      </c>
      <c r="F25718" s="30" t="s">
        <v>27</v>
      </c>
      <c r="G25718" s="30" t="s">
        <v>20</v>
      </c>
      <c r="H25718" s="32">
        <v>43</v>
      </c>
      <c r="I25718" s="30" t="s">
        <v>21</v>
      </c>
      <c r="J25718" s="41">
        <v>45764</v>
      </c>
      <c r="K25718" s="30" t="s">
        <v>22</v>
      </c>
    </row>
    <row r="25719" spans="1:11">
      <c r="A25719" s="33" t="s">
        <v>56587</v>
      </c>
      <c r="B25719" s="33" t="s">
        <v>56588</v>
      </c>
      <c r="C25719" s="33" t="s">
        <v>56589</v>
      </c>
      <c r="D25719" s="33" t="s">
        <v>17</v>
      </c>
      <c r="E25719" s="33" t="s">
        <v>31</v>
      </c>
      <c r="F25719" s="33" t="s">
        <v>32</v>
      </c>
      <c r="G25719" s="33" t="s">
        <v>140</v>
      </c>
      <c r="H25719" s="35">
        <v>70</v>
      </c>
      <c r="I25719" s="33" t="s">
        <v>51</v>
      </c>
      <c r="J25719" s="42">
        <v>46015</v>
      </c>
      <c r="K25719" s="33" t="s">
        <v>22</v>
      </c>
    </row>
    <row r="25720" spans="1:11">
      <c r="A25720" s="30" t="s">
        <v>56590</v>
      </c>
      <c r="B25720" s="30" t="s">
        <v>56591</v>
      </c>
      <c r="C25720" s="30" t="s">
        <v>5312</v>
      </c>
      <c r="D25720" s="30" t="s">
        <v>17</v>
      </c>
      <c r="E25720" s="30" t="s">
        <v>18</v>
      </c>
      <c r="F25720" s="30" t="s">
        <v>19</v>
      </c>
      <c r="G25720" s="30" t="s">
        <v>140</v>
      </c>
      <c r="H25720" s="32">
        <v>150</v>
      </c>
      <c r="I25720" s="30" t="s">
        <v>51</v>
      </c>
      <c r="J25720" s="41">
        <v>46002</v>
      </c>
      <c r="K25720" s="30" t="s">
        <v>22</v>
      </c>
    </row>
    <row r="25721" spans="1:11">
      <c r="A25721" s="33" t="s">
        <v>56592</v>
      </c>
      <c r="B25721" s="33" t="s">
        <v>56593</v>
      </c>
      <c r="C25721" s="33" t="s">
        <v>31054</v>
      </c>
      <c r="D25721" s="33" t="s">
        <v>17</v>
      </c>
      <c r="E25721" s="33" t="s">
        <v>31</v>
      </c>
      <c r="F25721" s="33" t="s">
        <v>32</v>
      </c>
      <c r="G25721" s="33" t="s">
        <v>7780</v>
      </c>
      <c r="H25721" s="35">
        <v>115</v>
      </c>
      <c r="I25721" s="33" t="s">
        <v>51</v>
      </c>
      <c r="J25721" s="42">
        <v>45962</v>
      </c>
      <c r="K25721" s="33" t="s">
        <v>22</v>
      </c>
    </row>
    <row r="25722" spans="1:11">
      <c r="A25722" s="30" t="s">
        <v>56594</v>
      </c>
      <c r="B25722" s="30" t="s">
        <v>56595</v>
      </c>
      <c r="C25722" s="30" t="s">
        <v>60</v>
      </c>
      <c r="D25722" s="30" t="s">
        <v>17</v>
      </c>
      <c r="E25722" s="30" t="s">
        <v>31</v>
      </c>
      <c r="F25722" s="30" t="s">
        <v>32</v>
      </c>
      <c r="G25722" s="30" t="s">
        <v>2613</v>
      </c>
      <c r="H25722" s="32">
        <v>44</v>
      </c>
      <c r="I25722" s="30" t="s">
        <v>51</v>
      </c>
      <c r="J25722" s="41">
        <v>45775</v>
      </c>
      <c r="K25722" s="30" t="s">
        <v>22</v>
      </c>
    </row>
    <row r="25723" spans="1:11">
      <c r="A25723" s="33" t="s">
        <v>56596</v>
      </c>
      <c r="B25723" s="33" t="s">
        <v>56597</v>
      </c>
      <c r="C25723" s="33" t="s">
        <v>3296</v>
      </c>
      <c r="D25723" s="33" t="s">
        <v>17</v>
      </c>
      <c r="E25723" s="33" t="s">
        <v>26</v>
      </c>
      <c r="F25723" s="33" t="s">
        <v>27</v>
      </c>
      <c r="G25723" s="33" t="s">
        <v>20</v>
      </c>
      <c r="H25723" s="35">
        <v>38</v>
      </c>
      <c r="I25723" s="33" t="s">
        <v>21</v>
      </c>
      <c r="J25723" s="42">
        <v>45842</v>
      </c>
      <c r="K25723" s="33" t="s">
        <v>22</v>
      </c>
    </row>
    <row r="25724" spans="1:11">
      <c r="A25724" s="30" t="s">
        <v>56598</v>
      </c>
      <c r="B25724" s="30" t="s">
        <v>56599</v>
      </c>
      <c r="C25724" s="30" t="s">
        <v>38</v>
      </c>
      <c r="D25724" s="30" t="s">
        <v>17</v>
      </c>
      <c r="E25724" s="30" t="s">
        <v>26</v>
      </c>
      <c r="F25724" s="30" t="s">
        <v>27</v>
      </c>
      <c r="G25724" s="30" t="s">
        <v>158</v>
      </c>
      <c r="H25724" s="32">
        <v>7</v>
      </c>
      <c r="I25724" s="30" t="s">
        <v>21</v>
      </c>
      <c r="J25724" s="41">
        <v>45784</v>
      </c>
      <c r="K25724" s="30" t="s">
        <v>22</v>
      </c>
    </row>
    <row r="25725" spans="1:11">
      <c r="A25725" s="33" t="s">
        <v>56600</v>
      </c>
      <c r="B25725" s="33" t="s">
        <v>56601</v>
      </c>
      <c r="C25725" s="33" t="s">
        <v>21185</v>
      </c>
      <c r="D25725" s="33" t="s">
        <v>17</v>
      </c>
      <c r="E25725" s="33" t="s">
        <v>26</v>
      </c>
      <c r="F25725" s="33" t="s">
        <v>27</v>
      </c>
      <c r="G25725" s="33" t="s">
        <v>7780</v>
      </c>
      <c r="H25725" s="35">
        <v>66</v>
      </c>
      <c r="I25725" s="33" t="s">
        <v>51</v>
      </c>
      <c r="J25725" s="42">
        <v>45748</v>
      </c>
      <c r="K25725" s="33" t="s">
        <v>22</v>
      </c>
    </row>
    <row r="25726" spans="1:11">
      <c r="A25726" s="30" t="s">
        <v>56602</v>
      </c>
      <c r="B25726" s="30" t="s">
        <v>56603</v>
      </c>
      <c r="C25726" s="30" t="s">
        <v>14816</v>
      </c>
      <c r="D25726" s="30" t="s">
        <v>17</v>
      </c>
      <c r="E25726" s="30" t="s">
        <v>26</v>
      </c>
      <c r="F25726" s="30" t="s">
        <v>27</v>
      </c>
      <c r="G25726" s="30" t="s">
        <v>20</v>
      </c>
      <c r="H25726" s="32">
        <v>24</v>
      </c>
      <c r="I25726" s="30" t="s">
        <v>21</v>
      </c>
      <c r="J25726" s="41">
        <v>45699</v>
      </c>
      <c r="K25726" s="30" t="s">
        <v>22</v>
      </c>
    </row>
    <row r="25727" spans="1:11">
      <c r="A25727" s="33" t="s">
        <v>56604</v>
      </c>
      <c r="B25727" s="33" t="s">
        <v>56605</v>
      </c>
      <c r="C25727" s="33" t="s">
        <v>1080</v>
      </c>
      <c r="D25727" s="33" t="s">
        <v>17</v>
      </c>
      <c r="E25727" s="33" t="s">
        <v>31</v>
      </c>
      <c r="F25727" s="33" t="s">
        <v>32</v>
      </c>
      <c r="G25727" s="33" t="s">
        <v>140</v>
      </c>
      <c r="H25727" s="35">
        <v>135</v>
      </c>
      <c r="I25727" s="33" t="s">
        <v>51</v>
      </c>
      <c r="J25727" s="42">
        <v>45729</v>
      </c>
      <c r="K25727" s="33" t="s">
        <v>22</v>
      </c>
    </row>
    <row r="25728" spans="1:11">
      <c r="A25728" s="30" t="s">
        <v>56606</v>
      </c>
      <c r="B25728" s="30" t="s">
        <v>56607</v>
      </c>
      <c r="C25728" s="30" t="s">
        <v>5636</v>
      </c>
      <c r="D25728" s="30" t="s">
        <v>17</v>
      </c>
      <c r="E25728" s="30" t="s">
        <v>26</v>
      </c>
      <c r="F25728" s="30" t="s">
        <v>27</v>
      </c>
      <c r="G25728" s="30" t="s">
        <v>140</v>
      </c>
      <c r="H25728" s="32">
        <v>46</v>
      </c>
      <c r="I25728" s="30" t="s">
        <v>51</v>
      </c>
      <c r="J25728" s="41">
        <v>45717</v>
      </c>
      <c r="K25728" s="30" t="s">
        <v>22</v>
      </c>
    </row>
    <row r="25729" spans="1:11">
      <c r="A25729" s="33" t="s">
        <v>56608</v>
      </c>
      <c r="B25729" s="33" t="s">
        <v>56609</v>
      </c>
      <c r="C25729" s="33" t="s">
        <v>7505</v>
      </c>
      <c r="D25729" s="33" t="s">
        <v>17</v>
      </c>
      <c r="E25729" s="33" t="s">
        <v>26</v>
      </c>
      <c r="F25729" s="33" t="s">
        <v>27</v>
      </c>
      <c r="G25729" s="33" t="s">
        <v>7780</v>
      </c>
      <c r="H25729" s="35">
        <v>55</v>
      </c>
      <c r="I25729" s="33" t="s">
        <v>51</v>
      </c>
      <c r="J25729" s="42">
        <v>45839</v>
      </c>
      <c r="K25729" s="33" t="s">
        <v>22</v>
      </c>
    </row>
    <row r="25730" spans="1:11">
      <c r="A25730" s="30" t="s">
        <v>56610</v>
      </c>
      <c r="B25730" s="30" t="s">
        <v>56611</v>
      </c>
      <c r="C25730" s="30" t="s">
        <v>11942</v>
      </c>
      <c r="D25730" s="30" t="s">
        <v>17</v>
      </c>
      <c r="E25730" s="30" t="s">
        <v>67</v>
      </c>
      <c r="F25730" s="30" t="s">
        <v>68</v>
      </c>
      <c r="G25730" s="30" t="s">
        <v>140</v>
      </c>
      <c r="H25730" s="32">
        <v>196</v>
      </c>
      <c r="I25730" s="30" t="s">
        <v>51</v>
      </c>
      <c r="J25730" s="41">
        <v>45809</v>
      </c>
      <c r="K25730" s="30" t="s">
        <v>22</v>
      </c>
    </row>
    <row r="25731" spans="1:11">
      <c r="A25731" s="33" t="s">
        <v>56612</v>
      </c>
      <c r="B25731" s="33" t="s">
        <v>56613</v>
      </c>
      <c r="C25731" s="33" t="s">
        <v>10300</v>
      </c>
      <c r="D25731" s="33" t="s">
        <v>17</v>
      </c>
      <c r="E25731" s="33" t="s">
        <v>212</v>
      </c>
      <c r="F25731" s="33" t="s">
        <v>213</v>
      </c>
      <c r="G25731" s="33" t="s">
        <v>140</v>
      </c>
      <c r="H25731" s="35">
        <v>250</v>
      </c>
      <c r="I25731" s="33" t="s">
        <v>51</v>
      </c>
      <c r="J25731" s="42">
        <v>45670</v>
      </c>
      <c r="K25731" s="33" t="s">
        <v>22</v>
      </c>
    </row>
    <row r="25732" spans="1:11">
      <c r="A25732" s="30" t="s">
        <v>56614</v>
      </c>
      <c r="B25732" s="30" t="s">
        <v>56615</v>
      </c>
      <c r="C25732" s="30" t="s">
        <v>30810</v>
      </c>
      <c r="D25732" s="30" t="s">
        <v>17</v>
      </c>
      <c r="E25732" s="30" t="s">
        <v>31</v>
      </c>
      <c r="F25732" s="30" t="s">
        <v>32</v>
      </c>
      <c r="G25732" s="30" t="s">
        <v>7780</v>
      </c>
      <c r="H25732" s="32">
        <v>36</v>
      </c>
      <c r="I25732" s="30" t="s">
        <v>51</v>
      </c>
      <c r="J25732" s="41">
        <v>45931</v>
      </c>
      <c r="K25732" s="30" t="s">
        <v>22</v>
      </c>
    </row>
    <row r="25733" spans="1:11">
      <c r="A25733" s="33" t="s">
        <v>56616</v>
      </c>
      <c r="B25733" s="33" t="s">
        <v>56617</v>
      </c>
      <c r="C25733" s="33" t="s">
        <v>75</v>
      </c>
      <c r="D25733" s="33" t="s">
        <v>17</v>
      </c>
      <c r="E25733" s="33" t="s">
        <v>212</v>
      </c>
      <c r="F25733" s="33" t="s">
        <v>213</v>
      </c>
      <c r="G25733" s="33" t="s">
        <v>112</v>
      </c>
      <c r="H25733" s="35">
        <v>0</v>
      </c>
      <c r="I25733" s="33" t="s">
        <v>21</v>
      </c>
      <c r="J25733" s="42">
        <v>45976</v>
      </c>
      <c r="K25733" s="33" t="s">
        <v>22</v>
      </c>
    </row>
    <row r="25734" spans="1:11">
      <c r="A25734" s="30" t="s">
        <v>56618</v>
      </c>
      <c r="B25734" s="30" t="s">
        <v>56619</v>
      </c>
      <c r="C25734" s="30" t="s">
        <v>190</v>
      </c>
      <c r="D25734" s="30" t="s">
        <v>17</v>
      </c>
      <c r="E25734" s="30" t="s">
        <v>31</v>
      </c>
      <c r="F25734" s="30" t="s">
        <v>32</v>
      </c>
      <c r="G25734" s="30" t="s">
        <v>158</v>
      </c>
      <c r="H25734" s="32">
        <v>76</v>
      </c>
      <c r="I25734" s="30" t="s">
        <v>21</v>
      </c>
      <c r="J25734" s="41">
        <v>45974</v>
      </c>
      <c r="K25734" s="30" t="s">
        <v>22</v>
      </c>
    </row>
    <row r="25735" spans="1:11">
      <c r="A25735" s="33" t="s">
        <v>56620</v>
      </c>
      <c r="B25735" s="33" t="s">
        <v>56621</v>
      </c>
      <c r="C25735" s="33" t="s">
        <v>222</v>
      </c>
      <c r="D25735" s="33" t="s">
        <v>17</v>
      </c>
      <c r="E25735" s="33" t="s">
        <v>212</v>
      </c>
      <c r="F25735" s="33" t="s">
        <v>213</v>
      </c>
      <c r="G25735" s="33" t="s">
        <v>20</v>
      </c>
      <c r="H25735" s="35">
        <v>180</v>
      </c>
      <c r="I25735" s="33" t="s">
        <v>21</v>
      </c>
      <c r="J25735" s="42">
        <v>45748</v>
      </c>
      <c r="K25735" s="33" t="s">
        <v>22</v>
      </c>
    </row>
    <row r="25736" spans="1:11">
      <c r="A25736" s="30" t="s">
        <v>56622</v>
      </c>
      <c r="B25736" s="30" t="s">
        <v>56623</v>
      </c>
      <c r="C25736" s="30" t="s">
        <v>56624</v>
      </c>
      <c r="D25736" s="30" t="s">
        <v>17</v>
      </c>
      <c r="E25736" s="30" t="s">
        <v>67</v>
      </c>
      <c r="F25736" s="30" t="s">
        <v>68</v>
      </c>
      <c r="G25736" s="30" t="s">
        <v>140</v>
      </c>
      <c r="H25736" s="32">
        <v>12</v>
      </c>
      <c r="I25736" s="30" t="s">
        <v>51</v>
      </c>
      <c r="J25736" s="41">
        <v>45667</v>
      </c>
      <c r="K25736" s="30" t="s">
        <v>22</v>
      </c>
    </row>
    <row r="25737" spans="1:11">
      <c r="A25737" s="33" t="s">
        <v>56625</v>
      </c>
      <c r="B25737" s="33" t="s">
        <v>56626</v>
      </c>
      <c r="C25737" s="33" t="s">
        <v>190</v>
      </c>
      <c r="D25737" s="33" t="s">
        <v>17</v>
      </c>
      <c r="E25737" s="33" t="s">
        <v>31</v>
      </c>
      <c r="F25737" s="33" t="s">
        <v>32</v>
      </c>
      <c r="G25737" s="33" t="s">
        <v>140</v>
      </c>
      <c r="H25737" s="35">
        <v>320</v>
      </c>
      <c r="I25737" s="33" t="s">
        <v>51</v>
      </c>
      <c r="J25737" s="42">
        <v>46006</v>
      </c>
      <c r="K25737" s="33" t="s">
        <v>22</v>
      </c>
    </row>
    <row r="25738" spans="1:11">
      <c r="A25738" s="30" t="s">
        <v>56627</v>
      </c>
      <c r="B25738" s="30" t="s">
        <v>56628</v>
      </c>
      <c r="C25738" s="30" t="s">
        <v>326</v>
      </c>
      <c r="D25738" s="30" t="s">
        <v>17</v>
      </c>
      <c r="E25738" s="30" t="s">
        <v>31</v>
      </c>
      <c r="F25738" s="30" t="s">
        <v>32</v>
      </c>
      <c r="G25738" s="30" t="s">
        <v>112</v>
      </c>
      <c r="H25738" s="32">
        <v>0</v>
      </c>
      <c r="I25738" s="30" t="s">
        <v>21</v>
      </c>
      <c r="J25738" s="41">
        <v>46006</v>
      </c>
      <c r="K25738" s="30" t="s">
        <v>22</v>
      </c>
    </row>
    <row r="25739" spans="1:11">
      <c r="A25739" s="33" t="s">
        <v>56629</v>
      </c>
      <c r="B25739" s="33" t="s">
        <v>56630</v>
      </c>
      <c r="C25739" s="33" t="s">
        <v>570</v>
      </c>
      <c r="D25739" s="33" t="s">
        <v>17</v>
      </c>
      <c r="E25739" s="33" t="s">
        <v>31</v>
      </c>
      <c r="F25739" s="33" t="s">
        <v>32</v>
      </c>
      <c r="G25739" s="33" t="s">
        <v>7780</v>
      </c>
      <c r="H25739" s="35">
        <v>120</v>
      </c>
      <c r="I25739" s="33" t="s">
        <v>51</v>
      </c>
      <c r="J25739" s="42">
        <v>45901</v>
      </c>
      <c r="K25739" s="33" t="s">
        <v>22</v>
      </c>
    </row>
    <row r="25740" spans="1:11">
      <c r="A25740" s="30" t="s">
        <v>56631</v>
      </c>
      <c r="B25740" s="30" t="s">
        <v>56632</v>
      </c>
      <c r="C25740" s="30" t="s">
        <v>56633</v>
      </c>
      <c r="D25740" s="30" t="s">
        <v>17</v>
      </c>
      <c r="E25740" s="30" t="s">
        <v>330</v>
      </c>
      <c r="F25740" s="30" t="s">
        <v>331</v>
      </c>
      <c r="G25740" s="30" t="s">
        <v>140</v>
      </c>
      <c r="H25740" s="32">
        <v>84</v>
      </c>
      <c r="I25740" s="30" t="s">
        <v>51</v>
      </c>
      <c r="J25740" s="41">
        <v>45713</v>
      </c>
      <c r="K25740" s="30" t="s">
        <v>22</v>
      </c>
    </row>
    <row r="25741" spans="1:11">
      <c r="A25741" s="33" t="s">
        <v>56634</v>
      </c>
      <c r="B25741" s="33" t="s">
        <v>56635</v>
      </c>
      <c r="C25741" s="33" t="s">
        <v>33124</v>
      </c>
      <c r="D25741" s="33" t="s">
        <v>17</v>
      </c>
      <c r="E25741" s="33" t="s">
        <v>67</v>
      </c>
      <c r="F25741" s="33" t="s">
        <v>68</v>
      </c>
      <c r="G25741" s="33" t="s">
        <v>140</v>
      </c>
      <c r="H25741" s="35">
        <v>36</v>
      </c>
      <c r="I25741" s="33" t="s">
        <v>51</v>
      </c>
      <c r="J25741" s="42">
        <v>45981</v>
      </c>
      <c r="K25741" s="33" t="s">
        <v>22</v>
      </c>
    </row>
    <row r="25742" spans="1:11">
      <c r="A25742" s="30" t="s">
        <v>56636</v>
      </c>
      <c r="B25742" s="30" t="s">
        <v>56637</v>
      </c>
      <c r="C25742" s="30" t="s">
        <v>38860</v>
      </c>
      <c r="D25742" s="30" t="s">
        <v>17</v>
      </c>
      <c r="E25742" s="30" t="s">
        <v>31</v>
      </c>
      <c r="F25742" s="30" t="s">
        <v>32</v>
      </c>
      <c r="G25742" s="30" t="s">
        <v>158</v>
      </c>
      <c r="H25742" s="32">
        <v>150</v>
      </c>
      <c r="I25742" s="30" t="s">
        <v>51</v>
      </c>
      <c r="J25742" s="41">
        <v>45985</v>
      </c>
      <c r="K25742" s="30" t="s">
        <v>22</v>
      </c>
    </row>
    <row r="25743" spans="1:11">
      <c r="A25743" s="33" t="s">
        <v>56638</v>
      </c>
      <c r="B25743" s="33" t="s">
        <v>56639</v>
      </c>
      <c r="C25743" s="33" t="s">
        <v>24140</v>
      </c>
      <c r="D25743" s="33" t="s">
        <v>17</v>
      </c>
      <c r="E25743" s="33" t="s">
        <v>31</v>
      </c>
      <c r="F25743" s="33" t="s">
        <v>32</v>
      </c>
      <c r="G25743" s="33" t="s">
        <v>20</v>
      </c>
      <c r="H25743" s="35">
        <v>370</v>
      </c>
      <c r="I25743" s="33" t="s">
        <v>21</v>
      </c>
      <c r="J25743" s="42">
        <v>45712</v>
      </c>
      <c r="K25743" s="33" t="s">
        <v>22</v>
      </c>
    </row>
    <row r="25744" spans="1:11">
      <c r="A25744" s="30" t="s">
        <v>56640</v>
      </c>
      <c r="B25744" s="30" t="s">
        <v>56641</v>
      </c>
      <c r="C25744" s="30" t="s">
        <v>56642</v>
      </c>
      <c r="D25744" s="30" t="s">
        <v>17</v>
      </c>
      <c r="E25744" s="30" t="s">
        <v>26</v>
      </c>
      <c r="F25744" s="30" t="s">
        <v>27</v>
      </c>
      <c r="G25744" s="30" t="s">
        <v>140</v>
      </c>
      <c r="H25744" s="32">
        <v>67</v>
      </c>
      <c r="I25744" s="30" t="s">
        <v>51</v>
      </c>
      <c r="J25744" s="41">
        <v>45789</v>
      </c>
      <c r="K25744" s="30" t="s">
        <v>22</v>
      </c>
    </row>
    <row r="25745" spans="1:11">
      <c r="A25745" s="33" t="s">
        <v>56643</v>
      </c>
      <c r="B25745" s="33" t="s">
        <v>56644</v>
      </c>
      <c r="C25745" s="33" t="s">
        <v>27436</v>
      </c>
      <c r="D25745" s="33" t="s">
        <v>17</v>
      </c>
      <c r="E25745" s="33" t="s">
        <v>67</v>
      </c>
      <c r="F25745" s="33" t="s">
        <v>68</v>
      </c>
      <c r="G25745" s="33" t="s">
        <v>158</v>
      </c>
      <c r="H25745" s="35">
        <v>67</v>
      </c>
      <c r="I25745" s="33" t="s">
        <v>51</v>
      </c>
      <c r="J25745" s="42">
        <v>45887</v>
      </c>
      <c r="K25745" s="33" t="s">
        <v>22</v>
      </c>
    </row>
    <row r="25746" spans="1:11">
      <c r="A25746" s="30" t="s">
        <v>56645</v>
      </c>
      <c r="B25746" s="30" t="s">
        <v>56646</v>
      </c>
      <c r="C25746" s="30" t="s">
        <v>11643</v>
      </c>
      <c r="D25746" s="30" t="s">
        <v>17</v>
      </c>
      <c r="E25746" s="30" t="s">
        <v>18</v>
      </c>
      <c r="F25746" s="30" t="s">
        <v>19</v>
      </c>
      <c r="G25746" s="30" t="s">
        <v>2613</v>
      </c>
      <c r="H25746" s="32">
        <v>615</v>
      </c>
      <c r="I25746" s="30" t="s">
        <v>51</v>
      </c>
      <c r="J25746" s="41">
        <v>45756</v>
      </c>
      <c r="K25746" s="30" t="s">
        <v>22</v>
      </c>
    </row>
    <row r="25747" spans="1:11">
      <c r="A25747" s="33" t="s">
        <v>56647</v>
      </c>
      <c r="B25747" s="33" t="s">
        <v>56648</v>
      </c>
      <c r="C25747" s="33" t="s">
        <v>50052</v>
      </c>
      <c r="D25747" s="33" t="s">
        <v>17</v>
      </c>
      <c r="E25747" s="33" t="s">
        <v>67</v>
      </c>
      <c r="F25747" s="33" t="s">
        <v>68</v>
      </c>
      <c r="G25747" s="33" t="s">
        <v>140</v>
      </c>
      <c r="H25747" s="35">
        <v>24</v>
      </c>
      <c r="I25747" s="33" t="s">
        <v>51</v>
      </c>
      <c r="J25747" s="42">
        <v>45838</v>
      </c>
      <c r="K25747" s="33" t="s">
        <v>22</v>
      </c>
    </row>
    <row r="25748" spans="1:11">
      <c r="A25748" s="30" t="s">
        <v>56649</v>
      </c>
      <c r="B25748" s="30" t="s">
        <v>56650</v>
      </c>
      <c r="C25748" s="30" t="s">
        <v>321</v>
      </c>
      <c r="D25748" s="30" t="s">
        <v>17</v>
      </c>
      <c r="E25748" s="30" t="s">
        <v>26</v>
      </c>
      <c r="F25748" s="30" t="s">
        <v>27</v>
      </c>
      <c r="G25748" s="30" t="s">
        <v>20</v>
      </c>
      <c r="H25748" s="32">
        <v>6</v>
      </c>
      <c r="I25748" s="30" t="s">
        <v>21</v>
      </c>
      <c r="J25748" s="41">
        <v>46002</v>
      </c>
      <c r="K25748" s="30" t="s">
        <v>22</v>
      </c>
    </row>
    <row r="25749" spans="1:11">
      <c r="A25749" s="33" t="s">
        <v>56651</v>
      </c>
      <c r="B25749" s="33" t="s">
        <v>56652</v>
      </c>
      <c r="C25749" s="33" t="s">
        <v>647</v>
      </c>
      <c r="D25749" s="33" t="s">
        <v>17</v>
      </c>
      <c r="E25749" s="33" t="s">
        <v>26</v>
      </c>
      <c r="F25749" s="33" t="s">
        <v>27</v>
      </c>
      <c r="G25749" s="33" t="s">
        <v>20</v>
      </c>
      <c r="H25749" s="35">
        <v>14</v>
      </c>
      <c r="I25749" s="33" t="s">
        <v>21</v>
      </c>
      <c r="J25749" s="42">
        <v>45887</v>
      </c>
      <c r="K25749" s="33" t="s">
        <v>22</v>
      </c>
    </row>
    <row r="25750" spans="1:11">
      <c r="A25750" s="30" t="s">
        <v>56653</v>
      </c>
      <c r="B25750" s="30" t="s">
        <v>56654</v>
      </c>
      <c r="C25750" s="30" t="s">
        <v>48543</v>
      </c>
      <c r="D25750" s="30" t="s">
        <v>17</v>
      </c>
      <c r="E25750" s="30" t="s">
        <v>67</v>
      </c>
      <c r="F25750" s="30" t="s">
        <v>68</v>
      </c>
      <c r="G25750" s="30" t="s">
        <v>7780</v>
      </c>
      <c r="H25750" s="32">
        <v>18</v>
      </c>
      <c r="I25750" s="30" t="s">
        <v>51</v>
      </c>
      <c r="J25750" s="41">
        <v>45920</v>
      </c>
      <c r="K25750" s="30" t="s">
        <v>22</v>
      </c>
    </row>
    <row r="25751" spans="1:11">
      <c r="A25751" s="33" t="s">
        <v>56655</v>
      </c>
      <c r="B25751" s="33" t="s">
        <v>56656</v>
      </c>
      <c r="C25751" s="33" t="s">
        <v>2839</v>
      </c>
      <c r="D25751" s="33" t="s">
        <v>17</v>
      </c>
      <c r="E25751" s="33" t="s">
        <v>26</v>
      </c>
      <c r="F25751" s="33" t="s">
        <v>27</v>
      </c>
      <c r="G25751" s="33" t="s">
        <v>140</v>
      </c>
      <c r="H25751" s="35">
        <v>26</v>
      </c>
      <c r="I25751" s="33" t="s">
        <v>51</v>
      </c>
      <c r="J25751" s="42">
        <v>45873</v>
      </c>
      <c r="K25751" s="33" t="s">
        <v>22</v>
      </c>
    </row>
    <row r="25752" spans="1:11">
      <c r="A25752" s="30" t="s">
        <v>56657</v>
      </c>
      <c r="B25752" s="30" t="s">
        <v>56658</v>
      </c>
      <c r="C25752" s="30" t="s">
        <v>14816</v>
      </c>
      <c r="D25752" s="30" t="s">
        <v>17</v>
      </c>
      <c r="E25752" s="30" t="s">
        <v>26</v>
      </c>
      <c r="F25752" s="30" t="s">
        <v>27</v>
      </c>
      <c r="G25752" s="30" t="s">
        <v>20</v>
      </c>
      <c r="H25752" s="32">
        <v>16</v>
      </c>
      <c r="I25752" s="30" t="s">
        <v>21</v>
      </c>
      <c r="J25752" s="41">
        <v>45987</v>
      </c>
      <c r="K25752" s="30" t="s">
        <v>22</v>
      </c>
    </row>
    <row r="25753" spans="1:11">
      <c r="A25753" s="33" t="s">
        <v>56659</v>
      </c>
      <c r="B25753" s="33" t="s">
        <v>56660</v>
      </c>
      <c r="C25753" s="33" t="s">
        <v>31562</v>
      </c>
      <c r="D25753" s="33" t="s">
        <v>17</v>
      </c>
      <c r="E25753" s="33" t="s">
        <v>31</v>
      </c>
      <c r="F25753" s="33" t="s">
        <v>32</v>
      </c>
      <c r="G25753" s="33" t="s">
        <v>7780</v>
      </c>
      <c r="H25753" s="35">
        <v>305</v>
      </c>
      <c r="I25753" s="33" t="s">
        <v>51</v>
      </c>
      <c r="J25753" s="42">
        <v>45756</v>
      </c>
      <c r="K25753" s="33" t="s">
        <v>22</v>
      </c>
    </row>
    <row r="25754" spans="1:11">
      <c r="A25754" s="30" t="s">
        <v>56661</v>
      </c>
      <c r="B25754" s="30" t="s">
        <v>56662</v>
      </c>
      <c r="C25754" s="30" t="s">
        <v>1077</v>
      </c>
      <c r="D25754" s="30" t="s">
        <v>17</v>
      </c>
      <c r="E25754" s="30" t="s">
        <v>26</v>
      </c>
      <c r="F25754" s="30" t="s">
        <v>27</v>
      </c>
      <c r="G25754" s="30" t="s">
        <v>158</v>
      </c>
      <c r="H25754" s="32">
        <v>86</v>
      </c>
      <c r="I25754" s="30" t="s">
        <v>51</v>
      </c>
      <c r="J25754" s="41">
        <v>45972</v>
      </c>
      <c r="K25754" s="30" t="s">
        <v>22</v>
      </c>
    </row>
    <row r="25755" spans="1:11">
      <c r="A25755" s="33" t="s">
        <v>56663</v>
      </c>
      <c r="B25755" s="33" t="s">
        <v>56664</v>
      </c>
      <c r="C25755" s="33" t="s">
        <v>124</v>
      </c>
      <c r="D25755" s="33" t="s">
        <v>17</v>
      </c>
      <c r="E25755" s="33" t="s">
        <v>31</v>
      </c>
      <c r="F25755" s="33" t="s">
        <v>32</v>
      </c>
      <c r="G25755" s="33" t="s">
        <v>7780</v>
      </c>
      <c r="H25755" s="35">
        <v>220</v>
      </c>
      <c r="I25755" s="33" t="s">
        <v>51</v>
      </c>
      <c r="J25755" s="42">
        <v>45901</v>
      </c>
      <c r="K25755" s="33" t="s">
        <v>22</v>
      </c>
    </row>
    <row r="25756" spans="1:11">
      <c r="A25756" s="30" t="s">
        <v>56665</v>
      </c>
      <c r="B25756" s="30" t="s">
        <v>56666</v>
      </c>
      <c r="C25756" s="30" t="s">
        <v>56667</v>
      </c>
      <c r="D25756" s="30" t="s">
        <v>17</v>
      </c>
      <c r="E25756" s="30" t="s">
        <v>31</v>
      </c>
      <c r="F25756" s="30" t="s">
        <v>32</v>
      </c>
      <c r="G25756" s="30" t="s">
        <v>7780</v>
      </c>
      <c r="H25756" s="32">
        <v>30</v>
      </c>
      <c r="I25756" s="30" t="s">
        <v>51</v>
      </c>
      <c r="J25756" s="41">
        <v>45870</v>
      </c>
      <c r="K25756" s="30" t="s">
        <v>22</v>
      </c>
    </row>
    <row r="25757" spans="1:11">
      <c r="A25757" s="33" t="s">
        <v>56668</v>
      </c>
      <c r="B25757" s="33" t="s">
        <v>56669</v>
      </c>
      <c r="C25757" s="33" t="s">
        <v>25561</v>
      </c>
      <c r="D25757" s="33" t="s">
        <v>17</v>
      </c>
      <c r="E25757" s="33" t="s">
        <v>26</v>
      </c>
      <c r="F25757" s="33" t="s">
        <v>27</v>
      </c>
      <c r="G25757" s="33" t="s">
        <v>140</v>
      </c>
      <c r="H25757" s="35">
        <v>40</v>
      </c>
      <c r="I25757" s="33" t="s">
        <v>51</v>
      </c>
      <c r="J25757" s="42">
        <v>45887</v>
      </c>
      <c r="K25757" s="33" t="s">
        <v>22</v>
      </c>
    </row>
    <row r="25758" spans="1:11">
      <c r="A25758" s="30" t="s">
        <v>56670</v>
      </c>
      <c r="B25758" s="30" t="s">
        <v>56671</v>
      </c>
      <c r="C25758" s="30" t="s">
        <v>6442</v>
      </c>
      <c r="D25758" s="30" t="s">
        <v>17</v>
      </c>
      <c r="E25758" s="30" t="s">
        <v>26</v>
      </c>
      <c r="F25758" s="30" t="s">
        <v>27</v>
      </c>
      <c r="G25758" s="30" t="s">
        <v>140</v>
      </c>
      <c r="H25758" s="32">
        <v>303</v>
      </c>
      <c r="I25758" s="30" t="s">
        <v>51</v>
      </c>
      <c r="J25758" s="41">
        <v>45778</v>
      </c>
      <c r="K25758" s="30" t="s">
        <v>22</v>
      </c>
    </row>
    <row r="25759" spans="1:11">
      <c r="A25759" s="33" t="s">
        <v>56672</v>
      </c>
      <c r="B25759" s="33" t="s">
        <v>56673</v>
      </c>
      <c r="C25759" s="33" t="s">
        <v>5246</v>
      </c>
      <c r="D25759" s="33" t="s">
        <v>17</v>
      </c>
      <c r="E25759" s="33" t="s">
        <v>18</v>
      </c>
      <c r="F25759" s="33" t="s">
        <v>19</v>
      </c>
      <c r="G25759" s="33" t="s">
        <v>7780</v>
      </c>
      <c r="H25759" s="35">
        <v>350</v>
      </c>
      <c r="I25759" s="33" t="s">
        <v>51</v>
      </c>
      <c r="J25759" s="42">
        <v>45900</v>
      </c>
      <c r="K25759" s="33" t="s">
        <v>22</v>
      </c>
    </row>
    <row r="25760" spans="1:11">
      <c r="A25760" s="30" t="s">
        <v>56674</v>
      </c>
      <c r="B25760" s="30" t="s">
        <v>56675</v>
      </c>
      <c r="C25760" s="30" t="s">
        <v>570</v>
      </c>
      <c r="D25760" s="30" t="s">
        <v>17</v>
      </c>
      <c r="E25760" s="30" t="s">
        <v>67</v>
      </c>
      <c r="F25760" s="30" t="s">
        <v>68</v>
      </c>
      <c r="G25760" s="30" t="s">
        <v>7780</v>
      </c>
      <c r="H25760" s="32">
        <v>50</v>
      </c>
      <c r="I25760" s="30" t="s">
        <v>51</v>
      </c>
      <c r="J25760" s="41">
        <v>45931</v>
      </c>
      <c r="K25760" s="30" t="s">
        <v>22</v>
      </c>
    </row>
    <row r="25761" spans="1:11">
      <c r="A25761" s="33" t="s">
        <v>56676</v>
      </c>
      <c r="B25761" s="33" t="s">
        <v>56677</v>
      </c>
      <c r="C25761" s="33" t="s">
        <v>56678</v>
      </c>
      <c r="D25761" s="33" t="s">
        <v>17</v>
      </c>
      <c r="E25761" s="33" t="s">
        <v>26</v>
      </c>
      <c r="F25761" s="33" t="s">
        <v>27</v>
      </c>
      <c r="G25761" s="33" t="s">
        <v>140</v>
      </c>
      <c r="H25761" s="35">
        <v>76</v>
      </c>
      <c r="I25761" s="33" t="s">
        <v>51</v>
      </c>
      <c r="J25761" s="42">
        <v>45974</v>
      </c>
      <c r="K25761" s="33" t="s">
        <v>22</v>
      </c>
    </row>
    <row r="25762" spans="1:11">
      <c r="A25762" s="30" t="s">
        <v>56679</v>
      </c>
      <c r="B25762" s="30" t="s">
        <v>56680</v>
      </c>
      <c r="C25762" s="30" t="s">
        <v>37693</v>
      </c>
      <c r="D25762" s="30" t="s">
        <v>17</v>
      </c>
      <c r="E25762" s="30" t="s">
        <v>31</v>
      </c>
      <c r="F25762" s="30" t="s">
        <v>32</v>
      </c>
      <c r="G25762" s="30" t="s">
        <v>140</v>
      </c>
      <c r="H25762" s="32">
        <v>204</v>
      </c>
      <c r="I25762" s="30" t="s">
        <v>51</v>
      </c>
      <c r="J25762" s="41">
        <v>45959</v>
      </c>
      <c r="K25762" s="30" t="s">
        <v>22</v>
      </c>
    </row>
    <row r="25763" spans="1:11">
      <c r="A25763" s="33" t="s">
        <v>56681</v>
      </c>
      <c r="B25763" s="33" t="s">
        <v>56682</v>
      </c>
      <c r="C25763" s="33" t="s">
        <v>3296</v>
      </c>
      <c r="D25763" s="33" t="s">
        <v>17</v>
      </c>
      <c r="E25763" s="33" t="s">
        <v>26</v>
      </c>
      <c r="F25763" s="33" t="s">
        <v>27</v>
      </c>
      <c r="G25763" s="33" t="s">
        <v>7780</v>
      </c>
      <c r="H25763" s="35">
        <v>32</v>
      </c>
      <c r="I25763" s="33" t="s">
        <v>51</v>
      </c>
      <c r="J25763" s="42">
        <v>45798</v>
      </c>
      <c r="K25763" s="33" t="s">
        <v>22</v>
      </c>
    </row>
    <row r="25764" spans="1:11">
      <c r="A25764" s="30" t="s">
        <v>56683</v>
      </c>
      <c r="B25764" s="30" t="s">
        <v>56684</v>
      </c>
      <c r="C25764" s="30" t="s">
        <v>318</v>
      </c>
      <c r="D25764" s="30" t="s">
        <v>17</v>
      </c>
      <c r="E25764" s="30" t="s">
        <v>18</v>
      </c>
      <c r="F25764" s="30" t="s">
        <v>19</v>
      </c>
      <c r="G25764" s="30" t="s">
        <v>140</v>
      </c>
      <c r="H25764" s="32">
        <v>750</v>
      </c>
      <c r="I25764" s="30" t="s">
        <v>51</v>
      </c>
      <c r="J25764" s="41">
        <v>45989</v>
      </c>
      <c r="K25764" s="30" t="s">
        <v>22</v>
      </c>
    </row>
    <row r="25765" spans="1:11">
      <c r="A25765" s="33" t="s">
        <v>56685</v>
      </c>
      <c r="B25765" s="33" t="s">
        <v>56686</v>
      </c>
      <c r="C25765" s="33" t="s">
        <v>109</v>
      </c>
      <c r="D25765" s="33" t="s">
        <v>17</v>
      </c>
      <c r="E25765" s="33" t="s">
        <v>31</v>
      </c>
      <c r="F25765" s="33" t="s">
        <v>32</v>
      </c>
      <c r="G25765" s="33" t="s">
        <v>140</v>
      </c>
      <c r="H25765" s="35">
        <v>126</v>
      </c>
      <c r="I25765" s="33" t="s">
        <v>51</v>
      </c>
      <c r="J25765" s="42">
        <v>45729</v>
      </c>
      <c r="K25765" s="33" t="s">
        <v>22</v>
      </c>
    </row>
    <row r="25766" spans="1:11">
      <c r="A25766" s="30" t="s">
        <v>56687</v>
      </c>
      <c r="B25766" s="30" t="s">
        <v>56688</v>
      </c>
      <c r="C25766" s="30" t="s">
        <v>149</v>
      </c>
      <c r="D25766" s="30" t="s">
        <v>17</v>
      </c>
      <c r="E25766" s="30" t="s">
        <v>26</v>
      </c>
      <c r="F25766" s="30" t="s">
        <v>27</v>
      </c>
      <c r="G25766" s="30" t="s">
        <v>20</v>
      </c>
      <c r="H25766" s="32">
        <v>20</v>
      </c>
      <c r="I25766" s="30" t="s">
        <v>21</v>
      </c>
      <c r="J25766" s="41">
        <v>45775</v>
      </c>
      <c r="K25766" s="30" t="s">
        <v>22</v>
      </c>
    </row>
    <row r="25767" spans="1:11">
      <c r="A25767" s="33" t="s">
        <v>56689</v>
      </c>
      <c r="B25767" s="33" t="s">
        <v>56690</v>
      </c>
      <c r="C25767" s="33" t="s">
        <v>39828</v>
      </c>
      <c r="D25767" s="33" t="s">
        <v>17</v>
      </c>
      <c r="E25767" s="33" t="s">
        <v>26</v>
      </c>
      <c r="F25767" s="33" t="s">
        <v>27</v>
      </c>
      <c r="G25767" s="33" t="s">
        <v>7780</v>
      </c>
      <c r="H25767" s="35">
        <v>32</v>
      </c>
      <c r="I25767" s="33" t="s">
        <v>51</v>
      </c>
      <c r="J25767" s="42">
        <v>46021</v>
      </c>
      <c r="K25767" s="33" t="s">
        <v>22</v>
      </c>
    </row>
    <row r="25768" spans="1:11">
      <c r="A25768" s="30" t="s">
        <v>56691</v>
      </c>
      <c r="B25768" s="30" t="s">
        <v>56692</v>
      </c>
      <c r="C25768" s="30" t="s">
        <v>12233</v>
      </c>
      <c r="D25768" s="30" t="s">
        <v>17</v>
      </c>
      <c r="E25768" s="30" t="s">
        <v>26</v>
      </c>
      <c r="F25768" s="30" t="s">
        <v>27</v>
      </c>
      <c r="G25768" s="30" t="s">
        <v>112</v>
      </c>
      <c r="H25768" s="32">
        <v>0</v>
      </c>
      <c r="I25768" s="30" t="s">
        <v>21</v>
      </c>
      <c r="J25768" s="41">
        <v>45809</v>
      </c>
      <c r="K25768" s="30" t="s">
        <v>22</v>
      </c>
    </row>
    <row r="25769" spans="1:11">
      <c r="A25769" s="33" t="s">
        <v>56693</v>
      </c>
      <c r="B25769" s="33" t="s">
        <v>56694</v>
      </c>
      <c r="C25769" s="33" t="s">
        <v>130</v>
      </c>
      <c r="D25769" s="33" t="s">
        <v>17</v>
      </c>
      <c r="E25769" s="33" t="s">
        <v>26</v>
      </c>
      <c r="F25769" s="33" t="s">
        <v>27</v>
      </c>
      <c r="G25769" s="33" t="s">
        <v>20</v>
      </c>
      <c r="H25769" s="35">
        <v>63</v>
      </c>
      <c r="I25769" s="33" t="s">
        <v>21</v>
      </c>
      <c r="J25769" s="42">
        <v>45854</v>
      </c>
      <c r="K25769" s="33" t="s">
        <v>22</v>
      </c>
    </row>
    <row r="25770" spans="1:11">
      <c r="A25770" s="30" t="s">
        <v>56695</v>
      </c>
      <c r="B25770" s="30" t="s">
        <v>56696</v>
      </c>
      <c r="C25770" s="30" t="s">
        <v>56697</v>
      </c>
      <c r="D25770" s="30" t="s">
        <v>17</v>
      </c>
      <c r="E25770" s="30" t="s">
        <v>26</v>
      </c>
      <c r="F25770" s="30" t="s">
        <v>27</v>
      </c>
      <c r="G25770" s="30" t="s">
        <v>20</v>
      </c>
      <c r="H25770" s="32">
        <v>64</v>
      </c>
      <c r="I25770" s="30" t="s">
        <v>21</v>
      </c>
      <c r="J25770" s="41">
        <v>45740</v>
      </c>
      <c r="K25770" s="30" t="s">
        <v>22</v>
      </c>
    </row>
    <row r="25771" spans="1:11">
      <c r="A25771" s="33" t="s">
        <v>56698</v>
      </c>
      <c r="B25771" s="33" t="s">
        <v>56699</v>
      </c>
      <c r="C25771" s="33" t="s">
        <v>21185</v>
      </c>
      <c r="D25771" s="33" t="s">
        <v>17</v>
      </c>
      <c r="E25771" s="33" t="s">
        <v>31</v>
      </c>
      <c r="F25771" s="33" t="s">
        <v>32</v>
      </c>
      <c r="G25771" s="33" t="s">
        <v>158</v>
      </c>
      <c r="H25771" s="35">
        <v>256</v>
      </c>
      <c r="I25771" s="33" t="s">
        <v>21</v>
      </c>
      <c r="J25771" s="42">
        <v>45733</v>
      </c>
      <c r="K25771" s="33" t="s">
        <v>22</v>
      </c>
    </row>
    <row r="25772" spans="1:11">
      <c r="A25772" s="30" t="s">
        <v>56700</v>
      </c>
      <c r="B25772" s="30" t="s">
        <v>56701</v>
      </c>
      <c r="C25772" s="30" t="s">
        <v>56702</v>
      </c>
      <c r="D25772" s="30" t="s">
        <v>17</v>
      </c>
      <c r="E25772" s="30" t="s">
        <v>26</v>
      </c>
      <c r="F25772" s="30" t="s">
        <v>27</v>
      </c>
      <c r="G25772" s="30" t="s">
        <v>140</v>
      </c>
      <c r="H25772" s="32">
        <v>62</v>
      </c>
      <c r="I25772" s="30" t="s">
        <v>51</v>
      </c>
      <c r="J25772" s="41">
        <v>45819</v>
      </c>
      <c r="K25772" s="30" t="s">
        <v>22</v>
      </c>
    </row>
    <row r="25773" spans="1:11">
      <c r="A25773" s="33" t="s">
        <v>56703</v>
      </c>
      <c r="B25773" s="33" t="s">
        <v>56704</v>
      </c>
      <c r="C25773" s="33" t="s">
        <v>154</v>
      </c>
      <c r="D25773" s="33" t="s">
        <v>17</v>
      </c>
      <c r="E25773" s="33" t="s">
        <v>26</v>
      </c>
      <c r="F25773" s="33" t="s">
        <v>27</v>
      </c>
      <c r="G25773" s="33" t="s">
        <v>20</v>
      </c>
      <c r="H25773" s="35">
        <v>34</v>
      </c>
      <c r="I25773" s="33" t="s">
        <v>21</v>
      </c>
      <c r="J25773" s="42">
        <v>45857</v>
      </c>
      <c r="K25773" s="33" t="s">
        <v>22</v>
      </c>
    </row>
    <row r="25774" spans="1:11">
      <c r="A25774" s="30" t="s">
        <v>56705</v>
      </c>
      <c r="B25774" s="30" t="s">
        <v>56706</v>
      </c>
      <c r="C25774" s="30" t="s">
        <v>11441</v>
      </c>
      <c r="D25774" s="30" t="s">
        <v>17</v>
      </c>
      <c r="E25774" s="30" t="s">
        <v>31</v>
      </c>
      <c r="F25774" s="30" t="s">
        <v>32</v>
      </c>
      <c r="G25774" s="30" t="s">
        <v>7780</v>
      </c>
      <c r="H25774" s="32">
        <v>105</v>
      </c>
      <c r="I25774" s="30" t="s">
        <v>51</v>
      </c>
      <c r="J25774" s="41">
        <v>45887</v>
      </c>
      <c r="K25774" s="30" t="s">
        <v>22</v>
      </c>
    </row>
    <row r="25775" spans="1:11">
      <c r="A25775" s="33" t="s">
        <v>56707</v>
      </c>
      <c r="B25775" s="33" t="s">
        <v>56708</v>
      </c>
      <c r="C25775" s="33" t="s">
        <v>56709</v>
      </c>
      <c r="D25775" s="33" t="s">
        <v>17</v>
      </c>
      <c r="E25775" s="33" t="s">
        <v>26</v>
      </c>
      <c r="F25775" s="33" t="s">
        <v>27</v>
      </c>
      <c r="G25775" s="33" t="s">
        <v>140</v>
      </c>
      <c r="H25775" s="35">
        <v>180</v>
      </c>
      <c r="I25775" s="33" t="s">
        <v>51</v>
      </c>
      <c r="J25775" s="42">
        <v>46020</v>
      </c>
      <c r="K25775" s="33" t="s">
        <v>22</v>
      </c>
    </row>
    <row r="25776" spans="1:11">
      <c r="A25776" s="30" t="s">
        <v>56710</v>
      </c>
      <c r="B25776" s="30" t="s">
        <v>56711</v>
      </c>
      <c r="C25776" s="30" t="s">
        <v>2905</v>
      </c>
      <c r="D25776" s="30" t="s">
        <v>17</v>
      </c>
      <c r="E25776" s="30" t="s">
        <v>18</v>
      </c>
      <c r="F25776" s="30" t="s">
        <v>19</v>
      </c>
      <c r="G25776" s="30" t="s">
        <v>7780</v>
      </c>
      <c r="H25776" s="32">
        <v>152</v>
      </c>
      <c r="I25776" s="30" t="s">
        <v>51</v>
      </c>
      <c r="J25776" s="41">
        <v>45960</v>
      </c>
      <c r="K25776" s="30" t="s">
        <v>22</v>
      </c>
    </row>
    <row r="25777" spans="1:11">
      <c r="A25777" s="33" t="s">
        <v>56712</v>
      </c>
      <c r="B25777" s="33" t="s">
        <v>56713</v>
      </c>
      <c r="C25777" s="33" t="s">
        <v>3429</v>
      </c>
      <c r="D25777" s="33" t="s">
        <v>17</v>
      </c>
      <c r="E25777" s="33" t="s">
        <v>26</v>
      </c>
      <c r="F25777" s="33" t="s">
        <v>27</v>
      </c>
      <c r="G25777" s="33" t="s">
        <v>20</v>
      </c>
      <c r="H25777" s="35">
        <v>14</v>
      </c>
      <c r="I25777" s="33" t="s">
        <v>21</v>
      </c>
      <c r="J25777" s="42">
        <v>45666</v>
      </c>
      <c r="K25777" s="33" t="s">
        <v>22</v>
      </c>
    </row>
    <row r="25778" spans="1:11">
      <c r="A25778" s="30" t="s">
        <v>56714</v>
      </c>
      <c r="B25778" s="30" t="s">
        <v>56715</v>
      </c>
      <c r="C25778" s="30" t="s">
        <v>647</v>
      </c>
      <c r="D25778" s="30" t="s">
        <v>17</v>
      </c>
      <c r="E25778" s="30" t="s">
        <v>26</v>
      </c>
      <c r="F25778" s="30" t="s">
        <v>27</v>
      </c>
      <c r="G25778" s="30" t="s">
        <v>20</v>
      </c>
      <c r="H25778" s="32">
        <v>18</v>
      </c>
      <c r="I25778" s="30" t="s">
        <v>21</v>
      </c>
      <c r="J25778" s="41">
        <v>45958</v>
      </c>
      <c r="K25778" s="30" t="s">
        <v>22</v>
      </c>
    </row>
    <row r="25779" spans="1:11">
      <c r="A25779" s="33" t="s">
        <v>56716</v>
      </c>
      <c r="B25779" s="33" t="s">
        <v>56717</v>
      </c>
      <c r="C25779" s="33" t="s">
        <v>56718</v>
      </c>
      <c r="D25779" s="33" t="s">
        <v>17</v>
      </c>
      <c r="E25779" s="33" t="s">
        <v>67</v>
      </c>
      <c r="F25779" s="33" t="s">
        <v>68</v>
      </c>
      <c r="G25779" s="33" t="s">
        <v>7780</v>
      </c>
      <c r="H25779" s="35">
        <v>91</v>
      </c>
      <c r="I25779" s="33" t="s">
        <v>51</v>
      </c>
      <c r="J25779" s="42">
        <v>45748</v>
      </c>
      <c r="K25779" s="33" t="s">
        <v>22</v>
      </c>
    </row>
    <row r="25780" spans="1:11">
      <c r="A25780" s="30" t="s">
        <v>56719</v>
      </c>
      <c r="B25780" s="30" t="s">
        <v>56720</v>
      </c>
      <c r="C25780" s="30" t="s">
        <v>5139</v>
      </c>
      <c r="D25780" s="30" t="s">
        <v>17</v>
      </c>
      <c r="E25780" s="30" t="s">
        <v>26</v>
      </c>
      <c r="F25780" s="30" t="s">
        <v>27</v>
      </c>
      <c r="G25780" s="30" t="s">
        <v>106</v>
      </c>
      <c r="H25780" s="32">
        <v>13</v>
      </c>
      <c r="I25780" s="30" t="s">
        <v>21</v>
      </c>
      <c r="J25780" s="41">
        <v>46004</v>
      </c>
      <c r="K25780" s="30" t="s">
        <v>22</v>
      </c>
    </row>
    <row r="25781" spans="1:11">
      <c r="A25781" s="33" t="s">
        <v>56721</v>
      </c>
      <c r="B25781" s="33" t="s">
        <v>56722</v>
      </c>
      <c r="C25781" s="33" t="s">
        <v>11052</v>
      </c>
      <c r="D25781" s="33" t="s">
        <v>17</v>
      </c>
      <c r="E25781" s="33" t="s">
        <v>26</v>
      </c>
      <c r="F25781" s="33" t="s">
        <v>27</v>
      </c>
      <c r="G25781" s="33" t="s">
        <v>140</v>
      </c>
      <c r="H25781" s="35">
        <v>51</v>
      </c>
      <c r="I25781" s="33" t="s">
        <v>51</v>
      </c>
      <c r="J25781" s="42">
        <v>46009</v>
      </c>
      <c r="K25781" s="33" t="s">
        <v>22</v>
      </c>
    </row>
    <row r="25782" spans="1:11">
      <c r="A25782" s="30" t="s">
        <v>56723</v>
      </c>
      <c r="B25782" s="30" t="s">
        <v>56724</v>
      </c>
      <c r="C25782" s="30" t="s">
        <v>12031</v>
      </c>
      <c r="D25782" s="30" t="s">
        <v>17</v>
      </c>
      <c r="E25782" s="30" t="s">
        <v>67</v>
      </c>
      <c r="F25782" s="30" t="s">
        <v>68</v>
      </c>
      <c r="G25782" s="30" t="s">
        <v>140</v>
      </c>
      <c r="H25782" s="32">
        <v>18</v>
      </c>
      <c r="I25782" s="30" t="s">
        <v>51</v>
      </c>
      <c r="J25782" s="41">
        <v>45962</v>
      </c>
      <c r="K25782" s="30" t="s">
        <v>22</v>
      </c>
    </row>
    <row r="25783" spans="1:11">
      <c r="A25783" s="33" t="s">
        <v>56725</v>
      </c>
      <c r="B25783" s="33" t="s">
        <v>56726</v>
      </c>
      <c r="C25783" s="33" t="s">
        <v>149</v>
      </c>
      <c r="D25783" s="33" t="s">
        <v>17</v>
      </c>
      <c r="E25783" s="33" t="s">
        <v>67</v>
      </c>
      <c r="F25783" s="33" t="s">
        <v>68</v>
      </c>
      <c r="G25783" s="33" t="s">
        <v>140</v>
      </c>
      <c r="H25783" s="35">
        <v>48</v>
      </c>
      <c r="I25783" s="33" t="s">
        <v>51</v>
      </c>
      <c r="J25783" s="42">
        <v>45848</v>
      </c>
      <c r="K25783" s="33" t="s">
        <v>22</v>
      </c>
    </row>
    <row r="25784" spans="1:11">
      <c r="A25784" s="30" t="s">
        <v>56727</v>
      </c>
      <c r="B25784" s="30" t="s">
        <v>56728</v>
      </c>
      <c r="C25784" s="30" t="s">
        <v>19148</v>
      </c>
      <c r="D25784" s="30" t="s">
        <v>17</v>
      </c>
      <c r="E25784" s="30" t="s">
        <v>26</v>
      </c>
      <c r="F25784" s="30" t="s">
        <v>27</v>
      </c>
      <c r="G25784" s="30" t="s">
        <v>20</v>
      </c>
      <c r="H25784" s="32">
        <v>16</v>
      </c>
      <c r="I25784" s="30" t="s">
        <v>21</v>
      </c>
      <c r="J25784" s="41">
        <v>45669</v>
      </c>
      <c r="K25784" s="30" t="s">
        <v>22</v>
      </c>
    </row>
    <row r="25785" spans="1:11">
      <c r="A25785" s="33" t="s">
        <v>56729</v>
      </c>
      <c r="B25785" s="33" t="s">
        <v>56730</v>
      </c>
      <c r="C25785" s="33" t="s">
        <v>35474</v>
      </c>
      <c r="D25785" s="33" t="s">
        <v>17</v>
      </c>
      <c r="E25785" s="33" t="s">
        <v>31</v>
      </c>
      <c r="F25785" s="33" t="s">
        <v>32</v>
      </c>
      <c r="G25785" s="33" t="s">
        <v>140</v>
      </c>
      <c r="H25785" s="35">
        <v>50</v>
      </c>
      <c r="I25785" s="33" t="s">
        <v>51</v>
      </c>
      <c r="J25785" s="42">
        <v>45895</v>
      </c>
      <c r="K25785" s="33" t="s">
        <v>22</v>
      </c>
    </row>
    <row r="25786" spans="1:11">
      <c r="A25786" s="30" t="s">
        <v>56731</v>
      </c>
      <c r="B25786" s="30" t="s">
        <v>56732</v>
      </c>
      <c r="C25786" s="30" t="s">
        <v>718</v>
      </c>
      <c r="D25786" s="30" t="s">
        <v>17</v>
      </c>
      <c r="E25786" s="30" t="s">
        <v>26</v>
      </c>
      <c r="F25786" s="30" t="s">
        <v>27</v>
      </c>
      <c r="G25786" s="30" t="s">
        <v>7780</v>
      </c>
      <c r="H25786" s="32">
        <v>94</v>
      </c>
      <c r="I25786" s="30" t="s">
        <v>51</v>
      </c>
      <c r="J25786" s="41">
        <v>45677</v>
      </c>
      <c r="K25786" s="30" t="s">
        <v>22</v>
      </c>
    </row>
    <row r="25787" spans="1:11">
      <c r="A25787" s="33" t="s">
        <v>56733</v>
      </c>
      <c r="B25787" s="33" t="s">
        <v>56734</v>
      </c>
      <c r="C25787" s="33" t="s">
        <v>25594</v>
      </c>
      <c r="D25787" s="33" t="s">
        <v>17</v>
      </c>
      <c r="E25787" s="33" t="s">
        <v>67</v>
      </c>
      <c r="F25787" s="33" t="s">
        <v>68</v>
      </c>
      <c r="G25787" s="33" t="s">
        <v>140</v>
      </c>
      <c r="H25787" s="35">
        <v>270</v>
      </c>
      <c r="I25787" s="33" t="s">
        <v>51</v>
      </c>
      <c r="J25787" s="42">
        <v>45931</v>
      </c>
      <c r="K25787" s="33" t="s">
        <v>22</v>
      </c>
    </row>
    <row r="25788" spans="1:11">
      <c r="A25788" s="30" t="s">
        <v>56735</v>
      </c>
      <c r="B25788" s="30" t="s">
        <v>56736</v>
      </c>
      <c r="C25788" s="30" t="s">
        <v>36905</v>
      </c>
      <c r="D25788" s="30" t="s">
        <v>17</v>
      </c>
      <c r="E25788" s="30" t="s">
        <v>67</v>
      </c>
      <c r="F25788" s="30" t="s">
        <v>68</v>
      </c>
      <c r="G25788" s="30" t="s">
        <v>158</v>
      </c>
      <c r="H25788" s="32">
        <v>27</v>
      </c>
      <c r="I25788" s="30" t="s">
        <v>51</v>
      </c>
      <c r="J25788" s="41">
        <v>45699</v>
      </c>
      <c r="K25788" s="30" t="s">
        <v>22</v>
      </c>
    </row>
    <row r="25789" spans="1:11">
      <c r="A25789" s="33" t="s">
        <v>56737</v>
      </c>
      <c r="B25789" s="33" t="s">
        <v>56738</v>
      </c>
      <c r="C25789" s="33" t="s">
        <v>6814</v>
      </c>
      <c r="D25789" s="33" t="s">
        <v>17</v>
      </c>
      <c r="E25789" s="33" t="s">
        <v>31</v>
      </c>
      <c r="F25789" s="33" t="s">
        <v>32</v>
      </c>
      <c r="G25789" s="33" t="s">
        <v>140</v>
      </c>
      <c r="H25789" s="35">
        <v>250</v>
      </c>
      <c r="I25789" s="33" t="s">
        <v>51</v>
      </c>
      <c r="J25789" s="42">
        <v>45996</v>
      </c>
      <c r="K25789" s="33" t="s">
        <v>22</v>
      </c>
    </row>
    <row r="25790" spans="1:11">
      <c r="A25790" s="30" t="s">
        <v>56739</v>
      </c>
      <c r="B25790" s="30" t="s">
        <v>56740</v>
      </c>
      <c r="C25790" s="30" t="s">
        <v>190</v>
      </c>
      <c r="D25790" s="30" t="s">
        <v>17</v>
      </c>
      <c r="E25790" s="30" t="s">
        <v>31</v>
      </c>
      <c r="F25790" s="30" t="s">
        <v>32</v>
      </c>
      <c r="G25790" s="30" t="s">
        <v>158</v>
      </c>
      <c r="H25790" s="32">
        <v>37</v>
      </c>
      <c r="I25790" s="30" t="s">
        <v>21</v>
      </c>
      <c r="J25790" s="41">
        <v>45747</v>
      </c>
      <c r="K25790" s="30" t="s">
        <v>22</v>
      </c>
    </row>
    <row r="25791" spans="1:11">
      <c r="A25791" s="33" t="s">
        <v>56741</v>
      </c>
      <c r="B25791" s="33" t="s">
        <v>56742</v>
      </c>
      <c r="C25791" s="33" t="s">
        <v>56743</v>
      </c>
      <c r="D25791" s="33" t="s">
        <v>17</v>
      </c>
      <c r="E25791" s="33" t="s">
        <v>31</v>
      </c>
      <c r="F25791" s="33" t="s">
        <v>32</v>
      </c>
      <c r="G25791" s="33" t="s">
        <v>140</v>
      </c>
      <c r="H25791" s="35">
        <v>120</v>
      </c>
      <c r="I25791" s="33" t="s">
        <v>51</v>
      </c>
      <c r="J25791" s="42">
        <v>45931</v>
      </c>
      <c r="K25791" s="33" t="s">
        <v>22</v>
      </c>
    </row>
    <row r="25792" spans="1:11">
      <c r="A25792" s="30" t="s">
        <v>56744</v>
      </c>
      <c r="B25792" s="30" t="s">
        <v>56745</v>
      </c>
      <c r="C25792" s="30" t="s">
        <v>50793</v>
      </c>
      <c r="D25792" s="30" t="s">
        <v>17</v>
      </c>
      <c r="E25792" s="30" t="s">
        <v>26</v>
      </c>
      <c r="F25792" s="30" t="s">
        <v>27</v>
      </c>
      <c r="G25792" s="30" t="s">
        <v>158</v>
      </c>
      <c r="H25792" s="32">
        <v>47</v>
      </c>
      <c r="I25792" s="30" t="s">
        <v>51</v>
      </c>
      <c r="J25792" s="41">
        <v>45824</v>
      </c>
      <c r="K25792" s="30" t="s">
        <v>22</v>
      </c>
    </row>
    <row r="25793" spans="1:11">
      <c r="A25793" s="33" t="s">
        <v>56746</v>
      </c>
      <c r="B25793" s="33" t="s">
        <v>56747</v>
      </c>
      <c r="C25793" s="33" t="s">
        <v>27241</v>
      </c>
      <c r="D25793" s="33" t="s">
        <v>17</v>
      </c>
      <c r="E25793" s="33" t="s">
        <v>26</v>
      </c>
      <c r="F25793" s="33" t="s">
        <v>27</v>
      </c>
      <c r="G25793" s="33" t="s">
        <v>7780</v>
      </c>
      <c r="H25793" s="35">
        <v>55</v>
      </c>
      <c r="I25793" s="33" t="s">
        <v>51</v>
      </c>
      <c r="J25793" s="42">
        <v>45748</v>
      </c>
      <c r="K25793" s="33" t="s">
        <v>22</v>
      </c>
    </row>
    <row r="25794" spans="1:11">
      <c r="A25794" s="30" t="s">
        <v>56748</v>
      </c>
      <c r="B25794" s="30" t="s">
        <v>56749</v>
      </c>
      <c r="C25794" s="30" t="s">
        <v>2001</v>
      </c>
      <c r="D25794" s="30" t="s">
        <v>17</v>
      </c>
      <c r="E25794" s="30" t="s">
        <v>31</v>
      </c>
      <c r="F25794" s="30" t="s">
        <v>32</v>
      </c>
      <c r="G25794" s="30" t="s">
        <v>140</v>
      </c>
      <c r="H25794" s="32">
        <v>60</v>
      </c>
      <c r="I25794" s="30" t="s">
        <v>51</v>
      </c>
      <c r="J25794" s="41">
        <v>46013</v>
      </c>
      <c r="K25794" s="30" t="s">
        <v>22</v>
      </c>
    </row>
    <row r="25795" spans="1:11">
      <c r="A25795" s="33" t="s">
        <v>56750</v>
      </c>
      <c r="B25795" s="33" t="s">
        <v>56751</v>
      </c>
      <c r="C25795" s="33" t="s">
        <v>96</v>
      </c>
      <c r="D25795" s="33" t="s">
        <v>17</v>
      </c>
      <c r="E25795" s="33" t="s">
        <v>18</v>
      </c>
      <c r="F25795" s="33" t="s">
        <v>19</v>
      </c>
      <c r="G25795" s="33" t="s">
        <v>140</v>
      </c>
      <c r="H25795" s="35">
        <v>6000</v>
      </c>
      <c r="I25795" s="33" t="s">
        <v>51</v>
      </c>
      <c r="J25795" s="42">
        <v>45894</v>
      </c>
      <c r="K25795" s="33" t="s">
        <v>22</v>
      </c>
    </row>
    <row r="25796" spans="1:11">
      <c r="A25796" s="30" t="s">
        <v>56752</v>
      </c>
      <c r="B25796" s="30" t="s">
        <v>56753</v>
      </c>
      <c r="C25796" s="30" t="s">
        <v>136</v>
      </c>
      <c r="D25796" s="30" t="s">
        <v>17</v>
      </c>
      <c r="E25796" s="30" t="s">
        <v>26</v>
      </c>
      <c r="F25796" s="30" t="s">
        <v>27</v>
      </c>
      <c r="G25796" s="30" t="s">
        <v>158</v>
      </c>
      <c r="H25796" s="32">
        <v>76</v>
      </c>
      <c r="I25796" s="30" t="s">
        <v>51</v>
      </c>
      <c r="J25796" s="41">
        <v>45817</v>
      </c>
      <c r="K25796" s="30" t="s">
        <v>22</v>
      </c>
    </row>
    <row r="25797" spans="1:11">
      <c r="A25797" s="33" t="s">
        <v>56754</v>
      </c>
      <c r="B25797" s="33" t="s">
        <v>56755</v>
      </c>
      <c r="C25797" s="33" t="s">
        <v>56756</v>
      </c>
      <c r="D25797" s="33" t="s">
        <v>17</v>
      </c>
      <c r="E25797" s="33" t="s">
        <v>26</v>
      </c>
      <c r="F25797" s="33" t="s">
        <v>27</v>
      </c>
      <c r="G25797" s="33" t="s">
        <v>7780</v>
      </c>
      <c r="H25797" s="35">
        <v>56</v>
      </c>
      <c r="I25797" s="33" t="s">
        <v>51</v>
      </c>
      <c r="J25797" s="42">
        <v>45854</v>
      </c>
      <c r="K25797" s="33" t="s">
        <v>22</v>
      </c>
    </row>
    <row r="25798" spans="1:11">
      <c r="A25798" s="30" t="s">
        <v>56757</v>
      </c>
      <c r="B25798" s="30" t="s">
        <v>56758</v>
      </c>
      <c r="C25798" s="30" t="s">
        <v>37584</v>
      </c>
      <c r="D25798" s="30" t="s">
        <v>17</v>
      </c>
      <c r="E25798" s="30" t="s">
        <v>26</v>
      </c>
      <c r="F25798" s="30" t="s">
        <v>27</v>
      </c>
      <c r="G25798" s="30" t="s">
        <v>20</v>
      </c>
      <c r="H25798" s="32">
        <v>14</v>
      </c>
      <c r="I25798" s="30" t="s">
        <v>21</v>
      </c>
      <c r="J25798" s="41">
        <v>45936</v>
      </c>
      <c r="K25798" s="30" t="s">
        <v>22</v>
      </c>
    </row>
    <row r="25799" spans="1:11">
      <c r="A25799" s="33" t="s">
        <v>56759</v>
      </c>
      <c r="B25799" s="33" t="s">
        <v>56760</v>
      </c>
      <c r="C25799" s="33" t="s">
        <v>2839</v>
      </c>
      <c r="D25799" s="33" t="s">
        <v>17</v>
      </c>
      <c r="E25799" s="33" t="s">
        <v>26</v>
      </c>
      <c r="F25799" s="33" t="s">
        <v>27</v>
      </c>
      <c r="G25799" s="33" t="s">
        <v>140</v>
      </c>
      <c r="H25799" s="35">
        <v>154</v>
      </c>
      <c r="I25799" s="33" t="s">
        <v>51</v>
      </c>
      <c r="J25799" s="42">
        <v>45774</v>
      </c>
      <c r="K25799" s="33" t="s">
        <v>22</v>
      </c>
    </row>
    <row r="25800" spans="1:11">
      <c r="A25800" s="30" t="s">
        <v>56761</v>
      </c>
      <c r="B25800" s="30" t="s">
        <v>56762</v>
      </c>
      <c r="C25800" s="30" t="s">
        <v>14483</v>
      </c>
      <c r="D25800" s="30" t="s">
        <v>17</v>
      </c>
      <c r="E25800" s="30" t="s">
        <v>18</v>
      </c>
      <c r="F25800" s="30" t="s">
        <v>19</v>
      </c>
      <c r="G25800" s="30" t="s">
        <v>7780</v>
      </c>
      <c r="H25800" s="32">
        <v>94</v>
      </c>
      <c r="I25800" s="30" t="s">
        <v>51</v>
      </c>
      <c r="J25800" s="41">
        <v>45778</v>
      </c>
      <c r="K25800" s="30" t="s">
        <v>22</v>
      </c>
    </row>
    <row r="25801" spans="1:11">
      <c r="A25801" s="33" t="s">
        <v>56763</v>
      </c>
      <c r="B25801" s="33" t="s">
        <v>56764</v>
      </c>
      <c r="C25801" s="33" t="s">
        <v>6735</v>
      </c>
      <c r="D25801" s="33" t="s">
        <v>17</v>
      </c>
      <c r="E25801" s="33" t="s">
        <v>212</v>
      </c>
      <c r="F25801" s="33" t="s">
        <v>213</v>
      </c>
      <c r="G25801" s="33" t="s">
        <v>158</v>
      </c>
      <c r="H25801" s="35">
        <v>17</v>
      </c>
      <c r="I25801" s="33" t="s">
        <v>21</v>
      </c>
      <c r="J25801" s="42">
        <v>45846</v>
      </c>
      <c r="K25801" s="33" t="s">
        <v>22</v>
      </c>
    </row>
    <row r="25802" spans="1:11">
      <c r="A25802" s="30" t="s">
        <v>56765</v>
      </c>
      <c r="B25802" s="30" t="s">
        <v>56766</v>
      </c>
      <c r="C25802" s="30" t="s">
        <v>10216</v>
      </c>
      <c r="D25802" s="30" t="s">
        <v>17</v>
      </c>
      <c r="E25802" s="30" t="s">
        <v>26</v>
      </c>
      <c r="F25802" s="30" t="s">
        <v>27</v>
      </c>
      <c r="G25802" s="30" t="s">
        <v>20</v>
      </c>
      <c r="H25802" s="32">
        <v>40</v>
      </c>
      <c r="I25802" s="30" t="s">
        <v>21</v>
      </c>
      <c r="J25802" s="41">
        <v>45922</v>
      </c>
      <c r="K25802" s="30" t="s">
        <v>22</v>
      </c>
    </row>
    <row r="25803" spans="1:11">
      <c r="A25803" s="33" t="s">
        <v>56767</v>
      </c>
      <c r="B25803" s="33" t="s">
        <v>56768</v>
      </c>
      <c r="C25803" s="33" t="s">
        <v>26737</v>
      </c>
      <c r="D25803" s="33" t="s">
        <v>17</v>
      </c>
      <c r="E25803" s="33" t="s">
        <v>26</v>
      </c>
      <c r="F25803" s="33" t="s">
        <v>27</v>
      </c>
      <c r="G25803" s="33" t="s">
        <v>140</v>
      </c>
      <c r="H25803" s="35">
        <v>405</v>
      </c>
      <c r="I25803" s="33" t="s">
        <v>51</v>
      </c>
      <c r="J25803" s="42">
        <v>45863</v>
      </c>
      <c r="K25803" s="33" t="s">
        <v>22</v>
      </c>
    </row>
    <row r="25804" spans="1:11">
      <c r="A25804" s="30" t="s">
        <v>56769</v>
      </c>
      <c r="B25804" s="30" t="s">
        <v>56770</v>
      </c>
      <c r="C25804" s="30" t="s">
        <v>718</v>
      </c>
      <c r="D25804" s="30" t="s">
        <v>17</v>
      </c>
      <c r="E25804" s="30" t="s">
        <v>31</v>
      </c>
      <c r="F25804" s="30" t="s">
        <v>32</v>
      </c>
      <c r="G25804" s="30" t="s">
        <v>7780</v>
      </c>
      <c r="H25804" s="32">
        <v>150</v>
      </c>
      <c r="I25804" s="30" t="s">
        <v>51</v>
      </c>
      <c r="J25804" s="41">
        <v>45689</v>
      </c>
      <c r="K25804" s="30" t="s">
        <v>22</v>
      </c>
    </row>
    <row r="25805" spans="1:11">
      <c r="A25805" s="33" t="s">
        <v>56771</v>
      </c>
      <c r="B25805" s="33" t="s">
        <v>56772</v>
      </c>
      <c r="C25805" s="33" t="s">
        <v>149</v>
      </c>
      <c r="D25805" s="33" t="s">
        <v>17</v>
      </c>
      <c r="E25805" s="33" t="s">
        <v>26</v>
      </c>
      <c r="F25805" s="33" t="s">
        <v>27</v>
      </c>
      <c r="G25805" s="33" t="s">
        <v>20</v>
      </c>
      <c r="H25805" s="35">
        <v>24</v>
      </c>
      <c r="I25805" s="33" t="s">
        <v>21</v>
      </c>
      <c r="J25805" s="42">
        <v>45853</v>
      </c>
      <c r="K25805" s="33" t="s">
        <v>22</v>
      </c>
    </row>
    <row r="25806" spans="1:11">
      <c r="A25806" s="30" t="s">
        <v>56773</v>
      </c>
      <c r="B25806" s="30" t="s">
        <v>56774</v>
      </c>
      <c r="C25806" s="30" t="s">
        <v>5469</v>
      </c>
      <c r="D25806" s="30" t="s">
        <v>17</v>
      </c>
      <c r="E25806" s="30" t="s">
        <v>18</v>
      </c>
      <c r="F25806" s="30" t="s">
        <v>19</v>
      </c>
      <c r="G25806" s="30" t="s">
        <v>140</v>
      </c>
      <c r="H25806" s="32">
        <v>24</v>
      </c>
      <c r="I25806" s="30" t="s">
        <v>51</v>
      </c>
      <c r="J25806" s="41">
        <v>45903</v>
      </c>
      <c r="K25806" s="30" t="s">
        <v>22</v>
      </c>
    </row>
    <row r="25807" spans="1:11">
      <c r="A25807" s="33" t="s">
        <v>56775</v>
      </c>
      <c r="B25807" s="33" t="s">
        <v>56776</v>
      </c>
      <c r="C25807" s="33" t="s">
        <v>14483</v>
      </c>
      <c r="D25807" s="33" t="s">
        <v>17</v>
      </c>
      <c r="E25807" s="33" t="s">
        <v>26</v>
      </c>
      <c r="F25807" s="33" t="s">
        <v>27</v>
      </c>
      <c r="G25807" s="33" t="s">
        <v>140</v>
      </c>
      <c r="H25807" s="35">
        <v>82</v>
      </c>
      <c r="I25807" s="33" t="s">
        <v>51</v>
      </c>
      <c r="J25807" s="42">
        <v>45818</v>
      </c>
      <c r="K25807" s="33" t="s">
        <v>22</v>
      </c>
    </row>
    <row r="25808" spans="1:11">
      <c r="A25808" s="30" t="s">
        <v>56777</v>
      </c>
      <c r="B25808" s="30" t="s">
        <v>56778</v>
      </c>
      <c r="C25808" s="30" t="s">
        <v>124</v>
      </c>
      <c r="D25808" s="30" t="s">
        <v>17</v>
      </c>
      <c r="E25808" s="30" t="s">
        <v>31</v>
      </c>
      <c r="F25808" s="30" t="s">
        <v>32</v>
      </c>
      <c r="G25808" s="30" t="s">
        <v>140</v>
      </c>
      <c r="H25808" s="32">
        <v>50</v>
      </c>
      <c r="I25808" s="30" t="s">
        <v>51</v>
      </c>
      <c r="J25808" s="41">
        <v>45771</v>
      </c>
      <c r="K25808" s="30" t="s">
        <v>22</v>
      </c>
    </row>
    <row r="25809" spans="1:11">
      <c r="A25809" s="33" t="s">
        <v>56779</v>
      </c>
      <c r="B25809" s="33" t="s">
        <v>56780</v>
      </c>
      <c r="C25809" s="33" t="s">
        <v>96</v>
      </c>
      <c r="D25809" s="33" t="s">
        <v>17</v>
      </c>
      <c r="E25809" s="33" t="s">
        <v>18</v>
      </c>
      <c r="F25809" s="33" t="s">
        <v>19</v>
      </c>
      <c r="G25809" s="33" t="s">
        <v>112</v>
      </c>
      <c r="H25809" s="35">
        <v>0</v>
      </c>
      <c r="I25809" s="33" t="s">
        <v>21</v>
      </c>
      <c r="J25809" s="42">
        <v>45915</v>
      </c>
      <c r="K25809" s="33" t="s">
        <v>22</v>
      </c>
    </row>
    <row r="25810" spans="1:11">
      <c r="A25810" s="30" t="s">
        <v>56781</v>
      </c>
      <c r="B25810" s="30" t="s">
        <v>56782</v>
      </c>
      <c r="C25810" s="30" t="s">
        <v>93</v>
      </c>
      <c r="D25810" s="30" t="s">
        <v>17</v>
      </c>
      <c r="E25810" s="30" t="s">
        <v>26</v>
      </c>
      <c r="F25810" s="30" t="s">
        <v>27</v>
      </c>
      <c r="G25810" s="30" t="s">
        <v>158</v>
      </c>
      <c r="H25810" s="32">
        <v>20</v>
      </c>
      <c r="I25810" s="30" t="s">
        <v>51</v>
      </c>
      <c r="J25810" s="41">
        <v>45853</v>
      </c>
      <c r="K25810" s="30" t="s">
        <v>22</v>
      </c>
    </row>
    <row r="25811" spans="1:11">
      <c r="A25811" s="33" t="s">
        <v>56783</v>
      </c>
      <c r="B25811" s="33" t="s">
        <v>56784</v>
      </c>
      <c r="C25811" s="33" t="s">
        <v>3673</v>
      </c>
      <c r="D25811" s="33" t="s">
        <v>17</v>
      </c>
      <c r="E25811" s="33" t="s">
        <v>45</v>
      </c>
      <c r="F25811" s="33" t="s">
        <v>46</v>
      </c>
      <c r="G25811" s="33" t="s">
        <v>7780</v>
      </c>
      <c r="H25811" s="35">
        <v>240</v>
      </c>
      <c r="I25811" s="33" t="s">
        <v>51</v>
      </c>
      <c r="J25811" s="42">
        <v>45929</v>
      </c>
      <c r="K25811" s="33" t="s">
        <v>22</v>
      </c>
    </row>
    <row r="25812" spans="1:11">
      <c r="A25812" s="30" t="s">
        <v>56785</v>
      </c>
      <c r="B25812" s="30" t="s">
        <v>56786</v>
      </c>
      <c r="C25812" s="30" t="s">
        <v>4260</v>
      </c>
      <c r="D25812" s="30" t="s">
        <v>17</v>
      </c>
      <c r="E25812" s="30" t="s">
        <v>26</v>
      </c>
      <c r="F25812" s="30" t="s">
        <v>27</v>
      </c>
      <c r="G25812" s="30" t="s">
        <v>20</v>
      </c>
      <c r="H25812" s="32">
        <v>24</v>
      </c>
      <c r="I25812" s="30" t="s">
        <v>21</v>
      </c>
      <c r="J25812" s="41">
        <v>45670</v>
      </c>
      <c r="K25812" s="30" t="s">
        <v>22</v>
      </c>
    </row>
    <row r="25813" spans="1:11">
      <c r="A25813" s="33" t="s">
        <v>56787</v>
      </c>
      <c r="B25813" s="33" t="s">
        <v>56788</v>
      </c>
      <c r="C25813" s="33" t="s">
        <v>3400</v>
      </c>
      <c r="D25813" s="33" t="s">
        <v>17</v>
      </c>
      <c r="E25813" s="33" t="s">
        <v>18</v>
      </c>
      <c r="F25813" s="33" t="s">
        <v>19</v>
      </c>
      <c r="G25813" s="33" t="s">
        <v>112</v>
      </c>
      <c r="H25813" s="35">
        <v>0</v>
      </c>
      <c r="I25813" s="33" t="s">
        <v>21</v>
      </c>
      <c r="J25813" s="42">
        <v>45658</v>
      </c>
      <c r="K25813" s="33" t="s">
        <v>22</v>
      </c>
    </row>
    <row r="25814" spans="1:11">
      <c r="A25814" s="30" t="s">
        <v>56789</v>
      </c>
      <c r="B25814" s="30" t="s">
        <v>56790</v>
      </c>
      <c r="C25814" s="30" t="s">
        <v>4348</v>
      </c>
      <c r="D25814" s="30" t="s">
        <v>17</v>
      </c>
      <c r="E25814" s="30" t="s">
        <v>18</v>
      </c>
      <c r="F25814" s="30" t="s">
        <v>19</v>
      </c>
      <c r="G25814" s="30" t="s">
        <v>140</v>
      </c>
      <c r="H25814" s="32">
        <v>566</v>
      </c>
      <c r="I25814" s="30" t="s">
        <v>51</v>
      </c>
      <c r="J25814" s="41">
        <v>45792</v>
      </c>
      <c r="K25814" s="30" t="s">
        <v>22</v>
      </c>
    </row>
    <row r="25815" spans="1:11">
      <c r="A25815" s="33" t="s">
        <v>56791</v>
      </c>
      <c r="B25815" s="33" t="s">
        <v>56792</v>
      </c>
      <c r="C25815" s="33" t="s">
        <v>14816</v>
      </c>
      <c r="D25815" s="33" t="s">
        <v>17</v>
      </c>
      <c r="E25815" s="33" t="s">
        <v>67</v>
      </c>
      <c r="F25815" s="33" t="s">
        <v>68</v>
      </c>
      <c r="G25815" s="33" t="s">
        <v>140</v>
      </c>
      <c r="H25815" s="35">
        <v>120</v>
      </c>
      <c r="I25815" s="33" t="s">
        <v>51</v>
      </c>
      <c r="J25815" s="42">
        <v>45771</v>
      </c>
      <c r="K25815" s="33" t="s">
        <v>22</v>
      </c>
    </row>
    <row r="25816" spans="1:11">
      <c r="A25816" s="30" t="s">
        <v>56793</v>
      </c>
      <c r="B25816" s="30" t="s">
        <v>56794</v>
      </c>
      <c r="C25816" s="30" t="s">
        <v>2922</v>
      </c>
      <c r="D25816" s="30" t="s">
        <v>17</v>
      </c>
      <c r="E25816" s="30" t="s">
        <v>18</v>
      </c>
      <c r="F25816" s="30" t="s">
        <v>19</v>
      </c>
      <c r="G25816" s="30" t="s">
        <v>158</v>
      </c>
      <c r="H25816" s="32">
        <v>480</v>
      </c>
      <c r="I25816" s="30" t="s">
        <v>51</v>
      </c>
      <c r="J25816" s="41">
        <v>45719</v>
      </c>
      <c r="K25816" s="30" t="s">
        <v>22</v>
      </c>
    </row>
    <row r="25817" spans="1:11">
      <c r="A25817" s="33" t="s">
        <v>56795</v>
      </c>
      <c r="B25817" s="33" t="s">
        <v>56796</v>
      </c>
      <c r="C25817" s="33" t="s">
        <v>23340</v>
      </c>
      <c r="D25817" s="33" t="s">
        <v>17</v>
      </c>
      <c r="E25817" s="33" t="s">
        <v>31</v>
      </c>
      <c r="F25817" s="33" t="s">
        <v>32</v>
      </c>
      <c r="G25817" s="33" t="s">
        <v>140</v>
      </c>
      <c r="H25817" s="35">
        <v>210</v>
      </c>
      <c r="I25817" s="33" t="s">
        <v>51</v>
      </c>
      <c r="J25817" s="42">
        <v>45930</v>
      </c>
      <c r="K25817" s="33" t="s">
        <v>22</v>
      </c>
    </row>
    <row r="25818" spans="1:11">
      <c r="A25818" s="30" t="s">
        <v>56797</v>
      </c>
      <c r="B25818" s="30" t="s">
        <v>56798</v>
      </c>
      <c r="C25818" s="30" t="s">
        <v>39363</v>
      </c>
      <c r="D25818" s="30" t="s">
        <v>17</v>
      </c>
      <c r="E25818" s="30" t="s">
        <v>18</v>
      </c>
      <c r="F25818" s="30" t="s">
        <v>19</v>
      </c>
      <c r="G25818" s="30" t="s">
        <v>140</v>
      </c>
      <c r="H25818" s="32">
        <v>246</v>
      </c>
      <c r="I25818" s="30" t="s">
        <v>51</v>
      </c>
      <c r="J25818" s="41">
        <v>45925</v>
      </c>
      <c r="K25818" s="30" t="s">
        <v>22</v>
      </c>
    </row>
    <row r="25819" spans="1:11">
      <c r="A25819" s="33" t="s">
        <v>56799</v>
      </c>
      <c r="B25819" s="33" t="s">
        <v>56800</v>
      </c>
      <c r="C25819" s="33" t="s">
        <v>6379</v>
      </c>
      <c r="D25819" s="33" t="s">
        <v>17</v>
      </c>
      <c r="E25819" s="33" t="s">
        <v>31</v>
      </c>
      <c r="F25819" s="33" t="s">
        <v>32</v>
      </c>
      <c r="G25819" s="33" t="s">
        <v>158</v>
      </c>
      <c r="H25819" s="35">
        <v>7</v>
      </c>
      <c r="I25819" s="33" t="s">
        <v>21</v>
      </c>
      <c r="J25819" s="42">
        <v>45930</v>
      </c>
      <c r="K25819" s="33" t="s">
        <v>22</v>
      </c>
    </row>
    <row r="25820" spans="1:11">
      <c r="A25820" s="30" t="s">
        <v>56801</v>
      </c>
      <c r="B25820" s="30" t="s">
        <v>56802</v>
      </c>
      <c r="C25820" s="30" t="s">
        <v>29833</v>
      </c>
      <c r="D25820" s="30" t="s">
        <v>17</v>
      </c>
      <c r="E25820" s="30" t="s">
        <v>26</v>
      </c>
      <c r="F25820" s="30" t="s">
        <v>27</v>
      </c>
      <c r="G25820" s="30" t="s">
        <v>140</v>
      </c>
      <c r="H25820" s="32">
        <v>80</v>
      </c>
      <c r="I25820" s="30" t="s">
        <v>51</v>
      </c>
      <c r="J25820" s="41">
        <v>45880</v>
      </c>
      <c r="K25820" s="30" t="s">
        <v>22</v>
      </c>
    </row>
    <row r="25821" spans="1:11">
      <c r="A25821" s="33" t="s">
        <v>56803</v>
      </c>
      <c r="B25821" s="33" t="s">
        <v>56804</v>
      </c>
      <c r="C25821" s="33" t="s">
        <v>109</v>
      </c>
      <c r="D25821" s="33" t="s">
        <v>17</v>
      </c>
      <c r="E25821" s="33" t="s">
        <v>18</v>
      </c>
      <c r="F25821" s="33" t="s">
        <v>19</v>
      </c>
      <c r="G25821" s="33" t="s">
        <v>140</v>
      </c>
      <c r="H25821" s="35">
        <v>599</v>
      </c>
      <c r="I25821" s="33" t="s">
        <v>51</v>
      </c>
      <c r="J25821" s="42">
        <v>45796</v>
      </c>
      <c r="K25821" s="33" t="s">
        <v>22</v>
      </c>
    </row>
    <row r="25822" spans="1:11">
      <c r="A25822" s="30" t="s">
        <v>56805</v>
      </c>
      <c r="B25822" s="30" t="s">
        <v>56806</v>
      </c>
      <c r="C25822" s="30" t="s">
        <v>1498</v>
      </c>
      <c r="D25822" s="30" t="s">
        <v>17</v>
      </c>
      <c r="E25822" s="30" t="s">
        <v>26</v>
      </c>
      <c r="F25822" s="30" t="s">
        <v>27</v>
      </c>
      <c r="G25822" s="30" t="s">
        <v>20</v>
      </c>
      <c r="H25822" s="32">
        <v>40</v>
      </c>
      <c r="I25822" s="30" t="s">
        <v>21</v>
      </c>
      <c r="J25822" s="41">
        <v>45917</v>
      </c>
      <c r="K25822" s="30" t="s">
        <v>22</v>
      </c>
    </row>
    <row r="25823" spans="1:11">
      <c r="A25823" s="33" t="s">
        <v>56807</v>
      </c>
      <c r="B25823" s="33" t="s">
        <v>56808</v>
      </c>
      <c r="C25823" s="33" t="s">
        <v>379</v>
      </c>
      <c r="D25823" s="33" t="s">
        <v>17</v>
      </c>
      <c r="E25823" s="33" t="s">
        <v>31</v>
      </c>
      <c r="F25823" s="33" t="s">
        <v>32</v>
      </c>
      <c r="G25823" s="33" t="s">
        <v>140</v>
      </c>
      <c r="H25823" s="35">
        <v>70</v>
      </c>
      <c r="I25823" s="33" t="s">
        <v>51</v>
      </c>
      <c r="J25823" s="42">
        <v>45749</v>
      </c>
      <c r="K25823" s="33" t="s">
        <v>22</v>
      </c>
    </row>
    <row r="25824" spans="1:11">
      <c r="A25824" s="30" t="s">
        <v>56809</v>
      </c>
      <c r="B25824" s="30" t="s">
        <v>56810</v>
      </c>
      <c r="C25824" s="30" t="s">
        <v>14176</v>
      </c>
      <c r="D25824" s="30" t="s">
        <v>17</v>
      </c>
      <c r="E25824" s="30" t="s">
        <v>18</v>
      </c>
      <c r="F25824" s="30" t="s">
        <v>19</v>
      </c>
      <c r="G25824" s="30" t="s">
        <v>140</v>
      </c>
      <c r="H25824" s="32">
        <v>300</v>
      </c>
      <c r="I25824" s="30" t="s">
        <v>51</v>
      </c>
      <c r="J25824" s="41">
        <v>46002</v>
      </c>
      <c r="K25824" s="30" t="s">
        <v>22</v>
      </c>
    </row>
    <row r="25825" spans="1:11">
      <c r="A25825" s="33" t="s">
        <v>56811</v>
      </c>
      <c r="B25825" s="33" t="s">
        <v>56812</v>
      </c>
      <c r="C25825" s="33" t="s">
        <v>715</v>
      </c>
      <c r="D25825" s="33" t="s">
        <v>17</v>
      </c>
      <c r="E25825" s="33" t="s">
        <v>31</v>
      </c>
      <c r="F25825" s="33" t="s">
        <v>32</v>
      </c>
      <c r="G25825" s="33" t="s">
        <v>20</v>
      </c>
      <c r="H25825" s="35">
        <v>150</v>
      </c>
      <c r="I25825" s="33" t="s">
        <v>21</v>
      </c>
      <c r="J25825" s="42">
        <v>45726</v>
      </c>
      <c r="K25825" s="33" t="s">
        <v>22</v>
      </c>
    </row>
    <row r="25826" spans="1:11">
      <c r="A25826" s="30" t="s">
        <v>56813</v>
      </c>
      <c r="B25826" s="30" t="s">
        <v>56814</v>
      </c>
      <c r="C25826" s="30" t="s">
        <v>45722</v>
      </c>
      <c r="D25826" s="30" t="s">
        <v>17</v>
      </c>
      <c r="E25826" s="30" t="s">
        <v>26</v>
      </c>
      <c r="F25826" s="30" t="s">
        <v>27</v>
      </c>
      <c r="G25826" s="30" t="s">
        <v>20</v>
      </c>
      <c r="H25826" s="32">
        <v>38</v>
      </c>
      <c r="I25826" s="30" t="s">
        <v>21</v>
      </c>
      <c r="J25826" s="41">
        <v>45677</v>
      </c>
      <c r="K25826" s="30" t="s">
        <v>22</v>
      </c>
    </row>
    <row r="25827" spans="1:11">
      <c r="A25827" s="33" t="s">
        <v>56815</v>
      </c>
      <c r="B25827" s="33" t="s">
        <v>56816</v>
      </c>
      <c r="C25827" s="33" t="s">
        <v>1764</v>
      </c>
      <c r="D25827" s="33" t="s">
        <v>17</v>
      </c>
      <c r="E25827" s="33" t="s">
        <v>18</v>
      </c>
      <c r="F25827" s="33" t="s">
        <v>19</v>
      </c>
      <c r="G25827" s="33" t="s">
        <v>20</v>
      </c>
      <c r="H25827" s="35">
        <v>80</v>
      </c>
      <c r="I25827" s="33" t="s">
        <v>21</v>
      </c>
      <c r="J25827" s="42">
        <v>45981</v>
      </c>
      <c r="K25827" s="33" t="s">
        <v>22</v>
      </c>
    </row>
    <row r="25828" spans="1:11">
      <c r="A25828" s="30" t="s">
        <v>56817</v>
      </c>
      <c r="B25828" s="30" t="s">
        <v>56818</v>
      </c>
      <c r="C25828" s="30" t="s">
        <v>42561</v>
      </c>
      <c r="D25828" s="30" t="s">
        <v>17</v>
      </c>
      <c r="E25828" s="30" t="s">
        <v>18</v>
      </c>
      <c r="F25828" s="30" t="s">
        <v>19</v>
      </c>
      <c r="G25828" s="30" t="s">
        <v>140</v>
      </c>
      <c r="H25828" s="32">
        <v>420</v>
      </c>
      <c r="I25828" s="30" t="s">
        <v>51</v>
      </c>
      <c r="J25828" s="41">
        <v>45923</v>
      </c>
      <c r="K25828" s="30" t="s">
        <v>22</v>
      </c>
    </row>
    <row r="25829" spans="1:11">
      <c r="A25829" s="33" t="s">
        <v>56819</v>
      </c>
      <c r="B25829" s="33" t="s">
        <v>56820</v>
      </c>
      <c r="C25829" s="33" t="s">
        <v>684</v>
      </c>
      <c r="D25829" s="33" t="s">
        <v>17</v>
      </c>
      <c r="E25829" s="33" t="s">
        <v>18</v>
      </c>
      <c r="F25829" s="33" t="s">
        <v>19</v>
      </c>
      <c r="G25829" s="33" t="s">
        <v>140</v>
      </c>
      <c r="H25829" s="35">
        <v>400</v>
      </c>
      <c r="I25829" s="33" t="s">
        <v>51</v>
      </c>
      <c r="J25829" s="42">
        <v>45866</v>
      </c>
      <c r="K25829" s="33" t="s">
        <v>22</v>
      </c>
    </row>
    <row r="25830" spans="1:11">
      <c r="A25830" s="30" t="s">
        <v>56821</v>
      </c>
      <c r="B25830" s="30" t="s">
        <v>56822</v>
      </c>
      <c r="C25830" s="30" t="s">
        <v>2739</v>
      </c>
      <c r="D25830" s="30" t="s">
        <v>17</v>
      </c>
      <c r="E25830" s="30" t="s">
        <v>26</v>
      </c>
      <c r="F25830" s="30" t="s">
        <v>27</v>
      </c>
      <c r="G25830" s="30" t="s">
        <v>140</v>
      </c>
      <c r="H25830" s="32">
        <v>150</v>
      </c>
      <c r="I25830" s="30" t="s">
        <v>51</v>
      </c>
      <c r="J25830" s="41">
        <v>45992</v>
      </c>
      <c r="K25830" s="30" t="s">
        <v>22</v>
      </c>
    </row>
    <row r="25831" spans="1:11">
      <c r="A25831" s="33" t="s">
        <v>56823</v>
      </c>
      <c r="B25831" s="33" t="s">
        <v>56824</v>
      </c>
      <c r="C25831" s="33" t="s">
        <v>647</v>
      </c>
      <c r="D25831" s="33" t="s">
        <v>17</v>
      </c>
      <c r="E25831" s="33" t="s">
        <v>31</v>
      </c>
      <c r="F25831" s="33" t="s">
        <v>32</v>
      </c>
      <c r="G25831" s="33" t="s">
        <v>140</v>
      </c>
      <c r="H25831" s="35">
        <v>60</v>
      </c>
      <c r="I25831" s="33" t="s">
        <v>51</v>
      </c>
      <c r="J25831" s="42">
        <v>45736</v>
      </c>
      <c r="K25831" s="33" t="s">
        <v>22</v>
      </c>
    </row>
    <row r="25832" spans="1:11">
      <c r="A25832" s="30" t="s">
        <v>56825</v>
      </c>
      <c r="B25832" s="30" t="s">
        <v>56826</v>
      </c>
      <c r="C25832" s="30" t="s">
        <v>56827</v>
      </c>
      <c r="D25832" s="30" t="s">
        <v>17</v>
      </c>
      <c r="E25832" s="30" t="s">
        <v>31</v>
      </c>
      <c r="F25832" s="30" t="s">
        <v>32</v>
      </c>
      <c r="G25832" s="30" t="s">
        <v>140</v>
      </c>
      <c r="H25832" s="32">
        <v>150</v>
      </c>
      <c r="I25832" s="30" t="s">
        <v>51</v>
      </c>
      <c r="J25832" s="41">
        <v>46015</v>
      </c>
      <c r="K25832" s="30" t="s">
        <v>22</v>
      </c>
    </row>
    <row r="25833" spans="1:11">
      <c r="A25833" s="33" t="s">
        <v>56828</v>
      </c>
      <c r="B25833" s="33" t="s">
        <v>56829</v>
      </c>
      <c r="C25833" s="33" t="s">
        <v>56830</v>
      </c>
      <c r="D25833" s="33" t="s">
        <v>17</v>
      </c>
      <c r="E25833" s="33" t="s">
        <v>31</v>
      </c>
      <c r="F25833" s="33" t="s">
        <v>32</v>
      </c>
      <c r="G25833" s="33" t="s">
        <v>7780</v>
      </c>
      <c r="H25833" s="35">
        <v>78</v>
      </c>
      <c r="I25833" s="33" t="s">
        <v>51</v>
      </c>
      <c r="J25833" s="42">
        <v>45901</v>
      </c>
      <c r="K25833" s="33" t="s">
        <v>22</v>
      </c>
    </row>
    <row r="25834" spans="1:11">
      <c r="A25834" s="30" t="s">
        <v>56831</v>
      </c>
      <c r="B25834" s="30" t="s">
        <v>56832</v>
      </c>
      <c r="C25834" s="30" t="s">
        <v>56833</v>
      </c>
      <c r="D25834" s="30" t="s">
        <v>17</v>
      </c>
      <c r="E25834" s="30" t="s">
        <v>67</v>
      </c>
      <c r="F25834" s="30" t="s">
        <v>68</v>
      </c>
      <c r="G25834" s="30" t="s">
        <v>106</v>
      </c>
      <c r="H25834" s="32">
        <v>42</v>
      </c>
      <c r="I25834" s="30" t="s">
        <v>21</v>
      </c>
      <c r="J25834" s="41">
        <v>45670</v>
      </c>
      <c r="K25834" s="30" t="s">
        <v>22</v>
      </c>
    </row>
    <row r="25835" spans="1:11">
      <c r="A25835" s="33" t="s">
        <v>56834</v>
      </c>
      <c r="B25835" s="33" t="s">
        <v>56835</v>
      </c>
      <c r="C25835" s="33" t="s">
        <v>56836</v>
      </c>
      <c r="D25835" s="33" t="s">
        <v>17</v>
      </c>
      <c r="E25835" s="33" t="s">
        <v>26</v>
      </c>
      <c r="F25835" s="33" t="s">
        <v>27</v>
      </c>
      <c r="G25835" s="33" t="s">
        <v>20</v>
      </c>
      <c r="H25835" s="35">
        <v>55</v>
      </c>
      <c r="I25835" s="33" t="s">
        <v>21</v>
      </c>
      <c r="J25835" s="42">
        <v>45859</v>
      </c>
      <c r="K25835" s="33" t="s">
        <v>22</v>
      </c>
    </row>
    <row r="25836" spans="1:11">
      <c r="A25836" s="30" t="s">
        <v>56837</v>
      </c>
      <c r="B25836" s="30" t="s">
        <v>56838</v>
      </c>
      <c r="C25836" s="30" t="s">
        <v>21185</v>
      </c>
      <c r="D25836" s="30" t="s">
        <v>17</v>
      </c>
      <c r="E25836" s="30" t="s">
        <v>31</v>
      </c>
      <c r="F25836" s="30" t="s">
        <v>32</v>
      </c>
      <c r="G25836" s="30" t="s">
        <v>140</v>
      </c>
      <c r="H25836" s="32">
        <v>170</v>
      </c>
      <c r="I25836" s="30" t="s">
        <v>51</v>
      </c>
      <c r="J25836" s="41">
        <v>45729</v>
      </c>
      <c r="K25836" s="30" t="s">
        <v>22</v>
      </c>
    </row>
    <row r="25837" spans="1:11">
      <c r="A25837" s="33" t="s">
        <v>56839</v>
      </c>
      <c r="B25837" s="33" t="s">
        <v>56840</v>
      </c>
      <c r="C25837" s="33" t="s">
        <v>13882</v>
      </c>
      <c r="D25837" s="33" t="s">
        <v>17</v>
      </c>
      <c r="E25837" s="33" t="s">
        <v>31</v>
      </c>
      <c r="F25837" s="33" t="s">
        <v>32</v>
      </c>
      <c r="G25837" s="33" t="s">
        <v>140</v>
      </c>
      <c r="H25837" s="35">
        <v>54</v>
      </c>
      <c r="I25837" s="33" t="s">
        <v>51</v>
      </c>
      <c r="J25837" s="42">
        <v>46009</v>
      </c>
      <c r="K25837" s="33" t="s">
        <v>22</v>
      </c>
    </row>
    <row r="25838" spans="1:11">
      <c r="A25838" s="30" t="s">
        <v>56841</v>
      </c>
      <c r="B25838" s="30" t="s">
        <v>56842</v>
      </c>
      <c r="C25838" s="30" t="s">
        <v>647</v>
      </c>
      <c r="D25838" s="30" t="s">
        <v>17</v>
      </c>
      <c r="E25838" s="30" t="s">
        <v>26</v>
      </c>
      <c r="F25838" s="30" t="s">
        <v>27</v>
      </c>
      <c r="G25838" s="30" t="s">
        <v>20</v>
      </c>
      <c r="H25838" s="32">
        <v>9</v>
      </c>
      <c r="I25838" s="30" t="s">
        <v>21</v>
      </c>
      <c r="J25838" s="41">
        <v>45889</v>
      </c>
      <c r="K25838" s="30" t="s">
        <v>22</v>
      </c>
    </row>
    <row r="25839" spans="1:11">
      <c r="A25839" s="33" t="s">
        <v>56843</v>
      </c>
      <c r="B25839" s="33" t="s">
        <v>56844</v>
      </c>
      <c r="C25839" s="33" t="s">
        <v>310</v>
      </c>
      <c r="D25839" s="33" t="s">
        <v>17</v>
      </c>
      <c r="E25839" s="33" t="s">
        <v>212</v>
      </c>
      <c r="F25839" s="33" t="s">
        <v>213</v>
      </c>
      <c r="G25839" s="33" t="s">
        <v>140</v>
      </c>
      <c r="H25839" s="35">
        <v>586</v>
      </c>
      <c r="I25839" s="33" t="s">
        <v>51</v>
      </c>
      <c r="J25839" s="42">
        <v>45884</v>
      </c>
      <c r="K25839" s="33" t="s">
        <v>22</v>
      </c>
    </row>
    <row r="25840" spans="1:11">
      <c r="A25840" s="30" t="s">
        <v>56845</v>
      </c>
      <c r="B25840" s="30" t="s">
        <v>56846</v>
      </c>
      <c r="C25840" s="30" t="s">
        <v>37490</v>
      </c>
      <c r="D25840" s="30" t="s">
        <v>17</v>
      </c>
      <c r="E25840" s="30" t="s">
        <v>26</v>
      </c>
      <c r="F25840" s="30" t="s">
        <v>27</v>
      </c>
      <c r="G25840" s="30" t="s">
        <v>140</v>
      </c>
      <c r="H25840" s="32">
        <v>45</v>
      </c>
      <c r="I25840" s="30" t="s">
        <v>51</v>
      </c>
      <c r="J25840" s="41">
        <v>45880</v>
      </c>
      <c r="K25840" s="30" t="s">
        <v>22</v>
      </c>
    </row>
    <row r="25841" spans="1:11">
      <c r="A25841" s="33" t="s">
        <v>56847</v>
      </c>
      <c r="B25841" s="33" t="s">
        <v>56848</v>
      </c>
      <c r="C25841" s="33" t="s">
        <v>25549</v>
      </c>
      <c r="D25841" s="33" t="s">
        <v>17</v>
      </c>
      <c r="E25841" s="33" t="s">
        <v>26</v>
      </c>
      <c r="F25841" s="33" t="s">
        <v>27</v>
      </c>
      <c r="G25841" s="33" t="s">
        <v>20</v>
      </c>
      <c r="H25841" s="35">
        <v>16</v>
      </c>
      <c r="I25841" s="33" t="s">
        <v>21</v>
      </c>
      <c r="J25841" s="42">
        <v>45838</v>
      </c>
      <c r="K25841" s="33" t="s">
        <v>22</v>
      </c>
    </row>
    <row r="25842" spans="1:11">
      <c r="A25842" s="30" t="s">
        <v>56849</v>
      </c>
      <c r="B25842" s="30" t="s">
        <v>56850</v>
      </c>
      <c r="C25842" s="30" t="s">
        <v>3278</v>
      </c>
      <c r="D25842" s="30" t="s">
        <v>17</v>
      </c>
      <c r="E25842" s="30" t="s">
        <v>31</v>
      </c>
      <c r="F25842" s="30" t="s">
        <v>32</v>
      </c>
      <c r="G25842" s="30" t="s">
        <v>140</v>
      </c>
      <c r="H25842" s="32">
        <v>120</v>
      </c>
      <c r="I25842" s="30" t="s">
        <v>51</v>
      </c>
      <c r="J25842" s="41">
        <v>45799</v>
      </c>
      <c r="K25842" s="30" t="s">
        <v>22</v>
      </c>
    </row>
    <row r="25843" spans="1:11">
      <c r="A25843" s="33" t="s">
        <v>56851</v>
      </c>
      <c r="B25843" s="33" t="s">
        <v>56852</v>
      </c>
      <c r="C25843" s="33" t="s">
        <v>14528</v>
      </c>
      <c r="D25843" s="33" t="s">
        <v>17</v>
      </c>
      <c r="E25843" s="33" t="s">
        <v>18</v>
      </c>
      <c r="F25843" s="33" t="s">
        <v>19</v>
      </c>
      <c r="G25843" s="33" t="s">
        <v>140</v>
      </c>
      <c r="H25843" s="35">
        <v>40</v>
      </c>
      <c r="I25843" s="33" t="s">
        <v>51</v>
      </c>
      <c r="J25843" s="42">
        <v>45882</v>
      </c>
      <c r="K25843" s="33" t="s">
        <v>22</v>
      </c>
    </row>
    <row r="25844" spans="1:11">
      <c r="A25844" s="30" t="s">
        <v>56853</v>
      </c>
      <c r="B25844" s="30" t="s">
        <v>56854</v>
      </c>
      <c r="C25844" s="30" t="s">
        <v>18511</v>
      </c>
      <c r="D25844" s="30" t="s">
        <v>17</v>
      </c>
      <c r="E25844" s="30" t="s">
        <v>330</v>
      </c>
      <c r="F25844" s="30" t="s">
        <v>331</v>
      </c>
      <c r="G25844" s="30" t="s">
        <v>140</v>
      </c>
      <c r="H25844" s="32">
        <v>12</v>
      </c>
      <c r="I25844" s="30" t="s">
        <v>51</v>
      </c>
      <c r="J25844" s="41">
        <v>45931</v>
      </c>
      <c r="K25844" s="30" t="s">
        <v>22</v>
      </c>
    </row>
    <row r="25845" spans="1:11">
      <c r="A25845" s="33" t="s">
        <v>56855</v>
      </c>
      <c r="B25845" s="33" t="s">
        <v>56856</v>
      </c>
      <c r="C25845" s="33" t="s">
        <v>39233</v>
      </c>
      <c r="D25845" s="33" t="s">
        <v>17</v>
      </c>
      <c r="E25845" s="33" t="s">
        <v>26</v>
      </c>
      <c r="F25845" s="33" t="s">
        <v>27</v>
      </c>
      <c r="G25845" s="33" t="s">
        <v>140</v>
      </c>
      <c r="H25845" s="35">
        <v>180</v>
      </c>
      <c r="I25845" s="33" t="s">
        <v>51</v>
      </c>
      <c r="J25845" s="42">
        <v>45757</v>
      </c>
      <c r="K25845" s="33" t="s">
        <v>22</v>
      </c>
    </row>
    <row r="25846" spans="1:11">
      <c r="A25846" s="30" t="s">
        <v>56857</v>
      </c>
      <c r="B25846" s="30" t="s">
        <v>56858</v>
      </c>
      <c r="C25846" s="30" t="s">
        <v>310</v>
      </c>
      <c r="D25846" s="30" t="s">
        <v>17</v>
      </c>
      <c r="E25846" s="30" t="s">
        <v>18</v>
      </c>
      <c r="F25846" s="30" t="s">
        <v>19</v>
      </c>
      <c r="G25846" s="30" t="s">
        <v>140</v>
      </c>
      <c r="H25846" s="32">
        <v>332</v>
      </c>
      <c r="I25846" s="30" t="s">
        <v>51</v>
      </c>
      <c r="J25846" s="41">
        <v>46009</v>
      </c>
      <c r="K25846" s="30" t="s">
        <v>22</v>
      </c>
    </row>
    <row r="25847" spans="1:11">
      <c r="A25847" s="33" t="s">
        <v>56859</v>
      </c>
      <c r="B25847" s="33" t="s">
        <v>56860</v>
      </c>
      <c r="C25847" s="33" t="s">
        <v>39363</v>
      </c>
      <c r="D25847" s="33" t="s">
        <v>17</v>
      </c>
      <c r="E25847" s="33" t="s">
        <v>18</v>
      </c>
      <c r="F25847" s="33" t="s">
        <v>19</v>
      </c>
      <c r="G25847" s="33" t="s">
        <v>140</v>
      </c>
      <c r="H25847" s="35">
        <v>566</v>
      </c>
      <c r="I25847" s="33" t="s">
        <v>51</v>
      </c>
      <c r="J25847" s="42">
        <v>45993</v>
      </c>
      <c r="K25847" s="33" t="s">
        <v>22</v>
      </c>
    </row>
    <row r="25848" spans="1:11">
      <c r="A25848" s="30" t="s">
        <v>56861</v>
      </c>
      <c r="B25848" s="30" t="s">
        <v>56862</v>
      </c>
      <c r="C25848" s="30" t="s">
        <v>50946</v>
      </c>
      <c r="D25848" s="30" t="s">
        <v>17</v>
      </c>
      <c r="E25848" s="30" t="s">
        <v>26</v>
      </c>
      <c r="F25848" s="30" t="s">
        <v>27</v>
      </c>
      <c r="G25848" s="30" t="s">
        <v>20</v>
      </c>
      <c r="H25848" s="32">
        <v>51</v>
      </c>
      <c r="I25848" s="30" t="s">
        <v>21</v>
      </c>
      <c r="J25848" s="41">
        <v>45852</v>
      </c>
      <c r="K25848" s="30" t="s">
        <v>22</v>
      </c>
    </row>
    <row r="25849" spans="1:11">
      <c r="A25849" s="33" t="s">
        <v>56863</v>
      </c>
      <c r="B25849" s="33" t="s">
        <v>56864</v>
      </c>
      <c r="C25849" s="33" t="s">
        <v>6325</v>
      </c>
      <c r="D25849" s="33" t="s">
        <v>17</v>
      </c>
      <c r="E25849" s="33" t="s">
        <v>18</v>
      </c>
      <c r="F25849" s="33" t="s">
        <v>19</v>
      </c>
      <c r="G25849" s="33" t="s">
        <v>140</v>
      </c>
      <c r="H25849" s="35">
        <v>852</v>
      </c>
      <c r="I25849" s="33" t="s">
        <v>51</v>
      </c>
      <c r="J25849" s="42">
        <v>45702</v>
      </c>
      <c r="K25849" s="33" t="s">
        <v>22</v>
      </c>
    </row>
    <row r="25850" spans="1:11">
      <c r="A25850" s="30" t="s">
        <v>56865</v>
      </c>
      <c r="B25850" s="30" t="s">
        <v>56866</v>
      </c>
      <c r="C25850" s="30" t="s">
        <v>203</v>
      </c>
      <c r="D25850" s="30" t="s">
        <v>17</v>
      </c>
      <c r="E25850" s="30" t="s">
        <v>31</v>
      </c>
      <c r="F25850" s="30" t="s">
        <v>32</v>
      </c>
      <c r="G25850" s="30" t="s">
        <v>140</v>
      </c>
      <c r="H25850" s="32">
        <v>204</v>
      </c>
      <c r="I25850" s="30" t="s">
        <v>51</v>
      </c>
      <c r="J25850" s="41">
        <v>45744</v>
      </c>
      <c r="K25850" s="30" t="s">
        <v>22</v>
      </c>
    </row>
    <row r="25851" spans="1:11">
      <c r="A25851" s="33" t="s">
        <v>56867</v>
      </c>
      <c r="B25851" s="33" t="s">
        <v>56868</v>
      </c>
      <c r="C25851" s="33" t="s">
        <v>9914</v>
      </c>
      <c r="D25851" s="33" t="s">
        <v>17</v>
      </c>
      <c r="E25851" s="33" t="s">
        <v>31</v>
      </c>
      <c r="F25851" s="33" t="s">
        <v>32</v>
      </c>
      <c r="G25851" s="33" t="s">
        <v>140</v>
      </c>
      <c r="H25851" s="35">
        <v>120</v>
      </c>
      <c r="I25851" s="33" t="s">
        <v>51</v>
      </c>
      <c r="J25851" s="42">
        <v>45831</v>
      </c>
      <c r="K25851" s="33" t="s">
        <v>22</v>
      </c>
    </row>
    <row r="25852" spans="1:11">
      <c r="A25852" s="30" t="s">
        <v>56869</v>
      </c>
      <c r="B25852" s="30" t="s">
        <v>56870</v>
      </c>
      <c r="C25852" s="30" t="s">
        <v>130</v>
      </c>
      <c r="D25852" s="30" t="s">
        <v>17</v>
      </c>
      <c r="E25852" s="30" t="s">
        <v>31</v>
      </c>
      <c r="F25852" s="30" t="s">
        <v>32</v>
      </c>
      <c r="G25852" s="30" t="s">
        <v>140</v>
      </c>
      <c r="H25852" s="32">
        <v>56</v>
      </c>
      <c r="I25852" s="30" t="s">
        <v>51</v>
      </c>
      <c r="J25852" s="41">
        <v>46020</v>
      </c>
      <c r="K25852" s="30" t="s">
        <v>22</v>
      </c>
    </row>
    <row r="25853" spans="1:11">
      <c r="A25853" s="33" t="s">
        <v>56871</v>
      </c>
      <c r="B25853" s="33" t="s">
        <v>56872</v>
      </c>
      <c r="C25853" s="33" t="s">
        <v>554</v>
      </c>
      <c r="D25853" s="33" t="s">
        <v>17</v>
      </c>
      <c r="E25853" s="33" t="s">
        <v>26</v>
      </c>
      <c r="F25853" s="33" t="s">
        <v>27</v>
      </c>
      <c r="G25853" s="33" t="s">
        <v>140</v>
      </c>
      <c r="H25853" s="35">
        <v>10</v>
      </c>
      <c r="I25853" s="33" t="s">
        <v>51</v>
      </c>
      <c r="J25853" s="42">
        <v>46022</v>
      </c>
      <c r="K25853" s="33" t="s">
        <v>22</v>
      </c>
    </row>
    <row r="25854" spans="1:11">
      <c r="A25854" s="30" t="s">
        <v>56873</v>
      </c>
      <c r="B25854" s="30" t="s">
        <v>56874</v>
      </c>
      <c r="C25854" s="30" t="s">
        <v>647</v>
      </c>
      <c r="D25854" s="30" t="s">
        <v>17</v>
      </c>
      <c r="E25854" s="30" t="s">
        <v>67</v>
      </c>
      <c r="F25854" s="30" t="s">
        <v>68</v>
      </c>
      <c r="G25854" s="30" t="s">
        <v>140</v>
      </c>
      <c r="H25854" s="32">
        <v>50</v>
      </c>
      <c r="I25854" s="30" t="s">
        <v>51</v>
      </c>
      <c r="J25854" s="41">
        <v>45803</v>
      </c>
      <c r="K25854" s="30" t="s">
        <v>22</v>
      </c>
    </row>
    <row r="25855" spans="1:11">
      <c r="A25855" s="33" t="s">
        <v>56875</v>
      </c>
      <c r="B25855" s="33" t="s">
        <v>56876</v>
      </c>
      <c r="C25855" s="33" t="s">
        <v>109</v>
      </c>
      <c r="D25855" s="33" t="s">
        <v>17</v>
      </c>
      <c r="E25855" s="33" t="s">
        <v>18</v>
      </c>
      <c r="F25855" s="33" t="s">
        <v>19</v>
      </c>
      <c r="G25855" s="33" t="s">
        <v>140</v>
      </c>
      <c r="H25855" s="35">
        <v>340</v>
      </c>
      <c r="I25855" s="33" t="s">
        <v>51</v>
      </c>
      <c r="J25855" s="42">
        <v>45777</v>
      </c>
      <c r="K25855" s="33" t="s">
        <v>22</v>
      </c>
    </row>
    <row r="25856" spans="1:11">
      <c r="A25856" s="30" t="s">
        <v>56877</v>
      </c>
      <c r="B25856" s="30" t="s">
        <v>56878</v>
      </c>
      <c r="C25856" s="30" t="s">
        <v>1428</v>
      </c>
      <c r="D25856" s="30" t="s">
        <v>17</v>
      </c>
      <c r="E25856" s="30" t="s">
        <v>18</v>
      </c>
      <c r="F25856" s="30" t="s">
        <v>19</v>
      </c>
      <c r="G25856" s="30" t="s">
        <v>140</v>
      </c>
      <c r="H25856" s="32">
        <v>292</v>
      </c>
      <c r="I25856" s="30" t="s">
        <v>51</v>
      </c>
      <c r="J25856" s="41">
        <v>46020</v>
      </c>
      <c r="K25856" s="30" t="s">
        <v>22</v>
      </c>
    </row>
    <row r="25857" spans="1:11">
      <c r="A25857" s="33" t="s">
        <v>56879</v>
      </c>
      <c r="B25857" s="33" t="s">
        <v>56880</v>
      </c>
      <c r="C25857" s="33" t="s">
        <v>1270</v>
      </c>
      <c r="D25857" s="33" t="s">
        <v>17</v>
      </c>
      <c r="E25857" s="33" t="s">
        <v>26</v>
      </c>
      <c r="F25857" s="33" t="s">
        <v>27</v>
      </c>
      <c r="G25857" s="33" t="s">
        <v>7780</v>
      </c>
      <c r="H25857" s="35">
        <v>762</v>
      </c>
      <c r="I25857" s="33" t="s">
        <v>51</v>
      </c>
      <c r="J25857" s="42">
        <v>45807</v>
      </c>
      <c r="K25857" s="33" t="s">
        <v>22</v>
      </c>
    </row>
    <row r="25858" spans="1:11">
      <c r="A25858" s="30" t="s">
        <v>56881</v>
      </c>
      <c r="B25858" s="30" t="s">
        <v>56882</v>
      </c>
      <c r="C25858" s="30" t="s">
        <v>93</v>
      </c>
      <c r="D25858" s="30" t="s">
        <v>17</v>
      </c>
      <c r="E25858" s="30" t="s">
        <v>31</v>
      </c>
      <c r="F25858" s="30" t="s">
        <v>32</v>
      </c>
      <c r="G25858" s="30" t="s">
        <v>140</v>
      </c>
      <c r="H25858" s="32">
        <v>400</v>
      </c>
      <c r="I25858" s="30" t="s">
        <v>51</v>
      </c>
      <c r="J25858" s="41">
        <v>45974</v>
      </c>
      <c r="K25858" s="30" t="s">
        <v>22</v>
      </c>
    </row>
    <row r="25859" spans="1:11">
      <c r="A25859" s="33" t="s">
        <v>56883</v>
      </c>
      <c r="B25859" s="33" t="s">
        <v>56884</v>
      </c>
      <c r="C25859" s="33" t="s">
        <v>56885</v>
      </c>
      <c r="D25859" s="33" t="s">
        <v>17</v>
      </c>
      <c r="E25859" s="33" t="s">
        <v>31</v>
      </c>
      <c r="F25859" s="33" t="s">
        <v>32</v>
      </c>
      <c r="G25859" s="33" t="s">
        <v>2613</v>
      </c>
      <c r="H25859" s="35">
        <v>30</v>
      </c>
      <c r="I25859" s="33" t="s">
        <v>51</v>
      </c>
      <c r="J25859" s="42">
        <v>45886</v>
      </c>
      <c r="K25859" s="33" t="s">
        <v>22</v>
      </c>
    </row>
    <row r="25860" spans="1:11">
      <c r="A25860" s="30" t="s">
        <v>56886</v>
      </c>
      <c r="B25860" s="30" t="s">
        <v>56887</v>
      </c>
      <c r="C25860" s="30" t="s">
        <v>39112</v>
      </c>
      <c r="D25860" s="30" t="s">
        <v>17</v>
      </c>
      <c r="E25860" s="30" t="s">
        <v>31</v>
      </c>
      <c r="F25860" s="30" t="s">
        <v>32</v>
      </c>
      <c r="G25860" s="30" t="s">
        <v>140</v>
      </c>
      <c r="H25860" s="32">
        <v>645</v>
      </c>
      <c r="I25860" s="30" t="s">
        <v>51</v>
      </c>
      <c r="J25860" s="41">
        <v>45804</v>
      </c>
      <c r="K25860" s="30" t="s">
        <v>22</v>
      </c>
    </row>
    <row r="25861" spans="1:11">
      <c r="A25861" s="33" t="s">
        <v>56888</v>
      </c>
      <c r="B25861" s="33" t="s">
        <v>56889</v>
      </c>
      <c r="C25861" s="33" t="s">
        <v>13290</v>
      </c>
      <c r="D25861" s="33" t="s">
        <v>17</v>
      </c>
      <c r="E25861" s="33" t="s">
        <v>67</v>
      </c>
      <c r="F25861" s="33" t="s">
        <v>68</v>
      </c>
      <c r="G25861" s="33" t="s">
        <v>158</v>
      </c>
      <c r="H25861" s="35">
        <v>44</v>
      </c>
      <c r="I25861" s="33" t="s">
        <v>21</v>
      </c>
      <c r="J25861" s="42">
        <v>45777</v>
      </c>
      <c r="K25861" s="33" t="s">
        <v>22</v>
      </c>
    </row>
    <row r="25862" spans="1:11">
      <c r="A25862" s="30" t="s">
        <v>56890</v>
      </c>
      <c r="B25862" s="30" t="s">
        <v>56891</v>
      </c>
      <c r="C25862" s="30" t="s">
        <v>37247</v>
      </c>
      <c r="D25862" s="30" t="s">
        <v>17</v>
      </c>
      <c r="E25862" s="30" t="s">
        <v>31</v>
      </c>
      <c r="F25862" s="30" t="s">
        <v>32</v>
      </c>
      <c r="G25862" s="30" t="s">
        <v>7780</v>
      </c>
      <c r="H25862" s="32">
        <v>60</v>
      </c>
      <c r="I25862" s="30" t="s">
        <v>51</v>
      </c>
      <c r="J25862" s="41">
        <v>45962</v>
      </c>
      <c r="K25862" s="30" t="s">
        <v>22</v>
      </c>
    </row>
    <row r="25863" spans="1:11">
      <c r="A25863" s="33" t="s">
        <v>56892</v>
      </c>
      <c r="B25863" s="33" t="s">
        <v>56893</v>
      </c>
      <c r="C25863" s="33" t="s">
        <v>11690</v>
      </c>
      <c r="D25863" s="33" t="s">
        <v>17</v>
      </c>
      <c r="E25863" s="33" t="s">
        <v>67</v>
      </c>
      <c r="F25863" s="33" t="s">
        <v>68</v>
      </c>
      <c r="G25863" s="33" t="s">
        <v>7780</v>
      </c>
      <c r="H25863" s="35">
        <v>30</v>
      </c>
      <c r="I25863" s="33" t="s">
        <v>51</v>
      </c>
      <c r="J25863" s="42">
        <v>45901</v>
      </c>
      <c r="K25863" s="33" t="s">
        <v>22</v>
      </c>
    </row>
    <row r="25864" spans="1:11">
      <c r="A25864" s="30" t="s">
        <v>56894</v>
      </c>
      <c r="B25864" s="30" t="s">
        <v>56895</v>
      </c>
      <c r="C25864" s="30" t="s">
        <v>1422</v>
      </c>
      <c r="D25864" s="30" t="s">
        <v>17</v>
      </c>
      <c r="E25864" s="30" t="s">
        <v>26</v>
      </c>
      <c r="F25864" s="30" t="s">
        <v>27</v>
      </c>
      <c r="G25864" s="30" t="s">
        <v>140</v>
      </c>
      <c r="H25864" s="32">
        <v>160</v>
      </c>
      <c r="I25864" s="30" t="s">
        <v>51</v>
      </c>
      <c r="J25864" s="41">
        <v>45961</v>
      </c>
      <c r="K25864" s="30" t="s">
        <v>22</v>
      </c>
    </row>
    <row r="25865" spans="1:11">
      <c r="A25865" s="33" t="s">
        <v>56896</v>
      </c>
      <c r="B25865" s="33" t="s">
        <v>56897</v>
      </c>
      <c r="C25865" s="33" t="s">
        <v>39233</v>
      </c>
      <c r="D25865" s="33" t="s">
        <v>17</v>
      </c>
      <c r="E25865" s="33" t="s">
        <v>18</v>
      </c>
      <c r="F25865" s="33" t="s">
        <v>19</v>
      </c>
      <c r="G25865" s="33" t="s">
        <v>7780</v>
      </c>
      <c r="H25865" s="35">
        <v>500</v>
      </c>
      <c r="I25865" s="33" t="s">
        <v>51</v>
      </c>
      <c r="J25865" s="42">
        <v>46175</v>
      </c>
      <c r="K25865" s="33" t="s">
        <v>22</v>
      </c>
    </row>
    <row r="25866" spans="1:11">
      <c r="A25866" s="30" t="s">
        <v>56898</v>
      </c>
      <c r="B25866" s="30" t="s">
        <v>56899</v>
      </c>
      <c r="C25866" s="30" t="s">
        <v>3507</v>
      </c>
      <c r="D25866" s="30" t="s">
        <v>17</v>
      </c>
      <c r="E25866" s="30" t="s">
        <v>18</v>
      </c>
      <c r="F25866" s="30" t="s">
        <v>19</v>
      </c>
      <c r="G25866" s="30" t="s">
        <v>140</v>
      </c>
      <c r="H25866" s="32">
        <v>500</v>
      </c>
      <c r="I25866" s="30" t="s">
        <v>51</v>
      </c>
      <c r="J25866" s="41">
        <v>46188</v>
      </c>
      <c r="K25866" s="30" t="s">
        <v>22</v>
      </c>
    </row>
    <row r="25867" spans="1:11">
      <c r="A25867" s="33" t="s">
        <v>56900</v>
      </c>
      <c r="B25867" s="33" t="s">
        <v>56901</v>
      </c>
      <c r="C25867" s="33" t="s">
        <v>1270</v>
      </c>
      <c r="D25867" s="33" t="s">
        <v>17</v>
      </c>
      <c r="E25867" s="33" t="s">
        <v>26</v>
      </c>
      <c r="F25867" s="33" t="s">
        <v>27</v>
      </c>
      <c r="G25867" s="33" t="s">
        <v>7780</v>
      </c>
      <c r="H25867" s="35">
        <v>88</v>
      </c>
      <c r="I25867" s="33" t="s">
        <v>51</v>
      </c>
      <c r="J25867" s="42">
        <v>46174</v>
      </c>
      <c r="K25867" s="33" t="s">
        <v>22</v>
      </c>
    </row>
    <row r="25868" spans="1:11">
      <c r="A25868" s="30" t="s">
        <v>56902</v>
      </c>
      <c r="B25868" s="30" t="s">
        <v>56903</v>
      </c>
      <c r="C25868" s="30" t="s">
        <v>56904</v>
      </c>
      <c r="D25868" s="30" t="s">
        <v>17</v>
      </c>
      <c r="E25868" s="30" t="s">
        <v>26</v>
      </c>
      <c r="F25868" s="30" t="s">
        <v>27</v>
      </c>
      <c r="G25868" s="30" t="s">
        <v>7780</v>
      </c>
      <c r="H25868" s="32">
        <v>180</v>
      </c>
      <c r="I25868" s="30" t="s">
        <v>51</v>
      </c>
      <c r="J25868" s="41">
        <v>46218</v>
      </c>
      <c r="K25868" s="30" t="s">
        <v>22</v>
      </c>
    </row>
    <row r="25869" spans="1:11">
      <c r="A25869" s="33" t="s">
        <v>56905</v>
      </c>
      <c r="B25869" s="33" t="s">
        <v>56906</v>
      </c>
      <c r="C25869" s="33" t="s">
        <v>178</v>
      </c>
      <c r="D25869" s="33" t="s">
        <v>17</v>
      </c>
      <c r="E25869" s="33" t="s">
        <v>31</v>
      </c>
      <c r="F25869" s="33" t="s">
        <v>32</v>
      </c>
      <c r="G25869" s="33" t="s">
        <v>112</v>
      </c>
      <c r="H25869" s="35">
        <v>0</v>
      </c>
      <c r="I25869" s="33" t="s">
        <v>21</v>
      </c>
      <c r="J25869" s="42">
        <v>46097</v>
      </c>
      <c r="K25869" s="33" t="s">
        <v>22</v>
      </c>
    </row>
    <row r="25870" spans="1:11">
      <c r="A25870" s="30" t="s">
        <v>56907</v>
      </c>
      <c r="B25870" s="30" t="s">
        <v>56908</v>
      </c>
      <c r="C25870" s="30" t="s">
        <v>1571</v>
      </c>
      <c r="D25870" s="30" t="s">
        <v>17</v>
      </c>
      <c r="E25870" s="30" t="s">
        <v>26</v>
      </c>
      <c r="F25870" s="30" t="s">
        <v>27</v>
      </c>
      <c r="G25870" s="30" t="s">
        <v>140</v>
      </c>
      <c r="H25870" s="32">
        <v>30</v>
      </c>
      <c r="I25870" s="30" t="s">
        <v>51</v>
      </c>
      <c r="J25870" s="41">
        <v>46224</v>
      </c>
      <c r="K25870" s="30" t="s">
        <v>22</v>
      </c>
    </row>
    <row r="25871" spans="1:11">
      <c r="A25871" s="33" t="s">
        <v>56909</v>
      </c>
      <c r="B25871" s="33" t="s">
        <v>56910</v>
      </c>
      <c r="C25871" s="33" t="s">
        <v>56911</v>
      </c>
      <c r="D25871" s="33" t="s">
        <v>17</v>
      </c>
      <c r="E25871" s="33" t="s">
        <v>67</v>
      </c>
      <c r="F25871" s="33" t="s">
        <v>68</v>
      </c>
      <c r="G25871" s="33" t="s">
        <v>140</v>
      </c>
      <c r="H25871" s="35">
        <v>178</v>
      </c>
      <c r="I25871" s="33" t="s">
        <v>51</v>
      </c>
      <c r="J25871" s="42">
        <v>46099</v>
      </c>
      <c r="K25871" s="33" t="s">
        <v>22</v>
      </c>
    </row>
    <row r="25872" spans="1:11">
      <c r="A25872" s="30" t="s">
        <v>56912</v>
      </c>
      <c r="B25872" s="30" t="s">
        <v>56913</v>
      </c>
      <c r="C25872" s="30" t="s">
        <v>1801</v>
      </c>
      <c r="D25872" s="30" t="s">
        <v>17</v>
      </c>
      <c r="E25872" s="30" t="s">
        <v>26</v>
      </c>
      <c r="F25872" s="30" t="s">
        <v>27</v>
      </c>
      <c r="G25872" s="30" t="s">
        <v>140</v>
      </c>
      <c r="H25872" s="32">
        <v>72</v>
      </c>
      <c r="I25872" s="30" t="s">
        <v>51</v>
      </c>
      <c r="J25872" s="41">
        <v>46034</v>
      </c>
      <c r="K25872" s="30" t="s">
        <v>22</v>
      </c>
    </row>
    <row r="25873" spans="1:11">
      <c r="A25873" s="33" t="s">
        <v>56914</v>
      </c>
      <c r="B25873" s="33" t="s">
        <v>56915</v>
      </c>
      <c r="C25873" s="33" t="s">
        <v>1270</v>
      </c>
      <c r="D25873" s="33" t="s">
        <v>17</v>
      </c>
      <c r="E25873" s="33" t="s">
        <v>26</v>
      </c>
      <c r="F25873" s="33" t="s">
        <v>27</v>
      </c>
      <c r="G25873" s="33" t="s">
        <v>7780</v>
      </c>
      <c r="H25873" s="35">
        <v>38</v>
      </c>
      <c r="I25873" s="33" t="s">
        <v>51</v>
      </c>
      <c r="J25873" s="42">
        <v>46157</v>
      </c>
      <c r="K25873" s="33" t="s">
        <v>22</v>
      </c>
    </row>
    <row r="25874" spans="1:11">
      <c r="A25874" s="30" t="s">
        <v>56916</v>
      </c>
      <c r="B25874" s="30" t="s">
        <v>56917</v>
      </c>
      <c r="C25874" s="30" t="s">
        <v>12980</v>
      </c>
      <c r="D25874" s="30" t="s">
        <v>17</v>
      </c>
      <c r="E25874" s="30" t="s">
        <v>26</v>
      </c>
      <c r="F25874" s="30" t="s">
        <v>27</v>
      </c>
      <c r="G25874" s="30" t="s">
        <v>140</v>
      </c>
      <c r="H25874" s="32">
        <v>175</v>
      </c>
      <c r="I25874" s="30" t="s">
        <v>51</v>
      </c>
      <c r="J25874" s="41">
        <v>46163</v>
      </c>
      <c r="K25874" s="30" t="s">
        <v>22</v>
      </c>
    </row>
    <row r="25875" spans="1:11">
      <c r="A25875" s="33" t="s">
        <v>56918</v>
      </c>
      <c r="B25875" s="33" t="s">
        <v>56919</v>
      </c>
      <c r="C25875" s="33" t="s">
        <v>187</v>
      </c>
      <c r="D25875" s="33" t="s">
        <v>17</v>
      </c>
      <c r="E25875" s="33" t="s">
        <v>26</v>
      </c>
      <c r="F25875" s="33" t="s">
        <v>27</v>
      </c>
      <c r="G25875" s="33" t="s">
        <v>140</v>
      </c>
      <c r="H25875" s="35">
        <v>86</v>
      </c>
      <c r="I25875" s="33" t="s">
        <v>51</v>
      </c>
      <c r="J25875" s="42">
        <v>46044</v>
      </c>
      <c r="K25875" s="33" t="s">
        <v>22</v>
      </c>
    </row>
    <row r="25876" spans="1:11">
      <c r="A25876" s="30" t="s">
        <v>56920</v>
      </c>
      <c r="B25876" s="30" t="s">
        <v>56921</v>
      </c>
      <c r="C25876" s="30" t="s">
        <v>96</v>
      </c>
      <c r="D25876" s="30" t="s">
        <v>17</v>
      </c>
      <c r="E25876" s="30" t="s">
        <v>18</v>
      </c>
      <c r="F25876" s="30" t="s">
        <v>19</v>
      </c>
      <c r="G25876" s="30" t="s">
        <v>7780</v>
      </c>
      <c r="H25876" s="32">
        <v>336</v>
      </c>
      <c r="I25876" s="30" t="s">
        <v>51</v>
      </c>
      <c r="J25876" s="41">
        <v>46234</v>
      </c>
      <c r="K25876" s="30" t="s">
        <v>22</v>
      </c>
    </row>
    <row r="25877" spans="1:11">
      <c r="A25877" s="33" t="s">
        <v>56922</v>
      </c>
      <c r="B25877" s="33" t="s">
        <v>56923</v>
      </c>
      <c r="C25877" s="33" t="s">
        <v>75</v>
      </c>
      <c r="D25877" s="33" t="s">
        <v>17</v>
      </c>
      <c r="E25877" s="33" t="s">
        <v>18</v>
      </c>
      <c r="F25877" s="33" t="s">
        <v>19</v>
      </c>
      <c r="G25877" s="33" t="s">
        <v>140</v>
      </c>
      <c r="H25877" s="35">
        <v>166</v>
      </c>
      <c r="I25877" s="33" t="s">
        <v>51</v>
      </c>
      <c r="J25877" s="42">
        <v>46051</v>
      </c>
      <c r="K25877" s="33" t="s">
        <v>22</v>
      </c>
    </row>
    <row r="25878" spans="1:11">
      <c r="A25878" s="30" t="s">
        <v>56924</v>
      </c>
      <c r="B25878" s="30" t="s">
        <v>56925</v>
      </c>
      <c r="C25878" s="30" t="s">
        <v>647</v>
      </c>
      <c r="D25878" s="30" t="s">
        <v>17</v>
      </c>
      <c r="E25878" s="30" t="s">
        <v>67</v>
      </c>
      <c r="F25878" s="30" t="s">
        <v>68</v>
      </c>
      <c r="G25878" s="30" t="s">
        <v>140</v>
      </c>
      <c r="H25878" s="32">
        <v>60</v>
      </c>
      <c r="I25878" s="30" t="s">
        <v>51</v>
      </c>
      <c r="J25878" s="41">
        <v>46108</v>
      </c>
      <c r="K25878" s="30" t="s">
        <v>22</v>
      </c>
    </row>
    <row r="25879" spans="1:11">
      <c r="A25879" s="33" t="s">
        <v>56926</v>
      </c>
      <c r="B25879" s="33" t="s">
        <v>56927</v>
      </c>
      <c r="C25879" s="33" t="s">
        <v>310</v>
      </c>
      <c r="D25879" s="33" t="s">
        <v>17</v>
      </c>
      <c r="E25879" s="33" t="s">
        <v>26</v>
      </c>
      <c r="F25879" s="33" t="s">
        <v>27</v>
      </c>
      <c r="G25879" s="33" t="s">
        <v>140</v>
      </c>
      <c r="H25879" s="35">
        <v>80</v>
      </c>
      <c r="I25879" s="33" t="s">
        <v>51</v>
      </c>
      <c r="J25879" s="42">
        <v>46122</v>
      </c>
      <c r="K25879" s="33" t="s">
        <v>22</v>
      </c>
    </row>
    <row r="25880" spans="1:11">
      <c r="A25880" s="30" t="s">
        <v>56928</v>
      </c>
      <c r="B25880" s="30" t="s">
        <v>56929</v>
      </c>
      <c r="C25880" s="30" t="s">
        <v>39981</v>
      </c>
      <c r="D25880" s="30" t="s">
        <v>17</v>
      </c>
      <c r="E25880" s="30" t="s">
        <v>67</v>
      </c>
      <c r="F25880" s="30" t="s">
        <v>68</v>
      </c>
      <c r="G25880" s="30" t="s">
        <v>140</v>
      </c>
      <c r="H25880" s="32">
        <v>18</v>
      </c>
      <c r="I25880" s="30" t="s">
        <v>51</v>
      </c>
      <c r="J25880" s="41">
        <v>46050</v>
      </c>
      <c r="K25880" s="30" t="s">
        <v>22</v>
      </c>
    </row>
    <row r="25881" spans="1:11">
      <c r="A25881" s="33" t="s">
        <v>56930</v>
      </c>
      <c r="B25881" s="33" t="s">
        <v>56931</v>
      </c>
      <c r="C25881" s="33" t="s">
        <v>2228</v>
      </c>
      <c r="D25881" s="33" t="s">
        <v>17</v>
      </c>
      <c r="E25881" s="33" t="s">
        <v>26</v>
      </c>
      <c r="F25881" s="33" t="s">
        <v>27</v>
      </c>
      <c r="G25881" s="33" t="s">
        <v>140</v>
      </c>
      <c r="H25881" s="35">
        <v>108</v>
      </c>
      <c r="I25881" s="33" t="s">
        <v>51</v>
      </c>
      <c r="J25881" s="42">
        <v>46226</v>
      </c>
      <c r="K25881" s="33" t="s">
        <v>22</v>
      </c>
    </row>
    <row r="25882" spans="1:11">
      <c r="A25882" s="30" t="s">
        <v>56932</v>
      </c>
      <c r="B25882" s="30" t="s">
        <v>56933</v>
      </c>
      <c r="C25882" s="30" t="s">
        <v>203</v>
      </c>
      <c r="D25882" s="30" t="s">
        <v>17</v>
      </c>
      <c r="E25882" s="30" t="s">
        <v>18</v>
      </c>
      <c r="F25882" s="30" t="s">
        <v>19</v>
      </c>
      <c r="G25882" s="30" t="s">
        <v>140</v>
      </c>
      <c r="H25882" s="32">
        <v>160</v>
      </c>
      <c r="I25882" s="30" t="s">
        <v>51</v>
      </c>
      <c r="J25882" s="41">
        <v>46036</v>
      </c>
      <c r="K25882" s="30" t="s">
        <v>22</v>
      </c>
    </row>
    <row r="25883" spans="1:11">
      <c r="A25883" s="33" t="s">
        <v>56934</v>
      </c>
      <c r="B25883" s="33" t="s">
        <v>56935</v>
      </c>
      <c r="C25883" s="33" t="s">
        <v>787</v>
      </c>
      <c r="D25883" s="33" t="s">
        <v>17</v>
      </c>
      <c r="E25883" s="33" t="s">
        <v>26</v>
      </c>
      <c r="F25883" s="33" t="s">
        <v>27</v>
      </c>
      <c r="G25883" s="33" t="s">
        <v>140</v>
      </c>
      <c r="H25883" s="35">
        <v>104</v>
      </c>
      <c r="I25883" s="33" t="s">
        <v>51</v>
      </c>
      <c r="J25883" s="42">
        <v>46094</v>
      </c>
      <c r="K25883" s="33" t="s">
        <v>22</v>
      </c>
    </row>
    <row r="25884" spans="1:11">
      <c r="A25884" s="30" t="s">
        <v>56936</v>
      </c>
      <c r="B25884" s="30" t="s">
        <v>56937</v>
      </c>
      <c r="C25884" s="30" t="s">
        <v>47430</v>
      </c>
      <c r="D25884" s="30" t="s">
        <v>17</v>
      </c>
      <c r="E25884" s="30" t="s">
        <v>67</v>
      </c>
      <c r="F25884" s="30" t="s">
        <v>68</v>
      </c>
      <c r="G25884" s="30" t="s">
        <v>7780</v>
      </c>
      <c r="H25884" s="32">
        <v>18</v>
      </c>
      <c r="I25884" s="30" t="s">
        <v>51</v>
      </c>
      <c r="J25884" s="41">
        <v>46188</v>
      </c>
      <c r="K25884" s="30" t="s">
        <v>22</v>
      </c>
    </row>
    <row r="25885" spans="1:11">
      <c r="A25885" s="33" t="s">
        <v>56938</v>
      </c>
      <c r="B25885" s="33" t="s">
        <v>56939</v>
      </c>
      <c r="C25885" s="33" t="s">
        <v>4348</v>
      </c>
      <c r="D25885" s="33" t="s">
        <v>17</v>
      </c>
      <c r="E25885" s="33" t="s">
        <v>18</v>
      </c>
      <c r="F25885" s="33" t="s">
        <v>19</v>
      </c>
      <c r="G25885" s="33" t="s">
        <v>140</v>
      </c>
      <c r="H25885" s="35">
        <v>438</v>
      </c>
      <c r="I25885" s="33" t="s">
        <v>51</v>
      </c>
      <c r="J25885" s="42">
        <v>46157</v>
      </c>
      <c r="K25885" s="33" t="s">
        <v>22</v>
      </c>
    </row>
    <row r="25886" spans="1:11">
      <c r="A25886" s="30" t="s">
        <v>56940</v>
      </c>
      <c r="B25886" s="30" t="s">
        <v>56941</v>
      </c>
      <c r="C25886" s="30" t="s">
        <v>14181</v>
      </c>
      <c r="D25886" s="30" t="s">
        <v>17</v>
      </c>
      <c r="E25886" s="30" t="s">
        <v>26</v>
      </c>
      <c r="F25886" s="30" t="s">
        <v>27</v>
      </c>
      <c r="G25886" s="30" t="s">
        <v>140</v>
      </c>
      <c r="H25886" s="32">
        <v>32</v>
      </c>
      <c r="I25886" s="30" t="s">
        <v>51</v>
      </c>
      <c r="J25886" s="41">
        <v>46106</v>
      </c>
      <c r="K25886" s="30" t="s">
        <v>22</v>
      </c>
    </row>
    <row r="25887" spans="1:11">
      <c r="A25887" s="33" t="s">
        <v>56942</v>
      </c>
      <c r="B25887" s="33" t="s">
        <v>56943</v>
      </c>
      <c r="C25887" s="33" t="s">
        <v>53805</v>
      </c>
      <c r="D25887" s="33" t="s">
        <v>17</v>
      </c>
      <c r="E25887" s="33" t="s">
        <v>26</v>
      </c>
      <c r="F25887" s="33" t="s">
        <v>27</v>
      </c>
      <c r="G25887" s="33" t="s">
        <v>140</v>
      </c>
      <c r="H25887" s="35">
        <v>138</v>
      </c>
      <c r="I25887" s="33" t="s">
        <v>51</v>
      </c>
      <c r="J25887" s="42">
        <v>46204</v>
      </c>
      <c r="K25887" s="33" t="s">
        <v>22</v>
      </c>
    </row>
    <row r="25888" spans="1:11">
      <c r="A25888" s="30" t="s">
        <v>56944</v>
      </c>
      <c r="B25888" s="30" t="s">
        <v>56945</v>
      </c>
      <c r="C25888" s="30" t="s">
        <v>78</v>
      </c>
      <c r="D25888" s="30" t="s">
        <v>17</v>
      </c>
      <c r="E25888" s="30" t="s">
        <v>26</v>
      </c>
      <c r="F25888" s="30" t="s">
        <v>27</v>
      </c>
      <c r="G25888" s="30" t="s">
        <v>140</v>
      </c>
      <c r="H25888" s="32">
        <v>519</v>
      </c>
      <c r="I25888" s="30" t="s">
        <v>51</v>
      </c>
      <c r="J25888" s="41">
        <v>46062</v>
      </c>
      <c r="K25888" s="30" t="s">
        <v>22</v>
      </c>
    </row>
    <row r="25889" spans="1:11">
      <c r="A25889" s="33" t="s">
        <v>56946</v>
      </c>
      <c r="B25889" s="33" t="s">
        <v>56947</v>
      </c>
      <c r="C25889" s="33" t="s">
        <v>31562</v>
      </c>
      <c r="D25889" s="33" t="s">
        <v>17</v>
      </c>
      <c r="E25889" s="33" t="s">
        <v>26</v>
      </c>
      <c r="F25889" s="33" t="s">
        <v>27</v>
      </c>
      <c r="G25889" s="33" t="s">
        <v>140</v>
      </c>
      <c r="H25889" s="35">
        <v>396</v>
      </c>
      <c r="I25889" s="33" t="s">
        <v>51</v>
      </c>
      <c r="J25889" s="42">
        <v>46188</v>
      </c>
      <c r="K25889" s="33" t="s">
        <v>22</v>
      </c>
    </row>
    <row r="25890" spans="1:11">
      <c r="A25890" s="30" t="s">
        <v>56948</v>
      </c>
      <c r="B25890" s="30" t="s">
        <v>56949</v>
      </c>
      <c r="C25890" s="30" t="s">
        <v>190</v>
      </c>
      <c r="D25890" s="30" t="s">
        <v>17</v>
      </c>
      <c r="E25890" s="30" t="s">
        <v>18</v>
      </c>
      <c r="F25890" s="30" t="s">
        <v>19</v>
      </c>
      <c r="G25890" s="30" t="s">
        <v>140</v>
      </c>
      <c r="H25890" s="32">
        <v>420</v>
      </c>
      <c r="I25890" s="30" t="s">
        <v>51</v>
      </c>
      <c r="J25890" s="41">
        <v>46147</v>
      </c>
      <c r="K25890" s="30" t="s">
        <v>22</v>
      </c>
    </row>
    <row r="25891" spans="1:11">
      <c r="A25891" s="33" t="s">
        <v>56950</v>
      </c>
      <c r="B25891" s="33" t="s">
        <v>56951</v>
      </c>
      <c r="C25891" s="33" t="s">
        <v>56952</v>
      </c>
      <c r="D25891" s="33" t="s">
        <v>17</v>
      </c>
      <c r="E25891" s="33" t="s">
        <v>26</v>
      </c>
      <c r="F25891" s="33" t="s">
        <v>27</v>
      </c>
      <c r="G25891" s="33" t="s">
        <v>7780</v>
      </c>
      <c r="H25891" s="35">
        <v>12</v>
      </c>
      <c r="I25891" s="33" t="s">
        <v>51</v>
      </c>
      <c r="J25891" s="42">
        <v>46113</v>
      </c>
      <c r="K25891" s="33" t="s">
        <v>22</v>
      </c>
    </row>
    <row r="25892" spans="1:11">
      <c r="A25892" s="30" t="s">
        <v>56953</v>
      </c>
      <c r="B25892" s="30" t="s">
        <v>56954</v>
      </c>
      <c r="C25892" s="30" t="s">
        <v>647</v>
      </c>
      <c r="D25892" s="30" t="s">
        <v>17</v>
      </c>
      <c r="E25892" s="30" t="s">
        <v>26</v>
      </c>
      <c r="F25892" s="30" t="s">
        <v>27</v>
      </c>
      <c r="G25892" s="30" t="s">
        <v>140</v>
      </c>
      <c r="H25892" s="32">
        <v>24</v>
      </c>
      <c r="I25892" s="30" t="s">
        <v>51</v>
      </c>
      <c r="J25892" s="41">
        <v>46083</v>
      </c>
      <c r="K25892" s="30" t="s">
        <v>22</v>
      </c>
    </row>
    <row r="25893" spans="1:11">
      <c r="A25893" s="33" t="s">
        <v>56955</v>
      </c>
      <c r="B25893" s="33" t="s">
        <v>56956</v>
      </c>
      <c r="C25893" s="33" t="s">
        <v>56957</v>
      </c>
      <c r="D25893" s="33" t="s">
        <v>17</v>
      </c>
      <c r="E25893" s="33" t="s">
        <v>67</v>
      </c>
      <c r="F25893" s="33" t="s">
        <v>68</v>
      </c>
      <c r="G25893" s="33" t="s">
        <v>140</v>
      </c>
      <c r="H25893" s="35">
        <v>36</v>
      </c>
      <c r="I25893" s="33" t="s">
        <v>51</v>
      </c>
      <c r="J25893" s="42">
        <v>46057</v>
      </c>
      <c r="K25893" s="33" t="s">
        <v>22</v>
      </c>
    </row>
    <row r="25894" spans="1:11">
      <c r="A25894" s="30" t="s">
        <v>56958</v>
      </c>
      <c r="B25894" s="30" t="s">
        <v>56959</v>
      </c>
      <c r="C25894" s="30" t="s">
        <v>2382</v>
      </c>
      <c r="D25894" s="30" t="s">
        <v>17</v>
      </c>
      <c r="E25894" s="30" t="s">
        <v>31</v>
      </c>
      <c r="F25894" s="30" t="s">
        <v>32</v>
      </c>
      <c r="G25894" s="30" t="s">
        <v>7780</v>
      </c>
      <c r="H25894" s="32">
        <v>32</v>
      </c>
      <c r="I25894" s="30" t="s">
        <v>51</v>
      </c>
      <c r="J25894" s="41">
        <v>46232</v>
      </c>
      <c r="K25894" s="30" t="s">
        <v>22</v>
      </c>
    </row>
    <row r="25895" spans="1:11">
      <c r="A25895" s="33" t="s">
        <v>56960</v>
      </c>
      <c r="B25895" s="33" t="s">
        <v>56961</v>
      </c>
      <c r="C25895" s="33" t="s">
        <v>7072</v>
      </c>
      <c r="D25895" s="33" t="s">
        <v>17</v>
      </c>
      <c r="E25895" s="33" t="s">
        <v>67</v>
      </c>
      <c r="F25895" s="33" t="s">
        <v>68</v>
      </c>
      <c r="G25895" s="33" t="s">
        <v>140</v>
      </c>
      <c r="H25895" s="35">
        <v>256</v>
      </c>
      <c r="I25895" s="33" t="s">
        <v>51</v>
      </c>
      <c r="J25895" s="42">
        <v>46086</v>
      </c>
      <c r="K25895" s="33" t="s">
        <v>22</v>
      </c>
    </row>
    <row r="25896" spans="1:11">
      <c r="A25896" s="30" t="s">
        <v>56962</v>
      </c>
      <c r="B25896" s="30" t="s">
        <v>56963</v>
      </c>
      <c r="C25896" s="30" t="s">
        <v>2753</v>
      </c>
      <c r="D25896" s="30" t="s">
        <v>17</v>
      </c>
      <c r="E25896" s="30" t="s">
        <v>18</v>
      </c>
      <c r="F25896" s="30" t="s">
        <v>19</v>
      </c>
      <c r="G25896" s="30" t="s">
        <v>140</v>
      </c>
      <c r="H25896" s="32">
        <v>500</v>
      </c>
      <c r="I25896" s="30" t="s">
        <v>51</v>
      </c>
      <c r="J25896" s="41">
        <v>46044</v>
      </c>
      <c r="K25896" s="30" t="s">
        <v>22</v>
      </c>
    </row>
    <row r="25897" spans="1:11">
      <c r="A25897" s="33" t="s">
        <v>56964</v>
      </c>
      <c r="B25897" s="33" t="s">
        <v>56965</v>
      </c>
      <c r="C25897" s="33" t="s">
        <v>6814</v>
      </c>
      <c r="D25897" s="33" t="s">
        <v>17</v>
      </c>
      <c r="E25897" s="33" t="s">
        <v>212</v>
      </c>
      <c r="F25897" s="33" t="s">
        <v>213</v>
      </c>
      <c r="G25897" s="33" t="s">
        <v>140</v>
      </c>
      <c r="H25897" s="35">
        <v>15</v>
      </c>
      <c r="I25897" s="33" t="s">
        <v>51</v>
      </c>
      <c r="J25897" s="42">
        <v>46153</v>
      </c>
      <c r="K25897" s="33" t="s">
        <v>22</v>
      </c>
    </row>
    <row r="25898" spans="1:11">
      <c r="A25898" s="30" t="s">
        <v>56966</v>
      </c>
      <c r="B25898" s="30" t="s">
        <v>56967</v>
      </c>
      <c r="C25898" s="30" t="s">
        <v>4348</v>
      </c>
      <c r="D25898" s="30" t="s">
        <v>17</v>
      </c>
      <c r="E25898" s="30" t="s">
        <v>31</v>
      </c>
      <c r="F25898" s="30" t="s">
        <v>32</v>
      </c>
      <c r="G25898" s="30" t="s">
        <v>7780</v>
      </c>
      <c r="H25898" s="32">
        <v>120</v>
      </c>
      <c r="I25898" s="30" t="s">
        <v>51</v>
      </c>
      <c r="J25898" s="41">
        <v>46204</v>
      </c>
      <c r="K25898" s="30" t="s">
        <v>22</v>
      </c>
    </row>
    <row r="25899" spans="1:11">
      <c r="A25899" s="33" t="s">
        <v>56968</v>
      </c>
      <c r="B25899" s="33" t="s">
        <v>56969</v>
      </c>
      <c r="C25899" s="33" t="s">
        <v>488</v>
      </c>
      <c r="D25899" s="33" t="s">
        <v>17</v>
      </c>
      <c r="E25899" s="33" t="s">
        <v>330</v>
      </c>
      <c r="F25899" s="33" t="s">
        <v>331</v>
      </c>
      <c r="G25899" s="33" t="s">
        <v>140</v>
      </c>
      <c r="H25899" s="35">
        <v>7</v>
      </c>
      <c r="I25899" s="33" t="s">
        <v>51</v>
      </c>
      <c r="J25899" s="42">
        <v>46148</v>
      </c>
      <c r="K25899" s="33" t="s">
        <v>22</v>
      </c>
    </row>
    <row r="25900" spans="1:11">
      <c r="A25900" s="30" t="s">
        <v>56970</v>
      </c>
      <c r="B25900" s="30" t="s">
        <v>56971</v>
      </c>
      <c r="C25900" s="30" t="s">
        <v>592</v>
      </c>
      <c r="D25900" s="30" t="s">
        <v>17</v>
      </c>
      <c r="E25900" s="30" t="s">
        <v>31</v>
      </c>
      <c r="F25900" s="30" t="s">
        <v>32</v>
      </c>
      <c r="G25900" s="30" t="s">
        <v>140</v>
      </c>
      <c r="H25900" s="32">
        <v>20</v>
      </c>
      <c r="I25900" s="30" t="s">
        <v>51</v>
      </c>
      <c r="J25900" s="41">
        <v>46097</v>
      </c>
      <c r="K25900" s="30" t="s">
        <v>22</v>
      </c>
    </row>
    <row r="25901" spans="1:11">
      <c r="A25901" s="33" t="s">
        <v>56972</v>
      </c>
      <c r="B25901" s="33" t="s">
        <v>56973</v>
      </c>
      <c r="C25901" s="33" t="s">
        <v>56974</v>
      </c>
      <c r="D25901" s="33" t="s">
        <v>17</v>
      </c>
      <c r="E25901" s="33" t="s">
        <v>67</v>
      </c>
      <c r="F25901" s="33" t="s">
        <v>68</v>
      </c>
      <c r="G25901" s="33" t="s">
        <v>7780</v>
      </c>
      <c r="H25901" s="35">
        <v>60</v>
      </c>
      <c r="I25901" s="33" t="s">
        <v>51</v>
      </c>
      <c r="J25901" s="42">
        <v>46207</v>
      </c>
      <c r="K25901" s="33" t="s">
        <v>22</v>
      </c>
    </row>
    <row r="25902" spans="1:11">
      <c r="A25902" s="30" t="s">
        <v>56975</v>
      </c>
      <c r="B25902" s="30" t="s">
        <v>56976</v>
      </c>
      <c r="C25902" s="30" t="s">
        <v>11609</v>
      </c>
      <c r="D25902" s="30" t="s">
        <v>17</v>
      </c>
      <c r="E25902" s="30" t="s">
        <v>18</v>
      </c>
      <c r="F25902" s="30" t="s">
        <v>19</v>
      </c>
      <c r="G25902" s="30" t="s">
        <v>140</v>
      </c>
      <c r="H25902" s="32">
        <v>140</v>
      </c>
      <c r="I25902" s="30" t="s">
        <v>51</v>
      </c>
      <c r="J25902" s="41">
        <v>46062</v>
      </c>
      <c r="K25902" s="30" t="s">
        <v>22</v>
      </c>
    </row>
    <row r="25903" spans="1:11">
      <c r="A25903" s="33" t="s">
        <v>56977</v>
      </c>
      <c r="B25903" s="33" t="s">
        <v>56978</v>
      </c>
      <c r="C25903" s="33" t="s">
        <v>3765</v>
      </c>
      <c r="D25903" s="33" t="s">
        <v>17</v>
      </c>
      <c r="E25903" s="33" t="s">
        <v>67</v>
      </c>
      <c r="F25903" s="33" t="s">
        <v>68</v>
      </c>
      <c r="G25903" s="33" t="s">
        <v>7780</v>
      </c>
      <c r="H25903" s="35">
        <v>25</v>
      </c>
      <c r="I25903" s="33" t="s">
        <v>51</v>
      </c>
      <c r="J25903" s="42">
        <v>46204</v>
      </c>
      <c r="K25903" s="33" t="s">
        <v>22</v>
      </c>
    </row>
    <row r="25904" spans="1:11">
      <c r="A25904" s="30" t="s">
        <v>56979</v>
      </c>
      <c r="B25904" s="30" t="s">
        <v>56980</v>
      </c>
      <c r="C25904" s="30" t="s">
        <v>1598</v>
      </c>
      <c r="D25904" s="30" t="s">
        <v>17</v>
      </c>
      <c r="E25904" s="30" t="s">
        <v>67</v>
      </c>
      <c r="F25904" s="30" t="s">
        <v>68</v>
      </c>
      <c r="G25904" s="30" t="s">
        <v>7780</v>
      </c>
      <c r="H25904" s="32">
        <v>282</v>
      </c>
      <c r="I25904" s="30" t="s">
        <v>51</v>
      </c>
      <c r="J25904" s="41">
        <v>46174</v>
      </c>
      <c r="K25904" s="30" t="s">
        <v>22</v>
      </c>
    </row>
    <row r="25905" spans="1:11">
      <c r="A25905" s="33" t="s">
        <v>56981</v>
      </c>
      <c r="B25905" s="33" t="s">
        <v>56982</v>
      </c>
      <c r="C25905" s="33" t="s">
        <v>136</v>
      </c>
      <c r="D25905" s="33" t="s">
        <v>17</v>
      </c>
      <c r="E25905" s="33" t="s">
        <v>26</v>
      </c>
      <c r="F25905" s="33" t="s">
        <v>27</v>
      </c>
      <c r="G25905" s="33" t="s">
        <v>158</v>
      </c>
      <c r="H25905" s="35">
        <v>24</v>
      </c>
      <c r="I25905" s="33" t="s">
        <v>51</v>
      </c>
      <c r="J25905" s="42">
        <v>46053</v>
      </c>
      <c r="K25905" s="33" t="s">
        <v>22</v>
      </c>
    </row>
    <row r="25906" spans="1:11">
      <c r="A25906" s="30" t="s">
        <v>56983</v>
      </c>
      <c r="B25906" s="30" t="s">
        <v>56984</v>
      </c>
      <c r="C25906" s="30" t="s">
        <v>310</v>
      </c>
      <c r="D25906" s="30" t="s">
        <v>17</v>
      </c>
      <c r="E25906" s="30" t="s">
        <v>26</v>
      </c>
      <c r="F25906" s="30" t="s">
        <v>27</v>
      </c>
      <c r="G25906" s="30" t="s">
        <v>140</v>
      </c>
      <c r="H25906" s="32">
        <v>14</v>
      </c>
      <c r="I25906" s="30" t="s">
        <v>51</v>
      </c>
      <c r="J25906" s="41">
        <v>46083</v>
      </c>
      <c r="K25906" s="30" t="s">
        <v>22</v>
      </c>
    </row>
    <row r="25907" spans="1:11">
      <c r="A25907" s="33" t="s">
        <v>56985</v>
      </c>
      <c r="B25907" s="33" t="s">
        <v>56986</v>
      </c>
      <c r="C25907" s="33" t="s">
        <v>16052</v>
      </c>
      <c r="D25907" s="33" t="s">
        <v>17</v>
      </c>
      <c r="E25907" s="33" t="s">
        <v>26</v>
      </c>
      <c r="F25907" s="33" t="s">
        <v>27</v>
      </c>
      <c r="G25907" s="33" t="s">
        <v>7780</v>
      </c>
      <c r="H25907" s="35">
        <v>40</v>
      </c>
      <c r="I25907" s="33" t="s">
        <v>51</v>
      </c>
      <c r="J25907" s="42">
        <v>46204</v>
      </c>
      <c r="K25907" s="33" t="s">
        <v>22</v>
      </c>
    </row>
    <row r="25908" spans="1:11">
      <c r="A25908" s="30" t="s">
        <v>56987</v>
      </c>
      <c r="B25908" s="30" t="s">
        <v>56988</v>
      </c>
      <c r="C25908" s="30" t="s">
        <v>379</v>
      </c>
      <c r="D25908" s="30" t="s">
        <v>17</v>
      </c>
      <c r="E25908" s="30" t="s">
        <v>31</v>
      </c>
      <c r="F25908" s="30" t="s">
        <v>32</v>
      </c>
      <c r="G25908" s="30" t="s">
        <v>140</v>
      </c>
      <c r="H25908" s="32">
        <v>60</v>
      </c>
      <c r="I25908" s="30" t="s">
        <v>51</v>
      </c>
      <c r="J25908" s="41">
        <v>46042</v>
      </c>
      <c r="K25908" s="30" t="s">
        <v>22</v>
      </c>
    </row>
    <row r="25909" spans="1:11">
      <c r="A25909" s="33" t="s">
        <v>56989</v>
      </c>
      <c r="B25909" s="33" t="s">
        <v>56990</v>
      </c>
      <c r="C25909" s="33" t="s">
        <v>1112</v>
      </c>
      <c r="D25909" s="33" t="s">
        <v>17</v>
      </c>
      <c r="E25909" s="33" t="s">
        <v>18</v>
      </c>
      <c r="F25909" s="33" t="s">
        <v>19</v>
      </c>
      <c r="G25909" s="33" t="s">
        <v>7780</v>
      </c>
      <c r="H25909" s="35">
        <v>256</v>
      </c>
      <c r="I25909" s="33" t="s">
        <v>51</v>
      </c>
      <c r="J25909" s="42">
        <v>46209</v>
      </c>
      <c r="K25909" s="33" t="s">
        <v>22</v>
      </c>
    </row>
    <row r="25910" spans="1:11">
      <c r="A25910" s="30" t="s">
        <v>56991</v>
      </c>
      <c r="B25910" s="30" t="s">
        <v>56992</v>
      </c>
      <c r="C25910" s="30" t="s">
        <v>53278</v>
      </c>
      <c r="D25910" s="30" t="s">
        <v>17</v>
      </c>
      <c r="E25910" s="30" t="s">
        <v>67</v>
      </c>
      <c r="F25910" s="30" t="s">
        <v>68</v>
      </c>
      <c r="G25910" s="30" t="s">
        <v>140</v>
      </c>
      <c r="H25910" s="32">
        <v>36</v>
      </c>
      <c r="I25910" s="30" t="s">
        <v>51</v>
      </c>
      <c r="J25910" s="41">
        <v>46081</v>
      </c>
      <c r="K25910" s="30" t="s">
        <v>22</v>
      </c>
    </row>
    <row r="25911" spans="1:11">
      <c r="A25911" s="33" t="s">
        <v>56993</v>
      </c>
      <c r="B25911" s="33" t="s">
        <v>56994</v>
      </c>
      <c r="C25911" s="33" t="s">
        <v>25632</v>
      </c>
      <c r="D25911" s="33" t="s">
        <v>17</v>
      </c>
      <c r="E25911" s="33" t="s">
        <v>67</v>
      </c>
      <c r="F25911" s="33" t="s">
        <v>68</v>
      </c>
      <c r="G25911" s="33" t="s">
        <v>7780</v>
      </c>
      <c r="H25911" s="35">
        <v>12</v>
      </c>
      <c r="I25911" s="33" t="s">
        <v>51</v>
      </c>
      <c r="J25911" s="42">
        <v>46156</v>
      </c>
      <c r="K25911" s="33" t="s">
        <v>22</v>
      </c>
    </row>
    <row r="25912" spans="1:11">
      <c r="A25912" s="30" t="s">
        <v>56995</v>
      </c>
      <c r="B25912" s="30" t="s">
        <v>56996</v>
      </c>
      <c r="C25912" s="30" t="s">
        <v>10268</v>
      </c>
      <c r="D25912" s="30" t="s">
        <v>17</v>
      </c>
      <c r="E25912" s="30" t="s">
        <v>18</v>
      </c>
      <c r="F25912" s="30" t="s">
        <v>19</v>
      </c>
      <c r="G25912" s="30" t="s">
        <v>112</v>
      </c>
      <c r="H25912" s="32">
        <v>0</v>
      </c>
      <c r="I25912" s="30" t="s">
        <v>21</v>
      </c>
      <c r="J25912" s="41">
        <v>46143</v>
      </c>
      <c r="K25912" s="30" t="s">
        <v>22</v>
      </c>
    </row>
    <row r="25913" spans="1:11">
      <c r="A25913" s="33" t="s">
        <v>56997</v>
      </c>
      <c r="B25913" s="33" t="s">
        <v>56998</v>
      </c>
      <c r="C25913" s="33" t="s">
        <v>8554</v>
      </c>
      <c r="D25913" s="33" t="s">
        <v>17</v>
      </c>
      <c r="E25913" s="33" t="s">
        <v>26</v>
      </c>
      <c r="F25913" s="33" t="s">
        <v>27</v>
      </c>
      <c r="G25913" s="33" t="s">
        <v>7780</v>
      </c>
      <c r="H25913" s="35">
        <v>36</v>
      </c>
      <c r="I25913" s="33" t="s">
        <v>51</v>
      </c>
      <c r="J25913" s="42">
        <v>46174</v>
      </c>
      <c r="K25913" s="33" t="s">
        <v>22</v>
      </c>
    </row>
    <row r="25914" spans="1:11">
      <c r="A25914" s="30" t="s">
        <v>56999</v>
      </c>
      <c r="B25914" s="30" t="s">
        <v>57000</v>
      </c>
      <c r="C25914" s="30" t="s">
        <v>25</v>
      </c>
      <c r="D25914" s="30" t="s">
        <v>17</v>
      </c>
      <c r="E25914" s="30" t="s">
        <v>18</v>
      </c>
      <c r="F25914" s="30" t="s">
        <v>19</v>
      </c>
      <c r="G25914" s="30" t="s">
        <v>140</v>
      </c>
      <c r="H25914" s="32">
        <v>386</v>
      </c>
      <c r="I25914" s="30" t="s">
        <v>51</v>
      </c>
      <c r="J25914" s="41">
        <v>46105</v>
      </c>
      <c r="K25914" s="30" t="s">
        <v>22</v>
      </c>
    </row>
    <row r="25915" spans="1:11">
      <c r="A25915" s="33" t="s">
        <v>57001</v>
      </c>
      <c r="B25915" s="33" t="s">
        <v>57002</v>
      </c>
      <c r="C25915" s="33" t="s">
        <v>310</v>
      </c>
      <c r="D25915" s="33" t="s">
        <v>17</v>
      </c>
      <c r="E25915" s="33" t="s">
        <v>18</v>
      </c>
      <c r="F25915" s="33" t="s">
        <v>19</v>
      </c>
      <c r="G25915" s="33" t="s">
        <v>140</v>
      </c>
      <c r="H25915" s="35">
        <v>600</v>
      </c>
      <c r="I25915" s="33" t="s">
        <v>51</v>
      </c>
      <c r="J25915" s="42">
        <v>46133</v>
      </c>
      <c r="K25915" s="33" t="s">
        <v>22</v>
      </c>
    </row>
    <row r="25916" spans="1:11">
      <c r="A25916" s="30" t="s">
        <v>57003</v>
      </c>
      <c r="B25916" s="30" t="s">
        <v>57004</v>
      </c>
      <c r="C25916" s="30" t="s">
        <v>9825</v>
      </c>
      <c r="D25916" s="30" t="s">
        <v>17</v>
      </c>
      <c r="E25916" s="30" t="s">
        <v>26</v>
      </c>
      <c r="F25916" s="30" t="s">
        <v>27</v>
      </c>
      <c r="G25916" s="30" t="s">
        <v>7780</v>
      </c>
      <c r="H25916" s="32">
        <v>56</v>
      </c>
      <c r="I25916" s="30" t="s">
        <v>51</v>
      </c>
      <c r="J25916" s="41">
        <v>46174</v>
      </c>
      <c r="K25916" s="30" t="s">
        <v>22</v>
      </c>
    </row>
    <row r="25917" spans="1:11">
      <c r="A25917" s="33" t="s">
        <v>57005</v>
      </c>
      <c r="B25917" s="33" t="s">
        <v>57006</v>
      </c>
      <c r="C25917" s="33" t="s">
        <v>31187</v>
      </c>
      <c r="D25917" s="33" t="s">
        <v>17</v>
      </c>
      <c r="E25917" s="33" t="s">
        <v>31</v>
      </c>
      <c r="F25917" s="33" t="s">
        <v>32</v>
      </c>
      <c r="G25917" s="33" t="s">
        <v>7780</v>
      </c>
      <c r="H25917" s="35">
        <v>120</v>
      </c>
      <c r="I25917" s="33" t="s">
        <v>51</v>
      </c>
      <c r="J25917" s="42">
        <v>46223</v>
      </c>
      <c r="K25917" s="33" t="s">
        <v>22</v>
      </c>
    </row>
    <row r="25918" spans="1:11">
      <c r="A25918" s="30" t="s">
        <v>57007</v>
      </c>
      <c r="B25918" s="30" t="s">
        <v>57008</v>
      </c>
      <c r="C25918" s="30" t="s">
        <v>44</v>
      </c>
      <c r="D25918" s="30" t="s">
        <v>17</v>
      </c>
      <c r="E25918" s="30" t="s">
        <v>18</v>
      </c>
      <c r="F25918" s="30" t="s">
        <v>19</v>
      </c>
      <c r="G25918" s="30" t="s">
        <v>140</v>
      </c>
      <c r="H25918" s="32">
        <v>270</v>
      </c>
      <c r="I25918" s="30" t="s">
        <v>51</v>
      </c>
      <c r="J25918" s="41">
        <v>46163</v>
      </c>
      <c r="K25918" s="30" t="s">
        <v>22</v>
      </c>
    </row>
    <row r="25919" spans="1:11">
      <c r="A25919" s="33" t="s">
        <v>57009</v>
      </c>
      <c r="B25919" s="33" t="s">
        <v>57010</v>
      </c>
      <c r="C25919" s="33" t="s">
        <v>969</v>
      </c>
      <c r="D25919" s="33" t="s">
        <v>17</v>
      </c>
      <c r="E25919" s="33" t="s">
        <v>26</v>
      </c>
      <c r="F25919" s="33" t="s">
        <v>27</v>
      </c>
      <c r="G25919" s="33" t="s">
        <v>69</v>
      </c>
      <c r="H25919" s="35">
        <v>28</v>
      </c>
      <c r="I25919" s="33" t="s">
        <v>51</v>
      </c>
      <c r="J25919" s="42">
        <v>46205</v>
      </c>
      <c r="K25919" s="33" t="s">
        <v>22</v>
      </c>
    </row>
    <row r="25920" spans="1:11">
      <c r="A25920" s="30" t="s">
        <v>57011</v>
      </c>
      <c r="B25920" s="30" t="s">
        <v>57012</v>
      </c>
      <c r="C25920" s="30" t="s">
        <v>2839</v>
      </c>
      <c r="D25920" s="30" t="s">
        <v>17</v>
      </c>
      <c r="E25920" s="30" t="s">
        <v>26</v>
      </c>
      <c r="F25920" s="30" t="s">
        <v>27</v>
      </c>
      <c r="G25920" s="30" t="s">
        <v>7780</v>
      </c>
      <c r="H25920" s="32">
        <v>52</v>
      </c>
      <c r="I25920" s="30" t="s">
        <v>51</v>
      </c>
      <c r="J25920" s="41">
        <v>46112</v>
      </c>
      <c r="K25920" s="30" t="s">
        <v>22</v>
      </c>
    </row>
    <row r="25921" spans="1:11">
      <c r="A25921" s="33" t="s">
        <v>57013</v>
      </c>
      <c r="B25921" s="33" t="s">
        <v>57014</v>
      </c>
      <c r="C25921" s="33" t="s">
        <v>50906</v>
      </c>
      <c r="D25921" s="33" t="s">
        <v>17</v>
      </c>
      <c r="E25921" s="33" t="s">
        <v>26</v>
      </c>
      <c r="F25921" s="33" t="s">
        <v>27</v>
      </c>
      <c r="G25921" s="33" t="s">
        <v>140</v>
      </c>
      <c r="H25921" s="35">
        <v>76</v>
      </c>
      <c r="I25921" s="33" t="s">
        <v>51</v>
      </c>
      <c r="J25921" s="42">
        <v>46083</v>
      </c>
      <c r="K25921" s="33" t="s">
        <v>22</v>
      </c>
    </row>
    <row r="25922" spans="1:11">
      <c r="A25922" s="30" t="s">
        <v>57015</v>
      </c>
      <c r="B25922" s="30" t="s">
        <v>57016</v>
      </c>
      <c r="C25922" s="30" t="s">
        <v>25672</v>
      </c>
      <c r="D25922" s="30" t="s">
        <v>17</v>
      </c>
      <c r="E25922" s="30" t="s">
        <v>26</v>
      </c>
      <c r="F25922" s="30" t="s">
        <v>27</v>
      </c>
      <c r="G25922" s="30" t="s">
        <v>140</v>
      </c>
      <c r="H25922" s="32">
        <v>10</v>
      </c>
      <c r="I25922" s="30" t="s">
        <v>51</v>
      </c>
      <c r="J25922" s="41">
        <v>46106</v>
      </c>
      <c r="K25922" s="30" t="s">
        <v>22</v>
      </c>
    </row>
    <row r="25923" spans="1:11">
      <c r="A25923" s="33" t="s">
        <v>57017</v>
      </c>
      <c r="B25923" s="33" t="s">
        <v>57018</v>
      </c>
      <c r="C25923" s="33" t="s">
        <v>57019</v>
      </c>
      <c r="D25923" s="33" t="s">
        <v>17</v>
      </c>
      <c r="E25923" s="33" t="s">
        <v>26</v>
      </c>
      <c r="F25923" s="33" t="s">
        <v>27</v>
      </c>
      <c r="G25923" s="33" t="s">
        <v>140</v>
      </c>
      <c r="H25923" s="35">
        <v>80</v>
      </c>
      <c r="I25923" s="33" t="s">
        <v>51</v>
      </c>
      <c r="J25923" s="42">
        <v>46037</v>
      </c>
      <c r="K25923" s="33" t="s">
        <v>22</v>
      </c>
    </row>
    <row r="25924" spans="1:11">
      <c r="A25924" s="30" t="s">
        <v>57020</v>
      </c>
      <c r="B25924" s="30" t="s">
        <v>57021</v>
      </c>
      <c r="C25924" s="30" t="s">
        <v>27922</v>
      </c>
      <c r="D25924" s="30" t="s">
        <v>17</v>
      </c>
      <c r="E25924" s="30" t="s">
        <v>31</v>
      </c>
      <c r="F25924" s="30" t="s">
        <v>32</v>
      </c>
      <c r="G25924" s="30" t="s">
        <v>140</v>
      </c>
      <c r="H25924" s="32">
        <v>60</v>
      </c>
      <c r="I25924" s="30" t="s">
        <v>51</v>
      </c>
      <c r="J25924" s="41">
        <v>46108</v>
      </c>
      <c r="K25924" s="30" t="s">
        <v>22</v>
      </c>
    </row>
    <row r="25925" spans="1:11">
      <c r="A25925" s="33" t="s">
        <v>57022</v>
      </c>
      <c r="B25925" s="33" t="s">
        <v>57023</v>
      </c>
      <c r="C25925" s="33" t="s">
        <v>11847</v>
      </c>
      <c r="D25925" s="33" t="s">
        <v>17</v>
      </c>
      <c r="E25925" s="33" t="s">
        <v>67</v>
      </c>
      <c r="F25925" s="33" t="s">
        <v>68</v>
      </c>
      <c r="G25925" s="33" t="s">
        <v>140</v>
      </c>
      <c r="H25925" s="35">
        <v>30</v>
      </c>
      <c r="I25925" s="33" t="s">
        <v>51</v>
      </c>
      <c r="J25925" s="42">
        <v>46051</v>
      </c>
      <c r="K25925" s="33" t="s">
        <v>22</v>
      </c>
    </row>
    <row r="25926" spans="1:11">
      <c r="A25926" s="30" t="s">
        <v>57024</v>
      </c>
      <c r="B25926" s="30" t="s">
        <v>57025</v>
      </c>
      <c r="C25926" s="30" t="s">
        <v>41180</v>
      </c>
      <c r="D25926" s="30" t="s">
        <v>17</v>
      </c>
      <c r="E25926" s="30" t="s">
        <v>212</v>
      </c>
      <c r="F25926" s="30" t="s">
        <v>213</v>
      </c>
      <c r="G25926" s="30" t="s">
        <v>7780</v>
      </c>
      <c r="H25926" s="32">
        <v>200</v>
      </c>
      <c r="I25926" s="30" t="s">
        <v>51</v>
      </c>
      <c r="J25926" s="41">
        <v>46143</v>
      </c>
      <c r="K25926" s="30" t="s">
        <v>22</v>
      </c>
    </row>
    <row r="25927" spans="1:11">
      <c r="A25927" s="33" t="s">
        <v>57026</v>
      </c>
      <c r="B25927" s="33" t="s">
        <v>57027</v>
      </c>
      <c r="C25927" s="33" t="s">
        <v>57028</v>
      </c>
      <c r="D25927" s="33" t="s">
        <v>17</v>
      </c>
      <c r="E25927" s="33" t="s">
        <v>26</v>
      </c>
      <c r="F25927" s="33" t="s">
        <v>27</v>
      </c>
      <c r="G25927" s="33" t="s">
        <v>7780</v>
      </c>
      <c r="H25927" s="35">
        <v>48</v>
      </c>
      <c r="I25927" s="33" t="s">
        <v>51</v>
      </c>
      <c r="J25927" s="42">
        <v>46204</v>
      </c>
      <c r="K25927" s="33" t="s">
        <v>22</v>
      </c>
    </row>
    <row r="25928" spans="1:11">
      <c r="A25928" s="30" t="s">
        <v>57029</v>
      </c>
      <c r="B25928" s="30" t="s">
        <v>57030</v>
      </c>
      <c r="C25928" s="30" t="s">
        <v>48069</v>
      </c>
      <c r="D25928" s="30" t="s">
        <v>17</v>
      </c>
      <c r="E25928" s="30" t="s">
        <v>31</v>
      </c>
      <c r="F25928" s="30" t="s">
        <v>32</v>
      </c>
      <c r="G25928" s="30" t="s">
        <v>140</v>
      </c>
      <c r="H25928" s="32">
        <v>105</v>
      </c>
      <c r="I25928" s="30" t="s">
        <v>51</v>
      </c>
      <c r="J25928" s="41">
        <v>46175</v>
      </c>
      <c r="K25928" s="30" t="s">
        <v>22</v>
      </c>
    </row>
    <row r="25929" spans="1:11">
      <c r="A25929" s="33" t="s">
        <v>57031</v>
      </c>
      <c r="B25929" s="33" t="s">
        <v>57032</v>
      </c>
      <c r="C25929" s="33" t="s">
        <v>42561</v>
      </c>
      <c r="D25929" s="33" t="s">
        <v>17</v>
      </c>
      <c r="E25929" s="33" t="s">
        <v>18</v>
      </c>
      <c r="F25929" s="33" t="s">
        <v>19</v>
      </c>
      <c r="G25929" s="33" t="s">
        <v>7780</v>
      </c>
      <c r="H25929" s="35">
        <v>140</v>
      </c>
      <c r="I25929" s="33" t="s">
        <v>51</v>
      </c>
      <c r="J25929" s="42">
        <v>46108</v>
      </c>
      <c r="K25929" s="33" t="s">
        <v>22</v>
      </c>
    </row>
    <row r="25930" spans="1:11">
      <c r="A25930" s="30" t="s">
        <v>57033</v>
      </c>
      <c r="B25930" s="30" t="s">
        <v>57034</v>
      </c>
      <c r="C25930" s="30" t="s">
        <v>5805</v>
      </c>
      <c r="D25930" s="30" t="s">
        <v>17</v>
      </c>
      <c r="E25930" s="30" t="s">
        <v>26</v>
      </c>
      <c r="F25930" s="30" t="s">
        <v>27</v>
      </c>
      <c r="G25930" s="30" t="s">
        <v>140</v>
      </c>
      <c r="H25930" s="32">
        <v>12</v>
      </c>
      <c r="I25930" s="30" t="s">
        <v>51</v>
      </c>
      <c r="J25930" s="41">
        <v>46174</v>
      </c>
      <c r="K25930" s="30" t="s">
        <v>22</v>
      </c>
    </row>
    <row r="25931" spans="1:11">
      <c r="A25931" s="33" t="s">
        <v>57035</v>
      </c>
      <c r="B25931" s="33" t="s">
        <v>57036</v>
      </c>
      <c r="C25931" s="33" t="s">
        <v>203</v>
      </c>
      <c r="D25931" s="33" t="s">
        <v>17</v>
      </c>
      <c r="E25931" s="33" t="s">
        <v>31</v>
      </c>
      <c r="F25931" s="33" t="s">
        <v>32</v>
      </c>
      <c r="G25931" s="33" t="s">
        <v>69</v>
      </c>
      <c r="H25931" s="35">
        <v>70</v>
      </c>
      <c r="I25931" s="33" t="s">
        <v>51</v>
      </c>
      <c r="J25931" s="42">
        <v>46181</v>
      </c>
      <c r="K25931" s="33" t="s">
        <v>22</v>
      </c>
    </row>
    <row r="25932" spans="1:11">
      <c r="A25932" s="30" t="s">
        <v>57037</v>
      </c>
      <c r="B25932" s="30" t="s">
        <v>57038</v>
      </c>
      <c r="C25932" s="30" t="s">
        <v>39090</v>
      </c>
      <c r="D25932" s="30" t="s">
        <v>17</v>
      </c>
      <c r="E25932" s="30" t="s">
        <v>26</v>
      </c>
      <c r="F25932" s="30" t="s">
        <v>27</v>
      </c>
      <c r="G25932" s="30" t="s">
        <v>7780</v>
      </c>
      <c r="H25932" s="32">
        <v>198</v>
      </c>
      <c r="I25932" s="30" t="s">
        <v>51</v>
      </c>
      <c r="J25932" s="41">
        <v>46204</v>
      </c>
      <c r="K25932" s="30" t="s">
        <v>22</v>
      </c>
    </row>
    <row r="25933" spans="1:11">
      <c r="A25933" s="33" t="s">
        <v>57039</v>
      </c>
      <c r="B25933" s="33" t="s">
        <v>57040</v>
      </c>
      <c r="C25933" s="33" t="s">
        <v>203</v>
      </c>
      <c r="D25933" s="33" t="s">
        <v>17</v>
      </c>
      <c r="E25933" s="33" t="s">
        <v>31</v>
      </c>
      <c r="F25933" s="33" t="s">
        <v>32</v>
      </c>
      <c r="G25933" s="33" t="s">
        <v>140</v>
      </c>
      <c r="H25933" s="35">
        <v>30</v>
      </c>
      <c r="I25933" s="33" t="s">
        <v>51</v>
      </c>
      <c r="J25933" s="42">
        <v>46204</v>
      </c>
      <c r="K25933" s="33" t="s">
        <v>22</v>
      </c>
    </row>
    <row r="25934" spans="1:11">
      <c r="A25934" s="30" t="s">
        <v>57041</v>
      </c>
      <c r="B25934" s="30" t="s">
        <v>57042</v>
      </c>
      <c r="C25934" s="30" t="s">
        <v>15917</v>
      </c>
      <c r="D25934" s="30" t="s">
        <v>17</v>
      </c>
      <c r="E25934" s="30" t="s">
        <v>31</v>
      </c>
      <c r="F25934" s="30" t="s">
        <v>32</v>
      </c>
      <c r="G25934" s="30" t="s">
        <v>7780</v>
      </c>
      <c r="H25934" s="32">
        <v>20</v>
      </c>
      <c r="I25934" s="30" t="s">
        <v>51</v>
      </c>
      <c r="J25934" s="41">
        <v>46086</v>
      </c>
      <c r="K25934" s="30" t="s">
        <v>22</v>
      </c>
    </row>
    <row r="25935" spans="1:11">
      <c r="A25935" s="33" t="s">
        <v>57043</v>
      </c>
      <c r="B25935" s="33" t="s">
        <v>57044</v>
      </c>
      <c r="C25935" s="33" t="s">
        <v>957</v>
      </c>
      <c r="D25935" s="33" t="s">
        <v>17</v>
      </c>
      <c r="E25935" s="33" t="s">
        <v>26</v>
      </c>
      <c r="F25935" s="33" t="s">
        <v>27</v>
      </c>
      <c r="G25935" s="33" t="s">
        <v>140</v>
      </c>
      <c r="H25935" s="35">
        <v>15</v>
      </c>
      <c r="I25935" s="33" t="s">
        <v>51</v>
      </c>
      <c r="J25935" s="42">
        <v>46142</v>
      </c>
      <c r="K25935" s="33" t="s">
        <v>22</v>
      </c>
    </row>
    <row r="25936" spans="1:11">
      <c r="A25936" s="30" t="s">
        <v>57045</v>
      </c>
      <c r="B25936" s="30" t="s">
        <v>57046</v>
      </c>
      <c r="C25936" s="30" t="s">
        <v>56038</v>
      </c>
      <c r="D25936" s="30" t="s">
        <v>17</v>
      </c>
      <c r="E25936" s="30" t="s">
        <v>330</v>
      </c>
      <c r="F25936" s="30" t="s">
        <v>331</v>
      </c>
      <c r="G25936" s="30" t="s">
        <v>140</v>
      </c>
      <c r="H25936" s="32">
        <v>10</v>
      </c>
      <c r="I25936" s="30" t="s">
        <v>51</v>
      </c>
      <c r="J25936" s="41">
        <v>46066</v>
      </c>
      <c r="K25936" s="30" t="s">
        <v>22</v>
      </c>
    </row>
    <row r="25937" spans="1:11">
      <c r="A25937" s="33" t="s">
        <v>57047</v>
      </c>
      <c r="B25937" s="33" t="s">
        <v>57048</v>
      </c>
      <c r="C25937" s="33" t="s">
        <v>109</v>
      </c>
      <c r="D25937" s="33" t="s">
        <v>17</v>
      </c>
      <c r="E25937" s="33" t="s">
        <v>18</v>
      </c>
      <c r="F25937" s="33" t="s">
        <v>19</v>
      </c>
      <c r="G25937" s="33" t="s">
        <v>140</v>
      </c>
      <c r="H25937" s="35">
        <v>300</v>
      </c>
      <c r="I25937" s="33" t="s">
        <v>51</v>
      </c>
      <c r="J25937" s="42">
        <v>46176</v>
      </c>
      <c r="K25937" s="33" t="s">
        <v>22</v>
      </c>
    </row>
    <row r="25938" spans="1:11">
      <c r="A25938" s="30" t="s">
        <v>57049</v>
      </c>
      <c r="B25938" s="30" t="s">
        <v>57050</v>
      </c>
      <c r="C25938" s="30" t="s">
        <v>15585</v>
      </c>
      <c r="D25938" s="30" t="s">
        <v>17</v>
      </c>
      <c r="E25938" s="30" t="s">
        <v>18</v>
      </c>
      <c r="F25938" s="30" t="s">
        <v>19</v>
      </c>
      <c r="G25938" s="30" t="s">
        <v>140</v>
      </c>
      <c r="H25938" s="32">
        <v>540</v>
      </c>
      <c r="I25938" s="30" t="s">
        <v>51</v>
      </c>
      <c r="J25938" s="41">
        <v>46220</v>
      </c>
      <c r="K25938" s="30" t="s">
        <v>22</v>
      </c>
    </row>
    <row r="25939" spans="1:11">
      <c r="A25939" s="33" t="s">
        <v>57051</v>
      </c>
      <c r="B25939" s="33" t="s">
        <v>57052</v>
      </c>
      <c r="C25939" s="33" t="s">
        <v>33031</v>
      </c>
      <c r="D25939" s="33" t="s">
        <v>17</v>
      </c>
      <c r="E25939" s="33" t="s">
        <v>31</v>
      </c>
      <c r="F25939" s="33" t="s">
        <v>32</v>
      </c>
      <c r="G25939" s="33" t="s">
        <v>7780</v>
      </c>
      <c r="H25939" s="35">
        <v>30</v>
      </c>
      <c r="I25939" s="33" t="s">
        <v>51</v>
      </c>
      <c r="J25939" s="42">
        <v>46191</v>
      </c>
      <c r="K25939" s="33" t="s">
        <v>22</v>
      </c>
    </row>
    <row r="25940" spans="1:11">
      <c r="A25940" s="30" t="s">
        <v>57053</v>
      </c>
      <c r="B25940" s="30" t="s">
        <v>57054</v>
      </c>
      <c r="C25940" s="30" t="s">
        <v>53650</v>
      </c>
      <c r="D25940" s="30" t="s">
        <v>17</v>
      </c>
      <c r="E25940" s="30" t="s">
        <v>26</v>
      </c>
      <c r="F25940" s="30" t="s">
        <v>27</v>
      </c>
      <c r="G25940" s="30" t="s">
        <v>140</v>
      </c>
      <c r="H25940" s="32">
        <v>24</v>
      </c>
      <c r="I25940" s="30" t="s">
        <v>51</v>
      </c>
      <c r="J25940" s="41">
        <v>46174</v>
      </c>
      <c r="K25940" s="30" t="s">
        <v>22</v>
      </c>
    </row>
    <row r="25941" spans="1:11">
      <c r="A25941" s="33" t="s">
        <v>57055</v>
      </c>
      <c r="B25941" s="33" t="s">
        <v>57056</v>
      </c>
      <c r="C25941" s="33" t="s">
        <v>6703</v>
      </c>
      <c r="D25941" s="33" t="s">
        <v>17</v>
      </c>
      <c r="E25941" s="33" t="s">
        <v>45</v>
      </c>
      <c r="F25941" s="33" t="s">
        <v>46</v>
      </c>
      <c r="G25941" s="33" t="s">
        <v>7780</v>
      </c>
      <c r="H25941" s="35">
        <v>1120</v>
      </c>
      <c r="I25941" s="33" t="s">
        <v>51</v>
      </c>
      <c r="J25941" s="42">
        <v>46143</v>
      </c>
      <c r="K25941" s="33" t="s">
        <v>22</v>
      </c>
    </row>
    <row r="25942" spans="1:11">
      <c r="A25942" s="30" t="s">
        <v>57057</v>
      </c>
      <c r="B25942" s="30" t="s">
        <v>57058</v>
      </c>
      <c r="C25942" s="30" t="s">
        <v>190</v>
      </c>
      <c r="D25942" s="30" t="s">
        <v>17</v>
      </c>
      <c r="E25942" s="30" t="s">
        <v>31</v>
      </c>
      <c r="F25942" s="30" t="s">
        <v>32</v>
      </c>
      <c r="G25942" s="30" t="s">
        <v>140</v>
      </c>
      <c r="H25942" s="32">
        <v>80</v>
      </c>
      <c r="I25942" s="30" t="s">
        <v>51</v>
      </c>
      <c r="J25942" s="41">
        <v>46177</v>
      </c>
      <c r="K25942" s="30" t="s">
        <v>22</v>
      </c>
    </row>
    <row r="25943" spans="1:11">
      <c r="A25943" s="33" t="s">
        <v>57059</v>
      </c>
      <c r="B25943" s="33" t="s">
        <v>57060</v>
      </c>
      <c r="C25943" s="33" t="s">
        <v>13508</v>
      </c>
      <c r="D25943" s="33" t="s">
        <v>17</v>
      </c>
      <c r="E25943" s="33" t="s">
        <v>31</v>
      </c>
      <c r="F25943" s="33" t="s">
        <v>32</v>
      </c>
      <c r="G25943" s="33" t="s">
        <v>140</v>
      </c>
      <c r="H25943" s="35">
        <v>60</v>
      </c>
      <c r="I25943" s="33" t="s">
        <v>51</v>
      </c>
      <c r="J25943" s="42">
        <v>46184</v>
      </c>
      <c r="K25943" s="33" t="s">
        <v>22</v>
      </c>
    </row>
    <row r="25944" spans="1:11">
      <c r="A25944" s="30" t="s">
        <v>57061</v>
      </c>
      <c r="B25944" s="30" t="s">
        <v>57062</v>
      </c>
      <c r="C25944" s="30" t="s">
        <v>57063</v>
      </c>
      <c r="D25944" s="30" t="s">
        <v>17</v>
      </c>
      <c r="E25944" s="30" t="s">
        <v>31</v>
      </c>
      <c r="F25944" s="30" t="s">
        <v>32</v>
      </c>
      <c r="G25944" s="30" t="s">
        <v>140</v>
      </c>
      <c r="H25944" s="32">
        <v>48</v>
      </c>
      <c r="I25944" s="30" t="s">
        <v>51</v>
      </c>
      <c r="J25944" s="41">
        <v>46204</v>
      </c>
      <c r="K25944" s="30" t="s">
        <v>22</v>
      </c>
    </row>
    <row r="25945" spans="1:11">
      <c r="A25945" s="33" t="s">
        <v>57064</v>
      </c>
      <c r="B25945" s="33" t="s">
        <v>57065</v>
      </c>
      <c r="C25945" s="33" t="s">
        <v>44</v>
      </c>
      <c r="D25945" s="33" t="s">
        <v>17</v>
      </c>
      <c r="E25945" s="33" t="s">
        <v>26</v>
      </c>
      <c r="F25945" s="33" t="s">
        <v>27</v>
      </c>
      <c r="G25945" s="33" t="s">
        <v>140</v>
      </c>
      <c r="H25945" s="35">
        <v>54</v>
      </c>
      <c r="I25945" s="33" t="s">
        <v>51</v>
      </c>
      <c r="J25945" s="42">
        <v>46041</v>
      </c>
      <c r="K25945" s="33" t="s">
        <v>22</v>
      </c>
    </row>
    <row r="25946" spans="1:11">
      <c r="A25946" s="30" t="s">
        <v>57066</v>
      </c>
      <c r="B25946" s="30" t="s">
        <v>57067</v>
      </c>
      <c r="C25946" s="30" t="s">
        <v>3914</v>
      </c>
      <c r="D25946" s="30" t="s">
        <v>17</v>
      </c>
      <c r="E25946" s="30" t="s">
        <v>31</v>
      </c>
      <c r="F25946" s="30" t="s">
        <v>32</v>
      </c>
      <c r="G25946" s="30" t="s">
        <v>7780</v>
      </c>
      <c r="H25946" s="32">
        <v>36</v>
      </c>
      <c r="I25946" s="30" t="s">
        <v>51</v>
      </c>
      <c r="J25946" s="41">
        <v>46174</v>
      </c>
      <c r="K25946" s="30" t="s">
        <v>22</v>
      </c>
    </row>
    <row r="25947" spans="1:11">
      <c r="A25947" s="33" t="s">
        <v>57068</v>
      </c>
      <c r="B25947" s="33" t="s">
        <v>57069</v>
      </c>
      <c r="C25947" s="33" t="s">
        <v>222</v>
      </c>
      <c r="D25947" s="33" t="s">
        <v>17</v>
      </c>
      <c r="E25947" s="33" t="s">
        <v>67</v>
      </c>
      <c r="F25947" s="33" t="s">
        <v>68</v>
      </c>
      <c r="G25947" s="33" t="s">
        <v>140</v>
      </c>
      <c r="H25947" s="35">
        <v>420</v>
      </c>
      <c r="I25947" s="33" t="s">
        <v>51</v>
      </c>
      <c r="J25947" s="42">
        <v>46038</v>
      </c>
      <c r="K25947" s="33" t="s">
        <v>22</v>
      </c>
    </row>
    <row r="25948" spans="1:11">
      <c r="A25948" s="30" t="s">
        <v>57070</v>
      </c>
      <c r="B25948" s="30" t="s">
        <v>57071</v>
      </c>
      <c r="C25948" s="30" t="s">
        <v>231</v>
      </c>
      <c r="D25948" s="30" t="s">
        <v>17</v>
      </c>
      <c r="E25948" s="30" t="s">
        <v>26</v>
      </c>
      <c r="F25948" s="30" t="s">
        <v>27</v>
      </c>
      <c r="G25948" s="30" t="s">
        <v>69</v>
      </c>
      <c r="H25948" s="32">
        <v>60</v>
      </c>
      <c r="I25948" s="30" t="s">
        <v>51</v>
      </c>
      <c r="J25948" s="41">
        <v>46114</v>
      </c>
      <c r="K25948" s="30" t="s">
        <v>22</v>
      </c>
    </row>
    <row r="25949" spans="1:11">
      <c r="A25949" s="33" t="s">
        <v>57072</v>
      </c>
      <c r="B25949" s="33" t="s">
        <v>57073</v>
      </c>
      <c r="C25949" s="33" t="s">
        <v>3278</v>
      </c>
      <c r="D25949" s="33" t="s">
        <v>17</v>
      </c>
      <c r="E25949" s="33" t="s">
        <v>26</v>
      </c>
      <c r="F25949" s="33" t="s">
        <v>27</v>
      </c>
      <c r="G25949" s="33" t="s">
        <v>140</v>
      </c>
      <c r="H25949" s="35">
        <v>24</v>
      </c>
      <c r="I25949" s="33" t="s">
        <v>51</v>
      </c>
      <c r="J25949" s="42">
        <v>46217</v>
      </c>
      <c r="K25949" s="33" t="s">
        <v>22</v>
      </c>
    </row>
    <row r="25950" spans="1:11">
      <c r="A25950" s="30" t="s">
        <v>57074</v>
      </c>
      <c r="B25950" s="30" t="s">
        <v>57075</v>
      </c>
      <c r="C25950" s="30" t="s">
        <v>57076</v>
      </c>
      <c r="D25950" s="30" t="s">
        <v>17</v>
      </c>
      <c r="E25950" s="30" t="s">
        <v>26</v>
      </c>
      <c r="F25950" s="30" t="s">
        <v>27</v>
      </c>
      <c r="G25950" s="30" t="s">
        <v>7780</v>
      </c>
      <c r="H25950" s="32">
        <v>30</v>
      </c>
      <c r="I25950" s="30" t="s">
        <v>51</v>
      </c>
      <c r="J25950" s="41">
        <v>46234</v>
      </c>
      <c r="K25950" s="30" t="s">
        <v>22</v>
      </c>
    </row>
    <row r="25951" spans="1:11">
      <c r="A25951" s="33" t="s">
        <v>57077</v>
      </c>
      <c r="B25951" s="33" t="s">
        <v>57078</v>
      </c>
      <c r="C25951" s="33" t="s">
        <v>3610</v>
      </c>
      <c r="D25951" s="33" t="s">
        <v>17</v>
      </c>
      <c r="E25951" s="33" t="s">
        <v>26</v>
      </c>
      <c r="F25951" s="33" t="s">
        <v>27</v>
      </c>
      <c r="G25951" s="33" t="s">
        <v>7780</v>
      </c>
      <c r="H25951" s="35">
        <v>26</v>
      </c>
      <c r="I25951" s="33" t="s">
        <v>51</v>
      </c>
      <c r="J25951" s="42">
        <v>46233</v>
      </c>
      <c r="K25951" s="33" t="s">
        <v>22</v>
      </c>
    </row>
    <row r="25952" spans="1:11">
      <c r="A25952" s="30" t="s">
        <v>57079</v>
      </c>
      <c r="B25952" s="30" t="s">
        <v>57080</v>
      </c>
      <c r="C25952" s="30" t="s">
        <v>647</v>
      </c>
      <c r="D25952" s="30" t="s">
        <v>17</v>
      </c>
      <c r="E25952" s="30" t="s">
        <v>67</v>
      </c>
      <c r="F25952" s="30" t="s">
        <v>68</v>
      </c>
      <c r="G25952" s="30" t="s">
        <v>140</v>
      </c>
      <c r="H25952" s="32">
        <v>140</v>
      </c>
      <c r="I25952" s="30" t="s">
        <v>51</v>
      </c>
      <c r="J25952" s="41">
        <v>46142</v>
      </c>
      <c r="K25952" s="30" t="s">
        <v>22</v>
      </c>
    </row>
    <row r="25953" spans="1:11">
      <c r="A25953" s="33" t="s">
        <v>57081</v>
      </c>
      <c r="B25953" s="33" t="s">
        <v>57082</v>
      </c>
      <c r="C25953" s="33" t="s">
        <v>57083</v>
      </c>
      <c r="D25953" s="33" t="s">
        <v>17</v>
      </c>
      <c r="E25953" s="33" t="s">
        <v>18</v>
      </c>
      <c r="F25953" s="33" t="s">
        <v>19</v>
      </c>
      <c r="G25953" s="33" t="s">
        <v>140</v>
      </c>
      <c r="H25953" s="35">
        <v>270</v>
      </c>
      <c r="I25953" s="33" t="s">
        <v>51</v>
      </c>
      <c r="J25953" s="42">
        <v>46126</v>
      </c>
      <c r="K25953" s="33" t="s">
        <v>22</v>
      </c>
    </row>
    <row r="25954" spans="1:11">
      <c r="A25954" s="30" t="s">
        <v>57084</v>
      </c>
      <c r="B25954" s="30" t="s">
        <v>57085</v>
      </c>
      <c r="C25954" s="30" t="s">
        <v>379</v>
      </c>
      <c r="D25954" s="30" t="s">
        <v>17</v>
      </c>
      <c r="E25954" s="30" t="s">
        <v>26</v>
      </c>
      <c r="F25954" s="30" t="s">
        <v>27</v>
      </c>
      <c r="G25954" s="30" t="s">
        <v>140</v>
      </c>
      <c r="H25954" s="32">
        <v>41</v>
      </c>
      <c r="I25954" s="30" t="s">
        <v>51</v>
      </c>
      <c r="J25954" s="41">
        <v>46164</v>
      </c>
      <c r="K25954" s="30" t="s">
        <v>22</v>
      </c>
    </row>
    <row r="25955" spans="1:11">
      <c r="A25955" s="33" t="s">
        <v>57086</v>
      </c>
      <c r="B25955" s="33" t="s">
        <v>57087</v>
      </c>
      <c r="C25955" s="33" t="s">
        <v>969</v>
      </c>
      <c r="D25955" s="33" t="s">
        <v>17</v>
      </c>
      <c r="E25955" s="33" t="s">
        <v>18</v>
      </c>
      <c r="F25955" s="33" t="s">
        <v>19</v>
      </c>
      <c r="G25955" s="33" t="s">
        <v>140</v>
      </c>
      <c r="H25955" s="35">
        <v>1740</v>
      </c>
      <c r="I25955" s="33" t="s">
        <v>51</v>
      </c>
      <c r="J25955" s="42">
        <v>46225</v>
      </c>
      <c r="K25955" s="33" t="s">
        <v>22</v>
      </c>
    </row>
    <row r="25956" spans="1:11">
      <c r="A25956" s="30" t="s">
        <v>57088</v>
      </c>
      <c r="B25956" s="30" t="s">
        <v>57089</v>
      </c>
      <c r="C25956" s="30" t="s">
        <v>5050</v>
      </c>
      <c r="D25956" s="30" t="s">
        <v>17</v>
      </c>
      <c r="E25956" s="30" t="s">
        <v>26</v>
      </c>
      <c r="F25956" s="30" t="s">
        <v>27</v>
      </c>
      <c r="G25956" s="30" t="s">
        <v>7780</v>
      </c>
      <c r="H25956" s="32">
        <v>44</v>
      </c>
      <c r="I25956" s="30" t="s">
        <v>51</v>
      </c>
      <c r="J25956" s="41">
        <v>46213</v>
      </c>
      <c r="K25956" s="30" t="s">
        <v>22</v>
      </c>
    </row>
    <row r="25957" spans="1:11">
      <c r="A25957" s="33" t="s">
        <v>57090</v>
      </c>
      <c r="B25957" s="33" t="s">
        <v>57091</v>
      </c>
      <c r="C25957" s="33" t="s">
        <v>1764</v>
      </c>
      <c r="D25957" s="33" t="s">
        <v>17</v>
      </c>
      <c r="E25957" s="33" t="s">
        <v>18</v>
      </c>
      <c r="F25957" s="33" t="s">
        <v>19</v>
      </c>
      <c r="G25957" s="33" t="s">
        <v>7780</v>
      </c>
      <c r="H25957" s="35">
        <v>90</v>
      </c>
      <c r="I25957" s="33" t="s">
        <v>51</v>
      </c>
      <c r="J25957" s="42">
        <v>46113</v>
      </c>
      <c r="K25957" s="33" t="s">
        <v>22</v>
      </c>
    </row>
    <row r="25958" spans="1:11">
      <c r="A25958" s="30" t="s">
        <v>57092</v>
      </c>
      <c r="B25958" s="30" t="s">
        <v>57093</v>
      </c>
      <c r="C25958" s="30" t="s">
        <v>2812</v>
      </c>
      <c r="D25958" s="30" t="s">
        <v>17</v>
      </c>
      <c r="E25958" s="30" t="s">
        <v>18</v>
      </c>
      <c r="F25958" s="30" t="s">
        <v>19</v>
      </c>
      <c r="G25958" s="30" t="s">
        <v>140</v>
      </c>
      <c r="H25958" s="32">
        <v>620</v>
      </c>
      <c r="I25958" s="30" t="s">
        <v>51</v>
      </c>
      <c r="J25958" s="41">
        <v>46036</v>
      </c>
      <c r="K25958" s="30" t="s">
        <v>22</v>
      </c>
    </row>
    <row r="25959" spans="1:11">
      <c r="A25959" s="33" t="s">
        <v>57094</v>
      </c>
      <c r="B25959" s="33" t="s">
        <v>57095</v>
      </c>
      <c r="C25959" s="33" t="s">
        <v>157</v>
      </c>
      <c r="D25959" s="33" t="s">
        <v>17</v>
      </c>
      <c r="E25959" s="33" t="s">
        <v>31</v>
      </c>
      <c r="F25959" s="33" t="s">
        <v>32</v>
      </c>
      <c r="G25959" s="33" t="s">
        <v>7780</v>
      </c>
      <c r="H25959" s="35">
        <v>20</v>
      </c>
      <c r="I25959" s="33" t="s">
        <v>51</v>
      </c>
      <c r="J25959" s="42">
        <v>46218</v>
      </c>
      <c r="K25959" s="33" t="s">
        <v>22</v>
      </c>
    </row>
    <row r="25960" spans="1:11">
      <c r="A25960" s="30" t="s">
        <v>57096</v>
      </c>
      <c r="B25960" s="30" t="s">
        <v>57097</v>
      </c>
      <c r="C25960" s="30" t="s">
        <v>14835</v>
      </c>
      <c r="D25960" s="30" t="s">
        <v>17</v>
      </c>
      <c r="E25960" s="30" t="s">
        <v>26</v>
      </c>
      <c r="F25960" s="30" t="s">
        <v>27</v>
      </c>
      <c r="G25960" s="30" t="s">
        <v>140</v>
      </c>
      <c r="H25960" s="32">
        <v>66</v>
      </c>
      <c r="I25960" s="30" t="s">
        <v>51</v>
      </c>
      <c r="J25960" s="41">
        <v>46160</v>
      </c>
      <c r="K25960" s="30" t="s">
        <v>22</v>
      </c>
    </row>
    <row r="25961" spans="1:11">
      <c r="A25961" s="33" t="s">
        <v>57098</v>
      </c>
      <c r="B25961" s="33" t="s">
        <v>57099</v>
      </c>
      <c r="C25961" s="33" t="s">
        <v>429</v>
      </c>
      <c r="D25961" s="33" t="s">
        <v>17</v>
      </c>
      <c r="E25961" s="33" t="s">
        <v>31</v>
      </c>
      <c r="F25961" s="33" t="s">
        <v>32</v>
      </c>
      <c r="G25961" s="33" t="s">
        <v>140</v>
      </c>
      <c r="H25961" s="35">
        <v>20</v>
      </c>
      <c r="I25961" s="33" t="s">
        <v>51</v>
      </c>
      <c r="J25961" s="42">
        <v>46107</v>
      </c>
      <c r="K25961" s="33" t="s">
        <v>22</v>
      </c>
    </row>
    <row r="25962" spans="1:11">
      <c r="A25962" s="30" t="s">
        <v>57100</v>
      </c>
      <c r="B25962" s="30" t="s">
        <v>57101</v>
      </c>
      <c r="C25962" s="30" t="s">
        <v>1090</v>
      </c>
      <c r="D25962" s="30" t="s">
        <v>17</v>
      </c>
      <c r="E25962" s="30" t="s">
        <v>26</v>
      </c>
      <c r="F25962" s="30" t="s">
        <v>27</v>
      </c>
      <c r="G25962" s="30" t="s">
        <v>140</v>
      </c>
      <c r="H25962" s="32">
        <v>62</v>
      </c>
      <c r="I25962" s="30" t="s">
        <v>51</v>
      </c>
      <c r="J25962" s="41">
        <v>46218</v>
      </c>
      <c r="K25962" s="30" t="s">
        <v>22</v>
      </c>
    </row>
    <row r="25963" spans="1:11">
      <c r="A25963" s="33" t="s">
        <v>57102</v>
      </c>
      <c r="B25963" s="33" t="s">
        <v>57103</v>
      </c>
      <c r="C25963" s="33" t="s">
        <v>21691</v>
      </c>
      <c r="D25963" s="33" t="s">
        <v>17</v>
      </c>
      <c r="E25963" s="33" t="s">
        <v>26</v>
      </c>
      <c r="F25963" s="33" t="s">
        <v>27</v>
      </c>
      <c r="G25963" s="33" t="s">
        <v>140</v>
      </c>
      <c r="H25963" s="35">
        <v>18</v>
      </c>
      <c r="I25963" s="33" t="s">
        <v>51</v>
      </c>
      <c r="J25963" s="42">
        <v>46160</v>
      </c>
      <c r="K25963" s="33" t="s">
        <v>22</v>
      </c>
    </row>
    <row r="25964" spans="1:11">
      <c r="A25964" s="30" t="s">
        <v>57104</v>
      </c>
      <c r="B25964" s="30" t="s">
        <v>57105</v>
      </c>
      <c r="C25964" s="30" t="s">
        <v>56702</v>
      </c>
      <c r="D25964" s="30" t="s">
        <v>17</v>
      </c>
      <c r="E25964" s="30" t="s">
        <v>26</v>
      </c>
      <c r="F25964" s="30" t="s">
        <v>27</v>
      </c>
      <c r="G25964" s="30" t="s">
        <v>140</v>
      </c>
      <c r="H25964" s="32">
        <v>32</v>
      </c>
      <c r="I25964" s="30" t="s">
        <v>51</v>
      </c>
      <c r="J25964" s="41">
        <v>46139</v>
      </c>
      <c r="K25964" s="30" t="s">
        <v>22</v>
      </c>
    </row>
    <row r="25965" spans="1:11">
      <c r="A25965" s="33" t="s">
        <v>57106</v>
      </c>
      <c r="B25965" s="33" t="s">
        <v>57107</v>
      </c>
      <c r="C25965" s="33" t="s">
        <v>647</v>
      </c>
      <c r="D25965" s="33" t="s">
        <v>17</v>
      </c>
      <c r="E25965" s="33" t="s">
        <v>18</v>
      </c>
      <c r="F25965" s="33" t="s">
        <v>19</v>
      </c>
      <c r="G25965" s="33" t="s">
        <v>140</v>
      </c>
      <c r="H25965" s="35">
        <v>400</v>
      </c>
      <c r="I25965" s="33" t="s">
        <v>51</v>
      </c>
      <c r="J25965" s="42">
        <v>46099</v>
      </c>
      <c r="K25965" s="33" t="s">
        <v>22</v>
      </c>
    </row>
    <row r="25966" spans="1:11">
      <c r="A25966" s="30" t="s">
        <v>57108</v>
      </c>
      <c r="B25966" s="30" t="s">
        <v>57109</v>
      </c>
      <c r="C25966" s="30" t="s">
        <v>37698</v>
      </c>
      <c r="D25966" s="30" t="s">
        <v>17</v>
      </c>
      <c r="E25966" s="30" t="s">
        <v>26</v>
      </c>
      <c r="F25966" s="30" t="s">
        <v>27</v>
      </c>
      <c r="G25966" s="30" t="s">
        <v>7780</v>
      </c>
      <c r="H25966" s="32">
        <v>144</v>
      </c>
      <c r="I25966" s="30" t="s">
        <v>51</v>
      </c>
      <c r="J25966" s="41">
        <v>46209</v>
      </c>
      <c r="K25966" s="30" t="s">
        <v>22</v>
      </c>
    </row>
    <row r="25967" spans="1:11">
      <c r="A25967" s="33" t="s">
        <v>57110</v>
      </c>
      <c r="B25967" s="33" t="s">
        <v>57111</v>
      </c>
      <c r="C25967" s="33" t="s">
        <v>57112</v>
      </c>
      <c r="D25967" s="33" t="s">
        <v>17</v>
      </c>
      <c r="E25967" s="33" t="s">
        <v>26</v>
      </c>
      <c r="F25967" s="33" t="s">
        <v>27</v>
      </c>
      <c r="G25967" s="33" t="s">
        <v>140</v>
      </c>
      <c r="H25967" s="35">
        <v>70</v>
      </c>
      <c r="I25967" s="33" t="s">
        <v>51</v>
      </c>
      <c r="J25967" s="42">
        <v>46082</v>
      </c>
      <c r="K25967" s="33" t="s">
        <v>22</v>
      </c>
    </row>
    <row r="25968" spans="1:11">
      <c r="A25968" s="30" t="s">
        <v>57113</v>
      </c>
      <c r="B25968" s="30" t="s">
        <v>57114</v>
      </c>
      <c r="C25968" s="30" t="s">
        <v>3862</v>
      </c>
      <c r="D25968" s="30" t="s">
        <v>17</v>
      </c>
      <c r="E25968" s="30" t="s">
        <v>212</v>
      </c>
      <c r="F25968" s="30" t="s">
        <v>213</v>
      </c>
      <c r="G25968" s="30" t="s">
        <v>7780</v>
      </c>
      <c r="H25968" s="32">
        <v>100</v>
      </c>
      <c r="I25968" s="30" t="s">
        <v>51</v>
      </c>
      <c r="J25968" s="41">
        <v>46234</v>
      </c>
      <c r="K25968" s="30" t="s">
        <v>22</v>
      </c>
    </row>
    <row r="25969" spans="1:11">
      <c r="A25969" s="33" t="s">
        <v>57115</v>
      </c>
      <c r="B25969" s="33" t="s">
        <v>57116</v>
      </c>
      <c r="C25969" s="33" t="s">
        <v>15585</v>
      </c>
      <c r="D25969" s="33" t="s">
        <v>17</v>
      </c>
      <c r="E25969" s="33" t="s">
        <v>31</v>
      </c>
      <c r="F25969" s="33" t="s">
        <v>32</v>
      </c>
      <c r="G25969" s="33" t="s">
        <v>7780</v>
      </c>
      <c r="H25969" s="35">
        <v>160</v>
      </c>
      <c r="I25969" s="33" t="s">
        <v>51</v>
      </c>
      <c r="J25969" s="42">
        <v>46204</v>
      </c>
      <c r="K25969" s="33" t="s">
        <v>22</v>
      </c>
    </row>
    <row r="25970" spans="1:11">
      <c r="A25970" s="30" t="s">
        <v>57117</v>
      </c>
      <c r="B25970" s="30" t="s">
        <v>57118</v>
      </c>
      <c r="C25970" s="30" t="s">
        <v>231</v>
      </c>
      <c r="D25970" s="30" t="s">
        <v>17</v>
      </c>
      <c r="E25970" s="30" t="s">
        <v>31</v>
      </c>
      <c r="F25970" s="30" t="s">
        <v>32</v>
      </c>
      <c r="G25970" s="30" t="s">
        <v>158</v>
      </c>
      <c r="H25970" s="32">
        <v>20</v>
      </c>
      <c r="I25970" s="30" t="s">
        <v>21</v>
      </c>
      <c r="J25970" s="41">
        <v>46086</v>
      </c>
      <c r="K25970" s="30" t="s">
        <v>22</v>
      </c>
    </row>
    <row r="25971" spans="1:11">
      <c r="A25971" s="33" t="s">
        <v>57119</v>
      </c>
      <c r="B25971" s="33" t="s">
        <v>57120</v>
      </c>
      <c r="C25971" s="33" t="s">
        <v>57121</v>
      </c>
      <c r="D25971" s="33" t="s">
        <v>17</v>
      </c>
      <c r="E25971" s="33" t="s">
        <v>26</v>
      </c>
      <c r="F25971" s="33" t="s">
        <v>27</v>
      </c>
      <c r="G25971" s="33" t="s">
        <v>7780</v>
      </c>
      <c r="H25971" s="35">
        <v>110</v>
      </c>
      <c r="I25971" s="33" t="s">
        <v>51</v>
      </c>
      <c r="J25971" s="42">
        <v>46174</v>
      </c>
      <c r="K25971" s="33" t="s">
        <v>22</v>
      </c>
    </row>
    <row r="25972" spans="1:11">
      <c r="A25972" s="30" t="s">
        <v>57122</v>
      </c>
      <c r="B25972" s="30" t="s">
        <v>57123</v>
      </c>
      <c r="C25972" s="30" t="s">
        <v>102</v>
      </c>
      <c r="D25972" s="30" t="s">
        <v>17</v>
      </c>
      <c r="E25972" s="30" t="s">
        <v>18</v>
      </c>
      <c r="F25972" s="30" t="s">
        <v>19</v>
      </c>
      <c r="G25972" s="30" t="s">
        <v>140</v>
      </c>
      <c r="H25972" s="32">
        <v>460</v>
      </c>
      <c r="I25972" s="30" t="s">
        <v>51</v>
      </c>
      <c r="J25972" s="41">
        <v>46164</v>
      </c>
      <c r="K25972" s="30" t="s">
        <v>22</v>
      </c>
    </row>
    <row r="25973" spans="1:11">
      <c r="A25973" s="33" t="s">
        <v>57124</v>
      </c>
      <c r="B25973" s="33" t="s">
        <v>57125</v>
      </c>
      <c r="C25973" s="33" t="s">
        <v>2753</v>
      </c>
      <c r="D25973" s="33" t="s">
        <v>17</v>
      </c>
      <c r="E25973" s="33" t="s">
        <v>26</v>
      </c>
      <c r="F25973" s="33" t="s">
        <v>27</v>
      </c>
      <c r="G25973" s="33" t="s">
        <v>140</v>
      </c>
      <c r="H25973" s="35">
        <v>32</v>
      </c>
      <c r="I25973" s="33" t="s">
        <v>51</v>
      </c>
      <c r="J25973" s="42">
        <v>46224</v>
      </c>
      <c r="K25973" s="33" t="s">
        <v>22</v>
      </c>
    </row>
    <row r="25974" spans="1:11">
      <c r="A25974" s="30" t="s">
        <v>57126</v>
      </c>
      <c r="B25974" s="30" t="s">
        <v>57127</v>
      </c>
      <c r="C25974" s="30" t="s">
        <v>310</v>
      </c>
      <c r="D25974" s="30" t="s">
        <v>17</v>
      </c>
      <c r="E25974" s="30" t="s">
        <v>26</v>
      </c>
      <c r="F25974" s="30" t="s">
        <v>27</v>
      </c>
      <c r="G25974" s="30" t="s">
        <v>140</v>
      </c>
      <c r="H25974" s="32">
        <v>45</v>
      </c>
      <c r="I25974" s="30" t="s">
        <v>51</v>
      </c>
      <c r="J25974" s="41">
        <v>46119</v>
      </c>
      <c r="K25974" s="30" t="s">
        <v>22</v>
      </c>
    </row>
    <row r="25975" spans="1:11">
      <c r="A25975" s="33" t="s">
        <v>57128</v>
      </c>
      <c r="B25975" s="33" t="s">
        <v>57129</v>
      </c>
      <c r="C25975" s="33" t="s">
        <v>30230</v>
      </c>
      <c r="D25975" s="33" t="s">
        <v>17</v>
      </c>
      <c r="E25975" s="33" t="s">
        <v>26</v>
      </c>
      <c r="F25975" s="33" t="s">
        <v>27</v>
      </c>
      <c r="G25975" s="33" t="s">
        <v>20</v>
      </c>
      <c r="H25975" s="35">
        <v>28</v>
      </c>
      <c r="I25975" s="33" t="s">
        <v>21</v>
      </c>
      <c r="J25975" s="42">
        <v>46113</v>
      </c>
      <c r="K25975" s="33" t="s">
        <v>22</v>
      </c>
    </row>
    <row r="25976" spans="1:11">
      <c r="A25976" s="30" t="s">
        <v>57130</v>
      </c>
      <c r="B25976" s="30" t="s">
        <v>57131</v>
      </c>
      <c r="C25976" s="30" t="s">
        <v>57132</v>
      </c>
      <c r="D25976" s="30" t="s">
        <v>17</v>
      </c>
      <c r="E25976" s="30" t="s">
        <v>67</v>
      </c>
      <c r="F25976" s="30" t="s">
        <v>68</v>
      </c>
      <c r="G25976" s="30" t="s">
        <v>140</v>
      </c>
      <c r="H25976" s="32">
        <v>290</v>
      </c>
      <c r="I25976" s="30" t="s">
        <v>51</v>
      </c>
      <c r="J25976" s="41">
        <v>46070</v>
      </c>
      <c r="K25976" s="30" t="s">
        <v>22</v>
      </c>
    </row>
    <row r="25977" spans="1:11">
      <c r="A25977" s="33" t="s">
        <v>57133</v>
      </c>
      <c r="B25977" s="33" t="s">
        <v>57134</v>
      </c>
      <c r="C25977" s="33" t="s">
        <v>57135</v>
      </c>
      <c r="D25977" s="33" t="s">
        <v>17</v>
      </c>
      <c r="E25977" s="33" t="s">
        <v>31</v>
      </c>
      <c r="F25977" s="33" t="s">
        <v>32</v>
      </c>
      <c r="G25977" s="33" t="s">
        <v>140</v>
      </c>
      <c r="H25977" s="35">
        <v>108</v>
      </c>
      <c r="I25977" s="33" t="s">
        <v>51</v>
      </c>
      <c r="J25977" s="42">
        <v>46161</v>
      </c>
      <c r="K25977" s="33" t="s">
        <v>22</v>
      </c>
    </row>
    <row r="25978" spans="1:11">
      <c r="A25978" s="30" t="s">
        <v>57136</v>
      </c>
      <c r="B25978" s="30" t="s">
        <v>57137</v>
      </c>
      <c r="C25978" s="30" t="s">
        <v>44</v>
      </c>
      <c r="D25978" s="30" t="s">
        <v>17</v>
      </c>
      <c r="E25978" s="30" t="s">
        <v>26</v>
      </c>
      <c r="F25978" s="30" t="s">
        <v>27</v>
      </c>
      <c r="G25978" s="30" t="s">
        <v>140</v>
      </c>
      <c r="H25978" s="32">
        <v>144</v>
      </c>
      <c r="I25978" s="30" t="s">
        <v>51</v>
      </c>
      <c r="J25978" s="41">
        <v>46164</v>
      </c>
      <c r="K25978" s="30" t="s">
        <v>22</v>
      </c>
    </row>
    <row r="25979" spans="1:11">
      <c r="A25979" s="33" t="s">
        <v>57138</v>
      </c>
      <c r="B25979" s="33" t="s">
        <v>57139</v>
      </c>
      <c r="C25979" s="33" t="s">
        <v>310</v>
      </c>
      <c r="D25979" s="33" t="s">
        <v>17</v>
      </c>
      <c r="E25979" s="33" t="s">
        <v>26</v>
      </c>
      <c r="F25979" s="33" t="s">
        <v>27</v>
      </c>
      <c r="G25979" s="33" t="s">
        <v>140</v>
      </c>
      <c r="H25979" s="35">
        <v>100</v>
      </c>
      <c r="I25979" s="33" t="s">
        <v>51</v>
      </c>
      <c r="J25979" s="42">
        <v>46122</v>
      </c>
      <c r="K25979" s="33" t="s">
        <v>22</v>
      </c>
    </row>
    <row r="25980" spans="1:11">
      <c r="A25980" s="30" t="s">
        <v>57140</v>
      </c>
      <c r="B25980" s="30" t="s">
        <v>57141</v>
      </c>
      <c r="C25980" s="30" t="s">
        <v>647</v>
      </c>
      <c r="D25980" s="30" t="s">
        <v>17</v>
      </c>
      <c r="E25980" s="30" t="s">
        <v>26</v>
      </c>
      <c r="F25980" s="30" t="s">
        <v>27</v>
      </c>
      <c r="G25980" s="30" t="s">
        <v>20</v>
      </c>
      <c r="H25980" s="32">
        <v>14</v>
      </c>
      <c r="I25980" s="30" t="s">
        <v>21</v>
      </c>
      <c r="J25980" s="41">
        <v>46153</v>
      </c>
      <c r="K25980" s="30" t="s">
        <v>22</v>
      </c>
    </row>
    <row r="25981" spans="1:11">
      <c r="A25981" s="33" t="s">
        <v>57142</v>
      </c>
      <c r="B25981" s="33" t="s">
        <v>57143</v>
      </c>
      <c r="C25981" s="33" t="s">
        <v>318</v>
      </c>
      <c r="D25981" s="33" t="s">
        <v>17</v>
      </c>
      <c r="E25981" s="33" t="s">
        <v>26</v>
      </c>
      <c r="F25981" s="33" t="s">
        <v>27</v>
      </c>
      <c r="G25981" s="33" t="s">
        <v>140</v>
      </c>
      <c r="H25981" s="35">
        <v>40</v>
      </c>
      <c r="I25981" s="33" t="s">
        <v>51</v>
      </c>
      <c r="J25981" s="42">
        <v>46140</v>
      </c>
      <c r="K25981" s="33" t="s">
        <v>22</v>
      </c>
    </row>
    <row r="25982" spans="1:11">
      <c r="A25982" s="30" t="s">
        <v>57144</v>
      </c>
      <c r="B25982" s="30" t="s">
        <v>57145</v>
      </c>
      <c r="C25982" s="30" t="s">
        <v>57146</v>
      </c>
      <c r="D25982" s="30" t="s">
        <v>17</v>
      </c>
      <c r="E25982" s="30" t="s">
        <v>26</v>
      </c>
      <c r="F25982" s="30" t="s">
        <v>27</v>
      </c>
      <c r="G25982" s="30" t="s">
        <v>7780</v>
      </c>
      <c r="H25982" s="32">
        <v>36</v>
      </c>
      <c r="I25982" s="30" t="s">
        <v>51</v>
      </c>
      <c r="J25982" s="41">
        <v>46203</v>
      </c>
      <c r="K25982" s="30" t="s">
        <v>22</v>
      </c>
    </row>
    <row r="25983" spans="1:11">
      <c r="A25983" s="33" t="s">
        <v>57147</v>
      </c>
      <c r="B25983" s="33" t="s">
        <v>57148</v>
      </c>
      <c r="C25983" s="33" t="s">
        <v>2171</v>
      </c>
      <c r="D25983" s="33" t="s">
        <v>17</v>
      </c>
      <c r="E25983" s="33" t="s">
        <v>31</v>
      </c>
      <c r="F25983" s="33" t="s">
        <v>32</v>
      </c>
      <c r="G25983" s="33" t="s">
        <v>7780</v>
      </c>
      <c r="H25983" s="35">
        <v>160</v>
      </c>
      <c r="I25983" s="33" t="s">
        <v>51</v>
      </c>
      <c r="J25983" s="42">
        <v>46113</v>
      </c>
      <c r="K25983" s="33" t="s">
        <v>22</v>
      </c>
    </row>
    <row r="25984" spans="1:11">
      <c r="A25984" s="30" t="s">
        <v>57149</v>
      </c>
      <c r="B25984" s="30" t="s">
        <v>57150</v>
      </c>
      <c r="C25984" s="30" t="s">
        <v>801</v>
      </c>
      <c r="D25984" s="30" t="s">
        <v>17</v>
      </c>
      <c r="E25984" s="30" t="s">
        <v>26</v>
      </c>
      <c r="F25984" s="30" t="s">
        <v>27</v>
      </c>
      <c r="G25984" s="30" t="s">
        <v>140</v>
      </c>
      <c r="H25984" s="32">
        <v>48</v>
      </c>
      <c r="I25984" s="30" t="s">
        <v>51</v>
      </c>
      <c r="J25984" s="41">
        <v>46224</v>
      </c>
      <c r="K25984" s="30" t="s">
        <v>22</v>
      </c>
    </row>
    <row r="25985" spans="1:11">
      <c r="A25985" s="33" t="s">
        <v>57151</v>
      </c>
      <c r="B25985" s="33" t="s">
        <v>57152</v>
      </c>
      <c r="C25985" s="33" t="s">
        <v>178</v>
      </c>
      <c r="D25985" s="33" t="s">
        <v>17</v>
      </c>
      <c r="E25985" s="33" t="s">
        <v>18</v>
      </c>
      <c r="F25985" s="33" t="s">
        <v>19</v>
      </c>
      <c r="G25985" s="33" t="s">
        <v>140</v>
      </c>
      <c r="H25985" s="35">
        <v>360</v>
      </c>
      <c r="I25985" s="33" t="s">
        <v>51</v>
      </c>
      <c r="J25985" s="42">
        <v>46139</v>
      </c>
      <c r="K25985" s="33" t="s">
        <v>22</v>
      </c>
    </row>
    <row r="25986" spans="1:11">
      <c r="A25986" s="30" t="s">
        <v>57153</v>
      </c>
      <c r="B25986" s="30" t="s">
        <v>57154</v>
      </c>
      <c r="C25986" s="30" t="s">
        <v>118</v>
      </c>
      <c r="D25986" s="30" t="s">
        <v>17</v>
      </c>
      <c r="E25986" s="30" t="s">
        <v>18</v>
      </c>
      <c r="F25986" s="30" t="s">
        <v>19</v>
      </c>
      <c r="G25986" s="30" t="s">
        <v>140</v>
      </c>
      <c r="H25986" s="32">
        <v>117</v>
      </c>
      <c r="I25986" s="30" t="s">
        <v>51</v>
      </c>
      <c r="J25986" s="41">
        <v>46174</v>
      </c>
      <c r="K25986" s="30" t="s">
        <v>22</v>
      </c>
    </row>
    <row r="25987" spans="1:11">
      <c r="A25987" s="33" t="s">
        <v>57155</v>
      </c>
      <c r="B25987" s="33" t="s">
        <v>57156</v>
      </c>
      <c r="C25987" s="33" t="s">
        <v>570</v>
      </c>
      <c r="D25987" s="33" t="s">
        <v>17</v>
      </c>
      <c r="E25987" s="33" t="s">
        <v>31</v>
      </c>
      <c r="F25987" s="33" t="s">
        <v>32</v>
      </c>
      <c r="G25987" s="33" t="s">
        <v>7780</v>
      </c>
      <c r="H25987" s="35">
        <v>162</v>
      </c>
      <c r="I25987" s="33" t="s">
        <v>51</v>
      </c>
      <c r="J25987" s="42">
        <v>46174</v>
      </c>
      <c r="K25987" s="33" t="s">
        <v>22</v>
      </c>
    </row>
    <row r="25988" spans="1:11">
      <c r="A25988" s="30" t="s">
        <v>57157</v>
      </c>
      <c r="B25988" s="30" t="s">
        <v>57158</v>
      </c>
      <c r="C25988" s="30" t="s">
        <v>1295</v>
      </c>
      <c r="D25988" s="30" t="s">
        <v>17</v>
      </c>
      <c r="E25988" s="30" t="s">
        <v>26</v>
      </c>
      <c r="F25988" s="30" t="s">
        <v>27</v>
      </c>
      <c r="G25988" s="30" t="s">
        <v>140</v>
      </c>
      <c r="H25988" s="32">
        <v>140</v>
      </c>
      <c r="I25988" s="30" t="s">
        <v>51</v>
      </c>
      <c r="J25988" s="41">
        <v>46195</v>
      </c>
      <c r="K25988" s="30" t="s">
        <v>22</v>
      </c>
    </row>
    <row r="25989" spans="1:11">
      <c r="A25989" s="33" t="s">
        <v>57159</v>
      </c>
      <c r="B25989" s="33" t="s">
        <v>57160</v>
      </c>
      <c r="C25989" s="33" t="s">
        <v>57161</v>
      </c>
      <c r="D25989" s="33" t="s">
        <v>17</v>
      </c>
      <c r="E25989" s="33" t="s">
        <v>18</v>
      </c>
      <c r="F25989" s="33" t="s">
        <v>19</v>
      </c>
      <c r="G25989" s="33" t="s">
        <v>140</v>
      </c>
      <c r="H25989" s="35">
        <v>426</v>
      </c>
      <c r="I25989" s="33" t="s">
        <v>51</v>
      </c>
      <c r="J25989" s="42">
        <v>46148</v>
      </c>
      <c r="K25989" s="33" t="s">
        <v>22</v>
      </c>
    </row>
    <row r="25990" spans="1:11">
      <c r="A25990" s="30" t="s">
        <v>57162</v>
      </c>
      <c r="B25990" s="30" t="s">
        <v>57163</v>
      </c>
      <c r="C25990" s="30" t="s">
        <v>318</v>
      </c>
      <c r="D25990" s="30" t="s">
        <v>17</v>
      </c>
      <c r="E25990" s="30" t="s">
        <v>31</v>
      </c>
      <c r="F25990" s="30" t="s">
        <v>32</v>
      </c>
      <c r="G25990" s="30" t="s">
        <v>140</v>
      </c>
      <c r="H25990" s="32">
        <v>180</v>
      </c>
      <c r="I25990" s="30" t="s">
        <v>51</v>
      </c>
      <c r="J25990" s="41">
        <v>46086</v>
      </c>
      <c r="K25990" s="30" t="s">
        <v>22</v>
      </c>
    </row>
    <row r="25991" spans="1:11">
      <c r="A25991" s="33" t="s">
        <v>57164</v>
      </c>
      <c r="B25991" s="33" t="s">
        <v>57165</v>
      </c>
      <c r="C25991" s="33" t="s">
        <v>136</v>
      </c>
      <c r="D25991" s="33" t="s">
        <v>17</v>
      </c>
      <c r="E25991" s="33" t="s">
        <v>31</v>
      </c>
      <c r="F25991" s="33" t="s">
        <v>32</v>
      </c>
      <c r="G25991" s="33" t="s">
        <v>140</v>
      </c>
      <c r="H25991" s="35">
        <v>212</v>
      </c>
      <c r="I25991" s="33" t="s">
        <v>51</v>
      </c>
      <c r="J25991" s="42">
        <v>46113</v>
      </c>
      <c r="K25991" s="33" t="s">
        <v>22</v>
      </c>
    </row>
    <row r="25992" spans="1:11">
      <c r="A25992" s="30" t="s">
        <v>57166</v>
      </c>
      <c r="B25992" s="30" t="s">
        <v>57167</v>
      </c>
      <c r="C25992" s="30" t="s">
        <v>36645</v>
      </c>
      <c r="D25992" s="30" t="s">
        <v>17</v>
      </c>
      <c r="E25992" s="30" t="s">
        <v>26</v>
      </c>
      <c r="F25992" s="30" t="s">
        <v>27</v>
      </c>
      <c r="G25992" s="30" t="s">
        <v>140</v>
      </c>
      <c r="H25992" s="32">
        <v>22</v>
      </c>
      <c r="I25992" s="30" t="s">
        <v>51</v>
      </c>
      <c r="J25992" s="41">
        <v>46111</v>
      </c>
      <c r="K25992" s="30" t="s">
        <v>22</v>
      </c>
    </row>
    <row r="25993" spans="1:11">
      <c r="A25993" s="33" t="s">
        <v>57168</v>
      </c>
      <c r="B25993" s="33" t="s">
        <v>57169</v>
      </c>
      <c r="C25993" s="33" t="s">
        <v>136</v>
      </c>
      <c r="D25993" s="33" t="s">
        <v>17</v>
      </c>
      <c r="E25993" s="33" t="s">
        <v>26</v>
      </c>
      <c r="F25993" s="33" t="s">
        <v>27</v>
      </c>
      <c r="G25993" s="33" t="s">
        <v>140</v>
      </c>
      <c r="H25993" s="35">
        <v>60</v>
      </c>
      <c r="I25993" s="33" t="s">
        <v>51</v>
      </c>
      <c r="J25993" s="42">
        <v>46204</v>
      </c>
      <c r="K25993" s="33" t="s">
        <v>22</v>
      </c>
    </row>
    <row r="25994" spans="1:11">
      <c r="A25994" s="30" t="s">
        <v>57170</v>
      </c>
      <c r="B25994" s="30" t="s">
        <v>57171</v>
      </c>
      <c r="C25994" s="30" t="s">
        <v>6092</v>
      </c>
      <c r="D25994" s="30" t="s">
        <v>17</v>
      </c>
      <c r="E25994" s="30" t="s">
        <v>18</v>
      </c>
      <c r="F25994" s="30" t="s">
        <v>19</v>
      </c>
      <c r="G25994" s="30" t="s">
        <v>140</v>
      </c>
      <c r="H25994" s="32">
        <v>306</v>
      </c>
      <c r="I25994" s="30" t="s">
        <v>51</v>
      </c>
      <c r="J25994" s="41">
        <v>46135</v>
      </c>
      <c r="K25994" s="30" t="s">
        <v>22</v>
      </c>
    </row>
    <row r="25995" spans="1:11">
      <c r="A25995" s="33" t="s">
        <v>57172</v>
      </c>
      <c r="B25995" s="33" t="s">
        <v>57173</v>
      </c>
      <c r="C25995" s="33" t="s">
        <v>37302</v>
      </c>
      <c r="D25995" s="33" t="s">
        <v>17</v>
      </c>
      <c r="E25995" s="33" t="s">
        <v>26</v>
      </c>
      <c r="F25995" s="33" t="s">
        <v>27</v>
      </c>
      <c r="G25995" s="33" t="s">
        <v>140</v>
      </c>
      <c r="H25995" s="35">
        <v>18</v>
      </c>
      <c r="I25995" s="33" t="s">
        <v>51</v>
      </c>
      <c r="J25995" s="42">
        <v>46183</v>
      </c>
      <c r="K25995" s="33" t="s">
        <v>22</v>
      </c>
    </row>
    <row r="25996" spans="1:11">
      <c r="A25996" s="30" t="s">
        <v>57174</v>
      </c>
      <c r="B25996" s="30" t="s">
        <v>57175</v>
      </c>
      <c r="C25996" s="30" t="s">
        <v>130</v>
      </c>
      <c r="D25996" s="30" t="s">
        <v>17</v>
      </c>
      <c r="E25996" s="30" t="s">
        <v>26</v>
      </c>
      <c r="F25996" s="30" t="s">
        <v>27</v>
      </c>
      <c r="G25996" s="30" t="s">
        <v>140</v>
      </c>
      <c r="H25996" s="32">
        <v>280</v>
      </c>
      <c r="I25996" s="30" t="s">
        <v>51</v>
      </c>
      <c r="J25996" s="41">
        <v>46030</v>
      </c>
      <c r="K25996" s="30" t="s">
        <v>22</v>
      </c>
    </row>
    <row r="25997" spans="1:11">
      <c r="A25997" s="33" t="s">
        <v>57176</v>
      </c>
      <c r="B25997" s="33" t="s">
        <v>57177</v>
      </c>
      <c r="C25997" s="33" t="s">
        <v>57178</v>
      </c>
      <c r="D25997" s="33" t="s">
        <v>17</v>
      </c>
      <c r="E25997" s="33" t="s">
        <v>18</v>
      </c>
      <c r="F25997" s="33" t="s">
        <v>19</v>
      </c>
      <c r="G25997" s="33" t="s">
        <v>140</v>
      </c>
      <c r="H25997" s="35">
        <v>150</v>
      </c>
      <c r="I25997" s="33" t="s">
        <v>51</v>
      </c>
      <c r="J25997" s="42">
        <v>46210</v>
      </c>
      <c r="K25997" s="33" t="s">
        <v>22</v>
      </c>
    </row>
    <row r="25998" spans="1:11">
      <c r="A25998" s="30" t="s">
        <v>57179</v>
      </c>
      <c r="B25998" s="30" t="s">
        <v>57180</v>
      </c>
      <c r="C25998" s="30" t="s">
        <v>53729</v>
      </c>
      <c r="D25998" s="30" t="s">
        <v>17</v>
      </c>
      <c r="E25998" s="30" t="s">
        <v>31</v>
      </c>
      <c r="F25998" s="30" t="s">
        <v>32</v>
      </c>
      <c r="G25998" s="30" t="s">
        <v>140</v>
      </c>
      <c r="H25998" s="32">
        <v>30</v>
      </c>
      <c r="I25998" s="30" t="s">
        <v>51</v>
      </c>
      <c r="J25998" s="41">
        <v>46161</v>
      </c>
      <c r="K25998" s="30" t="s">
        <v>22</v>
      </c>
    </row>
    <row r="25999" spans="1:11">
      <c r="A25999" s="33" t="s">
        <v>57181</v>
      </c>
      <c r="B25999" s="33" t="s">
        <v>57182</v>
      </c>
      <c r="C25999" s="33" t="s">
        <v>96</v>
      </c>
      <c r="D25999" s="33" t="s">
        <v>17</v>
      </c>
      <c r="E25999" s="33" t="s">
        <v>26</v>
      </c>
      <c r="F25999" s="33" t="s">
        <v>27</v>
      </c>
      <c r="G25999" s="33" t="s">
        <v>7780</v>
      </c>
      <c r="H25999" s="35">
        <v>28</v>
      </c>
      <c r="I25999" s="33" t="s">
        <v>51</v>
      </c>
      <c r="J25999" s="42">
        <v>46212</v>
      </c>
      <c r="K25999" s="33" t="s">
        <v>22</v>
      </c>
    </row>
    <row r="26000" spans="1:11">
      <c r="A26000" s="30" t="s">
        <v>57183</v>
      </c>
      <c r="B26000" s="30" t="s">
        <v>57184</v>
      </c>
      <c r="C26000" s="30" t="s">
        <v>2117</v>
      </c>
      <c r="D26000" s="30" t="s">
        <v>17</v>
      </c>
      <c r="E26000" s="30" t="s">
        <v>18</v>
      </c>
      <c r="F26000" s="30" t="s">
        <v>19</v>
      </c>
      <c r="G26000" s="30" t="s">
        <v>7780</v>
      </c>
      <c r="H26000" s="32">
        <v>52</v>
      </c>
      <c r="I26000" s="30" t="s">
        <v>51</v>
      </c>
      <c r="J26000" s="41">
        <v>46160</v>
      </c>
      <c r="K26000" s="30" t="s">
        <v>22</v>
      </c>
    </row>
    <row r="26001" spans="1:11">
      <c r="A26001" s="33" t="s">
        <v>57185</v>
      </c>
      <c r="B26001" s="33" t="s">
        <v>57186</v>
      </c>
      <c r="C26001" s="33" t="s">
        <v>379</v>
      </c>
      <c r="D26001" s="33" t="s">
        <v>17</v>
      </c>
      <c r="E26001" s="33" t="s">
        <v>67</v>
      </c>
      <c r="F26001" s="33" t="s">
        <v>68</v>
      </c>
      <c r="G26001" s="33" t="s">
        <v>7780</v>
      </c>
      <c r="H26001" s="35">
        <v>126</v>
      </c>
      <c r="I26001" s="33" t="s">
        <v>51</v>
      </c>
      <c r="J26001" s="42">
        <v>46053</v>
      </c>
      <c r="K26001" s="33" t="s">
        <v>22</v>
      </c>
    </row>
    <row r="26002" spans="1:11">
      <c r="A26002" s="30" t="s">
        <v>57187</v>
      </c>
      <c r="B26002" s="30" t="s">
        <v>57188</v>
      </c>
      <c r="C26002" s="30" t="s">
        <v>57189</v>
      </c>
      <c r="D26002" s="30" t="s">
        <v>17</v>
      </c>
      <c r="E26002" s="30" t="s">
        <v>67</v>
      </c>
      <c r="F26002" s="30" t="s">
        <v>68</v>
      </c>
      <c r="G26002" s="30" t="s">
        <v>7780</v>
      </c>
      <c r="H26002" s="32">
        <v>16</v>
      </c>
      <c r="I26002" s="30" t="s">
        <v>51</v>
      </c>
      <c r="J26002" s="41">
        <v>46113</v>
      </c>
      <c r="K26002" s="30" t="s">
        <v>22</v>
      </c>
    </row>
    <row r="26003" spans="1:11">
      <c r="A26003" s="33" t="s">
        <v>57190</v>
      </c>
      <c r="B26003" s="33" t="s">
        <v>57191</v>
      </c>
      <c r="C26003" s="33" t="s">
        <v>22650</v>
      </c>
      <c r="D26003" s="33" t="s">
        <v>17</v>
      </c>
      <c r="E26003" s="33" t="s">
        <v>18</v>
      </c>
      <c r="F26003" s="33" t="s">
        <v>19</v>
      </c>
      <c r="G26003" s="33" t="s">
        <v>7780</v>
      </c>
      <c r="H26003" s="35">
        <v>498</v>
      </c>
      <c r="I26003" s="33" t="s">
        <v>51</v>
      </c>
      <c r="J26003" s="42">
        <v>46143</v>
      </c>
      <c r="K26003" s="33" t="s">
        <v>22</v>
      </c>
    </row>
    <row r="26004" spans="1:11">
      <c r="A26004" s="30" t="s">
        <v>57192</v>
      </c>
      <c r="B26004" s="30" t="s">
        <v>57193</v>
      </c>
      <c r="C26004" s="30" t="s">
        <v>3190</v>
      </c>
      <c r="D26004" s="30" t="s">
        <v>17</v>
      </c>
      <c r="E26004" s="30" t="s">
        <v>26</v>
      </c>
      <c r="F26004" s="30" t="s">
        <v>27</v>
      </c>
      <c r="G26004" s="30" t="s">
        <v>140</v>
      </c>
      <c r="H26004" s="32">
        <v>20</v>
      </c>
      <c r="I26004" s="30" t="s">
        <v>51</v>
      </c>
      <c r="J26004" s="41">
        <v>46045</v>
      </c>
      <c r="K26004" s="30" t="s">
        <v>22</v>
      </c>
    </row>
    <row r="26005" spans="1:11">
      <c r="A26005" s="33" t="s">
        <v>57194</v>
      </c>
      <c r="B26005" s="33" t="s">
        <v>57195</v>
      </c>
      <c r="C26005" s="33" t="s">
        <v>39410</v>
      </c>
      <c r="D26005" s="33" t="s">
        <v>17</v>
      </c>
      <c r="E26005" s="33" t="s">
        <v>26</v>
      </c>
      <c r="F26005" s="33" t="s">
        <v>27</v>
      </c>
      <c r="G26005" s="33" t="s">
        <v>140</v>
      </c>
      <c r="H26005" s="35">
        <v>60</v>
      </c>
      <c r="I26005" s="33" t="s">
        <v>51</v>
      </c>
      <c r="J26005" s="42">
        <v>46116</v>
      </c>
      <c r="K26005" s="33" t="s">
        <v>22</v>
      </c>
    </row>
    <row r="26006" spans="1:11">
      <c r="A26006" s="30" t="s">
        <v>57196</v>
      </c>
      <c r="B26006" s="30" t="s">
        <v>57197</v>
      </c>
      <c r="C26006" s="30" t="s">
        <v>102</v>
      </c>
      <c r="D26006" s="30" t="s">
        <v>17</v>
      </c>
      <c r="E26006" s="30" t="s">
        <v>18</v>
      </c>
      <c r="F26006" s="30" t="s">
        <v>19</v>
      </c>
      <c r="G26006" s="30" t="s">
        <v>140</v>
      </c>
      <c r="H26006" s="32">
        <v>530</v>
      </c>
      <c r="I26006" s="30" t="s">
        <v>51</v>
      </c>
      <c r="J26006" s="41">
        <v>46133</v>
      </c>
      <c r="K26006" s="30" t="s">
        <v>22</v>
      </c>
    </row>
    <row r="26007" spans="1:11">
      <c r="A26007" s="33" t="s">
        <v>57198</v>
      </c>
      <c r="B26007" s="33" t="s">
        <v>57199</v>
      </c>
      <c r="C26007" s="33" t="s">
        <v>925</v>
      </c>
      <c r="D26007" s="33" t="s">
        <v>17</v>
      </c>
      <c r="E26007" s="33" t="s">
        <v>31</v>
      </c>
      <c r="F26007" s="33" t="s">
        <v>32</v>
      </c>
      <c r="G26007" s="33" t="s">
        <v>140</v>
      </c>
      <c r="H26007" s="35">
        <v>170</v>
      </c>
      <c r="I26007" s="33" t="s">
        <v>51</v>
      </c>
      <c r="J26007" s="42">
        <v>46161</v>
      </c>
      <c r="K26007" s="33" t="s">
        <v>22</v>
      </c>
    </row>
    <row r="26008" spans="1:11">
      <c r="A26008" s="30" t="s">
        <v>57200</v>
      </c>
      <c r="B26008" s="30" t="s">
        <v>57201</v>
      </c>
      <c r="C26008" s="30" t="s">
        <v>57202</v>
      </c>
      <c r="D26008" s="30" t="s">
        <v>17</v>
      </c>
      <c r="E26008" s="30" t="s">
        <v>212</v>
      </c>
      <c r="F26008" s="30" t="s">
        <v>213</v>
      </c>
      <c r="G26008" s="30" t="s">
        <v>140</v>
      </c>
      <c r="H26008" s="32">
        <v>200</v>
      </c>
      <c r="I26008" s="30" t="s">
        <v>51</v>
      </c>
      <c r="J26008" s="41">
        <v>46204</v>
      </c>
      <c r="K26008" s="30" t="s">
        <v>22</v>
      </c>
    </row>
    <row r="26009" spans="1:11">
      <c r="A26009" s="33" t="s">
        <v>57203</v>
      </c>
      <c r="B26009" s="33" t="s">
        <v>57204</v>
      </c>
      <c r="C26009" s="33" t="s">
        <v>57205</v>
      </c>
      <c r="D26009" s="33" t="s">
        <v>17</v>
      </c>
      <c r="E26009" s="33" t="s">
        <v>31</v>
      </c>
      <c r="F26009" s="33" t="s">
        <v>32</v>
      </c>
      <c r="G26009" s="33" t="s">
        <v>140</v>
      </c>
      <c r="H26009" s="35">
        <v>90</v>
      </c>
      <c r="I26009" s="33" t="s">
        <v>51</v>
      </c>
      <c r="J26009" s="42">
        <v>46038</v>
      </c>
      <c r="K26009" s="33" t="s">
        <v>22</v>
      </c>
    </row>
    <row r="26010" spans="1:11">
      <c r="A26010" s="30" t="s">
        <v>57206</v>
      </c>
      <c r="B26010" s="30" t="s">
        <v>57207</v>
      </c>
      <c r="C26010" s="30" t="s">
        <v>136</v>
      </c>
      <c r="D26010" s="30" t="s">
        <v>17</v>
      </c>
      <c r="E26010" s="30" t="s">
        <v>31</v>
      </c>
      <c r="F26010" s="30" t="s">
        <v>32</v>
      </c>
      <c r="G26010" s="30" t="s">
        <v>140</v>
      </c>
      <c r="H26010" s="32">
        <v>60</v>
      </c>
      <c r="I26010" s="30" t="s">
        <v>51</v>
      </c>
      <c r="J26010" s="41">
        <v>46146</v>
      </c>
      <c r="K26010" s="30" t="s">
        <v>22</v>
      </c>
    </row>
    <row r="26011" spans="1:11">
      <c r="A26011" s="33" t="s">
        <v>57208</v>
      </c>
      <c r="B26011" s="33" t="s">
        <v>57209</v>
      </c>
      <c r="C26011" s="33" t="s">
        <v>57210</v>
      </c>
      <c r="D26011" s="33" t="s">
        <v>17</v>
      </c>
      <c r="E26011" s="33" t="s">
        <v>26</v>
      </c>
      <c r="F26011" s="33" t="s">
        <v>27</v>
      </c>
      <c r="G26011" s="33" t="s">
        <v>140</v>
      </c>
      <c r="H26011" s="35">
        <v>40</v>
      </c>
      <c r="I26011" s="33" t="s">
        <v>51</v>
      </c>
      <c r="J26011" s="42">
        <v>46202</v>
      </c>
      <c r="K26011" s="33" t="s">
        <v>22</v>
      </c>
    </row>
    <row r="26012" spans="1:11">
      <c r="A26012" s="30" t="s">
        <v>57211</v>
      </c>
      <c r="B26012" s="30" t="s">
        <v>57212</v>
      </c>
      <c r="C26012" s="30" t="s">
        <v>38987</v>
      </c>
      <c r="D26012" s="30" t="s">
        <v>17</v>
      </c>
      <c r="E26012" s="30" t="s">
        <v>26</v>
      </c>
      <c r="F26012" s="30" t="s">
        <v>27</v>
      </c>
      <c r="G26012" s="30" t="s">
        <v>7780</v>
      </c>
      <c r="H26012" s="32">
        <v>24</v>
      </c>
      <c r="I26012" s="30" t="s">
        <v>51</v>
      </c>
      <c r="J26012" s="41">
        <v>46096</v>
      </c>
      <c r="K26012" s="30" t="s">
        <v>22</v>
      </c>
    </row>
    <row r="26013" spans="1:11">
      <c r="A26013" s="33" t="s">
        <v>57213</v>
      </c>
      <c r="B26013" s="33" t="s">
        <v>57214</v>
      </c>
      <c r="C26013" s="33" t="s">
        <v>93</v>
      </c>
      <c r="D26013" s="33" t="s">
        <v>17</v>
      </c>
      <c r="E26013" s="33" t="s">
        <v>26</v>
      </c>
      <c r="F26013" s="33" t="s">
        <v>27</v>
      </c>
      <c r="G26013" s="33" t="s">
        <v>158</v>
      </c>
      <c r="H26013" s="35">
        <v>20</v>
      </c>
      <c r="I26013" s="33" t="s">
        <v>21</v>
      </c>
      <c r="J26013" s="42">
        <v>46064</v>
      </c>
      <c r="K26013" s="33" t="s">
        <v>22</v>
      </c>
    </row>
    <row r="26014" spans="1:11">
      <c r="A26014" s="30" t="s">
        <v>57215</v>
      </c>
      <c r="B26014" s="30" t="s">
        <v>57216</v>
      </c>
      <c r="C26014" s="30" t="s">
        <v>57217</v>
      </c>
      <c r="D26014" s="30" t="s">
        <v>17</v>
      </c>
      <c r="E26014" s="30" t="s">
        <v>67</v>
      </c>
      <c r="F26014" s="30" t="s">
        <v>68</v>
      </c>
      <c r="G26014" s="30" t="s">
        <v>7780</v>
      </c>
      <c r="H26014" s="32">
        <v>36</v>
      </c>
      <c r="I26014" s="30" t="s">
        <v>51</v>
      </c>
      <c r="J26014" s="41">
        <v>46204</v>
      </c>
      <c r="K26014" s="30" t="s">
        <v>22</v>
      </c>
    </row>
    <row r="26015" spans="1:11">
      <c r="A26015" s="33" t="s">
        <v>57218</v>
      </c>
      <c r="B26015" s="33" t="s">
        <v>57219</v>
      </c>
      <c r="C26015" s="33" t="s">
        <v>57220</v>
      </c>
      <c r="D26015" s="33" t="s">
        <v>17</v>
      </c>
      <c r="E26015" s="33" t="s">
        <v>26</v>
      </c>
      <c r="F26015" s="33" t="s">
        <v>27</v>
      </c>
      <c r="G26015" s="33" t="s">
        <v>140</v>
      </c>
      <c r="H26015" s="35">
        <v>18</v>
      </c>
      <c r="I26015" s="33" t="s">
        <v>51</v>
      </c>
      <c r="J26015" s="42">
        <v>46195</v>
      </c>
      <c r="K26015" s="33" t="s">
        <v>22</v>
      </c>
    </row>
    <row r="26016" spans="1:11">
      <c r="A26016" s="30" t="s">
        <v>57221</v>
      </c>
      <c r="B26016" s="30" t="s">
        <v>57222</v>
      </c>
      <c r="C26016" s="30" t="s">
        <v>57223</v>
      </c>
      <c r="D26016" s="30" t="s">
        <v>17</v>
      </c>
      <c r="E26016" s="30" t="s">
        <v>26</v>
      </c>
      <c r="F26016" s="30" t="s">
        <v>27</v>
      </c>
      <c r="G26016" s="30" t="s">
        <v>140</v>
      </c>
      <c r="H26016" s="32">
        <v>24</v>
      </c>
      <c r="I26016" s="30" t="s">
        <v>51</v>
      </c>
      <c r="J26016" s="41">
        <v>46174</v>
      </c>
      <c r="K26016" s="30" t="s">
        <v>22</v>
      </c>
    </row>
    <row r="26017" spans="1:11">
      <c r="A26017" s="33" t="s">
        <v>57224</v>
      </c>
      <c r="B26017" s="33" t="s">
        <v>57225</v>
      </c>
      <c r="C26017" s="33" t="s">
        <v>1350</v>
      </c>
      <c r="D26017" s="33" t="s">
        <v>17</v>
      </c>
      <c r="E26017" s="33" t="s">
        <v>31</v>
      </c>
      <c r="F26017" s="33" t="s">
        <v>32</v>
      </c>
      <c r="G26017" s="33" t="s">
        <v>7780</v>
      </c>
      <c r="H26017" s="35">
        <v>78</v>
      </c>
      <c r="I26017" s="33" t="s">
        <v>51</v>
      </c>
      <c r="J26017" s="42">
        <v>46113</v>
      </c>
      <c r="K26017" s="33" t="s">
        <v>22</v>
      </c>
    </row>
    <row r="26018" spans="1:11">
      <c r="A26018" s="30" t="s">
        <v>57226</v>
      </c>
      <c r="B26018" s="30" t="s">
        <v>57227</v>
      </c>
      <c r="C26018" s="30" t="s">
        <v>6127</v>
      </c>
      <c r="D26018" s="30" t="s">
        <v>17</v>
      </c>
      <c r="E26018" s="30" t="s">
        <v>31</v>
      </c>
      <c r="F26018" s="30" t="s">
        <v>32</v>
      </c>
      <c r="G26018" s="30" t="s">
        <v>7780</v>
      </c>
      <c r="H26018" s="32">
        <v>58</v>
      </c>
      <c r="I26018" s="30" t="s">
        <v>51</v>
      </c>
      <c r="J26018" s="41">
        <v>46234</v>
      </c>
      <c r="K26018" s="30" t="s">
        <v>22</v>
      </c>
    </row>
    <row r="26019" spans="1:11">
      <c r="A26019" s="33" t="s">
        <v>57228</v>
      </c>
      <c r="B26019" s="33" t="s">
        <v>57229</v>
      </c>
      <c r="C26019" s="33" t="s">
        <v>2461</v>
      </c>
      <c r="D26019" s="33" t="s">
        <v>17</v>
      </c>
      <c r="E26019" s="33" t="s">
        <v>18</v>
      </c>
      <c r="F26019" s="33" t="s">
        <v>19</v>
      </c>
      <c r="G26019" s="33" t="s">
        <v>7780</v>
      </c>
      <c r="H26019" s="35">
        <v>218</v>
      </c>
      <c r="I26019" s="33" t="s">
        <v>51</v>
      </c>
      <c r="J26019" s="42">
        <v>46023</v>
      </c>
      <c r="K26019" s="33" t="s">
        <v>22</v>
      </c>
    </row>
    <row r="26020" spans="1:11">
      <c r="A26020" s="30" t="s">
        <v>57230</v>
      </c>
      <c r="B26020" s="30" t="s">
        <v>57231</v>
      </c>
      <c r="C26020" s="30" t="s">
        <v>57232</v>
      </c>
      <c r="D26020" s="30" t="s">
        <v>17</v>
      </c>
      <c r="E26020" s="30" t="s">
        <v>26</v>
      </c>
      <c r="F26020" s="30" t="s">
        <v>27</v>
      </c>
      <c r="G26020" s="30" t="s">
        <v>140</v>
      </c>
      <c r="H26020" s="32">
        <v>15</v>
      </c>
      <c r="I26020" s="30" t="s">
        <v>51</v>
      </c>
      <c r="J26020" s="41">
        <v>46044</v>
      </c>
      <c r="K26020" s="30" t="s">
        <v>22</v>
      </c>
    </row>
    <row r="26021" spans="1:11">
      <c r="A26021" s="33" t="s">
        <v>57233</v>
      </c>
      <c r="B26021" s="33" t="s">
        <v>57234</v>
      </c>
      <c r="C26021" s="33" t="s">
        <v>3270</v>
      </c>
      <c r="D26021" s="33" t="s">
        <v>17</v>
      </c>
      <c r="E26021" s="33" t="s">
        <v>31</v>
      </c>
      <c r="F26021" s="33" t="s">
        <v>32</v>
      </c>
      <c r="G26021" s="33" t="s">
        <v>7780</v>
      </c>
      <c r="H26021" s="35">
        <v>53</v>
      </c>
      <c r="I26021" s="33" t="s">
        <v>51</v>
      </c>
      <c r="J26021" s="42">
        <v>46204</v>
      </c>
      <c r="K26021" s="33" t="s">
        <v>22</v>
      </c>
    </row>
    <row r="26022" spans="1:11">
      <c r="A26022" s="30" t="s">
        <v>57235</v>
      </c>
      <c r="B26022" s="30" t="s">
        <v>57236</v>
      </c>
      <c r="C26022" s="30" t="s">
        <v>50669</v>
      </c>
      <c r="D26022" s="30" t="s">
        <v>17</v>
      </c>
      <c r="E26022" s="30" t="s">
        <v>26</v>
      </c>
      <c r="F26022" s="30" t="s">
        <v>27</v>
      </c>
      <c r="G26022" s="30" t="s">
        <v>140</v>
      </c>
      <c r="H26022" s="32">
        <v>493</v>
      </c>
      <c r="I26022" s="30" t="s">
        <v>51</v>
      </c>
      <c r="J26022" s="41">
        <v>46112</v>
      </c>
      <c r="K26022" s="30" t="s">
        <v>22</v>
      </c>
    </row>
    <row r="26023" spans="1:11">
      <c r="A26023" s="33" t="s">
        <v>57237</v>
      </c>
      <c r="B26023" s="33" t="s">
        <v>57238</v>
      </c>
      <c r="C26023" s="33" t="s">
        <v>57239</v>
      </c>
      <c r="D26023" s="33" t="s">
        <v>17</v>
      </c>
      <c r="E26023" s="33" t="s">
        <v>26</v>
      </c>
      <c r="F26023" s="33" t="s">
        <v>27</v>
      </c>
      <c r="G26023" s="33" t="s">
        <v>140</v>
      </c>
      <c r="H26023" s="35">
        <v>15</v>
      </c>
      <c r="I26023" s="33" t="s">
        <v>51</v>
      </c>
      <c r="J26023" s="42">
        <v>46034</v>
      </c>
      <c r="K26023" s="33" t="s">
        <v>22</v>
      </c>
    </row>
    <row r="26024" spans="1:11">
      <c r="A26024" s="30" t="s">
        <v>57240</v>
      </c>
      <c r="B26024" s="30" t="s">
        <v>57241</v>
      </c>
      <c r="C26024" s="30" t="s">
        <v>715</v>
      </c>
      <c r="D26024" s="30" t="s">
        <v>17</v>
      </c>
      <c r="E26024" s="30" t="s">
        <v>31</v>
      </c>
      <c r="F26024" s="30" t="s">
        <v>32</v>
      </c>
      <c r="G26024" s="30" t="s">
        <v>140</v>
      </c>
      <c r="H26024" s="32">
        <v>240</v>
      </c>
      <c r="I26024" s="30" t="s">
        <v>51</v>
      </c>
      <c r="J26024" s="41">
        <v>46093</v>
      </c>
      <c r="K26024" s="30" t="s">
        <v>22</v>
      </c>
    </row>
    <row r="26025" spans="1:11">
      <c r="A26025" s="33" t="s">
        <v>57242</v>
      </c>
      <c r="B26025" s="33" t="s">
        <v>57243</v>
      </c>
      <c r="C26025" s="33" t="s">
        <v>178</v>
      </c>
      <c r="D26025" s="33" t="s">
        <v>17</v>
      </c>
      <c r="E26025" s="33" t="s">
        <v>18</v>
      </c>
      <c r="F26025" s="33" t="s">
        <v>19</v>
      </c>
      <c r="G26025" s="33" t="s">
        <v>140</v>
      </c>
      <c r="H26025" s="35">
        <v>380</v>
      </c>
      <c r="I26025" s="33" t="s">
        <v>51</v>
      </c>
      <c r="J26025" s="42">
        <v>46196</v>
      </c>
      <c r="K26025" s="33" t="s">
        <v>22</v>
      </c>
    </row>
    <row r="26026" spans="1:11">
      <c r="A26026" s="30" t="s">
        <v>57244</v>
      </c>
      <c r="B26026" s="30" t="s">
        <v>57245</v>
      </c>
      <c r="C26026" s="30" t="s">
        <v>10199</v>
      </c>
      <c r="D26026" s="30" t="s">
        <v>17</v>
      </c>
      <c r="E26026" s="30" t="s">
        <v>31</v>
      </c>
      <c r="F26026" s="30" t="s">
        <v>32</v>
      </c>
      <c r="G26026" s="30" t="s">
        <v>7780</v>
      </c>
      <c r="H26026" s="32">
        <v>60</v>
      </c>
      <c r="I26026" s="30" t="s">
        <v>51</v>
      </c>
      <c r="J26026" s="41">
        <v>46112</v>
      </c>
      <c r="K26026" s="30" t="s">
        <v>22</v>
      </c>
    </row>
    <row r="26027" spans="1:11">
      <c r="A26027" s="33" t="s">
        <v>57246</v>
      </c>
      <c r="B26027" s="33" t="s">
        <v>57247</v>
      </c>
      <c r="C26027" s="33" t="s">
        <v>647</v>
      </c>
      <c r="D26027" s="33" t="s">
        <v>17</v>
      </c>
      <c r="E26027" s="33" t="s">
        <v>26</v>
      </c>
      <c r="F26027" s="33" t="s">
        <v>27</v>
      </c>
      <c r="G26027" s="33" t="s">
        <v>158</v>
      </c>
      <c r="H26027" s="35">
        <v>30</v>
      </c>
      <c r="I26027" s="33" t="s">
        <v>51</v>
      </c>
      <c r="J26027" s="42">
        <v>46204</v>
      </c>
      <c r="K26027" s="33" t="s">
        <v>22</v>
      </c>
    </row>
    <row r="26028" spans="1:11">
      <c r="A26028" s="30" t="s">
        <v>57248</v>
      </c>
      <c r="B26028" s="30" t="s">
        <v>57249</v>
      </c>
      <c r="C26028" s="30" t="s">
        <v>23333</v>
      </c>
      <c r="D26028" s="30" t="s">
        <v>17</v>
      </c>
      <c r="E26028" s="30" t="s">
        <v>330</v>
      </c>
      <c r="F26028" s="30" t="s">
        <v>331</v>
      </c>
      <c r="G26028" s="30" t="s">
        <v>140</v>
      </c>
      <c r="H26028" s="32">
        <v>30</v>
      </c>
      <c r="I26028" s="30" t="s">
        <v>51</v>
      </c>
      <c r="J26028" s="41">
        <v>46112</v>
      </c>
      <c r="K26028" s="30" t="s">
        <v>22</v>
      </c>
    </row>
    <row r="26029" spans="1:11">
      <c r="A26029" s="33" t="s">
        <v>57250</v>
      </c>
      <c r="B26029" s="33" t="s">
        <v>57251</v>
      </c>
      <c r="C26029" s="33" t="s">
        <v>187</v>
      </c>
      <c r="D26029" s="33" t="s">
        <v>17</v>
      </c>
      <c r="E26029" s="33" t="s">
        <v>18</v>
      </c>
      <c r="F26029" s="33" t="s">
        <v>19</v>
      </c>
      <c r="G26029" s="33" t="s">
        <v>7780</v>
      </c>
      <c r="H26029" s="35">
        <v>800</v>
      </c>
      <c r="I26029" s="33" t="s">
        <v>51</v>
      </c>
      <c r="J26029" s="42">
        <v>46082</v>
      </c>
      <c r="K26029" s="33" t="s">
        <v>22</v>
      </c>
    </row>
    <row r="26030" spans="1:11">
      <c r="A26030" s="30" t="s">
        <v>57252</v>
      </c>
      <c r="B26030" s="30" t="s">
        <v>57253</v>
      </c>
      <c r="C26030" s="30" t="s">
        <v>2894</v>
      </c>
      <c r="D26030" s="30" t="s">
        <v>17</v>
      </c>
      <c r="E26030" s="30" t="s">
        <v>18</v>
      </c>
      <c r="F26030" s="30" t="s">
        <v>19</v>
      </c>
      <c r="G26030" s="30" t="s">
        <v>140</v>
      </c>
      <c r="H26030" s="32">
        <v>40</v>
      </c>
      <c r="I26030" s="30" t="s">
        <v>51</v>
      </c>
      <c r="J26030" s="41">
        <v>46114</v>
      </c>
      <c r="K26030" s="30" t="s">
        <v>22</v>
      </c>
    </row>
    <row r="26031" spans="1:11">
      <c r="A26031" s="33" t="s">
        <v>57254</v>
      </c>
      <c r="B26031" s="33" t="s">
        <v>57255</v>
      </c>
      <c r="C26031" s="33" t="s">
        <v>9989</v>
      </c>
      <c r="D26031" s="33" t="s">
        <v>17</v>
      </c>
      <c r="E26031" s="33" t="s">
        <v>26</v>
      </c>
      <c r="F26031" s="33" t="s">
        <v>27</v>
      </c>
      <c r="G26031" s="33" t="s">
        <v>140</v>
      </c>
      <c r="H26031" s="35">
        <v>386</v>
      </c>
      <c r="I26031" s="33" t="s">
        <v>51</v>
      </c>
      <c r="J26031" s="42">
        <v>46084</v>
      </c>
      <c r="K26031" s="33" t="s">
        <v>22</v>
      </c>
    </row>
    <row r="26032" spans="1:11">
      <c r="A26032" s="30" t="s">
        <v>57256</v>
      </c>
      <c r="B26032" s="30" t="s">
        <v>57257</v>
      </c>
      <c r="C26032" s="30" t="s">
        <v>6814</v>
      </c>
      <c r="D26032" s="30" t="s">
        <v>17</v>
      </c>
      <c r="E26032" s="30" t="s">
        <v>18</v>
      </c>
      <c r="F26032" s="30" t="s">
        <v>19</v>
      </c>
      <c r="G26032" s="30" t="s">
        <v>140</v>
      </c>
      <c r="H26032" s="32">
        <v>510</v>
      </c>
      <c r="I26032" s="30" t="s">
        <v>51</v>
      </c>
      <c r="J26032" s="41">
        <v>46070</v>
      </c>
      <c r="K26032" s="30" t="s">
        <v>22</v>
      </c>
    </row>
    <row r="26033" spans="1:11">
      <c r="A26033" s="33" t="s">
        <v>57258</v>
      </c>
      <c r="B26033" s="33" t="s">
        <v>57259</v>
      </c>
      <c r="C26033" s="33" t="s">
        <v>41338</v>
      </c>
      <c r="D26033" s="33" t="s">
        <v>17</v>
      </c>
      <c r="E26033" s="33" t="s">
        <v>67</v>
      </c>
      <c r="F26033" s="33" t="s">
        <v>68</v>
      </c>
      <c r="G26033" s="33" t="s">
        <v>7780</v>
      </c>
      <c r="H26033" s="35">
        <v>190</v>
      </c>
      <c r="I26033" s="33" t="s">
        <v>51</v>
      </c>
      <c r="J26033" s="42">
        <v>46113</v>
      </c>
      <c r="K26033" s="33" t="s">
        <v>22</v>
      </c>
    </row>
    <row r="26034" spans="1:11">
      <c r="A26034" s="30" t="s">
        <v>57260</v>
      </c>
      <c r="B26034" s="30" t="s">
        <v>57261</v>
      </c>
      <c r="C26034" s="30" t="s">
        <v>136</v>
      </c>
      <c r="D26034" s="30" t="s">
        <v>17</v>
      </c>
      <c r="E26034" s="30" t="s">
        <v>31</v>
      </c>
      <c r="F26034" s="30" t="s">
        <v>32</v>
      </c>
      <c r="G26034" s="30" t="s">
        <v>140</v>
      </c>
      <c r="H26034" s="32">
        <v>400</v>
      </c>
      <c r="I26034" s="30" t="s">
        <v>51</v>
      </c>
      <c r="J26034" s="41">
        <v>46157</v>
      </c>
      <c r="K26034" s="30" t="s">
        <v>22</v>
      </c>
    </row>
    <row r="26035" spans="1:11">
      <c r="A26035" s="33" t="s">
        <v>57262</v>
      </c>
      <c r="B26035" s="33" t="s">
        <v>57263</v>
      </c>
      <c r="C26035" s="33" t="s">
        <v>96</v>
      </c>
      <c r="D26035" s="33" t="s">
        <v>17</v>
      </c>
      <c r="E26035" s="33" t="s">
        <v>45</v>
      </c>
      <c r="F26035" s="33" t="s">
        <v>46</v>
      </c>
      <c r="G26035" s="33" t="s">
        <v>140</v>
      </c>
      <c r="H26035" s="35">
        <v>1156</v>
      </c>
      <c r="I26035" s="33" t="s">
        <v>51</v>
      </c>
      <c r="J26035" s="42">
        <v>46064</v>
      </c>
      <c r="K26035" s="33" t="s">
        <v>22</v>
      </c>
    </row>
    <row r="26036" spans="1:11">
      <c r="A26036" s="30" t="s">
        <v>57264</v>
      </c>
      <c r="B26036" s="30" t="s">
        <v>57265</v>
      </c>
      <c r="C26036" s="30" t="s">
        <v>57266</v>
      </c>
      <c r="D26036" s="30" t="s">
        <v>17</v>
      </c>
      <c r="E26036" s="30" t="s">
        <v>26</v>
      </c>
      <c r="F26036" s="30" t="s">
        <v>27</v>
      </c>
      <c r="G26036" s="30" t="s">
        <v>140</v>
      </c>
      <c r="H26036" s="32">
        <v>72</v>
      </c>
      <c r="I26036" s="30" t="s">
        <v>51</v>
      </c>
      <c r="J26036" s="41">
        <v>46028</v>
      </c>
      <c r="K26036" s="30" t="s">
        <v>22</v>
      </c>
    </row>
    <row r="26037" spans="1:11">
      <c r="A26037" s="33" t="s">
        <v>57267</v>
      </c>
      <c r="B26037" s="33" t="s">
        <v>57268</v>
      </c>
      <c r="C26037" s="33" t="s">
        <v>14816</v>
      </c>
      <c r="D26037" s="33" t="s">
        <v>17</v>
      </c>
      <c r="E26037" s="33" t="s">
        <v>31</v>
      </c>
      <c r="F26037" s="33" t="s">
        <v>32</v>
      </c>
      <c r="G26037" s="33" t="s">
        <v>140</v>
      </c>
      <c r="H26037" s="35">
        <v>60</v>
      </c>
      <c r="I26037" s="33" t="s">
        <v>51</v>
      </c>
      <c r="J26037" s="42">
        <v>46135</v>
      </c>
      <c r="K26037" s="33" t="s">
        <v>22</v>
      </c>
    </row>
    <row r="26038" spans="1:11">
      <c r="A26038" s="30" t="s">
        <v>57269</v>
      </c>
      <c r="B26038" s="30" t="s">
        <v>57270</v>
      </c>
      <c r="C26038" s="30" t="s">
        <v>2756</v>
      </c>
      <c r="D26038" s="30" t="s">
        <v>17</v>
      </c>
      <c r="E26038" s="30" t="s">
        <v>18</v>
      </c>
      <c r="F26038" s="30" t="s">
        <v>19</v>
      </c>
      <c r="G26038" s="30" t="s">
        <v>140</v>
      </c>
      <c r="H26038" s="32">
        <v>1100</v>
      </c>
      <c r="I26038" s="30" t="s">
        <v>51</v>
      </c>
      <c r="J26038" s="41">
        <v>46199</v>
      </c>
      <c r="K26038" s="30" t="s">
        <v>22</v>
      </c>
    </row>
    <row r="26039" spans="1:11">
      <c r="A26039" s="33" t="s">
        <v>57271</v>
      </c>
      <c r="B26039" s="33" t="s">
        <v>57272</v>
      </c>
      <c r="C26039" s="33" t="s">
        <v>50946</v>
      </c>
      <c r="D26039" s="33" t="s">
        <v>17</v>
      </c>
      <c r="E26039" s="33" t="s">
        <v>31</v>
      </c>
      <c r="F26039" s="33" t="s">
        <v>32</v>
      </c>
      <c r="G26039" s="33" t="s">
        <v>158</v>
      </c>
      <c r="H26039" s="35">
        <v>264</v>
      </c>
      <c r="I26039" s="33" t="s">
        <v>21</v>
      </c>
      <c r="J26039" s="42">
        <v>46085</v>
      </c>
      <c r="K26039" s="33" t="s">
        <v>22</v>
      </c>
    </row>
    <row r="26040" spans="1:11">
      <c r="A26040" s="30" t="s">
        <v>57273</v>
      </c>
      <c r="B26040" s="30" t="s">
        <v>57274</v>
      </c>
      <c r="C26040" s="30" t="s">
        <v>42074</v>
      </c>
      <c r="D26040" s="30" t="s">
        <v>17</v>
      </c>
      <c r="E26040" s="30" t="s">
        <v>26</v>
      </c>
      <c r="F26040" s="30" t="s">
        <v>27</v>
      </c>
      <c r="G26040" s="30" t="s">
        <v>140</v>
      </c>
      <c r="H26040" s="32">
        <v>9</v>
      </c>
      <c r="I26040" s="30" t="s">
        <v>51</v>
      </c>
      <c r="J26040" s="41">
        <v>46027</v>
      </c>
      <c r="K26040" s="30" t="s">
        <v>22</v>
      </c>
    </row>
    <row r="26041" spans="1:11">
      <c r="A26041" s="33" t="s">
        <v>57275</v>
      </c>
      <c r="B26041" s="33" t="s">
        <v>57276</v>
      </c>
      <c r="C26041" s="33" t="s">
        <v>1270</v>
      </c>
      <c r="D26041" s="33" t="s">
        <v>17</v>
      </c>
      <c r="E26041" s="33" t="s">
        <v>26</v>
      </c>
      <c r="F26041" s="33" t="s">
        <v>27</v>
      </c>
      <c r="G26041" s="33" t="s">
        <v>7780</v>
      </c>
      <c r="H26041" s="35">
        <v>20</v>
      </c>
      <c r="I26041" s="33" t="s">
        <v>51</v>
      </c>
      <c r="J26041" s="42">
        <v>46142</v>
      </c>
      <c r="K26041" s="33" t="s">
        <v>22</v>
      </c>
    </row>
    <row r="26042" spans="1:11">
      <c r="A26042" s="30" t="s">
        <v>57277</v>
      </c>
      <c r="B26042" s="30" t="s">
        <v>57278</v>
      </c>
      <c r="C26042" s="30" t="s">
        <v>57279</v>
      </c>
      <c r="D26042" s="30" t="s">
        <v>17</v>
      </c>
      <c r="E26042" s="30" t="s">
        <v>67</v>
      </c>
      <c r="F26042" s="30" t="s">
        <v>68</v>
      </c>
      <c r="G26042" s="30" t="s">
        <v>7780</v>
      </c>
      <c r="H26042" s="32">
        <v>21</v>
      </c>
      <c r="I26042" s="30" t="s">
        <v>51</v>
      </c>
      <c r="J26042" s="41">
        <v>46127</v>
      </c>
      <c r="K26042" s="30" t="s">
        <v>22</v>
      </c>
    </row>
    <row r="26043" spans="1:11">
      <c r="A26043" s="33" t="s">
        <v>57280</v>
      </c>
      <c r="B26043" s="33" t="s">
        <v>57281</v>
      </c>
      <c r="C26043" s="33" t="s">
        <v>57282</v>
      </c>
      <c r="D26043" s="33" t="s">
        <v>17</v>
      </c>
      <c r="E26043" s="33" t="s">
        <v>26</v>
      </c>
      <c r="F26043" s="33" t="s">
        <v>27</v>
      </c>
      <c r="G26043" s="33" t="s">
        <v>140</v>
      </c>
      <c r="H26043" s="35">
        <v>40</v>
      </c>
      <c r="I26043" s="33" t="s">
        <v>51</v>
      </c>
      <c r="J26043" s="42">
        <v>46054</v>
      </c>
      <c r="K26043" s="33" t="s">
        <v>22</v>
      </c>
    </row>
    <row r="26044" spans="1:11">
      <c r="A26044" s="30" t="s">
        <v>57283</v>
      </c>
      <c r="B26044" s="30" t="s">
        <v>57284</v>
      </c>
      <c r="C26044" s="30" t="s">
        <v>4366</v>
      </c>
      <c r="D26044" s="30" t="s">
        <v>17</v>
      </c>
      <c r="E26044" s="30" t="s">
        <v>26</v>
      </c>
      <c r="F26044" s="30" t="s">
        <v>27</v>
      </c>
      <c r="G26044" s="30" t="s">
        <v>7780</v>
      </c>
      <c r="H26044" s="32">
        <v>56</v>
      </c>
      <c r="I26044" s="30" t="s">
        <v>51</v>
      </c>
      <c r="J26044" s="41">
        <v>46174</v>
      </c>
      <c r="K26044" s="30" t="s">
        <v>22</v>
      </c>
    </row>
    <row r="26045" spans="1:11">
      <c r="A26045" s="33" t="s">
        <v>57285</v>
      </c>
      <c r="B26045" s="33" t="s">
        <v>57286</v>
      </c>
      <c r="C26045" s="33" t="s">
        <v>10028</v>
      </c>
      <c r="D26045" s="33" t="s">
        <v>17</v>
      </c>
      <c r="E26045" s="33" t="s">
        <v>18</v>
      </c>
      <c r="F26045" s="33" t="s">
        <v>19</v>
      </c>
      <c r="G26045" s="33" t="s">
        <v>140</v>
      </c>
      <c r="H26045" s="35">
        <v>150</v>
      </c>
      <c r="I26045" s="33" t="s">
        <v>51</v>
      </c>
      <c r="J26045" s="42">
        <v>46118</v>
      </c>
      <c r="K26045" s="33" t="s">
        <v>22</v>
      </c>
    </row>
    <row r="26046" spans="1:11">
      <c r="A26046" s="30" t="s">
        <v>57287</v>
      </c>
      <c r="B26046" s="30" t="s">
        <v>57288</v>
      </c>
      <c r="C26046" s="30" t="s">
        <v>149</v>
      </c>
      <c r="D26046" s="30" t="s">
        <v>17</v>
      </c>
      <c r="E26046" s="30" t="s">
        <v>67</v>
      </c>
      <c r="F26046" s="30" t="s">
        <v>68</v>
      </c>
      <c r="G26046" s="30" t="s">
        <v>140</v>
      </c>
      <c r="H26046" s="32">
        <v>282</v>
      </c>
      <c r="I26046" s="30" t="s">
        <v>51</v>
      </c>
      <c r="J26046" s="41">
        <v>46100</v>
      </c>
      <c r="K26046" s="30" t="s">
        <v>22</v>
      </c>
    </row>
    <row r="26047" spans="1:11">
      <c r="A26047" s="33" t="s">
        <v>57289</v>
      </c>
      <c r="B26047" s="33" t="s">
        <v>57290</v>
      </c>
      <c r="C26047" s="33" t="s">
        <v>57291</v>
      </c>
      <c r="D26047" s="33" t="s">
        <v>17</v>
      </c>
      <c r="E26047" s="33" t="s">
        <v>330</v>
      </c>
      <c r="F26047" s="33" t="s">
        <v>331</v>
      </c>
      <c r="G26047" s="33" t="s">
        <v>140</v>
      </c>
      <c r="H26047" s="35">
        <v>5</v>
      </c>
      <c r="I26047" s="33" t="s">
        <v>51</v>
      </c>
      <c r="J26047" s="42">
        <v>46212</v>
      </c>
      <c r="K26047" s="33" t="s">
        <v>22</v>
      </c>
    </row>
    <row r="26048" spans="1:11">
      <c r="A26048" s="30" t="s">
        <v>57292</v>
      </c>
      <c r="B26048" s="30" t="s">
        <v>57293</v>
      </c>
      <c r="C26048" s="30" t="s">
        <v>6379</v>
      </c>
      <c r="D26048" s="30" t="s">
        <v>17</v>
      </c>
      <c r="E26048" s="30" t="s">
        <v>31</v>
      </c>
      <c r="F26048" s="30" t="s">
        <v>32</v>
      </c>
      <c r="G26048" s="30" t="s">
        <v>7780</v>
      </c>
      <c r="H26048" s="32">
        <v>20</v>
      </c>
      <c r="I26048" s="30" t="s">
        <v>51</v>
      </c>
      <c r="J26048" s="41">
        <v>46113</v>
      </c>
      <c r="K26048" s="30" t="s">
        <v>22</v>
      </c>
    </row>
    <row r="26049" spans="1:11">
      <c r="A26049" s="33" t="s">
        <v>57294</v>
      </c>
      <c r="B26049" s="33" t="s">
        <v>57295</v>
      </c>
      <c r="C26049" s="33" t="s">
        <v>1270</v>
      </c>
      <c r="D26049" s="33" t="s">
        <v>17</v>
      </c>
      <c r="E26049" s="33" t="s">
        <v>26</v>
      </c>
      <c r="F26049" s="33" t="s">
        <v>27</v>
      </c>
      <c r="G26049" s="33" t="s">
        <v>7780</v>
      </c>
      <c r="H26049" s="35">
        <v>32</v>
      </c>
      <c r="I26049" s="33" t="s">
        <v>51</v>
      </c>
      <c r="J26049" s="42">
        <v>46134</v>
      </c>
      <c r="K26049" s="33" t="s">
        <v>22</v>
      </c>
    </row>
    <row r="26050" spans="1:11">
      <c r="A26050" s="30" t="s">
        <v>57296</v>
      </c>
      <c r="B26050" s="30" t="s">
        <v>57297</v>
      </c>
      <c r="C26050" s="30" t="s">
        <v>130</v>
      </c>
      <c r="D26050" s="30" t="s">
        <v>17</v>
      </c>
      <c r="E26050" s="30" t="s">
        <v>31</v>
      </c>
      <c r="F26050" s="30" t="s">
        <v>32</v>
      </c>
      <c r="G26050" s="30" t="s">
        <v>140</v>
      </c>
      <c r="H26050" s="32">
        <v>60</v>
      </c>
      <c r="I26050" s="30" t="s">
        <v>51</v>
      </c>
      <c r="J26050" s="41">
        <v>46162</v>
      </c>
      <c r="K26050" s="30" t="s">
        <v>22</v>
      </c>
    </row>
    <row r="26051" spans="1:11">
      <c r="A26051" s="33" t="s">
        <v>57298</v>
      </c>
      <c r="B26051" s="33" t="s">
        <v>57299</v>
      </c>
      <c r="C26051" s="33" t="s">
        <v>57300</v>
      </c>
      <c r="D26051" s="33" t="s">
        <v>17</v>
      </c>
      <c r="E26051" s="33" t="s">
        <v>26</v>
      </c>
      <c r="F26051" s="33" t="s">
        <v>27</v>
      </c>
      <c r="G26051" s="33" t="s">
        <v>140</v>
      </c>
      <c r="H26051" s="35">
        <v>24</v>
      </c>
      <c r="I26051" s="33" t="s">
        <v>51</v>
      </c>
      <c r="J26051" s="42">
        <v>46212</v>
      </c>
      <c r="K26051" s="33" t="s">
        <v>22</v>
      </c>
    </row>
    <row r="26052" spans="1:11">
      <c r="A26052" s="30" t="s">
        <v>57301</v>
      </c>
      <c r="B26052" s="30" t="s">
        <v>57302</v>
      </c>
      <c r="C26052" s="30" t="s">
        <v>29250</v>
      </c>
      <c r="D26052" s="30" t="s">
        <v>17</v>
      </c>
      <c r="E26052" s="30" t="s">
        <v>31</v>
      </c>
      <c r="F26052" s="30" t="s">
        <v>32</v>
      </c>
      <c r="G26052" s="30" t="s">
        <v>7780</v>
      </c>
      <c r="H26052" s="32">
        <v>90</v>
      </c>
      <c r="I26052" s="30" t="s">
        <v>51</v>
      </c>
      <c r="J26052" s="41">
        <v>46174</v>
      </c>
      <c r="K26052" s="30" t="s">
        <v>22</v>
      </c>
    </row>
    <row r="26053" spans="1:11">
      <c r="A26053" s="33" t="s">
        <v>57303</v>
      </c>
      <c r="B26053" s="33" t="s">
        <v>57304</v>
      </c>
      <c r="C26053" s="33" t="s">
        <v>48122</v>
      </c>
      <c r="D26053" s="33" t="s">
        <v>17</v>
      </c>
      <c r="E26053" s="33" t="s">
        <v>26</v>
      </c>
      <c r="F26053" s="33" t="s">
        <v>27</v>
      </c>
      <c r="G26053" s="33" t="s">
        <v>7780</v>
      </c>
      <c r="H26053" s="35">
        <v>120</v>
      </c>
      <c r="I26053" s="33" t="s">
        <v>51</v>
      </c>
      <c r="J26053" s="42">
        <v>46143</v>
      </c>
      <c r="K26053" s="33" t="s">
        <v>22</v>
      </c>
    </row>
    <row r="26054" spans="1:11">
      <c r="A26054" s="30" t="s">
        <v>57305</v>
      </c>
      <c r="B26054" s="30" t="s">
        <v>57306</v>
      </c>
      <c r="C26054" s="30" t="s">
        <v>14483</v>
      </c>
      <c r="D26054" s="30" t="s">
        <v>17</v>
      </c>
      <c r="E26054" s="30" t="s">
        <v>26</v>
      </c>
      <c r="F26054" s="30" t="s">
        <v>27</v>
      </c>
      <c r="G26054" s="30" t="s">
        <v>140</v>
      </c>
      <c r="H26054" s="32">
        <v>24</v>
      </c>
      <c r="I26054" s="30" t="s">
        <v>51</v>
      </c>
      <c r="J26054" s="41">
        <v>46162</v>
      </c>
      <c r="K26054" s="30" t="s">
        <v>22</v>
      </c>
    </row>
    <row r="26055" spans="1:11">
      <c r="A26055" s="33" t="s">
        <v>57307</v>
      </c>
      <c r="B26055" s="33" t="s">
        <v>57308</v>
      </c>
      <c r="C26055" s="33" t="s">
        <v>1764</v>
      </c>
      <c r="D26055" s="33" t="s">
        <v>17</v>
      </c>
      <c r="E26055" s="33" t="s">
        <v>212</v>
      </c>
      <c r="F26055" s="33" t="s">
        <v>213</v>
      </c>
      <c r="G26055" s="33" t="s">
        <v>140</v>
      </c>
      <c r="H26055" s="35">
        <v>100</v>
      </c>
      <c r="I26055" s="33" t="s">
        <v>51</v>
      </c>
      <c r="J26055" s="42">
        <v>46132</v>
      </c>
      <c r="K26055" s="33" t="s">
        <v>22</v>
      </c>
    </row>
    <row r="26056" spans="1:11">
      <c r="A26056" s="30" t="s">
        <v>57309</v>
      </c>
      <c r="B26056" s="30" t="s">
        <v>57310</v>
      </c>
      <c r="C26056" s="30" t="s">
        <v>34310</v>
      </c>
      <c r="D26056" s="30" t="s">
        <v>17</v>
      </c>
      <c r="E26056" s="30" t="s">
        <v>26</v>
      </c>
      <c r="F26056" s="30" t="s">
        <v>27</v>
      </c>
      <c r="G26056" s="30" t="s">
        <v>140</v>
      </c>
      <c r="H26056" s="32">
        <v>20</v>
      </c>
      <c r="I26056" s="30" t="s">
        <v>51</v>
      </c>
      <c r="J26056" s="41">
        <v>46135</v>
      </c>
      <c r="K26056" s="30" t="s">
        <v>22</v>
      </c>
    </row>
    <row r="26057" spans="1:11">
      <c r="A26057" s="33" t="s">
        <v>57311</v>
      </c>
      <c r="B26057" s="33" t="s">
        <v>57312</v>
      </c>
      <c r="C26057" s="33" t="s">
        <v>3496</v>
      </c>
      <c r="D26057" s="33" t="s">
        <v>17</v>
      </c>
      <c r="E26057" s="33" t="s">
        <v>31</v>
      </c>
      <c r="F26057" s="33" t="s">
        <v>32</v>
      </c>
      <c r="G26057" s="33" t="s">
        <v>140</v>
      </c>
      <c r="H26057" s="35">
        <v>65</v>
      </c>
      <c r="I26057" s="33" t="s">
        <v>51</v>
      </c>
      <c r="J26057" s="42">
        <v>46203</v>
      </c>
      <c r="K26057" s="33" t="s">
        <v>22</v>
      </c>
    </row>
    <row r="26058" spans="1:11">
      <c r="A26058" s="30" t="s">
        <v>57313</v>
      </c>
      <c r="B26058" s="30" t="s">
        <v>57314</v>
      </c>
      <c r="C26058" s="30" t="s">
        <v>57315</v>
      </c>
      <c r="D26058" s="30" t="s">
        <v>17</v>
      </c>
      <c r="E26058" s="30" t="s">
        <v>26</v>
      </c>
      <c r="F26058" s="30" t="s">
        <v>27</v>
      </c>
      <c r="G26058" s="30" t="s">
        <v>140</v>
      </c>
      <c r="H26058" s="32">
        <v>30</v>
      </c>
      <c r="I26058" s="30" t="s">
        <v>51</v>
      </c>
      <c r="J26058" s="41">
        <v>46132</v>
      </c>
      <c r="K26058" s="30" t="s">
        <v>22</v>
      </c>
    </row>
    <row r="26059" spans="1:11">
      <c r="A26059" s="33" t="s">
        <v>57316</v>
      </c>
      <c r="B26059" s="33" t="s">
        <v>57317</v>
      </c>
      <c r="C26059" s="33" t="s">
        <v>57318</v>
      </c>
      <c r="D26059" s="33" t="s">
        <v>17</v>
      </c>
      <c r="E26059" s="33" t="s">
        <v>26</v>
      </c>
      <c r="F26059" s="33" t="s">
        <v>27</v>
      </c>
      <c r="G26059" s="33" t="s">
        <v>140</v>
      </c>
      <c r="H26059" s="35">
        <v>36</v>
      </c>
      <c r="I26059" s="33" t="s">
        <v>51</v>
      </c>
      <c r="J26059" s="42">
        <v>46066</v>
      </c>
      <c r="K26059" s="33" t="s">
        <v>22</v>
      </c>
    </row>
    <row r="26060" spans="1:11">
      <c r="A26060" s="30" t="s">
        <v>57319</v>
      </c>
      <c r="B26060" s="30" t="s">
        <v>57320</v>
      </c>
      <c r="C26060" s="30" t="s">
        <v>57321</v>
      </c>
      <c r="D26060" s="30" t="s">
        <v>17</v>
      </c>
      <c r="E26060" s="30" t="s">
        <v>45</v>
      </c>
      <c r="F26060" s="30" t="s">
        <v>46</v>
      </c>
      <c r="G26060" s="30" t="s">
        <v>140</v>
      </c>
      <c r="H26060" s="32">
        <v>210</v>
      </c>
      <c r="I26060" s="30" t="s">
        <v>51</v>
      </c>
      <c r="J26060" s="41">
        <v>46121</v>
      </c>
      <c r="K26060" s="30" t="s">
        <v>22</v>
      </c>
    </row>
    <row r="26061" spans="1:11">
      <c r="A26061" s="33" t="s">
        <v>57322</v>
      </c>
      <c r="B26061" s="33" t="s">
        <v>57323</v>
      </c>
      <c r="C26061" s="33" t="s">
        <v>48963</v>
      </c>
      <c r="D26061" s="33" t="s">
        <v>17</v>
      </c>
      <c r="E26061" s="33" t="s">
        <v>26</v>
      </c>
      <c r="F26061" s="33" t="s">
        <v>27</v>
      </c>
      <c r="G26061" s="33" t="s">
        <v>7780</v>
      </c>
      <c r="H26061" s="35">
        <v>10</v>
      </c>
      <c r="I26061" s="33" t="s">
        <v>51</v>
      </c>
      <c r="J26061" s="42">
        <v>46173</v>
      </c>
      <c r="K26061" s="33" t="s">
        <v>22</v>
      </c>
    </row>
    <row r="26062" spans="1:11">
      <c r="A26062" s="30" t="s">
        <v>57324</v>
      </c>
      <c r="B26062" s="30" t="s">
        <v>57325</v>
      </c>
      <c r="C26062" s="30" t="s">
        <v>891</v>
      </c>
      <c r="D26062" s="30" t="s">
        <v>17</v>
      </c>
      <c r="E26062" s="30" t="s">
        <v>31</v>
      </c>
      <c r="F26062" s="30" t="s">
        <v>32</v>
      </c>
      <c r="G26062" s="30" t="s">
        <v>140</v>
      </c>
      <c r="H26062" s="32">
        <v>180</v>
      </c>
      <c r="I26062" s="30" t="s">
        <v>51</v>
      </c>
      <c r="J26062" s="41">
        <v>46174</v>
      </c>
      <c r="K26062" s="30" t="s">
        <v>22</v>
      </c>
    </row>
    <row r="26063" spans="1:11">
      <c r="A26063" s="33" t="s">
        <v>57326</v>
      </c>
      <c r="B26063" s="33" t="s">
        <v>57327</v>
      </c>
      <c r="C26063" s="33" t="s">
        <v>15917</v>
      </c>
      <c r="D26063" s="33" t="s">
        <v>17</v>
      </c>
      <c r="E26063" s="33" t="s">
        <v>26</v>
      </c>
      <c r="F26063" s="33" t="s">
        <v>27</v>
      </c>
      <c r="G26063" s="33" t="s">
        <v>158</v>
      </c>
      <c r="H26063" s="35">
        <v>160</v>
      </c>
      <c r="I26063" s="33" t="s">
        <v>21</v>
      </c>
      <c r="J26063" s="42">
        <v>46088</v>
      </c>
      <c r="K26063" s="33" t="s">
        <v>22</v>
      </c>
    </row>
    <row r="26064" spans="1:11">
      <c r="A26064" s="30" t="s">
        <v>57328</v>
      </c>
      <c r="B26064" s="30" t="s">
        <v>57329</v>
      </c>
      <c r="C26064" s="30" t="s">
        <v>17220</v>
      </c>
      <c r="D26064" s="30" t="s">
        <v>17</v>
      </c>
      <c r="E26064" s="30" t="s">
        <v>31</v>
      </c>
      <c r="F26064" s="30" t="s">
        <v>32</v>
      </c>
      <c r="G26064" s="30" t="s">
        <v>7780</v>
      </c>
      <c r="H26064" s="32">
        <v>144</v>
      </c>
      <c r="I26064" s="30" t="s">
        <v>51</v>
      </c>
      <c r="J26064" s="41">
        <v>46210</v>
      </c>
      <c r="K26064" s="30" t="s">
        <v>22</v>
      </c>
    </row>
    <row r="26065" spans="1:11">
      <c r="A26065" s="33" t="s">
        <v>57330</v>
      </c>
      <c r="B26065" s="33" t="s">
        <v>57331</v>
      </c>
      <c r="C26065" s="33" t="s">
        <v>11609</v>
      </c>
      <c r="D26065" s="33" t="s">
        <v>17</v>
      </c>
      <c r="E26065" s="33" t="s">
        <v>18</v>
      </c>
      <c r="F26065" s="33" t="s">
        <v>19</v>
      </c>
      <c r="G26065" s="33" t="s">
        <v>140</v>
      </c>
      <c r="H26065" s="35">
        <v>140</v>
      </c>
      <c r="I26065" s="33" t="s">
        <v>51</v>
      </c>
      <c r="J26065" s="42">
        <v>46083</v>
      </c>
      <c r="K26065" s="33" t="s">
        <v>22</v>
      </c>
    </row>
    <row r="26066" spans="1:11">
      <c r="A26066" s="30" t="s">
        <v>57332</v>
      </c>
      <c r="B26066" s="30" t="s">
        <v>57333</v>
      </c>
      <c r="C26066" s="30" t="s">
        <v>17636</v>
      </c>
      <c r="D26066" s="30" t="s">
        <v>17</v>
      </c>
      <c r="E26066" s="30" t="s">
        <v>26</v>
      </c>
      <c r="F26066" s="30" t="s">
        <v>27</v>
      </c>
      <c r="G26066" s="30" t="s">
        <v>7780</v>
      </c>
      <c r="H26066" s="32">
        <v>36</v>
      </c>
      <c r="I26066" s="30" t="s">
        <v>51</v>
      </c>
      <c r="J26066" s="41">
        <v>46091</v>
      </c>
      <c r="K26066" s="30" t="s">
        <v>22</v>
      </c>
    </row>
    <row r="26067" spans="1:11">
      <c r="A26067" s="33" t="s">
        <v>57334</v>
      </c>
      <c r="B26067" s="33" t="s">
        <v>57335</v>
      </c>
      <c r="C26067" s="33" t="s">
        <v>187</v>
      </c>
      <c r="D26067" s="33" t="s">
        <v>17</v>
      </c>
      <c r="E26067" s="33" t="s">
        <v>31</v>
      </c>
      <c r="F26067" s="33" t="s">
        <v>32</v>
      </c>
      <c r="G26067" s="33" t="s">
        <v>7780</v>
      </c>
      <c r="H26067" s="35">
        <v>127</v>
      </c>
      <c r="I26067" s="33" t="s">
        <v>51</v>
      </c>
      <c r="J26067" s="42">
        <v>46204</v>
      </c>
      <c r="K26067" s="33" t="s">
        <v>22</v>
      </c>
    </row>
    <row r="26068" spans="1:11">
      <c r="A26068" s="30" t="s">
        <v>57336</v>
      </c>
      <c r="B26068" s="30" t="s">
        <v>57337</v>
      </c>
      <c r="C26068" s="30" t="s">
        <v>13508</v>
      </c>
      <c r="D26068" s="30" t="s">
        <v>17</v>
      </c>
      <c r="E26068" s="30" t="s">
        <v>31</v>
      </c>
      <c r="F26068" s="30" t="s">
        <v>32</v>
      </c>
      <c r="G26068" s="30" t="s">
        <v>140</v>
      </c>
      <c r="H26068" s="32">
        <v>120</v>
      </c>
      <c r="I26068" s="30" t="s">
        <v>51</v>
      </c>
      <c r="J26068" s="41">
        <v>46107</v>
      </c>
      <c r="K26068" s="30" t="s">
        <v>22</v>
      </c>
    </row>
    <row r="26069" spans="1:11">
      <c r="A26069" s="33" t="s">
        <v>57338</v>
      </c>
      <c r="B26069" s="33" t="s">
        <v>57339</v>
      </c>
      <c r="C26069" s="33" t="s">
        <v>57340</v>
      </c>
      <c r="D26069" s="33" t="s">
        <v>17</v>
      </c>
      <c r="E26069" s="33" t="s">
        <v>67</v>
      </c>
      <c r="F26069" s="33" t="s">
        <v>68</v>
      </c>
      <c r="G26069" s="33" t="s">
        <v>140</v>
      </c>
      <c r="H26069" s="35">
        <v>140</v>
      </c>
      <c r="I26069" s="33" t="s">
        <v>51</v>
      </c>
      <c r="J26069" s="42">
        <v>46162</v>
      </c>
      <c r="K26069" s="33" t="s">
        <v>22</v>
      </c>
    </row>
    <row r="26070" spans="1:11">
      <c r="A26070" s="30" t="s">
        <v>57341</v>
      </c>
      <c r="B26070" s="30" t="s">
        <v>57342</v>
      </c>
      <c r="C26070" s="30" t="s">
        <v>57343</v>
      </c>
      <c r="D26070" s="30" t="s">
        <v>17</v>
      </c>
      <c r="E26070" s="30" t="s">
        <v>67</v>
      </c>
      <c r="F26070" s="30" t="s">
        <v>68</v>
      </c>
      <c r="G26070" s="30" t="s">
        <v>140</v>
      </c>
      <c r="H26070" s="32">
        <v>80</v>
      </c>
      <c r="I26070" s="30" t="s">
        <v>51</v>
      </c>
      <c r="J26070" s="41">
        <v>46058</v>
      </c>
      <c r="K26070" s="30" t="s">
        <v>22</v>
      </c>
    </row>
    <row r="26071" spans="1:11">
      <c r="A26071" s="33" t="s">
        <v>57344</v>
      </c>
      <c r="B26071" s="33" t="s">
        <v>57345</v>
      </c>
      <c r="C26071" s="33" t="s">
        <v>374</v>
      </c>
      <c r="D26071" s="33" t="s">
        <v>17</v>
      </c>
      <c r="E26071" s="33" t="s">
        <v>31</v>
      </c>
      <c r="F26071" s="33" t="s">
        <v>32</v>
      </c>
      <c r="G26071" s="33" t="s">
        <v>140</v>
      </c>
      <c r="H26071" s="35">
        <v>170</v>
      </c>
      <c r="I26071" s="33" t="s">
        <v>51</v>
      </c>
      <c r="J26071" s="42">
        <v>46148</v>
      </c>
      <c r="K26071" s="33" t="s">
        <v>22</v>
      </c>
    </row>
    <row r="26072" spans="1:11">
      <c r="A26072" s="30" t="s">
        <v>57346</v>
      </c>
      <c r="B26072" s="30" t="s">
        <v>57347</v>
      </c>
      <c r="C26072" s="30" t="s">
        <v>109</v>
      </c>
      <c r="D26072" s="30" t="s">
        <v>17</v>
      </c>
      <c r="E26072" s="30" t="s">
        <v>26</v>
      </c>
      <c r="F26072" s="30" t="s">
        <v>27</v>
      </c>
      <c r="G26072" s="30" t="s">
        <v>140</v>
      </c>
      <c r="H26072" s="32">
        <v>12</v>
      </c>
      <c r="I26072" s="30" t="s">
        <v>51</v>
      </c>
      <c r="J26072" s="41">
        <v>46099</v>
      </c>
      <c r="K26072" s="30" t="s">
        <v>22</v>
      </c>
    </row>
    <row r="26073" spans="1:11">
      <c r="A26073" s="33" t="s">
        <v>57348</v>
      </c>
      <c r="B26073" s="33" t="s">
        <v>57349</v>
      </c>
      <c r="C26073" s="33" t="s">
        <v>51205</v>
      </c>
      <c r="D26073" s="33" t="s">
        <v>17</v>
      </c>
      <c r="E26073" s="33" t="s">
        <v>26</v>
      </c>
      <c r="F26073" s="33" t="s">
        <v>27</v>
      </c>
      <c r="G26073" s="33" t="s">
        <v>7780</v>
      </c>
      <c r="H26073" s="35">
        <v>140</v>
      </c>
      <c r="I26073" s="33" t="s">
        <v>51</v>
      </c>
      <c r="J26073" s="42">
        <v>46204</v>
      </c>
      <c r="K26073" s="33" t="s">
        <v>22</v>
      </c>
    </row>
    <row r="26074" spans="1:11">
      <c r="A26074" s="30" t="s">
        <v>57350</v>
      </c>
      <c r="B26074" s="30" t="s">
        <v>57351</v>
      </c>
      <c r="C26074" s="30" t="s">
        <v>109</v>
      </c>
      <c r="D26074" s="30" t="s">
        <v>17</v>
      </c>
      <c r="E26074" s="30" t="s">
        <v>31</v>
      </c>
      <c r="F26074" s="30" t="s">
        <v>32</v>
      </c>
      <c r="G26074" s="30" t="s">
        <v>140</v>
      </c>
      <c r="H26074" s="32">
        <v>80</v>
      </c>
      <c r="I26074" s="30" t="s">
        <v>51</v>
      </c>
      <c r="J26074" s="41">
        <v>46233</v>
      </c>
      <c r="K26074" s="30" t="s">
        <v>22</v>
      </c>
    </row>
    <row r="26075" spans="1:11">
      <c r="A26075" s="33" t="s">
        <v>57352</v>
      </c>
      <c r="B26075" s="33" t="s">
        <v>57353</v>
      </c>
      <c r="C26075" s="33" t="s">
        <v>318</v>
      </c>
      <c r="D26075" s="33" t="s">
        <v>17</v>
      </c>
      <c r="E26075" s="33" t="s">
        <v>26</v>
      </c>
      <c r="F26075" s="33" t="s">
        <v>27</v>
      </c>
      <c r="G26075" s="33" t="s">
        <v>140</v>
      </c>
      <c r="H26075" s="35">
        <v>464</v>
      </c>
      <c r="I26075" s="33" t="s">
        <v>51</v>
      </c>
      <c r="J26075" s="42">
        <v>46120</v>
      </c>
      <c r="K26075" s="33" t="s">
        <v>22</v>
      </c>
    </row>
    <row r="26076" spans="1:11">
      <c r="A26076" s="30" t="s">
        <v>57354</v>
      </c>
      <c r="B26076" s="30" t="s">
        <v>57355</v>
      </c>
      <c r="C26076" s="30" t="s">
        <v>109</v>
      </c>
      <c r="D26076" s="30" t="s">
        <v>17</v>
      </c>
      <c r="E26076" s="30" t="s">
        <v>18</v>
      </c>
      <c r="F26076" s="30" t="s">
        <v>19</v>
      </c>
      <c r="G26076" s="30" t="s">
        <v>140</v>
      </c>
      <c r="H26076" s="32">
        <v>770</v>
      </c>
      <c r="I26076" s="30" t="s">
        <v>51</v>
      </c>
      <c r="J26076" s="41">
        <v>46105</v>
      </c>
      <c r="K26076" s="30" t="s">
        <v>22</v>
      </c>
    </row>
    <row r="26077" spans="1:11">
      <c r="A26077" s="33" t="s">
        <v>57356</v>
      </c>
      <c r="B26077" s="33" t="s">
        <v>57357</v>
      </c>
      <c r="C26077" s="33" t="s">
        <v>14483</v>
      </c>
      <c r="D26077" s="33" t="s">
        <v>17</v>
      </c>
      <c r="E26077" s="33" t="s">
        <v>31</v>
      </c>
      <c r="F26077" s="33" t="s">
        <v>32</v>
      </c>
      <c r="G26077" s="33" t="s">
        <v>140</v>
      </c>
      <c r="H26077" s="35">
        <v>450</v>
      </c>
      <c r="I26077" s="33" t="s">
        <v>51</v>
      </c>
      <c r="J26077" s="42">
        <v>46142</v>
      </c>
      <c r="K26077" s="33" t="s">
        <v>22</v>
      </c>
    </row>
    <row r="26078" spans="1:11">
      <c r="A26078" s="30" t="s">
        <v>57358</v>
      </c>
      <c r="B26078" s="30" t="s">
        <v>57359</v>
      </c>
      <c r="C26078" s="30" t="s">
        <v>54855</v>
      </c>
      <c r="D26078" s="30" t="s">
        <v>17</v>
      </c>
      <c r="E26078" s="30" t="s">
        <v>26</v>
      </c>
      <c r="F26078" s="30" t="s">
        <v>27</v>
      </c>
      <c r="G26078" s="30" t="s">
        <v>7780</v>
      </c>
      <c r="H26078" s="32">
        <v>46</v>
      </c>
      <c r="I26078" s="30" t="s">
        <v>51</v>
      </c>
      <c r="J26078" s="41">
        <v>46143</v>
      </c>
      <c r="K26078" s="30" t="s">
        <v>22</v>
      </c>
    </row>
    <row r="26079" spans="1:11">
      <c r="A26079" s="33" t="s">
        <v>57360</v>
      </c>
      <c r="B26079" s="33" t="s">
        <v>57361</v>
      </c>
      <c r="C26079" s="33" t="s">
        <v>3739</v>
      </c>
      <c r="D26079" s="33" t="s">
        <v>17</v>
      </c>
      <c r="E26079" s="33" t="s">
        <v>67</v>
      </c>
      <c r="F26079" s="33" t="s">
        <v>68</v>
      </c>
      <c r="G26079" s="33" t="s">
        <v>7780</v>
      </c>
      <c r="H26079" s="35">
        <v>90</v>
      </c>
      <c r="I26079" s="33" t="s">
        <v>51</v>
      </c>
      <c r="J26079" s="42">
        <v>46174</v>
      </c>
      <c r="K26079" s="33" t="s">
        <v>22</v>
      </c>
    </row>
    <row r="26080" spans="1:11">
      <c r="A26080" s="30" t="s">
        <v>57362</v>
      </c>
      <c r="B26080" s="30" t="s">
        <v>57363</v>
      </c>
      <c r="C26080" s="30" t="s">
        <v>57364</v>
      </c>
      <c r="D26080" s="30" t="s">
        <v>17</v>
      </c>
      <c r="E26080" s="30" t="s">
        <v>18</v>
      </c>
      <c r="F26080" s="30" t="s">
        <v>19</v>
      </c>
      <c r="G26080" s="30" t="s">
        <v>7780</v>
      </c>
      <c r="H26080" s="32">
        <v>114</v>
      </c>
      <c r="I26080" s="30" t="s">
        <v>51</v>
      </c>
      <c r="J26080" s="41">
        <v>46037</v>
      </c>
      <c r="K26080" s="30" t="s">
        <v>22</v>
      </c>
    </row>
    <row r="26081" spans="1:11">
      <c r="A26081" s="33" t="s">
        <v>57365</v>
      </c>
      <c r="B26081" s="33" t="s">
        <v>57366</v>
      </c>
      <c r="C26081" s="33" t="s">
        <v>124</v>
      </c>
      <c r="D26081" s="33" t="s">
        <v>17</v>
      </c>
      <c r="E26081" s="33" t="s">
        <v>31</v>
      </c>
      <c r="F26081" s="33" t="s">
        <v>32</v>
      </c>
      <c r="G26081" s="33" t="s">
        <v>140</v>
      </c>
      <c r="H26081" s="35">
        <v>200</v>
      </c>
      <c r="I26081" s="33" t="s">
        <v>51</v>
      </c>
      <c r="J26081" s="42">
        <v>46164</v>
      </c>
      <c r="K26081" s="33" t="s">
        <v>22</v>
      </c>
    </row>
    <row r="26082" spans="1:11">
      <c r="A26082" s="30" t="s">
        <v>57367</v>
      </c>
      <c r="B26082" s="30" t="s">
        <v>57368</v>
      </c>
      <c r="C26082" s="30" t="s">
        <v>50793</v>
      </c>
      <c r="D26082" s="30" t="s">
        <v>17</v>
      </c>
      <c r="E26082" s="30" t="s">
        <v>26</v>
      </c>
      <c r="F26082" s="30" t="s">
        <v>27</v>
      </c>
      <c r="G26082" s="30" t="s">
        <v>140</v>
      </c>
      <c r="H26082" s="32">
        <v>105</v>
      </c>
      <c r="I26082" s="30" t="s">
        <v>51</v>
      </c>
      <c r="J26082" s="41">
        <v>46223</v>
      </c>
      <c r="K26082" s="30" t="s">
        <v>22</v>
      </c>
    </row>
    <row r="26083" spans="1:11">
      <c r="A26083" s="33" t="s">
        <v>57369</v>
      </c>
      <c r="B26083" s="33" t="s">
        <v>57370</v>
      </c>
      <c r="C26083" s="33" t="s">
        <v>15917</v>
      </c>
      <c r="D26083" s="33" t="s">
        <v>17</v>
      </c>
      <c r="E26083" s="33" t="s">
        <v>18</v>
      </c>
      <c r="F26083" s="33" t="s">
        <v>19</v>
      </c>
      <c r="G26083" s="33" t="s">
        <v>7780</v>
      </c>
      <c r="H26083" s="35">
        <v>196</v>
      </c>
      <c r="I26083" s="33" t="s">
        <v>51</v>
      </c>
      <c r="J26083" s="42">
        <v>46204</v>
      </c>
      <c r="K26083" s="33" t="s">
        <v>22</v>
      </c>
    </row>
    <row r="26084" spans="1:11">
      <c r="A26084" s="30" t="s">
        <v>57371</v>
      </c>
      <c r="B26084" s="30" t="s">
        <v>57372</v>
      </c>
      <c r="C26084" s="30" t="s">
        <v>10425</v>
      </c>
      <c r="D26084" s="30" t="s">
        <v>17</v>
      </c>
      <c r="E26084" s="30" t="s">
        <v>31</v>
      </c>
      <c r="F26084" s="30" t="s">
        <v>32</v>
      </c>
      <c r="G26084" s="30" t="s">
        <v>140</v>
      </c>
      <c r="H26084" s="32">
        <v>60</v>
      </c>
      <c r="I26084" s="30" t="s">
        <v>51</v>
      </c>
      <c r="J26084" s="41">
        <v>46140</v>
      </c>
      <c r="K26084" s="30" t="s">
        <v>22</v>
      </c>
    </row>
    <row r="26085" spans="1:11">
      <c r="A26085" s="33" t="s">
        <v>57373</v>
      </c>
      <c r="B26085" s="33" t="s">
        <v>57374</v>
      </c>
      <c r="C26085" s="33" t="s">
        <v>3971</v>
      </c>
      <c r="D26085" s="33" t="s">
        <v>17</v>
      </c>
      <c r="E26085" s="33" t="s">
        <v>31</v>
      </c>
      <c r="F26085" s="33" t="s">
        <v>32</v>
      </c>
      <c r="G26085" s="33" t="s">
        <v>7780</v>
      </c>
      <c r="H26085" s="35">
        <v>64</v>
      </c>
      <c r="I26085" s="33" t="s">
        <v>51</v>
      </c>
      <c r="J26085" s="42">
        <v>46111</v>
      </c>
      <c r="K26085" s="33" t="s">
        <v>22</v>
      </c>
    </row>
    <row r="26086" spans="1:11">
      <c r="A26086" s="30" t="s">
        <v>57375</v>
      </c>
      <c r="B26086" s="30" t="s">
        <v>57376</v>
      </c>
      <c r="C26086" s="30" t="s">
        <v>57377</v>
      </c>
      <c r="D26086" s="30" t="s">
        <v>17</v>
      </c>
      <c r="E26086" s="30" t="s">
        <v>212</v>
      </c>
      <c r="F26086" s="30" t="s">
        <v>213</v>
      </c>
      <c r="G26086" s="30" t="s">
        <v>7780</v>
      </c>
      <c r="H26086" s="32">
        <v>40</v>
      </c>
      <c r="I26086" s="30" t="s">
        <v>51</v>
      </c>
      <c r="J26086" s="41">
        <v>46113</v>
      </c>
      <c r="K26086" s="30" t="s">
        <v>22</v>
      </c>
    </row>
    <row r="26087" spans="1:11">
      <c r="A26087" s="33" t="s">
        <v>57378</v>
      </c>
      <c r="B26087" s="33" t="s">
        <v>57379</v>
      </c>
      <c r="C26087" s="33" t="s">
        <v>6052</v>
      </c>
      <c r="D26087" s="33" t="s">
        <v>17</v>
      </c>
      <c r="E26087" s="33" t="s">
        <v>67</v>
      </c>
      <c r="F26087" s="33" t="s">
        <v>68</v>
      </c>
      <c r="G26087" s="33" t="s">
        <v>140</v>
      </c>
      <c r="H26087" s="35">
        <v>55</v>
      </c>
      <c r="I26087" s="33" t="s">
        <v>51</v>
      </c>
      <c r="J26087" s="42">
        <v>46082</v>
      </c>
      <c r="K26087" s="33" t="s">
        <v>22</v>
      </c>
    </row>
    <row r="26088" spans="1:11">
      <c r="A26088" s="30" t="s">
        <v>57380</v>
      </c>
      <c r="B26088" s="30" t="s">
        <v>57381</v>
      </c>
      <c r="C26088" s="30" t="s">
        <v>15527</v>
      </c>
      <c r="D26088" s="30" t="s">
        <v>17</v>
      </c>
      <c r="E26088" s="30" t="s">
        <v>26</v>
      </c>
      <c r="F26088" s="30" t="s">
        <v>27</v>
      </c>
      <c r="G26088" s="30" t="s">
        <v>140</v>
      </c>
      <c r="H26088" s="32">
        <v>12</v>
      </c>
      <c r="I26088" s="30" t="s">
        <v>51</v>
      </c>
      <c r="J26088" s="41">
        <v>46113</v>
      </c>
      <c r="K26088" s="30" t="s">
        <v>22</v>
      </c>
    </row>
    <row r="26089" spans="1:11">
      <c r="A26089" s="33" t="s">
        <v>57382</v>
      </c>
      <c r="B26089" s="33" t="s">
        <v>57383</v>
      </c>
      <c r="C26089" s="33" t="s">
        <v>43599</v>
      </c>
      <c r="D26089" s="33" t="s">
        <v>17</v>
      </c>
      <c r="E26089" s="33" t="s">
        <v>18</v>
      </c>
      <c r="F26089" s="33" t="s">
        <v>19</v>
      </c>
      <c r="G26089" s="33" t="s">
        <v>140</v>
      </c>
      <c r="H26089" s="35">
        <v>195</v>
      </c>
      <c r="I26089" s="33" t="s">
        <v>51</v>
      </c>
      <c r="J26089" s="42">
        <v>46204</v>
      </c>
      <c r="K26089" s="33" t="s">
        <v>22</v>
      </c>
    </row>
    <row r="26090" spans="1:11">
      <c r="A26090" s="30" t="s">
        <v>57384</v>
      </c>
      <c r="B26090" s="30" t="s">
        <v>57385</v>
      </c>
      <c r="C26090" s="30" t="s">
        <v>50648</v>
      </c>
      <c r="D26090" s="30" t="s">
        <v>17</v>
      </c>
      <c r="E26090" s="30" t="s">
        <v>67</v>
      </c>
      <c r="F26090" s="30" t="s">
        <v>68</v>
      </c>
      <c r="G26090" s="30" t="s">
        <v>7780</v>
      </c>
      <c r="H26090" s="32">
        <v>230</v>
      </c>
      <c r="I26090" s="30" t="s">
        <v>51</v>
      </c>
      <c r="J26090" s="41">
        <v>46216</v>
      </c>
      <c r="K26090" s="30" t="s">
        <v>22</v>
      </c>
    </row>
    <row r="26091" spans="1:11">
      <c r="A26091" s="33" t="s">
        <v>57386</v>
      </c>
      <c r="B26091" s="33" t="s">
        <v>57387</v>
      </c>
      <c r="C26091" s="33" t="s">
        <v>55802</v>
      </c>
      <c r="D26091" s="33" t="s">
        <v>17</v>
      </c>
      <c r="E26091" s="33" t="s">
        <v>26</v>
      </c>
      <c r="F26091" s="33" t="s">
        <v>27</v>
      </c>
      <c r="G26091" s="33" t="s">
        <v>7780</v>
      </c>
      <c r="H26091" s="35">
        <v>6</v>
      </c>
      <c r="I26091" s="33" t="s">
        <v>51</v>
      </c>
      <c r="J26091" s="42">
        <v>46147</v>
      </c>
      <c r="K26091" s="33" t="s">
        <v>22</v>
      </c>
    </row>
    <row r="26092" spans="1:11">
      <c r="A26092" s="30" t="s">
        <v>57388</v>
      </c>
      <c r="B26092" s="30" t="s">
        <v>57389</v>
      </c>
      <c r="C26092" s="30" t="s">
        <v>2807</v>
      </c>
      <c r="D26092" s="30" t="s">
        <v>17</v>
      </c>
      <c r="E26092" s="30" t="s">
        <v>31</v>
      </c>
      <c r="F26092" s="30" t="s">
        <v>32</v>
      </c>
      <c r="G26092" s="30" t="s">
        <v>140</v>
      </c>
      <c r="H26092" s="32">
        <v>63</v>
      </c>
      <c r="I26092" s="30" t="s">
        <v>51</v>
      </c>
      <c r="J26092" s="41">
        <v>46055</v>
      </c>
      <c r="K26092" s="30" t="s">
        <v>22</v>
      </c>
    </row>
    <row r="26093" spans="1:11">
      <c r="A26093" s="33" t="s">
        <v>57390</v>
      </c>
      <c r="B26093" s="33" t="s">
        <v>57391</v>
      </c>
      <c r="C26093" s="33" t="s">
        <v>3679</v>
      </c>
      <c r="D26093" s="33" t="s">
        <v>17</v>
      </c>
      <c r="E26093" s="33" t="s">
        <v>31</v>
      </c>
      <c r="F26093" s="33" t="s">
        <v>32</v>
      </c>
      <c r="G26093" s="33" t="s">
        <v>7780</v>
      </c>
      <c r="H26093" s="35">
        <v>222</v>
      </c>
      <c r="I26093" s="33" t="s">
        <v>51</v>
      </c>
      <c r="J26093" s="42">
        <v>46107</v>
      </c>
      <c r="K26093" s="33" t="s">
        <v>22</v>
      </c>
    </row>
    <row r="26094" spans="1:11">
      <c r="A26094" s="30" t="s">
        <v>57392</v>
      </c>
      <c r="B26094" s="30" t="s">
        <v>57393</v>
      </c>
      <c r="C26094" s="30" t="s">
        <v>57394</v>
      </c>
      <c r="D26094" s="30" t="s">
        <v>17</v>
      </c>
      <c r="E26094" s="30" t="s">
        <v>26</v>
      </c>
      <c r="F26094" s="30" t="s">
        <v>27</v>
      </c>
      <c r="G26094" s="30" t="s">
        <v>158</v>
      </c>
      <c r="H26094" s="32">
        <v>56</v>
      </c>
      <c r="I26094" s="30" t="s">
        <v>51</v>
      </c>
      <c r="J26094" s="41">
        <v>46049</v>
      </c>
      <c r="K26094" s="30" t="s">
        <v>22</v>
      </c>
    </row>
    <row r="26095" spans="1:11">
      <c r="A26095" s="33" t="s">
        <v>57395</v>
      </c>
      <c r="B26095" s="33" t="s">
        <v>57396</v>
      </c>
      <c r="C26095" s="33" t="s">
        <v>56957</v>
      </c>
      <c r="D26095" s="33" t="s">
        <v>17</v>
      </c>
      <c r="E26095" s="33" t="s">
        <v>26</v>
      </c>
      <c r="F26095" s="33" t="s">
        <v>27</v>
      </c>
      <c r="G26095" s="33" t="s">
        <v>140</v>
      </c>
      <c r="H26095" s="35">
        <v>36</v>
      </c>
      <c r="I26095" s="33" t="s">
        <v>51</v>
      </c>
      <c r="J26095" s="42">
        <v>46083</v>
      </c>
      <c r="K26095" s="33" t="s">
        <v>22</v>
      </c>
    </row>
    <row r="26096" spans="1:11">
      <c r="A26096" s="30" t="s">
        <v>57397</v>
      </c>
      <c r="B26096" s="30" t="s">
        <v>57398</v>
      </c>
      <c r="C26096" s="30" t="s">
        <v>27458</v>
      </c>
      <c r="D26096" s="30" t="s">
        <v>17</v>
      </c>
      <c r="E26096" s="30" t="s">
        <v>18</v>
      </c>
      <c r="F26096" s="30" t="s">
        <v>19</v>
      </c>
      <c r="G26096" s="30" t="s">
        <v>140</v>
      </c>
      <c r="H26096" s="32">
        <v>486</v>
      </c>
      <c r="I26096" s="30" t="s">
        <v>51</v>
      </c>
      <c r="J26096" s="41">
        <v>46135</v>
      </c>
      <c r="K26096" s="30" t="s">
        <v>22</v>
      </c>
    </row>
    <row r="26097" spans="1:11">
      <c r="A26097" s="33" t="s">
        <v>57399</v>
      </c>
      <c r="B26097" s="33" t="s">
        <v>57400</v>
      </c>
      <c r="C26097" s="33" t="s">
        <v>10009</v>
      </c>
      <c r="D26097" s="33" t="s">
        <v>17</v>
      </c>
      <c r="E26097" s="33" t="s">
        <v>45</v>
      </c>
      <c r="F26097" s="33" t="s">
        <v>46</v>
      </c>
      <c r="G26097" s="33" t="s">
        <v>140</v>
      </c>
      <c r="H26097" s="35">
        <v>160</v>
      </c>
      <c r="I26097" s="33" t="s">
        <v>51</v>
      </c>
      <c r="J26097" s="42">
        <v>46128</v>
      </c>
      <c r="K26097" s="33" t="s">
        <v>22</v>
      </c>
    </row>
    <row r="26098" spans="1:11">
      <c r="A26098" s="30" t="s">
        <v>57401</v>
      </c>
      <c r="B26098" s="30" t="s">
        <v>57402</v>
      </c>
      <c r="C26098" s="30" t="s">
        <v>57403</v>
      </c>
      <c r="D26098" s="30" t="s">
        <v>17</v>
      </c>
      <c r="E26098" s="30" t="s">
        <v>45</v>
      </c>
      <c r="F26098" s="30" t="s">
        <v>46</v>
      </c>
      <c r="G26098" s="30" t="s">
        <v>140</v>
      </c>
      <c r="H26098" s="32">
        <v>70</v>
      </c>
      <c r="I26098" s="30" t="s">
        <v>51</v>
      </c>
      <c r="J26098" s="41">
        <v>46157</v>
      </c>
      <c r="K26098" s="30" t="s">
        <v>22</v>
      </c>
    </row>
    <row r="26099" spans="1:11">
      <c r="A26099" s="33" t="s">
        <v>57404</v>
      </c>
      <c r="B26099" s="33" t="s">
        <v>57405</v>
      </c>
      <c r="C26099" s="33" t="s">
        <v>33886</v>
      </c>
      <c r="D26099" s="33" t="s">
        <v>17</v>
      </c>
      <c r="E26099" s="33" t="s">
        <v>31</v>
      </c>
      <c r="F26099" s="33" t="s">
        <v>32</v>
      </c>
      <c r="G26099" s="33" t="s">
        <v>7780</v>
      </c>
      <c r="H26099" s="35">
        <v>195</v>
      </c>
      <c r="I26099" s="33" t="s">
        <v>51</v>
      </c>
      <c r="J26099" s="42">
        <v>46091</v>
      </c>
      <c r="K26099" s="33" t="s">
        <v>22</v>
      </c>
    </row>
    <row r="26100" spans="1:11">
      <c r="A26100" s="30" t="s">
        <v>57406</v>
      </c>
      <c r="B26100" s="30" t="s">
        <v>57407</v>
      </c>
      <c r="C26100" s="30" t="s">
        <v>6127</v>
      </c>
      <c r="D26100" s="30" t="s">
        <v>17</v>
      </c>
      <c r="E26100" s="30" t="s">
        <v>26</v>
      </c>
      <c r="F26100" s="30" t="s">
        <v>27</v>
      </c>
      <c r="G26100" s="30" t="s">
        <v>140</v>
      </c>
      <c r="H26100" s="32">
        <v>88</v>
      </c>
      <c r="I26100" s="30" t="s">
        <v>51</v>
      </c>
      <c r="J26100" s="41">
        <v>46177</v>
      </c>
      <c r="K26100" s="30" t="s">
        <v>22</v>
      </c>
    </row>
    <row r="26101" spans="1:11">
      <c r="A26101" s="33" t="s">
        <v>57408</v>
      </c>
      <c r="B26101" s="33" t="s">
        <v>57409</v>
      </c>
      <c r="C26101" s="33" t="s">
        <v>2196</v>
      </c>
      <c r="D26101" s="33" t="s">
        <v>17</v>
      </c>
      <c r="E26101" s="33" t="s">
        <v>26</v>
      </c>
      <c r="F26101" s="33" t="s">
        <v>27</v>
      </c>
      <c r="G26101" s="33" t="s">
        <v>158</v>
      </c>
      <c r="H26101" s="35">
        <v>24</v>
      </c>
      <c r="I26101" s="33" t="s">
        <v>21</v>
      </c>
      <c r="J26101" s="42">
        <v>46203</v>
      </c>
      <c r="K26101" s="33" t="s">
        <v>22</v>
      </c>
    </row>
    <row r="26102" spans="1:11">
      <c r="A26102" s="30" t="s">
        <v>57410</v>
      </c>
      <c r="B26102" s="30" t="s">
        <v>57411</v>
      </c>
      <c r="C26102" s="30" t="s">
        <v>9872</v>
      </c>
      <c r="D26102" s="30" t="s">
        <v>17</v>
      </c>
      <c r="E26102" s="30" t="s">
        <v>26</v>
      </c>
      <c r="F26102" s="30" t="s">
        <v>27</v>
      </c>
      <c r="G26102" s="30" t="s">
        <v>140</v>
      </c>
      <c r="H26102" s="32">
        <v>120</v>
      </c>
      <c r="I26102" s="30" t="s">
        <v>51</v>
      </c>
      <c r="J26102" s="41">
        <v>46181</v>
      </c>
      <c r="K26102" s="30" t="s">
        <v>22</v>
      </c>
    </row>
    <row r="26103" spans="1:11">
      <c r="A26103" s="33" t="s">
        <v>57412</v>
      </c>
      <c r="B26103" s="33" t="s">
        <v>57413</v>
      </c>
      <c r="C26103" s="33" t="s">
        <v>2753</v>
      </c>
      <c r="D26103" s="33" t="s">
        <v>17</v>
      </c>
      <c r="E26103" s="33" t="s">
        <v>26</v>
      </c>
      <c r="F26103" s="33" t="s">
        <v>27</v>
      </c>
      <c r="G26103" s="33" t="s">
        <v>140</v>
      </c>
      <c r="H26103" s="35">
        <v>98</v>
      </c>
      <c r="I26103" s="33" t="s">
        <v>51</v>
      </c>
      <c r="J26103" s="42">
        <v>46100</v>
      </c>
      <c r="K26103" s="33" t="s">
        <v>22</v>
      </c>
    </row>
    <row r="26104" spans="1:11">
      <c r="A26104" s="30" t="s">
        <v>57414</v>
      </c>
      <c r="B26104" s="30" t="s">
        <v>57415</v>
      </c>
      <c r="C26104" s="30" t="s">
        <v>93</v>
      </c>
      <c r="D26104" s="30" t="s">
        <v>17</v>
      </c>
      <c r="E26104" s="30" t="s">
        <v>26</v>
      </c>
      <c r="F26104" s="30" t="s">
        <v>27</v>
      </c>
      <c r="G26104" s="30" t="s">
        <v>158</v>
      </c>
      <c r="H26104" s="32">
        <v>12</v>
      </c>
      <c r="I26104" s="30" t="s">
        <v>51</v>
      </c>
      <c r="J26104" s="41">
        <v>46154</v>
      </c>
      <c r="K26104" s="30" t="s">
        <v>22</v>
      </c>
    </row>
    <row r="26105" spans="1:11">
      <c r="A26105" s="33" t="s">
        <v>57416</v>
      </c>
      <c r="B26105" s="33" t="s">
        <v>57417</v>
      </c>
      <c r="C26105" s="33" t="s">
        <v>37414</v>
      </c>
      <c r="D26105" s="33" t="s">
        <v>17</v>
      </c>
      <c r="E26105" s="33" t="s">
        <v>31</v>
      </c>
      <c r="F26105" s="33" t="s">
        <v>32</v>
      </c>
      <c r="G26105" s="33" t="s">
        <v>69</v>
      </c>
      <c r="H26105" s="35">
        <v>90</v>
      </c>
      <c r="I26105" s="33" t="s">
        <v>51</v>
      </c>
      <c r="J26105" s="42">
        <v>46174</v>
      </c>
      <c r="K26105" s="33" t="s">
        <v>22</v>
      </c>
    </row>
    <row r="26106" spans="1:11">
      <c r="A26106" s="30" t="s">
        <v>57418</v>
      </c>
      <c r="B26106" s="30" t="s">
        <v>57419</v>
      </c>
      <c r="C26106" s="30" t="s">
        <v>57420</v>
      </c>
      <c r="D26106" s="30" t="s">
        <v>17</v>
      </c>
      <c r="E26106" s="30" t="s">
        <v>67</v>
      </c>
      <c r="F26106" s="30" t="s">
        <v>68</v>
      </c>
      <c r="G26106" s="30" t="s">
        <v>140</v>
      </c>
      <c r="H26106" s="32">
        <v>160</v>
      </c>
      <c r="I26106" s="30" t="s">
        <v>51</v>
      </c>
      <c r="J26106" s="41">
        <v>46092</v>
      </c>
      <c r="K26106" s="30" t="s">
        <v>22</v>
      </c>
    </row>
    <row r="26107" spans="1:11">
      <c r="A26107" s="33" t="s">
        <v>57421</v>
      </c>
      <c r="B26107" s="33" t="s">
        <v>57422</v>
      </c>
      <c r="C26107" s="33" t="s">
        <v>5050</v>
      </c>
      <c r="D26107" s="33" t="s">
        <v>17</v>
      </c>
      <c r="E26107" s="33" t="s">
        <v>26</v>
      </c>
      <c r="F26107" s="33" t="s">
        <v>27</v>
      </c>
      <c r="G26107" s="33" t="s">
        <v>20</v>
      </c>
      <c r="H26107" s="35">
        <v>61</v>
      </c>
      <c r="I26107" s="33" t="s">
        <v>21</v>
      </c>
      <c r="J26107" s="42">
        <v>46196</v>
      </c>
      <c r="K26107" s="33" t="s">
        <v>22</v>
      </c>
    </row>
    <row r="26108" spans="1:11">
      <c r="A26108" s="30" t="s">
        <v>57423</v>
      </c>
      <c r="B26108" s="30" t="s">
        <v>57424</v>
      </c>
      <c r="C26108" s="30" t="s">
        <v>57425</v>
      </c>
      <c r="D26108" s="30" t="s">
        <v>17</v>
      </c>
      <c r="E26108" s="30" t="s">
        <v>31</v>
      </c>
      <c r="F26108" s="30" t="s">
        <v>32</v>
      </c>
      <c r="G26108" s="30" t="s">
        <v>140</v>
      </c>
      <c r="H26108" s="32">
        <v>150</v>
      </c>
      <c r="I26108" s="30" t="s">
        <v>51</v>
      </c>
      <c r="J26108" s="41">
        <v>46192</v>
      </c>
      <c r="K26108" s="30" t="s">
        <v>22</v>
      </c>
    </row>
    <row r="26109" spans="1:11">
      <c r="A26109" s="33" t="s">
        <v>57426</v>
      </c>
      <c r="B26109" s="33" t="s">
        <v>57427</v>
      </c>
      <c r="C26109" s="33" t="s">
        <v>2807</v>
      </c>
      <c r="D26109" s="33" t="s">
        <v>17</v>
      </c>
      <c r="E26109" s="33" t="s">
        <v>26</v>
      </c>
      <c r="F26109" s="33" t="s">
        <v>27</v>
      </c>
      <c r="G26109" s="33" t="s">
        <v>140</v>
      </c>
      <c r="H26109" s="35">
        <v>24</v>
      </c>
      <c r="I26109" s="33" t="s">
        <v>51</v>
      </c>
      <c r="J26109" s="42">
        <v>46190</v>
      </c>
      <c r="K26109" s="33" t="s">
        <v>22</v>
      </c>
    </row>
    <row r="26110" spans="1:11">
      <c r="A26110" s="30" t="s">
        <v>57428</v>
      </c>
      <c r="B26110" s="30" t="s">
        <v>57429</v>
      </c>
      <c r="C26110" s="30" t="s">
        <v>231</v>
      </c>
      <c r="D26110" s="30" t="s">
        <v>17</v>
      </c>
      <c r="E26110" s="30" t="s">
        <v>18</v>
      </c>
      <c r="F26110" s="30" t="s">
        <v>19</v>
      </c>
      <c r="G26110" s="30" t="s">
        <v>140</v>
      </c>
      <c r="H26110" s="32">
        <v>670</v>
      </c>
      <c r="I26110" s="30" t="s">
        <v>51</v>
      </c>
      <c r="J26110" s="41">
        <v>46125</v>
      </c>
      <c r="K26110" s="30" t="s">
        <v>22</v>
      </c>
    </row>
    <row r="26111" spans="1:11">
      <c r="A26111" s="33" t="s">
        <v>57430</v>
      </c>
      <c r="B26111" s="33" t="s">
        <v>57431</v>
      </c>
      <c r="C26111" s="33" t="s">
        <v>1923</v>
      </c>
      <c r="D26111" s="33" t="s">
        <v>17</v>
      </c>
      <c r="E26111" s="33" t="s">
        <v>45</v>
      </c>
      <c r="F26111" s="33" t="s">
        <v>46</v>
      </c>
      <c r="G26111" s="33" t="s">
        <v>140</v>
      </c>
      <c r="H26111" s="35">
        <v>1000</v>
      </c>
      <c r="I26111" s="33" t="s">
        <v>51</v>
      </c>
      <c r="J26111" s="42">
        <v>46132</v>
      </c>
      <c r="K26111" s="33" t="s">
        <v>22</v>
      </c>
    </row>
    <row r="26112" spans="1:11">
      <c r="A26112" s="30" t="s">
        <v>57432</v>
      </c>
      <c r="B26112" s="30" t="s">
        <v>57433</v>
      </c>
      <c r="C26112" s="30" t="s">
        <v>353</v>
      </c>
      <c r="D26112" s="30" t="s">
        <v>17</v>
      </c>
      <c r="E26112" s="30" t="s">
        <v>26</v>
      </c>
      <c r="F26112" s="30" t="s">
        <v>27</v>
      </c>
      <c r="G26112" s="30" t="s">
        <v>7780</v>
      </c>
      <c r="H26112" s="32">
        <v>60</v>
      </c>
      <c r="I26112" s="30" t="s">
        <v>51</v>
      </c>
      <c r="J26112" s="41">
        <v>46023</v>
      </c>
      <c r="K26112" s="30" t="s">
        <v>22</v>
      </c>
    </row>
    <row r="26113" spans="1:11">
      <c r="A26113" s="33" t="s">
        <v>57434</v>
      </c>
      <c r="B26113" s="33" t="s">
        <v>57435</v>
      </c>
      <c r="C26113" s="33" t="s">
        <v>44730</v>
      </c>
      <c r="D26113" s="33" t="s">
        <v>17</v>
      </c>
      <c r="E26113" s="33" t="s">
        <v>26</v>
      </c>
      <c r="F26113" s="33" t="s">
        <v>27</v>
      </c>
      <c r="G26113" s="33" t="s">
        <v>7780</v>
      </c>
      <c r="H26113" s="35">
        <v>78</v>
      </c>
      <c r="I26113" s="33" t="s">
        <v>51</v>
      </c>
      <c r="J26113" s="42">
        <v>46174</v>
      </c>
      <c r="K26113" s="33" t="s">
        <v>22</v>
      </c>
    </row>
    <row r="26114" spans="1:11">
      <c r="A26114" s="30" t="s">
        <v>57436</v>
      </c>
      <c r="B26114" s="30" t="s">
        <v>57437</v>
      </c>
      <c r="C26114" s="30" t="s">
        <v>37411</v>
      </c>
      <c r="D26114" s="30" t="s">
        <v>17</v>
      </c>
      <c r="E26114" s="30" t="s">
        <v>18</v>
      </c>
      <c r="F26114" s="30" t="s">
        <v>19</v>
      </c>
      <c r="G26114" s="30" t="s">
        <v>7780</v>
      </c>
      <c r="H26114" s="32">
        <v>738</v>
      </c>
      <c r="I26114" s="30" t="s">
        <v>51</v>
      </c>
      <c r="J26114" s="41">
        <v>46054</v>
      </c>
      <c r="K26114" s="30" t="s">
        <v>22</v>
      </c>
    </row>
    <row r="26115" spans="1:11">
      <c r="A26115" s="33" t="s">
        <v>57438</v>
      </c>
      <c r="B26115" s="33" t="s">
        <v>57439</v>
      </c>
      <c r="C26115" s="33" t="s">
        <v>22647</v>
      </c>
      <c r="D26115" s="33" t="s">
        <v>17</v>
      </c>
      <c r="E26115" s="33" t="s">
        <v>18</v>
      </c>
      <c r="F26115" s="33" t="s">
        <v>19</v>
      </c>
      <c r="G26115" s="33" t="s">
        <v>140</v>
      </c>
      <c r="H26115" s="35">
        <v>1800</v>
      </c>
      <c r="I26115" s="33" t="s">
        <v>51</v>
      </c>
      <c r="J26115" s="42">
        <v>46204</v>
      </c>
      <c r="K26115" s="33" t="s">
        <v>22</v>
      </c>
    </row>
    <row r="26116" spans="1:11">
      <c r="A26116" s="30" t="s">
        <v>57440</v>
      </c>
      <c r="B26116" s="30" t="s">
        <v>57441</v>
      </c>
      <c r="C26116" s="30" t="s">
        <v>2812</v>
      </c>
      <c r="D26116" s="30" t="s">
        <v>17</v>
      </c>
      <c r="E26116" s="30" t="s">
        <v>18</v>
      </c>
      <c r="F26116" s="30" t="s">
        <v>19</v>
      </c>
      <c r="G26116" s="30" t="s">
        <v>140</v>
      </c>
      <c r="H26116" s="32">
        <v>468</v>
      </c>
      <c r="I26116" s="30" t="s">
        <v>51</v>
      </c>
      <c r="J26116" s="41">
        <v>46209</v>
      </c>
      <c r="K26116" s="30" t="s">
        <v>22</v>
      </c>
    </row>
    <row r="26117" spans="1:11">
      <c r="A26117" s="33" t="s">
        <v>57442</v>
      </c>
      <c r="B26117" s="33" t="s">
        <v>57443</v>
      </c>
      <c r="C26117" s="33" t="s">
        <v>1661</v>
      </c>
      <c r="D26117" s="33" t="s">
        <v>17</v>
      </c>
      <c r="E26117" s="33" t="s">
        <v>18</v>
      </c>
      <c r="F26117" s="33" t="s">
        <v>19</v>
      </c>
      <c r="G26117" s="33" t="s">
        <v>140</v>
      </c>
      <c r="H26117" s="35">
        <v>141</v>
      </c>
      <c r="I26117" s="33" t="s">
        <v>51</v>
      </c>
      <c r="J26117" s="42">
        <v>46042</v>
      </c>
      <c r="K26117" s="33" t="s">
        <v>22</v>
      </c>
    </row>
    <row r="26118" spans="1:11">
      <c r="A26118" s="30" t="s">
        <v>57444</v>
      </c>
      <c r="B26118" s="30" t="s">
        <v>57445</v>
      </c>
      <c r="C26118" s="30" t="s">
        <v>3647</v>
      </c>
      <c r="D26118" s="30" t="s">
        <v>17</v>
      </c>
      <c r="E26118" s="30" t="s">
        <v>212</v>
      </c>
      <c r="F26118" s="30" t="s">
        <v>213</v>
      </c>
      <c r="G26118" s="30" t="s">
        <v>140</v>
      </c>
      <c r="H26118" s="32">
        <v>644</v>
      </c>
      <c r="I26118" s="30" t="s">
        <v>51</v>
      </c>
      <c r="J26118" s="41">
        <v>46201</v>
      </c>
      <c r="K26118" s="30" t="s">
        <v>22</v>
      </c>
    </row>
    <row r="26119" spans="1:11">
      <c r="A26119" s="33" t="s">
        <v>57446</v>
      </c>
      <c r="B26119" s="33" t="s">
        <v>57447</v>
      </c>
      <c r="C26119" s="33" t="s">
        <v>57448</v>
      </c>
      <c r="D26119" s="33" t="s">
        <v>17</v>
      </c>
      <c r="E26119" s="33" t="s">
        <v>67</v>
      </c>
      <c r="F26119" s="33" t="s">
        <v>68</v>
      </c>
      <c r="G26119" s="33" t="s">
        <v>140</v>
      </c>
      <c r="H26119" s="35">
        <v>24</v>
      </c>
      <c r="I26119" s="33" t="s">
        <v>51</v>
      </c>
      <c r="J26119" s="42">
        <v>46023</v>
      </c>
      <c r="K26119" s="33" t="s">
        <v>22</v>
      </c>
    </row>
    <row r="26120" spans="1:11">
      <c r="A26120" s="30" t="s">
        <v>57449</v>
      </c>
      <c r="B26120" s="30" t="s">
        <v>57450</v>
      </c>
      <c r="C26120" s="30" t="s">
        <v>1154</v>
      </c>
      <c r="D26120" s="30" t="s">
        <v>17</v>
      </c>
      <c r="E26120" s="30" t="s">
        <v>18</v>
      </c>
      <c r="F26120" s="30" t="s">
        <v>19</v>
      </c>
      <c r="G26120" s="30" t="s">
        <v>112</v>
      </c>
      <c r="H26120" s="32">
        <v>0</v>
      </c>
      <c r="I26120" s="30" t="s">
        <v>21</v>
      </c>
      <c r="J26120" s="41">
        <v>46113</v>
      </c>
      <c r="K26120" s="30" t="s">
        <v>22</v>
      </c>
    </row>
    <row r="26121" spans="1:11">
      <c r="A26121" s="33" t="s">
        <v>57451</v>
      </c>
      <c r="B26121" s="33" t="s">
        <v>57452</v>
      </c>
      <c r="C26121" s="33" t="s">
        <v>3013</v>
      </c>
      <c r="D26121" s="33" t="s">
        <v>17</v>
      </c>
      <c r="E26121" s="33" t="s">
        <v>18</v>
      </c>
      <c r="F26121" s="33" t="s">
        <v>19</v>
      </c>
      <c r="G26121" s="33" t="s">
        <v>7780</v>
      </c>
      <c r="H26121" s="35">
        <v>183</v>
      </c>
      <c r="I26121" s="33" t="s">
        <v>51</v>
      </c>
      <c r="J26121" s="42">
        <v>46150</v>
      </c>
      <c r="K26121" s="33" t="s">
        <v>22</v>
      </c>
    </row>
    <row r="26122" spans="1:11">
      <c r="A26122" s="30" t="s">
        <v>57453</v>
      </c>
      <c r="B26122" s="30" t="s">
        <v>57454</v>
      </c>
      <c r="C26122" s="30" t="s">
        <v>252</v>
      </c>
      <c r="D26122" s="30" t="s">
        <v>17</v>
      </c>
      <c r="E26122" s="30" t="s">
        <v>18</v>
      </c>
      <c r="F26122" s="30" t="s">
        <v>19</v>
      </c>
      <c r="G26122" s="30" t="s">
        <v>140</v>
      </c>
      <c r="H26122" s="32">
        <v>386</v>
      </c>
      <c r="I26122" s="30" t="s">
        <v>51</v>
      </c>
      <c r="J26122" s="41">
        <v>46127</v>
      </c>
      <c r="K26122" s="30" t="s">
        <v>22</v>
      </c>
    </row>
    <row r="26123" spans="1:11">
      <c r="A26123" s="33" t="s">
        <v>57455</v>
      </c>
      <c r="B26123" s="33" t="s">
        <v>57456</v>
      </c>
      <c r="C26123" s="33" t="s">
        <v>44</v>
      </c>
      <c r="D26123" s="33" t="s">
        <v>17</v>
      </c>
      <c r="E26123" s="33" t="s">
        <v>67</v>
      </c>
      <c r="F26123" s="33" t="s">
        <v>68</v>
      </c>
      <c r="G26123" s="33" t="s">
        <v>7780</v>
      </c>
      <c r="H26123" s="35">
        <v>271</v>
      </c>
      <c r="I26123" s="33" t="s">
        <v>51</v>
      </c>
      <c r="J26123" s="42">
        <v>46226</v>
      </c>
      <c r="K26123" s="33" t="s">
        <v>22</v>
      </c>
    </row>
    <row r="26124" spans="1:11">
      <c r="A26124" s="30" t="s">
        <v>57457</v>
      </c>
      <c r="B26124" s="30" t="s">
        <v>57458</v>
      </c>
      <c r="C26124" s="30" t="s">
        <v>24478</v>
      </c>
      <c r="D26124" s="30" t="s">
        <v>17</v>
      </c>
      <c r="E26124" s="30" t="s">
        <v>18</v>
      </c>
      <c r="F26124" s="30" t="s">
        <v>19</v>
      </c>
      <c r="G26124" s="30" t="s">
        <v>140</v>
      </c>
      <c r="H26124" s="32">
        <v>120</v>
      </c>
      <c r="I26124" s="30" t="s">
        <v>51</v>
      </c>
      <c r="J26124" s="41">
        <v>46072</v>
      </c>
      <c r="K26124" s="30" t="s">
        <v>22</v>
      </c>
    </row>
    <row r="26125" spans="1:11">
      <c r="A26125" s="33" t="s">
        <v>57459</v>
      </c>
      <c r="B26125" s="33" t="s">
        <v>57460</v>
      </c>
      <c r="C26125" s="33" t="s">
        <v>5757</v>
      </c>
      <c r="D26125" s="33" t="s">
        <v>17</v>
      </c>
      <c r="E26125" s="33" t="s">
        <v>31</v>
      </c>
      <c r="F26125" s="33" t="s">
        <v>32</v>
      </c>
      <c r="G26125" s="33" t="s">
        <v>7780</v>
      </c>
      <c r="H26125" s="35">
        <v>50</v>
      </c>
      <c r="I26125" s="33" t="s">
        <v>51</v>
      </c>
      <c r="J26125" s="42">
        <v>46113</v>
      </c>
      <c r="K26125" s="33" t="s">
        <v>22</v>
      </c>
    </row>
    <row r="26126" spans="1:11">
      <c r="A26126" s="30" t="s">
        <v>57461</v>
      </c>
      <c r="B26126" s="30" t="s">
        <v>57462</v>
      </c>
      <c r="C26126" s="30" t="s">
        <v>56957</v>
      </c>
      <c r="D26126" s="30" t="s">
        <v>17</v>
      </c>
      <c r="E26126" s="30" t="s">
        <v>67</v>
      </c>
      <c r="F26126" s="30" t="s">
        <v>68</v>
      </c>
      <c r="G26126" s="30" t="s">
        <v>140</v>
      </c>
      <c r="H26126" s="32">
        <v>60</v>
      </c>
      <c r="I26126" s="30" t="s">
        <v>51</v>
      </c>
      <c r="J26126" s="41">
        <v>46083</v>
      </c>
      <c r="K26126" s="30" t="s">
        <v>22</v>
      </c>
    </row>
    <row r="26127" spans="1:11">
      <c r="A26127" s="33" t="s">
        <v>57463</v>
      </c>
      <c r="B26127" s="33" t="s">
        <v>57464</v>
      </c>
      <c r="C26127" s="33" t="s">
        <v>7201</v>
      </c>
      <c r="D26127" s="33" t="s">
        <v>17</v>
      </c>
      <c r="E26127" s="33" t="s">
        <v>18</v>
      </c>
      <c r="F26127" s="33" t="s">
        <v>19</v>
      </c>
      <c r="G26127" s="33" t="s">
        <v>7780</v>
      </c>
      <c r="H26127" s="35">
        <v>600</v>
      </c>
      <c r="I26127" s="33" t="s">
        <v>51</v>
      </c>
      <c r="J26127" s="42">
        <v>46113</v>
      </c>
      <c r="K26127" s="33" t="s">
        <v>22</v>
      </c>
    </row>
    <row r="26128" spans="1:11">
      <c r="A26128" s="30" t="s">
        <v>57465</v>
      </c>
      <c r="B26128" s="30" t="s">
        <v>57466</v>
      </c>
      <c r="C26128" s="30" t="s">
        <v>19406</v>
      </c>
      <c r="D26128" s="30" t="s">
        <v>17</v>
      </c>
      <c r="E26128" s="30" t="s">
        <v>31</v>
      </c>
      <c r="F26128" s="30" t="s">
        <v>32</v>
      </c>
      <c r="G26128" s="30" t="s">
        <v>140</v>
      </c>
      <c r="H26128" s="32">
        <v>350</v>
      </c>
      <c r="I26128" s="30" t="s">
        <v>51</v>
      </c>
      <c r="J26128" s="41">
        <v>46113</v>
      </c>
      <c r="K26128" s="30" t="s">
        <v>22</v>
      </c>
    </row>
    <row r="26129" spans="1:11">
      <c r="A26129" s="33" t="s">
        <v>57467</v>
      </c>
      <c r="B26129" s="33" t="s">
        <v>57468</v>
      </c>
      <c r="C26129" s="33" t="s">
        <v>190</v>
      </c>
      <c r="D26129" s="33" t="s">
        <v>17</v>
      </c>
      <c r="E26129" s="33" t="s">
        <v>31</v>
      </c>
      <c r="F26129" s="33" t="s">
        <v>32</v>
      </c>
      <c r="G26129" s="33" t="s">
        <v>158</v>
      </c>
      <c r="H26129" s="35">
        <v>326</v>
      </c>
      <c r="I26129" s="33" t="s">
        <v>51</v>
      </c>
      <c r="J26129" s="42">
        <v>46184</v>
      </c>
      <c r="K26129" s="33" t="s">
        <v>22</v>
      </c>
    </row>
    <row r="26130" spans="1:11">
      <c r="A26130" s="30" t="s">
        <v>57469</v>
      </c>
      <c r="B26130" s="30" t="s">
        <v>57470</v>
      </c>
      <c r="C26130" s="30" t="s">
        <v>57471</v>
      </c>
      <c r="D26130" s="30" t="s">
        <v>17</v>
      </c>
      <c r="E26130" s="30" t="s">
        <v>26</v>
      </c>
      <c r="F26130" s="30" t="s">
        <v>27</v>
      </c>
      <c r="G26130" s="30" t="s">
        <v>7780</v>
      </c>
      <c r="H26130" s="32">
        <v>42</v>
      </c>
      <c r="I26130" s="30" t="s">
        <v>51</v>
      </c>
      <c r="J26130" s="41">
        <v>46113</v>
      </c>
      <c r="K26130" s="30" t="s">
        <v>22</v>
      </c>
    </row>
    <row r="26131" spans="1:11">
      <c r="A26131" s="33" t="s">
        <v>57472</v>
      </c>
      <c r="B26131" s="33" t="s">
        <v>57473</v>
      </c>
      <c r="C26131" s="33" t="s">
        <v>75</v>
      </c>
      <c r="D26131" s="33" t="s">
        <v>17</v>
      </c>
      <c r="E26131" s="33" t="s">
        <v>26</v>
      </c>
      <c r="F26131" s="33" t="s">
        <v>27</v>
      </c>
      <c r="G26131" s="33" t="s">
        <v>140</v>
      </c>
      <c r="H26131" s="35">
        <v>46</v>
      </c>
      <c r="I26131" s="33" t="s">
        <v>51</v>
      </c>
      <c r="J26131" s="42">
        <v>46080</v>
      </c>
      <c r="K26131" s="33" t="s">
        <v>22</v>
      </c>
    </row>
    <row r="26132" spans="1:11">
      <c r="A26132" s="30" t="s">
        <v>57474</v>
      </c>
      <c r="B26132" s="30" t="s">
        <v>57475</v>
      </c>
      <c r="C26132" s="30" t="s">
        <v>40072</v>
      </c>
      <c r="D26132" s="30" t="s">
        <v>17</v>
      </c>
      <c r="E26132" s="30" t="s">
        <v>18</v>
      </c>
      <c r="F26132" s="30" t="s">
        <v>19</v>
      </c>
      <c r="G26132" s="30" t="s">
        <v>7780</v>
      </c>
      <c r="H26132" s="32">
        <v>365</v>
      </c>
      <c r="I26132" s="30" t="s">
        <v>51</v>
      </c>
      <c r="J26132" s="41">
        <v>46174</v>
      </c>
      <c r="K26132" s="30" t="s">
        <v>22</v>
      </c>
    </row>
    <row r="26133" spans="1:11">
      <c r="A26133" s="33" t="s">
        <v>57476</v>
      </c>
      <c r="B26133" s="33" t="s">
        <v>57477</v>
      </c>
      <c r="C26133" s="33" t="s">
        <v>5401</v>
      </c>
      <c r="D26133" s="33" t="s">
        <v>17</v>
      </c>
      <c r="E26133" s="33" t="s">
        <v>26</v>
      </c>
      <c r="F26133" s="33" t="s">
        <v>27</v>
      </c>
      <c r="G26133" s="33" t="s">
        <v>140</v>
      </c>
      <c r="H26133" s="35">
        <v>32</v>
      </c>
      <c r="I26133" s="33" t="s">
        <v>51</v>
      </c>
      <c r="J26133" s="42">
        <v>46154</v>
      </c>
      <c r="K26133" s="33" t="s">
        <v>22</v>
      </c>
    </row>
    <row r="26134" spans="1:11">
      <c r="A26134" s="30" t="s">
        <v>57478</v>
      </c>
      <c r="B26134" s="30" t="s">
        <v>57479</v>
      </c>
      <c r="C26134" s="30" t="s">
        <v>44</v>
      </c>
      <c r="D26134" s="30" t="s">
        <v>17</v>
      </c>
      <c r="E26134" s="30" t="s">
        <v>45</v>
      </c>
      <c r="F26134" s="30" t="s">
        <v>46</v>
      </c>
      <c r="G26134" s="30" t="s">
        <v>112</v>
      </c>
      <c r="H26134" s="32">
        <v>0</v>
      </c>
      <c r="I26134" s="30" t="s">
        <v>21</v>
      </c>
      <c r="J26134" s="41">
        <v>46178</v>
      </c>
      <c r="K26134" s="30" t="s">
        <v>22</v>
      </c>
    </row>
    <row r="26135" spans="1:11">
      <c r="A26135" s="33" t="s">
        <v>57480</v>
      </c>
      <c r="B26135" s="33" t="s">
        <v>57481</v>
      </c>
      <c r="C26135" s="33" t="s">
        <v>647</v>
      </c>
      <c r="D26135" s="33" t="s">
        <v>17</v>
      </c>
      <c r="E26135" s="33" t="s">
        <v>31</v>
      </c>
      <c r="F26135" s="33" t="s">
        <v>32</v>
      </c>
      <c r="G26135" s="33" t="s">
        <v>140</v>
      </c>
      <c r="H26135" s="35">
        <v>100</v>
      </c>
      <c r="I26135" s="33" t="s">
        <v>51</v>
      </c>
      <c r="J26135" s="42">
        <v>46105</v>
      </c>
      <c r="K26135" s="33" t="s">
        <v>22</v>
      </c>
    </row>
    <row r="26136" spans="1:11">
      <c r="A26136" s="30" t="s">
        <v>57482</v>
      </c>
      <c r="B26136" s="30" t="s">
        <v>57483</v>
      </c>
      <c r="C26136" s="30" t="s">
        <v>12879</v>
      </c>
      <c r="D26136" s="30" t="s">
        <v>17</v>
      </c>
      <c r="E26136" s="30" t="s">
        <v>31</v>
      </c>
      <c r="F26136" s="30" t="s">
        <v>32</v>
      </c>
      <c r="G26136" s="30" t="s">
        <v>140</v>
      </c>
      <c r="H26136" s="32">
        <v>200</v>
      </c>
      <c r="I26136" s="30" t="s">
        <v>51</v>
      </c>
      <c r="J26136" s="41">
        <v>46043</v>
      </c>
      <c r="K26136" s="30" t="s">
        <v>22</v>
      </c>
    </row>
    <row r="26137" spans="1:11">
      <c r="A26137" s="33" t="s">
        <v>57484</v>
      </c>
      <c r="B26137" s="33" t="s">
        <v>57485</v>
      </c>
      <c r="C26137" s="33" t="s">
        <v>57486</v>
      </c>
      <c r="D26137" s="33" t="s">
        <v>17</v>
      </c>
      <c r="E26137" s="33" t="s">
        <v>330</v>
      </c>
      <c r="F26137" s="33" t="s">
        <v>331</v>
      </c>
      <c r="G26137" s="33" t="s">
        <v>140</v>
      </c>
      <c r="H26137" s="35">
        <v>25</v>
      </c>
      <c r="I26137" s="33" t="s">
        <v>51</v>
      </c>
      <c r="J26137" s="42">
        <v>46138</v>
      </c>
      <c r="K26137" s="33" t="s">
        <v>22</v>
      </c>
    </row>
    <row r="26138" spans="1:11">
      <c r="A26138" s="30" t="s">
        <v>57487</v>
      </c>
      <c r="B26138" s="30" t="s">
        <v>57488</v>
      </c>
      <c r="C26138" s="30" t="s">
        <v>13241</v>
      </c>
      <c r="D26138" s="30" t="s">
        <v>17</v>
      </c>
      <c r="E26138" s="30" t="s">
        <v>67</v>
      </c>
      <c r="F26138" s="30" t="s">
        <v>68</v>
      </c>
      <c r="G26138" s="30" t="s">
        <v>140</v>
      </c>
      <c r="H26138" s="32">
        <v>60</v>
      </c>
      <c r="I26138" s="30" t="s">
        <v>51</v>
      </c>
      <c r="J26138" s="41">
        <v>46030</v>
      </c>
      <c r="K26138" s="30" t="s">
        <v>22</v>
      </c>
    </row>
    <row r="26139" spans="1:11">
      <c r="A26139" s="33" t="s">
        <v>57489</v>
      </c>
      <c r="B26139" s="33" t="s">
        <v>57490</v>
      </c>
      <c r="C26139" s="33" t="s">
        <v>96</v>
      </c>
      <c r="D26139" s="33" t="s">
        <v>17</v>
      </c>
      <c r="E26139" s="33" t="s">
        <v>26</v>
      </c>
      <c r="F26139" s="33" t="s">
        <v>27</v>
      </c>
      <c r="G26139" s="33" t="s">
        <v>158</v>
      </c>
      <c r="H26139" s="35">
        <v>22</v>
      </c>
      <c r="I26139" s="33" t="s">
        <v>21</v>
      </c>
      <c r="J26139" s="42">
        <v>46112</v>
      </c>
      <c r="K26139" s="33" t="s">
        <v>22</v>
      </c>
    </row>
    <row r="26140" spans="1:11">
      <c r="A26140" s="30" t="s">
        <v>57491</v>
      </c>
      <c r="B26140" s="30" t="s">
        <v>57492</v>
      </c>
      <c r="C26140" s="30" t="s">
        <v>50689</v>
      </c>
      <c r="D26140" s="30" t="s">
        <v>17</v>
      </c>
      <c r="E26140" s="30" t="s">
        <v>330</v>
      </c>
      <c r="F26140" s="30" t="s">
        <v>331</v>
      </c>
      <c r="G26140" s="30" t="s">
        <v>2613</v>
      </c>
      <c r="H26140" s="32">
        <v>40</v>
      </c>
      <c r="I26140" s="30" t="s">
        <v>51</v>
      </c>
      <c r="J26140" s="41">
        <v>46055</v>
      </c>
      <c r="K26140" s="30" t="s">
        <v>22</v>
      </c>
    </row>
    <row r="26141" spans="1:11">
      <c r="A26141" s="33" t="s">
        <v>57493</v>
      </c>
      <c r="B26141" s="33" t="s">
        <v>57494</v>
      </c>
      <c r="C26141" s="33" t="s">
        <v>2313</v>
      </c>
      <c r="D26141" s="33" t="s">
        <v>17</v>
      </c>
      <c r="E26141" s="33" t="s">
        <v>26</v>
      </c>
      <c r="F26141" s="33" t="s">
        <v>27</v>
      </c>
      <c r="G26141" s="33" t="s">
        <v>140</v>
      </c>
      <c r="H26141" s="35">
        <v>136</v>
      </c>
      <c r="I26141" s="33" t="s">
        <v>51</v>
      </c>
      <c r="J26141" s="42">
        <v>46035</v>
      </c>
      <c r="K26141" s="33" t="s">
        <v>22</v>
      </c>
    </row>
    <row r="26142" spans="1:11">
      <c r="A26142" s="30" t="s">
        <v>57495</v>
      </c>
      <c r="B26142" s="30" t="s">
        <v>57496</v>
      </c>
      <c r="C26142" s="30" t="s">
        <v>23333</v>
      </c>
      <c r="D26142" s="30" t="s">
        <v>17</v>
      </c>
      <c r="E26142" s="30" t="s">
        <v>67</v>
      </c>
      <c r="F26142" s="30" t="s">
        <v>68</v>
      </c>
      <c r="G26142" s="30" t="s">
        <v>2613</v>
      </c>
      <c r="H26142" s="32">
        <v>30</v>
      </c>
      <c r="I26142" s="30" t="s">
        <v>51</v>
      </c>
      <c r="J26142" s="41">
        <v>46086</v>
      </c>
      <c r="K26142" s="30" t="s">
        <v>22</v>
      </c>
    </row>
    <row r="26143" spans="1:11">
      <c r="A26143" s="33" t="s">
        <v>57497</v>
      </c>
      <c r="B26143" s="33" t="s">
        <v>57498</v>
      </c>
      <c r="C26143" s="33" t="s">
        <v>21691</v>
      </c>
      <c r="D26143" s="33" t="s">
        <v>17</v>
      </c>
      <c r="E26143" s="33" t="s">
        <v>26</v>
      </c>
      <c r="F26143" s="33" t="s">
        <v>27</v>
      </c>
      <c r="G26143" s="33" t="s">
        <v>140</v>
      </c>
      <c r="H26143" s="35">
        <v>14</v>
      </c>
      <c r="I26143" s="33" t="s">
        <v>51</v>
      </c>
      <c r="J26143" s="42">
        <v>46198</v>
      </c>
      <c r="K26143" s="33" t="s">
        <v>22</v>
      </c>
    </row>
    <row r="26144" spans="1:11">
      <c r="A26144" s="30" t="s">
        <v>57499</v>
      </c>
      <c r="B26144" s="30" t="s">
        <v>57500</v>
      </c>
      <c r="C26144" s="30" t="s">
        <v>969</v>
      </c>
      <c r="D26144" s="30" t="s">
        <v>17</v>
      </c>
      <c r="E26144" s="30" t="s">
        <v>26</v>
      </c>
      <c r="F26144" s="30" t="s">
        <v>27</v>
      </c>
      <c r="G26144" s="30" t="s">
        <v>158</v>
      </c>
      <c r="H26144" s="32">
        <v>121</v>
      </c>
      <c r="I26144" s="30" t="s">
        <v>21</v>
      </c>
      <c r="J26144" s="41">
        <v>46091</v>
      </c>
      <c r="K26144" s="30" t="s">
        <v>22</v>
      </c>
    </row>
    <row r="26145" spans="1:11">
      <c r="A26145" s="33" t="s">
        <v>57501</v>
      </c>
      <c r="B26145" s="33" t="s">
        <v>57502</v>
      </c>
      <c r="C26145" s="33" t="s">
        <v>1270</v>
      </c>
      <c r="D26145" s="33" t="s">
        <v>17</v>
      </c>
      <c r="E26145" s="33" t="s">
        <v>26</v>
      </c>
      <c r="F26145" s="33" t="s">
        <v>27</v>
      </c>
      <c r="G26145" s="33" t="s">
        <v>7780</v>
      </c>
      <c r="H26145" s="35">
        <v>362</v>
      </c>
      <c r="I26145" s="33" t="s">
        <v>51</v>
      </c>
      <c r="J26145" s="42">
        <v>46177</v>
      </c>
      <c r="K26145" s="33" t="s">
        <v>22</v>
      </c>
    </row>
    <row r="26146" spans="1:11">
      <c r="A26146" s="30" t="s">
        <v>57503</v>
      </c>
      <c r="B26146" s="30" t="s">
        <v>57504</v>
      </c>
      <c r="C26146" s="30" t="s">
        <v>1808</v>
      </c>
      <c r="D26146" s="30" t="s">
        <v>17</v>
      </c>
      <c r="E26146" s="30" t="s">
        <v>67</v>
      </c>
      <c r="F26146" s="30" t="s">
        <v>68</v>
      </c>
      <c r="G26146" s="30" t="s">
        <v>7780</v>
      </c>
      <c r="H26146" s="32">
        <v>219</v>
      </c>
      <c r="I26146" s="30" t="s">
        <v>51</v>
      </c>
      <c r="J26146" s="41">
        <v>46023</v>
      </c>
      <c r="K26146" s="30" t="s">
        <v>22</v>
      </c>
    </row>
    <row r="26147" spans="1:11">
      <c r="A26147" s="33" t="s">
        <v>57505</v>
      </c>
      <c r="B26147" s="33" t="s">
        <v>57506</v>
      </c>
      <c r="C26147" s="33" t="s">
        <v>32002</v>
      </c>
      <c r="D26147" s="33" t="s">
        <v>17</v>
      </c>
      <c r="E26147" s="33" t="s">
        <v>330</v>
      </c>
      <c r="F26147" s="33" t="s">
        <v>331</v>
      </c>
      <c r="G26147" s="33" t="s">
        <v>7780</v>
      </c>
      <c r="H26147" s="35">
        <v>10</v>
      </c>
      <c r="I26147" s="33" t="s">
        <v>51</v>
      </c>
      <c r="J26147" s="42">
        <v>46113</v>
      </c>
      <c r="K26147" s="33" t="s">
        <v>22</v>
      </c>
    </row>
    <row r="26148" spans="1:11">
      <c r="A26148" s="30" t="s">
        <v>57507</v>
      </c>
      <c r="B26148" s="30" t="s">
        <v>57508</v>
      </c>
      <c r="C26148" s="30" t="s">
        <v>4056</v>
      </c>
      <c r="D26148" s="30" t="s">
        <v>17</v>
      </c>
      <c r="E26148" s="30" t="s">
        <v>31</v>
      </c>
      <c r="F26148" s="30" t="s">
        <v>32</v>
      </c>
      <c r="G26148" s="30" t="s">
        <v>140</v>
      </c>
      <c r="H26148" s="32">
        <v>324</v>
      </c>
      <c r="I26148" s="30" t="s">
        <v>51</v>
      </c>
      <c r="J26148" s="41">
        <v>46030</v>
      </c>
      <c r="K26148" s="30" t="s">
        <v>22</v>
      </c>
    </row>
    <row r="26149" spans="1:11">
      <c r="A26149" s="33" t="s">
        <v>57509</v>
      </c>
      <c r="B26149" s="33" t="s">
        <v>57510</v>
      </c>
      <c r="C26149" s="33" t="s">
        <v>2812</v>
      </c>
      <c r="D26149" s="33" t="s">
        <v>17</v>
      </c>
      <c r="E26149" s="33" t="s">
        <v>18</v>
      </c>
      <c r="F26149" s="33" t="s">
        <v>19</v>
      </c>
      <c r="G26149" s="33" t="s">
        <v>2613</v>
      </c>
      <c r="H26149" s="35">
        <v>300</v>
      </c>
      <c r="I26149" s="33" t="s">
        <v>51</v>
      </c>
      <c r="J26149" s="42">
        <v>46141</v>
      </c>
      <c r="K26149" s="33" t="s">
        <v>22</v>
      </c>
    </row>
    <row r="26150" spans="1:11">
      <c r="A26150" s="30" t="s">
        <v>57511</v>
      </c>
      <c r="B26150" s="30" t="s">
        <v>57512</v>
      </c>
      <c r="C26150" s="30" t="s">
        <v>57513</v>
      </c>
      <c r="D26150" s="30" t="s">
        <v>17</v>
      </c>
      <c r="E26150" s="30" t="s">
        <v>31</v>
      </c>
      <c r="F26150" s="30" t="s">
        <v>32</v>
      </c>
      <c r="G26150" s="30" t="s">
        <v>7780</v>
      </c>
      <c r="H26150" s="32">
        <v>200</v>
      </c>
      <c r="I26150" s="30" t="s">
        <v>51</v>
      </c>
      <c r="J26150" s="41">
        <v>46082</v>
      </c>
      <c r="K26150" s="30" t="s">
        <v>22</v>
      </c>
    </row>
    <row r="26151" spans="1:11">
      <c r="A26151" s="33" t="s">
        <v>57514</v>
      </c>
      <c r="B26151" s="33" t="s">
        <v>57515</v>
      </c>
      <c r="C26151" s="33" t="s">
        <v>4383</v>
      </c>
      <c r="D26151" s="33" t="s">
        <v>17</v>
      </c>
      <c r="E26151" s="33" t="s">
        <v>31</v>
      </c>
      <c r="F26151" s="33" t="s">
        <v>32</v>
      </c>
      <c r="G26151" s="33" t="s">
        <v>140</v>
      </c>
      <c r="H26151" s="35">
        <v>39</v>
      </c>
      <c r="I26151" s="33" t="s">
        <v>51</v>
      </c>
      <c r="J26151" s="42">
        <v>46086</v>
      </c>
      <c r="K26151" s="33" t="s">
        <v>22</v>
      </c>
    </row>
    <row r="26152" spans="1:11">
      <c r="A26152" s="30" t="s">
        <v>57516</v>
      </c>
      <c r="B26152" s="30" t="s">
        <v>57517</v>
      </c>
      <c r="C26152" s="30" t="s">
        <v>663</v>
      </c>
      <c r="D26152" s="30" t="s">
        <v>17</v>
      </c>
      <c r="E26152" s="30" t="s">
        <v>45</v>
      </c>
      <c r="F26152" s="30" t="s">
        <v>46</v>
      </c>
      <c r="G26152" s="30" t="s">
        <v>140</v>
      </c>
      <c r="H26152" s="32">
        <v>518</v>
      </c>
      <c r="I26152" s="30" t="s">
        <v>51</v>
      </c>
      <c r="J26152" s="41">
        <v>46128</v>
      </c>
      <c r="K26152" s="30" t="s">
        <v>22</v>
      </c>
    </row>
    <row r="26153" spans="1:11">
      <c r="A26153" s="33" t="s">
        <v>57518</v>
      </c>
      <c r="B26153" s="33" t="s">
        <v>57519</v>
      </c>
      <c r="C26153" s="33" t="s">
        <v>34959</v>
      </c>
      <c r="D26153" s="33" t="s">
        <v>17</v>
      </c>
      <c r="E26153" s="33" t="s">
        <v>31</v>
      </c>
      <c r="F26153" s="33" t="s">
        <v>32</v>
      </c>
      <c r="G26153" s="33" t="s">
        <v>140</v>
      </c>
      <c r="H26153" s="35">
        <v>200</v>
      </c>
      <c r="I26153" s="33" t="s">
        <v>51</v>
      </c>
      <c r="J26153" s="42">
        <v>46099</v>
      </c>
      <c r="K26153" s="33" t="s">
        <v>22</v>
      </c>
    </row>
    <row r="26154" spans="1:11">
      <c r="A26154" s="30" t="s">
        <v>57520</v>
      </c>
      <c r="B26154" s="30" t="s">
        <v>57521</v>
      </c>
      <c r="C26154" s="30" t="s">
        <v>570</v>
      </c>
      <c r="D26154" s="30" t="s">
        <v>17</v>
      </c>
      <c r="E26154" s="30" t="s">
        <v>18</v>
      </c>
      <c r="F26154" s="30" t="s">
        <v>19</v>
      </c>
      <c r="G26154" s="30" t="s">
        <v>7780</v>
      </c>
      <c r="H26154" s="32">
        <v>780</v>
      </c>
      <c r="I26154" s="30" t="s">
        <v>51</v>
      </c>
      <c r="J26154" s="41">
        <v>46082</v>
      </c>
      <c r="K26154" s="30" t="s">
        <v>22</v>
      </c>
    </row>
    <row r="26155" spans="1:11">
      <c r="A26155" s="33" t="s">
        <v>57522</v>
      </c>
      <c r="B26155" s="33" t="s">
        <v>57523</v>
      </c>
      <c r="C26155" s="33" t="s">
        <v>13867</v>
      </c>
      <c r="D26155" s="33" t="s">
        <v>17</v>
      </c>
      <c r="E26155" s="33" t="s">
        <v>31</v>
      </c>
      <c r="F26155" s="33" t="s">
        <v>32</v>
      </c>
      <c r="G26155" s="33" t="s">
        <v>140</v>
      </c>
      <c r="H26155" s="35">
        <v>135</v>
      </c>
      <c r="I26155" s="33" t="s">
        <v>51</v>
      </c>
      <c r="J26155" s="42">
        <v>46150</v>
      </c>
      <c r="K26155" s="33" t="s">
        <v>22</v>
      </c>
    </row>
    <row r="26156" spans="1:11">
      <c r="A26156" s="30" t="s">
        <v>57524</v>
      </c>
      <c r="B26156" s="30" t="s">
        <v>57525</v>
      </c>
      <c r="C26156" s="30" t="s">
        <v>3944</v>
      </c>
      <c r="D26156" s="30" t="s">
        <v>17</v>
      </c>
      <c r="E26156" s="30" t="s">
        <v>26</v>
      </c>
      <c r="F26156" s="30" t="s">
        <v>27</v>
      </c>
      <c r="G26156" s="30" t="s">
        <v>140</v>
      </c>
      <c r="H26156" s="32">
        <v>18</v>
      </c>
      <c r="I26156" s="30" t="s">
        <v>51</v>
      </c>
      <c r="J26156" s="41">
        <v>46054</v>
      </c>
      <c r="K26156" s="30" t="s">
        <v>22</v>
      </c>
    </row>
    <row r="26157" spans="1:11">
      <c r="A26157" s="33" t="s">
        <v>57526</v>
      </c>
      <c r="B26157" s="33" t="s">
        <v>57527</v>
      </c>
      <c r="C26157" s="33" t="s">
        <v>11899</v>
      </c>
      <c r="D26157" s="33" t="s">
        <v>17</v>
      </c>
      <c r="E26157" s="33" t="s">
        <v>18</v>
      </c>
      <c r="F26157" s="33" t="s">
        <v>19</v>
      </c>
      <c r="G26157" s="33" t="s">
        <v>7780</v>
      </c>
      <c r="H26157" s="35">
        <v>1000</v>
      </c>
      <c r="I26157" s="33" t="s">
        <v>51</v>
      </c>
      <c r="J26157" s="42">
        <v>46204</v>
      </c>
      <c r="K26157" s="33" t="s">
        <v>22</v>
      </c>
    </row>
    <row r="26158" spans="1:11">
      <c r="A26158" s="30" t="s">
        <v>57528</v>
      </c>
      <c r="B26158" s="30" t="s">
        <v>57529</v>
      </c>
      <c r="C26158" s="30" t="s">
        <v>44</v>
      </c>
      <c r="D26158" s="30" t="s">
        <v>17</v>
      </c>
      <c r="E26158" s="30" t="s">
        <v>18</v>
      </c>
      <c r="F26158" s="30" t="s">
        <v>19</v>
      </c>
      <c r="G26158" s="30" t="s">
        <v>7780</v>
      </c>
      <c r="H26158" s="32">
        <v>570</v>
      </c>
      <c r="I26158" s="30" t="s">
        <v>51</v>
      </c>
      <c r="J26158" s="41">
        <v>46230</v>
      </c>
      <c r="K26158" s="30" t="s">
        <v>22</v>
      </c>
    </row>
    <row r="26159" spans="1:11">
      <c r="A26159" s="33" t="s">
        <v>57530</v>
      </c>
      <c r="B26159" s="33" t="s">
        <v>57531</v>
      </c>
      <c r="C26159" s="33" t="s">
        <v>9163</v>
      </c>
      <c r="D26159" s="33" t="s">
        <v>17</v>
      </c>
      <c r="E26159" s="33" t="s">
        <v>18</v>
      </c>
      <c r="F26159" s="33" t="s">
        <v>19</v>
      </c>
      <c r="G26159" s="33" t="s">
        <v>140</v>
      </c>
      <c r="H26159" s="35">
        <v>45</v>
      </c>
      <c r="I26159" s="33" t="s">
        <v>51</v>
      </c>
      <c r="J26159" s="42">
        <v>46119</v>
      </c>
      <c r="K26159" s="33" t="s">
        <v>22</v>
      </c>
    </row>
    <row r="26160" spans="1:11">
      <c r="A26160" s="30" t="s">
        <v>57532</v>
      </c>
      <c r="B26160" s="30" t="s">
        <v>57533</v>
      </c>
      <c r="C26160" s="30" t="s">
        <v>16821</v>
      </c>
      <c r="D26160" s="30" t="s">
        <v>17</v>
      </c>
      <c r="E26160" s="30" t="s">
        <v>26</v>
      </c>
      <c r="F26160" s="30" t="s">
        <v>27</v>
      </c>
      <c r="G26160" s="30" t="s">
        <v>140</v>
      </c>
      <c r="H26160" s="32">
        <v>90</v>
      </c>
      <c r="I26160" s="30" t="s">
        <v>51</v>
      </c>
      <c r="J26160" s="41">
        <v>46174</v>
      </c>
      <c r="K26160" s="30" t="s">
        <v>22</v>
      </c>
    </row>
    <row r="26161" spans="1:11">
      <c r="A26161" s="33" t="s">
        <v>57534</v>
      </c>
      <c r="B26161" s="33" t="s">
        <v>57535</v>
      </c>
      <c r="C26161" s="33" t="s">
        <v>118</v>
      </c>
      <c r="D26161" s="33" t="s">
        <v>17</v>
      </c>
      <c r="E26161" s="33" t="s">
        <v>26</v>
      </c>
      <c r="F26161" s="33" t="s">
        <v>27</v>
      </c>
      <c r="G26161" s="33" t="s">
        <v>7780</v>
      </c>
      <c r="H26161" s="35">
        <v>18</v>
      </c>
      <c r="I26161" s="33" t="s">
        <v>51</v>
      </c>
      <c r="J26161" s="42">
        <v>46231</v>
      </c>
      <c r="K26161" s="33" t="s">
        <v>22</v>
      </c>
    </row>
    <row r="26162" spans="1:11">
      <c r="A26162" s="30" t="s">
        <v>57536</v>
      </c>
      <c r="B26162" s="30" t="s">
        <v>57537</v>
      </c>
      <c r="C26162" s="30" t="s">
        <v>7072</v>
      </c>
      <c r="D26162" s="30" t="s">
        <v>17</v>
      </c>
      <c r="E26162" s="30" t="s">
        <v>31</v>
      </c>
      <c r="F26162" s="30" t="s">
        <v>32</v>
      </c>
      <c r="G26162" s="30" t="s">
        <v>140</v>
      </c>
      <c r="H26162" s="32">
        <v>80</v>
      </c>
      <c r="I26162" s="30" t="s">
        <v>51</v>
      </c>
      <c r="J26162" s="41">
        <v>46052</v>
      </c>
      <c r="K26162" s="30" t="s">
        <v>22</v>
      </c>
    </row>
    <row r="26163" spans="1:11">
      <c r="A26163" s="33" t="s">
        <v>57538</v>
      </c>
      <c r="B26163" s="33" t="s">
        <v>57539</v>
      </c>
      <c r="C26163" s="33" t="s">
        <v>190</v>
      </c>
      <c r="D26163" s="33" t="s">
        <v>17</v>
      </c>
      <c r="E26163" s="33" t="s">
        <v>18</v>
      </c>
      <c r="F26163" s="33" t="s">
        <v>19</v>
      </c>
      <c r="G26163" s="33" t="s">
        <v>140</v>
      </c>
      <c r="H26163" s="35">
        <v>2000</v>
      </c>
      <c r="I26163" s="33" t="s">
        <v>51</v>
      </c>
      <c r="J26163" s="42">
        <v>46209</v>
      </c>
      <c r="K26163" s="33" t="s">
        <v>22</v>
      </c>
    </row>
    <row r="26164" spans="1:11">
      <c r="A26164" s="30" t="s">
        <v>57540</v>
      </c>
      <c r="B26164" s="30" t="s">
        <v>57541</v>
      </c>
      <c r="C26164" s="30" t="s">
        <v>3775</v>
      </c>
      <c r="D26164" s="30" t="s">
        <v>17</v>
      </c>
      <c r="E26164" s="30" t="s">
        <v>26</v>
      </c>
      <c r="F26164" s="30" t="s">
        <v>27</v>
      </c>
      <c r="G26164" s="30" t="s">
        <v>7780</v>
      </c>
      <c r="H26164" s="32">
        <v>48</v>
      </c>
      <c r="I26164" s="30" t="s">
        <v>51</v>
      </c>
      <c r="J26164" s="41">
        <v>46131</v>
      </c>
      <c r="K26164" s="30" t="s">
        <v>22</v>
      </c>
    </row>
    <row r="26165" spans="1:11">
      <c r="A26165" s="33" t="s">
        <v>57542</v>
      </c>
      <c r="B26165" s="33" t="s">
        <v>57543</v>
      </c>
      <c r="C26165" s="33" t="s">
        <v>25347</v>
      </c>
      <c r="D26165" s="33" t="s">
        <v>17</v>
      </c>
      <c r="E26165" s="33" t="s">
        <v>18</v>
      </c>
      <c r="F26165" s="33" t="s">
        <v>19</v>
      </c>
      <c r="G26165" s="33" t="s">
        <v>140</v>
      </c>
      <c r="H26165" s="35">
        <v>420</v>
      </c>
      <c r="I26165" s="33" t="s">
        <v>51</v>
      </c>
      <c r="J26165" s="42">
        <v>46190</v>
      </c>
      <c r="K26165" s="33" t="s">
        <v>22</v>
      </c>
    </row>
    <row r="26166" spans="1:11">
      <c r="A26166" s="30" t="s">
        <v>57544</v>
      </c>
      <c r="B26166" s="30" t="s">
        <v>57545</v>
      </c>
      <c r="C26166" s="30" t="s">
        <v>7035</v>
      </c>
      <c r="D26166" s="30" t="s">
        <v>17</v>
      </c>
      <c r="E26166" s="30" t="s">
        <v>26</v>
      </c>
      <c r="F26166" s="30" t="s">
        <v>27</v>
      </c>
      <c r="G26166" s="30" t="s">
        <v>140</v>
      </c>
      <c r="H26166" s="32">
        <v>30</v>
      </c>
      <c r="I26166" s="30" t="s">
        <v>51</v>
      </c>
      <c r="J26166" s="41">
        <v>46217</v>
      </c>
      <c r="K26166" s="30" t="s">
        <v>22</v>
      </c>
    </row>
    <row r="26167" spans="1:11">
      <c r="A26167" s="33" t="s">
        <v>57546</v>
      </c>
      <c r="B26167" s="33" t="s">
        <v>57547</v>
      </c>
      <c r="C26167" s="33" t="s">
        <v>5003</v>
      </c>
      <c r="D26167" s="33" t="s">
        <v>17</v>
      </c>
      <c r="E26167" s="33" t="s">
        <v>18</v>
      </c>
      <c r="F26167" s="33" t="s">
        <v>19</v>
      </c>
      <c r="G26167" s="33" t="s">
        <v>140</v>
      </c>
      <c r="H26167" s="35">
        <v>400</v>
      </c>
      <c r="I26167" s="33" t="s">
        <v>51</v>
      </c>
      <c r="J26167" s="42">
        <v>46045</v>
      </c>
      <c r="K26167" s="33" t="s">
        <v>22</v>
      </c>
    </row>
    <row r="26168" spans="1:11">
      <c r="A26168" s="30" t="s">
        <v>57548</v>
      </c>
      <c r="B26168" s="30" t="s">
        <v>57549</v>
      </c>
      <c r="C26168" s="30" t="s">
        <v>1908</v>
      </c>
      <c r="D26168" s="30" t="s">
        <v>17</v>
      </c>
      <c r="E26168" s="30" t="s">
        <v>26</v>
      </c>
      <c r="F26168" s="30" t="s">
        <v>27</v>
      </c>
      <c r="G26168" s="30" t="s">
        <v>140</v>
      </c>
      <c r="H26168" s="32">
        <v>58</v>
      </c>
      <c r="I26168" s="30" t="s">
        <v>51</v>
      </c>
      <c r="J26168" s="41">
        <v>46026</v>
      </c>
      <c r="K26168" s="30" t="s">
        <v>22</v>
      </c>
    </row>
    <row r="26169" spans="1:11">
      <c r="A26169" s="33" t="s">
        <v>57550</v>
      </c>
      <c r="B26169" s="33" t="s">
        <v>57551</v>
      </c>
      <c r="C26169" s="33" t="s">
        <v>19939</v>
      </c>
      <c r="D26169" s="33" t="s">
        <v>17</v>
      </c>
      <c r="E26169" s="33" t="s">
        <v>26</v>
      </c>
      <c r="F26169" s="33" t="s">
        <v>27</v>
      </c>
      <c r="G26169" s="33" t="s">
        <v>140</v>
      </c>
      <c r="H26169" s="35">
        <v>15</v>
      </c>
      <c r="I26169" s="33" t="s">
        <v>51</v>
      </c>
      <c r="J26169" s="42">
        <v>46030</v>
      </c>
      <c r="K26169" s="33" t="s">
        <v>22</v>
      </c>
    </row>
    <row r="26170" spans="1:11">
      <c r="A26170" s="30" t="s">
        <v>57552</v>
      </c>
      <c r="B26170" s="30" t="s">
        <v>57553</v>
      </c>
      <c r="C26170" s="30" t="s">
        <v>5720</v>
      </c>
      <c r="D26170" s="30" t="s">
        <v>17</v>
      </c>
      <c r="E26170" s="30" t="s">
        <v>330</v>
      </c>
      <c r="F26170" s="30" t="s">
        <v>331</v>
      </c>
      <c r="G26170" s="30" t="s">
        <v>140</v>
      </c>
      <c r="H26170" s="32">
        <v>6</v>
      </c>
      <c r="I26170" s="30" t="s">
        <v>51</v>
      </c>
      <c r="J26170" s="41">
        <v>46169</v>
      </c>
      <c r="K26170" s="30" t="s">
        <v>22</v>
      </c>
    </row>
    <row r="26171" spans="1:11">
      <c r="A26171" s="33" t="s">
        <v>57554</v>
      </c>
      <c r="B26171" s="33" t="s">
        <v>57555</v>
      </c>
      <c r="C26171" s="33" t="s">
        <v>2894</v>
      </c>
      <c r="D26171" s="33" t="s">
        <v>17</v>
      </c>
      <c r="E26171" s="33" t="s">
        <v>18</v>
      </c>
      <c r="F26171" s="33" t="s">
        <v>19</v>
      </c>
      <c r="G26171" s="33" t="s">
        <v>140</v>
      </c>
      <c r="H26171" s="35">
        <v>40</v>
      </c>
      <c r="I26171" s="33" t="s">
        <v>51</v>
      </c>
      <c r="J26171" s="42">
        <v>46147</v>
      </c>
      <c r="K26171" s="33" t="s">
        <v>22</v>
      </c>
    </row>
    <row r="26172" spans="1:11">
      <c r="A26172" s="30" t="s">
        <v>57556</v>
      </c>
      <c r="B26172" s="30" t="s">
        <v>57557</v>
      </c>
      <c r="C26172" s="30" t="s">
        <v>187</v>
      </c>
      <c r="D26172" s="30" t="s">
        <v>17</v>
      </c>
      <c r="E26172" s="30" t="s">
        <v>31</v>
      </c>
      <c r="F26172" s="30" t="s">
        <v>32</v>
      </c>
      <c r="G26172" s="30" t="s">
        <v>140</v>
      </c>
      <c r="H26172" s="32">
        <v>51</v>
      </c>
      <c r="I26172" s="30" t="s">
        <v>51</v>
      </c>
      <c r="J26172" s="41">
        <v>46191</v>
      </c>
      <c r="K26172" s="30" t="s">
        <v>22</v>
      </c>
    </row>
    <row r="26173" spans="1:11">
      <c r="A26173" s="33" t="s">
        <v>57558</v>
      </c>
      <c r="B26173" s="33" t="s">
        <v>57559</v>
      </c>
      <c r="C26173" s="33" t="s">
        <v>57560</v>
      </c>
      <c r="D26173" s="33" t="s">
        <v>17</v>
      </c>
      <c r="E26173" s="33" t="s">
        <v>31</v>
      </c>
      <c r="F26173" s="33" t="s">
        <v>32</v>
      </c>
      <c r="G26173" s="33" t="s">
        <v>140</v>
      </c>
      <c r="H26173" s="35">
        <v>54</v>
      </c>
      <c r="I26173" s="33" t="s">
        <v>51</v>
      </c>
      <c r="J26173" s="42">
        <v>46072</v>
      </c>
      <c r="K26173" s="33" t="s">
        <v>22</v>
      </c>
    </row>
    <row r="26174" spans="1:11">
      <c r="A26174" s="30" t="s">
        <v>57561</v>
      </c>
      <c r="B26174" s="30" t="s">
        <v>57562</v>
      </c>
      <c r="C26174" s="30" t="s">
        <v>39363</v>
      </c>
      <c r="D26174" s="30" t="s">
        <v>17</v>
      </c>
      <c r="E26174" s="30" t="s">
        <v>67</v>
      </c>
      <c r="F26174" s="30" t="s">
        <v>68</v>
      </c>
      <c r="G26174" s="30" t="s">
        <v>7780</v>
      </c>
      <c r="H26174" s="32">
        <v>128</v>
      </c>
      <c r="I26174" s="30" t="s">
        <v>51</v>
      </c>
      <c r="J26174" s="41">
        <v>46174</v>
      </c>
      <c r="K26174" s="30" t="s">
        <v>22</v>
      </c>
    </row>
    <row r="26175" spans="1:11">
      <c r="A26175" s="33" t="s">
        <v>57563</v>
      </c>
      <c r="B26175" s="33" t="s">
        <v>57564</v>
      </c>
      <c r="C26175" s="33" t="s">
        <v>27827</v>
      </c>
      <c r="D26175" s="33" t="s">
        <v>17</v>
      </c>
      <c r="E26175" s="33" t="s">
        <v>26</v>
      </c>
      <c r="F26175" s="33" t="s">
        <v>27</v>
      </c>
      <c r="G26175" s="33" t="s">
        <v>7780</v>
      </c>
      <c r="H26175" s="35">
        <v>45</v>
      </c>
      <c r="I26175" s="33" t="s">
        <v>51</v>
      </c>
      <c r="J26175" s="42">
        <v>46203</v>
      </c>
      <c r="K26175" s="33" t="s">
        <v>22</v>
      </c>
    </row>
    <row r="26176" spans="1:11">
      <c r="A26176" s="30" t="s">
        <v>57565</v>
      </c>
      <c r="B26176" s="30" t="s">
        <v>57566</v>
      </c>
      <c r="C26176" s="30" t="s">
        <v>14643</v>
      </c>
      <c r="D26176" s="30" t="s">
        <v>17</v>
      </c>
      <c r="E26176" s="30" t="s">
        <v>67</v>
      </c>
      <c r="F26176" s="30" t="s">
        <v>68</v>
      </c>
      <c r="G26176" s="30" t="s">
        <v>140</v>
      </c>
      <c r="H26176" s="32">
        <v>130</v>
      </c>
      <c r="I26176" s="30" t="s">
        <v>51</v>
      </c>
      <c r="J26176" s="41">
        <v>46058</v>
      </c>
      <c r="K26176" s="30" t="s">
        <v>22</v>
      </c>
    </row>
    <row r="26177" spans="1:11">
      <c r="A26177" s="33" t="s">
        <v>57567</v>
      </c>
      <c r="B26177" s="33" t="s">
        <v>57568</v>
      </c>
      <c r="C26177" s="33" t="s">
        <v>27046</v>
      </c>
      <c r="D26177" s="33" t="s">
        <v>17</v>
      </c>
      <c r="E26177" s="33" t="s">
        <v>31</v>
      </c>
      <c r="F26177" s="33" t="s">
        <v>32</v>
      </c>
      <c r="G26177" s="33" t="s">
        <v>7780</v>
      </c>
      <c r="H26177" s="35">
        <v>40</v>
      </c>
      <c r="I26177" s="33" t="s">
        <v>51</v>
      </c>
      <c r="J26177" s="42">
        <v>46053</v>
      </c>
      <c r="K26177" s="33" t="s">
        <v>22</v>
      </c>
    </row>
    <row r="26178" spans="1:11">
      <c r="A26178" s="30" t="s">
        <v>57569</v>
      </c>
      <c r="B26178" s="30" t="s">
        <v>57570</v>
      </c>
      <c r="C26178" s="30" t="s">
        <v>231</v>
      </c>
      <c r="D26178" s="30" t="s">
        <v>17</v>
      </c>
      <c r="E26178" s="30" t="s">
        <v>26</v>
      </c>
      <c r="F26178" s="30" t="s">
        <v>27</v>
      </c>
      <c r="G26178" s="30" t="s">
        <v>7780</v>
      </c>
      <c r="H26178" s="32">
        <v>8</v>
      </c>
      <c r="I26178" s="30" t="s">
        <v>51</v>
      </c>
      <c r="J26178" s="41">
        <v>46232</v>
      </c>
      <c r="K26178" s="30" t="s">
        <v>22</v>
      </c>
    </row>
    <row r="26179" spans="1:11">
      <c r="A26179" s="33" t="s">
        <v>57571</v>
      </c>
      <c r="B26179" s="33" t="s">
        <v>57572</v>
      </c>
      <c r="C26179" s="33" t="s">
        <v>3400</v>
      </c>
      <c r="D26179" s="33" t="s">
        <v>17</v>
      </c>
      <c r="E26179" s="33" t="s">
        <v>26</v>
      </c>
      <c r="F26179" s="33" t="s">
        <v>27</v>
      </c>
      <c r="G26179" s="33" t="s">
        <v>140</v>
      </c>
      <c r="H26179" s="35">
        <v>70</v>
      </c>
      <c r="I26179" s="33" t="s">
        <v>51</v>
      </c>
      <c r="J26179" s="42">
        <v>46097</v>
      </c>
      <c r="K26179" s="33" t="s">
        <v>22</v>
      </c>
    </row>
    <row r="26180" spans="1:11">
      <c r="A26180" s="30" t="s">
        <v>57573</v>
      </c>
      <c r="B26180" s="30" t="s">
        <v>57574</v>
      </c>
      <c r="C26180" s="30" t="s">
        <v>2329</v>
      </c>
      <c r="D26180" s="30" t="s">
        <v>17</v>
      </c>
      <c r="E26180" s="30" t="s">
        <v>26</v>
      </c>
      <c r="F26180" s="30" t="s">
        <v>27</v>
      </c>
      <c r="G26180" s="30" t="s">
        <v>140</v>
      </c>
      <c r="H26180" s="32">
        <v>8</v>
      </c>
      <c r="I26180" s="30" t="s">
        <v>51</v>
      </c>
      <c r="J26180" s="41">
        <v>46174</v>
      </c>
      <c r="K26180" s="30" t="s">
        <v>22</v>
      </c>
    </row>
    <row r="26181" spans="1:11">
      <c r="A26181" s="33" t="s">
        <v>57575</v>
      </c>
      <c r="B26181" s="33" t="s">
        <v>57576</v>
      </c>
      <c r="C26181" s="33" t="s">
        <v>57577</v>
      </c>
      <c r="D26181" s="33" t="s">
        <v>17</v>
      </c>
      <c r="E26181" s="33" t="s">
        <v>67</v>
      </c>
      <c r="F26181" s="33" t="s">
        <v>68</v>
      </c>
      <c r="G26181" s="33" t="s">
        <v>140</v>
      </c>
      <c r="H26181" s="35">
        <v>30</v>
      </c>
      <c r="I26181" s="33" t="s">
        <v>51</v>
      </c>
      <c r="J26181" s="42">
        <v>46023</v>
      </c>
      <c r="K26181" s="33" t="s">
        <v>22</v>
      </c>
    </row>
    <row r="26182" spans="1:11">
      <c r="A26182" s="30" t="s">
        <v>57578</v>
      </c>
      <c r="B26182" s="30" t="s">
        <v>57579</v>
      </c>
      <c r="C26182" s="30" t="s">
        <v>36806</v>
      </c>
      <c r="D26182" s="30" t="s">
        <v>17</v>
      </c>
      <c r="E26182" s="30" t="s">
        <v>26</v>
      </c>
      <c r="F26182" s="30" t="s">
        <v>27</v>
      </c>
      <c r="G26182" s="30" t="s">
        <v>140</v>
      </c>
      <c r="H26182" s="32">
        <v>60</v>
      </c>
      <c r="I26182" s="30" t="s">
        <v>51</v>
      </c>
      <c r="J26182" s="41">
        <v>46093</v>
      </c>
      <c r="K26182" s="30" t="s">
        <v>22</v>
      </c>
    </row>
    <row r="26183" spans="1:11">
      <c r="A26183" s="33" t="s">
        <v>57580</v>
      </c>
      <c r="B26183" s="33" t="s">
        <v>57581</v>
      </c>
      <c r="C26183" s="33" t="s">
        <v>23852</v>
      </c>
      <c r="D26183" s="33" t="s">
        <v>17</v>
      </c>
      <c r="E26183" s="33" t="s">
        <v>31</v>
      </c>
      <c r="F26183" s="33" t="s">
        <v>32</v>
      </c>
      <c r="G26183" s="33" t="s">
        <v>7780</v>
      </c>
      <c r="H26183" s="35">
        <v>150</v>
      </c>
      <c r="I26183" s="33" t="s">
        <v>51</v>
      </c>
      <c r="J26183" s="42">
        <v>46042</v>
      </c>
      <c r="K26183" s="33" t="s">
        <v>22</v>
      </c>
    </row>
    <row r="26184" spans="1:11">
      <c r="A26184" s="30" t="s">
        <v>57582</v>
      </c>
      <c r="B26184" s="30" t="s">
        <v>57583</v>
      </c>
      <c r="C26184" s="30" t="s">
        <v>2807</v>
      </c>
      <c r="D26184" s="30" t="s">
        <v>17</v>
      </c>
      <c r="E26184" s="30" t="s">
        <v>212</v>
      </c>
      <c r="F26184" s="30" t="s">
        <v>213</v>
      </c>
      <c r="G26184" s="30" t="s">
        <v>7780</v>
      </c>
      <c r="H26184" s="32">
        <v>270</v>
      </c>
      <c r="I26184" s="30" t="s">
        <v>51</v>
      </c>
      <c r="J26184" s="41">
        <v>46223</v>
      </c>
      <c r="K26184" s="30" t="s">
        <v>22</v>
      </c>
    </row>
    <row r="26185" spans="1:11">
      <c r="A26185" s="33" t="s">
        <v>57584</v>
      </c>
      <c r="B26185" s="33" t="s">
        <v>57585</v>
      </c>
      <c r="C26185" s="33" t="s">
        <v>57586</v>
      </c>
      <c r="D26185" s="33" t="s">
        <v>17</v>
      </c>
      <c r="E26185" s="33" t="s">
        <v>45</v>
      </c>
      <c r="F26185" s="33" t="s">
        <v>46</v>
      </c>
      <c r="G26185" s="33" t="s">
        <v>7780</v>
      </c>
      <c r="H26185" s="35">
        <v>140</v>
      </c>
      <c r="I26185" s="33" t="s">
        <v>51</v>
      </c>
      <c r="J26185" s="42">
        <v>46143</v>
      </c>
      <c r="K26185" s="33" t="s">
        <v>22</v>
      </c>
    </row>
    <row r="26186" spans="1:11">
      <c r="A26186" s="30" t="s">
        <v>57587</v>
      </c>
      <c r="B26186" s="30" t="s">
        <v>57588</v>
      </c>
      <c r="C26186" s="30" t="s">
        <v>57589</v>
      </c>
      <c r="D26186" s="30" t="s">
        <v>17</v>
      </c>
      <c r="E26186" s="30" t="s">
        <v>26</v>
      </c>
      <c r="F26186" s="30" t="s">
        <v>27</v>
      </c>
      <c r="G26186" s="30" t="s">
        <v>140</v>
      </c>
      <c r="H26186" s="32">
        <v>32</v>
      </c>
      <c r="I26186" s="30" t="s">
        <v>51</v>
      </c>
      <c r="J26186" s="41">
        <v>46100</v>
      </c>
      <c r="K26186" s="30" t="s">
        <v>22</v>
      </c>
    </row>
    <row r="26187" spans="1:11">
      <c r="A26187" s="33" t="s">
        <v>57590</v>
      </c>
      <c r="B26187" s="33" t="s">
        <v>57591</v>
      </c>
      <c r="C26187" s="33" t="s">
        <v>2313</v>
      </c>
      <c r="D26187" s="33" t="s">
        <v>17</v>
      </c>
      <c r="E26187" s="33" t="s">
        <v>31</v>
      </c>
      <c r="F26187" s="33" t="s">
        <v>32</v>
      </c>
      <c r="G26187" s="33" t="s">
        <v>140</v>
      </c>
      <c r="H26187" s="35">
        <v>162</v>
      </c>
      <c r="I26187" s="33" t="s">
        <v>51</v>
      </c>
      <c r="J26187" s="42">
        <v>46178</v>
      </c>
      <c r="K26187" s="33" t="s">
        <v>22</v>
      </c>
    </row>
    <row r="26188" spans="1:11">
      <c r="A26188" s="30" t="s">
        <v>57592</v>
      </c>
      <c r="B26188" s="30" t="s">
        <v>57593</v>
      </c>
      <c r="C26188" s="30" t="s">
        <v>28510</v>
      </c>
      <c r="D26188" s="30" t="s">
        <v>17</v>
      </c>
      <c r="E26188" s="30" t="s">
        <v>31</v>
      </c>
      <c r="F26188" s="30" t="s">
        <v>32</v>
      </c>
      <c r="G26188" s="30" t="s">
        <v>7780</v>
      </c>
      <c r="H26188" s="32">
        <v>230</v>
      </c>
      <c r="I26188" s="30" t="s">
        <v>51</v>
      </c>
      <c r="J26188" s="41">
        <v>46174</v>
      </c>
      <c r="K26188" s="30" t="s">
        <v>22</v>
      </c>
    </row>
    <row r="26189" spans="1:11">
      <c r="A26189" s="33" t="s">
        <v>57594</v>
      </c>
      <c r="B26189" s="33" t="s">
        <v>57595</v>
      </c>
      <c r="C26189" s="33" t="s">
        <v>11899</v>
      </c>
      <c r="D26189" s="33" t="s">
        <v>17</v>
      </c>
      <c r="E26189" s="33" t="s">
        <v>31</v>
      </c>
      <c r="F26189" s="33" t="s">
        <v>32</v>
      </c>
      <c r="G26189" s="33" t="s">
        <v>140</v>
      </c>
      <c r="H26189" s="35">
        <v>151</v>
      </c>
      <c r="I26189" s="33" t="s">
        <v>51</v>
      </c>
      <c r="J26189" s="42">
        <v>46106</v>
      </c>
      <c r="K26189" s="33" t="s">
        <v>22</v>
      </c>
    </row>
    <row r="26190" spans="1:11">
      <c r="A26190" s="30" t="s">
        <v>57596</v>
      </c>
      <c r="B26190" s="30" t="s">
        <v>57597</v>
      </c>
      <c r="C26190" s="30" t="s">
        <v>29982</v>
      </c>
      <c r="D26190" s="30" t="s">
        <v>17</v>
      </c>
      <c r="E26190" s="30" t="s">
        <v>18</v>
      </c>
      <c r="F26190" s="30" t="s">
        <v>19</v>
      </c>
      <c r="G26190" s="30" t="s">
        <v>7780</v>
      </c>
      <c r="H26190" s="32">
        <v>232</v>
      </c>
      <c r="I26190" s="30" t="s">
        <v>51</v>
      </c>
      <c r="J26190" s="41">
        <v>46204</v>
      </c>
      <c r="K26190" s="30" t="s">
        <v>22</v>
      </c>
    </row>
    <row r="26191" spans="1:11">
      <c r="A26191" s="33" t="s">
        <v>57598</v>
      </c>
      <c r="B26191" s="33" t="s">
        <v>57599</v>
      </c>
      <c r="C26191" s="33" t="s">
        <v>57600</v>
      </c>
      <c r="D26191" s="33" t="s">
        <v>17</v>
      </c>
      <c r="E26191" s="33" t="s">
        <v>26</v>
      </c>
      <c r="F26191" s="33" t="s">
        <v>27</v>
      </c>
      <c r="G26191" s="33" t="s">
        <v>140</v>
      </c>
      <c r="H26191" s="35">
        <v>155</v>
      </c>
      <c r="I26191" s="33" t="s">
        <v>51</v>
      </c>
      <c r="J26191" s="42">
        <v>46134</v>
      </c>
      <c r="K26191" s="33" t="s">
        <v>22</v>
      </c>
    </row>
    <row r="26192" spans="1:11">
      <c r="A26192" s="30" t="s">
        <v>57601</v>
      </c>
      <c r="B26192" s="30" t="s">
        <v>57602</v>
      </c>
      <c r="C26192" s="30" t="s">
        <v>2228</v>
      </c>
      <c r="D26192" s="30" t="s">
        <v>17</v>
      </c>
      <c r="E26192" s="30" t="s">
        <v>67</v>
      </c>
      <c r="F26192" s="30" t="s">
        <v>68</v>
      </c>
      <c r="G26192" s="30" t="s">
        <v>7780</v>
      </c>
      <c r="H26192" s="32">
        <v>51</v>
      </c>
      <c r="I26192" s="30" t="s">
        <v>51</v>
      </c>
      <c r="J26192" s="41">
        <v>46203</v>
      </c>
      <c r="K26192" s="30" t="s">
        <v>22</v>
      </c>
    </row>
    <row r="26193" spans="1:11">
      <c r="A26193" s="33" t="s">
        <v>57603</v>
      </c>
      <c r="B26193" s="33" t="s">
        <v>57604</v>
      </c>
      <c r="C26193" s="33" t="s">
        <v>14640</v>
      </c>
      <c r="D26193" s="33" t="s">
        <v>17</v>
      </c>
      <c r="E26193" s="33" t="s">
        <v>26</v>
      </c>
      <c r="F26193" s="33" t="s">
        <v>27</v>
      </c>
      <c r="G26193" s="33" t="s">
        <v>7780</v>
      </c>
      <c r="H26193" s="35">
        <v>42</v>
      </c>
      <c r="I26193" s="33" t="s">
        <v>51</v>
      </c>
      <c r="J26193" s="42">
        <v>46172</v>
      </c>
      <c r="K26193" s="33" t="s">
        <v>22</v>
      </c>
    </row>
    <row r="26194" spans="1:11">
      <c r="A26194" s="30" t="s">
        <v>57605</v>
      </c>
      <c r="B26194" s="30" t="s">
        <v>57606</v>
      </c>
      <c r="C26194" s="30" t="s">
        <v>37870</v>
      </c>
      <c r="D26194" s="30" t="s">
        <v>17</v>
      </c>
      <c r="E26194" s="30" t="s">
        <v>26</v>
      </c>
      <c r="F26194" s="30" t="s">
        <v>27</v>
      </c>
      <c r="G26194" s="30" t="s">
        <v>7780</v>
      </c>
      <c r="H26194" s="32">
        <v>80</v>
      </c>
      <c r="I26194" s="30" t="s">
        <v>51</v>
      </c>
      <c r="J26194" s="41">
        <v>46163</v>
      </c>
      <c r="K26194" s="30" t="s">
        <v>22</v>
      </c>
    </row>
    <row r="26195" spans="1:11">
      <c r="A26195" s="33" t="s">
        <v>57607</v>
      </c>
      <c r="B26195" s="33" t="s">
        <v>57608</v>
      </c>
      <c r="C26195" s="33" t="s">
        <v>4345</v>
      </c>
      <c r="D26195" s="33" t="s">
        <v>17</v>
      </c>
      <c r="E26195" s="33" t="s">
        <v>18</v>
      </c>
      <c r="F26195" s="33" t="s">
        <v>19</v>
      </c>
      <c r="G26195" s="33" t="s">
        <v>140</v>
      </c>
      <c r="H26195" s="35">
        <v>12</v>
      </c>
      <c r="I26195" s="33" t="s">
        <v>51</v>
      </c>
      <c r="J26195" s="42">
        <v>46204</v>
      </c>
      <c r="K26195" s="33" t="s">
        <v>22</v>
      </c>
    </row>
    <row r="26196" spans="1:11">
      <c r="A26196" s="30" t="s">
        <v>57609</v>
      </c>
      <c r="B26196" s="30" t="s">
        <v>57610</v>
      </c>
      <c r="C26196" s="30" t="s">
        <v>517</v>
      </c>
      <c r="D26196" s="30" t="s">
        <v>17</v>
      </c>
      <c r="E26196" s="30" t="s">
        <v>26</v>
      </c>
      <c r="F26196" s="30" t="s">
        <v>27</v>
      </c>
      <c r="G26196" s="30" t="s">
        <v>7780</v>
      </c>
      <c r="H26196" s="32">
        <v>28</v>
      </c>
      <c r="I26196" s="30" t="s">
        <v>51</v>
      </c>
      <c r="J26196" s="41">
        <v>46113</v>
      </c>
      <c r="K26196" s="30" t="s">
        <v>22</v>
      </c>
    </row>
    <row r="26197" spans="1:11">
      <c r="A26197" s="33" t="s">
        <v>57611</v>
      </c>
      <c r="B26197" s="33" t="s">
        <v>57612</v>
      </c>
      <c r="C26197" s="33" t="s">
        <v>28808</v>
      </c>
      <c r="D26197" s="33" t="s">
        <v>17</v>
      </c>
      <c r="E26197" s="33" t="s">
        <v>18</v>
      </c>
      <c r="F26197" s="33" t="s">
        <v>19</v>
      </c>
      <c r="G26197" s="33" t="s">
        <v>140</v>
      </c>
      <c r="H26197" s="35">
        <v>600</v>
      </c>
      <c r="I26197" s="33" t="s">
        <v>51</v>
      </c>
      <c r="J26197" s="42">
        <v>46092</v>
      </c>
      <c r="K26197" s="33" t="s">
        <v>22</v>
      </c>
    </row>
    <row r="26198" spans="1:11">
      <c r="A26198" s="30" t="s">
        <v>57613</v>
      </c>
      <c r="B26198" s="30" t="s">
        <v>57614</v>
      </c>
      <c r="C26198" s="30" t="s">
        <v>57615</v>
      </c>
      <c r="D26198" s="30" t="s">
        <v>17</v>
      </c>
      <c r="E26198" s="30" t="s">
        <v>26</v>
      </c>
      <c r="F26198" s="30" t="s">
        <v>27</v>
      </c>
      <c r="G26198" s="30" t="s">
        <v>140</v>
      </c>
      <c r="H26198" s="32">
        <v>68</v>
      </c>
      <c r="I26198" s="30" t="s">
        <v>51</v>
      </c>
      <c r="J26198" s="41">
        <v>46211</v>
      </c>
      <c r="K26198" s="30" t="s">
        <v>22</v>
      </c>
    </row>
    <row r="26199" spans="1:11">
      <c r="A26199" s="33" t="s">
        <v>57616</v>
      </c>
      <c r="B26199" s="33" t="s">
        <v>57617</v>
      </c>
      <c r="C26199" s="33" t="s">
        <v>326</v>
      </c>
      <c r="D26199" s="33" t="s">
        <v>17</v>
      </c>
      <c r="E26199" s="33" t="s">
        <v>31</v>
      </c>
      <c r="F26199" s="33" t="s">
        <v>32</v>
      </c>
      <c r="G26199" s="33" t="s">
        <v>7780</v>
      </c>
      <c r="H26199" s="35">
        <v>50</v>
      </c>
      <c r="I26199" s="33" t="s">
        <v>51</v>
      </c>
      <c r="J26199" s="42">
        <v>46209</v>
      </c>
      <c r="K26199" s="33" t="s">
        <v>22</v>
      </c>
    </row>
    <row r="26200" spans="1:11">
      <c r="A26200" s="30" t="s">
        <v>57618</v>
      </c>
      <c r="B26200" s="30" t="s">
        <v>57619</v>
      </c>
      <c r="C26200" s="30" t="s">
        <v>570</v>
      </c>
      <c r="D26200" s="30" t="s">
        <v>17</v>
      </c>
      <c r="E26200" s="30" t="s">
        <v>18</v>
      </c>
      <c r="F26200" s="30" t="s">
        <v>19</v>
      </c>
      <c r="G26200" s="30" t="s">
        <v>7780</v>
      </c>
      <c r="H26200" s="32">
        <v>700</v>
      </c>
      <c r="I26200" s="30" t="s">
        <v>51</v>
      </c>
      <c r="J26200" s="41">
        <v>46193</v>
      </c>
      <c r="K26200" s="30" t="s">
        <v>22</v>
      </c>
    </row>
    <row r="26201" spans="1:11">
      <c r="A26201" s="33" t="s">
        <v>57620</v>
      </c>
      <c r="B26201" s="33" t="s">
        <v>57621</v>
      </c>
      <c r="C26201" s="33" t="s">
        <v>6205</v>
      </c>
      <c r="D26201" s="33" t="s">
        <v>17</v>
      </c>
      <c r="E26201" s="33" t="s">
        <v>26</v>
      </c>
      <c r="F26201" s="33" t="s">
        <v>27</v>
      </c>
      <c r="G26201" s="33" t="s">
        <v>7780</v>
      </c>
      <c r="H26201" s="35">
        <v>150</v>
      </c>
      <c r="I26201" s="33" t="s">
        <v>51</v>
      </c>
      <c r="J26201" s="42">
        <v>46043</v>
      </c>
      <c r="K26201" s="33" t="s">
        <v>22</v>
      </c>
    </row>
    <row r="26202" spans="1:11">
      <c r="A26202" s="30" t="s">
        <v>57622</v>
      </c>
      <c r="B26202" s="30" t="s">
        <v>57623</v>
      </c>
      <c r="C26202" s="30" t="s">
        <v>5084</v>
      </c>
      <c r="D26202" s="30" t="s">
        <v>17</v>
      </c>
      <c r="E26202" s="30" t="s">
        <v>26</v>
      </c>
      <c r="F26202" s="30" t="s">
        <v>27</v>
      </c>
      <c r="G26202" s="30" t="s">
        <v>158</v>
      </c>
      <c r="H26202" s="32">
        <v>50</v>
      </c>
      <c r="I26202" s="30" t="s">
        <v>21</v>
      </c>
      <c r="J26202" s="41">
        <v>46125</v>
      </c>
      <c r="K26202" s="30" t="s">
        <v>22</v>
      </c>
    </row>
    <row r="26203" spans="1:11">
      <c r="A26203" s="33" t="s">
        <v>57624</v>
      </c>
      <c r="B26203" s="33" t="s">
        <v>57625</v>
      </c>
      <c r="C26203" s="33" t="s">
        <v>25186</v>
      </c>
      <c r="D26203" s="33" t="s">
        <v>17</v>
      </c>
      <c r="E26203" s="33" t="s">
        <v>26</v>
      </c>
      <c r="F26203" s="33" t="s">
        <v>27</v>
      </c>
      <c r="G26203" s="33" t="s">
        <v>140</v>
      </c>
      <c r="H26203" s="35">
        <v>72</v>
      </c>
      <c r="I26203" s="33" t="s">
        <v>51</v>
      </c>
      <c r="J26203" s="42">
        <v>46088</v>
      </c>
      <c r="K26203" s="33" t="s">
        <v>22</v>
      </c>
    </row>
    <row r="26204" spans="1:11">
      <c r="A26204" s="30" t="s">
        <v>57626</v>
      </c>
      <c r="B26204" s="30" t="s">
        <v>57627</v>
      </c>
      <c r="C26204" s="30" t="s">
        <v>6442</v>
      </c>
      <c r="D26204" s="30" t="s">
        <v>17</v>
      </c>
      <c r="E26204" s="30" t="s">
        <v>18</v>
      </c>
      <c r="F26204" s="30" t="s">
        <v>19</v>
      </c>
      <c r="G26204" s="30" t="s">
        <v>7780</v>
      </c>
      <c r="H26204" s="32">
        <v>5000</v>
      </c>
      <c r="I26204" s="30" t="s">
        <v>51</v>
      </c>
      <c r="J26204" s="41">
        <v>46173</v>
      </c>
      <c r="K26204" s="30" t="s">
        <v>22</v>
      </c>
    </row>
    <row r="26205" spans="1:11">
      <c r="A26205" s="33" t="s">
        <v>57628</v>
      </c>
      <c r="B26205" s="33" t="s">
        <v>57629</v>
      </c>
      <c r="C26205" s="33" t="s">
        <v>26576</v>
      </c>
      <c r="D26205" s="33" t="s">
        <v>17</v>
      </c>
      <c r="E26205" s="33" t="s">
        <v>31</v>
      </c>
      <c r="F26205" s="33" t="s">
        <v>32</v>
      </c>
      <c r="G26205" s="33" t="s">
        <v>140</v>
      </c>
      <c r="H26205" s="35">
        <v>38</v>
      </c>
      <c r="I26205" s="33" t="s">
        <v>51</v>
      </c>
      <c r="J26205" s="42">
        <v>46196</v>
      </c>
      <c r="K26205" s="33" t="s">
        <v>22</v>
      </c>
    </row>
    <row r="26206" spans="1:11">
      <c r="A26206" s="30" t="s">
        <v>57630</v>
      </c>
      <c r="B26206" s="30" t="s">
        <v>57631</v>
      </c>
      <c r="C26206" s="30" t="s">
        <v>57632</v>
      </c>
      <c r="D26206" s="30" t="s">
        <v>17</v>
      </c>
      <c r="E26206" s="30" t="s">
        <v>26</v>
      </c>
      <c r="F26206" s="30" t="s">
        <v>27</v>
      </c>
      <c r="G26206" s="30" t="s">
        <v>140</v>
      </c>
      <c r="H26206" s="32">
        <v>42</v>
      </c>
      <c r="I26206" s="30" t="s">
        <v>51</v>
      </c>
      <c r="J26206" s="41">
        <v>46053</v>
      </c>
      <c r="K26206" s="30" t="s">
        <v>22</v>
      </c>
    </row>
    <row r="26207" spans="1:11">
      <c r="A26207" s="33" t="s">
        <v>57633</v>
      </c>
      <c r="B26207" s="33" t="s">
        <v>57634</v>
      </c>
      <c r="C26207" s="33" t="s">
        <v>56038</v>
      </c>
      <c r="D26207" s="33" t="s">
        <v>17</v>
      </c>
      <c r="E26207" s="33" t="s">
        <v>330</v>
      </c>
      <c r="F26207" s="33" t="s">
        <v>331</v>
      </c>
      <c r="G26207" s="33" t="s">
        <v>7780</v>
      </c>
      <c r="H26207" s="35">
        <v>10</v>
      </c>
      <c r="I26207" s="33" t="s">
        <v>51</v>
      </c>
      <c r="J26207" s="42">
        <v>46174</v>
      </c>
      <c r="K26207" s="33" t="s">
        <v>22</v>
      </c>
    </row>
    <row r="26208" spans="1:11">
      <c r="A26208" s="30" t="s">
        <v>57635</v>
      </c>
      <c r="B26208" s="30" t="s">
        <v>57636</v>
      </c>
      <c r="C26208" s="30" t="s">
        <v>606</v>
      </c>
      <c r="D26208" s="30" t="s">
        <v>17</v>
      </c>
      <c r="E26208" s="30" t="s">
        <v>26</v>
      </c>
      <c r="F26208" s="30" t="s">
        <v>27</v>
      </c>
      <c r="G26208" s="30" t="s">
        <v>158</v>
      </c>
      <c r="H26208" s="32">
        <v>30</v>
      </c>
      <c r="I26208" s="30" t="s">
        <v>51</v>
      </c>
      <c r="J26208" s="41">
        <v>46150</v>
      </c>
      <c r="K26208" s="30" t="s">
        <v>22</v>
      </c>
    </row>
    <row r="26209" spans="1:11">
      <c r="A26209" s="33" t="s">
        <v>57637</v>
      </c>
      <c r="B26209" s="33" t="s">
        <v>57638</v>
      </c>
      <c r="C26209" s="33" t="s">
        <v>969</v>
      </c>
      <c r="D26209" s="33" t="s">
        <v>17</v>
      </c>
      <c r="E26209" s="33" t="s">
        <v>18</v>
      </c>
      <c r="F26209" s="33" t="s">
        <v>19</v>
      </c>
      <c r="G26209" s="33" t="s">
        <v>140</v>
      </c>
      <c r="H26209" s="35">
        <v>380</v>
      </c>
      <c r="I26209" s="33" t="s">
        <v>51</v>
      </c>
      <c r="J26209" s="42">
        <v>46225</v>
      </c>
      <c r="K26209" s="33" t="s">
        <v>22</v>
      </c>
    </row>
    <row r="26210" spans="1:11">
      <c r="A26210" s="30" t="s">
        <v>57639</v>
      </c>
      <c r="B26210" s="30" t="s">
        <v>57640</v>
      </c>
      <c r="C26210" s="30" t="s">
        <v>96</v>
      </c>
      <c r="D26210" s="30" t="s">
        <v>17</v>
      </c>
      <c r="E26210" s="30" t="s">
        <v>31</v>
      </c>
      <c r="F26210" s="30" t="s">
        <v>32</v>
      </c>
      <c r="G26210" s="30" t="s">
        <v>140</v>
      </c>
      <c r="H26210" s="32">
        <v>40</v>
      </c>
      <c r="I26210" s="30" t="s">
        <v>51</v>
      </c>
      <c r="J26210" s="41">
        <v>46205</v>
      </c>
      <c r="K26210" s="30" t="s">
        <v>22</v>
      </c>
    </row>
    <row r="26211" spans="1:11">
      <c r="A26211" s="33" t="s">
        <v>57641</v>
      </c>
      <c r="B26211" s="33" t="s">
        <v>57642</v>
      </c>
      <c r="C26211" s="33" t="s">
        <v>102</v>
      </c>
      <c r="D26211" s="33" t="s">
        <v>17</v>
      </c>
      <c r="E26211" s="33" t="s">
        <v>26</v>
      </c>
      <c r="F26211" s="33" t="s">
        <v>27</v>
      </c>
      <c r="G26211" s="33" t="s">
        <v>140</v>
      </c>
      <c r="H26211" s="35">
        <v>360</v>
      </c>
      <c r="I26211" s="33" t="s">
        <v>51</v>
      </c>
      <c r="J26211" s="42">
        <v>46155</v>
      </c>
      <c r="K26211" s="33" t="s">
        <v>22</v>
      </c>
    </row>
    <row r="26212" spans="1:11">
      <c r="A26212" s="30" t="s">
        <v>57643</v>
      </c>
      <c r="B26212" s="30" t="s">
        <v>57644</v>
      </c>
      <c r="C26212" s="30" t="s">
        <v>795</v>
      </c>
      <c r="D26212" s="30" t="s">
        <v>17</v>
      </c>
      <c r="E26212" s="30" t="s">
        <v>31</v>
      </c>
      <c r="F26212" s="30" t="s">
        <v>32</v>
      </c>
      <c r="G26212" s="30" t="s">
        <v>140</v>
      </c>
      <c r="H26212" s="32">
        <v>240</v>
      </c>
      <c r="I26212" s="30" t="s">
        <v>51</v>
      </c>
      <c r="J26212" s="41">
        <v>46052</v>
      </c>
      <c r="K26212" s="30" t="s">
        <v>22</v>
      </c>
    </row>
    <row r="26213" spans="1:11">
      <c r="A26213" s="33" t="s">
        <v>57645</v>
      </c>
      <c r="B26213" s="33" t="s">
        <v>57646</v>
      </c>
      <c r="C26213" s="33" t="s">
        <v>93</v>
      </c>
      <c r="D26213" s="33" t="s">
        <v>17</v>
      </c>
      <c r="E26213" s="33" t="s">
        <v>45</v>
      </c>
      <c r="F26213" s="33" t="s">
        <v>46</v>
      </c>
      <c r="G26213" s="33" t="s">
        <v>140</v>
      </c>
      <c r="H26213" s="35">
        <v>900</v>
      </c>
      <c r="I26213" s="33" t="s">
        <v>51</v>
      </c>
      <c r="J26213" s="42">
        <v>46142</v>
      </c>
      <c r="K26213" s="33" t="s">
        <v>22</v>
      </c>
    </row>
    <row r="26214" spans="1:11">
      <c r="A26214" s="30" t="s">
        <v>57647</v>
      </c>
      <c r="B26214" s="30" t="s">
        <v>57648</v>
      </c>
      <c r="C26214" s="30" t="s">
        <v>709</v>
      </c>
      <c r="D26214" s="30" t="s">
        <v>17</v>
      </c>
      <c r="E26214" s="30" t="s">
        <v>18</v>
      </c>
      <c r="F26214" s="30" t="s">
        <v>19</v>
      </c>
      <c r="G26214" s="30" t="s">
        <v>7780</v>
      </c>
      <c r="H26214" s="32">
        <v>138</v>
      </c>
      <c r="I26214" s="30" t="s">
        <v>51</v>
      </c>
      <c r="J26214" s="41">
        <v>46023</v>
      </c>
      <c r="K26214" s="30" t="s">
        <v>22</v>
      </c>
    </row>
    <row r="26215" spans="1:11">
      <c r="A26215" s="33" t="s">
        <v>57649</v>
      </c>
      <c r="B26215" s="33" t="s">
        <v>57650</v>
      </c>
      <c r="C26215" s="33" t="s">
        <v>2261</v>
      </c>
      <c r="D26215" s="33" t="s">
        <v>17</v>
      </c>
      <c r="E26215" s="33" t="s">
        <v>26</v>
      </c>
      <c r="F26215" s="33" t="s">
        <v>27</v>
      </c>
      <c r="G26215" s="33" t="s">
        <v>20</v>
      </c>
      <c r="H26215" s="35">
        <v>96</v>
      </c>
      <c r="I26215" s="33" t="s">
        <v>21</v>
      </c>
      <c r="J26215" s="42">
        <v>46026</v>
      </c>
      <c r="K26215" s="33" t="s">
        <v>22</v>
      </c>
    </row>
    <row r="26216" spans="1:11">
      <c r="A26216" s="30" t="s">
        <v>57651</v>
      </c>
      <c r="B26216" s="30" t="s">
        <v>57652</v>
      </c>
      <c r="C26216" s="30" t="s">
        <v>31578</v>
      </c>
      <c r="D26216" s="30" t="s">
        <v>17</v>
      </c>
      <c r="E26216" s="30" t="s">
        <v>18</v>
      </c>
      <c r="F26216" s="30" t="s">
        <v>19</v>
      </c>
      <c r="G26216" s="30" t="s">
        <v>140</v>
      </c>
      <c r="H26216" s="32">
        <v>306</v>
      </c>
      <c r="I26216" s="30" t="s">
        <v>51</v>
      </c>
      <c r="J26216" s="41">
        <v>46202</v>
      </c>
      <c r="K26216" s="30" t="s">
        <v>22</v>
      </c>
    </row>
    <row r="26217" spans="1:11">
      <c r="A26217" s="33" t="s">
        <v>57653</v>
      </c>
      <c r="B26217" s="33" t="s">
        <v>57654</v>
      </c>
      <c r="C26217" s="33" t="s">
        <v>41350</v>
      </c>
      <c r="D26217" s="33" t="s">
        <v>17</v>
      </c>
      <c r="E26217" s="33" t="s">
        <v>26</v>
      </c>
      <c r="F26217" s="33" t="s">
        <v>27</v>
      </c>
      <c r="G26217" s="33" t="s">
        <v>140</v>
      </c>
      <c r="H26217" s="35">
        <v>60</v>
      </c>
      <c r="I26217" s="33" t="s">
        <v>51</v>
      </c>
      <c r="J26217" s="42">
        <v>46174</v>
      </c>
      <c r="K26217" s="33" t="s">
        <v>22</v>
      </c>
    </row>
    <row r="26218" spans="1:11">
      <c r="A26218" s="30" t="s">
        <v>57655</v>
      </c>
      <c r="B26218" s="30" t="s">
        <v>57656</v>
      </c>
      <c r="C26218" s="30" t="s">
        <v>5588</v>
      </c>
      <c r="D26218" s="30" t="s">
        <v>17</v>
      </c>
      <c r="E26218" s="30" t="s">
        <v>67</v>
      </c>
      <c r="F26218" s="30" t="s">
        <v>68</v>
      </c>
      <c r="G26218" s="30" t="s">
        <v>7780</v>
      </c>
      <c r="H26218" s="32">
        <v>276</v>
      </c>
      <c r="I26218" s="30" t="s">
        <v>51</v>
      </c>
      <c r="J26218" s="41">
        <v>46113</v>
      </c>
      <c r="K26218" s="30" t="s">
        <v>22</v>
      </c>
    </row>
    <row r="26219" spans="1:11">
      <c r="A26219" s="33" t="s">
        <v>57657</v>
      </c>
      <c r="B26219" s="33" t="s">
        <v>57658</v>
      </c>
      <c r="C26219" s="33" t="s">
        <v>2812</v>
      </c>
      <c r="D26219" s="33" t="s">
        <v>17</v>
      </c>
      <c r="E26219" s="33" t="s">
        <v>18</v>
      </c>
      <c r="F26219" s="33" t="s">
        <v>19</v>
      </c>
      <c r="G26219" s="33" t="s">
        <v>140</v>
      </c>
      <c r="H26219" s="35">
        <v>468</v>
      </c>
      <c r="I26219" s="33" t="s">
        <v>51</v>
      </c>
      <c r="J26219" s="42">
        <v>46198</v>
      </c>
      <c r="K26219" s="33" t="s">
        <v>22</v>
      </c>
    </row>
    <row r="26220" spans="1:11">
      <c r="A26220" s="30" t="s">
        <v>57659</v>
      </c>
      <c r="B26220" s="30" t="s">
        <v>57660</v>
      </c>
      <c r="C26220" s="30" t="s">
        <v>57661</v>
      </c>
      <c r="D26220" s="30" t="s">
        <v>17</v>
      </c>
      <c r="E26220" s="30" t="s">
        <v>212</v>
      </c>
      <c r="F26220" s="30" t="s">
        <v>213</v>
      </c>
      <c r="G26220" s="30" t="s">
        <v>7780</v>
      </c>
      <c r="H26220" s="32">
        <v>200</v>
      </c>
      <c r="I26220" s="30" t="s">
        <v>51</v>
      </c>
      <c r="J26220" s="41">
        <v>46032</v>
      </c>
      <c r="K26220" s="30" t="s">
        <v>22</v>
      </c>
    </row>
    <row r="26221" spans="1:11">
      <c r="A26221" s="33" t="s">
        <v>57662</v>
      </c>
      <c r="B26221" s="33" t="s">
        <v>57663</v>
      </c>
      <c r="C26221" s="33" t="s">
        <v>12253</v>
      </c>
      <c r="D26221" s="33" t="s">
        <v>17</v>
      </c>
      <c r="E26221" s="33" t="s">
        <v>18</v>
      </c>
      <c r="F26221" s="33" t="s">
        <v>19</v>
      </c>
      <c r="G26221" s="33" t="s">
        <v>112</v>
      </c>
      <c r="H26221" s="35">
        <v>0</v>
      </c>
      <c r="I26221" s="33" t="s">
        <v>21</v>
      </c>
      <c r="J26221" s="42">
        <v>46143</v>
      </c>
      <c r="K26221" s="33" t="s">
        <v>22</v>
      </c>
    </row>
    <row r="26222" spans="1:11">
      <c r="A26222" s="30" t="s">
        <v>57664</v>
      </c>
      <c r="B26222" s="30" t="s">
        <v>57665</v>
      </c>
      <c r="C26222" s="30" t="s">
        <v>41613</v>
      </c>
      <c r="D26222" s="30" t="s">
        <v>17</v>
      </c>
      <c r="E26222" s="30" t="s">
        <v>67</v>
      </c>
      <c r="F26222" s="30" t="s">
        <v>68</v>
      </c>
      <c r="G26222" s="30" t="s">
        <v>7780</v>
      </c>
      <c r="H26222" s="32">
        <v>200</v>
      </c>
      <c r="I26222" s="30" t="s">
        <v>51</v>
      </c>
      <c r="J26222" s="41">
        <v>46174</v>
      </c>
      <c r="K26222" s="30" t="s">
        <v>22</v>
      </c>
    </row>
    <row r="26223" spans="1:11">
      <c r="A26223" s="33" t="s">
        <v>57666</v>
      </c>
      <c r="B26223" s="33" t="s">
        <v>57667</v>
      </c>
      <c r="C26223" s="33" t="s">
        <v>42590</v>
      </c>
      <c r="D26223" s="33" t="s">
        <v>17</v>
      </c>
      <c r="E26223" s="33" t="s">
        <v>67</v>
      </c>
      <c r="F26223" s="33" t="s">
        <v>68</v>
      </c>
      <c r="G26223" s="33" t="s">
        <v>140</v>
      </c>
      <c r="H26223" s="35">
        <v>55</v>
      </c>
      <c r="I26223" s="33" t="s">
        <v>51</v>
      </c>
      <c r="J26223" s="42">
        <v>46056</v>
      </c>
      <c r="K26223" s="33" t="s">
        <v>22</v>
      </c>
    </row>
    <row r="26224" spans="1:11">
      <c r="A26224" s="30" t="s">
        <v>57668</v>
      </c>
      <c r="B26224" s="30" t="s">
        <v>57669</v>
      </c>
      <c r="C26224" s="30" t="s">
        <v>7369</v>
      </c>
      <c r="D26224" s="30" t="s">
        <v>17</v>
      </c>
      <c r="E26224" s="30" t="s">
        <v>26</v>
      </c>
      <c r="F26224" s="30" t="s">
        <v>27</v>
      </c>
      <c r="G26224" s="30" t="s">
        <v>140</v>
      </c>
      <c r="H26224" s="32">
        <v>26</v>
      </c>
      <c r="I26224" s="30" t="s">
        <v>51</v>
      </c>
      <c r="J26224" s="41">
        <v>46121</v>
      </c>
      <c r="K26224" s="30" t="s">
        <v>22</v>
      </c>
    </row>
    <row r="26225" spans="1:11">
      <c r="A26225" s="33" t="s">
        <v>57670</v>
      </c>
      <c r="B26225" s="33" t="s">
        <v>57671</v>
      </c>
      <c r="C26225" s="33" t="s">
        <v>40072</v>
      </c>
      <c r="D26225" s="33" t="s">
        <v>17</v>
      </c>
      <c r="E26225" s="33" t="s">
        <v>18</v>
      </c>
      <c r="F26225" s="33" t="s">
        <v>19</v>
      </c>
      <c r="G26225" s="33" t="s">
        <v>7780</v>
      </c>
      <c r="H26225" s="35">
        <v>232</v>
      </c>
      <c r="I26225" s="33" t="s">
        <v>51</v>
      </c>
      <c r="J26225" s="42">
        <v>46203</v>
      </c>
      <c r="K26225" s="33" t="s">
        <v>22</v>
      </c>
    </row>
    <row r="26226" spans="1:11">
      <c r="A26226" s="30" t="s">
        <v>57672</v>
      </c>
      <c r="B26226" s="30" t="s">
        <v>57673</v>
      </c>
      <c r="C26226" s="30" t="s">
        <v>3489</v>
      </c>
      <c r="D26226" s="30" t="s">
        <v>17</v>
      </c>
      <c r="E26226" s="30" t="s">
        <v>31</v>
      </c>
      <c r="F26226" s="30" t="s">
        <v>32</v>
      </c>
      <c r="G26226" s="30" t="s">
        <v>2613</v>
      </c>
      <c r="H26226" s="32">
        <v>18</v>
      </c>
      <c r="I26226" s="30" t="s">
        <v>51</v>
      </c>
      <c r="J26226" s="41">
        <v>46132</v>
      </c>
      <c r="K26226" s="30" t="s">
        <v>22</v>
      </c>
    </row>
    <row r="26227" spans="1:11">
      <c r="A26227" s="33" t="s">
        <v>57674</v>
      </c>
      <c r="B26227" s="33" t="s">
        <v>57675</v>
      </c>
      <c r="C26227" s="33" t="s">
        <v>14483</v>
      </c>
      <c r="D26227" s="33" t="s">
        <v>17</v>
      </c>
      <c r="E26227" s="33" t="s">
        <v>18</v>
      </c>
      <c r="F26227" s="33" t="s">
        <v>19</v>
      </c>
      <c r="G26227" s="33" t="s">
        <v>7780</v>
      </c>
      <c r="H26227" s="35">
        <v>68</v>
      </c>
      <c r="I26227" s="33" t="s">
        <v>51</v>
      </c>
      <c r="J26227" s="42">
        <v>46032</v>
      </c>
      <c r="K26227" s="33" t="s">
        <v>22</v>
      </c>
    </row>
    <row r="26228" spans="1:11">
      <c r="A26228" s="30" t="s">
        <v>57676</v>
      </c>
      <c r="B26228" s="30" t="s">
        <v>57677</v>
      </c>
      <c r="C26228" s="30" t="s">
        <v>157</v>
      </c>
      <c r="D26228" s="30" t="s">
        <v>17</v>
      </c>
      <c r="E26228" s="30" t="s">
        <v>31</v>
      </c>
      <c r="F26228" s="30" t="s">
        <v>32</v>
      </c>
      <c r="G26228" s="30" t="s">
        <v>140</v>
      </c>
      <c r="H26228" s="32">
        <v>92</v>
      </c>
      <c r="I26228" s="30" t="s">
        <v>51</v>
      </c>
      <c r="J26228" s="41">
        <v>46177</v>
      </c>
      <c r="K26228" s="30" t="s">
        <v>22</v>
      </c>
    </row>
    <row r="26229" spans="1:11">
      <c r="A26229" s="33" t="s">
        <v>57678</v>
      </c>
      <c r="B26229" s="33" t="s">
        <v>57679</v>
      </c>
      <c r="C26229" s="33" t="s">
        <v>8052</v>
      </c>
      <c r="D26229" s="33" t="s">
        <v>17</v>
      </c>
      <c r="E26229" s="33" t="s">
        <v>26</v>
      </c>
      <c r="F26229" s="33" t="s">
        <v>27</v>
      </c>
      <c r="G26229" s="33" t="s">
        <v>140</v>
      </c>
      <c r="H26229" s="35">
        <v>30</v>
      </c>
      <c r="I26229" s="33" t="s">
        <v>51</v>
      </c>
      <c r="J26229" s="42">
        <v>46073</v>
      </c>
      <c r="K26229" s="33" t="s">
        <v>22</v>
      </c>
    </row>
    <row r="26230" spans="1:11">
      <c r="A26230" s="30" t="s">
        <v>57680</v>
      </c>
      <c r="B26230" s="30" t="s">
        <v>57681</v>
      </c>
      <c r="C26230" s="30" t="s">
        <v>2753</v>
      </c>
      <c r="D26230" s="30" t="s">
        <v>17</v>
      </c>
      <c r="E26230" s="30" t="s">
        <v>26</v>
      </c>
      <c r="F26230" s="30" t="s">
        <v>27</v>
      </c>
      <c r="G26230" s="30" t="s">
        <v>140</v>
      </c>
      <c r="H26230" s="32">
        <v>84</v>
      </c>
      <c r="I26230" s="30" t="s">
        <v>51</v>
      </c>
      <c r="J26230" s="41">
        <v>46125</v>
      </c>
      <c r="K26230" s="30" t="s">
        <v>22</v>
      </c>
    </row>
    <row r="26231" spans="1:11">
      <c r="A26231" s="33" t="s">
        <v>57682</v>
      </c>
      <c r="B26231" s="33" t="s">
        <v>57683</v>
      </c>
      <c r="C26231" s="33" t="s">
        <v>3195</v>
      </c>
      <c r="D26231" s="33" t="s">
        <v>17</v>
      </c>
      <c r="E26231" s="33" t="s">
        <v>212</v>
      </c>
      <c r="F26231" s="33" t="s">
        <v>213</v>
      </c>
      <c r="G26231" s="33" t="s">
        <v>140</v>
      </c>
      <c r="H26231" s="35">
        <v>720</v>
      </c>
      <c r="I26231" s="33" t="s">
        <v>51</v>
      </c>
      <c r="J26231" s="42">
        <v>46168</v>
      </c>
      <c r="K26231" s="33" t="s">
        <v>22</v>
      </c>
    </row>
    <row r="26232" spans="1:11">
      <c r="A26232" s="30" t="s">
        <v>57684</v>
      </c>
      <c r="B26232" s="30" t="s">
        <v>57685</v>
      </c>
      <c r="C26232" s="30" t="s">
        <v>40342</v>
      </c>
      <c r="D26232" s="30" t="s">
        <v>17</v>
      </c>
      <c r="E26232" s="30" t="s">
        <v>26</v>
      </c>
      <c r="F26232" s="30" t="s">
        <v>27</v>
      </c>
      <c r="G26232" s="30" t="s">
        <v>140</v>
      </c>
      <c r="H26232" s="32">
        <v>80</v>
      </c>
      <c r="I26232" s="30" t="s">
        <v>51</v>
      </c>
      <c r="J26232" s="41">
        <v>46105</v>
      </c>
      <c r="K26232" s="30" t="s">
        <v>22</v>
      </c>
    </row>
    <row r="26233" spans="1:11">
      <c r="A26233" s="33" t="s">
        <v>57686</v>
      </c>
      <c r="B26233" s="33" t="s">
        <v>57687</v>
      </c>
      <c r="C26233" s="33" t="s">
        <v>2753</v>
      </c>
      <c r="D26233" s="33" t="s">
        <v>17</v>
      </c>
      <c r="E26233" s="33" t="s">
        <v>26</v>
      </c>
      <c r="F26233" s="33" t="s">
        <v>27</v>
      </c>
      <c r="G26233" s="33" t="s">
        <v>140</v>
      </c>
      <c r="H26233" s="35">
        <v>12</v>
      </c>
      <c r="I26233" s="33" t="s">
        <v>51</v>
      </c>
      <c r="J26233" s="42">
        <v>46190</v>
      </c>
      <c r="K26233" s="33" t="s">
        <v>22</v>
      </c>
    </row>
    <row r="26234" spans="1:11">
      <c r="A26234" s="30" t="s">
        <v>57688</v>
      </c>
      <c r="B26234" s="30" t="s">
        <v>57689</v>
      </c>
      <c r="C26234" s="30" t="s">
        <v>39233</v>
      </c>
      <c r="D26234" s="30" t="s">
        <v>17</v>
      </c>
      <c r="E26234" s="30" t="s">
        <v>18</v>
      </c>
      <c r="F26234" s="30" t="s">
        <v>19</v>
      </c>
      <c r="G26234" s="30" t="s">
        <v>7780</v>
      </c>
      <c r="H26234" s="32">
        <v>506</v>
      </c>
      <c r="I26234" s="30" t="s">
        <v>51</v>
      </c>
      <c r="J26234" s="41">
        <v>46091</v>
      </c>
      <c r="K26234" s="30" t="s">
        <v>22</v>
      </c>
    </row>
    <row r="26235" spans="1:11">
      <c r="A26235" s="33" t="s">
        <v>57690</v>
      </c>
      <c r="B26235" s="33" t="s">
        <v>57691</v>
      </c>
      <c r="C26235" s="33" t="s">
        <v>57692</v>
      </c>
      <c r="D26235" s="33" t="s">
        <v>17</v>
      </c>
      <c r="E26235" s="33" t="s">
        <v>18</v>
      </c>
      <c r="F26235" s="33" t="s">
        <v>19</v>
      </c>
      <c r="G26235" s="33" t="s">
        <v>140</v>
      </c>
      <c r="H26235" s="35">
        <v>600</v>
      </c>
      <c r="I26235" s="33" t="s">
        <v>51</v>
      </c>
      <c r="J26235" s="42">
        <v>46170</v>
      </c>
      <c r="K26235" s="33" t="s">
        <v>22</v>
      </c>
    </row>
    <row r="26236" spans="1:11">
      <c r="A26236" s="30" t="s">
        <v>57693</v>
      </c>
      <c r="B26236" s="30" t="s">
        <v>57694</v>
      </c>
      <c r="C26236" s="30" t="s">
        <v>3429</v>
      </c>
      <c r="D26236" s="30" t="s">
        <v>17</v>
      </c>
      <c r="E26236" s="30" t="s">
        <v>26</v>
      </c>
      <c r="F26236" s="30" t="s">
        <v>27</v>
      </c>
      <c r="G26236" s="30" t="s">
        <v>20</v>
      </c>
      <c r="H26236" s="32">
        <v>30</v>
      </c>
      <c r="I26236" s="30" t="s">
        <v>21</v>
      </c>
      <c r="J26236" s="41">
        <v>46120</v>
      </c>
      <c r="K26236" s="30" t="s">
        <v>22</v>
      </c>
    </row>
    <row r="26237" spans="1:11">
      <c r="A26237" s="33" t="s">
        <v>57695</v>
      </c>
      <c r="B26237" s="33" t="s">
        <v>57696</v>
      </c>
      <c r="C26237" s="33" t="s">
        <v>894</v>
      </c>
      <c r="D26237" s="33" t="s">
        <v>17</v>
      </c>
      <c r="E26237" s="33" t="s">
        <v>26</v>
      </c>
      <c r="F26237" s="33" t="s">
        <v>27</v>
      </c>
      <c r="G26237" s="33" t="s">
        <v>140</v>
      </c>
      <c r="H26237" s="35">
        <v>15</v>
      </c>
      <c r="I26237" s="33" t="s">
        <v>51</v>
      </c>
      <c r="J26237" s="42">
        <v>46157</v>
      </c>
      <c r="K26237" s="33" t="s">
        <v>22</v>
      </c>
    </row>
    <row r="26238" spans="1:11">
      <c r="A26238" s="30" t="s">
        <v>57697</v>
      </c>
      <c r="B26238" s="30" t="s">
        <v>57698</v>
      </c>
      <c r="C26238" s="30" t="s">
        <v>1908</v>
      </c>
      <c r="D26238" s="30" t="s">
        <v>17</v>
      </c>
      <c r="E26238" s="30" t="s">
        <v>31</v>
      </c>
      <c r="F26238" s="30" t="s">
        <v>32</v>
      </c>
      <c r="G26238" s="30" t="s">
        <v>7780</v>
      </c>
      <c r="H26238" s="32">
        <v>500</v>
      </c>
      <c r="I26238" s="30" t="s">
        <v>51</v>
      </c>
      <c r="J26238" s="41">
        <v>46234</v>
      </c>
      <c r="K26238" s="30" t="s">
        <v>22</v>
      </c>
    </row>
    <row r="26239" spans="1:11">
      <c r="A26239" s="33" t="s">
        <v>57699</v>
      </c>
      <c r="B26239" s="33" t="s">
        <v>57700</v>
      </c>
      <c r="C26239" s="33" t="s">
        <v>15917</v>
      </c>
      <c r="D26239" s="33" t="s">
        <v>17</v>
      </c>
      <c r="E26239" s="33" t="s">
        <v>31</v>
      </c>
      <c r="F26239" s="33" t="s">
        <v>32</v>
      </c>
      <c r="G26239" s="33" t="s">
        <v>140</v>
      </c>
      <c r="H26239" s="35">
        <v>248</v>
      </c>
      <c r="I26239" s="33" t="s">
        <v>51</v>
      </c>
      <c r="J26239" s="42">
        <v>46115</v>
      </c>
      <c r="K26239" s="33" t="s">
        <v>22</v>
      </c>
    </row>
    <row r="26240" spans="1:11">
      <c r="A26240" s="30" t="s">
        <v>57701</v>
      </c>
      <c r="B26240" s="30" t="s">
        <v>57702</v>
      </c>
      <c r="C26240" s="30" t="s">
        <v>39233</v>
      </c>
      <c r="D26240" s="30" t="s">
        <v>17</v>
      </c>
      <c r="E26240" s="30" t="s">
        <v>31</v>
      </c>
      <c r="F26240" s="30" t="s">
        <v>32</v>
      </c>
      <c r="G26240" s="30" t="s">
        <v>140</v>
      </c>
      <c r="H26240" s="32">
        <v>36</v>
      </c>
      <c r="I26240" s="30" t="s">
        <v>51</v>
      </c>
      <c r="J26240" s="41">
        <v>46167</v>
      </c>
      <c r="K26240" s="30" t="s">
        <v>22</v>
      </c>
    </row>
    <row r="26241" spans="1:11">
      <c r="A26241" s="33" t="s">
        <v>57703</v>
      </c>
      <c r="B26241" s="33" t="s">
        <v>57704</v>
      </c>
      <c r="C26241" s="33" t="s">
        <v>57705</v>
      </c>
      <c r="D26241" s="33" t="s">
        <v>17</v>
      </c>
      <c r="E26241" s="33" t="s">
        <v>31</v>
      </c>
      <c r="F26241" s="33" t="s">
        <v>32</v>
      </c>
      <c r="G26241" s="33" t="s">
        <v>140</v>
      </c>
      <c r="H26241" s="35">
        <v>30</v>
      </c>
      <c r="I26241" s="33" t="s">
        <v>51</v>
      </c>
      <c r="J26241" s="42">
        <v>46112</v>
      </c>
      <c r="K26241" s="33" t="s">
        <v>22</v>
      </c>
    </row>
    <row r="26242" spans="1:11">
      <c r="A26242" s="30" t="s">
        <v>57706</v>
      </c>
      <c r="B26242" s="30" t="s">
        <v>57707</v>
      </c>
      <c r="C26242" s="30" t="s">
        <v>96</v>
      </c>
      <c r="D26242" s="30" t="s">
        <v>17</v>
      </c>
      <c r="E26242" s="30" t="s">
        <v>26</v>
      </c>
      <c r="F26242" s="30" t="s">
        <v>27</v>
      </c>
      <c r="G26242" s="30" t="s">
        <v>140</v>
      </c>
      <c r="H26242" s="32">
        <v>24</v>
      </c>
      <c r="I26242" s="30" t="s">
        <v>51</v>
      </c>
      <c r="J26242" s="41">
        <v>46155</v>
      </c>
      <c r="K26242" s="30" t="s">
        <v>22</v>
      </c>
    </row>
    <row r="26243" spans="1:11">
      <c r="A26243" s="33" t="s">
        <v>57708</v>
      </c>
      <c r="B26243" s="33" t="s">
        <v>57709</v>
      </c>
      <c r="C26243" s="33" t="s">
        <v>15819</v>
      </c>
      <c r="D26243" s="33" t="s">
        <v>17</v>
      </c>
      <c r="E26243" s="33" t="s">
        <v>31</v>
      </c>
      <c r="F26243" s="33" t="s">
        <v>32</v>
      </c>
      <c r="G26243" s="33" t="s">
        <v>7780</v>
      </c>
      <c r="H26243" s="35">
        <v>40</v>
      </c>
      <c r="I26243" s="33" t="s">
        <v>51</v>
      </c>
      <c r="J26243" s="42">
        <v>46218</v>
      </c>
      <c r="K26243" s="33" t="s">
        <v>22</v>
      </c>
    </row>
    <row r="26244" spans="1:11">
      <c r="A26244" s="30" t="s">
        <v>57710</v>
      </c>
      <c r="B26244" s="30" t="s">
        <v>57711</v>
      </c>
      <c r="C26244" s="30" t="s">
        <v>8284</v>
      </c>
      <c r="D26244" s="30" t="s">
        <v>17</v>
      </c>
      <c r="E26244" s="30" t="s">
        <v>67</v>
      </c>
      <c r="F26244" s="30" t="s">
        <v>68</v>
      </c>
      <c r="G26244" s="30" t="s">
        <v>140</v>
      </c>
      <c r="H26244" s="32">
        <v>30</v>
      </c>
      <c r="I26244" s="30" t="s">
        <v>51</v>
      </c>
      <c r="J26244" s="41">
        <v>46023</v>
      </c>
      <c r="K26244" s="30" t="s">
        <v>22</v>
      </c>
    </row>
    <row r="26245" spans="1:11">
      <c r="A26245" s="33" t="s">
        <v>57712</v>
      </c>
      <c r="B26245" s="33" t="s">
        <v>57713</v>
      </c>
      <c r="C26245" s="33" t="s">
        <v>7035</v>
      </c>
      <c r="D26245" s="33" t="s">
        <v>17</v>
      </c>
      <c r="E26245" s="33" t="s">
        <v>18</v>
      </c>
      <c r="F26245" s="33" t="s">
        <v>19</v>
      </c>
      <c r="G26245" s="33" t="s">
        <v>140</v>
      </c>
      <c r="H26245" s="35">
        <v>344</v>
      </c>
      <c r="I26245" s="33" t="s">
        <v>51</v>
      </c>
      <c r="J26245" s="42">
        <v>46029</v>
      </c>
      <c r="K26245" s="33" t="s">
        <v>22</v>
      </c>
    </row>
    <row r="26246" spans="1:11">
      <c r="A26246" s="30" t="s">
        <v>57714</v>
      </c>
      <c r="B26246" s="30" t="s">
        <v>57715</v>
      </c>
      <c r="C26246" s="30" t="s">
        <v>25041</v>
      </c>
      <c r="D26246" s="30" t="s">
        <v>17</v>
      </c>
      <c r="E26246" s="30" t="s">
        <v>26</v>
      </c>
      <c r="F26246" s="30" t="s">
        <v>27</v>
      </c>
      <c r="G26246" s="30" t="s">
        <v>20</v>
      </c>
      <c r="H26246" s="32">
        <v>12</v>
      </c>
      <c r="I26246" s="30" t="s">
        <v>21</v>
      </c>
      <c r="J26246" s="41">
        <v>46078</v>
      </c>
      <c r="K26246" s="30" t="s">
        <v>22</v>
      </c>
    </row>
    <row r="26247" spans="1:11">
      <c r="A26247" s="33" t="s">
        <v>57716</v>
      </c>
      <c r="B26247" s="33" t="s">
        <v>57717</v>
      </c>
      <c r="C26247" s="33" t="s">
        <v>14483</v>
      </c>
      <c r="D26247" s="33" t="s">
        <v>17</v>
      </c>
      <c r="E26247" s="33" t="s">
        <v>26</v>
      </c>
      <c r="F26247" s="33" t="s">
        <v>27</v>
      </c>
      <c r="G26247" s="33" t="s">
        <v>140</v>
      </c>
      <c r="H26247" s="35">
        <v>32</v>
      </c>
      <c r="I26247" s="33" t="s">
        <v>51</v>
      </c>
      <c r="J26247" s="42">
        <v>46029</v>
      </c>
      <c r="K26247" s="33" t="s">
        <v>22</v>
      </c>
    </row>
    <row r="26248" spans="1:11">
      <c r="A26248" s="30" t="s">
        <v>57718</v>
      </c>
      <c r="B26248" s="30" t="s">
        <v>57719</v>
      </c>
      <c r="C26248" s="30" t="s">
        <v>136</v>
      </c>
      <c r="D26248" s="30" t="s">
        <v>17</v>
      </c>
      <c r="E26248" s="30" t="s">
        <v>26</v>
      </c>
      <c r="F26248" s="30" t="s">
        <v>27</v>
      </c>
      <c r="G26248" s="30" t="s">
        <v>140</v>
      </c>
      <c r="H26248" s="32">
        <v>123</v>
      </c>
      <c r="I26248" s="30" t="s">
        <v>51</v>
      </c>
      <c r="J26248" s="41">
        <v>46037</v>
      </c>
      <c r="K26248" s="30" t="s">
        <v>22</v>
      </c>
    </row>
    <row r="26249" spans="1:11">
      <c r="A26249" s="33" t="s">
        <v>57720</v>
      </c>
      <c r="B26249" s="33" t="s">
        <v>57721</v>
      </c>
      <c r="C26249" s="33" t="s">
        <v>21961</v>
      </c>
      <c r="D26249" s="33" t="s">
        <v>17</v>
      </c>
      <c r="E26249" s="33" t="s">
        <v>26</v>
      </c>
      <c r="F26249" s="33" t="s">
        <v>27</v>
      </c>
      <c r="G26249" s="33" t="s">
        <v>140</v>
      </c>
      <c r="H26249" s="35">
        <v>76</v>
      </c>
      <c r="I26249" s="33" t="s">
        <v>51</v>
      </c>
      <c r="J26249" s="42">
        <v>46023</v>
      </c>
      <c r="K26249" s="33" t="s">
        <v>22</v>
      </c>
    </row>
    <row r="26250" spans="1:11">
      <c r="A26250" s="30" t="s">
        <v>57722</v>
      </c>
      <c r="B26250" s="30" t="s">
        <v>57723</v>
      </c>
      <c r="C26250" s="30" t="s">
        <v>60</v>
      </c>
      <c r="D26250" s="30" t="s">
        <v>17</v>
      </c>
      <c r="E26250" s="30" t="s">
        <v>26</v>
      </c>
      <c r="F26250" s="30" t="s">
        <v>27</v>
      </c>
      <c r="G26250" s="30" t="s">
        <v>20</v>
      </c>
      <c r="H26250" s="32">
        <v>18</v>
      </c>
      <c r="I26250" s="30" t="s">
        <v>21</v>
      </c>
      <c r="J26250" s="41">
        <v>46034</v>
      </c>
      <c r="K26250" s="30" t="s">
        <v>22</v>
      </c>
    </row>
    <row r="26251" spans="1:11">
      <c r="A26251" s="33" t="s">
        <v>57724</v>
      </c>
      <c r="B26251" s="33" t="s">
        <v>57725</v>
      </c>
      <c r="C26251" s="33" t="s">
        <v>136</v>
      </c>
      <c r="D26251" s="33" t="s">
        <v>17</v>
      </c>
      <c r="E26251" s="33" t="s">
        <v>26</v>
      </c>
      <c r="F26251" s="33" t="s">
        <v>27</v>
      </c>
      <c r="G26251" s="33" t="s">
        <v>140</v>
      </c>
      <c r="H26251" s="35">
        <v>32</v>
      </c>
      <c r="I26251" s="33" t="s">
        <v>51</v>
      </c>
      <c r="J26251" s="42">
        <v>46156</v>
      </c>
      <c r="K26251" s="33" t="s">
        <v>22</v>
      </c>
    </row>
    <row r="26252" spans="1:11">
      <c r="A26252" s="30" t="s">
        <v>57726</v>
      </c>
      <c r="B26252" s="30" t="s">
        <v>57727</v>
      </c>
      <c r="C26252" s="30" t="s">
        <v>44868</v>
      </c>
      <c r="D26252" s="30" t="s">
        <v>17</v>
      </c>
      <c r="E26252" s="30" t="s">
        <v>26</v>
      </c>
      <c r="F26252" s="30" t="s">
        <v>27</v>
      </c>
      <c r="G26252" s="30" t="s">
        <v>140</v>
      </c>
      <c r="H26252" s="32">
        <v>18</v>
      </c>
      <c r="I26252" s="30" t="s">
        <v>51</v>
      </c>
      <c r="J26252" s="41">
        <v>46066</v>
      </c>
      <c r="K26252" s="30" t="s">
        <v>22</v>
      </c>
    </row>
    <row r="26253" spans="1:11">
      <c r="A26253" s="33" t="s">
        <v>57728</v>
      </c>
      <c r="B26253" s="33" t="s">
        <v>57729</v>
      </c>
      <c r="C26253" s="33" t="s">
        <v>6663</v>
      </c>
      <c r="D26253" s="33" t="s">
        <v>17</v>
      </c>
      <c r="E26253" s="33" t="s">
        <v>31</v>
      </c>
      <c r="F26253" s="33" t="s">
        <v>32</v>
      </c>
      <c r="G26253" s="33" t="s">
        <v>140</v>
      </c>
      <c r="H26253" s="35">
        <v>110</v>
      </c>
      <c r="I26253" s="33" t="s">
        <v>51</v>
      </c>
      <c r="J26253" s="42">
        <v>46125</v>
      </c>
      <c r="K26253" s="33" t="s">
        <v>22</v>
      </c>
    </row>
    <row r="26254" spans="1:11">
      <c r="A26254" s="30" t="s">
        <v>57730</v>
      </c>
      <c r="B26254" s="30" t="s">
        <v>57731</v>
      </c>
      <c r="C26254" s="30" t="s">
        <v>4796</v>
      </c>
      <c r="D26254" s="30" t="s">
        <v>17</v>
      </c>
      <c r="E26254" s="30" t="s">
        <v>26</v>
      </c>
      <c r="F26254" s="30" t="s">
        <v>27</v>
      </c>
      <c r="G26254" s="30" t="s">
        <v>7780</v>
      </c>
      <c r="H26254" s="32">
        <v>60</v>
      </c>
      <c r="I26254" s="30" t="s">
        <v>51</v>
      </c>
      <c r="J26254" s="41">
        <v>46082</v>
      </c>
      <c r="K26254" s="30" t="s">
        <v>22</v>
      </c>
    </row>
    <row r="26255" spans="1:11">
      <c r="A26255" s="33" t="s">
        <v>57732</v>
      </c>
      <c r="B26255" s="33" t="s">
        <v>57733</v>
      </c>
      <c r="C26255" s="33" t="s">
        <v>57734</v>
      </c>
      <c r="D26255" s="33" t="s">
        <v>17</v>
      </c>
      <c r="E26255" s="33" t="s">
        <v>31</v>
      </c>
      <c r="F26255" s="33" t="s">
        <v>32</v>
      </c>
      <c r="G26255" s="33" t="s">
        <v>158</v>
      </c>
      <c r="H26255" s="35">
        <v>8</v>
      </c>
      <c r="I26255" s="33" t="s">
        <v>21</v>
      </c>
      <c r="J26255" s="42">
        <v>46063</v>
      </c>
      <c r="K26255" s="33" t="s">
        <v>22</v>
      </c>
    </row>
    <row r="26256" spans="1:11">
      <c r="A26256" s="30" t="s">
        <v>57735</v>
      </c>
      <c r="B26256" s="30" t="s">
        <v>57736</v>
      </c>
      <c r="C26256" s="30" t="s">
        <v>37302</v>
      </c>
      <c r="D26256" s="30" t="s">
        <v>17</v>
      </c>
      <c r="E26256" s="30" t="s">
        <v>18</v>
      </c>
      <c r="F26256" s="30" t="s">
        <v>19</v>
      </c>
      <c r="G26256" s="30" t="s">
        <v>140</v>
      </c>
      <c r="H26256" s="32">
        <v>192</v>
      </c>
      <c r="I26256" s="30" t="s">
        <v>51</v>
      </c>
      <c r="J26256" s="41">
        <v>46179</v>
      </c>
      <c r="K26256" s="30" t="s">
        <v>22</v>
      </c>
    </row>
    <row r="26257" spans="1:11">
      <c r="A26257" s="33" t="s">
        <v>57737</v>
      </c>
      <c r="B26257" s="33" t="s">
        <v>57738</v>
      </c>
      <c r="C26257" s="33" t="s">
        <v>7280</v>
      </c>
      <c r="D26257" s="33" t="s">
        <v>17</v>
      </c>
      <c r="E26257" s="33" t="s">
        <v>31</v>
      </c>
      <c r="F26257" s="33" t="s">
        <v>32</v>
      </c>
      <c r="G26257" s="33" t="s">
        <v>140</v>
      </c>
      <c r="H26257" s="35">
        <v>96</v>
      </c>
      <c r="I26257" s="33" t="s">
        <v>51</v>
      </c>
      <c r="J26257" s="42">
        <v>46143</v>
      </c>
      <c r="K26257" s="33" t="s">
        <v>22</v>
      </c>
    </row>
    <row r="26258" spans="1:11">
      <c r="A26258" s="30" t="s">
        <v>57739</v>
      </c>
      <c r="B26258" s="30" t="s">
        <v>57740</v>
      </c>
      <c r="C26258" s="30" t="s">
        <v>102</v>
      </c>
      <c r="D26258" s="30" t="s">
        <v>17</v>
      </c>
      <c r="E26258" s="30" t="s">
        <v>18</v>
      </c>
      <c r="F26258" s="30" t="s">
        <v>19</v>
      </c>
      <c r="G26258" s="30" t="s">
        <v>140</v>
      </c>
      <c r="H26258" s="32">
        <v>644</v>
      </c>
      <c r="I26258" s="30" t="s">
        <v>51</v>
      </c>
      <c r="J26258" s="41">
        <v>46165</v>
      </c>
      <c r="K26258" s="30" t="s">
        <v>22</v>
      </c>
    </row>
    <row r="26259" spans="1:11">
      <c r="A26259" s="33" t="s">
        <v>57741</v>
      </c>
      <c r="B26259" s="33" t="s">
        <v>57742</v>
      </c>
      <c r="C26259" s="33" t="s">
        <v>231</v>
      </c>
      <c r="D26259" s="33" t="s">
        <v>17</v>
      </c>
      <c r="E26259" s="33" t="s">
        <v>18</v>
      </c>
      <c r="F26259" s="33" t="s">
        <v>19</v>
      </c>
      <c r="G26259" s="33" t="s">
        <v>140</v>
      </c>
      <c r="H26259" s="35">
        <v>80</v>
      </c>
      <c r="I26259" s="33" t="s">
        <v>51</v>
      </c>
      <c r="J26259" s="42">
        <v>46063</v>
      </c>
      <c r="K26259" s="33" t="s">
        <v>22</v>
      </c>
    </row>
    <row r="26260" spans="1:11">
      <c r="A26260" s="30" t="s">
        <v>57743</v>
      </c>
      <c r="B26260" s="30" t="s">
        <v>57744</v>
      </c>
      <c r="C26260" s="30" t="s">
        <v>42643</v>
      </c>
      <c r="D26260" s="30" t="s">
        <v>17</v>
      </c>
      <c r="E26260" s="30" t="s">
        <v>26</v>
      </c>
      <c r="F26260" s="30" t="s">
        <v>27</v>
      </c>
      <c r="G26260" s="30" t="s">
        <v>140</v>
      </c>
      <c r="H26260" s="32">
        <v>20</v>
      </c>
      <c r="I26260" s="30" t="s">
        <v>51</v>
      </c>
      <c r="J26260" s="41">
        <v>46168</v>
      </c>
      <c r="K26260" s="30" t="s">
        <v>22</v>
      </c>
    </row>
    <row r="26261" spans="1:11">
      <c r="A26261" s="33" t="s">
        <v>57745</v>
      </c>
      <c r="B26261" s="33" t="s">
        <v>57746</v>
      </c>
      <c r="C26261" s="33" t="s">
        <v>109</v>
      </c>
      <c r="D26261" s="33" t="s">
        <v>17</v>
      </c>
      <c r="E26261" s="33" t="s">
        <v>31</v>
      </c>
      <c r="F26261" s="33" t="s">
        <v>32</v>
      </c>
      <c r="G26261" s="33" t="s">
        <v>140</v>
      </c>
      <c r="H26261" s="35">
        <v>272</v>
      </c>
      <c r="I26261" s="33" t="s">
        <v>51</v>
      </c>
      <c r="J26261" s="42">
        <v>46090</v>
      </c>
      <c r="K26261" s="33" t="s">
        <v>22</v>
      </c>
    </row>
    <row r="26262" spans="1:11">
      <c r="A26262" s="30" t="s">
        <v>57747</v>
      </c>
      <c r="B26262" s="30" t="s">
        <v>57748</v>
      </c>
      <c r="C26262" s="30" t="s">
        <v>310</v>
      </c>
      <c r="D26262" s="30" t="s">
        <v>17</v>
      </c>
      <c r="E26262" s="30" t="s">
        <v>26</v>
      </c>
      <c r="F26262" s="30" t="s">
        <v>27</v>
      </c>
      <c r="G26262" s="30" t="s">
        <v>140</v>
      </c>
      <c r="H26262" s="32">
        <v>120</v>
      </c>
      <c r="I26262" s="30" t="s">
        <v>51</v>
      </c>
      <c r="J26262" s="41">
        <v>46142</v>
      </c>
      <c r="K26262" s="30" t="s">
        <v>22</v>
      </c>
    </row>
    <row r="26263" spans="1:11">
      <c r="A26263" s="33" t="s">
        <v>57749</v>
      </c>
      <c r="B26263" s="33" t="s">
        <v>57750</v>
      </c>
      <c r="C26263" s="33" t="s">
        <v>14643</v>
      </c>
      <c r="D26263" s="33" t="s">
        <v>17</v>
      </c>
      <c r="E26263" s="33" t="s">
        <v>18</v>
      </c>
      <c r="F26263" s="33" t="s">
        <v>19</v>
      </c>
      <c r="G26263" s="33" t="s">
        <v>140</v>
      </c>
      <c r="H26263" s="35">
        <v>316</v>
      </c>
      <c r="I26263" s="33" t="s">
        <v>51</v>
      </c>
      <c r="J26263" s="42">
        <v>46122</v>
      </c>
      <c r="K26263" s="33" t="s">
        <v>22</v>
      </c>
    </row>
    <row r="26264" spans="1:11">
      <c r="A26264" s="30" t="s">
        <v>57751</v>
      </c>
      <c r="B26264" s="30" t="s">
        <v>57752</v>
      </c>
      <c r="C26264" s="30" t="s">
        <v>39525</v>
      </c>
      <c r="D26264" s="30" t="s">
        <v>17</v>
      </c>
      <c r="E26264" s="30" t="s">
        <v>26</v>
      </c>
      <c r="F26264" s="30" t="s">
        <v>27</v>
      </c>
      <c r="G26264" s="30" t="s">
        <v>7780</v>
      </c>
      <c r="H26264" s="32">
        <v>21</v>
      </c>
      <c r="I26264" s="30" t="s">
        <v>51</v>
      </c>
      <c r="J26264" s="41">
        <v>46143</v>
      </c>
      <c r="K26264" s="30" t="s">
        <v>22</v>
      </c>
    </row>
    <row r="26265" spans="1:11">
      <c r="A26265" s="33" t="s">
        <v>57753</v>
      </c>
      <c r="B26265" s="33" t="s">
        <v>57754</v>
      </c>
      <c r="C26265" s="33" t="s">
        <v>56957</v>
      </c>
      <c r="D26265" s="33" t="s">
        <v>17</v>
      </c>
      <c r="E26265" s="33" t="s">
        <v>67</v>
      </c>
      <c r="F26265" s="33" t="s">
        <v>68</v>
      </c>
      <c r="G26265" s="33" t="s">
        <v>140</v>
      </c>
      <c r="H26265" s="35">
        <v>60</v>
      </c>
      <c r="I26265" s="33" t="s">
        <v>51</v>
      </c>
      <c r="J26265" s="42">
        <v>46083</v>
      </c>
      <c r="K26265" s="33" t="s">
        <v>22</v>
      </c>
    </row>
    <row r="26266" spans="1:11">
      <c r="A26266" s="30" t="s">
        <v>57755</v>
      </c>
      <c r="B26266" s="30" t="s">
        <v>57756</v>
      </c>
      <c r="C26266" s="30" t="s">
        <v>9605</v>
      </c>
      <c r="D26266" s="30" t="s">
        <v>17</v>
      </c>
      <c r="E26266" s="30" t="s">
        <v>18</v>
      </c>
      <c r="F26266" s="30" t="s">
        <v>19</v>
      </c>
      <c r="G26266" s="30" t="s">
        <v>140</v>
      </c>
      <c r="H26266" s="32">
        <v>400</v>
      </c>
      <c r="I26266" s="30" t="s">
        <v>51</v>
      </c>
      <c r="J26266" s="41">
        <v>46142</v>
      </c>
      <c r="K26266" s="30" t="s">
        <v>22</v>
      </c>
    </row>
    <row r="26267" spans="1:11">
      <c r="A26267" s="33" t="s">
        <v>57757</v>
      </c>
      <c r="B26267" s="33" t="s">
        <v>57758</v>
      </c>
      <c r="C26267" s="33" t="s">
        <v>57759</v>
      </c>
      <c r="D26267" s="33" t="s">
        <v>17</v>
      </c>
      <c r="E26267" s="33" t="s">
        <v>31</v>
      </c>
      <c r="F26267" s="33" t="s">
        <v>32</v>
      </c>
      <c r="G26267" s="33" t="s">
        <v>140</v>
      </c>
      <c r="H26267" s="35">
        <v>232</v>
      </c>
      <c r="I26267" s="33" t="s">
        <v>51</v>
      </c>
      <c r="J26267" s="42">
        <v>46183</v>
      </c>
      <c r="K26267" s="33" t="s">
        <v>22</v>
      </c>
    </row>
    <row r="26268" spans="1:11">
      <c r="A26268" s="30" t="s">
        <v>57760</v>
      </c>
      <c r="B26268" s="30" t="s">
        <v>57761</v>
      </c>
      <c r="C26268" s="30" t="s">
        <v>57762</v>
      </c>
      <c r="D26268" s="30" t="s">
        <v>17</v>
      </c>
      <c r="E26268" s="30" t="s">
        <v>26</v>
      </c>
      <c r="F26268" s="30" t="s">
        <v>27</v>
      </c>
      <c r="G26268" s="30" t="s">
        <v>7780</v>
      </c>
      <c r="H26268" s="32">
        <v>18</v>
      </c>
      <c r="I26268" s="30" t="s">
        <v>51</v>
      </c>
      <c r="J26268" s="41">
        <v>46152</v>
      </c>
      <c r="K26268" s="30" t="s">
        <v>22</v>
      </c>
    </row>
    <row r="26269" spans="1:11">
      <c r="A26269" s="33" t="s">
        <v>57763</v>
      </c>
      <c r="B26269" s="33" t="s">
        <v>57396</v>
      </c>
      <c r="C26269" s="33" t="s">
        <v>56957</v>
      </c>
      <c r="D26269" s="33" t="s">
        <v>17</v>
      </c>
      <c r="E26269" s="33" t="s">
        <v>26</v>
      </c>
      <c r="F26269" s="33" t="s">
        <v>27</v>
      </c>
      <c r="G26269" s="33" t="s">
        <v>140</v>
      </c>
      <c r="H26269" s="35">
        <v>36</v>
      </c>
      <c r="I26269" s="33" t="s">
        <v>51</v>
      </c>
      <c r="J26269" s="42">
        <v>46055</v>
      </c>
      <c r="K26269" s="33" t="s">
        <v>22</v>
      </c>
    </row>
    <row r="26270" spans="1:11">
      <c r="A26270" s="30" t="s">
        <v>57764</v>
      </c>
      <c r="B26270" s="30" t="s">
        <v>57765</v>
      </c>
      <c r="C26270" s="30" t="s">
        <v>7072</v>
      </c>
      <c r="D26270" s="30" t="s">
        <v>17</v>
      </c>
      <c r="E26270" s="30" t="s">
        <v>31</v>
      </c>
      <c r="F26270" s="30" t="s">
        <v>32</v>
      </c>
      <c r="G26270" s="30" t="s">
        <v>7780</v>
      </c>
      <c r="H26270" s="32">
        <v>80</v>
      </c>
      <c r="I26270" s="30" t="s">
        <v>51</v>
      </c>
      <c r="J26270" s="41">
        <v>46203</v>
      </c>
      <c r="K26270" s="30" t="s">
        <v>22</v>
      </c>
    </row>
    <row r="26271" spans="1:11">
      <c r="A26271" s="33" t="s">
        <v>57766</v>
      </c>
      <c r="B26271" s="33" t="s">
        <v>57767</v>
      </c>
      <c r="C26271" s="33" t="s">
        <v>57768</v>
      </c>
      <c r="D26271" s="33" t="s">
        <v>17</v>
      </c>
      <c r="E26271" s="33" t="s">
        <v>31</v>
      </c>
      <c r="F26271" s="33" t="s">
        <v>32</v>
      </c>
      <c r="G26271" s="33" t="s">
        <v>112</v>
      </c>
      <c r="H26271" s="35">
        <v>0</v>
      </c>
      <c r="I26271" s="33" t="s">
        <v>21</v>
      </c>
      <c r="J26271" s="42">
        <v>46143</v>
      </c>
      <c r="K26271" s="33" t="s">
        <v>22</v>
      </c>
    </row>
    <row r="26272" spans="1:11">
      <c r="A26272" s="30" t="s">
        <v>57769</v>
      </c>
      <c r="B26272" s="30" t="s">
        <v>57770</v>
      </c>
      <c r="C26272" s="30" t="s">
        <v>109</v>
      </c>
      <c r="D26272" s="30" t="s">
        <v>17</v>
      </c>
      <c r="E26272" s="30" t="s">
        <v>212</v>
      </c>
      <c r="F26272" s="30" t="s">
        <v>213</v>
      </c>
      <c r="G26272" s="30" t="s">
        <v>140</v>
      </c>
      <c r="H26272" s="32">
        <v>36</v>
      </c>
      <c r="I26272" s="30" t="s">
        <v>51</v>
      </c>
      <c r="J26272" s="41">
        <v>46174</v>
      </c>
      <c r="K26272" s="30" t="s">
        <v>22</v>
      </c>
    </row>
    <row r="26273" spans="1:11">
      <c r="A26273" s="33" t="s">
        <v>57771</v>
      </c>
      <c r="B26273" s="33" t="s">
        <v>57772</v>
      </c>
      <c r="C26273" s="33" t="s">
        <v>50946</v>
      </c>
      <c r="D26273" s="33" t="s">
        <v>17</v>
      </c>
      <c r="E26273" s="33" t="s">
        <v>31</v>
      </c>
      <c r="F26273" s="33" t="s">
        <v>32</v>
      </c>
      <c r="G26273" s="33" t="s">
        <v>140</v>
      </c>
      <c r="H26273" s="35">
        <v>320</v>
      </c>
      <c r="I26273" s="33" t="s">
        <v>51</v>
      </c>
      <c r="J26273" s="42">
        <v>46118</v>
      </c>
      <c r="K26273" s="33" t="s">
        <v>22</v>
      </c>
    </row>
    <row r="26274" spans="1:11">
      <c r="A26274" s="30" t="s">
        <v>57773</v>
      </c>
      <c r="B26274" s="30" t="s">
        <v>57774</v>
      </c>
      <c r="C26274" s="30" t="s">
        <v>13577</v>
      </c>
      <c r="D26274" s="30" t="s">
        <v>17</v>
      </c>
      <c r="E26274" s="30" t="s">
        <v>31</v>
      </c>
      <c r="F26274" s="30" t="s">
        <v>32</v>
      </c>
      <c r="G26274" s="30" t="s">
        <v>140</v>
      </c>
      <c r="H26274" s="32">
        <v>264</v>
      </c>
      <c r="I26274" s="30" t="s">
        <v>51</v>
      </c>
      <c r="J26274" s="41">
        <v>46050</v>
      </c>
      <c r="K26274" s="30" t="s">
        <v>22</v>
      </c>
    </row>
    <row r="26275" spans="1:11">
      <c r="A26275" s="33" t="s">
        <v>57775</v>
      </c>
      <c r="B26275" s="33" t="s">
        <v>57776</v>
      </c>
      <c r="C26275" s="33" t="s">
        <v>33575</v>
      </c>
      <c r="D26275" s="33" t="s">
        <v>17</v>
      </c>
      <c r="E26275" s="33" t="s">
        <v>26</v>
      </c>
      <c r="F26275" s="33" t="s">
        <v>27</v>
      </c>
      <c r="G26275" s="33" t="s">
        <v>158</v>
      </c>
      <c r="H26275" s="35">
        <v>28</v>
      </c>
      <c r="I26275" s="33" t="s">
        <v>21</v>
      </c>
      <c r="J26275" s="42">
        <v>46027</v>
      </c>
      <c r="K26275" s="33" t="s">
        <v>22</v>
      </c>
    </row>
    <row r="26276" spans="1:11">
      <c r="A26276" s="30" t="s">
        <v>57777</v>
      </c>
      <c r="B26276" s="30" t="s">
        <v>57778</v>
      </c>
      <c r="C26276" s="30" t="s">
        <v>93</v>
      </c>
      <c r="D26276" s="30" t="s">
        <v>17</v>
      </c>
      <c r="E26276" s="30" t="s">
        <v>26</v>
      </c>
      <c r="F26276" s="30" t="s">
        <v>27</v>
      </c>
      <c r="G26276" s="30" t="s">
        <v>140</v>
      </c>
      <c r="H26276" s="32">
        <v>64</v>
      </c>
      <c r="I26276" s="30" t="s">
        <v>51</v>
      </c>
      <c r="J26276" s="41">
        <v>46197</v>
      </c>
      <c r="K26276" s="30" t="s">
        <v>22</v>
      </c>
    </row>
    <row r="26277" spans="1:11">
      <c r="A26277" s="33" t="s">
        <v>57779</v>
      </c>
      <c r="B26277" s="33" t="s">
        <v>57780</v>
      </c>
      <c r="C26277" s="33" t="s">
        <v>57781</v>
      </c>
      <c r="D26277" s="33" t="s">
        <v>17</v>
      </c>
      <c r="E26277" s="33" t="s">
        <v>26</v>
      </c>
      <c r="F26277" s="33" t="s">
        <v>27</v>
      </c>
      <c r="G26277" s="33" t="s">
        <v>140</v>
      </c>
      <c r="H26277" s="35">
        <v>4</v>
      </c>
      <c r="I26277" s="33" t="s">
        <v>51</v>
      </c>
      <c r="J26277" s="42">
        <v>46128</v>
      </c>
      <c r="K26277" s="33" t="s">
        <v>22</v>
      </c>
    </row>
    <row r="26278" spans="1:11">
      <c r="A26278" s="30" t="s">
        <v>57782</v>
      </c>
      <c r="B26278" s="30" t="s">
        <v>57783</v>
      </c>
      <c r="C26278" s="30" t="s">
        <v>51373</v>
      </c>
      <c r="D26278" s="30" t="s">
        <v>17</v>
      </c>
      <c r="E26278" s="30" t="s">
        <v>26</v>
      </c>
      <c r="F26278" s="30" t="s">
        <v>27</v>
      </c>
      <c r="G26278" s="30" t="s">
        <v>7780</v>
      </c>
      <c r="H26278" s="32">
        <v>40</v>
      </c>
      <c r="I26278" s="30" t="s">
        <v>51</v>
      </c>
      <c r="J26278" s="41">
        <v>46128</v>
      </c>
      <c r="K26278" s="30" t="s">
        <v>22</v>
      </c>
    </row>
    <row r="26279" spans="1:11">
      <c r="A26279" s="33" t="s">
        <v>57784</v>
      </c>
      <c r="B26279" s="33" t="s">
        <v>57785</v>
      </c>
      <c r="C26279" s="33" t="s">
        <v>136</v>
      </c>
      <c r="D26279" s="33" t="s">
        <v>17</v>
      </c>
      <c r="E26279" s="33" t="s">
        <v>212</v>
      </c>
      <c r="F26279" s="33" t="s">
        <v>213</v>
      </c>
      <c r="G26279" s="33" t="s">
        <v>140</v>
      </c>
      <c r="H26279" s="35">
        <v>150</v>
      </c>
      <c r="I26279" s="33" t="s">
        <v>51</v>
      </c>
      <c r="J26279" s="42">
        <v>46090</v>
      </c>
      <c r="K26279" s="33" t="s">
        <v>22</v>
      </c>
    </row>
    <row r="26280" spans="1:11">
      <c r="A26280" s="30" t="s">
        <v>57786</v>
      </c>
      <c r="B26280" s="30" t="s">
        <v>57787</v>
      </c>
      <c r="C26280" s="30" t="s">
        <v>20161</v>
      </c>
      <c r="D26280" s="30" t="s">
        <v>17</v>
      </c>
      <c r="E26280" s="30" t="s">
        <v>31</v>
      </c>
      <c r="F26280" s="30" t="s">
        <v>32</v>
      </c>
      <c r="G26280" s="30" t="s">
        <v>140</v>
      </c>
      <c r="H26280" s="32">
        <v>220</v>
      </c>
      <c r="I26280" s="30" t="s">
        <v>51</v>
      </c>
      <c r="J26280" s="41">
        <v>46122</v>
      </c>
      <c r="K26280" s="30" t="s">
        <v>22</v>
      </c>
    </row>
    <row r="26281" spans="1:11">
      <c r="A26281" s="33" t="s">
        <v>57788</v>
      </c>
      <c r="B26281" s="33" t="s">
        <v>57789</v>
      </c>
      <c r="C26281" s="33" t="s">
        <v>50135</v>
      </c>
      <c r="D26281" s="33" t="s">
        <v>17</v>
      </c>
      <c r="E26281" s="33" t="s">
        <v>26</v>
      </c>
      <c r="F26281" s="33" t="s">
        <v>27</v>
      </c>
      <c r="G26281" s="33" t="s">
        <v>140</v>
      </c>
      <c r="H26281" s="35">
        <v>150</v>
      </c>
      <c r="I26281" s="33" t="s">
        <v>51</v>
      </c>
      <c r="J26281" s="42">
        <v>46085</v>
      </c>
      <c r="K26281" s="33" t="s">
        <v>22</v>
      </c>
    </row>
    <row r="26282" spans="1:11">
      <c r="A26282" s="30" t="s">
        <v>57790</v>
      </c>
      <c r="B26282" s="30" t="s">
        <v>57791</v>
      </c>
      <c r="C26282" s="30" t="s">
        <v>37452</v>
      </c>
      <c r="D26282" s="30" t="s">
        <v>17</v>
      </c>
      <c r="E26282" s="30" t="s">
        <v>18</v>
      </c>
      <c r="F26282" s="30" t="s">
        <v>19</v>
      </c>
      <c r="G26282" s="30" t="s">
        <v>140</v>
      </c>
      <c r="H26282" s="32">
        <v>24</v>
      </c>
      <c r="I26282" s="30" t="s">
        <v>51</v>
      </c>
      <c r="J26282" s="41">
        <v>46113</v>
      </c>
      <c r="K26282" s="30" t="s">
        <v>22</v>
      </c>
    </row>
    <row r="26283" spans="1:11">
      <c r="A26283" s="33" t="s">
        <v>57792</v>
      </c>
      <c r="B26283" s="33" t="s">
        <v>57793</v>
      </c>
      <c r="C26283" s="33" t="s">
        <v>570</v>
      </c>
      <c r="D26283" s="33" t="s">
        <v>17</v>
      </c>
      <c r="E26283" s="33" t="s">
        <v>26</v>
      </c>
      <c r="F26283" s="33" t="s">
        <v>27</v>
      </c>
      <c r="G26283" s="33" t="s">
        <v>7780</v>
      </c>
      <c r="H26283" s="35">
        <v>140</v>
      </c>
      <c r="I26283" s="33" t="s">
        <v>51</v>
      </c>
      <c r="J26283" s="42">
        <v>46223</v>
      </c>
      <c r="K26283" s="33" t="s">
        <v>22</v>
      </c>
    </row>
    <row r="26284" spans="1:11">
      <c r="A26284" s="30" t="s">
        <v>57794</v>
      </c>
      <c r="B26284" s="30" t="s">
        <v>57795</v>
      </c>
      <c r="C26284" s="30" t="s">
        <v>57796</v>
      </c>
      <c r="D26284" s="30" t="s">
        <v>17</v>
      </c>
      <c r="E26284" s="30" t="s">
        <v>26</v>
      </c>
      <c r="F26284" s="30" t="s">
        <v>27</v>
      </c>
      <c r="G26284" s="30" t="s">
        <v>140</v>
      </c>
      <c r="H26284" s="32">
        <v>116</v>
      </c>
      <c r="I26284" s="30" t="s">
        <v>51</v>
      </c>
      <c r="J26284" s="41">
        <v>46099</v>
      </c>
      <c r="K26284" s="30" t="s">
        <v>22</v>
      </c>
    </row>
    <row r="26285" spans="1:11">
      <c r="A26285" s="33" t="s">
        <v>57797</v>
      </c>
      <c r="B26285" s="33" t="s">
        <v>57798</v>
      </c>
      <c r="C26285" s="33" t="s">
        <v>15585</v>
      </c>
      <c r="D26285" s="33" t="s">
        <v>17</v>
      </c>
      <c r="E26285" s="33" t="s">
        <v>26</v>
      </c>
      <c r="F26285" s="33" t="s">
        <v>27</v>
      </c>
      <c r="G26285" s="33" t="s">
        <v>7780</v>
      </c>
      <c r="H26285" s="35">
        <v>100</v>
      </c>
      <c r="I26285" s="33" t="s">
        <v>51</v>
      </c>
      <c r="J26285" s="42">
        <v>46204</v>
      </c>
      <c r="K26285" s="33" t="s">
        <v>22</v>
      </c>
    </row>
    <row r="26286" spans="1:11">
      <c r="A26286" s="30" t="s">
        <v>57799</v>
      </c>
      <c r="B26286" s="30" t="s">
        <v>57800</v>
      </c>
      <c r="C26286" s="30" t="s">
        <v>2562</v>
      </c>
      <c r="D26286" s="30" t="s">
        <v>17</v>
      </c>
      <c r="E26286" s="30" t="s">
        <v>31</v>
      </c>
      <c r="F26286" s="30" t="s">
        <v>32</v>
      </c>
      <c r="G26286" s="30" t="s">
        <v>7780</v>
      </c>
      <c r="H26286" s="32">
        <v>120</v>
      </c>
      <c r="I26286" s="30" t="s">
        <v>51</v>
      </c>
      <c r="J26286" s="41">
        <v>46173</v>
      </c>
      <c r="K26286" s="30" t="s">
        <v>22</v>
      </c>
    </row>
    <row r="26287" spans="1:11">
      <c r="A26287" s="33" t="s">
        <v>57801</v>
      </c>
      <c r="B26287" s="33" t="s">
        <v>57802</v>
      </c>
      <c r="C26287" s="33" t="s">
        <v>12099</v>
      </c>
      <c r="D26287" s="33" t="s">
        <v>17</v>
      </c>
      <c r="E26287" s="33" t="s">
        <v>31</v>
      </c>
      <c r="F26287" s="33" t="s">
        <v>32</v>
      </c>
      <c r="G26287" s="33" t="s">
        <v>7780</v>
      </c>
      <c r="H26287" s="35">
        <v>330</v>
      </c>
      <c r="I26287" s="33" t="s">
        <v>51</v>
      </c>
      <c r="J26287" s="42">
        <v>46172</v>
      </c>
      <c r="K26287" s="33" t="s">
        <v>22</v>
      </c>
    </row>
    <row r="26288" spans="1:11">
      <c r="A26288" s="30" t="s">
        <v>57803</v>
      </c>
      <c r="B26288" s="30" t="s">
        <v>57804</v>
      </c>
      <c r="C26288" s="30" t="s">
        <v>3660</v>
      </c>
      <c r="D26288" s="30" t="s">
        <v>17</v>
      </c>
      <c r="E26288" s="30" t="s">
        <v>18</v>
      </c>
      <c r="F26288" s="30" t="s">
        <v>19</v>
      </c>
      <c r="G26288" s="30" t="s">
        <v>140</v>
      </c>
      <c r="H26288" s="32">
        <v>240</v>
      </c>
      <c r="I26288" s="30" t="s">
        <v>51</v>
      </c>
      <c r="J26288" s="41">
        <v>46069</v>
      </c>
      <c r="K26288" s="30" t="s">
        <v>22</v>
      </c>
    </row>
    <row r="26289" spans="1:11">
      <c r="A26289" s="33" t="s">
        <v>57805</v>
      </c>
      <c r="B26289" s="33" t="s">
        <v>57806</v>
      </c>
      <c r="C26289" s="33" t="s">
        <v>11793</v>
      </c>
      <c r="D26289" s="33" t="s">
        <v>17</v>
      </c>
      <c r="E26289" s="33" t="s">
        <v>26</v>
      </c>
      <c r="F26289" s="33" t="s">
        <v>27</v>
      </c>
      <c r="G26289" s="33" t="s">
        <v>140</v>
      </c>
      <c r="H26289" s="35">
        <v>18</v>
      </c>
      <c r="I26289" s="33" t="s">
        <v>51</v>
      </c>
      <c r="J26289" s="42">
        <v>46203</v>
      </c>
      <c r="K26289" s="33" t="s">
        <v>22</v>
      </c>
    </row>
    <row r="26290" spans="1:11">
      <c r="A26290" s="30" t="s">
        <v>57807</v>
      </c>
      <c r="B26290" s="30" t="s">
        <v>57808</v>
      </c>
      <c r="C26290" s="30" t="s">
        <v>21978</v>
      </c>
      <c r="D26290" s="30" t="s">
        <v>17</v>
      </c>
      <c r="E26290" s="30" t="s">
        <v>45</v>
      </c>
      <c r="F26290" s="30" t="s">
        <v>46</v>
      </c>
      <c r="G26290" s="30" t="s">
        <v>140</v>
      </c>
      <c r="H26290" s="32">
        <v>16</v>
      </c>
      <c r="I26290" s="30" t="s">
        <v>51</v>
      </c>
      <c r="J26290" s="41">
        <v>46100</v>
      </c>
      <c r="K26290" s="30" t="s">
        <v>22</v>
      </c>
    </row>
    <row r="26291" spans="1:11">
      <c r="A26291" s="33" t="s">
        <v>57809</v>
      </c>
      <c r="B26291" s="33" t="s">
        <v>57810</v>
      </c>
      <c r="C26291" s="33" t="s">
        <v>124</v>
      </c>
      <c r="D26291" s="33" t="s">
        <v>17</v>
      </c>
      <c r="E26291" s="33" t="s">
        <v>26</v>
      </c>
      <c r="F26291" s="33" t="s">
        <v>27</v>
      </c>
      <c r="G26291" s="33" t="s">
        <v>140</v>
      </c>
      <c r="H26291" s="35">
        <v>159</v>
      </c>
      <c r="I26291" s="33" t="s">
        <v>51</v>
      </c>
      <c r="J26291" s="42">
        <v>46087</v>
      </c>
      <c r="K26291" s="33" t="s">
        <v>22</v>
      </c>
    </row>
    <row r="26292" spans="1:11">
      <c r="A26292" s="30" t="s">
        <v>57811</v>
      </c>
      <c r="B26292" s="30" t="s">
        <v>57812</v>
      </c>
      <c r="C26292" s="30" t="s">
        <v>93</v>
      </c>
      <c r="D26292" s="30" t="s">
        <v>17</v>
      </c>
      <c r="E26292" s="30" t="s">
        <v>31</v>
      </c>
      <c r="F26292" s="30" t="s">
        <v>32</v>
      </c>
      <c r="G26292" s="30" t="s">
        <v>7780</v>
      </c>
      <c r="H26292" s="32">
        <v>2000</v>
      </c>
      <c r="I26292" s="30" t="s">
        <v>51</v>
      </c>
      <c r="J26292" s="41">
        <v>46227</v>
      </c>
      <c r="K26292" s="30" t="s">
        <v>22</v>
      </c>
    </row>
    <row r="26293" spans="1:11">
      <c r="A26293" s="33" t="s">
        <v>57813</v>
      </c>
      <c r="B26293" s="33" t="s">
        <v>57814</v>
      </c>
      <c r="C26293" s="33" t="s">
        <v>124</v>
      </c>
      <c r="D26293" s="33" t="s">
        <v>17</v>
      </c>
      <c r="E26293" s="33" t="s">
        <v>18</v>
      </c>
      <c r="F26293" s="33" t="s">
        <v>19</v>
      </c>
      <c r="G26293" s="33" t="s">
        <v>7780</v>
      </c>
      <c r="H26293" s="35">
        <v>300</v>
      </c>
      <c r="I26293" s="33" t="s">
        <v>51</v>
      </c>
      <c r="J26293" s="42">
        <v>46213</v>
      </c>
      <c r="K26293" s="33" t="s">
        <v>22</v>
      </c>
    </row>
    <row r="26294" spans="1:11">
      <c r="A26294" s="30" t="s">
        <v>57815</v>
      </c>
      <c r="B26294" s="30" t="s">
        <v>57816</v>
      </c>
      <c r="C26294" s="30" t="s">
        <v>187</v>
      </c>
      <c r="D26294" s="30" t="s">
        <v>17</v>
      </c>
      <c r="E26294" s="30" t="s">
        <v>212</v>
      </c>
      <c r="F26294" s="30" t="s">
        <v>213</v>
      </c>
      <c r="G26294" s="30" t="s">
        <v>7780</v>
      </c>
      <c r="H26294" s="32">
        <v>30</v>
      </c>
      <c r="I26294" s="30" t="s">
        <v>51</v>
      </c>
      <c r="J26294" s="41">
        <v>46143</v>
      </c>
      <c r="K26294" s="30" t="s">
        <v>22</v>
      </c>
    </row>
    <row r="26295" spans="1:11">
      <c r="A26295" s="33" t="s">
        <v>57817</v>
      </c>
      <c r="B26295" s="33" t="s">
        <v>57818</v>
      </c>
      <c r="C26295" s="33" t="s">
        <v>75</v>
      </c>
      <c r="D26295" s="33" t="s">
        <v>17</v>
      </c>
      <c r="E26295" s="33" t="s">
        <v>67</v>
      </c>
      <c r="F26295" s="33" t="s">
        <v>68</v>
      </c>
      <c r="G26295" s="33" t="s">
        <v>140</v>
      </c>
      <c r="H26295" s="35">
        <v>254</v>
      </c>
      <c r="I26295" s="33" t="s">
        <v>51</v>
      </c>
      <c r="J26295" s="42">
        <v>46107</v>
      </c>
      <c r="K26295" s="33" t="s">
        <v>22</v>
      </c>
    </row>
    <row r="26296" spans="1:11">
      <c r="A26296" s="30" t="s">
        <v>57819</v>
      </c>
      <c r="B26296" s="30" t="s">
        <v>57820</v>
      </c>
      <c r="C26296" s="30" t="s">
        <v>190</v>
      </c>
      <c r="D26296" s="30" t="s">
        <v>17</v>
      </c>
      <c r="E26296" s="30" t="s">
        <v>31</v>
      </c>
      <c r="F26296" s="30" t="s">
        <v>32</v>
      </c>
      <c r="G26296" s="30" t="s">
        <v>140</v>
      </c>
      <c r="H26296" s="32">
        <v>69</v>
      </c>
      <c r="I26296" s="30" t="s">
        <v>51</v>
      </c>
      <c r="J26296" s="41">
        <v>46126</v>
      </c>
      <c r="K26296" s="30" t="s">
        <v>22</v>
      </c>
    </row>
    <row r="26297" spans="1:11">
      <c r="A26297" s="33" t="s">
        <v>57821</v>
      </c>
      <c r="B26297" s="33" t="s">
        <v>57822</v>
      </c>
      <c r="C26297" s="33" t="s">
        <v>4348</v>
      </c>
      <c r="D26297" s="33" t="s">
        <v>17</v>
      </c>
      <c r="E26297" s="33" t="s">
        <v>18</v>
      </c>
      <c r="F26297" s="33" t="s">
        <v>19</v>
      </c>
      <c r="G26297" s="33" t="s">
        <v>140</v>
      </c>
      <c r="H26297" s="35">
        <v>596</v>
      </c>
      <c r="I26297" s="33" t="s">
        <v>51</v>
      </c>
      <c r="J26297" s="42">
        <v>46133</v>
      </c>
      <c r="K26297" s="33" t="s">
        <v>22</v>
      </c>
    </row>
    <row r="26298" spans="1:11">
      <c r="A26298" s="30" t="s">
        <v>57823</v>
      </c>
      <c r="B26298" s="30" t="s">
        <v>57824</v>
      </c>
      <c r="C26298" s="30" t="s">
        <v>96</v>
      </c>
      <c r="D26298" s="30" t="s">
        <v>17</v>
      </c>
      <c r="E26298" s="30" t="s">
        <v>67</v>
      </c>
      <c r="F26298" s="30" t="s">
        <v>68</v>
      </c>
      <c r="G26298" s="30" t="s">
        <v>140</v>
      </c>
      <c r="H26298" s="32">
        <v>132</v>
      </c>
      <c r="I26298" s="30" t="s">
        <v>51</v>
      </c>
      <c r="J26298" s="41">
        <v>46092</v>
      </c>
      <c r="K26298" s="30" t="s">
        <v>22</v>
      </c>
    </row>
    <row r="26299" spans="1:11">
      <c r="A26299" s="33" t="s">
        <v>57825</v>
      </c>
      <c r="B26299" s="33" t="s">
        <v>57826</v>
      </c>
      <c r="C26299" s="33" t="s">
        <v>57827</v>
      </c>
      <c r="D26299" s="33" t="s">
        <v>17</v>
      </c>
      <c r="E26299" s="33" t="s">
        <v>26</v>
      </c>
      <c r="F26299" s="33" t="s">
        <v>27</v>
      </c>
      <c r="G26299" s="33" t="s">
        <v>7780</v>
      </c>
      <c r="H26299" s="35">
        <v>420</v>
      </c>
      <c r="I26299" s="33" t="s">
        <v>51</v>
      </c>
      <c r="J26299" s="42">
        <v>46188</v>
      </c>
      <c r="K26299" s="33" t="s">
        <v>22</v>
      </c>
    </row>
    <row r="26300" spans="1:11">
      <c r="A26300" s="30" t="s">
        <v>57828</v>
      </c>
      <c r="B26300" s="30" t="s">
        <v>57829</v>
      </c>
      <c r="C26300" s="30" t="s">
        <v>10646</v>
      </c>
      <c r="D26300" s="30" t="s">
        <v>17</v>
      </c>
      <c r="E26300" s="30" t="s">
        <v>31</v>
      </c>
      <c r="F26300" s="30" t="s">
        <v>32</v>
      </c>
      <c r="G26300" s="30" t="s">
        <v>140</v>
      </c>
      <c r="H26300" s="32">
        <v>210</v>
      </c>
      <c r="I26300" s="30" t="s">
        <v>51</v>
      </c>
      <c r="J26300" s="41">
        <v>46203</v>
      </c>
      <c r="K26300" s="30" t="s">
        <v>22</v>
      </c>
    </row>
    <row r="26301" spans="1:11">
      <c r="A26301" s="33" t="s">
        <v>57830</v>
      </c>
      <c r="B26301" s="33" t="s">
        <v>57831</v>
      </c>
      <c r="C26301" s="33" t="s">
        <v>517</v>
      </c>
      <c r="D26301" s="33" t="s">
        <v>17</v>
      </c>
      <c r="E26301" s="33" t="s">
        <v>26</v>
      </c>
      <c r="F26301" s="33" t="s">
        <v>27</v>
      </c>
      <c r="G26301" s="33" t="s">
        <v>20</v>
      </c>
      <c r="H26301" s="35">
        <v>60</v>
      </c>
      <c r="I26301" s="33" t="s">
        <v>21</v>
      </c>
      <c r="J26301" s="42">
        <v>46063</v>
      </c>
      <c r="K26301" s="33" t="s">
        <v>22</v>
      </c>
    </row>
    <row r="26302" spans="1:11">
      <c r="A26302" s="30" t="s">
        <v>57832</v>
      </c>
      <c r="B26302" s="30" t="s">
        <v>57833</v>
      </c>
      <c r="C26302" s="30" t="s">
        <v>647</v>
      </c>
      <c r="D26302" s="30" t="s">
        <v>17</v>
      </c>
      <c r="E26302" s="30" t="s">
        <v>31</v>
      </c>
      <c r="F26302" s="30" t="s">
        <v>32</v>
      </c>
      <c r="G26302" s="30" t="s">
        <v>140</v>
      </c>
      <c r="H26302" s="32">
        <v>750</v>
      </c>
      <c r="I26302" s="30" t="s">
        <v>51</v>
      </c>
      <c r="J26302" s="41">
        <v>46203</v>
      </c>
      <c r="K26302" s="30" t="s">
        <v>22</v>
      </c>
    </row>
    <row r="26303" spans="1:11">
      <c r="A26303" s="33" t="s">
        <v>57834</v>
      </c>
      <c r="B26303" s="33" t="s">
        <v>57835</v>
      </c>
      <c r="C26303" s="33" t="s">
        <v>54656</v>
      </c>
      <c r="D26303" s="33" t="s">
        <v>17</v>
      </c>
      <c r="E26303" s="33" t="s">
        <v>67</v>
      </c>
      <c r="F26303" s="33" t="s">
        <v>68</v>
      </c>
      <c r="G26303" s="33" t="s">
        <v>7780</v>
      </c>
      <c r="H26303" s="35">
        <v>52</v>
      </c>
      <c r="I26303" s="33" t="s">
        <v>51</v>
      </c>
      <c r="J26303" s="42">
        <v>46213</v>
      </c>
      <c r="K26303" s="33" t="s">
        <v>22</v>
      </c>
    </row>
    <row r="26304" spans="1:11">
      <c r="A26304" s="30" t="s">
        <v>57836</v>
      </c>
      <c r="B26304" s="30" t="s">
        <v>57837</v>
      </c>
      <c r="C26304" s="30" t="s">
        <v>190</v>
      </c>
      <c r="D26304" s="30" t="s">
        <v>17</v>
      </c>
      <c r="E26304" s="30" t="s">
        <v>31</v>
      </c>
      <c r="F26304" s="30" t="s">
        <v>32</v>
      </c>
      <c r="G26304" s="30" t="s">
        <v>7780</v>
      </c>
      <c r="H26304" s="32">
        <v>24</v>
      </c>
      <c r="I26304" s="30" t="s">
        <v>51</v>
      </c>
      <c r="J26304" s="41">
        <v>46231</v>
      </c>
      <c r="K26304" s="30" t="s">
        <v>22</v>
      </c>
    </row>
    <row r="26305" spans="1:11">
      <c r="A26305" s="33" t="s">
        <v>57838</v>
      </c>
      <c r="B26305" s="33" t="s">
        <v>57839</v>
      </c>
      <c r="C26305" s="33" t="s">
        <v>7072</v>
      </c>
      <c r="D26305" s="33" t="s">
        <v>17</v>
      </c>
      <c r="E26305" s="33" t="s">
        <v>31</v>
      </c>
      <c r="F26305" s="33" t="s">
        <v>32</v>
      </c>
      <c r="G26305" s="33" t="s">
        <v>158</v>
      </c>
      <c r="H26305" s="35">
        <v>20</v>
      </c>
      <c r="I26305" s="33" t="s">
        <v>51</v>
      </c>
      <c r="J26305" s="42">
        <v>46038</v>
      </c>
      <c r="K26305" s="33" t="s">
        <v>22</v>
      </c>
    </row>
    <row r="26306" spans="1:11">
      <c r="A26306" s="30" t="s">
        <v>57840</v>
      </c>
      <c r="B26306" s="30" t="s">
        <v>57841</v>
      </c>
      <c r="C26306" s="30" t="s">
        <v>93</v>
      </c>
      <c r="D26306" s="30" t="s">
        <v>17</v>
      </c>
      <c r="E26306" s="30" t="s">
        <v>26</v>
      </c>
      <c r="F26306" s="30" t="s">
        <v>27</v>
      </c>
      <c r="G26306" s="30" t="s">
        <v>158</v>
      </c>
      <c r="H26306" s="32">
        <v>8</v>
      </c>
      <c r="I26306" s="30" t="s">
        <v>21</v>
      </c>
      <c r="J26306" s="41">
        <v>46146</v>
      </c>
      <c r="K26306" s="30" t="s">
        <v>22</v>
      </c>
    </row>
    <row r="26307" spans="1:11">
      <c r="A26307" s="33" t="s">
        <v>57842</v>
      </c>
      <c r="B26307" s="33" t="s">
        <v>57843</v>
      </c>
      <c r="C26307" s="33" t="s">
        <v>12561</v>
      </c>
      <c r="D26307" s="33" t="s">
        <v>17</v>
      </c>
      <c r="E26307" s="33" t="s">
        <v>26</v>
      </c>
      <c r="F26307" s="33" t="s">
        <v>27</v>
      </c>
      <c r="G26307" s="33" t="s">
        <v>7780</v>
      </c>
      <c r="H26307" s="35">
        <v>45</v>
      </c>
      <c r="I26307" s="33" t="s">
        <v>51</v>
      </c>
      <c r="J26307" s="42">
        <v>46203</v>
      </c>
      <c r="K26307" s="33" t="s">
        <v>22</v>
      </c>
    </row>
    <row r="26308" spans="1:11">
      <c r="A26308" s="30" t="s">
        <v>57844</v>
      </c>
      <c r="B26308" s="30" t="s">
        <v>57845</v>
      </c>
      <c r="C26308" s="30" t="s">
        <v>39233</v>
      </c>
      <c r="D26308" s="30" t="s">
        <v>17</v>
      </c>
      <c r="E26308" s="30" t="s">
        <v>31</v>
      </c>
      <c r="F26308" s="30" t="s">
        <v>32</v>
      </c>
      <c r="G26308" s="30" t="s">
        <v>7780</v>
      </c>
      <c r="H26308" s="32">
        <v>100</v>
      </c>
      <c r="I26308" s="30" t="s">
        <v>51</v>
      </c>
      <c r="J26308" s="41">
        <v>46193</v>
      </c>
      <c r="K26308" s="30" t="s">
        <v>22</v>
      </c>
    </row>
    <row r="26309" spans="1:11">
      <c r="A26309" s="33" t="s">
        <v>57846</v>
      </c>
      <c r="B26309" s="33" t="s">
        <v>57847</v>
      </c>
      <c r="C26309" s="33" t="s">
        <v>57848</v>
      </c>
      <c r="D26309" s="33" t="s">
        <v>17</v>
      </c>
      <c r="E26309" s="33" t="s">
        <v>26</v>
      </c>
      <c r="F26309" s="33" t="s">
        <v>27</v>
      </c>
      <c r="G26309" s="33" t="s">
        <v>140</v>
      </c>
      <c r="H26309" s="35">
        <v>5</v>
      </c>
      <c r="I26309" s="33" t="s">
        <v>51</v>
      </c>
      <c r="J26309" s="42">
        <v>46096</v>
      </c>
      <c r="K26309" s="33" t="s">
        <v>22</v>
      </c>
    </row>
    <row r="26310" spans="1:11">
      <c r="A26310" s="30" t="s">
        <v>57849</v>
      </c>
      <c r="B26310" s="30" t="s">
        <v>57850</v>
      </c>
      <c r="C26310" s="30" t="s">
        <v>178</v>
      </c>
      <c r="D26310" s="30" t="s">
        <v>17</v>
      </c>
      <c r="E26310" s="30" t="s">
        <v>26</v>
      </c>
      <c r="F26310" s="30" t="s">
        <v>27</v>
      </c>
      <c r="G26310" s="30" t="s">
        <v>140</v>
      </c>
      <c r="H26310" s="32">
        <v>36</v>
      </c>
      <c r="I26310" s="30" t="s">
        <v>51</v>
      </c>
      <c r="J26310" s="41">
        <v>46205</v>
      </c>
      <c r="K26310" s="30" t="s">
        <v>22</v>
      </c>
    </row>
    <row r="26311" spans="1:11">
      <c r="A26311" s="33" t="s">
        <v>57851</v>
      </c>
      <c r="B26311" s="33" t="s">
        <v>57852</v>
      </c>
      <c r="C26311" s="33" t="s">
        <v>23929</v>
      </c>
      <c r="D26311" s="33" t="s">
        <v>17</v>
      </c>
      <c r="E26311" s="33" t="s">
        <v>45</v>
      </c>
      <c r="F26311" s="33" t="s">
        <v>46</v>
      </c>
      <c r="G26311" s="33" t="s">
        <v>140</v>
      </c>
      <c r="H26311" s="35">
        <v>64</v>
      </c>
      <c r="I26311" s="33" t="s">
        <v>51</v>
      </c>
      <c r="J26311" s="42">
        <v>46088</v>
      </c>
      <c r="K26311" s="33" t="s">
        <v>22</v>
      </c>
    </row>
    <row r="26312" spans="1:11">
      <c r="A26312" s="30" t="s">
        <v>57853</v>
      </c>
      <c r="B26312" s="30" t="s">
        <v>57854</v>
      </c>
      <c r="C26312" s="30" t="s">
        <v>6127</v>
      </c>
      <c r="D26312" s="30" t="s">
        <v>17</v>
      </c>
      <c r="E26312" s="30" t="s">
        <v>67</v>
      </c>
      <c r="F26312" s="30" t="s">
        <v>68</v>
      </c>
      <c r="G26312" s="30" t="s">
        <v>140</v>
      </c>
      <c r="H26312" s="32">
        <v>156</v>
      </c>
      <c r="I26312" s="30" t="s">
        <v>51</v>
      </c>
      <c r="J26312" s="41">
        <v>46083</v>
      </c>
      <c r="K26312" s="30" t="s">
        <v>22</v>
      </c>
    </row>
    <row r="26313" spans="1:11">
      <c r="A26313" s="33" t="s">
        <v>57855</v>
      </c>
      <c r="B26313" s="33" t="s">
        <v>57856</v>
      </c>
      <c r="C26313" s="33" t="s">
        <v>36231</v>
      </c>
      <c r="D26313" s="33" t="s">
        <v>17</v>
      </c>
      <c r="E26313" s="33" t="s">
        <v>26</v>
      </c>
      <c r="F26313" s="33" t="s">
        <v>27</v>
      </c>
      <c r="G26313" s="33" t="s">
        <v>7780</v>
      </c>
      <c r="H26313" s="35">
        <v>40</v>
      </c>
      <c r="I26313" s="33" t="s">
        <v>51</v>
      </c>
      <c r="J26313" s="42">
        <v>46221</v>
      </c>
      <c r="K26313" s="33" t="s">
        <v>22</v>
      </c>
    </row>
    <row r="26314" spans="1:11">
      <c r="A26314" s="30" t="s">
        <v>57857</v>
      </c>
      <c r="B26314" s="30" t="s">
        <v>57858</v>
      </c>
      <c r="C26314" s="30" t="s">
        <v>25177</v>
      </c>
      <c r="D26314" s="30" t="s">
        <v>17</v>
      </c>
      <c r="E26314" s="30" t="s">
        <v>330</v>
      </c>
      <c r="F26314" s="30" t="s">
        <v>331</v>
      </c>
      <c r="G26314" s="30" t="s">
        <v>140</v>
      </c>
      <c r="H26314" s="32">
        <v>24</v>
      </c>
      <c r="I26314" s="30" t="s">
        <v>51</v>
      </c>
      <c r="J26314" s="41">
        <v>46081</v>
      </c>
      <c r="K26314" s="30" t="s">
        <v>22</v>
      </c>
    </row>
    <row r="26315" spans="1:11">
      <c r="A26315" s="33" t="s">
        <v>57859</v>
      </c>
      <c r="B26315" s="33" t="s">
        <v>57860</v>
      </c>
      <c r="C26315" s="33" t="s">
        <v>57861</v>
      </c>
      <c r="D26315" s="33" t="s">
        <v>17</v>
      </c>
      <c r="E26315" s="33" t="s">
        <v>31</v>
      </c>
      <c r="F26315" s="33" t="s">
        <v>32</v>
      </c>
      <c r="G26315" s="33" t="s">
        <v>7780</v>
      </c>
      <c r="H26315" s="35">
        <v>100</v>
      </c>
      <c r="I26315" s="33" t="s">
        <v>51</v>
      </c>
      <c r="J26315" s="42">
        <v>46143</v>
      </c>
      <c r="K26315" s="33" t="s">
        <v>22</v>
      </c>
    </row>
    <row r="26316" spans="1:11">
      <c r="A26316" s="30" t="s">
        <v>57862</v>
      </c>
      <c r="B26316" s="30" t="s">
        <v>57863</v>
      </c>
      <c r="C26316" s="30" t="s">
        <v>57864</v>
      </c>
      <c r="D26316" s="30" t="s">
        <v>17</v>
      </c>
      <c r="E26316" s="30" t="s">
        <v>26</v>
      </c>
      <c r="F26316" s="30" t="s">
        <v>27</v>
      </c>
      <c r="G26316" s="30" t="s">
        <v>140</v>
      </c>
      <c r="H26316" s="32">
        <v>9</v>
      </c>
      <c r="I26316" s="30" t="s">
        <v>51</v>
      </c>
      <c r="J26316" s="41">
        <v>46143</v>
      </c>
      <c r="K26316" s="30" t="s">
        <v>22</v>
      </c>
    </row>
    <row r="26317" spans="1:11">
      <c r="A26317" s="33" t="s">
        <v>57865</v>
      </c>
      <c r="B26317" s="33" t="s">
        <v>57866</v>
      </c>
      <c r="C26317" s="33" t="s">
        <v>11899</v>
      </c>
      <c r="D26317" s="33" t="s">
        <v>17</v>
      </c>
      <c r="E26317" s="33" t="s">
        <v>18</v>
      </c>
      <c r="F26317" s="33" t="s">
        <v>19</v>
      </c>
      <c r="G26317" s="33" t="s">
        <v>140</v>
      </c>
      <c r="H26317" s="35">
        <v>604</v>
      </c>
      <c r="I26317" s="33" t="s">
        <v>51</v>
      </c>
      <c r="J26317" s="42">
        <v>46043</v>
      </c>
      <c r="K26317" s="33" t="s">
        <v>22</v>
      </c>
    </row>
    <row r="26318" spans="1:11">
      <c r="A26318" s="30" t="s">
        <v>57867</v>
      </c>
      <c r="B26318" s="30" t="s">
        <v>57868</v>
      </c>
      <c r="C26318" s="30" t="s">
        <v>310</v>
      </c>
      <c r="D26318" s="30" t="s">
        <v>17</v>
      </c>
      <c r="E26318" s="30" t="s">
        <v>26</v>
      </c>
      <c r="F26318" s="30" t="s">
        <v>27</v>
      </c>
      <c r="G26318" s="30" t="s">
        <v>7780</v>
      </c>
      <c r="H26318" s="32">
        <v>44</v>
      </c>
      <c r="I26318" s="30" t="s">
        <v>51</v>
      </c>
      <c r="J26318" s="41">
        <v>46218</v>
      </c>
      <c r="K26318" s="30" t="s">
        <v>22</v>
      </c>
    </row>
    <row r="26319" spans="1:11">
      <c r="A26319" s="33" t="s">
        <v>57869</v>
      </c>
      <c r="B26319" s="33" t="s">
        <v>57870</v>
      </c>
      <c r="C26319" s="33" t="s">
        <v>57871</v>
      </c>
      <c r="D26319" s="33" t="s">
        <v>17</v>
      </c>
      <c r="E26319" s="33" t="s">
        <v>31</v>
      </c>
      <c r="F26319" s="33" t="s">
        <v>32</v>
      </c>
      <c r="G26319" s="33" t="s">
        <v>7780</v>
      </c>
      <c r="H26319" s="35">
        <v>250</v>
      </c>
      <c r="I26319" s="33" t="s">
        <v>51</v>
      </c>
      <c r="J26319" s="42">
        <v>46104</v>
      </c>
      <c r="K26319" s="33" t="s">
        <v>22</v>
      </c>
    </row>
    <row r="26320" spans="1:11">
      <c r="A26320" s="30" t="s">
        <v>57872</v>
      </c>
      <c r="B26320" s="30" t="s">
        <v>57873</v>
      </c>
      <c r="C26320" s="30" t="s">
        <v>16196</v>
      </c>
      <c r="D26320" s="30" t="s">
        <v>17</v>
      </c>
      <c r="E26320" s="30" t="s">
        <v>67</v>
      </c>
      <c r="F26320" s="30" t="s">
        <v>68</v>
      </c>
      <c r="G26320" s="30" t="s">
        <v>7780</v>
      </c>
      <c r="H26320" s="32">
        <v>150</v>
      </c>
      <c r="I26320" s="30" t="s">
        <v>51</v>
      </c>
      <c r="J26320" s="41">
        <v>46143</v>
      </c>
      <c r="K26320" s="30" t="s">
        <v>22</v>
      </c>
    </row>
    <row r="26321" spans="1:11">
      <c r="A26321" s="33" t="s">
        <v>57874</v>
      </c>
      <c r="B26321" s="33" t="s">
        <v>57875</v>
      </c>
      <c r="C26321" s="33" t="s">
        <v>46637</v>
      </c>
      <c r="D26321" s="33" t="s">
        <v>17</v>
      </c>
      <c r="E26321" s="33" t="s">
        <v>31</v>
      </c>
      <c r="F26321" s="33" t="s">
        <v>32</v>
      </c>
      <c r="G26321" s="33" t="s">
        <v>140</v>
      </c>
      <c r="H26321" s="35">
        <v>46</v>
      </c>
      <c r="I26321" s="33" t="s">
        <v>51</v>
      </c>
      <c r="J26321" s="42">
        <v>46196</v>
      </c>
      <c r="K26321" s="33" t="s">
        <v>22</v>
      </c>
    </row>
    <row r="26322" spans="1:11">
      <c r="A26322" s="30" t="s">
        <v>57876</v>
      </c>
      <c r="B26322" s="30" t="s">
        <v>57877</v>
      </c>
      <c r="C26322" s="30" t="s">
        <v>771</v>
      </c>
      <c r="D26322" s="30" t="s">
        <v>17</v>
      </c>
      <c r="E26322" s="30" t="s">
        <v>18</v>
      </c>
      <c r="F26322" s="30" t="s">
        <v>19</v>
      </c>
      <c r="G26322" s="30" t="s">
        <v>7780</v>
      </c>
      <c r="H26322" s="32">
        <v>820</v>
      </c>
      <c r="I26322" s="30" t="s">
        <v>51</v>
      </c>
      <c r="J26322" s="41">
        <v>46203</v>
      </c>
      <c r="K26322" s="30" t="s">
        <v>22</v>
      </c>
    </row>
    <row r="26323" spans="1:11">
      <c r="A26323" s="33" t="s">
        <v>57878</v>
      </c>
      <c r="B26323" s="33" t="s">
        <v>57879</v>
      </c>
      <c r="C26323" s="33" t="s">
        <v>11899</v>
      </c>
      <c r="D26323" s="33" t="s">
        <v>17</v>
      </c>
      <c r="E26323" s="33" t="s">
        <v>31</v>
      </c>
      <c r="F26323" s="33" t="s">
        <v>32</v>
      </c>
      <c r="G26323" s="33" t="s">
        <v>140</v>
      </c>
      <c r="H26323" s="35">
        <v>90</v>
      </c>
      <c r="I26323" s="33" t="s">
        <v>51</v>
      </c>
      <c r="J26323" s="42">
        <v>46141</v>
      </c>
      <c r="K26323" s="33" t="s">
        <v>22</v>
      </c>
    </row>
    <row r="26324" spans="1:11">
      <c r="A26324" s="30" t="s">
        <v>57880</v>
      </c>
      <c r="B26324" s="30" t="s">
        <v>57881</v>
      </c>
      <c r="C26324" s="30" t="s">
        <v>2208</v>
      </c>
      <c r="D26324" s="30" t="s">
        <v>17</v>
      </c>
      <c r="E26324" s="30" t="s">
        <v>45</v>
      </c>
      <c r="F26324" s="30" t="s">
        <v>46</v>
      </c>
      <c r="G26324" s="30" t="s">
        <v>140</v>
      </c>
      <c r="H26324" s="32">
        <v>290</v>
      </c>
      <c r="I26324" s="30" t="s">
        <v>51</v>
      </c>
      <c r="J26324" s="41">
        <v>46084</v>
      </c>
      <c r="K26324" s="30" t="s">
        <v>22</v>
      </c>
    </row>
    <row r="26325" spans="1:11">
      <c r="A26325" s="33" t="s">
        <v>57882</v>
      </c>
      <c r="B26325" s="33" t="s">
        <v>57883</v>
      </c>
      <c r="C26325" s="33" t="s">
        <v>96</v>
      </c>
      <c r="D26325" s="33" t="s">
        <v>17</v>
      </c>
      <c r="E26325" s="33" t="s">
        <v>18</v>
      </c>
      <c r="F26325" s="33" t="s">
        <v>19</v>
      </c>
      <c r="G26325" s="33" t="s">
        <v>140</v>
      </c>
      <c r="H26325" s="35">
        <v>1200</v>
      </c>
      <c r="I26325" s="33" t="s">
        <v>51</v>
      </c>
      <c r="J26325" s="42">
        <v>46188</v>
      </c>
      <c r="K26325" s="33" t="s">
        <v>22</v>
      </c>
    </row>
    <row r="26326" spans="1:11">
      <c r="A26326" s="30" t="s">
        <v>57884</v>
      </c>
      <c r="B26326" s="30" t="s">
        <v>57885</v>
      </c>
      <c r="C26326" s="30" t="s">
        <v>894</v>
      </c>
      <c r="D26326" s="30" t="s">
        <v>17</v>
      </c>
      <c r="E26326" s="30" t="s">
        <v>330</v>
      </c>
      <c r="F26326" s="30" t="s">
        <v>331</v>
      </c>
      <c r="G26326" s="30" t="s">
        <v>158</v>
      </c>
      <c r="H26326" s="32">
        <v>40</v>
      </c>
      <c r="I26326" s="30" t="s">
        <v>51</v>
      </c>
      <c r="J26326" s="41">
        <v>46027</v>
      </c>
      <c r="K26326" s="30" t="s">
        <v>22</v>
      </c>
    </row>
    <row r="26327" spans="1:11">
      <c r="A26327" s="33" t="s">
        <v>57886</v>
      </c>
      <c r="B26327" s="33" t="s">
        <v>57887</v>
      </c>
      <c r="C26327" s="33" t="s">
        <v>18431</v>
      </c>
      <c r="D26327" s="33" t="s">
        <v>17</v>
      </c>
      <c r="E26327" s="33" t="s">
        <v>26</v>
      </c>
      <c r="F26327" s="33" t="s">
        <v>27</v>
      </c>
      <c r="G26327" s="33" t="s">
        <v>140</v>
      </c>
      <c r="H26327" s="35">
        <v>90</v>
      </c>
      <c r="I26327" s="33" t="s">
        <v>51</v>
      </c>
      <c r="J26327" s="42">
        <v>46153</v>
      </c>
      <c r="K26327" s="33" t="s">
        <v>22</v>
      </c>
    </row>
    <row r="26328" spans="1:11">
      <c r="A26328" s="30" t="s">
        <v>57888</v>
      </c>
      <c r="B26328" s="30" t="s">
        <v>57889</v>
      </c>
      <c r="C26328" s="30" t="s">
        <v>124</v>
      </c>
      <c r="D26328" s="30" t="s">
        <v>17</v>
      </c>
      <c r="E26328" s="30" t="s">
        <v>31</v>
      </c>
      <c r="F26328" s="30" t="s">
        <v>32</v>
      </c>
      <c r="G26328" s="30" t="s">
        <v>140</v>
      </c>
      <c r="H26328" s="32">
        <v>150</v>
      </c>
      <c r="I26328" s="30" t="s">
        <v>51</v>
      </c>
      <c r="J26328" s="41">
        <v>46056</v>
      </c>
      <c r="K26328" s="30" t="s">
        <v>22</v>
      </c>
    </row>
    <row r="26329" spans="1:11">
      <c r="A26329" s="33" t="s">
        <v>57890</v>
      </c>
      <c r="B26329" s="33" t="s">
        <v>57891</v>
      </c>
      <c r="C26329" s="33" t="s">
        <v>54225</v>
      </c>
      <c r="D26329" s="33" t="s">
        <v>17</v>
      </c>
      <c r="E26329" s="33" t="s">
        <v>31</v>
      </c>
      <c r="F26329" s="33" t="s">
        <v>32</v>
      </c>
      <c r="G26329" s="33" t="s">
        <v>7780</v>
      </c>
      <c r="H26329" s="35">
        <v>16</v>
      </c>
      <c r="I26329" s="33" t="s">
        <v>51</v>
      </c>
      <c r="J26329" s="42">
        <v>46023</v>
      </c>
      <c r="K26329" s="33" t="s">
        <v>22</v>
      </c>
    </row>
    <row r="26330" spans="1:11">
      <c r="A26330" s="30" t="s">
        <v>57892</v>
      </c>
      <c r="B26330" s="30" t="s">
        <v>57893</v>
      </c>
      <c r="C26330" s="30" t="s">
        <v>57894</v>
      </c>
      <c r="D26330" s="30" t="s">
        <v>17</v>
      </c>
      <c r="E26330" s="30" t="s">
        <v>31</v>
      </c>
      <c r="F26330" s="30" t="s">
        <v>32</v>
      </c>
      <c r="G26330" s="30" t="s">
        <v>7780</v>
      </c>
      <c r="H26330" s="32">
        <v>156</v>
      </c>
      <c r="I26330" s="30" t="s">
        <v>51</v>
      </c>
      <c r="J26330" s="41">
        <v>46203</v>
      </c>
      <c r="K26330" s="30" t="s">
        <v>22</v>
      </c>
    </row>
    <row r="26331" spans="1:11">
      <c r="A26331" s="33" t="s">
        <v>57895</v>
      </c>
      <c r="B26331" s="33" t="s">
        <v>57896</v>
      </c>
      <c r="C26331" s="33" t="s">
        <v>1661</v>
      </c>
      <c r="D26331" s="33" t="s">
        <v>17</v>
      </c>
      <c r="E26331" s="33" t="s">
        <v>26</v>
      </c>
      <c r="F26331" s="33" t="s">
        <v>27</v>
      </c>
      <c r="G26331" s="33" t="s">
        <v>7780</v>
      </c>
      <c r="H26331" s="35">
        <v>48</v>
      </c>
      <c r="I26331" s="33" t="s">
        <v>51</v>
      </c>
      <c r="J26331" s="42">
        <v>46087</v>
      </c>
      <c r="K26331" s="33" t="s">
        <v>22</v>
      </c>
    </row>
    <row r="26332" spans="1:11">
      <c r="A26332" s="30" t="s">
        <v>57897</v>
      </c>
      <c r="B26332" s="30" t="s">
        <v>57898</v>
      </c>
      <c r="C26332" s="30" t="s">
        <v>44</v>
      </c>
      <c r="D26332" s="30" t="s">
        <v>17</v>
      </c>
      <c r="E26332" s="30" t="s">
        <v>26</v>
      </c>
      <c r="F26332" s="30" t="s">
        <v>27</v>
      </c>
      <c r="G26332" s="30" t="s">
        <v>7780</v>
      </c>
      <c r="H26332" s="32">
        <v>64</v>
      </c>
      <c r="I26332" s="30" t="s">
        <v>51</v>
      </c>
      <c r="J26332" s="41">
        <v>46149</v>
      </c>
      <c r="K26332" s="30" t="s">
        <v>22</v>
      </c>
    </row>
    <row r="26333" spans="1:11">
      <c r="A26333" s="33" t="s">
        <v>57899</v>
      </c>
      <c r="B26333" s="33" t="s">
        <v>57900</v>
      </c>
      <c r="C26333" s="33" t="s">
        <v>96</v>
      </c>
      <c r="D26333" s="33" t="s">
        <v>17</v>
      </c>
      <c r="E26333" s="33" t="s">
        <v>26</v>
      </c>
      <c r="F26333" s="33" t="s">
        <v>27</v>
      </c>
      <c r="G26333" s="33" t="s">
        <v>140</v>
      </c>
      <c r="H26333" s="35">
        <v>26</v>
      </c>
      <c r="I26333" s="33" t="s">
        <v>51</v>
      </c>
      <c r="J26333" s="42">
        <v>46127</v>
      </c>
      <c r="K26333" s="33" t="s">
        <v>22</v>
      </c>
    </row>
    <row r="26334" spans="1:11">
      <c r="A26334" s="30" t="s">
        <v>57901</v>
      </c>
      <c r="B26334" s="30" t="s">
        <v>57902</v>
      </c>
      <c r="C26334" s="30" t="s">
        <v>51408</v>
      </c>
      <c r="D26334" s="30" t="s">
        <v>17</v>
      </c>
      <c r="E26334" s="30" t="s">
        <v>67</v>
      </c>
      <c r="F26334" s="30" t="s">
        <v>68</v>
      </c>
      <c r="G26334" s="30" t="s">
        <v>140</v>
      </c>
      <c r="H26334" s="32">
        <v>100</v>
      </c>
      <c r="I26334" s="30" t="s">
        <v>51</v>
      </c>
      <c r="J26334" s="41">
        <v>46174</v>
      </c>
      <c r="K26334" s="30" t="s">
        <v>22</v>
      </c>
    </row>
    <row r="26335" spans="1:11">
      <c r="A26335" s="33" t="s">
        <v>57903</v>
      </c>
      <c r="B26335" s="33" t="s">
        <v>57904</v>
      </c>
      <c r="C26335" s="33" t="s">
        <v>51720</v>
      </c>
      <c r="D26335" s="33" t="s">
        <v>17</v>
      </c>
      <c r="E26335" s="33" t="s">
        <v>212</v>
      </c>
      <c r="F26335" s="33" t="s">
        <v>213</v>
      </c>
      <c r="G26335" s="33" t="s">
        <v>140</v>
      </c>
      <c r="H26335" s="35">
        <v>2000</v>
      </c>
      <c r="I26335" s="33" t="s">
        <v>51</v>
      </c>
      <c r="J26335" s="42">
        <v>46050</v>
      </c>
      <c r="K26335" s="33" t="s">
        <v>22</v>
      </c>
    </row>
    <row r="26336" spans="1:11">
      <c r="A26336" s="30" t="s">
        <v>57905</v>
      </c>
      <c r="B26336" s="30" t="s">
        <v>57906</v>
      </c>
      <c r="C26336" s="30" t="s">
        <v>6379</v>
      </c>
      <c r="D26336" s="30" t="s">
        <v>17</v>
      </c>
      <c r="E26336" s="30" t="s">
        <v>31</v>
      </c>
      <c r="F26336" s="30" t="s">
        <v>32</v>
      </c>
      <c r="G26336" s="30" t="s">
        <v>140</v>
      </c>
      <c r="H26336" s="32">
        <v>100</v>
      </c>
      <c r="I26336" s="30" t="s">
        <v>51</v>
      </c>
      <c r="J26336" s="41">
        <v>46059</v>
      </c>
      <c r="K26336" s="30" t="s">
        <v>22</v>
      </c>
    </row>
    <row r="26337" spans="1:11">
      <c r="A26337" s="33" t="s">
        <v>57907</v>
      </c>
      <c r="B26337" s="33" t="s">
        <v>57908</v>
      </c>
      <c r="C26337" s="33" t="s">
        <v>231</v>
      </c>
      <c r="D26337" s="33" t="s">
        <v>17</v>
      </c>
      <c r="E26337" s="33" t="s">
        <v>18</v>
      </c>
      <c r="F26337" s="33" t="s">
        <v>19</v>
      </c>
      <c r="G26337" s="33" t="s">
        <v>140</v>
      </c>
      <c r="H26337" s="35">
        <v>390</v>
      </c>
      <c r="I26337" s="33" t="s">
        <v>51</v>
      </c>
      <c r="J26337" s="42">
        <v>46213</v>
      </c>
      <c r="K26337" s="33" t="s">
        <v>22</v>
      </c>
    </row>
    <row r="26338" spans="1:11">
      <c r="A26338" s="30" t="s">
        <v>57909</v>
      </c>
      <c r="B26338" s="30" t="s">
        <v>57910</v>
      </c>
      <c r="C26338" s="30" t="s">
        <v>39112</v>
      </c>
      <c r="D26338" s="30" t="s">
        <v>17</v>
      </c>
      <c r="E26338" s="30" t="s">
        <v>31</v>
      </c>
      <c r="F26338" s="30" t="s">
        <v>32</v>
      </c>
      <c r="G26338" s="30" t="s">
        <v>2613</v>
      </c>
      <c r="H26338" s="32">
        <v>645</v>
      </c>
      <c r="I26338" s="30" t="s">
        <v>51</v>
      </c>
      <c r="J26338" s="41">
        <v>46181</v>
      </c>
      <c r="K26338" s="30" t="s">
        <v>22</v>
      </c>
    </row>
    <row r="26339" spans="1:11">
      <c r="A26339" s="33" t="s">
        <v>57911</v>
      </c>
      <c r="B26339" s="33" t="s">
        <v>57912</v>
      </c>
      <c r="C26339" s="33" t="s">
        <v>1267</v>
      </c>
      <c r="D26339" s="33" t="s">
        <v>17</v>
      </c>
      <c r="E26339" s="33" t="s">
        <v>26</v>
      </c>
      <c r="F26339" s="33" t="s">
        <v>27</v>
      </c>
      <c r="G26339" s="33" t="s">
        <v>140</v>
      </c>
      <c r="H26339" s="35">
        <v>24</v>
      </c>
      <c r="I26339" s="33" t="s">
        <v>51</v>
      </c>
      <c r="J26339" s="42">
        <v>46171</v>
      </c>
      <c r="K26339" s="33" t="s">
        <v>22</v>
      </c>
    </row>
    <row r="26340" spans="1:11">
      <c r="A26340" s="30" t="s">
        <v>57913</v>
      </c>
      <c r="B26340" s="30" t="s">
        <v>57914</v>
      </c>
      <c r="C26340" s="30" t="s">
        <v>15622</v>
      </c>
      <c r="D26340" s="30" t="s">
        <v>17</v>
      </c>
      <c r="E26340" s="30" t="s">
        <v>26</v>
      </c>
      <c r="F26340" s="30" t="s">
        <v>27</v>
      </c>
      <c r="G26340" s="30" t="s">
        <v>140</v>
      </c>
      <c r="H26340" s="32">
        <v>30</v>
      </c>
      <c r="I26340" s="30" t="s">
        <v>51</v>
      </c>
      <c r="J26340" s="41">
        <v>46036</v>
      </c>
      <c r="K26340" s="30" t="s">
        <v>22</v>
      </c>
    </row>
    <row r="26341" spans="1:11">
      <c r="A26341" s="33" t="s">
        <v>57915</v>
      </c>
      <c r="B26341" s="33" t="s">
        <v>57916</v>
      </c>
      <c r="C26341" s="33" t="s">
        <v>57917</v>
      </c>
      <c r="D26341" s="33" t="s">
        <v>17</v>
      </c>
      <c r="E26341" s="33" t="s">
        <v>26</v>
      </c>
      <c r="F26341" s="33" t="s">
        <v>27</v>
      </c>
      <c r="G26341" s="33" t="s">
        <v>20</v>
      </c>
      <c r="H26341" s="35">
        <v>12</v>
      </c>
      <c r="I26341" s="33" t="s">
        <v>21</v>
      </c>
      <c r="J26341" s="42">
        <v>46120</v>
      </c>
      <c r="K26341" s="33" t="s">
        <v>22</v>
      </c>
    </row>
    <row r="26342" spans="1:11">
      <c r="A26342" s="30" t="s">
        <v>57918</v>
      </c>
      <c r="B26342" s="30" t="s">
        <v>57919</v>
      </c>
      <c r="C26342" s="30" t="s">
        <v>47992</v>
      </c>
      <c r="D26342" s="30" t="s">
        <v>17</v>
      </c>
      <c r="E26342" s="30" t="s">
        <v>26</v>
      </c>
      <c r="F26342" s="30" t="s">
        <v>27</v>
      </c>
      <c r="G26342" s="30" t="s">
        <v>7780</v>
      </c>
      <c r="H26342" s="32">
        <v>12</v>
      </c>
      <c r="I26342" s="30" t="s">
        <v>51</v>
      </c>
      <c r="J26342" s="41">
        <v>46053</v>
      </c>
      <c r="K26342" s="30" t="s">
        <v>22</v>
      </c>
    </row>
    <row r="26343" spans="1:11">
      <c r="A26343" s="33" t="s">
        <v>57920</v>
      </c>
      <c r="B26343" s="33" t="s">
        <v>57921</v>
      </c>
      <c r="C26343" s="33" t="s">
        <v>124</v>
      </c>
      <c r="D26343" s="33" t="s">
        <v>17</v>
      </c>
      <c r="E26343" s="33" t="s">
        <v>18</v>
      </c>
      <c r="F26343" s="33" t="s">
        <v>19</v>
      </c>
      <c r="G26343" s="33" t="s">
        <v>7780</v>
      </c>
      <c r="H26343" s="35">
        <v>387</v>
      </c>
      <c r="I26343" s="33" t="s">
        <v>51</v>
      </c>
      <c r="J26343" s="42">
        <v>46214</v>
      </c>
      <c r="K26343" s="33" t="s">
        <v>22</v>
      </c>
    </row>
    <row r="26344" spans="1:11">
      <c r="A26344" s="30" t="s">
        <v>57922</v>
      </c>
      <c r="B26344" s="30" t="s">
        <v>57923</v>
      </c>
      <c r="C26344" s="30" t="s">
        <v>25549</v>
      </c>
      <c r="D26344" s="30" t="s">
        <v>17</v>
      </c>
      <c r="E26344" s="30" t="s">
        <v>26</v>
      </c>
      <c r="F26344" s="30" t="s">
        <v>27</v>
      </c>
      <c r="G26344" s="30" t="s">
        <v>140</v>
      </c>
      <c r="H26344" s="32">
        <v>180</v>
      </c>
      <c r="I26344" s="30" t="s">
        <v>51</v>
      </c>
      <c r="J26344" s="41">
        <v>46203</v>
      </c>
      <c r="K26344" s="30" t="s">
        <v>22</v>
      </c>
    </row>
    <row r="26345" spans="1:11">
      <c r="A26345" s="33" t="s">
        <v>57924</v>
      </c>
      <c r="B26345" s="33" t="s">
        <v>57925</v>
      </c>
      <c r="C26345" s="33" t="s">
        <v>41445</v>
      </c>
      <c r="D26345" s="33" t="s">
        <v>17</v>
      </c>
      <c r="E26345" s="33" t="s">
        <v>67</v>
      </c>
      <c r="F26345" s="33" t="s">
        <v>68</v>
      </c>
      <c r="G26345" s="33" t="s">
        <v>140</v>
      </c>
      <c r="H26345" s="35">
        <v>72</v>
      </c>
      <c r="I26345" s="33" t="s">
        <v>51</v>
      </c>
      <c r="J26345" s="42">
        <v>46111</v>
      </c>
      <c r="K26345" s="33" t="s">
        <v>22</v>
      </c>
    </row>
    <row r="26346" spans="1:11">
      <c r="A26346" s="30" t="s">
        <v>57926</v>
      </c>
      <c r="B26346" s="30" t="s">
        <v>57927</v>
      </c>
      <c r="C26346" s="30" t="s">
        <v>57928</v>
      </c>
      <c r="D26346" s="30" t="s">
        <v>17</v>
      </c>
      <c r="E26346" s="30" t="s">
        <v>26</v>
      </c>
      <c r="F26346" s="30" t="s">
        <v>27</v>
      </c>
      <c r="G26346" s="30" t="s">
        <v>140</v>
      </c>
      <c r="H26346" s="32">
        <v>24</v>
      </c>
      <c r="I26346" s="30" t="s">
        <v>51</v>
      </c>
      <c r="J26346" s="41">
        <v>46143</v>
      </c>
      <c r="K26346" s="30" t="s">
        <v>22</v>
      </c>
    </row>
    <row r="26347" spans="1:11">
      <c r="A26347" s="33" t="s">
        <v>57929</v>
      </c>
      <c r="B26347" s="33" t="s">
        <v>57930</v>
      </c>
      <c r="C26347" s="33" t="s">
        <v>549</v>
      </c>
      <c r="D26347" s="33" t="s">
        <v>17</v>
      </c>
      <c r="E26347" s="33" t="s">
        <v>31</v>
      </c>
      <c r="F26347" s="33" t="s">
        <v>32</v>
      </c>
      <c r="G26347" s="33" t="s">
        <v>140</v>
      </c>
      <c r="H26347" s="35">
        <v>402</v>
      </c>
      <c r="I26347" s="33" t="s">
        <v>51</v>
      </c>
      <c r="J26347" s="42">
        <v>46230</v>
      </c>
      <c r="K26347" s="33" t="s">
        <v>22</v>
      </c>
    </row>
    <row r="26348" spans="1:11">
      <c r="A26348" s="30" t="s">
        <v>57931</v>
      </c>
      <c r="B26348" s="30" t="s">
        <v>57932</v>
      </c>
      <c r="C26348" s="30" t="s">
        <v>5817</v>
      </c>
      <c r="D26348" s="30" t="s">
        <v>17</v>
      </c>
      <c r="E26348" s="30" t="s">
        <v>31</v>
      </c>
      <c r="F26348" s="30" t="s">
        <v>32</v>
      </c>
      <c r="G26348" s="30" t="s">
        <v>140</v>
      </c>
      <c r="H26348" s="32">
        <v>250</v>
      </c>
      <c r="I26348" s="30" t="s">
        <v>51</v>
      </c>
      <c r="J26348" s="41">
        <v>46174</v>
      </c>
      <c r="K26348" s="30" t="s">
        <v>22</v>
      </c>
    </row>
    <row r="26349" spans="1:11">
      <c r="A26349" s="33" t="s">
        <v>57933</v>
      </c>
      <c r="B26349" s="33" t="s">
        <v>57934</v>
      </c>
      <c r="C26349" s="33" t="s">
        <v>1090</v>
      </c>
      <c r="D26349" s="33" t="s">
        <v>17</v>
      </c>
      <c r="E26349" s="33" t="s">
        <v>26</v>
      </c>
      <c r="F26349" s="33" t="s">
        <v>27</v>
      </c>
      <c r="G26349" s="33" t="s">
        <v>140</v>
      </c>
      <c r="H26349" s="35">
        <v>74</v>
      </c>
      <c r="I26349" s="33" t="s">
        <v>51</v>
      </c>
      <c r="J26349" s="42">
        <v>46034</v>
      </c>
      <c r="K26349" s="33" t="s">
        <v>22</v>
      </c>
    </row>
    <row r="26350" spans="1:11">
      <c r="A26350" s="30" t="s">
        <v>57935</v>
      </c>
      <c r="B26350" s="30" t="s">
        <v>57936</v>
      </c>
      <c r="C26350" s="30" t="s">
        <v>231</v>
      </c>
      <c r="D26350" s="30" t="s">
        <v>17</v>
      </c>
      <c r="E26350" s="30" t="s">
        <v>26</v>
      </c>
      <c r="F26350" s="30" t="s">
        <v>27</v>
      </c>
      <c r="G26350" s="30" t="s">
        <v>140</v>
      </c>
      <c r="H26350" s="32">
        <v>44</v>
      </c>
      <c r="I26350" s="30" t="s">
        <v>51</v>
      </c>
      <c r="J26350" s="41">
        <v>46143</v>
      </c>
      <c r="K26350" s="30" t="s">
        <v>22</v>
      </c>
    </row>
    <row r="26351" spans="1:11">
      <c r="A26351" s="33" t="s">
        <v>57937</v>
      </c>
      <c r="B26351" s="33" t="s">
        <v>57938</v>
      </c>
      <c r="C26351" s="33" t="s">
        <v>29950</v>
      </c>
      <c r="D26351" s="33" t="s">
        <v>17</v>
      </c>
      <c r="E26351" s="33" t="s">
        <v>26</v>
      </c>
      <c r="F26351" s="33" t="s">
        <v>27</v>
      </c>
      <c r="G26351" s="33" t="s">
        <v>158</v>
      </c>
      <c r="H26351" s="35">
        <v>48</v>
      </c>
      <c r="I26351" s="33" t="s">
        <v>51</v>
      </c>
      <c r="J26351" s="42">
        <v>46153</v>
      </c>
      <c r="K26351" s="33" t="s">
        <v>22</v>
      </c>
    </row>
    <row r="26352" spans="1:11">
      <c r="A26352" s="30" t="s">
        <v>57939</v>
      </c>
      <c r="B26352" s="30" t="s">
        <v>57940</v>
      </c>
      <c r="C26352" s="30" t="s">
        <v>6001</v>
      </c>
      <c r="D26352" s="30" t="s">
        <v>17</v>
      </c>
      <c r="E26352" s="30" t="s">
        <v>26</v>
      </c>
      <c r="F26352" s="30" t="s">
        <v>27</v>
      </c>
      <c r="G26352" s="30" t="s">
        <v>140</v>
      </c>
      <c r="H26352" s="32">
        <v>18</v>
      </c>
      <c r="I26352" s="30" t="s">
        <v>51</v>
      </c>
      <c r="J26352" s="41">
        <v>46183</v>
      </c>
      <c r="K26352" s="30" t="s">
        <v>22</v>
      </c>
    </row>
    <row r="26353" spans="1:11">
      <c r="A26353" s="33" t="s">
        <v>57941</v>
      </c>
      <c r="B26353" s="33" t="s">
        <v>57942</v>
      </c>
      <c r="C26353" s="33" t="s">
        <v>4353</v>
      </c>
      <c r="D26353" s="33" t="s">
        <v>17</v>
      </c>
      <c r="E26353" s="33" t="s">
        <v>18</v>
      </c>
      <c r="F26353" s="33" t="s">
        <v>19</v>
      </c>
      <c r="G26353" s="33" t="s">
        <v>140</v>
      </c>
      <c r="H26353" s="35">
        <v>180</v>
      </c>
      <c r="I26353" s="33" t="s">
        <v>51</v>
      </c>
      <c r="J26353" s="42">
        <v>46098</v>
      </c>
      <c r="K26353" s="33" t="s">
        <v>22</v>
      </c>
    </row>
    <row r="26354" spans="1:11">
      <c r="A26354" s="30" t="s">
        <v>57943</v>
      </c>
      <c r="B26354" s="30" t="s">
        <v>57944</v>
      </c>
      <c r="C26354" s="30" t="s">
        <v>48581</v>
      </c>
      <c r="D26354" s="30" t="s">
        <v>17</v>
      </c>
      <c r="E26354" s="30" t="s">
        <v>67</v>
      </c>
      <c r="F26354" s="30" t="s">
        <v>68</v>
      </c>
      <c r="G26354" s="30" t="s">
        <v>140</v>
      </c>
      <c r="H26354" s="32">
        <v>24</v>
      </c>
      <c r="I26354" s="30" t="s">
        <v>51</v>
      </c>
      <c r="J26354" s="41">
        <v>46184</v>
      </c>
      <c r="K26354" s="30" t="s">
        <v>22</v>
      </c>
    </row>
    <row r="26355" spans="1:11">
      <c r="A26355" s="33" t="s">
        <v>57945</v>
      </c>
      <c r="B26355" s="33" t="s">
        <v>57946</v>
      </c>
      <c r="C26355" s="33" t="s">
        <v>57135</v>
      </c>
      <c r="D26355" s="33" t="s">
        <v>17</v>
      </c>
      <c r="E26355" s="33" t="s">
        <v>26</v>
      </c>
      <c r="F26355" s="33" t="s">
        <v>27</v>
      </c>
      <c r="G26355" s="33" t="s">
        <v>140</v>
      </c>
      <c r="H26355" s="35">
        <v>40</v>
      </c>
      <c r="I26355" s="33" t="s">
        <v>51</v>
      </c>
      <c r="J26355" s="42">
        <v>46168</v>
      </c>
      <c r="K26355" s="33" t="s">
        <v>22</v>
      </c>
    </row>
    <row r="26356" spans="1:11">
      <c r="A26356" s="30" t="s">
        <v>57947</v>
      </c>
      <c r="B26356" s="30" t="s">
        <v>57948</v>
      </c>
      <c r="C26356" s="30" t="s">
        <v>41402</v>
      </c>
      <c r="D26356" s="30" t="s">
        <v>17</v>
      </c>
      <c r="E26356" s="30" t="s">
        <v>67</v>
      </c>
      <c r="F26356" s="30" t="s">
        <v>68</v>
      </c>
      <c r="G26356" s="30" t="s">
        <v>140</v>
      </c>
      <c r="H26356" s="32">
        <v>100</v>
      </c>
      <c r="I26356" s="30" t="s">
        <v>51</v>
      </c>
      <c r="J26356" s="41">
        <v>46113</v>
      </c>
      <c r="K26356" s="30" t="s">
        <v>22</v>
      </c>
    </row>
    <row r="26357" spans="1:11">
      <c r="A26357" s="33" t="s">
        <v>57949</v>
      </c>
      <c r="B26357" s="33" t="s">
        <v>57950</v>
      </c>
      <c r="C26357" s="33" t="s">
        <v>50793</v>
      </c>
      <c r="D26357" s="33" t="s">
        <v>17</v>
      </c>
      <c r="E26357" s="33" t="s">
        <v>26</v>
      </c>
      <c r="F26357" s="33" t="s">
        <v>27</v>
      </c>
      <c r="G26357" s="33" t="s">
        <v>140</v>
      </c>
      <c r="H26357" s="35">
        <v>38</v>
      </c>
      <c r="I26357" s="33" t="s">
        <v>51</v>
      </c>
      <c r="J26357" s="42">
        <v>46150</v>
      </c>
      <c r="K26357" s="33" t="s">
        <v>22</v>
      </c>
    </row>
    <row r="26358" spans="1:11">
      <c r="A26358" s="30" t="s">
        <v>57951</v>
      </c>
      <c r="B26358" s="30" t="s">
        <v>57952</v>
      </c>
      <c r="C26358" s="30" t="s">
        <v>93</v>
      </c>
      <c r="D26358" s="30" t="s">
        <v>17</v>
      </c>
      <c r="E26358" s="30" t="s">
        <v>31</v>
      </c>
      <c r="F26358" s="30" t="s">
        <v>32</v>
      </c>
      <c r="G26358" s="30" t="s">
        <v>140</v>
      </c>
      <c r="H26358" s="32">
        <v>94</v>
      </c>
      <c r="I26358" s="30" t="s">
        <v>51</v>
      </c>
      <c r="J26358" s="41">
        <v>46191</v>
      </c>
      <c r="K26358" s="30" t="s">
        <v>22</v>
      </c>
    </row>
    <row r="26359" spans="1:11">
      <c r="A26359" s="33" t="s">
        <v>57953</v>
      </c>
      <c r="B26359" s="33" t="s">
        <v>57954</v>
      </c>
      <c r="C26359" s="33" t="s">
        <v>10757</v>
      </c>
      <c r="D26359" s="33" t="s">
        <v>17</v>
      </c>
      <c r="E26359" s="33" t="s">
        <v>31</v>
      </c>
      <c r="F26359" s="33" t="s">
        <v>32</v>
      </c>
      <c r="G26359" s="33" t="s">
        <v>112</v>
      </c>
      <c r="H26359" s="35">
        <v>0</v>
      </c>
      <c r="I26359" s="33" t="s">
        <v>21</v>
      </c>
      <c r="J26359" s="42">
        <v>46174</v>
      </c>
      <c r="K26359" s="33" t="s">
        <v>22</v>
      </c>
    </row>
    <row r="26360" spans="1:11">
      <c r="A26360" s="30" t="s">
        <v>57955</v>
      </c>
      <c r="B26360" s="30" t="s">
        <v>57956</v>
      </c>
      <c r="C26360" s="30" t="s">
        <v>15741</v>
      </c>
      <c r="D26360" s="30" t="s">
        <v>17</v>
      </c>
      <c r="E26360" s="30" t="s">
        <v>18</v>
      </c>
      <c r="F26360" s="30" t="s">
        <v>19</v>
      </c>
      <c r="G26360" s="30" t="s">
        <v>7780</v>
      </c>
      <c r="H26360" s="32">
        <v>78</v>
      </c>
      <c r="I26360" s="30" t="s">
        <v>51</v>
      </c>
      <c r="J26360" s="41">
        <v>46174</v>
      </c>
      <c r="K26360" s="30" t="s">
        <v>22</v>
      </c>
    </row>
    <row r="26361" spans="1:11">
      <c r="A26361" s="33" t="s">
        <v>57957</v>
      </c>
      <c r="B26361" s="33" t="s">
        <v>57958</v>
      </c>
      <c r="C26361" s="33" t="s">
        <v>4405</v>
      </c>
      <c r="D26361" s="33" t="s">
        <v>17</v>
      </c>
      <c r="E26361" s="33" t="s">
        <v>212</v>
      </c>
      <c r="F26361" s="33" t="s">
        <v>213</v>
      </c>
      <c r="G26361" s="33" t="s">
        <v>140</v>
      </c>
      <c r="H26361" s="35">
        <v>150</v>
      </c>
      <c r="I26361" s="33" t="s">
        <v>51</v>
      </c>
      <c r="J26361" s="42">
        <v>46204</v>
      </c>
      <c r="K26361" s="33" t="s">
        <v>22</v>
      </c>
    </row>
    <row r="26362" spans="1:11">
      <c r="A26362" s="30" t="s">
        <v>57959</v>
      </c>
      <c r="B26362" s="30" t="s">
        <v>57960</v>
      </c>
      <c r="C26362" s="30" t="s">
        <v>1598</v>
      </c>
      <c r="D26362" s="30" t="s">
        <v>17</v>
      </c>
      <c r="E26362" s="30" t="s">
        <v>18</v>
      </c>
      <c r="F26362" s="30" t="s">
        <v>19</v>
      </c>
      <c r="G26362" s="30" t="s">
        <v>140</v>
      </c>
      <c r="H26362" s="32">
        <v>336</v>
      </c>
      <c r="I26362" s="30" t="s">
        <v>51</v>
      </c>
      <c r="J26362" s="41">
        <v>46135</v>
      </c>
      <c r="K26362" s="30" t="s">
        <v>22</v>
      </c>
    </row>
    <row r="26363" spans="1:11">
      <c r="A26363" s="33" t="s">
        <v>57961</v>
      </c>
      <c r="B26363" s="33" t="s">
        <v>57962</v>
      </c>
      <c r="C26363" s="33" t="s">
        <v>3971</v>
      </c>
      <c r="D26363" s="33" t="s">
        <v>17</v>
      </c>
      <c r="E26363" s="33" t="s">
        <v>31</v>
      </c>
      <c r="F26363" s="33" t="s">
        <v>32</v>
      </c>
      <c r="G26363" s="33" t="s">
        <v>7780</v>
      </c>
      <c r="H26363" s="35">
        <v>120</v>
      </c>
      <c r="I26363" s="33" t="s">
        <v>51</v>
      </c>
      <c r="J26363" s="42">
        <v>46204</v>
      </c>
      <c r="K26363" s="33" t="s">
        <v>22</v>
      </c>
    </row>
    <row r="26364" spans="1:11">
      <c r="A26364" s="30" t="s">
        <v>57963</v>
      </c>
      <c r="B26364" s="30" t="s">
        <v>57964</v>
      </c>
      <c r="C26364" s="30" t="s">
        <v>102</v>
      </c>
      <c r="D26364" s="30" t="s">
        <v>17</v>
      </c>
      <c r="E26364" s="30" t="s">
        <v>26</v>
      </c>
      <c r="F26364" s="30" t="s">
        <v>27</v>
      </c>
      <c r="G26364" s="30" t="s">
        <v>140</v>
      </c>
      <c r="H26364" s="32">
        <v>8</v>
      </c>
      <c r="I26364" s="30" t="s">
        <v>51</v>
      </c>
      <c r="J26364" s="41">
        <v>46196</v>
      </c>
      <c r="K26364" s="30" t="s">
        <v>22</v>
      </c>
    </row>
    <row r="26365" spans="1:11">
      <c r="A26365" s="33" t="s">
        <v>57965</v>
      </c>
      <c r="B26365" s="33" t="s">
        <v>57966</v>
      </c>
      <c r="C26365" s="33" t="s">
        <v>11363</v>
      </c>
      <c r="D26365" s="33" t="s">
        <v>17</v>
      </c>
      <c r="E26365" s="33" t="s">
        <v>67</v>
      </c>
      <c r="F26365" s="33" t="s">
        <v>68</v>
      </c>
      <c r="G26365" s="33" t="s">
        <v>140</v>
      </c>
      <c r="H26365" s="35">
        <v>160</v>
      </c>
      <c r="I26365" s="33" t="s">
        <v>51</v>
      </c>
      <c r="J26365" s="42">
        <v>46042</v>
      </c>
      <c r="K26365" s="33" t="s">
        <v>22</v>
      </c>
    </row>
    <row r="26366" spans="1:11">
      <c r="A26366" s="30" t="s">
        <v>57967</v>
      </c>
      <c r="B26366" s="30" t="s">
        <v>57968</v>
      </c>
      <c r="C26366" s="30" t="s">
        <v>1520</v>
      </c>
      <c r="D26366" s="30" t="s">
        <v>17</v>
      </c>
      <c r="E26366" s="30" t="s">
        <v>18</v>
      </c>
      <c r="F26366" s="30" t="s">
        <v>19</v>
      </c>
      <c r="G26366" s="30" t="s">
        <v>140</v>
      </c>
      <c r="H26366" s="32">
        <v>510</v>
      </c>
      <c r="I26366" s="30" t="s">
        <v>51</v>
      </c>
      <c r="J26366" s="41">
        <v>46202</v>
      </c>
      <c r="K26366" s="30" t="s">
        <v>22</v>
      </c>
    </row>
    <row r="26367" spans="1:11">
      <c r="A26367" s="33" t="s">
        <v>57969</v>
      </c>
      <c r="B26367" s="33" t="s">
        <v>57970</v>
      </c>
      <c r="C26367" s="33" t="s">
        <v>29009</v>
      </c>
      <c r="D26367" s="33" t="s">
        <v>17</v>
      </c>
      <c r="E26367" s="33" t="s">
        <v>31</v>
      </c>
      <c r="F26367" s="33" t="s">
        <v>32</v>
      </c>
      <c r="G26367" s="33" t="s">
        <v>140</v>
      </c>
      <c r="H26367" s="35">
        <v>112</v>
      </c>
      <c r="I26367" s="33" t="s">
        <v>51</v>
      </c>
      <c r="J26367" s="42">
        <v>46154</v>
      </c>
      <c r="K26367" s="33" t="s">
        <v>22</v>
      </c>
    </row>
    <row r="26368" spans="1:11">
      <c r="A26368" s="30" t="s">
        <v>57971</v>
      </c>
      <c r="B26368" s="30" t="s">
        <v>57972</v>
      </c>
      <c r="C26368" s="30" t="s">
        <v>28808</v>
      </c>
      <c r="D26368" s="30" t="s">
        <v>17</v>
      </c>
      <c r="E26368" s="30" t="s">
        <v>18</v>
      </c>
      <c r="F26368" s="30" t="s">
        <v>19</v>
      </c>
      <c r="G26368" s="30" t="s">
        <v>7780</v>
      </c>
      <c r="H26368" s="32">
        <v>300</v>
      </c>
      <c r="I26368" s="30" t="s">
        <v>51</v>
      </c>
      <c r="J26368" s="41">
        <v>46174</v>
      </c>
      <c r="K26368" s="30" t="s">
        <v>22</v>
      </c>
    </row>
    <row r="26369" spans="1:11">
      <c r="A26369" s="33" t="s">
        <v>57973</v>
      </c>
      <c r="B26369" s="33" t="s">
        <v>57974</v>
      </c>
      <c r="C26369" s="33" t="s">
        <v>1598</v>
      </c>
      <c r="D26369" s="33" t="s">
        <v>17</v>
      </c>
      <c r="E26369" s="33" t="s">
        <v>31</v>
      </c>
      <c r="F26369" s="33" t="s">
        <v>32</v>
      </c>
      <c r="G26369" s="33" t="s">
        <v>140</v>
      </c>
      <c r="H26369" s="35">
        <v>90</v>
      </c>
      <c r="I26369" s="33" t="s">
        <v>51</v>
      </c>
      <c r="J26369" s="42">
        <v>46129</v>
      </c>
      <c r="K26369" s="33" t="s">
        <v>22</v>
      </c>
    </row>
    <row r="26370" spans="1:11">
      <c r="A26370" s="30" t="s">
        <v>57975</v>
      </c>
      <c r="B26370" s="30" t="s">
        <v>57976</v>
      </c>
      <c r="C26370" s="30" t="s">
        <v>44998</v>
      </c>
      <c r="D26370" s="30" t="s">
        <v>17</v>
      </c>
      <c r="E26370" s="30" t="s">
        <v>212</v>
      </c>
      <c r="F26370" s="30" t="s">
        <v>213</v>
      </c>
      <c r="G26370" s="30" t="s">
        <v>140</v>
      </c>
      <c r="H26370" s="32">
        <v>224</v>
      </c>
      <c r="I26370" s="30" t="s">
        <v>51</v>
      </c>
      <c r="J26370" s="41">
        <v>46174</v>
      </c>
      <c r="K26370" s="30" t="s">
        <v>22</v>
      </c>
    </row>
    <row r="26371" spans="1:11">
      <c r="A26371" s="33" t="s">
        <v>57977</v>
      </c>
      <c r="B26371" s="33" t="s">
        <v>57978</v>
      </c>
      <c r="C26371" s="33" t="s">
        <v>21814</v>
      </c>
      <c r="D26371" s="33" t="s">
        <v>17</v>
      </c>
      <c r="E26371" s="33" t="s">
        <v>26</v>
      </c>
      <c r="F26371" s="33" t="s">
        <v>27</v>
      </c>
      <c r="G26371" s="33" t="s">
        <v>140</v>
      </c>
      <c r="H26371" s="35">
        <v>104</v>
      </c>
      <c r="I26371" s="33" t="s">
        <v>51</v>
      </c>
      <c r="J26371" s="42">
        <v>46104</v>
      </c>
      <c r="K26371" s="33" t="s">
        <v>22</v>
      </c>
    </row>
    <row r="26372" spans="1:11">
      <c r="A26372" s="30" t="s">
        <v>57979</v>
      </c>
      <c r="B26372" s="30" t="s">
        <v>57980</v>
      </c>
      <c r="C26372" s="30" t="s">
        <v>136</v>
      </c>
      <c r="D26372" s="30" t="s">
        <v>17</v>
      </c>
      <c r="E26372" s="30" t="s">
        <v>18</v>
      </c>
      <c r="F26372" s="30" t="s">
        <v>19</v>
      </c>
      <c r="G26372" s="30" t="s">
        <v>140</v>
      </c>
      <c r="H26372" s="32">
        <v>150</v>
      </c>
      <c r="I26372" s="30" t="s">
        <v>51</v>
      </c>
      <c r="J26372" s="41">
        <v>46034</v>
      </c>
      <c r="K26372" s="30" t="s">
        <v>22</v>
      </c>
    </row>
    <row r="26373" spans="1:11">
      <c r="A26373" s="33" t="s">
        <v>57981</v>
      </c>
      <c r="B26373" s="33" t="s">
        <v>57982</v>
      </c>
      <c r="C26373" s="33" t="s">
        <v>57983</v>
      </c>
      <c r="D26373" s="33" t="s">
        <v>17</v>
      </c>
      <c r="E26373" s="33" t="s">
        <v>31</v>
      </c>
      <c r="F26373" s="33" t="s">
        <v>32</v>
      </c>
      <c r="G26373" s="33" t="s">
        <v>7780</v>
      </c>
      <c r="H26373" s="35">
        <v>300</v>
      </c>
      <c r="I26373" s="33" t="s">
        <v>51</v>
      </c>
      <c r="J26373" s="42">
        <v>46174</v>
      </c>
      <c r="K26373" s="33" t="s">
        <v>22</v>
      </c>
    </row>
    <row r="26374" spans="1:11">
      <c r="A26374" s="30" t="s">
        <v>57984</v>
      </c>
      <c r="B26374" s="30" t="s">
        <v>57985</v>
      </c>
      <c r="C26374" s="30" t="s">
        <v>136</v>
      </c>
      <c r="D26374" s="30" t="s">
        <v>17</v>
      </c>
      <c r="E26374" s="30" t="s">
        <v>31</v>
      </c>
      <c r="F26374" s="30" t="s">
        <v>32</v>
      </c>
      <c r="G26374" s="30" t="s">
        <v>140</v>
      </c>
      <c r="H26374" s="32">
        <v>450</v>
      </c>
      <c r="I26374" s="30" t="s">
        <v>51</v>
      </c>
      <c r="J26374" s="41">
        <v>46063</v>
      </c>
      <c r="K26374" s="30" t="s">
        <v>22</v>
      </c>
    </row>
    <row r="26375" spans="1:11">
      <c r="A26375" s="33" t="s">
        <v>57986</v>
      </c>
      <c r="B26375" s="33" t="s">
        <v>57987</v>
      </c>
      <c r="C26375" s="33" t="s">
        <v>517</v>
      </c>
      <c r="D26375" s="33" t="s">
        <v>17</v>
      </c>
      <c r="E26375" s="33" t="s">
        <v>26</v>
      </c>
      <c r="F26375" s="33" t="s">
        <v>27</v>
      </c>
      <c r="G26375" s="33" t="s">
        <v>7780</v>
      </c>
      <c r="H26375" s="35">
        <v>41</v>
      </c>
      <c r="I26375" s="33" t="s">
        <v>51</v>
      </c>
      <c r="J26375" s="42">
        <v>46049</v>
      </c>
      <c r="K26375" s="33" t="s">
        <v>22</v>
      </c>
    </row>
    <row r="26376" spans="1:11">
      <c r="A26376" s="30" t="s">
        <v>57988</v>
      </c>
      <c r="B26376" s="30" t="s">
        <v>57989</v>
      </c>
      <c r="C26376" s="30" t="s">
        <v>21337</v>
      </c>
      <c r="D26376" s="30" t="s">
        <v>17</v>
      </c>
      <c r="E26376" s="30" t="s">
        <v>18</v>
      </c>
      <c r="F26376" s="30" t="s">
        <v>19</v>
      </c>
      <c r="G26376" s="30" t="s">
        <v>140</v>
      </c>
      <c r="H26376" s="32">
        <v>400</v>
      </c>
      <c r="I26376" s="30" t="s">
        <v>51</v>
      </c>
      <c r="J26376" s="41">
        <v>46034</v>
      </c>
      <c r="K26376" s="30" t="s">
        <v>22</v>
      </c>
    </row>
    <row r="26377" spans="1:11">
      <c r="A26377" s="33" t="s">
        <v>57990</v>
      </c>
      <c r="B26377" s="33" t="s">
        <v>57991</v>
      </c>
      <c r="C26377" s="33" t="s">
        <v>13181</v>
      </c>
      <c r="D26377" s="33" t="s">
        <v>17</v>
      </c>
      <c r="E26377" s="33" t="s">
        <v>31</v>
      </c>
      <c r="F26377" s="33" t="s">
        <v>32</v>
      </c>
      <c r="G26377" s="33" t="s">
        <v>140</v>
      </c>
      <c r="H26377" s="35">
        <v>200</v>
      </c>
      <c r="I26377" s="33" t="s">
        <v>51</v>
      </c>
      <c r="J26377" s="42">
        <v>46093</v>
      </c>
      <c r="K26377" s="33" t="s">
        <v>22</v>
      </c>
    </row>
    <row r="26378" spans="1:11">
      <c r="A26378" s="30" t="s">
        <v>57992</v>
      </c>
      <c r="B26378" s="30" t="s">
        <v>57993</v>
      </c>
      <c r="C26378" s="30" t="s">
        <v>5158</v>
      </c>
      <c r="D26378" s="30" t="s">
        <v>17</v>
      </c>
      <c r="E26378" s="30" t="s">
        <v>31</v>
      </c>
      <c r="F26378" s="30" t="s">
        <v>32</v>
      </c>
      <c r="G26378" s="30" t="s">
        <v>140</v>
      </c>
      <c r="H26378" s="32">
        <v>6</v>
      </c>
      <c r="I26378" s="30" t="s">
        <v>51</v>
      </c>
      <c r="J26378" s="41">
        <v>46135</v>
      </c>
      <c r="K26378" s="30" t="s">
        <v>22</v>
      </c>
    </row>
    <row r="26379" spans="1:11">
      <c r="A26379" s="33" t="s">
        <v>57994</v>
      </c>
      <c r="B26379" s="33" t="s">
        <v>57995</v>
      </c>
      <c r="C26379" s="33" t="s">
        <v>647</v>
      </c>
      <c r="D26379" s="33" t="s">
        <v>17</v>
      </c>
      <c r="E26379" s="33" t="s">
        <v>26</v>
      </c>
      <c r="F26379" s="33" t="s">
        <v>27</v>
      </c>
      <c r="G26379" s="33" t="s">
        <v>140</v>
      </c>
      <c r="H26379" s="35">
        <v>120</v>
      </c>
      <c r="I26379" s="33" t="s">
        <v>51</v>
      </c>
      <c r="J26379" s="42">
        <v>46191</v>
      </c>
      <c r="K26379" s="33" t="s">
        <v>22</v>
      </c>
    </row>
    <row r="26380" spans="1:11">
      <c r="A26380" s="30" t="s">
        <v>57996</v>
      </c>
      <c r="B26380" s="30" t="s">
        <v>57997</v>
      </c>
      <c r="C26380" s="30" t="s">
        <v>190</v>
      </c>
      <c r="D26380" s="30" t="s">
        <v>17</v>
      </c>
      <c r="E26380" s="30" t="s">
        <v>31</v>
      </c>
      <c r="F26380" s="30" t="s">
        <v>32</v>
      </c>
      <c r="G26380" s="30" t="s">
        <v>140</v>
      </c>
      <c r="H26380" s="32">
        <v>60</v>
      </c>
      <c r="I26380" s="30" t="s">
        <v>51</v>
      </c>
      <c r="J26380" s="41">
        <v>46113</v>
      </c>
      <c r="K26380" s="30" t="s">
        <v>22</v>
      </c>
    </row>
    <row r="26381" spans="1:11">
      <c r="A26381" s="33" t="s">
        <v>57998</v>
      </c>
      <c r="B26381" s="33" t="s">
        <v>57999</v>
      </c>
      <c r="C26381" s="33" t="s">
        <v>16148</v>
      </c>
      <c r="D26381" s="33" t="s">
        <v>17</v>
      </c>
      <c r="E26381" s="33" t="s">
        <v>31</v>
      </c>
      <c r="F26381" s="33" t="s">
        <v>32</v>
      </c>
      <c r="G26381" s="33" t="s">
        <v>7780</v>
      </c>
      <c r="H26381" s="35">
        <v>156</v>
      </c>
      <c r="I26381" s="33" t="s">
        <v>51</v>
      </c>
      <c r="J26381" s="42">
        <v>46215</v>
      </c>
      <c r="K26381" s="33" t="s">
        <v>22</v>
      </c>
    </row>
    <row r="26382" spans="1:11">
      <c r="A26382" s="30" t="s">
        <v>58000</v>
      </c>
      <c r="B26382" s="30" t="s">
        <v>58001</v>
      </c>
      <c r="C26382" s="30" t="s">
        <v>58002</v>
      </c>
      <c r="D26382" s="30" t="s">
        <v>17</v>
      </c>
      <c r="E26382" s="30" t="s">
        <v>26</v>
      </c>
      <c r="F26382" s="30" t="s">
        <v>27</v>
      </c>
      <c r="G26382" s="30" t="s">
        <v>140</v>
      </c>
      <c r="H26382" s="32">
        <v>10</v>
      </c>
      <c r="I26382" s="30" t="s">
        <v>51</v>
      </c>
      <c r="J26382" s="41">
        <v>46189</v>
      </c>
      <c r="K26382" s="30" t="s">
        <v>22</v>
      </c>
    </row>
    <row r="26383" spans="1:11">
      <c r="A26383" s="33" t="s">
        <v>58003</v>
      </c>
      <c r="B26383" s="33" t="s">
        <v>58004</v>
      </c>
      <c r="C26383" s="33" t="s">
        <v>969</v>
      </c>
      <c r="D26383" s="33" t="s">
        <v>17</v>
      </c>
      <c r="E26383" s="33" t="s">
        <v>26</v>
      </c>
      <c r="F26383" s="33" t="s">
        <v>27</v>
      </c>
      <c r="G26383" s="33" t="s">
        <v>140</v>
      </c>
      <c r="H26383" s="35">
        <v>225</v>
      </c>
      <c r="I26383" s="33" t="s">
        <v>51</v>
      </c>
      <c r="J26383" s="42">
        <v>46090</v>
      </c>
      <c r="K26383" s="33" t="s">
        <v>22</v>
      </c>
    </row>
    <row r="26384" spans="1:11">
      <c r="A26384" s="30" t="s">
        <v>58005</v>
      </c>
      <c r="B26384" s="30" t="s">
        <v>58006</v>
      </c>
      <c r="C26384" s="30" t="s">
        <v>1219</v>
      </c>
      <c r="D26384" s="30" t="s">
        <v>17</v>
      </c>
      <c r="E26384" s="30" t="s">
        <v>26</v>
      </c>
      <c r="F26384" s="30" t="s">
        <v>27</v>
      </c>
      <c r="G26384" s="30" t="s">
        <v>20</v>
      </c>
      <c r="H26384" s="32">
        <v>6</v>
      </c>
      <c r="I26384" s="30" t="s">
        <v>21</v>
      </c>
      <c r="J26384" s="41">
        <v>46097</v>
      </c>
      <c r="K26384" s="30" t="s">
        <v>22</v>
      </c>
    </row>
    <row r="26385" spans="1:11">
      <c r="A26385" s="33" t="s">
        <v>58007</v>
      </c>
      <c r="B26385" s="33" t="s">
        <v>58008</v>
      </c>
      <c r="C26385" s="33" t="s">
        <v>58009</v>
      </c>
      <c r="D26385" s="33" t="s">
        <v>17</v>
      </c>
      <c r="E26385" s="33" t="s">
        <v>31</v>
      </c>
      <c r="F26385" s="33" t="s">
        <v>32</v>
      </c>
      <c r="G26385" s="33" t="s">
        <v>7780</v>
      </c>
      <c r="H26385" s="35">
        <v>135</v>
      </c>
      <c r="I26385" s="33" t="s">
        <v>51</v>
      </c>
      <c r="J26385" s="42">
        <v>46113</v>
      </c>
      <c r="K26385" s="33" t="s">
        <v>22</v>
      </c>
    </row>
    <row r="26386" spans="1:11">
      <c r="A26386" s="30" t="s">
        <v>58010</v>
      </c>
      <c r="B26386" s="30" t="s">
        <v>58011</v>
      </c>
      <c r="C26386" s="30" t="s">
        <v>19435</v>
      </c>
      <c r="D26386" s="30" t="s">
        <v>17</v>
      </c>
      <c r="E26386" s="30" t="s">
        <v>18</v>
      </c>
      <c r="F26386" s="30" t="s">
        <v>19</v>
      </c>
      <c r="G26386" s="30" t="s">
        <v>7780</v>
      </c>
      <c r="H26386" s="32">
        <v>500</v>
      </c>
      <c r="I26386" s="30" t="s">
        <v>51</v>
      </c>
      <c r="J26386" s="41">
        <v>46037</v>
      </c>
      <c r="K26386" s="30" t="s">
        <v>22</v>
      </c>
    </row>
    <row r="26387" spans="1:11">
      <c r="A26387" s="33" t="s">
        <v>58012</v>
      </c>
      <c r="B26387" s="33" t="s">
        <v>58013</v>
      </c>
      <c r="C26387" s="33" t="s">
        <v>15795</v>
      </c>
      <c r="D26387" s="33" t="s">
        <v>17</v>
      </c>
      <c r="E26387" s="33" t="s">
        <v>26</v>
      </c>
      <c r="F26387" s="33" t="s">
        <v>27</v>
      </c>
      <c r="G26387" s="33" t="s">
        <v>7780</v>
      </c>
      <c r="H26387" s="35">
        <v>192</v>
      </c>
      <c r="I26387" s="33" t="s">
        <v>51</v>
      </c>
      <c r="J26387" s="42">
        <v>46132</v>
      </c>
      <c r="K26387" s="33" t="s">
        <v>22</v>
      </c>
    </row>
    <row r="26388" spans="1:11">
      <c r="A26388" s="30" t="s">
        <v>58014</v>
      </c>
      <c r="B26388" s="30" t="s">
        <v>58015</v>
      </c>
      <c r="C26388" s="30" t="s">
        <v>50689</v>
      </c>
      <c r="D26388" s="30" t="s">
        <v>17</v>
      </c>
      <c r="E26388" s="30" t="s">
        <v>330</v>
      </c>
      <c r="F26388" s="30" t="s">
        <v>331</v>
      </c>
      <c r="G26388" s="30" t="s">
        <v>2613</v>
      </c>
      <c r="H26388" s="32">
        <v>90</v>
      </c>
      <c r="I26388" s="30" t="s">
        <v>51</v>
      </c>
      <c r="J26388" s="41">
        <v>46055</v>
      </c>
      <c r="K26388" s="30" t="s">
        <v>22</v>
      </c>
    </row>
    <row r="26389" spans="1:11">
      <c r="A26389" s="33" t="s">
        <v>58016</v>
      </c>
      <c r="B26389" s="33" t="s">
        <v>58017</v>
      </c>
      <c r="C26389" s="33" t="s">
        <v>969</v>
      </c>
      <c r="D26389" s="33" t="s">
        <v>17</v>
      </c>
      <c r="E26389" s="33" t="s">
        <v>26</v>
      </c>
      <c r="F26389" s="33" t="s">
        <v>27</v>
      </c>
      <c r="G26389" s="33" t="s">
        <v>158</v>
      </c>
      <c r="H26389" s="35">
        <v>30</v>
      </c>
      <c r="I26389" s="33" t="s">
        <v>51</v>
      </c>
      <c r="J26389" s="42">
        <v>46086</v>
      </c>
      <c r="K26389" s="33" t="s">
        <v>22</v>
      </c>
    </row>
    <row r="26390" spans="1:11">
      <c r="A26390" s="30" t="s">
        <v>58018</v>
      </c>
      <c r="B26390" s="30" t="s">
        <v>58019</v>
      </c>
      <c r="C26390" s="30" t="s">
        <v>35</v>
      </c>
      <c r="D26390" s="30" t="s">
        <v>17</v>
      </c>
      <c r="E26390" s="30" t="s">
        <v>31</v>
      </c>
      <c r="F26390" s="30" t="s">
        <v>32</v>
      </c>
      <c r="G26390" s="30" t="s">
        <v>7780</v>
      </c>
      <c r="H26390" s="32">
        <v>8</v>
      </c>
      <c r="I26390" s="30" t="s">
        <v>51</v>
      </c>
      <c r="J26390" s="41">
        <v>46174</v>
      </c>
      <c r="K26390" s="30" t="s">
        <v>22</v>
      </c>
    </row>
    <row r="26391" spans="1:11">
      <c r="A26391" s="33" t="s">
        <v>58020</v>
      </c>
      <c r="B26391" s="33" t="s">
        <v>58021</v>
      </c>
      <c r="C26391" s="33" t="s">
        <v>58022</v>
      </c>
      <c r="D26391" s="33" t="s">
        <v>17</v>
      </c>
      <c r="E26391" s="33" t="s">
        <v>26</v>
      </c>
      <c r="F26391" s="33" t="s">
        <v>27</v>
      </c>
      <c r="G26391" s="33" t="s">
        <v>140</v>
      </c>
      <c r="H26391" s="35">
        <v>21</v>
      </c>
      <c r="I26391" s="33" t="s">
        <v>51</v>
      </c>
      <c r="J26391" s="42">
        <v>46113</v>
      </c>
      <c r="K26391" s="33" t="s">
        <v>22</v>
      </c>
    </row>
    <row r="26392" spans="1:11">
      <c r="A26392" s="30" t="s">
        <v>58023</v>
      </c>
      <c r="B26392" s="30" t="s">
        <v>58024</v>
      </c>
      <c r="C26392" s="30" t="s">
        <v>1003</v>
      </c>
      <c r="D26392" s="30" t="s">
        <v>17</v>
      </c>
      <c r="E26392" s="30" t="s">
        <v>18</v>
      </c>
      <c r="F26392" s="30" t="s">
        <v>19</v>
      </c>
      <c r="G26392" s="30" t="s">
        <v>7780</v>
      </c>
      <c r="H26392" s="32">
        <v>240</v>
      </c>
      <c r="I26392" s="30" t="s">
        <v>51</v>
      </c>
      <c r="J26392" s="41">
        <v>46204</v>
      </c>
      <c r="K26392" s="30" t="s">
        <v>22</v>
      </c>
    </row>
    <row r="26393" spans="1:11">
      <c r="A26393" s="33" t="s">
        <v>58025</v>
      </c>
      <c r="B26393" s="33" t="s">
        <v>58026</v>
      </c>
      <c r="C26393" s="33" t="s">
        <v>318</v>
      </c>
      <c r="D26393" s="33" t="s">
        <v>17</v>
      </c>
      <c r="E26393" s="33" t="s">
        <v>31</v>
      </c>
      <c r="F26393" s="33" t="s">
        <v>32</v>
      </c>
      <c r="G26393" s="33" t="s">
        <v>140</v>
      </c>
      <c r="H26393" s="35">
        <v>14</v>
      </c>
      <c r="I26393" s="33" t="s">
        <v>51</v>
      </c>
      <c r="J26393" s="42">
        <v>46024</v>
      </c>
      <c r="K26393" s="33" t="s">
        <v>22</v>
      </c>
    </row>
    <row r="26394" spans="1:11">
      <c r="A26394" s="30" t="s">
        <v>58027</v>
      </c>
      <c r="B26394" s="30" t="s">
        <v>58028</v>
      </c>
      <c r="C26394" s="30" t="s">
        <v>56309</v>
      </c>
      <c r="D26394" s="30" t="s">
        <v>17</v>
      </c>
      <c r="E26394" s="30" t="s">
        <v>31</v>
      </c>
      <c r="F26394" s="30" t="s">
        <v>32</v>
      </c>
      <c r="G26394" s="30" t="s">
        <v>140</v>
      </c>
      <c r="H26394" s="32">
        <v>80</v>
      </c>
      <c r="I26394" s="30" t="s">
        <v>51</v>
      </c>
      <c r="J26394" s="41">
        <v>46150</v>
      </c>
      <c r="K26394" s="30" t="s">
        <v>22</v>
      </c>
    </row>
    <row r="26395" spans="1:11">
      <c r="A26395" s="33" t="s">
        <v>58029</v>
      </c>
      <c r="B26395" s="33" t="s">
        <v>58030</v>
      </c>
      <c r="C26395" s="33" t="s">
        <v>58031</v>
      </c>
      <c r="D26395" s="33" t="s">
        <v>17</v>
      </c>
      <c r="E26395" s="33" t="s">
        <v>26</v>
      </c>
      <c r="F26395" s="33" t="s">
        <v>27</v>
      </c>
      <c r="G26395" s="33" t="s">
        <v>7780</v>
      </c>
      <c r="H26395" s="35">
        <v>36</v>
      </c>
      <c r="I26395" s="33" t="s">
        <v>51</v>
      </c>
      <c r="J26395" s="42">
        <v>46023</v>
      </c>
      <c r="K26395" s="33" t="s">
        <v>22</v>
      </c>
    </row>
    <row r="26396" spans="1:11">
      <c r="A26396" s="30" t="s">
        <v>58032</v>
      </c>
      <c r="B26396" s="30" t="s">
        <v>58033</v>
      </c>
      <c r="C26396" s="30" t="s">
        <v>5987</v>
      </c>
      <c r="D26396" s="30" t="s">
        <v>17</v>
      </c>
      <c r="E26396" s="30" t="s">
        <v>31</v>
      </c>
      <c r="F26396" s="30" t="s">
        <v>32</v>
      </c>
      <c r="G26396" s="30" t="s">
        <v>7780</v>
      </c>
      <c r="H26396" s="32">
        <v>24</v>
      </c>
      <c r="I26396" s="30" t="s">
        <v>51</v>
      </c>
      <c r="J26396" s="41">
        <v>46188</v>
      </c>
      <c r="K26396" s="30" t="s">
        <v>22</v>
      </c>
    </row>
    <row r="26397" spans="1:11">
      <c r="A26397" s="33" t="s">
        <v>58034</v>
      </c>
      <c r="B26397" s="33" t="s">
        <v>58035</v>
      </c>
      <c r="C26397" s="33" t="s">
        <v>187</v>
      </c>
      <c r="D26397" s="33" t="s">
        <v>17</v>
      </c>
      <c r="E26397" s="33" t="s">
        <v>26</v>
      </c>
      <c r="F26397" s="33" t="s">
        <v>27</v>
      </c>
      <c r="G26397" s="33" t="s">
        <v>158</v>
      </c>
      <c r="H26397" s="35">
        <v>17</v>
      </c>
      <c r="I26397" s="33" t="s">
        <v>21</v>
      </c>
      <c r="J26397" s="42">
        <v>46223</v>
      </c>
      <c r="K26397" s="33" t="s">
        <v>22</v>
      </c>
    </row>
    <row r="26398" spans="1:11">
      <c r="A26398" s="30" t="s">
        <v>58036</v>
      </c>
      <c r="B26398" s="30" t="s">
        <v>58037</v>
      </c>
      <c r="C26398" s="30" t="s">
        <v>39976</v>
      </c>
      <c r="D26398" s="30" t="s">
        <v>17</v>
      </c>
      <c r="E26398" s="30" t="s">
        <v>31</v>
      </c>
      <c r="F26398" s="30" t="s">
        <v>32</v>
      </c>
      <c r="G26398" s="30" t="s">
        <v>112</v>
      </c>
      <c r="H26398" s="32">
        <v>0</v>
      </c>
      <c r="I26398" s="30" t="s">
        <v>21</v>
      </c>
      <c r="J26398" s="41">
        <v>46204</v>
      </c>
      <c r="K26398" s="30" t="s">
        <v>22</v>
      </c>
    </row>
    <row r="26399" spans="1:11">
      <c r="A26399" s="33" t="s">
        <v>58038</v>
      </c>
      <c r="B26399" s="33" t="s">
        <v>58039</v>
      </c>
      <c r="C26399" s="33" t="s">
        <v>1080</v>
      </c>
      <c r="D26399" s="33" t="s">
        <v>17</v>
      </c>
      <c r="E26399" s="33" t="s">
        <v>18</v>
      </c>
      <c r="F26399" s="33" t="s">
        <v>19</v>
      </c>
      <c r="G26399" s="33" t="s">
        <v>140</v>
      </c>
      <c r="H26399" s="35">
        <v>240</v>
      </c>
      <c r="I26399" s="33" t="s">
        <v>51</v>
      </c>
      <c r="J26399" s="42">
        <v>46090</v>
      </c>
      <c r="K26399" s="33" t="s">
        <v>22</v>
      </c>
    </row>
    <row r="26400" spans="1:11">
      <c r="A26400" s="30" t="s">
        <v>58040</v>
      </c>
      <c r="B26400" s="30" t="s">
        <v>58041</v>
      </c>
      <c r="C26400" s="30" t="s">
        <v>50906</v>
      </c>
      <c r="D26400" s="30" t="s">
        <v>17</v>
      </c>
      <c r="E26400" s="30" t="s">
        <v>26</v>
      </c>
      <c r="F26400" s="30" t="s">
        <v>27</v>
      </c>
      <c r="G26400" s="30" t="s">
        <v>7780</v>
      </c>
      <c r="H26400" s="32">
        <v>27</v>
      </c>
      <c r="I26400" s="30" t="s">
        <v>51</v>
      </c>
      <c r="J26400" s="41">
        <v>46218</v>
      </c>
      <c r="K26400" s="30" t="s">
        <v>22</v>
      </c>
    </row>
    <row r="26401" spans="1:11">
      <c r="A26401" s="33" t="s">
        <v>58042</v>
      </c>
      <c r="B26401" s="33" t="s">
        <v>58043</v>
      </c>
      <c r="C26401" s="33" t="s">
        <v>32345</v>
      </c>
      <c r="D26401" s="33" t="s">
        <v>17</v>
      </c>
      <c r="E26401" s="33" t="s">
        <v>45</v>
      </c>
      <c r="F26401" s="33" t="s">
        <v>46</v>
      </c>
      <c r="G26401" s="33" t="s">
        <v>140</v>
      </c>
      <c r="H26401" s="35">
        <v>152</v>
      </c>
      <c r="I26401" s="33" t="s">
        <v>51</v>
      </c>
      <c r="J26401" s="42">
        <v>46220</v>
      </c>
      <c r="K26401" s="33" t="s">
        <v>22</v>
      </c>
    </row>
    <row r="26402" spans="1:11">
      <c r="A26402" s="30" t="s">
        <v>58044</v>
      </c>
      <c r="B26402" s="30" t="s">
        <v>58045</v>
      </c>
      <c r="C26402" s="30" t="s">
        <v>14816</v>
      </c>
      <c r="D26402" s="30" t="s">
        <v>17</v>
      </c>
      <c r="E26402" s="30" t="s">
        <v>18</v>
      </c>
      <c r="F26402" s="30" t="s">
        <v>19</v>
      </c>
      <c r="G26402" s="30" t="s">
        <v>140</v>
      </c>
      <c r="H26402" s="32">
        <v>5500</v>
      </c>
      <c r="I26402" s="30" t="s">
        <v>51</v>
      </c>
      <c r="J26402" s="41">
        <v>46085</v>
      </c>
      <c r="K26402" s="30" t="s">
        <v>22</v>
      </c>
    </row>
    <row r="26403" spans="1:11">
      <c r="A26403" s="33" t="s">
        <v>58046</v>
      </c>
      <c r="B26403" s="33" t="s">
        <v>58047</v>
      </c>
      <c r="C26403" s="33" t="s">
        <v>37762</v>
      </c>
      <c r="D26403" s="33" t="s">
        <v>17</v>
      </c>
      <c r="E26403" s="33" t="s">
        <v>67</v>
      </c>
      <c r="F26403" s="33" t="s">
        <v>68</v>
      </c>
      <c r="G26403" s="33" t="s">
        <v>140</v>
      </c>
      <c r="H26403" s="35">
        <v>130</v>
      </c>
      <c r="I26403" s="33" t="s">
        <v>51</v>
      </c>
      <c r="J26403" s="42">
        <v>46030</v>
      </c>
      <c r="K26403" s="33" t="s">
        <v>22</v>
      </c>
    </row>
    <row r="26404" spans="1:11">
      <c r="A26404" s="30" t="s">
        <v>58048</v>
      </c>
      <c r="B26404" s="30" t="s">
        <v>58049</v>
      </c>
      <c r="C26404" s="30" t="s">
        <v>969</v>
      </c>
      <c r="D26404" s="30" t="s">
        <v>17</v>
      </c>
      <c r="E26404" s="30" t="s">
        <v>26</v>
      </c>
      <c r="F26404" s="30" t="s">
        <v>27</v>
      </c>
      <c r="G26404" s="30" t="s">
        <v>7780</v>
      </c>
      <c r="H26404" s="32">
        <v>40</v>
      </c>
      <c r="I26404" s="30" t="s">
        <v>51</v>
      </c>
      <c r="J26404" s="41">
        <v>46185</v>
      </c>
      <c r="K26404" s="30" t="s">
        <v>22</v>
      </c>
    </row>
    <row r="26405" spans="1:11">
      <c r="A26405" s="33" t="s">
        <v>58050</v>
      </c>
      <c r="B26405" s="33" t="s">
        <v>58051</v>
      </c>
      <c r="C26405" s="33" t="s">
        <v>1003</v>
      </c>
      <c r="D26405" s="33" t="s">
        <v>17</v>
      </c>
      <c r="E26405" s="33" t="s">
        <v>26</v>
      </c>
      <c r="F26405" s="33" t="s">
        <v>27</v>
      </c>
      <c r="G26405" s="33" t="s">
        <v>140</v>
      </c>
      <c r="H26405" s="35">
        <v>100</v>
      </c>
      <c r="I26405" s="33" t="s">
        <v>51</v>
      </c>
      <c r="J26405" s="42">
        <v>46133</v>
      </c>
      <c r="K26405" s="33" t="s">
        <v>22</v>
      </c>
    </row>
    <row r="26406" spans="1:11">
      <c r="A26406" s="30" t="s">
        <v>58052</v>
      </c>
      <c r="B26406" s="30" t="s">
        <v>58053</v>
      </c>
      <c r="C26406" s="30" t="s">
        <v>5805</v>
      </c>
      <c r="D26406" s="30" t="s">
        <v>17</v>
      </c>
      <c r="E26406" s="30" t="s">
        <v>18</v>
      </c>
      <c r="F26406" s="30" t="s">
        <v>19</v>
      </c>
      <c r="G26406" s="30" t="s">
        <v>140</v>
      </c>
      <c r="H26406" s="32">
        <v>240</v>
      </c>
      <c r="I26406" s="30" t="s">
        <v>51</v>
      </c>
      <c r="J26406" s="41">
        <v>46037</v>
      </c>
      <c r="K26406" s="30" t="s">
        <v>22</v>
      </c>
    </row>
    <row r="26407" spans="1:11">
      <c r="A26407" s="33" t="s">
        <v>58054</v>
      </c>
      <c r="B26407" s="33" t="s">
        <v>58055</v>
      </c>
      <c r="C26407" s="33" t="s">
        <v>45483</v>
      </c>
      <c r="D26407" s="33" t="s">
        <v>17</v>
      </c>
      <c r="E26407" s="33" t="s">
        <v>31</v>
      </c>
      <c r="F26407" s="33" t="s">
        <v>32</v>
      </c>
      <c r="G26407" s="33" t="s">
        <v>140</v>
      </c>
      <c r="H26407" s="35">
        <v>240</v>
      </c>
      <c r="I26407" s="33" t="s">
        <v>51</v>
      </c>
      <c r="J26407" s="42">
        <v>46076</v>
      </c>
      <c r="K26407" s="33" t="s">
        <v>22</v>
      </c>
    </row>
    <row r="26408" spans="1:11">
      <c r="A26408" s="30" t="s">
        <v>58056</v>
      </c>
      <c r="B26408" s="30" t="s">
        <v>58057</v>
      </c>
      <c r="C26408" s="30" t="s">
        <v>57279</v>
      </c>
      <c r="D26408" s="30" t="s">
        <v>17</v>
      </c>
      <c r="E26408" s="30" t="s">
        <v>67</v>
      </c>
      <c r="F26408" s="30" t="s">
        <v>68</v>
      </c>
      <c r="G26408" s="30" t="s">
        <v>7780</v>
      </c>
      <c r="H26408" s="32">
        <v>21</v>
      </c>
      <c r="I26408" s="30" t="s">
        <v>51</v>
      </c>
      <c r="J26408" s="41">
        <v>46122</v>
      </c>
      <c r="K26408" s="30" t="s">
        <v>22</v>
      </c>
    </row>
    <row r="26409" spans="1:11">
      <c r="A26409" s="33" t="s">
        <v>58058</v>
      </c>
      <c r="B26409" s="33" t="s">
        <v>58059</v>
      </c>
      <c r="C26409" s="33" t="s">
        <v>231</v>
      </c>
      <c r="D26409" s="33" t="s">
        <v>17</v>
      </c>
      <c r="E26409" s="33" t="s">
        <v>26</v>
      </c>
      <c r="F26409" s="33" t="s">
        <v>27</v>
      </c>
      <c r="G26409" s="33" t="s">
        <v>158</v>
      </c>
      <c r="H26409" s="35">
        <v>16</v>
      </c>
      <c r="I26409" s="33" t="s">
        <v>21</v>
      </c>
      <c r="J26409" s="42">
        <v>46195</v>
      </c>
      <c r="K26409" s="33" t="s">
        <v>22</v>
      </c>
    </row>
    <row r="26410" spans="1:11">
      <c r="A26410" s="30" t="s">
        <v>58060</v>
      </c>
      <c r="B26410" s="30" t="s">
        <v>58061</v>
      </c>
      <c r="C26410" s="30" t="s">
        <v>57</v>
      </c>
      <c r="D26410" s="30" t="s">
        <v>17</v>
      </c>
      <c r="E26410" s="30" t="s">
        <v>212</v>
      </c>
      <c r="F26410" s="30" t="s">
        <v>213</v>
      </c>
      <c r="G26410" s="30" t="s">
        <v>7780</v>
      </c>
      <c r="H26410" s="32">
        <v>360</v>
      </c>
      <c r="I26410" s="30" t="s">
        <v>51</v>
      </c>
      <c r="J26410" s="41">
        <v>46113</v>
      </c>
      <c r="K26410" s="30" t="s">
        <v>22</v>
      </c>
    </row>
    <row r="26411" spans="1:11">
      <c r="A26411" s="33" t="s">
        <v>58062</v>
      </c>
      <c r="B26411" s="33" t="s">
        <v>58063</v>
      </c>
      <c r="C26411" s="33" t="s">
        <v>58064</v>
      </c>
      <c r="D26411" s="33" t="s">
        <v>17</v>
      </c>
      <c r="E26411" s="33" t="s">
        <v>31</v>
      </c>
      <c r="F26411" s="33" t="s">
        <v>32</v>
      </c>
      <c r="G26411" s="33" t="s">
        <v>140</v>
      </c>
      <c r="H26411" s="35">
        <v>10</v>
      </c>
      <c r="I26411" s="33" t="s">
        <v>51</v>
      </c>
      <c r="J26411" s="42">
        <v>46024</v>
      </c>
      <c r="K26411" s="33" t="s">
        <v>22</v>
      </c>
    </row>
    <row r="26412" spans="1:11">
      <c r="A26412" s="30" t="s">
        <v>58065</v>
      </c>
      <c r="B26412" s="30" t="s">
        <v>58066</v>
      </c>
      <c r="C26412" s="30" t="s">
        <v>5757</v>
      </c>
      <c r="D26412" s="30" t="s">
        <v>17</v>
      </c>
      <c r="E26412" s="30" t="s">
        <v>18</v>
      </c>
      <c r="F26412" s="30" t="s">
        <v>19</v>
      </c>
      <c r="G26412" s="30" t="s">
        <v>7780</v>
      </c>
      <c r="H26412" s="32">
        <v>270</v>
      </c>
      <c r="I26412" s="30" t="s">
        <v>51</v>
      </c>
      <c r="J26412" s="41">
        <v>46113</v>
      </c>
      <c r="K26412" s="30" t="s">
        <v>22</v>
      </c>
    </row>
    <row r="26413" spans="1:11">
      <c r="A26413" s="33" t="s">
        <v>58067</v>
      </c>
      <c r="B26413" s="33" t="s">
        <v>58068</v>
      </c>
      <c r="C26413" s="33" t="s">
        <v>21185</v>
      </c>
      <c r="D26413" s="33" t="s">
        <v>17</v>
      </c>
      <c r="E26413" s="33" t="s">
        <v>67</v>
      </c>
      <c r="F26413" s="33" t="s">
        <v>68</v>
      </c>
      <c r="G26413" s="33" t="s">
        <v>140</v>
      </c>
      <c r="H26413" s="35">
        <v>178</v>
      </c>
      <c r="I26413" s="33" t="s">
        <v>51</v>
      </c>
      <c r="J26413" s="42">
        <v>46169</v>
      </c>
      <c r="K26413" s="33" t="s">
        <v>22</v>
      </c>
    </row>
    <row r="26414" spans="1:11">
      <c r="A26414" s="30" t="s">
        <v>58069</v>
      </c>
      <c r="B26414" s="30" t="s">
        <v>58070</v>
      </c>
      <c r="C26414" s="30" t="s">
        <v>37452</v>
      </c>
      <c r="D26414" s="30" t="s">
        <v>17</v>
      </c>
      <c r="E26414" s="30" t="s">
        <v>67</v>
      </c>
      <c r="F26414" s="30" t="s">
        <v>68</v>
      </c>
      <c r="G26414" s="30" t="s">
        <v>140</v>
      </c>
      <c r="H26414" s="32">
        <v>8</v>
      </c>
      <c r="I26414" s="30" t="s">
        <v>51</v>
      </c>
      <c r="J26414" s="41">
        <v>46204</v>
      </c>
      <c r="K26414" s="30" t="s">
        <v>22</v>
      </c>
    </row>
    <row r="26415" spans="1:11">
      <c r="A26415" s="33" t="s">
        <v>58071</v>
      </c>
      <c r="B26415" s="33" t="s">
        <v>58072</v>
      </c>
      <c r="C26415" s="33" t="s">
        <v>109</v>
      </c>
      <c r="D26415" s="33" t="s">
        <v>17</v>
      </c>
      <c r="E26415" s="33" t="s">
        <v>26</v>
      </c>
      <c r="F26415" s="33" t="s">
        <v>27</v>
      </c>
      <c r="G26415" s="33" t="s">
        <v>140</v>
      </c>
      <c r="H26415" s="35">
        <v>194</v>
      </c>
      <c r="I26415" s="33" t="s">
        <v>51</v>
      </c>
      <c r="J26415" s="42">
        <v>46170</v>
      </c>
      <c r="K26415" s="33" t="s">
        <v>22</v>
      </c>
    </row>
    <row r="26416" spans="1:11">
      <c r="A26416" s="30" t="s">
        <v>58073</v>
      </c>
      <c r="B26416" s="30" t="s">
        <v>58074</v>
      </c>
      <c r="C26416" s="30" t="s">
        <v>136</v>
      </c>
      <c r="D26416" s="30" t="s">
        <v>17</v>
      </c>
      <c r="E26416" s="30" t="s">
        <v>18</v>
      </c>
      <c r="F26416" s="30" t="s">
        <v>19</v>
      </c>
      <c r="G26416" s="30" t="s">
        <v>7780</v>
      </c>
      <c r="H26416" s="32">
        <v>130</v>
      </c>
      <c r="I26416" s="30" t="s">
        <v>51</v>
      </c>
      <c r="J26416" s="41">
        <v>46204</v>
      </c>
      <c r="K26416" s="30" t="s">
        <v>22</v>
      </c>
    </row>
    <row r="26417" spans="1:11">
      <c r="A26417" s="33" t="s">
        <v>58075</v>
      </c>
      <c r="B26417" s="33" t="s">
        <v>58076</v>
      </c>
      <c r="C26417" s="33" t="s">
        <v>936</v>
      </c>
      <c r="D26417" s="33" t="s">
        <v>17</v>
      </c>
      <c r="E26417" s="33" t="s">
        <v>31</v>
      </c>
      <c r="F26417" s="33" t="s">
        <v>32</v>
      </c>
      <c r="G26417" s="33" t="s">
        <v>140</v>
      </c>
      <c r="H26417" s="35">
        <v>90</v>
      </c>
      <c r="I26417" s="33" t="s">
        <v>51</v>
      </c>
      <c r="J26417" s="42">
        <v>46024</v>
      </c>
      <c r="K26417" s="33" t="s">
        <v>22</v>
      </c>
    </row>
    <row r="26418" spans="1:11">
      <c r="A26418" s="30" t="s">
        <v>58077</v>
      </c>
      <c r="B26418" s="30" t="s">
        <v>58078</v>
      </c>
      <c r="C26418" s="30" t="s">
        <v>102</v>
      </c>
      <c r="D26418" s="30" t="s">
        <v>17</v>
      </c>
      <c r="E26418" s="30" t="s">
        <v>31</v>
      </c>
      <c r="F26418" s="30" t="s">
        <v>32</v>
      </c>
      <c r="G26418" s="30" t="s">
        <v>112</v>
      </c>
      <c r="H26418" s="32">
        <v>0</v>
      </c>
      <c r="I26418" s="30" t="s">
        <v>21</v>
      </c>
      <c r="J26418" s="41">
        <v>46037</v>
      </c>
      <c r="K26418" s="30" t="s">
        <v>22</v>
      </c>
    </row>
    <row r="26419" spans="1:11">
      <c r="A26419" s="33" t="s">
        <v>58079</v>
      </c>
      <c r="B26419" s="33" t="s">
        <v>58080</v>
      </c>
      <c r="C26419" s="33" t="s">
        <v>379</v>
      </c>
      <c r="D26419" s="33" t="s">
        <v>17</v>
      </c>
      <c r="E26419" s="33" t="s">
        <v>31</v>
      </c>
      <c r="F26419" s="33" t="s">
        <v>32</v>
      </c>
      <c r="G26419" s="33" t="s">
        <v>7780</v>
      </c>
      <c r="H26419" s="35">
        <v>180</v>
      </c>
      <c r="I26419" s="33" t="s">
        <v>51</v>
      </c>
      <c r="J26419" s="42">
        <v>46137</v>
      </c>
      <c r="K26419" s="33" t="s">
        <v>22</v>
      </c>
    </row>
    <row r="26420" spans="1:11">
      <c r="A26420" s="30" t="s">
        <v>58081</v>
      </c>
      <c r="B26420" s="30" t="s">
        <v>58082</v>
      </c>
      <c r="C26420" s="30" t="s">
        <v>48745</v>
      </c>
      <c r="D26420" s="30" t="s">
        <v>17</v>
      </c>
      <c r="E26420" s="30" t="s">
        <v>26</v>
      </c>
      <c r="F26420" s="30" t="s">
        <v>27</v>
      </c>
      <c r="G26420" s="30" t="s">
        <v>7780</v>
      </c>
      <c r="H26420" s="32">
        <v>13</v>
      </c>
      <c r="I26420" s="30" t="s">
        <v>51</v>
      </c>
      <c r="J26420" s="41">
        <v>46099</v>
      </c>
      <c r="K26420" s="30" t="s">
        <v>22</v>
      </c>
    </row>
    <row r="26421" spans="1:11">
      <c r="A26421" s="33" t="s">
        <v>58083</v>
      </c>
      <c r="B26421" s="33" t="s">
        <v>58084</v>
      </c>
      <c r="C26421" s="33" t="s">
        <v>310</v>
      </c>
      <c r="D26421" s="33" t="s">
        <v>17</v>
      </c>
      <c r="E26421" s="33" t="s">
        <v>26</v>
      </c>
      <c r="F26421" s="33" t="s">
        <v>27</v>
      </c>
      <c r="G26421" s="33" t="s">
        <v>140</v>
      </c>
      <c r="H26421" s="35">
        <v>114</v>
      </c>
      <c r="I26421" s="33" t="s">
        <v>51</v>
      </c>
      <c r="J26421" s="42">
        <v>46171</v>
      </c>
      <c r="K26421" s="33" t="s">
        <v>22</v>
      </c>
    </row>
    <row r="26422" spans="1:11">
      <c r="A26422" s="30" t="s">
        <v>58085</v>
      </c>
      <c r="B26422" s="30" t="s">
        <v>58086</v>
      </c>
      <c r="C26422" s="30" t="s">
        <v>56127</v>
      </c>
      <c r="D26422" s="30" t="s">
        <v>17</v>
      </c>
      <c r="E26422" s="30" t="s">
        <v>67</v>
      </c>
      <c r="F26422" s="30" t="s">
        <v>68</v>
      </c>
      <c r="G26422" s="30" t="s">
        <v>7780</v>
      </c>
      <c r="H26422" s="32">
        <v>56</v>
      </c>
      <c r="I26422" s="30" t="s">
        <v>51</v>
      </c>
      <c r="J26422" s="41">
        <v>46204</v>
      </c>
      <c r="K26422" s="30" t="s">
        <v>22</v>
      </c>
    </row>
    <row r="26423" spans="1:11">
      <c r="A26423" s="33" t="s">
        <v>58087</v>
      </c>
      <c r="B26423" s="33" t="s">
        <v>58088</v>
      </c>
      <c r="C26423" s="33" t="s">
        <v>53329</v>
      </c>
      <c r="D26423" s="33" t="s">
        <v>17</v>
      </c>
      <c r="E26423" s="33" t="s">
        <v>31</v>
      </c>
      <c r="F26423" s="33" t="s">
        <v>32</v>
      </c>
      <c r="G26423" s="33" t="s">
        <v>7780</v>
      </c>
      <c r="H26423" s="35">
        <v>111</v>
      </c>
      <c r="I26423" s="33" t="s">
        <v>51</v>
      </c>
      <c r="J26423" s="42">
        <v>46172</v>
      </c>
      <c r="K26423" s="33" t="s">
        <v>22</v>
      </c>
    </row>
    <row r="26424" spans="1:11">
      <c r="A26424" s="30" t="s">
        <v>58089</v>
      </c>
      <c r="B26424" s="30" t="s">
        <v>58090</v>
      </c>
      <c r="C26424" s="30" t="s">
        <v>4348</v>
      </c>
      <c r="D26424" s="30" t="s">
        <v>17</v>
      </c>
      <c r="E26424" s="30" t="s">
        <v>45</v>
      </c>
      <c r="F26424" s="30" t="s">
        <v>46</v>
      </c>
      <c r="G26424" s="30" t="s">
        <v>7780</v>
      </c>
      <c r="H26424" s="32">
        <v>216</v>
      </c>
      <c r="I26424" s="30" t="s">
        <v>51</v>
      </c>
      <c r="J26424" s="41">
        <v>46082</v>
      </c>
      <c r="K26424" s="30" t="s">
        <v>22</v>
      </c>
    </row>
    <row r="26425" spans="1:11">
      <c r="A26425" s="33" t="s">
        <v>58091</v>
      </c>
      <c r="B26425" s="33" t="s">
        <v>58092</v>
      </c>
      <c r="C26425" s="33" t="s">
        <v>44</v>
      </c>
      <c r="D26425" s="33" t="s">
        <v>17</v>
      </c>
      <c r="E26425" s="33" t="s">
        <v>18</v>
      </c>
      <c r="F26425" s="33" t="s">
        <v>19</v>
      </c>
      <c r="G26425" s="33" t="s">
        <v>140</v>
      </c>
      <c r="H26425" s="35">
        <v>915</v>
      </c>
      <c r="I26425" s="33" t="s">
        <v>51</v>
      </c>
      <c r="J26425" s="42">
        <v>46024</v>
      </c>
      <c r="K26425" s="33" t="s">
        <v>22</v>
      </c>
    </row>
    <row r="26426" spans="1:11">
      <c r="A26426" s="30" t="s">
        <v>58093</v>
      </c>
      <c r="B26426" s="30" t="s">
        <v>58094</v>
      </c>
      <c r="C26426" s="30" t="s">
        <v>39396</v>
      </c>
      <c r="D26426" s="30" t="s">
        <v>17</v>
      </c>
      <c r="E26426" s="30" t="s">
        <v>31</v>
      </c>
      <c r="F26426" s="30" t="s">
        <v>32</v>
      </c>
      <c r="G26426" s="30" t="s">
        <v>140</v>
      </c>
      <c r="H26426" s="32">
        <v>40</v>
      </c>
      <c r="I26426" s="30" t="s">
        <v>51</v>
      </c>
      <c r="J26426" s="41">
        <v>46058</v>
      </c>
      <c r="K26426" s="30" t="s">
        <v>22</v>
      </c>
    </row>
    <row r="26427" spans="1:11">
      <c r="A26427" s="33" t="s">
        <v>58095</v>
      </c>
      <c r="B26427" s="33" t="s">
        <v>58096</v>
      </c>
      <c r="C26427" s="33" t="s">
        <v>41065</v>
      </c>
      <c r="D26427" s="33" t="s">
        <v>17</v>
      </c>
      <c r="E26427" s="33" t="s">
        <v>18</v>
      </c>
      <c r="F26427" s="33" t="s">
        <v>19</v>
      </c>
      <c r="G26427" s="33" t="s">
        <v>140</v>
      </c>
      <c r="H26427" s="35">
        <v>874</v>
      </c>
      <c r="I26427" s="33" t="s">
        <v>51</v>
      </c>
      <c r="J26427" s="42">
        <v>46149</v>
      </c>
      <c r="K26427" s="33" t="s">
        <v>22</v>
      </c>
    </row>
    <row r="26428" spans="1:11">
      <c r="A26428" s="30" t="s">
        <v>58097</v>
      </c>
      <c r="B26428" s="30" t="s">
        <v>58098</v>
      </c>
      <c r="C26428" s="30" t="s">
        <v>14457</v>
      </c>
      <c r="D26428" s="30" t="s">
        <v>17</v>
      </c>
      <c r="E26428" s="30" t="s">
        <v>26</v>
      </c>
      <c r="F26428" s="30" t="s">
        <v>27</v>
      </c>
      <c r="G26428" s="30" t="s">
        <v>140</v>
      </c>
      <c r="H26428" s="32">
        <v>574</v>
      </c>
      <c r="I26428" s="30" t="s">
        <v>51</v>
      </c>
      <c r="J26428" s="41">
        <v>46030</v>
      </c>
      <c r="K26428" s="30" t="s">
        <v>22</v>
      </c>
    </row>
    <row r="26429" spans="1:11">
      <c r="A26429" s="33" t="s">
        <v>58099</v>
      </c>
      <c r="B26429" s="33" t="s">
        <v>58100</v>
      </c>
      <c r="C26429" s="33" t="s">
        <v>26407</v>
      </c>
      <c r="D26429" s="33" t="s">
        <v>17</v>
      </c>
      <c r="E26429" s="33" t="s">
        <v>18</v>
      </c>
      <c r="F26429" s="33" t="s">
        <v>19</v>
      </c>
      <c r="G26429" s="33" t="s">
        <v>140</v>
      </c>
      <c r="H26429" s="35">
        <v>300</v>
      </c>
      <c r="I26429" s="33" t="s">
        <v>51</v>
      </c>
      <c r="J26429" s="42">
        <v>46108</v>
      </c>
      <c r="K26429" s="33" t="s">
        <v>22</v>
      </c>
    </row>
    <row r="26430" spans="1:11">
      <c r="A26430" s="30" t="s">
        <v>58101</v>
      </c>
      <c r="B26430" s="30" t="s">
        <v>58102</v>
      </c>
      <c r="C26430" s="30" t="s">
        <v>21136</v>
      </c>
      <c r="D26430" s="30" t="s">
        <v>17</v>
      </c>
      <c r="E26430" s="30" t="s">
        <v>31</v>
      </c>
      <c r="F26430" s="30" t="s">
        <v>32</v>
      </c>
      <c r="G26430" s="30" t="s">
        <v>140</v>
      </c>
      <c r="H26430" s="32">
        <v>150</v>
      </c>
      <c r="I26430" s="30" t="s">
        <v>51</v>
      </c>
      <c r="J26430" s="41">
        <v>46204</v>
      </c>
      <c r="K26430" s="30" t="s">
        <v>22</v>
      </c>
    </row>
    <row r="26431" spans="1:11">
      <c r="A26431" s="33" t="s">
        <v>58103</v>
      </c>
      <c r="B26431" s="33" t="s">
        <v>58104</v>
      </c>
      <c r="C26431" s="33" t="s">
        <v>58105</v>
      </c>
      <c r="D26431" s="33" t="s">
        <v>17</v>
      </c>
      <c r="E26431" s="33" t="s">
        <v>26</v>
      </c>
      <c r="F26431" s="33" t="s">
        <v>27</v>
      </c>
      <c r="G26431" s="33" t="s">
        <v>140</v>
      </c>
      <c r="H26431" s="35">
        <v>12</v>
      </c>
      <c r="I26431" s="33" t="s">
        <v>51</v>
      </c>
      <c r="J26431" s="42">
        <v>46092</v>
      </c>
      <c r="K26431" s="33" t="s">
        <v>22</v>
      </c>
    </row>
    <row r="26432" spans="1:11">
      <c r="A26432" s="30" t="s">
        <v>58106</v>
      </c>
      <c r="B26432" s="30" t="s">
        <v>58107</v>
      </c>
      <c r="C26432" s="30" t="s">
        <v>34264</v>
      </c>
      <c r="D26432" s="30" t="s">
        <v>17</v>
      </c>
      <c r="E26432" s="30" t="s">
        <v>18</v>
      </c>
      <c r="F26432" s="30" t="s">
        <v>19</v>
      </c>
      <c r="G26432" s="30" t="s">
        <v>140</v>
      </c>
      <c r="H26432" s="32">
        <v>200</v>
      </c>
      <c r="I26432" s="30" t="s">
        <v>51</v>
      </c>
      <c r="J26432" s="41">
        <v>46213</v>
      </c>
      <c r="K26432" s="30" t="s">
        <v>22</v>
      </c>
    </row>
    <row r="26433" spans="1:11">
      <c r="A26433" s="33" t="s">
        <v>58108</v>
      </c>
      <c r="B26433" s="33" t="s">
        <v>58109</v>
      </c>
      <c r="C26433" s="33" t="s">
        <v>1080</v>
      </c>
      <c r="D26433" s="33" t="s">
        <v>17</v>
      </c>
      <c r="E26433" s="33" t="s">
        <v>26</v>
      </c>
      <c r="F26433" s="33" t="s">
        <v>27</v>
      </c>
      <c r="G26433" s="33" t="s">
        <v>7780</v>
      </c>
      <c r="H26433" s="35">
        <v>112</v>
      </c>
      <c r="I26433" s="33" t="s">
        <v>51</v>
      </c>
      <c r="J26433" s="42">
        <v>46153</v>
      </c>
      <c r="K26433" s="33" t="s">
        <v>22</v>
      </c>
    </row>
    <row r="26434" spans="1:11">
      <c r="A26434" s="30" t="s">
        <v>58110</v>
      </c>
      <c r="B26434" s="30" t="s">
        <v>58111</v>
      </c>
      <c r="C26434" s="30" t="s">
        <v>570</v>
      </c>
      <c r="D26434" s="30" t="s">
        <v>17</v>
      </c>
      <c r="E26434" s="30" t="s">
        <v>31</v>
      </c>
      <c r="F26434" s="30" t="s">
        <v>32</v>
      </c>
      <c r="G26434" s="30" t="s">
        <v>7780</v>
      </c>
      <c r="H26434" s="32">
        <v>132</v>
      </c>
      <c r="I26434" s="30" t="s">
        <v>51</v>
      </c>
      <c r="J26434" s="41">
        <v>46174</v>
      </c>
      <c r="K26434" s="30" t="s">
        <v>22</v>
      </c>
    </row>
    <row r="26435" spans="1:11">
      <c r="A26435" s="33" t="s">
        <v>58112</v>
      </c>
      <c r="B26435" s="33" t="s">
        <v>58113</v>
      </c>
      <c r="C26435" s="33" t="s">
        <v>58114</v>
      </c>
      <c r="D26435" s="33" t="s">
        <v>17</v>
      </c>
      <c r="E26435" s="33" t="s">
        <v>18</v>
      </c>
      <c r="F26435" s="33" t="s">
        <v>19</v>
      </c>
      <c r="G26435" s="33" t="s">
        <v>7780</v>
      </c>
      <c r="H26435" s="35">
        <v>572</v>
      </c>
      <c r="I26435" s="33" t="s">
        <v>51</v>
      </c>
      <c r="J26435" s="42">
        <v>46054</v>
      </c>
      <c r="K26435" s="33" t="s">
        <v>22</v>
      </c>
    </row>
    <row r="26436" spans="1:11">
      <c r="A26436" s="30" t="s">
        <v>58115</v>
      </c>
      <c r="B26436" s="30" t="s">
        <v>58116</v>
      </c>
      <c r="C26436" s="30" t="s">
        <v>1154</v>
      </c>
      <c r="D26436" s="30" t="s">
        <v>17</v>
      </c>
      <c r="E26436" s="30" t="s">
        <v>18</v>
      </c>
      <c r="F26436" s="30" t="s">
        <v>19</v>
      </c>
      <c r="G26436" s="30" t="s">
        <v>112</v>
      </c>
      <c r="H26436" s="32">
        <v>0</v>
      </c>
      <c r="I26436" s="30" t="s">
        <v>21</v>
      </c>
      <c r="J26436" s="41">
        <v>46113</v>
      </c>
      <c r="K26436" s="30" t="s">
        <v>22</v>
      </c>
    </row>
    <row r="26437" spans="1:11">
      <c r="A26437" s="33" t="s">
        <v>58117</v>
      </c>
      <c r="B26437" s="33" t="s">
        <v>58118</v>
      </c>
      <c r="C26437" s="33" t="s">
        <v>3922</v>
      </c>
      <c r="D26437" s="33" t="s">
        <v>17</v>
      </c>
      <c r="E26437" s="33" t="s">
        <v>26</v>
      </c>
      <c r="F26437" s="33" t="s">
        <v>27</v>
      </c>
      <c r="G26437" s="33" t="s">
        <v>140</v>
      </c>
      <c r="H26437" s="35">
        <v>44</v>
      </c>
      <c r="I26437" s="33" t="s">
        <v>51</v>
      </c>
      <c r="J26437" s="42">
        <v>46084</v>
      </c>
      <c r="K26437" s="33" t="s">
        <v>22</v>
      </c>
    </row>
    <row r="26438" spans="1:11">
      <c r="A26438" s="30" t="s">
        <v>58119</v>
      </c>
      <c r="B26438" s="30" t="s">
        <v>58120</v>
      </c>
      <c r="C26438" s="30" t="s">
        <v>6703</v>
      </c>
      <c r="D26438" s="30" t="s">
        <v>17</v>
      </c>
      <c r="E26438" s="30" t="s">
        <v>67</v>
      </c>
      <c r="F26438" s="30" t="s">
        <v>68</v>
      </c>
      <c r="G26438" s="30" t="s">
        <v>7780</v>
      </c>
      <c r="H26438" s="32">
        <v>60</v>
      </c>
      <c r="I26438" s="30" t="s">
        <v>51</v>
      </c>
      <c r="J26438" s="41">
        <v>46128</v>
      </c>
      <c r="K26438" s="30" t="s">
        <v>22</v>
      </c>
    </row>
    <row r="26439" spans="1:11">
      <c r="A26439" s="33" t="s">
        <v>58121</v>
      </c>
      <c r="B26439" s="33" t="s">
        <v>58122</v>
      </c>
      <c r="C26439" s="33" t="s">
        <v>1219</v>
      </c>
      <c r="D26439" s="33" t="s">
        <v>17</v>
      </c>
      <c r="E26439" s="33" t="s">
        <v>67</v>
      </c>
      <c r="F26439" s="33" t="s">
        <v>68</v>
      </c>
      <c r="G26439" s="33" t="s">
        <v>140</v>
      </c>
      <c r="H26439" s="35">
        <v>203</v>
      </c>
      <c r="I26439" s="33" t="s">
        <v>51</v>
      </c>
      <c r="J26439" s="42">
        <v>46051</v>
      </c>
      <c r="K26439" s="33" t="s">
        <v>22</v>
      </c>
    </row>
    <row r="26440" spans="1:11">
      <c r="A26440" s="30" t="s">
        <v>58123</v>
      </c>
      <c r="B26440" s="30" t="s">
        <v>58124</v>
      </c>
      <c r="C26440" s="30" t="s">
        <v>6205</v>
      </c>
      <c r="D26440" s="30" t="s">
        <v>17</v>
      </c>
      <c r="E26440" s="30" t="s">
        <v>18</v>
      </c>
      <c r="F26440" s="30" t="s">
        <v>19</v>
      </c>
      <c r="G26440" s="30" t="s">
        <v>7780</v>
      </c>
      <c r="H26440" s="32">
        <v>600</v>
      </c>
      <c r="I26440" s="30" t="s">
        <v>51</v>
      </c>
      <c r="J26440" s="41">
        <v>46201</v>
      </c>
      <c r="K26440" s="30" t="s">
        <v>22</v>
      </c>
    </row>
    <row r="26441" spans="1:11">
      <c r="A26441" s="33" t="s">
        <v>58125</v>
      </c>
      <c r="B26441" s="33" t="s">
        <v>58126</v>
      </c>
      <c r="C26441" s="33" t="s">
        <v>1210</v>
      </c>
      <c r="D26441" s="33" t="s">
        <v>17</v>
      </c>
      <c r="E26441" s="33" t="s">
        <v>18</v>
      </c>
      <c r="F26441" s="33" t="s">
        <v>19</v>
      </c>
      <c r="G26441" s="33" t="s">
        <v>140</v>
      </c>
      <c r="H26441" s="35">
        <v>132</v>
      </c>
      <c r="I26441" s="33" t="s">
        <v>51</v>
      </c>
      <c r="J26441" s="42">
        <v>46185</v>
      </c>
      <c r="K26441" s="33" t="s">
        <v>22</v>
      </c>
    </row>
    <row r="26442" spans="1:11">
      <c r="A26442" s="30" t="s">
        <v>58127</v>
      </c>
      <c r="B26442" s="30" t="s">
        <v>58128</v>
      </c>
      <c r="C26442" s="30" t="s">
        <v>310</v>
      </c>
      <c r="D26442" s="30" t="s">
        <v>17</v>
      </c>
      <c r="E26442" s="30" t="s">
        <v>31</v>
      </c>
      <c r="F26442" s="30" t="s">
        <v>32</v>
      </c>
      <c r="G26442" s="30" t="s">
        <v>140</v>
      </c>
      <c r="H26442" s="32">
        <v>333</v>
      </c>
      <c r="I26442" s="30" t="s">
        <v>51</v>
      </c>
      <c r="J26442" s="41">
        <v>46055</v>
      </c>
      <c r="K26442" s="30" t="s">
        <v>22</v>
      </c>
    </row>
    <row r="26443" spans="1:11">
      <c r="A26443" s="33" t="s">
        <v>58129</v>
      </c>
      <c r="B26443" s="33" t="s">
        <v>58130</v>
      </c>
      <c r="C26443" s="33" t="s">
        <v>54348</v>
      </c>
      <c r="D26443" s="33" t="s">
        <v>17</v>
      </c>
      <c r="E26443" s="33" t="s">
        <v>18</v>
      </c>
      <c r="F26443" s="33" t="s">
        <v>19</v>
      </c>
      <c r="G26443" s="33" t="s">
        <v>7780</v>
      </c>
      <c r="H26443" s="35">
        <v>150</v>
      </c>
      <c r="I26443" s="33" t="s">
        <v>51</v>
      </c>
      <c r="J26443" s="42">
        <v>46204</v>
      </c>
      <c r="K26443" s="33" t="s">
        <v>22</v>
      </c>
    </row>
    <row r="26444" spans="1:11">
      <c r="A26444" s="30" t="s">
        <v>58131</v>
      </c>
      <c r="B26444" s="30" t="s">
        <v>58132</v>
      </c>
      <c r="C26444" s="30" t="s">
        <v>6470</v>
      </c>
      <c r="D26444" s="30" t="s">
        <v>17</v>
      </c>
      <c r="E26444" s="30" t="s">
        <v>18</v>
      </c>
      <c r="F26444" s="30" t="s">
        <v>19</v>
      </c>
      <c r="G26444" s="30" t="s">
        <v>140</v>
      </c>
      <c r="H26444" s="32">
        <v>400</v>
      </c>
      <c r="I26444" s="30" t="s">
        <v>51</v>
      </c>
      <c r="J26444" s="41">
        <v>46119</v>
      </c>
      <c r="K26444" s="30" t="s">
        <v>22</v>
      </c>
    </row>
    <row r="26445" spans="1:11">
      <c r="A26445" s="33" t="s">
        <v>58133</v>
      </c>
      <c r="B26445" s="33" t="s">
        <v>58134</v>
      </c>
      <c r="C26445" s="33" t="s">
        <v>203</v>
      </c>
      <c r="D26445" s="33" t="s">
        <v>17</v>
      </c>
      <c r="E26445" s="33" t="s">
        <v>18</v>
      </c>
      <c r="F26445" s="33" t="s">
        <v>19</v>
      </c>
      <c r="G26445" s="33" t="s">
        <v>140</v>
      </c>
      <c r="H26445" s="35">
        <v>671</v>
      </c>
      <c r="I26445" s="33" t="s">
        <v>51</v>
      </c>
      <c r="J26445" s="42">
        <v>46038</v>
      </c>
      <c r="K26445" s="33" t="s">
        <v>22</v>
      </c>
    </row>
    <row r="26446" spans="1:11">
      <c r="A26446" s="30" t="s">
        <v>58135</v>
      </c>
      <c r="B26446" s="30" t="s">
        <v>58136</v>
      </c>
      <c r="C26446" s="30" t="s">
        <v>58137</v>
      </c>
      <c r="D26446" s="30" t="s">
        <v>17</v>
      </c>
      <c r="E26446" s="30" t="s">
        <v>67</v>
      </c>
      <c r="F26446" s="30" t="s">
        <v>68</v>
      </c>
      <c r="G26446" s="30" t="s">
        <v>7780</v>
      </c>
      <c r="H26446" s="32">
        <v>60</v>
      </c>
      <c r="I26446" s="30" t="s">
        <v>51</v>
      </c>
      <c r="J26446" s="41">
        <v>46190</v>
      </c>
      <c r="K26446" s="30" t="s">
        <v>22</v>
      </c>
    </row>
    <row r="26447" spans="1:11">
      <c r="A26447" s="33" t="s">
        <v>58138</v>
      </c>
      <c r="B26447" s="33" t="s">
        <v>58139</v>
      </c>
      <c r="C26447" s="33" t="s">
        <v>2978</v>
      </c>
      <c r="D26447" s="33" t="s">
        <v>17</v>
      </c>
      <c r="E26447" s="33" t="s">
        <v>67</v>
      </c>
      <c r="F26447" s="33" t="s">
        <v>68</v>
      </c>
      <c r="G26447" s="33" t="s">
        <v>140</v>
      </c>
      <c r="H26447" s="35">
        <v>164</v>
      </c>
      <c r="I26447" s="33" t="s">
        <v>51</v>
      </c>
      <c r="J26447" s="42">
        <v>46053</v>
      </c>
      <c r="K26447" s="33" t="s">
        <v>22</v>
      </c>
    </row>
    <row r="26448" spans="1:11">
      <c r="A26448" s="30" t="s">
        <v>58140</v>
      </c>
      <c r="B26448" s="30" t="s">
        <v>58141</v>
      </c>
      <c r="C26448" s="30" t="s">
        <v>25186</v>
      </c>
      <c r="D26448" s="30" t="s">
        <v>17</v>
      </c>
      <c r="E26448" s="30" t="s">
        <v>18</v>
      </c>
      <c r="F26448" s="30" t="s">
        <v>19</v>
      </c>
      <c r="G26448" s="30" t="s">
        <v>140</v>
      </c>
      <c r="H26448" s="32">
        <v>240</v>
      </c>
      <c r="I26448" s="30" t="s">
        <v>51</v>
      </c>
      <c r="J26448" s="41">
        <v>46077</v>
      </c>
      <c r="K26448" s="30" t="s">
        <v>22</v>
      </c>
    </row>
    <row r="26449" spans="1:11">
      <c r="A26449" s="33" t="s">
        <v>58142</v>
      </c>
      <c r="B26449" s="33" t="s">
        <v>58143</v>
      </c>
      <c r="C26449" s="33" t="s">
        <v>41926</v>
      </c>
      <c r="D26449" s="33" t="s">
        <v>17</v>
      </c>
      <c r="E26449" s="33" t="s">
        <v>26</v>
      </c>
      <c r="F26449" s="33" t="s">
        <v>27</v>
      </c>
      <c r="G26449" s="33" t="s">
        <v>140</v>
      </c>
      <c r="H26449" s="35">
        <v>36</v>
      </c>
      <c r="I26449" s="33" t="s">
        <v>51</v>
      </c>
      <c r="J26449" s="42">
        <v>46113</v>
      </c>
      <c r="K26449" s="33" t="s">
        <v>22</v>
      </c>
    </row>
    <row r="26450" spans="1:11">
      <c r="A26450" s="30" t="s">
        <v>58144</v>
      </c>
      <c r="B26450" s="30" t="s">
        <v>58145</v>
      </c>
      <c r="C26450" s="30" t="s">
        <v>136</v>
      </c>
      <c r="D26450" s="30" t="s">
        <v>17</v>
      </c>
      <c r="E26450" s="30" t="s">
        <v>18</v>
      </c>
      <c r="F26450" s="30" t="s">
        <v>19</v>
      </c>
      <c r="G26450" s="30" t="s">
        <v>140</v>
      </c>
      <c r="H26450" s="32">
        <v>300</v>
      </c>
      <c r="I26450" s="30" t="s">
        <v>51</v>
      </c>
      <c r="J26450" s="41">
        <v>46058</v>
      </c>
      <c r="K26450" s="30" t="s">
        <v>22</v>
      </c>
    </row>
    <row r="26451" spans="1:11">
      <c r="A26451" s="33" t="s">
        <v>58146</v>
      </c>
      <c r="B26451" s="33" t="s">
        <v>58147</v>
      </c>
      <c r="C26451" s="33" t="s">
        <v>3278</v>
      </c>
      <c r="D26451" s="33" t="s">
        <v>17</v>
      </c>
      <c r="E26451" s="33" t="s">
        <v>31</v>
      </c>
      <c r="F26451" s="33" t="s">
        <v>32</v>
      </c>
      <c r="G26451" s="33" t="s">
        <v>140</v>
      </c>
      <c r="H26451" s="35">
        <v>120</v>
      </c>
      <c r="I26451" s="33" t="s">
        <v>51</v>
      </c>
      <c r="J26451" s="42">
        <v>46065</v>
      </c>
      <c r="K26451" s="33" t="s">
        <v>22</v>
      </c>
    </row>
    <row r="26452" spans="1:11">
      <c r="A26452" s="30" t="s">
        <v>58148</v>
      </c>
      <c r="B26452" s="30" t="s">
        <v>58149</v>
      </c>
      <c r="C26452" s="30" t="s">
        <v>56957</v>
      </c>
      <c r="D26452" s="30" t="s">
        <v>17</v>
      </c>
      <c r="E26452" s="30" t="s">
        <v>67</v>
      </c>
      <c r="F26452" s="30" t="s">
        <v>68</v>
      </c>
      <c r="G26452" s="30" t="s">
        <v>140</v>
      </c>
      <c r="H26452" s="32">
        <v>60</v>
      </c>
      <c r="I26452" s="30" t="s">
        <v>51</v>
      </c>
      <c r="J26452" s="41">
        <v>46083</v>
      </c>
      <c r="K26452" s="30" t="s">
        <v>22</v>
      </c>
    </row>
    <row r="26453" spans="1:11">
      <c r="A26453" s="33" t="s">
        <v>58150</v>
      </c>
      <c r="B26453" s="33" t="s">
        <v>58151</v>
      </c>
      <c r="C26453" s="33" t="s">
        <v>8231</v>
      </c>
      <c r="D26453" s="33" t="s">
        <v>17</v>
      </c>
      <c r="E26453" s="33" t="s">
        <v>31</v>
      </c>
      <c r="F26453" s="33" t="s">
        <v>32</v>
      </c>
      <c r="G26453" s="33" t="s">
        <v>140</v>
      </c>
      <c r="H26453" s="35">
        <v>40</v>
      </c>
      <c r="I26453" s="33" t="s">
        <v>51</v>
      </c>
      <c r="J26453" s="42">
        <v>46092</v>
      </c>
      <c r="K26453" s="33" t="s">
        <v>22</v>
      </c>
    </row>
    <row r="26454" spans="1:11">
      <c r="A26454" s="30" t="s">
        <v>58152</v>
      </c>
      <c r="B26454" s="30" t="s">
        <v>58153</v>
      </c>
      <c r="C26454" s="30" t="s">
        <v>379</v>
      </c>
      <c r="D26454" s="30" t="s">
        <v>17</v>
      </c>
      <c r="E26454" s="30" t="s">
        <v>26</v>
      </c>
      <c r="F26454" s="30" t="s">
        <v>27</v>
      </c>
      <c r="G26454" s="30" t="s">
        <v>140</v>
      </c>
      <c r="H26454" s="32">
        <v>138</v>
      </c>
      <c r="I26454" s="30" t="s">
        <v>51</v>
      </c>
      <c r="J26454" s="41">
        <v>46129</v>
      </c>
      <c r="K26454" s="30" t="s">
        <v>22</v>
      </c>
    </row>
    <row r="26455" spans="1:11">
      <c r="A26455" s="33" t="s">
        <v>58154</v>
      </c>
      <c r="B26455" s="33" t="s">
        <v>58155</v>
      </c>
      <c r="C26455" s="33" t="s">
        <v>1165</v>
      </c>
      <c r="D26455" s="33" t="s">
        <v>17</v>
      </c>
      <c r="E26455" s="33" t="s">
        <v>26</v>
      </c>
      <c r="F26455" s="33" t="s">
        <v>27</v>
      </c>
      <c r="G26455" s="33" t="s">
        <v>140</v>
      </c>
      <c r="H26455" s="35">
        <v>52</v>
      </c>
      <c r="I26455" s="33" t="s">
        <v>51</v>
      </c>
      <c r="J26455" s="42">
        <v>46185</v>
      </c>
      <c r="K26455" s="33" t="s">
        <v>22</v>
      </c>
    </row>
    <row r="26456" spans="1:11">
      <c r="A26456" s="30" t="s">
        <v>58156</v>
      </c>
      <c r="B26456" s="30" t="s">
        <v>58157</v>
      </c>
      <c r="C26456" s="30" t="s">
        <v>60</v>
      </c>
      <c r="D26456" s="30" t="s">
        <v>17</v>
      </c>
      <c r="E26456" s="30" t="s">
        <v>26</v>
      </c>
      <c r="F26456" s="30" t="s">
        <v>27</v>
      </c>
      <c r="G26456" s="30" t="s">
        <v>140</v>
      </c>
      <c r="H26456" s="32">
        <v>12</v>
      </c>
      <c r="I26456" s="30" t="s">
        <v>51</v>
      </c>
      <c r="J26456" s="41">
        <v>46066</v>
      </c>
      <c r="K26456" s="30" t="s">
        <v>22</v>
      </c>
    </row>
    <row r="26457" spans="1:11">
      <c r="A26457" s="33" t="s">
        <v>58158</v>
      </c>
      <c r="B26457" s="33" t="s">
        <v>58159</v>
      </c>
      <c r="C26457" s="33" t="s">
        <v>44426</v>
      </c>
      <c r="D26457" s="33" t="s">
        <v>17</v>
      </c>
      <c r="E26457" s="33" t="s">
        <v>26</v>
      </c>
      <c r="F26457" s="33" t="s">
        <v>27</v>
      </c>
      <c r="G26457" s="33" t="s">
        <v>7780</v>
      </c>
      <c r="H26457" s="35">
        <v>20</v>
      </c>
      <c r="I26457" s="33" t="s">
        <v>51</v>
      </c>
      <c r="J26457" s="42">
        <v>46204</v>
      </c>
      <c r="K26457" s="33" t="s">
        <v>22</v>
      </c>
    </row>
    <row r="26458" spans="1:11">
      <c r="A26458" s="30" t="s">
        <v>58160</v>
      </c>
      <c r="B26458" s="30" t="s">
        <v>58161</v>
      </c>
      <c r="C26458" s="30" t="s">
        <v>11599</v>
      </c>
      <c r="D26458" s="30" t="s">
        <v>17</v>
      </c>
      <c r="E26458" s="30" t="s">
        <v>31</v>
      </c>
      <c r="F26458" s="30" t="s">
        <v>32</v>
      </c>
      <c r="G26458" s="30" t="s">
        <v>140</v>
      </c>
      <c r="H26458" s="32">
        <v>90</v>
      </c>
      <c r="I26458" s="30" t="s">
        <v>51</v>
      </c>
      <c r="J26458" s="41">
        <v>46211</v>
      </c>
      <c r="K26458" s="30" t="s">
        <v>22</v>
      </c>
    </row>
    <row r="26459" spans="1:11">
      <c r="A26459" s="33" t="s">
        <v>58162</v>
      </c>
      <c r="B26459" s="33" t="s">
        <v>58163</v>
      </c>
      <c r="C26459" s="33" t="s">
        <v>56957</v>
      </c>
      <c r="D26459" s="33" t="s">
        <v>17</v>
      </c>
      <c r="E26459" s="33" t="s">
        <v>67</v>
      </c>
      <c r="F26459" s="33" t="s">
        <v>68</v>
      </c>
      <c r="G26459" s="33" t="s">
        <v>140</v>
      </c>
      <c r="H26459" s="35">
        <v>48</v>
      </c>
      <c r="I26459" s="33" t="s">
        <v>51</v>
      </c>
      <c r="J26459" s="42">
        <v>46054</v>
      </c>
      <c r="K26459" s="33" t="s">
        <v>22</v>
      </c>
    </row>
    <row r="26460" spans="1:11">
      <c r="A26460" s="30" t="s">
        <v>58164</v>
      </c>
      <c r="B26460" s="30" t="s">
        <v>58165</v>
      </c>
      <c r="C26460" s="30" t="s">
        <v>32002</v>
      </c>
      <c r="D26460" s="30" t="s">
        <v>17</v>
      </c>
      <c r="E26460" s="30" t="s">
        <v>330</v>
      </c>
      <c r="F26460" s="30" t="s">
        <v>331</v>
      </c>
      <c r="G26460" s="30" t="s">
        <v>7780</v>
      </c>
      <c r="H26460" s="32">
        <v>13</v>
      </c>
      <c r="I26460" s="30" t="s">
        <v>51</v>
      </c>
      <c r="J26460" s="41">
        <v>46113</v>
      </c>
      <c r="K26460" s="30" t="s">
        <v>22</v>
      </c>
    </row>
    <row r="26461" spans="1:11">
      <c r="A26461" s="33" t="s">
        <v>58166</v>
      </c>
      <c r="B26461" s="33" t="s">
        <v>58167</v>
      </c>
      <c r="C26461" s="33" t="s">
        <v>52041</v>
      </c>
      <c r="D26461" s="33" t="s">
        <v>17</v>
      </c>
      <c r="E26461" s="33" t="s">
        <v>31</v>
      </c>
      <c r="F26461" s="33" t="s">
        <v>32</v>
      </c>
      <c r="G26461" s="33" t="s">
        <v>140</v>
      </c>
      <c r="H26461" s="35">
        <v>456</v>
      </c>
      <c r="I26461" s="33" t="s">
        <v>51</v>
      </c>
      <c r="J26461" s="42">
        <v>46048</v>
      </c>
      <c r="K26461" s="33" t="s">
        <v>22</v>
      </c>
    </row>
    <row r="26462" spans="1:11">
      <c r="A26462" s="30" t="s">
        <v>58168</v>
      </c>
      <c r="B26462" s="30" t="s">
        <v>58169</v>
      </c>
      <c r="C26462" s="30" t="s">
        <v>647</v>
      </c>
      <c r="D26462" s="30" t="s">
        <v>17</v>
      </c>
      <c r="E26462" s="30" t="s">
        <v>45</v>
      </c>
      <c r="F26462" s="30" t="s">
        <v>46</v>
      </c>
      <c r="G26462" s="30" t="s">
        <v>140</v>
      </c>
      <c r="H26462" s="32">
        <v>340</v>
      </c>
      <c r="I26462" s="30" t="s">
        <v>51</v>
      </c>
      <c r="J26462" s="41">
        <v>46160</v>
      </c>
      <c r="K26462" s="30" t="s">
        <v>22</v>
      </c>
    </row>
    <row r="26463" spans="1:11">
      <c r="A26463" s="33" t="s">
        <v>58170</v>
      </c>
      <c r="B26463" s="33" t="s">
        <v>58171</v>
      </c>
      <c r="C26463" s="33" t="s">
        <v>130</v>
      </c>
      <c r="D26463" s="33" t="s">
        <v>17</v>
      </c>
      <c r="E26463" s="33" t="s">
        <v>18</v>
      </c>
      <c r="F26463" s="33" t="s">
        <v>19</v>
      </c>
      <c r="G26463" s="33" t="s">
        <v>140</v>
      </c>
      <c r="H26463" s="35">
        <v>588</v>
      </c>
      <c r="I26463" s="33" t="s">
        <v>51</v>
      </c>
      <c r="J26463" s="42">
        <v>46121</v>
      </c>
      <c r="K26463" s="33" t="s">
        <v>22</v>
      </c>
    </row>
    <row r="26464" spans="1:11">
      <c r="A26464" s="30" t="s">
        <v>58172</v>
      </c>
      <c r="B26464" s="30" t="s">
        <v>58173</v>
      </c>
      <c r="C26464" s="30" t="s">
        <v>5683</v>
      </c>
      <c r="D26464" s="30" t="s">
        <v>17</v>
      </c>
      <c r="E26464" s="30" t="s">
        <v>26</v>
      </c>
      <c r="F26464" s="30" t="s">
        <v>27</v>
      </c>
      <c r="G26464" s="30" t="s">
        <v>20</v>
      </c>
      <c r="H26464" s="32">
        <v>16</v>
      </c>
      <c r="I26464" s="30" t="s">
        <v>21</v>
      </c>
      <c r="J26464" s="41">
        <v>46062</v>
      </c>
      <c r="K26464" s="30" t="s">
        <v>22</v>
      </c>
    </row>
    <row r="26465" spans="1:11">
      <c r="A26465" s="33" t="s">
        <v>58174</v>
      </c>
      <c r="B26465" s="33" t="s">
        <v>58175</v>
      </c>
      <c r="C26465" s="33" t="s">
        <v>22759</v>
      </c>
      <c r="D26465" s="33" t="s">
        <v>17</v>
      </c>
      <c r="E26465" s="33" t="s">
        <v>67</v>
      </c>
      <c r="F26465" s="33" t="s">
        <v>68</v>
      </c>
      <c r="G26465" s="33" t="s">
        <v>7780</v>
      </c>
      <c r="H26465" s="35">
        <v>30</v>
      </c>
      <c r="I26465" s="33" t="s">
        <v>51</v>
      </c>
      <c r="J26465" s="42">
        <v>46204</v>
      </c>
      <c r="K26465" s="33" t="s">
        <v>22</v>
      </c>
    </row>
    <row r="26466" spans="1:11">
      <c r="A26466" s="30" t="s">
        <v>58176</v>
      </c>
      <c r="B26466" s="30" t="s">
        <v>58177</v>
      </c>
      <c r="C26466" s="30" t="s">
        <v>37922</v>
      </c>
      <c r="D26466" s="30" t="s">
        <v>17</v>
      </c>
      <c r="E26466" s="30" t="s">
        <v>26</v>
      </c>
      <c r="F26466" s="30" t="s">
        <v>27</v>
      </c>
      <c r="G26466" s="30" t="s">
        <v>7780</v>
      </c>
      <c r="H26466" s="32">
        <v>81</v>
      </c>
      <c r="I26466" s="30" t="s">
        <v>51</v>
      </c>
      <c r="J26466" s="41">
        <v>46113</v>
      </c>
      <c r="K26466" s="30" t="s">
        <v>22</v>
      </c>
    </row>
    <row r="26467" spans="1:11">
      <c r="A26467" s="33" t="s">
        <v>58178</v>
      </c>
      <c r="B26467" s="33" t="s">
        <v>58179</v>
      </c>
      <c r="C26467" s="33" t="s">
        <v>58180</v>
      </c>
      <c r="D26467" s="33" t="s">
        <v>17</v>
      </c>
      <c r="E26467" s="33" t="s">
        <v>45</v>
      </c>
      <c r="F26467" s="33" t="s">
        <v>46</v>
      </c>
      <c r="G26467" s="33" t="s">
        <v>7780</v>
      </c>
      <c r="H26467" s="35">
        <v>60000</v>
      </c>
      <c r="I26467" s="33" t="s">
        <v>51</v>
      </c>
      <c r="J26467" s="42">
        <v>46174</v>
      </c>
      <c r="K26467" s="33" t="s">
        <v>22</v>
      </c>
    </row>
    <row r="26468" spans="1:11">
      <c r="A26468" s="30" t="s">
        <v>58181</v>
      </c>
      <c r="B26468" s="30" t="s">
        <v>58182</v>
      </c>
      <c r="C26468" s="30" t="s">
        <v>3679</v>
      </c>
      <c r="D26468" s="30" t="s">
        <v>17</v>
      </c>
      <c r="E26468" s="30" t="s">
        <v>18</v>
      </c>
      <c r="F26468" s="30" t="s">
        <v>19</v>
      </c>
      <c r="G26468" s="30" t="s">
        <v>7780</v>
      </c>
      <c r="H26468" s="32">
        <v>336</v>
      </c>
      <c r="I26468" s="30" t="s">
        <v>51</v>
      </c>
      <c r="J26468" s="41">
        <v>46210</v>
      </c>
      <c r="K26468" s="30" t="s">
        <v>22</v>
      </c>
    </row>
    <row r="26469" spans="1:11">
      <c r="A26469" s="33" t="s">
        <v>58183</v>
      </c>
      <c r="B26469" s="33" t="s">
        <v>58184</v>
      </c>
      <c r="C26469" s="33" t="s">
        <v>9844</v>
      </c>
      <c r="D26469" s="33" t="s">
        <v>17</v>
      </c>
      <c r="E26469" s="33" t="s">
        <v>26</v>
      </c>
      <c r="F26469" s="33" t="s">
        <v>27</v>
      </c>
      <c r="G26469" s="33" t="s">
        <v>140</v>
      </c>
      <c r="H26469" s="35">
        <v>16</v>
      </c>
      <c r="I26469" s="33" t="s">
        <v>51</v>
      </c>
      <c r="J26469" s="42">
        <v>46082</v>
      </c>
      <c r="K26469" s="33" t="s">
        <v>22</v>
      </c>
    </row>
    <row r="26470" spans="1:11">
      <c r="A26470" s="30" t="s">
        <v>58185</v>
      </c>
      <c r="B26470" s="30" t="s">
        <v>58186</v>
      </c>
      <c r="C26470" s="30" t="s">
        <v>7296</v>
      </c>
      <c r="D26470" s="30" t="s">
        <v>17</v>
      </c>
      <c r="E26470" s="30" t="s">
        <v>31</v>
      </c>
      <c r="F26470" s="30" t="s">
        <v>32</v>
      </c>
      <c r="G26470" s="30" t="s">
        <v>140</v>
      </c>
      <c r="H26470" s="32">
        <v>360</v>
      </c>
      <c r="I26470" s="30" t="s">
        <v>51</v>
      </c>
      <c r="J26470" s="41">
        <v>46174</v>
      </c>
      <c r="K26470" s="30" t="s">
        <v>22</v>
      </c>
    </row>
    <row r="26471" spans="1:11">
      <c r="A26471" s="33" t="s">
        <v>58187</v>
      </c>
      <c r="B26471" s="33" t="s">
        <v>58188</v>
      </c>
      <c r="C26471" s="33" t="s">
        <v>190</v>
      </c>
      <c r="D26471" s="33" t="s">
        <v>17</v>
      </c>
      <c r="E26471" s="33" t="s">
        <v>26</v>
      </c>
      <c r="F26471" s="33" t="s">
        <v>27</v>
      </c>
      <c r="G26471" s="33" t="s">
        <v>158</v>
      </c>
      <c r="H26471" s="35">
        <v>48</v>
      </c>
      <c r="I26471" s="33" t="s">
        <v>21</v>
      </c>
      <c r="J26471" s="42">
        <v>46128</v>
      </c>
      <c r="K26471" s="33" t="s">
        <v>22</v>
      </c>
    </row>
    <row r="26472" spans="1:11">
      <c r="A26472" s="30" t="s">
        <v>58189</v>
      </c>
      <c r="B26472" s="30" t="s">
        <v>58190</v>
      </c>
      <c r="C26472" s="30" t="s">
        <v>7072</v>
      </c>
      <c r="D26472" s="30" t="s">
        <v>17</v>
      </c>
      <c r="E26472" s="30" t="s">
        <v>31</v>
      </c>
      <c r="F26472" s="30" t="s">
        <v>32</v>
      </c>
      <c r="G26472" s="30" t="s">
        <v>140</v>
      </c>
      <c r="H26472" s="32">
        <v>60</v>
      </c>
      <c r="I26472" s="30" t="s">
        <v>51</v>
      </c>
      <c r="J26472" s="41">
        <v>46111</v>
      </c>
      <c r="K26472" s="30" t="s">
        <v>22</v>
      </c>
    </row>
    <row r="26473" spans="1:11">
      <c r="A26473" s="33" t="s">
        <v>58191</v>
      </c>
      <c r="B26473" s="33" t="s">
        <v>58192</v>
      </c>
      <c r="C26473" s="33" t="s">
        <v>16443</v>
      </c>
      <c r="D26473" s="33" t="s">
        <v>17</v>
      </c>
      <c r="E26473" s="33" t="s">
        <v>18</v>
      </c>
      <c r="F26473" s="33" t="s">
        <v>19</v>
      </c>
      <c r="G26473" s="33" t="s">
        <v>140</v>
      </c>
      <c r="H26473" s="35">
        <v>80</v>
      </c>
      <c r="I26473" s="33" t="s">
        <v>51</v>
      </c>
      <c r="J26473" s="42">
        <v>46142</v>
      </c>
      <c r="K26473" s="33" t="s">
        <v>22</v>
      </c>
    </row>
    <row r="26474" spans="1:11">
      <c r="A26474" s="30" t="s">
        <v>58193</v>
      </c>
      <c r="B26474" s="30" t="s">
        <v>58194</v>
      </c>
      <c r="C26474" s="30" t="s">
        <v>318</v>
      </c>
      <c r="D26474" s="30" t="s">
        <v>17</v>
      </c>
      <c r="E26474" s="30" t="s">
        <v>26</v>
      </c>
      <c r="F26474" s="30" t="s">
        <v>27</v>
      </c>
      <c r="G26474" s="30" t="s">
        <v>140</v>
      </c>
      <c r="H26474" s="32">
        <v>160</v>
      </c>
      <c r="I26474" s="30" t="s">
        <v>51</v>
      </c>
      <c r="J26474" s="41">
        <v>46133</v>
      </c>
      <c r="K26474" s="30" t="s">
        <v>22</v>
      </c>
    </row>
    <row r="26475" spans="1:11">
      <c r="A26475" s="33" t="s">
        <v>58195</v>
      </c>
      <c r="B26475" s="33" t="s">
        <v>58196</v>
      </c>
      <c r="C26475" s="33" t="s">
        <v>58197</v>
      </c>
      <c r="D26475" s="33" t="s">
        <v>17</v>
      </c>
      <c r="E26475" s="33" t="s">
        <v>18</v>
      </c>
      <c r="F26475" s="33" t="s">
        <v>19</v>
      </c>
      <c r="G26475" s="33" t="s">
        <v>140</v>
      </c>
      <c r="H26475" s="35">
        <v>316</v>
      </c>
      <c r="I26475" s="33" t="s">
        <v>51</v>
      </c>
      <c r="J26475" s="42">
        <v>46044</v>
      </c>
      <c r="K26475" s="33" t="s">
        <v>22</v>
      </c>
    </row>
    <row r="26476" spans="1:11">
      <c r="A26476" s="30" t="s">
        <v>58198</v>
      </c>
      <c r="B26476" s="30" t="s">
        <v>58199</v>
      </c>
      <c r="C26476" s="30" t="s">
        <v>11026</v>
      </c>
      <c r="D26476" s="30" t="s">
        <v>17</v>
      </c>
      <c r="E26476" s="30" t="s">
        <v>31</v>
      </c>
      <c r="F26476" s="30" t="s">
        <v>32</v>
      </c>
      <c r="G26476" s="30" t="s">
        <v>7780</v>
      </c>
      <c r="H26476" s="32">
        <v>80</v>
      </c>
      <c r="I26476" s="30" t="s">
        <v>51</v>
      </c>
      <c r="J26476" s="41">
        <v>46113</v>
      </c>
      <c r="K26476" s="30" t="s">
        <v>22</v>
      </c>
    </row>
    <row r="26477" spans="1:11">
      <c r="A26477" s="33" t="s">
        <v>58200</v>
      </c>
      <c r="B26477" s="33" t="s">
        <v>58201</v>
      </c>
      <c r="C26477" s="33" t="s">
        <v>3429</v>
      </c>
      <c r="D26477" s="33" t="s">
        <v>17</v>
      </c>
      <c r="E26477" s="33" t="s">
        <v>26</v>
      </c>
      <c r="F26477" s="33" t="s">
        <v>27</v>
      </c>
      <c r="G26477" s="33" t="s">
        <v>20</v>
      </c>
      <c r="H26477" s="35">
        <v>40</v>
      </c>
      <c r="I26477" s="33" t="s">
        <v>21</v>
      </c>
      <c r="J26477" s="42">
        <v>46059</v>
      </c>
      <c r="K26477" s="33" t="s">
        <v>22</v>
      </c>
    </row>
    <row r="26478" spans="1:11">
      <c r="A26478" s="30" t="s">
        <v>58202</v>
      </c>
      <c r="B26478" s="30" t="s">
        <v>58203</v>
      </c>
      <c r="C26478" s="30" t="s">
        <v>1529</v>
      </c>
      <c r="D26478" s="30" t="s">
        <v>17</v>
      </c>
      <c r="E26478" s="30" t="s">
        <v>67</v>
      </c>
      <c r="F26478" s="30" t="s">
        <v>68</v>
      </c>
      <c r="G26478" s="30" t="s">
        <v>140</v>
      </c>
      <c r="H26478" s="32">
        <v>40</v>
      </c>
      <c r="I26478" s="30" t="s">
        <v>51</v>
      </c>
      <c r="J26478" s="41">
        <v>46031</v>
      </c>
      <c r="K26478" s="30" t="s">
        <v>22</v>
      </c>
    </row>
    <row r="26479" spans="1:11">
      <c r="A26479" s="33" t="s">
        <v>58204</v>
      </c>
      <c r="B26479" s="33" t="s">
        <v>58205</v>
      </c>
      <c r="C26479" s="33" t="s">
        <v>96</v>
      </c>
      <c r="D26479" s="33" t="s">
        <v>17</v>
      </c>
      <c r="E26479" s="33" t="s">
        <v>26</v>
      </c>
      <c r="F26479" s="33" t="s">
        <v>27</v>
      </c>
      <c r="G26479" s="33" t="s">
        <v>158</v>
      </c>
      <c r="H26479" s="35">
        <v>14</v>
      </c>
      <c r="I26479" s="33" t="s">
        <v>21</v>
      </c>
      <c r="J26479" s="42">
        <v>46147</v>
      </c>
      <c r="K26479" s="33" t="s">
        <v>22</v>
      </c>
    </row>
    <row r="26480" spans="1:11">
      <c r="A26480" s="30" t="s">
        <v>58206</v>
      </c>
      <c r="B26480" s="30" t="s">
        <v>58207</v>
      </c>
      <c r="C26480" s="30" t="s">
        <v>11899</v>
      </c>
      <c r="D26480" s="30" t="s">
        <v>17</v>
      </c>
      <c r="E26480" s="30" t="s">
        <v>67</v>
      </c>
      <c r="F26480" s="30" t="s">
        <v>68</v>
      </c>
      <c r="G26480" s="30" t="s">
        <v>140</v>
      </c>
      <c r="H26480" s="32">
        <v>198</v>
      </c>
      <c r="I26480" s="30" t="s">
        <v>51</v>
      </c>
      <c r="J26480" s="41">
        <v>46029</v>
      </c>
      <c r="K26480" s="30" t="s">
        <v>22</v>
      </c>
    </row>
    <row r="26481" spans="1:11">
      <c r="A26481" s="33" t="s">
        <v>58208</v>
      </c>
      <c r="B26481" s="33" t="s">
        <v>58209</v>
      </c>
      <c r="C26481" s="33" t="s">
        <v>647</v>
      </c>
      <c r="D26481" s="33" t="s">
        <v>17</v>
      </c>
      <c r="E26481" s="33" t="s">
        <v>18</v>
      </c>
      <c r="F26481" s="33" t="s">
        <v>19</v>
      </c>
      <c r="G26481" s="33" t="s">
        <v>140</v>
      </c>
      <c r="H26481" s="35">
        <v>590</v>
      </c>
      <c r="I26481" s="33" t="s">
        <v>51</v>
      </c>
      <c r="J26481" s="42">
        <v>46135</v>
      </c>
      <c r="K26481" s="33" t="s">
        <v>22</v>
      </c>
    </row>
    <row r="26482" spans="1:11">
      <c r="A26482" s="30" t="s">
        <v>58210</v>
      </c>
      <c r="B26482" s="30" t="s">
        <v>58211</v>
      </c>
      <c r="C26482" s="30" t="s">
        <v>14483</v>
      </c>
      <c r="D26482" s="30" t="s">
        <v>17</v>
      </c>
      <c r="E26482" s="30" t="s">
        <v>26</v>
      </c>
      <c r="F26482" s="30" t="s">
        <v>27</v>
      </c>
      <c r="G26482" s="30" t="s">
        <v>7780</v>
      </c>
      <c r="H26482" s="32">
        <v>68</v>
      </c>
      <c r="I26482" s="30" t="s">
        <v>51</v>
      </c>
      <c r="J26482" s="41">
        <v>46231</v>
      </c>
      <c r="K26482" s="30" t="s">
        <v>22</v>
      </c>
    </row>
    <row r="26483" spans="1:11">
      <c r="A26483" s="33" t="s">
        <v>58212</v>
      </c>
      <c r="B26483" s="33" t="s">
        <v>58213</v>
      </c>
      <c r="C26483" s="33" t="s">
        <v>6528</v>
      </c>
      <c r="D26483" s="33" t="s">
        <v>17</v>
      </c>
      <c r="E26483" s="33" t="s">
        <v>26</v>
      </c>
      <c r="F26483" s="33" t="s">
        <v>27</v>
      </c>
      <c r="G26483" s="33" t="s">
        <v>140</v>
      </c>
      <c r="H26483" s="35">
        <v>27</v>
      </c>
      <c r="I26483" s="33" t="s">
        <v>51</v>
      </c>
      <c r="J26483" s="42">
        <v>46035</v>
      </c>
      <c r="K26483" s="33" t="s">
        <v>22</v>
      </c>
    </row>
    <row r="26484" spans="1:11">
      <c r="A26484" s="30" t="s">
        <v>58214</v>
      </c>
      <c r="B26484" s="30" t="s">
        <v>58215</v>
      </c>
      <c r="C26484" s="30" t="s">
        <v>15741</v>
      </c>
      <c r="D26484" s="30" t="s">
        <v>17</v>
      </c>
      <c r="E26484" s="30" t="s">
        <v>67</v>
      </c>
      <c r="F26484" s="30" t="s">
        <v>68</v>
      </c>
      <c r="G26484" s="30" t="s">
        <v>7780</v>
      </c>
      <c r="H26484" s="32">
        <v>74</v>
      </c>
      <c r="I26484" s="30" t="s">
        <v>51</v>
      </c>
      <c r="J26484" s="41">
        <v>46082</v>
      </c>
      <c r="K26484" s="30" t="s">
        <v>22</v>
      </c>
    </row>
    <row r="26485" spans="1:11">
      <c r="A26485" s="33" t="s">
        <v>58216</v>
      </c>
      <c r="B26485" s="33" t="s">
        <v>58217</v>
      </c>
      <c r="C26485" s="33" t="s">
        <v>39996</v>
      </c>
      <c r="D26485" s="33" t="s">
        <v>17</v>
      </c>
      <c r="E26485" s="33" t="s">
        <v>18</v>
      </c>
      <c r="F26485" s="33" t="s">
        <v>19</v>
      </c>
      <c r="G26485" s="33" t="s">
        <v>140</v>
      </c>
      <c r="H26485" s="35">
        <v>1112</v>
      </c>
      <c r="I26485" s="33" t="s">
        <v>51</v>
      </c>
      <c r="J26485" s="42">
        <v>46041</v>
      </c>
      <c r="K26485" s="33" t="s">
        <v>22</v>
      </c>
    </row>
    <row r="26486" spans="1:11">
      <c r="A26486" s="30" t="s">
        <v>58218</v>
      </c>
      <c r="B26486" s="30" t="s">
        <v>58219</v>
      </c>
      <c r="C26486" s="30" t="s">
        <v>379</v>
      </c>
      <c r="D26486" s="30" t="s">
        <v>17</v>
      </c>
      <c r="E26486" s="30" t="s">
        <v>31</v>
      </c>
      <c r="F26486" s="30" t="s">
        <v>32</v>
      </c>
      <c r="G26486" s="30" t="s">
        <v>140</v>
      </c>
      <c r="H26486" s="32">
        <v>120</v>
      </c>
      <c r="I26486" s="30" t="s">
        <v>51</v>
      </c>
      <c r="J26486" s="41">
        <v>46058</v>
      </c>
      <c r="K26486" s="30" t="s">
        <v>22</v>
      </c>
    </row>
    <row r="26487" spans="1:11">
      <c r="A26487" s="33" t="s">
        <v>58220</v>
      </c>
      <c r="B26487" s="33" t="s">
        <v>58221</v>
      </c>
      <c r="C26487" s="33" t="s">
        <v>58222</v>
      </c>
      <c r="D26487" s="33" t="s">
        <v>17</v>
      </c>
      <c r="E26487" s="33" t="s">
        <v>26</v>
      </c>
      <c r="F26487" s="33" t="s">
        <v>27</v>
      </c>
      <c r="G26487" s="33" t="s">
        <v>140</v>
      </c>
      <c r="H26487" s="35">
        <v>110</v>
      </c>
      <c r="I26487" s="33" t="s">
        <v>51</v>
      </c>
      <c r="J26487" s="42">
        <v>46112</v>
      </c>
      <c r="K26487" s="33" t="s">
        <v>22</v>
      </c>
    </row>
    <row r="26488" spans="1:11">
      <c r="A26488" s="30" t="s">
        <v>58223</v>
      </c>
      <c r="B26488" s="30" t="s">
        <v>58224</v>
      </c>
      <c r="C26488" s="30" t="s">
        <v>13882</v>
      </c>
      <c r="D26488" s="30" t="s">
        <v>17</v>
      </c>
      <c r="E26488" s="30" t="s">
        <v>67</v>
      </c>
      <c r="F26488" s="30" t="s">
        <v>68</v>
      </c>
      <c r="G26488" s="30" t="s">
        <v>7780</v>
      </c>
      <c r="H26488" s="32">
        <v>115</v>
      </c>
      <c r="I26488" s="30" t="s">
        <v>51</v>
      </c>
      <c r="J26488" s="41">
        <v>46082</v>
      </c>
      <c r="K26488" s="30" t="s">
        <v>22</v>
      </c>
    </row>
    <row r="26489" spans="1:11">
      <c r="A26489" s="33" t="s">
        <v>58225</v>
      </c>
      <c r="B26489" s="33" t="s">
        <v>58226</v>
      </c>
      <c r="C26489" s="33" t="s">
        <v>190</v>
      </c>
      <c r="D26489" s="33" t="s">
        <v>17</v>
      </c>
      <c r="E26489" s="33" t="s">
        <v>18</v>
      </c>
      <c r="F26489" s="33" t="s">
        <v>19</v>
      </c>
      <c r="G26489" s="33" t="s">
        <v>140</v>
      </c>
      <c r="H26489" s="35">
        <v>59</v>
      </c>
      <c r="I26489" s="33" t="s">
        <v>51</v>
      </c>
      <c r="J26489" s="42">
        <v>46147</v>
      </c>
      <c r="K26489" s="33" t="s">
        <v>22</v>
      </c>
    </row>
    <row r="26490" spans="1:11">
      <c r="A26490" s="30" t="s">
        <v>58227</v>
      </c>
      <c r="B26490" s="30" t="s">
        <v>58228</v>
      </c>
      <c r="C26490" s="30" t="s">
        <v>13050</v>
      </c>
      <c r="D26490" s="30" t="s">
        <v>17</v>
      </c>
      <c r="E26490" s="30" t="s">
        <v>26</v>
      </c>
      <c r="F26490" s="30" t="s">
        <v>27</v>
      </c>
      <c r="G26490" s="30" t="s">
        <v>7780</v>
      </c>
      <c r="H26490" s="32">
        <v>26</v>
      </c>
      <c r="I26490" s="30" t="s">
        <v>51</v>
      </c>
      <c r="J26490" s="41">
        <v>46113</v>
      </c>
      <c r="K26490" s="30" t="s">
        <v>22</v>
      </c>
    </row>
    <row r="26491" spans="1:11">
      <c r="A26491" s="33" t="s">
        <v>58229</v>
      </c>
      <c r="B26491" s="33" t="s">
        <v>58230</v>
      </c>
      <c r="C26491" s="33" t="s">
        <v>187</v>
      </c>
      <c r="D26491" s="33" t="s">
        <v>17</v>
      </c>
      <c r="E26491" s="33" t="s">
        <v>26</v>
      </c>
      <c r="F26491" s="33" t="s">
        <v>27</v>
      </c>
      <c r="G26491" s="33" t="s">
        <v>140</v>
      </c>
      <c r="H26491" s="35">
        <v>66</v>
      </c>
      <c r="I26491" s="33" t="s">
        <v>51</v>
      </c>
      <c r="J26491" s="42">
        <v>46079</v>
      </c>
      <c r="K26491" s="33" t="s">
        <v>22</v>
      </c>
    </row>
    <row r="26492" spans="1:11">
      <c r="A26492" s="30" t="s">
        <v>58231</v>
      </c>
      <c r="B26492" s="30" t="s">
        <v>58232</v>
      </c>
      <c r="C26492" s="30" t="s">
        <v>14394</v>
      </c>
      <c r="D26492" s="30" t="s">
        <v>17</v>
      </c>
      <c r="E26492" s="30" t="s">
        <v>26</v>
      </c>
      <c r="F26492" s="30" t="s">
        <v>27</v>
      </c>
      <c r="G26492" s="30" t="s">
        <v>140</v>
      </c>
      <c r="H26492" s="32">
        <v>128</v>
      </c>
      <c r="I26492" s="30" t="s">
        <v>51</v>
      </c>
      <c r="J26492" s="41">
        <v>46216</v>
      </c>
      <c r="K26492" s="30" t="s">
        <v>22</v>
      </c>
    </row>
    <row r="26493" spans="1:11">
      <c r="A26493" s="33" t="s">
        <v>58233</v>
      </c>
      <c r="B26493" s="33" t="s">
        <v>58234</v>
      </c>
      <c r="C26493" s="33" t="s">
        <v>56957</v>
      </c>
      <c r="D26493" s="33" t="s">
        <v>17</v>
      </c>
      <c r="E26493" s="33" t="s">
        <v>67</v>
      </c>
      <c r="F26493" s="33" t="s">
        <v>68</v>
      </c>
      <c r="G26493" s="33" t="s">
        <v>140</v>
      </c>
      <c r="H26493" s="35">
        <v>42</v>
      </c>
      <c r="I26493" s="33" t="s">
        <v>51</v>
      </c>
      <c r="J26493" s="42">
        <v>46083</v>
      </c>
      <c r="K26493" s="33" t="s">
        <v>22</v>
      </c>
    </row>
    <row r="26494" spans="1:11">
      <c r="A26494" s="30" t="s">
        <v>58235</v>
      </c>
      <c r="B26494" s="30" t="s">
        <v>58236</v>
      </c>
      <c r="C26494" s="30" t="s">
        <v>1085</v>
      </c>
      <c r="D26494" s="30" t="s">
        <v>17</v>
      </c>
      <c r="E26494" s="30" t="s">
        <v>67</v>
      </c>
      <c r="F26494" s="30" t="s">
        <v>68</v>
      </c>
      <c r="G26494" s="30" t="s">
        <v>140</v>
      </c>
      <c r="H26494" s="32">
        <v>92</v>
      </c>
      <c r="I26494" s="30" t="s">
        <v>51</v>
      </c>
      <c r="J26494" s="41">
        <v>46081</v>
      </c>
      <c r="K26494" s="30" t="s">
        <v>22</v>
      </c>
    </row>
    <row r="26495" spans="1:11">
      <c r="A26495" s="33" t="s">
        <v>58237</v>
      </c>
      <c r="B26495" s="33" t="s">
        <v>58238</v>
      </c>
      <c r="C26495" s="33" t="s">
        <v>4348</v>
      </c>
      <c r="D26495" s="33" t="s">
        <v>17</v>
      </c>
      <c r="E26495" s="33" t="s">
        <v>18</v>
      </c>
      <c r="F26495" s="33" t="s">
        <v>19</v>
      </c>
      <c r="G26495" s="33" t="s">
        <v>7780</v>
      </c>
      <c r="H26495" s="35">
        <v>404</v>
      </c>
      <c r="I26495" s="33" t="s">
        <v>51</v>
      </c>
      <c r="J26495" s="42">
        <v>46204</v>
      </c>
      <c r="K26495" s="33" t="s">
        <v>22</v>
      </c>
    </row>
    <row r="26496" spans="1:11">
      <c r="A26496" s="30" t="s">
        <v>58239</v>
      </c>
      <c r="B26496" s="30" t="s">
        <v>58240</v>
      </c>
      <c r="C26496" s="30" t="s">
        <v>157</v>
      </c>
      <c r="D26496" s="30" t="s">
        <v>17</v>
      </c>
      <c r="E26496" s="30" t="s">
        <v>18</v>
      </c>
      <c r="F26496" s="30" t="s">
        <v>19</v>
      </c>
      <c r="G26496" s="30" t="s">
        <v>140</v>
      </c>
      <c r="H26496" s="32">
        <v>88</v>
      </c>
      <c r="I26496" s="30" t="s">
        <v>51</v>
      </c>
      <c r="J26496" s="41">
        <v>46051</v>
      </c>
      <c r="K26496" s="30" t="s">
        <v>22</v>
      </c>
    </row>
    <row r="26497" spans="1:11">
      <c r="A26497" s="33" t="s">
        <v>58241</v>
      </c>
      <c r="B26497" s="33" t="s">
        <v>58242</v>
      </c>
      <c r="C26497" s="33" t="s">
        <v>109</v>
      </c>
      <c r="D26497" s="33" t="s">
        <v>17</v>
      </c>
      <c r="E26497" s="33" t="s">
        <v>67</v>
      </c>
      <c r="F26497" s="33" t="s">
        <v>68</v>
      </c>
      <c r="G26497" s="33" t="s">
        <v>140</v>
      </c>
      <c r="H26497" s="35">
        <v>50</v>
      </c>
      <c r="I26497" s="33" t="s">
        <v>51</v>
      </c>
      <c r="J26497" s="42">
        <v>46208</v>
      </c>
      <c r="K26497" s="33" t="s">
        <v>22</v>
      </c>
    </row>
    <row r="26498" spans="1:11">
      <c r="A26498" s="30" t="s">
        <v>58243</v>
      </c>
      <c r="B26498" s="30" t="s">
        <v>58244</v>
      </c>
      <c r="C26498" s="30" t="s">
        <v>34089</v>
      </c>
      <c r="D26498" s="30" t="s">
        <v>17</v>
      </c>
      <c r="E26498" s="30" t="s">
        <v>45</v>
      </c>
      <c r="F26498" s="30" t="s">
        <v>46</v>
      </c>
      <c r="G26498" s="30" t="s">
        <v>140</v>
      </c>
      <c r="H26498" s="32">
        <v>960</v>
      </c>
      <c r="I26498" s="30" t="s">
        <v>51</v>
      </c>
      <c r="J26498" s="41">
        <v>46108</v>
      </c>
      <c r="K26498" s="30" t="s">
        <v>22</v>
      </c>
    </row>
    <row r="26499" spans="1:11">
      <c r="A26499" s="33" t="s">
        <v>58245</v>
      </c>
      <c r="B26499" s="33" t="s">
        <v>58246</v>
      </c>
      <c r="C26499" s="33" t="s">
        <v>3429</v>
      </c>
      <c r="D26499" s="33" t="s">
        <v>17</v>
      </c>
      <c r="E26499" s="33" t="s">
        <v>26</v>
      </c>
      <c r="F26499" s="33" t="s">
        <v>27</v>
      </c>
      <c r="G26499" s="33" t="s">
        <v>20</v>
      </c>
      <c r="H26499" s="35">
        <v>40</v>
      </c>
      <c r="I26499" s="33" t="s">
        <v>21</v>
      </c>
      <c r="J26499" s="42">
        <v>46149</v>
      </c>
      <c r="K26499" s="33" t="s">
        <v>22</v>
      </c>
    </row>
    <row r="26500" spans="1:11">
      <c r="A26500" s="30" t="s">
        <v>58247</v>
      </c>
      <c r="B26500" s="30" t="s">
        <v>58248</v>
      </c>
      <c r="C26500" s="30" t="s">
        <v>58249</v>
      </c>
      <c r="D26500" s="30" t="s">
        <v>17</v>
      </c>
      <c r="E26500" s="30" t="s">
        <v>67</v>
      </c>
      <c r="F26500" s="30" t="s">
        <v>68</v>
      </c>
      <c r="G26500" s="30" t="s">
        <v>140</v>
      </c>
      <c r="H26500" s="32">
        <v>120</v>
      </c>
      <c r="I26500" s="30" t="s">
        <v>51</v>
      </c>
      <c r="J26500" s="41">
        <v>46210</v>
      </c>
      <c r="K26500" s="30" t="s">
        <v>22</v>
      </c>
    </row>
    <row r="26501" spans="1:11">
      <c r="A26501" s="33" t="s">
        <v>58250</v>
      </c>
      <c r="B26501" s="33" t="s">
        <v>58251</v>
      </c>
      <c r="C26501" s="33" t="s">
        <v>58252</v>
      </c>
      <c r="D26501" s="33" t="s">
        <v>17</v>
      </c>
      <c r="E26501" s="33" t="s">
        <v>26</v>
      </c>
      <c r="F26501" s="33" t="s">
        <v>27</v>
      </c>
      <c r="G26501" s="33" t="s">
        <v>140</v>
      </c>
      <c r="H26501" s="35">
        <v>32</v>
      </c>
      <c r="I26501" s="33" t="s">
        <v>51</v>
      </c>
      <c r="J26501" s="42">
        <v>46166</v>
      </c>
      <c r="K26501" s="33" t="s">
        <v>22</v>
      </c>
    </row>
    <row r="26502" spans="1:11">
      <c r="A26502" s="30" t="s">
        <v>58253</v>
      </c>
      <c r="B26502" s="30" t="s">
        <v>58254</v>
      </c>
      <c r="C26502" s="30" t="s">
        <v>2709</v>
      </c>
      <c r="D26502" s="30" t="s">
        <v>17</v>
      </c>
      <c r="E26502" s="30" t="s">
        <v>26</v>
      </c>
      <c r="F26502" s="30" t="s">
        <v>27</v>
      </c>
      <c r="G26502" s="30" t="s">
        <v>2613</v>
      </c>
      <c r="H26502" s="32">
        <v>120</v>
      </c>
      <c r="I26502" s="30" t="s">
        <v>51</v>
      </c>
      <c r="J26502" s="41">
        <v>46170</v>
      </c>
      <c r="K26502" s="30" t="s">
        <v>22</v>
      </c>
    </row>
    <row r="26503" spans="1:11">
      <c r="A26503" s="33" t="s">
        <v>58255</v>
      </c>
      <c r="B26503" s="33" t="s">
        <v>58256</v>
      </c>
      <c r="C26503" s="33" t="s">
        <v>570</v>
      </c>
      <c r="D26503" s="33" t="s">
        <v>17</v>
      </c>
      <c r="E26503" s="33" t="s">
        <v>67</v>
      </c>
      <c r="F26503" s="33" t="s">
        <v>68</v>
      </c>
      <c r="G26503" s="33" t="s">
        <v>140</v>
      </c>
      <c r="H26503" s="35">
        <v>300</v>
      </c>
      <c r="I26503" s="33" t="s">
        <v>51</v>
      </c>
      <c r="J26503" s="42">
        <v>46038</v>
      </c>
      <c r="K26503" s="33" t="s">
        <v>22</v>
      </c>
    </row>
    <row r="26504" spans="1:11">
      <c r="A26504" s="30" t="s">
        <v>58257</v>
      </c>
      <c r="B26504" s="30" t="s">
        <v>58258</v>
      </c>
      <c r="C26504" s="30" t="s">
        <v>1207</v>
      </c>
      <c r="D26504" s="30" t="s">
        <v>17</v>
      </c>
      <c r="E26504" s="30" t="s">
        <v>45</v>
      </c>
      <c r="F26504" s="30" t="s">
        <v>46</v>
      </c>
      <c r="G26504" s="30" t="s">
        <v>140</v>
      </c>
      <c r="H26504" s="32">
        <v>640</v>
      </c>
      <c r="I26504" s="30" t="s">
        <v>51</v>
      </c>
      <c r="J26504" s="41">
        <v>46113</v>
      </c>
      <c r="K26504" s="30" t="s">
        <v>22</v>
      </c>
    </row>
    <row r="26505" spans="1:11">
      <c r="A26505" s="33" t="s">
        <v>58259</v>
      </c>
      <c r="B26505" s="33" t="s">
        <v>58260</v>
      </c>
      <c r="C26505" s="33" t="s">
        <v>969</v>
      </c>
      <c r="D26505" s="33" t="s">
        <v>17</v>
      </c>
      <c r="E26505" s="33" t="s">
        <v>26</v>
      </c>
      <c r="F26505" s="33" t="s">
        <v>27</v>
      </c>
      <c r="G26505" s="33" t="s">
        <v>7780</v>
      </c>
      <c r="H26505" s="35">
        <v>30</v>
      </c>
      <c r="I26505" s="33" t="s">
        <v>51</v>
      </c>
      <c r="J26505" s="42">
        <v>46157</v>
      </c>
      <c r="K26505" s="33" t="s">
        <v>22</v>
      </c>
    </row>
    <row r="26506" spans="1:11">
      <c r="A26506" s="30" t="s">
        <v>58261</v>
      </c>
      <c r="B26506" s="30" t="s">
        <v>58262</v>
      </c>
      <c r="C26506" s="30" t="s">
        <v>109</v>
      </c>
      <c r="D26506" s="30" t="s">
        <v>17</v>
      </c>
      <c r="E26506" s="30" t="s">
        <v>26</v>
      </c>
      <c r="F26506" s="30" t="s">
        <v>27</v>
      </c>
      <c r="G26506" s="30" t="s">
        <v>140</v>
      </c>
      <c r="H26506" s="32">
        <v>66</v>
      </c>
      <c r="I26506" s="30" t="s">
        <v>51</v>
      </c>
      <c r="J26506" s="41">
        <v>46196</v>
      </c>
      <c r="K26506" s="30" t="s">
        <v>22</v>
      </c>
    </row>
    <row r="26507" spans="1:11">
      <c r="A26507" s="33" t="s">
        <v>58263</v>
      </c>
      <c r="B26507" s="33" t="s">
        <v>58264</v>
      </c>
      <c r="C26507" s="33" t="s">
        <v>6470</v>
      </c>
      <c r="D26507" s="33" t="s">
        <v>17</v>
      </c>
      <c r="E26507" s="33" t="s">
        <v>212</v>
      </c>
      <c r="F26507" s="33" t="s">
        <v>213</v>
      </c>
      <c r="G26507" s="33" t="s">
        <v>20</v>
      </c>
      <c r="H26507" s="35">
        <v>10</v>
      </c>
      <c r="I26507" s="33" t="s">
        <v>21</v>
      </c>
      <c r="J26507" s="42">
        <v>46031</v>
      </c>
      <c r="K26507" s="33" t="s">
        <v>22</v>
      </c>
    </row>
    <row r="26508" spans="1:11">
      <c r="A26508" s="30" t="s">
        <v>58265</v>
      </c>
      <c r="B26508" s="30" t="s">
        <v>58266</v>
      </c>
      <c r="C26508" s="30" t="s">
        <v>3660</v>
      </c>
      <c r="D26508" s="30" t="s">
        <v>17</v>
      </c>
      <c r="E26508" s="30" t="s">
        <v>18</v>
      </c>
      <c r="F26508" s="30" t="s">
        <v>19</v>
      </c>
      <c r="G26508" s="30" t="s">
        <v>140</v>
      </c>
      <c r="H26508" s="32">
        <v>240</v>
      </c>
      <c r="I26508" s="30" t="s">
        <v>51</v>
      </c>
      <c r="J26508" s="41">
        <v>46062</v>
      </c>
      <c r="K26508" s="30" t="s">
        <v>22</v>
      </c>
    </row>
    <row r="26509" spans="1:11">
      <c r="A26509" s="33" t="s">
        <v>58267</v>
      </c>
      <c r="B26509" s="33" t="s">
        <v>58268</v>
      </c>
      <c r="C26509" s="33" t="s">
        <v>44</v>
      </c>
      <c r="D26509" s="33" t="s">
        <v>17</v>
      </c>
      <c r="E26509" s="33" t="s">
        <v>18</v>
      </c>
      <c r="F26509" s="33" t="s">
        <v>19</v>
      </c>
      <c r="G26509" s="33" t="s">
        <v>140</v>
      </c>
      <c r="H26509" s="35">
        <v>1120</v>
      </c>
      <c r="I26509" s="33" t="s">
        <v>51</v>
      </c>
      <c r="J26509" s="42">
        <v>46090</v>
      </c>
      <c r="K26509" s="33" t="s">
        <v>22</v>
      </c>
    </row>
    <row r="26510" spans="1:11">
      <c r="A26510" s="30" t="s">
        <v>58269</v>
      </c>
      <c r="B26510" s="30" t="s">
        <v>58270</v>
      </c>
      <c r="C26510" s="30" t="s">
        <v>39233</v>
      </c>
      <c r="D26510" s="30" t="s">
        <v>17</v>
      </c>
      <c r="E26510" s="30" t="s">
        <v>67</v>
      </c>
      <c r="F26510" s="30" t="s">
        <v>68</v>
      </c>
      <c r="G26510" s="30" t="s">
        <v>7780</v>
      </c>
      <c r="H26510" s="32">
        <v>264</v>
      </c>
      <c r="I26510" s="30" t="s">
        <v>51</v>
      </c>
      <c r="J26510" s="41">
        <v>46171</v>
      </c>
      <c r="K26510" s="30" t="s">
        <v>22</v>
      </c>
    </row>
    <row r="26511" spans="1:11">
      <c r="A26511" s="33" t="s">
        <v>58271</v>
      </c>
      <c r="B26511" s="33" t="s">
        <v>58272</v>
      </c>
      <c r="C26511" s="33" t="s">
        <v>8554</v>
      </c>
      <c r="D26511" s="33" t="s">
        <v>17</v>
      </c>
      <c r="E26511" s="33" t="s">
        <v>67</v>
      </c>
      <c r="F26511" s="33" t="s">
        <v>68</v>
      </c>
      <c r="G26511" s="33" t="s">
        <v>140</v>
      </c>
      <c r="H26511" s="35">
        <v>44</v>
      </c>
      <c r="I26511" s="33" t="s">
        <v>51</v>
      </c>
      <c r="J26511" s="42">
        <v>46055</v>
      </c>
      <c r="K26511" s="33" t="s">
        <v>22</v>
      </c>
    </row>
    <row r="26512" spans="1:11">
      <c r="A26512" s="30" t="s">
        <v>58273</v>
      </c>
      <c r="B26512" s="30" t="s">
        <v>58274</v>
      </c>
      <c r="C26512" s="30" t="s">
        <v>1504</v>
      </c>
      <c r="D26512" s="30" t="s">
        <v>17</v>
      </c>
      <c r="E26512" s="30" t="s">
        <v>67</v>
      </c>
      <c r="F26512" s="30" t="s">
        <v>68</v>
      </c>
      <c r="G26512" s="30" t="s">
        <v>140</v>
      </c>
      <c r="H26512" s="32">
        <v>280</v>
      </c>
      <c r="I26512" s="30" t="s">
        <v>51</v>
      </c>
      <c r="J26512" s="41">
        <v>46064</v>
      </c>
      <c r="K26512" s="30" t="s">
        <v>22</v>
      </c>
    </row>
    <row r="26513" spans="1:11">
      <c r="A26513" s="33" t="s">
        <v>58275</v>
      </c>
      <c r="B26513" s="33" t="s">
        <v>58276</v>
      </c>
      <c r="C26513" s="33" t="s">
        <v>1154</v>
      </c>
      <c r="D26513" s="33" t="s">
        <v>17</v>
      </c>
      <c r="E26513" s="33" t="s">
        <v>18</v>
      </c>
      <c r="F26513" s="33" t="s">
        <v>19</v>
      </c>
      <c r="G26513" s="33" t="s">
        <v>7780</v>
      </c>
      <c r="H26513" s="35">
        <v>526</v>
      </c>
      <c r="I26513" s="33" t="s">
        <v>51</v>
      </c>
      <c r="J26513" s="42">
        <v>46082</v>
      </c>
      <c r="K26513" s="33" t="s">
        <v>22</v>
      </c>
    </row>
    <row r="26514" spans="1:11">
      <c r="A26514" s="30" t="s">
        <v>58277</v>
      </c>
      <c r="B26514" s="30" t="s">
        <v>58278</v>
      </c>
      <c r="C26514" s="30" t="s">
        <v>3278</v>
      </c>
      <c r="D26514" s="30" t="s">
        <v>17</v>
      </c>
      <c r="E26514" s="30" t="s">
        <v>31</v>
      </c>
      <c r="F26514" s="30" t="s">
        <v>32</v>
      </c>
      <c r="G26514" s="30" t="s">
        <v>140</v>
      </c>
      <c r="H26514" s="32">
        <v>160</v>
      </c>
      <c r="I26514" s="30" t="s">
        <v>51</v>
      </c>
      <c r="J26514" s="41">
        <v>46184</v>
      </c>
      <c r="K26514" s="30" t="s">
        <v>22</v>
      </c>
    </row>
    <row r="26515" spans="1:11">
      <c r="A26515" s="33" t="s">
        <v>58279</v>
      </c>
      <c r="B26515" s="33" t="s">
        <v>58280</v>
      </c>
      <c r="C26515" s="33" t="s">
        <v>16107</v>
      </c>
      <c r="D26515" s="33" t="s">
        <v>17</v>
      </c>
      <c r="E26515" s="33" t="s">
        <v>18</v>
      </c>
      <c r="F26515" s="33" t="s">
        <v>19</v>
      </c>
      <c r="G26515" s="33" t="s">
        <v>140</v>
      </c>
      <c r="H26515" s="35">
        <v>65</v>
      </c>
      <c r="I26515" s="33" t="s">
        <v>51</v>
      </c>
      <c r="J26515" s="42">
        <v>46163</v>
      </c>
      <c r="K26515" s="33" t="s">
        <v>22</v>
      </c>
    </row>
    <row r="26516" spans="1:11">
      <c r="A26516" s="30" t="s">
        <v>58281</v>
      </c>
      <c r="B26516" s="30" t="s">
        <v>58282</v>
      </c>
      <c r="C26516" s="30" t="s">
        <v>44</v>
      </c>
      <c r="D26516" s="30" t="s">
        <v>17</v>
      </c>
      <c r="E26516" s="30" t="s">
        <v>67</v>
      </c>
      <c r="F26516" s="30" t="s">
        <v>68</v>
      </c>
      <c r="G26516" s="30" t="s">
        <v>140</v>
      </c>
      <c r="H26516" s="32">
        <v>24</v>
      </c>
      <c r="I26516" s="30" t="s">
        <v>51</v>
      </c>
      <c r="J26516" s="41">
        <v>46064</v>
      </c>
      <c r="K26516" s="30" t="s">
        <v>22</v>
      </c>
    </row>
    <row r="26517" spans="1:11">
      <c r="A26517" s="33" t="s">
        <v>58283</v>
      </c>
      <c r="B26517" s="33" t="s">
        <v>58284</v>
      </c>
      <c r="C26517" s="33" t="s">
        <v>6316</v>
      </c>
      <c r="D26517" s="33" t="s">
        <v>17</v>
      </c>
      <c r="E26517" s="33" t="s">
        <v>26</v>
      </c>
      <c r="F26517" s="33" t="s">
        <v>27</v>
      </c>
      <c r="G26517" s="33" t="s">
        <v>7780</v>
      </c>
      <c r="H26517" s="35">
        <v>54</v>
      </c>
      <c r="I26517" s="33" t="s">
        <v>51</v>
      </c>
      <c r="J26517" s="42">
        <v>46082</v>
      </c>
      <c r="K26517" s="33" t="s">
        <v>22</v>
      </c>
    </row>
    <row r="26518" spans="1:11">
      <c r="A26518" s="30" t="s">
        <v>58285</v>
      </c>
      <c r="B26518" s="30" t="s">
        <v>58286</v>
      </c>
      <c r="C26518" s="30" t="s">
        <v>187</v>
      </c>
      <c r="D26518" s="30" t="s">
        <v>17</v>
      </c>
      <c r="E26518" s="30" t="s">
        <v>26</v>
      </c>
      <c r="F26518" s="30" t="s">
        <v>27</v>
      </c>
      <c r="G26518" s="30" t="s">
        <v>158</v>
      </c>
      <c r="H26518" s="32">
        <v>60</v>
      </c>
      <c r="I26518" s="30" t="s">
        <v>21</v>
      </c>
      <c r="J26518" s="41">
        <v>46233</v>
      </c>
      <c r="K26518" s="30" t="s">
        <v>22</v>
      </c>
    </row>
    <row r="26519" spans="1:11">
      <c r="A26519" s="33" t="s">
        <v>58287</v>
      </c>
      <c r="B26519" s="33" t="s">
        <v>58288</v>
      </c>
      <c r="C26519" s="33" t="s">
        <v>936</v>
      </c>
      <c r="D26519" s="33" t="s">
        <v>17</v>
      </c>
      <c r="E26519" s="33" t="s">
        <v>26</v>
      </c>
      <c r="F26519" s="33" t="s">
        <v>27</v>
      </c>
      <c r="G26519" s="33" t="s">
        <v>140</v>
      </c>
      <c r="H26519" s="35">
        <v>86</v>
      </c>
      <c r="I26519" s="33" t="s">
        <v>51</v>
      </c>
      <c r="J26519" s="42">
        <v>46056</v>
      </c>
      <c r="K26519" s="33" t="s">
        <v>22</v>
      </c>
    </row>
    <row r="26520" spans="1:11">
      <c r="A26520" s="30" t="s">
        <v>58289</v>
      </c>
      <c r="B26520" s="30" t="s">
        <v>58290</v>
      </c>
      <c r="C26520" s="30" t="s">
        <v>109</v>
      </c>
      <c r="D26520" s="30" t="s">
        <v>17</v>
      </c>
      <c r="E26520" s="30" t="s">
        <v>26</v>
      </c>
      <c r="F26520" s="30" t="s">
        <v>27</v>
      </c>
      <c r="G26520" s="30" t="s">
        <v>140</v>
      </c>
      <c r="H26520" s="32">
        <v>208</v>
      </c>
      <c r="I26520" s="30" t="s">
        <v>51</v>
      </c>
      <c r="J26520" s="41">
        <v>46167</v>
      </c>
      <c r="K26520" s="30" t="s">
        <v>22</v>
      </c>
    </row>
    <row r="26521" spans="1:11">
      <c r="A26521" s="33" t="s">
        <v>58291</v>
      </c>
      <c r="B26521" s="33" t="s">
        <v>58292</v>
      </c>
      <c r="C26521" s="33" t="s">
        <v>28346</v>
      </c>
      <c r="D26521" s="33" t="s">
        <v>17</v>
      </c>
      <c r="E26521" s="33" t="s">
        <v>26</v>
      </c>
      <c r="F26521" s="33" t="s">
        <v>27</v>
      </c>
      <c r="G26521" s="33" t="s">
        <v>140</v>
      </c>
      <c r="H26521" s="35">
        <v>70</v>
      </c>
      <c r="I26521" s="33" t="s">
        <v>51</v>
      </c>
      <c r="J26521" s="42">
        <v>46170</v>
      </c>
      <c r="K26521" s="33" t="s">
        <v>22</v>
      </c>
    </row>
    <row r="26522" spans="1:11">
      <c r="A26522" s="30" t="s">
        <v>58293</v>
      </c>
      <c r="B26522" s="30" t="s">
        <v>58294</v>
      </c>
      <c r="C26522" s="30" t="s">
        <v>9464</v>
      </c>
      <c r="D26522" s="30" t="s">
        <v>17</v>
      </c>
      <c r="E26522" s="30" t="s">
        <v>212</v>
      </c>
      <c r="F26522" s="30" t="s">
        <v>213</v>
      </c>
      <c r="G26522" s="30" t="s">
        <v>7780</v>
      </c>
      <c r="H26522" s="32">
        <v>24</v>
      </c>
      <c r="I26522" s="30" t="s">
        <v>51</v>
      </c>
      <c r="J26522" s="41">
        <v>46026</v>
      </c>
      <c r="K26522" s="30" t="s">
        <v>22</v>
      </c>
    </row>
    <row r="26523" spans="1:11">
      <c r="A26523" s="33" t="s">
        <v>58295</v>
      </c>
      <c r="B26523" s="33" t="s">
        <v>58296</v>
      </c>
      <c r="C26523" s="33" t="s">
        <v>136</v>
      </c>
      <c r="D26523" s="33" t="s">
        <v>17</v>
      </c>
      <c r="E26523" s="33" t="s">
        <v>18</v>
      </c>
      <c r="F26523" s="33" t="s">
        <v>19</v>
      </c>
      <c r="G26523" s="33" t="s">
        <v>140</v>
      </c>
      <c r="H26523" s="35">
        <v>550</v>
      </c>
      <c r="I26523" s="33" t="s">
        <v>51</v>
      </c>
      <c r="J26523" s="42">
        <v>46164</v>
      </c>
      <c r="K26523" s="33" t="s">
        <v>22</v>
      </c>
    </row>
    <row r="26524" spans="1:11">
      <c r="A26524" s="30" t="s">
        <v>58297</v>
      </c>
      <c r="B26524" s="30" t="s">
        <v>58298</v>
      </c>
      <c r="C26524" s="30" t="s">
        <v>56957</v>
      </c>
      <c r="D26524" s="30" t="s">
        <v>17</v>
      </c>
      <c r="E26524" s="30" t="s">
        <v>67</v>
      </c>
      <c r="F26524" s="30" t="s">
        <v>68</v>
      </c>
      <c r="G26524" s="30" t="s">
        <v>140</v>
      </c>
      <c r="H26524" s="32">
        <v>36</v>
      </c>
      <c r="I26524" s="30" t="s">
        <v>51</v>
      </c>
      <c r="J26524" s="41">
        <v>46083</v>
      </c>
      <c r="K26524" s="30" t="s">
        <v>22</v>
      </c>
    </row>
    <row r="26525" spans="1:11">
      <c r="A26525" s="33" t="s">
        <v>58299</v>
      </c>
      <c r="B26525" s="33" t="s">
        <v>58300</v>
      </c>
      <c r="C26525" s="33" t="s">
        <v>136</v>
      </c>
      <c r="D26525" s="33" t="s">
        <v>17</v>
      </c>
      <c r="E26525" s="33" t="s">
        <v>26</v>
      </c>
      <c r="F26525" s="33" t="s">
        <v>27</v>
      </c>
      <c r="G26525" s="33" t="s">
        <v>140</v>
      </c>
      <c r="H26525" s="35">
        <v>108</v>
      </c>
      <c r="I26525" s="33" t="s">
        <v>51</v>
      </c>
      <c r="J26525" s="42">
        <v>46197</v>
      </c>
      <c r="K26525" s="33" t="s">
        <v>22</v>
      </c>
    </row>
    <row r="26526" spans="1:11">
      <c r="A26526" s="30" t="s">
        <v>58301</v>
      </c>
      <c r="B26526" s="30" t="s">
        <v>58302</v>
      </c>
      <c r="C26526" s="30" t="s">
        <v>318</v>
      </c>
      <c r="D26526" s="30" t="s">
        <v>17</v>
      </c>
      <c r="E26526" s="30" t="s">
        <v>26</v>
      </c>
      <c r="F26526" s="30" t="s">
        <v>27</v>
      </c>
      <c r="G26526" s="30" t="s">
        <v>158</v>
      </c>
      <c r="H26526" s="32">
        <v>49</v>
      </c>
      <c r="I26526" s="30" t="s">
        <v>21</v>
      </c>
      <c r="J26526" s="41">
        <v>46121</v>
      </c>
      <c r="K26526" s="30" t="s">
        <v>22</v>
      </c>
    </row>
    <row r="26527" spans="1:11">
      <c r="A26527" s="33" t="s">
        <v>58303</v>
      </c>
      <c r="B26527" s="33" t="s">
        <v>58304</v>
      </c>
      <c r="C26527" s="33" t="s">
        <v>75</v>
      </c>
      <c r="D26527" s="33" t="s">
        <v>17</v>
      </c>
      <c r="E26527" s="33" t="s">
        <v>26</v>
      </c>
      <c r="F26527" s="33" t="s">
        <v>27</v>
      </c>
      <c r="G26527" s="33" t="s">
        <v>20</v>
      </c>
      <c r="H26527" s="35">
        <v>32</v>
      </c>
      <c r="I26527" s="33" t="s">
        <v>21</v>
      </c>
      <c r="J26527" s="42">
        <v>46072</v>
      </c>
      <c r="K26527" s="33" t="s">
        <v>22</v>
      </c>
    </row>
    <row r="26528" spans="1:11">
      <c r="A26528" s="30" t="s">
        <v>58305</v>
      </c>
      <c r="B26528" s="30" t="s">
        <v>58306</v>
      </c>
      <c r="C26528" s="30" t="s">
        <v>58307</v>
      </c>
      <c r="D26528" s="30" t="s">
        <v>17</v>
      </c>
      <c r="E26528" s="30" t="s">
        <v>45</v>
      </c>
      <c r="F26528" s="30" t="s">
        <v>46</v>
      </c>
      <c r="G26528" s="30" t="s">
        <v>7780</v>
      </c>
      <c r="H26528" s="32">
        <v>478</v>
      </c>
      <c r="I26528" s="30" t="s">
        <v>51</v>
      </c>
      <c r="J26528" s="41">
        <v>46113</v>
      </c>
      <c r="K26528" s="30" t="s">
        <v>22</v>
      </c>
    </row>
    <row r="26529" spans="1:11">
      <c r="A26529" s="33" t="s">
        <v>58308</v>
      </c>
      <c r="B26529" s="33" t="s">
        <v>58309</v>
      </c>
      <c r="C26529" s="33" t="s">
        <v>718</v>
      </c>
      <c r="D26529" s="33" t="s">
        <v>17</v>
      </c>
      <c r="E26529" s="33" t="s">
        <v>18</v>
      </c>
      <c r="F26529" s="33" t="s">
        <v>19</v>
      </c>
      <c r="G26529" s="33" t="s">
        <v>140</v>
      </c>
      <c r="H26529" s="35">
        <v>261</v>
      </c>
      <c r="I26529" s="33" t="s">
        <v>51</v>
      </c>
      <c r="J26529" s="42">
        <v>46047</v>
      </c>
      <c r="K26529" s="33" t="s">
        <v>22</v>
      </c>
    </row>
    <row r="26530" spans="1:11">
      <c r="A26530" s="30" t="s">
        <v>58310</v>
      </c>
      <c r="B26530" s="30" t="s">
        <v>58311</v>
      </c>
      <c r="C26530" s="30" t="s">
        <v>15097</v>
      </c>
      <c r="D26530" s="30" t="s">
        <v>17</v>
      </c>
      <c r="E26530" s="30" t="s">
        <v>330</v>
      </c>
      <c r="F26530" s="30" t="s">
        <v>331</v>
      </c>
      <c r="G26530" s="30" t="s">
        <v>7780</v>
      </c>
      <c r="H26530" s="32">
        <v>30</v>
      </c>
      <c r="I26530" s="30" t="s">
        <v>51</v>
      </c>
      <c r="J26530" s="41">
        <v>46172</v>
      </c>
      <c r="K26530" s="30" t="s">
        <v>22</v>
      </c>
    </row>
    <row r="26531" spans="1:11">
      <c r="A26531" s="33" t="s">
        <v>58312</v>
      </c>
      <c r="B26531" s="33" t="s">
        <v>58313</v>
      </c>
      <c r="C26531" s="33" t="s">
        <v>14816</v>
      </c>
      <c r="D26531" s="33" t="s">
        <v>17</v>
      </c>
      <c r="E26531" s="33" t="s">
        <v>18</v>
      </c>
      <c r="F26531" s="33" t="s">
        <v>19</v>
      </c>
      <c r="G26531" s="33" t="s">
        <v>140</v>
      </c>
      <c r="H26531" s="35">
        <v>5386</v>
      </c>
      <c r="I26531" s="33" t="s">
        <v>51</v>
      </c>
      <c r="J26531" s="42">
        <v>46094</v>
      </c>
      <c r="K26531" s="33" t="s">
        <v>22</v>
      </c>
    </row>
    <row r="26532" spans="1:11">
      <c r="A26532" s="30" t="s">
        <v>58314</v>
      </c>
      <c r="B26532" s="30" t="s">
        <v>58315</v>
      </c>
      <c r="C26532" s="30" t="s">
        <v>118</v>
      </c>
      <c r="D26532" s="30" t="s">
        <v>17</v>
      </c>
      <c r="E26532" s="30" t="s">
        <v>212</v>
      </c>
      <c r="F26532" s="30" t="s">
        <v>213</v>
      </c>
      <c r="G26532" s="30" t="s">
        <v>140</v>
      </c>
      <c r="H26532" s="32">
        <v>50</v>
      </c>
      <c r="I26532" s="30" t="s">
        <v>51</v>
      </c>
      <c r="J26532" s="41">
        <v>46066</v>
      </c>
      <c r="K26532" s="30" t="s">
        <v>22</v>
      </c>
    </row>
    <row r="26533" spans="1:11">
      <c r="A26533" s="33" t="s">
        <v>58316</v>
      </c>
      <c r="B26533" s="33" t="s">
        <v>58317</v>
      </c>
      <c r="C26533" s="33" t="s">
        <v>203</v>
      </c>
      <c r="D26533" s="33" t="s">
        <v>17</v>
      </c>
      <c r="E26533" s="33" t="s">
        <v>18</v>
      </c>
      <c r="F26533" s="33" t="s">
        <v>19</v>
      </c>
      <c r="G26533" s="33" t="s">
        <v>2613</v>
      </c>
      <c r="H26533" s="35">
        <v>380</v>
      </c>
      <c r="I26533" s="33" t="s">
        <v>51</v>
      </c>
      <c r="J26533" s="42">
        <v>46093</v>
      </c>
      <c r="K26533" s="33" t="s">
        <v>22</v>
      </c>
    </row>
    <row r="26534" spans="1:11">
      <c r="A26534" s="30" t="s">
        <v>58318</v>
      </c>
      <c r="B26534" s="30" t="s">
        <v>58319</v>
      </c>
      <c r="C26534" s="30" t="s">
        <v>203</v>
      </c>
      <c r="D26534" s="30" t="s">
        <v>17</v>
      </c>
      <c r="E26534" s="30" t="s">
        <v>18</v>
      </c>
      <c r="F26534" s="30" t="s">
        <v>19</v>
      </c>
      <c r="G26534" s="30" t="s">
        <v>140</v>
      </c>
      <c r="H26534" s="32">
        <v>2195</v>
      </c>
      <c r="I26534" s="30" t="s">
        <v>51</v>
      </c>
      <c r="J26534" s="41">
        <v>46042</v>
      </c>
      <c r="K26534" s="30" t="s">
        <v>22</v>
      </c>
    </row>
    <row r="26535" spans="1:11">
      <c r="A26535" s="33" t="s">
        <v>58320</v>
      </c>
      <c r="B26535" s="33" t="s">
        <v>58321</v>
      </c>
      <c r="C26535" s="33" t="s">
        <v>51147</v>
      </c>
      <c r="D26535" s="33" t="s">
        <v>17</v>
      </c>
      <c r="E26535" s="33" t="s">
        <v>31</v>
      </c>
      <c r="F26535" s="33" t="s">
        <v>32</v>
      </c>
      <c r="G26535" s="33" t="s">
        <v>7780</v>
      </c>
      <c r="H26535" s="35">
        <v>80</v>
      </c>
      <c r="I26535" s="33" t="s">
        <v>51</v>
      </c>
      <c r="J26535" s="42">
        <v>46127</v>
      </c>
      <c r="K26535" s="33" t="s">
        <v>22</v>
      </c>
    </row>
    <row r="26536" spans="1:11">
      <c r="A26536" s="30" t="s">
        <v>58322</v>
      </c>
      <c r="B26536" s="30" t="s">
        <v>58323</v>
      </c>
      <c r="C26536" s="30" t="s">
        <v>14842</v>
      </c>
      <c r="D26536" s="30" t="s">
        <v>17</v>
      </c>
      <c r="E26536" s="30" t="s">
        <v>31</v>
      </c>
      <c r="F26536" s="30" t="s">
        <v>32</v>
      </c>
      <c r="G26536" s="30" t="s">
        <v>7780</v>
      </c>
      <c r="H26536" s="32">
        <v>80</v>
      </c>
      <c r="I26536" s="30" t="s">
        <v>51</v>
      </c>
      <c r="J26536" s="41">
        <v>46143</v>
      </c>
      <c r="K26536" s="30" t="s">
        <v>22</v>
      </c>
    </row>
    <row r="26537" spans="1:11">
      <c r="A26537" s="33" t="s">
        <v>58324</v>
      </c>
      <c r="B26537" s="33" t="s">
        <v>58325</v>
      </c>
      <c r="C26537" s="33" t="s">
        <v>4751</v>
      </c>
      <c r="D26537" s="33" t="s">
        <v>17</v>
      </c>
      <c r="E26537" s="33" t="s">
        <v>18</v>
      </c>
      <c r="F26537" s="33" t="s">
        <v>19</v>
      </c>
      <c r="G26537" s="33" t="s">
        <v>7780</v>
      </c>
      <c r="H26537" s="35">
        <v>590</v>
      </c>
      <c r="I26537" s="33" t="s">
        <v>51</v>
      </c>
      <c r="J26537" s="42">
        <v>46177</v>
      </c>
      <c r="K26537" s="33" t="s">
        <v>22</v>
      </c>
    </row>
    <row r="26538" spans="1:11">
      <c r="A26538" s="30" t="s">
        <v>58326</v>
      </c>
      <c r="B26538" s="30" t="s">
        <v>58327</v>
      </c>
      <c r="C26538" s="30" t="s">
        <v>56904</v>
      </c>
      <c r="D26538" s="30" t="s">
        <v>17</v>
      </c>
      <c r="E26538" s="30" t="s">
        <v>26</v>
      </c>
      <c r="F26538" s="30" t="s">
        <v>27</v>
      </c>
      <c r="G26538" s="30" t="s">
        <v>7780</v>
      </c>
      <c r="H26538" s="32">
        <v>76</v>
      </c>
      <c r="I26538" s="30" t="s">
        <v>51</v>
      </c>
      <c r="J26538" s="41">
        <v>46172</v>
      </c>
      <c r="K26538" s="30" t="s">
        <v>22</v>
      </c>
    </row>
    <row r="26539" spans="1:11">
      <c r="A26539" s="33" t="s">
        <v>58328</v>
      </c>
      <c r="B26539" s="33" t="s">
        <v>58329</v>
      </c>
      <c r="C26539" s="33" t="s">
        <v>2313</v>
      </c>
      <c r="D26539" s="33" t="s">
        <v>17</v>
      </c>
      <c r="E26539" s="33" t="s">
        <v>26</v>
      </c>
      <c r="F26539" s="33" t="s">
        <v>27</v>
      </c>
      <c r="G26539" s="33" t="s">
        <v>140</v>
      </c>
      <c r="H26539" s="35">
        <v>160</v>
      </c>
      <c r="I26539" s="33" t="s">
        <v>51</v>
      </c>
      <c r="J26539" s="42">
        <v>46196</v>
      </c>
      <c r="K26539" s="33" t="s">
        <v>22</v>
      </c>
    </row>
    <row r="26540" spans="1:11">
      <c r="A26540" s="30" t="s">
        <v>58330</v>
      </c>
      <c r="B26540" s="30" t="s">
        <v>58331</v>
      </c>
      <c r="C26540" s="30" t="s">
        <v>969</v>
      </c>
      <c r="D26540" s="30" t="s">
        <v>17</v>
      </c>
      <c r="E26540" s="30" t="s">
        <v>67</v>
      </c>
      <c r="F26540" s="30" t="s">
        <v>68</v>
      </c>
      <c r="G26540" s="30" t="s">
        <v>140</v>
      </c>
      <c r="H26540" s="32">
        <v>113</v>
      </c>
      <c r="I26540" s="30" t="s">
        <v>51</v>
      </c>
      <c r="J26540" s="41">
        <v>46195</v>
      </c>
      <c r="K26540" s="30" t="s">
        <v>22</v>
      </c>
    </row>
    <row r="26541" spans="1:11">
      <c r="A26541" s="33" t="s">
        <v>58332</v>
      </c>
      <c r="B26541" s="33" t="s">
        <v>58333</v>
      </c>
      <c r="C26541" s="33" t="s">
        <v>310</v>
      </c>
      <c r="D26541" s="33" t="s">
        <v>17</v>
      </c>
      <c r="E26541" s="33" t="s">
        <v>26</v>
      </c>
      <c r="F26541" s="33" t="s">
        <v>27</v>
      </c>
      <c r="G26541" s="33" t="s">
        <v>158</v>
      </c>
      <c r="H26541" s="35">
        <v>50</v>
      </c>
      <c r="I26541" s="33" t="s">
        <v>51</v>
      </c>
      <c r="J26541" s="42">
        <v>46162</v>
      </c>
      <c r="K26541" s="33" t="s">
        <v>22</v>
      </c>
    </row>
    <row r="26542" spans="1:11">
      <c r="A26542" s="30" t="s">
        <v>58334</v>
      </c>
      <c r="B26542" s="30" t="s">
        <v>58335</v>
      </c>
      <c r="C26542" s="30" t="s">
        <v>1343</v>
      </c>
      <c r="D26542" s="30" t="s">
        <v>17</v>
      </c>
      <c r="E26542" s="30" t="s">
        <v>26</v>
      </c>
      <c r="F26542" s="30" t="s">
        <v>27</v>
      </c>
      <c r="G26542" s="30" t="s">
        <v>140</v>
      </c>
      <c r="H26542" s="32">
        <v>40</v>
      </c>
      <c r="I26542" s="30" t="s">
        <v>51</v>
      </c>
      <c r="J26542" s="41">
        <v>46078</v>
      </c>
      <c r="K26542" s="30" t="s">
        <v>22</v>
      </c>
    </row>
    <row r="26543" spans="1:11">
      <c r="A26543" s="33" t="s">
        <v>58336</v>
      </c>
      <c r="B26543" s="33" t="s">
        <v>58337</v>
      </c>
      <c r="C26543" s="33" t="s">
        <v>7201</v>
      </c>
      <c r="D26543" s="33" t="s">
        <v>17</v>
      </c>
      <c r="E26543" s="33" t="s">
        <v>26</v>
      </c>
      <c r="F26543" s="33" t="s">
        <v>27</v>
      </c>
      <c r="G26543" s="33" t="s">
        <v>140</v>
      </c>
      <c r="H26543" s="35">
        <v>48</v>
      </c>
      <c r="I26543" s="33" t="s">
        <v>51</v>
      </c>
      <c r="J26543" s="42">
        <v>46026</v>
      </c>
      <c r="K26543" s="33" t="s">
        <v>22</v>
      </c>
    </row>
    <row r="26544" spans="1:11">
      <c r="A26544" s="30" t="s">
        <v>58338</v>
      </c>
      <c r="B26544" s="30" t="s">
        <v>58339</v>
      </c>
      <c r="C26544" s="30" t="s">
        <v>4348</v>
      </c>
      <c r="D26544" s="30" t="s">
        <v>17</v>
      </c>
      <c r="E26544" s="30" t="s">
        <v>18</v>
      </c>
      <c r="F26544" s="30" t="s">
        <v>19</v>
      </c>
      <c r="G26544" s="30" t="s">
        <v>140</v>
      </c>
      <c r="H26544" s="32">
        <v>446</v>
      </c>
      <c r="I26544" s="30" t="s">
        <v>51</v>
      </c>
      <c r="J26544" s="41">
        <v>46209</v>
      </c>
      <c r="K26544" s="30" t="s">
        <v>22</v>
      </c>
    </row>
    <row r="26545" spans="1:11">
      <c r="A26545" s="33" t="s">
        <v>58340</v>
      </c>
      <c r="B26545" s="33" t="s">
        <v>58341</v>
      </c>
      <c r="C26545" s="33" t="s">
        <v>57343</v>
      </c>
      <c r="D26545" s="33" t="s">
        <v>17</v>
      </c>
      <c r="E26545" s="33" t="s">
        <v>18</v>
      </c>
      <c r="F26545" s="33" t="s">
        <v>19</v>
      </c>
      <c r="G26545" s="33" t="s">
        <v>140</v>
      </c>
      <c r="H26545" s="35">
        <v>2539</v>
      </c>
      <c r="I26545" s="33" t="s">
        <v>51</v>
      </c>
      <c r="J26545" s="42">
        <v>46055</v>
      </c>
      <c r="K26545" s="33" t="s">
        <v>22</v>
      </c>
    </row>
    <row r="26546" spans="1:11">
      <c r="A26546" s="30" t="s">
        <v>58342</v>
      </c>
      <c r="B26546" s="30" t="s">
        <v>58343</v>
      </c>
      <c r="C26546" s="30" t="s">
        <v>58344</v>
      </c>
      <c r="D26546" s="30" t="s">
        <v>17</v>
      </c>
      <c r="E26546" s="30" t="s">
        <v>26</v>
      </c>
      <c r="F26546" s="30" t="s">
        <v>27</v>
      </c>
      <c r="G26546" s="30" t="s">
        <v>140</v>
      </c>
      <c r="H26546" s="32">
        <v>20</v>
      </c>
      <c r="I26546" s="30" t="s">
        <v>51</v>
      </c>
      <c r="J26546" s="41">
        <v>46097</v>
      </c>
      <c r="K26546" s="30" t="s">
        <v>22</v>
      </c>
    </row>
    <row r="26547" spans="1:11">
      <c r="A26547" s="33" t="s">
        <v>58345</v>
      </c>
      <c r="B26547" s="33" t="s">
        <v>58346</v>
      </c>
      <c r="C26547" s="33" t="s">
        <v>14483</v>
      </c>
      <c r="D26547" s="33" t="s">
        <v>17</v>
      </c>
      <c r="E26547" s="33" t="s">
        <v>26</v>
      </c>
      <c r="F26547" s="33" t="s">
        <v>27</v>
      </c>
      <c r="G26547" s="33" t="s">
        <v>140</v>
      </c>
      <c r="H26547" s="35">
        <v>44</v>
      </c>
      <c r="I26547" s="33" t="s">
        <v>51</v>
      </c>
      <c r="J26547" s="42">
        <v>46132</v>
      </c>
      <c r="K26547" s="33" t="s">
        <v>22</v>
      </c>
    </row>
    <row r="26548" spans="1:11">
      <c r="A26548" s="30" t="s">
        <v>58347</v>
      </c>
      <c r="B26548" s="30" t="s">
        <v>58348</v>
      </c>
      <c r="C26548" s="30" t="s">
        <v>29294</v>
      </c>
      <c r="D26548" s="30" t="s">
        <v>17</v>
      </c>
      <c r="E26548" s="30" t="s">
        <v>18</v>
      </c>
      <c r="F26548" s="30" t="s">
        <v>19</v>
      </c>
      <c r="G26548" s="30" t="s">
        <v>140</v>
      </c>
      <c r="H26548" s="32">
        <v>284</v>
      </c>
      <c r="I26548" s="30" t="s">
        <v>51</v>
      </c>
      <c r="J26548" s="41">
        <v>46171</v>
      </c>
      <c r="K26548" s="30" t="s">
        <v>22</v>
      </c>
    </row>
    <row r="26549" spans="1:11">
      <c r="A26549" s="33" t="s">
        <v>58349</v>
      </c>
      <c r="B26549" s="33" t="s">
        <v>58350</v>
      </c>
      <c r="C26549" s="33" t="s">
        <v>570</v>
      </c>
      <c r="D26549" s="33" t="s">
        <v>17</v>
      </c>
      <c r="E26549" s="33" t="s">
        <v>31</v>
      </c>
      <c r="F26549" s="33" t="s">
        <v>32</v>
      </c>
      <c r="G26549" s="33" t="s">
        <v>140</v>
      </c>
      <c r="H26549" s="35">
        <v>18</v>
      </c>
      <c r="I26549" s="33" t="s">
        <v>51</v>
      </c>
      <c r="J26549" s="42">
        <v>46199</v>
      </c>
      <c r="K26549" s="33" t="s">
        <v>22</v>
      </c>
    </row>
    <row r="26550" spans="1:11">
      <c r="A26550" s="30" t="s">
        <v>58351</v>
      </c>
      <c r="B26550" s="30" t="s">
        <v>58352</v>
      </c>
      <c r="C26550" s="30" t="s">
        <v>7072</v>
      </c>
      <c r="D26550" s="30" t="s">
        <v>17</v>
      </c>
      <c r="E26550" s="30" t="s">
        <v>31</v>
      </c>
      <c r="F26550" s="30" t="s">
        <v>32</v>
      </c>
      <c r="G26550" s="30" t="s">
        <v>7780</v>
      </c>
      <c r="H26550" s="32">
        <v>150</v>
      </c>
      <c r="I26550" s="30" t="s">
        <v>51</v>
      </c>
      <c r="J26550" s="41">
        <v>46234</v>
      </c>
      <c r="K26550" s="30" t="s">
        <v>22</v>
      </c>
    </row>
    <row r="26551" spans="1:11">
      <c r="A26551" s="33" t="s">
        <v>58353</v>
      </c>
      <c r="B26551" s="33" t="s">
        <v>58354</v>
      </c>
      <c r="C26551" s="33" t="s">
        <v>58355</v>
      </c>
      <c r="D26551" s="33" t="s">
        <v>17</v>
      </c>
      <c r="E26551" s="33" t="s">
        <v>26</v>
      </c>
      <c r="F26551" s="33" t="s">
        <v>27</v>
      </c>
      <c r="G26551" s="33" t="s">
        <v>7780</v>
      </c>
      <c r="H26551" s="35">
        <v>64</v>
      </c>
      <c r="I26551" s="33" t="s">
        <v>51</v>
      </c>
      <c r="J26551" s="42">
        <v>46204</v>
      </c>
      <c r="K26551" s="33" t="s">
        <v>22</v>
      </c>
    </row>
    <row r="26552" spans="1:11">
      <c r="A26552" s="30" t="s">
        <v>58356</v>
      </c>
      <c r="B26552" s="30" t="s">
        <v>58357</v>
      </c>
      <c r="C26552" s="30" t="s">
        <v>326</v>
      </c>
      <c r="D26552" s="30" t="s">
        <v>17</v>
      </c>
      <c r="E26552" s="30" t="s">
        <v>31</v>
      </c>
      <c r="F26552" s="30" t="s">
        <v>32</v>
      </c>
      <c r="G26552" s="30" t="s">
        <v>112</v>
      </c>
      <c r="H26552" s="32">
        <v>0</v>
      </c>
      <c r="I26552" s="30" t="s">
        <v>21</v>
      </c>
      <c r="J26552" s="41">
        <v>46127</v>
      </c>
      <c r="K26552" s="30" t="s">
        <v>22</v>
      </c>
    </row>
    <row r="26553" spans="1:11">
      <c r="A26553" s="33" t="s">
        <v>58358</v>
      </c>
      <c r="B26553" s="33" t="s">
        <v>58359</v>
      </c>
      <c r="C26553" s="33" t="s">
        <v>58360</v>
      </c>
      <c r="D26553" s="33" t="s">
        <v>17</v>
      </c>
      <c r="E26553" s="33" t="s">
        <v>26</v>
      </c>
      <c r="F26553" s="33" t="s">
        <v>27</v>
      </c>
      <c r="G26553" s="33" t="s">
        <v>140</v>
      </c>
      <c r="H26553" s="35">
        <v>25</v>
      </c>
      <c r="I26553" s="33" t="s">
        <v>51</v>
      </c>
      <c r="J26553" s="42">
        <v>46063</v>
      </c>
      <c r="K26553" s="33" t="s">
        <v>22</v>
      </c>
    </row>
    <row r="26554" spans="1:11">
      <c r="A26554" s="30" t="s">
        <v>58361</v>
      </c>
      <c r="B26554" s="30" t="s">
        <v>58362</v>
      </c>
      <c r="C26554" s="30" t="s">
        <v>8374</v>
      </c>
      <c r="D26554" s="30" t="s">
        <v>17</v>
      </c>
      <c r="E26554" s="30" t="s">
        <v>31</v>
      </c>
      <c r="F26554" s="30" t="s">
        <v>32</v>
      </c>
      <c r="G26554" s="30" t="s">
        <v>140</v>
      </c>
      <c r="H26554" s="32">
        <v>60</v>
      </c>
      <c r="I26554" s="30" t="s">
        <v>51</v>
      </c>
      <c r="J26554" s="41">
        <v>46182</v>
      </c>
      <c r="K26554" s="30" t="s">
        <v>22</v>
      </c>
    </row>
    <row r="26555" spans="1:11">
      <c r="A26555" s="33" t="s">
        <v>58363</v>
      </c>
      <c r="B26555" s="33" t="s">
        <v>58364</v>
      </c>
      <c r="C26555" s="33" t="s">
        <v>7158</v>
      </c>
      <c r="D26555" s="33" t="s">
        <v>17</v>
      </c>
      <c r="E26555" s="33" t="s">
        <v>67</v>
      </c>
      <c r="F26555" s="33" t="s">
        <v>68</v>
      </c>
      <c r="G26555" s="33" t="s">
        <v>7780</v>
      </c>
      <c r="H26555" s="35">
        <v>40</v>
      </c>
      <c r="I26555" s="33" t="s">
        <v>51</v>
      </c>
      <c r="J26555" s="42">
        <v>46082</v>
      </c>
      <c r="K26555" s="33" t="s">
        <v>22</v>
      </c>
    </row>
    <row r="26556" spans="1:11">
      <c r="A26556" s="30" t="s">
        <v>58365</v>
      </c>
      <c r="B26556" s="30" t="s">
        <v>58366</v>
      </c>
      <c r="C26556" s="30" t="s">
        <v>12031</v>
      </c>
      <c r="D26556" s="30" t="s">
        <v>17</v>
      </c>
      <c r="E26556" s="30" t="s">
        <v>26</v>
      </c>
      <c r="F26556" s="30" t="s">
        <v>27</v>
      </c>
      <c r="G26556" s="30" t="s">
        <v>140</v>
      </c>
      <c r="H26556" s="32">
        <v>18</v>
      </c>
      <c r="I26556" s="30" t="s">
        <v>51</v>
      </c>
      <c r="J26556" s="41">
        <v>46204</v>
      </c>
      <c r="K26556" s="30" t="s">
        <v>22</v>
      </c>
    </row>
    <row r="26557" spans="1:11">
      <c r="A26557" s="33" t="s">
        <v>58367</v>
      </c>
      <c r="B26557" s="33" t="s">
        <v>58368</v>
      </c>
      <c r="C26557" s="33" t="s">
        <v>58369</v>
      </c>
      <c r="D26557" s="33" t="s">
        <v>17</v>
      </c>
      <c r="E26557" s="33" t="s">
        <v>26</v>
      </c>
      <c r="F26557" s="33" t="s">
        <v>27</v>
      </c>
      <c r="G26557" s="33" t="s">
        <v>140</v>
      </c>
      <c r="H26557" s="35">
        <v>15</v>
      </c>
      <c r="I26557" s="33" t="s">
        <v>51</v>
      </c>
      <c r="J26557" s="42">
        <v>46119</v>
      </c>
      <c r="K26557" s="33" t="s">
        <v>22</v>
      </c>
    </row>
    <row r="26558" spans="1:11">
      <c r="A26558" s="30" t="s">
        <v>58370</v>
      </c>
      <c r="B26558" s="30" t="s">
        <v>58371</v>
      </c>
      <c r="C26558" s="30" t="s">
        <v>21009</v>
      </c>
      <c r="D26558" s="30" t="s">
        <v>17</v>
      </c>
      <c r="E26558" s="30" t="s">
        <v>26</v>
      </c>
      <c r="F26558" s="30" t="s">
        <v>27</v>
      </c>
      <c r="G26558" s="30" t="s">
        <v>7780</v>
      </c>
      <c r="H26558" s="32">
        <v>24</v>
      </c>
      <c r="I26558" s="30" t="s">
        <v>51</v>
      </c>
      <c r="J26558" s="41">
        <v>46218</v>
      </c>
      <c r="K26558" s="30" t="s">
        <v>22</v>
      </c>
    </row>
    <row r="26559" spans="1:11">
      <c r="A26559" s="33" t="s">
        <v>58372</v>
      </c>
      <c r="B26559" s="33" t="s">
        <v>58373</v>
      </c>
      <c r="C26559" s="33" t="s">
        <v>58374</v>
      </c>
      <c r="D26559" s="33" t="s">
        <v>17</v>
      </c>
      <c r="E26559" s="33" t="s">
        <v>26</v>
      </c>
      <c r="F26559" s="33" t="s">
        <v>27</v>
      </c>
      <c r="G26559" s="33" t="s">
        <v>140</v>
      </c>
      <c r="H26559" s="35">
        <v>80</v>
      </c>
      <c r="I26559" s="33" t="s">
        <v>51</v>
      </c>
      <c r="J26559" s="42">
        <v>46073</v>
      </c>
      <c r="K26559" s="33" t="s">
        <v>22</v>
      </c>
    </row>
    <row r="26560" spans="1:11">
      <c r="A26560" s="30" t="s">
        <v>58375</v>
      </c>
      <c r="B26560" s="30" t="s">
        <v>58376</v>
      </c>
      <c r="C26560" s="30" t="s">
        <v>57279</v>
      </c>
      <c r="D26560" s="30" t="s">
        <v>17</v>
      </c>
      <c r="E26560" s="30" t="s">
        <v>67</v>
      </c>
      <c r="F26560" s="30" t="s">
        <v>68</v>
      </c>
      <c r="G26560" s="30" t="s">
        <v>7780</v>
      </c>
      <c r="H26560" s="32">
        <v>18</v>
      </c>
      <c r="I26560" s="30" t="s">
        <v>51</v>
      </c>
      <c r="J26560" s="41">
        <v>46122</v>
      </c>
      <c r="K26560" s="30" t="s">
        <v>22</v>
      </c>
    </row>
    <row r="26561" spans="1:11">
      <c r="A26561" s="33" t="s">
        <v>58377</v>
      </c>
      <c r="B26561" s="33" t="s">
        <v>58378</v>
      </c>
      <c r="C26561" s="33" t="s">
        <v>2660</v>
      </c>
      <c r="D26561" s="33" t="s">
        <v>17</v>
      </c>
      <c r="E26561" s="33" t="s">
        <v>26</v>
      </c>
      <c r="F26561" s="33" t="s">
        <v>27</v>
      </c>
      <c r="G26561" s="33" t="s">
        <v>140</v>
      </c>
      <c r="H26561" s="35">
        <v>136</v>
      </c>
      <c r="I26561" s="33" t="s">
        <v>51</v>
      </c>
      <c r="J26561" s="42">
        <v>46085</v>
      </c>
      <c r="K26561" s="33" t="s">
        <v>22</v>
      </c>
    </row>
    <row r="26562" spans="1:11">
      <c r="A26562" s="30" t="s">
        <v>58379</v>
      </c>
      <c r="B26562" s="30" t="s">
        <v>58380</v>
      </c>
      <c r="C26562" s="30" t="s">
        <v>1350</v>
      </c>
      <c r="D26562" s="30" t="s">
        <v>17</v>
      </c>
      <c r="E26562" s="30" t="s">
        <v>26</v>
      </c>
      <c r="F26562" s="30" t="s">
        <v>27</v>
      </c>
      <c r="G26562" s="30" t="s">
        <v>7780</v>
      </c>
      <c r="H26562" s="32">
        <v>250</v>
      </c>
      <c r="I26562" s="30" t="s">
        <v>51</v>
      </c>
      <c r="J26562" s="41">
        <v>46096</v>
      </c>
      <c r="K26562" s="30" t="s">
        <v>22</v>
      </c>
    </row>
    <row r="26563" spans="1:11">
      <c r="A26563" s="33" t="s">
        <v>58381</v>
      </c>
      <c r="B26563" s="33" t="s">
        <v>58382</v>
      </c>
      <c r="C26563" s="33" t="s">
        <v>32621</v>
      </c>
      <c r="D26563" s="33" t="s">
        <v>17</v>
      </c>
      <c r="E26563" s="33" t="s">
        <v>31</v>
      </c>
      <c r="F26563" s="33" t="s">
        <v>32</v>
      </c>
      <c r="G26563" s="33" t="s">
        <v>7780</v>
      </c>
      <c r="H26563" s="35">
        <v>227</v>
      </c>
      <c r="I26563" s="33" t="s">
        <v>51</v>
      </c>
      <c r="J26563" s="42">
        <v>46175</v>
      </c>
      <c r="K26563" s="33" t="s">
        <v>22</v>
      </c>
    </row>
    <row r="26564" spans="1:11">
      <c r="A26564" s="30" t="s">
        <v>58383</v>
      </c>
      <c r="B26564" s="30" t="s">
        <v>58384</v>
      </c>
      <c r="C26564" s="30" t="s">
        <v>130</v>
      </c>
      <c r="D26564" s="30" t="s">
        <v>17</v>
      </c>
      <c r="E26564" s="30" t="s">
        <v>31</v>
      </c>
      <c r="F26564" s="30" t="s">
        <v>32</v>
      </c>
      <c r="G26564" s="30" t="s">
        <v>140</v>
      </c>
      <c r="H26564" s="32">
        <v>40</v>
      </c>
      <c r="I26564" s="30" t="s">
        <v>51</v>
      </c>
      <c r="J26564" s="41">
        <v>46055</v>
      </c>
      <c r="K26564" s="30" t="s">
        <v>22</v>
      </c>
    </row>
    <row r="26565" spans="1:11">
      <c r="A26565" s="33" t="s">
        <v>58385</v>
      </c>
      <c r="B26565" s="33" t="s">
        <v>58386</v>
      </c>
      <c r="C26565" s="33" t="s">
        <v>1080</v>
      </c>
      <c r="D26565" s="33" t="s">
        <v>17</v>
      </c>
      <c r="E26565" s="33" t="s">
        <v>26</v>
      </c>
      <c r="F26565" s="33" t="s">
        <v>27</v>
      </c>
      <c r="G26565" s="33" t="s">
        <v>7780</v>
      </c>
      <c r="H26565" s="35">
        <v>8</v>
      </c>
      <c r="I26565" s="33" t="s">
        <v>51</v>
      </c>
      <c r="J26565" s="42">
        <v>46099</v>
      </c>
      <c r="K26565" s="33" t="s">
        <v>22</v>
      </c>
    </row>
    <row r="26566" spans="1:11">
      <c r="A26566" s="30" t="s">
        <v>58387</v>
      </c>
      <c r="B26566" s="30" t="s">
        <v>58388</v>
      </c>
      <c r="C26566" s="30" t="s">
        <v>5229</v>
      </c>
      <c r="D26566" s="30" t="s">
        <v>17</v>
      </c>
      <c r="E26566" s="30" t="s">
        <v>67</v>
      </c>
      <c r="F26566" s="30" t="s">
        <v>68</v>
      </c>
      <c r="G26566" s="30" t="s">
        <v>140</v>
      </c>
      <c r="H26566" s="32">
        <v>119</v>
      </c>
      <c r="I26566" s="30" t="s">
        <v>51</v>
      </c>
      <c r="J26566" s="41">
        <v>46163</v>
      </c>
      <c r="K26566" s="30" t="s">
        <v>22</v>
      </c>
    </row>
    <row r="26567" spans="1:11">
      <c r="A26567" s="33" t="s">
        <v>58389</v>
      </c>
      <c r="B26567" s="33" t="s">
        <v>58390</v>
      </c>
      <c r="C26567" s="33" t="s">
        <v>16002</v>
      </c>
      <c r="D26567" s="33" t="s">
        <v>17</v>
      </c>
      <c r="E26567" s="33" t="s">
        <v>26</v>
      </c>
      <c r="F26567" s="33" t="s">
        <v>27</v>
      </c>
      <c r="G26567" s="33" t="s">
        <v>140</v>
      </c>
      <c r="H26567" s="35">
        <v>86</v>
      </c>
      <c r="I26567" s="33" t="s">
        <v>51</v>
      </c>
      <c r="J26567" s="42">
        <v>46104</v>
      </c>
      <c r="K26567" s="33" t="s">
        <v>22</v>
      </c>
    </row>
    <row r="26568" spans="1:11">
      <c r="A26568" s="30" t="s">
        <v>58391</v>
      </c>
      <c r="B26568" s="30" t="s">
        <v>58392</v>
      </c>
      <c r="C26568" s="30" t="s">
        <v>570</v>
      </c>
      <c r="D26568" s="30" t="s">
        <v>17</v>
      </c>
      <c r="E26568" s="30" t="s">
        <v>31</v>
      </c>
      <c r="F26568" s="30" t="s">
        <v>32</v>
      </c>
      <c r="G26568" s="30" t="s">
        <v>7780</v>
      </c>
      <c r="H26568" s="32">
        <v>160</v>
      </c>
      <c r="I26568" s="30" t="s">
        <v>51</v>
      </c>
      <c r="J26568" s="41">
        <v>46117</v>
      </c>
      <c r="K26568" s="30" t="s">
        <v>22</v>
      </c>
    </row>
    <row r="26569" spans="1:11">
      <c r="A26569" s="33" t="s">
        <v>58393</v>
      </c>
      <c r="B26569" s="33" t="s">
        <v>58394</v>
      </c>
      <c r="C26569" s="33" t="s">
        <v>8979</v>
      </c>
      <c r="D26569" s="33" t="s">
        <v>17</v>
      </c>
      <c r="E26569" s="33" t="s">
        <v>26</v>
      </c>
      <c r="F26569" s="33" t="s">
        <v>27</v>
      </c>
      <c r="G26569" s="33" t="s">
        <v>20</v>
      </c>
      <c r="H26569" s="35">
        <v>16</v>
      </c>
      <c r="I26569" s="33" t="s">
        <v>21</v>
      </c>
      <c r="J26569" s="42">
        <v>46065</v>
      </c>
      <c r="K26569" s="33" t="s">
        <v>22</v>
      </c>
    </row>
    <row r="26570" spans="1:11">
      <c r="A26570" s="30" t="s">
        <v>58395</v>
      </c>
      <c r="B26570" s="30" t="s">
        <v>58396</v>
      </c>
      <c r="C26570" s="30" t="s">
        <v>28153</v>
      </c>
      <c r="D26570" s="30" t="s">
        <v>17</v>
      </c>
      <c r="E26570" s="30" t="s">
        <v>18</v>
      </c>
      <c r="F26570" s="30" t="s">
        <v>19</v>
      </c>
      <c r="G26570" s="30" t="s">
        <v>140</v>
      </c>
      <c r="H26570" s="32">
        <v>440</v>
      </c>
      <c r="I26570" s="30" t="s">
        <v>51</v>
      </c>
      <c r="J26570" s="41">
        <v>46099</v>
      </c>
      <c r="K26570" s="30" t="s">
        <v>22</v>
      </c>
    </row>
    <row r="26571" spans="1:11">
      <c r="A26571" s="33" t="s">
        <v>58397</v>
      </c>
      <c r="B26571" s="33" t="s">
        <v>58398</v>
      </c>
      <c r="C26571" s="33" t="s">
        <v>647</v>
      </c>
      <c r="D26571" s="33" t="s">
        <v>17</v>
      </c>
      <c r="E26571" s="33" t="s">
        <v>26</v>
      </c>
      <c r="F26571" s="33" t="s">
        <v>27</v>
      </c>
      <c r="G26571" s="33" t="s">
        <v>158</v>
      </c>
      <c r="H26571" s="35">
        <v>28</v>
      </c>
      <c r="I26571" s="33" t="s">
        <v>51</v>
      </c>
      <c r="J26571" s="42">
        <v>46087</v>
      </c>
      <c r="K26571" s="33" t="s">
        <v>22</v>
      </c>
    </row>
    <row r="26572" spans="1:11">
      <c r="A26572" s="30" t="s">
        <v>58399</v>
      </c>
      <c r="B26572" s="30" t="s">
        <v>58400</v>
      </c>
      <c r="C26572" s="30" t="s">
        <v>58401</v>
      </c>
      <c r="D26572" s="30" t="s">
        <v>17</v>
      </c>
      <c r="E26572" s="30" t="s">
        <v>67</v>
      </c>
      <c r="F26572" s="30" t="s">
        <v>68</v>
      </c>
      <c r="G26572" s="30" t="s">
        <v>7780</v>
      </c>
      <c r="H26572" s="32">
        <v>75</v>
      </c>
      <c r="I26572" s="30" t="s">
        <v>51</v>
      </c>
      <c r="J26572" s="41">
        <v>46143</v>
      </c>
      <c r="K26572" s="30" t="s">
        <v>22</v>
      </c>
    </row>
    <row r="26573" spans="1:11">
      <c r="A26573" s="33" t="s">
        <v>58402</v>
      </c>
      <c r="B26573" s="33" t="s">
        <v>58403</v>
      </c>
      <c r="C26573" s="33" t="s">
        <v>1219</v>
      </c>
      <c r="D26573" s="33" t="s">
        <v>17</v>
      </c>
      <c r="E26573" s="33" t="s">
        <v>67</v>
      </c>
      <c r="F26573" s="33" t="s">
        <v>68</v>
      </c>
      <c r="G26573" s="33" t="s">
        <v>140</v>
      </c>
      <c r="H26573" s="35">
        <v>165</v>
      </c>
      <c r="I26573" s="33" t="s">
        <v>51</v>
      </c>
      <c r="J26573" s="42">
        <v>46127</v>
      </c>
      <c r="K26573" s="33" t="s">
        <v>22</v>
      </c>
    </row>
    <row r="26574" spans="1:11">
      <c r="A26574" s="30" t="s">
        <v>58404</v>
      </c>
      <c r="B26574" s="30" t="s">
        <v>58405</v>
      </c>
      <c r="C26574" s="30" t="s">
        <v>3892</v>
      </c>
      <c r="D26574" s="30" t="s">
        <v>17</v>
      </c>
      <c r="E26574" s="30" t="s">
        <v>18</v>
      </c>
      <c r="F26574" s="30" t="s">
        <v>19</v>
      </c>
      <c r="G26574" s="30" t="s">
        <v>140</v>
      </c>
      <c r="H26574" s="32">
        <v>652</v>
      </c>
      <c r="I26574" s="30" t="s">
        <v>51</v>
      </c>
      <c r="J26574" s="41">
        <v>46143</v>
      </c>
      <c r="K26574" s="30" t="s">
        <v>22</v>
      </c>
    </row>
    <row r="26575" spans="1:11">
      <c r="A26575" s="33" t="s">
        <v>58406</v>
      </c>
      <c r="B26575" s="33" t="s">
        <v>58407</v>
      </c>
      <c r="C26575" s="33" t="s">
        <v>58408</v>
      </c>
      <c r="D26575" s="33" t="s">
        <v>17</v>
      </c>
      <c r="E26575" s="33" t="s">
        <v>31</v>
      </c>
      <c r="F26575" s="33" t="s">
        <v>32</v>
      </c>
      <c r="G26575" s="33" t="s">
        <v>7780</v>
      </c>
      <c r="H26575" s="35">
        <v>30</v>
      </c>
      <c r="I26575" s="33" t="s">
        <v>51</v>
      </c>
      <c r="J26575" s="42">
        <v>46127</v>
      </c>
      <c r="K26575" s="33" t="s">
        <v>22</v>
      </c>
    </row>
    <row r="26576" spans="1:11">
      <c r="A26576" s="30" t="s">
        <v>58409</v>
      </c>
      <c r="B26576" s="30" t="s">
        <v>58410</v>
      </c>
      <c r="C26576" s="30" t="s">
        <v>7731</v>
      </c>
      <c r="D26576" s="30" t="s">
        <v>17</v>
      </c>
      <c r="E26576" s="30" t="s">
        <v>31</v>
      </c>
      <c r="F26576" s="30" t="s">
        <v>32</v>
      </c>
      <c r="G26576" s="30" t="s">
        <v>140</v>
      </c>
      <c r="H26576" s="32">
        <v>30</v>
      </c>
      <c r="I26576" s="30" t="s">
        <v>51</v>
      </c>
      <c r="J26576" s="41">
        <v>46177</v>
      </c>
      <c r="K26576" s="30" t="s">
        <v>22</v>
      </c>
    </row>
    <row r="26577" spans="1:11">
      <c r="A26577" s="33" t="s">
        <v>58411</v>
      </c>
      <c r="B26577" s="33" t="s">
        <v>58412</v>
      </c>
      <c r="C26577" s="33" t="s">
        <v>5636</v>
      </c>
      <c r="D26577" s="33" t="s">
        <v>17</v>
      </c>
      <c r="E26577" s="33" t="s">
        <v>31</v>
      </c>
      <c r="F26577" s="33" t="s">
        <v>32</v>
      </c>
      <c r="G26577" s="33" t="s">
        <v>140</v>
      </c>
      <c r="H26577" s="35">
        <v>240</v>
      </c>
      <c r="I26577" s="33" t="s">
        <v>51</v>
      </c>
      <c r="J26577" s="42">
        <v>46218</v>
      </c>
      <c r="K26577" s="33" t="s">
        <v>22</v>
      </c>
    </row>
    <row r="26578" spans="1:11">
      <c r="A26578" s="30" t="s">
        <v>58413</v>
      </c>
      <c r="B26578" s="30" t="s">
        <v>58414</v>
      </c>
      <c r="C26578" s="30" t="s">
        <v>57768</v>
      </c>
      <c r="D26578" s="30" t="s">
        <v>17</v>
      </c>
      <c r="E26578" s="30" t="s">
        <v>31</v>
      </c>
      <c r="F26578" s="30" t="s">
        <v>32</v>
      </c>
      <c r="G26578" s="30" t="s">
        <v>7780</v>
      </c>
      <c r="H26578" s="32">
        <v>386</v>
      </c>
      <c r="I26578" s="30" t="s">
        <v>51</v>
      </c>
      <c r="J26578" s="41">
        <v>46233</v>
      </c>
      <c r="K26578" s="30" t="s">
        <v>22</v>
      </c>
    </row>
    <row r="26579" spans="1:11">
      <c r="A26579" s="33" t="s">
        <v>58415</v>
      </c>
      <c r="B26579" s="33" t="s">
        <v>58416</v>
      </c>
      <c r="C26579" s="33" t="s">
        <v>13348</v>
      </c>
      <c r="D26579" s="33" t="s">
        <v>17</v>
      </c>
      <c r="E26579" s="33" t="s">
        <v>31</v>
      </c>
      <c r="F26579" s="33" t="s">
        <v>32</v>
      </c>
      <c r="G26579" s="33" t="s">
        <v>7780</v>
      </c>
      <c r="H26579" s="35">
        <v>250</v>
      </c>
      <c r="I26579" s="33" t="s">
        <v>51</v>
      </c>
      <c r="J26579" s="42">
        <v>46218</v>
      </c>
      <c r="K26579" s="33" t="s">
        <v>22</v>
      </c>
    </row>
    <row r="26580" spans="1:11">
      <c r="A26580" s="30" t="s">
        <v>58417</v>
      </c>
      <c r="B26580" s="30" t="s">
        <v>58418</v>
      </c>
      <c r="C26580" s="30" t="s">
        <v>1604</v>
      </c>
      <c r="D26580" s="30" t="s">
        <v>17</v>
      </c>
      <c r="E26580" s="30" t="s">
        <v>18</v>
      </c>
      <c r="F26580" s="30" t="s">
        <v>19</v>
      </c>
      <c r="G26580" s="30" t="s">
        <v>7780</v>
      </c>
      <c r="H26580" s="32">
        <v>440</v>
      </c>
      <c r="I26580" s="30" t="s">
        <v>51</v>
      </c>
      <c r="J26580" s="41">
        <v>46081</v>
      </c>
      <c r="K26580" s="30" t="s">
        <v>22</v>
      </c>
    </row>
    <row r="26581" spans="1:11">
      <c r="A26581" s="33" t="s">
        <v>58419</v>
      </c>
      <c r="B26581" s="33" t="s">
        <v>58420</v>
      </c>
      <c r="C26581" s="33" t="s">
        <v>178</v>
      </c>
      <c r="D26581" s="33" t="s">
        <v>17</v>
      </c>
      <c r="E26581" s="33" t="s">
        <v>18</v>
      </c>
      <c r="F26581" s="33" t="s">
        <v>19</v>
      </c>
      <c r="G26581" s="33" t="s">
        <v>140</v>
      </c>
      <c r="H26581" s="35">
        <v>300</v>
      </c>
      <c r="I26581" s="33" t="s">
        <v>51</v>
      </c>
      <c r="J26581" s="42">
        <v>46206</v>
      </c>
      <c r="K26581" s="33" t="s">
        <v>22</v>
      </c>
    </row>
    <row r="26582" spans="1:11">
      <c r="A26582" s="30" t="s">
        <v>58421</v>
      </c>
      <c r="B26582" s="30" t="s">
        <v>58422</v>
      </c>
      <c r="C26582" s="30" t="s">
        <v>14816</v>
      </c>
      <c r="D26582" s="30" t="s">
        <v>17</v>
      </c>
      <c r="E26582" s="30" t="s">
        <v>67</v>
      </c>
      <c r="F26582" s="30" t="s">
        <v>68</v>
      </c>
      <c r="G26582" s="30" t="s">
        <v>140</v>
      </c>
      <c r="H26582" s="32">
        <v>180</v>
      </c>
      <c r="I26582" s="30" t="s">
        <v>51</v>
      </c>
      <c r="J26582" s="41">
        <v>46108</v>
      </c>
      <c r="K26582" s="30" t="s">
        <v>22</v>
      </c>
    </row>
    <row r="26583" spans="1:11">
      <c r="A26583" s="33" t="s">
        <v>58423</v>
      </c>
      <c r="B26583" s="33" t="s">
        <v>58424</v>
      </c>
      <c r="C26583" s="33" t="s">
        <v>102</v>
      </c>
      <c r="D26583" s="33" t="s">
        <v>17</v>
      </c>
      <c r="E26583" s="33" t="s">
        <v>18</v>
      </c>
      <c r="F26583" s="33" t="s">
        <v>19</v>
      </c>
      <c r="G26583" s="33" t="s">
        <v>140</v>
      </c>
      <c r="H26583" s="35">
        <v>348</v>
      </c>
      <c r="I26583" s="33" t="s">
        <v>51</v>
      </c>
      <c r="J26583" s="42">
        <v>46230</v>
      </c>
      <c r="K26583" s="33" t="s">
        <v>22</v>
      </c>
    </row>
    <row r="26584" spans="1:11">
      <c r="A26584" s="30" t="s">
        <v>58425</v>
      </c>
      <c r="B26584" s="30" t="s">
        <v>58426</v>
      </c>
      <c r="C26584" s="30" t="s">
        <v>1080</v>
      </c>
      <c r="D26584" s="30" t="s">
        <v>17</v>
      </c>
      <c r="E26584" s="30" t="s">
        <v>31</v>
      </c>
      <c r="F26584" s="30" t="s">
        <v>32</v>
      </c>
      <c r="G26584" s="30" t="s">
        <v>7780</v>
      </c>
      <c r="H26584" s="32">
        <v>135</v>
      </c>
      <c r="I26584" s="30" t="s">
        <v>51</v>
      </c>
      <c r="J26584" s="41">
        <v>46113</v>
      </c>
      <c r="K26584" s="30" t="s">
        <v>22</v>
      </c>
    </row>
    <row r="26585" spans="1:11">
      <c r="A26585" s="33" t="s">
        <v>58427</v>
      </c>
      <c r="B26585" s="33" t="s">
        <v>58428</v>
      </c>
      <c r="C26585" s="33" t="s">
        <v>379</v>
      </c>
      <c r="D26585" s="33" t="s">
        <v>17</v>
      </c>
      <c r="E26585" s="33" t="s">
        <v>26</v>
      </c>
      <c r="F26585" s="33" t="s">
        <v>27</v>
      </c>
      <c r="G26585" s="33" t="s">
        <v>140</v>
      </c>
      <c r="H26585" s="35">
        <v>72</v>
      </c>
      <c r="I26585" s="33" t="s">
        <v>51</v>
      </c>
      <c r="J26585" s="42">
        <v>46203</v>
      </c>
      <c r="K26585" s="33" t="s">
        <v>22</v>
      </c>
    </row>
    <row r="26586" spans="1:11">
      <c r="A26586" s="30" t="s">
        <v>58429</v>
      </c>
      <c r="B26586" s="30" t="s">
        <v>58430</v>
      </c>
      <c r="C26586" s="30" t="s">
        <v>21136</v>
      </c>
      <c r="D26586" s="30" t="s">
        <v>17</v>
      </c>
      <c r="E26586" s="30" t="s">
        <v>18</v>
      </c>
      <c r="F26586" s="30" t="s">
        <v>19</v>
      </c>
      <c r="G26586" s="30" t="s">
        <v>140</v>
      </c>
      <c r="H26586" s="32">
        <v>206</v>
      </c>
      <c r="I26586" s="30" t="s">
        <v>51</v>
      </c>
      <c r="J26586" s="41">
        <v>46023</v>
      </c>
      <c r="K26586" s="30" t="s">
        <v>22</v>
      </c>
    </row>
    <row r="26587" spans="1:11">
      <c r="A26587" s="33" t="s">
        <v>58431</v>
      </c>
      <c r="B26587" s="33" t="s">
        <v>58432</v>
      </c>
      <c r="C26587" s="33" t="s">
        <v>44</v>
      </c>
      <c r="D26587" s="33" t="s">
        <v>17</v>
      </c>
      <c r="E26587" s="33" t="s">
        <v>212</v>
      </c>
      <c r="F26587" s="33" t="s">
        <v>213</v>
      </c>
      <c r="G26587" s="33" t="s">
        <v>140</v>
      </c>
      <c r="H26587" s="35">
        <v>5</v>
      </c>
      <c r="I26587" s="33" t="s">
        <v>51</v>
      </c>
      <c r="J26587" s="42">
        <v>46100</v>
      </c>
      <c r="K26587" s="33" t="s">
        <v>22</v>
      </c>
    </row>
    <row r="26588" spans="1:11">
      <c r="A26588" s="30" t="s">
        <v>58433</v>
      </c>
      <c r="B26588" s="30" t="s">
        <v>58434</v>
      </c>
      <c r="C26588" s="30" t="s">
        <v>2487</v>
      </c>
      <c r="D26588" s="30" t="s">
        <v>17</v>
      </c>
      <c r="E26588" s="30" t="s">
        <v>26</v>
      </c>
      <c r="F26588" s="30" t="s">
        <v>27</v>
      </c>
      <c r="G26588" s="30" t="s">
        <v>7780</v>
      </c>
      <c r="H26588" s="32">
        <v>86</v>
      </c>
      <c r="I26588" s="30" t="s">
        <v>51</v>
      </c>
      <c r="J26588" s="41">
        <v>46066</v>
      </c>
      <c r="K26588" s="30" t="s">
        <v>22</v>
      </c>
    </row>
    <row r="26589" spans="1:11">
      <c r="A26589" s="33" t="s">
        <v>58435</v>
      </c>
      <c r="B26589" s="33" t="s">
        <v>58436</v>
      </c>
      <c r="C26589" s="33" t="s">
        <v>795</v>
      </c>
      <c r="D26589" s="33" t="s">
        <v>17</v>
      </c>
      <c r="E26589" s="33" t="s">
        <v>26</v>
      </c>
      <c r="F26589" s="33" t="s">
        <v>27</v>
      </c>
      <c r="G26589" s="33" t="s">
        <v>140</v>
      </c>
      <c r="H26589" s="35">
        <v>78</v>
      </c>
      <c r="I26589" s="33" t="s">
        <v>51</v>
      </c>
      <c r="J26589" s="42">
        <v>46069</v>
      </c>
      <c r="K26589" s="33" t="s">
        <v>22</v>
      </c>
    </row>
    <row r="26590" spans="1:11">
      <c r="A26590" s="30" t="s">
        <v>58437</v>
      </c>
      <c r="B26590" s="30" t="s">
        <v>58438</v>
      </c>
      <c r="C26590" s="30" t="s">
        <v>58114</v>
      </c>
      <c r="D26590" s="30" t="s">
        <v>17</v>
      </c>
      <c r="E26590" s="30" t="s">
        <v>26</v>
      </c>
      <c r="F26590" s="30" t="s">
        <v>27</v>
      </c>
      <c r="G26590" s="30" t="s">
        <v>140</v>
      </c>
      <c r="H26590" s="32">
        <v>294</v>
      </c>
      <c r="I26590" s="30" t="s">
        <v>51</v>
      </c>
      <c r="J26590" s="41">
        <v>46086</v>
      </c>
      <c r="K26590" s="30" t="s">
        <v>22</v>
      </c>
    </row>
    <row r="26591" spans="1:11">
      <c r="A26591" s="33" t="s">
        <v>58439</v>
      </c>
      <c r="B26591" s="33" t="s">
        <v>58440</v>
      </c>
      <c r="C26591" s="33" t="s">
        <v>2562</v>
      </c>
      <c r="D26591" s="33" t="s">
        <v>17</v>
      </c>
      <c r="E26591" s="33" t="s">
        <v>26</v>
      </c>
      <c r="F26591" s="33" t="s">
        <v>27</v>
      </c>
      <c r="G26591" s="33" t="s">
        <v>7780</v>
      </c>
      <c r="H26591" s="35">
        <v>30</v>
      </c>
      <c r="I26591" s="33" t="s">
        <v>51</v>
      </c>
      <c r="J26591" s="42">
        <v>46174</v>
      </c>
      <c r="K26591" s="33" t="s">
        <v>22</v>
      </c>
    </row>
    <row r="26592" spans="1:11">
      <c r="A26592" s="30" t="s">
        <v>58441</v>
      </c>
      <c r="B26592" s="30" t="s">
        <v>58442</v>
      </c>
      <c r="C26592" s="30" t="s">
        <v>102</v>
      </c>
      <c r="D26592" s="30" t="s">
        <v>17</v>
      </c>
      <c r="E26592" s="30" t="s">
        <v>31</v>
      </c>
      <c r="F26592" s="30" t="s">
        <v>32</v>
      </c>
      <c r="G26592" s="30" t="s">
        <v>140</v>
      </c>
      <c r="H26592" s="32">
        <v>240</v>
      </c>
      <c r="I26592" s="30" t="s">
        <v>51</v>
      </c>
      <c r="J26592" s="41">
        <v>46037</v>
      </c>
      <c r="K26592" s="30" t="s">
        <v>22</v>
      </c>
    </row>
    <row r="26593" spans="1:11">
      <c r="A26593" s="33" t="s">
        <v>58443</v>
      </c>
      <c r="B26593" s="33" t="s">
        <v>58444</v>
      </c>
      <c r="C26593" s="33" t="s">
        <v>1764</v>
      </c>
      <c r="D26593" s="33" t="s">
        <v>17</v>
      </c>
      <c r="E26593" s="33" t="s">
        <v>212</v>
      </c>
      <c r="F26593" s="33" t="s">
        <v>213</v>
      </c>
      <c r="G26593" s="33" t="s">
        <v>2613</v>
      </c>
      <c r="H26593" s="35">
        <v>10000</v>
      </c>
      <c r="I26593" s="33" t="s">
        <v>51</v>
      </c>
      <c r="J26593" s="42">
        <v>46168</v>
      </c>
      <c r="K26593" s="33" t="s">
        <v>22</v>
      </c>
    </row>
    <row r="26594" spans="1:11">
      <c r="A26594" s="30" t="s">
        <v>58445</v>
      </c>
      <c r="B26594" s="30" t="s">
        <v>58446</v>
      </c>
      <c r="C26594" s="30" t="s">
        <v>5251</v>
      </c>
      <c r="D26594" s="30" t="s">
        <v>17</v>
      </c>
      <c r="E26594" s="30" t="s">
        <v>18</v>
      </c>
      <c r="F26594" s="30" t="s">
        <v>19</v>
      </c>
      <c r="G26594" s="30" t="s">
        <v>7780</v>
      </c>
      <c r="H26594" s="32">
        <v>380</v>
      </c>
      <c r="I26594" s="30" t="s">
        <v>51</v>
      </c>
      <c r="J26594" s="41">
        <v>46090</v>
      </c>
      <c r="K26594" s="30" t="s">
        <v>22</v>
      </c>
    </row>
    <row r="26595" spans="1:11">
      <c r="A26595" s="33" t="s">
        <v>58447</v>
      </c>
      <c r="B26595" s="33" t="s">
        <v>58448</v>
      </c>
      <c r="C26595" s="33" t="s">
        <v>190</v>
      </c>
      <c r="D26595" s="33" t="s">
        <v>17</v>
      </c>
      <c r="E26595" s="33" t="s">
        <v>26</v>
      </c>
      <c r="F26595" s="33" t="s">
        <v>27</v>
      </c>
      <c r="G26595" s="33" t="s">
        <v>140</v>
      </c>
      <c r="H26595" s="35">
        <v>104</v>
      </c>
      <c r="I26595" s="33" t="s">
        <v>51</v>
      </c>
      <c r="J26595" s="42">
        <v>46111</v>
      </c>
      <c r="K26595" s="33" t="s">
        <v>22</v>
      </c>
    </row>
    <row r="26596" spans="1:11">
      <c r="A26596" s="30" t="s">
        <v>58449</v>
      </c>
      <c r="B26596" s="30" t="s">
        <v>58450</v>
      </c>
      <c r="C26596" s="30" t="s">
        <v>2972</v>
      </c>
      <c r="D26596" s="30" t="s">
        <v>17</v>
      </c>
      <c r="E26596" s="30" t="s">
        <v>26</v>
      </c>
      <c r="F26596" s="30" t="s">
        <v>27</v>
      </c>
      <c r="G26596" s="30" t="s">
        <v>7780</v>
      </c>
      <c r="H26596" s="32">
        <v>154</v>
      </c>
      <c r="I26596" s="30" t="s">
        <v>51</v>
      </c>
      <c r="J26596" s="41">
        <v>46113</v>
      </c>
      <c r="K26596" s="30" t="s">
        <v>22</v>
      </c>
    </row>
    <row r="26597" spans="1:11">
      <c r="A26597" s="33" t="s">
        <v>58451</v>
      </c>
      <c r="B26597" s="33" t="s">
        <v>58452</v>
      </c>
      <c r="C26597" s="33" t="s">
        <v>698</v>
      </c>
      <c r="D26597" s="33" t="s">
        <v>17</v>
      </c>
      <c r="E26597" s="33" t="s">
        <v>18</v>
      </c>
      <c r="F26597" s="33" t="s">
        <v>19</v>
      </c>
      <c r="G26597" s="33" t="s">
        <v>7780</v>
      </c>
      <c r="H26597" s="35">
        <v>123</v>
      </c>
      <c r="I26597" s="33" t="s">
        <v>51</v>
      </c>
      <c r="J26597" s="42">
        <v>46059</v>
      </c>
      <c r="K26597" s="33" t="s">
        <v>22</v>
      </c>
    </row>
    <row r="26598" spans="1:11">
      <c r="A26598" s="30" t="s">
        <v>58453</v>
      </c>
      <c r="B26598" s="30" t="s">
        <v>58454</v>
      </c>
      <c r="C26598" s="30" t="s">
        <v>379</v>
      </c>
      <c r="D26598" s="30" t="s">
        <v>17</v>
      </c>
      <c r="E26598" s="30" t="s">
        <v>26</v>
      </c>
      <c r="F26598" s="30" t="s">
        <v>27</v>
      </c>
      <c r="G26598" s="30" t="s">
        <v>7780</v>
      </c>
      <c r="H26598" s="32">
        <v>24</v>
      </c>
      <c r="I26598" s="30" t="s">
        <v>51</v>
      </c>
      <c r="J26598" s="41">
        <v>46142</v>
      </c>
      <c r="K26598" s="30" t="s">
        <v>22</v>
      </c>
    </row>
    <row r="26599" spans="1:11">
      <c r="A26599" s="33" t="s">
        <v>58455</v>
      </c>
      <c r="B26599" s="33" t="s">
        <v>58456</v>
      </c>
      <c r="C26599" s="33" t="s">
        <v>570</v>
      </c>
      <c r="D26599" s="33" t="s">
        <v>17</v>
      </c>
      <c r="E26599" s="33" t="s">
        <v>18</v>
      </c>
      <c r="F26599" s="33" t="s">
        <v>19</v>
      </c>
      <c r="G26599" s="33" t="s">
        <v>7780</v>
      </c>
      <c r="H26599" s="35">
        <v>356</v>
      </c>
      <c r="I26599" s="33" t="s">
        <v>51</v>
      </c>
      <c r="J26599" s="42">
        <v>46082</v>
      </c>
      <c r="K26599" s="33" t="s">
        <v>22</v>
      </c>
    </row>
    <row r="26600" spans="1:11">
      <c r="A26600" s="30" t="s">
        <v>58457</v>
      </c>
      <c r="B26600" s="30" t="s">
        <v>58458</v>
      </c>
      <c r="C26600" s="30" t="s">
        <v>58459</v>
      </c>
      <c r="D26600" s="30" t="s">
        <v>17</v>
      </c>
      <c r="E26600" s="30" t="s">
        <v>26</v>
      </c>
      <c r="F26600" s="30" t="s">
        <v>27</v>
      </c>
      <c r="G26600" s="30" t="s">
        <v>140</v>
      </c>
      <c r="H26600" s="32">
        <v>18</v>
      </c>
      <c r="I26600" s="30" t="s">
        <v>51</v>
      </c>
      <c r="J26600" s="41">
        <v>46115</v>
      </c>
      <c r="K26600" s="30" t="s">
        <v>22</v>
      </c>
    </row>
    <row r="26601" spans="1:11">
      <c r="A26601" s="33" t="s">
        <v>58460</v>
      </c>
      <c r="B26601" s="33" t="s">
        <v>58461</v>
      </c>
      <c r="C26601" s="33" t="s">
        <v>58462</v>
      </c>
      <c r="D26601" s="33" t="s">
        <v>17</v>
      </c>
      <c r="E26601" s="33" t="s">
        <v>18</v>
      </c>
      <c r="F26601" s="33" t="s">
        <v>19</v>
      </c>
      <c r="G26601" s="33" t="s">
        <v>140</v>
      </c>
      <c r="H26601" s="35">
        <v>300</v>
      </c>
      <c r="I26601" s="33" t="s">
        <v>51</v>
      </c>
      <c r="J26601" s="42">
        <v>46054</v>
      </c>
      <c r="K26601" s="33" t="s">
        <v>22</v>
      </c>
    </row>
    <row r="26602" spans="1:11">
      <c r="A26602" s="30" t="s">
        <v>58463</v>
      </c>
      <c r="B26602" s="30" t="s">
        <v>58464</v>
      </c>
      <c r="C26602" s="30" t="s">
        <v>58465</v>
      </c>
      <c r="D26602" s="30" t="s">
        <v>17</v>
      </c>
      <c r="E26602" s="30" t="s">
        <v>26</v>
      </c>
      <c r="F26602" s="30" t="s">
        <v>27</v>
      </c>
      <c r="G26602" s="30" t="s">
        <v>140</v>
      </c>
      <c r="H26602" s="32">
        <v>64</v>
      </c>
      <c r="I26602" s="30" t="s">
        <v>51</v>
      </c>
      <c r="J26602" s="41">
        <v>46035</v>
      </c>
      <c r="K26602" s="30" t="s">
        <v>22</v>
      </c>
    </row>
    <row r="26603" spans="1:11">
      <c r="A26603" s="33" t="s">
        <v>58466</v>
      </c>
      <c r="B26603" s="33" t="s">
        <v>58467</v>
      </c>
      <c r="C26603" s="33" t="s">
        <v>891</v>
      </c>
      <c r="D26603" s="33" t="s">
        <v>17</v>
      </c>
      <c r="E26603" s="33" t="s">
        <v>26</v>
      </c>
      <c r="F26603" s="33" t="s">
        <v>27</v>
      </c>
      <c r="G26603" s="33" t="s">
        <v>7780</v>
      </c>
      <c r="H26603" s="35">
        <v>96</v>
      </c>
      <c r="I26603" s="33" t="s">
        <v>51</v>
      </c>
      <c r="J26603" s="42">
        <v>46143</v>
      </c>
      <c r="K26603" s="33" t="s">
        <v>22</v>
      </c>
    </row>
    <row r="26604" spans="1:11">
      <c r="A26604" s="30" t="s">
        <v>58468</v>
      </c>
      <c r="B26604" s="30" t="s">
        <v>58469</v>
      </c>
      <c r="C26604" s="30" t="s">
        <v>58470</v>
      </c>
      <c r="D26604" s="30" t="s">
        <v>17</v>
      </c>
      <c r="E26604" s="30" t="s">
        <v>67</v>
      </c>
      <c r="F26604" s="30" t="s">
        <v>68</v>
      </c>
      <c r="G26604" s="30" t="s">
        <v>140</v>
      </c>
      <c r="H26604" s="32">
        <v>21</v>
      </c>
      <c r="I26604" s="30" t="s">
        <v>51</v>
      </c>
      <c r="J26604" s="41">
        <v>46189</v>
      </c>
      <c r="K26604" s="30" t="s">
        <v>22</v>
      </c>
    </row>
    <row r="26605" spans="1:11">
      <c r="A26605" s="33" t="s">
        <v>58471</v>
      </c>
      <c r="B26605" s="33" t="s">
        <v>58472</v>
      </c>
      <c r="C26605" s="33" t="s">
        <v>109</v>
      </c>
      <c r="D26605" s="33" t="s">
        <v>17</v>
      </c>
      <c r="E26605" s="33" t="s">
        <v>67</v>
      </c>
      <c r="F26605" s="33" t="s">
        <v>68</v>
      </c>
      <c r="G26605" s="33" t="s">
        <v>112</v>
      </c>
      <c r="H26605" s="35">
        <v>0</v>
      </c>
      <c r="I26605" s="33" t="s">
        <v>21</v>
      </c>
      <c r="J26605" s="42">
        <v>46202</v>
      </c>
      <c r="K26605" s="33" t="s">
        <v>22</v>
      </c>
    </row>
    <row r="26606" spans="1:11">
      <c r="A26606" s="30" t="s">
        <v>58473</v>
      </c>
      <c r="B26606" s="30" t="s">
        <v>58474</v>
      </c>
      <c r="C26606" s="30" t="s">
        <v>96</v>
      </c>
      <c r="D26606" s="30" t="s">
        <v>17</v>
      </c>
      <c r="E26606" s="30" t="s">
        <v>26</v>
      </c>
      <c r="F26606" s="30" t="s">
        <v>27</v>
      </c>
      <c r="G26606" s="30" t="s">
        <v>158</v>
      </c>
      <c r="H26606" s="32">
        <v>54</v>
      </c>
      <c r="I26606" s="30" t="s">
        <v>21</v>
      </c>
      <c r="J26606" s="41">
        <v>46057</v>
      </c>
      <c r="K26606" s="30" t="s">
        <v>22</v>
      </c>
    </row>
    <row r="26607" spans="1:11">
      <c r="A26607" s="33" t="s">
        <v>58475</v>
      </c>
      <c r="B26607" s="33" t="s">
        <v>58476</v>
      </c>
      <c r="C26607" s="33" t="s">
        <v>387</v>
      </c>
      <c r="D26607" s="33" t="s">
        <v>17</v>
      </c>
      <c r="E26607" s="33" t="s">
        <v>31</v>
      </c>
      <c r="F26607" s="33" t="s">
        <v>32</v>
      </c>
      <c r="G26607" s="33" t="s">
        <v>7780</v>
      </c>
      <c r="H26607" s="35">
        <v>150</v>
      </c>
      <c r="I26607" s="33" t="s">
        <v>51</v>
      </c>
      <c r="J26607" s="42">
        <v>46203</v>
      </c>
      <c r="K26607" s="33" t="s">
        <v>22</v>
      </c>
    </row>
    <row r="26608" spans="1:11">
      <c r="A26608" s="30" t="s">
        <v>58477</v>
      </c>
      <c r="B26608" s="30" t="s">
        <v>58478</v>
      </c>
      <c r="C26608" s="30" t="s">
        <v>178</v>
      </c>
      <c r="D26608" s="30" t="s">
        <v>17</v>
      </c>
      <c r="E26608" s="30" t="s">
        <v>31</v>
      </c>
      <c r="F26608" s="30" t="s">
        <v>32</v>
      </c>
      <c r="G26608" s="30" t="s">
        <v>140</v>
      </c>
      <c r="H26608" s="32">
        <v>120</v>
      </c>
      <c r="I26608" s="30" t="s">
        <v>51</v>
      </c>
      <c r="J26608" s="41">
        <v>46030</v>
      </c>
      <c r="K26608" s="30" t="s">
        <v>22</v>
      </c>
    </row>
    <row r="26609" spans="1:11">
      <c r="A26609" s="33" t="s">
        <v>58479</v>
      </c>
      <c r="B26609" s="33" t="s">
        <v>58480</v>
      </c>
      <c r="C26609" s="33" t="s">
        <v>3157</v>
      </c>
      <c r="D26609" s="33" t="s">
        <v>17</v>
      </c>
      <c r="E26609" s="33" t="s">
        <v>31</v>
      </c>
      <c r="F26609" s="33" t="s">
        <v>32</v>
      </c>
      <c r="G26609" s="33" t="s">
        <v>7780</v>
      </c>
      <c r="H26609" s="35">
        <v>140</v>
      </c>
      <c r="I26609" s="33" t="s">
        <v>51</v>
      </c>
      <c r="J26609" s="42">
        <v>46182</v>
      </c>
      <c r="K26609" s="33" t="s">
        <v>22</v>
      </c>
    </row>
    <row r="26610" spans="1:11">
      <c r="A26610" s="30" t="s">
        <v>58481</v>
      </c>
      <c r="B26610" s="30" t="s">
        <v>58482</v>
      </c>
      <c r="C26610" s="30" t="s">
        <v>47175</v>
      </c>
      <c r="D26610" s="30" t="s">
        <v>17</v>
      </c>
      <c r="E26610" s="30" t="s">
        <v>26</v>
      </c>
      <c r="F26610" s="30" t="s">
        <v>27</v>
      </c>
      <c r="G26610" s="30" t="s">
        <v>140</v>
      </c>
      <c r="H26610" s="32">
        <v>60</v>
      </c>
      <c r="I26610" s="30" t="s">
        <v>51</v>
      </c>
      <c r="J26610" s="41">
        <v>46198</v>
      </c>
      <c r="K26610" s="30" t="s">
        <v>22</v>
      </c>
    </row>
    <row r="26611" spans="1:11">
      <c r="A26611" s="33" t="s">
        <v>58483</v>
      </c>
      <c r="B26611" s="33" t="s">
        <v>58484</v>
      </c>
      <c r="C26611" s="33" t="s">
        <v>24754</v>
      </c>
      <c r="D26611" s="33" t="s">
        <v>17</v>
      </c>
      <c r="E26611" s="33" t="s">
        <v>18</v>
      </c>
      <c r="F26611" s="33" t="s">
        <v>19</v>
      </c>
      <c r="G26611" s="33" t="s">
        <v>140</v>
      </c>
      <c r="H26611" s="35">
        <v>132</v>
      </c>
      <c r="I26611" s="33" t="s">
        <v>51</v>
      </c>
      <c r="J26611" s="42">
        <v>46112</v>
      </c>
      <c r="K26611" s="33" t="s">
        <v>22</v>
      </c>
    </row>
    <row r="26612" spans="1:11">
      <c r="A26612" s="30" t="s">
        <v>58485</v>
      </c>
      <c r="B26612" s="30" t="s">
        <v>58486</v>
      </c>
      <c r="C26612" s="30" t="s">
        <v>54070</v>
      </c>
      <c r="D26612" s="30" t="s">
        <v>17</v>
      </c>
      <c r="E26612" s="30" t="s">
        <v>212</v>
      </c>
      <c r="F26612" s="30" t="s">
        <v>213</v>
      </c>
      <c r="G26612" s="30" t="s">
        <v>7780</v>
      </c>
      <c r="H26612" s="32">
        <v>160</v>
      </c>
      <c r="I26612" s="30" t="s">
        <v>51</v>
      </c>
      <c r="J26612" s="41">
        <v>46204</v>
      </c>
      <c r="K26612" s="30" t="s">
        <v>22</v>
      </c>
    </row>
    <row r="26613" spans="1:11">
      <c r="A26613" s="33" t="s">
        <v>58487</v>
      </c>
      <c r="B26613" s="33" t="s">
        <v>58488</v>
      </c>
      <c r="C26613" s="33" t="s">
        <v>231</v>
      </c>
      <c r="D26613" s="33" t="s">
        <v>17</v>
      </c>
      <c r="E26613" s="33" t="s">
        <v>26</v>
      </c>
      <c r="F26613" s="33" t="s">
        <v>27</v>
      </c>
      <c r="G26613" s="33" t="s">
        <v>140</v>
      </c>
      <c r="H26613" s="35">
        <v>136</v>
      </c>
      <c r="I26613" s="33" t="s">
        <v>51</v>
      </c>
      <c r="J26613" s="42">
        <v>46162</v>
      </c>
      <c r="K26613" s="33" t="s">
        <v>22</v>
      </c>
    </row>
    <row r="26614" spans="1:11">
      <c r="A26614" s="30" t="s">
        <v>58489</v>
      </c>
      <c r="B26614" s="30" t="s">
        <v>58490</v>
      </c>
      <c r="C26614" s="30" t="s">
        <v>22695</v>
      </c>
      <c r="D26614" s="30" t="s">
        <v>17</v>
      </c>
      <c r="E26614" s="30" t="s">
        <v>212</v>
      </c>
      <c r="F26614" s="30" t="s">
        <v>213</v>
      </c>
      <c r="G26614" s="30" t="s">
        <v>140</v>
      </c>
      <c r="H26614" s="32">
        <v>150</v>
      </c>
      <c r="I26614" s="30" t="s">
        <v>51</v>
      </c>
      <c r="J26614" s="41">
        <v>46134</v>
      </c>
      <c r="K26614" s="30" t="s">
        <v>22</v>
      </c>
    </row>
    <row r="26615" spans="1:11">
      <c r="A26615" s="33" t="s">
        <v>58491</v>
      </c>
      <c r="B26615" s="33" t="s">
        <v>58492</v>
      </c>
      <c r="C26615" s="33" t="s">
        <v>3278</v>
      </c>
      <c r="D26615" s="33" t="s">
        <v>17</v>
      </c>
      <c r="E26615" s="33" t="s">
        <v>31</v>
      </c>
      <c r="F26615" s="33" t="s">
        <v>32</v>
      </c>
      <c r="G26615" s="33" t="s">
        <v>140</v>
      </c>
      <c r="H26615" s="35">
        <v>75</v>
      </c>
      <c r="I26615" s="33" t="s">
        <v>51</v>
      </c>
      <c r="J26615" s="42">
        <v>46176</v>
      </c>
      <c r="K26615" s="33" t="s">
        <v>22</v>
      </c>
    </row>
    <row r="26616" spans="1:11">
      <c r="A26616" s="30" t="s">
        <v>58493</v>
      </c>
      <c r="B26616" s="30" t="s">
        <v>58494</v>
      </c>
      <c r="C26616" s="30" t="s">
        <v>75</v>
      </c>
      <c r="D26616" s="30" t="s">
        <v>17</v>
      </c>
      <c r="E26616" s="30" t="s">
        <v>31</v>
      </c>
      <c r="F26616" s="30" t="s">
        <v>32</v>
      </c>
      <c r="G26616" s="30" t="s">
        <v>140</v>
      </c>
      <c r="H26616" s="32">
        <v>260</v>
      </c>
      <c r="I26616" s="30" t="s">
        <v>51</v>
      </c>
      <c r="J26616" s="41">
        <v>46230</v>
      </c>
      <c r="K26616" s="30" t="s">
        <v>22</v>
      </c>
    </row>
    <row r="26617" spans="1:11">
      <c r="A26617" s="33" t="s">
        <v>58495</v>
      </c>
      <c r="B26617" s="33" t="s">
        <v>58496</v>
      </c>
      <c r="C26617" s="33" t="s">
        <v>10589</v>
      </c>
      <c r="D26617" s="33" t="s">
        <v>17</v>
      </c>
      <c r="E26617" s="33" t="s">
        <v>67</v>
      </c>
      <c r="F26617" s="33" t="s">
        <v>68</v>
      </c>
      <c r="G26617" s="33" t="s">
        <v>140</v>
      </c>
      <c r="H26617" s="35">
        <v>265</v>
      </c>
      <c r="I26617" s="33" t="s">
        <v>51</v>
      </c>
      <c r="J26617" s="42">
        <v>46177</v>
      </c>
      <c r="K26617" s="33" t="s">
        <v>22</v>
      </c>
    </row>
    <row r="26618" spans="1:11">
      <c r="A26618" s="30" t="s">
        <v>58497</v>
      </c>
      <c r="B26618" s="30" t="s">
        <v>58498</v>
      </c>
      <c r="C26618" s="30" t="s">
        <v>40898</v>
      </c>
      <c r="D26618" s="30" t="s">
        <v>17</v>
      </c>
      <c r="E26618" s="30" t="s">
        <v>26</v>
      </c>
      <c r="F26618" s="30" t="s">
        <v>27</v>
      </c>
      <c r="G26618" s="30" t="s">
        <v>140</v>
      </c>
      <c r="H26618" s="32">
        <v>88</v>
      </c>
      <c r="I26618" s="30" t="s">
        <v>51</v>
      </c>
      <c r="J26618" s="41">
        <v>46161</v>
      </c>
      <c r="K26618" s="30" t="s">
        <v>22</v>
      </c>
    </row>
    <row r="26619" spans="1:11">
      <c r="A26619" s="33" t="s">
        <v>58499</v>
      </c>
      <c r="B26619" s="33" t="s">
        <v>58500</v>
      </c>
      <c r="C26619" s="33" t="s">
        <v>11899</v>
      </c>
      <c r="D26619" s="33" t="s">
        <v>17</v>
      </c>
      <c r="E26619" s="33" t="s">
        <v>26</v>
      </c>
      <c r="F26619" s="33" t="s">
        <v>27</v>
      </c>
      <c r="G26619" s="33" t="s">
        <v>7780</v>
      </c>
      <c r="H26619" s="35">
        <v>170</v>
      </c>
      <c r="I26619" s="33" t="s">
        <v>51</v>
      </c>
      <c r="J26619" s="42">
        <v>46204</v>
      </c>
      <c r="K26619" s="33" t="s">
        <v>22</v>
      </c>
    </row>
    <row r="26620" spans="1:11">
      <c r="A26620" s="30" t="s">
        <v>58501</v>
      </c>
      <c r="B26620" s="30" t="s">
        <v>58502</v>
      </c>
      <c r="C26620" s="30" t="s">
        <v>1350</v>
      </c>
      <c r="D26620" s="30" t="s">
        <v>17</v>
      </c>
      <c r="E26620" s="30" t="s">
        <v>26</v>
      </c>
      <c r="F26620" s="30" t="s">
        <v>27</v>
      </c>
      <c r="G26620" s="30" t="s">
        <v>140</v>
      </c>
      <c r="H26620" s="32">
        <v>199</v>
      </c>
      <c r="I26620" s="30" t="s">
        <v>51</v>
      </c>
      <c r="J26620" s="41">
        <v>46175</v>
      </c>
      <c r="K26620" s="30" t="s">
        <v>22</v>
      </c>
    </row>
    <row r="26621" spans="1:11">
      <c r="A26621" s="33" t="s">
        <v>58503</v>
      </c>
      <c r="B26621" s="33" t="s">
        <v>58504</v>
      </c>
      <c r="C26621" s="33" t="s">
        <v>15741</v>
      </c>
      <c r="D26621" s="33" t="s">
        <v>17</v>
      </c>
      <c r="E26621" s="33" t="s">
        <v>18</v>
      </c>
      <c r="F26621" s="33" t="s">
        <v>19</v>
      </c>
      <c r="G26621" s="33" t="s">
        <v>7780</v>
      </c>
      <c r="H26621" s="35">
        <v>210</v>
      </c>
      <c r="I26621" s="33" t="s">
        <v>51</v>
      </c>
      <c r="J26621" s="42">
        <v>46063</v>
      </c>
      <c r="K26621" s="33" t="s">
        <v>22</v>
      </c>
    </row>
    <row r="26622" spans="1:11">
      <c r="A26622" s="30" t="s">
        <v>58505</v>
      </c>
      <c r="B26622" s="30" t="s">
        <v>58506</v>
      </c>
      <c r="C26622" s="30" t="s">
        <v>109</v>
      </c>
      <c r="D26622" s="30" t="s">
        <v>17</v>
      </c>
      <c r="E26622" s="30" t="s">
        <v>18</v>
      </c>
      <c r="F26622" s="30" t="s">
        <v>19</v>
      </c>
      <c r="G26622" s="30" t="s">
        <v>140</v>
      </c>
      <c r="H26622" s="32">
        <v>648</v>
      </c>
      <c r="I26622" s="30" t="s">
        <v>51</v>
      </c>
      <c r="J26622" s="41">
        <v>46128</v>
      </c>
      <c r="K26622" s="30" t="s">
        <v>22</v>
      </c>
    </row>
    <row r="26623" spans="1:11">
      <c r="A26623" s="33" t="s">
        <v>58507</v>
      </c>
      <c r="B26623" s="33" t="s">
        <v>58508</v>
      </c>
      <c r="C26623" s="33" t="s">
        <v>18296</v>
      </c>
      <c r="D26623" s="33" t="s">
        <v>17</v>
      </c>
      <c r="E26623" s="33" t="s">
        <v>31</v>
      </c>
      <c r="F26623" s="33" t="s">
        <v>32</v>
      </c>
      <c r="G26623" s="33" t="s">
        <v>140</v>
      </c>
      <c r="H26623" s="35">
        <v>80</v>
      </c>
      <c r="I26623" s="33" t="s">
        <v>51</v>
      </c>
      <c r="J26623" s="42">
        <v>46209</v>
      </c>
      <c r="K26623" s="33" t="s">
        <v>22</v>
      </c>
    </row>
    <row r="26624" spans="1:11">
      <c r="A26624" s="30" t="s">
        <v>58509</v>
      </c>
      <c r="B26624" s="30" t="s">
        <v>58510</v>
      </c>
      <c r="C26624" s="30" t="s">
        <v>42561</v>
      </c>
      <c r="D26624" s="30" t="s">
        <v>17</v>
      </c>
      <c r="E26624" s="30" t="s">
        <v>26</v>
      </c>
      <c r="F26624" s="30" t="s">
        <v>27</v>
      </c>
      <c r="G26624" s="30" t="s">
        <v>7780</v>
      </c>
      <c r="H26624" s="32">
        <v>198</v>
      </c>
      <c r="I26624" s="30" t="s">
        <v>51</v>
      </c>
      <c r="J26624" s="41">
        <v>46090</v>
      </c>
      <c r="K26624" s="30" t="s">
        <v>22</v>
      </c>
    </row>
    <row r="26625" spans="1:11">
      <c r="A26625" s="33" t="s">
        <v>58511</v>
      </c>
      <c r="B26625" s="33" t="s">
        <v>58512</v>
      </c>
      <c r="C26625" s="33" t="s">
        <v>190</v>
      </c>
      <c r="D26625" s="33" t="s">
        <v>17</v>
      </c>
      <c r="E26625" s="33" t="s">
        <v>26</v>
      </c>
      <c r="F26625" s="33" t="s">
        <v>27</v>
      </c>
      <c r="G26625" s="33" t="s">
        <v>69</v>
      </c>
      <c r="H26625" s="35">
        <v>28</v>
      </c>
      <c r="I26625" s="33" t="s">
        <v>51</v>
      </c>
      <c r="J26625" s="42">
        <v>46036</v>
      </c>
      <c r="K26625" s="33" t="s">
        <v>22</v>
      </c>
    </row>
    <row r="26626" spans="1:11">
      <c r="A26626" s="30" t="s">
        <v>58513</v>
      </c>
      <c r="B26626" s="30" t="s">
        <v>58514</v>
      </c>
      <c r="C26626" s="30" t="s">
        <v>13577</v>
      </c>
      <c r="D26626" s="30" t="s">
        <v>17</v>
      </c>
      <c r="E26626" s="30" t="s">
        <v>31</v>
      </c>
      <c r="F26626" s="30" t="s">
        <v>32</v>
      </c>
      <c r="G26626" s="30" t="s">
        <v>140</v>
      </c>
      <c r="H26626" s="32">
        <v>264</v>
      </c>
      <c r="I26626" s="30" t="s">
        <v>51</v>
      </c>
      <c r="J26626" s="41">
        <v>46204</v>
      </c>
      <c r="K26626" s="30" t="s">
        <v>22</v>
      </c>
    </row>
    <row r="26627" spans="1:11">
      <c r="A26627" s="33" t="s">
        <v>58515</v>
      </c>
      <c r="B26627" s="33" t="s">
        <v>58516</v>
      </c>
      <c r="C26627" s="33" t="s">
        <v>53104</v>
      </c>
      <c r="D26627" s="33" t="s">
        <v>17</v>
      </c>
      <c r="E26627" s="33" t="s">
        <v>26</v>
      </c>
      <c r="F26627" s="33" t="s">
        <v>27</v>
      </c>
      <c r="G26627" s="33" t="s">
        <v>158</v>
      </c>
      <c r="H26627" s="35">
        <v>12</v>
      </c>
      <c r="I26627" s="33" t="s">
        <v>51</v>
      </c>
      <c r="J26627" s="42">
        <v>46198</v>
      </c>
      <c r="K26627" s="33" t="s">
        <v>22</v>
      </c>
    </row>
    <row r="26628" spans="1:11">
      <c r="A26628" s="30" t="s">
        <v>58517</v>
      </c>
      <c r="B26628" s="30" t="s">
        <v>58518</v>
      </c>
      <c r="C26628" s="30" t="s">
        <v>14457</v>
      </c>
      <c r="D26628" s="30" t="s">
        <v>17</v>
      </c>
      <c r="E26628" s="30" t="s">
        <v>67</v>
      </c>
      <c r="F26628" s="30" t="s">
        <v>68</v>
      </c>
      <c r="G26628" s="30" t="s">
        <v>140</v>
      </c>
      <c r="H26628" s="32">
        <v>370</v>
      </c>
      <c r="I26628" s="30" t="s">
        <v>51</v>
      </c>
      <c r="J26628" s="41">
        <v>46052</v>
      </c>
      <c r="K26628" s="30" t="s">
        <v>22</v>
      </c>
    </row>
    <row r="26629" spans="1:11">
      <c r="A26629" s="33" t="s">
        <v>58519</v>
      </c>
      <c r="B26629" s="33" t="s">
        <v>58520</v>
      </c>
      <c r="C26629" s="33" t="s">
        <v>190</v>
      </c>
      <c r="D26629" s="33" t="s">
        <v>17</v>
      </c>
      <c r="E26629" s="33" t="s">
        <v>212</v>
      </c>
      <c r="F26629" s="33" t="s">
        <v>213</v>
      </c>
      <c r="G26629" s="33" t="s">
        <v>140</v>
      </c>
      <c r="H26629" s="35">
        <v>100</v>
      </c>
      <c r="I26629" s="33" t="s">
        <v>51</v>
      </c>
      <c r="J26629" s="42">
        <v>46168</v>
      </c>
      <c r="K26629" s="33" t="s">
        <v>22</v>
      </c>
    </row>
    <row r="26630" spans="1:11">
      <c r="A26630" s="30" t="s">
        <v>58521</v>
      </c>
      <c r="B26630" s="30" t="s">
        <v>58522</v>
      </c>
      <c r="C26630" s="30" t="s">
        <v>9073</v>
      </c>
      <c r="D26630" s="30" t="s">
        <v>17</v>
      </c>
      <c r="E26630" s="30" t="s">
        <v>31</v>
      </c>
      <c r="F26630" s="30" t="s">
        <v>32</v>
      </c>
      <c r="G26630" s="30" t="s">
        <v>140</v>
      </c>
      <c r="H26630" s="32">
        <v>15</v>
      </c>
      <c r="I26630" s="30" t="s">
        <v>51</v>
      </c>
      <c r="J26630" s="41">
        <v>46175</v>
      </c>
      <c r="K26630" s="30" t="s">
        <v>22</v>
      </c>
    </row>
    <row r="26631" spans="1:11">
      <c r="A26631" s="33" t="s">
        <v>58523</v>
      </c>
      <c r="B26631" s="33" t="s">
        <v>58524</v>
      </c>
      <c r="C26631" s="33" t="s">
        <v>10028</v>
      </c>
      <c r="D26631" s="33" t="s">
        <v>17</v>
      </c>
      <c r="E26631" s="33" t="s">
        <v>18</v>
      </c>
      <c r="F26631" s="33" t="s">
        <v>19</v>
      </c>
      <c r="G26631" s="33" t="s">
        <v>140</v>
      </c>
      <c r="H26631" s="35">
        <v>176</v>
      </c>
      <c r="I26631" s="33" t="s">
        <v>51</v>
      </c>
      <c r="J26631" s="42">
        <v>46134</v>
      </c>
      <c r="K26631" s="33" t="s">
        <v>22</v>
      </c>
    </row>
    <row r="26632" spans="1:11">
      <c r="A26632" s="30" t="s">
        <v>58525</v>
      </c>
      <c r="B26632" s="30" t="s">
        <v>58526</v>
      </c>
      <c r="C26632" s="30" t="s">
        <v>399</v>
      </c>
      <c r="D26632" s="30" t="s">
        <v>17</v>
      </c>
      <c r="E26632" s="30" t="s">
        <v>26</v>
      </c>
      <c r="F26632" s="30" t="s">
        <v>27</v>
      </c>
      <c r="G26632" s="30" t="s">
        <v>7780</v>
      </c>
      <c r="H26632" s="32">
        <v>8</v>
      </c>
      <c r="I26632" s="30" t="s">
        <v>51</v>
      </c>
      <c r="J26632" s="41">
        <v>46101</v>
      </c>
      <c r="K26632" s="30" t="s">
        <v>22</v>
      </c>
    </row>
    <row r="26633" spans="1:11">
      <c r="A26633" s="33" t="s">
        <v>58527</v>
      </c>
      <c r="B26633" s="33" t="s">
        <v>58528</v>
      </c>
      <c r="C26633" s="33" t="s">
        <v>13508</v>
      </c>
      <c r="D26633" s="33" t="s">
        <v>17</v>
      </c>
      <c r="E26633" s="33" t="s">
        <v>67</v>
      </c>
      <c r="F26633" s="33" t="s">
        <v>68</v>
      </c>
      <c r="G26633" s="33" t="s">
        <v>140</v>
      </c>
      <c r="H26633" s="35">
        <v>40</v>
      </c>
      <c r="I26633" s="33" t="s">
        <v>51</v>
      </c>
      <c r="J26633" s="42">
        <v>46128</v>
      </c>
      <c r="K26633" s="33" t="s">
        <v>22</v>
      </c>
    </row>
    <row r="26634" spans="1:11">
      <c r="A26634" s="30" t="s">
        <v>58529</v>
      </c>
      <c r="B26634" s="30" t="s">
        <v>58530</v>
      </c>
      <c r="C26634" s="30" t="s">
        <v>58531</v>
      </c>
      <c r="D26634" s="30" t="s">
        <v>17</v>
      </c>
      <c r="E26634" s="30" t="s">
        <v>330</v>
      </c>
      <c r="F26634" s="30" t="s">
        <v>331</v>
      </c>
      <c r="G26634" s="30" t="s">
        <v>140</v>
      </c>
      <c r="H26634" s="32">
        <v>10</v>
      </c>
      <c r="I26634" s="30" t="s">
        <v>51</v>
      </c>
      <c r="J26634" s="41">
        <v>46027</v>
      </c>
      <c r="K26634" s="30" t="s">
        <v>22</v>
      </c>
    </row>
    <row r="26635" spans="1:11">
      <c r="A26635" s="33" t="s">
        <v>58532</v>
      </c>
      <c r="B26635" s="33" t="s">
        <v>58533</v>
      </c>
      <c r="C26635" s="33" t="s">
        <v>27922</v>
      </c>
      <c r="D26635" s="33" t="s">
        <v>17</v>
      </c>
      <c r="E26635" s="33" t="s">
        <v>31</v>
      </c>
      <c r="F26635" s="33" t="s">
        <v>32</v>
      </c>
      <c r="G26635" s="33" t="s">
        <v>140</v>
      </c>
      <c r="H26635" s="35">
        <v>60</v>
      </c>
      <c r="I26635" s="33" t="s">
        <v>51</v>
      </c>
      <c r="J26635" s="42">
        <v>46142</v>
      </c>
      <c r="K26635" s="33" t="s">
        <v>22</v>
      </c>
    </row>
    <row r="26636" spans="1:11">
      <c r="A26636" s="30" t="s">
        <v>58534</v>
      </c>
      <c r="B26636" s="30" t="s">
        <v>58535</v>
      </c>
      <c r="C26636" s="30" t="s">
        <v>647</v>
      </c>
      <c r="D26636" s="30" t="s">
        <v>17</v>
      </c>
      <c r="E26636" s="30" t="s">
        <v>26</v>
      </c>
      <c r="F26636" s="30" t="s">
        <v>27</v>
      </c>
      <c r="G26636" s="30" t="s">
        <v>158</v>
      </c>
      <c r="H26636" s="32">
        <v>14</v>
      </c>
      <c r="I26636" s="30" t="s">
        <v>51</v>
      </c>
      <c r="J26636" s="41">
        <v>46164</v>
      </c>
      <c r="K26636" s="30" t="s">
        <v>22</v>
      </c>
    </row>
    <row r="26637" spans="1:11">
      <c r="A26637" s="33" t="s">
        <v>58536</v>
      </c>
      <c r="B26637" s="33" t="s">
        <v>58537</v>
      </c>
      <c r="C26637" s="33" t="s">
        <v>16391</v>
      </c>
      <c r="D26637" s="33" t="s">
        <v>17</v>
      </c>
      <c r="E26637" s="33" t="s">
        <v>18</v>
      </c>
      <c r="F26637" s="33" t="s">
        <v>19</v>
      </c>
      <c r="G26637" s="33" t="s">
        <v>7780</v>
      </c>
      <c r="H26637" s="35">
        <v>180</v>
      </c>
      <c r="I26637" s="33" t="s">
        <v>51</v>
      </c>
      <c r="J26637" s="42">
        <v>46113</v>
      </c>
      <c r="K26637" s="33" t="s">
        <v>22</v>
      </c>
    </row>
    <row r="26638" spans="1:11">
      <c r="A26638" s="30" t="s">
        <v>58538</v>
      </c>
      <c r="B26638" s="30" t="s">
        <v>58539</v>
      </c>
      <c r="C26638" s="30" t="s">
        <v>42425</v>
      </c>
      <c r="D26638" s="30" t="s">
        <v>17</v>
      </c>
      <c r="E26638" s="30" t="s">
        <v>31</v>
      </c>
      <c r="F26638" s="30" t="s">
        <v>32</v>
      </c>
      <c r="G26638" s="30" t="s">
        <v>7780</v>
      </c>
      <c r="H26638" s="32">
        <v>12</v>
      </c>
      <c r="I26638" s="30" t="s">
        <v>51</v>
      </c>
      <c r="J26638" s="41">
        <v>46204</v>
      </c>
      <c r="K26638" s="30" t="s">
        <v>22</v>
      </c>
    </row>
    <row r="26639" spans="1:11">
      <c r="A26639" s="33" t="s">
        <v>58540</v>
      </c>
      <c r="B26639" s="33" t="s">
        <v>58541</v>
      </c>
      <c r="C26639" s="33" t="s">
        <v>36231</v>
      </c>
      <c r="D26639" s="33" t="s">
        <v>17</v>
      </c>
      <c r="E26639" s="33" t="s">
        <v>26</v>
      </c>
      <c r="F26639" s="33" t="s">
        <v>27</v>
      </c>
      <c r="G26639" s="33" t="s">
        <v>140</v>
      </c>
      <c r="H26639" s="35">
        <v>40</v>
      </c>
      <c r="I26639" s="33" t="s">
        <v>51</v>
      </c>
      <c r="J26639" s="42">
        <v>46125</v>
      </c>
      <c r="K26639" s="33" t="s">
        <v>22</v>
      </c>
    </row>
    <row r="26640" spans="1:11">
      <c r="A26640" s="30" t="s">
        <v>58542</v>
      </c>
      <c r="B26640" s="30" t="s">
        <v>58543</v>
      </c>
      <c r="C26640" s="30" t="s">
        <v>157</v>
      </c>
      <c r="D26640" s="30" t="s">
        <v>17</v>
      </c>
      <c r="E26640" s="30" t="s">
        <v>31</v>
      </c>
      <c r="F26640" s="30" t="s">
        <v>32</v>
      </c>
      <c r="G26640" s="30" t="s">
        <v>140</v>
      </c>
      <c r="H26640" s="32">
        <v>9</v>
      </c>
      <c r="I26640" s="30" t="s">
        <v>51</v>
      </c>
      <c r="J26640" s="41">
        <v>46217</v>
      </c>
      <c r="K26640" s="30" t="s">
        <v>22</v>
      </c>
    </row>
    <row r="26641" spans="1:11">
      <c r="A26641" s="33" t="s">
        <v>58544</v>
      </c>
      <c r="B26641" s="33" t="s">
        <v>58545</v>
      </c>
      <c r="C26641" s="33" t="s">
        <v>190</v>
      </c>
      <c r="D26641" s="33" t="s">
        <v>17</v>
      </c>
      <c r="E26641" s="33" t="s">
        <v>18</v>
      </c>
      <c r="F26641" s="33" t="s">
        <v>19</v>
      </c>
      <c r="G26641" s="33" t="s">
        <v>140</v>
      </c>
      <c r="H26641" s="35">
        <v>800</v>
      </c>
      <c r="I26641" s="33" t="s">
        <v>51</v>
      </c>
      <c r="J26641" s="42">
        <v>46209</v>
      </c>
      <c r="K26641" s="33" t="s">
        <v>22</v>
      </c>
    </row>
    <row r="26642" spans="1:11">
      <c r="A26642" s="30" t="s">
        <v>58546</v>
      </c>
      <c r="B26642" s="30" t="s">
        <v>58547</v>
      </c>
      <c r="C26642" s="30" t="s">
        <v>99</v>
      </c>
      <c r="D26642" s="30" t="s">
        <v>17</v>
      </c>
      <c r="E26642" s="30" t="s">
        <v>26</v>
      </c>
      <c r="F26642" s="30" t="s">
        <v>27</v>
      </c>
      <c r="G26642" s="30" t="s">
        <v>7780</v>
      </c>
      <c r="H26642" s="32">
        <v>120</v>
      </c>
      <c r="I26642" s="30" t="s">
        <v>51</v>
      </c>
      <c r="J26642" s="41">
        <v>46224</v>
      </c>
      <c r="K26642" s="30" t="s">
        <v>22</v>
      </c>
    </row>
    <row r="26643" spans="1:11">
      <c r="A26643" s="33" t="s">
        <v>58548</v>
      </c>
      <c r="B26643" s="33" t="s">
        <v>58549</v>
      </c>
      <c r="C26643" s="33" t="s">
        <v>19939</v>
      </c>
      <c r="D26643" s="33" t="s">
        <v>17</v>
      </c>
      <c r="E26643" s="33" t="s">
        <v>330</v>
      </c>
      <c r="F26643" s="33" t="s">
        <v>331</v>
      </c>
      <c r="G26643" s="33" t="s">
        <v>7780</v>
      </c>
      <c r="H26643" s="35">
        <v>12</v>
      </c>
      <c r="I26643" s="33" t="s">
        <v>51</v>
      </c>
      <c r="J26643" s="42">
        <v>46068</v>
      </c>
      <c r="K26643" s="33" t="s">
        <v>22</v>
      </c>
    </row>
    <row r="26644" spans="1:11">
      <c r="A26644" s="30" t="s">
        <v>58550</v>
      </c>
      <c r="B26644" s="30" t="s">
        <v>58551</v>
      </c>
      <c r="C26644" s="30" t="s">
        <v>193</v>
      </c>
      <c r="D26644" s="30" t="s">
        <v>17</v>
      </c>
      <c r="E26644" s="30" t="s">
        <v>26</v>
      </c>
      <c r="F26644" s="30" t="s">
        <v>27</v>
      </c>
      <c r="G26644" s="30" t="s">
        <v>140</v>
      </c>
      <c r="H26644" s="32">
        <v>100</v>
      </c>
      <c r="I26644" s="30" t="s">
        <v>51</v>
      </c>
      <c r="J26644" s="41">
        <v>46141</v>
      </c>
      <c r="K26644" s="30" t="s">
        <v>22</v>
      </c>
    </row>
    <row r="26645" spans="1:11">
      <c r="A26645" s="33" t="s">
        <v>58552</v>
      </c>
      <c r="B26645" s="33" t="s">
        <v>58553</v>
      </c>
      <c r="C26645" s="33" t="s">
        <v>58554</v>
      </c>
      <c r="D26645" s="33" t="s">
        <v>17</v>
      </c>
      <c r="E26645" s="33" t="s">
        <v>67</v>
      </c>
      <c r="F26645" s="33" t="s">
        <v>68</v>
      </c>
      <c r="G26645" s="33" t="s">
        <v>140</v>
      </c>
      <c r="H26645" s="35">
        <v>10</v>
      </c>
      <c r="I26645" s="33" t="s">
        <v>51</v>
      </c>
      <c r="J26645" s="42">
        <v>46204</v>
      </c>
      <c r="K26645" s="33" t="s">
        <v>22</v>
      </c>
    </row>
    <row r="26646" spans="1:11">
      <c r="A26646" s="30" t="s">
        <v>58555</v>
      </c>
      <c r="B26646" s="30" t="s">
        <v>58556</v>
      </c>
      <c r="C26646" s="30" t="s">
        <v>231</v>
      </c>
      <c r="D26646" s="30" t="s">
        <v>17</v>
      </c>
      <c r="E26646" s="30" t="s">
        <v>26</v>
      </c>
      <c r="F26646" s="30" t="s">
        <v>27</v>
      </c>
      <c r="G26646" s="30" t="s">
        <v>20</v>
      </c>
      <c r="H26646" s="32">
        <v>14</v>
      </c>
      <c r="I26646" s="30" t="s">
        <v>21</v>
      </c>
      <c r="J26646" s="41">
        <v>46062</v>
      </c>
      <c r="K26646" s="30" t="s">
        <v>22</v>
      </c>
    </row>
    <row r="26647" spans="1:11">
      <c r="A26647" s="33" t="s">
        <v>58557</v>
      </c>
      <c r="B26647" s="33" t="s">
        <v>58558</v>
      </c>
      <c r="C26647" s="33" t="s">
        <v>17650</v>
      </c>
      <c r="D26647" s="33" t="s">
        <v>17</v>
      </c>
      <c r="E26647" s="33" t="s">
        <v>31</v>
      </c>
      <c r="F26647" s="33" t="s">
        <v>32</v>
      </c>
      <c r="G26647" s="33" t="s">
        <v>2613</v>
      </c>
      <c r="H26647" s="35">
        <v>400</v>
      </c>
      <c r="I26647" s="33" t="s">
        <v>51</v>
      </c>
      <c r="J26647" s="42">
        <v>46178</v>
      </c>
      <c r="K26647" s="33" t="s">
        <v>22</v>
      </c>
    </row>
    <row r="26648" spans="1:11">
      <c r="A26648" s="30" t="s">
        <v>58559</v>
      </c>
      <c r="B26648" s="30" t="s">
        <v>58560</v>
      </c>
      <c r="C26648" s="30" t="s">
        <v>53729</v>
      </c>
      <c r="D26648" s="30" t="s">
        <v>17</v>
      </c>
      <c r="E26648" s="30" t="s">
        <v>26</v>
      </c>
      <c r="F26648" s="30" t="s">
        <v>27</v>
      </c>
      <c r="G26648" s="30" t="s">
        <v>140</v>
      </c>
      <c r="H26648" s="32">
        <v>36</v>
      </c>
      <c r="I26648" s="30" t="s">
        <v>51</v>
      </c>
      <c r="J26648" s="41">
        <v>46161</v>
      </c>
      <c r="K26648" s="30" t="s">
        <v>22</v>
      </c>
    </row>
    <row r="26649" spans="1:11">
      <c r="A26649" s="33" t="s">
        <v>58561</v>
      </c>
      <c r="B26649" s="33" t="s">
        <v>58562</v>
      </c>
      <c r="C26649" s="33" t="s">
        <v>12068</v>
      </c>
      <c r="D26649" s="33" t="s">
        <v>17</v>
      </c>
      <c r="E26649" s="33" t="s">
        <v>67</v>
      </c>
      <c r="F26649" s="33" t="s">
        <v>68</v>
      </c>
      <c r="G26649" s="33" t="s">
        <v>7780</v>
      </c>
      <c r="H26649" s="35">
        <v>36</v>
      </c>
      <c r="I26649" s="33" t="s">
        <v>51</v>
      </c>
      <c r="J26649" s="42">
        <v>46023</v>
      </c>
      <c r="K26649" s="33" t="s">
        <v>22</v>
      </c>
    </row>
    <row r="26650" spans="1:11">
      <c r="A26650" s="30" t="s">
        <v>58563</v>
      </c>
      <c r="B26650" s="30" t="s">
        <v>58564</v>
      </c>
      <c r="C26650" s="30" t="s">
        <v>2978</v>
      </c>
      <c r="D26650" s="30" t="s">
        <v>17</v>
      </c>
      <c r="E26650" s="30" t="s">
        <v>67</v>
      </c>
      <c r="F26650" s="30" t="s">
        <v>68</v>
      </c>
      <c r="G26650" s="30" t="s">
        <v>7780</v>
      </c>
      <c r="H26650" s="32">
        <v>120</v>
      </c>
      <c r="I26650" s="30" t="s">
        <v>51</v>
      </c>
      <c r="J26650" s="41">
        <v>46065</v>
      </c>
      <c r="K26650" s="30" t="s">
        <v>22</v>
      </c>
    </row>
    <row r="26651" spans="1:11">
      <c r="A26651" s="33" t="s">
        <v>58565</v>
      </c>
      <c r="B26651" s="33" t="s">
        <v>58566</v>
      </c>
      <c r="C26651" s="33" t="s">
        <v>57471</v>
      </c>
      <c r="D26651" s="33" t="s">
        <v>17</v>
      </c>
      <c r="E26651" s="33" t="s">
        <v>26</v>
      </c>
      <c r="F26651" s="33" t="s">
        <v>27</v>
      </c>
      <c r="G26651" s="33" t="s">
        <v>7780</v>
      </c>
      <c r="H26651" s="35">
        <v>24</v>
      </c>
      <c r="I26651" s="33" t="s">
        <v>51</v>
      </c>
      <c r="J26651" s="42">
        <v>46113</v>
      </c>
      <c r="K26651" s="33" t="s">
        <v>22</v>
      </c>
    </row>
    <row r="26652" spans="1:11">
      <c r="A26652" s="30" t="s">
        <v>58567</v>
      </c>
      <c r="B26652" s="30" t="s">
        <v>58568</v>
      </c>
      <c r="C26652" s="30" t="s">
        <v>3264</v>
      </c>
      <c r="D26652" s="30" t="s">
        <v>17</v>
      </c>
      <c r="E26652" s="30" t="s">
        <v>18</v>
      </c>
      <c r="F26652" s="30" t="s">
        <v>19</v>
      </c>
      <c r="G26652" s="30" t="s">
        <v>140</v>
      </c>
      <c r="H26652" s="32">
        <v>360</v>
      </c>
      <c r="I26652" s="30" t="s">
        <v>51</v>
      </c>
      <c r="J26652" s="41">
        <v>46183</v>
      </c>
      <c r="K26652" s="30" t="s">
        <v>22</v>
      </c>
    </row>
    <row r="26653" spans="1:11">
      <c r="A26653" s="33" t="s">
        <v>58569</v>
      </c>
      <c r="B26653" s="33" t="s">
        <v>58570</v>
      </c>
      <c r="C26653" s="33" t="s">
        <v>58571</v>
      </c>
      <c r="D26653" s="33" t="s">
        <v>17</v>
      </c>
      <c r="E26653" s="33" t="s">
        <v>67</v>
      </c>
      <c r="F26653" s="33" t="s">
        <v>68</v>
      </c>
      <c r="G26653" s="33" t="s">
        <v>140</v>
      </c>
      <c r="H26653" s="35">
        <v>164</v>
      </c>
      <c r="I26653" s="33" t="s">
        <v>51</v>
      </c>
      <c r="J26653" s="42">
        <v>46204</v>
      </c>
      <c r="K26653" s="33" t="s">
        <v>22</v>
      </c>
    </row>
    <row r="26654" spans="1:11">
      <c r="A26654" s="30" t="s">
        <v>58572</v>
      </c>
      <c r="B26654" s="30" t="s">
        <v>58573</v>
      </c>
      <c r="C26654" s="30" t="s">
        <v>6212</v>
      </c>
      <c r="D26654" s="30" t="s">
        <v>17</v>
      </c>
      <c r="E26654" s="30" t="s">
        <v>26</v>
      </c>
      <c r="F26654" s="30" t="s">
        <v>27</v>
      </c>
      <c r="G26654" s="30" t="s">
        <v>140</v>
      </c>
      <c r="H26654" s="32">
        <v>14</v>
      </c>
      <c r="I26654" s="30" t="s">
        <v>51</v>
      </c>
      <c r="J26654" s="41">
        <v>46057</v>
      </c>
      <c r="K26654" s="30" t="s">
        <v>22</v>
      </c>
    </row>
    <row r="26655" spans="1:11">
      <c r="A26655" s="33" t="s">
        <v>58574</v>
      </c>
      <c r="B26655" s="33" t="s">
        <v>58575</v>
      </c>
      <c r="C26655" s="33" t="s">
        <v>2508</v>
      </c>
      <c r="D26655" s="33" t="s">
        <v>17</v>
      </c>
      <c r="E26655" s="33" t="s">
        <v>18</v>
      </c>
      <c r="F26655" s="33" t="s">
        <v>19</v>
      </c>
      <c r="G26655" s="33" t="s">
        <v>140</v>
      </c>
      <c r="H26655" s="35">
        <v>692</v>
      </c>
      <c r="I26655" s="33" t="s">
        <v>51</v>
      </c>
      <c r="J26655" s="42">
        <v>46035</v>
      </c>
      <c r="K26655" s="33" t="s">
        <v>22</v>
      </c>
    </row>
    <row r="26656" spans="1:11">
      <c r="A26656" s="30" t="s">
        <v>58576</v>
      </c>
      <c r="B26656" s="30" t="s">
        <v>58577</v>
      </c>
      <c r="C26656" s="30" t="s">
        <v>96</v>
      </c>
      <c r="D26656" s="30" t="s">
        <v>17</v>
      </c>
      <c r="E26656" s="30" t="s">
        <v>26</v>
      </c>
      <c r="F26656" s="30" t="s">
        <v>27</v>
      </c>
      <c r="G26656" s="30" t="s">
        <v>7780</v>
      </c>
      <c r="H26656" s="32">
        <v>57</v>
      </c>
      <c r="I26656" s="30" t="s">
        <v>51</v>
      </c>
      <c r="J26656" s="41">
        <v>46226</v>
      </c>
      <c r="K26656" s="30" t="s">
        <v>22</v>
      </c>
    </row>
    <row r="26657" spans="1:11">
      <c r="A26657" s="33" t="s">
        <v>58578</v>
      </c>
      <c r="B26657" s="33" t="s">
        <v>58579</v>
      </c>
      <c r="C26657" s="33" t="s">
        <v>36356</v>
      </c>
      <c r="D26657" s="33" t="s">
        <v>17</v>
      </c>
      <c r="E26657" s="33" t="s">
        <v>31</v>
      </c>
      <c r="F26657" s="33" t="s">
        <v>32</v>
      </c>
      <c r="G26657" s="33" t="s">
        <v>20</v>
      </c>
      <c r="H26657" s="35">
        <v>78</v>
      </c>
      <c r="I26657" s="33" t="s">
        <v>21</v>
      </c>
      <c r="J26657" s="42">
        <v>46041</v>
      </c>
      <c r="K26657" s="33" t="s">
        <v>22</v>
      </c>
    </row>
    <row r="26658" spans="1:11">
      <c r="A26658" s="30" t="s">
        <v>58580</v>
      </c>
      <c r="B26658" s="30" t="s">
        <v>58581</v>
      </c>
      <c r="C26658" s="30" t="s">
        <v>34310</v>
      </c>
      <c r="D26658" s="30" t="s">
        <v>17</v>
      </c>
      <c r="E26658" s="30" t="s">
        <v>31</v>
      </c>
      <c r="F26658" s="30" t="s">
        <v>32</v>
      </c>
      <c r="G26658" s="30" t="s">
        <v>140</v>
      </c>
      <c r="H26658" s="32">
        <v>10</v>
      </c>
      <c r="I26658" s="30" t="s">
        <v>51</v>
      </c>
      <c r="J26658" s="41">
        <v>46226</v>
      </c>
      <c r="K26658" s="30" t="s">
        <v>22</v>
      </c>
    </row>
    <row r="26659" spans="1:11">
      <c r="A26659" s="33" t="s">
        <v>58582</v>
      </c>
      <c r="B26659" s="33" t="s">
        <v>58583</v>
      </c>
      <c r="C26659" s="33" t="s">
        <v>96</v>
      </c>
      <c r="D26659" s="33" t="s">
        <v>17</v>
      </c>
      <c r="E26659" s="33" t="s">
        <v>18</v>
      </c>
      <c r="F26659" s="33" t="s">
        <v>19</v>
      </c>
      <c r="G26659" s="33" t="s">
        <v>140</v>
      </c>
      <c r="H26659" s="35">
        <v>540</v>
      </c>
      <c r="I26659" s="33" t="s">
        <v>51</v>
      </c>
      <c r="J26659" s="42">
        <v>46195</v>
      </c>
      <c r="K26659" s="33" t="s">
        <v>22</v>
      </c>
    </row>
    <row r="26660" spans="1:11">
      <c r="A26660" s="30" t="s">
        <v>58584</v>
      </c>
      <c r="B26660" s="30" t="s">
        <v>58585</v>
      </c>
      <c r="C26660" s="30" t="s">
        <v>20465</v>
      </c>
      <c r="D26660" s="30" t="s">
        <v>17</v>
      </c>
      <c r="E26660" s="30" t="s">
        <v>67</v>
      </c>
      <c r="F26660" s="30" t="s">
        <v>68</v>
      </c>
      <c r="G26660" s="30" t="s">
        <v>140</v>
      </c>
      <c r="H26660" s="32">
        <v>34</v>
      </c>
      <c r="I26660" s="30" t="s">
        <v>51</v>
      </c>
      <c r="J26660" s="41">
        <v>46146</v>
      </c>
      <c r="K26660" s="30" t="s">
        <v>22</v>
      </c>
    </row>
    <row r="26661" spans="1:11">
      <c r="A26661" s="33" t="s">
        <v>58586</v>
      </c>
      <c r="B26661" s="33" t="s">
        <v>58587</v>
      </c>
      <c r="C26661" s="33" t="s">
        <v>1165</v>
      </c>
      <c r="D26661" s="33" t="s">
        <v>17</v>
      </c>
      <c r="E26661" s="33" t="s">
        <v>26</v>
      </c>
      <c r="F26661" s="33" t="s">
        <v>27</v>
      </c>
      <c r="G26661" s="33" t="s">
        <v>7780</v>
      </c>
      <c r="H26661" s="35">
        <v>60</v>
      </c>
      <c r="I26661" s="33" t="s">
        <v>51</v>
      </c>
      <c r="J26661" s="42">
        <v>46203</v>
      </c>
      <c r="K26661" s="33" t="s">
        <v>22</v>
      </c>
    </row>
    <row r="26662" spans="1:11">
      <c r="A26662" s="30" t="s">
        <v>58588</v>
      </c>
      <c r="B26662" s="30" t="s">
        <v>58589</v>
      </c>
      <c r="C26662" s="30" t="s">
        <v>27036</v>
      </c>
      <c r="D26662" s="30" t="s">
        <v>17</v>
      </c>
      <c r="E26662" s="30" t="s">
        <v>31</v>
      </c>
      <c r="F26662" s="30" t="s">
        <v>32</v>
      </c>
      <c r="G26662" s="30" t="s">
        <v>140</v>
      </c>
      <c r="H26662" s="32">
        <v>32</v>
      </c>
      <c r="I26662" s="30" t="s">
        <v>51</v>
      </c>
      <c r="J26662" s="41">
        <v>46052</v>
      </c>
      <c r="K26662" s="30" t="s">
        <v>22</v>
      </c>
    </row>
    <row r="26663" spans="1:11">
      <c r="A26663" s="33" t="s">
        <v>58590</v>
      </c>
      <c r="B26663" s="33" t="s">
        <v>58591</v>
      </c>
      <c r="C26663" s="33" t="s">
        <v>58592</v>
      </c>
      <c r="D26663" s="33" t="s">
        <v>17</v>
      </c>
      <c r="E26663" s="33" t="s">
        <v>67</v>
      </c>
      <c r="F26663" s="33" t="s">
        <v>68</v>
      </c>
      <c r="G26663" s="33" t="s">
        <v>7780</v>
      </c>
      <c r="H26663" s="35">
        <v>68</v>
      </c>
      <c r="I26663" s="33" t="s">
        <v>51</v>
      </c>
      <c r="J26663" s="42">
        <v>46143</v>
      </c>
      <c r="K26663" s="33" t="s">
        <v>22</v>
      </c>
    </row>
    <row r="26664" spans="1:11">
      <c r="A26664" s="30" t="s">
        <v>58593</v>
      </c>
      <c r="B26664" s="30" t="s">
        <v>58594</v>
      </c>
      <c r="C26664" s="30" t="s">
        <v>19406</v>
      </c>
      <c r="D26664" s="30" t="s">
        <v>17</v>
      </c>
      <c r="E26664" s="30" t="s">
        <v>45</v>
      </c>
      <c r="F26664" s="30" t="s">
        <v>46</v>
      </c>
      <c r="G26664" s="30" t="s">
        <v>140</v>
      </c>
      <c r="H26664" s="32">
        <v>240</v>
      </c>
      <c r="I26664" s="30" t="s">
        <v>51</v>
      </c>
      <c r="J26664" s="41">
        <v>46204</v>
      </c>
      <c r="K26664" s="30" t="s">
        <v>22</v>
      </c>
    </row>
    <row r="26665" spans="1:11">
      <c r="A26665" s="33" t="s">
        <v>58595</v>
      </c>
      <c r="B26665" s="33" t="s">
        <v>58596</v>
      </c>
      <c r="C26665" s="33" t="s">
        <v>58597</v>
      </c>
      <c r="D26665" s="33" t="s">
        <v>17</v>
      </c>
      <c r="E26665" s="33" t="s">
        <v>26</v>
      </c>
      <c r="F26665" s="33" t="s">
        <v>27</v>
      </c>
      <c r="G26665" s="33" t="s">
        <v>140</v>
      </c>
      <c r="H26665" s="35">
        <v>24</v>
      </c>
      <c r="I26665" s="33" t="s">
        <v>51</v>
      </c>
      <c r="J26665" s="42">
        <v>46053</v>
      </c>
      <c r="K26665" s="33" t="s">
        <v>22</v>
      </c>
    </row>
    <row r="26666" spans="1:11">
      <c r="A26666" s="30" t="s">
        <v>58598</v>
      </c>
      <c r="B26666" s="30" t="s">
        <v>58599</v>
      </c>
      <c r="C26666" s="30" t="s">
        <v>36231</v>
      </c>
      <c r="D26666" s="30" t="s">
        <v>17</v>
      </c>
      <c r="E26666" s="30" t="s">
        <v>26</v>
      </c>
      <c r="F26666" s="30" t="s">
        <v>27</v>
      </c>
      <c r="G26666" s="30" t="s">
        <v>140</v>
      </c>
      <c r="H26666" s="32">
        <v>60</v>
      </c>
      <c r="I26666" s="30" t="s">
        <v>51</v>
      </c>
      <c r="J26666" s="41">
        <v>46169</v>
      </c>
      <c r="K26666" s="30" t="s">
        <v>22</v>
      </c>
    </row>
    <row r="26667" spans="1:11">
      <c r="A26667" s="33" t="s">
        <v>58600</v>
      </c>
      <c r="B26667" s="33" t="s">
        <v>58601</v>
      </c>
      <c r="C26667" s="33" t="s">
        <v>58602</v>
      </c>
      <c r="D26667" s="33" t="s">
        <v>17</v>
      </c>
      <c r="E26667" s="33" t="s">
        <v>67</v>
      </c>
      <c r="F26667" s="33" t="s">
        <v>68</v>
      </c>
      <c r="G26667" s="33" t="s">
        <v>140</v>
      </c>
      <c r="H26667" s="35">
        <v>36</v>
      </c>
      <c r="I26667" s="33" t="s">
        <v>51</v>
      </c>
      <c r="J26667" s="42">
        <v>46023</v>
      </c>
      <c r="K26667" s="33" t="s">
        <v>22</v>
      </c>
    </row>
    <row r="26668" spans="1:11">
      <c r="A26668" s="30" t="s">
        <v>58603</v>
      </c>
      <c r="B26668" s="30" t="s">
        <v>58604</v>
      </c>
      <c r="C26668" s="30" t="s">
        <v>969</v>
      </c>
      <c r="D26668" s="30" t="s">
        <v>17</v>
      </c>
      <c r="E26668" s="30" t="s">
        <v>31</v>
      </c>
      <c r="F26668" s="30" t="s">
        <v>32</v>
      </c>
      <c r="G26668" s="30" t="s">
        <v>7780</v>
      </c>
      <c r="H26668" s="32">
        <v>528</v>
      </c>
      <c r="I26668" s="30" t="s">
        <v>51</v>
      </c>
      <c r="J26668" s="41">
        <v>46024</v>
      </c>
      <c r="K26668" s="30" t="s">
        <v>22</v>
      </c>
    </row>
    <row r="26669" spans="1:11">
      <c r="A26669" s="33" t="s">
        <v>58605</v>
      </c>
      <c r="B26669" s="33" t="s">
        <v>58606</v>
      </c>
      <c r="C26669" s="33" t="s">
        <v>5757</v>
      </c>
      <c r="D26669" s="33" t="s">
        <v>17</v>
      </c>
      <c r="E26669" s="33" t="s">
        <v>26</v>
      </c>
      <c r="F26669" s="33" t="s">
        <v>27</v>
      </c>
      <c r="G26669" s="33" t="s">
        <v>140</v>
      </c>
      <c r="H26669" s="35">
        <v>93</v>
      </c>
      <c r="I26669" s="33" t="s">
        <v>51</v>
      </c>
      <c r="J26669" s="42">
        <v>46070</v>
      </c>
      <c r="K26669" s="33" t="s">
        <v>22</v>
      </c>
    </row>
    <row r="26670" spans="1:11">
      <c r="A26670" s="30" t="s">
        <v>58607</v>
      </c>
      <c r="B26670" s="30" t="s">
        <v>58608</v>
      </c>
      <c r="C26670" s="30" t="s">
        <v>14528</v>
      </c>
      <c r="D26670" s="30" t="s">
        <v>17</v>
      </c>
      <c r="E26670" s="30" t="s">
        <v>18</v>
      </c>
      <c r="F26670" s="30" t="s">
        <v>19</v>
      </c>
      <c r="G26670" s="30" t="s">
        <v>112</v>
      </c>
      <c r="H26670" s="32">
        <v>0</v>
      </c>
      <c r="I26670" s="30" t="s">
        <v>21</v>
      </c>
      <c r="J26670" s="41">
        <v>46174</v>
      </c>
      <c r="K26670" s="30" t="s">
        <v>22</v>
      </c>
    </row>
    <row r="26671" spans="1:11">
      <c r="A26671" s="33" t="s">
        <v>58609</v>
      </c>
      <c r="B26671" s="33" t="s">
        <v>58610</v>
      </c>
      <c r="C26671" s="33" t="s">
        <v>1324</v>
      </c>
      <c r="D26671" s="33" t="s">
        <v>17</v>
      </c>
      <c r="E26671" s="33" t="s">
        <v>31</v>
      </c>
      <c r="F26671" s="33" t="s">
        <v>32</v>
      </c>
      <c r="G26671" s="33" t="s">
        <v>7780</v>
      </c>
      <c r="H26671" s="35">
        <v>22</v>
      </c>
      <c r="I26671" s="33" t="s">
        <v>51</v>
      </c>
      <c r="J26671" s="42">
        <v>46082</v>
      </c>
      <c r="K26671" s="33" t="s">
        <v>22</v>
      </c>
    </row>
    <row r="26672" spans="1:11">
      <c r="A26672" s="30" t="s">
        <v>58611</v>
      </c>
      <c r="B26672" s="30" t="s">
        <v>58612</v>
      </c>
      <c r="C26672" s="30" t="s">
        <v>3775</v>
      </c>
      <c r="D26672" s="30" t="s">
        <v>17</v>
      </c>
      <c r="E26672" s="30" t="s">
        <v>31</v>
      </c>
      <c r="F26672" s="30" t="s">
        <v>32</v>
      </c>
      <c r="G26672" s="30" t="s">
        <v>7780</v>
      </c>
      <c r="H26672" s="32">
        <v>44</v>
      </c>
      <c r="I26672" s="30" t="s">
        <v>51</v>
      </c>
      <c r="J26672" s="41">
        <v>46054</v>
      </c>
      <c r="K26672" s="30" t="s">
        <v>22</v>
      </c>
    </row>
    <row r="26673" spans="1:11">
      <c r="A26673" s="33" t="s">
        <v>58613</v>
      </c>
      <c r="B26673" s="33" t="s">
        <v>58614</v>
      </c>
      <c r="C26673" s="33" t="s">
        <v>1350</v>
      </c>
      <c r="D26673" s="33" t="s">
        <v>17</v>
      </c>
      <c r="E26673" s="33" t="s">
        <v>67</v>
      </c>
      <c r="F26673" s="33" t="s">
        <v>68</v>
      </c>
      <c r="G26673" s="33" t="s">
        <v>7780</v>
      </c>
      <c r="H26673" s="35">
        <v>60</v>
      </c>
      <c r="I26673" s="33" t="s">
        <v>51</v>
      </c>
      <c r="J26673" s="42">
        <v>46023</v>
      </c>
      <c r="K26673" s="33" t="s">
        <v>22</v>
      </c>
    </row>
    <row r="26674" spans="1:11">
      <c r="A26674" s="30" t="s">
        <v>58615</v>
      </c>
      <c r="B26674" s="30" t="s">
        <v>58616</v>
      </c>
      <c r="C26674" s="30" t="s">
        <v>44</v>
      </c>
      <c r="D26674" s="30" t="s">
        <v>17</v>
      </c>
      <c r="E26674" s="30" t="s">
        <v>18</v>
      </c>
      <c r="F26674" s="30" t="s">
        <v>19</v>
      </c>
      <c r="G26674" s="30" t="s">
        <v>7780</v>
      </c>
      <c r="H26674" s="32">
        <v>15364</v>
      </c>
      <c r="I26674" s="30" t="s">
        <v>51</v>
      </c>
      <c r="J26674" s="41">
        <v>46234</v>
      </c>
      <c r="K26674" s="30" t="s">
        <v>22</v>
      </c>
    </row>
    <row r="26675" spans="1:11">
      <c r="A26675" s="33" t="s">
        <v>58617</v>
      </c>
      <c r="B26675" s="33" t="s">
        <v>58618</v>
      </c>
      <c r="C26675" s="33" t="s">
        <v>26196</v>
      </c>
      <c r="D26675" s="33" t="s">
        <v>17</v>
      </c>
      <c r="E26675" s="33" t="s">
        <v>18</v>
      </c>
      <c r="F26675" s="33" t="s">
        <v>19</v>
      </c>
      <c r="G26675" s="33" t="s">
        <v>140</v>
      </c>
      <c r="H26675" s="35">
        <v>388</v>
      </c>
      <c r="I26675" s="33" t="s">
        <v>51</v>
      </c>
      <c r="J26675" s="42">
        <v>46036</v>
      </c>
      <c r="K26675" s="33" t="s">
        <v>22</v>
      </c>
    </row>
    <row r="26676" spans="1:11">
      <c r="A26676" s="30" t="s">
        <v>58619</v>
      </c>
      <c r="B26676" s="30" t="s">
        <v>58620</v>
      </c>
      <c r="C26676" s="30" t="s">
        <v>58408</v>
      </c>
      <c r="D26676" s="30" t="s">
        <v>17</v>
      </c>
      <c r="E26676" s="30" t="s">
        <v>31</v>
      </c>
      <c r="F26676" s="30" t="s">
        <v>32</v>
      </c>
      <c r="G26676" s="30" t="s">
        <v>140</v>
      </c>
      <c r="H26676" s="32">
        <v>120</v>
      </c>
      <c r="I26676" s="30" t="s">
        <v>51</v>
      </c>
      <c r="J26676" s="41">
        <v>46104</v>
      </c>
      <c r="K26676" s="30" t="s">
        <v>22</v>
      </c>
    </row>
    <row r="26677" spans="1:11">
      <c r="A26677" s="33" t="s">
        <v>58621</v>
      </c>
      <c r="B26677" s="33" t="s">
        <v>58622</v>
      </c>
      <c r="C26677" s="33" t="s">
        <v>647</v>
      </c>
      <c r="D26677" s="33" t="s">
        <v>17</v>
      </c>
      <c r="E26677" s="33" t="s">
        <v>67</v>
      </c>
      <c r="F26677" s="33" t="s">
        <v>68</v>
      </c>
      <c r="G26677" s="33" t="s">
        <v>140</v>
      </c>
      <c r="H26677" s="35">
        <v>134</v>
      </c>
      <c r="I26677" s="33" t="s">
        <v>51</v>
      </c>
      <c r="J26677" s="42">
        <v>46205</v>
      </c>
      <c r="K26677" s="33" t="s">
        <v>22</v>
      </c>
    </row>
    <row r="26678" spans="1:11">
      <c r="A26678" s="30" t="s">
        <v>58623</v>
      </c>
      <c r="B26678" s="30" t="s">
        <v>58624</v>
      </c>
      <c r="C26678" s="30" t="s">
        <v>136</v>
      </c>
      <c r="D26678" s="30" t="s">
        <v>17</v>
      </c>
      <c r="E26678" s="30" t="s">
        <v>212</v>
      </c>
      <c r="F26678" s="30" t="s">
        <v>213</v>
      </c>
      <c r="G26678" s="30" t="s">
        <v>140</v>
      </c>
      <c r="H26678" s="32">
        <v>344</v>
      </c>
      <c r="I26678" s="30" t="s">
        <v>51</v>
      </c>
      <c r="J26678" s="41">
        <v>46080</v>
      </c>
      <c r="K26678" s="30" t="s">
        <v>22</v>
      </c>
    </row>
    <row r="26679" spans="1:11">
      <c r="A26679" s="33" t="s">
        <v>58625</v>
      </c>
      <c r="B26679" s="33" t="s">
        <v>58626</v>
      </c>
      <c r="C26679" s="33" t="s">
        <v>795</v>
      </c>
      <c r="D26679" s="33" t="s">
        <v>17</v>
      </c>
      <c r="E26679" s="33" t="s">
        <v>26</v>
      </c>
      <c r="F26679" s="33" t="s">
        <v>27</v>
      </c>
      <c r="G26679" s="33" t="s">
        <v>140</v>
      </c>
      <c r="H26679" s="35">
        <v>121</v>
      </c>
      <c r="I26679" s="33" t="s">
        <v>51</v>
      </c>
      <c r="J26679" s="42">
        <v>46119</v>
      </c>
      <c r="K26679" s="33" t="s">
        <v>22</v>
      </c>
    </row>
    <row r="26680" spans="1:11">
      <c r="A26680" s="30" t="s">
        <v>58627</v>
      </c>
      <c r="B26680" s="30" t="s">
        <v>58628</v>
      </c>
      <c r="C26680" s="30" t="s">
        <v>58629</v>
      </c>
      <c r="D26680" s="30" t="s">
        <v>17</v>
      </c>
      <c r="E26680" s="30" t="s">
        <v>26</v>
      </c>
      <c r="F26680" s="30" t="s">
        <v>27</v>
      </c>
      <c r="G26680" s="30" t="s">
        <v>7780</v>
      </c>
      <c r="H26680" s="32">
        <v>32</v>
      </c>
      <c r="I26680" s="30" t="s">
        <v>51</v>
      </c>
      <c r="J26680" s="41">
        <v>46174</v>
      </c>
      <c r="K26680" s="30" t="s">
        <v>22</v>
      </c>
    </row>
    <row r="26681" spans="1:11">
      <c r="A26681" s="33" t="s">
        <v>58630</v>
      </c>
      <c r="B26681" s="33" t="s">
        <v>58631</v>
      </c>
      <c r="C26681" s="33" t="s">
        <v>538</v>
      </c>
      <c r="D26681" s="33" t="s">
        <v>17</v>
      </c>
      <c r="E26681" s="33" t="s">
        <v>18</v>
      </c>
      <c r="F26681" s="33" t="s">
        <v>19</v>
      </c>
      <c r="G26681" s="33" t="s">
        <v>7780</v>
      </c>
      <c r="H26681" s="35">
        <v>112</v>
      </c>
      <c r="I26681" s="33" t="s">
        <v>51</v>
      </c>
      <c r="J26681" s="42">
        <v>46204</v>
      </c>
      <c r="K26681" s="33" t="s">
        <v>22</v>
      </c>
    </row>
    <row r="26682" spans="1:11">
      <c r="A26682" s="30" t="s">
        <v>58632</v>
      </c>
      <c r="B26682" s="30" t="s">
        <v>58633</v>
      </c>
      <c r="C26682" s="30" t="s">
        <v>18006</v>
      </c>
      <c r="D26682" s="30" t="s">
        <v>17</v>
      </c>
      <c r="E26682" s="30" t="s">
        <v>18</v>
      </c>
      <c r="F26682" s="30" t="s">
        <v>19</v>
      </c>
      <c r="G26682" s="30" t="s">
        <v>7780</v>
      </c>
      <c r="H26682" s="32">
        <v>150</v>
      </c>
      <c r="I26682" s="30" t="s">
        <v>51</v>
      </c>
      <c r="J26682" s="41">
        <v>46113</v>
      </c>
      <c r="K26682" s="30" t="s">
        <v>22</v>
      </c>
    </row>
    <row r="26683" spans="1:11">
      <c r="A26683" s="33" t="s">
        <v>58634</v>
      </c>
      <c r="B26683" s="33" t="s">
        <v>58635</v>
      </c>
      <c r="C26683" s="33" t="s">
        <v>644</v>
      </c>
      <c r="D26683" s="33" t="s">
        <v>17</v>
      </c>
      <c r="E26683" s="33" t="s">
        <v>45</v>
      </c>
      <c r="F26683" s="33" t="s">
        <v>46</v>
      </c>
      <c r="G26683" s="33" t="s">
        <v>140</v>
      </c>
      <c r="H26683" s="35">
        <v>80</v>
      </c>
      <c r="I26683" s="33" t="s">
        <v>51</v>
      </c>
      <c r="J26683" s="42">
        <v>46154</v>
      </c>
      <c r="K26683" s="33" t="s">
        <v>22</v>
      </c>
    </row>
    <row r="26684" spans="1:11">
      <c r="A26684" s="30" t="s">
        <v>58636</v>
      </c>
      <c r="B26684" s="30" t="s">
        <v>58637</v>
      </c>
      <c r="C26684" s="30" t="s">
        <v>6127</v>
      </c>
      <c r="D26684" s="30" t="s">
        <v>17</v>
      </c>
      <c r="E26684" s="30" t="s">
        <v>31</v>
      </c>
      <c r="F26684" s="30" t="s">
        <v>32</v>
      </c>
      <c r="G26684" s="30" t="s">
        <v>7780</v>
      </c>
      <c r="H26684" s="32">
        <v>24</v>
      </c>
      <c r="I26684" s="30" t="s">
        <v>51</v>
      </c>
      <c r="J26684" s="41">
        <v>46234</v>
      </c>
      <c r="K26684" s="30" t="s">
        <v>22</v>
      </c>
    </row>
    <row r="26685" spans="1:11">
      <c r="A26685" s="33" t="s">
        <v>58638</v>
      </c>
      <c r="B26685" s="33" t="s">
        <v>58639</v>
      </c>
      <c r="C26685" s="33" t="s">
        <v>178</v>
      </c>
      <c r="D26685" s="33" t="s">
        <v>17</v>
      </c>
      <c r="E26685" s="33" t="s">
        <v>26</v>
      </c>
      <c r="F26685" s="33" t="s">
        <v>27</v>
      </c>
      <c r="G26685" s="33" t="s">
        <v>158</v>
      </c>
      <c r="H26685" s="35">
        <v>30</v>
      </c>
      <c r="I26685" s="33" t="s">
        <v>51</v>
      </c>
      <c r="J26685" s="42">
        <v>46111</v>
      </c>
      <c r="K26685" s="33" t="s">
        <v>22</v>
      </c>
    </row>
    <row r="26686" spans="1:11">
      <c r="A26686" s="30" t="s">
        <v>58640</v>
      </c>
      <c r="B26686" s="30" t="s">
        <v>58641</v>
      </c>
      <c r="C26686" s="30" t="s">
        <v>4345</v>
      </c>
      <c r="D26686" s="30" t="s">
        <v>17</v>
      </c>
      <c r="E26686" s="30" t="s">
        <v>31</v>
      </c>
      <c r="F26686" s="30" t="s">
        <v>32</v>
      </c>
      <c r="G26686" s="30" t="s">
        <v>140</v>
      </c>
      <c r="H26686" s="32">
        <v>72</v>
      </c>
      <c r="I26686" s="30" t="s">
        <v>51</v>
      </c>
      <c r="J26686" s="41">
        <v>46154</v>
      </c>
      <c r="K26686" s="30" t="s">
        <v>22</v>
      </c>
    </row>
    <row r="26687" spans="1:11">
      <c r="A26687" s="33" t="s">
        <v>58642</v>
      </c>
      <c r="B26687" s="33" t="s">
        <v>58643</v>
      </c>
      <c r="C26687" s="33" t="s">
        <v>443</v>
      </c>
      <c r="D26687" s="33" t="s">
        <v>17</v>
      </c>
      <c r="E26687" s="33" t="s">
        <v>26</v>
      </c>
      <c r="F26687" s="33" t="s">
        <v>27</v>
      </c>
      <c r="G26687" s="33" t="s">
        <v>7780</v>
      </c>
      <c r="H26687" s="35">
        <v>60</v>
      </c>
      <c r="I26687" s="33" t="s">
        <v>51</v>
      </c>
      <c r="J26687" s="42">
        <v>46090</v>
      </c>
      <c r="K26687" s="33" t="s">
        <v>22</v>
      </c>
    </row>
    <row r="26688" spans="1:11">
      <c r="A26688" s="30" t="s">
        <v>58644</v>
      </c>
      <c r="B26688" s="30" t="s">
        <v>58645</v>
      </c>
      <c r="C26688" s="30" t="s">
        <v>2753</v>
      </c>
      <c r="D26688" s="30" t="s">
        <v>17</v>
      </c>
      <c r="E26688" s="30" t="s">
        <v>26</v>
      </c>
      <c r="F26688" s="30" t="s">
        <v>27</v>
      </c>
      <c r="G26688" s="30" t="s">
        <v>140</v>
      </c>
      <c r="H26688" s="32">
        <v>30</v>
      </c>
      <c r="I26688" s="30" t="s">
        <v>51</v>
      </c>
      <c r="J26688" s="41">
        <v>46177</v>
      </c>
      <c r="K26688" s="30" t="s">
        <v>22</v>
      </c>
    </row>
    <row r="26689" spans="1:11">
      <c r="A26689" s="33" t="s">
        <v>58646</v>
      </c>
      <c r="B26689" s="33" t="s">
        <v>58647</v>
      </c>
      <c r="C26689" s="33" t="s">
        <v>6046</v>
      </c>
      <c r="D26689" s="33" t="s">
        <v>17</v>
      </c>
      <c r="E26689" s="33" t="s">
        <v>31</v>
      </c>
      <c r="F26689" s="33" t="s">
        <v>32</v>
      </c>
      <c r="G26689" s="33" t="s">
        <v>140</v>
      </c>
      <c r="H26689" s="35">
        <v>80</v>
      </c>
      <c r="I26689" s="33" t="s">
        <v>51</v>
      </c>
      <c r="J26689" s="42">
        <v>46106</v>
      </c>
      <c r="K26689" s="33" t="s">
        <v>22</v>
      </c>
    </row>
    <row r="26690" spans="1:11">
      <c r="A26690" s="30" t="s">
        <v>58648</v>
      </c>
      <c r="B26690" s="30" t="s">
        <v>58649</v>
      </c>
      <c r="C26690" s="30" t="s">
        <v>13181</v>
      </c>
      <c r="D26690" s="30" t="s">
        <v>17</v>
      </c>
      <c r="E26690" s="30" t="s">
        <v>31</v>
      </c>
      <c r="F26690" s="30" t="s">
        <v>32</v>
      </c>
      <c r="G26690" s="30" t="s">
        <v>140</v>
      </c>
      <c r="H26690" s="32">
        <v>150</v>
      </c>
      <c r="I26690" s="30" t="s">
        <v>51</v>
      </c>
      <c r="J26690" s="41">
        <v>46126</v>
      </c>
      <c r="K26690" s="30" t="s">
        <v>22</v>
      </c>
    </row>
    <row r="26691" spans="1:11">
      <c r="A26691" s="33" t="s">
        <v>58650</v>
      </c>
      <c r="B26691" s="33" t="s">
        <v>58651</v>
      </c>
      <c r="C26691" s="33" t="s">
        <v>6001</v>
      </c>
      <c r="D26691" s="33" t="s">
        <v>17</v>
      </c>
      <c r="E26691" s="33" t="s">
        <v>67</v>
      </c>
      <c r="F26691" s="33" t="s">
        <v>68</v>
      </c>
      <c r="G26691" s="33" t="s">
        <v>7780</v>
      </c>
      <c r="H26691" s="35">
        <v>20</v>
      </c>
      <c r="I26691" s="33" t="s">
        <v>51</v>
      </c>
      <c r="J26691" s="42">
        <v>46023</v>
      </c>
      <c r="K26691" s="33" t="s">
        <v>22</v>
      </c>
    </row>
    <row r="26692" spans="1:11">
      <c r="A26692" s="30" t="s">
        <v>58652</v>
      </c>
      <c r="B26692" s="30" t="s">
        <v>58653</v>
      </c>
      <c r="C26692" s="30" t="s">
        <v>187</v>
      </c>
      <c r="D26692" s="30" t="s">
        <v>17</v>
      </c>
      <c r="E26692" s="30" t="s">
        <v>31</v>
      </c>
      <c r="F26692" s="30" t="s">
        <v>32</v>
      </c>
      <c r="G26692" s="30" t="s">
        <v>140</v>
      </c>
      <c r="H26692" s="32">
        <v>198</v>
      </c>
      <c r="I26692" s="30" t="s">
        <v>51</v>
      </c>
      <c r="J26692" s="41">
        <v>46195</v>
      </c>
      <c r="K26692" s="30" t="s">
        <v>22</v>
      </c>
    </row>
    <row r="26693" spans="1:11">
      <c r="A26693" s="33" t="s">
        <v>58654</v>
      </c>
      <c r="B26693" s="33" t="s">
        <v>58655</v>
      </c>
      <c r="C26693" s="33" t="s">
        <v>56957</v>
      </c>
      <c r="D26693" s="33" t="s">
        <v>17</v>
      </c>
      <c r="E26693" s="33" t="s">
        <v>67</v>
      </c>
      <c r="F26693" s="33" t="s">
        <v>68</v>
      </c>
      <c r="G26693" s="33" t="s">
        <v>140</v>
      </c>
      <c r="H26693" s="35">
        <v>36</v>
      </c>
      <c r="I26693" s="33" t="s">
        <v>51</v>
      </c>
      <c r="J26693" s="42">
        <v>46083</v>
      </c>
      <c r="K26693" s="33" t="s">
        <v>22</v>
      </c>
    </row>
    <row r="26694" spans="1:11">
      <c r="A26694" s="30" t="s">
        <v>58656</v>
      </c>
      <c r="B26694" s="30" t="s">
        <v>58657</v>
      </c>
      <c r="C26694" s="30" t="s">
        <v>58658</v>
      </c>
      <c r="D26694" s="30" t="s">
        <v>17</v>
      </c>
      <c r="E26694" s="30" t="s">
        <v>67</v>
      </c>
      <c r="F26694" s="30" t="s">
        <v>68</v>
      </c>
      <c r="G26694" s="30" t="s">
        <v>7780</v>
      </c>
      <c r="H26694" s="32">
        <v>30</v>
      </c>
      <c r="I26694" s="30" t="s">
        <v>51</v>
      </c>
      <c r="J26694" s="41">
        <v>46143</v>
      </c>
      <c r="K26694" s="30" t="s">
        <v>22</v>
      </c>
    </row>
    <row r="26695" spans="1:11">
      <c r="A26695" s="33" t="s">
        <v>58659</v>
      </c>
      <c r="B26695" s="33" t="s">
        <v>58660</v>
      </c>
      <c r="C26695" s="33" t="s">
        <v>936</v>
      </c>
      <c r="D26695" s="33" t="s">
        <v>17</v>
      </c>
      <c r="E26695" s="33" t="s">
        <v>18</v>
      </c>
      <c r="F26695" s="33" t="s">
        <v>19</v>
      </c>
      <c r="G26695" s="33" t="s">
        <v>7780</v>
      </c>
      <c r="H26695" s="35">
        <v>108</v>
      </c>
      <c r="I26695" s="33" t="s">
        <v>51</v>
      </c>
      <c r="J26695" s="42">
        <v>46203</v>
      </c>
      <c r="K26695" s="33" t="s">
        <v>22</v>
      </c>
    </row>
    <row r="26696" spans="1:11">
      <c r="A26696" s="30" t="s">
        <v>58661</v>
      </c>
      <c r="B26696" s="30" t="s">
        <v>58662</v>
      </c>
      <c r="C26696" s="30" t="s">
        <v>5934</v>
      </c>
      <c r="D26696" s="30" t="s">
        <v>17</v>
      </c>
      <c r="E26696" s="30" t="s">
        <v>67</v>
      </c>
      <c r="F26696" s="30" t="s">
        <v>68</v>
      </c>
      <c r="G26696" s="30" t="s">
        <v>140</v>
      </c>
      <c r="H26696" s="32">
        <v>178</v>
      </c>
      <c r="I26696" s="30" t="s">
        <v>51</v>
      </c>
      <c r="J26696" s="41">
        <v>46174</v>
      </c>
      <c r="K26696" s="30" t="s">
        <v>22</v>
      </c>
    </row>
    <row r="26697" spans="1:11">
      <c r="A26697" s="33" t="s">
        <v>58663</v>
      </c>
      <c r="B26697" s="33" t="s">
        <v>58664</v>
      </c>
      <c r="C26697" s="33" t="s">
        <v>58665</v>
      </c>
      <c r="D26697" s="33" t="s">
        <v>17</v>
      </c>
      <c r="E26697" s="33" t="s">
        <v>26</v>
      </c>
      <c r="F26697" s="33" t="s">
        <v>27</v>
      </c>
      <c r="G26697" s="33" t="s">
        <v>140</v>
      </c>
      <c r="H26697" s="35">
        <v>30</v>
      </c>
      <c r="I26697" s="33" t="s">
        <v>51</v>
      </c>
      <c r="J26697" s="42">
        <v>46188</v>
      </c>
      <c r="K26697" s="33" t="s">
        <v>22</v>
      </c>
    </row>
    <row r="26698" spans="1:11">
      <c r="A26698" s="30" t="s">
        <v>58666</v>
      </c>
      <c r="B26698" s="30" t="s">
        <v>58667</v>
      </c>
      <c r="C26698" s="30" t="s">
        <v>102</v>
      </c>
      <c r="D26698" s="30" t="s">
        <v>17</v>
      </c>
      <c r="E26698" s="30" t="s">
        <v>26</v>
      </c>
      <c r="F26698" s="30" t="s">
        <v>27</v>
      </c>
      <c r="G26698" s="30" t="s">
        <v>140</v>
      </c>
      <c r="H26698" s="32">
        <v>40</v>
      </c>
      <c r="I26698" s="30" t="s">
        <v>51</v>
      </c>
      <c r="J26698" s="41">
        <v>46036</v>
      </c>
      <c r="K26698" s="30" t="s">
        <v>22</v>
      </c>
    </row>
    <row r="26699" spans="1:11">
      <c r="A26699" s="33" t="s">
        <v>58668</v>
      </c>
      <c r="B26699" s="33" t="s">
        <v>58669</v>
      </c>
      <c r="C26699" s="33" t="s">
        <v>804</v>
      </c>
      <c r="D26699" s="33" t="s">
        <v>17</v>
      </c>
      <c r="E26699" s="33" t="s">
        <v>18</v>
      </c>
      <c r="F26699" s="33" t="s">
        <v>19</v>
      </c>
      <c r="G26699" s="33" t="s">
        <v>140</v>
      </c>
      <c r="H26699" s="35">
        <v>12</v>
      </c>
      <c r="I26699" s="33" t="s">
        <v>51</v>
      </c>
      <c r="J26699" s="42">
        <v>46134</v>
      </c>
      <c r="K26699" s="33" t="s">
        <v>22</v>
      </c>
    </row>
    <row r="26700" spans="1:11">
      <c r="A26700" s="30" t="s">
        <v>58670</v>
      </c>
      <c r="B26700" s="30" t="s">
        <v>58671</v>
      </c>
      <c r="C26700" s="30" t="s">
        <v>157</v>
      </c>
      <c r="D26700" s="30" t="s">
        <v>17</v>
      </c>
      <c r="E26700" s="30" t="s">
        <v>31</v>
      </c>
      <c r="F26700" s="30" t="s">
        <v>32</v>
      </c>
      <c r="G26700" s="30" t="s">
        <v>140</v>
      </c>
      <c r="H26700" s="32">
        <v>90</v>
      </c>
      <c r="I26700" s="30" t="s">
        <v>51</v>
      </c>
      <c r="J26700" s="41">
        <v>46048</v>
      </c>
      <c r="K26700" s="30" t="s">
        <v>22</v>
      </c>
    </row>
    <row r="26701" spans="1:11">
      <c r="A26701" s="33" t="s">
        <v>58672</v>
      </c>
      <c r="B26701" s="33" t="s">
        <v>58673</v>
      </c>
      <c r="C26701" s="33" t="s">
        <v>157</v>
      </c>
      <c r="D26701" s="33" t="s">
        <v>17</v>
      </c>
      <c r="E26701" s="33" t="s">
        <v>67</v>
      </c>
      <c r="F26701" s="33" t="s">
        <v>68</v>
      </c>
      <c r="G26701" s="33" t="s">
        <v>140</v>
      </c>
      <c r="H26701" s="35">
        <v>151</v>
      </c>
      <c r="I26701" s="33" t="s">
        <v>51</v>
      </c>
      <c r="J26701" s="42">
        <v>46153</v>
      </c>
      <c r="K26701" s="33" t="s">
        <v>22</v>
      </c>
    </row>
    <row r="26702" spans="1:11">
      <c r="A26702" s="30" t="s">
        <v>58674</v>
      </c>
      <c r="B26702" s="30" t="s">
        <v>58675</v>
      </c>
      <c r="C26702" s="30" t="s">
        <v>25044</v>
      </c>
      <c r="D26702" s="30" t="s">
        <v>17</v>
      </c>
      <c r="E26702" s="30" t="s">
        <v>31</v>
      </c>
      <c r="F26702" s="30" t="s">
        <v>32</v>
      </c>
      <c r="G26702" s="30" t="s">
        <v>140</v>
      </c>
      <c r="H26702" s="32">
        <v>30</v>
      </c>
      <c r="I26702" s="30" t="s">
        <v>51</v>
      </c>
      <c r="J26702" s="41">
        <v>46163</v>
      </c>
      <c r="K26702" s="30" t="s">
        <v>22</v>
      </c>
    </row>
    <row r="26703" spans="1:11">
      <c r="A26703" s="33" t="s">
        <v>58676</v>
      </c>
      <c r="B26703" s="33" t="s">
        <v>58677</v>
      </c>
      <c r="C26703" s="33" t="s">
        <v>11894</v>
      </c>
      <c r="D26703" s="33" t="s">
        <v>17</v>
      </c>
      <c r="E26703" s="33" t="s">
        <v>67</v>
      </c>
      <c r="F26703" s="33" t="s">
        <v>68</v>
      </c>
      <c r="G26703" s="33" t="s">
        <v>7780</v>
      </c>
      <c r="H26703" s="35">
        <v>264</v>
      </c>
      <c r="I26703" s="33" t="s">
        <v>51</v>
      </c>
      <c r="J26703" s="42">
        <v>46204</v>
      </c>
      <c r="K26703" s="33" t="s">
        <v>22</v>
      </c>
    </row>
    <row r="26704" spans="1:11">
      <c r="A26704" s="30" t="s">
        <v>58678</v>
      </c>
      <c r="B26704" s="30" t="s">
        <v>58679</v>
      </c>
      <c r="C26704" s="30" t="s">
        <v>7237</v>
      </c>
      <c r="D26704" s="30" t="s">
        <v>17</v>
      </c>
      <c r="E26704" s="30" t="s">
        <v>67</v>
      </c>
      <c r="F26704" s="30" t="s">
        <v>68</v>
      </c>
      <c r="G26704" s="30" t="s">
        <v>7780</v>
      </c>
      <c r="H26704" s="32">
        <v>12</v>
      </c>
      <c r="I26704" s="30" t="s">
        <v>51</v>
      </c>
      <c r="J26704" s="41">
        <v>46191</v>
      </c>
      <c r="K26704" s="30" t="s">
        <v>22</v>
      </c>
    </row>
    <row r="26705" spans="1:11">
      <c r="A26705" s="33" t="s">
        <v>58680</v>
      </c>
      <c r="B26705" s="33" t="s">
        <v>58681</v>
      </c>
      <c r="C26705" s="33" t="s">
        <v>570</v>
      </c>
      <c r="D26705" s="33" t="s">
        <v>17</v>
      </c>
      <c r="E26705" s="33" t="s">
        <v>26</v>
      </c>
      <c r="F26705" s="33" t="s">
        <v>27</v>
      </c>
      <c r="G26705" s="33" t="s">
        <v>7780</v>
      </c>
      <c r="H26705" s="35">
        <v>300</v>
      </c>
      <c r="I26705" s="33" t="s">
        <v>51</v>
      </c>
      <c r="J26705" s="42">
        <v>46023</v>
      </c>
      <c r="K26705" s="33" t="s">
        <v>22</v>
      </c>
    </row>
    <row r="26706" spans="1:11">
      <c r="A26706" s="30" t="s">
        <v>58682</v>
      </c>
      <c r="B26706" s="30" t="s">
        <v>58683</v>
      </c>
      <c r="C26706" s="30" t="s">
        <v>1428</v>
      </c>
      <c r="D26706" s="30" t="s">
        <v>17</v>
      </c>
      <c r="E26706" s="30" t="s">
        <v>18</v>
      </c>
      <c r="F26706" s="30" t="s">
        <v>19</v>
      </c>
      <c r="G26706" s="30" t="s">
        <v>140</v>
      </c>
      <c r="H26706" s="32">
        <v>90</v>
      </c>
      <c r="I26706" s="30" t="s">
        <v>51</v>
      </c>
      <c r="J26706" s="41">
        <v>46030</v>
      </c>
      <c r="K26706" s="30" t="s">
        <v>22</v>
      </c>
    </row>
    <row r="26707" spans="1:11">
      <c r="A26707" s="33" t="s">
        <v>58684</v>
      </c>
      <c r="B26707" s="33" t="s">
        <v>58685</v>
      </c>
      <c r="C26707" s="33" t="s">
        <v>136</v>
      </c>
      <c r="D26707" s="33" t="s">
        <v>17</v>
      </c>
      <c r="E26707" s="33" t="s">
        <v>31</v>
      </c>
      <c r="F26707" s="33" t="s">
        <v>32</v>
      </c>
      <c r="G26707" s="33" t="s">
        <v>140</v>
      </c>
      <c r="H26707" s="35">
        <v>66</v>
      </c>
      <c r="I26707" s="33" t="s">
        <v>51</v>
      </c>
      <c r="J26707" s="42">
        <v>46126</v>
      </c>
      <c r="K26707" s="33" t="s">
        <v>22</v>
      </c>
    </row>
    <row r="26708" spans="1:11">
      <c r="A26708" s="30" t="s">
        <v>58686</v>
      </c>
      <c r="B26708" s="30" t="s">
        <v>58687</v>
      </c>
      <c r="C26708" s="30" t="s">
        <v>58688</v>
      </c>
      <c r="D26708" s="30" t="s">
        <v>17</v>
      </c>
      <c r="E26708" s="30" t="s">
        <v>67</v>
      </c>
      <c r="F26708" s="30" t="s">
        <v>68</v>
      </c>
      <c r="G26708" s="30" t="s">
        <v>140</v>
      </c>
      <c r="H26708" s="32">
        <v>68</v>
      </c>
      <c r="I26708" s="30" t="s">
        <v>51</v>
      </c>
      <c r="J26708" s="41">
        <v>46133</v>
      </c>
      <c r="K26708" s="30" t="s">
        <v>22</v>
      </c>
    </row>
    <row r="26709" spans="1:11">
      <c r="A26709" s="33" t="s">
        <v>58689</v>
      </c>
      <c r="B26709" s="33" t="s">
        <v>58690</v>
      </c>
      <c r="C26709" s="33" t="s">
        <v>190</v>
      </c>
      <c r="D26709" s="33" t="s">
        <v>17</v>
      </c>
      <c r="E26709" s="33" t="s">
        <v>26</v>
      </c>
      <c r="F26709" s="33" t="s">
        <v>27</v>
      </c>
      <c r="G26709" s="33" t="s">
        <v>20</v>
      </c>
      <c r="H26709" s="35">
        <v>31</v>
      </c>
      <c r="I26709" s="33" t="s">
        <v>21</v>
      </c>
      <c r="J26709" s="42">
        <v>46122</v>
      </c>
      <c r="K26709" s="33" t="s">
        <v>22</v>
      </c>
    </row>
    <row r="26710" spans="1:11">
      <c r="A26710" s="30" t="s">
        <v>58691</v>
      </c>
      <c r="B26710" s="30" t="s">
        <v>58692</v>
      </c>
      <c r="C26710" s="30" t="s">
        <v>44</v>
      </c>
      <c r="D26710" s="30" t="s">
        <v>17</v>
      </c>
      <c r="E26710" s="30" t="s">
        <v>18</v>
      </c>
      <c r="F26710" s="30" t="s">
        <v>19</v>
      </c>
      <c r="G26710" s="30" t="s">
        <v>140</v>
      </c>
      <c r="H26710" s="32">
        <v>2628</v>
      </c>
      <c r="I26710" s="30" t="s">
        <v>51</v>
      </c>
      <c r="J26710" s="41">
        <v>46115</v>
      </c>
      <c r="K26710" s="30" t="s">
        <v>22</v>
      </c>
    </row>
    <row r="26711" spans="1:11">
      <c r="A26711" s="33" t="s">
        <v>58693</v>
      </c>
      <c r="B26711" s="33" t="s">
        <v>58694</v>
      </c>
      <c r="C26711" s="33" t="s">
        <v>310</v>
      </c>
      <c r="D26711" s="33" t="s">
        <v>17</v>
      </c>
      <c r="E26711" s="33" t="s">
        <v>18</v>
      </c>
      <c r="F26711" s="33" t="s">
        <v>19</v>
      </c>
      <c r="G26711" s="33" t="s">
        <v>7780</v>
      </c>
      <c r="H26711" s="35">
        <v>1000</v>
      </c>
      <c r="I26711" s="33" t="s">
        <v>51</v>
      </c>
      <c r="J26711" s="42">
        <v>46162</v>
      </c>
      <c r="K26711" s="33" t="s">
        <v>22</v>
      </c>
    </row>
    <row r="26712" spans="1:11">
      <c r="A26712" s="30" t="s">
        <v>58695</v>
      </c>
      <c r="B26712" s="30" t="s">
        <v>58696</v>
      </c>
      <c r="C26712" s="30" t="s">
        <v>3655</v>
      </c>
      <c r="D26712" s="30" t="s">
        <v>17</v>
      </c>
      <c r="E26712" s="30" t="s">
        <v>67</v>
      </c>
      <c r="F26712" s="30" t="s">
        <v>68</v>
      </c>
      <c r="G26712" s="30" t="s">
        <v>140</v>
      </c>
      <c r="H26712" s="32">
        <v>533</v>
      </c>
      <c r="I26712" s="30" t="s">
        <v>51</v>
      </c>
      <c r="J26712" s="41">
        <v>46111</v>
      </c>
      <c r="K26712" s="30" t="s">
        <v>22</v>
      </c>
    </row>
    <row r="26713" spans="1:11">
      <c r="A26713" s="33" t="s">
        <v>58697</v>
      </c>
      <c r="B26713" s="33" t="s">
        <v>58698</v>
      </c>
      <c r="C26713" s="33" t="s">
        <v>15097</v>
      </c>
      <c r="D26713" s="33" t="s">
        <v>17</v>
      </c>
      <c r="E26713" s="33" t="s">
        <v>330</v>
      </c>
      <c r="F26713" s="33" t="s">
        <v>331</v>
      </c>
      <c r="G26713" s="33" t="s">
        <v>7780</v>
      </c>
      <c r="H26713" s="35">
        <v>36</v>
      </c>
      <c r="I26713" s="33" t="s">
        <v>51</v>
      </c>
      <c r="J26713" s="42">
        <v>46204</v>
      </c>
      <c r="K26713" s="33" t="s">
        <v>22</v>
      </c>
    </row>
    <row r="26714" spans="1:11">
      <c r="A26714" s="30" t="s">
        <v>58699</v>
      </c>
      <c r="B26714" s="30" t="s">
        <v>58700</v>
      </c>
      <c r="C26714" s="30" t="s">
        <v>118</v>
      </c>
      <c r="D26714" s="30" t="s">
        <v>17</v>
      </c>
      <c r="E26714" s="30" t="s">
        <v>31</v>
      </c>
      <c r="F26714" s="30" t="s">
        <v>32</v>
      </c>
      <c r="G26714" s="30" t="s">
        <v>20</v>
      </c>
      <c r="H26714" s="32">
        <v>120</v>
      </c>
      <c r="I26714" s="30" t="s">
        <v>21</v>
      </c>
      <c r="J26714" s="41">
        <v>46132</v>
      </c>
      <c r="K26714" s="30" t="s">
        <v>22</v>
      </c>
    </row>
    <row r="26715" spans="1:11">
      <c r="A26715" s="33" t="s">
        <v>58701</v>
      </c>
      <c r="B26715" s="33" t="s">
        <v>58702</v>
      </c>
      <c r="C26715" s="33" t="s">
        <v>190</v>
      </c>
      <c r="D26715" s="33" t="s">
        <v>17</v>
      </c>
      <c r="E26715" s="33" t="s">
        <v>18</v>
      </c>
      <c r="F26715" s="33" t="s">
        <v>19</v>
      </c>
      <c r="G26715" s="33" t="s">
        <v>140</v>
      </c>
      <c r="H26715" s="35">
        <v>900</v>
      </c>
      <c r="I26715" s="33" t="s">
        <v>51</v>
      </c>
      <c r="J26715" s="42">
        <v>46209</v>
      </c>
      <c r="K26715" s="33" t="s">
        <v>22</v>
      </c>
    </row>
    <row r="26716" spans="1:11">
      <c r="A26716" s="30" t="s">
        <v>58703</v>
      </c>
      <c r="B26716" s="30" t="s">
        <v>58704</v>
      </c>
      <c r="C26716" s="30" t="s">
        <v>20381</v>
      </c>
      <c r="D26716" s="30" t="s">
        <v>17</v>
      </c>
      <c r="E26716" s="30" t="s">
        <v>31</v>
      </c>
      <c r="F26716" s="30" t="s">
        <v>32</v>
      </c>
      <c r="G26716" s="30" t="s">
        <v>140</v>
      </c>
      <c r="H26716" s="32">
        <v>36</v>
      </c>
      <c r="I26716" s="30" t="s">
        <v>51</v>
      </c>
      <c r="J26716" s="41">
        <v>46203</v>
      </c>
      <c r="K26716" s="30" t="s">
        <v>22</v>
      </c>
    </row>
    <row r="26717" spans="1:11">
      <c r="A26717" s="33" t="s">
        <v>58705</v>
      </c>
      <c r="B26717" s="33" t="s">
        <v>58706</v>
      </c>
      <c r="C26717" s="33" t="s">
        <v>310</v>
      </c>
      <c r="D26717" s="33" t="s">
        <v>17</v>
      </c>
      <c r="E26717" s="33" t="s">
        <v>18</v>
      </c>
      <c r="F26717" s="33" t="s">
        <v>19</v>
      </c>
      <c r="G26717" s="33" t="s">
        <v>140</v>
      </c>
      <c r="H26717" s="35">
        <v>300</v>
      </c>
      <c r="I26717" s="33" t="s">
        <v>51</v>
      </c>
      <c r="J26717" s="42">
        <v>46147</v>
      </c>
      <c r="K26717" s="33" t="s">
        <v>22</v>
      </c>
    </row>
    <row r="26718" spans="1:11">
      <c r="A26718" s="30" t="s">
        <v>58707</v>
      </c>
      <c r="B26718" s="30" t="s">
        <v>58708</v>
      </c>
      <c r="C26718" s="30" t="s">
        <v>190</v>
      </c>
      <c r="D26718" s="30" t="s">
        <v>17</v>
      </c>
      <c r="E26718" s="30" t="s">
        <v>26</v>
      </c>
      <c r="F26718" s="30" t="s">
        <v>27</v>
      </c>
      <c r="G26718" s="30" t="s">
        <v>140</v>
      </c>
      <c r="H26718" s="32">
        <v>12</v>
      </c>
      <c r="I26718" s="30" t="s">
        <v>51</v>
      </c>
      <c r="J26718" s="41">
        <v>46080</v>
      </c>
      <c r="K26718" s="30" t="s">
        <v>22</v>
      </c>
    </row>
    <row r="26719" spans="1:11">
      <c r="A26719" s="33" t="s">
        <v>58709</v>
      </c>
      <c r="B26719" s="33" t="s">
        <v>58710</v>
      </c>
      <c r="C26719" s="33" t="s">
        <v>57</v>
      </c>
      <c r="D26719" s="33" t="s">
        <v>17</v>
      </c>
      <c r="E26719" s="33" t="s">
        <v>26</v>
      </c>
      <c r="F26719" s="33" t="s">
        <v>27</v>
      </c>
      <c r="G26719" s="33" t="s">
        <v>140</v>
      </c>
      <c r="H26719" s="35">
        <v>40</v>
      </c>
      <c r="I26719" s="33" t="s">
        <v>51</v>
      </c>
      <c r="J26719" s="42">
        <v>46134</v>
      </c>
      <c r="K26719" s="33" t="s">
        <v>22</v>
      </c>
    </row>
    <row r="26720" spans="1:11">
      <c r="A26720" s="30" t="s">
        <v>58711</v>
      </c>
      <c r="B26720" s="30" t="s">
        <v>58712</v>
      </c>
      <c r="C26720" s="30" t="s">
        <v>58713</v>
      </c>
      <c r="D26720" s="30" t="s">
        <v>17</v>
      </c>
      <c r="E26720" s="30" t="s">
        <v>26</v>
      </c>
      <c r="F26720" s="30" t="s">
        <v>27</v>
      </c>
      <c r="G26720" s="30" t="s">
        <v>140</v>
      </c>
      <c r="H26720" s="32">
        <v>90</v>
      </c>
      <c r="I26720" s="30" t="s">
        <v>51</v>
      </c>
      <c r="J26720" s="41">
        <v>46202</v>
      </c>
      <c r="K26720" s="30" t="s">
        <v>22</v>
      </c>
    </row>
    <row r="26721" spans="1:11">
      <c r="A26721" s="33" t="s">
        <v>58714</v>
      </c>
      <c r="B26721" s="33" t="s">
        <v>58715</v>
      </c>
      <c r="C26721" s="33" t="s">
        <v>14640</v>
      </c>
      <c r="D26721" s="33" t="s">
        <v>17</v>
      </c>
      <c r="E26721" s="33" t="s">
        <v>26</v>
      </c>
      <c r="F26721" s="33" t="s">
        <v>27</v>
      </c>
      <c r="G26721" s="33" t="s">
        <v>140</v>
      </c>
      <c r="H26721" s="35">
        <v>28</v>
      </c>
      <c r="I26721" s="33" t="s">
        <v>51</v>
      </c>
      <c r="J26721" s="42">
        <v>46086</v>
      </c>
      <c r="K26721" s="33" t="s">
        <v>22</v>
      </c>
    </row>
    <row r="26722" spans="1:11">
      <c r="A26722" s="30" t="s">
        <v>58716</v>
      </c>
      <c r="B26722" s="30" t="s">
        <v>58717</v>
      </c>
      <c r="C26722" s="30" t="s">
        <v>1428</v>
      </c>
      <c r="D26722" s="30" t="s">
        <v>17</v>
      </c>
      <c r="E26722" s="30" t="s">
        <v>18</v>
      </c>
      <c r="F26722" s="30" t="s">
        <v>19</v>
      </c>
      <c r="G26722" s="30" t="s">
        <v>7780</v>
      </c>
      <c r="H26722" s="32">
        <v>101</v>
      </c>
      <c r="I26722" s="30" t="s">
        <v>51</v>
      </c>
      <c r="J26722" s="41">
        <v>46143</v>
      </c>
      <c r="K26722" s="30" t="s">
        <v>22</v>
      </c>
    </row>
    <row r="26723" spans="1:11">
      <c r="A26723" s="33" t="s">
        <v>58718</v>
      </c>
      <c r="B26723" s="33" t="s">
        <v>58719</v>
      </c>
      <c r="C26723" s="33" t="s">
        <v>1801</v>
      </c>
      <c r="D26723" s="33" t="s">
        <v>17</v>
      </c>
      <c r="E26723" s="33" t="s">
        <v>26</v>
      </c>
      <c r="F26723" s="33" t="s">
        <v>27</v>
      </c>
      <c r="G26723" s="33" t="s">
        <v>140</v>
      </c>
      <c r="H26723" s="35">
        <v>60</v>
      </c>
      <c r="I26723" s="33" t="s">
        <v>51</v>
      </c>
      <c r="J26723" s="42">
        <v>46027</v>
      </c>
      <c r="K26723" s="33" t="s">
        <v>22</v>
      </c>
    </row>
    <row r="26724" spans="1:11">
      <c r="A26724" s="30" t="s">
        <v>58720</v>
      </c>
      <c r="B26724" s="30" t="s">
        <v>58721</v>
      </c>
      <c r="C26724" s="30" t="s">
        <v>44733</v>
      </c>
      <c r="D26724" s="30" t="s">
        <v>17</v>
      </c>
      <c r="E26724" s="30" t="s">
        <v>26</v>
      </c>
      <c r="F26724" s="30" t="s">
        <v>27</v>
      </c>
      <c r="G26724" s="30" t="s">
        <v>158</v>
      </c>
      <c r="H26724" s="32">
        <v>24</v>
      </c>
      <c r="I26724" s="30" t="s">
        <v>51</v>
      </c>
      <c r="J26724" s="41">
        <v>46160</v>
      </c>
      <c r="K26724" s="30" t="s">
        <v>22</v>
      </c>
    </row>
    <row r="26725" spans="1:11">
      <c r="A26725" s="33" t="s">
        <v>58722</v>
      </c>
      <c r="B26725" s="33" t="s">
        <v>58723</v>
      </c>
      <c r="C26725" s="33" t="s">
        <v>190</v>
      </c>
      <c r="D26725" s="33" t="s">
        <v>17</v>
      </c>
      <c r="E26725" s="33" t="s">
        <v>67</v>
      </c>
      <c r="F26725" s="33" t="s">
        <v>68</v>
      </c>
      <c r="G26725" s="33" t="s">
        <v>140</v>
      </c>
      <c r="H26725" s="35">
        <v>84</v>
      </c>
      <c r="I26725" s="33" t="s">
        <v>51</v>
      </c>
      <c r="J26725" s="42">
        <v>46031</v>
      </c>
      <c r="K26725" s="33" t="s">
        <v>22</v>
      </c>
    </row>
    <row r="26726" spans="1:11">
      <c r="A26726" s="30" t="s">
        <v>58724</v>
      </c>
      <c r="B26726" s="30" t="s">
        <v>58725</v>
      </c>
      <c r="C26726" s="30" t="s">
        <v>30622</v>
      </c>
      <c r="D26726" s="30" t="s">
        <v>17</v>
      </c>
      <c r="E26726" s="30" t="s">
        <v>31</v>
      </c>
      <c r="F26726" s="30" t="s">
        <v>32</v>
      </c>
      <c r="G26726" s="30" t="s">
        <v>7780</v>
      </c>
      <c r="H26726" s="32">
        <v>20</v>
      </c>
      <c r="I26726" s="30" t="s">
        <v>51</v>
      </c>
      <c r="J26726" s="41">
        <v>46117</v>
      </c>
      <c r="K26726" s="30" t="s">
        <v>22</v>
      </c>
    </row>
    <row r="26727" spans="1:11">
      <c r="A26727" s="33" t="s">
        <v>58726</v>
      </c>
      <c r="B26727" s="33" t="s">
        <v>58727</v>
      </c>
      <c r="C26727" s="33" t="s">
        <v>17220</v>
      </c>
      <c r="D26727" s="33" t="s">
        <v>17</v>
      </c>
      <c r="E26727" s="33" t="s">
        <v>26</v>
      </c>
      <c r="F26727" s="33" t="s">
        <v>27</v>
      </c>
      <c r="G26727" s="33" t="s">
        <v>140</v>
      </c>
      <c r="H26727" s="35">
        <v>24</v>
      </c>
      <c r="I26727" s="33" t="s">
        <v>51</v>
      </c>
      <c r="J26727" s="42">
        <v>46233</v>
      </c>
      <c r="K26727" s="33" t="s">
        <v>22</v>
      </c>
    </row>
    <row r="26728" spans="1:11">
      <c r="A26728" s="30" t="s">
        <v>58728</v>
      </c>
      <c r="B26728" s="30" t="s">
        <v>58729</v>
      </c>
      <c r="C26728" s="30" t="s">
        <v>279</v>
      </c>
      <c r="D26728" s="30" t="s">
        <v>17</v>
      </c>
      <c r="E26728" s="30" t="s">
        <v>31</v>
      </c>
      <c r="F26728" s="30" t="s">
        <v>32</v>
      </c>
      <c r="G26728" s="30" t="s">
        <v>140</v>
      </c>
      <c r="H26728" s="32">
        <v>46</v>
      </c>
      <c r="I26728" s="30" t="s">
        <v>51</v>
      </c>
      <c r="J26728" s="41">
        <v>46217</v>
      </c>
      <c r="K26728" s="30" t="s">
        <v>22</v>
      </c>
    </row>
    <row r="26729" spans="1:11">
      <c r="A26729" s="33" t="s">
        <v>58730</v>
      </c>
      <c r="B26729" s="33" t="s">
        <v>58731</v>
      </c>
      <c r="C26729" s="33" t="s">
        <v>190</v>
      </c>
      <c r="D26729" s="33" t="s">
        <v>17</v>
      </c>
      <c r="E26729" s="33" t="s">
        <v>26</v>
      </c>
      <c r="F26729" s="33" t="s">
        <v>27</v>
      </c>
      <c r="G26729" s="33" t="s">
        <v>140</v>
      </c>
      <c r="H26729" s="35">
        <v>20</v>
      </c>
      <c r="I26729" s="33" t="s">
        <v>51</v>
      </c>
      <c r="J26729" s="42">
        <v>46028</v>
      </c>
      <c r="K26729" s="33" t="s">
        <v>22</v>
      </c>
    </row>
    <row r="26730" spans="1:11">
      <c r="A26730" s="30" t="s">
        <v>58732</v>
      </c>
      <c r="B26730" s="30" t="s">
        <v>58733</v>
      </c>
      <c r="C26730" s="30" t="s">
        <v>13036</v>
      </c>
      <c r="D26730" s="30" t="s">
        <v>17</v>
      </c>
      <c r="E26730" s="30" t="s">
        <v>26</v>
      </c>
      <c r="F26730" s="30" t="s">
        <v>27</v>
      </c>
      <c r="G26730" s="30" t="s">
        <v>140</v>
      </c>
      <c r="H26730" s="32">
        <v>56</v>
      </c>
      <c r="I26730" s="30" t="s">
        <v>51</v>
      </c>
      <c r="J26730" s="41">
        <v>46190</v>
      </c>
      <c r="K26730" s="30" t="s">
        <v>22</v>
      </c>
    </row>
    <row r="26731" spans="1:11">
      <c r="A26731" s="33" t="s">
        <v>58734</v>
      </c>
      <c r="B26731" s="33" t="s">
        <v>58735</v>
      </c>
      <c r="C26731" s="33" t="s">
        <v>40342</v>
      </c>
      <c r="D26731" s="33" t="s">
        <v>17</v>
      </c>
      <c r="E26731" s="33" t="s">
        <v>67</v>
      </c>
      <c r="F26731" s="33" t="s">
        <v>68</v>
      </c>
      <c r="G26731" s="33" t="s">
        <v>140</v>
      </c>
      <c r="H26731" s="35">
        <v>180</v>
      </c>
      <c r="I26731" s="33" t="s">
        <v>51</v>
      </c>
      <c r="J26731" s="42">
        <v>46125</v>
      </c>
      <c r="K26731" s="33" t="s">
        <v>22</v>
      </c>
    </row>
    <row r="26732" spans="1:11">
      <c r="A26732" s="30" t="s">
        <v>58736</v>
      </c>
      <c r="B26732" s="30" t="s">
        <v>58737</v>
      </c>
      <c r="C26732" s="30" t="s">
        <v>1764</v>
      </c>
      <c r="D26732" s="30" t="s">
        <v>17</v>
      </c>
      <c r="E26732" s="30" t="s">
        <v>212</v>
      </c>
      <c r="F26732" s="30" t="s">
        <v>213</v>
      </c>
      <c r="G26732" s="30" t="s">
        <v>140</v>
      </c>
      <c r="H26732" s="32">
        <v>90</v>
      </c>
      <c r="I26732" s="30" t="s">
        <v>51</v>
      </c>
      <c r="J26732" s="41">
        <v>46050</v>
      </c>
      <c r="K26732" s="30" t="s">
        <v>22</v>
      </c>
    </row>
    <row r="26733" spans="1:11">
      <c r="A26733" s="33" t="s">
        <v>58738</v>
      </c>
      <c r="B26733" s="33" t="s">
        <v>58739</v>
      </c>
      <c r="C26733" s="33" t="s">
        <v>48543</v>
      </c>
      <c r="D26733" s="33" t="s">
        <v>17</v>
      </c>
      <c r="E26733" s="33" t="s">
        <v>31</v>
      </c>
      <c r="F26733" s="33" t="s">
        <v>32</v>
      </c>
      <c r="G26733" s="33" t="s">
        <v>140</v>
      </c>
      <c r="H26733" s="35">
        <v>160</v>
      </c>
      <c r="I26733" s="33" t="s">
        <v>51</v>
      </c>
      <c r="J26733" s="42">
        <v>46055</v>
      </c>
      <c r="K26733" s="33" t="s">
        <v>22</v>
      </c>
    </row>
    <row r="26734" spans="1:11">
      <c r="A26734" s="30" t="s">
        <v>58740</v>
      </c>
      <c r="B26734" s="30" t="s">
        <v>58741</v>
      </c>
      <c r="C26734" s="30" t="s">
        <v>19841</v>
      </c>
      <c r="D26734" s="30" t="s">
        <v>17</v>
      </c>
      <c r="E26734" s="30" t="s">
        <v>18</v>
      </c>
      <c r="F26734" s="30" t="s">
        <v>19</v>
      </c>
      <c r="G26734" s="30" t="s">
        <v>7780</v>
      </c>
      <c r="H26734" s="32">
        <v>800</v>
      </c>
      <c r="I26734" s="30" t="s">
        <v>51</v>
      </c>
      <c r="J26734" s="41">
        <v>46082</v>
      </c>
      <c r="K26734" s="30" t="s">
        <v>22</v>
      </c>
    </row>
    <row r="26735" spans="1:11">
      <c r="A26735" s="33" t="s">
        <v>58742</v>
      </c>
      <c r="B26735" s="33" t="s">
        <v>58743</v>
      </c>
      <c r="C26735" s="33" t="s">
        <v>50450</v>
      </c>
      <c r="D26735" s="33" t="s">
        <v>17</v>
      </c>
      <c r="E26735" s="33" t="s">
        <v>45</v>
      </c>
      <c r="F26735" s="33" t="s">
        <v>46</v>
      </c>
      <c r="G26735" s="33" t="s">
        <v>140</v>
      </c>
      <c r="H26735" s="35">
        <v>332</v>
      </c>
      <c r="I26735" s="33" t="s">
        <v>51</v>
      </c>
      <c r="J26735" s="42">
        <v>46066</v>
      </c>
      <c r="K26735" s="33" t="s">
        <v>22</v>
      </c>
    </row>
    <row r="26736" spans="1:11">
      <c r="A26736" s="30" t="s">
        <v>58744</v>
      </c>
      <c r="B26736" s="30" t="s">
        <v>58745</v>
      </c>
      <c r="C26736" s="30" t="s">
        <v>17076</v>
      </c>
      <c r="D26736" s="30" t="s">
        <v>17</v>
      </c>
      <c r="E26736" s="30" t="s">
        <v>18</v>
      </c>
      <c r="F26736" s="30" t="s">
        <v>19</v>
      </c>
      <c r="G26736" s="30" t="s">
        <v>140</v>
      </c>
      <c r="H26736" s="32">
        <v>60</v>
      </c>
      <c r="I26736" s="30" t="s">
        <v>51</v>
      </c>
      <c r="J26736" s="41">
        <v>46126</v>
      </c>
      <c r="K26736" s="30" t="s">
        <v>22</v>
      </c>
    </row>
    <row r="26737" spans="1:11">
      <c r="A26737" s="33" t="s">
        <v>58746</v>
      </c>
      <c r="B26737" s="33" t="s">
        <v>58747</v>
      </c>
      <c r="C26737" s="33" t="s">
        <v>57600</v>
      </c>
      <c r="D26737" s="33" t="s">
        <v>17</v>
      </c>
      <c r="E26737" s="33" t="s">
        <v>26</v>
      </c>
      <c r="F26737" s="33" t="s">
        <v>27</v>
      </c>
      <c r="G26737" s="33" t="s">
        <v>140</v>
      </c>
      <c r="H26737" s="35">
        <v>155</v>
      </c>
      <c r="I26737" s="33" t="s">
        <v>51</v>
      </c>
      <c r="J26737" s="42">
        <v>46133</v>
      </c>
      <c r="K26737" s="33" t="s">
        <v>22</v>
      </c>
    </row>
    <row r="26738" spans="1:11">
      <c r="A26738" s="30" t="s">
        <v>58748</v>
      </c>
      <c r="B26738" s="30" t="s">
        <v>58749</v>
      </c>
      <c r="C26738" s="30" t="s">
        <v>969</v>
      </c>
      <c r="D26738" s="30" t="s">
        <v>17</v>
      </c>
      <c r="E26738" s="30" t="s">
        <v>31</v>
      </c>
      <c r="F26738" s="30" t="s">
        <v>32</v>
      </c>
      <c r="G26738" s="30" t="s">
        <v>140</v>
      </c>
      <c r="H26738" s="32">
        <v>200</v>
      </c>
      <c r="I26738" s="30" t="s">
        <v>51</v>
      </c>
      <c r="J26738" s="41">
        <v>46127</v>
      </c>
      <c r="K26738" s="30" t="s">
        <v>22</v>
      </c>
    </row>
    <row r="26739" spans="1:11">
      <c r="A26739" s="33" t="s">
        <v>58750</v>
      </c>
      <c r="B26739" s="33" t="s">
        <v>58751</v>
      </c>
      <c r="C26739" s="33" t="s">
        <v>15917</v>
      </c>
      <c r="D26739" s="33" t="s">
        <v>17</v>
      </c>
      <c r="E26739" s="33" t="s">
        <v>26</v>
      </c>
      <c r="F26739" s="33" t="s">
        <v>27</v>
      </c>
      <c r="G26739" s="33" t="s">
        <v>140</v>
      </c>
      <c r="H26739" s="35">
        <v>20</v>
      </c>
      <c r="I26739" s="33" t="s">
        <v>51</v>
      </c>
      <c r="J26739" s="42">
        <v>46116</v>
      </c>
      <c r="K26739" s="33" t="s">
        <v>22</v>
      </c>
    </row>
    <row r="26740" spans="1:11">
      <c r="A26740" s="30" t="s">
        <v>58752</v>
      </c>
      <c r="B26740" s="30" t="s">
        <v>58753</v>
      </c>
      <c r="C26740" s="30" t="s">
        <v>187</v>
      </c>
      <c r="D26740" s="30" t="s">
        <v>17</v>
      </c>
      <c r="E26740" s="30" t="s">
        <v>31</v>
      </c>
      <c r="F26740" s="30" t="s">
        <v>32</v>
      </c>
      <c r="G26740" s="30" t="s">
        <v>106</v>
      </c>
      <c r="H26740" s="32">
        <v>36</v>
      </c>
      <c r="I26740" s="30" t="s">
        <v>21</v>
      </c>
      <c r="J26740" s="41">
        <v>46100</v>
      </c>
      <c r="K26740" s="30" t="s">
        <v>22</v>
      </c>
    </row>
    <row r="26741" spans="1:11">
      <c r="A26741" s="33" t="s">
        <v>58754</v>
      </c>
      <c r="B26741" s="33" t="s">
        <v>58755</v>
      </c>
      <c r="C26741" s="33" t="s">
        <v>14640</v>
      </c>
      <c r="D26741" s="33" t="s">
        <v>17</v>
      </c>
      <c r="E26741" s="33" t="s">
        <v>67</v>
      </c>
      <c r="F26741" s="33" t="s">
        <v>68</v>
      </c>
      <c r="G26741" s="33" t="s">
        <v>140</v>
      </c>
      <c r="H26741" s="35">
        <v>92</v>
      </c>
      <c r="I26741" s="33" t="s">
        <v>51</v>
      </c>
      <c r="J26741" s="42">
        <v>46217</v>
      </c>
      <c r="K26741" s="33" t="s">
        <v>22</v>
      </c>
    </row>
    <row r="26742" spans="1:11">
      <c r="A26742" s="30" t="s">
        <v>58756</v>
      </c>
      <c r="B26742" s="30" t="s">
        <v>58757</v>
      </c>
      <c r="C26742" s="30" t="s">
        <v>38555</v>
      </c>
      <c r="D26742" s="30" t="s">
        <v>17</v>
      </c>
      <c r="E26742" s="30" t="s">
        <v>45</v>
      </c>
      <c r="F26742" s="30" t="s">
        <v>46</v>
      </c>
      <c r="G26742" s="30" t="s">
        <v>140</v>
      </c>
      <c r="H26742" s="32">
        <v>222</v>
      </c>
      <c r="I26742" s="30" t="s">
        <v>51</v>
      </c>
      <c r="J26742" s="41">
        <v>46171</v>
      </c>
      <c r="K26742" s="30" t="s">
        <v>22</v>
      </c>
    </row>
    <row r="26743" spans="1:11">
      <c r="A26743" s="33" t="s">
        <v>58758</v>
      </c>
      <c r="B26743" s="33" t="s">
        <v>58759</v>
      </c>
      <c r="C26743" s="33" t="s">
        <v>1598</v>
      </c>
      <c r="D26743" s="33" t="s">
        <v>17</v>
      </c>
      <c r="E26743" s="33" t="s">
        <v>31</v>
      </c>
      <c r="F26743" s="33" t="s">
        <v>32</v>
      </c>
      <c r="G26743" s="33" t="s">
        <v>7780</v>
      </c>
      <c r="H26743" s="35">
        <v>10</v>
      </c>
      <c r="I26743" s="33" t="s">
        <v>51</v>
      </c>
      <c r="J26743" s="42">
        <v>46057</v>
      </c>
      <c r="K26743" s="33" t="s">
        <v>22</v>
      </c>
    </row>
    <row r="26744" spans="1:11">
      <c r="A26744" s="30" t="s">
        <v>58760</v>
      </c>
      <c r="B26744" s="30" t="s">
        <v>58761</v>
      </c>
      <c r="C26744" s="30" t="s">
        <v>32821</v>
      </c>
      <c r="D26744" s="30" t="s">
        <v>17</v>
      </c>
      <c r="E26744" s="30" t="s">
        <v>45</v>
      </c>
      <c r="F26744" s="30" t="s">
        <v>46</v>
      </c>
      <c r="G26744" s="30" t="s">
        <v>7780</v>
      </c>
      <c r="H26744" s="32">
        <v>430</v>
      </c>
      <c r="I26744" s="30" t="s">
        <v>51</v>
      </c>
      <c r="J26744" s="41">
        <v>46082</v>
      </c>
      <c r="K26744" s="30" t="s">
        <v>22</v>
      </c>
    </row>
    <row r="26745" spans="1:11">
      <c r="A26745" s="33" t="s">
        <v>58762</v>
      </c>
      <c r="B26745" s="33" t="s">
        <v>58763</v>
      </c>
      <c r="C26745" s="33" t="s">
        <v>44</v>
      </c>
      <c r="D26745" s="33" t="s">
        <v>17</v>
      </c>
      <c r="E26745" s="33" t="s">
        <v>31</v>
      </c>
      <c r="F26745" s="33" t="s">
        <v>32</v>
      </c>
      <c r="G26745" s="33" t="s">
        <v>140</v>
      </c>
      <c r="H26745" s="35">
        <v>204</v>
      </c>
      <c r="I26745" s="33" t="s">
        <v>51</v>
      </c>
      <c r="J26745" s="42">
        <v>46164</v>
      </c>
      <c r="K26745" s="33" t="s">
        <v>22</v>
      </c>
    </row>
    <row r="26746" spans="1:11">
      <c r="A26746" s="30" t="s">
        <v>58764</v>
      </c>
      <c r="B26746" s="30" t="s">
        <v>58765</v>
      </c>
      <c r="C26746" s="30" t="s">
        <v>7072</v>
      </c>
      <c r="D26746" s="30" t="s">
        <v>17</v>
      </c>
      <c r="E26746" s="30" t="s">
        <v>26</v>
      </c>
      <c r="F26746" s="30" t="s">
        <v>27</v>
      </c>
      <c r="G26746" s="30" t="s">
        <v>7780</v>
      </c>
      <c r="H26746" s="32">
        <v>36</v>
      </c>
      <c r="I26746" s="30" t="s">
        <v>51</v>
      </c>
      <c r="J26746" s="41">
        <v>46223</v>
      </c>
      <c r="K26746" s="30" t="s">
        <v>22</v>
      </c>
    </row>
    <row r="26747" spans="1:11">
      <c r="A26747" s="33" t="s">
        <v>58766</v>
      </c>
      <c r="B26747" s="33" t="s">
        <v>58767</v>
      </c>
      <c r="C26747" s="33" t="s">
        <v>1148</v>
      </c>
      <c r="D26747" s="33" t="s">
        <v>17</v>
      </c>
      <c r="E26747" s="33" t="s">
        <v>212</v>
      </c>
      <c r="F26747" s="33" t="s">
        <v>213</v>
      </c>
      <c r="G26747" s="33" t="s">
        <v>140</v>
      </c>
      <c r="H26747" s="35">
        <v>100</v>
      </c>
      <c r="I26747" s="33" t="s">
        <v>51</v>
      </c>
      <c r="J26747" s="42">
        <v>46113</v>
      </c>
      <c r="K26747" s="33" t="s">
        <v>22</v>
      </c>
    </row>
    <row r="26748" spans="1:11">
      <c r="A26748" s="30" t="s">
        <v>58768</v>
      </c>
      <c r="B26748" s="30" t="s">
        <v>58769</v>
      </c>
      <c r="C26748" s="30" t="s">
        <v>178</v>
      </c>
      <c r="D26748" s="30" t="s">
        <v>17</v>
      </c>
      <c r="E26748" s="30" t="s">
        <v>26</v>
      </c>
      <c r="F26748" s="30" t="s">
        <v>27</v>
      </c>
      <c r="G26748" s="30" t="s">
        <v>140</v>
      </c>
      <c r="H26748" s="32">
        <v>50</v>
      </c>
      <c r="I26748" s="30" t="s">
        <v>51</v>
      </c>
      <c r="J26748" s="41">
        <v>46049</v>
      </c>
      <c r="K26748" s="30" t="s">
        <v>22</v>
      </c>
    </row>
    <row r="26749" spans="1:11">
      <c r="A26749" s="33" t="s">
        <v>58770</v>
      </c>
      <c r="B26749" s="33" t="s">
        <v>58771</v>
      </c>
      <c r="C26749" s="33" t="s">
        <v>58772</v>
      </c>
      <c r="D26749" s="33" t="s">
        <v>17</v>
      </c>
      <c r="E26749" s="33" t="s">
        <v>26</v>
      </c>
      <c r="F26749" s="33" t="s">
        <v>27</v>
      </c>
      <c r="G26749" s="33" t="s">
        <v>140</v>
      </c>
      <c r="H26749" s="35">
        <v>46</v>
      </c>
      <c r="I26749" s="33" t="s">
        <v>51</v>
      </c>
      <c r="J26749" s="42">
        <v>46203</v>
      </c>
      <c r="K26749" s="33" t="s">
        <v>22</v>
      </c>
    </row>
    <row r="26750" spans="1:11">
      <c r="A26750" s="30" t="s">
        <v>58773</v>
      </c>
      <c r="B26750" s="30" t="s">
        <v>58774</v>
      </c>
      <c r="C26750" s="30" t="s">
        <v>7201</v>
      </c>
      <c r="D26750" s="30" t="s">
        <v>17</v>
      </c>
      <c r="E26750" s="30" t="s">
        <v>31</v>
      </c>
      <c r="F26750" s="30" t="s">
        <v>32</v>
      </c>
      <c r="G26750" s="30" t="s">
        <v>140</v>
      </c>
      <c r="H26750" s="32">
        <v>300</v>
      </c>
      <c r="I26750" s="30" t="s">
        <v>51</v>
      </c>
      <c r="J26750" s="41">
        <v>46091</v>
      </c>
      <c r="K26750" s="30" t="s">
        <v>22</v>
      </c>
    </row>
    <row r="26751" spans="1:11">
      <c r="A26751" s="33" t="s">
        <v>58775</v>
      </c>
      <c r="B26751" s="33" t="s">
        <v>58776</v>
      </c>
      <c r="C26751" s="33" t="s">
        <v>3610</v>
      </c>
      <c r="D26751" s="33" t="s">
        <v>17</v>
      </c>
      <c r="E26751" s="33" t="s">
        <v>18</v>
      </c>
      <c r="F26751" s="33" t="s">
        <v>19</v>
      </c>
      <c r="G26751" s="33" t="s">
        <v>140</v>
      </c>
      <c r="H26751" s="35">
        <v>360</v>
      </c>
      <c r="I26751" s="33" t="s">
        <v>51</v>
      </c>
      <c r="J26751" s="42">
        <v>46154</v>
      </c>
      <c r="K26751" s="33" t="s">
        <v>22</v>
      </c>
    </row>
    <row r="26752" spans="1:11">
      <c r="A26752" s="30" t="s">
        <v>58777</v>
      </c>
      <c r="B26752" s="30" t="s">
        <v>58778</v>
      </c>
      <c r="C26752" s="30" t="s">
        <v>24225</v>
      </c>
      <c r="D26752" s="30" t="s">
        <v>17</v>
      </c>
      <c r="E26752" s="30" t="s">
        <v>67</v>
      </c>
      <c r="F26752" s="30" t="s">
        <v>68</v>
      </c>
      <c r="G26752" s="30" t="s">
        <v>140</v>
      </c>
      <c r="H26752" s="32">
        <v>90</v>
      </c>
      <c r="I26752" s="30" t="s">
        <v>51</v>
      </c>
      <c r="J26752" s="41">
        <v>46191</v>
      </c>
      <c r="K26752" s="30" t="s">
        <v>22</v>
      </c>
    </row>
    <row r="26753" spans="1:11">
      <c r="A26753" s="33" t="s">
        <v>58779</v>
      </c>
      <c r="B26753" s="33" t="s">
        <v>58780</v>
      </c>
      <c r="C26753" s="33" t="s">
        <v>109</v>
      </c>
      <c r="D26753" s="33" t="s">
        <v>17</v>
      </c>
      <c r="E26753" s="33" t="s">
        <v>212</v>
      </c>
      <c r="F26753" s="33" t="s">
        <v>213</v>
      </c>
      <c r="G26753" s="33" t="s">
        <v>7780</v>
      </c>
      <c r="H26753" s="35">
        <v>36</v>
      </c>
      <c r="I26753" s="33" t="s">
        <v>51</v>
      </c>
      <c r="J26753" s="42">
        <v>46204</v>
      </c>
      <c r="K26753" s="33" t="s">
        <v>22</v>
      </c>
    </row>
    <row r="26754" spans="1:11">
      <c r="A26754" s="30" t="s">
        <v>58781</v>
      </c>
      <c r="B26754" s="30" t="s">
        <v>58782</v>
      </c>
      <c r="C26754" s="30" t="s">
        <v>178</v>
      </c>
      <c r="D26754" s="30" t="s">
        <v>17</v>
      </c>
      <c r="E26754" s="30" t="s">
        <v>26</v>
      </c>
      <c r="F26754" s="30" t="s">
        <v>27</v>
      </c>
      <c r="G26754" s="30" t="s">
        <v>140</v>
      </c>
      <c r="H26754" s="32">
        <v>196</v>
      </c>
      <c r="I26754" s="30" t="s">
        <v>51</v>
      </c>
      <c r="J26754" s="41">
        <v>46112</v>
      </c>
      <c r="K26754" s="30" t="s">
        <v>22</v>
      </c>
    </row>
    <row r="26755" spans="1:11">
      <c r="A26755" s="33" t="s">
        <v>58783</v>
      </c>
      <c r="B26755" s="33" t="s">
        <v>58784</v>
      </c>
      <c r="C26755" s="33" t="s">
        <v>25004</v>
      </c>
      <c r="D26755" s="33" t="s">
        <v>17</v>
      </c>
      <c r="E26755" s="33" t="s">
        <v>31</v>
      </c>
      <c r="F26755" s="33" t="s">
        <v>32</v>
      </c>
      <c r="G26755" s="33" t="s">
        <v>7780</v>
      </c>
      <c r="H26755" s="35">
        <v>5</v>
      </c>
      <c r="I26755" s="33" t="s">
        <v>51</v>
      </c>
      <c r="J26755" s="42">
        <v>46204</v>
      </c>
      <c r="K26755" s="33" t="s">
        <v>22</v>
      </c>
    </row>
    <row r="26756" spans="1:11">
      <c r="A26756" s="30" t="s">
        <v>58785</v>
      </c>
      <c r="B26756" s="30" t="s">
        <v>58786</v>
      </c>
      <c r="C26756" s="30" t="s">
        <v>570</v>
      </c>
      <c r="D26756" s="30" t="s">
        <v>17</v>
      </c>
      <c r="E26756" s="30" t="s">
        <v>31</v>
      </c>
      <c r="F26756" s="30" t="s">
        <v>32</v>
      </c>
      <c r="G26756" s="30" t="s">
        <v>7780</v>
      </c>
      <c r="H26756" s="32">
        <v>60</v>
      </c>
      <c r="I26756" s="30" t="s">
        <v>51</v>
      </c>
      <c r="J26756" s="41">
        <v>46174</v>
      </c>
      <c r="K26756" s="30" t="s">
        <v>22</v>
      </c>
    </row>
    <row r="26757" spans="1:11">
      <c r="A26757" s="33" t="s">
        <v>58787</v>
      </c>
      <c r="B26757" s="33" t="s">
        <v>58788</v>
      </c>
      <c r="C26757" s="33" t="s">
        <v>49904</v>
      </c>
      <c r="D26757" s="33" t="s">
        <v>17</v>
      </c>
      <c r="E26757" s="33" t="s">
        <v>330</v>
      </c>
      <c r="F26757" s="33" t="s">
        <v>331</v>
      </c>
      <c r="G26757" s="33" t="s">
        <v>140</v>
      </c>
      <c r="H26757" s="35">
        <v>300</v>
      </c>
      <c r="I26757" s="33" t="s">
        <v>51</v>
      </c>
      <c r="J26757" s="42">
        <v>46051</v>
      </c>
      <c r="K26757" s="33" t="s">
        <v>22</v>
      </c>
    </row>
    <row r="26758" spans="1:11">
      <c r="A26758" s="30" t="s">
        <v>58789</v>
      </c>
      <c r="B26758" s="30" t="s">
        <v>58790</v>
      </c>
      <c r="C26758" s="30" t="s">
        <v>44</v>
      </c>
      <c r="D26758" s="30" t="s">
        <v>17</v>
      </c>
      <c r="E26758" s="30" t="s">
        <v>67</v>
      </c>
      <c r="F26758" s="30" t="s">
        <v>68</v>
      </c>
      <c r="G26758" s="30" t="s">
        <v>140</v>
      </c>
      <c r="H26758" s="32">
        <v>265</v>
      </c>
      <c r="I26758" s="30" t="s">
        <v>51</v>
      </c>
      <c r="J26758" s="41">
        <v>46223</v>
      </c>
      <c r="K26758" s="30" t="s">
        <v>22</v>
      </c>
    </row>
    <row r="26759" spans="1:11">
      <c r="A26759" s="33" t="s">
        <v>58791</v>
      </c>
      <c r="B26759" s="33" t="s">
        <v>58792</v>
      </c>
      <c r="C26759" s="33" t="s">
        <v>58793</v>
      </c>
      <c r="D26759" s="33" t="s">
        <v>17</v>
      </c>
      <c r="E26759" s="33" t="s">
        <v>26</v>
      </c>
      <c r="F26759" s="33" t="s">
        <v>27</v>
      </c>
      <c r="G26759" s="33" t="s">
        <v>140</v>
      </c>
      <c r="H26759" s="35">
        <v>210</v>
      </c>
      <c r="I26759" s="33" t="s">
        <v>51</v>
      </c>
      <c r="J26759" s="42">
        <v>46190</v>
      </c>
      <c r="K26759" s="33" t="s">
        <v>22</v>
      </c>
    </row>
    <row r="26760" spans="1:11">
      <c r="A26760" s="30" t="s">
        <v>58794</v>
      </c>
      <c r="B26760" s="30" t="s">
        <v>58795</v>
      </c>
      <c r="C26760" s="30" t="s">
        <v>5636</v>
      </c>
      <c r="D26760" s="30" t="s">
        <v>17</v>
      </c>
      <c r="E26760" s="30" t="s">
        <v>18</v>
      </c>
      <c r="F26760" s="30" t="s">
        <v>19</v>
      </c>
      <c r="G26760" s="30" t="s">
        <v>7780</v>
      </c>
      <c r="H26760" s="32">
        <v>900</v>
      </c>
      <c r="I26760" s="30" t="s">
        <v>51</v>
      </c>
      <c r="J26760" s="41">
        <v>46112</v>
      </c>
      <c r="K26760" s="30" t="s">
        <v>22</v>
      </c>
    </row>
    <row r="26761" spans="1:11">
      <c r="A26761" s="33" t="s">
        <v>58796</v>
      </c>
      <c r="B26761" s="33" t="s">
        <v>58797</v>
      </c>
      <c r="C26761" s="33" t="s">
        <v>15917</v>
      </c>
      <c r="D26761" s="33" t="s">
        <v>17</v>
      </c>
      <c r="E26761" s="33" t="s">
        <v>31</v>
      </c>
      <c r="F26761" s="33" t="s">
        <v>32</v>
      </c>
      <c r="G26761" s="33" t="s">
        <v>158</v>
      </c>
      <c r="H26761" s="35">
        <v>30</v>
      </c>
      <c r="I26761" s="33" t="s">
        <v>21</v>
      </c>
      <c r="J26761" s="42">
        <v>46041</v>
      </c>
      <c r="K26761" s="33" t="s">
        <v>22</v>
      </c>
    </row>
    <row r="26762" spans="1:11">
      <c r="A26762" s="30" t="s">
        <v>58798</v>
      </c>
      <c r="B26762" s="30" t="s">
        <v>58799</v>
      </c>
      <c r="C26762" s="30" t="s">
        <v>109</v>
      </c>
      <c r="D26762" s="30" t="s">
        <v>17</v>
      </c>
      <c r="E26762" s="30" t="s">
        <v>31</v>
      </c>
      <c r="F26762" s="30" t="s">
        <v>32</v>
      </c>
      <c r="G26762" s="30" t="s">
        <v>140</v>
      </c>
      <c r="H26762" s="32">
        <v>32</v>
      </c>
      <c r="I26762" s="30" t="s">
        <v>51</v>
      </c>
      <c r="J26762" s="41">
        <v>46107</v>
      </c>
      <c r="K26762" s="30" t="s">
        <v>22</v>
      </c>
    </row>
    <row r="26763" spans="1:11">
      <c r="A26763" s="33" t="s">
        <v>58800</v>
      </c>
      <c r="B26763" s="33" t="s">
        <v>58801</v>
      </c>
      <c r="C26763" s="33" t="s">
        <v>13882</v>
      </c>
      <c r="D26763" s="33" t="s">
        <v>17</v>
      </c>
      <c r="E26763" s="33" t="s">
        <v>26</v>
      </c>
      <c r="F26763" s="33" t="s">
        <v>27</v>
      </c>
      <c r="G26763" s="33" t="s">
        <v>7780</v>
      </c>
      <c r="H26763" s="35">
        <v>120</v>
      </c>
      <c r="I26763" s="33" t="s">
        <v>51</v>
      </c>
      <c r="J26763" s="42">
        <v>46204</v>
      </c>
      <c r="K26763" s="33" t="s">
        <v>22</v>
      </c>
    </row>
    <row r="26764" spans="1:11">
      <c r="A26764" s="30" t="s">
        <v>58802</v>
      </c>
      <c r="B26764" s="30" t="s">
        <v>58803</v>
      </c>
      <c r="C26764" s="30" t="s">
        <v>517</v>
      </c>
      <c r="D26764" s="30" t="s">
        <v>17</v>
      </c>
      <c r="E26764" s="30" t="s">
        <v>26</v>
      </c>
      <c r="F26764" s="30" t="s">
        <v>27</v>
      </c>
      <c r="G26764" s="30" t="s">
        <v>7780</v>
      </c>
      <c r="H26764" s="32">
        <v>44</v>
      </c>
      <c r="I26764" s="30" t="s">
        <v>51</v>
      </c>
      <c r="J26764" s="41">
        <v>46204</v>
      </c>
      <c r="K26764" s="30" t="s">
        <v>22</v>
      </c>
    </row>
    <row r="26765" spans="1:11">
      <c r="A26765" s="33" t="s">
        <v>58804</v>
      </c>
      <c r="B26765" s="33" t="s">
        <v>58805</v>
      </c>
      <c r="C26765" s="33" t="s">
        <v>93</v>
      </c>
      <c r="D26765" s="33" t="s">
        <v>17</v>
      </c>
      <c r="E26765" s="33" t="s">
        <v>26</v>
      </c>
      <c r="F26765" s="33" t="s">
        <v>27</v>
      </c>
      <c r="G26765" s="33" t="s">
        <v>140</v>
      </c>
      <c r="H26765" s="35">
        <v>64</v>
      </c>
      <c r="I26765" s="33" t="s">
        <v>51</v>
      </c>
      <c r="J26765" s="42">
        <v>46231</v>
      </c>
      <c r="K26765" s="33" t="s">
        <v>22</v>
      </c>
    </row>
    <row r="26766" spans="1:11">
      <c r="A26766" s="30" t="s">
        <v>58806</v>
      </c>
      <c r="B26766" s="30" t="s">
        <v>58807</v>
      </c>
      <c r="C26766" s="30" t="s">
        <v>21691</v>
      </c>
      <c r="D26766" s="30" t="s">
        <v>17</v>
      </c>
      <c r="E26766" s="30" t="s">
        <v>67</v>
      </c>
      <c r="F26766" s="30" t="s">
        <v>68</v>
      </c>
      <c r="G26766" s="30" t="s">
        <v>140</v>
      </c>
      <c r="H26766" s="32">
        <v>40</v>
      </c>
      <c r="I26766" s="30" t="s">
        <v>51</v>
      </c>
      <c r="J26766" s="41">
        <v>46190</v>
      </c>
      <c r="K26766" s="30" t="s">
        <v>22</v>
      </c>
    </row>
    <row r="26767" spans="1:11">
      <c r="A26767" s="33" t="s">
        <v>58808</v>
      </c>
      <c r="B26767" s="33" t="s">
        <v>58809</v>
      </c>
      <c r="C26767" s="33" t="s">
        <v>14483</v>
      </c>
      <c r="D26767" s="33" t="s">
        <v>17</v>
      </c>
      <c r="E26767" s="33" t="s">
        <v>31</v>
      </c>
      <c r="F26767" s="33" t="s">
        <v>32</v>
      </c>
      <c r="G26767" s="33" t="s">
        <v>140</v>
      </c>
      <c r="H26767" s="35">
        <v>74</v>
      </c>
      <c r="I26767" s="33" t="s">
        <v>51</v>
      </c>
      <c r="J26767" s="42">
        <v>46202</v>
      </c>
      <c r="K26767" s="33" t="s">
        <v>22</v>
      </c>
    </row>
    <row r="26768" spans="1:11">
      <c r="A26768" s="30" t="s">
        <v>58810</v>
      </c>
      <c r="B26768" s="30" t="s">
        <v>58811</v>
      </c>
      <c r="C26768" s="30" t="s">
        <v>178</v>
      </c>
      <c r="D26768" s="30" t="s">
        <v>17</v>
      </c>
      <c r="E26768" s="30" t="s">
        <v>31</v>
      </c>
      <c r="F26768" s="30" t="s">
        <v>32</v>
      </c>
      <c r="G26768" s="30" t="s">
        <v>140</v>
      </c>
      <c r="H26768" s="32">
        <v>30</v>
      </c>
      <c r="I26768" s="30" t="s">
        <v>51</v>
      </c>
      <c r="J26768" s="41">
        <v>46167</v>
      </c>
      <c r="K26768" s="30" t="s">
        <v>22</v>
      </c>
    </row>
    <row r="26769" spans="1:11">
      <c r="A26769" s="33" t="s">
        <v>58812</v>
      </c>
      <c r="B26769" s="33" t="s">
        <v>58813</v>
      </c>
      <c r="C26769" s="33" t="s">
        <v>50669</v>
      </c>
      <c r="D26769" s="33" t="s">
        <v>17</v>
      </c>
      <c r="E26769" s="33" t="s">
        <v>45</v>
      </c>
      <c r="F26769" s="33" t="s">
        <v>46</v>
      </c>
      <c r="G26769" s="33" t="s">
        <v>140</v>
      </c>
      <c r="H26769" s="35">
        <v>680</v>
      </c>
      <c r="I26769" s="33" t="s">
        <v>51</v>
      </c>
      <c r="J26769" s="42">
        <v>46108</v>
      </c>
      <c r="K26769" s="33" t="s">
        <v>22</v>
      </c>
    </row>
    <row r="26770" spans="1:11">
      <c r="A26770" s="30" t="s">
        <v>58814</v>
      </c>
      <c r="B26770" s="30" t="s">
        <v>58815</v>
      </c>
      <c r="C26770" s="30" t="s">
        <v>39447</v>
      </c>
      <c r="D26770" s="30" t="s">
        <v>17</v>
      </c>
      <c r="E26770" s="30" t="s">
        <v>26</v>
      </c>
      <c r="F26770" s="30" t="s">
        <v>27</v>
      </c>
      <c r="G26770" s="30" t="s">
        <v>20</v>
      </c>
      <c r="H26770" s="32">
        <v>48</v>
      </c>
      <c r="I26770" s="30" t="s">
        <v>21</v>
      </c>
      <c r="J26770" s="41">
        <v>46122</v>
      </c>
      <c r="K26770" s="30" t="s">
        <v>22</v>
      </c>
    </row>
    <row r="26771" spans="1:11">
      <c r="A26771" s="33" t="s">
        <v>58816</v>
      </c>
      <c r="B26771" s="33" t="s">
        <v>58817</v>
      </c>
      <c r="C26771" s="33" t="s">
        <v>787</v>
      </c>
      <c r="D26771" s="33" t="s">
        <v>17</v>
      </c>
      <c r="E26771" s="33" t="s">
        <v>31</v>
      </c>
      <c r="F26771" s="33" t="s">
        <v>32</v>
      </c>
      <c r="G26771" s="33" t="s">
        <v>140</v>
      </c>
      <c r="H26771" s="35">
        <v>105</v>
      </c>
      <c r="I26771" s="33" t="s">
        <v>51</v>
      </c>
      <c r="J26771" s="42">
        <v>46139</v>
      </c>
      <c r="K26771" s="33" t="s">
        <v>22</v>
      </c>
    </row>
    <row r="26772" spans="1:11">
      <c r="A26772" s="30" t="s">
        <v>58818</v>
      </c>
      <c r="B26772" s="30" t="s">
        <v>58819</v>
      </c>
      <c r="C26772" s="30" t="s">
        <v>25186</v>
      </c>
      <c r="D26772" s="30" t="s">
        <v>17</v>
      </c>
      <c r="E26772" s="30" t="s">
        <v>31</v>
      </c>
      <c r="F26772" s="30" t="s">
        <v>32</v>
      </c>
      <c r="G26772" s="30" t="s">
        <v>140</v>
      </c>
      <c r="H26772" s="32">
        <v>372</v>
      </c>
      <c r="I26772" s="30" t="s">
        <v>51</v>
      </c>
      <c r="J26772" s="41">
        <v>46112</v>
      </c>
      <c r="K26772" s="30" t="s">
        <v>22</v>
      </c>
    </row>
    <row r="26773" spans="1:11">
      <c r="A26773" s="33" t="s">
        <v>58820</v>
      </c>
      <c r="B26773" s="33" t="s">
        <v>58821</v>
      </c>
      <c r="C26773" s="33" t="s">
        <v>4328</v>
      </c>
      <c r="D26773" s="33" t="s">
        <v>17</v>
      </c>
      <c r="E26773" s="33" t="s">
        <v>26</v>
      </c>
      <c r="F26773" s="33" t="s">
        <v>27</v>
      </c>
      <c r="G26773" s="33" t="s">
        <v>7780</v>
      </c>
      <c r="H26773" s="35">
        <v>102</v>
      </c>
      <c r="I26773" s="33" t="s">
        <v>51</v>
      </c>
      <c r="J26773" s="42">
        <v>46234</v>
      </c>
      <c r="K26773" s="33" t="s">
        <v>22</v>
      </c>
    </row>
    <row r="26774" spans="1:11">
      <c r="A26774" s="30" t="s">
        <v>58822</v>
      </c>
      <c r="B26774" s="30" t="s">
        <v>58823</v>
      </c>
      <c r="C26774" s="30" t="s">
        <v>190</v>
      </c>
      <c r="D26774" s="30" t="s">
        <v>17</v>
      </c>
      <c r="E26774" s="30" t="s">
        <v>31</v>
      </c>
      <c r="F26774" s="30" t="s">
        <v>32</v>
      </c>
      <c r="G26774" s="30" t="s">
        <v>140</v>
      </c>
      <c r="H26774" s="32">
        <v>24</v>
      </c>
      <c r="I26774" s="30" t="s">
        <v>51</v>
      </c>
      <c r="J26774" s="41">
        <v>46148</v>
      </c>
      <c r="K26774" s="30" t="s">
        <v>22</v>
      </c>
    </row>
    <row r="26775" spans="1:11">
      <c r="A26775" s="33" t="s">
        <v>58824</v>
      </c>
      <c r="B26775" s="33" t="s">
        <v>58825</v>
      </c>
      <c r="C26775" s="33" t="s">
        <v>647</v>
      </c>
      <c r="D26775" s="33" t="s">
        <v>17</v>
      </c>
      <c r="E26775" s="33" t="s">
        <v>26</v>
      </c>
      <c r="F26775" s="33" t="s">
        <v>27</v>
      </c>
      <c r="G26775" s="33" t="s">
        <v>20</v>
      </c>
      <c r="H26775" s="35">
        <v>62</v>
      </c>
      <c r="I26775" s="33" t="s">
        <v>21</v>
      </c>
      <c r="J26775" s="42">
        <v>46044</v>
      </c>
      <c r="K26775" s="33" t="s">
        <v>22</v>
      </c>
    </row>
    <row r="26776" spans="1:11">
      <c r="A26776" s="30" t="s">
        <v>58826</v>
      </c>
      <c r="B26776" s="30" t="s">
        <v>58827</v>
      </c>
      <c r="C26776" s="30" t="s">
        <v>1154</v>
      </c>
      <c r="D26776" s="30" t="s">
        <v>17</v>
      </c>
      <c r="E26776" s="30" t="s">
        <v>18</v>
      </c>
      <c r="F26776" s="30" t="s">
        <v>19</v>
      </c>
      <c r="G26776" s="30" t="s">
        <v>112</v>
      </c>
      <c r="H26776" s="32">
        <v>0</v>
      </c>
      <c r="I26776" s="30" t="s">
        <v>21</v>
      </c>
      <c r="J26776" s="41">
        <v>46174</v>
      </c>
      <c r="K26776" s="30" t="s">
        <v>22</v>
      </c>
    </row>
    <row r="26777" spans="1:11">
      <c r="A26777" s="33" t="s">
        <v>58828</v>
      </c>
      <c r="B26777" s="33" t="s">
        <v>58829</v>
      </c>
      <c r="C26777" s="33" t="s">
        <v>75</v>
      </c>
      <c r="D26777" s="33" t="s">
        <v>17</v>
      </c>
      <c r="E26777" s="33" t="s">
        <v>45</v>
      </c>
      <c r="F26777" s="33" t="s">
        <v>46</v>
      </c>
      <c r="G26777" s="33" t="s">
        <v>140</v>
      </c>
      <c r="H26777" s="35">
        <v>590</v>
      </c>
      <c r="I26777" s="33" t="s">
        <v>51</v>
      </c>
      <c r="J26777" s="42">
        <v>46024</v>
      </c>
      <c r="K26777" s="33" t="s">
        <v>22</v>
      </c>
    </row>
    <row r="26778" spans="1:11">
      <c r="A26778" s="30" t="s">
        <v>58830</v>
      </c>
      <c r="B26778" s="30" t="s">
        <v>58831</v>
      </c>
      <c r="C26778" s="30" t="s">
        <v>14457</v>
      </c>
      <c r="D26778" s="30" t="s">
        <v>17</v>
      </c>
      <c r="E26778" s="30" t="s">
        <v>18</v>
      </c>
      <c r="F26778" s="30" t="s">
        <v>19</v>
      </c>
      <c r="G26778" s="30" t="s">
        <v>140</v>
      </c>
      <c r="H26778" s="32">
        <v>900</v>
      </c>
      <c r="I26778" s="30" t="s">
        <v>51</v>
      </c>
      <c r="J26778" s="41">
        <v>46090</v>
      </c>
      <c r="K26778" s="30" t="s">
        <v>22</v>
      </c>
    </row>
    <row r="26779" spans="1:11">
      <c r="A26779" s="33" t="s">
        <v>58832</v>
      </c>
      <c r="B26779" s="33" t="s">
        <v>58833</v>
      </c>
      <c r="C26779" s="33" t="s">
        <v>56957</v>
      </c>
      <c r="D26779" s="33" t="s">
        <v>17</v>
      </c>
      <c r="E26779" s="33" t="s">
        <v>67</v>
      </c>
      <c r="F26779" s="33" t="s">
        <v>68</v>
      </c>
      <c r="G26779" s="33" t="s">
        <v>140</v>
      </c>
      <c r="H26779" s="35">
        <v>24</v>
      </c>
      <c r="I26779" s="33" t="s">
        <v>51</v>
      </c>
      <c r="J26779" s="42">
        <v>46083</v>
      </c>
      <c r="K26779" s="33" t="s">
        <v>22</v>
      </c>
    </row>
    <row r="26780" spans="1:11">
      <c r="A26780" s="30" t="s">
        <v>58834</v>
      </c>
      <c r="B26780" s="30" t="s">
        <v>58835</v>
      </c>
      <c r="C26780" s="30" t="s">
        <v>124</v>
      </c>
      <c r="D26780" s="30" t="s">
        <v>17</v>
      </c>
      <c r="E26780" s="30" t="s">
        <v>26</v>
      </c>
      <c r="F26780" s="30" t="s">
        <v>27</v>
      </c>
      <c r="G26780" s="30" t="s">
        <v>7780</v>
      </c>
      <c r="H26780" s="32">
        <v>275</v>
      </c>
      <c r="I26780" s="30" t="s">
        <v>51</v>
      </c>
      <c r="J26780" s="41">
        <v>46212</v>
      </c>
      <c r="K26780" s="30" t="s">
        <v>22</v>
      </c>
    </row>
    <row r="26781" spans="1:11">
      <c r="A26781" s="33" t="s">
        <v>58836</v>
      </c>
      <c r="B26781" s="33" t="s">
        <v>58837</v>
      </c>
      <c r="C26781" s="33" t="s">
        <v>23956</v>
      </c>
      <c r="D26781" s="33" t="s">
        <v>17</v>
      </c>
      <c r="E26781" s="33" t="s">
        <v>31</v>
      </c>
      <c r="F26781" s="33" t="s">
        <v>32</v>
      </c>
      <c r="G26781" s="33" t="s">
        <v>7780</v>
      </c>
      <c r="H26781" s="35">
        <v>174</v>
      </c>
      <c r="I26781" s="33" t="s">
        <v>51</v>
      </c>
      <c r="J26781" s="42">
        <v>46204</v>
      </c>
      <c r="K26781" s="33" t="s">
        <v>22</v>
      </c>
    </row>
    <row r="26782" spans="1:11">
      <c r="A26782" s="30" t="s">
        <v>58838</v>
      </c>
      <c r="B26782" s="30" t="s">
        <v>58839</v>
      </c>
      <c r="C26782" s="30" t="s">
        <v>12980</v>
      </c>
      <c r="D26782" s="30" t="s">
        <v>17</v>
      </c>
      <c r="E26782" s="30" t="s">
        <v>26</v>
      </c>
      <c r="F26782" s="30" t="s">
        <v>27</v>
      </c>
      <c r="G26782" s="30" t="s">
        <v>140</v>
      </c>
      <c r="H26782" s="32">
        <v>20</v>
      </c>
      <c r="I26782" s="30" t="s">
        <v>51</v>
      </c>
      <c r="J26782" s="41">
        <v>46163</v>
      </c>
      <c r="K26782" s="30" t="s">
        <v>22</v>
      </c>
    </row>
    <row r="26783" spans="1:11">
      <c r="A26783" s="33" t="s">
        <v>58840</v>
      </c>
      <c r="B26783" s="33" t="s">
        <v>58841</v>
      </c>
      <c r="C26783" s="33" t="s">
        <v>8271</v>
      </c>
      <c r="D26783" s="33" t="s">
        <v>17</v>
      </c>
      <c r="E26783" s="33" t="s">
        <v>31</v>
      </c>
      <c r="F26783" s="33" t="s">
        <v>32</v>
      </c>
      <c r="G26783" s="33" t="s">
        <v>7780</v>
      </c>
      <c r="H26783" s="35">
        <v>30</v>
      </c>
      <c r="I26783" s="33" t="s">
        <v>51</v>
      </c>
      <c r="J26783" s="42">
        <v>46203</v>
      </c>
      <c r="K26783" s="33" t="s">
        <v>22</v>
      </c>
    </row>
    <row r="26784" spans="1:11">
      <c r="A26784" s="30" t="s">
        <v>58842</v>
      </c>
      <c r="B26784" s="30" t="s">
        <v>58843</v>
      </c>
      <c r="C26784" s="30" t="s">
        <v>231</v>
      </c>
      <c r="D26784" s="30" t="s">
        <v>17</v>
      </c>
      <c r="E26784" s="30" t="s">
        <v>26</v>
      </c>
      <c r="F26784" s="30" t="s">
        <v>27</v>
      </c>
      <c r="G26784" s="30" t="s">
        <v>20</v>
      </c>
      <c r="H26784" s="32">
        <v>14</v>
      </c>
      <c r="I26784" s="30" t="s">
        <v>21</v>
      </c>
      <c r="J26784" s="41">
        <v>46059</v>
      </c>
      <c r="K26784" s="30" t="s">
        <v>22</v>
      </c>
    </row>
    <row r="26785" spans="1:11">
      <c r="A26785" s="33" t="s">
        <v>58844</v>
      </c>
      <c r="B26785" s="33" t="s">
        <v>58845</v>
      </c>
      <c r="C26785" s="33" t="s">
        <v>22605</v>
      </c>
      <c r="D26785" s="33" t="s">
        <v>17</v>
      </c>
      <c r="E26785" s="33" t="s">
        <v>330</v>
      </c>
      <c r="F26785" s="33" t="s">
        <v>331</v>
      </c>
      <c r="G26785" s="33" t="s">
        <v>7780</v>
      </c>
      <c r="H26785" s="35">
        <v>50</v>
      </c>
      <c r="I26785" s="33" t="s">
        <v>51</v>
      </c>
      <c r="J26785" s="42">
        <v>46129</v>
      </c>
      <c r="K26785" s="33" t="s">
        <v>22</v>
      </c>
    </row>
    <row r="26786" spans="1:11">
      <c r="A26786" s="30" t="s">
        <v>58846</v>
      </c>
      <c r="B26786" s="30" t="s">
        <v>58847</v>
      </c>
      <c r="C26786" s="30" t="s">
        <v>715</v>
      </c>
      <c r="D26786" s="30" t="s">
        <v>17</v>
      </c>
      <c r="E26786" s="30" t="s">
        <v>26</v>
      </c>
      <c r="F26786" s="30" t="s">
        <v>27</v>
      </c>
      <c r="G26786" s="30" t="s">
        <v>140</v>
      </c>
      <c r="H26786" s="32">
        <v>54</v>
      </c>
      <c r="I26786" s="30" t="s">
        <v>51</v>
      </c>
      <c r="J26786" s="41">
        <v>46056</v>
      </c>
      <c r="K26786" s="30" t="s">
        <v>22</v>
      </c>
    </row>
    <row r="26787" spans="1:11">
      <c r="A26787" s="33" t="s">
        <v>58848</v>
      </c>
      <c r="B26787" s="33" t="s">
        <v>58849</v>
      </c>
      <c r="C26787" s="33" t="s">
        <v>21247</v>
      </c>
      <c r="D26787" s="33" t="s">
        <v>17</v>
      </c>
      <c r="E26787" s="33" t="s">
        <v>31</v>
      </c>
      <c r="F26787" s="33" t="s">
        <v>32</v>
      </c>
      <c r="G26787" s="33" t="s">
        <v>2613</v>
      </c>
      <c r="H26787" s="35">
        <v>210</v>
      </c>
      <c r="I26787" s="33" t="s">
        <v>51</v>
      </c>
      <c r="J26787" s="42">
        <v>46106</v>
      </c>
      <c r="K26787" s="33" t="s">
        <v>22</v>
      </c>
    </row>
    <row r="26788" spans="1:11">
      <c r="A26788" s="30" t="s">
        <v>58850</v>
      </c>
      <c r="B26788" s="30" t="s">
        <v>58851</v>
      </c>
      <c r="C26788" s="30" t="s">
        <v>252</v>
      </c>
      <c r="D26788" s="30" t="s">
        <v>17</v>
      </c>
      <c r="E26788" s="30" t="s">
        <v>31</v>
      </c>
      <c r="F26788" s="30" t="s">
        <v>32</v>
      </c>
      <c r="G26788" s="30" t="s">
        <v>140</v>
      </c>
      <c r="H26788" s="32">
        <v>348</v>
      </c>
      <c r="I26788" s="30" t="s">
        <v>51</v>
      </c>
      <c r="J26788" s="41">
        <v>46213</v>
      </c>
      <c r="K26788" s="30" t="s">
        <v>22</v>
      </c>
    </row>
    <row r="26789" spans="1:11">
      <c r="A26789" s="33" t="s">
        <v>58852</v>
      </c>
      <c r="B26789" s="33" t="s">
        <v>58853</v>
      </c>
      <c r="C26789" s="33" t="s">
        <v>31578</v>
      </c>
      <c r="D26789" s="33" t="s">
        <v>17</v>
      </c>
      <c r="E26789" s="33" t="s">
        <v>31</v>
      </c>
      <c r="F26789" s="33" t="s">
        <v>32</v>
      </c>
      <c r="G26789" s="33" t="s">
        <v>140</v>
      </c>
      <c r="H26789" s="35">
        <v>100</v>
      </c>
      <c r="I26789" s="33" t="s">
        <v>51</v>
      </c>
      <c r="J26789" s="42">
        <v>46195</v>
      </c>
      <c r="K26789" s="33" t="s">
        <v>22</v>
      </c>
    </row>
    <row r="26790" spans="1:11">
      <c r="A26790" s="30" t="s">
        <v>58854</v>
      </c>
      <c r="B26790" s="30" t="s">
        <v>58855</v>
      </c>
      <c r="C26790" s="30" t="s">
        <v>11899</v>
      </c>
      <c r="D26790" s="30" t="s">
        <v>17</v>
      </c>
      <c r="E26790" s="30" t="s">
        <v>67</v>
      </c>
      <c r="F26790" s="30" t="s">
        <v>68</v>
      </c>
      <c r="G26790" s="30" t="s">
        <v>140</v>
      </c>
      <c r="H26790" s="32">
        <v>92</v>
      </c>
      <c r="I26790" s="30" t="s">
        <v>51</v>
      </c>
      <c r="J26790" s="41">
        <v>46028</v>
      </c>
      <c r="K26790" s="30" t="s">
        <v>22</v>
      </c>
    </row>
    <row r="26791" spans="1:11">
      <c r="A26791" s="33" t="s">
        <v>58856</v>
      </c>
      <c r="B26791" s="33" t="s">
        <v>58857</v>
      </c>
      <c r="C26791" s="33" t="s">
        <v>58858</v>
      </c>
      <c r="D26791" s="33" t="s">
        <v>17</v>
      </c>
      <c r="E26791" s="33" t="s">
        <v>31</v>
      </c>
      <c r="F26791" s="33" t="s">
        <v>32</v>
      </c>
      <c r="G26791" s="33" t="s">
        <v>140</v>
      </c>
      <c r="H26791" s="35">
        <v>60</v>
      </c>
      <c r="I26791" s="33" t="s">
        <v>51</v>
      </c>
      <c r="J26791" s="42">
        <v>46101</v>
      </c>
      <c r="K26791" s="33" t="s">
        <v>22</v>
      </c>
    </row>
    <row r="26792" spans="1:11">
      <c r="A26792" s="30" t="s">
        <v>58859</v>
      </c>
      <c r="B26792" s="30" t="s">
        <v>58860</v>
      </c>
      <c r="C26792" s="30" t="s">
        <v>22650</v>
      </c>
      <c r="D26792" s="30" t="s">
        <v>17</v>
      </c>
      <c r="E26792" s="30" t="s">
        <v>18</v>
      </c>
      <c r="F26792" s="30" t="s">
        <v>19</v>
      </c>
      <c r="G26792" s="30" t="s">
        <v>7780</v>
      </c>
      <c r="H26792" s="32">
        <v>180</v>
      </c>
      <c r="I26792" s="30" t="s">
        <v>51</v>
      </c>
      <c r="J26792" s="41">
        <v>46129</v>
      </c>
      <c r="K26792" s="30" t="s">
        <v>22</v>
      </c>
    </row>
    <row r="26793" spans="1:11">
      <c r="A26793" s="33" t="s">
        <v>58861</v>
      </c>
      <c r="B26793" s="33" t="s">
        <v>58862</v>
      </c>
      <c r="C26793" s="33" t="s">
        <v>5084</v>
      </c>
      <c r="D26793" s="33" t="s">
        <v>17</v>
      </c>
      <c r="E26793" s="33" t="s">
        <v>26</v>
      </c>
      <c r="F26793" s="33" t="s">
        <v>27</v>
      </c>
      <c r="G26793" s="33" t="s">
        <v>158</v>
      </c>
      <c r="H26793" s="35">
        <v>104</v>
      </c>
      <c r="I26793" s="33" t="s">
        <v>21</v>
      </c>
      <c r="J26793" s="42">
        <v>46032</v>
      </c>
      <c r="K26793" s="33" t="s">
        <v>22</v>
      </c>
    </row>
    <row r="26794" spans="1:11">
      <c r="A26794" s="30" t="s">
        <v>58863</v>
      </c>
      <c r="B26794" s="30" t="s">
        <v>58864</v>
      </c>
      <c r="C26794" s="30" t="s">
        <v>136</v>
      </c>
      <c r="D26794" s="30" t="s">
        <v>17</v>
      </c>
      <c r="E26794" s="30" t="s">
        <v>26</v>
      </c>
      <c r="F26794" s="30" t="s">
        <v>27</v>
      </c>
      <c r="G26794" s="30" t="s">
        <v>140</v>
      </c>
      <c r="H26794" s="32">
        <v>115</v>
      </c>
      <c r="I26794" s="30" t="s">
        <v>51</v>
      </c>
      <c r="J26794" s="41">
        <v>46197</v>
      </c>
      <c r="K26794" s="30" t="s">
        <v>22</v>
      </c>
    </row>
    <row r="26795" spans="1:11">
      <c r="A26795" s="33" t="s">
        <v>58865</v>
      </c>
      <c r="B26795" s="33" t="s">
        <v>58866</v>
      </c>
      <c r="C26795" s="33" t="s">
        <v>368</v>
      </c>
      <c r="D26795" s="33" t="s">
        <v>17</v>
      </c>
      <c r="E26795" s="33" t="s">
        <v>26</v>
      </c>
      <c r="F26795" s="33" t="s">
        <v>27</v>
      </c>
      <c r="G26795" s="33" t="s">
        <v>140</v>
      </c>
      <c r="H26795" s="35">
        <v>44</v>
      </c>
      <c r="I26795" s="33" t="s">
        <v>51</v>
      </c>
      <c r="J26795" s="42">
        <v>46174</v>
      </c>
      <c r="K26795" s="33" t="s">
        <v>22</v>
      </c>
    </row>
    <row r="26796" spans="1:11">
      <c r="A26796" s="30" t="s">
        <v>58867</v>
      </c>
      <c r="B26796" s="30" t="s">
        <v>58868</v>
      </c>
      <c r="C26796" s="30" t="s">
        <v>109</v>
      </c>
      <c r="D26796" s="30" t="s">
        <v>17</v>
      </c>
      <c r="E26796" s="30" t="s">
        <v>26</v>
      </c>
      <c r="F26796" s="30" t="s">
        <v>27</v>
      </c>
      <c r="G26796" s="30" t="s">
        <v>140</v>
      </c>
      <c r="H26796" s="32">
        <v>24</v>
      </c>
      <c r="I26796" s="30" t="s">
        <v>51</v>
      </c>
      <c r="J26796" s="41">
        <v>46185</v>
      </c>
      <c r="K26796" s="30" t="s">
        <v>22</v>
      </c>
    </row>
    <row r="26797" spans="1:11">
      <c r="A26797" s="33" t="s">
        <v>58869</v>
      </c>
      <c r="B26797" s="33" t="s">
        <v>58870</v>
      </c>
      <c r="C26797" s="33" t="s">
        <v>58871</v>
      </c>
      <c r="D26797" s="33" t="s">
        <v>17</v>
      </c>
      <c r="E26797" s="33" t="s">
        <v>26</v>
      </c>
      <c r="F26797" s="33" t="s">
        <v>27</v>
      </c>
      <c r="G26797" s="33" t="s">
        <v>7780</v>
      </c>
      <c r="H26797" s="35">
        <v>36</v>
      </c>
      <c r="I26797" s="33" t="s">
        <v>51</v>
      </c>
      <c r="J26797" s="42">
        <v>46023</v>
      </c>
      <c r="K26797" s="33" t="s">
        <v>22</v>
      </c>
    </row>
    <row r="26798" spans="1:11">
      <c r="A26798" s="30" t="s">
        <v>58872</v>
      </c>
      <c r="B26798" s="30" t="s">
        <v>58873</v>
      </c>
      <c r="C26798" s="30" t="s">
        <v>56957</v>
      </c>
      <c r="D26798" s="30" t="s">
        <v>17</v>
      </c>
      <c r="E26798" s="30" t="s">
        <v>67</v>
      </c>
      <c r="F26798" s="30" t="s">
        <v>68</v>
      </c>
      <c r="G26798" s="30" t="s">
        <v>140</v>
      </c>
      <c r="H26798" s="32">
        <v>36</v>
      </c>
      <c r="I26798" s="30" t="s">
        <v>51</v>
      </c>
      <c r="J26798" s="41">
        <v>46083</v>
      </c>
      <c r="K26798" s="30" t="s">
        <v>22</v>
      </c>
    </row>
    <row r="26799" spans="1:11">
      <c r="A26799" s="33" t="s">
        <v>58874</v>
      </c>
      <c r="B26799" s="33" t="s">
        <v>58875</v>
      </c>
      <c r="C26799" s="33" t="s">
        <v>33372</v>
      </c>
      <c r="D26799" s="33" t="s">
        <v>17</v>
      </c>
      <c r="E26799" s="33" t="s">
        <v>67</v>
      </c>
      <c r="F26799" s="33" t="s">
        <v>68</v>
      </c>
      <c r="G26799" s="33" t="s">
        <v>7780</v>
      </c>
      <c r="H26799" s="35">
        <v>12</v>
      </c>
      <c r="I26799" s="33" t="s">
        <v>51</v>
      </c>
      <c r="J26799" s="42">
        <v>46204</v>
      </c>
      <c r="K26799" s="33" t="s">
        <v>22</v>
      </c>
    </row>
    <row r="26800" spans="1:11">
      <c r="A26800" s="30" t="s">
        <v>58876</v>
      </c>
      <c r="B26800" s="30" t="s">
        <v>58877</v>
      </c>
      <c r="C26800" s="30" t="s">
        <v>321</v>
      </c>
      <c r="D26800" s="30" t="s">
        <v>17</v>
      </c>
      <c r="E26800" s="30" t="s">
        <v>26</v>
      </c>
      <c r="F26800" s="30" t="s">
        <v>27</v>
      </c>
      <c r="G26800" s="30" t="s">
        <v>140</v>
      </c>
      <c r="H26800" s="32">
        <v>20</v>
      </c>
      <c r="I26800" s="30" t="s">
        <v>51</v>
      </c>
      <c r="J26800" s="41">
        <v>46195</v>
      </c>
      <c r="K26800" s="30" t="s">
        <v>22</v>
      </c>
    </row>
    <row r="26801" spans="1:11">
      <c r="A26801" s="33" t="s">
        <v>58878</v>
      </c>
      <c r="B26801" s="33" t="s">
        <v>58879</v>
      </c>
      <c r="C26801" s="33" t="s">
        <v>15585</v>
      </c>
      <c r="D26801" s="33" t="s">
        <v>17</v>
      </c>
      <c r="E26801" s="33" t="s">
        <v>31</v>
      </c>
      <c r="F26801" s="33" t="s">
        <v>32</v>
      </c>
      <c r="G26801" s="33" t="s">
        <v>7780</v>
      </c>
      <c r="H26801" s="35">
        <v>260</v>
      </c>
      <c r="I26801" s="33" t="s">
        <v>51</v>
      </c>
      <c r="J26801" s="42">
        <v>46204</v>
      </c>
      <c r="K26801" s="33" t="s">
        <v>22</v>
      </c>
    </row>
    <row r="26802" spans="1:11">
      <c r="A26802" s="30" t="s">
        <v>58880</v>
      </c>
      <c r="B26802" s="30" t="s">
        <v>58881</v>
      </c>
      <c r="C26802" s="30" t="s">
        <v>58882</v>
      </c>
      <c r="D26802" s="30" t="s">
        <v>17</v>
      </c>
      <c r="E26802" s="30" t="s">
        <v>67</v>
      </c>
      <c r="F26802" s="30" t="s">
        <v>68</v>
      </c>
      <c r="G26802" s="30" t="s">
        <v>158</v>
      </c>
      <c r="H26802" s="32">
        <v>728</v>
      </c>
      <c r="I26802" s="30" t="s">
        <v>51</v>
      </c>
      <c r="J26802" s="41">
        <v>46078</v>
      </c>
      <c r="K26802" s="30" t="s">
        <v>22</v>
      </c>
    </row>
    <row r="26803" spans="1:11">
      <c r="A26803" s="33" t="s">
        <v>58883</v>
      </c>
      <c r="B26803" s="33" t="s">
        <v>58884</v>
      </c>
      <c r="C26803" s="33" t="s">
        <v>24759</v>
      </c>
      <c r="D26803" s="33" t="s">
        <v>17</v>
      </c>
      <c r="E26803" s="33" t="s">
        <v>18</v>
      </c>
      <c r="F26803" s="33" t="s">
        <v>19</v>
      </c>
      <c r="G26803" s="33" t="s">
        <v>140</v>
      </c>
      <c r="H26803" s="35">
        <v>348</v>
      </c>
      <c r="I26803" s="33" t="s">
        <v>51</v>
      </c>
      <c r="J26803" s="42">
        <v>46191</v>
      </c>
      <c r="K26803" s="33" t="s">
        <v>22</v>
      </c>
    </row>
    <row r="26804" spans="1:11">
      <c r="A26804" s="30" t="s">
        <v>58885</v>
      </c>
      <c r="B26804" s="30" t="s">
        <v>58886</v>
      </c>
      <c r="C26804" s="30" t="s">
        <v>50568</v>
      </c>
      <c r="D26804" s="30" t="s">
        <v>17</v>
      </c>
      <c r="E26804" s="30" t="s">
        <v>26</v>
      </c>
      <c r="F26804" s="30" t="s">
        <v>27</v>
      </c>
      <c r="G26804" s="30" t="s">
        <v>140</v>
      </c>
      <c r="H26804" s="32">
        <v>48</v>
      </c>
      <c r="I26804" s="30" t="s">
        <v>51</v>
      </c>
      <c r="J26804" s="41">
        <v>46196</v>
      </c>
      <c r="K26804" s="30" t="s">
        <v>22</v>
      </c>
    </row>
    <row r="26805" spans="1:11">
      <c r="A26805" s="33" t="s">
        <v>58887</v>
      </c>
      <c r="B26805" s="33" t="s">
        <v>58888</v>
      </c>
      <c r="C26805" s="33" t="s">
        <v>58889</v>
      </c>
      <c r="D26805" s="33" t="s">
        <v>17</v>
      </c>
      <c r="E26805" s="33" t="s">
        <v>26</v>
      </c>
      <c r="F26805" s="33" t="s">
        <v>27</v>
      </c>
      <c r="G26805" s="33" t="s">
        <v>140</v>
      </c>
      <c r="H26805" s="35">
        <v>50</v>
      </c>
      <c r="I26805" s="33" t="s">
        <v>51</v>
      </c>
      <c r="J26805" s="42">
        <v>46204</v>
      </c>
      <c r="K26805" s="33" t="s">
        <v>22</v>
      </c>
    </row>
    <row r="26806" spans="1:11">
      <c r="A26806" s="30" t="s">
        <v>58890</v>
      </c>
      <c r="B26806" s="30" t="s">
        <v>58891</v>
      </c>
      <c r="C26806" s="30" t="s">
        <v>23200</v>
      </c>
      <c r="D26806" s="30" t="s">
        <v>17</v>
      </c>
      <c r="E26806" s="30" t="s">
        <v>67</v>
      </c>
      <c r="F26806" s="30" t="s">
        <v>68</v>
      </c>
      <c r="G26806" s="30" t="s">
        <v>140</v>
      </c>
      <c r="H26806" s="32">
        <v>190</v>
      </c>
      <c r="I26806" s="30" t="s">
        <v>51</v>
      </c>
      <c r="J26806" s="41">
        <v>46031</v>
      </c>
      <c r="K26806" s="30" t="s">
        <v>22</v>
      </c>
    </row>
    <row r="26807" spans="1:11">
      <c r="A26807" s="33" t="s">
        <v>58892</v>
      </c>
      <c r="B26807" s="33" t="s">
        <v>58893</v>
      </c>
      <c r="C26807" s="33" t="s">
        <v>124</v>
      </c>
      <c r="D26807" s="33" t="s">
        <v>17</v>
      </c>
      <c r="E26807" s="33" t="s">
        <v>26</v>
      </c>
      <c r="F26807" s="33" t="s">
        <v>27</v>
      </c>
      <c r="G26807" s="33" t="s">
        <v>140</v>
      </c>
      <c r="H26807" s="35">
        <v>46</v>
      </c>
      <c r="I26807" s="33" t="s">
        <v>51</v>
      </c>
      <c r="J26807" s="42">
        <v>46101</v>
      </c>
      <c r="K26807" s="33" t="s">
        <v>22</v>
      </c>
    </row>
    <row r="26808" spans="1:11">
      <c r="A26808" s="30" t="s">
        <v>58894</v>
      </c>
      <c r="B26808" s="30" t="s">
        <v>58895</v>
      </c>
      <c r="C26808" s="30" t="s">
        <v>1428</v>
      </c>
      <c r="D26808" s="30" t="s">
        <v>17</v>
      </c>
      <c r="E26808" s="30" t="s">
        <v>67</v>
      </c>
      <c r="F26808" s="30" t="s">
        <v>68</v>
      </c>
      <c r="G26808" s="30" t="s">
        <v>7780</v>
      </c>
      <c r="H26808" s="32">
        <v>112</v>
      </c>
      <c r="I26808" s="30" t="s">
        <v>51</v>
      </c>
      <c r="J26808" s="41">
        <v>46203</v>
      </c>
      <c r="K26808" s="30" t="s">
        <v>22</v>
      </c>
    </row>
    <row r="26809" spans="1:11">
      <c r="A26809" s="33" t="s">
        <v>58896</v>
      </c>
      <c r="B26809" s="33" t="s">
        <v>58897</v>
      </c>
      <c r="C26809" s="33" t="s">
        <v>41613</v>
      </c>
      <c r="D26809" s="33" t="s">
        <v>17</v>
      </c>
      <c r="E26809" s="33" t="s">
        <v>26</v>
      </c>
      <c r="F26809" s="33" t="s">
        <v>27</v>
      </c>
      <c r="G26809" s="33" t="s">
        <v>140</v>
      </c>
      <c r="H26809" s="35">
        <v>150</v>
      </c>
      <c r="I26809" s="33" t="s">
        <v>51</v>
      </c>
      <c r="J26809" s="42">
        <v>46084</v>
      </c>
      <c r="K26809" s="33" t="s">
        <v>22</v>
      </c>
    </row>
    <row r="26810" spans="1:11">
      <c r="A26810" s="30" t="s">
        <v>58898</v>
      </c>
      <c r="B26810" s="30" t="s">
        <v>58899</v>
      </c>
      <c r="C26810" s="30" t="s">
        <v>118</v>
      </c>
      <c r="D26810" s="30" t="s">
        <v>17</v>
      </c>
      <c r="E26810" s="30" t="s">
        <v>26</v>
      </c>
      <c r="F26810" s="30" t="s">
        <v>27</v>
      </c>
      <c r="G26810" s="30" t="s">
        <v>140</v>
      </c>
      <c r="H26810" s="32">
        <v>16</v>
      </c>
      <c r="I26810" s="30" t="s">
        <v>51</v>
      </c>
      <c r="J26810" s="41">
        <v>46171</v>
      </c>
      <c r="K26810" s="30" t="s">
        <v>22</v>
      </c>
    </row>
    <row r="26811" spans="1:11">
      <c r="A26811" s="33" t="s">
        <v>58900</v>
      </c>
      <c r="B26811" s="33" t="s">
        <v>58901</v>
      </c>
      <c r="C26811" s="33" t="s">
        <v>715</v>
      </c>
      <c r="D26811" s="33" t="s">
        <v>17</v>
      </c>
      <c r="E26811" s="33" t="s">
        <v>18</v>
      </c>
      <c r="F26811" s="33" t="s">
        <v>19</v>
      </c>
      <c r="G26811" s="33" t="s">
        <v>140</v>
      </c>
      <c r="H26811" s="35">
        <v>390</v>
      </c>
      <c r="I26811" s="33" t="s">
        <v>51</v>
      </c>
      <c r="J26811" s="42">
        <v>46153</v>
      </c>
      <c r="K26811" s="33" t="s">
        <v>22</v>
      </c>
    </row>
    <row r="26812" spans="1:11">
      <c r="A26812" s="30" t="s">
        <v>58902</v>
      </c>
      <c r="B26812" s="30" t="s">
        <v>58903</v>
      </c>
      <c r="C26812" s="30" t="s">
        <v>58904</v>
      </c>
      <c r="D26812" s="30" t="s">
        <v>17</v>
      </c>
      <c r="E26812" s="30" t="s">
        <v>212</v>
      </c>
      <c r="F26812" s="30" t="s">
        <v>213</v>
      </c>
      <c r="G26812" s="30" t="s">
        <v>140</v>
      </c>
      <c r="H26812" s="32">
        <v>40</v>
      </c>
      <c r="I26812" s="30" t="s">
        <v>51</v>
      </c>
      <c r="J26812" s="41">
        <v>46190</v>
      </c>
      <c r="K26812" s="30" t="s">
        <v>22</v>
      </c>
    </row>
    <row r="26813" spans="1:11">
      <c r="A26813" s="33" t="s">
        <v>58905</v>
      </c>
      <c r="B26813" s="33" t="s">
        <v>58906</v>
      </c>
      <c r="C26813" s="33" t="s">
        <v>47704</v>
      </c>
      <c r="D26813" s="33" t="s">
        <v>17</v>
      </c>
      <c r="E26813" s="33" t="s">
        <v>67</v>
      </c>
      <c r="F26813" s="33" t="s">
        <v>68</v>
      </c>
      <c r="G26813" s="33" t="s">
        <v>140</v>
      </c>
      <c r="H26813" s="35">
        <v>48</v>
      </c>
      <c r="I26813" s="33" t="s">
        <v>51</v>
      </c>
      <c r="J26813" s="42">
        <v>46202</v>
      </c>
      <c r="K26813" s="33" t="s">
        <v>22</v>
      </c>
    </row>
    <row r="26814" spans="1:11">
      <c r="A26814" s="30" t="s">
        <v>58907</v>
      </c>
      <c r="B26814" s="30" t="s">
        <v>58908</v>
      </c>
      <c r="C26814" s="30" t="s">
        <v>343</v>
      </c>
      <c r="D26814" s="30" t="s">
        <v>17</v>
      </c>
      <c r="E26814" s="30" t="s">
        <v>18</v>
      </c>
      <c r="F26814" s="30" t="s">
        <v>19</v>
      </c>
      <c r="G26814" s="30" t="s">
        <v>112</v>
      </c>
      <c r="H26814" s="32">
        <v>0</v>
      </c>
      <c r="I26814" s="30" t="s">
        <v>21</v>
      </c>
      <c r="J26814" s="41">
        <v>46133</v>
      </c>
      <c r="K26814" s="30" t="s">
        <v>22</v>
      </c>
    </row>
    <row r="26815" spans="1:11">
      <c r="A26815" s="33" t="s">
        <v>58909</v>
      </c>
      <c r="B26815" s="33" t="s">
        <v>58910</v>
      </c>
      <c r="C26815" s="33" t="s">
        <v>136</v>
      </c>
      <c r="D26815" s="33" t="s">
        <v>17</v>
      </c>
      <c r="E26815" s="33" t="s">
        <v>26</v>
      </c>
      <c r="F26815" s="33" t="s">
        <v>27</v>
      </c>
      <c r="G26815" s="33" t="s">
        <v>7780</v>
      </c>
      <c r="H26815" s="35">
        <v>58</v>
      </c>
      <c r="I26815" s="33" t="s">
        <v>51</v>
      </c>
      <c r="J26815" s="42">
        <v>46204</v>
      </c>
      <c r="K26815" s="33" t="s">
        <v>22</v>
      </c>
    </row>
    <row r="26816" spans="1:11">
      <c r="A26816" s="30" t="s">
        <v>58911</v>
      </c>
      <c r="B26816" s="30" t="s">
        <v>58912</v>
      </c>
      <c r="C26816" s="30" t="s">
        <v>45834</v>
      </c>
      <c r="D26816" s="30" t="s">
        <v>17</v>
      </c>
      <c r="E26816" s="30" t="s">
        <v>67</v>
      </c>
      <c r="F26816" s="30" t="s">
        <v>68</v>
      </c>
      <c r="G26816" s="30" t="s">
        <v>7780</v>
      </c>
      <c r="H26816" s="32">
        <v>70</v>
      </c>
      <c r="I26816" s="30" t="s">
        <v>51</v>
      </c>
      <c r="J26816" s="41">
        <v>46041</v>
      </c>
      <c r="K26816" s="30" t="s">
        <v>22</v>
      </c>
    </row>
    <row r="26817" spans="1:11">
      <c r="A26817" s="33" t="s">
        <v>58913</v>
      </c>
      <c r="B26817" s="33" t="s">
        <v>58914</v>
      </c>
      <c r="C26817" s="33" t="s">
        <v>2839</v>
      </c>
      <c r="D26817" s="33" t="s">
        <v>17</v>
      </c>
      <c r="E26817" s="33" t="s">
        <v>26</v>
      </c>
      <c r="F26817" s="33" t="s">
        <v>27</v>
      </c>
      <c r="G26817" s="33" t="s">
        <v>7780</v>
      </c>
      <c r="H26817" s="35">
        <v>50</v>
      </c>
      <c r="I26817" s="33" t="s">
        <v>51</v>
      </c>
      <c r="J26817" s="42">
        <v>46174</v>
      </c>
      <c r="K26817" s="33" t="s">
        <v>22</v>
      </c>
    </row>
    <row r="26818" spans="1:11">
      <c r="A26818" s="30" t="s">
        <v>58915</v>
      </c>
      <c r="B26818" s="30" t="s">
        <v>58916</v>
      </c>
      <c r="C26818" s="30" t="s">
        <v>11599</v>
      </c>
      <c r="D26818" s="30" t="s">
        <v>17</v>
      </c>
      <c r="E26818" s="30" t="s">
        <v>31</v>
      </c>
      <c r="F26818" s="30" t="s">
        <v>32</v>
      </c>
      <c r="G26818" s="30" t="s">
        <v>140</v>
      </c>
      <c r="H26818" s="32">
        <v>240</v>
      </c>
      <c r="I26818" s="30" t="s">
        <v>51</v>
      </c>
      <c r="J26818" s="41">
        <v>46119</v>
      </c>
      <c r="K26818" s="30" t="s">
        <v>22</v>
      </c>
    </row>
    <row r="26819" spans="1:11">
      <c r="A26819" s="33" t="s">
        <v>58917</v>
      </c>
      <c r="B26819" s="33" t="s">
        <v>58918</v>
      </c>
      <c r="C26819" s="33" t="s">
        <v>450</v>
      </c>
      <c r="D26819" s="33" t="s">
        <v>17</v>
      </c>
      <c r="E26819" s="33" t="s">
        <v>18</v>
      </c>
      <c r="F26819" s="33" t="s">
        <v>19</v>
      </c>
      <c r="G26819" s="33" t="s">
        <v>7780</v>
      </c>
      <c r="H26819" s="35">
        <v>20</v>
      </c>
      <c r="I26819" s="33" t="s">
        <v>51</v>
      </c>
      <c r="J26819" s="42">
        <v>46233</v>
      </c>
      <c r="K26819" s="33" t="s">
        <v>22</v>
      </c>
    </row>
    <row r="26820" spans="1:11">
      <c r="A26820" s="30" t="s">
        <v>58919</v>
      </c>
      <c r="B26820" s="30" t="s">
        <v>58920</v>
      </c>
      <c r="C26820" s="30" t="s">
        <v>6756</v>
      </c>
      <c r="D26820" s="30" t="s">
        <v>17</v>
      </c>
      <c r="E26820" s="30" t="s">
        <v>31</v>
      </c>
      <c r="F26820" s="30" t="s">
        <v>32</v>
      </c>
      <c r="G26820" s="30" t="s">
        <v>7780</v>
      </c>
      <c r="H26820" s="32">
        <v>164</v>
      </c>
      <c r="I26820" s="30" t="s">
        <v>51</v>
      </c>
      <c r="J26820" s="41">
        <v>46204</v>
      </c>
      <c r="K26820" s="30" t="s">
        <v>22</v>
      </c>
    </row>
    <row r="26821" spans="1:11">
      <c r="A26821" s="33" t="s">
        <v>58921</v>
      </c>
      <c r="B26821" s="33" t="s">
        <v>58922</v>
      </c>
      <c r="C26821" s="33" t="s">
        <v>190</v>
      </c>
      <c r="D26821" s="33" t="s">
        <v>17</v>
      </c>
      <c r="E26821" s="33" t="s">
        <v>26</v>
      </c>
      <c r="F26821" s="33" t="s">
        <v>27</v>
      </c>
      <c r="G26821" s="33" t="s">
        <v>140</v>
      </c>
      <c r="H26821" s="35">
        <v>24</v>
      </c>
      <c r="I26821" s="33" t="s">
        <v>51</v>
      </c>
      <c r="J26821" s="42">
        <v>46048</v>
      </c>
      <c r="K26821" s="33" t="s">
        <v>22</v>
      </c>
    </row>
    <row r="26822" spans="1:11">
      <c r="A26822" s="30" t="s">
        <v>58923</v>
      </c>
      <c r="B26822" s="30" t="s">
        <v>58924</v>
      </c>
      <c r="C26822" s="30" t="s">
        <v>109</v>
      </c>
      <c r="D26822" s="30" t="s">
        <v>17</v>
      </c>
      <c r="E26822" s="30" t="s">
        <v>31</v>
      </c>
      <c r="F26822" s="30" t="s">
        <v>32</v>
      </c>
      <c r="G26822" s="30" t="s">
        <v>140</v>
      </c>
      <c r="H26822" s="32">
        <v>50</v>
      </c>
      <c r="I26822" s="30" t="s">
        <v>51</v>
      </c>
      <c r="J26822" s="41">
        <v>46140</v>
      </c>
      <c r="K26822" s="30" t="s">
        <v>22</v>
      </c>
    </row>
    <row r="26823" spans="1:11">
      <c r="A26823" s="33" t="s">
        <v>58925</v>
      </c>
      <c r="B26823" s="33" t="s">
        <v>58926</v>
      </c>
      <c r="C26823" s="33" t="s">
        <v>55331</v>
      </c>
      <c r="D26823" s="33" t="s">
        <v>17</v>
      </c>
      <c r="E26823" s="33" t="s">
        <v>26</v>
      </c>
      <c r="F26823" s="33" t="s">
        <v>27</v>
      </c>
      <c r="G26823" s="33" t="s">
        <v>140</v>
      </c>
      <c r="H26823" s="35">
        <v>50</v>
      </c>
      <c r="I26823" s="33" t="s">
        <v>51</v>
      </c>
      <c r="J26823" s="42">
        <v>46101</v>
      </c>
      <c r="K26823" s="33" t="s">
        <v>22</v>
      </c>
    </row>
    <row r="26824" spans="1:11">
      <c r="A26824" s="30" t="s">
        <v>58927</v>
      </c>
      <c r="B26824" s="30" t="s">
        <v>58928</v>
      </c>
      <c r="C26824" s="30" t="s">
        <v>1770</v>
      </c>
      <c r="D26824" s="30" t="s">
        <v>17</v>
      </c>
      <c r="E26824" s="30" t="s">
        <v>26</v>
      </c>
      <c r="F26824" s="30" t="s">
        <v>27</v>
      </c>
      <c r="G26824" s="30" t="s">
        <v>20</v>
      </c>
      <c r="H26824" s="32">
        <v>25</v>
      </c>
      <c r="I26824" s="30" t="s">
        <v>21</v>
      </c>
      <c r="J26824" s="41">
        <v>46048</v>
      </c>
      <c r="K26824" s="30" t="s">
        <v>22</v>
      </c>
    </row>
    <row r="26825" spans="1:11">
      <c r="A26825" s="33" t="s">
        <v>58929</v>
      </c>
      <c r="B26825" s="33" t="s">
        <v>58930</v>
      </c>
      <c r="C26825" s="33" t="s">
        <v>19939</v>
      </c>
      <c r="D26825" s="33" t="s">
        <v>17</v>
      </c>
      <c r="E26825" s="33" t="s">
        <v>330</v>
      </c>
      <c r="F26825" s="33" t="s">
        <v>331</v>
      </c>
      <c r="G26825" s="33" t="s">
        <v>140</v>
      </c>
      <c r="H26825" s="35">
        <v>12</v>
      </c>
      <c r="I26825" s="33" t="s">
        <v>51</v>
      </c>
      <c r="J26825" s="42">
        <v>46100</v>
      </c>
      <c r="K26825" s="33" t="s">
        <v>22</v>
      </c>
    </row>
    <row r="26826" spans="1:11">
      <c r="A26826" s="30" t="s">
        <v>58931</v>
      </c>
      <c r="B26826" s="30" t="s">
        <v>58932</v>
      </c>
      <c r="C26826" s="30" t="s">
        <v>1770</v>
      </c>
      <c r="D26826" s="30" t="s">
        <v>17</v>
      </c>
      <c r="E26826" s="30" t="s">
        <v>26</v>
      </c>
      <c r="F26826" s="30" t="s">
        <v>27</v>
      </c>
      <c r="G26826" s="30" t="s">
        <v>20</v>
      </c>
      <c r="H26826" s="32">
        <v>24</v>
      </c>
      <c r="I26826" s="30" t="s">
        <v>21</v>
      </c>
      <c r="J26826" s="41">
        <v>46091</v>
      </c>
      <c r="K26826" s="30" t="s">
        <v>22</v>
      </c>
    </row>
    <row r="26827" spans="1:11">
      <c r="A26827" s="33" t="s">
        <v>58933</v>
      </c>
      <c r="B26827" s="33" t="s">
        <v>58934</v>
      </c>
      <c r="C26827" s="33" t="s">
        <v>15585</v>
      </c>
      <c r="D26827" s="33" t="s">
        <v>17</v>
      </c>
      <c r="E26827" s="33" t="s">
        <v>31</v>
      </c>
      <c r="F26827" s="33" t="s">
        <v>32</v>
      </c>
      <c r="G26827" s="33" t="s">
        <v>158</v>
      </c>
      <c r="H26827" s="35">
        <v>238</v>
      </c>
      <c r="I26827" s="33" t="s">
        <v>21</v>
      </c>
      <c r="J26827" s="42">
        <v>46036</v>
      </c>
      <c r="K26827" s="33" t="s">
        <v>22</v>
      </c>
    </row>
    <row r="26828" spans="1:11">
      <c r="A26828" s="30" t="s">
        <v>58935</v>
      </c>
      <c r="B26828" s="30" t="s">
        <v>58936</v>
      </c>
      <c r="C26828" s="30" t="s">
        <v>925</v>
      </c>
      <c r="D26828" s="30" t="s">
        <v>17</v>
      </c>
      <c r="E26828" s="30" t="s">
        <v>26</v>
      </c>
      <c r="F26828" s="30" t="s">
        <v>27</v>
      </c>
      <c r="G26828" s="30" t="s">
        <v>140</v>
      </c>
      <c r="H26828" s="32">
        <v>302</v>
      </c>
      <c r="I26828" s="30" t="s">
        <v>51</v>
      </c>
      <c r="J26828" s="41">
        <v>46220</v>
      </c>
      <c r="K26828" s="30" t="s">
        <v>22</v>
      </c>
    </row>
    <row r="26829" spans="1:11">
      <c r="A26829" s="33" t="s">
        <v>58937</v>
      </c>
      <c r="B26829" s="33" t="s">
        <v>58938</v>
      </c>
      <c r="C26829" s="33" t="s">
        <v>23340</v>
      </c>
      <c r="D26829" s="33" t="s">
        <v>17</v>
      </c>
      <c r="E26829" s="33" t="s">
        <v>18</v>
      </c>
      <c r="F26829" s="33" t="s">
        <v>19</v>
      </c>
      <c r="G26829" s="33" t="s">
        <v>140</v>
      </c>
      <c r="H26829" s="35">
        <v>150</v>
      </c>
      <c r="I26829" s="33" t="s">
        <v>51</v>
      </c>
      <c r="J26829" s="42">
        <v>46098</v>
      </c>
      <c r="K26829" s="33" t="s">
        <v>22</v>
      </c>
    </row>
    <row r="26830" spans="1:11">
      <c r="A26830" s="30" t="s">
        <v>58939</v>
      </c>
      <c r="B26830" s="30" t="s">
        <v>58940</v>
      </c>
      <c r="C26830" s="30" t="s">
        <v>149</v>
      </c>
      <c r="D26830" s="30" t="s">
        <v>17</v>
      </c>
      <c r="E26830" s="30" t="s">
        <v>31</v>
      </c>
      <c r="F26830" s="30" t="s">
        <v>32</v>
      </c>
      <c r="G26830" s="30" t="s">
        <v>158</v>
      </c>
      <c r="H26830" s="32">
        <v>102</v>
      </c>
      <c r="I26830" s="30" t="s">
        <v>21</v>
      </c>
      <c r="J26830" s="41">
        <v>46123</v>
      </c>
      <c r="K26830" s="30" t="s">
        <v>22</v>
      </c>
    </row>
    <row r="26831" spans="1:11">
      <c r="A26831" s="33" t="s">
        <v>58941</v>
      </c>
      <c r="B26831" s="33" t="s">
        <v>58942</v>
      </c>
      <c r="C26831" s="33" t="s">
        <v>1778</v>
      </c>
      <c r="D26831" s="33" t="s">
        <v>17</v>
      </c>
      <c r="E26831" s="33" t="s">
        <v>18</v>
      </c>
      <c r="F26831" s="33" t="s">
        <v>19</v>
      </c>
      <c r="G26831" s="33" t="s">
        <v>140</v>
      </c>
      <c r="H26831" s="35">
        <v>100</v>
      </c>
      <c r="I26831" s="33" t="s">
        <v>51</v>
      </c>
      <c r="J26831" s="42">
        <v>46031</v>
      </c>
      <c r="K26831" s="33" t="s">
        <v>22</v>
      </c>
    </row>
    <row r="26832" spans="1:11">
      <c r="A26832" s="30" t="s">
        <v>58943</v>
      </c>
      <c r="B26832" s="30" t="s">
        <v>58944</v>
      </c>
      <c r="C26832" s="30" t="s">
        <v>50171</v>
      </c>
      <c r="D26832" s="30" t="s">
        <v>17</v>
      </c>
      <c r="E26832" s="30" t="s">
        <v>212</v>
      </c>
      <c r="F26832" s="30" t="s">
        <v>213</v>
      </c>
      <c r="G26832" s="30" t="s">
        <v>20</v>
      </c>
      <c r="H26832" s="32">
        <v>466</v>
      </c>
      <c r="I26832" s="30" t="s">
        <v>21</v>
      </c>
      <c r="J26832" s="41">
        <v>46031</v>
      </c>
      <c r="K26832" s="30" t="s">
        <v>22</v>
      </c>
    </row>
    <row r="26833" spans="1:11">
      <c r="A26833" s="33" t="s">
        <v>58945</v>
      </c>
      <c r="B26833" s="33" t="s">
        <v>58946</v>
      </c>
      <c r="C26833" s="33" t="s">
        <v>102</v>
      </c>
      <c r="D26833" s="33" t="s">
        <v>17</v>
      </c>
      <c r="E26833" s="33" t="s">
        <v>67</v>
      </c>
      <c r="F26833" s="33" t="s">
        <v>68</v>
      </c>
      <c r="G26833" s="33" t="s">
        <v>140</v>
      </c>
      <c r="H26833" s="35">
        <v>60</v>
      </c>
      <c r="I26833" s="33" t="s">
        <v>51</v>
      </c>
      <c r="J26833" s="42">
        <v>46084</v>
      </c>
      <c r="K26833" s="33" t="s">
        <v>22</v>
      </c>
    </row>
    <row r="26834" spans="1:11">
      <c r="A26834" s="30" t="s">
        <v>58947</v>
      </c>
      <c r="B26834" s="30" t="s">
        <v>58948</v>
      </c>
      <c r="C26834" s="30" t="s">
        <v>231</v>
      </c>
      <c r="D26834" s="30" t="s">
        <v>17</v>
      </c>
      <c r="E26834" s="30" t="s">
        <v>31</v>
      </c>
      <c r="F26834" s="30" t="s">
        <v>32</v>
      </c>
      <c r="G26834" s="30" t="s">
        <v>140</v>
      </c>
      <c r="H26834" s="32">
        <v>29</v>
      </c>
      <c r="I26834" s="30" t="s">
        <v>51</v>
      </c>
      <c r="J26834" s="41">
        <v>46080</v>
      </c>
      <c r="K26834" s="30" t="s">
        <v>22</v>
      </c>
    </row>
    <row r="26835" spans="1:11">
      <c r="A26835" s="33" t="s">
        <v>58949</v>
      </c>
      <c r="B26835" s="33" t="s">
        <v>58950</v>
      </c>
      <c r="C26835" s="33" t="s">
        <v>11887</v>
      </c>
      <c r="D26835" s="33" t="s">
        <v>17</v>
      </c>
      <c r="E26835" s="33" t="s">
        <v>45</v>
      </c>
      <c r="F26835" s="33" t="s">
        <v>46</v>
      </c>
      <c r="G26835" s="33" t="s">
        <v>140</v>
      </c>
      <c r="H26835" s="35">
        <v>255</v>
      </c>
      <c r="I26835" s="33" t="s">
        <v>51</v>
      </c>
      <c r="J26835" s="42">
        <v>46153</v>
      </c>
      <c r="K26835" s="33" t="s">
        <v>22</v>
      </c>
    </row>
    <row r="26836" spans="1:11">
      <c r="A26836" s="30" t="s">
        <v>58951</v>
      </c>
      <c r="B26836" s="30" t="s">
        <v>58952</v>
      </c>
      <c r="C26836" s="30" t="s">
        <v>2500</v>
      </c>
      <c r="D26836" s="30" t="s">
        <v>17</v>
      </c>
      <c r="E26836" s="30" t="s">
        <v>26</v>
      </c>
      <c r="F26836" s="30" t="s">
        <v>27</v>
      </c>
      <c r="G26836" s="30" t="s">
        <v>140</v>
      </c>
      <c r="H26836" s="32">
        <v>8</v>
      </c>
      <c r="I26836" s="30" t="s">
        <v>51</v>
      </c>
      <c r="J26836" s="41">
        <v>46107</v>
      </c>
      <c r="K26836" s="30" t="s">
        <v>22</v>
      </c>
    </row>
    <row r="26837" spans="1:11">
      <c r="A26837" s="33" t="s">
        <v>58953</v>
      </c>
      <c r="B26837" s="33" t="s">
        <v>58954</v>
      </c>
      <c r="C26837" s="33" t="s">
        <v>10974</v>
      </c>
      <c r="D26837" s="33" t="s">
        <v>17</v>
      </c>
      <c r="E26837" s="33" t="s">
        <v>67</v>
      </c>
      <c r="F26837" s="33" t="s">
        <v>68</v>
      </c>
      <c r="G26837" s="33" t="s">
        <v>140</v>
      </c>
      <c r="H26837" s="35">
        <v>50</v>
      </c>
      <c r="I26837" s="33" t="s">
        <v>51</v>
      </c>
      <c r="J26837" s="42">
        <v>46174</v>
      </c>
      <c r="K26837" s="33" t="s">
        <v>22</v>
      </c>
    </row>
    <row r="26838" spans="1:11">
      <c r="A26838" s="30" t="s">
        <v>58955</v>
      </c>
      <c r="B26838" s="30" t="s">
        <v>58956</v>
      </c>
      <c r="C26838" s="30" t="s">
        <v>2228</v>
      </c>
      <c r="D26838" s="30" t="s">
        <v>17</v>
      </c>
      <c r="E26838" s="30" t="s">
        <v>31</v>
      </c>
      <c r="F26838" s="30" t="s">
        <v>32</v>
      </c>
      <c r="G26838" s="30" t="s">
        <v>140</v>
      </c>
      <c r="H26838" s="32">
        <v>64</v>
      </c>
      <c r="I26838" s="30" t="s">
        <v>51</v>
      </c>
      <c r="J26838" s="41">
        <v>46099</v>
      </c>
      <c r="K26838" s="30" t="s">
        <v>22</v>
      </c>
    </row>
    <row r="26839" spans="1:11">
      <c r="A26839" s="33" t="s">
        <v>58957</v>
      </c>
      <c r="B26839" s="33" t="s">
        <v>58958</v>
      </c>
      <c r="C26839" s="33" t="s">
        <v>58959</v>
      </c>
      <c r="D26839" s="33" t="s">
        <v>17</v>
      </c>
      <c r="E26839" s="33" t="s">
        <v>67</v>
      </c>
      <c r="F26839" s="33" t="s">
        <v>68</v>
      </c>
      <c r="G26839" s="33" t="s">
        <v>7780</v>
      </c>
      <c r="H26839" s="35">
        <v>114</v>
      </c>
      <c r="I26839" s="33" t="s">
        <v>51</v>
      </c>
      <c r="J26839" s="42">
        <v>46199</v>
      </c>
      <c r="K26839" s="33" t="s">
        <v>22</v>
      </c>
    </row>
    <row r="26840" spans="1:11">
      <c r="A26840" s="30" t="s">
        <v>58960</v>
      </c>
      <c r="B26840" s="30" t="s">
        <v>58961</v>
      </c>
      <c r="C26840" s="30" t="s">
        <v>130</v>
      </c>
      <c r="D26840" s="30" t="s">
        <v>17</v>
      </c>
      <c r="E26840" s="30" t="s">
        <v>18</v>
      </c>
      <c r="F26840" s="30" t="s">
        <v>19</v>
      </c>
      <c r="G26840" s="30" t="s">
        <v>140</v>
      </c>
      <c r="H26840" s="32">
        <v>700</v>
      </c>
      <c r="I26840" s="30" t="s">
        <v>51</v>
      </c>
      <c r="J26840" s="41">
        <v>46086</v>
      </c>
      <c r="K26840" s="30" t="s">
        <v>22</v>
      </c>
    </row>
    <row r="26841" spans="1:11">
      <c r="A26841" s="33" t="s">
        <v>58962</v>
      </c>
      <c r="B26841" s="33" t="s">
        <v>58963</v>
      </c>
      <c r="C26841" s="33" t="s">
        <v>157</v>
      </c>
      <c r="D26841" s="33" t="s">
        <v>17</v>
      </c>
      <c r="E26841" s="33" t="s">
        <v>18</v>
      </c>
      <c r="F26841" s="33" t="s">
        <v>19</v>
      </c>
      <c r="G26841" s="33" t="s">
        <v>140</v>
      </c>
      <c r="H26841" s="35">
        <v>800</v>
      </c>
      <c r="I26841" s="33" t="s">
        <v>51</v>
      </c>
      <c r="J26841" s="42">
        <v>46042</v>
      </c>
      <c r="K26841" s="33" t="s">
        <v>22</v>
      </c>
    </row>
    <row r="26842" spans="1:11">
      <c r="A26842" s="30" t="s">
        <v>58964</v>
      </c>
      <c r="B26842" s="30" t="s">
        <v>58965</v>
      </c>
      <c r="C26842" s="30" t="s">
        <v>647</v>
      </c>
      <c r="D26842" s="30" t="s">
        <v>17</v>
      </c>
      <c r="E26842" s="30" t="s">
        <v>26</v>
      </c>
      <c r="F26842" s="30" t="s">
        <v>27</v>
      </c>
      <c r="G26842" s="30" t="s">
        <v>158</v>
      </c>
      <c r="H26842" s="32">
        <v>16</v>
      </c>
      <c r="I26842" s="30" t="s">
        <v>51</v>
      </c>
      <c r="J26842" s="41">
        <v>46153</v>
      </c>
      <c r="K26842" s="30" t="s">
        <v>22</v>
      </c>
    </row>
    <row r="26843" spans="1:11">
      <c r="A26843" s="33" t="s">
        <v>58966</v>
      </c>
      <c r="B26843" s="33" t="s">
        <v>58967</v>
      </c>
      <c r="C26843" s="33" t="s">
        <v>3496</v>
      </c>
      <c r="D26843" s="33" t="s">
        <v>17</v>
      </c>
      <c r="E26843" s="33" t="s">
        <v>212</v>
      </c>
      <c r="F26843" s="33" t="s">
        <v>213</v>
      </c>
      <c r="G26843" s="33" t="s">
        <v>7780</v>
      </c>
      <c r="H26843" s="35">
        <v>142</v>
      </c>
      <c r="I26843" s="33" t="s">
        <v>51</v>
      </c>
      <c r="J26843" s="42">
        <v>46174</v>
      </c>
      <c r="K26843" s="33" t="s">
        <v>22</v>
      </c>
    </row>
    <row r="26844" spans="1:11">
      <c r="A26844" s="30" t="s">
        <v>58968</v>
      </c>
      <c r="B26844" s="30" t="s">
        <v>58969</v>
      </c>
      <c r="C26844" s="30" t="s">
        <v>709</v>
      </c>
      <c r="D26844" s="30" t="s">
        <v>17</v>
      </c>
      <c r="E26844" s="30" t="s">
        <v>31</v>
      </c>
      <c r="F26844" s="30" t="s">
        <v>32</v>
      </c>
      <c r="G26844" s="30" t="s">
        <v>140</v>
      </c>
      <c r="H26844" s="32">
        <v>94</v>
      </c>
      <c r="I26844" s="30" t="s">
        <v>51</v>
      </c>
      <c r="J26844" s="41">
        <v>46098</v>
      </c>
      <c r="K26844" s="30" t="s">
        <v>22</v>
      </c>
    </row>
    <row r="26845" spans="1:11">
      <c r="A26845" s="33" t="s">
        <v>58970</v>
      </c>
      <c r="B26845" s="33" t="s">
        <v>58971</v>
      </c>
      <c r="C26845" s="33" t="s">
        <v>948</v>
      </c>
      <c r="D26845" s="33" t="s">
        <v>17</v>
      </c>
      <c r="E26845" s="33" t="s">
        <v>18</v>
      </c>
      <c r="F26845" s="33" t="s">
        <v>19</v>
      </c>
      <c r="G26845" s="33" t="s">
        <v>140</v>
      </c>
      <c r="H26845" s="35">
        <v>784</v>
      </c>
      <c r="I26845" s="33" t="s">
        <v>51</v>
      </c>
      <c r="J26845" s="42">
        <v>46197</v>
      </c>
      <c r="K26845" s="33" t="s">
        <v>22</v>
      </c>
    </row>
    <row r="26846" spans="1:11">
      <c r="A26846" s="30" t="s">
        <v>58972</v>
      </c>
      <c r="B26846" s="30" t="s">
        <v>58973</v>
      </c>
      <c r="C26846" s="30" t="s">
        <v>22605</v>
      </c>
      <c r="D26846" s="30" t="s">
        <v>17</v>
      </c>
      <c r="E26846" s="30" t="s">
        <v>26</v>
      </c>
      <c r="F26846" s="30" t="s">
        <v>27</v>
      </c>
      <c r="G26846" s="30" t="s">
        <v>140</v>
      </c>
      <c r="H26846" s="32">
        <v>101</v>
      </c>
      <c r="I26846" s="30" t="s">
        <v>51</v>
      </c>
      <c r="J26846" s="41">
        <v>46105</v>
      </c>
      <c r="K26846" s="30" t="s">
        <v>22</v>
      </c>
    </row>
    <row r="26847" spans="1:11">
      <c r="A26847" s="33" t="s">
        <v>58974</v>
      </c>
      <c r="B26847" s="33" t="s">
        <v>58975</v>
      </c>
      <c r="C26847" s="33" t="s">
        <v>25273</v>
      </c>
      <c r="D26847" s="33" t="s">
        <v>17</v>
      </c>
      <c r="E26847" s="33" t="s">
        <v>45</v>
      </c>
      <c r="F26847" s="33" t="s">
        <v>46</v>
      </c>
      <c r="G26847" s="33" t="s">
        <v>20</v>
      </c>
      <c r="H26847" s="35">
        <v>62</v>
      </c>
      <c r="I26847" s="33" t="s">
        <v>21</v>
      </c>
      <c r="J26847" s="42">
        <v>46118</v>
      </c>
      <c r="K26847" s="33" t="s">
        <v>22</v>
      </c>
    </row>
    <row r="26848" spans="1:11">
      <c r="A26848" s="30" t="s">
        <v>58976</v>
      </c>
      <c r="B26848" s="30" t="s">
        <v>58977</v>
      </c>
      <c r="C26848" s="30" t="s">
        <v>49343</v>
      </c>
      <c r="D26848" s="30" t="s">
        <v>17</v>
      </c>
      <c r="E26848" s="30" t="s">
        <v>31</v>
      </c>
      <c r="F26848" s="30" t="s">
        <v>32</v>
      </c>
      <c r="G26848" s="30" t="s">
        <v>140</v>
      </c>
      <c r="H26848" s="32">
        <v>90</v>
      </c>
      <c r="I26848" s="30" t="s">
        <v>51</v>
      </c>
      <c r="J26848" s="41">
        <v>46150</v>
      </c>
      <c r="K26848" s="30" t="s">
        <v>22</v>
      </c>
    </row>
    <row r="26849" spans="1:11">
      <c r="A26849" s="33" t="s">
        <v>58978</v>
      </c>
      <c r="B26849" s="33" t="s">
        <v>58979</v>
      </c>
      <c r="C26849" s="33" t="s">
        <v>58980</v>
      </c>
      <c r="D26849" s="33" t="s">
        <v>17</v>
      </c>
      <c r="E26849" s="33" t="s">
        <v>45</v>
      </c>
      <c r="F26849" s="33" t="s">
        <v>46</v>
      </c>
      <c r="G26849" s="33" t="s">
        <v>140</v>
      </c>
      <c r="H26849" s="35">
        <v>144</v>
      </c>
      <c r="I26849" s="33" t="s">
        <v>51</v>
      </c>
      <c r="J26849" s="42">
        <v>46111</v>
      </c>
      <c r="K26849" s="33" t="s">
        <v>22</v>
      </c>
    </row>
    <row r="26850" spans="1:11">
      <c r="A26850" s="30" t="s">
        <v>58981</v>
      </c>
      <c r="B26850" s="30" t="s">
        <v>58982</v>
      </c>
      <c r="C26850" s="30" t="s">
        <v>102</v>
      </c>
      <c r="D26850" s="30" t="s">
        <v>17</v>
      </c>
      <c r="E26850" s="30" t="s">
        <v>26</v>
      </c>
      <c r="F26850" s="30" t="s">
        <v>27</v>
      </c>
      <c r="G26850" s="30" t="s">
        <v>140</v>
      </c>
      <c r="H26850" s="32">
        <v>64</v>
      </c>
      <c r="I26850" s="30" t="s">
        <v>51</v>
      </c>
      <c r="J26850" s="41">
        <v>46083</v>
      </c>
      <c r="K26850" s="30" t="s">
        <v>22</v>
      </c>
    </row>
    <row r="26851" spans="1:11">
      <c r="A26851" s="33" t="s">
        <v>58983</v>
      </c>
      <c r="B26851" s="33" t="s">
        <v>58984</v>
      </c>
      <c r="C26851" s="33" t="s">
        <v>130</v>
      </c>
      <c r="D26851" s="33" t="s">
        <v>17</v>
      </c>
      <c r="E26851" s="33" t="s">
        <v>26</v>
      </c>
      <c r="F26851" s="33" t="s">
        <v>27</v>
      </c>
      <c r="G26851" s="33" t="s">
        <v>140</v>
      </c>
      <c r="H26851" s="35">
        <v>126</v>
      </c>
      <c r="I26851" s="33" t="s">
        <v>51</v>
      </c>
      <c r="J26851" s="42">
        <v>46100</v>
      </c>
      <c r="K26851" s="33" t="s">
        <v>22</v>
      </c>
    </row>
    <row r="26852" spans="1:11">
      <c r="A26852" s="30" t="s">
        <v>58985</v>
      </c>
      <c r="B26852" s="30" t="s">
        <v>58986</v>
      </c>
      <c r="C26852" s="30" t="s">
        <v>3698</v>
      </c>
      <c r="D26852" s="30" t="s">
        <v>17</v>
      </c>
      <c r="E26852" s="30" t="s">
        <v>212</v>
      </c>
      <c r="F26852" s="30" t="s">
        <v>213</v>
      </c>
      <c r="G26852" s="30" t="s">
        <v>112</v>
      </c>
      <c r="H26852" s="32">
        <v>0</v>
      </c>
      <c r="I26852" s="30" t="s">
        <v>21</v>
      </c>
      <c r="J26852" s="41">
        <v>46082</v>
      </c>
      <c r="K26852" s="30" t="s">
        <v>22</v>
      </c>
    </row>
    <row r="26853" spans="1:11">
      <c r="A26853" s="33" t="s">
        <v>58987</v>
      </c>
      <c r="B26853" s="33" t="s">
        <v>58988</v>
      </c>
      <c r="C26853" s="33" t="s">
        <v>22557</v>
      </c>
      <c r="D26853" s="33" t="s">
        <v>17</v>
      </c>
      <c r="E26853" s="33" t="s">
        <v>67</v>
      </c>
      <c r="F26853" s="33" t="s">
        <v>68</v>
      </c>
      <c r="G26853" s="33" t="s">
        <v>140</v>
      </c>
      <c r="H26853" s="35">
        <v>156</v>
      </c>
      <c r="I26853" s="33" t="s">
        <v>51</v>
      </c>
      <c r="J26853" s="42">
        <v>46168</v>
      </c>
      <c r="K26853" s="33" t="s">
        <v>22</v>
      </c>
    </row>
    <row r="26854" spans="1:11">
      <c r="A26854" s="30" t="s">
        <v>58989</v>
      </c>
      <c r="B26854" s="30" t="s">
        <v>58990</v>
      </c>
      <c r="C26854" s="30" t="s">
        <v>9262</v>
      </c>
      <c r="D26854" s="30" t="s">
        <v>17</v>
      </c>
      <c r="E26854" s="30" t="s">
        <v>18</v>
      </c>
      <c r="F26854" s="30" t="s">
        <v>19</v>
      </c>
      <c r="G26854" s="30" t="s">
        <v>7780</v>
      </c>
      <c r="H26854" s="32">
        <v>800</v>
      </c>
      <c r="I26854" s="30" t="s">
        <v>51</v>
      </c>
      <c r="J26854" s="41">
        <v>46157</v>
      </c>
      <c r="K26854" s="30" t="s">
        <v>22</v>
      </c>
    </row>
    <row r="26855" spans="1:11">
      <c r="A26855" s="33" t="s">
        <v>58991</v>
      </c>
      <c r="B26855" s="33" t="s">
        <v>58992</v>
      </c>
      <c r="C26855" s="33" t="s">
        <v>99</v>
      </c>
      <c r="D26855" s="33" t="s">
        <v>17</v>
      </c>
      <c r="E26855" s="33" t="s">
        <v>26</v>
      </c>
      <c r="F26855" s="33" t="s">
        <v>27</v>
      </c>
      <c r="G26855" s="33" t="s">
        <v>7780</v>
      </c>
      <c r="H26855" s="35">
        <v>60</v>
      </c>
      <c r="I26855" s="33" t="s">
        <v>51</v>
      </c>
      <c r="J26855" s="42">
        <v>46090</v>
      </c>
      <c r="K26855" s="33" t="s">
        <v>22</v>
      </c>
    </row>
    <row r="26856" spans="1:11">
      <c r="A26856" s="30" t="s">
        <v>58993</v>
      </c>
      <c r="B26856" s="30" t="s">
        <v>58994</v>
      </c>
      <c r="C26856" s="30" t="s">
        <v>58995</v>
      </c>
      <c r="D26856" s="30" t="s">
        <v>17</v>
      </c>
      <c r="E26856" s="30" t="s">
        <v>26</v>
      </c>
      <c r="F26856" s="30" t="s">
        <v>27</v>
      </c>
      <c r="G26856" s="30" t="s">
        <v>7780</v>
      </c>
      <c r="H26856" s="32">
        <v>50</v>
      </c>
      <c r="I26856" s="30" t="s">
        <v>51</v>
      </c>
      <c r="J26856" s="41">
        <v>46167</v>
      </c>
      <c r="K26856" s="30" t="s">
        <v>22</v>
      </c>
    </row>
    <row r="26857" spans="1:11">
      <c r="A26857" s="33" t="s">
        <v>58996</v>
      </c>
      <c r="B26857" s="33" t="s">
        <v>58997</v>
      </c>
      <c r="C26857" s="33" t="s">
        <v>38495</v>
      </c>
      <c r="D26857" s="33" t="s">
        <v>17</v>
      </c>
      <c r="E26857" s="33" t="s">
        <v>18</v>
      </c>
      <c r="F26857" s="33" t="s">
        <v>19</v>
      </c>
      <c r="G26857" s="33" t="s">
        <v>140</v>
      </c>
      <c r="H26857" s="35">
        <v>150</v>
      </c>
      <c r="I26857" s="33" t="s">
        <v>51</v>
      </c>
      <c r="J26857" s="42">
        <v>46155</v>
      </c>
      <c r="K26857" s="33" t="s">
        <v>22</v>
      </c>
    </row>
    <row r="26858" spans="1:11">
      <c r="A26858" s="30" t="s">
        <v>58998</v>
      </c>
      <c r="B26858" s="30" t="s">
        <v>58999</v>
      </c>
      <c r="C26858" s="30" t="s">
        <v>1778</v>
      </c>
      <c r="D26858" s="30" t="s">
        <v>17</v>
      </c>
      <c r="E26858" s="30" t="s">
        <v>18</v>
      </c>
      <c r="F26858" s="30" t="s">
        <v>19</v>
      </c>
      <c r="G26858" s="30" t="s">
        <v>140</v>
      </c>
      <c r="H26858" s="32">
        <v>30</v>
      </c>
      <c r="I26858" s="30" t="s">
        <v>51</v>
      </c>
      <c r="J26858" s="41">
        <v>46155</v>
      </c>
      <c r="K26858" s="30" t="s">
        <v>22</v>
      </c>
    </row>
    <row r="26859" spans="1:11">
      <c r="A26859" s="33" t="s">
        <v>59000</v>
      </c>
      <c r="B26859" s="33" t="s">
        <v>59001</v>
      </c>
      <c r="C26859" s="33" t="s">
        <v>3190</v>
      </c>
      <c r="D26859" s="33" t="s">
        <v>17</v>
      </c>
      <c r="E26859" s="33" t="s">
        <v>31</v>
      </c>
      <c r="F26859" s="33" t="s">
        <v>32</v>
      </c>
      <c r="G26859" s="33" t="s">
        <v>140</v>
      </c>
      <c r="H26859" s="35">
        <v>200</v>
      </c>
      <c r="I26859" s="33" t="s">
        <v>51</v>
      </c>
      <c r="J26859" s="42">
        <v>46135</v>
      </c>
      <c r="K26859" s="33" t="s">
        <v>22</v>
      </c>
    </row>
    <row r="26860" spans="1:11">
      <c r="A26860" s="30" t="s">
        <v>59002</v>
      </c>
      <c r="B26860" s="30" t="s">
        <v>59003</v>
      </c>
      <c r="C26860" s="30" t="s">
        <v>37643</v>
      </c>
      <c r="D26860" s="30" t="s">
        <v>17</v>
      </c>
      <c r="E26860" s="30" t="s">
        <v>31</v>
      </c>
      <c r="F26860" s="30" t="s">
        <v>32</v>
      </c>
      <c r="G26860" s="30" t="s">
        <v>140</v>
      </c>
      <c r="H26860" s="32">
        <v>150</v>
      </c>
      <c r="I26860" s="30" t="s">
        <v>51</v>
      </c>
      <c r="J26860" s="41">
        <v>46027</v>
      </c>
      <c r="K26860" s="30" t="s">
        <v>22</v>
      </c>
    </row>
    <row r="26861" spans="1:11">
      <c r="A26861" s="33" t="s">
        <v>59004</v>
      </c>
      <c r="B26861" s="33" t="s">
        <v>59005</v>
      </c>
      <c r="C26861" s="33" t="s">
        <v>1718</v>
      </c>
      <c r="D26861" s="33" t="s">
        <v>17</v>
      </c>
      <c r="E26861" s="33" t="s">
        <v>26</v>
      </c>
      <c r="F26861" s="33" t="s">
        <v>27</v>
      </c>
      <c r="G26861" s="33" t="s">
        <v>7780</v>
      </c>
      <c r="H26861" s="35">
        <v>120</v>
      </c>
      <c r="I26861" s="33" t="s">
        <v>51</v>
      </c>
      <c r="J26861" s="42">
        <v>46192</v>
      </c>
      <c r="K26861" s="33" t="s">
        <v>22</v>
      </c>
    </row>
    <row r="26862" spans="1:11">
      <c r="A26862" s="30" t="s">
        <v>59006</v>
      </c>
      <c r="B26862" s="30" t="s">
        <v>59007</v>
      </c>
      <c r="C26862" s="30" t="s">
        <v>42561</v>
      </c>
      <c r="D26862" s="30" t="s">
        <v>17</v>
      </c>
      <c r="E26862" s="30" t="s">
        <v>18</v>
      </c>
      <c r="F26862" s="30" t="s">
        <v>19</v>
      </c>
      <c r="G26862" s="30" t="s">
        <v>7780</v>
      </c>
      <c r="H26862" s="32">
        <v>140</v>
      </c>
      <c r="I26862" s="30" t="s">
        <v>51</v>
      </c>
      <c r="J26862" s="41">
        <v>46139</v>
      </c>
      <c r="K26862" s="30" t="s">
        <v>22</v>
      </c>
    </row>
    <row r="26863" spans="1:11">
      <c r="A26863" s="33" t="s">
        <v>59008</v>
      </c>
      <c r="B26863" s="33" t="s">
        <v>59009</v>
      </c>
      <c r="C26863" s="33" t="s">
        <v>59010</v>
      </c>
      <c r="D26863" s="33" t="s">
        <v>17</v>
      </c>
      <c r="E26863" s="33" t="s">
        <v>31</v>
      </c>
      <c r="F26863" s="33" t="s">
        <v>32</v>
      </c>
      <c r="G26863" s="33" t="s">
        <v>7780</v>
      </c>
      <c r="H26863" s="35">
        <v>210</v>
      </c>
      <c r="I26863" s="33" t="s">
        <v>51</v>
      </c>
      <c r="J26863" s="42">
        <v>46204</v>
      </c>
      <c r="K26863" s="33" t="s">
        <v>22</v>
      </c>
    </row>
    <row r="26864" spans="1:11">
      <c r="A26864" s="30" t="s">
        <v>59011</v>
      </c>
      <c r="B26864" s="30" t="s">
        <v>59012</v>
      </c>
      <c r="C26864" s="30" t="s">
        <v>8007</v>
      </c>
      <c r="D26864" s="30" t="s">
        <v>17</v>
      </c>
      <c r="E26864" s="30" t="s">
        <v>212</v>
      </c>
      <c r="F26864" s="30" t="s">
        <v>213</v>
      </c>
      <c r="G26864" s="30" t="s">
        <v>7780</v>
      </c>
      <c r="H26864" s="32">
        <v>40</v>
      </c>
      <c r="I26864" s="30" t="s">
        <v>51</v>
      </c>
      <c r="J26864" s="41">
        <v>46113</v>
      </c>
      <c r="K26864" s="30" t="s">
        <v>22</v>
      </c>
    </row>
    <row r="26865" spans="1:11">
      <c r="A26865" s="33" t="s">
        <v>59013</v>
      </c>
      <c r="B26865" s="33" t="s">
        <v>59014</v>
      </c>
      <c r="C26865" s="33" t="s">
        <v>32149</v>
      </c>
      <c r="D26865" s="33" t="s">
        <v>17</v>
      </c>
      <c r="E26865" s="33" t="s">
        <v>31</v>
      </c>
      <c r="F26865" s="33" t="s">
        <v>32</v>
      </c>
      <c r="G26865" s="33" t="s">
        <v>140</v>
      </c>
      <c r="H26865" s="35">
        <v>430</v>
      </c>
      <c r="I26865" s="33" t="s">
        <v>51</v>
      </c>
      <c r="J26865" s="42">
        <v>46119</v>
      </c>
      <c r="K26865" s="33" t="s">
        <v>22</v>
      </c>
    </row>
    <row r="26866" spans="1:11">
      <c r="A26866" s="30" t="s">
        <v>59015</v>
      </c>
      <c r="B26866" s="30" t="s">
        <v>59016</v>
      </c>
      <c r="C26866" s="30" t="s">
        <v>4130</v>
      </c>
      <c r="D26866" s="30" t="s">
        <v>17</v>
      </c>
      <c r="E26866" s="30" t="s">
        <v>31</v>
      </c>
      <c r="F26866" s="30" t="s">
        <v>32</v>
      </c>
      <c r="G26866" s="30" t="s">
        <v>140</v>
      </c>
      <c r="H26866" s="32">
        <v>108</v>
      </c>
      <c r="I26866" s="30" t="s">
        <v>51</v>
      </c>
      <c r="J26866" s="41">
        <v>46135</v>
      </c>
      <c r="K26866" s="30" t="s">
        <v>22</v>
      </c>
    </row>
    <row r="26867" spans="1:11">
      <c r="A26867" s="33" t="s">
        <v>59017</v>
      </c>
      <c r="B26867" s="33" t="s">
        <v>59018</v>
      </c>
      <c r="C26867" s="33" t="s">
        <v>59019</v>
      </c>
      <c r="D26867" s="33" t="s">
        <v>17</v>
      </c>
      <c r="E26867" s="33" t="s">
        <v>330</v>
      </c>
      <c r="F26867" s="33" t="s">
        <v>331</v>
      </c>
      <c r="G26867" s="33" t="s">
        <v>140</v>
      </c>
      <c r="H26867" s="35">
        <v>72</v>
      </c>
      <c r="I26867" s="33" t="s">
        <v>51</v>
      </c>
      <c r="J26867" s="42">
        <v>46174</v>
      </c>
      <c r="K26867" s="33" t="s">
        <v>22</v>
      </c>
    </row>
    <row r="26868" spans="1:11">
      <c r="A26868" s="30" t="s">
        <v>59020</v>
      </c>
      <c r="B26868" s="30" t="s">
        <v>59021</v>
      </c>
      <c r="C26868" s="30" t="s">
        <v>2472</v>
      </c>
      <c r="D26868" s="30" t="s">
        <v>17</v>
      </c>
      <c r="E26868" s="30" t="s">
        <v>26</v>
      </c>
      <c r="F26868" s="30" t="s">
        <v>27</v>
      </c>
      <c r="G26868" s="30" t="s">
        <v>140</v>
      </c>
      <c r="H26868" s="32">
        <v>84</v>
      </c>
      <c r="I26868" s="30" t="s">
        <v>51</v>
      </c>
      <c r="J26868" s="41">
        <v>46234</v>
      </c>
      <c r="K26868" s="30" t="s">
        <v>22</v>
      </c>
    </row>
    <row r="26869" spans="1:11">
      <c r="A26869" s="33" t="s">
        <v>59022</v>
      </c>
      <c r="B26869" s="33" t="s">
        <v>59023</v>
      </c>
      <c r="C26869" s="33" t="s">
        <v>1154</v>
      </c>
      <c r="D26869" s="33" t="s">
        <v>17</v>
      </c>
      <c r="E26869" s="33" t="s">
        <v>18</v>
      </c>
      <c r="F26869" s="33" t="s">
        <v>19</v>
      </c>
      <c r="G26869" s="33" t="s">
        <v>112</v>
      </c>
      <c r="H26869" s="35">
        <v>0</v>
      </c>
      <c r="I26869" s="33" t="s">
        <v>21</v>
      </c>
      <c r="J26869" s="42">
        <v>46082</v>
      </c>
      <c r="K26869" s="33" t="s">
        <v>22</v>
      </c>
    </row>
    <row r="26870" spans="1:11">
      <c r="A26870" s="30" t="s">
        <v>59024</v>
      </c>
      <c r="B26870" s="30" t="s">
        <v>59025</v>
      </c>
      <c r="C26870" s="30" t="s">
        <v>102</v>
      </c>
      <c r="D26870" s="30" t="s">
        <v>17</v>
      </c>
      <c r="E26870" s="30" t="s">
        <v>18</v>
      </c>
      <c r="F26870" s="30" t="s">
        <v>19</v>
      </c>
      <c r="G26870" s="30" t="s">
        <v>140</v>
      </c>
      <c r="H26870" s="32">
        <v>600</v>
      </c>
      <c r="I26870" s="30" t="s">
        <v>51</v>
      </c>
      <c r="J26870" s="41">
        <v>46142</v>
      </c>
      <c r="K26870" s="30" t="s">
        <v>22</v>
      </c>
    </row>
    <row r="26871" spans="1:11">
      <c r="A26871" s="33" t="s">
        <v>59026</v>
      </c>
      <c r="B26871" s="33" t="s">
        <v>59027</v>
      </c>
      <c r="C26871" s="33" t="s">
        <v>957</v>
      </c>
      <c r="D26871" s="33" t="s">
        <v>17</v>
      </c>
      <c r="E26871" s="33" t="s">
        <v>31</v>
      </c>
      <c r="F26871" s="33" t="s">
        <v>32</v>
      </c>
      <c r="G26871" s="33" t="s">
        <v>140</v>
      </c>
      <c r="H26871" s="35">
        <v>80</v>
      </c>
      <c r="I26871" s="33" t="s">
        <v>51</v>
      </c>
      <c r="J26871" s="42">
        <v>46049</v>
      </c>
      <c r="K26871" s="33" t="s">
        <v>22</v>
      </c>
    </row>
    <row r="26872" spans="1:11">
      <c r="A26872" s="30" t="s">
        <v>59028</v>
      </c>
      <c r="B26872" s="30" t="s">
        <v>59029</v>
      </c>
      <c r="C26872" s="30" t="s">
        <v>5636</v>
      </c>
      <c r="D26872" s="30" t="s">
        <v>17</v>
      </c>
      <c r="E26872" s="30" t="s">
        <v>31</v>
      </c>
      <c r="F26872" s="30" t="s">
        <v>32</v>
      </c>
      <c r="G26872" s="30" t="s">
        <v>7780</v>
      </c>
      <c r="H26872" s="32">
        <v>120</v>
      </c>
      <c r="I26872" s="30" t="s">
        <v>51</v>
      </c>
      <c r="J26872" s="41">
        <v>46233</v>
      </c>
      <c r="K26872" s="30" t="s">
        <v>22</v>
      </c>
    </row>
    <row r="26873" spans="1:11">
      <c r="A26873" s="33" t="s">
        <v>59030</v>
      </c>
      <c r="B26873" s="33" t="s">
        <v>59031</v>
      </c>
      <c r="C26873" s="33" t="s">
        <v>59032</v>
      </c>
      <c r="D26873" s="33" t="s">
        <v>17</v>
      </c>
      <c r="E26873" s="33" t="s">
        <v>31</v>
      </c>
      <c r="F26873" s="33" t="s">
        <v>32</v>
      </c>
      <c r="G26873" s="33" t="s">
        <v>140</v>
      </c>
      <c r="H26873" s="35">
        <v>82</v>
      </c>
      <c r="I26873" s="33" t="s">
        <v>51</v>
      </c>
      <c r="J26873" s="42">
        <v>46162</v>
      </c>
      <c r="K26873" s="33" t="s">
        <v>22</v>
      </c>
    </row>
    <row r="26874" spans="1:11">
      <c r="A26874" s="30" t="s">
        <v>59033</v>
      </c>
      <c r="B26874" s="30" t="s">
        <v>59034</v>
      </c>
      <c r="C26874" s="30" t="s">
        <v>32002</v>
      </c>
      <c r="D26874" s="30" t="s">
        <v>17</v>
      </c>
      <c r="E26874" s="30" t="s">
        <v>330</v>
      </c>
      <c r="F26874" s="30" t="s">
        <v>331</v>
      </c>
      <c r="G26874" s="30" t="s">
        <v>140</v>
      </c>
      <c r="H26874" s="32">
        <v>10</v>
      </c>
      <c r="I26874" s="30" t="s">
        <v>51</v>
      </c>
      <c r="J26874" s="41">
        <v>46090</v>
      </c>
      <c r="K26874" s="30" t="s">
        <v>22</v>
      </c>
    </row>
    <row r="26875" spans="1:11">
      <c r="A26875" s="33" t="s">
        <v>59035</v>
      </c>
      <c r="B26875" s="33" t="s">
        <v>59036</v>
      </c>
      <c r="C26875" s="33" t="s">
        <v>1090</v>
      </c>
      <c r="D26875" s="33" t="s">
        <v>17</v>
      </c>
      <c r="E26875" s="33" t="s">
        <v>26</v>
      </c>
      <c r="F26875" s="33" t="s">
        <v>27</v>
      </c>
      <c r="G26875" s="33" t="s">
        <v>140</v>
      </c>
      <c r="H26875" s="35">
        <v>24</v>
      </c>
      <c r="I26875" s="33" t="s">
        <v>51</v>
      </c>
      <c r="J26875" s="42">
        <v>46111</v>
      </c>
      <c r="K26875" s="33" t="s">
        <v>22</v>
      </c>
    </row>
    <row r="26876" spans="1:11">
      <c r="A26876" s="30" t="s">
        <v>59037</v>
      </c>
      <c r="B26876" s="30" t="s">
        <v>59038</v>
      </c>
      <c r="C26876" s="30" t="s">
        <v>22614</v>
      </c>
      <c r="D26876" s="30" t="s">
        <v>17</v>
      </c>
      <c r="E26876" s="30" t="s">
        <v>330</v>
      </c>
      <c r="F26876" s="30" t="s">
        <v>331</v>
      </c>
      <c r="G26876" s="30" t="s">
        <v>7780</v>
      </c>
      <c r="H26876" s="32">
        <v>10</v>
      </c>
      <c r="I26876" s="30" t="s">
        <v>51</v>
      </c>
      <c r="J26876" s="41">
        <v>46174</v>
      </c>
      <c r="K26876" s="30" t="s">
        <v>22</v>
      </c>
    </row>
    <row r="26877" spans="1:11">
      <c r="A26877" s="33" t="s">
        <v>59039</v>
      </c>
      <c r="B26877" s="33" t="s">
        <v>59040</v>
      </c>
      <c r="C26877" s="33" t="s">
        <v>59041</v>
      </c>
      <c r="D26877" s="33" t="s">
        <v>17</v>
      </c>
      <c r="E26877" s="33" t="s">
        <v>67</v>
      </c>
      <c r="F26877" s="33" t="s">
        <v>68</v>
      </c>
      <c r="G26877" s="33" t="s">
        <v>140</v>
      </c>
      <c r="H26877" s="35">
        <v>96</v>
      </c>
      <c r="I26877" s="33" t="s">
        <v>51</v>
      </c>
      <c r="J26877" s="42">
        <v>46058</v>
      </c>
      <c r="K26877" s="33" t="s">
        <v>22</v>
      </c>
    </row>
    <row r="26878" spans="1:11">
      <c r="A26878" s="30" t="s">
        <v>59042</v>
      </c>
      <c r="B26878" s="30" t="s">
        <v>59043</v>
      </c>
      <c r="C26878" s="30" t="s">
        <v>59044</v>
      </c>
      <c r="D26878" s="30" t="s">
        <v>17</v>
      </c>
      <c r="E26878" s="30" t="s">
        <v>26</v>
      </c>
      <c r="F26878" s="30" t="s">
        <v>27</v>
      </c>
      <c r="G26878" s="30" t="s">
        <v>140</v>
      </c>
      <c r="H26878" s="32">
        <v>64</v>
      </c>
      <c r="I26878" s="30" t="s">
        <v>51</v>
      </c>
      <c r="J26878" s="41">
        <v>46216</v>
      </c>
      <c r="K26878" s="30" t="s">
        <v>22</v>
      </c>
    </row>
    <row r="26879" spans="1:11">
      <c r="A26879" s="33" t="s">
        <v>59045</v>
      </c>
      <c r="B26879" s="33" t="s">
        <v>59046</v>
      </c>
      <c r="C26879" s="33" t="s">
        <v>231</v>
      </c>
      <c r="D26879" s="33" t="s">
        <v>17</v>
      </c>
      <c r="E26879" s="33" t="s">
        <v>18</v>
      </c>
      <c r="F26879" s="33" t="s">
        <v>19</v>
      </c>
      <c r="G26879" s="33" t="s">
        <v>140</v>
      </c>
      <c r="H26879" s="35">
        <v>1325</v>
      </c>
      <c r="I26879" s="33" t="s">
        <v>51</v>
      </c>
      <c r="J26879" s="42">
        <v>46070</v>
      </c>
      <c r="K26879" s="33" t="s">
        <v>22</v>
      </c>
    </row>
    <row r="26880" spans="1:11">
      <c r="A26880" s="30" t="s">
        <v>59047</v>
      </c>
      <c r="B26880" s="30" t="s">
        <v>59048</v>
      </c>
      <c r="C26880" s="30" t="s">
        <v>14483</v>
      </c>
      <c r="D26880" s="30" t="s">
        <v>17</v>
      </c>
      <c r="E26880" s="30" t="s">
        <v>67</v>
      </c>
      <c r="F26880" s="30" t="s">
        <v>68</v>
      </c>
      <c r="G26880" s="30" t="s">
        <v>7780</v>
      </c>
      <c r="H26880" s="32">
        <v>128</v>
      </c>
      <c r="I26880" s="30" t="s">
        <v>51</v>
      </c>
      <c r="J26880" s="41">
        <v>46087</v>
      </c>
      <c r="K26880" s="30" t="s">
        <v>22</v>
      </c>
    </row>
    <row r="26881" spans="1:11">
      <c r="A26881" s="33" t="s">
        <v>59049</v>
      </c>
      <c r="B26881" s="33" t="s">
        <v>59050</v>
      </c>
      <c r="C26881" s="33" t="s">
        <v>14483</v>
      </c>
      <c r="D26881" s="33" t="s">
        <v>17</v>
      </c>
      <c r="E26881" s="33" t="s">
        <v>26</v>
      </c>
      <c r="F26881" s="33" t="s">
        <v>27</v>
      </c>
      <c r="G26881" s="33" t="s">
        <v>140</v>
      </c>
      <c r="H26881" s="35">
        <v>48</v>
      </c>
      <c r="I26881" s="33" t="s">
        <v>51</v>
      </c>
      <c r="J26881" s="42">
        <v>46097</v>
      </c>
      <c r="K26881" s="33" t="s">
        <v>22</v>
      </c>
    </row>
    <row r="26882" spans="1:11">
      <c r="A26882" s="30" t="s">
        <v>59051</v>
      </c>
      <c r="B26882" s="30" t="s">
        <v>59052</v>
      </c>
      <c r="C26882" s="30" t="s">
        <v>187</v>
      </c>
      <c r="D26882" s="30" t="s">
        <v>17</v>
      </c>
      <c r="E26882" s="30" t="s">
        <v>67</v>
      </c>
      <c r="F26882" s="30" t="s">
        <v>68</v>
      </c>
      <c r="G26882" s="30" t="s">
        <v>140</v>
      </c>
      <c r="H26882" s="32">
        <v>465</v>
      </c>
      <c r="I26882" s="30" t="s">
        <v>51</v>
      </c>
      <c r="J26882" s="41">
        <v>46079</v>
      </c>
      <c r="K26882" s="30" t="s">
        <v>22</v>
      </c>
    </row>
    <row r="26883" spans="1:11">
      <c r="A26883" s="33" t="s">
        <v>59053</v>
      </c>
      <c r="B26883" s="33" t="s">
        <v>59054</v>
      </c>
      <c r="C26883" s="33" t="s">
        <v>14835</v>
      </c>
      <c r="D26883" s="33" t="s">
        <v>17</v>
      </c>
      <c r="E26883" s="33" t="s">
        <v>26</v>
      </c>
      <c r="F26883" s="33" t="s">
        <v>27</v>
      </c>
      <c r="G26883" s="33" t="s">
        <v>140</v>
      </c>
      <c r="H26883" s="35">
        <v>45</v>
      </c>
      <c r="I26883" s="33" t="s">
        <v>51</v>
      </c>
      <c r="J26883" s="42">
        <v>46048</v>
      </c>
      <c r="K26883" s="33" t="s">
        <v>22</v>
      </c>
    </row>
    <row r="26884" spans="1:11">
      <c r="A26884" s="30" t="s">
        <v>59055</v>
      </c>
      <c r="B26884" s="30" t="s">
        <v>59056</v>
      </c>
      <c r="C26884" s="30" t="s">
        <v>14842</v>
      </c>
      <c r="D26884" s="30" t="s">
        <v>17</v>
      </c>
      <c r="E26884" s="30" t="s">
        <v>18</v>
      </c>
      <c r="F26884" s="30" t="s">
        <v>19</v>
      </c>
      <c r="G26884" s="30" t="s">
        <v>7780</v>
      </c>
      <c r="H26884" s="32">
        <v>430</v>
      </c>
      <c r="I26884" s="30" t="s">
        <v>51</v>
      </c>
      <c r="J26884" s="41">
        <v>46054</v>
      </c>
      <c r="K26884" s="30" t="s">
        <v>22</v>
      </c>
    </row>
    <row r="26885" spans="1:11">
      <c r="A26885" s="33" t="s">
        <v>59057</v>
      </c>
      <c r="B26885" s="33" t="s">
        <v>59058</v>
      </c>
      <c r="C26885" s="33" t="s">
        <v>149</v>
      </c>
      <c r="D26885" s="33" t="s">
        <v>17</v>
      </c>
      <c r="E26885" s="33" t="s">
        <v>18</v>
      </c>
      <c r="F26885" s="33" t="s">
        <v>19</v>
      </c>
      <c r="G26885" s="33" t="s">
        <v>140</v>
      </c>
      <c r="H26885" s="35">
        <v>370</v>
      </c>
      <c r="I26885" s="33" t="s">
        <v>51</v>
      </c>
      <c r="J26885" s="42">
        <v>46055</v>
      </c>
      <c r="K26885" s="33" t="s">
        <v>22</v>
      </c>
    </row>
    <row r="26886" spans="1:11">
      <c r="A26886" s="30" t="s">
        <v>59059</v>
      </c>
      <c r="B26886" s="30" t="s">
        <v>59060</v>
      </c>
      <c r="C26886" s="30" t="s">
        <v>41297</v>
      </c>
      <c r="D26886" s="30" t="s">
        <v>17</v>
      </c>
      <c r="E26886" s="30" t="s">
        <v>18</v>
      </c>
      <c r="F26886" s="30" t="s">
        <v>19</v>
      </c>
      <c r="G26886" s="30" t="s">
        <v>140</v>
      </c>
      <c r="H26886" s="32">
        <v>840</v>
      </c>
      <c r="I26886" s="30" t="s">
        <v>51</v>
      </c>
      <c r="J26886" s="41">
        <v>46192</v>
      </c>
      <c r="K26886" s="30" t="s">
        <v>22</v>
      </c>
    </row>
    <row r="26887" spans="1:11">
      <c r="A26887" s="33" t="s">
        <v>59061</v>
      </c>
      <c r="B26887" s="33" t="s">
        <v>59062</v>
      </c>
      <c r="C26887" s="33" t="s">
        <v>25594</v>
      </c>
      <c r="D26887" s="33" t="s">
        <v>17</v>
      </c>
      <c r="E26887" s="33" t="s">
        <v>18</v>
      </c>
      <c r="F26887" s="33" t="s">
        <v>19</v>
      </c>
      <c r="G26887" s="33" t="s">
        <v>7780</v>
      </c>
      <c r="H26887" s="35">
        <v>480</v>
      </c>
      <c r="I26887" s="33" t="s">
        <v>51</v>
      </c>
      <c r="J26887" s="42">
        <v>46052</v>
      </c>
      <c r="K26887" s="33" t="s">
        <v>22</v>
      </c>
    </row>
    <row r="26888" spans="1:11">
      <c r="A26888" s="30" t="s">
        <v>59063</v>
      </c>
      <c r="B26888" s="30" t="s">
        <v>59064</v>
      </c>
      <c r="C26888" s="30" t="s">
        <v>24140</v>
      </c>
      <c r="D26888" s="30" t="s">
        <v>17</v>
      </c>
      <c r="E26888" s="30" t="s">
        <v>26</v>
      </c>
      <c r="F26888" s="30" t="s">
        <v>27</v>
      </c>
      <c r="G26888" s="30" t="s">
        <v>140</v>
      </c>
      <c r="H26888" s="32">
        <v>180</v>
      </c>
      <c r="I26888" s="30" t="s">
        <v>51</v>
      </c>
      <c r="J26888" s="41">
        <v>46160</v>
      </c>
      <c r="K26888" s="30" t="s">
        <v>22</v>
      </c>
    </row>
    <row r="26889" spans="1:11">
      <c r="A26889" s="33" t="s">
        <v>59065</v>
      </c>
      <c r="B26889" s="33" t="s">
        <v>59066</v>
      </c>
      <c r="C26889" s="33" t="s">
        <v>22999</v>
      </c>
      <c r="D26889" s="33" t="s">
        <v>17</v>
      </c>
      <c r="E26889" s="33" t="s">
        <v>18</v>
      </c>
      <c r="F26889" s="33" t="s">
        <v>19</v>
      </c>
      <c r="G26889" s="33" t="s">
        <v>140</v>
      </c>
      <c r="H26889" s="35">
        <v>990</v>
      </c>
      <c r="I26889" s="33" t="s">
        <v>51</v>
      </c>
      <c r="J26889" s="42">
        <v>46104</v>
      </c>
      <c r="K26889" s="33" t="s">
        <v>22</v>
      </c>
    </row>
    <row r="26890" spans="1:11">
      <c r="A26890" s="30" t="s">
        <v>59067</v>
      </c>
      <c r="B26890" s="30" t="s">
        <v>59068</v>
      </c>
      <c r="C26890" s="30" t="s">
        <v>118</v>
      </c>
      <c r="D26890" s="30" t="s">
        <v>17</v>
      </c>
      <c r="E26890" s="30" t="s">
        <v>26</v>
      </c>
      <c r="F26890" s="30" t="s">
        <v>27</v>
      </c>
      <c r="G26890" s="30" t="s">
        <v>112</v>
      </c>
      <c r="H26890" s="32">
        <v>0</v>
      </c>
      <c r="I26890" s="30" t="s">
        <v>21</v>
      </c>
      <c r="J26890" s="41">
        <v>46120</v>
      </c>
      <c r="K26890" s="30" t="s">
        <v>22</v>
      </c>
    </row>
    <row r="26891" spans="1:11">
      <c r="A26891" s="33" t="s">
        <v>59069</v>
      </c>
      <c r="B26891" s="33" t="s">
        <v>59070</v>
      </c>
      <c r="C26891" s="33" t="s">
        <v>450</v>
      </c>
      <c r="D26891" s="33" t="s">
        <v>17</v>
      </c>
      <c r="E26891" s="33" t="s">
        <v>212</v>
      </c>
      <c r="F26891" s="33" t="s">
        <v>213</v>
      </c>
      <c r="G26891" s="33" t="s">
        <v>140</v>
      </c>
      <c r="H26891" s="35">
        <v>75</v>
      </c>
      <c r="I26891" s="33" t="s">
        <v>51</v>
      </c>
      <c r="J26891" s="42">
        <v>46085</v>
      </c>
      <c r="K26891" s="33" t="s">
        <v>22</v>
      </c>
    </row>
    <row r="26892" spans="1:11">
      <c r="A26892" s="30" t="s">
        <v>59071</v>
      </c>
      <c r="B26892" s="30" t="s">
        <v>59072</v>
      </c>
      <c r="C26892" s="30" t="s">
        <v>93</v>
      </c>
      <c r="D26892" s="30" t="s">
        <v>17</v>
      </c>
      <c r="E26892" s="30" t="s">
        <v>26</v>
      </c>
      <c r="F26892" s="30" t="s">
        <v>27</v>
      </c>
      <c r="G26892" s="30" t="s">
        <v>20</v>
      </c>
      <c r="H26892" s="32">
        <v>16</v>
      </c>
      <c r="I26892" s="30" t="s">
        <v>21</v>
      </c>
      <c r="J26892" s="41">
        <v>46079</v>
      </c>
      <c r="K26892" s="30" t="s">
        <v>22</v>
      </c>
    </row>
    <row r="26893" spans="1:11">
      <c r="A26893" s="33" t="s">
        <v>59073</v>
      </c>
      <c r="B26893" s="33" t="s">
        <v>59074</v>
      </c>
      <c r="C26893" s="33" t="s">
        <v>787</v>
      </c>
      <c r="D26893" s="33" t="s">
        <v>17</v>
      </c>
      <c r="E26893" s="33" t="s">
        <v>67</v>
      </c>
      <c r="F26893" s="33" t="s">
        <v>68</v>
      </c>
      <c r="G26893" s="33" t="s">
        <v>140</v>
      </c>
      <c r="H26893" s="35">
        <v>539</v>
      </c>
      <c r="I26893" s="33" t="s">
        <v>51</v>
      </c>
      <c r="J26893" s="42">
        <v>46206</v>
      </c>
      <c r="K26893" s="33" t="s">
        <v>22</v>
      </c>
    </row>
    <row r="26894" spans="1:11">
      <c r="A26894" s="30" t="s">
        <v>59075</v>
      </c>
      <c r="B26894" s="30" t="s">
        <v>59076</v>
      </c>
      <c r="C26894" s="30" t="s">
        <v>3296</v>
      </c>
      <c r="D26894" s="30" t="s">
        <v>17</v>
      </c>
      <c r="E26894" s="30" t="s">
        <v>26</v>
      </c>
      <c r="F26894" s="30" t="s">
        <v>27</v>
      </c>
      <c r="G26894" s="30" t="s">
        <v>7780</v>
      </c>
      <c r="H26894" s="32">
        <v>60</v>
      </c>
      <c r="I26894" s="30" t="s">
        <v>51</v>
      </c>
      <c r="J26894" s="41">
        <v>46113</v>
      </c>
      <c r="K26894" s="30" t="s">
        <v>22</v>
      </c>
    </row>
    <row r="26895" spans="1:11">
      <c r="A26895" s="33" t="s">
        <v>59077</v>
      </c>
      <c r="B26895" s="33" t="s">
        <v>59078</v>
      </c>
      <c r="C26895" s="33" t="s">
        <v>1598</v>
      </c>
      <c r="D26895" s="33" t="s">
        <v>17</v>
      </c>
      <c r="E26895" s="33" t="s">
        <v>26</v>
      </c>
      <c r="F26895" s="33" t="s">
        <v>27</v>
      </c>
      <c r="G26895" s="33" t="s">
        <v>140</v>
      </c>
      <c r="H26895" s="35">
        <v>150</v>
      </c>
      <c r="I26895" s="33" t="s">
        <v>51</v>
      </c>
      <c r="J26895" s="42">
        <v>46163</v>
      </c>
      <c r="K26895" s="33" t="s">
        <v>22</v>
      </c>
    </row>
    <row r="26896" spans="1:11">
      <c r="A26896" s="30" t="s">
        <v>59079</v>
      </c>
      <c r="B26896" s="30" t="s">
        <v>59080</v>
      </c>
      <c r="C26896" s="30" t="s">
        <v>644</v>
      </c>
      <c r="D26896" s="30" t="s">
        <v>17</v>
      </c>
      <c r="E26896" s="30" t="s">
        <v>18</v>
      </c>
      <c r="F26896" s="30" t="s">
        <v>19</v>
      </c>
      <c r="G26896" s="30" t="s">
        <v>140</v>
      </c>
      <c r="H26896" s="32">
        <v>120</v>
      </c>
      <c r="I26896" s="30" t="s">
        <v>51</v>
      </c>
      <c r="J26896" s="41">
        <v>46035</v>
      </c>
      <c r="K26896" s="30" t="s">
        <v>22</v>
      </c>
    </row>
    <row r="26897" spans="1:11">
      <c r="A26897" s="33" t="s">
        <v>59081</v>
      </c>
      <c r="B26897" s="33" t="s">
        <v>59082</v>
      </c>
      <c r="C26897" s="33" t="s">
        <v>4348</v>
      </c>
      <c r="D26897" s="33" t="s">
        <v>17</v>
      </c>
      <c r="E26897" s="33" t="s">
        <v>26</v>
      </c>
      <c r="F26897" s="33" t="s">
        <v>27</v>
      </c>
      <c r="G26897" s="33" t="s">
        <v>140</v>
      </c>
      <c r="H26897" s="35">
        <v>33</v>
      </c>
      <c r="I26897" s="33" t="s">
        <v>51</v>
      </c>
      <c r="J26897" s="42">
        <v>46106</v>
      </c>
      <c r="K26897" s="33" t="s">
        <v>22</v>
      </c>
    </row>
    <row r="26898" spans="1:11">
      <c r="A26898" s="30" t="s">
        <v>59083</v>
      </c>
      <c r="B26898" s="30" t="s">
        <v>59084</v>
      </c>
      <c r="C26898" s="30" t="s">
        <v>15917</v>
      </c>
      <c r="D26898" s="30" t="s">
        <v>17</v>
      </c>
      <c r="E26898" s="30" t="s">
        <v>31</v>
      </c>
      <c r="F26898" s="30" t="s">
        <v>32</v>
      </c>
      <c r="G26898" s="30" t="s">
        <v>140</v>
      </c>
      <c r="H26898" s="32">
        <v>84</v>
      </c>
      <c r="I26898" s="30" t="s">
        <v>51</v>
      </c>
      <c r="J26898" s="41">
        <v>46090</v>
      </c>
      <c r="K26898" s="30" t="s">
        <v>22</v>
      </c>
    </row>
    <row r="26899" spans="1:11">
      <c r="A26899" s="33" t="s">
        <v>59085</v>
      </c>
      <c r="B26899" s="33" t="s">
        <v>59086</v>
      </c>
      <c r="C26899" s="33" t="s">
        <v>31187</v>
      </c>
      <c r="D26899" s="33" t="s">
        <v>17</v>
      </c>
      <c r="E26899" s="33" t="s">
        <v>26</v>
      </c>
      <c r="F26899" s="33" t="s">
        <v>27</v>
      </c>
      <c r="G26899" s="33" t="s">
        <v>7780</v>
      </c>
      <c r="H26899" s="35">
        <v>27</v>
      </c>
      <c r="I26899" s="33" t="s">
        <v>51</v>
      </c>
      <c r="J26899" s="42">
        <v>46048</v>
      </c>
      <c r="K26899" s="33" t="s">
        <v>22</v>
      </c>
    </row>
    <row r="26900" spans="1:11">
      <c r="A26900" s="30" t="s">
        <v>59087</v>
      </c>
      <c r="B26900" s="30" t="s">
        <v>59088</v>
      </c>
      <c r="C26900" s="30" t="s">
        <v>4064</v>
      </c>
      <c r="D26900" s="30" t="s">
        <v>17</v>
      </c>
      <c r="E26900" s="30" t="s">
        <v>18</v>
      </c>
      <c r="F26900" s="30" t="s">
        <v>19</v>
      </c>
      <c r="G26900" s="30" t="s">
        <v>140</v>
      </c>
      <c r="H26900" s="32">
        <v>850</v>
      </c>
      <c r="I26900" s="30" t="s">
        <v>51</v>
      </c>
      <c r="J26900" s="41">
        <v>46139</v>
      </c>
      <c r="K26900" s="30" t="s">
        <v>22</v>
      </c>
    </row>
    <row r="26901" spans="1:11">
      <c r="A26901" s="33" t="s">
        <v>59089</v>
      </c>
      <c r="B26901" s="33" t="s">
        <v>59090</v>
      </c>
      <c r="C26901" s="33" t="s">
        <v>1305</v>
      </c>
      <c r="D26901" s="33" t="s">
        <v>17</v>
      </c>
      <c r="E26901" s="33" t="s">
        <v>67</v>
      </c>
      <c r="F26901" s="33" t="s">
        <v>68</v>
      </c>
      <c r="G26901" s="33" t="s">
        <v>140</v>
      </c>
      <c r="H26901" s="35">
        <v>102</v>
      </c>
      <c r="I26901" s="33" t="s">
        <v>51</v>
      </c>
      <c r="J26901" s="42">
        <v>46059</v>
      </c>
      <c r="K26901" s="33" t="s">
        <v>22</v>
      </c>
    </row>
    <row r="26902" spans="1:11">
      <c r="A26902" s="30" t="s">
        <v>59091</v>
      </c>
      <c r="B26902" s="30" t="s">
        <v>59092</v>
      </c>
      <c r="C26902" s="30" t="s">
        <v>9714</v>
      </c>
      <c r="D26902" s="30" t="s">
        <v>17</v>
      </c>
      <c r="E26902" s="30" t="s">
        <v>18</v>
      </c>
      <c r="F26902" s="30" t="s">
        <v>19</v>
      </c>
      <c r="G26902" s="30" t="s">
        <v>7780</v>
      </c>
      <c r="H26902" s="32">
        <v>315</v>
      </c>
      <c r="I26902" s="30" t="s">
        <v>51</v>
      </c>
      <c r="J26902" s="41">
        <v>46055</v>
      </c>
      <c r="K26902" s="30" t="s">
        <v>22</v>
      </c>
    </row>
    <row r="26903" spans="1:11">
      <c r="A26903" s="33" t="s">
        <v>59093</v>
      </c>
      <c r="B26903" s="33" t="s">
        <v>59094</v>
      </c>
      <c r="C26903" s="33" t="s">
        <v>8653</v>
      </c>
      <c r="D26903" s="33" t="s">
        <v>17</v>
      </c>
      <c r="E26903" s="33" t="s">
        <v>31</v>
      </c>
      <c r="F26903" s="33" t="s">
        <v>32</v>
      </c>
      <c r="G26903" s="33" t="s">
        <v>7780</v>
      </c>
      <c r="H26903" s="35">
        <v>81</v>
      </c>
      <c r="I26903" s="33" t="s">
        <v>51</v>
      </c>
      <c r="J26903" s="42">
        <v>46080</v>
      </c>
      <c r="K26903" s="33" t="s">
        <v>22</v>
      </c>
    </row>
    <row r="26904" spans="1:11">
      <c r="A26904" s="30" t="s">
        <v>59095</v>
      </c>
      <c r="B26904" s="30" t="s">
        <v>59096</v>
      </c>
      <c r="C26904" s="30" t="s">
        <v>3775</v>
      </c>
      <c r="D26904" s="30" t="s">
        <v>17</v>
      </c>
      <c r="E26904" s="30" t="s">
        <v>31</v>
      </c>
      <c r="F26904" s="30" t="s">
        <v>32</v>
      </c>
      <c r="G26904" s="30" t="s">
        <v>7780</v>
      </c>
      <c r="H26904" s="32">
        <v>330</v>
      </c>
      <c r="I26904" s="30" t="s">
        <v>51</v>
      </c>
      <c r="J26904" s="41">
        <v>46082</v>
      </c>
      <c r="K26904" s="30" t="s">
        <v>22</v>
      </c>
    </row>
    <row r="26905" spans="1:11">
      <c r="A26905" s="33" t="s">
        <v>59097</v>
      </c>
      <c r="B26905" s="33" t="s">
        <v>59098</v>
      </c>
      <c r="C26905" s="33" t="s">
        <v>318</v>
      </c>
      <c r="D26905" s="33" t="s">
        <v>17</v>
      </c>
      <c r="E26905" s="33" t="s">
        <v>18</v>
      </c>
      <c r="F26905" s="33" t="s">
        <v>19</v>
      </c>
      <c r="G26905" s="33" t="s">
        <v>7780</v>
      </c>
      <c r="H26905" s="35">
        <v>560</v>
      </c>
      <c r="I26905" s="33" t="s">
        <v>51</v>
      </c>
      <c r="J26905" s="42">
        <v>46184</v>
      </c>
      <c r="K26905" s="33" t="s">
        <v>22</v>
      </c>
    </row>
    <row r="26906" spans="1:11">
      <c r="A26906" s="30" t="s">
        <v>59099</v>
      </c>
      <c r="B26906" s="30" t="s">
        <v>59100</v>
      </c>
      <c r="C26906" s="30" t="s">
        <v>20321</v>
      </c>
      <c r="D26906" s="30" t="s">
        <v>17</v>
      </c>
      <c r="E26906" s="30" t="s">
        <v>26</v>
      </c>
      <c r="F26906" s="30" t="s">
        <v>27</v>
      </c>
      <c r="G26906" s="30" t="s">
        <v>140</v>
      </c>
      <c r="H26906" s="32">
        <v>42</v>
      </c>
      <c r="I26906" s="30" t="s">
        <v>51</v>
      </c>
      <c r="J26906" s="41">
        <v>46171</v>
      </c>
      <c r="K26906" s="30" t="s">
        <v>22</v>
      </c>
    </row>
    <row r="26907" spans="1:11">
      <c r="A26907" s="33" t="s">
        <v>59101</v>
      </c>
      <c r="B26907" s="33" t="s">
        <v>59102</v>
      </c>
      <c r="C26907" s="33" t="s">
        <v>59103</v>
      </c>
      <c r="D26907" s="33" t="s">
        <v>17</v>
      </c>
      <c r="E26907" s="33" t="s">
        <v>67</v>
      </c>
      <c r="F26907" s="33" t="s">
        <v>68</v>
      </c>
      <c r="G26907" s="33" t="s">
        <v>140</v>
      </c>
      <c r="H26907" s="35">
        <v>426</v>
      </c>
      <c r="I26907" s="33" t="s">
        <v>51</v>
      </c>
      <c r="J26907" s="42">
        <v>46198</v>
      </c>
      <c r="K26907" s="33" t="s">
        <v>22</v>
      </c>
    </row>
    <row r="26908" spans="1:11">
      <c r="A26908" s="30" t="s">
        <v>59104</v>
      </c>
      <c r="B26908" s="30" t="s">
        <v>59105</v>
      </c>
      <c r="C26908" s="30" t="s">
        <v>1428</v>
      </c>
      <c r="D26908" s="30" t="s">
        <v>17</v>
      </c>
      <c r="E26908" s="30" t="s">
        <v>67</v>
      </c>
      <c r="F26908" s="30" t="s">
        <v>68</v>
      </c>
      <c r="G26908" s="30" t="s">
        <v>7780</v>
      </c>
      <c r="H26908" s="32">
        <v>159</v>
      </c>
      <c r="I26908" s="30" t="s">
        <v>51</v>
      </c>
      <c r="J26908" s="41">
        <v>46113</v>
      </c>
      <c r="K26908" s="30" t="s">
        <v>22</v>
      </c>
    </row>
    <row r="26909" spans="1:11">
      <c r="A26909" s="33" t="s">
        <v>59106</v>
      </c>
      <c r="B26909" s="33" t="s">
        <v>59107</v>
      </c>
      <c r="C26909" s="33" t="s">
        <v>329</v>
      </c>
      <c r="D26909" s="33" t="s">
        <v>17</v>
      </c>
      <c r="E26909" s="33" t="s">
        <v>67</v>
      </c>
      <c r="F26909" s="33" t="s">
        <v>68</v>
      </c>
      <c r="G26909" s="33" t="s">
        <v>140</v>
      </c>
      <c r="H26909" s="35">
        <v>854</v>
      </c>
      <c r="I26909" s="33" t="s">
        <v>51</v>
      </c>
      <c r="J26909" s="42">
        <v>46166</v>
      </c>
      <c r="K26909" s="33" t="s">
        <v>22</v>
      </c>
    </row>
    <row r="26910" spans="1:11">
      <c r="A26910" s="30" t="s">
        <v>59108</v>
      </c>
      <c r="B26910" s="30" t="s">
        <v>59109</v>
      </c>
      <c r="C26910" s="30" t="s">
        <v>6127</v>
      </c>
      <c r="D26910" s="30" t="s">
        <v>17</v>
      </c>
      <c r="E26910" s="30" t="s">
        <v>31</v>
      </c>
      <c r="F26910" s="30" t="s">
        <v>32</v>
      </c>
      <c r="G26910" s="30" t="s">
        <v>140</v>
      </c>
      <c r="H26910" s="32">
        <v>24</v>
      </c>
      <c r="I26910" s="30" t="s">
        <v>51</v>
      </c>
      <c r="J26910" s="41">
        <v>46037</v>
      </c>
      <c r="K26910" s="30" t="s">
        <v>22</v>
      </c>
    </row>
    <row r="26911" spans="1:11">
      <c r="A26911" s="33" t="s">
        <v>59110</v>
      </c>
      <c r="B26911" s="33" t="s">
        <v>59111</v>
      </c>
      <c r="C26911" s="33" t="s">
        <v>801</v>
      </c>
      <c r="D26911" s="33" t="s">
        <v>17</v>
      </c>
      <c r="E26911" s="33" t="s">
        <v>18</v>
      </c>
      <c r="F26911" s="33" t="s">
        <v>19</v>
      </c>
      <c r="G26911" s="33" t="s">
        <v>140</v>
      </c>
      <c r="H26911" s="35">
        <v>30</v>
      </c>
      <c r="I26911" s="33" t="s">
        <v>51</v>
      </c>
      <c r="J26911" s="42">
        <v>46140</v>
      </c>
      <c r="K26911" s="33" t="s">
        <v>22</v>
      </c>
    </row>
    <row r="26912" spans="1:11">
      <c r="A26912" s="30" t="s">
        <v>59112</v>
      </c>
      <c r="B26912" s="30" t="s">
        <v>59113</v>
      </c>
      <c r="C26912" s="30" t="s">
        <v>3757</v>
      </c>
      <c r="D26912" s="30" t="s">
        <v>17</v>
      </c>
      <c r="E26912" s="30" t="s">
        <v>18</v>
      </c>
      <c r="F26912" s="30" t="s">
        <v>19</v>
      </c>
      <c r="G26912" s="30" t="s">
        <v>7780</v>
      </c>
      <c r="H26912" s="32">
        <v>450</v>
      </c>
      <c r="I26912" s="30" t="s">
        <v>51</v>
      </c>
      <c r="J26912" s="41">
        <v>46142</v>
      </c>
      <c r="K26912" s="30" t="s">
        <v>22</v>
      </c>
    </row>
    <row r="26913" spans="1:11">
      <c r="A26913" s="33" t="s">
        <v>59114</v>
      </c>
      <c r="B26913" s="33" t="s">
        <v>59115</v>
      </c>
      <c r="C26913" s="33" t="s">
        <v>4348</v>
      </c>
      <c r="D26913" s="33" t="s">
        <v>17</v>
      </c>
      <c r="E26913" s="33" t="s">
        <v>18</v>
      </c>
      <c r="F26913" s="33" t="s">
        <v>19</v>
      </c>
      <c r="G26913" s="33" t="s">
        <v>7780</v>
      </c>
      <c r="H26913" s="35">
        <v>418</v>
      </c>
      <c r="I26913" s="33" t="s">
        <v>51</v>
      </c>
      <c r="J26913" s="42">
        <v>46174</v>
      </c>
      <c r="K26913" s="33" t="s">
        <v>22</v>
      </c>
    </row>
    <row r="26914" spans="1:11">
      <c r="A26914" s="30" t="s">
        <v>59116</v>
      </c>
      <c r="B26914" s="30" t="s">
        <v>59117</v>
      </c>
      <c r="C26914" s="30" t="s">
        <v>39233</v>
      </c>
      <c r="D26914" s="30" t="s">
        <v>17</v>
      </c>
      <c r="E26914" s="30" t="s">
        <v>18</v>
      </c>
      <c r="F26914" s="30" t="s">
        <v>19</v>
      </c>
      <c r="G26914" s="30" t="s">
        <v>7780</v>
      </c>
      <c r="H26914" s="32">
        <v>680</v>
      </c>
      <c r="I26914" s="30" t="s">
        <v>51</v>
      </c>
      <c r="J26914" s="41">
        <v>46174</v>
      </c>
      <c r="K26914" s="30" t="s">
        <v>22</v>
      </c>
    </row>
    <row r="26915" spans="1:11">
      <c r="A26915" s="33" t="s">
        <v>59118</v>
      </c>
      <c r="B26915" s="33" t="s">
        <v>59119</v>
      </c>
      <c r="C26915" s="33" t="s">
        <v>49309</v>
      </c>
      <c r="D26915" s="33" t="s">
        <v>17</v>
      </c>
      <c r="E26915" s="33" t="s">
        <v>26</v>
      </c>
      <c r="F26915" s="33" t="s">
        <v>27</v>
      </c>
      <c r="G26915" s="33" t="s">
        <v>158</v>
      </c>
      <c r="H26915" s="35">
        <v>20</v>
      </c>
      <c r="I26915" s="33" t="s">
        <v>51</v>
      </c>
      <c r="J26915" s="42">
        <v>46063</v>
      </c>
      <c r="K26915" s="33" t="s">
        <v>22</v>
      </c>
    </row>
    <row r="26916" spans="1:11">
      <c r="A26916" s="30" t="s">
        <v>59120</v>
      </c>
      <c r="B26916" s="30" t="s">
        <v>59121</v>
      </c>
      <c r="C26916" s="30" t="s">
        <v>12203</v>
      </c>
      <c r="D26916" s="30" t="s">
        <v>17</v>
      </c>
      <c r="E26916" s="30" t="s">
        <v>26</v>
      </c>
      <c r="F26916" s="30" t="s">
        <v>27</v>
      </c>
      <c r="G26916" s="30" t="s">
        <v>140</v>
      </c>
      <c r="H26916" s="32">
        <v>90</v>
      </c>
      <c r="I26916" s="30" t="s">
        <v>51</v>
      </c>
      <c r="J26916" s="41">
        <v>46041</v>
      </c>
      <c r="K26916" s="30" t="s">
        <v>22</v>
      </c>
    </row>
    <row r="26917" spans="1:11">
      <c r="A26917" s="33" t="s">
        <v>59122</v>
      </c>
      <c r="B26917" s="33" t="s">
        <v>59123</v>
      </c>
      <c r="C26917" s="33" t="s">
        <v>41014</v>
      </c>
      <c r="D26917" s="33" t="s">
        <v>17</v>
      </c>
      <c r="E26917" s="33" t="s">
        <v>18</v>
      </c>
      <c r="F26917" s="33" t="s">
        <v>19</v>
      </c>
      <c r="G26917" s="33" t="s">
        <v>7780</v>
      </c>
      <c r="H26917" s="35">
        <v>692</v>
      </c>
      <c r="I26917" s="33" t="s">
        <v>51</v>
      </c>
      <c r="J26917" s="42">
        <v>46146</v>
      </c>
      <c r="K26917" s="33" t="s">
        <v>22</v>
      </c>
    </row>
    <row r="26918" spans="1:11">
      <c r="A26918" s="30" t="s">
        <v>59124</v>
      </c>
      <c r="B26918" s="30" t="s">
        <v>59125</v>
      </c>
      <c r="C26918" s="30" t="s">
        <v>124</v>
      </c>
      <c r="D26918" s="30" t="s">
        <v>17</v>
      </c>
      <c r="E26918" s="30" t="s">
        <v>26</v>
      </c>
      <c r="F26918" s="30" t="s">
        <v>27</v>
      </c>
      <c r="G26918" s="30" t="s">
        <v>140</v>
      </c>
      <c r="H26918" s="32">
        <v>40</v>
      </c>
      <c r="I26918" s="30" t="s">
        <v>51</v>
      </c>
      <c r="J26918" s="41">
        <v>46190</v>
      </c>
      <c r="K26918" s="30" t="s">
        <v>22</v>
      </c>
    </row>
    <row r="26919" spans="1:11">
      <c r="A26919" s="33" t="s">
        <v>59126</v>
      </c>
      <c r="B26919" s="33" t="s">
        <v>59127</v>
      </c>
      <c r="C26919" s="33" t="s">
        <v>50171</v>
      </c>
      <c r="D26919" s="33" t="s">
        <v>17</v>
      </c>
      <c r="E26919" s="33" t="s">
        <v>212</v>
      </c>
      <c r="F26919" s="33" t="s">
        <v>213</v>
      </c>
      <c r="G26919" s="33" t="s">
        <v>158</v>
      </c>
      <c r="H26919" s="35">
        <v>2000</v>
      </c>
      <c r="I26919" s="33" t="s">
        <v>51</v>
      </c>
      <c r="J26919" s="42">
        <v>46030</v>
      </c>
      <c r="K26919" s="33" t="s">
        <v>22</v>
      </c>
    </row>
    <row r="26920" spans="1:11">
      <c r="A26920" s="30" t="s">
        <v>59128</v>
      </c>
      <c r="B26920" s="30" t="s">
        <v>59129</v>
      </c>
      <c r="C26920" s="30" t="s">
        <v>96</v>
      </c>
      <c r="D26920" s="30" t="s">
        <v>17</v>
      </c>
      <c r="E26920" s="30" t="s">
        <v>31</v>
      </c>
      <c r="F26920" s="30" t="s">
        <v>32</v>
      </c>
      <c r="G26920" s="30" t="s">
        <v>140</v>
      </c>
      <c r="H26920" s="32">
        <v>770</v>
      </c>
      <c r="I26920" s="30" t="s">
        <v>51</v>
      </c>
      <c r="J26920" s="41">
        <v>46076</v>
      </c>
      <c r="K26920" s="30" t="s">
        <v>22</v>
      </c>
    </row>
    <row r="26921" spans="1:11">
      <c r="A26921" s="33" t="s">
        <v>59130</v>
      </c>
      <c r="B26921" s="33" t="s">
        <v>59131</v>
      </c>
      <c r="C26921" s="33" t="s">
        <v>109</v>
      </c>
      <c r="D26921" s="33" t="s">
        <v>17</v>
      </c>
      <c r="E26921" s="33" t="s">
        <v>67</v>
      </c>
      <c r="F26921" s="33" t="s">
        <v>68</v>
      </c>
      <c r="G26921" s="33" t="s">
        <v>140</v>
      </c>
      <c r="H26921" s="35">
        <v>181</v>
      </c>
      <c r="I26921" s="33" t="s">
        <v>51</v>
      </c>
      <c r="J26921" s="42">
        <v>46035</v>
      </c>
      <c r="K26921" s="33" t="s">
        <v>22</v>
      </c>
    </row>
    <row r="26922" spans="1:11">
      <c r="A26922" s="30" t="s">
        <v>59132</v>
      </c>
      <c r="B26922" s="30" t="s">
        <v>59133</v>
      </c>
      <c r="C26922" s="30" t="s">
        <v>59134</v>
      </c>
      <c r="D26922" s="30" t="s">
        <v>17</v>
      </c>
      <c r="E26922" s="30" t="s">
        <v>67</v>
      </c>
      <c r="F26922" s="30" t="s">
        <v>68</v>
      </c>
      <c r="G26922" s="30" t="s">
        <v>140</v>
      </c>
      <c r="H26922" s="32">
        <v>180</v>
      </c>
      <c r="I26922" s="30" t="s">
        <v>51</v>
      </c>
      <c r="J26922" s="41">
        <v>46052</v>
      </c>
      <c r="K26922" s="30" t="s">
        <v>22</v>
      </c>
    </row>
    <row r="26923" spans="1:11">
      <c r="A26923" s="33" t="s">
        <v>59135</v>
      </c>
      <c r="B26923" s="33" t="s">
        <v>59136</v>
      </c>
      <c r="C26923" s="33" t="s">
        <v>5050</v>
      </c>
      <c r="D26923" s="33" t="s">
        <v>17</v>
      </c>
      <c r="E26923" s="33" t="s">
        <v>31</v>
      </c>
      <c r="F26923" s="33" t="s">
        <v>32</v>
      </c>
      <c r="G26923" s="33" t="s">
        <v>140</v>
      </c>
      <c r="H26923" s="35">
        <v>150</v>
      </c>
      <c r="I26923" s="33" t="s">
        <v>51</v>
      </c>
      <c r="J26923" s="42">
        <v>46107</v>
      </c>
      <c r="K26923" s="33" t="s">
        <v>22</v>
      </c>
    </row>
    <row r="26924" spans="1:11">
      <c r="A26924" s="30" t="s">
        <v>59137</v>
      </c>
      <c r="B26924" s="30" t="s">
        <v>59138</v>
      </c>
      <c r="C26924" s="30" t="s">
        <v>1267</v>
      </c>
      <c r="D26924" s="30" t="s">
        <v>17</v>
      </c>
      <c r="E26924" s="30" t="s">
        <v>26</v>
      </c>
      <c r="F26924" s="30" t="s">
        <v>27</v>
      </c>
      <c r="G26924" s="30" t="s">
        <v>7780</v>
      </c>
      <c r="H26924" s="32">
        <v>130</v>
      </c>
      <c r="I26924" s="30" t="s">
        <v>51</v>
      </c>
      <c r="J26924" s="41">
        <v>46204</v>
      </c>
      <c r="K26924" s="30" t="s">
        <v>22</v>
      </c>
    </row>
    <row r="26925" spans="1:11">
      <c r="A26925" s="33" t="s">
        <v>59139</v>
      </c>
      <c r="B26925" s="33" t="s">
        <v>59140</v>
      </c>
      <c r="C26925" s="33" t="s">
        <v>3647</v>
      </c>
      <c r="D26925" s="33" t="s">
        <v>17</v>
      </c>
      <c r="E26925" s="33" t="s">
        <v>18</v>
      </c>
      <c r="F26925" s="33" t="s">
        <v>19</v>
      </c>
      <c r="G26925" s="33" t="s">
        <v>140</v>
      </c>
      <c r="H26925" s="35">
        <v>554</v>
      </c>
      <c r="I26925" s="33" t="s">
        <v>51</v>
      </c>
      <c r="J26925" s="42">
        <v>46199</v>
      </c>
      <c r="K26925" s="33" t="s">
        <v>22</v>
      </c>
    </row>
    <row r="26926" spans="1:11">
      <c r="A26926" s="30" t="s">
        <v>59141</v>
      </c>
      <c r="B26926" s="30" t="s">
        <v>59142</v>
      </c>
      <c r="C26926" s="30" t="s">
        <v>14181</v>
      </c>
      <c r="D26926" s="30" t="s">
        <v>17</v>
      </c>
      <c r="E26926" s="30" t="s">
        <v>31</v>
      </c>
      <c r="F26926" s="30" t="s">
        <v>32</v>
      </c>
      <c r="G26926" s="30" t="s">
        <v>7780</v>
      </c>
      <c r="H26926" s="32">
        <v>165</v>
      </c>
      <c r="I26926" s="30" t="s">
        <v>51</v>
      </c>
      <c r="J26926" s="41">
        <v>46174</v>
      </c>
      <c r="K26926" s="30" t="s">
        <v>22</v>
      </c>
    </row>
    <row r="26927" spans="1:11">
      <c r="A26927" s="33" t="s">
        <v>59143</v>
      </c>
      <c r="B26927" s="33" t="s">
        <v>59144</v>
      </c>
      <c r="C26927" s="33" t="s">
        <v>51354</v>
      </c>
      <c r="D26927" s="33" t="s">
        <v>17</v>
      </c>
      <c r="E26927" s="33" t="s">
        <v>31</v>
      </c>
      <c r="F26927" s="33" t="s">
        <v>32</v>
      </c>
      <c r="G26927" s="33" t="s">
        <v>140</v>
      </c>
      <c r="H26927" s="35">
        <v>200</v>
      </c>
      <c r="I26927" s="33" t="s">
        <v>51</v>
      </c>
      <c r="J26927" s="42">
        <v>46202</v>
      </c>
      <c r="K26927" s="33" t="s">
        <v>22</v>
      </c>
    </row>
    <row r="26928" spans="1:11">
      <c r="A26928" s="30" t="s">
        <v>59145</v>
      </c>
      <c r="B26928" s="30" t="s">
        <v>59146</v>
      </c>
      <c r="C26928" s="30" t="s">
        <v>136</v>
      </c>
      <c r="D26928" s="30" t="s">
        <v>17</v>
      </c>
      <c r="E26928" s="30" t="s">
        <v>31</v>
      </c>
      <c r="F26928" s="30" t="s">
        <v>32</v>
      </c>
      <c r="G26928" s="30" t="s">
        <v>140</v>
      </c>
      <c r="H26928" s="32">
        <v>342</v>
      </c>
      <c r="I26928" s="30" t="s">
        <v>51</v>
      </c>
      <c r="J26928" s="41">
        <v>46141</v>
      </c>
      <c r="K26928" s="30" t="s">
        <v>22</v>
      </c>
    </row>
    <row r="26929" spans="1:11">
      <c r="A26929" s="33" t="s">
        <v>59147</v>
      </c>
      <c r="B26929" s="33" t="s">
        <v>59148</v>
      </c>
      <c r="C26929" s="33" t="s">
        <v>3698</v>
      </c>
      <c r="D26929" s="33" t="s">
        <v>17</v>
      </c>
      <c r="E26929" s="33" t="s">
        <v>212</v>
      </c>
      <c r="F26929" s="33" t="s">
        <v>213</v>
      </c>
      <c r="G26929" s="33" t="s">
        <v>140</v>
      </c>
      <c r="H26929" s="35">
        <v>150</v>
      </c>
      <c r="I26929" s="33" t="s">
        <v>51</v>
      </c>
      <c r="J26929" s="42">
        <v>46212</v>
      </c>
      <c r="K26929" s="33" t="s">
        <v>22</v>
      </c>
    </row>
    <row r="26930" spans="1:11">
      <c r="A26930" s="30" t="s">
        <v>59149</v>
      </c>
      <c r="B26930" s="30" t="s">
        <v>59150</v>
      </c>
      <c r="C26930" s="30" t="s">
        <v>178</v>
      </c>
      <c r="D26930" s="30" t="s">
        <v>17</v>
      </c>
      <c r="E26930" s="30" t="s">
        <v>45</v>
      </c>
      <c r="F26930" s="30" t="s">
        <v>46</v>
      </c>
      <c r="G26930" s="30" t="s">
        <v>140</v>
      </c>
      <c r="H26930" s="32">
        <v>650</v>
      </c>
      <c r="I26930" s="30" t="s">
        <v>51</v>
      </c>
      <c r="J26930" s="41">
        <v>46163</v>
      </c>
      <c r="K26930" s="30" t="s">
        <v>22</v>
      </c>
    </row>
    <row r="26931" spans="1:11">
      <c r="A26931" s="33" t="s">
        <v>59151</v>
      </c>
      <c r="B26931" s="33" t="s">
        <v>59152</v>
      </c>
      <c r="C26931" s="33" t="s">
        <v>17285</v>
      </c>
      <c r="D26931" s="33" t="s">
        <v>17</v>
      </c>
      <c r="E26931" s="33" t="s">
        <v>31</v>
      </c>
      <c r="F26931" s="33" t="s">
        <v>32</v>
      </c>
      <c r="G26931" s="33" t="s">
        <v>7780</v>
      </c>
      <c r="H26931" s="35">
        <v>90</v>
      </c>
      <c r="I26931" s="33" t="s">
        <v>51</v>
      </c>
      <c r="J26931" s="42">
        <v>46162</v>
      </c>
      <c r="K26931" s="33" t="s">
        <v>22</v>
      </c>
    </row>
    <row r="26932" spans="1:11">
      <c r="A26932" s="30" t="s">
        <v>59153</v>
      </c>
      <c r="B26932" s="30" t="s">
        <v>59154</v>
      </c>
      <c r="C26932" s="30" t="s">
        <v>310</v>
      </c>
      <c r="D26932" s="30" t="s">
        <v>17</v>
      </c>
      <c r="E26932" s="30" t="s">
        <v>26</v>
      </c>
      <c r="F26932" s="30" t="s">
        <v>27</v>
      </c>
      <c r="G26932" s="30" t="s">
        <v>140</v>
      </c>
      <c r="H26932" s="32">
        <v>32</v>
      </c>
      <c r="I26932" s="30" t="s">
        <v>51</v>
      </c>
      <c r="J26932" s="41">
        <v>46190</v>
      </c>
      <c r="K26932" s="30" t="s">
        <v>22</v>
      </c>
    </row>
    <row r="26933" spans="1:11">
      <c r="A26933" s="33" t="s">
        <v>59155</v>
      </c>
      <c r="B26933" s="33" t="s">
        <v>59156</v>
      </c>
      <c r="C26933" s="33" t="s">
        <v>30173</v>
      </c>
      <c r="D26933" s="33" t="s">
        <v>17</v>
      </c>
      <c r="E26933" s="33" t="s">
        <v>26</v>
      </c>
      <c r="F26933" s="33" t="s">
        <v>27</v>
      </c>
      <c r="G26933" s="33" t="s">
        <v>7780</v>
      </c>
      <c r="H26933" s="35">
        <v>16</v>
      </c>
      <c r="I26933" s="33" t="s">
        <v>51</v>
      </c>
      <c r="J26933" s="42">
        <v>46052</v>
      </c>
      <c r="K26933" s="33" t="s">
        <v>22</v>
      </c>
    </row>
    <row r="26934" spans="1:11">
      <c r="A26934" s="30" t="s">
        <v>59157</v>
      </c>
      <c r="B26934" s="30" t="s">
        <v>59158</v>
      </c>
      <c r="C26934" s="30" t="s">
        <v>48199</v>
      </c>
      <c r="D26934" s="30" t="s">
        <v>17</v>
      </c>
      <c r="E26934" s="30" t="s">
        <v>26</v>
      </c>
      <c r="F26934" s="30" t="s">
        <v>27</v>
      </c>
      <c r="G26934" s="30" t="s">
        <v>7780</v>
      </c>
      <c r="H26934" s="32">
        <v>98</v>
      </c>
      <c r="I26934" s="30" t="s">
        <v>51</v>
      </c>
      <c r="J26934" s="41">
        <v>46112</v>
      </c>
      <c r="K26934" s="30" t="s">
        <v>22</v>
      </c>
    </row>
    <row r="26935" spans="1:11">
      <c r="A26935" s="33" t="s">
        <v>59159</v>
      </c>
      <c r="B26935" s="33" t="s">
        <v>59160</v>
      </c>
      <c r="C26935" s="33" t="s">
        <v>12112</v>
      </c>
      <c r="D26935" s="33" t="s">
        <v>17</v>
      </c>
      <c r="E26935" s="33" t="s">
        <v>26</v>
      </c>
      <c r="F26935" s="33" t="s">
        <v>27</v>
      </c>
      <c r="G26935" s="33" t="s">
        <v>7780</v>
      </c>
      <c r="H26935" s="35">
        <v>60</v>
      </c>
      <c r="I26935" s="33" t="s">
        <v>51</v>
      </c>
      <c r="J26935" s="42">
        <v>46204</v>
      </c>
      <c r="K26935" s="33" t="s">
        <v>22</v>
      </c>
    </row>
    <row r="26936" spans="1:11">
      <c r="A26936" s="30" t="s">
        <v>59161</v>
      </c>
      <c r="B26936" s="30" t="s">
        <v>59162</v>
      </c>
      <c r="C26936" s="30" t="s">
        <v>231</v>
      </c>
      <c r="D26936" s="30" t="s">
        <v>17</v>
      </c>
      <c r="E26936" s="30" t="s">
        <v>26</v>
      </c>
      <c r="F26936" s="30" t="s">
        <v>27</v>
      </c>
      <c r="G26936" s="30" t="s">
        <v>140</v>
      </c>
      <c r="H26936" s="32">
        <v>48</v>
      </c>
      <c r="I26936" s="30" t="s">
        <v>51</v>
      </c>
      <c r="J26936" s="41">
        <v>46224</v>
      </c>
      <c r="K26936" s="30" t="s">
        <v>22</v>
      </c>
    </row>
    <row r="26937" spans="1:11">
      <c r="A26937" s="33" t="s">
        <v>59163</v>
      </c>
      <c r="B26937" s="33" t="s">
        <v>59164</v>
      </c>
      <c r="C26937" s="33" t="s">
        <v>3384</v>
      </c>
      <c r="D26937" s="33" t="s">
        <v>17</v>
      </c>
      <c r="E26937" s="33" t="s">
        <v>67</v>
      </c>
      <c r="F26937" s="33" t="s">
        <v>68</v>
      </c>
      <c r="G26937" s="33" t="s">
        <v>112</v>
      </c>
      <c r="H26937" s="35">
        <v>0</v>
      </c>
      <c r="I26937" s="33" t="s">
        <v>21</v>
      </c>
      <c r="J26937" s="42">
        <v>46174</v>
      </c>
      <c r="K26937" s="33" t="s">
        <v>22</v>
      </c>
    </row>
    <row r="26938" spans="1:11">
      <c r="A26938" s="30" t="s">
        <v>59165</v>
      </c>
      <c r="B26938" s="30" t="s">
        <v>59166</v>
      </c>
      <c r="C26938" s="30" t="s">
        <v>429</v>
      </c>
      <c r="D26938" s="30" t="s">
        <v>17</v>
      </c>
      <c r="E26938" s="30" t="s">
        <v>18</v>
      </c>
      <c r="F26938" s="30" t="s">
        <v>19</v>
      </c>
      <c r="G26938" s="30" t="s">
        <v>140</v>
      </c>
      <c r="H26938" s="32">
        <v>266</v>
      </c>
      <c r="I26938" s="30" t="s">
        <v>51</v>
      </c>
      <c r="J26938" s="41">
        <v>46057</v>
      </c>
      <c r="K26938" s="30" t="s">
        <v>22</v>
      </c>
    </row>
    <row r="26939" spans="1:11">
      <c r="A26939" s="33" t="s">
        <v>59167</v>
      </c>
      <c r="B26939" s="33" t="s">
        <v>59168</v>
      </c>
      <c r="C26939" s="33" t="s">
        <v>668</v>
      </c>
      <c r="D26939" s="33" t="s">
        <v>17</v>
      </c>
      <c r="E26939" s="33" t="s">
        <v>18</v>
      </c>
      <c r="F26939" s="33" t="s">
        <v>19</v>
      </c>
      <c r="G26939" s="33" t="s">
        <v>140</v>
      </c>
      <c r="H26939" s="35">
        <v>900</v>
      </c>
      <c r="I26939" s="33" t="s">
        <v>51</v>
      </c>
      <c r="J26939" s="42">
        <v>46135</v>
      </c>
      <c r="K26939" s="33" t="s">
        <v>22</v>
      </c>
    </row>
    <row r="26940" spans="1:11">
      <c r="A26940" s="30" t="s">
        <v>59169</v>
      </c>
      <c r="B26940" s="30" t="s">
        <v>59170</v>
      </c>
      <c r="C26940" s="30" t="s">
        <v>4967</v>
      </c>
      <c r="D26940" s="30" t="s">
        <v>17</v>
      </c>
      <c r="E26940" s="30" t="s">
        <v>67</v>
      </c>
      <c r="F26940" s="30" t="s">
        <v>68</v>
      </c>
      <c r="G26940" s="30" t="s">
        <v>140</v>
      </c>
      <c r="H26940" s="32">
        <v>18</v>
      </c>
      <c r="I26940" s="30" t="s">
        <v>51</v>
      </c>
      <c r="J26940" s="41">
        <v>46136</v>
      </c>
      <c r="K26940" s="30" t="s">
        <v>22</v>
      </c>
    </row>
    <row r="26941" spans="1:11">
      <c r="A26941" s="33" t="s">
        <v>59171</v>
      </c>
      <c r="B26941" s="33" t="s">
        <v>59172</v>
      </c>
      <c r="C26941" s="33" t="s">
        <v>1003</v>
      </c>
      <c r="D26941" s="33" t="s">
        <v>17</v>
      </c>
      <c r="E26941" s="33" t="s">
        <v>26</v>
      </c>
      <c r="F26941" s="33" t="s">
        <v>27</v>
      </c>
      <c r="G26941" s="33" t="s">
        <v>158</v>
      </c>
      <c r="H26941" s="35">
        <v>64</v>
      </c>
      <c r="I26941" s="33" t="s">
        <v>21</v>
      </c>
      <c r="J26941" s="42">
        <v>46154</v>
      </c>
      <c r="K26941" s="33" t="s">
        <v>22</v>
      </c>
    </row>
    <row r="26942" spans="1:11">
      <c r="A26942" s="30" t="s">
        <v>59173</v>
      </c>
      <c r="B26942" s="30" t="s">
        <v>59174</v>
      </c>
      <c r="C26942" s="30" t="s">
        <v>42846</v>
      </c>
      <c r="D26942" s="30" t="s">
        <v>17</v>
      </c>
      <c r="E26942" s="30" t="s">
        <v>31</v>
      </c>
      <c r="F26942" s="30" t="s">
        <v>32</v>
      </c>
      <c r="G26942" s="30" t="s">
        <v>7780</v>
      </c>
      <c r="H26942" s="32">
        <v>480</v>
      </c>
      <c r="I26942" s="30" t="s">
        <v>51</v>
      </c>
      <c r="J26942" s="41">
        <v>46143</v>
      </c>
      <c r="K26942" s="30" t="s">
        <v>22</v>
      </c>
    </row>
    <row r="26943" spans="1:11">
      <c r="A26943" s="33" t="s">
        <v>59175</v>
      </c>
      <c r="B26943" s="33" t="s">
        <v>59176</v>
      </c>
      <c r="C26943" s="33" t="s">
        <v>13241</v>
      </c>
      <c r="D26943" s="33" t="s">
        <v>17</v>
      </c>
      <c r="E26943" s="33" t="s">
        <v>26</v>
      </c>
      <c r="F26943" s="33" t="s">
        <v>27</v>
      </c>
      <c r="G26943" s="33" t="s">
        <v>140</v>
      </c>
      <c r="H26943" s="35">
        <v>99</v>
      </c>
      <c r="I26943" s="33" t="s">
        <v>51</v>
      </c>
      <c r="J26943" s="42">
        <v>46175</v>
      </c>
      <c r="K26943" s="33" t="s">
        <v>22</v>
      </c>
    </row>
    <row r="26944" spans="1:11">
      <c r="A26944" s="30" t="s">
        <v>59177</v>
      </c>
      <c r="B26944" s="30" t="s">
        <v>59178</v>
      </c>
      <c r="C26944" s="30" t="s">
        <v>59179</v>
      </c>
      <c r="D26944" s="30" t="s">
        <v>17</v>
      </c>
      <c r="E26944" s="30" t="s">
        <v>67</v>
      </c>
      <c r="F26944" s="30" t="s">
        <v>68</v>
      </c>
      <c r="G26944" s="30" t="s">
        <v>7780</v>
      </c>
      <c r="H26944" s="32">
        <v>18</v>
      </c>
      <c r="I26944" s="30" t="s">
        <v>51</v>
      </c>
      <c r="J26944" s="41">
        <v>46218</v>
      </c>
      <c r="K26944" s="30" t="s">
        <v>22</v>
      </c>
    </row>
    <row r="26945" spans="1:11">
      <c r="A26945" s="33" t="s">
        <v>59180</v>
      </c>
      <c r="B26945" s="33" t="s">
        <v>59181</v>
      </c>
      <c r="C26945" s="33" t="s">
        <v>96</v>
      </c>
      <c r="D26945" s="33" t="s">
        <v>17</v>
      </c>
      <c r="E26945" s="33" t="s">
        <v>18</v>
      </c>
      <c r="F26945" s="33" t="s">
        <v>19</v>
      </c>
      <c r="G26945" s="33" t="s">
        <v>140</v>
      </c>
      <c r="H26945" s="35">
        <v>130</v>
      </c>
      <c r="I26945" s="33" t="s">
        <v>51</v>
      </c>
      <c r="J26945" s="42">
        <v>46153</v>
      </c>
      <c r="K26945" s="33" t="s">
        <v>22</v>
      </c>
    </row>
    <row r="26946" spans="1:11">
      <c r="A26946" s="30" t="s">
        <v>59182</v>
      </c>
      <c r="B26946" s="30" t="s">
        <v>59183</v>
      </c>
      <c r="C26946" s="30" t="s">
        <v>1908</v>
      </c>
      <c r="D26946" s="30" t="s">
        <v>17</v>
      </c>
      <c r="E26946" s="30" t="s">
        <v>26</v>
      </c>
      <c r="F26946" s="30" t="s">
        <v>27</v>
      </c>
      <c r="G26946" s="30" t="s">
        <v>140</v>
      </c>
      <c r="H26946" s="32">
        <v>56</v>
      </c>
      <c r="I26946" s="30" t="s">
        <v>51</v>
      </c>
      <c r="J26946" s="41">
        <v>46051</v>
      </c>
      <c r="K26946" s="30" t="s">
        <v>22</v>
      </c>
    </row>
    <row r="26947" spans="1:11">
      <c r="A26947" s="33" t="s">
        <v>59184</v>
      </c>
      <c r="B26947" s="33" t="s">
        <v>59185</v>
      </c>
      <c r="C26947" s="33" t="s">
        <v>190</v>
      </c>
      <c r="D26947" s="33" t="s">
        <v>17</v>
      </c>
      <c r="E26947" s="33" t="s">
        <v>26</v>
      </c>
      <c r="F26947" s="33" t="s">
        <v>27</v>
      </c>
      <c r="G26947" s="33" t="s">
        <v>20</v>
      </c>
      <c r="H26947" s="35">
        <v>16</v>
      </c>
      <c r="I26947" s="33" t="s">
        <v>21</v>
      </c>
      <c r="J26947" s="42">
        <v>46086</v>
      </c>
      <c r="K26947" s="33" t="s">
        <v>22</v>
      </c>
    </row>
    <row r="26948" spans="1:11">
      <c r="A26948" s="30" t="s">
        <v>59186</v>
      </c>
      <c r="B26948" s="30" t="s">
        <v>59187</v>
      </c>
      <c r="C26948" s="30" t="s">
        <v>5084</v>
      </c>
      <c r="D26948" s="30" t="s">
        <v>17</v>
      </c>
      <c r="E26948" s="30" t="s">
        <v>26</v>
      </c>
      <c r="F26948" s="30" t="s">
        <v>27</v>
      </c>
      <c r="G26948" s="30" t="s">
        <v>140</v>
      </c>
      <c r="H26948" s="32">
        <v>60</v>
      </c>
      <c r="I26948" s="30" t="s">
        <v>51</v>
      </c>
      <c r="J26948" s="41">
        <v>46111</v>
      </c>
      <c r="K26948" s="30" t="s">
        <v>22</v>
      </c>
    </row>
    <row r="26949" spans="1:11">
      <c r="A26949" s="33" t="s">
        <v>59188</v>
      </c>
      <c r="B26949" s="33" t="s">
        <v>59189</v>
      </c>
      <c r="C26949" s="33" t="s">
        <v>20576</v>
      </c>
      <c r="D26949" s="33" t="s">
        <v>17</v>
      </c>
      <c r="E26949" s="33" t="s">
        <v>18</v>
      </c>
      <c r="F26949" s="33" t="s">
        <v>19</v>
      </c>
      <c r="G26949" s="33" t="s">
        <v>7780</v>
      </c>
      <c r="H26949" s="35">
        <v>576</v>
      </c>
      <c r="I26949" s="33" t="s">
        <v>51</v>
      </c>
      <c r="J26949" s="42">
        <v>46199</v>
      </c>
      <c r="K26949" s="33" t="s">
        <v>22</v>
      </c>
    </row>
    <row r="26950" spans="1:11">
      <c r="A26950" s="30" t="s">
        <v>59190</v>
      </c>
      <c r="B26950" s="30" t="s">
        <v>59191</v>
      </c>
      <c r="C26950" s="30" t="s">
        <v>59192</v>
      </c>
      <c r="D26950" s="30" t="s">
        <v>17</v>
      </c>
      <c r="E26950" s="30" t="s">
        <v>31</v>
      </c>
      <c r="F26950" s="30" t="s">
        <v>32</v>
      </c>
      <c r="G26950" s="30" t="s">
        <v>69</v>
      </c>
      <c r="H26950" s="32">
        <v>20</v>
      </c>
      <c r="I26950" s="30" t="s">
        <v>51</v>
      </c>
      <c r="J26950" s="41">
        <v>46082</v>
      </c>
      <c r="K26950" s="30" t="s">
        <v>22</v>
      </c>
    </row>
    <row r="26951" spans="1:11">
      <c r="A26951" s="33" t="s">
        <v>59193</v>
      </c>
      <c r="B26951" s="33" t="s">
        <v>59194</v>
      </c>
      <c r="C26951" s="33" t="s">
        <v>14634</v>
      </c>
      <c r="D26951" s="33" t="s">
        <v>17</v>
      </c>
      <c r="E26951" s="33" t="s">
        <v>31</v>
      </c>
      <c r="F26951" s="33" t="s">
        <v>32</v>
      </c>
      <c r="G26951" s="33" t="s">
        <v>7780</v>
      </c>
      <c r="H26951" s="35">
        <v>40</v>
      </c>
      <c r="I26951" s="33" t="s">
        <v>51</v>
      </c>
      <c r="J26951" s="42">
        <v>46204</v>
      </c>
      <c r="K26951" s="33" t="s">
        <v>22</v>
      </c>
    </row>
    <row r="26952" spans="1:11">
      <c r="A26952" s="30" t="s">
        <v>59195</v>
      </c>
      <c r="B26952" s="30" t="s">
        <v>59196</v>
      </c>
      <c r="C26952" s="30" t="s">
        <v>4345</v>
      </c>
      <c r="D26952" s="30" t="s">
        <v>17</v>
      </c>
      <c r="E26952" s="30" t="s">
        <v>67</v>
      </c>
      <c r="F26952" s="30" t="s">
        <v>68</v>
      </c>
      <c r="G26952" s="30" t="s">
        <v>140</v>
      </c>
      <c r="H26952" s="32">
        <v>32</v>
      </c>
      <c r="I26952" s="30" t="s">
        <v>51</v>
      </c>
      <c r="J26952" s="41">
        <v>46163</v>
      </c>
      <c r="K26952" s="30" t="s">
        <v>22</v>
      </c>
    </row>
    <row r="26953" spans="1:11">
      <c r="A26953" s="33" t="s">
        <v>59197</v>
      </c>
      <c r="B26953" s="33" t="s">
        <v>59198</v>
      </c>
      <c r="C26953" s="33" t="s">
        <v>31562</v>
      </c>
      <c r="D26953" s="33" t="s">
        <v>17</v>
      </c>
      <c r="E26953" s="33" t="s">
        <v>18</v>
      </c>
      <c r="F26953" s="33" t="s">
        <v>19</v>
      </c>
      <c r="G26953" s="33" t="s">
        <v>7780</v>
      </c>
      <c r="H26953" s="35">
        <v>494</v>
      </c>
      <c r="I26953" s="33" t="s">
        <v>51</v>
      </c>
      <c r="J26953" s="42">
        <v>46234</v>
      </c>
      <c r="K26953" s="33" t="s">
        <v>22</v>
      </c>
    </row>
    <row r="26954" spans="1:11">
      <c r="A26954" s="30" t="s">
        <v>59199</v>
      </c>
      <c r="B26954" s="30" t="s">
        <v>59200</v>
      </c>
      <c r="C26954" s="30" t="s">
        <v>136</v>
      </c>
      <c r="D26954" s="30" t="s">
        <v>17</v>
      </c>
      <c r="E26954" s="30" t="s">
        <v>26</v>
      </c>
      <c r="F26954" s="30" t="s">
        <v>27</v>
      </c>
      <c r="G26954" s="30" t="s">
        <v>7780</v>
      </c>
      <c r="H26954" s="32">
        <v>56</v>
      </c>
      <c r="I26954" s="30" t="s">
        <v>51</v>
      </c>
      <c r="J26954" s="41">
        <v>46204</v>
      </c>
      <c r="K26954" s="30" t="s">
        <v>22</v>
      </c>
    </row>
    <row r="26955" spans="1:11">
      <c r="A26955" s="33" t="s">
        <v>59201</v>
      </c>
      <c r="B26955" s="33" t="s">
        <v>59202</v>
      </c>
      <c r="C26955" s="33" t="s">
        <v>1422</v>
      </c>
      <c r="D26955" s="33" t="s">
        <v>17</v>
      </c>
      <c r="E26955" s="33" t="s">
        <v>31</v>
      </c>
      <c r="F26955" s="33" t="s">
        <v>32</v>
      </c>
      <c r="G26955" s="33" t="s">
        <v>7780</v>
      </c>
      <c r="H26955" s="35">
        <v>1200</v>
      </c>
      <c r="I26955" s="33" t="s">
        <v>51</v>
      </c>
      <c r="J26955" s="42">
        <v>46029</v>
      </c>
      <c r="K26955" s="33" t="s">
        <v>22</v>
      </c>
    </row>
    <row r="26956" spans="1:11">
      <c r="A26956" s="30" t="s">
        <v>59203</v>
      </c>
      <c r="B26956" s="30" t="s">
        <v>59204</v>
      </c>
      <c r="C26956" s="30" t="s">
        <v>57</v>
      </c>
      <c r="D26956" s="30" t="s">
        <v>17</v>
      </c>
      <c r="E26956" s="30" t="s">
        <v>18</v>
      </c>
      <c r="F26956" s="30" t="s">
        <v>19</v>
      </c>
      <c r="G26956" s="30" t="s">
        <v>7780</v>
      </c>
      <c r="H26956" s="32">
        <v>510</v>
      </c>
      <c r="I26956" s="30" t="s">
        <v>51</v>
      </c>
      <c r="J26956" s="41">
        <v>46174</v>
      </c>
      <c r="K26956" s="30" t="s">
        <v>22</v>
      </c>
    </row>
    <row r="26957" spans="1:11">
      <c r="A26957" s="33" t="s">
        <v>59205</v>
      </c>
      <c r="B26957" s="33" t="s">
        <v>59206</v>
      </c>
      <c r="C26957" s="33" t="s">
        <v>635</v>
      </c>
      <c r="D26957" s="33" t="s">
        <v>17</v>
      </c>
      <c r="E26957" s="33" t="s">
        <v>26</v>
      </c>
      <c r="F26957" s="33" t="s">
        <v>27</v>
      </c>
      <c r="G26957" s="33" t="s">
        <v>140</v>
      </c>
      <c r="H26957" s="35">
        <v>180</v>
      </c>
      <c r="I26957" s="33" t="s">
        <v>51</v>
      </c>
      <c r="J26957" s="42">
        <v>46083</v>
      </c>
      <c r="K26957" s="33" t="s">
        <v>22</v>
      </c>
    </row>
    <row r="26958" spans="1:11">
      <c r="A26958" s="30" t="s">
        <v>59207</v>
      </c>
      <c r="B26958" s="30" t="s">
        <v>59208</v>
      </c>
      <c r="C26958" s="30" t="s">
        <v>46637</v>
      </c>
      <c r="D26958" s="30" t="s">
        <v>17</v>
      </c>
      <c r="E26958" s="30" t="s">
        <v>26</v>
      </c>
      <c r="F26958" s="30" t="s">
        <v>27</v>
      </c>
      <c r="G26958" s="30" t="s">
        <v>7780</v>
      </c>
      <c r="H26958" s="32">
        <v>48</v>
      </c>
      <c r="I26958" s="30" t="s">
        <v>51</v>
      </c>
      <c r="J26958" s="41">
        <v>46143</v>
      </c>
      <c r="K26958" s="30" t="s">
        <v>22</v>
      </c>
    </row>
    <row r="26959" spans="1:11">
      <c r="A26959" s="33" t="s">
        <v>59209</v>
      </c>
      <c r="B26959" s="33" t="s">
        <v>59210</v>
      </c>
      <c r="C26959" s="33" t="s">
        <v>1661</v>
      </c>
      <c r="D26959" s="33" t="s">
        <v>17</v>
      </c>
      <c r="E26959" s="33" t="s">
        <v>26</v>
      </c>
      <c r="F26959" s="33" t="s">
        <v>27</v>
      </c>
      <c r="G26959" s="33" t="s">
        <v>7780</v>
      </c>
      <c r="H26959" s="35">
        <v>24</v>
      </c>
      <c r="I26959" s="33" t="s">
        <v>51</v>
      </c>
      <c r="J26959" s="42">
        <v>46112</v>
      </c>
      <c r="K26959" s="33" t="s">
        <v>22</v>
      </c>
    </row>
    <row r="26960" spans="1:11">
      <c r="A26960" s="30" t="s">
        <v>59211</v>
      </c>
      <c r="B26960" s="30" t="s">
        <v>59212</v>
      </c>
      <c r="C26960" s="30" t="s">
        <v>21937</v>
      </c>
      <c r="D26960" s="30" t="s">
        <v>17</v>
      </c>
      <c r="E26960" s="30" t="s">
        <v>18</v>
      </c>
      <c r="F26960" s="30" t="s">
        <v>19</v>
      </c>
      <c r="G26960" s="30" t="s">
        <v>7780</v>
      </c>
      <c r="H26960" s="32">
        <v>60</v>
      </c>
      <c r="I26960" s="30" t="s">
        <v>51</v>
      </c>
      <c r="J26960" s="41">
        <v>46112</v>
      </c>
      <c r="K26960" s="30" t="s">
        <v>22</v>
      </c>
    </row>
    <row r="26961" spans="1:11">
      <c r="A26961" s="33" t="s">
        <v>59213</v>
      </c>
      <c r="B26961" s="33" t="s">
        <v>59214</v>
      </c>
      <c r="C26961" s="33" t="s">
        <v>59215</v>
      </c>
      <c r="D26961" s="33" t="s">
        <v>17</v>
      </c>
      <c r="E26961" s="33" t="s">
        <v>26</v>
      </c>
      <c r="F26961" s="33" t="s">
        <v>27</v>
      </c>
      <c r="G26961" s="33" t="s">
        <v>140</v>
      </c>
      <c r="H26961" s="35">
        <v>40</v>
      </c>
      <c r="I26961" s="33" t="s">
        <v>51</v>
      </c>
      <c r="J26961" s="42">
        <v>46070</v>
      </c>
      <c r="K26961" s="33" t="s">
        <v>22</v>
      </c>
    </row>
    <row r="26962" spans="1:11">
      <c r="A26962" s="30" t="s">
        <v>59216</v>
      </c>
      <c r="B26962" s="30" t="s">
        <v>59217</v>
      </c>
      <c r="C26962" s="30" t="s">
        <v>2684</v>
      </c>
      <c r="D26962" s="30" t="s">
        <v>17</v>
      </c>
      <c r="E26962" s="30" t="s">
        <v>26</v>
      </c>
      <c r="F26962" s="30" t="s">
        <v>27</v>
      </c>
      <c r="G26962" s="30" t="s">
        <v>140</v>
      </c>
      <c r="H26962" s="32">
        <v>36</v>
      </c>
      <c r="I26962" s="30" t="s">
        <v>51</v>
      </c>
      <c r="J26962" s="41">
        <v>46051</v>
      </c>
      <c r="K26962" s="30" t="s">
        <v>22</v>
      </c>
    </row>
    <row r="26963" spans="1:11">
      <c r="A26963" s="33" t="s">
        <v>59218</v>
      </c>
      <c r="B26963" s="33" t="s">
        <v>59219</v>
      </c>
      <c r="C26963" s="33" t="s">
        <v>3185</v>
      </c>
      <c r="D26963" s="33" t="s">
        <v>17</v>
      </c>
      <c r="E26963" s="33" t="s">
        <v>18</v>
      </c>
      <c r="F26963" s="33" t="s">
        <v>19</v>
      </c>
      <c r="G26963" s="33" t="s">
        <v>7780</v>
      </c>
      <c r="H26963" s="35">
        <v>780</v>
      </c>
      <c r="I26963" s="33" t="s">
        <v>51</v>
      </c>
      <c r="J26963" s="42">
        <v>46178</v>
      </c>
      <c r="K26963" s="33" t="s">
        <v>22</v>
      </c>
    </row>
    <row r="26964" spans="1:11">
      <c r="A26964" s="30" t="s">
        <v>59220</v>
      </c>
      <c r="B26964" s="30" t="s">
        <v>59221</v>
      </c>
      <c r="C26964" s="30" t="s">
        <v>25186</v>
      </c>
      <c r="D26964" s="30" t="s">
        <v>17</v>
      </c>
      <c r="E26964" s="30" t="s">
        <v>26</v>
      </c>
      <c r="F26964" s="30" t="s">
        <v>27</v>
      </c>
      <c r="G26964" s="30" t="s">
        <v>7780</v>
      </c>
      <c r="H26964" s="32">
        <v>30</v>
      </c>
      <c r="I26964" s="30" t="s">
        <v>51</v>
      </c>
      <c r="J26964" s="41">
        <v>46157</v>
      </c>
      <c r="K26964" s="30" t="s">
        <v>22</v>
      </c>
    </row>
    <row r="26965" spans="1:11">
      <c r="A26965" s="33" t="s">
        <v>59222</v>
      </c>
      <c r="B26965" s="33" t="s">
        <v>59223</v>
      </c>
      <c r="C26965" s="33" t="s">
        <v>3114</v>
      </c>
      <c r="D26965" s="33" t="s">
        <v>17</v>
      </c>
      <c r="E26965" s="33" t="s">
        <v>330</v>
      </c>
      <c r="F26965" s="33" t="s">
        <v>331</v>
      </c>
      <c r="G26965" s="33" t="s">
        <v>140</v>
      </c>
      <c r="H26965" s="35">
        <v>12</v>
      </c>
      <c r="I26965" s="33" t="s">
        <v>51</v>
      </c>
      <c r="J26965" s="42">
        <v>46057</v>
      </c>
      <c r="K26965" s="33" t="s">
        <v>22</v>
      </c>
    </row>
    <row r="26966" spans="1:11">
      <c r="A26966" s="30" t="s">
        <v>59224</v>
      </c>
      <c r="B26966" s="30" t="s">
        <v>59225</v>
      </c>
      <c r="C26966" s="30" t="s">
        <v>59226</v>
      </c>
      <c r="D26966" s="30" t="s">
        <v>17</v>
      </c>
      <c r="E26966" s="30" t="s">
        <v>67</v>
      </c>
      <c r="F26966" s="30" t="s">
        <v>68</v>
      </c>
      <c r="G26966" s="30" t="s">
        <v>140</v>
      </c>
      <c r="H26966" s="32">
        <v>9</v>
      </c>
      <c r="I26966" s="30" t="s">
        <v>51</v>
      </c>
      <c r="J26966" s="41">
        <v>46141</v>
      </c>
      <c r="K26966" s="30" t="s">
        <v>22</v>
      </c>
    </row>
    <row r="26967" spans="1:11">
      <c r="A26967" s="33" t="s">
        <v>59227</v>
      </c>
      <c r="B26967" s="33" t="s">
        <v>59228</v>
      </c>
      <c r="C26967" s="33" t="s">
        <v>59229</v>
      </c>
      <c r="D26967" s="33" t="s">
        <v>17</v>
      </c>
      <c r="E26967" s="33" t="s">
        <v>18</v>
      </c>
      <c r="F26967" s="33" t="s">
        <v>19</v>
      </c>
      <c r="G26967" s="33" t="s">
        <v>140</v>
      </c>
      <c r="H26967" s="35">
        <v>78</v>
      </c>
      <c r="I26967" s="33" t="s">
        <v>51</v>
      </c>
      <c r="J26967" s="42">
        <v>46192</v>
      </c>
      <c r="K26967" s="33" t="s">
        <v>22</v>
      </c>
    </row>
    <row r="26968" spans="1:11">
      <c r="A26968" s="30" t="s">
        <v>59230</v>
      </c>
      <c r="B26968" s="30" t="s">
        <v>59231</v>
      </c>
      <c r="C26968" s="30" t="s">
        <v>33920</v>
      </c>
      <c r="D26968" s="30" t="s">
        <v>17</v>
      </c>
      <c r="E26968" s="30" t="s">
        <v>18</v>
      </c>
      <c r="F26968" s="30" t="s">
        <v>19</v>
      </c>
      <c r="G26968" s="30" t="s">
        <v>7780</v>
      </c>
      <c r="H26968" s="32">
        <v>240</v>
      </c>
      <c r="I26968" s="30" t="s">
        <v>51</v>
      </c>
      <c r="J26968" s="41">
        <v>46096</v>
      </c>
      <c r="K26968" s="30" t="s">
        <v>22</v>
      </c>
    </row>
    <row r="26969" spans="1:11">
      <c r="A26969" s="33" t="s">
        <v>59232</v>
      </c>
      <c r="B26969" s="33" t="s">
        <v>59233</v>
      </c>
      <c r="C26969" s="33" t="s">
        <v>130</v>
      </c>
      <c r="D26969" s="33" t="s">
        <v>17</v>
      </c>
      <c r="E26969" s="33" t="s">
        <v>26</v>
      </c>
      <c r="F26969" s="33" t="s">
        <v>27</v>
      </c>
      <c r="G26969" s="33" t="s">
        <v>140</v>
      </c>
      <c r="H26969" s="35">
        <v>16</v>
      </c>
      <c r="I26969" s="33" t="s">
        <v>51</v>
      </c>
      <c r="J26969" s="42">
        <v>46171</v>
      </c>
      <c r="K26969" s="33" t="s">
        <v>22</v>
      </c>
    </row>
    <row r="26970" spans="1:11">
      <c r="A26970" s="30" t="s">
        <v>59234</v>
      </c>
      <c r="B26970" s="30" t="s">
        <v>59235</v>
      </c>
      <c r="C26970" s="30" t="s">
        <v>13181</v>
      </c>
      <c r="D26970" s="30" t="s">
        <v>17</v>
      </c>
      <c r="E26970" s="30" t="s">
        <v>45</v>
      </c>
      <c r="F26970" s="30" t="s">
        <v>46</v>
      </c>
      <c r="G26970" s="30" t="s">
        <v>140</v>
      </c>
      <c r="H26970" s="32">
        <v>298</v>
      </c>
      <c r="I26970" s="30" t="s">
        <v>51</v>
      </c>
      <c r="J26970" s="41">
        <v>46107</v>
      </c>
      <c r="K26970" s="30" t="s">
        <v>22</v>
      </c>
    </row>
    <row r="26971" spans="1:11">
      <c r="A26971" s="33" t="s">
        <v>59236</v>
      </c>
      <c r="B26971" s="33" t="s">
        <v>59237</v>
      </c>
      <c r="C26971" s="33" t="s">
        <v>109</v>
      </c>
      <c r="D26971" s="33" t="s">
        <v>17</v>
      </c>
      <c r="E26971" s="33" t="s">
        <v>26</v>
      </c>
      <c r="F26971" s="33" t="s">
        <v>27</v>
      </c>
      <c r="G26971" s="33" t="s">
        <v>140</v>
      </c>
      <c r="H26971" s="35">
        <v>63</v>
      </c>
      <c r="I26971" s="33" t="s">
        <v>51</v>
      </c>
      <c r="J26971" s="42">
        <v>46175</v>
      </c>
      <c r="K26971" s="33" t="s">
        <v>22</v>
      </c>
    </row>
    <row r="26972" spans="1:11">
      <c r="A26972" s="30" t="s">
        <v>59238</v>
      </c>
      <c r="B26972" s="30" t="s">
        <v>59239</v>
      </c>
      <c r="C26972" s="30" t="s">
        <v>647</v>
      </c>
      <c r="D26972" s="30" t="s">
        <v>17</v>
      </c>
      <c r="E26972" s="30" t="s">
        <v>26</v>
      </c>
      <c r="F26972" s="30" t="s">
        <v>27</v>
      </c>
      <c r="G26972" s="30" t="s">
        <v>140</v>
      </c>
      <c r="H26972" s="32">
        <v>44</v>
      </c>
      <c r="I26972" s="30" t="s">
        <v>51</v>
      </c>
      <c r="J26972" s="41">
        <v>46203</v>
      </c>
      <c r="K26972" s="30" t="s">
        <v>22</v>
      </c>
    </row>
    <row r="26973" spans="1:11">
      <c r="A26973" s="33" t="s">
        <v>59240</v>
      </c>
      <c r="B26973" s="33" t="s">
        <v>59241</v>
      </c>
      <c r="C26973" s="33" t="s">
        <v>42561</v>
      </c>
      <c r="D26973" s="33" t="s">
        <v>17</v>
      </c>
      <c r="E26973" s="33" t="s">
        <v>26</v>
      </c>
      <c r="F26973" s="33" t="s">
        <v>27</v>
      </c>
      <c r="G26973" s="33" t="s">
        <v>7780</v>
      </c>
      <c r="H26973" s="35">
        <v>64</v>
      </c>
      <c r="I26973" s="33" t="s">
        <v>51</v>
      </c>
      <c r="J26973" s="42">
        <v>46204</v>
      </c>
      <c r="K26973" s="33" t="s">
        <v>22</v>
      </c>
    </row>
    <row r="26974" spans="1:11">
      <c r="A26974" s="30" t="s">
        <v>59242</v>
      </c>
      <c r="B26974" s="30" t="s">
        <v>59243</v>
      </c>
      <c r="C26974" s="30" t="s">
        <v>56957</v>
      </c>
      <c r="D26974" s="30" t="s">
        <v>17</v>
      </c>
      <c r="E26974" s="30" t="s">
        <v>67</v>
      </c>
      <c r="F26974" s="30" t="s">
        <v>68</v>
      </c>
      <c r="G26974" s="30" t="s">
        <v>140</v>
      </c>
      <c r="H26974" s="32">
        <v>36</v>
      </c>
      <c r="I26974" s="30" t="s">
        <v>51</v>
      </c>
      <c r="J26974" s="41">
        <v>46083</v>
      </c>
      <c r="K26974" s="30" t="s">
        <v>22</v>
      </c>
    </row>
    <row r="26975" spans="1:11">
      <c r="A26975" s="33" t="s">
        <v>59244</v>
      </c>
      <c r="B26975" s="33" t="s">
        <v>59245</v>
      </c>
      <c r="C26975" s="33" t="s">
        <v>1284</v>
      </c>
      <c r="D26975" s="33" t="s">
        <v>17</v>
      </c>
      <c r="E26975" s="33" t="s">
        <v>18</v>
      </c>
      <c r="F26975" s="33" t="s">
        <v>19</v>
      </c>
      <c r="G26975" s="33" t="s">
        <v>140</v>
      </c>
      <c r="H26975" s="35">
        <v>400</v>
      </c>
      <c r="I26975" s="33" t="s">
        <v>51</v>
      </c>
      <c r="J26975" s="42">
        <v>46204</v>
      </c>
      <c r="K26975" s="33" t="s">
        <v>22</v>
      </c>
    </row>
    <row r="26976" spans="1:11">
      <c r="A26976" s="30" t="s">
        <v>59246</v>
      </c>
      <c r="B26976" s="30" t="s">
        <v>59247</v>
      </c>
      <c r="C26976" s="30" t="s">
        <v>17342</v>
      </c>
      <c r="D26976" s="30" t="s">
        <v>17</v>
      </c>
      <c r="E26976" s="30" t="s">
        <v>31</v>
      </c>
      <c r="F26976" s="30" t="s">
        <v>32</v>
      </c>
      <c r="G26976" s="30" t="s">
        <v>7780</v>
      </c>
      <c r="H26976" s="32">
        <v>40</v>
      </c>
      <c r="I26976" s="30" t="s">
        <v>51</v>
      </c>
      <c r="J26976" s="41">
        <v>46082</v>
      </c>
      <c r="K26976" s="30" t="s">
        <v>22</v>
      </c>
    </row>
    <row r="26977" spans="1:11">
      <c r="A26977" s="33" t="s">
        <v>59248</v>
      </c>
      <c r="B26977" s="33" t="s">
        <v>59249</v>
      </c>
      <c r="C26977" s="33" t="s">
        <v>1469</v>
      </c>
      <c r="D26977" s="33" t="s">
        <v>17</v>
      </c>
      <c r="E26977" s="33" t="s">
        <v>31</v>
      </c>
      <c r="F26977" s="33" t="s">
        <v>32</v>
      </c>
      <c r="G26977" s="33" t="s">
        <v>7780</v>
      </c>
      <c r="H26977" s="35">
        <v>35</v>
      </c>
      <c r="I26977" s="33" t="s">
        <v>51</v>
      </c>
      <c r="J26977" s="42">
        <v>46203</v>
      </c>
      <c r="K26977" s="33" t="s">
        <v>22</v>
      </c>
    </row>
    <row r="26978" spans="1:11">
      <c r="A26978" s="30" t="s">
        <v>59250</v>
      </c>
      <c r="B26978" s="30" t="s">
        <v>59251</v>
      </c>
      <c r="C26978" s="30" t="s">
        <v>96</v>
      </c>
      <c r="D26978" s="30" t="s">
        <v>17</v>
      </c>
      <c r="E26978" s="30" t="s">
        <v>26</v>
      </c>
      <c r="F26978" s="30" t="s">
        <v>27</v>
      </c>
      <c r="G26978" s="30" t="s">
        <v>20</v>
      </c>
      <c r="H26978" s="32">
        <v>10</v>
      </c>
      <c r="I26978" s="30" t="s">
        <v>21</v>
      </c>
      <c r="J26978" s="41">
        <v>46083</v>
      </c>
      <c r="K26978" s="30" t="s">
        <v>22</v>
      </c>
    </row>
    <row r="26979" spans="1:11">
      <c r="A26979" s="33" t="s">
        <v>59252</v>
      </c>
      <c r="B26979" s="33" t="s">
        <v>59253</v>
      </c>
      <c r="C26979" s="33" t="s">
        <v>32043</v>
      </c>
      <c r="D26979" s="33" t="s">
        <v>17</v>
      </c>
      <c r="E26979" s="33" t="s">
        <v>18</v>
      </c>
      <c r="F26979" s="33" t="s">
        <v>19</v>
      </c>
      <c r="G26979" s="33" t="s">
        <v>7780</v>
      </c>
      <c r="H26979" s="35">
        <v>888</v>
      </c>
      <c r="I26979" s="33" t="s">
        <v>51</v>
      </c>
      <c r="J26979" s="42">
        <v>46082</v>
      </c>
      <c r="K26979" s="33" t="s">
        <v>22</v>
      </c>
    </row>
    <row r="26980" spans="1:11">
      <c r="A26980" s="30" t="s">
        <v>59254</v>
      </c>
      <c r="B26980" s="30" t="s">
        <v>59255</v>
      </c>
      <c r="C26980" s="30" t="s">
        <v>136</v>
      </c>
      <c r="D26980" s="30" t="s">
        <v>17</v>
      </c>
      <c r="E26980" s="30" t="s">
        <v>31</v>
      </c>
      <c r="F26980" s="30" t="s">
        <v>32</v>
      </c>
      <c r="G26980" s="30" t="s">
        <v>7780</v>
      </c>
      <c r="H26980" s="32">
        <v>150</v>
      </c>
      <c r="I26980" s="30" t="s">
        <v>51</v>
      </c>
      <c r="J26980" s="41">
        <v>46204</v>
      </c>
      <c r="K26980" s="30" t="s">
        <v>22</v>
      </c>
    </row>
    <row r="26981" spans="1:11">
      <c r="A26981" s="33" t="s">
        <v>59256</v>
      </c>
      <c r="B26981" s="33" t="s">
        <v>59257</v>
      </c>
      <c r="C26981" s="33" t="s">
        <v>647</v>
      </c>
      <c r="D26981" s="33" t="s">
        <v>17</v>
      </c>
      <c r="E26981" s="33" t="s">
        <v>67</v>
      </c>
      <c r="F26981" s="33" t="s">
        <v>68</v>
      </c>
      <c r="G26981" s="33" t="s">
        <v>140</v>
      </c>
      <c r="H26981" s="35">
        <v>170</v>
      </c>
      <c r="I26981" s="33" t="s">
        <v>51</v>
      </c>
      <c r="J26981" s="42">
        <v>46051</v>
      </c>
      <c r="K26981" s="33" t="s">
        <v>22</v>
      </c>
    </row>
    <row r="26982" spans="1:11">
      <c r="A26982" s="30" t="s">
        <v>59258</v>
      </c>
      <c r="B26982" s="30" t="s">
        <v>59259</v>
      </c>
      <c r="C26982" s="30" t="s">
        <v>3489</v>
      </c>
      <c r="D26982" s="30" t="s">
        <v>17</v>
      </c>
      <c r="E26982" s="30" t="s">
        <v>45</v>
      </c>
      <c r="F26982" s="30" t="s">
        <v>46</v>
      </c>
      <c r="G26982" s="30" t="s">
        <v>140</v>
      </c>
      <c r="H26982" s="32">
        <v>160</v>
      </c>
      <c r="I26982" s="30" t="s">
        <v>51</v>
      </c>
      <c r="J26982" s="41">
        <v>46132</v>
      </c>
      <c r="K26982" s="30" t="s">
        <v>22</v>
      </c>
    </row>
    <row r="26983" spans="1:11">
      <c r="A26983" s="33" t="s">
        <v>59260</v>
      </c>
      <c r="B26983" s="33" t="s">
        <v>59261</v>
      </c>
      <c r="C26983" s="33" t="s">
        <v>715</v>
      </c>
      <c r="D26983" s="33" t="s">
        <v>17</v>
      </c>
      <c r="E26983" s="33" t="s">
        <v>67</v>
      </c>
      <c r="F26983" s="33" t="s">
        <v>68</v>
      </c>
      <c r="G26983" s="33" t="s">
        <v>140</v>
      </c>
      <c r="H26983" s="35">
        <v>150</v>
      </c>
      <c r="I26983" s="33" t="s">
        <v>51</v>
      </c>
      <c r="J26983" s="42">
        <v>46146</v>
      </c>
      <c r="K26983" s="33" t="s">
        <v>22</v>
      </c>
    </row>
    <row r="26984" spans="1:11">
      <c r="A26984" s="30" t="s">
        <v>59262</v>
      </c>
      <c r="B26984" s="30" t="s">
        <v>59263</v>
      </c>
      <c r="C26984" s="30" t="s">
        <v>55742</v>
      </c>
      <c r="D26984" s="30" t="s">
        <v>17</v>
      </c>
      <c r="E26984" s="30" t="s">
        <v>26</v>
      </c>
      <c r="F26984" s="30" t="s">
        <v>27</v>
      </c>
      <c r="G26984" s="30" t="s">
        <v>140</v>
      </c>
      <c r="H26984" s="32">
        <v>202</v>
      </c>
      <c r="I26984" s="30" t="s">
        <v>51</v>
      </c>
      <c r="J26984" s="41">
        <v>46206</v>
      </c>
      <c r="K26984" s="30" t="s">
        <v>22</v>
      </c>
    </row>
    <row r="26985" spans="1:11">
      <c r="A26985" s="33" t="s">
        <v>59264</v>
      </c>
      <c r="B26985" s="33" t="s">
        <v>59265</v>
      </c>
      <c r="C26985" s="33" t="s">
        <v>93</v>
      </c>
      <c r="D26985" s="33" t="s">
        <v>17</v>
      </c>
      <c r="E26985" s="33" t="s">
        <v>31</v>
      </c>
      <c r="F26985" s="33" t="s">
        <v>32</v>
      </c>
      <c r="G26985" s="33" t="s">
        <v>140</v>
      </c>
      <c r="H26985" s="35">
        <v>200</v>
      </c>
      <c r="I26985" s="33" t="s">
        <v>51</v>
      </c>
      <c r="J26985" s="42">
        <v>46057</v>
      </c>
      <c r="K26985" s="33" t="s">
        <v>22</v>
      </c>
    </row>
    <row r="26986" spans="1:11">
      <c r="A26986" s="30" t="s">
        <v>59266</v>
      </c>
      <c r="B26986" s="30" t="s">
        <v>59267</v>
      </c>
      <c r="C26986" s="30" t="s">
        <v>39233</v>
      </c>
      <c r="D26986" s="30" t="s">
        <v>17</v>
      </c>
      <c r="E26986" s="30" t="s">
        <v>18</v>
      </c>
      <c r="F26986" s="30" t="s">
        <v>19</v>
      </c>
      <c r="G26986" s="30" t="s">
        <v>7780</v>
      </c>
      <c r="H26986" s="32">
        <v>436</v>
      </c>
      <c r="I26986" s="30" t="s">
        <v>51</v>
      </c>
      <c r="J26986" s="41">
        <v>46099</v>
      </c>
      <c r="K26986" s="30" t="s">
        <v>22</v>
      </c>
    </row>
    <row r="26987" spans="1:11">
      <c r="A26987" s="33" t="s">
        <v>59268</v>
      </c>
      <c r="B26987" s="33" t="s">
        <v>59269</v>
      </c>
      <c r="C26987" s="33" t="s">
        <v>318</v>
      </c>
      <c r="D26987" s="33" t="s">
        <v>17</v>
      </c>
      <c r="E26987" s="33" t="s">
        <v>18</v>
      </c>
      <c r="F26987" s="33" t="s">
        <v>19</v>
      </c>
      <c r="G26987" s="33" t="s">
        <v>7780</v>
      </c>
      <c r="H26987" s="35">
        <v>126</v>
      </c>
      <c r="I26987" s="33" t="s">
        <v>51</v>
      </c>
      <c r="J26987" s="42">
        <v>46223</v>
      </c>
      <c r="K26987" s="33" t="s">
        <v>22</v>
      </c>
    </row>
    <row r="26988" spans="1:11">
      <c r="A26988" s="30" t="s">
        <v>59270</v>
      </c>
      <c r="B26988" s="30" t="s">
        <v>59271</v>
      </c>
      <c r="C26988" s="30" t="s">
        <v>42561</v>
      </c>
      <c r="D26988" s="30" t="s">
        <v>17</v>
      </c>
      <c r="E26988" s="30" t="s">
        <v>26</v>
      </c>
      <c r="F26988" s="30" t="s">
        <v>27</v>
      </c>
      <c r="G26988" s="30" t="s">
        <v>140</v>
      </c>
      <c r="H26988" s="32">
        <v>138</v>
      </c>
      <c r="I26988" s="30" t="s">
        <v>51</v>
      </c>
      <c r="J26988" s="41">
        <v>46031</v>
      </c>
      <c r="K26988" s="30" t="s">
        <v>22</v>
      </c>
    </row>
    <row r="26989" spans="1:11">
      <c r="A26989" s="33" t="s">
        <v>59272</v>
      </c>
      <c r="B26989" s="33" t="s">
        <v>59273</v>
      </c>
      <c r="C26989" s="33" t="s">
        <v>647</v>
      </c>
      <c r="D26989" s="33" t="s">
        <v>17</v>
      </c>
      <c r="E26989" s="33" t="s">
        <v>26</v>
      </c>
      <c r="F26989" s="33" t="s">
        <v>27</v>
      </c>
      <c r="G26989" s="33" t="s">
        <v>140</v>
      </c>
      <c r="H26989" s="35">
        <v>28</v>
      </c>
      <c r="I26989" s="33" t="s">
        <v>51</v>
      </c>
      <c r="J26989" s="42">
        <v>46223</v>
      </c>
      <c r="K26989" s="33" t="s">
        <v>22</v>
      </c>
    </row>
    <row r="26990" spans="1:11">
      <c r="A26990" s="30" t="s">
        <v>59274</v>
      </c>
      <c r="B26990" s="30" t="s">
        <v>59275</v>
      </c>
      <c r="C26990" s="30" t="s">
        <v>96</v>
      </c>
      <c r="D26990" s="30" t="s">
        <v>17</v>
      </c>
      <c r="E26990" s="30" t="s">
        <v>18</v>
      </c>
      <c r="F26990" s="30" t="s">
        <v>19</v>
      </c>
      <c r="G26990" s="30" t="s">
        <v>140</v>
      </c>
      <c r="H26990" s="32">
        <v>3230</v>
      </c>
      <c r="I26990" s="30" t="s">
        <v>51</v>
      </c>
      <c r="J26990" s="41">
        <v>46171</v>
      </c>
      <c r="K26990" s="30" t="s">
        <v>22</v>
      </c>
    </row>
    <row r="26991" spans="1:11">
      <c r="A26991" s="33" t="s">
        <v>59276</v>
      </c>
      <c r="B26991" s="33" t="s">
        <v>59277</v>
      </c>
      <c r="C26991" s="33" t="s">
        <v>1165</v>
      </c>
      <c r="D26991" s="33" t="s">
        <v>17</v>
      </c>
      <c r="E26991" s="33" t="s">
        <v>26</v>
      </c>
      <c r="F26991" s="33" t="s">
        <v>27</v>
      </c>
      <c r="G26991" s="33" t="s">
        <v>140</v>
      </c>
      <c r="H26991" s="35">
        <v>104</v>
      </c>
      <c r="I26991" s="33" t="s">
        <v>51</v>
      </c>
      <c r="J26991" s="42">
        <v>46048</v>
      </c>
      <c r="K26991" s="33" t="s">
        <v>22</v>
      </c>
    </row>
    <row r="26992" spans="1:11">
      <c r="A26992" s="30" t="s">
        <v>59278</v>
      </c>
      <c r="B26992" s="30" t="s">
        <v>59279</v>
      </c>
      <c r="C26992" s="30" t="s">
        <v>2695</v>
      </c>
      <c r="D26992" s="30" t="s">
        <v>17</v>
      </c>
      <c r="E26992" s="30" t="s">
        <v>31</v>
      </c>
      <c r="F26992" s="30" t="s">
        <v>32</v>
      </c>
      <c r="G26992" s="30" t="s">
        <v>140</v>
      </c>
      <c r="H26992" s="32">
        <v>525</v>
      </c>
      <c r="I26992" s="30" t="s">
        <v>51</v>
      </c>
      <c r="J26992" s="41">
        <v>46218</v>
      </c>
      <c r="K26992" s="30" t="s">
        <v>22</v>
      </c>
    </row>
    <row r="26993" spans="1:11">
      <c r="A26993" s="33" t="s">
        <v>59280</v>
      </c>
      <c r="B26993" s="33" t="s">
        <v>59281</v>
      </c>
      <c r="C26993" s="33" t="s">
        <v>647</v>
      </c>
      <c r="D26993" s="33" t="s">
        <v>17</v>
      </c>
      <c r="E26993" s="33" t="s">
        <v>26</v>
      </c>
      <c r="F26993" s="33" t="s">
        <v>27</v>
      </c>
      <c r="G26993" s="33" t="s">
        <v>20</v>
      </c>
      <c r="H26993" s="35">
        <v>12</v>
      </c>
      <c r="I26993" s="33" t="s">
        <v>21</v>
      </c>
      <c r="J26993" s="42">
        <v>46141</v>
      </c>
      <c r="K26993" s="33" t="s">
        <v>22</v>
      </c>
    </row>
    <row r="26994" spans="1:11">
      <c r="A26994" s="30" t="s">
        <v>59282</v>
      </c>
      <c r="B26994" s="30" t="s">
        <v>59283</v>
      </c>
      <c r="C26994" s="30" t="s">
        <v>18468</v>
      </c>
      <c r="D26994" s="30" t="s">
        <v>17</v>
      </c>
      <c r="E26994" s="30" t="s">
        <v>26</v>
      </c>
      <c r="F26994" s="30" t="s">
        <v>27</v>
      </c>
      <c r="G26994" s="30" t="s">
        <v>140</v>
      </c>
      <c r="H26994" s="32">
        <v>78</v>
      </c>
      <c r="I26994" s="30" t="s">
        <v>51</v>
      </c>
      <c r="J26994" s="41">
        <v>46050</v>
      </c>
      <c r="K26994" s="30" t="s">
        <v>22</v>
      </c>
    </row>
    <row r="26995" spans="1:11">
      <c r="A26995" s="33" t="s">
        <v>59284</v>
      </c>
      <c r="B26995" s="33" t="s">
        <v>59285</v>
      </c>
      <c r="C26995" s="33" t="s">
        <v>31187</v>
      </c>
      <c r="D26995" s="33" t="s">
        <v>17</v>
      </c>
      <c r="E26995" s="33" t="s">
        <v>67</v>
      </c>
      <c r="F26995" s="33" t="s">
        <v>68</v>
      </c>
      <c r="G26995" s="33" t="s">
        <v>7780</v>
      </c>
      <c r="H26995" s="35">
        <v>48</v>
      </c>
      <c r="I26995" s="33" t="s">
        <v>51</v>
      </c>
      <c r="J26995" s="42">
        <v>46108</v>
      </c>
      <c r="K26995" s="33" t="s">
        <v>22</v>
      </c>
    </row>
    <row r="26996" spans="1:11">
      <c r="A26996" s="30" t="s">
        <v>59286</v>
      </c>
      <c r="B26996" s="30" t="s">
        <v>59287</v>
      </c>
      <c r="C26996" s="30" t="s">
        <v>1305</v>
      </c>
      <c r="D26996" s="30" t="s">
        <v>17</v>
      </c>
      <c r="E26996" s="30" t="s">
        <v>18</v>
      </c>
      <c r="F26996" s="30" t="s">
        <v>19</v>
      </c>
      <c r="G26996" s="30" t="s">
        <v>140</v>
      </c>
      <c r="H26996" s="32">
        <v>300</v>
      </c>
      <c r="I26996" s="30" t="s">
        <v>51</v>
      </c>
      <c r="J26996" s="41">
        <v>46080</v>
      </c>
      <c r="K26996" s="30" t="s">
        <v>22</v>
      </c>
    </row>
    <row r="26997" spans="1:11">
      <c r="A26997" s="33" t="s">
        <v>59288</v>
      </c>
      <c r="B26997" s="33" t="s">
        <v>59289</v>
      </c>
      <c r="C26997" s="33" t="s">
        <v>37244</v>
      </c>
      <c r="D26997" s="33" t="s">
        <v>17</v>
      </c>
      <c r="E26997" s="33" t="s">
        <v>26</v>
      </c>
      <c r="F26997" s="33" t="s">
        <v>27</v>
      </c>
      <c r="G26997" s="33" t="s">
        <v>140</v>
      </c>
      <c r="H26997" s="35">
        <v>32</v>
      </c>
      <c r="I26997" s="33" t="s">
        <v>51</v>
      </c>
      <c r="J26997" s="42">
        <v>46212</v>
      </c>
      <c r="K26997" s="33" t="s">
        <v>22</v>
      </c>
    </row>
    <row r="26998" spans="1:11">
      <c r="A26998" s="30" t="s">
        <v>59290</v>
      </c>
      <c r="B26998" s="30" t="s">
        <v>59291</v>
      </c>
      <c r="C26998" s="30" t="s">
        <v>190</v>
      </c>
      <c r="D26998" s="30" t="s">
        <v>17</v>
      </c>
      <c r="E26998" s="30" t="s">
        <v>26</v>
      </c>
      <c r="F26998" s="30" t="s">
        <v>27</v>
      </c>
      <c r="G26998" s="30" t="s">
        <v>7780</v>
      </c>
      <c r="H26998" s="32">
        <v>8</v>
      </c>
      <c r="I26998" s="30" t="s">
        <v>51</v>
      </c>
      <c r="J26998" s="41">
        <v>46203</v>
      </c>
      <c r="K26998" s="30" t="s">
        <v>22</v>
      </c>
    </row>
    <row r="26999" spans="1:11">
      <c r="A26999" s="33" t="s">
        <v>59292</v>
      </c>
      <c r="B26999" s="33" t="s">
        <v>59293</v>
      </c>
      <c r="C26999" s="33" t="s">
        <v>2585</v>
      </c>
      <c r="D26999" s="33" t="s">
        <v>17</v>
      </c>
      <c r="E26999" s="33" t="s">
        <v>31</v>
      </c>
      <c r="F26999" s="33" t="s">
        <v>32</v>
      </c>
      <c r="G26999" s="33" t="s">
        <v>140</v>
      </c>
      <c r="H26999" s="35">
        <v>120</v>
      </c>
      <c r="I26999" s="33" t="s">
        <v>51</v>
      </c>
      <c r="J26999" s="42">
        <v>46055</v>
      </c>
      <c r="K26999" s="33" t="s">
        <v>22</v>
      </c>
    </row>
    <row r="27000" spans="1:11">
      <c r="A27000" s="30" t="s">
        <v>59294</v>
      </c>
      <c r="B27000" s="30" t="s">
        <v>59295</v>
      </c>
      <c r="C27000" s="30" t="s">
        <v>36785</v>
      </c>
      <c r="D27000" s="30" t="s">
        <v>17</v>
      </c>
      <c r="E27000" s="30" t="s">
        <v>26</v>
      </c>
      <c r="F27000" s="30" t="s">
        <v>27</v>
      </c>
      <c r="G27000" s="30" t="s">
        <v>7780</v>
      </c>
      <c r="H27000" s="32">
        <v>66</v>
      </c>
      <c r="I27000" s="30" t="s">
        <v>51</v>
      </c>
      <c r="J27000" s="41">
        <v>46032</v>
      </c>
      <c r="K27000" s="30" t="s">
        <v>22</v>
      </c>
    </row>
    <row r="27001" spans="1:11">
      <c r="A27001" s="33" t="s">
        <v>59296</v>
      </c>
      <c r="B27001" s="33" t="s">
        <v>59297</v>
      </c>
      <c r="C27001" s="33" t="s">
        <v>2739</v>
      </c>
      <c r="D27001" s="33" t="s">
        <v>17</v>
      </c>
      <c r="E27001" s="33" t="s">
        <v>26</v>
      </c>
      <c r="F27001" s="33" t="s">
        <v>27</v>
      </c>
      <c r="G27001" s="33" t="s">
        <v>7780</v>
      </c>
      <c r="H27001" s="35">
        <v>36</v>
      </c>
      <c r="I27001" s="33" t="s">
        <v>51</v>
      </c>
      <c r="J27001" s="42">
        <v>46054</v>
      </c>
      <c r="K27001" s="33" t="s">
        <v>22</v>
      </c>
    </row>
    <row r="27002" spans="1:11">
      <c r="A27002" s="30" t="s">
        <v>59298</v>
      </c>
      <c r="B27002" s="30" t="s">
        <v>59299</v>
      </c>
      <c r="C27002" s="30" t="s">
        <v>1207</v>
      </c>
      <c r="D27002" s="30" t="s">
        <v>17</v>
      </c>
      <c r="E27002" s="30" t="s">
        <v>26</v>
      </c>
      <c r="F27002" s="30" t="s">
        <v>27</v>
      </c>
      <c r="G27002" s="30" t="s">
        <v>112</v>
      </c>
      <c r="H27002" s="32">
        <v>0</v>
      </c>
      <c r="I27002" s="30" t="s">
        <v>21</v>
      </c>
      <c r="J27002" s="41">
        <v>46054</v>
      </c>
      <c r="K27002" s="30" t="s">
        <v>22</v>
      </c>
    </row>
    <row r="27003" spans="1:11">
      <c r="A27003" s="33" t="s">
        <v>59300</v>
      </c>
      <c r="B27003" s="33" t="s">
        <v>59301</v>
      </c>
      <c r="C27003" s="33" t="s">
        <v>5636</v>
      </c>
      <c r="D27003" s="33" t="s">
        <v>17</v>
      </c>
      <c r="E27003" s="33" t="s">
        <v>18</v>
      </c>
      <c r="F27003" s="33" t="s">
        <v>19</v>
      </c>
      <c r="G27003" s="33" t="s">
        <v>140</v>
      </c>
      <c r="H27003" s="35">
        <v>760</v>
      </c>
      <c r="I27003" s="33" t="s">
        <v>51</v>
      </c>
      <c r="J27003" s="42">
        <v>46081</v>
      </c>
      <c r="K27003" s="33" t="s">
        <v>22</v>
      </c>
    </row>
    <row r="27004" spans="1:11">
      <c r="A27004" s="30" t="s">
        <v>59302</v>
      </c>
      <c r="B27004" s="30" t="s">
        <v>59303</v>
      </c>
      <c r="C27004" s="30" t="s">
        <v>3072</v>
      </c>
      <c r="D27004" s="30" t="s">
        <v>17</v>
      </c>
      <c r="E27004" s="30" t="s">
        <v>18</v>
      </c>
      <c r="F27004" s="30" t="s">
        <v>19</v>
      </c>
      <c r="G27004" s="30" t="s">
        <v>140</v>
      </c>
      <c r="H27004" s="32">
        <v>150</v>
      </c>
      <c r="I27004" s="30" t="s">
        <v>51</v>
      </c>
      <c r="J27004" s="41">
        <v>46035</v>
      </c>
      <c r="K27004" s="30" t="s">
        <v>22</v>
      </c>
    </row>
    <row r="27005" spans="1:11">
      <c r="A27005" s="33" t="s">
        <v>59304</v>
      </c>
      <c r="B27005" s="33" t="s">
        <v>59305</v>
      </c>
      <c r="C27005" s="33" t="s">
        <v>59306</v>
      </c>
      <c r="D27005" s="33" t="s">
        <v>17</v>
      </c>
      <c r="E27005" s="33" t="s">
        <v>26</v>
      </c>
      <c r="F27005" s="33" t="s">
        <v>27</v>
      </c>
      <c r="G27005" s="33" t="s">
        <v>140</v>
      </c>
      <c r="H27005" s="35">
        <v>112</v>
      </c>
      <c r="I27005" s="33" t="s">
        <v>51</v>
      </c>
      <c r="J27005" s="42">
        <v>46086</v>
      </c>
      <c r="K27005" s="33" t="s">
        <v>22</v>
      </c>
    </row>
    <row r="27006" spans="1:11">
      <c r="A27006" s="30" t="s">
        <v>59307</v>
      </c>
      <c r="B27006" s="30" t="s">
        <v>59308</v>
      </c>
      <c r="C27006" s="30" t="s">
        <v>203</v>
      </c>
      <c r="D27006" s="30" t="s">
        <v>17</v>
      </c>
      <c r="E27006" s="30" t="s">
        <v>45</v>
      </c>
      <c r="F27006" s="30" t="s">
        <v>46</v>
      </c>
      <c r="G27006" s="30" t="s">
        <v>140</v>
      </c>
      <c r="H27006" s="32">
        <v>526</v>
      </c>
      <c r="I27006" s="30" t="s">
        <v>51</v>
      </c>
      <c r="J27006" s="41">
        <v>46094</v>
      </c>
      <c r="K27006" s="30" t="s">
        <v>22</v>
      </c>
    </row>
    <row r="27007" spans="1:11">
      <c r="A27007" s="33" t="s">
        <v>59309</v>
      </c>
      <c r="B27007" s="33" t="s">
        <v>59310</v>
      </c>
      <c r="C27007" s="33" t="s">
        <v>56957</v>
      </c>
      <c r="D27007" s="33" t="s">
        <v>17</v>
      </c>
      <c r="E27007" s="33" t="s">
        <v>67</v>
      </c>
      <c r="F27007" s="33" t="s">
        <v>68</v>
      </c>
      <c r="G27007" s="33" t="s">
        <v>140</v>
      </c>
      <c r="H27007" s="35">
        <v>48</v>
      </c>
      <c r="I27007" s="33" t="s">
        <v>51</v>
      </c>
      <c r="J27007" s="42">
        <v>46055</v>
      </c>
      <c r="K27007" s="33" t="s">
        <v>22</v>
      </c>
    </row>
    <row r="27008" spans="1:11">
      <c r="A27008" s="30" t="s">
        <v>59311</v>
      </c>
      <c r="B27008" s="30" t="s">
        <v>59312</v>
      </c>
      <c r="C27008" s="30" t="s">
        <v>310</v>
      </c>
      <c r="D27008" s="30" t="s">
        <v>17</v>
      </c>
      <c r="E27008" s="30" t="s">
        <v>26</v>
      </c>
      <c r="F27008" s="30" t="s">
        <v>27</v>
      </c>
      <c r="G27008" s="30" t="s">
        <v>140</v>
      </c>
      <c r="H27008" s="32">
        <v>100</v>
      </c>
      <c r="I27008" s="30" t="s">
        <v>51</v>
      </c>
      <c r="J27008" s="41">
        <v>46062</v>
      </c>
      <c r="K27008" s="30" t="s">
        <v>22</v>
      </c>
    </row>
    <row r="27009" spans="1:11">
      <c r="A27009" s="33" t="s">
        <v>59313</v>
      </c>
      <c r="B27009" s="33" t="s">
        <v>59314</v>
      </c>
      <c r="C27009" s="33" t="s">
        <v>59315</v>
      </c>
      <c r="D27009" s="33" t="s">
        <v>17</v>
      </c>
      <c r="E27009" s="33" t="s">
        <v>31</v>
      </c>
      <c r="F27009" s="33" t="s">
        <v>32</v>
      </c>
      <c r="G27009" s="33" t="s">
        <v>7780</v>
      </c>
      <c r="H27009" s="35">
        <v>78</v>
      </c>
      <c r="I27009" s="33" t="s">
        <v>51</v>
      </c>
      <c r="J27009" s="42">
        <v>46031</v>
      </c>
      <c r="K27009" s="33" t="s">
        <v>22</v>
      </c>
    </row>
    <row r="27010" spans="1:11">
      <c r="A27010" s="30" t="s">
        <v>59316</v>
      </c>
      <c r="B27010" s="30" t="s">
        <v>59317</v>
      </c>
      <c r="C27010" s="30" t="s">
        <v>570</v>
      </c>
      <c r="D27010" s="30" t="s">
        <v>17</v>
      </c>
      <c r="E27010" s="30" t="s">
        <v>18</v>
      </c>
      <c r="F27010" s="30" t="s">
        <v>19</v>
      </c>
      <c r="G27010" s="30" t="s">
        <v>140</v>
      </c>
      <c r="H27010" s="32">
        <v>466</v>
      </c>
      <c r="I27010" s="30" t="s">
        <v>51</v>
      </c>
      <c r="J27010" s="41">
        <v>46132</v>
      </c>
      <c r="K27010" s="30" t="s">
        <v>22</v>
      </c>
    </row>
    <row r="27011" spans="1:11">
      <c r="A27011" s="33" t="s">
        <v>59318</v>
      </c>
      <c r="B27011" s="33" t="s">
        <v>59319</v>
      </c>
      <c r="C27011" s="33" t="s">
        <v>1270</v>
      </c>
      <c r="D27011" s="33" t="s">
        <v>17</v>
      </c>
      <c r="E27011" s="33" t="s">
        <v>26</v>
      </c>
      <c r="F27011" s="33" t="s">
        <v>27</v>
      </c>
      <c r="G27011" s="33" t="s">
        <v>7780</v>
      </c>
      <c r="H27011" s="35">
        <v>24</v>
      </c>
      <c r="I27011" s="33" t="s">
        <v>51</v>
      </c>
      <c r="J27011" s="42">
        <v>46200</v>
      </c>
      <c r="K27011" s="33" t="s">
        <v>22</v>
      </c>
    </row>
    <row r="27012" spans="1:11">
      <c r="A27012" s="30" t="s">
        <v>59320</v>
      </c>
      <c r="B27012" s="30" t="s">
        <v>59321</v>
      </c>
      <c r="C27012" s="30" t="s">
        <v>93</v>
      </c>
      <c r="D27012" s="30" t="s">
        <v>17</v>
      </c>
      <c r="E27012" s="30" t="s">
        <v>31</v>
      </c>
      <c r="F27012" s="30" t="s">
        <v>32</v>
      </c>
      <c r="G27012" s="30" t="s">
        <v>7780</v>
      </c>
      <c r="H27012" s="32">
        <v>80</v>
      </c>
      <c r="I27012" s="30" t="s">
        <v>51</v>
      </c>
      <c r="J27012" s="41">
        <v>46231</v>
      </c>
      <c r="K27012" s="30" t="s">
        <v>22</v>
      </c>
    </row>
    <row r="27013" spans="1:11">
      <c r="A27013" s="33" t="s">
        <v>59322</v>
      </c>
      <c r="B27013" s="33" t="s">
        <v>59323</v>
      </c>
      <c r="C27013" s="33" t="s">
        <v>7449</v>
      </c>
      <c r="D27013" s="33" t="s">
        <v>17</v>
      </c>
      <c r="E27013" s="33" t="s">
        <v>26</v>
      </c>
      <c r="F27013" s="33" t="s">
        <v>27</v>
      </c>
      <c r="G27013" s="33" t="s">
        <v>140</v>
      </c>
      <c r="H27013" s="35">
        <v>52</v>
      </c>
      <c r="I27013" s="33" t="s">
        <v>51</v>
      </c>
      <c r="J27013" s="42">
        <v>46122</v>
      </c>
      <c r="K27013" s="33" t="s">
        <v>22</v>
      </c>
    </row>
    <row r="27014" spans="1:11">
      <c r="A27014" s="30" t="s">
        <v>59324</v>
      </c>
      <c r="B27014" s="30" t="s">
        <v>59325</v>
      </c>
      <c r="C27014" s="30" t="s">
        <v>59326</v>
      </c>
      <c r="D27014" s="30" t="s">
        <v>17</v>
      </c>
      <c r="E27014" s="30" t="s">
        <v>31</v>
      </c>
      <c r="F27014" s="30" t="s">
        <v>32</v>
      </c>
      <c r="G27014" s="30" t="s">
        <v>140</v>
      </c>
      <c r="H27014" s="32">
        <v>30</v>
      </c>
      <c r="I27014" s="30" t="s">
        <v>51</v>
      </c>
      <c r="J27014" s="41">
        <v>46174</v>
      </c>
      <c r="K27014" s="30" t="s">
        <v>22</v>
      </c>
    </row>
    <row r="27015" spans="1:11">
      <c r="A27015" s="33" t="s">
        <v>59327</v>
      </c>
      <c r="B27015" s="33" t="s">
        <v>59328</v>
      </c>
      <c r="C27015" s="33" t="s">
        <v>13269</v>
      </c>
      <c r="D27015" s="33" t="s">
        <v>17</v>
      </c>
      <c r="E27015" s="33" t="s">
        <v>31</v>
      </c>
      <c r="F27015" s="33" t="s">
        <v>32</v>
      </c>
      <c r="G27015" s="33" t="s">
        <v>140</v>
      </c>
      <c r="H27015" s="35">
        <v>160</v>
      </c>
      <c r="I27015" s="33" t="s">
        <v>51</v>
      </c>
      <c r="J27015" s="42">
        <v>46184</v>
      </c>
      <c r="K27015" s="33" t="s">
        <v>22</v>
      </c>
    </row>
    <row r="27016" spans="1:11">
      <c r="A27016" s="30" t="s">
        <v>59329</v>
      </c>
      <c r="B27016" s="30" t="s">
        <v>59330</v>
      </c>
      <c r="C27016" s="30" t="s">
        <v>2228</v>
      </c>
      <c r="D27016" s="30" t="s">
        <v>17</v>
      </c>
      <c r="E27016" s="30" t="s">
        <v>31</v>
      </c>
      <c r="F27016" s="30" t="s">
        <v>32</v>
      </c>
      <c r="G27016" s="30" t="s">
        <v>140</v>
      </c>
      <c r="H27016" s="32">
        <v>111</v>
      </c>
      <c r="I27016" s="30" t="s">
        <v>51</v>
      </c>
      <c r="J27016" s="41">
        <v>46056</v>
      </c>
      <c r="K27016" s="30" t="s">
        <v>22</v>
      </c>
    </row>
    <row r="27017" spans="1:11">
      <c r="A27017" s="33" t="s">
        <v>59331</v>
      </c>
      <c r="B27017" s="33" t="s">
        <v>59332</v>
      </c>
      <c r="C27017" s="33" t="s">
        <v>48199</v>
      </c>
      <c r="D27017" s="33" t="s">
        <v>17</v>
      </c>
      <c r="E27017" s="33" t="s">
        <v>26</v>
      </c>
      <c r="F27017" s="33" t="s">
        <v>27</v>
      </c>
      <c r="G27017" s="33" t="s">
        <v>7780</v>
      </c>
      <c r="H27017" s="35">
        <v>102</v>
      </c>
      <c r="I27017" s="33" t="s">
        <v>51</v>
      </c>
      <c r="J27017" s="42">
        <v>46174</v>
      </c>
      <c r="K27017" s="33" t="s">
        <v>22</v>
      </c>
    </row>
    <row r="27018" spans="1:11">
      <c r="A27018" s="30" t="s">
        <v>59333</v>
      </c>
      <c r="B27018" s="30" t="s">
        <v>59334</v>
      </c>
      <c r="C27018" s="30" t="s">
        <v>29833</v>
      </c>
      <c r="D27018" s="30" t="s">
        <v>17</v>
      </c>
      <c r="E27018" s="30" t="s">
        <v>31</v>
      </c>
      <c r="F27018" s="30" t="s">
        <v>32</v>
      </c>
      <c r="G27018" s="30" t="s">
        <v>7780</v>
      </c>
      <c r="H27018" s="32">
        <v>200</v>
      </c>
      <c r="I27018" s="30" t="s">
        <v>51</v>
      </c>
      <c r="J27018" s="41">
        <v>46203</v>
      </c>
      <c r="K27018" s="30" t="s">
        <v>22</v>
      </c>
    </row>
    <row r="27019" spans="1:11">
      <c r="A27019" s="33" t="s">
        <v>59335</v>
      </c>
      <c r="B27019" s="33" t="s">
        <v>59336</v>
      </c>
      <c r="C27019" s="33" t="s">
        <v>318</v>
      </c>
      <c r="D27019" s="33" t="s">
        <v>17</v>
      </c>
      <c r="E27019" s="33" t="s">
        <v>18</v>
      </c>
      <c r="F27019" s="33" t="s">
        <v>19</v>
      </c>
      <c r="G27019" s="33" t="s">
        <v>140</v>
      </c>
      <c r="H27019" s="35">
        <v>406</v>
      </c>
      <c r="I27019" s="33" t="s">
        <v>51</v>
      </c>
      <c r="J27019" s="42">
        <v>46104</v>
      </c>
      <c r="K27019" s="33" t="s">
        <v>22</v>
      </c>
    </row>
    <row r="27020" spans="1:11">
      <c r="A27020" s="30" t="s">
        <v>59337</v>
      </c>
      <c r="B27020" s="30" t="s">
        <v>59338</v>
      </c>
      <c r="C27020" s="30" t="s">
        <v>549</v>
      </c>
      <c r="D27020" s="30" t="s">
        <v>17</v>
      </c>
      <c r="E27020" s="30" t="s">
        <v>18</v>
      </c>
      <c r="F27020" s="30" t="s">
        <v>19</v>
      </c>
      <c r="G27020" s="30" t="s">
        <v>7780</v>
      </c>
      <c r="H27020" s="32">
        <v>100</v>
      </c>
      <c r="I27020" s="30" t="s">
        <v>51</v>
      </c>
      <c r="J27020" s="41">
        <v>46230</v>
      </c>
      <c r="K27020" s="30" t="s">
        <v>22</v>
      </c>
    </row>
    <row r="27021" spans="1:11">
      <c r="A27021" s="33" t="s">
        <v>59339</v>
      </c>
      <c r="B27021" s="33" t="s">
        <v>59340</v>
      </c>
      <c r="C27021" s="33" t="s">
        <v>93</v>
      </c>
      <c r="D27021" s="33" t="s">
        <v>17</v>
      </c>
      <c r="E27021" s="33" t="s">
        <v>26</v>
      </c>
      <c r="F27021" s="33" t="s">
        <v>27</v>
      </c>
      <c r="G27021" s="33" t="s">
        <v>140</v>
      </c>
      <c r="H27021" s="35">
        <v>24</v>
      </c>
      <c r="I27021" s="33" t="s">
        <v>51</v>
      </c>
      <c r="J27021" s="42">
        <v>46112</v>
      </c>
      <c r="K27021" s="33" t="s">
        <v>22</v>
      </c>
    </row>
    <row r="27022" spans="1:11">
      <c r="A27022" s="30" t="s">
        <v>59341</v>
      </c>
      <c r="B27022" s="30" t="s">
        <v>59342</v>
      </c>
      <c r="C27022" s="30" t="s">
        <v>93</v>
      </c>
      <c r="D27022" s="30" t="s">
        <v>17</v>
      </c>
      <c r="E27022" s="30" t="s">
        <v>31</v>
      </c>
      <c r="F27022" s="30" t="s">
        <v>32</v>
      </c>
      <c r="G27022" s="30" t="s">
        <v>140</v>
      </c>
      <c r="H27022" s="32">
        <v>165</v>
      </c>
      <c r="I27022" s="30" t="s">
        <v>51</v>
      </c>
      <c r="J27022" s="41">
        <v>46045</v>
      </c>
      <c r="K27022" s="30" t="s">
        <v>22</v>
      </c>
    </row>
    <row r="27023" spans="1:11">
      <c r="A27023" s="33" t="s">
        <v>59343</v>
      </c>
      <c r="B27023" s="33" t="s">
        <v>59344</v>
      </c>
      <c r="C27023" s="33" t="s">
        <v>178</v>
      </c>
      <c r="D27023" s="33" t="s">
        <v>17</v>
      </c>
      <c r="E27023" s="33" t="s">
        <v>18</v>
      </c>
      <c r="F27023" s="33" t="s">
        <v>19</v>
      </c>
      <c r="G27023" s="33" t="s">
        <v>140</v>
      </c>
      <c r="H27023" s="35">
        <v>100</v>
      </c>
      <c r="I27023" s="33" t="s">
        <v>51</v>
      </c>
      <c r="J27023" s="42">
        <v>46127</v>
      </c>
      <c r="K27023" s="33" t="s">
        <v>22</v>
      </c>
    </row>
    <row r="27024" spans="1:11">
      <c r="A27024" s="30" t="s">
        <v>59345</v>
      </c>
      <c r="B27024" s="30" t="s">
        <v>59346</v>
      </c>
      <c r="C27024" s="30" t="s">
        <v>49440</v>
      </c>
      <c r="D27024" s="30" t="s">
        <v>17</v>
      </c>
      <c r="E27024" s="30" t="s">
        <v>26</v>
      </c>
      <c r="F27024" s="30" t="s">
        <v>27</v>
      </c>
      <c r="G27024" s="30" t="s">
        <v>140</v>
      </c>
      <c r="H27024" s="32">
        <v>336</v>
      </c>
      <c r="I27024" s="30" t="s">
        <v>51</v>
      </c>
      <c r="J27024" s="41">
        <v>46209</v>
      </c>
      <c r="K27024" s="30" t="s">
        <v>22</v>
      </c>
    </row>
    <row r="27025" spans="1:11">
      <c r="A27025" s="33" t="s">
        <v>59347</v>
      </c>
      <c r="B27025" s="33" t="s">
        <v>59348</v>
      </c>
      <c r="C27025" s="33" t="s">
        <v>969</v>
      </c>
      <c r="D27025" s="33" t="s">
        <v>17</v>
      </c>
      <c r="E27025" s="33" t="s">
        <v>26</v>
      </c>
      <c r="F27025" s="33" t="s">
        <v>27</v>
      </c>
      <c r="G27025" s="33" t="s">
        <v>140</v>
      </c>
      <c r="H27025" s="35">
        <v>32</v>
      </c>
      <c r="I27025" s="33" t="s">
        <v>51</v>
      </c>
      <c r="J27025" s="42">
        <v>46094</v>
      </c>
      <c r="K27025" s="33" t="s">
        <v>22</v>
      </c>
    </row>
    <row r="27026" spans="1:11">
      <c r="A27026" s="30" t="s">
        <v>59349</v>
      </c>
      <c r="B27026" s="30" t="s">
        <v>59350</v>
      </c>
      <c r="C27026" s="30" t="s">
        <v>59351</v>
      </c>
      <c r="D27026" s="30" t="s">
        <v>17</v>
      </c>
      <c r="E27026" s="30" t="s">
        <v>18</v>
      </c>
      <c r="F27026" s="30" t="s">
        <v>19</v>
      </c>
      <c r="G27026" s="30" t="s">
        <v>140</v>
      </c>
      <c r="H27026" s="32">
        <v>5</v>
      </c>
      <c r="I27026" s="30" t="s">
        <v>51</v>
      </c>
      <c r="J27026" s="41">
        <v>46027</v>
      </c>
      <c r="K27026" s="30" t="s">
        <v>22</v>
      </c>
    </row>
    <row r="27027" spans="1:11">
      <c r="A27027" s="33" t="s">
        <v>59352</v>
      </c>
      <c r="B27027" s="33" t="s">
        <v>59353</v>
      </c>
      <c r="C27027" s="33" t="s">
        <v>51047</v>
      </c>
      <c r="D27027" s="33" t="s">
        <v>17</v>
      </c>
      <c r="E27027" s="33" t="s">
        <v>330</v>
      </c>
      <c r="F27027" s="33" t="s">
        <v>331</v>
      </c>
      <c r="G27027" s="33" t="s">
        <v>2613</v>
      </c>
      <c r="H27027" s="35">
        <v>120</v>
      </c>
      <c r="I27027" s="33" t="s">
        <v>51</v>
      </c>
      <c r="J27027" s="42">
        <v>46089</v>
      </c>
      <c r="K27027" s="33" t="s">
        <v>22</v>
      </c>
    </row>
    <row r="27028" spans="1:11">
      <c r="A27028" s="30" t="s">
        <v>59354</v>
      </c>
      <c r="B27028" s="30" t="s">
        <v>59355</v>
      </c>
      <c r="C27028" s="30" t="s">
        <v>39363</v>
      </c>
      <c r="D27028" s="30" t="s">
        <v>17</v>
      </c>
      <c r="E27028" s="30" t="s">
        <v>31</v>
      </c>
      <c r="F27028" s="30" t="s">
        <v>32</v>
      </c>
      <c r="G27028" s="30" t="s">
        <v>140</v>
      </c>
      <c r="H27028" s="32">
        <v>300</v>
      </c>
      <c r="I27028" s="30" t="s">
        <v>51</v>
      </c>
      <c r="J27028" s="41">
        <v>46100</v>
      </c>
      <c r="K27028" s="30" t="s">
        <v>22</v>
      </c>
    </row>
    <row r="27029" spans="1:11">
      <c r="A27029" s="33" t="s">
        <v>59356</v>
      </c>
      <c r="B27029" s="33" t="s">
        <v>59357</v>
      </c>
      <c r="C27029" s="33" t="s">
        <v>7880</v>
      </c>
      <c r="D27029" s="33" t="s">
        <v>17</v>
      </c>
      <c r="E27029" s="33" t="s">
        <v>67</v>
      </c>
      <c r="F27029" s="33" t="s">
        <v>68</v>
      </c>
      <c r="G27029" s="33" t="s">
        <v>7780</v>
      </c>
      <c r="H27029" s="35">
        <v>17</v>
      </c>
      <c r="I27029" s="33" t="s">
        <v>51</v>
      </c>
      <c r="J27029" s="42">
        <v>46152</v>
      </c>
      <c r="K27029" s="33" t="s">
        <v>22</v>
      </c>
    </row>
    <row r="27030" spans="1:11">
      <c r="A27030" s="30" t="s">
        <v>59358</v>
      </c>
      <c r="B27030" s="30" t="s">
        <v>59359</v>
      </c>
      <c r="C27030" s="30" t="s">
        <v>37698</v>
      </c>
      <c r="D27030" s="30" t="s">
        <v>17</v>
      </c>
      <c r="E27030" s="30" t="s">
        <v>31</v>
      </c>
      <c r="F27030" s="30" t="s">
        <v>32</v>
      </c>
      <c r="G27030" s="30" t="s">
        <v>140</v>
      </c>
      <c r="H27030" s="32">
        <v>84</v>
      </c>
      <c r="I27030" s="30" t="s">
        <v>51</v>
      </c>
      <c r="J27030" s="41">
        <v>46087</v>
      </c>
      <c r="K27030" s="30" t="s">
        <v>22</v>
      </c>
    </row>
    <row r="27031" spans="1:11">
      <c r="A27031" s="33" t="s">
        <v>59360</v>
      </c>
      <c r="B27031" s="33" t="s">
        <v>59361</v>
      </c>
      <c r="C27031" s="33" t="s">
        <v>109</v>
      </c>
      <c r="D27031" s="33" t="s">
        <v>17</v>
      </c>
      <c r="E27031" s="33" t="s">
        <v>31</v>
      </c>
      <c r="F27031" s="33" t="s">
        <v>32</v>
      </c>
      <c r="G27031" s="33" t="s">
        <v>140</v>
      </c>
      <c r="H27031" s="35">
        <v>164</v>
      </c>
      <c r="I27031" s="33" t="s">
        <v>51</v>
      </c>
      <c r="J27031" s="42">
        <v>46202</v>
      </c>
      <c r="K27031" s="33" t="s">
        <v>22</v>
      </c>
    </row>
    <row r="27032" spans="1:11">
      <c r="A27032" s="30" t="s">
        <v>59362</v>
      </c>
      <c r="B27032" s="30" t="s">
        <v>59363</v>
      </c>
      <c r="C27032" s="30" t="s">
        <v>899</v>
      </c>
      <c r="D27032" s="30" t="s">
        <v>17</v>
      </c>
      <c r="E27032" s="30" t="s">
        <v>26</v>
      </c>
      <c r="F27032" s="30" t="s">
        <v>27</v>
      </c>
      <c r="G27032" s="30" t="s">
        <v>140</v>
      </c>
      <c r="H27032" s="32">
        <v>81</v>
      </c>
      <c r="I27032" s="30" t="s">
        <v>51</v>
      </c>
      <c r="J27032" s="41">
        <v>46077</v>
      </c>
      <c r="K27032" s="30" t="s">
        <v>22</v>
      </c>
    </row>
    <row r="27033" spans="1:11">
      <c r="A27033" s="33" t="s">
        <v>59364</v>
      </c>
      <c r="B27033" s="33" t="s">
        <v>59365</v>
      </c>
      <c r="C27033" s="33" t="s">
        <v>969</v>
      </c>
      <c r="D27033" s="33" t="s">
        <v>17</v>
      </c>
      <c r="E27033" s="33" t="s">
        <v>212</v>
      </c>
      <c r="F27033" s="33" t="s">
        <v>213</v>
      </c>
      <c r="G27033" s="33" t="s">
        <v>7780</v>
      </c>
      <c r="H27033" s="35">
        <v>28</v>
      </c>
      <c r="I27033" s="33" t="s">
        <v>51</v>
      </c>
      <c r="J27033" s="42">
        <v>46223</v>
      </c>
      <c r="K27033" s="33" t="s">
        <v>22</v>
      </c>
    </row>
    <row r="27034" spans="1:11">
      <c r="A27034" s="30" t="s">
        <v>59366</v>
      </c>
      <c r="B27034" s="30" t="s">
        <v>59367</v>
      </c>
      <c r="C27034" s="30" t="s">
        <v>59368</v>
      </c>
      <c r="D27034" s="30" t="s">
        <v>17</v>
      </c>
      <c r="E27034" s="30" t="s">
        <v>26</v>
      </c>
      <c r="F27034" s="30" t="s">
        <v>27</v>
      </c>
      <c r="G27034" s="30" t="s">
        <v>7780</v>
      </c>
      <c r="H27034" s="32">
        <v>230</v>
      </c>
      <c r="I27034" s="30" t="s">
        <v>51</v>
      </c>
      <c r="J27034" s="41">
        <v>46204</v>
      </c>
      <c r="K27034" s="30" t="s">
        <v>22</v>
      </c>
    </row>
    <row r="27035" spans="1:11">
      <c r="A27035" s="33" t="s">
        <v>59369</v>
      </c>
      <c r="B27035" s="33" t="s">
        <v>59370</v>
      </c>
      <c r="C27035" s="33" t="s">
        <v>3944</v>
      </c>
      <c r="D27035" s="33" t="s">
        <v>17</v>
      </c>
      <c r="E27035" s="33" t="s">
        <v>26</v>
      </c>
      <c r="F27035" s="33" t="s">
        <v>27</v>
      </c>
      <c r="G27035" s="33" t="s">
        <v>140</v>
      </c>
      <c r="H27035" s="35">
        <v>15</v>
      </c>
      <c r="I27035" s="33" t="s">
        <v>51</v>
      </c>
      <c r="J27035" s="42">
        <v>46234</v>
      </c>
      <c r="K27035" s="33" t="s">
        <v>22</v>
      </c>
    </row>
    <row r="27036" spans="1:11">
      <c r="A27036" s="30" t="s">
        <v>59371</v>
      </c>
      <c r="B27036" s="30" t="s">
        <v>59372</v>
      </c>
      <c r="C27036" s="30" t="s">
        <v>4348</v>
      </c>
      <c r="D27036" s="30" t="s">
        <v>17</v>
      </c>
      <c r="E27036" s="30" t="s">
        <v>31</v>
      </c>
      <c r="F27036" s="30" t="s">
        <v>32</v>
      </c>
      <c r="G27036" s="30" t="s">
        <v>7780</v>
      </c>
      <c r="H27036" s="32">
        <v>36</v>
      </c>
      <c r="I27036" s="30" t="s">
        <v>51</v>
      </c>
      <c r="J27036" s="41">
        <v>46204</v>
      </c>
      <c r="K27036" s="30" t="s">
        <v>22</v>
      </c>
    </row>
    <row r="27037" spans="1:11">
      <c r="A27037" s="33" t="s">
        <v>59373</v>
      </c>
      <c r="B27037" s="33" t="s">
        <v>59374</v>
      </c>
      <c r="C27037" s="33" t="s">
        <v>59375</v>
      </c>
      <c r="D27037" s="33" t="s">
        <v>17</v>
      </c>
      <c r="E27037" s="33" t="s">
        <v>31</v>
      </c>
      <c r="F27037" s="33" t="s">
        <v>32</v>
      </c>
      <c r="G27037" s="33" t="s">
        <v>140</v>
      </c>
      <c r="H27037" s="35">
        <v>40</v>
      </c>
      <c r="I27037" s="33" t="s">
        <v>51</v>
      </c>
      <c r="J27037" s="42">
        <v>46081</v>
      </c>
      <c r="K27037" s="33" t="s">
        <v>22</v>
      </c>
    </row>
    <row r="27038" spans="1:11">
      <c r="A27038" s="30" t="s">
        <v>59376</v>
      </c>
      <c r="B27038" s="30" t="s">
        <v>59377</v>
      </c>
      <c r="C27038" s="30" t="s">
        <v>42561</v>
      </c>
      <c r="D27038" s="30" t="s">
        <v>17</v>
      </c>
      <c r="E27038" s="30" t="s">
        <v>31</v>
      </c>
      <c r="F27038" s="30" t="s">
        <v>32</v>
      </c>
      <c r="G27038" s="30" t="s">
        <v>7780</v>
      </c>
      <c r="H27038" s="32">
        <v>345</v>
      </c>
      <c r="I27038" s="30" t="s">
        <v>51</v>
      </c>
      <c r="J27038" s="41">
        <v>46122</v>
      </c>
      <c r="K27038" s="30" t="s">
        <v>22</v>
      </c>
    </row>
    <row r="27039" spans="1:11">
      <c r="A27039" s="33" t="s">
        <v>59378</v>
      </c>
      <c r="B27039" s="33" t="s">
        <v>59379</v>
      </c>
      <c r="C27039" s="33" t="s">
        <v>7428</v>
      </c>
      <c r="D27039" s="33" t="s">
        <v>17</v>
      </c>
      <c r="E27039" s="33" t="s">
        <v>26</v>
      </c>
      <c r="F27039" s="33" t="s">
        <v>27</v>
      </c>
      <c r="G27039" s="33" t="s">
        <v>140</v>
      </c>
      <c r="H27039" s="35">
        <v>16</v>
      </c>
      <c r="I27039" s="33" t="s">
        <v>51</v>
      </c>
      <c r="J27039" s="42">
        <v>46171</v>
      </c>
      <c r="K27039" s="33" t="s">
        <v>22</v>
      </c>
    </row>
    <row r="27040" spans="1:11">
      <c r="A27040" s="30" t="s">
        <v>59380</v>
      </c>
      <c r="B27040" s="30" t="s">
        <v>59381</v>
      </c>
      <c r="C27040" s="30" t="s">
        <v>56957</v>
      </c>
      <c r="D27040" s="30" t="s">
        <v>17</v>
      </c>
      <c r="E27040" s="30" t="s">
        <v>67</v>
      </c>
      <c r="F27040" s="30" t="s">
        <v>68</v>
      </c>
      <c r="G27040" s="30" t="s">
        <v>140</v>
      </c>
      <c r="H27040" s="32">
        <v>60</v>
      </c>
      <c r="I27040" s="30" t="s">
        <v>51</v>
      </c>
      <c r="J27040" s="41">
        <v>46055</v>
      </c>
      <c r="K27040" s="30" t="s">
        <v>22</v>
      </c>
    </row>
    <row r="27041" spans="1:11">
      <c r="A27041" s="33" t="s">
        <v>59382</v>
      </c>
      <c r="B27041" s="33" t="s">
        <v>59383</v>
      </c>
      <c r="C27041" s="33" t="s">
        <v>32434</v>
      </c>
      <c r="D27041" s="33" t="s">
        <v>17</v>
      </c>
      <c r="E27041" s="33" t="s">
        <v>31</v>
      </c>
      <c r="F27041" s="33" t="s">
        <v>32</v>
      </c>
      <c r="G27041" s="33" t="s">
        <v>140</v>
      </c>
      <c r="H27041" s="35">
        <v>180</v>
      </c>
      <c r="I27041" s="33" t="s">
        <v>51</v>
      </c>
      <c r="J27041" s="42">
        <v>46143</v>
      </c>
      <c r="K27041" s="33" t="s">
        <v>22</v>
      </c>
    </row>
    <row r="27042" spans="1:11">
      <c r="A27042" s="30" t="s">
        <v>59384</v>
      </c>
      <c r="B27042" s="30" t="s">
        <v>59385</v>
      </c>
      <c r="C27042" s="30" t="s">
        <v>59386</v>
      </c>
      <c r="D27042" s="30" t="s">
        <v>17</v>
      </c>
      <c r="E27042" s="30" t="s">
        <v>45</v>
      </c>
      <c r="F27042" s="30" t="s">
        <v>46</v>
      </c>
      <c r="G27042" s="30" t="s">
        <v>7780</v>
      </c>
      <c r="H27042" s="32">
        <v>540</v>
      </c>
      <c r="I27042" s="30" t="s">
        <v>51</v>
      </c>
      <c r="J27042" s="41">
        <v>46084</v>
      </c>
      <c r="K27042" s="30" t="s">
        <v>22</v>
      </c>
    </row>
    <row r="27043" spans="1:11">
      <c r="A27043" s="33" t="s">
        <v>59387</v>
      </c>
      <c r="B27043" s="33" t="s">
        <v>59388</v>
      </c>
      <c r="C27043" s="33" t="s">
        <v>25549</v>
      </c>
      <c r="D27043" s="33" t="s">
        <v>17</v>
      </c>
      <c r="E27043" s="33" t="s">
        <v>31</v>
      </c>
      <c r="F27043" s="33" t="s">
        <v>32</v>
      </c>
      <c r="G27043" s="33" t="s">
        <v>7780</v>
      </c>
      <c r="H27043" s="35">
        <v>190</v>
      </c>
      <c r="I27043" s="33" t="s">
        <v>51</v>
      </c>
      <c r="J27043" s="42">
        <v>46204</v>
      </c>
      <c r="K27043" s="33" t="s">
        <v>22</v>
      </c>
    </row>
    <row r="27044" spans="1:11">
      <c r="A27044" s="30" t="s">
        <v>59389</v>
      </c>
      <c r="B27044" s="30" t="s">
        <v>59390</v>
      </c>
      <c r="C27044" s="30" t="s">
        <v>1210</v>
      </c>
      <c r="D27044" s="30" t="s">
        <v>17</v>
      </c>
      <c r="E27044" s="30" t="s">
        <v>18</v>
      </c>
      <c r="F27044" s="30" t="s">
        <v>19</v>
      </c>
      <c r="G27044" s="30" t="s">
        <v>140</v>
      </c>
      <c r="H27044" s="32">
        <v>250</v>
      </c>
      <c r="I27044" s="30" t="s">
        <v>51</v>
      </c>
      <c r="J27044" s="41">
        <v>46167</v>
      </c>
      <c r="K27044" s="30" t="s">
        <v>22</v>
      </c>
    </row>
    <row r="27045" spans="1:11">
      <c r="A27045" s="33" t="s">
        <v>59391</v>
      </c>
      <c r="B27045" s="33" t="s">
        <v>59392</v>
      </c>
      <c r="C27045" s="33" t="s">
        <v>8151</v>
      </c>
      <c r="D27045" s="33" t="s">
        <v>17</v>
      </c>
      <c r="E27045" s="33" t="s">
        <v>18</v>
      </c>
      <c r="F27045" s="33" t="s">
        <v>19</v>
      </c>
      <c r="G27045" s="33" t="s">
        <v>140</v>
      </c>
      <c r="H27045" s="35">
        <v>280</v>
      </c>
      <c r="I27045" s="33" t="s">
        <v>51</v>
      </c>
      <c r="J27045" s="42">
        <v>46108</v>
      </c>
      <c r="K27045" s="33" t="s">
        <v>22</v>
      </c>
    </row>
    <row r="27046" spans="1:11">
      <c r="A27046" s="30" t="s">
        <v>59393</v>
      </c>
      <c r="B27046" s="30" t="s">
        <v>59394</v>
      </c>
      <c r="C27046" s="30" t="s">
        <v>795</v>
      </c>
      <c r="D27046" s="30" t="s">
        <v>17</v>
      </c>
      <c r="E27046" s="30" t="s">
        <v>18</v>
      </c>
      <c r="F27046" s="30" t="s">
        <v>19</v>
      </c>
      <c r="G27046" s="30" t="s">
        <v>140</v>
      </c>
      <c r="H27046" s="32">
        <v>544</v>
      </c>
      <c r="I27046" s="30" t="s">
        <v>51</v>
      </c>
      <c r="J27046" s="41">
        <v>46115</v>
      </c>
      <c r="K27046" s="30" t="s">
        <v>22</v>
      </c>
    </row>
    <row r="27047" spans="1:11">
      <c r="A27047" s="33" t="s">
        <v>59395</v>
      </c>
      <c r="B27047" s="33" t="s">
        <v>59396</v>
      </c>
      <c r="C27047" s="33" t="s">
        <v>647</v>
      </c>
      <c r="D27047" s="33" t="s">
        <v>17</v>
      </c>
      <c r="E27047" s="33" t="s">
        <v>31</v>
      </c>
      <c r="F27047" s="33" t="s">
        <v>32</v>
      </c>
      <c r="G27047" s="33" t="s">
        <v>7780</v>
      </c>
      <c r="H27047" s="35">
        <v>525</v>
      </c>
      <c r="I27047" s="33" t="s">
        <v>51</v>
      </c>
      <c r="J27047" s="42">
        <v>46223</v>
      </c>
      <c r="K27047" s="33" t="s">
        <v>22</v>
      </c>
    </row>
    <row r="27048" spans="1:11">
      <c r="A27048" s="30" t="s">
        <v>59397</v>
      </c>
      <c r="B27048" s="30" t="s">
        <v>59398</v>
      </c>
      <c r="C27048" s="30" t="s">
        <v>10268</v>
      </c>
      <c r="D27048" s="30" t="s">
        <v>17</v>
      </c>
      <c r="E27048" s="30" t="s">
        <v>18</v>
      </c>
      <c r="F27048" s="30" t="s">
        <v>19</v>
      </c>
      <c r="G27048" s="30" t="s">
        <v>7780</v>
      </c>
      <c r="H27048" s="32">
        <v>393</v>
      </c>
      <c r="I27048" s="30" t="s">
        <v>51</v>
      </c>
      <c r="J27048" s="41">
        <v>46174</v>
      </c>
      <c r="K27048" s="30" t="s">
        <v>22</v>
      </c>
    </row>
    <row r="27049" spans="1:11">
      <c r="A27049" s="33" t="s">
        <v>59399</v>
      </c>
      <c r="B27049" s="33" t="s">
        <v>59400</v>
      </c>
      <c r="C27049" s="33" t="s">
        <v>30893</v>
      </c>
      <c r="D27049" s="33" t="s">
        <v>17</v>
      </c>
      <c r="E27049" s="33" t="s">
        <v>26</v>
      </c>
      <c r="F27049" s="33" t="s">
        <v>27</v>
      </c>
      <c r="G27049" s="33" t="s">
        <v>7780</v>
      </c>
      <c r="H27049" s="35">
        <v>45</v>
      </c>
      <c r="I27049" s="33" t="s">
        <v>51</v>
      </c>
      <c r="J27049" s="42">
        <v>46146</v>
      </c>
      <c r="K27049" s="33" t="s">
        <v>22</v>
      </c>
    </row>
    <row r="27050" spans="1:11">
      <c r="A27050" s="30" t="s">
        <v>59401</v>
      </c>
      <c r="B27050" s="30" t="s">
        <v>59402</v>
      </c>
      <c r="C27050" s="30" t="s">
        <v>149</v>
      </c>
      <c r="D27050" s="30" t="s">
        <v>17</v>
      </c>
      <c r="E27050" s="30" t="s">
        <v>31</v>
      </c>
      <c r="F27050" s="30" t="s">
        <v>32</v>
      </c>
      <c r="G27050" s="30" t="s">
        <v>140</v>
      </c>
      <c r="H27050" s="32">
        <v>150</v>
      </c>
      <c r="I27050" s="30" t="s">
        <v>51</v>
      </c>
      <c r="J27050" s="41">
        <v>46140</v>
      </c>
      <c r="K27050" s="30" t="s">
        <v>22</v>
      </c>
    </row>
    <row r="27051" spans="1:11">
      <c r="A27051" s="33" t="s">
        <v>59403</v>
      </c>
      <c r="B27051" s="33" t="s">
        <v>59404</v>
      </c>
      <c r="C27051" s="33" t="s">
        <v>668</v>
      </c>
      <c r="D27051" s="33" t="s">
        <v>17</v>
      </c>
      <c r="E27051" s="33" t="s">
        <v>18</v>
      </c>
      <c r="F27051" s="33" t="s">
        <v>19</v>
      </c>
      <c r="G27051" s="33" t="s">
        <v>140</v>
      </c>
      <c r="H27051" s="35">
        <v>456</v>
      </c>
      <c r="I27051" s="33" t="s">
        <v>51</v>
      </c>
      <c r="J27051" s="42">
        <v>46106</v>
      </c>
      <c r="K27051" s="33" t="s">
        <v>22</v>
      </c>
    </row>
    <row r="27052" spans="1:11">
      <c r="A27052" s="30" t="s">
        <v>59405</v>
      </c>
      <c r="B27052" s="30" t="s">
        <v>59406</v>
      </c>
      <c r="C27052" s="30" t="s">
        <v>56830</v>
      </c>
      <c r="D27052" s="30" t="s">
        <v>17</v>
      </c>
      <c r="E27052" s="30" t="s">
        <v>18</v>
      </c>
      <c r="F27052" s="30" t="s">
        <v>19</v>
      </c>
      <c r="G27052" s="30" t="s">
        <v>7780</v>
      </c>
      <c r="H27052" s="32">
        <v>72</v>
      </c>
      <c r="I27052" s="30" t="s">
        <v>51</v>
      </c>
      <c r="J27052" s="41">
        <v>46143</v>
      </c>
      <c r="K27052" s="30" t="s">
        <v>22</v>
      </c>
    </row>
    <row r="27053" spans="1:11">
      <c r="A27053" s="33" t="s">
        <v>59407</v>
      </c>
      <c r="B27053" s="33" t="s">
        <v>59408</v>
      </c>
      <c r="C27053" s="33" t="s">
        <v>2618</v>
      </c>
      <c r="D27053" s="33" t="s">
        <v>17</v>
      </c>
      <c r="E27053" s="33" t="s">
        <v>18</v>
      </c>
      <c r="F27053" s="33" t="s">
        <v>19</v>
      </c>
      <c r="G27053" s="33" t="s">
        <v>140</v>
      </c>
      <c r="H27053" s="35">
        <v>202</v>
      </c>
      <c r="I27053" s="33" t="s">
        <v>51</v>
      </c>
      <c r="J27053" s="42">
        <v>46091</v>
      </c>
      <c r="K27053" s="33" t="s">
        <v>22</v>
      </c>
    </row>
    <row r="27054" spans="1:11">
      <c r="A27054" s="30" t="s">
        <v>59409</v>
      </c>
      <c r="B27054" s="30" t="s">
        <v>59410</v>
      </c>
      <c r="C27054" s="30" t="s">
        <v>59411</v>
      </c>
      <c r="D27054" s="30" t="s">
        <v>17</v>
      </c>
      <c r="E27054" s="30" t="s">
        <v>26</v>
      </c>
      <c r="F27054" s="30" t="s">
        <v>27</v>
      </c>
      <c r="G27054" s="30" t="s">
        <v>140</v>
      </c>
      <c r="H27054" s="32">
        <v>68</v>
      </c>
      <c r="I27054" s="30" t="s">
        <v>51</v>
      </c>
      <c r="J27054" s="41">
        <v>46160</v>
      </c>
      <c r="K27054" s="30" t="s">
        <v>22</v>
      </c>
    </row>
    <row r="27055" spans="1:11">
      <c r="A27055" s="33" t="s">
        <v>59412</v>
      </c>
      <c r="B27055" s="33" t="s">
        <v>59413</v>
      </c>
      <c r="C27055" s="33" t="s">
        <v>59414</v>
      </c>
      <c r="D27055" s="33" t="s">
        <v>17</v>
      </c>
      <c r="E27055" s="33" t="s">
        <v>67</v>
      </c>
      <c r="F27055" s="33" t="s">
        <v>68</v>
      </c>
      <c r="G27055" s="33" t="s">
        <v>140</v>
      </c>
      <c r="H27055" s="35">
        <v>146</v>
      </c>
      <c r="I27055" s="33" t="s">
        <v>51</v>
      </c>
      <c r="J27055" s="42">
        <v>46034</v>
      </c>
      <c r="K27055" s="33" t="s">
        <v>22</v>
      </c>
    </row>
    <row r="27056" spans="1:11">
      <c r="A27056" s="30" t="s">
        <v>59415</v>
      </c>
      <c r="B27056" s="30" t="s">
        <v>59416</v>
      </c>
      <c r="C27056" s="30" t="s">
        <v>3400</v>
      </c>
      <c r="D27056" s="30" t="s">
        <v>17</v>
      </c>
      <c r="E27056" s="30" t="s">
        <v>31</v>
      </c>
      <c r="F27056" s="30" t="s">
        <v>32</v>
      </c>
      <c r="G27056" s="30" t="s">
        <v>140</v>
      </c>
      <c r="H27056" s="32">
        <v>30</v>
      </c>
      <c r="I27056" s="30" t="s">
        <v>51</v>
      </c>
      <c r="J27056" s="41">
        <v>46233</v>
      </c>
      <c r="K27056" s="30" t="s">
        <v>22</v>
      </c>
    </row>
    <row r="27057" spans="1:11">
      <c r="A27057" s="33" t="s">
        <v>59417</v>
      </c>
      <c r="B27057" s="33" t="s">
        <v>59418</v>
      </c>
      <c r="C27057" s="33" t="s">
        <v>11894</v>
      </c>
      <c r="D27057" s="33" t="s">
        <v>17</v>
      </c>
      <c r="E27057" s="33" t="s">
        <v>18</v>
      </c>
      <c r="F27057" s="33" t="s">
        <v>19</v>
      </c>
      <c r="G27057" s="33" t="s">
        <v>7780</v>
      </c>
      <c r="H27057" s="35">
        <v>524</v>
      </c>
      <c r="I27057" s="33" t="s">
        <v>51</v>
      </c>
      <c r="J27057" s="42">
        <v>46081</v>
      </c>
      <c r="K27057" s="33" t="s">
        <v>22</v>
      </c>
    </row>
    <row r="27058" spans="1:11">
      <c r="A27058" s="30" t="s">
        <v>59419</v>
      </c>
      <c r="B27058" s="30" t="s">
        <v>59420</v>
      </c>
      <c r="C27058" s="30" t="s">
        <v>12277</v>
      </c>
      <c r="D27058" s="30" t="s">
        <v>17</v>
      </c>
      <c r="E27058" s="30" t="s">
        <v>31</v>
      </c>
      <c r="F27058" s="30" t="s">
        <v>32</v>
      </c>
      <c r="G27058" s="30" t="s">
        <v>140</v>
      </c>
      <c r="H27058" s="32">
        <v>14</v>
      </c>
      <c r="I27058" s="30" t="s">
        <v>51</v>
      </c>
      <c r="J27058" s="41">
        <v>46073</v>
      </c>
      <c r="K27058" s="30" t="s">
        <v>22</v>
      </c>
    </row>
    <row r="27059" spans="1:11">
      <c r="A27059" s="33" t="s">
        <v>59421</v>
      </c>
      <c r="B27059" s="33" t="s">
        <v>59422</v>
      </c>
      <c r="C27059" s="33" t="s">
        <v>1598</v>
      </c>
      <c r="D27059" s="33" t="s">
        <v>17</v>
      </c>
      <c r="E27059" s="33" t="s">
        <v>26</v>
      </c>
      <c r="F27059" s="33" t="s">
        <v>27</v>
      </c>
      <c r="G27059" s="33" t="s">
        <v>140</v>
      </c>
      <c r="H27059" s="35">
        <v>144</v>
      </c>
      <c r="I27059" s="33" t="s">
        <v>51</v>
      </c>
      <c r="J27059" s="42">
        <v>46150</v>
      </c>
      <c r="K27059" s="33" t="s">
        <v>22</v>
      </c>
    </row>
    <row r="27060" spans="1:11">
      <c r="A27060" s="30" t="s">
        <v>59423</v>
      </c>
      <c r="B27060" s="30" t="s">
        <v>59424</v>
      </c>
      <c r="C27060" s="30" t="s">
        <v>8052</v>
      </c>
      <c r="D27060" s="30" t="s">
        <v>17</v>
      </c>
      <c r="E27060" s="30" t="s">
        <v>26</v>
      </c>
      <c r="F27060" s="30" t="s">
        <v>27</v>
      </c>
      <c r="G27060" s="30" t="s">
        <v>140</v>
      </c>
      <c r="H27060" s="32">
        <v>16</v>
      </c>
      <c r="I27060" s="30" t="s">
        <v>51</v>
      </c>
      <c r="J27060" s="41">
        <v>46052</v>
      </c>
      <c r="K27060" s="30" t="s">
        <v>22</v>
      </c>
    </row>
    <row r="27061" spans="1:11">
      <c r="A27061" s="33" t="s">
        <v>59425</v>
      </c>
      <c r="B27061" s="33" t="s">
        <v>59426</v>
      </c>
      <c r="C27061" s="33" t="s">
        <v>34377</v>
      </c>
      <c r="D27061" s="33" t="s">
        <v>17</v>
      </c>
      <c r="E27061" s="33" t="s">
        <v>18</v>
      </c>
      <c r="F27061" s="33" t="s">
        <v>19</v>
      </c>
      <c r="G27061" s="33" t="s">
        <v>140</v>
      </c>
      <c r="H27061" s="35">
        <v>1100</v>
      </c>
      <c r="I27061" s="33" t="s">
        <v>51</v>
      </c>
      <c r="J27061" s="42">
        <v>46220</v>
      </c>
      <c r="K27061" s="33" t="s">
        <v>22</v>
      </c>
    </row>
    <row r="27062" spans="1:11">
      <c r="A27062" s="30" t="s">
        <v>59427</v>
      </c>
      <c r="B27062" s="30" t="s">
        <v>59428</v>
      </c>
      <c r="C27062" s="30" t="s">
        <v>32821</v>
      </c>
      <c r="D27062" s="30" t="s">
        <v>17</v>
      </c>
      <c r="E27062" s="30" t="s">
        <v>45</v>
      </c>
      <c r="F27062" s="30" t="s">
        <v>46</v>
      </c>
      <c r="G27062" s="30" t="s">
        <v>7780</v>
      </c>
      <c r="H27062" s="32">
        <v>248</v>
      </c>
      <c r="I27062" s="30" t="s">
        <v>51</v>
      </c>
      <c r="J27062" s="41">
        <v>46082</v>
      </c>
      <c r="K27062" s="30" t="s">
        <v>22</v>
      </c>
    </row>
    <row r="27063" spans="1:11">
      <c r="A27063" s="33" t="s">
        <v>59429</v>
      </c>
      <c r="B27063" s="33" t="s">
        <v>59430</v>
      </c>
      <c r="C27063" s="33" t="s">
        <v>23703</v>
      </c>
      <c r="D27063" s="33" t="s">
        <v>17</v>
      </c>
      <c r="E27063" s="33" t="s">
        <v>330</v>
      </c>
      <c r="F27063" s="33" t="s">
        <v>331</v>
      </c>
      <c r="G27063" s="33" t="s">
        <v>140</v>
      </c>
      <c r="H27063" s="35">
        <v>60</v>
      </c>
      <c r="I27063" s="33" t="s">
        <v>51</v>
      </c>
      <c r="J27063" s="42">
        <v>46069</v>
      </c>
      <c r="K27063" s="33" t="s">
        <v>22</v>
      </c>
    </row>
    <row r="27064" spans="1:11">
      <c r="A27064" s="30" t="s">
        <v>59431</v>
      </c>
      <c r="B27064" s="30" t="s">
        <v>59432</v>
      </c>
      <c r="C27064" s="30" t="s">
        <v>59433</v>
      </c>
      <c r="D27064" s="30" t="s">
        <v>17</v>
      </c>
      <c r="E27064" s="30" t="s">
        <v>67</v>
      </c>
      <c r="F27064" s="30" t="s">
        <v>68</v>
      </c>
      <c r="G27064" s="30" t="s">
        <v>140</v>
      </c>
      <c r="H27064" s="32">
        <v>82</v>
      </c>
      <c r="I27064" s="30" t="s">
        <v>51</v>
      </c>
      <c r="J27064" s="41">
        <v>46062</v>
      </c>
      <c r="K27064" s="30" t="s">
        <v>22</v>
      </c>
    </row>
    <row r="27065" spans="1:11">
      <c r="A27065" s="33" t="s">
        <v>59434</v>
      </c>
      <c r="B27065" s="33" t="s">
        <v>59435</v>
      </c>
      <c r="C27065" s="33" t="s">
        <v>59436</v>
      </c>
      <c r="D27065" s="33" t="s">
        <v>17</v>
      </c>
      <c r="E27065" s="33" t="s">
        <v>67</v>
      </c>
      <c r="F27065" s="33" t="s">
        <v>68</v>
      </c>
      <c r="G27065" s="33" t="s">
        <v>140</v>
      </c>
      <c r="H27065" s="35">
        <v>30</v>
      </c>
      <c r="I27065" s="33" t="s">
        <v>51</v>
      </c>
      <c r="J27065" s="42">
        <v>46114</v>
      </c>
      <c r="K27065" s="33" t="s">
        <v>22</v>
      </c>
    </row>
    <row r="27066" spans="1:11">
      <c r="A27066" s="30" t="s">
        <v>59437</v>
      </c>
      <c r="B27066" s="30" t="s">
        <v>59438</v>
      </c>
      <c r="C27066" s="30" t="s">
        <v>59439</v>
      </c>
      <c r="D27066" s="30" t="s">
        <v>17</v>
      </c>
      <c r="E27066" s="30" t="s">
        <v>18</v>
      </c>
      <c r="F27066" s="30" t="s">
        <v>19</v>
      </c>
      <c r="G27066" s="30" t="s">
        <v>140</v>
      </c>
      <c r="H27066" s="32">
        <v>600</v>
      </c>
      <c r="I27066" s="30" t="s">
        <v>51</v>
      </c>
      <c r="J27066" s="41">
        <v>46175</v>
      </c>
      <c r="K27066" s="30" t="s">
        <v>22</v>
      </c>
    </row>
    <row r="27067" spans="1:11">
      <c r="A27067" s="33" t="s">
        <v>59440</v>
      </c>
      <c r="B27067" s="33" t="s">
        <v>59441</v>
      </c>
      <c r="C27067" s="33" t="s">
        <v>7072</v>
      </c>
      <c r="D27067" s="33" t="s">
        <v>17</v>
      </c>
      <c r="E27067" s="33" t="s">
        <v>31</v>
      </c>
      <c r="F27067" s="33" t="s">
        <v>32</v>
      </c>
      <c r="G27067" s="33" t="s">
        <v>140</v>
      </c>
      <c r="H27067" s="35">
        <v>295</v>
      </c>
      <c r="I27067" s="33" t="s">
        <v>51</v>
      </c>
      <c r="J27067" s="42">
        <v>46041</v>
      </c>
      <c r="K27067" s="33" t="s">
        <v>22</v>
      </c>
    </row>
    <row r="27068" spans="1:11">
      <c r="A27068" s="30" t="s">
        <v>59442</v>
      </c>
      <c r="B27068" s="30" t="s">
        <v>59443</v>
      </c>
      <c r="C27068" s="30" t="s">
        <v>1718</v>
      </c>
      <c r="D27068" s="30" t="s">
        <v>17</v>
      </c>
      <c r="E27068" s="30" t="s">
        <v>18</v>
      </c>
      <c r="F27068" s="30" t="s">
        <v>19</v>
      </c>
      <c r="G27068" s="30" t="s">
        <v>140</v>
      </c>
      <c r="H27068" s="32">
        <v>256</v>
      </c>
      <c r="I27068" s="30" t="s">
        <v>51</v>
      </c>
      <c r="J27068" s="41">
        <v>46134</v>
      </c>
      <c r="K27068" s="30" t="s">
        <v>22</v>
      </c>
    </row>
    <row r="27069" spans="1:11">
      <c r="A27069" s="33" t="s">
        <v>59444</v>
      </c>
      <c r="B27069" s="33" t="s">
        <v>59445</v>
      </c>
      <c r="C27069" s="33" t="s">
        <v>96</v>
      </c>
      <c r="D27069" s="33" t="s">
        <v>17</v>
      </c>
      <c r="E27069" s="33" t="s">
        <v>18</v>
      </c>
      <c r="F27069" s="33" t="s">
        <v>19</v>
      </c>
      <c r="G27069" s="33" t="s">
        <v>140</v>
      </c>
      <c r="H27069" s="35">
        <v>1250</v>
      </c>
      <c r="I27069" s="33" t="s">
        <v>51</v>
      </c>
      <c r="J27069" s="42">
        <v>46228</v>
      </c>
      <c r="K27069" s="33" t="s">
        <v>22</v>
      </c>
    </row>
    <row r="27070" spans="1:11">
      <c r="A27070" s="30" t="s">
        <v>59446</v>
      </c>
      <c r="B27070" s="30" t="s">
        <v>59447</v>
      </c>
      <c r="C27070" s="30" t="s">
        <v>2778</v>
      </c>
      <c r="D27070" s="30" t="s">
        <v>17</v>
      </c>
      <c r="E27070" s="30" t="s">
        <v>31</v>
      </c>
      <c r="F27070" s="30" t="s">
        <v>32</v>
      </c>
      <c r="G27070" s="30" t="s">
        <v>140</v>
      </c>
      <c r="H27070" s="32">
        <v>105</v>
      </c>
      <c r="I27070" s="30" t="s">
        <v>51</v>
      </c>
      <c r="J27070" s="41">
        <v>46225</v>
      </c>
      <c r="K27070" s="30" t="s">
        <v>22</v>
      </c>
    </row>
    <row r="27071" spans="1:11">
      <c r="A27071" s="33" t="s">
        <v>59448</v>
      </c>
      <c r="B27071" s="33" t="s">
        <v>59449</v>
      </c>
      <c r="C27071" s="33" t="s">
        <v>130</v>
      </c>
      <c r="D27071" s="33" t="s">
        <v>17</v>
      </c>
      <c r="E27071" s="33" t="s">
        <v>26</v>
      </c>
      <c r="F27071" s="33" t="s">
        <v>27</v>
      </c>
      <c r="G27071" s="33" t="s">
        <v>140</v>
      </c>
      <c r="H27071" s="35">
        <v>16</v>
      </c>
      <c r="I27071" s="33" t="s">
        <v>51</v>
      </c>
      <c r="J27071" s="42">
        <v>46169</v>
      </c>
      <c r="K27071" s="33" t="s">
        <v>22</v>
      </c>
    </row>
    <row r="27072" spans="1:11">
      <c r="A27072" s="30" t="s">
        <v>59450</v>
      </c>
      <c r="B27072" s="30" t="s">
        <v>59451</v>
      </c>
      <c r="C27072" s="30" t="s">
        <v>136</v>
      </c>
      <c r="D27072" s="30" t="s">
        <v>17</v>
      </c>
      <c r="E27072" s="30" t="s">
        <v>26</v>
      </c>
      <c r="F27072" s="30" t="s">
        <v>27</v>
      </c>
      <c r="G27072" s="30" t="s">
        <v>140</v>
      </c>
      <c r="H27072" s="32">
        <v>460</v>
      </c>
      <c r="I27072" s="30" t="s">
        <v>51</v>
      </c>
      <c r="J27072" s="41">
        <v>46129</v>
      </c>
      <c r="K27072" s="30" t="s">
        <v>22</v>
      </c>
    </row>
    <row r="27073" spans="1:11">
      <c r="A27073" s="33" t="s">
        <v>59452</v>
      </c>
      <c r="B27073" s="33" t="s">
        <v>59453</v>
      </c>
      <c r="C27073" s="33" t="s">
        <v>18774</v>
      </c>
      <c r="D27073" s="33" t="s">
        <v>17</v>
      </c>
      <c r="E27073" s="33" t="s">
        <v>45</v>
      </c>
      <c r="F27073" s="33" t="s">
        <v>46</v>
      </c>
      <c r="G27073" s="33" t="s">
        <v>7780</v>
      </c>
      <c r="H27073" s="35">
        <v>40</v>
      </c>
      <c r="I27073" s="33" t="s">
        <v>51</v>
      </c>
      <c r="J27073" s="42">
        <v>46204</v>
      </c>
      <c r="K27073" s="33" t="s">
        <v>22</v>
      </c>
    </row>
    <row r="27074" spans="1:11">
      <c r="A27074" s="30" t="s">
        <v>59454</v>
      </c>
      <c r="B27074" s="30" t="s">
        <v>59455</v>
      </c>
      <c r="C27074" s="30" t="s">
        <v>52589</v>
      </c>
      <c r="D27074" s="30" t="s">
        <v>17</v>
      </c>
      <c r="E27074" s="30" t="s">
        <v>31</v>
      </c>
      <c r="F27074" s="30" t="s">
        <v>32</v>
      </c>
      <c r="G27074" s="30" t="s">
        <v>7780</v>
      </c>
      <c r="H27074" s="32">
        <v>120</v>
      </c>
      <c r="I27074" s="30" t="s">
        <v>51</v>
      </c>
      <c r="J27074" s="41">
        <v>46234</v>
      </c>
      <c r="K27074" s="30" t="s">
        <v>22</v>
      </c>
    </row>
    <row r="27075" spans="1:11">
      <c r="A27075" s="33" t="s">
        <v>59456</v>
      </c>
      <c r="B27075" s="33" t="s">
        <v>59457</v>
      </c>
      <c r="C27075" s="33" t="s">
        <v>379</v>
      </c>
      <c r="D27075" s="33" t="s">
        <v>17</v>
      </c>
      <c r="E27075" s="33" t="s">
        <v>26</v>
      </c>
      <c r="F27075" s="33" t="s">
        <v>27</v>
      </c>
      <c r="G27075" s="33" t="s">
        <v>7780</v>
      </c>
      <c r="H27075" s="35">
        <v>138</v>
      </c>
      <c r="I27075" s="33" t="s">
        <v>51</v>
      </c>
      <c r="J27075" s="42">
        <v>46082</v>
      </c>
      <c r="K27075" s="33" t="s">
        <v>22</v>
      </c>
    </row>
    <row r="27076" spans="1:11">
      <c r="A27076" s="30" t="s">
        <v>59458</v>
      </c>
      <c r="B27076" s="30" t="s">
        <v>59459</v>
      </c>
      <c r="C27076" s="30" t="s">
        <v>203</v>
      </c>
      <c r="D27076" s="30" t="s">
        <v>17</v>
      </c>
      <c r="E27076" s="30" t="s">
        <v>18</v>
      </c>
      <c r="F27076" s="30" t="s">
        <v>19</v>
      </c>
      <c r="G27076" s="30" t="s">
        <v>7780</v>
      </c>
      <c r="H27076" s="32">
        <v>20</v>
      </c>
      <c r="I27076" s="30" t="s">
        <v>51</v>
      </c>
      <c r="J27076" s="41">
        <v>46150</v>
      </c>
      <c r="K27076" s="30" t="s">
        <v>22</v>
      </c>
    </row>
    <row r="27077" spans="1:11">
      <c r="A27077" s="33" t="s">
        <v>59460</v>
      </c>
      <c r="B27077" s="33" t="s">
        <v>59461</v>
      </c>
      <c r="C27077" s="33" t="s">
        <v>11599</v>
      </c>
      <c r="D27077" s="33" t="s">
        <v>17</v>
      </c>
      <c r="E27077" s="33" t="s">
        <v>31</v>
      </c>
      <c r="F27077" s="33" t="s">
        <v>32</v>
      </c>
      <c r="G27077" s="33" t="s">
        <v>20</v>
      </c>
      <c r="H27077" s="35">
        <v>19</v>
      </c>
      <c r="I27077" s="33" t="s">
        <v>21</v>
      </c>
      <c r="J27077" s="42">
        <v>46092</v>
      </c>
      <c r="K27077" s="33" t="s">
        <v>22</v>
      </c>
    </row>
    <row r="27078" spans="1:11">
      <c r="A27078" s="30" t="s">
        <v>59462</v>
      </c>
      <c r="B27078" s="30" t="s">
        <v>59463</v>
      </c>
      <c r="C27078" s="30" t="s">
        <v>7072</v>
      </c>
      <c r="D27078" s="30" t="s">
        <v>17</v>
      </c>
      <c r="E27078" s="30" t="s">
        <v>26</v>
      </c>
      <c r="F27078" s="30" t="s">
        <v>27</v>
      </c>
      <c r="G27078" s="30" t="s">
        <v>140</v>
      </c>
      <c r="H27078" s="32">
        <v>90</v>
      </c>
      <c r="I27078" s="30" t="s">
        <v>51</v>
      </c>
      <c r="J27078" s="41">
        <v>46112</v>
      </c>
      <c r="K27078" s="30" t="s">
        <v>22</v>
      </c>
    </row>
    <row r="27079" spans="1:11">
      <c r="A27079" s="33" t="s">
        <v>59464</v>
      </c>
      <c r="B27079" s="33" t="s">
        <v>59465</v>
      </c>
      <c r="C27079" s="33" t="s">
        <v>3655</v>
      </c>
      <c r="D27079" s="33" t="s">
        <v>17</v>
      </c>
      <c r="E27079" s="33" t="s">
        <v>26</v>
      </c>
      <c r="F27079" s="33" t="s">
        <v>27</v>
      </c>
      <c r="G27079" s="33" t="s">
        <v>7780</v>
      </c>
      <c r="H27079" s="35">
        <v>126</v>
      </c>
      <c r="I27079" s="33" t="s">
        <v>51</v>
      </c>
      <c r="J27079" s="42">
        <v>46204</v>
      </c>
      <c r="K27079" s="33" t="s">
        <v>22</v>
      </c>
    </row>
    <row r="27080" spans="1:11">
      <c r="A27080" s="30" t="s">
        <v>59466</v>
      </c>
      <c r="B27080" s="30" t="s">
        <v>59467</v>
      </c>
      <c r="C27080" s="30" t="s">
        <v>16404</v>
      </c>
      <c r="D27080" s="30" t="s">
        <v>17</v>
      </c>
      <c r="E27080" s="30" t="s">
        <v>26</v>
      </c>
      <c r="F27080" s="30" t="s">
        <v>27</v>
      </c>
      <c r="G27080" s="30" t="s">
        <v>140</v>
      </c>
      <c r="H27080" s="32">
        <v>160</v>
      </c>
      <c r="I27080" s="30" t="s">
        <v>51</v>
      </c>
      <c r="J27080" s="41">
        <v>46098</v>
      </c>
      <c r="K27080" s="30" t="s">
        <v>22</v>
      </c>
    </row>
    <row r="27081" spans="1:11">
      <c r="A27081" s="33" t="s">
        <v>59468</v>
      </c>
      <c r="B27081" s="33" t="s">
        <v>59469</v>
      </c>
      <c r="C27081" s="33" t="s">
        <v>44</v>
      </c>
      <c r="D27081" s="33" t="s">
        <v>17</v>
      </c>
      <c r="E27081" s="33" t="s">
        <v>18</v>
      </c>
      <c r="F27081" s="33" t="s">
        <v>19</v>
      </c>
      <c r="G27081" s="33" t="s">
        <v>140</v>
      </c>
      <c r="H27081" s="35">
        <v>4</v>
      </c>
      <c r="I27081" s="33" t="s">
        <v>51</v>
      </c>
      <c r="J27081" s="42">
        <v>46062</v>
      </c>
      <c r="K27081" s="33" t="s">
        <v>22</v>
      </c>
    </row>
    <row r="27082" spans="1:11">
      <c r="A27082" s="30" t="s">
        <v>59470</v>
      </c>
      <c r="B27082" s="30" t="s">
        <v>59471</v>
      </c>
      <c r="C27082" s="30" t="s">
        <v>38761</v>
      </c>
      <c r="D27082" s="30" t="s">
        <v>17</v>
      </c>
      <c r="E27082" s="30" t="s">
        <v>212</v>
      </c>
      <c r="F27082" s="30" t="s">
        <v>213</v>
      </c>
      <c r="G27082" s="30" t="s">
        <v>2613</v>
      </c>
      <c r="H27082" s="32">
        <v>65</v>
      </c>
      <c r="I27082" s="30" t="s">
        <v>51</v>
      </c>
      <c r="J27082" s="41">
        <v>46023</v>
      </c>
      <c r="K27082" s="30" t="s">
        <v>22</v>
      </c>
    </row>
    <row r="27083" spans="1:11">
      <c r="A27083" s="33" t="s">
        <v>59472</v>
      </c>
      <c r="B27083" s="33" t="s">
        <v>59473</v>
      </c>
      <c r="C27083" s="33" t="s">
        <v>925</v>
      </c>
      <c r="D27083" s="33" t="s">
        <v>17</v>
      </c>
      <c r="E27083" s="33" t="s">
        <v>26</v>
      </c>
      <c r="F27083" s="33" t="s">
        <v>27</v>
      </c>
      <c r="G27083" s="33" t="s">
        <v>7780</v>
      </c>
      <c r="H27083" s="35">
        <v>112</v>
      </c>
      <c r="I27083" s="33" t="s">
        <v>51</v>
      </c>
      <c r="J27083" s="42">
        <v>46204</v>
      </c>
      <c r="K27083" s="33" t="s">
        <v>22</v>
      </c>
    </row>
    <row r="27084" spans="1:11">
      <c r="A27084" s="30" t="s">
        <v>59474</v>
      </c>
      <c r="B27084" s="30" t="s">
        <v>59475</v>
      </c>
      <c r="C27084" s="30" t="s">
        <v>178</v>
      </c>
      <c r="D27084" s="30" t="s">
        <v>17</v>
      </c>
      <c r="E27084" s="30" t="s">
        <v>31</v>
      </c>
      <c r="F27084" s="30" t="s">
        <v>32</v>
      </c>
      <c r="G27084" s="30" t="s">
        <v>140</v>
      </c>
      <c r="H27084" s="32">
        <v>360</v>
      </c>
      <c r="I27084" s="30" t="s">
        <v>51</v>
      </c>
      <c r="J27084" s="41">
        <v>46091</v>
      </c>
      <c r="K27084" s="30" t="s">
        <v>22</v>
      </c>
    </row>
    <row r="27085" spans="1:11">
      <c r="A27085" s="33" t="s">
        <v>59476</v>
      </c>
      <c r="B27085" s="33" t="s">
        <v>59477</v>
      </c>
      <c r="C27085" s="33" t="s">
        <v>969</v>
      </c>
      <c r="D27085" s="33" t="s">
        <v>17</v>
      </c>
      <c r="E27085" s="33" t="s">
        <v>212</v>
      </c>
      <c r="F27085" s="33" t="s">
        <v>213</v>
      </c>
      <c r="G27085" s="33" t="s">
        <v>140</v>
      </c>
      <c r="H27085" s="35">
        <v>33609</v>
      </c>
      <c r="I27085" s="33" t="s">
        <v>51</v>
      </c>
      <c r="J27085" s="42">
        <v>46112</v>
      </c>
      <c r="K27085" s="33" t="s">
        <v>22</v>
      </c>
    </row>
    <row r="27086" spans="1:11">
      <c r="A27086" s="30" t="s">
        <v>59478</v>
      </c>
      <c r="B27086" s="30" t="s">
        <v>59479</v>
      </c>
      <c r="C27086" s="30" t="s">
        <v>187</v>
      </c>
      <c r="D27086" s="30" t="s">
        <v>17</v>
      </c>
      <c r="E27086" s="30" t="s">
        <v>26</v>
      </c>
      <c r="F27086" s="30" t="s">
        <v>27</v>
      </c>
      <c r="G27086" s="30" t="s">
        <v>140</v>
      </c>
      <c r="H27086" s="32">
        <v>24</v>
      </c>
      <c r="I27086" s="30" t="s">
        <v>51</v>
      </c>
      <c r="J27086" s="41">
        <v>46113</v>
      </c>
      <c r="K27086" s="30" t="s">
        <v>22</v>
      </c>
    </row>
    <row r="27087" spans="1:11">
      <c r="A27087" s="33" t="s">
        <v>59480</v>
      </c>
      <c r="B27087" s="33" t="s">
        <v>59481</v>
      </c>
      <c r="C27087" s="33" t="s">
        <v>1350</v>
      </c>
      <c r="D27087" s="33" t="s">
        <v>17</v>
      </c>
      <c r="E27087" s="33" t="s">
        <v>26</v>
      </c>
      <c r="F27087" s="33" t="s">
        <v>27</v>
      </c>
      <c r="G27087" s="33" t="s">
        <v>7780</v>
      </c>
      <c r="H27087" s="35">
        <v>42</v>
      </c>
      <c r="I27087" s="33" t="s">
        <v>51</v>
      </c>
      <c r="J27087" s="42">
        <v>46082</v>
      </c>
      <c r="K27087" s="33" t="s">
        <v>22</v>
      </c>
    </row>
    <row r="27088" spans="1:11">
      <c r="A27088" s="30" t="s">
        <v>59482</v>
      </c>
      <c r="B27088" s="30" t="s">
        <v>59483</v>
      </c>
      <c r="C27088" s="30" t="s">
        <v>33485</v>
      </c>
      <c r="D27088" s="30" t="s">
        <v>17</v>
      </c>
      <c r="E27088" s="30" t="s">
        <v>26</v>
      </c>
      <c r="F27088" s="30" t="s">
        <v>27</v>
      </c>
      <c r="G27088" s="30" t="s">
        <v>69</v>
      </c>
      <c r="H27088" s="32">
        <v>34</v>
      </c>
      <c r="I27088" s="30" t="s">
        <v>51</v>
      </c>
      <c r="J27088" s="41">
        <v>46203</v>
      </c>
      <c r="K27088" s="30" t="s">
        <v>22</v>
      </c>
    </row>
    <row r="27089" spans="1:11">
      <c r="A27089" s="33" t="s">
        <v>59484</v>
      </c>
      <c r="B27089" s="33" t="s">
        <v>59485</v>
      </c>
      <c r="C27089" s="33" t="s">
        <v>109</v>
      </c>
      <c r="D27089" s="33" t="s">
        <v>17</v>
      </c>
      <c r="E27089" s="33" t="s">
        <v>26</v>
      </c>
      <c r="F27089" s="33" t="s">
        <v>27</v>
      </c>
      <c r="G27089" s="33" t="s">
        <v>140</v>
      </c>
      <c r="H27089" s="35">
        <v>24</v>
      </c>
      <c r="I27089" s="33" t="s">
        <v>51</v>
      </c>
      <c r="J27089" s="42">
        <v>46136</v>
      </c>
      <c r="K27089" s="33" t="s">
        <v>22</v>
      </c>
    </row>
    <row r="27090" spans="1:11">
      <c r="A27090" s="30" t="s">
        <v>59486</v>
      </c>
      <c r="B27090" s="30" t="s">
        <v>59487</v>
      </c>
      <c r="C27090" s="30" t="s">
        <v>109</v>
      </c>
      <c r="D27090" s="30" t="s">
        <v>17</v>
      </c>
      <c r="E27090" s="30" t="s">
        <v>67</v>
      </c>
      <c r="F27090" s="30" t="s">
        <v>68</v>
      </c>
      <c r="G27090" s="30" t="s">
        <v>140</v>
      </c>
      <c r="H27090" s="32">
        <v>80</v>
      </c>
      <c r="I27090" s="30" t="s">
        <v>51</v>
      </c>
      <c r="J27090" s="41">
        <v>46189</v>
      </c>
      <c r="K27090" s="30" t="s">
        <v>22</v>
      </c>
    </row>
    <row r="27091" spans="1:11">
      <c r="A27091" s="33" t="s">
        <v>59488</v>
      </c>
      <c r="B27091" s="33" t="s">
        <v>59489</v>
      </c>
      <c r="C27091" s="33" t="s">
        <v>96</v>
      </c>
      <c r="D27091" s="33" t="s">
        <v>17</v>
      </c>
      <c r="E27091" s="33" t="s">
        <v>26</v>
      </c>
      <c r="F27091" s="33" t="s">
        <v>27</v>
      </c>
      <c r="G27091" s="33" t="s">
        <v>7780</v>
      </c>
      <c r="H27091" s="35">
        <v>12</v>
      </c>
      <c r="I27091" s="33" t="s">
        <v>51</v>
      </c>
      <c r="J27091" s="42">
        <v>46227</v>
      </c>
      <c r="K27091" s="33" t="s">
        <v>22</v>
      </c>
    </row>
    <row r="27092" spans="1:11">
      <c r="A27092" s="30" t="s">
        <v>59490</v>
      </c>
      <c r="B27092" s="30" t="s">
        <v>59491</v>
      </c>
      <c r="C27092" s="30" t="s">
        <v>6460</v>
      </c>
      <c r="D27092" s="30" t="s">
        <v>17</v>
      </c>
      <c r="E27092" s="30" t="s">
        <v>31</v>
      </c>
      <c r="F27092" s="30" t="s">
        <v>32</v>
      </c>
      <c r="G27092" s="30" t="s">
        <v>140</v>
      </c>
      <c r="H27092" s="32">
        <v>35</v>
      </c>
      <c r="I27092" s="30" t="s">
        <v>51</v>
      </c>
      <c r="J27092" s="41">
        <v>46038</v>
      </c>
      <c r="K27092" s="30" t="s">
        <v>22</v>
      </c>
    </row>
    <row r="27093" spans="1:11">
      <c r="A27093" s="33" t="s">
        <v>59492</v>
      </c>
      <c r="B27093" s="33" t="s">
        <v>59493</v>
      </c>
      <c r="C27093" s="33" t="s">
        <v>7900</v>
      </c>
      <c r="D27093" s="33" t="s">
        <v>17</v>
      </c>
      <c r="E27093" s="33" t="s">
        <v>26</v>
      </c>
      <c r="F27093" s="33" t="s">
        <v>27</v>
      </c>
      <c r="G27093" s="33" t="s">
        <v>140</v>
      </c>
      <c r="H27093" s="35">
        <v>104</v>
      </c>
      <c r="I27093" s="33" t="s">
        <v>51</v>
      </c>
      <c r="J27093" s="42">
        <v>46125</v>
      </c>
      <c r="K27093" s="33" t="s">
        <v>22</v>
      </c>
    </row>
    <row r="27094" spans="1:11">
      <c r="A27094" s="30" t="s">
        <v>59494</v>
      </c>
      <c r="B27094" s="30" t="s">
        <v>59495</v>
      </c>
      <c r="C27094" s="30" t="s">
        <v>59496</v>
      </c>
      <c r="D27094" s="30" t="s">
        <v>17</v>
      </c>
      <c r="E27094" s="30" t="s">
        <v>45</v>
      </c>
      <c r="F27094" s="30" t="s">
        <v>46</v>
      </c>
      <c r="G27094" s="30" t="s">
        <v>7780</v>
      </c>
      <c r="H27094" s="32">
        <v>600</v>
      </c>
      <c r="I27094" s="30" t="s">
        <v>51</v>
      </c>
      <c r="J27094" s="41">
        <v>46204</v>
      </c>
      <c r="K27094" s="30" t="s">
        <v>22</v>
      </c>
    </row>
    <row r="27095" spans="1:11">
      <c r="A27095" s="33" t="s">
        <v>59497</v>
      </c>
      <c r="B27095" s="33" t="s">
        <v>59498</v>
      </c>
      <c r="C27095" s="33" t="s">
        <v>187</v>
      </c>
      <c r="D27095" s="33" t="s">
        <v>17</v>
      </c>
      <c r="E27095" s="33" t="s">
        <v>26</v>
      </c>
      <c r="F27095" s="33" t="s">
        <v>27</v>
      </c>
      <c r="G27095" s="33" t="s">
        <v>7780</v>
      </c>
      <c r="H27095" s="35">
        <v>24</v>
      </c>
      <c r="I27095" s="33" t="s">
        <v>51</v>
      </c>
      <c r="J27095" s="42">
        <v>46113</v>
      </c>
      <c r="K27095" s="33" t="s">
        <v>22</v>
      </c>
    </row>
    <row r="27096" spans="1:11">
      <c r="A27096" s="30" t="s">
        <v>59499</v>
      </c>
      <c r="B27096" s="30" t="s">
        <v>59500</v>
      </c>
      <c r="C27096" s="30" t="s">
        <v>39831</v>
      </c>
      <c r="D27096" s="30" t="s">
        <v>17</v>
      </c>
      <c r="E27096" s="30" t="s">
        <v>212</v>
      </c>
      <c r="F27096" s="30" t="s">
        <v>213</v>
      </c>
      <c r="G27096" s="30" t="s">
        <v>7780</v>
      </c>
      <c r="H27096" s="32">
        <v>100</v>
      </c>
      <c r="I27096" s="30" t="s">
        <v>51</v>
      </c>
      <c r="J27096" s="41">
        <v>46142</v>
      </c>
      <c r="K27096" s="30" t="s">
        <v>22</v>
      </c>
    </row>
    <row r="27097" spans="1:11">
      <c r="A27097" s="33" t="s">
        <v>59501</v>
      </c>
      <c r="B27097" s="33" t="s">
        <v>59502</v>
      </c>
      <c r="C27097" s="33" t="s">
        <v>28551</v>
      </c>
      <c r="D27097" s="33" t="s">
        <v>17</v>
      </c>
      <c r="E27097" s="33" t="s">
        <v>31</v>
      </c>
      <c r="F27097" s="33" t="s">
        <v>32</v>
      </c>
      <c r="G27097" s="33" t="s">
        <v>7780</v>
      </c>
      <c r="H27097" s="35">
        <v>16</v>
      </c>
      <c r="I27097" s="33" t="s">
        <v>51</v>
      </c>
      <c r="J27097" s="42">
        <v>46023</v>
      </c>
      <c r="K27097" s="33" t="s">
        <v>22</v>
      </c>
    </row>
    <row r="27098" spans="1:11">
      <c r="A27098" s="30" t="s">
        <v>59503</v>
      </c>
      <c r="B27098" s="30" t="s">
        <v>59504</v>
      </c>
      <c r="C27098" s="30" t="s">
        <v>59505</v>
      </c>
      <c r="D27098" s="30" t="s">
        <v>17</v>
      </c>
      <c r="E27098" s="30" t="s">
        <v>26</v>
      </c>
      <c r="F27098" s="30" t="s">
        <v>27</v>
      </c>
      <c r="G27098" s="30" t="s">
        <v>140</v>
      </c>
      <c r="H27098" s="32">
        <v>88</v>
      </c>
      <c r="I27098" s="30" t="s">
        <v>51</v>
      </c>
      <c r="J27098" s="41">
        <v>46086</v>
      </c>
      <c r="K27098" s="30" t="s">
        <v>22</v>
      </c>
    </row>
    <row r="27099" spans="1:11">
      <c r="A27099" s="33" t="s">
        <v>59506</v>
      </c>
      <c r="B27099" s="33" t="s">
        <v>59507</v>
      </c>
      <c r="C27099" s="33" t="s">
        <v>187</v>
      </c>
      <c r="D27099" s="33" t="s">
        <v>17</v>
      </c>
      <c r="E27099" s="33" t="s">
        <v>31</v>
      </c>
      <c r="F27099" s="33" t="s">
        <v>32</v>
      </c>
      <c r="G27099" s="33" t="s">
        <v>7780</v>
      </c>
      <c r="H27099" s="35">
        <v>48</v>
      </c>
      <c r="I27099" s="33" t="s">
        <v>51</v>
      </c>
      <c r="J27099" s="42">
        <v>46204</v>
      </c>
      <c r="K27099" s="33" t="s">
        <v>22</v>
      </c>
    </row>
    <row r="27100" spans="1:11">
      <c r="A27100" s="30" t="s">
        <v>59508</v>
      </c>
      <c r="B27100" s="30" t="s">
        <v>59509</v>
      </c>
      <c r="C27100" s="30" t="s">
        <v>42074</v>
      </c>
      <c r="D27100" s="30" t="s">
        <v>17</v>
      </c>
      <c r="E27100" s="30" t="s">
        <v>67</v>
      </c>
      <c r="F27100" s="30" t="s">
        <v>68</v>
      </c>
      <c r="G27100" s="30" t="s">
        <v>140</v>
      </c>
      <c r="H27100" s="32">
        <v>5</v>
      </c>
      <c r="I27100" s="30" t="s">
        <v>51</v>
      </c>
      <c r="J27100" s="41">
        <v>46034</v>
      </c>
      <c r="K27100" s="30" t="s">
        <v>22</v>
      </c>
    </row>
    <row r="27101" spans="1:11">
      <c r="A27101" s="33" t="s">
        <v>59510</v>
      </c>
      <c r="B27101" s="33" t="s">
        <v>59511</v>
      </c>
      <c r="C27101" s="33" t="s">
        <v>59512</v>
      </c>
      <c r="D27101" s="33" t="s">
        <v>17</v>
      </c>
      <c r="E27101" s="33" t="s">
        <v>26</v>
      </c>
      <c r="F27101" s="33" t="s">
        <v>27</v>
      </c>
      <c r="G27101" s="33" t="s">
        <v>140</v>
      </c>
      <c r="H27101" s="35">
        <v>72</v>
      </c>
      <c r="I27101" s="33" t="s">
        <v>51</v>
      </c>
      <c r="J27101" s="42">
        <v>46199</v>
      </c>
      <c r="K27101" s="33" t="s">
        <v>22</v>
      </c>
    </row>
    <row r="27102" spans="1:11">
      <c r="A27102" s="30" t="s">
        <v>59513</v>
      </c>
      <c r="B27102" s="30" t="s">
        <v>59514</v>
      </c>
      <c r="C27102" s="30" t="s">
        <v>27046</v>
      </c>
      <c r="D27102" s="30" t="s">
        <v>17</v>
      </c>
      <c r="E27102" s="30" t="s">
        <v>31</v>
      </c>
      <c r="F27102" s="30" t="s">
        <v>32</v>
      </c>
      <c r="G27102" s="30" t="s">
        <v>140</v>
      </c>
      <c r="H27102" s="32">
        <v>24</v>
      </c>
      <c r="I27102" s="30" t="s">
        <v>51</v>
      </c>
      <c r="J27102" s="41">
        <v>46054</v>
      </c>
      <c r="K27102" s="30" t="s">
        <v>22</v>
      </c>
    </row>
    <row r="27103" spans="1:11">
      <c r="A27103" s="33" t="s">
        <v>59515</v>
      </c>
      <c r="B27103" s="33" t="s">
        <v>59516</v>
      </c>
      <c r="C27103" s="33" t="s">
        <v>570</v>
      </c>
      <c r="D27103" s="33" t="s">
        <v>17</v>
      </c>
      <c r="E27103" s="33" t="s">
        <v>18</v>
      </c>
      <c r="F27103" s="33" t="s">
        <v>19</v>
      </c>
      <c r="G27103" s="33" t="s">
        <v>7780</v>
      </c>
      <c r="H27103" s="35">
        <v>478</v>
      </c>
      <c r="I27103" s="33" t="s">
        <v>51</v>
      </c>
      <c r="J27103" s="42">
        <v>46143</v>
      </c>
      <c r="K27103" s="33" t="s">
        <v>22</v>
      </c>
    </row>
    <row r="27104" spans="1:11">
      <c r="A27104" s="30" t="s">
        <v>59517</v>
      </c>
      <c r="B27104" s="30" t="s">
        <v>59518</v>
      </c>
      <c r="C27104" s="30" t="s">
        <v>59519</v>
      </c>
      <c r="D27104" s="30" t="s">
        <v>17</v>
      </c>
      <c r="E27104" s="30" t="s">
        <v>67</v>
      </c>
      <c r="F27104" s="30" t="s">
        <v>68</v>
      </c>
      <c r="G27104" s="30" t="s">
        <v>7780</v>
      </c>
      <c r="H27104" s="32">
        <v>12</v>
      </c>
      <c r="I27104" s="30" t="s">
        <v>51</v>
      </c>
      <c r="J27104" s="41">
        <v>46082</v>
      </c>
      <c r="K27104" s="30" t="s">
        <v>22</v>
      </c>
    </row>
    <row r="27105" spans="1:11">
      <c r="A27105" s="33" t="s">
        <v>59520</v>
      </c>
      <c r="B27105" s="33" t="s">
        <v>59521</v>
      </c>
      <c r="C27105" s="33" t="s">
        <v>5870</v>
      </c>
      <c r="D27105" s="33" t="s">
        <v>17</v>
      </c>
      <c r="E27105" s="33" t="s">
        <v>26</v>
      </c>
      <c r="F27105" s="33" t="s">
        <v>27</v>
      </c>
      <c r="G27105" s="33" t="s">
        <v>7780</v>
      </c>
      <c r="H27105" s="35">
        <v>36</v>
      </c>
      <c r="I27105" s="33" t="s">
        <v>51</v>
      </c>
      <c r="J27105" s="42">
        <v>46204</v>
      </c>
      <c r="K27105" s="33" t="s">
        <v>22</v>
      </c>
    </row>
    <row r="27106" spans="1:11">
      <c r="A27106" s="30" t="s">
        <v>59522</v>
      </c>
      <c r="B27106" s="30" t="s">
        <v>59523</v>
      </c>
      <c r="C27106" s="30" t="s">
        <v>310</v>
      </c>
      <c r="D27106" s="30" t="s">
        <v>17</v>
      </c>
      <c r="E27106" s="30" t="s">
        <v>26</v>
      </c>
      <c r="F27106" s="30" t="s">
        <v>27</v>
      </c>
      <c r="G27106" s="30" t="s">
        <v>7780</v>
      </c>
      <c r="H27106" s="32">
        <v>128</v>
      </c>
      <c r="I27106" s="30" t="s">
        <v>51</v>
      </c>
      <c r="J27106" s="41">
        <v>46209</v>
      </c>
      <c r="K27106" s="30" t="s">
        <v>22</v>
      </c>
    </row>
    <row r="27107" spans="1:11">
      <c r="A27107" s="33" t="s">
        <v>59524</v>
      </c>
      <c r="B27107" s="33" t="s">
        <v>59525</v>
      </c>
      <c r="C27107" s="33" t="s">
        <v>450</v>
      </c>
      <c r="D27107" s="33" t="s">
        <v>17</v>
      </c>
      <c r="E27107" s="33" t="s">
        <v>212</v>
      </c>
      <c r="F27107" s="33" t="s">
        <v>213</v>
      </c>
      <c r="G27107" s="33" t="s">
        <v>112</v>
      </c>
      <c r="H27107" s="35">
        <v>0</v>
      </c>
      <c r="I27107" s="33" t="s">
        <v>21</v>
      </c>
      <c r="J27107" s="42">
        <v>46232</v>
      </c>
      <c r="K27107" s="33" t="s">
        <v>22</v>
      </c>
    </row>
    <row r="27108" spans="1:11">
      <c r="A27108" s="30" t="s">
        <v>59526</v>
      </c>
      <c r="B27108" s="30" t="s">
        <v>59527</v>
      </c>
      <c r="C27108" s="30" t="s">
        <v>53929</v>
      </c>
      <c r="D27108" s="30" t="s">
        <v>17</v>
      </c>
      <c r="E27108" s="30" t="s">
        <v>26</v>
      </c>
      <c r="F27108" s="30" t="s">
        <v>27</v>
      </c>
      <c r="G27108" s="30" t="s">
        <v>140</v>
      </c>
      <c r="H27108" s="32">
        <v>23</v>
      </c>
      <c r="I27108" s="30" t="s">
        <v>51</v>
      </c>
      <c r="J27108" s="41">
        <v>46031</v>
      </c>
      <c r="K27108" s="30" t="s">
        <v>22</v>
      </c>
    </row>
    <row r="27109" spans="1:11">
      <c r="A27109" s="33" t="s">
        <v>59528</v>
      </c>
      <c r="B27109" s="33" t="s">
        <v>59529</v>
      </c>
      <c r="C27109" s="33" t="s">
        <v>136</v>
      </c>
      <c r="D27109" s="33" t="s">
        <v>17</v>
      </c>
      <c r="E27109" s="33" t="s">
        <v>18</v>
      </c>
      <c r="F27109" s="33" t="s">
        <v>19</v>
      </c>
      <c r="G27109" s="33" t="s">
        <v>140</v>
      </c>
      <c r="H27109" s="35">
        <v>140</v>
      </c>
      <c r="I27109" s="33" t="s">
        <v>51</v>
      </c>
      <c r="J27109" s="42">
        <v>46142</v>
      </c>
      <c r="K27109" s="33" t="s">
        <v>22</v>
      </c>
    </row>
    <row r="27110" spans="1:11">
      <c r="A27110" s="30" t="s">
        <v>59530</v>
      </c>
      <c r="B27110" s="30" t="s">
        <v>59531</v>
      </c>
      <c r="C27110" s="30" t="s">
        <v>891</v>
      </c>
      <c r="D27110" s="30" t="s">
        <v>17</v>
      </c>
      <c r="E27110" s="30" t="s">
        <v>26</v>
      </c>
      <c r="F27110" s="30" t="s">
        <v>27</v>
      </c>
      <c r="G27110" s="30" t="s">
        <v>140</v>
      </c>
      <c r="H27110" s="32">
        <v>20</v>
      </c>
      <c r="I27110" s="30" t="s">
        <v>51</v>
      </c>
      <c r="J27110" s="41">
        <v>46169</v>
      </c>
      <c r="K27110" s="30" t="s">
        <v>22</v>
      </c>
    </row>
    <row r="27111" spans="1:11">
      <c r="A27111" s="33" t="s">
        <v>59532</v>
      </c>
      <c r="B27111" s="33" t="s">
        <v>59533</v>
      </c>
      <c r="C27111" s="33" t="s">
        <v>17961</v>
      </c>
      <c r="D27111" s="33" t="s">
        <v>17</v>
      </c>
      <c r="E27111" s="33" t="s">
        <v>26</v>
      </c>
      <c r="F27111" s="33" t="s">
        <v>27</v>
      </c>
      <c r="G27111" s="33" t="s">
        <v>7780</v>
      </c>
      <c r="H27111" s="35">
        <v>12</v>
      </c>
      <c r="I27111" s="33" t="s">
        <v>51</v>
      </c>
      <c r="J27111" s="42">
        <v>46113</v>
      </c>
      <c r="K27111" s="33" t="s">
        <v>22</v>
      </c>
    </row>
    <row r="27112" spans="1:11">
      <c r="A27112" s="30" t="s">
        <v>59534</v>
      </c>
      <c r="B27112" s="30" t="s">
        <v>59535</v>
      </c>
      <c r="C27112" s="30" t="s">
        <v>36724</v>
      </c>
      <c r="D27112" s="30" t="s">
        <v>17</v>
      </c>
      <c r="E27112" s="30" t="s">
        <v>31</v>
      </c>
      <c r="F27112" s="30" t="s">
        <v>32</v>
      </c>
      <c r="G27112" s="30" t="s">
        <v>140</v>
      </c>
      <c r="H27112" s="32">
        <v>309</v>
      </c>
      <c r="I27112" s="30" t="s">
        <v>51</v>
      </c>
      <c r="J27112" s="41">
        <v>46055</v>
      </c>
      <c r="K27112" s="30" t="s">
        <v>22</v>
      </c>
    </row>
    <row r="27113" spans="1:11">
      <c r="A27113" s="33" t="s">
        <v>59536</v>
      </c>
      <c r="B27113" s="33" t="s">
        <v>59537</v>
      </c>
      <c r="C27113" s="33" t="s">
        <v>47430</v>
      </c>
      <c r="D27113" s="33" t="s">
        <v>17</v>
      </c>
      <c r="E27113" s="33" t="s">
        <v>330</v>
      </c>
      <c r="F27113" s="33" t="s">
        <v>331</v>
      </c>
      <c r="G27113" s="33" t="s">
        <v>7780</v>
      </c>
      <c r="H27113" s="35">
        <v>18</v>
      </c>
      <c r="I27113" s="33" t="s">
        <v>51</v>
      </c>
      <c r="J27113" s="42">
        <v>46210</v>
      </c>
      <c r="K27113" s="33" t="s">
        <v>22</v>
      </c>
    </row>
    <row r="27114" spans="1:11">
      <c r="A27114" s="30" t="s">
        <v>59538</v>
      </c>
      <c r="B27114" s="30" t="s">
        <v>59539</v>
      </c>
      <c r="C27114" s="30" t="s">
        <v>2618</v>
      </c>
      <c r="D27114" s="30" t="s">
        <v>17</v>
      </c>
      <c r="E27114" s="30" t="s">
        <v>18</v>
      </c>
      <c r="F27114" s="30" t="s">
        <v>19</v>
      </c>
      <c r="G27114" s="30" t="s">
        <v>140</v>
      </c>
      <c r="H27114" s="32">
        <v>1020</v>
      </c>
      <c r="I27114" s="30" t="s">
        <v>51</v>
      </c>
      <c r="J27114" s="41">
        <v>46148</v>
      </c>
      <c r="K27114" s="30" t="s">
        <v>22</v>
      </c>
    </row>
    <row r="27115" spans="1:11">
      <c r="A27115" s="33" t="s">
        <v>59540</v>
      </c>
      <c r="B27115" s="33" t="s">
        <v>59541</v>
      </c>
      <c r="C27115" s="33" t="s">
        <v>252</v>
      </c>
      <c r="D27115" s="33" t="s">
        <v>17</v>
      </c>
      <c r="E27115" s="33" t="s">
        <v>31</v>
      </c>
      <c r="F27115" s="33" t="s">
        <v>32</v>
      </c>
      <c r="G27115" s="33" t="s">
        <v>7780</v>
      </c>
      <c r="H27115" s="35">
        <v>132</v>
      </c>
      <c r="I27115" s="33" t="s">
        <v>51</v>
      </c>
      <c r="J27115" s="42">
        <v>46195</v>
      </c>
      <c r="K27115" s="33" t="s">
        <v>22</v>
      </c>
    </row>
    <row r="27116" spans="1:11">
      <c r="A27116" s="30" t="s">
        <v>59542</v>
      </c>
      <c r="B27116" s="30" t="s">
        <v>59543</v>
      </c>
      <c r="C27116" s="30" t="s">
        <v>93</v>
      </c>
      <c r="D27116" s="30" t="s">
        <v>17</v>
      </c>
      <c r="E27116" s="30" t="s">
        <v>45</v>
      </c>
      <c r="F27116" s="30" t="s">
        <v>46</v>
      </c>
      <c r="G27116" s="30" t="s">
        <v>140</v>
      </c>
      <c r="H27116" s="32">
        <v>576</v>
      </c>
      <c r="I27116" s="30" t="s">
        <v>51</v>
      </c>
      <c r="J27116" s="41">
        <v>46174</v>
      </c>
      <c r="K27116" s="30" t="s">
        <v>22</v>
      </c>
    </row>
    <row r="27117" spans="1:11">
      <c r="A27117" s="33" t="s">
        <v>59544</v>
      </c>
      <c r="B27117" s="33" t="s">
        <v>59545</v>
      </c>
      <c r="C27117" s="33" t="s">
        <v>42561</v>
      </c>
      <c r="D27117" s="33" t="s">
        <v>17</v>
      </c>
      <c r="E27117" s="33" t="s">
        <v>18</v>
      </c>
      <c r="F27117" s="33" t="s">
        <v>19</v>
      </c>
      <c r="G27117" s="33" t="s">
        <v>140</v>
      </c>
      <c r="H27117" s="35">
        <v>500</v>
      </c>
      <c r="I27117" s="33" t="s">
        <v>51</v>
      </c>
      <c r="J27117" s="42">
        <v>46044</v>
      </c>
      <c r="K27117" s="33" t="s">
        <v>22</v>
      </c>
    </row>
    <row r="27118" spans="1:11">
      <c r="A27118" s="30" t="s">
        <v>59546</v>
      </c>
      <c r="B27118" s="30" t="s">
        <v>59547</v>
      </c>
      <c r="C27118" s="30" t="s">
        <v>130</v>
      </c>
      <c r="D27118" s="30" t="s">
        <v>17</v>
      </c>
      <c r="E27118" s="30" t="s">
        <v>26</v>
      </c>
      <c r="F27118" s="30" t="s">
        <v>27</v>
      </c>
      <c r="G27118" s="30" t="s">
        <v>140</v>
      </c>
      <c r="H27118" s="32">
        <v>24</v>
      </c>
      <c r="I27118" s="30" t="s">
        <v>51</v>
      </c>
      <c r="J27118" s="41">
        <v>46160</v>
      </c>
      <c r="K27118" s="30" t="s">
        <v>22</v>
      </c>
    </row>
    <row r="27119" spans="1:11">
      <c r="A27119" s="33" t="s">
        <v>59548</v>
      </c>
      <c r="B27119" s="33" t="s">
        <v>59549</v>
      </c>
      <c r="C27119" s="33" t="s">
        <v>22301</v>
      </c>
      <c r="D27119" s="33" t="s">
        <v>17</v>
      </c>
      <c r="E27119" s="33" t="s">
        <v>26</v>
      </c>
      <c r="F27119" s="33" t="s">
        <v>27</v>
      </c>
      <c r="G27119" s="33" t="s">
        <v>7780</v>
      </c>
      <c r="H27119" s="35">
        <v>12</v>
      </c>
      <c r="I27119" s="33" t="s">
        <v>51</v>
      </c>
      <c r="J27119" s="42">
        <v>46023</v>
      </c>
      <c r="K27119" s="33" t="s">
        <v>22</v>
      </c>
    </row>
    <row r="27120" spans="1:11">
      <c r="A27120" s="30" t="s">
        <v>59550</v>
      </c>
      <c r="B27120" s="30" t="s">
        <v>59551</v>
      </c>
      <c r="C27120" s="30" t="s">
        <v>29982</v>
      </c>
      <c r="D27120" s="30" t="s">
        <v>17</v>
      </c>
      <c r="E27120" s="30" t="s">
        <v>18</v>
      </c>
      <c r="F27120" s="30" t="s">
        <v>19</v>
      </c>
      <c r="G27120" s="30" t="s">
        <v>7780</v>
      </c>
      <c r="H27120" s="32">
        <v>326</v>
      </c>
      <c r="I27120" s="30" t="s">
        <v>51</v>
      </c>
      <c r="J27120" s="41">
        <v>46204</v>
      </c>
      <c r="K27120" s="30" t="s">
        <v>22</v>
      </c>
    </row>
    <row r="27121" spans="1:11">
      <c r="A27121" s="33" t="s">
        <v>59552</v>
      </c>
      <c r="B27121" s="33" t="s">
        <v>59553</v>
      </c>
      <c r="C27121" s="33" t="s">
        <v>96</v>
      </c>
      <c r="D27121" s="33" t="s">
        <v>17</v>
      </c>
      <c r="E27121" s="33" t="s">
        <v>26</v>
      </c>
      <c r="F27121" s="33" t="s">
        <v>27</v>
      </c>
      <c r="G27121" s="33" t="s">
        <v>140</v>
      </c>
      <c r="H27121" s="35">
        <v>139</v>
      </c>
      <c r="I27121" s="33" t="s">
        <v>51</v>
      </c>
      <c r="J27121" s="42">
        <v>46190</v>
      </c>
      <c r="K27121" s="33" t="s">
        <v>22</v>
      </c>
    </row>
    <row r="27122" spans="1:11">
      <c r="A27122" s="30" t="s">
        <v>59554</v>
      </c>
      <c r="B27122" s="30" t="s">
        <v>59555</v>
      </c>
      <c r="C27122" s="30" t="s">
        <v>157</v>
      </c>
      <c r="D27122" s="30" t="s">
        <v>17</v>
      </c>
      <c r="E27122" s="30" t="s">
        <v>31</v>
      </c>
      <c r="F27122" s="30" t="s">
        <v>32</v>
      </c>
      <c r="G27122" s="30" t="s">
        <v>140</v>
      </c>
      <c r="H27122" s="32">
        <v>42</v>
      </c>
      <c r="I27122" s="30" t="s">
        <v>51</v>
      </c>
      <c r="J27122" s="41">
        <v>46134</v>
      </c>
      <c r="K27122" s="30" t="s">
        <v>22</v>
      </c>
    </row>
    <row r="27123" spans="1:11">
      <c r="A27123" s="33" t="s">
        <v>59556</v>
      </c>
      <c r="B27123" s="33" t="s">
        <v>59557</v>
      </c>
      <c r="C27123" s="33" t="s">
        <v>17126</v>
      </c>
      <c r="D27123" s="33" t="s">
        <v>17</v>
      </c>
      <c r="E27123" s="33" t="s">
        <v>31</v>
      </c>
      <c r="F27123" s="33" t="s">
        <v>32</v>
      </c>
      <c r="G27123" s="33" t="s">
        <v>140</v>
      </c>
      <c r="H27123" s="35">
        <v>512</v>
      </c>
      <c r="I27123" s="33" t="s">
        <v>51</v>
      </c>
      <c r="J27123" s="42">
        <v>46219</v>
      </c>
      <c r="K27123" s="33" t="s">
        <v>22</v>
      </c>
    </row>
    <row r="27124" spans="1:11">
      <c r="A27124" s="30" t="s">
        <v>59558</v>
      </c>
      <c r="B27124" s="30" t="s">
        <v>59559</v>
      </c>
      <c r="C27124" s="30" t="s">
        <v>29982</v>
      </c>
      <c r="D27124" s="30" t="s">
        <v>17</v>
      </c>
      <c r="E27124" s="30" t="s">
        <v>26</v>
      </c>
      <c r="F27124" s="30" t="s">
        <v>27</v>
      </c>
      <c r="G27124" s="30" t="s">
        <v>7780</v>
      </c>
      <c r="H27124" s="32">
        <v>38</v>
      </c>
      <c r="I27124" s="30" t="s">
        <v>51</v>
      </c>
      <c r="J27124" s="41">
        <v>46143</v>
      </c>
      <c r="K27124" s="30" t="s">
        <v>22</v>
      </c>
    </row>
    <row r="27125" spans="1:11">
      <c r="A27125" s="33" t="s">
        <v>59560</v>
      </c>
      <c r="B27125" s="33" t="s">
        <v>59561</v>
      </c>
      <c r="C27125" s="33" t="s">
        <v>28136</v>
      </c>
      <c r="D27125" s="33" t="s">
        <v>17</v>
      </c>
      <c r="E27125" s="33" t="s">
        <v>67</v>
      </c>
      <c r="F27125" s="33" t="s">
        <v>68</v>
      </c>
      <c r="G27125" s="33" t="s">
        <v>140</v>
      </c>
      <c r="H27125" s="35">
        <v>20</v>
      </c>
      <c r="I27125" s="33" t="s">
        <v>51</v>
      </c>
      <c r="J27125" s="42">
        <v>46153</v>
      </c>
      <c r="K27125" s="33" t="s">
        <v>22</v>
      </c>
    </row>
    <row r="27126" spans="1:11">
      <c r="A27126" s="30" t="s">
        <v>59562</v>
      </c>
      <c r="B27126" s="30" t="s">
        <v>59563</v>
      </c>
      <c r="C27126" s="30" t="s">
        <v>78</v>
      </c>
      <c r="D27126" s="30" t="s">
        <v>17</v>
      </c>
      <c r="E27126" s="30" t="s">
        <v>26</v>
      </c>
      <c r="F27126" s="30" t="s">
        <v>27</v>
      </c>
      <c r="G27126" s="30" t="s">
        <v>7780</v>
      </c>
      <c r="H27126" s="32">
        <v>24</v>
      </c>
      <c r="I27126" s="30" t="s">
        <v>51</v>
      </c>
      <c r="J27126" s="41">
        <v>46174</v>
      </c>
      <c r="K27126" s="30" t="s">
        <v>22</v>
      </c>
    </row>
    <row r="27127" spans="1:11">
      <c r="A27127" s="33" t="s">
        <v>59564</v>
      </c>
      <c r="B27127" s="33" t="s">
        <v>59565</v>
      </c>
      <c r="C27127" s="33" t="s">
        <v>715</v>
      </c>
      <c r="D27127" s="33" t="s">
        <v>17</v>
      </c>
      <c r="E27127" s="33" t="s">
        <v>18</v>
      </c>
      <c r="F27127" s="33" t="s">
        <v>19</v>
      </c>
      <c r="G27127" s="33" t="s">
        <v>140</v>
      </c>
      <c r="H27127" s="35">
        <v>356</v>
      </c>
      <c r="I27127" s="33" t="s">
        <v>51</v>
      </c>
      <c r="J27127" s="42">
        <v>46140</v>
      </c>
      <c r="K27127" s="33" t="s">
        <v>22</v>
      </c>
    </row>
    <row r="27128" spans="1:11">
      <c r="A27128" s="30" t="s">
        <v>59566</v>
      </c>
      <c r="B27128" s="30" t="s">
        <v>59567</v>
      </c>
      <c r="C27128" s="30" t="s">
        <v>93</v>
      </c>
      <c r="D27128" s="30" t="s">
        <v>17</v>
      </c>
      <c r="E27128" s="30" t="s">
        <v>26</v>
      </c>
      <c r="F27128" s="30" t="s">
        <v>27</v>
      </c>
      <c r="G27128" s="30" t="s">
        <v>20</v>
      </c>
      <c r="H27128" s="32">
        <v>40</v>
      </c>
      <c r="I27128" s="30" t="s">
        <v>21</v>
      </c>
      <c r="J27128" s="41">
        <v>46064</v>
      </c>
      <c r="K27128" s="30" t="s">
        <v>22</v>
      </c>
    </row>
    <row r="27129" spans="1:11">
      <c r="A27129" s="33" t="s">
        <v>59568</v>
      </c>
      <c r="B27129" s="33" t="s">
        <v>59569</v>
      </c>
      <c r="C27129" s="33" t="s">
        <v>93</v>
      </c>
      <c r="D27129" s="33" t="s">
        <v>17</v>
      </c>
      <c r="E27129" s="33" t="s">
        <v>31</v>
      </c>
      <c r="F27129" s="33" t="s">
        <v>32</v>
      </c>
      <c r="G27129" s="33" t="s">
        <v>158</v>
      </c>
      <c r="H27129" s="35">
        <v>16</v>
      </c>
      <c r="I27129" s="33" t="s">
        <v>21</v>
      </c>
      <c r="J27129" s="42">
        <v>46098</v>
      </c>
      <c r="K27129" s="33" t="s">
        <v>22</v>
      </c>
    </row>
    <row r="27130" spans="1:11">
      <c r="A27130" s="30" t="s">
        <v>59570</v>
      </c>
      <c r="B27130" s="30" t="s">
        <v>59571</v>
      </c>
      <c r="C27130" s="30" t="s">
        <v>50372</v>
      </c>
      <c r="D27130" s="30" t="s">
        <v>17</v>
      </c>
      <c r="E27130" s="30" t="s">
        <v>26</v>
      </c>
      <c r="F27130" s="30" t="s">
        <v>27</v>
      </c>
      <c r="G27130" s="30" t="s">
        <v>140</v>
      </c>
      <c r="H27130" s="32">
        <v>10</v>
      </c>
      <c r="I27130" s="30" t="s">
        <v>51</v>
      </c>
      <c r="J27130" s="41">
        <v>46223</v>
      </c>
      <c r="K27130" s="30" t="s">
        <v>22</v>
      </c>
    </row>
    <row r="27131" spans="1:11">
      <c r="A27131" s="33" t="s">
        <v>59572</v>
      </c>
      <c r="B27131" s="33" t="s">
        <v>59573</v>
      </c>
      <c r="C27131" s="33" t="s">
        <v>9225</v>
      </c>
      <c r="D27131" s="33" t="s">
        <v>17</v>
      </c>
      <c r="E27131" s="33" t="s">
        <v>45</v>
      </c>
      <c r="F27131" s="33" t="s">
        <v>46</v>
      </c>
      <c r="G27131" s="33" t="s">
        <v>7780</v>
      </c>
      <c r="H27131" s="35">
        <v>306</v>
      </c>
      <c r="I27131" s="33" t="s">
        <v>51</v>
      </c>
      <c r="J27131" s="42">
        <v>46023</v>
      </c>
      <c r="K27131" s="33" t="s">
        <v>22</v>
      </c>
    </row>
    <row r="27132" spans="1:11">
      <c r="A27132" s="30" t="s">
        <v>59574</v>
      </c>
      <c r="B27132" s="30" t="s">
        <v>59575</v>
      </c>
      <c r="C27132" s="30" t="s">
        <v>35735</v>
      </c>
      <c r="D27132" s="30" t="s">
        <v>17</v>
      </c>
      <c r="E27132" s="30" t="s">
        <v>26</v>
      </c>
      <c r="F27132" s="30" t="s">
        <v>27</v>
      </c>
      <c r="G27132" s="30" t="s">
        <v>112</v>
      </c>
      <c r="H27132" s="32">
        <v>0</v>
      </c>
      <c r="I27132" s="30" t="s">
        <v>21</v>
      </c>
      <c r="J27132" s="41">
        <v>46026</v>
      </c>
      <c r="K27132" s="30" t="s">
        <v>22</v>
      </c>
    </row>
    <row r="27133" spans="1:11">
      <c r="A27133" s="33" t="s">
        <v>59576</v>
      </c>
      <c r="B27133" s="33" t="s">
        <v>59577</v>
      </c>
      <c r="C27133" s="33" t="s">
        <v>54359</v>
      </c>
      <c r="D27133" s="33" t="s">
        <v>17</v>
      </c>
      <c r="E27133" s="33" t="s">
        <v>31</v>
      </c>
      <c r="F27133" s="33" t="s">
        <v>32</v>
      </c>
      <c r="G27133" s="33" t="s">
        <v>140</v>
      </c>
      <c r="H27133" s="35">
        <v>20</v>
      </c>
      <c r="I27133" s="33" t="s">
        <v>51</v>
      </c>
      <c r="J27133" s="42">
        <v>46059</v>
      </c>
      <c r="K27133" s="33" t="s">
        <v>22</v>
      </c>
    </row>
    <row r="27134" spans="1:11">
      <c r="A27134" s="30" t="s">
        <v>59578</v>
      </c>
      <c r="B27134" s="30" t="s">
        <v>59579</v>
      </c>
      <c r="C27134" s="30" t="s">
        <v>1764</v>
      </c>
      <c r="D27134" s="30" t="s">
        <v>17</v>
      </c>
      <c r="E27134" s="30" t="s">
        <v>18</v>
      </c>
      <c r="F27134" s="30" t="s">
        <v>19</v>
      </c>
      <c r="G27134" s="30" t="s">
        <v>20</v>
      </c>
      <c r="H27134" s="32">
        <v>80</v>
      </c>
      <c r="I27134" s="30" t="s">
        <v>21</v>
      </c>
      <c r="J27134" s="41">
        <v>46084</v>
      </c>
      <c r="K27134" s="30" t="s">
        <v>22</v>
      </c>
    </row>
    <row r="27135" spans="1:11">
      <c r="A27135" s="33" t="s">
        <v>59580</v>
      </c>
      <c r="B27135" s="33" t="s">
        <v>59581</v>
      </c>
      <c r="C27135" s="33" t="s">
        <v>3013</v>
      </c>
      <c r="D27135" s="33" t="s">
        <v>17</v>
      </c>
      <c r="E27135" s="33" t="s">
        <v>67</v>
      </c>
      <c r="F27135" s="33" t="s">
        <v>68</v>
      </c>
      <c r="G27135" s="33" t="s">
        <v>140</v>
      </c>
      <c r="H27135" s="35">
        <v>44</v>
      </c>
      <c r="I27135" s="33" t="s">
        <v>51</v>
      </c>
      <c r="J27135" s="42">
        <v>46127</v>
      </c>
      <c r="K27135" s="33" t="s">
        <v>22</v>
      </c>
    </row>
    <row r="27136" spans="1:11">
      <c r="A27136" s="30" t="s">
        <v>59582</v>
      </c>
      <c r="B27136" s="30" t="s">
        <v>59583</v>
      </c>
      <c r="C27136" s="30" t="s">
        <v>549</v>
      </c>
      <c r="D27136" s="30" t="s">
        <v>17</v>
      </c>
      <c r="E27136" s="30" t="s">
        <v>18</v>
      </c>
      <c r="F27136" s="30" t="s">
        <v>19</v>
      </c>
      <c r="G27136" s="30" t="s">
        <v>140</v>
      </c>
      <c r="H27136" s="32">
        <v>120</v>
      </c>
      <c r="I27136" s="30" t="s">
        <v>51</v>
      </c>
      <c r="J27136" s="41">
        <v>46169</v>
      </c>
      <c r="K27136" s="30" t="s">
        <v>22</v>
      </c>
    </row>
    <row r="27137" spans="1:11">
      <c r="A27137" s="33" t="s">
        <v>59584</v>
      </c>
      <c r="B27137" s="33" t="s">
        <v>59585</v>
      </c>
      <c r="C27137" s="33" t="s">
        <v>136</v>
      </c>
      <c r="D27137" s="33" t="s">
        <v>17</v>
      </c>
      <c r="E27137" s="33" t="s">
        <v>26</v>
      </c>
      <c r="F27137" s="33" t="s">
        <v>27</v>
      </c>
      <c r="G27137" s="33" t="s">
        <v>158</v>
      </c>
      <c r="H27137" s="35">
        <v>40</v>
      </c>
      <c r="I27137" s="33" t="s">
        <v>51</v>
      </c>
      <c r="J27137" s="42">
        <v>46036</v>
      </c>
      <c r="K27137" s="33" t="s">
        <v>22</v>
      </c>
    </row>
    <row r="27138" spans="1:11">
      <c r="A27138" s="30" t="s">
        <v>59586</v>
      </c>
      <c r="B27138" s="30" t="s">
        <v>59587</v>
      </c>
      <c r="C27138" s="30" t="s">
        <v>136</v>
      </c>
      <c r="D27138" s="30" t="s">
        <v>17</v>
      </c>
      <c r="E27138" s="30" t="s">
        <v>31</v>
      </c>
      <c r="F27138" s="30" t="s">
        <v>32</v>
      </c>
      <c r="G27138" s="30" t="s">
        <v>140</v>
      </c>
      <c r="H27138" s="32">
        <v>600</v>
      </c>
      <c r="I27138" s="30" t="s">
        <v>51</v>
      </c>
      <c r="J27138" s="41">
        <v>46155</v>
      </c>
      <c r="K27138" s="30" t="s">
        <v>22</v>
      </c>
    </row>
    <row r="27139" spans="1:11">
      <c r="A27139" s="33" t="s">
        <v>59588</v>
      </c>
      <c r="B27139" s="33" t="s">
        <v>59589</v>
      </c>
      <c r="C27139" s="33" t="s">
        <v>8566</v>
      </c>
      <c r="D27139" s="33" t="s">
        <v>17</v>
      </c>
      <c r="E27139" s="33" t="s">
        <v>31</v>
      </c>
      <c r="F27139" s="33" t="s">
        <v>32</v>
      </c>
      <c r="G27139" s="33" t="s">
        <v>112</v>
      </c>
      <c r="H27139" s="35">
        <v>0</v>
      </c>
      <c r="I27139" s="33" t="s">
        <v>21</v>
      </c>
      <c r="J27139" s="42">
        <v>46054</v>
      </c>
      <c r="K27139" s="33" t="s">
        <v>22</v>
      </c>
    </row>
    <row r="27140" spans="1:11">
      <c r="A27140" s="30" t="s">
        <v>59590</v>
      </c>
      <c r="B27140" s="30" t="s">
        <v>59591</v>
      </c>
      <c r="C27140" s="30" t="s">
        <v>99</v>
      </c>
      <c r="D27140" s="30" t="s">
        <v>17</v>
      </c>
      <c r="E27140" s="30" t="s">
        <v>31</v>
      </c>
      <c r="F27140" s="30" t="s">
        <v>32</v>
      </c>
      <c r="G27140" s="30" t="s">
        <v>7780</v>
      </c>
      <c r="H27140" s="32">
        <v>249</v>
      </c>
      <c r="I27140" s="30" t="s">
        <v>51</v>
      </c>
      <c r="J27140" s="41">
        <v>46188</v>
      </c>
      <c r="K27140" s="30" t="s">
        <v>22</v>
      </c>
    </row>
    <row r="27141" spans="1:11">
      <c r="A27141" s="33" t="s">
        <v>59592</v>
      </c>
      <c r="B27141" s="33" t="s">
        <v>59593</v>
      </c>
      <c r="C27141" s="33" t="s">
        <v>801</v>
      </c>
      <c r="D27141" s="33" t="s">
        <v>17</v>
      </c>
      <c r="E27141" s="33" t="s">
        <v>31</v>
      </c>
      <c r="F27141" s="33" t="s">
        <v>32</v>
      </c>
      <c r="G27141" s="33" t="s">
        <v>140</v>
      </c>
      <c r="H27141" s="35">
        <v>81</v>
      </c>
      <c r="I27141" s="33" t="s">
        <v>51</v>
      </c>
      <c r="J27141" s="42">
        <v>46027</v>
      </c>
      <c r="K27141" s="33" t="s">
        <v>22</v>
      </c>
    </row>
    <row r="27142" spans="1:11">
      <c r="A27142" s="30" t="s">
        <v>59594</v>
      </c>
      <c r="B27142" s="30" t="s">
        <v>59595</v>
      </c>
      <c r="C27142" s="30" t="s">
        <v>59596</v>
      </c>
      <c r="D27142" s="30" t="s">
        <v>17</v>
      </c>
      <c r="E27142" s="30" t="s">
        <v>26</v>
      </c>
      <c r="F27142" s="30" t="s">
        <v>27</v>
      </c>
      <c r="G27142" s="30" t="s">
        <v>140</v>
      </c>
      <c r="H27142" s="32">
        <v>54</v>
      </c>
      <c r="I27142" s="30" t="s">
        <v>51</v>
      </c>
      <c r="J27142" s="41">
        <v>46104</v>
      </c>
      <c r="K27142" s="30" t="s">
        <v>22</v>
      </c>
    </row>
    <row r="27143" spans="1:11">
      <c r="A27143" s="33" t="s">
        <v>59597</v>
      </c>
      <c r="B27143" s="33" t="s">
        <v>59598</v>
      </c>
      <c r="C27143" s="33" t="s">
        <v>23340</v>
      </c>
      <c r="D27143" s="33" t="s">
        <v>17</v>
      </c>
      <c r="E27143" s="33" t="s">
        <v>67</v>
      </c>
      <c r="F27143" s="33" t="s">
        <v>68</v>
      </c>
      <c r="G27143" s="33" t="s">
        <v>140</v>
      </c>
      <c r="H27143" s="35">
        <v>200</v>
      </c>
      <c r="I27143" s="33" t="s">
        <v>51</v>
      </c>
      <c r="J27143" s="42">
        <v>46038</v>
      </c>
      <c r="K27143" s="33" t="s">
        <v>22</v>
      </c>
    </row>
    <row r="27144" spans="1:11">
      <c r="A27144" s="30" t="s">
        <v>59599</v>
      </c>
      <c r="B27144" s="30" t="s">
        <v>59600</v>
      </c>
      <c r="C27144" s="30" t="s">
        <v>136</v>
      </c>
      <c r="D27144" s="30" t="s">
        <v>17</v>
      </c>
      <c r="E27144" s="30" t="s">
        <v>26</v>
      </c>
      <c r="F27144" s="30" t="s">
        <v>27</v>
      </c>
      <c r="G27144" s="30" t="s">
        <v>20</v>
      </c>
      <c r="H27144" s="32">
        <v>7</v>
      </c>
      <c r="I27144" s="30" t="s">
        <v>21</v>
      </c>
      <c r="J27144" s="41">
        <v>46108</v>
      </c>
      <c r="K27144" s="30" t="s">
        <v>22</v>
      </c>
    </row>
    <row r="27145" spans="1:11">
      <c r="A27145" s="33" t="s">
        <v>59601</v>
      </c>
      <c r="B27145" s="33" t="s">
        <v>59602</v>
      </c>
      <c r="C27145" s="33" t="s">
        <v>5251</v>
      </c>
      <c r="D27145" s="33" t="s">
        <v>17</v>
      </c>
      <c r="E27145" s="33" t="s">
        <v>31</v>
      </c>
      <c r="F27145" s="33" t="s">
        <v>32</v>
      </c>
      <c r="G27145" s="33" t="s">
        <v>140</v>
      </c>
      <c r="H27145" s="35">
        <v>288</v>
      </c>
      <c r="I27145" s="33" t="s">
        <v>51</v>
      </c>
      <c r="J27145" s="42">
        <v>46109</v>
      </c>
      <c r="K27145" s="33" t="s">
        <v>22</v>
      </c>
    </row>
    <row r="27146" spans="1:11">
      <c r="A27146" s="30" t="s">
        <v>59603</v>
      </c>
      <c r="B27146" s="30" t="s">
        <v>59604</v>
      </c>
      <c r="C27146" s="30" t="s">
        <v>59605</v>
      </c>
      <c r="D27146" s="30" t="s">
        <v>17</v>
      </c>
      <c r="E27146" s="30" t="s">
        <v>212</v>
      </c>
      <c r="F27146" s="30" t="s">
        <v>213</v>
      </c>
      <c r="G27146" s="30" t="s">
        <v>140</v>
      </c>
      <c r="H27146" s="32">
        <v>178</v>
      </c>
      <c r="I27146" s="30" t="s">
        <v>51</v>
      </c>
      <c r="J27146" s="41">
        <v>46185</v>
      </c>
      <c r="K27146" s="30" t="s">
        <v>22</v>
      </c>
    </row>
    <row r="27147" spans="1:11">
      <c r="A27147" s="33" t="s">
        <v>59606</v>
      </c>
      <c r="B27147" s="33" t="s">
        <v>59607</v>
      </c>
      <c r="C27147" s="33" t="s">
        <v>891</v>
      </c>
      <c r="D27147" s="33" t="s">
        <v>17</v>
      </c>
      <c r="E27147" s="33" t="s">
        <v>26</v>
      </c>
      <c r="F27147" s="33" t="s">
        <v>27</v>
      </c>
      <c r="G27147" s="33" t="s">
        <v>140</v>
      </c>
      <c r="H27147" s="35">
        <v>42</v>
      </c>
      <c r="I27147" s="33" t="s">
        <v>51</v>
      </c>
      <c r="J27147" s="42">
        <v>46085</v>
      </c>
      <c r="K27147" s="33" t="s">
        <v>22</v>
      </c>
    </row>
    <row r="27148" spans="1:11">
      <c r="A27148" s="30" t="s">
        <v>59608</v>
      </c>
      <c r="B27148" s="30" t="s">
        <v>59609</v>
      </c>
      <c r="C27148" s="30" t="s">
        <v>399</v>
      </c>
      <c r="D27148" s="30" t="s">
        <v>17</v>
      </c>
      <c r="E27148" s="30" t="s">
        <v>26</v>
      </c>
      <c r="F27148" s="30" t="s">
        <v>27</v>
      </c>
      <c r="G27148" s="30" t="s">
        <v>20</v>
      </c>
      <c r="H27148" s="32">
        <v>40</v>
      </c>
      <c r="I27148" s="30" t="s">
        <v>21</v>
      </c>
      <c r="J27148" s="41">
        <v>46058</v>
      </c>
      <c r="K27148" s="30" t="s">
        <v>22</v>
      </c>
    </row>
    <row r="27149" spans="1:11">
      <c r="A27149" s="33" t="s">
        <v>59610</v>
      </c>
      <c r="B27149" s="33" t="s">
        <v>59611</v>
      </c>
      <c r="C27149" s="33" t="s">
        <v>17337</v>
      </c>
      <c r="D27149" s="33" t="s">
        <v>17</v>
      </c>
      <c r="E27149" s="33" t="s">
        <v>18</v>
      </c>
      <c r="F27149" s="33" t="s">
        <v>19</v>
      </c>
      <c r="G27149" s="33" t="s">
        <v>140</v>
      </c>
      <c r="H27149" s="35">
        <v>36</v>
      </c>
      <c r="I27149" s="33" t="s">
        <v>51</v>
      </c>
      <c r="J27149" s="42">
        <v>46149</v>
      </c>
      <c r="K27149" s="33" t="s">
        <v>22</v>
      </c>
    </row>
    <row r="27150" spans="1:11">
      <c r="A27150" s="30" t="s">
        <v>59612</v>
      </c>
      <c r="B27150" s="30" t="s">
        <v>59613</v>
      </c>
      <c r="C27150" s="30" t="s">
        <v>48460</v>
      </c>
      <c r="D27150" s="30" t="s">
        <v>17</v>
      </c>
      <c r="E27150" s="30" t="s">
        <v>67</v>
      </c>
      <c r="F27150" s="30" t="s">
        <v>68</v>
      </c>
      <c r="G27150" s="30" t="s">
        <v>140</v>
      </c>
      <c r="H27150" s="32">
        <v>30</v>
      </c>
      <c r="I27150" s="30" t="s">
        <v>51</v>
      </c>
      <c r="J27150" s="41">
        <v>46203</v>
      </c>
      <c r="K27150" s="30" t="s">
        <v>22</v>
      </c>
    </row>
    <row r="27151" spans="1:11">
      <c r="A27151" s="33" t="s">
        <v>59614</v>
      </c>
      <c r="B27151" s="33" t="s">
        <v>59615</v>
      </c>
      <c r="C27151" s="33" t="s">
        <v>59616</v>
      </c>
      <c r="D27151" s="33" t="s">
        <v>17</v>
      </c>
      <c r="E27151" s="33" t="s">
        <v>18</v>
      </c>
      <c r="F27151" s="33" t="s">
        <v>19</v>
      </c>
      <c r="G27151" s="33" t="s">
        <v>7780</v>
      </c>
      <c r="H27151" s="35">
        <v>550</v>
      </c>
      <c r="I27151" s="33" t="s">
        <v>51</v>
      </c>
      <c r="J27151" s="42">
        <v>46204</v>
      </c>
      <c r="K27151" s="33" t="s">
        <v>22</v>
      </c>
    </row>
    <row r="27152" spans="1:11">
      <c r="A27152" s="30" t="s">
        <v>59617</v>
      </c>
      <c r="B27152" s="30" t="s">
        <v>59618</v>
      </c>
      <c r="C27152" s="30" t="s">
        <v>3013</v>
      </c>
      <c r="D27152" s="30" t="s">
        <v>17</v>
      </c>
      <c r="E27152" s="30" t="s">
        <v>31</v>
      </c>
      <c r="F27152" s="30" t="s">
        <v>32</v>
      </c>
      <c r="G27152" s="30" t="s">
        <v>140</v>
      </c>
      <c r="H27152" s="32">
        <v>186</v>
      </c>
      <c r="I27152" s="30" t="s">
        <v>51</v>
      </c>
      <c r="J27152" s="41">
        <v>46064</v>
      </c>
      <c r="K27152" s="30" t="s">
        <v>22</v>
      </c>
    </row>
    <row r="27153" spans="1:11">
      <c r="A27153" s="33" t="s">
        <v>59619</v>
      </c>
      <c r="B27153" s="33" t="s">
        <v>59620</v>
      </c>
      <c r="C27153" s="33" t="s">
        <v>59621</v>
      </c>
      <c r="D27153" s="33" t="s">
        <v>17</v>
      </c>
      <c r="E27153" s="33" t="s">
        <v>26</v>
      </c>
      <c r="F27153" s="33" t="s">
        <v>27</v>
      </c>
      <c r="G27153" s="33" t="s">
        <v>7780</v>
      </c>
      <c r="H27153" s="35">
        <v>102</v>
      </c>
      <c r="I27153" s="33" t="s">
        <v>51</v>
      </c>
      <c r="J27153" s="42">
        <v>46059</v>
      </c>
      <c r="K27153" s="33" t="s">
        <v>22</v>
      </c>
    </row>
    <row r="27154" spans="1:11">
      <c r="A27154" s="30" t="s">
        <v>59622</v>
      </c>
      <c r="B27154" s="30" t="s">
        <v>59623</v>
      </c>
      <c r="C27154" s="30" t="s">
        <v>102</v>
      </c>
      <c r="D27154" s="30" t="s">
        <v>17</v>
      </c>
      <c r="E27154" s="30" t="s">
        <v>31</v>
      </c>
      <c r="F27154" s="30" t="s">
        <v>32</v>
      </c>
      <c r="G27154" s="30" t="s">
        <v>158</v>
      </c>
      <c r="H27154" s="32">
        <v>189</v>
      </c>
      <c r="I27154" s="30" t="s">
        <v>21</v>
      </c>
      <c r="J27154" s="41">
        <v>46042</v>
      </c>
      <c r="K27154" s="30" t="s">
        <v>22</v>
      </c>
    </row>
    <row r="27155" spans="1:11">
      <c r="A27155" s="33" t="s">
        <v>59624</v>
      </c>
      <c r="B27155" s="33" t="s">
        <v>59625</v>
      </c>
      <c r="C27155" s="33" t="s">
        <v>33886</v>
      </c>
      <c r="D27155" s="33" t="s">
        <v>17</v>
      </c>
      <c r="E27155" s="33" t="s">
        <v>31</v>
      </c>
      <c r="F27155" s="33" t="s">
        <v>32</v>
      </c>
      <c r="G27155" s="33" t="s">
        <v>140</v>
      </c>
      <c r="H27155" s="35">
        <v>180</v>
      </c>
      <c r="I27155" s="33" t="s">
        <v>51</v>
      </c>
      <c r="J27155" s="42">
        <v>46087</v>
      </c>
      <c r="K27155" s="33" t="s">
        <v>22</v>
      </c>
    </row>
    <row r="27156" spans="1:11">
      <c r="A27156" s="30" t="s">
        <v>59626</v>
      </c>
      <c r="B27156" s="30" t="s">
        <v>59627</v>
      </c>
      <c r="C27156" s="30" t="s">
        <v>228</v>
      </c>
      <c r="D27156" s="30" t="s">
        <v>17</v>
      </c>
      <c r="E27156" s="30" t="s">
        <v>31</v>
      </c>
      <c r="F27156" s="30" t="s">
        <v>32</v>
      </c>
      <c r="G27156" s="30" t="s">
        <v>7780</v>
      </c>
      <c r="H27156" s="32">
        <v>40</v>
      </c>
      <c r="I27156" s="30" t="s">
        <v>51</v>
      </c>
      <c r="J27156" s="41">
        <v>46174</v>
      </c>
      <c r="K27156" s="30" t="s">
        <v>22</v>
      </c>
    </row>
    <row r="27157" spans="1:11">
      <c r="A27157" s="33" t="s">
        <v>59628</v>
      </c>
      <c r="B27157" s="33" t="s">
        <v>59629</v>
      </c>
      <c r="C27157" s="33" t="s">
        <v>3757</v>
      </c>
      <c r="D27157" s="33" t="s">
        <v>17</v>
      </c>
      <c r="E27157" s="33" t="s">
        <v>45</v>
      </c>
      <c r="F27157" s="33" t="s">
        <v>46</v>
      </c>
      <c r="G27157" s="33" t="s">
        <v>7780</v>
      </c>
      <c r="H27157" s="35">
        <v>180</v>
      </c>
      <c r="I27157" s="33" t="s">
        <v>51</v>
      </c>
      <c r="J27157" s="42">
        <v>46142</v>
      </c>
      <c r="K27157" s="33" t="s">
        <v>22</v>
      </c>
    </row>
    <row r="27158" spans="1:11">
      <c r="A27158" s="30" t="s">
        <v>59630</v>
      </c>
      <c r="B27158" s="30" t="s">
        <v>59631</v>
      </c>
      <c r="C27158" s="30" t="s">
        <v>969</v>
      </c>
      <c r="D27158" s="30" t="s">
        <v>17</v>
      </c>
      <c r="E27158" s="30" t="s">
        <v>31</v>
      </c>
      <c r="F27158" s="30" t="s">
        <v>32</v>
      </c>
      <c r="G27158" s="30" t="s">
        <v>140</v>
      </c>
      <c r="H27158" s="32">
        <v>420</v>
      </c>
      <c r="I27158" s="30" t="s">
        <v>51</v>
      </c>
      <c r="J27158" s="41">
        <v>46120</v>
      </c>
      <c r="K27158" s="30" t="s">
        <v>22</v>
      </c>
    </row>
    <row r="27159" spans="1:11">
      <c r="A27159" s="33" t="s">
        <v>59632</v>
      </c>
      <c r="B27159" s="33" t="s">
        <v>59633</v>
      </c>
      <c r="C27159" s="33" t="s">
        <v>7072</v>
      </c>
      <c r="D27159" s="33" t="s">
        <v>17</v>
      </c>
      <c r="E27159" s="33" t="s">
        <v>31</v>
      </c>
      <c r="F27159" s="33" t="s">
        <v>32</v>
      </c>
      <c r="G27159" s="33" t="s">
        <v>7780</v>
      </c>
      <c r="H27159" s="35">
        <v>30</v>
      </c>
      <c r="I27159" s="33" t="s">
        <v>51</v>
      </c>
      <c r="J27159" s="42">
        <v>46174</v>
      </c>
      <c r="K27159" s="33" t="s">
        <v>22</v>
      </c>
    </row>
    <row r="27160" spans="1:11">
      <c r="A27160" s="30" t="s">
        <v>59634</v>
      </c>
      <c r="B27160" s="30" t="s">
        <v>59635</v>
      </c>
      <c r="C27160" s="30" t="s">
        <v>1764</v>
      </c>
      <c r="D27160" s="30" t="s">
        <v>17</v>
      </c>
      <c r="E27160" s="30" t="s">
        <v>18</v>
      </c>
      <c r="F27160" s="30" t="s">
        <v>19</v>
      </c>
      <c r="G27160" s="30" t="s">
        <v>20</v>
      </c>
      <c r="H27160" s="32">
        <v>56</v>
      </c>
      <c r="I27160" s="30" t="s">
        <v>21</v>
      </c>
      <c r="J27160" s="41">
        <v>46082</v>
      </c>
      <c r="K27160" s="30" t="s">
        <v>22</v>
      </c>
    </row>
    <row r="27161" spans="1:11">
      <c r="A27161" s="33" t="s">
        <v>59636</v>
      </c>
      <c r="B27161" s="33" t="s">
        <v>59637</v>
      </c>
      <c r="C27161" s="33" t="s">
        <v>20366</v>
      </c>
      <c r="D27161" s="33" t="s">
        <v>17</v>
      </c>
      <c r="E27161" s="33" t="s">
        <v>31</v>
      </c>
      <c r="F27161" s="33" t="s">
        <v>32</v>
      </c>
      <c r="G27161" s="33" t="s">
        <v>140</v>
      </c>
      <c r="H27161" s="35">
        <v>18</v>
      </c>
      <c r="I27161" s="33" t="s">
        <v>51</v>
      </c>
      <c r="J27161" s="42">
        <v>46190</v>
      </c>
      <c r="K27161" s="33" t="s">
        <v>22</v>
      </c>
    </row>
    <row r="27162" spans="1:11">
      <c r="A27162" s="30" t="s">
        <v>59638</v>
      </c>
      <c r="B27162" s="30" t="s">
        <v>59639</v>
      </c>
      <c r="C27162" s="30" t="s">
        <v>20388</v>
      </c>
      <c r="D27162" s="30" t="s">
        <v>17</v>
      </c>
      <c r="E27162" s="30" t="s">
        <v>45</v>
      </c>
      <c r="F27162" s="30" t="s">
        <v>46</v>
      </c>
      <c r="G27162" s="30" t="s">
        <v>140</v>
      </c>
      <c r="H27162" s="32">
        <v>240</v>
      </c>
      <c r="I27162" s="30" t="s">
        <v>51</v>
      </c>
      <c r="J27162" s="41">
        <v>46056</v>
      </c>
      <c r="K27162" s="30" t="s">
        <v>22</v>
      </c>
    </row>
    <row r="27163" spans="1:11">
      <c r="A27163" s="33" t="s">
        <v>59640</v>
      </c>
      <c r="B27163" s="33" t="s">
        <v>59641</v>
      </c>
      <c r="C27163" s="33" t="s">
        <v>379</v>
      </c>
      <c r="D27163" s="33" t="s">
        <v>17</v>
      </c>
      <c r="E27163" s="33" t="s">
        <v>31</v>
      </c>
      <c r="F27163" s="33" t="s">
        <v>32</v>
      </c>
      <c r="G27163" s="33" t="s">
        <v>7780</v>
      </c>
      <c r="H27163" s="35">
        <v>60</v>
      </c>
      <c r="I27163" s="33" t="s">
        <v>51</v>
      </c>
      <c r="J27163" s="42">
        <v>46113</v>
      </c>
      <c r="K27163" s="33" t="s">
        <v>22</v>
      </c>
    </row>
    <row r="27164" spans="1:11">
      <c r="A27164" s="30" t="s">
        <v>59642</v>
      </c>
      <c r="B27164" s="30" t="s">
        <v>59643</v>
      </c>
      <c r="C27164" s="30" t="s">
        <v>1148</v>
      </c>
      <c r="D27164" s="30" t="s">
        <v>17</v>
      </c>
      <c r="E27164" s="30" t="s">
        <v>212</v>
      </c>
      <c r="F27164" s="30" t="s">
        <v>213</v>
      </c>
      <c r="G27164" s="30" t="s">
        <v>140</v>
      </c>
      <c r="H27164" s="32">
        <v>54</v>
      </c>
      <c r="I27164" s="30" t="s">
        <v>51</v>
      </c>
      <c r="J27164" s="41">
        <v>46064</v>
      </c>
      <c r="K27164" s="30" t="s">
        <v>22</v>
      </c>
    </row>
    <row r="27165" spans="1:11">
      <c r="A27165" s="33" t="s">
        <v>59644</v>
      </c>
      <c r="B27165" s="33" t="s">
        <v>59645</v>
      </c>
      <c r="C27165" s="33" t="s">
        <v>10422</v>
      </c>
      <c r="D27165" s="33" t="s">
        <v>17</v>
      </c>
      <c r="E27165" s="33" t="s">
        <v>31</v>
      </c>
      <c r="F27165" s="33" t="s">
        <v>32</v>
      </c>
      <c r="G27165" s="33" t="s">
        <v>7780</v>
      </c>
      <c r="H27165" s="35">
        <v>240</v>
      </c>
      <c r="I27165" s="33" t="s">
        <v>51</v>
      </c>
      <c r="J27165" s="42">
        <v>46143</v>
      </c>
      <c r="K27165" s="33" t="s">
        <v>22</v>
      </c>
    </row>
    <row r="27166" spans="1:11">
      <c r="A27166" s="30" t="s">
        <v>59646</v>
      </c>
      <c r="B27166" s="30" t="s">
        <v>59647</v>
      </c>
      <c r="C27166" s="30" t="s">
        <v>21340</v>
      </c>
      <c r="D27166" s="30" t="s">
        <v>17</v>
      </c>
      <c r="E27166" s="30" t="s">
        <v>18</v>
      </c>
      <c r="F27166" s="30" t="s">
        <v>19</v>
      </c>
      <c r="G27166" s="30" t="s">
        <v>140</v>
      </c>
      <c r="H27166" s="32">
        <v>70</v>
      </c>
      <c r="I27166" s="30" t="s">
        <v>51</v>
      </c>
      <c r="J27166" s="41">
        <v>46094</v>
      </c>
      <c r="K27166" s="30" t="s">
        <v>22</v>
      </c>
    </row>
    <row r="27167" spans="1:11">
      <c r="A27167" s="33" t="s">
        <v>59648</v>
      </c>
      <c r="B27167" s="33" t="s">
        <v>59649</v>
      </c>
      <c r="C27167" s="33" t="s">
        <v>1661</v>
      </c>
      <c r="D27167" s="33" t="s">
        <v>17</v>
      </c>
      <c r="E27167" s="33" t="s">
        <v>26</v>
      </c>
      <c r="F27167" s="33" t="s">
        <v>27</v>
      </c>
      <c r="G27167" s="33" t="s">
        <v>7780</v>
      </c>
      <c r="H27167" s="35">
        <v>24</v>
      </c>
      <c r="I27167" s="33" t="s">
        <v>51</v>
      </c>
      <c r="J27167" s="42">
        <v>46172</v>
      </c>
      <c r="K27167" s="33" t="s">
        <v>22</v>
      </c>
    </row>
    <row r="27168" spans="1:11">
      <c r="A27168" s="30" t="s">
        <v>59650</v>
      </c>
      <c r="B27168" s="30" t="s">
        <v>59651</v>
      </c>
      <c r="C27168" s="30" t="s">
        <v>3775</v>
      </c>
      <c r="D27168" s="30" t="s">
        <v>17</v>
      </c>
      <c r="E27168" s="30" t="s">
        <v>26</v>
      </c>
      <c r="F27168" s="30" t="s">
        <v>27</v>
      </c>
      <c r="G27168" s="30" t="s">
        <v>7780</v>
      </c>
      <c r="H27168" s="32">
        <v>58</v>
      </c>
      <c r="I27168" s="30" t="s">
        <v>51</v>
      </c>
      <c r="J27168" s="41">
        <v>46125</v>
      </c>
      <c r="K27168" s="30" t="s">
        <v>22</v>
      </c>
    </row>
    <row r="27169" spans="1:11">
      <c r="A27169" s="33" t="s">
        <v>59652</v>
      </c>
      <c r="B27169" s="33" t="s">
        <v>59653</v>
      </c>
      <c r="C27169" s="33" t="s">
        <v>2228</v>
      </c>
      <c r="D27169" s="33" t="s">
        <v>17</v>
      </c>
      <c r="E27169" s="33" t="s">
        <v>26</v>
      </c>
      <c r="F27169" s="33" t="s">
        <v>27</v>
      </c>
      <c r="G27169" s="33" t="s">
        <v>20</v>
      </c>
      <c r="H27169" s="35">
        <v>6</v>
      </c>
      <c r="I27169" s="33" t="s">
        <v>21</v>
      </c>
      <c r="J27169" s="42">
        <v>46209</v>
      </c>
      <c r="K27169" s="33" t="s">
        <v>22</v>
      </c>
    </row>
    <row r="27170" spans="1:11">
      <c r="A27170" s="30" t="s">
        <v>59654</v>
      </c>
      <c r="B27170" s="30" t="s">
        <v>59655</v>
      </c>
      <c r="C27170" s="30" t="s">
        <v>149</v>
      </c>
      <c r="D27170" s="30" t="s">
        <v>17</v>
      </c>
      <c r="E27170" s="30" t="s">
        <v>18</v>
      </c>
      <c r="F27170" s="30" t="s">
        <v>19</v>
      </c>
      <c r="G27170" s="30" t="s">
        <v>140</v>
      </c>
      <c r="H27170" s="32">
        <v>150</v>
      </c>
      <c r="I27170" s="30" t="s">
        <v>51</v>
      </c>
      <c r="J27170" s="41">
        <v>46128</v>
      </c>
      <c r="K27170" s="30" t="s">
        <v>22</v>
      </c>
    </row>
    <row r="27171" spans="1:11">
      <c r="A27171" s="33" t="s">
        <v>59656</v>
      </c>
      <c r="B27171" s="33" t="s">
        <v>59657</v>
      </c>
      <c r="C27171" s="33" t="s">
        <v>817</v>
      </c>
      <c r="D27171" s="33" t="s">
        <v>17</v>
      </c>
      <c r="E27171" s="33" t="s">
        <v>31</v>
      </c>
      <c r="F27171" s="33" t="s">
        <v>32</v>
      </c>
      <c r="G27171" s="33" t="s">
        <v>140</v>
      </c>
      <c r="H27171" s="35">
        <v>180</v>
      </c>
      <c r="I27171" s="33" t="s">
        <v>51</v>
      </c>
      <c r="J27171" s="42">
        <v>46066</v>
      </c>
      <c r="K27171" s="33" t="s">
        <v>22</v>
      </c>
    </row>
    <row r="27172" spans="1:11">
      <c r="A27172" s="30" t="s">
        <v>59658</v>
      </c>
      <c r="B27172" s="30" t="s">
        <v>59659</v>
      </c>
      <c r="C27172" s="30" t="s">
        <v>318</v>
      </c>
      <c r="D27172" s="30" t="s">
        <v>17</v>
      </c>
      <c r="E27172" s="30" t="s">
        <v>26</v>
      </c>
      <c r="F27172" s="30" t="s">
        <v>27</v>
      </c>
      <c r="G27172" s="30" t="s">
        <v>140</v>
      </c>
      <c r="H27172" s="32">
        <v>162</v>
      </c>
      <c r="I27172" s="30" t="s">
        <v>51</v>
      </c>
      <c r="J27172" s="41">
        <v>46184</v>
      </c>
      <c r="K27172" s="30" t="s">
        <v>22</v>
      </c>
    </row>
    <row r="27173" spans="1:11">
      <c r="A27173" s="33" t="s">
        <v>59660</v>
      </c>
      <c r="B27173" s="33" t="s">
        <v>59661</v>
      </c>
      <c r="C27173" s="33" t="s">
        <v>570</v>
      </c>
      <c r="D27173" s="33" t="s">
        <v>17</v>
      </c>
      <c r="E27173" s="33" t="s">
        <v>26</v>
      </c>
      <c r="F27173" s="33" t="s">
        <v>27</v>
      </c>
      <c r="G27173" s="33" t="s">
        <v>7780</v>
      </c>
      <c r="H27173" s="35">
        <v>12</v>
      </c>
      <c r="I27173" s="33" t="s">
        <v>51</v>
      </c>
      <c r="J27173" s="42">
        <v>46045</v>
      </c>
      <c r="K27173" s="33" t="s">
        <v>22</v>
      </c>
    </row>
    <row r="27174" spans="1:11">
      <c r="A27174" s="30" t="s">
        <v>59662</v>
      </c>
      <c r="B27174" s="30" t="s">
        <v>59663</v>
      </c>
      <c r="C27174" s="30" t="s">
        <v>1270</v>
      </c>
      <c r="D27174" s="30" t="s">
        <v>17</v>
      </c>
      <c r="E27174" s="30" t="s">
        <v>18</v>
      </c>
      <c r="F27174" s="30" t="s">
        <v>19</v>
      </c>
      <c r="G27174" s="30" t="s">
        <v>7780</v>
      </c>
      <c r="H27174" s="32">
        <v>732</v>
      </c>
      <c r="I27174" s="30" t="s">
        <v>51</v>
      </c>
      <c r="J27174" s="41">
        <v>46171</v>
      </c>
      <c r="K27174" s="30" t="s">
        <v>22</v>
      </c>
    </row>
    <row r="27175" spans="1:11">
      <c r="A27175" s="33" t="s">
        <v>59664</v>
      </c>
      <c r="B27175" s="33" t="s">
        <v>59665</v>
      </c>
      <c r="C27175" s="33" t="s">
        <v>59666</v>
      </c>
      <c r="D27175" s="33" t="s">
        <v>17</v>
      </c>
      <c r="E27175" s="33" t="s">
        <v>67</v>
      </c>
      <c r="F27175" s="33" t="s">
        <v>68</v>
      </c>
      <c r="G27175" s="33" t="s">
        <v>140</v>
      </c>
      <c r="H27175" s="35">
        <v>178</v>
      </c>
      <c r="I27175" s="33" t="s">
        <v>51</v>
      </c>
      <c r="J27175" s="42">
        <v>46028</v>
      </c>
      <c r="K27175" s="33" t="s">
        <v>22</v>
      </c>
    </row>
    <row r="27176" spans="1:11">
      <c r="A27176" s="30" t="s">
        <v>59667</v>
      </c>
      <c r="B27176" s="30" t="s">
        <v>59668</v>
      </c>
      <c r="C27176" s="30" t="s">
        <v>190</v>
      </c>
      <c r="D27176" s="30" t="s">
        <v>17</v>
      </c>
      <c r="E27176" s="30" t="s">
        <v>31</v>
      </c>
      <c r="F27176" s="30" t="s">
        <v>32</v>
      </c>
      <c r="G27176" s="30" t="s">
        <v>140</v>
      </c>
      <c r="H27176" s="32">
        <v>359</v>
      </c>
      <c r="I27176" s="30" t="s">
        <v>51</v>
      </c>
      <c r="J27176" s="41">
        <v>46184</v>
      </c>
      <c r="K27176" s="30" t="s">
        <v>22</v>
      </c>
    </row>
    <row r="27177" spans="1:11">
      <c r="A27177" s="33" t="s">
        <v>59669</v>
      </c>
      <c r="B27177" s="33" t="s">
        <v>59670</v>
      </c>
      <c r="C27177" s="33" t="s">
        <v>109</v>
      </c>
      <c r="D27177" s="33" t="s">
        <v>17</v>
      </c>
      <c r="E27177" s="33" t="s">
        <v>26</v>
      </c>
      <c r="F27177" s="33" t="s">
        <v>27</v>
      </c>
      <c r="G27177" s="33" t="s">
        <v>140</v>
      </c>
      <c r="H27177" s="35">
        <v>36</v>
      </c>
      <c r="I27177" s="33" t="s">
        <v>51</v>
      </c>
      <c r="J27177" s="42">
        <v>46199</v>
      </c>
      <c r="K27177" s="33" t="s">
        <v>22</v>
      </c>
    </row>
    <row r="27178" spans="1:11">
      <c r="A27178" s="30" t="s">
        <v>59671</v>
      </c>
      <c r="B27178" s="30" t="s">
        <v>59672</v>
      </c>
      <c r="C27178" s="30" t="s">
        <v>5084</v>
      </c>
      <c r="D27178" s="30" t="s">
        <v>17</v>
      </c>
      <c r="E27178" s="30" t="s">
        <v>18</v>
      </c>
      <c r="F27178" s="30" t="s">
        <v>19</v>
      </c>
      <c r="G27178" s="30" t="s">
        <v>7780</v>
      </c>
      <c r="H27178" s="32">
        <v>222</v>
      </c>
      <c r="I27178" s="30" t="s">
        <v>51</v>
      </c>
      <c r="J27178" s="41">
        <v>46185</v>
      </c>
      <c r="K27178" s="30" t="s">
        <v>22</v>
      </c>
    </row>
    <row r="27179" spans="1:11">
      <c r="A27179" s="33" t="s">
        <v>59673</v>
      </c>
      <c r="B27179" s="33" t="s">
        <v>59674</v>
      </c>
      <c r="C27179" s="33" t="s">
        <v>48699</v>
      </c>
      <c r="D27179" s="33" t="s">
        <v>17</v>
      </c>
      <c r="E27179" s="33" t="s">
        <v>31</v>
      </c>
      <c r="F27179" s="33" t="s">
        <v>32</v>
      </c>
      <c r="G27179" s="33" t="s">
        <v>140</v>
      </c>
      <c r="H27179" s="35">
        <v>55</v>
      </c>
      <c r="I27179" s="33" t="s">
        <v>51</v>
      </c>
      <c r="J27179" s="42">
        <v>46160</v>
      </c>
      <c r="K27179" s="33" t="s">
        <v>22</v>
      </c>
    </row>
    <row r="27180" spans="1:11">
      <c r="A27180" s="30" t="s">
        <v>59675</v>
      </c>
      <c r="B27180" s="30" t="s">
        <v>59676</v>
      </c>
      <c r="C27180" s="30" t="s">
        <v>8796</v>
      </c>
      <c r="D27180" s="30" t="s">
        <v>17</v>
      </c>
      <c r="E27180" s="30" t="s">
        <v>31</v>
      </c>
      <c r="F27180" s="30" t="s">
        <v>32</v>
      </c>
      <c r="G27180" s="30" t="s">
        <v>140</v>
      </c>
      <c r="H27180" s="32">
        <v>50</v>
      </c>
      <c r="I27180" s="30" t="s">
        <v>51</v>
      </c>
      <c r="J27180" s="41">
        <v>46140</v>
      </c>
      <c r="K27180" s="30" t="s">
        <v>22</v>
      </c>
    </row>
    <row r="27181" spans="1:11">
      <c r="A27181" s="33" t="s">
        <v>59677</v>
      </c>
      <c r="B27181" s="33" t="s">
        <v>59678</v>
      </c>
      <c r="C27181" s="33" t="s">
        <v>59679</v>
      </c>
      <c r="D27181" s="33" t="s">
        <v>17</v>
      </c>
      <c r="E27181" s="33" t="s">
        <v>26</v>
      </c>
      <c r="F27181" s="33" t="s">
        <v>27</v>
      </c>
      <c r="G27181" s="33" t="s">
        <v>140</v>
      </c>
      <c r="H27181" s="35">
        <v>64</v>
      </c>
      <c r="I27181" s="33" t="s">
        <v>51</v>
      </c>
      <c r="J27181" s="42">
        <v>46128</v>
      </c>
      <c r="K27181" s="33" t="s">
        <v>22</v>
      </c>
    </row>
    <row r="27182" spans="1:11">
      <c r="A27182" s="30" t="s">
        <v>59680</v>
      </c>
      <c r="B27182" s="30" t="s">
        <v>59681</v>
      </c>
      <c r="C27182" s="30" t="s">
        <v>3190</v>
      </c>
      <c r="D27182" s="30" t="s">
        <v>17</v>
      </c>
      <c r="E27182" s="30" t="s">
        <v>31</v>
      </c>
      <c r="F27182" s="30" t="s">
        <v>32</v>
      </c>
      <c r="G27182" s="30" t="s">
        <v>7780</v>
      </c>
      <c r="H27182" s="32">
        <v>80</v>
      </c>
      <c r="I27182" s="30" t="s">
        <v>51</v>
      </c>
      <c r="J27182" s="41">
        <v>46203</v>
      </c>
      <c r="K27182" s="30" t="s">
        <v>22</v>
      </c>
    </row>
    <row r="27183" spans="1:11">
      <c r="A27183" s="33" t="s">
        <v>59682</v>
      </c>
      <c r="B27183" s="33" t="s">
        <v>59683</v>
      </c>
      <c r="C27183" s="33" t="s">
        <v>59684</v>
      </c>
      <c r="D27183" s="33" t="s">
        <v>17</v>
      </c>
      <c r="E27183" s="33" t="s">
        <v>67</v>
      </c>
      <c r="F27183" s="33" t="s">
        <v>68</v>
      </c>
      <c r="G27183" s="33" t="s">
        <v>7780</v>
      </c>
      <c r="H27183" s="35">
        <v>70</v>
      </c>
      <c r="I27183" s="33" t="s">
        <v>51</v>
      </c>
      <c r="J27183" s="42">
        <v>46173</v>
      </c>
      <c r="K27183" s="33" t="s">
        <v>22</v>
      </c>
    </row>
    <row r="27184" spans="1:11">
      <c r="A27184" s="30" t="s">
        <v>59685</v>
      </c>
      <c r="B27184" s="30" t="s">
        <v>59686</v>
      </c>
      <c r="C27184" s="30" t="s">
        <v>4345</v>
      </c>
      <c r="D27184" s="30" t="s">
        <v>17</v>
      </c>
      <c r="E27184" s="30" t="s">
        <v>18</v>
      </c>
      <c r="F27184" s="30" t="s">
        <v>19</v>
      </c>
      <c r="G27184" s="30" t="s">
        <v>140</v>
      </c>
      <c r="H27184" s="32">
        <v>20</v>
      </c>
      <c r="I27184" s="30" t="s">
        <v>51</v>
      </c>
      <c r="J27184" s="41">
        <v>46133</v>
      </c>
      <c r="K27184" s="30" t="s">
        <v>22</v>
      </c>
    </row>
    <row r="27185" spans="1:11">
      <c r="A27185" s="33" t="s">
        <v>59687</v>
      </c>
      <c r="B27185" s="33" t="s">
        <v>59688</v>
      </c>
      <c r="C27185" s="33" t="s">
        <v>4348</v>
      </c>
      <c r="D27185" s="33" t="s">
        <v>17</v>
      </c>
      <c r="E27185" s="33" t="s">
        <v>26</v>
      </c>
      <c r="F27185" s="33" t="s">
        <v>27</v>
      </c>
      <c r="G27185" s="33" t="s">
        <v>140</v>
      </c>
      <c r="H27185" s="35">
        <v>22</v>
      </c>
      <c r="I27185" s="33" t="s">
        <v>51</v>
      </c>
      <c r="J27185" s="42">
        <v>46155</v>
      </c>
      <c r="K27185" s="33" t="s">
        <v>22</v>
      </c>
    </row>
    <row r="27186" spans="1:11">
      <c r="A27186" s="30" t="s">
        <v>59689</v>
      </c>
      <c r="B27186" s="30" t="s">
        <v>59690</v>
      </c>
      <c r="C27186" s="30" t="s">
        <v>368</v>
      </c>
      <c r="D27186" s="30" t="s">
        <v>17</v>
      </c>
      <c r="E27186" s="30" t="s">
        <v>26</v>
      </c>
      <c r="F27186" s="30" t="s">
        <v>27</v>
      </c>
      <c r="G27186" s="30" t="s">
        <v>7780</v>
      </c>
      <c r="H27186" s="32">
        <v>36</v>
      </c>
      <c r="I27186" s="30" t="s">
        <v>51</v>
      </c>
      <c r="J27186" s="41">
        <v>46204</v>
      </c>
      <c r="K27186" s="30" t="s">
        <v>22</v>
      </c>
    </row>
    <row r="27187" spans="1:11">
      <c r="A27187" s="33" t="s">
        <v>59691</v>
      </c>
      <c r="B27187" s="33" t="s">
        <v>59692</v>
      </c>
      <c r="C27187" s="33" t="s">
        <v>1278</v>
      </c>
      <c r="D27187" s="33" t="s">
        <v>17</v>
      </c>
      <c r="E27187" s="33" t="s">
        <v>18</v>
      </c>
      <c r="F27187" s="33" t="s">
        <v>19</v>
      </c>
      <c r="G27187" s="33" t="s">
        <v>112</v>
      </c>
      <c r="H27187" s="35">
        <v>0</v>
      </c>
      <c r="I27187" s="33" t="s">
        <v>21</v>
      </c>
      <c r="J27187" s="42">
        <v>46059</v>
      </c>
      <c r="K27187" s="33" t="s">
        <v>22</v>
      </c>
    </row>
    <row r="27188" spans="1:11">
      <c r="A27188" s="30" t="s">
        <v>59693</v>
      </c>
      <c r="B27188" s="30" t="s">
        <v>59694</v>
      </c>
      <c r="C27188" s="30" t="s">
        <v>249</v>
      </c>
      <c r="D27188" s="30" t="s">
        <v>17</v>
      </c>
      <c r="E27188" s="30" t="s">
        <v>31</v>
      </c>
      <c r="F27188" s="30" t="s">
        <v>32</v>
      </c>
      <c r="G27188" s="30" t="s">
        <v>140</v>
      </c>
      <c r="H27188" s="32">
        <v>75</v>
      </c>
      <c r="I27188" s="30" t="s">
        <v>51</v>
      </c>
      <c r="J27188" s="41">
        <v>46075</v>
      </c>
      <c r="K27188" s="30" t="s">
        <v>22</v>
      </c>
    </row>
    <row r="27189" spans="1:11">
      <c r="A27189" s="33" t="s">
        <v>59695</v>
      </c>
      <c r="B27189" s="33" t="s">
        <v>59696</v>
      </c>
      <c r="C27189" s="33" t="s">
        <v>12188</v>
      </c>
      <c r="D27189" s="33" t="s">
        <v>17</v>
      </c>
      <c r="E27189" s="33" t="s">
        <v>18</v>
      </c>
      <c r="F27189" s="33" t="s">
        <v>19</v>
      </c>
      <c r="G27189" s="33" t="s">
        <v>140</v>
      </c>
      <c r="H27189" s="35">
        <v>344</v>
      </c>
      <c r="I27189" s="33" t="s">
        <v>51</v>
      </c>
      <c r="J27189" s="42">
        <v>46135</v>
      </c>
      <c r="K27189" s="33" t="s">
        <v>22</v>
      </c>
    </row>
    <row r="27190" spans="1:11">
      <c r="A27190" s="30" t="s">
        <v>59697</v>
      </c>
      <c r="B27190" s="30" t="s">
        <v>59698</v>
      </c>
      <c r="C27190" s="30" t="s">
        <v>59699</v>
      </c>
      <c r="D27190" s="30" t="s">
        <v>17</v>
      </c>
      <c r="E27190" s="30" t="s">
        <v>67</v>
      </c>
      <c r="F27190" s="30" t="s">
        <v>68</v>
      </c>
      <c r="G27190" s="30" t="s">
        <v>140</v>
      </c>
      <c r="H27190" s="32">
        <v>144</v>
      </c>
      <c r="I27190" s="30" t="s">
        <v>51</v>
      </c>
      <c r="J27190" s="41">
        <v>46034</v>
      </c>
      <c r="K27190" s="30" t="s">
        <v>22</v>
      </c>
    </row>
    <row r="27191" spans="1:11">
      <c r="A27191" s="33" t="s">
        <v>59700</v>
      </c>
      <c r="B27191" s="33" t="s">
        <v>59701</v>
      </c>
      <c r="C27191" s="33" t="s">
        <v>51579</v>
      </c>
      <c r="D27191" s="33" t="s">
        <v>17</v>
      </c>
      <c r="E27191" s="33" t="s">
        <v>26</v>
      </c>
      <c r="F27191" s="33" t="s">
        <v>27</v>
      </c>
      <c r="G27191" s="33" t="s">
        <v>7780</v>
      </c>
      <c r="H27191" s="35">
        <v>24</v>
      </c>
      <c r="I27191" s="33" t="s">
        <v>51</v>
      </c>
      <c r="J27191" s="42">
        <v>46157</v>
      </c>
      <c r="K27191" s="33" t="s">
        <v>22</v>
      </c>
    </row>
    <row r="27192" spans="1:11">
      <c r="A27192" s="30" t="s">
        <v>59702</v>
      </c>
      <c r="B27192" s="30" t="s">
        <v>59703</v>
      </c>
      <c r="C27192" s="30" t="s">
        <v>231</v>
      </c>
      <c r="D27192" s="30" t="s">
        <v>17</v>
      </c>
      <c r="E27192" s="30" t="s">
        <v>26</v>
      </c>
      <c r="F27192" s="30" t="s">
        <v>27</v>
      </c>
      <c r="G27192" s="30" t="s">
        <v>140</v>
      </c>
      <c r="H27192" s="32">
        <v>60</v>
      </c>
      <c r="I27192" s="30" t="s">
        <v>51</v>
      </c>
      <c r="J27192" s="41">
        <v>46143</v>
      </c>
      <c r="K27192" s="30" t="s">
        <v>22</v>
      </c>
    </row>
    <row r="27193" spans="1:11">
      <c r="A27193" s="33" t="s">
        <v>59704</v>
      </c>
      <c r="B27193" s="33" t="s">
        <v>59705</v>
      </c>
      <c r="C27193" s="33" t="s">
        <v>38747</v>
      </c>
      <c r="D27193" s="33" t="s">
        <v>17</v>
      </c>
      <c r="E27193" s="33" t="s">
        <v>45</v>
      </c>
      <c r="F27193" s="33" t="s">
        <v>46</v>
      </c>
      <c r="G27193" s="33" t="s">
        <v>7780</v>
      </c>
      <c r="H27193" s="35">
        <v>500</v>
      </c>
      <c r="I27193" s="33" t="s">
        <v>51</v>
      </c>
      <c r="J27193" s="42">
        <v>46203</v>
      </c>
      <c r="K27193" s="33" t="s">
        <v>22</v>
      </c>
    </row>
    <row r="27194" spans="1:11">
      <c r="A27194" s="30" t="s">
        <v>59706</v>
      </c>
      <c r="B27194" s="30" t="s">
        <v>59707</v>
      </c>
      <c r="C27194" s="30" t="s">
        <v>190</v>
      </c>
      <c r="D27194" s="30" t="s">
        <v>17</v>
      </c>
      <c r="E27194" s="30" t="s">
        <v>67</v>
      </c>
      <c r="F27194" s="30" t="s">
        <v>68</v>
      </c>
      <c r="G27194" s="30" t="s">
        <v>7780</v>
      </c>
      <c r="H27194" s="32">
        <v>101</v>
      </c>
      <c r="I27194" s="30" t="s">
        <v>51</v>
      </c>
      <c r="J27194" s="41">
        <v>46212</v>
      </c>
      <c r="K27194" s="30" t="s">
        <v>22</v>
      </c>
    </row>
    <row r="27195" spans="1:11">
      <c r="A27195" s="33" t="s">
        <v>59708</v>
      </c>
      <c r="B27195" s="33" t="s">
        <v>59709</v>
      </c>
      <c r="C27195" s="33" t="s">
        <v>96</v>
      </c>
      <c r="D27195" s="33" t="s">
        <v>17</v>
      </c>
      <c r="E27195" s="33" t="s">
        <v>18</v>
      </c>
      <c r="F27195" s="33" t="s">
        <v>19</v>
      </c>
      <c r="G27195" s="33" t="s">
        <v>7780</v>
      </c>
      <c r="H27195" s="35">
        <v>400</v>
      </c>
      <c r="I27195" s="33" t="s">
        <v>51</v>
      </c>
      <c r="J27195" s="42">
        <v>46232</v>
      </c>
      <c r="K27195" s="33" t="s">
        <v>22</v>
      </c>
    </row>
    <row r="27196" spans="1:11">
      <c r="A27196" s="30" t="s">
        <v>59710</v>
      </c>
      <c r="B27196" s="30" t="s">
        <v>59711</v>
      </c>
      <c r="C27196" s="30" t="s">
        <v>37256</v>
      </c>
      <c r="D27196" s="30" t="s">
        <v>17</v>
      </c>
      <c r="E27196" s="30" t="s">
        <v>26</v>
      </c>
      <c r="F27196" s="30" t="s">
        <v>27</v>
      </c>
      <c r="G27196" s="30" t="s">
        <v>140</v>
      </c>
      <c r="H27196" s="32">
        <v>128</v>
      </c>
      <c r="I27196" s="30" t="s">
        <v>51</v>
      </c>
      <c r="J27196" s="41">
        <v>46139</v>
      </c>
      <c r="K27196" s="30" t="s">
        <v>22</v>
      </c>
    </row>
    <row r="27197" spans="1:11">
      <c r="A27197" s="33" t="s">
        <v>59712</v>
      </c>
      <c r="B27197" s="33" t="s">
        <v>59713</v>
      </c>
      <c r="C27197" s="33" t="s">
        <v>57343</v>
      </c>
      <c r="D27197" s="33" t="s">
        <v>17</v>
      </c>
      <c r="E27197" s="33" t="s">
        <v>31</v>
      </c>
      <c r="F27197" s="33" t="s">
        <v>32</v>
      </c>
      <c r="G27197" s="33" t="s">
        <v>140</v>
      </c>
      <c r="H27197" s="35">
        <v>60</v>
      </c>
      <c r="I27197" s="33" t="s">
        <v>51</v>
      </c>
      <c r="J27197" s="42">
        <v>46055</v>
      </c>
      <c r="K27197" s="33" t="s">
        <v>22</v>
      </c>
    </row>
    <row r="27198" spans="1:11">
      <c r="A27198" s="30" t="s">
        <v>59714</v>
      </c>
      <c r="B27198" s="30" t="s">
        <v>59715</v>
      </c>
      <c r="C27198" s="30" t="s">
        <v>30622</v>
      </c>
      <c r="D27198" s="30" t="s">
        <v>17</v>
      </c>
      <c r="E27198" s="30" t="s">
        <v>330</v>
      </c>
      <c r="F27198" s="30" t="s">
        <v>331</v>
      </c>
      <c r="G27198" s="30" t="s">
        <v>7780</v>
      </c>
      <c r="H27198" s="32">
        <v>15</v>
      </c>
      <c r="I27198" s="30" t="s">
        <v>51</v>
      </c>
      <c r="J27198" s="41">
        <v>46188</v>
      </c>
      <c r="K27198" s="30" t="s">
        <v>22</v>
      </c>
    </row>
    <row r="27199" spans="1:11">
      <c r="A27199" s="33" t="s">
        <v>59716</v>
      </c>
      <c r="B27199" s="33" t="s">
        <v>59717</v>
      </c>
      <c r="C27199" s="33" t="s">
        <v>326</v>
      </c>
      <c r="D27199" s="33" t="s">
        <v>17</v>
      </c>
      <c r="E27199" s="33" t="s">
        <v>31</v>
      </c>
      <c r="F27199" s="33" t="s">
        <v>32</v>
      </c>
      <c r="G27199" s="33" t="s">
        <v>7780</v>
      </c>
      <c r="H27199" s="35">
        <v>20</v>
      </c>
      <c r="I27199" s="33" t="s">
        <v>51</v>
      </c>
      <c r="J27199" s="42">
        <v>46113</v>
      </c>
      <c r="K27199" s="33" t="s">
        <v>22</v>
      </c>
    </row>
    <row r="27200" spans="1:11">
      <c r="A27200" s="30" t="s">
        <v>59718</v>
      </c>
      <c r="B27200" s="30" t="s">
        <v>59719</v>
      </c>
      <c r="C27200" s="30" t="s">
        <v>53394</v>
      </c>
      <c r="D27200" s="30" t="s">
        <v>17</v>
      </c>
      <c r="E27200" s="30" t="s">
        <v>26</v>
      </c>
      <c r="F27200" s="30" t="s">
        <v>27</v>
      </c>
      <c r="G27200" s="30" t="s">
        <v>140</v>
      </c>
      <c r="H27200" s="32">
        <v>92</v>
      </c>
      <c r="I27200" s="30" t="s">
        <v>51</v>
      </c>
      <c r="J27200" s="41">
        <v>46058</v>
      </c>
      <c r="K27200" s="30" t="s">
        <v>22</v>
      </c>
    </row>
    <row r="27201" spans="1:11">
      <c r="A27201" s="33" t="s">
        <v>59720</v>
      </c>
      <c r="B27201" s="33" t="s">
        <v>59721</v>
      </c>
      <c r="C27201" s="33" t="s">
        <v>1598</v>
      </c>
      <c r="D27201" s="33" t="s">
        <v>17</v>
      </c>
      <c r="E27201" s="33" t="s">
        <v>26</v>
      </c>
      <c r="F27201" s="33" t="s">
        <v>27</v>
      </c>
      <c r="G27201" s="33" t="s">
        <v>140</v>
      </c>
      <c r="H27201" s="35">
        <v>160</v>
      </c>
      <c r="I27201" s="33" t="s">
        <v>51</v>
      </c>
      <c r="J27201" s="42">
        <v>46130</v>
      </c>
      <c r="K27201" s="33" t="s">
        <v>22</v>
      </c>
    </row>
    <row r="27202" spans="1:11">
      <c r="A27202" s="30" t="s">
        <v>59722</v>
      </c>
      <c r="B27202" s="30" t="s">
        <v>59723</v>
      </c>
      <c r="C27202" s="30" t="s">
        <v>2609</v>
      </c>
      <c r="D27202" s="30" t="s">
        <v>17</v>
      </c>
      <c r="E27202" s="30" t="s">
        <v>18</v>
      </c>
      <c r="F27202" s="30" t="s">
        <v>19</v>
      </c>
      <c r="G27202" s="30" t="s">
        <v>140</v>
      </c>
      <c r="H27202" s="32">
        <v>150</v>
      </c>
      <c r="I27202" s="30" t="s">
        <v>51</v>
      </c>
      <c r="J27202" s="41">
        <v>46175</v>
      </c>
      <c r="K27202" s="30" t="s">
        <v>22</v>
      </c>
    </row>
    <row r="27203" spans="1:11">
      <c r="A27203" s="33" t="s">
        <v>59724</v>
      </c>
      <c r="B27203" s="33" t="s">
        <v>59725</v>
      </c>
      <c r="C27203" s="33" t="s">
        <v>18591</v>
      </c>
      <c r="D27203" s="33" t="s">
        <v>17</v>
      </c>
      <c r="E27203" s="33" t="s">
        <v>67</v>
      </c>
      <c r="F27203" s="33" t="s">
        <v>68</v>
      </c>
      <c r="G27203" s="33" t="s">
        <v>140</v>
      </c>
      <c r="H27203" s="35">
        <v>155</v>
      </c>
      <c r="I27203" s="33" t="s">
        <v>51</v>
      </c>
      <c r="J27203" s="42">
        <v>46112</v>
      </c>
      <c r="K27203" s="33" t="s">
        <v>22</v>
      </c>
    </row>
    <row r="27204" spans="1:11">
      <c r="A27204" s="30" t="s">
        <v>59726</v>
      </c>
      <c r="B27204" s="30" t="s">
        <v>59727</v>
      </c>
      <c r="C27204" s="30" t="s">
        <v>59728</v>
      </c>
      <c r="D27204" s="30" t="s">
        <v>17</v>
      </c>
      <c r="E27204" s="30" t="s">
        <v>26</v>
      </c>
      <c r="F27204" s="30" t="s">
        <v>27</v>
      </c>
      <c r="G27204" s="30" t="s">
        <v>140</v>
      </c>
      <c r="H27204" s="32">
        <v>40</v>
      </c>
      <c r="I27204" s="30" t="s">
        <v>51</v>
      </c>
      <c r="J27204" s="41">
        <v>46103</v>
      </c>
      <c r="K27204" s="30" t="s">
        <v>22</v>
      </c>
    </row>
    <row r="27205" spans="1:11">
      <c r="A27205" s="33" t="s">
        <v>59729</v>
      </c>
      <c r="B27205" s="33" t="s">
        <v>59730</v>
      </c>
      <c r="C27205" s="33" t="s">
        <v>12112</v>
      </c>
      <c r="D27205" s="33" t="s">
        <v>17</v>
      </c>
      <c r="E27205" s="33" t="s">
        <v>26</v>
      </c>
      <c r="F27205" s="33" t="s">
        <v>27</v>
      </c>
      <c r="G27205" s="33" t="s">
        <v>7780</v>
      </c>
      <c r="H27205" s="35">
        <v>44</v>
      </c>
      <c r="I27205" s="33" t="s">
        <v>51</v>
      </c>
      <c r="J27205" s="42">
        <v>46113</v>
      </c>
      <c r="K27205" s="33" t="s">
        <v>22</v>
      </c>
    </row>
    <row r="27206" spans="1:11">
      <c r="A27206" s="30" t="s">
        <v>59731</v>
      </c>
      <c r="B27206" s="30" t="s">
        <v>59732</v>
      </c>
      <c r="C27206" s="30" t="s">
        <v>56038</v>
      </c>
      <c r="D27206" s="30" t="s">
        <v>17</v>
      </c>
      <c r="E27206" s="30" t="s">
        <v>26</v>
      </c>
      <c r="F27206" s="30" t="s">
        <v>27</v>
      </c>
      <c r="G27206" s="30" t="s">
        <v>7780</v>
      </c>
      <c r="H27206" s="32">
        <v>15</v>
      </c>
      <c r="I27206" s="30" t="s">
        <v>51</v>
      </c>
      <c r="J27206" s="41">
        <v>46113</v>
      </c>
      <c r="K27206" s="30" t="s">
        <v>22</v>
      </c>
    </row>
    <row r="27207" spans="1:11">
      <c r="A27207" s="33" t="s">
        <v>59733</v>
      </c>
      <c r="B27207" s="33" t="s">
        <v>59734</v>
      </c>
      <c r="C27207" s="33" t="s">
        <v>50475</v>
      </c>
      <c r="D27207" s="33" t="s">
        <v>17</v>
      </c>
      <c r="E27207" s="33" t="s">
        <v>67</v>
      </c>
      <c r="F27207" s="33" t="s">
        <v>68</v>
      </c>
      <c r="G27207" s="33" t="s">
        <v>7780</v>
      </c>
      <c r="H27207" s="35">
        <v>24</v>
      </c>
      <c r="I27207" s="33" t="s">
        <v>51</v>
      </c>
      <c r="J27207" s="42">
        <v>46204</v>
      </c>
      <c r="K27207" s="33" t="s">
        <v>22</v>
      </c>
    </row>
    <row r="27208" spans="1:11">
      <c r="A27208" s="30" t="s">
        <v>59735</v>
      </c>
      <c r="B27208" s="30" t="s">
        <v>59736</v>
      </c>
      <c r="C27208" s="30" t="s">
        <v>30604</v>
      </c>
      <c r="D27208" s="30" t="s">
        <v>17</v>
      </c>
      <c r="E27208" s="30" t="s">
        <v>31</v>
      </c>
      <c r="F27208" s="30" t="s">
        <v>32</v>
      </c>
      <c r="G27208" s="30" t="s">
        <v>140</v>
      </c>
      <c r="H27208" s="32">
        <v>120</v>
      </c>
      <c r="I27208" s="30" t="s">
        <v>51</v>
      </c>
      <c r="J27208" s="41">
        <v>46224</v>
      </c>
      <c r="K27208" s="30" t="s">
        <v>22</v>
      </c>
    </row>
    <row r="27209" spans="1:11">
      <c r="A27209" s="33" t="s">
        <v>59737</v>
      </c>
      <c r="B27209" s="33" t="s">
        <v>59738</v>
      </c>
      <c r="C27209" s="33" t="s">
        <v>26153</v>
      </c>
      <c r="D27209" s="33" t="s">
        <v>17</v>
      </c>
      <c r="E27209" s="33" t="s">
        <v>31</v>
      </c>
      <c r="F27209" s="33" t="s">
        <v>32</v>
      </c>
      <c r="G27209" s="33" t="s">
        <v>112</v>
      </c>
      <c r="H27209" s="35">
        <v>0</v>
      </c>
      <c r="I27209" s="33" t="s">
        <v>21</v>
      </c>
      <c r="J27209" s="42">
        <v>46082</v>
      </c>
      <c r="K27209" s="33" t="s">
        <v>22</v>
      </c>
    </row>
    <row r="27210" spans="1:11">
      <c r="A27210" s="30" t="s">
        <v>59739</v>
      </c>
      <c r="B27210" s="30" t="s">
        <v>59740</v>
      </c>
      <c r="C27210" s="30" t="s">
        <v>15585</v>
      </c>
      <c r="D27210" s="30" t="s">
        <v>17</v>
      </c>
      <c r="E27210" s="30" t="s">
        <v>31</v>
      </c>
      <c r="F27210" s="30" t="s">
        <v>32</v>
      </c>
      <c r="G27210" s="30" t="s">
        <v>140</v>
      </c>
      <c r="H27210" s="32">
        <v>108</v>
      </c>
      <c r="I27210" s="30" t="s">
        <v>51</v>
      </c>
      <c r="J27210" s="41">
        <v>46078</v>
      </c>
      <c r="K27210" s="30" t="s">
        <v>22</v>
      </c>
    </row>
    <row r="27211" spans="1:11">
      <c r="A27211" s="33" t="s">
        <v>59741</v>
      </c>
      <c r="B27211" s="33" t="s">
        <v>59742</v>
      </c>
      <c r="C27211" s="33" t="s">
        <v>21791</v>
      </c>
      <c r="D27211" s="33" t="s">
        <v>17</v>
      </c>
      <c r="E27211" s="33" t="s">
        <v>26</v>
      </c>
      <c r="F27211" s="33" t="s">
        <v>27</v>
      </c>
      <c r="G27211" s="33" t="s">
        <v>140</v>
      </c>
      <c r="H27211" s="35">
        <v>30</v>
      </c>
      <c r="I27211" s="33" t="s">
        <v>51</v>
      </c>
      <c r="J27211" s="42">
        <v>46023</v>
      </c>
      <c r="K27211" s="33" t="s">
        <v>22</v>
      </c>
    </row>
    <row r="27212" spans="1:11">
      <c r="A27212" s="30" t="s">
        <v>59743</v>
      </c>
      <c r="B27212" s="30" t="s">
        <v>59744</v>
      </c>
      <c r="C27212" s="30" t="s">
        <v>25594</v>
      </c>
      <c r="D27212" s="30" t="s">
        <v>17</v>
      </c>
      <c r="E27212" s="30" t="s">
        <v>31</v>
      </c>
      <c r="F27212" s="30" t="s">
        <v>32</v>
      </c>
      <c r="G27212" s="30" t="s">
        <v>7780</v>
      </c>
      <c r="H27212" s="32">
        <v>180</v>
      </c>
      <c r="I27212" s="30" t="s">
        <v>51</v>
      </c>
      <c r="J27212" s="41">
        <v>46173</v>
      </c>
      <c r="K27212" s="30" t="s">
        <v>22</v>
      </c>
    </row>
    <row r="27213" spans="1:11">
      <c r="A27213" s="33" t="s">
        <v>59745</v>
      </c>
      <c r="B27213" s="33" t="s">
        <v>59746</v>
      </c>
      <c r="C27213" s="33" t="s">
        <v>59747</v>
      </c>
      <c r="D27213" s="33" t="s">
        <v>17</v>
      </c>
      <c r="E27213" s="33" t="s">
        <v>26</v>
      </c>
      <c r="F27213" s="33" t="s">
        <v>27</v>
      </c>
      <c r="G27213" s="33" t="s">
        <v>7780</v>
      </c>
      <c r="H27213" s="35">
        <v>8</v>
      </c>
      <c r="I27213" s="33" t="s">
        <v>51</v>
      </c>
      <c r="J27213" s="42">
        <v>46053</v>
      </c>
      <c r="K27213" s="33" t="s">
        <v>22</v>
      </c>
    </row>
    <row r="27214" spans="1:11">
      <c r="A27214" s="30" t="s">
        <v>59748</v>
      </c>
      <c r="B27214" s="30" t="s">
        <v>59749</v>
      </c>
      <c r="C27214" s="30" t="s">
        <v>39846</v>
      </c>
      <c r="D27214" s="30" t="s">
        <v>17</v>
      </c>
      <c r="E27214" s="30" t="s">
        <v>31</v>
      </c>
      <c r="F27214" s="30" t="s">
        <v>32</v>
      </c>
      <c r="G27214" s="30" t="s">
        <v>140</v>
      </c>
      <c r="H27214" s="32">
        <v>80</v>
      </c>
      <c r="I27214" s="30" t="s">
        <v>51</v>
      </c>
      <c r="J27214" s="41">
        <v>46157</v>
      </c>
      <c r="K27214" s="30" t="s">
        <v>22</v>
      </c>
    </row>
    <row r="27215" spans="1:11">
      <c r="A27215" s="33" t="s">
        <v>59750</v>
      </c>
      <c r="B27215" s="33" t="s">
        <v>59751</v>
      </c>
      <c r="C27215" s="33" t="s">
        <v>59752</v>
      </c>
      <c r="D27215" s="33" t="s">
        <v>17</v>
      </c>
      <c r="E27215" s="33" t="s">
        <v>18</v>
      </c>
      <c r="F27215" s="33" t="s">
        <v>19</v>
      </c>
      <c r="G27215" s="33" t="s">
        <v>140</v>
      </c>
      <c r="H27215" s="35">
        <v>230</v>
      </c>
      <c r="I27215" s="33" t="s">
        <v>51</v>
      </c>
      <c r="J27215" s="42">
        <v>46174</v>
      </c>
      <c r="K27215" s="33" t="s">
        <v>22</v>
      </c>
    </row>
    <row r="27216" spans="1:11">
      <c r="A27216" s="30" t="s">
        <v>59753</v>
      </c>
      <c r="B27216" s="30" t="s">
        <v>59754</v>
      </c>
      <c r="C27216" s="30" t="s">
        <v>969</v>
      </c>
      <c r="D27216" s="30" t="s">
        <v>17</v>
      </c>
      <c r="E27216" s="30" t="s">
        <v>31</v>
      </c>
      <c r="F27216" s="30" t="s">
        <v>32</v>
      </c>
      <c r="G27216" s="30" t="s">
        <v>140</v>
      </c>
      <c r="H27216" s="32">
        <v>60</v>
      </c>
      <c r="I27216" s="30" t="s">
        <v>51</v>
      </c>
      <c r="J27216" s="41">
        <v>46197</v>
      </c>
      <c r="K27216" s="30" t="s">
        <v>22</v>
      </c>
    </row>
    <row r="27217" spans="1:11">
      <c r="A27217" s="33" t="s">
        <v>59755</v>
      </c>
      <c r="B27217" s="33" t="s">
        <v>59756</v>
      </c>
      <c r="C27217" s="33" t="s">
        <v>11899</v>
      </c>
      <c r="D27217" s="33" t="s">
        <v>17</v>
      </c>
      <c r="E27217" s="33" t="s">
        <v>18</v>
      </c>
      <c r="F27217" s="33" t="s">
        <v>19</v>
      </c>
      <c r="G27217" s="33" t="s">
        <v>7780</v>
      </c>
      <c r="H27217" s="35">
        <v>750</v>
      </c>
      <c r="I27217" s="33" t="s">
        <v>51</v>
      </c>
      <c r="J27217" s="42">
        <v>46204</v>
      </c>
      <c r="K27217" s="33" t="s">
        <v>22</v>
      </c>
    </row>
    <row r="27218" spans="1:11">
      <c r="A27218" s="30" t="s">
        <v>59757</v>
      </c>
      <c r="B27218" s="30" t="s">
        <v>59758</v>
      </c>
      <c r="C27218" s="30" t="s">
        <v>2778</v>
      </c>
      <c r="D27218" s="30" t="s">
        <v>17</v>
      </c>
      <c r="E27218" s="30" t="s">
        <v>31</v>
      </c>
      <c r="F27218" s="30" t="s">
        <v>32</v>
      </c>
      <c r="G27218" s="30" t="s">
        <v>140</v>
      </c>
      <c r="H27218" s="32">
        <v>150</v>
      </c>
      <c r="I27218" s="30" t="s">
        <v>51</v>
      </c>
      <c r="J27218" s="41">
        <v>46231</v>
      </c>
      <c r="K27218" s="30" t="s">
        <v>22</v>
      </c>
    </row>
    <row r="27219" spans="1:11">
      <c r="A27219" s="33" t="s">
        <v>59759</v>
      </c>
      <c r="B27219" s="33" t="s">
        <v>59760</v>
      </c>
      <c r="C27219" s="33" t="s">
        <v>22695</v>
      </c>
      <c r="D27219" s="33" t="s">
        <v>17</v>
      </c>
      <c r="E27219" s="33" t="s">
        <v>67</v>
      </c>
      <c r="F27219" s="33" t="s">
        <v>68</v>
      </c>
      <c r="G27219" s="33" t="s">
        <v>140</v>
      </c>
      <c r="H27219" s="35">
        <v>81</v>
      </c>
      <c r="I27219" s="33" t="s">
        <v>51</v>
      </c>
      <c r="J27219" s="42">
        <v>46134</v>
      </c>
      <c r="K27219" s="33" t="s">
        <v>22</v>
      </c>
    </row>
    <row r="27220" spans="1:11">
      <c r="A27220" s="30" t="s">
        <v>59761</v>
      </c>
      <c r="B27220" s="30" t="s">
        <v>59762</v>
      </c>
      <c r="C27220" s="30" t="s">
        <v>14816</v>
      </c>
      <c r="D27220" s="30" t="s">
        <v>17</v>
      </c>
      <c r="E27220" s="30" t="s">
        <v>31</v>
      </c>
      <c r="F27220" s="30" t="s">
        <v>32</v>
      </c>
      <c r="G27220" s="30" t="s">
        <v>140</v>
      </c>
      <c r="H27220" s="32">
        <v>48</v>
      </c>
      <c r="I27220" s="30" t="s">
        <v>51</v>
      </c>
      <c r="J27220" s="41">
        <v>46111</v>
      </c>
      <c r="K27220" s="30" t="s">
        <v>22</v>
      </c>
    </row>
    <row r="27221" spans="1:11">
      <c r="A27221" s="33" t="s">
        <v>59763</v>
      </c>
      <c r="B27221" s="33" t="s">
        <v>59764</v>
      </c>
      <c r="C27221" s="33" t="s">
        <v>4612</v>
      </c>
      <c r="D27221" s="33" t="s">
        <v>17</v>
      </c>
      <c r="E27221" s="33" t="s">
        <v>67</v>
      </c>
      <c r="F27221" s="33" t="s">
        <v>68</v>
      </c>
      <c r="G27221" s="33" t="s">
        <v>7780</v>
      </c>
      <c r="H27221" s="35">
        <v>12</v>
      </c>
      <c r="I27221" s="33" t="s">
        <v>51</v>
      </c>
      <c r="J27221" s="42">
        <v>46204</v>
      </c>
      <c r="K27221" s="33" t="s">
        <v>22</v>
      </c>
    </row>
    <row r="27222" spans="1:11">
      <c r="A27222" s="30" t="s">
        <v>59765</v>
      </c>
      <c r="B27222" s="30" t="s">
        <v>59766</v>
      </c>
      <c r="C27222" s="30" t="s">
        <v>1504</v>
      </c>
      <c r="D27222" s="30" t="s">
        <v>17</v>
      </c>
      <c r="E27222" s="30" t="s">
        <v>18</v>
      </c>
      <c r="F27222" s="30" t="s">
        <v>19</v>
      </c>
      <c r="G27222" s="30" t="s">
        <v>7780</v>
      </c>
      <c r="H27222" s="32">
        <v>356</v>
      </c>
      <c r="I27222" s="30" t="s">
        <v>51</v>
      </c>
      <c r="J27222" s="41">
        <v>46143</v>
      </c>
      <c r="K27222" s="30" t="s">
        <v>22</v>
      </c>
    </row>
    <row r="27223" spans="1:11">
      <c r="A27223" s="33" t="s">
        <v>59767</v>
      </c>
      <c r="B27223" s="33" t="s">
        <v>59768</v>
      </c>
      <c r="C27223" s="33" t="s">
        <v>990</v>
      </c>
      <c r="D27223" s="33" t="s">
        <v>17</v>
      </c>
      <c r="E27223" s="33" t="s">
        <v>26</v>
      </c>
      <c r="F27223" s="33" t="s">
        <v>27</v>
      </c>
      <c r="G27223" s="33" t="s">
        <v>140</v>
      </c>
      <c r="H27223" s="35">
        <v>60</v>
      </c>
      <c r="I27223" s="33" t="s">
        <v>51</v>
      </c>
      <c r="J27223" s="42">
        <v>46199</v>
      </c>
      <c r="K27223" s="33" t="s">
        <v>22</v>
      </c>
    </row>
    <row r="27224" spans="1:11">
      <c r="A27224" s="30" t="s">
        <v>59769</v>
      </c>
      <c r="B27224" s="30" t="s">
        <v>59770</v>
      </c>
      <c r="C27224" s="30" t="s">
        <v>231</v>
      </c>
      <c r="D27224" s="30" t="s">
        <v>17</v>
      </c>
      <c r="E27224" s="30" t="s">
        <v>26</v>
      </c>
      <c r="F27224" s="30" t="s">
        <v>27</v>
      </c>
      <c r="G27224" s="30" t="s">
        <v>20</v>
      </c>
      <c r="H27224" s="32">
        <v>8</v>
      </c>
      <c r="I27224" s="30" t="s">
        <v>21</v>
      </c>
      <c r="J27224" s="41">
        <v>46044</v>
      </c>
      <c r="K27224" s="30" t="s">
        <v>22</v>
      </c>
    </row>
    <row r="27225" spans="1:11">
      <c r="A27225" s="33" t="s">
        <v>59771</v>
      </c>
      <c r="B27225" s="33" t="s">
        <v>59772</v>
      </c>
      <c r="C27225" s="33" t="s">
        <v>41484</v>
      </c>
      <c r="D27225" s="33" t="s">
        <v>17</v>
      </c>
      <c r="E27225" s="33" t="s">
        <v>26</v>
      </c>
      <c r="F27225" s="33" t="s">
        <v>27</v>
      </c>
      <c r="G27225" s="33" t="s">
        <v>140</v>
      </c>
      <c r="H27225" s="35">
        <v>24</v>
      </c>
      <c r="I27225" s="33" t="s">
        <v>51</v>
      </c>
      <c r="J27225" s="42">
        <v>46066</v>
      </c>
      <c r="K27225" s="33" t="s">
        <v>22</v>
      </c>
    </row>
    <row r="27226" spans="1:11">
      <c r="A27226" s="30" t="s">
        <v>59773</v>
      </c>
      <c r="B27226" s="30" t="s">
        <v>59774</v>
      </c>
      <c r="C27226" s="30" t="s">
        <v>25989</v>
      </c>
      <c r="D27226" s="30" t="s">
        <v>17</v>
      </c>
      <c r="E27226" s="30" t="s">
        <v>18</v>
      </c>
      <c r="F27226" s="30" t="s">
        <v>19</v>
      </c>
      <c r="G27226" s="30" t="s">
        <v>140</v>
      </c>
      <c r="H27226" s="32">
        <v>310</v>
      </c>
      <c r="I27226" s="30" t="s">
        <v>51</v>
      </c>
      <c r="J27226" s="41">
        <v>46191</v>
      </c>
      <c r="K27226" s="30" t="s">
        <v>22</v>
      </c>
    </row>
    <row r="27227" spans="1:11">
      <c r="A27227" s="33" t="s">
        <v>59775</v>
      </c>
      <c r="B27227" s="33" t="s">
        <v>59776</v>
      </c>
      <c r="C27227" s="33" t="s">
        <v>26340</v>
      </c>
      <c r="D27227" s="33" t="s">
        <v>17</v>
      </c>
      <c r="E27227" s="33" t="s">
        <v>26</v>
      </c>
      <c r="F27227" s="33" t="s">
        <v>27</v>
      </c>
      <c r="G27227" s="33" t="s">
        <v>140</v>
      </c>
      <c r="H27227" s="35">
        <v>80</v>
      </c>
      <c r="I27227" s="33" t="s">
        <v>51</v>
      </c>
      <c r="J27227" s="42">
        <v>46174</v>
      </c>
      <c r="K27227" s="33" t="s">
        <v>22</v>
      </c>
    </row>
    <row r="27228" spans="1:11">
      <c r="A27228" s="30" t="s">
        <v>59777</v>
      </c>
      <c r="B27228" s="30" t="s">
        <v>59778</v>
      </c>
      <c r="C27228" s="30" t="s">
        <v>59779</v>
      </c>
      <c r="D27228" s="30" t="s">
        <v>17</v>
      </c>
      <c r="E27228" s="30" t="s">
        <v>26</v>
      </c>
      <c r="F27228" s="30" t="s">
        <v>27</v>
      </c>
      <c r="G27228" s="30" t="s">
        <v>140</v>
      </c>
      <c r="H27228" s="32">
        <v>104</v>
      </c>
      <c r="I27228" s="30" t="s">
        <v>51</v>
      </c>
      <c r="J27228" s="41">
        <v>46189</v>
      </c>
      <c r="K27228" s="30" t="s">
        <v>22</v>
      </c>
    </row>
    <row r="27229" spans="1:11">
      <c r="A27229" s="33" t="s">
        <v>59780</v>
      </c>
      <c r="B27229" s="33" t="s">
        <v>59781</v>
      </c>
      <c r="C27229" s="33" t="s">
        <v>7072</v>
      </c>
      <c r="D27229" s="33" t="s">
        <v>17</v>
      </c>
      <c r="E27229" s="33" t="s">
        <v>67</v>
      </c>
      <c r="F27229" s="33" t="s">
        <v>68</v>
      </c>
      <c r="G27229" s="33" t="s">
        <v>7780</v>
      </c>
      <c r="H27229" s="35">
        <v>332</v>
      </c>
      <c r="I27229" s="33" t="s">
        <v>51</v>
      </c>
      <c r="J27229" s="42">
        <v>46174</v>
      </c>
      <c r="K27229" s="33" t="s">
        <v>22</v>
      </c>
    </row>
    <row r="27230" spans="1:11">
      <c r="A27230" s="30" t="s">
        <v>59782</v>
      </c>
      <c r="B27230" s="30" t="s">
        <v>59783</v>
      </c>
      <c r="C27230" s="30" t="s">
        <v>44733</v>
      </c>
      <c r="D27230" s="30" t="s">
        <v>17</v>
      </c>
      <c r="E27230" s="30" t="s">
        <v>26</v>
      </c>
      <c r="F27230" s="30" t="s">
        <v>27</v>
      </c>
      <c r="G27230" s="30" t="s">
        <v>140</v>
      </c>
      <c r="H27230" s="32">
        <v>40</v>
      </c>
      <c r="I27230" s="30" t="s">
        <v>51</v>
      </c>
      <c r="J27230" s="41">
        <v>46171</v>
      </c>
      <c r="K27230" s="30" t="s">
        <v>22</v>
      </c>
    </row>
    <row r="27231" spans="1:11">
      <c r="A27231" s="33" t="s">
        <v>59784</v>
      </c>
      <c r="B27231" s="33" t="s">
        <v>59785</v>
      </c>
      <c r="C27231" s="33" t="s">
        <v>136</v>
      </c>
      <c r="D27231" s="33" t="s">
        <v>17</v>
      </c>
      <c r="E27231" s="33" t="s">
        <v>18</v>
      </c>
      <c r="F27231" s="33" t="s">
        <v>19</v>
      </c>
      <c r="G27231" s="33" t="s">
        <v>140</v>
      </c>
      <c r="H27231" s="35">
        <v>900</v>
      </c>
      <c r="I27231" s="33" t="s">
        <v>51</v>
      </c>
      <c r="J27231" s="42">
        <v>46062</v>
      </c>
      <c r="K27231" s="33" t="s">
        <v>22</v>
      </c>
    </row>
    <row r="27232" spans="1:11">
      <c r="A27232" s="30" t="s">
        <v>59786</v>
      </c>
      <c r="B27232" s="30" t="s">
        <v>59787</v>
      </c>
      <c r="C27232" s="30" t="s">
        <v>78</v>
      </c>
      <c r="D27232" s="30" t="s">
        <v>17</v>
      </c>
      <c r="E27232" s="30" t="s">
        <v>67</v>
      </c>
      <c r="F27232" s="30" t="s">
        <v>68</v>
      </c>
      <c r="G27232" s="30" t="s">
        <v>140</v>
      </c>
      <c r="H27232" s="32">
        <v>140</v>
      </c>
      <c r="I27232" s="30" t="s">
        <v>51</v>
      </c>
      <c r="J27232" s="41">
        <v>46128</v>
      </c>
      <c r="K27232" s="30" t="s">
        <v>22</v>
      </c>
    </row>
    <row r="27233" spans="1:11">
      <c r="A27233" s="33" t="s">
        <v>59788</v>
      </c>
      <c r="B27233" s="33" t="s">
        <v>59789</v>
      </c>
      <c r="C27233" s="33" t="s">
        <v>2728</v>
      </c>
      <c r="D27233" s="33" t="s">
        <v>17</v>
      </c>
      <c r="E27233" s="33" t="s">
        <v>26</v>
      </c>
      <c r="F27233" s="33" t="s">
        <v>27</v>
      </c>
      <c r="G27233" s="33" t="s">
        <v>140</v>
      </c>
      <c r="H27233" s="35">
        <v>125</v>
      </c>
      <c r="I27233" s="33" t="s">
        <v>51</v>
      </c>
      <c r="J27233" s="42">
        <v>46083</v>
      </c>
      <c r="K27233" s="33" t="s">
        <v>22</v>
      </c>
    </row>
    <row r="27234" spans="1:11">
      <c r="A27234" s="30" t="s">
        <v>59790</v>
      </c>
      <c r="B27234" s="30" t="s">
        <v>59791</v>
      </c>
      <c r="C27234" s="30" t="s">
        <v>570</v>
      </c>
      <c r="D27234" s="30" t="s">
        <v>17</v>
      </c>
      <c r="E27234" s="30" t="s">
        <v>26</v>
      </c>
      <c r="F27234" s="30" t="s">
        <v>27</v>
      </c>
      <c r="G27234" s="30" t="s">
        <v>7780</v>
      </c>
      <c r="H27234" s="32">
        <v>192</v>
      </c>
      <c r="I27234" s="30" t="s">
        <v>51</v>
      </c>
      <c r="J27234" s="41">
        <v>46109</v>
      </c>
      <c r="K27234" s="30" t="s">
        <v>22</v>
      </c>
    </row>
    <row r="27235" spans="1:11">
      <c r="A27235" s="33" t="s">
        <v>59792</v>
      </c>
      <c r="B27235" s="33" t="s">
        <v>59793</v>
      </c>
      <c r="C27235" s="33" t="s">
        <v>59794</v>
      </c>
      <c r="D27235" s="33" t="s">
        <v>17</v>
      </c>
      <c r="E27235" s="33" t="s">
        <v>67</v>
      </c>
      <c r="F27235" s="33" t="s">
        <v>68</v>
      </c>
      <c r="G27235" s="33" t="s">
        <v>7780</v>
      </c>
      <c r="H27235" s="35">
        <v>58</v>
      </c>
      <c r="I27235" s="33" t="s">
        <v>51</v>
      </c>
      <c r="J27235" s="42">
        <v>46142</v>
      </c>
      <c r="K27235" s="33" t="s">
        <v>22</v>
      </c>
    </row>
    <row r="27236" spans="1:11">
      <c r="A27236" s="30" t="s">
        <v>59795</v>
      </c>
      <c r="B27236" s="30" t="s">
        <v>59796</v>
      </c>
      <c r="C27236" s="30" t="s">
        <v>57894</v>
      </c>
      <c r="D27236" s="30" t="s">
        <v>17</v>
      </c>
      <c r="E27236" s="30" t="s">
        <v>26</v>
      </c>
      <c r="F27236" s="30" t="s">
        <v>27</v>
      </c>
      <c r="G27236" s="30" t="s">
        <v>140</v>
      </c>
      <c r="H27236" s="32">
        <v>112</v>
      </c>
      <c r="I27236" s="30" t="s">
        <v>51</v>
      </c>
      <c r="J27236" s="41">
        <v>46037</v>
      </c>
      <c r="K27236" s="30" t="s">
        <v>22</v>
      </c>
    </row>
    <row r="27237" spans="1:11">
      <c r="A27237" s="33" t="s">
        <v>59797</v>
      </c>
      <c r="B27237" s="33" t="s">
        <v>59798</v>
      </c>
      <c r="C27237" s="33" t="s">
        <v>39233</v>
      </c>
      <c r="D27237" s="33" t="s">
        <v>17</v>
      </c>
      <c r="E27237" s="33" t="s">
        <v>31</v>
      </c>
      <c r="F27237" s="33" t="s">
        <v>32</v>
      </c>
      <c r="G27237" s="33" t="s">
        <v>7780</v>
      </c>
      <c r="H27237" s="35">
        <v>175</v>
      </c>
      <c r="I27237" s="33" t="s">
        <v>51</v>
      </c>
      <c r="J27237" s="42">
        <v>46213</v>
      </c>
      <c r="K27237" s="33" t="s">
        <v>22</v>
      </c>
    </row>
    <row r="27238" spans="1:11">
      <c r="A27238" s="30" t="s">
        <v>59799</v>
      </c>
      <c r="B27238" s="30" t="s">
        <v>59800</v>
      </c>
      <c r="C27238" s="30" t="s">
        <v>1796</v>
      </c>
      <c r="D27238" s="30" t="s">
        <v>17</v>
      </c>
      <c r="E27238" s="30" t="s">
        <v>67</v>
      </c>
      <c r="F27238" s="30" t="s">
        <v>68</v>
      </c>
      <c r="G27238" s="30" t="s">
        <v>7780</v>
      </c>
      <c r="H27238" s="32">
        <v>150</v>
      </c>
      <c r="I27238" s="30" t="s">
        <v>51</v>
      </c>
      <c r="J27238" s="41">
        <v>46053</v>
      </c>
      <c r="K27238" s="30" t="s">
        <v>22</v>
      </c>
    </row>
    <row r="27239" spans="1:11">
      <c r="A27239" s="33" t="s">
        <v>59801</v>
      </c>
      <c r="B27239" s="33" t="s">
        <v>59802</v>
      </c>
      <c r="C27239" s="33" t="s">
        <v>149</v>
      </c>
      <c r="D27239" s="33" t="s">
        <v>17</v>
      </c>
      <c r="E27239" s="33" t="s">
        <v>31</v>
      </c>
      <c r="F27239" s="33" t="s">
        <v>32</v>
      </c>
      <c r="G27239" s="33" t="s">
        <v>140</v>
      </c>
      <c r="H27239" s="35">
        <v>120</v>
      </c>
      <c r="I27239" s="33" t="s">
        <v>51</v>
      </c>
      <c r="J27239" s="42">
        <v>46077</v>
      </c>
      <c r="K27239" s="33" t="s">
        <v>22</v>
      </c>
    </row>
    <row r="27240" spans="1:11">
      <c r="A27240" s="30" t="s">
        <v>59803</v>
      </c>
      <c r="B27240" s="30" t="s">
        <v>59804</v>
      </c>
      <c r="C27240" s="30" t="s">
        <v>2196</v>
      </c>
      <c r="D27240" s="30" t="s">
        <v>17</v>
      </c>
      <c r="E27240" s="30" t="s">
        <v>18</v>
      </c>
      <c r="F27240" s="30" t="s">
        <v>19</v>
      </c>
      <c r="G27240" s="30" t="s">
        <v>140</v>
      </c>
      <c r="H27240" s="32">
        <v>240</v>
      </c>
      <c r="I27240" s="30" t="s">
        <v>51</v>
      </c>
      <c r="J27240" s="41">
        <v>46101</v>
      </c>
      <c r="K27240" s="30" t="s">
        <v>22</v>
      </c>
    </row>
    <row r="27241" spans="1:11">
      <c r="A27241" s="33" t="s">
        <v>59805</v>
      </c>
      <c r="B27241" s="33" t="s">
        <v>59806</v>
      </c>
      <c r="C27241" s="33" t="s">
        <v>7072</v>
      </c>
      <c r="D27241" s="33" t="s">
        <v>17</v>
      </c>
      <c r="E27241" s="33" t="s">
        <v>31</v>
      </c>
      <c r="F27241" s="33" t="s">
        <v>32</v>
      </c>
      <c r="G27241" s="33" t="s">
        <v>7780</v>
      </c>
      <c r="H27241" s="35">
        <v>120</v>
      </c>
      <c r="I27241" s="33" t="s">
        <v>51</v>
      </c>
      <c r="J27241" s="42">
        <v>46233</v>
      </c>
      <c r="K27241" s="33" t="s">
        <v>22</v>
      </c>
    </row>
    <row r="27242" spans="1:11">
      <c r="A27242" s="30" t="s">
        <v>59807</v>
      </c>
      <c r="B27242" s="30" t="s">
        <v>59808</v>
      </c>
      <c r="C27242" s="30" t="s">
        <v>46627</v>
      </c>
      <c r="D27242" s="30" t="s">
        <v>17</v>
      </c>
      <c r="E27242" s="30" t="s">
        <v>26</v>
      </c>
      <c r="F27242" s="30" t="s">
        <v>27</v>
      </c>
      <c r="G27242" s="30" t="s">
        <v>140</v>
      </c>
      <c r="H27242" s="32">
        <v>33</v>
      </c>
      <c r="I27242" s="30" t="s">
        <v>51</v>
      </c>
      <c r="J27242" s="41">
        <v>46228</v>
      </c>
      <c r="K27242" s="30" t="s">
        <v>22</v>
      </c>
    </row>
    <row r="27243" spans="1:11">
      <c r="A27243" s="33" t="s">
        <v>59809</v>
      </c>
      <c r="B27243" s="33" t="s">
        <v>59810</v>
      </c>
      <c r="C27243" s="33" t="s">
        <v>49440</v>
      </c>
      <c r="D27243" s="33" t="s">
        <v>17</v>
      </c>
      <c r="E27243" s="33" t="s">
        <v>31</v>
      </c>
      <c r="F27243" s="33" t="s">
        <v>32</v>
      </c>
      <c r="G27243" s="33" t="s">
        <v>158</v>
      </c>
      <c r="H27243" s="35">
        <v>120</v>
      </c>
      <c r="I27243" s="33" t="s">
        <v>51</v>
      </c>
      <c r="J27243" s="42">
        <v>46185</v>
      </c>
      <c r="K27243" s="33" t="s">
        <v>22</v>
      </c>
    </row>
    <row r="27244" spans="1:11">
      <c r="A27244" s="30" t="s">
        <v>59811</v>
      </c>
      <c r="B27244" s="30" t="s">
        <v>59812</v>
      </c>
      <c r="C27244" s="30" t="s">
        <v>437</v>
      </c>
      <c r="D27244" s="30" t="s">
        <v>17</v>
      </c>
      <c r="E27244" s="30" t="s">
        <v>31</v>
      </c>
      <c r="F27244" s="30" t="s">
        <v>32</v>
      </c>
      <c r="G27244" s="30" t="s">
        <v>20</v>
      </c>
      <c r="H27244" s="32">
        <v>30</v>
      </c>
      <c r="I27244" s="30" t="s">
        <v>21</v>
      </c>
      <c r="J27244" s="41">
        <v>46111</v>
      </c>
      <c r="K27244" s="30" t="s">
        <v>22</v>
      </c>
    </row>
    <row r="27245" spans="1:11">
      <c r="A27245" s="33" t="s">
        <v>59813</v>
      </c>
      <c r="B27245" s="33" t="s">
        <v>59814</v>
      </c>
      <c r="C27245" s="33" t="s">
        <v>41121</v>
      </c>
      <c r="D27245" s="33" t="s">
        <v>17</v>
      </c>
      <c r="E27245" s="33" t="s">
        <v>26</v>
      </c>
      <c r="F27245" s="33" t="s">
        <v>27</v>
      </c>
      <c r="G27245" s="33" t="s">
        <v>140</v>
      </c>
      <c r="H27245" s="35">
        <v>70</v>
      </c>
      <c r="I27245" s="33" t="s">
        <v>51</v>
      </c>
      <c r="J27245" s="42">
        <v>46045</v>
      </c>
      <c r="K27245" s="33" t="s">
        <v>22</v>
      </c>
    </row>
    <row r="27246" spans="1:11">
      <c r="A27246" s="30" t="s">
        <v>59815</v>
      </c>
      <c r="B27246" s="30" t="s">
        <v>59816</v>
      </c>
      <c r="C27246" s="30" t="s">
        <v>3655</v>
      </c>
      <c r="D27246" s="30" t="s">
        <v>17</v>
      </c>
      <c r="E27246" s="30" t="s">
        <v>18</v>
      </c>
      <c r="F27246" s="30" t="s">
        <v>19</v>
      </c>
      <c r="G27246" s="30" t="s">
        <v>140</v>
      </c>
      <c r="H27246" s="32">
        <v>736</v>
      </c>
      <c r="I27246" s="30" t="s">
        <v>51</v>
      </c>
      <c r="J27246" s="41">
        <v>46134</v>
      </c>
      <c r="K27246" s="30" t="s">
        <v>22</v>
      </c>
    </row>
    <row r="27247" spans="1:11">
      <c r="A27247" s="33" t="s">
        <v>59817</v>
      </c>
      <c r="B27247" s="33" t="s">
        <v>59818</v>
      </c>
      <c r="C27247" s="33" t="s">
        <v>96</v>
      </c>
      <c r="D27247" s="33" t="s">
        <v>17</v>
      </c>
      <c r="E27247" s="33" t="s">
        <v>18</v>
      </c>
      <c r="F27247" s="33" t="s">
        <v>19</v>
      </c>
      <c r="G27247" s="33" t="s">
        <v>158</v>
      </c>
      <c r="H27247" s="35">
        <v>1044</v>
      </c>
      <c r="I27247" s="33" t="s">
        <v>21</v>
      </c>
      <c r="J27247" s="42">
        <v>46077</v>
      </c>
      <c r="K27247" s="33" t="s">
        <v>22</v>
      </c>
    </row>
    <row r="27248" spans="1:11">
      <c r="A27248" s="30" t="s">
        <v>59819</v>
      </c>
      <c r="B27248" s="30" t="s">
        <v>59820</v>
      </c>
      <c r="C27248" s="30" t="s">
        <v>56957</v>
      </c>
      <c r="D27248" s="30" t="s">
        <v>17</v>
      </c>
      <c r="E27248" s="30" t="s">
        <v>67</v>
      </c>
      <c r="F27248" s="30" t="s">
        <v>68</v>
      </c>
      <c r="G27248" s="30" t="s">
        <v>140</v>
      </c>
      <c r="H27248" s="32">
        <v>60</v>
      </c>
      <c r="I27248" s="30" t="s">
        <v>51</v>
      </c>
      <c r="J27248" s="41">
        <v>46083</v>
      </c>
      <c r="K27248" s="30" t="s">
        <v>22</v>
      </c>
    </row>
    <row r="27249" spans="1:11">
      <c r="A27249" s="33" t="s">
        <v>59821</v>
      </c>
      <c r="B27249" s="33" t="s">
        <v>59822</v>
      </c>
      <c r="C27249" s="33" t="s">
        <v>1796</v>
      </c>
      <c r="D27249" s="33" t="s">
        <v>17</v>
      </c>
      <c r="E27249" s="33" t="s">
        <v>26</v>
      </c>
      <c r="F27249" s="33" t="s">
        <v>27</v>
      </c>
      <c r="G27249" s="33" t="s">
        <v>7780</v>
      </c>
      <c r="H27249" s="35">
        <v>24</v>
      </c>
      <c r="I27249" s="33" t="s">
        <v>51</v>
      </c>
      <c r="J27249" s="42">
        <v>46233</v>
      </c>
      <c r="K27249" s="33" t="s">
        <v>22</v>
      </c>
    </row>
    <row r="27250" spans="1:11">
      <c r="A27250" s="30" t="s">
        <v>59823</v>
      </c>
      <c r="B27250" s="30" t="s">
        <v>59824</v>
      </c>
      <c r="C27250" s="30" t="s">
        <v>109</v>
      </c>
      <c r="D27250" s="30" t="s">
        <v>17</v>
      </c>
      <c r="E27250" s="30" t="s">
        <v>31</v>
      </c>
      <c r="F27250" s="30" t="s">
        <v>32</v>
      </c>
      <c r="G27250" s="30" t="s">
        <v>140</v>
      </c>
      <c r="H27250" s="32">
        <v>120</v>
      </c>
      <c r="I27250" s="30" t="s">
        <v>51</v>
      </c>
      <c r="J27250" s="41">
        <v>46171</v>
      </c>
      <c r="K27250" s="30" t="s">
        <v>22</v>
      </c>
    </row>
    <row r="27251" spans="1:11">
      <c r="A27251" s="33" t="s">
        <v>59825</v>
      </c>
      <c r="B27251" s="33" t="s">
        <v>59826</v>
      </c>
      <c r="C27251" s="33" t="s">
        <v>59827</v>
      </c>
      <c r="D27251" s="33" t="s">
        <v>17</v>
      </c>
      <c r="E27251" s="33" t="s">
        <v>18</v>
      </c>
      <c r="F27251" s="33" t="s">
        <v>19</v>
      </c>
      <c r="G27251" s="33" t="s">
        <v>7780</v>
      </c>
      <c r="H27251" s="35">
        <v>1525</v>
      </c>
      <c r="I27251" s="33" t="s">
        <v>51</v>
      </c>
      <c r="J27251" s="42">
        <v>46174</v>
      </c>
      <c r="K27251" s="33" t="s">
        <v>22</v>
      </c>
    </row>
    <row r="27252" spans="1:11">
      <c r="A27252" s="30" t="s">
        <v>59828</v>
      </c>
      <c r="B27252" s="30" t="s">
        <v>59829</v>
      </c>
      <c r="C27252" s="30" t="s">
        <v>203</v>
      </c>
      <c r="D27252" s="30" t="s">
        <v>17</v>
      </c>
      <c r="E27252" s="30" t="s">
        <v>31</v>
      </c>
      <c r="F27252" s="30" t="s">
        <v>32</v>
      </c>
      <c r="G27252" s="30" t="s">
        <v>2613</v>
      </c>
      <c r="H27252" s="32">
        <v>325</v>
      </c>
      <c r="I27252" s="30" t="s">
        <v>51</v>
      </c>
      <c r="J27252" s="41">
        <v>46161</v>
      </c>
      <c r="K27252" s="30" t="s">
        <v>22</v>
      </c>
    </row>
    <row r="27253" spans="1:11">
      <c r="A27253" s="33" t="s">
        <v>59830</v>
      </c>
      <c r="B27253" s="33" t="s">
        <v>59831</v>
      </c>
      <c r="C27253" s="33" t="s">
        <v>1796</v>
      </c>
      <c r="D27253" s="33" t="s">
        <v>17</v>
      </c>
      <c r="E27253" s="33" t="s">
        <v>31</v>
      </c>
      <c r="F27253" s="33" t="s">
        <v>32</v>
      </c>
      <c r="G27253" s="33" t="s">
        <v>7780</v>
      </c>
      <c r="H27253" s="35">
        <v>242</v>
      </c>
      <c r="I27253" s="33" t="s">
        <v>51</v>
      </c>
      <c r="J27253" s="42">
        <v>46216</v>
      </c>
      <c r="K27253" s="33" t="s">
        <v>22</v>
      </c>
    </row>
    <row r="27254" spans="1:11">
      <c r="A27254" s="30" t="s">
        <v>59832</v>
      </c>
      <c r="B27254" s="30" t="s">
        <v>59833</v>
      </c>
      <c r="C27254" s="30" t="s">
        <v>795</v>
      </c>
      <c r="D27254" s="30" t="s">
        <v>17</v>
      </c>
      <c r="E27254" s="30" t="s">
        <v>26</v>
      </c>
      <c r="F27254" s="30" t="s">
        <v>27</v>
      </c>
      <c r="G27254" s="30" t="s">
        <v>140</v>
      </c>
      <c r="H27254" s="32">
        <v>103</v>
      </c>
      <c r="I27254" s="30" t="s">
        <v>51</v>
      </c>
      <c r="J27254" s="41">
        <v>46126</v>
      </c>
      <c r="K27254" s="30" t="s">
        <v>22</v>
      </c>
    </row>
    <row r="27255" spans="1:11">
      <c r="A27255" s="33" t="s">
        <v>59834</v>
      </c>
      <c r="B27255" s="33" t="s">
        <v>59835</v>
      </c>
      <c r="C27255" s="33" t="s">
        <v>1796</v>
      </c>
      <c r="D27255" s="33" t="s">
        <v>17</v>
      </c>
      <c r="E27255" s="33" t="s">
        <v>31</v>
      </c>
      <c r="F27255" s="33" t="s">
        <v>32</v>
      </c>
      <c r="G27255" s="33" t="s">
        <v>140</v>
      </c>
      <c r="H27255" s="35">
        <v>65</v>
      </c>
      <c r="I27255" s="33" t="s">
        <v>51</v>
      </c>
      <c r="J27255" s="42">
        <v>46067</v>
      </c>
      <c r="K27255" s="33" t="s">
        <v>22</v>
      </c>
    </row>
    <row r="27256" spans="1:11">
      <c r="A27256" s="30" t="s">
        <v>59836</v>
      </c>
      <c r="B27256" s="30" t="s">
        <v>59837</v>
      </c>
      <c r="C27256" s="30" t="s">
        <v>3610</v>
      </c>
      <c r="D27256" s="30" t="s">
        <v>17</v>
      </c>
      <c r="E27256" s="30" t="s">
        <v>31</v>
      </c>
      <c r="F27256" s="30" t="s">
        <v>32</v>
      </c>
      <c r="G27256" s="30" t="s">
        <v>140</v>
      </c>
      <c r="H27256" s="32">
        <v>120</v>
      </c>
      <c r="I27256" s="30" t="s">
        <v>51</v>
      </c>
      <c r="J27256" s="41">
        <v>46174</v>
      </c>
      <c r="K27256" s="30" t="s">
        <v>22</v>
      </c>
    </row>
    <row r="27257" spans="1:11">
      <c r="A27257" s="33" t="s">
        <v>59838</v>
      </c>
      <c r="B27257" s="33" t="s">
        <v>59839</v>
      </c>
      <c r="C27257" s="33" t="s">
        <v>41865</v>
      </c>
      <c r="D27257" s="33" t="s">
        <v>17</v>
      </c>
      <c r="E27257" s="33" t="s">
        <v>31</v>
      </c>
      <c r="F27257" s="33" t="s">
        <v>32</v>
      </c>
      <c r="G27257" s="33" t="s">
        <v>7780</v>
      </c>
      <c r="H27257" s="35">
        <v>90</v>
      </c>
      <c r="I27257" s="33" t="s">
        <v>51</v>
      </c>
      <c r="J27257" s="42">
        <v>46079</v>
      </c>
      <c r="K27257" s="33" t="s">
        <v>22</v>
      </c>
    </row>
    <row r="27258" spans="1:11">
      <c r="A27258" s="30" t="s">
        <v>59840</v>
      </c>
      <c r="B27258" s="30" t="s">
        <v>59841</v>
      </c>
      <c r="C27258" s="30" t="s">
        <v>57217</v>
      </c>
      <c r="D27258" s="30" t="s">
        <v>17</v>
      </c>
      <c r="E27258" s="30" t="s">
        <v>67</v>
      </c>
      <c r="F27258" s="30" t="s">
        <v>68</v>
      </c>
      <c r="G27258" s="30" t="s">
        <v>140</v>
      </c>
      <c r="H27258" s="32">
        <v>36</v>
      </c>
      <c r="I27258" s="30" t="s">
        <v>51</v>
      </c>
      <c r="J27258" s="41">
        <v>46113</v>
      </c>
      <c r="K27258" s="30" t="s">
        <v>22</v>
      </c>
    </row>
    <row r="27259" spans="1:11">
      <c r="A27259" s="33" t="s">
        <v>59842</v>
      </c>
      <c r="B27259" s="33" t="s">
        <v>59843</v>
      </c>
      <c r="C27259" s="33" t="s">
        <v>1270</v>
      </c>
      <c r="D27259" s="33" t="s">
        <v>17</v>
      </c>
      <c r="E27259" s="33" t="s">
        <v>67</v>
      </c>
      <c r="F27259" s="33" t="s">
        <v>68</v>
      </c>
      <c r="G27259" s="33" t="s">
        <v>140</v>
      </c>
      <c r="H27259" s="35">
        <v>50</v>
      </c>
      <c r="I27259" s="33" t="s">
        <v>51</v>
      </c>
      <c r="J27259" s="42">
        <v>46067</v>
      </c>
      <c r="K27259" s="33" t="s">
        <v>22</v>
      </c>
    </row>
    <row r="27260" spans="1:11">
      <c r="A27260" s="30" t="s">
        <v>59844</v>
      </c>
      <c r="B27260" s="30" t="s">
        <v>59845</v>
      </c>
      <c r="C27260" s="30" t="s">
        <v>102</v>
      </c>
      <c r="D27260" s="30" t="s">
        <v>17</v>
      </c>
      <c r="E27260" s="30" t="s">
        <v>18</v>
      </c>
      <c r="F27260" s="30" t="s">
        <v>19</v>
      </c>
      <c r="G27260" s="30" t="s">
        <v>140</v>
      </c>
      <c r="H27260" s="32">
        <v>400</v>
      </c>
      <c r="I27260" s="30" t="s">
        <v>51</v>
      </c>
      <c r="J27260" s="41">
        <v>46057</v>
      </c>
      <c r="K27260" s="30" t="s">
        <v>22</v>
      </c>
    </row>
    <row r="27261" spans="1:11">
      <c r="A27261" s="33" t="s">
        <v>59846</v>
      </c>
      <c r="B27261" s="33" t="s">
        <v>59847</v>
      </c>
      <c r="C27261" s="33" t="s">
        <v>7900</v>
      </c>
      <c r="D27261" s="33" t="s">
        <v>17</v>
      </c>
      <c r="E27261" s="33" t="s">
        <v>26</v>
      </c>
      <c r="F27261" s="33" t="s">
        <v>27</v>
      </c>
      <c r="G27261" s="33" t="s">
        <v>20</v>
      </c>
      <c r="H27261" s="35">
        <v>34</v>
      </c>
      <c r="I27261" s="33" t="s">
        <v>21</v>
      </c>
      <c r="J27261" s="42">
        <v>46055</v>
      </c>
      <c r="K27261" s="33" t="s">
        <v>22</v>
      </c>
    </row>
    <row r="27262" spans="1:11">
      <c r="A27262" s="30" t="s">
        <v>59848</v>
      </c>
      <c r="B27262" s="30" t="s">
        <v>59849</v>
      </c>
      <c r="C27262" s="30" t="s">
        <v>39740</v>
      </c>
      <c r="D27262" s="30" t="s">
        <v>17</v>
      </c>
      <c r="E27262" s="30" t="s">
        <v>31</v>
      </c>
      <c r="F27262" s="30" t="s">
        <v>32</v>
      </c>
      <c r="G27262" s="30" t="s">
        <v>158</v>
      </c>
      <c r="H27262" s="32">
        <v>47</v>
      </c>
      <c r="I27262" s="30" t="s">
        <v>21</v>
      </c>
      <c r="J27262" s="41">
        <v>46141</v>
      </c>
      <c r="K27262" s="30" t="s">
        <v>22</v>
      </c>
    </row>
    <row r="27263" spans="1:11">
      <c r="A27263" s="33" t="s">
        <v>59850</v>
      </c>
      <c r="B27263" s="33" t="s">
        <v>59851</v>
      </c>
      <c r="C27263" s="33" t="s">
        <v>136</v>
      </c>
      <c r="D27263" s="33" t="s">
        <v>17</v>
      </c>
      <c r="E27263" s="33" t="s">
        <v>26</v>
      </c>
      <c r="F27263" s="33" t="s">
        <v>27</v>
      </c>
      <c r="G27263" s="33" t="s">
        <v>140</v>
      </c>
      <c r="H27263" s="35">
        <v>150</v>
      </c>
      <c r="I27263" s="33" t="s">
        <v>51</v>
      </c>
      <c r="J27263" s="42">
        <v>46148</v>
      </c>
      <c r="K27263" s="33" t="s">
        <v>22</v>
      </c>
    </row>
    <row r="27264" spans="1:11">
      <c r="A27264" s="30" t="s">
        <v>59852</v>
      </c>
      <c r="B27264" s="30" t="s">
        <v>59853</v>
      </c>
      <c r="C27264" s="30" t="s">
        <v>2709</v>
      </c>
      <c r="D27264" s="30" t="s">
        <v>17</v>
      </c>
      <c r="E27264" s="30" t="s">
        <v>212</v>
      </c>
      <c r="F27264" s="30" t="s">
        <v>213</v>
      </c>
      <c r="G27264" s="30" t="s">
        <v>2613</v>
      </c>
      <c r="H27264" s="32">
        <v>200</v>
      </c>
      <c r="I27264" s="30" t="s">
        <v>51</v>
      </c>
      <c r="J27264" s="41">
        <v>46121</v>
      </c>
      <c r="K27264" s="30" t="s">
        <v>22</v>
      </c>
    </row>
    <row r="27265" spans="1:11">
      <c r="A27265" s="33" t="s">
        <v>59854</v>
      </c>
      <c r="B27265" s="33" t="s">
        <v>59855</v>
      </c>
      <c r="C27265" s="33" t="s">
        <v>2490</v>
      </c>
      <c r="D27265" s="33" t="s">
        <v>17</v>
      </c>
      <c r="E27265" s="33" t="s">
        <v>26</v>
      </c>
      <c r="F27265" s="33" t="s">
        <v>27</v>
      </c>
      <c r="G27265" s="33" t="s">
        <v>20</v>
      </c>
      <c r="H27265" s="35">
        <v>24</v>
      </c>
      <c r="I27265" s="33" t="s">
        <v>21</v>
      </c>
      <c r="J27265" s="42">
        <v>46127</v>
      </c>
      <c r="K27265" s="33" t="s">
        <v>22</v>
      </c>
    </row>
    <row r="27266" spans="1:11">
      <c r="A27266" s="30" t="s">
        <v>59856</v>
      </c>
      <c r="B27266" s="30" t="s">
        <v>59857</v>
      </c>
      <c r="C27266" s="30" t="s">
        <v>1077</v>
      </c>
      <c r="D27266" s="30" t="s">
        <v>17</v>
      </c>
      <c r="E27266" s="30" t="s">
        <v>18</v>
      </c>
      <c r="F27266" s="30" t="s">
        <v>19</v>
      </c>
      <c r="G27266" s="30" t="s">
        <v>7780</v>
      </c>
      <c r="H27266" s="32">
        <v>608</v>
      </c>
      <c r="I27266" s="30" t="s">
        <v>51</v>
      </c>
      <c r="J27266" s="41">
        <v>46174</v>
      </c>
      <c r="K27266" s="30" t="s">
        <v>22</v>
      </c>
    </row>
    <row r="27267" spans="1:11">
      <c r="A27267" s="33" t="s">
        <v>59858</v>
      </c>
      <c r="B27267" s="33" t="s">
        <v>59859</v>
      </c>
      <c r="C27267" s="33" t="s">
        <v>48543</v>
      </c>
      <c r="D27267" s="33" t="s">
        <v>17</v>
      </c>
      <c r="E27267" s="33" t="s">
        <v>26</v>
      </c>
      <c r="F27267" s="33" t="s">
        <v>27</v>
      </c>
      <c r="G27267" s="33" t="s">
        <v>7780</v>
      </c>
      <c r="H27267" s="35">
        <v>11</v>
      </c>
      <c r="I27267" s="33" t="s">
        <v>51</v>
      </c>
      <c r="J27267" s="42">
        <v>46203</v>
      </c>
      <c r="K27267" s="33" t="s">
        <v>22</v>
      </c>
    </row>
    <row r="27268" spans="1:11">
      <c r="A27268" s="30" t="s">
        <v>59860</v>
      </c>
      <c r="B27268" s="30" t="s">
        <v>59861</v>
      </c>
      <c r="C27268" s="30" t="s">
        <v>99</v>
      </c>
      <c r="D27268" s="30" t="s">
        <v>17</v>
      </c>
      <c r="E27268" s="30" t="s">
        <v>31</v>
      </c>
      <c r="F27268" s="30" t="s">
        <v>32</v>
      </c>
      <c r="G27268" s="30" t="s">
        <v>7780</v>
      </c>
      <c r="H27268" s="32">
        <v>50</v>
      </c>
      <c r="I27268" s="30" t="s">
        <v>51</v>
      </c>
      <c r="J27268" s="41">
        <v>46185</v>
      </c>
      <c r="K27268" s="30" t="s">
        <v>22</v>
      </c>
    </row>
    <row r="27269" spans="1:11">
      <c r="A27269" s="33" t="s">
        <v>59862</v>
      </c>
      <c r="B27269" s="33" t="s">
        <v>59863</v>
      </c>
      <c r="C27269" s="33" t="s">
        <v>52592</v>
      </c>
      <c r="D27269" s="33" t="s">
        <v>17</v>
      </c>
      <c r="E27269" s="33" t="s">
        <v>26</v>
      </c>
      <c r="F27269" s="33" t="s">
        <v>27</v>
      </c>
      <c r="G27269" s="33" t="s">
        <v>140</v>
      </c>
      <c r="H27269" s="35">
        <v>18</v>
      </c>
      <c r="I27269" s="33" t="s">
        <v>51</v>
      </c>
      <c r="J27269" s="42">
        <v>46195</v>
      </c>
      <c r="K27269" s="33" t="s">
        <v>22</v>
      </c>
    </row>
    <row r="27270" spans="1:11">
      <c r="A27270" s="30" t="s">
        <v>59864</v>
      </c>
      <c r="B27270" s="30" t="s">
        <v>59865</v>
      </c>
      <c r="C27270" s="30" t="s">
        <v>59866</v>
      </c>
      <c r="D27270" s="30" t="s">
        <v>17</v>
      </c>
      <c r="E27270" s="30" t="s">
        <v>67</v>
      </c>
      <c r="F27270" s="30" t="s">
        <v>68</v>
      </c>
      <c r="G27270" s="30" t="s">
        <v>140</v>
      </c>
      <c r="H27270" s="32">
        <v>188</v>
      </c>
      <c r="I27270" s="30" t="s">
        <v>51</v>
      </c>
      <c r="J27270" s="41">
        <v>46204</v>
      </c>
      <c r="K27270" s="30" t="s">
        <v>22</v>
      </c>
    </row>
    <row r="27271" spans="1:11">
      <c r="A27271" s="33" t="s">
        <v>59867</v>
      </c>
      <c r="B27271" s="33" t="s">
        <v>59868</v>
      </c>
      <c r="C27271" s="33" t="s">
        <v>644</v>
      </c>
      <c r="D27271" s="33" t="s">
        <v>17</v>
      </c>
      <c r="E27271" s="33" t="s">
        <v>18</v>
      </c>
      <c r="F27271" s="33" t="s">
        <v>19</v>
      </c>
      <c r="G27271" s="33" t="s">
        <v>140</v>
      </c>
      <c r="H27271" s="35">
        <v>574</v>
      </c>
      <c r="I27271" s="33" t="s">
        <v>51</v>
      </c>
      <c r="J27271" s="42">
        <v>46115</v>
      </c>
      <c r="K27271" s="33" t="s">
        <v>22</v>
      </c>
    </row>
    <row r="27272" spans="1:11">
      <c r="A27272" s="30" t="s">
        <v>59869</v>
      </c>
      <c r="B27272" s="30" t="s">
        <v>59870</v>
      </c>
      <c r="C27272" s="30" t="s">
        <v>16107</v>
      </c>
      <c r="D27272" s="30" t="s">
        <v>17</v>
      </c>
      <c r="E27272" s="30" t="s">
        <v>18</v>
      </c>
      <c r="F27272" s="30" t="s">
        <v>19</v>
      </c>
      <c r="G27272" s="30" t="s">
        <v>140</v>
      </c>
      <c r="H27272" s="32">
        <v>80</v>
      </c>
      <c r="I27272" s="30" t="s">
        <v>51</v>
      </c>
      <c r="J27272" s="41">
        <v>46132</v>
      </c>
      <c r="K27272" s="30" t="s">
        <v>22</v>
      </c>
    </row>
    <row r="27273" spans="1:11">
      <c r="A27273" s="33" t="s">
        <v>59871</v>
      </c>
      <c r="B27273" s="33" t="s">
        <v>59872</v>
      </c>
      <c r="C27273" s="33" t="s">
        <v>318</v>
      </c>
      <c r="D27273" s="33" t="s">
        <v>17</v>
      </c>
      <c r="E27273" s="33" t="s">
        <v>26</v>
      </c>
      <c r="F27273" s="33" t="s">
        <v>27</v>
      </c>
      <c r="G27273" s="33" t="s">
        <v>140</v>
      </c>
      <c r="H27273" s="35">
        <v>50</v>
      </c>
      <c r="I27273" s="33" t="s">
        <v>51</v>
      </c>
      <c r="J27273" s="42">
        <v>46120</v>
      </c>
      <c r="K27273" s="33" t="s">
        <v>22</v>
      </c>
    </row>
    <row r="27274" spans="1:11">
      <c r="A27274" s="30" t="s">
        <v>59873</v>
      </c>
      <c r="B27274" s="30" t="s">
        <v>59874</v>
      </c>
      <c r="C27274" s="30" t="s">
        <v>3957</v>
      </c>
      <c r="D27274" s="30" t="s">
        <v>17</v>
      </c>
      <c r="E27274" s="30" t="s">
        <v>26</v>
      </c>
      <c r="F27274" s="30" t="s">
        <v>27</v>
      </c>
      <c r="G27274" s="30" t="s">
        <v>158</v>
      </c>
      <c r="H27274" s="32">
        <v>72</v>
      </c>
      <c r="I27274" s="30" t="s">
        <v>21</v>
      </c>
      <c r="J27274" s="41">
        <v>46050</v>
      </c>
      <c r="K27274" s="30" t="s">
        <v>22</v>
      </c>
    </row>
    <row r="27275" spans="1:11">
      <c r="A27275" s="33" t="s">
        <v>59875</v>
      </c>
      <c r="B27275" s="33" t="s">
        <v>59876</v>
      </c>
      <c r="C27275" s="33" t="s">
        <v>96</v>
      </c>
      <c r="D27275" s="33" t="s">
        <v>17</v>
      </c>
      <c r="E27275" s="33" t="s">
        <v>26</v>
      </c>
      <c r="F27275" s="33" t="s">
        <v>27</v>
      </c>
      <c r="G27275" s="33" t="s">
        <v>20</v>
      </c>
      <c r="H27275" s="35">
        <v>17</v>
      </c>
      <c r="I27275" s="33" t="s">
        <v>21</v>
      </c>
      <c r="J27275" s="42">
        <v>46125</v>
      </c>
      <c r="K27275" s="33" t="s">
        <v>22</v>
      </c>
    </row>
    <row r="27276" spans="1:11">
      <c r="A27276" s="30" t="s">
        <v>59877</v>
      </c>
      <c r="B27276" s="30" t="s">
        <v>59878</v>
      </c>
      <c r="C27276" s="30" t="s">
        <v>1529</v>
      </c>
      <c r="D27276" s="30" t="s">
        <v>17</v>
      </c>
      <c r="E27276" s="30" t="s">
        <v>45</v>
      </c>
      <c r="F27276" s="30" t="s">
        <v>46</v>
      </c>
      <c r="G27276" s="30" t="s">
        <v>7780</v>
      </c>
      <c r="H27276" s="32">
        <v>30</v>
      </c>
      <c r="I27276" s="30" t="s">
        <v>51</v>
      </c>
      <c r="J27276" s="41">
        <v>46143</v>
      </c>
      <c r="K27276" s="30" t="s">
        <v>22</v>
      </c>
    </row>
    <row r="27277" spans="1:11">
      <c r="A27277" s="33" t="s">
        <v>59879</v>
      </c>
      <c r="B27277" s="33" t="s">
        <v>59880</v>
      </c>
      <c r="C27277" s="33" t="s">
        <v>39233</v>
      </c>
      <c r="D27277" s="33" t="s">
        <v>17</v>
      </c>
      <c r="E27277" s="33" t="s">
        <v>18</v>
      </c>
      <c r="F27277" s="33" t="s">
        <v>19</v>
      </c>
      <c r="G27277" s="33" t="s">
        <v>7780</v>
      </c>
      <c r="H27277" s="35">
        <v>400</v>
      </c>
      <c r="I27277" s="33" t="s">
        <v>51</v>
      </c>
      <c r="J27277" s="42">
        <v>46113</v>
      </c>
      <c r="K27277" s="33" t="s">
        <v>22</v>
      </c>
    </row>
    <row r="27278" spans="1:11">
      <c r="A27278" s="30" t="s">
        <v>59881</v>
      </c>
      <c r="B27278" s="30" t="s">
        <v>59882</v>
      </c>
      <c r="C27278" s="30" t="s">
        <v>20321</v>
      </c>
      <c r="D27278" s="30" t="s">
        <v>17</v>
      </c>
      <c r="E27278" s="30" t="s">
        <v>26</v>
      </c>
      <c r="F27278" s="30" t="s">
        <v>27</v>
      </c>
      <c r="G27278" s="30" t="s">
        <v>7780</v>
      </c>
      <c r="H27278" s="32">
        <v>24</v>
      </c>
      <c r="I27278" s="30" t="s">
        <v>51</v>
      </c>
      <c r="J27278" s="41">
        <v>46221</v>
      </c>
      <c r="K27278" s="30" t="s">
        <v>22</v>
      </c>
    </row>
    <row r="27279" spans="1:11">
      <c r="A27279" s="33" t="s">
        <v>59883</v>
      </c>
      <c r="B27279" s="33" t="s">
        <v>59884</v>
      </c>
      <c r="C27279" s="33" t="s">
        <v>5312</v>
      </c>
      <c r="D27279" s="33" t="s">
        <v>17</v>
      </c>
      <c r="E27279" s="33" t="s">
        <v>45</v>
      </c>
      <c r="F27279" s="33" t="s">
        <v>46</v>
      </c>
      <c r="G27279" s="33" t="s">
        <v>140</v>
      </c>
      <c r="H27279" s="35">
        <v>153</v>
      </c>
      <c r="I27279" s="33" t="s">
        <v>51</v>
      </c>
      <c r="J27279" s="42">
        <v>46044</v>
      </c>
      <c r="K27279" s="33" t="s">
        <v>22</v>
      </c>
    </row>
    <row r="27280" spans="1:11">
      <c r="A27280" s="30" t="s">
        <v>59885</v>
      </c>
      <c r="B27280" s="30" t="s">
        <v>59886</v>
      </c>
      <c r="C27280" s="30" t="s">
        <v>59887</v>
      </c>
      <c r="D27280" s="30" t="s">
        <v>17</v>
      </c>
      <c r="E27280" s="30" t="s">
        <v>26</v>
      </c>
      <c r="F27280" s="30" t="s">
        <v>27</v>
      </c>
      <c r="G27280" s="30" t="s">
        <v>7780</v>
      </c>
      <c r="H27280" s="32">
        <v>68</v>
      </c>
      <c r="I27280" s="30" t="s">
        <v>51</v>
      </c>
      <c r="J27280" s="41">
        <v>46231</v>
      </c>
      <c r="K27280" s="30" t="s">
        <v>22</v>
      </c>
    </row>
    <row r="27281" spans="1:11">
      <c r="A27281" s="33" t="s">
        <v>59888</v>
      </c>
      <c r="B27281" s="33" t="s">
        <v>59889</v>
      </c>
      <c r="C27281" s="33" t="s">
        <v>450</v>
      </c>
      <c r="D27281" s="33" t="s">
        <v>17</v>
      </c>
      <c r="E27281" s="33" t="s">
        <v>26</v>
      </c>
      <c r="F27281" s="33" t="s">
        <v>27</v>
      </c>
      <c r="G27281" s="33" t="s">
        <v>140</v>
      </c>
      <c r="H27281" s="35">
        <v>48</v>
      </c>
      <c r="I27281" s="33" t="s">
        <v>51</v>
      </c>
      <c r="J27281" s="42">
        <v>46107</v>
      </c>
      <c r="K27281" s="33" t="s">
        <v>22</v>
      </c>
    </row>
    <row r="27282" spans="1:11">
      <c r="A27282" s="30" t="s">
        <v>59890</v>
      </c>
      <c r="B27282" s="30" t="s">
        <v>59891</v>
      </c>
      <c r="C27282" s="30" t="s">
        <v>570</v>
      </c>
      <c r="D27282" s="30" t="s">
        <v>17</v>
      </c>
      <c r="E27282" s="30" t="s">
        <v>18</v>
      </c>
      <c r="F27282" s="30" t="s">
        <v>19</v>
      </c>
      <c r="G27282" s="30" t="s">
        <v>7780</v>
      </c>
      <c r="H27282" s="32">
        <v>510</v>
      </c>
      <c r="I27282" s="30" t="s">
        <v>51</v>
      </c>
      <c r="J27282" s="41">
        <v>46086</v>
      </c>
      <c r="K27282" s="30" t="s">
        <v>22</v>
      </c>
    </row>
    <row r="27283" spans="1:11">
      <c r="A27283" s="33" t="s">
        <v>59892</v>
      </c>
      <c r="B27283" s="33" t="s">
        <v>59893</v>
      </c>
      <c r="C27283" s="33" t="s">
        <v>51579</v>
      </c>
      <c r="D27283" s="33" t="s">
        <v>17</v>
      </c>
      <c r="E27283" s="33" t="s">
        <v>26</v>
      </c>
      <c r="F27283" s="33" t="s">
        <v>27</v>
      </c>
      <c r="G27283" s="33" t="s">
        <v>7780</v>
      </c>
      <c r="H27283" s="35">
        <v>72</v>
      </c>
      <c r="I27283" s="33" t="s">
        <v>51</v>
      </c>
      <c r="J27283" s="42">
        <v>46023</v>
      </c>
      <c r="K27283" s="33" t="s">
        <v>22</v>
      </c>
    </row>
    <row r="27284" spans="1:11">
      <c r="A27284" s="30" t="s">
        <v>59894</v>
      </c>
      <c r="B27284" s="30" t="s">
        <v>59895</v>
      </c>
      <c r="C27284" s="30" t="s">
        <v>59896</v>
      </c>
      <c r="D27284" s="30" t="s">
        <v>17</v>
      </c>
      <c r="E27284" s="30" t="s">
        <v>330</v>
      </c>
      <c r="F27284" s="30" t="s">
        <v>331</v>
      </c>
      <c r="G27284" s="30" t="s">
        <v>140</v>
      </c>
      <c r="H27284" s="32">
        <v>10</v>
      </c>
      <c r="I27284" s="30" t="s">
        <v>51</v>
      </c>
      <c r="J27284" s="41">
        <v>46051</v>
      </c>
      <c r="K27284" s="30" t="s">
        <v>22</v>
      </c>
    </row>
    <row r="27285" spans="1:11">
      <c r="A27285" s="33" t="s">
        <v>59897</v>
      </c>
      <c r="B27285" s="33" t="s">
        <v>59898</v>
      </c>
      <c r="C27285" s="33" t="s">
        <v>16052</v>
      </c>
      <c r="D27285" s="33" t="s">
        <v>17</v>
      </c>
      <c r="E27285" s="33" t="s">
        <v>26</v>
      </c>
      <c r="F27285" s="33" t="s">
        <v>27</v>
      </c>
      <c r="G27285" s="33" t="s">
        <v>140</v>
      </c>
      <c r="H27285" s="35">
        <v>72</v>
      </c>
      <c r="I27285" s="33" t="s">
        <v>51</v>
      </c>
      <c r="J27285" s="42">
        <v>46032</v>
      </c>
      <c r="K27285" s="33" t="s">
        <v>22</v>
      </c>
    </row>
    <row r="27286" spans="1:11">
      <c r="A27286" s="30" t="s">
        <v>59899</v>
      </c>
      <c r="B27286" s="30" t="s">
        <v>59900</v>
      </c>
      <c r="C27286" s="30" t="s">
        <v>35</v>
      </c>
      <c r="D27286" s="30" t="s">
        <v>17</v>
      </c>
      <c r="E27286" s="30" t="s">
        <v>31</v>
      </c>
      <c r="F27286" s="30" t="s">
        <v>32</v>
      </c>
      <c r="G27286" s="30" t="s">
        <v>7780</v>
      </c>
      <c r="H27286" s="32">
        <v>12</v>
      </c>
      <c r="I27286" s="30" t="s">
        <v>51</v>
      </c>
      <c r="J27286" s="41">
        <v>46174</v>
      </c>
      <c r="K27286" s="30" t="s">
        <v>22</v>
      </c>
    </row>
    <row r="27287" spans="1:11">
      <c r="A27287" s="33" t="s">
        <v>59901</v>
      </c>
      <c r="B27287" s="33" t="s">
        <v>59902</v>
      </c>
      <c r="C27287" s="33" t="s">
        <v>310</v>
      </c>
      <c r="D27287" s="33" t="s">
        <v>17</v>
      </c>
      <c r="E27287" s="33" t="s">
        <v>31</v>
      </c>
      <c r="F27287" s="33" t="s">
        <v>32</v>
      </c>
      <c r="G27287" s="33" t="s">
        <v>140</v>
      </c>
      <c r="H27287" s="35">
        <v>270</v>
      </c>
      <c r="I27287" s="33" t="s">
        <v>51</v>
      </c>
      <c r="J27287" s="42">
        <v>46129</v>
      </c>
      <c r="K27287" s="33" t="s">
        <v>22</v>
      </c>
    </row>
    <row r="27288" spans="1:11">
      <c r="A27288" s="30" t="s">
        <v>59903</v>
      </c>
      <c r="B27288" s="30" t="s">
        <v>59904</v>
      </c>
      <c r="C27288" s="30" t="s">
        <v>14816</v>
      </c>
      <c r="D27288" s="30" t="s">
        <v>17</v>
      </c>
      <c r="E27288" s="30" t="s">
        <v>26</v>
      </c>
      <c r="F27288" s="30" t="s">
        <v>27</v>
      </c>
      <c r="G27288" s="30" t="s">
        <v>7780</v>
      </c>
      <c r="H27288" s="32">
        <v>28</v>
      </c>
      <c r="I27288" s="30" t="s">
        <v>51</v>
      </c>
      <c r="J27288" s="41">
        <v>46174</v>
      </c>
      <c r="K27288" s="30" t="s">
        <v>22</v>
      </c>
    </row>
    <row r="27289" spans="1:11">
      <c r="A27289" s="33" t="s">
        <v>59905</v>
      </c>
      <c r="B27289" s="33" t="s">
        <v>59906</v>
      </c>
      <c r="C27289" s="33" t="s">
        <v>9825</v>
      </c>
      <c r="D27289" s="33" t="s">
        <v>17</v>
      </c>
      <c r="E27289" s="33" t="s">
        <v>18</v>
      </c>
      <c r="F27289" s="33" t="s">
        <v>19</v>
      </c>
      <c r="G27289" s="33" t="s">
        <v>140</v>
      </c>
      <c r="H27289" s="35">
        <v>160</v>
      </c>
      <c r="I27289" s="33" t="s">
        <v>51</v>
      </c>
      <c r="J27289" s="42">
        <v>46134</v>
      </c>
      <c r="K27289" s="33" t="s">
        <v>22</v>
      </c>
    </row>
    <row r="27290" spans="1:11">
      <c r="A27290" s="30" t="s">
        <v>59907</v>
      </c>
      <c r="B27290" s="30" t="s">
        <v>59908</v>
      </c>
      <c r="C27290" s="30" t="s">
        <v>57343</v>
      </c>
      <c r="D27290" s="30" t="s">
        <v>17</v>
      </c>
      <c r="E27290" s="30" t="s">
        <v>31</v>
      </c>
      <c r="F27290" s="30" t="s">
        <v>32</v>
      </c>
      <c r="G27290" s="30" t="s">
        <v>140</v>
      </c>
      <c r="H27290" s="32">
        <v>120</v>
      </c>
      <c r="I27290" s="30" t="s">
        <v>51</v>
      </c>
      <c r="J27290" s="41">
        <v>46055</v>
      </c>
      <c r="K27290" s="30" t="s">
        <v>22</v>
      </c>
    </row>
    <row r="27291" spans="1:11">
      <c r="A27291" s="33" t="s">
        <v>59909</v>
      </c>
      <c r="B27291" s="33" t="s">
        <v>59910</v>
      </c>
      <c r="C27291" s="33" t="s">
        <v>59911</v>
      </c>
      <c r="D27291" s="33" t="s">
        <v>17</v>
      </c>
      <c r="E27291" s="33" t="s">
        <v>26</v>
      </c>
      <c r="F27291" s="33" t="s">
        <v>27</v>
      </c>
      <c r="G27291" s="33" t="s">
        <v>140</v>
      </c>
      <c r="H27291" s="35">
        <v>64</v>
      </c>
      <c r="I27291" s="33" t="s">
        <v>51</v>
      </c>
      <c r="J27291" s="42">
        <v>46224</v>
      </c>
      <c r="K27291" s="33" t="s">
        <v>22</v>
      </c>
    </row>
    <row r="27292" spans="1:11">
      <c r="A27292" s="30" t="s">
        <v>59912</v>
      </c>
      <c r="B27292" s="30" t="s">
        <v>59913</v>
      </c>
      <c r="C27292" s="30" t="s">
        <v>6735</v>
      </c>
      <c r="D27292" s="30" t="s">
        <v>17</v>
      </c>
      <c r="E27292" s="30" t="s">
        <v>67</v>
      </c>
      <c r="F27292" s="30" t="s">
        <v>68</v>
      </c>
      <c r="G27292" s="30" t="s">
        <v>140</v>
      </c>
      <c r="H27292" s="32">
        <v>84</v>
      </c>
      <c r="I27292" s="30" t="s">
        <v>51</v>
      </c>
      <c r="J27292" s="41">
        <v>46115</v>
      </c>
      <c r="K27292" s="30" t="s">
        <v>22</v>
      </c>
    </row>
    <row r="27293" spans="1:11">
      <c r="A27293" s="33" t="s">
        <v>59914</v>
      </c>
      <c r="B27293" s="33" t="s">
        <v>59915</v>
      </c>
      <c r="C27293" s="33" t="s">
        <v>56957</v>
      </c>
      <c r="D27293" s="33" t="s">
        <v>17</v>
      </c>
      <c r="E27293" s="33" t="s">
        <v>67</v>
      </c>
      <c r="F27293" s="33" t="s">
        <v>68</v>
      </c>
      <c r="G27293" s="33" t="s">
        <v>140</v>
      </c>
      <c r="H27293" s="35">
        <v>30</v>
      </c>
      <c r="I27293" s="33" t="s">
        <v>51</v>
      </c>
      <c r="J27293" s="42">
        <v>46083</v>
      </c>
      <c r="K27293" s="33" t="s">
        <v>22</v>
      </c>
    </row>
    <row r="27294" spans="1:11">
      <c r="A27294" s="30" t="s">
        <v>59916</v>
      </c>
      <c r="B27294" s="30" t="s">
        <v>59917</v>
      </c>
      <c r="C27294" s="30" t="s">
        <v>2514</v>
      </c>
      <c r="D27294" s="30" t="s">
        <v>17</v>
      </c>
      <c r="E27294" s="30" t="s">
        <v>31</v>
      </c>
      <c r="F27294" s="30" t="s">
        <v>32</v>
      </c>
      <c r="G27294" s="30" t="s">
        <v>140</v>
      </c>
      <c r="H27294" s="32">
        <v>270</v>
      </c>
      <c r="I27294" s="30" t="s">
        <v>51</v>
      </c>
      <c r="J27294" s="41">
        <v>46143</v>
      </c>
      <c r="K27294" s="30" t="s">
        <v>22</v>
      </c>
    </row>
    <row r="27295" spans="1:11">
      <c r="A27295" s="33" t="s">
        <v>59918</v>
      </c>
      <c r="B27295" s="33" t="s">
        <v>59919</v>
      </c>
      <c r="C27295" s="33" t="s">
        <v>7072</v>
      </c>
      <c r="D27295" s="33" t="s">
        <v>17</v>
      </c>
      <c r="E27295" s="33" t="s">
        <v>67</v>
      </c>
      <c r="F27295" s="33" t="s">
        <v>68</v>
      </c>
      <c r="G27295" s="33" t="s">
        <v>140</v>
      </c>
      <c r="H27295" s="35">
        <v>277</v>
      </c>
      <c r="I27295" s="33" t="s">
        <v>51</v>
      </c>
      <c r="J27295" s="42">
        <v>46135</v>
      </c>
      <c r="K27295" s="33" t="s">
        <v>22</v>
      </c>
    </row>
    <row r="27296" spans="1:11">
      <c r="A27296" s="30" t="s">
        <v>59920</v>
      </c>
      <c r="B27296" s="30" t="s">
        <v>59921</v>
      </c>
      <c r="C27296" s="30" t="s">
        <v>93</v>
      </c>
      <c r="D27296" s="30" t="s">
        <v>17</v>
      </c>
      <c r="E27296" s="30" t="s">
        <v>18</v>
      </c>
      <c r="F27296" s="30" t="s">
        <v>19</v>
      </c>
      <c r="G27296" s="30" t="s">
        <v>140</v>
      </c>
      <c r="H27296" s="32">
        <v>700</v>
      </c>
      <c r="I27296" s="30" t="s">
        <v>51</v>
      </c>
      <c r="J27296" s="41">
        <v>46164</v>
      </c>
      <c r="K27296" s="30" t="s">
        <v>22</v>
      </c>
    </row>
    <row r="27297" spans="1:11">
      <c r="A27297" s="33" t="s">
        <v>59922</v>
      </c>
      <c r="B27297" s="33" t="s">
        <v>59923</v>
      </c>
      <c r="C27297" s="33" t="s">
        <v>56127</v>
      </c>
      <c r="D27297" s="33" t="s">
        <v>17</v>
      </c>
      <c r="E27297" s="33" t="s">
        <v>67</v>
      </c>
      <c r="F27297" s="33" t="s">
        <v>68</v>
      </c>
      <c r="G27297" s="33" t="s">
        <v>7780</v>
      </c>
      <c r="H27297" s="35">
        <v>110</v>
      </c>
      <c r="I27297" s="33" t="s">
        <v>51</v>
      </c>
      <c r="J27297" s="42">
        <v>46054</v>
      </c>
      <c r="K27297" s="33" t="s">
        <v>22</v>
      </c>
    </row>
    <row r="27298" spans="1:11">
      <c r="A27298" s="30" t="s">
        <v>59924</v>
      </c>
      <c r="B27298" s="30" t="s">
        <v>59925</v>
      </c>
      <c r="C27298" s="30" t="s">
        <v>21612</v>
      </c>
      <c r="D27298" s="30" t="s">
        <v>17</v>
      </c>
      <c r="E27298" s="30" t="s">
        <v>18</v>
      </c>
      <c r="F27298" s="30" t="s">
        <v>19</v>
      </c>
      <c r="G27298" s="30" t="s">
        <v>140</v>
      </c>
      <c r="H27298" s="32">
        <v>150</v>
      </c>
      <c r="I27298" s="30" t="s">
        <v>51</v>
      </c>
      <c r="J27298" s="41">
        <v>46156</v>
      </c>
      <c r="K27298" s="30" t="s">
        <v>22</v>
      </c>
    </row>
    <row r="27299" spans="1:11">
      <c r="A27299" s="33" t="s">
        <v>59926</v>
      </c>
      <c r="B27299" s="33" t="s">
        <v>59927</v>
      </c>
      <c r="C27299" s="33" t="s">
        <v>969</v>
      </c>
      <c r="D27299" s="33" t="s">
        <v>17</v>
      </c>
      <c r="E27299" s="33" t="s">
        <v>26</v>
      </c>
      <c r="F27299" s="33" t="s">
        <v>27</v>
      </c>
      <c r="G27299" s="33" t="s">
        <v>140</v>
      </c>
      <c r="H27299" s="35">
        <v>196</v>
      </c>
      <c r="I27299" s="33" t="s">
        <v>51</v>
      </c>
      <c r="J27299" s="42">
        <v>46197</v>
      </c>
      <c r="K27299" s="33" t="s">
        <v>22</v>
      </c>
    </row>
    <row r="27300" spans="1:11">
      <c r="A27300" s="30" t="s">
        <v>59928</v>
      </c>
      <c r="B27300" s="30" t="s">
        <v>59929</v>
      </c>
      <c r="C27300" s="30" t="s">
        <v>56697</v>
      </c>
      <c r="D27300" s="30" t="s">
        <v>17</v>
      </c>
      <c r="E27300" s="30" t="s">
        <v>26</v>
      </c>
      <c r="F27300" s="30" t="s">
        <v>27</v>
      </c>
      <c r="G27300" s="30" t="s">
        <v>140</v>
      </c>
      <c r="H27300" s="32">
        <v>32</v>
      </c>
      <c r="I27300" s="30" t="s">
        <v>51</v>
      </c>
      <c r="J27300" s="41">
        <v>46183</v>
      </c>
      <c r="K27300" s="30" t="s">
        <v>22</v>
      </c>
    </row>
    <row r="27301" spans="1:11">
      <c r="A27301" s="33" t="s">
        <v>59930</v>
      </c>
      <c r="B27301" s="33" t="s">
        <v>59931</v>
      </c>
      <c r="C27301" s="33" t="s">
        <v>47652</v>
      </c>
      <c r="D27301" s="33" t="s">
        <v>17</v>
      </c>
      <c r="E27301" s="33" t="s">
        <v>26</v>
      </c>
      <c r="F27301" s="33" t="s">
        <v>27</v>
      </c>
      <c r="G27301" s="33" t="s">
        <v>7780</v>
      </c>
      <c r="H27301" s="35">
        <v>37</v>
      </c>
      <c r="I27301" s="33" t="s">
        <v>51</v>
      </c>
      <c r="J27301" s="42">
        <v>46195</v>
      </c>
      <c r="K27301" s="33" t="s">
        <v>22</v>
      </c>
    </row>
    <row r="27302" spans="1:11">
      <c r="A27302" s="30" t="s">
        <v>59932</v>
      </c>
      <c r="B27302" s="30" t="s">
        <v>59933</v>
      </c>
      <c r="C27302" s="30" t="s">
        <v>57848</v>
      </c>
      <c r="D27302" s="30" t="s">
        <v>17</v>
      </c>
      <c r="E27302" s="30" t="s">
        <v>26</v>
      </c>
      <c r="F27302" s="30" t="s">
        <v>27</v>
      </c>
      <c r="G27302" s="30" t="s">
        <v>140</v>
      </c>
      <c r="H27302" s="32">
        <v>15</v>
      </c>
      <c r="I27302" s="30" t="s">
        <v>51</v>
      </c>
      <c r="J27302" s="41">
        <v>46096</v>
      </c>
      <c r="K27302" s="30" t="s">
        <v>22</v>
      </c>
    </row>
    <row r="27303" spans="1:11">
      <c r="A27303" s="33" t="s">
        <v>59934</v>
      </c>
      <c r="B27303" s="33" t="s">
        <v>59935</v>
      </c>
      <c r="C27303" s="33" t="s">
        <v>16404</v>
      </c>
      <c r="D27303" s="33" t="s">
        <v>17</v>
      </c>
      <c r="E27303" s="33" t="s">
        <v>26</v>
      </c>
      <c r="F27303" s="33" t="s">
        <v>27</v>
      </c>
      <c r="G27303" s="33" t="s">
        <v>140</v>
      </c>
      <c r="H27303" s="35">
        <v>260</v>
      </c>
      <c r="I27303" s="33" t="s">
        <v>51</v>
      </c>
      <c r="J27303" s="42">
        <v>46085</v>
      </c>
      <c r="K27303" s="33" t="s">
        <v>22</v>
      </c>
    </row>
    <row r="27304" spans="1:11">
      <c r="A27304" s="30" t="s">
        <v>59936</v>
      </c>
      <c r="B27304" s="30" t="s">
        <v>59937</v>
      </c>
      <c r="C27304" s="30" t="s">
        <v>20664</v>
      </c>
      <c r="D27304" s="30" t="s">
        <v>17</v>
      </c>
      <c r="E27304" s="30" t="s">
        <v>45</v>
      </c>
      <c r="F27304" s="30" t="s">
        <v>46</v>
      </c>
      <c r="G27304" s="30" t="s">
        <v>7780</v>
      </c>
      <c r="H27304" s="32">
        <v>717</v>
      </c>
      <c r="I27304" s="30" t="s">
        <v>51</v>
      </c>
      <c r="J27304" s="41">
        <v>46143</v>
      </c>
      <c r="K27304" s="30" t="s">
        <v>22</v>
      </c>
    </row>
    <row r="27305" spans="1:11">
      <c r="A27305" s="33" t="s">
        <v>59938</v>
      </c>
      <c r="B27305" s="33" t="s">
        <v>59939</v>
      </c>
      <c r="C27305" s="33" t="s">
        <v>2772</v>
      </c>
      <c r="D27305" s="33" t="s">
        <v>17</v>
      </c>
      <c r="E27305" s="33" t="s">
        <v>18</v>
      </c>
      <c r="F27305" s="33" t="s">
        <v>19</v>
      </c>
      <c r="G27305" s="33" t="s">
        <v>140</v>
      </c>
      <c r="H27305" s="35">
        <v>390</v>
      </c>
      <c r="I27305" s="33" t="s">
        <v>51</v>
      </c>
      <c r="J27305" s="42">
        <v>46188</v>
      </c>
      <c r="K27305" s="33" t="s">
        <v>22</v>
      </c>
    </row>
    <row r="27306" spans="1:11">
      <c r="A27306" s="30" t="s">
        <v>59940</v>
      </c>
      <c r="B27306" s="30" t="s">
        <v>59941</v>
      </c>
      <c r="C27306" s="30" t="s">
        <v>24923</v>
      </c>
      <c r="D27306" s="30" t="s">
        <v>17</v>
      </c>
      <c r="E27306" s="30" t="s">
        <v>18</v>
      </c>
      <c r="F27306" s="30" t="s">
        <v>19</v>
      </c>
      <c r="G27306" s="30" t="s">
        <v>7780</v>
      </c>
      <c r="H27306" s="32">
        <v>826</v>
      </c>
      <c r="I27306" s="30" t="s">
        <v>51</v>
      </c>
      <c r="J27306" s="41">
        <v>46204</v>
      </c>
      <c r="K27306" s="30" t="s">
        <v>22</v>
      </c>
    </row>
    <row r="27307" spans="1:11">
      <c r="A27307" s="33" t="s">
        <v>59942</v>
      </c>
      <c r="B27307" s="33" t="s">
        <v>59943</v>
      </c>
      <c r="C27307" s="33" t="s">
        <v>4315</v>
      </c>
      <c r="D27307" s="33" t="s">
        <v>17</v>
      </c>
      <c r="E27307" s="33" t="s">
        <v>45</v>
      </c>
      <c r="F27307" s="33" t="s">
        <v>46</v>
      </c>
      <c r="G27307" s="33" t="s">
        <v>7780</v>
      </c>
      <c r="H27307" s="35">
        <v>446</v>
      </c>
      <c r="I27307" s="33" t="s">
        <v>51</v>
      </c>
      <c r="J27307" s="42">
        <v>46113</v>
      </c>
      <c r="K27307" s="33" t="s">
        <v>22</v>
      </c>
    </row>
    <row r="27308" spans="1:11">
      <c r="A27308" s="30" t="s">
        <v>59944</v>
      </c>
      <c r="B27308" s="30" t="s">
        <v>59945</v>
      </c>
      <c r="C27308" s="30" t="s">
        <v>14457</v>
      </c>
      <c r="D27308" s="30" t="s">
        <v>17</v>
      </c>
      <c r="E27308" s="30" t="s">
        <v>18</v>
      </c>
      <c r="F27308" s="30" t="s">
        <v>19</v>
      </c>
      <c r="G27308" s="30" t="s">
        <v>140</v>
      </c>
      <c r="H27308" s="32">
        <v>670</v>
      </c>
      <c r="I27308" s="30" t="s">
        <v>51</v>
      </c>
      <c r="J27308" s="41">
        <v>46164</v>
      </c>
      <c r="K27308" s="30" t="s">
        <v>22</v>
      </c>
    </row>
    <row r="27309" spans="1:11">
      <c r="A27309" s="33" t="s">
        <v>59946</v>
      </c>
      <c r="B27309" s="33" t="s">
        <v>59947</v>
      </c>
      <c r="C27309" s="33" t="s">
        <v>59948</v>
      </c>
      <c r="D27309" s="33" t="s">
        <v>17</v>
      </c>
      <c r="E27309" s="33" t="s">
        <v>31</v>
      </c>
      <c r="F27309" s="33" t="s">
        <v>32</v>
      </c>
      <c r="G27309" s="33" t="s">
        <v>140</v>
      </c>
      <c r="H27309" s="35">
        <v>60</v>
      </c>
      <c r="I27309" s="33" t="s">
        <v>51</v>
      </c>
      <c r="J27309" s="42">
        <v>46204</v>
      </c>
      <c r="K27309" s="33" t="s">
        <v>22</v>
      </c>
    </row>
    <row r="27310" spans="1:11">
      <c r="A27310" s="30" t="s">
        <v>59949</v>
      </c>
      <c r="B27310" s="30" t="s">
        <v>59950</v>
      </c>
      <c r="C27310" s="30" t="s">
        <v>3264</v>
      </c>
      <c r="D27310" s="30" t="s">
        <v>17</v>
      </c>
      <c r="E27310" s="30" t="s">
        <v>212</v>
      </c>
      <c r="F27310" s="30" t="s">
        <v>213</v>
      </c>
      <c r="G27310" s="30" t="s">
        <v>140</v>
      </c>
      <c r="H27310" s="32">
        <v>28</v>
      </c>
      <c r="I27310" s="30" t="s">
        <v>51</v>
      </c>
      <c r="J27310" s="41">
        <v>46113</v>
      </c>
      <c r="K27310" s="30" t="s">
        <v>22</v>
      </c>
    </row>
    <row r="27311" spans="1:11">
      <c r="A27311" s="33" t="s">
        <v>59951</v>
      </c>
      <c r="B27311" s="33" t="s">
        <v>59952</v>
      </c>
      <c r="C27311" s="33" t="s">
        <v>1598</v>
      </c>
      <c r="D27311" s="33" t="s">
        <v>17</v>
      </c>
      <c r="E27311" s="33" t="s">
        <v>26</v>
      </c>
      <c r="F27311" s="33" t="s">
        <v>27</v>
      </c>
      <c r="G27311" s="33" t="s">
        <v>7780</v>
      </c>
      <c r="H27311" s="35">
        <v>30</v>
      </c>
      <c r="I27311" s="33" t="s">
        <v>51</v>
      </c>
      <c r="J27311" s="42">
        <v>46157</v>
      </c>
      <c r="K27311" s="33" t="s">
        <v>22</v>
      </c>
    </row>
    <row r="27312" spans="1:11">
      <c r="A27312" s="30" t="s">
        <v>59953</v>
      </c>
      <c r="B27312" s="30" t="s">
        <v>59954</v>
      </c>
      <c r="C27312" s="30" t="s">
        <v>109</v>
      </c>
      <c r="D27312" s="30" t="s">
        <v>17</v>
      </c>
      <c r="E27312" s="30" t="s">
        <v>18</v>
      </c>
      <c r="F27312" s="30" t="s">
        <v>19</v>
      </c>
      <c r="G27312" s="30" t="s">
        <v>140</v>
      </c>
      <c r="H27312" s="32">
        <v>710</v>
      </c>
      <c r="I27312" s="30" t="s">
        <v>51</v>
      </c>
      <c r="J27312" s="41">
        <v>46213</v>
      </c>
      <c r="K27312" s="30" t="s">
        <v>22</v>
      </c>
    </row>
    <row r="27313" spans="1:11">
      <c r="A27313" s="33" t="s">
        <v>59955</v>
      </c>
      <c r="B27313" s="33" t="s">
        <v>59956</v>
      </c>
      <c r="C27313" s="33" t="s">
        <v>3258</v>
      </c>
      <c r="D27313" s="33" t="s">
        <v>17</v>
      </c>
      <c r="E27313" s="33" t="s">
        <v>31</v>
      </c>
      <c r="F27313" s="33" t="s">
        <v>32</v>
      </c>
      <c r="G27313" s="33" t="s">
        <v>7780</v>
      </c>
      <c r="H27313" s="35">
        <v>123</v>
      </c>
      <c r="I27313" s="33" t="s">
        <v>51</v>
      </c>
      <c r="J27313" s="42">
        <v>46113</v>
      </c>
      <c r="K27313" s="33" t="s">
        <v>22</v>
      </c>
    </row>
    <row r="27314" spans="1:11">
      <c r="A27314" s="30" t="s">
        <v>59957</v>
      </c>
      <c r="B27314" s="30" t="s">
        <v>59958</v>
      </c>
      <c r="C27314" s="30" t="s">
        <v>190</v>
      </c>
      <c r="D27314" s="30" t="s">
        <v>17</v>
      </c>
      <c r="E27314" s="30" t="s">
        <v>26</v>
      </c>
      <c r="F27314" s="30" t="s">
        <v>27</v>
      </c>
      <c r="G27314" s="30" t="s">
        <v>140</v>
      </c>
      <c r="H27314" s="32">
        <v>40</v>
      </c>
      <c r="I27314" s="30" t="s">
        <v>51</v>
      </c>
      <c r="J27314" s="41">
        <v>46112</v>
      </c>
      <c r="K27314" s="30" t="s">
        <v>22</v>
      </c>
    </row>
    <row r="27315" spans="1:11">
      <c r="A27315" s="33" t="s">
        <v>59959</v>
      </c>
      <c r="B27315" s="33" t="s">
        <v>59960</v>
      </c>
      <c r="C27315" s="33" t="s">
        <v>2490</v>
      </c>
      <c r="D27315" s="33" t="s">
        <v>17</v>
      </c>
      <c r="E27315" s="33" t="s">
        <v>67</v>
      </c>
      <c r="F27315" s="33" t="s">
        <v>68</v>
      </c>
      <c r="G27315" s="33" t="s">
        <v>7780</v>
      </c>
      <c r="H27315" s="35">
        <v>99</v>
      </c>
      <c r="I27315" s="33" t="s">
        <v>51</v>
      </c>
      <c r="J27315" s="42">
        <v>46112</v>
      </c>
      <c r="K27315" s="33" t="s">
        <v>22</v>
      </c>
    </row>
    <row r="27316" spans="1:11">
      <c r="A27316" s="30" t="s">
        <v>59961</v>
      </c>
      <c r="B27316" s="30" t="s">
        <v>59962</v>
      </c>
      <c r="C27316" s="30" t="s">
        <v>29985</v>
      </c>
      <c r="D27316" s="30" t="s">
        <v>17</v>
      </c>
      <c r="E27316" s="30" t="s">
        <v>67</v>
      </c>
      <c r="F27316" s="30" t="s">
        <v>68</v>
      </c>
      <c r="G27316" s="30" t="s">
        <v>7780</v>
      </c>
      <c r="H27316" s="32">
        <v>10</v>
      </c>
      <c r="I27316" s="30" t="s">
        <v>51</v>
      </c>
      <c r="J27316" s="41">
        <v>46082</v>
      </c>
      <c r="K27316" s="30" t="s">
        <v>22</v>
      </c>
    </row>
    <row r="27317" spans="1:11">
      <c r="A27317" s="33" t="s">
        <v>59963</v>
      </c>
      <c r="B27317" s="33" t="s">
        <v>59964</v>
      </c>
      <c r="C27317" s="33" t="s">
        <v>5401</v>
      </c>
      <c r="D27317" s="33" t="s">
        <v>17</v>
      </c>
      <c r="E27317" s="33" t="s">
        <v>26</v>
      </c>
      <c r="F27317" s="33" t="s">
        <v>27</v>
      </c>
      <c r="G27317" s="33" t="s">
        <v>140</v>
      </c>
      <c r="H27317" s="35">
        <v>68</v>
      </c>
      <c r="I27317" s="33" t="s">
        <v>51</v>
      </c>
      <c r="J27317" s="42">
        <v>46052</v>
      </c>
      <c r="K27317" s="33" t="s">
        <v>22</v>
      </c>
    </row>
    <row r="27318" spans="1:11">
      <c r="A27318" s="30" t="s">
        <v>59965</v>
      </c>
      <c r="B27318" s="30" t="s">
        <v>59966</v>
      </c>
      <c r="C27318" s="30" t="s">
        <v>3647</v>
      </c>
      <c r="D27318" s="30" t="s">
        <v>17</v>
      </c>
      <c r="E27318" s="30" t="s">
        <v>31</v>
      </c>
      <c r="F27318" s="30" t="s">
        <v>32</v>
      </c>
      <c r="G27318" s="30" t="s">
        <v>140</v>
      </c>
      <c r="H27318" s="32">
        <v>240</v>
      </c>
      <c r="I27318" s="30" t="s">
        <v>51</v>
      </c>
      <c r="J27318" s="41">
        <v>46211</v>
      </c>
      <c r="K27318" s="30" t="s">
        <v>22</v>
      </c>
    </row>
    <row r="27319" spans="1:11">
      <c r="A27319" s="33" t="s">
        <v>59967</v>
      </c>
      <c r="B27319" s="33" t="s">
        <v>59968</v>
      </c>
      <c r="C27319" s="33" t="s">
        <v>4348</v>
      </c>
      <c r="D27319" s="33" t="s">
        <v>17</v>
      </c>
      <c r="E27319" s="33" t="s">
        <v>45</v>
      </c>
      <c r="F27319" s="33" t="s">
        <v>46</v>
      </c>
      <c r="G27319" s="33" t="s">
        <v>140</v>
      </c>
      <c r="H27319" s="35">
        <v>90</v>
      </c>
      <c r="I27319" s="33" t="s">
        <v>51</v>
      </c>
      <c r="J27319" s="42">
        <v>46227</v>
      </c>
      <c r="K27319" s="33" t="s">
        <v>22</v>
      </c>
    </row>
    <row r="27320" spans="1:11">
      <c r="A27320" s="30" t="s">
        <v>59969</v>
      </c>
      <c r="B27320" s="30" t="s">
        <v>59970</v>
      </c>
      <c r="C27320" s="30" t="s">
        <v>14816</v>
      </c>
      <c r="D27320" s="30" t="s">
        <v>17</v>
      </c>
      <c r="E27320" s="30" t="s">
        <v>26</v>
      </c>
      <c r="F27320" s="30" t="s">
        <v>27</v>
      </c>
      <c r="G27320" s="30" t="s">
        <v>140</v>
      </c>
      <c r="H27320" s="32">
        <v>16</v>
      </c>
      <c r="I27320" s="30" t="s">
        <v>51</v>
      </c>
      <c r="J27320" s="41">
        <v>46181</v>
      </c>
      <c r="K27320" s="30" t="s">
        <v>22</v>
      </c>
    </row>
    <row r="27321" spans="1:11">
      <c r="A27321" s="33" t="s">
        <v>59971</v>
      </c>
      <c r="B27321" s="33" t="s">
        <v>59972</v>
      </c>
      <c r="C27321" s="33" t="s">
        <v>14949</v>
      </c>
      <c r="D27321" s="33" t="s">
        <v>17</v>
      </c>
      <c r="E27321" s="33" t="s">
        <v>26</v>
      </c>
      <c r="F27321" s="33" t="s">
        <v>27</v>
      </c>
      <c r="G27321" s="33" t="s">
        <v>7780</v>
      </c>
      <c r="H27321" s="35">
        <v>36</v>
      </c>
      <c r="I27321" s="33" t="s">
        <v>51</v>
      </c>
      <c r="J27321" s="42">
        <v>46160</v>
      </c>
      <c r="K27321" s="33" t="s">
        <v>22</v>
      </c>
    </row>
    <row r="27322" spans="1:11">
      <c r="A27322" s="30" t="s">
        <v>59973</v>
      </c>
      <c r="B27322" s="30" t="s">
        <v>59974</v>
      </c>
      <c r="C27322" s="30" t="s">
        <v>59975</v>
      </c>
      <c r="D27322" s="30" t="s">
        <v>17</v>
      </c>
      <c r="E27322" s="30" t="s">
        <v>67</v>
      </c>
      <c r="F27322" s="30" t="s">
        <v>68</v>
      </c>
      <c r="G27322" s="30" t="s">
        <v>140</v>
      </c>
      <c r="H27322" s="32">
        <v>99</v>
      </c>
      <c r="I27322" s="30" t="s">
        <v>51</v>
      </c>
      <c r="J27322" s="41">
        <v>46084</v>
      </c>
      <c r="K27322" s="30" t="s">
        <v>22</v>
      </c>
    </row>
    <row r="27323" spans="1:11">
      <c r="A27323" s="33" t="s">
        <v>59976</v>
      </c>
      <c r="B27323" s="33" t="s">
        <v>59977</v>
      </c>
      <c r="C27323" s="33" t="s">
        <v>42895</v>
      </c>
      <c r="D27323" s="33" t="s">
        <v>17</v>
      </c>
      <c r="E27323" s="33" t="s">
        <v>67</v>
      </c>
      <c r="F27323" s="33" t="s">
        <v>68</v>
      </c>
      <c r="G27323" s="33" t="s">
        <v>140</v>
      </c>
      <c r="H27323" s="35">
        <v>220</v>
      </c>
      <c r="I27323" s="33" t="s">
        <v>51</v>
      </c>
      <c r="J27323" s="42">
        <v>46203</v>
      </c>
      <c r="K27323" s="33" t="s">
        <v>22</v>
      </c>
    </row>
    <row r="27324" spans="1:11">
      <c r="A27324" s="30" t="s">
        <v>59978</v>
      </c>
      <c r="B27324" s="30" t="s">
        <v>59979</v>
      </c>
      <c r="C27324" s="30" t="s">
        <v>49208</v>
      </c>
      <c r="D27324" s="30" t="s">
        <v>17</v>
      </c>
      <c r="E27324" s="30" t="s">
        <v>31</v>
      </c>
      <c r="F27324" s="30" t="s">
        <v>32</v>
      </c>
      <c r="G27324" s="30" t="s">
        <v>140</v>
      </c>
      <c r="H27324" s="32">
        <v>118</v>
      </c>
      <c r="I27324" s="30" t="s">
        <v>51</v>
      </c>
      <c r="J27324" s="41">
        <v>46174</v>
      </c>
      <c r="K27324" s="30" t="s">
        <v>22</v>
      </c>
    </row>
    <row r="27325" spans="1:11">
      <c r="A27325" s="33" t="s">
        <v>59980</v>
      </c>
      <c r="B27325" s="33" t="s">
        <v>59981</v>
      </c>
      <c r="C27325" s="33" t="s">
        <v>47175</v>
      </c>
      <c r="D27325" s="33" t="s">
        <v>17</v>
      </c>
      <c r="E27325" s="33" t="s">
        <v>26</v>
      </c>
      <c r="F27325" s="33" t="s">
        <v>27</v>
      </c>
      <c r="G27325" s="33" t="s">
        <v>7780</v>
      </c>
      <c r="H27325" s="35">
        <v>60</v>
      </c>
      <c r="I27325" s="33" t="s">
        <v>51</v>
      </c>
      <c r="J27325" s="42">
        <v>46157</v>
      </c>
      <c r="K27325" s="33" t="s">
        <v>22</v>
      </c>
    </row>
    <row r="27326" spans="1:11">
      <c r="A27326" s="30" t="s">
        <v>59982</v>
      </c>
      <c r="B27326" s="30" t="s">
        <v>59983</v>
      </c>
      <c r="C27326" s="30" t="s">
        <v>647</v>
      </c>
      <c r="D27326" s="30" t="s">
        <v>17</v>
      </c>
      <c r="E27326" s="30" t="s">
        <v>26</v>
      </c>
      <c r="F27326" s="30" t="s">
        <v>27</v>
      </c>
      <c r="G27326" s="30" t="s">
        <v>140</v>
      </c>
      <c r="H27326" s="32">
        <v>40</v>
      </c>
      <c r="I27326" s="30" t="s">
        <v>51</v>
      </c>
      <c r="J27326" s="41">
        <v>46111</v>
      </c>
      <c r="K27326" s="30" t="s">
        <v>22</v>
      </c>
    </row>
    <row r="27327" spans="1:11">
      <c r="A27327" s="33" t="s">
        <v>59984</v>
      </c>
      <c r="B27327" s="33" t="s">
        <v>59985</v>
      </c>
      <c r="C27327" s="33" t="s">
        <v>3944</v>
      </c>
      <c r="D27327" s="33" t="s">
        <v>17</v>
      </c>
      <c r="E27327" s="33" t="s">
        <v>26</v>
      </c>
      <c r="F27327" s="33" t="s">
        <v>27</v>
      </c>
      <c r="G27327" s="33" t="s">
        <v>140</v>
      </c>
      <c r="H27327" s="35">
        <v>18</v>
      </c>
      <c r="I27327" s="33" t="s">
        <v>51</v>
      </c>
      <c r="J27327" s="42">
        <v>46023</v>
      </c>
      <c r="K27327" s="33" t="s">
        <v>22</v>
      </c>
    </row>
    <row r="27328" spans="1:11">
      <c r="A27328" s="30" t="s">
        <v>59986</v>
      </c>
      <c r="B27328" s="30" t="s">
        <v>59987</v>
      </c>
      <c r="C27328" s="30" t="s">
        <v>56957</v>
      </c>
      <c r="D27328" s="30" t="s">
        <v>17</v>
      </c>
      <c r="E27328" s="30" t="s">
        <v>67</v>
      </c>
      <c r="F27328" s="30" t="s">
        <v>68</v>
      </c>
      <c r="G27328" s="30" t="s">
        <v>140</v>
      </c>
      <c r="H27328" s="32">
        <v>36</v>
      </c>
      <c r="I27328" s="30" t="s">
        <v>51</v>
      </c>
      <c r="J27328" s="41">
        <v>46055</v>
      </c>
      <c r="K27328" s="30" t="s">
        <v>22</v>
      </c>
    </row>
    <row r="27329" spans="1:11">
      <c r="A27329" s="33" t="s">
        <v>59988</v>
      </c>
      <c r="B27329" s="33" t="s">
        <v>59989</v>
      </c>
      <c r="C27329" s="33" t="s">
        <v>8566</v>
      </c>
      <c r="D27329" s="33" t="s">
        <v>17</v>
      </c>
      <c r="E27329" s="33" t="s">
        <v>26</v>
      </c>
      <c r="F27329" s="33" t="s">
        <v>27</v>
      </c>
      <c r="G27329" s="33" t="s">
        <v>7780</v>
      </c>
      <c r="H27329" s="35">
        <v>16</v>
      </c>
      <c r="I27329" s="33" t="s">
        <v>51</v>
      </c>
      <c r="J27329" s="42">
        <v>46110</v>
      </c>
      <c r="K27329" s="33" t="s">
        <v>22</v>
      </c>
    </row>
    <row r="27330" spans="1:11">
      <c r="A27330" s="30" t="s">
        <v>59990</v>
      </c>
      <c r="B27330" s="30" t="s">
        <v>59991</v>
      </c>
      <c r="C27330" s="30" t="s">
        <v>136</v>
      </c>
      <c r="D27330" s="30" t="s">
        <v>17</v>
      </c>
      <c r="E27330" s="30" t="s">
        <v>26</v>
      </c>
      <c r="F27330" s="30" t="s">
        <v>27</v>
      </c>
      <c r="G27330" s="30" t="s">
        <v>140</v>
      </c>
      <c r="H27330" s="32">
        <v>63</v>
      </c>
      <c r="I27330" s="30" t="s">
        <v>51</v>
      </c>
      <c r="J27330" s="41">
        <v>46057</v>
      </c>
      <c r="K27330" s="30" t="s">
        <v>22</v>
      </c>
    </row>
    <row r="27331" spans="1:11">
      <c r="A27331" s="33" t="s">
        <v>59992</v>
      </c>
      <c r="B27331" s="33" t="s">
        <v>59993</v>
      </c>
      <c r="C27331" s="33" t="s">
        <v>30173</v>
      </c>
      <c r="D27331" s="33" t="s">
        <v>17</v>
      </c>
      <c r="E27331" s="33" t="s">
        <v>67</v>
      </c>
      <c r="F27331" s="33" t="s">
        <v>68</v>
      </c>
      <c r="G27331" s="33" t="s">
        <v>140</v>
      </c>
      <c r="H27331" s="35">
        <v>61</v>
      </c>
      <c r="I27331" s="33" t="s">
        <v>51</v>
      </c>
      <c r="J27331" s="42">
        <v>46076</v>
      </c>
      <c r="K27331" s="33" t="s">
        <v>22</v>
      </c>
    </row>
    <row r="27332" spans="1:11">
      <c r="A27332" s="30" t="s">
        <v>59994</v>
      </c>
      <c r="B27332" s="30" t="s">
        <v>59995</v>
      </c>
      <c r="C27332" s="30" t="s">
        <v>27554</v>
      </c>
      <c r="D27332" s="30" t="s">
        <v>17</v>
      </c>
      <c r="E27332" s="30" t="s">
        <v>330</v>
      </c>
      <c r="F27332" s="30" t="s">
        <v>331</v>
      </c>
      <c r="G27332" s="30" t="s">
        <v>7780</v>
      </c>
      <c r="H27332" s="32">
        <v>5</v>
      </c>
      <c r="I27332" s="30" t="s">
        <v>51</v>
      </c>
      <c r="J27332" s="41">
        <v>46113</v>
      </c>
      <c r="K27332" s="30" t="s">
        <v>22</v>
      </c>
    </row>
    <row r="27333" spans="1:11">
      <c r="A27333" s="33" t="s">
        <v>59996</v>
      </c>
      <c r="B27333" s="33" t="s">
        <v>59997</v>
      </c>
      <c r="C27333" s="33" t="s">
        <v>647</v>
      </c>
      <c r="D27333" s="33" t="s">
        <v>17</v>
      </c>
      <c r="E27333" s="33" t="s">
        <v>18</v>
      </c>
      <c r="F27333" s="33" t="s">
        <v>19</v>
      </c>
      <c r="G27333" s="33" t="s">
        <v>7780</v>
      </c>
      <c r="H27333" s="35">
        <v>646</v>
      </c>
      <c r="I27333" s="33" t="s">
        <v>51</v>
      </c>
      <c r="J27333" s="42">
        <v>46220</v>
      </c>
      <c r="K27333" s="33" t="s">
        <v>22</v>
      </c>
    </row>
    <row r="27334" spans="1:11">
      <c r="A27334" s="30" t="s">
        <v>59998</v>
      </c>
      <c r="B27334" s="30" t="s">
        <v>59999</v>
      </c>
      <c r="C27334" s="30" t="s">
        <v>34989</v>
      </c>
      <c r="D27334" s="30" t="s">
        <v>17</v>
      </c>
      <c r="E27334" s="30" t="s">
        <v>31</v>
      </c>
      <c r="F27334" s="30" t="s">
        <v>32</v>
      </c>
      <c r="G27334" s="30" t="s">
        <v>7780</v>
      </c>
      <c r="H27334" s="32">
        <v>75</v>
      </c>
      <c r="I27334" s="30" t="s">
        <v>51</v>
      </c>
      <c r="J27334" s="41">
        <v>46113</v>
      </c>
      <c r="K27334" s="30" t="s">
        <v>22</v>
      </c>
    </row>
    <row r="27335" spans="1:11">
      <c r="A27335" s="33" t="s">
        <v>60000</v>
      </c>
      <c r="B27335" s="33" t="s">
        <v>60001</v>
      </c>
      <c r="C27335" s="33" t="s">
        <v>118</v>
      </c>
      <c r="D27335" s="33" t="s">
        <v>17</v>
      </c>
      <c r="E27335" s="33" t="s">
        <v>31</v>
      </c>
      <c r="F27335" s="33" t="s">
        <v>32</v>
      </c>
      <c r="G27335" s="33" t="s">
        <v>140</v>
      </c>
      <c r="H27335" s="35">
        <v>250</v>
      </c>
      <c r="I27335" s="33" t="s">
        <v>51</v>
      </c>
      <c r="J27335" s="42">
        <v>46139</v>
      </c>
      <c r="K27335" s="33" t="s">
        <v>22</v>
      </c>
    </row>
    <row r="27336" spans="1:11">
      <c r="A27336" s="30" t="s">
        <v>60002</v>
      </c>
      <c r="B27336" s="30" t="s">
        <v>60003</v>
      </c>
      <c r="C27336" s="30" t="s">
        <v>42278</v>
      </c>
      <c r="D27336" s="30" t="s">
        <v>17</v>
      </c>
      <c r="E27336" s="30" t="s">
        <v>26</v>
      </c>
      <c r="F27336" s="30" t="s">
        <v>27</v>
      </c>
      <c r="G27336" s="30" t="s">
        <v>7780</v>
      </c>
      <c r="H27336" s="32">
        <v>120</v>
      </c>
      <c r="I27336" s="30" t="s">
        <v>51</v>
      </c>
      <c r="J27336" s="41">
        <v>46228</v>
      </c>
      <c r="K27336" s="30" t="s">
        <v>22</v>
      </c>
    </row>
    <row r="27337" spans="1:11">
      <c r="A27337" s="33" t="s">
        <v>60004</v>
      </c>
      <c r="B27337" s="33" t="s">
        <v>60005</v>
      </c>
      <c r="C27337" s="33" t="s">
        <v>1598</v>
      </c>
      <c r="D27337" s="33" t="s">
        <v>17</v>
      </c>
      <c r="E27337" s="33" t="s">
        <v>31</v>
      </c>
      <c r="F27337" s="33" t="s">
        <v>32</v>
      </c>
      <c r="G27337" s="33" t="s">
        <v>140</v>
      </c>
      <c r="H27337" s="35">
        <v>120</v>
      </c>
      <c r="I27337" s="33" t="s">
        <v>51</v>
      </c>
      <c r="J27337" s="42">
        <v>46059</v>
      </c>
      <c r="K27337" s="33" t="s">
        <v>22</v>
      </c>
    </row>
    <row r="27338" spans="1:11">
      <c r="A27338" s="30" t="s">
        <v>60006</v>
      </c>
      <c r="B27338" s="30" t="s">
        <v>60007</v>
      </c>
      <c r="C27338" s="30" t="s">
        <v>969</v>
      </c>
      <c r="D27338" s="30" t="s">
        <v>17</v>
      </c>
      <c r="E27338" s="30" t="s">
        <v>18</v>
      </c>
      <c r="F27338" s="30" t="s">
        <v>19</v>
      </c>
      <c r="G27338" s="30" t="s">
        <v>140</v>
      </c>
      <c r="H27338" s="32">
        <v>456</v>
      </c>
      <c r="I27338" s="30" t="s">
        <v>51</v>
      </c>
      <c r="J27338" s="41">
        <v>46094</v>
      </c>
      <c r="K27338" s="30" t="s">
        <v>22</v>
      </c>
    </row>
    <row r="27339" spans="1:11">
      <c r="A27339" s="33" t="s">
        <v>60008</v>
      </c>
      <c r="B27339" s="33" t="s">
        <v>60009</v>
      </c>
      <c r="C27339" s="33" t="s">
        <v>715</v>
      </c>
      <c r="D27339" s="33" t="s">
        <v>17</v>
      </c>
      <c r="E27339" s="33" t="s">
        <v>18</v>
      </c>
      <c r="F27339" s="33" t="s">
        <v>19</v>
      </c>
      <c r="G27339" s="33" t="s">
        <v>140</v>
      </c>
      <c r="H27339" s="35">
        <v>570</v>
      </c>
      <c r="I27339" s="33" t="s">
        <v>51</v>
      </c>
      <c r="J27339" s="42">
        <v>46203</v>
      </c>
      <c r="K27339" s="33" t="s">
        <v>22</v>
      </c>
    </row>
    <row r="27340" spans="1:11">
      <c r="A27340" s="30" t="s">
        <v>60010</v>
      </c>
      <c r="B27340" s="30" t="s">
        <v>60011</v>
      </c>
      <c r="C27340" s="30" t="s">
        <v>136</v>
      </c>
      <c r="D27340" s="30" t="s">
        <v>17</v>
      </c>
      <c r="E27340" s="30" t="s">
        <v>31</v>
      </c>
      <c r="F27340" s="30" t="s">
        <v>32</v>
      </c>
      <c r="G27340" s="30" t="s">
        <v>140</v>
      </c>
      <c r="H27340" s="32">
        <v>1431</v>
      </c>
      <c r="I27340" s="30" t="s">
        <v>51</v>
      </c>
      <c r="J27340" s="41">
        <v>46107</v>
      </c>
      <c r="K27340" s="30" t="s">
        <v>22</v>
      </c>
    </row>
    <row r="27341" spans="1:11">
      <c r="A27341" s="33" t="s">
        <v>60012</v>
      </c>
      <c r="B27341" s="33" t="s">
        <v>60013</v>
      </c>
      <c r="C27341" s="33" t="s">
        <v>39259</v>
      </c>
      <c r="D27341" s="33" t="s">
        <v>17</v>
      </c>
      <c r="E27341" s="33" t="s">
        <v>212</v>
      </c>
      <c r="F27341" s="33" t="s">
        <v>213</v>
      </c>
      <c r="G27341" s="33" t="s">
        <v>2613</v>
      </c>
      <c r="H27341" s="35">
        <v>70</v>
      </c>
      <c r="I27341" s="33" t="s">
        <v>51</v>
      </c>
      <c r="J27341" s="42">
        <v>46057</v>
      </c>
      <c r="K27341" s="33" t="s">
        <v>22</v>
      </c>
    </row>
    <row r="27342" spans="1:11">
      <c r="A27342" s="30" t="s">
        <v>60014</v>
      </c>
      <c r="B27342" s="30" t="s">
        <v>60015</v>
      </c>
      <c r="C27342" s="30" t="s">
        <v>42480</v>
      </c>
      <c r="D27342" s="30" t="s">
        <v>17</v>
      </c>
      <c r="E27342" s="30" t="s">
        <v>31</v>
      </c>
      <c r="F27342" s="30" t="s">
        <v>32</v>
      </c>
      <c r="G27342" s="30" t="s">
        <v>7780</v>
      </c>
      <c r="H27342" s="32">
        <v>252</v>
      </c>
      <c r="I27342" s="30" t="s">
        <v>51</v>
      </c>
      <c r="J27342" s="41">
        <v>46203</v>
      </c>
      <c r="K27342" s="30" t="s">
        <v>22</v>
      </c>
    </row>
    <row r="27343" spans="1:11">
      <c r="A27343" s="33" t="s">
        <v>60016</v>
      </c>
      <c r="B27343" s="33" t="s">
        <v>60017</v>
      </c>
      <c r="C27343" s="33" t="s">
        <v>41370</v>
      </c>
      <c r="D27343" s="33" t="s">
        <v>17</v>
      </c>
      <c r="E27343" s="33" t="s">
        <v>67</v>
      </c>
      <c r="F27343" s="33" t="s">
        <v>68</v>
      </c>
      <c r="G27343" s="33" t="s">
        <v>7780</v>
      </c>
      <c r="H27343" s="35">
        <v>36</v>
      </c>
      <c r="I27343" s="33" t="s">
        <v>51</v>
      </c>
      <c r="J27343" s="42">
        <v>46204</v>
      </c>
      <c r="K27343" s="33" t="s">
        <v>22</v>
      </c>
    </row>
    <row r="27344" spans="1:11">
      <c r="A27344" s="30" t="s">
        <v>60018</v>
      </c>
      <c r="B27344" s="30" t="s">
        <v>60019</v>
      </c>
      <c r="C27344" s="30" t="s">
        <v>647</v>
      </c>
      <c r="D27344" s="30" t="s">
        <v>17</v>
      </c>
      <c r="E27344" s="30" t="s">
        <v>26</v>
      </c>
      <c r="F27344" s="30" t="s">
        <v>27</v>
      </c>
      <c r="G27344" s="30" t="s">
        <v>140</v>
      </c>
      <c r="H27344" s="32">
        <v>21</v>
      </c>
      <c r="I27344" s="30" t="s">
        <v>51</v>
      </c>
      <c r="J27344" s="41">
        <v>46072</v>
      </c>
      <c r="K27344" s="30" t="s">
        <v>22</v>
      </c>
    </row>
    <row r="27345" spans="1:11">
      <c r="A27345" s="33" t="s">
        <v>60020</v>
      </c>
      <c r="B27345" s="33" t="s">
        <v>60021</v>
      </c>
      <c r="C27345" s="33" t="s">
        <v>32824</v>
      </c>
      <c r="D27345" s="33" t="s">
        <v>17</v>
      </c>
      <c r="E27345" s="33" t="s">
        <v>67</v>
      </c>
      <c r="F27345" s="33" t="s">
        <v>68</v>
      </c>
      <c r="G27345" s="33" t="s">
        <v>7780</v>
      </c>
      <c r="H27345" s="35">
        <v>108</v>
      </c>
      <c r="I27345" s="33" t="s">
        <v>51</v>
      </c>
      <c r="J27345" s="42">
        <v>46157</v>
      </c>
      <c r="K27345" s="33" t="s">
        <v>22</v>
      </c>
    </row>
    <row r="27346" spans="1:11">
      <c r="A27346" s="30" t="s">
        <v>60022</v>
      </c>
      <c r="B27346" s="30" t="s">
        <v>60023</v>
      </c>
      <c r="C27346" s="30" t="s">
        <v>157</v>
      </c>
      <c r="D27346" s="30" t="s">
        <v>17</v>
      </c>
      <c r="E27346" s="30" t="s">
        <v>18</v>
      </c>
      <c r="F27346" s="30" t="s">
        <v>19</v>
      </c>
      <c r="G27346" s="30" t="s">
        <v>140</v>
      </c>
      <c r="H27346" s="32">
        <v>300</v>
      </c>
      <c r="I27346" s="30" t="s">
        <v>51</v>
      </c>
      <c r="J27346" s="41">
        <v>46163</v>
      </c>
      <c r="K27346" s="30" t="s">
        <v>22</v>
      </c>
    </row>
    <row r="27347" spans="1:11">
      <c r="A27347" s="33" t="s">
        <v>60024</v>
      </c>
      <c r="B27347" s="33" t="s">
        <v>60025</v>
      </c>
      <c r="C27347" s="33" t="s">
        <v>49825</v>
      </c>
      <c r="D27347" s="33" t="s">
        <v>17</v>
      </c>
      <c r="E27347" s="33" t="s">
        <v>31</v>
      </c>
      <c r="F27347" s="33" t="s">
        <v>32</v>
      </c>
      <c r="G27347" s="33" t="s">
        <v>7780</v>
      </c>
      <c r="H27347" s="35">
        <v>10</v>
      </c>
      <c r="I27347" s="33" t="s">
        <v>51</v>
      </c>
      <c r="J27347" s="42">
        <v>46174</v>
      </c>
      <c r="K27347" s="33" t="s">
        <v>22</v>
      </c>
    </row>
    <row r="27348" spans="1:11">
      <c r="A27348" s="30" t="s">
        <v>60026</v>
      </c>
      <c r="B27348" s="30" t="s">
        <v>60027</v>
      </c>
      <c r="C27348" s="30" t="s">
        <v>5312</v>
      </c>
      <c r="D27348" s="30" t="s">
        <v>17</v>
      </c>
      <c r="E27348" s="30" t="s">
        <v>26</v>
      </c>
      <c r="F27348" s="30" t="s">
        <v>27</v>
      </c>
      <c r="G27348" s="30" t="s">
        <v>158</v>
      </c>
      <c r="H27348" s="32">
        <v>46</v>
      </c>
      <c r="I27348" s="30" t="s">
        <v>51</v>
      </c>
      <c r="J27348" s="41">
        <v>46170</v>
      </c>
      <c r="K27348" s="30" t="s">
        <v>22</v>
      </c>
    </row>
    <row r="27349" spans="1:11">
      <c r="A27349" s="33" t="s">
        <v>60028</v>
      </c>
      <c r="B27349" s="33" t="s">
        <v>60029</v>
      </c>
      <c r="C27349" s="33" t="s">
        <v>3655</v>
      </c>
      <c r="D27349" s="33" t="s">
        <v>17</v>
      </c>
      <c r="E27349" s="33" t="s">
        <v>31</v>
      </c>
      <c r="F27349" s="33" t="s">
        <v>32</v>
      </c>
      <c r="G27349" s="33" t="s">
        <v>140</v>
      </c>
      <c r="H27349" s="35">
        <v>310</v>
      </c>
      <c r="I27349" s="33" t="s">
        <v>51</v>
      </c>
      <c r="J27349" s="42">
        <v>46073</v>
      </c>
      <c r="K27349" s="33" t="s">
        <v>22</v>
      </c>
    </row>
    <row r="27350" spans="1:11">
      <c r="A27350" s="30" t="s">
        <v>60030</v>
      </c>
      <c r="B27350" s="30" t="s">
        <v>60031</v>
      </c>
      <c r="C27350" s="30" t="s">
        <v>51579</v>
      </c>
      <c r="D27350" s="30" t="s">
        <v>17</v>
      </c>
      <c r="E27350" s="30" t="s">
        <v>31</v>
      </c>
      <c r="F27350" s="30" t="s">
        <v>32</v>
      </c>
      <c r="G27350" s="30" t="s">
        <v>7780</v>
      </c>
      <c r="H27350" s="32">
        <v>200</v>
      </c>
      <c r="I27350" s="30" t="s">
        <v>51</v>
      </c>
      <c r="J27350" s="41">
        <v>46023</v>
      </c>
      <c r="K27350" s="30" t="s">
        <v>22</v>
      </c>
    </row>
    <row r="27351" spans="1:11">
      <c r="A27351" s="33" t="s">
        <v>60032</v>
      </c>
      <c r="B27351" s="33" t="s">
        <v>60033</v>
      </c>
      <c r="C27351" s="33" t="s">
        <v>51354</v>
      </c>
      <c r="D27351" s="33" t="s">
        <v>17</v>
      </c>
      <c r="E27351" s="33" t="s">
        <v>31</v>
      </c>
      <c r="F27351" s="33" t="s">
        <v>32</v>
      </c>
      <c r="G27351" s="33" t="s">
        <v>140</v>
      </c>
      <c r="H27351" s="35">
        <v>50</v>
      </c>
      <c r="I27351" s="33" t="s">
        <v>51</v>
      </c>
      <c r="J27351" s="42">
        <v>46031</v>
      </c>
      <c r="K27351" s="33" t="s">
        <v>22</v>
      </c>
    </row>
    <row r="27352" spans="1:11">
      <c r="A27352" s="30" t="s">
        <v>60034</v>
      </c>
      <c r="B27352" s="30" t="s">
        <v>60035</v>
      </c>
      <c r="C27352" s="30" t="s">
        <v>48543</v>
      </c>
      <c r="D27352" s="30" t="s">
        <v>17</v>
      </c>
      <c r="E27352" s="30" t="s">
        <v>26</v>
      </c>
      <c r="F27352" s="30" t="s">
        <v>27</v>
      </c>
      <c r="G27352" s="30" t="s">
        <v>20</v>
      </c>
      <c r="H27352" s="32">
        <v>20</v>
      </c>
      <c r="I27352" s="30" t="s">
        <v>21</v>
      </c>
      <c r="J27352" s="41">
        <v>46149</v>
      </c>
      <c r="K27352" s="30" t="s">
        <v>22</v>
      </c>
    </row>
    <row r="27353" spans="1:11">
      <c r="A27353" s="33" t="s">
        <v>60036</v>
      </c>
      <c r="B27353" s="33" t="s">
        <v>60037</v>
      </c>
      <c r="C27353" s="33" t="s">
        <v>190</v>
      </c>
      <c r="D27353" s="33" t="s">
        <v>17</v>
      </c>
      <c r="E27353" s="33" t="s">
        <v>67</v>
      </c>
      <c r="F27353" s="33" t="s">
        <v>68</v>
      </c>
      <c r="G27353" s="33" t="s">
        <v>140</v>
      </c>
      <c r="H27353" s="35">
        <v>42</v>
      </c>
      <c r="I27353" s="33" t="s">
        <v>51</v>
      </c>
      <c r="J27353" s="42">
        <v>46160</v>
      </c>
      <c r="K27353" s="33" t="s">
        <v>22</v>
      </c>
    </row>
    <row r="27354" spans="1:11">
      <c r="A27354" s="30" t="s">
        <v>60038</v>
      </c>
      <c r="B27354" s="30" t="s">
        <v>60039</v>
      </c>
      <c r="C27354" s="30" t="s">
        <v>2618</v>
      </c>
      <c r="D27354" s="30" t="s">
        <v>17</v>
      </c>
      <c r="E27354" s="30" t="s">
        <v>18</v>
      </c>
      <c r="F27354" s="30" t="s">
        <v>19</v>
      </c>
      <c r="G27354" s="30" t="s">
        <v>140</v>
      </c>
      <c r="H27354" s="32">
        <v>202</v>
      </c>
      <c r="I27354" s="30" t="s">
        <v>51</v>
      </c>
      <c r="J27354" s="41">
        <v>46113</v>
      </c>
      <c r="K27354" s="30" t="s">
        <v>22</v>
      </c>
    </row>
    <row r="27355" spans="1:11">
      <c r="A27355" s="33" t="s">
        <v>60040</v>
      </c>
      <c r="B27355" s="33" t="s">
        <v>60041</v>
      </c>
      <c r="C27355" s="33" t="s">
        <v>43768</v>
      </c>
      <c r="D27355" s="33" t="s">
        <v>17</v>
      </c>
      <c r="E27355" s="33" t="s">
        <v>31</v>
      </c>
      <c r="F27355" s="33" t="s">
        <v>32</v>
      </c>
      <c r="G27355" s="33" t="s">
        <v>140</v>
      </c>
      <c r="H27355" s="35">
        <v>160</v>
      </c>
      <c r="I27355" s="33" t="s">
        <v>51</v>
      </c>
      <c r="J27355" s="42">
        <v>46091</v>
      </c>
      <c r="K27355" s="33" t="s">
        <v>22</v>
      </c>
    </row>
    <row r="27356" spans="1:11">
      <c r="A27356" s="30" t="s">
        <v>60042</v>
      </c>
      <c r="B27356" s="30" t="s">
        <v>60043</v>
      </c>
      <c r="C27356" s="30" t="s">
        <v>42561</v>
      </c>
      <c r="D27356" s="30" t="s">
        <v>17</v>
      </c>
      <c r="E27356" s="30" t="s">
        <v>26</v>
      </c>
      <c r="F27356" s="30" t="s">
        <v>27</v>
      </c>
      <c r="G27356" s="30" t="s">
        <v>7780</v>
      </c>
      <c r="H27356" s="32">
        <v>65</v>
      </c>
      <c r="I27356" s="30" t="s">
        <v>51</v>
      </c>
      <c r="J27356" s="41">
        <v>46142</v>
      </c>
      <c r="K27356" s="30" t="s">
        <v>22</v>
      </c>
    </row>
    <row r="27357" spans="1:11">
      <c r="A27357" s="33" t="s">
        <v>60044</v>
      </c>
      <c r="B27357" s="33" t="s">
        <v>60045</v>
      </c>
      <c r="C27357" s="33" t="s">
        <v>3296</v>
      </c>
      <c r="D27357" s="33" t="s">
        <v>17</v>
      </c>
      <c r="E27357" s="33" t="s">
        <v>26</v>
      </c>
      <c r="F27357" s="33" t="s">
        <v>27</v>
      </c>
      <c r="G27357" s="33" t="s">
        <v>20</v>
      </c>
      <c r="H27357" s="35">
        <v>36</v>
      </c>
      <c r="I27357" s="33" t="s">
        <v>21</v>
      </c>
      <c r="J27357" s="42">
        <v>46028</v>
      </c>
      <c r="K27357" s="33" t="s">
        <v>22</v>
      </c>
    </row>
    <row r="27358" spans="1:11">
      <c r="A27358" s="30" t="s">
        <v>60046</v>
      </c>
      <c r="B27358" s="30" t="s">
        <v>60047</v>
      </c>
      <c r="C27358" s="30" t="s">
        <v>190</v>
      </c>
      <c r="D27358" s="30" t="s">
        <v>17</v>
      </c>
      <c r="E27358" s="30" t="s">
        <v>18</v>
      </c>
      <c r="F27358" s="30" t="s">
        <v>19</v>
      </c>
      <c r="G27358" s="30" t="s">
        <v>140</v>
      </c>
      <c r="H27358" s="32">
        <v>670</v>
      </c>
      <c r="I27358" s="30" t="s">
        <v>51</v>
      </c>
      <c r="J27358" s="41">
        <v>46146</v>
      </c>
      <c r="K27358" s="30" t="s">
        <v>22</v>
      </c>
    </row>
    <row r="27359" spans="1:11">
      <c r="A27359" s="33" t="s">
        <v>60048</v>
      </c>
      <c r="B27359" s="33" t="s">
        <v>60049</v>
      </c>
      <c r="C27359" s="33" t="s">
        <v>13335</v>
      </c>
      <c r="D27359" s="33" t="s">
        <v>17</v>
      </c>
      <c r="E27359" s="33" t="s">
        <v>31</v>
      </c>
      <c r="F27359" s="33" t="s">
        <v>32</v>
      </c>
      <c r="G27359" s="33" t="s">
        <v>140</v>
      </c>
      <c r="H27359" s="35">
        <v>280</v>
      </c>
      <c r="I27359" s="33" t="s">
        <v>51</v>
      </c>
      <c r="J27359" s="42">
        <v>46170</v>
      </c>
      <c r="K27359" s="33" t="s">
        <v>22</v>
      </c>
    </row>
    <row r="27360" spans="1:11">
      <c r="A27360" s="30" t="s">
        <v>60050</v>
      </c>
      <c r="B27360" s="30" t="s">
        <v>60051</v>
      </c>
      <c r="C27360" s="30" t="s">
        <v>7072</v>
      </c>
      <c r="D27360" s="30" t="s">
        <v>17</v>
      </c>
      <c r="E27360" s="30" t="s">
        <v>31</v>
      </c>
      <c r="F27360" s="30" t="s">
        <v>32</v>
      </c>
      <c r="G27360" s="30" t="s">
        <v>7780</v>
      </c>
      <c r="H27360" s="32">
        <v>30</v>
      </c>
      <c r="I27360" s="30" t="s">
        <v>51</v>
      </c>
      <c r="J27360" s="41">
        <v>46234</v>
      </c>
      <c r="K27360" s="30" t="s">
        <v>22</v>
      </c>
    </row>
    <row r="27361" spans="1:11">
      <c r="A27361" s="33" t="s">
        <v>60052</v>
      </c>
      <c r="B27361" s="33" t="s">
        <v>60053</v>
      </c>
      <c r="C27361" s="33" t="s">
        <v>25549</v>
      </c>
      <c r="D27361" s="33" t="s">
        <v>17</v>
      </c>
      <c r="E27361" s="33" t="s">
        <v>26</v>
      </c>
      <c r="F27361" s="33" t="s">
        <v>27</v>
      </c>
      <c r="G27361" s="33" t="s">
        <v>7780</v>
      </c>
      <c r="H27361" s="35">
        <v>74</v>
      </c>
      <c r="I27361" s="33" t="s">
        <v>51</v>
      </c>
      <c r="J27361" s="42">
        <v>46204</v>
      </c>
      <c r="K27361" s="33" t="s">
        <v>22</v>
      </c>
    </row>
    <row r="27362" spans="1:11">
      <c r="A27362" s="30" t="s">
        <v>60054</v>
      </c>
      <c r="B27362" s="30" t="s">
        <v>60055</v>
      </c>
      <c r="C27362" s="30" t="s">
        <v>190</v>
      </c>
      <c r="D27362" s="30" t="s">
        <v>17</v>
      </c>
      <c r="E27362" s="30" t="s">
        <v>67</v>
      </c>
      <c r="F27362" s="30" t="s">
        <v>68</v>
      </c>
      <c r="G27362" s="30" t="s">
        <v>140</v>
      </c>
      <c r="H27362" s="32">
        <v>300</v>
      </c>
      <c r="I27362" s="30" t="s">
        <v>51</v>
      </c>
      <c r="J27362" s="41">
        <v>46049</v>
      </c>
      <c r="K27362" s="30" t="s">
        <v>22</v>
      </c>
    </row>
    <row r="27363" spans="1:11">
      <c r="A27363" s="33" t="s">
        <v>60056</v>
      </c>
      <c r="B27363" s="33" t="s">
        <v>60057</v>
      </c>
      <c r="C27363" s="33" t="s">
        <v>50174</v>
      </c>
      <c r="D27363" s="33" t="s">
        <v>17</v>
      </c>
      <c r="E27363" s="33" t="s">
        <v>26</v>
      </c>
      <c r="F27363" s="33" t="s">
        <v>27</v>
      </c>
      <c r="G27363" s="33" t="s">
        <v>7780</v>
      </c>
      <c r="H27363" s="35">
        <v>13</v>
      </c>
      <c r="I27363" s="33" t="s">
        <v>51</v>
      </c>
      <c r="J27363" s="42">
        <v>46204</v>
      </c>
      <c r="K27363" s="33" t="s">
        <v>22</v>
      </c>
    </row>
    <row r="27364" spans="1:11">
      <c r="A27364" s="30" t="s">
        <v>60058</v>
      </c>
      <c r="B27364" s="30" t="s">
        <v>60059</v>
      </c>
      <c r="C27364" s="30" t="s">
        <v>60</v>
      </c>
      <c r="D27364" s="30" t="s">
        <v>17</v>
      </c>
      <c r="E27364" s="30" t="s">
        <v>26</v>
      </c>
      <c r="F27364" s="30" t="s">
        <v>27</v>
      </c>
      <c r="G27364" s="30" t="s">
        <v>158</v>
      </c>
      <c r="H27364" s="32">
        <v>18</v>
      </c>
      <c r="I27364" s="30" t="s">
        <v>21</v>
      </c>
      <c r="J27364" s="41">
        <v>46149</v>
      </c>
      <c r="K27364" s="30" t="s">
        <v>22</v>
      </c>
    </row>
    <row r="27365" spans="1:11">
      <c r="A27365" s="33" t="s">
        <v>60060</v>
      </c>
      <c r="B27365" s="33" t="s">
        <v>60061</v>
      </c>
      <c r="C27365" s="33" t="s">
        <v>44</v>
      </c>
      <c r="D27365" s="33" t="s">
        <v>17</v>
      </c>
      <c r="E27365" s="33" t="s">
        <v>18</v>
      </c>
      <c r="F27365" s="33" t="s">
        <v>19</v>
      </c>
      <c r="G27365" s="33" t="s">
        <v>140</v>
      </c>
      <c r="H27365" s="35">
        <v>35</v>
      </c>
      <c r="I27365" s="33" t="s">
        <v>51</v>
      </c>
      <c r="J27365" s="42">
        <v>46184</v>
      </c>
      <c r="K27365" s="33" t="s">
        <v>22</v>
      </c>
    </row>
    <row r="27366" spans="1:11">
      <c r="A27366" s="30" t="s">
        <v>60062</v>
      </c>
      <c r="B27366" s="30" t="s">
        <v>60063</v>
      </c>
      <c r="C27366" s="30" t="s">
        <v>310</v>
      </c>
      <c r="D27366" s="30" t="s">
        <v>17</v>
      </c>
      <c r="E27366" s="30" t="s">
        <v>18</v>
      </c>
      <c r="F27366" s="30" t="s">
        <v>19</v>
      </c>
      <c r="G27366" s="30" t="s">
        <v>112</v>
      </c>
      <c r="H27366" s="32">
        <v>0</v>
      </c>
      <c r="I27366" s="30" t="s">
        <v>21</v>
      </c>
      <c r="J27366" s="41">
        <v>46195</v>
      </c>
      <c r="K27366" s="30" t="s">
        <v>22</v>
      </c>
    </row>
    <row r="27367" spans="1:11">
      <c r="A27367" s="33" t="s">
        <v>60064</v>
      </c>
      <c r="B27367" s="33" t="s">
        <v>60065</v>
      </c>
      <c r="C27367" s="33" t="s">
        <v>2753</v>
      </c>
      <c r="D27367" s="33" t="s">
        <v>17</v>
      </c>
      <c r="E27367" s="33" t="s">
        <v>18</v>
      </c>
      <c r="F27367" s="33" t="s">
        <v>19</v>
      </c>
      <c r="G27367" s="33" t="s">
        <v>140</v>
      </c>
      <c r="H27367" s="35">
        <v>1056</v>
      </c>
      <c r="I27367" s="33" t="s">
        <v>51</v>
      </c>
      <c r="J27367" s="42">
        <v>46164</v>
      </c>
      <c r="K27367" s="33" t="s">
        <v>22</v>
      </c>
    </row>
    <row r="27368" spans="1:11">
      <c r="A27368" s="30" t="s">
        <v>60066</v>
      </c>
      <c r="B27368" s="30" t="s">
        <v>60067</v>
      </c>
      <c r="C27368" s="30" t="s">
        <v>2739</v>
      </c>
      <c r="D27368" s="30" t="s">
        <v>17</v>
      </c>
      <c r="E27368" s="30" t="s">
        <v>26</v>
      </c>
      <c r="F27368" s="30" t="s">
        <v>27</v>
      </c>
      <c r="G27368" s="30" t="s">
        <v>7780</v>
      </c>
      <c r="H27368" s="32">
        <v>38</v>
      </c>
      <c r="I27368" s="30" t="s">
        <v>51</v>
      </c>
      <c r="J27368" s="41">
        <v>46087</v>
      </c>
      <c r="K27368" s="30" t="s">
        <v>22</v>
      </c>
    </row>
    <row r="27369" spans="1:11">
      <c r="A27369" s="33" t="s">
        <v>60068</v>
      </c>
      <c r="B27369" s="33" t="s">
        <v>60069</v>
      </c>
      <c r="C27369" s="33" t="s">
        <v>17647</v>
      </c>
      <c r="D27369" s="33" t="s">
        <v>17</v>
      </c>
      <c r="E27369" s="33" t="s">
        <v>26</v>
      </c>
      <c r="F27369" s="33" t="s">
        <v>27</v>
      </c>
      <c r="G27369" s="33" t="s">
        <v>140</v>
      </c>
      <c r="H27369" s="35">
        <v>58</v>
      </c>
      <c r="I27369" s="33" t="s">
        <v>51</v>
      </c>
      <c r="J27369" s="42">
        <v>46093</v>
      </c>
      <c r="K27369" s="33" t="s">
        <v>22</v>
      </c>
    </row>
    <row r="27370" spans="1:11">
      <c r="A27370" s="30" t="s">
        <v>60070</v>
      </c>
      <c r="B27370" s="30" t="s">
        <v>60071</v>
      </c>
      <c r="C27370" s="30" t="s">
        <v>75</v>
      </c>
      <c r="D27370" s="30" t="s">
        <v>17</v>
      </c>
      <c r="E27370" s="30" t="s">
        <v>26</v>
      </c>
      <c r="F27370" s="30" t="s">
        <v>27</v>
      </c>
      <c r="G27370" s="30" t="s">
        <v>140</v>
      </c>
      <c r="H27370" s="32">
        <v>136</v>
      </c>
      <c r="I27370" s="30" t="s">
        <v>51</v>
      </c>
      <c r="J27370" s="41">
        <v>46216</v>
      </c>
      <c r="K27370" s="30" t="s">
        <v>22</v>
      </c>
    </row>
    <row r="27371" spans="1:11">
      <c r="A27371" s="33" t="s">
        <v>60072</v>
      </c>
      <c r="B27371" s="33" t="s">
        <v>60073</v>
      </c>
      <c r="C27371" s="33" t="s">
        <v>25549</v>
      </c>
      <c r="D27371" s="33" t="s">
        <v>17</v>
      </c>
      <c r="E27371" s="33" t="s">
        <v>26</v>
      </c>
      <c r="F27371" s="33" t="s">
        <v>27</v>
      </c>
      <c r="G27371" s="33" t="s">
        <v>140</v>
      </c>
      <c r="H27371" s="35">
        <v>74</v>
      </c>
      <c r="I27371" s="33" t="s">
        <v>51</v>
      </c>
      <c r="J27371" s="42">
        <v>46162</v>
      </c>
      <c r="K27371" s="33" t="s">
        <v>22</v>
      </c>
    </row>
    <row r="27372" spans="1:11">
      <c r="A27372" s="30" t="s">
        <v>60074</v>
      </c>
      <c r="B27372" s="30" t="s">
        <v>60075</v>
      </c>
      <c r="C27372" s="30" t="s">
        <v>15049</v>
      </c>
      <c r="D27372" s="30" t="s">
        <v>17</v>
      </c>
      <c r="E27372" s="30" t="s">
        <v>26</v>
      </c>
      <c r="F27372" s="30" t="s">
        <v>27</v>
      </c>
      <c r="G27372" s="30" t="s">
        <v>7780</v>
      </c>
      <c r="H27372" s="32">
        <v>48</v>
      </c>
      <c r="I27372" s="30" t="s">
        <v>51</v>
      </c>
      <c r="J27372" s="41">
        <v>46113</v>
      </c>
      <c r="K27372" s="30" t="s">
        <v>22</v>
      </c>
    </row>
    <row r="27373" spans="1:11">
      <c r="A27373" s="33" t="s">
        <v>60076</v>
      </c>
      <c r="B27373" s="33" t="s">
        <v>60077</v>
      </c>
      <c r="C27373" s="33" t="s">
        <v>203</v>
      </c>
      <c r="D27373" s="33" t="s">
        <v>17</v>
      </c>
      <c r="E27373" s="33" t="s">
        <v>26</v>
      </c>
      <c r="F27373" s="33" t="s">
        <v>27</v>
      </c>
      <c r="G27373" s="33" t="s">
        <v>140</v>
      </c>
      <c r="H27373" s="35">
        <v>114</v>
      </c>
      <c r="I27373" s="33" t="s">
        <v>51</v>
      </c>
      <c r="J27373" s="42">
        <v>46168</v>
      </c>
      <c r="K27373" s="33" t="s">
        <v>22</v>
      </c>
    </row>
    <row r="27374" spans="1:11">
      <c r="A27374" s="30" t="s">
        <v>60078</v>
      </c>
      <c r="B27374" s="30" t="s">
        <v>60079</v>
      </c>
      <c r="C27374" s="30" t="s">
        <v>10589</v>
      </c>
      <c r="D27374" s="30" t="s">
        <v>17</v>
      </c>
      <c r="E27374" s="30" t="s">
        <v>26</v>
      </c>
      <c r="F27374" s="30" t="s">
        <v>27</v>
      </c>
      <c r="G27374" s="30" t="s">
        <v>20</v>
      </c>
      <c r="H27374" s="32">
        <v>20</v>
      </c>
      <c r="I27374" s="30" t="s">
        <v>21</v>
      </c>
      <c r="J27374" s="41">
        <v>46058</v>
      </c>
      <c r="K27374" s="30" t="s">
        <v>22</v>
      </c>
    </row>
    <row r="27375" spans="1:11">
      <c r="A27375" s="33" t="s">
        <v>60080</v>
      </c>
      <c r="B27375" s="33" t="s">
        <v>60081</v>
      </c>
      <c r="C27375" s="33" t="s">
        <v>318</v>
      </c>
      <c r="D27375" s="33" t="s">
        <v>17</v>
      </c>
      <c r="E27375" s="33" t="s">
        <v>18</v>
      </c>
      <c r="F27375" s="33" t="s">
        <v>19</v>
      </c>
      <c r="G27375" s="33" t="s">
        <v>140</v>
      </c>
      <c r="H27375" s="35">
        <v>71</v>
      </c>
      <c r="I27375" s="33" t="s">
        <v>51</v>
      </c>
      <c r="J27375" s="42">
        <v>46099</v>
      </c>
      <c r="K27375" s="33" t="s">
        <v>22</v>
      </c>
    </row>
    <row r="27376" spans="1:11">
      <c r="A27376" s="30" t="s">
        <v>60082</v>
      </c>
      <c r="B27376" s="30" t="s">
        <v>60083</v>
      </c>
      <c r="C27376" s="30" t="s">
        <v>60084</v>
      </c>
      <c r="D27376" s="30" t="s">
        <v>17</v>
      </c>
      <c r="E27376" s="30" t="s">
        <v>212</v>
      </c>
      <c r="F27376" s="30" t="s">
        <v>213</v>
      </c>
      <c r="G27376" s="30" t="s">
        <v>140</v>
      </c>
      <c r="H27376" s="32">
        <v>150</v>
      </c>
      <c r="I27376" s="30" t="s">
        <v>51</v>
      </c>
      <c r="J27376" s="41">
        <v>46162</v>
      </c>
      <c r="K27376" s="30" t="s">
        <v>22</v>
      </c>
    </row>
    <row r="27377" spans="1:11">
      <c r="A27377" s="33" t="s">
        <v>60085</v>
      </c>
      <c r="B27377" s="33" t="s">
        <v>60086</v>
      </c>
      <c r="C27377" s="33" t="s">
        <v>60</v>
      </c>
      <c r="D27377" s="33" t="s">
        <v>17</v>
      </c>
      <c r="E27377" s="33" t="s">
        <v>212</v>
      </c>
      <c r="F27377" s="33" t="s">
        <v>213</v>
      </c>
      <c r="G27377" s="33" t="s">
        <v>140</v>
      </c>
      <c r="H27377" s="35">
        <v>60</v>
      </c>
      <c r="I27377" s="33" t="s">
        <v>51</v>
      </c>
      <c r="J27377" s="42">
        <v>46136</v>
      </c>
      <c r="K27377" s="33" t="s">
        <v>22</v>
      </c>
    </row>
    <row r="27378" spans="1:11">
      <c r="A27378" s="30" t="s">
        <v>60087</v>
      </c>
      <c r="B27378" s="30" t="s">
        <v>60088</v>
      </c>
      <c r="C27378" s="30" t="s">
        <v>12980</v>
      </c>
      <c r="D27378" s="30" t="s">
        <v>17</v>
      </c>
      <c r="E27378" s="30" t="s">
        <v>330</v>
      </c>
      <c r="F27378" s="30" t="s">
        <v>331</v>
      </c>
      <c r="G27378" s="30" t="s">
        <v>140</v>
      </c>
      <c r="H27378" s="32">
        <v>105</v>
      </c>
      <c r="I27378" s="30" t="s">
        <v>51</v>
      </c>
      <c r="J27378" s="41">
        <v>46192</v>
      </c>
      <c r="K27378" s="30" t="s">
        <v>22</v>
      </c>
    </row>
    <row r="27379" spans="1:11">
      <c r="A27379" s="33" t="s">
        <v>60089</v>
      </c>
      <c r="B27379" s="33" t="s">
        <v>60090</v>
      </c>
      <c r="C27379" s="33" t="s">
        <v>203</v>
      </c>
      <c r="D27379" s="33" t="s">
        <v>17</v>
      </c>
      <c r="E27379" s="33" t="s">
        <v>212</v>
      </c>
      <c r="F27379" s="33" t="s">
        <v>213</v>
      </c>
      <c r="G27379" s="33" t="s">
        <v>140</v>
      </c>
      <c r="H27379" s="35">
        <v>300</v>
      </c>
      <c r="I27379" s="33" t="s">
        <v>51</v>
      </c>
      <c r="J27379" s="42">
        <v>46154</v>
      </c>
      <c r="K27379" s="33" t="s">
        <v>22</v>
      </c>
    </row>
    <row r="27380" spans="1:11">
      <c r="A27380" s="30" t="s">
        <v>60091</v>
      </c>
      <c r="B27380" s="30" t="s">
        <v>60092</v>
      </c>
      <c r="C27380" s="30" t="s">
        <v>50793</v>
      </c>
      <c r="D27380" s="30" t="s">
        <v>17</v>
      </c>
      <c r="E27380" s="30" t="s">
        <v>26</v>
      </c>
      <c r="F27380" s="30" t="s">
        <v>27</v>
      </c>
      <c r="G27380" s="30" t="s">
        <v>112</v>
      </c>
      <c r="H27380" s="32">
        <v>0</v>
      </c>
      <c r="I27380" s="30" t="s">
        <v>21</v>
      </c>
      <c r="J27380" s="41">
        <v>46113</v>
      </c>
      <c r="K27380" s="30" t="s">
        <v>22</v>
      </c>
    </row>
    <row r="27381" spans="1:11">
      <c r="A27381" s="33" t="s">
        <v>60093</v>
      </c>
      <c r="B27381" s="33" t="s">
        <v>60094</v>
      </c>
      <c r="C27381" s="33" t="s">
        <v>75</v>
      </c>
      <c r="D27381" s="33" t="s">
        <v>17</v>
      </c>
      <c r="E27381" s="33" t="s">
        <v>18</v>
      </c>
      <c r="F27381" s="33" t="s">
        <v>19</v>
      </c>
      <c r="G27381" s="33" t="s">
        <v>140</v>
      </c>
      <c r="H27381" s="35">
        <v>325</v>
      </c>
      <c r="I27381" s="33" t="s">
        <v>51</v>
      </c>
      <c r="J27381" s="42">
        <v>46106</v>
      </c>
      <c r="K27381" s="33" t="s">
        <v>22</v>
      </c>
    </row>
    <row r="27382" spans="1:11">
      <c r="A27382" s="30" t="s">
        <v>60095</v>
      </c>
      <c r="B27382" s="30" t="s">
        <v>60096</v>
      </c>
      <c r="C27382" s="30" t="s">
        <v>647</v>
      </c>
      <c r="D27382" s="30" t="s">
        <v>17</v>
      </c>
      <c r="E27382" s="30" t="s">
        <v>26</v>
      </c>
      <c r="F27382" s="30" t="s">
        <v>27</v>
      </c>
      <c r="G27382" s="30" t="s">
        <v>158</v>
      </c>
      <c r="H27382" s="32">
        <v>120</v>
      </c>
      <c r="I27382" s="30" t="s">
        <v>51</v>
      </c>
      <c r="J27382" s="41">
        <v>46085</v>
      </c>
      <c r="K27382" s="30" t="s">
        <v>22</v>
      </c>
    </row>
    <row r="27383" spans="1:11">
      <c r="A27383" s="33" t="s">
        <v>60097</v>
      </c>
      <c r="B27383" s="33" t="s">
        <v>60098</v>
      </c>
      <c r="C27383" s="33" t="s">
        <v>19435</v>
      </c>
      <c r="D27383" s="33" t="s">
        <v>17</v>
      </c>
      <c r="E27383" s="33" t="s">
        <v>18</v>
      </c>
      <c r="F27383" s="33" t="s">
        <v>19</v>
      </c>
      <c r="G27383" s="33" t="s">
        <v>7780</v>
      </c>
      <c r="H27383" s="35">
        <v>480</v>
      </c>
      <c r="I27383" s="33" t="s">
        <v>51</v>
      </c>
      <c r="J27383" s="42">
        <v>46037</v>
      </c>
      <c r="K27383" s="33" t="s">
        <v>22</v>
      </c>
    </row>
    <row r="27384" spans="1:11">
      <c r="A27384" s="30" t="s">
        <v>60099</v>
      </c>
      <c r="B27384" s="30" t="s">
        <v>60100</v>
      </c>
      <c r="C27384" s="30" t="s">
        <v>105</v>
      </c>
      <c r="D27384" s="30" t="s">
        <v>17</v>
      </c>
      <c r="E27384" s="30" t="s">
        <v>18</v>
      </c>
      <c r="F27384" s="30" t="s">
        <v>19</v>
      </c>
      <c r="G27384" s="30" t="s">
        <v>69</v>
      </c>
      <c r="H27384" s="32">
        <v>320</v>
      </c>
      <c r="I27384" s="30" t="s">
        <v>51</v>
      </c>
      <c r="J27384" s="41">
        <v>46160</v>
      </c>
      <c r="K27384" s="30" t="s">
        <v>22</v>
      </c>
    </row>
    <row r="27385" spans="1:11">
      <c r="A27385" s="33" t="s">
        <v>60101</v>
      </c>
      <c r="B27385" s="33" t="s">
        <v>60102</v>
      </c>
      <c r="C27385" s="33" t="s">
        <v>60103</v>
      </c>
      <c r="D27385" s="33" t="s">
        <v>17</v>
      </c>
      <c r="E27385" s="33" t="s">
        <v>26</v>
      </c>
      <c r="F27385" s="33" t="s">
        <v>27</v>
      </c>
      <c r="G27385" s="33" t="s">
        <v>140</v>
      </c>
      <c r="H27385" s="35">
        <v>18</v>
      </c>
      <c r="I27385" s="33" t="s">
        <v>51</v>
      </c>
      <c r="J27385" s="42">
        <v>46228</v>
      </c>
      <c r="K27385" s="33" t="s">
        <v>22</v>
      </c>
    </row>
    <row r="27386" spans="1:11">
      <c r="A27386" s="30" t="s">
        <v>60104</v>
      </c>
      <c r="B27386" s="30" t="s">
        <v>60105</v>
      </c>
      <c r="C27386" s="30" t="s">
        <v>570</v>
      </c>
      <c r="D27386" s="30" t="s">
        <v>17</v>
      </c>
      <c r="E27386" s="30" t="s">
        <v>26</v>
      </c>
      <c r="F27386" s="30" t="s">
        <v>27</v>
      </c>
      <c r="G27386" s="30" t="s">
        <v>7780</v>
      </c>
      <c r="H27386" s="32">
        <v>68</v>
      </c>
      <c r="I27386" s="30" t="s">
        <v>51</v>
      </c>
      <c r="J27386" s="41">
        <v>46082</v>
      </c>
      <c r="K27386" s="30" t="s">
        <v>22</v>
      </c>
    </row>
    <row r="27387" spans="1:11">
      <c r="A27387" s="33" t="s">
        <v>60106</v>
      </c>
      <c r="B27387" s="33" t="s">
        <v>60107</v>
      </c>
      <c r="C27387" s="33" t="s">
        <v>23703</v>
      </c>
      <c r="D27387" s="33" t="s">
        <v>17</v>
      </c>
      <c r="E27387" s="33" t="s">
        <v>26</v>
      </c>
      <c r="F27387" s="33" t="s">
        <v>27</v>
      </c>
      <c r="G27387" s="33" t="s">
        <v>140</v>
      </c>
      <c r="H27387" s="35">
        <v>43</v>
      </c>
      <c r="I27387" s="33" t="s">
        <v>51</v>
      </c>
      <c r="J27387" s="42">
        <v>46127</v>
      </c>
      <c r="K27387" s="33" t="s">
        <v>22</v>
      </c>
    </row>
    <row r="27388" spans="1:11">
      <c r="A27388" s="30" t="s">
        <v>60108</v>
      </c>
      <c r="B27388" s="30" t="s">
        <v>60109</v>
      </c>
      <c r="C27388" s="30" t="s">
        <v>15911</v>
      </c>
      <c r="D27388" s="30" t="s">
        <v>17</v>
      </c>
      <c r="E27388" s="30" t="s">
        <v>31</v>
      </c>
      <c r="F27388" s="30" t="s">
        <v>32</v>
      </c>
      <c r="G27388" s="30" t="s">
        <v>140</v>
      </c>
      <c r="H27388" s="32">
        <v>100</v>
      </c>
      <c r="I27388" s="30" t="s">
        <v>51</v>
      </c>
      <c r="J27388" s="41">
        <v>46071</v>
      </c>
      <c r="K27388" s="30" t="s">
        <v>22</v>
      </c>
    </row>
    <row r="27389" spans="1:11">
      <c r="A27389" s="33" t="s">
        <v>60110</v>
      </c>
      <c r="B27389" s="33" t="s">
        <v>60111</v>
      </c>
      <c r="C27389" s="33" t="s">
        <v>1290</v>
      </c>
      <c r="D27389" s="33" t="s">
        <v>17</v>
      </c>
      <c r="E27389" s="33" t="s">
        <v>26</v>
      </c>
      <c r="F27389" s="33" t="s">
        <v>27</v>
      </c>
      <c r="G27389" s="33" t="s">
        <v>140</v>
      </c>
      <c r="H27389" s="35">
        <v>48</v>
      </c>
      <c r="I27389" s="33" t="s">
        <v>51</v>
      </c>
      <c r="J27389" s="42">
        <v>46034</v>
      </c>
      <c r="K27389" s="33" t="s">
        <v>22</v>
      </c>
    </row>
    <row r="27390" spans="1:11">
      <c r="A27390" s="30" t="s">
        <v>60112</v>
      </c>
      <c r="B27390" s="30" t="s">
        <v>60113</v>
      </c>
      <c r="C27390" s="30" t="s">
        <v>60114</v>
      </c>
      <c r="D27390" s="30" t="s">
        <v>17</v>
      </c>
      <c r="E27390" s="30" t="s">
        <v>31</v>
      </c>
      <c r="F27390" s="30" t="s">
        <v>32</v>
      </c>
      <c r="G27390" s="30" t="s">
        <v>7780</v>
      </c>
      <c r="H27390" s="32">
        <v>100</v>
      </c>
      <c r="I27390" s="30" t="s">
        <v>51</v>
      </c>
      <c r="J27390" s="41">
        <v>46023</v>
      </c>
      <c r="K27390" s="30" t="s">
        <v>22</v>
      </c>
    </row>
    <row r="27391" spans="1:11">
      <c r="A27391" s="33" t="s">
        <v>60115</v>
      </c>
      <c r="B27391" s="33" t="s">
        <v>60116</v>
      </c>
      <c r="C27391" s="33" t="s">
        <v>5243</v>
      </c>
      <c r="D27391" s="33" t="s">
        <v>17</v>
      </c>
      <c r="E27391" s="33" t="s">
        <v>67</v>
      </c>
      <c r="F27391" s="33" t="s">
        <v>68</v>
      </c>
      <c r="G27391" s="33" t="s">
        <v>140</v>
      </c>
      <c r="H27391" s="35">
        <v>60</v>
      </c>
      <c r="I27391" s="33" t="s">
        <v>51</v>
      </c>
      <c r="J27391" s="42">
        <v>46174</v>
      </c>
      <c r="K27391" s="33" t="s">
        <v>22</v>
      </c>
    </row>
    <row r="27392" spans="1:11">
      <c r="A27392" s="30" t="s">
        <v>60117</v>
      </c>
      <c r="B27392" s="30" t="s">
        <v>60118</v>
      </c>
      <c r="C27392" s="30" t="s">
        <v>51208</v>
      </c>
      <c r="D27392" s="30" t="s">
        <v>17</v>
      </c>
      <c r="E27392" s="30" t="s">
        <v>31</v>
      </c>
      <c r="F27392" s="30" t="s">
        <v>32</v>
      </c>
      <c r="G27392" s="30" t="s">
        <v>7780</v>
      </c>
      <c r="H27392" s="32">
        <v>112</v>
      </c>
      <c r="I27392" s="30" t="s">
        <v>51</v>
      </c>
      <c r="J27392" s="41">
        <v>46204</v>
      </c>
      <c r="K27392" s="30" t="s">
        <v>22</v>
      </c>
    </row>
    <row r="27393" spans="1:11">
      <c r="A27393" s="33" t="s">
        <v>60119</v>
      </c>
      <c r="B27393" s="33" t="s">
        <v>60120</v>
      </c>
      <c r="C27393" s="33" t="s">
        <v>40461</v>
      </c>
      <c r="D27393" s="33" t="s">
        <v>17</v>
      </c>
      <c r="E27393" s="33" t="s">
        <v>31</v>
      </c>
      <c r="F27393" s="33" t="s">
        <v>32</v>
      </c>
      <c r="G27393" s="33" t="s">
        <v>7780</v>
      </c>
      <c r="H27393" s="35">
        <v>40</v>
      </c>
      <c r="I27393" s="33" t="s">
        <v>51</v>
      </c>
      <c r="J27393" s="42">
        <v>46204</v>
      </c>
      <c r="K27393" s="33" t="s">
        <v>22</v>
      </c>
    </row>
    <row r="27394" spans="1:11">
      <c r="A27394" s="30" t="s">
        <v>60121</v>
      </c>
      <c r="B27394" s="30" t="s">
        <v>60122</v>
      </c>
      <c r="C27394" s="30" t="s">
        <v>11899</v>
      </c>
      <c r="D27394" s="30" t="s">
        <v>17</v>
      </c>
      <c r="E27394" s="30" t="s">
        <v>18</v>
      </c>
      <c r="F27394" s="30" t="s">
        <v>19</v>
      </c>
      <c r="G27394" s="30" t="s">
        <v>140</v>
      </c>
      <c r="H27394" s="32">
        <v>398</v>
      </c>
      <c r="I27394" s="30" t="s">
        <v>51</v>
      </c>
      <c r="J27394" s="41">
        <v>46111</v>
      </c>
      <c r="K27394" s="30" t="s">
        <v>22</v>
      </c>
    </row>
    <row r="27395" spans="1:11">
      <c r="A27395" s="33" t="s">
        <v>60123</v>
      </c>
      <c r="B27395" s="33" t="s">
        <v>60124</v>
      </c>
      <c r="C27395" s="33" t="s">
        <v>17647</v>
      </c>
      <c r="D27395" s="33" t="s">
        <v>17</v>
      </c>
      <c r="E27395" s="33" t="s">
        <v>31</v>
      </c>
      <c r="F27395" s="33" t="s">
        <v>32</v>
      </c>
      <c r="G27395" s="33" t="s">
        <v>140</v>
      </c>
      <c r="H27395" s="35">
        <v>300</v>
      </c>
      <c r="I27395" s="33" t="s">
        <v>51</v>
      </c>
      <c r="J27395" s="42">
        <v>46223</v>
      </c>
      <c r="K27395" s="33" t="s">
        <v>22</v>
      </c>
    </row>
    <row r="27396" spans="1:11">
      <c r="A27396" s="30" t="s">
        <v>60125</v>
      </c>
      <c r="B27396" s="30" t="s">
        <v>60126</v>
      </c>
      <c r="C27396" s="30" t="s">
        <v>60127</v>
      </c>
      <c r="D27396" s="30" t="s">
        <v>17</v>
      </c>
      <c r="E27396" s="30" t="s">
        <v>26</v>
      </c>
      <c r="F27396" s="30" t="s">
        <v>27</v>
      </c>
      <c r="G27396" s="30" t="s">
        <v>7780</v>
      </c>
      <c r="H27396" s="32">
        <v>20</v>
      </c>
      <c r="I27396" s="30" t="s">
        <v>51</v>
      </c>
      <c r="J27396" s="41">
        <v>46174</v>
      </c>
      <c r="K27396" s="30" t="s">
        <v>22</v>
      </c>
    </row>
    <row r="27397" spans="1:11">
      <c r="A27397" s="33" t="s">
        <v>60128</v>
      </c>
      <c r="B27397" s="33" t="s">
        <v>60129</v>
      </c>
      <c r="C27397" s="33" t="s">
        <v>13181</v>
      </c>
      <c r="D27397" s="33" t="s">
        <v>17</v>
      </c>
      <c r="E27397" s="33" t="s">
        <v>18</v>
      </c>
      <c r="F27397" s="33" t="s">
        <v>19</v>
      </c>
      <c r="G27397" s="33" t="s">
        <v>140</v>
      </c>
      <c r="H27397" s="35">
        <v>300</v>
      </c>
      <c r="I27397" s="33" t="s">
        <v>51</v>
      </c>
      <c r="J27397" s="42">
        <v>46097</v>
      </c>
      <c r="K27397" s="33" t="s">
        <v>22</v>
      </c>
    </row>
    <row r="27398" spans="1:11">
      <c r="A27398" s="30" t="s">
        <v>60130</v>
      </c>
      <c r="B27398" s="30" t="s">
        <v>60131</v>
      </c>
      <c r="C27398" s="30" t="s">
        <v>48199</v>
      </c>
      <c r="D27398" s="30" t="s">
        <v>17</v>
      </c>
      <c r="E27398" s="30" t="s">
        <v>31</v>
      </c>
      <c r="F27398" s="30" t="s">
        <v>32</v>
      </c>
      <c r="G27398" s="30" t="s">
        <v>7780</v>
      </c>
      <c r="H27398" s="32">
        <v>180</v>
      </c>
      <c r="I27398" s="30" t="s">
        <v>51</v>
      </c>
      <c r="J27398" s="41">
        <v>46143</v>
      </c>
      <c r="K27398" s="30" t="s">
        <v>22</v>
      </c>
    </row>
    <row r="27399" spans="1:11">
      <c r="A27399" s="33" t="s">
        <v>60132</v>
      </c>
      <c r="B27399" s="33" t="s">
        <v>60133</v>
      </c>
      <c r="C27399" s="33" t="s">
        <v>46103</v>
      </c>
      <c r="D27399" s="33" t="s">
        <v>17</v>
      </c>
      <c r="E27399" s="33" t="s">
        <v>26</v>
      </c>
      <c r="F27399" s="33" t="s">
        <v>27</v>
      </c>
      <c r="G27399" s="33" t="s">
        <v>20</v>
      </c>
      <c r="H27399" s="35">
        <v>13</v>
      </c>
      <c r="I27399" s="33" t="s">
        <v>21</v>
      </c>
      <c r="J27399" s="42">
        <v>46059</v>
      </c>
      <c r="K27399" s="33" t="s">
        <v>22</v>
      </c>
    </row>
    <row r="27400" spans="1:11">
      <c r="A27400" s="30" t="s">
        <v>60134</v>
      </c>
      <c r="B27400" s="30" t="s">
        <v>60135</v>
      </c>
      <c r="C27400" s="30" t="s">
        <v>29982</v>
      </c>
      <c r="D27400" s="30" t="s">
        <v>17</v>
      </c>
      <c r="E27400" s="30" t="s">
        <v>26</v>
      </c>
      <c r="F27400" s="30" t="s">
        <v>27</v>
      </c>
      <c r="G27400" s="30" t="s">
        <v>7780</v>
      </c>
      <c r="H27400" s="32">
        <v>16</v>
      </c>
      <c r="I27400" s="30" t="s">
        <v>51</v>
      </c>
      <c r="J27400" s="41">
        <v>46174</v>
      </c>
      <c r="K27400" s="30" t="s">
        <v>22</v>
      </c>
    </row>
    <row r="27401" spans="1:11">
      <c r="A27401" s="33" t="s">
        <v>60136</v>
      </c>
      <c r="B27401" s="33" t="s">
        <v>60137</v>
      </c>
      <c r="C27401" s="33" t="s">
        <v>190</v>
      </c>
      <c r="D27401" s="33" t="s">
        <v>17</v>
      </c>
      <c r="E27401" s="33" t="s">
        <v>67</v>
      </c>
      <c r="F27401" s="33" t="s">
        <v>68</v>
      </c>
      <c r="G27401" s="33" t="s">
        <v>140</v>
      </c>
      <c r="H27401" s="35">
        <v>152</v>
      </c>
      <c r="I27401" s="33" t="s">
        <v>51</v>
      </c>
      <c r="J27401" s="42">
        <v>46176</v>
      </c>
      <c r="K27401" s="33" t="s">
        <v>22</v>
      </c>
    </row>
    <row r="27402" spans="1:11">
      <c r="A27402" s="30" t="s">
        <v>60138</v>
      </c>
      <c r="B27402" s="30" t="s">
        <v>60139</v>
      </c>
      <c r="C27402" s="30" t="s">
        <v>15585</v>
      </c>
      <c r="D27402" s="30" t="s">
        <v>17</v>
      </c>
      <c r="E27402" s="30" t="s">
        <v>31</v>
      </c>
      <c r="F27402" s="30" t="s">
        <v>32</v>
      </c>
      <c r="G27402" s="30" t="s">
        <v>7780</v>
      </c>
      <c r="H27402" s="32">
        <v>252</v>
      </c>
      <c r="I27402" s="30" t="s">
        <v>51</v>
      </c>
      <c r="J27402" s="41">
        <v>46204</v>
      </c>
      <c r="K27402" s="30" t="s">
        <v>22</v>
      </c>
    </row>
    <row r="27403" spans="1:11">
      <c r="A27403" s="33" t="s">
        <v>60140</v>
      </c>
      <c r="B27403" s="33" t="s">
        <v>60141</v>
      </c>
      <c r="C27403" s="33" t="s">
        <v>96</v>
      </c>
      <c r="D27403" s="33" t="s">
        <v>17</v>
      </c>
      <c r="E27403" s="33" t="s">
        <v>31</v>
      </c>
      <c r="F27403" s="33" t="s">
        <v>32</v>
      </c>
      <c r="G27403" s="33" t="s">
        <v>140</v>
      </c>
      <c r="H27403" s="35">
        <v>872</v>
      </c>
      <c r="I27403" s="33" t="s">
        <v>51</v>
      </c>
      <c r="J27403" s="42">
        <v>46153</v>
      </c>
      <c r="K27403" s="33" t="s">
        <v>22</v>
      </c>
    </row>
    <row r="27404" spans="1:11">
      <c r="A27404" s="30" t="s">
        <v>60142</v>
      </c>
      <c r="B27404" s="30" t="s">
        <v>60143</v>
      </c>
      <c r="C27404" s="30" t="s">
        <v>60144</v>
      </c>
      <c r="D27404" s="30" t="s">
        <v>17</v>
      </c>
      <c r="E27404" s="30" t="s">
        <v>67</v>
      </c>
      <c r="F27404" s="30" t="s">
        <v>68</v>
      </c>
      <c r="G27404" s="30" t="s">
        <v>140</v>
      </c>
      <c r="H27404" s="32">
        <v>90</v>
      </c>
      <c r="I27404" s="30" t="s">
        <v>51</v>
      </c>
      <c r="J27404" s="41">
        <v>46164</v>
      </c>
      <c r="K27404" s="30" t="s">
        <v>22</v>
      </c>
    </row>
    <row r="27405" spans="1:11">
      <c r="A27405" s="33" t="s">
        <v>60145</v>
      </c>
      <c r="B27405" s="33" t="s">
        <v>60146</v>
      </c>
      <c r="C27405" s="33" t="s">
        <v>20959</v>
      </c>
      <c r="D27405" s="33" t="s">
        <v>17</v>
      </c>
      <c r="E27405" s="33" t="s">
        <v>67</v>
      </c>
      <c r="F27405" s="33" t="s">
        <v>68</v>
      </c>
      <c r="G27405" s="33" t="s">
        <v>140</v>
      </c>
      <c r="H27405" s="35">
        <v>31</v>
      </c>
      <c r="I27405" s="33" t="s">
        <v>51</v>
      </c>
      <c r="J27405" s="42">
        <v>46175</v>
      </c>
      <c r="K27405" s="33" t="s">
        <v>22</v>
      </c>
    </row>
    <row r="27406" spans="1:11">
      <c r="A27406" s="30" t="s">
        <v>60147</v>
      </c>
      <c r="B27406" s="30" t="s">
        <v>60148</v>
      </c>
      <c r="C27406" s="30" t="s">
        <v>15199</v>
      </c>
      <c r="D27406" s="30" t="s">
        <v>17</v>
      </c>
      <c r="E27406" s="30" t="s">
        <v>31</v>
      </c>
      <c r="F27406" s="30" t="s">
        <v>32</v>
      </c>
      <c r="G27406" s="30" t="s">
        <v>140</v>
      </c>
      <c r="H27406" s="32">
        <v>72</v>
      </c>
      <c r="I27406" s="30" t="s">
        <v>51</v>
      </c>
      <c r="J27406" s="41">
        <v>46122</v>
      </c>
      <c r="K27406" s="30" t="s">
        <v>22</v>
      </c>
    </row>
    <row r="27407" spans="1:11">
      <c r="A27407" s="33" t="s">
        <v>60149</v>
      </c>
      <c r="B27407" s="33" t="s">
        <v>60150</v>
      </c>
      <c r="C27407" s="33" t="s">
        <v>93</v>
      </c>
      <c r="D27407" s="33" t="s">
        <v>17</v>
      </c>
      <c r="E27407" s="33" t="s">
        <v>26</v>
      </c>
      <c r="F27407" s="33" t="s">
        <v>27</v>
      </c>
      <c r="G27407" s="33" t="s">
        <v>140</v>
      </c>
      <c r="H27407" s="35">
        <v>90</v>
      </c>
      <c r="I27407" s="33" t="s">
        <v>51</v>
      </c>
      <c r="J27407" s="42">
        <v>46143</v>
      </c>
      <c r="K27407" s="33" t="s">
        <v>22</v>
      </c>
    </row>
    <row r="27408" spans="1:11">
      <c r="A27408" s="30" t="s">
        <v>60151</v>
      </c>
      <c r="B27408" s="30" t="s">
        <v>60152</v>
      </c>
      <c r="C27408" s="30" t="s">
        <v>379</v>
      </c>
      <c r="D27408" s="30" t="s">
        <v>17</v>
      </c>
      <c r="E27408" s="30" t="s">
        <v>26</v>
      </c>
      <c r="F27408" s="30" t="s">
        <v>27</v>
      </c>
      <c r="G27408" s="30" t="s">
        <v>140</v>
      </c>
      <c r="H27408" s="32">
        <v>174</v>
      </c>
      <c r="I27408" s="30" t="s">
        <v>51</v>
      </c>
      <c r="J27408" s="41">
        <v>46218</v>
      </c>
      <c r="K27408" s="30" t="s">
        <v>22</v>
      </c>
    </row>
    <row r="27409" spans="1:11">
      <c r="A27409" s="33" t="s">
        <v>60153</v>
      </c>
      <c r="B27409" s="33" t="s">
        <v>60154</v>
      </c>
      <c r="C27409" s="33" t="s">
        <v>1529</v>
      </c>
      <c r="D27409" s="33" t="s">
        <v>17</v>
      </c>
      <c r="E27409" s="33" t="s">
        <v>67</v>
      </c>
      <c r="F27409" s="33" t="s">
        <v>68</v>
      </c>
      <c r="G27409" s="33" t="s">
        <v>140</v>
      </c>
      <c r="H27409" s="35">
        <v>10</v>
      </c>
      <c r="I27409" s="33" t="s">
        <v>51</v>
      </c>
      <c r="J27409" s="42">
        <v>46204</v>
      </c>
      <c r="K27409" s="33" t="s">
        <v>22</v>
      </c>
    </row>
    <row r="27410" spans="1:11">
      <c r="A27410" s="30" t="s">
        <v>60155</v>
      </c>
      <c r="B27410" s="30" t="s">
        <v>60156</v>
      </c>
      <c r="C27410" s="30" t="s">
        <v>56957</v>
      </c>
      <c r="D27410" s="30" t="s">
        <v>17</v>
      </c>
      <c r="E27410" s="30" t="s">
        <v>67</v>
      </c>
      <c r="F27410" s="30" t="s">
        <v>68</v>
      </c>
      <c r="G27410" s="30" t="s">
        <v>140</v>
      </c>
      <c r="H27410" s="32">
        <v>36</v>
      </c>
      <c r="I27410" s="30" t="s">
        <v>51</v>
      </c>
      <c r="J27410" s="41">
        <v>46083</v>
      </c>
      <c r="K27410" s="30" t="s">
        <v>22</v>
      </c>
    </row>
    <row r="27411" spans="1:11">
      <c r="A27411" s="33" t="s">
        <v>60157</v>
      </c>
      <c r="B27411" s="33" t="s">
        <v>60158</v>
      </c>
      <c r="C27411" s="33" t="s">
        <v>55644</v>
      </c>
      <c r="D27411" s="33" t="s">
        <v>17</v>
      </c>
      <c r="E27411" s="33" t="s">
        <v>67</v>
      </c>
      <c r="F27411" s="33" t="s">
        <v>68</v>
      </c>
      <c r="G27411" s="33" t="s">
        <v>140</v>
      </c>
      <c r="H27411" s="35">
        <v>42</v>
      </c>
      <c r="I27411" s="33" t="s">
        <v>51</v>
      </c>
      <c r="J27411" s="42">
        <v>46051</v>
      </c>
      <c r="K27411" s="33" t="s">
        <v>22</v>
      </c>
    </row>
    <row r="27412" spans="1:11">
      <c r="A27412" s="30" t="s">
        <v>60159</v>
      </c>
      <c r="B27412" s="30" t="s">
        <v>60160</v>
      </c>
      <c r="C27412" s="30" t="s">
        <v>60161</v>
      </c>
      <c r="D27412" s="30" t="s">
        <v>17</v>
      </c>
      <c r="E27412" s="30" t="s">
        <v>26</v>
      </c>
      <c r="F27412" s="30" t="s">
        <v>27</v>
      </c>
      <c r="G27412" s="30" t="s">
        <v>140</v>
      </c>
      <c r="H27412" s="32">
        <v>24</v>
      </c>
      <c r="I27412" s="30" t="s">
        <v>51</v>
      </c>
      <c r="J27412" s="41">
        <v>46126</v>
      </c>
      <c r="K27412" s="30" t="s">
        <v>22</v>
      </c>
    </row>
    <row r="27413" spans="1:11">
      <c r="A27413" s="33" t="s">
        <v>60162</v>
      </c>
      <c r="B27413" s="33" t="s">
        <v>60163</v>
      </c>
      <c r="C27413" s="33" t="s">
        <v>925</v>
      </c>
      <c r="D27413" s="33" t="s">
        <v>17</v>
      </c>
      <c r="E27413" s="33" t="s">
        <v>18</v>
      </c>
      <c r="F27413" s="33" t="s">
        <v>19</v>
      </c>
      <c r="G27413" s="33" t="s">
        <v>140</v>
      </c>
      <c r="H27413" s="35">
        <v>590</v>
      </c>
      <c r="I27413" s="33" t="s">
        <v>51</v>
      </c>
      <c r="J27413" s="42">
        <v>46217</v>
      </c>
      <c r="K27413" s="33" t="s">
        <v>22</v>
      </c>
    </row>
    <row r="27414" spans="1:11">
      <c r="A27414" s="30" t="s">
        <v>60164</v>
      </c>
      <c r="B27414" s="30" t="s">
        <v>60165</v>
      </c>
      <c r="C27414" s="30" t="s">
        <v>60166</v>
      </c>
      <c r="D27414" s="30" t="s">
        <v>17</v>
      </c>
      <c r="E27414" s="30" t="s">
        <v>330</v>
      </c>
      <c r="F27414" s="30" t="s">
        <v>331</v>
      </c>
      <c r="G27414" s="30" t="s">
        <v>140</v>
      </c>
      <c r="H27414" s="32">
        <v>12</v>
      </c>
      <c r="I27414" s="30" t="s">
        <v>51</v>
      </c>
      <c r="J27414" s="41">
        <v>46199</v>
      </c>
      <c r="K27414" s="30" t="s">
        <v>22</v>
      </c>
    </row>
    <row r="27415" spans="1:11">
      <c r="A27415" s="33" t="s">
        <v>60167</v>
      </c>
      <c r="B27415" s="33" t="s">
        <v>60168</v>
      </c>
      <c r="C27415" s="33" t="s">
        <v>5040</v>
      </c>
      <c r="D27415" s="33" t="s">
        <v>17</v>
      </c>
      <c r="E27415" s="33" t="s">
        <v>18</v>
      </c>
      <c r="F27415" s="33" t="s">
        <v>19</v>
      </c>
      <c r="G27415" s="33" t="s">
        <v>140</v>
      </c>
      <c r="H27415" s="35">
        <v>300</v>
      </c>
      <c r="I27415" s="33" t="s">
        <v>51</v>
      </c>
      <c r="J27415" s="42">
        <v>46050</v>
      </c>
      <c r="K27415" s="33" t="s">
        <v>22</v>
      </c>
    </row>
    <row r="27416" spans="1:11">
      <c r="A27416" s="30" t="s">
        <v>60169</v>
      </c>
      <c r="B27416" s="30" t="s">
        <v>60170</v>
      </c>
      <c r="C27416" s="30" t="s">
        <v>1598</v>
      </c>
      <c r="D27416" s="30" t="s">
        <v>17</v>
      </c>
      <c r="E27416" s="30" t="s">
        <v>26</v>
      </c>
      <c r="F27416" s="30" t="s">
        <v>27</v>
      </c>
      <c r="G27416" s="30" t="s">
        <v>158</v>
      </c>
      <c r="H27416" s="32">
        <v>8</v>
      </c>
      <c r="I27416" s="30" t="s">
        <v>21</v>
      </c>
      <c r="J27416" s="41">
        <v>46099</v>
      </c>
      <c r="K27416" s="30" t="s">
        <v>22</v>
      </c>
    </row>
    <row r="27417" spans="1:11">
      <c r="A27417" s="33" t="s">
        <v>60171</v>
      </c>
      <c r="B27417" s="33" t="s">
        <v>60172</v>
      </c>
      <c r="C27417" s="33" t="s">
        <v>29150</v>
      </c>
      <c r="D27417" s="33" t="s">
        <v>17</v>
      </c>
      <c r="E27417" s="33" t="s">
        <v>67</v>
      </c>
      <c r="F27417" s="33" t="s">
        <v>68</v>
      </c>
      <c r="G27417" s="33" t="s">
        <v>7780</v>
      </c>
      <c r="H27417" s="35">
        <v>21</v>
      </c>
      <c r="I27417" s="33" t="s">
        <v>51</v>
      </c>
      <c r="J27417" s="42">
        <v>46198</v>
      </c>
      <c r="K27417" s="33" t="s">
        <v>22</v>
      </c>
    </row>
    <row r="27418" spans="1:11">
      <c r="A27418" s="30" t="s">
        <v>60173</v>
      </c>
      <c r="B27418" s="30" t="s">
        <v>60174</v>
      </c>
      <c r="C27418" s="30" t="s">
        <v>18774</v>
      </c>
      <c r="D27418" s="30" t="s">
        <v>17</v>
      </c>
      <c r="E27418" s="30" t="s">
        <v>18</v>
      </c>
      <c r="F27418" s="30" t="s">
        <v>19</v>
      </c>
      <c r="G27418" s="30" t="s">
        <v>7780</v>
      </c>
      <c r="H27418" s="32">
        <v>98</v>
      </c>
      <c r="I27418" s="30" t="s">
        <v>51</v>
      </c>
      <c r="J27418" s="41">
        <v>46204</v>
      </c>
      <c r="K27418" s="30" t="s">
        <v>22</v>
      </c>
    </row>
    <row r="27419" spans="1:11">
      <c r="A27419" s="33" t="s">
        <v>60175</v>
      </c>
      <c r="B27419" s="33" t="s">
        <v>60176</v>
      </c>
      <c r="C27419" s="33" t="s">
        <v>517</v>
      </c>
      <c r="D27419" s="33" t="s">
        <v>17</v>
      </c>
      <c r="E27419" s="33" t="s">
        <v>26</v>
      </c>
      <c r="F27419" s="33" t="s">
        <v>27</v>
      </c>
      <c r="G27419" s="33" t="s">
        <v>7780</v>
      </c>
      <c r="H27419" s="35">
        <v>70</v>
      </c>
      <c r="I27419" s="33" t="s">
        <v>51</v>
      </c>
      <c r="J27419" s="42">
        <v>46113</v>
      </c>
      <c r="K27419" s="33" t="s">
        <v>22</v>
      </c>
    </row>
    <row r="27420" spans="1:11">
      <c r="A27420" s="30" t="s">
        <v>60177</v>
      </c>
      <c r="B27420" s="30" t="s">
        <v>60178</v>
      </c>
      <c r="C27420" s="30" t="s">
        <v>4348</v>
      </c>
      <c r="D27420" s="30" t="s">
        <v>17</v>
      </c>
      <c r="E27420" s="30" t="s">
        <v>26</v>
      </c>
      <c r="F27420" s="30" t="s">
        <v>27</v>
      </c>
      <c r="G27420" s="30" t="s">
        <v>140</v>
      </c>
      <c r="H27420" s="32">
        <v>33</v>
      </c>
      <c r="I27420" s="30" t="s">
        <v>51</v>
      </c>
      <c r="J27420" s="41">
        <v>46034</v>
      </c>
      <c r="K27420" s="30" t="s">
        <v>22</v>
      </c>
    </row>
    <row r="27421" spans="1:11">
      <c r="A27421" s="33" t="s">
        <v>60179</v>
      </c>
      <c r="B27421" s="33" t="s">
        <v>60180</v>
      </c>
      <c r="C27421" s="33" t="s">
        <v>969</v>
      </c>
      <c r="D27421" s="33" t="s">
        <v>17</v>
      </c>
      <c r="E27421" s="33" t="s">
        <v>18</v>
      </c>
      <c r="F27421" s="33" t="s">
        <v>19</v>
      </c>
      <c r="G27421" s="33" t="s">
        <v>7780</v>
      </c>
      <c r="H27421" s="35">
        <v>800</v>
      </c>
      <c r="I27421" s="33" t="s">
        <v>51</v>
      </c>
      <c r="J27421" s="42">
        <v>46213</v>
      </c>
      <c r="K27421" s="33" t="s">
        <v>22</v>
      </c>
    </row>
    <row r="27422" spans="1:11">
      <c r="A27422" s="30" t="s">
        <v>60181</v>
      </c>
      <c r="B27422" s="30" t="s">
        <v>60182</v>
      </c>
      <c r="C27422" s="30" t="s">
        <v>102</v>
      </c>
      <c r="D27422" s="30" t="s">
        <v>17</v>
      </c>
      <c r="E27422" s="30" t="s">
        <v>26</v>
      </c>
      <c r="F27422" s="30" t="s">
        <v>27</v>
      </c>
      <c r="G27422" s="30" t="s">
        <v>140</v>
      </c>
      <c r="H27422" s="32">
        <v>33</v>
      </c>
      <c r="I27422" s="30" t="s">
        <v>51</v>
      </c>
      <c r="J27422" s="41">
        <v>46121</v>
      </c>
      <c r="K27422" s="30" t="s">
        <v>22</v>
      </c>
    </row>
    <row r="27423" spans="1:11">
      <c r="A27423" s="33" t="s">
        <v>60183</v>
      </c>
      <c r="B27423" s="33" t="s">
        <v>60184</v>
      </c>
      <c r="C27423" s="33" t="s">
        <v>96</v>
      </c>
      <c r="D27423" s="33" t="s">
        <v>17</v>
      </c>
      <c r="E27423" s="33" t="s">
        <v>26</v>
      </c>
      <c r="F27423" s="33" t="s">
        <v>27</v>
      </c>
      <c r="G27423" s="33" t="s">
        <v>20</v>
      </c>
      <c r="H27423" s="35">
        <v>8</v>
      </c>
      <c r="I27423" s="33" t="s">
        <v>21</v>
      </c>
      <c r="J27423" s="42">
        <v>46150</v>
      </c>
      <c r="K27423" s="33" t="s">
        <v>22</v>
      </c>
    </row>
    <row r="27424" spans="1:11">
      <c r="A27424" s="30" t="s">
        <v>60185</v>
      </c>
      <c r="B27424" s="30" t="s">
        <v>60186</v>
      </c>
      <c r="C27424" s="30" t="s">
        <v>60187</v>
      </c>
      <c r="D27424" s="30" t="s">
        <v>17</v>
      </c>
      <c r="E27424" s="30" t="s">
        <v>31</v>
      </c>
      <c r="F27424" s="30" t="s">
        <v>32</v>
      </c>
      <c r="G27424" s="30" t="s">
        <v>140</v>
      </c>
      <c r="H27424" s="32">
        <v>30</v>
      </c>
      <c r="I27424" s="30" t="s">
        <v>51</v>
      </c>
      <c r="J27424" s="41">
        <v>46157</v>
      </c>
      <c r="K27424" s="30" t="s">
        <v>22</v>
      </c>
    </row>
    <row r="27425" spans="1:11">
      <c r="A27425" s="33" t="s">
        <v>60188</v>
      </c>
      <c r="B27425" s="33" t="s">
        <v>60189</v>
      </c>
      <c r="C27425" s="33" t="s">
        <v>44</v>
      </c>
      <c r="D27425" s="33" t="s">
        <v>17</v>
      </c>
      <c r="E27425" s="33" t="s">
        <v>212</v>
      </c>
      <c r="F27425" s="33" t="s">
        <v>213</v>
      </c>
      <c r="G27425" s="33" t="s">
        <v>7780</v>
      </c>
      <c r="H27425" s="35">
        <v>754</v>
      </c>
      <c r="I27425" s="33" t="s">
        <v>51</v>
      </c>
      <c r="J27425" s="42">
        <v>46203</v>
      </c>
      <c r="K27425" s="33" t="s">
        <v>22</v>
      </c>
    </row>
    <row r="27426" spans="1:11">
      <c r="A27426" s="30" t="s">
        <v>60190</v>
      </c>
      <c r="B27426" s="30" t="s">
        <v>60191</v>
      </c>
      <c r="C27426" s="30" t="s">
        <v>3243</v>
      </c>
      <c r="D27426" s="30" t="s">
        <v>17</v>
      </c>
      <c r="E27426" s="30" t="s">
        <v>26</v>
      </c>
      <c r="F27426" s="30" t="s">
        <v>27</v>
      </c>
      <c r="G27426" s="30" t="s">
        <v>7780</v>
      </c>
      <c r="H27426" s="32">
        <v>186</v>
      </c>
      <c r="I27426" s="30" t="s">
        <v>51</v>
      </c>
      <c r="J27426" s="41">
        <v>46174</v>
      </c>
      <c r="K27426" s="30" t="s">
        <v>22</v>
      </c>
    </row>
    <row r="27427" spans="1:11">
      <c r="A27427" s="33" t="s">
        <v>60192</v>
      </c>
      <c r="B27427" s="33" t="s">
        <v>60193</v>
      </c>
      <c r="C27427" s="33" t="s">
        <v>56957</v>
      </c>
      <c r="D27427" s="33" t="s">
        <v>17</v>
      </c>
      <c r="E27427" s="33" t="s">
        <v>67</v>
      </c>
      <c r="F27427" s="33" t="s">
        <v>68</v>
      </c>
      <c r="G27427" s="33" t="s">
        <v>140</v>
      </c>
      <c r="H27427" s="35">
        <v>48</v>
      </c>
      <c r="I27427" s="33" t="s">
        <v>51</v>
      </c>
      <c r="J27427" s="42">
        <v>46055</v>
      </c>
      <c r="K27427" s="33" t="s">
        <v>22</v>
      </c>
    </row>
    <row r="27428" spans="1:11">
      <c r="A27428" s="30" t="s">
        <v>60194</v>
      </c>
      <c r="B27428" s="30" t="s">
        <v>60195</v>
      </c>
      <c r="C27428" s="30" t="s">
        <v>15585</v>
      </c>
      <c r="D27428" s="30" t="s">
        <v>17</v>
      </c>
      <c r="E27428" s="30" t="s">
        <v>18</v>
      </c>
      <c r="F27428" s="30" t="s">
        <v>19</v>
      </c>
      <c r="G27428" s="30" t="s">
        <v>140</v>
      </c>
      <c r="H27428" s="32">
        <v>675</v>
      </c>
      <c r="I27428" s="30" t="s">
        <v>51</v>
      </c>
      <c r="J27428" s="41">
        <v>46220</v>
      </c>
      <c r="K27428" s="30" t="s">
        <v>22</v>
      </c>
    </row>
    <row r="27429" spans="1:11">
      <c r="A27429" s="33" t="s">
        <v>60196</v>
      </c>
      <c r="B27429" s="33" t="s">
        <v>60197</v>
      </c>
      <c r="C27429" s="33" t="s">
        <v>59911</v>
      </c>
      <c r="D27429" s="33" t="s">
        <v>17</v>
      </c>
      <c r="E27429" s="33" t="s">
        <v>26</v>
      </c>
      <c r="F27429" s="33" t="s">
        <v>27</v>
      </c>
      <c r="G27429" s="33" t="s">
        <v>140</v>
      </c>
      <c r="H27429" s="35">
        <v>48</v>
      </c>
      <c r="I27429" s="33" t="s">
        <v>51</v>
      </c>
      <c r="J27429" s="42">
        <v>46136</v>
      </c>
      <c r="K27429" s="33" t="s">
        <v>22</v>
      </c>
    </row>
    <row r="27430" spans="1:11">
      <c r="A27430" s="30" t="s">
        <v>60198</v>
      </c>
      <c r="B27430" s="30" t="s">
        <v>60199</v>
      </c>
      <c r="C27430" s="30" t="s">
        <v>34733</v>
      </c>
      <c r="D27430" s="30" t="s">
        <v>17</v>
      </c>
      <c r="E27430" s="30" t="s">
        <v>26</v>
      </c>
      <c r="F27430" s="30" t="s">
        <v>27</v>
      </c>
      <c r="G27430" s="30" t="s">
        <v>106</v>
      </c>
      <c r="H27430" s="32">
        <v>8</v>
      </c>
      <c r="I27430" s="30" t="s">
        <v>21</v>
      </c>
      <c r="J27430" s="41">
        <v>46078</v>
      </c>
      <c r="K27430" s="30" t="s">
        <v>22</v>
      </c>
    </row>
    <row r="27431" spans="1:11">
      <c r="A27431" s="33" t="s">
        <v>60200</v>
      </c>
      <c r="B27431" s="33" t="s">
        <v>60201</v>
      </c>
      <c r="C27431" s="33" t="s">
        <v>14483</v>
      </c>
      <c r="D27431" s="33" t="s">
        <v>17</v>
      </c>
      <c r="E27431" s="33" t="s">
        <v>26</v>
      </c>
      <c r="F27431" s="33" t="s">
        <v>27</v>
      </c>
      <c r="G27431" s="33" t="s">
        <v>7780</v>
      </c>
      <c r="H27431" s="35">
        <v>24</v>
      </c>
      <c r="I27431" s="33" t="s">
        <v>51</v>
      </c>
      <c r="J27431" s="42">
        <v>46132</v>
      </c>
      <c r="K27431" s="33" t="s">
        <v>22</v>
      </c>
    </row>
    <row r="27432" spans="1:11">
      <c r="A27432" s="30" t="s">
        <v>60202</v>
      </c>
      <c r="B27432" s="30" t="s">
        <v>60203</v>
      </c>
      <c r="C27432" s="30" t="s">
        <v>9605</v>
      </c>
      <c r="D27432" s="30" t="s">
        <v>17</v>
      </c>
      <c r="E27432" s="30" t="s">
        <v>31</v>
      </c>
      <c r="F27432" s="30" t="s">
        <v>32</v>
      </c>
      <c r="G27432" s="30" t="s">
        <v>140</v>
      </c>
      <c r="H27432" s="32">
        <v>108</v>
      </c>
      <c r="I27432" s="30" t="s">
        <v>51</v>
      </c>
      <c r="J27432" s="41">
        <v>46232</v>
      </c>
      <c r="K27432" s="30" t="s">
        <v>22</v>
      </c>
    </row>
    <row r="27433" spans="1:11">
      <c r="A27433" s="33" t="s">
        <v>60204</v>
      </c>
      <c r="B27433" s="33" t="s">
        <v>60205</v>
      </c>
      <c r="C27433" s="33" t="s">
        <v>2739</v>
      </c>
      <c r="D27433" s="33" t="s">
        <v>17</v>
      </c>
      <c r="E27433" s="33" t="s">
        <v>26</v>
      </c>
      <c r="F27433" s="33" t="s">
        <v>27</v>
      </c>
      <c r="G27433" s="33" t="s">
        <v>7780</v>
      </c>
      <c r="H27433" s="35">
        <v>48</v>
      </c>
      <c r="I27433" s="33" t="s">
        <v>51</v>
      </c>
      <c r="J27433" s="42">
        <v>46054</v>
      </c>
      <c r="K27433" s="33" t="s">
        <v>22</v>
      </c>
    </row>
    <row r="27434" spans="1:11">
      <c r="A27434" s="30" t="s">
        <v>60206</v>
      </c>
      <c r="B27434" s="30" t="s">
        <v>60207</v>
      </c>
      <c r="C27434" s="30" t="s">
        <v>93</v>
      </c>
      <c r="D27434" s="30" t="s">
        <v>17</v>
      </c>
      <c r="E27434" s="30" t="s">
        <v>26</v>
      </c>
      <c r="F27434" s="30" t="s">
        <v>27</v>
      </c>
      <c r="G27434" s="30" t="s">
        <v>140</v>
      </c>
      <c r="H27434" s="32">
        <v>60</v>
      </c>
      <c r="I27434" s="30" t="s">
        <v>51</v>
      </c>
      <c r="J27434" s="41">
        <v>46177</v>
      </c>
      <c r="K27434" s="30" t="s">
        <v>22</v>
      </c>
    </row>
    <row r="27435" spans="1:11">
      <c r="A27435" s="33" t="s">
        <v>60208</v>
      </c>
      <c r="B27435" s="33" t="s">
        <v>60209</v>
      </c>
      <c r="C27435" s="33" t="s">
        <v>801</v>
      </c>
      <c r="D27435" s="33" t="s">
        <v>17</v>
      </c>
      <c r="E27435" s="33" t="s">
        <v>18</v>
      </c>
      <c r="F27435" s="33" t="s">
        <v>19</v>
      </c>
      <c r="G27435" s="33" t="s">
        <v>140</v>
      </c>
      <c r="H27435" s="35">
        <v>90</v>
      </c>
      <c r="I27435" s="33" t="s">
        <v>51</v>
      </c>
      <c r="J27435" s="42">
        <v>46115</v>
      </c>
      <c r="K27435" s="33" t="s">
        <v>22</v>
      </c>
    </row>
    <row r="27436" spans="1:11">
      <c r="A27436" s="30" t="s">
        <v>60210</v>
      </c>
      <c r="B27436" s="30" t="s">
        <v>60211</v>
      </c>
      <c r="C27436" s="30" t="s">
        <v>570</v>
      </c>
      <c r="D27436" s="30" t="s">
        <v>17</v>
      </c>
      <c r="E27436" s="30" t="s">
        <v>18</v>
      </c>
      <c r="F27436" s="30" t="s">
        <v>19</v>
      </c>
      <c r="G27436" s="30" t="s">
        <v>7780</v>
      </c>
      <c r="H27436" s="32">
        <v>120</v>
      </c>
      <c r="I27436" s="30" t="s">
        <v>51</v>
      </c>
      <c r="J27436" s="41">
        <v>46143</v>
      </c>
      <c r="K27436" s="30" t="s">
        <v>22</v>
      </c>
    </row>
    <row r="27437" spans="1:11">
      <c r="A27437" s="33" t="s">
        <v>60212</v>
      </c>
      <c r="B27437" s="33" t="s">
        <v>60213</v>
      </c>
      <c r="C27437" s="33" t="s">
        <v>60214</v>
      </c>
      <c r="D27437" s="33" t="s">
        <v>17</v>
      </c>
      <c r="E27437" s="33" t="s">
        <v>67</v>
      </c>
      <c r="F27437" s="33" t="s">
        <v>68</v>
      </c>
      <c r="G27437" s="33" t="s">
        <v>140</v>
      </c>
      <c r="H27437" s="35">
        <v>12</v>
      </c>
      <c r="I27437" s="33" t="s">
        <v>51</v>
      </c>
      <c r="J27437" s="42">
        <v>46174</v>
      </c>
      <c r="K27437" s="33" t="s">
        <v>22</v>
      </c>
    </row>
    <row r="27438" spans="1:11">
      <c r="A27438" s="30" t="s">
        <v>60215</v>
      </c>
      <c r="B27438" s="30" t="s">
        <v>60216</v>
      </c>
      <c r="C27438" s="30" t="s">
        <v>14483</v>
      </c>
      <c r="D27438" s="30" t="s">
        <v>17</v>
      </c>
      <c r="E27438" s="30" t="s">
        <v>26</v>
      </c>
      <c r="F27438" s="30" t="s">
        <v>27</v>
      </c>
      <c r="G27438" s="30" t="s">
        <v>140</v>
      </c>
      <c r="H27438" s="32">
        <v>48</v>
      </c>
      <c r="I27438" s="30" t="s">
        <v>51</v>
      </c>
      <c r="J27438" s="41">
        <v>46195</v>
      </c>
      <c r="K27438" s="30" t="s">
        <v>22</v>
      </c>
    </row>
    <row r="27439" spans="1:11">
      <c r="A27439" s="33" t="s">
        <v>60217</v>
      </c>
      <c r="B27439" s="33" t="s">
        <v>60218</v>
      </c>
      <c r="C27439" s="33" t="s">
        <v>3757</v>
      </c>
      <c r="D27439" s="33" t="s">
        <v>17</v>
      </c>
      <c r="E27439" s="33" t="s">
        <v>67</v>
      </c>
      <c r="F27439" s="33" t="s">
        <v>68</v>
      </c>
      <c r="G27439" s="33" t="s">
        <v>140</v>
      </c>
      <c r="H27439" s="35">
        <v>26</v>
      </c>
      <c r="I27439" s="33" t="s">
        <v>51</v>
      </c>
      <c r="J27439" s="42">
        <v>46027</v>
      </c>
      <c r="K27439" s="33" t="s">
        <v>22</v>
      </c>
    </row>
    <row r="27440" spans="1:11">
      <c r="A27440" s="30" t="s">
        <v>60219</v>
      </c>
      <c r="B27440" s="30" t="s">
        <v>60220</v>
      </c>
      <c r="C27440" s="30" t="s">
        <v>203</v>
      </c>
      <c r="D27440" s="30" t="s">
        <v>17</v>
      </c>
      <c r="E27440" s="30" t="s">
        <v>31</v>
      </c>
      <c r="F27440" s="30" t="s">
        <v>32</v>
      </c>
      <c r="G27440" s="30" t="s">
        <v>140</v>
      </c>
      <c r="H27440" s="32">
        <v>160</v>
      </c>
      <c r="I27440" s="30" t="s">
        <v>51</v>
      </c>
      <c r="J27440" s="41">
        <v>46231</v>
      </c>
      <c r="K27440" s="30" t="s">
        <v>22</v>
      </c>
    </row>
    <row r="27441" spans="1:11">
      <c r="A27441" s="33" t="s">
        <v>60221</v>
      </c>
      <c r="B27441" s="33" t="s">
        <v>60222</v>
      </c>
      <c r="C27441" s="33" t="s">
        <v>1598</v>
      </c>
      <c r="D27441" s="33" t="s">
        <v>17</v>
      </c>
      <c r="E27441" s="33" t="s">
        <v>26</v>
      </c>
      <c r="F27441" s="33" t="s">
        <v>27</v>
      </c>
      <c r="G27441" s="33" t="s">
        <v>140</v>
      </c>
      <c r="H27441" s="35">
        <v>66</v>
      </c>
      <c r="I27441" s="33" t="s">
        <v>51</v>
      </c>
      <c r="J27441" s="42">
        <v>46203</v>
      </c>
      <c r="K27441" s="33" t="s">
        <v>22</v>
      </c>
    </row>
    <row r="27442" spans="1:11">
      <c r="A27442" s="30" t="s">
        <v>60223</v>
      </c>
      <c r="B27442" s="30" t="s">
        <v>60224</v>
      </c>
      <c r="C27442" s="30" t="s">
        <v>60225</v>
      </c>
      <c r="D27442" s="30" t="s">
        <v>17</v>
      </c>
      <c r="E27442" s="30" t="s">
        <v>26</v>
      </c>
      <c r="F27442" s="30" t="s">
        <v>27</v>
      </c>
      <c r="G27442" s="30" t="s">
        <v>140</v>
      </c>
      <c r="H27442" s="32">
        <v>70</v>
      </c>
      <c r="I27442" s="30" t="s">
        <v>51</v>
      </c>
      <c r="J27442" s="41">
        <v>46030</v>
      </c>
      <c r="K27442" s="30" t="s">
        <v>22</v>
      </c>
    </row>
    <row r="27443" spans="1:11">
      <c r="A27443" s="33" t="s">
        <v>60226</v>
      </c>
      <c r="B27443" s="33" t="s">
        <v>60227</v>
      </c>
      <c r="C27443" s="33" t="s">
        <v>10359</v>
      </c>
      <c r="D27443" s="33" t="s">
        <v>17</v>
      </c>
      <c r="E27443" s="33" t="s">
        <v>26</v>
      </c>
      <c r="F27443" s="33" t="s">
        <v>27</v>
      </c>
      <c r="G27443" s="33" t="s">
        <v>140</v>
      </c>
      <c r="H27443" s="35">
        <v>24</v>
      </c>
      <c r="I27443" s="33" t="s">
        <v>51</v>
      </c>
      <c r="J27443" s="42">
        <v>46178</v>
      </c>
      <c r="K27443" s="33" t="s">
        <v>22</v>
      </c>
    </row>
    <row r="27444" spans="1:11">
      <c r="A27444" s="30" t="s">
        <v>60228</v>
      </c>
      <c r="B27444" s="30" t="s">
        <v>60229</v>
      </c>
      <c r="C27444" s="30" t="s">
        <v>203</v>
      </c>
      <c r="D27444" s="30" t="s">
        <v>17</v>
      </c>
      <c r="E27444" s="30" t="s">
        <v>18</v>
      </c>
      <c r="F27444" s="30" t="s">
        <v>19</v>
      </c>
      <c r="G27444" s="30" t="s">
        <v>140</v>
      </c>
      <c r="H27444" s="32">
        <v>751</v>
      </c>
      <c r="I27444" s="30" t="s">
        <v>51</v>
      </c>
      <c r="J27444" s="41">
        <v>46044</v>
      </c>
      <c r="K27444" s="30" t="s">
        <v>22</v>
      </c>
    </row>
    <row r="27445" spans="1:11">
      <c r="A27445" s="33" t="s">
        <v>60230</v>
      </c>
      <c r="B27445" s="33" t="s">
        <v>60231</v>
      </c>
      <c r="C27445" s="33" t="s">
        <v>13335</v>
      </c>
      <c r="D27445" s="33" t="s">
        <v>17</v>
      </c>
      <c r="E27445" s="33" t="s">
        <v>330</v>
      </c>
      <c r="F27445" s="33" t="s">
        <v>331</v>
      </c>
      <c r="G27445" s="33" t="s">
        <v>158</v>
      </c>
      <c r="H27445" s="35">
        <v>144</v>
      </c>
      <c r="I27445" s="33" t="s">
        <v>21</v>
      </c>
      <c r="J27445" s="42">
        <v>46069</v>
      </c>
      <c r="K27445" s="33" t="s">
        <v>22</v>
      </c>
    </row>
    <row r="27446" spans="1:11">
      <c r="A27446" s="30" t="s">
        <v>60232</v>
      </c>
      <c r="B27446" s="30" t="s">
        <v>60233</v>
      </c>
      <c r="C27446" s="30" t="s">
        <v>3748</v>
      </c>
      <c r="D27446" s="30" t="s">
        <v>17</v>
      </c>
      <c r="E27446" s="30" t="s">
        <v>31</v>
      </c>
      <c r="F27446" s="30" t="s">
        <v>32</v>
      </c>
      <c r="G27446" s="30" t="s">
        <v>158</v>
      </c>
      <c r="H27446" s="32">
        <v>722</v>
      </c>
      <c r="I27446" s="30" t="s">
        <v>21</v>
      </c>
      <c r="J27446" s="41">
        <v>46090</v>
      </c>
      <c r="K27446" s="30" t="s">
        <v>22</v>
      </c>
    </row>
    <row r="27447" spans="1:11">
      <c r="A27447" s="33" t="s">
        <v>60234</v>
      </c>
      <c r="B27447" s="33" t="s">
        <v>60235</v>
      </c>
      <c r="C27447" s="33" t="s">
        <v>3392</v>
      </c>
      <c r="D27447" s="33" t="s">
        <v>17</v>
      </c>
      <c r="E27447" s="33" t="s">
        <v>67</v>
      </c>
      <c r="F27447" s="33" t="s">
        <v>68</v>
      </c>
      <c r="G27447" s="33" t="s">
        <v>140</v>
      </c>
      <c r="H27447" s="35">
        <v>70</v>
      </c>
      <c r="I27447" s="33" t="s">
        <v>51</v>
      </c>
      <c r="J27447" s="42">
        <v>46054</v>
      </c>
      <c r="K27447" s="33" t="s">
        <v>22</v>
      </c>
    </row>
    <row r="27448" spans="1:11">
      <c r="A27448" s="30" t="s">
        <v>60236</v>
      </c>
      <c r="B27448" s="30" t="s">
        <v>60237</v>
      </c>
      <c r="C27448" s="30" t="s">
        <v>379</v>
      </c>
      <c r="D27448" s="30" t="s">
        <v>17</v>
      </c>
      <c r="E27448" s="30" t="s">
        <v>26</v>
      </c>
      <c r="F27448" s="30" t="s">
        <v>27</v>
      </c>
      <c r="G27448" s="30" t="s">
        <v>7780</v>
      </c>
      <c r="H27448" s="32">
        <v>387</v>
      </c>
      <c r="I27448" s="30" t="s">
        <v>51</v>
      </c>
      <c r="J27448" s="41">
        <v>46203</v>
      </c>
      <c r="K27448" s="30" t="s">
        <v>22</v>
      </c>
    </row>
    <row r="27449" spans="1:11">
      <c r="A27449" s="33" t="s">
        <v>60238</v>
      </c>
      <c r="B27449" s="33" t="s">
        <v>60239</v>
      </c>
      <c r="C27449" s="33" t="s">
        <v>25186</v>
      </c>
      <c r="D27449" s="33" t="s">
        <v>17</v>
      </c>
      <c r="E27449" s="33" t="s">
        <v>26</v>
      </c>
      <c r="F27449" s="33" t="s">
        <v>27</v>
      </c>
      <c r="G27449" s="33" t="s">
        <v>7780</v>
      </c>
      <c r="H27449" s="35">
        <v>40</v>
      </c>
      <c r="I27449" s="33" t="s">
        <v>51</v>
      </c>
      <c r="J27449" s="42">
        <v>46213</v>
      </c>
      <c r="K27449" s="33" t="s">
        <v>22</v>
      </c>
    </row>
    <row r="27450" spans="1:11">
      <c r="A27450" s="30" t="s">
        <v>60240</v>
      </c>
      <c r="B27450" s="30" t="s">
        <v>60241</v>
      </c>
      <c r="C27450" s="30" t="s">
        <v>44733</v>
      </c>
      <c r="D27450" s="30" t="s">
        <v>17</v>
      </c>
      <c r="E27450" s="30" t="s">
        <v>26</v>
      </c>
      <c r="F27450" s="30" t="s">
        <v>27</v>
      </c>
      <c r="G27450" s="30" t="s">
        <v>7780</v>
      </c>
      <c r="H27450" s="32">
        <v>24</v>
      </c>
      <c r="I27450" s="30" t="s">
        <v>51</v>
      </c>
      <c r="J27450" s="41">
        <v>46140</v>
      </c>
      <c r="K27450" s="30" t="s">
        <v>22</v>
      </c>
    </row>
    <row r="27451" spans="1:11">
      <c r="A27451" s="33" t="s">
        <v>60242</v>
      </c>
      <c r="B27451" s="33" t="s">
        <v>60243</v>
      </c>
      <c r="C27451" s="33" t="s">
        <v>1080</v>
      </c>
      <c r="D27451" s="33" t="s">
        <v>17</v>
      </c>
      <c r="E27451" s="33" t="s">
        <v>26</v>
      </c>
      <c r="F27451" s="33" t="s">
        <v>27</v>
      </c>
      <c r="G27451" s="33" t="s">
        <v>7780</v>
      </c>
      <c r="H27451" s="35">
        <v>24</v>
      </c>
      <c r="I27451" s="33" t="s">
        <v>51</v>
      </c>
      <c r="J27451" s="42">
        <v>46108</v>
      </c>
      <c r="K27451" s="33" t="s">
        <v>22</v>
      </c>
    </row>
    <row r="27452" spans="1:11">
      <c r="A27452" s="30" t="s">
        <v>60244</v>
      </c>
      <c r="B27452" s="30" t="s">
        <v>60245</v>
      </c>
      <c r="C27452" s="30" t="s">
        <v>109</v>
      </c>
      <c r="D27452" s="30" t="s">
        <v>17</v>
      </c>
      <c r="E27452" s="30" t="s">
        <v>31</v>
      </c>
      <c r="F27452" s="30" t="s">
        <v>32</v>
      </c>
      <c r="G27452" s="30" t="s">
        <v>140</v>
      </c>
      <c r="H27452" s="32">
        <v>210</v>
      </c>
      <c r="I27452" s="30" t="s">
        <v>51</v>
      </c>
      <c r="J27452" s="41">
        <v>46090</v>
      </c>
      <c r="K27452" s="30" t="s">
        <v>22</v>
      </c>
    </row>
    <row r="27453" spans="1:11">
      <c r="A27453" s="33" t="s">
        <v>60246</v>
      </c>
      <c r="B27453" s="33" t="s">
        <v>60247</v>
      </c>
      <c r="C27453" s="33" t="s">
        <v>1422</v>
      </c>
      <c r="D27453" s="33" t="s">
        <v>17</v>
      </c>
      <c r="E27453" s="33" t="s">
        <v>67</v>
      </c>
      <c r="F27453" s="33" t="s">
        <v>68</v>
      </c>
      <c r="G27453" s="33" t="s">
        <v>7780</v>
      </c>
      <c r="H27453" s="35">
        <v>36</v>
      </c>
      <c r="I27453" s="33" t="s">
        <v>51</v>
      </c>
      <c r="J27453" s="42">
        <v>46037</v>
      </c>
      <c r="K27453" s="33" t="s">
        <v>22</v>
      </c>
    </row>
    <row r="27454" spans="1:11">
      <c r="A27454" s="30" t="s">
        <v>60248</v>
      </c>
      <c r="B27454" s="30" t="s">
        <v>60249</v>
      </c>
      <c r="C27454" s="30" t="s">
        <v>60250</v>
      </c>
      <c r="D27454" s="30" t="s">
        <v>17</v>
      </c>
      <c r="E27454" s="30" t="s">
        <v>26</v>
      </c>
      <c r="F27454" s="30" t="s">
        <v>27</v>
      </c>
      <c r="G27454" s="30" t="s">
        <v>7780</v>
      </c>
      <c r="H27454" s="32">
        <v>74</v>
      </c>
      <c r="I27454" s="30" t="s">
        <v>51</v>
      </c>
      <c r="J27454" s="41">
        <v>46202</v>
      </c>
      <c r="K27454" s="30" t="s">
        <v>22</v>
      </c>
    </row>
    <row r="27455" spans="1:11">
      <c r="A27455" s="33" t="s">
        <v>60251</v>
      </c>
      <c r="B27455" s="33" t="s">
        <v>60252</v>
      </c>
      <c r="C27455" s="33" t="s">
        <v>38555</v>
      </c>
      <c r="D27455" s="33" t="s">
        <v>17</v>
      </c>
      <c r="E27455" s="33" t="s">
        <v>26</v>
      </c>
      <c r="F27455" s="33" t="s">
        <v>27</v>
      </c>
      <c r="G27455" s="33" t="s">
        <v>140</v>
      </c>
      <c r="H27455" s="35">
        <v>212</v>
      </c>
      <c r="I27455" s="33" t="s">
        <v>51</v>
      </c>
      <c r="J27455" s="42">
        <v>46078</v>
      </c>
      <c r="K27455" s="33" t="s">
        <v>22</v>
      </c>
    </row>
    <row r="27456" spans="1:11">
      <c r="A27456" s="30" t="s">
        <v>60253</v>
      </c>
      <c r="B27456" s="30" t="s">
        <v>60254</v>
      </c>
      <c r="C27456" s="30" t="s">
        <v>56678</v>
      </c>
      <c r="D27456" s="30" t="s">
        <v>17</v>
      </c>
      <c r="E27456" s="30" t="s">
        <v>26</v>
      </c>
      <c r="F27456" s="30" t="s">
        <v>27</v>
      </c>
      <c r="G27456" s="30" t="s">
        <v>7780</v>
      </c>
      <c r="H27456" s="32">
        <v>76</v>
      </c>
      <c r="I27456" s="30" t="s">
        <v>51</v>
      </c>
      <c r="J27456" s="41">
        <v>46174</v>
      </c>
      <c r="K27456" s="30" t="s">
        <v>22</v>
      </c>
    </row>
    <row r="27457" spans="1:11">
      <c r="A27457" s="33" t="s">
        <v>60255</v>
      </c>
      <c r="B27457" s="33" t="s">
        <v>60256</v>
      </c>
      <c r="C27457" s="33" t="s">
        <v>969</v>
      </c>
      <c r="D27457" s="33" t="s">
        <v>17</v>
      </c>
      <c r="E27457" s="33" t="s">
        <v>26</v>
      </c>
      <c r="F27457" s="33" t="s">
        <v>27</v>
      </c>
      <c r="G27457" s="33" t="s">
        <v>7780</v>
      </c>
      <c r="H27457" s="35">
        <v>20</v>
      </c>
      <c r="I27457" s="33" t="s">
        <v>51</v>
      </c>
      <c r="J27457" s="42">
        <v>46141</v>
      </c>
      <c r="K27457" s="33" t="s">
        <v>22</v>
      </c>
    </row>
    <row r="27458" spans="1:11">
      <c r="A27458" s="30" t="s">
        <v>60257</v>
      </c>
      <c r="B27458" s="30" t="s">
        <v>60258</v>
      </c>
      <c r="C27458" s="30" t="s">
        <v>13577</v>
      </c>
      <c r="D27458" s="30" t="s">
        <v>17</v>
      </c>
      <c r="E27458" s="30" t="s">
        <v>26</v>
      </c>
      <c r="F27458" s="30" t="s">
        <v>27</v>
      </c>
      <c r="G27458" s="30" t="s">
        <v>140</v>
      </c>
      <c r="H27458" s="32">
        <v>96</v>
      </c>
      <c r="I27458" s="30" t="s">
        <v>51</v>
      </c>
      <c r="J27458" s="41">
        <v>46076</v>
      </c>
      <c r="K27458" s="30" t="s">
        <v>22</v>
      </c>
    </row>
    <row r="27459" spans="1:11">
      <c r="A27459" s="33" t="s">
        <v>60259</v>
      </c>
      <c r="B27459" s="33" t="s">
        <v>60260</v>
      </c>
      <c r="C27459" s="33" t="s">
        <v>5188</v>
      </c>
      <c r="D27459" s="33" t="s">
        <v>17</v>
      </c>
      <c r="E27459" s="33" t="s">
        <v>26</v>
      </c>
      <c r="F27459" s="33" t="s">
        <v>27</v>
      </c>
      <c r="G27459" s="33" t="s">
        <v>140</v>
      </c>
      <c r="H27459" s="35">
        <v>16</v>
      </c>
      <c r="I27459" s="33" t="s">
        <v>51</v>
      </c>
      <c r="J27459" s="42">
        <v>46103</v>
      </c>
      <c r="K27459" s="33" t="s">
        <v>22</v>
      </c>
    </row>
    <row r="27460" spans="1:11">
      <c r="A27460" s="30" t="s">
        <v>60261</v>
      </c>
      <c r="B27460" s="30" t="s">
        <v>60262</v>
      </c>
      <c r="C27460" s="30" t="s">
        <v>60263</v>
      </c>
      <c r="D27460" s="30" t="s">
        <v>17</v>
      </c>
      <c r="E27460" s="30" t="s">
        <v>67</v>
      </c>
      <c r="F27460" s="30" t="s">
        <v>68</v>
      </c>
      <c r="G27460" s="30" t="s">
        <v>7780</v>
      </c>
      <c r="H27460" s="32">
        <v>11</v>
      </c>
      <c r="I27460" s="30" t="s">
        <v>51</v>
      </c>
      <c r="J27460" s="41">
        <v>46157</v>
      </c>
      <c r="K27460" s="30" t="s">
        <v>22</v>
      </c>
    </row>
    <row r="27461" spans="1:11">
      <c r="A27461" s="33" t="s">
        <v>60264</v>
      </c>
      <c r="B27461" s="33" t="s">
        <v>60265</v>
      </c>
      <c r="C27461" s="33" t="s">
        <v>10183</v>
      </c>
      <c r="D27461" s="33" t="s">
        <v>17</v>
      </c>
      <c r="E27461" s="33" t="s">
        <v>26</v>
      </c>
      <c r="F27461" s="33" t="s">
        <v>27</v>
      </c>
      <c r="G27461" s="33" t="s">
        <v>140</v>
      </c>
      <c r="H27461" s="35">
        <v>100</v>
      </c>
      <c r="I27461" s="33" t="s">
        <v>51</v>
      </c>
      <c r="J27461" s="42">
        <v>46032</v>
      </c>
      <c r="K27461" s="33" t="s">
        <v>22</v>
      </c>
    </row>
    <row r="27462" spans="1:11">
      <c r="A27462" s="30" t="s">
        <v>60266</v>
      </c>
      <c r="B27462" s="30" t="s">
        <v>60267</v>
      </c>
      <c r="C27462" s="30" t="s">
        <v>517</v>
      </c>
      <c r="D27462" s="30" t="s">
        <v>17</v>
      </c>
      <c r="E27462" s="30" t="s">
        <v>26</v>
      </c>
      <c r="F27462" s="30" t="s">
        <v>27</v>
      </c>
      <c r="G27462" s="30" t="s">
        <v>7780</v>
      </c>
      <c r="H27462" s="32">
        <v>52</v>
      </c>
      <c r="I27462" s="30" t="s">
        <v>51</v>
      </c>
      <c r="J27462" s="41">
        <v>46143</v>
      </c>
      <c r="K27462" s="30" t="s">
        <v>22</v>
      </c>
    </row>
    <row r="27463" spans="1:11">
      <c r="A27463" s="33" t="s">
        <v>60268</v>
      </c>
      <c r="B27463" s="33" t="s">
        <v>60269</v>
      </c>
      <c r="C27463" s="33" t="s">
        <v>443</v>
      </c>
      <c r="D27463" s="33" t="s">
        <v>17</v>
      </c>
      <c r="E27463" s="33" t="s">
        <v>18</v>
      </c>
      <c r="F27463" s="33" t="s">
        <v>19</v>
      </c>
      <c r="G27463" s="33" t="s">
        <v>158</v>
      </c>
      <c r="H27463" s="35">
        <v>660</v>
      </c>
      <c r="I27463" s="33" t="s">
        <v>51</v>
      </c>
      <c r="J27463" s="42">
        <v>46103</v>
      </c>
      <c r="K27463" s="33" t="s">
        <v>22</v>
      </c>
    </row>
    <row r="27464" spans="1:11">
      <c r="A27464" s="30" t="s">
        <v>60270</v>
      </c>
      <c r="B27464" s="30" t="s">
        <v>60271</v>
      </c>
      <c r="C27464" s="30" t="s">
        <v>6127</v>
      </c>
      <c r="D27464" s="30" t="s">
        <v>17</v>
      </c>
      <c r="E27464" s="30" t="s">
        <v>31</v>
      </c>
      <c r="F27464" s="30" t="s">
        <v>32</v>
      </c>
      <c r="G27464" s="30" t="s">
        <v>140</v>
      </c>
      <c r="H27464" s="32">
        <v>93</v>
      </c>
      <c r="I27464" s="30" t="s">
        <v>51</v>
      </c>
      <c r="J27464" s="41">
        <v>46139</v>
      </c>
      <c r="K27464" s="30" t="s">
        <v>22</v>
      </c>
    </row>
    <row r="27465" spans="1:11">
      <c r="A27465" s="33" t="s">
        <v>60272</v>
      </c>
      <c r="B27465" s="33" t="s">
        <v>60273</v>
      </c>
      <c r="C27465" s="33" t="s">
        <v>96</v>
      </c>
      <c r="D27465" s="33" t="s">
        <v>17</v>
      </c>
      <c r="E27465" s="33" t="s">
        <v>26</v>
      </c>
      <c r="F27465" s="33" t="s">
        <v>27</v>
      </c>
      <c r="G27465" s="33" t="s">
        <v>20</v>
      </c>
      <c r="H27465" s="35">
        <v>27</v>
      </c>
      <c r="I27465" s="33" t="s">
        <v>21</v>
      </c>
      <c r="J27465" s="42">
        <v>46134</v>
      </c>
      <c r="K27465" s="33" t="s">
        <v>22</v>
      </c>
    </row>
    <row r="27466" spans="1:11">
      <c r="A27466" s="30" t="s">
        <v>60274</v>
      </c>
      <c r="B27466" s="30" t="s">
        <v>60275</v>
      </c>
      <c r="C27466" s="30" t="s">
        <v>102</v>
      </c>
      <c r="D27466" s="30" t="s">
        <v>17</v>
      </c>
      <c r="E27466" s="30" t="s">
        <v>31</v>
      </c>
      <c r="F27466" s="30" t="s">
        <v>32</v>
      </c>
      <c r="G27466" s="30" t="s">
        <v>140</v>
      </c>
      <c r="H27466" s="32">
        <v>157</v>
      </c>
      <c r="I27466" s="30" t="s">
        <v>51</v>
      </c>
      <c r="J27466" s="41">
        <v>46061</v>
      </c>
      <c r="K27466" s="30" t="s">
        <v>22</v>
      </c>
    </row>
    <row r="27467" spans="1:11">
      <c r="A27467" s="33" t="s">
        <v>60276</v>
      </c>
      <c r="B27467" s="33" t="s">
        <v>60277</v>
      </c>
      <c r="C27467" s="33" t="s">
        <v>29479</v>
      </c>
      <c r="D27467" s="33" t="s">
        <v>17</v>
      </c>
      <c r="E27467" s="33" t="s">
        <v>26</v>
      </c>
      <c r="F27467" s="33" t="s">
        <v>27</v>
      </c>
      <c r="G27467" s="33" t="s">
        <v>7780</v>
      </c>
      <c r="H27467" s="35">
        <v>120</v>
      </c>
      <c r="I27467" s="33" t="s">
        <v>51</v>
      </c>
      <c r="J27467" s="42">
        <v>46113</v>
      </c>
      <c r="K27467" s="33" t="s">
        <v>22</v>
      </c>
    </row>
    <row r="27468" spans="1:11">
      <c r="A27468" s="30" t="s">
        <v>60278</v>
      </c>
      <c r="B27468" s="30" t="s">
        <v>60279</v>
      </c>
      <c r="C27468" s="30" t="s">
        <v>190</v>
      </c>
      <c r="D27468" s="30" t="s">
        <v>17</v>
      </c>
      <c r="E27468" s="30" t="s">
        <v>26</v>
      </c>
      <c r="F27468" s="30" t="s">
        <v>27</v>
      </c>
      <c r="G27468" s="30" t="s">
        <v>158</v>
      </c>
      <c r="H27468" s="32">
        <v>18</v>
      </c>
      <c r="I27468" s="30" t="s">
        <v>21</v>
      </c>
      <c r="J27468" s="41">
        <v>46183</v>
      </c>
      <c r="K27468" s="30" t="s">
        <v>22</v>
      </c>
    </row>
    <row r="27469" spans="1:11">
      <c r="A27469" s="33" t="s">
        <v>60280</v>
      </c>
      <c r="B27469" s="33" t="s">
        <v>60281</v>
      </c>
      <c r="C27469" s="33" t="s">
        <v>14816</v>
      </c>
      <c r="D27469" s="33" t="s">
        <v>17</v>
      </c>
      <c r="E27469" s="33" t="s">
        <v>26</v>
      </c>
      <c r="F27469" s="33" t="s">
        <v>27</v>
      </c>
      <c r="G27469" s="33" t="s">
        <v>140</v>
      </c>
      <c r="H27469" s="35">
        <v>66</v>
      </c>
      <c r="I27469" s="33" t="s">
        <v>51</v>
      </c>
      <c r="J27469" s="42">
        <v>46185</v>
      </c>
      <c r="K27469" s="33" t="s">
        <v>22</v>
      </c>
    </row>
    <row r="27470" spans="1:11">
      <c r="A27470" s="30" t="s">
        <v>60282</v>
      </c>
      <c r="B27470" s="30" t="s">
        <v>60283</v>
      </c>
      <c r="C27470" s="30" t="s">
        <v>1165</v>
      </c>
      <c r="D27470" s="30" t="s">
        <v>17</v>
      </c>
      <c r="E27470" s="30" t="s">
        <v>18</v>
      </c>
      <c r="F27470" s="30" t="s">
        <v>19</v>
      </c>
      <c r="G27470" s="30" t="s">
        <v>140</v>
      </c>
      <c r="H27470" s="32">
        <v>230</v>
      </c>
      <c r="I27470" s="30" t="s">
        <v>51</v>
      </c>
      <c r="J27470" s="41">
        <v>46183</v>
      </c>
      <c r="K27470" s="30" t="s">
        <v>22</v>
      </c>
    </row>
    <row r="27471" spans="1:11">
      <c r="A27471" s="33" t="s">
        <v>60284</v>
      </c>
      <c r="B27471" s="33" t="s">
        <v>60285</v>
      </c>
      <c r="C27471" s="33" t="s">
        <v>1661</v>
      </c>
      <c r="D27471" s="33" t="s">
        <v>17</v>
      </c>
      <c r="E27471" s="33" t="s">
        <v>31</v>
      </c>
      <c r="F27471" s="33" t="s">
        <v>32</v>
      </c>
      <c r="G27471" s="33" t="s">
        <v>140</v>
      </c>
      <c r="H27471" s="35">
        <v>36</v>
      </c>
      <c r="I27471" s="33" t="s">
        <v>51</v>
      </c>
      <c r="J27471" s="42">
        <v>46183</v>
      </c>
      <c r="K27471" s="33" t="s">
        <v>22</v>
      </c>
    </row>
    <row r="27472" spans="1:11">
      <c r="A27472" s="30" t="s">
        <v>60286</v>
      </c>
      <c r="B27472" s="30" t="s">
        <v>60287</v>
      </c>
      <c r="C27472" s="30" t="s">
        <v>30945</v>
      </c>
      <c r="D27472" s="30" t="s">
        <v>17</v>
      </c>
      <c r="E27472" s="30" t="s">
        <v>67</v>
      </c>
      <c r="F27472" s="30" t="s">
        <v>68</v>
      </c>
      <c r="G27472" s="30" t="s">
        <v>140</v>
      </c>
      <c r="H27472" s="32">
        <v>12</v>
      </c>
      <c r="I27472" s="30" t="s">
        <v>51</v>
      </c>
      <c r="J27472" s="41">
        <v>46127</v>
      </c>
      <c r="K27472" s="30" t="s">
        <v>22</v>
      </c>
    </row>
    <row r="27473" spans="1:11">
      <c r="A27473" s="33" t="s">
        <v>60288</v>
      </c>
      <c r="B27473" s="33" t="s">
        <v>60289</v>
      </c>
      <c r="C27473" s="33" t="s">
        <v>60290</v>
      </c>
      <c r="D27473" s="33" t="s">
        <v>17</v>
      </c>
      <c r="E27473" s="33" t="s">
        <v>26</v>
      </c>
      <c r="F27473" s="33" t="s">
        <v>27</v>
      </c>
      <c r="G27473" s="33" t="s">
        <v>7780</v>
      </c>
      <c r="H27473" s="35">
        <v>35</v>
      </c>
      <c r="I27473" s="33" t="s">
        <v>51</v>
      </c>
      <c r="J27473" s="42">
        <v>46203</v>
      </c>
      <c r="K27473" s="33" t="s">
        <v>22</v>
      </c>
    </row>
    <row r="27474" spans="1:11">
      <c r="A27474" s="30" t="s">
        <v>60291</v>
      </c>
      <c r="B27474" s="30" t="s">
        <v>60292</v>
      </c>
      <c r="C27474" s="30" t="s">
        <v>75</v>
      </c>
      <c r="D27474" s="30" t="s">
        <v>17</v>
      </c>
      <c r="E27474" s="30" t="s">
        <v>18</v>
      </c>
      <c r="F27474" s="30" t="s">
        <v>19</v>
      </c>
      <c r="G27474" s="30" t="s">
        <v>140</v>
      </c>
      <c r="H27474" s="32">
        <v>750</v>
      </c>
      <c r="I27474" s="30" t="s">
        <v>51</v>
      </c>
      <c r="J27474" s="41">
        <v>46093</v>
      </c>
      <c r="K27474" s="30" t="s">
        <v>22</v>
      </c>
    </row>
    <row r="27475" spans="1:11">
      <c r="A27475" s="33" t="s">
        <v>60293</v>
      </c>
      <c r="B27475" s="33" t="s">
        <v>60294</v>
      </c>
      <c r="C27475" s="33" t="s">
        <v>57343</v>
      </c>
      <c r="D27475" s="33" t="s">
        <v>17</v>
      </c>
      <c r="E27475" s="33" t="s">
        <v>31</v>
      </c>
      <c r="F27475" s="33" t="s">
        <v>32</v>
      </c>
      <c r="G27475" s="33" t="s">
        <v>140</v>
      </c>
      <c r="H27475" s="35">
        <v>60</v>
      </c>
      <c r="I27475" s="33" t="s">
        <v>51</v>
      </c>
      <c r="J27475" s="42">
        <v>46055</v>
      </c>
      <c r="K27475" s="33" t="s">
        <v>22</v>
      </c>
    </row>
    <row r="27476" spans="1:11">
      <c r="A27476" s="30" t="s">
        <v>60295</v>
      </c>
      <c r="B27476" s="30" t="s">
        <v>60296</v>
      </c>
      <c r="C27476" s="30" t="s">
        <v>33473</v>
      </c>
      <c r="D27476" s="30" t="s">
        <v>17</v>
      </c>
      <c r="E27476" s="30" t="s">
        <v>18</v>
      </c>
      <c r="F27476" s="30" t="s">
        <v>19</v>
      </c>
      <c r="G27476" s="30" t="s">
        <v>69</v>
      </c>
      <c r="H27476" s="32">
        <v>480</v>
      </c>
      <c r="I27476" s="30" t="s">
        <v>51</v>
      </c>
      <c r="J27476" s="41">
        <v>46054</v>
      </c>
      <c r="K27476" s="30" t="s">
        <v>22</v>
      </c>
    </row>
    <row r="27477" spans="1:11">
      <c r="A27477" s="33" t="s">
        <v>60297</v>
      </c>
      <c r="B27477" s="33" t="s">
        <v>60298</v>
      </c>
      <c r="C27477" s="33" t="s">
        <v>524</v>
      </c>
      <c r="D27477" s="33" t="s">
        <v>17</v>
      </c>
      <c r="E27477" s="33" t="s">
        <v>26</v>
      </c>
      <c r="F27477" s="33" t="s">
        <v>27</v>
      </c>
      <c r="G27477" s="33" t="s">
        <v>140</v>
      </c>
      <c r="H27477" s="35">
        <v>98</v>
      </c>
      <c r="I27477" s="33" t="s">
        <v>51</v>
      </c>
      <c r="J27477" s="42">
        <v>46113</v>
      </c>
      <c r="K27477" s="33" t="s">
        <v>22</v>
      </c>
    </row>
    <row r="27478" spans="1:11">
      <c r="A27478" s="30" t="s">
        <v>60299</v>
      </c>
      <c r="B27478" s="30" t="s">
        <v>60300</v>
      </c>
      <c r="C27478" s="30" t="s">
        <v>1469</v>
      </c>
      <c r="D27478" s="30" t="s">
        <v>17</v>
      </c>
      <c r="E27478" s="30" t="s">
        <v>31</v>
      </c>
      <c r="F27478" s="30" t="s">
        <v>32</v>
      </c>
      <c r="G27478" s="30" t="s">
        <v>140</v>
      </c>
      <c r="H27478" s="32">
        <v>162</v>
      </c>
      <c r="I27478" s="30" t="s">
        <v>51</v>
      </c>
      <c r="J27478" s="41">
        <v>46073</v>
      </c>
      <c r="K27478" s="30" t="s">
        <v>22</v>
      </c>
    </row>
    <row r="27479" spans="1:11">
      <c r="A27479" s="33" t="s">
        <v>60301</v>
      </c>
      <c r="B27479" s="33" t="s">
        <v>60302</v>
      </c>
      <c r="C27479" s="33" t="s">
        <v>3775</v>
      </c>
      <c r="D27479" s="33" t="s">
        <v>17</v>
      </c>
      <c r="E27479" s="33" t="s">
        <v>26</v>
      </c>
      <c r="F27479" s="33" t="s">
        <v>27</v>
      </c>
      <c r="G27479" s="33" t="s">
        <v>7780</v>
      </c>
      <c r="H27479" s="35">
        <v>58</v>
      </c>
      <c r="I27479" s="33" t="s">
        <v>51</v>
      </c>
      <c r="J27479" s="42">
        <v>46114</v>
      </c>
      <c r="K27479" s="33" t="s">
        <v>22</v>
      </c>
    </row>
    <row r="27480" spans="1:11">
      <c r="A27480" s="30" t="s">
        <v>60303</v>
      </c>
      <c r="B27480" s="30" t="s">
        <v>60304</v>
      </c>
      <c r="C27480" s="30" t="s">
        <v>203</v>
      </c>
      <c r="D27480" s="30" t="s">
        <v>17</v>
      </c>
      <c r="E27480" s="30" t="s">
        <v>67</v>
      </c>
      <c r="F27480" s="30" t="s">
        <v>68</v>
      </c>
      <c r="G27480" s="30" t="s">
        <v>140</v>
      </c>
      <c r="H27480" s="32">
        <v>2400</v>
      </c>
      <c r="I27480" s="30" t="s">
        <v>51</v>
      </c>
      <c r="J27480" s="41">
        <v>46225</v>
      </c>
      <c r="K27480" s="30" t="s">
        <v>22</v>
      </c>
    </row>
    <row r="27481" spans="1:11">
      <c r="A27481" s="33" t="s">
        <v>60305</v>
      </c>
      <c r="B27481" s="33" t="s">
        <v>60306</v>
      </c>
      <c r="C27481" s="33" t="s">
        <v>60307</v>
      </c>
      <c r="D27481" s="33" t="s">
        <v>17</v>
      </c>
      <c r="E27481" s="33" t="s">
        <v>67</v>
      </c>
      <c r="F27481" s="33" t="s">
        <v>68</v>
      </c>
      <c r="G27481" s="33" t="s">
        <v>7780</v>
      </c>
      <c r="H27481" s="35">
        <v>146</v>
      </c>
      <c r="I27481" s="33" t="s">
        <v>51</v>
      </c>
      <c r="J27481" s="42">
        <v>46143</v>
      </c>
      <c r="K27481" s="33" t="s">
        <v>22</v>
      </c>
    </row>
    <row r="27482" spans="1:11">
      <c r="A27482" s="30" t="s">
        <v>60308</v>
      </c>
      <c r="B27482" s="30" t="s">
        <v>60309</v>
      </c>
      <c r="C27482" s="30" t="s">
        <v>60310</v>
      </c>
      <c r="D27482" s="30" t="s">
        <v>17</v>
      </c>
      <c r="E27482" s="30" t="s">
        <v>67</v>
      </c>
      <c r="F27482" s="30" t="s">
        <v>68</v>
      </c>
      <c r="G27482" s="30" t="s">
        <v>140</v>
      </c>
      <c r="H27482" s="32">
        <v>40</v>
      </c>
      <c r="I27482" s="30" t="s">
        <v>51</v>
      </c>
      <c r="J27482" s="41">
        <v>46071</v>
      </c>
      <c r="K27482" s="30" t="s">
        <v>22</v>
      </c>
    </row>
    <row r="27483" spans="1:11">
      <c r="A27483" s="33" t="s">
        <v>60311</v>
      </c>
      <c r="B27483" s="33" t="s">
        <v>60312</v>
      </c>
      <c r="C27483" s="33" t="s">
        <v>24577</v>
      </c>
      <c r="D27483" s="33" t="s">
        <v>17</v>
      </c>
      <c r="E27483" s="33" t="s">
        <v>31</v>
      </c>
      <c r="F27483" s="33" t="s">
        <v>32</v>
      </c>
      <c r="G27483" s="33" t="s">
        <v>140</v>
      </c>
      <c r="H27483" s="35">
        <v>200</v>
      </c>
      <c r="I27483" s="33" t="s">
        <v>51</v>
      </c>
      <c r="J27483" s="42">
        <v>46112</v>
      </c>
      <c r="K27483" s="33" t="s">
        <v>22</v>
      </c>
    </row>
    <row r="27484" spans="1:11">
      <c r="A27484" s="30" t="s">
        <v>60313</v>
      </c>
      <c r="B27484" s="30" t="s">
        <v>60314</v>
      </c>
      <c r="C27484" s="30" t="s">
        <v>93</v>
      </c>
      <c r="D27484" s="30" t="s">
        <v>17</v>
      </c>
      <c r="E27484" s="30" t="s">
        <v>26</v>
      </c>
      <c r="F27484" s="30" t="s">
        <v>27</v>
      </c>
      <c r="G27484" s="30" t="s">
        <v>20</v>
      </c>
      <c r="H27484" s="32">
        <v>11</v>
      </c>
      <c r="I27484" s="30" t="s">
        <v>21</v>
      </c>
      <c r="J27484" s="41">
        <v>46037</v>
      </c>
      <c r="K27484" s="30" t="s">
        <v>22</v>
      </c>
    </row>
    <row r="27485" spans="1:11">
      <c r="A27485" s="33" t="s">
        <v>60315</v>
      </c>
      <c r="B27485" s="33" t="s">
        <v>60316</v>
      </c>
      <c r="C27485" s="33" t="s">
        <v>15795</v>
      </c>
      <c r="D27485" s="33" t="s">
        <v>17</v>
      </c>
      <c r="E27485" s="33" t="s">
        <v>18</v>
      </c>
      <c r="F27485" s="33" t="s">
        <v>19</v>
      </c>
      <c r="G27485" s="33" t="s">
        <v>7780</v>
      </c>
      <c r="H27485" s="35">
        <v>212</v>
      </c>
      <c r="I27485" s="33" t="s">
        <v>51</v>
      </c>
      <c r="J27485" s="42">
        <v>46081</v>
      </c>
      <c r="K27485" s="33" t="s">
        <v>22</v>
      </c>
    </row>
    <row r="27486" spans="1:11">
      <c r="A27486" s="30" t="s">
        <v>60317</v>
      </c>
      <c r="B27486" s="30" t="s">
        <v>60318</v>
      </c>
      <c r="C27486" s="30" t="s">
        <v>9271</v>
      </c>
      <c r="D27486" s="30" t="s">
        <v>17</v>
      </c>
      <c r="E27486" s="30" t="s">
        <v>67</v>
      </c>
      <c r="F27486" s="30" t="s">
        <v>68</v>
      </c>
      <c r="G27486" s="30" t="s">
        <v>7780</v>
      </c>
      <c r="H27486" s="32">
        <v>253</v>
      </c>
      <c r="I27486" s="30" t="s">
        <v>51</v>
      </c>
      <c r="J27486" s="41">
        <v>46174</v>
      </c>
      <c r="K27486" s="30" t="s">
        <v>22</v>
      </c>
    </row>
    <row r="27487" spans="1:11">
      <c r="A27487" s="33" t="s">
        <v>60319</v>
      </c>
      <c r="B27487" s="33" t="s">
        <v>60320</v>
      </c>
      <c r="C27487" s="33" t="s">
        <v>60321</v>
      </c>
      <c r="D27487" s="33" t="s">
        <v>17</v>
      </c>
      <c r="E27487" s="33" t="s">
        <v>45</v>
      </c>
      <c r="F27487" s="33" t="s">
        <v>46</v>
      </c>
      <c r="G27487" s="33" t="s">
        <v>7780</v>
      </c>
      <c r="H27487" s="35">
        <v>252</v>
      </c>
      <c r="I27487" s="33" t="s">
        <v>51</v>
      </c>
      <c r="J27487" s="42">
        <v>46218</v>
      </c>
      <c r="K27487" s="33" t="s">
        <v>22</v>
      </c>
    </row>
    <row r="27488" spans="1:11">
      <c r="A27488" s="30" t="s">
        <v>60322</v>
      </c>
      <c r="B27488" s="30" t="s">
        <v>60323</v>
      </c>
      <c r="C27488" s="30" t="s">
        <v>795</v>
      </c>
      <c r="D27488" s="30" t="s">
        <v>17</v>
      </c>
      <c r="E27488" s="30" t="s">
        <v>18</v>
      </c>
      <c r="F27488" s="30" t="s">
        <v>19</v>
      </c>
      <c r="G27488" s="30" t="s">
        <v>7780</v>
      </c>
      <c r="H27488" s="32">
        <v>82</v>
      </c>
      <c r="I27488" s="30" t="s">
        <v>51</v>
      </c>
      <c r="J27488" s="41">
        <v>46174</v>
      </c>
      <c r="K27488" s="30" t="s">
        <v>22</v>
      </c>
    </row>
    <row r="27489" spans="1:11">
      <c r="A27489" s="33" t="s">
        <v>60324</v>
      </c>
      <c r="B27489" s="33" t="s">
        <v>60325</v>
      </c>
      <c r="C27489" s="33" t="s">
        <v>60326</v>
      </c>
      <c r="D27489" s="33" t="s">
        <v>17</v>
      </c>
      <c r="E27489" s="33" t="s">
        <v>31</v>
      </c>
      <c r="F27489" s="33" t="s">
        <v>32</v>
      </c>
      <c r="G27489" s="33" t="s">
        <v>7780</v>
      </c>
      <c r="H27489" s="35">
        <v>80</v>
      </c>
      <c r="I27489" s="33" t="s">
        <v>51</v>
      </c>
      <c r="J27489" s="42">
        <v>46082</v>
      </c>
      <c r="K27489" s="33" t="s">
        <v>22</v>
      </c>
    </row>
    <row r="27490" spans="1:11">
      <c r="A27490" s="30" t="s">
        <v>60327</v>
      </c>
      <c r="B27490" s="30" t="s">
        <v>60328</v>
      </c>
      <c r="C27490" s="30" t="s">
        <v>15917</v>
      </c>
      <c r="D27490" s="30" t="s">
        <v>17</v>
      </c>
      <c r="E27490" s="30" t="s">
        <v>31</v>
      </c>
      <c r="F27490" s="30" t="s">
        <v>32</v>
      </c>
      <c r="G27490" s="30" t="s">
        <v>158</v>
      </c>
      <c r="H27490" s="32">
        <v>201</v>
      </c>
      <c r="I27490" s="30" t="s">
        <v>21</v>
      </c>
      <c r="J27490" s="41">
        <v>46031</v>
      </c>
      <c r="K27490" s="30" t="s">
        <v>22</v>
      </c>
    </row>
    <row r="27491" spans="1:11">
      <c r="A27491" s="33" t="s">
        <v>60329</v>
      </c>
      <c r="B27491" s="33" t="s">
        <v>60330</v>
      </c>
      <c r="C27491" s="33" t="s">
        <v>190</v>
      </c>
      <c r="D27491" s="33" t="s">
        <v>17</v>
      </c>
      <c r="E27491" s="33" t="s">
        <v>26</v>
      </c>
      <c r="F27491" s="33" t="s">
        <v>27</v>
      </c>
      <c r="G27491" s="33" t="s">
        <v>20</v>
      </c>
      <c r="H27491" s="35">
        <v>191</v>
      </c>
      <c r="I27491" s="33" t="s">
        <v>21</v>
      </c>
      <c r="J27491" s="42">
        <v>46041</v>
      </c>
      <c r="K27491" s="33" t="s">
        <v>22</v>
      </c>
    </row>
    <row r="27492" spans="1:11">
      <c r="A27492" s="30" t="s">
        <v>60331</v>
      </c>
      <c r="B27492" s="30" t="s">
        <v>60332</v>
      </c>
      <c r="C27492" s="30" t="s">
        <v>22245</v>
      </c>
      <c r="D27492" s="30" t="s">
        <v>17</v>
      </c>
      <c r="E27492" s="30" t="s">
        <v>67</v>
      </c>
      <c r="F27492" s="30" t="s">
        <v>68</v>
      </c>
      <c r="G27492" s="30" t="s">
        <v>7780</v>
      </c>
      <c r="H27492" s="32">
        <v>100</v>
      </c>
      <c r="I27492" s="30" t="s">
        <v>51</v>
      </c>
      <c r="J27492" s="41">
        <v>46202</v>
      </c>
      <c r="K27492" s="30" t="s">
        <v>22</v>
      </c>
    </row>
    <row r="27493" spans="1:11">
      <c r="A27493" s="33" t="s">
        <v>60333</v>
      </c>
      <c r="B27493" s="33" t="s">
        <v>60334</v>
      </c>
      <c r="C27493" s="33" t="s">
        <v>4484</v>
      </c>
      <c r="D27493" s="33" t="s">
        <v>17</v>
      </c>
      <c r="E27493" s="33" t="s">
        <v>31</v>
      </c>
      <c r="F27493" s="33" t="s">
        <v>32</v>
      </c>
      <c r="G27493" s="33" t="s">
        <v>140</v>
      </c>
      <c r="H27493" s="35">
        <v>60</v>
      </c>
      <c r="I27493" s="33" t="s">
        <v>51</v>
      </c>
      <c r="J27493" s="42">
        <v>46233</v>
      </c>
      <c r="K27493" s="33" t="s">
        <v>22</v>
      </c>
    </row>
    <row r="27494" spans="1:11">
      <c r="A27494" s="30" t="s">
        <v>60335</v>
      </c>
      <c r="B27494" s="30" t="s">
        <v>60336</v>
      </c>
      <c r="C27494" s="30" t="s">
        <v>203</v>
      </c>
      <c r="D27494" s="30" t="s">
        <v>17</v>
      </c>
      <c r="E27494" s="30" t="s">
        <v>26</v>
      </c>
      <c r="F27494" s="30" t="s">
        <v>27</v>
      </c>
      <c r="G27494" s="30" t="s">
        <v>140</v>
      </c>
      <c r="H27494" s="32">
        <v>570</v>
      </c>
      <c r="I27494" s="30" t="s">
        <v>51</v>
      </c>
      <c r="J27494" s="41">
        <v>46127</v>
      </c>
      <c r="K27494" s="30" t="s">
        <v>22</v>
      </c>
    </row>
    <row r="27495" spans="1:11">
      <c r="A27495" s="33" t="s">
        <v>60337</v>
      </c>
      <c r="B27495" s="33" t="s">
        <v>60338</v>
      </c>
      <c r="C27495" s="33" t="s">
        <v>801</v>
      </c>
      <c r="D27495" s="33" t="s">
        <v>17</v>
      </c>
      <c r="E27495" s="33" t="s">
        <v>18</v>
      </c>
      <c r="F27495" s="33" t="s">
        <v>19</v>
      </c>
      <c r="G27495" s="33" t="s">
        <v>2613</v>
      </c>
      <c r="H27495" s="35">
        <v>201</v>
      </c>
      <c r="I27495" s="33" t="s">
        <v>51</v>
      </c>
      <c r="J27495" s="42">
        <v>46128</v>
      </c>
      <c r="K27495" s="33" t="s">
        <v>22</v>
      </c>
    </row>
    <row r="27496" spans="1:11">
      <c r="A27496" s="30" t="s">
        <v>60339</v>
      </c>
      <c r="B27496" s="30" t="s">
        <v>60340</v>
      </c>
      <c r="C27496" s="30" t="s">
        <v>25012</v>
      </c>
      <c r="D27496" s="30" t="s">
        <v>17</v>
      </c>
      <c r="E27496" s="30" t="s">
        <v>18</v>
      </c>
      <c r="F27496" s="30" t="s">
        <v>19</v>
      </c>
      <c r="G27496" s="30" t="s">
        <v>7780</v>
      </c>
      <c r="H27496" s="32">
        <v>300</v>
      </c>
      <c r="I27496" s="30" t="s">
        <v>51</v>
      </c>
      <c r="J27496" s="41">
        <v>46171</v>
      </c>
      <c r="K27496" s="30" t="s">
        <v>22</v>
      </c>
    </row>
    <row r="27497" spans="1:11">
      <c r="A27497" s="33" t="s">
        <v>60341</v>
      </c>
      <c r="B27497" s="33" t="s">
        <v>60342</v>
      </c>
      <c r="C27497" s="33" t="s">
        <v>136</v>
      </c>
      <c r="D27497" s="33" t="s">
        <v>17</v>
      </c>
      <c r="E27497" s="33" t="s">
        <v>26</v>
      </c>
      <c r="F27497" s="33" t="s">
        <v>27</v>
      </c>
      <c r="G27497" s="33" t="s">
        <v>140</v>
      </c>
      <c r="H27497" s="35">
        <v>60</v>
      </c>
      <c r="I27497" s="33" t="s">
        <v>51</v>
      </c>
      <c r="J27497" s="42">
        <v>46133</v>
      </c>
      <c r="K27497" s="33" t="s">
        <v>22</v>
      </c>
    </row>
    <row r="27498" spans="1:11">
      <c r="A27498" s="30" t="s">
        <v>60343</v>
      </c>
      <c r="B27498" s="30" t="s">
        <v>60344</v>
      </c>
      <c r="C27498" s="30" t="s">
        <v>96</v>
      </c>
      <c r="D27498" s="30" t="s">
        <v>17</v>
      </c>
      <c r="E27498" s="30" t="s">
        <v>26</v>
      </c>
      <c r="F27498" s="30" t="s">
        <v>27</v>
      </c>
      <c r="G27498" s="30" t="s">
        <v>140</v>
      </c>
      <c r="H27498" s="32">
        <v>28</v>
      </c>
      <c r="I27498" s="30" t="s">
        <v>51</v>
      </c>
      <c r="J27498" s="41">
        <v>46050</v>
      </c>
      <c r="K27498" s="30" t="s">
        <v>22</v>
      </c>
    </row>
    <row r="27499" spans="1:11">
      <c r="A27499" s="33" t="s">
        <v>60345</v>
      </c>
      <c r="B27499" s="33" t="s">
        <v>60346</v>
      </c>
      <c r="C27499" s="33" t="s">
        <v>37283</v>
      </c>
      <c r="D27499" s="33" t="s">
        <v>17</v>
      </c>
      <c r="E27499" s="33" t="s">
        <v>26</v>
      </c>
      <c r="F27499" s="33" t="s">
        <v>27</v>
      </c>
      <c r="G27499" s="33" t="s">
        <v>140</v>
      </c>
      <c r="H27499" s="35">
        <v>80</v>
      </c>
      <c r="I27499" s="33" t="s">
        <v>51</v>
      </c>
      <c r="J27499" s="42">
        <v>46030</v>
      </c>
      <c r="K27499" s="33" t="s">
        <v>22</v>
      </c>
    </row>
    <row r="27500" spans="1:11">
      <c r="A27500" s="30" t="s">
        <v>60347</v>
      </c>
      <c r="B27500" s="30" t="s">
        <v>60348</v>
      </c>
      <c r="C27500" s="30" t="s">
        <v>18431</v>
      </c>
      <c r="D27500" s="30" t="s">
        <v>17</v>
      </c>
      <c r="E27500" s="30" t="s">
        <v>31</v>
      </c>
      <c r="F27500" s="30" t="s">
        <v>32</v>
      </c>
      <c r="G27500" s="30" t="s">
        <v>140</v>
      </c>
      <c r="H27500" s="32">
        <v>240</v>
      </c>
      <c r="I27500" s="30" t="s">
        <v>51</v>
      </c>
      <c r="J27500" s="41">
        <v>46059</v>
      </c>
      <c r="K27500" s="30" t="s">
        <v>22</v>
      </c>
    </row>
    <row r="27501" spans="1:11">
      <c r="A27501" s="33" t="s">
        <v>60349</v>
      </c>
      <c r="B27501" s="33" t="s">
        <v>60350</v>
      </c>
      <c r="C27501" s="33" t="s">
        <v>190</v>
      </c>
      <c r="D27501" s="33" t="s">
        <v>17</v>
      </c>
      <c r="E27501" s="33" t="s">
        <v>212</v>
      </c>
      <c r="F27501" s="33" t="s">
        <v>213</v>
      </c>
      <c r="G27501" s="33" t="s">
        <v>140</v>
      </c>
      <c r="H27501" s="35">
        <v>100</v>
      </c>
      <c r="I27501" s="33" t="s">
        <v>51</v>
      </c>
      <c r="J27501" s="42">
        <v>46197</v>
      </c>
      <c r="K27501" s="33" t="s">
        <v>22</v>
      </c>
    </row>
    <row r="27502" spans="1:11">
      <c r="A27502" s="30" t="s">
        <v>60351</v>
      </c>
      <c r="B27502" s="30" t="s">
        <v>60352</v>
      </c>
      <c r="C27502" s="30" t="s">
        <v>15221</v>
      </c>
      <c r="D27502" s="30" t="s">
        <v>17</v>
      </c>
      <c r="E27502" s="30" t="s">
        <v>18</v>
      </c>
      <c r="F27502" s="30" t="s">
        <v>19</v>
      </c>
      <c r="G27502" s="30" t="s">
        <v>112</v>
      </c>
      <c r="H27502" s="32">
        <v>0</v>
      </c>
      <c r="I27502" s="30" t="s">
        <v>21</v>
      </c>
      <c r="J27502" s="41">
        <v>46082</v>
      </c>
      <c r="K27502" s="30" t="s">
        <v>22</v>
      </c>
    </row>
    <row r="27503" spans="1:11">
      <c r="A27503" s="33" t="s">
        <v>60353</v>
      </c>
      <c r="B27503" s="33" t="s">
        <v>60354</v>
      </c>
      <c r="C27503" s="33" t="s">
        <v>60355</v>
      </c>
      <c r="D27503" s="33" t="s">
        <v>17</v>
      </c>
      <c r="E27503" s="33" t="s">
        <v>31</v>
      </c>
      <c r="F27503" s="33" t="s">
        <v>32</v>
      </c>
      <c r="G27503" s="33" t="s">
        <v>7780</v>
      </c>
      <c r="H27503" s="35">
        <v>105</v>
      </c>
      <c r="I27503" s="33" t="s">
        <v>51</v>
      </c>
      <c r="J27503" s="42">
        <v>46023</v>
      </c>
      <c r="K27503" s="33" t="s">
        <v>22</v>
      </c>
    </row>
    <row r="27504" spans="1:11">
      <c r="A27504" s="30" t="s">
        <v>60356</v>
      </c>
      <c r="B27504" s="30" t="s">
        <v>60357</v>
      </c>
      <c r="C27504" s="30" t="s">
        <v>11052</v>
      </c>
      <c r="D27504" s="30" t="s">
        <v>17</v>
      </c>
      <c r="E27504" s="30" t="s">
        <v>26</v>
      </c>
      <c r="F27504" s="30" t="s">
        <v>27</v>
      </c>
      <c r="G27504" s="30" t="s">
        <v>7780</v>
      </c>
      <c r="H27504" s="32">
        <v>48</v>
      </c>
      <c r="I27504" s="30" t="s">
        <v>51</v>
      </c>
      <c r="J27504" s="41">
        <v>46213</v>
      </c>
      <c r="K27504" s="30" t="s">
        <v>22</v>
      </c>
    </row>
    <row r="27505" spans="1:11">
      <c r="A27505" s="33" t="s">
        <v>60358</v>
      </c>
      <c r="B27505" s="33" t="s">
        <v>60359</v>
      </c>
      <c r="C27505" s="33" t="s">
        <v>517</v>
      </c>
      <c r="D27505" s="33" t="s">
        <v>17</v>
      </c>
      <c r="E27505" s="33" t="s">
        <v>26</v>
      </c>
      <c r="F27505" s="33" t="s">
        <v>27</v>
      </c>
      <c r="G27505" s="33" t="s">
        <v>140</v>
      </c>
      <c r="H27505" s="35">
        <v>44</v>
      </c>
      <c r="I27505" s="33" t="s">
        <v>51</v>
      </c>
      <c r="J27505" s="42">
        <v>46079</v>
      </c>
      <c r="K27505" s="33" t="s">
        <v>22</v>
      </c>
    </row>
    <row r="27506" spans="1:11">
      <c r="A27506" s="30" t="s">
        <v>60360</v>
      </c>
      <c r="B27506" s="30" t="s">
        <v>60361</v>
      </c>
      <c r="C27506" s="30" t="s">
        <v>11899</v>
      </c>
      <c r="D27506" s="30" t="s">
        <v>17</v>
      </c>
      <c r="E27506" s="30" t="s">
        <v>18</v>
      </c>
      <c r="F27506" s="30" t="s">
        <v>19</v>
      </c>
      <c r="G27506" s="30" t="s">
        <v>140</v>
      </c>
      <c r="H27506" s="32">
        <v>236</v>
      </c>
      <c r="I27506" s="30" t="s">
        <v>51</v>
      </c>
      <c r="J27506" s="41">
        <v>46216</v>
      </c>
      <c r="K27506" s="30" t="s">
        <v>22</v>
      </c>
    </row>
    <row r="27507" spans="1:11">
      <c r="A27507" s="33" t="s">
        <v>60362</v>
      </c>
      <c r="B27507" s="33" t="s">
        <v>60363</v>
      </c>
      <c r="C27507" s="33" t="s">
        <v>60364</v>
      </c>
      <c r="D27507" s="33" t="s">
        <v>17</v>
      </c>
      <c r="E27507" s="33" t="s">
        <v>31</v>
      </c>
      <c r="F27507" s="33" t="s">
        <v>32</v>
      </c>
      <c r="G27507" s="33" t="s">
        <v>140</v>
      </c>
      <c r="H27507" s="35">
        <v>168</v>
      </c>
      <c r="I27507" s="33" t="s">
        <v>51</v>
      </c>
      <c r="J27507" s="42">
        <v>46150</v>
      </c>
      <c r="K27507" s="33" t="s">
        <v>22</v>
      </c>
    </row>
    <row r="27508" spans="1:11">
      <c r="A27508" s="30" t="s">
        <v>60365</v>
      </c>
      <c r="B27508" s="30" t="s">
        <v>60366</v>
      </c>
      <c r="C27508" s="30" t="s">
        <v>31578</v>
      </c>
      <c r="D27508" s="30" t="s">
        <v>17</v>
      </c>
      <c r="E27508" s="30" t="s">
        <v>26</v>
      </c>
      <c r="F27508" s="30" t="s">
        <v>27</v>
      </c>
      <c r="G27508" s="30" t="s">
        <v>140</v>
      </c>
      <c r="H27508" s="32">
        <v>60</v>
      </c>
      <c r="I27508" s="30" t="s">
        <v>51</v>
      </c>
      <c r="J27508" s="41">
        <v>46080</v>
      </c>
      <c r="K27508" s="30" t="s">
        <v>22</v>
      </c>
    </row>
    <row r="27509" spans="1:11">
      <c r="A27509" s="33" t="s">
        <v>60367</v>
      </c>
      <c r="B27509" s="33" t="s">
        <v>60368</v>
      </c>
      <c r="C27509" s="33" t="s">
        <v>36788</v>
      </c>
      <c r="D27509" s="33" t="s">
        <v>17</v>
      </c>
      <c r="E27509" s="33" t="s">
        <v>212</v>
      </c>
      <c r="F27509" s="33" t="s">
        <v>213</v>
      </c>
      <c r="G27509" s="33" t="s">
        <v>158</v>
      </c>
      <c r="H27509" s="35">
        <v>140</v>
      </c>
      <c r="I27509" s="33" t="s">
        <v>51</v>
      </c>
      <c r="J27509" s="42">
        <v>46183</v>
      </c>
      <c r="K27509" s="33" t="s">
        <v>22</v>
      </c>
    </row>
    <row r="27510" spans="1:11">
      <c r="A27510" s="30" t="s">
        <v>60369</v>
      </c>
      <c r="B27510" s="30" t="s">
        <v>60370</v>
      </c>
      <c r="C27510" s="30" t="s">
        <v>60371</v>
      </c>
      <c r="D27510" s="30" t="s">
        <v>17</v>
      </c>
      <c r="E27510" s="30" t="s">
        <v>26</v>
      </c>
      <c r="F27510" s="30" t="s">
        <v>27</v>
      </c>
      <c r="G27510" s="30" t="s">
        <v>7780</v>
      </c>
      <c r="H27510" s="32">
        <v>44</v>
      </c>
      <c r="I27510" s="30" t="s">
        <v>51</v>
      </c>
      <c r="J27510" s="41">
        <v>46209</v>
      </c>
      <c r="K27510" s="30" t="s">
        <v>22</v>
      </c>
    </row>
    <row r="27511" spans="1:11">
      <c r="A27511" s="33" t="s">
        <v>60372</v>
      </c>
      <c r="B27511" s="33" t="s">
        <v>60373</v>
      </c>
      <c r="C27511" s="33" t="s">
        <v>56309</v>
      </c>
      <c r="D27511" s="33" t="s">
        <v>17</v>
      </c>
      <c r="E27511" s="33" t="s">
        <v>31</v>
      </c>
      <c r="F27511" s="33" t="s">
        <v>32</v>
      </c>
      <c r="G27511" s="33" t="s">
        <v>7780</v>
      </c>
      <c r="H27511" s="35">
        <v>240</v>
      </c>
      <c r="I27511" s="33" t="s">
        <v>51</v>
      </c>
      <c r="J27511" s="42">
        <v>46204</v>
      </c>
      <c r="K27511" s="33" t="s">
        <v>22</v>
      </c>
    </row>
    <row r="27512" spans="1:11">
      <c r="A27512" s="30" t="s">
        <v>60374</v>
      </c>
      <c r="B27512" s="30" t="s">
        <v>60375</v>
      </c>
      <c r="C27512" s="30" t="s">
        <v>41121</v>
      </c>
      <c r="D27512" s="30" t="s">
        <v>17</v>
      </c>
      <c r="E27512" s="30" t="s">
        <v>26</v>
      </c>
      <c r="F27512" s="30" t="s">
        <v>27</v>
      </c>
      <c r="G27512" s="30" t="s">
        <v>20</v>
      </c>
      <c r="H27512" s="32">
        <v>46</v>
      </c>
      <c r="I27512" s="30" t="s">
        <v>21</v>
      </c>
      <c r="J27512" s="41">
        <v>46034</v>
      </c>
      <c r="K27512" s="30" t="s">
        <v>22</v>
      </c>
    </row>
    <row r="27513" spans="1:11">
      <c r="A27513" s="33" t="s">
        <v>60376</v>
      </c>
      <c r="B27513" s="33" t="s">
        <v>60377</v>
      </c>
      <c r="C27513" s="33" t="s">
        <v>60378</v>
      </c>
      <c r="D27513" s="33" t="s">
        <v>17</v>
      </c>
      <c r="E27513" s="33" t="s">
        <v>18</v>
      </c>
      <c r="F27513" s="33" t="s">
        <v>19</v>
      </c>
      <c r="G27513" s="33" t="s">
        <v>140</v>
      </c>
      <c r="H27513" s="35">
        <v>309</v>
      </c>
      <c r="I27513" s="33" t="s">
        <v>51</v>
      </c>
      <c r="J27513" s="42">
        <v>46170</v>
      </c>
      <c r="K27513" s="33" t="s">
        <v>22</v>
      </c>
    </row>
    <row r="27514" spans="1:11">
      <c r="A27514" s="30" t="s">
        <v>60379</v>
      </c>
      <c r="B27514" s="30" t="s">
        <v>60380</v>
      </c>
      <c r="C27514" s="30" t="s">
        <v>3496</v>
      </c>
      <c r="D27514" s="30" t="s">
        <v>17</v>
      </c>
      <c r="E27514" s="30" t="s">
        <v>67</v>
      </c>
      <c r="F27514" s="30" t="s">
        <v>68</v>
      </c>
      <c r="G27514" s="30" t="s">
        <v>140</v>
      </c>
      <c r="H27514" s="32">
        <v>71</v>
      </c>
      <c r="I27514" s="30" t="s">
        <v>51</v>
      </c>
      <c r="J27514" s="41">
        <v>46072</v>
      </c>
      <c r="K27514" s="30" t="s">
        <v>22</v>
      </c>
    </row>
    <row r="27515" spans="1:11">
      <c r="A27515" s="33" t="s">
        <v>60381</v>
      </c>
      <c r="B27515" s="33" t="s">
        <v>60382</v>
      </c>
      <c r="C27515" s="33" t="s">
        <v>96</v>
      </c>
      <c r="D27515" s="33" t="s">
        <v>17</v>
      </c>
      <c r="E27515" s="33" t="s">
        <v>45</v>
      </c>
      <c r="F27515" s="33" t="s">
        <v>46</v>
      </c>
      <c r="G27515" s="33" t="s">
        <v>140</v>
      </c>
      <c r="H27515" s="35">
        <v>840</v>
      </c>
      <c r="I27515" s="33" t="s">
        <v>51</v>
      </c>
      <c r="J27515" s="42">
        <v>46156</v>
      </c>
      <c r="K27515" s="33" t="s">
        <v>22</v>
      </c>
    </row>
    <row r="27516" spans="1:11">
      <c r="A27516" s="30" t="s">
        <v>60383</v>
      </c>
      <c r="B27516" s="30" t="s">
        <v>60384</v>
      </c>
      <c r="C27516" s="30" t="s">
        <v>310</v>
      </c>
      <c r="D27516" s="30" t="s">
        <v>17</v>
      </c>
      <c r="E27516" s="30" t="s">
        <v>18</v>
      </c>
      <c r="F27516" s="30" t="s">
        <v>19</v>
      </c>
      <c r="G27516" s="30" t="s">
        <v>140</v>
      </c>
      <c r="H27516" s="32">
        <v>400</v>
      </c>
      <c r="I27516" s="30" t="s">
        <v>51</v>
      </c>
      <c r="J27516" s="41">
        <v>46125</v>
      </c>
      <c r="K27516" s="30" t="s">
        <v>22</v>
      </c>
    </row>
    <row r="27517" spans="1:11">
      <c r="A27517" s="33" t="s">
        <v>60385</v>
      </c>
      <c r="B27517" s="33" t="s">
        <v>60386</v>
      </c>
      <c r="C27517" s="33" t="s">
        <v>535</v>
      </c>
      <c r="D27517" s="33" t="s">
        <v>17</v>
      </c>
      <c r="E27517" s="33" t="s">
        <v>18</v>
      </c>
      <c r="F27517" s="33" t="s">
        <v>19</v>
      </c>
      <c r="G27517" s="33" t="s">
        <v>7780</v>
      </c>
      <c r="H27517" s="35">
        <v>1200</v>
      </c>
      <c r="I27517" s="33" t="s">
        <v>51</v>
      </c>
      <c r="J27517" s="42">
        <v>46223</v>
      </c>
      <c r="K27517" s="33" t="s">
        <v>22</v>
      </c>
    </row>
    <row r="27518" spans="1:11">
      <c r="A27518" s="30" t="s">
        <v>60387</v>
      </c>
      <c r="B27518" s="30" t="s">
        <v>60388</v>
      </c>
      <c r="C27518" s="30" t="s">
        <v>60389</v>
      </c>
      <c r="D27518" s="30" t="s">
        <v>17</v>
      </c>
      <c r="E27518" s="30" t="s">
        <v>67</v>
      </c>
      <c r="F27518" s="30" t="s">
        <v>68</v>
      </c>
      <c r="G27518" s="30" t="s">
        <v>140</v>
      </c>
      <c r="H27518" s="32">
        <v>56</v>
      </c>
      <c r="I27518" s="30" t="s">
        <v>51</v>
      </c>
      <c r="J27518" s="41">
        <v>46141</v>
      </c>
      <c r="K27518" s="30" t="s">
        <v>22</v>
      </c>
    </row>
    <row r="27519" spans="1:11">
      <c r="A27519" s="33" t="s">
        <v>60390</v>
      </c>
      <c r="B27519" s="33" t="s">
        <v>60391</v>
      </c>
      <c r="C27519" s="33" t="s">
        <v>2866</v>
      </c>
      <c r="D27519" s="33" t="s">
        <v>17</v>
      </c>
      <c r="E27519" s="33" t="s">
        <v>26</v>
      </c>
      <c r="F27519" s="33" t="s">
        <v>27</v>
      </c>
      <c r="G27519" s="33" t="s">
        <v>7780</v>
      </c>
      <c r="H27519" s="35">
        <v>20</v>
      </c>
      <c r="I27519" s="33" t="s">
        <v>51</v>
      </c>
      <c r="J27519" s="42">
        <v>46174</v>
      </c>
      <c r="K27519" s="33" t="s">
        <v>22</v>
      </c>
    </row>
    <row r="27520" spans="1:11">
      <c r="A27520" s="30" t="s">
        <v>60392</v>
      </c>
      <c r="B27520" s="30" t="s">
        <v>60393</v>
      </c>
      <c r="C27520" s="30" t="s">
        <v>14483</v>
      </c>
      <c r="D27520" s="30" t="s">
        <v>17</v>
      </c>
      <c r="E27520" s="30" t="s">
        <v>26</v>
      </c>
      <c r="F27520" s="30" t="s">
        <v>27</v>
      </c>
      <c r="G27520" s="30" t="s">
        <v>140</v>
      </c>
      <c r="H27520" s="32">
        <v>186</v>
      </c>
      <c r="I27520" s="30" t="s">
        <v>51</v>
      </c>
      <c r="J27520" s="41">
        <v>46113</v>
      </c>
      <c r="K27520" s="30" t="s">
        <v>22</v>
      </c>
    </row>
    <row r="27521" spans="1:11">
      <c r="A27521" s="33" t="s">
        <v>60394</v>
      </c>
      <c r="B27521" s="33" t="s">
        <v>60395</v>
      </c>
      <c r="C27521" s="33" t="s">
        <v>78</v>
      </c>
      <c r="D27521" s="33" t="s">
        <v>17</v>
      </c>
      <c r="E27521" s="33" t="s">
        <v>212</v>
      </c>
      <c r="F27521" s="33" t="s">
        <v>213</v>
      </c>
      <c r="G27521" s="33" t="s">
        <v>7780</v>
      </c>
      <c r="H27521" s="35">
        <v>200</v>
      </c>
      <c r="I27521" s="33" t="s">
        <v>51</v>
      </c>
      <c r="J27521" s="42">
        <v>46082</v>
      </c>
      <c r="K27521" s="33" t="s">
        <v>22</v>
      </c>
    </row>
    <row r="27522" spans="1:11">
      <c r="A27522" s="30" t="s">
        <v>60396</v>
      </c>
      <c r="B27522" s="30" t="s">
        <v>60397</v>
      </c>
      <c r="C27522" s="30" t="s">
        <v>93</v>
      </c>
      <c r="D27522" s="30" t="s">
        <v>17</v>
      </c>
      <c r="E27522" s="30" t="s">
        <v>26</v>
      </c>
      <c r="F27522" s="30" t="s">
        <v>27</v>
      </c>
      <c r="G27522" s="30" t="s">
        <v>140</v>
      </c>
      <c r="H27522" s="32">
        <v>30</v>
      </c>
      <c r="I27522" s="30" t="s">
        <v>51</v>
      </c>
      <c r="J27522" s="41">
        <v>46170</v>
      </c>
      <c r="K27522" s="30" t="s">
        <v>22</v>
      </c>
    </row>
    <row r="27523" spans="1:11">
      <c r="A27523" s="33" t="s">
        <v>60398</v>
      </c>
      <c r="B27523" s="33" t="s">
        <v>60399</v>
      </c>
      <c r="C27523" s="33" t="s">
        <v>21256</v>
      </c>
      <c r="D27523" s="33" t="s">
        <v>17</v>
      </c>
      <c r="E27523" s="33" t="s">
        <v>31</v>
      </c>
      <c r="F27523" s="33" t="s">
        <v>32</v>
      </c>
      <c r="G27523" s="33" t="s">
        <v>140</v>
      </c>
      <c r="H27523" s="35">
        <v>45</v>
      </c>
      <c r="I27523" s="33" t="s">
        <v>51</v>
      </c>
      <c r="J27523" s="42">
        <v>46083</v>
      </c>
      <c r="K27523" s="33" t="s">
        <v>22</v>
      </c>
    </row>
    <row r="27524" spans="1:11">
      <c r="A27524" s="30" t="s">
        <v>60400</v>
      </c>
      <c r="B27524" s="30" t="s">
        <v>60401</v>
      </c>
      <c r="C27524" s="30" t="s">
        <v>60402</v>
      </c>
      <c r="D27524" s="30" t="s">
        <v>17</v>
      </c>
      <c r="E27524" s="30" t="s">
        <v>26</v>
      </c>
      <c r="F27524" s="30" t="s">
        <v>27</v>
      </c>
      <c r="G27524" s="30" t="s">
        <v>140</v>
      </c>
      <c r="H27524" s="32">
        <v>18</v>
      </c>
      <c r="I27524" s="30" t="s">
        <v>51</v>
      </c>
      <c r="J27524" s="41">
        <v>46083</v>
      </c>
      <c r="K27524" s="30" t="s">
        <v>22</v>
      </c>
    </row>
    <row r="27525" spans="1:11">
      <c r="A27525" s="33" t="s">
        <v>60403</v>
      </c>
      <c r="B27525" s="33" t="s">
        <v>60404</v>
      </c>
      <c r="C27525" s="33" t="s">
        <v>102</v>
      </c>
      <c r="D27525" s="33" t="s">
        <v>17</v>
      </c>
      <c r="E27525" s="33" t="s">
        <v>26</v>
      </c>
      <c r="F27525" s="33" t="s">
        <v>27</v>
      </c>
      <c r="G27525" s="33" t="s">
        <v>140</v>
      </c>
      <c r="H27525" s="35">
        <v>130</v>
      </c>
      <c r="I27525" s="33" t="s">
        <v>51</v>
      </c>
      <c r="J27525" s="42">
        <v>46042</v>
      </c>
      <c r="K27525" s="33" t="s">
        <v>22</v>
      </c>
    </row>
    <row r="27526" spans="1:11">
      <c r="A27526" s="30" t="s">
        <v>60405</v>
      </c>
      <c r="B27526" s="30" t="s">
        <v>60406</v>
      </c>
      <c r="C27526" s="30" t="s">
        <v>32359</v>
      </c>
      <c r="D27526" s="30" t="s">
        <v>17</v>
      </c>
      <c r="E27526" s="30" t="s">
        <v>26</v>
      </c>
      <c r="F27526" s="30" t="s">
        <v>27</v>
      </c>
      <c r="G27526" s="30" t="s">
        <v>140</v>
      </c>
      <c r="H27526" s="32">
        <v>18</v>
      </c>
      <c r="I27526" s="30" t="s">
        <v>51</v>
      </c>
      <c r="J27526" s="41">
        <v>46195</v>
      </c>
      <c r="K27526" s="30" t="s">
        <v>22</v>
      </c>
    </row>
    <row r="27527" spans="1:11">
      <c r="A27527" s="33" t="s">
        <v>60407</v>
      </c>
      <c r="B27527" s="33" t="s">
        <v>60408</v>
      </c>
      <c r="C27527" s="33" t="s">
        <v>644</v>
      </c>
      <c r="D27527" s="33" t="s">
        <v>17</v>
      </c>
      <c r="E27527" s="33" t="s">
        <v>67</v>
      </c>
      <c r="F27527" s="33" t="s">
        <v>68</v>
      </c>
      <c r="G27527" s="33" t="s">
        <v>7780</v>
      </c>
      <c r="H27527" s="35">
        <v>326</v>
      </c>
      <c r="I27527" s="33" t="s">
        <v>51</v>
      </c>
      <c r="J27527" s="42">
        <v>46142</v>
      </c>
      <c r="K27527" s="33" t="s">
        <v>22</v>
      </c>
    </row>
    <row r="27528" spans="1:11">
      <c r="A27528" s="30" t="s">
        <v>60409</v>
      </c>
      <c r="B27528" s="30" t="s">
        <v>60410</v>
      </c>
      <c r="C27528" s="30" t="s">
        <v>6442</v>
      </c>
      <c r="D27528" s="30" t="s">
        <v>17</v>
      </c>
      <c r="E27528" s="30" t="s">
        <v>31</v>
      </c>
      <c r="F27528" s="30" t="s">
        <v>32</v>
      </c>
      <c r="G27528" s="30" t="s">
        <v>140</v>
      </c>
      <c r="H27528" s="32">
        <v>100</v>
      </c>
      <c r="I27528" s="30" t="s">
        <v>51</v>
      </c>
      <c r="J27528" s="41">
        <v>46163</v>
      </c>
      <c r="K27528" s="30" t="s">
        <v>22</v>
      </c>
    </row>
    <row r="27529" spans="1:11">
      <c r="A27529" s="33" t="s">
        <v>60411</v>
      </c>
      <c r="B27529" s="33" t="s">
        <v>60412</v>
      </c>
      <c r="C27529" s="33" t="s">
        <v>28153</v>
      </c>
      <c r="D27529" s="33" t="s">
        <v>17</v>
      </c>
      <c r="E27529" s="33" t="s">
        <v>67</v>
      </c>
      <c r="F27529" s="33" t="s">
        <v>68</v>
      </c>
      <c r="G27529" s="33" t="s">
        <v>140</v>
      </c>
      <c r="H27529" s="35">
        <v>118</v>
      </c>
      <c r="I27529" s="33" t="s">
        <v>51</v>
      </c>
      <c r="J27529" s="42">
        <v>46112</v>
      </c>
      <c r="K27529" s="33" t="s">
        <v>22</v>
      </c>
    </row>
    <row r="27530" spans="1:11">
      <c r="A27530" s="30" t="s">
        <v>60413</v>
      </c>
      <c r="B27530" s="30" t="s">
        <v>60414</v>
      </c>
      <c r="C27530" s="30" t="s">
        <v>10425</v>
      </c>
      <c r="D27530" s="30" t="s">
        <v>17</v>
      </c>
      <c r="E27530" s="30" t="s">
        <v>67</v>
      </c>
      <c r="F27530" s="30" t="s">
        <v>68</v>
      </c>
      <c r="G27530" s="30" t="s">
        <v>140</v>
      </c>
      <c r="H27530" s="32">
        <v>50</v>
      </c>
      <c r="I27530" s="30" t="s">
        <v>51</v>
      </c>
      <c r="J27530" s="41">
        <v>46036</v>
      </c>
      <c r="K27530" s="30" t="s">
        <v>22</v>
      </c>
    </row>
    <row r="27531" spans="1:11">
      <c r="A27531" s="33" t="s">
        <v>60415</v>
      </c>
      <c r="B27531" s="33" t="s">
        <v>60416</v>
      </c>
      <c r="C27531" s="33" t="s">
        <v>57343</v>
      </c>
      <c r="D27531" s="33" t="s">
        <v>17</v>
      </c>
      <c r="E27531" s="33" t="s">
        <v>31</v>
      </c>
      <c r="F27531" s="33" t="s">
        <v>32</v>
      </c>
      <c r="G27531" s="33" t="s">
        <v>140</v>
      </c>
      <c r="H27531" s="35">
        <v>120</v>
      </c>
      <c r="I27531" s="33" t="s">
        <v>51</v>
      </c>
      <c r="J27531" s="42">
        <v>46055</v>
      </c>
      <c r="K27531" s="33" t="s">
        <v>22</v>
      </c>
    </row>
    <row r="27532" spans="1:11">
      <c r="A27532" s="30" t="s">
        <v>60417</v>
      </c>
      <c r="B27532" s="30" t="s">
        <v>60418</v>
      </c>
      <c r="C27532" s="30" t="s">
        <v>4315</v>
      </c>
      <c r="D27532" s="30" t="s">
        <v>17</v>
      </c>
      <c r="E27532" s="30" t="s">
        <v>67</v>
      </c>
      <c r="F27532" s="30" t="s">
        <v>68</v>
      </c>
      <c r="G27532" s="30" t="s">
        <v>7780</v>
      </c>
      <c r="H27532" s="32">
        <v>340</v>
      </c>
      <c r="I27532" s="30" t="s">
        <v>51</v>
      </c>
      <c r="J27532" s="41">
        <v>46048</v>
      </c>
      <c r="K27532" s="30" t="s">
        <v>22</v>
      </c>
    </row>
    <row r="27533" spans="1:11">
      <c r="A27533" s="33" t="s">
        <v>60419</v>
      </c>
      <c r="B27533" s="33" t="s">
        <v>60420</v>
      </c>
      <c r="C27533" s="33" t="s">
        <v>969</v>
      </c>
      <c r="D27533" s="33" t="s">
        <v>17</v>
      </c>
      <c r="E27533" s="33" t="s">
        <v>67</v>
      </c>
      <c r="F27533" s="33" t="s">
        <v>68</v>
      </c>
      <c r="G27533" s="33" t="s">
        <v>140</v>
      </c>
      <c r="H27533" s="35">
        <v>1808</v>
      </c>
      <c r="I27533" s="33" t="s">
        <v>51</v>
      </c>
      <c r="J27533" s="42">
        <v>46178</v>
      </c>
      <c r="K27533" s="33" t="s">
        <v>22</v>
      </c>
    </row>
    <row r="27534" spans="1:11">
      <c r="A27534" s="30" t="s">
        <v>60421</v>
      </c>
      <c r="B27534" s="30" t="s">
        <v>60422</v>
      </c>
      <c r="C27534" s="30" t="s">
        <v>60423</v>
      </c>
      <c r="D27534" s="30" t="s">
        <v>17</v>
      </c>
      <c r="E27534" s="30" t="s">
        <v>31</v>
      </c>
      <c r="F27534" s="30" t="s">
        <v>32</v>
      </c>
      <c r="G27534" s="30" t="s">
        <v>140</v>
      </c>
      <c r="H27534" s="32">
        <v>100</v>
      </c>
      <c r="I27534" s="30" t="s">
        <v>51</v>
      </c>
      <c r="J27534" s="41">
        <v>46044</v>
      </c>
      <c r="K27534" s="30" t="s">
        <v>22</v>
      </c>
    </row>
    <row r="27535" spans="1:11">
      <c r="A27535" s="33" t="s">
        <v>60424</v>
      </c>
      <c r="B27535" s="33" t="s">
        <v>60425</v>
      </c>
      <c r="C27535" s="33" t="s">
        <v>22083</v>
      </c>
      <c r="D27535" s="33" t="s">
        <v>17</v>
      </c>
      <c r="E27535" s="33" t="s">
        <v>26</v>
      </c>
      <c r="F27535" s="33" t="s">
        <v>27</v>
      </c>
      <c r="G27535" s="33" t="s">
        <v>158</v>
      </c>
      <c r="H27535" s="35">
        <v>48</v>
      </c>
      <c r="I27535" s="33" t="s">
        <v>51</v>
      </c>
      <c r="J27535" s="42">
        <v>46055</v>
      </c>
      <c r="K27535" s="33" t="s">
        <v>22</v>
      </c>
    </row>
    <row r="27536" spans="1:11">
      <c r="A27536" s="30" t="s">
        <v>60426</v>
      </c>
      <c r="B27536" s="30" t="s">
        <v>60427</v>
      </c>
      <c r="C27536" s="30" t="s">
        <v>178</v>
      </c>
      <c r="D27536" s="30" t="s">
        <v>17</v>
      </c>
      <c r="E27536" s="30" t="s">
        <v>18</v>
      </c>
      <c r="F27536" s="30" t="s">
        <v>19</v>
      </c>
      <c r="G27536" s="30" t="s">
        <v>140</v>
      </c>
      <c r="H27536" s="32">
        <v>126</v>
      </c>
      <c r="I27536" s="30" t="s">
        <v>51</v>
      </c>
      <c r="J27536" s="41">
        <v>46157</v>
      </c>
      <c r="K27536" s="30" t="s">
        <v>22</v>
      </c>
    </row>
    <row r="27537" spans="1:11">
      <c r="A27537" s="33" t="s">
        <v>60428</v>
      </c>
      <c r="B27537" s="33" t="s">
        <v>60429</v>
      </c>
      <c r="C27537" s="33" t="s">
        <v>93</v>
      </c>
      <c r="D27537" s="33" t="s">
        <v>17</v>
      </c>
      <c r="E27537" s="33" t="s">
        <v>31</v>
      </c>
      <c r="F27537" s="33" t="s">
        <v>32</v>
      </c>
      <c r="G27537" s="33" t="s">
        <v>140</v>
      </c>
      <c r="H27537" s="35">
        <v>195</v>
      </c>
      <c r="I27537" s="33" t="s">
        <v>51</v>
      </c>
      <c r="J27537" s="42">
        <v>46056</v>
      </c>
      <c r="K27537" s="33" t="s">
        <v>22</v>
      </c>
    </row>
    <row r="27538" spans="1:11">
      <c r="A27538" s="30" t="s">
        <v>60430</v>
      </c>
      <c r="B27538" s="30" t="s">
        <v>60431</v>
      </c>
      <c r="C27538" s="30" t="s">
        <v>2012</v>
      </c>
      <c r="D27538" s="30" t="s">
        <v>17</v>
      </c>
      <c r="E27538" s="30" t="s">
        <v>18</v>
      </c>
      <c r="F27538" s="30" t="s">
        <v>19</v>
      </c>
      <c r="G27538" s="30" t="s">
        <v>140</v>
      </c>
      <c r="H27538" s="32">
        <v>248</v>
      </c>
      <c r="I27538" s="30" t="s">
        <v>51</v>
      </c>
      <c r="J27538" s="41">
        <v>46097</v>
      </c>
      <c r="K27538" s="30" t="s">
        <v>22</v>
      </c>
    </row>
    <row r="27539" spans="1:11">
      <c r="A27539" s="33" t="s">
        <v>60432</v>
      </c>
      <c r="B27539" s="33" t="s">
        <v>60433</v>
      </c>
      <c r="C27539" s="33" t="s">
        <v>109</v>
      </c>
      <c r="D27539" s="33" t="s">
        <v>17</v>
      </c>
      <c r="E27539" s="33" t="s">
        <v>18</v>
      </c>
      <c r="F27539" s="33" t="s">
        <v>19</v>
      </c>
      <c r="G27539" s="33" t="s">
        <v>140</v>
      </c>
      <c r="H27539" s="35">
        <v>570</v>
      </c>
      <c r="I27539" s="33" t="s">
        <v>51</v>
      </c>
      <c r="J27539" s="42">
        <v>46218</v>
      </c>
      <c r="K27539" s="33" t="s">
        <v>22</v>
      </c>
    </row>
    <row r="27540" spans="1:11">
      <c r="A27540" s="30" t="s">
        <v>60434</v>
      </c>
      <c r="B27540" s="30" t="s">
        <v>60435</v>
      </c>
      <c r="C27540" s="30" t="s">
        <v>22650</v>
      </c>
      <c r="D27540" s="30" t="s">
        <v>17</v>
      </c>
      <c r="E27540" s="30" t="s">
        <v>18</v>
      </c>
      <c r="F27540" s="30" t="s">
        <v>19</v>
      </c>
      <c r="G27540" s="30" t="s">
        <v>7780</v>
      </c>
      <c r="H27540" s="32">
        <v>226</v>
      </c>
      <c r="I27540" s="30" t="s">
        <v>51</v>
      </c>
      <c r="J27540" s="41">
        <v>46126</v>
      </c>
      <c r="K27540" s="30" t="s">
        <v>22</v>
      </c>
    </row>
    <row r="27541" spans="1:11">
      <c r="A27541" s="33" t="s">
        <v>60436</v>
      </c>
      <c r="B27541" s="33" t="s">
        <v>60437</v>
      </c>
      <c r="C27541" s="33" t="s">
        <v>231</v>
      </c>
      <c r="D27541" s="33" t="s">
        <v>17</v>
      </c>
      <c r="E27541" s="33" t="s">
        <v>26</v>
      </c>
      <c r="F27541" s="33" t="s">
        <v>27</v>
      </c>
      <c r="G27541" s="33" t="s">
        <v>140</v>
      </c>
      <c r="H27541" s="35">
        <v>69</v>
      </c>
      <c r="I27541" s="33" t="s">
        <v>51</v>
      </c>
      <c r="J27541" s="42">
        <v>46077</v>
      </c>
      <c r="K27541" s="33" t="s">
        <v>22</v>
      </c>
    </row>
    <row r="27542" spans="1:11">
      <c r="A27542" s="30" t="s">
        <v>60438</v>
      </c>
      <c r="B27542" s="30" t="s">
        <v>60439</v>
      </c>
      <c r="C27542" s="30" t="s">
        <v>252</v>
      </c>
      <c r="D27542" s="30" t="s">
        <v>17</v>
      </c>
      <c r="E27542" s="30" t="s">
        <v>31</v>
      </c>
      <c r="F27542" s="30" t="s">
        <v>32</v>
      </c>
      <c r="G27542" s="30" t="s">
        <v>140</v>
      </c>
      <c r="H27542" s="32">
        <v>200</v>
      </c>
      <c r="I27542" s="30" t="s">
        <v>51</v>
      </c>
      <c r="J27542" s="41">
        <v>46220</v>
      </c>
      <c r="K27542" s="30" t="s">
        <v>22</v>
      </c>
    </row>
    <row r="27543" spans="1:11">
      <c r="A27543" s="33" t="s">
        <v>60440</v>
      </c>
      <c r="B27543" s="33" t="s">
        <v>60441</v>
      </c>
      <c r="C27543" s="33" t="s">
        <v>136</v>
      </c>
      <c r="D27543" s="33" t="s">
        <v>17</v>
      </c>
      <c r="E27543" s="33" t="s">
        <v>26</v>
      </c>
      <c r="F27543" s="33" t="s">
        <v>27</v>
      </c>
      <c r="G27543" s="33" t="s">
        <v>20</v>
      </c>
      <c r="H27543" s="35">
        <v>24</v>
      </c>
      <c r="I27543" s="33" t="s">
        <v>21</v>
      </c>
      <c r="J27543" s="42">
        <v>46034</v>
      </c>
      <c r="K27543" s="33" t="s">
        <v>22</v>
      </c>
    </row>
    <row r="27544" spans="1:11">
      <c r="A27544" s="30" t="s">
        <v>60442</v>
      </c>
      <c r="B27544" s="30" t="s">
        <v>60443</v>
      </c>
      <c r="C27544" s="30" t="s">
        <v>19121</v>
      </c>
      <c r="D27544" s="30" t="s">
        <v>17</v>
      </c>
      <c r="E27544" s="30" t="s">
        <v>212</v>
      </c>
      <c r="F27544" s="30" t="s">
        <v>213</v>
      </c>
      <c r="G27544" s="30" t="s">
        <v>140</v>
      </c>
      <c r="H27544" s="32">
        <v>12</v>
      </c>
      <c r="I27544" s="30" t="s">
        <v>51</v>
      </c>
      <c r="J27544" s="41">
        <v>46085</v>
      </c>
      <c r="K27544" s="30" t="s">
        <v>22</v>
      </c>
    </row>
    <row r="27545" spans="1:11">
      <c r="A27545" s="33" t="s">
        <v>60444</v>
      </c>
      <c r="B27545" s="33" t="s">
        <v>60445</v>
      </c>
      <c r="C27545" s="33" t="s">
        <v>96</v>
      </c>
      <c r="D27545" s="33" t="s">
        <v>17</v>
      </c>
      <c r="E27545" s="33" t="s">
        <v>18</v>
      </c>
      <c r="F27545" s="33" t="s">
        <v>19</v>
      </c>
      <c r="G27545" s="33" t="s">
        <v>140</v>
      </c>
      <c r="H27545" s="35">
        <v>954</v>
      </c>
      <c r="I27545" s="33" t="s">
        <v>51</v>
      </c>
      <c r="J27545" s="42">
        <v>46183</v>
      </c>
      <c r="K27545" s="33" t="s">
        <v>22</v>
      </c>
    </row>
    <row r="27546" spans="1:11">
      <c r="A27546" s="30" t="s">
        <v>60446</v>
      </c>
      <c r="B27546" s="30" t="s">
        <v>60447</v>
      </c>
      <c r="C27546" s="30" t="s">
        <v>14825</v>
      </c>
      <c r="D27546" s="30" t="s">
        <v>17</v>
      </c>
      <c r="E27546" s="30" t="s">
        <v>26</v>
      </c>
      <c r="F27546" s="30" t="s">
        <v>27</v>
      </c>
      <c r="G27546" s="30" t="s">
        <v>112</v>
      </c>
      <c r="H27546" s="32">
        <v>0</v>
      </c>
      <c r="I27546" s="30" t="s">
        <v>21</v>
      </c>
      <c r="J27546" s="41">
        <v>46183</v>
      </c>
      <c r="K27546" s="30" t="s">
        <v>22</v>
      </c>
    </row>
    <row r="27547" spans="1:11">
      <c r="A27547" s="33" t="s">
        <v>60448</v>
      </c>
      <c r="B27547" s="33" t="s">
        <v>60449</v>
      </c>
      <c r="C27547" s="33" t="s">
        <v>11599</v>
      </c>
      <c r="D27547" s="33" t="s">
        <v>17</v>
      </c>
      <c r="E27547" s="33" t="s">
        <v>212</v>
      </c>
      <c r="F27547" s="33" t="s">
        <v>213</v>
      </c>
      <c r="G27547" s="33" t="s">
        <v>140</v>
      </c>
      <c r="H27547" s="35">
        <v>40</v>
      </c>
      <c r="I27547" s="33" t="s">
        <v>51</v>
      </c>
      <c r="J27547" s="42">
        <v>46107</v>
      </c>
      <c r="K27547" s="33" t="s">
        <v>22</v>
      </c>
    </row>
    <row r="27548" spans="1:11">
      <c r="A27548" s="30" t="s">
        <v>60450</v>
      </c>
      <c r="B27548" s="30" t="s">
        <v>60451</v>
      </c>
      <c r="C27548" s="30" t="s">
        <v>14476</v>
      </c>
      <c r="D27548" s="30" t="s">
        <v>17</v>
      </c>
      <c r="E27548" s="30" t="s">
        <v>26</v>
      </c>
      <c r="F27548" s="30" t="s">
        <v>27</v>
      </c>
      <c r="G27548" s="30" t="s">
        <v>140</v>
      </c>
      <c r="H27548" s="32">
        <v>84</v>
      </c>
      <c r="I27548" s="30" t="s">
        <v>51</v>
      </c>
      <c r="J27548" s="41">
        <v>46070</v>
      </c>
      <c r="K27548" s="30" t="s">
        <v>22</v>
      </c>
    </row>
    <row r="27549" spans="1:11">
      <c r="A27549" s="33" t="s">
        <v>60452</v>
      </c>
      <c r="B27549" s="33" t="s">
        <v>60453</v>
      </c>
      <c r="C27549" s="33" t="s">
        <v>36351</v>
      </c>
      <c r="D27549" s="33" t="s">
        <v>17</v>
      </c>
      <c r="E27549" s="33" t="s">
        <v>45</v>
      </c>
      <c r="F27549" s="33" t="s">
        <v>46</v>
      </c>
      <c r="G27549" s="33" t="s">
        <v>140</v>
      </c>
      <c r="H27549" s="35">
        <v>140</v>
      </c>
      <c r="I27549" s="33" t="s">
        <v>51</v>
      </c>
      <c r="J27549" s="42">
        <v>46139</v>
      </c>
      <c r="K27549" s="33" t="s">
        <v>22</v>
      </c>
    </row>
    <row r="27550" spans="1:11">
      <c r="A27550" s="30" t="s">
        <v>60454</v>
      </c>
      <c r="B27550" s="30" t="s">
        <v>60455</v>
      </c>
      <c r="C27550" s="30" t="s">
        <v>20352</v>
      </c>
      <c r="D27550" s="30" t="s">
        <v>17</v>
      </c>
      <c r="E27550" s="30" t="s">
        <v>31</v>
      </c>
      <c r="F27550" s="30" t="s">
        <v>32</v>
      </c>
      <c r="G27550" s="30" t="s">
        <v>140</v>
      </c>
      <c r="H27550" s="32">
        <v>200</v>
      </c>
      <c r="I27550" s="30" t="s">
        <v>51</v>
      </c>
      <c r="J27550" s="41">
        <v>46174</v>
      </c>
      <c r="K27550" s="30" t="s">
        <v>22</v>
      </c>
    </row>
    <row r="27551" spans="1:11">
      <c r="A27551" s="33" t="s">
        <v>60456</v>
      </c>
      <c r="B27551" s="33" t="s">
        <v>60457</v>
      </c>
      <c r="C27551" s="33" t="s">
        <v>96</v>
      </c>
      <c r="D27551" s="33" t="s">
        <v>17</v>
      </c>
      <c r="E27551" s="33" t="s">
        <v>67</v>
      </c>
      <c r="F27551" s="33" t="s">
        <v>68</v>
      </c>
      <c r="G27551" s="33" t="s">
        <v>140</v>
      </c>
      <c r="H27551" s="35">
        <v>162</v>
      </c>
      <c r="I27551" s="33" t="s">
        <v>51</v>
      </c>
      <c r="J27551" s="42">
        <v>46052</v>
      </c>
      <c r="K27551" s="33" t="s">
        <v>22</v>
      </c>
    </row>
    <row r="27552" spans="1:11">
      <c r="A27552" s="30" t="s">
        <v>60458</v>
      </c>
      <c r="B27552" s="30" t="s">
        <v>60459</v>
      </c>
      <c r="C27552" s="30" t="s">
        <v>10646</v>
      </c>
      <c r="D27552" s="30" t="s">
        <v>17</v>
      </c>
      <c r="E27552" s="30" t="s">
        <v>31</v>
      </c>
      <c r="F27552" s="30" t="s">
        <v>32</v>
      </c>
      <c r="G27552" s="30" t="s">
        <v>140</v>
      </c>
      <c r="H27552" s="32">
        <v>100</v>
      </c>
      <c r="I27552" s="30" t="s">
        <v>51</v>
      </c>
      <c r="J27552" s="41">
        <v>46057</v>
      </c>
      <c r="K27552" s="30" t="s">
        <v>22</v>
      </c>
    </row>
    <row r="27553" spans="1:11">
      <c r="A27553" s="33" t="s">
        <v>60460</v>
      </c>
      <c r="B27553" s="33" t="s">
        <v>60461</v>
      </c>
      <c r="C27553" s="33" t="s">
        <v>318</v>
      </c>
      <c r="D27553" s="33" t="s">
        <v>17</v>
      </c>
      <c r="E27553" s="33" t="s">
        <v>26</v>
      </c>
      <c r="F27553" s="33" t="s">
        <v>27</v>
      </c>
      <c r="G27553" s="33" t="s">
        <v>158</v>
      </c>
      <c r="H27553" s="35">
        <v>405</v>
      </c>
      <c r="I27553" s="33" t="s">
        <v>21</v>
      </c>
      <c r="J27553" s="42">
        <v>46133</v>
      </c>
      <c r="K27553" s="33" t="s">
        <v>22</v>
      </c>
    </row>
    <row r="27554" spans="1:11">
      <c r="A27554" s="30" t="s">
        <v>60462</v>
      </c>
      <c r="B27554" s="30" t="s">
        <v>60463</v>
      </c>
      <c r="C27554" s="30" t="s">
        <v>21185</v>
      </c>
      <c r="D27554" s="30" t="s">
        <v>17</v>
      </c>
      <c r="E27554" s="30" t="s">
        <v>67</v>
      </c>
      <c r="F27554" s="30" t="s">
        <v>68</v>
      </c>
      <c r="G27554" s="30" t="s">
        <v>7780</v>
      </c>
      <c r="H27554" s="32">
        <v>71</v>
      </c>
      <c r="I27554" s="30" t="s">
        <v>51</v>
      </c>
      <c r="J27554" s="41">
        <v>46204</v>
      </c>
      <c r="K27554" s="30" t="s">
        <v>22</v>
      </c>
    </row>
    <row r="27555" spans="1:11">
      <c r="A27555" s="33" t="s">
        <v>60464</v>
      </c>
      <c r="B27555" s="33" t="s">
        <v>60465</v>
      </c>
      <c r="C27555" s="33" t="s">
        <v>96</v>
      </c>
      <c r="D27555" s="33" t="s">
        <v>17</v>
      </c>
      <c r="E27555" s="33" t="s">
        <v>67</v>
      </c>
      <c r="F27555" s="33" t="s">
        <v>68</v>
      </c>
      <c r="G27555" s="33" t="s">
        <v>140</v>
      </c>
      <c r="H27555" s="35">
        <v>224</v>
      </c>
      <c r="I27555" s="33" t="s">
        <v>51</v>
      </c>
      <c r="J27555" s="42">
        <v>46063</v>
      </c>
      <c r="K27555" s="33" t="s">
        <v>22</v>
      </c>
    </row>
    <row r="27556" spans="1:11">
      <c r="A27556" s="30" t="s">
        <v>60466</v>
      </c>
      <c r="B27556" s="30" t="s">
        <v>60467</v>
      </c>
      <c r="C27556" s="30" t="s">
        <v>15911</v>
      </c>
      <c r="D27556" s="30" t="s">
        <v>17</v>
      </c>
      <c r="E27556" s="30" t="s">
        <v>26</v>
      </c>
      <c r="F27556" s="30" t="s">
        <v>27</v>
      </c>
      <c r="G27556" s="30" t="s">
        <v>140</v>
      </c>
      <c r="H27556" s="32">
        <v>60</v>
      </c>
      <c r="I27556" s="30" t="s">
        <v>51</v>
      </c>
      <c r="J27556" s="41">
        <v>46059</v>
      </c>
      <c r="K27556" s="30" t="s">
        <v>22</v>
      </c>
    </row>
    <row r="27557" spans="1:11">
      <c r="A27557" s="33" t="s">
        <v>60468</v>
      </c>
      <c r="B27557" s="33" t="s">
        <v>60469</v>
      </c>
      <c r="C27557" s="33" t="s">
        <v>1801</v>
      </c>
      <c r="D27557" s="33" t="s">
        <v>17</v>
      </c>
      <c r="E27557" s="33" t="s">
        <v>26</v>
      </c>
      <c r="F27557" s="33" t="s">
        <v>27</v>
      </c>
      <c r="G27557" s="33" t="s">
        <v>158</v>
      </c>
      <c r="H27557" s="35">
        <v>346</v>
      </c>
      <c r="I27557" s="33" t="s">
        <v>51</v>
      </c>
      <c r="J27557" s="42">
        <v>46112</v>
      </c>
      <c r="K27557" s="33" t="s">
        <v>22</v>
      </c>
    </row>
    <row r="27558" spans="1:11">
      <c r="A27558" s="30" t="s">
        <v>60470</v>
      </c>
      <c r="B27558" s="30" t="s">
        <v>60471</v>
      </c>
      <c r="C27558" s="30" t="s">
        <v>96</v>
      </c>
      <c r="D27558" s="30" t="s">
        <v>17</v>
      </c>
      <c r="E27558" s="30" t="s">
        <v>26</v>
      </c>
      <c r="F27558" s="30" t="s">
        <v>27</v>
      </c>
      <c r="G27558" s="30" t="s">
        <v>140</v>
      </c>
      <c r="H27558" s="32">
        <v>36</v>
      </c>
      <c r="I27558" s="30" t="s">
        <v>51</v>
      </c>
      <c r="J27558" s="41">
        <v>46150</v>
      </c>
      <c r="K27558" s="30" t="s">
        <v>22</v>
      </c>
    </row>
    <row r="27559" spans="1:11">
      <c r="A27559" s="33" t="s">
        <v>60472</v>
      </c>
      <c r="B27559" s="33" t="s">
        <v>60473</v>
      </c>
      <c r="C27559" s="33" t="s">
        <v>60</v>
      </c>
      <c r="D27559" s="33" t="s">
        <v>17</v>
      </c>
      <c r="E27559" s="33" t="s">
        <v>26</v>
      </c>
      <c r="F27559" s="33" t="s">
        <v>27</v>
      </c>
      <c r="G27559" s="33" t="s">
        <v>140</v>
      </c>
      <c r="H27559" s="35">
        <v>128</v>
      </c>
      <c r="I27559" s="33" t="s">
        <v>51</v>
      </c>
      <c r="J27559" s="42">
        <v>46078</v>
      </c>
      <c r="K27559" s="33" t="s">
        <v>22</v>
      </c>
    </row>
    <row r="27560" spans="1:11">
      <c r="A27560" s="30" t="s">
        <v>60474</v>
      </c>
      <c r="B27560" s="30" t="s">
        <v>60475</v>
      </c>
      <c r="C27560" s="30" t="s">
        <v>60476</v>
      </c>
      <c r="D27560" s="30" t="s">
        <v>17</v>
      </c>
      <c r="E27560" s="30" t="s">
        <v>31</v>
      </c>
      <c r="F27560" s="30" t="s">
        <v>32</v>
      </c>
      <c r="G27560" s="30" t="s">
        <v>140</v>
      </c>
      <c r="H27560" s="32">
        <v>80</v>
      </c>
      <c r="I27560" s="30" t="s">
        <v>51</v>
      </c>
      <c r="J27560" s="41">
        <v>46202</v>
      </c>
      <c r="K27560" s="30" t="s">
        <v>22</v>
      </c>
    </row>
    <row r="27561" spans="1:11">
      <c r="A27561" s="33" t="s">
        <v>60477</v>
      </c>
      <c r="B27561" s="33" t="s">
        <v>60478</v>
      </c>
      <c r="C27561" s="33" t="s">
        <v>15768</v>
      </c>
      <c r="D27561" s="33" t="s">
        <v>17</v>
      </c>
      <c r="E27561" s="33" t="s">
        <v>67</v>
      </c>
      <c r="F27561" s="33" t="s">
        <v>68</v>
      </c>
      <c r="G27561" s="33" t="s">
        <v>7780</v>
      </c>
      <c r="H27561" s="35">
        <v>39</v>
      </c>
      <c r="I27561" s="33" t="s">
        <v>51</v>
      </c>
      <c r="J27561" s="42">
        <v>46054</v>
      </c>
      <c r="K27561" s="33" t="s">
        <v>22</v>
      </c>
    </row>
    <row r="27562" spans="1:11">
      <c r="A27562" s="30" t="s">
        <v>60479</v>
      </c>
      <c r="B27562" s="30" t="s">
        <v>60480</v>
      </c>
      <c r="C27562" s="30" t="s">
        <v>60481</v>
      </c>
      <c r="D27562" s="30" t="s">
        <v>17</v>
      </c>
      <c r="E27562" s="30" t="s">
        <v>26</v>
      </c>
      <c r="F27562" s="30" t="s">
        <v>27</v>
      </c>
      <c r="G27562" s="30" t="s">
        <v>7780</v>
      </c>
      <c r="H27562" s="32">
        <v>4</v>
      </c>
      <c r="I27562" s="30" t="s">
        <v>51</v>
      </c>
      <c r="J27562" s="41">
        <v>46204</v>
      </c>
      <c r="K27562" s="30" t="s">
        <v>22</v>
      </c>
    </row>
    <row r="27563" spans="1:11">
      <c r="A27563" s="33" t="s">
        <v>60482</v>
      </c>
      <c r="B27563" s="33" t="s">
        <v>60483</v>
      </c>
      <c r="C27563" s="33" t="s">
        <v>14816</v>
      </c>
      <c r="D27563" s="33" t="s">
        <v>17</v>
      </c>
      <c r="E27563" s="33" t="s">
        <v>26</v>
      </c>
      <c r="F27563" s="33" t="s">
        <v>27</v>
      </c>
      <c r="G27563" s="33" t="s">
        <v>140</v>
      </c>
      <c r="H27563" s="35">
        <v>58</v>
      </c>
      <c r="I27563" s="33" t="s">
        <v>51</v>
      </c>
      <c r="J27563" s="42">
        <v>46126</v>
      </c>
      <c r="K27563" s="33" t="s">
        <v>22</v>
      </c>
    </row>
    <row r="27564" spans="1:11">
      <c r="A27564" s="30" t="s">
        <v>60484</v>
      </c>
      <c r="B27564" s="30" t="s">
        <v>60485</v>
      </c>
      <c r="C27564" s="30" t="s">
        <v>60486</v>
      </c>
      <c r="D27564" s="30" t="s">
        <v>17</v>
      </c>
      <c r="E27564" s="30" t="s">
        <v>26</v>
      </c>
      <c r="F27564" s="30" t="s">
        <v>27</v>
      </c>
      <c r="G27564" s="30" t="s">
        <v>140</v>
      </c>
      <c r="H27564" s="32">
        <v>72</v>
      </c>
      <c r="I27564" s="30" t="s">
        <v>51</v>
      </c>
      <c r="J27564" s="41">
        <v>46202</v>
      </c>
      <c r="K27564" s="30" t="s">
        <v>22</v>
      </c>
    </row>
    <row r="27565" spans="1:11">
      <c r="A27565" s="33" t="s">
        <v>60487</v>
      </c>
      <c r="B27565" s="33" t="s">
        <v>60488</v>
      </c>
      <c r="C27565" s="33" t="s">
        <v>25915</v>
      </c>
      <c r="D27565" s="33" t="s">
        <v>17</v>
      </c>
      <c r="E27565" s="33" t="s">
        <v>26</v>
      </c>
      <c r="F27565" s="33" t="s">
        <v>27</v>
      </c>
      <c r="G27565" s="33" t="s">
        <v>140</v>
      </c>
      <c r="H27565" s="35">
        <v>60</v>
      </c>
      <c r="I27565" s="33" t="s">
        <v>51</v>
      </c>
      <c r="J27565" s="42">
        <v>46174</v>
      </c>
      <c r="K27565" s="33" t="s">
        <v>22</v>
      </c>
    </row>
    <row r="27566" spans="1:11">
      <c r="A27566" s="30" t="s">
        <v>60489</v>
      </c>
      <c r="B27566" s="30" t="s">
        <v>60490</v>
      </c>
      <c r="C27566" s="30" t="s">
        <v>96</v>
      </c>
      <c r="D27566" s="30" t="s">
        <v>17</v>
      </c>
      <c r="E27566" s="30" t="s">
        <v>26</v>
      </c>
      <c r="F27566" s="30" t="s">
        <v>27</v>
      </c>
      <c r="G27566" s="30" t="s">
        <v>140</v>
      </c>
      <c r="H27566" s="32">
        <v>32</v>
      </c>
      <c r="I27566" s="30" t="s">
        <v>51</v>
      </c>
      <c r="J27566" s="41">
        <v>46217</v>
      </c>
      <c r="K27566" s="30" t="s">
        <v>22</v>
      </c>
    </row>
    <row r="27567" spans="1:11">
      <c r="A27567" s="33" t="s">
        <v>60491</v>
      </c>
      <c r="B27567" s="33" t="s">
        <v>60492</v>
      </c>
      <c r="C27567" s="33" t="s">
        <v>60493</v>
      </c>
      <c r="D27567" s="33" t="s">
        <v>17</v>
      </c>
      <c r="E27567" s="33" t="s">
        <v>31</v>
      </c>
      <c r="F27567" s="33" t="s">
        <v>32</v>
      </c>
      <c r="G27567" s="33" t="s">
        <v>140</v>
      </c>
      <c r="H27567" s="35">
        <v>36</v>
      </c>
      <c r="I27567" s="33" t="s">
        <v>51</v>
      </c>
      <c r="J27567" s="42">
        <v>46177</v>
      </c>
      <c r="K27567" s="33" t="s">
        <v>22</v>
      </c>
    </row>
    <row r="27568" spans="1:11">
      <c r="A27568" s="30" t="s">
        <v>60494</v>
      </c>
      <c r="B27568" s="30" t="s">
        <v>60495</v>
      </c>
      <c r="C27568" s="30" t="s">
        <v>59505</v>
      </c>
      <c r="D27568" s="30" t="s">
        <v>17</v>
      </c>
      <c r="E27568" s="30" t="s">
        <v>31</v>
      </c>
      <c r="F27568" s="30" t="s">
        <v>32</v>
      </c>
      <c r="G27568" s="30" t="s">
        <v>140</v>
      </c>
      <c r="H27568" s="32">
        <v>120</v>
      </c>
      <c r="I27568" s="30" t="s">
        <v>51</v>
      </c>
      <c r="J27568" s="41">
        <v>46072</v>
      </c>
      <c r="K27568" s="30" t="s">
        <v>22</v>
      </c>
    </row>
    <row r="27569" spans="1:11">
      <c r="A27569" s="33" t="s">
        <v>60496</v>
      </c>
      <c r="B27569" s="33" t="s">
        <v>60497</v>
      </c>
      <c r="C27569" s="33" t="s">
        <v>157</v>
      </c>
      <c r="D27569" s="33" t="s">
        <v>17</v>
      </c>
      <c r="E27569" s="33" t="s">
        <v>18</v>
      </c>
      <c r="F27569" s="33" t="s">
        <v>19</v>
      </c>
      <c r="G27569" s="33" t="s">
        <v>140</v>
      </c>
      <c r="H27569" s="35">
        <v>183</v>
      </c>
      <c r="I27569" s="33" t="s">
        <v>51</v>
      </c>
      <c r="J27569" s="42">
        <v>46036</v>
      </c>
      <c r="K27569" s="33" t="s">
        <v>22</v>
      </c>
    </row>
    <row r="27570" spans="1:11">
      <c r="A27570" s="30" t="s">
        <v>60498</v>
      </c>
      <c r="B27570" s="30" t="s">
        <v>60499</v>
      </c>
      <c r="C27570" s="30" t="s">
        <v>969</v>
      </c>
      <c r="D27570" s="30" t="s">
        <v>17</v>
      </c>
      <c r="E27570" s="30" t="s">
        <v>31</v>
      </c>
      <c r="F27570" s="30" t="s">
        <v>32</v>
      </c>
      <c r="G27570" s="30" t="s">
        <v>140</v>
      </c>
      <c r="H27570" s="32">
        <v>537</v>
      </c>
      <c r="I27570" s="30" t="s">
        <v>51</v>
      </c>
      <c r="J27570" s="41">
        <v>46113</v>
      </c>
      <c r="K27570" s="30" t="s">
        <v>22</v>
      </c>
    </row>
    <row r="27571" spans="1:11">
      <c r="A27571" s="33" t="s">
        <v>60500</v>
      </c>
      <c r="B27571" s="33" t="s">
        <v>60501</v>
      </c>
      <c r="C27571" s="33" t="s">
        <v>52818</v>
      </c>
      <c r="D27571" s="33" t="s">
        <v>17</v>
      </c>
      <c r="E27571" s="33" t="s">
        <v>31</v>
      </c>
      <c r="F27571" s="33" t="s">
        <v>32</v>
      </c>
      <c r="G27571" s="33" t="s">
        <v>7780</v>
      </c>
      <c r="H27571" s="35">
        <v>48</v>
      </c>
      <c r="I27571" s="33" t="s">
        <v>51</v>
      </c>
      <c r="J27571" s="42">
        <v>46171</v>
      </c>
      <c r="K27571" s="33" t="s">
        <v>22</v>
      </c>
    </row>
    <row r="27572" spans="1:11">
      <c r="A27572" s="30" t="s">
        <v>60502</v>
      </c>
      <c r="B27572" s="30" t="s">
        <v>60503</v>
      </c>
      <c r="C27572" s="30" t="s">
        <v>96</v>
      </c>
      <c r="D27572" s="30" t="s">
        <v>17</v>
      </c>
      <c r="E27572" s="30" t="s">
        <v>26</v>
      </c>
      <c r="F27572" s="30" t="s">
        <v>27</v>
      </c>
      <c r="G27572" s="30" t="s">
        <v>106</v>
      </c>
      <c r="H27572" s="32">
        <v>24</v>
      </c>
      <c r="I27572" s="30" t="s">
        <v>21</v>
      </c>
      <c r="J27572" s="41">
        <v>46104</v>
      </c>
      <c r="K27572" s="30" t="s">
        <v>22</v>
      </c>
    </row>
    <row r="27573" spans="1:11">
      <c r="A27573" s="33" t="s">
        <v>60504</v>
      </c>
      <c r="B27573" s="33" t="s">
        <v>60505</v>
      </c>
      <c r="C27573" s="33" t="s">
        <v>102</v>
      </c>
      <c r="D27573" s="33" t="s">
        <v>17</v>
      </c>
      <c r="E27573" s="33" t="s">
        <v>31</v>
      </c>
      <c r="F27573" s="33" t="s">
        <v>32</v>
      </c>
      <c r="G27573" s="33" t="s">
        <v>140</v>
      </c>
      <c r="H27573" s="35">
        <v>68</v>
      </c>
      <c r="I27573" s="33" t="s">
        <v>51</v>
      </c>
      <c r="J27573" s="42">
        <v>46231</v>
      </c>
      <c r="K27573" s="33" t="s">
        <v>22</v>
      </c>
    </row>
    <row r="27574" spans="1:11">
      <c r="A27574" s="30" t="s">
        <v>60506</v>
      </c>
      <c r="B27574" s="30" t="s">
        <v>60507</v>
      </c>
      <c r="C27574" s="30" t="s">
        <v>14640</v>
      </c>
      <c r="D27574" s="30" t="s">
        <v>17</v>
      </c>
      <c r="E27574" s="30" t="s">
        <v>31</v>
      </c>
      <c r="F27574" s="30" t="s">
        <v>32</v>
      </c>
      <c r="G27574" s="30" t="s">
        <v>140</v>
      </c>
      <c r="H27574" s="32">
        <v>75</v>
      </c>
      <c r="I27574" s="30" t="s">
        <v>51</v>
      </c>
      <c r="J27574" s="41">
        <v>46217</v>
      </c>
      <c r="K27574" s="30" t="s">
        <v>22</v>
      </c>
    </row>
    <row r="27575" spans="1:11">
      <c r="A27575" s="33" t="s">
        <v>60508</v>
      </c>
      <c r="B27575" s="33" t="s">
        <v>60509</v>
      </c>
      <c r="C27575" s="33" t="s">
        <v>60510</v>
      </c>
      <c r="D27575" s="33" t="s">
        <v>17</v>
      </c>
      <c r="E27575" s="33" t="s">
        <v>18</v>
      </c>
      <c r="F27575" s="33" t="s">
        <v>19</v>
      </c>
      <c r="G27575" s="33" t="s">
        <v>7780</v>
      </c>
      <c r="H27575" s="35">
        <v>600</v>
      </c>
      <c r="I27575" s="33" t="s">
        <v>51</v>
      </c>
      <c r="J27575" s="42">
        <v>46023</v>
      </c>
      <c r="K27575" s="33" t="s">
        <v>22</v>
      </c>
    </row>
    <row r="27576" spans="1:11">
      <c r="A27576" s="30" t="s">
        <v>60511</v>
      </c>
      <c r="B27576" s="30" t="s">
        <v>60512</v>
      </c>
      <c r="C27576" s="30" t="s">
        <v>969</v>
      </c>
      <c r="D27576" s="30" t="s">
        <v>17</v>
      </c>
      <c r="E27576" s="30" t="s">
        <v>26</v>
      </c>
      <c r="F27576" s="30" t="s">
        <v>27</v>
      </c>
      <c r="G27576" s="30" t="s">
        <v>140</v>
      </c>
      <c r="H27576" s="32">
        <v>45</v>
      </c>
      <c r="I27576" s="30" t="s">
        <v>51</v>
      </c>
      <c r="J27576" s="41">
        <v>46157</v>
      </c>
      <c r="K27576" s="30" t="s">
        <v>22</v>
      </c>
    </row>
    <row r="27577" spans="1:11">
      <c r="A27577" s="33" t="s">
        <v>60513</v>
      </c>
      <c r="B27577" s="33" t="s">
        <v>60514</v>
      </c>
      <c r="C27577" s="33" t="s">
        <v>93</v>
      </c>
      <c r="D27577" s="33" t="s">
        <v>17</v>
      </c>
      <c r="E27577" s="33" t="s">
        <v>26</v>
      </c>
      <c r="F27577" s="33" t="s">
        <v>27</v>
      </c>
      <c r="G27577" s="33" t="s">
        <v>140</v>
      </c>
      <c r="H27577" s="35">
        <v>127</v>
      </c>
      <c r="I27577" s="33" t="s">
        <v>51</v>
      </c>
      <c r="J27577" s="42">
        <v>46080</v>
      </c>
      <c r="K27577" s="33" t="s">
        <v>22</v>
      </c>
    </row>
    <row r="27578" spans="1:11">
      <c r="A27578" s="30" t="s">
        <v>60515</v>
      </c>
      <c r="B27578" s="30" t="s">
        <v>60516</v>
      </c>
      <c r="C27578" s="30" t="s">
        <v>190</v>
      </c>
      <c r="D27578" s="30" t="s">
        <v>17</v>
      </c>
      <c r="E27578" s="30" t="s">
        <v>18</v>
      </c>
      <c r="F27578" s="30" t="s">
        <v>19</v>
      </c>
      <c r="G27578" s="30" t="s">
        <v>140</v>
      </c>
      <c r="H27578" s="32">
        <v>4500</v>
      </c>
      <c r="I27578" s="30" t="s">
        <v>51</v>
      </c>
      <c r="J27578" s="41">
        <v>46202</v>
      </c>
      <c r="K27578" s="30" t="s">
        <v>22</v>
      </c>
    </row>
    <row r="27579" spans="1:11">
      <c r="A27579" s="33" t="s">
        <v>60517</v>
      </c>
      <c r="B27579" s="33" t="s">
        <v>60518</v>
      </c>
      <c r="C27579" s="33" t="s">
        <v>60519</v>
      </c>
      <c r="D27579" s="33" t="s">
        <v>17</v>
      </c>
      <c r="E27579" s="33" t="s">
        <v>26</v>
      </c>
      <c r="F27579" s="33" t="s">
        <v>27</v>
      </c>
      <c r="G27579" s="33" t="s">
        <v>140</v>
      </c>
      <c r="H27579" s="35">
        <v>30</v>
      </c>
      <c r="I27579" s="33" t="s">
        <v>51</v>
      </c>
      <c r="J27579" s="42">
        <v>46197</v>
      </c>
      <c r="K27579" s="33" t="s">
        <v>22</v>
      </c>
    </row>
    <row r="27580" spans="1:11">
      <c r="A27580" s="30" t="s">
        <v>60520</v>
      </c>
      <c r="B27580" s="30" t="s">
        <v>60521</v>
      </c>
      <c r="C27580" s="30" t="s">
        <v>736</v>
      </c>
      <c r="D27580" s="30" t="s">
        <v>17</v>
      </c>
      <c r="E27580" s="30" t="s">
        <v>31</v>
      </c>
      <c r="F27580" s="30" t="s">
        <v>32</v>
      </c>
      <c r="G27580" s="30" t="s">
        <v>2613</v>
      </c>
      <c r="H27580" s="32">
        <v>372</v>
      </c>
      <c r="I27580" s="30" t="s">
        <v>51</v>
      </c>
      <c r="J27580" s="41">
        <v>46048</v>
      </c>
      <c r="K27580" s="30" t="s">
        <v>22</v>
      </c>
    </row>
    <row r="27581" spans="1:11">
      <c r="A27581" s="33" t="s">
        <v>60522</v>
      </c>
      <c r="B27581" s="33" t="s">
        <v>60523</v>
      </c>
      <c r="C27581" s="33" t="s">
        <v>57589</v>
      </c>
      <c r="D27581" s="33" t="s">
        <v>17</v>
      </c>
      <c r="E27581" s="33" t="s">
        <v>26</v>
      </c>
      <c r="F27581" s="33" t="s">
        <v>27</v>
      </c>
      <c r="G27581" s="33" t="s">
        <v>140</v>
      </c>
      <c r="H27581" s="35">
        <v>30</v>
      </c>
      <c r="I27581" s="33" t="s">
        <v>51</v>
      </c>
      <c r="J27581" s="42">
        <v>46104</v>
      </c>
      <c r="K27581" s="33" t="s">
        <v>22</v>
      </c>
    </row>
    <row r="27582" spans="1:11">
      <c r="A27582" s="30" t="s">
        <v>60524</v>
      </c>
      <c r="B27582" s="30" t="s">
        <v>60525</v>
      </c>
      <c r="C27582" s="30" t="s">
        <v>26737</v>
      </c>
      <c r="D27582" s="30" t="s">
        <v>17</v>
      </c>
      <c r="E27582" s="30" t="s">
        <v>26</v>
      </c>
      <c r="F27582" s="30" t="s">
        <v>27</v>
      </c>
      <c r="G27582" s="30" t="s">
        <v>140</v>
      </c>
      <c r="H27582" s="32">
        <v>180</v>
      </c>
      <c r="I27582" s="30" t="s">
        <v>51</v>
      </c>
      <c r="J27582" s="41">
        <v>46226</v>
      </c>
      <c r="K27582" s="30" t="s">
        <v>22</v>
      </c>
    </row>
    <row r="27583" spans="1:11">
      <c r="A27583" s="33" t="s">
        <v>60526</v>
      </c>
      <c r="B27583" s="33" t="s">
        <v>60527</v>
      </c>
      <c r="C27583" s="33" t="s">
        <v>17076</v>
      </c>
      <c r="D27583" s="33" t="s">
        <v>17</v>
      </c>
      <c r="E27583" s="33" t="s">
        <v>18</v>
      </c>
      <c r="F27583" s="33" t="s">
        <v>19</v>
      </c>
      <c r="G27583" s="33" t="s">
        <v>140</v>
      </c>
      <c r="H27583" s="35">
        <v>60</v>
      </c>
      <c r="I27583" s="33" t="s">
        <v>51</v>
      </c>
      <c r="J27583" s="42">
        <v>46185</v>
      </c>
      <c r="K27583" s="33" t="s">
        <v>22</v>
      </c>
    </row>
    <row r="27584" spans="1:11">
      <c r="A27584" s="30" t="s">
        <v>60528</v>
      </c>
      <c r="B27584" s="30" t="s">
        <v>60529</v>
      </c>
      <c r="C27584" s="30" t="s">
        <v>60530</v>
      </c>
      <c r="D27584" s="30" t="s">
        <v>17</v>
      </c>
      <c r="E27584" s="30" t="s">
        <v>26</v>
      </c>
      <c r="F27584" s="30" t="s">
        <v>27</v>
      </c>
      <c r="G27584" s="30" t="s">
        <v>7780</v>
      </c>
      <c r="H27584" s="32">
        <v>12</v>
      </c>
      <c r="I27584" s="30" t="s">
        <v>51</v>
      </c>
      <c r="J27584" s="41">
        <v>46121</v>
      </c>
      <c r="K27584" s="30" t="s">
        <v>22</v>
      </c>
    </row>
    <row r="27585" spans="1:11">
      <c r="A27585" s="33" t="s">
        <v>60531</v>
      </c>
      <c r="B27585" s="33" t="s">
        <v>60532</v>
      </c>
      <c r="C27585" s="33" t="s">
        <v>60533</v>
      </c>
      <c r="D27585" s="33" t="s">
        <v>17</v>
      </c>
      <c r="E27585" s="33" t="s">
        <v>31</v>
      </c>
      <c r="F27585" s="33" t="s">
        <v>32</v>
      </c>
      <c r="G27585" s="33" t="s">
        <v>140</v>
      </c>
      <c r="H27585" s="35">
        <v>24</v>
      </c>
      <c r="I27585" s="33" t="s">
        <v>51</v>
      </c>
      <c r="J27585" s="42">
        <v>46155</v>
      </c>
      <c r="K27585" s="33" t="s">
        <v>22</v>
      </c>
    </row>
    <row r="27586" spans="1:11">
      <c r="A27586" s="30" t="s">
        <v>60534</v>
      </c>
      <c r="B27586" s="30" t="s">
        <v>60535</v>
      </c>
      <c r="C27586" s="30" t="s">
        <v>44</v>
      </c>
      <c r="D27586" s="30" t="s">
        <v>17</v>
      </c>
      <c r="E27586" s="30" t="s">
        <v>26</v>
      </c>
      <c r="F27586" s="30" t="s">
        <v>27</v>
      </c>
      <c r="G27586" s="30" t="s">
        <v>140</v>
      </c>
      <c r="H27586" s="32">
        <v>90</v>
      </c>
      <c r="I27586" s="30" t="s">
        <v>51</v>
      </c>
      <c r="J27586" s="41">
        <v>46202</v>
      </c>
      <c r="K27586" s="30" t="s">
        <v>22</v>
      </c>
    </row>
    <row r="27587" spans="1:11">
      <c r="A27587" s="33" t="s">
        <v>60536</v>
      </c>
      <c r="B27587" s="33" t="s">
        <v>60537</v>
      </c>
      <c r="C27587" s="33" t="s">
        <v>60538</v>
      </c>
      <c r="D27587" s="33" t="s">
        <v>17</v>
      </c>
      <c r="E27587" s="33" t="s">
        <v>330</v>
      </c>
      <c r="F27587" s="33" t="s">
        <v>331</v>
      </c>
      <c r="G27587" s="33" t="s">
        <v>7780</v>
      </c>
      <c r="H27587" s="35">
        <v>72</v>
      </c>
      <c r="I27587" s="33" t="s">
        <v>51</v>
      </c>
      <c r="J27587" s="42">
        <v>46113</v>
      </c>
      <c r="K27587" s="33" t="s">
        <v>22</v>
      </c>
    </row>
    <row r="27588" spans="1:11">
      <c r="A27588" s="30" t="s">
        <v>60539</v>
      </c>
      <c r="B27588" s="30" t="s">
        <v>60540</v>
      </c>
      <c r="C27588" s="30" t="s">
        <v>891</v>
      </c>
      <c r="D27588" s="30" t="s">
        <v>17</v>
      </c>
      <c r="E27588" s="30" t="s">
        <v>31</v>
      </c>
      <c r="F27588" s="30" t="s">
        <v>32</v>
      </c>
      <c r="G27588" s="30" t="s">
        <v>7780</v>
      </c>
      <c r="H27588" s="32">
        <v>52</v>
      </c>
      <c r="I27588" s="30" t="s">
        <v>51</v>
      </c>
      <c r="J27588" s="41">
        <v>46052</v>
      </c>
      <c r="K27588" s="30" t="s">
        <v>22</v>
      </c>
    </row>
    <row r="27589" spans="1:11">
      <c r="A27589" s="33" t="s">
        <v>60541</v>
      </c>
      <c r="B27589" s="33" t="s">
        <v>60542</v>
      </c>
      <c r="C27589" s="33" t="s">
        <v>22193</v>
      </c>
      <c r="D27589" s="33" t="s">
        <v>17</v>
      </c>
      <c r="E27589" s="33" t="s">
        <v>26</v>
      </c>
      <c r="F27589" s="33" t="s">
        <v>27</v>
      </c>
      <c r="G27589" s="33" t="s">
        <v>140</v>
      </c>
      <c r="H27589" s="35">
        <v>27</v>
      </c>
      <c r="I27589" s="33" t="s">
        <v>51</v>
      </c>
      <c r="J27589" s="42">
        <v>46090</v>
      </c>
      <c r="K27589" s="33" t="s">
        <v>22</v>
      </c>
    </row>
    <row r="27590" spans="1:11">
      <c r="A27590" s="30" t="s">
        <v>60543</v>
      </c>
      <c r="B27590" s="30" t="s">
        <v>60544</v>
      </c>
      <c r="C27590" s="30" t="s">
        <v>22067</v>
      </c>
      <c r="D27590" s="30" t="s">
        <v>17</v>
      </c>
      <c r="E27590" s="30" t="s">
        <v>18</v>
      </c>
      <c r="F27590" s="30" t="s">
        <v>19</v>
      </c>
      <c r="G27590" s="30" t="s">
        <v>140</v>
      </c>
      <c r="H27590" s="32">
        <v>600</v>
      </c>
      <c r="I27590" s="30" t="s">
        <v>51</v>
      </c>
      <c r="J27590" s="41">
        <v>46204</v>
      </c>
      <c r="K27590" s="30" t="s">
        <v>22</v>
      </c>
    </row>
    <row r="27591" spans="1:11">
      <c r="A27591" s="33" t="s">
        <v>60545</v>
      </c>
      <c r="B27591" s="33" t="s">
        <v>60546</v>
      </c>
      <c r="C27591" s="33" t="s">
        <v>1090</v>
      </c>
      <c r="D27591" s="33" t="s">
        <v>17</v>
      </c>
      <c r="E27591" s="33" t="s">
        <v>26</v>
      </c>
      <c r="F27591" s="33" t="s">
        <v>27</v>
      </c>
      <c r="G27591" s="33" t="s">
        <v>7780</v>
      </c>
      <c r="H27591" s="35">
        <v>44</v>
      </c>
      <c r="I27591" s="33" t="s">
        <v>51</v>
      </c>
      <c r="J27591" s="42">
        <v>46126</v>
      </c>
      <c r="K27591" s="33" t="s">
        <v>22</v>
      </c>
    </row>
    <row r="27592" spans="1:11">
      <c r="A27592" s="30" t="s">
        <v>60547</v>
      </c>
      <c r="B27592" s="30" t="s">
        <v>60548</v>
      </c>
      <c r="C27592" s="30" t="s">
        <v>60549</v>
      </c>
      <c r="D27592" s="30" t="s">
        <v>17</v>
      </c>
      <c r="E27592" s="30" t="s">
        <v>67</v>
      </c>
      <c r="F27592" s="30" t="s">
        <v>68</v>
      </c>
      <c r="G27592" s="30" t="s">
        <v>158</v>
      </c>
      <c r="H27592" s="32">
        <v>32</v>
      </c>
      <c r="I27592" s="30" t="s">
        <v>21</v>
      </c>
      <c r="J27592" s="41">
        <v>46091</v>
      </c>
      <c r="K27592" s="30" t="s">
        <v>22</v>
      </c>
    </row>
    <row r="27593" spans="1:11">
      <c r="A27593" s="33" t="s">
        <v>60550</v>
      </c>
      <c r="B27593" s="33" t="s">
        <v>60551</v>
      </c>
      <c r="C27593" s="33" t="s">
        <v>310</v>
      </c>
      <c r="D27593" s="33" t="s">
        <v>17</v>
      </c>
      <c r="E27593" s="33" t="s">
        <v>18</v>
      </c>
      <c r="F27593" s="33" t="s">
        <v>19</v>
      </c>
      <c r="G27593" s="33" t="s">
        <v>140</v>
      </c>
      <c r="H27593" s="35">
        <v>2500</v>
      </c>
      <c r="I27593" s="33" t="s">
        <v>51</v>
      </c>
      <c r="J27593" s="42">
        <v>46163</v>
      </c>
      <c r="K27593" s="33" t="s">
        <v>22</v>
      </c>
    </row>
    <row r="27594" spans="1:11">
      <c r="A27594" s="30" t="s">
        <v>60552</v>
      </c>
      <c r="B27594" s="30" t="s">
        <v>60553</v>
      </c>
      <c r="C27594" s="30" t="s">
        <v>14483</v>
      </c>
      <c r="D27594" s="30" t="s">
        <v>17</v>
      </c>
      <c r="E27594" s="30" t="s">
        <v>26</v>
      </c>
      <c r="F27594" s="30" t="s">
        <v>27</v>
      </c>
      <c r="G27594" s="30" t="s">
        <v>7780</v>
      </c>
      <c r="H27594" s="32">
        <v>30</v>
      </c>
      <c r="I27594" s="30" t="s">
        <v>51</v>
      </c>
      <c r="J27594" s="41">
        <v>46188</v>
      </c>
      <c r="K27594" s="30" t="s">
        <v>22</v>
      </c>
    </row>
    <row r="27595" spans="1:11">
      <c r="A27595" s="33" t="s">
        <v>60554</v>
      </c>
      <c r="B27595" s="33" t="s">
        <v>60555</v>
      </c>
      <c r="C27595" s="33" t="s">
        <v>96</v>
      </c>
      <c r="D27595" s="33" t="s">
        <v>17</v>
      </c>
      <c r="E27595" s="33" t="s">
        <v>26</v>
      </c>
      <c r="F27595" s="33" t="s">
        <v>27</v>
      </c>
      <c r="G27595" s="33" t="s">
        <v>7780</v>
      </c>
      <c r="H27595" s="35">
        <v>100</v>
      </c>
      <c r="I27595" s="33" t="s">
        <v>51</v>
      </c>
      <c r="J27595" s="42">
        <v>46125</v>
      </c>
      <c r="K27595" s="33" t="s">
        <v>22</v>
      </c>
    </row>
    <row r="27596" spans="1:11">
      <c r="A27596" s="30" t="s">
        <v>60556</v>
      </c>
      <c r="B27596" s="30" t="s">
        <v>60557</v>
      </c>
      <c r="C27596" s="30" t="s">
        <v>60558</v>
      </c>
      <c r="D27596" s="30" t="s">
        <v>17</v>
      </c>
      <c r="E27596" s="30" t="s">
        <v>212</v>
      </c>
      <c r="F27596" s="30" t="s">
        <v>213</v>
      </c>
      <c r="G27596" s="30" t="s">
        <v>7780</v>
      </c>
      <c r="H27596" s="32">
        <v>24</v>
      </c>
      <c r="I27596" s="30" t="s">
        <v>51</v>
      </c>
      <c r="J27596" s="41">
        <v>46204</v>
      </c>
      <c r="K27596" s="30" t="s">
        <v>22</v>
      </c>
    </row>
    <row r="27597" spans="1:11">
      <c r="A27597" s="33" t="s">
        <v>60559</v>
      </c>
      <c r="B27597" s="33" t="s">
        <v>60560</v>
      </c>
      <c r="C27597" s="33" t="s">
        <v>22464</v>
      </c>
      <c r="D27597" s="33" t="s">
        <v>17</v>
      </c>
      <c r="E27597" s="33" t="s">
        <v>67</v>
      </c>
      <c r="F27597" s="33" t="s">
        <v>68</v>
      </c>
      <c r="G27597" s="33" t="s">
        <v>140</v>
      </c>
      <c r="H27597" s="35">
        <v>92</v>
      </c>
      <c r="I27597" s="33" t="s">
        <v>51</v>
      </c>
      <c r="J27597" s="42">
        <v>46048</v>
      </c>
      <c r="K27597" s="33" t="s">
        <v>22</v>
      </c>
    </row>
    <row r="27598" spans="1:11">
      <c r="A27598" s="30" t="s">
        <v>60561</v>
      </c>
      <c r="B27598" s="30" t="s">
        <v>60562</v>
      </c>
      <c r="C27598" s="30" t="s">
        <v>124</v>
      </c>
      <c r="D27598" s="30" t="s">
        <v>17</v>
      </c>
      <c r="E27598" s="30" t="s">
        <v>31</v>
      </c>
      <c r="F27598" s="30" t="s">
        <v>32</v>
      </c>
      <c r="G27598" s="30" t="s">
        <v>7780</v>
      </c>
      <c r="H27598" s="32">
        <v>300</v>
      </c>
      <c r="I27598" s="30" t="s">
        <v>51</v>
      </c>
      <c r="J27598" s="41">
        <v>46082</v>
      </c>
      <c r="K27598" s="30" t="s">
        <v>22</v>
      </c>
    </row>
    <row r="27599" spans="1:11">
      <c r="A27599" s="33" t="s">
        <v>60563</v>
      </c>
      <c r="B27599" s="33" t="s">
        <v>60564</v>
      </c>
      <c r="C27599" s="33" t="s">
        <v>56702</v>
      </c>
      <c r="D27599" s="33" t="s">
        <v>17</v>
      </c>
      <c r="E27599" s="33" t="s">
        <v>26</v>
      </c>
      <c r="F27599" s="33" t="s">
        <v>27</v>
      </c>
      <c r="G27599" s="33" t="s">
        <v>7780</v>
      </c>
      <c r="H27599" s="35">
        <v>28</v>
      </c>
      <c r="I27599" s="33" t="s">
        <v>51</v>
      </c>
      <c r="J27599" s="42">
        <v>46169</v>
      </c>
      <c r="K27599" s="33" t="s">
        <v>22</v>
      </c>
    </row>
    <row r="27600" spans="1:11">
      <c r="A27600" s="30" t="s">
        <v>60565</v>
      </c>
      <c r="B27600" s="30" t="s">
        <v>60566</v>
      </c>
      <c r="C27600" s="30" t="s">
        <v>231</v>
      </c>
      <c r="D27600" s="30" t="s">
        <v>17</v>
      </c>
      <c r="E27600" s="30" t="s">
        <v>26</v>
      </c>
      <c r="F27600" s="30" t="s">
        <v>27</v>
      </c>
      <c r="G27600" s="30" t="s">
        <v>140</v>
      </c>
      <c r="H27600" s="32">
        <v>10</v>
      </c>
      <c r="I27600" s="30" t="s">
        <v>51</v>
      </c>
      <c r="J27600" s="41">
        <v>46219</v>
      </c>
      <c r="K27600" s="30" t="s">
        <v>22</v>
      </c>
    </row>
    <row r="27601" spans="1:11">
      <c r="A27601" s="33" t="s">
        <v>60567</v>
      </c>
      <c r="B27601" s="33" t="s">
        <v>60568</v>
      </c>
      <c r="C27601" s="33" t="s">
        <v>36080</v>
      </c>
      <c r="D27601" s="33" t="s">
        <v>17</v>
      </c>
      <c r="E27601" s="33" t="s">
        <v>18</v>
      </c>
      <c r="F27601" s="33" t="s">
        <v>19</v>
      </c>
      <c r="G27601" s="33" t="s">
        <v>140</v>
      </c>
      <c r="H27601" s="35">
        <v>300</v>
      </c>
      <c r="I27601" s="33" t="s">
        <v>51</v>
      </c>
      <c r="J27601" s="42">
        <v>46114</v>
      </c>
      <c r="K27601" s="33" t="s">
        <v>22</v>
      </c>
    </row>
    <row r="27602" spans="1:11">
      <c r="A27602" s="30" t="s">
        <v>60569</v>
      </c>
      <c r="B27602" s="30" t="s">
        <v>60570</v>
      </c>
      <c r="C27602" s="30" t="s">
        <v>52738</v>
      </c>
      <c r="D27602" s="30" t="s">
        <v>17</v>
      </c>
      <c r="E27602" s="30" t="s">
        <v>18</v>
      </c>
      <c r="F27602" s="30" t="s">
        <v>19</v>
      </c>
      <c r="G27602" s="30" t="s">
        <v>140</v>
      </c>
      <c r="H27602" s="32">
        <v>312</v>
      </c>
      <c r="I27602" s="30" t="s">
        <v>51</v>
      </c>
      <c r="J27602" s="41">
        <v>46051</v>
      </c>
      <c r="K27602" s="30" t="s">
        <v>22</v>
      </c>
    </row>
    <row r="27603" spans="1:11">
      <c r="A27603" s="33" t="s">
        <v>60571</v>
      </c>
      <c r="B27603" s="33" t="s">
        <v>60572</v>
      </c>
      <c r="C27603" s="33" t="s">
        <v>93</v>
      </c>
      <c r="D27603" s="33" t="s">
        <v>17</v>
      </c>
      <c r="E27603" s="33" t="s">
        <v>26</v>
      </c>
      <c r="F27603" s="33" t="s">
        <v>27</v>
      </c>
      <c r="G27603" s="33" t="s">
        <v>140</v>
      </c>
      <c r="H27603" s="35">
        <v>12</v>
      </c>
      <c r="I27603" s="33" t="s">
        <v>51</v>
      </c>
      <c r="J27603" s="42">
        <v>46147</v>
      </c>
      <c r="K27603" s="33" t="s">
        <v>22</v>
      </c>
    </row>
    <row r="27604" spans="1:11">
      <c r="A27604" s="30" t="s">
        <v>60573</v>
      </c>
      <c r="B27604" s="30" t="s">
        <v>60574</v>
      </c>
      <c r="C27604" s="30" t="s">
        <v>698</v>
      </c>
      <c r="D27604" s="30" t="s">
        <v>17</v>
      </c>
      <c r="E27604" s="30" t="s">
        <v>18</v>
      </c>
      <c r="F27604" s="30" t="s">
        <v>19</v>
      </c>
      <c r="G27604" s="30" t="s">
        <v>140</v>
      </c>
      <c r="H27604" s="32">
        <v>1800</v>
      </c>
      <c r="I27604" s="30" t="s">
        <v>51</v>
      </c>
      <c r="J27604" s="41">
        <v>46087</v>
      </c>
      <c r="K27604" s="30" t="s">
        <v>22</v>
      </c>
    </row>
    <row r="27605" spans="1:11">
      <c r="A27605" s="33" t="s">
        <v>60575</v>
      </c>
      <c r="B27605" s="33" t="s">
        <v>60576</v>
      </c>
      <c r="C27605" s="33" t="s">
        <v>2852</v>
      </c>
      <c r="D27605" s="33" t="s">
        <v>17</v>
      </c>
      <c r="E27605" s="33" t="s">
        <v>26</v>
      </c>
      <c r="F27605" s="33" t="s">
        <v>27</v>
      </c>
      <c r="G27605" s="33" t="s">
        <v>140</v>
      </c>
      <c r="H27605" s="35">
        <v>8</v>
      </c>
      <c r="I27605" s="33" t="s">
        <v>51</v>
      </c>
      <c r="J27605" s="42">
        <v>46171</v>
      </c>
      <c r="K27605" s="33" t="s">
        <v>22</v>
      </c>
    </row>
    <row r="27606" spans="1:11">
      <c r="A27606" s="30" t="s">
        <v>60577</v>
      </c>
      <c r="B27606" s="30" t="s">
        <v>60578</v>
      </c>
      <c r="C27606" s="30" t="s">
        <v>60579</v>
      </c>
      <c r="D27606" s="30" t="s">
        <v>17</v>
      </c>
      <c r="E27606" s="30" t="s">
        <v>212</v>
      </c>
      <c r="F27606" s="30" t="s">
        <v>213</v>
      </c>
      <c r="G27606" s="30" t="s">
        <v>2613</v>
      </c>
      <c r="H27606" s="32">
        <v>6000</v>
      </c>
      <c r="I27606" s="30" t="s">
        <v>51</v>
      </c>
      <c r="J27606" s="41">
        <v>46122</v>
      </c>
      <c r="K27606" s="30" t="s">
        <v>22</v>
      </c>
    </row>
    <row r="27607" spans="1:11">
      <c r="A27607" s="33" t="s">
        <v>60580</v>
      </c>
      <c r="B27607" s="33" t="s">
        <v>60581</v>
      </c>
      <c r="C27607" s="33" t="s">
        <v>50450</v>
      </c>
      <c r="D27607" s="33" t="s">
        <v>17</v>
      </c>
      <c r="E27607" s="33" t="s">
        <v>31</v>
      </c>
      <c r="F27607" s="33" t="s">
        <v>32</v>
      </c>
      <c r="G27607" s="33" t="s">
        <v>140</v>
      </c>
      <c r="H27607" s="35">
        <v>140</v>
      </c>
      <c r="I27607" s="33" t="s">
        <v>51</v>
      </c>
      <c r="J27607" s="42">
        <v>46196</v>
      </c>
      <c r="K27607" s="33" t="s">
        <v>22</v>
      </c>
    </row>
    <row r="27608" spans="1:11">
      <c r="A27608" s="30" t="s">
        <v>60582</v>
      </c>
      <c r="B27608" s="30" t="s">
        <v>60583</v>
      </c>
      <c r="C27608" s="30" t="s">
        <v>1826</v>
      </c>
      <c r="D27608" s="30" t="s">
        <v>17</v>
      </c>
      <c r="E27608" s="30" t="s">
        <v>31</v>
      </c>
      <c r="F27608" s="30" t="s">
        <v>32</v>
      </c>
      <c r="G27608" s="30" t="s">
        <v>140</v>
      </c>
      <c r="H27608" s="32">
        <v>230</v>
      </c>
      <c r="I27608" s="30" t="s">
        <v>51</v>
      </c>
      <c r="J27608" s="41">
        <v>46041</v>
      </c>
      <c r="K27608" s="30" t="s">
        <v>22</v>
      </c>
    </row>
    <row r="27609" spans="1:11">
      <c r="A27609" s="33" t="s">
        <v>60584</v>
      </c>
      <c r="B27609" s="33" t="s">
        <v>60585</v>
      </c>
      <c r="C27609" s="33" t="s">
        <v>60586</v>
      </c>
      <c r="D27609" s="33" t="s">
        <v>17</v>
      </c>
      <c r="E27609" s="33" t="s">
        <v>26</v>
      </c>
      <c r="F27609" s="33" t="s">
        <v>27</v>
      </c>
      <c r="G27609" s="33" t="s">
        <v>140</v>
      </c>
      <c r="H27609" s="35">
        <v>24</v>
      </c>
      <c r="I27609" s="33" t="s">
        <v>51</v>
      </c>
      <c r="J27609" s="42">
        <v>46023</v>
      </c>
      <c r="K27609" s="33" t="s">
        <v>22</v>
      </c>
    </row>
    <row r="27610" spans="1:11">
      <c r="A27610" s="30" t="s">
        <v>60587</v>
      </c>
      <c r="B27610" s="30" t="s">
        <v>60588</v>
      </c>
      <c r="C27610" s="30" t="s">
        <v>75</v>
      </c>
      <c r="D27610" s="30" t="s">
        <v>17</v>
      </c>
      <c r="E27610" s="30" t="s">
        <v>26</v>
      </c>
      <c r="F27610" s="30" t="s">
        <v>27</v>
      </c>
      <c r="G27610" s="30" t="s">
        <v>140</v>
      </c>
      <c r="H27610" s="32">
        <v>12</v>
      </c>
      <c r="I27610" s="30" t="s">
        <v>51</v>
      </c>
      <c r="J27610" s="41">
        <v>46198</v>
      </c>
      <c r="K27610" s="30" t="s">
        <v>22</v>
      </c>
    </row>
    <row r="27611" spans="1:11">
      <c r="A27611" s="33" t="s">
        <v>60589</v>
      </c>
      <c r="B27611" s="33" t="s">
        <v>60590</v>
      </c>
      <c r="C27611" s="33" t="s">
        <v>663</v>
      </c>
      <c r="D27611" s="33" t="s">
        <v>17</v>
      </c>
      <c r="E27611" s="33" t="s">
        <v>31</v>
      </c>
      <c r="F27611" s="33" t="s">
        <v>32</v>
      </c>
      <c r="G27611" s="33" t="s">
        <v>140</v>
      </c>
      <c r="H27611" s="35">
        <v>104</v>
      </c>
      <c r="I27611" s="33" t="s">
        <v>51</v>
      </c>
      <c r="J27611" s="42">
        <v>46100</v>
      </c>
      <c r="K27611" s="33" t="s">
        <v>22</v>
      </c>
    </row>
    <row r="27612" spans="1:11">
      <c r="A27612" s="30" t="s">
        <v>60591</v>
      </c>
      <c r="B27612" s="30" t="s">
        <v>60592</v>
      </c>
      <c r="C27612" s="30" t="s">
        <v>39233</v>
      </c>
      <c r="D27612" s="30" t="s">
        <v>17</v>
      </c>
      <c r="E27612" s="30" t="s">
        <v>31</v>
      </c>
      <c r="F27612" s="30" t="s">
        <v>32</v>
      </c>
      <c r="G27612" s="30" t="s">
        <v>7780</v>
      </c>
      <c r="H27612" s="32">
        <v>800</v>
      </c>
      <c r="I27612" s="30" t="s">
        <v>51</v>
      </c>
      <c r="J27612" s="41">
        <v>46032</v>
      </c>
      <c r="K27612" s="30" t="s">
        <v>22</v>
      </c>
    </row>
    <row r="27613" spans="1:11">
      <c r="A27613" s="33" t="s">
        <v>60593</v>
      </c>
      <c r="B27613" s="33" t="s">
        <v>60594</v>
      </c>
      <c r="C27613" s="33" t="s">
        <v>801</v>
      </c>
      <c r="D27613" s="33" t="s">
        <v>17</v>
      </c>
      <c r="E27613" s="33" t="s">
        <v>31</v>
      </c>
      <c r="F27613" s="33" t="s">
        <v>32</v>
      </c>
      <c r="G27613" s="33" t="s">
        <v>140</v>
      </c>
      <c r="H27613" s="35">
        <v>60</v>
      </c>
      <c r="I27613" s="33" t="s">
        <v>51</v>
      </c>
      <c r="J27613" s="42">
        <v>46233</v>
      </c>
      <c r="K27613" s="33" t="s">
        <v>22</v>
      </c>
    </row>
    <row r="27614" spans="1:11">
      <c r="A27614" s="30" t="s">
        <v>60595</v>
      </c>
      <c r="B27614" s="30" t="s">
        <v>60596</v>
      </c>
      <c r="C27614" s="30" t="s">
        <v>644</v>
      </c>
      <c r="D27614" s="30" t="s">
        <v>17</v>
      </c>
      <c r="E27614" s="30" t="s">
        <v>18</v>
      </c>
      <c r="F27614" s="30" t="s">
        <v>19</v>
      </c>
      <c r="G27614" s="30" t="s">
        <v>140</v>
      </c>
      <c r="H27614" s="32">
        <v>555</v>
      </c>
      <c r="I27614" s="30" t="s">
        <v>51</v>
      </c>
      <c r="J27614" s="41">
        <v>46023</v>
      </c>
      <c r="K27614" s="30" t="s">
        <v>22</v>
      </c>
    </row>
    <row r="27615" spans="1:11">
      <c r="A27615" s="33" t="s">
        <v>60597</v>
      </c>
      <c r="B27615" s="33" t="s">
        <v>60598</v>
      </c>
      <c r="C27615" s="33" t="s">
        <v>25672</v>
      </c>
      <c r="D27615" s="33" t="s">
        <v>17</v>
      </c>
      <c r="E27615" s="33" t="s">
        <v>26</v>
      </c>
      <c r="F27615" s="33" t="s">
        <v>27</v>
      </c>
      <c r="G27615" s="33" t="s">
        <v>140</v>
      </c>
      <c r="H27615" s="35">
        <v>70</v>
      </c>
      <c r="I27615" s="33" t="s">
        <v>51</v>
      </c>
      <c r="J27615" s="42">
        <v>46036</v>
      </c>
      <c r="K27615" s="33" t="s">
        <v>22</v>
      </c>
    </row>
    <row r="27616" spans="1:11">
      <c r="A27616" s="30" t="s">
        <v>60599</v>
      </c>
      <c r="B27616" s="30" t="s">
        <v>60600</v>
      </c>
      <c r="C27616" s="30" t="s">
        <v>60601</v>
      </c>
      <c r="D27616" s="30" t="s">
        <v>17</v>
      </c>
      <c r="E27616" s="30" t="s">
        <v>67</v>
      </c>
      <c r="F27616" s="30" t="s">
        <v>68</v>
      </c>
      <c r="G27616" s="30" t="s">
        <v>7780</v>
      </c>
      <c r="H27616" s="32">
        <v>40</v>
      </c>
      <c r="I27616" s="30" t="s">
        <v>51</v>
      </c>
      <c r="J27616" s="41">
        <v>46054</v>
      </c>
      <c r="K27616" s="30" t="s">
        <v>22</v>
      </c>
    </row>
    <row r="27617" spans="1:11">
      <c r="A27617" s="33" t="s">
        <v>60602</v>
      </c>
      <c r="B27617" s="33" t="s">
        <v>60603</v>
      </c>
      <c r="C27617" s="33" t="s">
        <v>25186</v>
      </c>
      <c r="D27617" s="33" t="s">
        <v>17</v>
      </c>
      <c r="E27617" s="33" t="s">
        <v>26</v>
      </c>
      <c r="F27617" s="33" t="s">
        <v>27</v>
      </c>
      <c r="G27617" s="33" t="s">
        <v>140</v>
      </c>
      <c r="H27617" s="35">
        <v>15</v>
      </c>
      <c r="I27617" s="33" t="s">
        <v>51</v>
      </c>
      <c r="J27617" s="42">
        <v>46098</v>
      </c>
      <c r="K27617" s="33" t="s">
        <v>22</v>
      </c>
    </row>
    <row r="27618" spans="1:11">
      <c r="A27618" s="30" t="s">
        <v>60604</v>
      </c>
      <c r="B27618" s="30" t="s">
        <v>60605</v>
      </c>
      <c r="C27618" s="30" t="s">
        <v>15335</v>
      </c>
      <c r="D27618" s="30" t="s">
        <v>17</v>
      </c>
      <c r="E27618" s="30" t="s">
        <v>18</v>
      </c>
      <c r="F27618" s="30" t="s">
        <v>19</v>
      </c>
      <c r="G27618" s="30" t="s">
        <v>140</v>
      </c>
      <c r="H27618" s="32">
        <v>210</v>
      </c>
      <c r="I27618" s="30" t="s">
        <v>51</v>
      </c>
      <c r="J27618" s="41">
        <v>46181</v>
      </c>
      <c r="K27618" s="30" t="s">
        <v>22</v>
      </c>
    </row>
    <row r="27619" spans="1:11">
      <c r="A27619" s="33" t="s">
        <v>60606</v>
      </c>
      <c r="B27619" s="33" t="s">
        <v>60607</v>
      </c>
      <c r="C27619" s="33" t="s">
        <v>33065</v>
      </c>
      <c r="D27619" s="33" t="s">
        <v>17</v>
      </c>
      <c r="E27619" s="33" t="s">
        <v>26</v>
      </c>
      <c r="F27619" s="33" t="s">
        <v>27</v>
      </c>
      <c r="G27619" s="33" t="s">
        <v>7780</v>
      </c>
      <c r="H27619" s="35">
        <v>24</v>
      </c>
      <c r="I27619" s="33" t="s">
        <v>51</v>
      </c>
      <c r="J27619" s="42">
        <v>46082</v>
      </c>
      <c r="K27619" s="33" t="s">
        <v>22</v>
      </c>
    </row>
    <row r="27620" spans="1:11">
      <c r="A27620" s="30" t="s">
        <v>60608</v>
      </c>
      <c r="B27620" s="30" t="s">
        <v>60609</v>
      </c>
      <c r="C27620" s="30" t="s">
        <v>60610</v>
      </c>
      <c r="D27620" s="30" t="s">
        <v>17</v>
      </c>
      <c r="E27620" s="30" t="s">
        <v>45</v>
      </c>
      <c r="F27620" s="30" t="s">
        <v>46</v>
      </c>
      <c r="G27620" s="30" t="s">
        <v>7780</v>
      </c>
      <c r="H27620" s="32">
        <v>60</v>
      </c>
      <c r="I27620" s="30" t="s">
        <v>51</v>
      </c>
      <c r="J27620" s="41">
        <v>46203</v>
      </c>
      <c r="K27620" s="30" t="s">
        <v>22</v>
      </c>
    </row>
    <row r="27621" spans="1:11">
      <c r="A27621" s="33" t="s">
        <v>60611</v>
      </c>
      <c r="B27621" s="33" t="s">
        <v>60612</v>
      </c>
      <c r="C27621" s="33" t="s">
        <v>50669</v>
      </c>
      <c r="D27621" s="33" t="s">
        <v>17</v>
      </c>
      <c r="E27621" s="33" t="s">
        <v>45</v>
      </c>
      <c r="F27621" s="33" t="s">
        <v>46</v>
      </c>
      <c r="G27621" s="33" t="s">
        <v>7780</v>
      </c>
      <c r="H27621" s="35">
        <v>720</v>
      </c>
      <c r="I27621" s="33" t="s">
        <v>51</v>
      </c>
      <c r="J27621" s="42">
        <v>46188</v>
      </c>
      <c r="K27621" s="33" t="s">
        <v>22</v>
      </c>
    </row>
    <row r="27622" spans="1:11">
      <c r="A27622" s="30" t="s">
        <v>60613</v>
      </c>
      <c r="B27622" s="30" t="s">
        <v>60614</v>
      </c>
      <c r="C27622" s="30" t="s">
        <v>60615</v>
      </c>
      <c r="D27622" s="30" t="s">
        <v>17</v>
      </c>
      <c r="E27622" s="30" t="s">
        <v>67</v>
      </c>
      <c r="F27622" s="30" t="s">
        <v>68</v>
      </c>
      <c r="G27622" s="30" t="s">
        <v>7780</v>
      </c>
      <c r="H27622" s="32">
        <v>66</v>
      </c>
      <c r="I27622" s="30" t="s">
        <v>51</v>
      </c>
      <c r="J27622" s="41">
        <v>46135</v>
      </c>
      <c r="K27622" s="30" t="s">
        <v>22</v>
      </c>
    </row>
    <row r="27623" spans="1:11">
      <c r="A27623" s="33" t="s">
        <v>60616</v>
      </c>
      <c r="B27623" s="33" t="s">
        <v>60617</v>
      </c>
      <c r="C27623" s="33" t="s">
        <v>2313</v>
      </c>
      <c r="D27623" s="33" t="s">
        <v>17</v>
      </c>
      <c r="E27623" s="33" t="s">
        <v>26</v>
      </c>
      <c r="F27623" s="33" t="s">
        <v>27</v>
      </c>
      <c r="G27623" s="33" t="s">
        <v>140</v>
      </c>
      <c r="H27623" s="35">
        <v>40</v>
      </c>
      <c r="I27623" s="33" t="s">
        <v>51</v>
      </c>
      <c r="J27623" s="42">
        <v>46092</v>
      </c>
      <c r="K27623" s="33" t="s">
        <v>22</v>
      </c>
    </row>
    <row r="27624" spans="1:11">
      <c r="A27624" s="30" t="s">
        <v>60618</v>
      </c>
      <c r="B27624" s="30" t="s">
        <v>60619</v>
      </c>
      <c r="C27624" s="30" t="s">
        <v>1270</v>
      </c>
      <c r="D27624" s="30" t="s">
        <v>17</v>
      </c>
      <c r="E27624" s="30" t="s">
        <v>18</v>
      </c>
      <c r="F27624" s="30" t="s">
        <v>19</v>
      </c>
      <c r="G27624" s="30" t="s">
        <v>7780</v>
      </c>
      <c r="H27624" s="32">
        <v>600</v>
      </c>
      <c r="I27624" s="30" t="s">
        <v>51</v>
      </c>
      <c r="J27624" s="41">
        <v>46185</v>
      </c>
      <c r="K27624" s="30" t="s">
        <v>22</v>
      </c>
    </row>
    <row r="27625" spans="1:11">
      <c r="A27625" s="33" t="s">
        <v>60620</v>
      </c>
      <c r="B27625" s="33" t="s">
        <v>60621</v>
      </c>
      <c r="C27625" s="33" t="s">
        <v>60622</v>
      </c>
      <c r="D27625" s="33" t="s">
        <v>17</v>
      </c>
      <c r="E27625" s="33" t="s">
        <v>26</v>
      </c>
      <c r="F27625" s="33" t="s">
        <v>27</v>
      </c>
      <c r="G27625" s="33" t="s">
        <v>140</v>
      </c>
      <c r="H27625" s="35">
        <v>150</v>
      </c>
      <c r="I27625" s="33" t="s">
        <v>51</v>
      </c>
      <c r="J27625" s="42">
        <v>46081</v>
      </c>
      <c r="K27625" s="33" t="s">
        <v>22</v>
      </c>
    </row>
    <row r="27626" spans="1:11">
      <c r="A27626" s="30" t="s">
        <v>60623</v>
      </c>
      <c r="B27626" s="30" t="s">
        <v>60624</v>
      </c>
      <c r="C27626" s="30" t="s">
        <v>1764</v>
      </c>
      <c r="D27626" s="30" t="s">
        <v>17</v>
      </c>
      <c r="E27626" s="30" t="s">
        <v>18</v>
      </c>
      <c r="F27626" s="30" t="s">
        <v>19</v>
      </c>
      <c r="G27626" s="30" t="s">
        <v>158</v>
      </c>
      <c r="H27626" s="32">
        <v>85</v>
      </c>
      <c r="I27626" s="30" t="s">
        <v>21</v>
      </c>
      <c r="J27626" s="41">
        <v>46153</v>
      </c>
      <c r="K27626" s="30" t="s">
        <v>22</v>
      </c>
    </row>
    <row r="27627" spans="1:11">
      <c r="A27627" s="33" t="s">
        <v>60625</v>
      </c>
      <c r="B27627" s="33" t="s">
        <v>60626</v>
      </c>
      <c r="C27627" s="33" t="s">
        <v>29688</v>
      </c>
      <c r="D27627" s="33" t="s">
        <v>17</v>
      </c>
      <c r="E27627" s="33" t="s">
        <v>45</v>
      </c>
      <c r="F27627" s="33" t="s">
        <v>46</v>
      </c>
      <c r="G27627" s="33" t="s">
        <v>140</v>
      </c>
      <c r="H27627" s="35">
        <v>330</v>
      </c>
      <c r="I27627" s="33" t="s">
        <v>51</v>
      </c>
      <c r="J27627" s="42">
        <v>46153</v>
      </c>
      <c r="K27627" s="33" t="s">
        <v>22</v>
      </c>
    </row>
    <row r="27628" spans="1:11">
      <c r="A27628" s="30" t="s">
        <v>60627</v>
      </c>
      <c r="B27628" s="30" t="s">
        <v>60628</v>
      </c>
      <c r="C27628" s="30" t="s">
        <v>136</v>
      </c>
      <c r="D27628" s="30" t="s">
        <v>17</v>
      </c>
      <c r="E27628" s="30" t="s">
        <v>31</v>
      </c>
      <c r="F27628" s="30" t="s">
        <v>32</v>
      </c>
      <c r="G27628" s="30" t="s">
        <v>140</v>
      </c>
      <c r="H27628" s="32">
        <v>60</v>
      </c>
      <c r="I27628" s="30" t="s">
        <v>51</v>
      </c>
      <c r="J27628" s="41">
        <v>46126</v>
      </c>
      <c r="K27628" s="30" t="s">
        <v>22</v>
      </c>
    </row>
    <row r="27629" spans="1:11">
      <c r="A27629" s="33" t="s">
        <v>60629</v>
      </c>
      <c r="B27629" s="33" t="s">
        <v>60630</v>
      </c>
      <c r="C27629" s="33" t="s">
        <v>15917</v>
      </c>
      <c r="D27629" s="33" t="s">
        <v>17</v>
      </c>
      <c r="E27629" s="33" t="s">
        <v>26</v>
      </c>
      <c r="F27629" s="33" t="s">
        <v>27</v>
      </c>
      <c r="G27629" s="33" t="s">
        <v>7780</v>
      </c>
      <c r="H27629" s="35">
        <v>84</v>
      </c>
      <c r="I27629" s="33" t="s">
        <v>51</v>
      </c>
      <c r="J27629" s="42">
        <v>46204</v>
      </c>
      <c r="K27629" s="33" t="s">
        <v>22</v>
      </c>
    </row>
    <row r="27630" spans="1:11">
      <c r="A27630" s="30" t="s">
        <v>60631</v>
      </c>
      <c r="B27630" s="30" t="s">
        <v>60632</v>
      </c>
      <c r="C27630" s="30" t="s">
        <v>109</v>
      </c>
      <c r="D27630" s="30" t="s">
        <v>17</v>
      </c>
      <c r="E27630" s="30" t="s">
        <v>67</v>
      </c>
      <c r="F27630" s="30" t="s">
        <v>68</v>
      </c>
      <c r="G27630" s="30" t="s">
        <v>140</v>
      </c>
      <c r="H27630" s="32">
        <v>40</v>
      </c>
      <c r="I27630" s="30" t="s">
        <v>51</v>
      </c>
      <c r="J27630" s="41">
        <v>46181</v>
      </c>
      <c r="K27630" s="30" t="s">
        <v>22</v>
      </c>
    </row>
    <row r="27631" spans="1:11">
      <c r="A27631" s="33" t="s">
        <v>60633</v>
      </c>
      <c r="B27631" s="33" t="s">
        <v>60634</v>
      </c>
      <c r="C27631" s="33" t="s">
        <v>2461</v>
      </c>
      <c r="D27631" s="33" t="s">
        <v>17</v>
      </c>
      <c r="E27631" s="33" t="s">
        <v>18</v>
      </c>
      <c r="F27631" s="33" t="s">
        <v>19</v>
      </c>
      <c r="G27631" s="33" t="s">
        <v>7780</v>
      </c>
      <c r="H27631" s="35">
        <v>336</v>
      </c>
      <c r="I27631" s="33" t="s">
        <v>51</v>
      </c>
      <c r="J27631" s="42">
        <v>46174</v>
      </c>
      <c r="K27631" s="33" t="s">
        <v>22</v>
      </c>
    </row>
    <row r="27632" spans="1:11">
      <c r="A27632" s="30" t="s">
        <v>60635</v>
      </c>
      <c r="B27632" s="30" t="s">
        <v>60636</v>
      </c>
      <c r="C27632" s="30" t="s">
        <v>17647</v>
      </c>
      <c r="D27632" s="30" t="s">
        <v>17</v>
      </c>
      <c r="E27632" s="30" t="s">
        <v>31</v>
      </c>
      <c r="F27632" s="30" t="s">
        <v>32</v>
      </c>
      <c r="G27632" s="30" t="s">
        <v>140</v>
      </c>
      <c r="H27632" s="32">
        <v>180</v>
      </c>
      <c r="I27632" s="30" t="s">
        <v>51</v>
      </c>
      <c r="J27632" s="41">
        <v>46146</v>
      </c>
      <c r="K27632" s="30" t="s">
        <v>22</v>
      </c>
    </row>
    <row r="27633" spans="1:11">
      <c r="A27633" s="33" t="s">
        <v>60637</v>
      </c>
      <c r="B27633" s="33" t="s">
        <v>60638</v>
      </c>
      <c r="C27633" s="33" t="s">
        <v>26837</v>
      </c>
      <c r="D27633" s="33" t="s">
        <v>17</v>
      </c>
      <c r="E27633" s="33" t="s">
        <v>330</v>
      </c>
      <c r="F27633" s="33" t="s">
        <v>331</v>
      </c>
      <c r="G27633" s="33" t="s">
        <v>7780</v>
      </c>
      <c r="H27633" s="35">
        <v>18</v>
      </c>
      <c r="I27633" s="33" t="s">
        <v>51</v>
      </c>
      <c r="J27633" s="42">
        <v>46174</v>
      </c>
      <c r="K27633" s="33" t="s">
        <v>22</v>
      </c>
    </row>
    <row r="27634" spans="1:11">
      <c r="A27634" s="30" t="s">
        <v>60639</v>
      </c>
      <c r="B27634" s="30" t="s">
        <v>60640</v>
      </c>
      <c r="C27634" s="30" t="s">
        <v>310</v>
      </c>
      <c r="D27634" s="30" t="s">
        <v>17</v>
      </c>
      <c r="E27634" s="30" t="s">
        <v>26</v>
      </c>
      <c r="F27634" s="30" t="s">
        <v>27</v>
      </c>
      <c r="G27634" s="30" t="s">
        <v>140</v>
      </c>
      <c r="H27634" s="32">
        <v>146</v>
      </c>
      <c r="I27634" s="30" t="s">
        <v>51</v>
      </c>
      <c r="J27634" s="41">
        <v>46149</v>
      </c>
      <c r="K27634" s="30" t="s">
        <v>22</v>
      </c>
    </row>
    <row r="27635" spans="1:11">
      <c r="A27635" s="33" t="s">
        <v>60641</v>
      </c>
      <c r="B27635" s="33" t="s">
        <v>60642</v>
      </c>
      <c r="C27635" s="33" t="s">
        <v>51579</v>
      </c>
      <c r="D27635" s="33" t="s">
        <v>17</v>
      </c>
      <c r="E27635" s="33" t="s">
        <v>26</v>
      </c>
      <c r="F27635" s="33" t="s">
        <v>27</v>
      </c>
      <c r="G27635" s="33" t="s">
        <v>7780</v>
      </c>
      <c r="H27635" s="35">
        <v>24</v>
      </c>
      <c r="I27635" s="33" t="s">
        <v>51</v>
      </c>
      <c r="J27635" s="42">
        <v>46096</v>
      </c>
      <c r="K27635" s="33" t="s">
        <v>22</v>
      </c>
    </row>
    <row r="27636" spans="1:11">
      <c r="A27636" s="30" t="s">
        <v>60643</v>
      </c>
      <c r="B27636" s="30" t="s">
        <v>60644</v>
      </c>
      <c r="C27636" s="30" t="s">
        <v>23852</v>
      </c>
      <c r="D27636" s="30" t="s">
        <v>17</v>
      </c>
      <c r="E27636" s="30" t="s">
        <v>31</v>
      </c>
      <c r="F27636" s="30" t="s">
        <v>32</v>
      </c>
      <c r="G27636" s="30" t="s">
        <v>7780</v>
      </c>
      <c r="H27636" s="32">
        <v>46</v>
      </c>
      <c r="I27636" s="30" t="s">
        <v>51</v>
      </c>
      <c r="J27636" s="41">
        <v>46055</v>
      </c>
      <c r="K27636" s="30" t="s">
        <v>22</v>
      </c>
    </row>
    <row r="27637" spans="1:11">
      <c r="A27637" s="33" t="s">
        <v>60645</v>
      </c>
      <c r="B27637" s="33" t="s">
        <v>60646</v>
      </c>
      <c r="C27637" s="33" t="s">
        <v>149</v>
      </c>
      <c r="D27637" s="33" t="s">
        <v>17</v>
      </c>
      <c r="E27637" s="33" t="s">
        <v>26</v>
      </c>
      <c r="F27637" s="33" t="s">
        <v>27</v>
      </c>
      <c r="G27637" s="33" t="s">
        <v>140</v>
      </c>
      <c r="H27637" s="35">
        <v>320</v>
      </c>
      <c r="I27637" s="33" t="s">
        <v>51</v>
      </c>
      <c r="J27637" s="42">
        <v>46233</v>
      </c>
      <c r="K27637" s="33" t="s">
        <v>22</v>
      </c>
    </row>
    <row r="27638" spans="1:11">
      <c r="A27638" s="30" t="s">
        <v>60647</v>
      </c>
      <c r="B27638" s="30" t="s">
        <v>60648</v>
      </c>
      <c r="C27638" s="30" t="s">
        <v>99</v>
      </c>
      <c r="D27638" s="30" t="s">
        <v>17</v>
      </c>
      <c r="E27638" s="30" t="s">
        <v>31</v>
      </c>
      <c r="F27638" s="30" t="s">
        <v>32</v>
      </c>
      <c r="G27638" s="30" t="s">
        <v>140</v>
      </c>
      <c r="H27638" s="32">
        <v>200</v>
      </c>
      <c r="I27638" s="30" t="s">
        <v>51</v>
      </c>
      <c r="J27638" s="41">
        <v>46142</v>
      </c>
      <c r="K27638" s="30" t="s">
        <v>22</v>
      </c>
    </row>
    <row r="27639" spans="1:11">
      <c r="A27639" s="33" t="s">
        <v>60649</v>
      </c>
      <c r="B27639" s="33" t="s">
        <v>60650</v>
      </c>
      <c r="C27639" s="33" t="s">
        <v>1305</v>
      </c>
      <c r="D27639" s="33" t="s">
        <v>17</v>
      </c>
      <c r="E27639" s="33" t="s">
        <v>18</v>
      </c>
      <c r="F27639" s="33" t="s">
        <v>19</v>
      </c>
      <c r="G27639" s="33" t="s">
        <v>140</v>
      </c>
      <c r="H27639" s="35">
        <v>350</v>
      </c>
      <c r="I27639" s="33" t="s">
        <v>51</v>
      </c>
      <c r="J27639" s="42">
        <v>46156</v>
      </c>
      <c r="K27639" s="33" t="s">
        <v>22</v>
      </c>
    </row>
    <row r="27640" spans="1:11">
      <c r="A27640" s="30" t="s">
        <v>60651</v>
      </c>
      <c r="B27640" s="30" t="s">
        <v>60652</v>
      </c>
      <c r="C27640" s="30" t="s">
        <v>21247</v>
      </c>
      <c r="D27640" s="30" t="s">
        <v>17</v>
      </c>
      <c r="E27640" s="30" t="s">
        <v>31</v>
      </c>
      <c r="F27640" s="30" t="s">
        <v>32</v>
      </c>
      <c r="G27640" s="30" t="s">
        <v>140</v>
      </c>
      <c r="H27640" s="32">
        <v>500</v>
      </c>
      <c r="I27640" s="30" t="s">
        <v>51</v>
      </c>
      <c r="J27640" s="41">
        <v>46112</v>
      </c>
      <c r="K27640" s="30" t="s">
        <v>22</v>
      </c>
    </row>
    <row r="27641" spans="1:11">
      <c r="A27641" s="33" t="s">
        <v>60653</v>
      </c>
      <c r="B27641" s="33" t="s">
        <v>60654</v>
      </c>
      <c r="C27641" s="33" t="s">
        <v>14816</v>
      </c>
      <c r="D27641" s="33" t="s">
        <v>17</v>
      </c>
      <c r="E27641" s="33" t="s">
        <v>26</v>
      </c>
      <c r="F27641" s="33" t="s">
        <v>27</v>
      </c>
      <c r="G27641" s="33" t="s">
        <v>140</v>
      </c>
      <c r="H27641" s="35">
        <v>36</v>
      </c>
      <c r="I27641" s="33" t="s">
        <v>51</v>
      </c>
      <c r="J27641" s="42">
        <v>46035</v>
      </c>
      <c r="K27641" s="33" t="s">
        <v>22</v>
      </c>
    </row>
    <row r="27642" spans="1:11">
      <c r="A27642" s="30" t="s">
        <v>60655</v>
      </c>
      <c r="B27642" s="30" t="s">
        <v>60656</v>
      </c>
      <c r="C27642" s="30" t="s">
        <v>28623</v>
      </c>
      <c r="D27642" s="30" t="s">
        <v>17</v>
      </c>
      <c r="E27642" s="30" t="s">
        <v>31</v>
      </c>
      <c r="F27642" s="30" t="s">
        <v>32</v>
      </c>
      <c r="G27642" s="30" t="s">
        <v>140</v>
      </c>
      <c r="H27642" s="32">
        <v>103</v>
      </c>
      <c r="I27642" s="30" t="s">
        <v>51</v>
      </c>
      <c r="J27642" s="41">
        <v>46050</v>
      </c>
      <c r="K27642" s="30" t="s">
        <v>22</v>
      </c>
    </row>
    <row r="27643" spans="1:11">
      <c r="A27643" s="33" t="s">
        <v>60657</v>
      </c>
      <c r="B27643" s="33" t="s">
        <v>60658</v>
      </c>
      <c r="C27643" s="33" t="s">
        <v>178</v>
      </c>
      <c r="D27643" s="33" t="s">
        <v>17</v>
      </c>
      <c r="E27643" s="33" t="s">
        <v>18</v>
      </c>
      <c r="F27643" s="33" t="s">
        <v>19</v>
      </c>
      <c r="G27643" s="33" t="s">
        <v>140</v>
      </c>
      <c r="H27643" s="35">
        <v>1600</v>
      </c>
      <c r="I27643" s="33" t="s">
        <v>51</v>
      </c>
      <c r="J27643" s="42">
        <v>46104</v>
      </c>
      <c r="K27643" s="33" t="s">
        <v>22</v>
      </c>
    </row>
    <row r="27644" spans="1:11">
      <c r="A27644" s="30" t="s">
        <v>60659</v>
      </c>
      <c r="B27644" s="30" t="s">
        <v>60660</v>
      </c>
      <c r="C27644" s="30" t="s">
        <v>39506</v>
      </c>
      <c r="D27644" s="30" t="s">
        <v>17</v>
      </c>
      <c r="E27644" s="30" t="s">
        <v>31</v>
      </c>
      <c r="F27644" s="30" t="s">
        <v>32</v>
      </c>
      <c r="G27644" s="30" t="s">
        <v>140</v>
      </c>
      <c r="H27644" s="32">
        <v>64</v>
      </c>
      <c r="I27644" s="30" t="s">
        <v>51</v>
      </c>
      <c r="J27644" s="41">
        <v>46132</v>
      </c>
      <c r="K27644" s="30" t="s">
        <v>22</v>
      </c>
    </row>
    <row r="27645" spans="1:11">
      <c r="A27645" s="33" t="s">
        <v>60661</v>
      </c>
      <c r="B27645" s="33" t="s">
        <v>60662</v>
      </c>
      <c r="C27645" s="33" t="s">
        <v>4348</v>
      </c>
      <c r="D27645" s="33" t="s">
        <v>17</v>
      </c>
      <c r="E27645" s="33" t="s">
        <v>45</v>
      </c>
      <c r="F27645" s="33" t="s">
        <v>46</v>
      </c>
      <c r="G27645" s="33" t="s">
        <v>140</v>
      </c>
      <c r="H27645" s="35">
        <v>90</v>
      </c>
      <c r="I27645" s="33" t="s">
        <v>51</v>
      </c>
      <c r="J27645" s="42">
        <v>46182</v>
      </c>
      <c r="K27645" s="33" t="s">
        <v>22</v>
      </c>
    </row>
    <row r="27646" spans="1:11">
      <c r="A27646" s="30" t="s">
        <v>60663</v>
      </c>
      <c r="B27646" s="30" t="s">
        <v>60664</v>
      </c>
      <c r="C27646" s="30" t="s">
        <v>3114</v>
      </c>
      <c r="D27646" s="30" t="s">
        <v>17</v>
      </c>
      <c r="E27646" s="30" t="s">
        <v>67</v>
      </c>
      <c r="F27646" s="30" t="s">
        <v>68</v>
      </c>
      <c r="G27646" s="30" t="s">
        <v>7780</v>
      </c>
      <c r="H27646" s="32">
        <v>24</v>
      </c>
      <c r="I27646" s="30" t="s">
        <v>51</v>
      </c>
      <c r="J27646" s="41">
        <v>46054</v>
      </c>
      <c r="K27646" s="30" t="s">
        <v>22</v>
      </c>
    </row>
    <row r="27647" spans="1:11">
      <c r="A27647" s="33" t="s">
        <v>60665</v>
      </c>
      <c r="B27647" s="33" t="s">
        <v>60666</v>
      </c>
      <c r="C27647" s="33" t="s">
        <v>11899</v>
      </c>
      <c r="D27647" s="33" t="s">
        <v>17</v>
      </c>
      <c r="E27647" s="33" t="s">
        <v>26</v>
      </c>
      <c r="F27647" s="33" t="s">
        <v>27</v>
      </c>
      <c r="G27647" s="33" t="s">
        <v>140</v>
      </c>
      <c r="H27647" s="35">
        <v>36</v>
      </c>
      <c r="I27647" s="33" t="s">
        <v>51</v>
      </c>
      <c r="J27647" s="42">
        <v>46126</v>
      </c>
      <c r="K27647" s="33" t="s">
        <v>22</v>
      </c>
    </row>
    <row r="27648" spans="1:11">
      <c r="A27648" s="30" t="s">
        <v>60667</v>
      </c>
      <c r="B27648" s="30" t="s">
        <v>60668</v>
      </c>
      <c r="C27648" s="30" t="s">
        <v>12036</v>
      </c>
      <c r="D27648" s="30" t="s">
        <v>17</v>
      </c>
      <c r="E27648" s="30" t="s">
        <v>45</v>
      </c>
      <c r="F27648" s="30" t="s">
        <v>46</v>
      </c>
      <c r="G27648" s="30" t="s">
        <v>158</v>
      </c>
      <c r="H27648" s="32">
        <v>600</v>
      </c>
      <c r="I27648" s="30" t="s">
        <v>51</v>
      </c>
      <c r="J27648" s="41">
        <v>46099</v>
      </c>
      <c r="K27648" s="30" t="s">
        <v>22</v>
      </c>
    </row>
    <row r="27649" spans="1:11">
      <c r="A27649" s="33" t="s">
        <v>60669</v>
      </c>
      <c r="B27649" s="33" t="s">
        <v>60670</v>
      </c>
      <c r="C27649" s="33" t="s">
        <v>8317</v>
      </c>
      <c r="D27649" s="33" t="s">
        <v>17</v>
      </c>
      <c r="E27649" s="33" t="s">
        <v>31</v>
      </c>
      <c r="F27649" s="33" t="s">
        <v>32</v>
      </c>
      <c r="G27649" s="33" t="s">
        <v>140</v>
      </c>
      <c r="H27649" s="35">
        <v>60</v>
      </c>
      <c r="I27649" s="33" t="s">
        <v>51</v>
      </c>
      <c r="J27649" s="42">
        <v>46142</v>
      </c>
      <c r="K27649" s="33" t="s">
        <v>22</v>
      </c>
    </row>
    <row r="27650" spans="1:11">
      <c r="A27650" s="30" t="s">
        <v>60671</v>
      </c>
      <c r="B27650" s="30" t="s">
        <v>60672</v>
      </c>
      <c r="C27650" s="30" t="s">
        <v>1428</v>
      </c>
      <c r="D27650" s="30" t="s">
        <v>17</v>
      </c>
      <c r="E27650" s="30" t="s">
        <v>18</v>
      </c>
      <c r="F27650" s="30" t="s">
        <v>19</v>
      </c>
      <c r="G27650" s="30" t="s">
        <v>7780</v>
      </c>
      <c r="H27650" s="32">
        <v>93</v>
      </c>
      <c r="I27650" s="30" t="s">
        <v>51</v>
      </c>
      <c r="J27650" s="41">
        <v>46143</v>
      </c>
      <c r="K27650" s="30" t="s">
        <v>22</v>
      </c>
    </row>
    <row r="27651" spans="1:11">
      <c r="A27651" s="33" t="s">
        <v>60673</v>
      </c>
      <c r="B27651" s="33" t="s">
        <v>60674</v>
      </c>
      <c r="C27651" s="33" t="s">
        <v>187</v>
      </c>
      <c r="D27651" s="33" t="s">
        <v>17</v>
      </c>
      <c r="E27651" s="33" t="s">
        <v>18</v>
      </c>
      <c r="F27651" s="33" t="s">
        <v>19</v>
      </c>
      <c r="G27651" s="33" t="s">
        <v>140</v>
      </c>
      <c r="H27651" s="35">
        <v>177</v>
      </c>
      <c r="I27651" s="33" t="s">
        <v>51</v>
      </c>
      <c r="J27651" s="42">
        <v>46112</v>
      </c>
      <c r="K27651" s="33" t="s">
        <v>22</v>
      </c>
    </row>
    <row r="27652" spans="1:11">
      <c r="A27652" s="30" t="s">
        <v>60675</v>
      </c>
      <c r="B27652" s="30" t="s">
        <v>60676</v>
      </c>
      <c r="C27652" s="30" t="s">
        <v>5040</v>
      </c>
      <c r="D27652" s="30" t="s">
        <v>17</v>
      </c>
      <c r="E27652" s="30" t="s">
        <v>18</v>
      </c>
      <c r="F27652" s="30" t="s">
        <v>19</v>
      </c>
      <c r="G27652" s="30" t="s">
        <v>7780</v>
      </c>
      <c r="H27652" s="32">
        <v>300</v>
      </c>
      <c r="I27652" s="30" t="s">
        <v>51</v>
      </c>
      <c r="J27652" s="41">
        <v>46188</v>
      </c>
      <c r="K27652" s="30" t="s">
        <v>22</v>
      </c>
    </row>
    <row r="27653" spans="1:11">
      <c r="A27653" s="33" t="s">
        <v>60677</v>
      </c>
      <c r="B27653" s="33" t="s">
        <v>60678</v>
      </c>
      <c r="C27653" s="33" t="s">
        <v>3429</v>
      </c>
      <c r="D27653" s="33" t="s">
        <v>17</v>
      </c>
      <c r="E27653" s="33" t="s">
        <v>26</v>
      </c>
      <c r="F27653" s="33" t="s">
        <v>27</v>
      </c>
      <c r="G27653" s="33" t="s">
        <v>20</v>
      </c>
      <c r="H27653" s="35">
        <v>36</v>
      </c>
      <c r="I27653" s="33" t="s">
        <v>21</v>
      </c>
      <c r="J27653" s="42">
        <v>46088</v>
      </c>
      <c r="K27653" s="33" t="s">
        <v>22</v>
      </c>
    </row>
    <row r="27654" spans="1:11">
      <c r="A27654" s="30" t="s">
        <v>60679</v>
      </c>
      <c r="B27654" s="30" t="s">
        <v>60680</v>
      </c>
      <c r="C27654" s="30" t="s">
        <v>60681</v>
      </c>
      <c r="D27654" s="30" t="s">
        <v>17</v>
      </c>
      <c r="E27654" s="30" t="s">
        <v>26</v>
      </c>
      <c r="F27654" s="30" t="s">
        <v>27</v>
      </c>
      <c r="G27654" s="30" t="s">
        <v>7780</v>
      </c>
      <c r="H27654" s="32">
        <v>40</v>
      </c>
      <c r="I27654" s="30" t="s">
        <v>51</v>
      </c>
      <c r="J27654" s="41">
        <v>46023</v>
      </c>
      <c r="K27654" s="30" t="s">
        <v>22</v>
      </c>
    </row>
    <row r="27655" spans="1:11">
      <c r="A27655" s="33" t="s">
        <v>60682</v>
      </c>
      <c r="B27655" s="33" t="s">
        <v>60683</v>
      </c>
      <c r="C27655" s="33" t="s">
        <v>1284</v>
      </c>
      <c r="D27655" s="33" t="s">
        <v>17</v>
      </c>
      <c r="E27655" s="33" t="s">
        <v>18</v>
      </c>
      <c r="F27655" s="33" t="s">
        <v>19</v>
      </c>
      <c r="G27655" s="33" t="s">
        <v>140</v>
      </c>
      <c r="H27655" s="35">
        <v>500</v>
      </c>
      <c r="I27655" s="33" t="s">
        <v>51</v>
      </c>
      <c r="J27655" s="42">
        <v>46054</v>
      </c>
      <c r="K27655" s="33" t="s">
        <v>22</v>
      </c>
    </row>
    <row r="27656" spans="1:11">
      <c r="A27656" s="30" t="s">
        <v>60684</v>
      </c>
      <c r="B27656" s="30" t="s">
        <v>60685</v>
      </c>
      <c r="C27656" s="30" t="s">
        <v>3278</v>
      </c>
      <c r="D27656" s="30" t="s">
        <v>17</v>
      </c>
      <c r="E27656" s="30" t="s">
        <v>31</v>
      </c>
      <c r="F27656" s="30" t="s">
        <v>32</v>
      </c>
      <c r="G27656" s="30" t="s">
        <v>140</v>
      </c>
      <c r="H27656" s="32">
        <v>222</v>
      </c>
      <c r="I27656" s="30" t="s">
        <v>51</v>
      </c>
      <c r="J27656" s="41">
        <v>46038</v>
      </c>
      <c r="K27656" s="30" t="s">
        <v>22</v>
      </c>
    </row>
    <row r="27657" spans="1:11">
      <c r="A27657" s="33" t="s">
        <v>60686</v>
      </c>
      <c r="B27657" s="33" t="s">
        <v>60687</v>
      </c>
      <c r="C27657" s="33" t="s">
        <v>2562</v>
      </c>
      <c r="D27657" s="33" t="s">
        <v>17</v>
      </c>
      <c r="E27657" s="33" t="s">
        <v>26</v>
      </c>
      <c r="F27657" s="33" t="s">
        <v>27</v>
      </c>
      <c r="G27657" s="33" t="s">
        <v>140</v>
      </c>
      <c r="H27657" s="35">
        <v>30</v>
      </c>
      <c r="I27657" s="33" t="s">
        <v>51</v>
      </c>
      <c r="J27657" s="42">
        <v>46023</v>
      </c>
      <c r="K27657" s="33" t="s">
        <v>22</v>
      </c>
    </row>
    <row r="27658" spans="1:11">
      <c r="A27658" s="30" t="s">
        <v>60688</v>
      </c>
      <c r="B27658" s="30" t="s">
        <v>57109</v>
      </c>
      <c r="C27658" s="30" t="s">
        <v>37244</v>
      </c>
      <c r="D27658" s="30" t="s">
        <v>17</v>
      </c>
      <c r="E27658" s="30" t="s">
        <v>31</v>
      </c>
      <c r="F27658" s="30" t="s">
        <v>32</v>
      </c>
      <c r="G27658" s="30" t="s">
        <v>140</v>
      </c>
      <c r="H27658" s="32">
        <v>138</v>
      </c>
      <c r="I27658" s="30" t="s">
        <v>51</v>
      </c>
      <c r="J27658" s="41">
        <v>46197</v>
      </c>
      <c r="K27658" s="30" t="s">
        <v>22</v>
      </c>
    </row>
    <row r="27659" spans="1:11">
      <c r="A27659" s="33" t="s">
        <v>60689</v>
      </c>
      <c r="B27659" s="33" t="s">
        <v>60690</v>
      </c>
      <c r="C27659" s="33" t="s">
        <v>1680</v>
      </c>
      <c r="D27659" s="33" t="s">
        <v>17</v>
      </c>
      <c r="E27659" s="33" t="s">
        <v>67</v>
      </c>
      <c r="F27659" s="33" t="s">
        <v>68</v>
      </c>
      <c r="G27659" s="33" t="s">
        <v>140</v>
      </c>
      <c r="H27659" s="35">
        <v>37</v>
      </c>
      <c r="I27659" s="33" t="s">
        <v>51</v>
      </c>
      <c r="J27659" s="42">
        <v>46057</v>
      </c>
      <c r="K27659" s="33" t="s">
        <v>22</v>
      </c>
    </row>
    <row r="27660" spans="1:11">
      <c r="A27660" s="30" t="s">
        <v>60691</v>
      </c>
      <c r="B27660" s="30" t="s">
        <v>60692</v>
      </c>
      <c r="C27660" s="30" t="s">
        <v>14816</v>
      </c>
      <c r="D27660" s="30" t="s">
        <v>17</v>
      </c>
      <c r="E27660" s="30" t="s">
        <v>45</v>
      </c>
      <c r="F27660" s="30" t="s">
        <v>46</v>
      </c>
      <c r="G27660" s="30" t="s">
        <v>7780</v>
      </c>
      <c r="H27660" s="32">
        <v>914</v>
      </c>
      <c r="I27660" s="30" t="s">
        <v>51</v>
      </c>
      <c r="J27660" s="41">
        <v>46204</v>
      </c>
      <c r="K27660" s="30" t="s">
        <v>22</v>
      </c>
    </row>
    <row r="27661" spans="1:11">
      <c r="A27661" s="33" t="s">
        <v>60693</v>
      </c>
      <c r="B27661" s="33" t="s">
        <v>60694</v>
      </c>
      <c r="C27661" s="33" t="s">
        <v>2609</v>
      </c>
      <c r="D27661" s="33" t="s">
        <v>17</v>
      </c>
      <c r="E27661" s="33" t="s">
        <v>31</v>
      </c>
      <c r="F27661" s="33" t="s">
        <v>32</v>
      </c>
      <c r="G27661" s="33" t="s">
        <v>140</v>
      </c>
      <c r="H27661" s="35">
        <v>417</v>
      </c>
      <c r="I27661" s="33" t="s">
        <v>51</v>
      </c>
      <c r="J27661" s="42">
        <v>46154</v>
      </c>
      <c r="K27661" s="33" t="s">
        <v>22</v>
      </c>
    </row>
    <row r="27662" spans="1:11">
      <c r="A27662" s="30" t="s">
        <v>60695</v>
      </c>
      <c r="B27662" s="30" t="s">
        <v>60696</v>
      </c>
      <c r="C27662" s="30" t="s">
        <v>48023</v>
      </c>
      <c r="D27662" s="30" t="s">
        <v>17</v>
      </c>
      <c r="E27662" s="30" t="s">
        <v>26</v>
      </c>
      <c r="F27662" s="30" t="s">
        <v>27</v>
      </c>
      <c r="G27662" s="30" t="s">
        <v>140</v>
      </c>
      <c r="H27662" s="32">
        <v>12</v>
      </c>
      <c r="I27662" s="30" t="s">
        <v>51</v>
      </c>
      <c r="J27662" s="41">
        <v>46044</v>
      </c>
      <c r="K27662" s="30" t="s">
        <v>22</v>
      </c>
    </row>
    <row r="27663" spans="1:11">
      <c r="A27663" s="33" t="s">
        <v>60697</v>
      </c>
      <c r="B27663" s="33" t="s">
        <v>60698</v>
      </c>
      <c r="C27663" s="33" t="s">
        <v>7072</v>
      </c>
      <c r="D27663" s="33" t="s">
        <v>17</v>
      </c>
      <c r="E27663" s="33" t="s">
        <v>31</v>
      </c>
      <c r="F27663" s="33" t="s">
        <v>32</v>
      </c>
      <c r="G27663" s="33" t="s">
        <v>140</v>
      </c>
      <c r="H27663" s="35">
        <v>120</v>
      </c>
      <c r="I27663" s="33" t="s">
        <v>51</v>
      </c>
      <c r="J27663" s="42">
        <v>46162</v>
      </c>
      <c r="K27663" s="33" t="s">
        <v>22</v>
      </c>
    </row>
    <row r="27664" spans="1:11">
      <c r="A27664" s="30" t="s">
        <v>60699</v>
      </c>
      <c r="B27664" s="30" t="s">
        <v>60700</v>
      </c>
      <c r="C27664" s="30" t="s">
        <v>13116</v>
      </c>
      <c r="D27664" s="30" t="s">
        <v>17</v>
      </c>
      <c r="E27664" s="30" t="s">
        <v>31</v>
      </c>
      <c r="F27664" s="30" t="s">
        <v>32</v>
      </c>
      <c r="G27664" s="30" t="s">
        <v>7780</v>
      </c>
      <c r="H27664" s="32">
        <v>120</v>
      </c>
      <c r="I27664" s="30" t="s">
        <v>51</v>
      </c>
      <c r="J27664" s="41">
        <v>46204</v>
      </c>
      <c r="K27664" s="30" t="s">
        <v>22</v>
      </c>
    </row>
    <row r="27665" spans="1:11">
      <c r="A27665" s="33" t="s">
        <v>60701</v>
      </c>
      <c r="B27665" s="33" t="s">
        <v>60702</v>
      </c>
      <c r="C27665" s="33" t="s">
        <v>75</v>
      </c>
      <c r="D27665" s="33" t="s">
        <v>17</v>
      </c>
      <c r="E27665" s="33" t="s">
        <v>45</v>
      </c>
      <c r="F27665" s="33" t="s">
        <v>46</v>
      </c>
      <c r="G27665" s="33" t="s">
        <v>140</v>
      </c>
      <c r="H27665" s="35">
        <v>690</v>
      </c>
      <c r="I27665" s="33" t="s">
        <v>51</v>
      </c>
      <c r="J27665" s="42">
        <v>46094</v>
      </c>
      <c r="K27665" s="33" t="s">
        <v>22</v>
      </c>
    </row>
    <row r="27666" spans="1:11">
      <c r="A27666" s="30" t="s">
        <v>60703</v>
      </c>
      <c r="B27666" s="30" t="s">
        <v>60704</v>
      </c>
      <c r="C27666" s="30" t="s">
        <v>29469</v>
      </c>
      <c r="D27666" s="30" t="s">
        <v>17</v>
      </c>
      <c r="E27666" s="30" t="s">
        <v>31</v>
      </c>
      <c r="F27666" s="30" t="s">
        <v>32</v>
      </c>
      <c r="G27666" s="30" t="s">
        <v>140</v>
      </c>
      <c r="H27666" s="32">
        <v>18</v>
      </c>
      <c r="I27666" s="30" t="s">
        <v>51</v>
      </c>
      <c r="J27666" s="41">
        <v>46092</v>
      </c>
      <c r="K27666" s="30" t="s">
        <v>22</v>
      </c>
    </row>
    <row r="27667" spans="1:11">
      <c r="A27667" s="33" t="s">
        <v>60705</v>
      </c>
      <c r="B27667" s="33" t="s">
        <v>60706</v>
      </c>
      <c r="C27667" s="33" t="s">
        <v>39233</v>
      </c>
      <c r="D27667" s="33" t="s">
        <v>17</v>
      </c>
      <c r="E27667" s="33" t="s">
        <v>18</v>
      </c>
      <c r="F27667" s="33" t="s">
        <v>19</v>
      </c>
      <c r="G27667" s="33" t="s">
        <v>7780</v>
      </c>
      <c r="H27667" s="35">
        <v>460</v>
      </c>
      <c r="I27667" s="33" t="s">
        <v>51</v>
      </c>
      <c r="J27667" s="42">
        <v>46204</v>
      </c>
      <c r="K27667" s="33" t="s">
        <v>22</v>
      </c>
    </row>
    <row r="27668" spans="1:11">
      <c r="A27668" s="30" t="s">
        <v>60707</v>
      </c>
      <c r="B27668" s="30" t="s">
        <v>60708</v>
      </c>
      <c r="C27668" s="30" t="s">
        <v>29436</v>
      </c>
      <c r="D27668" s="30" t="s">
        <v>17</v>
      </c>
      <c r="E27668" s="30" t="s">
        <v>67</v>
      </c>
      <c r="F27668" s="30" t="s">
        <v>68</v>
      </c>
      <c r="G27668" s="30" t="s">
        <v>140</v>
      </c>
      <c r="H27668" s="32">
        <v>40</v>
      </c>
      <c r="I27668" s="30" t="s">
        <v>51</v>
      </c>
      <c r="J27668" s="41">
        <v>46082</v>
      </c>
      <c r="K27668" s="30" t="s">
        <v>22</v>
      </c>
    </row>
    <row r="27669" spans="1:11">
      <c r="A27669" s="33" t="s">
        <v>60709</v>
      </c>
      <c r="B27669" s="33" t="s">
        <v>60710</v>
      </c>
      <c r="C27669" s="33" t="s">
        <v>1085</v>
      </c>
      <c r="D27669" s="33" t="s">
        <v>17</v>
      </c>
      <c r="E27669" s="33" t="s">
        <v>26</v>
      </c>
      <c r="F27669" s="33" t="s">
        <v>27</v>
      </c>
      <c r="G27669" s="33" t="s">
        <v>7780</v>
      </c>
      <c r="H27669" s="35">
        <v>75</v>
      </c>
      <c r="I27669" s="33" t="s">
        <v>51</v>
      </c>
      <c r="J27669" s="42">
        <v>46172</v>
      </c>
      <c r="K27669" s="33" t="s">
        <v>22</v>
      </c>
    </row>
    <row r="27670" spans="1:11">
      <c r="A27670" s="30" t="s">
        <v>60711</v>
      </c>
      <c r="B27670" s="30" t="s">
        <v>60712</v>
      </c>
      <c r="C27670" s="30" t="s">
        <v>60713</v>
      </c>
      <c r="D27670" s="30" t="s">
        <v>17</v>
      </c>
      <c r="E27670" s="30" t="s">
        <v>31</v>
      </c>
      <c r="F27670" s="30" t="s">
        <v>32</v>
      </c>
      <c r="G27670" s="30" t="s">
        <v>140</v>
      </c>
      <c r="H27670" s="32">
        <v>120</v>
      </c>
      <c r="I27670" s="30" t="s">
        <v>51</v>
      </c>
      <c r="J27670" s="41">
        <v>46202</v>
      </c>
      <c r="K27670" s="30" t="s">
        <v>22</v>
      </c>
    </row>
    <row r="27671" spans="1:11">
      <c r="A27671" s="33" t="s">
        <v>60714</v>
      </c>
      <c r="B27671" s="33" t="s">
        <v>60715</v>
      </c>
      <c r="C27671" s="33" t="s">
        <v>60716</v>
      </c>
      <c r="D27671" s="33" t="s">
        <v>17</v>
      </c>
      <c r="E27671" s="33" t="s">
        <v>18</v>
      </c>
      <c r="F27671" s="33" t="s">
        <v>19</v>
      </c>
      <c r="G27671" s="33" t="s">
        <v>140</v>
      </c>
      <c r="H27671" s="35">
        <v>72</v>
      </c>
      <c r="I27671" s="33" t="s">
        <v>51</v>
      </c>
      <c r="J27671" s="42">
        <v>46054</v>
      </c>
      <c r="K27671" s="33" t="s">
        <v>22</v>
      </c>
    </row>
    <row r="27672" spans="1:11">
      <c r="A27672" s="30" t="s">
        <v>60717</v>
      </c>
      <c r="B27672" s="30" t="s">
        <v>60718</v>
      </c>
      <c r="C27672" s="30" t="s">
        <v>3013</v>
      </c>
      <c r="D27672" s="30" t="s">
        <v>17</v>
      </c>
      <c r="E27672" s="30" t="s">
        <v>18</v>
      </c>
      <c r="F27672" s="30" t="s">
        <v>19</v>
      </c>
      <c r="G27672" s="30" t="s">
        <v>140</v>
      </c>
      <c r="H27672" s="32">
        <v>564</v>
      </c>
      <c r="I27672" s="30" t="s">
        <v>51</v>
      </c>
      <c r="J27672" s="41">
        <v>46198</v>
      </c>
      <c r="K27672" s="30" t="s">
        <v>22</v>
      </c>
    </row>
    <row r="27673" spans="1:11">
      <c r="A27673" s="33" t="s">
        <v>60719</v>
      </c>
      <c r="B27673" s="33" t="s">
        <v>60720</v>
      </c>
      <c r="C27673" s="33" t="s">
        <v>46510</v>
      </c>
      <c r="D27673" s="33" t="s">
        <v>17</v>
      </c>
      <c r="E27673" s="33" t="s">
        <v>67</v>
      </c>
      <c r="F27673" s="33" t="s">
        <v>68</v>
      </c>
      <c r="G27673" s="33" t="s">
        <v>7780</v>
      </c>
      <c r="H27673" s="35">
        <v>90</v>
      </c>
      <c r="I27673" s="33" t="s">
        <v>51</v>
      </c>
      <c r="J27673" s="42">
        <v>46204</v>
      </c>
      <c r="K27673" s="33" t="s">
        <v>22</v>
      </c>
    </row>
    <row r="27674" spans="1:11">
      <c r="A27674" s="30" t="s">
        <v>60721</v>
      </c>
      <c r="B27674" s="30" t="s">
        <v>60722</v>
      </c>
      <c r="C27674" s="30" t="s">
        <v>25915</v>
      </c>
      <c r="D27674" s="30" t="s">
        <v>17</v>
      </c>
      <c r="E27674" s="30" t="s">
        <v>26</v>
      </c>
      <c r="F27674" s="30" t="s">
        <v>27</v>
      </c>
      <c r="G27674" s="30" t="s">
        <v>140</v>
      </c>
      <c r="H27674" s="32">
        <v>45</v>
      </c>
      <c r="I27674" s="30" t="s">
        <v>51</v>
      </c>
      <c r="J27674" s="41">
        <v>46193</v>
      </c>
      <c r="K27674" s="30" t="s">
        <v>22</v>
      </c>
    </row>
    <row r="27675" spans="1:11">
      <c r="A27675" s="33" t="s">
        <v>60723</v>
      </c>
      <c r="B27675" s="33" t="s">
        <v>60724</v>
      </c>
      <c r="C27675" s="33" t="s">
        <v>3185</v>
      </c>
      <c r="D27675" s="33" t="s">
        <v>17</v>
      </c>
      <c r="E27675" s="33" t="s">
        <v>67</v>
      </c>
      <c r="F27675" s="33" t="s">
        <v>68</v>
      </c>
      <c r="G27675" s="33" t="s">
        <v>140</v>
      </c>
      <c r="H27675" s="35">
        <v>368</v>
      </c>
      <c r="I27675" s="33" t="s">
        <v>51</v>
      </c>
      <c r="J27675" s="42">
        <v>46050</v>
      </c>
      <c r="K27675" s="33" t="s">
        <v>22</v>
      </c>
    </row>
    <row r="27676" spans="1:11">
      <c r="A27676" s="30" t="s">
        <v>60725</v>
      </c>
      <c r="B27676" s="30" t="s">
        <v>60726</v>
      </c>
      <c r="C27676" s="30" t="s">
        <v>38002</v>
      </c>
      <c r="D27676" s="30" t="s">
        <v>17</v>
      </c>
      <c r="E27676" s="30" t="s">
        <v>31</v>
      </c>
      <c r="F27676" s="30" t="s">
        <v>32</v>
      </c>
      <c r="G27676" s="30" t="s">
        <v>7780</v>
      </c>
      <c r="H27676" s="32">
        <v>120</v>
      </c>
      <c r="I27676" s="30" t="s">
        <v>51</v>
      </c>
      <c r="J27676" s="41">
        <v>46174</v>
      </c>
      <c r="K27676" s="30" t="s">
        <v>22</v>
      </c>
    </row>
    <row r="27677" spans="1:11">
      <c r="A27677" s="33" t="s">
        <v>60727</v>
      </c>
      <c r="B27677" s="33" t="s">
        <v>60728</v>
      </c>
      <c r="C27677" s="33" t="s">
        <v>231</v>
      </c>
      <c r="D27677" s="33" t="s">
        <v>17</v>
      </c>
      <c r="E27677" s="33" t="s">
        <v>26</v>
      </c>
      <c r="F27677" s="33" t="s">
        <v>27</v>
      </c>
      <c r="G27677" s="33" t="s">
        <v>140</v>
      </c>
      <c r="H27677" s="35">
        <v>36</v>
      </c>
      <c r="I27677" s="33" t="s">
        <v>51</v>
      </c>
      <c r="J27677" s="42">
        <v>46220</v>
      </c>
      <c r="K27677" s="33" t="s">
        <v>22</v>
      </c>
    </row>
    <row r="27678" spans="1:11">
      <c r="A27678" s="30" t="s">
        <v>60729</v>
      </c>
      <c r="B27678" s="30" t="s">
        <v>60730</v>
      </c>
      <c r="C27678" s="30" t="s">
        <v>3013</v>
      </c>
      <c r="D27678" s="30" t="s">
        <v>17</v>
      </c>
      <c r="E27678" s="30" t="s">
        <v>26</v>
      </c>
      <c r="F27678" s="30" t="s">
        <v>27</v>
      </c>
      <c r="G27678" s="30" t="s">
        <v>140</v>
      </c>
      <c r="H27678" s="32">
        <v>214</v>
      </c>
      <c r="I27678" s="30" t="s">
        <v>51</v>
      </c>
      <c r="J27678" s="41">
        <v>46156</v>
      </c>
      <c r="K27678" s="30" t="s">
        <v>22</v>
      </c>
    </row>
    <row r="27679" spans="1:11">
      <c r="A27679" s="33" t="s">
        <v>60731</v>
      </c>
      <c r="B27679" s="33" t="s">
        <v>60732</v>
      </c>
      <c r="C27679" s="33" t="s">
        <v>22999</v>
      </c>
      <c r="D27679" s="33" t="s">
        <v>17</v>
      </c>
      <c r="E27679" s="33" t="s">
        <v>18</v>
      </c>
      <c r="F27679" s="33" t="s">
        <v>19</v>
      </c>
      <c r="G27679" s="33" t="s">
        <v>140</v>
      </c>
      <c r="H27679" s="35">
        <v>705</v>
      </c>
      <c r="I27679" s="33" t="s">
        <v>51</v>
      </c>
      <c r="J27679" s="42">
        <v>46104</v>
      </c>
      <c r="K27679" s="33" t="s">
        <v>22</v>
      </c>
    </row>
    <row r="27680" spans="1:11">
      <c r="A27680" s="30" t="s">
        <v>60733</v>
      </c>
      <c r="B27680" s="30" t="s">
        <v>60734</v>
      </c>
      <c r="C27680" s="30" t="s">
        <v>969</v>
      </c>
      <c r="D27680" s="30" t="s">
        <v>17</v>
      </c>
      <c r="E27680" s="30" t="s">
        <v>18</v>
      </c>
      <c r="F27680" s="30" t="s">
        <v>19</v>
      </c>
      <c r="G27680" s="30" t="s">
        <v>7780</v>
      </c>
      <c r="H27680" s="32">
        <v>30</v>
      </c>
      <c r="I27680" s="30" t="s">
        <v>51</v>
      </c>
      <c r="J27680" s="41">
        <v>46199</v>
      </c>
      <c r="K27680" s="30" t="s">
        <v>22</v>
      </c>
    </row>
    <row r="27681" spans="1:11">
      <c r="A27681" s="33" t="s">
        <v>60735</v>
      </c>
      <c r="B27681" s="33" t="s">
        <v>60736</v>
      </c>
      <c r="C27681" s="33" t="s">
        <v>969</v>
      </c>
      <c r="D27681" s="33" t="s">
        <v>17</v>
      </c>
      <c r="E27681" s="33" t="s">
        <v>26</v>
      </c>
      <c r="F27681" s="33" t="s">
        <v>27</v>
      </c>
      <c r="G27681" s="33" t="s">
        <v>140</v>
      </c>
      <c r="H27681" s="35">
        <v>24</v>
      </c>
      <c r="I27681" s="33" t="s">
        <v>51</v>
      </c>
      <c r="J27681" s="42">
        <v>46220</v>
      </c>
      <c r="K27681" s="33" t="s">
        <v>22</v>
      </c>
    </row>
    <row r="27682" spans="1:11">
      <c r="A27682" s="30" t="s">
        <v>60737</v>
      </c>
      <c r="B27682" s="30" t="s">
        <v>60738</v>
      </c>
      <c r="C27682" s="30" t="s">
        <v>2196</v>
      </c>
      <c r="D27682" s="30" t="s">
        <v>17</v>
      </c>
      <c r="E27682" s="30" t="s">
        <v>67</v>
      </c>
      <c r="F27682" s="30" t="s">
        <v>68</v>
      </c>
      <c r="G27682" s="30" t="s">
        <v>140</v>
      </c>
      <c r="H27682" s="32">
        <v>186</v>
      </c>
      <c r="I27682" s="30" t="s">
        <v>51</v>
      </c>
      <c r="J27682" s="41">
        <v>46085</v>
      </c>
      <c r="K27682" s="30" t="s">
        <v>22</v>
      </c>
    </row>
    <row r="27683" spans="1:11">
      <c r="A27683" s="33" t="s">
        <v>60739</v>
      </c>
      <c r="B27683" s="33" t="s">
        <v>60740</v>
      </c>
      <c r="C27683" s="33" t="s">
        <v>38829</v>
      </c>
      <c r="D27683" s="33" t="s">
        <v>17</v>
      </c>
      <c r="E27683" s="33" t="s">
        <v>18</v>
      </c>
      <c r="F27683" s="33" t="s">
        <v>19</v>
      </c>
      <c r="G27683" s="33" t="s">
        <v>7780</v>
      </c>
      <c r="H27683" s="35">
        <v>200</v>
      </c>
      <c r="I27683" s="33" t="s">
        <v>51</v>
      </c>
      <c r="J27683" s="42">
        <v>46203</v>
      </c>
      <c r="K27683" s="33" t="s">
        <v>22</v>
      </c>
    </row>
    <row r="27684" spans="1:11">
      <c r="A27684" s="30" t="s">
        <v>60741</v>
      </c>
      <c r="B27684" s="30" t="s">
        <v>60742</v>
      </c>
      <c r="C27684" s="30" t="s">
        <v>231</v>
      </c>
      <c r="D27684" s="30" t="s">
        <v>17</v>
      </c>
      <c r="E27684" s="30" t="s">
        <v>18</v>
      </c>
      <c r="F27684" s="30" t="s">
        <v>19</v>
      </c>
      <c r="G27684" s="30" t="s">
        <v>140</v>
      </c>
      <c r="H27684" s="32">
        <v>448</v>
      </c>
      <c r="I27684" s="30" t="s">
        <v>51</v>
      </c>
      <c r="J27684" s="41">
        <v>46230</v>
      </c>
      <c r="K27684" s="30" t="s">
        <v>22</v>
      </c>
    </row>
    <row r="27685" spans="1:11">
      <c r="A27685" s="33" t="s">
        <v>60743</v>
      </c>
      <c r="B27685" s="33" t="s">
        <v>60744</v>
      </c>
      <c r="C27685" s="33" t="s">
        <v>60745</v>
      </c>
      <c r="D27685" s="33" t="s">
        <v>17</v>
      </c>
      <c r="E27685" s="33" t="s">
        <v>26</v>
      </c>
      <c r="F27685" s="33" t="s">
        <v>27</v>
      </c>
      <c r="G27685" s="33" t="s">
        <v>140</v>
      </c>
      <c r="H27685" s="35">
        <v>83</v>
      </c>
      <c r="I27685" s="33" t="s">
        <v>51</v>
      </c>
      <c r="J27685" s="42">
        <v>46036</v>
      </c>
      <c r="K27685" s="33" t="s">
        <v>22</v>
      </c>
    </row>
    <row r="27686" spans="1:11">
      <c r="A27686" s="30" t="s">
        <v>60746</v>
      </c>
      <c r="B27686" s="30" t="s">
        <v>60747</v>
      </c>
      <c r="C27686" s="30" t="s">
        <v>1428</v>
      </c>
      <c r="D27686" s="30" t="s">
        <v>17</v>
      </c>
      <c r="E27686" s="30" t="s">
        <v>45</v>
      </c>
      <c r="F27686" s="30" t="s">
        <v>46</v>
      </c>
      <c r="G27686" s="30" t="s">
        <v>140</v>
      </c>
      <c r="H27686" s="32">
        <v>410</v>
      </c>
      <c r="I27686" s="30" t="s">
        <v>51</v>
      </c>
      <c r="J27686" s="41">
        <v>46151</v>
      </c>
      <c r="K27686" s="30" t="s">
        <v>22</v>
      </c>
    </row>
    <row r="27687" spans="1:11">
      <c r="A27687" s="33" t="s">
        <v>60748</v>
      </c>
      <c r="B27687" s="33" t="s">
        <v>60749</v>
      </c>
      <c r="C27687" s="33" t="s">
        <v>187</v>
      </c>
      <c r="D27687" s="33" t="s">
        <v>17</v>
      </c>
      <c r="E27687" s="33" t="s">
        <v>18</v>
      </c>
      <c r="F27687" s="33" t="s">
        <v>19</v>
      </c>
      <c r="G27687" s="33" t="s">
        <v>7780</v>
      </c>
      <c r="H27687" s="35">
        <v>260</v>
      </c>
      <c r="I27687" s="33" t="s">
        <v>51</v>
      </c>
      <c r="J27687" s="42">
        <v>46174</v>
      </c>
      <c r="K27687" s="33" t="s">
        <v>22</v>
      </c>
    </row>
    <row r="27688" spans="1:11">
      <c r="A27688" s="30" t="s">
        <v>60750</v>
      </c>
      <c r="B27688" s="30" t="s">
        <v>60751</v>
      </c>
      <c r="C27688" s="30" t="s">
        <v>570</v>
      </c>
      <c r="D27688" s="30" t="s">
        <v>17</v>
      </c>
      <c r="E27688" s="30" t="s">
        <v>26</v>
      </c>
      <c r="F27688" s="30" t="s">
        <v>27</v>
      </c>
      <c r="G27688" s="30" t="s">
        <v>7780</v>
      </c>
      <c r="H27688" s="32">
        <v>124</v>
      </c>
      <c r="I27688" s="30" t="s">
        <v>51</v>
      </c>
      <c r="J27688" s="41">
        <v>46023</v>
      </c>
      <c r="K27688" s="30" t="s">
        <v>22</v>
      </c>
    </row>
    <row r="27689" spans="1:11">
      <c r="A27689" s="33" t="s">
        <v>60752</v>
      </c>
      <c r="B27689" s="33" t="s">
        <v>60753</v>
      </c>
      <c r="C27689" s="33" t="s">
        <v>27046</v>
      </c>
      <c r="D27689" s="33" t="s">
        <v>17</v>
      </c>
      <c r="E27689" s="33" t="s">
        <v>31</v>
      </c>
      <c r="F27689" s="33" t="s">
        <v>32</v>
      </c>
      <c r="G27689" s="33" t="s">
        <v>140</v>
      </c>
      <c r="H27689" s="35">
        <v>456</v>
      </c>
      <c r="I27689" s="33" t="s">
        <v>51</v>
      </c>
      <c r="J27689" s="42">
        <v>46234</v>
      </c>
      <c r="K27689" s="33" t="s">
        <v>22</v>
      </c>
    </row>
    <row r="27690" spans="1:11">
      <c r="A27690" s="30" t="s">
        <v>60754</v>
      </c>
      <c r="B27690" s="30" t="s">
        <v>60755</v>
      </c>
      <c r="C27690" s="30" t="s">
        <v>231</v>
      </c>
      <c r="D27690" s="30" t="s">
        <v>17</v>
      </c>
      <c r="E27690" s="30" t="s">
        <v>26</v>
      </c>
      <c r="F27690" s="30" t="s">
        <v>27</v>
      </c>
      <c r="G27690" s="30" t="s">
        <v>158</v>
      </c>
      <c r="H27690" s="32">
        <v>45</v>
      </c>
      <c r="I27690" s="30" t="s">
        <v>21</v>
      </c>
      <c r="J27690" s="41">
        <v>46134</v>
      </c>
      <c r="K27690" s="30" t="s">
        <v>22</v>
      </c>
    </row>
    <row r="27691" spans="1:11">
      <c r="A27691" s="33" t="s">
        <v>60756</v>
      </c>
      <c r="B27691" s="33" t="s">
        <v>60757</v>
      </c>
      <c r="C27691" s="33" t="s">
        <v>96</v>
      </c>
      <c r="D27691" s="33" t="s">
        <v>17</v>
      </c>
      <c r="E27691" s="33" t="s">
        <v>26</v>
      </c>
      <c r="F27691" s="33" t="s">
        <v>27</v>
      </c>
      <c r="G27691" s="33" t="s">
        <v>158</v>
      </c>
      <c r="H27691" s="35">
        <v>12</v>
      </c>
      <c r="I27691" s="33" t="s">
        <v>21</v>
      </c>
      <c r="J27691" s="42">
        <v>46024</v>
      </c>
      <c r="K27691" s="33" t="s">
        <v>22</v>
      </c>
    </row>
    <row r="27692" spans="1:11">
      <c r="A27692" s="30" t="s">
        <v>60758</v>
      </c>
      <c r="B27692" s="30" t="s">
        <v>60759</v>
      </c>
      <c r="C27692" s="30" t="s">
        <v>407</v>
      </c>
      <c r="D27692" s="30" t="s">
        <v>17</v>
      </c>
      <c r="E27692" s="30" t="s">
        <v>26</v>
      </c>
      <c r="F27692" s="30" t="s">
        <v>27</v>
      </c>
      <c r="G27692" s="30" t="s">
        <v>7780</v>
      </c>
      <c r="H27692" s="32">
        <v>28</v>
      </c>
      <c r="I27692" s="30" t="s">
        <v>51</v>
      </c>
      <c r="J27692" s="41">
        <v>46204</v>
      </c>
      <c r="K27692" s="30" t="s">
        <v>22</v>
      </c>
    </row>
    <row r="27693" spans="1:11">
      <c r="A27693" s="33" t="s">
        <v>60760</v>
      </c>
      <c r="B27693" s="33" t="s">
        <v>60761</v>
      </c>
      <c r="C27693" s="33" t="s">
        <v>326</v>
      </c>
      <c r="D27693" s="33" t="s">
        <v>17</v>
      </c>
      <c r="E27693" s="33" t="s">
        <v>18</v>
      </c>
      <c r="F27693" s="33" t="s">
        <v>19</v>
      </c>
      <c r="G27693" s="33" t="s">
        <v>112</v>
      </c>
      <c r="H27693" s="35">
        <v>0</v>
      </c>
      <c r="I27693" s="33" t="s">
        <v>21</v>
      </c>
      <c r="J27693" s="42">
        <v>46127</v>
      </c>
      <c r="K27693" s="33" t="s">
        <v>22</v>
      </c>
    </row>
    <row r="27694" spans="1:11">
      <c r="A27694" s="30" t="s">
        <v>60762</v>
      </c>
      <c r="B27694" s="30" t="s">
        <v>60763</v>
      </c>
      <c r="C27694" s="30" t="s">
        <v>178</v>
      </c>
      <c r="D27694" s="30" t="s">
        <v>17</v>
      </c>
      <c r="E27694" s="30" t="s">
        <v>31</v>
      </c>
      <c r="F27694" s="30" t="s">
        <v>32</v>
      </c>
      <c r="G27694" s="30" t="s">
        <v>140</v>
      </c>
      <c r="H27694" s="32">
        <v>80</v>
      </c>
      <c r="I27694" s="30" t="s">
        <v>51</v>
      </c>
      <c r="J27694" s="41">
        <v>46119</v>
      </c>
      <c r="K27694" s="30" t="s">
        <v>22</v>
      </c>
    </row>
    <row r="27695" spans="1:11">
      <c r="A27695" s="33" t="s">
        <v>60764</v>
      </c>
      <c r="B27695" s="33" t="s">
        <v>60765</v>
      </c>
      <c r="C27695" s="33" t="s">
        <v>11899</v>
      </c>
      <c r="D27695" s="33" t="s">
        <v>17</v>
      </c>
      <c r="E27695" s="33" t="s">
        <v>18</v>
      </c>
      <c r="F27695" s="33" t="s">
        <v>19</v>
      </c>
      <c r="G27695" s="33" t="s">
        <v>7780</v>
      </c>
      <c r="H27695" s="35">
        <v>690</v>
      </c>
      <c r="I27695" s="33" t="s">
        <v>51</v>
      </c>
      <c r="J27695" s="42">
        <v>46204</v>
      </c>
      <c r="K27695" s="33" t="s">
        <v>22</v>
      </c>
    </row>
    <row r="27696" spans="1:11">
      <c r="A27696" s="30" t="s">
        <v>60766</v>
      </c>
      <c r="B27696" s="30" t="s">
        <v>60767</v>
      </c>
      <c r="C27696" s="30" t="s">
        <v>3765</v>
      </c>
      <c r="D27696" s="30" t="s">
        <v>17</v>
      </c>
      <c r="E27696" s="30" t="s">
        <v>31</v>
      </c>
      <c r="F27696" s="30" t="s">
        <v>32</v>
      </c>
      <c r="G27696" s="30" t="s">
        <v>7780</v>
      </c>
      <c r="H27696" s="32">
        <v>5</v>
      </c>
      <c r="I27696" s="30" t="s">
        <v>51</v>
      </c>
      <c r="J27696" s="41">
        <v>46204</v>
      </c>
      <c r="K27696" s="30" t="s">
        <v>22</v>
      </c>
    </row>
    <row r="27697" spans="1:11">
      <c r="A27697" s="33" t="s">
        <v>60768</v>
      </c>
      <c r="B27697" s="33" t="s">
        <v>60769</v>
      </c>
      <c r="C27697" s="33" t="s">
        <v>787</v>
      </c>
      <c r="D27697" s="33" t="s">
        <v>17</v>
      </c>
      <c r="E27697" s="33" t="s">
        <v>45</v>
      </c>
      <c r="F27697" s="33" t="s">
        <v>46</v>
      </c>
      <c r="G27697" s="33" t="s">
        <v>140</v>
      </c>
      <c r="H27697" s="35">
        <v>344</v>
      </c>
      <c r="I27697" s="33" t="s">
        <v>51</v>
      </c>
      <c r="J27697" s="42">
        <v>46066</v>
      </c>
      <c r="K27697" s="33" t="s">
        <v>22</v>
      </c>
    </row>
    <row r="27698" spans="1:11">
      <c r="A27698" s="30" t="s">
        <v>60770</v>
      </c>
      <c r="B27698" s="30" t="s">
        <v>60771</v>
      </c>
      <c r="C27698" s="30" t="s">
        <v>17220</v>
      </c>
      <c r="D27698" s="30" t="s">
        <v>17</v>
      </c>
      <c r="E27698" s="30" t="s">
        <v>67</v>
      </c>
      <c r="F27698" s="30" t="s">
        <v>68</v>
      </c>
      <c r="G27698" s="30" t="s">
        <v>140</v>
      </c>
      <c r="H27698" s="32">
        <v>52</v>
      </c>
      <c r="I27698" s="30" t="s">
        <v>51</v>
      </c>
      <c r="J27698" s="41">
        <v>46189</v>
      </c>
      <c r="K27698" s="30" t="s">
        <v>22</v>
      </c>
    </row>
    <row r="27699" spans="1:11">
      <c r="A27699" s="33" t="s">
        <v>60772</v>
      </c>
      <c r="B27699" s="33" t="s">
        <v>60773</v>
      </c>
      <c r="C27699" s="33" t="s">
        <v>47821</v>
      </c>
      <c r="D27699" s="33" t="s">
        <v>17</v>
      </c>
      <c r="E27699" s="33" t="s">
        <v>26</v>
      </c>
      <c r="F27699" s="33" t="s">
        <v>27</v>
      </c>
      <c r="G27699" s="33" t="s">
        <v>140</v>
      </c>
      <c r="H27699" s="35">
        <v>265</v>
      </c>
      <c r="I27699" s="33" t="s">
        <v>51</v>
      </c>
      <c r="J27699" s="42">
        <v>46096</v>
      </c>
      <c r="K27699" s="33" t="s">
        <v>22</v>
      </c>
    </row>
    <row r="27700" spans="1:11">
      <c r="A27700" s="30" t="s">
        <v>60774</v>
      </c>
      <c r="B27700" s="30" t="s">
        <v>60775</v>
      </c>
      <c r="C27700" s="30" t="s">
        <v>10774</v>
      </c>
      <c r="D27700" s="30" t="s">
        <v>17</v>
      </c>
      <c r="E27700" s="30" t="s">
        <v>26</v>
      </c>
      <c r="F27700" s="30" t="s">
        <v>27</v>
      </c>
      <c r="G27700" s="30" t="s">
        <v>140</v>
      </c>
      <c r="H27700" s="32">
        <v>48</v>
      </c>
      <c r="I27700" s="30" t="s">
        <v>51</v>
      </c>
      <c r="J27700" s="41">
        <v>46204</v>
      </c>
      <c r="K27700" s="30" t="s">
        <v>22</v>
      </c>
    </row>
    <row r="27701" spans="1:11">
      <c r="A27701" s="33" t="s">
        <v>60776</v>
      </c>
      <c r="B27701" s="33" t="s">
        <v>60777</v>
      </c>
      <c r="C27701" s="33" t="s">
        <v>44733</v>
      </c>
      <c r="D27701" s="33" t="s">
        <v>17</v>
      </c>
      <c r="E27701" s="33" t="s">
        <v>26</v>
      </c>
      <c r="F27701" s="33" t="s">
        <v>27</v>
      </c>
      <c r="G27701" s="33" t="s">
        <v>140</v>
      </c>
      <c r="H27701" s="35">
        <v>60</v>
      </c>
      <c r="I27701" s="33" t="s">
        <v>51</v>
      </c>
      <c r="J27701" s="42">
        <v>46093</v>
      </c>
      <c r="K27701" s="33" t="s">
        <v>22</v>
      </c>
    </row>
    <row r="27702" spans="1:11">
      <c r="A27702" s="30" t="s">
        <v>60778</v>
      </c>
      <c r="B27702" s="30" t="s">
        <v>60779</v>
      </c>
      <c r="C27702" s="30" t="s">
        <v>647</v>
      </c>
      <c r="D27702" s="30" t="s">
        <v>17</v>
      </c>
      <c r="E27702" s="30" t="s">
        <v>18</v>
      </c>
      <c r="F27702" s="30" t="s">
        <v>19</v>
      </c>
      <c r="G27702" s="30" t="s">
        <v>140</v>
      </c>
      <c r="H27702" s="32">
        <v>310</v>
      </c>
      <c r="I27702" s="30" t="s">
        <v>51</v>
      </c>
      <c r="J27702" s="41">
        <v>46191</v>
      </c>
      <c r="K27702" s="30" t="s">
        <v>22</v>
      </c>
    </row>
    <row r="27703" spans="1:11">
      <c r="A27703" s="33" t="s">
        <v>60780</v>
      </c>
      <c r="B27703" s="33" t="s">
        <v>60781</v>
      </c>
      <c r="C27703" s="33" t="s">
        <v>6148</v>
      </c>
      <c r="D27703" s="33" t="s">
        <v>17</v>
      </c>
      <c r="E27703" s="33" t="s">
        <v>26</v>
      </c>
      <c r="F27703" s="33" t="s">
        <v>27</v>
      </c>
      <c r="G27703" s="33" t="s">
        <v>7780</v>
      </c>
      <c r="H27703" s="35">
        <v>16</v>
      </c>
      <c r="I27703" s="33" t="s">
        <v>51</v>
      </c>
      <c r="J27703" s="42">
        <v>46083</v>
      </c>
      <c r="K27703" s="33" t="s">
        <v>22</v>
      </c>
    </row>
    <row r="27704" spans="1:11">
      <c r="A27704" s="30" t="s">
        <v>60782</v>
      </c>
      <c r="B27704" s="30" t="s">
        <v>60783</v>
      </c>
      <c r="C27704" s="30" t="s">
        <v>19435</v>
      </c>
      <c r="D27704" s="30" t="s">
        <v>17</v>
      </c>
      <c r="E27704" s="30" t="s">
        <v>67</v>
      </c>
      <c r="F27704" s="30" t="s">
        <v>68</v>
      </c>
      <c r="G27704" s="30" t="s">
        <v>7780</v>
      </c>
      <c r="H27704" s="32">
        <v>21</v>
      </c>
      <c r="I27704" s="30" t="s">
        <v>51</v>
      </c>
      <c r="J27704" s="41">
        <v>46108</v>
      </c>
      <c r="K27704" s="30" t="s">
        <v>22</v>
      </c>
    </row>
    <row r="27705" spans="1:11">
      <c r="A27705" s="33" t="s">
        <v>60784</v>
      </c>
      <c r="B27705" s="33" t="s">
        <v>60785</v>
      </c>
      <c r="C27705" s="33" t="s">
        <v>2228</v>
      </c>
      <c r="D27705" s="33" t="s">
        <v>17</v>
      </c>
      <c r="E27705" s="33" t="s">
        <v>18</v>
      </c>
      <c r="F27705" s="33" t="s">
        <v>19</v>
      </c>
      <c r="G27705" s="33" t="s">
        <v>140</v>
      </c>
      <c r="H27705" s="35">
        <v>105</v>
      </c>
      <c r="I27705" s="33" t="s">
        <v>51</v>
      </c>
      <c r="J27705" s="42">
        <v>46066</v>
      </c>
      <c r="K27705" s="33" t="s">
        <v>22</v>
      </c>
    </row>
    <row r="27706" spans="1:11">
      <c r="A27706" s="30" t="s">
        <v>60786</v>
      </c>
      <c r="B27706" s="30" t="s">
        <v>60787</v>
      </c>
      <c r="C27706" s="30" t="s">
        <v>136</v>
      </c>
      <c r="D27706" s="30" t="s">
        <v>17</v>
      </c>
      <c r="E27706" s="30" t="s">
        <v>26</v>
      </c>
      <c r="F27706" s="30" t="s">
        <v>27</v>
      </c>
      <c r="G27706" s="30" t="s">
        <v>140</v>
      </c>
      <c r="H27706" s="32">
        <v>36</v>
      </c>
      <c r="I27706" s="30" t="s">
        <v>51</v>
      </c>
      <c r="J27706" s="41">
        <v>46176</v>
      </c>
      <c r="K27706" s="30" t="s">
        <v>22</v>
      </c>
    </row>
    <row r="27707" spans="1:11">
      <c r="A27707" s="33" t="s">
        <v>60788</v>
      </c>
      <c r="B27707" s="33" t="s">
        <v>60789</v>
      </c>
      <c r="C27707" s="33" t="s">
        <v>17860</v>
      </c>
      <c r="D27707" s="33" t="s">
        <v>17</v>
      </c>
      <c r="E27707" s="33" t="s">
        <v>67</v>
      </c>
      <c r="F27707" s="33" t="s">
        <v>68</v>
      </c>
      <c r="G27707" s="33" t="s">
        <v>140</v>
      </c>
      <c r="H27707" s="35">
        <v>132</v>
      </c>
      <c r="I27707" s="33" t="s">
        <v>51</v>
      </c>
      <c r="J27707" s="42">
        <v>46080</v>
      </c>
      <c r="K27707" s="33" t="s">
        <v>22</v>
      </c>
    </row>
    <row r="27708" spans="1:11">
      <c r="A27708" s="30" t="s">
        <v>60790</v>
      </c>
      <c r="B27708" s="30" t="s">
        <v>60791</v>
      </c>
      <c r="C27708" s="30" t="s">
        <v>52818</v>
      </c>
      <c r="D27708" s="30" t="s">
        <v>17</v>
      </c>
      <c r="E27708" s="30" t="s">
        <v>31</v>
      </c>
      <c r="F27708" s="30" t="s">
        <v>32</v>
      </c>
      <c r="G27708" s="30" t="s">
        <v>7780</v>
      </c>
      <c r="H27708" s="32">
        <v>10</v>
      </c>
      <c r="I27708" s="30" t="s">
        <v>51</v>
      </c>
      <c r="J27708" s="41">
        <v>46063</v>
      </c>
      <c r="K27708" s="30" t="s">
        <v>22</v>
      </c>
    </row>
    <row r="27709" spans="1:11">
      <c r="A27709" s="33" t="s">
        <v>60792</v>
      </c>
      <c r="B27709" s="33" t="s">
        <v>60793</v>
      </c>
      <c r="C27709" s="33" t="s">
        <v>45483</v>
      </c>
      <c r="D27709" s="33" t="s">
        <v>17</v>
      </c>
      <c r="E27709" s="33" t="s">
        <v>31</v>
      </c>
      <c r="F27709" s="33" t="s">
        <v>32</v>
      </c>
      <c r="G27709" s="33" t="s">
        <v>140</v>
      </c>
      <c r="H27709" s="35">
        <v>160</v>
      </c>
      <c r="I27709" s="33" t="s">
        <v>51</v>
      </c>
      <c r="J27709" s="42">
        <v>46100</v>
      </c>
      <c r="K27709" s="33" t="s">
        <v>22</v>
      </c>
    </row>
    <row r="27710" spans="1:11">
      <c r="A27710" s="30" t="s">
        <v>60794</v>
      </c>
      <c r="B27710" s="30" t="s">
        <v>60795</v>
      </c>
      <c r="C27710" s="30" t="s">
        <v>55737</v>
      </c>
      <c r="D27710" s="30" t="s">
        <v>17</v>
      </c>
      <c r="E27710" s="30" t="s">
        <v>45</v>
      </c>
      <c r="F27710" s="30" t="s">
        <v>46</v>
      </c>
      <c r="G27710" s="30" t="s">
        <v>140</v>
      </c>
      <c r="H27710" s="32">
        <v>400</v>
      </c>
      <c r="I27710" s="30" t="s">
        <v>51</v>
      </c>
      <c r="J27710" s="41">
        <v>46028</v>
      </c>
      <c r="K27710" s="30" t="s">
        <v>22</v>
      </c>
    </row>
    <row r="27711" spans="1:11">
      <c r="A27711" s="33" t="s">
        <v>60796</v>
      </c>
      <c r="B27711" s="33" t="s">
        <v>60797</v>
      </c>
      <c r="C27711" s="33" t="s">
        <v>149</v>
      </c>
      <c r="D27711" s="33" t="s">
        <v>17</v>
      </c>
      <c r="E27711" s="33" t="s">
        <v>26</v>
      </c>
      <c r="F27711" s="33" t="s">
        <v>27</v>
      </c>
      <c r="G27711" s="33" t="s">
        <v>140</v>
      </c>
      <c r="H27711" s="35">
        <v>200</v>
      </c>
      <c r="I27711" s="33" t="s">
        <v>51</v>
      </c>
      <c r="J27711" s="42">
        <v>46093</v>
      </c>
      <c r="K27711" s="33" t="s">
        <v>22</v>
      </c>
    </row>
    <row r="27712" spans="1:11">
      <c r="A27712" s="30" t="s">
        <v>60798</v>
      </c>
      <c r="B27712" s="30" t="s">
        <v>60799</v>
      </c>
      <c r="C27712" s="30" t="s">
        <v>16</v>
      </c>
      <c r="D27712" s="30" t="s">
        <v>17</v>
      </c>
      <c r="E27712" s="30" t="s">
        <v>31</v>
      </c>
      <c r="F27712" s="30" t="s">
        <v>32</v>
      </c>
      <c r="G27712" s="30" t="s">
        <v>140</v>
      </c>
      <c r="H27712" s="32">
        <v>3</v>
      </c>
      <c r="I27712" s="30" t="s">
        <v>51</v>
      </c>
      <c r="J27712" s="41">
        <v>46174</v>
      </c>
      <c r="K27712" s="30" t="s">
        <v>22</v>
      </c>
    </row>
    <row r="27713" spans="1:11">
      <c r="A27713" s="33" t="s">
        <v>60800</v>
      </c>
      <c r="B27713" s="33" t="s">
        <v>60801</v>
      </c>
      <c r="C27713" s="33" t="s">
        <v>35459</v>
      </c>
      <c r="D27713" s="33" t="s">
        <v>17</v>
      </c>
      <c r="E27713" s="33" t="s">
        <v>26</v>
      </c>
      <c r="F27713" s="33" t="s">
        <v>27</v>
      </c>
      <c r="G27713" s="33" t="s">
        <v>140</v>
      </c>
      <c r="H27713" s="35">
        <v>30</v>
      </c>
      <c r="I27713" s="33" t="s">
        <v>51</v>
      </c>
      <c r="J27713" s="42">
        <v>46027</v>
      </c>
      <c r="K27713" s="33" t="s">
        <v>22</v>
      </c>
    </row>
    <row r="27714" spans="1:11">
      <c r="A27714" s="30" t="s">
        <v>60802</v>
      </c>
      <c r="B27714" s="30" t="s">
        <v>60803</v>
      </c>
      <c r="C27714" s="30" t="s">
        <v>60804</v>
      </c>
      <c r="D27714" s="30" t="s">
        <v>17</v>
      </c>
      <c r="E27714" s="30" t="s">
        <v>212</v>
      </c>
      <c r="F27714" s="30" t="s">
        <v>213</v>
      </c>
      <c r="G27714" s="30" t="s">
        <v>140</v>
      </c>
      <c r="H27714" s="32">
        <v>30</v>
      </c>
      <c r="I27714" s="30" t="s">
        <v>51</v>
      </c>
      <c r="J27714" s="41">
        <v>46112</v>
      </c>
      <c r="K27714" s="30" t="s">
        <v>22</v>
      </c>
    </row>
    <row r="27715" spans="1:11">
      <c r="A27715" s="33" t="s">
        <v>60805</v>
      </c>
      <c r="B27715" s="33" t="s">
        <v>60806</v>
      </c>
      <c r="C27715" s="33" t="s">
        <v>1504</v>
      </c>
      <c r="D27715" s="33" t="s">
        <v>17</v>
      </c>
      <c r="E27715" s="33" t="s">
        <v>67</v>
      </c>
      <c r="F27715" s="33" t="s">
        <v>68</v>
      </c>
      <c r="G27715" s="33" t="s">
        <v>140</v>
      </c>
      <c r="H27715" s="35">
        <v>200</v>
      </c>
      <c r="I27715" s="33" t="s">
        <v>51</v>
      </c>
      <c r="J27715" s="42">
        <v>46035</v>
      </c>
      <c r="K27715" s="33" t="s">
        <v>22</v>
      </c>
    </row>
    <row r="27716" spans="1:11">
      <c r="A27716" s="30" t="s">
        <v>60807</v>
      </c>
      <c r="B27716" s="30" t="s">
        <v>60808</v>
      </c>
      <c r="C27716" s="30" t="s">
        <v>31218</v>
      </c>
      <c r="D27716" s="30" t="s">
        <v>17</v>
      </c>
      <c r="E27716" s="30" t="s">
        <v>26</v>
      </c>
      <c r="F27716" s="30" t="s">
        <v>27</v>
      </c>
      <c r="G27716" s="30" t="s">
        <v>7780</v>
      </c>
      <c r="H27716" s="32">
        <v>8</v>
      </c>
      <c r="I27716" s="30" t="s">
        <v>51</v>
      </c>
      <c r="J27716" s="41">
        <v>46223</v>
      </c>
      <c r="K27716" s="30" t="s">
        <v>22</v>
      </c>
    </row>
    <row r="27717" spans="1:11">
      <c r="A27717" s="33" t="s">
        <v>60809</v>
      </c>
      <c r="B27717" s="33" t="s">
        <v>60810</v>
      </c>
      <c r="C27717" s="33" t="s">
        <v>46081</v>
      </c>
      <c r="D27717" s="33" t="s">
        <v>17</v>
      </c>
      <c r="E27717" s="33" t="s">
        <v>26</v>
      </c>
      <c r="F27717" s="33" t="s">
        <v>27</v>
      </c>
      <c r="G27717" s="33" t="s">
        <v>7780</v>
      </c>
      <c r="H27717" s="35">
        <v>130</v>
      </c>
      <c r="I27717" s="33" t="s">
        <v>51</v>
      </c>
      <c r="J27717" s="42">
        <v>46174</v>
      </c>
      <c r="K27717" s="33" t="s">
        <v>22</v>
      </c>
    </row>
    <row r="27718" spans="1:11">
      <c r="A27718" s="30" t="s">
        <v>60811</v>
      </c>
      <c r="B27718" s="30" t="s">
        <v>60812</v>
      </c>
      <c r="C27718" s="30" t="s">
        <v>56957</v>
      </c>
      <c r="D27718" s="30" t="s">
        <v>17</v>
      </c>
      <c r="E27718" s="30" t="s">
        <v>67</v>
      </c>
      <c r="F27718" s="30" t="s">
        <v>68</v>
      </c>
      <c r="G27718" s="30" t="s">
        <v>140</v>
      </c>
      <c r="H27718" s="32">
        <v>30</v>
      </c>
      <c r="I27718" s="30" t="s">
        <v>51</v>
      </c>
      <c r="J27718" s="41">
        <v>46083</v>
      </c>
      <c r="K27718" s="30" t="s">
        <v>22</v>
      </c>
    </row>
    <row r="27719" spans="1:11">
      <c r="A27719" s="33" t="s">
        <v>60813</v>
      </c>
      <c r="B27719" s="33" t="s">
        <v>60814</v>
      </c>
      <c r="C27719" s="33" t="s">
        <v>44692</v>
      </c>
      <c r="D27719" s="33" t="s">
        <v>17</v>
      </c>
      <c r="E27719" s="33" t="s">
        <v>31</v>
      </c>
      <c r="F27719" s="33" t="s">
        <v>32</v>
      </c>
      <c r="G27719" s="33" t="s">
        <v>158</v>
      </c>
      <c r="H27719" s="35">
        <v>100</v>
      </c>
      <c r="I27719" s="33" t="s">
        <v>51</v>
      </c>
      <c r="J27719" s="42">
        <v>46044</v>
      </c>
      <c r="K27719" s="33" t="s">
        <v>22</v>
      </c>
    </row>
    <row r="27720" spans="1:11">
      <c r="A27720" s="30" t="s">
        <v>60815</v>
      </c>
      <c r="B27720" s="30" t="s">
        <v>60816</v>
      </c>
      <c r="C27720" s="30" t="s">
        <v>26340</v>
      </c>
      <c r="D27720" s="30" t="s">
        <v>17</v>
      </c>
      <c r="E27720" s="30" t="s">
        <v>18</v>
      </c>
      <c r="F27720" s="30" t="s">
        <v>19</v>
      </c>
      <c r="G27720" s="30" t="s">
        <v>158</v>
      </c>
      <c r="H27720" s="32">
        <v>1390</v>
      </c>
      <c r="I27720" s="30" t="s">
        <v>21</v>
      </c>
      <c r="J27720" s="41">
        <v>46034</v>
      </c>
      <c r="K27720" s="30" t="s">
        <v>22</v>
      </c>
    </row>
    <row r="27721" spans="1:11">
      <c r="A27721" s="33" t="s">
        <v>60817</v>
      </c>
      <c r="B27721" s="33" t="s">
        <v>60818</v>
      </c>
      <c r="C27721" s="33" t="s">
        <v>44</v>
      </c>
      <c r="D27721" s="33" t="s">
        <v>17</v>
      </c>
      <c r="E27721" s="33" t="s">
        <v>31</v>
      </c>
      <c r="F27721" s="33" t="s">
        <v>32</v>
      </c>
      <c r="G27721" s="33" t="s">
        <v>7780</v>
      </c>
      <c r="H27721" s="35">
        <v>360</v>
      </c>
      <c r="I27721" s="33" t="s">
        <v>51</v>
      </c>
      <c r="J27721" s="42">
        <v>46232</v>
      </c>
      <c r="K27721" s="33" t="s">
        <v>22</v>
      </c>
    </row>
    <row r="27722" spans="1:11">
      <c r="A27722" s="30" t="s">
        <v>60819</v>
      </c>
      <c r="B27722" s="30" t="s">
        <v>60820</v>
      </c>
      <c r="C27722" s="30" t="s">
        <v>11899</v>
      </c>
      <c r="D27722" s="30" t="s">
        <v>17</v>
      </c>
      <c r="E27722" s="30" t="s">
        <v>45</v>
      </c>
      <c r="F27722" s="30" t="s">
        <v>46</v>
      </c>
      <c r="G27722" s="30" t="s">
        <v>140</v>
      </c>
      <c r="H27722" s="32">
        <v>165</v>
      </c>
      <c r="I27722" s="30" t="s">
        <v>51</v>
      </c>
      <c r="J27722" s="41">
        <v>46104</v>
      </c>
      <c r="K27722" s="30" t="s">
        <v>22</v>
      </c>
    </row>
    <row r="27723" spans="1:11">
      <c r="A27723" s="33" t="s">
        <v>60821</v>
      </c>
      <c r="B27723" s="33" t="s">
        <v>60822</v>
      </c>
      <c r="C27723" s="33" t="s">
        <v>60823</v>
      </c>
      <c r="D27723" s="33" t="s">
        <v>17</v>
      </c>
      <c r="E27723" s="33" t="s">
        <v>26</v>
      </c>
      <c r="F27723" s="33" t="s">
        <v>27</v>
      </c>
      <c r="G27723" s="33" t="s">
        <v>7780</v>
      </c>
      <c r="H27723" s="35">
        <v>42</v>
      </c>
      <c r="I27723" s="33" t="s">
        <v>51</v>
      </c>
      <c r="J27723" s="42">
        <v>46174</v>
      </c>
      <c r="K27723" s="33" t="s">
        <v>22</v>
      </c>
    </row>
    <row r="27724" spans="1:11">
      <c r="A27724" s="30" t="s">
        <v>60824</v>
      </c>
      <c r="B27724" s="30" t="s">
        <v>60825</v>
      </c>
      <c r="C27724" s="30" t="s">
        <v>3775</v>
      </c>
      <c r="D27724" s="30" t="s">
        <v>17</v>
      </c>
      <c r="E27724" s="30" t="s">
        <v>26</v>
      </c>
      <c r="F27724" s="30" t="s">
        <v>27</v>
      </c>
      <c r="G27724" s="30" t="s">
        <v>7780</v>
      </c>
      <c r="H27724" s="32">
        <v>48</v>
      </c>
      <c r="I27724" s="30" t="s">
        <v>51</v>
      </c>
      <c r="J27724" s="41">
        <v>46121</v>
      </c>
      <c r="K27724" s="30" t="s">
        <v>22</v>
      </c>
    </row>
    <row r="27725" spans="1:11">
      <c r="A27725" s="33" t="s">
        <v>60826</v>
      </c>
      <c r="B27725" s="33" t="s">
        <v>60827</v>
      </c>
      <c r="C27725" s="33" t="s">
        <v>14816</v>
      </c>
      <c r="D27725" s="33" t="s">
        <v>17</v>
      </c>
      <c r="E27725" s="33" t="s">
        <v>18</v>
      </c>
      <c r="F27725" s="33" t="s">
        <v>19</v>
      </c>
      <c r="G27725" s="33" t="s">
        <v>140</v>
      </c>
      <c r="H27725" s="35">
        <v>648</v>
      </c>
      <c r="I27725" s="33" t="s">
        <v>51</v>
      </c>
      <c r="J27725" s="42">
        <v>46171</v>
      </c>
      <c r="K27725" s="33" t="s">
        <v>22</v>
      </c>
    </row>
    <row r="27726" spans="1:11">
      <c r="A27726" s="30" t="s">
        <v>60828</v>
      </c>
      <c r="B27726" s="30" t="s">
        <v>60829</v>
      </c>
      <c r="C27726" s="30" t="s">
        <v>228</v>
      </c>
      <c r="D27726" s="30" t="s">
        <v>17</v>
      </c>
      <c r="E27726" s="30" t="s">
        <v>67</v>
      </c>
      <c r="F27726" s="30" t="s">
        <v>68</v>
      </c>
      <c r="G27726" s="30" t="s">
        <v>140</v>
      </c>
      <c r="H27726" s="32">
        <v>30</v>
      </c>
      <c r="I27726" s="30" t="s">
        <v>51</v>
      </c>
      <c r="J27726" s="41">
        <v>46227</v>
      </c>
      <c r="K27726" s="30" t="s">
        <v>22</v>
      </c>
    </row>
    <row r="27727" spans="1:11">
      <c r="A27727" s="33" t="s">
        <v>60830</v>
      </c>
      <c r="B27727" s="33" t="s">
        <v>60831</v>
      </c>
      <c r="C27727" s="33" t="s">
        <v>56957</v>
      </c>
      <c r="D27727" s="33" t="s">
        <v>17</v>
      </c>
      <c r="E27727" s="33" t="s">
        <v>67</v>
      </c>
      <c r="F27727" s="33" t="s">
        <v>68</v>
      </c>
      <c r="G27727" s="33" t="s">
        <v>140</v>
      </c>
      <c r="H27727" s="35">
        <v>42</v>
      </c>
      <c r="I27727" s="33" t="s">
        <v>51</v>
      </c>
      <c r="J27727" s="42">
        <v>46055</v>
      </c>
      <c r="K27727" s="33" t="s">
        <v>22</v>
      </c>
    </row>
    <row r="27728" spans="1:11">
      <c r="A27728" s="30" t="s">
        <v>60832</v>
      </c>
      <c r="B27728" s="30" t="s">
        <v>60833</v>
      </c>
      <c r="C27728" s="30" t="s">
        <v>33931</v>
      </c>
      <c r="D27728" s="30" t="s">
        <v>17</v>
      </c>
      <c r="E27728" s="30" t="s">
        <v>18</v>
      </c>
      <c r="F27728" s="30" t="s">
        <v>19</v>
      </c>
      <c r="G27728" s="30" t="s">
        <v>7780</v>
      </c>
      <c r="H27728" s="32">
        <v>550</v>
      </c>
      <c r="I27728" s="30" t="s">
        <v>51</v>
      </c>
      <c r="J27728" s="41">
        <v>46174</v>
      </c>
      <c r="K27728" s="30" t="s">
        <v>22</v>
      </c>
    </row>
    <row r="27729" spans="1:11">
      <c r="A27729" s="33" t="s">
        <v>60834</v>
      </c>
      <c r="B27729" s="33" t="s">
        <v>60835</v>
      </c>
      <c r="C27729" s="33" t="s">
        <v>252</v>
      </c>
      <c r="D27729" s="33" t="s">
        <v>17</v>
      </c>
      <c r="E27729" s="33" t="s">
        <v>31</v>
      </c>
      <c r="F27729" s="33" t="s">
        <v>32</v>
      </c>
      <c r="G27729" s="33" t="s">
        <v>7780</v>
      </c>
      <c r="H27729" s="35">
        <v>111</v>
      </c>
      <c r="I27729" s="33" t="s">
        <v>51</v>
      </c>
      <c r="J27729" s="42">
        <v>46083</v>
      </c>
      <c r="K27729" s="33" t="s">
        <v>22</v>
      </c>
    </row>
    <row r="27730" spans="1:11">
      <c r="A27730" s="30" t="s">
        <v>60836</v>
      </c>
      <c r="B27730" s="30" t="s">
        <v>60837</v>
      </c>
      <c r="C27730" s="30" t="s">
        <v>25505</v>
      </c>
      <c r="D27730" s="30" t="s">
        <v>17</v>
      </c>
      <c r="E27730" s="30" t="s">
        <v>26</v>
      </c>
      <c r="F27730" s="30" t="s">
        <v>27</v>
      </c>
      <c r="G27730" s="30" t="s">
        <v>140</v>
      </c>
      <c r="H27730" s="32">
        <v>42</v>
      </c>
      <c r="I27730" s="30" t="s">
        <v>51</v>
      </c>
      <c r="J27730" s="41">
        <v>46126</v>
      </c>
      <c r="K27730" s="30" t="s">
        <v>22</v>
      </c>
    </row>
    <row r="27731" spans="1:11">
      <c r="A27731" s="33" t="s">
        <v>60838</v>
      </c>
      <c r="B27731" s="33" t="s">
        <v>60839</v>
      </c>
      <c r="C27731" s="33" t="s">
        <v>1908</v>
      </c>
      <c r="D27731" s="33" t="s">
        <v>17</v>
      </c>
      <c r="E27731" s="33" t="s">
        <v>26</v>
      </c>
      <c r="F27731" s="33" t="s">
        <v>27</v>
      </c>
      <c r="G27731" s="33" t="s">
        <v>140</v>
      </c>
      <c r="H27731" s="35">
        <v>12</v>
      </c>
      <c r="I27731" s="33" t="s">
        <v>51</v>
      </c>
      <c r="J27731" s="42">
        <v>46153</v>
      </c>
      <c r="K27731" s="33" t="s">
        <v>22</v>
      </c>
    </row>
    <row r="27732" spans="1:11">
      <c r="A27732" s="30" t="s">
        <v>60840</v>
      </c>
      <c r="B27732" s="30" t="s">
        <v>60841</v>
      </c>
      <c r="C27732" s="30" t="s">
        <v>698</v>
      </c>
      <c r="D27732" s="30" t="s">
        <v>17</v>
      </c>
      <c r="E27732" s="30" t="s">
        <v>31</v>
      </c>
      <c r="F27732" s="30" t="s">
        <v>32</v>
      </c>
      <c r="G27732" s="30" t="s">
        <v>7780</v>
      </c>
      <c r="H27732" s="32">
        <v>60</v>
      </c>
      <c r="I27732" s="30" t="s">
        <v>51</v>
      </c>
      <c r="J27732" s="41">
        <v>46172</v>
      </c>
      <c r="K27732" s="30" t="s">
        <v>22</v>
      </c>
    </row>
    <row r="27733" spans="1:11">
      <c r="A27733" s="33" t="s">
        <v>60842</v>
      </c>
      <c r="B27733" s="33" t="s">
        <v>60843</v>
      </c>
      <c r="C27733" s="33" t="s">
        <v>22680</v>
      </c>
      <c r="D27733" s="33" t="s">
        <v>17</v>
      </c>
      <c r="E27733" s="33" t="s">
        <v>18</v>
      </c>
      <c r="F27733" s="33" t="s">
        <v>19</v>
      </c>
      <c r="G27733" s="33" t="s">
        <v>7780</v>
      </c>
      <c r="H27733" s="35">
        <v>240</v>
      </c>
      <c r="I27733" s="33" t="s">
        <v>51</v>
      </c>
      <c r="J27733" s="42">
        <v>46192</v>
      </c>
      <c r="K27733" s="33" t="s">
        <v>22</v>
      </c>
    </row>
    <row r="27734" spans="1:11">
      <c r="A27734" s="30" t="s">
        <v>60844</v>
      </c>
      <c r="B27734" s="30" t="s">
        <v>60845</v>
      </c>
      <c r="C27734" s="30" t="s">
        <v>33390</v>
      </c>
      <c r="D27734" s="30" t="s">
        <v>17</v>
      </c>
      <c r="E27734" s="30" t="s">
        <v>26</v>
      </c>
      <c r="F27734" s="30" t="s">
        <v>27</v>
      </c>
      <c r="G27734" s="30" t="s">
        <v>140</v>
      </c>
      <c r="H27734" s="32">
        <v>36</v>
      </c>
      <c r="I27734" s="30" t="s">
        <v>51</v>
      </c>
      <c r="J27734" s="41">
        <v>46043</v>
      </c>
      <c r="K27734" s="30" t="s">
        <v>22</v>
      </c>
    </row>
    <row r="27735" spans="1:11">
      <c r="A27735" s="33" t="s">
        <v>60846</v>
      </c>
      <c r="B27735" s="33" t="s">
        <v>60847</v>
      </c>
      <c r="C27735" s="33" t="s">
        <v>698</v>
      </c>
      <c r="D27735" s="33" t="s">
        <v>17</v>
      </c>
      <c r="E27735" s="33" t="s">
        <v>26</v>
      </c>
      <c r="F27735" s="33" t="s">
        <v>27</v>
      </c>
      <c r="G27735" s="33" t="s">
        <v>140</v>
      </c>
      <c r="H27735" s="35">
        <v>44</v>
      </c>
      <c r="I27735" s="33" t="s">
        <v>51</v>
      </c>
      <c r="J27735" s="42">
        <v>46048</v>
      </c>
      <c r="K27735" s="33" t="s">
        <v>22</v>
      </c>
    </row>
    <row r="27736" spans="1:11">
      <c r="A27736" s="30" t="s">
        <v>60848</v>
      </c>
      <c r="B27736" s="30" t="s">
        <v>60849</v>
      </c>
      <c r="C27736" s="30" t="s">
        <v>25186</v>
      </c>
      <c r="D27736" s="30" t="s">
        <v>17</v>
      </c>
      <c r="E27736" s="30" t="s">
        <v>18</v>
      </c>
      <c r="F27736" s="30" t="s">
        <v>19</v>
      </c>
      <c r="G27736" s="30" t="s">
        <v>7780</v>
      </c>
      <c r="H27736" s="32">
        <v>912</v>
      </c>
      <c r="I27736" s="30" t="s">
        <v>51</v>
      </c>
      <c r="J27736" s="41">
        <v>46108</v>
      </c>
      <c r="K27736" s="30" t="s">
        <v>22</v>
      </c>
    </row>
    <row r="27737" spans="1:11">
      <c r="A27737" s="33" t="s">
        <v>60850</v>
      </c>
      <c r="B27737" s="33" t="s">
        <v>60851</v>
      </c>
      <c r="C27737" s="33" t="s">
        <v>7067</v>
      </c>
      <c r="D27737" s="33" t="s">
        <v>17</v>
      </c>
      <c r="E27737" s="33" t="s">
        <v>31</v>
      </c>
      <c r="F27737" s="33" t="s">
        <v>32</v>
      </c>
      <c r="G27737" s="33" t="s">
        <v>140</v>
      </c>
      <c r="H27737" s="35">
        <v>40</v>
      </c>
      <c r="I27737" s="33" t="s">
        <v>51</v>
      </c>
      <c r="J27737" s="42">
        <v>46112</v>
      </c>
      <c r="K27737" s="33" t="s">
        <v>22</v>
      </c>
    </row>
    <row r="27738" spans="1:11">
      <c r="A27738" s="30" t="s">
        <v>60852</v>
      </c>
      <c r="B27738" s="30" t="s">
        <v>60853</v>
      </c>
      <c r="C27738" s="30" t="s">
        <v>60854</v>
      </c>
      <c r="D27738" s="30" t="s">
        <v>17</v>
      </c>
      <c r="E27738" s="30" t="s">
        <v>26</v>
      </c>
      <c r="F27738" s="30" t="s">
        <v>27</v>
      </c>
      <c r="G27738" s="30" t="s">
        <v>140</v>
      </c>
      <c r="H27738" s="32">
        <v>6</v>
      </c>
      <c r="I27738" s="30" t="s">
        <v>51</v>
      </c>
      <c r="J27738" s="41">
        <v>46172</v>
      </c>
      <c r="K27738" s="30" t="s">
        <v>22</v>
      </c>
    </row>
    <row r="27739" spans="1:11">
      <c r="A27739" s="33" t="s">
        <v>60855</v>
      </c>
      <c r="B27739" s="33" t="s">
        <v>60856</v>
      </c>
      <c r="C27739" s="33" t="s">
        <v>93</v>
      </c>
      <c r="D27739" s="33" t="s">
        <v>17</v>
      </c>
      <c r="E27739" s="33" t="s">
        <v>26</v>
      </c>
      <c r="F27739" s="33" t="s">
        <v>27</v>
      </c>
      <c r="G27739" s="33" t="s">
        <v>140</v>
      </c>
      <c r="H27739" s="35">
        <v>26</v>
      </c>
      <c r="I27739" s="33" t="s">
        <v>51</v>
      </c>
      <c r="J27739" s="42">
        <v>46168</v>
      </c>
      <c r="K27739" s="33" t="s">
        <v>22</v>
      </c>
    </row>
    <row r="27740" spans="1:11">
      <c r="A27740" s="30" t="s">
        <v>60857</v>
      </c>
      <c r="B27740" s="30" t="s">
        <v>60858</v>
      </c>
      <c r="C27740" s="30" t="s">
        <v>37411</v>
      </c>
      <c r="D27740" s="30" t="s">
        <v>17</v>
      </c>
      <c r="E27740" s="30" t="s">
        <v>26</v>
      </c>
      <c r="F27740" s="30" t="s">
        <v>27</v>
      </c>
      <c r="G27740" s="30" t="s">
        <v>7780</v>
      </c>
      <c r="H27740" s="32">
        <v>28</v>
      </c>
      <c r="I27740" s="30" t="s">
        <v>51</v>
      </c>
      <c r="J27740" s="41">
        <v>46148</v>
      </c>
      <c r="K27740" s="30" t="s">
        <v>22</v>
      </c>
    </row>
    <row r="27741" spans="1:11">
      <c r="A27741" s="33" t="s">
        <v>60859</v>
      </c>
      <c r="B27741" s="33" t="s">
        <v>60860</v>
      </c>
      <c r="C27741" s="33" t="s">
        <v>41246</v>
      </c>
      <c r="D27741" s="33" t="s">
        <v>17</v>
      </c>
      <c r="E27741" s="33" t="s">
        <v>31</v>
      </c>
      <c r="F27741" s="33" t="s">
        <v>32</v>
      </c>
      <c r="G27741" s="33" t="s">
        <v>140</v>
      </c>
      <c r="H27741" s="35">
        <v>42</v>
      </c>
      <c r="I27741" s="33" t="s">
        <v>51</v>
      </c>
      <c r="J27741" s="42">
        <v>46051</v>
      </c>
      <c r="K27741" s="33" t="s">
        <v>22</v>
      </c>
    </row>
    <row r="27742" spans="1:11">
      <c r="A27742" s="30" t="s">
        <v>60861</v>
      </c>
      <c r="B27742" s="30" t="s">
        <v>60862</v>
      </c>
      <c r="C27742" s="30" t="s">
        <v>45122</v>
      </c>
      <c r="D27742" s="30" t="s">
        <v>17</v>
      </c>
      <c r="E27742" s="30" t="s">
        <v>18</v>
      </c>
      <c r="F27742" s="30" t="s">
        <v>19</v>
      </c>
      <c r="G27742" s="30" t="s">
        <v>140</v>
      </c>
      <c r="H27742" s="32">
        <v>540</v>
      </c>
      <c r="I27742" s="30" t="s">
        <v>51</v>
      </c>
      <c r="J27742" s="41">
        <v>46084</v>
      </c>
      <c r="K27742" s="30" t="s">
        <v>22</v>
      </c>
    </row>
    <row r="27743" spans="1:11">
      <c r="A27743" s="33" t="s">
        <v>60863</v>
      </c>
      <c r="B27743" s="33" t="s">
        <v>60864</v>
      </c>
      <c r="C27743" s="33" t="s">
        <v>60865</v>
      </c>
      <c r="D27743" s="33" t="s">
        <v>17</v>
      </c>
      <c r="E27743" s="33" t="s">
        <v>31</v>
      </c>
      <c r="F27743" s="33" t="s">
        <v>32</v>
      </c>
      <c r="G27743" s="33" t="s">
        <v>140</v>
      </c>
      <c r="H27743" s="35">
        <v>66</v>
      </c>
      <c r="I27743" s="33" t="s">
        <v>51</v>
      </c>
      <c r="J27743" s="42">
        <v>46023</v>
      </c>
      <c r="K27743" s="33" t="s">
        <v>22</v>
      </c>
    </row>
    <row r="27744" spans="1:11">
      <c r="A27744" s="30" t="s">
        <v>60866</v>
      </c>
      <c r="B27744" s="30" t="s">
        <v>60867</v>
      </c>
      <c r="C27744" s="30" t="s">
        <v>37411</v>
      </c>
      <c r="D27744" s="30" t="s">
        <v>17</v>
      </c>
      <c r="E27744" s="30" t="s">
        <v>26</v>
      </c>
      <c r="F27744" s="30" t="s">
        <v>27</v>
      </c>
      <c r="G27744" s="30" t="s">
        <v>7780</v>
      </c>
      <c r="H27744" s="32">
        <v>32</v>
      </c>
      <c r="I27744" s="30" t="s">
        <v>51</v>
      </c>
      <c r="J27744" s="41">
        <v>46174</v>
      </c>
      <c r="K27744" s="30" t="s">
        <v>22</v>
      </c>
    </row>
    <row r="27745" spans="1:11">
      <c r="A27745" s="33" t="s">
        <v>60868</v>
      </c>
      <c r="B27745" s="33" t="s">
        <v>60869</v>
      </c>
      <c r="C27745" s="33" t="s">
        <v>5246</v>
      </c>
      <c r="D27745" s="33" t="s">
        <v>17</v>
      </c>
      <c r="E27745" s="33" t="s">
        <v>26</v>
      </c>
      <c r="F27745" s="33" t="s">
        <v>27</v>
      </c>
      <c r="G27745" s="33" t="s">
        <v>7780</v>
      </c>
      <c r="H27745" s="35">
        <v>8</v>
      </c>
      <c r="I27745" s="33" t="s">
        <v>51</v>
      </c>
      <c r="J27745" s="42">
        <v>46096</v>
      </c>
      <c r="K27745" s="33" t="s">
        <v>22</v>
      </c>
    </row>
    <row r="27746" spans="1:11">
      <c r="A27746" s="30" t="s">
        <v>60870</v>
      </c>
      <c r="B27746" s="30" t="s">
        <v>60871</v>
      </c>
      <c r="C27746" s="30" t="s">
        <v>570</v>
      </c>
      <c r="D27746" s="30" t="s">
        <v>17</v>
      </c>
      <c r="E27746" s="30" t="s">
        <v>18</v>
      </c>
      <c r="F27746" s="30" t="s">
        <v>19</v>
      </c>
      <c r="G27746" s="30" t="s">
        <v>140</v>
      </c>
      <c r="H27746" s="32">
        <v>318</v>
      </c>
      <c r="I27746" s="30" t="s">
        <v>51</v>
      </c>
      <c r="J27746" s="41">
        <v>46188</v>
      </c>
      <c r="K27746" s="30" t="s">
        <v>22</v>
      </c>
    </row>
    <row r="27747" spans="1:11">
      <c r="A27747" s="33" t="s">
        <v>60872</v>
      </c>
      <c r="B27747" s="33" t="s">
        <v>60873</v>
      </c>
      <c r="C27747" s="33" t="s">
        <v>60</v>
      </c>
      <c r="D27747" s="33" t="s">
        <v>17</v>
      </c>
      <c r="E27747" s="33" t="s">
        <v>26</v>
      </c>
      <c r="F27747" s="33" t="s">
        <v>27</v>
      </c>
      <c r="G27747" s="33" t="s">
        <v>140</v>
      </c>
      <c r="H27747" s="35">
        <v>118</v>
      </c>
      <c r="I27747" s="33" t="s">
        <v>51</v>
      </c>
      <c r="J27747" s="42">
        <v>46163</v>
      </c>
      <c r="K27747" s="33" t="s">
        <v>22</v>
      </c>
    </row>
    <row r="27748" spans="1:11">
      <c r="A27748" s="30" t="s">
        <v>60874</v>
      </c>
      <c r="B27748" s="30" t="s">
        <v>60875</v>
      </c>
      <c r="C27748" s="30" t="s">
        <v>2500</v>
      </c>
      <c r="D27748" s="30" t="s">
        <v>17</v>
      </c>
      <c r="E27748" s="30" t="s">
        <v>67</v>
      </c>
      <c r="F27748" s="30" t="s">
        <v>68</v>
      </c>
      <c r="G27748" s="30" t="s">
        <v>140</v>
      </c>
      <c r="H27748" s="32">
        <v>12</v>
      </c>
      <c r="I27748" s="30" t="s">
        <v>51</v>
      </c>
      <c r="J27748" s="41">
        <v>46128</v>
      </c>
      <c r="K27748" s="30" t="s">
        <v>22</v>
      </c>
    </row>
    <row r="27749" spans="1:11">
      <c r="A27749" s="33" t="s">
        <v>60876</v>
      </c>
      <c r="B27749" s="33" t="s">
        <v>60877</v>
      </c>
      <c r="C27749" s="33" t="s">
        <v>925</v>
      </c>
      <c r="D27749" s="33" t="s">
        <v>17</v>
      </c>
      <c r="E27749" s="33" t="s">
        <v>31</v>
      </c>
      <c r="F27749" s="33" t="s">
        <v>32</v>
      </c>
      <c r="G27749" s="33" t="s">
        <v>140</v>
      </c>
      <c r="H27749" s="35">
        <v>120</v>
      </c>
      <c r="I27749" s="33" t="s">
        <v>51</v>
      </c>
      <c r="J27749" s="42">
        <v>46204</v>
      </c>
      <c r="K27749" s="33" t="s">
        <v>22</v>
      </c>
    </row>
    <row r="27750" spans="1:11">
      <c r="A27750" s="30" t="s">
        <v>60878</v>
      </c>
      <c r="B27750" s="30" t="s">
        <v>60879</v>
      </c>
      <c r="C27750" s="30" t="s">
        <v>21691</v>
      </c>
      <c r="D27750" s="30" t="s">
        <v>17</v>
      </c>
      <c r="E27750" s="30" t="s">
        <v>26</v>
      </c>
      <c r="F27750" s="30" t="s">
        <v>27</v>
      </c>
      <c r="G27750" s="30" t="s">
        <v>7780</v>
      </c>
      <c r="H27750" s="32">
        <v>52</v>
      </c>
      <c r="I27750" s="30" t="s">
        <v>51</v>
      </c>
      <c r="J27750" s="41">
        <v>46172</v>
      </c>
      <c r="K27750" s="30" t="s">
        <v>22</v>
      </c>
    </row>
    <row r="27751" spans="1:11">
      <c r="A27751" s="33" t="s">
        <v>60880</v>
      </c>
      <c r="B27751" s="33" t="s">
        <v>60881</v>
      </c>
      <c r="C27751" s="33" t="s">
        <v>124</v>
      </c>
      <c r="D27751" s="33" t="s">
        <v>17</v>
      </c>
      <c r="E27751" s="33" t="s">
        <v>18</v>
      </c>
      <c r="F27751" s="33" t="s">
        <v>19</v>
      </c>
      <c r="G27751" s="33" t="s">
        <v>140</v>
      </c>
      <c r="H27751" s="35">
        <v>376</v>
      </c>
      <c r="I27751" s="33" t="s">
        <v>51</v>
      </c>
      <c r="J27751" s="42">
        <v>46166</v>
      </c>
      <c r="K27751" s="33" t="s">
        <v>22</v>
      </c>
    </row>
    <row r="27752" spans="1:11">
      <c r="A27752" s="30" t="s">
        <v>60882</v>
      </c>
      <c r="B27752" s="30" t="s">
        <v>60883</v>
      </c>
      <c r="C27752" s="30" t="s">
        <v>136</v>
      </c>
      <c r="D27752" s="30" t="s">
        <v>17</v>
      </c>
      <c r="E27752" s="30" t="s">
        <v>18</v>
      </c>
      <c r="F27752" s="30" t="s">
        <v>19</v>
      </c>
      <c r="G27752" s="30" t="s">
        <v>140</v>
      </c>
      <c r="H27752" s="32">
        <v>1000</v>
      </c>
      <c r="I27752" s="30" t="s">
        <v>51</v>
      </c>
      <c r="J27752" s="41">
        <v>46062</v>
      </c>
      <c r="K27752" s="30" t="s">
        <v>22</v>
      </c>
    </row>
    <row r="27753" spans="1:11">
      <c r="A27753" s="33" t="s">
        <v>60884</v>
      </c>
      <c r="B27753" s="33" t="s">
        <v>60885</v>
      </c>
      <c r="C27753" s="33" t="s">
        <v>231</v>
      </c>
      <c r="D27753" s="33" t="s">
        <v>17</v>
      </c>
      <c r="E27753" s="33" t="s">
        <v>31</v>
      </c>
      <c r="F27753" s="33" t="s">
        <v>32</v>
      </c>
      <c r="G27753" s="33" t="s">
        <v>140</v>
      </c>
      <c r="H27753" s="35">
        <v>300</v>
      </c>
      <c r="I27753" s="33" t="s">
        <v>51</v>
      </c>
      <c r="J27753" s="42">
        <v>46203</v>
      </c>
      <c r="K27753" s="33" t="s">
        <v>22</v>
      </c>
    </row>
    <row r="27754" spans="1:11">
      <c r="A27754" s="30" t="s">
        <v>60886</v>
      </c>
      <c r="B27754" s="30" t="s">
        <v>60887</v>
      </c>
      <c r="C27754" s="30" t="s">
        <v>321</v>
      </c>
      <c r="D27754" s="30" t="s">
        <v>17</v>
      </c>
      <c r="E27754" s="30" t="s">
        <v>18</v>
      </c>
      <c r="F27754" s="30" t="s">
        <v>19</v>
      </c>
      <c r="G27754" s="30" t="s">
        <v>140</v>
      </c>
      <c r="H27754" s="32">
        <v>300</v>
      </c>
      <c r="I27754" s="30" t="s">
        <v>51</v>
      </c>
      <c r="J27754" s="41">
        <v>46062</v>
      </c>
      <c r="K27754" s="30" t="s">
        <v>22</v>
      </c>
    </row>
    <row r="27755" spans="1:11">
      <c r="A27755" s="33" t="s">
        <v>60888</v>
      </c>
      <c r="B27755" s="33" t="s">
        <v>60889</v>
      </c>
      <c r="C27755" s="33" t="s">
        <v>30672</v>
      </c>
      <c r="D27755" s="33" t="s">
        <v>17</v>
      </c>
      <c r="E27755" s="33" t="s">
        <v>67</v>
      </c>
      <c r="F27755" s="33" t="s">
        <v>68</v>
      </c>
      <c r="G27755" s="33" t="s">
        <v>140</v>
      </c>
      <c r="H27755" s="35">
        <v>118</v>
      </c>
      <c r="I27755" s="33" t="s">
        <v>51</v>
      </c>
      <c r="J27755" s="42">
        <v>46202</v>
      </c>
      <c r="K27755" s="33" t="s">
        <v>22</v>
      </c>
    </row>
    <row r="27756" spans="1:11">
      <c r="A27756" s="30" t="s">
        <v>60890</v>
      </c>
      <c r="B27756" s="30" t="s">
        <v>60891</v>
      </c>
      <c r="C27756" s="30" t="s">
        <v>1270</v>
      </c>
      <c r="D27756" s="30" t="s">
        <v>17</v>
      </c>
      <c r="E27756" s="30" t="s">
        <v>26</v>
      </c>
      <c r="F27756" s="30" t="s">
        <v>27</v>
      </c>
      <c r="G27756" s="30" t="s">
        <v>7780</v>
      </c>
      <c r="H27756" s="32">
        <v>400</v>
      </c>
      <c r="I27756" s="30" t="s">
        <v>51</v>
      </c>
      <c r="J27756" s="41">
        <v>46111</v>
      </c>
      <c r="K27756" s="30" t="s">
        <v>22</v>
      </c>
    </row>
    <row r="27757" spans="1:11">
      <c r="A27757" s="33" t="s">
        <v>60892</v>
      </c>
      <c r="B27757" s="33" t="s">
        <v>60893</v>
      </c>
      <c r="C27757" s="33" t="s">
        <v>1210</v>
      </c>
      <c r="D27757" s="33" t="s">
        <v>17</v>
      </c>
      <c r="E27757" s="33" t="s">
        <v>26</v>
      </c>
      <c r="F27757" s="33" t="s">
        <v>27</v>
      </c>
      <c r="G27757" s="33" t="s">
        <v>140</v>
      </c>
      <c r="H27757" s="35">
        <v>120</v>
      </c>
      <c r="I27757" s="33" t="s">
        <v>51</v>
      </c>
      <c r="J27757" s="42">
        <v>46175</v>
      </c>
      <c r="K27757" s="33" t="s">
        <v>22</v>
      </c>
    </row>
    <row r="27758" spans="1:11">
      <c r="A27758" s="30" t="s">
        <v>60894</v>
      </c>
      <c r="B27758" s="30" t="s">
        <v>60895</v>
      </c>
      <c r="C27758" s="30" t="s">
        <v>52929</v>
      </c>
      <c r="D27758" s="30" t="s">
        <v>17</v>
      </c>
      <c r="E27758" s="30" t="s">
        <v>26</v>
      </c>
      <c r="F27758" s="30" t="s">
        <v>27</v>
      </c>
      <c r="G27758" s="30" t="s">
        <v>7780</v>
      </c>
      <c r="H27758" s="32">
        <v>3</v>
      </c>
      <c r="I27758" s="30" t="s">
        <v>51</v>
      </c>
      <c r="J27758" s="41">
        <v>46188</v>
      </c>
      <c r="K27758" s="30" t="s">
        <v>22</v>
      </c>
    </row>
    <row r="27759" spans="1:11">
      <c r="A27759" s="33" t="s">
        <v>60896</v>
      </c>
      <c r="B27759" s="33" t="s">
        <v>60897</v>
      </c>
      <c r="C27759" s="33" t="s">
        <v>44</v>
      </c>
      <c r="D27759" s="33" t="s">
        <v>17</v>
      </c>
      <c r="E27759" s="33" t="s">
        <v>31</v>
      </c>
      <c r="F27759" s="33" t="s">
        <v>32</v>
      </c>
      <c r="G27759" s="33" t="s">
        <v>140</v>
      </c>
      <c r="H27759" s="35">
        <v>120</v>
      </c>
      <c r="I27759" s="33" t="s">
        <v>51</v>
      </c>
      <c r="J27759" s="42">
        <v>46126</v>
      </c>
      <c r="K27759" s="33" t="s">
        <v>22</v>
      </c>
    </row>
    <row r="27760" spans="1:11">
      <c r="A27760" s="30" t="s">
        <v>60898</v>
      </c>
      <c r="B27760" s="30" t="s">
        <v>60899</v>
      </c>
      <c r="C27760" s="30" t="s">
        <v>57343</v>
      </c>
      <c r="D27760" s="30" t="s">
        <v>17</v>
      </c>
      <c r="E27760" s="30" t="s">
        <v>31</v>
      </c>
      <c r="F27760" s="30" t="s">
        <v>32</v>
      </c>
      <c r="G27760" s="30" t="s">
        <v>140</v>
      </c>
      <c r="H27760" s="32">
        <v>300</v>
      </c>
      <c r="I27760" s="30" t="s">
        <v>51</v>
      </c>
      <c r="J27760" s="41">
        <v>46068</v>
      </c>
      <c r="K27760" s="30" t="s">
        <v>22</v>
      </c>
    </row>
    <row r="27761" spans="1:11">
      <c r="A27761" s="33" t="s">
        <v>60900</v>
      </c>
      <c r="B27761" s="33" t="s">
        <v>60901</v>
      </c>
      <c r="C27761" s="33" t="s">
        <v>190</v>
      </c>
      <c r="D27761" s="33" t="s">
        <v>17</v>
      </c>
      <c r="E27761" s="33" t="s">
        <v>67</v>
      </c>
      <c r="F27761" s="33" t="s">
        <v>68</v>
      </c>
      <c r="G27761" s="33" t="s">
        <v>140</v>
      </c>
      <c r="H27761" s="35">
        <v>160</v>
      </c>
      <c r="I27761" s="33" t="s">
        <v>51</v>
      </c>
      <c r="J27761" s="42">
        <v>46211</v>
      </c>
      <c r="K27761" s="33" t="s">
        <v>22</v>
      </c>
    </row>
    <row r="27762" spans="1:11">
      <c r="A27762" s="30" t="s">
        <v>60902</v>
      </c>
      <c r="B27762" s="30" t="s">
        <v>60903</v>
      </c>
      <c r="C27762" s="30" t="s">
        <v>48866</v>
      </c>
      <c r="D27762" s="30" t="s">
        <v>17</v>
      </c>
      <c r="E27762" s="30" t="s">
        <v>26</v>
      </c>
      <c r="F27762" s="30" t="s">
        <v>27</v>
      </c>
      <c r="G27762" s="30" t="s">
        <v>140</v>
      </c>
      <c r="H27762" s="32">
        <v>10</v>
      </c>
      <c r="I27762" s="30" t="s">
        <v>51</v>
      </c>
      <c r="J27762" s="41">
        <v>46113</v>
      </c>
      <c r="K27762" s="30" t="s">
        <v>22</v>
      </c>
    </row>
    <row r="27763" spans="1:11">
      <c r="A27763" s="33" t="s">
        <v>60904</v>
      </c>
      <c r="B27763" s="33" t="s">
        <v>60905</v>
      </c>
      <c r="C27763" s="33" t="s">
        <v>60906</v>
      </c>
      <c r="D27763" s="33" t="s">
        <v>17</v>
      </c>
      <c r="E27763" s="33" t="s">
        <v>31</v>
      </c>
      <c r="F27763" s="33" t="s">
        <v>32</v>
      </c>
      <c r="G27763" s="33" t="s">
        <v>140</v>
      </c>
      <c r="H27763" s="35">
        <v>150</v>
      </c>
      <c r="I27763" s="33" t="s">
        <v>51</v>
      </c>
      <c r="J27763" s="42">
        <v>46078</v>
      </c>
      <c r="K27763" s="33" t="s">
        <v>22</v>
      </c>
    </row>
    <row r="27764" spans="1:11">
      <c r="A27764" s="30" t="s">
        <v>60907</v>
      </c>
      <c r="B27764" s="30" t="s">
        <v>60908</v>
      </c>
      <c r="C27764" s="30" t="s">
        <v>5188</v>
      </c>
      <c r="D27764" s="30" t="s">
        <v>17</v>
      </c>
      <c r="E27764" s="30" t="s">
        <v>18</v>
      </c>
      <c r="F27764" s="30" t="s">
        <v>19</v>
      </c>
      <c r="G27764" s="30" t="s">
        <v>140</v>
      </c>
      <c r="H27764" s="32">
        <v>248</v>
      </c>
      <c r="I27764" s="30" t="s">
        <v>51</v>
      </c>
      <c r="J27764" s="41">
        <v>46108</v>
      </c>
      <c r="K27764" s="30" t="s">
        <v>22</v>
      </c>
    </row>
    <row r="27765" spans="1:11">
      <c r="A27765" s="33" t="s">
        <v>60909</v>
      </c>
      <c r="B27765" s="33" t="s">
        <v>60910</v>
      </c>
      <c r="C27765" s="33" t="s">
        <v>10009</v>
      </c>
      <c r="D27765" s="33" t="s">
        <v>17</v>
      </c>
      <c r="E27765" s="33" t="s">
        <v>18</v>
      </c>
      <c r="F27765" s="33" t="s">
        <v>19</v>
      </c>
      <c r="G27765" s="33" t="s">
        <v>140</v>
      </c>
      <c r="H27765" s="35">
        <v>210</v>
      </c>
      <c r="I27765" s="33" t="s">
        <v>51</v>
      </c>
      <c r="J27765" s="42">
        <v>46170</v>
      </c>
      <c r="K27765" s="33" t="s">
        <v>22</v>
      </c>
    </row>
    <row r="27766" spans="1:11">
      <c r="A27766" s="30" t="s">
        <v>60911</v>
      </c>
      <c r="B27766" s="30" t="s">
        <v>60912</v>
      </c>
      <c r="C27766" s="30" t="s">
        <v>60913</v>
      </c>
      <c r="D27766" s="30" t="s">
        <v>17</v>
      </c>
      <c r="E27766" s="30" t="s">
        <v>67</v>
      </c>
      <c r="F27766" s="30" t="s">
        <v>68</v>
      </c>
      <c r="G27766" s="30" t="s">
        <v>140</v>
      </c>
      <c r="H27766" s="32">
        <v>114</v>
      </c>
      <c r="I27766" s="30" t="s">
        <v>51</v>
      </c>
      <c r="J27766" s="41">
        <v>46188</v>
      </c>
      <c r="K27766" s="30" t="s">
        <v>22</v>
      </c>
    </row>
    <row r="27767" spans="1:11">
      <c r="A27767" s="33" t="s">
        <v>60914</v>
      </c>
      <c r="B27767" s="33" t="s">
        <v>60915</v>
      </c>
      <c r="C27767" s="33" t="s">
        <v>187</v>
      </c>
      <c r="D27767" s="33" t="s">
        <v>17</v>
      </c>
      <c r="E27767" s="33" t="s">
        <v>67</v>
      </c>
      <c r="F27767" s="33" t="s">
        <v>68</v>
      </c>
      <c r="G27767" s="33" t="s">
        <v>140</v>
      </c>
      <c r="H27767" s="35">
        <v>105</v>
      </c>
      <c r="I27767" s="33" t="s">
        <v>51</v>
      </c>
      <c r="J27767" s="42">
        <v>46065</v>
      </c>
      <c r="K27767" s="33" t="s">
        <v>22</v>
      </c>
    </row>
    <row r="27768" spans="1:11">
      <c r="A27768" s="30" t="s">
        <v>60916</v>
      </c>
      <c r="B27768" s="30" t="s">
        <v>60917</v>
      </c>
      <c r="C27768" s="30" t="s">
        <v>149</v>
      </c>
      <c r="D27768" s="30" t="s">
        <v>17</v>
      </c>
      <c r="E27768" s="30" t="s">
        <v>26</v>
      </c>
      <c r="F27768" s="30" t="s">
        <v>27</v>
      </c>
      <c r="G27768" s="30" t="s">
        <v>7780</v>
      </c>
      <c r="H27768" s="32">
        <v>21</v>
      </c>
      <c r="I27768" s="30" t="s">
        <v>51</v>
      </c>
      <c r="J27768" s="41">
        <v>46143</v>
      </c>
      <c r="K27768" s="30" t="s">
        <v>22</v>
      </c>
    </row>
    <row r="27769" spans="1:11">
      <c r="A27769" s="33" t="s">
        <v>60918</v>
      </c>
      <c r="B27769" s="33" t="s">
        <v>60919</v>
      </c>
      <c r="C27769" s="33" t="s">
        <v>18296</v>
      </c>
      <c r="D27769" s="33" t="s">
        <v>17</v>
      </c>
      <c r="E27769" s="33" t="s">
        <v>67</v>
      </c>
      <c r="F27769" s="33" t="s">
        <v>68</v>
      </c>
      <c r="G27769" s="33" t="s">
        <v>140</v>
      </c>
      <c r="H27769" s="35">
        <v>160</v>
      </c>
      <c r="I27769" s="33" t="s">
        <v>51</v>
      </c>
      <c r="J27769" s="42">
        <v>46120</v>
      </c>
      <c r="K27769" s="33" t="s">
        <v>22</v>
      </c>
    </row>
    <row r="27770" spans="1:11">
      <c r="A27770" s="30" t="s">
        <v>60920</v>
      </c>
      <c r="B27770" s="30" t="s">
        <v>60921</v>
      </c>
      <c r="C27770" s="30" t="s">
        <v>60922</v>
      </c>
      <c r="D27770" s="30" t="s">
        <v>17</v>
      </c>
      <c r="E27770" s="30" t="s">
        <v>31</v>
      </c>
      <c r="F27770" s="30" t="s">
        <v>32</v>
      </c>
      <c r="G27770" s="30" t="s">
        <v>140</v>
      </c>
      <c r="H27770" s="32">
        <v>204</v>
      </c>
      <c r="I27770" s="30" t="s">
        <v>51</v>
      </c>
      <c r="J27770" s="41">
        <v>46115</v>
      </c>
      <c r="K27770" s="30" t="s">
        <v>22</v>
      </c>
    </row>
    <row r="27771" spans="1:11">
      <c r="A27771" s="33" t="s">
        <v>60923</v>
      </c>
      <c r="B27771" s="33" t="s">
        <v>60924</v>
      </c>
      <c r="C27771" s="33" t="s">
        <v>969</v>
      </c>
      <c r="D27771" s="33" t="s">
        <v>17</v>
      </c>
      <c r="E27771" s="33" t="s">
        <v>67</v>
      </c>
      <c r="F27771" s="33" t="s">
        <v>68</v>
      </c>
      <c r="G27771" s="33" t="s">
        <v>7780</v>
      </c>
      <c r="H27771" s="35">
        <v>49</v>
      </c>
      <c r="I27771" s="33" t="s">
        <v>51</v>
      </c>
      <c r="J27771" s="42">
        <v>46185</v>
      </c>
      <c r="K27771" s="33" t="s">
        <v>22</v>
      </c>
    </row>
    <row r="27772" spans="1:11">
      <c r="A27772" s="30" t="s">
        <v>60925</v>
      </c>
      <c r="B27772" s="30" t="s">
        <v>60926</v>
      </c>
      <c r="C27772" s="30" t="s">
        <v>1024</v>
      </c>
      <c r="D27772" s="30" t="s">
        <v>17</v>
      </c>
      <c r="E27772" s="30" t="s">
        <v>330</v>
      </c>
      <c r="F27772" s="30" t="s">
        <v>331</v>
      </c>
      <c r="G27772" s="30" t="s">
        <v>140</v>
      </c>
      <c r="H27772" s="32">
        <v>88</v>
      </c>
      <c r="I27772" s="30" t="s">
        <v>51</v>
      </c>
      <c r="J27772" s="41">
        <v>46212</v>
      </c>
      <c r="K27772" s="30" t="s">
        <v>22</v>
      </c>
    </row>
    <row r="27773" spans="1:11">
      <c r="A27773" s="33" t="s">
        <v>60927</v>
      </c>
      <c r="B27773" s="33" t="s">
        <v>60928</v>
      </c>
      <c r="C27773" s="33" t="s">
        <v>718</v>
      </c>
      <c r="D27773" s="33" t="s">
        <v>17</v>
      </c>
      <c r="E27773" s="33" t="s">
        <v>26</v>
      </c>
      <c r="F27773" s="33" t="s">
        <v>27</v>
      </c>
      <c r="G27773" s="33" t="s">
        <v>7780</v>
      </c>
      <c r="H27773" s="35">
        <v>294</v>
      </c>
      <c r="I27773" s="33" t="s">
        <v>51</v>
      </c>
      <c r="J27773" s="42">
        <v>46174</v>
      </c>
      <c r="K27773" s="33" t="s">
        <v>22</v>
      </c>
    </row>
    <row r="27774" spans="1:11">
      <c r="A27774" s="30" t="s">
        <v>60929</v>
      </c>
      <c r="B27774" s="30" t="s">
        <v>60930</v>
      </c>
      <c r="C27774" s="30" t="s">
        <v>178</v>
      </c>
      <c r="D27774" s="30" t="s">
        <v>17</v>
      </c>
      <c r="E27774" s="30" t="s">
        <v>31</v>
      </c>
      <c r="F27774" s="30" t="s">
        <v>32</v>
      </c>
      <c r="G27774" s="30" t="s">
        <v>140</v>
      </c>
      <c r="H27774" s="32">
        <v>80</v>
      </c>
      <c r="I27774" s="30" t="s">
        <v>51</v>
      </c>
      <c r="J27774" s="41">
        <v>46071</v>
      </c>
      <c r="K27774" s="30" t="s">
        <v>22</v>
      </c>
    </row>
    <row r="27775" spans="1:11">
      <c r="A27775" s="33" t="s">
        <v>60931</v>
      </c>
      <c r="B27775" s="33" t="s">
        <v>60932</v>
      </c>
      <c r="C27775" s="33" t="s">
        <v>326</v>
      </c>
      <c r="D27775" s="33" t="s">
        <v>17</v>
      </c>
      <c r="E27775" s="33" t="s">
        <v>26</v>
      </c>
      <c r="F27775" s="33" t="s">
        <v>27</v>
      </c>
      <c r="G27775" s="33" t="s">
        <v>7780</v>
      </c>
      <c r="H27775" s="35">
        <v>30</v>
      </c>
      <c r="I27775" s="33" t="s">
        <v>51</v>
      </c>
      <c r="J27775" s="42">
        <v>46174</v>
      </c>
      <c r="K27775" s="33" t="s">
        <v>22</v>
      </c>
    </row>
    <row r="27776" spans="1:11">
      <c r="A27776" s="30" t="s">
        <v>60933</v>
      </c>
      <c r="B27776" s="30" t="s">
        <v>60934</v>
      </c>
      <c r="C27776" s="30" t="s">
        <v>60935</v>
      </c>
      <c r="D27776" s="30" t="s">
        <v>17</v>
      </c>
      <c r="E27776" s="30" t="s">
        <v>18</v>
      </c>
      <c r="F27776" s="30" t="s">
        <v>19</v>
      </c>
      <c r="G27776" s="30" t="s">
        <v>140</v>
      </c>
      <c r="H27776" s="32">
        <v>49</v>
      </c>
      <c r="I27776" s="30" t="s">
        <v>51</v>
      </c>
      <c r="J27776" s="41">
        <v>46135</v>
      </c>
      <c r="K27776" s="30" t="s">
        <v>22</v>
      </c>
    </row>
    <row r="27777" spans="1:11">
      <c r="A27777" s="33" t="s">
        <v>60936</v>
      </c>
      <c r="B27777" s="33" t="s">
        <v>60937</v>
      </c>
      <c r="C27777" s="33" t="s">
        <v>25632</v>
      </c>
      <c r="D27777" s="33" t="s">
        <v>17</v>
      </c>
      <c r="E27777" s="33" t="s">
        <v>67</v>
      </c>
      <c r="F27777" s="33" t="s">
        <v>68</v>
      </c>
      <c r="G27777" s="33" t="s">
        <v>7780</v>
      </c>
      <c r="H27777" s="35">
        <v>15</v>
      </c>
      <c r="I27777" s="33" t="s">
        <v>51</v>
      </c>
      <c r="J27777" s="42">
        <v>46174</v>
      </c>
      <c r="K27777" s="33" t="s">
        <v>22</v>
      </c>
    </row>
    <row r="27778" spans="1:11">
      <c r="A27778" s="30" t="s">
        <v>60938</v>
      </c>
      <c r="B27778" s="30" t="s">
        <v>60939</v>
      </c>
      <c r="C27778" s="30" t="s">
        <v>2472</v>
      </c>
      <c r="D27778" s="30" t="s">
        <v>17</v>
      </c>
      <c r="E27778" s="30" t="s">
        <v>26</v>
      </c>
      <c r="F27778" s="30" t="s">
        <v>27</v>
      </c>
      <c r="G27778" s="30" t="s">
        <v>140</v>
      </c>
      <c r="H27778" s="32">
        <v>120</v>
      </c>
      <c r="I27778" s="30" t="s">
        <v>51</v>
      </c>
      <c r="J27778" s="41">
        <v>46098</v>
      </c>
      <c r="K27778" s="30" t="s">
        <v>22</v>
      </c>
    </row>
    <row r="27779" spans="1:11">
      <c r="A27779" s="33" t="s">
        <v>60940</v>
      </c>
      <c r="B27779" s="33" t="s">
        <v>60941</v>
      </c>
      <c r="C27779" s="33" t="s">
        <v>109</v>
      </c>
      <c r="D27779" s="33" t="s">
        <v>17</v>
      </c>
      <c r="E27779" s="33" t="s">
        <v>26</v>
      </c>
      <c r="F27779" s="33" t="s">
        <v>27</v>
      </c>
      <c r="G27779" s="33" t="s">
        <v>140</v>
      </c>
      <c r="H27779" s="35">
        <v>6</v>
      </c>
      <c r="I27779" s="33" t="s">
        <v>51</v>
      </c>
      <c r="J27779" s="42">
        <v>46127</v>
      </c>
      <c r="K27779" s="33" t="s">
        <v>22</v>
      </c>
    </row>
    <row r="27780" spans="1:11">
      <c r="A27780" s="30" t="s">
        <v>60942</v>
      </c>
      <c r="B27780" s="30" t="s">
        <v>60943</v>
      </c>
      <c r="C27780" s="30" t="s">
        <v>53729</v>
      </c>
      <c r="D27780" s="30" t="s">
        <v>17</v>
      </c>
      <c r="E27780" s="30" t="s">
        <v>26</v>
      </c>
      <c r="F27780" s="30" t="s">
        <v>27</v>
      </c>
      <c r="G27780" s="30" t="s">
        <v>140</v>
      </c>
      <c r="H27780" s="32">
        <v>40</v>
      </c>
      <c r="I27780" s="30" t="s">
        <v>51</v>
      </c>
      <c r="J27780" s="41">
        <v>46143</v>
      </c>
      <c r="K27780" s="30" t="s">
        <v>22</v>
      </c>
    </row>
    <row r="27781" spans="1:11">
      <c r="A27781" s="33" t="s">
        <v>60944</v>
      </c>
      <c r="B27781" s="33" t="s">
        <v>60945</v>
      </c>
      <c r="C27781" s="33" t="s">
        <v>60946</v>
      </c>
      <c r="D27781" s="33" t="s">
        <v>17</v>
      </c>
      <c r="E27781" s="33" t="s">
        <v>31</v>
      </c>
      <c r="F27781" s="33" t="s">
        <v>32</v>
      </c>
      <c r="G27781" s="33" t="s">
        <v>140</v>
      </c>
      <c r="H27781" s="35">
        <v>80</v>
      </c>
      <c r="I27781" s="33" t="s">
        <v>51</v>
      </c>
      <c r="J27781" s="42">
        <v>46170</v>
      </c>
      <c r="K27781" s="33" t="s">
        <v>22</v>
      </c>
    </row>
    <row r="27782" spans="1:11">
      <c r="A27782" s="30" t="s">
        <v>60947</v>
      </c>
      <c r="B27782" s="30" t="s">
        <v>60948</v>
      </c>
      <c r="C27782" s="30" t="s">
        <v>1498</v>
      </c>
      <c r="D27782" s="30" t="s">
        <v>17</v>
      </c>
      <c r="E27782" s="30" t="s">
        <v>26</v>
      </c>
      <c r="F27782" s="30" t="s">
        <v>27</v>
      </c>
      <c r="G27782" s="30" t="s">
        <v>20</v>
      </c>
      <c r="H27782" s="32">
        <v>218</v>
      </c>
      <c r="I27782" s="30" t="s">
        <v>21</v>
      </c>
      <c r="J27782" s="41">
        <v>46048</v>
      </c>
      <c r="K27782" s="30" t="s">
        <v>22</v>
      </c>
    </row>
    <row r="27783" spans="1:11">
      <c r="A27783" s="33" t="s">
        <v>60949</v>
      </c>
      <c r="B27783" s="33" t="s">
        <v>60950</v>
      </c>
      <c r="C27783" s="33" t="s">
        <v>178</v>
      </c>
      <c r="D27783" s="33" t="s">
        <v>17</v>
      </c>
      <c r="E27783" s="33" t="s">
        <v>31</v>
      </c>
      <c r="F27783" s="33" t="s">
        <v>32</v>
      </c>
      <c r="G27783" s="33" t="s">
        <v>112</v>
      </c>
      <c r="H27783" s="35">
        <v>0</v>
      </c>
      <c r="I27783" s="33" t="s">
        <v>21</v>
      </c>
      <c r="J27783" s="42">
        <v>46054</v>
      </c>
      <c r="K27783" s="33" t="s">
        <v>22</v>
      </c>
    </row>
    <row r="27784" spans="1:11">
      <c r="A27784" s="30" t="s">
        <v>60951</v>
      </c>
      <c r="B27784" s="30" t="s">
        <v>60952</v>
      </c>
      <c r="C27784" s="30" t="s">
        <v>6955</v>
      </c>
      <c r="D27784" s="30" t="s">
        <v>17</v>
      </c>
      <c r="E27784" s="30" t="s">
        <v>26</v>
      </c>
      <c r="F27784" s="30" t="s">
        <v>27</v>
      </c>
      <c r="G27784" s="30" t="s">
        <v>140</v>
      </c>
      <c r="H27784" s="32">
        <v>12</v>
      </c>
      <c r="I27784" s="30" t="s">
        <v>51</v>
      </c>
      <c r="J27784" s="41">
        <v>46192</v>
      </c>
      <c r="K27784" s="30" t="s">
        <v>22</v>
      </c>
    </row>
    <row r="27785" spans="1:11">
      <c r="A27785" s="33" t="s">
        <v>60953</v>
      </c>
      <c r="B27785" s="33" t="s">
        <v>60954</v>
      </c>
      <c r="C27785" s="33" t="s">
        <v>13181</v>
      </c>
      <c r="D27785" s="33" t="s">
        <v>17</v>
      </c>
      <c r="E27785" s="33" t="s">
        <v>26</v>
      </c>
      <c r="F27785" s="33" t="s">
        <v>27</v>
      </c>
      <c r="G27785" s="33" t="s">
        <v>7780</v>
      </c>
      <c r="H27785" s="35">
        <v>30</v>
      </c>
      <c r="I27785" s="33" t="s">
        <v>51</v>
      </c>
      <c r="J27785" s="42">
        <v>46068</v>
      </c>
      <c r="K27785" s="33" t="s">
        <v>22</v>
      </c>
    </row>
    <row r="27786" spans="1:11">
      <c r="A27786" s="30" t="s">
        <v>60955</v>
      </c>
      <c r="B27786" s="30" t="s">
        <v>60956</v>
      </c>
      <c r="C27786" s="30" t="s">
        <v>3934</v>
      </c>
      <c r="D27786" s="30" t="s">
        <v>17</v>
      </c>
      <c r="E27786" s="30" t="s">
        <v>18</v>
      </c>
      <c r="F27786" s="30" t="s">
        <v>19</v>
      </c>
      <c r="G27786" s="30" t="s">
        <v>158</v>
      </c>
      <c r="H27786" s="32">
        <v>300</v>
      </c>
      <c r="I27786" s="30" t="s">
        <v>51</v>
      </c>
      <c r="J27786" s="41">
        <v>46051</v>
      </c>
      <c r="K27786" s="30" t="s">
        <v>22</v>
      </c>
    </row>
    <row r="27787" spans="1:11">
      <c r="A27787" s="33" t="s">
        <v>60957</v>
      </c>
      <c r="B27787" s="33" t="s">
        <v>60958</v>
      </c>
      <c r="C27787" s="33" t="s">
        <v>157</v>
      </c>
      <c r="D27787" s="33" t="s">
        <v>17</v>
      </c>
      <c r="E27787" s="33" t="s">
        <v>45</v>
      </c>
      <c r="F27787" s="33" t="s">
        <v>46</v>
      </c>
      <c r="G27787" s="33" t="s">
        <v>140</v>
      </c>
      <c r="H27787" s="35">
        <v>500</v>
      </c>
      <c r="I27787" s="33" t="s">
        <v>51</v>
      </c>
      <c r="J27787" s="42">
        <v>46184</v>
      </c>
      <c r="K27787" s="33" t="s">
        <v>22</v>
      </c>
    </row>
    <row r="27788" spans="1:11">
      <c r="A27788" s="30" t="s">
        <v>60959</v>
      </c>
      <c r="B27788" s="30" t="s">
        <v>60960</v>
      </c>
      <c r="C27788" s="30" t="s">
        <v>21185</v>
      </c>
      <c r="D27788" s="30" t="s">
        <v>17</v>
      </c>
      <c r="E27788" s="30" t="s">
        <v>31</v>
      </c>
      <c r="F27788" s="30" t="s">
        <v>32</v>
      </c>
      <c r="G27788" s="30" t="s">
        <v>140</v>
      </c>
      <c r="H27788" s="32">
        <v>156</v>
      </c>
      <c r="I27788" s="30" t="s">
        <v>51</v>
      </c>
      <c r="J27788" s="41">
        <v>46219</v>
      </c>
      <c r="K27788" s="30" t="s">
        <v>22</v>
      </c>
    </row>
    <row r="27789" spans="1:11">
      <c r="A27789" s="33" t="s">
        <v>60961</v>
      </c>
      <c r="B27789" s="33" t="s">
        <v>60962</v>
      </c>
      <c r="C27789" s="33" t="s">
        <v>379</v>
      </c>
      <c r="D27789" s="33" t="s">
        <v>17</v>
      </c>
      <c r="E27789" s="33" t="s">
        <v>45</v>
      </c>
      <c r="F27789" s="33" t="s">
        <v>46</v>
      </c>
      <c r="G27789" s="33" t="s">
        <v>140</v>
      </c>
      <c r="H27789" s="35">
        <v>706</v>
      </c>
      <c r="I27789" s="33" t="s">
        <v>51</v>
      </c>
      <c r="J27789" s="42">
        <v>46080</v>
      </c>
      <c r="K27789" s="33" t="s">
        <v>22</v>
      </c>
    </row>
    <row r="27790" spans="1:11">
      <c r="A27790" s="30" t="s">
        <v>60963</v>
      </c>
      <c r="B27790" s="30" t="s">
        <v>60964</v>
      </c>
      <c r="C27790" s="30" t="s">
        <v>10199</v>
      </c>
      <c r="D27790" s="30" t="s">
        <v>17</v>
      </c>
      <c r="E27790" s="30" t="s">
        <v>26</v>
      </c>
      <c r="F27790" s="30" t="s">
        <v>27</v>
      </c>
      <c r="G27790" s="30" t="s">
        <v>7780</v>
      </c>
      <c r="H27790" s="32">
        <v>228</v>
      </c>
      <c r="I27790" s="30" t="s">
        <v>51</v>
      </c>
      <c r="J27790" s="41">
        <v>46174</v>
      </c>
      <c r="K27790" s="30" t="s">
        <v>22</v>
      </c>
    </row>
    <row r="27791" spans="1:11">
      <c r="A27791" s="33" t="s">
        <v>60965</v>
      </c>
      <c r="B27791" s="33" t="s">
        <v>60966</v>
      </c>
      <c r="C27791" s="33" t="s">
        <v>37083</v>
      </c>
      <c r="D27791" s="33" t="s">
        <v>17</v>
      </c>
      <c r="E27791" s="33" t="s">
        <v>31</v>
      </c>
      <c r="F27791" s="33" t="s">
        <v>32</v>
      </c>
      <c r="G27791" s="33" t="s">
        <v>140</v>
      </c>
      <c r="H27791" s="35">
        <v>113</v>
      </c>
      <c r="I27791" s="33" t="s">
        <v>51</v>
      </c>
      <c r="J27791" s="42">
        <v>46136</v>
      </c>
      <c r="K27791" s="33" t="s">
        <v>22</v>
      </c>
    </row>
    <row r="27792" spans="1:11">
      <c r="A27792" s="30" t="s">
        <v>60967</v>
      </c>
      <c r="B27792" s="30" t="s">
        <v>60968</v>
      </c>
      <c r="C27792" s="30" t="s">
        <v>60969</v>
      </c>
      <c r="D27792" s="30" t="s">
        <v>17</v>
      </c>
      <c r="E27792" s="30" t="s">
        <v>67</v>
      </c>
      <c r="F27792" s="30" t="s">
        <v>68</v>
      </c>
      <c r="G27792" s="30" t="s">
        <v>140</v>
      </c>
      <c r="H27792" s="32">
        <v>80</v>
      </c>
      <c r="I27792" s="30" t="s">
        <v>51</v>
      </c>
      <c r="J27792" s="41">
        <v>46085</v>
      </c>
      <c r="K27792" s="30" t="s">
        <v>22</v>
      </c>
    </row>
    <row r="27793" spans="1:11">
      <c r="A27793" s="33" t="s">
        <v>60970</v>
      </c>
      <c r="B27793" s="33" t="s">
        <v>60971</v>
      </c>
      <c r="C27793" s="33" t="s">
        <v>44</v>
      </c>
      <c r="D27793" s="33" t="s">
        <v>17</v>
      </c>
      <c r="E27793" s="33" t="s">
        <v>212</v>
      </c>
      <c r="F27793" s="33" t="s">
        <v>213</v>
      </c>
      <c r="G27793" s="33" t="s">
        <v>140</v>
      </c>
      <c r="H27793" s="35">
        <v>30</v>
      </c>
      <c r="I27793" s="33" t="s">
        <v>51</v>
      </c>
      <c r="J27793" s="42">
        <v>46218</v>
      </c>
      <c r="K27793" s="33" t="s">
        <v>22</v>
      </c>
    </row>
    <row r="27794" spans="1:11">
      <c r="A27794" s="30" t="s">
        <v>60972</v>
      </c>
      <c r="B27794" s="30" t="s">
        <v>60973</v>
      </c>
      <c r="C27794" s="30" t="s">
        <v>715</v>
      </c>
      <c r="D27794" s="30" t="s">
        <v>17</v>
      </c>
      <c r="E27794" s="30" t="s">
        <v>18</v>
      </c>
      <c r="F27794" s="30" t="s">
        <v>19</v>
      </c>
      <c r="G27794" s="30" t="s">
        <v>140</v>
      </c>
      <c r="H27794" s="32">
        <v>614</v>
      </c>
      <c r="I27794" s="30" t="s">
        <v>51</v>
      </c>
      <c r="J27794" s="41">
        <v>46070</v>
      </c>
      <c r="K27794" s="30" t="s">
        <v>22</v>
      </c>
    </row>
    <row r="27795" spans="1:11">
      <c r="A27795" s="33" t="s">
        <v>60974</v>
      </c>
      <c r="B27795" s="33" t="s">
        <v>60975</v>
      </c>
      <c r="C27795" s="33" t="s">
        <v>60976</v>
      </c>
      <c r="D27795" s="33" t="s">
        <v>17</v>
      </c>
      <c r="E27795" s="33" t="s">
        <v>67</v>
      </c>
      <c r="F27795" s="33" t="s">
        <v>68</v>
      </c>
      <c r="G27795" s="33" t="s">
        <v>140</v>
      </c>
      <c r="H27795" s="35">
        <v>10</v>
      </c>
      <c r="I27795" s="33" t="s">
        <v>51</v>
      </c>
      <c r="J27795" s="42">
        <v>46170</v>
      </c>
      <c r="K27795" s="33" t="s">
        <v>22</v>
      </c>
    </row>
    <row r="27796" spans="1:11">
      <c r="A27796" s="30" t="s">
        <v>60977</v>
      </c>
      <c r="B27796" s="30" t="s">
        <v>60978</v>
      </c>
      <c r="C27796" s="30" t="s">
        <v>5169</v>
      </c>
      <c r="D27796" s="30" t="s">
        <v>17</v>
      </c>
      <c r="E27796" s="30" t="s">
        <v>67</v>
      </c>
      <c r="F27796" s="30" t="s">
        <v>68</v>
      </c>
      <c r="G27796" s="30" t="s">
        <v>140</v>
      </c>
      <c r="H27796" s="32">
        <v>229</v>
      </c>
      <c r="I27796" s="30" t="s">
        <v>51</v>
      </c>
      <c r="J27796" s="41">
        <v>46108</v>
      </c>
      <c r="K27796" s="30" t="s">
        <v>22</v>
      </c>
    </row>
    <row r="27797" spans="1:11">
      <c r="A27797" s="33" t="s">
        <v>60979</v>
      </c>
      <c r="B27797" s="33" t="s">
        <v>60980</v>
      </c>
      <c r="C27797" s="33" t="s">
        <v>53093</v>
      </c>
      <c r="D27797" s="33" t="s">
        <v>17</v>
      </c>
      <c r="E27797" s="33" t="s">
        <v>26</v>
      </c>
      <c r="F27797" s="33" t="s">
        <v>27</v>
      </c>
      <c r="G27797" s="33" t="s">
        <v>140</v>
      </c>
      <c r="H27797" s="35">
        <v>19</v>
      </c>
      <c r="I27797" s="33" t="s">
        <v>51</v>
      </c>
      <c r="J27797" s="42">
        <v>46133</v>
      </c>
      <c r="K27797" s="33" t="s">
        <v>22</v>
      </c>
    </row>
    <row r="27798" spans="1:11">
      <c r="A27798" s="30" t="s">
        <v>60981</v>
      </c>
      <c r="B27798" s="30" t="s">
        <v>60982</v>
      </c>
      <c r="C27798" s="30" t="s">
        <v>43457</v>
      </c>
      <c r="D27798" s="30" t="s">
        <v>17</v>
      </c>
      <c r="E27798" s="30" t="s">
        <v>26</v>
      </c>
      <c r="F27798" s="30" t="s">
        <v>27</v>
      </c>
      <c r="G27798" s="30" t="s">
        <v>140</v>
      </c>
      <c r="H27798" s="32">
        <v>18</v>
      </c>
      <c r="I27798" s="30" t="s">
        <v>51</v>
      </c>
      <c r="J27798" s="41">
        <v>46076</v>
      </c>
      <c r="K27798" s="30" t="s">
        <v>22</v>
      </c>
    </row>
    <row r="27799" spans="1:11">
      <c r="A27799" s="33" t="s">
        <v>60983</v>
      </c>
      <c r="B27799" s="33" t="s">
        <v>60984</v>
      </c>
      <c r="C27799" s="33" t="s">
        <v>136</v>
      </c>
      <c r="D27799" s="33" t="s">
        <v>17</v>
      </c>
      <c r="E27799" s="33" t="s">
        <v>26</v>
      </c>
      <c r="F27799" s="33" t="s">
        <v>27</v>
      </c>
      <c r="G27799" s="33" t="s">
        <v>158</v>
      </c>
      <c r="H27799" s="35">
        <v>150</v>
      </c>
      <c r="I27799" s="33" t="s">
        <v>51</v>
      </c>
      <c r="J27799" s="42">
        <v>46099</v>
      </c>
      <c r="K27799" s="33" t="s">
        <v>22</v>
      </c>
    </row>
    <row r="27800" spans="1:11">
      <c r="A27800" s="30" t="s">
        <v>60985</v>
      </c>
      <c r="B27800" s="30" t="s">
        <v>60986</v>
      </c>
      <c r="C27800" s="30" t="s">
        <v>44</v>
      </c>
      <c r="D27800" s="30" t="s">
        <v>17</v>
      </c>
      <c r="E27800" s="30" t="s">
        <v>18</v>
      </c>
      <c r="F27800" s="30" t="s">
        <v>19</v>
      </c>
      <c r="G27800" s="30" t="s">
        <v>140</v>
      </c>
      <c r="H27800" s="32">
        <v>7050</v>
      </c>
      <c r="I27800" s="30" t="s">
        <v>51</v>
      </c>
      <c r="J27800" s="41">
        <v>46213</v>
      </c>
      <c r="K27800" s="30" t="s">
        <v>22</v>
      </c>
    </row>
    <row r="27801" spans="1:11">
      <c r="A27801" s="33" t="s">
        <v>60987</v>
      </c>
      <c r="B27801" s="33" t="s">
        <v>60988</v>
      </c>
      <c r="C27801" s="33" t="s">
        <v>1270</v>
      </c>
      <c r="D27801" s="33" t="s">
        <v>17</v>
      </c>
      <c r="E27801" s="33" t="s">
        <v>26</v>
      </c>
      <c r="F27801" s="33" t="s">
        <v>27</v>
      </c>
      <c r="G27801" s="33" t="s">
        <v>7780</v>
      </c>
      <c r="H27801" s="35">
        <v>636</v>
      </c>
      <c r="I27801" s="33" t="s">
        <v>51</v>
      </c>
      <c r="J27801" s="42">
        <v>46203</v>
      </c>
      <c r="K27801" s="33" t="s">
        <v>22</v>
      </c>
    </row>
    <row r="27802" spans="1:11">
      <c r="A27802" s="30" t="s">
        <v>60989</v>
      </c>
      <c r="B27802" s="30" t="s">
        <v>60990</v>
      </c>
      <c r="C27802" s="30" t="s">
        <v>15917</v>
      </c>
      <c r="D27802" s="30" t="s">
        <v>17</v>
      </c>
      <c r="E27802" s="30" t="s">
        <v>26</v>
      </c>
      <c r="F27802" s="30" t="s">
        <v>27</v>
      </c>
      <c r="G27802" s="30" t="s">
        <v>140</v>
      </c>
      <c r="H27802" s="32">
        <v>48</v>
      </c>
      <c r="I27802" s="30" t="s">
        <v>51</v>
      </c>
      <c r="J27802" s="41">
        <v>46212</v>
      </c>
      <c r="K27802" s="30" t="s">
        <v>22</v>
      </c>
    </row>
    <row r="27803" spans="1:11">
      <c r="A27803" s="33" t="s">
        <v>60991</v>
      </c>
      <c r="B27803" s="33" t="s">
        <v>60992</v>
      </c>
      <c r="C27803" s="33" t="s">
        <v>60993</v>
      </c>
      <c r="D27803" s="33" t="s">
        <v>17</v>
      </c>
      <c r="E27803" s="33" t="s">
        <v>67</v>
      </c>
      <c r="F27803" s="33" t="s">
        <v>68</v>
      </c>
      <c r="G27803" s="33" t="s">
        <v>140</v>
      </c>
      <c r="H27803" s="35">
        <v>22</v>
      </c>
      <c r="I27803" s="33" t="s">
        <v>51</v>
      </c>
      <c r="J27803" s="42">
        <v>46174</v>
      </c>
      <c r="K27803" s="33" t="s">
        <v>22</v>
      </c>
    </row>
    <row r="27804" spans="1:11">
      <c r="A27804" s="30" t="s">
        <v>60994</v>
      </c>
      <c r="B27804" s="30" t="s">
        <v>60995</v>
      </c>
      <c r="C27804" s="30" t="s">
        <v>715</v>
      </c>
      <c r="D27804" s="30" t="s">
        <v>17</v>
      </c>
      <c r="E27804" s="30" t="s">
        <v>26</v>
      </c>
      <c r="F27804" s="30" t="s">
        <v>27</v>
      </c>
      <c r="G27804" s="30" t="s">
        <v>140</v>
      </c>
      <c r="H27804" s="32">
        <v>12</v>
      </c>
      <c r="I27804" s="30" t="s">
        <v>51</v>
      </c>
      <c r="J27804" s="41">
        <v>46042</v>
      </c>
      <c r="K27804" s="30" t="s">
        <v>22</v>
      </c>
    </row>
    <row r="27805" spans="1:11">
      <c r="A27805" s="33" t="s">
        <v>60996</v>
      </c>
      <c r="B27805" s="33" t="s">
        <v>60997</v>
      </c>
      <c r="C27805" s="33" t="s">
        <v>1764</v>
      </c>
      <c r="D27805" s="33" t="s">
        <v>17</v>
      </c>
      <c r="E27805" s="33" t="s">
        <v>18</v>
      </c>
      <c r="F27805" s="33" t="s">
        <v>19</v>
      </c>
      <c r="G27805" s="33" t="s">
        <v>140</v>
      </c>
      <c r="H27805" s="35">
        <v>132</v>
      </c>
      <c r="I27805" s="33" t="s">
        <v>51</v>
      </c>
      <c r="J27805" s="42">
        <v>46202</v>
      </c>
      <c r="K27805" s="33" t="s">
        <v>22</v>
      </c>
    </row>
    <row r="27806" spans="1:11">
      <c r="A27806" s="30" t="s">
        <v>60998</v>
      </c>
      <c r="B27806" s="30" t="s">
        <v>60999</v>
      </c>
      <c r="C27806" s="30" t="s">
        <v>75</v>
      </c>
      <c r="D27806" s="30" t="s">
        <v>17</v>
      </c>
      <c r="E27806" s="30" t="s">
        <v>67</v>
      </c>
      <c r="F27806" s="30" t="s">
        <v>68</v>
      </c>
      <c r="G27806" s="30" t="s">
        <v>140</v>
      </c>
      <c r="H27806" s="32">
        <v>240</v>
      </c>
      <c r="I27806" s="30" t="s">
        <v>51</v>
      </c>
      <c r="J27806" s="41">
        <v>46056</v>
      </c>
      <c r="K27806" s="30" t="s">
        <v>22</v>
      </c>
    </row>
    <row r="27807" spans="1:11">
      <c r="A27807" s="33" t="s">
        <v>61000</v>
      </c>
      <c r="B27807" s="33" t="s">
        <v>61001</v>
      </c>
      <c r="C27807" s="33" t="s">
        <v>2313</v>
      </c>
      <c r="D27807" s="33" t="s">
        <v>17</v>
      </c>
      <c r="E27807" s="33" t="s">
        <v>26</v>
      </c>
      <c r="F27807" s="33" t="s">
        <v>27</v>
      </c>
      <c r="G27807" s="33" t="s">
        <v>140</v>
      </c>
      <c r="H27807" s="35">
        <v>93</v>
      </c>
      <c r="I27807" s="33" t="s">
        <v>51</v>
      </c>
      <c r="J27807" s="42">
        <v>46133</v>
      </c>
      <c r="K27807" s="33" t="s">
        <v>22</v>
      </c>
    </row>
    <row r="27808" spans="1:11">
      <c r="A27808" s="30" t="s">
        <v>61002</v>
      </c>
      <c r="B27808" s="30" t="s">
        <v>61003</v>
      </c>
      <c r="C27808" s="30" t="s">
        <v>56038</v>
      </c>
      <c r="D27808" s="30" t="s">
        <v>17</v>
      </c>
      <c r="E27808" s="30" t="s">
        <v>330</v>
      </c>
      <c r="F27808" s="30" t="s">
        <v>331</v>
      </c>
      <c r="G27808" s="30" t="s">
        <v>7780</v>
      </c>
      <c r="H27808" s="32">
        <v>10</v>
      </c>
      <c r="I27808" s="30" t="s">
        <v>51</v>
      </c>
      <c r="J27808" s="41">
        <v>46204</v>
      </c>
      <c r="K27808" s="30" t="s">
        <v>22</v>
      </c>
    </row>
    <row r="27809" spans="1:11">
      <c r="A27809" s="33" t="s">
        <v>61004</v>
      </c>
      <c r="B27809" s="33" t="s">
        <v>61005</v>
      </c>
      <c r="C27809" s="33" t="s">
        <v>3665</v>
      </c>
      <c r="D27809" s="33" t="s">
        <v>17</v>
      </c>
      <c r="E27809" s="33" t="s">
        <v>18</v>
      </c>
      <c r="F27809" s="33" t="s">
        <v>19</v>
      </c>
      <c r="G27809" s="33" t="s">
        <v>7780</v>
      </c>
      <c r="H27809" s="35">
        <v>600</v>
      </c>
      <c r="I27809" s="33" t="s">
        <v>51</v>
      </c>
      <c r="J27809" s="42">
        <v>46174</v>
      </c>
      <c r="K27809" s="33" t="s">
        <v>22</v>
      </c>
    </row>
    <row r="27810" spans="1:11">
      <c r="A27810" s="30" t="s">
        <v>61006</v>
      </c>
      <c r="B27810" s="30" t="s">
        <v>61007</v>
      </c>
      <c r="C27810" s="30" t="s">
        <v>45844</v>
      </c>
      <c r="D27810" s="30" t="s">
        <v>17</v>
      </c>
      <c r="E27810" s="30" t="s">
        <v>26</v>
      </c>
      <c r="F27810" s="30" t="s">
        <v>27</v>
      </c>
      <c r="G27810" s="30" t="s">
        <v>7780</v>
      </c>
      <c r="H27810" s="32">
        <v>30</v>
      </c>
      <c r="I27810" s="30" t="s">
        <v>51</v>
      </c>
      <c r="J27810" s="41">
        <v>46177</v>
      </c>
      <c r="K27810" s="30" t="s">
        <v>22</v>
      </c>
    </row>
    <row r="27811" spans="1:11">
      <c r="A27811" s="33" t="s">
        <v>61008</v>
      </c>
      <c r="B27811" s="33" t="s">
        <v>61009</v>
      </c>
      <c r="C27811" s="33" t="s">
        <v>2012</v>
      </c>
      <c r="D27811" s="33" t="s">
        <v>17</v>
      </c>
      <c r="E27811" s="33" t="s">
        <v>18</v>
      </c>
      <c r="F27811" s="33" t="s">
        <v>19</v>
      </c>
      <c r="G27811" s="33" t="s">
        <v>140</v>
      </c>
      <c r="H27811" s="35">
        <v>258</v>
      </c>
      <c r="I27811" s="33" t="s">
        <v>51</v>
      </c>
      <c r="J27811" s="42">
        <v>46177</v>
      </c>
      <c r="K27811" s="33" t="s">
        <v>22</v>
      </c>
    </row>
    <row r="27812" spans="1:11">
      <c r="A27812" s="30" t="s">
        <v>61010</v>
      </c>
      <c r="B27812" s="30" t="s">
        <v>61011</v>
      </c>
      <c r="C27812" s="30" t="s">
        <v>1154</v>
      </c>
      <c r="D27812" s="30" t="s">
        <v>17</v>
      </c>
      <c r="E27812" s="30" t="s">
        <v>18</v>
      </c>
      <c r="F27812" s="30" t="s">
        <v>19</v>
      </c>
      <c r="G27812" s="30" t="s">
        <v>112</v>
      </c>
      <c r="H27812" s="32">
        <v>0</v>
      </c>
      <c r="I27812" s="30" t="s">
        <v>21</v>
      </c>
      <c r="J27812" s="41">
        <v>46172</v>
      </c>
      <c r="K27812" s="30" t="s">
        <v>22</v>
      </c>
    </row>
    <row r="27813" spans="1:11">
      <c r="A27813" s="33" t="s">
        <v>61012</v>
      </c>
      <c r="B27813" s="33" t="s">
        <v>61013</v>
      </c>
      <c r="C27813" s="33" t="s">
        <v>44</v>
      </c>
      <c r="D27813" s="33" t="s">
        <v>17</v>
      </c>
      <c r="E27813" s="33" t="s">
        <v>18</v>
      </c>
      <c r="F27813" s="33" t="s">
        <v>19</v>
      </c>
      <c r="G27813" s="33" t="s">
        <v>7780</v>
      </c>
      <c r="H27813" s="35">
        <v>18</v>
      </c>
      <c r="I27813" s="33" t="s">
        <v>51</v>
      </c>
      <c r="J27813" s="42">
        <v>46233</v>
      </c>
      <c r="K27813" s="33" t="s">
        <v>22</v>
      </c>
    </row>
    <row r="27814" spans="1:11">
      <c r="A27814" s="30" t="s">
        <v>61014</v>
      </c>
      <c r="B27814" s="30" t="s">
        <v>61015</v>
      </c>
      <c r="C27814" s="30" t="s">
        <v>647</v>
      </c>
      <c r="D27814" s="30" t="s">
        <v>17</v>
      </c>
      <c r="E27814" s="30" t="s">
        <v>18</v>
      </c>
      <c r="F27814" s="30" t="s">
        <v>19</v>
      </c>
      <c r="G27814" s="30" t="s">
        <v>140</v>
      </c>
      <c r="H27814" s="32">
        <v>900</v>
      </c>
      <c r="I27814" s="30" t="s">
        <v>51</v>
      </c>
      <c r="J27814" s="41">
        <v>46069</v>
      </c>
      <c r="K27814" s="30" t="s">
        <v>22</v>
      </c>
    </row>
    <row r="27815" spans="1:11">
      <c r="A27815" s="33" t="s">
        <v>61016</v>
      </c>
      <c r="B27815" s="33" t="s">
        <v>61017</v>
      </c>
      <c r="C27815" s="33" t="s">
        <v>136</v>
      </c>
      <c r="D27815" s="33" t="s">
        <v>17</v>
      </c>
      <c r="E27815" s="33" t="s">
        <v>26</v>
      </c>
      <c r="F27815" s="33" t="s">
        <v>27</v>
      </c>
      <c r="G27815" s="33" t="s">
        <v>20</v>
      </c>
      <c r="H27815" s="35">
        <v>15</v>
      </c>
      <c r="I27815" s="33" t="s">
        <v>21</v>
      </c>
      <c r="J27815" s="42">
        <v>46083</v>
      </c>
      <c r="K27815" s="33" t="s">
        <v>22</v>
      </c>
    </row>
    <row r="27816" spans="1:11">
      <c r="A27816" s="30" t="s">
        <v>61018</v>
      </c>
      <c r="B27816" s="30" t="s">
        <v>61019</v>
      </c>
      <c r="C27816" s="30" t="s">
        <v>61020</v>
      </c>
      <c r="D27816" s="30" t="s">
        <v>17</v>
      </c>
      <c r="E27816" s="30" t="s">
        <v>31</v>
      </c>
      <c r="F27816" s="30" t="s">
        <v>32</v>
      </c>
      <c r="G27816" s="30" t="s">
        <v>140</v>
      </c>
      <c r="H27816" s="32">
        <v>60</v>
      </c>
      <c r="I27816" s="30" t="s">
        <v>51</v>
      </c>
      <c r="J27816" s="41">
        <v>46054</v>
      </c>
      <c r="K27816" s="30" t="s">
        <v>22</v>
      </c>
    </row>
    <row r="27817" spans="1:11">
      <c r="A27817" s="33" t="s">
        <v>61021</v>
      </c>
      <c r="B27817" s="33" t="s">
        <v>61022</v>
      </c>
      <c r="C27817" s="33" t="s">
        <v>4348</v>
      </c>
      <c r="D27817" s="33" t="s">
        <v>17</v>
      </c>
      <c r="E27817" s="33" t="s">
        <v>18</v>
      </c>
      <c r="F27817" s="33" t="s">
        <v>19</v>
      </c>
      <c r="G27817" s="33" t="s">
        <v>140</v>
      </c>
      <c r="H27817" s="35">
        <v>538</v>
      </c>
      <c r="I27817" s="33" t="s">
        <v>51</v>
      </c>
      <c r="J27817" s="42">
        <v>46202</v>
      </c>
      <c r="K27817" s="33" t="s">
        <v>22</v>
      </c>
    </row>
    <row r="27818" spans="1:11">
      <c r="A27818" s="30" t="s">
        <v>61023</v>
      </c>
      <c r="B27818" s="30" t="s">
        <v>61024</v>
      </c>
      <c r="C27818" s="30" t="s">
        <v>42074</v>
      </c>
      <c r="D27818" s="30" t="s">
        <v>17</v>
      </c>
      <c r="E27818" s="30" t="s">
        <v>26</v>
      </c>
      <c r="F27818" s="30" t="s">
        <v>27</v>
      </c>
      <c r="G27818" s="30" t="s">
        <v>7780</v>
      </c>
      <c r="H27818" s="32">
        <v>10</v>
      </c>
      <c r="I27818" s="30" t="s">
        <v>51</v>
      </c>
      <c r="J27818" s="41">
        <v>46143</v>
      </c>
      <c r="K27818" s="30" t="s">
        <v>22</v>
      </c>
    </row>
    <row r="27819" spans="1:11">
      <c r="A27819" s="33" t="s">
        <v>61025</v>
      </c>
      <c r="B27819" s="33" t="s">
        <v>61026</v>
      </c>
      <c r="C27819" s="33" t="s">
        <v>698</v>
      </c>
      <c r="D27819" s="33" t="s">
        <v>17</v>
      </c>
      <c r="E27819" s="33" t="s">
        <v>67</v>
      </c>
      <c r="F27819" s="33" t="s">
        <v>68</v>
      </c>
      <c r="G27819" s="33" t="s">
        <v>7780</v>
      </c>
      <c r="H27819" s="35">
        <v>596</v>
      </c>
      <c r="I27819" s="33" t="s">
        <v>51</v>
      </c>
      <c r="J27819" s="42">
        <v>46081</v>
      </c>
      <c r="K27819" s="33" t="s">
        <v>22</v>
      </c>
    </row>
    <row r="27820" spans="1:11">
      <c r="A27820" s="30" t="s">
        <v>61027</v>
      </c>
      <c r="B27820" s="30" t="s">
        <v>61028</v>
      </c>
      <c r="C27820" s="30" t="s">
        <v>647</v>
      </c>
      <c r="D27820" s="30" t="s">
        <v>17</v>
      </c>
      <c r="E27820" s="30" t="s">
        <v>67</v>
      </c>
      <c r="F27820" s="30" t="s">
        <v>68</v>
      </c>
      <c r="G27820" s="30" t="s">
        <v>140</v>
      </c>
      <c r="H27820" s="32">
        <v>20</v>
      </c>
      <c r="I27820" s="30" t="s">
        <v>51</v>
      </c>
      <c r="J27820" s="41">
        <v>46196</v>
      </c>
      <c r="K27820" s="30" t="s">
        <v>22</v>
      </c>
    </row>
    <row r="27821" spans="1:11">
      <c r="A27821" s="33" t="s">
        <v>61029</v>
      </c>
      <c r="B27821" s="33" t="s">
        <v>61030</v>
      </c>
      <c r="C27821" s="33" t="s">
        <v>1165</v>
      </c>
      <c r="D27821" s="33" t="s">
        <v>17</v>
      </c>
      <c r="E27821" s="33" t="s">
        <v>18</v>
      </c>
      <c r="F27821" s="33" t="s">
        <v>19</v>
      </c>
      <c r="G27821" s="33" t="s">
        <v>140</v>
      </c>
      <c r="H27821" s="35">
        <v>230</v>
      </c>
      <c r="I27821" s="33" t="s">
        <v>51</v>
      </c>
      <c r="J27821" s="42">
        <v>46183</v>
      </c>
      <c r="K27821" s="33" t="s">
        <v>22</v>
      </c>
    </row>
    <row r="27822" spans="1:11">
      <c r="A27822" s="30" t="s">
        <v>61031</v>
      </c>
      <c r="B27822" s="30" t="s">
        <v>61032</v>
      </c>
      <c r="C27822" s="30" t="s">
        <v>6784</v>
      </c>
      <c r="D27822" s="30" t="s">
        <v>17</v>
      </c>
      <c r="E27822" s="30" t="s">
        <v>18</v>
      </c>
      <c r="F27822" s="30" t="s">
        <v>19</v>
      </c>
      <c r="G27822" s="30" t="s">
        <v>140</v>
      </c>
      <c r="H27822" s="32">
        <v>180</v>
      </c>
      <c r="I27822" s="30" t="s">
        <v>51</v>
      </c>
      <c r="J27822" s="41">
        <v>46181</v>
      </c>
      <c r="K27822" s="30" t="s">
        <v>22</v>
      </c>
    </row>
    <row r="27823" spans="1:11">
      <c r="A27823" s="33" t="s">
        <v>61033</v>
      </c>
      <c r="B27823" s="33" t="s">
        <v>61034</v>
      </c>
      <c r="C27823" s="33" t="s">
        <v>310</v>
      </c>
      <c r="D27823" s="33" t="s">
        <v>17</v>
      </c>
      <c r="E27823" s="33" t="s">
        <v>26</v>
      </c>
      <c r="F27823" s="33" t="s">
        <v>27</v>
      </c>
      <c r="G27823" s="33" t="s">
        <v>140</v>
      </c>
      <c r="H27823" s="35">
        <v>234</v>
      </c>
      <c r="I27823" s="33" t="s">
        <v>51</v>
      </c>
      <c r="J27823" s="42">
        <v>46160</v>
      </c>
      <c r="K27823" s="33" t="s">
        <v>22</v>
      </c>
    </row>
    <row r="27824" spans="1:11">
      <c r="A27824" s="30" t="s">
        <v>61035</v>
      </c>
      <c r="B27824" s="30" t="s">
        <v>61036</v>
      </c>
      <c r="C27824" s="30" t="s">
        <v>6001</v>
      </c>
      <c r="D27824" s="30" t="s">
        <v>17</v>
      </c>
      <c r="E27824" s="30" t="s">
        <v>67</v>
      </c>
      <c r="F27824" s="30" t="s">
        <v>68</v>
      </c>
      <c r="G27824" s="30" t="s">
        <v>7780</v>
      </c>
      <c r="H27824" s="32">
        <v>18</v>
      </c>
      <c r="I27824" s="30" t="s">
        <v>51</v>
      </c>
      <c r="J27824" s="41">
        <v>46119</v>
      </c>
      <c r="K27824" s="30" t="s">
        <v>22</v>
      </c>
    </row>
    <row r="27825" spans="1:11">
      <c r="A27825" s="33" t="s">
        <v>61037</v>
      </c>
      <c r="B27825" s="33" t="s">
        <v>61038</v>
      </c>
      <c r="C27825" s="33" t="s">
        <v>59505</v>
      </c>
      <c r="D27825" s="33" t="s">
        <v>17</v>
      </c>
      <c r="E27825" s="33" t="s">
        <v>26</v>
      </c>
      <c r="F27825" s="33" t="s">
        <v>27</v>
      </c>
      <c r="G27825" s="33" t="s">
        <v>7780</v>
      </c>
      <c r="H27825" s="35">
        <v>110</v>
      </c>
      <c r="I27825" s="33" t="s">
        <v>51</v>
      </c>
      <c r="J27825" s="42">
        <v>46114</v>
      </c>
      <c r="K27825" s="33" t="s">
        <v>22</v>
      </c>
    </row>
    <row r="27826" spans="1:11">
      <c r="A27826" s="30" t="s">
        <v>61039</v>
      </c>
      <c r="B27826" s="30" t="s">
        <v>61040</v>
      </c>
      <c r="C27826" s="30" t="s">
        <v>16404</v>
      </c>
      <c r="D27826" s="30" t="s">
        <v>17</v>
      </c>
      <c r="E27826" s="30" t="s">
        <v>18</v>
      </c>
      <c r="F27826" s="30" t="s">
        <v>19</v>
      </c>
      <c r="G27826" s="30" t="s">
        <v>140</v>
      </c>
      <c r="H27826" s="32">
        <v>520</v>
      </c>
      <c r="I27826" s="30" t="s">
        <v>51</v>
      </c>
      <c r="J27826" s="41">
        <v>46047</v>
      </c>
      <c r="K27826" s="30" t="s">
        <v>22</v>
      </c>
    </row>
    <row r="27827" spans="1:11">
      <c r="A27827" s="33" t="s">
        <v>61041</v>
      </c>
      <c r="B27827" s="33" t="s">
        <v>61042</v>
      </c>
      <c r="C27827" s="33" t="s">
        <v>61043</v>
      </c>
      <c r="D27827" s="33" t="s">
        <v>17</v>
      </c>
      <c r="E27827" s="33" t="s">
        <v>26</v>
      </c>
      <c r="F27827" s="33" t="s">
        <v>27</v>
      </c>
      <c r="G27827" s="33" t="s">
        <v>140</v>
      </c>
      <c r="H27827" s="35">
        <v>64</v>
      </c>
      <c r="I27827" s="33" t="s">
        <v>51</v>
      </c>
      <c r="J27827" s="42">
        <v>46154</v>
      </c>
      <c r="K27827" s="33" t="s">
        <v>22</v>
      </c>
    </row>
    <row r="27828" spans="1:11">
      <c r="A27828" s="30" t="s">
        <v>61044</v>
      </c>
      <c r="B27828" s="30" t="s">
        <v>61045</v>
      </c>
      <c r="C27828" s="30" t="s">
        <v>50669</v>
      </c>
      <c r="D27828" s="30" t="s">
        <v>17</v>
      </c>
      <c r="E27828" s="30" t="s">
        <v>18</v>
      </c>
      <c r="F27828" s="30" t="s">
        <v>19</v>
      </c>
      <c r="G27828" s="30" t="s">
        <v>140</v>
      </c>
      <c r="H27828" s="32">
        <v>540</v>
      </c>
      <c r="I27828" s="30" t="s">
        <v>51</v>
      </c>
      <c r="J27828" s="41">
        <v>46063</v>
      </c>
      <c r="K27828" s="30" t="s">
        <v>22</v>
      </c>
    </row>
    <row r="27829" spans="1:11">
      <c r="A27829" s="33" t="s">
        <v>61046</v>
      </c>
      <c r="B27829" s="33" t="s">
        <v>61047</v>
      </c>
      <c r="C27829" s="33" t="s">
        <v>517</v>
      </c>
      <c r="D27829" s="33" t="s">
        <v>17</v>
      </c>
      <c r="E27829" s="33" t="s">
        <v>26</v>
      </c>
      <c r="F27829" s="33" t="s">
        <v>27</v>
      </c>
      <c r="G27829" s="33" t="s">
        <v>140</v>
      </c>
      <c r="H27829" s="35">
        <v>46</v>
      </c>
      <c r="I27829" s="33" t="s">
        <v>51</v>
      </c>
      <c r="J27829" s="42">
        <v>46049</v>
      </c>
      <c r="K27829" s="33" t="s">
        <v>22</v>
      </c>
    </row>
    <row r="27830" spans="1:11">
      <c r="A27830" s="30" t="s">
        <v>61048</v>
      </c>
      <c r="B27830" s="30" t="s">
        <v>61049</v>
      </c>
      <c r="C27830" s="30" t="s">
        <v>21788</v>
      </c>
      <c r="D27830" s="30" t="s">
        <v>17</v>
      </c>
      <c r="E27830" s="30" t="s">
        <v>26</v>
      </c>
      <c r="F27830" s="30" t="s">
        <v>27</v>
      </c>
      <c r="G27830" s="30" t="s">
        <v>140</v>
      </c>
      <c r="H27830" s="32">
        <v>10</v>
      </c>
      <c r="I27830" s="30" t="s">
        <v>51</v>
      </c>
      <c r="J27830" s="41">
        <v>46052</v>
      </c>
      <c r="K27830" s="30" t="s">
        <v>22</v>
      </c>
    </row>
    <row r="27831" spans="1:11">
      <c r="A27831" s="33" t="s">
        <v>61050</v>
      </c>
      <c r="B27831" s="33" t="s">
        <v>61051</v>
      </c>
      <c r="C27831" s="33" t="s">
        <v>570</v>
      </c>
      <c r="D27831" s="33" t="s">
        <v>17</v>
      </c>
      <c r="E27831" s="33" t="s">
        <v>31</v>
      </c>
      <c r="F27831" s="33" t="s">
        <v>32</v>
      </c>
      <c r="G27831" s="33" t="s">
        <v>7780</v>
      </c>
      <c r="H27831" s="35">
        <v>102</v>
      </c>
      <c r="I27831" s="33" t="s">
        <v>51</v>
      </c>
      <c r="J27831" s="42">
        <v>46113</v>
      </c>
      <c r="K27831" s="33" t="s">
        <v>22</v>
      </c>
    </row>
    <row r="27832" spans="1:11">
      <c r="A27832" s="30" t="s">
        <v>61052</v>
      </c>
      <c r="B27832" s="30" t="s">
        <v>61053</v>
      </c>
      <c r="C27832" s="30" t="s">
        <v>21136</v>
      </c>
      <c r="D27832" s="30" t="s">
        <v>17</v>
      </c>
      <c r="E27832" s="30" t="s">
        <v>26</v>
      </c>
      <c r="F27832" s="30" t="s">
        <v>27</v>
      </c>
      <c r="G27832" s="30" t="s">
        <v>7780</v>
      </c>
      <c r="H27832" s="32">
        <v>40</v>
      </c>
      <c r="I27832" s="30" t="s">
        <v>51</v>
      </c>
      <c r="J27832" s="41">
        <v>46047</v>
      </c>
      <c r="K27832" s="30" t="s">
        <v>22</v>
      </c>
    </row>
    <row r="27833" spans="1:11">
      <c r="A27833" s="33" t="s">
        <v>61054</v>
      </c>
      <c r="B27833" s="33" t="s">
        <v>61055</v>
      </c>
      <c r="C27833" s="33" t="s">
        <v>54782</v>
      </c>
      <c r="D27833" s="33" t="s">
        <v>17</v>
      </c>
      <c r="E27833" s="33" t="s">
        <v>212</v>
      </c>
      <c r="F27833" s="33" t="s">
        <v>213</v>
      </c>
      <c r="G27833" s="33" t="s">
        <v>140</v>
      </c>
      <c r="H27833" s="35">
        <v>10</v>
      </c>
      <c r="I27833" s="33" t="s">
        <v>51</v>
      </c>
      <c r="J27833" s="42">
        <v>46054</v>
      </c>
      <c r="K27833" s="33" t="s">
        <v>22</v>
      </c>
    </row>
    <row r="27834" spans="1:11">
      <c r="A27834" s="30" t="s">
        <v>61056</v>
      </c>
      <c r="B27834" s="30" t="s">
        <v>61057</v>
      </c>
      <c r="C27834" s="30" t="s">
        <v>44</v>
      </c>
      <c r="D27834" s="30" t="s">
        <v>17</v>
      </c>
      <c r="E27834" s="30" t="s">
        <v>31</v>
      </c>
      <c r="F27834" s="30" t="s">
        <v>32</v>
      </c>
      <c r="G27834" s="30" t="s">
        <v>140</v>
      </c>
      <c r="H27834" s="32">
        <v>300</v>
      </c>
      <c r="I27834" s="30" t="s">
        <v>51</v>
      </c>
      <c r="J27834" s="41">
        <v>46099</v>
      </c>
      <c r="K27834" s="30" t="s">
        <v>22</v>
      </c>
    </row>
    <row r="27835" spans="1:11">
      <c r="A27835" s="33" t="s">
        <v>61058</v>
      </c>
      <c r="B27835" s="33" t="s">
        <v>61059</v>
      </c>
      <c r="C27835" s="33" t="s">
        <v>1571</v>
      </c>
      <c r="D27835" s="33" t="s">
        <v>17</v>
      </c>
      <c r="E27835" s="33" t="s">
        <v>67</v>
      </c>
      <c r="F27835" s="33" t="s">
        <v>68</v>
      </c>
      <c r="G27835" s="33" t="s">
        <v>140</v>
      </c>
      <c r="H27835" s="35">
        <v>401</v>
      </c>
      <c r="I27835" s="33" t="s">
        <v>51</v>
      </c>
      <c r="J27835" s="42">
        <v>46083</v>
      </c>
      <c r="K27835" s="33" t="s">
        <v>22</v>
      </c>
    </row>
    <row r="27836" spans="1:11">
      <c r="A27836" s="30" t="s">
        <v>61060</v>
      </c>
      <c r="B27836" s="30" t="s">
        <v>61061</v>
      </c>
      <c r="C27836" s="30" t="s">
        <v>14816</v>
      </c>
      <c r="D27836" s="30" t="s">
        <v>17</v>
      </c>
      <c r="E27836" s="30" t="s">
        <v>26</v>
      </c>
      <c r="F27836" s="30" t="s">
        <v>27</v>
      </c>
      <c r="G27836" s="30" t="s">
        <v>20</v>
      </c>
      <c r="H27836" s="32">
        <v>6</v>
      </c>
      <c r="I27836" s="30" t="s">
        <v>21</v>
      </c>
      <c r="J27836" s="41">
        <v>46031</v>
      </c>
      <c r="K27836" s="30" t="s">
        <v>22</v>
      </c>
    </row>
    <row r="27837" spans="1:11">
      <c r="A27837" s="33" t="s">
        <v>61062</v>
      </c>
      <c r="B27837" s="33" t="s">
        <v>61063</v>
      </c>
      <c r="C27837" s="33" t="s">
        <v>1148</v>
      </c>
      <c r="D27837" s="33" t="s">
        <v>17</v>
      </c>
      <c r="E27837" s="33" t="s">
        <v>18</v>
      </c>
      <c r="F27837" s="33" t="s">
        <v>19</v>
      </c>
      <c r="G27837" s="33" t="s">
        <v>140</v>
      </c>
      <c r="H27837" s="35">
        <v>350</v>
      </c>
      <c r="I27837" s="33" t="s">
        <v>51</v>
      </c>
      <c r="J27837" s="42">
        <v>46051</v>
      </c>
      <c r="K27837" s="33" t="s">
        <v>22</v>
      </c>
    </row>
    <row r="27838" spans="1:11">
      <c r="A27838" s="30" t="s">
        <v>61064</v>
      </c>
      <c r="B27838" s="30" t="s">
        <v>61065</v>
      </c>
      <c r="C27838" s="30" t="s">
        <v>2839</v>
      </c>
      <c r="D27838" s="30" t="s">
        <v>17</v>
      </c>
      <c r="E27838" s="30" t="s">
        <v>31</v>
      </c>
      <c r="F27838" s="30" t="s">
        <v>32</v>
      </c>
      <c r="G27838" s="30" t="s">
        <v>140</v>
      </c>
      <c r="H27838" s="32">
        <v>150</v>
      </c>
      <c r="I27838" s="30" t="s">
        <v>51</v>
      </c>
      <c r="J27838" s="41">
        <v>46220</v>
      </c>
      <c r="K27838" s="30" t="s">
        <v>22</v>
      </c>
    </row>
    <row r="27839" spans="1:11">
      <c r="A27839" s="33" t="s">
        <v>61066</v>
      </c>
      <c r="B27839" s="33" t="s">
        <v>61067</v>
      </c>
      <c r="C27839" s="33" t="s">
        <v>37222</v>
      </c>
      <c r="D27839" s="33" t="s">
        <v>17</v>
      </c>
      <c r="E27839" s="33" t="s">
        <v>67</v>
      </c>
      <c r="F27839" s="33" t="s">
        <v>68</v>
      </c>
      <c r="G27839" s="33" t="s">
        <v>140</v>
      </c>
      <c r="H27839" s="35">
        <v>6</v>
      </c>
      <c r="I27839" s="33" t="s">
        <v>51</v>
      </c>
      <c r="J27839" s="42">
        <v>46051</v>
      </c>
      <c r="K27839" s="33" t="s">
        <v>22</v>
      </c>
    </row>
    <row r="27840" spans="1:11">
      <c r="A27840" s="30" t="s">
        <v>61068</v>
      </c>
      <c r="B27840" s="30" t="s">
        <v>61069</v>
      </c>
      <c r="C27840" s="30" t="s">
        <v>36156</v>
      </c>
      <c r="D27840" s="30" t="s">
        <v>17</v>
      </c>
      <c r="E27840" s="30" t="s">
        <v>31</v>
      </c>
      <c r="F27840" s="30" t="s">
        <v>32</v>
      </c>
      <c r="G27840" s="30" t="s">
        <v>140</v>
      </c>
      <c r="H27840" s="32">
        <v>204</v>
      </c>
      <c r="I27840" s="30" t="s">
        <v>51</v>
      </c>
      <c r="J27840" s="41">
        <v>46185</v>
      </c>
      <c r="K27840" s="30" t="s">
        <v>22</v>
      </c>
    </row>
    <row r="27841" spans="1:11">
      <c r="A27841" s="33" t="s">
        <v>61070</v>
      </c>
      <c r="B27841" s="33" t="s">
        <v>61071</v>
      </c>
      <c r="C27841" s="33" t="s">
        <v>1908</v>
      </c>
      <c r="D27841" s="33" t="s">
        <v>17</v>
      </c>
      <c r="E27841" s="33" t="s">
        <v>330</v>
      </c>
      <c r="F27841" s="33" t="s">
        <v>331</v>
      </c>
      <c r="G27841" s="33" t="s">
        <v>140</v>
      </c>
      <c r="H27841" s="35">
        <v>24</v>
      </c>
      <c r="I27841" s="33" t="s">
        <v>51</v>
      </c>
      <c r="J27841" s="42">
        <v>46125</v>
      </c>
      <c r="K27841" s="33" t="s">
        <v>22</v>
      </c>
    </row>
    <row r="27842" spans="1:11">
      <c r="A27842" s="30" t="s">
        <v>61072</v>
      </c>
      <c r="B27842" s="30" t="s">
        <v>61073</v>
      </c>
      <c r="C27842" s="30" t="s">
        <v>57894</v>
      </c>
      <c r="D27842" s="30" t="s">
        <v>17</v>
      </c>
      <c r="E27842" s="30" t="s">
        <v>26</v>
      </c>
      <c r="F27842" s="30" t="s">
        <v>27</v>
      </c>
      <c r="G27842" s="30" t="s">
        <v>7780</v>
      </c>
      <c r="H27842" s="32">
        <v>84</v>
      </c>
      <c r="I27842" s="30" t="s">
        <v>51</v>
      </c>
      <c r="J27842" s="41">
        <v>46096</v>
      </c>
      <c r="K27842" s="30" t="s">
        <v>22</v>
      </c>
    </row>
    <row r="27843" spans="1:11">
      <c r="A27843" s="33" t="s">
        <v>61074</v>
      </c>
      <c r="B27843" s="33" t="s">
        <v>61075</v>
      </c>
      <c r="C27843" s="33" t="s">
        <v>136</v>
      </c>
      <c r="D27843" s="33" t="s">
        <v>17</v>
      </c>
      <c r="E27843" s="33" t="s">
        <v>18</v>
      </c>
      <c r="F27843" s="33" t="s">
        <v>19</v>
      </c>
      <c r="G27843" s="33" t="s">
        <v>140</v>
      </c>
      <c r="H27843" s="35">
        <v>800</v>
      </c>
      <c r="I27843" s="33" t="s">
        <v>51</v>
      </c>
      <c r="J27843" s="42">
        <v>46063</v>
      </c>
      <c r="K27843" s="33" t="s">
        <v>22</v>
      </c>
    </row>
    <row r="27844" spans="1:11">
      <c r="A27844" s="30" t="s">
        <v>61076</v>
      </c>
      <c r="B27844" s="30" t="s">
        <v>61077</v>
      </c>
      <c r="C27844" s="30" t="s">
        <v>190</v>
      </c>
      <c r="D27844" s="30" t="s">
        <v>17</v>
      </c>
      <c r="E27844" s="30" t="s">
        <v>26</v>
      </c>
      <c r="F27844" s="30" t="s">
        <v>27</v>
      </c>
      <c r="G27844" s="30" t="s">
        <v>20</v>
      </c>
      <c r="H27844" s="32">
        <v>44</v>
      </c>
      <c r="I27844" s="30" t="s">
        <v>21</v>
      </c>
      <c r="J27844" s="41">
        <v>46097</v>
      </c>
      <c r="K27844" s="30" t="s">
        <v>22</v>
      </c>
    </row>
    <row r="27845" spans="1:11">
      <c r="A27845" s="33" t="s">
        <v>61078</v>
      </c>
      <c r="B27845" s="33" t="s">
        <v>61079</v>
      </c>
      <c r="C27845" s="33" t="s">
        <v>7900</v>
      </c>
      <c r="D27845" s="33" t="s">
        <v>17</v>
      </c>
      <c r="E27845" s="33" t="s">
        <v>18</v>
      </c>
      <c r="F27845" s="33" t="s">
        <v>19</v>
      </c>
      <c r="G27845" s="33" t="s">
        <v>140</v>
      </c>
      <c r="H27845" s="35">
        <v>254</v>
      </c>
      <c r="I27845" s="33" t="s">
        <v>51</v>
      </c>
      <c r="J27845" s="42">
        <v>46056</v>
      </c>
      <c r="K27845" s="33" t="s">
        <v>22</v>
      </c>
    </row>
    <row r="27846" spans="1:11">
      <c r="A27846" s="30" t="s">
        <v>61080</v>
      </c>
      <c r="B27846" s="30" t="s">
        <v>61081</v>
      </c>
      <c r="C27846" s="30" t="s">
        <v>2753</v>
      </c>
      <c r="D27846" s="30" t="s">
        <v>17</v>
      </c>
      <c r="E27846" s="30" t="s">
        <v>31</v>
      </c>
      <c r="F27846" s="30" t="s">
        <v>32</v>
      </c>
      <c r="G27846" s="30" t="s">
        <v>140</v>
      </c>
      <c r="H27846" s="32">
        <v>30</v>
      </c>
      <c r="I27846" s="30" t="s">
        <v>51</v>
      </c>
      <c r="J27846" s="41">
        <v>46142</v>
      </c>
      <c r="K27846" s="30" t="s">
        <v>22</v>
      </c>
    </row>
    <row r="27847" spans="1:11">
      <c r="A27847" s="33" t="s">
        <v>61082</v>
      </c>
      <c r="B27847" s="33" t="s">
        <v>61083</v>
      </c>
      <c r="C27847" s="33" t="s">
        <v>96</v>
      </c>
      <c r="D27847" s="33" t="s">
        <v>17</v>
      </c>
      <c r="E27847" s="33" t="s">
        <v>18</v>
      </c>
      <c r="F27847" s="33" t="s">
        <v>19</v>
      </c>
      <c r="G27847" s="33" t="s">
        <v>140</v>
      </c>
      <c r="H27847" s="35">
        <v>1712</v>
      </c>
      <c r="I27847" s="33" t="s">
        <v>51</v>
      </c>
      <c r="J27847" s="42">
        <v>46120</v>
      </c>
      <c r="K27847" s="33" t="s">
        <v>22</v>
      </c>
    </row>
    <row r="27848" spans="1:11">
      <c r="A27848" s="30" t="s">
        <v>61084</v>
      </c>
      <c r="B27848" s="30" t="s">
        <v>61085</v>
      </c>
      <c r="C27848" s="30" t="s">
        <v>969</v>
      </c>
      <c r="D27848" s="30" t="s">
        <v>17</v>
      </c>
      <c r="E27848" s="30" t="s">
        <v>26</v>
      </c>
      <c r="F27848" s="30" t="s">
        <v>27</v>
      </c>
      <c r="G27848" s="30" t="s">
        <v>7780</v>
      </c>
      <c r="H27848" s="32">
        <v>8</v>
      </c>
      <c r="I27848" s="30" t="s">
        <v>51</v>
      </c>
      <c r="J27848" s="41">
        <v>46212</v>
      </c>
      <c r="K27848" s="30" t="s">
        <v>22</v>
      </c>
    </row>
    <row r="27849" spans="1:11">
      <c r="A27849" s="33" t="s">
        <v>61086</v>
      </c>
      <c r="B27849" s="33" t="s">
        <v>61087</v>
      </c>
      <c r="C27849" s="33" t="s">
        <v>570</v>
      </c>
      <c r="D27849" s="33" t="s">
        <v>17</v>
      </c>
      <c r="E27849" s="33" t="s">
        <v>26</v>
      </c>
      <c r="F27849" s="33" t="s">
        <v>27</v>
      </c>
      <c r="G27849" s="33" t="s">
        <v>7780</v>
      </c>
      <c r="H27849" s="35">
        <v>102</v>
      </c>
      <c r="I27849" s="33" t="s">
        <v>51</v>
      </c>
      <c r="J27849" s="42">
        <v>46082</v>
      </c>
      <c r="K27849" s="33" t="s">
        <v>22</v>
      </c>
    </row>
    <row r="27850" spans="1:11">
      <c r="A27850" s="30" t="s">
        <v>61088</v>
      </c>
      <c r="B27850" s="30" t="s">
        <v>61089</v>
      </c>
      <c r="C27850" s="30" t="s">
        <v>1598</v>
      </c>
      <c r="D27850" s="30" t="s">
        <v>17</v>
      </c>
      <c r="E27850" s="30" t="s">
        <v>18</v>
      </c>
      <c r="F27850" s="30" t="s">
        <v>19</v>
      </c>
      <c r="G27850" s="30" t="s">
        <v>7780</v>
      </c>
      <c r="H27850" s="32">
        <v>255</v>
      </c>
      <c r="I27850" s="30" t="s">
        <v>51</v>
      </c>
      <c r="J27850" s="41">
        <v>46178</v>
      </c>
      <c r="K27850" s="30" t="s">
        <v>22</v>
      </c>
    </row>
    <row r="27851" spans="1:11">
      <c r="A27851" s="33" t="s">
        <v>61090</v>
      </c>
      <c r="B27851" s="33" t="s">
        <v>61091</v>
      </c>
      <c r="C27851" s="33" t="s">
        <v>99</v>
      </c>
      <c r="D27851" s="33" t="s">
        <v>17</v>
      </c>
      <c r="E27851" s="33" t="s">
        <v>26</v>
      </c>
      <c r="F27851" s="33" t="s">
        <v>27</v>
      </c>
      <c r="G27851" s="33" t="s">
        <v>158</v>
      </c>
      <c r="H27851" s="35">
        <v>144</v>
      </c>
      <c r="I27851" s="33" t="s">
        <v>51</v>
      </c>
      <c r="J27851" s="42">
        <v>46026</v>
      </c>
      <c r="K27851" s="33" t="s">
        <v>22</v>
      </c>
    </row>
    <row r="27852" spans="1:11">
      <c r="A27852" s="30" t="s">
        <v>61092</v>
      </c>
      <c r="B27852" s="30" t="s">
        <v>61093</v>
      </c>
      <c r="C27852" s="30" t="s">
        <v>21185</v>
      </c>
      <c r="D27852" s="30" t="s">
        <v>17</v>
      </c>
      <c r="E27852" s="30" t="s">
        <v>18</v>
      </c>
      <c r="F27852" s="30" t="s">
        <v>19</v>
      </c>
      <c r="G27852" s="30" t="s">
        <v>7780</v>
      </c>
      <c r="H27852" s="32">
        <v>142</v>
      </c>
      <c r="I27852" s="30" t="s">
        <v>51</v>
      </c>
      <c r="J27852" s="41">
        <v>46082</v>
      </c>
      <c r="K27852" s="30" t="s">
        <v>22</v>
      </c>
    </row>
    <row r="27853" spans="1:11">
      <c r="A27853" s="33" t="s">
        <v>61094</v>
      </c>
      <c r="B27853" s="33" t="s">
        <v>61095</v>
      </c>
      <c r="C27853" s="33" t="s">
        <v>4348</v>
      </c>
      <c r="D27853" s="33" t="s">
        <v>17</v>
      </c>
      <c r="E27853" s="33" t="s">
        <v>31</v>
      </c>
      <c r="F27853" s="33" t="s">
        <v>32</v>
      </c>
      <c r="G27853" s="33" t="s">
        <v>140</v>
      </c>
      <c r="H27853" s="35">
        <v>80</v>
      </c>
      <c r="I27853" s="33" t="s">
        <v>51</v>
      </c>
      <c r="J27853" s="42">
        <v>46056</v>
      </c>
      <c r="K27853" s="33" t="s">
        <v>22</v>
      </c>
    </row>
    <row r="27854" spans="1:11">
      <c r="A27854" s="30" t="s">
        <v>61096</v>
      </c>
      <c r="B27854" s="30" t="s">
        <v>61097</v>
      </c>
      <c r="C27854" s="30" t="s">
        <v>8881</v>
      </c>
      <c r="D27854" s="30" t="s">
        <v>17</v>
      </c>
      <c r="E27854" s="30" t="s">
        <v>45</v>
      </c>
      <c r="F27854" s="30" t="s">
        <v>46</v>
      </c>
      <c r="G27854" s="30" t="s">
        <v>140</v>
      </c>
      <c r="H27854" s="32">
        <v>500</v>
      </c>
      <c r="I27854" s="30" t="s">
        <v>51</v>
      </c>
      <c r="J27854" s="41">
        <v>46031</v>
      </c>
      <c r="K27854" s="30" t="s">
        <v>22</v>
      </c>
    </row>
    <row r="27855" spans="1:11">
      <c r="A27855" s="33" t="s">
        <v>61098</v>
      </c>
      <c r="B27855" s="33" t="s">
        <v>36250</v>
      </c>
      <c r="C27855" s="33" t="s">
        <v>78</v>
      </c>
      <c r="D27855" s="33" t="s">
        <v>17</v>
      </c>
      <c r="E27855" s="33" t="s">
        <v>26</v>
      </c>
      <c r="F27855" s="33" t="s">
        <v>27</v>
      </c>
      <c r="G27855" s="33" t="s">
        <v>20</v>
      </c>
      <c r="H27855" s="35">
        <v>34</v>
      </c>
      <c r="I27855" s="33" t="s">
        <v>21</v>
      </c>
      <c r="J27855" s="42">
        <v>46076</v>
      </c>
      <c r="K27855" s="33" t="s">
        <v>22</v>
      </c>
    </row>
    <row r="27856" spans="1:11">
      <c r="A27856" s="30" t="s">
        <v>61099</v>
      </c>
      <c r="B27856" s="30" t="s">
        <v>61100</v>
      </c>
      <c r="C27856" s="30" t="s">
        <v>61101</v>
      </c>
      <c r="D27856" s="30" t="s">
        <v>17</v>
      </c>
      <c r="E27856" s="30" t="s">
        <v>26</v>
      </c>
      <c r="F27856" s="30" t="s">
        <v>27</v>
      </c>
      <c r="G27856" s="30" t="s">
        <v>140</v>
      </c>
      <c r="H27856" s="32">
        <v>66</v>
      </c>
      <c r="I27856" s="30" t="s">
        <v>51</v>
      </c>
      <c r="J27856" s="41">
        <v>46113</v>
      </c>
      <c r="K27856" s="30" t="s">
        <v>22</v>
      </c>
    </row>
    <row r="27857" spans="1:11">
      <c r="A27857" s="33" t="s">
        <v>61102</v>
      </c>
      <c r="B27857" s="33" t="s">
        <v>61103</v>
      </c>
      <c r="C27857" s="33" t="s">
        <v>10199</v>
      </c>
      <c r="D27857" s="33" t="s">
        <v>17</v>
      </c>
      <c r="E27857" s="33" t="s">
        <v>26</v>
      </c>
      <c r="F27857" s="33" t="s">
        <v>27</v>
      </c>
      <c r="G27857" s="33" t="s">
        <v>7780</v>
      </c>
      <c r="H27857" s="35">
        <v>14</v>
      </c>
      <c r="I27857" s="33" t="s">
        <v>51</v>
      </c>
      <c r="J27857" s="42">
        <v>46027</v>
      </c>
      <c r="K27857" s="33" t="s">
        <v>22</v>
      </c>
    </row>
    <row r="27858" spans="1:11">
      <c r="A27858" s="30" t="s">
        <v>61104</v>
      </c>
      <c r="B27858" s="30" t="s">
        <v>61105</v>
      </c>
      <c r="C27858" s="30" t="s">
        <v>96</v>
      </c>
      <c r="D27858" s="30" t="s">
        <v>17</v>
      </c>
      <c r="E27858" s="30" t="s">
        <v>26</v>
      </c>
      <c r="F27858" s="30" t="s">
        <v>27</v>
      </c>
      <c r="G27858" s="30" t="s">
        <v>20</v>
      </c>
      <c r="H27858" s="32">
        <v>8</v>
      </c>
      <c r="I27858" s="30" t="s">
        <v>21</v>
      </c>
      <c r="J27858" s="41">
        <v>46115</v>
      </c>
      <c r="K27858" s="30" t="s">
        <v>22</v>
      </c>
    </row>
    <row r="27859" spans="1:11">
      <c r="A27859" s="33" t="s">
        <v>61106</v>
      </c>
      <c r="B27859" s="33" t="s">
        <v>61107</v>
      </c>
      <c r="C27859" s="33" t="s">
        <v>56957</v>
      </c>
      <c r="D27859" s="33" t="s">
        <v>17</v>
      </c>
      <c r="E27859" s="33" t="s">
        <v>67</v>
      </c>
      <c r="F27859" s="33" t="s">
        <v>68</v>
      </c>
      <c r="G27859" s="33" t="s">
        <v>140</v>
      </c>
      <c r="H27859" s="35">
        <v>72</v>
      </c>
      <c r="I27859" s="33" t="s">
        <v>51</v>
      </c>
      <c r="J27859" s="42">
        <v>46083</v>
      </c>
      <c r="K27859" s="33" t="s">
        <v>22</v>
      </c>
    </row>
    <row r="27860" spans="1:11">
      <c r="A27860" s="30" t="s">
        <v>61108</v>
      </c>
      <c r="B27860" s="30" t="s">
        <v>61109</v>
      </c>
      <c r="C27860" s="30" t="s">
        <v>61110</v>
      </c>
      <c r="D27860" s="30" t="s">
        <v>17</v>
      </c>
      <c r="E27860" s="30" t="s">
        <v>26</v>
      </c>
      <c r="F27860" s="30" t="s">
        <v>27</v>
      </c>
      <c r="G27860" s="30" t="s">
        <v>140</v>
      </c>
      <c r="H27860" s="32">
        <v>30</v>
      </c>
      <c r="I27860" s="30" t="s">
        <v>51</v>
      </c>
      <c r="J27860" s="41">
        <v>46101</v>
      </c>
      <c r="K27860" s="30" t="s">
        <v>22</v>
      </c>
    </row>
    <row r="27861" spans="1:11">
      <c r="A27861" s="33" t="s">
        <v>61111</v>
      </c>
      <c r="B27861" s="33" t="s">
        <v>61112</v>
      </c>
      <c r="C27861" s="33" t="s">
        <v>969</v>
      </c>
      <c r="D27861" s="33" t="s">
        <v>17</v>
      </c>
      <c r="E27861" s="33" t="s">
        <v>26</v>
      </c>
      <c r="F27861" s="33" t="s">
        <v>27</v>
      </c>
      <c r="G27861" s="33" t="s">
        <v>140</v>
      </c>
      <c r="H27861" s="35">
        <v>20</v>
      </c>
      <c r="I27861" s="33" t="s">
        <v>51</v>
      </c>
      <c r="J27861" s="42">
        <v>46199</v>
      </c>
      <c r="K27861" s="33" t="s">
        <v>22</v>
      </c>
    </row>
    <row r="27862" spans="1:11">
      <c r="A27862" s="30" t="s">
        <v>61113</v>
      </c>
      <c r="B27862" s="30" t="s">
        <v>61114</v>
      </c>
      <c r="C27862" s="30" t="s">
        <v>24907</v>
      </c>
      <c r="D27862" s="30" t="s">
        <v>17</v>
      </c>
      <c r="E27862" s="30" t="s">
        <v>31</v>
      </c>
      <c r="F27862" s="30" t="s">
        <v>32</v>
      </c>
      <c r="G27862" s="30" t="s">
        <v>140</v>
      </c>
      <c r="H27862" s="32">
        <v>45</v>
      </c>
      <c r="I27862" s="30" t="s">
        <v>51</v>
      </c>
      <c r="J27862" s="41">
        <v>46079</v>
      </c>
      <c r="K27862" s="30" t="s">
        <v>22</v>
      </c>
    </row>
    <row r="27863" spans="1:11">
      <c r="A27863" s="33" t="s">
        <v>61115</v>
      </c>
      <c r="B27863" s="33" t="s">
        <v>61116</v>
      </c>
      <c r="C27863" s="33" t="s">
        <v>61117</v>
      </c>
      <c r="D27863" s="33" t="s">
        <v>17</v>
      </c>
      <c r="E27863" s="33" t="s">
        <v>31</v>
      </c>
      <c r="F27863" s="33" t="s">
        <v>32</v>
      </c>
      <c r="G27863" s="33" t="s">
        <v>7780</v>
      </c>
      <c r="H27863" s="35">
        <v>66</v>
      </c>
      <c r="I27863" s="33" t="s">
        <v>51</v>
      </c>
      <c r="J27863" s="42">
        <v>46113</v>
      </c>
      <c r="K27863" s="33" t="s">
        <v>22</v>
      </c>
    </row>
    <row r="27864" spans="1:11">
      <c r="A27864" s="30" t="s">
        <v>61118</v>
      </c>
      <c r="B27864" s="30" t="s">
        <v>61119</v>
      </c>
      <c r="C27864" s="30" t="s">
        <v>32324</v>
      </c>
      <c r="D27864" s="30" t="s">
        <v>17</v>
      </c>
      <c r="E27864" s="30" t="s">
        <v>26</v>
      </c>
      <c r="F27864" s="30" t="s">
        <v>27</v>
      </c>
      <c r="G27864" s="30" t="s">
        <v>140</v>
      </c>
      <c r="H27864" s="32">
        <v>40</v>
      </c>
      <c r="I27864" s="30" t="s">
        <v>51</v>
      </c>
      <c r="J27864" s="41">
        <v>46125</v>
      </c>
      <c r="K27864" s="30" t="s">
        <v>22</v>
      </c>
    </row>
    <row r="27865" spans="1:11">
      <c r="A27865" s="33" t="s">
        <v>61120</v>
      </c>
      <c r="B27865" s="33" t="s">
        <v>61121</v>
      </c>
      <c r="C27865" s="33" t="s">
        <v>61122</v>
      </c>
      <c r="D27865" s="33" t="s">
        <v>17</v>
      </c>
      <c r="E27865" s="33" t="s">
        <v>45</v>
      </c>
      <c r="F27865" s="33" t="s">
        <v>46</v>
      </c>
      <c r="G27865" s="33" t="s">
        <v>140</v>
      </c>
      <c r="H27865" s="35">
        <v>300</v>
      </c>
      <c r="I27865" s="33" t="s">
        <v>51</v>
      </c>
      <c r="J27865" s="42">
        <v>46055</v>
      </c>
      <c r="K27865" s="33" t="s">
        <v>22</v>
      </c>
    </row>
    <row r="27866" spans="1:11">
      <c r="A27866" s="30" t="s">
        <v>61123</v>
      </c>
      <c r="B27866" s="30" t="s">
        <v>61124</v>
      </c>
      <c r="C27866" s="30" t="s">
        <v>2852</v>
      </c>
      <c r="D27866" s="30" t="s">
        <v>17</v>
      </c>
      <c r="E27866" s="30" t="s">
        <v>18</v>
      </c>
      <c r="F27866" s="30" t="s">
        <v>19</v>
      </c>
      <c r="G27866" s="30" t="s">
        <v>158</v>
      </c>
      <c r="H27866" s="32">
        <v>80</v>
      </c>
      <c r="I27866" s="30" t="s">
        <v>51</v>
      </c>
      <c r="J27866" s="41">
        <v>46036</v>
      </c>
      <c r="K27866" s="30" t="s">
        <v>22</v>
      </c>
    </row>
    <row r="27867" spans="1:11">
      <c r="A27867" s="33" t="s">
        <v>61125</v>
      </c>
      <c r="B27867" s="33" t="s">
        <v>61126</v>
      </c>
      <c r="C27867" s="33" t="s">
        <v>157</v>
      </c>
      <c r="D27867" s="33" t="s">
        <v>17</v>
      </c>
      <c r="E27867" s="33" t="s">
        <v>26</v>
      </c>
      <c r="F27867" s="33" t="s">
        <v>27</v>
      </c>
      <c r="G27867" s="33" t="s">
        <v>140</v>
      </c>
      <c r="H27867" s="35">
        <v>134</v>
      </c>
      <c r="I27867" s="33" t="s">
        <v>51</v>
      </c>
      <c r="J27867" s="42">
        <v>46029</v>
      </c>
      <c r="K27867" s="33" t="s">
        <v>22</v>
      </c>
    </row>
    <row r="27868" spans="1:11">
      <c r="A27868" s="30" t="s">
        <v>61127</v>
      </c>
      <c r="B27868" s="30" t="s">
        <v>61128</v>
      </c>
      <c r="C27868" s="30" t="s">
        <v>61129</v>
      </c>
      <c r="D27868" s="30" t="s">
        <v>17</v>
      </c>
      <c r="E27868" s="30" t="s">
        <v>330</v>
      </c>
      <c r="F27868" s="30" t="s">
        <v>331</v>
      </c>
      <c r="G27868" s="30" t="s">
        <v>140</v>
      </c>
      <c r="H27868" s="32">
        <v>12</v>
      </c>
      <c r="I27868" s="30" t="s">
        <v>51</v>
      </c>
      <c r="J27868" s="41">
        <v>46185</v>
      </c>
      <c r="K27868" s="30" t="s">
        <v>22</v>
      </c>
    </row>
    <row r="27869" spans="1:11">
      <c r="A27869" s="33" t="s">
        <v>61130</v>
      </c>
      <c r="B27869" s="33" t="s">
        <v>61131</v>
      </c>
      <c r="C27869" s="33" t="s">
        <v>61132</v>
      </c>
      <c r="D27869" s="33" t="s">
        <v>17</v>
      </c>
      <c r="E27869" s="33" t="s">
        <v>67</v>
      </c>
      <c r="F27869" s="33" t="s">
        <v>68</v>
      </c>
      <c r="G27869" s="33" t="s">
        <v>7780</v>
      </c>
      <c r="H27869" s="35">
        <v>190</v>
      </c>
      <c r="I27869" s="33" t="s">
        <v>51</v>
      </c>
      <c r="J27869" s="42">
        <v>46218</v>
      </c>
      <c r="K27869" s="33" t="s">
        <v>22</v>
      </c>
    </row>
    <row r="27870" spans="1:11">
      <c r="A27870" s="30" t="s">
        <v>61133</v>
      </c>
      <c r="B27870" s="30" t="s">
        <v>61134</v>
      </c>
      <c r="C27870" s="30" t="s">
        <v>11609</v>
      </c>
      <c r="D27870" s="30" t="s">
        <v>17</v>
      </c>
      <c r="E27870" s="30" t="s">
        <v>18</v>
      </c>
      <c r="F27870" s="30" t="s">
        <v>19</v>
      </c>
      <c r="G27870" s="30" t="s">
        <v>7780</v>
      </c>
      <c r="H27870" s="32">
        <v>360</v>
      </c>
      <c r="I27870" s="30" t="s">
        <v>51</v>
      </c>
      <c r="J27870" s="41">
        <v>46234</v>
      </c>
      <c r="K27870" s="30" t="s">
        <v>22</v>
      </c>
    </row>
    <row r="27871" spans="1:11">
      <c r="A27871" s="33" t="s">
        <v>61135</v>
      </c>
      <c r="B27871" s="33" t="s">
        <v>61136</v>
      </c>
      <c r="C27871" s="33" t="s">
        <v>7667</v>
      </c>
      <c r="D27871" s="33" t="s">
        <v>17</v>
      </c>
      <c r="E27871" s="33" t="s">
        <v>18</v>
      </c>
      <c r="F27871" s="33" t="s">
        <v>19</v>
      </c>
      <c r="G27871" s="33" t="s">
        <v>140</v>
      </c>
      <c r="H27871" s="35">
        <v>420</v>
      </c>
      <c r="I27871" s="33" t="s">
        <v>51</v>
      </c>
      <c r="J27871" s="42">
        <v>46129</v>
      </c>
      <c r="K27871" s="33" t="s">
        <v>22</v>
      </c>
    </row>
    <row r="27872" spans="1:11">
      <c r="A27872" s="30" t="s">
        <v>61137</v>
      </c>
      <c r="B27872" s="30" t="s">
        <v>61138</v>
      </c>
      <c r="C27872" s="30" t="s">
        <v>34057</v>
      </c>
      <c r="D27872" s="30" t="s">
        <v>17</v>
      </c>
      <c r="E27872" s="30" t="s">
        <v>18</v>
      </c>
      <c r="F27872" s="30" t="s">
        <v>19</v>
      </c>
      <c r="G27872" s="30" t="s">
        <v>140</v>
      </c>
      <c r="H27872" s="32">
        <v>100</v>
      </c>
      <c r="I27872" s="30" t="s">
        <v>51</v>
      </c>
      <c r="J27872" s="41">
        <v>46027</v>
      </c>
      <c r="K27872" s="30" t="s">
        <v>22</v>
      </c>
    </row>
    <row r="27873" spans="1:11">
      <c r="A27873" s="33" t="s">
        <v>61139</v>
      </c>
      <c r="B27873" s="33" t="s">
        <v>61140</v>
      </c>
      <c r="C27873" s="33" t="s">
        <v>33031</v>
      </c>
      <c r="D27873" s="33" t="s">
        <v>17</v>
      </c>
      <c r="E27873" s="33" t="s">
        <v>26</v>
      </c>
      <c r="F27873" s="33" t="s">
        <v>27</v>
      </c>
      <c r="G27873" s="33" t="s">
        <v>7780</v>
      </c>
      <c r="H27873" s="35">
        <v>240</v>
      </c>
      <c r="I27873" s="33" t="s">
        <v>51</v>
      </c>
      <c r="J27873" s="42">
        <v>46199</v>
      </c>
      <c r="K27873" s="33" t="s">
        <v>22</v>
      </c>
    </row>
    <row r="27874" spans="1:11">
      <c r="A27874" s="30" t="s">
        <v>61141</v>
      </c>
      <c r="B27874" s="30" t="s">
        <v>61142</v>
      </c>
      <c r="C27874" s="30" t="s">
        <v>1801</v>
      </c>
      <c r="D27874" s="30" t="s">
        <v>17</v>
      </c>
      <c r="E27874" s="30" t="s">
        <v>26</v>
      </c>
      <c r="F27874" s="30" t="s">
        <v>27</v>
      </c>
      <c r="G27874" s="30" t="s">
        <v>140</v>
      </c>
      <c r="H27874" s="32">
        <v>260</v>
      </c>
      <c r="I27874" s="30" t="s">
        <v>51</v>
      </c>
      <c r="J27874" s="41">
        <v>46041</v>
      </c>
      <c r="K27874" s="30" t="s">
        <v>22</v>
      </c>
    </row>
    <row r="27875" spans="1:11">
      <c r="A27875" s="33" t="s">
        <v>61143</v>
      </c>
      <c r="B27875" s="33" t="s">
        <v>61144</v>
      </c>
      <c r="C27875" s="33" t="s">
        <v>44131</v>
      </c>
      <c r="D27875" s="33" t="s">
        <v>17</v>
      </c>
      <c r="E27875" s="33" t="s">
        <v>31</v>
      </c>
      <c r="F27875" s="33" t="s">
        <v>32</v>
      </c>
      <c r="G27875" s="33" t="s">
        <v>140</v>
      </c>
      <c r="H27875" s="35">
        <v>24</v>
      </c>
      <c r="I27875" s="33" t="s">
        <v>51</v>
      </c>
      <c r="J27875" s="42">
        <v>46134</v>
      </c>
      <c r="K27875" s="33" t="s">
        <v>22</v>
      </c>
    </row>
    <row r="27876" spans="1:11">
      <c r="A27876" s="30" t="s">
        <v>61145</v>
      </c>
      <c r="B27876" s="30" t="s">
        <v>61146</v>
      </c>
      <c r="C27876" s="30" t="s">
        <v>55737</v>
      </c>
      <c r="D27876" s="30" t="s">
        <v>17</v>
      </c>
      <c r="E27876" s="30" t="s">
        <v>45</v>
      </c>
      <c r="F27876" s="30" t="s">
        <v>46</v>
      </c>
      <c r="G27876" s="30" t="s">
        <v>2613</v>
      </c>
      <c r="H27876" s="32">
        <v>500</v>
      </c>
      <c r="I27876" s="30" t="s">
        <v>51</v>
      </c>
      <c r="J27876" s="41">
        <v>46122</v>
      </c>
      <c r="K27876" s="30" t="s">
        <v>22</v>
      </c>
    </row>
    <row r="27877" spans="1:11">
      <c r="A27877" s="33" t="s">
        <v>61147</v>
      </c>
      <c r="B27877" s="33" t="s">
        <v>61148</v>
      </c>
      <c r="C27877" s="33" t="s">
        <v>53468</v>
      </c>
      <c r="D27877" s="33" t="s">
        <v>17</v>
      </c>
      <c r="E27877" s="33" t="s">
        <v>26</v>
      </c>
      <c r="F27877" s="33" t="s">
        <v>27</v>
      </c>
      <c r="G27877" s="33" t="s">
        <v>7780</v>
      </c>
      <c r="H27877" s="35">
        <v>72</v>
      </c>
      <c r="I27877" s="33" t="s">
        <v>51</v>
      </c>
      <c r="J27877" s="42">
        <v>46233</v>
      </c>
      <c r="K27877" s="33" t="s">
        <v>22</v>
      </c>
    </row>
    <row r="27878" spans="1:11">
      <c r="A27878" s="30" t="s">
        <v>61149</v>
      </c>
      <c r="B27878" s="30" t="s">
        <v>61150</v>
      </c>
      <c r="C27878" s="30" t="s">
        <v>190</v>
      </c>
      <c r="D27878" s="30" t="s">
        <v>17</v>
      </c>
      <c r="E27878" s="30" t="s">
        <v>31</v>
      </c>
      <c r="F27878" s="30" t="s">
        <v>32</v>
      </c>
      <c r="G27878" s="30" t="s">
        <v>140</v>
      </c>
      <c r="H27878" s="32">
        <v>104</v>
      </c>
      <c r="I27878" s="30" t="s">
        <v>51</v>
      </c>
      <c r="J27878" s="41">
        <v>46149</v>
      </c>
      <c r="K27878" s="30" t="s">
        <v>22</v>
      </c>
    </row>
    <row r="27879" spans="1:11">
      <c r="A27879" s="33" t="s">
        <v>61151</v>
      </c>
      <c r="B27879" s="33" t="s">
        <v>61152</v>
      </c>
      <c r="C27879" s="33" t="s">
        <v>22614</v>
      </c>
      <c r="D27879" s="33" t="s">
        <v>17</v>
      </c>
      <c r="E27879" s="33" t="s">
        <v>330</v>
      </c>
      <c r="F27879" s="33" t="s">
        <v>331</v>
      </c>
      <c r="G27879" s="33" t="s">
        <v>7780</v>
      </c>
      <c r="H27879" s="35">
        <v>40</v>
      </c>
      <c r="I27879" s="33" t="s">
        <v>51</v>
      </c>
      <c r="J27879" s="42">
        <v>46174</v>
      </c>
      <c r="K27879" s="33" t="s">
        <v>22</v>
      </c>
    </row>
    <row r="27880" spans="1:11">
      <c r="A27880" s="30" t="s">
        <v>61153</v>
      </c>
      <c r="B27880" s="30" t="s">
        <v>61154</v>
      </c>
      <c r="C27880" s="30" t="s">
        <v>12879</v>
      </c>
      <c r="D27880" s="30" t="s">
        <v>17</v>
      </c>
      <c r="E27880" s="30" t="s">
        <v>31</v>
      </c>
      <c r="F27880" s="30" t="s">
        <v>32</v>
      </c>
      <c r="G27880" s="30" t="s">
        <v>140</v>
      </c>
      <c r="H27880" s="32">
        <v>120</v>
      </c>
      <c r="I27880" s="30" t="s">
        <v>51</v>
      </c>
      <c r="J27880" s="41">
        <v>46105</v>
      </c>
      <c r="K27880" s="30" t="s">
        <v>22</v>
      </c>
    </row>
    <row r="27881" spans="1:11">
      <c r="A27881" s="33" t="s">
        <v>61155</v>
      </c>
      <c r="B27881" s="33" t="s">
        <v>61156</v>
      </c>
      <c r="C27881" s="33" t="s">
        <v>6972</v>
      </c>
      <c r="D27881" s="33" t="s">
        <v>17</v>
      </c>
      <c r="E27881" s="33" t="s">
        <v>26</v>
      </c>
      <c r="F27881" s="33" t="s">
        <v>27</v>
      </c>
      <c r="G27881" s="33" t="s">
        <v>140</v>
      </c>
      <c r="H27881" s="35">
        <v>74</v>
      </c>
      <c r="I27881" s="33" t="s">
        <v>51</v>
      </c>
      <c r="J27881" s="42">
        <v>46059</v>
      </c>
      <c r="K27881" s="33" t="s">
        <v>22</v>
      </c>
    </row>
    <row r="27882" spans="1:11">
      <c r="A27882" s="30" t="s">
        <v>61157</v>
      </c>
      <c r="B27882" s="30" t="s">
        <v>61158</v>
      </c>
      <c r="C27882" s="30" t="s">
        <v>124</v>
      </c>
      <c r="D27882" s="30" t="s">
        <v>17</v>
      </c>
      <c r="E27882" s="30" t="s">
        <v>67</v>
      </c>
      <c r="F27882" s="30" t="s">
        <v>68</v>
      </c>
      <c r="G27882" s="30" t="s">
        <v>158</v>
      </c>
      <c r="H27882" s="32">
        <v>180</v>
      </c>
      <c r="I27882" s="30" t="s">
        <v>51</v>
      </c>
      <c r="J27882" s="41">
        <v>46164</v>
      </c>
      <c r="K27882" s="30" t="s">
        <v>22</v>
      </c>
    </row>
    <row r="27883" spans="1:11">
      <c r="A27883" s="33" t="s">
        <v>61159</v>
      </c>
      <c r="B27883" s="33" t="s">
        <v>61160</v>
      </c>
      <c r="C27883" s="33" t="s">
        <v>149</v>
      </c>
      <c r="D27883" s="33" t="s">
        <v>17</v>
      </c>
      <c r="E27883" s="33" t="s">
        <v>26</v>
      </c>
      <c r="F27883" s="33" t="s">
        <v>27</v>
      </c>
      <c r="G27883" s="33" t="s">
        <v>140</v>
      </c>
      <c r="H27883" s="35">
        <v>190</v>
      </c>
      <c r="I27883" s="33" t="s">
        <v>51</v>
      </c>
      <c r="J27883" s="42">
        <v>46176</v>
      </c>
      <c r="K27883" s="33" t="s">
        <v>22</v>
      </c>
    </row>
    <row r="27884" spans="1:11">
      <c r="A27884" s="30" t="s">
        <v>61161</v>
      </c>
      <c r="B27884" s="30" t="s">
        <v>61162</v>
      </c>
      <c r="C27884" s="30" t="s">
        <v>53394</v>
      </c>
      <c r="D27884" s="30" t="s">
        <v>17</v>
      </c>
      <c r="E27884" s="30" t="s">
        <v>26</v>
      </c>
      <c r="F27884" s="30" t="s">
        <v>27</v>
      </c>
      <c r="G27884" s="30" t="s">
        <v>7780</v>
      </c>
      <c r="H27884" s="32">
        <v>83</v>
      </c>
      <c r="I27884" s="30" t="s">
        <v>51</v>
      </c>
      <c r="J27884" s="41">
        <v>46174</v>
      </c>
      <c r="K27884" s="30" t="s">
        <v>22</v>
      </c>
    </row>
    <row r="27885" spans="1:11">
      <c r="A27885" s="33" t="s">
        <v>61163</v>
      </c>
      <c r="B27885" s="33" t="s">
        <v>61164</v>
      </c>
      <c r="C27885" s="33" t="s">
        <v>61165</v>
      </c>
      <c r="D27885" s="33" t="s">
        <v>17</v>
      </c>
      <c r="E27885" s="33" t="s">
        <v>18</v>
      </c>
      <c r="F27885" s="33" t="s">
        <v>19</v>
      </c>
      <c r="G27885" s="33" t="s">
        <v>140</v>
      </c>
      <c r="H27885" s="35">
        <v>165</v>
      </c>
      <c r="I27885" s="33" t="s">
        <v>51</v>
      </c>
      <c r="J27885" s="42">
        <v>46174</v>
      </c>
      <c r="K27885" s="33" t="s">
        <v>22</v>
      </c>
    </row>
    <row r="27886" spans="1:11">
      <c r="A27886" s="30" t="s">
        <v>61166</v>
      </c>
      <c r="B27886" s="30" t="s">
        <v>61167</v>
      </c>
      <c r="C27886" s="30" t="s">
        <v>93</v>
      </c>
      <c r="D27886" s="30" t="s">
        <v>17</v>
      </c>
      <c r="E27886" s="30" t="s">
        <v>18</v>
      </c>
      <c r="F27886" s="30" t="s">
        <v>19</v>
      </c>
      <c r="G27886" s="30" t="s">
        <v>140</v>
      </c>
      <c r="H27886" s="32">
        <v>531</v>
      </c>
      <c r="I27886" s="30" t="s">
        <v>51</v>
      </c>
      <c r="J27886" s="41">
        <v>46205</v>
      </c>
      <c r="K27886" s="30" t="s">
        <v>22</v>
      </c>
    </row>
    <row r="27887" spans="1:11">
      <c r="A27887" s="33" t="s">
        <v>61168</v>
      </c>
      <c r="B27887" s="33" t="s">
        <v>61169</v>
      </c>
      <c r="C27887" s="33" t="s">
        <v>6215</v>
      </c>
      <c r="D27887" s="33" t="s">
        <v>17</v>
      </c>
      <c r="E27887" s="33" t="s">
        <v>18</v>
      </c>
      <c r="F27887" s="33" t="s">
        <v>19</v>
      </c>
      <c r="G27887" s="33" t="s">
        <v>140</v>
      </c>
      <c r="H27887" s="35">
        <v>990</v>
      </c>
      <c r="I27887" s="33" t="s">
        <v>51</v>
      </c>
      <c r="J27887" s="42">
        <v>46182</v>
      </c>
      <c r="K27887" s="33" t="s">
        <v>22</v>
      </c>
    </row>
    <row r="27888" spans="1:11">
      <c r="A27888" s="30" t="s">
        <v>61170</v>
      </c>
      <c r="B27888" s="30" t="s">
        <v>61171</v>
      </c>
      <c r="C27888" s="30" t="s">
        <v>13882</v>
      </c>
      <c r="D27888" s="30" t="s">
        <v>17</v>
      </c>
      <c r="E27888" s="30" t="s">
        <v>26</v>
      </c>
      <c r="F27888" s="30" t="s">
        <v>27</v>
      </c>
      <c r="G27888" s="30" t="s">
        <v>140</v>
      </c>
      <c r="H27888" s="32">
        <v>50</v>
      </c>
      <c r="I27888" s="30" t="s">
        <v>51</v>
      </c>
      <c r="J27888" s="41">
        <v>46168</v>
      </c>
      <c r="K27888" s="30" t="s">
        <v>22</v>
      </c>
    </row>
    <row r="27889" spans="1:11">
      <c r="A27889" s="33" t="s">
        <v>61172</v>
      </c>
      <c r="B27889" s="33" t="s">
        <v>61173</v>
      </c>
      <c r="C27889" s="33" t="s">
        <v>379</v>
      </c>
      <c r="D27889" s="33" t="s">
        <v>17</v>
      </c>
      <c r="E27889" s="33" t="s">
        <v>45</v>
      </c>
      <c r="F27889" s="33" t="s">
        <v>46</v>
      </c>
      <c r="G27889" s="33" t="s">
        <v>7780</v>
      </c>
      <c r="H27889" s="35">
        <v>720</v>
      </c>
      <c r="I27889" s="33" t="s">
        <v>51</v>
      </c>
      <c r="J27889" s="42">
        <v>46082</v>
      </c>
      <c r="K27889" s="33" t="s">
        <v>22</v>
      </c>
    </row>
    <row r="27890" spans="1:11">
      <c r="A27890" s="30" t="s">
        <v>61174</v>
      </c>
      <c r="B27890" s="30" t="s">
        <v>61175</v>
      </c>
      <c r="C27890" s="30" t="s">
        <v>38860</v>
      </c>
      <c r="D27890" s="30" t="s">
        <v>17</v>
      </c>
      <c r="E27890" s="30" t="s">
        <v>18</v>
      </c>
      <c r="F27890" s="30" t="s">
        <v>19</v>
      </c>
      <c r="G27890" s="30" t="s">
        <v>140</v>
      </c>
      <c r="H27890" s="32">
        <v>300</v>
      </c>
      <c r="I27890" s="30" t="s">
        <v>51</v>
      </c>
      <c r="J27890" s="41">
        <v>46199</v>
      </c>
      <c r="K27890" s="30" t="s">
        <v>22</v>
      </c>
    </row>
    <row r="27891" spans="1:11">
      <c r="A27891" s="33" t="s">
        <v>61176</v>
      </c>
      <c r="B27891" s="33" t="s">
        <v>61177</v>
      </c>
      <c r="C27891" s="33" t="s">
        <v>379</v>
      </c>
      <c r="D27891" s="33" t="s">
        <v>17</v>
      </c>
      <c r="E27891" s="33" t="s">
        <v>45</v>
      </c>
      <c r="F27891" s="33" t="s">
        <v>46</v>
      </c>
      <c r="G27891" s="33" t="s">
        <v>140</v>
      </c>
      <c r="H27891" s="35">
        <v>706</v>
      </c>
      <c r="I27891" s="33" t="s">
        <v>51</v>
      </c>
      <c r="J27891" s="42">
        <v>46169</v>
      </c>
      <c r="K27891" s="33" t="s">
        <v>22</v>
      </c>
    </row>
    <row r="27892" spans="1:11">
      <c r="A27892" s="30" t="s">
        <v>61178</v>
      </c>
      <c r="B27892" s="30" t="s">
        <v>61179</v>
      </c>
      <c r="C27892" s="30" t="s">
        <v>124</v>
      </c>
      <c r="D27892" s="30" t="s">
        <v>17</v>
      </c>
      <c r="E27892" s="30" t="s">
        <v>18</v>
      </c>
      <c r="F27892" s="30" t="s">
        <v>19</v>
      </c>
      <c r="G27892" s="30" t="s">
        <v>7780</v>
      </c>
      <c r="H27892" s="32">
        <v>400</v>
      </c>
      <c r="I27892" s="30" t="s">
        <v>51</v>
      </c>
      <c r="J27892" s="41">
        <v>46143</v>
      </c>
      <c r="K27892" s="30" t="s">
        <v>22</v>
      </c>
    </row>
    <row r="27893" spans="1:11">
      <c r="A27893" s="33" t="s">
        <v>61180</v>
      </c>
      <c r="B27893" s="33" t="s">
        <v>61181</v>
      </c>
      <c r="C27893" s="33" t="s">
        <v>61182</v>
      </c>
      <c r="D27893" s="33" t="s">
        <v>17</v>
      </c>
      <c r="E27893" s="33" t="s">
        <v>26</v>
      </c>
      <c r="F27893" s="33" t="s">
        <v>27</v>
      </c>
      <c r="G27893" s="33" t="s">
        <v>7780</v>
      </c>
      <c r="H27893" s="35">
        <v>18</v>
      </c>
      <c r="I27893" s="33" t="s">
        <v>51</v>
      </c>
      <c r="J27893" s="42">
        <v>46199</v>
      </c>
      <c r="K27893" s="33" t="s">
        <v>22</v>
      </c>
    </row>
    <row r="27894" spans="1:11">
      <c r="A27894" s="30" t="s">
        <v>61183</v>
      </c>
      <c r="B27894" s="30" t="s">
        <v>57754</v>
      </c>
      <c r="C27894" s="30" t="s">
        <v>56957</v>
      </c>
      <c r="D27894" s="30" t="s">
        <v>17</v>
      </c>
      <c r="E27894" s="30" t="s">
        <v>67</v>
      </c>
      <c r="F27894" s="30" t="s">
        <v>68</v>
      </c>
      <c r="G27894" s="30" t="s">
        <v>140</v>
      </c>
      <c r="H27894" s="32">
        <v>60</v>
      </c>
      <c r="I27894" s="30" t="s">
        <v>51</v>
      </c>
      <c r="J27894" s="41">
        <v>46055</v>
      </c>
      <c r="K27894" s="30" t="s">
        <v>22</v>
      </c>
    </row>
    <row r="27895" spans="1:11">
      <c r="A27895" s="33" t="s">
        <v>61184</v>
      </c>
      <c r="B27895" s="33" t="s">
        <v>61185</v>
      </c>
      <c r="C27895" s="33" t="s">
        <v>39233</v>
      </c>
      <c r="D27895" s="33" t="s">
        <v>17</v>
      </c>
      <c r="E27895" s="33" t="s">
        <v>18</v>
      </c>
      <c r="F27895" s="33" t="s">
        <v>19</v>
      </c>
      <c r="G27895" s="33" t="s">
        <v>7780</v>
      </c>
      <c r="H27895" s="35">
        <v>570</v>
      </c>
      <c r="I27895" s="33" t="s">
        <v>51</v>
      </c>
      <c r="J27895" s="42">
        <v>46198</v>
      </c>
      <c r="K27895" s="33" t="s">
        <v>22</v>
      </c>
    </row>
    <row r="27896" spans="1:11">
      <c r="A27896" s="30" t="s">
        <v>61186</v>
      </c>
      <c r="B27896" s="30" t="s">
        <v>61187</v>
      </c>
      <c r="C27896" s="30" t="s">
        <v>190</v>
      </c>
      <c r="D27896" s="30" t="s">
        <v>17</v>
      </c>
      <c r="E27896" s="30" t="s">
        <v>18</v>
      </c>
      <c r="F27896" s="30" t="s">
        <v>19</v>
      </c>
      <c r="G27896" s="30" t="s">
        <v>140</v>
      </c>
      <c r="H27896" s="32">
        <v>1200</v>
      </c>
      <c r="I27896" s="30" t="s">
        <v>51</v>
      </c>
      <c r="J27896" s="41">
        <v>46209</v>
      </c>
      <c r="K27896" s="30" t="s">
        <v>22</v>
      </c>
    </row>
    <row r="27897" spans="1:11">
      <c r="A27897" s="33" t="s">
        <v>61188</v>
      </c>
      <c r="B27897" s="33" t="s">
        <v>61189</v>
      </c>
      <c r="C27897" s="33" t="s">
        <v>149</v>
      </c>
      <c r="D27897" s="33" t="s">
        <v>17</v>
      </c>
      <c r="E27897" s="33" t="s">
        <v>31</v>
      </c>
      <c r="F27897" s="33" t="s">
        <v>32</v>
      </c>
      <c r="G27897" s="33" t="s">
        <v>20</v>
      </c>
      <c r="H27897" s="35">
        <v>103</v>
      </c>
      <c r="I27897" s="33" t="s">
        <v>21</v>
      </c>
      <c r="J27897" s="42">
        <v>46087</v>
      </c>
      <c r="K27897" s="33" t="s">
        <v>22</v>
      </c>
    </row>
    <row r="27898" spans="1:11">
      <c r="A27898" s="30" t="s">
        <v>61190</v>
      </c>
      <c r="B27898" s="30" t="s">
        <v>61191</v>
      </c>
      <c r="C27898" s="30" t="s">
        <v>647</v>
      </c>
      <c r="D27898" s="30" t="s">
        <v>17</v>
      </c>
      <c r="E27898" s="30" t="s">
        <v>26</v>
      </c>
      <c r="F27898" s="30" t="s">
        <v>27</v>
      </c>
      <c r="G27898" s="30" t="s">
        <v>20</v>
      </c>
      <c r="H27898" s="32">
        <v>30</v>
      </c>
      <c r="I27898" s="30" t="s">
        <v>21</v>
      </c>
      <c r="J27898" s="41">
        <v>46104</v>
      </c>
      <c r="K27898" s="30" t="s">
        <v>22</v>
      </c>
    </row>
    <row r="27899" spans="1:11">
      <c r="A27899" s="33" t="s">
        <v>61192</v>
      </c>
      <c r="B27899" s="33" t="s">
        <v>61193</v>
      </c>
      <c r="C27899" s="33" t="s">
        <v>21691</v>
      </c>
      <c r="D27899" s="33" t="s">
        <v>17</v>
      </c>
      <c r="E27899" s="33" t="s">
        <v>26</v>
      </c>
      <c r="F27899" s="33" t="s">
        <v>27</v>
      </c>
      <c r="G27899" s="33" t="s">
        <v>140</v>
      </c>
      <c r="H27899" s="35">
        <v>115</v>
      </c>
      <c r="I27899" s="33" t="s">
        <v>51</v>
      </c>
      <c r="J27899" s="42">
        <v>46035</v>
      </c>
      <c r="K27899" s="33" t="s">
        <v>22</v>
      </c>
    </row>
    <row r="27900" spans="1:11">
      <c r="A27900" s="30" t="s">
        <v>61194</v>
      </c>
      <c r="B27900" s="30" t="s">
        <v>61195</v>
      </c>
      <c r="C27900" s="30" t="s">
        <v>21210</v>
      </c>
      <c r="D27900" s="30" t="s">
        <v>17</v>
      </c>
      <c r="E27900" s="30" t="s">
        <v>67</v>
      </c>
      <c r="F27900" s="30" t="s">
        <v>68</v>
      </c>
      <c r="G27900" s="30" t="s">
        <v>7780</v>
      </c>
      <c r="H27900" s="32">
        <v>14</v>
      </c>
      <c r="I27900" s="30" t="s">
        <v>51</v>
      </c>
      <c r="J27900" s="41">
        <v>46023</v>
      </c>
      <c r="K27900" s="30" t="s">
        <v>22</v>
      </c>
    </row>
    <row r="27901" spans="1:11">
      <c r="A27901" s="33" t="s">
        <v>61196</v>
      </c>
      <c r="B27901" s="33" t="s">
        <v>61197</v>
      </c>
      <c r="C27901" s="33" t="s">
        <v>231</v>
      </c>
      <c r="D27901" s="33" t="s">
        <v>17</v>
      </c>
      <c r="E27901" s="33" t="s">
        <v>31</v>
      </c>
      <c r="F27901" s="33" t="s">
        <v>32</v>
      </c>
      <c r="G27901" s="33" t="s">
        <v>140</v>
      </c>
      <c r="H27901" s="35">
        <v>60</v>
      </c>
      <c r="I27901" s="33" t="s">
        <v>51</v>
      </c>
      <c r="J27901" s="42">
        <v>46177</v>
      </c>
      <c r="K27901" s="33" t="s">
        <v>22</v>
      </c>
    </row>
    <row r="27902" spans="1:11">
      <c r="A27902" s="30" t="s">
        <v>61198</v>
      </c>
      <c r="B27902" s="30" t="s">
        <v>61199</v>
      </c>
      <c r="C27902" s="30" t="s">
        <v>570</v>
      </c>
      <c r="D27902" s="30" t="s">
        <v>17</v>
      </c>
      <c r="E27902" s="30" t="s">
        <v>26</v>
      </c>
      <c r="F27902" s="30" t="s">
        <v>27</v>
      </c>
      <c r="G27902" s="30" t="s">
        <v>7780</v>
      </c>
      <c r="H27902" s="32">
        <v>60</v>
      </c>
      <c r="I27902" s="30" t="s">
        <v>51</v>
      </c>
      <c r="J27902" s="41">
        <v>46023</v>
      </c>
      <c r="K27902" s="30" t="s">
        <v>22</v>
      </c>
    </row>
    <row r="27903" spans="1:11">
      <c r="A27903" s="33" t="s">
        <v>61200</v>
      </c>
      <c r="B27903" s="33" t="s">
        <v>61201</v>
      </c>
      <c r="C27903" s="33" t="s">
        <v>61202</v>
      </c>
      <c r="D27903" s="33" t="s">
        <v>17</v>
      </c>
      <c r="E27903" s="33" t="s">
        <v>26</v>
      </c>
      <c r="F27903" s="33" t="s">
        <v>27</v>
      </c>
      <c r="G27903" s="33" t="s">
        <v>140</v>
      </c>
      <c r="H27903" s="35">
        <v>24</v>
      </c>
      <c r="I27903" s="33" t="s">
        <v>51</v>
      </c>
      <c r="J27903" s="42">
        <v>46076</v>
      </c>
      <c r="K27903" s="33" t="s">
        <v>22</v>
      </c>
    </row>
    <row r="27904" spans="1:11">
      <c r="A27904" s="30" t="s">
        <v>61203</v>
      </c>
      <c r="B27904" s="30" t="s">
        <v>61204</v>
      </c>
      <c r="C27904" s="30" t="s">
        <v>136</v>
      </c>
      <c r="D27904" s="30" t="s">
        <v>17</v>
      </c>
      <c r="E27904" s="30" t="s">
        <v>18</v>
      </c>
      <c r="F27904" s="30" t="s">
        <v>19</v>
      </c>
      <c r="G27904" s="30" t="s">
        <v>140</v>
      </c>
      <c r="H27904" s="32">
        <v>900</v>
      </c>
      <c r="I27904" s="30" t="s">
        <v>51</v>
      </c>
      <c r="J27904" s="41">
        <v>46063</v>
      </c>
      <c r="K27904" s="30" t="s">
        <v>22</v>
      </c>
    </row>
    <row r="27905" spans="1:11">
      <c r="A27905" s="33" t="s">
        <v>61205</v>
      </c>
      <c r="B27905" s="33" t="s">
        <v>61206</v>
      </c>
      <c r="C27905" s="33" t="s">
        <v>7449</v>
      </c>
      <c r="D27905" s="33" t="s">
        <v>17</v>
      </c>
      <c r="E27905" s="33" t="s">
        <v>18</v>
      </c>
      <c r="F27905" s="33" t="s">
        <v>19</v>
      </c>
      <c r="G27905" s="33" t="s">
        <v>140</v>
      </c>
      <c r="H27905" s="35">
        <v>550</v>
      </c>
      <c r="I27905" s="33" t="s">
        <v>51</v>
      </c>
      <c r="J27905" s="42">
        <v>46164</v>
      </c>
      <c r="K27905" s="33" t="s">
        <v>22</v>
      </c>
    </row>
    <row r="27906" spans="1:11">
      <c r="A27906" s="30" t="s">
        <v>61207</v>
      </c>
      <c r="B27906" s="30" t="s">
        <v>61208</v>
      </c>
      <c r="C27906" s="30" t="s">
        <v>61209</v>
      </c>
      <c r="D27906" s="30" t="s">
        <v>17</v>
      </c>
      <c r="E27906" s="30" t="s">
        <v>18</v>
      </c>
      <c r="F27906" s="30" t="s">
        <v>19</v>
      </c>
      <c r="G27906" s="30" t="s">
        <v>7780</v>
      </c>
      <c r="H27906" s="32">
        <v>80</v>
      </c>
      <c r="I27906" s="30" t="s">
        <v>51</v>
      </c>
      <c r="J27906" s="41">
        <v>46218</v>
      </c>
      <c r="K27906" s="30" t="s">
        <v>22</v>
      </c>
    </row>
    <row r="27907" spans="1:11">
      <c r="A27907" s="33" t="s">
        <v>61210</v>
      </c>
      <c r="B27907" s="33" t="s">
        <v>61211</v>
      </c>
      <c r="C27907" s="33" t="s">
        <v>190</v>
      </c>
      <c r="D27907" s="33" t="s">
        <v>17</v>
      </c>
      <c r="E27907" s="33" t="s">
        <v>26</v>
      </c>
      <c r="F27907" s="33" t="s">
        <v>27</v>
      </c>
      <c r="G27907" s="33" t="s">
        <v>7780</v>
      </c>
      <c r="H27907" s="35">
        <v>160</v>
      </c>
      <c r="I27907" s="33" t="s">
        <v>51</v>
      </c>
      <c r="J27907" s="42">
        <v>46226</v>
      </c>
      <c r="K27907" s="33" t="s">
        <v>22</v>
      </c>
    </row>
    <row r="27908" spans="1:11">
      <c r="A27908" s="30" t="s">
        <v>61212</v>
      </c>
      <c r="B27908" s="30" t="s">
        <v>61213</v>
      </c>
      <c r="C27908" s="30" t="s">
        <v>443</v>
      </c>
      <c r="D27908" s="30" t="s">
        <v>17</v>
      </c>
      <c r="E27908" s="30" t="s">
        <v>18</v>
      </c>
      <c r="F27908" s="30" t="s">
        <v>19</v>
      </c>
      <c r="G27908" s="30" t="s">
        <v>7780</v>
      </c>
      <c r="H27908" s="32">
        <v>6000</v>
      </c>
      <c r="I27908" s="30" t="s">
        <v>51</v>
      </c>
      <c r="J27908" s="41">
        <v>46143</v>
      </c>
      <c r="K27908" s="30" t="s">
        <v>22</v>
      </c>
    </row>
    <row r="27909" spans="1:11">
      <c r="A27909" s="33" t="s">
        <v>61214</v>
      </c>
      <c r="B27909" s="33" t="s">
        <v>61215</v>
      </c>
      <c r="C27909" s="33" t="s">
        <v>136</v>
      </c>
      <c r="D27909" s="33" t="s">
        <v>17</v>
      </c>
      <c r="E27909" s="33" t="s">
        <v>31</v>
      </c>
      <c r="F27909" s="33" t="s">
        <v>32</v>
      </c>
      <c r="G27909" s="33" t="s">
        <v>140</v>
      </c>
      <c r="H27909" s="35">
        <v>531</v>
      </c>
      <c r="I27909" s="33" t="s">
        <v>51</v>
      </c>
      <c r="J27909" s="42">
        <v>46148</v>
      </c>
      <c r="K27909" s="33" t="s">
        <v>22</v>
      </c>
    </row>
    <row r="27910" spans="1:11">
      <c r="A27910" s="30" t="s">
        <v>61216</v>
      </c>
      <c r="B27910" s="30" t="s">
        <v>61217</v>
      </c>
      <c r="C27910" s="30" t="s">
        <v>252</v>
      </c>
      <c r="D27910" s="30" t="s">
        <v>17</v>
      </c>
      <c r="E27910" s="30" t="s">
        <v>18</v>
      </c>
      <c r="F27910" s="30" t="s">
        <v>19</v>
      </c>
      <c r="G27910" s="30" t="s">
        <v>7780</v>
      </c>
      <c r="H27910" s="32">
        <v>422</v>
      </c>
      <c r="I27910" s="30" t="s">
        <v>51</v>
      </c>
      <c r="J27910" s="41">
        <v>46112</v>
      </c>
      <c r="K27910" s="30" t="s">
        <v>22</v>
      </c>
    </row>
    <row r="27911" spans="1:11">
      <c r="A27911" s="33" t="s">
        <v>61218</v>
      </c>
      <c r="B27911" s="33" t="s">
        <v>61219</v>
      </c>
      <c r="C27911" s="33" t="s">
        <v>6316</v>
      </c>
      <c r="D27911" s="33" t="s">
        <v>17</v>
      </c>
      <c r="E27911" s="33" t="s">
        <v>31</v>
      </c>
      <c r="F27911" s="33" t="s">
        <v>32</v>
      </c>
      <c r="G27911" s="33" t="s">
        <v>7780</v>
      </c>
      <c r="H27911" s="35">
        <v>100</v>
      </c>
      <c r="I27911" s="33" t="s">
        <v>51</v>
      </c>
      <c r="J27911" s="42">
        <v>46142</v>
      </c>
      <c r="K27911" s="33" t="s">
        <v>22</v>
      </c>
    </row>
    <row r="27912" spans="1:11">
      <c r="A27912" s="30" t="s">
        <v>61220</v>
      </c>
      <c r="B27912" s="30" t="s">
        <v>61221</v>
      </c>
      <c r="C27912" s="30" t="s">
        <v>55802</v>
      </c>
      <c r="D27912" s="30" t="s">
        <v>17</v>
      </c>
      <c r="E27912" s="30" t="s">
        <v>26</v>
      </c>
      <c r="F27912" s="30" t="s">
        <v>27</v>
      </c>
      <c r="G27912" s="30" t="s">
        <v>7780</v>
      </c>
      <c r="H27912" s="32">
        <v>12</v>
      </c>
      <c r="I27912" s="30" t="s">
        <v>51</v>
      </c>
      <c r="J27912" s="41">
        <v>46140</v>
      </c>
      <c r="K27912" s="30" t="s">
        <v>22</v>
      </c>
    </row>
    <row r="27913" spans="1:11">
      <c r="A27913" s="33" t="s">
        <v>61222</v>
      </c>
      <c r="B27913" s="33" t="s">
        <v>61223</v>
      </c>
      <c r="C27913" s="33" t="s">
        <v>310</v>
      </c>
      <c r="D27913" s="33" t="s">
        <v>17</v>
      </c>
      <c r="E27913" s="33" t="s">
        <v>18</v>
      </c>
      <c r="F27913" s="33" t="s">
        <v>19</v>
      </c>
      <c r="G27913" s="33" t="s">
        <v>140</v>
      </c>
      <c r="H27913" s="35">
        <v>1150</v>
      </c>
      <c r="I27913" s="33" t="s">
        <v>51</v>
      </c>
      <c r="J27913" s="42">
        <v>46077</v>
      </c>
      <c r="K27913" s="33" t="s">
        <v>22</v>
      </c>
    </row>
    <row r="27914" spans="1:11">
      <c r="A27914" s="30" t="s">
        <v>61224</v>
      </c>
      <c r="B27914" s="30" t="s">
        <v>61225</v>
      </c>
      <c r="C27914" s="30" t="s">
        <v>310</v>
      </c>
      <c r="D27914" s="30" t="s">
        <v>17</v>
      </c>
      <c r="E27914" s="30" t="s">
        <v>26</v>
      </c>
      <c r="F27914" s="30" t="s">
        <v>27</v>
      </c>
      <c r="G27914" s="30" t="s">
        <v>140</v>
      </c>
      <c r="H27914" s="32">
        <v>120</v>
      </c>
      <c r="I27914" s="30" t="s">
        <v>51</v>
      </c>
      <c r="J27914" s="41">
        <v>46111</v>
      </c>
      <c r="K27914" s="30" t="s">
        <v>22</v>
      </c>
    </row>
    <row r="27915" spans="1:11">
      <c r="A27915" s="33" t="s">
        <v>61226</v>
      </c>
      <c r="B27915" s="33" t="s">
        <v>61227</v>
      </c>
      <c r="C27915" s="33" t="s">
        <v>54704</v>
      </c>
      <c r="D27915" s="33" t="s">
        <v>17</v>
      </c>
      <c r="E27915" s="33" t="s">
        <v>31</v>
      </c>
      <c r="F27915" s="33" t="s">
        <v>32</v>
      </c>
      <c r="G27915" s="33" t="s">
        <v>140</v>
      </c>
      <c r="H27915" s="35">
        <v>40</v>
      </c>
      <c r="I27915" s="33" t="s">
        <v>51</v>
      </c>
      <c r="J27915" s="42">
        <v>46023</v>
      </c>
      <c r="K27915" s="33" t="s">
        <v>22</v>
      </c>
    </row>
    <row r="27916" spans="1:11">
      <c r="A27916" s="30" t="s">
        <v>61228</v>
      </c>
      <c r="B27916" s="30" t="s">
        <v>61229</v>
      </c>
      <c r="C27916" s="30" t="s">
        <v>31562</v>
      </c>
      <c r="D27916" s="30" t="s">
        <v>17</v>
      </c>
      <c r="E27916" s="30" t="s">
        <v>26</v>
      </c>
      <c r="F27916" s="30" t="s">
        <v>27</v>
      </c>
      <c r="G27916" s="30" t="s">
        <v>140</v>
      </c>
      <c r="H27916" s="32">
        <v>40</v>
      </c>
      <c r="I27916" s="30" t="s">
        <v>51</v>
      </c>
      <c r="J27916" s="41">
        <v>46051</v>
      </c>
      <c r="K27916" s="30" t="s">
        <v>22</v>
      </c>
    </row>
    <row r="27917" spans="1:11">
      <c r="A27917" s="33" t="s">
        <v>61230</v>
      </c>
      <c r="B27917" s="33" t="s">
        <v>61231</v>
      </c>
      <c r="C27917" s="33" t="s">
        <v>178</v>
      </c>
      <c r="D27917" s="33" t="s">
        <v>17</v>
      </c>
      <c r="E27917" s="33" t="s">
        <v>26</v>
      </c>
      <c r="F27917" s="33" t="s">
        <v>27</v>
      </c>
      <c r="G27917" s="33" t="s">
        <v>140</v>
      </c>
      <c r="H27917" s="35">
        <v>25</v>
      </c>
      <c r="I27917" s="33" t="s">
        <v>51</v>
      </c>
      <c r="J27917" s="42">
        <v>46202</v>
      </c>
      <c r="K27917" s="33" t="s">
        <v>22</v>
      </c>
    </row>
    <row r="27918" spans="1:11">
      <c r="A27918" s="30" t="s">
        <v>61232</v>
      </c>
      <c r="B27918" s="30" t="s">
        <v>61233</v>
      </c>
      <c r="C27918" s="30" t="s">
        <v>5232</v>
      </c>
      <c r="D27918" s="30" t="s">
        <v>17</v>
      </c>
      <c r="E27918" s="30" t="s">
        <v>67</v>
      </c>
      <c r="F27918" s="30" t="s">
        <v>68</v>
      </c>
      <c r="G27918" s="30" t="s">
        <v>140</v>
      </c>
      <c r="H27918" s="32">
        <v>75</v>
      </c>
      <c r="I27918" s="30" t="s">
        <v>51</v>
      </c>
      <c r="J27918" s="41">
        <v>46071</v>
      </c>
      <c r="K27918" s="30" t="s">
        <v>22</v>
      </c>
    </row>
    <row r="27919" spans="1:11">
      <c r="A27919" s="33" t="s">
        <v>61234</v>
      </c>
      <c r="B27919" s="33" t="s">
        <v>61235</v>
      </c>
      <c r="C27919" s="33" t="s">
        <v>8566</v>
      </c>
      <c r="D27919" s="33" t="s">
        <v>17</v>
      </c>
      <c r="E27919" s="33" t="s">
        <v>26</v>
      </c>
      <c r="F27919" s="33" t="s">
        <v>27</v>
      </c>
      <c r="G27919" s="33" t="s">
        <v>158</v>
      </c>
      <c r="H27919" s="35">
        <v>32</v>
      </c>
      <c r="I27919" s="33" t="s">
        <v>51</v>
      </c>
      <c r="J27919" s="42">
        <v>46135</v>
      </c>
      <c r="K27919" s="33" t="s">
        <v>22</v>
      </c>
    </row>
    <row r="27920" spans="1:11">
      <c r="A27920" s="30" t="s">
        <v>61236</v>
      </c>
      <c r="B27920" s="30" t="s">
        <v>61237</v>
      </c>
      <c r="C27920" s="30" t="s">
        <v>10757</v>
      </c>
      <c r="D27920" s="30" t="s">
        <v>17</v>
      </c>
      <c r="E27920" s="30" t="s">
        <v>31</v>
      </c>
      <c r="F27920" s="30" t="s">
        <v>32</v>
      </c>
      <c r="G27920" s="30" t="s">
        <v>112</v>
      </c>
      <c r="H27920" s="32">
        <v>0</v>
      </c>
      <c r="I27920" s="30" t="s">
        <v>21</v>
      </c>
      <c r="J27920" s="41">
        <v>46174</v>
      </c>
      <c r="K27920" s="30" t="s">
        <v>22</v>
      </c>
    </row>
    <row r="27921" spans="1:11">
      <c r="A27921" s="33" t="s">
        <v>61238</v>
      </c>
      <c r="B27921" s="33" t="s">
        <v>61239</v>
      </c>
      <c r="C27921" s="33" t="s">
        <v>644</v>
      </c>
      <c r="D27921" s="33" t="s">
        <v>17</v>
      </c>
      <c r="E27921" s="33" t="s">
        <v>18</v>
      </c>
      <c r="F27921" s="33" t="s">
        <v>19</v>
      </c>
      <c r="G27921" s="33" t="s">
        <v>7780</v>
      </c>
      <c r="H27921" s="35">
        <v>260</v>
      </c>
      <c r="I27921" s="33" t="s">
        <v>51</v>
      </c>
      <c r="J27921" s="42">
        <v>46132</v>
      </c>
      <c r="K27921" s="33" t="s">
        <v>22</v>
      </c>
    </row>
    <row r="27922" spans="1:11">
      <c r="A27922" s="30" t="s">
        <v>61240</v>
      </c>
      <c r="B27922" s="30" t="s">
        <v>61241</v>
      </c>
      <c r="C27922" s="30" t="s">
        <v>61242</v>
      </c>
      <c r="D27922" s="30" t="s">
        <v>17</v>
      </c>
      <c r="E27922" s="30" t="s">
        <v>31</v>
      </c>
      <c r="F27922" s="30" t="s">
        <v>32</v>
      </c>
      <c r="G27922" s="30" t="s">
        <v>140</v>
      </c>
      <c r="H27922" s="32">
        <v>54</v>
      </c>
      <c r="I27922" s="30" t="s">
        <v>51</v>
      </c>
      <c r="J27922" s="41">
        <v>46156</v>
      </c>
      <c r="K27922" s="30" t="s">
        <v>22</v>
      </c>
    </row>
    <row r="27923" spans="1:11">
      <c r="A27923" s="33" t="s">
        <v>61243</v>
      </c>
      <c r="B27923" s="33" t="s">
        <v>61244</v>
      </c>
      <c r="C27923" s="33" t="s">
        <v>56957</v>
      </c>
      <c r="D27923" s="33" t="s">
        <v>17</v>
      </c>
      <c r="E27923" s="33" t="s">
        <v>67</v>
      </c>
      <c r="F27923" s="33" t="s">
        <v>68</v>
      </c>
      <c r="G27923" s="33" t="s">
        <v>140</v>
      </c>
      <c r="H27923" s="35">
        <v>36</v>
      </c>
      <c r="I27923" s="33" t="s">
        <v>51</v>
      </c>
      <c r="J27923" s="42">
        <v>46083</v>
      </c>
      <c r="K27923" s="33" t="s">
        <v>22</v>
      </c>
    </row>
    <row r="27924" spans="1:11">
      <c r="A27924" s="30" t="s">
        <v>61245</v>
      </c>
      <c r="B27924" s="30" t="s">
        <v>61246</v>
      </c>
      <c r="C27924" s="30" t="s">
        <v>96</v>
      </c>
      <c r="D27924" s="30" t="s">
        <v>17</v>
      </c>
      <c r="E27924" s="30" t="s">
        <v>212</v>
      </c>
      <c r="F27924" s="30" t="s">
        <v>213</v>
      </c>
      <c r="G27924" s="30" t="s">
        <v>140</v>
      </c>
      <c r="H27924" s="32">
        <v>400</v>
      </c>
      <c r="I27924" s="30" t="s">
        <v>51</v>
      </c>
      <c r="J27924" s="41">
        <v>46170</v>
      </c>
      <c r="K27924" s="30" t="s">
        <v>22</v>
      </c>
    </row>
    <row r="27925" spans="1:11">
      <c r="A27925" s="33" t="s">
        <v>61247</v>
      </c>
      <c r="B27925" s="33" t="s">
        <v>61248</v>
      </c>
      <c r="C27925" s="33" t="s">
        <v>3957</v>
      </c>
      <c r="D27925" s="33" t="s">
        <v>17</v>
      </c>
      <c r="E27925" s="33" t="s">
        <v>18</v>
      </c>
      <c r="F27925" s="33" t="s">
        <v>19</v>
      </c>
      <c r="G27925" s="33" t="s">
        <v>140</v>
      </c>
      <c r="H27925" s="35">
        <v>474</v>
      </c>
      <c r="I27925" s="33" t="s">
        <v>51</v>
      </c>
      <c r="J27925" s="42">
        <v>46098</v>
      </c>
      <c r="K27925" s="33" t="s">
        <v>22</v>
      </c>
    </row>
    <row r="27926" spans="1:11">
      <c r="A27926" s="30" t="s">
        <v>61249</v>
      </c>
      <c r="B27926" s="30" t="s">
        <v>61250</v>
      </c>
      <c r="C27926" s="30" t="s">
        <v>1219</v>
      </c>
      <c r="D27926" s="30" t="s">
        <v>17</v>
      </c>
      <c r="E27926" s="30" t="s">
        <v>31</v>
      </c>
      <c r="F27926" s="30" t="s">
        <v>32</v>
      </c>
      <c r="G27926" s="30" t="s">
        <v>140</v>
      </c>
      <c r="H27926" s="32">
        <v>60</v>
      </c>
      <c r="I27926" s="30" t="s">
        <v>51</v>
      </c>
      <c r="J27926" s="41">
        <v>46037</v>
      </c>
      <c r="K27926" s="30" t="s">
        <v>22</v>
      </c>
    </row>
    <row r="27927" spans="1:11">
      <c r="A27927" s="33" t="s">
        <v>61251</v>
      </c>
      <c r="B27927" s="33" t="s">
        <v>61252</v>
      </c>
      <c r="C27927" s="33" t="s">
        <v>8443</v>
      </c>
      <c r="D27927" s="33" t="s">
        <v>17</v>
      </c>
      <c r="E27927" s="33" t="s">
        <v>26</v>
      </c>
      <c r="F27927" s="33" t="s">
        <v>27</v>
      </c>
      <c r="G27927" s="33" t="s">
        <v>140</v>
      </c>
      <c r="H27927" s="35">
        <v>8</v>
      </c>
      <c r="I27927" s="33" t="s">
        <v>51</v>
      </c>
      <c r="J27927" s="42">
        <v>46058</v>
      </c>
      <c r="K27927" s="33" t="s">
        <v>22</v>
      </c>
    </row>
    <row r="27928" spans="1:11">
      <c r="A27928" s="30" t="s">
        <v>61253</v>
      </c>
      <c r="B27928" s="30" t="s">
        <v>61254</v>
      </c>
      <c r="C27928" s="30" t="s">
        <v>51579</v>
      </c>
      <c r="D27928" s="30" t="s">
        <v>17</v>
      </c>
      <c r="E27928" s="30" t="s">
        <v>31</v>
      </c>
      <c r="F27928" s="30" t="s">
        <v>32</v>
      </c>
      <c r="G27928" s="30" t="s">
        <v>7780</v>
      </c>
      <c r="H27928" s="32">
        <v>36</v>
      </c>
      <c r="I27928" s="30" t="s">
        <v>51</v>
      </c>
      <c r="J27928" s="41">
        <v>46127</v>
      </c>
      <c r="K27928" s="30" t="s">
        <v>22</v>
      </c>
    </row>
    <row r="27929" spans="1:11">
      <c r="A27929" s="33" t="s">
        <v>61255</v>
      </c>
      <c r="B27929" s="33" t="s">
        <v>61256</v>
      </c>
      <c r="C27929" s="33" t="s">
        <v>3944</v>
      </c>
      <c r="D27929" s="33" t="s">
        <v>17</v>
      </c>
      <c r="E27929" s="33" t="s">
        <v>26</v>
      </c>
      <c r="F27929" s="33" t="s">
        <v>27</v>
      </c>
      <c r="G27929" s="33" t="s">
        <v>140</v>
      </c>
      <c r="H27929" s="35">
        <v>18</v>
      </c>
      <c r="I27929" s="33" t="s">
        <v>51</v>
      </c>
      <c r="J27929" s="42">
        <v>46082</v>
      </c>
      <c r="K27929" s="33" t="s">
        <v>22</v>
      </c>
    </row>
    <row r="27930" spans="1:11">
      <c r="A27930" s="30" t="s">
        <v>61257</v>
      </c>
      <c r="B27930" s="30" t="s">
        <v>61258</v>
      </c>
      <c r="C27930" s="30" t="s">
        <v>187</v>
      </c>
      <c r="D27930" s="30" t="s">
        <v>17</v>
      </c>
      <c r="E27930" s="30" t="s">
        <v>26</v>
      </c>
      <c r="F27930" s="30" t="s">
        <v>27</v>
      </c>
      <c r="G27930" s="30" t="s">
        <v>140</v>
      </c>
      <c r="H27930" s="32">
        <v>156</v>
      </c>
      <c r="I27930" s="30" t="s">
        <v>51</v>
      </c>
      <c r="J27930" s="41">
        <v>46127</v>
      </c>
      <c r="K27930" s="30" t="s">
        <v>22</v>
      </c>
    </row>
    <row r="27931" spans="1:11">
      <c r="A27931" s="33" t="s">
        <v>61259</v>
      </c>
      <c r="B27931" s="33" t="s">
        <v>61260</v>
      </c>
      <c r="C27931" s="33" t="s">
        <v>2753</v>
      </c>
      <c r="D27931" s="33" t="s">
        <v>17</v>
      </c>
      <c r="E27931" s="33" t="s">
        <v>26</v>
      </c>
      <c r="F27931" s="33" t="s">
        <v>27</v>
      </c>
      <c r="G27931" s="33" t="s">
        <v>140</v>
      </c>
      <c r="H27931" s="35">
        <v>118</v>
      </c>
      <c r="I27931" s="33" t="s">
        <v>51</v>
      </c>
      <c r="J27931" s="42">
        <v>46196</v>
      </c>
      <c r="K27931" s="33" t="s">
        <v>22</v>
      </c>
    </row>
    <row r="27932" spans="1:11">
      <c r="A27932" s="30" t="s">
        <v>61261</v>
      </c>
      <c r="B27932" s="30" t="s">
        <v>61262</v>
      </c>
      <c r="C27932" s="30" t="s">
        <v>2807</v>
      </c>
      <c r="D27932" s="30" t="s">
        <v>17</v>
      </c>
      <c r="E27932" s="30" t="s">
        <v>18</v>
      </c>
      <c r="F27932" s="30" t="s">
        <v>19</v>
      </c>
      <c r="G27932" s="30" t="s">
        <v>7780</v>
      </c>
      <c r="H27932" s="32">
        <v>63</v>
      </c>
      <c r="I27932" s="30" t="s">
        <v>51</v>
      </c>
      <c r="J27932" s="41">
        <v>46227</v>
      </c>
      <c r="K27932" s="30" t="s">
        <v>22</v>
      </c>
    </row>
    <row r="27933" spans="1:11">
      <c r="A27933" s="33" t="s">
        <v>61263</v>
      </c>
      <c r="B27933" s="33" t="s">
        <v>61264</v>
      </c>
      <c r="C27933" s="33" t="s">
        <v>570</v>
      </c>
      <c r="D27933" s="33" t="s">
        <v>17</v>
      </c>
      <c r="E27933" s="33" t="s">
        <v>31</v>
      </c>
      <c r="F27933" s="33" t="s">
        <v>32</v>
      </c>
      <c r="G27933" s="33" t="s">
        <v>7780</v>
      </c>
      <c r="H27933" s="35">
        <v>276</v>
      </c>
      <c r="I27933" s="33" t="s">
        <v>51</v>
      </c>
      <c r="J27933" s="42">
        <v>46143</v>
      </c>
      <c r="K27933" s="33" t="s">
        <v>22</v>
      </c>
    </row>
    <row r="27934" spans="1:11">
      <c r="A27934" s="30" t="s">
        <v>61265</v>
      </c>
      <c r="B27934" s="30" t="s">
        <v>61266</v>
      </c>
      <c r="C27934" s="30" t="s">
        <v>1024</v>
      </c>
      <c r="D27934" s="30" t="s">
        <v>17</v>
      </c>
      <c r="E27934" s="30" t="s">
        <v>18</v>
      </c>
      <c r="F27934" s="30" t="s">
        <v>19</v>
      </c>
      <c r="G27934" s="30" t="s">
        <v>140</v>
      </c>
      <c r="H27934" s="32">
        <v>90</v>
      </c>
      <c r="I27934" s="30" t="s">
        <v>51</v>
      </c>
      <c r="J27934" s="41">
        <v>46064</v>
      </c>
      <c r="K27934" s="30" t="s">
        <v>22</v>
      </c>
    </row>
    <row r="27935" spans="1:11">
      <c r="A27935" s="33" t="s">
        <v>61267</v>
      </c>
      <c r="B27935" s="33" t="s">
        <v>61268</v>
      </c>
      <c r="C27935" s="33" t="s">
        <v>29526</v>
      </c>
      <c r="D27935" s="33" t="s">
        <v>17</v>
      </c>
      <c r="E27935" s="33" t="s">
        <v>18</v>
      </c>
      <c r="F27935" s="33" t="s">
        <v>19</v>
      </c>
      <c r="G27935" s="33" t="s">
        <v>140</v>
      </c>
      <c r="H27935" s="35">
        <v>510</v>
      </c>
      <c r="I27935" s="33" t="s">
        <v>51</v>
      </c>
      <c r="J27935" s="42">
        <v>46178</v>
      </c>
      <c r="K27935" s="33" t="s">
        <v>22</v>
      </c>
    </row>
    <row r="27936" spans="1:11">
      <c r="A27936" s="30" t="s">
        <v>61269</v>
      </c>
      <c r="B27936" s="30" t="s">
        <v>61270</v>
      </c>
      <c r="C27936" s="30" t="s">
        <v>8001</v>
      </c>
      <c r="D27936" s="30" t="s">
        <v>17</v>
      </c>
      <c r="E27936" s="30" t="s">
        <v>67</v>
      </c>
      <c r="F27936" s="30" t="s">
        <v>68</v>
      </c>
      <c r="G27936" s="30" t="s">
        <v>140</v>
      </c>
      <c r="H27936" s="32">
        <v>35</v>
      </c>
      <c r="I27936" s="30" t="s">
        <v>51</v>
      </c>
      <c r="J27936" s="41">
        <v>46118</v>
      </c>
      <c r="K27936" s="30" t="s">
        <v>22</v>
      </c>
    </row>
    <row r="27937" spans="1:11">
      <c r="A27937" s="33" t="s">
        <v>61271</v>
      </c>
      <c r="B27937" s="33" t="s">
        <v>61272</v>
      </c>
      <c r="C27937" s="33" t="s">
        <v>136</v>
      </c>
      <c r="D27937" s="33" t="s">
        <v>17</v>
      </c>
      <c r="E27937" s="33" t="s">
        <v>26</v>
      </c>
      <c r="F27937" s="33" t="s">
        <v>27</v>
      </c>
      <c r="G27937" s="33" t="s">
        <v>140</v>
      </c>
      <c r="H27937" s="35">
        <v>215</v>
      </c>
      <c r="I27937" s="33" t="s">
        <v>51</v>
      </c>
      <c r="J27937" s="42">
        <v>46170</v>
      </c>
      <c r="K27937" s="33" t="s">
        <v>22</v>
      </c>
    </row>
    <row r="27938" spans="1:11">
      <c r="A27938" s="30" t="s">
        <v>61273</v>
      </c>
      <c r="B27938" s="30" t="s">
        <v>61274</v>
      </c>
      <c r="C27938" s="30" t="s">
        <v>11899</v>
      </c>
      <c r="D27938" s="30" t="s">
        <v>17</v>
      </c>
      <c r="E27938" s="30" t="s">
        <v>67</v>
      </c>
      <c r="F27938" s="30" t="s">
        <v>68</v>
      </c>
      <c r="G27938" s="30" t="s">
        <v>140</v>
      </c>
      <c r="H27938" s="32">
        <v>70</v>
      </c>
      <c r="I27938" s="30" t="s">
        <v>51</v>
      </c>
      <c r="J27938" s="41">
        <v>46080</v>
      </c>
      <c r="K27938" s="30" t="s">
        <v>22</v>
      </c>
    </row>
    <row r="27939" spans="1:11">
      <c r="A27939" s="33" t="s">
        <v>61275</v>
      </c>
      <c r="B27939" s="33" t="s">
        <v>61276</v>
      </c>
      <c r="C27939" s="33" t="s">
        <v>925</v>
      </c>
      <c r="D27939" s="33" t="s">
        <v>17</v>
      </c>
      <c r="E27939" s="33" t="s">
        <v>26</v>
      </c>
      <c r="F27939" s="33" t="s">
        <v>27</v>
      </c>
      <c r="G27939" s="33" t="s">
        <v>140</v>
      </c>
      <c r="H27939" s="35">
        <v>174</v>
      </c>
      <c r="I27939" s="33" t="s">
        <v>51</v>
      </c>
      <c r="J27939" s="42">
        <v>46175</v>
      </c>
      <c r="K27939" s="33" t="s">
        <v>22</v>
      </c>
    </row>
    <row r="27940" spans="1:11">
      <c r="A27940" s="30" t="s">
        <v>61277</v>
      </c>
      <c r="B27940" s="30" t="s">
        <v>61278</v>
      </c>
      <c r="C27940" s="30" t="s">
        <v>61279</v>
      </c>
      <c r="D27940" s="30" t="s">
        <v>17</v>
      </c>
      <c r="E27940" s="30" t="s">
        <v>26</v>
      </c>
      <c r="F27940" s="30" t="s">
        <v>27</v>
      </c>
      <c r="G27940" s="30" t="s">
        <v>140</v>
      </c>
      <c r="H27940" s="32">
        <v>136</v>
      </c>
      <c r="I27940" s="30" t="s">
        <v>51</v>
      </c>
      <c r="J27940" s="41">
        <v>46174</v>
      </c>
      <c r="K27940" s="30" t="s">
        <v>22</v>
      </c>
    </row>
    <row r="27941" spans="1:11">
      <c r="A27941" s="33" t="s">
        <v>61280</v>
      </c>
      <c r="B27941" s="33" t="s">
        <v>61281</v>
      </c>
      <c r="C27941" s="33" t="s">
        <v>61282</v>
      </c>
      <c r="D27941" s="33" t="s">
        <v>17</v>
      </c>
      <c r="E27941" s="33" t="s">
        <v>31</v>
      </c>
      <c r="F27941" s="33" t="s">
        <v>32</v>
      </c>
      <c r="G27941" s="33" t="s">
        <v>7780</v>
      </c>
      <c r="H27941" s="35">
        <v>60</v>
      </c>
      <c r="I27941" s="33" t="s">
        <v>51</v>
      </c>
      <c r="J27941" s="42">
        <v>46068</v>
      </c>
      <c r="K27941" s="33" t="s">
        <v>22</v>
      </c>
    </row>
    <row r="27942" spans="1:11">
      <c r="A27942" s="30" t="s">
        <v>61283</v>
      </c>
      <c r="B27942" s="30" t="s">
        <v>61284</v>
      </c>
      <c r="C27942" s="30" t="s">
        <v>6041</v>
      </c>
      <c r="D27942" s="30" t="s">
        <v>17</v>
      </c>
      <c r="E27942" s="30" t="s">
        <v>212</v>
      </c>
      <c r="F27942" s="30" t="s">
        <v>213</v>
      </c>
      <c r="G27942" s="30" t="s">
        <v>140</v>
      </c>
      <c r="H27942" s="32">
        <v>120</v>
      </c>
      <c r="I27942" s="30" t="s">
        <v>51</v>
      </c>
      <c r="J27942" s="41">
        <v>46204</v>
      </c>
      <c r="K27942" s="30" t="s">
        <v>22</v>
      </c>
    </row>
    <row r="27943" spans="1:11">
      <c r="A27943" s="33" t="s">
        <v>61285</v>
      </c>
      <c r="B27943" s="33" t="s">
        <v>61286</v>
      </c>
      <c r="C27943" s="33" t="s">
        <v>47259</v>
      </c>
      <c r="D27943" s="33" t="s">
        <v>17</v>
      </c>
      <c r="E27943" s="33" t="s">
        <v>18</v>
      </c>
      <c r="F27943" s="33" t="s">
        <v>19</v>
      </c>
      <c r="G27943" s="33" t="s">
        <v>7780</v>
      </c>
      <c r="H27943" s="35">
        <v>286</v>
      </c>
      <c r="I27943" s="33" t="s">
        <v>51</v>
      </c>
      <c r="J27943" s="42">
        <v>46174</v>
      </c>
      <c r="K27943" s="33" t="s">
        <v>22</v>
      </c>
    </row>
    <row r="27944" spans="1:11">
      <c r="A27944" s="30" t="s">
        <v>61287</v>
      </c>
      <c r="B27944" s="30" t="s">
        <v>61288</v>
      </c>
      <c r="C27944" s="30" t="s">
        <v>437</v>
      </c>
      <c r="D27944" s="30" t="s">
        <v>17</v>
      </c>
      <c r="E27944" s="30" t="s">
        <v>26</v>
      </c>
      <c r="F27944" s="30" t="s">
        <v>27</v>
      </c>
      <c r="G27944" s="30" t="s">
        <v>140</v>
      </c>
      <c r="H27944" s="32">
        <v>149</v>
      </c>
      <c r="I27944" s="30" t="s">
        <v>51</v>
      </c>
      <c r="J27944" s="41">
        <v>46104</v>
      </c>
      <c r="K27944" s="30" t="s">
        <v>22</v>
      </c>
    </row>
    <row r="27945" spans="1:11">
      <c r="A27945" s="33" t="s">
        <v>61289</v>
      </c>
      <c r="B27945" s="33" t="s">
        <v>61290</v>
      </c>
      <c r="C27945" s="33" t="s">
        <v>61291</v>
      </c>
      <c r="D27945" s="33" t="s">
        <v>17</v>
      </c>
      <c r="E27945" s="33" t="s">
        <v>31</v>
      </c>
      <c r="F27945" s="33" t="s">
        <v>32</v>
      </c>
      <c r="G27945" s="33" t="s">
        <v>7780</v>
      </c>
      <c r="H27945" s="35">
        <v>147</v>
      </c>
      <c r="I27945" s="33" t="s">
        <v>51</v>
      </c>
      <c r="J27945" s="42">
        <v>46082</v>
      </c>
      <c r="K27945" s="33" t="s">
        <v>22</v>
      </c>
    </row>
    <row r="27946" spans="1:11">
      <c r="A27946" s="30" t="s">
        <v>61292</v>
      </c>
      <c r="B27946" s="30" t="s">
        <v>61293</v>
      </c>
      <c r="C27946" s="30" t="s">
        <v>57377</v>
      </c>
      <c r="D27946" s="30" t="s">
        <v>17</v>
      </c>
      <c r="E27946" s="30" t="s">
        <v>212</v>
      </c>
      <c r="F27946" s="30" t="s">
        <v>213</v>
      </c>
      <c r="G27946" s="30" t="s">
        <v>140</v>
      </c>
      <c r="H27946" s="32">
        <v>30</v>
      </c>
      <c r="I27946" s="30" t="s">
        <v>51</v>
      </c>
      <c r="J27946" s="41">
        <v>46132</v>
      </c>
      <c r="K27946" s="30" t="s">
        <v>22</v>
      </c>
    </row>
    <row r="27947" spans="1:11">
      <c r="A27947" s="33" t="s">
        <v>61294</v>
      </c>
      <c r="B27947" s="33" t="s">
        <v>61295</v>
      </c>
      <c r="C27947" s="33" t="s">
        <v>96</v>
      </c>
      <c r="D27947" s="33" t="s">
        <v>17</v>
      </c>
      <c r="E27947" s="33" t="s">
        <v>18</v>
      </c>
      <c r="F27947" s="33" t="s">
        <v>19</v>
      </c>
      <c r="G27947" s="33" t="s">
        <v>140</v>
      </c>
      <c r="H27947" s="35">
        <v>2400</v>
      </c>
      <c r="I27947" s="33" t="s">
        <v>51</v>
      </c>
      <c r="J27947" s="42">
        <v>46146</v>
      </c>
      <c r="K27947" s="33" t="s">
        <v>22</v>
      </c>
    </row>
    <row r="27948" spans="1:11">
      <c r="A27948" s="30" t="s">
        <v>61296</v>
      </c>
      <c r="B27948" s="30" t="s">
        <v>61297</v>
      </c>
      <c r="C27948" s="30" t="s">
        <v>61298</v>
      </c>
      <c r="D27948" s="30" t="s">
        <v>17</v>
      </c>
      <c r="E27948" s="30" t="s">
        <v>31</v>
      </c>
      <c r="F27948" s="30" t="s">
        <v>32</v>
      </c>
      <c r="G27948" s="30" t="s">
        <v>140</v>
      </c>
      <c r="H27948" s="32">
        <v>48</v>
      </c>
      <c r="I27948" s="30" t="s">
        <v>51</v>
      </c>
      <c r="J27948" s="41">
        <v>46174</v>
      </c>
      <c r="K27948" s="30" t="s">
        <v>22</v>
      </c>
    </row>
    <row r="27949" spans="1:11">
      <c r="A27949" s="33" t="s">
        <v>61299</v>
      </c>
      <c r="B27949" s="33" t="s">
        <v>61300</v>
      </c>
      <c r="C27949" s="33" t="s">
        <v>12031</v>
      </c>
      <c r="D27949" s="33" t="s">
        <v>17</v>
      </c>
      <c r="E27949" s="33" t="s">
        <v>26</v>
      </c>
      <c r="F27949" s="33" t="s">
        <v>27</v>
      </c>
      <c r="G27949" s="33" t="s">
        <v>140</v>
      </c>
      <c r="H27949" s="35">
        <v>36</v>
      </c>
      <c r="I27949" s="33" t="s">
        <v>51</v>
      </c>
      <c r="J27949" s="42">
        <v>46143</v>
      </c>
      <c r="K27949" s="33" t="s">
        <v>22</v>
      </c>
    </row>
    <row r="27950" spans="1:11">
      <c r="A27950" s="30" t="s">
        <v>61301</v>
      </c>
      <c r="B27950" s="30" t="s">
        <v>61302</v>
      </c>
      <c r="C27950" s="30" t="s">
        <v>20375</v>
      </c>
      <c r="D27950" s="30" t="s">
        <v>17</v>
      </c>
      <c r="E27950" s="30" t="s">
        <v>31</v>
      </c>
      <c r="F27950" s="30" t="s">
        <v>32</v>
      </c>
      <c r="G27950" s="30" t="s">
        <v>140</v>
      </c>
      <c r="H27950" s="32">
        <v>12</v>
      </c>
      <c r="I27950" s="30" t="s">
        <v>51</v>
      </c>
      <c r="J27950" s="41">
        <v>46143</v>
      </c>
      <c r="K27950" s="30" t="s">
        <v>22</v>
      </c>
    </row>
    <row r="27951" spans="1:11">
      <c r="A27951" s="33" t="s">
        <v>61303</v>
      </c>
      <c r="B27951" s="33" t="s">
        <v>61304</v>
      </c>
      <c r="C27951" s="33" t="s">
        <v>61305</v>
      </c>
      <c r="D27951" s="33" t="s">
        <v>17</v>
      </c>
      <c r="E27951" s="33" t="s">
        <v>26</v>
      </c>
      <c r="F27951" s="33" t="s">
        <v>27</v>
      </c>
      <c r="G27951" s="33" t="s">
        <v>7780</v>
      </c>
      <c r="H27951" s="35">
        <v>9</v>
      </c>
      <c r="I27951" s="33" t="s">
        <v>51</v>
      </c>
      <c r="J27951" s="42">
        <v>46082</v>
      </c>
      <c r="K27951" s="33" t="s">
        <v>22</v>
      </c>
    </row>
    <row r="27952" spans="1:11">
      <c r="A27952" s="30" t="s">
        <v>61306</v>
      </c>
      <c r="B27952" s="30" t="s">
        <v>61307</v>
      </c>
      <c r="C27952" s="30" t="s">
        <v>517</v>
      </c>
      <c r="D27952" s="30" t="s">
        <v>17</v>
      </c>
      <c r="E27952" s="30" t="s">
        <v>26</v>
      </c>
      <c r="F27952" s="30" t="s">
        <v>27</v>
      </c>
      <c r="G27952" s="30" t="s">
        <v>7780</v>
      </c>
      <c r="H27952" s="32">
        <v>44</v>
      </c>
      <c r="I27952" s="30" t="s">
        <v>51</v>
      </c>
      <c r="J27952" s="41">
        <v>46232</v>
      </c>
      <c r="K27952" s="30" t="s">
        <v>22</v>
      </c>
    </row>
    <row r="27953" spans="1:11">
      <c r="A27953" s="33" t="s">
        <v>61308</v>
      </c>
      <c r="B27953" s="33" t="s">
        <v>61309</v>
      </c>
      <c r="C27953" s="33" t="s">
        <v>14394</v>
      </c>
      <c r="D27953" s="33" t="s">
        <v>17</v>
      </c>
      <c r="E27953" s="33" t="s">
        <v>26</v>
      </c>
      <c r="F27953" s="33" t="s">
        <v>27</v>
      </c>
      <c r="G27953" s="33" t="s">
        <v>7780</v>
      </c>
      <c r="H27953" s="35">
        <v>90</v>
      </c>
      <c r="I27953" s="33" t="s">
        <v>51</v>
      </c>
      <c r="J27953" s="42">
        <v>46174</v>
      </c>
      <c r="K27953" s="33" t="s">
        <v>22</v>
      </c>
    </row>
    <row r="27954" spans="1:11">
      <c r="A27954" s="30" t="s">
        <v>61310</v>
      </c>
      <c r="B27954" s="30" t="s">
        <v>61311</v>
      </c>
      <c r="C27954" s="30" t="s">
        <v>27241</v>
      </c>
      <c r="D27954" s="30" t="s">
        <v>17</v>
      </c>
      <c r="E27954" s="30" t="s">
        <v>26</v>
      </c>
      <c r="F27954" s="30" t="s">
        <v>27</v>
      </c>
      <c r="G27954" s="30" t="s">
        <v>140</v>
      </c>
      <c r="H27954" s="32">
        <v>124</v>
      </c>
      <c r="I27954" s="30" t="s">
        <v>51</v>
      </c>
      <c r="J27954" s="41">
        <v>46027</v>
      </c>
      <c r="K27954" s="30" t="s">
        <v>22</v>
      </c>
    </row>
    <row r="27955" spans="1:11">
      <c r="A27955" s="33" t="s">
        <v>61312</v>
      </c>
      <c r="B27955" s="33" t="s">
        <v>61313</v>
      </c>
      <c r="C27955" s="33" t="s">
        <v>49027</v>
      </c>
      <c r="D27955" s="33" t="s">
        <v>17</v>
      </c>
      <c r="E27955" s="33" t="s">
        <v>31</v>
      </c>
      <c r="F27955" s="33" t="s">
        <v>32</v>
      </c>
      <c r="G27955" s="33" t="s">
        <v>7780</v>
      </c>
      <c r="H27955" s="35">
        <v>25</v>
      </c>
      <c r="I27955" s="33" t="s">
        <v>51</v>
      </c>
      <c r="J27955" s="42">
        <v>46082</v>
      </c>
      <c r="K27955" s="33" t="s">
        <v>22</v>
      </c>
    </row>
    <row r="27956" spans="1:11">
      <c r="A27956" s="30" t="s">
        <v>61314</v>
      </c>
      <c r="B27956" s="30" t="s">
        <v>61315</v>
      </c>
      <c r="C27956" s="30" t="s">
        <v>11542</v>
      </c>
      <c r="D27956" s="30" t="s">
        <v>17</v>
      </c>
      <c r="E27956" s="30" t="s">
        <v>67</v>
      </c>
      <c r="F27956" s="30" t="s">
        <v>68</v>
      </c>
      <c r="G27956" s="30" t="s">
        <v>140</v>
      </c>
      <c r="H27956" s="32">
        <v>22</v>
      </c>
      <c r="I27956" s="30" t="s">
        <v>51</v>
      </c>
      <c r="J27956" s="41">
        <v>46028</v>
      </c>
      <c r="K27956" s="30" t="s">
        <v>22</v>
      </c>
    </row>
    <row r="27957" spans="1:11">
      <c r="A27957" s="33" t="s">
        <v>61316</v>
      </c>
      <c r="B27957" s="33" t="s">
        <v>61317</v>
      </c>
      <c r="C27957" s="33" t="s">
        <v>647</v>
      </c>
      <c r="D27957" s="33" t="s">
        <v>17</v>
      </c>
      <c r="E27957" s="33" t="s">
        <v>18</v>
      </c>
      <c r="F27957" s="33" t="s">
        <v>19</v>
      </c>
      <c r="G27957" s="33" t="s">
        <v>140</v>
      </c>
      <c r="H27957" s="35">
        <v>450</v>
      </c>
      <c r="I27957" s="33" t="s">
        <v>51</v>
      </c>
      <c r="J27957" s="42">
        <v>46104</v>
      </c>
      <c r="K27957" s="33" t="s">
        <v>22</v>
      </c>
    </row>
    <row r="27958" spans="1:11">
      <c r="A27958" s="30" t="s">
        <v>61318</v>
      </c>
      <c r="B27958" s="30" t="s">
        <v>61319</v>
      </c>
      <c r="C27958" s="30" t="s">
        <v>310</v>
      </c>
      <c r="D27958" s="30" t="s">
        <v>17</v>
      </c>
      <c r="E27958" s="30" t="s">
        <v>18</v>
      </c>
      <c r="F27958" s="30" t="s">
        <v>19</v>
      </c>
      <c r="G27958" s="30" t="s">
        <v>140</v>
      </c>
      <c r="H27958" s="32">
        <v>400</v>
      </c>
      <c r="I27958" s="30" t="s">
        <v>51</v>
      </c>
      <c r="J27958" s="41">
        <v>46132</v>
      </c>
      <c r="K27958" s="30" t="s">
        <v>22</v>
      </c>
    </row>
    <row r="27959" spans="1:11">
      <c r="A27959" s="33" t="s">
        <v>61320</v>
      </c>
      <c r="B27959" s="33" t="s">
        <v>61321</v>
      </c>
      <c r="C27959" s="33" t="s">
        <v>231</v>
      </c>
      <c r="D27959" s="33" t="s">
        <v>17</v>
      </c>
      <c r="E27959" s="33" t="s">
        <v>18</v>
      </c>
      <c r="F27959" s="33" t="s">
        <v>19</v>
      </c>
      <c r="G27959" s="33" t="s">
        <v>140</v>
      </c>
      <c r="H27959" s="35">
        <v>400</v>
      </c>
      <c r="I27959" s="33" t="s">
        <v>51</v>
      </c>
      <c r="J27959" s="42">
        <v>46038</v>
      </c>
      <c r="K27959" s="33" t="s">
        <v>22</v>
      </c>
    </row>
    <row r="27960" spans="1:11">
      <c r="A27960" s="30" t="s">
        <v>61322</v>
      </c>
      <c r="B27960" s="30" t="s">
        <v>61323</v>
      </c>
      <c r="C27960" s="30" t="s">
        <v>1270</v>
      </c>
      <c r="D27960" s="30" t="s">
        <v>17</v>
      </c>
      <c r="E27960" s="30" t="s">
        <v>31</v>
      </c>
      <c r="F27960" s="30" t="s">
        <v>32</v>
      </c>
      <c r="G27960" s="30" t="s">
        <v>7780</v>
      </c>
      <c r="H27960" s="32">
        <v>90</v>
      </c>
      <c r="I27960" s="30" t="s">
        <v>51</v>
      </c>
      <c r="J27960" s="41">
        <v>46098</v>
      </c>
      <c r="K27960" s="30" t="s">
        <v>22</v>
      </c>
    </row>
    <row r="27961" spans="1:11">
      <c r="A27961" s="33" t="s">
        <v>61324</v>
      </c>
      <c r="B27961" s="33" t="s">
        <v>61325</v>
      </c>
      <c r="C27961" s="33" t="s">
        <v>795</v>
      </c>
      <c r="D27961" s="33" t="s">
        <v>17</v>
      </c>
      <c r="E27961" s="33" t="s">
        <v>31</v>
      </c>
      <c r="F27961" s="33" t="s">
        <v>32</v>
      </c>
      <c r="G27961" s="33" t="s">
        <v>140</v>
      </c>
      <c r="H27961" s="35">
        <v>160</v>
      </c>
      <c r="I27961" s="33" t="s">
        <v>51</v>
      </c>
      <c r="J27961" s="42">
        <v>46153</v>
      </c>
      <c r="K27961" s="33" t="s">
        <v>22</v>
      </c>
    </row>
    <row r="27962" spans="1:11">
      <c r="A27962" s="30" t="s">
        <v>61326</v>
      </c>
      <c r="B27962" s="30" t="s">
        <v>61327</v>
      </c>
      <c r="C27962" s="30" t="s">
        <v>23340</v>
      </c>
      <c r="D27962" s="30" t="s">
        <v>17</v>
      </c>
      <c r="E27962" s="30" t="s">
        <v>67</v>
      </c>
      <c r="F27962" s="30" t="s">
        <v>68</v>
      </c>
      <c r="G27962" s="30" t="s">
        <v>140</v>
      </c>
      <c r="H27962" s="32">
        <v>200</v>
      </c>
      <c r="I27962" s="30" t="s">
        <v>51</v>
      </c>
      <c r="J27962" s="41">
        <v>46098</v>
      </c>
      <c r="K27962" s="30" t="s">
        <v>22</v>
      </c>
    </row>
    <row r="27963" spans="1:11">
      <c r="A27963" s="33" t="s">
        <v>61328</v>
      </c>
      <c r="B27963" s="33" t="s">
        <v>61329</v>
      </c>
      <c r="C27963" s="33" t="s">
        <v>61330</v>
      </c>
      <c r="D27963" s="33" t="s">
        <v>17</v>
      </c>
      <c r="E27963" s="33" t="s">
        <v>31</v>
      </c>
      <c r="F27963" s="33" t="s">
        <v>32</v>
      </c>
      <c r="G27963" s="33" t="s">
        <v>7780</v>
      </c>
      <c r="H27963" s="35">
        <v>200</v>
      </c>
      <c r="I27963" s="33" t="s">
        <v>51</v>
      </c>
      <c r="J27963" s="42">
        <v>46082</v>
      </c>
      <c r="K27963" s="33" t="s">
        <v>22</v>
      </c>
    </row>
    <row r="27964" spans="1:11">
      <c r="A27964" s="30" t="s">
        <v>61331</v>
      </c>
      <c r="B27964" s="30" t="s">
        <v>61332</v>
      </c>
      <c r="C27964" s="30" t="s">
        <v>9336</v>
      </c>
      <c r="D27964" s="30" t="s">
        <v>17</v>
      </c>
      <c r="E27964" s="30" t="s">
        <v>45</v>
      </c>
      <c r="F27964" s="30" t="s">
        <v>46</v>
      </c>
      <c r="G27964" s="30" t="s">
        <v>140</v>
      </c>
      <c r="H27964" s="32">
        <v>40</v>
      </c>
      <c r="I27964" s="30" t="s">
        <v>51</v>
      </c>
      <c r="J27964" s="41">
        <v>46028</v>
      </c>
      <c r="K27964" s="30" t="s">
        <v>22</v>
      </c>
    </row>
    <row r="27965" spans="1:11">
      <c r="A27965" s="33" t="s">
        <v>61333</v>
      </c>
      <c r="B27965" s="33" t="s">
        <v>61334</v>
      </c>
      <c r="C27965" s="33" t="s">
        <v>61335</v>
      </c>
      <c r="D27965" s="33" t="s">
        <v>17</v>
      </c>
      <c r="E27965" s="33" t="s">
        <v>31</v>
      </c>
      <c r="F27965" s="33" t="s">
        <v>32</v>
      </c>
      <c r="G27965" s="33" t="s">
        <v>140</v>
      </c>
      <c r="H27965" s="35">
        <v>600</v>
      </c>
      <c r="I27965" s="33" t="s">
        <v>51</v>
      </c>
      <c r="J27965" s="42">
        <v>46203</v>
      </c>
      <c r="K27965" s="33" t="s">
        <v>22</v>
      </c>
    </row>
    <row r="27966" spans="1:11">
      <c r="A27966" s="30" t="s">
        <v>61336</v>
      </c>
      <c r="B27966" s="30" t="s">
        <v>61337</v>
      </c>
      <c r="C27966" s="30" t="s">
        <v>31000</v>
      </c>
      <c r="D27966" s="30" t="s">
        <v>17</v>
      </c>
      <c r="E27966" s="30" t="s">
        <v>67</v>
      </c>
      <c r="F27966" s="30" t="s">
        <v>68</v>
      </c>
      <c r="G27966" s="30" t="s">
        <v>140</v>
      </c>
      <c r="H27966" s="32">
        <v>499</v>
      </c>
      <c r="I27966" s="30" t="s">
        <v>51</v>
      </c>
      <c r="J27966" s="41">
        <v>46232</v>
      </c>
      <c r="K27966" s="30" t="s">
        <v>22</v>
      </c>
    </row>
    <row r="27967" spans="1:11">
      <c r="A27967" s="33" t="s">
        <v>61338</v>
      </c>
      <c r="B27967" s="33" t="s">
        <v>61339</v>
      </c>
      <c r="C27967" s="33" t="s">
        <v>318</v>
      </c>
      <c r="D27967" s="33" t="s">
        <v>17</v>
      </c>
      <c r="E27967" s="33" t="s">
        <v>31</v>
      </c>
      <c r="F27967" s="33" t="s">
        <v>32</v>
      </c>
      <c r="G27967" s="33" t="s">
        <v>140</v>
      </c>
      <c r="H27967" s="35">
        <v>30</v>
      </c>
      <c r="I27967" s="33" t="s">
        <v>51</v>
      </c>
      <c r="J27967" s="42">
        <v>46149</v>
      </c>
      <c r="K27967" s="33" t="s">
        <v>22</v>
      </c>
    </row>
    <row r="27968" spans="1:11">
      <c r="A27968" s="30" t="s">
        <v>61340</v>
      </c>
      <c r="B27968" s="30" t="s">
        <v>61341</v>
      </c>
      <c r="C27968" s="30" t="s">
        <v>56957</v>
      </c>
      <c r="D27968" s="30" t="s">
        <v>17</v>
      </c>
      <c r="E27968" s="30" t="s">
        <v>67</v>
      </c>
      <c r="F27968" s="30" t="s">
        <v>68</v>
      </c>
      <c r="G27968" s="30" t="s">
        <v>140</v>
      </c>
      <c r="H27968" s="32">
        <v>60</v>
      </c>
      <c r="I27968" s="30" t="s">
        <v>51</v>
      </c>
      <c r="J27968" s="41">
        <v>46055</v>
      </c>
      <c r="K27968" s="30" t="s">
        <v>22</v>
      </c>
    </row>
    <row r="27969" spans="1:11">
      <c r="A27969" s="33" t="s">
        <v>61342</v>
      </c>
      <c r="B27969" s="33" t="s">
        <v>61343</v>
      </c>
      <c r="C27969" s="33" t="s">
        <v>178</v>
      </c>
      <c r="D27969" s="33" t="s">
        <v>17</v>
      </c>
      <c r="E27969" s="33" t="s">
        <v>18</v>
      </c>
      <c r="F27969" s="33" t="s">
        <v>19</v>
      </c>
      <c r="G27969" s="33" t="s">
        <v>140</v>
      </c>
      <c r="H27969" s="35">
        <v>8</v>
      </c>
      <c r="I27969" s="33" t="s">
        <v>51</v>
      </c>
      <c r="J27969" s="42">
        <v>46148</v>
      </c>
      <c r="K27969" s="33" t="s">
        <v>22</v>
      </c>
    </row>
    <row r="27970" spans="1:11">
      <c r="A27970" s="30" t="s">
        <v>61344</v>
      </c>
      <c r="B27970" s="30" t="s">
        <v>61345</v>
      </c>
      <c r="C27970" s="30" t="s">
        <v>6972</v>
      </c>
      <c r="D27970" s="30" t="s">
        <v>17</v>
      </c>
      <c r="E27970" s="30" t="s">
        <v>26</v>
      </c>
      <c r="F27970" s="30" t="s">
        <v>27</v>
      </c>
      <c r="G27970" s="30" t="s">
        <v>140</v>
      </c>
      <c r="H27970" s="32">
        <v>60</v>
      </c>
      <c r="I27970" s="30" t="s">
        <v>51</v>
      </c>
      <c r="J27970" s="41">
        <v>46036</v>
      </c>
      <c r="K27970" s="30" t="s">
        <v>22</v>
      </c>
    </row>
    <row r="27971" spans="1:11">
      <c r="A27971" s="33" t="s">
        <v>61346</v>
      </c>
      <c r="B27971" s="33" t="s">
        <v>61347</v>
      </c>
      <c r="C27971" s="33" t="s">
        <v>2490</v>
      </c>
      <c r="D27971" s="33" t="s">
        <v>17</v>
      </c>
      <c r="E27971" s="33" t="s">
        <v>31</v>
      </c>
      <c r="F27971" s="33" t="s">
        <v>32</v>
      </c>
      <c r="G27971" s="33" t="s">
        <v>7780</v>
      </c>
      <c r="H27971" s="35">
        <v>160</v>
      </c>
      <c r="I27971" s="33" t="s">
        <v>51</v>
      </c>
      <c r="J27971" s="42">
        <v>46112</v>
      </c>
      <c r="K27971" s="33" t="s">
        <v>22</v>
      </c>
    </row>
    <row r="27972" spans="1:11">
      <c r="A27972" s="30" t="s">
        <v>61348</v>
      </c>
      <c r="B27972" s="30" t="s">
        <v>61349</v>
      </c>
      <c r="C27972" s="30" t="s">
        <v>136</v>
      </c>
      <c r="D27972" s="30" t="s">
        <v>17</v>
      </c>
      <c r="E27972" s="30" t="s">
        <v>26</v>
      </c>
      <c r="F27972" s="30" t="s">
        <v>27</v>
      </c>
      <c r="G27972" s="30" t="s">
        <v>140</v>
      </c>
      <c r="H27972" s="32">
        <v>28</v>
      </c>
      <c r="I27972" s="30" t="s">
        <v>51</v>
      </c>
      <c r="J27972" s="41">
        <v>46077</v>
      </c>
      <c r="K27972" s="30" t="s">
        <v>22</v>
      </c>
    </row>
    <row r="27973" spans="1:11">
      <c r="A27973" s="33" t="s">
        <v>61350</v>
      </c>
      <c r="B27973" s="33" t="s">
        <v>61351</v>
      </c>
      <c r="C27973" s="33" t="s">
        <v>50689</v>
      </c>
      <c r="D27973" s="33" t="s">
        <v>17</v>
      </c>
      <c r="E27973" s="33" t="s">
        <v>330</v>
      </c>
      <c r="F27973" s="33" t="s">
        <v>331</v>
      </c>
      <c r="G27973" s="33" t="s">
        <v>140</v>
      </c>
      <c r="H27973" s="35">
        <v>12</v>
      </c>
      <c r="I27973" s="33" t="s">
        <v>51</v>
      </c>
      <c r="J27973" s="42">
        <v>46055</v>
      </c>
      <c r="K27973" s="33" t="s">
        <v>22</v>
      </c>
    </row>
    <row r="27974" spans="1:11">
      <c r="A27974" s="30" t="s">
        <v>61352</v>
      </c>
      <c r="B27974" s="30" t="s">
        <v>61353</v>
      </c>
      <c r="C27974" s="30" t="s">
        <v>310</v>
      </c>
      <c r="D27974" s="30" t="s">
        <v>17</v>
      </c>
      <c r="E27974" s="30" t="s">
        <v>31</v>
      </c>
      <c r="F27974" s="30" t="s">
        <v>32</v>
      </c>
      <c r="G27974" s="30" t="s">
        <v>140</v>
      </c>
      <c r="H27974" s="32">
        <v>230</v>
      </c>
      <c r="I27974" s="30" t="s">
        <v>51</v>
      </c>
      <c r="J27974" s="41">
        <v>46182</v>
      </c>
      <c r="K27974" s="30" t="s">
        <v>22</v>
      </c>
    </row>
    <row r="27975" spans="1:11">
      <c r="A27975" s="33" t="s">
        <v>61354</v>
      </c>
      <c r="B27975" s="33" t="s">
        <v>61355</v>
      </c>
      <c r="C27975" s="33" t="s">
        <v>14816</v>
      </c>
      <c r="D27975" s="33" t="s">
        <v>17</v>
      </c>
      <c r="E27975" s="33" t="s">
        <v>26</v>
      </c>
      <c r="F27975" s="33" t="s">
        <v>27</v>
      </c>
      <c r="G27975" s="33" t="s">
        <v>140</v>
      </c>
      <c r="H27975" s="35">
        <v>168</v>
      </c>
      <c r="I27975" s="33" t="s">
        <v>51</v>
      </c>
      <c r="J27975" s="42">
        <v>46105</v>
      </c>
      <c r="K27975" s="33" t="s">
        <v>22</v>
      </c>
    </row>
    <row r="27976" spans="1:11">
      <c r="A27976" s="30" t="s">
        <v>61356</v>
      </c>
      <c r="B27976" s="30" t="s">
        <v>61357</v>
      </c>
      <c r="C27976" s="30" t="s">
        <v>53291</v>
      </c>
      <c r="D27976" s="30" t="s">
        <v>17</v>
      </c>
      <c r="E27976" s="30" t="s">
        <v>212</v>
      </c>
      <c r="F27976" s="30" t="s">
        <v>213</v>
      </c>
      <c r="G27976" s="30" t="s">
        <v>7780</v>
      </c>
      <c r="H27976" s="32">
        <v>30</v>
      </c>
      <c r="I27976" s="30" t="s">
        <v>51</v>
      </c>
      <c r="J27976" s="41">
        <v>46223</v>
      </c>
      <c r="K27976" s="30" t="s">
        <v>22</v>
      </c>
    </row>
    <row r="27977" spans="1:11">
      <c r="A27977" s="33" t="s">
        <v>61358</v>
      </c>
      <c r="B27977" s="33" t="s">
        <v>61359</v>
      </c>
      <c r="C27977" s="33" t="s">
        <v>310</v>
      </c>
      <c r="D27977" s="33" t="s">
        <v>17</v>
      </c>
      <c r="E27977" s="33" t="s">
        <v>26</v>
      </c>
      <c r="F27977" s="33" t="s">
        <v>27</v>
      </c>
      <c r="G27977" s="33" t="s">
        <v>140</v>
      </c>
      <c r="H27977" s="35">
        <v>58</v>
      </c>
      <c r="I27977" s="33" t="s">
        <v>51</v>
      </c>
      <c r="J27977" s="42">
        <v>46146</v>
      </c>
      <c r="K27977" s="33" t="s">
        <v>22</v>
      </c>
    </row>
    <row r="27978" spans="1:11">
      <c r="A27978" s="30" t="s">
        <v>61360</v>
      </c>
      <c r="B27978" s="30" t="s">
        <v>61361</v>
      </c>
      <c r="C27978" s="30" t="s">
        <v>1764</v>
      </c>
      <c r="D27978" s="30" t="s">
        <v>17</v>
      </c>
      <c r="E27978" s="30" t="s">
        <v>212</v>
      </c>
      <c r="F27978" s="30" t="s">
        <v>213</v>
      </c>
      <c r="G27978" s="30" t="s">
        <v>7780</v>
      </c>
      <c r="H27978" s="32">
        <v>20</v>
      </c>
      <c r="I27978" s="30" t="s">
        <v>51</v>
      </c>
      <c r="J27978" s="41">
        <v>46174</v>
      </c>
      <c r="K27978" s="30" t="s">
        <v>22</v>
      </c>
    </row>
    <row r="27979" spans="1:11">
      <c r="A27979" s="33" t="s">
        <v>61362</v>
      </c>
      <c r="B27979" s="33" t="s">
        <v>61363</v>
      </c>
      <c r="C27979" s="33" t="s">
        <v>925</v>
      </c>
      <c r="D27979" s="33" t="s">
        <v>17</v>
      </c>
      <c r="E27979" s="33" t="s">
        <v>31</v>
      </c>
      <c r="F27979" s="33" t="s">
        <v>32</v>
      </c>
      <c r="G27979" s="33" t="s">
        <v>140</v>
      </c>
      <c r="H27979" s="35">
        <v>175</v>
      </c>
      <c r="I27979" s="33" t="s">
        <v>51</v>
      </c>
      <c r="J27979" s="42">
        <v>46188</v>
      </c>
      <c r="K27979" s="33" t="s">
        <v>22</v>
      </c>
    </row>
    <row r="27980" spans="1:11">
      <c r="A27980" s="30" t="s">
        <v>61364</v>
      </c>
      <c r="B27980" s="30" t="s">
        <v>61365</v>
      </c>
      <c r="C27980" s="30" t="s">
        <v>36361</v>
      </c>
      <c r="D27980" s="30" t="s">
        <v>17</v>
      </c>
      <c r="E27980" s="30" t="s">
        <v>31</v>
      </c>
      <c r="F27980" s="30" t="s">
        <v>32</v>
      </c>
      <c r="G27980" s="30" t="s">
        <v>140</v>
      </c>
      <c r="H27980" s="32">
        <v>21</v>
      </c>
      <c r="I27980" s="30" t="s">
        <v>51</v>
      </c>
      <c r="J27980" s="41">
        <v>46057</v>
      </c>
      <c r="K27980" s="30" t="s">
        <v>22</v>
      </c>
    </row>
    <row r="27981" spans="1:11">
      <c r="A27981" s="33" t="s">
        <v>61366</v>
      </c>
      <c r="B27981" s="33" t="s">
        <v>61367</v>
      </c>
      <c r="C27981" s="33" t="s">
        <v>61368</v>
      </c>
      <c r="D27981" s="33" t="s">
        <v>17</v>
      </c>
      <c r="E27981" s="33" t="s">
        <v>26</v>
      </c>
      <c r="F27981" s="33" t="s">
        <v>27</v>
      </c>
      <c r="G27981" s="33" t="s">
        <v>140</v>
      </c>
      <c r="H27981" s="35">
        <v>90</v>
      </c>
      <c r="I27981" s="33" t="s">
        <v>51</v>
      </c>
      <c r="J27981" s="42">
        <v>46213</v>
      </c>
      <c r="K27981" s="33" t="s">
        <v>22</v>
      </c>
    </row>
    <row r="27982" spans="1:11">
      <c r="A27982" s="30" t="s">
        <v>61369</v>
      </c>
      <c r="B27982" s="30" t="s">
        <v>61370</v>
      </c>
      <c r="C27982" s="30" t="s">
        <v>16196</v>
      </c>
      <c r="D27982" s="30" t="s">
        <v>17</v>
      </c>
      <c r="E27982" s="30" t="s">
        <v>18</v>
      </c>
      <c r="F27982" s="30" t="s">
        <v>19</v>
      </c>
      <c r="G27982" s="30" t="s">
        <v>7780</v>
      </c>
      <c r="H27982" s="32">
        <v>620</v>
      </c>
      <c r="I27982" s="30" t="s">
        <v>51</v>
      </c>
      <c r="J27982" s="41">
        <v>46174</v>
      </c>
      <c r="K27982" s="30" t="s">
        <v>22</v>
      </c>
    </row>
    <row r="27983" spans="1:11">
      <c r="A27983" s="33" t="s">
        <v>61371</v>
      </c>
      <c r="B27983" s="33" t="s">
        <v>61372</v>
      </c>
      <c r="C27983" s="33" t="s">
        <v>554</v>
      </c>
      <c r="D27983" s="33" t="s">
        <v>17</v>
      </c>
      <c r="E27983" s="33" t="s">
        <v>31</v>
      </c>
      <c r="F27983" s="33" t="s">
        <v>32</v>
      </c>
      <c r="G27983" s="33" t="s">
        <v>140</v>
      </c>
      <c r="H27983" s="35">
        <v>64</v>
      </c>
      <c r="I27983" s="33" t="s">
        <v>51</v>
      </c>
      <c r="J27983" s="42">
        <v>46107</v>
      </c>
      <c r="K27983" s="33" t="s">
        <v>22</v>
      </c>
    </row>
    <row r="27984" spans="1:11">
      <c r="A27984" s="30" t="s">
        <v>61373</v>
      </c>
      <c r="B27984" s="30" t="s">
        <v>61374</v>
      </c>
      <c r="C27984" s="30" t="s">
        <v>109</v>
      </c>
      <c r="D27984" s="30" t="s">
        <v>17</v>
      </c>
      <c r="E27984" s="30" t="s">
        <v>26</v>
      </c>
      <c r="F27984" s="30" t="s">
        <v>27</v>
      </c>
      <c r="G27984" s="30" t="s">
        <v>140</v>
      </c>
      <c r="H27984" s="32">
        <v>64</v>
      </c>
      <c r="I27984" s="30" t="s">
        <v>51</v>
      </c>
      <c r="J27984" s="41">
        <v>46205</v>
      </c>
      <c r="K27984" s="30" t="s">
        <v>22</v>
      </c>
    </row>
    <row r="27985" spans="1:11">
      <c r="A27985" s="33" t="s">
        <v>61375</v>
      </c>
      <c r="B27985" s="33" t="s">
        <v>61376</v>
      </c>
      <c r="C27985" s="33" t="s">
        <v>102</v>
      </c>
      <c r="D27985" s="33" t="s">
        <v>17</v>
      </c>
      <c r="E27985" s="33" t="s">
        <v>18</v>
      </c>
      <c r="F27985" s="33" t="s">
        <v>19</v>
      </c>
      <c r="G27985" s="33" t="s">
        <v>140</v>
      </c>
      <c r="H27985" s="35">
        <v>115</v>
      </c>
      <c r="I27985" s="33" t="s">
        <v>51</v>
      </c>
      <c r="J27985" s="42">
        <v>46027</v>
      </c>
      <c r="K27985" s="33" t="s">
        <v>22</v>
      </c>
    </row>
    <row r="27986" spans="1:11">
      <c r="A27986" s="30" t="s">
        <v>61377</v>
      </c>
      <c r="B27986" s="30" t="s">
        <v>61378</v>
      </c>
      <c r="C27986" s="30" t="s">
        <v>15795</v>
      </c>
      <c r="D27986" s="30" t="s">
        <v>17</v>
      </c>
      <c r="E27986" s="30" t="s">
        <v>18</v>
      </c>
      <c r="F27986" s="30" t="s">
        <v>19</v>
      </c>
      <c r="G27986" s="30" t="s">
        <v>140</v>
      </c>
      <c r="H27986" s="32">
        <v>230</v>
      </c>
      <c r="I27986" s="30" t="s">
        <v>51</v>
      </c>
      <c r="J27986" s="41">
        <v>46045</v>
      </c>
      <c r="K27986" s="30" t="s">
        <v>22</v>
      </c>
    </row>
    <row r="27987" spans="1:11">
      <c r="A27987" s="33" t="s">
        <v>61379</v>
      </c>
      <c r="B27987" s="33" t="s">
        <v>61380</v>
      </c>
      <c r="C27987" s="33" t="s">
        <v>2618</v>
      </c>
      <c r="D27987" s="33" t="s">
        <v>17</v>
      </c>
      <c r="E27987" s="33" t="s">
        <v>26</v>
      </c>
      <c r="F27987" s="33" t="s">
        <v>27</v>
      </c>
      <c r="G27987" s="33" t="s">
        <v>140</v>
      </c>
      <c r="H27987" s="35">
        <v>138</v>
      </c>
      <c r="I27987" s="33" t="s">
        <v>51</v>
      </c>
      <c r="J27987" s="42">
        <v>46066</v>
      </c>
      <c r="K27987" s="33" t="s">
        <v>22</v>
      </c>
    </row>
    <row r="27988" spans="1:11">
      <c r="A27988" s="30" t="s">
        <v>61381</v>
      </c>
      <c r="B27988" s="30" t="s">
        <v>61382</v>
      </c>
      <c r="C27988" s="30" t="s">
        <v>35270</v>
      </c>
      <c r="D27988" s="30" t="s">
        <v>17</v>
      </c>
      <c r="E27988" s="30" t="s">
        <v>31</v>
      </c>
      <c r="F27988" s="30" t="s">
        <v>32</v>
      </c>
      <c r="G27988" s="30" t="s">
        <v>140</v>
      </c>
      <c r="H27988" s="32">
        <v>30</v>
      </c>
      <c r="I27988" s="30" t="s">
        <v>51</v>
      </c>
      <c r="J27988" s="41">
        <v>46163</v>
      </c>
      <c r="K27988" s="30" t="s">
        <v>22</v>
      </c>
    </row>
    <row r="27989" spans="1:11">
      <c r="A27989" s="33" t="s">
        <v>61383</v>
      </c>
      <c r="B27989" s="33" t="s">
        <v>61384</v>
      </c>
      <c r="C27989" s="33" t="s">
        <v>1498</v>
      </c>
      <c r="D27989" s="33" t="s">
        <v>17</v>
      </c>
      <c r="E27989" s="33" t="s">
        <v>26</v>
      </c>
      <c r="F27989" s="33" t="s">
        <v>27</v>
      </c>
      <c r="G27989" s="33" t="s">
        <v>20</v>
      </c>
      <c r="H27989" s="35">
        <v>48</v>
      </c>
      <c r="I27989" s="33" t="s">
        <v>21</v>
      </c>
      <c r="J27989" s="42">
        <v>46151</v>
      </c>
      <c r="K27989" s="33" t="s">
        <v>22</v>
      </c>
    </row>
    <row r="27990" spans="1:11">
      <c r="A27990" s="30" t="s">
        <v>61385</v>
      </c>
      <c r="B27990" s="30" t="s">
        <v>61386</v>
      </c>
      <c r="C27990" s="30" t="s">
        <v>102</v>
      </c>
      <c r="D27990" s="30" t="s">
        <v>17</v>
      </c>
      <c r="E27990" s="30" t="s">
        <v>18</v>
      </c>
      <c r="F27990" s="30" t="s">
        <v>19</v>
      </c>
      <c r="G27990" s="30" t="s">
        <v>140</v>
      </c>
      <c r="H27990" s="32">
        <v>700</v>
      </c>
      <c r="I27990" s="30" t="s">
        <v>51</v>
      </c>
      <c r="J27990" s="41">
        <v>46173</v>
      </c>
      <c r="K27990" s="30" t="s">
        <v>22</v>
      </c>
    </row>
    <row r="27991" spans="1:11">
      <c r="A27991" s="33" t="s">
        <v>61387</v>
      </c>
      <c r="B27991" s="33" t="s">
        <v>61388</v>
      </c>
      <c r="C27991" s="33" t="s">
        <v>310</v>
      </c>
      <c r="D27991" s="33" t="s">
        <v>17</v>
      </c>
      <c r="E27991" s="33" t="s">
        <v>18</v>
      </c>
      <c r="F27991" s="33" t="s">
        <v>19</v>
      </c>
      <c r="G27991" s="33" t="s">
        <v>140</v>
      </c>
      <c r="H27991" s="35">
        <v>630</v>
      </c>
      <c r="I27991" s="33" t="s">
        <v>51</v>
      </c>
      <c r="J27991" s="42">
        <v>46125</v>
      </c>
      <c r="K27991" s="33" t="s">
        <v>22</v>
      </c>
    </row>
    <row r="27992" spans="1:11">
      <c r="A27992" s="30" t="s">
        <v>61389</v>
      </c>
      <c r="B27992" s="30" t="s">
        <v>61390</v>
      </c>
      <c r="C27992" s="30" t="s">
        <v>14097</v>
      </c>
      <c r="D27992" s="30" t="s">
        <v>17</v>
      </c>
      <c r="E27992" s="30" t="s">
        <v>18</v>
      </c>
      <c r="F27992" s="30" t="s">
        <v>19</v>
      </c>
      <c r="G27992" s="30" t="s">
        <v>158</v>
      </c>
      <c r="H27992" s="32">
        <v>107</v>
      </c>
      <c r="I27992" s="30" t="s">
        <v>51</v>
      </c>
      <c r="J27992" s="41">
        <v>46178</v>
      </c>
      <c r="K27992" s="30" t="s">
        <v>22</v>
      </c>
    </row>
    <row r="27993" spans="1:11">
      <c r="A27993" s="33" t="s">
        <v>61391</v>
      </c>
      <c r="B27993" s="33" t="s">
        <v>61392</v>
      </c>
      <c r="C27993" s="33" t="s">
        <v>326</v>
      </c>
      <c r="D27993" s="33" t="s">
        <v>17</v>
      </c>
      <c r="E27993" s="33" t="s">
        <v>18</v>
      </c>
      <c r="F27993" s="33" t="s">
        <v>19</v>
      </c>
      <c r="G27993" s="33" t="s">
        <v>112</v>
      </c>
      <c r="H27993" s="35">
        <v>0</v>
      </c>
      <c r="I27993" s="33" t="s">
        <v>21</v>
      </c>
      <c r="J27993" s="42">
        <v>46171</v>
      </c>
      <c r="K27993" s="33" t="s">
        <v>22</v>
      </c>
    </row>
    <row r="27994" spans="1:11">
      <c r="A27994" s="30" t="s">
        <v>61393</v>
      </c>
      <c r="B27994" s="30" t="s">
        <v>61394</v>
      </c>
      <c r="C27994" s="30" t="s">
        <v>136</v>
      </c>
      <c r="D27994" s="30" t="s">
        <v>17</v>
      </c>
      <c r="E27994" s="30" t="s">
        <v>26</v>
      </c>
      <c r="F27994" s="30" t="s">
        <v>27</v>
      </c>
      <c r="G27994" s="30" t="s">
        <v>140</v>
      </c>
      <c r="H27994" s="32">
        <v>450</v>
      </c>
      <c r="I27994" s="30" t="s">
        <v>51</v>
      </c>
      <c r="J27994" s="41">
        <v>46105</v>
      </c>
      <c r="K27994" s="30" t="s">
        <v>22</v>
      </c>
    </row>
    <row r="27995" spans="1:11">
      <c r="A27995" s="33" t="s">
        <v>61395</v>
      </c>
      <c r="B27995" s="33" t="s">
        <v>61396</v>
      </c>
      <c r="C27995" s="33" t="s">
        <v>61397</v>
      </c>
      <c r="D27995" s="33" t="s">
        <v>17</v>
      </c>
      <c r="E27995" s="33" t="s">
        <v>31</v>
      </c>
      <c r="F27995" s="33" t="s">
        <v>32</v>
      </c>
      <c r="G27995" s="33" t="s">
        <v>140</v>
      </c>
      <c r="H27995" s="35">
        <v>60</v>
      </c>
      <c r="I27995" s="33" t="s">
        <v>51</v>
      </c>
      <c r="J27995" s="42">
        <v>46066</v>
      </c>
      <c r="K27995" s="33" t="s">
        <v>22</v>
      </c>
    </row>
    <row r="27996" spans="1:11">
      <c r="A27996" s="30" t="s">
        <v>61398</v>
      </c>
      <c r="B27996" s="30" t="s">
        <v>61399</v>
      </c>
      <c r="C27996" s="30" t="s">
        <v>30640</v>
      </c>
      <c r="D27996" s="30" t="s">
        <v>17</v>
      </c>
      <c r="E27996" s="30" t="s">
        <v>26</v>
      </c>
      <c r="F27996" s="30" t="s">
        <v>27</v>
      </c>
      <c r="G27996" s="30" t="s">
        <v>140</v>
      </c>
      <c r="H27996" s="32">
        <v>70</v>
      </c>
      <c r="I27996" s="30" t="s">
        <v>51</v>
      </c>
      <c r="J27996" s="41">
        <v>46161</v>
      </c>
      <c r="K27996" s="30" t="s">
        <v>22</v>
      </c>
    </row>
    <row r="27997" spans="1:11">
      <c r="A27997" s="33" t="s">
        <v>61400</v>
      </c>
      <c r="B27997" s="33" t="s">
        <v>61401</v>
      </c>
      <c r="C27997" s="33" t="s">
        <v>41</v>
      </c>
      <c r="D27997" s="33" t="s">
        <v>17</v>
      </c>
      <c r="E27997" s="33" t="s">
        <v>31</v>
      </c>
      <c r="F27997" s="33" t="s">
        <v>32</v>
      </c>
      <c r="G27997" s="33" t="s">
        <v>140</v>
      </c>
      <c r="H27997" s="35">
        <v>75</v>
      </c>
      <c r="I27997" s="33" t="s">
        <v>51</v>
      </c>
      <c r="J27997" s="42">
        <v>46023</v>
      </c>
      <c r="K27997" s="33" t="s">
        <v>22</v>
      </c>
    </row>
    <row r="27998" spans="1:11">
      <c r="A27998" s="30" t="s">
        <v>61402</v>
      </c>
      <c r="B27998" s="30" t="s">
        <v>61403</v>
      </c>
      <c r="C27998" s="30" t="s">
        <v>51591</v>
      </c>
      <c r="D27998" s="30" t="s">
        <v>17</v>
      </c>
      <c r="E27998" s="30" t="s">
        <v>26</v>
      </c>
      <c r="F27998" s="30" t="s">
        <v>27</v>
      </c>
      <c r="G27998" s="30" t="s">
        <v>140</v>
      </c>
      <c r="H27998" s="32">
        <v>115</v>
      </c>
      <c r="I27998" s="30" t="s">
        <v>51</v>
      </c>
      <c r="J27998" s="41">
        <v>46204</v>
      </c>
      <c r="K27998" s="30" t="s">
        <v>22</v>
      </c>
    </row>
    <row r="27999" spans="1:11">
      <c r="A27999" s="33" t="s">
        <v>61404</v>
      </c>
      <c r="B27999" s="33" t="s">
        <v>61405</v>
      </c>
      <c r="C27999" s="33" t="s">
        <v>570</v>
      </c>
      <c r="D27999" s="33" t="s">
        <v>17</v>
      </c>
      <c r="E27999" s="33" t="s">
        <v>26</v>
      </c>
      <c r="F27999" s="33" t="s">
        <v>27</v>
      </c>
      <c r="G27999" s="33" t="s">
        <v>140</v>
      </c>
      <c r="H27999" s="35">
        <v>100</v>
      </c>
      <c r="I27999" s="33" t="s">
        <v>51</v>
      </c>
      <c r="J27999" s="42">
        <v>46153</v>
      </c>
      <c r="K27999" s="33" t="s">
        <v>22</v>
      </c>
    </row>
    <row r="28000" spans="1:11">
      <c r="A28000" s="30" t="s">
        <v>61406</v>
      </c>
      <c r="B28000" s="30" t="s">
        <v>61407</v>
      </c>
      <c r="C28000" s="30" t="s">
        <v>61408</v>
      </c>
      <c r="D28000" s="30" t="s">
        <v>17</v>
      </c>
      <c r="E28000" s="30" t="s">
        <v>26</v>
      </c>
      <c r="F28000" s="30" t="s">
        <v>27</v>
      </c>
      <c r="G28000" s="30" t="s">
        <v>7780</v>
      </c>
      <c r="H28000" s="32">
        <v>100</v>
      </c>
      <c r="I28000" s="30" t="s">
        <v>51</v>
      </c>
      <c r="J28000" s="41">
        <v>46174</v>
      </c>
      <c r="K28000" s="30" t="s">
        <v>22</v>
      </c>
    </row>
    <row r="28001" spans="1:11">
      <c r="A28001" s="33" t="s">
        <v>61409</v>
      </c>
      <c r="B28001" s="33" t="s">
        <v>61410</v>
      </c>
      <c r="C28001" s="33" t="s">
        <v>61411</v>
      </c>
      <c r="D28001" s="33" t="s">
        <v>17</v>
      </c>
      <c r="E28001" s="33" t="s">
        <v>67</v>
      </c>
      <c r="F28001" s="33" t="s">
        <v>68</v>
      </c>
      <c r="G28001" s="33" t="s">
        <v>7780</v>
      </c>
      <c r="H28001" s="35">
        <v>111</v>
      </c>
      <c r="I28001" s="33" t="s">
        <v>51</v>
      </c>
      <c r="J28001" s="42">
        <v>46174</v>
      </c>
      <c r="K28001" s="33" t="s">
        <v>22</v>
      </c>
    </row>
    <row r="28002" spans="1:11">
      <c r="A28002" s="30" t="s">
        <v>61412</v>
      </c>
      <c r="B28002" s="30" t="s">
        <v>61413</v>
      </c>
      <c r="C28002" s="30" t="s">
        <v>61414</v>
      </c>
      <c r="D28002" s="30" t="s">
        <v>17</v>
      </c>
      <c r="E28002" s="30" t="s">
        <v>330</v>
      </c>
      <c r="F28002" s="30" t="s">
        <v>331</v>
      </c>
      <c r="G28002" s="30" t="s">
        <v>140</v>
      </c>
      <c r="H28002" s="32">
        <v>22</v>
      </c>
      <c r="I28002" s="30" t="s">
        <v>51</v>
      </c>
      <c r="J28002" s="41">
        <v>46167</v>
      </c>
      <c r="K28002" s="30" t="s">
        <v>22</v>
      </c>
    </row>
    <row r="28003" spans="1:11">
      <c r="A28003" s="33" t="s">
        <v>61415</v>
      </c>
      <c r="B28003" s="33" t="s">
        <v>61416</v>
      </c>
      <c r="C28003" s="33" t="s">
        <v>16683</v>
      </c>
      <c r="D28003" s="33" t="s">
        <v>17</v>
      </c>
      <c r="E28003" s="33" t="s">
        <v>31</v>
      </c>
      <c r="F28003" s="33" t="s">
        <v>32</v>
      </c>
      <c r="G28003" s="33" t="s">
        <v>7780</v>
      </c>
      <c r="H28003" s="35">
        <v>5</v>
      </c>
      <c r="I28003" s="33" t="s">
        <v>51</v>
      </c>
      <c r="J28003" s="42">
        <v>46174</v>
      </c>
      <c r="K28003" s="33" t="s">
        <v>22</v>
      </c>
    </row>
    <row r="28004" spans="1:11">
      <c r="A28004" s="30" t="s">
        <v>61417</v>
      </c>
      <c r="B28004" s="30" t="s">
        <v>61418</v>
      </c>
      <c r="C28004" s="30" t="s">
        <v>136</v>
      </c>
      <c r="D28004" s="30" t="s">
        <v>17</v>
      </c>
      <c r="E28004" s="30" t="s">
        <v>31</v>
      </c>
      <c r="F28004" s="30" t="s">
        <v>32</v>
      </c>
      <c r="G28004" s="30" t="s">
        <v>140</v>
      </c>
      <c r="H28004" s="32">
        <v>150</v>
      </c>
      <c r="I28004" s="30" t="s">
        <v>51</v>
      </c>
      <c r="J28004" s="41">
        <v>46069</v>
      </c>
      <c r="K28004" s="30" t="s">
        <v>22</v>
      </c>
    </row>
    <row r="28005" spans="1:11">
      <c r="A28005" s="33" t="s">
        <v>61419</v>
      </c>
      <c r="B28005" s="33" t="s">
        <v>61420</v>
      </c>
      <c r="C28005" s="33" t="s">
        <v>61421</v>
      </c>
      <c r="D28005" s="33" t="s">
        <v>17</v>
      </c>
      <c r="E28005" s="33" t="s">
        <v>26</v>
      </c>
      <c r="F28005" s="33" t="s">
        <v>27</v>
      </c>
      <c r="G28005" s="33" t="s">
        <v>140</v>
      </c>
      <c r="H28005" s="35">
        <v>76</v>
      </c>
      <c r="I28005" s="33" t="s">
        <v>51</v>
      </c>
      <c r="J28005" s="42">
        <v>46094</v>
      </c>
      <c r="K28005" s="33" t="s">
        <v>22</v>
      </c>
    </row>
    <row r="28006" spans="1:11">
      <c r="A28006" s="30" t="s">
        <v>61422</v>
      </c>
      <c r="B28006" s="30" t="s">
        <v>61423</v>
      </c>
      <c r="C28006" s="30" t="s">
        <v>39233</v>
      </c>
      <c r="D28006" s="30" t="s">
        <v>17</v>
      </c>
      <c r="E28006" s="30" t="s">
        <v>26</v>
      </c>
      <c r="F28006" s="30" t="s">
        <v>27</v>
      </c>
      <c r="G28006" s="30" t="s">
        <v>7780</v>
      </c>
      <c r="H28006" s="32">
        <v>114</v>
      </c>
      <c r="I28006" s="30" t="s">
        <v>51</v>
      </c>
      <c r="J28006" s="41">
        <v>46154</v>
      </c>
      <c r="K28006" s="30" t="s">
        <v>22</v>
      </c>
    </row>
    <row r="28007" spans="1:11">
      <c r="A28007" s="33" t="s">
        <v>61424</v>
      </c>
      <c r="B28007" s="33" t="s">
        <v>61425</v>
      </c>
      <c r="C28007" s="33" t="s">
        <v>30073</v>
      </c>
      <c r="D28007" s="33" t="s">
        <v>17</v>
      </c>
      <c r="E28007" s="33" t="s">
        <v>26</v>
      </c>
      <c r="F28007" s="33" t="s">
        <v>27</v>
      </c>
      <c r="G28007" s="33" t="s">
        <v>7780</v>
      </c>
      <c r="H28007" s="35">
        <v>36</v>
      </c>
      <c r="I28007" s="33" t="s">
        <v>51</v>
      </c>
      <c r="J28007" s="42">
        <v>46174</v>
      </c>
      <c r="K28007" s="33" t="s">
        <v>22</v>
      </c>
    </row>
    <row r="28008" spans="1:11">
      <c r="A28008" s="30" t="s">
        <v>61426</v>
      </c>
      <c r="B28008" s="30" t="s">
        <v>61427</v>
      </c>
      <c r="C28008" s="30" t="s">
        <v>56957</v>
      </c>
      <c r="D28008" s="30" t="s">
        <v>17</v>
      </c>
      <c r="E28008" s="30" t="s">
        <v>67</v>
      </c>
      <c r="F28008" s="30" t="s">
        <v>68</v>
      </c>
      <c r="G28008" s="30" t="s">
        <v>140</v>
      </c>
      <c r="H28008" s="32">
        <v>96</v>
      </c>
      <c r="I28008" s="30" t="s">
        <v>51</v>
      </c>
      <c r="J28008" s="41">
        <v>46083</v>
      </c>
      <c r="K28008" s="30" t="s">
        <v>22</v>
      </c>
    </row>
    <row r="28009" spans="1:11">
      <c r="A28009" s="33" t="s">
        <v>61428</v>
      </c>
      <c r="B28009" s="33" t="s">
        <v>61429</v>
      </c>
      <c r="C28009" s="33" t="s">
        <v>9763</v>
      </c>
      <c r="D28009" s="33" t="s">
        <v>17</v>
      </c>
      <c r="E28009" s="33" t="s">
        <v>212</v>
      </c>
      <c r="F28009" s="33" t="s">
        <v>213</v>
      </c>
      <c r="G28009" s="33" t="s">
        <v>2613</v>
      </c>
      <c r="H28009" s="35">
        <v>236</v>
      </c>
      <c r="I28009" s="33" t="s">
        <v>51</v>
      </c>
      <c r="J28009" s="42">
        <v>46112</v>
      </c>
      <c r="K28009" s="33" t="s">
        <v>22</v>
      </c>
    </row>
    <row r="28010" spans="1:11">
      <c r="A28010" s="30" t="s">
        <v>61430</v>
      </c>
      <c r="B28010" s="30" t="s">
        <v>61431</v>
      </c>
      <c r="C28010" s="30" t="s">
        <v>52093</v>
      </c>
      <c r="D28010" s="30" t="s">
        <v>17</v>
      </c>
      <c r="E28010" s="30" t="s">
        <v>26</v>
      </c>
      <c r="F28010" s="30" t="s">
        <v>27</v>
      </c>
      <c r="G28010" s="30" t="s">
        <v>7780</v>
      </c>
      <c r="H28010" s="32">
        <v>30</v>
      </c>
      <c r="I28010" s="30" t="s">
        <v>51</v>
      </c>
      <c r="J28010" s="41">
        <v>46203</v>
      </c>
      <c r="K28010" s="30" t="s">
        <v>22</v>
      </c>
    </row>
    <row r="28011" spans="1:11">
      <c r="A28011" s="33" t="s">
        <v>61432</v>
      </c>
      <c r="B28011" s="33" t="s">
        <v>61433</v>
      </c>
      <c r="C28011" s="33" t="s">
        <v>47722</v>
      </c>
      <c r="D28011" s="33" t="s">
        <v>17</v>
      </c>
      <c r="E28011" s="33" t="s">
        <v>18</v>
      </c>
      <c r="F28011" s="33" t="s">
        <v>19</v>
      </c>
      <c r="G28011" s="33" t="s">
        <v>7780</v>
      </c>
      <c r="H28011" s="35">
        <v>600</v>
      </c>
      <c r="I28011" s="33" t="s">
        <v>51</v>
      </c>
      <c r="J28011" s="42">
        <v>46234</v>
      </c>
      <c r="K28011" s="33" t="s">
        <v>22</v>
      </c>
    </row>
    <row r="28012" spans="1:11">
      <c r="A28012" s="30" t="s">
        <v>61434</v>
      </c>
      <c r="B28012" s="30" t="s">
        <v>61435</v>
      </c>
      <c r="C28012" s="30" t="s">
        <v>38194</v>
      </c>
      <c r="D28012" s="30" t="s">
        <v>17</v>
      </c>
      <c r="E28012" s="30" t="s">
        <v>26</v>
      </c>
      <c r="F28012" s="30" t="s">
        <v>27</v>
      </c>
      <c r="G28012" s="30" t="s">
        <v>7780</v>
      </c>
      <c r="H28012" s="32">
        <v>32</v>
      </c>
      <c r="I28012" s="30" t="s">
        <v>51</v>
      </c>
      <c r="J28012" s="41">
        <v>46173</v>
      </c>
      <c r="K28012" s="30" t="s">
        <v>22</v>
      </c>
    </row>
    <row r="28013" spans="1:11">
      <c r="A28013" s="33" t="s">
        <v>61436</v>
      </c>
      <c r="B28013" s="33" t="s">
        <v>61437</v>
      </c>
      <c r="C28013" s="33" t="s">
        <v>75</v>
      </c>
      <c r="D28013" s="33" t="s">
        <v>17</v>
      </c>
      <c r="E28013" s="33" t="s">
        <v>26</v>
      </c>
      <c r="F28013" s="33" t="s">
        <v>27</v>
      </c>
      <c r="G28013" s="33" t="s">
        <v>140</v>
      </c>
      <c r="H28013" s="35">
        <v>281</v>
      </c>
      <c r="I28013" s="33" t="s">
        <v>51</v>
      </c>
      <c r="J28013" s="42">
        <v>46037</v>
      </c>
      <c r="K28013" s="33" t="s">
        <v>22</v>
      </c>
    </row>
    <row r="28014" spans="1:11">
      <c r="A28014" s="30" t="s">
        <v>61438</v>
      </c>
      <c r="B28014" s="30" t="s">
        <v>61439</v>
      </c>
      <c r="C28014" s="30" t="s">
        <v>969</v>
      </c>
      <c r="D28014" s="30" t="s">
        <v>17</v>
      </c>
      <c r="E28014" s="30" t="s">
        <v>67</v>
      </c>
      <c r="F28014" s="30" t="s">
        <v>68</v>
      </c>
      <c r="G28014" s="30" t="s">
        <v>140</v>
      </c>
      <c r="H28014" s="32">
        <v>54</v>
      </c>
      <c r="I28014" s="30" t="s">
        <v>51</v>
      </c>
      <c r="J28014" s="41">
        <v>46063</v>
      </c>
      <c r="K28014" s="30" t="s">
        <v>22</v>
      </c>
    </row>
    <row r="28015" spans="1:11">
      <c r="A28015" s="33" t="s">
        <v>61440</v>
      </c>
      <c r="B28015" s="33" t="s">
        <v>61441</v>
      </c>
      <c r="C28015" s="33" t="s">
        <v>157</v>
      </c>
      <c r="D28015" s="33" t="s">
        <v>17</v>
      </c>
      <c r="E28015" s="33" t="s">
        <v>31</v>
      </c>
      <c r="F28015" s="33" t="s">
        <v>32</v>
      </c>
      <c r="G28015" s="33" t="s">
        <v>140</v>
      </c>
      <c r="H28015" s="35">
        <v>222</v>
      </c>
      <c r="I28015" s="33" t="s">
        <v>51</v>
      </c>
      <c r="J28015" s="42">
        <v>46159</v>
      </c>
      <c r="K28015" s="33" t="s">
        <v>22</v>
      </c>
    </row>
    <row r="28016" spans="1:11">
      <c r="A28016" s="30" t="s">
        <v>61442</v>
      </c>
      <c r="B28016" s="30" t="s">
        <v>61443</v>
      </c>
      <c r="C28016" s="30" t="s">
        <v>203</v>
      </c>
      <c r="D28016" s="30" t="s">
        <v>17</v>
      </c>
      <c r="E28016" s="30" t="s">
        <v>26</v>
      </c>
      <c r="F28016" s="30" t="s">
        <v>27</v>
      </c>
      <c r="G28016" s="30" t="s">
        <v>158</v>
      </c>
      <c r="H28016" s="32">
        <v>40</v>
      </c>
      <c r="I28016" s="30" t="s">
        <v>51</v>
      </c>
      <c r="J28016" s="41">
        <v>46184</v>
      </c>
      <c r="K28016" s="30" t="s">
        <v>22</v>
      </c>
    </row>
    <row r="28017" spans="1:11">
      <c r="A28017" s="33" t="s">
        <v>61444</v>
      </c>
      <c r="B28017" s="33" t="s">
        <v>61445</v>
      </c>
      <c r="C28017" s="33" t="s">
        <v>190</v>
      </c>
      <c r="D28017" s="33" t="s">
        <v>17</v>
      </c>
      <c r="E28017" s="33" t="s">
        <v>67</v>
      </c>
      <c r="F28017" s="33" t="s">
        <v>68</v>
      </c>
      <c r="G28017" s="33" t="s">
        <v>140</v>
      </c>
      <c r="H28017" s="35">
        <v>180</v>
      </c>
      <c r="I28017" s="33" t="s">
        <v>51</v>
      </c>
      <c r="J28017" s="42">
        <v>46098</v>
      </c>
      <c r="K28017" s="33" t="s">
        <v>22</v>
      </c>
    </row>
    <row r="28018" spans="1:11">
      <c r="A28018" s="30" t="s">
        <v>61446</v>
      </c>
      <c r="B28018" s="30" t="s">
        <v>61447</v>
      </c>
      <c r="C28018" s="30" t="s">
        <v>30542</v>
      </c>
      <c r="D28018" s="30" t="s">
        <v>17</v>
      </c>
      <c r="E28018" s="30" t="s">
        <v>26</v>
      </c>
      <c r="F28018" s="30" t="s">
        <v>27</v>
      </c>
      <c r="G28018" s="30" t="s">
        <v>158</v>
      </c>
      <c r="H28018" s="32">
        <v>12</v>
      </c>
      <c r="I28018" s="30" t="s">
        <v>51</v>
      </c>
      <c r="J28018" s="41">
        <v>46167</v>
      </c>
      <c r="K28018" s="30" t="s">
        <v>22</v>
      </c>
    </row>
    <row r="28019" spans="1:11">
      <c r="A28019" s="33" t="s">
        <v>61448</v>
      </c>
      <c r="B28019" s="33" t="s">
        <v>61449</v>
      </c>
      <c r="C28019" s="33" t="s">
        <v>3583</v>
      </c>
      <c r="D28019" s="33" t="s">
        <v>17</v>
      </c>
      <c r="E28019" s="33" t="s">
        <v>18</v>
      </c>
      <c r="F28019" s="33" t="s">
        <v>19</v>
      </c>
      <c r="G28019" s="33" t="s">
        <v>140</v>
      </c>
      <c r="H28019" s="35">
        <v>165</v>
      </c>
      <c r="I28019" s="33" t="s">
        <v>51</v>
      </c>
      <c r="J28019" s="42">
        <v>46152</v>
      </c>
      <c r="K28019" s="33" t="s">
        <v>22</v>
      </c>
    </row>
    <row r="28020" spans="1:11">
      <c r="A28020" s="30" t="s">
        <v>61450</v>
      </c>
      <c r="B28020" s="30" t="s">
        <v>61451</v>
      </c>
      <c r="C28020" s="30" t="s">
        <v>61452</v>
      </c>
      <c r="D28020" s="30" t="s">
        <v>17</v>
      </c>
      <c r="E28020" s="30" t="s">
        <v>26</v>
      </c>
      <c r="F28020" s="30" t="s">
        <v>27</v>
      </c>
      <c r="G28020" s="30" t="s">
        <v>140</v>
      </c>
      <c r="H28020" s="32">
        <v>24</v>
      </c>
      <c r="I28020" s="30" t="s">
        <v>51</v>
      </c>
      <c r="J28020" s="41">
        <v>46155</v>
      </c>
      <c r="K28020" s="30" t="s">
        <v>22</v>
      </c>
    </row>
    <row r="28021" spans="1:11">
      <c r="A28021" s="33" t="s">
        <v>61453</v>
      </c>
      <c r="B28021" s="33" t="s">
        <v>61454</v>
      </c>
      <c r="C28021" s="33" t="s">
        <v>21791</v>
      </c>
      <c r="D28021" s="33" t="s">
        <v>17</v>
      </c>
      <c r="E28021" s="33" t="s">
        <v>67</v>
      </c>
      <c r="F28021" s="33" t="s">
        <v>68</v>
      </c>
      <c r="G28021" s="33" t="s">
        <v>7780</v>
      </c>
      <c r="H28021" s="35">
        <v>54</v>
      </c>
      <c r="I28021" s="33" t="s">
        <v>51</v>
      </c>
      <c r="J28021" s="42">
        <v>46073</v>
      </c>
      <c r="K28021" s="33" t="s">
        <v>22</v>
      </c>
    </row>
    <row r="28022" spans="1:11">
      <c r="A28022" s="30" t="s">
        <v>61455</v>
      </c>
      <c r="B28022" s="30" t="s">
        <v>61456</v>
      </c>
      <c r="C28022" s="30" t="s">
        <v>52327</v>
      </c>
      <c r="D28022" s="30" t="s">
        <v>17</v>
      </c>
      <c r="E28022" s="30" t="s">
        <v>26</v>
      </c>
      <c r="F28022" s="30" t="s">
        <v>27</v>
      </c>
      <c r="G28022" s="30" t="s">
        <v>7780</v>
      </c>
      <c r="H28022" s="32">
        <v>40</v>
      </c>
      <c r="I28022" s="30" t="s">
        <v>51</v>
      </c>
      <c r="J28022" s="41">
        <v>46132</v>
      </c>
      <c r="K28022" s="30" t="s">
        <v>22</v>
      </c>
    </row>
    <row r="28023" spans="1:11">
      <c r="A28023" s="33" t="s">
        <v>61457</v>
      </c>
      <c r="B28023" s="33" t="s">
        <v>61458</v>
      </c>
      <c r="C28023" s="33" t="s">
        <v>4108</v>
      </c>
      <c r="D28023" s="33" t="s">
        <v>17</v>
      </c>
      <c r="E28023" s="33" t="s">
        <v>31</v>
      </c>
      <c r="F28023" s="33" t="s">
        <v>32</v>
      </c>
      <c r="G28023" s="33" t="s">
        <v>140</v>
      </c>
      <c r="H28023" s="35">
        <v>178</v>
      </c>
      <c r="I28023" s="33" t="s">
        <v>51</v>
      </c>
      <c r="J28023" s="42">
        <v>46143</v>
      </c>
      <c r="K28023" s="33" t="s">
        <v>22</v>
      </c>
    </row>
    <row r="28024" spans="1:11">
      <c r="A28024" s="30" t="s">
        <v>61459</v>
      </c>
      <c r="B28024" s="30" t="s">
        <v>61460</v>
      </c>
      <c r="C28024" s="30" t="s">
        <v>109</v>
      </c>
      <c r="D28024" s="30" t="s">
        <v>17</v>
      </c>
      <c r="E28024" s="30" t="s">
        <v>212</v>
      </c>
      <c r="F28024" s="30" t="s">
        <v>213</v>
      </c>
      <c r="G28024" s="30" t="s">
        <v>7780</v>
      </c>
      <c r="H28024" s="32">
        <v>300</v>
      </c>
      <c r="I28024" s="30" t="s">
        <v>51</v>
      </c>
      <c r="J28024" s="41">
        <v>46203</v>
      </c>
      <c r="K28024" s="30" t="s">
        <v>22</v>
      </c>
    </row>
    <row r="28025" spans="1:11">
      <c r="A28025" s="33" t="s">
        <v>61461</v>
      </c>
      <c r="B28025" s="33" t="s">
        <v>61462</v>
      </c>
      <c r="C28025" s="33" t="s">
        <v>24759</v>
      </c>
      <c r="D28025" s="33" t="s">
        <v>17</v>
      </c>
      <c r="E28025" s="33" t="s">
        <v>18</v>
      </c>
      <c r="F28025" s="33" t="s">
        <v>19</v>
      </c>
      <c r="G28025" s="33" t="s">
        <v>140</v>
      </c>
      <c r="H28025" s="35">
        <v>620</v>
      </c>
      <c r="I28025" s="33" t="s">
        <v>51</v>
      </c>
      <c r="J28025" s="42">
        <v>46150</v>
      </c>
      <c r="K28025" s="33" t="s">
        <v>22</v>
      </c>
    </row>
    <row r="28026" spans="1:11">
      <c r="A28026" s="30" t="s">
        <v>61463</v>
      </c>
      <c r="B28026" s="30" t="s">
        <v>61464</v>
      </c>
      <c r="C28026" s="30" t="s">
        <v>136</v>
      </c>
      <c r="D28026" s="30" t="s">
        <v>17</v>
      </c>
      <c r="E28026" s="30" t="s">
        <v>31</v>
      </c>
      <c r="F28026" s="30" t="s">
        <v>32</v>
      </c>
      <c r="G28026" s="30" t="s">
        <v>140</v>
      </c>
      <c r="H28026" s="32">
        <v>350</v>
      </c>
      <c r="I28026" s="30" t="s">
        <v>51</v>
      </c>
      <c r="J28026" s="41">
        <v>46162</v>
      </c>
      <c r="K28026" s="30" t="s">
        <v>22</v>
      </c>
    </row>
    <row r="28027" spans="1:11">
      <c r="A28027" s="33" t="s">
        <v>61465</v>
      </c>
      <c r="B28027" s="33" t="s">
        <v>61466</v>
      </c>
      <c r="C28027" s="33" t="s">
        <v>118</v>
      </c>
      <c r="D28027" s="33" t="s">
        <v>17</v>
      </c>
      <c r="E28027" s="33" t="s">
        <v>26</v>
      </c>
      <c r="F28027" s="33" t="s">
        <v>27</v>
      </c>
      <c r="G28027" s="33" t="s">
        <v>140</v>
      </c>
      <c r="H28027" s="35">
        <v>130</v>
      </c>
      <c r="I28027" s="33" t="s">
        <v>51</v>
      </c>
      <c r="J28027" s="42">
        <v>46119</v>
      </c>
      <c r="K28027" s="33" t="s">
        <v>22</v>
      </c>
    </row>
    <row r="28028" spans="1:11">
      <c r="A28028" s="30" t="s">
        <v>61467</v>
      </c>
      <c r="B28028" s="30" t="s">
        <v>61468</v>
      </c>
      <c r="C28028" s="30" t="s">
        <v>37105</v>
      </c>
      <c r="D28028" s="30" t="s">
        <v>17</v>
      </c>
      <c r="E28028" s="30" t="s">
        <v>31</v>
      </c>
      <c r="F28028" s="30" t="s">
        <v>32</v>
      </c>
      <c r="G28028" s="30" t="s">
        <v>140</v>
      </c>
      <c r="H28028" s="32">
        <v>45</v>
      </c>
      <c r="I28028" s="30" t="s">
        <v>51</v>
      </c>
      <c r="J28028" s="41">
        <v>46162</v>
      </c>
      <c r="K28028" s="30" t="s">
        <v>22</v>
      </c>
    </row>
    <row r="28029" spans="1:11">
      <c r="A28029" s="33" t="s">
        <v>61469</v>
      </c>
      <c r="B28029" s="33" t="s">
        <v>61470</v>
      </c>
      <c r="C28029" s="33" t="s">
        <v>34992</v>
      </c>
      <c r="D28029" s="33" t="s">
        <v>17</v>
      </c>
      <c r="E28029" s="33" t="s">
        <v>26</v>
      </c>
      <c r="F28029" s="33" t="s">
        <v>27</v>
      </c>
      <c r="G28029" s="33" t="s">
        <v>140</v>
      </c>
      <c r="H28029" s="35">
        <v>37</v>
      </c>
      <c r="I28029" s="33" t="s">
        <v>51</v>
      </c>
      <c r="J28029" s="42">
        <v>46174</v>
      </c>
      <c r="K28029" s="33" t="s">
        <v>22</v>
      </c>
    </row>
    <row r="28030" spans="1:11">
      <c r="A28030" s="30" t="s">
        <v>61471</v>
      </c>
      <c r="B28030" s="30" t="s">
        <v>61472</v>
      </c>
      <c r="C28030" s="30" t="s">
        <v>35237</v>
      </c>
      <c r="D28030" s="30" t="s">
        <v>17</v>
      </c>
      <c r="E28030" s="30" t="s">
        <v>26</v>
      </c>
      <c r="F28030" s="30" t="s">
        <v>27</v>
      </c>
      <c r="G28030" s="30" t="s">
        <v>140</v>
      </c>
      <c r="H28030" s="32">
        <v>32</v>
      </c>
      <c r="I28030" s="30" t="s">
        <v>51</v>
      </c>
      <c r="J28030" s="41">
        <v>46085</v>
      </c>
      <c r="K28030" s="30" t="s">
        <v>22</v>
      </c>
    </row>
    <row r="28031" spans="1:11">
      <c r="A28031" s="33" t="s">
        <v>61473</v>
      </c>
      <c r="B28031" s="33" t="s">
        <v>61474</v>
      </c>
      <c r="C28031" s="33" t="s">
        <v>16052</v>
      </c>
      <c r="D28031" s="33" t="s">
        <v>17</v>
      </c>
      <c r="E28031" s="33" t="s">
        <v>31</v>
      </c>
      <c r="F28031" s="33" t="s">
        <v>32</v>
      </c>
      <c r="G28031" s="33" t="s">
        <v>158</v>
      </c>
      <c r="H28031" s="35">
        <v>151</v>
      </c>
      <c r="I28031" s="33" t="s">
        <v>21</v>
      </c>
      <c r="J28031" s="42">
        <v>46104</v>
      </c>
      <c r="K28031" s="33" t="s">
        <v>22</v>
      </c>
    </row>
    <row r="28032" spans="1:11">
      <c r="A28032" s="30" t="s">
        <v>61475</v>
      </c>
      <c r="B28032" s="30" t="s">
        <v>61476</v>
      </c>
      <c r="C28032" s="30" t="s">
        <v>149</v>
      </c>
      <c r="D28032" s="30" t="s">
        <v>17</v>
      </c>
      <c r="E28032" s="30" t="s">
        <v>67</v>
      </c>
      <c r="F28032" s="30" t="s">
        <v>68</v>
      </c>
      <c r="G28032" s="30" t="s">
        <v>140</v>
      </c>
      <c r="H28032" s="32">
        <v>100</v>
      </c>
      <c r="I28032" s="30" t="s">
        <v>51</v>
      </c>
      <c r="J28032" s="41">
        <v>46120</v>
      </c>
      <c r="K28032" s="30" t="s">
        <v>22</v>
      </c>
    </row>
    <row r="28033" spans="1:11">
      <c r="A28033" s="33" t="s">
        <v>61477</v>
      </c>
      <c r="B28033" s="33" t="s">
        <v>61478</v>
      </c>
      <c r="C28033" s="33" t="s">
        <v>32642</v>
      </c>
      <c r="D28033" s="33" t="s">
        <v>17</v>
      </c>
      <c r="E28033" s="33" t="s">
        <v>31</v>
      </c>
      <c r="F28033" s="33" t="s">
        <v>32</v>
      </c>
      <c r="G28033" s="33" t="s">
        <v>69</v>
      </c>
      <c r="H28033" s="35">
        <v>135</v>
      </c>
      <c r="I28033" s="33" t="s">
        <v>51</v>
      </c>
      <c r="J28033" s="42">
        <v>46067</v>
      </c>
      <c r="K28033" s="33" t="s">
        <v>22</v>
      </c>
    </row>
    <row r="28034" spans="1:11">
      <c r="A28034" s="30" t="s">
        <v>61479</v>
      </c>
      <c r="B28034" s="30" t="s">
        <v>61480</v>
      </c>
      <c r="C28034" s="30" t="s">
        <v>51579</v>
      </c>
      <c r="D28034" s="30" t="s">
        <v>17</v>
      </c>
      <c r="E28034" s="30" t="s">
        <v>26</v>
      </c>
      <c r="F28034" s="30" t="s">
        <v>27</v>
      </c>
      <c r="G28034" s="30" t="s">
        <v>7780</v>
      </c>
      <c r="H28034" s="32">
        <v>24</v>
      </c>
      <c r="I28034" s="30" t="s">
        <v>51</v>
      </c>
      <c r="J28034" s="41">
        <v>46218</v>
      </c>
      <c r="K28034" s="30" t="s">
        <v>22</v>
      </c>
    </row>
    <row r="28035" spans="1:11">
      <c r="A28035" s="33" t="s">
        <v>61481</v>
      </c>
      <c r="B28035" s="33" t="s">
        <v>61482</v>
      </c>
      <c r="C28035" s="33" t="s">
        <v>54402</v>
      </c>
      <c r="D28035" s="33" t="s">
        <v>17</v>
      </c>
      <c r="E28035" s="33" t="s">
        <v>26</v>
      </c>
      <c r="F28035" s="33" t="s">
        <v>27</v>
      </c>
      <c r="G28035" s="33" t="s">
        <v>7780</v>
      </c>
      <c r="H28035" s="35">
        <v>12</v>
      </c>
      <c r="I28035" s="33" t="s">
        <v>51</v>
      </c>
      <c r="J28035" s="42">
        <v>46081</v>
      </c>
      <c r="K28035" s="33" t="s">
        <v>22</v>
      </c>
    </row>
    <row r="28036" spans="1:11">
      <c r="A28036" s="30" t="s">
        <v>61483</v>
      </c>
      <c r="B28036" s="30" t="s">
        <v>61484</v>
      </c>
      <c r="C28036" s="30" t="s">
        <v>61485</v>
      </c>
      <c r="D28036" s="30" t="s">
        <v>17</v>
      </c>
      <c r="E28036" s="30" t="s">
        <v>67</v>
      </c>
      <c r="F28036" s="30" t="s">
        <v>68</v>
      </c>
      <c r="G28036" s="30" t="s">
        <v>140</v>
      </c>
      <c r="H28036" s="32">
        <v>32</v>
      </c>
      <c r="I28036" s="30" t="s">
        <v>51</v>
      </c>
      <c r="J28036" s="41">
        <v>46111</v>
      </c>
      <c r="K28036" s="30" t="s">
        <v>22</v>
      </c>
    </row>
    <row r="28037" spans="1:11">
      <c r="A28037" s="33" t="s">
        <v>61486</v>
      </c>
      <c r="B28037" s="33" t="s">
        <v>61487</v>
      </c>
      <c r="C28037" s="33" t="s">
        <v>39396</v>
      </c>
      <c r="D28037" s="33" t="s">
        <v>17</v>
      </c>
      <c r="E28037" s="33" t="s">
        <v>31</v>
      </c>
      <c r="F28037" s="33" t="s">
        <v>32</v>
      </c>
      <c r="G28037" s="33" t="s">
        <v>140</v>
      </c>
      <c r="H28037" s="35">
        <v>16</v>
      </c>
      <c r="I28037" s="33" t="s">
        <v>51</v>
      </c>
      <c r="J28037" s="42">
        <v>46170</v>
      </c>
      <c r="K28037" s="33" t="s">
        <v>22</v>
      </c>
    </row>
    <row r="28038" spans="1:11">
      <c r="A28038" s="30" t="s">
        <v>61488</v>
      </c>
      <c r="B28038" s="30" t="s">
        <v>61489</v>
      </c>
      <c r="C28038" s="30" t="s">
        <v>33065</v>
      </c>
      <c r="D28038" s="30" t="s">
        <v>17</v>
      </c>
      <c r="E28038" s="30" t="s">
        <v>26</v>
      </c>
      <c r="F28038" s="30" t="s">
        <v>27</v>
      </c>
      <c r="G28038" s="30" t="s">
        <v>7780</v>
      </c>
      <c r="H28038" s="32">
        <v>18</v>
      </c>
      <c r="I28038" s="30" t="s">
        <v>51</v>
      </c>
      <c r="J28038" s="41">
        <v>46113</v>
      </c>
      <c r="K28038" s="30" t="s">
        <v>22</v>
      </c>
    </row>
    <row r="28039" spans="1:11">
      <c r="A28039" s="33" t="s">
        <v>61490</v>
      </c>
      <c r="B28039" s="33" t="s">
        <v>61491</v>
      </c>
      <c r="C28039" s="33" t="s">
        <v>61492</v>
      </c>
      <c r="D28039" s="33" t="s">
        <v>17</v>
      </c>
      <c r="E28039" s="33" t="s">
        <v>67</v>
      </c>
      <c r="F28039" s="33" t="s">
        <v>68</v>
      </c>
      <c r="G28039" s="33" t="s">
        <v>7780</v>
      </c>
      <c r="H28039" s="35">
        <v>30</v>
      </c>
      <c r="I28039" s="33" t="s">
        <v>51</v>
      </c>
      <c r="J28039" s="42">
        <v>46113</v>
      </c>
      <c r="K28039" s="33" t="s">
        <v>22</v>
      </c>
    </row>
    <row r="28040" spans="1:11">
      <c r="A28040" s="30" t="s">
        <v>61493</v>
      </c>
      <c r="B28040" s="30" t="s">
        <v>61494</v>
      </c>
      <c r="C28040" s="30" t="s">
        <v>1112</v>
      </c>
      <c r="D28040" s="30" t="s">
        <v>17</v>
      </c>
      <c r="E28040" s="30" t="s">
        <v>31</v>
      </c>
      <c r="F28040" s="30" t="s">
        <v>32</v>
      </c>
      <c r="G28040" s="30" t="s">
        <v>140</v>
      </c>
      <c r="H28040" s="32">
        <v>45</v>
      </c>
      <c r="I28040" s="30" t="s">
        <v>51</v>
      </c>
      <c r="J28040" s="41">
        <v>46065</v>
      </c>
      <c r="K28040" s="30" t="s">
        <v>22</v>
      </c>
    </row>
    <row r="28041" spans="1:11">
      <c r="A28041" s="33" t="s">
        <v>61495</v>
      </c>
      <c r="B28041" s="33" t="s">
        <v>61496</v>
      </c>
      <c r="C28041" s="33" t="s">
        <v>56957</v>
      </c>
      <c r="D28041" s="33" t="s">
        <v>17</v>
      </c>
      <c r="E28041" s="33" t="s">
        <v>67</v>
      </c>
      <c r="F28041" s="33" t="s">
        <v>68</v>
      </c>
      <c r="G28041" s="33" t="s">
        <v>140</v>
      </c>
      <c r="H28041" s="35">
        <v>42</v>
      </c>
      <c r="I28041" s="33" t="s">
        <v>51</v>
      </c>
      <c r="J28041" s="42">
        <v>46083</v>
      </c>
      <c r="K28041" s="33" t="s">
        <v>22</v>
      </c>
    </row>
    <row r="28042" spans="1:11">
      <c r="A28042" s="30" t="s">
        <v>61497</v>
      </c>
      <c r="B28042" s="30" t="s">
        <v>61498</v>
      </c>
      <c r="C28042" s="30" t="s">
        <v>11899</v>
      </c>
      <c r="D28042" s="30" t="s">
        <v>17</v>
      </c>
      <c r="E28042" s="30" t="s">
        <v>18</v>
      </c>
      <c r="F28042" s="30" t="s">
        <v>19</v>
      </c>
      <c r="G28042" s="30" t="s">
        <v>7780</v>
      </c>
      <c r="H28042" s="32">
        <v>300</v>
      </c>
      <c r="I28042" s="30" t="s">
        <v>51</v>
      </c>
      <c r="J28042" s="41">
        <v>46204</v>
      </c>
      <c r="K28042" s="30" t="s">
        <v>22</v>
      </c>
    </row>
    <row r="28043" spans="1:11">
      <c r="A28043" s="33" t="s">
        <v>61499</v>
      </c>
      <c r="B28043" s="33" t="s">
        <v>61500</v>
      </c>
      <c r="C28043" s="33" t="s">
        <v>13768</v>
      </c>
      <c r="D28043" s="33" t="s">
        <v>17</v>
      </c>
      <c r="E28043" s="33" t="s">
        <v>26</v>
      </c>
      <c r="F28043" s="33" t="s">
        <v>27</v>
      </c>
      <c r="G28043" s="33" t="s">
        <v>140</v>
      </c>
      <c r="H28043" s="35">
        <v>174</v>
      </c>
      <c r="I28043" s="33" t="s">
        <v>51</v>
      </c>
      <c r="J28043" s="42">
        <v>46112</v>
      </c>
      <c r="K28043" s="33" t="s">
        <v>22</v>
      </c>
    </row>
    <row r="28044" spans="1:11">
      <c r="A28044" s="30" t="s">
        <v>61501</v>
      </c>
      <c r="B28044" s="30" t="s">
        <v>61502</v>
      </c>
      <c r="C28044" s="30" t="s">
        <v>190</v>
      </c>
      <c r="D28044" s="30" t="s">
        <v>17</v>
      </c>
      <c r="E28044" s="30" t="s">
        <v>18</v>
      </c>
      <c r="F28044" s="30" t="s">
        <v>19</v>
      </c>
      <c r="G28044" s="30" t="s">
        <v>140</v>
      </c>
      <c r="H28044" s="32">
        <v>230</v>
      </c>
      <c r="I28044" s="30" t="s">
        <v>51</v>
      </c>
      <c r="J28044" s="41">
        <v>46136</v>
      </c>
      <c r="K28044" s="30" t="s">
        <v>22</v>
      </c>
    </row>
    <row r="28045" spans="1:11">
      <c r="A28045" s="33" t="s">
        <v>61503</v>
      </c>
      <c r="B28045" s="33" t="s">
        <v>61504</v>
      </c>
      <c r="C28045" s="33" t="s">
        <v>39363</v>
      </c>
      <c r="D28045" s="33" t="s">
        <v>17</v>
      </c>
      <c r="E28045" s="33" t="s">
        <v>18</v>
      </c>
      <c r="F28045" s="33" t="s">
        <v>19</v>
      </c>
      <c r="G28045" s="33" t="s">
        <v>140</v>
      </c>
      <c r="H28045" s="35">
        <v>752</v>
      </c>
      <c r="I28045" s="33" t="s">
        <v>51</v>
      </c>
      <c r="J28045" s="42">
        <v>46127</v>
      </c>
      <c r="K28045" s="33" t="s">
        <v>22</v>
      </c>
    </row>
    <row r="28046" spans="1:11">
      <c r="A28046" s="30" t="s">
        <v>61505</v>
      </c>
      <c r="B28046" s="30" t="s">
        <v>61506</v>
      </c>
      <c r="C28046" s="30" t="s">
        <v>38860</v>
      </c>
      <c r="D28046" s="30" t="s">
        <v>17</v>
      </c>
      <c r="E28046" s="30" t="s">
        <v>26</v>
      </c>
      <c r="F28046" s="30" t="s">
        <v>27</v>
      </c>
      <c r="G28046" s="30" t="s">
        <v>2613</v>
      </c>
      <c r="H28046" s="32">
        <v>5</v>
      </c>
      <c r="I28046" s="30" t="s">
        <v>51</v>
      </c>
      <c r="J28046" s="41">
        <v>46037</v>
      </c>
      <c r="K28046" s="30" t="s">
        <v>22</v>
      </c>
    </row>
    <row r="28047" spans="1:11">
      <c r="A28047" s="33" t="s">
        <v>61507</v>
      </c>
      <c r="B28047" s="33" t="s">
        <v>61508</v>
      </c>
      <c r="C28047" s="33" t="s">
        <v>9728</v>
      </c>
      <c r="D28047" s="33" t="s">
        <v>17</v>
      </c>
      <c r="E28047" s="33" t="s">
        <v>18</v>
      </c>
      <c r="F28047" s="33" t="s">
        <v>19</v>
      </c>
      <c r="G28047" s="33" t="s">
        <v>7780</v>
      </c>
      <c r="H28047" s="35">
        <v>136</v>
      </c>
      <c r="I28047" s="33" t="s">
        <v>51</v>
      </c>
      <c r="J28047" s="42">
        <v>46162</v>
      </c>
      <c r="K28047" s="33" t="s">
        <v>22</v>
      </c>
    </row>
    <row r="28048" spans="1:11">
      <c r="A28048" s="30" t="s">
        <v>61509</v>
      </c>
      <c r="B28048" s="30" t="s">
        <v>61510</v>
      </c>
      <c r="C28048" s="30" t="s">
        <v>1148</v>
      </c>
      <c r="D28048" s="30" t="s">
        <v>17</v>
      </c>
      <c r="E28048" s="30" t="s">
        <v>31</v>
      </c>
      <c r="F28048" s="30" t="s">
        <v>32</v>
      </c>
      <c r="G28048" s="30" t="s">
        <v>158</v>
      </c>
      <c r="H28048" s="32">
        <v>180</v>
      </c>
      <c r="I28048" s="30" t="s">
        <v>51</v>
      </c>
      <c r="J28048" s="41">
        <v>46174</v>
      </c>
      <c r="K28048" s="30" t="s">
        <v>22</v>
      </c>
    </row>
    <row r="28049" spans="1:11">
      <c r="A28049" s="33" t="s">
        <v>61511</v>
      </c>
      <c r="B28049" s="33" t="s">
        <v>61512</v>
      </c>
      <c r="C28049" s="33" t="s">
        <v>647</v>
      </c>
      <c r="D28049" s="33" t="s">
        <v>17</v>
      </c>
      <c r="E28049" s="33" t="s">
        <v>31</v>
      </c>
      <c r="F28049" s="33" t="s">
        <v>32</v>
      </c>
      <c r="G28049" s="33" t="s">
        <v>140</v>
      </c>
      <c r="H28049" s="35">
        <v>140</v>
      </c>
      <c r="I28049" s="33" t="s">
        <v>51</v>
      </c>
      <c r="J28049" s="42">
        <v>46132</v>
      </c>
      <c r="K28049" s="33" t="s">
        <v>22</v>
      </c>
    </row>
    <row r="28050" spans="1:11">
      <c r="A28050" s="30" t="s">
        <v>61513</v>
      </c>
      <c r="B28050" s="30" t="s">
        <v>61514</v>
      </c>
      <c r="C28050" s="30" t="s">
        <v>30173</v>
      </c>
      <c r="D28050" s="30" t="s">
        <v>17</v>
      </c>
      <c r="E28050" s="30" t="s">
        <v>67</v>
      </c>
      <c r="F28050" s="30" t="s">
        <v>68</v>
      </c>
      <c r="G28050" s="30" t="s">
        <v>140</v>
      </c>
      <c r="H28050" s="32">
        <v>73</v>
      </c>
      <c r="I28050" s="30" t="s">
        <v>51</v>
      </c>
      <c r="J28050" s="41">
        <v>46086</v>
      </c>
      <c r="K28050" s="30" t="s">
        <v>22</v>
      </c>
    </row>
    <row r="28051" spans="1:11">
      <c r="A28051" s="33" t="s">
        <v>61515</v>
      </c>
      <c r="B28051" s="33" t="s">
        <v>61516</v>
      </c>
      <c r="C28051" s="33" t="s">
        <v>190</v>
      </c>
      <c r="D28051" s="33" t="s">
        <v>17</v>
      </c>
      <c r="E28051" s="33" t="s">
        <v>26</v>
      </c>
      <c r="F28051" s="33" t="s">
        <v>27</v>
      </c>
      <c r="G28051" s="33" t="s">
        <v>140</v>
      </c>
      <c r="H28051" s="35">
        <v>28</v>
      </c>
      <c r="I28051" s="33" t="s">
        <v>51</v>
      </c>
      <c r="J28051" s="42">
        <v>46101</v>
      </c>
      <c r="K28051" s="33" t="s">
        <v>22</v>
      </c>
    </row>
    <row r="28052" spans="1:11">
      <c r="A28052" s="30" t="s">
        <v>61517</v>
      </c>
      <c r="B28052" s="30" t="s">
        <v>61518</v>
      </c>
      <c r="C28052" s="30" t="s">
        <v>59386</v>
      </c>
      <c r="D28052" s="30" t="s">
        <v>17</v>
      </c>
      <c r="E28052" s="30" t="s">
        <v>31</v>
      </c>
      <c r="F28052" s="30" t="s">
        <v>32</v>
      </c>
      <c r="G28052" s="30" t="s">
        <v>7780</v>
      </c>
      <c r="H28052" s="32">
        <v>160</v>
      </c>
      <c r="I28052" s="30" t="s">
        <v>51</v>
      </c>
      <c r="J28052" s="41">
        <v>46101</v>
      </c>
      <c r="K28052" s="30" t="s">
        <v>22</v>
      </c>
    </row>
    <row r="28053" spans="1:11">
      <c r="A28053" s="33" t="s">
        <v>61519</v>
      </c>
      <c r="B28053" s="33" t="s">
        <v>61520</v>
      </c>
      <c r="C28053" s="33" t="s">
        <v>54489</v>
      </c>
      <c r="D28053" s="33" t="s">
        <v>17</v>
      </c>
      <c r="E28053" s="33" t="s">
        <v>31</v>
      </c>
      <c r="F28053" s="33" t="s">
        <v>32</v>
      </c>
      <c r="G28053" s="33" t="s">
        <v>7780</v>
      </c>
      <c r="H28053" s="35">
        <v>15</v>
      </c>
      <c r="I28053" s="33" t="s">
        <v>51</v>
      </c>
      <c r="J28053" s="42">
        <v>46174</v>
      </c>
      <c r="K28053" s="33" t="s">
        <v>22</v>
      </c>
    </row>
    <row r="28054" spans="1:11">
      <c r="A28054" s="30" t="s">
        <v>61521</v>
      </c>
      <c r="B28054" s="30" t="s">
        <v>61522</v>
      </c>
      <c r="C28054" s="30" t="s">
        <v>42474</v>
      </c>
      <c r="D28054" s="30" t="s">
        <v>17</v>
      </c>
      <c r="E28054" s="30" t="s">
        <v>26</v>
      </c>
      <c r="F28054" s="30" t="s">
        <v>27</v>
      </c>
      <c r="G28054" s="30" t="s">
        <v>7780</v>
      </c>
      <c r="H28054" s="32">
        <v>15</v>
      </c>
      <c r="I28054" s="30" t="s">
        <v>51</v>
      </c>
      <c r="J28054" s="41">
        <v>46234</v>
      </c>
      <c r="K28054" s="30" t="s">
        <v>22</v>
      </c>
    </row>
    <row r="28055" spans="1:11">
      <c r="A28055" s="33" t="s">
        <v>61523</v>
      </c>
      <c r="B28055" s="33" t="s">
        <v>61524</v>
      </c>
      <c r="C28055" s="33" t="s">
        <v>57321</v>
      </c>
      <c r="D28055" s="33" t="s">
        <v>17</v>
      </c>
      <c r="E28055" s="33" t="s">
        <v>26</v>
      </c>
      <c r="F28055" s="33" t="s">
        <v>27</v>
      </c>
      <c r="G28055" s="33" t="s">
        <v>7780</v>
      </c>
      <c r="H28055" s="35">
        <v>18</v>
      </c>
      <c r="I28055" s="33" t="s">
        <v>51</v>
      </c>
      <c r="J28055" s="42">
        <v>46204</v>
      </c>
      <c r="K28055" s="33" t="s">
        <v>22</v>
      </c>
    </row>
    <row r="28056" spans="1:11">
      <c r="A28056" s="30" t="s">
        <v>61525</v>
      </c>
      <c r="B28056" s="30" t="s">
        <v>61526</v>
      </c>
      <c r="C28056" s="30" t="s">
        <v>969</v>
      </c>
      <c r="D28056" s="30" t="s">
        <v>17</v>
      </c>
      <c r="E28056" s="30" t="s">
        <v>26</v>
      </c>
      <c r="F28056" s="30" t="s">
        <v>27</v>
      </c>
      <c r="G28056" s="30" t="s">
        <v>140</v>
      </c>
      <c r="H28056" s="32">
        <v>97</v>
      </c>
      <c r="I28056" s="30" t="s">
        <v>51</v>
      </c>
      <c r="J28056" s="41">
        <v>46104</v>
      </c>
      <c r="K28056" s="30" t="s">
        <v>22</v>
      </c>
    </row>
    <row r="28057" spans="1:11">
      <c r="A28057" s="33" t="s">
        <v>61527</v>
      </c>
      <c r="B28057" s="33" t="s">
        <v>61528</v>
      </c>
      <c r="C28057" s="33" t="s">
        <v>1090</v>
      </c>
      <c r="D28057" s="33" t="s">
        <v>17</v>
      </c>
      <c r="E28057" s="33" t="s">
        <v>18</v>
      </c>
      <c r="F28057" s="33" t="s">
        <v>19</v>
      </c>
      <c r="G28057" s="33" t="s">
        <v>7780</v>
      </c>
      <c r="H28057" s="35">
        <v>154</v>
      </c>
      <c r="I28057" s="33" t="s">
        <v>51</v>
      </c>
      <c r="J28057" s="42">
        <v>46173</v>
      </c>
      <c r="K28057" s="33" t="s">
        <v>22</v>
      </c>
    </row>
    <row r="28058" spans="1:11">
      <c r="A28058" s="30" t="s">
        <v>61529</v>
      </c>
      <c r="B28058" s="30" t="s">
        <v>61530</v>
      </c>
      <c r="C28058" s="30" t="s">
        <v>61531</v>
      </c>
      <c r="D28058" s="30" t="s">
        <v>17</v>
      </c>
      <c r="E28058" s="30" t="s">
        <v>26</v>
      </c>
      <c r="F28058" s="30" t="s">
        <v>27</v>
      </c>
      <c r="G28058" s="30" t="s">
        <v>140</v>
      </c>
      <c r="H28058" s="32">
        <v>68</v>
      </c>
      <c r="I28058" s="30" t="s">
        <v>51</v>
      </c>
      <c r="J28058" s="41">
        <v>46054</v>
      </c>
      <c r="K28058" s="30" t="s">
        <v>22</v>
      </c>
    </row>
    <row r="28059" spans="1:11">
      <c r="A28059" s="33" t="s">
        <v>61532</v>
      </c>
      <c r="B28059" s="33" t="s">
        <v>61533</v>
      </c>
      <c r="C28059" s="33" t="s">
        <v>109</v>
      </c>
      <c r="D28059" s="33" t="s">
        <v>17</v>
      </c>
      <c r="E28059" s="33" t="s">
        <v>31</v>
      </c>
      <c r="F28059" s="33" t="s">
        <v>32</v>
      </c>
      <c r="G28059" s="33" t="s">
        <v>140</v>
      </c>
      <c r="H28059" s="35">
        <v>323</v>
      </c>
      <c r="I28059" s="33" t="s">
        <v>51</v>
      </c>
      <c r="J28059" s="42">
        <v>46149</v>
      </c>
      <c r="K28059" s="33" t="s">
        <v>22</v>
      </c>
    </row>
    <row r="28060" spans="1:11">
      <c r="A28060" s="30" t="s">
        <v>61534</v>
      </c>
      <c r="B28060" s="30" t="s">
        <v>61535</v>
      </c>
      <c r="C28060" s="30" t="s">
        <v>35</v>
      </c>
      <c r="D28060" s="30" t="s">
        <v>17</v>
      </c>
      <c r="E28060" s="30" t="s">
        <v>31</v>
      </c>
      <c r="F28060" s="30" t="s">
        <v>32</v>
      </c>
      <c r="G28060" s="30" t="s">
        <v>7780</v>
      </c>
      <c r="H28060" s="32">
        <v>6</v>
      </c>
      <c r="I28060" s="30" t="s">
        <v>51</v>
      </c>
      <c r="J28060" s="41">
        <v>46174</v>
      </c>
      <c r="K28060" s="30" t="s">
        <v>22</v>
      </c>
    </row>
    <row r="28061" spans="1:11">
      <c r="A28061" s="33" t="s">
        <v>61536</v>
      </c>
      <c r="B28061" s="33" t="s">
        <v>61537</v>
      </c>
      <c r="C28061" s="33" t="s">
        <v>647</v>
      </c>
      <c r="D28061" s="33" t="s">
        <v>17</v>
      </c>
      <c r="E28061" s="33" t="s">
        <v>26</v>
      </c>
      <c r="F28061" s="33" t="s">
        <v>27</v>
      </c>
      <c r="G28061" s="33" t="s">
        <v>20</v>
      </c>
      <c r="H28061" s="35">
        <v>16</v>
      </c>
      <c r="I28061" s="33" t="s">
        <v>21</v>
      </c>
      <c r="J28061" s="42">
        <v>46059</v>
      </c>
      <c r="K28061" s="33" t="s">
        <v>22</v>
      </c>
    </row>
    <row r="28062" spans="1:11">
      <c r="A28062" s="30" t="s">
        <v>61538</v>
      </c>
      <c r="B28062" s="30" t="s">
        <v>61539</v>
      </c>
      <c r="C28062" s="30" t="s">
        <v>56836</v>
      </c>
      <c r="D28062" s="30" t="s">
        <v>17</v>
      </c>
      <c r="E28062" s="30" t="s">
        <v>26</v>
      </c>
      <c r="F28062" s="30" t="s">
        <v>27</v>
      </c>
      <c r="G28062" s="30" t="s">
        <v>7780</v>
      </c>
      <c r="H28062" s="32">
        <v>48</v>
      </c>
      <c r="I28062" s="30" t="s">
        <v>51</v>
      </c>
      <c r="J28062" s="41">
        <v>46204</v>
      </c>
      <c r="K28062" s="30" t="s">
        <v>22</v>
      </c>
    </row>
    <row r="28063" spans="1:11">
      <c r="A28063" s="33" t="s">
        <v>61540</v>
      </c>
      <c r="B28063" s="33" t="s">
        <v>61541</v>
      </c>
      <c r="C28063" s="33" t="s">
        <v>61542</v>
      </c>
      <c r="D28063" s="33" t="s">
        <v>17</v>
      </c>
      <c r="E28063" s="33" t="s">
        <v>67</v>
      </c>
      <c r="F28063" s="33" t="s">
        <v>68</v>
      </c>
      <c r="G28063" s="33" t="s">
        <v>140</v>
      </c>
      <c r="H28063" s="35">
        <v>93</v>
      </c>
      <c r="I28063" s="33" t="s">
        <v>51</v>
      </c>
      <c r="J28063" s="42">
        <v>46177</v>
      </c>
      <c r="K28063" s="33" t="s">
        <v>22</v>
      </c>
    </row>
    <row r="28064" spans="1:11">
      <c r="A28064" s="30" t="s">
        <v>61543</v>
      </c>
      <c r="B28064" s="30" t="s">
        <v>61544</v>
      </c>
      <c r="C28064" s="30" t="s">
        <v>15019</v>
      </c>
      <c r="D28064" s="30" t="s">
        <v>17</v>
      </c>
      <c r="E28064" s="30" t="s">
        <v>31</v>
      </c>
      <c r="F28064" s="30" t="s">
        <v>32</v>
      </c>
      <c r="G28064" s="30" t="s">
        <v>7780</v>
      </c>
      <c r="H28064" s="32">
        <v>200</v>
      </c>
      <c r="I28064" s="30" t="s">
        <v>51</v>
      </c>
      <c r="J28064" s="41">
        <v>46053</v>
      </c>
      <c r="K28064" s="30" t="s">
        <v>22</v>
      </c>
    </row>
    <row r="28065" spans="1:11">
      <c r="A28065" s="33" t="s">
        <v>61545</v>
      </c>
      <c r="B28065" s="33" t="s">
        <v>61546</v>
      </c>
      <c r="C28065" s="33" t="s">
        <v>61547</v>
      </c>
      <c r="D28065" s="33" t="s">
        <v>17</v>
      </c>
      <c r="E28065" s="33" t="s">
        <v>330</v>
      </c>
      <c r="F28065" s="33" t="s">
        <v>331</v>
      </c>
      <c r="G28065" s="33" t="s">
        <v>140</v>
      </c>
      <c r="H28065" s="35">
        <v>9</v>
      </c>
      <c r="I28065" s="33" t="s">
        <v>51</v>
      </c>
      <c r="J28065" s="42">
        <v>46042</v>
      </c>
      <c r="K28065" s="33" t="s">
        <v>22</v>
      </c>
    </row>
    <row r="28066" spans="1:11">
      <c r="A28066" s="30" t="s">
        <v>61548</v>
      </c>
      <c r="B28066" s="30" t="s">
        <v>61549</v>
      </c>
      <c r="C28066" s="30" t="s">
        <v>61550</v>
      </c>
      <c r="D28066" s="30" t="s">
        <v>17</v>
      </c>
      <c r="E28066" s="30" t="s">
        <v>26</v>
      </c>
      <c r="F28066" s="30" t="s">
        <v>27</v>
      </c>
      <c r="G28066" s="30" t="s">
        <v>140</v>
      </c>
      <c r="H28066" s="32">
        <v>35</v>
      </c>
      <c r="I28066" s="30" t="s">
        <v>51</v>
      </c>
      <c r="J28066" s="41">
        <v>46091</v>
      </c>
      <c r="K28066" s="30" t="s">
        <v>22</v>
      </c>
    </row>
    <row r="28067" spans="1:11">
      <c r="A28067" s="33" t="s">
        <v>61551</v>
      </c>
      <c r="B28067" s="33" t="s">
        <v>61552</v>
      </c>
      <c r="C28067" s="33" t="s">
        <v>61553</v>
      </c>
      <c r="D28067" s="33" t="s">
        <v>17</v>
      </c>
      <c r="E28067" s="33" t="s">
        <v>212</v>
      </c>
      <c r="F28067" s="33" t="s">
        <v>213</v>
      </c>
      <c r="G28067" s="33" t="s">
        <v>7780</v>
      </c>
      <c r="H28067" s="35">
        <v>120</v>
      </c>
      <c r="I28067" s="33" t="s">
        <v>51</v>
      </c>
      <c r="J28067" s="42">
        <v>46203</v>
      </c>
      <c r="K28067" s="33" t="s">
        <v>22</v>
      </c>
    </row>
    <row r="28068" spans="1:11">
      <c r="A28068" s="30" t="s">
        <v>61554</v>
      </c>
      <c r="B28068" s="30" t="s">
        <v>61555</v>
      </c>
      <c r="C28068" s="30" t="s">
        <v>310</v>
      </c>
      <c r="D28068" s="30" t="s">
        <v>17</v>
      </c>
      <c r="E28068" s="30" t="s">
        <v>26</v>
      </c>
      <c r="F28068" s="30" t="s">
        <v>27</v>
      </c>
      <c r="G28068" s="30" t="s">
        <v>140</v>
      </c>
      <c r="H28068" s="32">
        <v>48</v>
      </c>
      <c r="I28068" s="30" t="s">
        <v>51</v>
      </c>
      <c r="J28068" s="41">
        <v>46143</v>
      </c>
      <c r="K28068" s="30" t="s">
        <v>22</v>
      </c>
    </row>
    <row r="28069" spans="1:11">
      <c r="A28069" s="33" t="s">
        <v>61556</v>
      </c>
      <c r="B28069" s="33" t="s">
        <v>61557</v>
      </c>
      <c r="C28069" s="33" t="s">
        <v>190</v>
      </c>
      <c r="D28069" s="33" t="s">
        <v>17</v>
      </c>
      <c r="E28069" s="33" t="s">
        <v>26</v>
      </c>
      <c r="F28069" s="33" t="s">
        <v>27</v>
      </c>
      <c r="G28069" s="33" t="s">
        <v>20</v>
      </c>
      <c r="H28069" s="35">
        <v>32</v>
      </c>
      <c r="I28069" s="33" t="s">
        <v>21</v>
      </c>
      <c r="J28069" s="42">
        <v>46094</v>
      </c>
      <c r="K28069" s="33" t="s">
        <v>22</v>
      </c>
    </row>
    <row r="28070" spans="1:11">
      <c r="A28070" s="30" t="s">
        <v>61558</v>
      </c>
      <c r="B28070" s="30" t="s">
        <v>61559</v>
      </c>
      <c r="C28070" s="30" t="s">
        <v>925</v>
      </c>
      <c r="D28070" s="30" t="s">
        <v>17</v>
      </c>
      <c r="E28070" s="30" t="s">
        <v>45</v>
      </c>
      <c r="F28070" s="30" t="s">
        <v>46</v>
      </c>
      <c r="G28070" s="30" t="s">
        <v>7780</v>
      </c>
      <c r="H28070" s="32">
        <v>700</v>
      </c>
      <c r="I28070" s="30" t="s">
        <v>51</v>
      </c>
      <c r="J28070" s="41">
        <v>46204</v>
      </c>
      <c r="K28070" s="30" t="s">
        <v>22</v>
      </c>
    </row>
    <row r="28071" spans="1:11">
      <c r="A28071" s="33" t="s">
        <v>61560</v>
      </c>
      <c r="B28071" s="33" t="s">
        <v>61561</v>
      </c>
      <c r="C28071" s="33" t="s">
        <v>6205</v>
      </c>
      <c r="D28071" s="33" t="s">
        <v>17</v>
      </c>
      <c r="E28071" s="33" t="s">
        <v>18</v>
      </c>
      <c r="F28071" s="33" t="s">
        <v>19</v>
      </c>
      <c r="G28071" s="33" t="s">
        <v>7780</v>
      </c>
      <c r="H28071" s="35">
        <v>500</v>
      </c>
      <c r="I28071" s="33" t="s">
        <v>51</v>
      </c>
      <c r="J28071" s="42">
        <v>46143</v>
      </c>
      <c r="K28071" s="33" t="s">
        <v>22</v>
      </c>
    </row>
    <row r="28072" spans="1:11">
      <c r="A28072" s="30" t="s">
        <v>61562</v>
      </c>
      <c r="B28072" s="30" t="s">
        <v>61563</v>
      </c>
      <c r="C28072" s="30" t="s">
        <v>231</v>
      </c>
      <c r="D28072" s="30" t="s">
        <v>17</v>
      </c>
      <c r="E28072" s="30" t="s">
        <v>26</v>
      </c>
      <c r="F28072" s="30" t="s">
        <v>27</v>
      </c>
      <c r="G28072" s="30" t="s">
        <v>140</v>
      </c>
      <c r="H28072" s="32">
        <v>187</v>
      </c>
      <c r="I28072" s="30" t="s">
        <v>51</v>
      </c>
      <c r="J28072" s="41">
        <v>46140</v>
      </c>
      <c r="K28072" s="30" t="s">
        <v>22</v>
      </c>
    </row>
    <row r="28073" spans="1:11">
      <c r="A28073" s="33" t="s">
        <v>61564</v>
      </c>
      <c r="B28073" s="33" t="s">
        <v>61565</v>
      </c>
      <c r="C28073" s="33" t="s">
        <v>2866</v>
      </c>
      <c r="D28073" s="33" t="s">
        <v>17</v>
      </c>
      <c r="E28073" s="33" t="s">
        <v>18</v>
      </c>
      <c r="F28073" s="33" t="s">
        <v>19</v>
      </c>
      <c r="G28073" s="33" t="s">
        <v>7780</v>
      </c>
      <c r="H28073" s="35">
        <v>20</v>
      </c>
      <c r="I28073" s="33" t="s">
        <v>51</v>
      </c>
      <c r="J28073" s="42">
        <v>46204</v>
      </c>
      <c r="K28073" s="33" t="s">
        <v>22</v>
      </c>
    </row>
    <row r="28074" spans="1:11">
      <c r="A28074" s="30" t="s">
        <v>61566</v>
      </c>
      <c r="B28074" s="30" t="s">
        <v>61567</v>
      </c>
      <c r="C28074" s="30" t="s">
        <v>56957</v>
      </c>
      <c r="D28074" s="30" t="s">
        <v>17</v>
      </c>
      <c r="E28074" s="30" t="s">
        <v>67</v>
      </c>
      <c r="F28074" s="30" t="s">
        <v>68</v>
      </c>
      <c r="G28074" s="30" t="s">
        <v>140</v>
      </c>
      <c r="H28074" s="32">
        <v>36</v>
      </c>
      <c r="I28074" s="30" t="s">
        <v>51</v>
      </c>
      <c r="J28074" s="41">
        <v>46083</v>
      </c>
      <c r="K28074" s="30" t="s">
        <v>22</v>
      </c>
    </row>
    <row r="28075" spans="1:11">
      <c r="A28075" s="33" t="s">
        <v>61568</v>
      </c>
      <c r="B28075" s="33" t="s">
        <v>61569</v>
      </c>
      <c r="C28075" s="33" t="s">
        <v>61570</v>
      </c>
      <c r="D28075" s="33" t="s">
        <v>17</v>
      </c>
      <c r="E28075" s="33" t="s">
        <v>330</v>
      </c>
      <c r="F28075" s="33" t="s">
        <v>331</v>
      </c>
      <c r="G28075" s="33" t="s">
        <v>140</v>
      </c>
      <c r="H28075" s="35">
        <v>5</v>
      </c>
      <c r="I28075" s="33" t="s">
        <v>51</v>
      </c>
      <c r="J28075" s="42">
        <v>46119</v>
      </c>
      <c r="K28075" s="33" t="s">
        <v>22</v>
      </c>
    </row>
    <row r="28076" spans="1:11">
      <c r="A28076" s="30" t="s">
        <v>61571</v>
      </c>
      <c r="B28076" s="30" t="s">
        <v>61572</v>
      </c>
      <c r="C28076" s="30" t="s">
        <v>31254</v>
      </c>
      <c r="D28076" s="30" t="s">
        <v>17</v>
      </c>
      <c r="E28076" s="30" t="s">
        <v>31</v>
      </c>
      <c r="F28076" s="30" t="s">
        <v>32</v>
      </c>
      <c r="G28076" s="30" t="s">
        <v>7780</v>
      </c>
      <c r="H28076" s="32">
        <v>40</v>
      </c>
      <c r="I28076" s="30" t="s">
        <v>51</v>
      </c>
      <c r="J28076" s="41">
        <v>46082</v>
      </c>
      <c r="K28076" s="30" t="s">
        <v>22</v>
      </c>
    </row>
    <row r="28077" spans="1:11">
      <c r="A28077" s="33" t="s">
        <v>61573</v>
      </c>
      <c r="B28077" s="33" t="s">
        <v>61574</v>
      </c>
      <c r="C28077" s="33" t="s">
        <v>14816</v>
      </c>
      <c r="D28077" s="33" t="s">
        <v>17</v>
      </c>
      <c r="E28077" s="33" t="s">
        <v>18</v>
      </c>
      <c r="F28077" s="33" t="s">
        <v>19</v>
      </c>
      <c r="G28077" s="33" t="s">
        <v>7780</v>
      </c>
      <c r="H28077" s="35">
        <v>3690</v>
      </c>
      <c r="I28077" s="33" t="s">
        <v>51</v>
      </c>
      <c r="J28077" s="42">
        <v>46204</v>
      </c>
      <c r="K28077" s="33" t="s">
        <v>22</v>
      </c>
    </row>
    <row r="28078" spans="1:11">
      <c r="A28078" s="30" t="s">
        <v>61575</v>
      </c>
      <c r="B28078" s="30" t="s">
        <v>61576</v>
      </c>
      <c r="C28078" s="30" t="s">
        <v>1350</v>
      </c>
      <c r="D28078" s="30" t="s">
        <v>17</v>
      </c>
      <c r="E28078" s="30" t="s">
        <v>18</v>
      </c>
      <c r="F28078" s="30" t="s">
        <v>19</v>
      </c>
      <c r="G28078" s="30" t="s">
        <v>140</v>
      </c>
      <c r="H28078" s="32">
        <v>364</v>
      </c>
      <c r="I28078" s="30" t="s">
        <v>51</v>
      </c>
      <c r="J28078" s="41">
        <v>46098</v>
      </c>
      <c r="K28078" s="30" t="s">
        <v>22</v>
      </c>
    </row>
    <row r="28079" spans="1:11">
      <c r="A28079" s="33" t="s">
        <v>61577</v>
      </c>
      <c r="B28079" s="33" t="s">
        <v>61578</v>
      </c>
      <c r="C28079" s="33" t="s">
        <v>37244</v>
      </c>
      <c r="D28079" s="33" t="s">
        <v>17</v>
      </c>
      <c r="E28079" s="33" t="s">
        <v>26</v>
      </c>
      <c r="F28079" s="33" t="s">
        <v>27</v>
      </c>
      <c r="G28079" s="33" t="s">
        <v>140</v>
      </c>
      <c r="H28079" s="35">
        <v>110</v>
      </c>
      <c r="I28079" s="33" t="s">
        <v>51</v>
      </c>
      <c r="J28079" s="42">
        <v>46125</v>
      </c>
      <c r="K28079" s="33" t="s">
        <v>22</v>
      </c>
    </row>
    <row r="28080" spans="1:11">
      <c r="A28080" s="30" t="s">
        <v>61579</v>
      </c>
      <c r="B28080" s="30" t="s">
        <v>61580</v>
      </c>
      <c r="C28080" s="30" t="s">
        <v>39921</v>
      </c>
      <c r="D28080" s="30" t="s">
        <v>17</v>
      </c>
      <c r="E28080" s="30" t="s">
        <v>26</v>
      </c>
      <c r="F28080" s="30" t="s">
        <v>27</v>
      </c>
      <c r="G28080" s="30" t="s">
        <v>140</v>
      </c>
      <c r="H28080" s="32">
        <v>180</v>
      </c>
      <c r="I28080" s="30" t="s">
        <v>51</v>
      </c>
      <c r="J28080" s="41">
        <v>46098</v>
      </c>
      <c r="K28080" s="30" t="s">
        <v>22</v>
      </c>
    </row>
    <row r="28081" spans="1:11">
      <c r="A28081" s="33" t="s">
        <v>61581</v>
      </c>
      <c r="B28081" s="33" t="s">
        <v>61582</v>
      </c>
      <c r="C28081" s="33" t="s">
        <v>407</v>
      </c>
      <c r="D28081" s="33" t="s">
        <v>17</v>
      </c>
      <c r="E28081" s="33" t="s">
        <v>26</v>
      </c>
      <c r="F28081" s="33" t="s">
        <v>27</v>
      </c>
      <c r="G28081" s="33" t="s">
        <v>20</v>
      </c>
      <c r="H28081" s="35">
        <v>58</v>
      </c>
      <c r="I28081" s="33" t="s">
        <v>21</v>
      </c>
      <c r="J28081" s="42">
        <v>46031</v>
      </c>
      <c r="K28081" s="33" t="s">
        <v>22</v>
      </c>
    </row>
    <row r="28082" spans="1:11">
      <c r="A28082" s="30" t="s">
        <v>61583</v>
      </c>
      <c r="B28082" s="30" t="s">
        <v>61584</v>
      </c>
      <c r="C28082" s="30" t="s">
        <v>517</v>
      </c>
      <c r="D28082" s="30" t="s">
        <v>17</v>
      </c>
      <c r="E28082" s="30" t="s">
        <v>26</v>
      </c>
      <c r="F28082" s="30" t="s">
        <v>27</v>
      </c>
      <c r="G28082" s="30" t="s">
        <v>7780</v>
      </c>
      <c r="H28082" s="32">
        <v>55</v>
      </c>
      <c r="I28082" s="30" t="s">
        <v>51</v>
      </c>
      <c r="J28082" s="41">
        <v>46045</v>
      </c>
      <c r="K28082" s="30" t="s">
        <v>22</v>
      </c>
    </row>
    <row r="28083" spans="1:11">
      <c r="A28083" s="33" t="s">
        <v>61585</v>
      </c>
      <c r="B28083" s="33" t="s">
        <v>61586</v>
      </c>
      <c r="C28083" s="33" t="s">
        <v>124</v>
      </c>
      <c r="D28083" s="33" t="s">
        <v>17</v>
      </c>
      <c r="E28083" s="33" t="s">
        <v>18</v>
      </c>
      <c r="F28083" s="33" t="s">
        <v>19</v>
      </c>
      <c r="G28083" s="33" t="s">
        <v>7780</v>
      </c>
      <c r="H28083" s="35">
        <v>420</v>
      </c>
      <c r="I28083" s="33" t="s">
        <v>51</v>
      </c>
      <c r="J28083" s="42">
        <v>46117</v>
      </c>
      <c r="K28083" s="33" t="s">
        <v>22</v>
      </c>
    </row>
    <row r="28084" spans="1:11">
      <c r="A28084" s="30" t="s">
        <v>61587</v>
      </c>
      <c r="B28084" s="30" t="s">
        <v>61588</v>
      </c>
      <c r="C28084" s="30" t="s">
        <v>387</v>
      </c>
      <c r="D28084" s="30" t="s">
        <v>17</v>
      </c>
      <c r="E28084" s="30" t="s">
        <v>26</v>
      </c>
      <c r="F28084" s="30" t="s">
        <v>27</v>
      </c>
      <c r="G28084" s="30" t="s">
        <v>140</v>
      </c>
      <c r="H28084" s="32">
        <v>10</v>
      </c>
      <c r="I28084" s="30" t="s">
        <v>51</v>
      </c>
      <c r="J28084" s="41">
        <v>46168</v>
      </c>
      <c r="K28084" s="30" t="s">
        <v>22</v>
      </c>
    </row>
    <row r="28085" spans="1:11">
      <c r="A28085" s="33" t="s">
        <v>61589</v>
      </c>
      <c r="B28085" s="33" t="s">
        <v>61590</v>
      </c>
      <c r="C28085" s="33" t="s">
        <v>1801</v>
      </c>
      <c r="D28085" s="33" t="s">
        <v>17</v>
      </c>
      <c r="E28085" s="33" t="s">
        <v>26</v>
      </c>
      <c r="F28085" s="33" t="s">
        <v>27</v>
      </c>
      <c r="G28085" s="33" t="s">
        <v>140</v>
      </c>
      <c r="H28085" s="35">
        <v>294</v>
      </c>
      <c r="I28085" s="33" t="s">
        <v>51</v>
      </c>
      <c r="J28085" s="42">
        <v>46157</v>
      </c>
      <c r="K28085" s="33" t="s">
        <v>22</v>
      </c>
    </row>
    <row r="28086" spans="1:11">
      <c r="A28086" s="30" t="s">
        <v>61591</v>
      </c>
      <c r="B28086" s="30" t="s">
        <v>61592</v>
      </c>
      <c r="C28086" s="30" t="s">
        <v>12277</v>
      </c>
      <c r="D28086" s="30" t="s">
        <v>17</v>
      </c>
      <c r="E28086" s="30" t="s">
        <v>45</v>
      </c>
      <c r="F28086" s="30" t="s">
        <v>46</v>
      </c>
      <c r="G28086" s="30" t="s">
        <v>20</v>
      </c>
      <c r="H28086" s="32">
        <v>64</v>
      </c>
      <c r="I28086" s="30" t="s">
        <v>21</v>
      </c>
      <c r="J28086" s="41">
        <v>46099</v>
      </c>
      <c r="K28086" s="30" t="s">
        <v>22</v>
      </c>
    </row>
    <row r="28087" spans="1:11">
      <c r="A28087" s="33" t="s">
        <v>61593</v>
      </c>
      <c r="B28087" s="33" t="s">
        <v>61594</v>
      </c>
      <c r="C28087" s="33" t="s">
        <v>3655</v>
      </c>
      <c r="D28087" s="33" t="s">
        <v>17</v>
      </c>
      <c r="E28087" s="33" t="s">
        <v>212</v>
      </c>
      <c r="F28087" s="33" t="s">
        <v>213</v>
      </c>
      <c r="G28087" s="33" t="s">
        <v>140</v>
      </c>
      <c r="H28087" s="35">
        <v>200</v>
      </c>
      <c r="I28087" s="33" t="s">
        <v>51</v>
      </c>
      <c r="J28087" s="42">
        <v>46226</v>
      </c>
      <c r="K28087" s="33" t="s">
        <v>22</v>
      </c>
    </row>
    <row r="28088" spans="1:11">
      <c r="A28088" s="30" t="s">
        <v>61595</v>
      </c>
      <c r="B28088" s="30" t="s">
        <v>61596</v>
      </c>
      <c r="C28088" s="30" t="s">
        <v>149</v>
      </c>
      <c r="D28088" s="30" t="s">
        <v>17</v>
      </c>
      <c r="E28088" s="30" t="s">
        <v>26</v>
      </c>
      <c r="F28088" s="30" t="s">
        <v>27</v>
      </c>
      <c r="G28088" s="30" t="s">
        <v>140</v>
      </c>
      <c r="H28088" s="32">
        <v>60</v>
      </c>
      <c r="I28088" s="30" t="s">
        <v>51</v>
      </c>
      <c r="J28088" s="41">
        <v>46114</v>
      </c>
      <c r="K28088" s="30" t="s">
        <v>22</v>
      </c>
    </row>
    <row r="28089" spans="1:11">
      <c r="A28089" s="33" t="s">
        <v>61597</v>
      </c>
      <c r="B28089" s="33" t="s">
        <v>61598</v>
      </c>
      <c r="C28089" s="33" t="s">
        <v>61599</v>
      </c>
      <c r="D28089" s="33" t="s">
        <v>17</v>
      </c>
      <c r="E28089" s="33" t="s">
        <v>31</v>
      </c>
      <c r="F28089" s="33" t="s">
        <v>32</v>
      </c>
      <c r="G28089" s="33" t="s">
        <v>7780</v>
      </c>
      <c r="H28089" s="35">
        <v>60</v>
      </c>
      <c r="I28089" s="33" t="s">
        <v>51</v>
      </c>
      <c r="J28089" s="42">
        <v>46188</v>
      </c>
      <c r="K28089" s="33" t="s">
        <v>22</v>
      </c>
    </row>
    <row r="28090" spans="1:11">
      <c r="A28090" s="30" t="s">
        <v>61600</v>
      </c>
      <c r="B28090" s="30" t="s">
        <v>61601</v>
      </c>
      <c r="C28090" s="30" t="s">
        <v>23340</v>
      </c>
      <c r="D28090" s="30" t="s">
        <v>17</v>
      </c>
      <c r="E28090" s="30" t="s">
        <v>18</v>
      </c>
      <c r="F28090" s="30" t="s">
        <v>19</v>
      </c>
      <c r="G28090" s="30" t="s">
        <v>140</v>
      </c>
      <c r="H28090" s="32">
        <v>258</v>
      </c>
      <c r="I28090" s="30" t="s">
        <v>51</v>
      </c>
      <c r="J28090" s="41">
        <v>46031</v>
      </c>
      <c r="K28090" s="30" t="s">
        <v>22</v>
      </c>
    </row>
    <row r="28091" spans="1:11">
      <c r="A28091" s="33" t="s">
        <v>61602</v>
      </c>
      <c r="B28091" s="33" t="s">
        <v>61603</v>
      </c>
      <c r="C28091" s="33" t="s">
        <v>45722</v>
      </c>
      <c r="D28091" s="33" t="s">
        <v>17</v>
      </c>
      <c r="E28091" s="33" t="s">
        <v>31</v>
      </c>
      <c r="F28091" s="33" t="s">
        <v>32</v>
      </c>
      <c r="G28091" s="33" t="s">
        <v>140</v>
      </c>
      <c r="H28091" s="35">
        <v>210</v>
      </c>
      <c r="I28091" s="33" t="s">
        <v>51</v>
      </c>
      <c r="J28091" s="42">
        <v>46090</v>
      </c>
      <c r="K28091" s="33" t="s">
        <v>22</v>
      </c>
    </row>
    <row r="28092" spans="1:11">
      <c r="A28092" s="30" t="s">
        <v>61604</v>
      </c>
      <c r="B28092" s="30" t="s">
        <v>61605</v>
      </c>
      <c r="C28092" s="30" t="s">
        <v>6379</v>
      </c>
      <c r="D28092" s="30" t="s">
        <v>17</v>
      </c>
      <c r="E28092" s="30" t="s">
        <v>31</v>
      </c>
      <c r="F28092" s="30" t="s">
        <v>32</v>
      </c>
      <c r="G28092" s="30" t="s">
        <v>140</v>
      </c>
      <c r="H28092" s="32">
        <v>120</v>
      </c>
      <c r="I28092" s="30" t="s">
        <v>51</v>
      </c>
      <c r="J28092" s="41">
        <v>46069</v>
      </c>
      <c r="K28092" s="30" t="s">
        <v>22</v>
      </c>
    </row>
    <row r="28093" spans="1:11">
      <c r="A28093" s="33" t="s">
        <v>61606</v>
      </c>
      <c r="B28093" s="33" t="s">
        <v>61607</v>
      </c>
      <c r="C28093" s="33" t="s">
        <v>5251</v>
      </c>
      <c r="D28093" s="33" t="s">
        <v>17</v>
      </c>
      <c r="E28093" s="33" t="s">
        <v>26</v>
      </c>
      <c r="F28093" s="33" t="s">
        <v>27</v>
      </c>
      <c r="G28093" s="33" t="s">
        <v>140</v>
      </c>
      <c r="H28093" s="35">
        <v>96</v>
      </c>
      <c r="I28093" s="33" t="s">
        <v>51</v>
      </c>
      <c r="J28093" s="42">
        <v>46160</v>
      </c>
      <c r="K28093" s="33" t="s">
        <v>22</v>
      </c>
    </row>
    <row r="28094" spans="1:11">
      <c r="A28094" s="30" t="s">
        <v>61608</v>
      </c>
      <c r="B28094" s="30" t="s">
        <v>61609</v>
      </c>
      <c r="C28094" s="30" t="s">
        <v>47704</v>
      </c>
      <c r="D28094" s="30" t="s">
        <v>17</v>
      </c>
      <c r="E28094" s="30" t="s">
        <v>67</v>
      </c>
      <c r="F28094" s="30" t="s">
        <v>68</v>
      </c>
      <c r="G28094" s="30" t="s">
        <v>140</v>
      </c>
      <c r="H28094" s="32">
        <v>64</v>
      </c>
      <c r="I28094" s="30" t="s">
        <v>51</v>
      </c>
      <c r="J28094" s="41">
        <v>46083</v>
      </c>
      <c r="K28094" s="30" t="s">
        <v>22</v>
      </c>
    </row>
    <row r="28095" spans="1:11">
      <c r="A28095" s="33" t="s">
        <v>61610</v>
      </c>
      <c r="B28095" s="33" t="s">
        <v>61611</v>
      </c>
      <c r="C28095" s="33" t="s">
        <v>25186</v>
      </c>
      <c r="D28095" s="33" t="s">
        <v>17</v>
      </c>
      <c r="E28095" s="33" t="s">
        <v>26</v>
      </c>
      <c r="F28095" s="33" t="s">
        <v>27</v>
      </c>
      <c r="G28095" s="33" t="s">
        <v>140</v>
      </c>
      <c r="H28095" s="35">
        <v>63</v>
      </c>
      <c r="I28095" s="33" t="s">
        <v>51</v>
      </c>
      <c r="J28095" s="42">
        <v>46122</v>
      </c>
      <c r="K28095" s="33" t="s">
        <v>22</v>
      </c>
    </row>
    <row r="28096" spans="1:11">
      <c r="A28096" s="30" t="s">
        <v>61612</v>
      </c>
      <c r="B28096" s="30" t="s">
        <v>61613</v>
      </c>
      <c r="C28096" s="30" t="s">
        <v>61614</v>
      </c>
      <c r="D28096" s="30" t="s">
        <v>17</v>
      </c>
      <c r="E28096" s="30" t="s">
        <v>31</v>
      </c>
      <c r="F28096" s="30" t="s">
        <v>32</v>
      </c>
      <c r="G28096" s="30" t="s">
        <v>140</v>
      </c>
      <c r="H28096" s="32">
        <v>100</v>
      </c>
      <c r="I28096" s="30" t="s">
        <v>51</v>
      </c>
      <c r="J28096" s="41">
        <v>46058</v>
      </c>
      <c r="K28096" s="30" t="s">
        <v>22</v>
      </c>
    </row>
    <row r="28097" spans="1:11">
      <c r="A28097" s="33" t="s">
        <v>61615</v>
      </c>
      <c r="B28097" s="33" t="s">
        <v>61616</v>
      </c>
      <c r="C28097" s="33" t="s">
        <v>61617</v>
      </c>
      <c r="D28097" s="33" t="s">
        <v>17</v>
      </c>
      <c r="E28097" s="33" t="s">
        <v>18</v>
      </c>
      <c r="F28097" s="33" t="s">
        <v>19</v>
      </c>
      <c r="G28097" s="33" t="s">
        <v>140</v>
      </c>
      <c r="H28097" s="35">
        <v>162</v>
      </c>
      <c r="I28097" s="33" t="s">
        <v>51</v>
      </c>
      <c r="J28097" s="42">
        <v>46110</v>
      </c>
      <c r="K28097" s="33" t="s">
        <v>22</v>
      </c>
    </row>
    <row r="28098" spans="1:11">
      <c r="A28098" s="30" t="s">
        <v>61618</v>
      </c>
      <c r="B28098" s="30" t="s">
        <v>61619</v>
      </c>
      <c r="C28098" s="30" t="s">
        <v>37244</v>
      </c>
      <c r="D28098" s="30" t="s">
        <v>17</v>
      </c>
      <c r="E28098" s="30" t="s">
        <v>31</v>
      </c>
      <c r="F28098" s="30" t="s">
        <v>32</v>
      </c>
      <c r="G28098" s="30" t="s">
        <v>140</v>
      </c>
      <c r="H28098" s="32">
        <v>320</v>
      </c>
      <c r="I28098" s="30" t="s">
        <v>51</v>
      </c>
      <c r="J28098" s="41">
        <v>46178</v>
      </c>
      <c r="K28098" s="30" t="s">
        <v>22</v>
      </c>
    </row>
    <row r="28099" spans="1:11">
      <c r="A28099" s="33" t="s">
        <v>61620</v>
      </c>
      <c r="B28099" s="33" t="s">
        <v>61621</v>
      </c>
      <c r="C28099" s="33" t="s">
        <v>957</v>
      </c>
      <c r="D28099" s="33" t="s">
        <v>17</v>
      </c>
      <c r="E28099" s="33" t="s">
        <v>67</v>
      </c>
      <c r="F28099" s="33" t="s">
        <v>68</v>
      </c>
      <c r="G28099" s="33" t="s">
        <v>140</v>
      </c>
      <c r="H28099" s="35">
        <v>50</v>
      </c>
      <c r="I28099" s="33" t="s">
        <v>51</v>
      </c>
      <c r="J28099" s="42">
        <v>46038</v>
      </c>
      <c r="K28099" s="33" t="s">
        <v>22</v>
      </c>
    </row>
    <row r="28100" spans="1:11">
      <c r="A28100" s="30" t="s">
        <v>61622</v>
      </c>
      <c r="B28100" s="30" t="s">
        <v>61623</v>
      </c>
      <c r="C28100" s="30" t="s">
        <v>14816</v>
      </c>
      <c r="D28100" s="30" t="s">
        <v>17</v>
      </c>
      <c r="E28100" s="30" t="s">
        <v>31</v>
      </c>
      <c r="F28100" s="30" t="s">
        <v>32</v>
      </c>
      <c r="G28100" s="30" t="s">
        <v>140</v>
      </c>
      <c r="H28100" s="32">
        <v>92</v>
      </c>
      <c r="I28100" s="30" t="s">
        <v>51</v>
      </c>
      <c r="J28100" s="41">
        <v>46177</v>
      </c>
      <c r="K28100" s="30" t="s">
        <v>22</v>
      </c>
    </row>
    <row r="28101" spans="1:11">
      <c r="A28101" s="33" t="s">
        <v>61624</v>
      </c>
      <c r="B28101" s="33" t="s">
        <v>61625</v>
      </c>
      <c r="C28101" s="33" t="s">
        <v>11894</v>
      </c>
      <c r="D28101" s="33" t="s">
        <v>17</v>
      </c>
      <c r="E28101" s="33" t="s">
        <v>67</v>
      </c>
      <c r="F28101" s="33" t="s">
        <v>68</v>
      </c>
      <c r="G28101" s="33" t="s">
        <v>7780</v>
      </c>
      <c r="H28101" s="35">
        <v>120</v>
      </c>
      <c r="I28101" s="33" t="s">
        <v>51</v>
      </c>
      <c r="J28101" s="42">
        <v>46233</v>
      </c>
      <c r="K28101" s="33" t="s">
        <v>22</v>
      </c>
    </row>
    <row r="28102" spans="1:11">
      <c r="A28102" s="30" t="s">
        <v>61626</v>
      </c>
      <c r="B28102" s="30" t="s">
        <v>61627</v>
      </c>
      <c r="C28102" s="30" t="s">
        <v>96</v>
      </c>
      <c r="D28102" s="30" t="s">
        <v>17</v>
      </c>
      <c r="E28102" s="30" t="s">
        <v>18</v>
      </c>
      <c r="F28102" s="30" t="s">
        <v>19</v>
      </c>
      <c r="G28102" s="30" t="s">
        <v>140</v>
      </c>
      <c r="H28102" s="32">
        <v>1410</v>
      </c>
      <c r="I28102" s="30" t="s">
        <v>51</v>
      </c>
      <c r="J28102" s="41">
        <v>46028</v>
      </c>
      <c r="K28102" s="30" t="s">
        <v>22</v>
      </c>
    </row>
    <row r="28103" spans="1:11">
      <c r="A28103" s="33" t="s">
        <v>61628</v>
      </c>
      <c r="B28103" s="33" t="s">
        <v>61629</v>
      </c>
      <c r="C28103" s="33" t="s">
        <v>1090</v>
      </c>
      <c r="D28103" s="33" t="s">
        <v>17</v>
      </c>
      <c r="E28103" s="33" t="s">
        <v>26</v>
      </c>
      <c r="F28103" s="33" t="s">
        <v>27</v>
      </c>
      <c r="G28103" s="33" t="s">
        <v>140</v>
      </c>
      <c r="H28103" s="35">
        <v>16</v>
      </c>
      <c r="I28103" s="33" t="s">
        <v>51</v>
      </c>
      <c r="J28103" s="42">
        <v>46152</v>
      </c>
      <c r="K28103" s="33" t="s">
        <v>22</v>
      </c>
    </row>
    <row r="28104" spans="1:11">
      <c r="A28104" s="30" t="s">
        <v>61630</v>
      </c>
      <c r="B28104" s="30" t="s">
        <v>61631</v>
      </c>
      <c r="C28104" s="30" t="s">
        <v>647</v>
      </c>
      <c r="D28104" s="30" t="s">
        <v>17</v>
      </c>
      <c r="E28104" s="30" t="s">
        <v>26</v>
      </c>
      <c r="F28104" s="30" t="s">
        <v>27</v>
      </c>
      <c r="G28104" s="30" t="s">
        <v>20</v>
      </c>
      <c r="H28104" s="32">
        <v>41</v>
      </c>
      <c r="I28104" s="30" t="s">
        <v>21</v>
      </c>
      <c r="J28104" s="41">
        <v>46099</v>
      </c>
      <c r="K28104" s="30" t="s">
        <v>22</v>
      </c>
    </row>
    <row r="28105" spans="1:11">
      <c r="A28105" s="33" t="s">
        <v>61632</v>
      </c>
      <c r="B28105" s="33" t="s">
        <v>40159</v>
      </c>
      <c r="C28105" s="33" t="s">
        <v>54665</v>
      </c>
      <c r="D28105" s="33" t="s">
        <v>17</v>
      </c>
      <c r="E28105" s="33" t="s">
        <v>67</v>
      </c>
      <c r="F28105" s="33" t="s">
        <v>68</v>
      </c>
      <c r="G28105" s="33" t="s">
        <v>7780</v>
      </c>
      <c r="H28105" s="35">
        <v>360</v>
      </c>
      <c r="I28105" s="33" t="s">
        <v>51</v>
      </c>
      <c r="J28105" s="42">
        <v>46113</v>
      </c>
      <c r="K28105" s="33" t="s">
        <v>22</v>
      </c>
    </row>
    <row r="28106" spans="1:11">
      <c r="A28106" s="30" t="s">
        <v>61633</v>
      </c>
      <c r="B28106" s="30" t="s">
        <v>61634</v>
      </c>
      <c r="C28106" s="30" t="s">
        <v>1080</v>
      </c>
      <c r="D28106" s="30" t="s">
        <v>17</v>
      </c>
      <c r="E28106" s="30" t="s">
        <v>26</v>
      </c>
      <c r="F28106" s="30" t="s">
        <v>27</v>
      </c>
      <c r="G28106" s="30" t="s">
        <v>7780</v>
      </c>
      <c r="H28106" s="32">
        <v>12</v>
      </c>
      <c r="I28106" s="30" t="s">
        <v>51</v>
      </c>
      <c r="J28106" s="41">
        <v>46159</v>
      </c>
      <c r="K28106" s="30" t="s">
        <v>22</v>
      </c>
    </row>
    <row r="28107" spans="1:11">
      <c r="A28107" s="33" t="s">
        <v>61635</v>
      </c>
      <c r="B28107" s="33" t="s">
        <v>61636</v>
      </c>
      <c r="C28107" s="33" t="s">
        <v>9825</v>
      </c>
      <c r="D28107" s="33" t="s">
        <v>17</v>
      </c>
      <c r="E28107" s="33" t="s">
        <v>31</v>
      </c>
      <c r="F28107" s="33" t="s">
        <v>32</v>
      </c>
      <c r="G28107" s="33" t="s">
        <v>140</v>
      </c>
      <c r="H28107" s="35">
        <v>45</v>
      </c>
      <c r="I28107" s="33" t="s">
        <v>51</v>
      </c>
      <c r="J28107" s="42">
        <v>46156</v>
      </c>
      <c r="K28107" s="33" t="s">
        <v>22</v>
      </c>
    </row>
    <row r="28108" spans="1:11">
      <c r="A28108" s="30" t="s">
        <v>61637</v>
      </c>
      <c r="B28108" s="30" t="s">
        <v>61638</v>
      </c>
      <c r="C28108" s="30" t="s">
        <v>27981</v>
      </c>
      <c r="D28108" s="30" t="s">
        <v>17</v>
      </c>
      <c r="E28108" s="30" t="s">
        <v>31</v>
      </c>
      <c r="F28108" s="30" t="s">
        <v>32</v>
      </c>
      <c r="G28108" s="30" t="s">
        <v>140</v>
      </c>
      <c r="H28108" s="32">
        <v>90</v>
      </c>
      <c r="I28108" s="30" t="s">
        <v>51</v>
      </c>
      <c r="J28108" s="41">
        <v>46051</v>
      </c>
      <c r="K28108" s="30" t="s">
        <v>22</v>
      </c>
    </row>
    <row r="28109" spans="1:11">
      <c r="A28109" s="33" t="s">
        <v>61639</v>
      </c>
      <c r="B28109" s="33" t="s">
        <v>61640</v>
      </c>
      <c r="C28109" s="33" t="s">
        <v>443</v>
      </c>
      <c r="D28109" s="33" t="s">
        <v>17</v>
      </c>
      <c r="E28109" s="33" t="s">
        <v>18</v>
      </c>
      <c r="F28109" s="33" t="s">
        <v>19</v>
      </c>
      <c r="G28109" s="33" t="s">
        <v>140</v>
      </c>
      <c r="H28109" s="35">
        <v>1040</v>
      </c>
      <c r="I28109" s="33" t="s">
        <v>51</v>
      </c>
      <c r="J28109" s="42">
        <v>46103</v>
      </c>
      <c r="K28109" s="33" t="s">
        <v>22</v>
      </c>
    </row>
    <row r="28110" spans="1:11">
      <c r="A28110" s="30" t="s">
        <v>61641</v>
      </c>
      <c r="B28110" s="30" t="s">
        <v>61642</v>
      </c>
      <c r="C28110" s="30" t="s">
        <v>969</v>
      </c>
      <c r="D28110" s="30" t="s">
        <v>17</v>
      </c>
      <c r="E28110" s="30" t="s">
        <v>18</v>
      </c>
      <c r="F28110" s="30" t="s">
        <v>19</v>
      </c>
      <c r="G28110" s="30" t="s">
        <v>140</v>
      </c>
      <c r="H28110" s="32">
        <v>90</v>
      </c>
      <c r="I28110" s="30" t="s">
        <v>51</v>
      </c>
      <c r="J28110" s="41">
        <v>46202</v>
      </c>
      <c r="K28110" s="30" t="s">
        <v>22</v>
      </c>
    </row>
    <row r="28111" spans="1:11">
      <c r="A28111" s="33" t="s">
        <v>61643</v>
      </c>
      <c r="B28111" s="33" t="s">
        <v>61644</v>
      </c>
      <c r="C28111" s="33" t="s">
        <v>96</v>
      </c>
      <c r="D28111" s="33" t="s">
        <v>17</v>
      </c>
      <c r="E28111" s="33" t="s">
        <v>212</v>
      </c>
      <c r="F28111" s="33" t="s">
        <v>213</v>
      </c>
      <c r="G28111" s="33" t="s">
        <v>7780</v>
      </c>
      <c r="H28111" s="35">
        <v>60</v>
      </c>
      <c r="I28111" s="33" t="s">
        <v>51</v>
      </c>
      <c r="J28111" s="42">
        <v>46220</v>
      </c>
      <c r="K28111" s="33" t="s">
        <v>22</v>
      </c>
    </row>
    <row r="28112" spans="1:11">
      <c r="A28112" s="30" t="s">
        <v>61645</v>
      </c>
      <c r="B28112" s="30" t="s">
        <v>61646</v>
      </c>
      <c r="C28112" s="30" t="s">
        <v>124</v>
      </c>
      <c r="D28112" s="30" t="s">
        <v>17</v>
      </c>
      <c r="E28112" s="30" t="s">
        <v>18</v>
      </c>
      <c r="F28112" s="30" t="s">
        <v>19</v>
      </c>
      <c r="G28112" s="30" t="s">
        <v>140</v>
      </c>
      <c r="H28112" s="32">
        <v>370</v>
      </c>
      <c r="I28112" s="30" t="s">
        <v>51</v>
      </c>
      <c r="J28112" s="41">
        <v>46119</v>
      </c>
      <c r="K28112" s="30" t="s">
        <v>22</v>
      </c>
    </row>
    <row r="28113" spans="1:11">
      <c r="A28113" s="33" t="s">
        <v>61647</v>
      </c>
      <c r="B28113" s="33" t="s">
        <v>61648</v>
      </c>
      <c r="C28113" s="33" t="s">
        <v>136</v>
      </c>
      <c r="D28113" s="33" t="s">
        <v>17</v>
      </c>
      <c r="E28113" s="33" t="s">
        <v>31</v>
      </c>
      <c r="F28113" s="33" t="s">
        <v>32</v>
      </c>
      <c r="G28113" s="33" t="s">
        <v>140</v>
      </c>
      <c r="H28113" s="35">
        <v>60</v>
      </c>
      <c r="I28113" s="33" t="s">
        <v>51</v>
      </c>
      <c r="J28113" s="42">
        <v>46146</v>
      </c>
      <c r="K28113" s="33" t="s">
        <v>22</v>
      </c>
    </row>
    <row r="28114" spans="1:11">
      <c r="A28114" s="30" t="s">
        <v>61649</v>
      </c>
      <c r="B28114" s="30" t="s">
        <v>61650</v>
      </c>
      <c r="C28114" s="30" t="s">
        <v>20147</v>
      </c>
      <c r="D28114" s="30" t="s">
        <v>17</v>
      </c>
      <c r="E28114" s="30" t="s">
        <v>26</v>
      </c>
      <c r="F28114" s="30" t="s">
        <v>27</v>
      </c>
      <c r="G28114" s="30" t="s">
        <v>140</v>
      </c>
      <c r="H28114" s="32">
        <v>180</v>
      </c>
      <c r="I28114" s="30" t="s">
        <v>51</v>
      </c>
      <c r="J28114" s="41">
        <v>46133</v>
      </c>
      <c r="K28114" s="30" t="s">
        <v>22</v>
      </c>
    </row>
    <row r="28115" spans="1:11">
      <c r="A28115" s="33" t="s">
        <v>61651</v>
      </c>
      <c r="B28115" s="33" t="s">
        <v>61652</v>
      </c>
      <c r="C28115" s="33" t="s">
        <v>10774</v>
      </c>
      <c r="D28115" s="33" t="s">
        <v>17</v>
      </c>
      <c r="E28115" s="33" t="s">
        <v>67</v>
      </c>
      <c r="F28115" s="33" t="s">
        <v>68</v>
      </c>
      <c r="G28115" s="33" t="s">
        <v>140</v>
      </c>
      <c r="H28115" s="35">
        <v>26</v>
      </c>
      <c r="I28115" s="33" t="s">
        <v>51</v>
      </c>
      <c r="J28115" s="42">
        <v>46113</v>
      </c>
      <c r="K28115" s="33" t="s">
        <v>22</v>
      </c>
    </row>
    <row r="28116" spans="1:11">
      <c r="A28116" s="30" t="s">
        <v>61653</v>
      </c>
      <c r="B28116" s="30" t="s">
        <v>61654</v>
      </c>
      <c r="C28116" s="30" t="s">
        <v>93</v>
      </c>
      <c r="D28116" s="30" t="s">
        <v>17</v>
      </c>
      <c r="E28116" s="30" t="s">
        <v>45</v>
      </c>
      <c r="F28116" s="30" t="s">
        <v>46</v>
      </c>
      <c r="G28116" s="30" t="s">
        <v>140</v>
      </c>
      <c r="H28116" s="32">
        <v>660</v>
      </c>
      <c r="I28116" s="30" t="s">
        <v>51</v>
      </c>
      <c r="J28116" s="41">
        <v>46203</v>
      </c>
      <c r="K28116" s="30" t="s">
        <v>22</v>
      </c>
    </row>
    <row r="28117" spans="1:11">
      <c r="A28117" s="33" t="s">
        <v>61655</v>
      </c>
      <c r="B28117" s="33" t="s">
        <v>61656</v>
      </c>
      <c r="C28117" s="33" t="s">
        <v>61657</v>
      </c>
      <c r="D28117" s="33" t="s">
        <v>17</v>
      </c>
      <c r="E28117" s="33" t="s">
        <v>330</v>
      </c>
      <c r="F28117" s="33" t="s">
        <v>331</v>
      </c>
      <c r="G28117" s="33" t="s">
        <v>7780</v>
      </c>
      <c r="H28117" s="35">
        <v>100</v>
      </c>
      <c r="I28117" s="33" t="s">
        <v>51</v>
      </c>
      <c r="J28117" s="42">
        <v>46082</v>
      </c>
      <c r="K28117" s="33" t="s">
        <v>22</v>
      </c>
    </row>
    <row r="28118" spans="1:11">
      <c r="A28118" s="30" t="s">
        <v>61658</v>
      </c>
      <c r="B28118" s="30" t="s">
        <v>61659</v>
      </c>
      <c r="C28118" s="30" t="s">
        <v>31071</v>
      </c>
      <c r="D28118" s="30" t="s">
        <v>17</v>
      </c>
      <c r="E28118" s="30" t="s">
        <v>26</v>
      </c>
      <c r="F28118" s="30" t="s">
        <v>27</v>
      </c>
      <c r="G28118" s="30" t="s">
        <v>140</v>
      </c>
      <c r="H28118" s="32">
        <v>60</v>
      </c>
      <c r="I28118" s="30" t="s">
        <v>51</v>
      </c>
      <c r="J28118" s="41">
        <v>46204</v>
      </c>
      <c r="K28118" s="30" t="s">
        <v>22</v>
      </c>
    </row>
    <row r="28119" spans="1:11">
      <c r="A28119" s="33" t="s">
        <v>61660</v>
      </c>
      <c r="B28119" s="33" t="s">
        <v>61661</v>
      </c>
      <c r="C28119" s="33" t="s">
        <v>13278</v>
      </c>
      <c r="D28119" s="33" t="s">
        <v>17</v>
      </c>
      <c r="E28119" s="33" t="s">
        <v>31</v>
      </c>
      <c r="F28119" s="33" t="s">
        <v>32</v>
      </c>
      <c r="G28119" s="33" t="s">
        <v>7780</v>
      </c>
      <c r="H28119" s="35">
        <v>48</v>
      </c>
      <c r="I28119" s="33" t="s">
        <v>51</v>
      </c>
      <c r="J28119" s="42">
        <v>46174</v>
      </c>
      <c r="K28119" s="33" t="s">
        <v>22</v>
      </c>
    </row>
    <row r="28120" spans="1:11">
      <c r="A28120" s="30" t="s">
        <v>61662</v>
      </c>
      <c r="B28120" s="30" t="s">
        <v>61663</v>
      </c>
      <c r="C28120" s="30" t="s">
        <v>61664</v>
      </c>
      <c r="D28120" s="30" t="s">
        <v>17</v>
      </c>
      <c r="E28120" s="30" t="s">
        <v>67</v>
      </c>
      <c r="F28120" s="30" t="s">
        <v>68</v>
      </c>
      <c r="G28120" s="30" t="s">
        <v>140</v>
      </c>
      <c r="H28120" s="32">
        <v>275</v>
      </c>
      <c r="I28120" s="30" t="s">
        <v>51</v>
      </c>
      <c r="J28120" s="41">
        <v>46167</v>
      </c>
      <c r="K28120" s="30" t="s">
        <v>22</v>
      </c>
    </row>
    <row r="28121" spans="1:11">
      <c r="A28121" s="33" t="s">
        <v>61665</v>
      </c>
      <c r="B28121" s="33" t="s">
        <v>61666</v>
      </c>
      <c r="C28121" s="33" t="s">
        <v>231</v>
      </c>
      <c r="D28121" s="33" t="s">
        <v>17</v>
      </c>
      <c r="E28121" s="33" t="s">
        <v>31</v>
      </c>
      <c r="F28121" s="33" t="s">
        <v>32</v>
      </c>
      <c r="G28121" s="33" t="s">
        <v>140</v>
      </c>
      <c r="H28121" s="35">
        <v>132</v>
      </c>
      <c r="I28121" s="33" t="s">
        <v>51</v>
      </c>
      <c r="J28121" s="42">
        <v>46104</v>
      </c>
      <c r="K28121" s="33" t="s">
        <v>22</v>
      </c>
    </row>
    <row r="28122" spans="1:11">
      <c r="A28122" s="30" t="s">
        <v>61667</v>
      </c>
      <c r="B28122" s="30" t="s">
        <v>61668</v>
      </c>
      <c r="C28122" s="30" t="s">
        <v>61669</v>
      </c>
      <c r="D28122" s="30" t="s">
        <v>17</v>
      </c>
      <c r="E28122" s="30" t="s">
        <v>31</v>
      </c>
      <c r="F28122" s="30" t="s">
        <v>32</v>
      </c>
      <c r="G28122" s="30" t="s">
        <v>140</v>
      </c>
      <c r="H28122" s="32">
        <v>180</v>
      </c>
      <c r="I28122" s="30" t="s">
        <v>51</v>
      </c>
      <c r="J28122" s="41">
        <v>46071</v>
      </c>
      <c r="K28122" s="30" t="s">
        <v>22</v>
      </c>
    </row>
    <row r="28123" spans="1:11">
      <c r="A28123" s="33" t="s">
        <v>61670</v>
      </c>
      <c r="B28123" s="33" t="s">
        <v>61671</v>
      </c>
      <c r="C28123" s="33" t="s">
        <v>178</v>
      </c>
      <c r="D28123" s="33" t="s">
        <v>17</v>
      </c>
      <c r="E28123" s="33" t="s">
        <v>31</v>
      </c>
      <c r="F28123" s="33" t="s">
        <v>32</v>
      </c>
      <c r="G28123" s="33" t="s">
        <v>140</v>
      </c>
      <c r="H28123" s="35">
        <v>100</v>
      </c>
      <c r="I28123" s="33" t="s">
        <v>51</v>
      </c>
      <c r="J28123" s="42">
        <v>46092</v>
      </c>
      <c r="K28123" s="33" t="s">
        <v>22</v>
      </c>
    </row>
    <row r="28124" spans="1:11">
      <c r="A28124" s="30" t="s">
        <v>61672</v>
      </c>
      <c r="B28124" s="30" t="s">
        <v>61673</v>
      </c>
      <c r="C28124" s="30" t="s">
        <v>11476</v>
      </c>
      <c r="D28124" s="30" t="s">
        <v>17</v>
      </c>
      <c r="E28124" s="30" t="s">
        <v>18</v>
      </c>
      <c r="F28124" s="30" t="s">
        <v>19</v>
      </c>
      <c r="G28124" s="30" t="s">
        <v>7780</v>
      </c>
      <c r="H28124" s="32">
        <v>180</v>
      </c>
      <c r="I28124" s="30" t="s">
        <v>51</v>
      </c>
      <c r="J28124" s="41">
        <v>46233</v>
      </c>
      <c r="K28124" s="30" t="s">
        <v>22</v>
      </c>
    </row>
    <row r="28125" spans="1:11">
      <c r="A28125" s="33" t="s">
        <v>61674</v>
      </c>
      <c r="B28125" s="33" t="s">
        <v>61675</v>
      </c>
      <c r="C28125" s="33" t="s">
        <v>2839</v>
      </c>
      <c r="D28125" s="33" t="s">
        <v>17</v>
      </c>
      <c r="E28125" s="33" t="s">
        <v>67</v>
      </c>
      <c r="F28125" s="33" t="s">
        <v>68</v>
      </c>
      <c r="G28125" s="33" t="s">
        <v>7780</v>
      </c>
      <c r="H28125" s="35">
        <v>120</v>
      </c>
      <c r="I28125" s="33" t="s">
        <v>51</v>
      </c>
      <c r="J28125" s="42">
        <v>46093</v>
      </c>
      <c r="K28125" s="33" t="s">
        <v>22</v>
      </c>
    </row>
    <row r="28126" spans="1:11">
      <c r="A28126" s="30" t="s">
        <v>61676</v>
      </c>
      <c r="B28126" s="30" t="s">
        <v>61677</v>
      </c>
      <c r="C28126" s="30" t="s">
        <v>61678</v>
      </c>
      <c r="D28126" s="30" t="s">
        <v>17</v>
      </c>
      <c r="E28126" s="30" t="s">
        <v>31</v>
      </c>
      <c r="F28126" s="30" t="s">
        <v>32</v>
      </c>
      <c r="G28126" s="30" t="s">
        <v>7780</v>
      </c>
      <c r="H28126" s="32">
        <v>30</v>
      </c>
      <c r="I28126" s="30" t="s">
        <v>51</v>
      </c>
      <c r="J28126" s="41">
        <v>46204</v>
      </c>
      <c r="K28126" s="30" t="s">
        <v>22</v>
      </c>
    </row>
    <row r="28127" spans="1:11">
      <c r="A28127" s="33" t="s">
        <v>61679</v>
      </c>
      <c r="B28127" s="33" t="s">
        <v>61680</v>
      </c>
      <c r="C28127" s="33" t="s">
        <v>190</v>
      </c>
      <c r="D28127" s="33" t="s">
        <v>17</v>
      </c>
      <c r="E28127" s="33" t="s">
        <v>212</v>
      </c>
      <c r="F28127" s="33" t="s">
        <v>213</v>
      </c>
      <c r="G28127" s="33" t="s">
        <v>140</v>
      </c>
      <c r="H28127" s="35">
        <v>16</v>
      </c>
      <c r="I28127" s="33" t="s">
        <v>51</v>
      </c>
      <c r="J28127" s="42">
        <v>46038</v>
      </c>
      <c r="K28127" s="33" t="s">
        <v>22</v>
      </c>
    </row>
    <row r="28128" spans="1:11">
      <c r="A28128" s="30" t="s">
        <v>61681</v>
      </c>
      <c r="B28128" s="30" t="s">
        <v>61682</v>
      </c>
      <c r="C28128" s="30" t="s">
        <v>61683</v>
      </c>
      <c r="D28128" s="30" t="s">
        <v>17</v>
      </c>
      <c r="E28128" s="30" t="s">
        <v>31</v>
      </c>
      <c r="F28128" s="30" t="s">
        <v>32</v>
      </c>
      <c r="G28128" s="30" t="s">
        <v>158</v>
      </c>
      <c r="H28128" s="32">
        <v>60</v>
      </c>
      <c r="I28128" s="30" t="s">
        <v>51</v>
      </c>
      <c r="J28128" s="41">
        <v>46080</v>
      </c>
      <c r="K28128" s="30" t="s">
        <v>22</v>
      </c>
    </row>
    <row r="28129" spans="1:11">
      <c r="A28129" s="33" t="s">
        <v>61684</v>
      </c>
      <c r="B28129" s="33" t="s">
        <v>61685</v>
      </c>
      <c r="C28129" s="33" t="s">
        <v>203</v>
      </c>
      <c r="D28129" s="33" t="s">
        <v>17</v>
      </c>
      <c r="E28129" s="33" t="s">
        <v>67</v>
      </c>
      <c r="F28129" s="33" t="s">
        <v>68</v>
      </c>
      <c r="G28129" s="33" t="s">
        <v>140</v>
      </c>
      <c r="H28129" s="35">
        <v>140</v>
      </c>
      <c r="I28129" s="33" t="s">
        <v>51</v>
      </c>
      <c r="J28129" s="42">
        <v>46205</v>
      </c>
      <c r="K28129" s="33" t="s">
        <v>22</v>
      </c>
    </row>
    <row r="28130" spans="1:11">
      <c r="A28130" s="30" t="s">
        <v>61686</v>
      </c>
      <c r="B28130" s="30" t="s">
        <v>61687</v>
      </c>
      <c r="C28130" s="30" t="s">
        <v>279</v>
      </c>
      <c r="D28130" s="30" t="s">
        <v>17</v>
      </c>
      <c r="E28130" s="30" t="s">
        <v>31</v>
      </c>
      <c r="F28130" s="30" t="s">
        <v>32</v>
      </c>
      <c r="G28130" s="30" t="s">
        <v>112</v>
      </c>
      <c r="H28130" s="32">
        <v>0</v>
      </c>
      <c r="I28130" s="30" t="s">
        <v>21</v>
      </c>
      <c r="J28130" s="41">
        <v>46023</v>
      </c>
      <c r="K28130" s="30" t="s">
        <v>22</v>
      </c>
    </row>
    <row r="28131" spans="1:11">
      <c r="A28131" s="33" t="s">
        <v>61688</v>
      </c>
      <c r="B28131" s="33" t="s">
        <v>61689</v>
      </c>
      <c r="C28131" s="33" t="s">
        <v>2387</v>
      </c>
      <c r="D28131" s="33" t="s">
        <v>17</v>
      </c>
      <c r="E28131" s="33" t="s">
        <v>31</v>
      </c>
      <c r="F28131" s="33" t="s">
        <v>32</v>
      </c>
      <c r="G28131" s="33" t="s">
        <v>7780</v>
      </c>
      <c r="H28131" s="35">
        <v>118</v>
      </c>
      <c r="I28131" s="33" t="s">
        <v>51</v>
      </c>
      <c r="J28131" s="42">
        <v>46174</v>
      </c>
      <c r="K28131" s="33" t="s">
        <v>22</v>
      </c>
    </row>
    <row r="28132" spans="1:11">
      <c r="A28132" s="30" t="s">
        <v>61690</v>
      </c>
      <c r="B28132" s="30" t="s">
        <v>61691</v>
      </c>
      <c r="C28132" s="30" t="s">
        <v>9026</v>
      </c>
      <c r="D28132" s="30" t="s">
        <v>17</v>
      </c>
      <c r="E28132" s="30" t="s">
        <v>31</v>
      </c>
      <c r="F28132" s="30" t="s">
        <v>32</v>
      </c>
      <c r="G28132" s="30" t="s">
        <v>7780</v>
      </c>
      <c r="H28132" s="32">
        <v>60</v>
      </c>
      <c r="I28132" s="30" t="s">
        <v>51</v>
      </c>
      <c r="J28132" s="41">
        <v>46219</v>
      </c>
      <c r="K28132" s="30" t="s">
        <v>22</v>
      </c>
    </row>
    <row r="28133" spans="1:11">
      <c r="A28133" s="33" t="s">
        <v>61692</v>
      </c>
      <c r="B28133" s="33" t="s">
        <v>61693</v>
      </c>
      <c r="C28133" s="33" t="s">
        <v>1270</v>
      </c>
      <c r="D28133" s="33" t="s">
        <v>17</v>
      </c>
      <c r="E28133" s="33" t="s">
        <v>31</v>
      </c>
      <c r="F28133" s="33" t="s">
        <v>32</v>
      </c>
      <c r="G28133" s="33" t="s">
        <v>7780</v>
      </c>
      <c r="H28133" s="35">
        <v>182</v>
      </c>
      <c r="I28133" s="33" t="s">
        <v>51</v>
      </c>
      <c r="J28133" s="42">
        <v>46163</v>
      </c>
      <c r="K28133" s="33" t="s">
        <v>22</v>
      </c>
    </row>
    <row r="28134" spans="1:11">
      <c r="A28134" s="30" t="s">
        <v>61694</v>
      </c>
      <c r="B28134" s="30" t="s">
        <v>61695</v>
      </c>
      <c r="C28134" s="30" t="s">
        <v>136</v>
      </c>
      <c r="D28134" s="30" t="s">
        <v>17</v>
      </c>
      <c r="E28134" s="30" t="s">
        <v>18</v>
      </c>
      <c r="F28134" s="30" t="s">
        <v>19</v>
      </c>
      <c r="G28134" s="30" t="s">
        <v>140</v>
      </c>
      <c r="H28134" s="32">
        <v>252</v>
      </c>
      <c r="I28134" s="30" t="s">
        <v>51</v>
      </c>
      <c r="J28134" s="41">
        <v>46174</v>
      </c>
      <c r="K28134" s="30" t="s">
        <v>22</v>
      </c>
    </row>
    <row r="28135" spans="1:11">
      <c r="A28135" s="33" t="s">
        <v>61696</v>
      </c>
      <c r="B28135" s="33" t="s">
        <v>61697</v>
      </c>
      <c r="C28135" s="33" t="s">
        <v>925</v>
      </c>
      <c r="D28135" s="33" t="s">
        <v>17</v>
      </c>
      <c r="E28135" s="33" t="s">
        <v>18</v>
      </c>
      <c r="F28135" s="33" t="s">
        <v>19</v>
      </c>
      <c r="G28135" s="33" t="s">
        <v>140</v>
      </c>
      <c r="H28135" s="35">
        <v>590</v>
      </c>
      <c r="I28135" s="33" t="s">
        <v>51</v>
      </c>
      <c r="J28135" s="42">
        <v>46217</v>
      </c>
      <c r="K28135" s="33" t="s">
        <v>22</v>
      </c>
    </row>
    <row r="28136" spans="1:11">
      <c r="A28136" s="30" t="s">
        <v>61698</v>
      </c>
      <c r="B28136" s="30" t="s">
        <v>61699</v>
      </c>
      <c r="C28136" s="30" t="s">
        <v>3655</v>
      </c>
      <c r="D28136" s="30" t="s">
        <v>17</v>
      </c>
      <c r="E28136" s="30" t="s">
        <v>26</v>
      </c>
      <c r="F28136" s="30" t="s">
        <v>27</v>
      </c>
      <c r="G28136" s="30" t="s">
        <v>140</v>
      </c>
      <c r="H28136" s="32">
        <v>67</v>
      </c>
      <c r="I28136" s="30" t="s">
        <v>51</v>
      </c>
      <c r="J28136" s="41">
        <v>46062</v>
      </c>
      <c r="K28136" s="30" t="s">
        <v>22</v>
      </c>
    </row>
    <row r="28137" spans="1:11">
      <c r="A28137" s="33" t="s">
        <v>61700</v>
      </c>
      <c r="B28137" s="33" t="s">
        <v>61701</v>
      </c>
      <c r="C28137" s="33" t="s">
        <v>61702</v>
      </c>
      <c r="D28137" s="33" t="s">
        <v>17</v>
      </c>
      <c r="E28137" s="33" t="s">
        <v>31</v>
      </c>
      <c r="F28137" s="33" t="s">
        <v>32</v>
      </c>
      <c r="G28137" s="33" t="s">
        <v>7780</v>
      </c>
      <c r="H28137" s="35">
        <v>102</v>
      </c>
      <c r="I28137" s="33" t="s">
        <v>51</v>
      </c>
      <c r="J28137" s="42">
        <v>46111</v>
      </c>
      <c r="K28137" s="33" t="s">
        <v>22</v>
      </c>
    </row>
    <row r="28138" spans="1:11">
      <c r="A28138" s="30" t="s">
        <v>61703</v>
      </c>
      <c r="B28138" s="30" t="s">
        <v>61704</v>
      </c>
      <c r="C28138" s="30" t="s">
        <v>61705</v>
      </c>
      <c r="D28138" s="30" t="s">
        <v>17</v>
      </c>
      <c r="E28138" s="30" t="s">
        <v>18</v>
      </c>
      <c r="F28138" s="30" t="s">
        <v>19</v>
      </c>
      <c r="G28138" s="30" t="s">
        <v>140</v>
      </c>
      <c r="H28138" s="32">
        <v>1900</v>
      </c>
      <c r="I28138" s="30" t="s">
        <v>51</v>
      </c>
      <c r="J28138" s="41">
        <v>46076</v>
      </c>
      <c r="K28138" s="30" t="s">
        <v>22</v>
      </c>
    </row>
    <row r="28139" spans="1:11">
      <c r="A28139" s="33" t="s">
        <v>61706</v>
      </c>
      <c r="B28139" s="33" t="s">
        <v>61707</v>
      </c>
      <c r="C28139" s="33" t="s">
        <v>178</v>
      </c>
      <c r="D28139" s="33" t="s">
        <v>17</v>
      </c>
      <c r="E28139" s="33" t="s">
        <v>31</v>
      </c>
      <c r="F28139" s="33" t="s">
        <v>32</v>
      </c>
      <c r="G28139" s="33" t="s">
        <v>140</v>
      </c>
      <c r="H28139" s="35">
        <v>120</v>
      </c>
      <c r="I28139" s="33" t="s">
        <v>51</v>
      </c>
      <c r="J28139" s="42">
        <v>46176</v>
      </c>
      <c r="K28139" s="33" t="s">
        <v>22</v>
      </c>
    </row>
    <row r="28140" spans="1:11">
      <c r="A28140" s="30" t="s">
        <v>61708</v>
      </c>
      <c r="B28140" s="30" t="s">
        <v>61709</v>
      </c>
      <c r="C28140" s="30" t="s">
        <v>13605</v>
      </c>
      <c r="D28140" s="30" t="s">
        <v>17</v>
      </c>
      <c r="E28140" s="30" t="s">
        <v>18</v>
      </c>
      <c r="F28140" s="30" t="s">
        <v>19</v>
      </c>
      <c r="G28140" s="30" t="s">
        <v>140</v>
      </c>
      <c r="H28140" s="32">
        <v>220</v>
      </c>
      <c r="I28140" s="30" t="s">
        <v>51</v>
      </c>
      <c r="J28140" s="41">
        <v>46126</v>
      </c>
      <c r="K28140" s="30" t="s">
        <v>22</v>
      </c>
    </row>
    <row r="28141" spans="1:11">
      <c r="A28141" s="33" t="s">
        <v>61710</v>
      </c>
      <c r="B28141" s="33" t="s">
        <v>61711</v>
      </c>
      <c r="C28141" s="33" t="s">
        <v>61712</v>
      </c>
      <c r="D28141" s="33" t="s">
        <v>17</v>
      </c>
      <c r="E28141" s="33" t="s">
        <v>67</v>
      </c>
      <c r="F28141" s="33" t="s">
        <v>68</v>
      </c>
      <c r="G28141" s="33" t="s">
        <v>140</v>
      </c>
      <c r="H28141" s="35">
        <v>72</v>
      </c>
      <c r="I28141" s="33" t="s">
        <v>51</v>
      </c>
      <c r="J28141" s="42">
        <v>46133</v>
      </c>
      <c r="K28141" s="33" t="s">
        <v>22</v>
      </c>
    </row>
    <row r="28142" spans="1:11">
      <c r="A28142" s="30" t="s">
        <v>61713</v>
      </c>
      <c r="B28142" s="30" t="s">
        <v>61714</v>
      </c>
      <c r="C28142" s="30" t="s">
        <v>443</v>
      </c>
      <c r="D28142" s="30" t="s">
        <v>17</v>
      </c>
      <c r="E28142" s="30" t="s">
        <v>18</v>
      </c>
      <c r="F28142" s="30" t="s">
        <v>19</v>
      </c>
      <c r="G28142" s="30" t="s">
        <v>140</v>
      </c>
      <c r="H28142" s="32">
        <v>1040</v>
      </c>
      <c r="I28142" s="30" t="s">
        <v>51</v>
      </c>
      <c r="J28142" s="41">
        <v>46103</v>
      </c>
      <c r="K28142" s="30" t="s">
        <v>22</v>
      </c>
    </row>
    <row r="28143" spans="1:11">
      <c r="A28143" s="33" t="s">
        <v>61715</v>
      </c>
      <c r="B28143" s="33" t="s">
        <v>61716</v>
      </c>
      <c r="C28143" s="33" t="s">
        <v>15335</v>
      </c>
      <c r="D28143" s="33" t="s">
        <v>17</v>
      </c>
      <c r="E28143" s="33" t="s">
        <v>18</v>
      </c>
      <c r="F28143" s="33" t="s">
        <v>19</v>
      </c>
      <c r="G28143" s="33" t="s">
        <v>158</v>
      </c>
      <c r="H28143" s="35">
        <v>1770</v>
      </c>
      <c r="I28143" s="33" t="s">
        <v>51</v>
      </c>
      <c r="J28143" s="42">
        <v>46030</v>
      </c>
      <c r="K28143" s="33" t="s">
        <v>22</v>
      </c>
    </row>
    <row r="28144" spans="1:11">
      <c r="A28144" s="30" t="s">
        <v>61717</v>
      </c>
      <c r="B28144" s="30" t="s">
        <v>61718</v>
      </c>
      <c r="C28144" s="30" t="s">
        <v>4348</v>
      </c>
      <c r="D28144" s="30" t="s">
        <v>17</v>
      </c>
      <c r="E28144" s="30" t="s">
        <v>18</v>
      </c>
      <c r="F28144" s="30" t="s">
        <v>19</v>
      </c>
      <c r="G28144" s="30" t="s">
        <v>140</v>
      </c>
      <c r="H28144" s="32">
        <v>398</v>
      </c>
      <c r="I28144" s="30" t="s">
        <v>51</v>
      </c>
      <c r="J28144" s="41">
        <v>46210</v>
      </c>
      <c r="K28144" s="30" t="s">
        <v>22</v>
      </c>
    </row>
    <row r="28145" spans="1:11">
      <c r="A28145" s="33" t="s">
        <v>61719</v>
      </c>
      <c r="B28145" s="33" t="s">
        <v>61720</v>
      </c>
      <c r="C28145" s="33" t="s">
        <v>2709</v>
      </c>
      <c r="D28145" s="33" t="s">
        <v>17</v>
      </c>
      <c r="E28145" s="33" t="s">
        <v>18</v>
      </c>
      <c r="F28145" s="33" t="s">
        <v>19</v>
      </c>
      <c r="G28145" s="33" t="s">
        <v>2613</v>
      </c>
      <c r="H28145" s="35">
        <v>3000</v>
      </c>
      <c r="I28145" s="33" t="s">
        <v>51</v>
      </c>
      <c r="J28145" s="42">
        <v>46085</v>
      </c>
      <c r="K28145" s="33" t="s">
        <v>22</v>
      </c>
    </row>
    <row r="28146" spans="1:11">
      <c r="A28146" s="30" t="s">
        <v>61721</v>
      </c>
      <c r="B28146" s="30" t="s">
        <v>61722</v>
      </c>
      <c r="C28146" s="30" t="s">
        <v>3665</v>
      </c>
      <c r="D28146" s="30" t="s">
        <v>17</v>
      </c>
      <c r="E28146" s="30" t="s">
        <v>18</v>
      </c>
      <c r="F28146" s="30" t="s">
        <v>19</v>
      </c>
      <c r="G28146" s="30" t="s">
        <v>7780</v>
      </c>
      <c r="H28146" s="32">
        <v>412</v>
      </c>
      <c r="I28146" s="30" t="s">
        <v>51</v>
      </c>
      <c r="J28146" s="41">
        <v>46023</v>
      </c>
      <c r="K28146" s="30" t="s">
        <v>22</v>
      </c>
    </row>
    <row r="28147" spans="1:11">
      <c r="A28147" s="33" t="s">
        <v>61723</v>
      </c>
      <c r="B28147" s="33" t="s">
        <v>61724</v>
      </c>
      <c r="C28147" s="33" t="s">
        <v>36890</v>
      </c>
      <c r="D28147" s="33" t="s">
        <v>17</v>
      </c>
      <c r="E28147" s="33" t="s">
        <v>26</v>
      </c>
      <c r="F28147" s="33" t="s">
        <v>27</v>
      </c>
      <c r="G28147" s="33" t="s">
        <v>140</v>
      </c>
      <c r="H28147" s="35">
        <v>15</v>
      </c>
      <c r="I28147" s="33" t="s">
        <v>51</v>
      </c>
      <c r="J28147" s="42">
        <v>46108</v>
      </c>
      <c r="K28147" s="33" t="s">
        <v>22</v>
      </c>
    </row>
    <row r="28148" spans="1:11">
      <c r="A28148" s="30" t="s">
        <v>61725</v>
      </c>
      <c r="B28148" s="30" t="s">
        <v>61726</v>
      </c>
      <c r="C28148" s="30" t="s">
        <v>109</v>
      </c>
      <c r="D28148" s="30" t="s">
        <v>17</v>
      </c>
      <c r="E28148" s="30" t="s">
        <v>18</v>
      </c>
      <c r="F28148" s="30" t="s">
        <v>19</v>
      </c>
      <c r="G28148" s="30" t="s">
        <v>140</v>
      </c>
      <c r="H28148" s="32">
        <v>5700</v>
      </c>
      <c r="I28148" s="30" t="s">
        <v>51</v>
      </c>
      <c r="J28148" s="41">
        <v>46153</v>
      </c>
      <c r="K28148" s="30" t="s">
        <v>22</v>
      </c>
    </row>
    <row r="28149" spans="1:11">
      <c r="A28149" s="33" t="s">
        <v>61727</v>
      </c>
      <c r="B28149" s="33" t="s">
        <v>61728</v>
      </c>
      <c r="C28149" s="33" t="s">
        <v>9577</v>
      </c>
      <c r="D28149" s="33" t="s">
        <v>17</v>
      </c>
      <c r="E28149" s="33" t="s">
        <v>31</v>
      </c>
      <c r="F28149" s="33" t="s">
        <v>32</v>
      </c>
      <c r="G28149" s="33" t="s">
        <v>7780</v>
      </c>
      <c r="H28149" s="35">
        <v>10</v>
      </c>
      <c r="I28149" s="33" t="s">
        <v>51</v>
      </c>
      <c r="J28149" s="42">
        <v>46158</v>
      </c>
      <c r="K28149" s="33" t="s">
        <v>22</v>
      </c>
    </row>
    <row r="28150" spans="1:11">
      <c r="A28150" s="30" t="s">
        <v>61729</v>
      </c>
      <c r="B28150" s="30" t="s">
        <v>61730</v>
      </c>
      <c r="C28150" s="30" t="s">
        <v>3013</v>
      </c>
      <c r="D28150" s="30" t="s">
        <v>17</v>
      </c>
      <c r="E28150" s="30" t="s">
        <v>26</v>
      </c>
      <c r="F28150" s="30" t="s">
        <v>27</v>
      </c>
      <c r="G28150" s="30" t="s">
        <v>140</v>
      </c>
      <c r="H28150" s="32">
        <v>9</v>
      </c>
      <c r="I28150" s="30" t="s">
        <v>51</v>
      </c>
      <c r="J28150" s="41">
        <v>46177</v>
      </c>
      <c r="K28150" s="30" t="s">
        <v>22</v>
      </c>
    </row>
    <row r="28151" spans="1:11">
      <c r="A28151" s="33" t="s">
        <v>61731</v>
      </c>
      <c r="B28151" s="33" t="s">
        <v>61732</v>
      </c>
      <c r="C28151" s="33" t="s">
        <v>19745</v>
      </c>
      <c r="D28151" s="33" t="s">
        <v>17</v>
      </c>
      <c r="E28151" s="33" t="s">
        <v>18</v>
      </c>
      <c r="F28151" s="33" t="s">
        <v>19</v>
      </c>
      <c r="G28151" s="33" t="s">
        <v>140</v>
      </c>
      <c r="H28151" s="35">
        <v>250</v>
      </c>
      <c r="I28151" s="33" t="s">
        <v>51</v>
      </c>
      <c r="J28151" s="42">
        <v>46079</v>
      </c>
      <c r="K28151" s="33" t="s">
        <v>22</v>
      </c>
    </row>
    <row r="28152" spans="1:11">
      <c r="A28152" s="30" t="s">
        <v>61733</v>
      </c>
      <c r="B28152" s="30" t="s">
        <v>61734</v>
      </c>
      <c r="C28152" s="30" t="s">
        <v>136</v>
      </c>
      <c r="D28152" s="30" t="s">
        <v>17</v>
      </c>
      <c r="E28152" s="30" t="s">
        <v>212</v>
      </c>
      <c r="F28152" s="30" t="s">
        <v>213</v>
      </c>
      <c r="G28152" s="30" t="s">
        <v>7780</v>
      </c>
      <c r="H28152" s="32">
        <v>14</v>
      </c>
      <c r="I28152" s="30" t="s">
        <v>51</v>
      </c>
      <c r="J28152" s="41">
        <v>46174</v>
      </c>
      <c r="K28152" s="30" t="s">
        <v>22</v>
      </c>
    </row>
    <row r="28153" spans="1:11">
      <c r="A28153" s="33" t="s">
        <v>61735</v>
      </c>
      <c r="B28153" s="33" t="s">
        <v>61736</v>
      </c>
      <c r="C28153" s="33" t="s">
        <v>96</v>
      </c>
      <c r="D28153" s="33" t="s">
        <v>17</v>
      </c>
      <c r="E28153" s="33" t="s">
        <v>26</v>
      </c>
      <c r="F28153" s="33" t="s">
        <v>27</v>
      </c>
      <c r="G28153" s="33" t="s">
        <v>158</v>
      </c>
      <c r="H28153" s="35">
        <v>9</v>
      </c>
      <c r="I28153" s="33" t="s">
        <v>21</v>
      </c>
      <c r="J28153" s="42">
        <v>46160</v>
      </c>
      <c r="K28153" s="33" t="s">
        <v>22</v>
      </c>
    </row>
    <row r="28154" spans="1:11">
      <c r="A28154" s="30" t="s">
        <v>61737</v>
      </c>
      <c r="B28154" s="30" t="s">
        <v>61738</v>
      </c>
      <c r="C28154" s="30" t="s">
        <v>61739</v>
      </c>
      <c r="D28154" s="30" t="s">
        <v>17</v>
      </c>
      <c r="E28154" s="30" t="s">
        <v>26</v>
      </c>
      <c r="F28154" s="30" t="s">
        <v>27</v>
      </c>
      <c r="G28154" s="30" t="s">
        <v>140</v>
      </c>
      <c r="H28154" s="32">
        <v>55</v>
      </c>
      <c r="I28154" s="30" t="s">
        <v>51</v>
      </c>
      <c r="J28154" s="41">
        <v>46030</v>
      </c>
      <c r="K28154" s="30" t="s">
        <v>22</v>
      </c>
    </row>
    <row r="28155" spans="1:11">
      <c r="A28155" s="33" t="s">
        <v>61740</v>
      </c>
      <c r="B28155" s="33" t="s">
        <v>61741</v>
      </c>
      <c r="C28155" s="33" t="s">
        <v>45739</v>
      </c>
      <c r="D28155" s="33" t="s">
        <v>17</v>
      </c>
      <c r="E28155" s="33" t="s">
        <v>18</v>
      </c>
      <c r="F28155" s="33" t="s">
        <v>19</v>
      </c>
      <c r="G28155" s="33" t="s">
        <v>140</v>
      </c>
      <c r="H28155" s="35">
        <v>333</v>
      </c>
      <c r="I28155" s="33" t="s">
        <v>51</v>
      </c>
      <c r="J28155" s="42">
        <v>46178</v>
      </c>
      <c r="K28155" s="33" t="s">
        <v>22</v>
      </c>
    </row>
    <row r="28156" spans="1:11">
      <c r="A28156" s="30" t="s">
        <v>61742</v>
      </c>
      <c r="B28156" s="30" t="s">
        <v>61743</v>
      </c>
      <c r="C28156" s="30" t="s">
        <v>6085</v>
      </c>
      <c r="D28156" s="30" t="s">
        <v>17</v>
      </c>
      <c r="E28156" s="30" t="s">
        <v>18</v>
      </c>
      <c r="F28156" s="30" t="s">
        <v>19</v>
      </c>
      <c r="G28156" s="30" t="s">
        <v>140</v>
      </c>
      <c r="H28156" s="32">
        <v>146</v>
      </c>
      <c r="I28156" s="30" t="s">
        <v>51</v>
      </c>
      <c r="J28156" s="41">
        <v>46156</v>
      </c>
      <c r="K28156" s="30" t="s">
        <v>22</v>
      </c>
    </row>
    <row r="28157" spans="1:11">
      <c r="A28157" s="33" t="s">
        <v>61744</v>
      </c>
      <c r="B28157" s="33" t="s">
        <v>61745</v>
      </c>
      <c r="C28157" s="33" t="s">
        <v>7035</v>
      </c>
      <c r="D28157" s="33" t="s">
        <v>17</v>
      </c>
      <c r="E28157" s="33" t="s">
        <v>18</v>
      </c>
      <c r="F28157" s="33" t="s">
        <v>19</v>
      </c>
      <c r="G28157" s="33" t="s">
        <v>140</v>
      </c>
      <c r="H28157" s="35">
        <v>344</v>
      </c>
      <c r="I28157" s="33" t="s">
        <v>51</v>
      </c>
      <c r="J28157" s="42">
        <v>46199</v>
      </c>
      <c r="K28157" s="33" t="s">
        <v>22</v>
      </c>
    </row>
    <row r="28158" spans="1:11">
      <c r="A28158" s="30" t="s">
        <v>61746</v>
      </c>
      <c r="B28158" s="30" t="s">
        <v>61747</v>
      </c>
      <c r="C28158" s="30" t="s">
        <v>54364</v>
      </c>
      <c r="D28158" s="30" t="s">
        <v>17</v>
      </c>
      <c r="E28158" s="30" t="s">
        <v>26</v>
      </c>
      <c r="F28158" s="30" t="s">
        <v>27</v>
      </c>
      <c r="G28158" s="30" t="s">
        <v>140</v>
      </c>
      <c r="H28158" s="32">
        <v>48</v>
      </c>
      <c r="I28158" s="30" t="s">
        <v>51</v>
      </c>
      <c r="J28158" s="41">
        <v>46120</v>
      </c>
      <c r="K28158" s="30" t="s">
        <v>22</v>
      </c>
    </row>
    <row r="28159" spans="1:11">
      <c r="A28159" s="33" t="s">
        <v>61748</v>
      </c>
      <c r="B28159" s="33" t="s">
        <v>61749</v>
      </c>
      <c r="C28159" s="33" t="s">
        <v>3757</v>
      </c>
      <c r="D28159" s="33" t="s">
        <v>17</v>
      </c>
      <c r="E28159" s="33" t="s">
        <v>26</v>
      </c>
      <c r="F28159" s="33" t="s">
        <v>27</v>
      </c>
      <c r="G28159" s="33" t="s">
        <v>140</v>
      </c>
      <c r="H28159" s="35">
        <v>78</v>
      </c>
      <c r="I28159" s="33" t="s">
        <v>51</v>
      </c>
      <c r="J28159" s="42">
        <v>46073</v>
      </c>
      <c r="K28159" s="33" t="s">
        <v>22</v>
      </c>
    </row>
    <row r="28160" spans="1:11">
      <c r="A28160" s="30" t="s">
        <v>61750</v>
      </c>
      <c r="B28160" s="30" t="s">
        <v>61751</v>
      </c>
      <c r="C28160" s="30" t="s">
        <v>706</v>
      </c>
      <c r="D28160" s="30" t="s">
        <v>17</v>
      </c>
      <c r="E28160" s="30" t="s">
        <v>31</v>
      </c>
      <c r="F28160" s="30" t="s">
        <v>32</v>
      </c>
      <c r="G28160" s="30" t="s">
        <v>140</v>
      </c>
      <c r="H28160" s="32">
        <v>180</v>
      </c>
      <c r="I28160" s="30" t="s">
        <v>51</v>
      </c>
      <c r="J28160" s="41">
        <v>46064</v>
      </c>
      <c r="K28160" s="30" t="s">
        <v>22</v>
      </c>
    </row>
    <row r="28161" spans="1:11">
      <c r="A28161" s="33" t="s">
        <v>61752</v>
      </c>
      <c r="B28161" s="33" t="s">
        <v>61753</v>
      </c>
      <c r="C28161" s="33" t="s">
        <v>27241</v>
      </c>
      <c r="D28161" s="33" t="s">
        <v>17</v>
      </c>
      <c r="E28161" s="33" t="s">
        <v>18</v>
      </c>
      <c r="F28161" s="33" t="s">
        <v>19</v>
      </c>
      <c r="G28161" s="33" t="s">
        <v>140</v>
      </c>
      <c r="H28161" s="35">
        <v>900</v>
      </c>
      <c r="I28161" s="33" t="s">
        <v>51</v>
      </c>
      <c r="J28161" s="42">
        <v>46035</v>
      </c>
      <c r="K28161" s="33" t="s">
        <v>22</v>
      </c>
    </row>
    <row r="28162" spans="1:11">
      <c r="A28162" s="30" t="s">
        <v>61754</v>
      </c>
      <c r="B28162" s="30" t="s">
        <v>61755</v>
      </c>
      <c r="C28162" s="30" t="s">
        <v>149</v>
      </c>
      <c r="D28162" s="30" t="s">
        <v>17</v>
      </c>
      <c r="E28162" s="30" t="s">
        <v>26</v>
      </c>
      <c r="F28162" s="30" t="s">
        <v>27</v>
      </c>
      <c r="G28162" s="30" t="s">
        <v>158</v>
      </c>
      <c r="H28162" s="32">
        <v>6</v>
      </c>
      <c r="I28162" s="30" t="s">
        <v>21</v>
      </c>
      <c r="J28162" s="41">
        <v>46123</v>
      </c>
      <c r="K28162" s="30" t="s">
        <v>22</v>
      </c>
    </row>
    <row r="28163" spans="1:11">
      <c r="A28163" s="33" t="s">
        <v>61756</v>
      </c>
      <c r="B28163" s="33" t="s">
        <v>61757</v>
      </c>
      <c r="C28163" s="33" t="s">
        <v>318</v>
      </c>
      <c r="D28163" s="33" t="s">
        <v>17</v>
      </c>
      <c r="E28163" s="33" t="s">
        <v>18</v>
      </c>
      <c r="F28163" s="33" t="s">
        <v>19</v>
      </c>
      <c r="G28163" s="33" t="s">
        <v>140</v>
      </c>
      <c r="H28163" s="35">
        <v>300</v>
      </c>
      <c r="I28163" s="33" t="s">
        <v>51</v>
      </c>
      <c r="J28163" s="42">
        <v>46153</v>
      </c>
      <c r="K28163" s="33" t="s">
        <v>22</v>
      </c>
    </row>
    <row r="28164" spans="1:11">
      <c r="A28164" s="30" t="s">
        <v>61758</v>
      </c>
      <c r="B28164" s="30" t="s">
        <v>61759</v>
      </c>
      <c r="C28164" s="30" t="s">
        <v>647</v>
      </c>
      <c r="D28164" s="30" t="s">
        <v>17</v>
      </c>
      <c r="E28164" s="30" t="s">
        <v>45</v>
      </c>
      <c r="F28164" s="30" t="s">
        <v>46</v>
      </c>
      <c r="G28164" s="30" t="s">
        <v>140</v>
      </c>
      <c r="H28164" s="32">
        <v>960</v>
      </c>
      <c r="I28164" s="30" t="s">
        <v>51</v>
      </c>
      <c r="J28164" s="41">
        <v>46195</v>
      </c>
      <c r="K28164" s="30" t="s">
        <v>22</v>
      </c>
    </row>
    <row r="28165" spans="1:11">
      <c r="A28165" s="33" t="s">
        <v>61760</v>
      </c>
      <c r="B28165" s="33" t="s">
        <v>61761</v>
      </c>
      <c r="C28165" s="33" t="s">
        <v>61762</v>
      </c>
      <c r="D28165" s="33" t="s">
        <v>17</v>
      </c>
      <c r="E28165" s="33" t="s">
        <v>31</v>
      </c>
      <c r="F28165" s="33" t="s">
        <v>32</v>
      </c>
      <c r="G28165" s="33" t="s">
        <v>140</v>
      </c>
      <c r="H28165" s="35">
        <v>200</v>
      </c>
      <c r="I28165" s="33" t="s">
        <v>51</v>
      </c>
      <c r="J28165" s="42">
        <v>46231</v>
      </c>
      <c r="K28165" s="33" t="s">
        <v>22</v>
      </c>
    </row>
    <row r="28166" spans="1:11">
      <c r="A28166" s="30" t="s">
        <v>61763</v>
      </c>
      <c r="B28166" s="30" t="s">
        <v>61764</v>
      </c>
      <c r="C28166" s="30" t="s">
        <v>149</v>
      </c>
      <c r="D28166" s="30" t="s">
        <v>17</v>
      </c>
      <c r="E28166" s="30" t="s">
        <v>31</v>
      </c>
      <c r="F28166" s="30" t="s">
        <v>32</v>
      </c>
      <c r="G28166" s="30" t="s">
        <v>140</v>
      </c>
      <c r="H28166" s="32">
        <v>60</v>
      </c>
      <c r="I28166" s="30" t="s">
        <v>51</v>
      </c>
      <c r="J28166" s="41">
        <v>46122</v>
      </c>
      <c r="K28166" s="30" t="s">
        <v>22</v>
      </c>
    </row>
    <row r="28167" spans="1:11">
      <c r="A28167" s="33" t="s">
        <v>61765</v>
      </c>
      <c r="B28167" s="33" t="s">
        <v>61766</v>
      </c>
      <c r="C28167" s="33" t="s">
        <v>61767</v>
      </c>
      <c r="D28167" s="33" t="s">
        <v>17</v>
      </c>
      <c r="E28167" s="33" t="s">
        <v>26</v>
      </c>
      <c r="F28167" s="33" t="s">
        <v>27</v>
      </c>
      <c r="G28167" s="33" t="s">
        <v>140</v>
      </c>
      <c r="H28167" s="35">
        <v>290</v>
      </c>
      <c r="I28167" s="33" t="s">
        <v>51</v>
      </c>
      <c r="J28167" s="42">
        <v>46076</v>
      </c>
      <c r="K28167" s="33" t="s">
        <v>22</v>
      </c>
    </row>
    <row r="28168" spans="1:11">
      <c r="A28168" s="30" t="s">
        <v>61768</v>
      </c>
      <c r="B28168" s="30" t="s">
        <v>61769</v>
      </c>
      <c r="C28168" s="30" t="s">
        <v>61770</v>
      </c>
      <c r="D28168" s="30" t="s">
        <v>17</v>
      </c>
      <c r="E28168" s="30" t="s">
        <v>26</v>
      </c>
      <c r="F28168" s="30" t="s">
        <v>27</v>
      </c>
      <c r="G28168" s="30" t="s">
        <v>140</v>
      </c>
      <c r="H28168" s="32">
        <v>100</v>
      </c>
      <c r="I28168" s="30" t="s">
        <v>51</v>
      </c>
      <c r="J28168" s="41">
        <v>46059</v>
      </c>
      <c r="K28168" s="30" t="s">
        <v>22</v>
      </c>
    </row>
    <row r="28169" spans="1:11">
      <c r="A28169" s="33" t="s">
        <v>61771</v>
      </c>
      <c r="B28169" s="33" t="s">
        <v>61772</v>
      </c>
      <c r="C28169" s="33" t="s">
        <v>14028</v>
      </c>
      <c r="D28169" s="33" t="s">
        <v>17</v>
      </c>
      <c r="E28169" s="33" t="s">
        <v>31</v>
      </c>
      <c r="F28169" s="33" t="s">
        <v>32</v>
      </c>
      <c r="G28169" s="33" t="s">
        <v>7780</v>
      </c>
      <c r="H28169" s="35">
        <v>44</v>
      </c>
      <c r="I28169" s="33" t="s">
        <v>51</v>
      </c>
      <c r="J28169" s="42">
        <v>46228</v>
      </c>
      <c r="K28169" s="33" t="s">
        <v>22</v>
      </c>
    </row>
    <row r="28170" spans="1:11">
      <c r="A28170" s="30" t="s">
        <v>61773</v>
      </c>
      <c r="B28170" s="30" t="s">
        <v>61774</v>
      </c>
      <c r="C28170" s="30" t="s">
        <v>11868</v>
      </c>
      <c r="D28170" s="30" t="s">
        <v>17</v>
      </c>
      <c r="E28170" s="30" t="s">
        <v>18</v>
      </c>
      <c r="F28170" s="30" t="s">
        <v>19</v>
      </c>
      <c r="G28170" s="30" t="s">
        <v>7780</v>
      </c>
      <c r="H28170" s="32">
        <v>300</v>
      </c>
      <c r="I28170" s="30" t="s">
        <v>51</v>
      </c>
      <c r="J28170" s="41">
        <v>46113</v>
      </c>
      <c r="K28170" s="30" t="s">
        <v>22</v>
      </c>
    </row>
    <row r="28171" spans="1:11">
      <c r="A28171" s="33" t="s">
        <v>61775</v>
      </c>
      <c r="B28171" s="33" t="s">
        <v>61776</v>
      </c>
      <c r="C28171" s="33" t="s">
        <v>44</v>
      </c>
      <c r="D28171" s="33" t="s">
        <v>17</v>
      </c>
      <c r="E28171" s="33" t="s">
        <v>31</v>
      </c>
      <c r="F28171" s="33" t="s">
        <v>32</v>
      </c>
      <c r="G28171" s="33" t="s">
        <v>158</v>
      </c>
      <c r="H28171" s="35">
        <v>120</v>
      </c>
      <c r="I28171" s="33" t="s">
        <v>21</v>
      </c>
      <c r="J28171" s="42">
        <v>46097</v>
      </c>
      <c r="K28171" s="33" t="s">
        <v>22</v>
      </c>
    </row>
    <row r="28172" spans="1:11">
      <c r="A28172" s="30" t="s">
        <v>61777</v>
      </c>
      <c r="B28172" s="30" t="s">
        <v>61778</v>
      </c>
      <c r="C28172" s="30" t="s">
        <v>40898</v>
      </c>
      <c r="D28172" s="30" t="s">
        <v>17</v>
      </c>
      <c r="E28172" s="30" t="s">
        <v>31</v>
      </c>
      <c r="F28172" s="30" t="s">
        <v>32</v>
      </c>
      <c r="G28172" s="30" t="s">
        <v>140</v>
      </c>
      <c r="H28172" s="32">
        <v>85</v>
      </c>
      <c r="I28172" s="30" t="s">
        <v>51</v>
      </c>
      <c r="J28172" s="41">
        <v>46128</v>
      </c>
      <c r="K28172" s="30" t="s">
        <v>22</v>
      </c>
    </row>
    <row r="28173" spans="1:11">
      <c r="A28173" s="33" t="s">
        <v>61779</v>
      </c>
      <c r="B28173" s="33" t="s">
        <v>61780</v>
      </c>
      <c r="C28173" s="33" t="s">
        <v>1165</v>
      </c>
      <c r="D28173" s="33" t="s">
        <v>17</v>
      </c>
      <c r="E28173" s="33" t="s">
        <v>31</v>
      </c>
      <c r="F28173" s="33" t="s">
        <v>32</v>
      </c>
      <c r="G28173" s="33" t="s">
        <v>7780</v>
      </c>
      <c r="H28173" s="35">
        <v>170</v>
      </c>
      <c r="I28173" s="33" t="s">
        <v>51</v>
      </c>
      <c r="J28173" s="42">
        <v>46216</v>
      </c>
      <c r="K28173" s="33" t="s">
        <v>22</v>
      </c>
    </row>
    <row r="28174" spans="1:11">
      <c r="A28174" s="30" t="s">
        <v>61781</v>
      </c>
      <c r="B28174" s="30" t="s">
        <v>61782</v>
      </c>
      <c r="C28174" s="30" t="s">
        <v>96</v>
      </c>
      <c r="D28174" s="30" t="s">
        <v>17</v>
      </c>
      <c r="E28174" s="30" t="s">
        <v>26</v>
      </c>
      <c r="F28174" s="30" t="s">
        <v>27</v>
      </c>
      <c r="G28174" s="30" t="s">
        <v>20</v>
      </c>
      <c r="H28174" s="32">
        <v>16</v>
      </c>
      <c r="I28174" s="30" t="s">
        <v>21</v>
      </c>
      <c r="J28174" s="41">
        <v>46122</v>
      </c>
      <c r="K28174" s="30" t="s">
        <v>22</v>
      </c>
    </row>
    <row r="28175" spans="1:11">
      <c r="A28175" s="33" t="s">
        <v>61783</v>
      </c>
      <c r="B28175" s="33" t="s">
        <v>61784</v>
      </c>
      <c r="C28175" s="33" t="s">
        <v>10459</v>
      </c>
      <c r="D28175" s="33" t="s">
        <v>17</v>
      </c>
      <c r="E28175" s="33" t="s">
        <v>26</v>
      </c>
      <c r="F28175" s="33" t="s">
        <v>27</v>
      </c>
      <c r="G28175" s="33" t="s">
        <v>140</v>
      </c>
      <c r="H28175" s="35">
        <v>8</v>
      </c>
      <c r="I28175" s="33" t="s">
        <v>51</v>
      </c>
      <c r="J28175" s="42">
        <v>46052</v>
      </c>
      <c r="K28175" s="33" t="s">
        <v>22</v>
      </c>
    </row>
    <row r="28176" spans="1:11">
      <c r="A28176" s="30" t="s">
        <v>61785</v>
      </c>
      <c r="B28176" s="30" t="s">
        <v>61786</v>
      </c>
      <c r="C28176" s="30" t="s">
        <v>2313</v>
      </c>
      <c r="D28176" s="30" t="s">
        <v>17</v>
      </c>
      <c r="E28176" s="30" t="s">
        <v>67</v>
      </c>
      <c r="F28176" s="30" t="s">
        <v>68</v>
      </c>
      <c r="G28176" s="30" t="s">
        <v>140</v>
      </c>
      <c r="H28176" s="32">
        <v>260</v>
      </c>
      <c r="I28176" s="30" t="s">
        <v>51</v>
      </c>
      <c r="J28176" s="41">
        <v>46141</v>
      </c>
      <c r="K28176" s="30" t="s">
        <v>22</v>
      </c>
    </row>
    <row r="28177" spans="1:11">
      <c r="A28177" s="33" t="s">
        <v>61787</v>
      </c>
      <c r="B28177" s="33" t="s">
        <v>61788</v>
      </c>
      <c r="C28177" s="33" t="s">
        <v>136</v>
      </c>
      <c r="D28177" s="33" t="s">
        <v>17</v>
      </c>
      <c r="E28177" s="33" t="s">
        <v>31</v>
      </c>
      <c r="F28177" s="33" t="s">
        <v>32</v>
      </c>
      <c r="G28177" s="33" t="s">
        <v>140</v>
      </c>
      <c r="H28177" s="35">
        <v>465</v>
      </c>
      <c r="I28177" s="33" t="s">
        <v>51</v>
      </c>
      <c r="J28177" s="42">
        <v>46066</v>
      </c>
      <c r="K28177" s="33" t="s">
        <v>22</v>
      </c>
    </row>
    <row r="28178" spans="1:11">
      <c r="A28178" s="30" t="s">
        <v>61789</v>
      </c>
      <c r="B28178" s="30" t="s">
        <v>61790</v>
      </c>
      <c r="C28178" s="30" t="s">
        <v>2709</v>
      </c>
      <c r="D28178" s="30" t="s">
        <v>17</v>
      </c>
      <c r="E28178" s="30" t="s">
        <v>26</v>
      </c>
      <c r="F28178" s="30" t="s">
        <v>27</v>
      </c>
      <c r="G28178" s="30" t="s">
        <v>7780</v>
      </c>
      <c r="H28178" s="32">
        <v>96</v>
      </c>
      <c r="I28178" s="30" t="s">
        <v>51</v>
      </c>
      <c r="J28178" s="41">
        <v>46132</v>
      </c>
      <c r="K28178" s="30" t="s">
        <v>22</v>
      </c>
    </row>
    <row r="28179" spans="1:11">
      <c r="A28179" s="33" t="s">
        <v>61791</v>
      </c>
      <c r="B28179" s="33" t="s">
        <v>61792</v>
      </c>
      <c r="C28179" s="33" t="s">
        <v>969</v>
      </c>
      <c r="D28179" s="33" t="s">
        <v>17</v>
      </c>
      <c r="E28179" s="33" t="s">
        <v>18</v>
      </c>
      <c r="F28179" s="33" t="s">
        <v>19</v>
      </c>
      <c r="G28179" s="33" t="s">
        <v>140</v>
      </c>
      <c r="H28179" s="35">
        <v>600</v>
      </c>
      <c r="I28179" s="33" t="s">
        <v>51</v>
      </c>
      <c r="J28179" s="42">
        <v>46177</v>
      </c>
      <c r="K28179" s="33" t="s">
        <v>22</v>
      </c>
    </row>
    <row r="28180" spans="1:11">
      <c r="A28180" s="30" t="s">
        <v>61793</v>
      </c>
      <c r="B28180" s="30" t="s">
        <v>61794</v>
      </c>
      <c r="C28180" s="30" t="s">
        <v>34264</v>
      </c>
      <c r="D28180" s="30" t="s">
        <v>17</v>
      </c>
      <c r="E28180" s="30" t="s">
        <v>26</v>
      </c>
      <c r="F28180" s="30" t="s">
        <v>27</v>
      </c>
      <c r="G28180" s="30" t="s">
        <v>140</v>
      </c>
      <c r="H28180" s="32">
        <v>52</v>
      </c>
      <c r="I28180" s="30" t="s">
        <v>51</v>
      </c>
      <c r="J28180" s="41">
        <v>46231</v>
      </c>
      <c r="K28180" s="30" t="s">
        <v>22</v>
      </c>
    </row>
    <row r="28181" spans="1:11">
      <c r="A28181" s="33" t="s">
        <v>61795</v>
      </c>
      <c r="B28181" s="33" t="s">
        <v>61796</v>
      </c>
      <c r="C28181" s="33" t="s">
        <v>231</v>
      </c>
      <c r="D28181" s="33" t="s">
        <v>17</v>
      </c>
      <c r="E28181" s="33" t="s">
        <v>18</v>
      </c>
      <c r="F28181" s="33" t="s">
        <v>19</v>
      </c>
      <c r="G28181" s="33" t="s">
        <v>140</v>
      </c>
      <c r="H28181" s="35">
        <v>286</v>
      </c>
      <c r="I28181" s="33" t="s">
        <v>51</v>
      </c>
      <c r="J28181" s="42">
        <v>46069</v>
      </c>
      <c r="K28181" s="33" t="s">
        <v>22</v>
      </c>
    </row>
    <row r="28182" spans="1:11">
      <c r="A28182" s="30" t="s">
        <v>61797</v>
      </c>
      <c r="B28182" s="30" t="s">
        <v>61798</v>
      </c>
      <c r="C28182" s="30" t="s">
        <v>53394</v>
      </c>
      <c r="D28182" s="30" t="s">
        <v>17</v>
      </c>
      <c r="E28182" s="30" t="s">
        <v>26</v>
      </c>
      <c r="F28182" s="30" t="s">
        <v>27</v>
      </c>
      <c r="G28182" s="30" t="s">
        <v>7780</v>
      </c>
      <c r="H28182" s="32">
        <v>66</v>
      </c>
      <c r="I28182" s="30" t="s">
        <v>51</v>
      </c>
      <c r="J28182" s="41">
        <v>46161</v>
      </c>
      <c r="K28182" s="30" t="s">
        <v>22</v>
      </c>
    </row>
    <row r="28183" spans="1:11">
      <c r="A28183" s="33" t="s">
        <v>61799</v>
      </c>
      <c r="B28183" s="33" t="s">
        <v>61800</v>
      </c>
      <c r="C28183" s="33" t="s">
        <v>31562</v>
      </c>
      <c r="D28183" s="33" t="s">
        <v>17</v>
      </c>
      <c r="E28183" s="33" t="s">
        <v>18</v>
      </c>
      <c r="F28183" s="33" t="s">
        <v>19</v>
      </c>
      <c r="G28183" s="33" t="s">
        <v>7780</v>
      </c>
      <c r="H28183" s="35">
        <v>450</v>
      </c>
      <c r="I28183" s="33" t="s">
        <v>51</v>
      </c>
      <c r="J28183" s="42">
        <v>46112</v>
      </c>
      <c r="K28183" s="33" t="s">
        <v>22</v>
      </c>
    </row>
    <row r="28184" spans="1:11">
      <c r="A28184" s="30" t="s">
        <v>61801</v>
      </c>
      <c r="B28184" s="30" t="s">
        <v>61802</v>
      </c>
      <c r="C28184" s="30" t="s">
        <v>11899</v>
      </c>
      <c r="D28184" s="30" t="s">
        <v>17</v>
      </c>
      <c r="E28184" s="30" t="s">
        <v>18</v>
      </c>
      <c r="F28184" s="30" t="s">
        <v>19</v>
      </c>
      <c r="G28184" s="30" t="s">
        <v>140</v>
      </c>
      <c r="H28184" s="32">
        <v>462</v>
      </c>
      <c r="I28184" s="30" t="s">
        <v>51</v>
      </c>
      <c r="J28184" s="41">
        <v>46065</v>
      </c>
      <c r="K28184" s="30" t="s">
        <v>22</v>
      </c>
    </row>
    <row r="28185" spans="1:11">
      <c r="A28185" s="33" t="s">
        <v>61803</v>
      </c>
      <c r="B28185" s="33" t="s">
        <v>61804</v>
      </c>
      <c r="C28185" s="33" t="s">
        <v>109</v>
      </c>
      <c r="D28185" s="33" t="s">
        <v>17</v>
      </c>
      <c r="E28185" s="33" t="s">
        <v>67</v>
      </c>
      <c r="F28185" s="33" t="s">
        <v>68</v>
      </c>
      <c r="G28185" s="33" t="s">
        <v>112</v>
      </c>
      <c r="H28185" s="35">
        <v>0</v>
      </c>
      <c r="I28185" s="33" t="s">
        <v>21</v>
      </c>
      <c r="J28185" s="42">
        <v>46203</v>
      </c>
      <c r="K28185" s="33" t="s">
        <v>22</v>
      </c>
    </row>
    <row r="28186" spans="1:11">
      <c r="A28186" s="30" t="s">
        <v>61805</v>
      </c>
      <c r="B28186" s="30" t="s">
        <v>61806</v>
      </c>
      <c r="C28186" s="30" t="s">
        <v>3610</v>
      </c>
      <c r="D28186" s="30" t="s">
        <v>17</v>
      </c>
      <c r="E28186" s="30" t="s">
        <v>26</v>
      </c>
      <c r="F28186" s="30" t="s">
        <v>27</v>
      </c>
      <c r="G28186" s="30" t="s">
        <v>140</v>
      </c>
      <c r="H28186" s="32">
        <v>32</v>
      </c>
      <c r="I28186" s="30" t="s">
        <v>51</v>
      </c>
      <c r="J28186" s="41">
        <v>46151</v>
      </c>
      <c r="K28186" s="30" t="s">
        <v>22</v>
      </c>
    </row>
    <row r="28187" spans="1:11">
      <c r="A28187" s="33" t="s">
        <v>61807</v>
      </c>
      <c r="B28187" s="33" t="s">
        <v>61808</v>
      </c>
      <c r="C28187" s="33" t="s">
        <v>6771</v>
      </c>
      <c r="D28187" s="33" t="s">
        <v>17</v>
      </c>
      <c r="E28187" s="33" t="s">
        <v>26</v>
      </c>
      <c r="F28187" s="33" t="s">
        <v>27</v>
      </c>
      <c r="G28187" s="33" t="s">
        <v>140</v>
      </c>
      <c r="H28187" s="35">
        <v>5</v>
      </c>
      <c r="I28187" s="33" t="s">
        <v>51</v>
      </c>
      <c r="J28187" s="42">
        <v>46055</v>
      </c>
      <c r="K28187" s="33" t="s">
        <v>22</v>
      </c>
    </row>
    <row r="28188" spans="1:11">
      <c r="A28188" s="30" t="s">
        <v>61809</v>
      </c>
      <c r="B28188" s="30" t="s">
        <v>61810</v>
      </c>
      <c r="C28188" s="30" t="s">
        <v>20409</v>
      </c>
      <c r="D28188" s="30" t="s">
        <v>17</v>
      </c>
      <c r="E28188" s="30" t="s">
        <v>212</v>
      </c>
      <c r="F28188" s="30" t="s">
        <v>213</v>
      </c>
      <c r="G28188" s="30" t="s">
        <v>140</v>
      </c>
      <c r="H28188" s="32">
        <v>48</v>
      </c>
      <c r="I28188" s="30" t="s">
        <v>51</v>
      </c>
      <c r="J28188" s="41">
        <v>46205</v>
      </c>
      <c r="K28188" s="30" t="s">
        <v>22</v>
      </c>
    </row>
    <row r="28189" spans="1:11">
      <c r="A28189" s="33" t="s">
        <v>61811</v>
      </c>
      <c r="B28189" s="33" t="s">
        <v>61812</v>
      </c>
      <c r="C28189" s="33" t="s">
        <v>43650</v>
      </c>
      <c r="D28189" s="33" t="s">
        <v>17</v>
      </c>
      <c r="E28189" s="33" t="s">
        <v>31</v>
      </c>
      <c r="F28189" s="33" t="s">
        <v>32</v>
      </c>
      <c r="G28189" s="33" t="s">
        <v>7780</v>
      </c>
      <c r="H28189" s="35">
        <v>30</v>
      </c>
      <c r="I28189" s="33" t="s">
        <v>51</v>
      </c>
      <c r="J28189" s="42">
        <v>46188</v>
      </c>
      <c r="K28189" s="33" t="s">
        <v>22</v>
      </c>
    </row>
    <row r="28190" spans="1:11">
      <c r="A28190" s="30" t="s">
        <v>61813</v>
      </c>
      <c r="B28190" s="30" t="s">
        <v>61814</v>
      </c>
      <c r="C28190" s="30" t="s">
        <v>60</v>
      </c>
      <c r="D28190" s="30" t="s">
        <v>17</v>
      </c>
      <c r="E28190" s="30" t="s">
        <v>31</v>
      </c>
      <c r="F28190" s="30" t="s">
        <v>32</v>
      </c>
      <c r="G28190" s="30" t="s">
        <v>140</v>
      </c>
      <c r="H28190" s="32">
        <v>30</v>
      </c>
      <c r="I28190" s="30" t="s">
        <v>51</v>
      </c>
      <c r="J28190" s="41">
        <v>46155</v>
      </c>
      <c r="K28190" s="30" t="s">
        <v>22</v>
      </c>
    </row>
    <row r="28191" spans="1:11">
      <c r="A28191" s="33" t="s">
        <v>61815</v>
      </c>
      <c r="B28191" s="33" t="s">
        <v>61816</v>
      </c>
      <c r="C28191" s="33" t="s">
        <v>28153</v>
      </c>
      <c r="D28191" s="33" t="s">
        <v>17</v>
      </c>
      <c r="E28191" s="33" t="s">
        <v>18</v>
      </c>
      <c r="F28191" s="33" t="s">
        <v>19</v>
      </c>
      <c r="G28191" s="33" t="s">
        <v>140</v>
      </c>
      <c r="H28191" s="35">
        <v>376</v>
      </c>
      <c r="I28191" s="33" t="s">
        <v>51</v>
      </c>
      <c r="J28191" s="42">
        <v>46098</v>
      </c>
      <c r="K28191" s="33" t="s">
        <v>22</v>
      </c>
    </row>
    <row r="28192" spans="1:11">
      <c r="A28192" s="30" t="s">
        <v>61817</v>
      </c>
      <c r="B28192" s="30" t="s">
        <v>61818</v>
      </c>
      <c r="C28192" s="30" t="s">
        <v>93</v>
      </c>
      <c r="D28192" s="30" t="s">
        <v>17</v>
      </c>
      <c r="E28192" s="30" t="s">
        <v>26</v>
      </c>
      <c r="F28192" s="30" t="s">
        <v>27</v>
      </c>
      <c r="G28192" s="30" t="s">
        <v>158</v>
      </c>
      <c r="H28192" s="32">
        <v>12</v>
      </c>
      <c r="I28192" s="30" t="s">
        <v>51</v>
      </c>
      <c r="J28192" s="41">
        <v>46142</v>
      </c>
      <c r="K28192" s="30" t="s">
        <v>22</v>
      </c>
    </row>
    <row r="28193" spans="1:11">
      <c r="A28193" s="33" t="s">
        <v>61819</v>
      </c>
      <c r="B28193" s="33" t="s">
        <v>61820</v>
      </c>
      <c r="C28193" s="33" t="s">
        <v>6505</v>
      </c>
      <c r="D28193" s="33" t="s">
        <v>17</v>
      </c>
      <c r="E28193" s="33" t="s">
        <v>31</v>
      </c>
      <c r="F28193" s="33" t="s">
        <v>32</v>
      </c>
      <c r="G28193" s="33" t="s">
        <v>140</v>
      </c>
      <c r="H28193" s="35">
        <v>30</v>
      </c>
      <c r="I28193" s="33" t="s">
        <v>51</v>
      </c>
      <c r="J28193" s="42">
        <v>46231</v>
      </c>
      <c r="K28193" s="33" t="s">
        <v>22</v>
      </c>
    </row>
    <row r="28194" spans="1:11">
      <c r="A28194" s="30" t="s">
        <v>61821</v>
      </c>
      <c r="B28194" s="30" t="s">
        <v>61822</v>
      </c>
      <c r="C28194" s="30" t="s">
        <v>190</v>
      </c>
      <c r="D28194" s="30" t="s">
        <v>17</v>
      </c>
      <c r="E28194" s="30" t="s">
        <v>18</v>
      </c>
      <c r="F28194" s="30" t="s">
        <v>19</v>
      </c>
      <c r="G28194" s="30" t="s">
        <v>140</v>
      </c>
      <c r="H28194" s="32">
        <v>600</v>
      </c>
      <c r="I28194" s="30" t="s">
        <v>51</v>
      </c>
      <c r="J28194" s="41">
        <v>46211</v>
      </c>
      <c r="K28194" s="30" t="s">
        <v>22</v>
      </c>
    </row>
    <row r="28195" spans="1:11">
      <c r="A28195" s="33" t="s">
        <v>61823</v>
      </c>
      <c r="B28195" s="33" t="s">
        <v>61824</v>
      </c>
      <c r="C28195" s="33" t="s">
        <v>25632</v>
      </c>
      <c r="D28195" s="33" t="s">
        <v>17</v>
      </c>
      <c r="E28195" s="33" t="s">
        <v>67</v>
      </c>
      <c r="F28195" s="33" t="s">
        <v>68</v>
      </c>
      <c r="G28195" s="33" t="s">
        <v>7780</v>
      </c>
      <c r="H28195" s="35">
        <v>17</v>
      </c>
      <c r="I28195" s="33" t="s">
        <v>51</v>
      </c>
      <c r="J28195" s="42">
        <v>46167</v>
      </c>
      <c r="K28195" s="33" t="s">
        <v>22</v>
      </c>
    </row>
    <row r="28196" spans="1:11">
      <c r="A28196" s="30" t="s">
        <v>61825</v>
      </c>
      <c r="B28196" s="30" t="s">
        <v>61826</v>
      </c>
      <c r="C28196" s="30" t="s">
        <v>53394</v>
      </c>
      <c r="D28196" s="30" t="s">
        <v>17</v>
      </c>
      <c r="E28196" s="30" t="s">
        <v>31</v>
      </c>
      <c r="F28196" s="30" t="s">
        <v>32</v>
      </c>
      <c r="G28196" s="30" t="s">
        <v>7780</v>
      </c>
      <c r="H28196" s="32">
        <v>180</v>
      </c>
      <c r="I28196" s="30" t="s">
        <v>51</v>
      </c>
      <c r="J28196" s="41">
        <v>46032</v>
      </c>
      <c r="K28196" s="30" t="s">
        <v>22</v>
      </c>
    </row>
    <row r="28197" spans="1:11">
      <c r="A28197" s="33" t="s">
        <v>61827</v>
      </c>
      <c r="B28197" s="33" t="s">
        <v>61828</v>
      </c>
      <c r="C28197" s="33" t="s">
        <v>61829</v>
      </c>
      <c r="D28197" s="33" t="s">
        <v>17</v>
      </c>
      <c r="E28197" s="33" t="s">
        <v>26</v>
      </c>
      <c r="F28197" s="33" t="s">
        <v>27</v>
      </c>
      <c r="G28197" s="33" t="s">
        <v>140</v>
      </c>
      <c r="H28197" s="35">
        <v>8</v>
      </c>
      <c r="I28197" s="33" t="s">
        <v>51</v>
      </c>
      <c r="J28197" s="42">
        <v>46065</v>
      </c>
      <c r="K28197" s="33" t="s">
        <v>22</v>
      </c>
    </row>
    <row r="28198" spans="1:11">
      <c r="A28198" s="30" t="s">
        <v>61830</v>
      </c>
      <c r="B28198" s="30" t="s">
        <v>61831</v>
      </c>
      <c r="C28198" s="30" t="s">
        <v>29009</v>
      </c>
      <c r="D28198" s="30" t="s">
        <v>17</v>
      </c>
      <c r="E28198" s="30" t="s">
        <v>31</v>
      </c>
      <c r="F28198" s="30" t="s">
        <v>32</v>
      </c>
      <c r="G28198" s="30" t="s">
        <v>112</v>
      </c>
      <c r="H28198" s="32">
        <v>0</v>
      </c>
      <c r="I28198" s="30" t="s">
        <v>21</v>
      </c>
      <c r="J28198" s="41">
        <v>46028</v>
      </c>
      <c r="K28198" s="30" t="s">
        <v>22</v>
      </c>
    </row>
    <row r="28199" spans="1:11">
      <c r="A28199" s="33" t="s">
        <v>61832</v>
      </c>
      <c r="B28199" s="33" t="s">
        <v>61833</v>
      </c>
      <c r="C28199" s="33" t="s">
        <v>5817</v>
      </c>
      <c r="D28199" s="33" t="s">
        <v>17</v>
      </c>
      <c r="E28199" s="33" t="s">
        <v>18</v>
      </c>
      <c r="F28199" s="33" t="s">
        <v>19</v>
      </c>
      <c r="G28199" s="33" t="s">
        <v>7780</v>
      </c>
      <c r="H28199" s="35">
        <v>300</v>
      </c>
      <c r="I28199" s="33" t="s">
        <v>51</v>
      </c>
      <c r="J28199" s="42">
        <v>46204</v>
      </c>
      <c r="K28199" s="33" t="s">
        <v>22</v>
      </c>
    </row>
    <row r="28200" spans="1:11">
      <c r="A28200" s="30" t="s">
        <v>61834</v>
      </c>
      <c r="B28200" s="30" t="s">
        <v>61835</v>
      </c>
      <c r="C28200" s="30" t="s">
        <v>46300</v>
      </c>
      <c r="D28200" s="30" t="s">
        <v>17</v>
      </c>
      <c r="E28200" s="30" t="s">
        <v>67</v>
      </c>
      <c r="F28200" s="30" t="s">
        <v>68</v>
      </c>
      <c r="G28200" s="30" t="s">
        <v>140</v>
      </c>
      <c r="H28200" s="32">
        <v>39</v>
      </c>
      <c r="I28200" s="30" t="s">
        <v>51</v>
      </c>
      <c r="J28200" s="41">
        <v>46082</v>
      </c>
      <c r="K28200" s="30" t="s">
        <v>22</v>
      </c>
    </row>
    <row r="28201" spans="1:11">
      <c r="A28201" s="33" t="s">
        <v>61836</v>
      </c>
      <c r="B28201" s="33" t="s">
        <v>61837</v>
      </c>
      <c r="C28201" s="33" t="s">
        <v>524</v>
      </c>
      <c r="D28201" s="33" t="s">
        <v>17</v>
      </c>
      <c r="E28201" s="33" t="s">
        <v>31</v>
      </c>
      <c r="F28201" s="33" t="s">
        <v>32</v>
      </c>
      <c r="G28201" s="33" t="s">
        <v>140</v>
      </c>
      <c r="H28201" s="35">
        <v>150</v>
      </c>
      <c r="I28201" s="33" t="s">
        <v>51</v>
      </c>
      <c r="J28201" s="42">
        <v>46212</v>
      </c>
      <c r="K28201" s="33" t="s">
        <v>22</v>
      </c>
    </row>
    <row r="28202" spans="1:11">
      <c r="A28202" s="30" t="s">
        <v>61838</v>
      </c>
      <c r="B28202" s="30" t="s">
        <v>61839</v>
      </c>
      <c r="C28202" s="30" t="s">
        <v>54070</v>
      </c>
      <c r="D28202" s="30" t="s">
        <v>17</v>
      </c>
      <c r="E28202" s="30" t="s">
        <v>212</v>
      </c>
      <c r="F28202" s="30" t="s">
        <v>213</v>
      </c>
      <c r="G28202" s="30" t="s">
        <v>140</v>
      </c>
      <c r="H28202" s="32">
        <v>50</v>
      </c>
      <c r="I28202" s="30" t="s">
        <v>51</v>
      </c>
      <c r="J28202" s="41">
        <v>46024</v>
      </c>
      <c r="K28202" s="30" t="s">
        <v>22</v>
      </c>
    </row>
    <row r="28203" spans="1:11">
      <c r="A28203" s="33" t="s">
        <v>61840</v>
      </c>
      <c r="B28203" s="33" t="s">
        <v>61841</v>
      </c>
      <c r="C28203" s="33" t="s">
        <v>443</v>
      </c>
      <c r="D28203" s="33" t="s">
        <v>17</v>
      </c>
      <c r="E28203" s="33" t="s">
        <v>18</v>
      </c>
      <c r="F28203" s="33" t="s">
        <v>19</v>
      </c>
      <c r="G28203" s="33" t="s">
        <v>7780</v>
      </c>
      <c r="H28203" s="35">
        <v>390</v>
      </c>
      <c r="I28203" s="33" t="s">
        <v>51</v>
      </c>
      <c r="J28203" s="42">
        <v>46082</v>
      </c>
      <c r="K28203" s="33" t="s">
        <v>22</v>
      </c>
    </row>
    <row r="28204" spans="1:11">
      <c r="A28204" s="30" t="s">
        <v>61842</v>
      </c>
      <c r="B28204" s="30" t="s">
        <v>61843</v>
      </c>
      <c r="C28204" s="30" t="s">
        <v>310</v>
      </c>
      <c r="D28204" s="30" t="s">
        <v>17</v>
      </c>
      <c r="E28204" s="30" t="s">
        <v>18</v>
      </c>
      <c r="F28204" s="30" t="s">
        <v>19</v>
      </c>
      <c r="G28204" s="30" t="s">
        <v>140</v>
      </c>
      <c r="H28204" s="32">
        <v>5610</v>
      </c>
      <c r="I28204" s="30" t="s">
        <v>51</v>
      </c>
      <c r="J28204" s="41">
        <v>46153</v>
      </c>
      <c r="K28204" s="30" t="s">
        <v>22</v>
      </c>
    </row>
    <row r="28205" spans="1:11">
      <c r="A28205" s="33" t="s">
        <v>61844</v>
      </c>
      <c r="B28205" s="33" t="s">
        <v>61845</v>
      </c>
      <c r="C28205" s="33" t="s">
        <v>11899</v>
      </c>
      <c r="D28205" s="33" t="s">
        <v>17</v>
      </c>
      <c r="E28205" s="33" t="s">
        <v>26</v>
      </c>
      <c r="F28205" s="33" t="s">
        <v>27</v>
      </c>
      <c r="G28205" s="33" t="s">
        <v>140</v>
      </c>
      <c r="H28205" s="35">
        <v>97</v>
      </c>
      <c r="I28205" s="33" t="s">
        <v>51</v>
      </c>
      <c r="J28205" s="42">
        <v>46226</v>
      </c>
      <c r="K28205" s="33" t="s">
        <v>22</v>
      </c>
    </row>
    <row r="28206" spans="1:11">
      <c r="A28206" s="30" t="s">
        <v>61846</v>
      </c>
      <c r="B28206" s="30" t="s">
        <v>61847</v>
      </c>
      <c r="C28206" s="30" t="s">
        <v>61848</v>
      </c>
      <c r="D28206" s="30" t="s">
        <v>17</v>
      </c>
      <c r="E28206" s="30" t="s">
        <v>31</v>
      </c>
      <c r="F28206" s="30" t="s">
        <v>32</v>
      </c>
      <c r="G28206" s="30" t="s">
        <v>7780</v>
      </c>
      <c r="H28206" s="32">
        <v>76</v>
      </c>
      <c r="I28206" s="30" t="s">
        <v>51</v>
      </c>
      <c r="J28206" s="41">
        <v>46203</v>
      </c>
      <c r="K28206" s="30" t="s">
        <v>22</v>
      </c>
    </row>
    <row r="28207" spans="1:11">
      <c r="A28207" s="33" t="s">
        <v>61849</v>
      </c>
      <c r="B28207" s="33" t="s">
        <v>61850</v>
      </c>
      <c r="C28207" s="33" t="s">
        <v>3594</v>
      </c>
      <c r="D28207" s="33" t="s">
        <v>17</v>
      </c>
      <c r="E28207" s="33" t="s">
        <v>31</v>
      </c>
      <c r="F28207" s="33" t="s">
        <v>32</v>
      </c>
      <c r="G28207" s="33" t="s">
        <v>112</v>
      </c>
      <c r="H28207" s="35">
        <v>0</v>
      </c>
      <c r="I28207" s="33" t="s">
        <v>21</v>
      </c>
      <c r="J28207" s="42">
        <v>46082</v>
      </c>
      <c r="K28207" s="33" t="s">
        <v>22</v>
      </c>
    </row>
    <row r="28208" spans="1:11">
      <c r="A28208" s="30" t="s">
        <v>61851</v>
      </c>
      <c r="B28208" s="30" t="s">
        <v>61852</v>
      </c>
      <c r="C28208" s="30" t="s">
        <v>18511</v>
      </c>
      <c r="D28208" s="30" t="s">
        <v>17</v>
      </c>
      <c r="E28208" s="30" t="s">
        <v>330</v>
      </c>
      <c r="F28208" s="30" t="s">
        <v>331</v>
      </c>
      <c r="G28208" s="30" t="s">
        <v>7780</v>
      </c>
      <c r="H28208" s="32">
        <v>20</v>
      </c>
      <c r="I28208" s="30" t="s">
        <v>51</v>
      </c>
      <c r="J28208" s="41">
        <v>46143</v>
      </c>
      <c r="K28208" s="30" t="s">
        <v>22</v>
      </c>
    </row>
    <row r="28209" spans="1:11">
      <c r="A28209" s="33" t="s">
        <v>61853</v>
      </c>
      <c r="B28209" s="33" t="s">
        <v>61854</v>
      </c>
      <c r="C28209" s="33" t="s">
        <v>32799</v>
      </c>
      <c r="D28209" s="33" t="s">
        <v>17</v>
      </c>
      <c r="E28209" s="33" t="s">
        <v>18</v>
      </c>
      <c r="F28209" s="33" t="s">
        <v>19</v>
      </c>
      <c r="G28209" s="33" t="s">
        <v>140</v>
      </c>
      <c r="H28209" s="35">
        <v>466</v>
      </c>
      <c r="I28209" s="33" t="s">
        <v>51</v>
      </c>
      <c r="J28209" s="42">
        <v>46203</v>
      </c>
      <c r="K28209" s="33" t="s">
        <v>22</v>
      </c>
    </row>
    <row r="28210" spans="1:11">
      <c r="A28210" s="30" t="s">
        <v>61855</v>
      </c>
      <c r="B28210" s="30" t="s">
        <v>61856</v>
      </c>
      <c r="C28210" s="30" t="s">
        <v>31187</v>
      </c>
      <c r="D28210" s="30" t="s">
        <v>17</v>
      </c>
      <c r="E28210" s="30" t="s">
        <v>26</v>
      </c>
      <c r="F28210" s="30" t="s">
        <v>27</v>
      </c>
      <c r="G28210" s="30" t="s">
        <v>7780</v>
      </c>
      <c r="H28210" s="32">
        <v>33</v>
      </c>
      <c r="I28210" s="30" t="s">
        <v>51</v>
      </c>
      <c r="J28210" s="41">
        <v>46189</v>
      </c>
      <c r="K28210" s="30" t="s">
        <v>22</v>
      </c>
    </row>
    <row r="28211" spans="1:11">
      <c r="A28211" s="33" t="s">
        <v>61857</v>
      </c>
      <c r="B28211" s="33" t="s">
        <v>61858</v>
      </c>
      <c r="C28211" s="33" t="s">
        <v>24200</v>
      </c>
      <c r="D28211" s="33" t="s">
        <v>17</v>
      </c>
      <c r="E28211" s="33" t="s">
        <v>45</v>
      </c>
      <c r="F28211" s="33" t="s">
        <v>46</v>
      </c>
      <c r="G28211" s="33" t="s">
        <v>140</v>
      </c>
      <c r="H28211" s="35">
        <v>342</v>
      </c>
      <c r="I28211" s="33" t="s">
        <v>51</v>
      </c>
      <c r="J28211" s="42">
        <v>46100</v>
      </c>
      <c r="K28211" s="33" t="s">
        <v>22</v>
      </c>
    </row>
    <row r="28212" spans="1:11">
      <c r="A28212" s="30" t="s">
        <v>61859</v>
      </c>
      <c r="B28212" s="30" t="s">
        <v>61860</v>
      </c>
      <c r="C28212" s="30" t="s">
        <v>61861</v>
      </c>
      <c r="D28212" s="30" t="s">
        <v>17</v>
      </c>
      <c r="E28212" s="30" t="s">
        <v>18</v>
      </c>
      <c r="F28212" s="30" t="s">
        <v>19</v>
      </c>
      <c r="G28212" s="30" t="s">
        <v>7780</v>
      </c>
      <c r="H28212" s="32">
        <v>1436</v>
      </c>
      <c r="I28212" s="30" t="s">
        <v>51</v>
      </c>
      <c r="J28212" s="41">
        <v>46082</v>
      </c>
      <c r="K28212" s="30" t="s">
        <v>22</v>
      </c>
    </row>
    <row r="28213" spans="1:11">
      <c r="A28213" s="33" t="s">
        <v>61862</v>
      </c>
      <c r="B28213" s="33" t="s">
        <v>61863</v>
      </c>
      <c r="C28213" s="33" t="s">
        <v>310</v>
      </c>
      <c r="D28213" s="33" t="s">
        <v>17</v>
      </c>
      <c r="E28213" s="33" t="s">
        <v>31</v>
      </c>
      <c r="F28213" s="33" t="s">
        <v>32</v>
      </c>
      <c r="G28213" s="33" t="s">
        <v>140</v>
      </c>
      <c r="H28213" s="35">
        <v>300</v>
      </c>
      <c r="I28213" s="33" t="s">
        <v>51</v>
      </c>
      <c r="J28213" s="42">
        <v>46195</v>
      </c>
      <c r="K28213" s="33" t="s">
        <v>22</v>
      </c>
    </row>
    <row r="28214" spans="1:11">
      <c r="A28214" s="30" t="s">
        <v>61864</v>
      </c>
      <c r="B28214" s="30" t="s">
        <v>61865</v>
      </c>
      <c r="C28214" s="30" t="s">
        <v>33124</v>
      </c>
      <c r="D28214" s="30" t="s">
        <v>17</v>
      </c>
      <c r="E28214" s="30" t="s">
        <v>67</v>
      </c>
      <c r="F28214" s="30" t="s">
        <v>68</v>
      </c>
      <c r="G28214" s="30" t="s">
        <v>140</v>
      </c>
      <c r="H28214" s="32">
        <v>15</v>
      </c>
      <c r="I28214" s="30" t="s">
        <v>51</v>
      </c>
      <c r="J28214" s="41">
        <v>46132</v>
      </c>
      <c r="K28214" s="30" t="s">
        <v>22</v>
      </c>
    </row>
    <row r="28215" spans="1:11">
      <c r="A28215" s="33" t="s">
        <v>61866</v>
      </c>
      <c r="B28215" s="33" t="s">
        <v>61867</v>
      </c>
      <c r="C28215" s="33" t="s">
        <v>21691</v>
      </c>
      <c r="D28215" s="33" t="s">
        <v>17</v>
      </c>
      <c r="E28215" s="33" t="s">
        <v>67</v>
      </c>
      <c r="F28215" s="33" t="s">
        <v>68</v>
      </c>
      <c r="G28215" s="33" t="s">
        <v>140</v>
      </c>
      <c r="H28215" s="35">
        <v>30</v>
      </c>
      <c r="I28215" s="33" t="s">
        <v>51</v>
      </c>
      <c r="J28215" s="42">
        <v>46168</v>
      </c>
      <c r="K28215" s="33" t="s">
        <v>22</v>
      </c>
    </row>
    <row r="28216" spans="1:11">
      <c r="A28216" s="30" t="s">
        <v>61868</v>
      </c>
      <c r="B28216" s="30" t="s">
        <v>61869</v>
      </c>
      <c r="C28216" s="30" t="s">
        <v>252</v>
      </c>
      <c r="D28216" s="30" t="s">
        <v>17</v>
      </c>
      <c r="E28216" s="30" t="s">
        <v>31</v>
      </c>
      <c r="F28216" s="30" t="s">
        <v>32</v>
      </c>
      <c r="G28216" s="30" t="s">
        <v>7780</v>
      </c>
      <c r="H28216" s="32">
        <v>160</v>
      </c>
      <c r="I28216" s="30" t="s">
        <v>51</v>
      </c>
      <c r="J28216" s="41">
        <v>46081</v>
      </c>
      <c r="K28216" s="30" t="s">
        <v>22</v>
      </c>
    </row>
    <row r="28217" spans="1:11">
      <c r="A28217" s="33" t="s">
        <v>61870</v>
      </c>
      <c r="B28217" s="33" t="s">
        <v>61871</v>
      </c>
      <c r="C28217" s="33" t="s">
        <v>25549</v>
      </c>
      <c r="D28217" s="33" t="s">
        <v>17</v>
      </c>
      <c r="E28217" s="33" t="s">
        <v>31</v>
      </c>
      <c r="F28217" s="33" t="s">
        <v>32</v>
      </c>
      <c r="G28217" s="33" t="s">
        <v>140</v>
      </c>
      <c r="H28217" s="35">
        <v>380</v>
      </c>
      <c r="I28217" s="33" t="s">
        <v>51</v>
      </c>
      <c r="J28217" s="42">
        <v>46209</v>
      </c>
      <c r="K28217" s="33" t="s">
        <v>22</v>
      </c>
    </row>
    <row r="28218" spans="1:11">
      <c r="A28218" s="30" t="s">
        <v>61872</v>
      </c>
      <c r="B28218" s="30" t="s">
        <v>61873</v>
      </c>
      <c r="C28218" s="30" t="s">
        <v>2208</v>
      </c>
      <c r="D28218" s="30" t="s">
        <v>17</v>
      </c>
      <c r="E28218" s="30" t="s">
        <v>26</v>
      </c>
      <c r="F28218" s="30" t="s">
        <v>27</v>
      </c>
      <c r="G28218" s="30" t="s">
        <v>7780</v>
      </c>
      <c r="H28218" s="32">
        <v>32</v>
      </c>
      <c r="I28218" s="30" t="s">
        <v>51</v>
      </c>
      <c r="J28218" s="41">
        <v>46054</v>
      </c>
      <c r="K28218" s="30" t="s">
        <v>22</v>
      </c>
    </row>
    <row r="28219" spans="1:11">
      <c r="A28219" s="33" t="s">
        <v>61874</v>
      </c>
      <c r="B28219" s="33" t="s">
        <v>61875</v>
      </c>
      <c r="C28219" s="33" t="s">
        <v>12561</v>
      </c>
      <c r="D28219" s="33" t="s">
        <v>17</v>
      </c>
      <c r="E28219" s="33" t="s">
        <v>31</v>
      </c>
      <c r="F28219" s="33" t="s">
        <v>32</v>
      </c>
      <c r="G28219" s="33" t="s">
        <v>140</v>
      </c>
      <c r="H28219" s="35">
        <v>30</v>
      </c>
      <c r="I28219" s="33" t="s">
        <v>51</v>
      </c>
      <c r="J28219" s="42">
        <v>46203</v>
      </c>
      <c r="K28219" s="33" t="s">
        <v>22</v>
      </c>
    </row>
    <row r="28220" spans="1:11">
      <c r="A28220" s="30" t="s">
        <v>61876</v>
      </c>
      <c r="B28220" s="30" t="s">
        <v>61877</v>
      </c>
      <c r="C28220" s="30" t="s">
        <v>2261</v>
      </c>
      <c r="D28220" s="30" t="s">
        <v>17</v>
      </c>
      <c r="E28220" s="30" t="s">
        <v>31</v>
      </c>
      <c r="F28220" s="30" t="s">
        <v>32</v>
      </c>
      <c r="G28220" s="30" t="s">
        <v>140</v>
      </c>
      <c r="H28220" s="32">
        <v>170</v>
      </c>
      <c r="I28220" s="30" t="s">
        <v>51</v>
      </c>
      <c r="J28220" s="41">
        <v>46107</v>
      </c>
      <c r="K28220" s="30" t="s">
        <v>22</v>
      </c>
    </row>
    <row r="28221" spans="1:11">
      <c r="A28221" s="33" t="s">
        <v>61878</v>
      </c>
      <c r="B28221" s="33" t="s">
        <v>61879</v>
      </c>
      <c r="C28221" s="33" t="s">
        <v>894</v>
      </c>
      <c r="D28221" s="33" t="s">
        <v>17</v>
      </c>
      <c r="E28221" s="33" t="s">
        <v>330</v>
      </c>
      <c r="F28221" s="33" t="s">
        <v>331</v>
      </c>
      <c r="G28221" s="33" t="s">
        <v>140</v>
      </c>
      <c r="H28221" s="35">
        <v>36</v>
      </c>
      <c r="I28221" s="33" t="s">
        <v>51</v>
      </c>
      <c r="J28221" s="42">
        <v>46230</v>
      </c>
      <c r="K28221" s="33" t="s">
        <v>22</v>
      </c>
    </row>
    <row r="28222" spans="1:11">
      <c r="A28222" s="30" t="s">
        <v>61880</v>
      </c>
      <c r="B28222" s="30" t="s">
        <v>61881</v>
      </c>
      <c r="C28222" s="30" t="s">
        <v>24109</v>
      </c>
      <c r="D28222" s="30" t="s">
        <v>17</v>
      </c>
      <c r="E28222" s="30" t="s">
        <v>31</v>
      </c>
      <c r="F28222" s="30" t="s">
        <v>32</v>
      </c>
      <c r="G28222" s="30" t="s">
        <v>140</v>
      </c>
      <c r="H28222" s="32">
        <v>330</v>
      </c>
      <c r="I28222" s="30" t="s">
        <v>51</v>
      </c>
      <c r="J28222" s="41">
        <v>46232</v>
      </c>
      <c r="K28222" s="30" t="s">
        <v>22</v>
      </c>
    </row>
    <row r="28223" spans="1:11">
      <c r="A28223" s="33" t="s">
        <v>61882</v>
      </c>
      <c r="B28223" s="33" t="s">
        <v>61883</v>
      </c>
      <c r="C28223" s="33" t="s">
        <v>190</v>
      </c>
      <c r="D28223" s="33" t="s">
        <v>17</v>
      </c>
      <c r="E28223" s="33" t="s">
        <v>18</v>
      </c>
      <c r="F28223" s="33" t="s">
        <v>19</v>
      </c>
      <c r="G28223" s="33" t="s">
        <v>140</v>
      </c>
      <c r="H28223" s="35">
        <v>150</v>
      </c>
      <c r="I28223" s="33" t="s">
        <v>51</v>
      </c>
      <c r="J28223" s="42">
        <v>46188</v>
      </c>
      <c r="K28223" s="33" t="s">
        <v>22</v>
      </c>
    </row>
    <row r="28224" spans="1:11">
      <c r="A28224" s="30" t="s">
        <v>61884</v>
      </c>
      <c r="B28224" s="30" t="s">
        <v>61885</v>
      </c>
      <c r="C28224" s="30" t="s">
        <v>190</v>
      </c>
      <c r="D28224" s="30" t="s">
        <v>17</v>
      </c>
      <c r="E28224" s="30" t="s">
        <v>18</v>
      </c>
      <c r="F28224" s="30" t="s">
        <v>19</v>
      </c>
      <c r="G28224" s="30" t="s">
        <v>7780</v>
      </c>
      <c r="H28224" s="32">
        <v>230</v>
      </c>
      <c r="I28224" s="30" t="s">
        <v>51</v>
      </c>
      <c r="J28224" s="41">
        <v>46167</v>
      </c>
      <c r="K28224" s="30" t="s">
        <v>22</v>
      </c>
    </row>
    <row r="28225" spans="1:11">
      <c r="A28225" s="33" t="s">
        <v>61886</v>
      </c>
      <c r="B28225" s="33" t="s">
        <v>61887</v>
      </c>
      <c r="C28225" s="33" t="s">
        <v>50946</v>
      </c>
      <c r="D28225" s="33" t="s">
        <v>17</v>
      </c>
      <c r="E28225" s="33" t="s">
        <v>18</v>
      </c>
      <c r="F28225" s="33" t="s">
        <v>19</v>
      </c>
      <c r="G28225" s="33" t="s">
        <v>140</v>
      </c>
      <c r="H28225" s="35">
        <v>1156</v>
      </c>
      <c r="I28225" s="33" t="s">
        <v>51</v>
      </c>
      <c r="J28225" s="42">
        <v>46034</v>
      </c>
      <c r="K28225" s="33" t="s">
        <v>22</v>
      </c>
    </row>
    <row r="28226" spans="1:11">
      <c r="A28226" s="30" t="s">
        <v>61888</v>
      </c>
      <c r="B28226" s="30" t="s">
        <v>61889</v>
      </c>
      <c r="C28226" s="30" t="s">
        <v>61890</v>
      </c>
      <c r="D28226" s="30" t="s">
        <v>17</v>
      </c>
      <c r="E28226" s="30" t="s">
        <v>18</v>
      </c>
      <c r="F28226" s="30" t="s">
        <v>19</v>
      </c>
      <c r="G28226" s="30" t="s">
        <v>140</v>
      </c>
      <c r="H28226" s="32">
        <v>420</v>
      </c>
      <c r="I28226" s="30" t="s">
        <v>51</v>
      </c>
      <c r="J28226" s="41">
        <v>46113</v>
      </c>
      <c r="K28226" s="30" t="s">
        <v>22</v>
      </c>
    </row>
    <row r="28227" spans="1:11">
      <c r="A28227" s="33" t="s">
        <v>61891</v>
      </c>
      <c r="B28227" s="33" t="s">
        <v>61892</v>
      </c>
      <c r="C28227" s="33" t="s">
        <v>231</v>
      </c>
      <c r="D28227" s="33" t="s">
        <v>17</v>
      </c>
      <c r="E28227" s="33" t="s">
        <v>26</v>
      </c>
      <c r="F28227" s="33" t="s">
        <v>27</v>
      </c>
      <c r="G28227" s="33" t="s">
        <v>20</v>
      </c>
      <c r="H28227" s="35">
        <v>56</v>
      </c>
      <c r="I28227" s="33" t="s">
        <v>21</v>
      </c>
      <c r="J28227" s="42">
        <v>46084</v>
      </c>
      <c r="K28227" s="33" t="s">
        <v>22</v>
      </c>
    </row>
    <row r="28228" spans="1:11">
      <c r="A28228" s="30" t="s">
        <v>61893</v>
      </c>
      <c r="B28228" s="30" t="s">
        <v>61894</v>
      </c>
      <c r="C28228" s="30" t="s">
        <v>1764</v>
      </c>
      <c r="D28228" s="30" t="s">
        <v>17</v>
      </c>
      <c r="E28228" s="30" t="s">
        <v>18</v>
      </c>
      <c r="F28228" s="30" t="s">
        <v>19</v>
      </c>
      <c r="G28228" s="30" t="s">
        <v>158</v>
      </c>
      <c r="H28228" s="32">
        <v>80</v>
      </c>
      <c r="I28228" s="30" t="s">
        <v>21</v>
      </c>
      <c r="J28228" s="41">
        <v>46185</v>
      </c>
      <c r="K28228" s="30" t="s">
        <v>22</v>
      </c>
    </row>
    <row r="28229" spans="1:11">
      <c r="A28229" s="33" t="s">
        <v>61895</v>
      </c>
      <c r="B28229" s="33" t="s">
        <v>61896</v>
      </c>
      <c r="C28229" s="33" t="s">
        <v>1598</v>
      </c>
      <c r="D28229" s="33" t="s">
        <v>17</v>
      </c>
      <c r="E28229" s="33" t="s">
        <v>18</v>
      </c>
      <c r="F28229" s="33" t="s">
        <v>19</v>
      </c>
      <c r="G28229" s="33" t="s">
        <v>140</v>
      </c>
      <c r="H28229" s="35">
        <v>198</v>
      </c>
      <c r="I28229" s="33" t="s">
        <v>51</v>
      </c>
      <c r="J28229" s="42">
        <v>46113</v>
      </c>
      <c r="K28229" s="33" t="s">
        <v>22</v>
      </c>
    </row>
    <row r="28230" spans="1:11">
      <c r="A28230" s="30" t="s">
        <v>61897</v>
      </c>
      <c r="B28230" s="30" t="s">
        <v>61898</v>
      </c>
      <c r="C28230" s="30" t="s">
        <v>15585</v>
      </c>
      <c r="D28230" s="30" t="s">
        <v>17</v>
      </c>
      <c r="E28230" s="30" t="s">
        <v>18</v>
      </c>
      <c r="F28230" s="30" t="s">
        <v>19</v>
      </c>
      <c r="G28230" s="30" t="s">
        <v>7780</v>
      </c>
      <c r="H28230" s="32">
        <v>382</v>
      </c>
      <c r="I28230" s="30" t="s">
        <v>51</v>
      </c>
      <c r="J28230" s="41">
        <v>46204</v>
      </c>
      <c r="K28230" s="30" t="s">
        <v>22</v>
      </c>
    </row>
    <row r="28231" spans="1:11">
      <c r="A28231" s="33" t="s">
        <v>61899</v>
      </c>
      <c r="B28231" s="33" t="s">
        <v>61900</v>
      </c>
      <c r="C28231" s="33" t="s">
        <v>399</v>
      </c>
      <c r="D28231" s="33" t="s">
        <v>17</v>
      </c>
      <c r="E28231" s="33" t="s">
        <v>26</v>
      </c>
      <c r="F28231" s="33" t="s">
        <v>27</v>
      </c>
      <c r="G28231" s="33" t="s">
        <v>140</v>
      </c>
      <c r="H28231" s="35">
        <v>24</v>
      </c>
      <c r="I28231" s="33" t="s">
        <v>51</v>
      </c>
      <c r="J28231" s="42">
        <v>46210</v>
      </c>
      <c r="K28231" s="33" t="s">
        <v>22</v>
      </c>
    </row>
    <row r="28232" spans="1:11">
      <c r="A28232" s="30" t="s">
        <v>61901</v>
      </c>
      <c r="B28232" s="30" t="s">
        <v>61902</v>
      </c>
      <c r="C28232" s="30" t="s">
        <v>1112</v>
      </c>
      <c r="D28232" s="30" t="s">
        <v>17</v>
      </c>
      <c r="E28232" s="30" t="s">
        <v>31</v>
      </c>
      <c r="F28232" s="30" t="s">
        <v>32</v>
      </c>
      <c r="G28232" s="30" t="s">
        <v>140</v>
      </c>
      <c r="H28232" s="32">
        <v>180</v>
      </c>
      <c r="I28232" s="30" t="s">
        <v>51</v>
      </c>
      <c r="J28232" s="41">
        <v>46160</v>
      </c>
      <c r="K28232" s="30" t="s">
        <v>22</v>
      </c>
    </row>
    <row r="28233" spans="1:11">
      <c r="A28233" s="33" t="s">
        <v>61903</v>
      </c>
      <c r="B28233" s="33" t="s">
        <v>61904</v>
      </c>
      <c r="C28233" s="33" t="s">
        <v>969</v>
      </c>
      <c r="D28233" s="33" t="s">
        <v>17</v>
      </c>
      <c r="E28233" s="33" t="s">
        <v>18</v>
      </c>
      <c r="F28233" s="33" t="s">
        <v>19</v>
      </c>
      <c r="G28233" s="33" t="s">
        <v>140</v>
      </c>
      <c r="H28233" s="35">
        <v>1209</v>
      </c>
      <c r="I28233" s="33" t="s">
        <v>51</v>
      </c>
      <c r="J28233" s="42">
        <v>46153</v>
      </c>
      <c r="K28233" s="33" t="s">
        <v>22</v>
      </c>
    </row>
    <row r="28234" spans="1:11">
      <c r="A28234" s="30" t="s">
        <v>61905</v>
      </c>
      <c r="B28234" s="30" t="s">
        <v>61906</v>
      </c>
      <c r="C28234" s="30" t="s">
        <v>20576</v>
      </c>
      <c r="D28234" s="30" t="s">
        <v>17</v>
      </c>
      <c r="E28234" s="30" t="s">
        <v>31</v>
      </c>
      <c r="F28234" s="30" t="s">
        <v>32</v>
      </c>
      <c r="G28234" s="30" t="s">
        <v>140</v>
      </c>
      <c r="H28234" s="32">
        <v>80</v>
      </c>
      <c r="I28234" s="30" t="s">
        <v>51</v>
      </c>
      <c r="J28234" s="41">
        <v>46213</v>
      </c>
      <c r="K28234" s="30" t="s">
        <v>22</v>
      </c>
    </row>
    <row r="28235" spans="1:11">
      <c r="A28235" s="33" t="s">
        <v>61907</v>
      </c>
      <c r="B28235" s="33" t="s">
        <v>61908</v>
      </c>
      <c r="C28235" s="33" t="s">
        <v>93</v>
      </c>
      <c r="D28235" s="33" t="s">
        <v>17</v>
      </c>
      <c r="E28235" s="33" t="s">
        <v>26</v>
      </c>
      <c r="F28235" s="33" t="s">
        <v>27</v>
      </c>
      <c r="G28235" s="33" t="s">
        <v>20</v>
      </c>
      <c r="H28235" s="35">
        <v>12</v>
      </c>
      <c r="I28235" s="33" t="s">
        <v>21</v>
      </c>
      <c r="J28235" s="42">
        <v>46133</v>
      </c>
      <c r="K28235" s="33" t="s">
        <v>22</v>
      </c>
    </row>
    <row r="28236" spans="1:11">
      <c r="A28236" s="30" t="s">
        <v>61909</v>
      </c>
      <c r="B28236" s="30" t="s">
        <v>61910</v>
      </c>
      <c r="C28236" s="30" t="s">
        <v>21791</v>
      </c>
      <c r="D28236" s="30" t="s">
        <v>17</v>
      </c>
      <c r="E28236" s="30" t="s">
        <v>26</v>
      </c>
      <c r="F28236" s="30" t="s">
        <v>27</v>
      </c>
      <c r="G28236" s="30" t="s">
        <v>140</v>
      </c>
      <c r="H28236" s="32">
        <v>30</v>
      </c>
      <c r="I28236" s="30" t="s">
        <v>51</v>
      </c>
      <c r="J28236" s="41">
        <v>46023</v>
      </c>
      <c r="K28236" s="30" t="s">
        <v>22</v>
      </c>
    </row>
    <row r="28237" spans="1:11">
      <c r="A28237" s="33" t="s">
        <v>61911</v>
      </c>
      <c r="B28237" s="33" t="s">
        <v>61912</v>
      </c>
      <c r="C28237" s="33" t="s">
        <v>93</v>
      </c>
      <c r="D28237" s="33" t="s">
        <v>17</v>
      </c>
      <c r="E28237" s="33" t="s">
        <v>67</v>
      </c>
      <c r="F28237" s="33" t="s">
        <v>68</v>
      </c>
      <c r="G28237" s="33" t="s">
        <v>140</v>
      </c>
      <c r="H28237" s="35">
        <v>210</v>
      </c>
      <c r="I28237" s="33" t="s">
        <v>51</v>
      </c>
      <c r="J28237" s="42">
        <v>46157</v>
      </c>
      <c r="K28237" s="33" t="s">
        <v>22</v>
      </c>
    </row>
    <row r="28238" spans="1:11">
      <c r="A28238" s="30" t="s">
        <v>61913</v>
      </c>
      <c r="B28238" s="30" t="s">
        <v>61914</v>
      </c>
      <c r="C28238" s="30" t="s">
        <v>647</v>
      </c>
      <c r="D28238" s="30" t="s">
        <v>17</v>
      </c>
      <c r="E28238" s="30" t="s">
        <v>18</v>
      </c>
      <c r="F28238" s="30" t="s">
        <v>19</v>
      </c>
      <c r="G28238" s="30" t="s">
        <v>140</v>
      </c>
      <c r="H28238" s="32">
        <v>1023</v>
      </c>
      <c r="I28238" s="30" t="s">
        <v>51</v>
      </c>
      <c r="J28238" s="41">
        <v>46041</v>
      </c>
      <c r="K28238" s="30" t="s">
        <v>22</v>
      </c>
    </row>
    <row r="28239" spans="1:11">
      <c r="A28239" s="33" t="s">
        <v>61915</v>
      </c>
      <c r="B28239" s="33" t="s">
        <v>61916</v>
      </c>
      <c r="C28239" s="33" t="s">
        <v>190</v>
      </c>
      <c r="D28239" s="33" t="s">
        <v>17</v>
      </c>
      <c r="E28239" s="33" t="s">
        <v>26</v>
      </c>
      <c r="F28239" s="33" t="s">
        <v>27</v>
      </c>
      <c r="G28239" s="33" t="s">
        <v>140</v>
      </c>
      <c r="H28239" s="35">
        <v>18</v>
      </c>
      <c r="I28239" s="33" t="s">
        <v>51</v>
      </c>
      <c r="J28239" s="42">
        <v>46202</v>
      </c>
      <c r="K28239" s="33" t="s">
        <v>22</v>
      </c>
    </row>
    <row r="28240" spans="1:11">
      <c r="A28240" s="30" t="s">
        <v>61917</v>
      </c>
      <c r="B28240" s="30" t="s">
        <v>61918</v>
      </c>
      <c r="C28240" s="30" t="s">
        <v>1165</v>
      </c>
      <c r="D28240" s="30" t="s">
        <v>17</v>
      </c>
      <c r="E28240" s="30" t="s">
        <v>26</v>
      </c>
      <c r="F28240" s="30" t="s">
        <v>27</v>
      </c>
      <c r="G28240" s="30" t="s">
        <v>140</v>
      </c>
      <c r="H28240" s="32">
        <v>130</v>
      </c>
      <c r="I28240" s="30" t="s">
        <v>51</v>
      </c>
      <c r="J28240" s="41">
        <v>46097</v>
      </c>
      <c r="K28240" s="30" t="s">
        <v>22</v>
      </c>
    </row>
    <row r="28241" spans="1:11">
      <c r="A28241" s="33" t="s">
        <v>61919</v>
      </c>
      <c r="B28241" s="33" t="s">
        <v>61920</v>
      </c>
      <c r="C28241" s="33" t="s">
        <v>1148</v>
      </c>
      <c r="D28241" s="33" t="s">
        <v>17</v>
      </c>
      <c r="E28241" s="33" t="s">
        <v>212</v>
      </c>
      <c r="F28241" s="33" t="s">
        <v>213</v>
      </c>
      <c r="G28241" s="33" t="s">
        <v>7780</v>
      </c>
      <c r="H28241" s="35">
        <v>246</v>
      </c>
      <c r="I28241" s="33" t="s">
        <v>51</v>
      </c>
      <c r="J28241" s="42">
        <v>46174</v>
      </c>
      <c r="K28241" s="33" t="s">
        <v>22</v>
      </c>
    </row>
    <row r="28242" spans="1:11">
      <c r="A28242" s="30" t="s">
        <v>61921</v>
      </c>
      <c r="B28242" s="30" t="s">
        <v>61922</v>
      </c>
      <c r="C28242" s="30" t="s">
        <v>178</v>
      </c>
      <c r="D28242" s="30" t="s">
        <v>17</v>
      </c>
      <c r="E28242" s="30" t="s">
        <v>18</v>
      </c>
      <c r="F28242" s="30" t="s">
        <v>19</v>
      </c>
      <c r="G28242" s="30" t="s">
        <v>140</v>
      </c>
      <c r="H28242" s="32">
        <v>2000</v>
      </c>
      <c r="I28242" s="30" t="s">
        <v>51</v>
      </c>
      <c r="J28242" s="41">
        <v>46097</v>
      </c>
      <c r="K28242" s="30" t="s">
        <v>22</v>
      </c>
    </row>
    <row r="28243" spans="1:11">
      <c r="A28243" s="33" t="s">
        <v>61923</v>
      </c>
      <c r="B28243" s="33" t="s">
        <v>61924</v>
      </c>
      <c r="C28243" s="33" t="s">
        <v>14483</v>
      </c>
      <c r="D28243" s="33" t="s">
        <v>17</v>
      </c>
      <c r="E28243" s="33" t="s">
        <v>26</v>
      </c>
      <c r="F28243" s="33" t="s">
        <v>27</v>
      </c>
      <c r="G28243" s="33" t="s">
        <v>158</v>
      </c>
      <c r="H28243" s="35">
        <v>6</v>
      </c>
      <c r="I28243" s="33" t="s">
        <v>21</v>
      </c>
      <c r="J28243" s="42">
        <v>46121</v>
      </c>
      <c r="K28243" s="33" t="s">
        <v>22</v>
      </c>
    </row>
    <row r="28244" spans="1:11">
      <c r="A28244" s="30" t="s">
        <v>61925</v>
      </c>
      <c r="B28244" s="30" t="s">
        <v>61926</v>
      </c>
      <c r="C28244" s="30" t="s">
        <v>43361</v>
      </c>
      <c r="D28244" s="30" t="s">
        <v>17</v>
      </c>
      <c r="E28244" s="30" t="s">
        <v>45</v>
      </c>
      <c r="F28244" s="30" t="s">
        <v>46</v>
      </c>
      <c r="G28244" s="30" t="s">
        <v>140</v>
      </c>
      <c r="H28244" s="32">
        <v>66</v>
      </c>
      <c r="I28244" s="30" t="s">
        <v>51</v>
      </c>
      <c r="J28244" s="41">
        <v>46155</v>
      </c>
      <c r="K28244" s="30" t="s">
        <v>22</v>
      </c>
    </row>
    <row r="28245" spans="1:11">
      <c r="A28245" s="33" t="s">
        <v>61927</v>
      </c>
      <c r="B28245" s="33" t="s">
        <v>61928</v>
      </c>
      <c r="C28245" s="33" t="s">
        <v>570</v>
      </c>
      <c r="D28245" s="33" t="s">
        <v>17</v>
      </c>
      <c r="E28245" s="33" t="s">
        <v>18</v>
      </c>
      <c r="F28245" s="33" t="s">
        <v>19</v>
      </c>
      <c r="G28245" s="33" t="s">
        <v>7780</v>
      </c>
      <c r="H28245" s="35">
        <v>60</v>
      </c>
      <c r="I28245" s="33" t="s">
        <v>51</v>
      </c>
      <c r="J28245" s="42">
        <v>46132</v>
      </c>
      <c r="K28245" s="33" t="s">
        <v>22</v>
      </c>
    </row>
    <row r="28246" spans="1:11">
      <c r="A28246" s="30" t="s">
        <v>61929</v>
      </c>
      <c r="B28246" s="30" t="s">
        <v>61930</v>
      </c>
      <c r="C28246" s="30" t="s">
        <v>190</v>
      </c>
      <c r="D28246" s="30" t="s">
        <v>17</v>
      </c>
      <c r="E28246" s="30" t="s">
        <v>26</v>
      </c>
      <c r="F28246" s="30" t="s">
        <v>27</v>
      </c>
      <c r="G28246" s="30" t="s">
        <v>140</v>
      </c>
      <c r="H28246" s="32">
        <v>27</v>
      </c>
      <c r="I28246" s="30" t="s">
        <v>51</v>
      </c>
      <c r="J28246" s="41">
        <v>46031</v>
      </c>
      <c r="K28246" s="30" t="s">
        <v>22</v>
      </c>
    </row>
    <row r="28247" spans="1:11">
      <c r="A28247" s="33" t="s">
        <v>61931</v>
      </c>
      <c r="B28247" s="33" t="s">
        <v>61932</v>
      </c>
      <c r="C28247" s="33" t="s">
        <v>231</v>
      </c>
      <c r="D28247" s="33" t="s">
        <v>17</v>
      </c>
      <c r="E28247" s="33" t="s">
        <v>26</v>
      </c>
      <c r="F28247" s="33" t="s">
        <v>27</v>
      </c>
      <c r="G28247" s="33" t="s">
        <v>140</v>
      </c>
      <c r="H28247" s="35">
        <v>80</v>
      </c>
      <c r="I28247" s="33" t="s">
        <v>51</v>
      </c>
      <c r="J28247" s="42">
        <v>46092</v>
      </c>
      <c r="K28247" s="33" t="s">
        <v>22</v>
      </c>
    </row>
    <row r="28248" spans="1:11">
      <c r="A28248" s="30" t="s">
        <v>61933</v>
      </c>
      <c r="B28248" s="30" t="s">
        <v>61934</v>
      </c>
      <c r="C28248" s="30" t="s">
        <v>149</v>
      </c>
      <c r="D28248" s="30" t="s">
        <v>17</v>
      </c>
      <c r="E28248" s="30" t="s">
        <v>31</v>
      </c>
      <c r="F28248" s="30" t="s">
        <v>32</v>
      </c>
      <c r="G28248" s="30" t="s">
        <v>140</v>
      </c>
      <c r="H28248" s="32">
        <v>340</v>
      </c>
      <c r="I28248" s="30" t="s">
        <v>51</v>
      </c>
      <c r="J28248" s="41">
        <v>46062</v>
      </c>
      <c r="K28248" s="30" t="s">
        <v>22</v>
      </c>
    </row>
    <row r="28249" spans="1:11">
      <c r="A28249" s="33" t="s">
        <v>61935</v>
      </c>
      <c r="B28249" s="33" t="s">
        <v>61936</v>
      </c>
      <c r="C28249" s="33" t="s">
        <v>7428</v>
      </c>
      <c r="D28249" s="33" t="s">
        <v>17</v>
      </c>
      <c r="E28249" s="33" t="s">
        <v>31</v>
      </c>
      <c r="F28249" s="33" t="s">
        <v>32</v>
      </c>
      <c r="G28249" s="33" t="s">
        <v>20</v>
      </c>
      <c r="H28249" s="35">
        <v>33</v>
      </c>
      <c r="I28249" s="33" t="s">
        <v>21</v>
      </c>
      <c r="J28249" s="42">
        <v>46155</v>
      </c>
      <c r="K28249" s="33" t="s">
        <v>22</v>
      </c>
    </row>
    <row r="28250" spans="1:11">
      <c r="A28250" s="30" t="s">
        <v>61937</v>
      </c>
      <c r="B28250" s="30" t="s">
        <v>61938</v>
      </c>
      <c r="C28250" s="30" t="s">
        <v>56957</v>
      </c>
      <c r="D28250" s="30" t="s">
        <v>17</v>
      </c>
      <c r="E28250" s="30" t="s">
        <v>26</v>
      </c>
      <c r="F28250" s="30" t="s">
        <v>27</v>
      </c>
      <c r="G28250" s="30" t="s">
        <v>140</v>
      </c>
      <c r="H28250" s="32">
        <v>36</v>
      </c>
      <c r="I28250" s="30" t="s">
        <v>51</v>
      </c>
      <c r="J28250" s="41">
        <v>46083</v>
      </c>
      <c r="K28250" s="30" t="s">
        <v>22</v>
      </c>
    </row>
    <row r="28251" spans="1:11">
      <c r="A28251" s="33" t="s">
        <v>61939</v>
      </c>
      <c r="B28251" s="33" t="s">
        <v>61940</v>
      </c>
      <c r="C28251" s="33" t="s">
        <v>4348</v>
      </c>
      <c r="D28251" s="33" t="s">
        <v>17</v>
      </c>
      <c r="E28251" s="33" t="s">
        <v>26</v>
      </c>
      <c r="F28251" s="33" t="s">
        <v>27</v>
      </c>
      <c r="G28251" s="33" t="s">
        <v>7780</v>
      </c>
      <c r="H28251" s="35">
        <v>10</v>
      </c>
      <c r="I28251" s="33" t="s">
        <v>51</v>
      </c>
      <c r="J28251" s="42">
        <v>46204</v>
      </c>
      <c r="K28251" s="33" t="s">
        <v>22</v>
      </c>
    </row>
    <row r="28252" spans="1:11">
      <c r="A28252" s="30" t="s">
        <v>61941</v>
      </c>
      <c r="B28252" s="30" t="s">
        <v>61942</v>
      </c>
      <c r="C28252" s="30" t="s">
        <v>61943</v>
      </c>
      <c r="D28252" s="30" t="s">
        <v>17</v>
      </c>
      <c r="E28252" s="30" t="s">
        <v>67</v>
      </c>
      <c r="F28252" s="30" t="s">
        <v>68</v>
      </c>
      <c r="G28252" s="30" t="s">
        <v>140</v>
      </c>
      <c r="H28252" s="32">
        <v>42</v>
      </c>
      <c r="I28252" s="30" t="s">
        <v>51</v>
      </c>
      <c r="J28252" s="41">
        <v>46034</v>
      </c>
      <c r="K28252" s="30" t="s">
        <v>22</v>
      </c>
    </row>
    <row r="28253" spans="1:11">
      <c r="A28253" s="33" t="s">
        <v>61944</v>
      </c>
      <c r="B28253" s="33" t="s">
        <v>61945</v>
      </c>
      <c r="C28253" s="33" t="s">
        <v>3243</v>
      </c>
      <c r="D28253" s="33" t="s">
        <v>17</v>
      </c>
      <c r="E28253" s="33" t="s">
        <v>18</v>
      </c>
      <c r="F28253" s="33" t="s">
        <v>19</v>
      </c>
      <c r="G28253" s="33" t="s">
        <v>7780</v>
      </c>
      <c r="H28253" s="35">
        <v>558</v>
      </c>
      <c r="I28253" s="33" t="s">
        <v>51</v>
      </c>
      <c r="J28253" s="42">
        <v>46112</v>
      </c>
      <c r="K28253" s="33" t="s">
        <v>22</v>
      </c>
    </row>
    <row r="28254" spans="1:11">
      <c r="A28254" s="30" t="s">
        <v>61946</v>
      </c>
      <c r="B28254" s="30" t="s">
        <v>61947</v>
      </c>
      <c r="C28254" s="30" t="s">
        <v>61948</v>
      </c>
      <c r="D28254" s="30" t="s">
        <v>17</v>
      </c>
      <c r="E28254" s="30" t="s">
        <v>26</v>
      </c>
      <c r="F28254" s="30" t="s">
        <v>27</v>
      </c>
      <c r="G28254" s="30" t="s">
        <v>140</v>
      </c>
      <c r="H28254" s="32">
        <v>157</v>
      </c>
      <c r="I28254" s="30" t="s">
        <v>51</v>
      </c>
      <c r="J28254" s="41">
        <v>46121</v>
      </c>
      <c r="K28254" s="30" t="s">
        <v>22</v>
      </c>
    </row>
    <row r="28255" spans="1:11">
      <c r="A28255" s="33" t="s">
        <v>61949</v>
      </c>
      <c r="B28255" s="33" t="s">
        <v>61950</v>
      </c>
      <c r="C28255" s="33" t="s">
        <v>17636</v>
      </c>
      <c r="D28255" s="33" t="s">
        <v>17</v>
      </c>
      <c r="E28255" s="33" t="s">
        <v>26</v>
      </c>
      <c r="F28255" s="33" t="s">
        <v>27</v>
      </c>
      <c r="G28255" s="33" t="s">
        <v>7780</v>
      </c>
      <c r="H28255" s="35">
        <v>9</v>
      </c>
      <c r="I28255" s="33" t="s">
        <v>51</v>
      </c>
      <c r="J28255" s="42">
        <v>46174</v>
      </c>
      <c r="K28255" s="33" t="s">
        <v>22</v>
      </c>
    </row>
    <row r="28256" spans="1:11">
      <c r="A28256" s="30" t="s">
        <v>61951</v>
      </c>
      <c r="B28256" s="30" t="s">
        <v>61952</v>
      </c>
      <c r="C28256" s="30" t="s">
        <v>1210</v>
      </c>
      <c r="D28256" s="30" t="s">
        <v>17</v>
      </c>
      <c r="E28256" s="30" t="s">
        <v>26</v>
      </c>
      <c r="F28256" s="30" t="s">
        <v>27</v>
      </c>
      <c r="G28256" s="30" t="s">
        <v>140</v>
      </c>
      <c r="H28256" s="32">
        <v>10</v>
      </c>
      <c r="I28256" s="30" t="s">
        <v>51</v>
      </c>
      <c r="J28256" s="41">
        <v>46210</v>
      </c>
      <c r="K28256" s="30" t="s">
        <v>22</v>
      </c>
    </row>
    <row r="28257" spans="1:11">
      <c r="A28257" s="33" t="s">
        <v>61953</v>
      </c>
      <c r="B28257" s="33" t="s">
        <v>61954</v>
      </c>
      <c r="C28257" s="33" t="s">
        <v>45912</v>
      </c>
      <c r="D28257" s="33" t="s">
        <v>17</v>
      </c>
      <c r="E28257" s="33" t="s">
        <v>212</v>
      </c>
      <c r="F28257" s="33" t="s">
        <v>213</v>
      </c>
      <c r="G28257" s="33" t="s">
        <v>140</v>
      </c>
      <c r="H28257" s="35">
        <v>130</v>
      </c>
      <c r="I28257" s="33" t="s">
        <v>51</v>
      </c>
      <c r="J28257" s="42">
        <v>46216</v>
      </c>
      <c r="K28257" s="33" t="s">
        <v>22</v>
      </c>
    </row>
    <row r="28258" spans="1:11">
      <c r="A28258" s="30" t="s">
        <v>61955</v>
      </c>
      <c r="B28258" s="30" t="s">
        <v>61956</v>
      </c>
      <c r="C28258" s="30" t="s">
        <v>39233</v>
      </c>
      <c r="D28258" s="30" t="s">
        <v>17</v>
      </c>
      <c r="E28258" s="30" t="s">
        <v>18</v>
      </c>
      <c r="F28258" s="30" t="s">
        <v>19</v>
      </c>
      <c r="G28258" s="30" t="s">
        <v>7780</v>
      </c>
      <c r="H28258" s="32">
        <v>406</v>
      </c>
      <c r="I28258" s="30" t="s">
        <v>51</v>
      </c>
      <c r="J28258" s="41">
        <v>46193</v>
      </c>
      <c r="K28258" s="30" t="s">
        <v>22</v>
      </c>
    </row>
    <row r="28259" spans="1:11">
      <c r="A28259" s="33" t="s">
        <v>61957</v>
      </c>
      <c r="B28259" s="33" t="s">
        <v>61958</v>
      </c>
      <c r="C28259" s="33" t="s">
        <v>443</v>
      </c>
      <c r="D28259" s="33" t="s">
        <v>17</v>
      </c>
      <c r="E28259" s="33" t="s">
        <v>18</v>
      </c>
      <c r="F28259" s="33" t="s">
        <v>19</v>
      </c>
      <c r="G28259" s="33" t="s">
        <v>7780</v>
      </c>
      <c r="H28259" s="35">
        <v>390</v>
      </c>
      <c r="I28259" s="33" t="s">
        <v>51</v>
      </c>
      <c r="J28259" s="42">
        <v>46082</v>
      </c>
      <c r="K28259" s="33" t="s">
        <v>22</v>
      </c>
    </row>
    <row r="28260" spans="1:11">
      <c r="A28260" s="30" t="s">
        <v>61959</v>
      </c>
      <c r="B28260" s="30" t="s">
        <v>61960</v>
      </c>
      <c r="C28260" s="30" t="s">
        <v>41504</v>
      </c>
      <c r="D28260" s="30" t="s">
        <v>17</v>
      </c>
      <c r="E28260" s="30" t="s">
        <v>26</v>
      </c>
      <c r="F28260" s="30" t="s">
        <v>27</v>
      </c>
      <c r="G28260" s="30" t="s">
        <v>140</v>
      </c>
      <c r="H28260" s="32">
        <v>36</v>
      </c>
      <c r="I28260" s="30" t="s">
        <v>51</v>
      </c>
      <c r="J28260" s="41">
        <v>46057</v>
      </c>
      <c r="K28260" s="30" t="s">
        <v>22</v>
      </c>
    </row>
    <row r="28261" spans="1:11">
      <c r="A28261" s="33" t="s">
        <v>61961</v>
      </c>
      <c r="B28261" s="33" t="s">
        <v>61962</v>
      </c>
      <c r="C28261" s="33" t="s">
        <v>96</v>
      </c>
      <c r="D28261" s="33" t="s">
        <v>17</v>
      </c>
      <c r="E28261" s="33" t="s">
        <v>26</v>
      </c>
      <c r="F28261" s="33" t="s">
        <v>27</v>
      </c>
      <c r="G28261" s="33" t="s">
        <v>140</v>
      </c>
      <c r="H28261" s="35">
        <v>250</v>
      </c>
      <c r="I28261" s="33" t="s">
        <v>51</v>
      </c>
      <c r="J28261" s="42">
        <v>46120</v>
      </c>
      <c r="K28261" s="33" t="s">
        <v>22</v>
      </c>
    </row>
    <row r="28262" spans="1:11">
      <c r="A28262" s="30" t="s">
        <v>61963</v>
      </c>
      <c r="B28262" s="30" t="s">
        <v>61964</v>
      </c>
      <c r="C28262" s="30" t="s">
        <v>629</v>
      </c>
      <c r="D28262" s="30" t="s">
        <v>17</v>
      </c>
      <c r="E28262" s="30" t="s">
        <v>31</v>
      </c>
      <c r="F28262" s="30" t="s">
        <v>32</v>
      </c>
      <c r="G28262" s="30" t="s">
        <v>140</v>
      </c>
      <c r="H28262" s="32">
        <v>200</v>
      </c>
      <c r="I28262" s="30" t="s">
        <v>51</v>
      </c>
      <c r="J28262" s="41">
        <v>46107</v>
      </c>
      <c r="K28262" s="30" t="s">
        <v>22</v>
      </c>
    </row>
    <row r="28263" spans="1:11">
      <c r="A28263" s="33" t="s">
        <v>61965</v>
      </c>
      <c r="B28263" s="33" t="s">
        <v>61966</v>
      </c>
      <c r="C28263" s="33" t="s">
        <v>39828</v>
      </c>
      <c r="D28263" s="33" t="s">
        <v>17</v>
      </c>
      <c r="E28263" s="33" t="s">
        <v>26</v>
      </c>
      <c r="F28263" s="33" t="s">
        <v>27</v>
      </c>
      <c r="G28263" s="33" t="s">
        <v>140</v>
      </c>
      <c r="H28263" s="35">
        <v>331</v>
      </c>
      <c r="I28263" s="33" t="s">
        <v>51</v>
      </c>
      <c r="J28263" s="42">
        <v>46098</v>
      </c>
      <c r="K28263" s="33" t="s">
        <v>22</v>
      </c>
    </row>
    <row r="28264" spans="1:11">
      <c r="A28264" s="30" t="s">
        <v>61967</v>
      </c>
      <c r="B28264" s="30" t="s">
        <v>61968</v>
      </c>
      <c r="C28264" s="30" t="s">
        <v>136</v>
      </c>
      <c r="D28264" s="30" t="s">
        <v>17</v>
      </c>
      <c r="E28264" s="30" t="s">
        <v>18</v>
      </c>
      <c r="F28264" s="30" t="s">
        <v>19</v>
      </c>
      <c r="G28264" s="30" t="s">
        <v>158</v>
      </c>
      <c r="H28264" s="32">
        <v>600</v>
      </c>
      <c r="I28264" s="30" t="s">
        <v>51</v>
      </c>
      <c r="J28264" s="41">
        <v>46046</v>
      </c>
      <c r="K28264" s="30" t="s">
        <v>22</v>
      </c>
    </row>
    <row r="28265" spans="1:11">
      <c r="A28265" s="33" t="s">
        <v>61969</v>
      </c>
      <c r="B28265" s="33" t="s">
        <v>61970</v>
      </c>
      <c r="C28265" s="33" t="s">
        <v>517</v>
      </c>
      <c r="D28265" s="33" t="s">
        <v>17</v>
      </c>
      <c r="E28265" s="33" t="s">
        <v>26</v>
      </c>
      <c r="F28265" s="33" t="s">
        <v>27</v>
      </c>
      <c r="G28265" s="33" t="s">
        <v>7780</v>
      </c>
      <c r="H28265" s="35">
        <v>74</v>
      </c>
      <c r="I28265" s="33" t="s">
        <v>51</v>
      </c>
      <c r="J28265" s="42">
        <v>46227</v>
      </c>
      <c r="K28265" s="33" t="s">
        <v>22</v>
      </c>
    </row>
    <row r="28266" spans="1:11">
      <c r="A28266" s="30" t="s">
        <v>61971</v>
      </c>
      <c r="B28266" s="30" t="s">
        <v>61972</v>
      </c>
      <c r="C28266" s="30" t="s">
        <v>969</v>
      </c>
      <c r="D28266" s="30" t="s">
        <v>17</v>
      </c>
      <c r="E28266" s="30" t="s">
        <v>18</v>
      </c>
      <c r="F28266" s="30" t="s">
        <v>19</v>
      </c>
      <c r="G28266" s="30" t="s">
        <v>140</v>
      </c>
      <c r="H28266" s="32">
        <v>100</v>
      </c>
      <c r="I28266" s="30" t="s">
        <v>51</v>
      </c>
      <c r="J28266" s="41">
        <v>46202</v>
      </c>
      <c r="K28266" s="30" t="s">
        <v>22</v>
      </c>
    </row>
    <row r="28267" spans="1:11">
      <c r="A28267" s="33" t="s">
        <v>61973</v>
      </c>
      <c r="B28267" s="33" t="s">
        <v>61974</v>
      </c>
      <c r="C28267" s="33" t="s">
        <v>26374</v>
      </c>
      <c r="D28267" s="33" t="s">
        <v>17</v>
      </c>
      <c r="E28267" s="33" t="s">
        <v>26</v>
      </c>
      <c r="F28267" s="33" t="s">
        <v>27</v>
      </c>
      <c r="G28267" s="33" t="s">
        <v>140</v>
      </c>
      <c r="H28267" s="35">
        <v>30</v>
      </c>
      <c r="I28267" s="33" t="s">
        <v>51</v>
      </c>
      <c r="J28267" s="42">
        <v>46099</v>
      </c>
      <c r="K28267" s="33" t="s">
        <v>22</v>
      </c>
    </row>
    <row r="28268" spans="1:11">
      <c r="A28268" s="30" t="s">
        <v>61975</v>
      </c>
      <c r="B28268" s="30" t="s">
        <v>61976</v>
      </c>
      <c r="C28268" s="30" t="s">
        <v>715</v>
      </c>
      <c r="D28268" s="30" t="s">
        <v>17</v>
      </c>
      <c r="E28268" s="30" t="s">
        <v>67</v>
      </c>
      <c r="F28268" s="30" t="s">
        <v>68</v>
      </c>
      <c r="G28268" s="30" t="s">
        <v>140</v>
      </c>
      <c r="H28268" s="32">
        <v>428</v>
      </c>
      <c r="I28268" s="30" t="s">
        <v>51</v>
      </c>
      <c r="J28268" s="41">
        <v>46058</v>
      </c>
      <c r="K28268" s="30" t="s">
        <v>22</v>
      </c>
    </row>
    <row r="28269" spans="1:11">
      <c r="A28269" s="33" t="s">
        <v>61977</v>
      </c>
      <c r="B28269" s="33" t="s">
        <v>61978</v>
      </c>
      <c r="C28269" s="33" t="s">
        <v>3296</v>
      </c>
      <c r="D28269" s="33" t="s">
        <v>17</v>
      </c>
      <c r="E28269" s="33" t="s">
        <v>26</v>
      </c>
      <c r="F28269" s="33" t="s">
        <v>27</v>
      </c>
      <c r="G28269" s="33" t="s">
        <v>140</v>
      </c>
      <c r="H28269" s="35">
        <v>51</v>
      </c>
      <c r="I28269" s="33" t="s">
        <v>51</v>
      </c>
      <c r="J28269" s="42">
        <v>46160</v>
      </c>
      <c r="K28269" s="33" t="s">
        <v>22</v>
      </c>
    </row>
    <row r="28270" spans="1:11">
      <c r="A28270" s="30" t="s">
        <v>61979</v>
      </c>
      <c r="B28270" s="30" t="s">
        <v>61980</v>
      </c>
      <c r="C28270" s="30" t="s">
        <v>61981</v>
      </c>
      <c r="D28270" s="30" t="s">
        <v>17</v>
      </c>
      <c r="E28270" s="30" t="s">
        <v>26</v>
      </c>
      <c r="F28270" s="30" t="s">
        <v>27</v>
      </c>
      <c r="G28270" s="30" t="s">
        <v>140</v>
      </c>
      <c r="H28270" s="32">
        <v>54</v>
      </c>
      <c r="I28270" s="30" t="s">
        <v>51</v>
      </c>
      <c r="J28270" s="41">
        <v>46098</v>
      </c>
      <c r="K28270" s="30" t="s">
        <v>22</v>
      </c>
    </row>
    <row r="28271" spans="1:11">
      <c r="A28271" s="33" t="s">
        <v>61982</v>
      </c>
      <c r="B28271" s="33" t="s">
        <v>61983</v>
      </c>
      <c r="C28271" s="33" t="s">
        <v>231</v>
      </c>
      <c r="D28271" s="33" t="s">
        <v>17</v>
      </c>
      <c r="E28271" s="33" t="s">
        <v>18</v>
      </c>
      <c r="F28271" s="33" t="s">
        <v>19</v>
      </c>
      <c r="G28271" s="33" t="s">
        <v>140</v>
      </c>
      <c r="H28271" s="35">
        <v>35</v>
      </c>
      <c r="I28271" s="33" t="s">
        <v>51</v>
      </c>
      <c r="J28271" s="42">
        <v>46224</v>
      </c>
      <c r="K28271" s="33" t="s">
        <v>22</v>
      </c>
    </row>
    <row r="28272" spans="1:11">
      <c r="A28272" s="30" t="s">
        <v>61984</v>
      </c>
      <c r="B28272" s="30" t="s">
        <v>61985</v>
      </c>
      <c r="C28272" s="30" t="s">
        <v>136</v>
      </c>
      <c r="D28272" s="30" t="s">
        <v>17</v>
      </c>
      <c r="E28272" s="30" t="s">
        <v>26</v>
      </c>
      <c r="F28272" s="30" t="s">
        <v>27</v>
      </c>
      <c r="G28272" s="30" t="s">
        <v>140</v>
      </c>
      <c r="H28272" s="32">
        <v>32</v>
      </c>
      <c r="I28272" s="30" t="s">
        <v>51</v>
      </c>
      <c r="J28272" s="41">
        <v>46156</v>
      </c>
      <c r="K28272" s="30" t="s">
        <v>22</v>
      </c>
    </row>
    <row r="28273" spans="1:11">
      <c r="A28273" s="33" t="s">
        <v>61986</v>
      </c>
      <c r="B28273" s="33" t="s">
        <v>61987</v>
      </c>
      <c r="C28273" s="33" t="s">
        <v>5636</v>
      </c>
      <c r="D28273" s="33" t="s">
        <v>17</v>
      </c>
      <c r="E28273" s="33" t="s">
        <v>18</v>
      </c>
      <c r="F28273" s="33" t="s">
        <v>19</v>
      </c>
      <c r="G28273" s="33" t="s">
        <v>140</v>
      </c>
      <c r="H28273" s="35">
        <v>135</v>
      </c>
      <c r="I28273" s="33" t="s">
        <v>51</v>
      </c>
      <c r="J28273" s="42">
        <v>46112</v>
      </c>
      <c r="K28273" s="33" t="s">
        <v>22</v>
      </c>
    </row>
    <row r="28274" spans="1:11">
      <c r="A28274" s="30" t="s">
        <v>61988</v>
      </c>
      <c r="B28274" s="30" t="s">
        <v>61989</v>
      </c>
      <c r="C28274" s="30" t="s">
        <v>61990</v>
      </c>
      <c r="D28274" s="30" t="s">
        <v>17</v>
      </c>
      <c r="E28274" s="30" t="s">
        <v>45</v>
      </c>
      <c r="F28274" s="30" t="s">
        <v>46</v>
      </c>
      <c r="G28274" s="30" t="s">
        <v>7780</v>
      </c>
      <c r="H28274" s="32">
        <v>160</v>
      </c>
      <c r="I28274" s="30" t="s">
        <v>51</v>
      </c>
      <c r="J28274" s="41">
        <v>46113</v>
      </c>
      <c r="K28274" s="30" t="s">
        <v>22</v>
      </c>
    </row>
    <row r="28275" spans="1:11">
      <c r="A28275" s="33" t="s">
        <v>61991</v>
      </c>
      <c r="B28275" s="33" t="s">
        <v>61992</v>
      </c>
      <c r="C28275" s="33" t="s">
        <v>61993</v>
      </c>
      <c r="D28275" s="33" t="s">
        <v>17</v>
      </c>
      <c r="E28275" s="33" t="s">
        <v>67</v>
      </c>
      <c r="F28275" s="33" t="s">
        <v>68</v>
      </c>
      <c r="G28275" s="33" t="s">
        <v>140</v>
      </c>
      <c r="H28275" s="35">
        <v>170</v>
      </c>
      <c r="I28275" s="33" t="s">
        <v>51</v>
      </c>
      <c r="J28275" s="42">
        <v>46026</v>
      </c>
      <c r="K28275" s="33" t="s">
        <v>22</v>
      </c>
    </row>
    <row r="28276" spans="1:11">
      <c r="A28276" s="30" t="s">
        <v>61994</v>
      </c>
      <c r="B28276" s="30" t="s">
        <v>61995</v>
      </c>
      <c r="C28276" s="30" t="s">
        <v>61996</v>
      </c>
      <c r="D28276" s="30" t="s">
        <v>17</v>
      </c>
      <c r="E28276" s="30" t="s">
        <v>26</v>
      </c>
      <c r="F28276" s="30" t="s">
        <v>27</v>
      </c>
      <c r="G28276" s="30" t="s">
        <v>7780</v>
      </c>
      <c r="H28276" s="32">
        <v>21</v>
      </c>
      <c r="I28276" s="30" t="s">
        <v>51</v>
      </c>
      <c r="J28276" s="41">
        <v>46157</v>
      </c>
      <c r="K28276" s="30" t="s">
        <v>22</v>
      </c>
    </row>
    <row r="28277" spans="1:11">
      <c r="A28277" s="33" t="s">
        <v>61997</v>
      </c>
      <c r="B28277" s="33" t="s">
        <v>61998</v>
      </c>
      <c r="C28277" s="33" t="s">
        <v>9078</v>
      </c>
      <c r="D28277" s="33" t="s">
        <v>17</v>
      </c>
      <c r="E28277" s="33" t="s">
        <v>26</v>
      </c>
      <c r="F28277" s="33" t="s">
        <v>27</v>
      </c>
      <c r="G28277" s="33" t="s">
        <v>7780</v>
      </c>
      <c r="H28277" s="35">
        <v>310</v>
      </c>
      <c r="I28277" s="33" t="s">
        <v>51</v>
      </c>
      <c r="J28277" s="42">
        <v>46174</v>
      </c>
      <c r="K28277" s="33" t="s">
        <v>22</v>
      </c>
    </row>
    <row r="28278" spans="1:11">
      <c r="A28278" s="30" t="s">
        <v>61999</v>
      </c>
      <c r="B28278" s="30" t="s">
        <v>62000</v>
      </c>
      <c r="C28278" s="30" t="s">
        <v>51579</v>
      </c>
      <c r="D28278" s="30" t="s">
        <v>17</v>
      </c>
      <c r="E28278" s="30" t="s">
        <v>26</v>
      </c>
      <c r="F28278" s="30" t="s">
        <v>27</v>
      </c>
      <c r="G28278" s="30" t="s">
        <v>7780</v>
      </c>
      <c r="H28278" s="32">
        <v>24</v>
      </c>
      <c r="I28278" s="30" t="s">
        <v>51</v>
      </c>
      <c r="J28278" s="41">
        <v>46127</v>
      </c>
      <c r="K28278" s="30" t="s">
        <v>22</v>
      </c>
    </row>
    <row r="28279" spans="1:11">
      <c r="A28279" s="33" t="s">
        <v>62001</v>
      </c>
      <c r="B28279" s="33" t="s">
        <v>62002</v>
      </c>
      <c r="C28279" s="33" t="s">
        <v>5139</v>
      </c>
      <c r="D28279" s="33" t="s">
        <v>17</v>
      </c>
      <c r="E28279" s="33" t="s">
        <v>31</v>
      </c>
      <c r="F28279" s="33" t="s">
        <v>32</v>
      </c>
      <c r="G28279" s="33" t="s">
        <v>2613</v>
      </c>
      <c r="H28279" s="35">
        <v>50</v>
      </c>
      <c r="I28279" s="33" t="s">
        <v>51</v>
      </c>
      <c r="J28279" s="42">
        <v>46111</v>
      </c>
      <c r="K28279" s="33" t="s">
        <v>22</v>
      </c>
    </row>
    <row r="28280" spans="1:11">
      <c r="A28280" s="30" t="s">
        <v>62003</v>
      </c>
      <c r="B28280" s="30" t="s">
        <v>62004</v>
      </c>
      <c r="C28280" s="30" t="s">
        <v>27827</v>
      </c>
      <c r="D28280" s="30" t="s">
        <v>17</v>
      </c>
      <c r="E28280" s="30" t="s">
        <v>31</v>
      </c>
      <c r="F28280" s="30" t="s">
        <v>32</v>
      </c>
      <c r="G28280" s="30" t="s">
        <v>140</v>
      </c>
      <c r="H28280" s="32">
        <v>62</v>
      </c>
      <c r="I28280" s="30" t="s">
        <v>51</v>
      </c>
      <c r="J28280" s="41">
        <v>46032</v>
      </c>
      <c r="K28280" s="30" t="s">
        <v>22</v>
      </c>
    </row>
    <row r="28281" spans="1:11">
      <c r="A28281" s="33" t="s">
        <v>62005</v>
      </c>
      <c r="B28281" s="33" t="s">
        <v>62006</v>
      </c>
      <c r="C28281" s="33" t="s">
        <v>3944</v>
      </c>
      <c r="D28281" s="33" t="s">
        <v>17</v>
      </c>
      <c r="E28281" s="33" t="s">
        <v>26</v>
      </c>
      <c r="F28281" s="33" t="s">
        <v>27</v>
      </c>
      <c r="G28281" s="33" t="s">
        <v>140</v>
      </c>
      <c r="H28281" s="35">
        <v>18</v>
      </c>
      <c r="I28281" s="33" t="s">
        <v>51</v>
      </c>
      <c r="J28281" s="42">
        <v>46048</v>
      </c>
      <c r="K28281" s="33" t="s">
        <v>22</v>
      </c>
    </row>
    <row r="28282" spans="1:11">
      <c r="A28282" s="30" t="s">
        <v>62007</v>
      </c>
      <c r="B28282" s="30" t="s">
        <v>62008</v>
      </c>
      <c r="C28282" s="30" t="s">
        <v>22557</v>
      </c>
      <c r="D28282" s="30" t="s">
        <v>17</v>
      </c>
      <c r="E28282" s="30" t="s">
        <v>67</v>
      </c>
      <c r="F28282" s="30" t="s">
        <v>68</v>
      </c>
      <c r="G28282" s="30" t="s">
        <v>7780</v>
      </c>
      <c r="H28282" s="32">
        <v>36</v>
      </c>
      <c r="I28282" s="30" t="s">
        <v>51</v>
      </c>
      <c r="J28282" s="41">
        <v>46218</v>
      </c>
      <c r="K28282" s="30" t="s">
        <v>22</v>
      </c>
    </row>
    <row r="28283" spans="1:11">
      <c r="A28283" s="33" t="s">
        <v>62009</v>
      </c>
      <c r="B28283" s="33" t="s">
        <v>62010</v>
      </c>
      <c r="C28283" s="33" t="s">
        <v>1151</v>
      </c>
      <c r="D28283" s="33" t="s">
        <v>17</v>
      </c>
      <c r="E28283" s="33" t="s">
        <v>26</v>
      </c>
      <c r="F28283" s="33" t="s">
        <v>27</v>
      </c>
      <c r="G28283" s="33" t="s">
        <v>140</v>
      </c>
      <c r="H28283" s="35">
        <v>42</v>
      </c>
      <c r="I28283" s="33" t="s">
        <v>51</v>
      </c>
      <c r="J28283" s="42">
        <v>46198</v>
      </c>
      <c r="K28283" s="33" t="s">
        <v>22</v>
      </c>
    </row>
    <row r="28284" spans="1:11">
      <c r="A28284" s="30" t="s">
        <v>62011</v>
      </c>
      <c r="B28284" s="30" t="s">
        <v>62012</v>
      </c>
      <c r="C28284" s="30" t="s">
        <v>62013</v>
      </c>
      <c r="D28284" s="30" t="s">
        <v>17</v>
      </c>
      <c r="E28284" s="30" t="s">
        <v>26</v>
      </c>
      <c r="F28284" s="30" t="s">
        <v>27</v>
      </c>
      <c r="G28284" s="30" t="s">
        <v>140</v>
      </c>
      <c r="H28284" s="32">
        <v>42</v>
      </c>
      <c r="I28284" s="30" t="s">
        <v>51</v>
      </c>
      <c r="J28284" s="41">
        <v>46051</v>
      </c>
      <c r="K28284" s="30" t="s">
        <v>22</v>
      </c>
    </row>
    <row r="28285" spans="1:11">
      <c r="A28285" s="33" t="s">
        <v>62014</v>
      </c>
      <c r="B28285" s="33" t="s">
        <v>62015</v>
      </c>
      <c r="C28285" s="33" t="s">
        <v>1270</v>
      </c>
      <c r="D28285" s="33" t="s">
        <v>17</v>
      </c>
      <c r="E28285" s="33" t="s">
        <v>67</v>
      </c>
      <c r="F28285" s="33" t="s">
        <v>68</v>
      </c>
      <c r="G28285" s="33" t="s">
        <v>7780</v>
      </c>
      <c r="H28285" s="35">
        <v>180</v>
      </c>
      <c r="I28285" s="33" t="s">
        <v>51</v>
      </c>
      <c r="J28285" s="42">
        <v>46183</v>
      </c>
      <c r="K28285" s="33" t="s">
        <v>22</v>
      </c>
    </row>
    <row r="28286" spans="1:11">
      <c r="A28286" s="30" t="s">
        <v>62016</v>
      </c>
      <c r="B28286" s="30" t="s">
        <v>62017</v>
      </c>
      <c r="C28286" s="30" t="s">
        <v>8072</v>
      </c>
      <c r="D28286" s="30" t="s">
        <v>17</v>
      </c>
      <c r="E28286" s="30" t="s">
        <v>212</v>
      </c>
      <c r="F28286" s="30" t="s">
        <v>213</v>
      </c>
      <c r="G28286" s="30" t="s">
        <v>7780</v>
      </c>
      <c r="H28286" s="32">
        <v>106</v>
      </c>
      <c r="I28286" s="30" t="s">
        <v>51</v>
      </c>
      <c r="J28286" s="41">
        <v>46157</v>
      </c>
      <c r="K28286" s="30" t="s">
        <v>22</v>
      </c>
    </row>
    <row r="28287" spans="1:11">
      <c r="A28287" s="33" t="s">
        <v>62018</v>
      </c>
      <c r="B28287" s="33" t="s">
        <v>62019</v>
      </c>
      <c r="C28287" s="33" t="s">
        <v>8653</v>
      </c>
      <c r="D28287" s="33" t="s">
        <v>17</v>
      </c>
      <c r="E28287" s="33" t="s">
        <v>67</v>
      </c>
      <c r="F28287" s="33" t="s">
        <v>68</v>
      </c>
      <c r="G28287" s="33" t="s">
        <v>7780</v>
      </c>
      <c r="H28287" s="35">
        <v>49</v>
      </c>
      <c r="I28287" s="33" t="s">
        <v>51</v>
      </c>
      <c r="J28287" s="42">
        <v>46080</v>
      </c>
      <c r="K28287" s="33" t="s">
        <v>22</v>
      </c>
    </row>
    <row r="28288" spans="1:11">
      <c r="A28288" s="30" t="s">
        <v>62020</v>
      </c>
      <c r="B28288" s="30" t="s">
        <v>62021</v>
      </c>
      <c r="C28288" s="30" t="s">
        <v>310</v>
      </c>
      <c r="D28288" s="30" t="s">
        <v>17</v>
      </c>
      <c r="E28288" s="30" t="s">
        <v>26</v>
      </c>
      <c r="F28288" s="30" t="s">
        <v>27</v>
      </c>
      <c r="G28288" s="30" t="s">
        <v>7780</v>
      </c>
      <c r="H28288" s="32">
        <v>40</v>
      </c>
      <c r="I28288" s="30" t="s">
        <v>51</v>
      </c>
      <c r="J28288" s="41">
        <v>46220</v>
      </c>
      <c r="K28288" s="30" t="s">
        <v>22</v>
      </c>
    </row>
    <row r="28289" spans="1:11">
      <c r="A28289" s="33" t="s">
        <v>62022</v>
      </c>
      <c r="B28289" s="33" t="s">
        <v>62023</v>
      </c>
      <c r="C28289" s="33" t="s">
        <v>42603</v>
      </c>
      <c r="D28289" s="33" t="s">
        <v>17</v>
      </c>
      <c r="E28289" s="33" t="s">
        <v>26</v>
      </c>
      <c r="F28289" s="33" t="s">
        <v>27</v>
      </c>
      <c r="G28289" s="33" t="s">
        <v>7780</v>
      </c>
      <c r="H28289" s="35">
        <v>15</v>
      </c>
      <c r="I28289" s="33" t="s">
        <v>51</v>
      </c>
      <c r="J28289" s="42">
        <v>46127</v>
      </c>
      <c r="K28289" s="33" t="s">
        <v>22</v>
      </c>
    </row>
    <row r="28290" spans="1:11">
      <c r="A28290" s="30" t="s">
        <v>62024</v>
      </c>
      <c r="B28290" s="30" t="s">
        <v>62025</v>
      </c>
      <c r="C28290" s="30" t="s">
        <v>190</v>
      </c>
      <c r="D28290" s="30" t="s">
        <v>17</v>
      </c>
      <c r="E28290" s="30" t="s">
        <v>26</v>
      </c>
      <c r="F28290" s="30" t="s">
        <v>27</v>
      </c>
      <c r="G28290" s="30" t="s">
        <v>20</v>
      </c>
      <c r="H28290" s="32">
        <v>42</v>
      </c>
      <c r="I28290" s="30" t="s">
        <v>21</v>
      </c>
      <c r="J28290" s="41">
        <v>46100</v>
      </c>
      <c r="K28290" s="30" t="s">
        <v>22</v>
      </c>
    </row>
    <row r="28291" spans="1:11">
      <c r="A28291" s="33" t="s">
        <v>62026</v>
      </c>
      <c r="B28291" s="33" t="s">
        <v>62027</v>
      </c>
      <c r="C28291" s="33" t="s">
        <v>93</v>
      </c>
      <c r="D28291" s="33" t="s">
        <v>17</v>
      </c>
      <c r="E28291" s="33" t="s">
        <v>26</v>
      </c>
      <c r="F28291" s="33" t="s">
        <v>27</v>
      </c>
      <c r="G28291" s="33" t="s">
        <v>140</v>
      </c>
      <c r="H28291" s="35">
        <v>18</v>
      </c>
      <c r="I28291" s="33" t="s">
        <v>51</v>
      </c>
      <c r="J28291" s="42">
        <v>46162</v>
      </c>
      <c r="K28291" s="33" t="s">
        <v>22</v>
      </c>
    </row>
    <row r="28292" spans="1:11">
      <c r="A28292" s="30" t="s">
        <v>62028</v>
      </c>
      <c r="B28292" s="30" t="s">
        <v>62029</v>
      </c>
      <c r="C28292" s="30" t="s">
        <v>5636</v>
      </c>
      <c r="D28292" s="30" t="s">
        <v>17</v>
      </c>
      <c r="E28292" s="30" t="s">
        <v>31</v>
      </c>
      <c r="F28292" s="30" t="s">
        <v>32</v>
      </c>
      <c r="G28292" s="30" t="s">
        <v>140</v>
      </c>
      <c r="H28292" s="32">
        <v>18</v>
      </c>
      <c r="I28292" s="30" t="s">
        <v>51</v>
      </c>
      <c r="J28292" s="41">
        <v>46166</v>
      </c>
      <c r="K28292" s="30" t="s">
        <v>22</v>
      </c>
    </row>
    <row r="28293" spans="1:11">
      <c r="A28293" s="33" t="s">
        <v>62030</v>
      </c>
      <c r="B28293" s="33" t="s">
        <v>62031</v>
      </c>
      <c r="C28293" s="33" t="s">
        <v>7072</v>
      </c>
      <c r="D28293" s="33" t="s">
        <v>17</v>
      </c>
      <c r="E28293" s="33" t="s">
        <v>31</v>
      </c>
      <c r="F28293" s="33" t="s">
        <v>32</v>
      </c>
      <c r="G28293" s="33" t="s">
        <v>140</v>
      </c>
      <c r="H28293" s="35">
        <v>70</v>
      </c>
      <c r="I28293" s="33" t="s">
        <v>51</v>
      </c>
      <c r="J28293" s="42">
        <v>46115</v>
      </c>
      <c r="K28293" s="33" t="s">
        <v>22</v>
      </c>
    </row>
    <row r="28294" spans="1:11">
      <c r="A28294" s="30" t="s">
        <v>62032</v>
      </c>
      <c r="B28294" s="30" t="s">
        <v>62033</v>
      </c>
      <c r="C28294" s="30" t="s">
        <v>62034</v>
      </c>
      <c r="D28294" s="30" t="s">
        <v>17</v>
      </c>
      <c r="E28294" s="30" t="s">
        <v>330</v>
      </c>
      <c r="F28294" s="30" t="s">
        <v>331</v>
      </c>
      <c r="G28294" s="30" t="s">
        <v>7780</v>
      </c>
      <c r="H28294" s="32">
        <v>12</v>
      </c>
      <c r="I28294" s="30" t="s">
        <v>51</v>
      </c>
      <c r="J28294" s="41">
        <v>46204</v>
      </c>
      <c r="K28294" s="30" t="s">
        <v>22</v>
      </c>
    </row>
    <row r="28295" spans="1:11">
      <c r="A28295" s="33" t="s">
        <v>62035</v>
      </c>
      <c r="B28295" s="33" t="s">
        <v>62036</v>
      </c>
      <c r="C28295" s="33" t="s">
        <v>807</v>
      </c>
      <c r="D28295" s="33" t="s">
        <v>17</v>
      </c>
      <c r="E28295" s="33" t="s">
        <v>31</v>
      </c>
      <c r="F28295" s="33" t="s">
        <v>32</v>
      </c>
      <c r="G28295" s="33" t="s">
        <v>7780</v>
      </c>
      <c r="H28295" s="35">
        <v>35</v>
      </c>
      <c r="I28295" s="33" t="s">
        <v>51</v>
      </c>
      <c r="J28295" s="42">
        <v>46204</v>
      </c>
      <c r="K28295" s="33" t="s">
        <v>22</v>
      </c>
    </row>
    <row r="28296" spans="1:11">
      <c r="A28296" s="30" t="s">
        <v>62037</v>
      </c>
      <c r="B28296" s="30" t="s">
        <v>62038</v>
      </c>
      <c r="C28296" s="30" t="s">
        <v>10199</v>
      </c>
      <c r="D28296" s="30" t="s">
        <v>17</v>
      </c>
      <c r="E28296" s="30" t="s">
        <v>31</v>
      </c>
      <c r="F28296" s="30" t="s">
        <v>32</v>
      </c>
      <c r="G28296" s="30" t="s">
        <v>7780</v>
      </c>
      <c r="H28296" s="32">
        <v>48</v>
      </c>
      <c r="I28296" s="30" t="s">
        <v>51</v>
      </c>
      <c r="J28296" s="41">
        <v>46174</v>
      </c>
      <c r="K28296" s="30" t="s">
        <v>22</v>
      </c>
    </row>
    <row r="28297" spans="1:11">
      <c r="A28297" s="33" t="s">
        <v>62039</v>
      </c>
      <c r="B28297" s="33" t="s">
        <v>62040</v>
      </c>
      <c r="C28297" s="33" t="s">
        <v>11363</v>
      </c>
      <c r="D28297" s="33" t="s">
        <v>17</v>
      </c>
      <c r="E28297" s="33" t="s">
        <v>45</v>
      </c>
      <c r="F28297" s="33" t="s">
        <v>46</v>
      </c>
      <c r="G28297" s="33" t="s">
        <v>140</v>
      </c>
      <c r="H28297" s="35">
        <v>750</v>
      </c>
      <c r="I28297" s="33" t="s">
        <v>51</v>
      </c>
      <c r="J28297" s="42">
        <v>46188</v>
      </c>
      <c r="K28297" s="33" t="s">
        <v>22</v>
      </c>
    </row>
    <row r="28298" spans="1:11">
      <c r="A28298" s="30" t="s">
        <v>62041</v>
      </c>
      <c r="B28298" s="30" t="s">
        <v>62042</v>
      </c>
      <c r="C28298" s="30" t="s">
        <v>1305</v>
      </c>
      <c r="D28298" s="30" t="s">
        <v>17</v>
      </c>
      <c r="E28298" s="30" t="s">
        <v>18</v>
      </c>
      <c r="F28298" s="30" t="s">
        <v>19</v>
      </c>
      <c r="G28298" s="30" t="s">
        <v>140</v>
      </c>
      <c r="H28298" s="32">
        <v>1300</v>
      </c>
      <c r="I28298" s="30" t="s">
        <v>51</v>
      </c>
      <c r="J28298" s="41">
        <v>46071</v>
      </c>
      <c r="K28298" s="30" t="s">
        <v>22</v>
      </c>
    </row>
    <row r="28299" spans="1:11">
      <c r="A28299" s="33" t="s">
        <v>62043</v>
      </c>
      <c r="B28299" s="33" t="s">
        <v>62044</v>
      </c>
      <c r="C28299" s="33" t="s">
        <v>318</v>
      </c>
      <c r="D28299" s="33" t="s">
        <v>17</v>
      </c>
      <c r="E28299" s="33" t="s">
        <v>18</v>
      </c>
      <c r="F28299" s="33" t="s">
        <v>19</v>
      </c>
      <c r="G28299" s="33" t="s">
        <v>140</v>
      </c>
      <c r="H28299" s="35">
        <v>270</v>
      </c>
      <c r="I28299" s="33" t="s">
        <v>51</v>
      </c>
      <c r="J28299" s="42">
        <v>46062</v>
      </c>
      <c r="K28299" s="33" t="s">
        <v>22</v>
      </c>
    </row>
    <row r="28300" spans="1:11">
      <c r="A28300" s="30" t="s">
        <v>62045</v>
      </c>
      <c r="B28300" s="30" t="s">
        <v>62046</v>
      </c>
      <c r="C28300" s="30" t="s">
        <v>44</v>
      </c>
      <c r="D28300" s="30" t="s">
        <v>17</v>
      </c>
      <c r="E28300" s="30" t="s">
        <v>31</v>
      </c>
      <c r="F28300" s="30" t="s">
        <v>32</v>
      </c>
      <c r="G28300" s="30" t="s">
        <v>140</v>
      </c>
      <c r="H28300" s="32">
        <v>420</v>
      </c>
      <c r="I28300" s="30" t="s">
        <v>51</v>
      </c>
      <c r="J28300" s="41">
        <v>46190</v>
      </c>
      <c r="K28300" s="30" t="s">
        <v>22</v>
      </c>
    </row>
    <row r="28301" spans="1:11">
      <c r="A28301" s="33" t="s">
        <v>62047</v>
      </c>
      <c r="B28301" s="33" t="s">
        <v>62048</v>
      </c>
      <c r="C28301" s="33" t="s">
        <v>6663</v>
      </c>
      <c r="D28301" s="33" t="s">
        <v>17</v>
      </c>
      <c r="E28301" s="33" t="s">
        <v>31</v>
      </c>
      <c r="F28301" s="33" t="s">
        <v>32</v>
      </c>
      <c r="G28301" s="33" t="s">
        <v>140</v>
      </c>
      <c r="H28301" s="35">
        <v>110</v>
      </c>
      <c r="I28301" s="33" t="s">
        <v>51</v>
      </c>
      <c r="J28301" s="42">
        <v>46079</v>
      </c>
      <c r="K28301" s="33" t="s">
        <v>22</v>
      </c>
    </row>
    <row r="28302" spans="1:11">
      <c r="A28302" s="30" t="s">
        <v>62049</v>
      </c>
      <c r="B28302" s="30" t="s">
        <v>62050</v>
      </c>
      <c r="C28302" s="30" t="s">
        <v>62051</v>
      </c>
      <c r="D28302" s="30" t="s">
        <v>17</v>
      </c>
      <c r="E28302" s="30" t="s">
        <v>18</v>
      </c>
      <c r="F28302" s="30" t="s">
        <v>19</v>
      </c>
      <c r="G28302" s="30" t="s">
        <v>7780</v>
      </c>
      <c r="H28302" s="32">
        <v>442</v>
      </c>
      <c r="I28302" s="30" t="s">
        <v>51</v>
      </c>
      <c r="J28302" s="41">
        <v>46174</v>
      </c>
      <c r="K28302" s="30" t="s">
        <v>22</v>
      </c>
    </row>
    <row r="28303" spans="1:11">
      <c r="A28303" s="33" t="s">
        <v>62052</v>
      </c>
      <c r="B28303" s="33" t="s">
        <v>62053</v>
      </c>
      <c r="C28303" s="33" t="s">
        <v>3121</v>
      </c>
      <c r="D28303" s="33" t="s">
        <v>17</v>
      </c>
      <c r="E28303" s="33" t="s">
        <v>18</v>
      </c>
      <c r="F28303" s="33" t="s">
        <v>19</v>
      </c>
      <c r="G28303" s="33" t="s">
        <v>140</v>
      </c>
      <c r="H28303" s="35">
        <v>150</v>
      </c>
      <c r="I28303" s="33" t="s">
        <v>51</v>
      </c>
      <c r="J28303" s="42">
        <v>46162</v>
      </c>
      <c r="K28303" s="33" t="s">
        <v>22</v>
      </c>
    </row>
    <row r="28304" spans="1:11">
      <c r="A28304" s="30" t="s">
        <v>62054</v>
      </c>
      <c r="B28304" s="30" t="s">
        <v>62055</v>
      </c>
      <c r="C28304" s="30" t="s">
        <v>136</v>
      </c>
      <c r="D28304" s="30" t="s">
        <v>17</v>
      </c>
      <c r="E28304" s="30" t="s">
        <v>31</v>
      </c>
      <c r="F28304" s="30" t="s">
        <v>32</v>
      </c>
      <c r="G28304" s="30" t="s">
        <v>7780</v>
      </c>
      <c r="H28304" s="32">
        <v>150</v>
      </c>
      <c r="I28304" s="30" t="s">
        <v>51</v>
      </c>
      <c r="J28304" s="41">
        <v>46204</v>
      </c>
      <c r="K28304" s="30" t="s">
        <v>22</v>
      </c>
    </row>
    <row r="28305" spans="1:11">
      <c r="A28305" s="33" t="s">
        <v>62056</v>
      </c>
      <c r="B28305" s="33" t="s">
        <v>62057</v>
      </c>
      <c r="C28305" s="33" t="s">
        <v>187</v>
      </c>
      <c r="D28305" s="33" t="s">
        <v>17</v>
      </c>
      <c r="E28305" s="33" t="s">
        <v>31</v>
      </c>
      <c r="F28305" s="33" t="s">
        <v>32</v>
      </c>
      <c r="G28305" s="33" t="s">
        <v>7780</v>
      </c>
      <c r="H28305" s="35">
        <v>90</v>
      </c>
      <c r="I28305" s="33" t="s">
        <v>51</v>
      </c>
      <c r="J28305" s="42">
        <v>46204</v>
      </c>
      <c r="K28305" s="33" t="s">
        <v>22</v>
      </c>
    </row>
    <row r="28306" spans="1:11">
      <c r="A28306" s="30" t="s">
        <v>62058</v>
      </c>
      <c r="B28306" s="30" t="s">
        <v>62059</v>
      </c>
      <c r="C28306" s="30" t="s">
        <v>2135</v>
      </c>
      <c r="D28306" s="30" t="s">
        <v>17</v>
      </c>
      <c r="E28306" s="30" t="s">
        <v>18</v>
      </c>
      <c r="F28306" s="30" t="s">
        <v>19</v>
      </c>
      <c r="G28306" s="30" t="s">
        <v>7780</v>
      </c>
      <c r="H28306" s="32">
        <v>18</v>
      </c>
      <c r="I28306" s="30" t="s">
        <v>51</v>
      </c>
      <c r="J28306" s="41">
        <v>46023</v>
      </c>
      <c r="K28306" s="30" t="s">
        <v>22</v>
      </c>
    </row>
    <row r="28307" spans="1:11">
      <c r="A28307" s="33" t="s">
        <v>62060</v>
      </c>
      <c r="B28307" s="33" t="s">
        <v>62061</v>
      </c>
      <c r="C28307" s="33" t="s">
        <v>6663</v>
      </c>
      <c r="D28307" s="33" t="s">
        <v>17</v>
      </c>
      <c r="E28307" s="33" t="s">
        <v>67</v>
      </c>
      <c r="F28307" s="33" t="s">
        <v>68</v>
      </c>
      <c r="G28307" s="33" t="s">
        <v>140</v>
      </c>
      <c r="H28307" s="35">
        <v>220</v>
      </c>
      <c r="I28307" s="33" t="s">
        <v>51</v>
      </c>
      <c r="J28307" s="42">
        <v>46049</v>
      </c>
      <c r="K28307" s="33" t="s">
        <v>22</v>
      </c>
    </row>
    <row r="28308" spans="1:11">
      <c r="A28308" s="30" t="s">
        <v>62062</v>
      </c>
      <c r="B28308" s="30" t="s">
        <v>62063</v>
      </c>
      <c r="C28308" s="30" t="s">
        <v>9464</v>
      </c>
      <c r="D28308" s="30" t="s">
        <v>17</v>
      </c>
      <c r="E28308" s="30" t="s">
        <v>18</v>
      </c>
      <c r="F28308" s="30" t="s">
        <v>19</v>
      </c>
      <c r="G28308" s="30" t="s">
        <v>7780</v>
      </c>
      <c r="H28308" s="32">
        <v>556</v>
      </c>
      <c r="I28308" s="30" t="s">
        <v>51</v>
      </c>
      <c r="J28308" s="41">
        <v>46183</v>
      </c>
      <c r="K28308" s="30" t="s">
        <v>22</v>
      </c>
    </row>
    <row r="28309" spans="1:11">
      <c r="A28309" s="33" t="s">
        <v>62064</v>
      </c>
      <c r="B28309" s="33" t="s">
        <v>62065</v>
      </c>
      <c r="C28309" s="33" t="s">
        <v>44</v>
      </c>
      <c r="D28309" s="33" t="s">
        <v>17</v>
      </c>
      <c r="E28309" s="33" t="s">
        <v>18</v>
      </c>
      <c r="F28309" s="33" t="s">
        <v>19</v>
      </c>
      <c r="G28309" s="33" t="s">
        <v>140</v>
      </c>
      <c r="H28309" s="35">
        <v>28</v>
      </c>
      <c r="I28309" s="33" t="s">
        <v>51</v>
      </c>
      <c r="J28309" s="42">
        <v>46094</v>
      </c>
      <c r="K28309" s="33" t="s">
        <v>22</v>
      </c>
    </row>
    <row r="28310" spans="1:11">
      <c r="A28310" s="30" t="s">
        <v>62066</v>
      </c>
      <c r="B28310" s="30" t="s">
        <v>62067</v>
      </c>
      <c r="C28310" s="30" t="s">
        <v>647</v>
      </c>
      <c r="D28310" s="30" t="s">
        <v>17</v>
      </c>
      <c r="E28310" s="30" t="s">
        <v>18</v>
      </c>
      <c r="F28310" s="30" t="s">
        <v>19</v>
      </c>
      <c r="G28310" s="30" t="s">
        <v>140</v>
      </c>
      <c r="H28310" s="32">
        <v>876</v>
      </c>
      <c r="I28310" s="30" t="s">
        <v>51</v>
      </c>
      <c r="J28310" s="41">
        <v>46146</v>
      </c>
      <c r="K28310" s="30" t="s">
        <v>22</v>
      </c>
    </row>
    <row r="28311" spans="1:11">
      <c r="A28311" s="33" t="s">
        <v>62068</v>
      </c>
      <c r="B28311" s="33" t="s">
        <v>62069</v>
      </c>
      <c r="C28311" s="33" t="s">
        <v>894</v>
      </c>
      <c r="D28311" s="33" t="s">
        <v>17</v>
      </c>
      <c r="E28311" s="33" t="s">
        <v>26</v>
      </c>
      <c r="F28311" s="33" t="s">
        <v>27</v>
      </c>
      <c r="G28311" s="33" t="s">
        <v>158</v>
      </c>
      <c r="H28311" s="35">
        <v>18</v>
      </c>
      <c r="I28311" s="33" t="s">
        <v>21</v>
      </c>
      <c r="J28311" s="42">
        <v>46087</v>
      </c>
      <c r="K28311" s="33" t="s">
        <v>22</v>
      </c>
    </row>
    <row r="28312" spans="1:11">
      <c r="A28312" s="30" t="s">
        <v>62070</v>
      </c>
      <c r="B28312" s="30" t="s">
        <v>62071</v>
      </c>
      <c r="C28312" s="30" t="s">
        <v>6127</v>
      </c>
      <c r="D28312" s="30" t="s">
        <v>17</v>
      </c>
      <c r="E28312" s="30" t="s">
        <v>26</v>
      </c>
      <c r="F28312" s="30" t="s">
        <v>27</v>
      </c>
      <c r="G28312" s="30" t="s">
        <v>140</v>
      </c>
      <c r="H28312" s="32">
        <v>44</v>
      </c>
      <c r="I28312" s="30" t="s">
        <v>51</v>
      </c>
      <c r="J28312" s="41">
        <v>46083</v>
      </c>
      <c r="K28312" s="30" t="s">
        <v>22</v>
      </c>
    </row>
    <row r="28313" spans="1:11">
      <c r="A28313" s="33" t="s">
        <v>62072</v>
      </c>
      <c r="B28313" s="33" t="s">
        <v>62073</v>
      </c>
      <c r="C28313" s="33" t="s">
        <v>43348</v>
      </c>
      <c r="D28313" s="33" t="s">
        <v>17</v>
      </c>
      <c r="E28313" s="33" t="s">
        <v>67</v>
      </c>
      <c r="F28313" s="33" t="s">
        <v>68</v>
      </c>
      <c r="G28313" s="33" t="s">
        <v>7780</v>
      </c>
      <c r="H28313" s="35">
        <v>78</v>
      </c>
      <c r="I28313" s="33" t="s">
        <v>51</v>
      </c>
      <c r="J28313" s="42">
        <v>46174</v>
      </c>
      <c r="K28313" s="33" t="s">
        <v>22</v>
      </c>
    </row>
    <row r="28314" spans="1:11">
      <c r="A28314" s="30" t="s">
        <v>62074</v>
      </c>
      <c r="B28314" s="30" t="s">
        <v>62075</v>
      </c>
      <c r="C28314" s="30" t="s">
        <v>190</v>
      </c>
      <c r="D28314" s="30" t="s">
        <v>17</v>
      </c>
      <c r="E28314" s="30" t="s">
        <v>18</v>
      </c>
      <c r="F28314" s="30" t="s">
        <v>19</v>
      </c>
      <c r="G28314" s="30" t="s">
        <v>140</v>
      </c>
      <c r="H28314" s="32">
        <v>245</v>
      </c>
      <c r="I28314" s="30" t="s">
        <v>51</v>
      </c>
      <c r="J28314" s="41">
        <v>46125</v>
      </c>
      <c r="K28314" s="30" t="s">
        <v>22</v>
      </c>
    </row>
    <row r="28315" spans="1:11">
      <c r="A28315" s="33" t="s">
        <v>62076</v>
      </c>
      <c r="B28315" s="33" t="s">
        <v>62077</v>
      </c>
      <c r="C28315" s="33" t="s">
        <v>3594</v>
      </c>
      <c r="D28315" s="33" t="s">
        <v>17</v>
      </c>
      <c r="E28315" s="33" t="s">
        <v>18</v>
      </c>
      <c r="F28315" s="33" t="s">
        <v>19</v>
      </c>
      <c r="G28315" s="33" t="s">
        <v>140</v>
      </c>
      <c r="H28315" s="35">
        <v>159</v>
      </c>
      <c r="I28315" s="33" t="s">
        <v>51</v>
      </c>
      <c r="J28315" s="42">
        <v>46224</v>
      </c>
      <c r="K28315" s="33" t="s">
        <v>22</v>
      </c>
    </row>
    <row r="28316" spans="1:11">
      <c r="A28316" s="30" t="s">
        <v>62078</v>
      </c>
      <c r="B28316" s="30" t="s">
        <v>62079</v>
      </c>
      <c r="C28316" s="30" t="s">
        <v>27241</v>
      </c>
      <c r="D28316" s="30" t="s">
        <v>17</v>
      </c>
      <c r="E28316" s="30" t="s">
        <v>18</v>
      </c>
      <c r="F28316" s="30" t="s">
        <v>19</v>
      </c>
      <c r="G28316" s="30" t="s">
        <v>140</v>
      </c>
      <c r="H28316" s="32">
        <v>360</v>
      </c>
      <c r="I28316" s="30" t="s">
        <v>51</v>
      </c>
      <c r="J28316" s="41">
        <v>46113</v>
      </c>
      <c r="K28316" s="30" t="s">
        <v>22</v>
      </c>
    </row>
    <row r="28317" spans="1:11">
      <c r="A28317" s="33" t="s">
        <v>62080</v>
      </c>
      <c r="B28317" s="33" t="s">
        <v>62081</v>
      </c>
      <c r="C28317" s="33" t="s">
        <v>61209</v>
      </c>
      <c r="D28317" s="33" t="s">
        <v>17</v>
      </c>
      <c r="E28317" s="33" t="s">
        <v>18</v>
      </c>
      <c r="F28317" s="33" t="s">
        <v>19</v>
      </c>
      <c r="G28317" s="33" t="s">
        <v>140</v>
      </c>
      <c r="H28317" s="35">
        <v>80</v>
      </c>
      <c r="I28317" s="33" t="s">
        <v>51</v>
      </c>
      <c r="J28317" s="42">
        <v>46224</v>
      </c>
      <c r="K28317" s="33" t="s">
        <v>22</v>
      </c>
    </row>
    <row r="28318" spans="1:11">
      <c r="A28318" s="30" t="s">
        <v>62082</v>
      </c>
      <c r="B28318" s="30" t="s">
        <v>62083</v>
      </c>
      <c r="C28318" s="30" t="s">
        <v>10411</v>
      </c>
      <c r="D28318" s="30" t="s">
        <v>17</v>
      </c>
      <c r="E28318" s="30" t="s">
        <v>212</v>
      </c>
      <c r="F28318" s="30" t="s">
        <v>213</v>
      </c>
      <c r="G28318" s="30" t="s">
        <v>140</v>
      </c>
      <c r="H28318" s="32">
        <v>60</v>
      </c>
      <c r="I28318" s="30" t="s">
        <v>51</v>
      </c>
      <c r="J28318" s="41">
        <v>46176</v>
      </c>
      <c r="K28318" s="30" t="s">
        <v>22</v>
      </c>
    </row>
    <row r="28319" spans="1:11">
      <c r="A28319" s="33" t="s">
        <v>62084</v>
      </c>
      <c r="B28319" s="33" t="s">
        <v>62085</v>
      </c>
      <c r="C28319" s="33" t="s">
        <v>109</v>
      </c>
      <c r="D28319" s="33" t="s">
        <v>17</v>
      </c>
      <c r="E28319" s="33" t="s">
        <v>26</v>
      </c>
      <c r="F28319" s="33" t="s">
        <v>27</v>
      </c>
      <c r="G28319" s="33" t="s">
        <v>140</v>
      </c>
      <c r="H28319" s="35">
        <v>156</v>
      </c>
      <c r="I28319" s="33" t="s">
        <v>51</v>
      </c>
      <c r="J28319" s="42">
        <v>46189</v>
      </c>
      <c r="K28319" s="33" t="s">
        <v>22</v>
      </c>
    </row>
    <row r="28320" spans="1:11">
      <c r="A28320" s="30" t="s">
        <v>62086</v>
      </c>
      <c r="B28320" s="30" t="s">
        <v>62087</v>
      </c>
      <c r="C28320" s="30" t="s">
        <v>109</v>
      </c>
      <c r="D28320" s="30" t="s">
        <v>17</v>
      </c>
      <c r="E28320" s="30" t="s">
        <v>18</v>
      </c>
      <c r="F28320" s="30" t="s">
        <v>19</v>
      </c>
      <c r="G28320" s="30" t="s">
        <v>7780</v>
      </c>
      <c r="H28320" s="32">
        <v>188</v>
      </c>
      <c r="I28320" s="30" t="s">
        <v>51</v>
      </c>
      <c r="J28320" s="41">
        <v>46234</v>
      </c>
      <c r="K28320" s="30" t="s">
        <v>22</v>
      </c>
    </row>
    <row r="28321" spans="1:11">
      <c r="A28321" s="33" t="s">
        <v>62088</v>
      </c>
      <c r="B28321" s="33" t="s">
        <v>62089</v>
      </c>
      <c r="C28321" s="33" t="s">
        <v>37490</v>
      </c>
      <c r="D28321" s="33" t="s">
        <v>17</v>
      </c>
      <c r="E28321" s="33" t="s">
        <v>31</v>
      </c>
      <c r="F28321" s="33" t="s">
        <v>32</v>
      </c>
      <c r="G28321" s="33" t="s">
        <v>7780</v>
      </c>
      <c r="H28321" s="35">
        <v>72</v>
      </c>
      <c r="I28321" s="33" t="s">
        <v>51</v>
      </c>
      <c r="J28321" s="42">
        <v>46204</v>
      </c>
      <c r="K28321" s="33" t="s">
        <v>22</v>
      </c>
    </row>
    <row r="28322" spans="1:11">
      <c r="A28322" s="30" t="s">
        <v>62090</v>
      </c>
      <c r="B28322" s="30" t="s">
        <v>62091</v>
      </c>
      <c r="C28322" s="30" t="s">
        <v>647</v>
      </c>
      <c r="D28322" s="30" t="s">
        <v>17</v>
      </c>
      <c r="E28322" s="30" t="s">
        <v>67</v>
      </c>
      <c r="F28322" s="30" t="s">
        <v>68</v>
      </c>
      <c r="G28322" s="30" t="s">
        <v>140</v>
      </c>
      <c r="H28322" s="32">
        <v>55</v>
      </c>
      <c r="I28322" s="30" t="s">
        <v>51</v>
      </c>
      <c r="J28322" s="41">
        <v>46062</v>
      </c>
      <c r="K28322" s="30" t="s">
        <v>22</v>
      </c>
    </row>
    <row r="28323" spans="1:11">
      <c r="A28323" s="33" t="s">
        <v>62092</v>
      </c>
      <c r="B28323" s="33" t="s">
        <v>62093</v>
      </c>
      <c r="C28323" s="33" t="s">
        <v>109</v>
      </c>
      <c r="D28323" s="33" t="s">
        <v>17</v>
      </c>
      <c r="E28323" s="33" t="s">
        <v>31</v>
      </c>
      <c r="F28323" s="33" t="s">
        <v>32</v>
      </c>
      <c r="G28323" s="33" t="s">
        <v>140</v>
      </c>
      <c r="H28323" s="35">
        <v>60</v>
      </c>
      <c r="I28323" s="33" t="s">
        <v>51</v>
      </c>
      <c r="J28323" s="42">
        <v>46199</v>
      </c>
      <c r="K28323" s="33" t="s">
        <v>22</v>
      </c>
    </row>
    <row r="28324" spans="1:11">
      <c r="A28324" s="30" t="s">
        <v>62094</v>
      </c>
      <c r="B28324" s="30" t="s">
        <v>62095</v>
      </c>
      <c r="C28324" s="30" t="s">
        <v>310</v>
      </c>
      <c r="D28324" s="30" t="s">
        <v>17</v>
      </c>
      <c r="E28324" s="30" t="s">
        <v>26</v>
      </c>
      <c r="F28324" s="30" t="s">
        <v>27</v>
      </c>
      <c r="G28324" s="30" t="s">
        <v>140</v>
      </c>
      <c r="H28324" s="32">
        <v>132</v>
      </c>
      <c r="I28324" s="30" t="s">
        <v>51</v>
      </c>
      <c r="J28324" s="41">
        <v>46077</v>
      </c>
      <c r="K28324" s="30" t="s">
        <v>22</v>
      </c>
    </row>
    <row r="28325" spans="1:11">
      <c r="A28325" s="33" t="s">
        <v>62096</v>
      </c>
      <c r="B28325" s="33" t="s">
        <v>62097</v>
      </c>
      <c r="C28325" s="33" t="s">
        <v>62098</v>
      </c>
      <c r="D28325" s="33" t="s">
        <v>17</v>
      </c>
      <c r="E28325" s="33" t="s">
        <v>31</v>
      </c>
      <c r="F28325" s="33" t="s">
        <v>32</v>
      </c>
      <c r="G28325" s="33" t="s">
        <v>140</v>
      </c>
      <c r="H28325" s="35">
        <v>14</v>
      </c>
      <c r="I28325" s="33" t="s">
        <v>51</v>
      </c>
      <c r="J28325" s="42">
        <v>46044</v>
      </c>
      <c r="K28325" s="33" t="s">
        <v>22</v>
      </c>
    </row>
    <row r="28326" spans="1:11">
      <c r="A28326" s="30" t="s">
        <v>62099</v>
      </c>
      <c r="B28326" s="30" t="s">
        <v>62100</v>
      </c>
      <c r="C28326" s="30" t="s">
        <v>57343</v>
      </c>
      <c r="D28326" s="30" t="s">
        <v>17</v>
      </c>
      <c r="E28326" s="30" t="s">
        <v>31</v>
      </c>
      <c r="F28326" s="30" t="s">
        <v>32</v>
      </c>
      <c r="G28326" s="30" t="s">
        <v>140</v>
      </c>
      <c r="H28326" s="32">
        <v>120</v>
      </c>
      <c r="I28326" s="30" t="s">
        <v>51</v>
      </c>
      <c r="J28326" s="41">
        <v>46055</v>
      </c>
      <c r="K28326" s="30" t="s">
        <v>22</v>
      </c>
    </row>
    <row r="28327" spans="1:11">
      <c r="A28327" s="33" t="s">
        <v>62101</v>
      </c>
      <c r="B28327" s="33" t="s">
        <v>62102</v>
      </c>
      <c r="C28327" s="33" t="s">
        <v>570</v>
      </c>
      <c r="D28327" s="33" t="s">
        <v>17</v>
      </c>
      <c r="E28327" s="33" t="s">
        <v>67</v>
      </c>
      <c r="F28327" s="33" t="s">
        <v>68</v>
      </c>
      <c r="G28327" s="33" t="s">
        <v>7780</v>
      </c>
      <c r="H28327" s="35">
        <v>626</v>
      </c>
      <c r="I28327" s="33" t="s">
        <v>51</v>
      </c>
      <c r="J28327" s="42">
        <v>46113</v>
      </c>
      <c r="K28327" s="33" t="s">
        <v>22</v>
      </c>
    </row>
    <row r="28328" spans="1:11">
      <c r="A28328" s="30" t="s">
        <v>62103</v>
      </c>
      <c r="B28328" s="30" t="s">
        <v>62104</v>
      </c>
      <c r="C28328" s="30" t="s">
        <v>51579</v>
      </c>
      <c r="D28328" s="30" t="s">
        <v>17</v>
      </c>
      <c r="E28328" s="30" t="s">
        <v>26</v>
      </c>
      <c r="F28328" s="30" t="s">
        <v>27</v>
      </c>
      <c r="G28328" s="30" t="s">
        <v>7780</v>
      </c>
      <c r="H28328" s="32">
        <v>24</v>
      </c>
      <c r="I28328" s="30" t="s">
        <v>51</v>
      </c>
      <c r="J28328" s="41">
        <v>46188</v>
      </c>
      <c r="K28328" s="30" t="s">
        <v>22</v>
      </c>
    </row>
    <row r="28329" spans="1:11">
      <c r="A28329" s="33" t="s">
        <v>62105</v>
      </c>
      <c r="B28329" s="33" t="s">
        <v>62106</v>
      </c>
      <c r="C28329" s="33" t="s">
        <v>8653</v>
      </c>
      <c r="D28329" s="33" t="s">
        <v>17</v>
      </c>
      <c r="E28329" s="33" t="s">
        <v>26</v>
      </c>
      <c r="F28329" s="33" t="s">
        <v>27</v>
      </c>
      <c r="G28329" s="33" t="s">
        <v>7780</v>
      </c>
      <c r="H28329" s="35">
        <v>36</v>
      </c>
      <c r="I28329" s="33" t="s">
        <v>51</v>
      </c>
      <c r="J28329" s="42">
        <v>46143</v>
      </c>
      <c r="K28329" s="33" t="s">
        <v>22</v>
      </c>
    </row>
    <row r="28330" spans="1:11">
      <c r="A28330" s="30" t="s">
        <v>62107</v>
      </c>
      <c r="B28330" s="30" t="s">
        <v>62108</v>
      </c>
      <c r="C28330" s="30" t="s">
        <v>62109</v>
      </c>
      <c r="D28330" s="30" t="s">
        <v>17</v>
      </c>
      <c r="E28330" s="30" t="s">
        <v>26</v>
      </c>
      <c r="F28330" s="30" t="s">
        <v>27</v>
      </c>
      <c r="G28330" s="30" t="s">
        <v>140</v>
      </c>
      <c r="H28330" s="32">
        <v>18</v>
      </c>
      <c r="I28330" s="30" t="s">
        <v>51</v>
      </c>
      <c r="J28330" s="41">
        <v>46133</v>
      </c>
      <c r="K28330" s="30" t="s">
        <v>22</v>
      </c>
    </row>
    <row r="28331" spans="1:11">
      <c r="A28331" s="33" t="s">
        <v>62110</v>
      </c>
      <c r="B28331" s="33" t="s">
        <v>62111</v>
      </c>
      <c r="C28331" s="33" t="s">
        <v>19567</v>
      </c>
      <c r="D28331" s="33" t="s">
        <v>17</v>
      </c>
      <c r="E28331" s="33" t="s">
        <v>18</v>
      </c>
      <c r="F28331" s="33" t="s">
        <v>19</v>
      </c>
      <c r="G28331" s="33" t="s">
        <v>7780</v>
      </c>
      <c r="H28331" s="35">
        <v>156</v>
      </c>
      <c r="I28331" s="33" t="s">
        <v>51</v>
      </c>
      <c r="J28331" s="42">
        <v>46204</v>
      </c>
      <c r="K28331" s="33" t="s">
        <v>22</v>
      </c>
    </row>
    <row r="28332" spans="1:11">
      <c r="A28332" s="30" t="s">
        <v>62112</v>
      </c>
      <c r="B28332" s="30" t="s">
        <v>62113</v>
      </c>
      <c r="C28332" s="30" t="s">
        <v>96</v>
      </c>
      <c r="D28332" s="30" t="s">
        <v>17</v>
      </c>
      <c r="E28332" s="30" t="s">
        <v>26</v>
      </c>
      <c r="F28332" s="30" t="s">
        <v>27</v>
      </c>
      <c r="G28332" s="30" t="s">
        <v>7780</v>
      </c>
      <c r="H28332" s="32">
        <v>120</v>
      </c>
      <c r="I28332" s="30" t="s">
        <v>51</v>
      </c>
      <c r="J28332" s="41">
        <v>46231</v>
      </c>
      <c r="K28332" s="30" t="s">
        <v>22</v>
      </c>
    </row>
    <row r="28333" spans="1:11">
      <c r="A28333" s="33" t="s">
        <v>62114</v>
      </c>
      <c r="B28333" s="33" t="s">
        <v>62115</v>
      </c>
      <c r="C28333" s="33" t="s">
        <v>647</v>
      </c>
      <c r="D28333" s="33" t="s">
        <v>17</v>
      </c>
      <c r="E28333" s="33" t="s">
        <v>26</v>
      </c>
      <c r="F28333" s="33" t="s">
        <v>27</v>
      </c>
      <c r="G28333" s="33" t="s">
        <v>158</v>
      </c>
      <c r="H28333" s="35">
        <v>330</v>
      </c>
      <c r="I28333" s="33" t="s">
        <v>51</v>
      </c>
      <c r="J28333" s="42">
        <v>46086</v>
      </c>
      <c r="K28333" s="33" t="s">
        <v>22</v>
      </c>
    </row>
    <row r="28334" spans="1:11">
      <c r="A28334" s="30" t="s">
        <v>62116</v>
      </c>
      <c r="B28334" s="30" t="s">
        <v>62117</v>
      </c>
      <c r="C28334" s="30" t="s">
        <v>25</v>
      </c>
      <c r="D28334" s="30" t="s">
        <v>17</v>
      </c>
      <c r="E28334" s="30" t="s">
        <v>18</v>
      </c>
      <c r="F28334" s="30" t="s">
        <v>19</v>
      </c>
      <c r="G28334" s="30" t="s">
        <v>7780</v>
      </c>
      <c r="H28334" s="32">
        <v>89</v>
      </c>
      <c r="I28334" s="30" t="s">
        <v>51</v>
      </c>
      <c r="J28334" s="41">
        <v>46174</v>
      </c>
      <c r="K28334" s="30" t="s">
        <v>22</v>
      </c>
    </row>
    <row r="28335" spans="1:11">
      <c r="A28335" s="33" t="s">
        <v>62118</v>
      </c>
      <c r="B28335" s="33" t="s">
        <v>62119</v>
      </c>
      <c r="C28335" s="33" t="s">
        <v>10199</v>
      </c>
      <c r="D28335" s="33" t="s">
        <v>17</v>
      </c>
      <c r="E28335" s="33" t="s">
        <v>31</v>
      </c>
      <c r="F28335" s="33" t="s">
        <v>32</v>
      </c>
      <c r="G28335" s="33" t="s">
        <v>140</v>
      </c>
      <c r="H28335" s="35">
        <v>40</v>
      </c>
      <c r="I28335" s="33" t="s">
        <v>51</v>
      </c>
      <c r="J28335" s="42">
        <v>46051</v>
      </c>
      <c r="K28335" s="33" t="s">
        <v>22</v>
      </c>
    </row>
    <row r="28336" spans="1:11">
      <c r="A28336" s="30" t="s">
        <v>62120</v>
      </c>
      <c r="B28336" s="30" t="s">
        <v>62121</v>
      </c>
      <c r="C28336" s="30" t="s">
        <v>11899</v>
      </c>
      <c r="D28336" s="30" t="s">
        <v>17</v>
      </c>
      <c r="E28336" s="30" t="s">
        <v>26</v>
      </c>
      <c r="F28336" s="30" t="s">
        <v>27</v>
      </c>
      <c r="G28336" s="30" t="s">
        <v>140</v>
      </c>
      <c r="H28336" s="32">
        <v>90</v>
      </c>
      <c r="I28336" s="30" t="s">
        <v>51</v>
      </c>
      <c r="J28336" s="41">
        <v>46226</v>
      </c>
      <c r="K28336" s="30" t="s">
        <v>22</v>
      </c>
    </row>
    <row r="28337" spans="1:11">
      <c r="A28337" s="33" t="s">
        <v>62122</v>
      </c>
      <c r="B28337" s="33" t="s">
        <v>62123</v>
      </c>
      <c r="C28337" s="33" t="s">
        <v>36080</v>
      </c>
      <c r="D28337" s="33" t="s">
        <v>17</v>
      </c>
      <c r="E28337" s="33" t="s">
        <v>18</v>
      </c>
      <c r="F28337" s="33" t="s">
        <v>19</v>
      </c>
      <c r="G28337" s="33" t="s">
        <v>2613</v>
      </c>
      <c r="H28337" s="35">
        <v>300</v>
      </c>
      <c r="I28337" s="33" t="s">
        <v>51</v>
      </c>
      <c r="J28337" s="42">
        <v>46174</v>
      </c>
      <c r="K28337" s="33" t="s">
        <v>22</v>
      </c>
    </row>
    <row r="28338" spans="1:11">
      <c r="A28338" s="30" t="s">
        <v>62124</v>
      </c>
      <c r="B28338" s="30" t="s">
        <v>62125</v>
      </c>
      <c r="C28338" s="30" t="s">
        <v>4348</v>
      </c>
      <c r="D28338" s="30" t="s">
        <v>17</v>
      </c>
      <c r="E28338" s="30" t="s">
        <v>26</v>
      </c>
      <c r="F28338" s="30" t="s">
        <v>27</v>
      </c>
      <c r="G28338" s="30" t="s">
        <v>140</v>
      </c>
      <c r="H28338" s="32">
        <v>31</v>
      </c>
      <c r="I28338" s="30" t="s">
        <v>51</v>
      </c>
      <c r="J28338" s="41">
        <v>46184</v>
      </c>
      <c r="K28338" s="30" t="s">
        <v>22</v>
      </c>
    </row>
    <row r="28339" spans="1:11">
      <c r="A28339" s="33" t="s">
        <v>62126</v>
      </c>
      <c r="B28339" s="33" t="s">
        <v>62127</v>
      </c>
      <c r="C28339" s="33" t="s">
        <v>39447</v>
      </c>
      <c r="D28339" s="33" t="s">
        <v>17</v>
      </c>
      <c r="E28339" s="33" t="s">
        <v>26</v>
      </c>
      <c r="F28339" s="33" t="s">
        <v>27</v>
      </c>
      <c r="G28339" s="33" t="s">
        <v>140</v>
      </c>
      <c r="H28339" s="35">
        <v>34</v>
      </c>
      <c r="I28339" s="33" t="s">
        <v>51</v>
      </c>
      <c r="J28339" s="42">
        <v>46173</v>
      </c>
      <c r="K28339" s="33" t="s">
        <v>22</v>
      </c>
    </row>
    <row r="28340" spans="1:11">
      <c r="A28340" s="30" t="s">
        <v>62128</v>
      </c>
      <c r="B28340" s="30" t="s">
        <v>62129</v>
      </c>
      <c r="C28340" s="30" t="s">
        <v>43361</v>
      </c>
      <c r="D28340" s="30" t="s">
        <v>17</v>
      </c>
      <c r="E28340" s="30" t="s">
        <v>31</v>
      </c>
      <c r="F28340" s="30" t="s">
        <v>32</v>
      </c>
      <c r="G28340" s="30" t="s">
        <v>140</v>
      </c>
      <c r="H28340" s="32">
        <v>10</v>
      </c>
      <c r="I28340" s="30" t="s">
        <v>51</v>
      </c>
      <c r="J28340" s="41">
        <v>46149</v>
      </c>
      <c r="K28340" s="30" t="s">
        <v>22</v>
      </c>
    </row>
    <row r="28341" spans="1:11">
      <c r="A28341" s="33" t="s">
        <v>62130</v>
      </c>
      <c r="B28341" s="33" t="s">
        <v>62131</v>
      </c>
      <c r="C28341" s="33" t="s">
        <v>14816</v>
      </c>
      <c r="D28341" s="33" t="s">
        <v>17</v>
      </c>
      <c r="E28341" s="33" t="s">
        <v>26</v>
      </c>
      <c r="F28341" s="33" t="s">
        <v>27</v>
      </c>
      <c r="G28341" s="33" t="s">
        <v>7780</v>
      </c>
      <c r="H28341" s="35">
        <v>6</v>
      </c>
      <c r="I28341" s="33" t="s">
        <v>51</v>
      </c>
      <c r="J28341" s="42">
        <v>46143</v>
      </c>
      <c r="K28341" s="33" t="s">
        <v>22</v>
      </c>
    </row>
    <row r="28342" spans="1:11">
      <c r="A28342" s="30" t="s">
        <v>62132</v>
      </c>
      <c r="B28342" s="30" t="s">
        <v>62133</v>
      </c>
      <c r="C28342" s="30" t="s">
        <v>1305</v>
      </c>
      <c r="D28342" s="30" t="s">
        <v>17</v>
      </c>
      <c r="E28342" s="30" t="s">
        <v>26</v>
      </c>
      <c r="F28342" s="30" t="s">
        <v>27</v>
      </c>
      <c r="G28342" s="30" t="s">
        <v>140</v>
      </c>
      <c r="H28342" s="32">
        <v>6</v>
      </c>
      <c r="I28342" s="30" t="s">
        <v>51</v>
      </c>
      <c r="J28342" s="41">
        <v>46084</v>
      </c>
      <c r="K28342" s="30" t="s">
        <v>22</v>
      </c>
    </row>
    <row r="28343" spans="1:11">
      <c r="A28343" s="33" t="s">
        <v>62134</v>
      </c>
      <c r="B28343" s="33" t="s">
        <v>62135</v>
      </c>
      <c r="C28343" s="33" t="s">
        <v>9825</v>
      </c>
      <c r="D28343" s="33" t="s">
        <v>17</v>
      </c>
      <c r="E28343" s="33" t="s">
        <v>67</v>
      </c>
      <c r="F28343" s="33" t="s">
        <v>68</v>
      </c>
      <c r="G28343" s="33" t="s">
        <v>140</v>
      </c>
      <c r="H28343" s="35">
        <v>30</v>
      </c>
      <c r="I28343" s="33" t="s">
        <v>51</v>
      </c>
      <c r="J28343" s="42">
        <v>46161</v>
      </c>
      <c r="K28343" s="33" t="s">
        <v>22</v>
      </c>
    </row>
    <row r="28344" spans="1:11">
      <c r="A28344" s="30" t="s">
        <v>62136</v>
      </c>
      <c r="B28344" s="30" t="s">
        <v>62137</v>
      </c>
      <c r="C28344" s="30" t="s">
        <v>29688</v>
      </c>
      <c r="D28344" s="30" t="s">
        <v>17</v>
      </c>
      <c r="E28344" s="30" t="s">
        <v>45</v>
      </c>
      <c r="F28344" s="30" t="s">
        <v>46</v>
      </c>
      <c r="G28344" s="30" t="s">
        <v>140</v>
      </c>
      <c r="H28344" s="32">
        <v>330</v>
      </c>
      <c r="I28344" s="30" t="s">
        <v>51</v>
      </c>
      <c r="J28344" s="41">
        <v>46151</v>
      </c>
      <c r="K28344" s="30" t="s">
        <v>22</v>
      </c>
    </row>
    <row r="28345" spans="1:11">
      <c r="A28345" s="33" t="s">
        <v>62138</v>
      </c>
      <c r="B28345" s="33" t="s">
        <v>62139</v>
      </c>
      <c r="C28345" s="33" t="s">
        <v>187</v>
      </c>
      <c r="D28345" s="33" t="s">
        <v>17</v>
      </c>
      <c r="E28345" s="33" t="s">
        <v>31</v>
      </c>
      <c r="F28345" s="33" t="s">
        <v>32</v>
      </c>
      <c r="G28345" s="33" t="s">
        <v>140</v>
      </c>
      <c r="H28345" s="35">
        <v>33</v>
      </c>
      <c r="I28345" s="33" t="s">
        <v>51</v>
      </c>
      <c r="J28345" s="42">
        <v>46114</v>
      </c>
      <c r="K28345" s="33" t="s">
        <v>22</v>
      </c>
    </row>
    <row r="28346" spans="1:11">
      <c r="A28346" s="30" t="s">
        <v>62140</v>
      </c>
      <c r="B28346" s="30" t="s">
        <v>62141</v>
      </c>
      <c r="C28346" s="30" t="s">
        <v>10459</v>
      </c>
      <c r="D28346" s="30" t="s">
        <v>17</v>
      </c>
      <c r="E28346" s="30" t="s">
        <v>31</v>
      </c>
      <c r="F28346" s="30" t="s">
        <v>32</v>
      </c>
      <c r="G28346" s="30" t="s">
        <v>140</v>
      </c>
      <c r="H28346" s="32">
        <v>28</v>
      </c>
      <c r="I28346" s="30" t="s">
        <v>51</v>
      </c>
      <c r="J28346" s="41">
        <v>46174</v>
      </c>
      <c r="K28346" s="30" t="s">
        <v>22</v>
      </c>
    </row>
    <row r="28347" spans="1:11">
      <c r="A28347" s="33" t="s">
        <v>62142</v>
      </c>
      <c r="B28347" s="33" t="s">
        <v>62143</v>
      </c>
      <c r="C28347" s="33" t="s">
        <v>42994</v>
      </c>
      <c r="D28347" s="33" t="s">
        <v>17</v>
      </c>
      <c r="E28347" s="33" t="s">
        <v>67</v>
      </c>
      <c r="F28347" s="33" t="s">
        <v>68</v>
      </c>
      <c r="G28347" s="33" t="s">
        <v>140</v>
      </c>
      <c r="H28347" s="35">
        <v>30</v>
      </c>
      <c r="I28347" s="33" t="s">
        <v>51</v>
      </c>
      <c r="J28347" s="42">
        <v>46162</v>
      </c>
      <c r="K28347" s="33" t="s">
        <v>22</v>
      </c>
    </row>
    <row r="28348" spans="1:11">
      <c r="A28348" s="30" t="s">
        <v>62144</v>
      </c>
      <c r="B28348" s="30" t="s">
        <v>62145</v>
      </c>
      <c r="C28348" s="30" t="s">
        <v>24294</v>
      </c>
      <c r="D28348" s="30" t="s">
        <v>17</v>
      </c>
      <c r="E28348" s="30" t="s">
        <v>26</v>
      </c>
      <c r="F28348" s="30" t="s">
        <v>27</v>
      </c>
      <c r="G28348" s="30" t="s">
        <v>140</v>
      </c>
      <c r="H28348" s="32">
        <v>100</v>
      </c>
      <c r="I28348" s="30" t="s">
        <v>51</v>
      </c>
      <c r="J28348" s="41">
        <v>46188</v>
      </c>
      <c r="K28348" s="30" t="s">
        <v>22</v>
      </c>
    </row>
    <row r="28349" spans="1:11">
      <c r="A28349" s="33" t="s">
        <v>62146</v>
      </c>
      <c r="B28349" s="33" t="s">
        <v>62147</v>
      </c>
      <c r="C28349" s="33" t="s">
        <v>124</v>
      </c>
      <c r="D28349" s="33" t="s">
        <v>17</v>
      </c>
      <c r="E28349" s="33" t="s">
        <v>31</v>
      </c>
      <c r="F28349" s="33" t="s">
        <v>32</v>
      </c>
      <c r="G28349" s="33" t="s">
        <v>7780</v>
      </c>
      <c r="H28349" s="35">
        <v>200</v>
      </c>
      <c r="I28349" s="33" t="s">
        <v>51</v>
      </c>
      <c r="J28349" s="42">
        <v>46113</v>
      </c>
      <c r="K28349" s="33" t="s">
        <v>22</v>
      </c>
    </row>
    <row r="28350" spans="1:11">
      <c r="A28350" s="30" t="s">
        <v>62148</v>
      </c>
      <c r="B28350" s="30" t="s">
        <v>62149</v>
      </c>
      <c r="C28350" s="30" t="s">
        <v>24065</v>
      </c>
      <c r="D28350" s="30" t="s">
        <v>17</v>
      </c>
      <c r="E28350" s="30" t="s">
        <v>18</v>
      </c>
      <c r="F28350" s="30" t="s">
        <v>19</v>
      </c>
      <c r="G28350" s="30" t="s">
        <v>140</v>
      </c>
      <c r="H28350" s="32">
        <v>240</v>
      </c>
      <c r="I28350" s="30" t="s">
        <v>51</v>
      </c>
      <c r="J28350" s="41">
        <v>46182</v>
      </c>
      <c r="K28350" s="30" t="s">
        <v>22</v>
      </c>
    </row>
    <row r="28351" spans="1:11">
      <c r="A28351" s="33" t="s">
        <v>62150</v>
      </c>
      <c r="B28351" s="33" t="s">
        <v>62151</v>
      </c>
      <c r="C28351" s="33" t="s">
        <v>969</v>
      </c>
      <c r="D28351" s="33" t="s">
        <v>17</v>
      </c>
      <c r="E28351" s="33" t="s">
        <v>31</v>
      </c>
      <c r="F28351" s="33" t="s">
        <v>32</v>
      </c>
      <c r="G28351" s="33" t="s">
        <v>7780</v>
      </c>
      <c r="H28351" s="35">
        <v>70</v>
      </c>
      <c r="I28351" s="33" t="s">
        <v>51</v>
      </c>
      <c r="J28351" s="42">
        <v>46231</v>
      </c>
      <c r="K28351" s="33" t="s">
        <v>22</v>
      </c>
    </row>
    <row r="28352" spans="1:11">
      <c r="A28352" s="30" t="s">
        <v>62152</v>
      </c>
      <c r="B28352" s="30" t="s">
        <v>62153</v>
      </c>
      <c r="C28352" s="30" t="s">
        <v>49729</v>
      </c>
      <c r="D28352" s="30" t="s">
        <v>17</v>
      </c>
      <c r="E28352" s="30" t="s">
        <v>26</v>
      </c>
      <c r="F28352" s="30" t="s">
        <v>27</v>
      </c>
      <c r="G28352" s="30" t="s">
        <v>140</v>
      </c>
      <c r="H28352" s="32">
        <v>56</v>
      </c>
      <c r="I28352" s="30" t="s">
        <v>51</v>
      </c>
      <c r="J28352" s="41">
        <v>46119</v>
      </c>
      <c r="K28352" s="30" t="s">
        <v>22</v>
      </c>
    </row>
    <row r="28353" spans="1:11">
      <c r="A28353" s="33" t="s">
        <v>62154</v>
      </c>
      <c r="B28353" s="33" t="s">
        <v>62155</v>
      </c>
      <c r="C28353" s="33" t="s">
        <v>9297</v>
      </c>
      <c r="D28353" s="33" t="s">
        <v>17</v>
      </c>
      <c r="E28353" s="33" t="s">
        <v>31</v>
      </c>
      <c r="F28353" s="33" t="s">
        <v>32</v>
      </c>
      <c r="G28353" s="33" t="s">
        <v>7780</v>
      </c>
      <c r="H28353" s="35">
        <v>135</v>
      </c>
      <c r="I28353" s="33" t="s">
        <v>51</v>
      </c>
      <c r="J28353" s="42">
        <v>46204</v>
      </c>
      <c r="K28353" s="33" t="s">
        <v>22</v>
      </c>
    </row>
    <row r="28354" spans="1:11">
      <c r="A28354" s="30" t="s">
        <v>62156</v>
      </c>
      <c r="B28354" s="30" t="s">
        <v>62157</v>
      </c>
      <c r="C28354" s="30" t="s">
        <v>15585</v>
      </c>
      <c r="D28354" s="30" t="s">
        <v>17</v>
      </c>
      <c r="E28354" s="30" t="s">
        <v>26</v>
      </c>
      <c r="F28354" s="30" t="s">
        <v>27</v>
      </c>
      <c r="G28354" s="30" t="s">
        <v>140</v>
      </c>
      <c r="H28354" s="32">
        <v>48</v>
      </c>
      <c r="I28354" s="30" t="s">
        <v>51</v>
      </c>
      <c r="J28354" s="41">
        <v>46185</v>
      </c>
      <c r="K28354" s="30" t="s">
        <v>22</v>
      </c>
    </row>
    <row r="28355" spans="1:11">
      <c r="A28355" s="33" t="s">
        <v>62158</v>
      </c>
      <c r="B28355" s="33" t="s">
        <v>62159</v>
      </c>
      <c r="C28355" s="33" t="s">
        <v>75</v>
      </c>
      <c r="D28355" s="33" t="s">
        <v>17</v>
      </c>
      <c r="E28355" s="33" t="s">
        <v>212</v>
      </c>
      <c r="F28355" s="33" t="s">
        <v>213</v>
      </c>
      <c r="G28355" s="33" t="s">
        <v>140</v>
      </c>
      <c r="H28355" s="35">
        <v>60</v>
      </c>
      <c r="I28355" s="33" t="s">
        <v>51</v>
      </c>
      <c r="J28355" s="42">
        <v>46042</v>
      </c>
      <c r="K28355" s="33" t="s">
        <v>22</v>
      </c>
    </row>
    <row r="28356" spans="1:11">
      <c r="A28356" s="30" t="s">
        <v>62160</v>
      </c>
      <c r="B28356" s="30" t="s">
        <v>62161</v>
      </c>
      <c r="C28356" s="30" t="s">
        <v>56957</v>
      </c>
      <c r="D28356" s="30" t="s">
        <v>17</v>
      </c>
      <c r="E28356" s="30" t="s">
        <v>26</v>
      </c>
      <c r="F28356" s="30" t="s">
        <v>27</v>
      </c>
      <c r="G28356" s="30" t="s">
        <v>140</v>
      </c>
      <c r="H28356" s="32">
        <v>42</v>
      </c>
      <c r="I28356" s="30" t="s">
        <v>51</v>
      </c>
      <c r="J28356" s="41">
        <v>46083</v>
      </c>
      <c r="K28356" s="30" t="s">
        <v>22</v>
      </c>
    </row>
    <row r="28357" spans="1:11">
      <c r="A28357" s="33" t="s">
        <v>62162</v>
      </c>
      <c r="B28357" s="33" t="s">
        <v>62163</v>
      </c>
      <c r="C28357" s="33" t="s">
        <v>379</v>
      </c>
      <c r="D28357" s="33" t="s">
        <v>17</v>
      </c>
      <c r="E28357" s="33" t="s">
        <v>26</v>
      </c>
      <c r="F28357" s="33" t="s">
        <v>27</v>
      </c>
      <c r="G28357" s="33" t="s">
        <v>7780</v>
      </c>
      <c r="H28357" s="35">
        <v>24</v>
      </c>
      <c r="I28357" s="33" t="s">
        <v>51</v>
      </c>
      <c r="J28357" s="42">
        <v>46156</v>
      </c>
      <c r="K28357" s="33" t="s">
        <v>22</v>
      </c>
    </row>
    <row r="28358" spans="1:11">
      <c r="A28358" s="30" t="s">
        <v>62164</v>
      </c>
      <c r="B28358" s="30" t="s">
        <v>62165</v>
      </c>
      <c r="C28358" s="30" t="s">
        <v>62166</v>
      </c>
      <c r="D28358" s="30" t="s">
        <v>17</v>
      </c>
      <c r="E28358" s="30" t="s">
        <v>18</v>
      </c>
      <c r="F28358" s="30" t="s">
        <v>19</v>
      </c>
      <c r="G28358" s="30" t="s">
        <v>140</v>
      </c>
      <c r="H28358" s="32">
        <v>300</v>
      </c>
      <c r="I28358" s="30" t="s">
        <v>51</v>
      </c>
      <c r="J28358" s="41">
        <v>46092</v>
      </c>
      <c r="K28358" s="30" t="s">
        <v>22</v>
      </c>
    </row>
    <row r="28359" spans="1:11">
      <c r="A28359" s="33" t="s">
        <v>62167</v>
      </c>
      <c r="B28359" s="33" t="s">
        <v>62168</v>
      </c>
      <c r="C28359" s="33" t="s">
        <v>21612</v>
      </c>
      <c r="D28359" s="33" t="s">
        <v>17</v>
      </c>
      <c r="E28359" s="33" t="s">
        <v>18</v>
      </c>
      <c r="F28359" s="33" t="s">
        <v>19</v>
      </c>
      <c r="G28359" s="33" t="s">
        <v>140</v>
      </c>
      <c r="H28359" s="35">
        <v>90</v>
      </c>
      <c r="I28359" s="33" t="s">
        <v>51</v>
      </c>
      <c r="J28359" s="42">
        <v>46174</v>
      </c>
      <c r="K28359" s="33" t="s">
        <v>22</v>
      </c>
    </row>
    <row r="28360" spans="1:11">
      <c r="A28360" s="30" t="s">
        <v>62169</v>
      </c>
      <c r="B28360" s="30" t="s">
        <v>62170</v>
      </c>
      <c r="C28360" s="30" t="s">
        <v>399</v>
      </c>
      <c r="D28360" s="30" t="s">
        <v>17</v>
      </c>
      <c r="E28360" s="30" t="s">
        <v>26</v>
      </c>
      <c r="F28360" s="30" t="s">
        <v>27</v>
      </c>
      <c r="G28360" s="30" t="s">
        <v>140</v>
      </c>
      <c r="H28360" s="32">
        <v>48</v>
      </c>
      <c r="I28360" s="30" t="s">
        <v>51</v>
      </c>
      <c r="J28360" s="41">
        <v>46112</v>
      </c>
      <c r="K28360" s="30" t="s">
        <v>22</v>
      </c>
    </row>
    <row r="28361" spans="1:11">
      <c r="A28361" s="33" t="s">
        <v>62171</v>
      </c>
      <c r="B28361" s="33" t="s">
        <v>62172</v>
      </c>
      <c r="C28361" s="33" t="s">
        <v>62173</v>
      </c>
      <c r="D28361" s="33" t="s">
        <v>17</v>
      </c>
      <c r="E28361" s="33" t="s">
        <v>18</v>
      </c>
      <c r="F28361" s="33" t="s">
        <v>19</v>
      </c>
      <c r="G28361" s="33" t="s">
        <v>140</v>
      </c>
      <c r="H28361" s="35">
        <v>140</v>
      </c>
      <c r="I28361" s="33" t="s">
        <v>51</v>
      </c>
      <c r="J28361" s="42">
        <v>46136</v>
      </c>
      <c r="K28361" s="33" t="s">
        <v>22</v>
      </c>
    </row>
    <row r="28362" spans="1:11">
      <c r="A28362" s="30" t="s">
        <v>62174</v>
      </c>
      <c r="B28362" s="30" t="s">
        <v>62175</v>
      </c>
      <c r="C28362" s="30" t="s">
        <v>15151</v>
      </c>
      <c r="D28362" s="30" t="s">
        <v>17</v>
      </c>
      <c r="E28362" s="30" t="s">
        <v>31</v>
      </c>
      <c r="F28362" s="30" t="s">
        <v>32</v>
      </c>
      <c r="G28362" s="30" t="s">
        <v>140</v>
      </c>
      <c r="H28362" s="32">
        <v>15</v>
      </c>
      <c r="I28362" s="30" t="s">
        <v>51</v>
      </c>
      <c r="J28362" s="41">
        <v>46023</v>
      </c>
      <c r="K28362" s="30" t="s">
        <v>22</v>
      </c>
    </row>
    <row r="28363" spans="1:11">
      <c r="A28363" s="33" t="s">
        <v>62176</v>
      </c>
      <c r="B28363" s="33" t="s">
        <v>62177</v>
      </c>
      <c r="C28363" s="33" t="s">
        <v>570</v>
      </c>
      <c r="D28363" s="33" t="s">
        <v>17</v>
      </c>
      <c r="E28363" s="33" t="s">
        <v>18</v>
      </c>
      <c r="F28363" s="33" t="s">
        <v>19</v>
      </c>
      <c r="G28363" s="33" t="s">
        <v>140</v>
      </c>
      <c r="H28363" s="35">
        <v>420</v>
      </c>
      <c r="I28363" s="33" t="s">
        <v>51</v>
      </c>
      <c r="J28363" s="42">
        <v>46044</v>
      </c>
      <c r="K28363" s="33" t="s">
        <v>22</v>
      </c>
    </row>
    <row r="28364" spans="1:11">
      <c r="A28364" s="30" t="s">
        <v>62178</v>
      </c>
      <c r="B28364" s="30" t="s">
        <v>62179</v>
      </c>
      <c r="C28364" s="30" t="s">
        <v>1857</v>
      </c>
      <c r="D28364" s="30" t="s">
        <v>17</v>
      </c>
      <c r="E28364" s="30" t="s">
        <v>26</v>
      </c>
      <c r="F28364" s="30" t="s">
        <v>27</v>
      </c>
      <c r="G28364" s="30" t="s">
        <v>7780</v>
      </c>
      <c r="H28364" s="32">
        <v>18</v>
      </c>
      <c r="I28364" s="30" t="s">
        <v>51</v>
      </c>
      <c r="J28364" s="41">
        <v>46086</v>
      </c>
      <c r="K28364" s="30" t="s">
        <v>22</v>
      </c>
    </row>
    <row r="28365" spans="1:11">
      <c r="A28365" s="33" t="s">
        <v>62180</v>
      </c>
      <c r="B28365" s="33" t="s">
        <v>62181</v>
      </c>
      <c r="C28365" s="33" t="s">
        <v>56957</v>
      </c>
      <c r="D28365" s="33" t="s">
        <v>17</v>
      </c>
      <c r="E28365" s="33" t="s">
        <v>67</v>
      </c>
      <c r="F28365" s="33" t="s">
        <v>68</v>
      </c>
      <c r="G28365" s="33" t="s">
        <v>140</v>
      </c>
      <c r="H28365" s="35">
        <v>42</v>
      </c>
      <c r="I28365" s="33" t="s">
        <v>51</v>
      </c>
      <c r="J28365" s="42">
        <v>46083</v>
      </c>
      <c r="K28365" s="33" t="s">
        <v>22</v>
      </c>
    </row>
    <row r="28366" spans="1:11">
      <c r="A28366" s="30" t="s">
        <v>62182</v>
      </c>
      <c r="B28366" s="30" t="s">
        <v>62183</v>
      </c>
      <c r="C28366" s="30" t="s">
        <v>178</v>
      </c>
      <c r="D28366" s="30" t="s">
        <v>17</v>
      </c>
      <c r="E28366" s="30" t="s">
        <v>26</v>
      </c>
      <c r="F28366" s="30" t="s">
        <v>27</v>
      </c>
      <c r="G28366" s="30" t="s">
        <v>140</v>
      </c>
      <c r="H28366" s="32">
        <v>30</v>
      </c>
      <c r="I28366" s="30" t="s">
        <v>51</v>
      </c>
      <c r="J28366" s="41">
        <v>46191</v>
      </c>
      <c r="K28366" s="30" t="s">
        <v>22</v>
      </c>
    </row>
    <row r="28367" spans="1:11">
      <c r="A28367" s="33" t="s">
        <v>62184</v>
      </c>
      <c r="B28367" s="33" t="s">
        <v>62185</v>
      </c>
      <c r="C28367" s="33" t="s">
        <v>15585</v>
      </c>
      <c r="D28367" s="33" t="s">
        <v>17</v>
      </c>
      <c r="E28367" s="33" t="s">
        <v>26</v>
      </c>
      <c r="F28367" s="33" t="s">
        <v>27</v>
      </c>
      <c r="G28367" s="33" t="s">
        <v>140</v>
      </c>
      <c r="H28367" s="35">
        <v>24</v>
      </c>
      <c r="I28367" s="33" t="s">
        <v>51</v>
      </c>
      <c r="J28367" s="42">
        <v>46168</v>
      </c>
      <c r="K28367" s="33" t="s">
        <v>22</v>
      </c>
    </row>
    <row r="28368" spans="1:11">
      <c r="A28368" s="30" t="s">
        <v>62186</v>
      </c>
      <c r="B28368" s="30" t="s">
        <v>62187</v>
      </c>
      <c r="C28368" s="30" t="s">
        <v>109</v>
      </c>
      <c r="D28368" s="30" t="s">
        <v>17</v>
      </c>
      <c r="E28368" s="30" t="s">
        <v>31</v>
      </c>
      <c r="F28368" s="30" t="s">
        <v>32</v>
      </c>
      <c r="G28368" s="30" t="s">
        <v>140</v>
      </c>
      <c r="H28368" s="32">
        <v>142</v>
      </c>
      <c r="I28368" s="30" t="s">
        <v>51</v>
      </c>
      <c r="J28368" s="41">
        <v>46097</v>
      </c>
      <c r="K28368" s="30" t="s">
        <v>22</v>
      </c>
    </row>
    <row r="28369" spans="1:11">
      <c r="A28369" s="33" t="s">
        <v>62188</v>
      </c>
      <c r="B28369" s="33" t="s">
        <v>62189</v>
      </c>
      <c r="C28369" s="33" t="s">
        <v>62190</v>
      </c>
      <c r="D28369" s="33" t="s">
        <v>17</v>
      </c>
      <c r="E28369" s="33" t="s">
        <v>31</v>
      </c>
      <c r="F28369" s="33" t="s">
        <v>32</v>
      </c>
      <c r="G28369" s="33" t="s">
        <v>7780</v>
      </c>
      <c r="H28369" s="35">
        <v>196</v>
      </c>
      <c r="I28369" s="33" t="s">
        <v>51</v>
      </c>
      <c r="J28369" s="42">
        <v>46132</v>
      </c>
      <c r="K28369" s="33" t="s">
        <v>22</v>
      </c>
    </row>
    <row r="28370" spans="1:11">
      <c r="A28370" s="30" t="s">
        <v>62191</v>
      </c>
      <c r="B28370" s="30" t="s">
        <v>62192</v>
      </c>
      <c r="C28370" s="30" t="s">
        <v>187</v>
      </c>
      <c r="D28370" s="30" t="s">
        <v>17</v>
      </c>
      <c r="E28370" s="30" t="s">
        <v>212</v>
      </c>
      <c r="F28370" s="30" t="s">
        <v>213</v>
      </c>
      <c r="G28370" s="30" t="s">
        <v>7780</v>
      </c>
      <c r="H28370" s="32">
        <v>30</v>
      </c>
      <c r="I28370" s="30" t="s">
        <v>51</v>
      </c>
      <c r="J28370" s="41">
        <v>46143</v>
      </c>
      <c r="K28370" s="30" t="s">
        <v>22</v>
      </c>
    </row>
    <row r="28371" spans="1:11">
      <c r="A28371" s="33" t="s">
        <v>62193</v>
      </c>
      <c r="B28371" s="33" t="s">
        <v>62194</v>
      </c>
      <c r="C28371" s="33" t="s">
        <v>11599</v>
      </c>
      <c r="D28371" s="33" t="s">
        <v>17</v>
      </c>
      <c r="E28371" s="33" t="s">
        <v>31</v>
      </c>
      <c r="F28371" s="33" t="s">
        <v>32</v>
      </c>
      <c r="G28371" s="33" t="s">
        <v>7780</v>
      </c>
      <c r="H28371" s="35">
        <v>300</v>
      </c>
      <c r="I28371" s="33" t="s">
        <v>51</v>
      </c>
      <c r="J28371" s="42">
        <v>46204</v>
      </c>
      <c r="K28371" s="33" t="s">
        <v>22</v>
      </c>
    </row>
    <row r="28372" spans="1:11">
      <c r="A28372" s="30" t="s">
        <v>62195</v>
      </c>
      <c r="B28372" s="30" t="s">
        <v>62196</v>
      </c>
      <c r="C28372" s="30" t="s">
        <v>16404</v>
      </c>
      <c r="D28372" s="30" t="s">
        <v>17</v>
      </c>
      <c r="E28372" s="30" t="s">
        <v>26</v>
      </c>
      <c r="F28372" s="30" t="s">
        <v>27</v>
      </c>
      <c r="G28372" s="30" t="s">
        <v>140</v>
      </c>
      <c r="H28372" s="32">
        <v>150</v>
      </c>
      <c r="I28372" s="30" t="s">
        <v>51</v>
      </c>
      <c r="J28372" s="41">
        <v>46077</v>
      </c>
      <c r="K28372" s="30" t="s">
        <v>22</v>
      </c>
    </row>
    <row r="28373" spans="1:11">
      <c r="A28373" s="33" t="s">
        <v>62197</v>
      </c>
      <c r="B28373" s="33" t="s">
        <v>62198</v>
      </c>
      <c r="C28373" s="33" t="s">
        <v>3489</v>
      </c>
      <c r="D28373" s="33" t="s">
        <v>17</v>
      </c>
      <c r="E28373" s="33" t="s">
        <v>212</v>
      </c>
      <c r="F28373" s="33" t="s">
        <v>213</v>
      </c>
      <c r="G28373" s="33" t="s">
        <v>140</v>
      </c>
      <c r="H28373" s="35">
        <v>12</v>
      </c>
      <c r="I28373" s="33" t="s">
        <v>51</v>
      </c>
      <c r="J28373" s="42">
        <v>46171</v>
      </c>
      <c r="K28373" s="33" t="s">
        <v>22</v>
      </c>
    </row>
    <row r="28374" spans="1:11">
      <c r="A28374" s="30" t="s">
        <v>62199</v>
      </c>
      <c r="B28374" s="30" t="s">
        <v>62200</v>
      </c>
      <c r="C28374" s="30" t="s">
        <v>15917</v>
      </c>
      <c r="D28374" s="30" t="s">
        <v>17</v>
      </c>
      <c r="E28374" s="30" t="s">
        <v>18</v>
      </c>
      <c r="F28374" s="30" t="s">
        <v>19</v>
      </c>
      <c r="G28374" s="30" t="s">
        <v>140</v>
      </c>
      <c r="H28374" s="32">
        <v>201</v>
      </c>
      <c r="I28374" s="30" t="s">
        <v>51</v>
      </c>
      <c r="J28374" s="41">
        <v>46102</v>
      </c>
      <c r="K28374" s="30" t="s">
        <v>22</v>
      </c>
    </row>
    <row r="28375" spans="1:11">
      <c r="A28375" s="33" t="s">
        <v>62201</v>
      </c>
      <c r="B28375" s="33" t="s">
        <v>62202</v>
      </c>
      <c r="C28375" s="33" t="s">
        <v>62203</v>
      </c>
      <c r="D28375" s="33" t="s">
        <v>17</v>
      </c>
      <c r="E28375" s="33" t="s">
        <v>67</v>
      </c>
      <c r="F28375" s="33" t="s">
        <v>68</v>
      </c>
      <c r="G28375" s="33" t="s">
        <v>140</v>
      </c>
      <c r="H28375" s="35">
        <v>33</v>
      </c>
      <c r="I28375" s="33" t="s">
        <v>51</v>
      </c>
      <c r="J28375" s="42">
        <v>46057</v>
      </c>
      <c r="K28375" s="33" t="s">
        <v>22</v>
      </c>
    </row>
    <row r="28376" spans="1:11">
      <c r="A28376" s="30" t="s">
        <v>62204</v>
      </c>
      <c r="B28376" s="30" t="s">
        <v>62205</v>
      </c>
      <c r="C28376" s="30" t="s">
        <v>7040</v>
      </c>
      <c r="D28376" s="30" t="s">
        <v>17</v>
      </c>
      <c r="E28376" s="30" t="s">
        <v>45</v>
      </c>
      <c r="F28376" s="30" t="s">
        <v>46</v>
      </c>
      <c r="G28376" s="30" t="s">
        <v>140</v>
      </c>
      <c r="H28376" s="32">
        <v>28</v>
      </c>
      <c r="I28376" s="30" t="s">
        <v>51</v>
      </c>
      <c r="J28376" s="41">
        <v>46052</v>
      </c>
      <c r="K28376" s="30" t="s">
        <v>22</v>
      </c>
    </row>
    <row r="28377" spans="1:11">
      <c r="A28377" s="33" t="s">
        <v>62206</v>
      </c>
      <c r="B28377" s="33" t="s">
        <v>62207</v>
      </c>
      <c r="C28377" s="33" t="s">
        <v>2812</v>
      </c>
      <c r="D28377" s="33" t="s">
        <v>17</v>
      </c>
      <c r="E28377" s="33" t="s">
        <v>18</v>
      </c>
      <c r="F28377" s="33" t="s">
        <v>19</v>
      </c>
      <c r="G28377" s="33" t="s">
        <v>140</v>
      </c>
      <c r="H28377" s="35">
        <v>508</v>
      </c>
      <c r="I28377" s="33" t="s">
        <v>51</v>
      </c>
      <c r="J28377" s="42">
        <v>46076</v>
      </c>
      <c r="K28377" s="33" t="s">
        <v>22</v>
      </c>
    </row>
    <row r="28378" spans="1:11">
      <c r="A28378" s="30" t="s">
        <v>62208</v>
      </c>
      <c r="B28378" s="30" t="s">
        <v>62209</v>
      </c>
      <c r="C28378" s="30" t="s">
        <v>25186</v>
      </c>
      <c r="D28378" s="30" t="s">
        <v>17</v>
      </c>
      <c r="E28378" s="30" t="s">
        <v>67</v>
      </c>
      <c r="F28378" s="30" t="s">
        <v>68</v>
      </c>
      <c r="G28378" s="30" t="s">
        <v>7780</v>
      </c>
      <c r="H28378" s="32">
        <v>120</v>
      </c>
      <c r="I28378" s="30" t="s">
        <v>51</v>
      </c>
      <c r="J28378" s="41">
        <v>46218</v>
      </c>
      <c r="K28378" s="30" t="s">
        <v>22</v>
      </c>
    </row>
    <row r="28379" spans="1:11">
      <c r="A28379" s="33" t="s">
        <v>62210</v>
      </c>
      <c r="B28379" s="33" t="s">
        <v>62211</v>
      </c>
      <c r="C28379" s="33" t="s">
        <v>8554</v>
      </c>
      <c r="D28379" s="33" t="s">
        <v>17</v>
      </c>
      <c r="E28379" s="33" t="s">
        <v>67</v>
      </c>
      <c r="F28379" s="33" t="s">
        <v>68</v>
      </c>
      <c r="G28379" s="33" t="s">
        <v>7780</v>
      </c>
      <c r="H28379" s="35">
        <v>116</v>
      </c>
      <c r="I28379" s="33" t="s">
        <v>51</v>
      </c>
      <c r="J28379" s="42">
        <v>46174</v>
      </c>
      <c r="K28379" s="33" t="s">
        <v>22</v>
      </c>
    </row>
    <row r="28380" spans="1:11">
      <c r="A28380" s="30" t="s">
        <v>62212</v>
      </c>
      <c r="B28380" s="30" t="s">
        <v>62213</v>
      </c>
      <c r="C28380" s="30" t="s">
        <v>570</v>
      </c>
      <c r="D28380" s="30" t="s">
        <v>17</v>
      </c>
      <c r="E28380" s="30" t="s">
        <v>26</v>
      </c>
      <c r="F28380" s="30" t="s">
        <v>27</v>
      </c>
      <c r="G28380" s="30" t="s">
        <v>7780</v>
      </c>
      <c r="H28380" s="32">
        <v>48</v>
      </c>
      <c r="I28380" s="30" t="s">
        <v>51</v>
      </c>
      <c r="J28380" s="41">
        <v>46178</v>
      </c>
      <c r="K28380" s="30" t="s">
        <v>22</v>
      </c>
    </row>
    <row r="28381" spans="1:11">
      <c r="A28381" s="33" t="s">
        <v>62214</v>
      </c>
      <c r="B28381" s="33" t="s">
        <v>62215</v>
      </c>
      <c r="C28381" s="33" t="s">
        <v>2313</v>
      </c>
      <c r="D28381" s="33" t="s">
        <v>17</v>
      </c>
      <c r="E28381" s="33" t="s">
        <v>26</v>
      </c>
      <c r="F28381" s="33" t="s">
        <v>27</v>
      </c>
      <c r="G28381" s="33" t="s">
        <v>112</v>
      </c>
      <c r="H28381" s="35">
        <v>0</v>
      </c>
      <c r="I28381" s="33" t="s">
        <v>21</v>
      </c>
      <c r="J28381" s="42">
        <v>46203</v>
      </c>
      <c r="K28381" s="33" t="s">
        <v>22</v>
      </c>
    </row>
    <row r="28382" spans="1:11">
      <c r="A28382" s="30" t="s">
        <v>62216</v>
      </c>
      <c r="B28382" s="30" t="s">
        <v>62217</v>
      </c>
      <c r="C28382" s="30" t="s">
        <v>102</v>
      </c>
      <c r="D28382" s="30" t="s">
        <v>17</v>
      </c>
      <c r="E28382" s="30" t="s">
        <v>18</v>
      </c>
      <c r="F28382" s="30" t="s">
        <v>19</v>
      </c>
      <c r="G28382" s="30" t="s">
        <v>140</v>
      </c>
      <c r="H28382" s="32">
        <v>600</v>
      </c>
      <c r="I28382" s="30" t="s">
        <v>51</v>
      </c>
      <c r="J28382" s="41">
        <v>46086</v>
      </c>
      <c r="K28382" s="30" t="s">
        <v>22</v>
      </c>
    </row>
    <row r="28383" spans="1:11">
      <c r="A28383" s="33" t="s">
        <v>62218</v>
      </c>
      <c r="B28383" s="33" t="s">
        <v>62219</v>
      </c>
      <c r="C28383" s="33" t="s">
        <v>969</v>
      </c>
      <c r="D28383" s="33" t="s">
        <v>17</v>
      </c>
      <c r="E28383" s="33" t="s">
        <v>18</v>
      </c>
      <c r="F28383" s="33" t="s">
        <v>19</v>
      </c>
      <c r="G28383" s="33" t="s">
        <v>140</v>
      </c>
      <c r="H28383" s="35">
        <v>450</v>
      </c>
      <c r="I28383" s="33" t="s">
        <v>51</v>
      </c>
      <c r="J28383" s="42">
        <v>46191</v>
      </c>
      <c r="K28383" s="33" t="s">
        <v>22</v>
      </c>
    </row>
    <row r="28384" spans="1:11">
      <c r="A28384" s="30" t="s">
        <v>62220</v>
      </c>
      <c r="B28384" s="30" t="s">
        <v>62221</v>
      </c>
      <c r="C28384" s="30" t="s">
        <v>1428</v>
      </c>
      <c r="D28384" s="30" t="s">
        <v>17</v>
      </c>
      <c r="E28384" s="30" t="s">
        <v>31</v>
      </c>
      <c r="F28384" s="30" t="s">
        <v>32</v>
      </c>
      <c r="G28384" s="30" t="s">
        <v>7780</v>
      </c>
      <c r="H28384" s="32">
        <v>90</v>
      </c>
      <c r="I28384" s="30" t="s">
        <v>51</v>
      </c>
      <c r="J28384" s="41">
        <v>46143</v>
      </c>
      <c r="K28384" s="30" t="s">
        <v>22</v>
      </c>
    </row>
    <row r="28385" spans="1:11">
      <c r="A28385" s="33" t="s">
        <v>62222</v>
      </c>
      <c r="B28385" s="33" t="s">
        <v>62223</v>
      </c>
      <c r="C28385" s="33" t="s">
        <v>190</v>
      </c>
      <c r="D28385" s="33" t="s">
        <v>17</v>
      </c>
      <c r="E28385" s="33" t="s">
        <v>18</v>
      </c>
      <c r="F28385" s="33" t="s">
        <v>19</v>
      </c>
      <c r="G28385" s="33" t="s">
        <v>140</v>
      </c>
      <c r="H28385" s="35">
        <v>400</v>
      </c>
      <c r="I28385" s="33" t="s">
        <v>51</v>
      </c>
      <c r="J28385" s="42">
        <v>46050</v>
      </c>
      <c r="K28385" s="33" t="s">
        <v>22</v>
      </c>
    </row>
    <row r="28386" spans="1:11">
      <c r="A28386" s="30" t="s">
        <v>62224</v>
      </c>
      <c r="B28386" s="30" t="s">
        <v>62225</v>
      </c>
      <c r="C28386" s="30" t="s">
        <v>252</v>
      </c>
      <c r="D28386" s="30" t="s">
        <v>17</v>
      </c>
      <c r="E28386" s="30" t="s">
        <v>67</v>
      </c>
      <c r="F28386" s="30" t="s">
        <v>68</v>
      </c>
      <c r="G28386" s="30" t="s">
        <v>140</v>
      </c>
      <c r="H28386" s="32">
        <v>265</v>
      </c>
      <c r="I28386" s="30" t="s">
        <v>51</v>
      </c>
      <c r="J28386" s="41">
        <v>46210</v>
      </c>
      <c r="K28386" s="30" t="s">
        <v>22</v>
      </c>
    </row>
    <row r="28387" spans="1:11">
      <c r="A28387" s="33" t="s">
        <v>62226</v>
      </c>
      <c r="B28387" s="33" t="s">
        <v>62227</v>
      </c>
      <c r="C28387" s="33" t="s">
        <v>31108</v>
      </c>
      <c r="D28387" s="33" t="s">
        <v>17</v>
      </c>
      <c r="E28387" s="33" t="s">
        <v>67</v>
      </c>
      <c r="F28387" s="33" t="s">
        <v>68</v>
      </c>
      <c r="G28387" s="33" t="s">
        <v>140</v>
      </c>
      <c r="H28387" s="35">
        <v>111</v>
      </c>
      <c r="I28387" s="33" t="s">
        <v>51</v>
      </c>
      <c r="J28387" s="42">
        <v>46112</v>
      </c>
      <c r="K28387" s="33" t="s">
        <v>22</v>
      </c>
    </row>
    <row r="28388" spans="1:11">
      <c r="A28388" s="30" t="s">
        <v>62228</v>
      </c>
      <c r="B28388" s="30" t="s">
        <v>62229</v>
      </c>
      <c r="C28388" s="30" t="s">
        <v>443</v>
      </c>
      <c r="D28388" s="30" t="s">
        <v>17</v>
      </c>
      <c r="E28388" s="30" t="s">
        <v>18</v>
      </c>
      <c r="F28388" s="30" t="s">
        <v>19</v>
      </c>
      <c r="G28388" s="30" t="s">
        <v>140</v>
      </c>
      <c r="H28388" s="32">
        <v>880</v>
      </c>
      <c r="I28388" s="30" t="s">
        <v>51</v>
      </c>
      <c r="J28388" s="41">
        <v>46106</v>
      </c>
      <c r="K28388" s="30" t="s">
        <v>22</v>
      </c>
    </row>
    <row r="28389" spans="1:11">
      <c r="A28389" s="33" t="s">
        <v>62230</v>
      </c>
      <c r="B28389" s="33" t="s">
        <v>62231</v>
      </c>
      <c r="C28389" s="33" t="s">
        <v>570</v>
      </c>
      <c r="D28389" s="33" t="s">
        <v>17</v>
      </c>
      <c r="E28389" s="33" t="s">
        <v>31</v>
      </c>
      <c r="F28389" s="33" t="s">
        <v>32</v>
      </c>
      <c r="G28389" s="33" t="s">
        <v>7780</v>
      </c>
      <c r="H28389" s="35">
        <v>180</v>
      </c>
      <c r="I28389" s="33" t="s">
        <v>51</v>
      </c>
      <c r="J28389" s="42">
        <v>46086</v>
      </c>
      <c r="K28389" s="33" t="s">
        <v>22</v>
      </c>
    </row>
    <row r="28390" spans="1:11">
      <c r="A28390" s="30" t="s">
        <v>62232</v>
      </c>
      <c r="B28390" s="30" t="s">
        <v>62233</v>
      </c>
      <c r="C28390" s="30" t="s">
        <v>231</v>
      </c>
      <c r="D28390" s="30" t="s">
        <v>17</v>
      </c>
      <c r="E28390" s="30" t="s">
        <v>67</v>
      </c>
      <c r="F28390" s="30" t="s">
        <v>68</v>
      </c>
      <c r="G28390" s="30" t="s">
        <v>140</v>
      </c>
      <c r="H28390" s="32">
        <v>49</v>
      </c>
      <c r="I28390" s="30" t="s">
        <v>51</v>
      </c>
      <c r="J28390" s="41">
        <v>46156</v>
      </c>
      <c r="K28390" s="30" t="s">
        <v>22</v>
      </c>
    </row>
    <row r="28391" spans="1:11">
      <c r="A28391" s="33" t="s">
        <v>62234</v>
      </c>
      <c r="B28391" s="33" t="s">
        <v>62235</v>
      </c>
      <c r="C28391" s="33" t="s">
        <v>15917</v>
      </c>
      <c r="D28391" s="33" t="s">
        <v>17</v>
      </c>
      <c r="E28391" s="33" t="s">
        <v>31</v>
      </c>
      <c r="F28391" s="33" t="s">
        <v>32</v>
      </c>
      <c r="G28391" s="33" t="s">
        <v>7780</v>
      </c>
      <c r="H28391" s="35">
        <v>90</v>
      </c>
      <c r="I28391" s="33" t="s">
        <v>51</v>
      </c>
      <c r="J28391" s="42">
        <v>46174</v>
      </c>
      <c r="K28391" s="33" t="s">
        <v>22</v>
      </c>
    </row>
    <row r="28392" spans="1:11">
      <c r="A28392" s="30" t="s">
        <v>62236</v>
      </c>
      <c r="B28392" s="30" t="s">
        <v>62237</v>
      </c>
      <c r="C28392" s="30" t="s">
        <v>62238</v>
      </c>
      <c r="D28392" s="30" t="s">
        <v>17</v>
      </c>
      <c r="E28392" s="30" t="s">
        <v>212</v>
      </c>
      <c r="F28392" s="30" t="s">
        <v>213</v>
      </c>
      <c r="G28392" s="30" t="s">
        <v>7780</v>
      </c>
      <c r="H28392" s="32">
        <v>48</v>
      </c>
      <c r="I28392" s="30" t="s">
        <v>51</v>
      </c>
      <c r="J28392" s="41">
        <v>46054</v>
      </c>
      <c r="K28392" s="30" t="s">
        <v>22</v>
      </c>
    </row>
    <row r="28393" spans="1:11">
      <c r="A28393" s="33" t="s">
        <v>62239</v>
      </c>
      <c r="B28393" s="33" t="s">
        <v>62240</v>
      </c>
      <c r="C28393" s="33" t="s">
        <v>190</v>
      </c>
      <c r="D28393" s="33" t="s">
        <v>17</v>
      </c>
      <c r="E28393" s="33" t="s">
        <v>31</v>
      </c>
      <c r="F28393" s="33" t="s">
        <v>32</v>
      </c>
      <c r="G28393" s="33" t="s">
        <v>140</v>
      </c>
      <c r="H28393" s="35">
        <v>124</v>
      </c>
      <c r="I28393" s="33" t="s">
        <v>51</v>
      </c>
      <c r="J28393" s="42">
        <v>46063</v>
      </c>
      <c r="K28393" s="33" t="s">
        <v>22</v>
      </c>
    </row>
    <row r="28394" spans="1:11">
      <c r="A28394" s="30" t="s">
        <v>62241</v>
      </c>
      <c r="B28394" s="30" t="s">
        <v>62242</v>
      </c>
      <c r="C28394" s="30" t="s">
        <v>93</v>
      </c>
      <c r="D28394" s="30" t="s">
        <v>17</v>
      </c>
      <c r="E28394" s="30" t="s">
        <v>26</v>
      </c>
      <c r="F28394" s="30" t="s">
        <v>27</v>
      </c>
      <c r="G28394" s="30" t="s">
        <v>140</v>
      </c>
      <c r="H28394" s="32">
        <v>52</v>
      </c>
      <c r="I28394" s="30" t="s">
        <v>51</v>
      </c>
      <c r="J28394" s="41">
        <v>46217</v>
      </c>
      <c r="K28394" s="30" t="s">
        <v>22</v>
      </c>
    </row>
    <row r="28395" spans="1:11">
      <c r="A28395" s="33" t="s">
        <v>62243</v>
      </c>
      <c r="B28395" s="33" t="s">
        <v>62244</v>
      </c>
      <c r="C28395" s="33" t="s">
        <v>3278</v>
      </c>
      <c r="D28395" s="33" t="s">
        <v>17</v>
      </c>
      <c r="E28395" s="33" t="s">
        <v>26</v>
      </c>
      <c r="F28395" s="33" t="s">
        <v>27</v>
      </c>
      <c r="G28395" s="33" t="s">
        <v>158</v>
      </c>
      <c r="H28395" s="35">
        <v>8</v>
      </c>
      <c r="I28395" s="33" t="s">
        <v>51</v>
      </c>
      <c r="J28395" s="42">
        <v>46091</v>
      </c>
      <c r="K28395" s="33" t="s">
        <v>22</v>
      </c>
    </row>
    <row r="28396" spans="1:11">
      <c r="A28396" s="30" t="s">
        <v>62245</v>
      </c>
      <c r="B28396" s="30" t="s">
        <v>62246</v>
      </c>
      <c r="C28396" s="30" t="s">
        <v>1370</v>
      </c>
      <c r="D28396" s="30" t="s">
        <v>17</v>
      </c>
      <c r="E28396" s="30" t="s">
        <v>67</v>
      </c>
      <c r="F28396" s="30" t="s">
        <v>68</v>
      </c>
      <c r="G28396" s="30" t="s">
        <v>2613</v>
      </c>
      <c r="H28396" s="32">
        <v>50</v>
      </c>
      <c r="I28396" s="30" t="s">
        <v>51</v>
      </c>
      <c r="J28396" s="41">
        <v>46142</v>
      </c>
      <c r="K28396" s="30" t="s">
        <v>22</v>
      </c>
    </row>
    <row r="28397" spans="1:11">
      <c r="A28397" s="33" t="s">
        <v>62247</v>
      </c>
      <c r="B28397" s="33" t="s">
        <v>62248</v>
      </c>
      <c r="C28397" s="33" t="s">
        <v>62249</v>
      </c>
      <c r="D28397" s="33" t="s">
        <v>17</v>
      </c>
      <c r="E28397" s="33" t="s">
        <v>67</v>
      </c>
      <c r="F28397" s="33" t="s">
        <v>68</v>
      </c>
      <c r="G28397" s="33" t="s">
        <v>140</v>
      </c>
      <c r="H28397" s="35">
        <v>210</v>
      </c>
      <c r="I28397" s="33" t="s">
        <v>51</v>
      </c>
      <c r="J28397" s="42">
        <v>46030</v>
      </c>
      <c r="K28397" s="33" t="s">
        <v>22</v>
      </c>
    </row>
    <row r="28398" spans="1:11">
      <c r="A28398" s="30" t="s">
        <v>62250</v>
      </c>
      <c r="B28398" s="30" t="s">
        <v>62251</v>
      </c>
      <c r="C28398" s="30" t="s">
        <v>1598</v>
      </c>
      <c r="D28398" s="30" t="s">
        <v>17</v>
      </c>
      <c r="E28398" s="30" t="s">
        <v>31</v>
      </c>
      <c r="F28398" s="30" t="s">
        <v>32</v>
      </c>
      <c r="G28398" s="30" t="s">
        <v>140</v>
      </c>
      <c r="H28398" s="32">
        <v>389</v>
      </c>
      <c r="I28398" s="30" t="s">
        <v>51</v>
      </c>
      <c r="J28398" s="41">
        <v>46132</v>
      </c>
      <c r="K28398" s="30" t="s">
        <v>22</v>
      </c>
    </row>
    <row r="28399" spans="1:11">
      <c r="A28399" s="33" t="s">
        <v>62252</v>
      </c>
      <c r="B28399" s="33" t="s">
        <v>62253</v>
      </c>
      <c r="C28399" s="33" t="s">
        <v>570</v>
      </c>
      <c r="D28399" s="33" t="s">
        <v>17</v>
      </c>
      <c r="E28399" s="33" t="s">
        <v>31</v>
      </c>
      <c r="F28399" s="33" t="s">
        <v>32</v>
      </c>
      <c r="G28399" s="33" t="s">
        <v>2613</v>
      </c>
      <c r="H28399" s="35">
        <v>260</v>
      </c>
      <c r="I28399" s="33" t="s">
        <v>51</v>
      </c>
      <c r="J28399" s="42">
        <v>46113</v>
      </c>
      <c r="K28399" s="33" t="s">
        <v>22</v>
      </c>
    </row>
    <row r="28400" spans="1:11">
      <c r="A28400" s="30" t="s">
        <v>62254</v>
      </c>
      <c r="B28400" s="30" t="s">
        <v>62255</v>
      </c>
      <c r="C28400" s="30" t="s">
        <v>647</v>
      </c>
      <c r="D28400" s="30" t="s">
        <v>17</v>
      </c>
      <c r="E28400" s="30" t="s">
        <v>67</v>
      </c>
      <c r="F28400" s="30" t="s">
        <v>68</v>
      </c>
      <c r="G28400" s="30" t="s">
        <v>140</v>
      </c>
      <c r="H28400" s="32">
        <v>280</v>
      </c>
      <c r="I28400" s="30" t="s">
        <v>51</v>
      </c>
      <c r="J28400" s="41">
        <v>46145</v>
      </c>
      <c r="K28400" s="30" t="s">
        <v>22</v>
      </c>
    </row>
    <row r="28401" spans="1:11">
      <c r="A28401" s="33" t="s">
        <v>62256</v>
      </c>
      <c r="B28401" s="33" t="s">
        <v>62257</v>
      </c>
      <c r="C28401" s="33" t="s">
        <v>18181</v>
      </c>
      <c r="D28401" s="33" t="s">
        <v>17</v>
      </c>
      <c r="E28401" s="33" t="s">
        <v>31</v>
      </c>
      <c r="F28401" s="33" t="s">
        <v>32</v>
      </c>
      <c r="G28401" s="33" t="s">
        <v>140</v>
      </c>
      <c r="H28401" s="35">
        <v>20</v>
      </c>
      <c r="I28401" s="33" t="s">
        <v>51</v>
      </c>
      <c r="J28401" s="42">
        <v>46142</v>
      </c>
      <c r="K28401" s="33" t="s">
        <v>22</v>
      </c>
    </row>
    <row r="28402" spans="1:11">
      <c r="A28402" s="30" t="s">
        <v>62258</v>
      </c>
      <c r="B28402" s="30" t="s">
        <v>62259</v>
      </c>
      <c r="C28402" s="30" t="s">
        <v>62260</v>
      </c>
      <c r="D28402" s="30" t="s">
        <v>17</v>
      </c>
      <c r="E28402" s="30" t="s">
        <v>26</v>
      </c>
      <c r="F28402" s="30" t="s">
        <v>27</v>
      </c>
      <c r="G28402" s="30" t="s">
        <v>140</v>
      </c>
      <c r="H28402" s="32">
        <v>40</v>
      </c>
      <c r="I28402" s="30" t="s">
        <v>51</v>
      </c>
      <c r="J28402" s="41">
        <v>46094</v>
      </c>
      <c r="K28402" s="30" t="s">
        <v>22</v>
      </c>
    </row>
    <row r="28403" spans="1:11">
      <c r="A28403" s="33" t="s">
        <v>62261</v>
      </c>
      <c r="B28403" s="33" t="s">
        <v>62262</v>
      </c>
      <c r="C28403" s="33" t="s">
        <v>187</v>
      </c>
      <c r="D28403" s="33" t="s">
        <v>17</v>
      </c>
      <c r="E28403" s="33" t="s">
        <v>212</v>
      </c>
      <c r="F28403" s="33" t="s">
        <v>213</v>
      </c>
      <c r="G28403" s="33" t="s">
        <v>140</v>
      </c>
      <c r="H28403" s="35">
        <v>30</v>
      </c>
      <c r="I28403" s="33" t="s">
        <v>51</v>
      </c>
      <c r="J28403" s="42">
        <v>46217</v>
      </c>
      <c r="K28403" s="33" t="s">
        <v>22</v>
      </c>
    </row>
    <row r="28404" spans="1:11">
      <c r="A28404" s="30" t="s">
        <v>62263</v>
      </c>
      <c r="B28404" s="30" t="s">
        <v>62264</v>
      </c>
      <c r="C28404" s="30" t="s">
        <v>570</v>
      </c>
      <c r="D28404" s="30" t="s">
        <v>17</v>
      </c>
      <c r="E28404" s="30" t="s">
        <v>26</v>
      </c>
      <c r="F28404" s="30" t="s">
        <v>27</v>
      </c>
      <c r="G28404" s="30" t="s">
        <v>7780</v>
      </c>
      <c r="H28404" s="32">
        <v>70</v>
      </c>
      <c r="I28404" s="30" t="s">
        <v>51</v>
      </c>
      <c r="J28404" s="41">
        <v>46023</v>
      </c>
      <c r="K28404" s="30" t="s">
        <v>22</v>
      </c>
    </row>
    <row r="28405" spans="1:11">
      <c r="A28405" s="33" t="s">
        <v>62265</v>
      </c>
      <c r="B28405" s="33" t="s">
        <v>62266</v>
      </c>
      <c r="C28405" s="33" t="s">
        <v>14816</v>
      </c>
      <c r="D28405" s="33" t="s">
        <v>17</v>
      </c>
      <c r="E28405" s="33" t="s">
        <v>31</v>
      </c>
      <c r="F28405" s="33" t="s">
        <v>32</v>
      </c>
      <c r="G28405" s="33" t="s">
        <v>7780</v>
      </c>
      <c r="H28405" s="35">
        <v>90</v>
      </c>
      <c r="I28405" s="33" t="s">
        <v>51</v>
      </c>
      <c r="J28405" s="42">
        <v>46204</v>
      </c>
      <c r="K28405" s="33" t="s">
        <v>22</v>
      </c>
    </row>
    <row r="28406" spans="1:11">
      <c r="A28406" s="30" t="s">
        <v>62267</v>
      </c>
      <c r="B28406" s="30" t="s">
        <v>62268</v>
      </c>
      <c r="C28406" s="30" t="s">
        <v>2329</v>
      </c>
      <c r="D28406" s="30" t="s">
        <v>17</v>
      </c>
      <c r="E28406" s="30" t="s">
        <v>31</v>
      </c>
      <c r="F28406" s="30" t="s">
        <v>32</v>
      </c>
      <c r="G28406" s="30" t="s">
        <v>69</v>
      </c>
      <c r="H28406" s="32">
        <v>10</v>
      </c>
      <c r="I28406" s="30" t="s">
        <v>51</v>
      </c>
      <c r="J28406" s="41">
        <v>46113</v>
      </c>
      <c r="K28406" s="30" t="s">
        <v>22</v>
      </c>
    </row>
    <row r="28407" spans="1:11">
      <c r="A28407" s="33" t="s">
        <v>62269</v>
      </c>
      <c r="B28407" s="33" t="s">
        <v>62270</v>
      </c>
      <c r="C28407" s="33" t="s">
        <v>57632</v>
      </c>
      <c r="D28407" s="33" t="s">
        <v>17</v>
      </c>
      <c r="E28407" s="33" t="s">
        <v>26</v>
      </c>
      <c r="F28407" s="33" t="s">
        <v>27</v>
      </c>
      <c r="G28407" s="33" t="s">
        <v>140</v>
      </c>
      <c r="H28407" s="35">
        <v>8</v>
      </c>
      <c r="I28407" s="33" t="s">
        <v>51</v>
      </c>
      <c r="J28407" s="42">
        <v>46209</v>
      </c>
      <c r="K28407" s="33" t="s">
        <v>22</v>
      </c>
    </row>
    <row r="28408" spans="1:11">
      <c r="A28408" s="30" t="s">
        <v>62271</v>
      </c>
      <c r="B28408" s="30" t="s">
        <v>62272</v>
      </c>
      <c r="C28408" s="30" t="s">
        <v>3978</v>
      </c>
      <c r="D28408" s="30" t="s">
        <v>17</v>
      </c>
      <c r="E28408" s="30" t="s">
        <v>31</v>
      </c>
      <c r="F28408" s="30" t="s">
        <v>32</v>
      </c>
      <c r="G28408" s="30" t="s">
        <v>140</v>
      </c>
      <c r="H28408" s="32">
        <v>15</v>
      </c>
      <c r="I28408" s="30" t="s">
        <v>51</v>
      </c>
      <c r="J28408" s="41">
        <v>46113</v>
      </c>
      <c r="K28408" s="30" t="s">
        <v>22</v>
      </c>
    </row>
    <row r="28409" spans="1:11">
      <c r="A28409" s="33" t="s">
        <v>62273</v>
      </c>
      <c r="B28409" s="33" t="s">
        <v>62274</v>
      </c>
      <c r="C28409" s="33" t="s">
        <v>4453</v>
      </c>
      <c r="D28409" s="33" t="s">
        <v>17</v>
      </c>
      <c r="E28409" s="33" t="s">
        <v>31</v>
      </c>
      <c r="F28409" s="33" t="s">
        <v>32</v>
      </c>
      <c r="G28409" s="33" t="s">
        <v>7780</v>
      </c>
      <c r="H28409" s="35">
        <v>40</v>
      </c>
      <c r="I28409" s="33" t="s">
        <v>51</v>
      </c>
      <c r="J28409" s="42">
        <v>46233</v>
      </c>
      <c r="K28409" s="33" t="s">
        <v>22</v>
      </c>
    </row>
    <row r="28410" spans="1:11">
      <c r="A28410" s="30" t="s">
        <v>62275</v>
      </c>
      <c r="B28410" s="30" t="s">
        <v>62276</v>
      </c>
      <c r="C28410" s="30" t="s">
        <v>48387</v>
      </c>
      <c r="D28410" s="30" t="s">
        <v>17</v>
      </c>
      <c r="E28410" s="30" t="s">
        <v>26</v>
      </c>
      <c r="F28410" s="30" t="s">
        <v>27</v>
      </c>
      <c r="G28410" s="30" t="s">
        <v>140</v>
      </c>
      <c r="H28410" s="32">
        <v>38</v>
      </c>
      <c r="I28410" s="30" t="s">
        <v>51</v>
      </c>
      <c r="J28410" s="41">
        <v>46051</v>
      </c>
      <c r="K28410" s="30" t="s">
        <v>22</v>
      </c>
    </row>
    <row r="28411" spans="1:11">
      <c r="A28411" s="33" t="s">
        <v>62277</v>
      </c>
      <c r="B28411" s="33" t="s">
        <v>62278</v>
      </c>
      <c r="C28411" s="33" t="s">
        <v>1428</v>
      </c>
      <c r="D28411" s="33" t="s">
        <v>17</v>
      </c>
      <c r="E28411" s="33" t="s">
        <v>67</v>
      </c>
      <c r="F28411" s="33" t="s">
        <v>68</v>
      </c>
      <c r="G28411" s="33" t="s">
        <v>7780</v>
      </c>
      <c r="H28411" s="35">
        <v>126</v>
      </c>
      <c r="I28411" s="33" t="s">
        <v>51</v>
      </c>
      <c r="J28411" s="42">
        <v>46172</v>
      </c>
      <c r="K28411" s="33" t="s">
        <v>22</v>
      </c>
    </row>
    <row r="28412" spans="1:11">
      <c r="A28412" s="30" t="s">
        <v>62279</v>
      </c>
      <c r="B28412" s="30" t="s">
        <v>62280</v>
      </c>
      <c r="C28412" s="30" t="s">
        <v>2490</v>
      </c>
      <c r="D28412" s="30" t="s">
        <v>17</v>
      </c>
      <c r="E28412" s="30" t="s">
        <v>26</v>
      </c>
      <c r="F28412" s="30" t="s">
        <v>27</v>
      </c>
      <c r="G28412" s="30" t="s">
        <v>7780</v>
      </c>
      <c r="H28412" s="32">
        <v>8</v>
      </c>
      <c r="I28412" s="30" t="s">
        <v>51</v>
      </c>
      <c r="J28412" s="41">
        <v>46142</v>
      </c>
      <c r="K28412" s="30" t="s">
        <v>22</v>
      </c>
    </row>
    <row r="28413" spans="1:11">
      <c r="A28413" s="33" t="s">
        <v>62281</v>
      </c>
      <c r="B28413" s="33" t="s">
        <v>62282</v>
      </c>
      <c r="C28413" s="33" t="s">
        <v>11599</v>
      </c>
      <c r="D28413" s="33" t="s">
        <v>17</v>
      </c>
      <c r="E28413" s="33" t="s">
        <v>212</v>
      </c>
      <c r="F28413" s="33" t="s">
        <v>213</v>
      </c>
      <c r="G28413" s="33" t="s">
        <v>140</v>
      </c>
      <c r="H28413" s="35">
        <v>12</v>
      </c>
      <c r="I28413" s="33" t="s">
        <v>51</v>
      </c>
      <c r="J28413" s="42">
        <v>46223</v>
      </c>
      <c r="K28413" s="33" t="s">
        <v>22</v>
      </c>
    </row>
    <row r="28414" spans="1:11">
      <c r="A28414" s="30" t="s">
        <v>62283</v>
      </c>
      <c r="B28414" s="30" t="s">
        <v>62284</v>
      </c>
      <c r="C28414" s="30" t="s">
        <v>190</v>
      </c>
      <c r="D28414" s="30" t="s">
        <v>17</v>
      </c>
      <c r="E28414" s="30" t="s">
        <v>18</v>
      </c>
      <c r="F28414" s="30" t="s">
        <v>19</v>
      </c>
      <c r="G28414" s="30" t="s">
        <v>140</v>
      </c>
      <c r="H28414" s="32">
        <v>915</v>
      </c>
      <c r="I28414" s="30" t="s">
        <v>51</v>
      </c>
      <c r="J28414" s="41">
        <v>46219</v>
      </c>
      <c r="K28414" s="30" t="s">
        <v>22</v>
      </c>
    </row>
    <row r="28415" spans="1:11">
      <c r="A28415" s="33" t="s">
        <v>62285</v>
      </c>
      <c r="B28415" s="33" t="s">
        <v>62286</v>
      </c>
      <c r="C28415" s="33" t="s">
        <v>647</v>
      </c>
      <c r="D28415" s="33" t="s">
        <v>17</v>
      </c>
      <c r="E28415" s="33" t="s">
        <v>26</v>
      </c>
      <c r="F28415" s="33" t="s">
        <v>27</v>
      </c>
      <c r="G28415" s="33" t="s">
        <v>140</v>
      </c>
      <c r="H28415" s="35">
        <v>210</v>
      </c>
      <c r="I28415" s="33" t="s">
        <v>51</v>
      </c>
      <c r="J28415" s="42">
        <v>46035</v>
      </c>
      <c r="K28415" s="33" t="s">
        <v>22</v>
      </c>
    </row>
    <row r="28416" spans="1:11">
      <c r="A28416" s="30" t="s">
        <v>62287</v>
      </c>
      <c r="B28416" s="30" t="s">
        <v>62288</v>
      </c>
      <c r="C28416" s="30" t="s">
        <v>75</v>
      </c>
      <c r="D28416" s="30" t="s">
        <v>17</v>
      </c>
      <c r="E28416" s="30" t="s">
        <v>26</v>
      </c>
      <c r="F28416" s="30" t="s">
        <v>27</v>
      </c>
      <c r="G28416" s="30" t="s">
        <v>140</v>
      </c>
      <c r="H28416" s="32">
        <v>64</v>
      </c>
      <c r="I28416" s="30" t="s">
        <v>51</v>
      </c>
      <c r="J28416" s="41">
        <v>46139</v>
      </c>
      <c r="K28416" s="30" t="s">
        <v>22</v>
      </c>
    </row>
    <row r="28417" spans="1:11">
      <c r="A28417" s="33" t="s">
        <v>62289</v>
      </c>
      <c r="B28417" s="33" t="s">
        <v>62290</v>
      </c>
      <c r="C28417" s="33" t="s">
        <v>47722</v>
      </c>
      <c r="D28417" s="33" t="s">
        <v>17</v>
      </c>
      <c r="E28417" s="33" t="s">
        <v>26</v>
      </c>
      <c r="F28417" s="33" t="s">
        <v>27</v>
      </c>
      <c r="G28417" s="33" t="s">
        <v>7780</v>
      </c>
      <c r="H28417" s="35">
        <v>53</v>
      </c>
      <c r="I28417" s="33" t="s">
        <v>51</v>
      </c>
      <c r="J28417" s="42">
        <v>46192</v>
      </c>
      <c r="K28417" s="33" t="s">
        <v>22</v>
      </c>
    </row>
    <row r="28418" spans="1:11">
      <c r="A28418" s="30" t="s">
        <v>62291</v>
      </c>
      <c r="B28418" s="30" t="s">
        <v>62292</v>
      </c>
      <c r="C28418" s="30" t="s">
        <v>1598</v>
      </c>
      <c r="D28418" s="30" t="s">
        <v>17</v>
      </c>
      <c r="E28418" s="30" t="s">
        <v>26</v>
      </c>
      <c r="F28418" s="30" t="s">
        <v>27</v>
      </c>
      <c r="G28418" s="30" t="s">
        <v>7780</v>
      </c>
      <c r="H28418" s="32">
        <v>16</v>
      </c>
      <c r="I28418" s="30" t="s">
        <v>51</v>
      </c>
      <c r="J28418" s="41">
        <v>46142</v>
      </c>
      <c r="K28418" s="30" t="s">
        <v>22</v>
      </c>
    </row>
    <row r="28419" spans="1:11">
      <c r="A28419" s="33" t="s">
        <v>62293</v>
      </c>
      <c r="B28419" s="33" t="s">
        <v>62294</v>
      </c>
      <c r="C28419" s="33" t="s">
        <v>62295</v>
      </c>
      <c r="D28419" s="33" t="s">
        <v>17</v>
      </c>
      <c r="E28419" s="33" t="s">
        <v>18</v>
      </c>
      <c r="F28419" s="33" t="s">
        <v>19</v>
      </c>
      <c r="G28419" s="33" t="s">
        <v>140</v>
      </c>
      <c r="H28419" s="35">
        <v>316</v>
      </c>
      <c r="I28419" s="33" t="s">
        <v>51</v>
      </c>
      <c r="J28419" s="42">
        <v>46143</v>
      </c>
      <c r="K28419" s="33" t="s">
        <v>22</v>
      </c>
    </row>
    <row r="28420" spans="1:11">
      <c r="A28420" s="30" t="s">
        <v>62296</v>
      </c>
      <c r="B28420" s="30" t="s">
        <v>62297</v>
      </c>
      <c r="C28420" s="30" t="s">
        <v>399</v>
      </c>
      <c r="D28420" s="30" t="s">
        <v>17</v>
      </c>
      <c r="E28420" s="30" t="s">
        <v>26</v>
      </c>
      <c r="F28420" s="30" t="s">
        <v>27</v>
      </c>
      <c r="G28420" s="30" t="s">
        <v>140</v>
      </c>
      <c r="H28420" s="32">
        <v>18</v>
      </c>
      <c r="I28420" s="30" t="s">
        <v>51</v>
      </c>
      <c r="J28420" s="41">
        <v>46037</v>
      </c>
      <c r="K28420" s="30" t="s">
        <v>22</v>
      </c>
    </row>
    <row r="28421" spans="1:11">
      <c r="A28421" s="33" t="s">
        <v>62298</v>
      </c>
      <c r="B28421" s="33" t="s">
        <v>62299</v>
      </c>
      <c r="C28421" s="33" t="s">
        <v>1683</v>
      </c>
      <c r="D28421" s="33" t="s">
        <v>17</v>
      </c>
      <c r="E28421" s="33" t="s">
        <v>212</v>
      </c>
      <c r="F28421" s="33" t="s">
        <v>213</v>
      </c>
      <c r="G28421" s="33" t="s">
        <v>7780</v>
      </c>
      <c r="H28421" s="35">
        <v>20</v>
      </c>
      <c r="I28421" s="33" t="s">
        <v>51</v>
      </c>
      <c r="J28421" s="42">
        <v>46234</v>
      </c>
      <c r="K28421" s="33" t="s">
        <v>22</v>
      </c>
    </row>
    <row r="28422" spans="1:11">
      <c r="A28422" s="30" t="s">
        <v>62300</v>
      </c>
      <c r="B28422" s="30" t="s">
        <v>62301</v>
      </c>
      <c r="C28422" s="30" t="s">
        <v>29933</v>
      </c>
      <c r="D28422" s="30" t="s">
        <v>17</v>
      </c>
      <c r="E28422" s="30" t="s">
        <v>18</v>
      </c>
      <c r="F28422" s="30" t="s">
        <v>19</v>
      </c>
      <c r="G28422" s="30" t="s">
        <v>140</v>
      </c>
      <c r="H28422" s="32">
        <v>380</v>
      </c>
      <c r="I28422" s="30" t="s">
        <v>51</v>
      </c>
      <c r="J28422" s="41">
        <v>46135</v>
      </c>
      <c r="K28422" s="30" t="s">
        <v>22</v>
      </c>
    </row>
    <row r="28423" spans="1:11">
      <c r="A28423" s="33" t="s">
        <v>62302</v>
      </c>
      <c r="B28423" s="33" t="s">
        <v>62303</v>
      </c>
      <c r="C28423" s="33" t="s">
        <v>44</v>
      </c>
      <c r="D28423" s="33" t="s">
        <v>17</v>
      </c>
      <c r="E28423" s="33" t="s">
        <v>18</v>
      </c>
      <c r="F28423" s="33" t="s">
        <v>19</v>
      </c>
      <c r="G28423" s="33" t="s">
        <v>140</v>
      </c>
      <c r="H28423" s="35">
        <v>350</v>
      </c>
      <c r="I28423" s="33" t="s">
        <v>51</v>
      </c>
      <c r="J28423" s="42">
        <v>46032</v>
      </c>
      <c r="K28423" s="33" t="s">
        <v>22</v>
      </c>
    </row>
    <row r="28424" spans="1:11">
      <c r="A28424" s="30" t="s">
        <v>62304</v>
      </c>
      <c r="B28424" s="30" t="s">
        <v>62305</v>
      </c>
      <c r="C28424" s="30" t="s">
        <v>1267</v>
      </c>
      <c r="D28424" s="30" t="s">
        <v>17</v>
      </c>
      <c r="E28424" s="30" t="s">
        <v>26</v>
      </c>
      <c r="F28424" s="30" t="s">
        <v>27</v>
      </c>
      <c r="G28424" s="30" t="s">
        <v>20</v>
      </c>
      <c r="H28424" s="32">
        <v>8</v>
      </c>
      <c r="I28424" s="30" t="s">
        <v>21</v>
      </c>
      <c r="J28424" s="41">
        <v>46056</v>
      </c>
      <c r="K28424" s="30" t="s">
        <v>22</v>
      </c>
    </row>
    <row r="28425" spans="1:11">
      <c r="A28425" s="33" t="s">
        <v>62306</v>
      </c>
      <c r="B28425" s="33" t="s">
        <v>62307</v>
      </c>
      <c r="C28425" s="33" t="s">
        <v>21009</v>
      </c>
      <c r="D28425" s="33" t="s">
        <v>17</v>
      </c>
      <c r="E28425" s="33" t="s">
        <v>18</v>
      </c>
      <c r="F28425" s="33" t="s">
        <v>19</v>
      </c>
      <c r="G28425" s="33" t="s">
        <v>7780</v>
      </c>
      <c r="H28425" s="35">
        <v>360</v>
      </c>
      <c r="I28425" s="33" t="s">
        <v>51</v>
      </c>
      <c r="J28425" s="42">
        <v>46174</v>
      </c>
      <c r="K28425" s="33" t="s">
        <v>22</v>
      </c>
    </row>
    <row r="28426" spans="1:11">
      <c r="A28426" s="30" t="s">
        <v>62308</v>
      </c>
      <c r="B28426" s="30" t="s">
        <v>62309</v>
      </c>
      <c r="C28426" s="30" t="s">
        <v>62310</v>
      </c>
      <c r="D28426" s="30" t="s">
        <v>17</v>
      </c>
      <c r="E28426" s="30" t="s">
        <v>31</v>
      </c>
      <c r="F28426" s="30" t="s">
        <v>32</v>
      </c>
      <c r="G28426" s="30" t="s">
        <v>7780</v>
      </c>
      <c r="H28426" s="32">
        <v>60</v>
      </c>
      <c r="I28426" s="30" t="s">
        <v>51</v>
      </c>
      <c r="J28426" s="41">
        <v>46023</v>
      </c>
      <c r="K28426" s="30" t="s">
        <v>22</v>
      </c>
    </row>
    <row r="28427" spans="1:11">
      <c r="A28427" s="33" t="s">
        <v>62311</v>
      </c>
      <c r="B28427" s="33" t="s">
        <v>62312</v>
      </c>
      <c r="C28427" s="33" t="s">
        <v>136</v>
      </c>
      <c r="D28427" s="33" t="s">
        <v>17</v>
      </c>
      <c r="E28427" s="33" t="s">
        <v>26</v>
      </c>
      <c r="F28427" s="33" t="s">
        <v>27</v>
      </c>
      <c r="G28427" s="33" t="s">
        <v>7780</v>
      </c>
      <c r="H28427" s="35">
        <v>88</v>
      </c>
      <c r="I28427" s="33" t="s">
        <v>51</v>
      </c>
      <c r="J28427" s="42">
        <v>46204</v>
      </c>
      <c r="K28427" s="33" t="s">
        <v>22</v>
      </c>
    </row>
    <row r="28428" spans="1:11">
      <c r="A28428" s="30" t="s">
        <v>62313</v>
      </c>
      <c r="B28428" s="30" t="s">
        <v>62314</v>
      </c>
      <c r="C28428" s="30" t="s">
        <v>49904</v>
      </c>
      <c r="D28428" s="30" t="s">
        <v>17</v>
      </c>
      <c r="E28428" s="30" t="s">
        <v>18</v>
      </c>
      <c r="F28428" s="30" t="s">
        <v>19</v>
      </c>
      <c r="G28428" s="30" t="s">
        <v>140</v>
      </c>
      <c r="H28428" s="32">
        <v>600</v>
      </c>
      <c r="I28428" s="30" t="s">
        <v>51</v>
      </c>
      <c r="J28428" s="41">
        <v>46098</v>
      </c>
      <c r="K28428" s="30" t="s">
        <v>22</v>
      </c>
    </row>
    <row r="28429" spans="1:11">
      <c r="A28429" s="33" t="s">
        <v>62315</v>
      </c>
      <c r="B28429" s="33" t="s">
        <v>62316</v>
      </c>
      <c r="C28429" s="33" t="s">
        <v>30672</v>
      </c>
      <c r="D28429" s="33" t="s">
        <v>17</v>
      </c>
      <c r="E28429" s="33" t="s">
        <v>31</v>
      </c>
      <c r="F28429" s="33" t="s">
        <v>32</v>
      </c>
      <c r="G28429" s="33" t="s">
        <v>7780</v>
      </c>
      <c r="H28429" s="35">
        <v>180</v>
      </c>
      <c r="I28429" s="33" t="s">
        <v>51</v>
      </c>
      <c r="J28429" s="42">
        <v>46113</v>
      </c>
      <c r="K28429" s="33" t="s">
        <v>22</v>
      </c>
    </row>
    <row r="28430" spans="1:11">
      <c r="A28430" s="30" t="s">
        <v>62317</v>
      </c>
      <c r="B28430" s="30" t="s">
        <v>62318</v>
      </c>
      <c r="C28430" s="30" t="s">
        <v>1165</v>
      </c>
      <c r="D28430" s="30" t="s">
        <v>17</v>
      </c>
      <c r="E28430" s="30" t="s">
        <v>31</v>
      </c>
      <c r="F28430" s="30" t="s">
        <v>32</v>
      </c>
      <c r="G28430" s="30" t="s">
        <v>140</v>
      </c>
      <c r="H28430" s="32">
        <v>40</v>
      </c>
      <c r="I28430" s="30" t="s">
        <v>51</v>
      </c>
      <c r="J28430" s="41">
        <v>46213</v>
      </c>
      <c r="K28430" s="30" t="s">
        <v>22</v>
      </c>
    </row>
    <row r="28431" spans="1:11">
      <c r="A28431" s="33" t="s">
        <v>62319</v>
      </c>
      <c r="B28431" s="33" t="s">
        <v>62320</v>
      </c>
      <c r="C28431" s="33" t="s">
        <v>44</v>
      </c>
      <c r="D28431" s="33" t="s">
        <v>17</v>
      </c>
      <c r="E28431" s="33" t="s">
        <v>31</v>
      </c>
      <c r="F28431" s="33" t="s">
        <v>32</v>
      </c>
      <c r="G28431" s="33" t="s">
        <v>140</v>
      </c>
      <c r="H28431" s="35">
        <v>270</v>
      </c>
      <c r="I28431" s="33" t="s">
        <v>51</v>
      </c>
      <c r="J28431" s="42">
        <v>46031</v>
      </c>
      <c r="K28431" s="33" t="s">
        <v>22</v>
      </c>
    </row>
    <row r="28432" spans="1:11">
      <c r="A28432" s="30" t="s">
        <v>62321</v>
      </c>
      <c r="B28432" s="30" t="s">
        <v>62322</v>
      </c>
      <c r="C28432" s="30" t="s">
        <v>231</v>
      </c>
      <c r="D28432" s="30" t="s">
        <v>17</v>
      </c>
      <c r="E28432" s="30" t="s">
        <v>26</v>
      </c>
      <c r="F28432" s="30" t="s">
        <v>27</v>
      </c>
      <c r="G28432" s="30" t="s">
        <v>140</v>
      </c>
      <c r="H28432" s="32">
        <v>72</v>
      </c>
      <c r="I28432" s="30" t="s">
        <v>51</v>
      </c>
      <c r="J28432" s="41">
        <v>46134</v>
      </c>
      <c r="K28432" s="30" t="s">
        <v>22</v>
      </c>
    </row>
    <row r="28433" spans="1:11">
      <c r="A28433" s="33" t="s">
        <v>62323</v>
      </c>
      <c r="B28433" s="33" t="s">
        <v>62324</v>
      </c>
      <c r="C28433" s="33" t="s">
        <v>96</v>
      </c>
      <c r="D28433" s="33" t="s">
        <v>17</v>
      </c>
      <c r="E28433" s="33" t="s">
        <v>31</v>
      </c>
      <c r="F28433" s="33" t="s">
        <v>32</v>
      </c>
      <c r="G28433" s="33" t="s">
        <v>140</v>
      </c>
      <c r="H28433" s="35">
        <v>120</v>
      </c>
      <c r="I28433" s="33" t="s">
        <v>51</v>
      </c>
      <c r="J28433" s="42">
        <v>46203</v>
      </c>
      <c r="K28433" s="33" t="s">
        <v>22</v>
      </c>
    </row>
    <row r="28434" spans="1:11">
      <c r="A28434" s="30" t="s">
        <v>62325</v>
      </c>
      <c r="B28434" s="30" t="s">
        <v>62326</v>
      </c>
      <c r="C28434" s="30" t="s">
        <v>52557</v>
      </c>
      <c r="D28434" s="30" t="s">
        <v>17</v>
      </c>
      <c r="E28434" s="30" t="s">
        <v>31</v>
      </c>
      <c r="F28434" s="30" t="s">
        <v>32</v>
      </c>
      <c r="G28434" s="30" t="s">
        <v>140</v>
      </c>
      <c r="H28434" s="32">
        <v>300</v>
      </c>
      <c r="I28434" s="30" t="s">
        <v>51</v>
      </c>
      <c r="J28434" s="41">
        <v>46205</v>
      </c>
      <c r="K28434" s="30" t="s">
        <v>22</v>
      </c>
    </row>
    <row r="28435" spans="1:11">
      <c r="A28435" s="33" t="s">
        <v>62327</v>
      </c>
      <c r="B28435" s="33" t="s">
        <v>62328</v>
      </c>
      <c r="C28435" s="33" t="s">
        <v>3378</v>
      </c>
      <c r="D28435" s="33" t="s">
        <v>17</v>
      </c>
      <c r="E28435" s="33" t="s">
        <v>26</v>
      </c>
      <c r="F28435" s="33" t="s">
        <v>27</v>
      </c>
      <c r="G28435" s="33" t="s">
        <v>140</v>
      </c>
      <c r="H28435" s="35">
        <v>118</v>
      </c>
      <c r="I28435" s="33" t="s">
        <v>51</v>
      </c>
      <c r="J28435" s="42">
        <v>46050</v>
      </c>
      <c r="K28435" s="33" t="s">
        <v>22</v>
      </c>
    </row>
    <row r="28436" spans="1:11">
      <c r="A28436" s="30" t="s">
        <v>62329</v>
      </c>
      <c r="B28436" s="30" t="s">
        <v>62330</v>
      </c>
      <c r="C28436" s="30" t="s">
        <v>96</v>
      </c>
      <c r="D28436" s="30" t="s">
        <v>17</v>
      </c>
      <c r="E28436" s="30" t="s">
        <v>26</v>
      </c>
      <c r="F28436" s="30" t="s">
        <v>27</v>
      </c>
      <c r="G28436" s="30" t="s">
        <v>140</v>
      </c>
      <c r="H28436" s="32">
        <v>120</v>
      </c>
      <c r="I28436" s="30" t="s">
        <v>51</v>
      </c>
      <c r="J28436" s="41">
        <v>46204</v>
      </c>
      <c r="K28436" s="30" t="s">
        <v>22</v>
      </c>
    </row>
    <row r="28437" spans="1:11">
      <c r="A28437" s="33" t="s">
        <v>62331</v>
      </c>
      <c r="B28437" s="33" t="s">
        <v>62332</v>
      </c>
      <c r="C28437" s="33" t="s">
        <v>96</v>
      </c>
      <c r="D28437" s="33" t="s">
        <v>17</v>
      </c>
      <c r="E28437" s="33" t="s">
        <v>26</v>
      </c>
      <c r="F28437" s="33" t="s">
        <v>27</v>
      </c>
      <c r="G28437" s="33" t="s">
        <v>7780</v>
      </c>
      <c r="H28437" s="35">
        <v>80</v>
      </c>
      <c r="I28437" s="33" t="s">
        <v>51</v>
      </c>
      <c r="J28437" s="42">
        <v>46225</v>
      </c>
      <c r="K28437" s="33" t="s">
        <v>22</v>
      </c>
    </row>
    <row r="28438" spans="1:11">
      <c r="A28438" s="30" t="s">
        <v>62333</v>
      </c>
      <c r="B28438" s="30" t="s">
        <v>62334</v>
      </c>
      <c r="C28438" s="30" t="s">
        <v>102</v>
      </c>
      <c r="D28438" s="30" t="s">
        <v>17</v>
      </c>
      <c r="E28438" s="30" t="s">
        <v>31</v>
      </c>
      <c r="F28438" s="30" t="s">
        <v>32</v>
      </c>
      <c r="G28438" s="30" t="s">
        <v>140</v>
      </c>
      <c r="H28438" s="32">
        <v>230</v>
      </c>
      <c r="I28438" s="30" t="s">
        <v>51</v>
      </c>
      <c r="J28438" s="41">
        <v>46203</v>
      </c>
      <c r="K28438" s="30" t="s">
        <v>22</v>
      </c>
    </row>
    <row r="28439" spans="1:11">
      <c r="A28439" s="33" t="s">
        <v>62335</v>
      </c>
      <c r="B28439" s="33" t="s">
        <v>62336</v>
      </c>
      <c r="C28439" s="33" t="s">
        <v>190</v>
      </c>
      <c r="D28439" s="33" t="s">
        <v>17</v>
      </c>
      <c r="E28439" s="33" t="s">
        <v>18</v>
      </c>
      <c r="F28439" s="33" t="s">
        <v>19</v>
      </c>
      <c r="G28439" s="33" t="s">
        <v>140</v>
      </c>
      <c r="H28439" s="35">
        <v>2130</v>
      </c>
      <c r="I28439" s="33" t="s">
        <v>51</v>
      </c>
      <c r="J28439" s="42">
        <v>46056</v>
      </c>
      <c r="K28439" s="33" t="s">
        <v>22</v>
      </c>
    </row>
    <row r="28440" spans="1:11">
      <c r="A28440" s="30" t="s">
        <v>62337</v>
      </c>
      <c r="B28440" s="30" t="s">
        <v>62338</v>
      </c>
      <c r="C28440" s="30" t="s">
        <v>318</v>
      </c>
      <c r="D28440" s="30" t="s">
        <v>17</v>
      </c>
      <c r="E28440" s="30" t="s">
        <v>18</v>
      </c>
      <c r="F28440" s="30" t="s">
        <v>19</v>
      </c>
      <c r="G28440" s="30" t="s">
        <v>7780</v>
      </c>
      <c r="H28440" s="32">
        <v>950</v>
      </c>
      <c r="I28440" s="30" t="s">
        <v>51</v>
      </c>
      <c r="J28440" s="41">
        <v>46232</v>
      </c>
      <c r="K28440" s="30" t="s">
        <v>22</v>
      </c>
    </row>
    <row r="28441" spans="1:11">
      <c r="A28441" s="33" t="s">
        <v>62339</v>
      </c>
      <c r="B28441" s="33" t="s">
        <v>62340</v>
      </c>
      <c r="C28441" s="33" t="s">
        <v>15585</v>
      </c>
      <c r="D28441" s="33" t="s">
        <v>17</v>
      </c>
      <c r="E28441" s="33" t="s">
        <v>18</v>
      </c>
      <c r="F28441" s="33" t="s">
        <v>19</v>
      </c>
      <c r="G28441" s="33" t="s">
        <v>140</v>
      </c>
      <c r="H28441" s="35">
        <v>9262</v>
      </c>
      <c r="I28441" s="33" t="s">
        <v>51</v>
      </c>
      <c r="J28441" s="42">
        <v>46171</v>
      </c>
      <c r="K28441" s="33" t="s">
        <v>22</v>
      </c>
    </row>
    <row r="28442" spans="1:11">
      <c r="A28442" s="30" t="s">
        <v>62341</v>
      </c>
      <c r="B28442" s="30" t="s">
        <v>62342</v>
      </c>
      <c r="C28442" s="30" t="s">
        <v>34280</v>
      </c>
      <c r="D28442" s="30" t="s">
        <v>17</v>
      </c>
      <c r="E28442" s="30" t="s">
        <v>18</v>
      </c>
      <c r="F28442" s="30" t="s">
        <v>19</v>
      </c>
      <c r="G28442" s="30" t="s">
        <v>140</v>
      </c>
      <c r="H28442" s="32">
        <v>3</v>
      </c>
      <c r="I28442" s="30" t="s">
        <v>51</v>
      </c>
      <c r="J28442" s="41">
        <v>46150</v>
      </c>
      <c r="K28442" s="30" t="s">
        <v>22</v>
      </c>
    </row>
    <row r="28443" spans="1:11">
      <c r="A28443" s="33" t="s">
        <v>62343</v>
      </c>
      <c r="B28443" s="33" t="s">
        <v>62344</v>
      </c>
      <c r="C28443" s="33" t="s">
        <v>27039</v>
      </c>
      <c r="D28443" s="33" t="s">
        <v>17</v>
      </c>
      <c r="E28443" s="33" t="s">
        <v>31</v>
      </c>
      <c r="F28443" s="33" t="s">
        <v>32</v>
      </c>
      <c r="G28443" s="33" t="s">
        <v>140</v>
      </c>
      <c r="H28443" s="35">
        <v>24</v>
      </c>
      <c r="I28443" s="33" t="s">
        <v>51</v>
      </c>
      <c r="J28443" s="42">
        <v>46203</v>
      </c>
      <c r="K28443" s="33" t="s">
        <v>22</v>
      </c>
    </row>
    <row r="28444" spans="1:11">
      <c r="A28444" s="30" t="s">
        <v>62345</v>
      </c>
      <c r="B28444" s="30" t="s">
        <v>62346</v>
      </c>
      <c r="C28444" s="30" t="s">
        <v>24179</v>
      </c>
      <c r="D28444" s="30" t="s">
        <v>17</v>
      </c>
      <c r="E28444" s="30" t="s">
        <v>31</v>
      </c>
      <c r="F28444" s="30" t="s">
        <v>32</v>
      </c>
      <c r="G28444" s="30" t="s">
        <v>140</v>
      </c>
      <c r="H28444" s="32">
        <v>50</v>
      </c>
      <c r="I28444" s="30" t="s">
        <v>51</v>
      </c>
      <c r="J28444" s="41">
        <v>46142</v>
      </c>
      <c r="K28444" s="30" t="s">
        <v>22</v>
      </c>
    </row>
    <row r="28445" spans="1:11">
      <c r="A28445" s="33" t="s">
        <v>62347</v>
      </c>
      <c r="B28445" s="33" t="s">
        <v>62348</v>
      </c>
      <c r="C28445" s="33" t="s">
        <v>3757</v>
      </c>
      <c r="D28445" s="33" t="s">
        <v>17</v>
      </c>
      <c r="E28445" s="33" t="s">
        <v>18</v>
      </c>
      <c r="F28445" s="33" t="s">
        <v>19</v>
      </c>
      <c r="G28445" s="33" t="s">
        <v>140</v>
      </c>
      <c r="H28445" s="35">
        <v>636</v>
      </c>
      <c r="I28445" s="33" t="s">
        <v>51</v>
      </c>
      <c r="J28445" s="42">
        <v>46195</v>
      </c>
      <c r="K28445" s="33" t="s">
        <v>22</v>
      </c>
    </row>
    <row r="28446" spans="1:11">
      <c r="A28446" s="30" t="s">
        <v>62349</v>
      </c>
      <c r="B28446" s="30" t="s">
        <v>62350</v>
      </c>
      <c r="C28446" s="30" t="s">
        <v>109</v>
      </c>
      <c r="D28446" s="30" t="s">
        <v>17</v>
      </c>
      <c r="E28446" s="30" t="s">
        <v>18</v>
      </c>
      <c r="F28446" s="30" t="s">
        <v>19</v>
      </c>
      <c r="G28446" s="30" t="s">
        <v>140</v>
      </c>
      <c r="H28446" s="32">
        <v>460</v>
      </c>
      <c r="I28446" s="30" t="s">
        <v>51</v>
      </c>
      <c r="J28446" s="41">
        <v>46189</v>
      </c>
      <c r="K28446" s="30" t="s">
        <v>22</v>
      </c>
    </row>
    <row r="28447" spans="1:11">
      <c r="A28447" s="33" t="s">
        <v>62351</v>
      </c>
      <c r="B28447" s="33" t="s">
        <v>62352</v>
      </c>
      <c r="C28447" s="33" t="s">
        <v>7072</v>
      </c>
      <c r="D28447" s="33" t="s">
        <v>17</v>
      </c>
      <c r="E28447" s="33" t="s">
        <v>31</v>
      </c>
      <c r="F28447" s="33" t="s">
        <v>32</v>
      </c>
      <c r="G28447" s="33" t="s">
        <v>140</v>
      </c>
      <c r="H28447" s="35">
        <v>280</v>
      </c>
      <c r="I28447" s="33" t="s">
        <v>51</v>
      </c>
      <c r="J28447" s="42">
        <v>46120</v>
      </c>
      <c r="K28447" s="33" t="s">
        <v>22</v>
      </c>
    </row>
    <row r="28448" spans="1:11">
      <c r="A28448" s="30" t="s">
        <v>62353</v>
      </c>
      <c r="B28448" s="30" t="s">
        <v>62354</v>
      </c>
      <c r="C28448" s="30" t="s">
        <v>62355</v>
      </c>
      <c r="D28448" s="30" t="s">
        <v>17</v>
      </c>
      <c r="E28448" s="30" t="s">
        <v>31</v>
      </c>
      <c r="F28448" s="30" t="s">
        <v>32</v>
      </c>
      <c r="G28448" s="30" t="s">
        <v>7780</v>
      </c>
      <c r="H28448" s="32">
        <v>40</v>
      </c>
      <c r="I28448" s="30" t="s">
        <v>51</v>
      </c>
      <c r="J28448" s="41">
        <v>46203</v>
      </c>
      <c r="K28448" s="30" t="s">
        <v>22</v>
      </c>
    </row>
    <row r="28449" spans="1:11">
      <c r="A28449" s="33" t="s">
        <v>62356</v>
      </c>
      <c r="B28449" s="33" t="s">
        <v>62357</v>
      </c>
      <c r="C28449" s="33" t="s">
        <v>21009</v>
      </c>
      <c r="D28449" s="33" t="s">
        <v>17</v>
      </c>
      <c r="E28449" s="33" t="s">
        <v>31</v>
      </c>
      <c r="F28449" s="33" t="s">
        <v>32</v>
      </c>
      <c r="G28449" s="33" t="s">
        <v>7780</v>
      </c>
      <c r="H28449" s="35">
        <v>120</v>
      </c>
      <c r="I28449" s="33" t="s">
        <v>51</v>
      </c>
      <c r="J28449" s="42">
        <v>46023</v>
      </c>
      <c r="K28449" s="33" t="s">
        <v>22</v>
      </c>
    </row>
    <row r="28450" spans="1:11">
      <c r="A28450" s="30" t="s">
        <v>62358</v>
      </c>
      <c r="B28450" s="30" t="s">
        <v>62359</v>
      </c>
      <c r="C28450" s="30" t="s">
        <v>1598</v>
      </c>
      <c r="D28450" s="30" t="s">
        <v>17</v>
      </c>
      <c r="E28450" s="30" t="s">
        <v>18</v>
      </c>
      <c r="F28450" s="30" t="s">
        <v>19</v>
      </c>
      <c r="G28450" s="30" t="s">
        <v>140</v>
      </c>
      <c r="H28450" s="32">
        <v>550</v>
      </c>
      <c r="I28450" s="30" t="s">
        <v>51</v>
      </c>
      <c r="J28450" s="41">
        <v>46234</v>
      </c>
      <c r="K28450" s="30" t="s">
        <v>22</v>
      </c>
    </row>
    <row r="28451" spans="1:11">
      <c r="A28451" s="33" t="s">
        <v>62360</v>
      </c>
      <c r="B28451" s="33" t="s">
        <v>62361</v>
      </c>
      <c r="C28451" s="33" t="s">
        <v>62362</v>
      </c>
      <c r="D28451" s="33" t="s">
        <v>17</v>
      </c>
      <c r="E28451" s="33" t="s">
        <v>26</v>
      </c>
      <c r="F28451" s="33" t="s">
        <v>27</v>
      </c>
      <c r="G28451" s="33" t="s">
        <v>140</v>
      </c>
      <c r="H28451" s="35">
        <v>20</v>
      </c>
      <c r="I28451" s="33" t="s">
        <v>51</v>
      </c>
      <c r="J28451" s="42">
        <v>46132</v>
      </c>
      <c r="K28451" s="33" t="s">
        <v>22</v>
      </c>
    </row>
    <row r="28452" spans="1:11">
      <c r="A28452" s="30" t="s">
        <v>62363</v>
      </c>
      <c r="B28452" s="30" t="s">
        <v>62364</v>
      </c>
      <c r="C28452" s="30" t="s">
        <v>136</v>
      </c>
      <c r="D28452" s="30" t="s">
        <v>17</v>
      </c>
      <c r="E28452" s="30" t="s">
        <v>18</v>
      </c>
      <c r="F28452" s="30" t="s">
        <v>19</v>
      </c>
      <c r="G28452" s="30" t="s">
        <v>140</v>
      </c>
      <c r="H28452" s="32">
        <v>1980</v>
      </c>
      <c r="I28452" s="30" t="s">
        <v>51</v>
      </c>
      <c r="J28452" s="41">
        <v>46059</v>
      </c>
      <c r="K28452" s="30" t="s">
        <v>22</v>
      </c>
    </row>
    <row r="28453" spans="1:11">
      <c r="A28453" s="33" t="s">
        <v>62365</v>
      </c>
      <c r="B28453" s="33" t="s">
        <v>62366</v>
      </c>
      <c r="C28453" s="33" t="s">
        <v>252</v>
      </c>
      <c r="D28453" s="33" t="s">
        <v>17</v>
      </c>
      <c r="E28453" s="33" t="s">
        <v>31</v>
      </c>
      <c r="F28453" s="33" t="s">
        <v>32</v>
      </c>
      <c r="G28453" s="33" t="s">
        <v>7780</v>
      </c>
      <c r="H28453" s="35">
        <v>168</v>
      </c>
      <c r="I28453" s="33" t="s">
        <v>51</v>
      </c>
      <c r="J28453" s="42">
        <v>46119</v>
      </c>
      <c r="K28453" s="33" t="s">
        <v>22</v>
      </c>
    </row>
    <row r="28454" spans="1:11">
      <c r="A28454" s="30" t="s">
        <v>62367</v>
      </c>
      <c r="B28454" s="30" t="s">
        <v>62368</v>
      </c>
      <c r="C28454" s="30" t="s">
        <v>34057</v>
      </c>
      <c r="D28454" s="30" t="s">
        <v>17</v>
      </c>
      <c r="E28454" s="30" t="s">
        <v>26</v>
      </c>
      <c r="F28454" s="30" t="s">
        <v>27</v>
      </c>
      <c r="G28454" s="30" t="s">
        <v>140</v>
      </c>
      <c r="H28454" s="32">
        <v>40</v>
      </c>
      <c r="I28454" s="30" t="s">
        <v>51</v>
      </c>
      <c r="J28454" s="41">
        <v>46084</v>
      </c>
      <c r="K28454" s="30" t="s">
        <v>22</v>
      </c>
    </row>
    <row r="28455" spans="1:11">
      <c r="A28455" s="33" t="s">
        <v>62369</v>
      </c>
      <c r="B28455" s="33" t="s">
        <v>62370</v>
      </c>
      <c r="C28455" s="33" t="s">
        <v>7911</v>
      </c>
      <c r="D28455" s="33" t="s">
        <v>17</v>
      </c>
      <c r="E28455" s="33" t="s">
        <v>31</v>
      </c>
      <c r="F28455" s="33" t="s">
        <v>32</v>
      </c>
      <c r="G28455" s="33" t="s">
        <v>140</v>
      </c>
      <c r="H28455" s="35">
        <v>164</v>
      </c>
      <c r="I28455" s="33" t="s">
        <v>51</v>
      </c>
      <c r="J28455" s="42">
        <v>46027</v>
      </c>
      <c r="K28455" s="33" t="s">
        <v>22</v>
      </c>
    </row>
    <row r="28456" spans="1:11">
      <c r="A28456" s="30" t="s">
        <v>62371</v>
      </c>
      <c r="B28456" s="30" t="s">
        <v>62372</v>
      </c>
      <c r="C28456" s="30" t="s">
        <v>5279</v>
      </c>
      <c r="D28456" s="30" t="s">
        <v>17</v>
      </c>
      <c r="E28456" s="30" t="s">
        <v>18</v>
      </c>
      <c r="F28456" s="30" t="s">
        <v>19</v>
      </c>
      <c r="G28456" s="30" t="s">
        <v>140</v>
      </c>
      <c r="H28456" s="32">
        <v>8</v>
      </c>
      <c r="I28456" s="30" t="s">
        <v>51</v>
      </c>
      <c r="J28456" s="41">
        <v>46030</v>
      </c>
      <c r="K28456" s="30" t="s">
        <v>22</v>
      </c>
    </row>
    <row r="28457" spans="1:11">
      <c r="A28457" s="33" t="s">
        <v>62373</v>
      </c>
      <c r="B28457" s="33" t="s">
        <v>62374</v>
      </c>
      <c r="C28457" s="33" t="s">
        <v>124</v>
      </c>
      <c r="D28457" s="33" t="s">
        <v>17</v>
      </c>
      <c r="E28457" s="33" t="s">
        <v>18</v>
      </c>
      <c r="F28457" s="33" t="s">
        <v>19</v>
      </c>
      <c r="G28457" s="33" t="s">
        <v>7780</v>
      </c>
      <c r="H28457" s="35">
        <v>400</v>
      </c>
      <c r="I28457" s="33" t="s">
        <v>51</v>
      </c>
      <c r="J28457" s="42">
        <v>46203</v>
      </c>
      <c r="K28457" s="33" t="s">
        <v>22</v>
      </c>
    </row>
    <row r="28458" spans="1:11">
      <c r="A28458" s="30" t="s">
        <v>62375</v>
      </c>
      <c r="B28458" s="30" t="s">
        <v>62376</v>
      </c>
      <c r="C28458" s="30" t="s">
        <v>62377</v>
      </c>
      <c r="D28458" s="30" t="s">
        <v>17</v>
      </c>
      <c r="E28458" s="30" t="s">
        <v>212</v>
      </c>
      <c r="F28458" s="30" t="s">
        <v>213</v>
      </c>
      <c r="G28458" s="30" t="s">
        <v>7780</v>
      </c>
      <c r="H28458" s="32">
        <v>144</v>
      </c>
      <c r="I28458" s="30" t="s">
        <v>51</v>
      </c>
      <c r="J28458" s="41">
        <v>46054</v>
      </c>
      <c r="K28458" s="30" t="s">
        <v>22</v>
      </c>
    </row>
    <row r="28459" spans="1:11">
      <c r="A28459" s="33" t="s">
        <v>62378</v>
      </c>
      <c r="B28459" s="33" t="s">
        <v>62379</v>
      </c>
      <c r="C28459" s="33" t="s">
        <v>44</v>
      </c>
      <c r="D28459" s="33" t="s">
        <v>17</v>
      </c>
      <c r="E28459" s="33" t="s">
        <v>31</v>
      </c>
      <c r="F28459" s="33" t="s">
        <v>32</v>
      </c>
      <c r="G28459" s="33" t="s">
        <v>140</v>
      </c>
      <c r="H28459" s="35">
        <v>99</v>
      </c>
      <c r="I28459" s="33" t="s">
        <v>51</v>
      </c>
      <c r="J28459" s="42">
        <v>46148</v>
      </c>
      <c r="K28459" s="33" t="s">
        <v>22</v>
      </c>
    </row>
    <row r="28460" spans="1:11">
      <c r="A28460" s="30" t="s">
        <v>62380</v>
      </c>
      <c r="B28460" s="30" t="s">
        <v>62381</v>
      </c>
      <c r="C28460" s="30" t="s">
        <v>14816</v>
      </c>
      <c r="D28460" s="30" t="s">
        <v>17</v>
      </c>
      <c r="E28460" s="30" t="s">
        <v>26</v>
      </c>
      <c r="F28460" s="30" t="s">
        <v>27</v>
      </c>
      <c r="G28460" s="30" t="s">
        <v>7780</v>
      </c>
      <c r="H28460" s="32">
        <v>6</v>
      </c>
      <c r="I28460" s="30" t="s">
        <v>51</v>
      </c>
      <c r="J28460" s="41">
        <v>46174</v>
      </c>
      <c r="K28460" s="30" t="s">
        <v>22</v>
      </c>
    </row>
    <row r="28461" spans="1:11">
      <c r="A28461" s="33" t="s">
        <v>62382</v>
      </c>
      <c r="B28461" s="33" t="s">
        <v>62383</v>
      </c>
      <c r="C28461" s="33" t="s">
        <v>62384</v>
      </c>
      <c r="D28461" s="33" t="s">
        <v>17</v>
      </c>
      <c r="E28461" s="33" t="s">
        <v>31</v>
      </c>
      <c r="F28461" s="33" t="s">
        <v>32</v>
      </c>
      <c r="G28461" s="33" t="s">
        <v>140</v>
      </c>
      <c r="H28461" s="35">
        <v>45</v>
      </c>
      <c r="I28461" s="33" t="s">
        <v>51</v>
      </c>
      <c r="J28461" s="42">
        <v>46142</v>
      </c>
      <c r="K28461" s="33" t="s">
        <v>22</v>
      </c>
    </row>
    <row r="28462" spans="1:11">
      <c r="A28462" s="30" t="s">
        <v>62385</v>
      </c>
      <c r="B28462" s="30" t="s">
        <v>62386</v>
      </c>
      <c r="C28462" s="30" t="s">
        <v>190</v>
      </c>
      <c r="D28462" s="30" t="s">
        <v>17</v>
      </c>
      <c r="E28462" s="30" t="s">
        <v>31</v>
      </c>
      <c r="F28462" s="30" t="s">
        <v>32</v>
      </c>
      <c r="G28462" s="30" t="s">
        <v>140</v>
      </c>
      <c r="H28462" s="32">
        <v>43</v>
      </c>
      <c r="I28462" s="30" t="s">
        <v>51</v>
      </c>
      <c r="J28462" s="41">
        <v>46109</v>
      </c>
      <c r="K28462" s="30" t="s">
        <v>22</v>
      </c>
    </row>
    <row r="28463" spans="1:11">
      <c r="A28463" s="33" t="s">
        <v>62387</v>
      </c>
      <c r="B28463" s="33" t="s">
        <v>62388</v>
      </c>
      <c r="C28463" s="33" t="s">
        <v>32244</v>
      </c>
      <c r="D28463" s="33" t="s">
        <v>17</v>
      </c>
      <c r="E28463" s="33" t="s">
        <v>26</v>
      </c>
      <c r="F28463" s="33" t="s">
        <v>27</v>
      </c>
      <c r="G28463" s="33" t="s">
        <v>7780</v>
      </c>
      <c r="H28463" s="35">
        <v>24</v>
      </c>
      <c r="I28463" s="33" t="s">
        <v>51</v>
      </c>
      <c r="J28463" s="42">
        <v>46234</v>
      </c>
      <c r="K28463" s="33" t="s">
        <v>22</v>
      </c>
    </row>
    <row r="28464" spans="1:11">
      <c r="A28464" s="30" t="s">
        <v>62389</v>
      </c>
      <c r="B28464" s="30" t="s">
        <v>62390</v>
      </c>
      <c r="C28464" s="30" t="s">
        <v>326</v>
      </c>
      <c r="D28464" s="30" t="s">
        <v>17</v>
      </c>
      <c r="E28464" s="30" t="s">
        <v>31</v>
      </c>
      <c r="F28464" s="30" t="s">
        <v>32</v>
      </c>
      <c r="G28464" s="30" t="s">
        <v>7780</v>
      </c>
      <c r="H28464" s="32">
        <v>70</v>
      </c>
      <c r="I28464" s="30" t="s">
        <v>51</v>
      </c>
      <c r="J28464" s="41">
        <v>46225</v>
      </c>
      <c r="K28464" s="30" t="s">
        <v>22</v>
      </c>
    </row>
    <row r="28465" spans="1:11">
      <c r="A28465" s="33" t="s">
        <v>62391</v>
      </c>
      <c r="B28465" s="33" t="s">
        <v>62392</v>
      </c>
      <c r="C28465" s="33" t="s">
        <v>59368</v>
      </c>
      <c r="D28465" s="33" t="s">
        <v>17</v>
      </c>
      <c r="E28465" s="33" t="s">
        <v>26</v>
      </c>
      <c r="F28465" s="33" t="s">
        <v>27</v>
      </c>
      <c r="G28465" s="33" t="s">
        <v>20</v>
      </c>
      <c r="H28465" s="35">
        <v>92</v>
      </c>
      <c r="I28465" s="33" t="s">
        <v>21</v>
      </c>
      <c r="J28465" s="42">
        <v>46104</v>
      </c>
      <c r="K28465" s="33" t="s">
        <v>22</v>
      </c>
    </row>
    <row r="28466" spans="1:11">
      <c r="A28466" s="30" t="s">
        <v>62393</v>
      </c>
      <c r="B28466" s="30" t="s">
        <v>62394</v>
      </c>
      <c r="C28466" s="30" t="s">
        <v>11905</v>
      </c>
      <c r="D28466" s="30" t="s">
        <v>17</v>
      </c>
      <c r="E28466" s="30" t="s">
        <v>18</v>
      </c>
      <c r="F28466" s="30" t="s">
        <v>19</v>
      </c>
      <c r="G28466" s="30" t="s">
        <v>140</v>
      </c>
      <c r="H28466" s="32">
        <v>540</v>
      </c>
      <c r="I28466" s="30" t="s">
        <v>51</v>
      </c>
      <c r="J28466" s="41">
        <v>46051</v>
      </c>
      <c r="K28466" s="30" t="s">
        <v>22</v>
      </c>
    </row>
    <row r="28467" spans="1:11">
      <c r="A28467" s="33" t="s">
        <v>62395</v>
      </c>
      <c r="B28467" s="33" t="s">
        <v>62396</v>
      </c>
      <c r="C28467" s="33" t="s">
        <v>5720</v>
      </c>
      <c r="D28467" s="33" t="s">
        <v>17</v>
      </c>
      <c r="E28467" s="33" t="s">
        <v>330</v>
      </c>
      <c r="F28467" s="33" t="s">
        <v>331</v>
      </c>
      <c r="G28467" s="33" t="s">
        <v>140</v>
      </c>
      <c r="H28467" s="35">
        <v>9</v>
      </c>
      <c r="I28467" s="33" t="s">
        <v>51</v>
      </c>
      <c r="J28467" s="42">
        <v>46232</v>
      </c>
      <c r="K28467" s="33" t="s">
        <v>22</v>
      </c>
    </row>
    <row r="28468" spans="1:11">
      <c r="A28468" s="30" t="s">
        <v>62397</v>
      </c>
      <c r="B28468" s="30" t="s">
        <v>62398</v>
      </c>
      <c r="C28468" s="30" t="s">
        <v>62399</v>
      </c>
      <c r="D28468" s="30" t="s">
        <v>17</v>
      </c>
      <c r="E28468" s="30" t="s">
        <v>67</v>
      </c>
      <c r="F28468" s="30" t="s">
        <v>68</v>
      </c>
      <c r="G28468" s="30" t="s">
        <v>140</v>
      </c>
      <c r="H28468" s="32">
        <v>60</v>
      </c>
      <c r="I28468" s="30" t="s">
        <v>51</v>
      </c>
      <c r="J28468" s="41">
        <v>46216</v>
      </c>
      <c r="K28468" s="30" t="s">
        <v>22</v>
      </c>
    </row>
    <row r="28469" spans="1:11">
      <c r="A28469" s="33" t="s">
        <v>62400</v>
      </c>
      <c r="B28469" s="33" t="s">
        <v>62401</v>
      </c>
      <c r="C28469" s="33" t="s">
        <v>62402</v>
      </c>
      <c r="D28469" s="33" t="s">
        <v>17</v>
      </c>
      <c r="E28469" s="33" t="s">
        <v>26</v>
      </c>
      <c r="F28469" s="33" t="s">
        <v>27</v>
      </c>
      <c r="G28469" s="33" t="s">
        <v>7780</v>
      </c>
      <c r="H28469" s="35">
        <v>28</v>
      </c>
      <c r="I28469" s="33" t="s">
        <v>51</v>
      </c>
      <c r="J28469" s="42">
        <v>46204</v>
      </c>
      <c r="K28469" s="33" t="s">
        <v>22</v>
      </c>
    </row>
    <row r="28470" spans="1:11">
      <c r="A28470" s="30" t="s">
        <v>62403</v>
      </c>
      <c r="B28470" s="30" t="s">
        <v>62404</v>
      </c>
      <c r="C28470" s="30" t="s">
        <v>11899</v>
      </c>
      <c r="D28470" s="30" t="s">
        <v>17</v>
      </c>
      <c r="E28470" s="30" t="s">
        <v>31</v>
      </c>
      <c r="F28470" s="30" t="s">
        <v>32</v>
      </c>
      <c r="G28470" s="30" t="s">
        <v>7780</v>
      </c>
      <c r="H28470" s="32">
        <v>120</v>
      </c>
      <c r="I28470" s="30" t="s">
        <v>51</v>
      </c>
      <c r="J28470" s="41">
        <v>46204</v>
      </c>
      <c r="K28470" s="30" t="s">
        <v>22</v>
      </c>
    </row>
    <row r="28471" spans="1:11">
      <c r="A28471" s="33" t="s">
        <v>62405</v>
      </c>
      <c r="B28471" s="33" t="s">
        <v>62406</v>
      </c>
      <c r="C28471" s="33" t="s">
        <v>5452</v>
      </c>
      <c r="D28471" s="33" t="s">
        <v>17</v>
      </c>
      <c r="E28471" s="33" t="s">
        <v>26</v>
      </c>
      <c r="F28471" s="33" t="s">
        <v>27</v>
      </c>
      <c r="G28471" s="33" t="s">
        <v>7780</v>
      </c>
      <c r="H28471" s="35">
        <v>40</v>
      </c>
      <c r="I28471" s="33" t="s">
        <v>51</v>
      </c>
      <c r="J28471" s="42">
        <v>46082</v>
      </c>
      <c r="K28471" s="33" t="s">
        <v>22</v>
      </c>
    </row>
    <row r="28472" spans="1:11">
      <c r="A28472" s="30" t="s">
        <v>62407</v>
      </c>
      <c r="B28472" s="30" t="s">
        <v>62408</v>
      </c>
      <c r="C28472" s="30" t="s">
        <v>62409</v>
      </c>
      <c r="D28472" s="30" t="s">
        <v>17</v>
      </c>
      <c r="E28472" s="30" t="s">
        <v>31</v>
      </c>
      <c r="F28472" s="30" t="s">
        <v>32</v>
      </c>
      <c r="G28472" s="30" t="s">
        <v>7780</v>
      </c>
      <c r="H28472" s="32">
        <v>40</v>
      </c>
      <c r="I28472" s="30" t="s">
        <v>51</v>
      </c>
      <c r="J28472" s="41">
        <v>46204</v>
      </c>
      <c r="K28472" s="30" t="s">
        <v>22</v>
      </c>
    </row>
    <row r="28473" spans="1:11">
      <c r="A28473" s="33" t="s">
        <v>62410</v>
      </c>
      <c r="B28473" s="33" t="s">
        <v>62411</v>
      </c>
      <c r="C28473" s="33" t="s">
        <v>21347</v>
      </c>
      <c r="D28473" s="33" t="s">
        <v>17</v>
      </c>
      <c r="E28473" s="33" t="s">
        <v>26</v>
      </c>
      <c r="F28473" s="33" t="s">
        <v>27</v>
      </c>
      <c r="G28473" s="33" t="s">
        <v>140</v>
      </c>
      <c r="H28473" s="35">
        <v>63</v>
      </c>
      <c r="I28473" s="33" t="s">
        <v>51</v>
      </c>
      <c r="J28473" s="42">
        <v>46174</v>
      </c>
      <c r="K28473" s="33" t="s">
        <v>22</v>
      </c>
    </row>
    <row r="28474" spans="1:11">
      <c r="A28474" s="30" t="s">
        <v>62412</v>
      </c>
      <c r="B28474" s="30" t="s">
        <v>62413</v>
      </c>
      <c r="C28474" s="30" t="s">
        <v>10300</v>
      </c>
      <c r="D28474" s="30" t="s">
        <v>17</v>
      </c>
      <c r="E28474" s="30" t="s">
        <v>26</v>
      </c>
      <c r="F28474" s="30" t="s">
        <v>27</v>
      </c>
      <c r="G28474" s="30" t="s">
        <v>140</v>
      </c>
      <c r="H28474" s="32">
        <v>45</v>
      </c>
      <c r="I28474" s="30" t="s">
        <v>51</v>
      </c>
      <c r="J28474" s="41">
        <v>46048</v>
      </c>
      <c r="K28474" s="30" t="s">
        <v>22</v>
      </c>
    </row>
    <row r="28475" spans="1:11">
      <c r="A28475" s="33" t="s">
        <v>62414</v>
      </c>
      <c r="B28475" s="33" t="s">
        <v>62415</v>
      </c>
      <c r="C28475" s="33" t="s">
        <v>136</v>
      </c>
      <c r="D28475" s="33" t="s">
        <v>17</v>
      </c>
      <c r="E28475" s="33" t="s">
        <v>26</v>
      </c>
      <c r="F28475" s="33" t="s">
        <v>27</v>
      </c>
      <c r="G28475" s="33" t="s">
        <v>140</v>
      </c>
      <c r="H28475" s="35">
        <v>14</v>
      </c>
      <c r="I28475" s="33" t="s">
        <v>51</v>
      </c>
      <c r="J28475" s="42">
        <v>46162</v>
      </c>
      <c r="K28475" s="33" t="s">
        <v>22</v>
      </c>
    </row>
    <row r="28476" spans="1:11">
      <c r="A28476" s="30" t="s">
        <v>62416</v>
      </c>
      <c r="B28476" s="30" t="s">
        <v>62417</v>
      </c>
      <c r="C28476" s="30" t="s">
        <v>102</v>
      </c>
      <c r="D28476" s="30" t="s">
        <v>17</v>
      </c>
      <c r="E28476" s="30" t="s">
        <v>18</v>
      </c>
      <c r="F28476" s="30" t="s">
        <v>19</v>
      </c>
      <c r="G28476" s="30" t="s">
        <v>140</v>
      </c>
      <c r="H28476" s="32">
        <v>258</v>
      </c>
      <c r="I28476" s="30" t="s">
        <v>51</v>
      </c>
      <c r="J28476" s="41">
        <v>46030</v>
      </c>
      <c r="K28476" s="30" t="s">
        <v>22</v>
      </c>
    </row>
    <row r="28477" spans="1:11">
      <c r="A28477" s="33" t="s">
        <v>62418</v>
      </c>
      <c r="B28477" s="33" t="s">
        <v>62419</v>
      </c>
      <c r="C28477" s="33" t="s">
        <v>580</v>
      </c>
      <c r="D28477" s="33" t="s">
        <v>17</v>
      </c>
      <c r="E28477" s="33" t="s">
        <v>31</v>
      </c>
      <c r="F28477" s="33" t="s">
        <v>32</v>
      </c>
      <c r="G28477" s="33" t="s">
        <v>140</v>
      </c>
      <c r="H28477" s="35">
        <v>96</v>
      </c>
      <c r="I28477" s="33" t="s">
        <v>51</v>
      </c>
      <c r="J28477" s="42">
        <v>46139</v>
      </c>
      <c r="K28477" s="33" t="s">
        <v>22</v>
      </c>
    </row>
    <row r="28478" spans="1:11">
      <c r="A28478" s="30" t="s">
        <v>62420</v>
      </c>
      <c r="B28478" s="30" t="s">
        <v>62421</v>
      </c>
      <c r="C28478" s="30" t="s">
        <v>203</v>
      </c>
      <c r="D28478" s="30" t="s">
        <v>17</v>
      </c>
      <c r="E28478" s="30" t="s">
        <v>18</v>
      </c>
      <c r="F28478" s="30" t="s">
        <v>19</v>
      </c>
      <c r="G28478" s="30" t="s">
        <v>140</v>
      </c>
      <c r="H28478" s="32">
        <v>100</v>
      </c>
      <c r="I28478" s="30" t="s">
        <v>51</v>
      </c>
      <c r="J28478" s="41">
        <v>46042</v>
      </c>
      <c r="K28478" s="30" t="s">
        <v>22</v>
      </c>
    </row>
    <row r="28479" spans="1:11">
      <c r="A28479" s="33" t="s">
        <v>62422</v>
      </c>
      <c r="B28479" s="33" t="s">
        <v>62423</v>
      </c>
      <c r="C28479" s="33" t="s">
        <v>1683</v>
      </c>
      <c r="D28479" s="33" t="s">
        <v>17</v>
      </c>
      <c r="E28479" s="33" t="s">
        <v>26</v>
      </c>
      <c r="F28479" s="33" t="s">
        <v>27</v>
      </c>
      <c r="G28479" s="33" t="s">
        <v>140</v>
      </c>
      <c r="H28479" s="35">
        <v>32</v>
      </c>
      <c r="I28479" s="33" t="s">
        <v>51</v>
      </c>
      <c r="J28479" s="42">
        <v>46154</v>
      </c>
      <c r="K28479" s="33" t="s">
        <v>22</v>
      </c>
    </row>
    <row r="28480" spans="1:11">
      <c r="A28480" s="30" t="s">
        <v>62424</v>
      </c>
      <c r="B28480" s="30" t="s">
        <v>62425</v>
      </c>
      <c r="C28480" s="30" t="s">
        <v>1764</v>
      </c>
      <c r="D28480" s="30" t="s">
        <v>17</v>
      </c>
      <c r="E28480" s="30" t="s">
        <v>18</v>
      </c>
      <c r="F28480" s="30" t="s">
        <v>19</v>
      </c>
      <c r="G28480" s="30" t="s">
        <v>7780</v>
      </c>
      <c r="H28480" s="32">
        <v>30</v>
      </c>
      <c r="I28480" s="30" t="s">
        <v>51</v>
      </c>
      <c r="J28480" s="41">
        <v>46174</v>
      </c>
      <c r="K28480" s="30" t="s">
        <v>22</v>
      </c>
    </row>
    <row r="28481" spans="1:11">
      <c r="A28481" s="33" t="s">
        <v>62426</v>
      </c>
      <c r="B28481" s="33" t="s">
        <v>62427</v>
      </c>
      <c r="C28481" s="33" t="s">
        <v>443</v>
      </c>
      <c r="D28481" s="33" t="s">
        <v>17</v>
      </c>
      <c r="E28481" s="33" t="s">
        <v>67</v>
      </c>
      <c r="F28481" s="33" t="s">
        <v>68</v>
      </c>
      <c r="G28481" s="33" t="s">
        <v>140</v>
      </c>
      <c r="H28481" s="35">
        <v>519</v>
      </c>
      <c r="I28481" s="33" t="s">
        <v>51</v>
      </c>
      <c r="J28481" s="42">
        <v>46028</v>
      </c>
      <c r="K28481" s="33" t="s">
        <v>22</v>
      </c>
    </row>
    <row r="28482" spans="1:11">
      <c r="A28482" s="30" t="s">
        <v>62428</v>
      </c>
      <c r="B28482" s="30" t="s">
        <v>62429</v>
      </c>
      <c r="C28482" s="30" t="s">
        <v>62430</v>
      </c>
      <c r="D28482" s="30" t="s">
        <v>17</v>
      </c>
      <c r="E28482" s="30" t="s">
        <v>26</v>
      </c>
      <c r="F28482" s="30" t="s">
        <v>27</v>
      </c>
      <c r="G28482" s="30" t="s">
        <v>140</v>
      </c>
      <c r="H28482" s="32">
        <v>18</v>
      </c>
      <c r="I28482" s="30" t="s">
        <v>51</v>
      </c>
      <c r="J28482" s="41">
        <v>46135</v>
      </c>
      <c r="K28482" s="30" t="s">
        <v>22</v>
      </c>
    </row>
    <row r="28483" spans="1:11">
      <c r="A28483" s="33" t="s">
        <v>62431</v>
      </c>
      <c r="B28483" s="33" t="s">
        <v>62432</v>
      </c>
      <c r="C28483" s="33" t="s">
        <v>12569</v>
      </c>
      <c r="D28483" s="33" t="s">
        <v>17</v>
      </c>
      <c r="E28483" s="33" t="s">
        <v>26</v>
      </c>
      <c r="F28483" s="33" t="s">
        <v>27</v>
      </c>
      <c r="G28483" s="33" t="s">
        <v>140</v>
      </c>
      <c r="H28483" s="35">
        <v>24</v>
      </c>
      <c r="I28483" s="33" t="s">
        <v>51</v>
      </c>
      <c r="J28483" s="42">
        <v>46028</v>
      </c>
      <c r="K28483" s="33" t="s">
        <v>22</v>
      </c>
    </row>
    <row r="28484" spans="1:11">
      <c r="A28484" s="30" t="s">
        <v>62433</v>
      </c>
      <c r="B28484" s="30" t="s">
        <v>62434</v>
      </c>
      <c r="C28484" s="30" t="s">
        <v>13353</v>
      </c>
      <c r="D28484" s="30" t="s">
        <v>17</v>
      </c>
      <c r="E28484" s="30" t="s">
        <v>67</v>
      </c>
      <c r="F28484" s="30" t="s">
        <v>68</v>
      </c>
      <c r="G28484" s="30" t="s">
        <v>140</v>
      </c>
      <c r="H28484" s="32">
        <v>12</v>
      </c>
      <c r="I28484" s="30" t="s">
        <v>51</v>
      </c>
      <c r="J28484" s="41">
        <v>46217</v>
      </c>
      <c r="K28484" s="30" t="s">
        <v>22</v>
      </c>
    </row>
    <row r="28485" spans="1:11">
      <c r="A28485" s="33" t="s">
        <v>62435</v>
      </c>
      <c r="B28485" s="33" t="s">
        <v>62436</v>
      </c>
      <c r="C28485" s="33" t="s">
        <v>318</v>
      </c>
      <c r="D28485" s="33" t="s">
        <v>17</v>
      </c>
      <c r="E28485" s="33" t="s">
        <v>31</v>
      </c>
      <c r="F28485" s="33" t="s">
        <v>32</v>
      </c>
      <c r="G28485" s="33" t="s">
        <v>7780</v>
      </c>
      <c r="H28485" s="35">
        <v>15</v>
      </c>
      <c r="I28485" s="33" t="s">
        <v>51</v>
      </c>
      <c r="J28485" s="42">
        <v>46234</v>
      </c>
      <c r="K28485" s="33" t="s">
        <v>22</v>
      </c>
    </row>
    <row r="28486" spans="1:11">
      <c r="A28486" s="30" t="s">
        <v>62437</v>
      </c>
      <c r="B28486" s="30" t="s">
        <v>62438</v>
      </c>
      <c r="C28486" s="30" t="s">
        <v>14483</v>
      </c>
      <c r="D28486" s="30" t="s">
        <v>17</v>
      </c>
      <c r="E28486" s="30" t="s">
        <v>67</v>
      </c>
      <c r="F28486" s="30" t="s">
        <v>68</v>
      </c>
      <c r="G28486" s="30" t="s">
        <v>7780</v>
      </c>
      <c r="H28486" s="32">
        <v>128</v>
      </c>
      <c r="I28486" s="30" t="s">
        <v>51</v>
      </c>
      <c r="J28486" s="41">
        <v>46087</v>
      </c>
      <c r="K28486" s="30" t="s">
        <v>22</v>
      </c>
    </row>
    <row r="28487" spans="1:11">
      <c r="A28487" s="33" t="s">
        <v>62439</v>
      </c>
      <c r="B28487" s="33" t="s">
        <v>62440</v>
      </c>
      <c r="C28487" s="33" t="s">
        <v>44</v>
      </c>
      <c r="D28487" s="33" t="s">
        <v>17</v>
      </c>
      <c r="E28487" s="33" t="s">
        <v>31</v>
      </c>
      <c r="F28487" s="33" t="s">
        <v>32</v>
      </c>
      <c r="G28487" s="33" t="s">
        <v>7780</v>
      </c>
      <c r="H28487" s="35">
        <v>150</v>
      </c>
      <c r="I28487" s="33" t="s">
        <v>51</v>
      </c>
      <c r="J28487" s="42">
        <v>46218</v>
      </c>
      <c r="K28487" s="33" t="s">
        <v>22</v>
      </c>
    </row>
    <row r="28488" spans="1:11">
      <c r="A28488" s="30" t="s">
        <v>62441</v>
      </c>
      <c r="B28488" s="30" t="s">
        <v>62442</v>
      </c>
      <c r="C28488" s="30" t="s">
        <v>668</v>
      </c>
      <c r="D28488" s="30" t="s">
        <v>17</v>
      </c>
      <c r="E28488" s="30" t="s">
        <v>31</v>
      </c>
      <c r="F28488" s="30" t="s">
        <v>32</v>
      </c>
      <c r="G28488" s="30" t="s">
        <v>140</v>
      </c>
      <c r="H28488" s="32">
        <v>320</v>
      </c>
      <c r="I28488" s="30" t="s">
        <v>51</v>
      </c>
      <c r="J28488" s="41">
        <v>46045</v>
      </c>
      <c r="K28488" s="30" t="s">
        <v>22</v>
      </c>
    </row>
    <row r="28489" spans="1:11">
      <c r="A28489" s="33" t="s">
        <v>62443</v>
      </c>
      <c r="B28489" s="33" t="s">
        <v>62444</v>
      </c>
      <c r="C28489" s="33" t="s">
        <v>62445</v>
      </c>
      <c r="D28489" s="33" t="s">
        <v>17</v>
      </c>
      <c r="E28489" s="33" t="s">
        <v>31</v>
      </c>
      <c r="F28489" s="33" t="s">
        <v>32</v>
      </c>
      <c r="G28489" s="33" t="s">
        <v>7780</v>
      </c>
      <c r="H28489" s="35">
        <v>164</v>
      </c>
      <c r="I28489" s="33" t="s">
        <v>51</v>
      </c>
      <c r="J28489" s="42">
        <v>46174</v>
      </c>
      <c r="K28489" s="33" t="s">
        <v>22</v>
      </c>
    </row>
    <row r="28490" spans="1:11">
      <c r="A28490" s="30" t="s">
        <v>62446</v>
      </c>
      <c r="B28490" s="30" t="s">
        <v>62447</v>
      </c>
      <c r="C28490" s="30" t="s">
        <v>21098</v>
      </c>
      <c r="D28490" s="30" t="s">
        <v>17</v>
      </c>
      <c r="E28490" s="30" t="s">
        <v>67</v>
      </c>
      <c r="F28490" s="30" t="s">
        <v>68</v>
      </c>
      <c r="G28490" s="30" t="s">
        <v>140</v>
      </c>
      <c r="H28490" s="32">
        <v>16</v>
      </c>
      <c r="I28490" s="30" t="s">
        <v>51</v>
      </c>
      <c r="J28490" s="41">
        <v>46122</v>
      </c>
      <c r="K28490" s="30" t="s">
        <v>22</v>
      </c>
    </row>
    <row r="28491" spans="1:11">
      <c r="A28491" s="33" t="s">
        <v>62448</v>
      </c>
      <c r="B28491" s="33" t="s">
        <v>62449</v>
      </c>
      <c r="C28491" s="33" t="s">
        <v>2852</v>
      </c>
      <c r="D28491" s="33" t="s">
        <v>17</v>
      </c>
      <c r="E28491" s="33" t="s">
        <v>45</v>
      </c>
      <c r="F28491" s="33" t="s">
        <v>46</v>
      </c>
      <c r="G28491" s="33" t="s">
        <v>140</v>
      </c>
      <c r="H28491" s="35">
        <v>120</v>
      </c>
      <c r="I28491" s="33" t="s">
        <v>51</v>
      </c>
      <c r="J28491" s="42">
        <v>46079</v>
      </c>
      <c r="K28491" s="33" t="s">
        <v>22</v>
      </c>
    </row>
    <row r="28492" spans="1:11">
      <c r="A28492" s="30" t="s">
        <v>62450</v>
      </c>
      <c r="B28492" s="30" t="s">
        <v>62451</v>
      </c>
      <c r="C28492" s="30" t="s">
        <v>936</v>
      </c>
      <c r="D28492" s="30" t="s">
        <v>17</v>
      </c>
      <c r="E28492" s="30" t="s">
        <v>31</v>
      </c>
      <c r="F28492" s="30" t="s">
        <v>32</v>
      </c>
      <c r="G28492" s="30" t="s">
        <v>140</v>
      </c>
      <c r="H28492" s="32">
        <v>30</v>
      </c>
      <c r="I28492" s="30" t="s">
        <v>51</v>
      </c>
      <c r="J28492" s="41">
        <v>46219</v>
      </c>
      <c r="K28492" s="30" t="s">
        <v>22</v>
      </c>
    </row>
    <row r="28493" spans="1:11">
      <c r="A28493" s="33" t="s">
        <v>62452</v>
      </c>
      <c r="B28493" s="33" t="s">
        <v>62453</v>
      </c>
      <c r="C28493" s="33" t="s">
        <v>11899</v>
      </c>
      <c r="D28493" s="33" t="s">
        <v>17</v>
      </c>
      <c r="E28493" s="33" t="s">
        <v>26</v>
      </c>
      <c r="F28493" s="33" t="s">
        <v>27</v>
      </c>
      <c r="G28493" s="33" t="s">
        <v>140</v>
      </c>
      <c r="H28493" s="35">
        <v>40</v>
      </c>
      <c r="I28493" s="33" t="s">
        <v>51</v>
      </c>
      <c r="J28493" s="42">
        <v>46097</v>
      </c>
      <c r="K28493" s="33" t="s">
        <v>22</v>
      </c>
    </row>
    <row r="28494" spans="1:11">
      <c r="A28494" s="30" t="s">
        <v>62454</v>
      </c>
      <c r="B28494" s="30" t="s">
        <v>62455</v>
      </c>
      <c r="C28494" s="30" t="s">
        <v>517</v>
      </c>
      <c r="D28494" s="30" t="s">
        <v>17</v>
      </c>
      <c r="E28494" s="30" t="s">
        <v>26</v>
      </c>
      <c r="F28494" s="30" t="s">
        <v>27</v>
      </c>
      <c r="G28494" s="30" t="s">
        <v>7780</v>
      </c>
      <c r="H28494" s="32">
        <v>44</v>
      </c>
      <c r="I28494" s="30" t="s">
        <v>51</v>
      </c>
      <c r="J28494" s="41">
        <v>46204</v>
      </c>
      <c r="K28494" s="30" t="s">
        <v>22</v>
      </c>
    </row>
    <row r="28495" spans="1:11">
      <c r="A28495" s="33" t="s">
        <v>62456</v>
      </c>
      <c r="B28495" s="33" t="s">
        <v>62457</v>
      </c>
      <c r="C28495" s="33" t="s">
        <v>130</v>
      </c>
      <c r="D28495" s="33" t="s">
        <v>17</v>
      </c>
      <c r="E28495" s="33" t="s">
        <v>26</v>
      </c>
      <c r="F28495" s="33" t="s">
        <v>27</v>
      </c>
      <c r="G28495" s="33" t="s">
        <v>140</v>
      </c>
      <c r="H28495" s="35">
        <v>218</v>
      </c>
      <c r="I28495" s="33" t="s">
        <v>51</v>
      </c>
      <c r="J28495" s="42">
        <v>46153</v>
      </c>
      <c r="K28495" s="33" t="s">
        <v>22</v>
      </c>
    </row>
    <row r="28496" spans="1:11">
      <c r="A28496" s="30" t="s">
        <v>62458</v>
      </c>
      <c r="B28496" s="30" t="s">
        <v>62459</v>
      </c>
      <c r="C28496" s="30" t="s">
        <v>44</v>
      </c>
      <c r="D28496" s="30" t="s">
        <v>17</v>
      </c>
      <c r="E28496" s="30" t="s">
        <v>67</v>
      </c>
      <c r="F28496" s="30" t="s">
        <v>68</v>
      </c>
      <c r="G28496" s="30" t="s">
        <v>140</v>
      </c>
      <c r="H28496" s="32">
        <v>150</v>
      </c>
      <c r="I28496" s="30" t="s">
        <v>51</v>
      </c>
      <c r="J28496" s="41">
        <v>46107</v>
      </c>
      <c r="K28496" s="30" t="s">
        <v>22</v>
      </c>
    </row>
    <row r="28497" spans="1:11">
      <c r="A28497" s="33" t="s">
        <v>62460</v>
      </c>
      <c r="B28497" s="33" t="s">
        <v>62461</v>
      </c>
      <c r="C28497" s="33" t="s">
        <v>62462</v>
      </c>
      <c r="D28497" s="33" t="s">
        <v>17</v>
      </c>
      <c r="E28497" s="33" t="s">
        <v>67</v>
      </c>
      <c r="F28497" s="33" t="s">
        <v>68</v>
      </c>
      <c r="G28497" s="33" t="s">
        <v>7780</v>
      </c>
      <c r="H28497" s="35">
        <v>153</v>
      </c>
      <c r="I28497" s="33" t="s">
        <v>51</v>
      </c>
      <c r="J28497" s="42">
        <v>46120</v>
      </c>
      <c r="K28497" s="33" t="s">
        <v>22</v>
      </c>
    </row>
    <row r="28498" spans="1:11">
      <c r="A28498" s="30" t="s">
        <v>62463</v>
      </c>
      <c r="B28498" s="30" t="s">
        <v>62464</v>
      </c>
      <c r="C28498" s="30" t="s">
        <v>2663</v>
      </c>
      <c r="D28498" s="30" t="s">
        <v>17</v>
      </c>
      <c r="E28498" s="30" t="s">
        <v>31</v>
      </c>
      <c r="F28498" s="30" t="s">
        <v>32</v>
      </c>
      <c r="G28498" s="30" t="s">
        <v>7780</v>
      </c>
      <c r="H28498" s="32">
        <v>30</v>
      </c>
      <c r="I28498" s="30" t="s">
        <v>51</v>
      </c>
      <c r="J28498" s="41">
        <v>46174</v>
      </c>
      <c r="K28498" s="30" t="s">
        <v>22</v>
      </c>
    </row>
    <row r="28499" spans="1:11">
      <c r="A28499" s="33" t="s">
        <v>62465</v>
      </c>
      <c r="B28499" s="33" t="s">
        <v>62466</v>
      </c>
      <c r="C28499" s="33" t="s">
        <v>310</v>
      </c>
      <c r="D28499" s="33" t="s">
        <v>17</v>
      </c>
      <c r="E28499" s="33" t="s">
        <v>18</v>
      </c>
      <c r="F28499" s="33" t="s">
        <v>19</v>
      </c>
      <c r="G28499" s="33" t="s">
        <v>140</v>
      </c>
      <c r="H28499" s="35">
        <v>300</v>
      </c>
      <c r="I28499" s="33" t="s">
        <v>51</v>
      </c>
      <c r="J28499" s="42">
        <v>46147</v>
      </c>
      <c r="K28499" s="33" t="s">
        <v>22</v>
      </c>
    </row>
    <row r="28500" spans="1:11">
      <c r="A28500" s="30" t="s">
        <v>62467</v>
      </c>
      <c r="B28500" s="30" t="s">
        <v>62468</v>
      </c>
      <c r="C28500" s="30" t="s">
        <v>252</v>
      </c>
      <c r="D28500" s="30" t="s">
        <v>17</v>
      </c>
      <c r="E28500" s="30" t="s">
        <v>26</v>
      </c>
      <c r="F28500" s="30" t="s">
        <v>27</v>
      </c>
      <c r="G28500" s="30" t="s">
        <v>7780</v>
      </c>
      <c r="H28500" s="32">
        <v>96</v>
      </c>
      <c r="I28500" s="30" t="s">
        <v>51</v>
      </c>
      <c r="J28500" s="41">
        <v>46142</v>
      </c>
      <c r="K28500" s="30" t="s">
        <v>22</v>
      </c>
    </row>
    <row r="28501" spans="1:11">
      <c r="A28501" s="33" t="s">
        <v>62469</v>
      </c>
      <c r="B28501" s="33" t="s">
        <v>62470</v>
      </c>
      <c r="C28501" s="33" t="s">
        <v>318</v>
      </c>
      <c r="D28501" s="33" t="s">
        <v>17</v>
      </c>
      <c r="E28501" s="33" t="s">
        <v>26</v>
      </c>
      <c r="F28501" s="33" t="s">
        <v>27</v>
      </c>
      <c r="G28501" s="33" t="s">
        <v>158</v>
      </c>
      <c r="H28501" s="35">
        <v>405</v>
      </c>
      <c r="I28501" s="33" t="s">
        <v>21</v>
      </c>
      <c r="J28501" s="42">
        <v>46038</v>
      </c>
      <c r="K28501" s="33" t="s">
        <v>22</v>
      </c>
    </row>
    <row r="28502" spans="1:11">
      <c r="A28502" s="30" t="s">
        <v>62471</v>
      </c>
      <c r="B28502" s="30" t="s">
        <v>62472</v>
      </c>
      <c r="C28502" s="30" t="s">
        <v>969</v>
      </c>
      <c r="D28502" s="30" t="s">
        <v>17</v>
      </c>
      <c r="E28502" s="30" t="s">
        <v>26</v>
      </c>
      <c r="F28502" s="30" t="s">
        <v>27</v>
      </c>
      <c r="G28502" s="30" t="s">
        <v>140</v>
      </c>
      <c r="H28502" s="32">
        <v>44</v>
      </c>
      <c r="I28502" s="30" t="s">
        <v>51</v>
      </c>
      <c r="J28502" s="41">
        <v>46063</v>
      </c>
      <c r="K28502" s="30" t="s">
        <v>22</v>
      </c>
    </row>
    <row r="28503" spans="1:11">
      <c r="A28503" s="33" t="s">
        <v>62473</v>
      </c>
      <c r="B28503" s="33" t="s">
        <v>62474</v>
      </c>
      <c r="C28503" s="33" t="s">
        <v>62475</v>
      </c>
      <c r="D28503" s="33" t="s">
        <v>17</v>
      </c>
      <c r="E28503" s="33" t="s">
        <v>26</v>
      </c>
      <c r="F28503" s="33" t="s">
        <v>27</v>
      </c>
      <c r="G28503" s="33" t="s">
        <v>140</v>
      </c>
      <c r="H28503" s="35">
        <v>38</v>
      </c>
      <c r="I28503" s="33" t="s">
        <v>51</v>
      </c>
      <c r="J28503" s="42">
        <v>46023</v>
      </c>
      <c r="K28503" s="33" t="s">
        <v>22</v>
      </c>
    </row>
    <row r="28504" spans="1:11">
      <c r="A28504" s="30" t="s">
        <v>62476</v>
      </c>
      <c r="B28504" s="30" t="s">
        <v>62477</v>
      </c>
      <c r="C28504" s="30" t="s">
        <v>9073</v>
      </c>
      <c r="D28504" s="30" t="s">
        <v>17</v>
      </c>
      <c r="E28504" s="30" t="s">
        <v>18</v>
      </c>
      <c r="F28504" s="30" t="s">
        <v>19</v>
      </c>
      <c r="G28504" s="30" t="s">
        <v>140</v>
      </c>
      <c r="H28504" s="32">
        <v>284</v>
      </c>
      <c r="I28504" s="30" t="s">
        <v>51</v>
      </c>
      <c r="J28504" s="41">
        <v>46097</v>
      </c>
      <c r="K28504" s="30" t="s">
        <v>22</v>
      </c>
    </row>
    <row r="28505" spans="1:11">
      <c r="A28505" s="33" t="s">
        <v>62478</v>
      </c>
      <c r="B28505" s="33" t="s">
        <v>62479</v>
      </c>
      <c r="C28505" s="33" t="s">
        <v>157</v>
      </c>
      <c r="D28505" s="33" t="s">
        <v>17</v>
      </c>
      <c r="E28505" s="33" t="s">
        <v>18</v>
      </c>
      <c r="F28505" s="33" t="s">
        <v>19</v>
      </c>
      <c r="G28505" s="33" t="s">
        <v>140</v>
      </c>
      <c r="H28505" s="35">
        <v>1182</v>
      </c>
      <c r="I28505" s="33" t="s">
        <v>51</v>
      </c>
      <c r="J28505" s="42">
        <v>46092</v>
      </c>
      <c r="K28505" s="33" t="s">
        <v>22</v>
      </c>
    </row>
    <row r="28506" spans="1:11">
      <c r="A28506" s="30" t="s">
        <v>62480</v>
      </c>
      <c r="B28506" s="30" t="s">
        <v>62481</v>
      </c>
      <c r="C28506" s="30" t="s">
        <v>29250</v>
      </c>
      <c r="D28506" s="30" t="s">
        <v>17</v>
      </c>
      <c r="E28506" s="30" t="s">
        <v>26</v>
      </c>
      <c r="F28506" s="30" t="s">
        <v>27</v>
      </c>
      <c r="G28506" s="30" t="s">
        <v>7780</v>
      </c>
      <c r="H28506" s="32">
        <v>24</v>
      </c>
      <c r="I28506" s="30" t="s">
        <v>51</v>
      </c>
      <c r="J28506" s="41">
        <v>46174</v>
      </c>
      <c r="K28506" s="30" t="s">
        <v>22</v>
      </c>
    </row>
    <row r="28507" spans="1:11">
      <c r="A28507" s="33" t="s">
        <v>62482</v>
      </c>
      <c r="B28507" s="33" t="s">
        <v>62483</v>
      </c>
      <c r="C28507" s="33" t="s">
        <v>2807</v>
      </c>
      <c r="D28507" s="33" t="s">
        <v>17</v>
      </c>
      <c r="E28507" s="33" t="s">
        <v>31</v>
      </c>
      <c r="F28507" s="33" t="s">
        <v>32</v>
      </c>
      <c r="G28507" s="33" t="s">
        <v>140</v>
      </c>
      <c r="H28507" s="35">
        <v>84</v>
      </c>
      <c r="I28507" s="33" t="s">
        <v>51</v>
      </c>
      <c r="J28507" s="42">
        <v>46044</v>
      </c>
      <c r="K28507" s="33" t="s">
        <v>22</v>
      </c>
    </row>
    <row r="28508" spans="1:11">
      <c r="A28508" s="30" t="s">
        <v>62484</v>
      </c>
      <c r="B28508" s="30" t="s">
        <v>62485</v>
      </c>
      <c r="C28508" s="30" t="s">
        <v>41596</v>
      </c>
      <c r="D28508" s="30" t="s">
        <v>17</v>
      </c>
      <c r="E28508" s="30" t="s">
        <v>26</v>
      </c>
      <c r="F28508" s="30" t="s">
        <v>27</v>
      </c>
      <c r="G28508" s="30" t="s">
        <v>7780</v>
      </c>
      <c r="H28508" s="32">
        <v>24</v>
      </c>
      <c r="I28508" s="30" t="s">
        <v>51</v>
      </c>
      <c r="J28508" s="41">
        <v>46154</v>
      </c>
      <c r="K28508" s="30" t="s">
        <v>22</v>
      </c>
    </row>
    <row r="28509" spans="1:11">
      <c r="A28509" s="33" t="s">
        <v>62486</v>
      </c>
      <c r="B28509" s="33" t="s">
        <v>62487</v>
      </c>
      <c r="C28509" s="33" t="s">
        <v>9605</v>
      </c>
      <c r="D28509" s="33" t="s">
        <v>17</v>
      </c>
      <c r="E28509" s="33" t="s">
        <v>67</v>
      </c>
      <c r="F28509" s="33" t="s">
        <v>68</v>
      </c>
      <c r="G28509" s="33" t="s">
        <v>7780</v>
      </c>
      <c r="H28509" s="35">
        <v>90</v>
      </c>
      <c r="I28509" s="33" t="s">
        <v>51</v>
      </c>
      <c r="J28509" s="42">
        <v>46218</v>
      </c>
      <c r="K28509" s="33" t="s">
        <v>22</v>
      </c>
    </row>
    <row r="28510" spans="1:11">
      <c r="A28510" s="30" t="s">
        <v>62488</v>
      </c>
      <c r="B28510" s="30" t="s">
        <v>62489</v>
      </c>
      <c r="C28510" s="30" t="s">
        <v>62490</v>
      </c>
      <c r="D28510" s="30" t="s">
        <v>17</v>
      </c>
      <c r="E28510" s="30" t="s">
        <v>26</v>
      </c>
      <c r="F28510" s="30" t="s">
        <v>27</v>
      </c>
      <c r="G28510" s="30" t="s">
        <v>140</v>
      </c>
      <c r="H28510" s="32">
        <v>60</v>
      </c>
      <c r="I28510" s="30" t="s">
        <v>51</v>
      </c>
      <c r="J28510" s="41">
        <v>46083</v>
      </c>
      <c r="K28510" s="30" t="s">
        <v>22</v>
      </c>
    </row>
    <row r="28511" spans="1:11">
      <c r="A28511" s="33" t="s">
        <v>62491</v>
      </c>
      <c r="B28511" s="33" t="s">
        <v>62492</v>
      </c>
      <c r="C28511" s="33" t="s">
        <v>190</v>
      </c>
      <c r="D28511" s="33" t="s">
        <v>17</v>
      </c>
      <c r="E28511" s="33" t="s">
        <v>26</v>
      </c>
      <c r="F28511" s="33" t="s">
        <v>27</v>
      </c>
      <c r="G28511" s="33" t="s">
        <v>20</v>
      </c>
      <c r="H28511" s="35">
        <v>26</v>
      </c>
      <c r="I28511" s="33" t="s">
        <v>21</v>
      </c>
      <c r="J28511" s="42">
        <v>46069</v>
      </c>
      <c r="K28511" s="33" t="s">
        <v>22</v>
      </c>
    </row>
    <row r="28512" spans="1:11">
      <c r="A28512" s="30" t="s">
        <v>62493</v>
      </c>
      <c r="B28512" s="30" t="s">
        <v>62494</v>
      </c>
      <c r="C28512" s="30" t="s">
        <v>231</v>
      </c>
      <c r="D28512" s="30" t="s">
        <v>17</v>
      </c>
      <c r="E28512" s="30" t="s">
        <v>31</v>
      </c>
      <c r="F28512" s="30" t="s">
        <v>32</v>
      </c>
      <c r="G28512" s="30" t="s">
        <v>140</v>
      </c>
      <c r="H28512" s="32">
        <v>405</v>
      </c>
      <c r="I28512" s="30" t="s">
        <v>51</v>
      </c>
      <c r="J28512" s="41">
        <v>46132</v>
      </c>
      <c r="K28512" s="30" t="s">
        <v>22</v>
      </c>
    </row>
    <row r="28513" spans="1:11">
      <c r="A28513" s="33" t="s">
        <v>62495</v>
      </c>
      <c r="B28513" s="33" t="s">
        <v>62496</v>
      </c>
      <c r="C28513" s="33" t="s">
        <v>26837</v>
      </c>
      <c r="D28513" s="33" t="s">
        <v>17</v>
      </c>
      <c r="E28513" s="33" t="s">
        <v>330</v>
      </c>
      <c r="F28513" s="33" t="s">
        <v>331</v>
      </c>
      <c r="G28513" s="33" t="s">
        <v>140</v>
      </c>
      <c r="H28513" s="35">
        <v>18</v>
      </c>
      <c r="I28513" s="33" t="s">
        <v>51</v>
      </c>
      <c r="J28513" s="42">
        <v>46090</v>
      </c>
      <c r="K28513" s="33" t="s">
        <v>22</v>
      </c>
    </row>
    <row r="28514" spans="1:11">
      <c r="A28514" s="30" t="s">
        <v>62497</v>
      </c>
      <c r="B28514" s="30" t="s">
        <v>62498</v>
      </c>
      <c r="C28514" s="30" t="s">
        <v>4565</v>
      </c>
      <c r="D28514" s="30" t="s">
        <v>17</v>
      </c>
      <c r="E28514" s="30" t="s">
        <v>31</v>
      </c>
      <c r="F28514" s="30" t="s">
        <v>32</v>
      </c>
      <c r="G28514" s="30" t="s">
        <v>7780</v>
      </c>
      <c r="H28514" s="32">
        <v>189</v>
      </c>
      <c r="I28514" s="30" t="s">
        <v>51</v>
      </c>
      <c r="J28514" s="41">
        <v>46160</v>
      </c>
      <c r="K28514" s="30" t="s">
        <v>22</v>
      </c>
    </row>
    <row r="28515" spans="1:11">
      <c r="A28515" s="33" t="s">
        <v>62499</v>
      </c>
      <c r="B28515" s="33" t="s">
        <v>62500</v>
      </c>
      <c r="C28515" s="33" t="s">
        <v>517</v>
      </c>
      <c r="D28515" s="33" t="s">
        <v>17</v>
      </c>
      <c r="E28515" s="33" t="s">
        <v>26</v>
      </c>
      <c r="F28515" s="33" t="s">
        <v>27</v>
      </c>
      <c r="G28515" s="33" t="s">
        <v>7780</v>
      </c>
      <c r="H28515" s="35">
        <v>60</v>
      </c>
      <c r="I28515" s="33" t="s">
        <v>51</v>
      </c>
      <c r="J28515" s="42">
        <v>46174</v>
      </c>
      <c r="K28515" s="33" t="s">
        <v>22</v>
      </c>
    </row>
    <row r="28516" spans="1:11">
      <c r="A28516" s="30" t="s">
        <v>62501</v>
      </c>
      <c r="B28516" s="30" t="s">
        <v>62502</v>
      </c>
      <c r="C28516" s="30" t="s">
        <v>28065</v>
      </c>
      <c r="D28516" s="30" t="s">
        <v>17</v>
      </c>
      <c r="E28516" s="30" t="s">
        <v>26</v>
      </c>
      <c r="F28516" s="30" t="s">
        <v>27</v>
      </c>
      <c r="G28516" s="30" t="s">
        <v>140</v>
      </c>
      <c r="H28516" s="32">
        <v>62</v>
      </c>
      <c r="I28516" s="30" t="s">
        <v>51</v>
      </c>
      <c r="J28516" s="41">
        <v>46188</v>
      </c>
      <c r="K28516" s="30" t="s">
        <v>22</v>
      </c>
    </row>
    <row r="28517" spans="1:11">
      <c r="A28517" s="33" t="s">
        <v>62503</v>
      </c>
      <c r="B28517" s="33" t="s">
        <v>62504</v>
      </c>
      <c r="C28517" s="33" t="s">
        <v>7588</v>
      </c>
      <c r="D28517" s="33" t="s">
        <v>17</v>
      </c>
      <c r="E28517" s="33" t="s">
        <v>18</v>
      </c>
      <c r="F28517" s="33" t="s">
        <v>19</v>
      </c>
      <c r="G28517" s="33" t="s">
        <v>140</v>
      </c>
      <c r="H28517" s="35">
        <v>6144</v>
      </c>
      <c r="I28517" s="33" t="s">
        <v>51</v>
      </c>
      <c r="J28517" s="42">
        <v>46168</v>
      </c>
      <c r="K28517" s="33" t="s">
        <v>22</v>
      </c>
    </row>
    <row r="28518" spans="1:11">
      <c r="A28518" s="30" t="s">
        <v>62505</v>
      </c>
      <c r="B28518" s="30" t="s">
        <v>62506</v>
      </c>
      <c r="C28518" s="30" t="s">
        <v>51579</v>
      </c>
      <c r="D28518" s="30" t="s">
        <v>17</v>
      </c>
      <c r="E28518" s="30" t="s">
        <v>26</v>
      </c>
      <c r="F28518" s="30" t="s">
        <v>27</v>
      </c>
      <c r="G28518" s="30" t="s">
        <v>7780</v>
      </c>
      <c r="H28518" s="32">
        <v>24</v>
      </c>
      <c r="I28518" s="30" t="s">
        <v>51</v>
      </c>
      <c r="J28518" s="41">
        <v>46096</v>
      </c>
      <c r="K28518" s="30" t="s">
        <v>22</v>
      </c>
    </row>
    <row r="28519" spans="1:11">
      <c r="A28519" s="33" t="s">
        <v>62507</v>
      </c>
      <c r="B28519" s="33" t="s">
        <v>62508</v>
      </c>
      <c r="C28519" s="33" t="s">
        <v>36231</v>
      </c>
      <c r="D28519" s="33" t="s">
        <v>17</v>
      </c>
      <c r="E28519" s="33" t="s">
        <v>18</v>
      </c>
      <c r="F28519" s="33" t="s">
        <v>19</v>
      </c>
      <c r="G28519" s="33" t="s">
        <v>158</v>
      </c>
      <c r="H28519" s="35">
        <v>755</v>
      </c>
      <c r="I28519" s="33" t="s">
        <v>21</v>
      </c>
      <c r="J28519" s="42">
        <v>46038</v>
      </c>
      <c r="K28519" s="33" t="s">
        <v>22</v>
      </c>
    </row>
    <row r="28520" spans="1:11">
      <c r="A28520" s="30" t="s">
        <v>62509</v>
      </c>
      <c r="B28520" s="30" t="s">
        <v>62510</v>
      </c>
      <c r="C28520" s="30" t="s">
        <v>190</v>
      </c>
      <c r="D28520" s="30" t="s">
        <v>17</v>
      </c>
      <c r="E28520" s="30" t="s">
        <v>18</v>
      </c>
      <c r="F28520" s="30" t="s">
        <v>19</v>
      </c>
      <c r="G28520" s="30" t="s">
        <v>140</v>
      </c>
      <c r="H28520" s="32">
        <v>508</v>
      </c>
      <c r="I28520" s="30" t="s">
        <v>51</v>
      </c>
      <c r="J28520" s="41">
        <v>46076</v>
      </c>
      <c r="K28520" s="30" t="s">
        <v>22</v>
      </c>
    </row>
    <row r="28521" spans="1:11">
      <c r="A28521" s="33" t="s">
        <v>62511</v>
      </c>
      <c r="B28521" s="33" t="s">
        <v>62512</v>
      </c>
      <c r="C28521" s="33" t="s">
        <v>443</v>
      </c>
      <c r="D28521" s="33" t="s">
        <v>17</v>
      </c>
      <c r="E28521" s="33" t="s">
        <v>18</v>
      </c>
      <c r="F28521" s="33" t="s">
        <v>19</v>
      </c>
      <c r="G28521" s="33" t="s">
        <v>7780</v>
      </c>
      <c r="H28521" s="35">
        <v>912</v>
      </c>
      <c r="I28521" s="33" t="s">
        <v>51</v>
      </c>
      <c r="J28521" s="42">
        <v>46085</v>
      </c>
      <c r="K28521" s="33" t="s">
        <v>22</v>
      </c>
    </row>
    <row r="28522" spans="1:11">
      <c r="A28522" s="30" t="s">
        <v>62513</v>
      </c>
      <c r="B28522" s="30" t="s">
        <v>62514</v>
      </c>
      <c r="C28522" s="30" t="s">
        <v>9464</v>
      </c>
      <c r="D28522" s="30" t="s">
        <v>17</v>
      </c>
      <c r="E28522" s="30" t="s">
        <v>212</v>
      </c>
      <c r="F28522" s="30" t="s">
        <v>213</v>
      </c>
      <c r="G28522" s="30" t="s">
        <v>7780</v>
      </c>
      <c r="H28522" s="32">
        <v>60</v>
      </c>
      <c r="I28522" s="30" t="s">
        <v>51</v>
      </c>
      <c r="J28522" s="41">
        <v>46052</v>
      </c>
      <c r="K28522" s="30" t="s">
        <v>22</v>
      </c>
    </row>
    <row r="28523" spans="1:11">
      <c r="A28523" s="33" t="s">
        <v>62515</v>
      </c>
      <c r="B28523" s="33" t="s">
        <v>62516</v>
      </c>
      <c r="C28523" s="33" t="s">
        <v>1024</v>
      </c>
      <c r="D28523" s="33" t="s">
        <v>17</v>
      </c>
      <c r="E28523" s="33" t="s">
        <v>26</v>
      </c>
      <c r="F28523" s="33" t="s">
        <v>27</v>
      </c>
      <c r="G28523" s="33" t="s">
        <v>140</v>
      </c>
      <c r="H28523" s="35">
        <v>36</v>
      </c>
      <c r="I28523" s="33" t="s">
        <v>51</v>
      </c>
      <c r="J28523" s="42">
        <v>46160</v>
      </c>
      <c r="K28523" s="33" t="s">
        <v>22</v>
      </c>
    </row>
    <row r="28524" spans="1:11">
      <c r="A28524" s="30" t="s">
        <v>62517</v>
      </c>
      <c r="B28524" s="30" t="s">
        <v>62518</v>
      </c>
      <c r="C28524" s="30" t="s">
        <v>25186</v>
      </c>
      <c r="D28524" s="30" t="s">
        <v>17</v>
      </c>
      <c r="E28524" s="30" t="s">
        <v>26</v>
      </c>
      <c r="F28524" s="30" t="s">
        <v>27</v>
      </c>
      <c r="G28524" s="30" t="s">
        <v>140</v>
      </c>
      <c r="H28524" s="32">
        <v>150</v>
      </c>
      <c r="I28524" s="30" t="s">
        <v>51</v>
      </c>
      <c r="J28524" s="41">
        <v>46113</v>
      </c>
      <c r="K28524" s="30" t="s">
        <v>22</v>
      </c>
    </row>
    <row r="28525" spans="1:11">
      <c r="A28525" s="33" t="s">
        <v>62519</v>
      </c>
      <c r="B28525" s="33" t="s">
        <v>62520</v>
      </c>
      <c r="C28525" s="33" t="s">
        <v>62521</v>
      </c>
      <c r="D28525" s="33" t="s">
        <v>17</v>
      </c>
      <c r="E28525" s="33" t="s">
        <v>67</v>
      </c>
      <c r="F28525" s="33" t="s">
        <v>68</v>
      </c>
      <c r="G28525" s="33" t="s">
        <v>158</v>
      </c>
      <c r="H28525" s="35">
        <v>1</v>
      </c>
      <c r="I28525" s="33" t="s">
        <v>51</v>
      </c>
      <c r="J28525" s="42">
        <v>46035</v>
      </c>
      <c r="K28525" s="33" t="s">
        <v>22</v>
      </c>
    </row>
    <row r="28526" spans="1:11">
      <c r="A28526" s="30" t="s">
        <v>62522</v>
      </c>
      <c r="B28526" s="30" t="s">
        <v>62523</v>
      </c>
      <c r="C28526" s="30" t="s">
        <v>96</v>
      </c>
      <c r="D28526" s="30" t="s">
        <v>17</v>
      </c>
      <c r="E28526" s="30" t="s">
        <v>26</v>
      </c>
      <c r="F28526" s="30" t="s">
        <v>27</v>
      </c>
      <c r="G28526" s="30" t="s">
        <v>158</v>
      </c>
      <c r="H28526" s="32">
        <v>15</v>
      </c>
      <c r="I28526" s="30" t="s">
        <v>21</v>
      </c>
      <c r="J28526" s="41">
        <v>46153</v>
      </c>
      <c r="K28526" s="30" t="s">
        <v>22</v>
      </c>
    </row>
    <row r="28527" spans="1:11">
      <c r="A28527" s="33" t="s">
        <v>62524</v>
      </c>
      <c r="B28527" s="33" t="s">
        <v>62525</v>
      </c>
      <c r="C28527" s="33" t="s">
        <v>75</v>
      </c>
      <c r="D28527" s="33" t="s">
        <v>17</v>
      </c>
      <c r="E28527" s="33" t="s">
        <v>18</v>
      </c>
      <c r="F28527" s="33" t="s">
        <v>19</v>
      </c>
      <c r="G28527" s="33" t="s">
        <v>140</v>
      </c>
      <c r="H28527" s="35">
        <v>850</v>
      </c>
      <c r="I28527" s="33" t="s">
        <v>51</v>
      </c>
      <c r="J28527" s="42">
        <v>46097</v>
      </c>
      <c r="K28527" s="33" t="s">
        <v>22</v>
      </c>
    </row>
    <row r="28528" spans="1:11">
      <c r="A28528" s="30" t="s">
        <v>62526</v>
      </c>
      <c r="B28528" s="30" t="s">
        <v>62527</v>
      </c>
      <c r="C28528" s="30" t="s">
        <v>62528</v>
      </c>
      <c r="D28528" s="30" t="s">
        <v>17</v>
      </c>
      <c r="E28528" s="30" t="s">
        <v>330</v>
      </c>
      <c r="F28528" s="30" t="s">
        <v>331</v>
      </c>
      <c r="G28528" s="30" t="s">
        <v>7780</v>
      </c>
      <c r="H28528" s="32">
        <v>5</v>
      </c>
      <c r="I28528" s="30" t="s">
        <v>51</v>
      </c>
      <c r="J28528" s="41">
        <v>46183</v>
      </c>
      <c r="K28528" s="30" t="s">
        <v>22</v>
      </c>
    </row>
    <row r="28529" spans="1:11">
      <c r="A28529" s="33" t="s">
        <v>62529</v>
      </c>
      <c r="B28529" s="33" t="s">
        <v>62530</v>
      </c>
      <c r="C28529" s="33" t="s">
        <v>48199</v>
      </c>
      <c r="D28529" s="33" t="s">
        <v>17</v>
      </c>
      <c r="E28529" s="33" t="s">
        <v>31</v>
      </c>
      <c r="F28529" s="33" t="s">
        <v>32</v>
      </c>
      <c r="G28529" s="33" t="s">
        <v>7780</v>
      </c>
      <c r="H28529" s="35">
        <v>80</v>
      </c>
      <c r="I28529" s="33" t="s">
        <v>51</v>
      </c>
      <c r="J28529" s="42">
        <v>46204</v>
      </c>
      <c r="K28529" s="33" t="s">
        <v>22</v>
      </c>
    </row>
    <row r="28530" spans="1:11">
      <c r="A28530" s="30" t="s">
        <v>62531</v>
      </c>
      <c r="B28530" s="30" t="s">
        <v>62532</v>
      </c>
      <c r="C28530" s="30" t="s">
        <v>28153</v>
      </c>
      <c r="D28530" s="30" t="s">
        <v>17</v>
      </c>
      <c r="E28530" s="30" t="s">
        <v>18</v>
      </c>
      <c r="F28530" s="30" t="s">
        <v>19</v>
      </c>
      <c r="G28530" s="30" t="s">
        <v>140</v>
      </c>
      <c r="H28530" s="32">
        <v>440</v>
      </c>
      <c r="I28530" s="30" t="s">
        <v>51</v>
      </c>
      <c r="J28530" s="41">
        <v>46105</v>
      </c>
      <c r="K28530" s="30" t="s">
        <v>22</v>
      </c>
    </row>
    <row r="28531" spans="1:11">
      <c r="A28531" s="33" t="s">
        <v>62533</v>
      </c>
      <c r="B28531" s="33" t="s">
        <v>62534</v>
      </c>
      <c r="C28531" s="33" t="s">
        <v>62535</v>
      </c>
      <c r="D28531" s="33" t="s">
        <v>17</v>
      </c>
      <c r="E28531" s="33" t="s">
        <v>31</v>
      </c>
      <c r="F28531" s="33" t="s">
        <v>32</v>
      </c>
      <c r="G28531" s="33" t="s">
        <v>140</v>
      </c>
      <c r="H28531" s="35">
        <v>168</v>
      </c>
      <c r="I28531" s="33" t="s">
        <v>51</v>
      </c>
      <c r="J28531" s="42">
        <v>46174</v>
      </c>
      <c r="K28531" s="33" t="s">
        <v>22</v>
      </c>
    </row>
    <row r="28532" spans="1:11">
      <c r="A28532" s="30" t="s">
        <v>62536</v>
      </c>
      <c r="B28532" s="30" t="s">
        <v>62537</v>
      </c>
      <c r="C28532" s="30" t="s">
        <v>1006</v>
      </c>
      <c r="D28532" s="30" t="s">
        <v>17</v>
      </c>
      <c r="E28532" s="30" t="s">
        <v>45</v>
      </c>
      <c r="F28532" s="30" t="s">
        <v>46</v>
      </c>
      <c r="G28532" s="30" t="s">
        <v>7780</v>
      </c>
      <c r="H28532" s="32">
        <v>120</v>
      </c>
      <c r="I28532" s="30" t="s">
        <v>51</v>
      </c>
      <c r="J28532" s="41">
        <v>46082</v>
      </c>
      <c r="K28532" s="30" t="s">
        <v>22</v>
      </c>
    </row>
    <row r="28533" spans="1:11">
      <c r="A28533" s="33" t="s">
        <v>62538</v>
      </c>
      <c r="B28533" s="33" t="s">
        <v>62539</v>
      </c>
      <c r="C28533" s="33" t="s">
        <v>34377</v>
      </c>
      <c r="D28533" s="33" t="s">
        <v>17</v>
      </c>
      <c r="E28533" s="33" t="s">
        <v>18</v>
      </c>
      <c r="F28533" s="33" t="s">
        <v>19</v>
      </c>
      <c r="G28533" s="33" t="s">
        <v>140</v>
      </c>
      <c r="H28533" s="35">
        <v>3600</v>
      </c>
      <c r="I28533" s="33" t="s">
        <v>51</v>
      </c>
      <c r="J28533" s="42">
        <v>46216</v>
      </c>
      <c r="K28533" s="33" t="s">
        <v>22</v>
      </c>
    </row>
    <row r="28534" spans="1:11">
      <c r="A28534" s="30" t="s">
        <v>62540</v>
      </c>
      <c r="B28534" s="30" t="s">
        <v>62541</v>
      </c>
      <c r="C28534" s="30" t="s">
        <v>62542</v>
      </c>
      <c r="D28534" s="30" t="s">
        <v>17</v>
      </c>
      <c r="E28534" s="30" t="s">
        <v>31</v>
      </c>
      <c r="F28534" s="30" t="s">
        <v>32</v>
      </c>
      <c r="G28534" s="30" t="s">
        <v>7780</v>
      </c>
      <c r="H28534" s="32">
        <v>196</v>
      </c>
      <c r="I28534" s="30" t="s">
        <v>51</v>
      </c>
      <c r="J28534" s="41">
        <v>46173</v>
      </c>
      <c r="K28534" s="30" t="s">
        <v>22</v>
      </c>
    </row>
    <row r="28535" spans="1:11">
      <c r="A28535" s="33" t="s">
        <v>62543</v>
      </c>
      <c r="B28535" s="33" t="s">
        <v>62544</v>
      </c>
      <c r="C28535" s="33" t="s">
        <v>59728</v>
      </c>
      <c r="D28535" s="33" t="s">
        <v>17</v>
      </c>
      <c r="E28535" s="33" t="s">
        <v>18</v>
      </c>
      <c r="F28535" s="33" t="s">
        <v>19</v>
      </c>
      <c r="G28535" s="33" t="s">
        <v>140</v>
      </c>
      <c r="H28535" s="35">
        <v>480</v>
      </c>
      <c r="I28535" s="33" t="s">
        <v>51</v>
      </c>
      <c r="J28535" s="42">
        <v>46153</v>
      </c>
      <c r="K28535" s="33" t="s">
        <v>22</v>
      </c>
    </row>
    <row r="28536" spans="1:11">
      <c r="A28536" s="30" t="s">
        <v>62545</v>
      </c>
      <c r="B28536" s="30" t="s">
        <v>62546</v>
      </c>
      <c r="C28536" s="30" t="s">
        <v>3429</v>
      </c>
      <c r="D28536" s="30" t="s">
        <v>17</v>
      </c>
      <c r="E28536" s="30" t="s">
        <v>26</v>
      </c>
      <c r="F28536" s="30" t="s">
        <v>27</v>
      </c>
      <c r="G28536" s="30" t="s">
        <v>20</v>
      </c>
      <c r="H28536" s="32">
        <v>32</v>
      </c>
      <c r="I28536" s="30" t="s">
        <v>21</v>
      </c>
      <c r="J28536" s="41">
        <v>46086</v>
      </c>
      <c r="K28536" s="30" t="s">
        <v>22</v>
      </c>
    </row>
    <row r="28537" spans="1:11">
      <c r="A28537" s="33" t="s">
        <v>62547</v>
      </c>
      <c r="B28537" s="33" t="s">
        <v>62548</v>
      </c>
      <c r="C28537" s="33" t="s">
        <v>19121</v>
      </c>
      <c r="D28537" s="33" t="s">
        <v>17</v>
      </c>
      <c r="E28537" s="33" t="s">
        <v>212</v>
      </c>
      <c r="F28537" s="33" t="s">
        <v>213</v>
      </c>
      <c r="G28537" s="33" t="s">
        <v>140</v>
      </c>
      <c r="H28537" s="35">
        <v>16</v>
      </c>
      <c r="I28537" s="33" t="s">
        <v>51</v>
      </c>
      <c r="J28537" s="42">
        <v>46076</v>
      </c>
      <c r="K28537" s="33" t="s">
        <v>22</v>
      </c>
    </row>
    <row r="28538" spans="1:11">
      <c r="A28538" s="30" t="s">
        <v>62549</v>
      </c>
      <c r="B28538" s="30" t="s">
        <v>62550</v>
      </c>
      <c r="C28538" s="30" t="s">
        <v>62551</v>
      </c>
      <c r="D28538" s="30" t="s">
        <v>17</v>
      </c>
      <c r="E28538" s="30" t="s">
        <v>18</v>
      </c>
      <c r="F28538" s="30" t="s">
        <v>19</v>
      </c>
      <c r="G28538" s="30" t="s">
        <v>140</v>
      </c>
      <c r="H28538" s="32">
        <v>150</v>
      </c>
      <c r="I28538" s="30" t="s">
        <v>51</v>
      </c>
      <c r="J28538" s="41">
        <v>46181</v>
      </c>
      <c r="K28538" s="30" t="s">
        <v>22</v>
      </c>
    </row>
    <row r="28539" spans="1:11">
      <c r="A28539" s="33" t="s">
        <v>62552</v>
      </c>
      <c r="B28539" s="33" t="s">
        <v>62553</v>
      </c>
      <c r="C28539" s="33" t="s">
        <v>2472</v>
      </c>
      <c r="D28539" s="33" t="s">
        <v>17</v>
      </c>
      <c r="E28539" s="33" t="s">
        <v>18</v>
      </c>
      <c r="F28539" s="33" t="s">
        <v>19</v>
      </c>
      <c r="G28539" s="33" t="s">
        <v>158</v>
      </c>
      <c r="H28539" s="35">
        <v>4050</v>
      </c>
      <c r="I28539" s="33" t="s">
        <v>21</v>
      </c>
      <c r="J28539" s="42">
        <v>46104</v>
      </c>
      <c r="K28539" s="33" t="s">
        <v>22</v>
      </c>
    </row>
    <row r="28540" spans="1:11">
      <c r="A28540" s="30" t="s">
        <v>62554</v>
      </c>
      <c r="B28540" s="30" t="s">
        <v>62555</v>
      </c>
      <c r="C28540" s="30" t="s">
        <v>93</v>
      </c>
      <c r="D28540" s="30" t="s">
        <v>17</v>
      </c>
      <c r="E28540" s="30" t="s">
        <v>26</v>
      </c>
      <c r="F28540" s="30" t="s">
        <v>27</v>
      </c>
      <c r="G28540" s="30" t="s">
        <v>20</v>
      </c>
      <c r="H28540" s="32">
        <v>15</v>
      </c>
      <c r="I28540" s="30" t="s">
        <v>21</v>
      </c>
      <c r="J28540" s="41">
        <v>46108</v>
      </c>
      <c r="K28540" s="30" t="s">
        <v>22</v>
      </c>
    </row>
    <row r="28541" spans="1:11">
      <c r="A28541" s="33" t="s">
        <v>62556</v>
      </c>
      <c r="B28541" s="33" t="s">
        <v>62557</v>
      </c>
      <c r="C28541" s="33" t="s">
        <v>62558</v>
      </c>
      <c r="D28541" s="33" t="s">
        <v>17</v>
      </c>
      <c r="E28541" s="33" t="s">
        <v>31</v>
      </c>
      <c r="F28541" s="33" t="s">
        <v>32</v>
      </c>
      <c r="G28541" s="33" t="s">
        <v>158</v>
      </c>
      <c r="H28541" s="35">
        <v>15</v>
      </c>
      <c r="I28541" s="33" t="s">
        <v>51</v>
      </c>
      <c r="J28541" s="42">
        <v>46036</v>
      </c>
      <c r="K28541" s="33" t="s">
        <v>22</v>
      </c>
    </row>
    <row r="28542" spans="1:11">
      <c r="A28542" s="30" t="s">
        <v>62559</v>
      </c>
      <c r="B28542" s="30" t="s">
        <v>62560</v>
      </c>
      <c r="C28542" s="30" t="s">
        <v>1778</v>
      </c>
      <c r="D28542" s="30" t="s">
        <v>17</v>
      </c>
      <c r="E28542" s="30" t="s">
        <v>18</v>
      </c>
      <c r="F28542" s="30" t="s">
        <v>19</v>
      </c>
      <c r="G28542" s="30" t="s">
        <v>140</v>
      </c>
      <c r="H28542" s="32">
        <v>30</v>
      </c>
      <c r="I28542" s="30" t="s">
        <v>51</v>
      </c>
      <c r="J28542" s="41">
        <v>46150</v>
      </c>
      <c r="K28542" s="30" t="s">
        <v>22</v>
      </c>
    </row>
    <row r="28543" spans="1:11">
      <c r="A28543" s="33" t="s">
        <v>62561</v>
      </c>
      <c r="B28543" s="33" t="s">
        <v>62562</v>
      </c>
      <c r="C28543" s="33" t="s">
        <v>16259</v>
      </c>
      <c r="D28543" s="33" t="s">
        <v>17</v>
      </c>
      <c r="E28543" s="33" t="s">
        <v>26</v>
      </c>
      <c r="F28543" s="33" t="s">
        <v>27</v>
      </c>
      <c r="G28543" s="33" t="s">
        <v>140</v>
      </c>
      <c r="H28543" s="35">
        <v>57</v>
      </c>
      <c r="I28543" s="33" t="s">
        <v>51</v>
      </c>
      <c r="J28543" s="42">
        <v>46140</v>
      </c>
      <c r="K28543" s="33" t="s">
        <v>22</v>
      </c>
    </row>
    <row r="28544" spans="1:11">
      <c r="A28544" s="30" t="s">
        <v>62563</v>
      </c>
      <c r="B28544" s="30" t="s">
        <v>62564</v>
      </c>
      <c r="C28544" s="30" t="s">
        <v>368</v>
      </c>
      <c r="D28544" s="30" t="s">
        <v>17</v>
      </c>
      <c r="E28544" s="30" t="s">
        <v>26</v>
      </c>
      <c r="F28544" s="30" t="s">
        <v>27</v>
      </c>
      <c r="G28544" s="30" t="s">
        <v>20</v>
      </c>
      <c r="H28544" s="32">
        <v>41</v>
      </c>
      <c r="I28544" s="30" t="s">
        <v>21</v>
      </c>
      <c r="J28544" s="41">
        <v>46184</v>
      </c>
      <c r="K28544" s="30" t="s">
        <v>22</v>
      </c>
    </row>
    <row r="28545" spans="1:11">
      <c r="A28545" s="33" t="s">
        <v>62565</v>
      </c>
      <c r="B28545" s="33" t="s">
        <v>62566</v>
      </c>
      <c r="C28545" s="33" t="s">
        <v>2709</v>
      </c>
      <c r="D28545" s="33" t="s">
        <v>17</v>
      </c>
      <c r="E28545" s="33" t="s">
        <v>26</v>
      </c>
      <c r="F28545" s="33" t="s">
        <v>27</v>
      </c>
      <c r="G28545" s="33" t="s">
        <v>7780</v>
      </c>
      <c r="H28545" s="35">
        <v>160</v>
      </c>
      <c r="I28545" s="33" t="s">
        <v>51</v>
      </c>
      <c r="J28545" s="42">
        <v>46060</v>
      </c>
      <c r="K28545" s="33" t="s">
        <v>22</v>
      </c>
    </row>
    <row r="28546" spans="1:11">
      <c r="A28546" s="30" t="s">
        <v>62567</v>
      </c>
      <c r="B28546" s="30" t="s">
        <v>62568</v>
      </c>
      <c r="C28546" s="30" t="s">
        <v>1024</v>
      </c>
      <c r="D28546" s="30" t="s">
        <v>17</v>
      </c>
      <c r="E28546" s="30" t="s">
        <v>26</v>
      </c>
      <c r="F28546" s="30" t="s">
        <v>27</v>
      </c>
      <c r="G28546" s="30" t="s">
        <v>140</v>
      </c>
      <c r="H28546" s="32">
        <v>32</v>
      </c>
      <c r="I28546" s="30" t="s">
        <v>51</v>
      </c>
      <c r="J28546" s="41">
        <v>46225</v>
      </c>
      <c r="K28546" s="30" t="s">
        <v>22</v>
      </c>
    </row>
    <row r="28547" spans="1:11">
      <c r="A28547" s="33" t="s">
        <v>62569</v>
      </c>
      <c r="B28547" s="33" t="s">
        <v>62570</v>
      </c>
      <c r="C28547" s="33" t="s">
        <v>75</v>
      </c>
      <c r="D28547" s="33" t="s">
        <v>17</v>
      </c>
      <c r="E28547" s="33" t="s">
        <v>212</v>
      </c>
      <c r="F28547" s="33" t="s">
        <v>213</v>
      </c>
      <c r="G28547" s="33" t="s">
        <v>140</v>
      </c>
      <c r="H28547" s="35">
        <v>35</v>
      </c>
      <c r="I28547" s="33" t="s">
        <v>51</v>
      </c>
      <c r="J28547" s="42">
        <v>46077</v>
      </c>
      <c r="K28547" s="33" t="s">
        <v>22</v>
      </c>
    </row>
    <row r="28548" spans="1:11">
      <c r="A28548" s="30" t="s">
        <v>62571</v>
      </c>
      <c r="B28548" s="30" t="s">
        <v>62572</v>
      </c>
      <c r="C28548" s="30" t="s">
        <v>7201</v>
      </c>
      <c r="D28548" s="30" t="s">
        <v>17</v>
      </c>
      <c r="E28548" s="30" t="s">
        <v>26</v>
      </c>
      <c r="F28548" s="30" t="s">
        <v>27</v>
      </c>
      <c r="G28548" s="30" t="s">
        <v>7780</v>
      </c>
      <c r="H28548" s="32">
        <v>40</v>
      </c>
      <c r="I28548" s="30" t="s">
        <v>51</v>
      </c>
      <c r="J28548" s="41">
        <v>46204</v>
      </c>
      <c r="K28548" s="30" t="s">
        <v>22</v>
      </c>
    </row>
    <row r="28549" spans="1:11">
      <c r="A28549" s="33" t="s">
        <v>62573</v>
      </c>
      <c r="B28549" s="33" t="s">
        <v>62574</v>
      </c>
      <c r="C28549" s="33" t="s">
        <v>15788</v>
      </c>
      <c r="D28549" s="33" t="s">
        <v>17</v>
      </c>
      <c r="E28549" s="33" t="s">
        <v>26</v>
      </c>
      <c r="F28549" s="33" t="s">
        <v>27</v>
      </c>
      <c r="G28549" s="33" t="s">
        <v>140</v>
      </c>
      <c r="H28549" s="35">
        <v>12</v>
      </c>
      <c r="I28549" s="33" t="s">
        <v>51</v>
      </c>
      <c r="J28549" s="42">
        <v>46105</v>
      </c>
      <c r="K28549" s="33" t="s">
        <v>22</v>
      </c>
    </row>
    <row r="28550" spans="1:11">
      <c r="A28550" s="30" t="s">
        <v>62575</v>
      </c>
      <c r="B28550" s="30" t="s">
        <v>62576</v>
      </c>
      <c r="C28550" s="30" t="s">
        <v>35</v>
      </c>
      <c r="D28550" s="30" t="s">
        <v>17</v>
      </c>
      <c r="E28550" s="30" t="s">
        <v>31</v>
      </c>
      <c r="F28550" s="30" t="s">
        <v>32</v>
      </c>
      <c r="G28550" s="30" t="s">
        <v>7780</v>
      </c>
      <c r="H28550" s="32">
        <v>12</v>
      </c>
      <c r="I28550" s="30" t="s">
        <v>51</v>
      </c>
      <c r="J28550" s="41">
        <v>46113</v>
      </c>
      <c r="K28550" s="30" t="s">
        <v>22</v>
      </c>
    </row>
    <row r="28551" spans="1:11">
      <c r="A28551" s="33" t="s">
        <v>62577</v>
      </c>
      <c r="B28551" s="33" t="s">
        <v>62578</v>
      </c>
      <c r="C28551" s="33" t="s">
        <v>62579</v>
      </c>
      <c r="D28551" s="33" t="s">
        <v>17</v>
      </c>
      <c r="E28551" s="33" t="s">
        <v>26</v>
      </c>
      <c r="F28551" s="33" t="s">
        <v>27</v>
      </c>
      <c r="G28551" s="33" t="s">
        <v>140</v>
      </c>
      <c r="H28551" s="35">
        <v>24</v>
      </c>
      <c r="I28551" s="33" t="s">
        <v>51</v>
      </c>
      <c r="J28551" s="42">
        <v>46092</v>
      </c>
      <c r="K28551" s="33" t="s">
        <v>22</v>
      </c>
    </row>
    <row r="28552" spans="1:11">
      <c r="A28552" s="30" t="s">
        <v>62580</v>
      </c>
      <c r="B28552" s="30" t="s">
        <v>62581</v>
      </c>
      <c r="C28552" s="30" t="s">
        <v>4348</v>
      </c>
      <c r="D28552" s="30" t="s">
        <v>17</v>
      </c>
      <c r="E28552" s="30" t="s">
        <v>67</v>
      </c>
      <c r="F28552" s="30" t="s">
        <v>68</v>
      </c>
      <c r="G28552" s="30" t="s">
        <v>7780</v>
      </c>
      <c r="H28552" s="32">
        <v>92</v>
      </c>
      <c r="I28552" s="30" t="s">
        <v>51</v>
      </c>
      <c r="J28552" s="41">
        <v>46143</v>
      </c>
      <c r="K28552" s="30" t="s">
        <v>22</v>
      </c>
    </row>
    <row r="28553" spans="1:11">
      <c r="A28553" s="33" t="s">
        <v>62582</v>
      </c>
      <c r="B28553" s="33" t="s">
        <v>62583</v>
      </c>
      <c r="C28553" s="33" t="s">
        <v>38860</v>
      </c>
      <c r="D28553" s="33" t="s">
        <v>17</v>
      </c>
      <c r="E28553" s="33" t="s">
        <v>18</v>
      </c>
      <c r="F28553" s="33" t="s">
        <v>19</v>
      </c>
      <c r="G28553" s="33" t="s">
        <v>7780</v>
      </c>
      <c r="H28553" s="35">
        <v>420</v>
      </c>
      <c r="I28553" s="33" t="s">
        <v>51</v>
      </c>
      <c r="J28553" s="42">
        <v>46174</v>
      </c>
      <c r="K28553" s="33" t="s">
        <v>22</v>
      </c>
    </row>
    <row r="28554" spans="1:11">
      <c r="A28554" s="30" t="s">
        <v>62584</v>
      </c>
      <c r="B28554" s="30" t="s">
        <v>62585</v>
      </c>
      <c r="C28554" s="30" t="s">
        <v>3154</v>
      </c>
      <c r="D28554" s="30" t="s">
        <v>17</v>
      </c>
      <c r="E28554" s="30" t="s">
        <v>31</v>
      </c>
      <c r="F28554" s="30" t="s">
        <v>32</v>
      </c>
      <c r="G28554" s="30" t="s">
        <v>140</v>
      </c>
      <c r="H28554" s="32">
        <v>90</v>
      </c>
      <c r="I28554" s="30" t="s">
        <v>51</v>
      </c>
      <c r="J28554" s="41">
        <v>46168</v>
      </c>
      <c r="K28554" s="30" t="s">
        <v>22</v>
      </c>
    </row>
    <row r="28555" spans="1:11">
      <c r="A28555" s="33" t="s">
        <v>62586</v>
      </c>
      <c r="B28555" s="33" t="s">
        <v>62587</v>
      </c>
      <c r="C28555" s="33" t="s">
        <v>252</v>
      </c>
      <c r="D28555" s="33" t="s">
        <v>17</v>
      </c>
      <c r="E28555" s="33" t="s">
        <v>67</v>
      </c>
      <c r="F28555" s="33" t="s">
        <v>68</v>
      </c>
      <c r="G28555" s="33" t="s">
        <v>7780</v>
      </c>
      <c r="H28555" s="35">
        <v>72</v>
      </c>
      <c r="I28555" s="33" t="s">
        <v>51</v>
      </c>
      <c r="J28555" s="42">
        <v>46083</v>
      </c>
      <c r="K28555" s="33" t="s">
        <v>22</v>
      </c>
    </row>
    <row r="28556" spans="1:11">
      <c r="A28556" s="30" t="s">
        <v>62588</v>
      </c>
      <c r="B28556" s="30" t="s">
        <v>62589</v>
      </c>
      <c r="C28556" s="30" t="s">
        <v>62590</v>
      </c>
      <c r="D28556" s="30" t="s">
        <v>17</v>
      </c>
      <c r="E28556" s="30" t="s">
        <v>212</v>
      </c>
      <c r="F28556" s="30" t="s">
        <v>213</v>
      </c>
      <c r="G28556" s="30" t="s">
        <v>140</v>
      </c>
      <c r="H28556" s="32">
        <v>500</v>
      </c>
      <c r="I28556" s="30" t="s">
        <v>51</v>
      </c>
      <c r="J28556" s="41">
        <v>46065</v>
      </c>
      <c r="K28556" s="30" t="s">
        <v>22</v>
      </c>
    </row>
    <row r="28557" spans="1:11">
      <c r="A28557" s="33" t="s">
        <v>62591</v>
      </c>
      <c r="B28557" s="33" t="s">
        <v>62592</v>
      </c>
      <c r="C28557" s="33" t="s">
        <v>62593</v>
      </c>
      <c r="D28557" s="33" t="s">
        <v>17</v>
      </c>
      <c r="E28557" s="33" t="s">
        <v>26</v>
      </c>
      <c r="F28557" s="33" t="s">
        <v>27</v>
      </c>
      <c r="G28557" s="33" t="s">
        <v>140</v>
      </c>
      <c r="H28557" s="35">
        <v>90</v>
      </c>
      <c r="I28557" s="33" t="s">
        <v>51</v>
      </c>
      <c r="J28557" s="42">
        <v>46069</v>
      </c>
      <c r="K28557" s="33" t="s">
        <v>22</v>
      </c>
    </row>
    <row r="28558" spans="1:11">
      <c r="A28558" s="30" t="s">
        <v>62594</v>
      </c>
      <c r="B28558" s="30" t="s">
        <v>62595</v>
      </c>
      <c r="C28558" s="30" t="s">
        <v>22573</v>
      </c>
      <c r="D28558" s="30" t="s">
        <v>17</v>
      </c>
      <c r="E28558" s="30" t="s">
        <v>67</v>
      </c>
      <c r="F28558" s="30" t="s">
        <v>68</v>
      </c>
      <c r="G28558" s="30" t="s">
        <v>140</v>
      </c>
      <c r="H28558" s="32">
        <v>127</v>
      </c>
      <c r="I28558" s="30" t="s">
        <v>51</v>
      </c>
      <c r="J28558" s="41">
        <v>46042</v>
      </c>
      <c r="K28558" s="30" t="s">
        <v>22</v>
      </c>
    </row>
    <row r="28559" spans="1:11">
      <c r="A28559" s="33" t="s">
        <v>62596</v>
      </c>
      <c r="B28559" s="33" t="s">
        <v>62597</v>
      </c>
      <c r="C28559" s="33" t="s">
        <v>1598</v>
      </c>
      <c r="D28559" s="33" t="s">
        <v>17</v>
      </c>
      <c r="E28559" s="33" t="s">
        <v>31</v>
      </c>
      <c r="F28559" s="33" t="s">
        <v>32</v>
      </c>
      <c r="G28559" s="33" t="s">
        <v>7780</v>
      </c>
      <c r="H28559" s="35">
        <v>352</v>
      </c>
      <c r="I28559" s="33" t="s">
        <v>51</v>
      </c>
      <c r="J28559" s="42">
        <v>46059</v>
      </c>
      <c r="K28559" s="33" t="s">
        <v>22</v>
      </c>
    </row>
    <row r="28560" spans="1:11">
      <c r="A28560" s="30" t="s">
        <v>62598</v>
      </c>
      <c r="B28560" s="30" t="s">
        <v>62599</v>
      </c>
      <c r="C28560" s="30" t="s">
        <v>24324</v>
      </c>
      <c r="D28560" s="30" t="s">
        <v>17</v>
      </c>
      <c r="E28560" s="30" t="s">
        <v>31</v>
      </c>
      <c r="F28560" s="30" t="s">
        <v>32</v>
      </c>
      <c r="G28560" s="30" t="s">
        <v>140</v>
      </c>
      <c r="H28560" s="32">
        <v>162</v>
      </c>
      <c r="I28560" s="30" t="s">
        <v>51</v>
      </c>
      <c r="J28560" s="41">
        <v>46147</v>
      </c>
      <c r="K28560" s="30" t="s">
        <v>22</v>
      </c>
    </row>
    <row r="28561" spans="1:11">
      <c r="A28561" s="33" t="s">
        <v>62600</v>
      </c>
      <c r="B28561" s="33" t="s">
        <v>62601</v>
      </c>
      <c r="C28561" s="33" t="s">
        <v>62602</v>
      </c>
      <c r="D28561" s="33" t="s">
        <v>17</v>
      </c>
      <c r="E28561" s="33" t="s">
        <v>26</v>
      </c>
      <c r="F28561" s="33" t="s">
        <v>27</v>
      </c>
      <c r="G28561" s="33" t="s">
        <v>140</v>
      </c>
      <c r="H28561" s="35">
        <v>40</v>
      </c>
      <c r="I28561" s="33" t="s">
        <v>51</v>
      </c>
      <c r="J28561" s="42">
        <v>46023</v>
      </c>
      <c r="K28561" s="33" t="s">
        <v>22</v>
      </c>
    </row>
    <row r="28562" spans="1:11">
      <c r="A28562" s="30" t="s">
        <v>62603</v>
      </c>
      <c r="B28562" s="30" t="s">
        <v>62604</v>
      </c>
      <c r="C28562" s="30" t="s">
        <v>2609</v>
      </c>
      <c r="D28562" s="30" t="s">
        <v>17</v>
      </c>
      <c r="E28562" s="30" t="s">
        <v>18</v>
      </c>
      <c r="F28562" s="30" t="s">
        <v>19</v>
      </c>
      <c r="G28562" s="30" t="s">
        <v>140</v>
      </c>
      <c r="H28562" s="32">
        <v>272</v>
      </c>
      <c r="I28562" s="30" t="s">
        <v>51</v>
      </c>
      <c r="J28562" s="41">
        <v>46204</v>
      </c>
      <c r="K28562" s="30" t="s">
        <v>22</v>
      </c>
    </row>
    <row r="28563" spans="1:11">
      <c r="A28563" s="33" t="s">
        <v>62605</v>
      </c>
      <c r="B28563" s="33" t="s">
        <v>62606</v>
      </c>
      <c r="C28563" s="33" t="s">
        <v>15917</v>
      </c>
      <c r="D28563" s="33" t="s">
        <v>17</v>
      </c>
      <c r="E28563" s="33" t="s">
        <v>31</v>
      </c>
      <c r="F28563" s="33" t="s">
        <v>32</v>
      </c>
      <c r="G28563" s="33" t="s">
        <v>7780</v>
      </c>
      <c r="H28563" s="35">
        <v>60</v>
      </c>
      <c r="I28563" s="33" t="s">
        <v>51</v>
      </c>
      <c r="J28563" s="42">
        <v>46174</v>
      </c>
      <c r="K28563" s="33" t="s">
        <v>22</v>
      </c>
    </row>
    <row r="28564" spans="1:11">
      <c r="A28564" s="30" t="s">
        <v>62607</v>
      </c>
      <c r="B28564" s="30" t="s">
        <v>62608</v>
      </c>
      <c r="C28564" s="30" t="s">
        <v>2778</v>
      </c>
      <c r="D28564" s="30" t="s">
        <v>17</v>
      </c>
      <c r="E28564" s="30" t="s">
        <v>31</v>
      </c>
      <c r="F28564" s="30" t="s">
        <v>32</v>
      </c>
      <c r="G28564" s="30" t="s">
        <v>140</v>
      </c>
      <c r="H28564" s="32">
        <v>180</v>
      </c>
      <c r="I28564" s="30" t="s">
        <v>51</v>
      </c>
      <c r="J28564" s="41">
        <v>46189</v>
      </c>
      <c r="K28564" s="30" t="s">
        <v>22</v>
      </c>
    </row>
    <row r="28565" spans="1:11">
      <c r="A28565" s="33" t="s">
        <v>62609</v>
      </c>
      <c r="B28565" s="33" t="s">
        <v>62610</v>
      </c>
      <c r="C28565" s="33" t="s">
        <v>32824</v>
      </c>
      <c r="D28565" s="33" t="s">
        <v>17</v>
      </c>
      <c r="E28565" s="33" t="s">
        <v>31</v>
      </c>
      <c r="F28565" s="33" t="s">
        <v>32</v>
      </c>
      <c r="G28565" s="33" t="s">
        <v>7780</v>
      </c>
      <c r="H28565" s="35">
        <v>180</v>
      </c>
      <c r="I28565" s="33" t="s">
        <v>51</v>
      </c>
      <c r="J28565" s="42">
        <v>46143</v>
      </c>
      <c r="K28565" s="33" t="s">
        <v>22</v>
      </c>
    </row>
    <row r="28566" spans="1:11">
      <c r="A28566" s="30" t="s">
        <v>62611</v>
      </c>
      <c r="B28566" s="30" t="s">
        <v>62612</v>
      </c>
      <c r="C28566" s="30" t="s">
        <v>4796</v>
      </c>
      <c r="D28566" s="30" t="s">
        <v>17</v>
      </c>
      <c r="E28566" s="30" t="s">
        <v>26</v>
      </c>
      <c r="F28566" s="30" t="s">
        <v>27</v>
      </c>
      <c r="G28566" s="30" t="s">
        <v>7780</v>
      </c>
      <c r="H28566" s="32">
        <v>32</v>
      </c>
      <c r="I28566" s="30" t="s">
        <v>51</v>
      </c>
      <c r="J28566" s="41">
        <v>46052</v>
      </c>
      <c r="K28566" s="30" t="s">
        <v>22</v>
      </c>
    </row>
    <row r="28567" spans="1:11">
      <c r="A28567" s="33" t="s">
        <v>62613</v>
      </c>
      <c r="B28567" s="33" t="s">
        <v>62614</v>
      </c>
      <c r="C28567" s="33" t="s">
        <v>62615</v>
      </c>
      <c r="D28567" s="33" t="s">
        <v>17</v>
      </c>
      <c r="E28567" s="33" t="s">
        <v>31</v>
      </c>
      <c r="F28567" s="33" t="s">
        <v>32</v>
      </c>
      <c r="G28567" s="33" t="s">
        <v>7780</v>
      </c>
      <c r="H28567" s="35">
        <v>30</v>
      </c>
      <c r="I28567" s="33" t="s">
        <v>51</v>
      </c>
      <c r="J28567" s="42">
        <v>46023</v>
      </c>
      <c r="K28567" s="33" t="s">
        <v>22</v>
      </c>
    </row>
    <row r="28568" spans="1:11">
      <c r="A28568" s="30" t="s">
        <v>62616</v>
      </c>
      <c r="B28568" s="30" t="s">
        <v>62617</v>
      </c>
      <c r="C28568" s="30" t="s">
        <v>14394</v>
      </c>
      <c r="D28568" s="30" t="s">
        <v>17</v>
      </c>
      <c r="E28568" s="30" t="s">
        <v>26</v>
      </c>
      <c r="F28568" s="30" t="s">
        <v>27</v>
      </c>
      <c r="G28568" s="30" t="s">
        <v>140</v>
      </c>
      <c r="H28568" s="32">
        <v>60</v>
      </c>
      <c r="I28568" s="30" t="s">
        <v>51</v>
      </c>
      <c r="J28568" s="41">
        <v>46077</v>
      </c>
      <c r="K28568" s="30" t="s">
        <v>22</v>
      </c>
    </row>
    <row r="28569" spans="1:11">
      <c r="A28569" s="33" t="s">
        <v>62618</v>
      </c>
      <c r="B28569" s="33" t="s">
        <v>62619</v>
      </c>
      <c r="C28569" s="33" t="s">
        <v>30388</v>
      </c>
      <c r="D28569" s="33" t="s">
        <v>17</v>
      </c>
      <c r="E28569" s="33" t="s">
        <v>26</v>
      </c>
      <c r="F28569" s="33" t="s">
        <v>27</v>
      </c>
      <c r="G28569" s="33" t="s">
        <v>140</v>
      </c>
      <c r="H28569" s="35">
        <v>6</v>
      </c>
      <c r="I28569" s="33" t="s">
        <v>51</v>
      </c>
      <c r="J28569" s="42">
        <v>46034</v>
      </c>
      <c r="K28569" s="33" t="s">
        <v>22</v>
      </c>
    </row>
    <row r="28570" spans="1:11">
      <c r="A28570" s="30" t="s">
        <v>62620</v>
      </c>
      <c r="B28570" s="30" t="s">
        <v>62621</v>
      </c>
      <c r="C28570" s="30" t="s">
        <v>3296</v>
      </c>
      <c r="D28570" s="30" t="s">
        <v>17</v>
      </c>
      <c r="E28570" s="30" t="s">
        <v>26</v>
      </c>
      <c r="F28570" s="30" t="s">
        <v>27</v>
      </c>
      <c r="G28570" s="30" t="s">
        <v>20</v>
      </c>
      <c r="H28570" s="32">
        <v>12</v>
      </c>
      <c r="I28570" s="30" t="s">
        <v>21</v>
      </c>
      <c r="J28570" s="41">
        <v>46188</v>
      </c>
      <c r="K28570" s="30" t="s">
        <v>22</v>
      </c>
    </row>
    <row r="28571" spans="1:11">
      <c r="A28571" s="33" t="s">
        <v>62622</v>
      </c>
      <c r="B28571" s="33" t="s">
        <v>62623</v>
      </c>
      <c r="C28571" s="33" t="s">
        <v>3278</v>
      </c>
      <c r="D28571" s="33" t="s">
        <v>17</v>
      </c>
      <c r="E28571" s="33" t="s">
        <v>18</v>
      </c>
      <c r="F28571" s="33" t="s">
        <v>19</v>
      </c>
      <c r="G28571" s="33" t="s">
        <v>140</v>
      </c>
      <c r="H28571" s="35">
        <v>477</v>
      </c>
      <c r="I28571" s="33" t="s">
        <v>51</v>
      </c>
      <c r="J28571" s="42">
        <v>46034</v>
      </c>
      <c r="K28571" s="33" t="s">
        <v>22</v>
      </c>
    </row>
    <row r="28572" spans="1:11">
      <c r="A28572" s="30" t="s">
        <v>62624</v>
      </c>
      <c r="B28572" s="30" t="s">
        <v>62625</v>
      </c>
      <c r="C28572" s="30" t="s">
        <v>62626</v>
      </c>
      <c r="D28572" s="30" t="s">
        <v>17</v>
      </c>
      <c r="E28572" s="30" t="s">
        <v>26</v>
      </c>
      <c r="F28572" s="30" t="s">
        <v>27</v>
      </c>
      <c r="G28572" s="30" t="s">
        <v>140</v>
      </c>
      <c r="H28572" s="32">
        <v>128</v>
      </c>
      <c r="I28572" s="30" t="s">
        <v>51</v>
      </c>
      <c r="J28572" s="41">
        <v>46044</v>
      </c>
      <c r="K28572" s="30" t="s">
        <v>22</v>
      </c>
    </row>
    <row r="28573" spans="1:11">
      <c r="A28573" s="33" t="s">
        <v>62627</v>
      </c>
      <c r="B28573" s="33" t="s">
        <v>62628</v>
      </c>
      <c r="C28573" s="33" t="s">
        <v>22010</v>
      </c>
      <c r="D28573" s="33" t="s">
        <v>17</v>
      </c>
      <c r="E28573" s="33" t="s">
        <v>67</v>
      </c>
      <c r="F28573" s="33" t="s">
        <v>68</v>
      </c>
      <c r="G28573" s="33" t="s">
        <v>7780</v>
      </c>
      <c r="H28573" s="35">
        <v>72</v>
      </c>
      <c r="I28573" s="33" t="s">
        <v>51</v>
      </c>
      <c r="J28573" s="42">
        <v>46099</v>
      </c>
      <c r="K28573" s="33" t="s">
        <v>22</v>
      </c>
    </row>
    <row r="28574" spans="1:11">
      <c r="A28574" s="30" t="s">
        <v>62629</v>
      </c>
      <c r="B28574" s="30" t="s">
        <v>62630</v>
      </c>
      <c r="C28574" s="30" t="s">
        <v>39582</v>
      </c>
      <c r="D28574" s="30" t="s">
        <v>17</v>
      </c>
      <c r="E28574" s="30" t="s">
        <v>26</v>
      </c>
      <c r="F28574" s="30" t="s">
        <v>27</v>
      </c>
      <c r="G28574" s="30" t="s">
        <v>7780</v>
      </c>
      <c r="H28574" s="32">
        <v>45</v>
      </c>
      <c r="I28574" s="30" t="s">
        <v>51</v>
      </c>
      <c r="J28574" s="41">
        <v>46034</v>
      </c>
      <c r="K28574" s="30" t="s">
        <v>22</v>
      </c>
    </row>
    <row r="28575" spans="1:11">
      <c r="A28575" s="33" t="s">
        <v>62631</v>
      </c>
      <c r="B28575" s="33" t="s">
        <v>62632</v>
      </c>
      <c r="C28575" s="33" t="s">
        <v>310</v>
      </c>
      <c r="D28575" s="33" t="s">
        <v>17</v>
      </c>
      <c r="E28575" s="33" t="s">
        <v>26</v>
      </c>
      <c r="F28575" s="33" t="s">
        <v>27</v>
      </c>
      <c r="G28575" s="33" t="s">
        <v>7780</v>
      </c>
      <c r="H28575" s="35">
        <v>35</v>
      </c>
      <c r="I28575" s="33" t="s">
        <v>51</v>
      </c>
      <c r="J28575" s="42">
        <v>46155</v>
      </c>
      <c r="K28575" s="33" t="s">
        <v>22</v>
      </c>
    </row>
    <row r="28576" spans="1:11">
      <c r="A28576" s="30" t="s">
        <v>62633</v>
      </c>
      <c r="B28576" s="30" t="s">
        <v>62634</v>
      </c>
      <c r="C28576" s="30" t="s">
        <v>62635</v>
      </c>
      <c r="D28576" s="30" t="s">
        <v>17</v>
      </c>
      <c r="E28576" s="30" t="s">
        <v>67</v>
      </c>
      <c r="F28576" s="30" t="s">
        <v>68</v>
      </c>
      <c r="G28576" s="30" t="s">
        <v>140</v>
      </c>
      <c r="H28576" s="32">
        <v>132</v>
      </c>
      <c r="I28576" s="30" t="s">
        <v>51</v>
      </c>
      <c r="J28576" s="41">
        <v>46174</v>
      </c>
      <c r="K28576" s="30" t="s">
        <v>22</v>
      </c>
    </row>
    <row r="28577" spans="1:11">
      <c r="A28577" s="33" t="s">
        <v>62636</v>
      </c>
      <c r="B28577" s="33" t="s">
        <v>62637</v>
      </c>
      <c r="C28577" s="33" t="s">
        <v>21332</v>
      </c>
      <c r="D28577" s="33" t="s">
        <v>17</v>
      </c>
      <c r="E28577" s="33" t="s">
        <v>67</v>
      </c>
      <c r="F28577" s="33" t="s">
        <v>68</v>
      </c>
      <c r="G28577" s="33" t="s">
        <v>140</v>
      </c>
      <c r="H28577" s="35">
        <v>32</v>
      </c>
      <c r="I28577" s="33" t="s">
        <v>51</v>
      </c>
      <c r="J28577" s="42">
        <v>46134</v>
      </c>
      <c r="K28577" s="33" t="s">
        <v>22</v>
      </c>
    </row>
    <row r="28578" spans="1:11">
      <c r="A28578" s="30" t="s">
        <v>62638</v>
      </c>
      <c r="B28578" s="30" t="s">
        <v>62639</v>
      </c>
      <c r="C28578" s="30" t="s">
        <v>2472</v>
      </c>
      <c r="D28578" s="30" t="s">
        <v>17</v>
      </c>
      <c r="E28578" s="30" t="s">
        <v>31</v>
      </c>
      <c r="F28578" s="30" t="s">
        <v>32</v>
      </c>
      <c r="G28578" s="30" t="s">
        <v>158</v>
      </c>
      <c r="H28578" s="32">
        <v>366</v>
      </c>
      <c r="I28578" s="30" t="s">
        <v>21</v>
      </c>
      <c r="J28578" s="41">
        <v>46141</v>
      </c>
      <c r="K28578" s="30" t="s">
        <v>22</v>
      </c>
    </row>
    <row r="28579" spans="1:11">
      <c r="A28579" s="33" t="s">
        <v>62640</v>
      </c>
      <c r="B28579" s="33" t="s">
        <v>62641</v>
      </c>
      <c r="C28579" s="33" t="s">
        <v>62642</v>
      </c>
      <c r="D28579" s="33" t="s">
        <v>17</v>
      </c>
      <c r="E28579" s="33" t="s">
        <v>31</v>
      </c>
      <c r="F28579" s="33" t="s">
        <v>32</v>
      </c>
      <c r="G28579" s="33" t="s">
        <v>7780</v>
      </c>
      <c r="H28579" s="35">
        <v>180</v>
      </c>
      <c r="I28579" s="33" t="s">
        <v>51</v>
      </c>
      <c r="J28579" s="42">
        <v>46082</v>
      </c>
      <c r="K28579" s="33" t="s">
        <v>22</v>
      </c>
    </row>
    <row r="28580" spans="1:11">
      <c r="A28580" s="30" t="s">
        <v>62643</v>
      </c>
      <c r="B28580" s="30" t="s">
        <v>62644</v>
      </c>
      <c r="C28580" s="30" t="s">
        <v>517</v>
      </c>
      <c r="D28580" s="30" t="s">
        <v>17</v>
      </c>
      <c r="E28580" s="30" t="s">
        <v>26</v>
      </c>
      <c r="F28580" s="30" t="s">
        <v>27</v>
      </c>
      <c r="G28580" s="30" t="s">
        <v>7780</v>
      </c>
      <c r="H28580" s="32">
        <v>24</v>
      </c>
      <c r="I28580" s="30" t="s">
        <v>51</v>
      </c>
      <c r="J28580" s="41">
        <v>46143</v>
      </c>
      <c r="K28580" s="30" t="s">
        <v>22</v>
      </c>
    </row>
    <row r="28581" spans="1:11">
      <c r="A28581" s="33" t="s">
        <v>62645</v>
      </c>
      <c r="B28581" s="33" t="s">
        <v>62646</v>
      </c>
      <c r="C28581" s="33" t="s">
        <v>517</v>
      </c>
      <c r="D28581" s="33" t="s">
        <v>17</v>
      </c>
      <c r="E28581" s="33" t="s">
        <v>31</v>
      </c>
      <c r="F28581" s="33" t="s">
        <v>32</v>
      </c>
      <c r="G28581" s="33" t="s">
        <v>7780</v>
      </c>
      <c r="H28581" s="35">
        <v>200</v>
      </c>
      <c r="I28581" s="33" t="s">
        <v>51</v>
      </c>
      <c r="J28581" s="42">
        <v>46174</v>
      </c>
      <c r="K28581" s="33" t="s">
        <v>22</v>
      </c>
    </row>
    <row r="28582" spans="1:11">
      <c r="A28582" s="30" t="s">
        <v>62647</v>
      </c>
      <c r="B28582" s="30" t="s">
        <v>62648</v>
      </c>
      <c r="C28582" s="30" t="s">
        <v>27241</v>
      </c>
      <c r="D28582" s="30" t="s">
        <v>17</v>
      </c>
      <c r="E28582" s="30" t="s">
        <v>45</v>
      </c>
      <c r="F28582" s="30" t="s">
        <v>46</v>
      </c>
      <c r="G28582" s="30" t="s">
        <v>140</v>
      </c>
      <c r="H28582" s="32">
        <v>126</v>
      </c>
      <c r="I28582" s="30" t="s">
        <v>51</v>
      </c>
      <c r="J28582" s="41">
        <v>46142</v>
      </c>
      <c r="K28582" s="30" t="s">
        <v>22</v>
      </c>
    </row>
    <row r="28583" spans="1:11">
      <c r="A28583" s="33" t="s">
        <v>62649</v>
      </c>
      <c r="B28583" s="33" t="s">
        <v>62650</v>
      </c>
      <c r="C28583" s="33" t="s">
        <v>517</v>
      </c>
      <c r="D28583" s="33" t="s">
        <v>17</v>
      </c>
      <c r="E28583" s="33" t="s">
        <v>26</v>
      </c>
      <c r="F28583" s="33" t="s">
        <v>27</v>
      </c>
      <c r="G28583" s="33" t="s">
        <v>7780</v>
      </c>
      <c r="H28583" s="35">
        <v>50</v>
      </c>
      <c r="I28583" s="33" t="s">
        <v>51</v>
      </c>
      <c r="J28583" s="42">
        <v>46113</v>
      </c>
      <c r="K28583" s="33" t="s">
        <v>22</v>
      </c>
    </row>
    <row r="28584" spans="1:11">
      <c r="A28584" s="30" t="s">
        <v>62651</v>
      </c>
      <c r="B28584" s="30" t="s">
        <v>62652</v>
      </c>
      <c r="C28584" s="30" t="s">
        <v>99</v>
      </c>
      <c r="D28584" s="30" t="s">
        <v>17</v>
      </c>
      <c r="E28584" s="30" t="s">
        <v>31</v>
      </c>
      <c r="F28584" s="30" t="s">
        <v>32</v>
      </c>
      <c r="G28584" s="30" t="s">
        <v>7780</v>
      </c>
      <c r="H28584" s="32">
        <v>120</v>
      </c>
      <c r="I28584" s="30" t="s">
        <v>51</v>
      </c>
      <c r="J28584" s="41">
        <v>46230</v>
      </c>
      <c r="K28584" s="30" t="s">
        <v>22</v>
      </c>
    </row>
    <row r="28585" spans="1:11">
      <c r="A28585" s="33" t="s">
        <v>62653</v>
      </c>
      <c r="B28585" s="33" t="s">
        <v>62654</v>
      </c>
      <c r="C28585" s="33" t="s">
        <v>4783</v>
      </c>
      <c r="D28585" s="33" t="s">
        <v>17</v>
      </c>
      <c r="E28585" s="33" t="s">
        <v>67</v>
      </c>
      <c r="F28585" s="33" t="s">
        <v>68</v>
      </c>
      <c r="G28585" s="33" t="s">
        <v>140</v>
      </c>
      <c r="H28585" s="35">
        <v>40</v>
      </c>
      <c r="I28585" s="33" t="s">
        <v>51</v>
      </c>
      <c r="J28585" s="42">
        <v>46030</v>
      </c>
      <c r="K28585" s="33" t="s">
        <v>22</v>
      </c>
    </row>
    <row r="28586" spans="1:11">
      <c r="A28586" s="30" t="s">
        <v>62655</v>
      </c>
      <c r="B28586" s="30" t="s">
        <v>62656</v>
      </c>
      <c r="C28586" s="30" t="s">
        <v>62657</v>
      </c>
      <c r="D28586" s="30" t="s">
        <v>17</v>
      </c>
      <c r="E28586" s="30" t="s">
        <v>212</v>
      </c>
      <c r="F28586" s="30" t="s">
        <v>213</v>
      </c>
      <c r="G28586" s="30" t="s">
        <v>7780</v>
      </c>
      <c r="H28586" s="32">
        <v>422</v>
      </c>
      <c r="I28586" s="30" t="s">
        <v>51</v>
      </c>
      <c r="J28586" s="41">
        <v>46023</v>
      </c>
      <c r="K28586" s="30" t="s">
        <v>22</v>
      </c>
    </row>
    <row r="28587" spans="1:11">
      <c r="A28587" s="33" t="s">
        <v>62658</v>
      </c>
      <c r="B28587" s="33" t="s">
        <v>62659</v>
      </c>
      <c r="C28587" s="33" t="s">
        <v>47722</v>
      </c>
      <c r="D28587" s="33" t="s">
        <v>17</v>
      </c>
      <c r="E28587" s="33" t="s">
        <v>18</v>
      </c>
      <c r="F28587" s="33" t="s">
        <v>19</v>
      </c>
      <c r="G28587" s="33" t="s">
        <v>7780</v>
      </c>
      <c r="H28587" s="35">
        <v>956</v>
      </c>
      <c r="I28587" s="33" t="s">
        <v>51</v>
      </c>
      <c r="J28587" s="42">
        <v>46233</v>
      </c>
      <c r="K28587" s="33" t="s">
        <v>22</v>
      </c>
    </row>
    <row r="28588" spans="1:11">
      <c r="A28588" s="30" t="s">
        <v>62660</v>
      </c>
      <c r="B28588" s="30" t="s">
        <v>62661</v>
      </c>
      <c r="C28588" s="30" t="s">
        <v>1151</v>
      </c>
      <c r="D28588" s="30" t="s">
        <v>17</v>
      </c>
      <c r="E28588" s="30" t="s">
        <v>31</v>
      </c>
      <c r="F28588" s="30" t="s">
        <v>32</v>
      </c>
      <c r="G28588" s="30" t="s">
        <v>140</v>
      </c>
      <c r="H28588" s="32">
        <v>36</v>
      </c>
      <c r="I28588" s="30" t="s">
        <v>51</v>
      </c>
      <c r="J28588" s="41">
        <v>46111</v>
      </c>
      <c r="K28588" s="30" t="s">
        <v>22</v>
      </c>
    </row>
    <row r="28589" spans="1:11">
      <c r="A28589" s="33" t="s">
        <v>62662</v>
      </c>
      <c r="B28589" s="33" t="s">
        <v>62663</v>
      </c>
      <c r="C28589" s="33" t="s">
        <v>62664</v>
      </c>
      <c r="D28589" s="33" t="s">
        <v>17</v>
      </c>
      <c r="E28589" s="33" t="s">
        <v>31</v>
      </c>
      <c r="F28589" s="33" t="s">
        <v>32</v>
      </c>
      <c r="G28589" s="33" t="s">
        <v>7780</v>
      </c>
      <c r="H28589" s="35">
        <v>120</v>
      </c>
      <c r="I28589" s="33" t="s">
        <v>51</v>
      </c>
      <c r="J28589" s="42">
        <v>46058</v>
      </c>
      <c r="K28589" s="33" t="s">
        <v>22</v>
      </c>
    </row>
    <row r="28590" spans="1:11">
      <c r="A28590" s="30" t="s">
        <v>62665</v>
      </c>
      <c r="B28590" s="30" t="s">
        <v>62666</v>
      </c>
      <c r="C28590" s="30" t="s">
        <v>62667</v>
      </c>
      <c r="D28590" s="30" t="s">
        <v>17</v>
      </c>
      <c r="E28590" s="30" t="s">
        <v>26</v>
      </c>
      <c r="F28590" s="30" t="s">
        <v>27</v>
      </c>
      <c r="G28590" s="30" t="s">
        <v>140</v>
      </c>
      <c r="H28590" s="32">
        <v>24</v>
      </c>
      <c r="I28590" s="30" t="s">
        <v>51</v>
      </c>
      <c r="J28590" s="41">
        <v>46087</v>
      </c>
      <c r="K28590" s="30" t="s">
        <v>22</v>
      </c>
    </row>
    <row r="28591" spans="1:11">
      <c r="A28591" s="33" t="s">
        <v>62668</v>
      </c>
      <c r="B28591" s="33" t="s">
        <v>62669</v>
      </c>
      <c r="C28591" s="33" t="s">
        <v>127</v>
      </c>
      <c r="D28591" s="33" t="s">
        <v>17</v>
      </c>
      <c r="E28591" s="33" t="s">
        <v>31</v>
      </c>
      <c r="F28591" s="33" t="s">
        <v>32</v>
      </c>
      <c r="G28591" s="33" t="s">
        <v>140</v>
      </c>
      <c r="H28591" s="35">
        <v>256</v>
      </c>
      <c r="I28591" s="33" t="s">
        <v>51</v>
      </c>
      <c r="J28591" s="42">
        <v>46112</v>
      </c>
      <c r="K28591" s="33" t="s">
        <v>22</v>
      </c>
    </row>
    <row r="28592" spans="1:11">
      <c r="A28592" s="30" t="s">
        <v>62670</v>
      </c>
      <c r="B28592" s="30" t="s">
        <v>62671</v>
      </c>
      <c r="C28592" s="30" t="s">
        <v>62672</v>
      </c>
      <c r="D28592" s="30" t="s">
        <v>17</v>
      </c>
      <c r="E28592" s="30" t="s">
        <v>18</v>
      </c>
      <c r="F28592" s="30" t="s">
        <v>19</v>
      </c>
      <c r="G28592" s="30" t="s">
        <v>7780</v>
      </c>
      <c r="H28592" s="32">
        <v>128</v>
      </c>
      <c r="I28592" s="30" t="s">
        <v>51</v>
      </c>
      <c r="J28592" s="41">
        <v>46204</v>
      </c>
      <c r="K28592" s="30" t="s">
        <v>22</v>
      </c>
    </row>
    <row r="28593" spans="1:11">
      <c r="A28593" s="33" t="s">
        <v>62673</v>
      </c>
      <c r="B28593" s="33" t="s">
        <v>62674</v>
      </c>
      <c r="C28593" s="33" t="s">
        <v>14926</v>
      </c>
      <c r="D28593" s="33" t="s">
        <v>17</v>
      </c>
      <c r="E28593" s="33" t="s">
        <v>67</v>
      </c>
      <c r="F28593" s="33" t="s">
        <v>68</v>
      </c>
      <c r="G28593" s="33" t="s">
        <v>140</v>
      </c>
      <c r="H28593" s="35">
        <v>58</v>
      </c>
      <c r="I28593" s="33" t="s">
        <v>51</v>
      </c>
      <c r="J28593" s="42">
        <v>46182</v>
      </c>
      <c r="K28593" s="33" t="s">
        <v>22</v>
      </c>
    </row>
    <row r="28594" spans="1:11">
      <c r="A28594" s="30" t="s">
        <v>62675</v>
      </c>
      <c r="B28594" s="30" t="s">
        <v>62676</v>
      </c>
      <c r="C28594" s="30" t="s">
        <v>7255</v>
      </c>
      <c r="D28594" s="30" t="s">
        <v>17</v>
      </c>
      <c r="E28594" s="30" t="s">
        <v>26</v>
      </c>
      <c r="F28594" s="30" t="s">
        <v>27</v>
      </c>
      <c r="G28594" s="30" t="s">
        <v>7780</v>
      </c>
      <c r="H28594" s="32">
        <v>38</v>
      </c>
      <c r="I28594" s="30" t="s">
        <v>51</v>
      </c>
      <c r="J28594" s="41">
        <v>46219</v>
      </c>
      <c r="K28594" s="30" t="s">
        <v>22</v>
      </c>
    </row>
    <row r="28595" spans="1:11">
      <c r="A28595" s="33" t="s">
        <v>62677</v>
      </c>
      <c r="B28595" s="33" t="s">
        <v>62678</v>
      </c>
      <c r="C28595" s="33" t="s">
        <v>124</v>
      </c>
      <c r="D28595" s="33" t="s">
        <v>17</v>
      </c>
      <c r="E28595" s="33" t="s">
        <v>26</v>
      </c>
      <c r="F28595" s="33" t="s">
        <v>27</v>
      </c>
      <c r="G28595" s="33" t="s">
        <v>7780</v>
      </c>
      <c r="H28595" s="35">
        <v>258</v>
      </c>
      <c r="I28595" s="33" t="s">
        <v>51</v>
      </c>
      <c r="J28595" s="42">
        <v>46204</v>
      </c>
      <c r="K28595" s="33" t="s">
        <v>22</v>
      </c>
    </row>
    <row r="28596" spans="1:11">
      <c r="A28596" s="30" t="s">
        <v>62679</v>
      </c>
      <c r="B28596" s="30" t="s">
        <v>62680</v>
      </c>
      <c r="C28596" s="30" t="s">
        <v>190</v>
      </c>
      <c r="D28596" s="30" t="s">
        <v>17</v>
      </c>
      <c r="E28596" s="30" t="s">
        <v>26</v>
      </c>
      <c r="F28596" s="30" t="s">
        <v>27</v>
      </c>
      <c r="G28596" s="30" t="s">
        <v>20</v>
      </c>
      <c r="H28596" s="32">
        <v>40</v>
      </c>
      <c r="I28596" s="30" t="s">
        <v>21</v>
      </c>
      <c r="J28596" s="41">
        <v>46077</v>
      </c>
      <c r="K28596" s="30" t="s">
        <v>22</v>
      </c>
    </row>
    <row r="28597" spans="1:11">
      <c r="A28597" s="33" t="s">
        <v>62681</v>
      </c>
      <c r="B28597" s="33" t="s">
        <v>62682</v>
      </c>
      <c r="C28597" s="33" t="s">
        <v>109</v>
      </c>
      <c r="D28597" s="33" t="s">
        <v>17</v>
      </c>
      <c r="E28597" s="33" t="s">
        <v>26</v>
      </c>
      <c r="F28597" s="33" t="s">
        <v>27</v>
      </c>
      <c r="G28597" s="33" t="s">
        <v>140</v>
      </c>
      <c r="H28597" s="35">
        <v>120</v>
      </c>
      <c r="I28597" s="33" t="s">
        <v>51</v>
      </c>
      <c r="J28597" s="42">
        <v>46182</v>
      </c>
      <c r="K28597" s="33" t="s">
        <v>22</v>
      </c>
    </row>
    <row r="28598" spans="1:11">
      <c r="A28598" s="30" t="s">
        <v>62683</v>
      </c>
      <c r="B28598" s="30" t="s">
        <v>62684</v>
      </c>
      <c r="C28598" s="30" t="s">
        <v>3655</v>
      </c>
      <c r="D28598" s="30" t="s">
        <v>17</v>
      </c>
      <c r="E28598" s="30" t="s">
        <v>31</v>
      </c>
      <c r="F28598" s="30" t="s">
        <v>32</v>
      </c>
      <c r="G28598" s="30" t="s">
        <v>140</v>
      </c>
      <c r="H28598" s="32">
        <v>75</v>
      </c>
      <c r="I28598" s="30" t="s">
        <v>51</v>
      </c>
      <c r="J28598" s="41">
        <v>46037</v>
      </c>
      <c r="K28598" s="30" t="s">
        <v>22</v>
      </c>
    </row>
    <row r="28599" spans="1:11">
      <c r="A28599" s="33" t="s">
        <v>62685</v>
      </c>
      <c r="B28599" s="33" t="s">
        <v>62686</v>
      </c>
      <c r="C28599" s="33" t="s">
        <v>136</v>
      </c>
      <c r="D28599" s="33" t="s">
        <v>17</v>
      </c>
      <c r="E28599" s="33" t="s">
        <v>26</v>
      </c>
      <c r="F28599" s="33" t="s">
        <v>27</v>
      </c>
      <c r="G28599" s="33" t="s">
        <v>140</v>
      </c>
      <c r="H28599" s="35">
        <v>30</v>
      </c>
      <c r="I28599" s="33" t="s">
        <v>51</v>
      </c>
      <c r="J28599" s="42">
        <v>46163</v>
      </c>
      <c r="K28599" s="33" t="s">
        <v>22</v>
      </c>
    </row>
    <row r="28600" spans="1:11">
      <c r="A28600" s="30" t="s">
        <v>62687</v>
      </c>
      <c r="B28600" s="30" t="s">
        <v>62688</v>
      </c>
      <c r="C28600" s="30" t="s">
        <v>2334</v>
      </c>
      <c r="D28600" s="30" t="s">
        <v>17</v>
      </c>
      <c r="E28600" s="30" t="s">
        <v>31</v>
      </c>
      <c r="F28600" s="30" t="s">
        <v>32</v>
      </c>
      <c r="G28600" s="30" t="s">
        <v>2613</v>
      </c>
      <c r="H28600" s="32">
        <v>135</v>
      </c>
      <c r="I28600" s="30" t="s">
        <v>51</v>
      </c>
      <c r="J28600" s="41">
        <v>46135</v>
      </c>
      <c r="K28600" s="30" t="s">
        <v>22</v>
      </c>
    </row>
    <row r="28601" spans="1:11">
      <c r="A28601" s="33" t="s">
        <v>62689</v>
      </c>
      <c r="B28601" s="33" t="s">
        <v>62690</v>
      </c>
      <c r="C28601" s="33" t="s">
        <v>10752</v>
      </c>
      <c r="D28601" s="33" t="s">
        <v>17</v>
      </c>
      <c r="E28601" s="33" t="s">
        <v>31</v>
      </c>
      <c r="F28601" s="33" t="s">
        <v>32</v>
      </c>
      <c r="G28601" s="33" t="s">
        <v>140</v>
      </c>
      <c r="H28601" s="35">
        <v>320</v>
      </c>
      <c r="I28601" s="33" t="s">
        <v>51</v>
      </c>
      <c r="J28601" s="42">
        <v>46041</v>
      </c>
      <c r="K28601" s="33" t="s">
        <v>22</v>
      </c>
    </row>
    <row r="28602" spans="1:11">
      <c r="A28602" s="30" t="s">
        <v>62691</v>
      </c>
      <c r="B28602" s="30" t="s">
        <v>62692</v>
      </c>
      <c r="C28602" s="30" t="s">
        <v>847</v>
      </c>
      <c r="D28602" s="30" t="s">
        <v>17</v>
      </c>
      <c r="E28602" s="30" t="s">
        <v>26</v>
      </c>
      <c r="F28602" s="30" t="s">
        <v>27</v>
      </c>
      <c r="G28602" s="30" t="s">
        <v>7780</v>
      </c>
      <c r="H28602" s="32">
        <v>12</v>
      </c>
      <c r="I28602" s="30" t="s">
        <v>51</v>
      </c>
      <c r="J28602" s="41">
        <v>46183</v>
      </c>
      <c r="K28602" s="30" t="s">
        <v>22</v>
      </c>
    </row>
    <row r="28603" spans="1:11">
      <c r="A28603" s="33" t="s">
        <v>62693</v>
      </c>
      <c r="B28603" s="33" t="s">
        <v>62694</v>
      </c>
      <c r="C28603" s="33" t="s">
        <v>7035</v>
      </c>
      <c r="D28603" s="33" t="s">
        <v>17</v>
      </c>
      <c r="E28603" s="33" t="s">
        <v>18</v>
      </c>
      <c r="F28603" s="33" t="s">
        <v>19</v>
      </c>
      <c r="G28603" s="33" t="s">
        <v>7780</v>
      </c>
      <c r="H28603" s="35">
        <v>344</v>
      </c>
      <c r="I28603" s="33" t="s">
        <v>51</v>
      </c>
      <c r="J28603" s="42">
        <v>46178</v>
      </c>
      <c r="K28603" s="33" t="s">
        <v>22</v>
      </c>
    </row>
    <row r="28604" spans="1:11">
      <c r="A28604" s="30" t="s">
        <v>62695</v>
      </c>
      <c r="B28604" s="30" t="s">
        <v>62696</v>
      </c>
      <c r="C28604" s="30" t="s">
        <v>23446</v>
      </c>
      <c r="D28604" s="30" t="s">
        <v>17</v>
      </c>
      <c r="E28604" s="30" t="s">
        <v>67</v>
      </c>
      <c r="F28604" s="30" t="s">
        <v>68</v>
      </c>
      <c r="G28604" s="30" t="s">
        <v>140</v>
      </c>
      <c r="H28604" s="32">
        <v>150</v>
      </c>
      <c r="I28604" s="30" t="s">
        <v>51</v>
      </c>
      <c r="J28604" s="41">
        <v>46084</v>
      </c>
      <c r="K28604" s="30" t="s">
        <v>22</v>
      </c>
    </row>
    <row r="28605" spans="1:11">
      <c r="A28605" s="33" t="s">
        <v>62697</v>
      </c>
      <c r="B28605" s="33" t="s">
        <v>62698</v>
      </c>
      <c r="C28605" s="33" t="s">
        <v>62699</v>
      </c>
      <c r="D28605" s="33" t="s">
        <v>17</v>
      </c>
      <c r="E28605" s="33" t="s">
        <v>26</v>
      </c>
      <c r="F28605" s="33" t="s">
        <v>27</v>
      </c>
      <c r="G28605" s="33" t="s">
        <v>2613</v>
      </c>
      <c r="H28605" s="35">
        <v>50</v>
      </c>
      <c r="I28605" s="33" t="s">
        <v>51</v>
      </c>
      <c r="J28605" s="42">
        <v>46188</v>
      </c>
      <c r="K28605" s="33" t="s">
        <v>22</v>
      </c>
    </row>
    <row r="28606" spans="1:11">
      <c r="A28606" s="30" t="s">
        <v>62700</v>
      </c>
      <c r="B28606" s="30" t="s">
        <v>62701</v>
      </c>
      <c r="C28606" s="30" t="s">
        <v>985</v>
      </c>
      <c r="D28606" s="30" t="s">
        <v>17</v>
      </c>
      <c r="E28606" s="30" t="s">
        <v>26</v>
      </c>
      <c r="F28606" s="30" t="s">
        <v>27</v>
      </c>
      <c r="G28606" s="30" t="s">
        <v>140</v>
      </c>
      <c r="H28606" s="32">
        <v>62</v>
      </c>
      <c r="I28606" s="30" t="s">
        <v>51</v>
      </c>
      <c r="J28606" s="41">
        <v>46216</v>
      </c>
      <c r="K28606" s="30" t="s">
        <v>22</v>
      </c>
    </row>
    <row r="28607" spans="1:11">
      <c r="A28607" s="33" t="s">
        <v>62702</v>
      </c>
      <c r="B28607" s="33" t="s">
        <v>62703</v>
      </c>
      <c r="C28607" s="33" t="s">
        <v>399</v>
      </c>
      <c r="D28607" s="33" t="s">
        <v>17</v>
      </c>
      <c r="E28607" s="33" t="s">
        <v>26</v>
      </c>
      <c r="F28607" s="33" t="s">
        <v>27</v>
      </c>
      <c r="G28607" s="33" t="s">
        <v>7780</v>
      </c>
      <c r="H28607" s="35">
        <v>32</v>
      </c>
      <c r="I28607" s="33" t="s">
        <v>51</v>
      </c>
      <c r="J28607" s="42">
        <v>46220</v>
      </c>
      <c r="K28607" s="33" t="s">
        <v>22</v>
      </c>
    </row>
    <row r="28608" spans="1:11">
      <c r="A28608" s="30" t="s">
        <v>62704</v>
      </c>
      <c r="B28608" s="30" t="s">
        <v>62705</v>
      </c>
      <c r="C28608" s="30" t="s">
        <v>48963</v>
      </c>
      <c r="D28608" s="30" t="s">
        <v>17</v>
      </c>
      <c r="E28608" s="30" t="s">
        <v>31</v>
      </c>
      <c r="F28608" s="30" t="s">
        <v>32</v>
      </c>
      <c r="G28608" s="30" t="s">
        <v>140</v>
      </c>
      <c r="H28608" s="32">
        <v>12</v>
      </c>
      <c r="I28608" s="30" t="s">
        <v>51</v>
      </c>
      <c r="J28608" s="41">
        <v>46037</v>
      </c>
      <c r="K28608" s="30" t="s">
        <v>22</v>
      </c>
    </row>
    <row r="28609" spans="1:11">
      <c r="A28609" s="33" t="s">
        <v>62706</v>
      </c>
      <c r="B28609" s="33" t="s">
        <v>62707</v>
      </c>
      <c r="C28609" s="33" t="s">
        <v>379</v>
      </c>
      <c r="D28609" s="33" t="s">
        <v>17</v>
      </c>
      <c r="E28609" s="33" t="s">
        <v>26</v>
      </c>
      <c r="F28609" s="33" t="s">
        <v>27</v>
      </c>
      <c r="G28609" s="33" t="s">
        <v>7780</v>
      </c>
      <c r="H28609" s="35">
        <v>258</v>
      </c>
      <c r="I28609" s="33" t="s">
        <v>51</v>
      </c>
      <c r="J28609" s="42">
        <v>46206</v>
      </c>
      <c r="K28609" s="33" t="s">
        <v>22</v>
      </c>
    </row>
    <row r="28610" spans="1:11">
      <c r="A28610" s="30" t="s">
        <v>62708</v>
      </c>
      <c r="B28610" s="30" t="s">
        <v>62709</v>
      </c>
      <c r="C28610" s="30" t="s">
        <v>8231</v>
      </c>
      <c r="D28610" s="30" t="s">
        <v>17</v>
      </c>
      <c r="E28610" s="30" t="s">
        <v>67</v>
      </c>
      <c r="F28610" s="30" t="s">
        <v>68</v>
      </c>
      <c r="G28610" s="30" t="s">
        <v>140</v>
      </c>
      <c r="H28610" s="32">
        <v>294</v>
      </c>
      <c r="I28610" s="30" t="s">
        <v>51</v>
      </c>
      <c r="J28610" s="41">
        <v>46213</v>
      </c>
      <c r="K28610" s="30" t="s">
        <v>22</v>
      </c>
    </row>
    <row r="28611" spans="1:11">
      <c r="A28611" s="33" t="s">
        <v>62710</v>
      </c>
      <c r="B28611" s="33" t="s">
        <v>62711</v>
      </c>
      <c r="C28611" s="33" t="s">
        <v>93</v>
      </c>
      <c r="D28611" s="33" t="s">
        <v>17</v>
      </c>
      <c r="E28611" s="33" t="s">
        <v>45</v>
      </c>
      <c r="F28611" s="33" t="s">
        <v>46</v>
      </c>
      <c r="G28611" s="33" t="s">
        <v>140</v>
      </c>
      <c r="H28611" s="35">
        <v>660</v>
      </c>
      <c r="I28611" s="33" t="s">
        <v>51</v>
      </c>
      <c r="J28611" s="42">
        <v>46030</v>
      </c>
      <c r="K28611" s="33" t="s">
        <v>22</v>
      </c>
    </row>
    <row r="28612" spans="1:11">
      <c r="A28612" s="30" t="s">
        <v>62712</v>
      </c>
      <c r="B28612" s="30" t="s">
        <v>62713</v>
      </c>
      <c r="C28612" s="30" t="s">
        <v>379</v>
      </c>
      <c r="D28612" s="30" t="s">
        <v>17</v>
      </c>
      <c r="E28612" s="30" t="s">
        <v>45</v>
      </c>
      <c r="F28612" s="30" t="s">
        <v>46</v>
      </c>
      <c r="G28612" s="30" t="s">
        <v>7780</v>
      </c>
      <c r="H28612" s="32">
        <v>817</v>
      </c>
      <c r="I28612" s="30" t="s">
        <v>51</v>
      </c>
      <c r="J28612" s="41">
        <v>46049</v>
      </c>
      <c r="K28612" s="30" t="s">
        <v>22</v>
      </c>
    </row>
    <row r="28613" spans="1:11">
      <c r="A28613" s="33" t="s">
        <v>62714</v>
      </c>
      <c r="B28613" s="33" t="s">
        <v>62715</v>
      </c>
      <c r="C28613" s="33" t="s">
        <v>23475</v>
      </c>
      <c r="D28613" s="33" t="s">
        <v>17</v>
      </c>
      <c r="E28613" s="33" t="s">
        <v>31</v>
      </c>
      <c r="F28613" s="33" t="s">
        <v>32</v>
      </c>
      <c r="G28613" s="33" t="s">
        <v>7780</v>
      </c>
      <c r="H28613" s="35">
        <v>360</v>
      </c>
      <c r="I28613" s="33" t="s">
        <v>51</v>
      </c>
      <c r="J28613" s="42">
        <v>46204</v>
      </c>
      <c r="K28613" s="33" t="s">
        <v>22</v>
      </c>
    </row>
    <row r="28614" spans="1:11">
      <c r="A28614" s="30" t="s">
        <v>62716</v>
      </c>
      <c r="B28614" s="30" t="s">
        <v>62717</v>
      </c>
      <c r="C28614" s="30" t="s">
        <v>17285</v>
      </c>
      <c r="D28614" s="30" t="s">
        <v>17</v>
      </c>
      <c r="E28614" s="30" t="s">
        <v>18</v>
      </c>
      <c r="F28614" s="30" t="s">
        <v>19</v>
      </c>
      <c r="G28614" s="30" t="s">
        <v>140</v>
      </c>
      <c r="H28614" s="32">
        <v>300</v>
      </c>
      <c r="I28614" s="30" t="s">
        <v>51</v>
      </c>
      <c r="J28614" s="41">
        <v>46230</v>
      </c>
      <c r="K28614" s="30" t="s">
        <v>22</v>
      </c>
    </row>
    <row r="28615" spans="1:11">
      <c r="A28615" s="33" t="s">
        <v>62718</v>
      </c>
      <c r="B28615" s="33" t="s">
        <v>62719</v>
      </c>
      <c r="C28615" s="33" t="s">
        <v>1661</v>
      </c>
      <c r="D28615" s="33" t="s">
        <v>17</v>
      </c>
      <c r="E28615" s="33" t="s">
        <v>18</v>
      </c>
      <c r="F28615" s="33" t="s">
        <v>19</v>
      </c>
      <c r="G28615" s="33" t="s">
        <v>140</v>
      </c>
      <c r="H28615" s="35">
        <v>84</v>
      </c>
      <c r="I28615" s="33" t="s">
        <v>51</v>
      </c>
      <c r="J28615" s="42">
        <v>46208</v>
      </c>
      <c r="K28615" s="33" t="s">
        <v>22</v>
      </c>
    </row>
    <row r="28616" spans="1:11">
      <c r="A28616" s="30" t="s">
        <v>62720</v>
      </c>
      <c r="B28616" s="30" t="s">
        <v>62721</v>
      </c>
      <c r="C28616" s="30" t="s">
        <v>60144</v>
      </c>
      <c r="D28616" s="30" t="s">
        <v>17</v>
      </c>
      <c r="E28616" s="30" t="s">
        <v>26</v>
      </c>
      <c r="F28616" s="30" t="s">
        <v>27</v>
      </c>
      <c r="G28616" s="30" t="s">
        <v>158</v>
      </c>
      <c r="H28616" s="32">
        <v>6</v>
      </c>
      <c r="I28616" s="30" t="s">
        <v>51</v>
      </c>
      <c r="J28616" s="41">
        <v>46061</v>
      </c>
      <c r="K28616" s="30" t="s">
        <v>22</v>
      </c>
    </row>
    <row r="28617" spans="1:11">
      <c r="A28617" s="33" t="s">
        <v>62722</v>
      </c>
      <c r="B28617" s="33" t="s">
        <v>62723</v>
      </c>
      <c r="C28617" s="33" t="s">
        <v>124</v>
      </c>
      <c r="D28617" s="33" t="s">
        <v>17</v>
      </c>
      <c r="E28617" s="33" t="s">
        <v>18</v>
      </c>
      <c r="F28617" s="33" t="s">
        <v>19</v>
      </c>
      <c r="G28617" s="33" t="s">
        <v>7780</v>
      </c>
      <c r="H28617" s="35">
        <v>378</v>
      </c>
      <c r="I28617" s="33" t="s">
        <v>51</v>
      </c>
      <c r="J28617" s="42">
        <v>46117</v>
      </c>
      <c r="K28617" s="33" t="s">
        <v>22</v>
      </c>
    </row>
    <row r="28618" spans="1:11">
      <c r="A28618" s="30" t="s">
        <v>62724</v>
      </c>
      <c r="B28618" s="30" t="s">
        <v>62725</v>
      </c>
      <c r="C28618" s="30" t="s">
        <v>1598</v>
      </c>
      <c r="D28618" s="30" t="s">
        <v>17</v>
      </c>
      <c r="E28618" s="30" t="s">
        <v>26</v>
      </c>
      <c r="F28618" s="30" t="s">
        <v>27</v>
      </c>
      <c r="G28618" s="30" t="s">
        <v>158</v>
      </c>
      <c r="H28618" s="32">
        <v>180</v>
      </c>
      <c r="I28618" s="30" t="s">
        <v>21</v>
      </c>
      <c r="J28618" s="41">
        <v>46136</v>
      </c>
      <c r="K28618" s="30" t="s">
        <v>22</v>
      </c>
    </row>
    <row r="28619" spans="1:11">
      <c r="A28619" s="33" t="s">
        <v>62726</v>
      </c>
      <c r="B28619" s="33" t="s">
        <v>62727</v>
      </c>
      <c r="C28619" s="33" t="s">
        <v>42809</v>
      </c>
      <c r="D28619" s="33" t="s">
        <v>17</v>
      </c>
      <c r="E28619" s="33" t="s">
        <v>31</v>
      </c>
      <c r="F28619" s="33" t="s">
        <v>32</v>
      </c>
      <c r="G28619" s="33" t="s">
        <v>7780</v>
      </c>
      <c r="H28619" s="35">
        <v>40</v>
      </c>
      <c r="I28619" s="33" t="s">
        <v>51</v>
      </c>
      <c r="J28619" s="42">
        <v>46174</v>
      </c>
      <c r="K28619" s="33" t="s">
        <v>22</v>
      </c>
    </row>
    <row r="28620" spans="1:11">
      <c r="A28620" s="30" t="s">
        <v>62728</v>
      </c>
      <c r="B28620" s="30" t="s">
        <v>62729</v>
      </c>
      <c r="C28620" s="30" t="s">
        <v>570</v>
      </c>
      <c r="D28620" s="30" t="s">
        <v>17</v>
      </c>
      <c r="E28620" s="30" t="s">
        <v>18</v>
      </c>
      <c r="F28620" s="30" t="s">
        <v>19</v>
      </c>
      <c r="G28620" s="30" t="s">
        <v>7780</v>
      </c>
      <c r="H28620" s="32">
        <v>210</v>
      </c>
      <c r="I28620" s="30" t="s">
        <v>51</v>
      </c>
      <c r="J28620" s="41">
        <v>46023</v>
      </c>
      <c r="K28620" s="30" t="s">
        <v>22</v>
      </c>
    </row>
    <row r="28621" spans="1:11">
      <c r="A28621" s="33" t="s">
        <v>62730</v>
      </c>
      <c r="B28621" s="33" t="s">
        <v>62731</v>
      </c>
      <c r="C28621" s="33" t="s">
        <v>5443</v>
      </c>
      <c r="D28621" s="33" t="s">
        <v>17</v>
      </c>
      <c r="E28621" s="33" t="s">
        <v>26</v>
      </c>
      <c r="F28621" s="33" t="s">
        <v>27</v>
      </c>
      <c r="G28621" s="33" t="s">
        <v>140</v>
      </c>
      <c r="H28621" s="35">
        <v>9</v>
      </c>
      <c r="I28621" s="33" t="s">
        <v>51</v>
      </c>
      <c r="J28621" s="42">
        <v>46205</v>
      </c>
      <c r="K28621" s="33" t="s">
        <v>22</v>
      </c>
    </row>
    <row r="28622" spans="1:11">
      <c r="A28622" s="30" t="s">
        <v>62732</v>
      </c>
      <c r="B28622" s="30" t="s">
        <v>62733</v>
      </c>
      <c r="C28622" s="30" t="s">
        <v>10199</v>
      </c>
      <c r="D28622" s="30" t="s">
        <v>17</v>
      </c>
      <c r="E28622" s="30" t="s">
        <v>26</v>
      </c>
      <c r="F28622" s="30" t="s">
        <v>27</v>
      </c>
      <c r="G28622" s="30" t="s">
        <v>7780</v>
      </c>
      <c r="H28622" s="32">
        <v>138</v>
      </c>
      <c r="I28622" s="30" t="s">
        <v>51</v>
      </c>
      <c r="J28622" s="41">
        <v>46157</v>
      </c>
      <c r="K28622" s="30" t="s">
        <v>22</v>
      </c>
    </row>
    <row r="28623" spans="1:11">
      <c r="A28623" s="33" t="s">
        <v>62734</v>
      </c>
      <c r="B28623" s="33" t="s">
        <v>62735</v>
      </c>
      <c r="C28623" s="33" t="s">
        <v>149</v>
      </c>
      <c r="D28623" s="33" t="s">
        <v>17</v>
      </c>
      <c r="E28623" s="33" t="s">
        <v>31</v>
      </c>
      <c r="F28623" s="33" t="s">
        <v>32</v>
      </c>
      <c r="G28623" s="33" t="s">
        <v>140</v>
      </c>
      <c r="H28623" s="35">
        <v>96</v>
      </c>
      <c r="I28623" s="33" t="s">
        <v>51</v>
      </c>
      <c r="J28623" s="42">
        <v>46084</v>
      </c>
      <c r="K28623" s="33" t="s">
        <v>22</v>
      </c>
    </row>
    <row r="28624" spans="1:11">
      <c r="A28624" s="30" t="s">
        <v>62736</v>
      </c>
      <c r="B28624" s="30" t="s">
        <v>62737</v>
      </c>
      <c r="C28624" s="30" t="s">
        <v>27354</v>
      </c>
      <c r="D28624" s="30" t="s">
        <v>17</v>
      </c>
      <c r="E28624" s="30" t="s">
        <v>26</v>
      </c>
      <c r="F28624" s="30" t="s">
        <v>27</v>
      </c>
      <c r="G28624" s="30" t="s">
        <v>7780</v>
      </c>
      <c r="H28624" s="32">
        <v>192</v>
      </c>
      <c r="I28624" s="30" t="s">
        <v>51</v>
      </c>
      <c r="J28624" s="41">
        <v>46171</v>
      </c>
      <c r="K28624" s="30" t="s">
        <v>22</v>
      </c>
    </row>
    <row r="28625" spans="1:11">
      <c r="A28625" s="33" t="s">
        <v>62738</v>
      </c>
      <c r="B28625" s="33" t="s">
        <v>62739</v>
      </c>
      <c r="C28625" s="33" t="s">
        <v>14816</v>
      </c>
      <c r="D28625" s="33" t="s">
        <v>17</v>
      </c>
      <c r="E28625" s="33" t="s">
        <v>18</v>
      </c>
      <c r="F28625" s="33" t="s">
        <v>19</v>
      </c>
      <c r="G28625" s="33" t="s">
        <v>7780</v>
      </c>
      <c r="H28625" s="35">
        <v>450</v>
      </c>
      <c r="I28625" s="33" t="s">
        <v>51</v>
      </c>
      <c r="J28625" s="42">
        <v>46174</v>
      </c>
      <c r="K28625" s="33" t="s">
        <v>22</v>
      </c>
    </row>
    <row r="28626" spans="1:11">
      <c r="A28626" s="30" t="s">
        <v>62740</v>
      </c>
      <c r="B28626" s="30" t="s">
        <v>62741</v>
      </c>
      <c r="C28626" s="30" t="s">
        <v>31054</v>
      </c>
      <c r="D28626" s="30" t="s">
        <v>17</v>
      </c>
      <c r="E28626" s="30" t="s">
        <v>26</v>
      </c>
      <c r="F28626" s="30" t="s">
        <v>27</v>
      </c>
      <c r="G28626" s="30" t="s">
        <v>7780</v>
      </c>
      <c r="H28626" s="32">
        <v>9</v>
      </c>
      <c r="I28626" s="30" t="s">
        <v>51</v>
      </c>
      <c r="J28626" s="41">
        <v>46023</v>
      </c>
      <c r="K28626" s="30" t="s">
        <v>22</v>
      </c>
    </row>
    <row r="28627" spans="1:11">
      <c r="A28627" s="33" t="s">
        <v>62742</v>
      </c>
      <c r="B28627" s="33" t="s">
        <v>62743</v>
      </c>
      <c r="C28627" s="33" t="s">
        <v>310</v>
      </c>
      <c r="D28627" s="33" t="s">
        <v>17</v>
      </c>
      <c r="E28627" s="33" t="s">
        <v>18</v>
      </c>
      <c r="F28627" s="33" t="s">
        <v>19</v>
      </c>
      <c r="G28627" s="33" t="s">
        <v>140</v>
      </c>
      <c r="H28627" s="35">
        <v>460</v>
      </c>
      <c r="I28627" s="33" t="s">
        <v>51</v>
      </c>
      <c r="J28627" s="42">
        <v>46030</v>
      </c>
      <c r="K28627" s="33" t="s">
        <v>22</v>
      </c>
    </row>
    <row r="28628" spans="1:11">
      <c r="A28628" s="30" t="s">
        <v>62744</v>
      </c>
      <c r="B28628" s="30" t="s">
        <v>62745</v>
      </c>
      <c r="C28628" s="30" t="s">
        <v>379</v>
      </c>
      <c r="D28628" s="30" t="s">
        <v>17</v>
      </c>
      <c r="E28628" s="30" t="s">
        <v>26</v>
      </c>
      <c r="F28628" s="30" t="s">
        <v>27</v>
      </c>
      <c r="G28628" s="30" t="s">
        <v>140</v>
      </c>
      <c r="H28628" s="32">
        <v>48</v>
      </c>
      <c r="I28628" s="30" t="s">
        <v>51</v>
      </c>
      <c r="J28628" s="41">
        <v>46233</v>
      </c>
      <c r="K28628" s="30" t="s">
        <v>22</v>
      </c>
    </row>
    <row r="28629" spans="1:11">
      <c r="A28629" s="33" t="s">
        <v>62746</v>
      </c>
      <c r="B28629" s="33" t="s">
        <v>62747</v>
      </c>
      <c r="C28629" s="33" t="s">
        <v>57661</v>
      </c>
      <c r="D28629" s="33" t="s">
        <v>17</v>
      </c>
      <c r="E28629" s="33" t="s">
        <v>26</v>
      </c>
      <c r="F28629" s="33" t="s">
        <v>27</v>
      </c>
      <c r="G28629" s="33" t="s">
        <v>7780</v>
      </c>
      <c r="H28629" s="35">
        <v>26</v>
      </c>
      <c r="I28629" s="33" t="s">
        <v>51</v>
      </c>
      <c r="J28629" s="42">
        <v>46142</v>
      </c>
      <c r="K28629" s="33" t="s">
        <v>22</v>
      </c>
    </row>
    <row r="28630" spans="1:11">
      <c r="A28630" s="30" t="s">
        <v>62748</v>
      </c>
      <c r="B28630" s="30" t="s">
        <v>62749</v>
      </c>
      <c r="C28630" s="30" t="s">
        <v>45122</v>
      </c>
      <c r="D28630" s="30" t="s">
        <v>17</v>
      </c>
      <c r="E28630" s="30" t="s">
        <v>18</v>
      </c>
      <c r="F28630" s="30" t="s">
        <v>19</v>
      </c>
      <c r="G28630" s="30" t="s">
        <v>2613</v>
      </c>
      <c r="H28630" s="32">
        <v>800</v>
      </c>
      <c r="I28630" s="30" t="s">
        <v>51</v>
      </c>
      <c r="J28630" s="41">
        <v>46094</v>
      </c>
      <c r="K28630" s="30" t="s">
        <v>22</v>
      </c>
    </row>
    <row r="28631" spans="1:11">
      <c r="A28631" s="33" t="s">
        <v>62750</v>
      </c>
      <c r="B28631" s="33" t="s">
        <v>62751</v>
      </c>
      <c r="C28631" s="33" t="s">
        <v>190</v>
      </c>
      <c r="D28631" s="33" t="s">
        <v>17</v>
      </c>
      <c r="E28631" s="33" t="s">
        <v>26</v>
      </c>
      <c r="F28631" s="33" t="s">
        <v>27</v>
      </c>
      <c r="G28631" s="33" t="s">
        <v>7780</v>
      </c>
      <c r="H28631" s="35">
        <v>32</v>
      </c>
      <c r="I28631" s="33" t="s">
        <v>51</v>
      </c>
      <c r="J28631" s="42">
        <v>46233</v>
      </c>
      <c r="K28631" s="33" t="s">
        <v>22</v>
      </c>
    </row>
    <row r="28632" spans="1:11">
      <c r="A28632" s="30" t="s">
        <v>62752</v>
      </c>
      <c r="B28632" s="30" t="s">
        <v>62753</v>
      </c>
      <c r="C28632" s="30" t="s">
        <v>57</v>
      </c>
      <c r="D28632" s="30" t="s">
        <v>17</v>
      </c>
      <c r="E28632" s="30" t="s">
        <v>26</v>
      </c>
      <c r="F28632" s="30" t="s">
        <v>27</v>
      </c>
      <c r="G28632" s="30" t="s">
        <v>140</v>
      </c>
      <c r="H28632" s="32">
        <v>72</v>
      </c>
      <c r="I28632" s="30" t="s">
        <v>51</v>
      </c>
      <c r="J28632" s="41">
        <v>46148</v>
      </c>
      <c r="K28632" s="30" t="s">
        <v>22</v>
      </c>
    </row>
    <row r="28633" spans="1:11">
      <c r="A28633" s="33" t="s">
        <v>62754</v>
      </c>
      <c r="B28633" s="33" t="s">
        <v>62755</v>
      </c>
      <c r="C28633" s="33" t="s">
        <v>40762</v>
      </c>
      <c r="D28633" s="33" t="s">
        <v>17</v>
      </c>
      <c r="E28633" s="33" t="s">
        <v>26</v>
      </c>
      <c r="F28633" s="33" t="s">
        <v>27</v>
      </c>
      <c r="G28633" s="33" t="s">
        <v>140</v>
      </c>
      <c r="H28633" s="35">
        <v>27</v>
      </c>
      <c r="I28633" s="33" t="s">
        <v>51</v>
      </c>
      <c r="J28633" s="42">
        <v>46119</v>
      </c>
      <c r="K28633" s="33" t="s">
        <v>22</v>
      </c>
    </row>
    <row r="28634" spans="1:11">
      <c r="A28634" s="30" t="s">
        <v>62756</v>
      </c>
      <c r="B28634" s="30" t="s">
        <v>62757</v>
      </c>
      <c r="C28634" s="30" t="s">
        <v>318</v>
      </c>
      <c r="D28634" s="30" t="s">
        <v>17</v>
      </c>
      <c r="E28634" s="30" t="s">
        <v>18</v>
      </c>
      <c r="F28634" s="30" t="s">
        <v>19</v>
      </c>
      <c r="G28634" s="30" t="s">
        <v>140</v>
      </c>
      <c r="H28634" s="32">
        <v>3200</v>
      </c>
      <c r="I28634" s="30" t="s">
        <v>51</v>
      </c>
      <c r="J28634" s="41">
        <v>46226</v>
      </c>
      <c r="K28634" s="30" t="s">
        <v>22</v>
      </c>
    </row>
    <row r="28635" spans="1:11">
      <c r="A28635" s="33" t="s">
        <v>62758</v>
      </c>
      <c r="B28635" s="33" t="s">
        <v>62759</v>
      </c>
      <c r="C28635" s="33" t="s">
        <v>13050</v>
      </c>
      <c r="D28635" s="33" t="s">
        <v>17</v>
      </c>
      <c r="E28635" s="33" t="s">
        <v>26</v>
      </c>
      <c r="F28635" s="33" t="s">
        <v>27</v>
      </c>
      <c r="G28635" s="33" t="s">
        <v>7780</v>
      </c>
      <c r="H28635" s="35">
        <v>104</v>
      </c>
      <c r="I28635" s="33" t="s">
        <v>51</v>
      </c>
      <c r="J28635" s="42">
        <v>46082</v>
      </c>
      <c r="K28635" s="33" t="s">
        <v>22</v>
      </c>
    </row>
    <row r="28636" spans="1:11">
      <c r="A28636" s="30" t="s">
        <v>62760</v>
      </c>
      <c r="B28636" s="30" t="s">
        <v>62761</v>
      </c>
      <c r="C28636" s="30" t="s">
        <v>13181</v>
      </c>
      <c r="D28636" s="30" t="s">
        <v>17</v>
      </c>
      <c r="E28636" s="30" t="s">
        <v>26</v>
      </c>
      <c r="F28636" s="30" t="s">
        <v>27</v>
      </c>
      <c r="G28636" s="30" t="s">
        <v>7780</v>
      </c>
      <c r="H28636" s="32">
        <v>8</v>
      </c>
      <c r="I28636" s="30" t="s">
        <v>51</v>
      </c>
      <c r="J28636" s="41">
        <v>46142</v>
      </c>
      <c r="K28636" s="30" t="s">
        <v>22</v>
      </c>
    </row>
    <row r="28637" spans="1:11">
      <c r="A28637" s="33" t="s">
        <v>62762</v>
      </c>
      <c r="B28637" s="33" t="s">
        <v>62763</v>
      </c>
      <c r="C28637" s="33" t="s">
        <v>44</v>
      </c>
      <c r="D28637" s="33" t="s">
        <v>17</v>
      </c>
      <c r="E28637" s="33" t="s">
        <v>31</v>
      </c>
      <c r="F28637" s="33" t="s">
        <v>32</v>
      </c>
      <c r="G28637" s="33" t="s">
        <v>140</v>
      </c>
      <c r="H28637" s="35">
        <v>34</v>
      </c>
      <c r="I28637" s="33" t="s">
        <v>51</v>
      </c>
      <c r="J28637" s="42">
        <v>46092</v>
      </c>
      <c r="K28637" s="33" t="s">
        <v>22</v>
      </c>
    </row>
    <row r="28638" spans="1:11">
      <c r="A28638" s="30" t="s">
        <v>62764</v>
      </c>
      <c r="B28638" s="30" t="s">
        <v>62765</v>
      </c>
      <c r="C28638" s="30" t="s">
        <v>62766</v>
      </c>
      <c r="D28638" s="30" t="s">
        <v>17</v>
      </c>
      <c r="E28638" s="30" t="s">
        <v>31</v>
      </c>
      <c r="F28638" s="30" t="s">
        <v>32</v>
      </c>
      <c r="G28638" s="30" t="s">
        <v>140</v>
      </c>
      <c r="H28638" s="32">
        <v>90</v>
      </c>
      <c r="I28638" s="30" t="s">
        <v>51</v>
      </c>
      <c r="J28638" s="41">
        <v>46174</v>
      </c>
      <c r="K28638" s="30" t="s">
        <v>22</v>
      </c>
    </row>
    <row r="28639" spans="1:11">
      <c r="A28639" s="33" t="s">
        <v>62767</v>
      </c>
      <c r="B28639" s="33" t="s">
        <v>62768</v>
      </c>
      <c r="C28639" s="33" t="s">
        <v>14816</v>
      </c>
      <c r="D28639" s="33" t="s">
        <v>17</v>
      </c>
      <c r="E28639" s="33" t="s">
        <v>26</v>
      </c>
      <c r="F28639" s="33" t="s">
        <v>27</v>
      </c>
      <c r="G28639" s="33" t="s">
        <v>140</v>
      </c>
      <c r="H28639" s="35">
        <v>200</v>
      </c>
      <c r="I28639" s="33" t="s">
        <v>51</v>
      </c>
      <c r="J28639" s="42">
        <v>46091</v>
      </c>
      <c r="K28639" s="33" t="s">
        <v>22</v>
      </c>
    </row>
    <row r="28640" spans="1:11">
      <c r="A28640" s="30" t="s">
        <v>62769</v>
      </c>
      <c r="B28640" s="30" t="s">
        <v>62770</v>
      </c>
      <c r="C28640" s="30" t="s">
        <v>25672</v>
      </c>
      <c r="D28640" s="30" t="s">
        <v>17</v>
      </c>
      <c r="E28640" s="30" t="s">
        <v>26</v>
      </c>
      <c r="F28640" s="30" t="s">
        <v>27</v>
      </c>
      <c r="G28640" s="30" t="s">
        <v>158</v>
      </c>
      <c r="H28640" s="32">
        <v>24</v>
      </c>
      <c r="I28640" s="30" t="s">
        <v>51</v>
      </c>
      <c r="J28640" s="41">
        <v>46028</v>
      </c>
      <c r="K28640" s="30" t="s">
        <v>22</v>
      </c>
    </row>
    <row r="28641" spans="1:11">
      <c r="A28641" s="33" t="s">
        <v>62771</v>
      </c>
      <c r="B28641" s="33" t="s">
        <v>62772</v>
      </c>
      <c r="C28641" s="33" t="s">
        <v>75</v>
      </c>
      <c r="D28641" s="33" t="s">
        <v>17</v>
      </c>
      <c r="E28641" s="33" t="s">
        <v>67</v>
      </c>
      <c r="F28641" s="33" t="s">
        <v>68</v>
      </c>
      <c r="G28641" s="33" t="s">
        <v>140</v>
      </c>
      <c r="H28641" s="35">
        <v>198</v>
      </c>
      <c r="I28641" s="33" t="s">
        <v>51</v>
      </c>
      <c r="J28641" s="42">
        <v>46097</v>
      </c>
      <c r="K28641" s="33" t="s">
        <v>22</v>
      </c>
    </row>
    <row r="28642" spans="1:11">
      <c r="A28642" s="30" t="s">
        <v>62773</v>
      </c>
      <c r="B28642" s="30" t="s">
        <v>62774</v>
      </c>
      <c r="C28642" s="30" t="s">
        <v>13450</v>
      </c>
      <c r="D28642" s="30" t="s">
        <v>17</v>
      </c>
      <c r="E28642" s="30" t="s">
        <v>26</v>
      </c>
      <c r="F28642" s="30" t="s">
        <v>27</v>
      </c>
      <c r="G28642" s="30" t="s">
        <v>140</v>
      </c>
      <c r="H28642" s="32">
        <v>35</v>
      </c>
      <c r="I28642" s="30" t="s">
        <v>51</v>
      </c>
      <c r="J28642" s="41">
        <v>46090</v>
      </c>
      <c r="K28642" s="30" t="s">
        <v>22</v>
      </c>
    </row>
    <row r="28643" spans="1:11">
      <c r="A28643" s="33" t="s">
        <v>62775</v>
      </c>
      <c r="B28643" s="33" t="s">
        <v>62776</v>
      </c>
      <c r="C28643" s="33" t="s">
        <v>60622</v>
      </c>
      <c r="D28643" s="33" t="s">
        <v>17</v>
      </c>
      <c r="E28643" s="33" t="s">
        <v>26</v>
      </c>
      <c r="F28643" s="33" t="s">
        <v>27</v>
      </c>
      <c r="G28643" s="33" t="s">
        <v>7780</v>
      </c>
      <c r="H28643" s="35">
        <v>120</v>
      </c>
      <c r="I28643" s="33" t="s">
        <v>51</v>
      </c>
      <c r="J28643" s="42">
        <v>46174</v>
      </c>
      <c r="K28643" s="33" t="s">
        <v>22</v>
      </c>
    </row>
    <row r="28644" spans="1:11">
      <c r="A28644" s="30" t="s">
        <v>62777</v>
      </c>
      <c r="B28644" s="30" t="s">
        <v>62778</v>
      </c>
      <c r="C28644" s="30" t="s">
        <v>62779</v>
      </c>
      <c r="D28644" s="30" t="s">
        <v>17</v>
      </c>
      <c r="E28644" s="30" t="s">
        <v>67</v>
      </c>
      <c r="F28644" s="30" t="s">
        <v>68</v>
      </c>
      <c r="G28644" s="30" t="s">
        <v>140</v>
      </c>
      <c r="H28644" s="32">
        <v>306</v>
      </c>
      <c r="I28644" s="30" t="s">
        <v>51</v>
      </c>
      <c r="J28644" s="41">
        <v>46100</v>
      </c>
      <c r="K28644" s="30" t="s">
        <v>22</v>
      </c>
    </row>
    <row r="28645" spans="1:11">
      <c r="A28645" s="33" t="s">
        <v>62780</v>
      </c>
      <c r="B28645" s="33" t="s">
        <v>62781</v>
      </c>
      <c r="C28645" s="33" t="s">
        <v>318</v>
      </c>
      <c r="D28645" s="33" t="s">
        <v>17</v>
      </c>
      <c r="E28645" s="33" t="s">
        <v>18</v>
      </c>
      <c r="F28645" s="33" t="s">
        <v>19</v>
      </c>
      <c r="G28645" s="33" t="s">
        <v>140</v>
      </c>
      <c r="H28645" s="35">
        <v>304</v>
      </c>
      <c r="I28645" s="33" t="s">
        <v>51</v>
      </c>
      <c r="J28645" s="42">
        <v>46169</v>
      </c>
      <c r="K28645" s="33" t="s">
        <v>22</v>
      </c>
    </row>
    <row r="28646" spans="1:11">
      <c r="A28646" s="30" t="s">
        <v>62782</v>
      </c>
      <c r="B28646" s="30" t="s">
        <v>62783</v>
      </c>
      <c r="C28646" s="30" t="s">
        <v>10268</v>
      </c>
      <c r="D28646" s="30" t="s">
        <v>17</v>
      </c>
      <c r="E28646" s="30" t="s">
        <v>18</v>
      </c>
      <c r="F28646" s="30" t="s">
        <v>19</v>
      </c>
      <c r="G28646" s="30" t="s">
        <v>112</v>
      </c>
      <c r="H28646" s="32">
        <v>0</v>
      </c>
      <c r="I28646" s="30" t="s">
        <v>21</v>
      </c>
      <c r="J28646" s="41">
        <v>46203</v>
      </c>
      <c r="K28646" s="30" t="s">
        <v>22</v>
      </c>
    </row>
    <row r="28647" spans="1:11">
      <c r="A28647" s="33" t="s">
        <v>62784</v>
      </c>
      <c r="B28647" s="33" t="s">
        <v>62785</v>
      </c>
      <c r="C28647" s="33" t="s">
        <v>860</v>
      </c>
      <c r="D28647" s="33" t="s">
        <v>17</v>
      </c>
      <c r="E28647" s="33" t="s">
        <v>18</v>
      </c>
      <c r="F28647" s="33" t="s">
        <v>19</v>
      </c>
      <c r="G28647" s="33" t="s">
        <v>7780</v>
      </c>
      <c r="H28647" s="35">
        <v>10</v>
      </c>
      <c r="I28647" s="33" t="s">
        <v>51</v>
      </c>
      <c r="J28647" s="42">
        <v>46234</v>
      </c>
      <c r="K28647" s="33" t="s">
        <v>22</v>
      </c>
    </row>
    <row r="28648" spans="1:11">
      <c r="A28648" s="30" t="s">
        <v>62786</v>
      </c>
      <c r="B28648" s="30" t="s">
        <v>62787</v>
      </c>
      <c r="C28648" s="30" t="s">
        <v>62788</v>
      </c>
      <c r="D28648" s="30" t="s">
        <v>17</v>
      </c>
      <c r="E28648" s="30" t="s">
        <v>26</v>
      </c>
      <c r="F28648" s="30" t="s">
        <v>27</v>
      </c>
      <c r="G28648" s="30" t="s">
        <v>7780</v>
      </c>
      <c r="H28648" s="32">
        <v>32</v>
      </c>
      <c r="I28648" s="30" t="s">
        <v>51</v>
      </c>
      <c r="J28648" s="41">
        <v>46204</v>
      </c>
      <c r="K28648" s="30" t="s">
        <v>22</v>
      </c>
    </row>
    <row r="28649" spans="1:11">
      <c r="A28649" s="33" t="s">
        <v>62789</v>
      </c>
      <c r="B28649" s="33" t="s">
        <v>62790</v>
      </c>
      <c r="C28649" s="33" t="s">
        <v>1112</v>
      </c>
      <c r="D28649" s="33" t="s">
        <v>17</v>
      </c>
      <c r="E28649" s="33" t="s">
        <v>18</v>
      </c>
      <c r="F28649" s="33" t="s">
        <v>19</v>
      </c>
      <c r="G28649" s="33" t="s">
        <v>140</v>
      </c>
      <c r="H28649" s="35">
        <v>118</v>
      </c>
      <c r="I28649" s="33" t="s">
        <v>51</v>
      </c>
      <c r="J28649" s="42">
        <v>46125</v>
      </c>
      <c r="K28649" s="33" t="s">
        <v>22</v>
      </c>
    </row>
    <row r="28650" spans="1:11">
      <c r="A28650" s="30" t="s">
        <v>62791</v>
      </c>
      <c r="B28650" s="30" t="s">
        <v>62792</v>
      </c>
      <c r="C28650" s="30" t="s">
        <v>48384</v>
      </c>
      <c r="D28650" s="30" t="s">
        <v>17</v>
      </c>
      <c r="E28650" s="30" t="s">
        <v>212</v>
      </c>
      <c r="F28650" s="30" t="s">
        <v>213</v>
      </c>
      <c r="G28650" s="30" t="s">
        <v>7780</v>
      </c>
      <c r="H28650" s="32">
        <v>470</v>
      </c>
      <c r="I28650" s="30" t="s">
        <v>51</v>
      </c>
      <c r="J28650" s="41">
        <v>46174</v>
      </c>
      <c r="K28650" s="30" t="s">
        <v>22</v>
      </c>
    </row>
    <row r="28651" spans="1:11">
      <c r="A28651" s="33" t="s">
        <v>62793</v>
      </c>
      <c r="B28651" s="33" t="s">
        <v>62794</v>
      </c>
      <c r="C28651" s="33" t="s">
        <v>62795</v>
      </c>
      <c r="D28651" s="33" t="s">
        <v>17</v>
      </c>
      <c r="E28651" s="33" t="s">
        <v>31</v>
      </c>
      <c r="F28651" s="33" t="s">
        <v>32</v>
      </c>
      <c r="G28651" s="33" t="s">
        <v>140</v>
      </c>
      <c r="H28651" s="35">
        <v>60</v>
      </c>
      <c r="I28651" s="33" t="s">
        <v>51</v>
      </c>
      <c r="J28651" s="42">
        <v>46091</v>
      </c>
      <c r="K28651" s="33" t="s">
        <v>22</v>
      </c>
    </row>
    <row r="28652" spans="1:11">
      <c r="A28652" s="30" t="s">
        <v>62796</v>
      </c>
      <c r="B28652" s="30" t="s">
        <v>62797</v>
      </c>
      <c r="C28652" s="30" t="s">
        <v>647</v>
      </c>
      <c r="D28652" s="30" t="s">
        <v>17</v>
      </c>
      <c r="E28652" s="30" t="s">
        <v>26</v>
      </c>
      <c r="F28652" s="30" t="s">
        <v>27</v>
      </c>
      <c r="G28652" s="30" t="s">
        <v>7780</v>
      </c>
      <c r="H28652" s="32">
        <v>15</v>
      </c>
      <c r="I28652" s="30" t="s">
        <v>51</v>
      </c>
      <c r="J28652" s="41">
        <v>46232</v>
      </c>
      <c r="K28652" s="30" t="s">
        <v>22</v>
      </c>
    </row>
    <row r="28653" spans="1:11">
      <c r="A28653" s="33" t="s">
        <v>62798</v>
      </c>
      <c r="B28653" s="33" t="s">
        <v>62799</v>
      </c>
      <c r="C28653" s="33" t="s">
        <v>14640</v>
      </c>
      <c r="D28653" s="33" t="s">
        <v>17</v>
      </c>
      <c r="E28653" s="33" t="s">
        <v>18</v>
      </c>
      <c r="F28653" s="33" t="s">
        <v>19</v>
      </c>
      <c r="G28653" s="33" t="s">
        <v>140</v>
      </c>
      <c r="H28653" s="35">
        <v>394</v>
      </c>
      <c r="I28653" s="33" t="s">
        <v>51</v>
      </c>
      <c r="J28653" s="42">
        <v>46058</v>
      </c>
      <c r="K28653" s="33" t="s">
        <v>22</v>
      </c>
    </row>
    <row r="28654" spans="1:11">
      <c r="A28654" s="30" t="s">
        <v>62800</v>
      </c>
      <c r="B28654" s="30" t="s">
        <v>62801</v>
      </c>
      <c r="C28654" s="30" t="s">
        <v>28085</v>
      </c>
      <c r="D28654" s="30" t="s">
        <v>17</v>
      </c>
      <c r="E28654" s="30" t="s">
        <v>18</v>
      </c>
      <c r="F28654" s="30" t="s">
        <v>19</v>
      </c>
      <c r="G28654" s="30" t="s">
        <v>140</v>
      </c>
      <c r="H28654" s="32">
        <v>120</v>
      </c>
      <c r="I28654" s="30" t="s">
        <v>51</v>
      </c>
      <c r="J28654" s="41">
        <v>46203</v>
      </c>
      <c r="K28654" s="30" t="s">
        <v>22</v>
      </c>
    </row>
    <row r="28655" spans="1:11">
      <c r="A28655" s="33" t="s">
        <v>62802</v>
      </c>
      <c r="B28655" s="33" t="s">
        <v>62803</v>
      </c>
      <c r="C28655" s="33" t="s">
        <v>13181</v>
      </c>
      <c r="D28655" s="33" t="s">
        <v>17</v>
      </c>
      <c r="E28655" s="33" t="s">
        <v>18</v>
      </c>
      <c r="F28655" s="33" t="s">
        <v>19</v>
      </c>
      <c r="G28655" s="33" t="s">
        <v>7780</v>
      </c>
      <c r="H28655" s="35">
        <v>1208</v>
      </c>
      <c r="I28655" s="33" t="s">
        <v>51</v>
      </c>
      <c r="J28655" s="42">
        <v>46052</v>
      </c>
      <c r="K28655" s="33" t="s">
        <v>22</v>
      </c>
    </row>
    <row r="28656" spans="1:11">
      <c r="A28656" s="30" t="s">
        <v>62804</v>
      </c>
      <c r="B28656" s="30" t="s">
        <v>62805</v>
      </c>
      <c r="C28656" s="30" t="s">
        <v>62806</v>
      </c>
      <c r="D28656" s="30" t="s">
        <v>17</v>
      </c>
      <c r="E28656" s="30" t="s">
        <v>26</v>
      </c>
      <c r="F28656" s="30" t="s">
        <v>27</v>
      </c>
      <c r="G28656" s="30" t="s">
        <v>7780</v>
      </c>
      <c r="H28656" s="32">
        <v>156</v>
      </c>
      <c r="I28656" s="30" t="s">
        <v>51</v>
      </c>
      <c r="J28656" s="41">
        <v>46157</v>
      </c>
      <c r="K28656" s="30" t="s">
        <v>22</v>
      </c>
    </row>
    <row r="28657" spans="1:11">
      <c r="A28657" s="33" t="s">
        <v>62807</v>
      </c>
      <c r="B28657" s="33" t="s">
        <v>62808</v>
      </c>
      <c r="C28657" s="33" t="s">
        <v>3610</v>
      </c>
      <c r="D28657" s="33" t="s">
        <v>17</v>
      </c>
      <c r="E28657" s="33" t="s">
        <v>26</v>
      </c>
      <c r="F28657" s="33" t="s">
        <v>27</v>
      </c>
      <c r="G28657" s="33" t="s">
        <v>140</v>
      </c>
      <c r="H28657" s="35">
        <v>24</v>
      </c>
      <c r="I28657" s="33" t="s">
        <v>51</v>
      </c>
      <c r="J28657" s="42">
        <v>46141</v>
      </c>
      <c r="K28657" s="33" t="s">
        <v>22</v>
      </c>
    </row>
    <row r="28658" spans="1:11">
      <c r="A28658" s="30" t="s">
        <v>62809</v>
      </c>
      <c r="B28658" s="30" t="s">
        <v>62810</v>
      </c>
      <c r="C28658" s="30" t="s">
        <v>4348</v>
      </c>
      <c r="D28658" s="30" t="s">
        <v>17</v>
      </c>
      <c r="E28658" s="30" t="s">
        <v>18</v>
      </c>
      <c r="F28658" s="30" t="s">
        <v>19</v>
      </c>
      <c r="G28658" s="30" t="s">
        <v>140</v>
      </c>
      <c r="H28658" s="32">
        <v>562</v>
      </c>
      <c r="I28658" s="30" t="s">
        <v>51</v>
      </c>
      <c r="J28658" s="41">
        <v>46188</v>
      </c>
      <c r="K28658" s="30" t="s">
        <v>22</v>
      </c>
    </row>
    <row r="28659" spans="1:11">
      <c r="A28659" s="33" t="s">
        <v>62811</v>
      </c>
      <c r="B28659" s="33" t="s">
        <v>62812</v>
      </c>
      <c r="C28659" s="33" t="s">
        <v>19406</v>
      </c>
      <c r="D28659" s="33" t="s">
        <v>17</v>
      </c>
      <c r="E28659" s="33" t="s">
        <v>31</v>
      </c>
      <c r="F28659" s="33" t="s">
        <v>32</v>
      </c>
      <c r="G28659" s="33" t="s">
        <v>140</v>
      </c>
      <c r="H28659" s="35">
        <v>120</v>
      </c>
      <c r="I28659" s="33" t="s">
        <v>51</v>
      </c>
      <c r="J28659" s="42">
        <v>46233</v>
      </c>
      <c r="K28659" s="33" t="s">
        <v>22</v>
      </c>
    </row>
    <row r="28660" spans="1:11">
      <c r="A28660" s="30" t="s">
        <v>62813</v>
      </c>
      <c r="B28660" s="30" t="s">
        <v>62814</v>
      </c>
      <c r="C28660" s="30" t="s">
        <v>34089</v>
      </c>
      <c r="D28660" s="30" t="s">
        <v>17</v>
      </c>
      <c r="E28660" s="30" t="s">
        <v>45</v>
      </c>
      <c r="F28660" s="30" t="s">
        <v>46</v>
      </c>
      <c r="G28660" s="30" t="s">
        <v>140</v>
      </c>
      <c r="H28660" s="32">
        <v>960</v>
      </c>
      <c r="I28660" s="30" t="s">
        <v>51</v>
      </c>
      <c r="J28660" s="41">
        <v>46127</v>
      </c>
      <c r="K28660" s="30" t="s">
        <v>22</v>
      </c>
    </row>
    <row r="28661" spans="1:11">
      <c r="A28661" s="33" t="s">
        <v>62815</v>
      </c>
      <c r="B28661" s="33" t="s">
        <v>62816</v>
      </c>
      <c r="C28661" s="33" t="s">
        <v>6703</v>
      </c>
      <c r="D28661" s="33" t="s">
        <v>17</v>
      </c>
      <c r="E28661" s="33" t="s">
        <v>330</v>
      </c>
      <c r="F28661" s="33" t="s">
        <v>331</v>
      </c>
      <c r="G28661" s="33" t="s">
        <v>7780</v>
      </c>
      <c r="H28661" s="35">
        <v>60</v>
      </c>
      <c r="I28661" s="33" t="s">
        <v>51</v>
      </c>
      <c r="J28661" s="42">
        <v>46128</v>
      </c>
      <c r="K28661" s="33" t="s">
        <v>22</v>
      </c>
    </row>
    <row r="28662" spans="1:11">
      <c r="A28662" s="30" t="s">
        <v>62817</v>
      </c>
      <c r="B28662" s="30" t="s">
        <v>62818</v>
      </c>
      <c r="C28662" s="30" t="s">
        <v>56469</v>
      </c>
      <c r="D28662" s="30" t="s">
        <v>17</v>
      </c>
      <c r="E28662" s="30" t="s">
        <v>18</v>
      </c>
      <c r="F28662" s="30" t="s">
        <v>19</v>
      </c>
      <c r="G28662" s="30" t="s">
        <v>7780</v>
      </c>
      <c r="H28662" s="32">
        <v>120</v>
      </c>
      <c r="I28662" s="30" t="s">
        <v>51</v>
      </c>
      <c r="J28662" s="41">
        <v>46023</v>
      </c>
      <c r="K28662" s="30" t="s">
        <v>22</v>
      </c>
    </row>
    <row r="28663" spans="1:11">
      <c r="A28663" s="33" t="s">
        <v>62819</v>
      </c>
      <c r="B28663" s="33" t="s">
        <v>62820</v>
      </c>
      <c r="C28663" s="33" t="s">
        <v>326</v>
      </c>
      <c r="D28663" s="33" t="s">
        <v>17</v>
      </c>
      <c r="E28663" s="33" t="s">
        <v>18</v>
      </c>
      <c r="F28663" s="33" t="s">
        <v>19</v>
      </c>
      <c r="G28663" s="33" t="s">
        <v>112</v>
      </c>
      <c r="H28663" s="35">
        <v>0</v>
      </c>
      <c r="I28663" s="33" t="s">
        <v>21</v>
      </c>
      <c r="J28663" s="42">
        <v>46157</v>
      </c>
      <c r="K28663" s="33" t="s">
        <v>22</v>
      </c>
    </row>
    <row r="28664" spans="1:11">
      <c r="A28664" s="30" t="s">
        <v>62821</v>
      </c>
      <c r="B28664" s="30" t="s">
        <v>62822</v>
      </c>
      <c r="C28664" s="30" t="s">
        <v>26340</v>
      </c>
      <c r="D28664" s="30" t="s">
        <v>17</v>
      </c>
      <c r="E28664" s="30" t="s">
        <v>18</v>
      </c>
      <c r="F28664" s="30" t="s">
        <v>19</v>
      </c>
      <c r="G28664" s="30" t="s">
        <v>158</v>
      </c>
      <c r="H28664" s="32">
        <v>752</v>
      </c>
      <c r="I28664" s="30" t="s">
        <v>21</v>
      </c>
      <c r="J28664" s="41">
        <v>46062</v>
      </c>
      <c r="K28664" s="30" t="s">
        <v>22</v>
      </c>
    </row>
    <row r="28665" spans="1:11">
      <c r="A28665" s="33" t="s">
        <v>62823</v>
      </c>
      <c r="B28665" s="33" t="s">
        <v>62824</v>
      </c>
      <c r="C28665" s="33" t="s">
        <v>252</v>
      </c>
      <c r="D28665" s="33" t="s">
        <v>17</v>
      </c>
      <c r="E28665" s="33" t="s">
        <v>26</v>
      </c>
      <c r="F28665" s="33" t="s">
        <v>27</v>
      </c>
      <c r="G28665" s="33" t="s">
        <v>7780</v>
      </c>
      <c r="H28665" s="35">
        <v>158</v>
      </c>
      <c r="I28665" s="33" t="s">
        <v>51</v>
      </c>
      <c r="J28665" s="42">
        <v>46174</v>
      </c>
      <c r="K28665" s="33" t="s">
        <v>22</v>
      </c>
    </row>
    <row r="28666" spans="1:11">
      <c r="A28666" s="30" t="s">
        <v>62825</v>
      </c>
      <c r="B28666" s="30" t="s">
        <v>62826</v>
      </c>
      <c r="C28666" s="30" t="s">
        <v>24291</v>
      </c>
      <c r="D28666" s="30" t="s">
        <v>17</v>
      </c>
      <c r="E28666" s="30" t="s">
        <v>31</v>
      </c>
      <c r="F28666" s="30" t="s">
        <v>32</v>
      </c>
      <c r="G28666" s="30" t="s">
        <v>140</v>
      </c>
      <c r="H28666" s="32">
        <v>26</v>
      </c>
      <c r="I28666" s="30" t="s">
        <v>51</v>
      </c>
      <c r="J28666" s="41">
        <v>46198</v>
      </c>
      <c r="K28666" s="30" t="s">
        <v>22</v>
      </c>
    </row>
    <row r="28667" spans="1:11">
      <c r="A28667" s="33" t="s">
        <v>62827</v>
      </c>
      <c r="B28667" s="33" t="s">
        <v>62828</v>
      </c>
      <c r="C28667" s="33" t="s">
        <v>62829</v>
      </c>
      <c r="D28667" s="33" t="s">
        <v>17</v>
      </c>
      <c r="E28667" s="33" t="s">
        <v>45</v>
      </c>
      <c r="F28667" s="33" t="s">
        <v>46</v>
      </c>
      <c r="G28667" s="33" t="s">
        <v>7780</v>
      </c>
      <c r="H28667" s="35">
        <v>255</v>
      </c>
      <c r="I28667" s="33" t="s">
        <v>51</v>
      </c>
      <c r="J28667" s="42">
        <v>46129</v>
      </c>
      <c r="K28667" s="33" t="s">
        <v>22</v>
      </c>
    </row>
    <row r="28668" spans="1:11">
      <c r="A28668" s="30" t="s">
        <v>62830</v>
      </c>
      <c r="B28668" s="30" t="s">
        <v>62831</v>
      </c>
      <c r="C28668" s="30" t="s">
        <v>25186</v>
      </c>
      <c r="D28668" s="30" t="s">
        <v>17</v>
      </c>
      <c r="E28668" s="30" t="s">
        <v>26</v>
      </c>
      <c r="F28668" s="30" t="s">
        <v>27</v>
      </c>
      <c r="G28668" s="30" t="s">
        <v>7780</v>
      </c>
      <c r="H28668" s="32">
        <v>42</v>
      </c>
      <c r="I28668" s="30" t="s">
        <v>51</v>
      </c>
      <c r="J28668" s="41">
        <v>46120</v>
      </c>
      <c r="K28668" s="30" t="s">
        <v>22</v>
      </c>
    </row>
    <row r="28669" spans="1:11">
      <c r="A28669" s="33" t="s">
        <v>62832</v>
      </c>
      <c r="B28669" s="33" t="s">
        <v>62833</v>
      </c>
      <c r="C28669" s="33" t="s">
        <v>40673</v>
      </c>
      <c r="D28669" s="33" t="s">
        <v>17</v>
      </c>
      <c r="E28669" s="33" t="s">
        <v>31</v>
      </c>
      <c r="F28669" s="33" t="s">
        <v>32</v>
      </c>
      <c r="G28669" s="33" t="s">
        <v>7780</v>
      </c>
      <c r="H28669" s="35">
        <v>36</v>
      </c>
      <c r="I28669" s="33" t="s">
        <v>51</v>
      </c>
      <c r="J28669" s="42">
        <v>46174</v>
      </c>
      <c r="K28669" s="33" t="s">
        <v>22</v>
      </c>
    </row>
    <row r="28670" spans="1:11">
      <c r="A28670" s="30" t="s">
        <v>62834</v>
      </c>
      <c r="B28670" s="30" t="s">
        <v>62835</v>
      </c>
      <c r="C28670" s="30" t="s">
        <v>12569</v>
      </c>
      <c r="D28670" s="30" t="s">
        <v>17</v>
      </c>
      <c r="E28670" s="30" t="s">
        <v>31</v>
      </c>
      <c r="F28670" s="30" t="s">
        <v>32</v>
      </c>
      <c r="G28670" s="30" t="s">
        <v>140</v>
      </c>
      <c r="H28670" s="32">
        <v>21</v>
      </c>
      <c r="I28670" s="30" t="s">
        <v>51</v>
      </c>
      <c r="J28670" s="41">
        <v>46073</v>
      </c>
      <c r="K28670" s="30" t="s">
        <v>22</v>
      </c>
    </row>
    <row r="28671" spans="1:11">
      <c r="A28671" s="33" t="s">
        <v>62836</v>
      </c>
      <c r="B28671" s="33" t="s">
        <v>62837</v>
      </c>
      <c r="C28671" s="33" t="s">
        <v>647</v>
      </c>
      <c r="D28671" s="33" t="s">
        <v>17</v>
      </c>
      <c r="E28671" s="33" t="s">
        <v>18</v>
      </c>
      <c r="F28671" s="33" t="s">
        <v>19</v>
      </c>
      <c r="G28671" s="33" t="s">
        <v>140</v>
      </c>
      <c r="H28671" s="35">
        <v>758</v>
      </c>
      <c r="I28671" s="33" t="s">
        <v>51</v>
      </c>
      <c r="J28671" s="42">
        <v>46121</v>
      </c>
      <c r="K28671" s="33" t="s">
        <v>22</v>
      </c>
    </row>
    <row r="28672" spans="1:11">
      <c r="A28672" s="30" t="s">
        <v>62838</v>
      </c>
      <c r="B28672" s="30" t="s">
        <v>62839</v>
      </c>
      <c r="C28672" s="30" t="s">
        <v>62840</v>
      </c>
      <c r="D28672" s="30" t="s">
        <v>17</v>
      </c>
      <c r="E28672" s="30" t="s">
        <v>67</v>
      </c>
      <c r="F28672" s="30" t="s">
        <v>68</v>
      </c>
      <c r="G28672" s="30" t="s">
        <v>7780</v>
      </c>
      <c r="H28672" s="32">
        <v>72</v>
      </c>
      <c r="I28672" s="30" t="s">
        <v>51</v>
      </c>
      <c r="J28672" s="41">
        <v>46054</v>
      </c>
      <c r="K28672" s="30" t="s">
        <v>22</v>
      </c>
    </row>
    <row r="28673" spans="1:11">
      <c r="A28673" s="33" t="s">
        <v>62841</v>
      </c>
      <c r="B28673" s="33" t="s">
        <v>62842</v>
      </c>
      <c r="C28673" s="33" t="s">
        <v>3594</v>
      </c>
      <c r="D28673" s="33" t="s">
        <v>17</v>
      </c>
      <c r="E28673" s="33" t="s">
        <v>26</v>
      </c>
      <c r="F28673" s="33" t="s">
        <v>27</v>
      </c>
      <c r="G28673" s="33" t="s">
        <v>140</v>
      </c>
      <c r="H28673" s="35">
        <v>20</v>
      </c>
      <c r="I28673" s="33" t="s">
        <v>51</v>
      </c>
      <c r="J28673" s="42">
        <v>46129</v>
      </c>
      <c r="K28673" s="33" t="s">
        <v>22</v>
      </c>
    </row>
    <row r="28674" spans="1:11">
      <c r="A28674" s="30" t="s">
        <v>62843</v>
      </c>
      <c r="B28674" s="30" t="s">
        <v>62844</v>
      </c>
      <c r="C28674" s="30" t="s">
        <v>48199</v>
      </c>
      <c r="D28674" s="30" t="s">
        <v>17</v>
      </c>
      <c r="E28674" s="30" t="s">
        <v>26</v>
      </c>
      <c r="F28674" s="30" t="s">
        <v>27</v>
      </c>
      <c r="G28674" s="30" t="s">
        <v>7780</v>
      </c>
      <c r="H28674" s="32">
        <v>99</v>
      </c>
      <c r="I28674" s="30" t="s">
        <v>51</v>
      </c>
      <c r="J28674" s="41">
        <v>46233</v>
      </c>
      <c r="K28674" s="30" t="s">
        <v>22</v>
      </c>
    </row>
    <row r="28675" spans="1:11">
      <c r="A28675" s="33" t="s">
        <v>62845</v>
      </c>
      <c r="B28675" s="33" t="s">
        <v>62846</v>
      </c>
      <c r="C28675" s="33" t="s">
        <v>231</v>
      </c>
      <c r="D28675" s="33" t="s">
        <v>17</v>
      </c>
      <c r="E28675" s="33" t="s">
        <v>26</v>
      </c>
      <c r="F28675" s="33" t="s">
        <v>27</v>
      </c>
      <c r="G28675" s="33" t="s">
        <v>158</v>
      </c>
      <c r="H28675" s="35">
        <v>12</v>
      </c>
      <c r="I28675" s="33" t="s">
        <v>21</v>
      </c>
      <c r="J28675" s="42">
        <v>46183</v>
      </c>
      <c r="K28675" s="33" t="s">
        <v>22</v>
      </c>
    </row>
    <row r="28676" spans="1:11">
      <c r="A28676" s="30" t="s">
        <v>62847</v>
      </c>
      <c r="B28676" s="30" t="s">
        <v>62848</v>
      </c>
      <c r="C28676" s="30" t="s">
        <v>62849</v>
      </c>
      <c r="D28676" s="30" t="s">
        <v>17</v>
      </c>
      <c r="E28676" s="30" t="s">
        <v>31</v>
      </c>
      <c r="F28676" s="30" t="s">
        <v>32</v>
      </c>
      <c r="G28676" s="30" t="s">
        <v>140</v>
      </c>
      <c r="H28676" s="32">
        <v>70</v>
      </c>
      <c r="I28676" s="30" t="s">
        <v>51</v>
      </c>
      <c r="J28676" s="41">
        <v>46219</v>
      </c>
      <c r="K28676" s="30" t="s">
        <v>22</v>
      </c>
    </row>
    <row r="28677" spans="1:11">
      <c r="A28677" s="33" t="s">
        <v>62850</v>
      </c>
      <c r="B28677" s="33" t="s">
        <v>62851</v>
      </c>
      <c r="C28677" s="33" t="s">
        <v>14816</v>
      </c>
      <c r="D28677" s="33" t="s">
        <v>17</v>
      </c>
      <c r="E28677" s="33" t="s">
        <v>18</v>
      </c>
      <c r="F28677" s="33" t="s">
        <v>19</v>
      </c>
      <c r="G28677" s="33" t="s">
        <v>140</v>
      </c>
      <c r="H28677" s="35">
        <v>912</v>
      </c>
      <c r="I28677" s="33" t="s">
        <v>51</v>
      </c>
      <c r="J28677" s="42">
        <v>46147</v>
      </c>
      <c r="K28677" s="33" t="s">
        <v>22</v>
      </c>
    </row>
    <row r="28678" spans="1:11">
      <c r="A28678" s="30" t="s">
        <v>62852</v>
      </c>
      <c r="B28678" s="30" t="s">
        <v>62853</v>
      </c>
      <c r="C28678" s="30" t="s">
        <v>23717</v>
      </c>
      <c r="D28678" s="30" t="s">
        <v>17</v>
      </c>
      <c r="E28678" s="30" t="s">
        <v>31</v>
      </c>
      <c r="F28678" s="30" t="s">
        <v>32</v>
      </c>
      <c r="G28678" s="30" t="s">
        <v>7780</v>
      </c>
      <c r="H28678" s="32">
        <v>100</v>
      </c>
      <c r="I28678" s="30" t="s">
        <v>51</v>
      </c>
      <c r="J28678" s="41">
        <v>46204</v>
      </c>
      <c r="K28678" s="30" t="s">
        <v>22</v>
      </c>
    </row>
    <row r="28679" spans="1:11">
      <c r="A28679" s="33" t="s">
        <v>62854</v>
      </c>
      <c r="B28679" s="33" t="s">
        <v>62855</v>
      </c>
      <c r="C28679" s="33" t="s">
        <v>7488</v>
      </c>
      <c r="D28679" s="33" t="s">
        <v>17</v>
      </c>
      <c r="E28679" s="33" t="s">
        <v>31</v>
      </c>
      <c r="F28679" s="33" t="s">
        <v>32</v>
      </c>
      <c r="G28679" s="33" t="s">
        <v>140</v>
      </c>
      <c r="H28679" s="35">
        <v>200</v>
      </c>
      <c r="I28679" s="33" t="s">
        <v>51</v>
      </c>
      <c r="J28679" s="42">
        <v>46054</v>
      </c>
      <c r="K28679" s="33" t="s">
        <v>22</v>
      </c>
    </row>
    <row r="28680" spans="1:11">
      <c r="A28680" s="30" t="s">
        <v>62856</v>
      </c>
      <c r="B28680" s="30" t="s">
        <v>62857</v>
      </c>
      <c r="C28680" s="30" t="s">
        <v>29833</v>
      </c>
      <c r="D28680" s="30" t="s">
        <v>17</v>
      </c>
      <c r="E28680" s="30" t="s">
        <v>26</v>
      </c>
      <c r="F28680" s="30" t="s">
        <v>27</v>
      </c>
      <c r="G28680" s="30" t="s">
        <v>140</v>
      </c>
      <c r="H28680" s="32">
        <v>144</v>
      </c>
      <c r="I28680" s="30" t="s">
        <v>51</v>
      </c>
      <c r="J28680" s="41">
        <v>46107</v>
      </c>
      <c r="K28680" s="30" t="s">
        <v>22</v>
      </c>
    </row>
    <row r="28681" spans="1:11">
      <c r="A28681" s="33" t="s">
        <v>62858</v>
      </c>
      <c r="B28681" s="33" t="s">
        <v>62859</v>
      </c>
      <c r="C28681" s="33" t="s">
        <v>35237</v>
      </c>
      <c r="D28681" s="33" t="s">
        <v>17</v>
      </c>
      <c r="E28681" s="33" t="s">
        <v>31</v>
      </c>
      <c r="F28681" s="33" t="s">
        <v>32</v>
      </c>
      <c r="G28681" s="33" t="s">
        <v>7780</v>
      </c>
      <c r="H28681" s="35">
        <v>160</v>
      </c>
      <c r="I28681" s="33" t="s">
        <v>51</v>
      </c>
      <c r="J28681" s="42">
        <v>46082</v>
      </c>
      <c r="K28681" s="33" t="s">
        <v>22</v>
      </c>
    </row>
    <row r="28682" spans="1:11">
      <c r="A28682" s="30" t="s">
        <v>62860</v>
      </c>
      <c r="B28682" s="30" t="s">
        <v>62861</v>
      </c>
      <c r="C28682" s="30" t="s">
        <v>136</v>
      </c>
      <c r="D28682" s="30" t="s">
        <v>17</v>
      </c>
      <c r="E28682" s="30" t="s">
        <v>26</v>
      </c>
      <c r="F28682" s="30" t="s">
        <v>27</v>
      </c>
      <c r="G28682" s="30" t="s">
        <v>7780</v>
      </c>
      <c r="H28682" s="32">
        <v>50</v>
      </c>
      <c r="I28682" s="30" t="s">
        <v>51</v>
      </c>
      <c r="J28682" s="41">
        <v>46204</v>
      </c>
      <c r="K28682" s="30" t="s">
        <v>22</v>
      </c>
    </row>
    <row r="28683" spans="1:11">
      <c r="A28683" s="33" t="s">
        <v>62862</v>
      </c>
      <c r="B28683" s="33" t="s">
        <v>62863</v>
      </c>
      <c r="C28683" s="33" t="s">
        <v>4315</v>
      </c>
      <c r="D28683" s="33" t="s">
        <v>17</v>
      </c>
      <c r="E28683" s="33" t="s">
        <v>31</v>
      </c>
      <c r="F28683" s="33" t="s">
        <v>32</v>
      </c>
      <c r="G28683" s="33" t="s">
        <v>7780</v>
      </c>
      <c r="H28683" s="35">
        <v>120</v>
      </c>
      <c r="I28683" s="33" t="s">
        <v>51</v>
      </c>
      <c r="J28683" s="42">
        <v>46204</v>
      </c>
      <c r="K28683" s="33" t="s">
        <v>22</v>
      </c>
    </row>
    <row r="28684" spans="1:11">
      <c r="A28684" s="30" t="s">
        <v>62864</v>
      </c>
      <c r="B28684" s="30" t="s">
        <v>62865</v>
      </c>
      <c r="C28684" s="30" t="s">
        <v>29150</v>
      </c>
      <c r="D28684" s="30" t="s">
        <v>17</v>
      </c>
      <c r="E28684" s="30" t="s">
        <v>330</v>
      </c>
      <c r="F28684" s="30" t="s">
        <v>331</v>
      </c>
      <c r="G28684" s="30" t="s">
        <v>7780</v>
      </c>
      <c r="H28684" s="32">
        <v>24</v>
      </c>
      <c r="I28684" s="30" t="s">
        <v>51</v>
      </c>
      <c r="J28684" s="41">
        <v>46204</v>
      </c>
      <c r="K28684" s="30" t="s">
        <v>22</v>
      </c>
    </row>
    <row r="28685" spans="1:11">
      <c r="A28685" s="33" t="s">
        <v>62866</v>
      </c>
      <c r="B28685" s="33" t="s">
        <v>62867</v>
      </c>
      <c r="C28685" s="33" t="s">
        <v>62667</v>
      </c>
      <c r="D28685" s="33" t="s">
        <v>17</v>
      </c>
      <c r="E28685" s="33" t="s">
        <v>26</v>
      </c>
      <c r="F28685" s="33" t="s">
        <v>27</v>
      </c>
      <c r="G28685" s="33" t="s">
        <v>140</v>
      </c>
      <c r="H28685" s="35">
        <v>27</v>
      </c>
      <c r="I28685" s="33" t="s">
        <v>51</v>
      </c>
      <c r="J28685" s="42">
        <v>46216</v>
      </c>
      <c r="K28685" s="33" t="s">
        <v>22</v>
      </c>
    </row>
    <row r="28686" spans="1:11">
      <c r="A28686" s="30" t="s">
        <v>62868</v>
      </c>
      <c r="B28686" s="30" t="s">
        <v>62869</v>
      </c>
      <c r="C28686" s="30" t="s">
        <v>62870</v>
      </c>
      <c r="D28686" s="30" t="s">
        <v>17</v>
      </c>
      <c r="E28686" s="30" t="s">
        <v>31</v>
      </c>
      <c r="F28686" s="30" t="s">
        <v>32</v>
      </c>
      <c r="G28686" s="30" t="s">
        <v>140</v>
      </c>
      <c r="H28686" s="32">
        <v>180</v>
      </c>
      <c r="I28686" s="30" t="s">
        <v>51</v>
      </c>
      <c r="J28686" s="41">
        <v>46086</v>
      </c>
      <c r="K28686" s="30" t="s">
        <v>22</v>
      </c>
    </row>
    <row r="28687" spans="1:11">
      <c r="A28687" s="33" t="s">
        <v>62871</v>
      </c>
      <c r="B28687" s="33" t="s">
        <v>62872</v>
      </c>
      <c r="C28687" s="33" t="s">
        <v>2382</v>
      </c>
      <c r="D28687" s="33" t="s">
        <v>17</v>
      </c>
      <c r="E28687" s="33" t="s">
        <v>67</v>
      </c>
      <c r="F28687" s="33" t="s">
        <v>68</v>
      </c>
      <c r="G28687" s="33" t="s">
        <v>7780</v>
      </c>
      <c r="H28687" s="35">
        <v>80</v>
      </c>
      <c r="I28687" s="33" t="s">
        <v>51</v>
      </c>
      <c r="J28687" s="42">
        <v>46195</v>
      </c>
      <c r="K28687" s="33" t="s">
        <v>22</v>
      </c>
    </row>
    <row r="28688" spans="1:11">
      <c r="A28688" s="30" t="s">
        <v>62873</v>
      </c>
      <c r="B28688" s="30" t="s">
        <v>62874</v>
      </c>
      <c r="C28688" s="30" t="s">
        <v>15585</v>
      </c>
      <c r="D28688" s="30" t="s">
        <v>17</v>
      </c>
      <c r="E28688" s="30" t="s">
        <v>31</v>
      </c>
      <c r="F28688" s="30" t="s">
        <v>32</v>
      </c>
      <c r="G28688" s="30" t="s">
        <v>140</v>
      </c>
      <c r="H28688" s="32">
        <v>240</v>
      </c>
      <c r="I28688" s="30" t="s">
        <v>51</v>
      </c>
      <c r="J28688" s="41">
        <v>46217</v>
      </c>
      <c r="K28688" s="30" t="s">
        <v>22</v>
      </c>
    </row>
    <row r="28689" spans="1:11">
      <c r="A28689" s="33" t="s">
        <v>62875</v>
      </c>
      <c r="B28689" s="33" t="s">
        <v>62876</v>
      </c>
      <c r="C28689" s="33" t="s">
        <v>5636</v>
      </c>
      <c r="D28689" s="33" t="s">
        <v>17</v>
      </c>
      <c r="E28689" s="33" t="s">
        <v>18</v>
      </c>
      <c r="F28689" s="33" t="s">
        <v>19</v>
      </c>
      <c r="G28689" s="33" t="s">
        <v>7780</v>
      </c>
      <c r="H28689" s="35">
        <v>382</v>
      </c>
      <c r="I28689" s="33" t="s">
        <v>51</v>
      </c>
      <c r="J28689" s="42">
        <v>46173</v>
      </c>
      <c r="K28689" s="33" t="s">
        <v>22</v>
      </c>
    </row>
    <row r="28690" spans="1:11">
      <c r="A28690" s="30" t="s">
        <v>62877</v>
      </c>
      <c r="B28690" s="30" t="s">
        <v>62878</v>
      </c>
      <c r="C28690" s="30" t="s">
        <v>1210</v>
      </c>
      <c r="D28690" s="30" t="s">
        <v>17</v>
      </c>
      <c r="E28690" s="30" t="s">
        <v>18</v>
      </c>
      <c r="F28690" s="30" t="s">
        <v>19</v>
      </c>
      <c r="G28690" s="30" t="s">
        <v>140</v>
      </c>
      <c r="H28690" s="32">
        <v>20</v>
      </c>
      <c r="I28690" s="30" t="s">
        <v>51</v>
      </c>
      <c r="J28690" s="41">
        <v>46172</v>
      </c>
      <c r="K28690" s="30" t="s">
        <v>22</v>
      </c>
    </row>
    <row r="28691" spans="1:11">
      <c r="A28691" s="33" t="s">
        <v>62879</v>
      </c>
      <c r="B28691" s="33" t="s">
        <v>62880</v>
      </c>
      <c r="C28691" s="33" t="s">
        <v>1343</v>
      </c>
      <c r="D28691" s="33" t="s">
        <v>17</v>
      </c>
      <c r="E28691" s="33" t="s">
        <v>31</v>
      </c>
      <c r="F28691" s="33" t="s">
        <v>32</v>
      </c>
      <c r="G28691" s="33" t="s">
        <v>140</v>
      </c>
      <c r="H28691" s="35">
        <v>285</v>
      </c>
      <c r="I28691" s="33" t="s">
        <v>51</v>
      </c>
      <c r="J28691" s="42">
        <v>46042</v>
      </c>
      <c r="K28691" s="33" t="s">
        <v>22</v>
      </c>
    </row>
    <row r="28692" spans="1:11">
      <c r="A28692" s="30" t="s">
        <v>62881</v>
      </c>
      <c r="B28692" s="30" t="s">
        <v>62882</v>
      </c>
      <c r="C28692" s="30" t="s">
        <v>3258</v>
      </c>
      <c r="D28692" s="30" t="s">
        <v>17</v>
      </c>
      <c r="E28692" s="30" t="s">
        <v>26</v>
      </c>
      <c r="F28692" s="30" t="s">
        <v>27</v>
      </c>
      <c r="G28692" s="30" t="s">
        <v>140</v>
      </c>
      <c r="H28692" s="32">
        <v>28</v>
      </c>
      <c r="I28692" s="30" t="s">
        <v>51</v>
      </c>
      <c r="J28692" s="41">
        <v>46209</v>
      </c>
      <c r="K28692" s="30" t="s">
        <v>22</v>
      </c>
    </row>
    <row r="28693" spans="1:11">
      <c r="A28693" s="33" t="s">
        <v>62883</v>
      </c>
      <c r="B28693" s="33" t="s">
        <v>62884</v>
      </c>
      <c r="C28693" s="33" t="s">
        <v>25044</v>
      </c>
      <c r="D28693" s="33" t="s">
        <v>17</v>
      </c>
      <c r="E28693" s="33" t="s">
        <v>18</v>
      </c>
      <c r="F28693" s="33" t="s">
        <v>19</v>
      </c>
      <c r="G28693" s="33" t="s">
        <v>140</v>
      </c>
      <c r="H28693" s="35">
        <v>90</v>
      </c>
      <c r="I28693" s="33" t="s">
        <v>51</v>
      </c>
      <c r="J28693" s="42">
        <v>46114</v>
      </c>
      <c r="K28693" s="33" t="s">
        <v>22</v>
      </c>
    </row>
    <row r="28694" spans="1:11">
      <c r="A28694" s="30" t="s">
        <v>62885</v>
      </c>
      <c r="B28694" s="30" t="s">
        <v>62886</v>
      </c>
      <c r="C28694" s="30" t="s">
        <v>8554</v>
      </c>
      <c r="D28694" s="30" t="s">
        <v>17</v>
      </c>
      <c r="E28694" s="30" t="s">
        <v>18</v>
      </c>
      <c r="F28694" s="30" t="s">
        <v>19</v>
      </c>
      <c r="G28694" s="30" t="s">
        <v>140</v>
      </c>
      <c r="H28694" s="32">
        <v>358</v>
      </c>
      <c r="I28694" s="30" t="s">
        <v>51</v>
      </c>
      <c r="J28694" s="41">
        <v>46090</v>
      </c>
      <c r="K28694" s="30" t="s">
        <v>22</v>
      </c>
    </row>
    <row r="28695" spans="1:11">
      <c r="A28695" s="33" t="s">
        <v>62887</v>
      </c>
      <c r="B28695" s="33" t="s">
        <v>62888</v>
      </c>
      <c r="C28695" s="33" t="s">
        <v>40898</v>
      </c>
      <c r="D28695" s="33" t="s">
        <v>17</v>
      </c>
      <c r="E28695" s="33" t="s">
        <v>26</v>
      </c>
      <c r="F28695" s="33" t="s">
        <v>27</v>
      </c>
      <c r="G28695" s="33" t="s">
        <v>20</v>
      </c>
      <c r="H28695" s="35">
        <v>8</v>
      </c>
      <c r="I28695" s="33" t="s">
        <v>21</v>
      </c>
      <c r="J28695" s="42">
        <v>46071</v>
      </c>
      <c r="K28695" s="33" t="s">
        <v>22</v>
      </c>
    </row>
    <row r="28696" spans="1:11">
      <c r="A28696" s="30" t="s">
        <v>62889</v>
      </c>
      <c r="B28696" s="30" t="s">
        <v>62890</v>
      </c>
      <c r="C28696" s="30" t="s">
        <v>62891</v>
      </c>
      <c r="D28696" s="30" t="s">
        <v>17</v>
      </c>
      <c r="E28696" s="30" t="s">
        <v>26</v>
      </c>
      <c r="F28696" s="30" t="s">
        <v>27</v>
      </c>
      <c r="G28696" s="30" t="s">
        <v>7780</v>
      </c>
      <c r="H28696" s="32">
        <v>64</v>
      </c>
      <c r="I28696" s="30" t="s">
        <v>51</v>
      </c>
      <c r="J28696" s="41">
        <v>46177</v>
      </c>
      <c r="K28696" s="30" t="s">
        <v>22</v>
      </c>
    </row>
    <row r="28697" spans="1:11">
      <c r="A28697" s="33" t="s">
        <v>62892</v>
      </c>
      <c r="B28697" s="33" t="s">
        <v>62893</v>
      </c>
      <c r="C28697" s="33" t="s">
        <v>18047</v>
      </c>
      <c r="D28697" s="33" t="s">
        <v>17</v>
      </c>
      <c r="E28697" s="33" t="s">
        <v>31</v>
      </c>
      <c r="F28697" s="33" t="s">
        <v>32</v>
      </c>
      <c r="G28697" s="33" t="s">
        <v>7780</v>
      </c>
      <c r="H28697" s="35">
        <v>108</v>
      </c>
      <c r="I28697" s="33" t="s">
        <v>51</v>
      </c>
      <c r="J28697" s="42">
        <v>46218</v>
      </c>
      <c r="K28697" s="33" t="s">
        <v>22</v>
      </c>
    </row>
    <row r="28698" spans="1:11">
      <c r="A28698" s="30" t="s">
        <v>62894</v>
      </c>
      <c r="B28698" s="30" t="s">
        <v>62895</v>
      </c>
      <c r="C28698" s="30" t="s">
        <v>62896</v>
      </c>
      <c r="D28698" s="30" t="s">
        <v>17</v>
      </c>
      <c r="E28698" s="30" t="s">
        <v>67</v>
      </c>
      <c r="F28698" s="30" t="s">
        <v>68</v>
      </c>
      <c r="G28698" s="30" t="s">
        <v>112</v>
      </c>
      <c r="H28698" s="32">
        <v>0</v>
      </c>
      <c r="I28698" s="30" t="s">
        <v>21</v>
      </c>
      <c r="J28698" s="41">
        <v>46174</v>
      </c>
      <c r="K28698" s="30" t="s">
        <v>22</v>
      </c>
    </row>
    <row r="28699" spans="1:11">
      <c r="A28699" s="33" t="s">
        <v>62897</v>
      </c>
      <c r="B28699" s="33" t="s">
        <v>62898</v>
      </c>
      <c r="C28699" s="33" t="s">
        <v>379</v>
      </c>
      <c r="D28699" s="33" t="s">
        <v>17</v>
      </c>
      <c r="E28699" s="33" t="s">
        <v>26</v>
      </c>
      <c r="F28699" s="33" t="s">
        <v>27</v>
      </c>
      <c r="G28699" s="33" t="s">
        <v>140</v>
      </c>
      <c r="H28699" s="35">
        <v>258</v>
      </c>
      <c r="I28699" s="33" t="s">
        <v>51</v>
      </c>
      <c r="J28699" s="42">
        <v>46169</v>
      </c>
      <c r="K28699" s="33" t="s">
        <v>22</v>
      </c>
    </row>
    <row r="28700" spans="1:11">
      <c r="A28700" s="30" t="s">
        <v>62899</v>
      </c>
      <c r="B28700" s="30" t="s">
        <v>62900</v>
      </c>
      <c r="C28700" s="30" t="s">
        <v>40422</v>
      </c>
      <c r="D28700" s="30" t="s">
        <v>17</v>
      </c>
      <c r="E28700" s="30" t="s">
        <v>67</v>
      </c>
      <c r="F28700" s="30" t="s">
        <v>68</v>
      </c>
      <c r="G28700" s="30" t="s">
        <v>112</v>
      </c>
      <c r="H28700" s="32">
        <v>0</v>
      </c>
      <c r="I28700" s="30" t="s">
        <v>21</v>
      </c>
      <c r="J28700" s="41">
        <v>46204</v>
      </c>
      <c r="K28700" s="30" t="s">
        <v>22</v>
      </c>
    </row>
    <row r="28701" spans="1:11">
      <c r="A28701" s="33" t="s">
        <v>62901</v>
      </c>
      <c r="B28701" s="33" t="s">
        <v>62902</v>
      </c>
      <c r="C28701" s="33" t="s">
        <v>62903</v>
      </c>
      <c r="D28701" s="33" t="s">
        <v>17</v>
      </c>
      <c r="E28701" s="33" t="s">
        <v>212</v>
      </c>
      <c r="F28701" s="33" t="s">
        <v>213</v>
      </c>
      <c r="G28701" s="33" t="s">
        <v>7780</v>
      </c>
      <c r="H28701" s="35">
        <v>120</v>
      </c>
      <c r="I28701" s="33" t="s">
        <v>51</v>
      </c>
      <c r="J28701" s="42">
        <v>46174</v>
      </c>
      <c r="K28701" s="33" t="s">
        <v>22</v>
      </c>
    </row>
    <row r="28702" spans="1:11">
      <c r="A28702" s="30" t="s">
        <v>62904</v>
      </c>
      <c r="B28702" s="30" t="s">
        <v>62905</v>
      </c>
      <c r="C28702" s="30" t="s">
        <v>42561</v>
      </c>
      <c r="D28702" s="30" t="s">
        <v>17</v>
      </c>
      <c r="E28702" s="30" t="s">
        <v>18</v>
      </c>
      <c r="F28702" s="30" t="s">
        <v>19</v>
      </c>
      <c r="G28702" s="30" t="s">
        <v>140</v>
      </c>
      <c r="H28702" s="32">
        <v>350</v>
      </c>
      <c r="I28702" s="30" t="s">
        <v>51</v>
      </c>
      <c r="J28702" s="41">
        <v>46119</v>
      </c>
      <c r="K28702" s="30" t="s">
        <v>22</v>
      </c>
    </row>
    <row r="28703" spans="1:11">
      <c r="A28703" s="33" t="s">
        <v>62906</v>
      </c>
      <c r="B28703" s="33" t="s">
        <v>62907</v>
      </c>
      <c r="C28703" s="33" t="s">
        <v>9297</v>
      </c>
      <c r="D28703" s="33" t="s">
        <v>17</v>
      </c>
      <c r="E28703" s="33" t="s">
        <v>31</v>
      </c>
      <c r="F28703" s="33" t="s">
        <v>32</v>
      </c>
      <c r="G28703" s="33" t="s">
        <v>7780</v>
      </c>
      <c r="H28703" s="35">
        <v>177</v>
      </c>
      <c r="I28703" s="33" t="s">
        <v>51</v>
      </c>
      <c r="J28703" s="42">
        <v>46204</v>
      </c>
      <c r="K28703" s="33" t="s">
        <v>22</v>
      </c>
    </row>
    <row r="28704" spans="1:11">
      <c r="A28704" s="30" t="s">
        <v>62908</v>
      </c>
      <c r="B28704" s="30" t="s">
        <v>62909</v>
      </c>
      <c r="C28704" s="30" t="s">
        <v>8151</v>
      </c>
      <c r="D28704" s="30" t="s">
        <v>17</v>
      </c>
      <c r="E28704" s="30" t="s">
        <v>18</v>
      </c>
      <c r="F28704" s="30" t="s">
        <v>19</v>
      </c>
      <c r="G28704" s="30" t="s">
        <v>140</v>
      </c>
      <c r="H28704" s="32">
        <v>300</v>
      </c>
      <c r="I28704" s="30" t="s">
        <v>51</v>
      </c>
      <c r="J28704" s="41">
        <v>46070</v>
      </c>
      <c r="K28704" s="30" t="s">
        <v>22</v>
      </c>
    </row>
    <row r="28705" spans="1:11">
      <c r="A28705" s="33" t="s">
        <v>62910</v>
      </c>
      <c r="B28705" s="33" t="s">
        <v>62911</v>
      </c>
      <c r="C28705" s="33" t="s">
        <v>9086</v>
      </c>
      <c r="D28705" s="33" t="s">
        <v>17</v>
      </c>
      <c r="E28705" s="33" t="s">
        <v>31</v>
      </c>
      <c r="F28705" s="33" t="s">
        <v>32</v>
      </c>
      <c r="G28705" s="33" t="s">
        <v>140</v>
      </c>
      <c r="H28705" s="35">
        <v>28</v>
      </c>
      <c r="I28705" s="33" t="s">
        <v>51</v>
      </c>
      <c r="J28705" s="42">
        <v>46204</v>
      </c>
      <c r="K28705" s="33" t="s">
        <v>22</v>
      </c>
    </row>
    <row r="28706" spans="1:11">
      <c r="A28706" s="30" t="s">
        <v>62912</v>
      </c>
      <c r="B28706" s="30" t="s">
        <v>62913</v>
      </c>
      <c r="C28706" s="30" t="s">
        <v>190</v>
      </c>
      <c r="D28706" s="30" t="s">
        <v>17</v>
      </c>
      <c r="E28706" s="30" t="s">
        <v>26</v>
      </c>
      <c r="F28706" s="30" t="s">
        <v>27</v>
      </c>
      <c r="G28706" s="30" t="s">
        <v>140</v>
      </c>
      <c r="H28706" s="32">
        <v>152</v>
      </c>
      <c r="I28706" s="30" t="s">
        <v>51</v>
      </c>
      <c r="J28706" s="41">
        <v>46230</v>
      </c>
      <c r="K28706" s="30" t="s">
        <v>22</v>
      </c>
    </row>
    <row r="28707" spans="1:11">
      <c r="A28707" s="33" t="s">
        <v>62914</v>
      </c>
      <c r="B28707" s="33" t="s">
        <v>62915</v>
      </c>
      <c r="C28707" s="33" t="s">
        <v>650</v>
      </c>
      <c r="D28707" s="33" t="s">
        <v>17</v>
      </c>
      <c r="E28707" s="33" t="s">
        <v>26</v>
      </c>
      <c r="F28707" s="33" t="s">
        <v>27</v>
      </c>
      <c r="G28707" s="33" t="s">
        <v>140</v>
      </c>
      <c r="H28707" s="35">
        <v>24</v>
      </c>
      <c r="I28707" s="33" t="s">
        <v>51</v>
      </c>
      <c r="J28707" s="42">
        <v>46155</v>
      </c>
      <c r="K28707" s="33" t="s">
        <v>22</v>
      </c>
    </row>
    <row r="28708" spans="1:11">
      <c r="A28708" s="30" t="s">
        <v>62916</v>
      </c>
      <c r="B28708" s="30" t="s">
        <v>62917</v>
      </c>
      <c r="C28708" s="30" t="s">
        <v>11188</v>
      </c>
      <c r="D28708" s="30" t="s">
        <v>17</v>
      </c>
      <c r="E28708" s="30" t="s">
        <v>26</v>
      </c>
      <c r="F28708" s="30" t="s">
        <v>27</v>
      </c>
      <c r="G28708" s="30" t="s">
        <v>7780</v>
      </c>
      <c r="H28708" s="32">
        <v>30</v>
      </c>
      <c r="I28708" s="30" t="s">
        <v>51</v>
      </c>
      <c r="J28708" s="41">
        <v>46164</v>
      </c>
      <c r="K28708" s="30" t="s">
        <v>22</v>
      </c>
    </row>
    <row r="28709" spans="1:11">
      <c r="A28709" s="33" t="s">
        <v>62918</v>
      </c>
      <c r="B28709" s="33" t="s">
        <v>62919</v>
      </c>
      <c r="C28709" s="33" t="s">
        <v>190</v>
      </c>
      <c r="D28709" s="33" t="s">
        <v>17</v>
      </c>
      <c r="E28709" s="33" t="s">
        <v>26</v>
      </c>
      <c r="F28709" s="33" t="s">
        <v>27</v>
      </c>
      <c r="G28709" s="33" t="s">
        <v>20</v>
      </c>
      <c r="H28709" s="35">
        <v>65</v>
      </c>
      <c r="I28709" s="33" t="s">
        <v>21</v>
      </c>
      <c r="J28709" s="42">
        <v>46086</v>
      </c>
      <c r="K28709" s="33" t="s">
        <v>22</v>
      </c>
    </row>
    <row r="28710" spans="1:11">
      <c r="A28710" s="30" t="s">
        <v>62920</v>
      </c>
      <c r="B28710" s="30" t="s">
        <v>62921</v>
      </c>
      <c r="C28710" s="30" t="s">
        <v>1042</v>
      </c>
      <c r="D28710" s="30" t="s">
        <v>17</v>
      </c>
      <c r="E28710" s="30" t="s">
        <v>18</v>
      </c>
      <c r="F28710" s="30" t="s">
        <v>19</v>
      </c>
      <c r="G28710" s="30" t="s">
        <v>140</v>
      </c>
      <c r="H28710" s="32">
        <v>20</v>
      </c>
      <c r="I28710" s="30" t="s">
        <v>51</v>
      </c>
      <c r="J28710" s="41">
        <v>46054</v>
      </c>
      <c r="K28710" s="30" t="s">
        <v>22</v>
      </c>
    </row>
    <row r="28711" spans="1:11">
      <c r="A28711" s="33" t="s">
        <v>62922</v>
      </c>
      <c r="B28711" s="33" t="s">
        <v>62923</v>
      </c>
      <c r="C28711" s="33" t="s">
        <v>11942</v>
      </c>
      <c r="D28711" s="33" t="s">
        <v>17</v>
      </c>
      <c r="E28711" s="33" t="s">
        <v>26</v>
      </c>
      <c r="F28711" s="33" t="s">
        <v>27</v>
      </c>
      <c r="G28711" s="33" t="s">
        <v>158</v>
      </c>
      <c r="H28711" s="35">
        <v>18</v>
      </c>
      <c r="I28711" s="33" t="s">
        <v>51</v>
      </c>
      <c r="J28711" s="42">
        <v>46096</v>
      </c>
      <c r="K28711" s="33" t="s">
        <v>22</v>
      </c>
    </row>
    <row r="28712" spans="1:11">
      <c r="A28712" s="30" t="s">
        <v>62924</v>
      </c>
      <c r="B28712" s="30" t="s">
        <v>62925</v>
      </c>
      <c r="C28712" s="30" t="s">
        <v>12112</v>
      </c>
      <c r="D28712" s="30" t="s">
        <v>17</v>
      </c>
      <c r="E28712" s="30" t="s">
        <v>26</v>
      </c>
      <c r="F28712" s="30" t="s">
        <v>27</v>
      </c>
      <c r="G28712" s="30" t="s">
        <v>140</v>
      </c>
      <c r="H28712" s="32">
        <v>36</v>
      </c>
      <c r="I28712" s="30" t="s">
        <v>51</v>
      </c>
      <c r="J28712" s="41">
        <v>46204</v>
      </c>
      <c r="K28712" s="30" t="s">
        <v>22</v>
      </c>
    </row>
    <row r="28713" spans="1:11">
      <c r="A28713" s="33" t="s">
        <v>62926</v>
      </c>
      <c r="B28713" s="33" t="s">
        <v>62927</v>
      </c>
      <c r="C28713" s="33" t="s">
        <v>5720</v>
      </c>
      <c r="D28713" s="33" t="s">
        <v>17</v>
      </c>
      <c r="E28713" s="33" t="s">
        <v>330</v>
      </c>
      <c r="F28713" s="33" t="s">
        <v>331</v>
      </c>
      <c r="G28713" s="33" t="s">
        <v>140</v>
      </c>
      <c r="H28713" s="35">
        <v>13</v>
      </c>
      <c r="I28713" s="33" t="s">
        <v>51</v>
      </c>
      <c r="J28713" s="42">
        <v>46155</v>
      </c>
      <c r="K28713" s="33" t="s">
        <v>22</v>
      </c>
    </row>
    <row r="28714" spans="1:11">
      <c r="A28714" s="30" t="s">
        <v>62928</v>
      </c>
      <c r="B28714" s="30" t="s">
        <v>62929</v>
      </c>
      <c r="C28714" s="30" t="s">
        <v>96</v>
      </c>
      <c r="D28714" s="30" t="s">
        <v>17</v>
      </c>
      <c r="E28714" s="30" t="s">
        <v>31</v>
      </c>
      <c r="F28714" s="30" t="s">
        <v>32</v>
      </c>
      <c r="G28714" s="30" t="s">
        <v>140</v>
      </c>
      <c r="H28714" s="32">
        <v>24</v>
      </c>
      <c r="I28714" s="30" t="s">
        <v>51</v>
      </c>
      <c r="J28714" s="41">
        <v>46170</v>
      </c>
      <c r="K28714" s="30" t="s">
        <v>22</v>
      </c>
    </row>
    <row r="28715" spans="1:11">
      <c r="A28715" s="33" t="s">
        <v>62930</v>
      </c>
      <c r="B28715" s="33" t="s">
        <v>62931</v>
      </c>
      <c r="C28715" s="33" t="s">
        <v>252</v>
      </c>
      <c r="D28715" s="33" t="s">
        <v>17</v>
      </c>
      <c r="E28715" s="33" t="s">
        <v>67</v>
      </c>
      <c r="F28715" s="33" t="s">
        <v>68</v>
      </c>
      <c r="G28715" s="33" t="s">
        <v>7780</v>
      </c>
      <c r="H28715" s="35">
        <v>286</v>
      </c>
      <c r="I28715" s="33" t="s">
        <v>51</v>
      </c>
      <c r="J28715" s="42">
        <v>46179</v>
      </c>
      <c r="K28715" s="33" t="s">
        <v>22</v>
      </c>
    </row>
    <row r="28716" spans="1:11">
      <c r="A28716" s="30" t="s">
        <v>62932</v>
      </c>
      <c r="B28716" s="30" t="s">
        <v>62933</v>
      </c>
      <c r="C28716" s="30" t="s">
        <v>8768</v>
      </c>
      <c r="D28716" s="30" t="s">
        <v>17</v>
      </c>
      <c r="E28716" s="30" t="s">
        <v>18</v>
      </c>
      <c r="F28716" s="30" t="s">
        <v>19</v>
      </c>
      <c r="G28716" s="30" t="s">
        <v>140</v>
      </c>
      <c r="H28716" s="32">
        <v>40</v>
      </c>
      <c r="I28716" s="30" t="s">
        <v>51</v>
      </c>
      <c r="J28716" s="41">
        <v>46106</v>
      </c>
      <c r="K28716" s="30" t="s">
        <v>22</v>
      </c>
    </row>
    <row r="28717" spans="1:11">
      <c r="A28717" s="33" t="s">
        <v>62934</v>
      </c>
      <c r="B28717" s="33" t="s">
        <v>62935</v>
      </c>
      <c r="C28717" s="33" t="s">
        <v>190</v>
      </c>
      <c r="D28717" s="33" t="s">
        <v>17</v>
      </c>
      <c r="E28717" s="33" t="s">
        <v>26</v>
      </c>
      <c r="F28717" s="33" t="s">
        <v>27</v>
      </c>
      <c r="G28717" s="33" t="s">
        <v>20</v>
      </c>
      <c r="H28717" s="35">
        <v>16</v>
      </c>
      <c r="I28717" s="33" t="s">
        <v>21</v>
      </c>
      <c r="J28717" s="42">
        <v>46064</v>
      </c>
      <c r="K28717" s="33" t="s">
        <v>22</v>
      </c>
    </row>
    <row r="28718" spans="1:11">
      <c r="A28718" s="30" t="s">
        <v>62936</v>
      </c>
      <c r="B28718" s="30" t="s">
        <v>62937</v>
      </c>
      <c r="C28718" s="30" t="s">
        <v>93</v>
      </c>
      <c r="D28718" s="30" t="s">
        <v>17</v>
      </c>
      <c r="E28718" s="30" t="s">
        <v>26</v>
      </c>
      <c r="F28718" s="30" t="s">
        <v>27</v>
      </c>
      <c r="G28718" s="30" t="s">
        <v>140</v>
      </c>
      <c r="H28718" s="32">
        <v>12</v>
      </c>
      <c r="I28718" s="30" t="s">
        <v>51</v>
      </c>
      <c r="J28718" s="41">
        <v>46196</v>
      </c>
      <c r="K28718" s="30" t="s">
        <v>22</v>
      </c>
    </row>
    <row r="28719" spans="1:11">
      <c r="A28719" s="33" t="s">
        <v>62938</v>
      </c>
      <c r="B28719" s="33" t="s">
        <v>62939</v>
      </c>
      <c r="C28719" s="33" t="s">
        <v>15585</v>
      </c>
      <c r="D28719" s="33" t="s">
        <v>17</v>
      </c>
      <c r="E28719" s="33" t="s">
        <v>26</v>
      </c>
      <c r="F28719" s="33" t="s">
        <v>27</v>
      </c>
      <c r="G28719" s="33" t="s">
        <v>7780</v>
      </c>
      <c r="H28719" s="35">
        <v>6</v>
      </c>
      <c r="I28719" s="33" t="s">
        <v>51</v>
      </c>
      <c r="J28719" s="42">
        <v>46204</v>
      </c>
      <c r="K28719" s="33" t="s">
        <v>22</v>
      </c>
    </row>
    <row r="28720" spans="1:11">
      <c r="A28720" s="30" t="s">
        <v>62940</v>
      </c>
      <c r="B28720" s="30" t="s">
        <v>62941</v>
      </c>
      <c r="C28720" s="30" t="s">
        <v>19406</v>
      </c>
      <c r="D28720" s="30" t="s">
        <v>17</v>
      </c>
      <c r="E28720" s="30" t="s">
        <v>31</v>
      </c>
      <c r="F28720" s="30" t="s">
        <v>32</v>
      </c>
      <c r="G28720" s="30" t="s">
        <v>140</v>
      </c>
      <c r="H28720" s="32">
        <v>60</v>
      </c>
      <c r="I28720" s="30" t="s">
        <v>51</v>
      </c>
      <c r="J28720" s="41">
        <v>46206</v>
      </c>
      <c r="K28720" s="30" t="s">
        <v>22</v>
      </c>
    </row>
    <row r="28721" spans="1:11">
      <c r="A28721" s="33" t="s">
        <v>62942</v>
      </c>
      <c r="B28721" s="33" t="s">
        <v>62943</v>
      </c>
      <c r="C28721" s="33" t="s">
        <v>3610</v>
      </c>
      <c r="D28721" s="33" t="s">
        <v>17</v>
      </c>
      <c r="E28721" s="33" t="s">
        <v>26</v>
      </c>
      <c r="F28721" s="33" t="s">
        <v>27</v>
      </c>
      <c r="G28721" s="33" t="s">
        <v>20</v>
      </c>
      <c r="H28721" s="35">
        <v>31</v>
      </c>
      <c r="I28721" s="33" t="s">
        <v>21</v>
      </c>
      <c r="J28721" s="42">
        <v>46135</v>
      </c>
      <c r="K28721" s="33" t="s">
        <v>22</v>
      </c>
    </row>
    <row r="28722" spans="1:11">
      <c r="A28722" s="30" t="s">
        <v>62944</v>
      </c>
      <c r="B28722" s="30" t="s">
        <v>62945</v>
      </c>
      <c r="C28722" s="30" t="s">
        <v>276</v>
      </c>
      <c r="D28722" s="30" t="s">
        <v>17</v>
      </c>
      <c r="E28722" s="30" t="s">
        <v>67</v>
      </c>
      <c r="F28722" s="30" t="s">
        <v>68</v>
      </c>
      <c r="G28722" s="30" t="s">
        <v>140</v>
      </c>
      <c r="H28722" s="32">
        <v>138</v>
      </c>
      <c r="I28722" s="30" t="s">
        <v>51</v>
      </c>
      <c r="J28722" s="41">
        <v>46160</v>
      </c>
      <c r="K28722" s="30" t="s">
        <v>22</v>
      </c>
    </row>
    <row r="28723" spans="1:11">
      <c r="A28723" s="33" t="s">
        <v>62946</v>
      </c>
      <c r="B28723" s="33" t="s">
        <v>62947</v>
      </c>
      <c r="C28723" s="33" t="s">
        <v>34992</v>
      </c>
      <c r="D28723" s="33" t="s">
        <v>17</v>
      </c>
      <c r="E28723" s="33" t="s">
        <v>18</v>
      </c>
      <c r="F28723" s="33" t="s">
        <v>19</v>
      </c>
      <c r="G28723" s="33" t="s">
        <v>140</v>
      </c>
      <c r="H28723" s="35">
        <v>786</v>
      </c>
      <c r="I28723" s="33" t="s">
        <v>51</v>
      </c>
      <c r="J28723" s="42">
        <v>46042</v>
      </c>
      <c r="K28723" s="33" t="s">
        <v>22</v>
      </c>
    </row>
    <row r="28724" spans="1:11">
      <c r="A28724" s="30" t="s">
        <v>62948</v>
      </c>
      <c r="B28724" s="30" t="s">
        <v>62949</v>
      </c>
      <c r="C28724" s="30" t="s">
        <v>136</v>
      </c>
      <c r="D28724" s="30" t="s">
        <v>17</v>
      </c>
      <c r="E28724" s="30" t="s">
        <v>26</v>
      </c>
      <c r="F28724" s="30" t="s">
        <v>27</v>
      </c>
      <c r="G28724" s="30" t="s">
        <v>140</v>
      </c>
      <c r="H28724" s="32">
        <v>36</v>
      </c>
      <c r="I28724" s="30" t="s">
        <v>51</v>
      </c>
      <c r="J28724" s="41">
        <v>46063</v>
      </c>
      <c r="K28724" s="30" t="s">
        <v>22</v>
      </c>
    </row>
    <row r="28725" spans="1:11">
      <c r="A28725" s="33" t="s">
        <v>62950</v>
      </c>
      <c r="B28725" s="33" t="s">
        <v>62951</v>
      </c>
      <c r="C28725" s="33" t="s">
        <v>1764</v>
      </c>
      <c r="D28725" s="33" t="s">
        <v>17</v>
      </c>
      <c r="E28725" s="33" t="s">
        <v>18</v>
      </c>
      <c r="F28725" s="33" t="s">
        <v>19</v>
      </c>
      <c r="G28725" s="33" t="s">
        <v>20</v>
      </c>
      <c r="H28725" s="35">
        <v>134</v>
      </c>
      <c r="I28725" s="33" t="s">
        <v>21</v>
      </c>
      <c r="J28725" s="42">
        <v>46048</v>
      </c>
      <c r="K28725" s="33" t="s">
        <v>22</v>
      </c>
    </row>
    <row r="28726" spans="1:11">
      <c r="A28726" s="30" t="s">
        <v>62952</v>
      </c>
      <c r="B28726" s="30" t="s">
        <v>62953</v>
      </c>
      <c r="C28726" s="30" t="s">
        <v>62954</v>
      </c>
      <c r="D28726" s="30" t="s">
        <v>17</v>
      </c>
      <c r="E28726" s="30" t="s">
        <v>26</v>
      </c>
      <c r="F28726" s="30" t="s">
        <v>27</v>
      </c>
      <c r="G28726" s="30" t="s">
        <v>140</v>
      </c>
      <c r="H28726" s="32">
        <v>28</v>
      </c>
      <c r="I28726" s="30" t="s">
        <v>51</v>
      </c>
      <c r="J28726" s="41">
        <v>46163</v>
      </c>
      <c r="K28726" s="30" t="s">
        <v>22</v>
      </c>
    </row>
    <row r="28727" spans="1:11">
      <c r="A28727" s="33" t="s">
        <v>62955</v>
      </c>
      <c r="B28727" s="33" t="s">
        <v>62956</v>
      </c>
      <c r="C28727" s="33" t="s">
        <v>6625</v>
      </c>
      <c r="D28727" s="33" t="s">
        <v>17</v>
      </c>
      <c r="E28727" s="33" t="s">
        <v>26</v>
      </c>
      <c r="F28727" s="33" t="s">
        <v>27</v>
      </c>
      <c r="G28727" s="33" t="s">
        <v>140</v>
      </c>
      <c r="H28727" s="35">
        <v>52</v>
      </c>
      <c r="I28727" s="33" t="s">
        <v>51</v>
      </c>
      <c r="J28727" s="42">
        <v>46113</v>
      </c>
      <c r="K28727" s="33" t="s">
        <v>22</v>
      </c>
    </row>
  </sheetData>
  <autoFilter ref="A1:K28727"/>
  <pageMargins left="0.7" right="0.7" top="0.75" bottom="0.75" header="0.3" footer="0.3"/>
</worksheet>
</file>

<file path=xl/worksheets/sheet14.xml><?xml version="1.0" encoding="utf-8"?>
<worksheet xmlns="http://schemas.openxmlformats.org/spreadsheetml/2006/main" xmlns:r="http://schemas.openxmlformats.org/officeDocument/2006/relationships">
  <sheetPr>
    <tabColor rgb="FFBDD7EE"/>
  </sheetPr>
  <dimension ref="A1:J417"/>
  <sheetViews>
    <sheetView workbookViewId="0">
      <pane ySplit="2" topLeftCell="A3" activePane="bottomLeft" state="frozen"/>
      <selection pane="bottomLeft"/>
    </sheetView>
  </sheetViews>
  <sheetFormatPr defaultRowHeight="15"/>
  <cols>
    <col min="1" max="1" width="12.7109375" customWidth="1"/>
    <col min="2" max="3" width="14.7109375" customWidth="1"/>
    <col min="4" max="4" width="18.7109375" customWidth="1"/>
    <col min="5" max="5" width="22.7109375" customWidth="1"/>
    <col min="6" max="7" width="8.7109375" customWidth="1"/>
    <col min="8" max="8" width="12.7109375" customWidth="1"/>
    <col min="9" max="9" width="40.7109375" customWidth="1"/>
    <col min="10" max="10" width="50.7109375" customWidth="1"/>
  </cols>
  <sheetData>
    <row r="1" spans="1:10">
      <c r="A1" s="22" t="s">
        <v>62982</v>
      </c>
    </row>
    <row r="2" spans="1:10">
      <c r="A2" s="24" t="s">
        <v>62983</v>
      </c>
      <c r="B2" s="24" t="s">
        <v>62984</v>
      </c>
      <c r="C2" s="24" t="s">
        <v>62985</v>
      </c>
      <c r="D2" s="11" t="s">
        <v>62986</v>
      </c>
      <c r="E2" s="11" t="s">
        <v>62987</v>
      </c>
      <c r="F2" s="11" t="s">
        <v>62975</v>
      </c>
      <c r="G2" s="11" t="s">
        <v>62957</v>
      </c>
      <c r="H2" s="11" t="s">
        <v>62988</v>
      </c>
      <c r="I2" s="11" t="s">
        <v>62989</v>
      </c>
      <c r="J2" s="11" t="s">
        <v>62990</v>
      </c>
    </row>
    <row r="3" spans="1:10">
      <c r="A3" s="30" t="s">
        <v>62991</v>
      </c>
      <c r="B3" s="43">
        <v>46227</v>
      </c>
      <c r="C3" s="30" t="s">
        <v>62992</v>
      </c>
      <c r="D3" s="30" t="s">
        <v>62993</v>
      </c>
      <c r="E3" s="30" t="s">
        <v>62994</v>
      </c>
      <c r="F3" s="12">
        <v>7</v>
      </c>
      <c r="G3" s="12">
        <v>2026</v>
      </c>
      <c r="H3" s="30" t="s">
        <v>62995</v>
      </c>
      <c r="I3" s="30" t="s">
        <v>62996</v>
      </c>
      <c r="J3" s="30" t="s">
        <v>62997</v>
      </c>
    </row>
    <row r="4" spans="1:10">
      <c r="A4" s="33" t="s">
        <v>62991</v>
      </c>
      <c r="B4" s="44">
        <v>46227</v>
      </c>
      <c r="C4" s="33" t="s">
        <v>62998</v>
      </c>
      <c r="D4" s="33" t="s">
        <v>62999</v>
      </c>
      <c r="E4" s="33" t="s">
        <v>63000</v>
      </c>
      <c r="F4" s="12">
        <v>7</v>
      </c>
      <c r="G4" s="12">
        <v>2026</v>
      </c>
      <c r="H4" s="33" t="s">
        <v>62995</v>
      </c>
      <c r="I4" s="33" t="s">
        <v>63001</v>
      </c>
      <c r="J4" s="33" t="s">
        <v>62997</v>
      </c>
    </row>
    <row r="5" spans="1:10">
      <c r="A5" s="30" t="s">
        <v>62991</v>
      </c>
      <c r="B5" s="43">
        <v>46225</v>
      </c>
      <c r="C5" s="30" t="s">
        <v>62992</v>
      </c>
      <c r="D5" s="30" t="s">
        <v>63002</v>
      </c>
      <c r="E5" s="30" t="s">
        <v>63003</v>
      </c>
      <c r="F5" s="12">
        <v>7</v>
      </c>
      <c r="G5" s="12">
        <v>2026</v>
      </c>
      <c r="H5" s="30" t="s">
        <v>62995</v>
      </c>
      <c r="I5" s="30" t="s">
        <v>63004</v>
      </c>
      <c r="J5" s="30" t="s">
        <v>62997</v>
      </c>
    </row>
    <row r="6" spans="1:10">
      <c r="A6" s="33" t="s">
        <v>62991</v>
      </c>
      <c r="B6" s="44">
        <v>46218</v>
      </c>
      <c r="C6" s="33" t="s">
        <v>62992</v>
      </c>
      <c r="D6" s="33" t="s">
        <v>63005</v>
      </c>
      <c r="E6" s="33" t="s">
        <v>63006</v>
      </c>
      <c r="F6" s="12">
        <v>7</v>
      </c>
      <c r="G6" s="12">
        <v>2026</v>
      </c>
      <c r="H6" s="33" t="s">
        <v>62995</v>
      </c>
      <c r="I6" s="33" t="s">
        <v>63007</v>
      </c>
      <c r="J6" s="33" t="s">
        <v>62997</v>
      </c>
    </row>
    <row r="7" spans="1:10">
      <c r="A7" s="30" t="s">
        <v>62991</v>
      </c>
      <c r="B7" s="43">
        <v>46217</v>
      </c>
      <c r="C7" s="30" t="s">
        <v>62992</v>
      </c>
      <c r="D7" s="30" t="s">
        <v>63008</v>
      </c>
      <c r="E7" s="30" t="s">
        <v>63009</v>
      </c>
      <c r="F7" s="12">
        <v>7</v>
      </c>
      <c r="G7" s="12">
        <v>2026</v>
      </c>
      <c r="H7" s="30" t="s">
        <v>62995</v>
      </c>
      <c r="I7" s="30" t="s">
        <v>63010</v>
      </c>
      <c r="J7" s="30" t="s">
        <v>62997</v>
      </c>
    </row>
    <row r="8" spans="1:10">
      <c r="A8" s="33" t="s">
        <v>62991</v>
      </c>
      <c r="B8" s="44">
        <v>46210</v>
      </c>
      <c r="C8" s="33" t="s">
        <v>62998</v>
      </c>
      <c r="D8" s="33" t="s">
        <v>63011</v>
      </c>
      <c r="E8" s="33" t="s">
        <v>63012</v>
      </c>
      <c r="F8" s="12">
        <v>7</v>
      </c>
      <c r="G8" s="12">
        <v>2026</v>
      </c>
      <c r="H8" s="33" t="s">
        <v>62995</v>
      </c>
      <c r="I8" s="33" t="s">
        <v>63013</v>
      </c>
      <c r="J8" s="33" t="s">
        <v>62997</v>
      </c>
    </row>
    <row r="9" spans="1:10">
      <c r="A9" s="30" t="s">
        <v>63014</v>
      </c>
      <c r="B9" s="43">
        <v>46203</v>
      </c>
      <c r="C9" s="30" t="s">
        <v>62998</v>
      </c>
      <c r="D9" s="30" t="s">
        <v>63015</v>
      </c>
      <c r="E9" s="30" t="s">
        <v>63015</v>
      </c>
      <c r="F9" s="12">
        <v>6</v>
      </c>
      <c r="G9" s="12">
        <v>2026</v>
      </c>
      <c r="H9" s="30" t="s">
        <v>63016</v>
      </c>
      <c r="I9" s="30" t="s">
        <v>63017</v>
      </c>
      <c r="J9" s="30" t="s">
        <v>63018</v>
      </c>
    </row>
    <row r="10" spans="1:10">
      <c r="A10" s="33" t="s">
        <v>62991</v>
      </c>
      <c r="B10" s="44">
        <v>46199</v>
      </c>
      <c r="C10" s="33" t="s">
        <v>62998</v>
      </c>
      <c r="D10" s="33" t="s">
        <v>63019</v>
      </c>
      <c r="E10" s="33" t="s">
        <v>63020</v>
      </c>
      <c r="F10" s="12">
        <v>6</v>
      </c>
      <c r="G10" s="12">
        <v>2026</v>
      </c>
      <c r="H10" s="33" t="s">
        <v>63016</v>
      </c>
      <c r="I10" s="33" t="s">
        <v>63021</v>
      </c>
      <c r="J10" s="33" t="s">
        <v>62997</v>
      </c>
    </row>
    <row r="11" spans="1:10">
      <c r="A11" s="30" t="s">
        <v>62991</v>
      </c>
      <c r="B11" s="43">
        <v>46190</v>
      </c>
      <c r="C11" s="30" t="s">
        <v>62992</v>
      </c>
      <c r="D11" s="30" t="s">
        <v>63022</v>
      </c>
      <c r="E11" s="30" t="s">
        <v>63023</v>
      </c>
      <c r="F11" s="12">
        <v>6</v>
      </c>
      <c r="G11" s="12">
        <v>2026</v>
      </c>
      <c r="H11" s="30" t="s">
        <v>63016</v>
      </c>
      <c r="I11" s="30" t="s">
        <v>63024</v>
      </c>
      <c r="J11" s="30" t="s">
        <v>62997</v>
      </c>
    </row>
    <row r="12" spans="1:10">
      <c r="A12" s="33" t="s">
        <v>62991</v>
      </c>
      <c r="B12" s="44">
        <v>46185</v>
      </c>
      <c r="C12" s="33" t="s">
        <v>62992</v>
      </c>
      <c r="D12" s="33" t="s">
        <v>63025</v>
      </c>
      <c r="E12" s="33" t="s">
        <v>63026</v>
      </c>
      <c r="F12" s="12">
        <v>6</v>
      </c>
      <c r="G12" s="12">
        <v>2026</v>
      </c>
      <c r="H12" s="33" t="s">
        <v>63016</v>
      </c>
      <c r="I12" s="33" t="s">
        <v>63027</v>
      </c>
      <c r="J12" s="33" t="s">
        <v>62997</v>
      </c>
    </row>
    <row r="13" spans="1:10">
      <c r="A13" s="30" t="s">
        <v>62991</v>
      </c>
      <c r="B13" s="43">
        <v>46171</v>
      </c>
      <c r="C13" s="30" t="s">
        <v>62992</v>
      </c>
      <c r="D13" s="30" t="s">
        <v>63028</v>
      </c>
      <c r="E13" s="30" t="s">
        <v>63029</v>
      </c>
      <c r="F13" s="12">
        <v>5</v>
      </c>
      <c r="G13" s="12">
        <v>2026</v>
      </c>
      <c r="H13" s="30" t="s">
        <v>63030</v>
      </c>
      <c r="I13" s="30" t="s">
        <v>63031</v>
      </c>
      <c r="J13" s="30" t="s">
        <v>62997</v>
      </c>
    </row>
    <row r="14" spans="1:10">
      <c r="A14" s="33" t="s">
        <v>62991</v>
      </c>
      <c r="B14" s="44">
        <v>46171</v>
      </c>
      <c r="C14" s="33" t="s">
        <v>62992</v>
      </c>
      <c r="D14" s="33" t="s">
        <v>63032</v>
      </c>
      <c r="E14" s="33" t="s">
        <v>63033</v>
      </c>
      <c r="F14" s="12">
        <v>5</v>
      </c>
      <c r="G14" s="12">
        <v>2026</v>
      </c>
      <c r="H14" s="33" t="s">
        <v>63030</v>
      </c>
      <c r="I14" s="33" t="s">
        <v>63034</v>
      </c>
      <c r="J14" s="33" t="s">
        <v>62997</v>
      </c>
    </row>
    <row r="15" spans="1:10">
      <c r="A15" s="30" t="s">
        <v>62991</v>
      </c>
      <c r="B15" s="43">
        <v>46171</v>
      </c>
      <c r="C15" s="30" t="s">
        <v>62992</v>
      </c>
      <c r="D15" s="30" t="s">
        <v>63035</v>
      </c>
      <c r="E15" s="30" t="s">
        <v>63036</v>
      </c>
      <c r="F15" s="12">
        <v>5</v>
      </c>
      <c r="G15" s="12">
        <v>2026</v>
      </c>
      <c r="H15" s="30" t="s">
        <v>63030</v>
      </c>
      <c r="I15" s="30" t="s">
        <v>63037</v>
      </c>
      <c r="J15" s="30" t="s">
        <v>62997</v>
      </c>
    </row>
    <row r="16" spans="1:10">
      <c r="A16" s="33" t="s">
        <v>62991</v>
      </c>
      <c r="B16" s="44">
        <v>46169</v>
      </c>
      <c r="C16" s="33" t="s">
        <v>62998</v>
      </c>
      <c r="D16" s="33" t="s">
        <v>63038</v>
      </c>
      <c r="E16" s="33" t="s">
        <v>63039</v>
      </c>
      <c r="F16" s="12">
        <v>5</v>
      </c>
      <c r="G16" s="12">
        <v>2026</v>
      </c>
      <c r="H16" s="33" t="s">
        <v>63030</v>
      </c>
      <c r="I16" s="33" t="s">
        <v>63040</v>
      </c>
      <c r="J16" s="33" t="s">
        <v>62997</v>
      </c>
    </row>
    <row r="17" spans="1:10">
      <c r="A17" s="30" t="s">
        <v>62991</v>
      </c>
      <c r="B17" s="43">
        <v>46164</v>
      </c>
      <c r="C17" s="30" t="s">
        <v>62998</v>
      </c>
      <c r="D17" s="30" t="s">
        <v>63041</v>
      </c>
      <c r="E17" s="30" t="s">
        <v>63042</v>
      </c>
      <c r="F17" s="12">
        <v>5</v>
      </c>
      <c r="G17" s="12">
        <v>2026</v>
      </c>
      <c r="H17" s="30" t="s">
        <v>63030</v>
      </c>
      <c r="I17" s="30" t="s">
        <v>63043</v>
      </c>
      <c r="J17" s="30" t="s">
        <v>62997</v>
      </c>
    </row>
    <row r="18" spans="1:10">
      <c r="A18" s="33" t="s">
        <v>62991</v>
      </c>
      <c r="B18" s="44">
        <v>46157</v>
      </c>
      <c r="C18" s="33" t="s">
        <v>62992</v>
      </c>
      <c r="D18" s="33" t="s">
        <v>63044</v>
      </c>
      <c r="E18" s="33" t="s">
        <v>63045</v>
      </c>
      <c r="F18" s="12">
        <v>5</v>
      </c>
      <c r="G18" s="12">
        <v>2026</v>
      </c>
      <c r="H18" s="33" t="s">
        <v>63030</v>
      </c>
      <c r="I18" s="33" t="s">
        <v>63046</v>
      </c>
      <c r="J18" s="33" t="s">
        <v>62997</v>
      </c>
    </row>
    <row r="19" spans="1:10">
      <c r="A19" s="30" t="s">
        <v>62991</v>
      </c>
      <c r="B19" s="43">
        <v>46155</v>
      </c>
      <c r="C19" s="30" t="s">
        <v>62992</v>
      </c>
      <c r="D19" s="30" t="s">
        <v>63047</v>
      </c>
      <c r="E19" s="30" t="s">
        <v>63048</v>
      </c>
      <c r="F19" s="12">
        <v>5</v>
      </c>
      <c r="G19" s="12">
        <v>2026</v>
      </c>
      <c r="H19" s="30" t="s">
        <v>63030</v>
      </c>
      <c r="I19" s="30" t="s">
        <v>63049</v>
      </c>
      <c r="J19" s="30" t="s">
        <v>62997</v>
      </c>
    </row>
    <row r="20" spans="1:10">
      <c r="A20" s="33" t="s">
        <v>62991</v>
      </c>
      <c r="B20" s="44">
        <v>46143</v>
      </c>
      <c r="C20" s="33" t="s">
        <v>62992</v>
      </c>
      <c r="D20" s="33" t="s">
        <v>63050</v>
      </c>
      <c r="E20" s="33" t="s">
        <v>63051</v>
      </c>
      <c r="F20" s="12">
        <v>5</v>
      </c>
      <c r="G20" s="12">
        <v>2026</v>
      </c>
      <c r="H20" s="33" t="s">
        <v>63030</v>
      </c>
      <c r="I20" s="33" t="s">
        <v>63052</v>
      </c>
      <c r="J20" s="33" t="s">
        <v>62997</v>
      </c>
    </row>
    <row r="21" spans="1:10">
      <c r="A21" s="30" t="s">
        <v>63014</v>
      </c>
      <c r="B21" s="43">
        <v>46135</v>
      </c>
      <c r="C21" s="30" t="s">
        <v>62998</v>
      </c>
      <c r="D21" s="30" t="s">
        <v>63053</v>
      </c>
      <c r="E21" s="30" t="s">
        <v>63053</v>
      </c>
      <c r="F21" s="12">
        <v>4</v>
      </c>
      <c r="G21" s="12">
        <v>2026</v>
      </c>
      <c r="H21" s="30" t="s">
        <v>63054</v>
      </c>
      <c r="I21" s="30" t="s">
        <v>63055</v>
      </c>
      <c r="J21" s="30" t="s">
        <v>63018</v>
      </c>
    </row>
    <row r="22" spans="1:10">
      <c r="A22" s="33" t="s">
        <v>62991</v>
      </c>
      <c r="B22" s="44">
        <v>46132</v>
      </c>
      <c r="C22" s="33" t="s">
        <v>62992</v>
      </c>
      <c r="D22" s="33" t="s">
        <v>63056</v>
      </c>
      <c r="E22" s="33" t="s">
        <v>63057</v>
      </c>
      <c r="F22" s="12">
        <v>4</v>
      </c>
      <c r="G22" s="12">
        <v>2026</v>
      </c>
      <c r="H22" s="33" t="s">
        <v>63054</v>
      </c>
      <c r="I22" s="33" t="s">
        <v>63058</v>
      </c>
      <c r="J22" s="33" t="s">
        <v>62997</v>
      </c>
    </row>
    <row r="23" spans="1:10">
      <c r="A23" s="30" t="s">
        <v>62991</v>
      </c>
      <c r="B23" s="43">
        <v>46113</v>
      </c>
      <c r="C23" s="30" t="s">
        <v>62992</v>
      </c>
      <c r="D23" s="30" t="s">
        <v>63059</v>
      </c>
      <c r="E23" s="30" t="s">
        <v>63060</v>
      </c>
      <c r="F23" s="12">
        <v>4</v>
      </c>
      <c r="G23" s="12">
        <v>2026</v>
      </c>
      <c r="H23" s="30" t="s">
        <v>63054</v>
      </c>
      <c r="I23" s="30" t="s">
        <v>63061</v>
      </c>
      <c r="J23" s="30" t="s">
        <v>62997</v>
      </c>
    </row>
    <row r="24" spans="1:10">
      <c r="A24" s="33" t="s">
        <v>62991</v>
      </c>
      <c r="B24" s="44">
        <v>46107</v>
      </c>
      <c r="C24" s="33" t="s">
        <v>62998</v>
      </c>
      <c r="D24" s="33" t="s">
        <v>63062</v>
      </c>
      <c r="E24" s="33" t="s">
        <v>63063</v>
      </c>
      <c r="F24" s="12">
        <v>3</v>
      </c>
      <c r="G24" s="12">
        <v>2026</v>
      </c>
      <c r="H24" s="33" t="s">
        <v>63064</v>
      </c>
      <c r="I24" s="33" t="s">
        <v>63065</v>
      </c>
      <c r="J24" s="33" t="s">
        <v>62997</v>
      </c>
    </row>
    <row r="25" spans="1:10">
      <c r="A25" s="30" t="s">
        <v>63014</v>
      </c>
      <c r="B25" s="43">
        <v>46107</v>
      </c>
      <c r="C25" s="30" t="s">
        <v>62998</v>
      </c>
      <c r="D25" s="30" t="s">
        <v>63066</v>
      </c>
      <c r="E25" s="30" t="s">
        <v>63066</v>
      </c>
      <c r="F25" s="12">
        <v>3</v>
      </c>
      <c r="G25" s="12">
        <v>2026</v>
      </c>
      <c r="H25" s="30" t="s">
        <v>63064</v>
      </c>
      <c r="I25" s="30" t="s">
        <v>63067</v>
      </c>
      <c r="J25" s="30" t="s">
        <v>63018</v>
      </c>
    </row>
    <row r="26" spans="1:10">
      <c r="A26" s="33" t="s">
        <v>62991</v>
      </c>
      <c r="B26" s="44">
        <v>46106</v>
      </c>
      <c r="C26" s="33" t="s">
        <v>62992</v>
      </c>
      <c r="D26" s="33" t="s">
        <v>63068</v>
      </c>
      <c r="E26" s="33" t="s">
        <v>63069</v>
      </c>
      <c r="F26" s="12">
        <v>3</v>
      </c>
      <c r="G26" s="12">
        <v>2026</v>
      </c>
      <c r="H26" s="33" t="s">
        <v>63064</v>
      </c>
      <c r="I26" s="33" t="s">
        <v>63070</v>
      </c>
      <c r="J26" s="33" t="s">
        <v>62997</v>
      </c>
    </row>
    <row r="27" spans="1:10">
      <c r="A27" s="30" t="s">
        <v>62991</v>
      </c>
      <c r="B27" s="43">
        <v>46105</v>
      </c>
      <c r="C27" s="30" t="s">
        <v>62998</v>
      </c>
      <c r="D27" s="30" t="s">
        <v>63071</v>
      </c>
      <c r="E27" s="30" t="s">
        <v>63072</v>
      </c>
      <c r="F27" s="12">
        <v>3</v>
      </c>
      <c r="G27" s="12">
        <v>2026</v>
      </c>
      <c r="H27" s="30" t="s">
        <v>63064</v>
      </c>
      <c r="I27" s="30" t="s">
        <v>63073</v>
      </c>
      <c r="J27" s="30" t="s">
        <v>62997</v>
      </c>
    </row>
    <row r="28" spans="1:10">
      <c r="A28" s="33" t="s">
        <v>62991</v>
      </c>
      <c r="B28" s="44">
        <v>46098</v>
      </c>
      <c r="C28" s="33" t="s">
        <v>62992</v>
      </c>
      <c r="D28" s="33" t="s">
        <v>63074</v>
      </c>
      <c r="E28" s="33" t="s">
        <v>63075</v>
      </c>
      <c r="F28" s="12">
        <v>3</v>
      </c>
      <c r="G28" s="12">
        <v>2026</v>
      </c>
      <c r="H28" s="33" t="s">
        <v>63064</v>
      </c>
      <c r="I28" s="33" t="s">
        <v>63076</v>
      </c>
      <c r="J28" s="33" t="s">
        <v>62997</v>
      </c>
    </row>
    <row r="29" spans="1:10">
      <c r="A29" s="30" t="s">
        <v>62991</v>
      </c>
      <c r="B29" s="43">
        <v>46098</v>
      </c>
      <c r="C29" s="30" t="s">
        <v>62992</v>
      </c>
      <c r="D29" s="30" t="s">
        <v>63077</v>
      </c>
      <c r="E29" s="30" t="s">
        <v>63078</v>
      </c>
      <c r="F29" s="12">
        <v>3</v>
      </c>
      <c r="G29" s="12">
        <v>2026</v>
      </c>
      <c r="H29" s="30" t="s">
        <v>63064</v>
      </c>
      <c r="I29" s="30" t="s">
        <v>63079</v>
      </c>
      <c r="J29" s="30" t="s">
        <v>62997</v>
      </c>
    </row>
    <row r="30" spans="1:10">
      <c r="A30" s="33" t="s">
        <v>63014</v>
      </c>
      <c r="B30" s="44">
        <v>46097</v>
      </c>
      <c r="C30" s="33" t="s">
        <v>62998</v>
      </c>
      <c r="D30" s="33" t="s">
        <v>63080</v>
      </c>
      <c r="E30" s="33" t="s">
        <v>63080</v>
      </c>
      <c r="F30" s="12">
        <v>3</v>
      </c>
      <c r="G30" s="12">
        <v>2026</v>
      </c>
      <c r="H30" s="33" t="s">
        <v>63064</v>
      </c>
      <c r="I30" s="33" t="s">
        <v>63081</v>
      </c>
      <c r="J30" s="33" t="s">
        <v>63018</v>
      </c>
    </row>
    <row r="31" spans="1:10">
      <c r="A31" s="30" t="s">
        <v>62991</v>
      </c>
      <c r="B31" s="43">
        <v>46080</v>
      </c>
      <c r="C31" s="30" t="s">
        <v>62992</v>
      </c>
      <c r="D31" s="30" t="s">
        <v>63082</v>
      </c>
      <c r="E31" s="30" t="s">
        <v>63083</v>
      </c>
      <c r="F31" s="12">
        <v>2</v>
      </c>
      <c r="G31" s="12">
        <v>2026</v>
      </c>
      <c r="H31" s="30" t="s">
        <v>63084</v>
      </c>
      <c r="I31" s="30" t="s">
        <v>63085</v>
      </c>
      <c r="J31" s="30" t="s">
        <v>62997</v>
      </c>
    </row>
    <row r="32" spans="1:10">
      <c r="A32" s="33" t="s">
        <v>62991</v>
      </c>
      <c r="B32" s="44">
        <v>46076</v>
      </c>
      <c r="C32" s="33" t="s">
        <v>62998</v>
      </c>
      <c r="D32" s="33" t="s">
        <v>63086</v>
      </c>
      <c r="E32" s="33" t="s">
        <v>63087</v>
      </c>
      <c r="F32" s="12">
        <v>2</v>
      </c>
      <c r="G32" s="12">
        <v>2026</v>
      </c>
      <c r="H32" s="33" t="s">
        <v>63084</v>
      </c>
      <c r="I32" s="33" t="s">
        <v>63088</v>
      </c>
      <c r="J32" s="33" t="s">
        <v>62997</v>
      </c>
    </row>
    <row r="33" spans="1:10">
      <c r="A33" s="30" t="s">
        <v>62991</v>
      </c>
      <c r="B33" s="43">
        <v>46073</v>
      </c>
      <c r="C33" s="30" t="s">
        <v>62992</v>
      </c>
      <c r="D33" s="30" t="s">
        <v>63089</v>
      </c>
      <c r="E33" s="30" t="s">
        <v>63090</v>
      </c>
      <c r="F33" s="12">
        <v>2</v>
      </c>
      <c r="G33" s="12">
        <v>2026</v>
      </c>
      <c r="H33" s="30" t="s">
        <v>63084</v>
      </c>
      <c r="I33" s="30" t="s">
        <v>63091</v>
      </c>
      <c r="J33" s="30" t="s">
        <v>62997</v>
      </c>
    </row>
    <row r="34" spans="1:10">
      <c r="A34" s="33" t="s">
        <v>62991</v>
      </c>
      <c r="B34" s="44">
        <v>46065</v>
      </c>
      <c r="C34" s="33" t="s">
        <v>62992</v>
      </c>
      <c r="D34" s="33" t="s">
        <v>63092</v>
      </c>
      <c r="E34" s="33" t="s">
        <v>63093</v>
      </c>
      <c r="F34" s="12">
        <v>2</v>
      </c>
      <c r="G34" s="12">
        <v>2026</v>
      </c>
      <c r="H34" s="33" t="s">
        <v>63084</v>
      </c>
      <c r="I34" s="33" t="s">
        <v>63094</v>
      </c>
      <c r="J34" s="33" t="s">
        <v>62997</v>
      </c>
    </row>
    <row r="35" spans="1:10">
      <c r="A35" s="30" t="s">
        <v>62991</v>
      </c>
      <c r="B35" s="43">
        <v>46034</v>
      </c>
      <c r="C35" s="30" t="s">
        <v>62992</v>
      </c>
      <c r="D35" s="30" t="s">
        <v>63095</v>
      </c>
      <c r="E35" s="30" t="s">
        <v>63096</v>
      </c>
      <c r="F35" s="12">
        <v>1</v>
      </c>
      <c r="G35" s="12">
        <v>2026</v>
      </c>
      <c r="H35" s="30" t="s">
        <v>63097</v>
      </c>
      <c r="I35" s="30" t="s">
        <v>63098</v>
      </c>
      <c r="J35" s="30" t="s">
        <v>62997</v>
      </c>
    </row>
    <row r="36" spans="1:10">
      <c r="A36" s="33" t="s">
        <v>62991</v>
      </c>
      <c r="B36" s="44">
        <v>46021</v>
      </c>
      <c r="C36" s="33" t="s">
        <v>62992</v>
      </c>
      <c r="D36" s="33" t="s">
        <v>63099</v>
      </c>
      <c r="E36" s="33" t="s">
        <v>63100</v>
      </c>
      <c r="F36" s="12">
        <v>12</v>
      </c>
      <c r="G36" s="12">
        <v>2025</v>
      </c>
      <c r="H36" s="33" t="s">
        <v>63101</v>
      </c>
      <c r="I36" s="33" t="s">
        <v>63102</v>
      </c>
      <c r="J36" s="33" t="s">
        <v>63103</v>
      </c>
    </row>
    <row r="37" spans="1:10">
      <c r="A37" s="30" t="s">
        <v>62991</v>
      </c>
      <c r="B37" s="43">
        <v>46014</v>
      </c>
      <c r="C37" s="30" t="s">
        <v>62998</v>
      </c>
      <c r="D37" s="30" t="s">
        <v>63104</v>
      </c>
      <c r="E37" s="30" t="s">
        <v>63105</v>
      </c>
      <c r="F37" s="12">
        <v>12</v>
      </c>
      <c r="G37" s="12">
        <v>2025</v>
      </c>
      <c r="H37" s="30" t="s">
        <v>63101</v>
      </c>
      <c r="I37" s="30" t="s">
        <v>63106</v>
      </c>
      <c r="J37" s="30" t="s">
        <v>63103</v>
      </c>
    </row>
    <row r="38" spans="1:10">
      <c r="A38" s="33" t="s">
        <v>62991</v>
      </c>
      <c r="B38" s="44">
        <v>46010</v>
      </c>
      <c r="C38" s="33" t="s">
        <v>62992</v>
      </c>
      <c r="D38" s="33" t="s">
        <v>63107</v>
      </c>
      <c r="E38" s="33" t="s">
        <v>63108</v>
      </c>
      <c r="F38" s="12">
        <v>12</v>
      </c>
      <c r="G38" s="12">
        <v>2025</v>
      </c>
      <c r="H38" s="33" t="s">
        <v>63101</v>
      </c>
      <c r="I38" s="33" t="s">
        <v>63109</v>
      </c>
      <c r="J38" s="33" t="s">
        <v>63103</v>
      </c>
    </row>
    <row r="39" spans="1:10">
      <c r="A39" s="30" t="s">
        <v>63014</v>
      </c>
      <c r="B39" s="43">
        <v>46007</v>
      </c>
      <c r="C39" s="30" t="s">
        <v>62998</v>
      </c>
      <c r="D39" s="30" t="s">
        <v>63110</v>
      </c>
      <c r="E39" s="30" t="s">
        <v>63110</v>
      </c>
      <c r="F39" s="12">
        <v>12</v>
      </c>
      <c r="G39" s="12">
        <v>2025</v>
      </c>
      <c r="H39" s="30" t="s">
        <v>63101</v>
      </c>
      <c r="I39" s="30" t="s">
        <v>63111</v>
      </c>
      <c r="J39" s="30" t="s">
        <v>63112</v>
      </c>
    </row>
    <row r="40" spans="1:10">
      <c r="A40" s="33" t="s">
        <v>62991</v>
      </c>
      <c r="B40" s="44">
        <v>46007</v>
      </c>
      <c r="C40" s="33" t="s">
        <v>62998</v>
      </c>
      <c r="D40" s="33" t="s">
        <v>63113</v>
      </c>
      <c r="E40" s="33" t="s">
        <v>63114</v>
      </c>
      <c r="F40" s="12">
        <v>12</v>
      </c>
      <c r="G40" s="12">
        <v>2025</v>
      </c>
      <c r="H40" s="33" t="s">
        <v>63101</v>
      </c>
      <c r="I40" s="33" t="s">
        <v>63115</v>
      </c>
      <c r="J40" s="33" t="s">
        <v>63103</v>
      </c>
    </row>
    <row r="41" spans="1:10">
      <c r="A41" s="30" t="s">
        <v>62991</v>
      </c>
      <c r="B41" s="43">
        <v>46003</v>
      </c>
      <c r="C41" s="30" t="s">
        <v>62998</v>
      </c>
      <c r="D41" s="30" t="s">
        <v>63116</v>
      </c>
      <c r="E41" s="30" t="s">
        <v>63117</v>
      </c>
      <c r="F41" s="12">
        <v>12</v>
      </c>
      <c r="G41" s="12">
        <v>2025</v>
      </c>
      <c r="H41" s="30" t="s">
        <v>63101</v>
      </c>
      <c r="I41" s="30" t="s">
        <v>63118</v>
      </c>
      <c r="J41" s="30" t="s">
        <v>63103</v>
      </c>
    </row>
    <row r="42" spans="1:10">
      <c r="A42" s="33" t="s">
        <v>62991</v>
      </c>
      <c r="B42" s="44">
        <v>46003</v>
      </c>
      <c r="C42" s="33" t="s">
        <v>62992</v>
      </c>
      <c r="D42" s="33" t="s">
        <v>63119</v>
      </c>
      <c r="E42" s="33" t="s">
        <v>63120</v>
      </c>
      <c r="F42" s="12">
        <v>12</v>
      </c>
      <c r="G42" s="12">
        <v>2025</v>
      </c>
      <c r="H42" s="33" t="s">
        <v>63101</v>
      </c>
      <c r="I42" s="33" t="s">
        <v>63121</v>
      </c>
      <c r="J42" s="33" t="s">
        <v>63103</v>
      </c>
    </row>
    <row r="43" spans="1:10">
      <c r="A43" s="30" t="s">
        <v>62991</v>
      </c>
      <c r="B43" s="43">
        <v>46003</v>
      </c>
      <c r="C43" s="30" t="s">
        <v>62992</v>
      </c>
      <c r="D43" s="30" t="s">
        <v>63122</v>
      </c>
      <c r="E43" s="30" t="s">
        <v>63123</v>
      </c>
      <c r="F43" s="12">
        <v>12</v>
      </c>
      <c r="G43" s="12">
        <v>2025</v>
      </c>
      <c r="H43" s="30" t="s">
        <v>63101</v>
      </c>
      <c r="I43" s="30" t="s">
        <v>63124</v>
      </c>
      <c r="J43" s="30" t="s">
        <v>63103</v>
      </c>
    </row>
    <row r="44" spans="1:10">
      <c r="A44" s="33" t="s">
        <v>63014</v>
      </c>
      <c r="B44" s="44">
        <v>46000</v>
      </c>
      <c r="C44" s="33" t="s">
        <v>62998</v>
      </c>
      <c r="D44" s="33" t="s">
        <v>63125</v>
      </c>
      <c r="E44" s="33" t="s">
        <v>63125</v>
      </c>
      <c r="F44" s="12">
        <v>12</v>
      </c>
      <c r="G44" s="12">
        <v>2025</v>
      </c>
      <c r="H44" s="33" t="s">
        <v>63101</v>
      </c>
      <c r="I44" s="33" t="s">
        <v>63126</v>
      </c>
      <c r="J44" s="33" t="s">
        <v>63112</v>
      </c>
    </row>
    <row r="45" spans="1:10">
      <c r="A45" s="30" t="s">
        <v>63014</v>
      </c>
      <c r="B45" s="43">
        <v>45994</v>
      </c>
      <c r="C45" s="30" t="s">
        <v>62998</v>
      </c>
      <c r="D45" s="30" t="s">
        <v>63127</v>
      </c>
      <c r="E45" s="30" t="s">
        <v>63127</v>
      </c>
      <c r="F45" s="12">
        <v>12</v>
      </c>
      <c r="G45" s="12">
        <v>2025</v>
      </c>
      <c r="H45" s="30" t="s">
        <v>63101</v>
      </c>
      <c r="I45" s="30" t="s">
        <v>63128</v>
      </c>
      <c r="J45" s="30" t="s">
        <v>63112</v>
      </c>
    </row>
    <row r="46" spans="1:10">
      <c r="A46" s="33" t="s">
        <v>62991</v>
      </c>
      <c r="B46" s="44">
        <v>45986</v>
      </c>
      <c r="C46" s="33" t="s">
        <v>62998</v>
      </c>
      <c r="D46" s="33" t="s">
        <v>63129</v>
      </c>
      <c r="E46" s="33" t="s">
        <v>63130</v>
      </c>
      <c r="F46" s="12">
        <v>11</v>
      </c>
      <c r="G46" s="12">
        <v>2025</v>
      </c>
      <c r="H46" s="33" t="s">
        <v>63131</v>
      </c>
      <c r="I46" s="33" t="s">
        <v>63132</v>
      </c>
      <c r="J46" s="33" t="s">
        <v>63103</v>
      </c>
    </row>
    <row r="47" spans="1:10">
      <c r="A47" s="30" t="s">
        <v>63014</v>
      </c>
      <c r="B47" s="43">
        <v>45985</v>
      </c>
      <c r="C47" s="30" t="s">
        <v>62998</v>
      </c>
      <c r="D47" s="30" t="s">
        <v>63133</v>
      </c>
      <c r="E47" s="30" t="s">
        <v>63133</v>
      </c>
      <c r="F47" s="12">
        <v>11</v>
      </c>
      <c r="G47" s="12">
        <v>2025</v>
      </c>
      <c r="H47" s="30" t="s">
        <v>63131</v>
      </c>
      <c r="I47" s="30" t="s">
        <v>63134</v>
      </c>
      <c r="J47" s="30" t="s">
        <v>63112</v>
      </c>
    </row>
    <row r="48" spans="1:10">
      <c r="A48" s="33" t="s">
        <v>63014</v>
      </c>
      <c r="B48" s="44">
        <v>45982</v>
      </c>
      <c r="C48" s="33" t="s">
        <v>62998</v>
      </c>
      <c r="D48" s="33" t="s">
        <v>63135</v>
      </c>
      <c r="E48" s="33" t="s">
        <v>63136</v>
      </c>
      <c r="F48" s="12">
        <v>11</v>
      </c>
      <c r="G48" s="12">
        <v>2025</v>
      </c>
      <c r="H48" s="33" t="s">
        <v>63131</v>
      </c>
      <c r="I48" s="33" t="s">
        <v>63137</v>
      </c>
      <c r="J48" s="33" t="s">
        <v>63112</v>
      </c>
    </row>
    <row r="49" spans="1:10">
      <c r="A49" s="30" t="s">
        <v>62991</v>
      </c>
      <c r="B49" s="43">
        <v>45980</v>
      </c>
      <c r="C49" s="30" t="s">
        <v>62992</v>
      </c>
      <c r="D49" s="30" t="s">
        <v>63138</v>
      </c>
      <c r="E49" s="30" t="s">
        <v>63139</v>
      </c>
      <c r="F49" s="12">
        <v>11</v>
      </c>
      <c r="G49" s="12">
        <v>2025</v>
      </c>
      <c r="H49" s="30" t="s">
        <v>63131</v>
      </c>
      <c r="I49" s="30" t="s">
        <v>63140</v>
      </c>
      <c r="J49" s="30" t="s">
        <v>63103</v>
      </c>
    </row>
    <row r="50" spans="1:10">
      <c r="A50" s="33" t="s">
        <v>62991</v>
      </c>
      <c r="B50" s="44">
        <v>45979</v>
      </c>
      <c r="C50" s="33" t="s">
        <v>62992</v>
      </c>
      <c r="D50" s="33" t="s">
        <v>63141</v>
      </c>
      <c r="E50" s="33" t="s">
        <v>63142</v>
      </c>
      <c r="F50" s="12">
        <v>11</v>
      </c>
      <c r="G50" s="12">
        <v>2025</v>
      </c>
      <c r="H50" s="33" t="s">
        <v>63131</v>
      </c>
      <c r="I50" s="33" t="s">
        <v>63143</v>
      </c>
      <c r="J50" s="33" t="s">
        <v>63103</v>
      </c>
    </row>
    <row r="51" spans="1:10">
      <c r="A51" s="30" t="s">
        <v>62991</v>
      </c>
      <c r="B51" s="43">
        <v>45974</v>
      </c>
      <c r="C51" s="30" t="s">
        <v>62992</v>
      </c>
      <c r="D51" s="30" t="s">
        <v>63144</v>
      </c>
      <c r="E51" s="30" t="s">
        <v>63145</v>
      </c>
      <c r="F51" s="12">
        <v>11</v>
      </c>
      <c r="G51" s="12">
        <v>2025</v>
      </c>
      <c r="H51" s="30" t="s">
        <v>63131</v>
      </c>
      <c r="I51" s="30" t="s">
        <v>63146</v>
      </c>
      <c r="J51" s="30" t="s">
        <v>63103</v>
      </c>
    </row>
    <row r="52" spans="1:10">
      <c r="A52" s="33" t="s">
        <v>62991</v>
      </c>
      <c r="B52" s="44">
        <v>45964</v>
      </c>
      <c r="C52" s="33" t="s">
        <v>62992</v>
      </c>
      <c r="D52" s="33" t="s">
        <v>63147</v>
      </c>
      <c r="E52" s="33" t="s">
        <v>63148</v>
      </c>
      <c r="F52" s="12">
        <v>11</v>
      </c>
      <c r="G52" s="12">
        <v>2025</v>
      </c>
      <c r="H52" s="33" t="s">
        <v>63131</v>
      </c>
      <c r="I52" s="33" t="s">
        <v>63149</v>
      </c>
      <c r="J52" s="33" t="s">
        <v>63103</v>
      </c>
    </row>
    <row r="53" spans="1:10">
      <c r="A53" s="30" t="s">
        <v>62991</v>
      </c>
      <c r="B53" s="43">
        <v>45954</v>
      </c>
      <c r="C53" s="30" t="s">
        <v>62992</v>
      </c>
      <c r="D53" s="30" t="s">
        <v>63150</v>
      </c>
      <c r="E53" s="30" t="s">
        <v>63151</v>
      </c>
      <c r="F53" s="12">
        <v>10</v>
      </c>
      <c r="G53" s="12">
        <v>2025</v>
      </c>
      <c r="H53" s="30" t="s">
        <v>63152</v>
      </c>
      <c r="I53" s="30" t="s">
        <v>63153</v>
      </c>
      <c r="J53" s="30" t="s">
        <v>63103</v>
      </c>
    </row>
    <row r="54" spans="1:10">
      <c r="A54" s="33" t="s">
        <v>62991</v>
      </c>
      <c r="B54" s="44">
        <v>45937</v>
      </c>
      <c r="C54" s="33" t="s">
        <v>62992</v>
      </c>
      <c r="D54" s="33" t="s">
        <v>63154</v>
      </c>
      <c r="E54" s="33" t="s">
        <v>63155</v>
      </c>
      <c r="F54" s="12">
        <v>10</v>
      </c>
      <c r="G54" s="12">
        <v>2025</v>
      </c>
      <c r="H54" s="33" t="s">
        <v>63152</v>
      </c>
      <c r="I54" s="33" t="s">
        <v>63156</v>
      </c>
      <c r="J54" s="33" t="s">
        <v>63103</v>
      </c>
    </row>
    <row r="55" spans="1:10">
      <c r="A55" s="30" t="s">
        <v>62991</v>
      </c>
      <c r="B55" s="43">
        <v>45930</v>
      </c>
      <c r="C55" s="30" t="s">
        <v>62992</v>
      </c>
      <c r="D55" s="30" t="s">
        <v>63157</v>
      </c>
      <c r="E55" s="30" t="s">
        <v>63158</v>
      </c>
      <c r="F55" s="12">
        <v>9</v>
      </c>
      <c r="G55" s="12">
        <v>2025</v>
      </c>
      <c r="H55" s="30" t="s">
        <v>63159</v>
      </c>
      <c r="I55" s="30" t="s">
        <v>63160</v>
      </c>
      <c r="J55" s="30" t="s">
        <v>63103</v>
      </c>
    </row>
    <row r="56" spans="1:10">
      <c r="A56" s="33" t="s">
        <v>63014</v>
      </c>
      <c r="B56" s="44">
        <v>45926</v>
      </c>
      <c r="C56" s="33" t="s">
        <v>62998</v>
      </c>
      <c r="D56" s="33" t="s">
        <v>63161</v>
      </c>
      <c r="E56" s="33" t="s">
        <v>63161</v>
      </c>
      <c r="F56" s="12">
        <v>9</v>
      </c>
      <c r="G56" s="12">
        <v>2025</v>
      </c>
      <c r="H56" s="33" t="s">
        <v>63159</v>
      </c>
      <c r="I56" s="33" t="s">
        <v>63162</v>
      </c>
      <c r="J56" s="33" t="s">
        <v>63112</v>
      </c>
    </row>
    <row r="57" spans="1:10">
      <c r="A57" s="30" t="s">
        <v>62991</v>
      </c>
      <c r="B57" s="43">
        <v>45925</v>
      </c>
      <c r="C57" s="30" t="s">
        <v>62992</v>
      </c>
      <c r="D57" s="30" t="s">
        <v>63163</v>
      </c>
      <c r="E57" s="30" t="s">
        <v>63164</v>
      </c>
      <c r="F57" s="12">
        <v>9</v>
      </c>
      <c r="G57" s="12">
        <v>2025</v>
      </c>
      <c r="H57" s="30" t="s">
        <v>63159</v>
      </c>
      <c r="I57" s="30" t="s">
        <v>63165</v>
      </c>
      <c r="J57" s="30" t="s">
        <v>63103</v>
      </c>
    </row>
    <row r="58" spans="1:10">
      <c r="A58" s="33" t="s">
        <v>62991</v>
      </c>
      <c r="B58" s="44">
        <v>45925</v>
      </c>
      <c r="C58" s="33" t="s">
        <v>62992</v>
      </c>
      <c r="D58" s="33" t="s">
        <v>63166</v>
      </c>
      <c r="E58" s="33" t="s">
        <v>63167</v>
      </c>
      <c r="F58" s="12">
        <v>9</v>
      </c>
      <c r="G58" s="12">
        <v>2025</v>
      </c>
      <c r="H58" s="33" t="s">
        <v>63159</v>
      </c>
      <c r="I58" s="33" t="s">
        <v>63168</v>
      </c>
      <c r="J58" s="33" t="s">
        <v>63103</v>
      </c>
    </row>
    <row r="59" spans="1:10">
      <c r="A59" s="30" t="s">
        <v>62991</v>
      </c>
      <c r="B59" s="43">
        <v>45919</v>
      </c>
      <c r="C59" s="30" t="s">
        <v>62998</v>
      </c>
      <c r="D59" s="30" t="s">
        <v>63169</v>
      </c>
      <c r="E59" s="30" t="s">
        <v>63170</v>
      </c>
      <c r="F59" s="12">
        <v>9</v>
      </c>
      <c r="G59" s="12">
        <v>2025</v>
      </c>
      <c r="H59" s="30" t="s">
        <v>63159</v>
      </c>
      <c r="I59" s="30" t="s">
        <v>63171</v>
      </c>
      <c r="J59" s="30" t="s">
        <v>63103</v>
      </c>
    </row>
    <row r="60" spans="1:10">
      <c r="A60" s="33" t="s">
        <v>62991</v>
      </c>
      <c r="B60" s="44">
        <v>45919</v>
      </c>
      <c r="C60" s="33" t="s">
        <v>62992</v>
      </c>
      <c r="D60" s="33" t="s">
        <v>63172</v>
      </c>
      <c r="E60" s="33" t="s">
        <v>63173</v>
      </c>
      <c r="F60" s="12">
        <v>9</v>
      </c>
      <c r="G60" s="12">
        <v>2025</v>
      </c>
      <c r="H60" s="33" t="s">
        <v>63159</v>
      </c>
      <c r="I60" s="33" t="s">
        <v>63174</v>
      </c>
      <c r="J60" s="33" t="s">
        <v>63103</v>
      </c>
    </row>
    <row r="61" spans="1:10">
      <c r="A61" s="30" t="s">
        <v>62991</v>
      </c>
      <c r="B61" s="43">
        <v>45898</v>
      </c>
      <c r="C61" s="30" t="s">
        <v>62992</v>
      </c>
      <c r="D61" s="30" t="s">
        <v>63175</v>
      </c>
      <c r="E61" s="30" t="s">
        <v>63176</v>
      </c>
      <c r="F61" s="12">
        <v>8</v>
      </c>
      <c r="G61" s="12">
        <v>2025</v>
      </c>
      <c r="H61" s="30" t="s">
        <v>63177</v>
      </c>
      <c r="I61" s="30" t="s">
        <v>63178</v>
      </c>
      <c r="J61" s="30" t="s">
        <v>63103</v>
      </c>
    </row>
    <row r="62" spans="1:10">
      <c r="A62" s="33" t="s">
        <v>62991</v>
      </c>
      <c r="B62" s="44">
        <v>45890</v>
      </c>
      <c r="C62" s="33" t="s">
        <v>62992</v>
      </c>
      <c r="D62" s="33" t="s">
        <v>63179</v>
      </c>
      <c r="E62" s="33" t="s">
        <v>63180</v>
      </c>
      <c r="F62" s="12">
        <v>8</v>
      </c>
      <c r="G62" s="12">
        <v>2025</v>
      </c>
      <c r="H62" s="33" t="s">
        <v>63177</v>
      </c>
      <c r="I62" s="33" t="s">
        <v>63181</v>
      </c>
      <c r="J62" s="33" t="s">
        <v>63103</v>
      </c>
    </row>
    <row r="63" spans="1:10">
      <c r="A63" s="30" t="s">
        <v>63014</v>
      </c>
      <c r="B63" s="43">
        <v>45883</v>
      </c>
      <c r="C63" s="30" t="s">
        <v>62998</v>
      </c>
      <c r="D63" s="30" t="s">
        <v>63182</v>
      </c>
      <c r="E63" s="30" t="s">
        <v>63182</v>
      </c>
      <c r="F63" s="12">
        <v>8</v>
      </c>
      <c r="G63" s="12">
        <v>2025</v>
      </c>
      <c r="H63" s="30" t="s">
        <v>63177</v>
      </c>
      <c r="I63" s="30" t="s">
        <v>63183</v>
      </c>
      <c r="J63" s="30" t="s">
        <v>63112</v>
      </c>
    </row>
    <row r="64" spans="1:10">
      <c r="A64" s="33" t="s">
        <v>62991</v>
      </c>
      <c r="B64" s="44">
        <v>45881</v>
      </c>
      <c r="C64" s="33" t="s">
        <v>62992</v>
      </c>
      <c r="D64" s="33" t="s">
        <v>63184</v>
      </c>
      <c r="E64" s="33" t="s">
        <v>63185</v>
      </c>
      <c r="F64" s="12">
        <v>8</v>
      </c>
      <c r="G64" s="12">
        <v>2025</v>
      </c>
      <c r="H64" s="33" t="s">
        <v>63177</v>
      </c>
      <c r="I64" s="33" t="s">
        <v>63186</v>
      </c>
      <c r="J64" s="33" t="s">
        <v>63103</v>
      </c>
    </row>
    <row r="65" spans="1:10">
      <c r="A65" s="30" t="s">
        <v>62991</v>
      </c>
      <c r="B65" s="43">
        <v>45877</v>
      </c>
      <c r="C65" s="30" t="s">
        <v>62992</v>
      </c>
      <c r="D65" s="30" t="s">
        <v>63187</v>
      </c>
      <c r="E65" s="30" t="s">
        <v>63188</v>
      </c>
      <c r="F65" s="12">
        <v>8</v>
      </c>
      <c r="G65" s="12">
        <v>2025</v>
      </c>
      <c r="H65" s="30" t="s">
        <v>63177</v>
      </c>
      <c r="I65" s="30" t="s">
        <v>63189</v>
      </c>
      <c r="J65" s="30" t="s">
        <v>63103</v>
      </c>
    </row>
    <row r="66" spans="1:10">
      <c r="A66" s="33" t="s">
        <v>62991</v>
      </c>
      <c r="B66" s="44">
        <v>45875</v>
      </c>
      <c r="C66" s="33" t="s">
        <v>62992</v>
      </c>
      <c r="D66" s="33" t="s">
        <v>63190</v>
      </c>
      <c r="E66" s="33" t="s">
        <v>63191</v>
      </c>
      <c r="F66" s="12">
        <v>8</v>
      </c>
      <c r="G66" s="12">
        <v>2025</v>
      </c>
      <c r="H66" s="33" t="s">
        <v>63177</v>
      </c>
      <c r="I66" s="33" t="s">
        <v>63192</v>
      </c>
      <c r="J66" s="33" t="s">
        <v>63103</v>
      </c>
    </row>
    <row r="67" spans="1:10">
      <c r="A67" s="30" t="s">
        <v>62991</v>
      </c>
      <c r="B67" s="43">
        <v>45869</v>
      </c>
      <c r="C67" s="30" t="s">
        <v>62992</v>
      </c>
      <c r="D67" s="30" t="s">
        <v>63193</v>
      </c>
      <c r="E67" s="30" t="s">
        <v>63194</v>
      </c>
      <c r="F67" s="12">
        <v>7</v>
      </c>
      <c r="G67" s="12">
        <v>2025</v>
      </c>
      <c r="H67" s="30" t="s">
        <v>63195</v>
      </c>
      <c r="I67" s="30" t="s">
        <v>63196</v>
      </c>
      <c r="J67" s="30" t="s">
        <v>63103</v>
      </c>
    </row>
    <row r="68" spans="1:10">
      <c r="A68" s="33" t="s">
        <v>62991</v>
      </c>
      <c r="B68" s="44">
        <v>45866</v>
      </c>
      <c r="C68" s="33" t="s">
        <v>62992</v>
      </c>
      <c r="D68" s="33" t="s">
        <v>63197</v>
      </c>
      <c r="E68" s="33" t="s">
        <v>63198</v>
      </c>
      <c r="F68" s="12">
        <v>7</v>
      </c>
      <c r="G68" s="12">
        <v>2025</v>
      </c>
      <c r="H68" s="33" t="s">
        <v>63195</v>
      </c>
      <c r="I68" s="33" t="s">
        <v>63199</v>
      </c>
      <c r="J68" s="33" t="s">
        <v>63103</v>
      </c>
    </row>
    <row r="69" spans="1:10">
      <c r="A69" s="30" t="s">
        <v>62991</v>
      </c>
      <c r="B69" s="43">
        <v>45861</v>
      </c>
      <c r="C69" s="30" t="s">
        <v>62992</v>
      </c>
      <c r="D69" s="30" t="s">
        <v>63200</v>
      </c>
      <c r="E69" s="30" t="s">
        <v>63201</v>
      </c>
      <c r="F69" s="12">
        <v>7</v>
      </c>
      <c r="G69" s="12">
        <v>2025</v>
      </c>
      <c r="H69" s="30" t="s">
        <v>63195</v>
      </c>
      <c r="I69" s="30" t="s">
        <v>63202</v>
      </c>
      <c r="J69" s="30" t="s">
        <v>63103</v>
      </c>
    </row>
    <row r="70" spans="1:10">
      <c r="A70" s="33" t="s">
        <v>62991</v>
      </c>
      <c r="B70" s="44">
        <v>45841</v>
      </c>
      <c r="C70" s="33" t="s">
        <v>62992</v>
      </c>
      <c r="D70" s="33" t="s">
        <v>63203</v>
      </c>
      <c r="E70" s="33" t="s">
        <v>63204</v>
      </c>
      <c r="F70" s="12">
        <v>7</v>
      </c>
      <c r="G70" s="12">
        <v>2025</v>
      </c>
      <c r="H70" s="33" t="s">
        <v>63195</v>
      </c>
      <c r="I70" s="33" t="s">
        <v>63205</v>
      </c>
      <c r="J70" s="33" t="s">
        <v>63103</v>
      </c>
    </row>
    <row r="71" spans="1:10">
      <c r="A71" s="30" t="s">
        <v>62991</v>
      </c>
      <c r="B71" s="43">
        <v>45840</v>
      </c>
      <c r="C71" s="30" t="s">
        <v>62998</v>
      </c>
      <c r="D71" s="30" t="s">
        <v>63206</v>
      </c>
      <c r="E71" s="30" t="s">
        <v>63207</v>
      </c>
      <c r="F71" s="12">
        <v>7</v>
      </c>
      <c r="G71" s="12">
        <v>2025</v>
      </c>
      <c r="H71" s="30" t="s">
        <v>63195</v>
      </c>
      <c r="I71" s="30" t="s">
        <v>63208</v>
      </c>
      <c r="J71" s="30" t="s">
        <v>63103</v>
      </c>
    </row>
    <row r="72" spans="1:10">
      <c r="A72" s="33" t="s">
        <v>62991</v>
      </c>
      <c r="B72" s="44">
        <v>45840</v>
      </c>
      <c r="C72" s="33" t="s">
        <v>62992</v>
      </c>
      <c r="D72" s="33" t="s">
        <v>63209</v>
      </c>
      <c r="E72" s="33" t="s">
        <v>63210</v>
      </c>
      <c r="F72" s="12">
        <v>7</v>
      </c>
      <c r="G72" s="12">
        <v>2025</v>
      </c>
      <c r="H72" s="33" t="s">
        <v>63195</v>
      </c>
      <c r="I72" s="33" t="s">
        <v>63211</v>
      </c>
      <c r="J72" s="33" t="s">
        <v>63103</v>
      </c>
    </row>
    <row r="73" spans="1:10">
      <c r="A73" s="30" t="s">
        <v>62991</v>
      </c>
      <c r="B73" s="43">
        <v>45824</v>
      </c>
      <c r="C73" s="30" t="s">
        <v>62998</v>
      </c>
      <c r="D73" s="30" t="s">
        <v>63212</v>
      </c>
      <c r="E73" s="30" t="s">
        <v>63213</v>
      </c>
      <c r="F73" s="12">
        <v>6</v>
      </c>
      <c r="G73" s="12">
        <v>2025</v>
      </c>
      <c r="H73" s="30" t="s">
        <v>63214</v>
      </c>
      <c r="I73" s="30" t="s">
        <v>63181</v>
      </c>
      <c r="J73" s="30" t="s">
        <v>63103</v>
      </c>
    </row>
    <row r="74" spans="1:10">
      <c r="A74" s="33" t="s">
        <v>62991</v>
      </c>
      <c r="B74" s="44">
        <v>45819</v>
      </c>
      <c r="C74" s="33" t="s">
        <v>62992</v>
      </c>
      <c r="D74" s="33" t="s">
        <v>63215</v>
      </c>
      <c r="E74" s="33" t="s">
        <v>63216</v>
      </c>
      <c r="F74" s="12">
        <v>6</v>
      </c>
      <c r="G74" s="12">
        <v>2025</v>
      </c>
      <c r="H74" s="33" t="s">
        <v>63214</v>
      </c>
      <c r="I74" s="33" t="s">
        <v>63217</v>
      </c>
      <c r="J74" s="33" t="s">
        <v>63103</v>
      </c>
    </row>
    <row r="75" spans="1:10">
      <c r="A75" s="30" t="s">
        <v>62991</v>
      </c>
      <c r="B75" s="43">
        <v>45817</v>
      </c>
      <c r="C75" s="30" t="s">
        <v>62998</v>
      </c>
      <c r="D75" s="30" t="s">
        <v>63218</v>
      </c>
      <c r="E75" s="30" t="s">
        <v>63219</v>
      </c>
      <c r="F75" s="12">
        <v>6</v>
      </c>
      <c r="G75" s="12">
        <v>2025</v>
      </c>
      <c r="H75" s="30" t="s">
        <v>63214</v>
      </c>
      <c r="I75" s="30" t="s">
        <v>63220</v>
      </c>
      <c r="J75" s="30" t="s">
        <v>63103</v>
      </c>
    </row>
    <row r="76" spans="1:10">
      <c r="A76" s="33" t="s">
        <v>63014</v>
      </c>
      <c r="B76" s="44">
        <v>45807</v>
      </c>
      <c r="C76" s="33" t="s">
        <v>62998</v>
      </c>
      <c r="D76" s="33" t="s">
        <v>63221</v>
      </c>
      <c r="E76" s="33" t="s">
        <v>63221</v>
      </c>
      <c r="F76" s="12">
        <v>5</v>
      </c>
      <c r="G76" s="12">
        <v>2025</v>
      </c>
      <c r="H76" s="33" t="s">
        <v>63222</v>
      </c>
      <c r="I76" s="33" t="s">
        <v>63223</v>
      </c>
      <c r="J76" s="33" t="s">
        <v>63112</v>
      </c>
    </row>
    <row r="77" spans="1:10">
      <c r="A77" s="30" t="s">
        <v>62991</v>
      </c>
      <c r="B77" s="43">
        <v>45805</v>
      </c>
      <c r="C77" s="30" t="s">
        <v>62992</v>
      </c>
      <c r="D77" s="30" t="s">
        <v>63224</v>
      </c>
      <c r="E77" s="30" t="s">
        <v>63225</v>
      </c>
      <c r="F77" s="12">
        <v>5</v>
      </c>
      <c r="G77" s="12">
        <v>2025</v>
      </c>
      <c r="H77" s="30" t="s">
        <v>63222</v>
      </c>
      <c r="I77" s="30" t="s">
        <v>63226</v>
      </c>
      <c r="J77" s="30" t="s">
        <v>63103</v>
      </c>
    </row>
    <row r="78" spans="1:10">
      <c r="A78" s="33" t="s">
        <v>63014</v>
      </c>
      <c r="B78" s="44">
        <v>45793</v>
      </c>
      <c r="C78" s="33" t="s">
        <v>62998</v>
      </c>
      <c r="D78" s="33" t="s">
        <v>63227</v>
      </c>
      <c r="E78" s="33" t="s">
        <v>63227</v>
      </c>
      <c r="F78" s="12">
        <v>5</v>
      </c>
      <c r="G78" s="12">
        <v>2025</v>
      </c>
      <c r="H78" s="33" t="s">
        <v>63222</v>
      </c>
      <c r="I78" s="33" t="s">
        <v>63228</v>
      </c>
      <c r="J78" s="33" t="s">
        <v>63112</v>
      </c>
    </row>
    <row r="79" spans="1:10">
      <c r="A79" s="30" t="s">
        <v>62991</v>
      </c>
      <c r="B79" s="43">
        <v>45791</v>
      </c>
      <c r="C79" s="30" t="s">
        <v>62998</v>
      </c>
      <c r="D79" s="30" t="s">
        <v>63229</v>
      </c>
      <c r="E79" s="30" t="s">
        <v>63230</v>
      </c>
      <c r="F79" s="12">
        <v>5</v>
      </c>
      <c r="G79" s="12">
        <v>2025</v>
      </c>
      <c r="H79" s="30" t="s">
        <v>63222</v>
      </c>
      <c r="I79" s="30" t="s">
        <v>63231</v>
      </c>
      <c r="J79" s="30" t="s">
        <v>63103</v>
      </c>
    </row>
    <row r="80" spans="1:10">
      <c r="A80" s="33" t="s">
        <v>62991</v>
      </c>
      <c r="B80" s="44">
        <v>45785</v>
      </c>
      <c r="C80" s="33" t="s">
        <v>62992</v>
      </c>
      <c r="D80" s="33" t="s">
        <v>63232</v>
      </c>
      <c r="E80" s="33" t="s">
        <v>63233</v>
      </c>
      <c r="F80" s="12">
        <v>5</v>
      </c>
      <c r="G80" s="12">
        <v>2025</v>
      </c>
      <c r="H80" s="33" t="s">
        <v>63222</v>
      </c>
      <c r="I80" s="33" t="s">
        <v>63234</v>
      </c>
      <c r="J80" s="33" t="s">
        <v>63103</v>
      </c>
    </row>
    <row r="81" spans="1:10">
      <c r="A81" s="30" t="s">
        <v>62991</v>
      </c>
      <c r="B81" s="43">
        <v>45776</v>
      </c>
      <c r="C81" s="30" t="s">
        <v>62998</v>
      </c>
      <c r="D81" s="30" t="s">
        <v>63235</v>
      </c>
      <c r="E81" s="30" t="s">
        <v>63236</v>
      </c>
      <c r="F81" s="12">
        <v>4</v>
      </c>
      <c r="G81" s="12">
        <v>2025</v>
      </c>
      <c r="H81" s="30" t="s">
        <v>63237</v>
      </c>
      <c r="I81" s="30" t="s">
        <v>63238</v>
      </c>
      <c r="J81" s="30" t="s">
        <v>63103</v>
      </c>
    </row>
    <row r="82" spans="1:10">
      <c r="A82" s="33" t="s">
        <v>63014</v>
      </c>
      <c r="B82" s="44">
        <v>45775</v>
      </c>
      <c r="C82" s="33" t="s">
        <v>62998</v>
      </c>
      <c r="D82" s="33" t="s">
        <v>63239</v>
      </c>
      <c r="E82" s="33" t="s">
        <v>63239</v>
      </c>
      <c r="F82" s="12">
        <v>4</v>
      </c>
      <c r="G82" s="12">
        <v>2025</v>
      </c>
      <c r="H82" s="33" t="s">
        <v>63237</v>
      </c>
      <c r="I82" s="33" t="s">
        <v>63240</v>
      </c>
      <c r="J82" s="33" t="s">
        <v>63112</v>
      </c>
    </row>
    <row r="83" spans="1:10">
      <c r="A83" s="30" t="s">
        <v>62991</v>
      </c>
      <c r="B83" s="43">
        <v>45770</v>
      </c>
      <c r="C83" s="30" t="s">
        <v>62998</v>
      </c>
      <c r="D83" s="30" t="s">
        <v>63241</v>
      </c>
      <c r="E83" s="30" t="s">
        <v>63241</v>
      </c>
      <c r="F83" s="12">
        <v>4</v>
      </c>
      <c r="G83" s="12">
        <v>2025</v>
      </c>
      <c r="H83" s="30" t="s">
        <v>63237</v>
      </c>
      <c r="I83" s="30" t="s">
        <v>63242</v>
      </c>
      <c r="J83" s="30" t="s">
        <v>63103</v>
      </c>
    </row>
    <row r="84" spans="1:10">
      <c r="A84" s="33" t="s">
        <v>62991</v>
      </c>
      <c r="B84" s="44">
        <v>45749</v>
      </c>
      <c r="C84" s="33" t="s">
        <v>62992</v>
      </c>
      <c r="D84" s="33" t="s">
        <v>63243</v>
      </c>
      <c r="E84" s="33" t="s">
        <v>63244</v>
      </c>
      <c r="F84" s="12">
        <v>4</v>
      </c>
      <c r="G84" s="12">
        <v>2025</v>
      </c>
      <c r="H84" s="33" t="s">
        <v>63237</v>
      </c>
      <c r="I84" s="33" t="s">
        <v>63245</v>
      </c>
      <c r="J84" s="33" t="s">
        <v>63103</v>
      </c>
    </row>
    <row r="85" spans="1:10">
      <c r="A85" s="30" t="s">
        <v>62991</v>
      </c>
      <c r="B85" s="43">
        <v>45744</v>
      </c>
      <c r="C85" s="30" t="s">
        <v>62992</v>
      </c>
      <c r="D85" s="30" t="s">
        <v>63246</v>
      </c>
      <c r="E85" s="30" t="s">
        <v>63247</v>
      </c>
      <c r="F85" s="12">
        <v>3</v>
      </c>
      <c r="G85" s="12">
        <v>2025</v>
      </c>
      <c r="H85" s="30" t="s">
        <v>63248</v>
      </c>
      <c r="I85" s="30" t="s">
        <v>63249</v>
      </c>
      <c r="J85" s="30" t="s">
        <v>63103</v>
      </c>
    </row>
    <row r="86" spans="1:10">
      <c r="A86" s="33" t="s">
        <v>62991</v>
      </c>
      <c r="B86" s="44">
        <v>45741</v>
      </c>
      <c r="C86" s="33" t="s">
        <v>62992</v>
      </c>
      <c r="D86" s="33" t="s">
        <v>63250</v>
      </c>
      <c r="E86" s="33" t="s">
        <v>63251</v>
      </c>
      <c r="F86" s="12">
        <v>3</v>
      </c>
      <c r="G86" s="12">
        <v>2025</v>
      </c>
      <c r="H86" s="33" t="s">
        <v>63248</v>
      </c>
      <c r="I86" s="33" t="s">
        <v>63252</v>
      </c>
      <c r="J86" s="33" t="s">
        <v>63103</v>
      </c>
    </row>
    <row r="87" spans="1:10">
      <c r="A87" s="30" t="s">
        <v>63014</v>
      </c>
      <c r="B87" s="43">
        <v>45721</v>
      </c>
      <c r="C87" s="30" t="s">
        <v>62998</v>
      </c>
      <c r="D87" s="30" t="s">
        <v>63253</v>
      </c>
      <c r="E87" s="30" t="s">
        <v>63253</v>
      </c>
      <c r="F87" s="12">
        <v>3</v>
      </c>
      <c r="G87" s="12">
        <v>2025</v>
      </c>
      <c r="H87" s="30" t="s">
        <v>63248</v>
      </c>
      <c r="I87" s="30" t="s">
        <v>63254</v>
      </c>
      <c r="J87" s="30" t="s">
        <v>63112</v>
      </c>
    </row>
    <row r="88" spans="1:10">
      <c r="A88" s="33" t="s">
        <v>62991</v>
      </c>
      <c r="B88" s="44">
        <v>45702</v>
      </c>
      <c r="C88" s="33" t="s">
        <v>62992</v>
      </c>
      <c r="D88" s="33" t="s">
        <v>63255</v>
      </c>
      <c r="E88" s="33" t="s">
        <v>63256</v>
      </c>
      <c r="F88" s="12">
        <v>2</v>
      </c>
      <c r="G88" s="12">
        <v>2025</v>
      </c>
      <c r="H88" s="33" t="s">
        <v>63257</v>
      </c>
      <c r="I88" s="33" t="s">
        <v>63258</v>
      </c>
      <c r="J88" s="33" t="s">
        <v>63103</v>
      </c>
    </row>
    <row r="89" spans="1:10">
      <c r="A89" s="30" t="s">
        <v>63014</v>
      </c>
      <c r="B89" s="43">
        <v>45702</v>
      </c>
      <c r="C89" s="30" t="s">
        <v>62998</v>
      </c>
      <c r="D89" s="30" t="s">
        <v>63259</v>
      </c>
      <c r="E89" s="30" t="s">
        <v>63259</v>
      </c>
      <c r="F89" s="12">
        <v>2</v>
      </c>
      <c r="G89" s="12">
        <v>2025</v>
      </c>
      <c r="H89" s="30" t="s">
        <v>63257</v>
      </c>
      <c r="I89" s="30" t="s">
        <v>63260</v>
      </c>
      <c r="J89" s="30" t="s">
        <v>63112</v>
      </c>
    </row>
    <row r="90" spans="1:10">
      <c r="A90" s="33" t="s">
        <v>63014</v>
      </c>
      <c r="B90" s="44">
        <v>45702</v>
      </c>
      <c r="C90" s="33" t="s">
        <v>62998</v>
      </c>
      <c r="D90" s="33" t="s">
        <v>63261</v>
      </c>
      <c r="E90" s="33" t="s">
        <v>63261</v>
      </c>
      <c r="F90" s="12">
        <v>2</v>
      </c>
      <c r="G90" s="12">
        <v>2025</v>
      </c>
      <c r="H90" s="33" t="s">
        <v>63257</v>
      </c>
      <c r="I90" s="33" t="s">
        <v>63262</v>
      </c>
      <c r="J90" s="33" t="s">
        <v>63112</v>
      </c>
    </row>
    <row r="91" spans="1:10">
      <c r="A91" s="30" t="s">
        <v>62991</v>
      </c>
      <c r="B91" s="43">
        <v>45699</v>
      </c>
      <c r="C91" s="30" t="s">
        <v>62992</v>
      </c>
      <c r="D91" s="30" t="s">
        <v>63263</v>
      </c>
      <c r="E91" s="30" t="s">
        <v>63264</v>
      </c>
      <c r="F91" s="12">
        <v>2</v>
      </c>
      <c r="G91" s="12">
        <v>2025</v>
      </c>
      <c r="H91" s="30" t="s">
        <v>63257</v>
      </c>
      <c r="I91" s="30" t="s">
        <v>63265</v>
      </c>
      <c r="J91" s="30" t="s">
        <v>63103</v>
      </c>
    </row>
    <row r="92" spans="1:10">
      <c r="A92" s="33" t="s">
        <v>62991</v>
      </c>
      <c r="B92" s="44">
        <v>45687</v>
      </c>
      <c r="C92" s="33" t="s">
        <v>62992</v>
      </c>
      <c r="D92" s="33" t="s">
        <v>63266</v>
      </c>
      <c r="E92" s="33" t="s">
        <v>63267</v>
      </c>
      <c r="F92" s="12">
        <v>1</v>
      </c>
      <c r="G92" s="12">
        <v>2025</v>
      </c>
      <c r="H92" s="33" t="s">
        <v>63268</v>
      </c>
      <c r="I92" s="33" t="s">
        <v>63269</v>
      </c>
      <c r="J92" s="33" t="s">
        <v>63103</v>
      </c>
    </row>
    <row r="93" spans="1:10">
      <c r="A93" s="30" t="s">
        <v>62991</v>
      </c>
      <c r="B93" s="43">
        <v>45678</v>
      </c>
      <c r="C93" s="30" t="s">
        <v>62992</v>
      </c>
      <c r="D93" s="30" t="s">
        <v>63270</v>
      </c>
      <c r="E93" s="30" t="s">
        <v>63271</v>
      </c>
      <c r="F93" s="12">
        <v>1</v>
      </c>
      <c r="G93" s="12">
        <v>2025</v>
      </c>
      <c r="H93" s="30" t="s">
        <v>63268</v>
      </c>
      <c r="I93" s="30" t="s">
        <v>63272</v>
      </c>
      <c r="J93" s="30" t="s">
        <v>63103</v>
      </c>
    </row>
    <row r="94" spans="1:10">
      <c r="A94" s="33" t="s">
        <v>62991</v>
      </c>
      <c r="B94" s="44">
        <v>45674</v>
      </c>
      <c r="C94" s="33" t="s">
        <v>62998</v>
      </c>
      <c r="D94" s="33" t="s">
        <v>63273</v>
      </c>
      <c r="E94" s="33" t="s">
        <v>63274</v>
      </c>
      <c r="F94" s="12">
        <v>1</v>
      </c>
      <c r="G94" s="12">
        <v>2025</v>
      </c>
      <c r="H94" s="33" t="s">
        <v>63268</v>
      </c>
      <c r="I94" s="33" t="s">
        <v>63275</v>
      </c>
      <c r="J94" s="33" t="s">
        <v>63103</v>
      </c>
    </row>
    <row r="95" spans="1:10">
      <c r="A95" s="30" t="s">
        <v>63014</v>
      </c>
      <c r="B95" s="43">
        <v>45665</v>
      </c>
      <c r="C95" s="30" t="s">
        <v>62998</v>
      </c>
      <c r="D95" s="30" t="s">
        <v>63276</v>
      </c>
      <c r="E95" s="30" t="s">
        <v>63276</v>
      </c>
      <c r="F95" s="12">
        <v>1</v>
      </c>
      <c r="G95" s="12">
        <v>2025</v>
      </c>
      <c r="H95" s="30" t="s">
        <v>63268</v>
      </c>
      <c r="I95" s="30" t="s">
        <v>63277</v>
      </c>
      <c r="J95" s="30" t="s">
        <v>63112</v>
      </c>
    </row>
    <row r="96" spans="1:10">
      <c r="A96" s="33" t="s">
        <v>62991</v>
      </c>
      <c r="B96" s="44">
        <v>45646</v>
      </c>
      <c r="C96" s="33" t="s">
        <v>62998</v>
      </c>
      <c r="D96" s="33" t="s">
        <v>63278</v>
      </c>
      <c r="E96" s="33" t="s">
        <v>63279</v>
      </c>
      <c r="F96" s="12">
        <v>12</v>
      </c>
      <c r="G96" s="12">
        <v>2024</v>
      </c>
      <c r="H96" s="33" t="s">
        <v>63280</v>
      </c>
      <c r="I96" s="33"/>
      <c r="J96" s="33" t="s">
        <v>63281</v>
      </c>
    </row>
    <row r="97" spans="1:10">
      <c r="A97" s="30" t="s">
        <v>62991</v>
      </c>
      <c r="B97" s="43">
        <v>45646</v>
      </c>
      <c r="C97" s="30" t="s">
        <v>62992</v>
      </c>
      <c r="D97" s="30" t="s">
        <v>63282</v>
      </c>
      <c r="E97" s="30" t="s">
        <v>63283</v>
      </c>
      <c r="F97" s="12">
        <v>12</v>
      </c>
      <c r="G97" s="12">
        <v>2024</v>
      </c>
      <c r="H97" s="30" t="s">
        <v>63280</v>
      </c>
      <c r="I97" s="30"/>
      <c r="J97" s="30" t="s">
        <v>63281</v>
      </c>
    </row>
    <row r="98" spans="1:10">
      <c r="A98" s="33" t="s">
        <v>62991</v>
      </c>
      <c r="B98" s="44">
        <v>45645</v>
      </c>
      <c r="C98" s="33" t="s">
        <v>62992</v>
      </c>
      <c r="D98" s="33" t="s">
        <v>63284</v>
      </c>
      <c r="E98" s="33" t="s">
        <v>63285</v>
      </c>
      <c r="F98" s="12">
        <v>12</v>
      </c>
      <c r="G98" s="12">
        <v>2024</v>
      </c>
      <c r="H98" s="33" t="s">
        <v>63280</v>
      </c>
      <c r="I98" s="33"/>
      <c r="J98" s="33" t="s">
        <v>63281</v>
      </c>
    </row>
    <row r="99" spans="1:10">
      <c r="A99" s="30" t="s">
        <v>63014</v>
      </c>
      <c r="B99" s="43">
        <v>45645</v>
      </c>
      <c r="C99" s="30" t="s">
        <v>62998</v>
      </c>
      <c r="D99" s="30" t="s">
        <v>63286</v>
      </c>
      <c r="E99" s="30" t="s">
        <v>63286</v>
      </c>
      <c r="F99" s="12">
        <v>12</v>
      </c>
      <c r="G99" s="12">
        <v>2024</v>
      </c>
      <c r="H99" s="30" t="s">
        <v>63280</v>
      </c>
      <c r="I99" s="30" t="s">
        <v>63287</v>
      </c>
      <c r="J99" s="30" t="s">
        <v>63288</v>
      </c>
    </row>
    <row r="100" spans="1:10">
      <c r="A100" s="33" t="s">
        <v>63014</v>
      </c>
      <c r="B100" s="44">
        <v>45644</v>
      </c>
      <c r="C100" s="33" t="s">
        <v>62998</v>
      </c>
      <c r="D100" s="33" t="s">
        <v>63289</v>
      </c>
      <c r="E100" s="33" t="s">
        <v>63289</v>
      </c>
      <c r="F100" s="12">
        <v>12</v>
      </c>
      <c r="G100" s="12">
        <v>2024</v>
      </c>
      <c r="H100" s="33" t="s">
        <v>63280</v>
      </c>
      <c r="I100" s="33" t="s">
        <v>63290</v>
      </c>
      <c r="J100" s="33" t="s">
        <v>63288</v>
      </c>
    </row>
    <row r="101" spans="1:10">
      <c r="A101" s="30" t="s">
        <v>62991</v>
      </c>
      <c r="B101" s="43">
        <v>45644</v>
      </c>
      <c r="C101" s="30" t="s">
        <v>62992</v>
      </c>
      <c r="D101" s="30" t="s">
        <v>63291</v>
      </c>
      <c r="E101" s="30" t="s">
        <v>63292</v>
      </c>
      <c r="F101" s="12">
        <v>12</v>
      </c>
      <c r="G101" s="12">
        <v>2024</v>
      </c>
      <c r="H101" s="30" t="s">
        <v>63280</v>
      </c>
      <c r="I101" s="30"/>
      <c r="J101" s="30" t="s">
        <v>63281</v>
      </c>
    </row>
    <row r="102" spans="1:10">
      <c r="A102" s="33" t="s">
        <v>62991</v>
      </c>
      <c r="B102" s="44">
        <v>45639</v>
      </c>
      <c r="C102" s="33" t="s">
        <v>62992</v>
      </c>
      <c r="D102" s="33" t="s">
        <v>63293</v>
      </c>
      <c r="E102" s="33" t="s">
        <v>63294</v>
      </c>
      <c r="F102" s="12">
        <v>12</v>
      </c>
      <c r="G102" s="12">
        <v>2024</v>
      </c>
      <c r="H102" s="33" t="s">
        <v>63280</v>
      </c>
      <c r="I102" s="33"/>
      <c r="J102" s="33" t="s">
        <v>63281</v>
      </c>
    </row>
    <row r="103" spans="1:10">
      <c r="A103" s="30" t="s">
        <v>62991</v>
      </c>
      <c r="B103" s="43">
        <v>45639</v>
      </c>
      <c r="C103" s="30" t="s">
        <v>62998</v>
      </c>
      <c r="D103" s="30" t="s">
        <v>63295</v>
      </c>
      <c r="E103" s="30" t="s">
        <v>63296</v>
      </c>
      <c r="F103" s="12">
        <v>12</v>
      </c>
      <c r="G103" s="12">
        <v>2024</v>
      </c>
      <c r="H103" s="30" t="s">
        <v>63280</v>
      </c>
      <c r="I103" s="30"/>
      <c r="J103" s="30" t="s">
        <v>63281</v>
      </c>
    </row>
    <row r="104" spans="1:10">
      <c r="A104" s="33" t="s">
        <v>62991</v>
      </c>
      <c r="B104" s="44">
        <v>45630</v>
      </c>
      <c r="C104" s="33" t="s">
        <v>62998</v>
      </c>
      <c r="D104" s="33" t="s">
        <v>63297</v>
      </c>
      <c r="E104" s="33" t="s">
        <v>63298</v>
      </c>
      <c r="F104" s="12">
        <v>12</v>
      </c>
      <c r="G104" s="12">
        <v>2024</v>
      </c>
      <c r="H104" s="33" t="s">
        <v>63280</v>
      </c>
      <c r="I104" s="33"/>
      <c r="J104" s="33" t="s">
        <v>63281</v>
      </c>
    </row>
    <row r="105" spans="1:10">
      <c r="A105" s="30" t="s">
        <v>62991</v>
      </c>
      <c r="B105" s="43">
        <v>45623</v>
      </c>
      <c r="C105" s="30" t="s">
        <v>62992</v>
      </c>
      <c r="D105" s="30" t="s">
        <v>63299</v>
      </c>
      <c r="E105" s="30" t="s">
        <v>63300</v>
      </c>
      <c r="F105" s="12">
        <v>11</v>
      </c>
      <c r="G105" s="12">
        <v>2024</v>
      </c>
      <c r="H105" s="30" t="s">
        <v>63301</v>
      </c>
      <c r="I105" s="30"/>
      <c r="J105" s="30" t="s">
        <v>63281</v>
      </c>
    </row>
    <row r="106" spans="1:10">
      <c r="A106" s="33" t="s">
        <v>62991</v>
      </c>
      <c r="B106" s="44">
        <v>45618</v>
      </c>
      <c r="C106" s="33" t="s">
        <v>62992</v>
      </c>
      <c r="D106" s="33" t="s">
        <v>63302</v>
      </c>
      <c r="E106" s="33" t="s">
        <v>63303</v>
      </c>
      <c r="F106" s="12">
        <v>11</v>
      </c>
      <c r="G106" s="12">
        <v>2024</v>
      </c>
      <c r="H106" s="33" t="s">
        <v>63301</v>
      </c>
      <c r="I106" s="33"/>
      <c r="J106" s="33" t="s">
        <v>63281</v>
      </c>
    </row>
    <row r="107" spans="1:10">
      <c r="A107" s="30" t="s">
        <v>62991</v>
      </c>
      <c r="B107" s="43">
        <v>45618</v>
      </c>
      <c r="C107" s="30" t="s">
        <v>62992</v>
      </c>
      <c r="D107" s="30" t="s">
        <v>63304</v>
      </c>
      <c r="E107" s="30" t="s">
        <v>63305</v>
      </c>
      <c r="F107" s="12">
        <v>11</v>
      </c>
      <c r="G107" s="12">
        <v>2024</v>
      </c>
      <c r="H107" s="30" t="s">
        <v>63301</v>
      </c>
      <c r="I107" s="30"/>
      <c r="J107" s="30" t="s">
        <v>63281</v>
      </c>
    </row>
    <row r="108" spans="1:10">
      <c r="A108" s="33" t="s">
        <v>62991</v>
      </c>
      <c r="B108" s="44">
        <v>45616</v>
      </c>
      <c r="C108" s="33" t="s">
        <v>62998</v>
      </c>
      <c r="D108" s="33" t="s">
        <v>63306</v>
      </c>
      <c r="E108" s="33" t="s">
        <v>63307</v>
      </c>
      <c r="F108" s="12">
        <v>11</v>
      </c>
      <c r="G108" s="12">
        <v>2024</v>
      </c>
      <c r="H108" s="33" t="s">
        <v>63301</v>
      </c>
      <c r="I108" s="33"/>
      <c r="J108" s="33" t="s">
        <v>63281</v>
      </c>
    </row>
    <row r="109" spans="1:10">
      <c r="A109" s="30" t="s">
        <v>62991</v>
      </c>
      <c r="B109" s="43">
        <v>45611</v>
      </c>
      <c r="C109" s="30" t="s">
        <v>62992</v>
      </c>
      <c r="D109" s="30" t="s">
        <v>63308</v>
      </c>
      <c r="E109" s="30" t="s">
        <v>63309</v>
      </c>
      <c r="F109" s="12">
        <v>11</v>
      </c>
      <c r="G109" s="12">
        <v>2024</v>
      </c>
      <c r="H109" s="30" t="s">
        <v>63301</v>
      </c>
      <c r="I109" s="30"/>
      <c r="J109" s="30" t="s">
        <v>63281</v>
      </c>
    </row>
    <row r="110" spans="1:10">
      <c r="A110" s="33" t="s">
        <v>63014</v>
      </c>
      <c r="B110" s="44">
        <v>45609</v>
      </c>
      <c r="C110" s="33" t="s">
        <v>62998</v>
      </c>
      <c r="D110" s="33" t="s">
        <v>63310</v>
      </c>
      <c r="E110" s="33" t="s">
        <v>63310</v>
      </c>
      <c r="F110" s="12">
        <v>11</v>
      </c>
      <c r="G110" s="12">
        <v>2024</v>
      </c>
      <c r="H110" s="33" t="s">
        <v>63301</v>
      </c>
      <c r="I110" s="33" t="s">
        <v>63311</v>
      </c>
      <c r="J110" s="33" t="s">
        <v>63288</v>
      </c>
    </row>
    <row r="111" spans="1:10">
      <c r="A111" s="30" t="s">
        <v>63014</v>
      </c>
      <c r="B111" s="43">
        <v>45604</v>
      </c>
      <c r="C111" s="30" t="s">
        <v>62998</v>
      </c>
      <c r="D111" s="30" t="s">
        <v>63312</v>
      </c>
      <c r="E111" s="30" t="s">
        <v>63312</v>
      </c>
      <c r="F111" s="12">
        <v>11</v>
      </c>
      <c r="G111" s="12">
        <v>2024</v>
      </c>
      <c r="H111" s="30" t="s">
        <v>63301</v>
      </c>
      <c r="I111" s="30" t="s">
        <v>63313</v>
      </c>
      <c r="J111" s="30" t="s">
        <v>63288</v>
      </c>
    </row>
    <row r="112" spans="1:10">
      <c r="A112" s="33" t="s">
        <v>62991</v>
      </c>
      <c r="B112" s="44">
        <v>45590</v>
      </c>
      <c r="C112" s="33" t="s">
        <v>62992</v>
      </c>
      <c r="D112" s="33" t="s">
        <v>63314</v>
      </c>
      <c r="E112" s="33" t="s">
        <v>63315</v>
      </c>
      <c r="F112" s="12">
        <v>10</v>
      </c>
      <c r="G112" s="12">
        <v>2024</v>
      </c>
      <c r="H112" s="33" t="s">
        <v>63316</v>
      </c>
      <c r="I112" s="33"/>
      <c r="J112" s="33" t="s">
        <v>63281</v>
      </c>
    </row>
    <row r="113" spans="1:10">
      <c r="A113" s="30" t="s">
        <v>62991</v>
      </c>
      <c r="B113" s="43">
        <v>45583</v>
      </c>
      <c r="C113" s="30" t="s">
        <v>62998</v>
      </c>
      <c r="D113" s="30" t="s">
        <v>63317</v>
      </c>
      <c r="E113" s="30" t="s">
        <v>63318</v>
      </c>
      <c r="F113" s="12">
        <v>10</v>
      </c>
      <c r="G113" s="12">
        <v>2024</v>
      </c>
      <c r="H113" s="30" t="s">
        <v>63316</v>
      </c>
      <c r="I113" s="30"/>
      <c r="J113" s="30" t="s">
        <v>63281</v>
      </c>
    </row>
    <row r="114" spans="1:10">
      <c r="A114" s="33" t="s">
        <v>62991</v>
      </c>
      <c r="B114" s="44">
        <v>45576</v>
      </c>
      <c r="C114" s="33" t="s">
        <v>62998</v>
      </c>
      <c r="D114" s="33" t="s">
        <v>63319</v>
      </c>
      <c r="E114" s="33" t="s">
        <v>63320</v>
      </c>
      <c r="F114" s="12">
        <v>10</v>
      </c>
      <c r="G114" s="12">
        <v>2024</v>
      </c>
      <c r="H114" s="33" t="s">
        <v>63316</v>
      </c>
      <c r="I114" s="33"/>
      <c r="J114" s="33" t="s">
        <v>63281</v>
      </c>
    </row>
    <row r="115" spans="1:10">
      <c r="A115" s="30" t="s">
        <v>62991</v>
      </c>
      <c r="B115" s="43">
        <v>45575</v>
      </c>
      <c r="C115" s="30" t="s">
        <v>62992</v>
      </c>
      <c r="D115" s="30" t="s">
        <v>63321</v>
      </c>
      <c r="E115" s="30" t="s">
        <v>63322</v>
      </c>
      <c r="F115" s="12">
        <v>10</v>
      </c>
      <c r="G115" s="12">
        <v>2024</v>
      </c>
      <c r="H115" s="30" t="s">
        <v>63316</v>
      </c>
      <c r="I115" s="30"/>
      <c r="J115" s="30" t="s">
        <v>63281</v>
      </c>
    </row>
    <row r="116" spans="1:10">
      <c r="A116" s="33" t="s">
        <v>62991</v>
      </c>
      <c r="B116" s="44">
        <v>45562</v>
      </c>
      <c r="C116" s="33" t="s">
        <v>62992</v>
      </c>
      <c r="D116" s="33" t="s">
        <v>63323</v>
      </c>
      <c r="E116" s="33" t="s">
        <v>63324</v>
      </c>
      <c r="F116" s="12">
        <v>9</v>
      </c>
      <c r="G116" s="12">
        <v>2024</v>
      </c>
      <c r="H116" s="33" t="s">
        <v>63325</v>
      </c>
      <c r="I116" s="33"/>
      <c r="J116" s="33" t="s">
        <v>63281</v>
      </c>
    </row>
    <row r="117" spans="1:10">
      <c r="A117" s="30" t="s">
        <v>62991</v>
      </c>
      <c r="B117" s="43">
        <v>45561</v>
      </c>
      <c r="C117" s="30" t="s">
        <v>62992</v>
      </c>
      <c r="D117" s="30" t="s">
        <v>63326</v>
      </c>
      <c r="E117" s="30" t="s">
        <v>63327</v>
      </c>
      <c r="F117" s="12">
        <v>9</v>
      </c>
      <c r="G117" s="12">
        <v>2024</v>
      </c>
      <c r="H117" s="30" t="s">
        <v>63325</v>
      </c>
      <c r="I117" s="30"/>
      <c r="J117" s="30" t="s">
        <v>63281</v>
      </c>
    </row>
    <row r="118" spans="1:10">
      <c r="A118" s="33" t="s">
        <v>62991</v>
      </c>
      <c r="B118" s="44">
        <v>45559</v>
      </c>
      <c r="C118" s="33" t="s">
        <v>62992</v>
      </c>
      <c r="D118" s="33" t="s">
        <v>63328</v>
      </c>
      <c r="E118" s="33" t="s">
        <v>63329</v>
      </c>
      <c r="F118" s="12">
        <v>9</v>
      </c>
      <c r="G118" s="12">
        <v>2024</v>
      </c>
      <c r="H118" s="33" t="s">
        <v>63325</v>
      </c>
      <c r="I118" s="33"/>
      <c r="J118" s="33" t="s">
        <v>63281</v>
      </c>
    </row>
    <row r="119" spans="1:10">
      <c r="A119" s="30" t="s">
        <v>62991</v>
      </c>
      <c r="B119" s="43">
        <v>45555</v>
      </c>
      <c r="C119" s="30" t="s">
        <v>62992</v>
      </c>
      <c r="D119" s="30" t="s">
        <v>63330</v>
      </c>
      <c r="E119" s="30" t="s">
        <v>63331</v>
      </c>
      <c r="F119" s="12">
        <v>9</v>
      </c>
      <c r="G119" s="12">
        <v>2024</v>
      </c>
      <c r="H119" s="30" t="s">
        <v>63325</v>
      </c>
      <c r="I119" s="30"/>
      <c r="J119" s="30" t="s">
        <v>63281</v>
      </c>
    </row>
    <row r="120" spans="1:10">
      <c r="A120" s="33" t="s">
        <v>62991</v>
      </c>
      <c r="B120" s="44">
        <v>45548</v>
      </c>
      <c r="C120" s="33" t="s">
        <v>62998</v>
      </c>
      <c r="D120" s="33" t="s">
        <v>63332</v>
      </c>
      <c r="E120" s="33" t="s">
        <v>63333</v>
      </c>
      <c r="F120" s="12">
        <v>9</v>
      </c>
      <c r="G120" s="12">
        <v>2024</v>
      </c>
      <c r="H120" s="33" t="s">
        <v>63325</v>
      </c>
      <c r="I120" s="33"/>
      <c r="J120" s="33" t="s">
        <v>63281</v>
      </c>
    </row>
    <row r="121" spans="1:10">
      <c r="A121" s="30" t="s">
        <v>62991</v>
      </c>
      <c r="B121" s="43">
        <v>45523</v>
      </c>
      <c r="C121" s="30" t="s">
        <v>62992</v>
      </c>
      <c r="D121" s="30" t="s">
        <v>63334</v>
      </c>
      <c r="E121" s="30" t="s">
        <v>63335</v>
      </c>
      <c r="F121" s="12">
        <v>8</v>
      </c>
      <c r="G121" s="12">
        <v>2024</v>
      </c>
      <c r="H121" s="30" t="s">
        <v>63336</v>
      </c>
      <c r="I121" s="30"/>
      <c r="J121" s="30" t="s">
        <v>63281</v>
      </c>
    </row>
    <row r="122" spans="1:10">
      <c r="A122" s="33" t="s">
        <v>62991</v>
      </c>
      <c r="B122" s="44">
        <v>45518</v>
      </c>
      <c r="C122" s="33" t="s">
        <v>62998</v>
      </c>
      <c r="D122" s="33" t="s">
        <v>63337</v>
      </c>
      <c r="E122" s="33" t="s">
        <v>63338</v>
      </c>
      <c r="F122" s="12">
        <v>8</v>
      </c>
      <c r="G122" s="12">
        <v>2024</v>
      </c>
      <c r="H122" s="33" t="s">
        <v>63336</v>
      </c>
      <c r="I122" s="33"/>
      <c r="J122" s="33" t="s">
        <v>63281</v>
      </c>
    </row>
    <row r="123" spans="1:10">
      <c r="A123" s="30" t="s">
        <v>62991</v>
      </c>
      <c r="B123" s="43">
        <v>45518</v>
      </c>
      <c r="C123" s="30" t="s">
        <v>62992</v>
      </c>
      <c r="D123" s="30" t="s">
        <v>63339</v>
      </c>
      <c r="E123" s="30" t="s">
        <v>63340</v>
      </c>
      <c r="F123" s="12">
        <v>8</v>
      </c>
      <c r="G123" s="12">
        <v>2024</v>
      </c>
      <c r="H123" s="30" t="s">
        <v>63336</v>
      </c>
      <c r="I123" s="30"/>
      <c r="J123" s="30" t="s">
        <v>63281</v>
      </c>
    </row>
    <row r="124" spans="1:10">
      <c r="A124" s="33" t="s">
        <v>62991</v>
      </c>
      <c r="B124" s="44">
        <v>45516</v>
      </c>
      <c r="C124" s="33" t="s">
        <v>62998</v>
      </c>
      <c r="D124" s="33" t="s">
        <v>63341</v>
      </c>
      <c r="E124" s="33" t="s">
        <v>63342</v>
      </c>
      <c r="F124" s="12">
        <v>8</v>
      </c>
      <c r="G124" s="12">
        <v>2024</v>
      </c>
      <c r="H124" s="33" t="s">
        <v>63336</v>
      </c>
      <c r="I124" s="33"/>
      <c r="J124" s="33" t="s">
        <v>63281</v>
      </c>
    </row>
    <row r="125" spans="1:10">
      <c r="A125" s="30" t="s">
        <v>62991</v>
      </c>
      <c r="B125" s="43">
        <v>45513</v>
      </c>
      <c r="C125" s="30" t="s">
        <v>62992</v>
      </c>
      <c r="D125" s="30" t="s">
        <v>63343</v>
      </c>
      <c r="E125" s="30" t="s">
        <v>63344</v>
      </c>
      <c r="F125" s="12">
        <v>8</v>
      </c>
      <c r="G125" s="12">
        <v>2024</v>
      </c>
      <c r="H125" s="30" t="s">
        <v>63336</v>
      </c>
      <c r="I125" s="30"/>
      <c r="J125" s="30" t="s">
        <v>63281</v>
      </c>
    </row>
    <row r="126" spans="1:10">
      <c r="A126" s="33" t="s">
        <v>62991</v>
      </c>
      <c r="B126" s="44">
        <v>45510</v>
      </c>
      <c r="C126" s="33" t="s">
        <v>62992</v>
      </c>
      <c r="D126" s="33" t="s">
        <v>63345</v>
      </c>
      <c r="E126" s="33" t="s">
        <v>63346</v>
      </c>
      <c r="F126" s="12">
        <v>8</v>
      </c>
      <c r="G126" s="12">
        <v>2024</v>
      </c>
      <c r="H126" s="33" t="s">
        <v>63336</v>
      </c>
      <c r="I126" s="33"/>
      <c r="J126" s="33" t="s">
        <v>63281</v>
      </c>
    </row>
    <row r="127" spans="1:10">
      <c r="A127" s="30" t="s">
        <v>63014</v>
      </c>
      <c r="B127" s="43">
        <v>45505</v>
      </c>
      <c r="C127" s="30" t="s">
        <v>62998</v>
      </c>
      <c r="D127" s="30" t="s">
        <v>63347</v>
      </c>
      <c r="E127" s="30" t="s">
        <v>63347</v>
      </c>
      <c r="F127" s="12">
        <v>8</v>
      </c>
      <c r="G127" s="12">
        <v>2024</v>
      </c>
      <c r="H127" s="30" t="s">
        <v>63336</v>
      </c>
      <c r="I127" s="30" t="s">
        <v>63348</v>
      </c>
      <c r="J127" s="30" t="s">
        <v>63288</v>
      </c>
    </row>
    <row r="128" spans="1:10">
      <c r="A128" s="33" t="s">
        <v>62991</v>
      </c>
      <c r="B128" s="44">
        <v>45498</v>
      </c>
      <c r="C128" s="33" t="s">
        <v>62992</v>
      </c>
      <c r="D128" s="33" t="s">
        <v>63349</v>
      </c>
      <c r="E128" s="33" t="s">
        <v>63350</v>
      </c>
      <c r="F128" s="12">
        <v>7</v>
      </c>
      <c r="G128" s="12">
        <v>2024</v>
      </c>
      <c r="H128" s="33" t="s">
        <v>63351</v>
      </c>
      <c r="I128" s="33"/>
      <c r="J128" s="33" t="s">
        <v>63281</v>
      </c>
    </row>
    <row r="129" spans="1:10">
      <c r="A129" s="30" t="s">
        <v>62991</v>
      </c>
      <c r="B129" s="43">
        <v>45475</v>
      </c>
      <c r="C129" s="30" t="s">
        <v>62998</v>
      </c>
      <c r="D129" s="30" t="s">
        <v>63352</v>
      </c>
      <c r="E129" s="30" t="s">
        <v>63353</v>
      </c>
      <c r="F129" s="12">
        <v>7</v>
      </c>
      <c r="G129" s="12">
        <v>2024</v>
      </c>
      <c r="H129" s="30" t="s">
        <v>63351</v>
      </c>
      <c r="I129" s="30"/>
      <c r="J129" s="30" t="s">
        <v>63281</v>
      </c>
    </row>
    <row r="130" spans="1:10">
      <c r="A130" s="33" t="s">
        <v>62991</v>
      </c>
      <c r="B130" s="44">
        <v>45469</v>
      </c>
      <c r="C130" s="33" t="s">
        <v>62992</v>
      </c>
      <c r="D130" s="33" t="s">
        <v>63354</v>
      </c>
      <c r="E130" s="33" t="s">
        <v>63355</v>
      </c>
      <c r="F130" s="12">
        <v>6</v>
      </c>
      <c r="G130" s="12">
        <v>2024</v>
      </c>
      <c r="H130" s="33" t="s">
        <v>63356</v>
      </c>
      <c r="I130" s="33"/>
      <c r="J130" s="33" t="s">
        <v>63281</v>
      </c>
    </row>
    <row r="131" spans="1:10">
      <c r="A131" s="30" t="s">
        <v>62991</v>
      </c>
      <c r="B131" s="43">
        <v>45463</v>
      </c>
      <c r="C131" s="30" t="s">
        <v>62998</v>
      </c>
      <c r="D131" s="30" t="s">
        <v>63357</v>
      </c>
      <c r="E131" s="30" t="s">
        <v>63358</v>
      </c>
      <c r="F131" s="12">
        <v>6</v>
      </c>
      <c r="G131" s="12">
        <v>2024</v>
      </c>
      <c r="H131" s="30" t="s">
        <v>63356</v>
      </c>
      <c r="I131" s="30"/>
      <c r="J131" s="30" t="s">
        <v>63281</v>
      </c>
    </row>
    <row r="132" spans="1:10">
      <c r="A132" s="33" t="s">
        <v>62991</v>
      </c>
      <c r="B132" s="44">
        <v>45461</v>
      </c>
      <c r="C132" s="33" t="s">
        <v>62992</v>
      </c>
      <c r="D132" s="33" t="s">
        <v>63359</v>
      </c>
      <c r="E132" s="33" t="s">
        <v>63360</v>
      </c>
      <c r="F132" s="12">
        <v>6</v>
      </c>
      <c r="G132" s="12">
        <v>2024</v>
      </c>
      <c r="H132" s="33" t="s">
        <v>63356</v>
      </c>
      <c r="I132" s="33"/>
      <c r="J132" s="33" t="s">
        <v>63281</v>
      </c>
    </row>
    <row r="133" spans="1:10">
      <c r="A133" s="30" t="s">
        <v>63014</v>
      </c>
      <c r="B133" s="43">
        <v>45460</v>
      </c>
      <c r="C133" s="30" t="s">
        <v>62998</v>
      </c>
      <c r="D133" s="30" t="s">
        <v>63361</v>
      </c>
      <c r="E133" s="30" t="s">
        <v>63361</v>
      </c>
      <c r="F133" s="12">
        <v>6</v>
      </c>
      <c r="G133" s="12">
        <v>2024</v>
      </c>
      <c r="H133" s="30" t="s">
        <v>63356</v>
      </c>
      <c r="I133" s="30" t="s">
        <v>63362</v>
      </c>
      <c r="J133" s="30" t="s">
        <v>63288</v>
      </c>
    </row>
    <row r="134" spans="1:10">
      <c r="A134" s="33" t="s">
        <v>63014</v>
      </c>
      <c r="B134" s="44">
        <v>45456</v>
      </c>
      <c r="C134" s="33" t="s">
        <v>62998</v>
      </c>
      <c r="D134" s="33" t="s">
        <v>63363</v>
      </c>
      <c r="E134" s="33" t="s">
        <v>63363</v>
      </c>
      <c r="F134" s="12">
        <v>6</v>
      </c>
      <c r="G134" s="12">
        <v>2024</v>
      </c>
      <c r="H134" s="33" t="s">
        <v>63356</v>
      </c>
      <c r="I134" s="33" t="s">
        <v>63364</v>
      </c>
      <c r="J134" s="33" t="s">
        <v>63288</v>
      </c>
    </row>
    <row r="135" spans="1:10">
      <c r="A135" s="30" t="s">
        <v>62991</v>
      </c>
      <c r="B135" s="43">
        <v>45453</v>
      </c>
      <c r="C135" s="30" t="s">
        <v>62992</v>
      </c>
      <c r="D135" s="30" t="s">
        <v>63365</v>
      </c>
      <c r="E135" s="30" t="s">
        <v>63366</v>
      </c>
      <c r="F135" s="12">
        <v>6</v>
      </c>
      <c r="G135" s="12">
        <v>2024</v>
      </c>
      <c r="H135" s="30" t="s">
        <v>63356</v>
      </c>
      <c r="I135" s="30"/>
      <c r="J135" s="30" t="s">
        <v>63281</v>
      </c>
    </row>
    <row r="136" spans="1:10">
      <c r="A136" s="33" t="s">
        <v>62991</v>
      </c>
      <c r="B136" s="44">
        <v>45449</v>
      </c>
      <c r="C136" s="33" t="s">
        <v>62992</v>
      </c>
      <c r="D136" s="33" t="s">
        <v>63367</v>
      </c>
      <c r="E136" s="33" t="s">
        <v>63368</v>
      </c>
      <c r="F136" s="12">
        <v>6</v>
      </c>
      <c r="G136" s="12">
        <v>2024</v>
      </c>
      <c r="H136" s="33" t="s">
        <v>63356</v>
      </c>
      <c r="I136" s="33"/>
      <c r="J136" s="33" t="s">
        <v>63281</v>
      </c>
    </row>
    <row r="137" spans="1:10">
      <c r="A137" s="30" t="s">
        <v>63014</v>
      </c>
      <c r="B137" s="43">
        <v>45443</v>
      </c>
      <c r="C137" s="30" t="s">
        <v>62998</v>
      </c>
      <c r="D137" s="30" t="s">
        <v>63369</v>
      </c>
      <c r="E137" s="30" t="s">
        <v>63369</v>
      </c>
      <c r="F137" s="12">
        <v>5</v>
      </c>
      <c r="G137" s="12">
        <v>2024</v>
      </c>
      <c r="H137" s="30" t="s">
        <v>63370</v>
      </c>
      <c r="I137" s="30" t="s">
        <v>63371</v>
      </c>
      <c r="J137" s="30" t="s">
        <v>63288</v>
      </c>
    </row>
    <row r="138" spans="1:10">
      <c r="A138" s="33" t="s">
        <v>62991</v>
      </c>
      <c r="B138" s="44">
        <v>45428</v>
      </c>
      <c r="C138" s="33" t="s">
        <v>62998</v>
      </c>
      <c r="D138" s="33" t="s">
        <v>63372</v>
      </c>
      <c r="E138" s="33" t="s">
        <v>63373</v>
      </c>
      <c r="F138" s="12">
        <v>5</v>
      </c>
      <c r="G138" s="12">
        <v>2024</v>
      </c>
      <c r="H138" s="33" t="s">
        <v>63370</v>
      </c>
      <c r="I138" s="33"/>
      <c r="J138" s="33" t="s">
        <v>63281</v>
      </c>
    </row>
    <row r="139" spans="1:10">
      <c r="A139" s="30" t="s">
        <v>62991</v>
      </c>
      <c r="B139" s="43">
        <v>45408</v>
      </c>
      <c r="C139" s="30" t="s">
        <v>62992</v>
      </c>
      <c r="D139" s="30" t="s">
        <v>63374</v>
      </c>
      <c r="E139" s="30" t="s">
        <v>63375</v>
      </c>
      <c r="F139" s="12">
        <v>4</v>
      </c>
      <c r="G139" s="12">
        <v>2024</v>
      </c>
      <c r="H139" s="30" t="s">
        <v>63376</v>
      </c>
      <c r="I139" s="30"/>
      <c r="J139" s="30" t="s">
        <v>63281</v>
      </c>
    </row>
    <row r="140" spans="1:10">
      <c r="A140" s="33" t="s">
        <v>63014</v>
      </c>
      <c r="B140" s="44">
        <v>45407</v>
      </c>
      <c r="C140" s="33" t="s">
        <v>62998</v>
      </c>
      <c r="D140" s="33" t="s">
        <v>63377</v>
      </c>
      <c r="E140" s="33" t="s">
        <v>63377</v>
      </c>
      <c r="F140" s="12">
        <v>4</v>
      </c>
      <c r="G140" s="12">
        <v>2024</v>
      </c>
      <c r="H140" s="33" t="s">
        <v>63376</v>
      </c>
      <c r="I140" s="33" t="s">
        <v>63378</v>
      </c>
      <c r="J140" s="33" t="s">
        <v>63288</v>
      </c>
    </row>
    <row r="141" spans="1:10">
      <c r="A141" s="30" t="s">
        <v>62991</v>
      </c>
      <c r="B141" s="43">
        <v>45405</v>
      </c>
      <c r="C141" s="30" t="s">
        <v>62992</v>
      </c>
      <c r="D141" s="30" t="s">
        <v>63379</v>
      </c>
      <c r="E141" s="30" t="s">
        <v>63380</v>
      </c>
      <c r="F141" s="12">
        <v>4</v>
      </c>
      <c r="G141" s="12">
        <v>2024</v>
      </c>
      <c r="H141" s="30" t="s">
        <v>63376</v>
      </c>
      <c r="I141" s="30"/>
      <c r="J141" s="30" t="s">
        <v>63281</v>
      </c>
    </row>
    <row r="142" spans="1:10">
      <c r="A142" s="33" t="s">
        <v>62991</v>
      </c>
      <c r="B142" s="44">
        <v>45404</v>
      </c>
      <c r="C142" s="33" t="s">
        <v>62998</v>
      </c>
      <c r="D142" s="33" t="s">
        <v>63381</v>
      </c>
      <c r="E142" s="33" t="s">
        <v>63382</v>
      </c>
      <c r="F142" s="12">
        <v>4</v>
      </c>
      <c r="G142" s="12">
        <v>2024</v>
      </c>
      <c r="H142" s="33" t="s">
        <v>63376</v>
      </c>
      <c r="I142" s="33"/>
      <c r="J142" s="33" t="s">
        <v>63281</v>
      </c>
    </row>
    <row r="143" spans="1:10">
      <c r="A143" s="30" t="s">
        <v>62991</v>
      </c>
      <c r="B143" s="43">
        <v>45399</v>
      </c>
      <c r="C143" s="30" t="s">
        <v>62992</v>
      </c>
      <c r="D143" s="30" t="s">
        <v>63383</v>
      </c>
      <c r="E143" s="30" t="s">
        <v>63384</v>
      </c>
      <c r="F143" s="12">
        <v>4</v>
      </c>
      <c r="G143" s="12">
        <v>2024</v>
      </c>
      <c r="H143" s="30" t="s">
        <v>63376</v>
      </c>
      <c r="I143" s="30"/>
      <c r="J143" s="30" t="s">
        <v>63281</v>
      </c>
    </row>
    <row r="144" spans="1:10">
      <c r="A144" s="33" t="s">
        <v>62991</v>
      </c>
      <c r="B144" s="44">
        <v>45385</v>
      </c>
      <c r="C144" s="33" t="s">
        <v>62992</v>
      </c>
      <c r="D144" s="33" t="s">
        <v>63385</v>
      </c>
      <c r="E144" s="33" t="s">
        <v>63386</v>
      </c>
      <c r="F144" s="12">
        <v>4</v>
      </c>
      <c r="G144" s="12">
        <v>2024</v>
      </c>
      <c r="H144" s="33" t="s">
        <v>63376</v>
      </c>
      <c r="I144" s="33"/>
      <c r="J144" s="33" t="s">
        <v>63281</v>
      </c>
    </row>
    <row r="145" spans="1:10">
      <c r="A145" s="30" t="s">
        <v>62991</v>
      </c>
      <c r="B145" s="43">
        <v>45380</v>
      </c>
      <c r="C145" s="30" t="s">
        <v>62992</v>
      </c>
      <c r="D145" s="30" t="s">
        <v>63387</v>
      </c>
      <c r="E145" s="30" t="s">
        <v>63388</v>
      </c>
      <c r="F145" s="12">
        <v>3</v>
      </c>
      <c r="G145" s="12">
        <v>2024</v>
      </c>
      <c r="H145" s="30" t="s">
        <v>63389</v>
      </c>
      <c r="I145" s="30"/>
      <c r="J145" s="30" t="s">
        <v>63281</v>
      </c>
    </row>
    <row r="146" spans="1:10">
      <c r="A146" s="33" t="s">
        <v>62991</v>
      </c>
      <c r="B146" s="44">
        <v>45378</v>
      </c>
      <c r="C146" s="33" t="s">
        <v>62992</v>
      </c>
      <c r="D146" s="33" t="s">
        <v>63390</v>
      </c>
      <c r="E146" s="33" t="s">
        <v>63391</v>
      </c>
      <c r="F146" s="12">
        <v>3</v>
      </c>
      <c r="G146" s="12">
        <v>2024</v>
      </c>
      <c r="H146" s="33" t="s">
        <v>63389</v>
      </c>
      <c r="I146" s="33"/>
      <c r="J146" s="33" t="s">
        <v>63281</v>
      </c>
    </row>
    <row r="147" spans="1:10">
      <c r="A147" s="30" t="s">
        <v>62991</v>
      </c>
      <c r="B147" s="43">
        <v>45377</v>
      </c>
      <c r="C147" s="30" t="s">
        <v>62998</v>
      </c>
      <c r="D147" s="30" t="s">
        <v>63392</v>
      </c>
      <c r="E147" s="30" t="s">
        <v>63393</v>
      </c>
      <c r="F147" s="12">
        <v>3</v>
      </c>
      <c r="G147" s="12">
        <v>2024</v>
      </c>
      <c r="H147" s="30" t="s">
        <v>63389</v>
      </c>
      <c r="I147" s="30"/>
      <c r="J147" s="30" t="s">
        <v>63281</v>
      </c>
    </row>
    <row r="148" spans="1:10">
      <c r="A148" s="33" t="s">
        <v>62991</v>
      </c>
      <c r="B148" s="44">
        <v>45372</v>
      </c>
      <c r="C148" s="33" t="s">
        <v>62992</v>
      </c>
      <c r="D148" s="33" t="s">
        <v>63394</v>
      </c>
      <c r="E148" s="33" t="s">
        <v>63395</v>
      </c>
      <c r="F148" s="12">
        <v>3</v>
      </c>
      <c r="G148" s="12">
        <v>2024</v>
      </c>
      <c r="H148" s="33" t="s">
        <v>63389</v>
      </c>
      <c r="I148" s="33"/>
      <c r="J148" s="33" t="s">
        <v>63281</v>
      </c>
    </row>
    <row r="149" spans="1:10">
      <c r="A149" s="30" t="s">
        <v>62991</v>
      </c>
      <c r="B149" s="43">
        <v>45370</v>
      </c>
      <c r="C149" s="30" t="s">
        <v>62992</v>
      </c>
      <c r="D149" s="30" t="s">
        <v>63396</v>
      </c>
      <c r="E149" s="30" t="s">
        <v>63397</v>
      </c>
      <c r="F149" s="12">
        <v>3</v>
      </c>
      <c r="G149" s="12">
        <v>2024</v>
      </c>
      <c r="H149" s="30" t="s">
        <v>63389</v>
      </c>
      <c r="I149" s="30"/>
      <c r="J149" s="30" t="s">
        <v>63281</v>
      </c>
    </row>
    <row r="150" spans="1:10">
      <c r="A150" s="33" t="s">
        <v>63014</v>
      </c>
      <c r="B150" s="44">
        <v>45370</v>
      </c>
      <c r="C150" s="33" t="s">
        <v>62998</v>
      </c>
      <c r="D150" s="33" t="s">
        <v>63398</v>
      </c>
      <c r="E150" s="33" t="s">
        <v>63398</v>
      </c>
      <c r="F150" s="12">
        <v>3</v>
      </c>
      <c r="G150" s="12">
        <v>2024</v>
      </c>
      <c r="H150" s="33" t="s">
        <v>63389</v>
      </c>
      <c r="I150" s="33" t="s">
        <v>63399</v>
      </c>
      <c r="J150" s="33" t="s">
        <v>63288</v>
      </c>
    </row>
    <row r="151" spans="1:10">
      <c r="A151" s="30" t="s">
        <v>63014</v>
      </c>
      <c r="B151" s="43">
        <v>45369</v>
      </c>
      <c r="C151" s="30" t="s">
        <v>62998</v>
      </c>
      <c r="D151" s="30" t="s">
        <v>63400</v>
      </c>
      <c r="E151" s="30" t="s">
        <v>63400</v>
      </c>
      <c r="F151" s="12">
        <v>3</v>
      </c>
      <c r="G151" s="12">
        <v>2024</v>
      </c>
      <c r="H151" s="30" t="s">
        <v>63389</v>
      </c>
      <c r="I151" s="30" t="s">
        <v>63401</v>
      </c>
      <c r="J151" s="30" t="s">
        <v>63288</v>
      </c>
    </row>
    <row r="152" spans="1:10">
      <c r="A152" s="33" t="s">
        <v>62991</v>
      </c>
      <c r="B152" s="44">
        <v>45365</v>
      </c>
      <c r="C152" s="33" t="s">
        <v>62992</v>
      </c>
      <c r="D152" s="33" t="s">
        <v>63402</v>
      </c>
      <c r="E152" s="33" t="s">
        <v>63403</v>
      </c>
      <c r="F152" s="12">
        <v>3</v>
      </c>
      <c r="G152" s="12">
        <v>2024</v>
      </c>
      <c r="H152" s="33" t="s">
        <v>63389</v>
      </c>
      <c r="I152" s="33"/>
      <c r="J152" s="33" t="s">
        <v>63281</v>
      </c>
    </row>
    <row r="153" spans="1:10">
      <c r="A153" s="30" t="s">
        <v>62991</v>
      </c>
      <c r="B153" s="43">
        <v>45364</v>
      </c>
      <c r="C153" s="30" t="s">
        <v>62998</v>
      </c>
      <c r="D153" s="30" t="s">
        <v>63404</v>
      </c>
      <c r="E153" s="30" t="s">
        <v>63405</v>
      </c>
      <c r="F153" s="12">
        <v>3</v>
      </c>
      <c r="G153" s="12">
        <v>2024</v>
      </c>
      <c r="H153" s="30" t="s">
        <v>63389</v>
      </c>
      <c r="I153" s="30"/>
      <c r="J153" s="30" t="s">
        <v>63281</v>
      </c>
    </row>
    <row r="154" spans="1:10">
      <c r="A154" s="33" t="s">
        <v>62991</v>
      </c>
      <c r="B154" s="44">
        <v>45351</v>
      </c>
      <c r="C154" s="33" t="s">
        <v>62998</v>
      </c>
      <c r="D154" s="33" t="s">
        <v>63406</v>
      </c>
      <c r="E154" s="33" t="s">
        <v>63407</v>
      </c>
      <c r="F154" s="12">
        <v>2</v>
      </c>
      <c r="G154" s="12">
        <v>2024</v>
      </c>
      <c r="H154" s="33" t="s">
        <v>63408</v>
      </c>
      <c r="I154" s="33"/>
      <c r="J154" s="33" t="s">
        <v>63281</v>
      </c>
    </row>
    <row r="155" spans="1:10">
      <c r="A155" s="30" t="s">
        <v>63014</v>
      </c>
      <c r="B155" s="43">
        <v>45350</v>
      </c>
      <c r="C155" s="30" t="s">
        <v>62998</v>
      </c>
      <c r="D155" s="30" t="s">
        <v>63409</v>
      </c>
      <c r="E155" s="30" t="s">
        <v>63409</v>
      </c>
      <c r="F155" s="12">
        <v>2</v>
      </c>
      <c r="G155" s="12">
        <v>2024</v>
      </c>
      <c r="H155" s="30" t="s">
        <v>63408</v>
      </c>
      <c r="I155" s="30" t="s">
        <v>63410</v>
      </c>
      <c r="J155" s="30" t="s">
        <v>63288</v>
      </c>
    </row>
    <row r="156" spans="1:10">
      <c r="A156" s="33" t="s">
        <v>63014</v>
      </c>
      <c r="B156" s="44">
        <v>45349</v>
      </c>
      <c r="C156" s="33" t="s">
        <v>62998</v>
      </c>
      <c r="D156" s="33" t="s">
        <v>63411</v>
      </c>
      <c r="E156" s="33" t="s">
        <v>63411</v>
      </c>
      <c r="F156" s="12">
        <v>2</v>
      </c>
      <c r="G156" s="12">
        <v>2024</v>
      </c>
      <c r="H156" s="33" t="s">
        <v>63408</v>
      </c>
      <c r="I156" s="33" t="s">
        <v>63412</v>
      </c>
      <c r="J156" s="33" t="s">
        <v>63288</v>
      </c>
    </row>
    <row r="157" spans="1:10">
      <c r="A157" s="30" t="s">
        <v>62991</v>
      </c>
      <c r="B157" s="43">
        <v>45344</v>
      </c>
      <c r="C157" s="30" t="s">
        <v>62992</v>
      </c>
      <c r="D157" s="30" t="s">
        <v>63413</v>
      </c>
      <c r="E157" s="30" t="s">
        <v>63414</v>
      </c>
      <c r="F157" s="12">
        <v>2</v>
      </c>
      <c r="G157" s="12">
        <v>2024</v>
      </c>
      <c r="H157" s="30" t="s">
        <v>63408</v>
      </c>
      <c r="I157" s="30"/>
      <c r="J157" s="30" t="s">
        <v>63281</v>
      </c>
    </row>
    <row r="158" spans="1:10">
      <c r="A158" s="33" t="s">
        <v>63014</v>
      </c>
      <c r="B158" s="44">
        <v>45343</v>
      </c>
      <c r="C158" s="33" t="s">
        <v>62998</v>
      </c>
      <c r="D158" s="33" t="s">
        <v>63415</v>
      </c>
      <c r="E158" s="33" t="s">
        <v>63415</v>
      </c>
      <c r="F158" s="12">
        <v>2</v>
      </c>
      <c r="G158" s="12">
        <v>2024</v>
      </c>
      <c r="H158" s="33" t="s">
        <v>63408</v>
      </c>
      <c r="I158" s="33" t="s">
        <v>63416</v>
      </c>
      <c r="J158" s="33" t="s">
        <v>63288</v>
      </c>
    </row>
    <row r="159" spans="1:10">
      <c r="A159" s="30" t="s">
        <v>63014</v>
      </c>
      <c r="B159" s="43">
        <v>45338</v>
      </c>
      <c r="C159" s="30" t="s">
        <v>62998</v>
      </c>
      <c r="D159" s="30" t="s">
        <v>63417</v>
      </c>
      <c r="E159" s="30" t="s">
        <v>63417</v>
      </c>
      <c r="F159" s="12">
        <v>2</v>
      </c>
      <c r="G159" s="12">
        <v>2024</v>
      </c>
      <c r="H159" s="30" t="s">
        <v>63408</v>
      </c>
      <c r="I159" s="30" t="s">
        <v>63418</v>
      </c>
      <c r="J159" s="30" t="s">
        <v>63288</v>
      </c>
    </row>
    <row r="160" spans="1:10">
      <c r="A160" s="33" t="s">
        <v>63014</v>
      </c>
      <c r="B160" s="44">
        <v>45327</v>
      </c>
      <c r="C160" s="33" t="s">
        <v>62998</v>
      </c>
      <c r="D160" s="33" t="s">
        <v>63419</v>
      </c>
      <c r="E160" s="33" t="s">
        <v>63419</v>
      </c>
      <c r="F160" s="12">
        <v>2</v>
      </c>
      <c r="G160" s="12">
        <v>2024</v>
      </c>
      <c r="H160" s="33" t="s">
        <v>63408</v>
      </c>
      <c r="I160" s="33" t="s">
        <v>63420</v>
      </c>
      <c r="J160" s="33" t="s">
        <v>63288</v>
      </c>
    </row>
    <row r="161" spans="1:10">
      <c r="A161" s="30" t="s">
        <v>63014</v>
      </c>
      <c r="B161" s="43">
        <v>45321</v>
      </c>
      <c r="C161" s="30" t="s">
        <v>62998</v>
      </c>
      <c r="D161" s="30" t="s">
        <v>63421</v>
      </c>
      <c r="E161" s="30" t="s">
        <v>63421</v>
      </c>
      <c r="F161" s="12">
        <v>1</v>
      </c>
      <c r="G161" s="12">
        <v>2024</v>
      </c>
      <c r="H161" s="30" t="s">
        <v>63422</v>
      </c>
      <c r="I161" s="30" t="s">
        <v>63423</v>
      </c>
      <c r="J161" s="30" t="s">
        <v>63288</v>
      </c>
    </row>
    <row r="162" spans="1:10">
      <c r="A162" s="33" t="s">
        <v>63014</v>
      </c>
      <c r="B162" s="44">
        <v>45307</v>
      </c>
      <c r="C162" s="33" t="s">
        <v>62998</v>
      </c>
      <c r="D162" s="33" t="s">
        <v>63424</v>
      </c>
      <c r="E162" s="33" t="s">
        <v>63424</v>
      </c>
      <c r="F162" s="12">
        <v>1</v>
      </c>
      <c r="G162" s="12">
        <v>2024</v>
      </c>
      <c r="H162" s="33" t="s">
        <v>63422</v>
      </c>
      <c r="I162" s="33" t="s">
        <v>63425</v>
      </c>
      <c r="J162" s="33" t="s">
        <v>63288</v>
      </c>
    </row>
    <row r="163" spans="1:10">
      <c r="A163" s="30" t="s">
        <v>62991</v>
      </c>
      <c r="B163" s="43">
        <v>45296</v>
      </c>
      <c r="C163" s="30" t="s">
        <v>62992</v>
      </c>
      <c r="D163" s="30" t="s">
        <v>63426</v>
      </c>
      <c r="E163" s="30" t="s">
        <v>63427</v>
      </c>
      <c r="F163" s="12">
        <v>1</v>
      </c>
      <c r="G163" s="12">
        <v>2024</v>
      </c>
      <c r="H163" s="30" t="s">
        <v>63422</v>
      </c>
      <c r="I163" s="30"/>
      <c r="J163" s="30" t="s">
        <v>63281</v>
      </c>
    </row>
    <row r="164" spans="1:10">
      <c r="A164" s="33" t="s">
        <v>62991</v>
      </c>
      <c r="B164" s="44">
        <v>45281</v>
      </c>
      <c r="C164" s="33" t="s">
        <v>62992</v>
      </c>
      <c r="D164" s="33" t="s">
        <v>63428</v>
      </c>
      <c r="E164" s="33" t="s">
        <v>63429</v>
      </c>
      <c r="F164" s="12">
        <v>12</v>
      </c>
      <c r="G164" s="12">
        <v>2023</v>
      </c>
      <c r="H164" s="33" t="s">
        <v>63430</v>
      </c>
      <c r="I164" s="33"/>
      <c r="J164" s="33" t="s">
        <v>63281</v>
      </c>
    </row>
    <row r="165" spans="1:10">
      <c r="A165" s="30" t="s">
        <v>62991</v>
      </c>
      <c r="B165" s="43">
        <v>45278</v>
      </c>
      <c r="C165" s="30" t="s">
        <v>62992</v>
      </c>
      <c r="D165" s="30" t="s">
        <v>63431</v>
      </c>
      <c r="E165" s="30" t="s">
        <v>63432</v>
      </c>
      <c r="F165" s="12">
        <v>12</v>
      </c>
      <c r="G165" s="12">
        <v>2023</v>
      </c>
      <c r="H165" s="30" t="s">
        <v>63430</v>
      </c>
      <c r="I165" s="30"/>
      <c r="J165" s="30" t="s">
        <v>63281</v>
      </c>
    </row>
    <row r="166" spans="1:10">
      <c r="A166" s="33" t="s">
        <v>63014</v>
      </c>
      <c r="B166" s="44">
        <v>45275</v>
      </c>
      <c r="C166" s="33" t="s">
        <v>62998</v>
      </c>
      <c r="D166" s="33" t="s">
        <v>63433</v>
      </c>
      <c r="E166" s="33" t="s">
        <v>63433</v>
      </c>
      <c r="F166" s="12">
        <v>12</v>
      </c>
      <c r="G166" s="12">
        <v>2023</v>
      </c>
      <c r="H166" s="33" t="s">
        <v>63430</v>
      </c>
      <c r="I166" s="33" t="s">
        <v>63434</v>
      </c>
      <c r="J166" s="33" t="s">
        <v>63435</v>
      </c>
    </row>
    <row r="167" spans="1:10">
      <c r="A167" s="30" t="s">
        <v>63014</v>
      </c>
      <c r="B167" s="43">
        <v>45268</v>
      </c>
      <c r="C167" s="30" t="s">
        <v>62998</v>
      </c>
      <c r="D167" s="30" t="s">
        <v>63436</v>
      </c>
      <c r="E167" s="30" t="s">
        <v>63436</v>
      </c>
      <c r="F167" s="12">
        <v>12</v>
      </c>
      <c r="G167" s="12">
        <v>2023</v>
      </c>
      <c r="H167" s="30" t="s">
        <v>63430</v>
      </c>
      <c r="I167" s="30" t="s">
        <v>63437</v>
      </c>
      <c r="J167" s="30" t="s">
        <v>63435</v>
      </c>
    </row>
    <row r="168" spans="1:10">
      <c r="A168" s="33" t="s">
        <v>63014</v>
      </c>
      <c r="B168" s="44">
        <v>45268</v>
      </c>
      <c r="C168" s="33" t="s">
        <v>62998</v>
      </c>
      <c r="D168" s="33" t="s">
        <v>63438</v>
      </c>
      <c r="E168" s="33" t="s">
        <v>63438</v>
      </c>
      <c r="F168" s="12">
        <v>12</v>
      </c>
      <c r="G168" s="12">
        <v>2023</v>
      </c>
      <c r="H168" s="33" t="s">
        <v>63430</v>
      </c>
      <c r="I168" s="33" t="s">
        <v>63439</v>
      </c>
      <c r="J168" s="33" t="s">
        <v>63435</v>
      </c>
    </row>
    <row r="169" spans="1:10">
      <c r="A169" s="30" t="s">
        <v>62991</v>
      </c>
      <c r="B169" s="43">
        <v>45265</v>
      </c>
      <c r="C169" s="30" t="s">
        <v>62992</v>
      </c>
      <c r="D169" s="30" t="s">
        <v>63440</v>
      </c>
      <c r="E169" s="30" t="s">
        <v>63441</v>
      </c>
      <c r="F169" s="12">
        <v>12</v>
      </c>
      <c r="G169" s="12">
        <v>2023</v>
      </c>
      <c r="H169" s="30" t="s">
        <v>63430</v>
      </c>
      <c r="I169" s="30"/>
      <c r="J169" s="30" t="s">
        <v>63281</v>
      </c>
    </row>
    <row r="170" spans="1:10">
      <c r="A170" s="33" t="s">
        <v>62991</v>
      </c>
      <c r="B170" s="44">
        <v>45257</v>
      </c>
      <c r="C170" s="33" t="s">
        <v>62992</v>
      </c>
      <c r="D170" s="33" t="s">
        <v>63442</v>
      </c>
      <c r="E170" s="33" t="s">
        <v>63443</v>
      </c>
      <c r="F170" s="12">
        <v>11</v>
      </c>
      <c r="G170" s="12">
        <v>2023</v>
      </c>
      <c r="H170" s="33" t="s">
        <v>63444</v>
      </c>
      <c r="I170" s="33"/>
      <c r="J170" s="33" t="s">
        <v>63281</v>
      </c>
    </row>
    <row r="171" spans="1:10">
      <c r="A171" s="30" t="s">
        <v>62991</v>
      </c>
      <c r="B171" s="43">
        <v>45246</v>
      </c>
      <c r="C171" s="30" t="s">
        <v>62992</v>
      </c>
      <c r="D171" s="30" t="s">
        <v>63445</v>
      </c>
      <c r="E171" s="30" t="s">
        <v>63446</v>
      </c>
      <c r="F171" s="12">
        <v>11</v>
      </c>
      <c r="G171" s="12">
        <v>2023</v>
      </c>
      <c r="H171" s="30" t="s">
        <v>63444</v>
      </c>
      <c r="I171" s="30"/>
      <c r="J171" s="30" t="s">
        <v>63281</v>
      </c>
    </row>
    <row r="172" spans="1:10">
      <c r="A172" s="33" t="s">
        <v>62991</v>
      </c>
      <c r="B172" s="44">
        <v>45246</v>
      </c>
      <c r="C172" s="33" t="s">
        <v>62998</v>
      </c>
      <c r="D172" s="33" t="s">
        <v>63447</v>
      </c>
      <c r="E172" s="33" t="s">
        <v>63448</v>
      </c>
      <c r="F172" s="12">
        <v>11</v>
      </c>
      <c r="G172" s="12">
        <v>2023</v>
      </c>
      <c r="H172" s="33" t="s">
        <v>63444</v>
      </c>
      <c r="I172" s="33"/>
      <c r="J172" s="33" t="s">
        <v>63281</v>
      </c>
    </row>
    <row r="173" spans="1:10">
      <c r="A173" s="30" t="s">
        <v>62991</v>
      </c>
      <c r="B173" s="43">
        <v>45245</v>
      </c>
      <c r="C173" s="30" t="s">
        <v>62992</v>
      </c>
      <c r="D173" s="30" t="s">
        <v>63449</v>
      </c>
      <c r="E173" s="30" t="s">
        <v>63450</v>
      </c>
      <c r="F173" s="12">
        <v>11</v>
      </c>
      <c r="G173" s="12">
        <v>2023</v>
      </c>
      <c r="H173" s="30" t="s">
        <v>63444</v>
      </c>
      <c r="I173" s="30"/>
      <c r="J173" s="30" t="s">
        <v>63281</v>
      </c>
    </row>
    <row r="174" spans="1:10">
      <c r="A174" s="33" t="s">
        <v>62991</v>
      </c>
      <c r="B174" s="44">
        <v>45245</v>
      </c>
      <c r="C174" s="33" t="s">
        <v>62992</v>
      </c>
      <c r="D174" s="33" t="s">
        <v>63451</v>
      </c>
      <c r="E174" s="33" t="s">
        <v>63452</v>
      </c>
      <c r="F174" s="12">
        <v>11</v>
      </c>
      <c r="G174" s="12">
        <v>2023</v>
      </c>
      <c r="H174" s="33" t="s">
        <v>63444</v>
      </c>
      <c r="I174" s="33"/>
      <c r="J174" s="33" t="s">
        <v>63281</v>
      </c>
    </row>
    <row r="175" spans="1:10">
      <c r="A175" s="30" t="s">
        <v>63014</v>
      </c>
      <c r="B175" s="43">
        <v>45239</v>
      </c>
      <c r="C175" s="30" t="s">
        <v>62998</v>
      </c>
      <c r="D175" s="30" t="s">
        <v>63453</v>
      </c>
      <c r="E175" s="30" t="s">
        <v>63453</v>
      </c>
      <c r="F175" s="12">
        <v>11</v>
      </c>
      <c r="G175" s="12">
        <v>2023</v>
      </c>
      <c r="H175" s="30" t="s">
        <v>63444</v>
      </c>
      <c r="I175" s="30" t="s">
        <v>63454</v>
      </c>
      <c r="J175" s="30" t="s">
        <v>63435</v>
      </c>
    </row>
    <row r="176" spans="1:10">
      <c r="A176" s="33" t="s">
        <v>63014</v>
      </c>
      <c r="B176" s="44">
        <v>45239</v>
      </c>
      <c r="C176" s="33" t="s">
        <v>62998</v>
      </c>
      <c r="D176" s="33" t="s">
        <v>63455</v>
      </c>
      <c r="E176" s="33" t="s">
        <v>63455</v>
      </c>
      <c r="F176" s="12">
        <v>11</v>
      </c>
      <c r="G176" s="12">
        <v>2023</v>
      </c>
      <c r="H176" s="33" t="s">
        <v>63444</v>
      </c>
      <c r="I176" s="33" t="s">
        <v>63456</v>
      </c>
      <c r="J176" s="33" t="s">
        <v>63435</v>
      </c>
    </row>
    <row r="177" spans="1:10">
      <c r="A177" s="30" t="s">
        <v>62991</v>
      </c>
      <c r="B177" s="43">
        <v>45238</v>
      </c>
      <c r="C177" s="30" t="s">
        <v>62992</v>
      </c>
      <c r="D177" s="30" t="s">
        <v>63457</v>
      </c>
      <c r="E177" s="30" t="s">
        <v>63458</v>
      </c>
      <c r="F177" s="12">
        <v>11</v>
      </c>
      <c r="G177" s="12">
        <v>2023</v>
      </c>
      <c r="H177" s="30" t="s">
        <v>63444</v>
      </c>
      <c r="I177" s="30"/>
      <c r="J177" s="30" t="s">
        <v>63281</v>
      </c>
    </row>
    <row r="178" spans="1:10">
      <c r="A178" s="33" t="s">
        <v>62991</v>
      </c>
      <c r="B178" s="44">
        <v>45226</v>
      </c>
      <c r="C178" s="33" t="s">
        <v>62998</v>
      </c>
      <c r="D178" s="33" t="s">
        <v>63459</v>
      </c>
      <c r="E178" s="33" t="s">
        <v>63460</v>
      </c>
      <c r="F178" s="12">
        <v>10</v>
      </c>
      <c r="G178" s="12">
        <v>2023</v>
      </c>
      <c r="H178" s="33" t="s">
        <v>63461</v>
      </c>
      <c r="I178" s="33"/>
      <c r="J178" s="33" t="s">
        <v>63281</v>
      </c>
    </row>
    <row r="179" spans="1:10">
      <c r="A179" s="30" t="s">
        <v>62991</v>
      </c>
      <c r="B179" s="43">
        <v>45225</v>
      </c>
      <c r="C179" s="30" t="s">
        <v>62992</v>
      </c>
      <c r="D179" s="30" t="s">
        <v>63462</v>
      </c>
      <c r="E179" s="30" t="s">
        <v>63463</v>
      </c>
      <c r="F179" s="12">
        <v>10</v>
      </c>
      <c r="G179" s="12">
        <v>2023</v>
      </c>
      <c r="H179" s="30" t="s">
        <v>63461</v>
      </c>
      <c r="I179" s="30"/>
      <c r="J179" s="30" t="s">
        <v>63281</v>
      </c>
    </row>
    <row r="180" spans="1:10">
      <c r="A180" s="33" t="s">
        <v>62991</v>
      </c>
      <c r="B180" s="44">
        <v>45225</v>
      </c>
      <c r="C180" s="33" t="s">
        <v>62998</v>
      </c>
      <c r="D180" s="33" t="s">
        <v>63464</v>
      </c>
      <c r="E180" s="33" t="s">
        <v>63465</v>
      </c>
      <c r="F180" s="12">
        <v>10</v>
      </c>
      <c r="G180" s="12">
        <v>2023</v>
      </c>
      <c r="H180" s="33" t="s">
        <v>63461</v>
      </c>
      <c r="I180" s="33"/>
      <c r="J180" s="33" t="s">
        <v>63281</v>
      </c>
    </row>
    <row r="181" spans="1:10">
      <c r="A181" s="30" t="s">
        <v>63014</v>
      </c>
      <c r="B181" s="43">
        <v>45219</v>
      </c>
      <c r="C181" s="30" t="s">
        <v>62998</v>
      </c>
      <c r="D181" s="30" t="s">
        <v>63466</v>
      </c>
      <c r="E181" s="30" t="s">
        <v>63466</v>
      </c>
      <c r="F181" s="12">
        <v>10</v>
      </c>
      <c r="G181" s="12">
        <v>2023</v>
      </c>
      <c r="H181" s="30" t="s">
        <v>63461</v>
      </c>
      <c r="I181" s="30" t="s">
        <v>63467</v>
      </c>
      <c r="J181" s="30" t="s">
        <v>63435</v>
      </c>
    </row>
    <row r="182" spans="1:10">
      <c r="A182" s="33" t="s">
        <v>62991</v>
      </c>
      <c r="B182" s="44">
        <v>45216</v>
      </c>
      <c r="C182" s="33" t="s">
        <v>62992</v>
      </c>
      <c r="D182" s="33" t="s">
        <v>63468</v>
      </c>
      <c r="E182" s="33" t="s">
        <v>63469</v>
      </c>
      <c r="F182" s="12">
        <v>10</v>
      </c>
      <c r="G182" s="12">
        <v>2023</v>
      </c>
      <c r="H182" s="33" t="s">
        <v>63461</v>
      </c>
      <c r="I182" s="33"/>
      <c r="J182" s="33" t="s">
        <v>63281</v>
      </c>
    </row>
    <row r="183" spans="1:10">
      <c r="A183" s="30" t="s">
        <v>62991</v>
      </c>
      <c r="B183" s="43">
        <v>45216</v>
      </c>
      <c r="C183" s="30" t="s">
        <v>62998</v>
      </c>
      <c r="D183" s="30" t="s">
        <v>63470</v>
      </c>
      <c r="E183" s="30" t="s">
        <v>63471</v>
      </c>
      <c r="F183" s="12">
        <v>10</v>
      </c>
      <c r="G183" s="12">
        <v>2023</v>
      </c>
      <c r="H183" s="30" t="s">
        <v>63461</v>
      </c>
      <c r="I183" s="30"/>
      <c r="J183" s="30" t="s">
        <v>63281</v>
      </c>
    </row>
    <row r="184" spans="1:10">
      <c r="A184" s="33" t="s">
        <v>63014</v>
      </c>
      <c r="B184" s="44">
        <v>45216</v>
      </c>
      <c r="C184" s="33" t="s">
        <v>62998</v>
      </c>
      <c r="D184" s="33" t="s">
        <v>63472</v>
      </c>
      <c r="E184" s="33" t="s">
        <v>63472</v>
      </c>
      <c r="F184" s="12">
        <v>10</v>
      </c>
      <c r="G184" s="12">
        <v>2023</v>
      </c>
      <c r="H184" s="33" t="s">
        <v>63461</v>
      </c>
      <c r="I184" s="33" t="s">
        <v>63473</v>
      </c>
      <c r="J184" s="33" t="s">
        <v>63435</v>
      </c>
    </row>
    <row r="185" spans="1:10">
      <c r="A185" s="30" t="s">
        <v>62991</v>
      </c>
      <c r="B185" s="43">
        <v>45211</v>
      </c>
      <c r="C185" s="30" t="s">
        <v>62992</v>
      </c>
      <c r="D185" s="30" t="s">
        <v>63474</v>
      </c>
      <c r="E185" s="30" t="s">
        <v>63475</v>
      </c>
      <c r="F185" s="12">
        <v>10</v>
      </c>
      <c r="G185" s="12">
        <v>2023</v>
      </c>
      <c r="H185" s="30" t="s">
        <v>63461</v>
      </c>
      <c r="I185" s="30"/>
      <c r="J185" s="30" t="s">
        <v>63281</v>
      </c>
    </row>
    <row r="186" spans="1:10">
      <c r="A186" s="33" t="s">
        <v>62991</v>
      </c>
      <c r="B186" s="44">
        <v>45198</v>
      </c>
      <c r="C186" s="33" t="s">
        <v>62992</v>
      </c>
      <c r="D186" s="33" t="s">
        <v>63476</v>
      </c>
      <c r="E186" s="33" t="s">
        <v>63477</v>
      </c>
      <c r="F186" s="12">
        <v>9</v>
      </c>
      <c r="G186" s="12">
        <v>2023</v>
      </c>
      <c r="H186" s="33" t="s">
        <v>63478</v>
      </c>
      <c r="I186" s="33"/>
      <c r="J186" s="33" t="s">
        <v>63281</v>
      </c>
    </row>
    <row r="187" spans="1:10">
      <c r="A187" s="30" t="s">
        <v>62991</v>
      </c>
      <c r="B187" s="43">
        <v>45197</v>
      </c>
      <c r="C187" s="30" t="s">
        <v>62998</v>
      </c>
      <c r="D187" s="30" t="s">
        <v>63479</v>
      </c>
      <c r="E187" s="30" t="s">
        <v>63480</v>
      </c>
      <c r="F187" s="12">
        <v>9</v>
      </c>
      <c r="G187" s="12">
        <v>2023</v>
      </c>
      <c r="H187" s="30" t="s">
        <v>63478</v>
      </c>
      <c r="I187" s="30"/>
      <c r="J187" s="30" t="s">
        <v>63281</v>
      </c>
    </row>
    <row r="188" spans="1:10">
      <c r="A188" s="33" t="s">
        <v>62991</v>
      </c>
      <c r="B188" s="44">
        <v>45191</v>
      </c>
      <c r="C188" s="33" t="s">
        <v>62992</v>
      </c>
      <c r="D188" s="33" t="s">
        <v>63481</v>
      </c>
      <c r="E188" s="33" t="s">
        <v>63482</v>
      </c>
      <c r="F188" s="12">
        <v>9</v>
      </c>
      <c r="G188" s="12">
        <v>2023</v>
      </c>
      <c r="H188" s="33" t="s">
        <v>63478</v>
      </c>
      <c r="I188" s="33"/>
      <c r="J188" s="33" t="s">
        <v>63281</v>
      </c>
    </row>
    <row r="189" spans="1:10">
      <c r="A189" s="30" t="s">
        <v>62991</v>
      </c>
      <c r="B189" s="43">
        <v>45184</v>
      </c>
      <c r="C189" s="30" t="s">
        <v>62992</v>
      </c>
      <c r="D189" s="30" t="s">
        <v>63483</v>
      </c>
      <c r="E189" s="30" t="s">
        <v>63484</v>
      </c>
      <c r="F189" s="12">
        <v>9</v>
      </c>
      <c r="G189" s="12">
        <v>2023</v>
      </c>
      <c r="H189" s="30" t="s">
        <v>63478</v>
      </c>
      <c r="I189" s="30"/>
      <c r="J189" s="30" t="s">
        <v>63281</v>
      </c>
    </row>
    <row r="190" spans="1:10">
      <c r="A190" s="33" t="s">
        <v>63014</v>
      </c>
      <c r="B190" s="44">
        <v>45182</v>
      </c>
      <c r="C190" s="33" t="s">
        <v>62998</v>
      </c>
      <c r="D190" s="33" t="s">
        <v>63421</v>
      </c>
      <c r="E190" s="33" t="s">
        <v>63421</v>
      </c>
      <c r="F190" s="12">
        <v>9</v>
      </c>
      <c r="G190" s="12">
        <v>2023</v>
      </c>
      <c r="H190" s="33" t="s">
        <v>63478</v>
      </c>
      <c r="I190" s="33" t="s">
        <v>63485</v>
      </c>
      <c r="J190" s="33" t="s">
        <v>63435</v>
      </c>
    </row>
    <row r="191" spans="1:10">
      <c r="A191" s="30" t="s">
        <v>62991</v>
      </c>
      <c r="B191" s="43">
        <v>45177</v>
      </c>
      <c r="C191" s="30" t="s">
        <v>62992</v>
      </c>
      <c r="D191" s="30" t="s">
        <v>63486</v>
      </c>
      <c r="E191" s="30" t="s">
        <v>63487</v>
      </c>
      <c r="F191" s="12">
        <v>9</v>
      </c>
      <c r="G191" s="12">
        <v>2023</v>
      </c>
      <c r="H191" s="30" t="s">
        <v>63478</v>
      </c>
      <c r="I191" s="30"/>
      <c r="J191" s="30" t="s">
        <v>63281</v>
      </c>
    </row>
    <row r="192" spans="1:10">
      <c r="A192" s="33" t="s">
        <v>63014</v>
      </c>
      <c r="B192" s="44">
        <v>45159</v>
      </c>
      <c r="C192" s="33" t="s">
        <v>62998</v>
      </c>
      <c r="D192" s="33" t="s">
        <v>63488</v>
      </c>
      <c r="E192" s="33" t="s">
        <v>63488</v>
      </c>
      <c r="F192" s="12">
        <v>8</v>
      </c>
      <c r="G192" s="12">
        <v>2023</v>
      </c>
      <c r="H192" s="33" t="s">
        <v>63489</v>
      </c>
      <c r="I192" s="33" t="s">
        <v>63490</v>
      </c>
      <c r="J192" s="33" t="s">
        <v>63435</v>
      </c>
    </row>
    <row r="193" spans="1:10">
      <c r="A193" s="30" t="s">
        <v>62991</v>
      </c>
      <c r="B193" s="43">
        <v>45156</v>
      </c>
      <c r="C193" s="30" t="s">
        <v>62998</v>
      </c>
      <c r="D193" s="30" t="s">
        <v>63491</v>
      </c>
      <c r="E193" s="30" t="s">
        <v>63492</v>
      </c>
      <c r="F193" s="12">
        <v>8</v>
      </c>
      <c r="G193" s="12">
        <v>2023</v>
      </c>
      <c r="H193" s="30" t="s">
        <v>63489</v>
      </c>
      <c r="I193" s="30"/>
      <c r="J193" s="30" t="s">
        <v>63281</v>
      </c>
    </row>
    <row r="194" spans="1:10">
      <c r="A194" s="33" t="s">
        <v>62991</v>
      </c>
      <c r="B194" s="44">
        <v>45154</v>
      </c>
      <c r="C194" s="33" t="s">
        <v>62992</v>
      </c>
      <c r="D194" s="33" t="s">
        <v>63493</v>
      </c>
      <c r="E194" s="33" t="s">
        <v>63494</v>
      </c>
      <c r="F194" s="12">
        <v>8</v>
      </c>
      <c r="G194" s="12">
        <v>2023</v>
      </c>
      <c r="H194" s="33" t="s">
        <v>63489</v>
      </c>
      <c r="I194" s="33"/>
      <c r="J194" s="33" t="s">
        <v>63281</v>
      </c>
    </row>
    <row r="195" spans="1:10">
      <c r="A195" s="30" t="s">
        <v>62991</v>
      </c>
      <c r="B195" s="43">
        <v>45152</v>
      </c>
      <c r="C195" s="30" t="s">
        <v>62998</v>
      </c>
      <c r="D195" s="30" t="s">
        <v>63495</v>
      </c>
      <c r="E195" s="30" t="s">
        <v>63496</v>
      </c>
      <c r="F195" s="12">
        <v>8</v>
      </c>
      <c r="G195" s="12">
        <v>2023</v>
      </c>
      <c r="H195" s="30" t="s">
        <v>63489</v>
      </c>
      <c r="I195" s="30"/>
      <c r="J195" s="30" t="s">
        <v>63281</v>
      </c>
    </row>
    <row r="196" spans="1:10">
      <c r="A196" s="33" t="s">
        <v>62991</v>
      </c>
      <c r="B196" s="44">
        <v>45147</v>
      </c>
      <c r="C196" s="33" t="s">
        <v>62998</v>
      </c>
      <c r="D196" s="33" t="s">
        <v>63497</v>
      </c>
      <c r="E196" s="33" t="s">
        <v>63498</v>
      </c>
      <c r="F196" s="12">
        <v>8</v>
      </c>
      <c r="G196" s="12">
        <v>2023</v>
      </c>
      <c r="H196" s="33" t="s">
        <v>63489</v>
      </c>
      <c r="I196" s="33"/>
      <c r="J196" s="33" t="s">
        <v>63281</v>
      </c>
    </row>
    <row r="197" spans="1:10">
      <c r="A197" s="30" t="s">
        <v>62991</v>
      </c>
      <c r="B197" s="43">
        <v>45142</v>
      </c>
      <c r="C197" s="30" t="s">
        <v>62992</v>
      </c>
      <c r="D197" s="30" t="s">
        <v>63499</v>
      </c>
      <c r="E197" s="30" t="s">
        <v>63500</v>
      </c>
      <c r="F197" s="12">
        <v>8</v>
      </c>
      <c r="G197" s="12">
        <v>2023</v>
      </c>
      <c r="H197" s="30" t="s">
        <v>63489</v>
      </c>
      <c r="I197" s="30"/>
      <c r="J197" s="30" t="s">
        <v>63281</v>
      </c>
    </row>
    <row r="198" spans="1:10">
      <c r="A198" s="33" t="s">
        <v>62991</v>
      </c>
      <c r="B198" s="44">
        <v>45142</v>
      </c>
      <c r="C198" s="33" t="s">
        <v>62992</v>
      </c>
      <c r="D198" s="33" t="s">
        <v>63501</v>
      </c>
      <c r="E198" s="33" t="s">
        <v>63502</v>
      </c>
      <c r="F198" s="12">
        <v>8</v>
      </c>
      <c r="G198" s="12">
        <v>2023</v>
      </c>
      <c r="H198" s="33" t="s">
        <v>63489</v>
      </c>
      <c r="I198" s="33"/>
      <c r="J198" s="33" t="s">
        <v>63281</v>
      </c>
    </row>
    <row r="199" spans="1:10">
      <c r="A199" s="30" t="s">
        <v>62991</v>
      </c>
      <c r="B199" s="43">
        <v>45131</v>
      </c>
      <c r="C199" s="30" t="s">
        <v>62992</v>
      </c>
      <c r="D199" s="30" t="s">
        <v>63503</v>
      </c>
      <c r="E199" s="30" t="s">
        <v>63504</v>
      </c>
      <c r="F199" s="12">
        <v>7</v>
      </c>
      <c r="G199" s="12">
        <v>2023</v>
      </c>
      <c r="H199" s="30" t="s">
        <v>63505</v>
      </c>
      <c r="I199" s="30"/>
      <c r="J199" s="30" t="s">
        <v>63281</v>
      </c>
    </row>
    <row r="200" spans="1:10">
      <c r="A200" s="33" t="s">
        <v>63014</v>
      </c>
      <c r="B200" s="44">
        <v>45128</v>
      </c>
      <c r="C200" s="33" t="s">
        <v>62998</v>
      </c>
      <c r="D200" s="33" t="s">
        <v>63506</v>
      </c>
      <c r="E200" s="33" t="s">
        <v>63506</v>
      </c>
      <c r="F200" s="12">
        <v>7</v>
      </c>
      <c r="G200" s="12">
        <v>2023</v>
      </c>
      <c r="H200" s="33" t="s">
        <v>63505</v>
      </c>
      <c r="I200" s="33" t="s">
        <v>63507</v>
      </c>
      <c r="J200" s="33" t="s">
        <v>63435</v>
      </c>
    </row>
    <row r="201" spans="1:10">
      <c r="A201" s="30" t="s">
        <v>63014</v>
      </c>
      <c r="B201" s="43">
        <v>45127</v>
      </c>
      <c r="C201" s="30" t="s">
        <v>62998</v>
      </c>
      <c r="D201" s="30" t="s">
        <v>63508</v>
      </c>
      <c r="E201" s="30" t="s">
        <v>63508</v>
      </c>
      <c r="F201" s="12">
        <v>7</v>
      </c>
      <c r="G201" s="12">
        <v>2023</v>
      </c>
      <c r="H201" s="30" t="s">
        <v>63505</v>
      </c>
      <c r="I201" s="30" t="s">
        <v>63509</v>
      </c>
      <c r="J201" s="30" t="s">
        <v>63435</v>
      </c>
    </row>
    <row r="202" spans="1:10">
      <c r="A202" s="33" t="s">
        <v>62991</v>
      </c>
      <c r="B202" s="44">
        <v>45127</v>
      </c>
      <c r="C202" s="33" t="s">
        <v>62992</v>
      </c>
      <c r="D202" s="33" t="s">
        <v>63510</v>
      </c>
      <c r="E202" s="33" t="s">
        <v>63511</v>
      </c>
      <c r="F202" s="12">
        <v>7</v>
      </c>
      <c r="G202" s="12">
        <v>2023</v>
      </c>
      <c r="H202" s="33" t="s">
        <v>63505</v>
      </c>
      <c r="I202" s="33"/>
      <c r="J202" s="33" t="s">
        <v>63281</v>
      </c>
    </row>
    <row r="203" spans="1:10">
      <c r="A203" s="30" t="s">
        <v>62991</v>
      </c>
      <c r="B203" s="43">
        <v>45124</v>
      </c>
      <c r="C203" s="30" t="s">
        <v>62998</v>
      </c>
      <c r="D203" s="30" t="s">
        <v>63512</v>
      </c>
      <c r="E203" s="30" t="s">
        <v>63513</v>
      </c>
      <c r="F203" s="12">
        <v>7</v>
      </c>
      <c r="G203" s="12">
        <v>2023</v>
      </c>
      <c r="H203" s="30" t="s">
        <v>63505</v>
      </c>
      <c r="I203" s="30"/>
      <c r="J203" s="30" t="s">
        <v>63281</v>
      </c>
    </row>
    <row r="204" spans="1:10">
      <c r="A204" s="33" t="s">
        <v>63014</v>
      </c>
      <c r="B204" s="44">
        <v>45106</v>
      </c>
      <c r="C204" s="33" t="s">
        <v>62998</v>
      </c>
      <c r="D204" s="33" t="s">
        <v>63514</v>
      </c>
      <c r="E204" s="33" t="s">
        <v>63514</v>
      </c>
      <c r="F204" s="12">
        <v>6</v>
      </c>
      <c r="G204" s="12">
        <v>2023</v>
      </c>
      <c r="H204" s="33" t="s">
        <v>63515</v>
      </c>
      <c r="I204" s="33" t="s">
        <v>63516</v>
      </c>
      <c r="J204" s="33" t="s">
        <v>63435</v>
      </c>
    </row>
    <row r="205" spans="1:10">
      <c r="A205" s="30" t="s">
        <v>63014</v>
      </c>
      <c r="B205" s="43">
        <v>45105</v>
      </c>
      <c r="C205" s="30" t="s">
        <v>62998</v>
      </c>
      <c r="D205" s="30" t="s">
        <v>63517</v>
      </c>
      <c r="E205" s="30" t="s">
        <v>63517</v>
      </c>
      <c r="F205" s="12">
        <v>6</v>
      </c>
      <c r="G205" s="12">
        <v>2023</v>
      </c>
      <c r="H205" s="30" t="s">
        <v>63515</v>
      </c>
      <c r="I205" s="30" t="s">
        <v>63518</v>
      </c>
      <c r="J205" s="30" t="s">
        <v>63435</v>
      </c>
    </row>
    <row r="206" spans="1:10">
      <c r="A206" s="33" t="s">
        <v>62991</v>
      </c>
      <c r="B206" s="44">
        <v>45104</v>
      </c>
      <c r="C206" s="33" t="s">
        <v>62998</v>
      </c>
      <c r="D206" s="33" t="s">
        <v>63519</v>
      </c>
      <c r="E206" s="33" t="s">
        <v>63520</v>
      </c>
      <c r="F206" s="12">
        <v>6</v>
      </c>
      <c r="G206" s="12">
        <v>2023</v>
      </c>
      <c r="H206" s="33" t="s">
        <v>63515</v>
      </c>
      <c r="I206" s="33"/>
      <c r="J206" s="33" t="s">
        <v>63281</v>
      </c>
    </row>
    <row r="207" spans="1:10">
      <c r="A207" s="30" t="s">
        <v>62991</v>
      </c>
      <c r="B207" s="43">
        <v>45103</v>
      </c>
      <c r="C207" s="30" t="s">
        <v>62998</v>
      </c>
      <c r="D207" s="30" t="s">
        <v>63521</v>
      </c>
      <c r="E207" s="30" t="s">
        <v>63522</v>
      </c>
      <c r="F207" s="12">
        <v>6</v>
      </c>
      <c r="G207" s="12">
        <v>2023</v>
      </c>
      <c r="H207" s="30" t="s">
        <v>63515</v>
      </c>
      <c r="I207" s="30"/>
      <c r="J207" s="30" t="s">
        <v>63281</v>
      </c>
    </row>
    <row r="208" spans="1:10">
      <c r="A208" s="33" t="s">
        <v>62991</v>
      </c>
      <c r="B208" s="44">
        <v>45100</v>
      </c>
      <c r="C208" s="33" t="s">
        <v>62992</v>
      </c>
      <c r="D208" s="33" t="s">
        <v>63523</v>
      </c>
      <c r="E208" s="33" t="s">
        <v>63524</v>
      </c>
      <c r="F208" s="12">
        <v>6</v>
      </c>
      <c r="G208" s="12">
        <v>2023</v>
      </c>
      <c r="H208" s="33" t="s">
        <v>63515</v>
      </c>
      <c r="I208" s="33"/>
      <c r="J208" s="33" t="s">
        <v>63281</v>
      </c>
    </row>
    <row r="209" spans="1:10">
      <c r="A209" s="30" t="s">
        <v>63014</v>
      </c>
      <c r="B209" s="43">
        <v>45099</v>
      </c>
      <c r="C209" s="30" t="s">
        <v>62998</v>
      </c>
      <c r="D209" s="30" t="s">
        <v>63525</v>
      </c>
      <c r="E209" s="30" t="s">
        <v>63525</v>
      </c>
      <c r="F209" s="12">
        <v>6</v>
      </c>
      <c r="G209" s="12">
        <v>2023</v>
      </c>
      <c r="H209" s="30" t="s">
        <v>63515</v>
      </c>
      <c r="I209" s="30" t="s">
        <v>63526</v>
      </c>
      <c r="J209" s="30" t="s">
        <v>63435</v>
      </c>
    </row>
    <row r="210" spans="1:10">
      <c r="A210" s="33" t="s">
        <v>62991</v>
      </c>
      <c r="B210" s="44">
        <v>45092</v>
      </c>
      <c r="C210" s="33" t="s">
        <v>62998</v>
      </c>
      <c r="D210" s="33" t="s">
        <v>63527</v>
      </c>
      <c r="E210" s="33" t="s">
        <v>63528</v>
      </c>
      <c r="F210" s="12">
        <v>6</v>
      </c>
      <c r="G210" s="12">
        <v>2023</v>
      </c>
      <c r="H210" s="33" t="s">
        <v>63515</v>
      </c>
      <c r="I210" s="33"/>
      <c r="J210" s="33" t="s">
        <v>63281</v>
      </c>
    </row>
    <row r="211" spans="1:10">
      <c r="A211" s="30" t="s">
        <v>63014</v>
      </c>
      <c r="B211" s="43">
        <v>45090</v>
      </c>
      <c r="C211" s="30" t="s">
        <v>62998</v>
      </c>
      <c r="D211" s="30" t="s">
        <v>63529</v>
      </c>
      <c r="E211" s="30" t="s">
        <v>63529</v>
      </c>
      <c r="F211" s="12">
        <v>6</v>
      </c>
      <c r="G211" s="12">
        <v>2023</v>
      </c>
      <c r="H211" s="30" t="s">
        <v>63515</v>
      </c>
      <c r="I211" s="30" t="s">
        <v>63530</v>
      </c>
      <c r="J211" s="30" t="s">
        <v>63435</v>
      </c>
    </row>
    <row r="212" spans="1:10">
      <c r="A212" s="33" t="s">
        <v>63014</v>
      </c>
      <c r="B212" s="44">
        <v>45077</v>
      </c>
      <c r="C212" s="33" t="s">
        <v>62998</v>
      </c>
      <c r="D212" s="33" t="s">
        <v>63488</v>
      </c>
      <c r="E212" s="33" t="s">
        <v>63488</v>
      </c>
      <c r="F212" s="12">
        <v>5</v>
      </c>
      <c r="G212" s="12">
        <v>2023</v>
      </c>
      <c r="H212" s="33" t="s">
        <v>63531</v>
      </c>
      <c r="I212" s="33" t="s">
        <v>63371</v>
      </c>
      <c r="J212" s="33" t="s">
        <v>63435</v>
      </c>
    </row>
    <row r="213" spans="1:10">
      <c r="A213" s="30" t="s">
        <v>62991</v>
      </c>
      <c r="B213" s="43">
        <v>45072</v>
      </c>
      <c r="C213" s="30" t="s">
        <v>62992</v>
      </c>
      <c r="D213" s="30" t="s">
        <v>63532</v>
      </c>
      <c r="E213" s="30" t="s">
        <v>63533</v>
      </c>
      <c r="F213" s="12">
        <v>5</v>
      </c>
      <c r="G213" s="12">
        <v>2023</v>
      </c>
      <c r="H213" s="30" t="s">
        <v>63531</v>
      </c>
      <c r="I213" s="30"/>
      <c r="J213" s="30" t="s">
        <v>63281</v>
      </c>
    </row>
    <row r="214" spans="1:10">
      <c r="A214" s="33" t="s">
        <v>62991</v>
      </c>
      <c r="B214" s="44">
        <v>45071</v>
      </c>
      <c r="C214" s="33" t="s">
        <v>62992</v>
      </c>
      <c r="D214" s="33" t="s">
        <v>63534</v>
      </c>
      <c r="E214" s="33" t="s">
        <v>63535</v>
      </c>
      <c r="F214" s="12">
        <v>5</v>
      </c>
      <c r="G214" s="12">
        <v>2023</v>
      </c>
      <c r="H214" s="33" t="s">
        <v>63531</v>
      </c>
      <c r="I214" s="33"/>
      <c r="J214" s="33" t="s">
        <v>63281</v>
      </c>
    </row>
    <row r="215" spans="1:10">
      <c r="A215" s="30" t="s">
        <v>62991</v>
      </c>
      <c r="B215" s="43">
        <v>45071</v>
      </c>
      <c r="C215" s="30" t="s">
        <v>62992</v>
      </c>
      <c r="D215" s="30" t="s">
        <v>63536</v>
      </c>
      <c r="E215" s="30" t="s">
        <v>63537</v>
      </c>
      <c r="F215" s="12">
        <v>5</v>
      </c>
      <c r="G215" s="12">
        <v>2023</v>
      </c>
      <c r="H215" s="30" t="s">
        <v>63531</v>
      </c>
      <c r="I215" s="30"/>
      <c r="J215" s="30" t="s">
        <v>63281</v>
      </c>
    </row>
    <row r="216" spans="1:10">
      <c r="A216" s="33" t="s">
        <v>62991</v>
      </c>
      <c r="B216" s="44">
        <v>45069</v>
      </c>
      <c r="C216" s="33" t="s">
        <v>62992</v>
      </c>
      <c r="D216" s="33" t="s">
        <v>63538</v>
      </c>
      <c r="E216" s="33" t="s">
        <v>63539</v>
      </c>
      <c r="F216" s="12">
        <v>5</v>
      </c>
      <c r="G216" s="12">
        <v>2023</v>
      </c>
      <c r="H216" s="33" t="s">
        <v>63531</v>
      </c>
      <c r="I216" s="33"/>
      <c r="J216" s="33" t="s">
        <v>63281</v>
      </c>
    </row>
    <row r="217" spans="1:10">
      <c r="A217" s="30" t="s">
        <v>62991</v>
      </c>
      <c r="B217" s="43">
        <v>45065</v>
      </c>
      <c r="C217" s="30" t="s">
        <v>62998</v>
      </c>
      <c r="D217" s="30" t="s">
        <v>63540</v>
      </c>
      <c r="E217" s="30" t="s">
        <v>63541</v>
      </c>
      <c r="F217" s="12">
        <v>5</v>
      </c>
      <c r="G217" s="12">
        <v>2023</v>
      </c>
      <c r="H217" s="30" t="s">
        <v>63531</v>
      </c>
      <c r="I217" s="30"/>
      <c r="J217" s="30" t="s">
        <v>63281</v>
      </c>
    </row>
    <row r="218" spans="1:10">
      <c r="A218" s="33" t="s">
        <v>63014</v>
      </c>
      <c r="B218" s="44">
        <v>45065</v>
      </c>
      <c r="C218" s="33" t="s">
        <v>62998</v>
      </c>
      <c r="D218" s="33" t="s">
        <v>63542</v>
      </c>
      <c r="E218" s="33" t="s">
        <v>63542</v>
      </c>
      <c r="F218" s="12">
        <v>5</v>
      </c>
      <c r="G218" s="12">
        <v>2023</v>
      </c>
      <c r="H218" s="33" t="s">
        <v>63531</v>
      </c>
      <c r="I218" s="33" t="s">
        <v>63543</v>
      </c>
      <c r="J218" s="33" t="s">
        <v>63435</v>
      </c>
    </row>
    <row r="219" spans="1:10">
      <c r="A219" s="30" t="s">
        <v>62991</v>
      </c>
      <c r="B219" s="43">
        <v>45064</v>
      </c>
      <c r="C219" s="30" t="s">
        <v>62992</v>
      </c>
      <c r="D219" s="30" t="s">
        <v>63544</v>
      </c>
      <c r="E219" s="30" t="s">
        <v>63545</v>
      </c>
      <c r="F219" s="12">
        <v>5</v>
      </c>
      <c r="G219" s="12">
        <v>2023</v>
      </c>
      <c r="H219" s="30" t="s">
        <v>63531</v>
      </c>
      <c r="I219" s="30"/>
      <c r="J219" s="30" t="s">
        <v>63281</v>
      </c>
    </row>
    <row r="220" spans="1:10">
      <c r="A220" s="33" t="s">
        <v>62991</v>
      </c>
      <c r="B220" s="44">
        <v>45058</v>
      </c>
      <c r="C220" s="33" t="s">
        <v>62992</v>
      </c>
      <c r="D220" s="33" t="s">
        <v>63546</v>
      </c>
      <c r="E220" s="33" t="s">
        <v>63547</v>
      </c>
      <c r="F220" s="12">
        <v>5</v>
      </c>
      <c r="G220" s="12">
        <v>2023</v>
      </c>
      <c r="H220" s="33" t="s">
        <v>63531</v>
      </c>
      <c r="I220" s="33"/>
      <c r="J220" s="33" t="s">
        <v>63281</v>
      </c>
    </row>
    <row r="221" spans="1:10">
      <c r="A221" s="30" t="s">
        <v>62991</v>
      </c>
      <c r="B221" s="43">
        <v>45055</v>
      </c>
      <c r="C221" s="30" t="s">
        <v>62998</v>
      </c>
      <c r="D221" s="30" t="s">
        <v>63548</v>
      </c>
      <c r="E221" s="30" t="s">
        <v>63549</v>
      </c>
      <c r="F221" s="12">
        <v>5</v>
      </c>
      <c r="G221" s="12">
        <v>2023</v>
      </c>
      <c r="H221" s="30" t="s">
        <v>63531</v>
      </c>
      <c r="I221" s="30"/>
      <c r="J221" s="30" t="s">
        <v>63281</v>
      </c>
    </row>
    <row r="222" spans="1:10">
      <c r="A222" s="33" t="s">
        <v>63014</v>
      </c>
      <c r="B222" s="44">
        <v>45049</v>
      </c>
      <c r="C222" s="33" t="s">
        <v>62998</v>
      </c>
      <c r="D222" s="33" t="s">
        <v>63550</v>
      </c>
      <c r="E222" s="33" t="s">
        <v>63550</v>
      </c>
      <c r="F222" s="12">
        <v>5</v>
      </c>
      <c r="G222" s="12">
        <v>2023</v>
      </c>
      <c r="H222" s="33" t="s">
        <v>63531</v>
      </c>
      <c r="I222" s="33" t="s">
        <v>63551</v>
      </c>
      <c r="J222" s="33" t="s">
        <v>63435</v>
      </c>
    </row>
    <row r="223" spans="1:10">
      <c r="A223" s="30" t="s">
        <v>63014</v>
      </c>
      <c r="B223" s="43">
        <v>45042</v>
      </c>
      <c r="C223" s="30" t="s">
        <v>62998</v>
      </c>
      <c r="D223" s="30" t="s">
        <v>63552</v>
      </c>
      <c r="E223" s="30" t="s">
        <v>63552</v>
      </c>
      <c r="F223" s="12">
        <v>4</v>
      </c>
      <c r="G223" s="12">
        <v>2023</v>
      </c>
      <c r="H223" s="30" t="s">
        <v>63553</v>
      </c>
      <c r="I223" s="30" t="s">
        <v>63554</v>
      </c>
      <c r="J223" s="30" t="s">
        <v>63435</v>
      </c>
    </row>
    <row r="224" spans="1:10">
      <c r="A224" s="33" t="s">
        <v>62991</v>
      </c>
      <c r="B224" s="44">
        <v>45041</v>
      </c>
      <c r="C224" s="33" t="s">
        <v>62992</v>
      </c>
      <c r="D224" s="33" t="s">
        <v>63555</v>
      </c>
      <c r="E224" s="33" t="s">
        <v>63556</v>
      </c>
      <c r="F224" s="12">
        <v>4</v>
      </c>
      <c r="G224" s="12">
        <v>2023</v>
      </c>
      <c r="H224" s="33" t="s">
        <v>63553</v>
      </c>
      <c r="I224" s="33"/>
      <c r="J224" s="33" t="s">
        <v>63281</v>
      </c>
    </row>
    <row r="225" spans="1:10">
      <c r="A225" s="30" t="s">
        <v>63014</v>
      </c>
      <c r="B225" s="43">
        <v>45033</v>
      </c>
      <c r="C225" s="30" t="s">
        <v>62998</v>
      </c>
      <c r="D225" s="30" t="s">
        <v>63557</v>
      </c>
      <c r="E225" s="30" t="s">
        <v>63557</v>
      </c>
      <c r="F225" s="12">
        <v>4</v>
      </c>
      <c r="G225" s="12">
        <v>2023</v>
      </c>
      <c r="H225" s="30" t="s">
        <v>63553</v>
      </c>
      <c r="I225" s="30" t="s">
        <v>63558</v>
      </c>
      <c r="J225" s="30" t="s">
        <v>63435</v>
      </c>
    </row>
    <row r="226" spans="1:10">
      <c r="A226" s="33" t="s">
        <v>62991</v>
      </c>
      <c r="B226" s="44">
        <v>45009</v>
      </c>
      <c r="C226" s="33" t="s">
        <v>62992</v>
      </c>
      <c r="D226" s="33" t="s">
        <v>63559</v>
      </c>
      <c r="E226" s="33" t="s">
        <v>63560</v>
      </c>
      <c r="F226" s="12">
        <v>3</v>
      </c>
      <c r="G226" s="12">
        <v>2023</v>
      </c>
      <c r="H226" s="33" t="s">
        <v>63561</v>
      </c>
      <c r="I226" s="33"/>
      <c r="J226" s="33" t="s">
        <v>63281</v>
      </c>
    </row>
    <row r="227" spans="1:10">
      <c r="A227" s="30" t="s">
        <v>62991</v>
      </c>
      <c r="B227" s="43">
        <v>45007</v>
      </c>
      <c r="C227" s="30" t="s">
        <v>62992</v>
      </c>
      <c r="D227" s="30" t="s">
        <v>63562</v>
      </c>
      <c r="E227" s="30" t="s">
        <v>63563</v>
      </c>
      <c r="F227" s="12">
        <v>3</v>
      </c>
      <c r="G227" s="12">
        <v>2023</v>
      </c>
      <c r="H227" s="30" t="s">
        <v>63561</v>
      </c>
      <c r="I227" s="30"/>
      <c r="J227" s="30" t="s">
        <v>63281</v>
      </c>
    </row>
    <row r="228" spans="1:10">
      <c r="A228" s="33" t="s">
        <v>62991</v>
      </c>
      <c r="B228" s="44">
        <v>45007</v>
      </c>
      <c r="C228" s="33" t="s">
        <v>62998</v>
      </c>
      <c r="D228" s="33" t="s">
        <v>63564</v>
      </c>
      <c r="E228" s="33" t="s">
        <v>63565</v>
      </c>
      <c r="F228" s="12">
        <v>3</v>
      </c>
      <c r="G228" s="12">
        <v>2023</v>
      </c>
      <c r="H228" s="33" t="s">
        <v>63561</v>
      </c>
      <c r="I228" s="33"/>
      <c r="J228" s="33" t="s">
        <v>63281</v>
      </c>
    </row>
    <row r="229" spans="1:10">
      <c r="A229" s="30" t="s">
        <v>62991</v>
      </c>
      <c r="B229" s="43">
        <v>44995</v>
      </c>
      <c r="C229" s="30" t="s">
        <v>62992</v>
      </c>
      <c r="D229" s="30" t="s">
        <v>63566</v>
      </c>
      <c r="E229" s="30" t="s">
        <v>63567</v>
      </c>
      <c r="F229" s="12">
        <v>3</v>
      </c>
      <c r="G229" s="12">
        <v>2023</v>
      </c>
      <c r="H229" s="30" t="s">
        <v>63561</v>
      </c>
      <c r="I229" s="30"/>
      <c r="J229" s="30" t="s">
        <v>63281</v>
      </c>
    </row>
    <row r="230" spans="1:10">
      <c r="A230" s="33" t="s">
        <v>62991</v>
      </c>
      <c r="B230" s="44">
        <v>44994</v>
      </c>
      <c r="C230" s="33" t="s">
        <v>62992</v>
      </c>
      <c r="D230" s="33" t="s">
        <v>63568</v>
      </c>
      <c r="E230" s="33" t="s">
        <v>63569</v>
      </c>
      <c r="F230" s="12">
        <v>3</v>
      </c>
      <c r="G230" s="12">
        <v>2023</v>
      </c>
      <c r="H230" s="33" t="s">
        <v>63561</v>
      </c>
      <c r="I230" s="33"/>
      <c r="J230" s="33" t="s">
        <v>63281</v>
      </c>
    </row>
    <row r="231" spans="1:10">
      <c r="A231" s="30" t="s">
        <v>62991</v>
      </c>
      <c r="B231" s="43">
        <v>44985</v>
      </c>
      <c r="C231" s="30" t="s">
        <v>62992</v>
      </c>
      <c r="D231" s="30" t="s">
        <v>63570</v>
      </c>
      <c r="E231" s="30" t="s">
        <v>63571</v>
      </c>
      <c r="F231" s="12">
        <v>2</v>
      </c>
      <c r="G231" s="12">
        <v>2023</v>
      </c>
      <c r="H231" s="30" t="s">
        <v>63572</v>
      </c>
      <c r="I231" s="30"/>
      <c r="J231" s="30" t="s">
        <v>63281</v>
      </c>
    </row>
    <row r="232" spans="1:10">
      <c r="A232" s="33" t="s">
        <v>63014</v>
      </c>
      <c r="B232" s="44">
        <v>44980</v>
      </c>
      <c r="C232" s="33" t="s">
        <v>62998</v>
      </c>
      <c r="D232" s="33" t="s">
        <v>63421</v>
      </c>
      <c r="E232" s="33" t="s">
        <v>63421</v>
      </c>
      <c r="F232" s="12">
        <v>2</v>
      </c>
      <c r="G232" s="12">
        <v>2023</v>
      </c>
      <c r="H232" s="33" t="s">
        <v>63572</v>
      </c>
      <c r="I232" s="33" t="s">
        <v>63485</v>
      </c>
      <c r="J232" s="33" t="s">
        <v>63435</v>
      </c>
    </row>
    <row r="233" spans="1:10">
      <c r="A233" s="30" t="s">
        <v>63014</v>
      </c>
      <c r="B233" s="43">
        <v>44979</v>
      </c>
      <c r="C233" s="30" t="s">
        <v>62998</v>
      </c>
      <c r="D233" s="30" t="s">
        <v>63573</v>
      </c>
      <c r="E233" s="30" t="s">
        <v>63573</v>
      </c>
      <c r="F233" s="12">
        <v>2</v>
      </c>
      <c r="G233" s="12">
        <v>2023</v>
      </c>
      <c r="H233" s="30" t="s">
        <v>63572</v>
      </c>
      <c r="I233" s="30" t="s">
        <v>63574</v>
      </c>
      <c r="J233" s="30" t="s">
        <v>63435</v>
      </c>
    </row>
    <row r="234" spans="1:10">
      <c r="A234" s="33" t="s">
        <v>62991</v>
      </c>
      <c r="B234" s="44">
        <v>44974</v>
      </c>
      <c r="C234" s="33" t="s">
        <v>62992</v>
      </c>
      <c r="D234" s="33" t="s">
        <v>63575</v>
      </c>
      <c r="E234" s="33" t="s">
        <v>63576</v>
      </c>
      <c r="F234" s="12">
        <v>2</v>
      </c>
      <c r="G234" s="12">
        <v>2023</v>
      </c>
      <c r="H234" s="33" t="s">
        <v>63572</v>
      </c>
      <c r="I234" s="33"/>
      <c r="J234" s="33" t="s">
        <v>63281</v>
      </c>
    </row>
    <row r="235" spans="1:10">
      <c r="A235" s="30" t="s">
        <v>62991</v>
      </c>
      <c r="B235" s="43">
        <v>44973</v>
      </c>
      <c r="C235" s="30" t="s">
        <v>62998</v>
      </c>
      <c r="D235" s="30" t="s">
        <v>63577</v>
      </c>
      <c r="E235" s="30" t="s">
        <v>63578</v>
      </c>
      <c r="F235" s="12">
        <v>2</v>
      </c>
      <c r="G235" s="12">
        <v>2023</v>
      </c>
      <c r="H235" s="30" t="s">
        <v>63572</v>
      </c>
      <c r="I235" s="30"/>
      <c r="J235" s="30" t="s">
        <v>63281</v>
      </c>
    </row>
    <row r="236" spans="1:10">
      <c r="A236" s="33" t="s">
        <v>62991</v>
      </c>
      <c r="B236" s="44">
        <v>44958</v>
      </c>
      <c r="C236" s="33" t="s">
        <v>62992</v>
      </c>
      <c r="D236" s="33" t="s">
        <v>63579</v>
      </c>
      <c r="E236" s="33" t="s">
        <v>63580</v>
      </c>
      <c r="F236" s="12">
        <v>2</v>
      </c>
      <c r="G236" s="12">
        <v>2023</v>
      </c>
      <c r="H236" s="33" t="s">
        <v>63572</v>
      </c>
      <c r="I236" s="33"/>
      <c r="J236" s="33" t="s">
        <v>63281</v>
      </c>
    </row>
    <row r="237" spans="1:10">
      <c r="A237" s="30" t="s">
        <v>62991</v>
      </c>
      <c r="B237" s="43">
        <v>44953</v>
      </c>
      <c r="C237" s="30" t="s">
        <v>62992</v>
      </c>
      <c r="D237" s="30" t="s">
        <v>63581</v>
      </c>
      <c r="E237" s="30" t="s">
        <v>63582</v>
      </c>
      <c r="F237" s="12">
        <v>1</v>
      </c>
      <c r="G237" s="12">
        <v>2023</v>
      </c>
      <c r="H237" s="30" t="s">
        <v>63583</v>
      </c>
      <c r="I237" s="30"/>
      <c r="J237" s="30" t="s">
        <v>63281</v>
      </c>
    </row>
    <row r="238" spans="1:10">
      <c r="A238" s="33" t="s">
        <v>62991</v>
      </c>
      <c r="B238" s="44">
        <v>44953</v>
      </c>
      <c r="C238" s="33" t="s">
        <v>62992</v>
      </c>
      <c r="D238" s="33" t="s">
        <v>63584</v>
      </c>
      <c r="E238" s="33" t="s">
        <v>63585</v>
      </c>
      <c r="F238" s="12">
        <v>1</v>
      </c>
      <c r="G238" s="12">
        <v>2023</v>
      </c>
      <c r="H238" s="33" t="s">
        <v>63583</v>
      </c>
      <c r="I238" s="33"/>
      <c r="J238" s="33" t="s">
        <v>63281</v>
      </c>
    </row>
    <row r="239" spans="1:10">
      <c r="A239" s="30" t="s">
        <v>63014</v>
      </c>
      <c r="B239" s="43">
        <v>44951</v>
      </c>
      <c r="C239" s="30" t="s">
        <v>62998</v>
      </c>
      <c r="D239" s="30" t="s">
        <v>63421</v>
      </c>
      <c r="E239" s="30" t="s">
        <v>63421</v>
      </c>
      <c r="F239" s="12">
        <v>1</v>
      </c>
      <c r="G239" s="12">
        <v>2023</v>
      </c>
      <c r="H239" s="30" t="s">
        <v>63583</v>
      </c>
      <c r="I239" s="30" t="s">
        <v>63586</v>
      </c>
      <c r="J239" s="30" t="s">
        <v>63435</v>
      </c>
    </row>
    <row r="240" spans="1:10">
      <c r="A240" s="33" t="s">
        <v>62991</v>
      </c>
      <c r="B240" s="44">
        <v>44946</v>
      </c>
      <c r="C240" s="33" t="s">
        <v>62992</v>
      </c>
      <c r="D240" s="33" t="s">
        <v>63587</v>
      </c>
      <c r="E240" s="33" t="s">
        <v>63588</v>
      </c>
      <c r="F240" s="12">
        <v>1</v>
      </c>
      <c r="G240" s="12">
        <v>2023</v>
      </c>
      <c r="H240" s="33" t="s">
        <v>63583</v>
      </c>
      <c r="I240" s="33"/>
      <c r="J240" s="33" t="s">
        <v>63281</v>
      </c>
    </row>
    <row r="241" spans="1:10">
      <c r="A241" s="30" t="s">
        <v>63014</v>
      </c>
      <c r="B241" s="43">
        <v>44945</v>
      </c>
      <c r="C241" s="30" t="s">
        <v>62998</v>
      </c>
      <c r="D241" s="30" t="s">
        <v>63421</v>
      </c>
      <c r="E241" s="30" t="s">
        <v>63421</v>
      </c>
      <c r="F241" s="12">
        <v>1</v>
      </c>
      <c r="G241" s="12">
        <v>2023</v>
      </c>
      <c r="H241" s="30" t="s">
        <v>63583</v>
      </c>
      <c r="I241" s="30" t="s">
        <v>63589</v>
      </c>
      <c r="J241" s="30" t="s">
        <v>63435</v>
      </c>
    </row>
    <row r="242" spans="1:10">
      <c r="A242" s="33" t="s">
        <v>63014</v>
      </c>
      <c r="B242" s="44">
        <v>44943</v>
      </c>
      <c r="C242" s="33" t="s">
        <v>62998</v>
      </c>
      <c r="D242" s="33" t="s">
        <v>63421</v>
      </c>
      <c r="E242" s="33" t="s">
        <v>63421</v>
      </c>
      <c r="F242" s="12">
        <v>1</v>
      </c>
      <c r="G242" s="12">
        <v>2023</v>
      </c>
      <c r="H242" s="33" t="s">
        <v>63583</v>
      </c>
      <c r="I242" s="33" t="s">
        <v>63586</v>
      </c>
      <c r="J242" s="33" t="s">
        <v>63435</v>
      </c>
    </row>
    <row r="243" spans="1:10">
      <c r="A243" s="30" t="s">
        <v>62991</v>
      </c>
      <c r="B243" s="43">
        <v>44932</v>
      </c>
      <c r="C243" s="30" t="s">
        <v>62998</v>
      </c>
      <c r="D243" s="30" t="s">
        <v>63590</v>
      </c>
      <c r="E243" s="30" t="s">
        <v>63591</v>
      </c>
      <c r="F243" s="12">
        <v>1</v>
      </c>
      <c r="G243" s="12">
        <v>2023</v>
      </c>
      <c r="H243" s="30" t="s">
        <v>63583</v>
      </c>
      <c r="I243" s="30"/>
      <c r="J243" s="30" t="s">
        <v>63281</v>
      </c>
    </row>
    <row r="244" spans="1:10">
      <c r="A244" s="33" t="s">
        <v>62991</v>
      </c>
      <c r="B244" s="44">
        <v>44923</v>
      </c>
      <c r="C244" s="33" t="s">
        <v>62998</v>
      </c>
      <c r="D244" s="33" t="s">
        <v>63592</v>
      </c>
      <c r="E244" s="33" t="s">
        <v>63593</v>
      </c>
      <c r="F244" s="12">
        <v>12</v>
      </c>
      <c r="G244" s="12">
        <v>2022</v>
      </c>
      <c r="H244" s="33" t="s">
        <v>63594</v>
      </c>
      <c r="I244" s="33"/>
      <c r="J244" s="33" t="s">
        <v>63281</v>
      </c>
    </row>
    <row r="245" spans="1:10">
      <c r="A245" s="30" t="s">
        <v>62991</v>
      </c>
      <c r="B245" s="43">
        <v>44923</v>
      </c>
      <c r="C245" s="30" t="s">
        <v>62998</v>
      </c>
      <c r="D245" s="30" t="s">
        <v>63595</v>
      </c>
      <c r="E245" s="30" t="s">
        <v>63596</v>
      </c>
      <c r="F245" s="12">
        <v>12</v>
      </c>
      <c r="G245" s="12">
        <v>2022</v>
      </c>
      <c r="H245" s="30" t="s">
        <v>63594</v>
      </c>
      <c r="I245" s="30"/>
      <c r="J245" s="30" t="s">
        <v>63281</v>
      </c>
    </row>
    <row r="246" spans="1:10">
      <c r="A246" s="33" t="s">
        <v>63014</v>
      </c>
      <c r="B246" s="44">
        <v>44918</v>
      </c>
      <c r="C246" s="33" t="s">
        <v>62998</v>
      </c>
      <c r="D246" s="33" t="s">
        <v>63597</v>
      </c>
      <c r="E246" s="33" t="s">
        <v>63597</v>
      </c>
      <c r="F246" s="12">
        <v>12</v>
      </c>
      <c r="G246" s="12">
        <v>2022</v>
      </c>
      <c r="H246" s="33" t="s">
        <v>63594</v>
      </c>
      <c r="I246" s="33" t="s">
        <v>63598</v>
      </c>
      <c r="J246" s="33" t="s">
        <v>63599</v>
      </c>
    </row>
    <row r="247" spans="1:10">
      <c r="A247" s="30" t="s">
        <v>62991</v>
      </c>
      <c r="B247" s="43">
        <v>44918</v>
      </c>
      <c r="C247" s="30" t="s">
        <v>62992</v>
      </c>
      <c r="D247" s="30" t="s">
        <v>63600</v>
      </c>
      <c r="E247" s="30" t="s">
        <v>63601</v>
      </c>
      <c r="F247" s="12">
        <v>12</v>
      </c>
      <c r="G247" s="12">
        <v>2022</v>
      </c>
      <c r="H247" s="30" t="s">
        <v>63594</v>
      </c>
      <c r="I247" s="30"/>
      <c r="J247" s="30" t="s">
        <v>63281</v>
      </c>
    </row>
    <row r="248" spans="1:10">
      <c r="A248" s="33" t="s">
        <v>62991</v>
      </c>
      <c r="B248" s="44">
        <v>44917</v>
      </c>
      <c r="C248" s="33" t="s">
        <v>62992</v>
      </c>
      <c r="D248" s="33" t="s">
        <v>63602</v>
      </c>
      <c r="E248" s="33" t="s">
        <v>63603</v>
      </c>
      <c r="F248" s="12">
        <v>12</v>
      </c>
      <c r="G248" s="12">
        <v>2022</v>
      </c>
      <c r="H248" s="33" t="s">
        <v>63594</v>
      </c>
      <c r="I248" s="33"/>
      <c r="J248" s="33" t="s">
        <v>63281</v>
      </c>
    </row>
    <row r="249" spans="1:10">
      <c r="A249" s="30" t="s">
        <v>62991</v>
      </c>
      <c r="B249" s="43">
        <v>44917</v>
      </c>
      <c r="C249" s="30" t="s">
        <v>62998</v>
      </c>
      <c r="D249" s="30" t="s">
        <v>63604</v>
      </c>
      <c r="E249" s="30" t="s">
        <v>63605</v>
      </c>
      <c r="F249" s="12">
        <v>12</v>
      </c>
      <c r="G249" s="12">
        <v>2022</v>
      </c>
      <c r="H249" s="30" t="s">
        <v>63594</v>
      </c>
      <c r="I249" s="30"/>
      <c r="J249" s="30" t="s">
        <v>63281</v>
      </c>
    </row>
    <row r="250" spans="1:10">
      <c r="A250" s="33" t="s">
        <v>63014</v>
      </c>
      <c r="B250" s="44">
        <v>44911</v>
      </c>
      <c r="C250" s="33" t="s">
        <v>62998</v>
      </c>
      <c r="D250" s="33" t="s">
        <v>63606</v>
      </c>
      <c r="E250" s="33" t="s">
        <v>63606</v>
      </c>
      <c r="F250" s="12">
        <v>12</v>
      </c>
      <c r="G250" s="12">
        <v>2022</v>
      </c>
      <c r="H250" s="33" t="s">
        <v>63594</v>
      </c>
      <c r="I250" s="33" t="s">
        <v>63607</v>
      </c>
      <c r="J250" s="33" t="s">
        <v>63599</v>
      </c>
    </row>
    <row r="251" spans="1:10">
      <c r="A251" s="30" t="s">
        <v>62991</v>
      </c>
      <c r="B251" s="43">
        <v>44907</v>
      </c>
      <c r="C251" s="30" t="s">
        <v>62992</v>
      </c>
      <c r="D251" s="30" t="s">
        <v>63608</v>
      </c>
      <c r="E251" s="30" t="s">
        <v>63609</v>
      </c>
      <c r="F251" s="12">
        <v>12</v>
      </c>
      <c r="G251" s="12">
        <v>2022</v>
      </c>
      <c r="H251" s="30" t="s">
        <v>63594</v>
      </c>
      <c r="I251" s="30"/>
      <c r="J251" s="30" t="s">
        <v>63281</v>
      </c>
    </row>
    <row r="252" spans="1:10">
      <c r="A252" s="33" t="s">
        <v>62991</v>
      </c>
      <c r="B252" s="44">
        <v>44896</v>
      </c>
      <c r="C252" s="33" t="s">
        <v>62992</v>
      </c>
      <c r="D252" s="33" t="s">
        <v>63610</v>
      </c>
      <c r="E252" s="33" t="s">
        <v>63611</v>
      </c>
      <c r="F252" s="12">
        <v>12</v>
      </c>
      <c r="G252" s="12">
        <v>2022</v>
      </c>
      <c r="H252" s="33" t="s">
        <v>63594</v>
      </c>
      <c r="I252" s="33"/>
      <c r="J252" s="33" t="s">
        <v>63281</v>
      </c>
    </row>
    <row r="253" spans="1:10">
      <c r="A253" s="30" t="s">
        <v>63014</v>
      </c>
      <c r="B253" s="43">
        <v>44895</v>
      </c>
      <c r="C253" s="30" t="s">
        <v>62998</v>
      </c>
      <c r="D253" s="30" t="s">
        <v>63612</v>
      </c>
      <c r="E253" s="30" t="s">
        <v>63612</v>
      </c>
      <c r="F253" s="12">
        <v>11</v>
      </c>
      <c r="G253" s="12">
        <v>2022</v>
      </c>
      <c r="H253" s="30" t="s">
        <v>63613</v>
      </c>
      <c r="I253" s="30" t="s">
        <v>63614</v>
      </c>
      <c r="J253" s="30" t="s">
        <v>63599</v>
      </c>
    </row>
    <row r="254" spans="1:10">
      <c r="A254" s="33" t="s">
        <v>63014</v>
      </c>
      <c r="B254" s="44">
        <v>44887</v>
      </c>
      <c r="C254" s="33" t="s">
        <v>62998</v>
      </c>
      <c r="D254" s="33" t="s">
        <v>63615</v>
      </c>
      <c r="E254" s="33" t="s">
        <v>63615</v>
      </c>
      <c r="F254" s="12">
        <v>11</v>
      </c>
      <c r="G254" s="12">
        <v>2022</v>
      </c>
      <c r="H254" s="33" t="s">
        <v>63613</v>
      </c>
      <c r="I254" s="33" t="s">
        <v>63616</v>
      </c>
      <c r="J254" s="33" t="s">
        <v>63599</v>
      </c>
    </row>
    <row r="255" spans="1:10">
      <c r="A255" s="30" t="s">
        <v>62991</v>
      </c>
      <c r="B255" s="43">
        <v>44882</v>
      </c>
      <c r="C255" s="30" t="s">
        <v>62998</v>
      </c>
      <c r="D255" s="30" t="s">
        <v>63617</v>
      </c>
      <c r="E255" s="30" t="s">
        <v>63618</v>
      </c>
      <c r="F255" s="12">
        <v>11</v>
      </c>
      <c r="G255" s="12">
        <v>2022</v>
      </c>
      <c r="H255" s="30" t="s">
        <v>63613</v>
      </c>
      <c r="I255" s="30"/>
      <c r="J255" s="30" t="s">
        <v>63281</v>
      </c>
    </row>
    <row r="256" spans="1:10">
      <c r="A256" s="33" t="s">
        <v>62991</v>
      </c>
      <c r="B256" s="44">
        <v>44879</v>
      </c>
      <c r="C256" s="33" t="s">
        <v>62998</v>
      </c>
      <c r="D256" s="33" t="s">
        <v>63619</v>
      </c>
      <c r="E256" s="33" t="s">
        <v>63620</v>
      </c>
      <c r="F256" s="12">
        <v>11</v>
      </c>
      <c r="G256" s="12">
        <v>2022</v>
      </c>
      <c r="H256" s="33" t="s">
        <v>63613</v>
      </c>
      <c r="I256" s="33"/>
      <c r="J256" s="33" t="s">
        <v>63281</v>
      </c>
    </row>
    <row r="257" spans="1:10">
      <c r="A257" s="30" t="s">
        <v>62991</v>
      </c>
      <c r="B257" s="43">
        <v>44859</v>
      </c>
      <c r="C257" s="30" t="s">
        <v>62998</v>
      </c>
      <c r="D257" s="30" t="s">
        <v>63621</v>
      </c>
      <c r="E257" s="30" t="s">
        <v>63622</v>
      </c>
      <c r="F257" s="12">
        <v>10</v>
      </c>
      <c r="G257" s="12">
        <v>2022</v>
      </c>
      <c r="H257" s="30" t="s">
        <v>63623</v>
      </c>
      <c r="I257" s="30"/>
      <c r="J257" s="30" t="s">
        <v>63281</v>
      </c>
    </row>
    <row r="258" spans="1:10">
      <c r="A258" s="33" t="s">
        <v>62991</v>
      </c>
      <c r="B258" s="44">
        <v>44855</v>
      </c>
      <c r="C258" s="33" t="s">
        <v>62998</v>
      </c>
      <c r="D258" s="33" t="s">
        <v>63624</v>
      </c>
      <c r="E258" s="33" t="s">
        <v>63625</v>
      </c>
      <c r="F258" s="12">
        <v>10</v>
      </c>
      <c r="G258" s="12">
        <v>2022</v>
      </c>
      <c r="H258" s="33" t="s">
        <v>63623</v>
      </c>
      <c r="I258" s="33"/>
      <c r="J258" s="33" t="s">
        <v>63281</v>
      </c>
    </row>
    <row r="259" spans="1:10">
      <c r="A259" s="30" t="s">
        <v>62991</v>
      </c>
      <c r="B259" s="43">
        <v>44834</v>
      </c>
      <c r="C259" s="30" t="s">
        <v>62992</v>
      </c>
      <c r="D259" s="30" t="s">
        <v>63626</v>
      </c>
      <c r="E259" s="30" t="s">
        <v>63627</v>
      </c>
      <c r="F259" s="12">
        <v>9</v>
      </c>
      <c r="G259" s="12">
        <v>2022</v>
      </c>
      <c r="H259" s="30" t="s">
        <v>63628</v>
      </c>
      <c r="I259" s="30"/>
      <c r="J259" s="30" t="s">
        <v>63281</v>
      </c>
    </row>
    <row r="260" spans="1:10">
      <c r="A260" s="33" t="s">
        <v>62991</v>
      </c>
      <c r="B260" s="44">
        <v>44833</v>
      </c>
      <c r="C260" s="33" t="s">
        <v>62992</v>
      </c>
      <c r="D260" s="33" t="s">
        <v>63629</v>
      </c>
      <c r="E260" s="33" t="s">
        <v>63630</v>
      </c>
      <c r="F260" s="12">
        <v>9</v>
      </c>
      <c r="G260" s="12">
        <v>2022</v>
      </c>
      <c r="H260" s="33" t="s">
        <v>63628</v>
      </c>
      <c r="I260" s="33"/>
      <c r="J260" s="33" t="s">
        <v>63281</v>
      </c>
    </row>
    <row r="261" spans="1:10">
      <c r="A261" s="30" t="s">
        <v>62991</v>
      </c>
      <c r="B261" s="43">
        <v>44826</v>
      </c>
      <c r="C261" s="30" t="s">
        <v>62992</v>
      </c>
      <c r="D261" s="30" t="s">
        <v>63631</v>
      </c>
      <c r="E261" s="30" t="s">
        <v>63632</v>
      </c>
      <c r="F261" s="12">
        <v>9</v>
      </c>
      <c r="G261" s="12">
        <v>2022</v>
      </c>
      <c r="H261" s="30" t="s">
        <v>63628</v>
      </c>
      <c r="I261" s="30"/>
      <c r="J261" s="30" t="s">
        <v>63281</v>
      </c>
    </row>
    <row r="262" spans="1:10">
      <c r="A262" s="33" t="s">
        <v>62991</v>
      </c>
      <c r="B262" s="44">
        <v>44825</v>
      </c>
      <c r="C262" s="33" t="s">
        <v>62992</v>
      </c>
      <c r="D262" s="33" t="s">
        <v>63633</v>
      </c>
      <c r="E262" s="33" t="s">
        <v>63634</v>
      </c>
      <c r="F262" s="12">
        <v>9</v>
      </c>
      <c r="G262" s="12">
        <v>2022</v>
      </c>
      <c r="H262" s="33" t="s">
        <v>63628</v>
      </c>
      <c r="I262" s="33"/>
      <c r="J262" s="33" t="s">
        <v>63281</v>
      </c>
    </row>
    <row r="263" spans="1:10">
      <c r="A263" s="30" t="s">
        <v>63014</v>
      </c>
      <c r="B263" s="43">
        <v>44820</v>
      </c>
      <c r="C263" s="30" t="s">
        <v>62998</v>
      </c>
      <c r="D263" s="30" t="s">
        <v>63635</v>
      </c>
      <c r="E263" s="30" t="s">
        <v>63635</v>
      </c>
      <c r="F263" s="12">
        <v>9</v>
      </c>
      <c r="G263" s="12">
        <v>2022</v>
      </c>
      <c r="H263" s="30" t="s">
        <v>63628</v>
      </c>
      <c r="I263" s="30" t="s">
        <v>63636</v>
      </c>
      <c r="J263" s="30" t="s">
        <v>63599</v>
      </c>
    </row>
    <row r="264" spans="1:10">
      <c r="A264" s="33" t="s">
        <v>62991</v>
      </c>
      <c r="B264" s="44">
        <v>44818</v>
      </c>
      <c r="C264" s="33" t="s">
        <v>62992</v>
      </c>
      <c r="D264" s="33" t="s">
        <v>63637</v>
      </c>
      <c r="E264" s="33" t="s">
        <v>63638</v>
      </c>
      <c r="F264" s="12">
        <v>9</v>
      </c>
      <c r="G264" s="12">
        <v>2022</v>
      </c>
      <c r="H264" s="33" t="s">
        <v>63628</v>
      </c>
      <c r="I264" s="33"/>
      <c r="J264" s="33" t="s">
        <v>63281</v>
      </c>
    </row>
    <row r="265" spans="1:10">
      <c r="A265" s="30" t="s">
        <v>62991</v>
      </c>
      <c r="B265" s="43">
        <v>44813</v>
      </c>
      <c r="C265" s="30" t="s">
        <v>62998</v>
      </c>
      <c r="D265" s="30" t="s">
        <v>63639</v>
      </c>
      <c r="E265" s="30" t="s">
        <v>63640</v>
      </c>
      <c r="F265" s="12">
        <v>9</v>
      </c>
      <c r="G265" s="12">
        <v>2022</v>
      </c>
      <c r="H265" s="30" t="s">
        <v>63628</v>
      </c>
      <c r="I265" s="30"/>
      <c r="J265" s="30" t="s">
        <v>63281</v>
      </c>
    </row>
    <row r="266" spans="1:10">
      <c r="A266" s="33" t="s">
        <v>62991</v>
      </c>
      <c r="B266" s="44">
        <v>44813</v>
      </c>
      <c r="C266" s="33" t="s">
        <v>62992</v>
      </c>
      <c r="D266" s="33" t="s">
        <v>63641</v>
      </c>
      <c r="E266" s="33" t="s">
        <v>63642</v>
      </c>
      <c r="F266" s="12">
        <v>9</v>
      </c>
      <c r="G266" s="12">
        <v>2022</v>
      </c>
      <c r="H266" s="33" t="s">
        <v>63628</v>
      </c>
      <c r="I266" s="33"/>
      <c r="J266" s="33" t="s">
        <v>63281</v>
      </c>
    </row>
    <row r="267" spans="1:10">
      <c r="A267" s="30" t="s">
        <v>62991</v>
      </c>
      <c r="B267" s="43">
        <v>44811</v>
      </c>
      <c r="C267" s="30" t="s">
        <v>62998</v>
      </c>
      <c r="D267" s="30" t="s">
        <v>63643</v>
      </c>
      <c r="E267" s="30" t="s">
        <v>63644</v>
      </c>
      <c r="F267" s="12">
        <v>9</v>
      </c>
      <c r="G267" s="12">
        <v>2022</v>
      </c>
      <c r="H267" s="30" t="s">
        <v>63628</v>
      </c>
      <c r="I267" s="30"/>
      <c r="J267" s="30" t="s">
        <v>63281</v>
      </c>
    </row>
    <row r="268" spans="1:10">
      <c r="A268" s="33" t="s">
        <v>62991</v>
      </c>
      <c r="B268" s="44">
        <v>44805</v>
      </c>
      <c r="C268" s="33" t="s">
        <v>62998</v>
      </c>
      <c r="D268" s="33" t="s">
        <v>63645</v>
      </c>
      <c r="E268" s="33" t="s">
        <v>63646</v>
      </c>
      <c r="F268" s="12">
        <v>9</v>
      </c>
      <c r="G268" s="12">
        <v>2022</v>
      </c>
      <c r="H268" s="33" t="s">
        <v>63628</v>
      </c>
      <c r="I268" s="33"/>
      <c r="J268" s="33" t="s">
        <v>63281</v>
      </c>
    </row>
    <row r="269" spans="1:10">
      <c r="A269" s="30" t="s">
        <v>62991</v>
      </c>
      <c r="B269" s="43">
        <v>44804</v>
      </c>
      <c r="C269" s="30" t="s">
        <v>62998</v>
      </c>
      <c r="D269" s="30" t="s">
        <v>63647</v>
      </c>
      <c r="E269" s="30" t="s">
        <v>63648</v>
      </c>
      <c r="F269" s="12">
        <v>8</v>
      </c>
      <c r="G269" s="12">
        <v>2022</v>
      </c>
      <c r="H269" s="30" t="s">
        <v>63649</v>
      </c>
      <c r="I269" s="30"/>
      <c r="J269" s="30" t="s">
        <v>63281</v>
      </c>
    </row>
    <row r="270" spans="1:10">
      <c r="A270" s="33" t="s">
        <v>63014</v>
      </c>
      <c r="B270" s="44">
        <v>44790</v>
      </c>
      <c r="C270" s="33" t="s">
        <v>62998</v>
      </c>
      <c r="D270" s="33" t="s">
        <v>63650</v>
      </c>
      <c r="E270" s="33" t="s">
        <v>63650</v>
      </c>
      <c r="F270" s="12">
        <v>8</v>
      </c>
      <c r="G270" s="12">
        <v>2022</v>
      </c>
      <c r="H270" s="33" t="s">
        <v>63649</v>
      </c>
      <c r="I270" s="33" t="s">
        <v>63651</v>
      </c>
      <c r="J270" s="33" t="s">
        <v>63599</v>
      </c>
    </row>
    <row r="271" spans="1:10">
      <c r="A271" s="30" t="s">
        <v>63014</v>
      </c>
      <c r="B271" s="43">
        <v>44757</v>
      </c>
      <c r="C271" s="30" t="s">
        <v>62998</v>
      </c>
      <c r="D271" s="30" t="s">
        <v>63652</v>
      </c>
      <c r="E271" s="30" t="s">
        <v>63652</v>
      </c>
      <c r="F271" s="12">
        <v>7</v>
      </c>
      <c r="G271" s="12">
        <v>2022</v>
      </c>
      <c r="H271" s="30" t="s">
        <v>63653</v>
      </c>
      <c r="I271" s="30" t="s">
        <v>63654</v>
      </c>
      <c r="J271" s="30" t="s">
        <v>63599</v>
      </c>
    </row>
    <row r="272" spans="1:10">
      <c r="A272" s="33" t="s">
        <v>62991</v>
      </c>
      <c r="B272" s="44">
        <v>44725</v>
      </c>
      <c r="C272" s="33" t="s">
        <v>62992</v>
      </c>
      <c r="D272" s="33" t="s">
        <v>63655</v>
      </c>
      <c r="E272" s="33" t="s">
        <v>63656</v>
      </c>
      <c r="F272" s="12">
        <v>6</v>
      </c>
      <c r="G272" s="12">
        <v>2022</v>
      </c>
      <c r="H272" s="33" t="s">
        <v>63657</v>
      </c>
      <c r="I272" s="33"/>
      <c r="J272" s="33" t="s">
        <v>63281</v>
      </c>
    </row>
    <row r="273" spans="1:10">
      <c r="A273" s="30" t="s">
        <v>63014</v>
      </c>
      <c r="B273" s="43">
        <v>44715</v>
      </c>
      <c r="C273" s="30" t="s">
        <v>62998</v>
      </c>
      <c r="D273" s="30" t="s">
        <v>63658</v>
      </c>
      <c r="E273" s="30" t="s">
        <v>63658</v>
      </c>
      <c r="F273" s="12">
        <v>6</v>
      </c>
      <c r="G273" s="12">
        <v>2022</v>
      </c>
      <c r="H273" s="30" t="s">
        <v>63657</v>
      </c>
      <c r="I273" s="30" t="s">
        <v>63659</v>
      </c>
      <c r="J273" s="30" t="s">
        <v>63599</v>
      </c>
    </row>
    <row r="274" spans="1:10">
      <c r="A274" s="33" t="s">
        <v>62991</v>
      </c>
      <c r="B274" s="44">
        <v>44704</v>
      </c>
      <c r="C274" s="33" t="s">
        <v>62992</v>
      </c>
      <c r="D274" s="33" t="s">
        <v>63660</v>
      </c>
      <c r="E274" s="33" t="s">
        <v>63661</v>
      </c>
      <c r="F274" s="12">
        <v>5</v>
      </c>
      <c r="G274" s="12">
        <v>2022</v>
      </c>
      <c r="H274" s="33" t="s">
        <v>63662</v>
      </c>
      <c r="I274" s="33"/>
      <c r="J274" s="33" t="s">
        <v>63281</v>
      </c>
    </row>
    <row r="275" spans="1:10">
      <c r="A275" s="30" t="s">
        <v>63014</v>
      </c>
      <c r="B275" s="43">
        <v>44701</v>
      </c>
      <c r="C275" s="30" t="s">
        <v>62998</v>
      </c>
      <c r="D275" s="30" t="s">
        <v>63663</v>
      </c>
      <c r="E275" s="30" t="s">
        <v>63663</v>
      </c>
      <c r="F275" s="12">
        <v>5</v>
      </c>
      <c r="G275" s="12">
        <v>2022</v>
      </c>
      <c r="H275" s="30" t="s">
        <v>63662</v>
      </c>
      <c r="I275" s="30" t="s">
        <v>63664</v>
      </c>
      <c r="J275" s="30" t="s">
        <v>63599</v>
      </c>
    </row>
    <row r="276" spans="1:10">
      <c r="A276" s="33" t="s">
        <v>63014</v>
      </c>
      <c r="B276" s="44">
        <v>44701</v>
      </c>
      <c r="C276" s="33" t="s">
        <v>62998</v>
      </c>
      <c r="D276" s="33" t="s">
        <v>63665</v>
      </c>
      <c r="E276" s="33" t="s">
        <v>63665</v>
      </c>
      <c r="F276" s="12">
        <v>5</v>
      </c>
      <c r="G276" s="12">
        <v>2022</v>
      </c>
      <c r="H276" s="33" t="s">
        <v>63662</v>
      </c>
      <c r="I276" s="33" t="s">
        <v>63666</v>
      </c>
      <c r="J276" s="33" t="s">
        <v>63599</v>
      </c>
    </row>
    <row r="277" spans="1:10">
      <c r="A277" s="30" t="s">
        <v>63014</v>
      </c>
      <c r="B277" s="43">
        <v>44701</v>
      </c>
      <c r="C277" s="30" t="s">
        <v>62998</v>
      </c>
      <c r="D277" s="30" t="s">
        <v>63667</v>
      </c>
      <c r="E277" s="30" t="s">
        <v>63667</v>
      </c>
      <c r="F277" s="12">
        <v>5</v>
      </c>
      <c r="G277" s="12">
        <v>2022</v>
      </c>
      <c r="H277" s="30" t="s">
        <v>63662</v>
      </c>
      <c r="I277" s="30" t="s">
        <v>63668</v>
      </c>
      <c r="J277" s="30" t="s">
        <v>63599</v>
      </c>
    </row>
    <row r="278" spans="1:10">
      <c r="A278" s="33" t="s">
        <v>62991</v>
      </c>
      <c r="B278" s="44">
        <v>44694</v>
      </c>
      <c r="C278" s="33" t="s">
        <v>62992</v>
      </c>
      <c r="D278" s="33" t="s">
        <v>63669</v>
      </c>
      <c r="E278" s="33" t="s">
        <v>63670</v>
      </c>
      <c r="F278" s="12">
        <v>5</v>
      </c>
      <c r="G278" s="12">
        <v>2022</v>
      </c>
      <c r="H278" s="33" t="s">
        <v>63662</v>
      </c>
      <c r="I278" s="33"/>
      <c r="J278" s="33" t="s">
        <v>63281</v>
      </c>
    </row>
    <row r="279" spans="1:10">
      <c r="A279" s="30" t="s">
        <v>62991</v>
      </c>
      <c r="B279" s="43">
        <v>44684</v>
      </c>
      <c r="C279" s="30" t="s">
        <v>62992</v>
      </c>
      <c r="D279" s="30" t="s">
        <v>63671</v>
      </c>
      <c r="E279" s="30" t="s">
        <v>63672</v>
      </c>
      <c r="F279" s="12">
        <v>5</v>
      </c>
      <c r="G279" s="12">
        <v>2022</v>
      </c>
      <c r="H279" s="30" t="s">
        <v>63662</v>
      </c>
      <c r="I279" s="30"/>
      <c r="J279" s="30" t="s">
        <v>63281</v>
      </c>
    </row>
    <row r="280" spans="1:10">
      <c r="A280" s="33" t="s">
        <v>62991</v>
      </c>
      <c r="B280" s="44">
        <v>44679</v>
      </c>
      <c r="C280" s="33" t="s">
        <v>62992</v>
      </c>
      <c r="D280" s="33" t="s">
        <v>63673</v>
      </c>
      <c r="E280" s="33" t="s">
        <v>63674</v>
      </c>
      <c r="F280" s="12">
        <v>4</v>
      </c>
      <c r="G280" s="12">
        <v>2022</v>
      </c>
      <c r="H280" s="33" t="s">
        <v>63675</v>
      </c>
      <c r="I280" s="33"/>
      <c r="J280" s="33" t="s">
        <v>63281</v>
      </c>
    </row>
    <row r="281" spans="1:10">
      <c r="A281" s="30" t="s">
        <v>62991</v>
      </c>
      <c r="B281" s="43">
        <v>44677</v>
      </c>
      <c r="C281" s="30" t="s">
        <v>62992</v>
      </c>
      <c r="D281" s="30" t="s">
        <v>63676</v>
      </c>
      <c r="E281" s="30" t="s">
        <v>63677</v>
      </c>
      <c r="F281" s="12">
        <v>4</v>
      </c>
      <c r="G281" s="12">
        <v>2022</v>
      </c>
      <c r="H281" s="30" t="s">
        <v>63675</v>
      </c>
      <c r="I281" s="30"/>
      <c r="J281" s="30" t="s">
        <v>63281</v>
      </c>
    </row>
    <row r="282" spans="1:10">
      <c r="A282" s="33" t="s">
        <v>62991</v>
      </c>
      <c r="B282" s="44">
        <v>44643</v>
      </c>
      <c r="C282" s="33" t="s">
        <v>62992</v>
      </c>
      <c r="D282" s="33" t="s">
        <v>63678</v>
      </c>
      <c r="E282" s="33" t="s">
        <v>63679</v>
      </c>
      <c r="F282" s="12">
        <v>3</v>
      </c>
      <c r="G282" s="12">
        <v>2022</v>
      </c>
      <c r="H282" s="33" t="s">
        <v>63680</v>
      </c>
      <c r="I282" s="33"/>
      <c r="J282" s="33" t="s">
        <v>63281</v>
      </c>
    </row>
    <row r="283" spans="1:10">
      <c r="A283" s="30" t="s">
        <v>62991</v>
      </c>
      <c r="B283" s="43">
        <v>44638</v>
      </c>
      <c r="C283" s="30" t="s">
        <v>62998</v>
      </c>
      <c r="D283" s="30" t="s">
        <v>63681</v>
      </c>
      <c r="E283" s="30" t="s">
        <v>63682</v>
      </c>
      <c r="F283" s="12">
        <v>3</v>
      </c>
      <c r="G283" s="12">
        <v>2022</v>
      </c>
      <c r="H283" s="30" t="s">
        <v>63680</v>
      </c>
      <c r="I283" s="30"/>
      <c r="J283" s="30" t="s">
        <v>63281</v>
      </c>
    </row>
    <row r="284" spans="1:10">
      <c r="A284" s="33" t="s">
        <v>62991</v>
      </c>
      <c r="B284" s="44">
        <v>44638</v>
      </c>
      <c r="C284" s="33" t="s">
        <v>62992</v>
      </c>
      <c r="D284" s="33" t="s">
        <v>63683</v>
      </c>
      <c r="E284" s="33" t="s">
        <v>63684</v>
      </c>
      <c r="F284" s="12">
        <v>3</v>
      </c>
      <c r="G284" s="12">
        <v>2022</v>
      </c>
      <c r="H284" s="33" t="s">
        <v>63680</v>
      </c>
      <c r="I284" s="33"/>
      <c r="J284" s="33" t="s">
        <v>63281</v>
      </c>
    </row>
    <row r="285" spans="1:10">
      <c r="A285" s="30" t="s">
        <v>63014</v>
      </c>
      <c r="B285" s="43">
        <v>44620</v>
      </c>
      <c r="C285" s="30" t="s">
        <v>62998</v>
      </c>
      <c r="D285" s="30" t="s">
        <v>63685</v>
      </c>
      <c r="E285" s="30" t="s">
        <v>63685</v>
      </c>
      <c r="F285" s="12">
        <v>2</v>
      </c>
      <c r="G285" s="12">
        <v>2022</v>
      </c>
      <c r="H285" s="30" t="s">
        <v>63686</v>
      </c>
      <c r="I285" s="30" t="s">
        <v>63687</v>
      </c>
      <c r="J285" s="30" t="s">
        <v>63599</v>
      </c>
    </row>
    <row r="286" spans="1:10">
      <c r="A286" s="33" t="s">
        <v>62991</v>
      </c>
      <c r="B286" s="44">
        <v>44620</v>
      </c>
      <c r="C286" s="33" t="s">
        <v>62992</v>
      </c>
      <c r="D286" s="33" t="s">
        <v>63688</v>
      </c>
      <c r="E286" s="33" t="s">
        <v>63689</v>
      </c>
      <c r="F286" s="12">
        <v>2</v>
      </c>
      <c r="G286" s="12">
        <v>2022</v>
      </c>
      <c r="H286" s="33" t="s">
        <v>63686</v>
      </c>
      <c r="I286" s="33"/>
      <c r="J286" s="33" t="s">
        <v>63281</v>
      </c>
    </row>
    <row r="287" spans="1:10">
      <c r="A287" s="30" t="s">
        <v>62991</v>
      </c>
      <c r="B287" s="43">
        <v>44609</v>
      </c>
      <c r="C287" s="30" t="s">
        <v>62992</v>
      </c>
      <c r="D287" s="30" t="s">
        <v>63690</v>
      </c>
      <c r="E287" s="30" t="s">
        <v>63691</v>
      </c>
      <c r="F287" s="12">
        <v>2</v>
      </c>
      <c r="G287" s="12">
        <v>2022</v>
      </c>
      <c r="H287" s="30" t="s">
        <v>63686</v>
      </c>
      <c r="I287" s="30"/>
      <c r="J287" s="30" t="s">
        <v>63281</v>
      </c>
    </row>
    <row r="288" spans="1:10">
      <c r="A288" s="33" t="s">
        <v>62991</v>
      </c>
      <c r="B288" s="44">
        <v>44596</v>
      </c>
      <c r="C288" s="33" t="s">
        <v>62998</v>
      </c>
      <c r="D288" s="33" t="s">
        <v>63692</v>
      </c>
      <c r="E288" s="33" t="s">
        <v>63693</v>
      </c>
      <c r="F288" s="12">
        <v>2</v>
      </c>
      <c r="G288" s="12">
        <v>2022</v>
      </c>
      <c r="H288" s="33" t="s">
        <v>63686</v>
      </c>
      <c r="I288" s="33"/>
      <c r="J288" s="33" t="s">
        <v>63281</v>
      </c>
    </row>
    <row r="289" spans="1:10">
      <c r="A289" s="30" t="s">
        <v>63014</v>
      </c>
      <c r="B289" s="43">
        <v>44592</v>
      </c>
      <c r="C289" s="30" t="s">
        <v>62998</v>
      </c>
      <c r="D289" s="30" t="s">
        <v>63694</v>
      </c>
      <c r="E289" s="30" t="s">
        <v>63694</v>
      </c>
      <c r="F289" s="12">
        <v>1</v>
      </c>
      <c r="G289" s="12">
        <v>2022</v>
      </c>
      <c r="H289" s="30" t="s">
        <v>63695</v>
      </c>
      <c r="I289" s="30" t="s">
        <v>63696</v>
      </c>
      <c r="J289" s="30" t="s">
        <v>63599</v>
      </c>
    </row>
    <row r="290" spans="1:10">
      <c r="A290" s="33" t="s">
        <v>62991</v>
      </c>
      <c r="B290" s="44">
        <v>44589</v>
      </c>
      <c r="C290" s="33" t="s">
        <v>62998</v>
      </c>
      <c r="D290" s="33" t="s">
        <v>63697</v>
      </c>
      <c r="E290" s="33" t="s">
        <v>63698</v>
      </c>
      <c r="F290" s="12">
        <v>1</v>
      </c>
      <c r="G290" s="12">
        <v>2022</v>
      </c>
      <c r="H290" s="33" t="s">
        <v>63695</v>
      </c>
      <c r="I290" s="33"/>
      <c r="J290" s="33" t="s">
        <v>63281</v>
      </c>
    </row>
    <row r="291" spans="1:10">
      <c r="A291" s="30" t="s">
        <v>62991</v>
      </c>
      <c r="B291" s="43">
        <v>44586</v>
      </c>
      <c r="C291" s="30" t="s">
        <v>62998</v>
      </c>
      <c r="D291" s="30" t="s">
        <v>63699</v>
      </c>
      <c r="E291" s="30" t="s">
        <v>63700</v>
      </c>
      <c r="F291" s="12">
        <v>1</v>
      </c>
      <c r="G291" s="12">
        <v>2022</v>
      </c>
      <c r="H291" s="30" t="s">
        <v>63695</v>
      </c>
      <c r="I291" s="30"/>
      <c r="J291" s="30" t="s">
        <v>63281</v>
      </c>
    </row>
    <row r="292" spans="1:10">
      <c r="A292" s="33" t="s">
        <v>62991</v>
      </c>
      <c r="B292" s="44">
        <v>44575</v>
      </c>
      <c r="C292" s="33" t="s">
        <v>62992</v>
      </c>
      <c r="D292" s="33" t="s">
        <v>63701</v>
      </c>
      <c r="E292" s="33" t="s">
        <v>63702</v>
      </c>
      <c r="F292" s="12">
        <v>1</v>
      </c>
      <c r="G292" s="12">
        <v>2022</v>
      </c>
      <c r="H292" s="33" t="s">
        <v>63695</v>
      </c>
      <c r="I292" s="33"/>
      <c r="J292" s="33" t="s">
        <v>63281</v>
      </c>
    </row>
    <row r="293" spans="1:10">
      <c r="A293" s="30" t="s">
        <v>62991</v>
      </c>
      <c r="B293" s="43">
        <v>44568</v>
      </c>
      <c r="C293" s="30" t="s">
        <v>62992</v>
      </c>
      <c r="D293" s="30" t="s">
        <v>63703</v>
      </c>
      <c r="E293" s="30" t="s">
        <v>63704</v>
      </c>
      <c r="F293" s="12">
        <v>1</v>
      </c>
      <c r="G293" s="12">
        <v>2022</v>
      </c>
      <c r="H293" s="30" t="s">
        <v>63695</v>
      </c>
      <c r="I293" s="30"/>
      <c r="J293" s="30" t="s">
        <v>63281</v>
      </c>
    </row>
    <row r="294" spans="1:10">
      <c r="A294" s="33" t="s">
        <v>62991</v>
      </c>
      <c r="B294" s="44">
        <v>44557</v>
      </c>
      <c r="C294" s="33" t="s">
        <v>62998</v>
      </c>
      <c r="D294" s="33" t="s">
        <v>63705</v>
      </c>
      <c r="E294" s="33" t="s">
        <v>63706</v>
      </c>
      <c r="F294" s="12">
        <v>12</v>
      </c>
      <c r="G294" s="12">
        <v>2021</v>
      </c>
      <c r="H294" s="33" t="s">
        <v>63707</v>
      </c>
      <c r="I294" s="33"/>
      <c r="J294" s="33" t="s">
        <v>63281</v>
      </c>
    </row>
    <row r="295" spans="1:10">
      <c r="A295" s="30" t="s">
        <v>62991</v>
      </c>
      <c r="B295" s="43">
        <v>44552</v>
      </c>
      <c r="C295" s="30" t="s">
        <v>62992</v>
      </c>
      <c r="D295" s="30" t="s">
        <v>63708</v>
      </c>
      <c r="E295" s="30" t="s">
        <v>63709</v>
      </c>
      <c r="F295" s="12">
        <v>12</v>
      </c>
      <c r="G295" s="12">
        <v>2021</v>
      </c>
      <c r="H295" s="30" t="s">
        <v>63707</v>
      </c>
      <c r="I295" s="30"/>
      <c r="J295" s="30" t="s">
        <v>63281</v>
      </c>
    </row>
    <row r="296" spans="1:10">
      <c r="A296" s="33" t="s">
        <v>62991</v>
      </c>
      <c r="B296" s="44">
        <v>44547</v>
      </c>
      <c r="C296" s="33" t="s">
        <v>62998</v>
      </c>
      <c r="D296" s="33" t="s">
        <v>63710</v>
      </c>
      <c r="E296" s="33" t="s">
        <v>63711</v>
      </c>
      <c r="F296" s="12">
        <v>12</v>
      </c>
      <c r="G296" s="12">
        <v>2021</v>
      </c>
      <c r="H296" s="33" t="s">
        <v>63707</v>
      </c>
      <c r="I296" s="33"/>
      <c r="J296" s="33" t="s">
        <v>63281</v>
      </c>
    </row>
    <row r="297" spans="1:10">
      <c r="A297" s="30" t="s">
        <v>62991</v>
      </c>
      <c r="B297" s="43">
        <v>44547</v>
      </c>
      <c r="C297" s="30" t="s">
        <v>62998</v>
      </c>
      <c r="D297" s="30" t="s">
        <v>63712</v>
      </c>
      <c r="E297" s="30" t="s">
        <v>63713</v>
      </c>
      <c r="F297" s="12">
        <v>12</v>
      </c>
      <c r="G297" s="12">
        <v>2021</v>
      </c>
      <c r="H297" s="30" t="s">
        <v>63707</v>
      </c>
      <c r="I297" s="30"/>
      <c r="J297" s="30" t="s">
        <v>63281</v>
      </c>
    </row>
    <row r="298" spans="1:10">
      <c r="A298" s="33" t="s">
        <v>63014</v>
      </c>
      <c r="B298" s="44">
        <v>44530</v>
      </c>
      <c r="C298" s="33" t="s">
        <v>62998</v>
      </c>
      <c r="D298" s="33" t="s">
        <v>63714</v>
      </c>
      <c r="E298" s="33" t="s">
        <v>63714</v>
      </c>
      <c r="F298" s="12">
        <v>11</v>
      </c>
      <c r="G298" s="12">
        <v>2021</v>
      </c>
      <c r="H298" s="33" t="s">
        <v>63715</v>
      </c>
      <c r="I298" s="33" t="s">
        <v>63716</v>
      </c>
      <c r="J298" s="33" t="s">
        <v>63717</v>
      </c>
    </row>
    <row r="299" spans="1:10">
      <c r="A299" s="30" t="s">
        <v>62991</v>
      </c>
      <c r="B299" s="43">
        <v>44529</v>
      </c>
      <c r="C299" s="30" t="s">
        <v>62992</v>
      </c>
      <c r="D299" s="30" t="s">
        <v>63718</v>
      </c>
      <c r="E299" s="30" t="s">
        <v>63719</v>
      </c>
      <c r="F299" s="12">
        <v>11</v>
      </c>
      <c r="G299" s="12">
        <v>2021</v>
      </c>
      <c r="H299" s="30" t="s">
        <v>63715</v>
      </c>
      <c r="I299" s="30"/>
      <c r="J299" s="30" t="s">
        <v>63281</v>
      </c>
    </row>
    <row r="300" spans="1:10">
      <c r="A300" s="33" t="s">
        <v>62991</v>
      </c>
      <c r="B300" s="44">
        <v>44523</v>
      </c>
      <c r="C300" s="33" t="s">
        <v>62992</v>
      </c>
      <c r="D300" s="33" t="s">
        <v>63720</v>
      </c>
      <c r="E300" s="33" t="s">
        <v>63721</v>
      </c>
      <c r="F300" s="12">
        <v>11</v>
      </c>
      <c r="G300" s="12">
        <v>2021</v>
      </c>
      <c r="H300" s="33" t="s">
        <v>63715</v>
      </c>
      <c r="I300" s="33"/>
      <c r="J300" s="33" t="s">
        <v>63281</v>
      </c>
    </row>
    <row r="301" spans="1:10">
      <c r="A301" s="30" t="s">
        <v>62991</v>
      </c>
      <c r="B301" s="43">
        <v>44519</v>
      </c>
      <c r="C301" s="30" t="s">
        <v>62992</v>
      </c>
      <c r="D301" s="30" t="s">
        <v>63722</v>
      </c>
      <c r="E301" s="30" t="s">
        <v>63723</v>
      </c>
      <c r="F301" s="12">
        <v>11</v>
      </c>
      <c r="G301" s="12">
        <v>2021</v>
      </c>
      <c r="H301" s="30" t="s">
        <v>63715</v>
      </c>
      <c r="I301" s="30"/>
      <c r="J301" s="30" t="s">
        <v>63281</v>
      </c>
    </row>
    <row r="302" spans="1:10">
      <c r="A302" s="33" t="s">
        <v>62991</v>
      </c>
      <c r="B302" s="44">
        <v>44512</v>
      </c>
      <c r="C302" s="33" t="s">
        <v>62998</v>
      </c>
      <c r="D302" s="33" t="s">
        <v>63724</v>
      </c>
      <c r="E302" s="33" t="s">
        <v>63725</v>
      </c>
      <c r="F302" s="12">
        <v>11</v>
      </c>
      <c r="G302" s="12">
        <v>2021</v>
      </c>
      <c r="H302" s="33" t="s">
        <v>63715</v>
      </c>
      <c r="I302" s="33"/>
      <c r="J302" s="33" t="s">
        <v>63281</v>
      </c>
    </row>
    <row r="303" spans="1:10">
      <c r="A303" s="30" t="s">
        <v>62991</v>
      </c>
      <c r="B303" s="43">
        <v>44498</v>
      </c>
      <c r="C303" s="30" t="s">
        <v>62992</v>
      </c>
      <c r="D303" s="30" t="s">
        <v>63726</v>
      </c>
      <c r="E303" s="30" t="s">
        <v>63727</v>
      </c>
      <c r="F303" s="12">
        <v>10</v>
      </c>
      <c r="G303" s="12">
        <v>2021</v>
      </c>
      <c r="H303" s="30" t="s">
        <v>63728</v>
      </c>
      <c r="I303" s="30"/>
      <c r="J303" s="30" t="s">
        <v>63281</v>
      </c>
    </row>
    <row r="304" spans="1:10">
      <c r="A304" s="33" t="s">
        <v>63014</v>
      </c>
      <c r="B304" s="44">
        <v>44477</v>
      </c>
      <c r="C304" s="33" t="s">
        <v>62998</v>
      </c>
      <c r="D304" s="33" t="s">
        <v>63729</v>
      </c>
      <c r="E304" s="33" t="s">
        <v>63729</v>
      </c>
      <c r="F304" s="12">
        <v>10</v>
      </c>
      <c r="G304" s="12">
        <v>2021</v>
      </c>
      <c r="H304" s="33" t="s">
        <v>63728</v>
      </c>
      <c r="I304" s="33" t="s">
        <v>63730</v>
      </c>
      <c r="J304" s="33" t="s">
        <v>63717</v>
      </c>
    </row>
    <row r="305" spans="1:10">
      <c r="A305" s="30" t="s">
        <v>62991</v>
      </c>
      <c r="B305" s="43">
        <v>44476</v>
      </c>
      <c r="C305" s="30" t="s">
        <v>62992</v>
      </c>
      <c r="D305" s="30" t="s">
        <v>63731</v>
      </c>
      <c r="E305" s="30" t="s">
        <v>63732</v>
      </c>
      <c r="F305" s="12">
        <v>10</v>
      </c>
      <c r="G305" s="12">
        <v>2021</v>
      </c>
      <c r="H305" s="30" t="s">
        <v>63728</v>
      </c>
      <c r="I305" s="30"/>
      <c r="J305" s="30" t="s">
        <v>63281</v>
      </c>
    </row>
    <row r="306" spans="1:10">
      <c r="A306" s="33" t="s">
        <v>62991</v>
      </c>
      <c r="B306" s="44">
        <v>44468</v>
      </c>
      <c r="C306" s="33" t="s">
        <v>62992</v>
      </c>
      <c r="D306" s="33" t="s">
        <v>63733</v>
      </c>
      <c r="E306" s="33" t="s">
        <v>63734</v>
      </c>
      <c r="F306" s="12">
        <v>9</v>
      </c>
      <c r="G306" s="12">
        <v>2021</v>
      </c>
      <c r="H306" s="33" t="s">
        <v>63735</v>
      </c>
      <c r="I306" s="33"/>
      <c r="J306" s="33" t="s">
        <v>63281</v>
      </c>
    </row>
    <row r="307" spans="1:10">
      <c r="A307" s="30" t="s">
        <v>62991</v>
      </c>
      <c r="B307" s="43">
        <v>44467</v>
      </c>
      <c r="C307" s="30" t="s">
        <v>62992</v>
      </c>
      <c r="D307" s="30" t="s">
        <v>63736</v>
      </c>
      <c r="E307" s="30" t="s">
        <v>63737</v>
      </c>
      <c r="F307" s="12">
        <v>9</v>
      </c>
      <c r="G307" s="12">
        <v>2021</v>
      </c>
      <c r="H307" s="30" t="s">
        <v>63735</v>
      </c>
      <c r="I307" s="30"/>
      <c r="J307" s="30" t="s">
        <v>63281</v>
      </c>
    </row>
    <row r="308" spans="1:10">
      <c r="A308" s="33" t="s">
        <v>63014</v>
      </c>
      <c r="B308" s="44">
        <v>44463</v>
      </c>
      <c r="C308" s="33" t="s">
        <v>62998</v>
      </c>
      <c r="D308" s="33" t="s">
        <v>63421</v>
      </c>
      <c r="E308" s="33" t="s">
        <v>63421</v>
      </c>
      <c r="F308" s="12">
        <v>9</v>
      </c>
      <c r="G308" s="12">
        <v>2021</v>
      </c>
      <c r="H308" s="33" t="s">
        <v>63735</v>
      </c>
      <c r="I308" s="33" t="s">
        <v>63738</v>
      </c>
      <c r="J308" s="33" t="s">
        <v>63717</v>
      </c>
    </row>
    <row r="309" spans="1:10">
      <c r="A309" s="30" t="s">
        <v>62991</v>
      </c>
      <c r="B309" s="43">
        <v>44459</v>
      </c>
      <c r="C309" s="30" t="s">
        <v>62998</v>
      </c>
      <c r="D309" s="30" t="s">
        <v>63739</v>
      </c>
      <c r="E309" s="30" t="s">
        <v>63740</v>
      </c>
      <c r="F309" s="12">
        <v>9</v>
      </c>
      <c r="G309" s="12">
        <v>2021</v>
      </c>
      <c r="H309" s="30" t="s">
        <v>63735</v>
      </c>
      <c r="I309" s="30"/>
      <c r="J309" s="30" t="s">
        <v>63281</v>
      </c>
    </row>
    <row r="310" spans="1:10">
      <c r="A310" s="33" t="s">
        <v>62991</v>
      </c>
      <c r="B310" s="44">
        <v>44454</v>
      </c>
      <c r="C310" s="33" t="s">
        <v>62992</v>
      </c>
      <c r="D310" s="33" t="s">
        <v>63741</v>
      </c>
      <c r="E310" s="33" t="s">
        <v>63742</v>
      </c>
      <c r="F310" s="12">
        <v>9</v>
      </c>
      <c r="G310" s="12">
        <v>2021</v>
      </c>
      <c r="H310" s="33" t="s">
        <v>63735</v>
      </c>
      <c r="I310" s="33"/>
      <c r="J310" s="33" t="s">
        <v>63281</v>
      </c>
    </row>
    <row r="311" spans="1:10">
      <c r="A311" s="30" t="s">
        <v>62991</v>
      </c>
      <c r="B311" s="43">
        <v>44433</v>
      </c>
      <c r="C311" s="30" t="s">
        <v>62998</v>
      </c>
      <c r="D311" s="30" t="s">
        <v>63743</v>
      </c>
      <c r="E311" s="30" t="s">
        <v>63744</v>
      </c>
      <c r="F311" s="12">
        <v>8</v>
      </c>
      <c r="G311" s="12">
        <v>2021</v>
      </c>
      <c r="H311" s="30" t="s">
        <v>63745</v>
      </c>
      <c r="I311" s="30"/>
      <c r="J311" s="30" t="s">
        <v>63281</v>
      </c>
    </row>
    <row r="312" spans="1:10">
      <c r="A312" s="33" t="s">
        <v>63014</v>
      </c>
      <c r="B312" s="44">
        <v>44431</v>
      </c>
      <c r="C312" s="33" t="s">
        <v>62998</v>
      </c>
      <c r="D312" s="33" t="s">
        <v>63746</v>
      </c>
      <c r="E312" s="33" t="s">
        <v>63746</v>
      </c>
      <c r="F312" s="12">
        <v>8</v>
      </c>
      <c r="G312" s="12">
        <v>2021</v>
      </c>
      <c r="H312" s="33" t="s">
        <v>63745</v>
      </c>
      <c r="I312" s="33" t="s">
        <v>63747</v>
      </c>
      <c r="J312" s="33" t="s">
        <v>63717</v>
      </c>
    </row>
    <row r="313" spans="1:10">
      <c r="A313" s="30" t="s">
        <v>62991</v>
      </c>
      <c r="B313" s="43">
        <v>44431</v>
      </c>
      <c r="C313" s="30" t="s">
        <v>62992</v>
      </c>
      <c r="D313" s="30" t="s">
        <v>63748</v>
      </c>
      <c r="E313" s="30" t="s">
        <v>63749</v>
      </c>
      <c r="F313" s="12">
        <v>8</v>
      </c>
      <c r="G313" s="12">
        <v>2021</v>
      </c>
      <c r="H313" s="30" t="s">
        <v>63745</v>
      </c>
      <c r="I313" s="30"/>
      <c r="J313" s="30" t="s">
        <v>63281</v>
      </c>
    </row>
    <row r="314" spans="1:10">
      <c r="A314" s="33" t="s">
        <v>63014</v>
      </c>
      <c r="B314" s="44">
        <v>44428</v>
      </c>
      <c r="C314" s="33" t="s">
        <v>62998</v>
      </c>
      <c r="D314" s="33" t="s">
        <v>63421</v>
      </c>
      <c r="E314" s="33" t="s">
        <v>63421</v>
      </c>
      <c r="F314" s="12">
        <v>8</v>
      </c>
      <c r="G314" s="12">
        <v>2021</v>
      </c>
      <c r="H314" s="33" t="s">
        <v>63745</v>
      </c>
      <c r="I314" s="33" t="s">
        <v>63750</v>
      </c>
      <c r="J314" s="33" t="s">
        <v>63717</v>
      </c>
    </row>
    <row r="315" spans="1:10">
      <c r="A315" s="30" t="s">
        <v>63014</v>
      </c>
      <c r="B315" s="43">
        <v>44421</v>
      </c>
      <c r="C315" s="30" t="s">
        <v>62998</v>
      </c>
      <c r="D315" s="30" t="s">
        <v>63751</v>
      </c>
      <c r="E315" s="30" t="s">
        <v>63751</v>
      </c>
      <c r="F315" s="12">
        <v>8</v>
      </c>
      <c r="G315" s="12">
        <v>2021</v>
      </c>
      <c r="H315" s="30" t="s">
        <v>63745</v>
      </c>
      <c r="I315" s="30" t="s">
        <v>63752</v>
      </c>
      <c r="J315" s="30" t="s">
        <v>63717</v>
      </c>
    </row>
    <row r="316" spans="1:10">
      <c r="A316" s="33" t="s">
        <v>62991</v>
      </c>
      <c r="B316" s="44">
        <v>44421</v>
      </c>
      <c r="C316" s="33" t="s">
        <v>62992</v>
      </c>
      <c r="D316" s="33" t="s">
        <v>63753</v>
      </c>
      <c r="E316" s="33" t="s">
        <v>63754</v>
      </c>
      <c r="F316" s="12">
        <v>8</v>
      </c>
      <c r="G316" s="12">
        <v>2021</v>
      </c>
      <c r="H316" s="33" t="s">
        <v>63745</v>
      </c>
      <c r="I316" s="33"/>
      <c r="J316" s="33" t="s">
        <v>63281</v>
      </c>
    </row>
    <row r="317" spans="1:10">
      <c r="A317" s="30" t="s">
        <v>62991</v>
      </c>
      <c r="B317" s="43">
        <v>44414</v>
      </c>
      <c r="C317" s="30" t="s">
        <v>62998</v>
      </c>
      <c r="D317" s="30" t="s">
        <v>63755</v>
      </c>
      <c r="E317" s="30" t="s">
        <v>63756</v>
      </c>
      <c r="F317" s="12">
        <v>8</v>
      </c>
      <c r="G317" s="12">
        <v>2021</v>
      </c>
      <c r="H317" s="30" t="s">
        <v>63745</v>
      </c>
      <c r="I317" s="30"/>
      <c r="J317" s="30" t="s">
        <v>63281</v>
      </c>
    </row>
    <row r="318" spans="1:10">
      <c r="A318" s="33" t="s">
        <v>62991</v>
      </c>
      <c r="B318" s="44">
        <v>44407</v>
      </c>
      <c r="C318" s="33" t="s">
        <v>62998</v>
      </c>
      <c r="D318" s="33" t="s">
        <v>63757</v>
      </c>
      <c r="E318" s="33" t="s">
        <v>63758</v>
      </c>
      <c r="F318" s="12">
        <v>7</v>
      </c>
      <c r="G318" s="12">
        <v>2021</v>
      </c>
      <c r="H318" s="33" t="s">
        <v>63759</v>
      </c>
      <c r="I318" s="33"/>
      <c r="J318" s="33" t="s">
        <v>63281</v>
      </c>
    </row>
    <row r="319" spans="1:10">
      <c r="A319" s="30" t="s">
        <v>62991</v>
      </c>
      <c r="B319" s="43">
        <v>44397</v>
      </c>
      <c r="C319" s="30" t="s">
        <v>62992</v>
      </c>
      <c r="D319" s="30" t="s">
        <v>63760</v>
      </c>
      <c r="E319" s="30" t="s">
        <v>63761</v>
      </c>
      <c r="F319" s="12">
        <v>7</v>
      </c>
      <c r="G319" s="12">
        <v>2021</v>
      </c>
      <c r="H319" s="30" t="s">
        <v>63759</v>
      </c>
      <c r="I319" s="30"/>
      <c r="J319" s="30" t="s">
        <v>63281</v>
      </c>
    </row>
    <row r="320" spans="1:10">
      <c r="A320" s="33" t="s">
        <v>62991</v>
      </c>
      <c r="B320" s="44">
        <v>44393</v>
      </c>
      <c r="C320" s="33" t="s">
        <v>62992</v>
      </c>
      <c r="D320" s="33" t="s">
        <v>63762</v>
      </c>
      <c r="E320" s="33" t="s">
        <v>63763</v>
      </c>
      <c r="F320" s="12">
        <v>7</v>
      </c>
      <c r="G320" s="12">
        <v>2021</v>
      </c>
      <c r="H320" s="33" t="s">
        <v>63759</v>
      </c>
      <c r="I320" s="33"/>
      <c r="J320" s="33" t="s">
        <v>63281</v>
      </c>
    </row>
    <row r="321" spans="1:10">
      <c r="A321" s="30" t="s">
        <v>62991</v>
      </c>
      <c r="B321" s="43">
        <v>44393</v>
      </c>
      <c r="C321" s="30" t="s">
        <v>62992</v>
      </c>
      <c r="D321" s="30" t="s">
        <v>63764</v>
      </c>
      <c r="E321" s="30" t="s">
        <v>63765</v>
      </c>
      <c r="F321" s="12">
        <v>7</v>
      </c>
      <c r="G321" s="12">
        <v>2021</v>
      </c>
      <c r="H321" s="30" t="s">
        <v>63759</v>
      </c>
      <c r="I321" s="30"/>
      <c r="J321" s="30" t="s">
        <v>63281</v>
      </c>
    </row>
    <row r="322" spans="1:10">
      <c r="A322" s="33" t="s">
        <v>63014</v>
      </c>
      <c r="B322" s="44">
        <v>44393</v>
      </c>
      <c r="C322" s="33" t="s">
        <v>62998</v>
      </c>
      <c r="D322" s="33" t="s">
        <v>63766</v>
      </c>
      <c r="E322" s="33" t="s">
        <v>63766</v>
      </c>
      <c r="F322" s="12">
        <v>7</v>
      </c>
      <c r="G322" s="12">
        <v>2021</v>
      </c>
      <c r="H322" s="33" t="s">
        <v>63759</v>
      </c>
      <c r="I322" s="33" t="s">
        <v>63767</v>
      </c>
      <c r="J322" s="33" t="s">
        <v>63717</v>
      </c>
    </row>
    <row r="323" spans="1:10">
      <c r="A323" s="30" t="s">
        <v>62991</v>
      </c>
      <c r="B323" s="43">
        <v>44386</v>
      </c>
      <c r="C323" s="30" t="s">
        <v>62992</v>
      </c>
      <c r="D323" s="30" t="s">
        <v>63768</v>
      </c>
      <c r="E323" s="30" t="s">
        <v>63769</v>
      </c>
      <c r="F323" s="12">
        <v>7</v>
      </c>
      <c r="G323" s="12">
        <v>2021</v>
      </c>
      <c r="H323" s="30" t="s">
        <v>63759</v>
      </c>
      <c r="I323" s="30"/>
      <c r="J323" s="30" t="s">
        <v>63281</v>
      </c>
    </row>
    <row r="324" spans="1:10">
      <c r="A324" s="33" t="s">
        <v>62991</v>
      </c>
      <c r="B324" s="44">
        <v>44377</v>
      </c>
      <c r="C324" s="33" t="s">
        <v>62998</v>
      </c>
      <c r="D324" s="33" t="s">
        <v>63770</v>
      </c>
      <c r="E324" s="33" t="s">
        <v>63771</v>
      </c>
      <c r="F324" s="12">
        <v>6</v>
      </c>
      <c r="G324" s="12">
        <v>2021</v>
      </c>
      <c r="H324" s="33" t="s">
        <v>63772</v>
      </c>
      <c r="I324" s="33"/>
      <c r="J324" s="33" t="s">
        <v>63281</v>
      </c>
    </row>
    <row r="325" spans="1:10">
      <c r="A325" s="30" t="s">
        <v>63014</v>
      </c>
      <c r="B325" s="43">
        <v>44372</v>
      </c>
      <c r="C325" s="30" t="s">
        <v>62998</v>
      </c>
      <c r="D325" s="30" t="s">
        <v>63421</v>
      </c>
      <c r="E325" s="30" t="s">
        <v>63421</v>
      </c>
      <c r="F325" s="12">
        <v>6</v>
      </c>
      <c r="G325" s="12">
        <v>2021</v>
      </c>
      <c r="H325" s="30" t="s">
        <v>63772</v>
      </c>
      <c r="I325" s="30" t="s">
        <v>63773</v>
      </c>
      <c r="J325" s="30" t="s">
        <v>63717</v>
      </c>
    </row>
    <row r="326" spans="1:10">
      <c r="A326" s="33" t="s">
        <v>63014</v>
      </c>
      <c r="B326" s="44">
        <v>44362</v>
      </c>
      <c r="C326" s="33" t="s">
        <v>62998</v>
      </c>
      <c r="D326" s="33" t="s">
        <v>63774</v>
      </c>
      <c r="E326" s="33" t="s">
        <v>63774</v>
      </c>
      <c r="F326" s="12">
        <v>6</v>
      </c>
      <c r="G326" s="12">
        <v>2021</v>
      </c>
      <c r="H326" s="33" t="s">
        <v>63772</v>
      </c>
      <c r="I326" s="33" t="s">
        <v>63775</v>
      </c>
      <c r="J326" s="33" t="s">
        <v>63717</v>
      </c>
    </row>
    <row r="327" spans="1:10">
      <c r="A327" s="30" t="s">
        <v>63014</v>
      </c>
      <c r="B327" s="43">
        <v>44355</v>
      </c>
      <c r="C327" s="30" t="s">
        <v>62998</v>
      </c>
      <c r="D327" s="30" t="s">
        <v>63776</v>
      </c>
      <c r="E327" s="30" t="s">
        <v>63776</v>
      </c>
      <c r="F327" s="12">
        <v>6</v>
      </c>
      <c r="G327" s="12">
        <v>2021</v>
      </c>
      <c r="H327" s="30" t="s">
        <v>63772</v>
      </c>
      <c r="I327" s="30" t="s">
        <v>63777</v>
      </c>
      <c r="J327" s="30" t="s">
        <v>63717</v>
      </c>
    </row>
    <row r="328" spans="1:10">
      <c r="A328" s="33" t="s">
        <v>62991</v>
      </c>
      <c r="B328" s="44">
        <v>44354</v>
      </c>
      <c r="C328" s="33" t="s">
        <v>62998</v>
      </c>
      <c r="D328" s="33" t="s">
        <v>63778</v>
      </c>
      <c r="E328" s="33" t="s">
        <v>63779</v>
      </c>
      <c r="F328" s="12">
        <v>6</v>
      </c>
      <c r="G328" s="12">
        <v>2021</v>
      </c>
      <c r="H328" s="33" t="s">
        <v>63772</v>
      </c>
      <c r="I328" s="33"/>
      <c r="J328" s="33" t="s">
        <v>63281</v>
      </c>
    </row>
    <row r="329" spans="1:10">
      <c r="A329" s="30" t="s">
        <v>63014</v>
      </c>
      <c r="B329" s="43">
        <v>44351</v>
      </c>
      <c r="C329" s="30" t="s">
        <v>62998</v>
      </c>
      <c r="D329" s="30" t="s">
        <v>63780</v>
      </c>
      <c r="E329" s="30" t="s">
        <v>63780</v>
      </c>
      <c r="F329" s="12">
        <v>6</v>
      </c>
      <c r="G329" s="12">
        <v>2021</v>
      </c>
      <c r="H329" s="30" t="s">
        <v>63772</v>
      </c>
      <c r="I329" s="30" t="s">
        <v>63781</v>
      </c>
      <c r="J329" s="30" t="s">
        <v>63717</v>
      </c>
    </row>
    <row r="330" spans="1:10">
      <c r="A330" s="33" t="s">
        <v>62991</v>
      </c>
      <c r="B330" s="44">
        <v>44348</v>
      </c>
      <c r="C330" s="33" t="s">
        <v>62992</v>
      </c>
      <c r="D330" s="33" t="s">
        <v>63782</v>
      </c>
      <c r="E330" s="33" t="s">
        <v>63783</v>
      </c>
      <c r="F330" s="12">
        <v>6</v>
      </c>
      <c r="G330" s="12">
        <v>2021</v>
      </c>
      <c r="H330" s="33" t="s">
        <v>63772</v>
      </c>
      <c r="I330" s="33"/>
      <c r="J330" s="33" t="s">
        <v>63281</v>
      </c>
    </row>
    <row r="331" spans="1:10">
      <c r="A331" s="30" t="s">
        <v>62991</v>
      </c>
      <c r="B331" s="43">
        <v>44344</v>
      </c>
      <c r="C331" s="30" t="s">
        <v>62992</v>
      </c>
      <c r="D331" s="30" t="s">
        <v>63784</v>
      </c>
      <c r="E331" s="30" t="s">
        <v>63785</v>
      </c>
      <c r="F331" s="12">
        <v>5</v>
      </c>
      <c r="G331" s="12">
        <v>2021</v>
      </c>
      <c r="H331" s="30" t="s">
        <v>63786</v>
      </c>
      <c r="I331" s="30"/>
      <c r="J331" s="30" t="s">
        <v>63281</v>
      </c>
    </row>
    <row r="332" spans="1:10">
      <c r="A332" s="33" t="s">
        <v>62991</v>
      </c>
      <c r="B332" s="44">
        <v>44344</v>
      </c>
      <c r="C332" s="33" t="s">
        <v>62992</v>
      </c>
      <c r="D332" s="33" t="s">
        <v>63787</v>
      </c>
      <c r="E332" s="33" t="s">
        <v>63788</v>
      </c>
      <c r="F332" s="12">
        <v>5</v>
      </c>
      <c r="G332" s="12">
        <v>2021</v>
      </c>
      <c r="H332" s="33" t="s">
        <v>63786</v>
      </c>
      <c r="I332" s="33"/>
      <c r="J332" s="33" t="s">
        <v>63281</v>
      </c>
    </row>
    <row r="333" spans="1:10">
      <c r="A333" s="30" t="s">
        <v>62991</v>
      </c>
      <c r="B333" s="43">
        <v>44344</v>
      </c>
      <c r="C333" s="30" t="s">
        <v>62992</v>
      </c>
      <c r="D333" s="30" t="s">
        <v>63789</v>
      </c>
      <c r="E333" s="30" t="s">
        <v>63790</v>
      </c>
      <c r="F333" s="12">
        <v>5</v>
      </c>
      <c r="G333" s="12">
        <v>2021</v>
      </c>
      <c r="H333" s="30" t="s">
        <v>63786</v>
      </c>
      <c r="I333" s="30"/>
      <c r="J333" s="30" t="s">
        <v>63281</v>
      </c>
    </row>
    <row r="334" spans="1:10">
      <c r="A334" s="33" t="s">
        <v>62991</v>
      </c>
      <c r="B334" s="44">
        <v>44342</v>
      </c>
      <c r="C334" s="33" t="s">
        <v>62992</v>
      </c>
      <c r="D334" s="33" t="s">
        <v>63791</v>
      </c>
      <c r="E334" s="33" t="s">
        <v>63792</v>
      </c>
      <c r="F334" s="12">
        <v>5</v>
      </c>
      <c r="G334" s="12">
        <v>2021</v>
      </c>
      <c r="H334" s="33" t="s">
        <v>63786</v>
      </c>
      <c r="I334" s="33"/>
      <c r="J334" s="33" t="s">
        <v>63281</v>
      </c>
    </row>
    <row r="335" spans="1:10">
      <c r="A335" s="30" t="s">
        <v>62991</v>
      </c>
      <c r="B335" s="43">
        <v>44337</v>
      </c>
      <c r="C335" s="30" t="s">
        <v>62998</v>
      </c>
      <c r="D335" s="30" t="s">
        <v>63793</v>
      </c>
      <c r="E335" s="30" t="s">
        <v>63794</v>
      </c>
      <c r="F335" s="12">
        <v>5</v>
      </c>
      <c r="G335" s="12">
        <v>2021</v>
      </c>
      <c r="H335" s="30" t="s">
        <v>63786</v>
      </c>
      <c r="I335" s="30"/>
      <c r="J335" s="30" t="s">
        <v>63281</v>
      </c>
    </row>
    <row r="336" spans="1:10">
      <c r="A336" s="33" t="s">
        <v>62991</v>
      </c>
      <c r="B336" s="44">
        <v>44330</v>
      </c>
      <c r="C336" s="33" t="s">
        <v>62992</v>
      </c>
      <c r="D336" s="33" t="s">
        <v>63795</v>
      </c>
      <c r="E336" s="33" t="s">
        <v>63796</v>
      </c>
      <c r="F336" s="12">
        <v>5</v>
      </c>
      <c r="G336" s="12">
        <v>2021</v>
      </c>
      <c r="H336" s="33" t="s">
        <v>63786</v>
      </c>
      <c r="I336" s="33"/>
      <c r="J336" s="33" t="s">
        <v>63281</v>
      </c>
    </row>
    <row r="337" spans="1:10">
      <c r="A337" s="30" t="s">
        <v>62991</v>
      </c>
      <c r="B337" s="43">
        <v>44309</v>
      </c>
      <c r="C337" s="30" t="s">
        <v>62998</v>
      </c>
      <c r="D337" s="30" t="s">
        <v>63797</v>
      </c>
      <c r="E337" s="30" t="s">
        <v>63798</v>
      </c>
      <c r="F337" s="12">
        <v>4</v>
      </c>
      <c r="G337" s="12">
        <v>2021</v>
      </c>
      <c r="H337" s="30" t="s">
        <v>63799</v>
      </c>
      <c r="I337" s="30"/>
      <c r="J337" s="30" t="s">
        <v>63281</v>
      </c>
    </row>
    <row r="338" spans="1:10">
      <c r="A338" s="33" t="s">
        <v>62991</v>
      </c>
      <c r="B338" s="44">
        <v>44308</v>
      </c>
      <c r="C338" s="33" t="s">
        <v>62998</v>
      </c>
      <c r="D338" s="33" t="s">
        <v>63800</v>
      </c>
      <c r="E338" s="33" t="s">
        <v>63801</v>
      </c>
      <c r="F338" s="12">
        <v>4</v>
      </c>
      <c r="G338" s="12">
        <v>2021</v>
      </c>
      <c r="H338" s="33" t="s">
        <v>63799</v>
      </c>
      <c r="I338" s="33"/>
      <c r="J338" s="33" t="s">
        <v>63281</v>
      </c>
    </row>
    <row r="339" spans="1:10">
      <c r="A339" s="30" t="s">
        <v>62991</v>
      </c>
      <c r="B339" s="43">
        <v>44301</v>
      </c>
      <c r="C339" s="30" t="s">
        <v>62992</v>
      </c>
      <c r="D339" s="30" t="s">
        <v>63802</v>
      </c>
      <c r="E339" s="30" t="s">
        <v>63803</v>
      </c>
      <c r="F339" s="12">
        <v>4</v>
      </c>
      <c r="G339" s="12">
        <v>2021</v>
      </c>
      <c r="H339" s="30" t="s">
        <v>63799</v>
      </c>
      <c r="I339" s="30"/>
      <c r="J339" s="30" t="s">
        <v>63281</v>
      </c>
    </row>
    <row r="340" spans="1:10">
      <c r="A340" s="33" t="s">
        <v>62991</v>
      </c>
      <c r="B340" s="44">
        <v>44288</v>
      </c>
      <c r="C340" s="33" t="s">
        <v>62992</v>
      </c>
      <c r="D340" s="33" t="s">
        <v>63804</v>
      </c>
      <c r="E340" s="33" t="s">
        <v>63805</v>
      </c>
      <c r="F340" s="12">
        <v>4</v>
      </c>
      <c r="G340" s="12">
        <v>2021</v>
      </c>
      <c r="H340" s="33" t="s">
        <v>63799</v>
      </c>
      <c r="I340" s="33"/>
      <c r="J340" s="33" t="s">
        <v>63281</v>
      </c>
    </row>
    <row r="341" spans="1:10">
      <c r="A341" s="30" t="s">
        <v>63014</v>
      </c>
      <c r="B341" s="43">
        <v>44281</v>
      </c>
      <c r="C341" s="30" t="s">
        <v>62998</v>
      </c>
      <c r="D341" s="30" t="s">
        <v>63806</v>
      </c>
      <c r="E341" s="30" t="s">
        <v>63806</v>
      </c>
      <c r="F341" s="12">
        <v>3</v>
      </c>
      <c r="G341" s="12">
        <v>2021</v>
      </c>
      <c r="H341" s="30" t="s">
        <v>63807</v>
      </c>
      <c r="I341" s="30" t="s">
        <v>63808</v>
      </c>
      <c r="J341" s="30" t="s">
        <v>63717</v>
      </c>
    </row>
    <row r="342" spans="1:10">
      <c r="A342" s="33" t="s">
        <v>62991</v>
      </c>
      <c r="B342" s="44">
        <v>44277</v>
      </c>
      <c r="C342" s="33" t="s">
        <v>62992</v>
      </c>
      <c r="D342" s="33" t="s">
        <v>63809</v>
      </c>
      <c r="E342" s="33" t="s">
        <v>63810</v>
      </c>
      <c r="F342" s="12">
        <v>3</v>
      </c>
      <c r="G342" s="12">
        <v>2021</v>
      </c>
      <c r="H342" s="33" t="s">
        <v>63807</v>
      </c>
      <c r="I342" s="33"/>
      <c r="J342" s="33" t="s">
        <v>63281</v>
      </c>
    </row>
    <row r="343" spans="1:10">
      <c r="A343" s="30" t="s">
        <v>62991</v>
      </c>
      <c r="B343" s="43">
        <v>44273</v>
      </c>
      <c r="C343" s="30" t="s">
        <v>62992</v>
      </c>
      <c r="D343" s="30" t="s">
        <v>63811</v>
      </c>
      <c r="E343" s="30" t="s">
        <v>63812</v>
      </c>
      <c r="F343" s="12">
        <v>3</v>
      </c>
      <c r="G343" s="12">
        <v>2021</v>
      </c>
      <c r="H343" s="30" t="s">
        <v>63807</v>
      </c>
      <c r="I343" s="30"/>
      <c r="J343" s="30" t="s">
        <v>63281</v>
      </c>
    </row>
    <row r="344" spans="1:10">
      <c r="A344" s="33" t="s">
        <v>62991</v>
      </c>
      <c r="B344" s="44">
        <v>44265</v>
      </c>
      <c r="C344" s="33" t="s">
        <v>62992</v>
      </c>
      <c r="D344" s="33" t="s">
        <v>63813</v>
      </c>
      <c r="E344" s="33" t="s">
        <v>63814</v>
      </c>
      <c r="F344" s="12">
        <v>3</v>
      </c>
      <c r="G344" s="12">
        <v>2021</v>
      </c>
      <c r="H344" s="33" t="s">
        <v>63807</v>
      </c>
      <c r="I344" s="33"/>
      <c r="J344" s="33" t="s">
        <v>63281</v>
      </c>
    </row>
    <row r="345" spans="1:10">
      <c r="A345" s="30" t="s">
        <v>62991</v>
      </c>
      <c r="B345" s="43">
        <v>44257</v>
      </c>
      <c r="C345" s="30" t="s">
        <v>62992</v>
      </c>
      <c r="D345" s="30" t="s">
        <v>63815</v>
      </c>
      <c r="E345" s="30" t="s">
        <v>63816</v>
      </c>
      <c r="F345" s="12">
        <v>3</v>
      </c>
      <c r="G345" s="12">
        <v>2021</v>
      </c>
      <c r="H345" s="30" t="s">
        <v>63807</v>
      </c>
      <c r="I345" s="30"/>
      <c r="J345" s="30" t="s">
        <v>63281</v>
      </c>
    </row>
    <row r="346" spans="1:10">
      <c r="A346" s="33" t="s">
        <v>62991</v>
      </c>
      <c r="B346" s="44">
        <v>44253</v>
      </c>
      <c r="C346" s="33" t="s">
        <v>62992</v>
      </c>
      <c r="D346" s="33" t="s">
        <v>63817</v>
      </c>
      <c r="E346" s="33" t="s">
        <v>63818</v>
      </c>
      <c r="F346" s="12">
        <v>2</v>
      </c>
      <c r="G346" s="12">
        <v>2021</v>
      </c>
      <c r="H346" s="33" t="s">
        <v>63819</v>
      </c>
      <c r="I346" s="33"/>
      <c r="J346" s="33" t="s">
        <v>63281</v>
      </c>
    </row>
    <row r="347" spans="1:10">
      <c r="A347" s="30" t="s">
        <v>62991</v>
      </c>
      <c r="B347" s="43">
        <v>44253</v>
      </c>
      <c r="C347" s="30" t="s">
        <v>62992</v>
      </c>
      <c r="D347" s="30" t="s">
        <v>63820</v>
      </c>
      <c r="E347" s="30" t="s">
        <v>63821</v>
      </c>
      <c r="F347" s="12">
        <v>2</v>
      </c>
      <c r="G347" s="12">
        <v>2021</v>
      </c>
      <c r="H347" s="30" t="s">
        <v>63819</v>
      </c>
      <c r="I347" s="30"/>
      <c r="J347" s="30" t="s">
        <v>63281</v>
      </c>
    </row>
    <row r="348" spans="1:10">
      <c r="A348" s="33" t="s">
        <v>62991</v>
      </c>
      <c r="B348" s="44">
        <v>44252</v>
      </c>
      <c r="C348" s="33" t="s">
        <v>62992</v>
      </c>
      <c r="D348" s="33" t="s">
        <v>63822</v>
      </c>
      <c r="E348" s="33" t="s">
        <v>63823</v>
      </c>
      <c r="F348" s="12">
        <v>2</v>
      </c>
      <c r="G348" s="12">
        <v>2021</v>
      </c>
      <c r="H348" s="33" t="s">
        <v>63819</v>
      </c>
      <c r="I348" s="33"/>
      <c r="J348" s="33" t="s">
        <v>63281</v>
      </c>
    </row>
    <row r="349" spans="1:10">
      <c r="A349" s="30" t="s">
        <v>62991</v>
      </c>
      <c r="B349" s="43">
        <v>44239</v>
      </c>
      <c r="C349" s="30" t="s">
        <v>62992</v>
      </c>
      <c r="D349" s="30" t="s">
        <v>63824</v>
      </c>
      <c r="E349" s="30" t="s">
        <v>63825</v>
      </c>
      <c r="F349" s="12">
        <v>2</v>
      </c>
      <c r="G349" s="12">
        <v>2021</v>
      </c>
      <c r="H349" s="30" t="s">
        <v>63819</v>
      </c>
      <c r="I349" s="30"/>
      <c r="J349" s="30" t="s">
        <v>63281</v>
      </c>
    </row>
    <row r="350" spans="1:10">
      <c r="A350" s="33" t="s">
        <v>62991</v>
      </c>
      <c r="B350" s="44">
        <v>44238</v>
      </c>
      <c r="C350" s="33" t="s">
        <v>62998</v>
      </c>
      <c r="D350" s="33" t="s">
        <v>63826</v>
      </c>
      <c r="E350" s="33" t="s">
        <v>63827</v>
      </c>
      <c r="F350" s="12">
        <v>2</v>
      </c>
      <c r="G350" s="12">
        <v>2021</v>
      </c>
      <c r="H350" s="33" t="s">
        <v>63819</v>
      </c>
      <c r="I350" s="33"/>
      <c r="J350" s="33" t="s">
        <v>63281</v>
      </c>
    </row>
    <row r="351" spans="1:10">
      <c r="A351" s="30" t="s">
        <v>63014</v>
      </c>
      <c r="B351" s="43">
        <v>44232</v>
      </c>
      <c r="C351" s="30" t="s">
        <v>62998</v>
      </c>
      <c r="D351" s="30" t="s">
        <v>63828</v>
      </c>
      <c r="E351" s="30" t="s">
        <v>63828</v>
      </c>
      <c r="F351" s="12">
        <v>2</v>
      </c>
      <c r="G351" s="12">
        <v>2021</v>
      </c>
      <c r="H351" s="30" t="s">
        <v>63819</v>
      </c>
      <c r="I351" s="30" t="s">
        <v>63829</v>
      </c>
      <c r="J351" s="30" t="s">
        <v>63717</v>
      </c>
    </row>
    <row r="352" spans="1:10">
      <c r="A352" s="33" t="s">
        <v>62991</v>
      </c>
      <c r="B352" s="44">
        <v>44232</v>
      </c>
      <c r="C352" s="33" t="s">
        <v>62992</v>
      </c>
      <c r="D352" s="33" t="s">
        <v>63830</v>
      </c>
      <c r="E352" s="33" t="s">
        <v>63831</v>
      </c>
      <c r="F352" s="12">
        <v>2</v>
      </c>
      <c r="G352" s="12">
        <v>2021</v>
      </c>
      <c r="H352" s="33" t="s">
        <v>63819</v>
      </c>
      <c r="I352" s="33"/>
      <c r="J352" s="33" t="s">
        <v>63281</v>
      </c>
    </row>
    <row r="353" spans="1:10">
      <c r="A353" s="30" t="s">
        <v>62991</v>
      </c>
      <c r="B353" s="43">
        <v>44230</v>
      </c>
      <c r="C353" s="30" t="s">
        <v>62992</v>
      </c>
      <c r="D353" s="30" t="s">
        <v>63832</v>
      </c>
      <c r="E353" s="30" t="s">
        <v>63833</v>
      </c>
      <c r="F353" s="12">
        <v>2</v>
      </c>
      <c r="G353" s="12">
        <v>2021</v>
      </c>
      <c r="H353" s="30" t="s">
        <v>63819</v>
      </c>
      <c r="I353" s="30"/>
      <c r="J353" s="30" t="s">
        <v>63281</v>
      </c>
    </row>
    <row r="354" spans="1:10">
      <c r="A354" s="33" t="s">
        <v>62991</v>
      </c>
      <c r="B354" s="44">
        <v>44218</v>
      </c>
      <c r="C354" s="33" t="s">
        <v>62992</v>
      </c>
      <c r="D354" s="33" t="s">
        <v>63834</v>
      </c>
      <c r="E354" s="33" t="s">
        <v>63835</v>
      </c>
      <c r="F354" s="12">
        <v>1</v>
      </c>
      <c r="G354" s="12">
        <v>2021</v>
      </c>
      <c r="H354" s="33" t="s">
        <v>63836</v>
      </c>
      <c r="I354" s="33"/>
      <c r="J354" s="33" t="s">
        <v>63281</v>
      </c>
    </row>
    <row r="355" spans="1:10">
      <c r="A355" s="30" t="s">
        <v>62991</v>
      </c>
      <c r="B355" s="43">
        <v>44217</v>
      </c>
      <c r="C355" s="30" t="s">
        <v>62992</v>
      </c>
      <c r="D355" s="30" t="s">
        <v>63837</v>
      </c>
      <c r="E355" s="30" t="s">
        <v>63838</v>
      </c>
      <c r="F355" s="12">
        <v>1</v>
      </c>
      <c r="G355" s="12">
        <v>2021</v>
      </c>
      <c r="H355" s="30" t="s">
        <v>63836</v>
      </c>
      <c r="I355" s="30"/>
      <c r="J355" s="30" t="s">
        <v>63281</v>
      </c>
    </row>
    <row r="356" spans="1:10">
      <c r="A356" s="33" t="s">
        <v>62991</v>
      </c>
      <c r="B356" s="44">
        <v>44215</v>
      </c>
      <c r="C356" s="33" t="s">
        <v>62992</v>
      </c>
      <c r="D356" s="33" t="s">
        <v>63839</v>
      </c>
      <c r="E356" s="33" t="s">
        <v>63840</v>
      </c>
      <c r="F356" s="12">
        <v>1</v>
      </c>
      <c r="G356" s="12">
        <v>2021</v>
      </c>
      <c r="H356" s="33" t="s">
        <v>63836</v>
      </c>
      <c r="I356" s="33"/>
      <c r="J356" s="33" t="s">
        <v>63281</v>
      </c>
    </row>
    <row r="357" spans="1:10">
      <c r="A357" s="30" t="s">
        <v>62991</v>
      </c>
      <c r="B357" s="43">
        <v>44188</v>
      </c>
      <c r="C357" s="30" t="s">
        <v>62992</v>
      </c>
      <c r="D357" s="30" t="s">
        <v>63841</v>
      </c>
      <c r="E357" s="30" t="s">
        <v>63842</v>
      </c>
      <c r="F357" s="12">
        <v>12</v>
      </c>
      <c r="G357" s="12">
        <v>2020</v>
      </c>
      <c r="H357" s="30" t="s">
        <v>63843</v>
      </c>
      <c r="I357" s="30"/>
      <c r="J357" s="30" t="s">
        <v>63281</v>
      </c>
    </row>
    <row r="358" spans="1:10">
      <c r="A358" s="33" t="s">
        <v>62991</v>
      </c>
      <c r="B358" s="44">
        <v>44186</v>
      </c>
      <c r="C358" s="33" t="s">
        <v>62998</v>
      </c>
      <c r="D358" s="33" t="s">
        <v>63844</v>
      </c>
      <c r="E358" s="33" t="s">
        <v>63845</v>
      </c>
      <c r="F358" s="12">
        <v>12</v>
      </c>
      <c r="G358" s="12">
        <v>2020</v>
      </c>
      <c r="H358" s="33" t="s">
        <v>63843</v>
      </c>
      <c r="I358" s="33"/>
      <c r="J358" s="33" t="s">
        <v>63281</v>
      </c>
    </row>
    <row r="359" spans="1:10">
      <c r="A359" s="30" t="s">
        <v>62991</v>
      </c>
      <c r="B359" s="43">
        <v>44183</v>
      </c>
      <c r="C359" s="30" t="s">
        <v>62992</v>
      </c>
      <c r="D359" s="30" t="s">
        <v>63846</v>
      </c>
      <c r="E359" s="30" t="s">
        <v>63847</v>
      </c>
      <c r="F359" s="12">
        <v>12</v>
      </c>
      <c r="G359" s="12">
        <v>2020</v>
      </c>
      <c r="H359" s="30" t="s">
        <v>63843</v>
      </c>
      <c r="I359" s="30"/>
      <c r="J359" s="30" t="s">
        <v>63281</v>
      </c>
    </row>
    <row r="360" spans="1:10">
      <c r="A360" s="33" t="s">
        <v>62991</v>
      </c>
      <c r="B360" s="44">
        <v>44181</v>
      </c>
      <c r="C360" s="33" t="s">
        <v>62998</v>
      </c>
      <c r="D360" s="33" t="s">
        <v>63848</v>
      </c>
      <c r="E360" s="33" t="s">
        <v>63849</v>
      </c>
      <c r="F360" s="12">
        <v>12</v>
      </c>
      <c r="G360" s="12">
        <v>2020</v>
      </c>
      <c r="H360" s="33" t="s">
        <v>63843</v>
      </c>
      <c r="I360" s="33"/>
      <c r="J360" s="33" t="s">
        <v>63281</v>
      </c>
    </row>
    <row r="361" spans="1:10">
      <c r="A361" s="30" t="s">
        <v>62991</v>
      </c>
      <c r="B361" s="43">
        <v>44179</v>
      </c>
      <c r="C361" s="30" t="s">
        <v>62992</v>
      </c>
      <c r="D361" s="30" t="s">
        <v>63850</v>
      </c>
      <c r="E361" s="30" t="s">
        <v>63851</v>
      </c>
      <c r="F361" s="12">
        <v>12</v>
      </c>
      <c r="G361" s="12">
        <v>2020</v>
      </c>
      <c r="H361" s="30" t="s">
        <v>63843</v>
      </c>
      <c r="I361" s="30"/>
      <c r="J361" s="30" t="s">
        <v>63281</v>
      </c>
    </row>
    <row r="362" spans="1:10">
      <c r="A362" s="33" t="s">
        <v>62991</v>
      </c>
      <c r="B362" s="44">
        <v>44168</v>
      </c>
      <c r="C362" s="33" t="s">
        <v>62992</v>
      </c>
      <c r="D362" s="33" t="s">
        <v>63852</v>
      </c>
      <c r="E362" s="33" t="s">
        <v>63853</v>
      </c>
      <c r="F362" s="12">
        <v>12</v>
      </c>
      <c r="G362" s="12">
        <v>2020</v>
      </c>
      <c r="H362" s="33" t="s">
        <v>63843</v>
      </c>
      <c r="I362" s="33"/>
      <c r="J362" s="33" t="s">
        <v>63281</v>
      </c>
    </row>
    <row r="363" spans="1:10">
      <c r="A363" s="30" t="s">
        <v>62991</v>
      </c>
      <c r="B363" s="43">
        <v>44166</v>
      </c>
      <c r="C363" s="30" t="s">
        <v>62992</v>
      </c>
      <c r="D363" s="30" t="s">
        <v>63764</v>
      </c>
      <c r="E363" s="30" t="s">
        <v>63854</v>
      </c>
      <c r="F363" s="12">
        <v>12</v>
      </c>
      <c r="G363" s="12">
        <v>2020</v>
      </c>
      <c r="H363" s="30" t="s">
        <v>63843</v>
      </c>
      <c r="I363" s="30"/>
      <c r="J363" s="30" t="s">
        <v>63281</v>
      </c>
    </row>
    <row r="364" spans="1:10">
      <c r="A364" s="33" t="s">
        <v>62991</v>
      </c>
      <c r="B364" s="44">
        <v>44160</v>
      </c>
      <c r="C364" s="33" t="s">
        <v>62992</v>
      </c>
      <c r="D364" s="33" t="s">
        <v>63855</v>
      </c>
      <c r="E364" s="33" t="s">
        <v>63856</v>
      </c>
      <c r="F364" s="12">
        <v>11</v>
      </c>
      <c r="G364" s="12">
        <v>2020</v>
      </c>
      <c r="H364" s="33" t="s">
        <v>63857</v>
      </c>
      <c r="I364" s="33"/>
      <c r="J364" s="33" t="s">
        <v>63281</v>
      </c>
    </row>
    <row r="365" spans="1:10">
      <c r="A365" s="30" t="s">
        <v>62991</v>
      </c>
      <c r="B365" s="43">
        <v>44160</v>
      </c>
      <c r="C365" s="30" t="s">
        <v>62998</v>
      </c>
      <c r="D365" s="30" t="s">
        <v>63858</v>
      </c>
      <c r="E365" s="30" t="s">
        <v>63859</v>
      </c>
      <c r="F365" s="12">
        <v>11</v>
      </c>
      <c r="G365" s="12">
        <v>2020</v>
      </c>
      <c r="H365" s="30" t="s">
        <v>63857</v>
      </c>
      <c r="I365" s="30"/>
      <c r="J365" s="30" t="s">
        <v>63281</v>
      </c>
    </row>
    <row r="366" spans="1:10">
      <c r="A366" s="33" t="s">
        <v>62991</v>
      </c>
      <c r="B366" s="44">
        <v>44158</v>
      </c>
      <c r="C366" s="33" t="s">
        <v>62992</v>
      </c>
      <c r="D366" s="33" t="s">
        <v>63860</v>
      </c>
      <c r="E366" s="33" t="s">
        <v>63861</v>
      </c>
      <c r="F366" s="12">
        <v>11</v>
      </c>
      <c r="G366" s="12">
        <v>2020</v>
      </c>
      <c r="H366" s="33" t="s">
        <v>63857</v>
      </c>
      <c r="I366" s="33"/>
      <c r="J366" s="33" t="s">
        <v>63281</v>
      </c>
    </row>
    <row r="367" spans="1:10">
      <c r="A367" s="30" t="s">
        <v>62991</v>
      </c>
      <c r="B367" s="43">
        <v>44155</v>
      </c>
      <c r="C367" s="30" t="s">
        <v>62992</v>
      </c>
      <c r="D367" s="30" t="s">
        <v>63862</v>
      </c>
      <c r="E367" s="30" t="s">
        <v>63863</v>
      </c>
      <c r="F367" s="12">
        <v>11</v>
      </c>
      <c r="G367" s="12">
        <v>2020</v>
      </c>
      <c r="H367" s="30" t="s">
        <v>63857</v>
      </c>
      <c r="I367" s="30"/>
      <c r="J367" s="30" t="s">
        <v>63281</v>
      </c>
    </row>
    <row r="368" spans="1:10">
      <c r="A368" s="33" t="s">
        <v>62991</v>
      </c>
      <c r="B368" s="44">
        <v>44126</v>
      </c>
      <c r="C368" s="33" t="s">
        <v>62992</v>
      </c>
      <c r="D368" s="33" t="s">
        <v>63864</v>
      </c>
      <c r="E368" s="33" t="s">
        <v>63865</v>
      </c>
      <c r="F368" s="12">
        <v>10</v>
      </c>
      <c r="G368" s="12">
        <v>2020</v>
      </c>
      <c r="H368" s="33" t="s">
        <v>63866</v>
      </c>
      <c r="I368" s="33"/>
      <c r="J368" s="33" t="s">
        <v>63281</v>
      </c>
    </row>
    <row r="369" spans="1:10">
      <c r="A369" s="30" t="s">
        <v>62991</v>
      </c>
      <c r="B369" s="43">
        <v>44118</v>
      </c>
      <c r="C369" s="30" t="s">
        <v>62998</v>
      </c>
      <c r="D369" s="30" t="s">
        <v>63867</v>
      </c>
      <c r="E369" s="30" t="s">
        <v>63868</v>
      </c>
      <c r="F369" s="12">
        <v>10</v>
      </c>
      <c r="G369" s="12">
        <v>2020</v>
      </c>
      <c r="H369" s="30" t="s">
        <v>63866</v>
      </c>
      <c r="I369" s="30"/>
      <c r="J369" s="30" t="s">
        <v>63281</v>
      </c>
    </row>
    <row r="370" spans="1:10">
      <c r="A370" s="33" t="s">
        <v>62991</v>
      </c>
      <c r="B370" s="44">
        <v>44078</v>
      </c>
      <c r="C370" s="33" t="s">
        <v>62992</v>
      </c>
      <c r="D370" s="33" t="s">
        <v>63869</v>
      </c>
      <c r="E370" s="33" t="s">
        <v>63870</v>
      </c>
      <c r="F370" s="12">
        <v>9</v>
      </c>
      <c r="G370" s="12">
        <v>2020</v>
      </c>
      <c r="H370" s="33" t="s">
        <v>63871</v>
      </c>
      <c r="I370" s="33"/>
      <c r="J370" s="33" t="s">
        <v>63281</v>
      </c>
    </row>
    <row r="371" spans="1:10">
      <c r="A371" s="30" t="s">
        <v>62991</v>
      </c>
      <c r="B371" s="43">
        <v>44077</v>
      </c>
      <c r="C371" s="30" t="s">
        <v>62992</v>
      </c>
      <c r="D371" s="30" t="s">
        <v>63872</v>
      </c>
      <c r="E371" s="30" t="s">
        <v>63873</v>
      </c>
      <c r="F371" s="12">
        <v>9</v>
      </c>
      <c r="G371" s="12">
        <v>2020</v>
      </c>
      <c r="H371" s="30" t="s">
        <v>63871</v>
      </c>
      <c r="I371" s="30"/>
      <c r="J371" s="30" t="s">
        <v>63281</v>
      </c>
    </row>
    <row r="372" spans="1:10">
      <c r="A372" s="33" t="s">
        <v>62991</v>
      </c>
      <c r="B372" s="44">
        <v>44071</v>
      </c>
      <c r="C372" s="33" t="s">
        <v>62998</v>
      </c>
      <c r="D372" s="33" t="s">
        <v>63874</v>
      </c>
      <c r="E372" s="33" t="s">
        <v>63875</v>
      </c>
      <c r="F372" s="12">
        <v>8</v>
      </c>
      <c r="G372" s="12">
        <v>2020</v>
      </c>
      <c r="H372" s="33" t="s">
        <v>63876</v>
      </c>
      <c r="I372" s="33"/>
      <c r="J372" s="33" t="s">
        <v>63281</v>
      </c>
    </row>
    <row r="373" spans="1:10">
      <c r="A373" s="30" t="s">
        <v>62991</v>
      </c>
      <c r="B373" s="43">
        <v>44069</v>
      </c>
      <c r="C373" s="30" t="s">
        <v>62992</v>
      </c>
      <c r="D373" s="30" t="s">
        <v>63877</v>
      </c>
      <c r="E373" s="30" t="s">
        <v>63878</v>
      </c>
      <c r="F373" s="12">
        <v>8</v>
      </c>
      <c r="G373" s="12">
        <v>2020</v>
      </c>
      <c r="H373" s="30" t="s">
        <v>63876</v>
      </c>
      <c r="I373" s="30"/>
      <c r="J373" s="30" t="s">
        <v>63281</v>
      </c>
    </row>
    <row r="374" spans="1:10">
      <c r="A374" s="33" t="s">
        <v>62991</v>
      </c>
      <c r="B374" s="44">
        <v>44057</v>
      </c>
      <c r="C374" s="33" t="s">
        <v>62998</v>
      </c>
      <c r="D374" s="33" t="s">
        <v>63879</v>
      </c>
      <c r="E374" s="33" t="s">
        <v>63880</v>
      </c>
      <c r="F374" s="12">
        <v>8</v>
      </c>
      <c r="G374" s="12">
        <v>2020</v>
      </c>
      <c r="H374" s="33" t="s">
        <v>63876</v>
      </c>
      <c r="I374" s="33"/>
      <c r="J374" s="33" t="s">
        <v>63281</v>
      </c>
    </row>
    <row r="375" spans="1:10">
      <c r="A375" s="30" t="s">
        <v>62991</v>
      </c>
      <c r="B375" s="43">
        <v>44055</v>
      </c>
      <c r="C375" s="30" t="s">
        <v>62992</v>
      </c>
      <c r="D375" s="30" t="s">
        <v>63881</v>
      </c>
      <c r="E375" s="30" t="s">
        <v>63882</v>
      </c>
      <c r="F375" s="12">
        <v>8</v>
      </c>
      <c r="G375" s="12">
        <v>2020</v>
      </c>
      <c r="H375" s="30" t="s">
        <v>63876</v>
      </c>
      <c r="I375" s="30"/>
      <c r="J375" s="30" t="s">
        <v>63281</v>
      </c>
    </row>
    <row r="376" spans="1:10">
      <c r="A376" s="33" t="s">
        <v>62991</v>
      </c>
      <c r="B376" s="44">
        <v>44050</v>
      </c>
      <c r="C376" s="33" t="s">
        <v>62992</v>
      </c>
      <c r="D376" s="33" t="s">
        <v>63883</v>
      </c>
      <c r="E376" s="33" t="s">
        <v>63884</v>
      </c>
      <c r="F376" s="12">
        <v>8</v>
      </c>
      <c r="G376" s="12">
        <v>2020</v>
      </c>
      <c r="H376" s="33" t="s">
        <v>63876</v>
      </c>
      <c r="I376" s="33"/>
      <c r="J376" s="33" t="s">
        <v>63281</v>
      </c>
    </row>
    <row r="377" spans="1:10">
      <c r="A377" s="30" t="s">
        <v>62991</v>
      </c>
      <c r="B377" s="43">
        <v>44050</v>
      </c>
      <c r="C377" s="30" t="s">
        <v>62992</v>
      </c>
      <c r="D377" s="30" t="s">
        <v>63885</v>
      </c>
      <c r="E377" s="30" t="s">
        <v>63886</v>
      </c>
      <c r="F377" s="12">
        <v>8</v>
      </c>
      <c r="G377" s="12">
        <v>2020</v>
      </c>
      <c r="H377" s="30" t="s">
        <v>63876</v>
      </c>
      <c r="I377" s="30"/>
      <c r="J377" s="30" t="s">
        <v>63281</v>
      </c>
    </row>
    <row r="378" spans="1:10">
      <c r="A378" s="33" t="s">
        <v>62991</v>
      </c>
      <c r="B378" s="44">
        <v>44049</v>
      </c>
      <c r="C378" s="33" t="s">
        <v>62992</v>
      </c>
      <c r="D378" s="33" t="s">
        <v>63887</v>
      </c>
      <c r="E378" s="33" t="s">
        <v>63888</v>
      </c>
      <c r="F378" s="12">
        <v>8</v>
      </c>
      <c r="G378" s="12">
        <v>2020</v>
      </c>
      <c r="H378" s="33" t="s">
        <v>63876</v>
      </c>
      <c r="I378" s="33"/>
      <c r="J378" s="33" t="s">
        <v>63281</v>
      </c>
    </row>
    <row r="379" spans="1:10">
      <c r="A379" s="30" t="s">
        <v>62991</v>
      </c>
      <c r="B379" s="43">
        <v>44048</v>
      </c>
      <c r="C379" s="30" t="s">
        <v>62998</v>
      </c>
      <c r="D379" s="30" t="s">
        <v>63889</v>
      </c>
      <c r="E379" s="30" t="s">
        <v>63890</v>
      </c>
      <c r="F379" s="12">
        <v>8</v>
      </c>
      <c r="G379" s="12">
        <v>2020</v>
      </c>
      <c r="H379" s="30" t="s">
        <v>63876</v>
      </c>
      <c r="I379" s="30"/>
      <c r="J379" s="30" t="s">
        <v>63281</v>
      </c>
    </row>
    <row r="380" spans="1:10">
      <c r="A380" s="33" t="s">
        <v>62991</v>
      </c>
      <c r="B380" s="44">
        <v>44043</v>
      </c>
      <c r="C380" s="33" t="s">
        <v>62998</v>
      </c>
      <c r="D380" s="33" t="s">
        <v>63891</v>
      </c>
      <c r="E380" s="33" t="s">
        <v>63892</v>
      </c>
      <c r="F380" s="12">
        <v>7</v>
      </c>
      <c r="G380" s="12">
        <v>2020</v>
      </c>
      <c r="H380" s="33" t="s">
        <v>63893</v>
      </c>
      <c r="I380" s="33"/>
      <c r="J380" s="33" t="s">
        <v>63281</v>
      </c>
    </row>
    <row r="381" spans="1:10">
      <c r="A381" s="30" t="s">
        <v>62991</v>
      </c>
      <c r="B381" s="43">
        <v>44036</v>
      </c>
      <c r="C381" s="30" t="s">
        <v>62992</v>
      </c>
      <c r="D381" s="30" t="s">
        <v>63894</v>
      </c>
      <c r="E381" s="30" t="s">
        <v>63895</v>
      </c>
      <c r="F381" s="12">
        <v>7</v>
      </c>
      <c r="G381" s="12">
        <v>2020</v>
      </c>
      <c r="H381" s="30" t="s">
        <v>63893</v>
      </c>
      <c r="I381" s="30"/>
      <c r="J381" s="30" t="s">
        <v>63281</v>
      </c>
    </row>
    <row r="382" spans="1:10">
      <c r="A382" s="33" t="s">
        <v>63014</v>
      </c>
      <c r="B382" s="44">
        <v>44036</v>
      </c>
      <c r="C382" s="33" t="s">
        <v>62998</v>
      </c>
      <c r="D382" s="33" t="s">
        <v>63896</v>
      </c>
      <c r="E382" s="33" t="s">
        <v>63896</v>
      </c>
      <c r="F382" s="12">
        <v>7</v>
      </c>
      <c r="G382" s="12">
        <v>2020</v>
      </c>
      <c r="H382" s="33" t="s">
        <v>63893</v>
      </c>
      <c r="I382" s="33" t="s">
        <v>63897</v>
      </c>
      <c r="J382" s="33" t="s">
        <v>63898</v>
      </c>
    </row>
    <row r="383" spans="1:10">
      <c r="A383" s="30" t="s">
        <v>62991</v>
      </c>
      <c r="B383" s="43">
        <v>44019</v>
      </c>
      <c r="C383" s="30" t="s">
        <v>62992</v>
      </c>
      <c r="D383" s="30" t="s">
        <v>63899</v>
      </c>
      <c r="E383" s="30" t="s">
        <v>63900</v>
      </c>
      <c r="F383" s="12">
        <v>7</v>
      </c>
      <c r="G383" s="12">
        <v>2020</v>
      </c>
      <c r="H383" s="30" t="s">
        <v>63893</v>
      </c>
      <c r="I383" s="30"/>
      <c r="J383" s="30" t="s">
        <v>63281</v>
      </c>
    </row>
    <row r="384" spans="1:10">
      <c r="A384" s="33" t="s">
        <v>62991</v>
      </c>
      <c r="B384" s="44">
        <v>44014</v>
      </c>
      <c r="C384" s="33" t="s">
        <v>62992</v>
      </c>
      <c r="D384" s="33" t="s">
        <v>63901</v>
      </c>
      <c r="E384" s="33" t="s">
        <v>63902</v>
      </c>
      <c r="F384" s="12">
        <v>7</v>
      </c>
      <c r="G384" s="12">
        <v>2020</v>
      </c>
      <c r="H384" s="33" t="s">
        <v>63893</v>
      </c>
      <c r="I384" s="33"/>
      <c r="J384" s="33" t="s">
        <v>63281</v>
      </c>
    </row>
    <row r="385" spans="1:10">
      <c r="A385" s="30" t="s">
        <v>62991</v>
      </c>
      <c r="B385" s="43">
        <v>44014</v>
      </c>
      <c r="C385" s="30" t="s">
        <v>62992</v>
      </c>
      <c r="D385" s="30" t="s">
        <v>63903</v>
      </c>
      <c r="E385" s="30" t="s">
        <v>63904</v>
      </c>
      <c r="F385" s="12">
        <v>7</v>
      </c>
      <c r="G385" s="12">
        <v>2020</v>
      </c>
      <c r="H385" s="30" t="s">
        <v>63893</v>
      </c>
      <c r="I385" s="30"/>
      <c r="J385" s="30" t="s">
        <v>63281</v>
      </c>
    </row>
    <row r="386" spans="1:10">
      <c r="A386" s="33" t="s">
        <v>62991</v>
      </c>
      <c r="B386" s="44">
        <v>44012</v>
      </c>
      <c r="C386" s="33" t="s">
        <v>62992</v>
      </c>
      <c r="D386" s="33" t="s">
        <v>63905</v>
      </c>
      <c r="E386" s="33" t="s">
        <v>63906</v>
      </c>
      <c r="F386" s="12">
        <v>6</v>
      </c>
      <c r="G386" s="12">
        <v>2020</v>
      </c>
      <c r="H386" s="33" t="s">
        <v>63907</v>
      </c>
      <c r="I386" s="33"/>
      <c r="J386" s="33" t="s">
        <v>63281</v>
      </c>
    </row>
    <row r="387" spans="1:10">
      <c r="A387" s="30" t="s">
        <v>63014</v>
      </c>
      <c r="B387" s="43">
        <v>44000</v>
      </c>
      <c r="C387" s="30" t="s">
        <v>62998</v>
      </c>
      <c r="D387" s="30" t="s">
        <v>63908</v>
      </c>
      <c r="E387" s="30" t="s">
        <v>63908</v>
      </c>
      <c r="F387" s="12">
        <v>6</v>
      </c>
      <c r="G387" s="12">
        <v>2020</v>
      </c>
      <c r="H387" s="30" t="s">
        <v>63907</v>
      </c>
      <c r="I387" s="30" t="s">
        <v>63909</v>
      </c>
      <c r="J387" s="30" t="s">
        <v>63898</v>
      </c>
    </row>
    <row r="388" spans="1:10">
      <c r="A388" s="33" t="s">
        <v>63014</v>
      </c>
      <c r="B388" s="44">
        <v>44000</v>
      </c>
      <c r="C388" s="33" t="s">
        <v>62998</v>
      </c>
      <c r="D388" s="33" t="s">
        <v>63910</v>
      </c>
      <c r="E388" s="33" t="s">
        <v>63910</v>
      </c>
      <c r="F388" s="12">
        <v>6</v>
      </c>
      <c r="G388" s="12">
        <v>2020</v>
      </c>
      <c r="H388" s="33" t="s">
        <v>63907</v>
      </c>
      <c r="I388" s="33" t="s">
        <v>63911</v>
      </c>
      <c r="J388" s="33" t="s">
        <v>63898</v>
      </c>
    </row>
    <row r="389" spans="1:10">
      <c r="A389" s="30" t="s">
        <v>62991</v>
      </c>
      <c r="B389" s="43">
        <v>43997</v>
      </c>
      <c r="C389" s="30" t="s">
        <v>62992</v>
      </c>
      <c r="D389" s="30" t="s">
        <v>63912</v>
      </c>
      <c r="E389" s="30" t="s">
        <v>63913</v>
      </c>
      <c r="F389" s="12">
        <v>6</v>
      </c>
      <c r="G389" s="12">
        <v>2020</v>
      </c>
      <c r="H389" s="30" t="s">
        <v>63907</v>
      </c>
      <c r="I389" s="30"/>
      <c r="J389" s="30" t="s">
        <v>63281</v>
      </c>
    </row>
    <row r="390" spans="1:10">
      <c r="A390" s="33" t="s">
        <v>62991</v>
      </c>
      <c r="B390" s="44">
        <v>43993</v>
      </c>
      <c r="C390" s="33" t="s">
        <v>62998</v>
      </c>
      <c r="D390" s="33" t="s">
        <v>63914</v>
      </c>
      <c r="E390" s="33" t="s">
        <v>63915</v>
      </c>
      <c r="F390" s="12">
        <v>6</v>
      </c>
      <c r="G390" s="12">
        <v>2020</v>
      </c>
      <c r="H390" s="33" t="s">
        <v>63907</v>
      </c>
      <c r="I390" s="33"/>
      <c r="J390" s="33" t="s">
        <v>63281</v>
      </c>
    </row>
    <row r="391" spans="1:10">
      <c r="A391" s="30" t="s">
        <v>62991</v>
      </c>
      <c r="B391" s="43">
        <v>43979</v>
      </c>
      <c r="C391" s="30" t="s">
        <v>62992</v>
      </c>
      <c r="D391" s="30" t="s">
        <v>63916</v>
      </c>
      <c r="E391" s="30" t="s">
        <v>63917</v>
      </c>
      <c r="F391" s="12">
        <v>5</v>
      </c>
      <c r="G391" s="12">
        <v>2020</v>
      </c>
      <c r="H391" s="30" t="s">
        <v>63918</v>
      </c>
      <c r="I391" s="30"/>
      <c r="J391" s="30" t="s">
        <v>63281</v>
      </c>
    </row>
    <row r="392" spans="1:10">
      <c r="A392" s="33" t="s">
        <v>62991</v>
      </c>
      <c r="B392" s="44">
        <v>43977</v>
      </c>
      <c r="C392" s="33" t="s">
        <v>62992</v>
      </c>
      <c r="D392" s="33" t="s">
        <v>63764</v>
      </c>
      <c r="E392" s="33" t="s">
        <v>63919</v>
      </c>
      <c r="F392" s="12">
        <v>5</v>
      </c>
      <c r="G392" s="12">
        <v>2020</v>
      </c>
      <c r="H392" s="33" t="s">
        <v>63918</v>
      </c>
      <c r="I392" s="33"/>
      <c r="J392" s="33" t="s">
        <v>63281</v>
      </c>
    </row>
    <row r="393" spans="1:10">
      <c r="A393" s="30" t="s">
        <v>62991</v>
      </c>
      <c r="B393" s="43">
        <v>43971</v>
      </c>
      <c r="C393" s="30" t="s">
        <v>62992</v>
      </c>
      <c r="D393" s="30" t="s">
        <v>63920</v>
      </c>
      <c r="E393" s="30" t="s">
        <v>63921</v>
      </c>
      <c r="F393" s="12">
        <v>5</v>
      </c>
      <c r="G393" s="12">
        <v>2020</v>
      </c>
      <c r="H393" s="30" t="s">
        <v>63918</v>
      </c>
      <c r="I393" s="30"/>
      <c r="J393" s="30" t="s">
        <v>63281</v>
      </c>
    </row>
    <row r="394" spans="1:10">
      <c r="A394" s="33" t="s">
        <v>62991</v>
      </c>
      <c r="B394" s="44">
        <v>43966</v>
      </c>
      <c r="C394" s="33" t="s">
        <v>62992</v>
      </c>
      <c r="D394" s="33" t="s">
        <v>63922</v>
      </c>
      <c r="E394" s="33" t="s">
        <v>63923</v>
      </c>
      <c r="F394" s="12">
        <v>5</v>
      </c>
      <c r="G394" s="12">
        <v>2020</v>
      </c>
      <c r="H394" s="33" t="s">
        <v>63918</v>
      </c>
      <c r="I394" s="33"/>
      <c r="J394" s="33" t="s">
        <v>63281</v>
      </c>
    </row>
    <row r="395" spans="1:10">
      <c r="A395" s="30" t="s">
        <v>62991</v>
      </c>
      <c r="B395" s="43">
        <v>43959</v>
      </c>
      <c r="C395" s="30" t="s">
        <v>62992</v>
      </c>
      <c r="D395" s="30" t="s">
        <v>63924</v>
      </c>
      <c r="E395" s="30" t="s">
        <v>63925</v>
      </c>
      <c r="F395" s="12">
        <v>5</v>
      </c>
      <c r="G395" s="12">
        <v>2020</v>
      </c>
      <c r="H395" s="30" t="s">
        <v>63918</v>
      </c>
      <c r="I395" s="30"/>
      <c r="J395" s="30" t="s">
        <v>63281</v>
      </c>
    </row>
    <row r="396" spans="1:10">
      <c r="A396" s="33" t="s">
        <v>62991</v>
      </c>
      <c r="B396" s="44">
        <v>43957</v>
      </c>
      <c r="C396" s="33" t="s">
        <v>62992</v>
      </c>
      <c r="D396" s="33" t="s">
        <v>63926</v>
      </c>
      <c r="E396" s="33" t="s">
        <v>63927</v>
      </c>
      <c r="F396" s="12">
        <v>5</v>
      </c>
      <c r="G396" s="12">
        <v>2020</v>
      </c>
      <c r="H396" s="33" t="s">
        <v>63918</v>
      </c>
      <c r="I396" s="33"/>
      <c r="J396" s="33" t="s">
        <v>63281</v>
      </c>
    </row>
    <row r="397" spans="1:10">
      <c r="A397" s="30" t="s">
        <v>62991</v>
      </c>
      <c r="B397" s="43">
        <v>43945</v>
      </c>
      <c r="C397" s="30" t="s">
        <v>62992</v>
      </c>
      <c r="D397" s="30" t="s">
        <v>63928</v>
      </c>
      <c r="E397" s="30" t="s">
        <v>63929</v>
      </c>
      <c r="F397" s="12">
        <v>4</v>
      </c>
      <c r="G397" s="12">
        <v>2020</v>
      </c>
      <c r="H397" s="30" t="s">
        <v>63930</v>
      </c>
      <c r="I397" s="30"/>
      <c r="J397" s="30" t="s">
        <v>63281</v>
      </c>
    </row>
    <row r="398" spans="1:10">
      <c r="A398" s="33" t="s">
        <v>63014</v>
      </c>
      <c r="B398" s="44">
        <v>43944</v>
      </c>
      <c r="C398" s="33" t="s">
        <v>62998</v>
      </c>
      <c r="D398" s="33" t="s">
        <v>63931</v>
      </c>
      <c r="E398" s="33" t="s">
        <v>63931</v>
      </c>
      <c r="F398" s="12">
        <v>4</v>
      </c>
      <c r="G398" s="12">
        <v>2020</v>
      </c>
      <c r="H398" s="33" t="s">
        <v>63930</v>
      </c>
      <c r="I398" s="33" t="s">
        <v>63932</v>
      </c>
      <c r="J398" s="33" t="s">
        <v>63898</v>
      </c>
    </row>
    <row r="399" spans="1:10">
      <c r="A399" s="30" t="s">
        <v>62991</v>
      </c>
      <c r="B399" s="43">
        <v>43943</v>
      </c>
      <c r="C399" s="30" t="s">
        <v>62998</v>
      </c>
      <c r="D399" s="30" t="s">
        <v>63933</v>
      </c>
      <c r="E399" s="30" t="s">
        <v>63934</v>
      </c>
      <c r="F399" s="12">
        <v>4</v>
      </c>
      <c r="G399" s="12">
        <v>2020</v>
      </c>
      <c r="H399" s="30" t="s">
        <v>63930</v>
      </c>
      <c r="I399" s="30"/>
      <c r="J399" s="30" t="s">
        <v>63281</v>
      </c>
    </row>
    <row r="400" spans="1:10">
      <c r="A400" s="33" t="s">
        <v>62991</v>
      </c>
      <c r="B400" s="44">
        <v>43938</v>
      </c>
      <c r="C400" s="33" t="s">
        <v>62992</v>
      </c>
      <c r="D400" s="33" t="s">
        <v>63935</v>
      </c>
      <c r="E400" s="33" t="s">
        <v>63936</v>
      </c>
      <c r="F400" s="12">
        <v>4</v>
      </c>
      <c r="G400" s="12">
        <v>2020</v>
      </c>
      <c r="H400" s="33" t="s">
        <v>63930</v>
      </c>
      <c r="I400" s="33"/>
      <c r="J400" s="33" t="s">
        <v>63281</v>
      </c>
    </row>
    <row r="401" spans="1:10">
      <c r="A401" s="30" t="s">
        <v>62991</v>
      </c>
      <c r="B401" s="43">
        <v>43938</v>
      </c>
      <c r="C401" s="30" t="s">
        <v>62992</v>
      </c>
      <c r="D401" s="30" t="s">
        <v>63937</v>
      </c>
      <c r="E401" s="30" t="s">
        <v>63938</v>
      </c>
      <c r="F401" s="12">
        <v>4</v>
      </c>
      <c r="G401" s="12">
        <v>2020</v>
      </c>
      <c r="H401" s="30" t="s">
        <v>63930</v>
      </c>
      <c r="I401" s="30"/>
      <c r="J401" s="30" t="s">
        <v>63281</v>
      </c>
    </row>
    <row r="402" spans="1:10">
      <c r="A402" s="33" t="s">
        <v>62991</v>
      </c>
      <c r="B402" s="44">
        <v>43931</v>
      </c>
      <c r="C402" s="33" t="s">
        <v>62992</v>
      </c>
      <c r="D402" s="33" t="s">
        <v>63939</v>
      </c>
      <c r="E402" s="33" t="s">
        <v>63940</v>
      </c>
      <c r="F402" s="12">
        <v>4</v>
      </c>
      <c r="G402" s="12">
        <v>2020</v>
      </c>
      <c r="H402" s="33" t="s">
        <v>63930</v>
      </c>
      <c r="I402" s="33"/>
      <c r="J402" s="33" t="s">
        <v>63281</v>
      </c>
    </row>
    <row r="403" spans="1:10">
      <c r="A403" s="30" t="s">
        <v>63014</v>
      </c>
      <c r="B403" s="43">
        <v>43922</v>
      </c>
      <c r="C403" s="30" t="s">
        <v>62998</v>
      </c>
      <c r="D403" s="30" t="s">
        <v>63941</v>
      </c>
      <c r="E403" s="30" t="s">
        <v>63941</v>
      </c>
      <c r="F403" s="12">
        <v>4</v>
      </c>
      <c r="G403" s="12">
        <v>2020</v>
      </c>
      <c r="H403" s="30" t="s">
        <v>63930</v>
      </c>
      <c r="I403" s="30" t="s">
        <v>63942</v>
      </c>
      <c r="J403" s="30" t="s">
        <v>63898</v>
      </c>
    </row>
    <row r="404" spans="1:10">
      <c r="A404" s="33" t="s">
        <v>63014</v>
      </c>
      <c r="B404" s="44">
        <v>43920</v>
      </c>
      <c r="C404" s="33" t="s">
        <v>62998</v>
      </c>
      <c r="D404" s="33" t="s">
        <v>63943</v>
      </c>
      <c r="E404" s="33" t="s">
        <v>63943</v>
      </c>
      <c r="F404" s="12">
        <v>3</v>
      </c>
      <c r="G404" s="12">
        <v>2020</v>
      </c>
      <c r="H404" s="33" t="s">
        <v>63944</v>
      </c>
      <c r="I404" s="33" t="s">
        <v>63945</v>
      </c>
      <c r="J404" s="33" t="s">
        <v>63898</v>
      </c>
    </row>
    <row r="405" spans="1:10">
      <c r="A405" s="30" t="s">
        <v>62991</v>
      </c>
      <c r="B405" s="43">
        <v>43915</v>
      </c>
      <c r="C405" s="30" t="s">
        <v>62992</v>
      </c>
      <c r="D405" s="30" t="s">
        <v>63946</v>
      </c>
      <c r="E405" s="30" t="s">
        <v>63947</v>
      </c>
      <c r="F405" s="12">
        <v>3</v>
      </c>
      <c r="G405" s="12">
        <v>2020</v>
      </c>
      <c r="H405" s="30" t="s">
        <v>63944</v>
      </c>
      <c r="I405" s="30"/>
      <c r="J405" s="30" t="s">
        <v>63281</v>
      </c>
    </row>
    <row r="406" spans="1:10">
      <c r="A406" s="33" t="s">
        <v>62991</v>
      </c>
      <c r="B406" s="44">
        <v>43896</v>
      </c>
      <c r="C406" s="33" t="s">
        <v>62992</v>
      </c>
      <c r="D406" s="33" t="s">
        <v>63948</v>
      </c>
      <c r="E406" s="33" t="s">
        <v>63949</v>
      </c>
      <c r="F406" s="12">
        <v>3</v>
      </c>
      <c r="G406" s="12">
        <v>2020</v>
      </c>
      <c r="H406" s="33" t="s">
        <v>63944</v>
      </c>
      <c r="I406" s="33"/>
      <c r="J406" s="33" t="s">
        <v>63281</v>
      </c>
    </row>
    <row r="407" spans="1:10">
      <c r="A407" s="30" t="s">
        <v>62991</v>
      </c>
      <c r="B407" s="43">
        <v>43892</v>
      </c>
      <c r="C407" s="30" t="s">
        <v>62998</v>
      </c>
      <c r="D407" s="30" t="s">
        <v>63950</v>
      </c>
      <c r="E407" s="30" t="s">
        <v>63951</v>
      </c>
      <c r="F407" s="12">
        <v>3</v>
      </c>
      <c r="G407" s="12">
        <v>2020</v>
      </c>
      <c r="H407" s="30" t="s">
        <v>63944</v>
      </c>
      <c r="I407" s="30"/>
      <c r="J407" s="30" t="s">
        <v>63281</v>
      </c>
    </row>
    <row r="408" spans="1:10">
      <c r="A408" s="33" t="s">
        <v>62991</v>
      </c>
      <c r="B408" s="44">
        <v>43888</v>
      </c>
      <c r="C408" s="33" t="s">
        <v>62992</v>
      </c>
      <c r="D408" s="33" t="s">
        <v>63952</v>
      </c>
      <c r="E408" s="33" t="s">
        <v>63953</v>
      </c>
      <c r="F408" s="12">
        <v>2</v>
      </c>
      <c r="G408" s="12">
        <v>2020</v>
      </c>
      <c r="H408" s="33" t="s">
        <v>63954</v>
      </c>
      <c r="I408" s="33"/>
      <c r="J408" s="33" t="s">
        <v>63281</v>
      </c>
    </row>
    <row r="409" spans="1:10">
      <c r="A409" s="30" t="s">
        <v>62991</v>
      </c>
      <c r="B409" s="43">
        <v>43887</v>
      </c>
      <c r="C409" s="30" t="s">
        <v>62992</v>
      </c>
      <c r="D409" s="30" t="s">
        <v>63955</v>
      </c>
      <c r="E409" s="30" t="s">
        <v>63956</v>
      </c>
      <c r="F409" s="12">
        <v>2</v>
      </c>
      <c r="G409" s="12">
        <v>2020</v>
      </c>
      <c r="H409" s="30" t="s">
        <v>63954</v>
      </c>
      <c r="I409" s="30"/>
      <c r="J409" s="30" t="s">
        <v>63281</v>
      </c>
    </row>
    <row r="410" spans="1:10">
      <c r="A410" s="33" t="s">
        <v>62991</v>
      </c>
      <c r="B410" s="44">
        <v>43882</v>
      </c>
      <c r="C410" s="33" t="s">
        <v>62998</v>
      </c>
      <c r="D410" s="33" t="s">
        <v>63957</v>
      </c>
      <c r="E410" s="33" t="s">
        <v>63958</v>
      </c>
      <c r="F410" s="12">
        <v>2</v>
      </c>
      <c r="G410" s="12">
        <v>2020</v>
      </c>
      <c r="H410" s="33" t="s">
        <v>63954</v>
      </c>
      <c r="I410" s="33"/>
      <c r="J410" s="33" t="s">
        <v>63281</v>
      </c>
    </row>
    <row r="411" spans="1:10">
      <c r="A411" s="30" t="s">
        <v>62991</v>
      </c>
      <c r="B411" s="43">
        <v>43882</v>
      </c>
      <c r="C411" s="30" t="s">
        <v>62992</v>
      </c>
      <c r="D411" s="30" t="s">
        <v>63959</v>
      </c>
      <c r="E411" s="30" t="s">
        <v>63960</v>
      </c>
      <c r="F411" s="12">
        <v>2</v>
      </c>
      <c r="G411" s="12">
        <v>2020</v>
      </c>
      <c r="H411" s="30" t="s">
        <v>63954</v>
      </c>
      <c r="I411" s="30"/>
      <c r="J411" s="30" t="s">
        <v>63281</v>
      </c>
    </row>
    <row r="412" spans="1:10">
      <c r="A412" s="33" t="s">
        <v>62991</v>
      </c>
      <c r="B412" s="44">
        <v>43873</v>
      </c>
      <c r="C412" s="33" t="s">
        <v>62992</v>
      </c>
      <c r="D412" s="33" t="s">
        <v>63961</v>
      </c>
      <c r="E412" s="33" t="s">
        <v>63962</v>
      </c>
      <c r="F412" s="12">
        <v>2</v>
      </c>
      <c r="G412" s="12">
        <v>2020</v>
      </c>
      <c r="H412" s="33" t="s">
        <v>63954</v>
      </c>
      <c r="I412" s="33"/>
      <c r="J412" s="33" t="s">
        <v>63281</v>
      </c>
    </row>
    <row r="413" spans="1:10">
      <c r="A413" s="30" t="s">
        <v>63014</v>
      </c>
      <c r="B413" s="43">
        <v>43861</v>
      </c>
      <c r="C413" s="30" t="s">
        <v>62998</v>
      </c>
      <c r="D413" s="30" t="s">
        <v>63963</v>
      </c>
      <c r="E413" s="30" t="s">
        <v>63963</v>
      </c>
      <c r="F413" s="12">
        <v>1</v>
      </c>
      <c r="G413" s="12">
        <v>2020</v>
      </c>
      <c r="H413" s="30" t="s">
        <v>63964</v>
      </c>
      <c r="I413" s="30" t="s">
        <v>63965</v>
      </c>
      <c r="J413" s="30" t="s">
        <v>63898</v>
      </c>
    </row>
    <row r="414" spans="1:10">
      <c r="A414" s="33" t="s">
        <v>63014</v>
      </c>
      <c r="B414" s="44">
        <v>43861</v>
      </c>
      <c r="C414" s="33" t="s">
        <v>62998</v>
      </c>
      <c r="D414" s="33" t="s">
        <v>63966</v>
      </c>
      <c r="E414" s="33" t="s">
        <v>63966</v>
      </c>
      <c r="F414" s="12">
        <v>1</v>
      </c>
      <c r="G414" s="12">
        <v>2020</v>
      </c>
      <c r="H414" s="33" t="s">
        <v>63964</v>
      </c>
      <c r="I414" s="33" t="s">
        <v>63967</v>
      </c>
      <c r="J414" s="33" t="s">
        <v>63898</v>
      </c>
    </row>
    <row r="415" spans="1:10">
      <c r="A415" s="30" t="s">
        <v>62991</v>
      </c>
      <c r="B415" s="43">
        <v>43853</v>
      </c>
      <c r="C415" s="30" t="s">
        <v>62992</v>
      </c>
      <c r="D415" s="30" t="s">
        <v>63968</v>
      </c>
      <c r="E415" s="30" t="s">
        <v>63969</v>
      </c>
      <c r="F415" s="12">
        <v>1</v>
      </c>
      <c r="G415" s="12">
        <v>2020</v>
      </c>
      <c r="H415" s="30" t="s">
        <v>63964</v>
      </c>
      <c r="I415" s="30"/>
      <c r="J415" s="30" t="s">
        <v>63281</v>
      </c>
    </row>
    <row r="416" spans="1:10">
      <c r="A416" s="33" t="s">
        <v>62991</v>
      </c>
      <c r="B416" s="44">
        <v>43851</v>
      </c>
      <c r="C416" s="33" t="s">
        <v>62998</v>
      </c>
      <c r="D416" s="33" t="s">
        <v>63970</v>
      </c>
      <c r="E416" s="33" t="s">
        <v>63971</v>
      </c>
      <c r="F416" s="12">
        <v>1</v>
      </c>
      <c r="G416" s="12">
        <v>2020</v>
      </c>
      <c r="H416" s="33" t="s">
        <v>63964</v>
      </c>
      <c r="I416" s="33"/>
      <c r="J416" s="33" t="s">
        <v>63281</v>
      </c>
    </row>
    <row r="417" spans="1:10">
      <c r="A417" s="30" t="s">
        <v>62991</v>
      </c>
      <c r="B417" s="43">
        <v>43839</v>
      </c>
      <c r="C417" s="30" t="s">
        <v>62992</v>
      </c>
      <c r="D417" s="30" t="s">
        <v>63972</v>
      </c>
      <c r="E417" s="30" t="s">
        <v>63973</v>
      </c>
      <c r="F417" s="12">
        <v>1</v>
      </c>
      <c r="G417" s="12">
        <v>2020</v>
      </c>
      <c r="H417" s="30" t="s">
        <v>63964</v>
      </c>
      <c r="I417" s="30"/>
      <c r="J417" s="30" t="s">
        <v>63281</v>
      </c>
    </row>
  </sheetData>
  <autoFilter ref="A2:J417"/>
  <hyperlinks>
    <hyperlink ref="J3" r:id="rId1"/>
    <hyperlink ref="J4" r:id="rId2"/>
    <hyperlink ref="J5" r:id="rId3"/>
    <hyperlink ref="J6" r:id="rId4"/>
    <hyperlink ref="J7" r:id="rId5"/>
    <hyperlink ref="J8" r:id="rId6"/>
    <hyperlink ref="J9" r:id="rId7"/>
    <hyperlink ref="J10" r:id="rId8"/>
    <hyperlink ref="J11" r:id="rId9"/>
    <hyperlink ref="J12" r:id="rId10"/>
    <hyperlink ref="J13" r:id="rId11"/>
    <hyperlink ref="J14" r:id="rId12"/>
    <hyperlink ref="J15" r:id="rId13"/>
    <hyperlink ref="J16" r:id="rId14"/>
    <hyperlink ref="J17" r:id="rId15"/>
    <hyperlink ref="J18" r:id="rId16"/>
    <hyperlink ref="J19" r:id="rId17"/>
    <hyperlink ref="J20" r:id="rId18"/>
    <hyperlink ref="J21" r:id="rId19"/>
    <hyperlink ref="J22" r:id="rId20"/>
    <hyperlink ref="J23" r:id="rId21"/>
    <hyperlink ref="J24" r:id="rId22"/>
    <hyperlink ref="J25" r:id="rId23"/>
    <hyperlink ref="J26" r:id="rId24"/>
    <hyperlink ref="J27" r:id="rId25"/>
    <hyperlink ref="J28" r:id="rId26"/>
    <hyperlink ref="J29" r:id="rId27"/>
    <hyperlink ref="J30" r:id="rId28"/>
    <hyperlink ref="J31" r:id="rId29"/>
    <hyperlink ref="J32" r:id="rId30"/>
    <hyperlink ref="J33" r:id="rId31"/>
    <hyperlink ref="J34" r:id="rId32"/>
    <hyperlink ref="J35" r:id="rId33"/>
    <hyperlink ref="J36" r:id="rId34"/>
    <hyperlink ref="J37" r:id="rId35"/>
    <hyperlink ref="J38" r:id="rId36"/>
    <hyperlink ref="J39" r:id="rId37"/>
    <hyperlink ref="J40" r:id="rId38"/>
    <hyperlink ref="J41" r:id="rId39"/>
    <hyperlink ref="J42" r:id="rId40"/>
    <hyperlink ref="J43" r:id="rId41"/>
    <hyperlink ref="J44" r:id="rId42"/>
    <hyperlink ref="J45" r:id="rId43"/>
    <hyperlink ref="J46" r:id="rId44"/>
    <hyperlink ref="J47" r:id="rId45"/>
    <hyperlink ref="J48" r:id="rId46"/>
    <hyperlink ref="J49" r:id="rId47"/>
    <hyperlink ref="J50" r:id="rId48"/>
    <hyperlink ref="J51" r:id="rId49"/>
    <hyperlink ref="J52" r:id="rId50"/>
    <hyperlink ref="J53" r:id="rId51"/>
    <hyperlink ref="J54" r:id="rId52"/>
    <hyperlink ref="J55" r:id="rId53"/>
    <hyperlink ref="J56" r:id="rId54"/>
    <hyperlink ref="J57" r:id="rId55"/>
    <hyperlink ref="J58" r:id="rId56"/>
    <hyperlink ref="J59" r:id="rId57"/>
    <hyperlink ref="J60" r:id="rId58"/>
    <hyperlink ref="J61" r:id="rId59"/>
    <hyperlink ref="J62" r:id="rId60"/>
    <hyperlink ref="J63" r:id="rId61"/>
    <hyperlink ref="J64" r:id="rId62"/>
    <hyperlink ref="J65" r:id="rId63"/>
    <hyperlink ref="J66" r:id="rId64"/>
    <hyperlink ref="J67" r:id="rId65"/>
    <hyperlink ref="J68" r:id="rId66"/>
    <hyperlink ref="J69" r:id="rId67"/>
    <hyperlink ref="J70" r:id="rId68"/>
    <hyperlink ref="J71" r:id="rId69"/>
    <hyperlink ref="J72" r:id="rId70"/>
    <hyperlink ref="J73" r:id="rId71"/>
    <hyperlink ref="J74" r:id="rId72"/>
    <hyperlink ref="J75" r:id="rId73"/>
    <hyperlink ref="J76" r:id="rId74"/>
    <hyperlink ref="J77" r:id="rId75"/>
    <hyperlink ref="J78" r:id="rId76"/>
    <hyperlink ref="J79" r:id="rId77"/>
    <hyperlink ref="J80" r:id="rId78"/>
    <hyperlink ref="J81" r:id="rId79"/>
    <hyperlink ref="J82" r:id="rId80"/>
    <hyperlink ref="J83" r:id="rId81"/>
    <hyperlink ref="J84" r:id="rId82"/>
    <hyperlink ref="J85" r:id="rId83"/>
    <hyperlink ref="J86" r:id="rId84"/>
    <hyperlink ref="J87" r:id="rId85"/>
    <hyperlink ref="J88" r:id="rId86"/>
    <hyperlink ref="J89" r:id="rId87"/>
    <hyperlink ref="J90" r:id="rId88"/>
    <hyperlink ref="J91" r:id="rId89"/>
    <hyperlink ref="J92" r:id="rId90"/>
    <hyperlink ref="J93" r:id="rId91"/>
    <hyperlink ref="J94" r:id="rId92"/>
    <hyperlink ref="J95" r:id="rId93"/>
    <hyperlink ref="J99" r:id="rId94"/>
    <hyperlink ref="J100" r:id="rId95"/>
    <hyperlink ref="J110" r:id="rId96"/>
    <hyperlink ref="J111" r:id="rId97"/>
    <hyperlink ref="J127" r:id="rId98"/>
    <hyperlink ref="J133" r:id="rId99"/>
    <hyperlink ref="J134" r:id="rId100"/>
    <hyperlink ref="J137" r:id="rId101"/>
    <hyperlink ref="J140" r:id="rId102"/>
    <hyperlink ref="J150" r:id="rId103"/>
    <hyperlink ref="J151" r:id="rId104"/>
    <hyperlink ref="J155" r:id="rId105"/>
    <hyperlink ref="J156" r:id="rId106"/>
    <hyperlink ref="J158" r:id="rId107"/>
    <hyperlink ref="J159" r:id="rId108"/>
    <hyperlink ref="J160" r:id="rId109"/>
    <hyperlink ref="J161" r:id="rId110"/>
    <hyperlink ref="J162" r:id="rId111"/>
    <hyperlink ref="J166" r:id="rId112"/>
    <hyperlink ref="J167" r:id="rId113"/>
    <hyperlink ref="J168" r:id="rId114"/>
    <hyperlink ref="J175" r:id="rId115"/>
    <hyperlink ref="J176" r:id="rId116"/>
    <hyperlink ref="J181" r:id="rId117"/>
    <hyperlink ref="J184" r:id="rId118"/>
    <hyperlink ref="J190" r:id="rId119"/>
    <hyperlink ref="J192" r:id="rId120"/>
    <hyperlink ref="J200" r:id="rId121"/>
    <hyperlink ref="J201" r:id="rId122"/>
    <hyperlink ref="J204" r:id="rId123"/>
    <hyperlink ref="J205" r:id="rId124"/>
    <hyperlink ref="J209" r:id="rId125"/>
    <hyperlink ref="J211" r:id="rId126"/>
    <hyperlink ref="J212" r:id="rId127"/>
    <hyperlink ref="J218" r:id="rId128"/>
    <hyperlink ref="J222" r:id="rId129"/>
    <hyperlink ref="J223" r:id="rId130"/>
    <hyperlink ref="J225" r:id="rId131"/>
    <hyperlink ref="J232" r:id="rId132"/>
    <hyperlink ref="J233" r:id="rId133"/>
    <hyperlink ref="J239" r:id="rId134"/>
    <hyperlink ref="J241" r:id="rId135"/>
    <hyperlink ref="J242" r:id="rId136"/>
    <hyperlink ref="J246" r:id="rId137"/>
    <hyperlink ref="J250" r:id="rId138"/>
    <hyperlink ref="J253" r:id="rId139"/>
    <hyperlink ref="J254" r:id="rId140"/>
    <hyperlink ref="J263" r:id="rId141"/>
    <hyperlink ref="J270" r:id="rId142"/>
    <hyperlink ref="J271" r:id="rId143"/>
    <hyperlink ref="J273" r:id="rId144"/>
    <hyperlink ref="J275" r:id="rId145"/>
    <hyperlink ref="J276" r:id="rId146"/>
    <hyperlink ref="J277" r:id="rId147"/>
    <hyperlink ref="J285" r:id="rId148"/>
    <hyperlink ref="J289" r:id="rId149"/>
    <hyperlink ref="J298" r:id="rId150"/>
    <hyperlink ref="J304" r:id="rId151"/>
    <hyperlink ref="J308" r:id="rId152"/>
    <hyperlink ref="J312" r:id="rId153"/>
    <hyperlink ref="J314" r:id="rId154"/>
    <hyperlink ref="J315" r:id="rId155"/>
    <hyperlink ref="J322" r:id="rId156"/>
    <hyperlink ref="J325" r:id="rId157"/>
    <hyperlink ref="J326" r:id="rId158"/>
    <hyperlink ref="J327" r:id="rId159"/>
    <hyperlink ref="J329" r:id="rId160"/>
    <hyperlink ref="J341" r:id="rId161"/>
    <hyperlink ref="J351" r:id="rId162"/>
    <hyperlink ref="J382" r:id="rId163"/>
    <hyperlink ref="J387" r:id="rId164"/>
    <hyperlink ref="J388" r:id="rId165"/>
    <hyperlink ref="J398" r:id="rId166"/>
    <hyperlink ref="J403" r:id="rId167"/>
    <hyperlink ref="J404" r:id="rId168"/>
    <hyperlink ref="J413" r:id="rId169"/>
    <hyperlink ref="J414" r:id="rId170"/>
  </hyperlinks>
  <pageMargins left="0.7" right="0.7" top="0.75" bottom="0.75" header="0.3" footer="0.3"/>
</worksheet>
</file>

<file path=xl/worksheets/sheet15.xml><?xml version="1.0" encoding="utf-8"?>
<worksheet xmlns="http://schemas.openxmlformats.org/spreadsheetml/2006/main" xmlns:r="http://schemas.openxmlformats.org/officeDocument/2006/relationships">
  <sheetPr>
    <tabColor rgb="FFBDD7EE"/>
  </sheetPr>
  <dimension ref="A1:H65"/>
  <sheetViews>
    <sheetView workbookViewId="0">
      <pane ySplit="2" topLeftCell="A3" activePane="bottomLeft" state="frozen"/>
      <selection pane="bottomLeft"/>
    </sheetView>
  </sheetViews>
  <sheetFormatPr defaultRowHeight="15"/>
  <cols>
    <col min="1" max="1" width="14.7109375" customWidth="1"/>
    <col min="2" max="2" width="12.7109375" customWidth="1"/>
    <col min="3" max="3" width="18.7109375" customWidth="1"/>
    <col min="4" max="4" width="40.7109375" customWidth="1"/>
    <col min="5" max="5" width="20.7109375" customWidth="1"/>
    <col min="6" max="6" width="35.7109375" customWidth="1"/>
    <col min="7" max="7" width="8.7109375" customWidth="1"/>
    <col min="8" max="8" width="50.7109375" customWidth="1"/>
  </cols>
  <sheetData>
    <row r="1" spans="1:8">
      <c r="A1" s="22" t="s">
        <v>63974</v>
      </c>
    </row>
    <row r="2" spans="1:8">
      <c r="A2" s="24" t="s">
        <v>62984</v>
      </c>
      <c r="B2" s="24" t="s">
        <v>63975</v>
      </c>
      <c r="C2" s="24" t="s">
        <v>63976</v>
      </c>
      <c r="D2" s="11" t="s">
        <v>63977</v>
      </c>
      <c r="E2" s="11" t="s">
        <v>62987</v>
      </c>
      <c r="F2" s="11" t="s">
        <v>63978</v>
      </c>
      <c r="G2" s="11" t="s">
        <v>63979</v>
      </c>
      <c r="H2" s="11" t="s">
        <v>62990</v>
      </c>
    </row>
    <row r="3" spans="1:8">
      <c r="A3" s="30" t="s">
        <v>63980</v>
      </c>
      <c r="B3" s="12">
        <v>2026</v>
      </c>
      <c r="C3" s="30" t="s">
        <v>62995</v>
      </c>
      <c r="D3" s="30" t="s">
        <v>63981</v>
      </c>
      <c r="E3" s="30" t="s">
        <v>63982</v>
      </c>
      <c r="F3" s="30" t="s">
        <v>63983</v>
      </c>
      <c r="G3" s="12">
        <v>1</v>
      </c>
      <c r="H3" s="30" t="s">
        <v>63984</v>
      </c>
    </row>
    <row r="4" spans="1:8">
      <c r="A4" s="33" t="s">
        <v>63980</v>
      </c>
      <c r="B4" s="12">
        <v>2026</v>
      </c>
      <c r="C4" s="33" t="s">
        <v>62995</v>
      </c>
      <c r="D4" s="33" t="s">
        <v>63985</v>
      </c>
      <c r="E4" s="33" t="s">
        <v>63986</v>
      </c>
      <c r="F4" s="33" t="s">
        <v>63987</v>
      </c>
      <c r="G4" s="12">
        <v>1</v>
      </c>
      <c r="H4" s="33" t="s">
        <v>63984</v>
      </c>
    </row>
    <row r="5" spans="1:8">
      <c r="A5" s="30" t="s">
        <v>63988</v>
      </c>
      <c r="B5" s="12">
        <v>2026</v>
      </c>
      <c r="C5" s="30" t="s">
        <v>63016</v>
      </c>
      <c r="D5" s="30" t="s">
        <v>63989</v>
      </c>
      <c r="E5" s="30" t="s">
        <v>63990</v>
      </c>
      <c r="F5" s="30" t="s">
        <v>63991</v>
      </c>
      <c r="G5" s="12">
        <v>1</v>
      </c>
      <c r="H5" s="30" t="s">
        <v>63984</v>
      </c>
    </row>
    <row r="6" spans="1:8">
      <c r="A6" s="33" t="s">
        <v>63030</v>
      </c>
      <c r="B6" s="12">
        <v>2026</v>
      </c>
      <c r="C6" s="33" t="s">
        <v>63030</v>
      </c>
      <c r="D6" s="33" t="s">
        <v>63992</v>
      </c>
      <c r="E6" s="33" t="s">
        <v>63993</v>
      </c>
      <c r="F6" s="33" t="s">
        <v>63994</v>
      </c>
      <c r="G6" s="12">
        <v>2</v>
      </c>
      <c r="H6" s="33" t="s">
        <v>63984</v>
      </c>
    </row>
    <row r="7" spans="1:8">
      <c r="A7" s="30" t="s">
        <v>63030</v>
      </c>
      <c r="B7" s="12">
        <v>2026</v>
      </c>
      <c r="C7" s="30" t="s">
        <v>63030</v>
      </c>
      <c r="D7" s="30" t="s">
        <v>63995</v>
      </c>
      <c r="E7" s="30" t="s">
        <v>63996</v>
      </c>
      <c r="F7" s="30" t="s">
        <v>63997</v>
      </c>
      <c r="G7" s="12">
        <v>1</v>
      </c>
      <c r="H7" s="30" t="s">
        <v>63984</v>
      </c>
    </row>
    <row r="8" spans="1:8">
      <c r="A8" s="33" t="s">
        <v>63998</v>
      </c>
      <c r="B8" s="12">
        <v>2026</v>
      </c>
      <c r="C8" s="33" t="s">
        <v>63054</v>
      </c>
      <c r="D8" s="33" t="s">
        <v>63999</v>
      </c>
      <c r="E8" s="33" t="s">
        <v>64000</v>
      </c>
      <c r="F8" s="33" t="s">
        <v>64001</v>
      </c>
      <c r="G8" s="12">
        <v>1</v>
      </c>
      <c r="H8" s="33" t="s">
        <v>63984</v>
      </c>
    </row>
    <row r="9" spans="1:8">
      <c r="A9" s="30" t="s">
        <v>64002</v>
      </c>
      <c r="B9" s="12">
        <v>2026</v>
      </c>
      <c r="C9" s="30" t="s">
        <v>63064</v>
      </c>
      <c r="D9" s="30" t="s">
        <v>64003</v>
      </c>
      <c r="E9" s="30" t="s">
        <v>64004</v>
      </c>
      <c r="F9" s="30" t="s">
        <v>64005</v>
      </c>
      <c r="G9" s="12">
        <v>1</v>
      </c>
      <c r="H9" s="30" t="s">
        <v>63984</v>
      </c>
    </row>
    <row r="10" spans="1:8">
      <c r="A10" s="33" t="s">
        <v>64006</v>
      </c>
      <c r="B10" s="12">
        <v>2026</v>
      </c>
      <c r="C10" s="33" t="s">
        <v>63097</v>
      </c>
      <c r="D10" s="33" t="s">
        <v>64007</v>
      </c>
      <c r="E10" s="33" t="s">
        <v>64008</v>
      </c>
      <c r="F10" s="33" t="s">
        <v>64009</v>
      </c>
      <c r="G10" s="12">
        <v>1</v>
      </c>
      <c r="H10" s="33" t="s">
        <v>63984</v>
      </c>
    </row>
    <row r="11" spans="1:8">
      <c r="A11" s="30" t="s">
        <v>64010</v>
      </c>
      <c r="B11" s="12">
        <v>2025</v>
      </c>
      <c r="C11" s="30" t="s">
        <v>63101</v>
      </c>
      <c r="D11" s="30" t="s">
        <v>64011</v>
      </c>
      <c r="E11" s="30" t="s">
        <v>64012</v>
      </c>
      <c r="F11" s="30" t="s">
        <v>64013</v>
      </c>
      <c r="G11" s="12">
        <v>2</v>
      </c>
      <c r="H11" s="30" t="s">
        <v>63984</v>
      </c>
    </row>
    <row r="12" spans="1:8">
      <c r="A12" s="33" t="s">
        <v>64010</v>
      </c>
      <c r="B12" s="12">
        <v>2025</v>
      </c>
      <c r="C12" s="33" t="s">
        <v>63101</v>
      </c>
      <c r="D12" s="33" t="s">
        <v>64014</v>
      </c>
      <c r="E12" s="33" t="s">
        <v>64015</v>
      </c>
      <c r="F12" s="33" t="s">
        <v>63991</v>
      </c>
      <c r="G12" s="12">
        <v>1</v>
      </c>
      <c r="H12" s="33" t="s">
        <v>63984</v>
      </c>
    </row>
    <row r="13" spans="1:8">
      <c r="A13" s="30" t="s">
        <v>64016</v>
      </c>
      <c r="B13" s="12">
        <v>2025</v>
      </c>
      <c r="C13" s="30" t="s">
        <v>63131</v>
      </c>
      <c r="D13" s="30" t="s">
        <v>64017</v>
      </c>
      <c r="E13" s="30" t="s">
        <v>64018</v>
      </c>
      <c r="F13" s="30" t="s">
        <v>63997</v>
      </c>
      <c r="G13" s="12">
        <v>1</v>
      </c>
      <c r="H13" s="30" t="s">
        <v>63984</v>
      </c>
    </row>
    <row r="14" spans="1:8">
      <c r="A14" s="33" t="s">
        <v>64016</v>
      </c>
      <c r="B14" s="12">
        <v>2025</v>
      </c>
      <c r="C14" s="33" t="s">
        <v>63131</v>
      </c>
      <c r="D14" s="33" t="s">
        <v>64019</v>
      </c>
      <c r="E14" s="33" t="s">
        <v>64020</v>
      </c>
      <c r="F14" s="33" t="s">
        <v>64021</v>
      </c>
      <c r="G14" s="12">
        <v>1</v>
      </c>
      <c r="H14" s="33" t="s">
        <v>63984</v>
      </c>
    </row>
    <row r="15" spans="1:8">
      <c r="A15" s="30" t="s">
        <v>64022</v>
      </c>
      <c r="B15" s="12">
        <v>2025</v>
      </c>
      <c r="C15" s="30" t="s">
        <v>63152</v>
      </c>
      <c r="D15" s="30" t="s">
        <v>64023</v>
      </c>
      <c r="E15" s="30" t="s">
        <v>64024</v>
      </c>
      <c r="F15" s="30" t="s">
        <v>64013</v>
      </c>
      <c r="G15" s="12">
        <v>2</v>
      </c>
      <c r="H15" s="30" t="s">
        <v>63984</v>
      </c>
    </row>
    <row r="16" spans="1:8">
      <c r="A16" s="33" t="s">
        <v>64022</v>
      </c>
      <c r="B16" s="12">
        <v>2025</v>
      </c>
      <c r="C16" s="33" t="s">
        <v>63152</v>
      </c>
      <c r="D16" s="33" t="s">
        <v>64025</v>
      </c>
      <c r="E16" s="33" t="s">
        <v>64026</v>
      </c>
      <c r="F16" s="33" t="s">
        <v>64027</v>
      </c>
      <c r="G16" s="12">
        <v>1</v>
      </c>
      <c r="H16" s="33" t="s">
        <v>63984</v>
      </c>
    </row>
    <row r="17" spans="1:8">
      <c r="A17" s="30" t="s">
        <v>64028</v>
      </c>
      <c r="B17" s="12">
        <v>2025</v>
      </c>
      <c r="C17" s="30" t="s">
        <v>63159</v>
      </c>
      <c r="D17" s="30" t="s">
        <v>64029</v>
      </c>
      <c r="E17" s="30" t="s">
        <v>64030</v>
      </c>
      <c r="F17" s="30" t="s">
        <v>64013</v>
      </c>
      <c r="G17" s="12">
        <v>2</v>
      </c>
      <c r="H17" s="30" t="s">
        <v>63984</v>
      </c>
    </row>
    <row r="18" spans="1:8">
      <c r="A18" s="33" t="s">
        <v>64028</v>
      </c>
      <c r="B18" s="12">
        <v>2025</v>
      </c>
      <c r="C18" s="33" t="s">
        <v>63159</v>
      </c>
      <c r="D18" s="33" t="s">
        <v>64031</v>
      </c>
      <c r="E18" s="33" t="s">
        <v>64032</v>
      </c>
      <c r="F18" s="33" t="s">
        <v>64013</v>
      </c>
      <c r="G18" s="12">
        <v>2</v>
      </c>
      <c r="H18" s="33" t="s">
        <v>63984</v>
      </c>
    </row>
    <row r="19" spans="1:8">
      <c r="A19" s="30" t="s">
        <v>64033</v>
      </c>
      <c r="B19" s="12">
        <v>2025</v>
      </c>
      <c r="C19" s="30" t="s">
        <v>63177</v>
      </c>
      <c r="D19" s="30" t="s">
        <v>64034</v>
      </c>
      <c r="E19" s="30" t="s">
        <v>64035</v>
      </c>
      <c r="F19" s="30" t="s">
        <v>64013</v>
      </c>
      <c r="G19" s="12">
        <v>2</v>
      </c>
      <c r="H19" s="30" t="s">
        <v>63984</v>
      </c>
    </row>
    <row r="20" spans="1:8">
      <c r="A20" s="33" t="s">
        <v>64036</v>
      </c>
      <c r="B20" s="12">
        <v>2025</v>
      </c>
      <c r="C20" s="33" t="s">
        <v>63195</v>
      </c>
      <c r="D20" s="33" t="s">
        <v>64037</v>
      </c>
      <c r="E20" s="33" t="s">
        <v>64038</v>
      </c>
      <c r="F20" s="33" t="s">
        <v>63987</v>
      </c>
      <c r="G20" s="12">
        <v>1</v>
      </c>
      <c r="H20" s="33" t="s">
        <v>63984</v>
      </c>
    </row>
    <row r="21" spans="1:8">
      <c r="A21" s="30" t="s">
        <v>63222</v>
      </c>
      <c r="B21" s="12">
        <v>2025</v>
      </c>
      <c r="C21" s="30" t="s">
        <v>63222</v>
      </c>
      <c r="D21" s="30" t="s">
        <v>64039</v>
      </c>
      <c r="E21" s="30" t="s">
        <v>64040</v>
      </c>
      <c r="F21" s="30" t="s">
        <v>64041</v>
      </c>
      <c r="G21" s="12">
        <v>1</v>
      </c>
      <c r="H21" s="30" t="s">
        <v>63984</v>
      </c>
    </row>
    <row r="22" spans="1:8">
      <c r="A22" s="33" t="s">
        <v>64042</v>
      </c>
      <c r="B22" s="12">
        <v>2025</v>
      </c>
      <c r="C22" s="33" t="s">
        <v>63237</v>
      </c>
      <c r="D22" s="33" t="s">
        <v>64043</v>
      </c>
      <c r="E22" s="33" t="s">
        <v>64044</v>
      </c>
      <c r="F22" s="33" t="s">
        <v>64045</v>
      </c>
      <c r="G22" s="12">
        <v>1</v>
      </c>
      <c r="H22" s="33" t="s">
        <v>63984</v>
      </c>
    </row>
    <row r="23" spans="1:8">
      <c r="A23" s="30" t="s">
        <v>64046</v>
      </c>
      <c r="B23" s="12">
        <v>2025</v>
      </c>
      <c r="C23" s="30" t="s">
        <v>63248</v>
      </c>
      <c r="D23" s="30" t="s">
        <v>64047</v>
      </c>
      <c r="E23" s="30" t="s">
        <v>64048</v>
      </c>
      <c r="F23" s="30" t="s">
        <v>64013</v>
      </c>
      <c r="G23" s="12">
        <v>2</v>
      </c>
      <c r="H23" s="30" t="s">
        <v>63984</v>
      </c>
    </row>
    <row r="24" spans="1:8">
      <c r="A24" s="33" t="s">
        <v>64046</v>
      </c>
      <c r="B24" s="12">
        <v>2025</v>
      </c>
      <c r="C24" s="33" t="s">
        <v>63248</v>
      </c>
      <c r="D24" s="33" t="s">
        <v>64049</v>
      </c>
      <c r="E24" s="33" t="s">
        <v>64050</v>
      </c>
      <c r="F24" s="33" t="s">
        <v>64051</v>
      </c>
      <c r="G24" s="12">
        <v>1</v>
      </c>
      <c r="H24" s="33" t="s">
        <v>63984</v>
      </c>
    </row>
    <row r="25" spans="1:8">
      <c r="A25" s="30" t="s">
        <v>64052</v>
      </c>
      <c r="B25" s="12">
        <v>2025</v>
      </c>
      <c r="C25" s="30" t="s">
        <v>63257</v>
      </c>
      <c r="D25" s="30" t="s">
        <v>64053</v>
      </c>
      <c r="E25" s="30" t="s">
        <v>64054</v>
      </c>
      <c r="F25" s="30" t="s">
        <v>64013</v>
      </c>
      <c r="G25" s="12">
        <v>2</v>
      </c>
      <c r="H25" s="30" t="s">
        <v>63984</v>
      </c>
    </row>
    <row r="26" spans="1:8">
      <c r="A26" s="33" t="s">
        <v>64052</v>
      </c>
      <c r="B26" s="12">
        <v>2025</v>
      </c>
      <c r="C26" s="33" t="s">
        <v>63257</v>
      </c>
      <c r="D26" s="33" t="s">
        <v>64055</v>
      </c>
      <c r="E26" s="33" t="s">
        <v>64056</v>
      </c>
      <c r="F26" s="33" t="s">
        <v>63987</v>
      </c>
      <c r="G26" s="12">
        <v>1</v>
      </c>
      <c r="H26" s="33" t="s">
        <v>63984</v>
      </c>
    </row>
    <row r="27" spans="1:8">
      <c r="A27" s="30" t="s">
        <v>64052</v>
      </c>
      <c r="B27" s="12">
        <v>2025</v>
      </c>
      <c r="C27" s="30" t="s">
        <v>63257</v>
      </c>
      <c r="D27" s="30" t="s">
        <v>64057</v>
      </c>
      <c r="E27" s="30" t="s">
        <v>64058</v>
      </c>
      <c r="F27" s="30" t="s">
        <v>64013</v>
      </c>
      <c r="G27" s="12">
        <v>2</v>
      </c>
      <c r="H27" s="30" t="s">
        <v>63984</v>
      </c>
    </row>
    <row r="28" spans="1:8">
      <c r="A28" s="33" t="s">
        <v>64059</v>
      </c>
      <c r="B28" s="12">
        <v>2025</v>
      </c>
      <c r="C28" s="33" t="s">
        <v>63268</v>
      </c>
      <c r="D28" s="33" t="s">
        <v>64060</v>
      </c>
      <c r="E28" s="33" t="s">
        <v>64061</v>
      </c>
      <c r="F28" s="33" t="s">
        <v>64062</v>
      </c>
      <c r="G28" s="12">
        <v>1</v>
      </c>
      <c r="H28" s="33" t="s">
        <v>63984</v>
      </c>
    </row>
    <row r="29" spans="1:8">
      <c r="A29" s="30" t="s">
        <v>64063</v>
      </c>
      <c r="B29" s="12">
        <v>2024</v>
      </c>
      <c r="C29" s="30" t="s">
        <v>63280</v>
      </c>
      <c r="D29" s="30" t="s">
        <v>64064</v>
      </c>
      <c r="E29" s="30" t="s">
        <v>64065</v>
      </c>
      <c r="F29" s="30" t="s">
        <v>64041</v>
      </c>
      <c r="G29" s="12">
        <v>1</v>
      </c>
      <c r="H29" s="30" t="s">
        <v>63984</v>
      </c>
    </row>
    <row r="30" spans="1:8">
      <c r="A30" s="33" t="s">
        <v>64066</v>
      </c>
      <c r="B30" s="12">
        <v>2024</v>
      </c>
      <c r="C30" s="33" t="s">
        <v>63301</v>
      </c>
      <c r="D30" s="33" t="s">
        <v>64067</v>
      </c>
      <c r="E30" s="33" t="s">
        <v>64068</v>
      </c>
      <c r="F30" s="33" t="s">
        <v>64041</v>
      </c>
      <c r="G30" s="12">
        <v>1</v>
      </c>
      <c r="H30" s="33" t="s">
        <v>63984</v>
      </c>
    </row>
    <row r="31" spans="1:8">
      <c r="A31" s="30" t="s">
        <v>64069</v>
      </c>
      <c r="B31" s="12">
        <v>2024</v>
      </c>
      <c r="C31" s="30" t="s">
        <v>63316</v>
      </c>
      <c r="D31" s="30" t="s">
        <v>64070</v>
      </c>
      <c r="E31" s="30" t="s">
        <v>64071</v>
      </c>
      <c r="F31" s="30" t="s">
        <v>64041</v>
      </c>
      <c r="G31" s="12">
        <v>1</v>
      </c>
      <c r="H31" s="30" t="s">
        <v>63984</v>
      </c>
    </row>
    <row r="32" spans="1:8">
      <c r="A32" s="33" t="s">
        <v>64072</v>
      </c>
      <c r="B32" s="12">
        <v>2024</v>
      </c>
      <c r="C32" s="33" t="s">
        <v>63325</v>
      </c>
      <c r="D32" s="33" t="s">
        <v>64073</v>
      </c>
      <c r="E32" s="33" t="s">
        <v>64074</v>
      </c>
      <c r="F32" s="33" t="s">
        <v>64041</v>
      </c>
      <c r="G32" s="12">
        <v>1</v>
      </c>
      <c r="H32" s="33" t="s">
        <v>63984</v>
      </c>
    </row>
    <row r="33" spans="1:8">
      <c r="A33" s="30" t="s">
        <v>64075</v>
      </c>
      <c r="B33" s="12">
        <v>2024</v>
      </c>
      <c r="C33" s="30" t="s">
        <v>63336</v>
      </c>
      <c r="D33" s="30" t="s">
        <v>64076</v>
      </c>
      <c r="E33" s="30" t="s">
        <v>64077</v>
      </c>
      <c r="F33" s="30" t="s">
        <v>64027</v>
      </c>
      <c r="G33" s="12">
        <v>1</v>
      </c>
      <c r="H33" s="30" t="s">
        <v>63984</v>
      </c>
    </row>
    <row r="34" spans="1:8">
      <c r="A34" s="33" t="s">
        <v>64075</v>
      </c>
      <c r="B34" s="12">
        <v>2024</v>
      </c>
      <c r="C34" s="33" t="s">
        <v>63336</v>
      </c>
      <c r="D34" s="33" t="s">
        <v>64078</v>
      </c>
      <c r="E34" s="33" t="s">
        <v>64079</v>
      </c>
      <c r="F34" s="33" t="s">
        <v>64027</v>
      </c>
      <c r="G34" s="12">
        <v>1</v>
      </c>
      <c r="H34" s="33" t="s">
        <v>63984</v>
      </c>
    </row>
    <row r="35" spans="1:8">
      <c r="A35" s="30" t="s">
        <v>64080</v>
      </c>
      <c r="B35" s="12">
        <v>2024</v>
      </c>
      <c r="C35" s="30" t="s">
        <v>63351</v>
      </c>
      <c r="D35" s="30" t="s">
        <v>64081</v>
      </c>
      <c r="E35" s="30" t="s">
        <v>64082</v>
      </c>
      <c r="F35" s="30" t="s">
        <v>64083</v>
      </c>
      <c r="G35" s="12">
        <v>1</v>
      </c>
      <c r="H35" s="30" t="s">
        <v>63984</v>
      </c>
    </row>
    <row r="36" spans="1:8">
      <c r="A36" s="33" t="s">
        <v>64084</v>
      </c>
      <c r="B36" s="12">
        <v>2024</v>
      </c>
      <c r="C36" s="33" t="s">
        <v>63356</v>
      </c>
      <c r="D36" s="33" t="s">
        <v>64085</v>
      </c>
      <c r="E36" s="33" t="s">
        <v>64086</v>
      </c>
      <c r="F36" s="33" t="s">
        <v>64027</v>
      </c>
      <c r="G36" s="12">
        <v>1</v>
      </c>
      <c r="H36" s="33" t="s">
        <v>63984</v>
      </c>
    </row>
    <row r="37" spans="1:8">
      <c r="A37" s="30" t="s">
        <v>64084</v>
      </c>
      <c r="B37" s="12">
        <v>2024</v>
      </c>
      <c r="C37" s="30" t="s">
        <v>63356</v>
      </c>
      <c r="D37" s="30" t="s">
        <v>64087</v>
      </c>
      <c r="E37" s="30" t="s">
        <v>64088</v>
      </c>
      <c r="F37" s="30" t="s">
        <v>64009</v>
      </c>
      <c r="G37" s="12">
        <v>1</v>
      </c>
      <c r="H37" s="30" t="s">
        <v>63984</v>
      </c>
    </row>
    <row r="38" spans="1:8">
      <c r="A38" s="33" t="s">
        <v>64084</v>
      </c>
      <c r="B38" s="12">
        <v>2024</v>
      </c>
      <c r="C38" s="33" t="s">
        <v>63356</v>
      </c>
      <c r="D38" s="33" t="s">
        <v>64089</v>
      </c>
      <c r="E38" s="33" t="s">
        <v>64090</v>
      </c>
      <c r="F38" s="33" t="s">
        <v>64041</v>
      </c>
      <c r="G38" s="12">
        <v>1</v>
      </c>
      <c r="H38" s="33" t="s">
        <v>63984</v>
      </c>
    </row>
    <row r="39" spans="1:8">
      <c r="A39" s="30" t="s">
        <v>63370</v>
      </c>
      <c r="B39" s="12">
        <v>2024</v>
      </c>
      <c r="C39" s="30" t="s">
        <v>63370</v>
      </c>
      <c r="D39" s="30" t="s">
        <v>64091</v>
      </c>
      <c r="E39" s="30" t="s">
        <v>64092</v>
      </c>
      <c r="F39" s="30" t="s">
        <v>64083</v>
      </c>
      <c r="G39" s="12">
        <v>1</v>
      </c>
      <c r="H39" s="30" t="s">
        <v>63984</v>
      </c>
    </row>
    <row r="40" spans="1:8">
      <c r="A40" s="33" t="s">
        <v>63370</v>
      </c>
      <c r="B40" s="12">
        <v>2024</v>
      </c>
      <c r="C40" s="33" t="s">
        <v>63370</v>
      </c>
      <c r="D40" s="33" t="s">
        <v>64093</v>
      </c>
      <c r="E40" s="33" t="s">
        <v>64094</v>
      </c>
      <c r="F40" s="33" t="s">
        <v>64027</v>
      </c>
      <c r="G40" s="12">
        <v>1</v>
      </c>
      <c r="H40" s="33" t="s">
        <v>63984</v>
      </c>
    </row>
    <row r="41" spans="1:8">
      <c r="A41" s="30" t="s">
        <v>63370</v>
      </c>
      <c r="B41" s="12">
        <v>2024</v>
      </c>
      <c r="C41" s="30" t="s">
        <v>63370</v>
      </c>
      <c r="D41" s="30" t="s">
        <v>64095</v>
      </c>
      <c r="E41" s="30" t="s">
        <v>64096</v>
      </c>
      <c r="F41" s="30" t="s">
        <v>64027</v>
      </c>
      <c r="G41" s="12">
        <v>1</v>
      </c>
      <c r="H41" s="30" t="s">
        <v>63984</v>
      </c>
    </row>
    <row r="42" spans="1:8">
      <c r="A42" s="33" t="s">
        <v>64097</v>
      </c>
      <c r="B42" s="12">
        <v>2024</v>
      </c>
      <c r="C42" s="33" t="s">
        <v>63376</v>
      </c>
      <c r="D42" s="33" t="s">
        <v>64098</v>
      </c>
      <c r="E42" s="33" t="s">
        <v>64099</v>
      </c>
      <c r="F42" s="33" t="s">
        <v>64100</v>
      </c>
      <c r="G42" s="12">
        <v>1</v>
      </c>
      <c r="H42" s="33" t="s">
        <v>63984</v>
      </c>
    </row>
    <row r="43" spans="1:8">
      <c r="A43" s="30" t="s">
        <v>64097</v>
      </c>
      <c r="B43" s="12">
        <v>2024</v>
      </c>
      <c r="C43" s="30" t="s">
        <v>63376</v>
      </c>
      <c r="D43" s="30" t="s">
        <v>64101</v>
      </c>
      <c r="E43" s="30" t="s">
        <v>64102</v>
      </c>
      <c r="F43" s="30" t="s">
        <v>64041</v>
      </c>
      <c r="G43" s="12">
        <v>1</v>
      </c>
      <c r="H43" s="30" t="s">
        <v>63984</v>
      </c>
    </row>
    <row r="44" spans="1:8">
      <c r="A44" s="33" t="s">
        <v>64103</v>
      </c>
      <c r="B44" s="12">
        <v>2024</v>
      </c>
      <c r="C44" s="33" t="s">
        <v>63389</v>
      </c>
      <c r="D44" s="33" t="s">
        <v>64104</v>
      </c>
      <c r="E44" s="33" t="s">
        <v>64105</v>
      </c>
      <c r="F44" s="33" t="s">
        <v>64062</v>
      </c>
      <c r="G44" s="12">
        <v>1</v>
      </c>
      <c r="H44" s="33" t="s">
        <v>63984</v>
      </c>
    </row>
    <row r="45" spans="1:8">
      <c r="A45" s="30" t="s">
        <v>64103</v>
      </c>
      <c r="B45" s="12">
        <v>2024</v>
      </c>
      <c r="C45" s="30" t="s">
        <v>63389</v>
      </c>
      <c r="D45" s="30" t="s">
        <v>64106</v>
      </c>
      <c r="E45" s="30" t="s">
        <v>64107</v>
      </c>
      <c r="F45" s="30" t="s">
        <v>64013</v>
      </c>
      <c r="G45" s="12">
        <v>2</v>
      </c>
      <c r="H45" s="30" t="s">
        <v>63984</v>
      </c>
    </row>
    <row r="46" spans="1:8">
      <c r="A46" s="33" t="s">
        <v>64108</v>
      </c>
      <c r="B46" s="12">
        <v>2024</v>
      </c>
      <c r="C46" s="33" t="s">
        <v>63408</v>
      </c>
      <c r="D46" s="33" t="s">
        <v>64109</v>
      </c>
      <c r="E46" s="33" t="s">
        <v>64110</v>
      </c>
      <c r="F46" s="33" t="s">
        <v>64111</v>
      </c>
      <c r="G46" s="12">
        <v>1</v>
      </c>
      <c r="H46" s="33" t="s">
        <v>63984</v>
      </c>
    </row>
    <row r="47" spans="1:8">
      <c r="A47" s="30" t="s">
        <v>64112</v>
      </c>
      <c r="B47" s="12">
        <v>2023</v>
      </c>
      <c r="C47" s="30" t="s">
        <v>63430</v>
      </c>
      <c r="D47" s="30" t="s">
        <v>64113</v>
      </c>
      <c r="E47" s="30" t="s">
        <v>64114</v>
      </c>
      <c r="F47" s="30" t="s">
        <v>64045</v>
      </c>
      <c r="G47" s="12">
        <v>1</v>
      </c>
      <c r="H47" s="30" t="s">
        <v>63984</v>
      </c>
    </row>
    <row r="48" spans="1:8">
      <c r="A48" s="33" t="s">
        <v>64115</v>
      </c>
      <c r="B48" s="12">
        <v>2023</v>
      </c>
      <c r="C48" s="33" t="s">
        <v>63461</v>
      </c>
      <c r="D48" s="33" t="s">
        <v>64116</v>
      </c>
      <c r="E48" s="33" t="s">
        <v>64117</v>
      </c>
      <c r="F48" s="33" t="s">
        <v>64041</v>
      </c>
      <c r="G48" s="12">
        <v>1</v>
      </c>
      <c r="H48" s="33" t="s">
        <v>63984</v>
      </c>
    </row>
    <row r="49" spans="1:8">
      <c r="A49" s="30" t="s">
        <v>64118</v>
      </c>
      <c r="B49" s="12">
        <v>2023</v>
      </c>
      <c r="C49" s="30" t="s">
        <v>63478</v>
      </c>
      <c r="D49" s="30" t="s">
        <v>64119</v>
      </c>
      <c r="E49" s="30" t="s">
        <v>64120</v>
      </c>
      <c r="F49" s="30" t="s">
        <v>64062</v>
      </c>
      <c r="G49" s="12">
        <v>1</v>
      </c>
      <c r="H49" s="30" t="s">
        <v>63984</v>
      </c>
    </row>
    <row r="50" spans="1:8">
      <c r="A50" s="33" t="s">
        <v>64121</v>
      </c>
      <c r="B50" s="12">
        <v>2023</v>
      </c>
      <c r="C50" s="33" t="s">
        <v>63489</v>
      </c>
      <c r="D50" s="33" t="s">
        <v>64122</v>
      </c>
      <c r="E50" s="33" t="s">
        <v>64123</v>
      </c>
      <c r="F50" s="33" t="s">
        <v>64124</v>
      </c>
      <c r="G50" s="12">
        <v>1</v>
      </c>
      <c r="H50" s="33" t="s">
        <v>63984</v>
      </c>
    </row>
    <row r="51" spans="1:8">
      <c r="A51" s="30" t="s">
        <v>63531</v>
      </c>
      <c r="B51" s="12">
        <v>2023</v>
      </c>
      <c r="C51" s="30" t="s">
        <v>63531</v>
      </c>
      <c r="D51" s="30" t="s">
        <v>64125</v>
      </c>
      <c r="E51" s="30" t="s">
        <v>64126</v>
      </c>
      <c r="F51" s="30" t="s">
        <v>64111</v>
      </c>
      <c r="G51" s="12">
        <v>1</v>
      </c>
      <c r="H51" s="30" t="s">
        <v>63984</v>
      </c>
    </row>
    <row r="52" spans="1:8">
      <c r="A52" s="33" t="s">
        <v>64127</v>
      </c>
      <c r="B52" s="12">
        <v>2022</v>
      </c>
      <c r="C52" s="33" t="s">
        <v>63594</v>
      </c>
      <c r="D52" s="33" t="s">
        <v>64128</v>
      </c>
      <c r="E52" s="33" t="s">
        <v>64129</v>
      </c>
      <c r="F52" s="33" t="s">
        <v>64111</v>
      </c>
      <c r="G52" s="12">
        <v>1</v>
      </c>
      <c r="H52" s="33" t="s">
        <v>63984</v>
      </c>
    </row>
    <row r="53" spans="1:8">
      <c r="A53" s="30" t="s">
        <v>64130</v>
      </c>
      <c r="B53" s="12">
        <v>2022</v>
      </c>
      <c r="C53" s="30" t="s">
        <v>63628</v>
      </c>
      <c r="D53" s="30" t="s">
        <v>64131</v>
      </c>
      <c r="E53" s="30" t="s">
        <v>64132</v>
      </c>
      <c r="F53" s="30" t="s">
        <v>64045</v>
      </c>
      <c r="G53" s="12">
        <v>1</v>
      </c>
      <c r="H53" s="30" t="s">
        <v>63984</v>
      </c>
    </row>
    <row r="54" spans="1:8">
      <c r="A54" s="33" t="s">
        <v>64130</v>
      </c>
      <c r="B54" s="12">
        <v>2022</v>
      </c>
      <c r="C54" s="33" t="s">
        <v>63628</v>
      </c>
      <c r="D54" s="33" t="s">
        <v>64133</v>
      </c>
      <c r="E54" s="33" t="s">
        <v>64134</v>
      </c>
      <c r="F54" s="33" t="s">
        <v>64135</v>
      </c>
      <c r="G54" s="12">
        <v>1</v>
      </c>
      <c r="H54" s="33" t="s">
        <v>63984</v>
      </c>
    </row>
    <row r="55" spans="1:8">
      <c r="A55" s="30" t="s">
        <v>64136</v>
      </c>
      <c r="B55" s="12">
        <v>2022</v>
      </c>
      <c r="C55" s="30" t="s">
        <v>63649</v>
      </c>
      <c r="D55" s="30" t="s">
        <v>64137</v>
      </c>
      <c r="E55" s="30" t="s">
        <v>64138</v>
      </c>
      <c r="F55" s="30" t="s">
        <v>63991</v>
      </c>
      <c r="G55" s="12">
        <v>1</v>
      </c>
      <c r="H55" s="30" t="s">
        <v>63984</v>
      </c>
    </row>
    <row r="56" spans="1:8">
      <c r="A56" s="33" t="s">
        <v>63662</v>
      </c>
      <c r="B56" s="12">
        <v>2022</v>
      </c>
      <c r="C56" s="33" t="s">
        <v>63662</v>
      </c>
      <c r="D56" s="33" t="s">
        <v>64139</v>
      </c>
      <c r="E56" s="33" t="s">
        <v>64140</v>
      </c>
      <c r="F56" s="33" t="s">
        <v>63997</v>
      </c>
      <c r="G56" s="12">
        <v>1</v>
      </c>
      <c r="H56" s="33" t="s">
        <v>63984</v>
      </c>
    </row>
    <row r="57" spans="1:8">
      <c r="A57" s="30" t="s">
        <v>64141</v>
      </c>
      <c r="B57" s="12">
        <v>2022</v>
      </c>
      <c r="C57" s="30" t="s">
        <v>63675</v>
      </c>
      <c r="D57" s="30" t="s">
        <v>64142</v>
      </c>
      <c r="E57" s="30" t="s">
        <v>64143</v>
      </c>
      <c r="F57" s="30" t="s">
        <v>64045</v>
      </c>
      <c r="G57" s="12">
        <v>1</v>
      </c>
      <c r="H57" s="30" t="s">
        <v>63984</v>
      </c>
    </row>
    <row r="58" spans="1:8">
      <c r="A58" s="33" t="s">
        <v>64144</v>
      </c>
      <c r="B58" s="12">
        <v>2022</v>
      </c>
      <c r="C58" s="33" t="s">
        <v>63686</v>
      </c>
      <c r="D58" s="33" t="s">
        <v>64145</v>
      </c>
      <c r="E58" s="33" t="s">
        <v>64146</v>
      </c>
      <c r="F58" s="33" t="s">
        <v>64009</v>
      </c>
      <c r="G58" s="12">
        <v>1</v>
      </c>
      <c r="H58" s="33" t="s">
        <v>63984</v>
      </c>
    </row>
    <row r="59" spans="1:8">
      <c r="A59" s="30" t="s">
        <v>64147</v>
      </c>
      <c r="B59" s="12">
        <v>2021</v>
      </c>
      <c r="C59" s="30" t="s">
        <v>63707</v>
      </c>
      <c r="D59" s="30" t="s">
        <v>64148</v>
      </c>
      <c r="E59" s="30" t="s">
        <v>64149</v>
      </c>
      <c r="F59" s="30" t="s">
        <v>64111</v>
      </c>
      <c r="G59" s="12">
        <v>1</v>
      </c>
      <c r="H59" s="30" t="s">
        <v>63984</v>
      </c>
    </row>
    <row r="60" spans="1:8">
      <c r="A60" s="33" t="s">
        <v>64147</v>
      </c>
      <c r="B60" s="12">
        <v>2021</v>
      </c>
      <c r="C60" s="33" t="s">
        <v>63707</v>
      </c>
      <c r="D60" s="33" t="s">
        <v>64150</v>
      </c>
      <c r="E60" s="33" t="s">
        <v>64151</v>
      </c>
      <c r="F60" s="33" t="s">
        <v>64001</v>
      </c>
      <c r="G60" s="12">
        <v>1</v>
      </c>
      <c r="H60" s="33" t="s">
        <v>63984</v>
      </c>
    </row>
    <row r="61" spans="1:8">
      <c r="A61" s="30" t="s">
        <v>64152</v>
      </c>
      <c r="B61" s="12">
        <v>2021</v>
      </c>
      <c r="C61" s="30" t="s">
        <v>63735</v>
      </c>
      <c r="D61" s="30" t="s">
        <v>64153</v>
      </c>
      <c r="E61" s="30" t="s">
        <v>64154</v>
      </c>
      <c r="F61" s="30" t="s">
        <v>63991</v>
      </c>
      <c r="G61" s="12">
        <v>1</v>
      </c>
      <c r="H61" s="30" t="s">
        <v>63984</v>
      </c>
    </row>
    <row r="62" spans="1:8">
      <c r="A62" s="33" t="s">
        <v>64155</v>
      </c>
      <c r="B62" s="12">
        <v>2021</v>
      </c>
      <c r="C62" s="33" t="s">
        <v>63759</v>
      </c>
      <c r="D62" s="33" t="s">
        <v>64156</v>
      </c>
      <c r="E62" s="33" t="s">
        <v>64157</v>
      </c>
      <c r="F62" s="33" t="s">
        <v>64158</v>
      </c>
      <c r="G62" s="12">
        <v>1</v>
      </c>
      <c r="H62" s="33" t="s">
        <v>63984</v>
      </c>
    </row>
    <row r="63" spans="1:8">
      <c r="A63" s="30" t="s">
        <v>64159</v>
      </c>
      <c r="B63" s="12">
        <v>2020</v>
      </c>
      <c r="C63" s="30" t="s">
        <v>63843</v>
      </c>
      <c r="D63" s="30" t="s">
        <v>64160</v>
      </c>
      <c r="E63" s="30" t="s">
        <v>64161</v>
      </c>
      <c r="F63" s="30" t="s">
        <v>63983</v>
      </c>
      <c r="G63" s="12">
        <v>1</v>
      </c>
      <c r="H63" s="30" t="s">
        <v>63984</v>
      </c>
    </row>
    <row r="64" spans="1:8">
      <c r="A64" s="33" t="s">
        <v>64162</v>
      </c>
      <c r="B64" s="12">
        <v>2020</v>
      </c>
      <c r="C64" s="33" t="s">
        <v>63893</v>
      </c>
      <c r="D64" s="33" t="s">
        <v>64163</v>
      </c>
      <c r="E64" s="33" t="s">
        <v>64164</v>
      </c>
      <c r="F64" s="33" t="s">
        <v>64111</v>
      </c>
      <c r="G64" s="12">
        <v>1</v>
      </c>
      <c r="H64" s="33" t="s">
        <v>63984</v>
      </c>
    </row>
    <row r="65" spans="1:8">
      <c r="A65" s="30" t="s">
        <v>64165</v>
      </c>
      <c r="B65" s="12">
        <v>2020</v>
      </c>
      <c r="C65" s="30" t="s">
        <v>63907</v>
      </c>
      <c r="D65" s="30" t="s">
        <v>64166</v>
      </c>
      <c r="E65" s="30" t="s">
        <v>64167</v>
      </c>
      <c r="F65" s="30" t="s">
        <v>63997</v>
      </c>
      <c r="G65" s="12">
        <v>1</v>
      </c>
      <c r="H65" s="30" t="s">
        <v>63984</v>
      </c>
    </row>
  </sheetData>
  <autoFilter ref="A2:H65"/>
  <hyperlinks>
    <hyperlink ref="H3" r:id="rId1"/>
    <hyperlink ref="H4" r:id="rId2"/>
    <hyperlink ref="H5" r:id="rId3"/>
    <hyperlink ref="H6" r:id="rId4"/>
    <hyperlink ref="H7" r:id="rId5"/>
    <hyperlink ref="H8" r:id="rId6"/>
    <hyperlink ref="H9" r:id="rId7"/>
    <hyperlink ref="H10" r:id="rId8"/>
    <hyperlink ref="H11" r:id="rId9"/>
    <hyperlink ref="H12" r:id="rId10"/>
    <hyperlink ref="H13" r:id="rId11"/>
    <hyperlink ref="H14" r:id="rId12"/>
    <hyperlink ref="H15" r:id="rId13"/>
    <hyperlink ref="H16" r:id="rId14"/>
    <hyperlink ref="H17" r:id="rId15"/>
    <hyperlink ref="H18" r:id="rId16"/>
    <hyperlink ref="H19" r:id="rId17"/>
    <hyperlink ref="H20" r:id="rId18"/>
    <hyperlink ref="H21" r:id="rId19"/>
    <hyperlink ref="H22" r:id="rId20"/>
    <hyperlink ref="H23" r:id="rId21"/>
    <hyperlink ref="H24" r:id="rId22"/>
    <hyperlink ref="H25" r:id="rId23"/>
    <hyperlink ref="H26" r:id="rId24"/>
    <hyperlink ref="H27" r:id="rId25"/>
    <hyperlink ref="H28" r:id="rId26"/>
    <hyperlink ref="H29" r:id="rId27"/>
    <hyperlink ref="H30" r:id="rId28"/>
    <hyperlink ref="H31" r:id="rId29"/>
    <hyperlink ref="H32" r:id="rId30"/>
    <hyperlink ref="H33" r:id="rId31"/>
    <hyperlink ref="H34" r:id="rId32"/>
    <hyperlink ref="H35" r:id="rId33"/>
    <hyperlink ref="H36" r:id="rId34"/>
    <hyperlink ref="H37" r:id="rId35"/>
    <hyperlink ref="H38" r:id="rId36"/>
    <hyperlink ref="H39" r:id="rId37"/>
    <hyperlink ref="H40" r:id="rId38"/>
    <hyperlink ref="H41" r:id="rId39"/>
    <hyperlink ref="H42" r:id="rId40"/>
    <hyperlink ref="H43" r:id="rId41"/>
    <hyperlink ref="H44" r:id="rId42"/>
    <hyperlink ref="H45" r:id="rId43"/>
    <hyperlink ref="H46" r:id="rId44"/>
    <hyperlink ref="H47" r:id="rId45"/>
    <hyperlink ref="H48" r:id="rId46"/>
    <hyperlink ref="H49" r:id="rId47"/>
    <hyperlink ref="H50" r:id="rId48"/>
    <hyperlink ref="H51" r:id="rId49"/>
    <hyperlink ref="H52" r:id="rId50"/>
    <hyperlink ref="H53" r:id="rId51"/>
    <hyperlink ref="H54" r:id="rId52"/>
    <hyperlink ref="H55" r:id="rId53"/>
    <hyperlink ref="H56" r:id="rId54"/>
    <hyperlink ref="H57" r:id="rId55"/>
    <hyperlink ref="H58" r:id="rId56"/>
    <hyperlink ref="H59" r:id="rId57"/>
    <hyperlink ref="H60" r:id="rId58"/>
    <hyperlink ref="H61" r:id="rId59"/>
    <hyperlink ref="H62" r:id="rId60"/>
    <hyperlink ref="H63" r:id="rId61"/>
    <hyperlink ref="H64" r:id="rId62"/>
    <hyperlink ref="H65" r:id="rId63"/>
  </hyperlinks>
  <pageMargins left="0.7" right="0.7" top="0.75" bottom="0.75" header="0.3" footer="0.3"/>
</worksheet>
</file>

<file path=xl/worksheets/sheet16.xml><?xml version="1.0" encoding="utf-8"?>
<worksheet xmlns="http://schemas.openxmlformats.org/spreadsheetml/2006/main" xmlns:r="http://schemas.openxmlformats.org/officeDocument/2006/relationships">
  <sheetPr>
    <tabColor rgb="FFBDD7EE"/>
  </sheetPr>
  <dimension ref="A1:I91"/>
  <sheetViews>
    <sheetView workbookViewId="0">
      <pane ySplit="1" topLeftCell="A2" activePane="bottomLeft" state="frozen"/>
      <selection pane="bottomLeft"/>
    </sheetView>
  </sheetViews>
  <sheetFormatPr defaultRowHeight="15"/>
  <cols>
    <col min="1" max="1" width="18.7109375" customWidth="1"/>
    <col min="2" max="3" width="40.7109375" customWidth="1"/>
    <col min="4" max="6" width="22.7109375" customWidth="1"/>
    <col min="7" max="7" width="12.7109375" customWidth="1"/>
    <col min="8" max="9" width="14.7109375" customWidth="1"/>
  </cols>
  <sheetData>
    <row r="1" spans="1:9">
      <c r="A1" s="29" t="s">
        <v>64192</v>
      </c>
      <c r="B1" s="29" t="s">
        <v>64193</v>
      </c>
      <c r="C1" s="29" t="s">
        <v>64194</v>
      </c>
      <c r="D1" s="29" t="s">
        <v>64195</v>
      </c>
      <c r="E1" s="29" t="s">
        <v>64196</v>
      </c>
      <c r="F1" s="29" t="s">
        <v>64197</v>
      </c>
      <c r="G1" s="29" t="s">
        <v>64198</v>
      </c>
      <c r="H1" s="29" t="s">
        <v>64199</v>
      </c>
      <c r="I1" s="29" t="s">
        <v>64200</v>
      </c>
    </row>
    <row r="2" spans="1:9">
      <c r="A2" s="41">
        <v>43496</v>
      </c>
      <c r="B2" s="30" t="s">
        <v>64201</v>
      </c>
      <c r="C2" s="30" t="s">
        <v>64202</v>
      </c>
      <c r="D2" s="31">
        <v>2854217162.62</v>
      </c>
      <c r="E2" s="31">
        <v>11889224820.31</v>
      </c>
      <c r="F2" s="31">
        <v>11031096525.39</v>
      </c>
      <c r="G2" s="32">
        <v>2019</v>
      </c>
      <c r="H2" s="32">
        <v>2019</v>
      </c>
      <c r="I2" s="32">
        <v>1</v>
      </c>
    </row>
    <row r="3" spans="1:9">
      <c r="A3" s="42">
        <v>43524</v>
      </c>
      <c r="B3" s="33" t="s">
        <v>64201</v>
      </c>
      <c r="C3" s="33" t="s">
        <v>64202</v>
      </c>
      <c r="D3" s="34">
        <v>2699513591.84</v>
      </c>
      <c r="E3" s="34">
        <v>14588738412.15</v>
      </c>
      <c r="F3" s="34">
        <v>13603893853.22</v>
      </c>
      <c r="G3" s="35">
        <v>2019</v>
      </c>
      <c r="H3" s="35">
        <v>2019</v>
      </c>
      <c r="I3" s="35">
        <v>2</v>
      </c>
    </row>
    <row r="4" spans="1:9">
      <c r="A4" s="41">
        <v>43555</v>
      </c>
      <c r="B4" s="30" t="s">
        <v>64201</v>
      </c>
      <c r="C4" s="30" t="s">
        <v>64202</v>
      </c>
      <c r="D4" s="31">
        <v>2835237200.96</v>
      </c>
      <c r="E4" s="31">
        <v>17423975613.11</v>
      </c>
      <c r="F4" s="31">
        <v>16393678944.12</v>
      </c>
      <c r="G4" s="32">
        <v>2019</v>
      </c>
      <c r="H4" s="32">
        <v>2019</v>
      </c>
      <c r="I4" s="32">
        <v>3</v>
      </c>
    </row>
    <row r="5" spans="1:9">
      <c r="A5" s="42">
        <v>43585</v>
      </c>
      <c r="B5" s="33" t="s">
        <v>64201</v>
      </c>
      <c r="C5" s="33" t="s">
        <v>64202</v>
      </c>
      <c r="D5" s="34">
        <v>3041447399.92</v>
      </c>
      <c r="E5" s="34">
        <v>20465423013.03</v>
      </c>
      <c r="F5" s="34">
        <v>18988413580.63</v>
      </c>
      <c r="G5" s="35">
        <v>2019</v>
      </c>
      <c r="H5" s="35">
        <v>2019</v>
      </c>
      <c r="I5" s="35">
        <v>4</v>
      </c>
    </row>
    <row r="6" spans="1:9">
      <c r="A6" s="41">
        <v>43616</v>
      </c>
      <c r="B6" s="30" t="s">
        <v>64201</v>
      </c>
      <c r="C6" s="30" t="s">
        <v>64202</v>
      </c>
      <c r="D6" s="31">
        <v>3020399330.81</v>
      </c>
      <c r="E6" s="31">
        <v>23485822343.84</v>
      </c>
      <c r="F6" s="31">
        <v>21790786399.5</v>
      </c>
      <c r="G6" s="32">
        <v>2019</v>
      </c>
      <c r="H6" s="32">
        <v>2019</v>
      </c>
      <c r="I6" s="32">
        <v>5</v>
      </c>
    </row>
    <row r="7" spans="1:9">
      <c r="A7" s="42">
        <v>43646</v>
      </c>
      <c r="B7" s="33" t="s">
        <v>64201</v>
      </c>
      <c r="C7" s="33" t="s">
        <v>64202</v>
      </c>
      <c r="D7" s="34">
        <v>2979770679.49</v>
      </c>
      <c r="E7" s="34">
        <v>26465593023.33</v>
      </c>
      <c r="F7" s="34">
        <v>24796179281.35</v>
      </c>
      <c r="G7" s="35">
        <v>2019</v>
      </c>
      <c r="H7" s="35">
        <v>2019</v>
      </c>
      <c r="I7" s="35">
        <v>6</v>
      </c>
    </row>
    <row r="8" spans="1:9">
      <c r="A8" s="41">
        <v>43677</v>
      </c>
      <c r="B8" s="30" t="s">
        <v>64201</v>
      </c>
      <c r="C8" s="30" t="s">
        <v>64202</v>
      </c>
      <c r="D8" s="31">
        <v>3042520897.86</v>
      </c>
      <c r="E8" s="31">
        <v>29508113921.19</v>
      </c>
      <c r="F8" s="31">
        <v>27490977725.64</v>
      </c>
      <c r="G8" s="32">
        <v>2019</v>
      </c>
      <c r="H8" s="32">
        <v>2019</v>
      </c>
      <c r="I8" s="32">
        <v>7</v>
      </c>
    </row>
    <row r="9" spans="1:9">
      <c r="A9" s="42">
        <v>43708</v>
      </c>
      <c r="B9" s="33" t="s">
        <v>64201</v>
      </c>
      <c r="C9" s="33" t="s">
        <v>64202</v>
      </c>
      <c r="D9" s="34">
        <v>2921053892.72</v>
      </c>
      <c r="E9" s="34">
        <v>32429167813.91</v>
      </c>
      <c r="F9" s="34">
        <v>30358028049.18</v>
      </c>
      <c r="G9" s="35">
        <v>2019</v>
      </c>
      <c r="H9" s="35">
        <v>2019</v>
      </c>
      <c r="I9" s="35">
        <v>8</v>
      </c>
    </row>
    <row r="10" spans="1:9">
      <c r="A10" s="41">
        <v>43738</v>
      </c>
      <c r="B10" s="30" t="s">
        <v>64201</v>
      </c>
      <c r="C10" s="30" t="s">
        <v>64202</v>
      </c>
      <c r="D10" s="31">
        <v>3196802912.15</v>
      </c>
      <c r="E10" s="31">
        <v>35625970726.06</v>
      </c>
      <c r="F10" s="31">
        <v>33212270846.3</v>
      </c>
      <c r="G10" s="32">
        <v>2019</v>
      </c>
      <c r="H10" s="32">
        <v>2019</v>
      </c>
      <c r="I10" s="32">
        <v>9</v>
      </c>
    </row>
    <row r="11" spans="1:9">
      <c r="A11" s="42">
        <v>43769</v>
      </c>
      <c r="B11" s="33" t="s">
        <v>64201</v>
      </c>
      <c r="C11" s="33" t="s">
        <v>64202</v>
      </c>
      <c r="D11" s="34">
        <v>3179478960.76</v>
      </c>
      <c r="E11" s="34">
        <v>3179478960.76</v>
      </c>
      <c r="F11" s="34">
        <v>2629329231.47</v>
      </c>
      <c r="G11" s="35">
        <v>2020</v>
      </c>
      <c r="H11" s="35">
        <v>2019</v>
      </c>
      <c r="I11" s="35">
        <v>10</v>
      </c>
    </row>
    <row r="12" spans="1:9">
      <c r="A12" s="41">
        <v>43799</v>
      </c>
      <c r="B12" s="30" t="s">
        <v>64201</v>
      </c>
      <c r="C12" s="30" t="s">
        <v>64202</v>
      </c>
      <c r="D12" s="31">
        <v>3109864846.86</v>
      </c>
      <c r="E12" s="31">
        <v>6289343807.62</v>
      </c>
      <c r="F12" s="31">
        <v>6289240630.54</v>
      </c>
      <c r="G12" s="32">
        <v>2020</v>
      </c>
      <c r="H12" s="32">
        <v>2019</v>
      </c>
      <c r="I12" s="32">
        <v>11</v>
      </c>
    </row>
    <row r="13" spans="1:9">
      <c r="A13" s="42">
        <v>43830</v>
      </c>
      <c r="B13" s="33" t="s">
        <v>64201</v>
      </c>
      <c r="C13" s="33" t="s">
        <v>64202</v>
      </c>
      <c r="D13" s="34">
        <v>3001796062.24</v>
      </c>
      <c r="E13" s="34">
        <v>9291139869.860001</v>
      </c>
      <c r="F13" s="34">
        <v>9035007657.690001</v>
      </c>
      <c r="G13" s="35">
        <v>2020</v>
      </c>
      <c r="H13" s="35">
        <v>2019</v>
      </c>
      <c r="I13" s="35">
        <v>12</v>
      </c>
    </row>
    <row r="14" spans="1:9">
      <c r="A14" s="41">
        <v>43861</v>
      </c>
      <c r="B14" s="30" t="s">
        <v>64201</v>
      </c>
      <c r="C14" s="30" t="s">
        <v>64202</v>
      </c>
      <c r="D14" s="31">
        <v>2932349157.88</v>
      </c>
      <c r="E14" s="31">
        <v>12223489027.74</v>
      </c>
      <c r="F14" s="31">
        <v>11889224820.31</v>
      </c>
      <c r="G14" s="32">
        <v>2020</v>
      </c>
      <c r="H14" s="32">
        <v>2020</v>
      </c>
      <c r="I14" s="32">
        <v>1</v>
      </c>
    </row>
    <row r="15" spans="1:9">
      <c r="A15" s="42">
        <v>43890</v>
      </c>
      <c r="B15" s="33" t="s">
        <v>64201</v>
      </c>
      <c r="C15" s="33" t="s">
        <v>64202</v>
      </c>
      <c r="D15" s="34">
        <v>3059031829.04</v>
      </c>
      <c r="E15" s="34">
        <v>15282520856.78</v>
      </c>
      <c r="F15" s="34">
        <v>14588738412.15</v>
      </c>
      <c r="G15" s="35">
        <v>2020</v>
      </c>
      <c r="H15" s="35">
        <v>2020</v>
      </c>
      <c r="I15" s="35">
        <v>2</v>
      </c>
    </row>
    <row r="16" spans="1:9">
      <c r="A16" s="41">
        <v>43921</v>
      </c>
      <c r="B16" s="30" t="s">
        <v>64201</v>
      </c>
      <c r="C16" s="30" t="s">
        <v>64202</v>
      </c>
      <c r="D16" s="31">
        <v>3239892243.95</v>
      </c>
      <c r="E16" s="31">
        <v>18522413100.73</v>
      </c>
      <c r="F16" s="31">
        <v>17423975613.11</v>
      </c>
      <c r="G16" s="32">
        <v>2020</v>
      </c>
      <c r="H16" s="32">
        <v>2020</v>
      </c>
      <c r="I16" s="32">
        <v>3</v>
      </c>
    </row>
    <row r="17" spans="1:9">
      <c r="A17" s="42">
        <v>43951</v>
      </c>
      <c r="B17" s="33" t="s">
        <v>64201</v>
      </c>
      <c r="C17" s="33" t="s">
        <v>64202</v>
      </c>
      <c r="D17" s="34">
        <v>2886228244.12</v>
      </c>
      <c r="E17" s="34">
        <v>21408641344.85</v>
      </c>
      <c r="F17" s="34">
        <v>20465423013.03</v>
      </c>
      <c r="G17" s="35">
        <v>2020</v>
      </c>
      <c r="H17" s="35">
        <v>2020</v>
      </c>
      <c r="I17" s="35">
        <v>4</v>
      </c>
    </row>
    <row r="18" spans="1:9">
      <c r="A18" s="41">
        <v>43982</v>
      </c>
      <c r="B18" s="30" t="s">
        <v>64201</v>
      </c>
      <c r="C18" s="30" t="s">
        <v>64202</v>
      </c>
      <c r="D18" s="31">
        <v>2845440628.52</v>
      </c>
      <c r="E18" s="31">
        <v>24254081973.37</v>
      </c>
      <c r="F18" s="31">
        <v>23485822343.84</v>
      </c>
      <c r="G18" s="32">
        <v>2020</v>
      </c>
      <c r="H18" s="32">
        <v>2020</v>
      </c>
      <c r="I18" s="32">
        <v>5</v>
      </c>
    </row>
    <row r="19" spans="1:9">
      <c r="A19" s="42">
        <v>44012</v>
      </c>
      <c r="B19" s="33" t="s">
        <v>64201</v>
      </c>
      <c r="C19" s="33" t="s">
        <v>64202</v>
      </c>
      <c r="D19" s="34">
        <v>3207906393.6</v>
      </c>
      <c r="E19" s="34">
        <v>27461988366.97</v>
      </c>
      <c r="F19" s="34">
        <v>26465593023.33</v>
      </c>
      <c r="G19" s="35">
        <v>2020</v>
      </c>
      <c r="H19" s="35">
        <v>2020</v>
      </c>
      <c r="I19" s="35">
        <v>6</v>
      </c>
    </row>
    <row r="20" spans="1:9">
      <c r="A20" s="41">
        <v>44043</v>
      </c>
      <c r="B20" s="30" t="s">
        <v>64201</v>
      </c>
      <c r="C20" s="30" t="s">
        <v>64202</v>
      </c>
      <c r="D20" s="31">
        <v>2918501865.06</v>
      </c>
      <c r="E20" s="31">
        <v>30380490232.03</v>
      </c>
      <c r="F20" s="31">
        <v>29508113921.19</v>
      </c>
      <c r="G20" s="32">
        <v>2020</v>
      </c>
      <c r="H20" s="32">
        <v>2020</v>
      </c>
      <c r="I20" s="32">
        <v>7</v>
      </c>
    </row>
    <row r="21" spans="1:9">
      <c r="A21" s="42">
        <v>44074</v>
      </c>
      <c r="B21" s="33" t="s">
        <v>64201</v>
      </c>
      <c r="C21" s="33" t="s">
        <v>64202</v>
      </c>
      <c r="D21" s="34">
        <v>2495010177.75</v>
      </c>
      <c r="E21" s="34">
        <v>32875500409.78</v>
      </c>
      <c r="F21" s="34">
        <v>32429167813.91</v>
      </c>
      <c r="G21" s="35">
        <v>2020</v>
      </c>
      <c r="H21" s="35">
        <v>2020</v>
      </c>
      <c r="I21" s="35">
        <v>8</v>
      </c>
    </row>
    <row r="22" spans="1:9">
      <c r="A22" s="41">
        <v>44104</v>
      </c>
      <c r="B22" s="30" t="s">
        <v>64201</v>
      </c>
      <c r="C22" s="30" t="s">
        <v>64202</v>
      </c>
      <c r="D22" s="31">
        <v>3511836008.86</v>
      </c>
      <c r="E22" s="31">
        <v>36387336418.64</v>
      </c>
      <c r="F22" s="31">
        <v>35625970726.06</v>
      </c>
      <c r="G22" s="32">
        <v>2020</v>
      </c>
      <c r="H22" s="32">
        <v>2020</v>
      </c>
      <c r="I22" s="32">
        <v>9</v>
      </c>
    </row>
    <row r="23" spans="1:9">
      <c r="A23" s="42">
        <v>44135</v>
      </c>
      <c r="B23" s="33" t="s">
        <v>64201</v>
      </c>
      <c r="C23" s="33" t="s">
        <v>64202</v>
      </c>
      <c r="D23" s="34">
        <v>3014967501.54</v>
      </c>
      <c r="E23" s="34">
        <v>3014967501.54</v>
      </c>
      <c r="F23" s="34">
        <v>3179478960.76</v>
      </c>
      <c r="G23" s="35">
        <v>2021</v>
      </c>
      <c r="H23" s="35">
        <v>2020</v>
      </c>
      <c r="I23" s="35">
        <v>10</v>
      </c>
    </row>
    <row r="24" spans="1:9">
      <c r="A24" s="41">
        <v>44165</v>
      </c>
      <c r="B24" s="30" t="s">
        <v>64201</v>
      </c>
      <c r="C24" s="30" t="s">
        <v>64202</v>
      </c>
      <c r="D24" s="31">
        <v>3370898440.35</v>
      </c>
      <c r="E24" s="31">
        <v>6385865941.89</v>
      </c>
      <c r="F24" s="31">
        <v>6289343807.62</v>
      </c>
      <c r="G24" s="32">
        <v>2021</v>
      </c>
      <c r="H24" s="32">
        <v>2020</v>
      </c>
      <c r="I24" s="32">
        <v>11</v>
      </c>
    </row>
    <row r="25" spans="1:9">
      <c r="A25" s="42">
        <v>44196</v>
      </c>
      <c r="B25" s="33" t="s">
        <v>64201</v>
      </c>
      <c r="C25" s="33" t="s">
        <v>64202</v>
      </c>
      <c r="D25" s="34">
        <v>3210765587.3</v>
      </c>
      <c r="E25" s="34">
        <v>9596631529.190001</v>
      </c>
      <c r="F25" s="34">
        <v>9291139869.860001</v>
      </c>
      <c r="G25" s="35">
        <v>2021</v>
      </c>
      <c r="H25" s="35">
        <v>2020</v>
      </c>
      <c r="I25" s="35">
        <v>12</v>
      </c>
    </row>
    <row r="26" spans="1:9">
      <c r="A26" s="41">
        <v>44227</v>
      </c>
      <c r="B26" s="30" t="s">
        <v>64201</v>
      </c>
      <c r="C26" s="30" t="s">
        <v>64202</v>
      </c>
      <c r="D26" s="31">
        <v>3000830705.78</v>
      </c>
      <c r="E26" s="31">
        <v>12597462234.97</v>
      </c>
      <c r="F26" s="31">
        <v>12223489027.74</v>
      </c>
      <c r="G26" s="32">
        <v>2021</v>
      </c>
      <c r="H26" s="32">
        <v>2021</v>
      </c>
      <c r="I26" s="32">
        <v>1</v>
      </c>
    </row>
    <row r="27" spans="1:9">
      <c r="A27" s="42">
        <v>44255</v>
      </c>
      <c r="B27" s="33" t="s">
        <v>64201</v>
      </c>
      <c r="C27" s="33" t="s">
        <v>64202</v>
      </c>
      <c r="D27" s="34">
        <v>3139815267.09</v>
      </c>
      <c r="E27" s="34">
        <v>15737277502.06</v>
      </c>
      <c r="F27" s="34">
        <v>15282520856.78</v>
      </c>
      <c r="G27" s="35">
        <v>2021</v>
      </c>
      <c r="H27" s="35">
        <v>2021</v>
      </c>
      <c r="I27" s="35">
        <v>2</v>
      </c>
    </row>
    <row r="28" spans="1:9">
      <c r="A28" s="41">
        <v>44286</v>
      </c>
      <c r="B28" s="30" t="s">
        <v>64201</v>
      </c>
      <c r="C28" s="30" t="s">
        <v>64202</v>
      </c>
      <c r="D28" s="31">
        <v>3302017237.26</v>
      </c>
      <c r="E28" s="31">
        <v>19039294739.32</v>
      </c>
      <c r="F28" s="31">
        <v>18522413100.73</v>
      </c>
      <c r="G28" s="32">
        <v>2021</v>
      </c>
      <c r="H28" s="32">
        <v>2021</v>
      </c>
      <c r="I28" s="32">
        <v>3</v>
      </c>
    </row>
    <row r="29" spans="1:9">
      <c r="A29" s="42">
        <v>44316</v>
      </c>
      <c r="B29" s="33" t="s">
        <v>64201</v>
      </c>
      <c r="C29" s="33" t="s">
        <v>64202</v>
      </c>
      <c r="D29" s="34">
        <v>3494576337.89</v>
      </c>
      <c r="E29" s="34">
        <v>22533871077.21</v>
      </c>
      <c r="F29" s="34">
        <v>21408641344.85</v>
      </c>
      <c r="G29" s="35">
        <v>2021</v>
      </c>
      <c r="H29" s="35">
        <v>2021</v>
      </c>
      <c r="I29" s="35">
        <v>4</v>
      </c>
    </row>
    <row r="30" spans="1:9">
      <c r="A30" s="41">
        <v>44347</v>
      </c>
      <c r="B30" s="30" t="s">
        <v>64201</v>
      </c>
      <c r="C30" s="30" t="s">
        <v>64202</v>
      </c>
      <c r="D30" s="31">
        <v>3089451303.61</v>
      </c>
      <c r="E30" s="31">
        <v>25623322380.82</v>
      </c>
      <c r="F30" s="31">
        <v>24254081973.37</v>
      </c>
      <c r="G30" s="32">
        <v>2021</v>
      </c>
      <c r="H30" s="32">
        <v>2021</v>
      </c>
      <c r="I30" s="32">
        <v>5</v>
      </c>
    </row>
    <row r="31" spans="1:9">
      <c r="A31" s="42">
        <v>44377</v>
      </c>
      <c r="B31" s="33" t="s">
        <v>64201</v>
      </c>
      <c r="C31" s="33" t="s">
        <v>64202</v>
      </c>
      <c r="D31" s="34">
        <v>3408502503.65</v>
      </c>
      <c r="E31" s="34">
        <v>29031824884.47</v>
      </c>
      <c r="F31" s="34">
        <v>27461988366.97</v>
      </c>
      <c r="G31" s="35">
        <v>2021</v>
      </c>
      <c r="H31" s="35">
        <v>2021</v>
      </c>
      <c r="I31" s="35">
        <v>6</v>
      </c>
    </row>
    <row r="32" spans="1:9">
      <c r="A32" s="41">
        <v>44408</v>
      </c>
      <c r="B32" s="30" t="s">
        <v>64201</v>
      </c>
      <c r="C32" s="30" t="s">
        <v>64202</v>
      </c>
      <c r="D32" s="31">
        <v>3095949352.16</v>
      </c>
      <c r="E32" s="31">
        <v>32127774236.63</v>
      </c>
      <c r="F32" s="31">
        <v>30380490232.03</v>
      </c>
      <c r="G32" s="32">
        <v>2021</v>
      </c>
      <c r="H32" s="32">
        <v>2021</v>
      </c>
      <c r="I32" s="32">
        <v>7</v>
      </c>
    </row>
    <row r="33" spans="1:9">
      <c r="A33" s="42">
        <v>44439</v>
      </c>
      <c r="B33" s="33" t="s">
        <v>64201</v>
      </c>
      <c r="C33" s="33" t="s">
        <v>64202</v>
      </c>
      <c r="D33" s="34">
        <v>3347962222.37</v>
      </c>
      <c r="E33" s="34">
        <v>35475736459</v>
      </c>
      <c r="F33" s="34">
        <v>32875500409.78</v>
      </c>
      <c r="G33" s="35">
        <v>2021</v>
      </c>
      <c r="H33" s="35">
        <v>2021</v>
      </c>
      <c r="I33" s="35">
        <v>8</v>
      </c>
    </row>
    <row r="34" spans="1:9">
      <c r="A34" s="41">
        <v>44469</v>
      </c>
      <c r="B34" s="30" t="s">
        <v>64201</v>
      </c>
      <c r="C34" s="30" t="s">
        <v>64202</v>
      </c>
      <c r="D34" s="31">
        <v>3391916906.88</v>
      </c>
      <c r="E34" s="31">
        <v>38867653365.88</v>
      </c>
      <c r="F34" s="31">
        <v>36387336418.64</v>
      </c>
      <c r="G34" s="32">
        <v>2021</v>
      </c>
      <c r="H34" s="32">
        <v>2021</v>
      </c>
      <c r="I34" s="32">
        <v>9</v>
      </c>
    </row>
    <row r="35" spans="1:9">
      <c r="A35" s="42">
        <v>44500</v>
      </c>
      <c r="B35" s="33" t="s">
        <v>64201</v>
      </c>
      <c r="C35" s="33" t="s">
        <v>64202</v>
      </c>
      <c r="D35" s="34">
        <v>3308619487.25</v>
      </c>
      <c r="E35" s="34">
        <v>3308619487.25</v>
      </c>
      <c r="F35" s="34">
        <v>3014967501.54</v>
      </c>
      <c r="G35" s="35">
        <v>2022</v>
      </c>
      <c r="H35" s="35">
        <v>2021</v>
      </c>
      <c r="I35" s="35">
        <v>10</v>
      </c>
    </row>
    <row r="36" spans="1:9">
      <c r="A36" s="41">
        <v>44530</v>
      </c>
      <c r="B36" s="30" t="s">
        <v>64201</v>
      </c>
      <c r="C36" s="30" t="s">
        <v>64202</v>
      </c>
      <c r="D36" s="31">
        <v>3557450240.33</v>
      </c>
      <c r="E36" s="31">
        <v>6866069727.58</v>
      </c>
      <c r="F36" s="31">
        <v>6385865941.89</v>
      </c>
      <c r="G36" s="32">
        <v>2022</v>
      </c>
      <c r="H36" s="32">
        <v>2021</v>
      </c>
      <c r="I36" s="32">
        <v>11</v>
      </c>
    </row>
    <row r="37" spans="1:9">
      <c r="A37" s="42">
        <v>44561</v>
      </c>
      <c r="B37" s="33" t="s">
        <v>64201</v>
      </c>
      <c r="C37" s="33" t="s">
        <v>64202</v>
      </c>
      <c r="D37" s="34">
        <v>3213123057.81</v>
      </c>
      <c r="E37" s="34">
        <v>10079192785.39</v>
      </c>
      <c r="F37" s="34">
        <v>9596631529.190001</v>
      </c>
      <c r="G37" s="35">
        <v>2022</v>
      </c>
      <c r="H37" s="35">
        <v>2021</v>
      </c>
      <c r="I37" s="35">
        <v>12</v>
      </c>
    </row>
    <row r="38" spans="1:9">
      <c r="A38" s="41">
        <v>44592</v>
      </c>
      <c r="B38" s="30" t="s">
        <v>64201</v>
      </c>
      <c r="C38" s="30" t="s">
        <v>64202</v>
      </c>
      <c r="D38" s="31">
        <v>3184758510.75</v>
      </c>
      <c r="E38" s="31">
        <v>13263951296.14</v>
      </c>
      <c r="F38" s="31">
        <v>12597462234.97</v>
      </c>
      <c r="G38" s="32">
        <v>2022</v>
      </c>
      <c r="H38" s="32">
        <v>2022</v>
      </c>
      <c r="I38" s="32">
        <v>1</v>
      </c>
    </row>
    <row r="39" spans="1:9">
      <c r="A39" s="42">
        <v>44620</v>
      </c>
      <c r="B39" s="33" t="s">
        <v>64201</v>
      </c>
      <c r="C39" s="33" t="s">
        <v>64202</v>
      </c>
      <c r="D39" s="34">
        <v>3230188200.96</v>
      </c>
      <c r="E39" s="34">
        <v>16494139497.1</v>
      </c>
      <c r="F39" s="34">
        <v>15737277502.06</v>
      </c>
      <c r="G39" s="35">
        <v>2022</v>
      </c>
      <c r="H39" s="35">
        <v>2022</v>
      </c>
      <c r="I39" s="35">
        <v>2</v>
      </c>
    </row>
    <row r="40" spans="1:9">
      <c r="A40" s="41">
        <v>44651</v>
      </c>
      <c r="B40" s="30" t="s">
        <v>64201</v>
      </c>
      <c r="C40" s="30" t="s">
        <v>64202</v>
      </c>
      <c r="D40" s="31">
        <v>3809245808.35</v>
      </c>
      <c r="E40" s="31">
        <v>20303385305.45</v>
      </c>
      <c r="F40" s="31">
        <v>19039294739.32</v>
      </c>
      <c r="G40" s="32">
        <v>2022</v>
      </c>
      <c r="H40" s="32">
        <v>2022</v>
      </c>
      <c r="I40" s="32">
        <v>3</v>
      </c>
    </row>
    <row r="41" spans="1:9">
      <c r="A41" s="42">
        <v>44681</v>
      </c>
      <c r="B41" s="33" t="s">
        <v>64201</v>
      </c>
      <c r="C41" s="33" t="s">
        <v>64202</v>
      </c>
      <c r="D41" s="34">
        <v>3006677165.73</v>
      </c>
      <c r="E41" s="34">
        <v>23310062471.18</v>
      </c>
      <c r="F41" s="34">
        <v>22533871077.21</v>
      </c>
      <c r="G41" s="35">
        <v>2022</v>
      </c>
      <c r="H41" s="35">
        <v>2022</v>
      </c>
      <c r="I41" s="35">
        <v>4</v>
      </c>
    </row>
    <row r="42" spans="1:9">
      <c r="A42" s="41">
        <v>44712</v>
      </c>
      <c r="B42" s="30" t="s">
        <v>64201</v>
      </c>
      <c r="C42" s="30" t="s">
        <v>64202</v>
      </c>
      <c r="D42" s="31">
        <v>3488718322.46</v>
      </c>
      <c r="E42" s="31">
        <v>26798780793.64</v>
      </c>
      <c r="F42" s="31">
        <v>25623322380.82</v>
      </c>
      <c r="G42" s="32">
        <v>2022</v>
      </c>
      <c r="H42" s="32">
        <v>2022</v>
      </c>
      <c r="I42" s="32">
        <v>5</v>
      </c>
    </row>
    <row r="43" spans="1:9">
      <c r="A43" s="42">
        <v>44742</v>
      </c>
      <c r="B43" s="33" t="s">
        <v>64201</v>
      </c>
      <c r="C43" s="33" t="s">
        <v>64202</v>
      </c>
      <c r="D43" s="34">
        <v>3692856491.04</v>
      </c>
      <c r="E43" s="34">
        <v>30491637284.68</v>
      </c>
      <c r="F43" s="34">
        <v>29031824884.47</v>
      </c>
      <c r="G43" s="35">
        <v>2022</v>
      </c>
      <c r="H43" s="35">
        <v>2022</v>
      </c>
      <c r="I43" s="35">
        <v>6</v>
      </c>
    </row>
    <row r="44" spans="1:9">
      <c r="A44" s="41">
        <v>44773</v>
      </c>
      <c r="B44" s="30" t="s">
        <v>64201</v>
      </c>
      <c r="C44" s="30" t="s">
        <v>64202</v>
      </c>
      <c r="D44" s="31">
        <v>3242312645.22</v>
      </c>
      <c r="E44" s="31">
        <v>33733949929.9</v>
      </c>
      <c r="F44" s="31">
        <v>32127774236.63</v>
      </c>
      <c r="G44" s="32">
        <v>2022</v>
      </c>
      <c r="H44" s="32">
        <v>2022</v>
      </c>
      <c r="I44" s="32">
        <v>7</v>
      </c>
    </row>
    <row r="45" spans="1:9">
      <c r="A45" s="42">
        <v>44804</v>
      </c>
      <c r="B45" s="33" t="s">
        <v>64201</v>
      </c>
      <c r="C45" s="33" t="s">
        <v>64202</v>
      </c>
      <c r="D45" s="34">
        <v>3466611711.58</v>
      </c>
      <c r="E45" s="34">
        <v>37200561641.48</v>
      </c>
      <c r="F45" s="34">
        <v>35475736459</v>
      </c>
      <c r="G45" s="35">
        <v>2022</v>
      </c>
      <c r="H45" s="35">
        <v>2022</v>
      </c>
      <c r="I45" s="35">
        <v>8</v>
      </c>
    </row>
    <row r="46" spans="1:9">
      <c r="A46" s="41">
        <v>44834</v>
      </c>
      <c r="B46" s="30" t="s">
        <v>64201</v>
      </c>
      <c r="C46" s="30" t="s">
        <v>64202</v>
      </c>
      <c r="D46" s="31">
        <v>3422308482.67</v>
      </c>
      <c r="E46" s="31">
        <v>40622870124.15</v>
      </c>
      <c r="F46" s="31">
        <v>38867653365.88</v>
      </c>
      <c r="G46" s="32">
        <v>2022</v>
      </c>
      <c r="H46" s="32">
        <v>2022</v>
      </c>
      <c r="I46" s="32">
        <v>9</v>
      </c>
    </row>
    <row r="47" spans="1:9">
      <c r="A47" s="42">
        <v>44865</v>
      </c>
      <c r="B47" s="33" t="s">
        <v>64201</v>
      </c>
      <c r="C47" s="33" t="s">
        <v>64202</v>
      </c>
      <c r="D47" s="34">
        <v>3511330522.91</v>
      </c>
      <c r="E47" s="34">
        <v>3511330522.91</v>
      </c>
      <c r="F47" s="34">
        <v>3308619487.25</v>
      </c>
      <c r="G47" s="35">
        <v>2023</v>
      </c>
      <c r="H47" s="35">
        <v>2022</v>
      </c>
      <c r="I47" s="35">
        <v>10</v>
      </c>
    </row>
    <row r="48" spans="1:9">
      <c r="A48" s="41">
        <v>44895</v>
      </c>
      <c r="B48" s="30" t="s">
        <v>64201</v>
      </c>
      <c r="C48" s="30" t="s">
        <v>64202</v>
      </c>
      <c r="D48" s="31">
        <v>4791868473.77</v>
      </c>
      <c r="E48" s="31">
        <v>8303198996.68</v>
      </c>
      <c r="F48" s="31">
        <v>6866069727.58</v>
      </c>
      <c r="G48" s="32">
        <v>2023</v>
      </c>
      <c r="H48" s="32">
        <v>2022</v>
      </c>
      <c r="I48" s="32">
        <v>11</v>
      </c>
    </row>
    <row r="49" spans="1:9">
      <c r="A49" s="42">
        <v>44926</v>
      </c>
      <c r="B49" s="33" t="s">
        <v>64201</v>
      </c>
      <c r="C49" s="33" t="s">
        <v>64202</v>
      </c>
      <c r="D49" s="34">
        <v>3095305584.72</v>
      </c>
      <c r="E49" s="34">
        <v>11398504581.4</v>
      </c>
      <c r="F49" s="34">
        <v>10079192785.39</v>
      </c>
      <c r="G49" s="35">
        <v>2023</v>
      </c>
      <c r="H49" s="35">
        <v>2022</v>
      </c>
      <c r="I49" s="35">
        <v>12</v>
      </c>
    </row>
    <row r="50" spans="1:9">
      <c r="A50" s="41">
        <v>44957</v>
      </c>
      <c r="B50" s="30" t="s">
        <v>64201</v>
      </c>
      <c r="C50" s="30" t="s">
        <v>64202</v>
      </c>
      <c r="D50" s="31">
        <v>3529010534.39</v>
      </c>
      <c r="E50" s="31">
        <v>14927515115.79</v>
      </c>
      <c r="F50" s="31">
        <v>13263951296.14</v>
      </c>
      <c r="G50" s="32">
        <v>2023</v>
      </c>
      <c r="H50" s="32">
        <v>2023</v>
      </c>
      <c r="I50" s="32">
        <v>1</v>
      </c>
    </row>
    <row r="51" spans="1:9">
      <c r="A51" s="42">
        <v>44985</v>
      </c>
      <c r="B51" s="33" t="s">
        <v>64201</v>
      </c>
      <c r="C51" s="33" t="s">
        <v>64202</v>
      </c>
      <c r="D51" s="34">
        <v>3589857236.24</v>
      </c>
      <c r="E51" s="34">
        <v>18517372352.03</v>
      </c>
      <c r="F51" s="34">
        <v>16494139497.1</v>
      </c>
      <c r="G51" s="35">
        <v>2023</v>
      </c>
      <c r="H51" s="35">
        <v>2023</v>
      </c>
      <c r="I51" s="35">
        <v>2</v>
      </c>
    </row>
    <row r="52" spans="1:9">
      <c r="A52" s="41">
        <v>45016</v>
      </c>
      <c r="B52" s="30" t="s">
        <v>64201</v>
      </c>
      <c r="C52" s="30" t="s">
        <v>64202</v>
      </c>
      <c r="D52" s="31">
        <v>4009433102.19</v>
      </c>
      <c r="E52" s="31">
        <v>22526805454.22</v>
      </c>
      <c r="F52" s="31">
        <v>20303385305.45</v>
      </c>
      <c r="G52" s="32">
        <v>2023</v>
      </c>
      <c r="H52" s="32">
        <v>2023</v>
      </c>
      <c r="I52" s="32">
        <v>3</v>
      </c>
    </row>
    <row r="53" spans="1:9">
      <c r="A53" s="42">
        <v>45046</v>
      </c>
      <c r="B53" s="33" t="s">
        <v>64201</v>
      </c>
      <c r="C53" s="33" t="s">
        <v>64202</v>
      </c>
      <c r="D53" s="34">
        <v>3501574914.32</v>
      </c>
      <c r="E53" s="34">
        <v>26028380368.54</v>
      </c>
      <c r="F53" s="34">
        <v>23310062471.18</v>
      </c>
      <c r="G53" s="35">
        <v>2023</v>
      </c>
      <c r="H53" s="35">
        <v>2023</v>
      </c>
      <c r="I53" s="35">
        <v>4</v>
      </c>
    </row>
    <row r="54" spans="1:9">
      <c r="A54" s="41">
        <v>45077</v>
      </c>
      <c r="B54" s="30" t="s">
        <v>64201</v>
      </c>
      <c r="C54" s="30" t="s">
        <v>64202</v>
      </c>
      <c r="D54" s="31">
        <v>3912434217.82</v>
      </c>
      <c r="E54" s="31">
        <v>29940814586.36</v>
      </c>
      <c r="F54" s="31">
        <v>26798780793.64</v>
      </c>
      <c r="G54" s="32">
        <v>2023</v>
      </c>
      <c r="H54" s="32">
        <v>2023</v>
      </c>
      <c r="I54" s="32">
        <v>5</v>
      </c>
    </row>
    <row r="55" spans="1:9">
      <c r="A55" s="42">
        <v>45107</v>
      </c>
      <c r="B55" s="33" t="s">
        <v>64201</v>
      </c>
      <c r="C55" s="33" t="s">
        <v>64202</v>
      </c>
      <c r="D55" s="34">
        <v>4026315301.45</v>
      </c>
      <c r="E55" s="34">
        <v>33967129887.81</v>
      </c>
      <c r="F55" s="34">
        <v>30491637284.68</v>
      </c>
      <c r="G55" s="35">
        <v>2023</v>
      </c>
      <c r="H55" s="35">
        <v>2023</v>
      </c>
      <c r="I55" s="35">
        <v>6</v>
      </c>
    </row>
    <row r="56" spans="1:9">
      <c r="A56" s="41">
        <v>45138</v>
      </c>
      <c r="B56" s="30" t="s">
        <v>64201</v>
      </c>
      <c r="C56" s="30" t="s">
        <v>64202</v>
      </c>
      <c r="D56" s="31">
        <v>3817746851.99</v>
      </c>
      <c r="E56" s="31">
        <v>37784876739.8</v>
      </c>
      <c r="F56" s="31">
        <v>33733949929.9</v>
      </c>
      <c r="G56" s="32">
        <v>2023</v>
      </c>
      <c r="H56" s="32">
        <v>2023</v>
      </c>
      <c r="I56" s="32">
        <v>7</v>
      </c>
    </row>
    <row r="57" spans="1:9">
      <c r="A57" s="42">
        <v>45169</v>
      </c>
      <c r="B57" s="33" t="s">
        <v>64201</v>
      </c>
      <c r="C57" s="33" t="s">
        <v>64202</v>
      </c>
      <c r="D57" s="34">
        <v>4243975167.04</v>
      </c>
      <c r="E57" s="34">
        <v>42028851906.84</v>
      </c>
      <c r="F57" s="34">
        <v>37200561641.48</v>
      </c>
      <c r="G57" s="35">
        <v>2023</v>
      </c>
      <c r="H57" s="35">
        <v>2023</v>
      </c>
      <c r="I57" s="35">
        <v>8</v>
      </c>
    </row>
    <row r="58" spans="1:9">
      <c r="A58" s="41">
        <v>45199</v>
      </c>
      <c r="B58" s="30" t="s">
        <v>64201</v>
      </c>
      <c r="C58" s="30" t="s">
        <v>64202</v>
      </c>
      <c r="D58" s="31">
        <v>4476872546.48</v>
      </c>
      <c r="E58" s="31">
        <v>46505724453.32</v>
      </c>
      <c r="F58" s="31">
        <v>40622870124.15</v>
      </c>
      <c r="G58" s="32">
        <v>2023</v>
      </c>
      <c r="H58" s="32">
        <v>2023</v>
      </c>
      <c r="I58" s="32">
        <v>9</v>
      </c>
    </row>
    <row r="59" spans="1:9">
      <c r="A59" s="42">
        <v>45230</v>
      </c>
      <c r="B59" s="33" t="s">
        <v>64201</v>
      </c>
      <c r="C59" s="33" t="s">
        <v>64202</v>
      </c>
      <c r="D59" s="34">
        <v>3547587404.34</v>
      </c>
      <c r="E59" s="34">
        <v>3547587404.34</v>
      </c>
      <c r="F59" s="34">
        <v>3511330522.91</v>
      </c>
      <c r="G59" s="35">
        <v>2024</v>
      </c>
      <c r="H59" s="35">
        <v>2023</v>
      </c>
      <c r="I59" s="35">
        <v>10</v>
      </c>
    </row>
    <row r="60" spans="1:9">
      <c r="A60" s="41">
        <v>45260</v>
      </c>
      <c r="B60" s="30" t="s">
        <v>64201</v>
      </c>
      <c r="C60" s="30" t="s">
        <v>64202</v>
      </c>
      <c r="D60" s="31">
        <v>4215217644.8</v>
      </c>
      <c r="E60" s="31">
        <v>7762805049.14</v>
      </c>
      <c r="F60" s="31">
        <v>8303198996.68</v>
      </c>
      <c r="G60" s="32">
        <v>2024</v>
      </c>
      <c r="H60" s="32">
        <v>2023</v>
      </c>
      <c r="I60" s="32">
        <v>11</v>
      </c>
    </row>
    <row r="61" spans="1:9">
      <c r="A61" s="42">
        <v>45291</v>
      </c>
      <c r="B61" s="33" t="s">
        <v>64201</v>
      </c>
      <c r="C61" s="33" t="s">
        <v>64202</v>
      </c>
      <c r="D61" s="34">
        <v>3609316301.4</v>
      </c>
      <c r="E61" s="34">
        <v>11372121350.54</v>
      </c>
      <c r="F61" s="34">
        <v>11398504581.4</v>
      </c>
      <c r="G61" s="35">
        <v>2024</v>
      </c>
      <c r="H61" s="35">
        <v>2023</v>
      </c>
      <c r="I61" s="35">
        <v>12</v>
      </c>
    </row>
    <row r="62" spans="1:9">
      <c r="A62" s="41">
        <v>45322</v>
      </c>
      <c r="B62" s="30" t="s">
        <v>64201</v>
      </c>
      <c r="C62" s="30" t="s">
        <v>64202</v>
      </c>
      <c r="D62" s="31">
        <v>3730021310.42</v>
      </c>
      <c r="E62" s="31">
        <v>15102142660.96</v>
      </c>
      <c r="F62" s="31">
        <v>14927515115.79</v>
      </c>
      <c r="G62" s="32">
        <v>2024</v>
      </c>
      <c r="H62" s="32">
        <v>2024</v>
      </c>
      <c r="I62" s="32">
        <v>1</v>
      </c>
    </row>
    <row r="63" spans="1:9">
      <c r="A63" s="42">
        <v>45351</v>
      </c>
      <c r="B63" s="33" t="s">
        <v>64201</v>
      </c>
      <c r="C63" s="33" t="s">
        <v>64202</v>
      </c>
      <c r="D63" s="34">
        <v>3675755746.87</v>
      </c>
      <c r="E63" s="34">
        <v>18777898407.83</v>
      </c>
      <c r="F63" s="34">
        <v>18517372352.03</v>
      </c>
      <c r="G63" s="35">
        <v>2024</v>
      </c>
      <c r="H63" s="35">
        <v>2024</v>
      </c>
      <c r="I63" s="35">
        <v>2</v>
      </c>
    </row>
    <row r="64" spans="1:9">
      <c r="A64" s="41">
        <v>45382</v>
      </c>
      <c r="B64" s="30" t="s">
        <v>64201</v>
      </c>
      <c r="C64" s="30" t="s">
        <v>64202</v>
      </c>
      <c r="D64" s="31">
        <v>4065326521.69</v>
      </c>
      <c r="E64" s="31">
        <v>22843224929.52</v>
      </c>
      <c r="F64" s="31">
        <v>22526805454.22</v>
      </c>
      <c r="G64" s="32">
        <v>2024</v>
      </c>
      <c r="H64" s="32">
        <v>2024</v>
      </c>
      <c r="I64" s="32">
        <v>3</v>
      </c>
    </row>
    <row r="65" spans="1:9">
      <c r="A65" s="42">
        <v>45412</v>
      </c>
      <c r="B65" s="33" t="s">
        <v>64201</v>
      </c>
      <c r="C65" s="33" t="s">
        <v>64202</v>
      </c>
      <c r="D65" s="34">
        <v>4204474668.76</v>
      </c>
      <c r="E65" s="34">
        <v>27047699598.28</v>
      </c>
      <c r="F65" s="34">
        <v>26028380368.54</v>
      </c>
      <c r="G65" s="35">
        <v>2024</v>
      </c>
      <c r="H65" s="35">
        <v>2024</v>
      </c>
      <c r="I65" s="35">
        <v>4</v>
      </c>
    </row>
    <row r="66" spans="1:9">
      <c r="A66" s="41">
        <v>45443</v>
      </c>
      <c r="B66" s="30" t="s">
        <v>64201</v>
      </c>
      <c r="C66" s="30" t="s">
        <v>64202</v>
      </c>
      <c r="D66" s="31">
        <v>4051258348.85</v>
      </c>
      <c r="E66" s="31">
        <v>31098957947.13</v>
      </c>
      <c r="F66" s="31">
        <v>29940814586.36</v>
      </c>
      <c r="G66" s="32">
        <v>2024</v>
      </c>
      <c r="H66" s="32">
        <v>2024</v>
      </c>
      <c r="I66" s="32">
        <v>5</v>
      </c>
    </row>
    <row r="67" spans="1:9">
      <c r="A67" s="42">
        <v>45473</v>
      </c>
      <c r="B67" s="33" t="s">
        <v>64201</v>
      </c>
      <c r="C67" s="33" t="s">
        <v>64202</v>
      </c>
      <c r="D67" s="34">
        <v>4217593665.33</v>
      </c>
      <c r="E67" s="34">
        <v>35316551612.46</v>
      </c>
      <c r="F67" s="34">
        <v>33967129887.81</v>
      </c>
      <c r="G67" s="35">
        <v>2024</v>
      </c>
      <c r="H67" s="35">
        <v>2024</v>
      </c>
      <c r="I67" s="35">
        <v>6</v>
      </c>
    </row>
    <row r="68" spans="1:9">
      <c r="A68" s="41">
        <v>45504</v>
      </c>
      <c r="B68" s="30" t="s">
        <v>64201</v>
      </c>
      <c r="C68" s="30" t="s">
        <v>64202</v>
      </c>
      <c r="D68" s="31">
        <v>4112084165.92</v>
      </c>
      <c r="E68" s="31">
        <v>39428635778.38</v>
      </c>
      <c r="F68" s="31">
        <v>37784876739.8</v>
      </c>
      <c r="G68" s="32">
        <v>2024</v>
      </c>
      <c r="H68" s="32">
        <v>2024</v>
      </c>
      <c r="I68" s="32">
        <v>7</v>
      </c>
    </row>
    <row r="69" spans="1:9">
      <c r="A69" s="42">
        <v>45535</v>
      </c>
      <c r="B69" s="33" t="s">
        <v>64201</v>
      </c>
      <c r="C69" s="33" t="s">
        <v>64202</v>
      </c>
      <c r="D69" s="34">
        <v>4523714677.28</v>
      </c>
      <c r="E69" s="34">
        <v>43952350455.66</v>
      </c>
      <c r="F69" s="34">
        <v>42028851906.84</v>
      </c>
      <c r="G69" s="35">
        <v>2024</v>
      </c>
      <c r="H69" s="35">
        <v>2024</v>
      </c>
      <c r="I69" s="35">
        <v>8</v>
      </c>
    </row>
    <row r="70" spans="1:9">
      <c r="A70" s="41">
        <v>45565</v>
      </c>
      <c r="B70" s="30" t="s">
        <v>64201</v>
      </c>
      <c r="C70" s="30" t="s">
        <v>64202</v>
      </c>
      <c r="D70" s="31">
        <v>4257770542.66</v>
      </c>
      <c r="E70" s="31">
        <v>48210120998.32</v>
      </c>
      <c r="F70" s="31">
        <v>46505724453.32</v>
      </c>
      <c r="G70" s="32">
        <v>2024</v>
      </c>
      <c r="H70" s="32">
        <v>2024</v>
      </c>
      <c r="I70" s="32">
        <v>9</v>
      </c>
    </row>
    <row r="71" spans="1:9">
      <c r="A71" s="42">
        <v>45596</v>
      </c>
      <c r="B71" s="33" t="s">
        <v>64201</v>
      </c>
      <c r="C71" s="33" t="s">
        <v>64202</v>
      </c>
      <c r="D71" s="34">
        <v>4282709619.63</v>
      </c>
      <c r="E71" s="34">
        <v>4282709619.63</v>
      </c>
      <c r="F71" s="34">
        <v>3547587404.34</v>
      </c>
      <c r="G71" s="35">
        <v>2025</v>
      </c>
      <c r="H71" s="35">
        <v>2024</v>
      </c>
      <c r="I71" s="35">
        <v>10</v>
      </c>
    </row>
    <row r="72" spans="1:9">
      <c r="A72" s="41">
        <v>45626</v>
      </c>
      <c r="B72" s="30" t="s">
        <v>64201</v>
      </c>
      <c r="C72" s="30" t="s">
        <v>64202</v>
      </c>
      <c r="D72" s="31">
        <v>3906261272.27</v>
      </c>
      <c r="E72" s="31">
        <v>8188970891.9</v>
      </c>
      <c r="F72" s="31">
        <v>7762805049.14</v>
      </c>
      <c r="G72" s="32">
        <v>2025</v>
      </c>
      <c r="H72" s="32">
        <v>2024</v>
      </c>
      <c r="I72" s="32">
        <v>11</v>
      </c>
    </row>
    <row r="73" spans="1:9">
      <c r="A73" s="42">
        <v>45657</v>
      </c>
      <c r="B73" s="33" t="s">
        <v>64201</v>
      </c>
      <c r="C73" s="33" t="s">
        <v>64202</v>
      </c>
      <c r="D73" s="34">
        <v>3953251294.59</v>
      </c>
      <c r="E73" s="34">
        <v>12142222186.49</v>
      </c>
      <c r="F73" s="34">
        <v>11372121350.54</v>
      </c>
      <c r="G73" s="35">
        <v>2025</v>
      </c>
      <c r="H73" s="35">
        <v>2024</v>
      </c>
      <c r="I73" s="35">
        <v>12</v>
      </c>
    </row>
    <row r="74" spans="1:9">
      <c r="A74" s="41">
        <v>45688</v>
      </c>
      <c r="B74" s="30" t="s">
        <v>64201</v>
      </c>
      <c r="C74" s="30" t="s">
        <v>64202</v>
      </c>
      <c r="D74" s="31">
        <v>3554349934.53</v>
      </c>
      <c r="E74" s="31">
        <v>15696572121.02</v>
      </c>
      <c r="F74" s="31">
        <v>15102142660.96</v>
      </c>
      <c r="G74" s="32">
        <v>2025</v>
      </c>
      <c r="H74" s="32">
        <v>2025</v>
      </c>
      <c r="I74" s="32">
        <v>1</v>
      </c>
    </row>
    <row r="75" spans="1:9">
      <c r="A75" s="42">
        <v>45716</v>
      </c>
      <c r="B75" s="33" t="s">
        <v>64201</v>
      </c>
      <c r="C75" s="33" t="s">
        <v>64202</v>
      </c>
      <c r="D75" s="34">
        <v>3739157168.02</v>
      </c>
      <c r="E75" s="34">
        <v>19435729289.04</v>
      </c>
      <c r="F75" s="34">
        <v>18777898407.83</v>
      </c>
      <c r="G75" s="35">
        <v>2025</v>
      </c>
      <c r="H75" s="35">
        <v>2025</v>
      </c>
      <c r="I75" s="35">
        <v>2</v>
      </c>
    </row>
    <row r="76" spans="1:9">
      <c r="A76" s="41">
        <v>45747</v>
      </c>
      <c r="B76" s="30" t="s">
        <v>64201</v>
      </c>
      <c r="C76" s="30" t="s">
        <v>64202</v>
      </c>
      <c r="D76" s="31">
        <v>3549549495</v>
      </c>
      <c r="E76" s="31">
        <v>22985278784.04</v>
      </c>
      <c r="F76" s="31">
        <v>22843224929.52</v>
      </c>
      <c r="G76" s="32">
        <v>2025</v>
      </c>
      <c r="H76" s="32">
        <v>2025</v>
      </c>
      <c r="I76" s="32">
        <v>3</v>
      </c>
    </row>
    <row r="77" spans="1:9">
      <c r="A77" s="42">
        <v>45777</v>
      </c>
      <c r="B77" s="33" t="s">
        <v>64201</v>
      </c>
      <c r="C77" s="33" t="s">
        <v>64202</v>
      </c>
      <c r="D77" s="34">
        <v>3849531051.17</v>
      </c>
      <c r="E77" s="34">
        <v>26834809835.21</v>
      </c>
      <c r="F77" s="34">
        <v>27047699598.28</v>
      </c>
      <c r="G77" s="35">
        <v>2025</v>
      </c>
      <c r="H77" s="35">
        <v>2025</v>
      </c>
      <c r="I77" s="35">
        <v>4</v>
      </c>
    </row>
    <row r="78" spans="1:9">
      <c r="A78" s="41">
        <v>45808</v>
      </c>
      <c r="B78" s="30" t="s">
        <v>64201</v>
      </c>
      <c r="C78" s="30" t="s">
        <v>64202</v>
      </c>
      <c r="D78" s="31">
        <v>2768098809.94</v>
      </c>
      <c r="E78" s="31">
        <v>29602908645.15</v>
      </c>
      <c r="F78" s="31">
        <v>31098957947.13</v>
      </c>
      <c r="G78" s="32">
        <v>2025</v>
      </c>
      <c r="H78" s="32">
        <v>2025</v>
      </c>
      <c r="I78" s="32">
        <v>5</v>
      </c>
    </row>
    <row r="79" spans="1:9">
      <c r="A79" s="42">
        <v>45838</v>
      </c>
      <c r="B79" s="33" t="s">
        <v>64201</v>
      </c>
      <c r="C79" s="33" t="s">
        <v>64202</v>
      </c>
      <c r="D79" s="34">
        <v>4251809889.72</v>
      </c>
      <c r="E79" s="34">
        <v>33854718534.87</v>
      </c>
      <c r="F79" s="34">
        <v>35316551612.46</v>
      </c>
      <c r="G79" s="35">
        <v>2025</v>
      </c>
      <c r="H79" s="35">
        <v>2025</v>
      </c>
      <c r="I79" s="35">
        <v>6</v>
      </c>
    </row>
    <row r="80" spans="1:9">
      <c r="A80" s="41">
        <v>45869</v>
      </c>
      <c r="B80" s="30" t="s">
        <v>64201</v>
      </c>
      <c r="C80" s="30" t="s">
        <v>64202</v>
      </c>
      <c r="D80" s="31">
        <v>4519716660.51</v>
      </c>
      <c r="E80" s="31">
        <v>38374435195.38</v>
      </c>
      <c r="F80" s="31">
        <v>39428635778.38</v>
      </c>
      <c r="G80" s="32">
        <v>2025</v>
      </c>
      <c r="H80" s="32">
        <v>2025</v>
      </c>
      <c r="I80" s="32">
        <v>7</v>
      </c>
    </row>
    <row r="81" spans="1:9">
      <c r="A81" s="42">
        <v>45900</v>
      </c>
      <c r="B81" s="33" t="s">
        <v>64201</v>
      </c>
      <c r="C81" s="33" t="s">
        <v>64202</v>
      </c>
      <c r="D81" s="34">
        <v>4371512314.63</v>
      </c>
      <c r="E81" s="34">
        <v>42745947510.01</v>
      </c>
      <c r="F81" s="34">
        <v>43952350455.66</v>
      </c>
      <c r="G81" s="35">
        <v>2025</v>
      </c>
      <c r="H81" s="35">
        <v>2025</v>
      </c>
      <c r="I81" s="35">
        <v>8</v>
      </c>
    </row>
    <row r="82" spans="1:9">
      <c r="A82" s="41">
        <v>45930</v>
      </c>
      <c r="B82" s="30" t="s">
        <v>64201</v>
      </c>
      <c r="C82" s="30" t="s">
        <v>64202</v>
      </c>
      <c r="D82" s="31">
        <v>4595041398.36</v>
      </c>
      <c r="E82" s="31">
        <v>47340988908.37</v>
      </c>
      <c r="F82" s="31">
        <v>48210120998.32</v>
      </c>
      <c r="G82" s="32">
        <v>2025</v>
      </c>
      <c r="H82" s="32">
        <v>2025</v>
      </c>
      <c r="I82" s="32">
        <v>9</v>
      </c>
    </row>
    <row r="83" spans="1:9">
      <c r="A83" s="42">
        <v>45961</v>
      </c>
      <c r="B83" s="33" t="s">
        <v>64201</v>
      </c>
      <c r="C83" s="33" t="s">
        <v>64202</v>
      </c>
      <c r="D83" s="34">
        <v>3313968384.79</v>
      </c>
      <c r="E83" s="34">
        <v>3313968384.79</v>
      </c>
      <c r="F83" s="34">
        <v>4282709619.63</v>
      </c>
      <c r="G83" s="35">
        <v>2026</v>
      </c>
      <c r="H83" s="35">
        <v>2025</v>
      </c>
      <c r="I83" s="35">
        <v>10</v>
      </c>
    </row>
    <row r="84" spans="1:9">
      <c r="A84" s="41">
        <v>45991</v>
      </c>
      <c r="B84" s="30" t="s">
        <v>64201</v>
      </c>
      <c r="C84" s="30" t="s">
        <v>64202</v>
      </c>
      <c r="D84" s="31">
        <v>3598144608.05</v>
      </c>
      <c r="E84" s="31">
        <v>6912112992.84</v>
      </c>
      <c r="F84" s="31">
        <v>8188970891.9</v>
      </c>
      <c r="G84" s="32">
        <v>2026</v>
      </c>
      <c r="H84" s="32">
        <v>2025</v>
      </c>
      <c r="I84" s="32">
        <v>11</v>
      </c>
    </row>
    <row r="85" spans="1:9">
      <c r="A85" s="42">
        <v>46022</v>
      </c>
      <c r="B85" s="33" t="s">
        <v>64201</v>
      </c>
      <c r="C85" s="33" t="s">
        <v>64202</v>
      </c>
      <c r="D85" s="34">
        <v>4637578135.34</v>
      </c>
      <c r="E85" s="34">
        <v>11549691128.18</v>
      </c>
      <c r="F85" s="34">
        <v>12142222186.49</v>
      </c>
      <c r="G85" s="35">
        <v>2026</v>
      </c>
      <c r="H85" s="35">
        <v>2025</v>
      </c>
      <c r="I85" s="35">
        <v>12</v>
      </c>
    </row>
    <row r="86" spans="1:9">
      <c r="A86" s="41">
        <v>46053</v>
      </c>
      <c r="B86" s="30" t="s">
        <v>64201</v>
      </c>
      <c r="C86" s="30" t="s">
        <v>64202</v>
      </c>
      <c r="D86" s="31">
        <v>3559405026.02</v>
      </c>
      <c r="E86" s="31">
        <v>15109096154.2</v>
      </c>
      <c r="F86" s="31">
        <v>15696572121.02</v>
      </c>
      <c r="G86" s="32">
        <v>2026</v>
      </c>
      <c r="H86" s="32">
        <v>2026</v>
      </c>
      <c r="I86" s="32">
        <v>1</v>
      </c>
    </row>
    <row r="87" spans="1:9">
      <c r="A87" s="42">
        <v>46081</v>
      </c>
      <c r="B87" s="33" t="s">
        <v>64201</v>
      </c>
      <c r="C87" s="33" t="s">
        <v>64202</v>
      </c>
      <c r="D87" s="34">
        <v>3411467420.61</v>
      </c>
      <c r="E87" s="34">
        <v>18520563574.81</v>
      </c>
      <c r="F87" s="34">
        <v>19435729289.04</v>
      </c>
      <c r="G87" s="35">
        <v>2026</v>
      </c>
      <c r="H87" s="35">
        <v>2026</v>
      </c>
      <c r="I87" s="35">
        <v>2</v>
      </c>
    </row>
    <row r="88" spans="1:9">
      <c r="A88" s="41">
        <v>46112</v>
      </c>
      <c r="B88" s="30" t="s">
        <v>64201</v>
      </c>
      <c r="C88" s="30" t="s">
        <v>64202</v>
      </c>
      <c r="D88" s="31">
        <v>4039135587.25</v>
      </c>
      <c r="E88" s="31">
        <v>22559699162.06</v>
      </c>
      <c r="F88" s="31">
        <v>22985278784.04</v>
      </c>
      <c r="G88" s="32">
        <v>2026</v>
      </c>
      <c r="H88" s="32">
        <v>2026</v>
      </c>
      <c r="I88" s="32">
        <v>3</v>
      </c>
    </row>
    <row r="89" spans="1:9">
      <c r="A89" s="42">
        <v>46142</v>
      </c>
      <c r="B89" s="33" t="s">
        <v>64201</v>
      </c>
      <c r="C89" s="33" t="s">
        <v>64202</v>
      </c>
      <c r="D89" s="34">
        <v>3681741218.38</v>
      </c>
      <c r="E89" s="34">
        <v>26241440380.44</v>
      </c>
      <c r="F89" s="34">
        <v>26834809835.21</v>
      </c>
      <c r="G89" s="35">
        <v>2026</v>
      </c>
      <c r="H89" s="35">
        <v>2026</v>
      </c>
      <c r="I89" s="35">
        <v>4</v>
      </c>
    </row>
    <row r="90" spans="1:9">
      <c r="A90" s="41">
        <v>46173</v>
      </c>
      <c r="B90" s="30" t="s">
        <v>64201</v>
      </c>
      <c r="C90" s="30" t="s">
        <v>64202</v>
      </c>
      <c r="D90" s="31">
        <v>3604435494.97</v>
      </c>
      <c r="E90" s="31">
        <v>29845875875.41</v>
      </c>
      <c r="F90" s="31">
        <v>29602908645.15</v>
      </c>
      <c r="G90" s="32">
        <v>2026</v>
      </c>
      <c r="H90" s="32">
        <v>2026</v>
      </c>
      <c r="I90" s="32">
        <v>5</v>
      </c>
    </row>
    <row r="91" spans="1:9">
      <c r="A91" s="42">
        <v>46203</v>
      </c>
      <c r="B91" s="33" t="s">
        <v>64201</v>
      </c>
      <c r="C91" s="33" t="s">
        <v>64202</v>
      </c>
      <c r="D91" s="34">
        <v>4095626669.28</v>
      </c>
      <c r="E91" s="34">
        <v>33941502544.69</v>
      </c>
      <c r="F91" s="34">
        <v>33854718534.87</v>
      </c>
      <c r="G91" s="35">
        <v>2026</v>
      </c>
      <c r="H91" s="35">
        <v>2026</v>
      </c>
      <c r="I91" s="35">
        <v>6</v>
      </c>
    </row>
  </sheetData>
  <autoFilter ref="A1:I9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vt:lpstr>
      <vt:lpstr>── Charts ──</vt:lpstr>
      <vt:lpstr>CT Charts</vt:lpstr>
      <vt:lpstr>FDA Charts</vt:lpstr>
      <vt:lpstr>_MTS_ChartData</vt:lpstr>
      <vt:lpstr>MTS Charts</vt:lpstr>
      <vt:lpstr>── Summary ──</vt:lpstr>
      <vt:lpstr>Summary Statistics</vt:lpstr>
      <vt:lpstr>Summary Statistics - Enrollment</vt:lpstr>
      <vt:lpstr>FDA Approval Summary</vt:lpstr>
      <vt:lpstr>MTS Summary Statistics</vt:lpstr>
      <vt:lpstr>── Database ──</vt:lpstr>
      <vt:lpstr>Trial Database</vt:lpstr>
      <vt:lpstr>Novel Approval Database</vt:lpstr>
      <vt:lpstr>Biosimilar Approval Database</vt:lpstr>
      <vt:lpstr>MTS Database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2026-08-11T18:16:13Z</dcterms:created>
  <dcterms:modified xsi:type="dcterms:W3CDTF">2026-08-11T18:16:13Z</dcterms:modified>
</cp:coreProperties>
</file>